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24226"/>
  <bookViews>
    <workbookView xWindow="10452" yWindow="96" windowWidth="8820" windowHeight="11076" firstSheet="10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62913" refMode="R1C1"/>
</workbook>
</file>

<file path=xl/calcChain.xml><?xml version="1.0" encoding="utf-8"?>
<calcChain xmlns="http://schemas.openxmlformats.org/spreadsheetml/2006/main">
  <c r="AE365" i="19" l="1"/>
  <c r="AC365" i="19"/>
  <c r="AB365" i="19"/>
  <c r="AA365" i="19"/>
  <c r="Z365" i="19"/>
  <c r="Y365" i="19"/>
  <c r="X365" i="19"/>
  <c r="W365" i="19"/>
  <c r="V365" i="19"/>
  <c r="U365" i="19"/>
  <c r="T365" i="19"/>
  <c r="S365" i="19"/>
  <c r="R365" i="19"/>
  <c r="Q365" i="19"/>
  <c r="P365" i="19"/>
  <c r="O365" i="19"/>
  <c r="N365" i="19"/>
  <c r="M365" i="19"/>
  <c r="L365" i="19"/>
  <c r="K365" i="19"/>
  <c r="J365" i="19"/>
  <c r="I365" i="19"/>
  <c r="H365" i="19"/>
  <c r="G365" i="19"/>
  <c r="F365" i="19"/>
  <c r="AE364" i="19"/>
  <c r="AC364" i="19"/>
  <c r="AB364" i="19"/>
  <c r="AA364" i="19"/>
  <c r="Z364" i="19"/>
  <c r="Y364" i="19"/>
  <c r="X364" i="19"/>
  <c r="W364" i="19"/>
  <c r="V364" i="19"/>
  <c r="U364" i="19"/>
  <c r="T364" i="19"/>
  <c r="S364" i="19"/>
  <c r="R364" i="19"/>
  <c r="Q364" i="19"/>
  <c r="P364" i="19"/>
  <c r="O364" i="19"/>
  <c r="N364" i="19"/>
  <c r="M364" i="19"/>
  <c r="L364" i="19"/>
  <c r="K364" i="19"/>
  <c r="J364" i="19"/>
  <c r="I364" i="19"/>
  <c r="H364" i="19"/>
  <c r="G364" i="19"/>
  <c r="F364" i="19"/>
  <c r="AE363" i="19"/>
  <c r="AC363" i="19"/>
  <c r="AB363" i="19"/>
  <c r="AA363" i="19"/>
  <c r="Z363" i="19"/>
  <c r="Y363" i="19"/>
  <c r="X363" i="19"/>
  <c r="W363" i="19"/>
  <c r="V363" i="19"/>
  <c r="U363" i="19"/>
  <c r="T363" i="19"/>
  <c r="S363" i="19"/>
  <c r="R363" i="19"/>
  <c r="Q363" i="19"/>
  <c r="P363" i="19"/>
  <c r="O363" i="19"/>
  <c r="N363" i="19"/>
  <c r="M363" i="19"/>
  <c r="L363" i="19"/>
  <c r="K363" i="19"/>
  <c r="J363" i="19"/>
  <c r="I363" i="19"/>
  <c r="H363" i="19"/>
  <c r="G363" i="19"/>
  <c r="F363" i="19"/>
  <c r="AE362" i="19"/>
  <c r="AC362" i="19"/>
  <c r="AB362" i="19"/>
  <c r="AA362" i="19"/>
  <c r="Z362" i="19"/>
  <c r="Y362" i="19"/>
  <c r="X362" i="19"/>
  <c r="W362" i="19"/>
  <c r="V362" i="19"/>
  <c r="U362" i="19"/>
  <c r="T362" i="19"/>
  <c r="S362" i="19"/>
  <c r="R362" i="19"/>
  <c r="Q362" i="19"/>
  <c r="P362" i="19"/>
  <c r="O362" i="19"/>
  <c r="N362" i="19"/>
  <c r="M362" i="19"/>
  <c r="L362" i="19"/>
  <c r="K362" i="19"/>
  <c r="J362" i="19"/>
  <c r="I362" i="19"/>
  <c r="H362" i="19"/>
  <c r="G362" i="19"/>
  <c r="F362" i="19"/>
  <c r="AE361" i="19"/>
  <c r="AC361" i="19"/>
  <c r="AB361" i="19"/>
  <c r="AA361" i="19"/>
  <c r="Z361" i="19"/>
  <c r="Y361" i="19"/>
  <c r="X361" i="19"/>
  <c r="W361" i="19"/>
  <c r="V361" i="19"/>
  <c r="U361" i="19"/>
  <c r="T361" i="19"/>
  <c r="S361" i="19"/>
  <c r="R361" i="19"/>
  <c r="Q361" i="19"/>
  <c r="P361" i="19"/>
  <c r="O361" i="19"/>
  <c r="N361" i="19"/>
  <c r="M361" i="19"/>
  <c r="L361" i="19"/>
  <c r="K361" i="19"/>
  <c r="J361" i="19"/>
  <c r="I361" i="19"/>
  <c r="H361" i="19"/>
  <c r="G361" i="19"/>
  <c r="F361" i="19"/>
  <c r="AE360" i="19"/>
  <c r="AC360" i="19"/>
  <c r="AB360" i="19"/>
  <c r="AA360" i="19"/>
  <c r="Z360" i="19"/>
  <c r="Y360" i="19"/>
  <c r="X360" i="19"/>
  <c r="W360" i="19"/>
  <c r="V360" i="19"/>
  <c r="U360" i="19"/>
  <c r="T360" i="19"/>
  <c r="S360" i="19"/>
  <c r="R360" i="19"/>
  <c r="Q360" i="19"/>
  <c r="P360" i="19"/>
  <c r="O360" i="19"/>
  <c r="N360" i="19"/>
  <c r="M360" i="19"/>
  <c r="L360" i="19"/>
  <c r="K360" i="19"/>
  <c r="J360" i="19"/>
  <c r="I360" i="19"/>
  <c r="H360" i="19"/>
  <c r="G360" i="19"/>
  <c r="F360" i="19"/>
  <c r="AE359" i="19"/>
  <c r="AC359" i="19"/>
  <c r="AB359" i="19"/>
  <c r="AA359" i="19"/>
  <c r="Z359" i="19"/>
  <c r="Y359" i="19"/>
  <c r="X359" i="19"/>
  <c r="W359" i="19"/>
  <c r="V359" i="19"/>
  <c r="U359" i="19"/>
  <c r="T359" i="19"/>
  <c r="S359" i="19"/>
  <c r="R359" i="19"/>
  <c r="Q359" i="19"/>
  <c r="P359" i="19"/>
  <c r="O359" i="19"/>
  <c r="N359" i="19"/>
  <c r="M359" i="19"/>
  <c r="L359" i="19"/>
  <c r="K359" i="19"/>
  <c r="J359" i="19"/>
  <c r="I359" i="19"/>
  <c r="H359" i="19"/>
  <c r="G359" i="19"/>
  <c r="F359" i="19"/>
  <c r="AE358" i="19"/>
  <c r="AC358" i="19"/>
  <c r="AB358" i="19"/>
  <c r="AA358" i="19"/>
  <c r="Z358" i="19"/>
  <c r="Y358" i="19"/>
  <c r="X358" i="19"/>
  <c r="W358" i="19"/>
  <c r="V358" i="19"/>
  <c r="U358" i="19"/>
  <c r="T358" i="19"/>
  <c r="S358" i="19"/>
  <c r="R358" i="19"/>
  <c r="Q358" i="19"/>
  <c r="P358" i="19"/>
  <c r="O358" i="19"/>
  <c r="N358" i="19"/>
  <c r="M358" i="19"/>
  <c r="L358" i="19"/>
  <c r="K358" i="19"/>
  <c r="J358" i="19"/>
  <c r="I358" i="19"/>
  <c r="H358" i="19"/>
  <c r="G358" i="19"/>
  <c r="F358" i="19"/>
  <c r="AE357" i="19"/>
  <c r="AC357" i="19"/>
  <c r="AB357" i="19"/>
  <c r="AA357" i="19"/>
  <c r="Z357" i="19"/>
  <c r="Y357" i="19"/>
  <c r="X357" i="19"/>
  <c r="W357" i="19"/>
  <c r="V357" i="19"/>
  <c r="U357" i="19"/>
  <c r="T357" i="19"/>
  <c r="S357" i="19"/>
  <c r="R357" i="19"/>
  <c r="Q357" i="19"/>
  <c r="P357" i="19"/>
  <c r="O357" i="19"/>
  <c r="N357" i="19"/>
  <c r="M357" i="19"/>
  <c r="L357" i="19"/>
  <c r="K357" i="19"/>
  <c r="J357" i="19"/>
  <c r="I357" i="19"/>
  <c r="H357" i="19"/>
  <c r="G357" i="19"/>
  <c r="F357" i="19"/>
  <c r="AE356" i="19"/>
  <c r="AC356" i="19"/>
  <c r="AB356" i="19"/>
  <c r="AA356" i="19"/>
  <c r="Z356" i="19"/>
  <c r="Y356" i="19"/>
  <c r="X356" i="19"/>
  <c r="W356" i="19"/>
  <c r="V356" i="19"/>
  <c r="U356" i="19"/>
  <c r="T356" i="19"/>
  <c r="S356" i="19"/>
  <c r="R356" i="19"/>
  <c r="Q356" i="19"/>
  <c r="P356" i="19"/>
  <c r="O356" i="19"/>
  <c r="N356" i="19"/>
  <c r="M356" i="19"/>
  <c r="L356" i="19"/>
  <c r="K356" i="19"/>
  <c r="J356" i="19"/>
  <c r="I356" i="19"/>
  <c r="H356" i="19"/>
  <c r="G356" i="19"/>
  <c r="F356" i="19"/>
  <c r="AE355" i="19"/>
  <c r="AC355" i="19"/>
  <c r="AB355" i="19"/>
  <c r="AA355" i="19"/>
  <c r="Z355" i="19"/>
  <c r="Y355" i="19"/>
  <c r="X355" i="19"/>
  <c r="W355" i="19"/>
  <c r="V355" i="19"/>
  <c r="U355" i="19"/>
  <c r="T355" i="19"/>
  <c r="S355" i="19"/>
  <c r="R355" i="19"/>
  <c r="Q355" i="19"/>
  <c r="P355" i="19"/>
  <c r="O355" i="19"/>
  <c r="N355" i="19"/>
  <c r="M355" i="19"/>
  <c r="L355" i="19"/>
  <c r="K355" i="19"/>
  <c r="J355" i="19"/>
  <c r="I355" i="19"/>
  <c r="H355" i="19"/>
  <c r="G355" i="19"/>
  <c r="F355" i="19"/>
  <c r="AE354" i="19"/>
  <c r="AC354" i="19"/>
  <c r="AB354" i="19"/>
  <c r="AA354" i="19"/>
  <c r="Z354" i="19"/>
  <c r="Y354" i="19"/>
  <c r="X354" i="19"/>
  <c r="W354" i="19"/>
  <c r="V354" i="19"/>
  <c r="U354" i="19"/>
  <c r="T354" i="19"/>
  <c r="S354" i="19"/>
  <c r="R354" i="19"/>
  <c r="Q354" i="19"/>
  <c r="P354" i="19"/>
  <c r="O354" i="19"/>
  <c r="N354" i="19"/>
  <c r="M354" i="19"/>
  <c r="L354" i="19"/>
  <c r="K354" i="19"/>
  <c r="J354" i="19"/>
  <c r="I354" i="19"/>
  <c r="H354" i="19"/>
  <c r="G354" i="19"/>
  <c r="F354" i="19"/>
  <c r="AE353" i="19"/>
  <c r="AC353" i="19"/>
  <c r="AB353" i="19"/>
  <c r="AA353" i="19"/>
  <c r="Z353" i="19"/>
  <c r="Y353" i="19"/>
  <c r="X353" i="19"/>
  <c r="W353" i="19"/>
  <c r="V353" i="19"/>
  <c r="U353" i="19"/>
  <c r="T353" i="19"/>
  <c r="S353" i="19"/>
  <c r="R353" i="19"/>
  <c r="Q353" i="19"/>
  <c r="P353" i="19"/>
  <c r="O353" i="19"/>
  <c r="N353" i="19"/>
  <c r="M353" i="19"/>
  <c r="L353" i="19"/>
  <c r="K353" i="19"/>
  <c r="J353" i="19"/>
  <c r="I353" i="19"/>
  <c r="H353" i="19"/>
  <c r="G353" i="19"/>
  <c r="F353" i="19"/>
  <c r="AE352" i="19"/>
  <c r="AC352" i="19"/>
  <c r="AB352" i="19"/>
  <c r="AA352" i="19"/>
  <c r="Z352" i="19"/>
  <c r="Y352" i="19"/>
  <c r="X352" i="19"/>
  <c r="W352" i="19"/>
  <c r="V352" i="19"/>
  <c r="U352" i="19"/>
  <c r="T352" i="19"/>
  <c r="S352" i="19"/>
  <c r="R352" i="19"/>
  <c r="Q352" i="19"/>
  <c r="P352" i="19"/>
  <c r="O352" i="19"/>
  <c r="N352" i="19"/>
  <c r="M352" i="19"/>
  <c r="L352" i="19"/>
  <c r="K352" i="19"/>
  <c r="J352" i="19"/>
  <c r="I352" i="19"/>
  <c r="H352" i="19"/>
  <c r="G352" i="19"/>
  <c r="F352" i="19"/>
  <c r="AE351" i="19"/>
  <c r="AC351" i="19"/>
  <c r="AB351" i="19"/>
  <c r="AA351" i="19"/>
  <c r="Z351" i="19"/>
  <c r="Y351" i="19"/>
  <c r="X351" i="19"/>
  <c r="W351" i="19"/>
  <c r="V351" i="19"/>
  <c r="U351" i="19"/>
  <c r="T351" i="19"/>
  <c r="S351" i="19"/>
  <c r="R351" i="19"/>
  <c r="Q351" i="19"/>
  <c r="P351" i="19"/>
  <c r="O351" i="19"/>
  <c r="N351" i="19"/>
  <c r="M351" i="19"/>
  <c r="L351" i="19"/>
  <c r="K351" i="19"/>
  <c r="J351" i="19"/>
  <c r="I351" i="19"/>
  <c r="H351" i="19"/>
  <c r="G351" i="19"/>
  <c r="F351" i="19"/>
  <c r="AE350" i="19"/>
  <c r="AC350" i="19"/>
  <c r="AB350" i="19"/>
  <c r="AA350" i="19"/>
  <c r="Z350" i="19"/>
  <c r="Y350" i="19"/>
  <c r="X350" i="19"/>
  <c r="W350" i="19"/>
  <c r="V350" i="19"/>
  <c r="U350" i="19"/>
  <c r="T350" i="19"/>
  <c r="S350" i="19"/>
  <c r="R350" i="19"/>
  <c r="Q350" i="19"/>
  <c r="P350" i="19"/>
  <c r="O350" i="19"/>
  <c r="N350" i="19"/>
  <c r="M350" i="19"/>
  <c r="L350" i="19"/>
  <c r="K350" i="19"/>
  <c r="J350" i="19"/>
  <c r="I350" i="19"/>
  <c r="H350" i="19"/>
  <c r="G350" i="19"/>
  <c r="F350" i="19"/>
  <c r="AE349" i="19"/>
  <c r="AC349" i="19"/>
  <c r="AB349" i="19"/>
  <c r="AA349" i="19"/>
  <c r="Z349" i="19"/>
  <c r="Y349" i="19"/>
  <c r="X349" i="19"/>
  <c r="W349" i="19"/>
  <c r="V349" i="19"/>
  <c r="U349" i="19"/>
  <c r="T349" i="19"/>
  <c r="S349" i="19"/>
  <c r="R349" i="19"/>
  <c r="Q349" i="19"/>
  <c r="P349" i="19"/>
  <c r="O349" i="19"/>
  <c r="N349" i="19"/>
  <c r="M349" i="19"/>
  <c r="L349" i="19"/>
  <c r="K349" i="19"/>
  <c r="J349" i="19"/>
  <c r="I349" i="19"/>
  <c r="H349" i="19"/>
  <c r="G349" i="19"/>
  <c r="F349" i="19"/>
  <c r="AE348" i="19"/>
  <c r="AC348" i="19"/>
  <c r="AB348" i="19"/>
  <c r="AA348" i="19"/>
  <c r="Z348" i="19"/>
  <c r="Y348" i="19"/>
  <c r="X348" i="19"/>
  <c r="W348" i="19"/>
  <c r="V348" i="19"/>
  <c r="U348" i="19"/>
  <c r="T348" i="19"/>
  <c r="S348" i="19"/>
  <c r="R348" i="19"/>
  <c r="Q348" i="19"/>
  <c r="P348" i="19"/>
  <c r="O348" i="19"/>
  <c r="N348" i="19"/>
  <c r="M348" i="19"/>
  <c r="L348" i="19"/>
  <c r="K348" i="19"/>
  <c r="J348" i="19"/>
  <c r="I348" i="19"/>
  <c r="H348" i="19"/>
  <c r="G348" i="19"/>
  <c r="F348" i="19"/>
  <c r="AE347" i="19"/>
  <c r="AC347" i="19"/>
  <c r="AB347" i="19"/>
  <c r="AA347" i="19"/>
  <c r="Z347" i="19"/>
  <c r="Y347" i="19"/>
  <c r="X347" i="19"/>
  <c r="W347" i="19"/>
  <c r="V347" i="19"/>
  <c r="U347" i="19"/>
  <c r="T347" i="19"/>
  <c r="S347" i="19"/>
  <c r="R347" i="19"/>
  <c r="Q347" i="19"/>
  <c r="P347" i="19"/>
  <c r="O347" i="19"/>
  <c r="N347" i="19"/>
  <c r="M347" i="19"/>
  <c r="L347" i="19"/>
  <c r="K347" i="19"/>
  <c r="J347" i="19"/>
  <c r="I347" i="19"/>
  <c r="H347" i="19"/>
  <c r="G347" i="19"/>
  <c r="F347" i="19"/>
  <c r="AE346" i="19"/>
  <c r="AC346" i="19"/>
  <c r="AB346" i="19"/>
  <c r="AA346" i="19"/>
  <c r="Z346" i="19"/>
  <c r="Y346" i="19"/>
  <c r="X346" i="19"/>
  <c r="W346" i="19"/>
  <c r="V346" i="19"/>
  <c r="U346" i="19"/>
  <c r="T346" i="19"/>
  <c r="S346" i="19"/>
  <c r="R346" i="19"/>
  <c r="Q346" i="19"/>
  <c r="P346" i="19"/>
  <c r="O346" i="19"/>
  <c r="N346" i="19"/>
  <c r="M346" i="19"/>
  <c r="L346" i="19"/>
  <c r="K346" i="19"/>
  <c r="J346" i="19"/>
  <c r="I346" i="19"/>
  <c r="H346" i="19"/>
  <c r="G346" i="19"/>
  <c r="F346" i="19"/>
  <c r="AE345" i="19"/>
  <c r="AC345" i="19"/>
  <c r="AB345" i="19"/>
  <c r="AA345" i="19"/>
  <c r="Z345" i="19"/>
  <c r="Y345" i="19"/>
  <c r="X345" i="19"/>
  <c r="W345" i="19"/>
  <c r="V345" i="19"/>
  <c r="U345" i="19"/>
  <c r="T345" i="19"/>
  <c r="S345" i="19"/>
  <c r="R345" i="19"/>
  <c r="Q345" i="19"/>
  <c r="P345" i="19"/>
  <c r="O345" i="19"/>
  <c r="N345" i="19"/>
  <c r="M345" i="19"/>
  <c r="L345" i="19"/>
  <c r="K345" i="19"/>
  <c r="J345" i="19"/>
  <c r="I345" i="19"/>
  <c r="H345" i="19"/>
  <c r="G345" i="19"/>
  <c r="F345" i="19"/>
  <c r="AE344" i="19"/>
  <c r="AC344" i="19"/>
  <c r="AB344" i="19"/>
  <c r="AA344" i="19"/>
  <c r="Z344" i="19"/>
  <c r="Y344" i="19"/>
  <c r="X344" i="19"/>
  <c r="W344" i="19"/>
  <c r="V344" i="19"/>
  <c r="U344" i="19"/>
  <c r="T344" i="19"/>
  <c r="S344" i="19"/>
  <c r="R344" i="19"/>
  <c r="Q344" i="19"/>
  <c r="P344" i="19"/>
  <c r="O344" i="19"/>
  <c r="N344" i="19"/>
  <c r="M344" i="19"/>
  <c r="L344" i="19"/>
  <c r="K344" i="19"/>
  <c r="J344" i="19"/>
  <c r="I344" i="19"/>
  <c r="H344" i="19"/>
  <c r="G344" i="19"/>
  <c r="F344" i="19"/>
  <c r="AE343" i="19"/>
  <c r="AC343" i="19"/>
  <c r="AB343" i="19"/>
  <c r="AA343" i="19"/>
  <c r="Z343" i="19"/>
  <c r="Y343" i="19"/>
  <c r="X343" i="19"/>
  <c r="W343" i="19"/>
  <c r="V343" i="19"/>
  <c r="U343" i="19"/>
  <c r="T343" i="19"/>
  <c r="S343" i="19"/>
  <c r="R343" i="19"/>
  <c r="Q343" i="19"/>
  <c r="P343" i="19"/>
  <c r="O343" i="19"/>
  <c r="N343" i="19"/>
  <c r="M343" i="19"/>
  <c r="L343" i="19"/>
  <c r="K343" i="19"/>
  <c r="J343" i="19"/>
  <c r="I343" i="19"/>
  <c r="H343" i="19"/>
  <c r="G343" i="19"/>
  <c r="F343" i="19"/>
  <c r="AE342" i="19"/>
  <c r="AC342" i="19"/>
  <c r="AB342" i="19"/>
  <c r="AA342" i="19"/>
  <c r="Z342" i="19"/>
  <c r="Y342" i="19"/>
  <c r="X342" i="19"/>
  <c r="W342" i="19"/>
  <c r="V342" i="19"/>
  <c r="U342" i="19"/>
  <c r="T342" i="19"/>
  <c r="S342" i="19"/>
  <c r="R342" i="19"/>
  <c r="Q342" i="19"/>
  <c r="P342" i="19"/>
  <c r="O342" i="19"/>
  <c r="N342" i="19"/>
  <c r="M342" i="19"/>
  <c r="L342" i="19"/>
  <c r="K342" i="19"/>
  <c r="J342" i="19"/>
  <c r="I342" i="19"/>
  <c r="H342" i="19"/>
  <c r="G342" i="19"/>
  <c r="F342" i="19"/>
  <c r="AE341" i="19"/>
  <c r="AC341" i="19"/>
  <c r="AB341" i="19"/>
  <c r="AA341" i="19"/>
  <c r="Z341" i="19"/>
  <c r="Y341" i="19"/>
  <c r="X341" i="19"/>
  <c r="W341" i="19"/>
  <c r="V341" i="19"/>
  <c r="U341" i="19"/>
  <c r="T341" i="19"/>
  <c r="S341" i="19"/>
  <c r="R341" i="19"/>
  <c r="Q341" i="19"/>
  <c r="P341" i="19"/>
  <c r="O341" i="19"/>
  <c r="N341" i="19"/>
  <c r="M341" i="19"/>
  <c r="L341" i="19"/>
  <c r="K341" i="19"/>
  <c r="J341" i="19"/>
  <c r="I341" i="19"/>
  <c r="H341" i="19"/>
  <c r="G341" i="19"/>
  <c r="F341" i="19"/>
  <c r="AE340" i="19"/>
  <c r="AC340" i="19"/>
  <c r="AB340" i="19"/>
  <c r="AA340" i="19"/>
  <c r="Z340" i="19"/>
  <c r="Y340" i="19"/>
  <c r="X340" i="19"/>
  <c r="W340" i="19"/>
  <c r="V340" i="19"/>
  <c r="U340" i="19"/>
  <c r="T340" i="19"/>
  <c r="S340" i="19"/>
  <c r="R340" i="19"/>
  <c r="Q340" i="19"/>
  <c r="P340" i="19"/>
  <c r="O340" i="19"/>
  <c r="N340" i="19"/>
  <c r="M340" i="19"/>
  <c r="L340" i="19"/>
  <c r="K340" i="19"/>
  <c r="J340" i="19"/>
  <c r="I340" i="19"/>
  <c r="H340" i="19"/>
  <c r="G340" i="19"/>
  <c r="F340" i="19"/>
  <c r="AE339" i="19"/>
  <c r="AC339" i="19"/>
  <c r="AB339" i="19"/>
  <c r="AA339" i="19"/>
  <c r="Z339" i="19"/>
  <c r="Y339" i="19"/>
  <c r="X339" i="19"/>
  <c r="W339" i="19"/>
  <c r="V339" i="19"/>
  <c r="U339" i="19"/>
  <c r="T339" i="19"/>
  <c r="S339" i="19"/>
  <c r="R339" i="19"/>
  <c r="Q339" i="19"/>
  <c r="P339" i="19"/>
  <c r="O339" i="19"/>
  <c r="N339" i="19"/>
  <c r="M339" i="19"/>
  <c r="L339" i="19"/>
  <c r="K339" i="19"/>
  <c r="J339" i="19"/>
  <c r="I339" i="19"/>
  <c r="H339" i="19"/>
  <c r="G339" i="19"/>
  <c r="F339" i="19"/>
  <c r="AE338" i="19"/>
  <c r="AC338" i="19"/>
  <c r="AB338" i="19"/>
  <c r="AA338" i="19"/>
  <c r="Z338" i="19"/>
  <c r="Y338" i="19"/>
  <c r="X338" i="19"/>
  <c r="W338" i="19"/>
  <c r="V338" i="19"/>
  <c r="U338" i="19"/>
  <c r="T338" i="19"/>
  <c r="S338" i="19"/>
  <c r="R338" i="19"/>
  <c r="Q338" i="19"/>
  <c r="P338" i="19"/>
  <c r="O338" i="19"/>
  <c r="N338" i="19"/>
  <c r="M338" i="19"/>
  <c r="L338" i="19"/>
  <c r="K338" i="19"/>
  <c r="J338" i="19"/>
  <c r="I338" i="19"/>
  <c r="H338" i="19"/>
  <c r="G338" i="19"/>
  <c r="F338" i="19"/>
  <c r="AE337" i="19"/>
  <c r="AC337" i="19"/>
  <c r="AB337" i="19"/>
  <c r="AA337" i="19"/>
  <c r="Z337" i="19"/>
  <c r="Y337" i="19"/>
  <c r="X337" i="19"/>
  <c r="W337" i="19"/>
  <c r="V337" i="19"/>
  <c r="U337" i="19"/>
  <c r="T337" i="19"/>
  <c r="S337" i="19"/>
  <c r="R337" i="19"/>
  <c r="Q337" i="19"/>
  <c r="P337" i="19"/>
  <c r="O337" i="19"/>
  <c r="N337" i="19"/>
  <c r="M337" i="19"/>
  <c r="L337" i="19"/>
  <c r="K337" i="19"/>
  <c r="J337" i="19"/>
  <c r="I337" i="19"/>
  <c r="H337" i="19"/>
  <c r="G337" i="19"/>
  <c r="F337" i="19"/>
  <c r="AE336" i="19"/>
  <c r="AC336" i="19"/>
  <c r="AB336" i="19"/>
  <c r="AA336" i="19"/>
  <c r="Z336" i="19"/>
  <c r="Y336" i="19"/>
  <c r="X336" i="19"/>
  <c r="W336" i="19"/>
  <c r="V336" i="19"/>
  <c r="U336" i="19"/>
  <c r="T336" i="19"/>
  <c r="S336" i="19"/>
  <c r="R336" i="19"/>
  <c r="Q336" i="19"/>
  <c r="P336" i="19"/>
  <c r="O336" i="19"/>
  <c r="N336" i="19"/>
  <c r="M336" i="19"/>
  <c r="L336" i="19"/>
  <c r="K336" i="19"/>
  <c r="J336" i="19"/>
  <c r="I336" i="19"/>
  <c r="H336" i="19"/>
  <c r="G336" i="19"/>
  <c r="F336" i="19"/>
  <c r="AE335" i="19"/>
  <c r="AC335" i="19"/>
  <c r="AB335" i="19"/>
  <c r="AA335" i="19"/>
  <c r="Z335" i="19"/>
  <c r="Y335" i="19"/>
  <c r="X335" i="19"/>
  <c r="W335" i="19"/>
  <c r="V335" i="19"/>
  <c r="U335" i="19"/>
  <c r="T335" i="19"/>
  <c r="S335" i="19"/>
  <c r="R335" i="19"/>
  <c r="Q335" i="19"/>
  <c r="P335" i="19"/>
  <c r="O335" i="19"/>
  <c r="N335" i="19"/>
  <c r="M335" i="19"/>
  <c r="L335" i="19"/>
  <c r="K335" i="19"/>
  <c r="J335" i="19"/>
  <c r="I335" i="19"/>
  <c r="H335" i="19"/>
  <c r="G335" i="19"/>
  <c r="F335" i="19"/>
  <c r="AE334" i="19"/>
  <c r="AC334" i="19"/>
  <c r="AB334" i="19"/>
  <c r="AA334" i="19"/>
  <c r="Z334" i="19"/>
  <c r="Y334" i="19"/>
  <c r="X334" i="19"/>
  <c r="W334" i="19"/>
  <c r="V334" i="19"/>
  <c r="U334" i="19"/>
  <c r="T334" i="19"/>
  <c r="S334" i="19"/>
  <c r="R334" i="19"/>
  <c r="Q334" i="19"/>
  <c r="P334" i="19"/>
  <c r="O334" i="19"/>
  <c r="N334" i="19"/>
  <c r="M334" i="19"/>
  <c r="L334" i="19"/>
  <c r="K334" i="19"/>
  <c r="J334" i="19"/>
  <c r="I334" i="19"/>
  <c r="H334" i="19"/>
  <c r="G334" i="19"/>
  <c r="F334" i="19"/>
  <c r="AE333" i="19"/>
  <c r="AC333" i="19"/>
  <c r="AB333" i="19"/>
  <c r="AA333" i="19"/>
  <c r="Z333" i="19"/>
  <c r="Y333" i="19"/>
  <c r="X333" i="19"/>
  <c r="W333" i="19"/>
  <c r="V333" i="19"/>
  <c r="U333" i="19"/>
  <c r="T333" i="19"/>
  <c r="S333" i="19"/>
  <c r="R333" i="19"/>
  <c r="Q333" i="19"/>
  <c r="P333" i="19"/>
  <c r="O333" i="19"/>
  <c r="N333" i="19"/>
  <c r="M333" i="19"/>
  <c r="L333" i="19"/>
  <c r="K333" i="19"/>
  <c r="J333" i="19"/>
  <c r="I333" i="19"/>
  <c r="H333" i="19"/>
  <c r="G333" i="19"/>
  <c r="F333" i="19"/>
  <c r="AE332" i="19"/>
  <c r="AC332" i="19"/>
  <c r="AB332" i="19"/>
  <c r="AA332" i="19"/>
  <c r="Z332" i="19"/>
  <c r="Y332" i="19"/>
  <c r="X332" i="19"/>
  <c r="W332" i="19"/>
  <c r="V332" i="19"/>
  <c r="U332" i="19"/>
  <c r="T332" i="19"/>
  <c r="S332" i="19"/>
  <c r="R332" i="19"/>
  <c r="Q332" i="19"/>
  <c r="P332" i="19"/>
  <c r="O332" i="19"/>
  <c r="N332" i="19"/>
  <c r="M332" i="19"/>
  <c r="L332" i="19"/>
  <c r="K332" i="19"/>
  <c r="J332" i="19"/>
  <c r="I332" i="19"/>
  <c r="H332" i="19"/>
  <c r="G332" i="19"/>
  <c r="F332" i="19"/>
  <c r="AE331" i="19"/>
  <c r="AC331" i="19"/>
  <c r="AB331" i="19"/>
  <c r="AA331" i="19"/>
  <c r="Z331" i="19"/>
  <c r="Y331" i="19"/>
  <c r="X331" i="19"/>
  <c r="W331" i="19"/>
  <c r="V331" i="19"/>
  <c r="U331" i="19"/>
  <c r="T331" i="19"/>
  <c r="S331" i="19"/>
  <c r="R331" i="19"/>
  <c r="Q331" i="19"/>
  <c r="P331" i="19"/>
  <c r="O331" i="19"/>
  <c r="N331" i="19"/>
  <c r="M331" i="19"/>
  <c r="L331" i="19"/>
  <c r="K331" i="19"/>
  <c r="J331" i="19"/>
  <c r="I331" i="19"/>
  <c r="H331" i="19"/>
  <c r="G331" i="19"/>
  <c r="F331" i="19"/>
  <c r="AE330" i="19"/>
  <c r="AC330" i="19"/>
  <c r="AB330" i="19"/>
  <c r="AA330" i="19"/>
  <c r="Z330" i="19"/>
  <c r="Y330" i="19"/>
  <c r="X330" i="19"/>
  <c r="W330" i="19"/>
  <c r="V330" i="19"/>
  <c r="U330" i="19"/>
  <c r="T330" i="19"/>
  <c r="S330" i="19"/>
  <c r="R330" i="19"/>
  <c r="Q330" i="19"/>
  <c r="P330" i="19"/>
  <c r="O330" i="19"/>
  <c r="N330" i="19"/>
  <c r="M330" i="19"/>
  <c r="L330" i="19"/>
  <c r="K330" i="19"/>
  <c r="J330" i="19"/>
  <c r="I330" i="19"/>
  <c r="H330" i="19"/>
  <c r="G330" i="19"/>
  <c r="F330" i="19"/>
  <c r="AE329" i="19"/>
  <c r="AC329" i="19"/>
  <c r="AB329" i="19"/>
  <c r="AA329" i="19"/>
  <c r="Z329" i="19"/>
  <c r="Y329" i="19"/>
  <c r="X329" i="19"/>
  <c r="W329" i="19"/>
  <c r="V329" i="19"/>
  <c r="U329" i="19"/>
  <c r="T329" i="19"/>
  <c r="S329" i="19"/>
  <c r="R329" i="19"/>
  <c r="Q329" i="19"/>
  <c r="P329" i="19"/>
  <c r="O329" i="19"/>
  <c r="N329" i="19"/>
  <c r="M329" i="19"/>
  <c r="L329" i="19"/>
  <c r="K329" i="19"/>
  <c r="J329" i="19"/>
  <c r="I329" i="19"/>
  <c r="H329" i="19"/>
  <c r="G329" i="19"/>
  <c r="F329" i="19"/>
  <c r="AE328" i="19"/>
  <c r="AC328" i="19"/>
  <c r="AB328" i="19"/>
  <c r="AA328" i="19"/>
  <c r="Z328" i="19"/>
  <c r="Y328" i="19"/>
  <c r="X328" i="19"/>
  <c r="W328" i="19"/>
  <c r="V328" i="19"/>
  <c r="U328" i="19"/>
  <c r="T328" i="19"/>
  <c r="S328" i="19"/>
  <c r="R328" i="19"/>
  <c r="Q328" i="19"/>
  <c r="P328" i="19"/>
  <c r="O328" i="19"/>
  <c r="N328" i="19"/>
  <c r="M328" i="19"/>
  <c r="L328" i="19"/>
  <c r="K328" i="19"/>
  <c r="J328" i="19"/>
  <c r="I328" i="19"/>
  <c r="H328" i="19"/>
  <c r="G328" i="19"/>
  <c r="F328" i="19"/>
  <c r="AE327" i="19"/>
  <c r="AC327" i="19"/>
  <c r="AB327" i="19"/>
  <c r="AA327" i="19"/>
  <c r="Z327" i="19"/>
  <c r="Y327" i="19"/>
  <c r="X327" i="19"/>
  <c r="W327" i="19"/>
  <c r="V327" i="19"/>
  <c r="U327" i="19"/>
  <c r="T327" i="19"/>
  <c r="S327" i="19"/>
  <c r="R327" i="19"/>
  <c r="Q327" i="19"/>
  <c r="P327" i="19"/>
  <c r="O327" i="19"/>
  <c r="N327" i="19"/>
  <c r="M327" i="19"/>
  <c r="L327" i="19"/>
  <c r="K327" i="19"/>
  <c r="J327" i="19"/>
  <c r="I327" i="19"/>
  <c r="H327" i="19"/>
  <c r="G327" i="19"/>
  <c r="F327" i="19"/>
  <c r="AE326" i="19"/>
  <c r="AC326" i="19"/>
  <c r="AB326" i="19"/>
  <c r="AA326" i="19"/>
  <c r="Z326" i="19"/>
  <c r="Y326" i="19"/>
  <c r="X326" i="19"/>
  <c r="W326" i="19"/>
  <c r="V326" i="19"/>
  <c r="U326" i="19"/>
  <c r="T326" i="19"/>
  <c r="S326" i="19"/>
  <c r="R326" i="19"/>
  <c r="Q326" i="19"/>
  <c r="P326" i="19"/>
  <c r="O326" i="19"/>
  <c r="N326" i="19"/>
  <c r="M326" i="19"/>
  <c r="L326" i="19"/>
  <c r="K326" i="19"/>
  <c r="J326" i="19"/>
  <c r="I326" i="19"/>
  <c r="H326" i="19"/>
  <c r="G326" i="19"/>
  <c r="F326" i="19"/>
  <c r="AE325" i="19"/>
  <c r="AC325" i="19"/>
  <c r="AB325" i="19"/>
  <c r="AA325" i="19"/>
  <c r="Z325" i="19"/>
  <c r="Y325" i="19"/>
  <c r="X325" i="19"/>
  <c r="W325" i="19"/>
  <c r="V325" i="19"/>
  <c r="U325" i="19"/>
  <c r="T325" i="19"/>
  <c r="S325" i="19"/>
  <c r="R325" i="19"/>
  <c r="Q325" i="19"/>
  <c r="P325" i="19"/>
  <c r="O325" i="19"/>
  <c r="N325" i="19"/>
  <c r="M325" i="19"/>
  <c r="L325" i="19"/>
  <c r="K325" i="19"/>
  <c r="J325" i="19"/>
  <c r="I325" i="19"/>
  <c r="H325" i="19"/>
  <c r="G325" i="19"/>
  <c r="F325" i="19"/>
  <c r="AE324" i="19"/>
  <c r="AC324" i="19"/>
  <c r="AB324" i="19"/>
  <c r="AA324" i="19"/>
  <c r="Z324" i="19"/>
  <c r="Y324" i="19"/>
  <c r="X324" i="19"/>
  <c r="W324" i="19"/>
  <c r="V324" i="19"/>
  <c r="U324" i="19"/>
  <c r="T324" i="19"/>
  <c r="S324" i="19"/>
  <c r="R324" i="19"/>
  <c r="Q324" i="19"/>
  <c r="P324" i="19"/>
  <c r="O324" i="19"/>
  <c r="N324" i="19"/>
  <c r="M324" i="19"/>
  <c r="L324" i="19"/>
  <c r="K324" i="19"/>
  <c r="J324" i="19"/>
  <c r="I324" i="19"/>
  <c r="H324" i="19"/>
  <c r="G324" i="19"/>
  <c r="F324" i="19"/>
  <c r="AE323" i="19"/>
  <c r="AC323" i="19"/>
  <c r="AB323" i="19"/>
  <c r="AA323" i="19"/>
  <c r="Z323" i="19"/>
  <c r="Y323" i="19"/>
  <c r="X323" i="19"/>
  <c r="W323" i="19"/>
  <c r="V323" i="19"/>
  <c r="U323" i="19"/>
  <c r="T323" i="19"/>
  <c r="S323" i="19"/>
  <c r="R323" i="19"/>
  <c r="Q323" i="19"/>
  <c r="P323" i="19"/>
  <c r="O323" i="19"/>
  <c r="N323" i="19"/>
  <c r="M323" i="19"/>
  <c r="L323" i="19"/>
  <c r="K323" i="19"/>
  <c r="J323" i="19"/>
  <c r="I323" i="19"/>
  <c r="H323" i="19"/>
  <c r="G323" i="19"/>
  <c r="F323" i="19"/>
  <c r="AE322" i="19"/>
  <c r="AC322" i="19"/>
  <c r="AB322" i="19"/>
  <c r="AA322" i="19"/>
  <c r="Z322" i="19"/>
  <c r="Y322" i="19"/>
  <c r="X322" i="19"/>
  <c r="W322" i="19"/>
  <c r="V322" i="19"/>
  <c r="U322" i="19"/>
  <c r="T322" i="19"/>
  <c r="S322" i="19"/>
  <c r="R322" i="19"/>
  <c r="Q322" i="19"/>
  <c r="P322" i="19"/>
  <c r="O322" i="19"/>
  <c r="N322" i="19"/>
  <c r="M322" i="19"/>
  <c r="L322" i="19"/>
  <c r="K322" i="19"/>
  <c r="J322" i="19"/>
  <c r="I322" i="19"/>
  <c r="H322" i="19"/>
  <c r="G322" i="19"/>
  <c r="F322" i="19"/>
  <c r="AE321" i="19"/>
  <c r="AC321" i="19"/>
  <c r="AB321" i="19"/>
  <c r="AA321" i="19"/>
  <c r="Z321" i="19"/>
  <c r="Y321" i="19"/>
  <c r="X321" i="19"/>
  <c r="W321" i="19"/>
  <c r="V321" i="19"/>
  <c r="U321" i="19"/>
  <c r="T321" i="19"/>
  <c r="S321" i="19"/>
  <c r="R321" i="19"/>
  <c r="Q321" i="19"/>
  <c r="P321" i="19"/>
  <c r="O321" i="19"/>
  <c r="N321" i="19"/>
  <c r="M321" i="19"/>
  <c r="L321" i="19"/>
  <c r="K321" i="19"/>
  <c r="J321" i="19"/>
  <c r="I321" i="19"/>
  <c r="H321" i="19"/>
  <c r="G321" i="19"/>
  <c r="F321" i="19"/>
  <c r="AE320" i="19"/>
  <c r="AC320" i="19"/>
  <c r="AB320" i="19"/>
  <c r="AA320" i="19"/>
  <c r="Z320" i="19"/>
  <c r="Y320" i="19"/>
  <c r="X320" i="19"/>
  <c r="W320" i="19"/>
  <c r="V320" i="19"/>
  <c r="U320" i="19"/>
  <c r="T320" i="19"/>
  <c r="S320" i="19"/>
  <c r="R320" i="19"/>
  <c r="Q320" i="19"/>
  <c r="P320" i="19"/>
  <c r="O320" i="19"/>
  <c r="N320" i="19"/>
  <c r="M320" i="19"/>
  <c r="L320" i="19"/>
  <c r="K320" i="19"/>
  <c r="J320" i="19"/>
  <c r="I320" i="19"/>
  <c r="H320" i="19"/>
  <c r="G320" i="19"/>
  <c r="F320" i="19"/>
  <c r="AE319" i="19"/>
  <c r="AC319" i="19"/>
  <c r="AB319" i="19"/>
  <c r="AA319" i="19"/>
  <c r="Z319" i="19"/>
  <c r="Y319" i="19"/>
  <c r="X319" i="19"/>
  <c r="W319" i="19"/>
  <c r="V319" i="19"/>
  <c r="U319" i="19"/>
  <c r="T319" i="19"/>
  <c r="S319" i="19"/>
  <c r="R319" i="19"/>
  <c r="Q319" i="19"/>
  <c r="P319" i="19"/>
  <c r="O319" i="19"/>
  <c r="N319" i="19"/>
  <c r="M319" i="19"/>
  <c r="L319" i="19"/>
  <c r="K319" i="19"/>
  <c r="J319" i="19"/>
  <c r="I319" i="19"/>
  <c r="H319" i="19"/>
  <c r="G319" i="19"/>
  <c r="F319" i="19"/>
  <c r="AE318" i="19"/>
  <c r="AC318" i="19"/>
  <c r="AB318" i="19"/>
  <c r="AA318" i="19"/>
  <c r="Z318" i="19"/>
  <c r="Y318" i="19"/>
  <c r="X318" i="19"/>
  <c r="W318" i="19"/>
  <c r="V318" i="19"/>
  <c r="U318" i="19"/>
  <c r="T318" i="19"/>
  <c r="S318" i="19"/>
  <c r="R318" i="19"/>
  <c r="Q318" i="19"/>
  <c r="P318" i="19"/>
  <c r="O318" i="19"/>
  <c r="N318" i="19"/>
  <c r="M318" i="19"/>
  <c r="L318" i="19"/>
  <c r="K318" i="19"/>
  <c r="J318" i="19"/>
  <c r="I318" i="19"/>
  <c r="H318" i="19"/>
  <c r="G318" i="19"/>
  <c r="F318" i="19"/>
  <c r="AE317" i="19"/>
  <c r="AC317" i="19"/>
  <c r="AB317" i="19"/>
  <c r="AA317" i="19"/>
  <c r="Z317" i="19"/>
  <c r="Y317" i="19"/>
  <c r="X317" i="19"/>
  <c r="W317" i="19"/>
  <c r="V317" i="19"/>
  <c r="U317" i="19"/>
  <c r="T317" i="19"/>
  <c r="S317" i="19"/>
  <c r="R317" i="19"/>
  <c r="Q317" i="19"/>
  <c r="P317" i="19"/>
  <c r="O317" i="19"/>
  <c r="N317" i="19"/>
  <c r="M317" i="19"/>
  <c r="L317" i="19"/>
  <c r="K317" i="19"/>
  <c r="J317" i="19"/>
  <c r="I317" i="19"/>
  <c r="H317" i="19"/>
  <c r="G317" i="19"/>
  <c r="F317" i="19"/>
  <c r="AE316" i="19"/>
  <c r="AC316" i="19"/>
  <c r="AB316" i="19"/>
  <c r="AA316" i="19"/>
  <c r="Z316" i="19"/>
  <c r="Y316" i="19"/>
  <c r="X316" i="19"/>
  <c r="W316" i="19"/>
  <c r="V316" i="19"/>
  <c r="U316" i="19"/>
  <c r="T316" i="19"/>
  <c r="S316" i="19"/>
  <c r="R316" i="19"/>
  <c r="Q316" i="19"/>
  <c r="P316" i="19"/>
  <c r="O316" i="19"/>
  <c r="N316" i="19"/>
  <c r="M316" i="19"/>
  <c r="L316" i="19"/>
  <c r="K316" i="19"/>
  <c r="J316" i="19"/>
  <c r="I316" i="19"/>
  <c r="H316" i="19"/>
  <c r="G316" i="19"/>
  <c r="F316" i="19"/>
  <c r="AE315" i="19"/>
  <c r="AC315" i="19"/>
  <c r="AB315" i="19"/>
  <c r="AA315" i="19"/>
  <c r="Z315" i="19"/>
  <c r="Y315" i="19"/>
  <c r="X315" i="19"/>
  <c r="W315" i="19"/>
  <c r="V315" i="19"/>
  <c r="U315" i="19"/>
  <c r="T315" i="19"/>
  <c r="S315" i="19"/>
  <c r="R315" i="19"/>
  <c r="Q315" i="19"/>
  <c r="P315" i="19"/>
  <c r="O315" i="19"/>
  <c r="N315" i="19"/>
  <c r="M315" i="19"/>
  <c r="L315" i="19"/>
  <c r="K315" i="19"/>
  <c r="J315" i="19"/>
  <c r="I315" i="19"/>
  <c r="H315" i="19"/>
  <c r="G315" i="19"/>
  <c r="F315" i="19"/>
  <c r="AE314" i="19"/>
  <c r="AC314" i="19"/>
  <c r="AB314" i="19"/>
  <c r="AA314" i="19"/>
  <c r="Z314" i="19"/>
  <c r="Y314" i="19"/>
  <c r="X314" i="19"/>
  <c r="W314" i="19"/>
  <c r="V314" i="19"/>
  <c r="U314" i="19"/>
  <c r="T314" i="19"/>
  <c r="S314" i="19"/>
  <c r="R314" i="19"/>
  <c r="Q314" i="19"/>
  <c r="P314" i="19"/>
  <c r="O314" i="19"/>
  <c r="N314" i="19"/>
  <c r="M314" i="19"/>
  <c r="L314" i="19"/>
  <c r="K314" i="19"/>
  <c r="J314" i="19"/>
  <c r="I314" i="19"/>
  <c r="H314" i="19"/>
  <c r="G314" i="19"/>
  <c r="F314" i="19"/>
  <c r="AE313" i="19"/>
  <c r="AC313" i="19"/>
  <c r="AB313" i="19"/>
  <c r="AA313" i="19"/>
  <c r="Z313" i="19"/>
  <c r="Y313" i="19"/>
  <c r="X313" i="19"/>
  <c r="W313" i="19"/>
  <c r="V313" i="19"/>
  <c r="U313" i="19"/>
  <c r="T313" i="19"/>
  <c r="S313" i="19"/>
  <c r="R313" i="19"/>
  <c r="Q313" i="19"/>
  <c r="P313" i="19"/>
  <c r="O313" i="19"/>
  <c r="N313" i="19"/>
  <c r="M313" i="19"/>
  <c r="L313" i="19"/>
  <c r="K313" i="19"/>
  <c r="J313" i="19"/>
  <c r="I313" i="19"/>
  <c r="H313" i="19"/>
  <c r="G313" i="19"/>
  <c r="F313" i="19"/>
  <c r="AE312" i="19"/>
  <c r="AC312" i="19"/>
  <c r="AB312" i="19"/>
  <c r="AA312" i="19"/>
  <c r="Z312" i="19"/>
  <c r="Y312" i="19"/>
  <c r="X312" i="19"/>
  <c r="W312" i="19"/>
  <c r="V312" i="19"/>
  <c r="U312" i="19"/>
  <c r="T312" i="19"/>
  <c r="S312" i="19"/>
  <c r="R312" i="19"/>
  <c r="Q312" i="19"/>
  <c r="P312" i="19"/>
  <c r="O312" i="19"/>
  <c r="N312" i="19"/>
  <c r="M312" i="19"/>
  <c r="L312" i="19"/>
  <c r="K312" i="19"/>
  <c r="J312" i="19"/>
  <c r="I312" i="19"/>
  <c r="H312" i="19"/>
  <c r="G312" i="19"/>
  <c r="F312" i="19"/>
  <c r="AE311" i="19"/>
  <c r="AC311" i="19"/>
  <c r="AB311" i="19"/>
  <c r="AA311" i="19"/>
  <c r="Z311" i="19"/>
  <c r="Y311" i="19"/>
  <c r="X311" i="19"/>
  <c r="W311" i="19"/>
  <c r="V311" i="19"/>
  <c r="U311" i="19"/>
  <c r="T311" i="19"/>
  <c r="S311" i="19"/>
  <c r="R311" i="19"/>
  <c r="Q311" i="19"/>
  <c r="P311" i="19"/>
  <c r="O311" i="19"/>
  <c r="N311" i="19"/>
  <c r="M311" i="19"/>
  <c r="L311" i="19"/>
  <c r="K311" i="19"/>
  <c r="J311" i="19"/>
  <c r="I311" i="19"/>
  <c r="H311" i="19"/>
  <c r="G311" i="19"/>
  <c r="F311" i="19"/>
  <c r="AE310" i="19"/>
  <c r="AC310" i="19"/>
  <c r="AB310" i="19"/>
  <c r="AA310" i="19"/>
  <c r="Z310" i="19"/>
  <c r="Y310" i="19"/>
  <c r="X310" i="19"/>
  <c r="W310" i="19"/>
  <c r="V310" i="19"/>
  <c r="U310" i="19"/>
  <c r="T310" i="19"/>
  <c r="S310" i="19"/>
  <c r="R310" i="19"/>
  <c r="Q310" i="19"/>
  <c r="P310" i="19"/>
  <c r="O310" i="19"/>
  <c r="N310" i="19"/>
  <c r="M310" i="19"/>
  <c r="L310" i="19"/>
  <c r="K310" i="19"/>
  <c r="J310" i="19"/>
  <c r="I310" i="19"/>
  <c r="H310" i="19"/>
  <c r="G310" i="19"/>
  <c r="F310" i="19"/>
  <c r="AE309" i="19"/>
  <c r="AC309" i="19"/>
  <c r="AB309" i="19"/>
  <c r="AA309" i="19"/>
  <c r="Z309" i="19"/>
  <c r="Y309" i="19"/>
  <c r="X309" i="19"/>
  <c r="W309" i="19"/>
  <c r="V309" i="19"/>
  <c r="U309" i="19"/>
  <c r="T309" i="19"/>
  <c r="S309" i="19"/>
  <c r="R309" i="19"/>
  <c r="Q309" i="19"/>
  <c r="P309" i="19"/>
  <c r="O309" i="19"/>
  <c r="N309" i="19"/>
  <c r="M309" i="19"/>
  <c r="L309" i="19"/>
  <c r="K309" i="19"/>
  <c r="J309" i="19"/>
  <c r="I309" i="19"/>
  <c r="H309" i="19"/>
  <c r="G309" i="19"/>
  <c r="F309" i="19"/>
  <c r="AE308" i="19"/>
  <c r="AC308" i="19"/>
  <c r="AB308" i="19"/>
  <c r="AA308" i="19"/>
  <c r="Z308" i="19"/>
  <c r="Y308" i="19"/>
  <c r="X308" i="19"/>
  <c r="W308" i="19"/>
  <c r="V308" i="19"/>
  <c r="U308" i="19"/>
  <c r="T308" i="19"/>
  <c r="S308" i="19"/>
  <c r="R308" i="19"/>
  <c r="Q308" i="19"/>
  <c r="P308" i="19"/>
  <c r="O308" i="19"/>
  <c r="N308" i="19"/>
  <c r="M308" i="19"/>
  <c r="L308" i="19"/>
  <c r="K308" i="19"/>
  <c r="J308" i="19"/>
  <c r="I308" i="19"/>
  <c r="H308" i="19"/>
  <c r="G308" i="19"/>
  <c r="F308" i="19"/>
  <c r="AE307" i="19"/>
  <c r="AC307" i="19"/>
  <c r="AB307" i="19"/>
  <c r="AA307" i="19"/>
  <c r="Z307" i="19"/>
  <c r="Y307" i="19"/>
  <c r="X307" i="19"/>
  <c r="W307" i="19"/>
  <c r="V307" i="19"/>
  <c r="U307" i="19"/>
  <c r="T307" i="19"/>
  <c r="S307" i="19"/>
  <c r="R307" i="19"/>
  <c r="Q307" i="19"/>
  <c r="P307" i="19"/>
  <c r="O307" i="19"/>
  <c r="N307" i="19"/>
  <c r="M307" i="19"/>
  <c r="L307" i="19"/>
  <c r="K307" i="19"/>
  <c r="J307" i="19"/>
  <c r="I307" i="19"/>
  <c r="H307" i="19"/>
  <c r="G307" i="19"/>
  <c r="F307" i="19"/>
  <c r="AE306" i="19"/>
  <c r="AC306" i="19"/>
  <c r="AB306" i="19"/>
  <c r="AA306" i="19"/>
  <c r="Z306" i="19"/>
  <c r="Y306" i="19"/>
  <c r="X306" i="19"/>
  <c r="W306" i="19"/>
  <c r="V306" i="19"/>
  <c r="U306" i="19"/>
  <c r="T306" i="19"/>
  <c r="S306" i="19"/>
  <c r="R306" i="19"/>
  <c r="Q306" i="19"/>
  <c r="P306" i="19"/>
  <c r="O306" i="19"/>
  <c r="N306" i="19"/>
  <c r="M306" i="19"/>
  <c r="L306" i="19"/>
  <c r="K306" i="19"/>
  <c r="J306" i="19"/>
  <c r="I306" i="19"/>
  <c r="H306" i="19"/>
  <c r="G306" i="19"/>
  <c r="F306" i="19"/>
  <c r="AE305" i="19"/>
  <c r="AC305" i="19"/>
  <c r="AB305" i="19"/>
  <c r="AA305" i="19"/>
  <c r="Z305" i="19"/>
  <c r="Y305" i="19"/>
  <c r="X305" i="19"/>
  <c r="W305" i="19"/>
  <c r="V305" i="19"/>
  <c r="U305" i="19"/>
  <c r="T305" i="19"/>
  <c r="S305" i="19"/>
  <c r="R305" i="19"/>
  <c r="Q305" i="19"/>
  <c r="P305" i="19"/>
  <c r="O305" i="19"/>
  <c r="N305" i="19"/>
  <c r="M305" i="19"/>
  <c r="L305" i="19"/>
  <c r="K305" i="19"/>
  <c r="J305" i="19"/>
  <c r="I305" i="19"/>
  <c r="H305" i="19"/>
  <c r="G305" i="19"/>
  <c r="F305" i="19"/>
  <c r="AE304" i="19"/>
  <c r="AC304" i="19"/>
  <c r="AB304" i="19"/>
  <c r="AA304" i="19"/>
  <c r="Z304" i="19"/>
  <c r="Y304" i="19"/>
  <c r="X304" i="19"/>
  <c r="W304" i="19"/>
  <c r="V304" i="19"/>
  <c r="U304" i="19"/>
  <c r="T304" i="19"/>
  <c r="S304" i="19"/>
  <c r="R304" i="19"/>
  <c r="Q304" i="19"/>
  <c r="P304" i="19"/>
  <c r="O304" i="19"/>
  <c r="N304" i="19"/>
  <c r="M304" i="19"/>
  <c r="L304" i="19"/>
  <c r="K304" i="19"/>
  <c r="J304" i="19"/>
  <c r="I304" i="19"/>
  <c r="H304" i="19"/>
  <c r="G304" i="19"/>
  <c r="F304" i="19"/>
  <c r="AE303" i="19"/>
  <c r="AC303" i="19"/>
  <c r="AB303" i="19"/>
  <c r="AA303" i="19"/>
  <c r="Z303" i="19"/>
  <c r="Y303" i="19"/>
  <c r="X303" i="19"/>
  <c r="W303" i="19"/>
  <c r="V303" i="19"/>
  <c r="U303" i="19"/>
  <c r="T303" i="19"/>
  <c r="S303" i="19"/>
  <c r="R303" i="19"/>
  <c r="Q303" i="19"/>
  <c r="P303" i="19"/>
  <c r="O303" i="19"/>
  <c r="N303" i="19"/>
  <c r="M303" i="19"/>
  <c r="L303" i="19"/>
  <c r="K303" i="19"/>
  <c r="J303" i="19"/>
  <c r="I303" i="19"/>
  <c r="H303" i="19"/>
  <c r="G303" i="19"/>
  <c r="F303" i="19"/>
  <c r="AE302" i="19"/>
  <c r="AC302" i="19"/>
  <c r="AB302" i="19"/>
  <c r="AA302" i="19"/>
  <c r="Z302" i="19"/>
  <c r="Y302" i="19"/>
  <c r="X302" i="19"/>
  <c r="W302" i="19"/>
  <c r="V302" i="19"/>
  <c r="U302" i="19"/>
  <c r="T302" i="19"/>
  <c r="S302" i="19"/>
  <c r="R302" i="19"/>
  <c r="Q302" i="19"/>
  <c r="P302" i="19"/>
  <c r="O302" i="19"/>
  <c r="N302" i="19"/>
  <c r="M302" i="19"/>
  <c r="L302" i="19"/>
  <c r="K302" i="19"/>
  <c r="J302" i="19"/>
  <c r="I302" i="19"/>
  <c r="H302" i="19"/>
  <c r="G302" i="19"/>
  <c r="F302" i="19"/>
  <c r="AE301" i="19"/>
  <c r="AC301" i="19"/>
  <c r="AB301" i="19"/>
  <c r="AA301" i="19"/>
  <c r="Z301" i="19"/>
  <c r="Y301" i="19"/>
  <c r="X301" i="19"/>
  <c r="W301" i="19"/>
  <c r="V301" i="19"/>
  <c r="U301" i="19"/>
  <c r="T301" i="19"/>
  <c r="S301" i="19"/>
  <c r="R301" i="19"/>
  <c r="Q301" i="19"/>
  <c r="P301" i="19"/>
  <c r="O301" i="19"/>
  <c r="N301" i="19"/>
  <c r="M301" i="19"/>
  <c r="L301" i="19"/>
  <c r="K301" i="19"/>
  <c r="J301" i="19"/>
  <c r="I301" i="19"/>
  <c r="H301" i="19"/>
  <c r="G301" i="19"/>
  <c r="F301" i="19"/>
  <c r="AE300" i="19"/>
  <c r="AC300" i="19"/>
  <c r="AB300" i="19"/>
  <c r="AA300" i="19"/>
  <c r="Z300" i="19"/>
  <c r="Y300" i="19"/>
  <c r="X300" i="19"/>
  <c r="W300" i="19"/>
  <c r="V300" i="19"/>
  <c r="U300" i="19"/>
  <c r="T300" i="19"/>
  <c r="S300" i="19"/>
  <c r="R300" i="19"/>
  <c r="Q300" i="19"/>
  <c r="P300" i="19"/>
  <c r="O300" i="19"/>
  <c r="N300" i="19"/>
  <c r="M300" i="19"/>
  <c r="L300" i="19"/>
  <c r="K300" i="19"/>
  <c r="J300" i="19"/>
  <c r="I300" i="19"/>
  <c r="H300" i="19"/>
  <c r="G300" i="19"/>
  <c r="F300" i="19"/>
  <c r="AE299" i="19"/>
  <c r="AC299" i="19"/>
  <c r="AB299" i="19"/>
  <c r="AA299" i="19"/>
  <c r="Z299" i="19"/>
  <c r="Y299" i="19"/>
  <c r="X299" i="19"/>
  <c r="W299" i="19"/>
  <c r="V299" i="19"/>
  <c r="U299" i="19"/>
  <c r="T299" i="19"/>
  <c r="S299" i="19"/>
  <c r="R299" i="19"/>
  <c r="Q299" i="19"/>
  <c r="P299" i="19"/>
  <c r="O299" i="19"/>
  <c r="N299" i="19"/>
  <c r="M299" i="19"/>
  <c r="L299" i="19"/>
  <c r="K299" i="19"/>
  <c r="J299" i="19"/>
  <c r="I299" i="19"/>
  <c r="H299" i="19"/>
  <c r="G299" i="19"/>
  <c r="F299" i="19"/>
  <c r="AE298" i="19"/>
  <c r="AC298" i="19"/>
  <c r="AB298" i="19"/>
  <c r="AA298" i="19"/>
  <c r="Z298" i="19"/>
  <c r="Y298" i="19"/>
  <c r="X298" i="19"/>
  <c r="W298" i="19"/>
  <c r="V298" i="19"/>
  <c r="U298" i="19"/>
  <c r="T298" i="19"/>
  <c r="S298" i="19"/>
  <c r="R298" i="19"/>
  <c r="Q298" i="19"/>
  <c r="P298" i="19"/>
  <c r="O298" i="19"/>
  <c r="N298" i="19"/>
  <c r="M298" i="19"/>
  <c r="L298" i="19"/>
  <c r="K298" i="19"/>
  <c r="J298" i="19"/>
  <c r="I298" i="19"/>
  <c r="H298" i="19"/>
  <c r="G298" i="19"/>
  <c r="F298" i="19"/>
  <c r="AE297" i="19"/>
  <c r="AC297" i="19"/>
  <c r="AB297" i="19"/>
  <c r="AA297" i="19"/>
  <c r="Z297" i="19"/>
  <c r="Y297" i="19"/>
  <c r="X297" i="19"/>
  <c r="W297" i="19"/>
  <c r="V297" i="19"/>
  <c r="U297" i="19"/>
  <c r="T297" i="19"/>
  <c r="S297" i="19"/>
  <c r="R297" i="19"/>
  <c r="Q297" i="19"/>
  <c r="P297" i="19"/>
  <c r="O297" i="19"/>
  <c r="N297" i="19"/>
  <c r="M297" i="19"/>
  <c r="L297" i="19"/>
  <c r="K297" i="19"/>
  <c r="J297" i="19"/>
  <c r="I297" i="19"/>
  <c r="H297" i="19"/>
  <c r="G297" i="19"/>
  <c r="F297" i="19"/>
  <c r="AE296" i="19"/>
  <c r="AC296" i="19"/>
  <c r="AB296" i="19"/>
  <c r="AA296" i="19"/>
  <c r="Z296" i="19"/>
  <c r="Y296" i="19"/>
  <c r="X296" i="19"/>
  <c r="W296" i="19"/>
  <c r="V296" i="19"/>
  <c r="U296" i="19"/>
  <c r="T296" i="19"/>
  <c r="S296" i="19"/>
  <c r="R296" i="19"/>
  <c r="Q296" i="19"/>
  <c r="P296" i="19"/>
  <c r="O296" i="19"/>
  <c r="N296" i="19"/>
  <c r="M296" i="19"/>
  <c r="L296" i="19"/>
  <c r="K296" i="19"/>
  <c r="J296" i="19"/>
  <c r="I296" i="19"/>
  <c r="H296" i="19"/>
  <c r="G296" i="19"/>
  <c r="F296" i="19"/>
  <c r="AE295" i="19"/>
  <c r="AC295" i="19"/>
  <c r="AB295" i="19"/>
  <c r="AA295" i="19"/>
  <c r="Z295" i="19"/>
  <c r="Y295" i="19"/>
  <c r="X295" i="19"/>
  <c r="W295" i="19"/>
  <c r="V295" i="19"/>
  <c r="U295" i="19"/>
  <c r="T295" i="19"/>
  <c r="S295" i="19"/>
  <c r="R295" i="19"/>
  <c r="Q295" i="19"/>
  <c r="P295" i="19"/>
  <c r="O295" i="19"/>
  <c r="N295" i="19"/>
  <c r="M295" i="19"/>
  <c r="L295" i="19"/>
  <c r="K295" i="19"/>
  <c r="J295" i="19"/>
  <c r="I295" i="19"/>
  <c r="H295" i="19"/>
  <c r="G295" i="19"/>
  <c r="F295" i="19"/>
  <c r="AE294" i="19"/>
  <c r="AC294" i="19"/>
  <c r="AB294" i="19"/>
  <c r="AA294" i="19"/>
  <c r="Z294" i="19"/>
  <c r="Y294" i="19"/>
  <c r="X294" i="19"/>
  <c r="W294" i="19"/>
  <c r="V294" i="19"/>
  <c r="U294" i="19"/>
  <c r="T294" i="19"/>
  <c r="S294" i="19"/>
  <c r="R294" i="19"/>
  <c r="Q294" i="19"/>
  <c r="P294" i="19"/>
  <c r="O294" i="19"/>
  <c r="N294" i="19"/>
  <c r="M294" i="19"/>
  <c r="L294" i="19"/>
  <c r="K294" i="19"/>
  <c r="J294" i="19"/>
  <c r="I294" i="19"/>
  <c r="H294" i="19"/>
  <c r="G294" i="19"/>
  <c r="F294" i="19"/>
  <c r="AE293" i="19"/>
  <c r="AC293" i="19"/>
  <c r="AB293" i="19"/>
  <c r="AA293" i="19"/>
  <c r="Z293" i="19"/>
  <c r="Y293" i="19"/>
  <c r="X293" i="19"/>
  <c r="W293" i="19"/>
  <c r="V293" i="19"/>
  <c r="U293" i="19"/>
  <c r="T293" i="19"/>
  <c r="S293" i="19"/>
  <c r="R293" i="19"/>
  <c r="Q293" i="19"/>
  <c r="P293" i="19"/>
  <c r="O293" i="19"/>
  <c r="N293" i="19"/>
  <c r="M293" i="19"/>
  <c r="L293" i="19"/>
  <c r="K293" i="19"/>
  <c r="J293" i="19"/>
  <c r="I293" i="19"/>
  <c r="H293" i="19"/>
  <c r="G293" i="19"/>
  <c r="F293" i="19"/>
  <c r="AE292" i="19"/>
  <c r="AC292" i="19"/>
  <c r="AB292" i="19"/>
  <c r="AA292" i="19"/>
  <c r="Z292" i="19"/>
  <c r="Y292" i="19"/>
  <c r="X292" i="19"/>
  <c r="W292" i="19"/>
  <c r="V292" i="19"/>
  <c r="U292" i="19"/>
  <c r="T292" i="19"/>
  <c r="S292" i="19"/>
  <c r="R292" i="19"/>
  <c r="Q292" i="19"/>
  <c r="P292" i="19"/>
  <c r="O292" i="19"/>
  <c r="N292" i="19"/>
  <c r="M292" i="19"/>
  <c r="L292" i="19"/>
  <c r="K292" i="19"/>
  <c r="J292" i="19"/>
  <c r="I292" i="19"/>
  <c r="H292" i="19"/>
  <c r="G292" i="19"/>
  <c r="F292" i="19"/>
  <c r="AE291" i="19"/>
  <c r="AC291" i="19"/>
  <c r="AB291" i="19"/>
  <c r="AA291" i="19"/>
  <c r="Z291" i="19"/>
  <c r="Y291" i="19"/>
  <c r="X291" i="19"/>
  <c r="W291" i="19"/>
  <c r="V291" i="19"/>
  <c r="U291" i="19"/>
  <c r="T291" i="19"/>
  <c r="S291" i="19"/>
  <c r="R291" i="19"/>
  <c r="Q291" i="19"/>
  <c r="P291" i="19"/>
  <c r="O291" i="19"/>
  <c r="N291" i="19"/>
  <c r="M291" i="19"/>
  <c r="L291" i="19"/>
  <c r="K291" i="19"/>
  <c r="J291" i="19"/>
  <c r="I291" i="19"/>
  <c r="H291" i="19"/>
  <c r="G291" i="19"/>
  <c r="F291" i="19"/>
  <c r="AE290" i="19"/>
  <c r="AC290" i="19"/>
  <c r="AB290" i="19"/>
  <c r="AA290" i="19"/>
  <c r="Z290" i="19"/>
  <c r="Y290" i="19"/>
  <c r="X290" i="19"/>
  <c r="W290" i="19"/>
  <c r="V290" i="19"/>
  <c r="U290" i="19"/>
  <c r="T290" i="19"/>
  <c r="S290" i="19"/>
  <c r="R290" i="19"/>
  <c r="Q290" i="19"/>
  <c r="P290" i="19"/>
  <c r="O290" i="19"/>
  <c r="N290" i="19"/>
  <c r="M290" i="19"/>
  <c r="L290" i="19"/>
  <c r="K290" i="19"/>
  <c r="J290" i="19"/>
  <c r="I290" i="19"/>
  <c r="H290" i="19"/>
  <c r="G290" i="19"/>
  <c r="F290" i="19"/>
  <c r="AE289" i="19"/>
  <c r="AC289" i="19"/>
  <c r="AB289" i="19"/>
  <c r="AA289" i="19"/>
  <c r="Z289" i="19"/>
  <c r="Y289" i="19"/>
  <c r="X289" i="19"/>
  <c r="W289" i="19"/>
  <c r="V289" i="19"/>
  <c r="U289" i="19"/>
  <c r="T289" i="19"/>
  <c r="S289" i="19"/>
  <c r="R289" i="19"/>
  <c r="Q289" i="19"/>
  <c r="P289" i="19"/>
  <c r="O289" i="19"/>
  <c r="N289" i="19"/>
  <c r="M289" i="19"/>
  <c r="L289" i="19"/>
  <c r="K289" i="19"/>
  <c r="J289" i="19"/>
  <c r="I289" i="19"/>
  <c r="H289" i="19"/>
  <c r="G289" i="19"/>
  <c r="F289" i="19"/>
  <c r="AE288" i="19"/>
  <c r="AC288" i="19"/>
  <c r="AB288" i="19"/>
  <c r="AA288" i="19"/>
  <c r="Z288" i="19"/>
  <c r="Y288" i="19"/>
  <c r="X288" i="19"/>
  <c r="W288" i="19"/>
  <c r="V288" i="19"/>
  <c r="U288" i="19"/>
  <c r="T288" i="19"/>
  <c r="S288" i="19"/>
  <c r="R288" i="19"/>
  <c r="Q288" i="19"/>
  <c r="P288" i="19"/>
  <c r="O288" i="19"/>
  <c r="N288" i="19"/>
  <c r="M288" i="19"/>
  <c r="L288" i="19"/>
  <c r="K288" i="19"/>
  <c r="J288" i="19"/>
  <c r="I288" i="19"/>
  <c r="H288" i="19"/>
  <c r="G288" i="19"/>
  <c r="F288" i="19"/>
  <c r="AE287" i="19"/>
  <c r="AC287" i="19"/>
  <c r="AB287" i="19"/>
  <c r="AA287" i="19"/>
  <c r="Z287" i="19"/>
  <c r="Y287" i="19"/>
  <c r="X287" i="19"/>
  <c r="W287" i="19"/>
  <c r="V287" i="19"/>
  <c r="U287" i="19"/>
  <c r="T287" i="19"/>
  <c r="S287" i="19"/>
  <c r="R287" i="19"/>
  <c r="Q287" i="19"/>
  <c r="P287" i="19"/>
  <c r="O287" i="19"/>
  <c r="N287" i="19"/>
  <c r="M287" i="19"/>
  <c r="L287" i="19"/>
  <c r="K287" i="19"/>
  <c r="J287" i="19"/>
  <c r="I287" i="19"/>
  <c r="H287" i="19"/>
  <c r="G287" i="19"/>
  <c r="F287" i="19"/>
  <c r="AE286" i="19"/>
  <c r="AC286" i="19"/>
  <c r="AB286" i="19"/>
  <c r="AA286" i="19"/>
  <c r="Z286" i="19"/>
  <c r="Y286" i="19"/>
  <c r="X286" i="19"/>
  <c r="W286" i="19"/>
  <c r="V286" i="19"/>
  <c r="U286" i="19"/>
  <c r="T286" i="19"/>
  <c r="S286" i="19"/>
  <c r="R286" i="19"/>
  <c r="Q286" i="19"/>
  <c r="P286" i="19"/>
  <c r="O286" i="19"/>
  <c r="N286" i="19"/>
  <c r="M286" i="19"/>
  <c r="L286" i="19"/>
  <c r="K286" i="19"/>
  <c r="J286" i="19"/>
  <c r="I286" i="19"/>
  <c r="H286" i="19"/>
  <c r="G286" i="19"/>
  <c r="F286" i="19"/>
  <c r="AE285" i="19"/>
  <c r="AC285" i="19"/>
  <c r="AB285" i="19"/>
  <c r="AA285" i="19"/>
  <c r="Z285" i="19"/>
  <c r="Y285" i="19"/>
  <c r="X285" i="19"/>
  <c r="W285" i="19"/>
  <c r="V285" i="19"/>
  <c r="U285" i="19"/>
  <c r="T285" i="19"/>
  <c r="S285" i="19"/>
  <c r="R285" i="19"/>
  <c r="Q285" i="19"/>
  <c r="P285" i="19"/>
  <c r="O285" i="19"/>
  <c r="N285" i="19"/>
  <c r="M285" i="19"/>
  <c r="L285" i="19"/>
  <c r="K285" i="19"/>
  <c r="J285" i="19"/>
  <c r="I285" i="19"/>
  <c r="H285" i="19"/>
  <c r="G285" i="19"/>
  <c r="F285" i="19"/>
  <c r="AE284" i="19"/>
  <c r="AC284" i="19"/>
  <c r="AB284" i="19"/>
  <c r="AA284" i="19"/>
  <c r="Z284" i="19"/>
  <c r="Y284" i="19"/>
  <c r="X284" i="19"/>
  <c r="W284" i="19"/>
  <c r="V284" i="19"/>
  <c r="U284" i="19"/>
  <c r="T284" i="19"/>
  <c r="S284" i="19"/>
  <c r="R284" i="19"/>
  <c r="Q284" i="19"/>
  <c r="P284" i="19"/>
  <c r="O284" i="19"/>
  <c r="N284" i="19"/>
  <c r="M284" i="19"/>
  <c r="L284" i="19"/>
  <c r="K284" i="19"/>
  <c r="J284" i="19"/>
  <c r="I284" i="19"/>
  <c r="H284" i="19"/>
  <c r="G284" i="19"/>
  <c r="F284" i="19"/>
  <c r="AE283" i="19"/>
  <c r="AC283" i="19"/>
  <c r="AB283" i="19"/>
  <c r="AA283" i="19"/>
  <c r="Z283" i="19"/>
  <c r="Y283" i="19"/>
  <c r="X283" i="19"/>
  <c r="W283" i="19"/>
  <c r="V283" i="19"/>
  <c r="U283" i="19"/>
  <c r="T283" i="19"/>
  <c r="S283" i="19"/>
  <c r="R283" i="19"/>
  <c r="Q283" i="19"/>
  <c r="P283" i="19"/>
  <c r="O283" i="19"/>
  <c r="N283" i="19"/>
  <c r="M283" i="19"/>
  <c r="L283" i="19"/>
  <c r="K283" i="19"/>
  <c r="J283" i="19"/>
  <c r="I283" i="19"/>
  <c r="H283" i="19"/>
  <c r="G283" i="19"/>
  <c r="F283" i="19"/>
  <c r="AE282" i="19"/>
  <c r="AC282" i="19"/>
  <c r="AB282" i="19"/>
  <c r="AA282" i="19"/>
  <c r="Z282" i="19"/>
  <c r="Y282" i="19"/>
  <c r="X282" i="19"/>
  <c r="W282" i="19"/>
  <c r="V282" i="19"/>
  <c r="U282" i="19"/>
  <c r="T282" i="19"/>
  <c r="S282" i="19"/>
  <c r="R282" i="19"/>
  <c r="Q282" i="19"/>
  <c r="P282" i="19"/>
  <c r="O282" i="19"/>
  <c r="N282" i="19"/>
  <c r="M282" i="19"/>
  <c r="L282" i="19"/>
  <c r="K282" i="19"/>
  <c r="J282" i="19"/>
  <c r="I282" i="19"/>
  <c r="H282" i="19"/>
  <c r="G282" i="19"/>
  <c r="F282" i="19"/>
  <c r="AE281" i="19"/>
  <c r="AC281" i="19"/>
  <c r="AB281" i="19"/>
  <c r="AA281" i="19"/>
  <c r="Z281" i="19"/>
  <c r="Y281" i="19"/>
  <c r="X281" i="19"/>
  <c r="W281" i="19"/>
  <c r="V281" i="19"/>
  <c r="U281" i="19"/>
  <c r="T281" i="19"/>
  <c r="S281" i="19"/>
  <c r="R281" i="19"/>
  <c r="Q281" i="19"/>
  <c r="P281" i="19"/>
  <c r="O281" i="19"/>
  <c r="N281" i="19"/>
  <c r="M281" i="19"/>
  <c r="L281" i="19"/>
  <c r="K281" i="19"/>
  <c r="J281" i="19"/>
  <c r="I281" i="19"/>
  <c r="H281" i="19"/>
  <c r="G281" i="19"/>
  <c r="F281" i="19"/>
  <c r="AE280" i="19"/>
  <c r="AC280" i="19"/>
  <c r="AB280" i="19"/>
  <c r="AA280" i="19"/>
  <c r="Z280" i="19"/>
  <c r="Y280" i="19"/>
  <c r="X280" i="19"/>
  <c r="W280" i="19"/>
  <c r="V280" i="19"/>
  <c r="U280" i="19"/>
  <c r="T280" i="19"/>
  <c r="S280" i="19"/>
  <c r="R280" i="19"/>
  <c r="Q280" i="19"/>
  <c r="P280" i="19"/>
  <c r="O280" i="19"/>
  <c r="N280" i="19"/>
  <c r="M280" i="19"/>
  <c r="L280" i="19"/>
  <c r="K280" i="19"/>
  <c r="J280" i="19"/>
  <c r="I280" i="19"/>
  <c r="H280" i="19"/>
  <c r="G280" i="19"/>
  <c r="F280" i="19"/>
  <c r="AE279" i="19"/>
  <c r="AC279" i="19"/>
  <c r="AB279" i="19"/>
  <c r="AA279" i="19"/>
  <c r="Z279" i="19"/>
  <c r="Y279" i="19"/>
  <c r="X279" i="19"/>
  <c r="W279" i="19"/>
  <c r="V279" i="19"/>
  <c r="U279" i="19"/>
  <c r="T279" i="19"/>
  <c r="S279" i="19"/>
  <c r="R279" i="19"/>
  <c r="Q279" i="19"/>
  <c r="P279" i="19"/>
  <c r="O279" i="19"/>
  <c r="N279" i="19"/>
  <c r="M279" i="19"/>
  <c r="L279" i="19"/>
  <c r="K279" i="19"/>
  <c r="J279" i="19"/>
  <c r="I279" i="19"/>
  <c r="H279" i="19"/>
  <c r="G279" i="19"/>
  <c r="F279" i="19"/>
  <c r="AE278" i="19"/>
  <c r="AC278" i="19"/>
  <c r="AB278" i="19"/>
  <c r="AA278" i="19"/>
  <c r="Z278" i="19"/>
  <c r="Y278" i="19"/>
  <c r="X278" i="19"/>
  <c r="W278" i="19"/>
  <c r="V278" i="19"/>
  <c r="U278" i="19"/>
  <c r="T278" i="19"/>
  <c r="S278" i="19"/>
  <c r="R278" i="19"/>
  <c r="Q278" i="19"/>
  <c r="P278" i="19"/>
  <c r="O278" i="19"/>
  <c r="N278" i="19"/>
  <c r="M278" i="19"/>
  <c r="L278" i="19"/>
  <c r="K278" i="19"/>
  <c r="J278" i="19"/>
  <c r="I278" i="19"/>
  <c r="H278" i="19"/>
  <c r="G278" i="19"/>
  <c r="F278" i="19"/>
  <c r="AE277" i="19"/>
  <c r="AC277" i="19"/>
  <c r="AB277" i="19"/>
  <c r="AA277" i="19"/>
  <c r="Z277" i="19"/>
  <c r="Y277" i="19"/>
  <c r="X277" i="19"/>
  <c r="W277" i="19"/>
  <c r="V277" i="19"/>
  <c r="U277" i="19"/>
  <c r="T277" i="19"/>
  <c r="S277" i="19"/>
  <c r="R277" i="19"/>
  <c r="Q277" i="19"/>
  <c r="P277" i="19"/>
  <c r="O277" i="19"/>
  <c r="N277" i="19"/>
  <c r="M277" i="19"/>
  <c r="L277" i="19"/>
  <c r="K277" i="19"/>
  <c r="J277" i="19"/>
  <c r="I277" i="19"/>
  <c r="H277" i="19"/>
  <c r="G277" i="19"/>
  <c r="F277" i="19"/>
  <c r="AE276" i="19"/>
  <c r="AC276" i="19"/>
  <c r="AB276" i="19"/>
  <c r="AA276" i="19"/>
  <c r="Z276" i="19"/>
  <c r="Y276" i="19"/>
  <c r="X276" i="19"/>
  <c r="W276" i="19"/>
  <c r="V276" i="19"/>
  <c r="U276" i="19"/>
  <c r="T276" i="19"/>
  <c r="S276" i="19"/>
  <c r="R276" i="19"/>
  <c r="Q276" i="19"/>
  <c r="P276" i="19"/>
  <c r="O276" i="19"/>
  <c r="N276" i="19"/>
  <c r="M276" i="19"/>
  <c r="L276" i="19"/>
  <c r="K276" i="19"/>
  <c r="J276" i="19"/>
  <c r="I276" i="19"/>
  <c r="H276" i="19"/>
  <c r="G276" i="19"/>
  <c r="F276" i="19"/>
  <c r="AE275" i="19"/>
  <c r="AC275" i="19"/>
  <c r="AB275" i="19"/>
  <c r="AA275" i="19"/>
  <c r="Z275" i="19"/>
  <c r="Y275" i="19"/>
  <c r="X275" i="19"/>
  <c r="W275" i="19"/>
  <c r="V275" i="19"/>
  <c r="U275" i="19"/>
  <c r="T275" i="19"/>
  <c r="S275" i="19"/>
  <c r="R275" i="19"/>
  <c r="Q275" i="19"/>
  <c r="P275" i="19"/>
  <c r="O275" i="19"/>
  <c r="N275" i="19"/>
  <c r="M275" i="19"/>
  <c r="L275" i="19"/>
  <c r="K275" i="19"/>
  <c r="J275" i="19"/>
  <c r="I275" i="19"/>
  <c r="H275" i="19"/>
  <c r="G275" i="19"/>
  <c r="F275" i="19"/>
  <c r="AE274" i="19"/>
  <c r="AC274" i="19"/>
  <c r="AB274" i="19"/>
  <c r="AA274" i="19"/>
  <c r="Z274" i="19"/>
  <c r="Y274" i="19"/>
  <c r="X274" i="19"/>
  <c r="W274" i="19"/>
  <c r="V274" i="19"/>
  <c r="U274" i="19"/>
  <c r="T274" i="19"/>
  <c r="S274" i="19"/>
  <c r="R274" i="19"/>
  <c r="Q274" i="19"/>
  <c r="P274" i="19"/>
  <c r="O274" i="19"/>
  <c r="N274" i="19"/>
  <c r="M274" i="19"/>
  <c r="L274" i="19"/>
  <c r="K274" i="19"/>
  <c r="J274" i="19"/>
  <c r="I274" i="19"/>
  <c r="H274" i="19"/>
  <c r="G274" i="19"/>
  <c r="F274" i="19"/>
  <c r="AE273" i="19"/>
  <c r="AC273" i="19"/>
  <c r="AB273" i="19"/>
  <c r="AA273" i="19"/>
  <c r="Z273" i="19"/>
  <c r="Y273" i="19"/>
  <c r="X273" i="19"/>
  <c r="W273" i="19"/>
  <c r="V273" i="19"/>
  <c r="U273" i="19"/>
  <c r="T273" i="19"/>
  <c r="S273" i="19"/>
  <c r="R273" i="19"/>
  <c r="Q273" i="19"/>
  <c r="P273" i="19"/>
  <c r="O273" i="19"/>
  <c r="N273" i="19"/>
  <c r="M273" i="19"/>
  <c r="L273" i="19"/>
  <c r="K273" i="19"/>
  <c r="J273" i="19"/>
  <c r="I273" i="19"/>
  <c r="H273" i="19"/>
  <c r="G273" i="19"/>
  <c r="F273" i="19"/>
  <c r="AE272" i="19"/>
  <c r="AC272" i="19"/>
  <c r="AB272" i="19"/>
  <c r="AA272" i="19"/>
  <c r="Z272" i="19"/>
  <c r="Y272" i="19"/>
  <c r="X272" i="19"/>
  <c r="W272" i="19"/>
  <c r="V272" i="19"/>
  <c r="U272" i="19"/>
  <c r="T272" i="19"/>
  <c r="S272" i="19"/>
  <c r="R272" i="19"/>
  <c r="Q272" i="19"/>
  <c r="P272" i="19"/>
  <c r="O272" i="19"/>
  <c r="N272" i="19"/>
  <c r="M272" i="19"/>
  <c r="L272" i="19"/>
  <c r="K272" i="19"/>
  <c r="J272" i="19"/>
  <c r="I272" i="19"/>
  <c r="H272" i="19"/>
  <c r="G272" i="19"/>
  <c r="F272" i="19"/>
  <c r="AE271" i="19"/>
  <c r="AC271" i="19"/>
  <c r="AB271" i="19"/>
  <c r="AA271" i="19"/>
  <c r="Z271" i="19"/>
  <c r="Y271" i="19"/>
  <c r="X271" i="19"/>
  <c r="W271" i="19"/>
  <c r="V271" i="19"/>
  <c r="U271" i="19"/>
  <c r="T271" i="19"/>
  <c r="S271" i="19"/>
  <c r="R271" i="19"/>
  <c r="Q271" i="19"/>
  <c r="P271" i="19"/>
  <c r="O271" i="19"/>
  <c r="N271" i="19"/>
  <c r="M271" i="19"/>
  <c r="L271" i="19"/>
  <c r="K271" i="19"/>
  <c r="J271" i="19"/>
  <c r="I271" i="19"/>
  <c r="H271" i="19"/>
  <c r="G271" i="19"/>
  <c r="F271" i="19"/>
  <c r="AE270" i="19"/>
  <c r="AC270" i="19"/>
  <c r="AB270" i="19"/>
  <c r="AA270" i="19"/>
  <c r="Z270" i="19"/>
  <c r="Y270" i="19"/>
  <c r="X270" i="19"/>
  <c r="W270" i="19"/>
  <c r="V270" i="19"/>
  <c r="U270" i="19"/>
  <c r="T270" i="19"/>
  <c r="S270" i="19"/>
  <c r="R270" i="19"/>
  <c r="Q270" i="19"/>
  <c r="P270" i="19"/>
  <c r="O270" i="19"/>
  <c r="N270" i="19"/>
  <c r="M270" i="19"/>
  <c r="L270" i="19"/>
  <c r="K270" i="19"/>
  <c r="J270" i="19"/>
  <c r="I270" i="19"/>
  <c r="H270" i="19"/>
  <c r="G270" i="19"/>
  <c r="F270" i="19"/>
  <c r="AE269" i="19"/>
  <c r="AC269" i="19"/>
  <c r="AB269" i="19"/>
  <c r="AA269" i="19"/>
  <c r="Z269" i="19"/>
  <c r="Y269" i="19"/>
  <c r="X269" i="19"/>
  <c r="W269" i="19"/>
  <c r="V269" i="19"/>
  <c r="U269" i="19"/>
  <c r="T269" i="19"/>
  <c r="S269" i="19"/>
  <c r="R269" i="19"/>
  <c r="Q269" i="19"/>
  <c r="P269" i="19"/>
  <c r="O269" i="19"/>
  <c r="N269" i="19"/>
  <c r="M269" i="19"/>
  <c r="L269" i="19"/>
  <c r="K269" i="19"/>
  <c r="J269" i="19"/>
  <c r="I269" i="19"/>
  <c r="H269" i="19"/>
  <c r="G269" i="19"/>
  <c r="F269" i="19"/>
  <c r="AE268" i="19"/>
  <c r="AC268" i="19"/>
  <c r="AB268" i="19"/>
  <c r="AA268" i="19"/>
  <c r="Z268" i="19"/>
  <c r="Y268" i="19"/>
  <c r="X268" i="19"/>
  <c r="W268" i="19"/>
  <c r="V268" i="19"/>
  <c r="U268" i="19"/>
  <c r="T268" i="19"/>
  <c r="S268" i="19"/>
  <c r="R268" i="19"/>
  <c r="Q268" i="19"/>
  <c r="P268" i="19"/>
  <c r="O268" i="19"/>
  <c r="N268" i="19"/>
  <c r="M268" i="19"/>
  <c r="L268" i="19"/>
  <c r="K268" i="19"/>
  <c r="J268" i="19"/>
  <c r="I268" i="19"/>
  <c r="H268" i="19"/>
  <c r="G268" i="19"/>
  <c r="F268" i="19"/>
  <c r="AE267" i="19"/>
  <c r="AC267" i="19"/>
  <c r="AB267" i="19"/>
  <c r="AA267" i="19"/>
  <c r="Z267" i="19"/>
  <c r="Y267" i="19"/>
  <c r="X267" i="19"/>
  <c r="W267" i="19"/>
  <c r="V267" i="19"/>
  <c r="U267" i="19"/>
  <c r="T267" i="19"/>
  <c r="S267" i="19"/>
  <c r="R267" i="19"/>
  <c r="Q267" i="19"/>
  <c r="P267" i="19"/>
  <c r="O267" i="19"/>
  <c r="N267" i="19"/>
  <c r="M267" i="19"/>
  <c r="L267" i="19"/>
  <c r="K267" i="19"/>
  <c r="J267" i="19"/>
  <c r="I267" i="19"/>
  <c r="H267" i="19"/>
  <c r="G267" i="19"/>
  <c r="F267" i="19"/>
  <c r="AE266" i="19"/>
  <c r="AC266" i="19"/>
  <c r="AB266" i="19"/>
  <c r="AA266" i="19"/>
  <c r="Z266" i="19"/>
  <c r="Y266" i="19"/>
  <c r="X266" i="19"/>
  <c r="W266" i="19"/>
  <c r="V266" i="19"/>
  <c r="U266" i="19"/>
  <c r="T266" i="19"/>
  <c r="S266" i="19"/>
  <c r="R266" i="19"/>
  <c r="Q266" i="19"/>
  <c r="P266" i="19"/>
  <c r="O266" i="19"/>
  <c r="N266" i="19"/>
  <c r="M266" i="19"/>
  <c r="L266" i="19"/>
  <c r="K266" i="19"/>
  <c r="J266" i="19"/>
  <c r="I266" i="19"/>
  <c r="H266" i="19"/>
  <c r="G266" i="19"/>
  <c r="F266" i="19"/>
  <c r="AE265" i="19"/>
  <c r="AC265" i="19"/>
  <c r="AB265" i="19"/>
  <c r="AA265" i="19"/>
  <c r="Z265" i="19"/>
  <c r="Y265" i="19"/>
  <c r="X265" i="19"/>
  <c r="W265" i="19"/>
  <c r="V265" i="19"/>
  <c r="U265" i="19"/>
  <c r="T265" i="19"/>
  <c r="S265" i="19"/>
  <c r="R265" i="19"/>
  <c r="Q265" i="19"/>
  <c r="P265" i="19"/>
  <c r="O265" i="19"/>
  <c r="N265" i="19"/>
  <c r="M265" i="19"/>
  <c r="L265" i="19"/>
  <c r="K265" i="19"/>
  <c r="J265" i="19"/>
  <c r="I265" i="19"/>
  <c r="H265" i="19"/>
  <c r="G265" i="19"/>
  <c r="F265" i="19"/>
  <c r="AE264" i="19"/>
  <c r="AC264" i="19"/>
  <c r="AB264" i="19"/>
  <c r="AA264" i="19"/>
  <c r="Z264" i="19"/>
  <c r="Y264" i="19"/>
  <c r="X264" i="19"/>
  <c r="W264" i="19"/>
  <c r="V264" i="19"/>
  <c r="U264" i="19"/>
  <c r="T264" i="19"/>
  <c r="S264" i="19"/>
  <c r="R264" i="19"/>
  <c r="Q264" i="19"/>
  <c r="P264" i="19"/>
  <c r="O264" i="19"/>
  <c r="N264" i="19"/>
  <c r="M264" i="19"/>
  <c r="L264" i="19"/>
  <c r="K264" i="19"/>
  <c r="J264" i="19"/>
  <c r="I264" i="19"/>
  <c r="H264" i="19"/>
  <c r="G264" i="19"/>
  <c r="F264" i="19"/>
  <c r="AE263" i="19"/>
  <c r="AC263" i="19"/>
  <c r="AB263" i="19"/>
  <c r="AA263" i="19"/>
  <c r="Z263" i="19"/>
  <c r="Y263" i="19"/>
  <c r="X263" i="19"/>
  <c r="W263" i="19"/>
  <c r="V263" i="19"/>
  <c r="U263" i="19"/>
  <c r="T263" i="19"/>
  <c r="S263" i="19"/>
  <c r="R263" i="19"/>
  <c r="Q263" i="19"/>
  <c r="P263" i="19"/>
  <c r="O263" i="19"/>
  <c r="N263" i="19"/>
  <c r="M263" i="19"/>
  <c r="L263" i="19"/>
  <c r="K263" i="19"/>
  <c r="J263" i="19"/>
  <c r="I263" i="19"/>
  <c r="H263" i="19"/>
  <c r="G263" i="19"/>
  <c r="F263" i="19"/>
  <c r="AE262" i="19"/>
  <c r="AC262" i="19"/>
  <c r="AB262" i="19"/>
  <c r="AA262" i="19"/>
  <c r="Z262" i="19"/>
  <c r="Y262" i="19"/>
  <c r="X262" i="19"/>
  <c r="W262" i="19"/>
  <c r="V262" i="19"/>
  <c r="U262" i="19"/>
  <c r="T262" i="19"/>
  <c r="S262" i="19"/>
  <c r="R262" i="19"/>
  <c r="Q262" i="19"/>
  <c r="P262" i="19"/>
  <c r="O262" i="19"/>
  <c r="N262" i="19"/>
  <c r="M262" i="19"/>
  <c r="L262" i="19"/>
  <c r="K262" i="19"/>
  <c r="J262" i="19"/>
  <c r="I262" i="19"/>
  <c r="H262" i="19"/>
  <c r="G262" i="19"/>
  <c r="F262" i="19"/>
  <c r="AE261" i="19"/>
  <c r="AC261" i="19"/>
  <c r="AB261" i="19"/>
  <c r="AA261" i="19"/>
  <c r="Z261" i="19"/>
  <c r="Y261" i="19"/>
  <c r="X261" i="19"/>
  <c r="W261" i="19"/>
  <c r="V261" i="19"/>
  <c r="U261" i="19"/>
  <c r="T261" i="19"/>
  <c r="S261" i="19"/>
  <c r="R261" i="19"/>
  <c r="Q261" i="19"/>
  <c r="P261" i="19"/>
  <c r="O261" i="19"/>
  <c r="N261" i="19"/>
  <c r="M261" i="19"/>
  <c r="L261" i="19"/>
  <c r="K261" i="19"/>
  <c r="J261" i="19"/>
  <c r="I261" i="19"/>
  <c r="H261" i="19"/>
  <c r="G261" i="19"/>
  <c r="F261" i="19"/>
  <c r="AE260" i="19"/>
  <c r="AC260" i="19"/>
  <c r="AB260" i="19"/>
  <c r="AA260" i="19"/>
  <c r="Z260" i="19"/>
  <c r="Y260" i="19"/>
  <c r="X260" i="19"/>
  <c r="W260" i="19"/>
  <c r="V260" i="19"/>
  <c r="U260" i="19"/>
  <c r="T260" i="19"/>
  <c r="S260" i="19"/>
  <c r="R260" i="19"/>
  <c r="Q260" i="19"/>
  <c r="P260" i="19"/>
  <c r="O260" i="19"/>
  <c r="N260" i="19"/>
  <c r="M260" i="19"/>
  <c r="L260" i="19"/>
  <c r="K260" i="19"/>
  <c r="J260" i="19"/>
  <c r="I260" i="19"/>
  <c r="H260" i="19"/>
  <c r="G260" i="19"/>
  <c r="F260" i="19"/>
  <c r="AE259" i="19"/>
  <c r="AC259" i="19"/>
  <c r="AB259" i="19"/>
  <c r="AA259" i="19"/>
  <c r="Z259" i="19"/>
  <c r="Y259" i="19"/>
  <c r="X259" i="19"/>
  <c r="W259" i="19"/>
  <c r="V259" i="19"/>
  <c r="U259" i="19"/>
  <c r="T259" i="19"/>
  <c r="S259" i="19"/>
  <c r="R259" i="19"/>
  <c r="Q259" i="19"/>
  <c r="P259" i="19"/>
  <c r="O259" i="19"/>
  <c r="N259" i="19"/>
  <c r="M259" i="19"/>
  <c r="L259" i="19"/>
  <c r="K259" i="19"/>
  <c r="J259" i="19"/>
  <c r="I259" i="19"/>
  <c r="H259" i="19"/>
  <c r="G259" i="19"/>
  <c r="F259" i="19"/>
  <c r="AE258" i="19"/>
  <c r="AC258" i="19"/>
  <c r="AB258" i="19"/>
  <c r="AA258" i="19"/>
  <c r="Z258" i="19"/>
  <c r="Y258" i="19"/>
  <c r="X258" i="19"/>
  <c r="W258" i="19"/>
  <c r="V258" i="19"/>
  <c r="U258" i="19"/>
  <c r="T258" i="19"/>
  <c r="S258" i="19"/>
  <c r="R258" i="19"/>
  <c r="Q258" i="19"/>
  <c r="P258" i="19"/>
  <c r="O258" i="19"/>
  <c r="N258" i="19"/>
  <c r="M258" i="19"/>
  <c r="L258" i="19"/>
  <c r="K258" i="19"/>
  <c r="J258" i="19"/>
  <c r="I258" i="19"/>
  <c r="H258" i="19"/>
  <c r="G258" i="19"/>
  <c r="F258" i="19"/>
  <c r="AE257" i="19"/>
  <c r="AC257" i="19"/>
  <c r="AB257" i="19"/>
  <c r="AA257" i="19"/>
  <c r="Z257" i="19"/>
  <c r="Y257" i="19"/>
  <c r="X257" i="19"/>
  <c r="W257" i="19"/>
  <c r="V257" i="19"/>
  <c r="U257" i="19"/>
  <c r="T257" i="19"/>
  <c r="S257" i="19"/>
  <c r="R257" i="19"/>
  <c r="Q257" i="19"/>
  <c r="P257" i="19"/>
  <c r="O257" i="19"/>
  <c r="N257" i="19"/>
  <c r="M257" i="19"/>
  <c r="L257" i="19"/>
  <c r="K257" i="19"/>
  <c r="J257" i="19"/>
  <c r="I257" i="19"/>
  <c r="H257" i="19"/>
  <c r="G257" i="19"/>
  <c r="F257" i="19"/>
  <c r="AE256" i="19"/>
  <c r="AC256" i="19"/>
  <c r="AB256" i="19"/>
  <c r="AA256" i="19"/>
  <c r="Z256" i="19"/>
  <c r="Y256" i="19"/>
  <c r="X256" i="19"/>
  <c r="W256" i="19"/>
  <c r="V256" i="19"/>
  <c r="U256" i="19"/>
  <c r="T256" i="19"/>
  <c r="S256" i="19"/>
  <c r="R256" i="19"/>
  <c r="Q256" i="19"/>
  <c r="P256" i="19"/>
  <c r="O256" i="19"/>
  <c r="N256" i="19"/>
  <c r="M256" i="19"/>
  <c r="L256" i="19"/>
  <c r="K256" i="19"/>
  <c r="J256" i="19"/>
  <c r="I256" i="19"/>
  <c r="H256" i="19"/>
  <c r="G256" i="19"/>
  <c r="F256" i="19"/>
  <c r="AE255" i="19"/>
  <c r="AC255" i="19"/>
  <c r="AB255" i="19"/>
  <c r="AA255" i="19"/>
  <c r="Z255" i="19"/>
  <c r="Y255" i="19"/>
  <c r="X255" i="19"/>
  <c r="W255" i="19"/>
  <c r="V255" i="19"/>
  <c r="U255" i="19"/>
  <c r="T255" i="19"/>
  <c r="S255" i="19"/>
  <c r="R255" i="19"/>
  <c r="Q255" i="19"/>
  <c r="P255" i="19"/>
  <c r="O255" i="19"/>
  <c r="N255" i="19"/>
  <c r="M255" i="19"/>
  <c r="L255" i="19"/>
  <c r="K255" i="19"/>
  <c r="J255" i="19"/>
  <c r="I255" i="19"/>
  <c r="H255" i="19"/>
  <c r="G255" i="19"/>
  <c r="F255" i="19"/>
  <c r="AE254" i="19"/>
  <c r="AC254" i="19"/>
  <c r="AB254" i="19"/>
  <c r="AA254" i="19"/>
  <c r="Z254" i="19"/>
  <c r="Y254" i="19"/>
  <c r="X254" i="19"/>
  <c r="W254" i="19"/>
  <c r="V254" i="19"/>
  <c r="U254" i="19"/>
  <c r="T254" i="19"/>
  <c r="S254" i="19"/>
  <c r="R254" i="19"/>
  <c r="Q254" i="19"/>
  <c r="P254" i="19"/>
  <c r="O254" i="19"/>
  <c r="N254" i="19"/>
  <c r="M254" i="19"/>
  <c r="L254" i="19"/>
  <c r="K254" i="19"/>
  <c r="J254" i="19"/>
  <c r="I254" i="19"/>
  <c r="H254" i="19"/>
  <c r="G254" i="19"/>
  <c r="F254" i="19"/>
  <c r="AE253" i="19"/>
  <c r="AC253" i="19"/>
  <c r="AB253" i="19"/>
  <c r="AA253" i="19"/>
  <c r="Z253" i="19"/>
  <c r="Y253" i="19"/>
  <c r="X253" i="19"/>
  <c r="W253" i="19"/>
  <c r="V253" i="19"/>
  <c r="U253" i="19"/>
  <c r="T253" i="19"/>
  <c r="S253" i="19"/>
  <c r="R253" i="19"/>
  <c r="Q253" i="19"/>
  <c r="P253" i="19"/>
  <c r="O253" i="19"/>
  <c r="N253" i="19"/>
  <c r="M253" i="19"/>
  <c r="L253" i="19"/>
  <c r="K253" i="19"/>
  <c r="J253" i="19"/>
  <c r="I253" i="19"/>
  <c r="H253" i="19"/>
  <c r="G253" i="19"/>
  <c r="F253" i="19"/>
  <c r="AE252" i="19"/>
  <c r="AC252" i="19"/>
  <c r="AB252" i="19"/>
  <c r="AA252" i="19"/>
  <c r="Z252" i="19"/>
  <c r="Y252" i="19"/>
  <c r="X252" i="19"/>
  <c r="W252" i="19"/>
  <c r="V252" i="19"/>
  <c r="U252" i="19"/>
  <c r="T252" i="19"/>
  <c r="S252" i="19"/>
  <c r="R252" i="19"/>
  <c r="Q252" i="19"/>
  <c r="P252" i="19"/>
  <c r="O252" i="19"/>
  <c r="N252" i="19"/>
  <c r="M252" i="19"/>
  <c r="L252" i="19"/>
  <c r="K252" i="19"/>
  <c r="J252" i="19"/>
  <c r="I252" i="19"/>
  <c r="H252" i="19"/>
  <c r="G252" i="19"/>
  <c r="F252" i="19"/>
  <c r="AE251" i="19"/>
  <c r="AC251" i="19"/>
  <c r="AB251" i="19"/>
  <c r="AA251" i="19"/>
  <c r="Z251" i="19"/>
  <c r="Y251" i="19"/>
  <c r="X251" i="19"/>
  <c r="W251" i="19"/>
  <c r="V251" i="19"/>
  <c r="U251" i="19"/>
  <c r="T251" i="19"/>
  <c r="S251" i="19"/>
  <c r="R251" i="19"/>
  <c r="Q251" i="19"/>
  <c r="P251" i="19"/>
  <c r="O251" i="19"/>
  <c r="N251" i="19"/>
  <c r="M251" i="19"/>
  <c r="L251" i="19"/>
  <c r="K251" i="19"/>
  <c r="J251" i="19"/>
  <c r="I251" i="19"/>
  <c r="H251" i="19"/>
  <c r="G251" i="19"/>
  <c r="F251" i="19"/>
  <c r="AE250" i="19"/>
  <c r="AC250" i="19"/>
  <c r="AB250" i="19"/>
  <c r="AA250" i="19"/>
  <c r="Z250" i="19"/>
  <c r="Y250" i="19"/>
  <c r="X250" i="19"/>
  <c r="W250" i="19"/>
  <c r="V250" i="19"/>
  <c r="U250" i="19"/>
  <c r="T250" i="19"/>
  <c r="S250" i="19"/>
  <c r="R250" i="19"/>
  <c r="Q250" i="19"/>
  <c r="P250" i="19"/>
  <c r="O250" i="19"/>
  <c r="N250" i="19"/>
  <c r="M250" i="19"/>
  <c r="L250" i="19"/>
  <c r="K250" i="19"/>
  <c r="J250" i="19"/>
  <c r="I250" i="19"/>
  <c r="H250" i="19"/>
  <c r="G250" i="19"/>
  <c r="F250" i="19"/>
  <c r="AE249" i="19"/>
  <c r="AC249" i="19"/>
  <c r="AB249" i="19"/>
  <c r="AA249" i="19"/>
  <c r="Z249" i="19"/>
  <c r="Y249" i="19"/>
  <c r="X249" i="19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AE248" i="19"/>
  <c r="AC248" i="19"/>
  <c r="AB248" i="19"/>
  <c r="AA248" i="19"/>
  <c r="Z248" i="19"/>
  <c r="Y248" i="19"/>
  <c r="X248" i="19"/>
  <c r="W248" i="19"/>
  <c r="V248" i="19"/>
  <c r="U248" i="19"/>
  <c r="T248" i="19"/>
  <c r="S248" i="19"/>
  <c r="R248" i="19"/>
  <c r="Q248" i="19"/>
  <c r="P248" i="19"/>
  <c r="O248" i="19"/>
  <c r="N248" i="19"/>
  <c r="M248" i="19"/>
  <c r="L248" i="19"/>
  <c r="K248" i="19"/>
  <c r="J248" i="19"/>
  <c r="I248" i="19"/>
  <c r="H248" i="19"/>
  <c r="G248" i="19"/>
  <c r="F248" i="19"/>
  <c r="AE247" i="19"/>
  <c r="AC247" i="19"/>
  <c r="AB247" i="19"/>
  <c r="AA247" i="19"/>
  <c r="Z247" i="19"/>
  <c r="Y247" i="19"/>
  <c r="X247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AE246" i="19"/>
  <c r="AC246" i="19"/>
  <c r="AB246" i="19"/>
  <c r="AA246" i="19"/>
  <c r="Z246" i="19"/>
  <c r="Y246" i="19"/>
  <c r="X246" i="19"/>
  <c r="W246" i="19"/>
  <c r="V246" i="19"/>
  <c r="U246" i="19"/>
  <c r="T246" i="19"/>
  <c r="S246" i="19"/>
  <c r="R246" i="19"/>
  <c r="Q246" i="19"/>
  <c r="P246" i="19"/>
  <c r="O246" i="19"/>
  <c r="N246" i="19"/>
  <c r="M246" i="19"/>
  <c r="L246" i="19"/>
  <c r="K246" i="19"/>
  <c r="J246" i="19"/>
  <c r="I246" i="19"/>
  <c r="H246" i="19"/>
  <c r="G246" i="19"/>
  <c r="F246" i="19"/>
  <c r="AE245" i="19"/>
  <c r="AC245" i="19"/>
  <c r="AB245" i="19"/>
  <c r="AA245" i="19"/>
  <c r="Z245" i="19"/>
  <c r="Y245" i="19"/>
  <c r="X245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AE244" i="19"/>
  <c r="AC244" i="19"/>
  <c r="AB244" i="19"/>
  <c r="AA244" i="19"/>
  <c r="Z244" i="19"/>
  <c r="Y244" i="19"/>
  <c r="X244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AE243" i="19"/>
  <c r="AC243" i="19"/>
  <c r="AB243" i="19"/>
  <c r="AA243" i="19"/>
  <c r="Z243" i="19"/>
  <c r="Y243" i="19"/>
  <c r="X243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AE242" i="19"/>
  <c r="AC242" i="19"/>
  <c r="AB242" i="19"/>
  <c r="AA242" i="19"/>
  <c r="Z242" i="19"/>
  <c r="Y242" i="19"/>
  <c r="X242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AE241" i="19"/>
  <c r="AC241" i="19"/>
  <c r="AB241" i="19"/>
  <c r="AA241" i="19"/>
  <c r="Z241" i="19"/>
  <c r="Y241" i="19"/>
  <c r="X241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AE240" i="19"/>
  <c r="AC240" i="19"/>
  <c r="AB240" i="19"/>
  <c r="AA240" i="19"/>
  <c r="Z240" i="19"/>
  <c r="Y240" i="19"/>
  <c r="X240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AE239" i="19"/>
  <c r="AC239" i="19"/>
  <c r="AB239" i="19"/>
  <c r="AA239" i="19"/>
  <c r="Z239" i="19"/>
  <c r="Y239" i="19"/>
  <c r="X239" i="19"/>
  <c r="W239" i="19"/>
  <c r="V239" i="19"/>
  <c r="U239" i="19"/>
  <c r="T239" i="19"/>
  <c r="S239" i="19"/>
  <c r="R239" i="19"/>
  <c r="Q239" i="19"/>
  <c r="P239" i="19"/>
  <c r="O239" i="19"/>
  <c r="N239" i="19"/>
  <c r="M239" i="19"/>
  <c r="L239" i="19"/>
  <c r="K239" i="19"/>
  <c r="J239" i="19"/>
  <c r="I239" i="19"/>
  <c r="H239" i="19"/>
  <c r="G239" i="19"/>
  <c r="F239" i="19"/>
  <c r="AE238" i="19"/>
  <c r="AC238" i="19"/>
  <c r="AB238" i="19"/>
  <c r="AA238" i="19"/>
  <c r="Z238" i="19"/>
  <c r="Y238" i="19"/>
  <c r="X238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AE237" i="19"/>
  <c r="AC237" i="19"/>
  <c r="AB237" i="19"/>
  <c r="AA237" i="19"/>
  <c r="Z237" i="19"/>
  <c r="Y237" i="19"/>
  <c r="X237" i="19"/>
  <c r="W237" i="19"/>
  <c r="V237" i="19"/>
  <c r="U237" i="19"/>
  <c r="T237" i="19"/>
  <c r="S237" i="19"/>
  <c r="R237" i="19"/>
  <c r="Q237" i="19"/>
  <c r="P237" i="19"/>
  <c r="O237" i="19"/>
  <c r="N237" i="19"/>
  <c r="M237" i="19"/>
  <c r="L237" i="19"/>
  <c r="K237" i="19"/>
  <c r="J237" i="19"/>
  <c r="I237" i="19"/>
  <c r="H237" i="19"/>
  <c r="G237" i="19"/>
  <c r="F237" i="19"/>
  <c r="AE236" i="19"/>
  <c r="AC236" i="19"/>
  <c r="AB236" i="19"/>
  <c r="AA236" i="19"/>
  <c r="Z236" i="19"/>
  <c r="Y236" i="19"/>
  <c r="X236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AE235" i="19"/>
  <c r="AC235" i="19"/>
  <c r="AB235" i="19"/>
  <c r="AA235" i="19"/>
  <c r="Z235" i="19"/>
  <c r="Y235" i="19"/>
  <c r="X235" i="19"/>
  <c r="W235" i="19"/>
  <c r="V235" i="19"/>
  <c r="U235" i="19"/>
  <c r="T235" i="19"/>
  <c r="S235" i="19"/>
  <c r="R235" i="19"/>
  <c r="Q235" i="19"/>
  <c r="P235" i="19"/>
  <c r="O235" i="19"/>
  <c r="N235" i="19"/>
  <c r="M235" i="19"/>
  <c r="L235" i="19"/>
  <c r="K235" i="19"/>
  <c r="J235" i="19"/>
  <c r="I235" i="19"/>
  <c r="H235" i="19"/>
  <c r="G235" i="19"/>
  <c r="F235" i="19"/>
  <c r="AE234" i="19"/>
  <c r="AC234" i="19"/>
  <c r="AB234" i="19"/>
  <c r="AA234" i="19"/>
  <c r="Z234" i="19"/>
  <c r="Y234" i="19"/>
  <c r="X234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AE233" i="19"/>
  <c r="AC233" i="19"/>
  <c r="AB233" i="19"/>
  <c r="AA233" i="19"/>
  <c r="Z233" i="19"/>
  <c r="Y233" i="19"/>
  <c r="X233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AE232" i="19"/>
  <c r="AC232" i="19"/>
  <c r="AB232" i="19"/>
  <c r="AA232" i="19"/>
  <c r="Z232" i="19"/>
  <c r="Y232" i="19"/>
  <c r="X232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AE231" i="19"/>
  <c r="AC231" i="19"/>
  <c r="AB231" i="19"/>
  <c r="AA231" i="19"/>
  <c r="Z231" i="19"/>
  <c r="Y231" i="19"/>
  <c r="X231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AE230" i="19"/>
  <c r="AC230" i="19"/>
  <c r="AB230" i="19"/>
  <c r="AA230" i="19"/>
  <c r="Z230" i="19"/>
  <c r="Y230" i="19"/>
  <c r="X230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AE229" i="19"/>
  <c r="AC229" i="19"/>
  <c r="AB229" i="19"/>
  <c r="AA229" i="19"/>
  <c r="Z229" i="19"/>
  <c r="Y229" i="19"/>
  <c r="X229" i="19"/>
  <c r="W229" i="19"/>
  <c r="V229" i="19"/>
  <c r="U229" i="19"/>
  <c r="T229" i="19"/>
  <c r="S229" i="19"/>
  <c r="R229" i="19"/>
  <c r="Q229" i="19"/>
  <c r="P229" i="19"/>
  <c r="O229" i="19"/>
  <c r="N229" i="19"/>
  <c r="M229" i="19"/>
  <c r="L229" i="19"/>
  <c r="K229" i="19"/>
  <c r="J229" i="19"/>
  <c r="I229" i="19"/>
  <c r="H229" i="19"/>
  <c r="G229" i="19"/>
  <c r="F229" i="19"/>
  <c r="AE228" i="19"/>
  <c r="AC228" i="19"/>
  <c r="AB228" i="19"/>
  <c r="AA228" i="19"/>
  <c r="Z228" i="19"/>
  <c r="Y228" i="19"/>
  <c r="X228" i="19"/>
  <c r="W228" i="19"/>
  <c r="V228" i="19"/>
  <c r="U228" i="19"/>
  <c r="T228" i="19"/>
  <c r="S228" i="19"/>
  <c r="R228" i="19"/>
  <c r="Q228" i="19"/>
  <c r="P228" i="19"/>
  <c r="O228" i="19"/>
  <c r="N228" i="19"/>
  <c r="M228" i="19"/>
  <c r="L228" i="19"/>
  <c r="K228" i="19"/>
  <c r="J228" i="19"/>
  <c r="I228" i="19"/>
  <c r="H228" i="19"/>
  <c r="G228" i="19"/>
  <c r="F228" i="19"/>
  <c r="AE227" i="19"/>
  <c r="AC227" i="19"/>
  <c r="AB227" i="19"/>
  <c r="AA227" i="19"/>
  <c r="Z227" i="19"/>
  <c r="Y227" i="19"/>
  <c r="X227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AE226" i="19"/>
  <c r="AC226" i="19"/>
  <c r="AB226" i="19"/>
  <c r="AA226" i="19"/>
  <c r="Z226" i="19"/>
  <c r="Y226" i="19"/>
  <c r="X226" i="19"/>
  <c r="W226" i="19"/>
  <c r="V226" i="19"/>
  <c r="U226" i="19"/>
  <c r="T226" i="19"/>
  <c r="S226" i="19"/>
  <c r="R226" i="19"/>
  <c r="Q226" i="19"/>
  <c r="P226" i="19"/>
  <c r="O226" i="19"/>
  <c r="N226" i="19"/>
  <c r="M226" i="19"/>
  <c r="L226" i="19"/>
  <c r="K226" i="19"/>
  <c r="J226" i="19"/>
  <c r="I226" i="19"/>
  <c r="H226" i="19"/>
  <c r="G226" i="19"/>
  <c r="F226" i="19"/>
  <c r="AE225" i="19"/>
  <c r="AC225" i="19"/>
  <c r="AB225" i="19"/>
  <c r="AA225" i="19"/>
  <c r="Z225" i="19"/>
  <c r="Y225" i="19"/>
  <c r="X225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AE224" i="19"/>
  <c r="AC224" i="19"/>
  <c r="AB224" i="19"/>
  <c r="AA224" i="19"/>
  <c r="Z224" i="19"/>
  <c r="Y224" i="19"/>
  <c r="X224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AE223" i="19"/>
  <c r="AC223" i="19"/>
  <c r="AB223" i="19"/>
  <c r="AA223" i="19"/>
  <c r="Z223" i="19"/>
  <c r="Y223" i="19"/>
  <c r="X223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AE222" i="19"/>
  <c r="AC222" i="19"/>
  <c r="AB222" i="19"/>
  <c r="AA222" i="19"/>
  <c r="Z222" i="19"/>
  <c r="Y222" i="19"/>
  <c r="X222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AE221" i="19"/>
  <c r="AC221" i="19"/>
  <c r="AB221" i="19"/>
  <c r="AA221" i="19"/>
  <c r="Z221" i="19"/>
  <c r="Y221" i="19"/>
  <c r="X221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AE220" i="19"/>
  <c r="AC220" i="19"/>
  <c r="AB220" i="19"/>
  <c r="AA220" i="19"/>
  <c r="Z220" i="19"/>
  <c r="Y220" i="19"/>
  <c r="X220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AE219" i="19"/>
  <c r="AC219" i="19"/>
  <c r="AB219" i="19"/>
  <c r="AA219" i="19"/>
  <c r="Z219" i="19"/>
  <c r="Y219" i="19"/>
  <c r="X219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AE218" i="19"/>
  <c r="AC218" i="19"/>
  <c r="AB218" i="19"/>
  <c r="AA218" i="19"/>
  <c r="Z218" i="19"/>
  <c r="Y218" i="19"/>
  <c r="X218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AE217" i="19"/>
  <c r="AC217" i="19"/>
  <c r="AB217" i="19"/>
  <c r="AA217" i="19"/>
  <c r="Z217" i="19"/>
  <c r="Y217" i="19"/>
  <c r="X217" i="19"/>
  <c r="W217" i="19"/>
  <c r="V217" i="19"/>
  <c r="U217" i="19"/>
  <c r="T217" i="19"/>
  <c r="S217" i="19"/>
  <c r="R217" i="19"/>
  <c r="Q217" i="19"/>
  <c r="P217" i="19"/>
  <c r="O217" i="19"/>
  <c r="N217" i="19"/>
  <c r="M217" i="19"/>
  <c r="L217" i="19"/>
  <c r="K217" i="19"/>
  <c r="J217" i="19"/>
  <c r="I217" i="19"/>
  <c r="H217" i="19"/>
  <c r="G217" i="19"/>
  <c r="F217" i="19"/>
  <c r="AE216" i="19"/>
  <c r="AC216" i="19"/>
  <c r="AB216" i="19"/>
  <c r="AA216" i="19"/>
  <c r="Z216" i="19"/>
  <c r="Y216" i="19"/>
  <c r="X216" i="19"/>
  <c r="W216" i="19"/>
  <c r="V216" i="19"/>
  <c r="U216" i="19"/>
  <c r="T216" i="19"/>
  <c r="S216" i="19"/>
  <c r="R216" i="19"/>
  <c r="Q216" i="19"/>
  <c r="P216" i="19"/>
  <c r="O216" i="19"/>
  <c r="N216" i="19"/>
  <c r="M216" i="19"/>
  <c r="L216" i="19"/>
  <c r="K216" i="19"/>
  <c r="J216" i="19"/>
  <c r="I216" i="19"/>
  <c r="H216" i="19"/>
  <c r="G216" i="19"/>
  <c r="F216" i="19"/>
  <c r="AE215" i="19"/>
  <c r="AC215" i="19"/>
  <c r="AB215" i="19"/>
  <c r="AA215" i="19"/>
  <c r="Z215" i="19"/>
  <c r="Y215" i="19"/>
  <c r="X215" i="19"/>
  <c r="W215" i="19"/>
  <c r="V215" i="19"/>
  <c r="U215" i="19"/>
  <c r="T215" i="19"/>
  <c r="S215" i="19"/>
  <c r="R215" i="19"/>
  <c r="Q215" i="19"/>
  <c r="P215" i="19"/>
  <c r="O215" i="19"/>
  <c r="N215" i="19"/>
  <c r="M215" i="19"/>
  <c r="L215" i="19"/>
  <c r="K215" i="19"/>
  <c r="J215" i="19"/>
  <c r="I215" i="19"/>
  <c r="H215" i="19"/>
  <c r="G215" i="19"/>
  <c r="F215" i="19"/>
  <c r="AE214" i="19"/>
  <c r="AC214" i="19"/>
  <c r="AB214" i="19"/>
  <c r="AA214" i="19"/>
  <c r="Z214" i="19"/>
  <c r="Y214" i="19"/>
  <c r="X214" i="19"/>
  <c r="W214" i="19"/>
  <c r="V214" i="19"/>
  <c r="U214" i="19"/>
  <c r="T214" i="19"/>
  <c r="S214" i="19"/>
  <c r="R214" i="19"/>
  <c r="Q214" i="19"/>
  <c r="P214" i="19"/>
  <c r="O214" i="19"/>
  <c r="N214" i="19"/>
  <c r="M214" i="19"/>
  <c r="L214" i="19"/>
  <c r="K214" i="19"/>
  <c r="J214" i="19"/>
  <c r="I214" i="19"/>
  <c r="H214" i="19"/>
  <c r="G214" i="19"/>
  <c r="F214" i="19"/>
  <c r="AE213" i="19"/>
  <c r="AC213" i="19"/>
  <c r="AB213" i="19"/>
  <c r="AA213" i="19"/>
  <c r="Z213" i="19"/>
  <c r="Y213" i="19"/>
  <c r="X213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AE212" i="19"/>
  <c r="AC212" i="19"/>
  <c r="AB212" i="19"/>
  <c r="AA212" i="19"/>
  <c r="Z212" i="19"/>
  <c r="Y212" i="19"/>
  <c r="X212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AE211" i="19"/>
  <c r="AC211" i="19"/>
  <c r="AB211" i="19"/>
  <c r="AA211" i="19"/>
  <c r="Z211" i="19"/>
  <c r="Y211" i="19"/>
  <c r="X211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AE210" i="19"/>
  <c r="AC210" i="19"/>
  <c r="AB210" i="19"/>
  <c r="AA210" i="19"/>
  <c r="Z210" i="19"/>
  <c r="Y210" i="19"/>
  <c r="X210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AE209" i="19"/>
  <c r="AC209" i="19"/>
  <c r="AB209" i="19"/>
  <c r="AA209" i="19"/>
  <c r="Z209" i="19"/>
  <c r="Y209" i="19"/>
  <c r="X209" i="19"/>
  <c r="W209" i="19"/>
  <c r="V209" i="19"/>
  <c r="U209" i="19"/>
  <c r="T209" i="19"/>
  <c r="S209" i="19"/>
  <c r="R209" i="19"/>
  <c r="Q209" i="19"/>
  <c r="P209" i="19"/>
  <c r="O209" i="19"/>
  <c r="N209" i="19"/>
  <c r="M209" i="19"/>
  <c r="L209" i="19"/>
  <c r="K209" i="19"/>
  <c r="J209" i="19"/>
  <c r="I209" i="19"/>
  <c r="H209" i="19"/>
  <c r="G209" i="19"/>
  <c r="F209" i="19"/>
  <c r="AE208" i="19"/>
  <c r="AC208" i="19"/>
  <c r="AB208" i="19"/>
  <c r="AA208" i="19"/>
  <c r="Z208" i="19"/>
  <c r="Y208" i="19"/>
  <c r="X208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AE207" i="19"/>
  <c r="AC207" i="19"/>
  <c r="AB207" i="19"/>
  <c r="AA207" i="19"/>
  <c r="Z207" i="19"/>
  <c r="Y207" i="19"/>
  <c r="X207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AE206" i="19"/>
  <c r="AC206" i="19"/>
  <c r="AB206" i="19"/>
  <c r="AA206" i="19"/>
  <c r="Z206" i="19"/>
  <c r="Y206" i="19"/>
  <c r="X206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AE205" i="19"/>
  <c r="AC205" i="19"/>
  <c r="AB205" i="19"/>
  <c r="AA205" i="19"/>
  <c r="Z205" i="19"/>
  <c r="Y205" i="19"/>
  <c r="X205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AE204" i="19"/>
  <c r="AC204" i="19"/>
  <c r="AB204" i="19"/>
  <c r="AA204" i="19"/>
  <c r="Z204" i="19"/>
  <c r="Y204" i="19"/>
  <c r="X204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AE203" i="19"/>
  <c r="AC203" i="19"/>
  <c r="AB203" i="19"/>
  <c r="AA203" i="19"/>
  <c r="Z203" i="19"/>
  <c r="Y203" i="19"/>
  <c r="X203" i="19"/>
  <c r="W203" i="19"/>
  <c r="V203" i="19"/>
  <c r="U203" i="19"/>
  <c r="T203" i="19"/>
  <c r="S203" i="19"/>
  <c r="R203" i="19"/>
  <c r="Q203" i="19"/>
  <c r="P203" i="19"/>
  <c r="O203" i="19"/>
  <c r="N203" i="19"/>
  <c r="M203" i="19"/>
  <c r="L203" i="19"/>
  <c r="K203" i="19"/>
  <c r="J203" i="19"/>
  <c r="I203" i="19"/>
  <c r="H203" i="19"/>
  <c r="G203" i="19"/>
  <c r="F203" i="19"/>
  <c r="AE202" i="19"/>
  <c r="AC202" i="19"/>
  <c r="AB202" i="19"/>
  <c r="AA202" i="19"/>
  <c r="Z202" i="19"/>
  <c r="Y202" i="19"/>
  <c r="X202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AE201" i="19"/>
  <c r="AC201" i="19"/>
  <c r="AB201" i="19"/>
  <c r="AA201" i="19"/>
  <c r="Z201" i="19"/>
  <c r="Y201" i="19"/>
  <c r="X201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AE200" i="19"/>
  <c r="AC200" i="19"/>
  <c r="AB200" i="19"/>
  <c r="AA200" i="19"/>
  <c r="Z200" i="19"/>
  <c r="Y200" i="19"/>
  <c r="X200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AE199" i="19"/>
  <c r="AC199" i="19"/>
  <c r="AB199" i="19"/>
  <c r="AA199" i="19"/>
  <c r="Z199" i="19"/>
  <c r="Y199" i="19"/>
  <c r="X199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AE198" i="19"/>
  <c r="AC198" i="19"/>
  <c r="AB198" i="19"/>
  <c r="AA198" i="19"/>
  <c r="Z198" i="19"/>
  <c r="Y198" i="19"/>
  <c r="X198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AE197" i="19"/>
  <c r="AC197" i="19"/>
  <c r="AB197" i="19"/>
  <c r="AA197" i="19"/>
  <c r="Z197" i="19"/>
  <c r="Y197" i="19"/>
  <c r="X197" i="19"/>
  <c r="W197" i="19"/>
  <c r="V197" i="19"/>
  <c r="U197" i="19"/>
  <c r="T197" i="19"/>
  <c r="S197" i="19"/>
  <c r="R197" i="19"/>
  <c r="Q197" i="19"/>
  <c r="P197" i="19"/>
  <c r="O197" i="19"/>
  <c r="N197" i="19"/>
  <c r="M197" i="19"/>
  <c r="L197" i="19"/>
  <c r="K197" i="19"/>
  <c r="J197" i="19"/>
  <c r="I197" i="19"/>
  <c r="H197" i="19"/>
  <c r="G197" i="19"/>
  <c r="F197" i="19"/>
  <c r="AE196" i="19"/>
  <c r="AC196" i="19"/>
  <c r="AB196" i="19"/>
  <c r="AA196" i="19"/>
  <c r="Z196" i="19"/>
  <c r="Y196" i="19"/>
  <c r="X196" i="19"/>
  <c r="W196" i="19"/>
  <c r="V196" i="19"/>
  <c r="U196" i="19"/>
  <c r="T196" i="19"/>
  <c r="S196" i="19"/>
  <c r="R196" i="19"/>
  <c r="Q196" i="19"/>
  <c r="P196" i="19"/>
  <c r="O196" i="19"/>
  <c r="N196" i="19"/>
  <c r="M196" i="19"/>
  <c r="L196" i="19"/>
  <c r="K196" i="19"/>
  <c r="J196" i="19"/>
  <c r="I196" i="19"/>
  <c r="H196" i="19"/>
  <c r="G196" i="19"/>
  <c r="F196" i="19"/>
  <c r="AE195" i="19"/>
  <c r="AC195" i="19"/>
  <c r="AB195" i="19"/>
  <c r="AA195" i="19"/>
  <c r="Z195" i="19"/>
  <c r="Y195" i="19"/>
  <c r="X195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AE194" i="19"/>
  <c r="AC194" i="19"/>
  <c r="AB194" i="19"/>
  <c r="AA194" i="19"/>
  <c r="Z194" i="19"/>
  <c r="Y194" i="19"/>
  <c r="X194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AE193" i="19"/>
  <c r="AC193" i="19"/>
  <c r="AB193" i="19"/>
  <c r="AA193" i="19"/>
  <c r="Z193" i="19"/>
  <c r="Y193" i="19"/>
  <c r="X193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AE192" i="19"/>
  <c r="AC192" i="19"/>
  <c r="AB192" i="19"/>
  <c r="AA192" i="19"/>
  <c r="Z192" i="19"/>
  <c r="Y192" i="19"/>
  <c r="X192" i="19"/>
  <c r="W192" i="19"/>
  <c r="V192" i="19"/>
  <c r="U192" i="19"/>
  <c r="T192" i="19"/>
  <c r="S192" i="19"/>
  <c r="R192" i="19"/>
  <c r="Q192" i="19"/>
  <c r="P192" i="19"/>
  <c r="O192" i="19"/>
  <c r="N192" i="19"/>
  <c r="M192" i="19"/>
  <c r="L192" i="19"/>
  <c r="K192" i="19"/>
  <c r="J192" i="19"/>
  <c r="I192" i="19"/>
  <c r="H192" i="19"/>
  <c r="G192" i="19"/>
  <c r="F192" i="19"/>
  <c r="AE191" i="19"/>
  <c r="AC191" i="19"/>
  <c r="AB191" i="19"/>
  <c r="AA191" i="19"/>
  <c r="Z191" i="19"/>
  <c r="Y191" i="19"/>
  <c r="X191" i="19"/>
  <c r="W191" i="19"/>
  <c r="V191" i="19"/>
  <c r="U191" i="19"/>
  <c r="T191" i="19"/>
  <c r="S191" i="19"/>
  <c r="R191" i="19"/>
  <c r="Q191" i="19"/>
  <c r="P191" i="19"/>
  <c r="O191" i="19"/>
  <c r="N191" i="19"/>
  <c r="M191" i="19"/>
  <c r="L191" i="19"/>
  <c r="K191" i="19"/>
  <c r="J191" i="19"/>
  <c r="I191" i="19"/>
  <c r="H191" i="19"/>
  <c r="G191" i="19"/>
  <c r="F191" i="19"/>
  <c r="AE190" i="19"/>
  <c r="AC190" i="19"/>
  <c r="AB190" i="19"/>
  <c r="AA190" i="19"/>
  <c r="Z190" i="19"/>
  <c r="Y190" i="19"/>
  <c r="X190" i="19"/>
  <c r="W190" i="19"/>
  <c r="V190" i="19"/>
  <c r="U190" i="19"/>
  <c r="T190" i="19"/>
  <c r="S190" i="19"/>
  <c r="R190" i="19"/>
  <c r="Q190" i="19"/>
  <c r="P190" i="19"/>
  <c r="O190" i="19"/>
  <c r="N190" i="19"/>
  <c r="M190" i="19"/>
  <c r="L190" i="19"/>
  <c r="K190" i="19"/>
  <c r="J190" i="19"/>
  <c r="I190" i="19"/>
  <c r="H190" i="19"/>
  <c r="G190" i="19"/>
  <c r="F190" i="19"/>
  <c r="AE189" i="19"/>
  <c r="AC189" i="19"/>
  <c r="AB189" i="19"/>
  <c r="AA189" i="19"/>
  <c r="Z189" i="19"/>
  <c r="Y189" i="19"/>
  <c r="X189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AE188" i="19"/>
  <c r="AC188" i="19"/>
  <c r="AB188" i="19"/>
  <c r="AA188" i="19"/>
  <c r="Z188" i="19"/>
  <c r="Y188" i="19"/>
  <c r="X188" i="19"/>
  <c r="W188" i="19"/>
  <c r="V188" i="19"/>
  <c r="U188" i="19"/>
  <c r="T188" i="19"/>
  <c r="S188" i="19"/>
  <c r="R188" i="19"/>
  <c r="Q188" i="19"/>
  <c r="P188" i="19"/>
  <c r="O188" i="19"/>
  <c r="N188" i="19"/>
  <c r="M188" i="19"/>
  <c r="L188" i="19"/>
  <c r="K188" i="19"/>
  <c r="J188" i="19"/>
  <c r="I188" i="19"/>
  <c r="H188" i="19"/>
  <c r="G188" i="19"/>
  <c r="F188" i="19"/>
  <c r="AE187" i="19"/>
  <c r="AC187" i="19"/>
  <c r="AB187" i="19"/>
  <c r="AA187" i="19"/>
  <c r="Z187" i="19"/>
  <c r="Y187" i="19"/>
  <c r="X187" i="19"/>
  <c r="W187" i="19"/>
  <c r="V187" i="19"/>
  <c r="U187" i="19"/>
  <c r="T187" i="19"/>
  <c r="S187" i="19"/>
  <c r="R187" i="19"/>
  <c r="Q187" i="19"/>
  <c r="P187" i="19"/>
  <c r="O187" i="19"/>
  <c r="N187" i="19"/>
  <c r="M187" i="19"/>
  <c r="L187" i="19"/>
  <c r="K187" i="19"/>
  <c r="J187" i="19"/>
  <c r="I187" i="19"/>
  <c r="H187" i="19"/>
  <c r="G187" i="19"/>
  <c r="F187" i="19"/>
  <c r="AE186" i="19"/>
  <c r="AC186" i="19"/>
  <c r="AB186" i="19"/>
  <c r="AA186" i="19"/>
  <c r="Z186" i="19"/>
  <c r="Y186" i="19"/>
  <c r="X186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AE185" i="19"/>
  <c r="AC185" i="19"/>
  <c r="AB185" i="19"/>
  <c r="AA185" i="19"/>
  <c r="Z185" i="19"/>
  <c r="Y185" i="19"/>
  <c r="X185" i="19"/>
  <c r="W185" i="19"/>
  <c r="V185" i="19"/>
  <c r="U185" i="19"/>
  <c r="T185" i="19"/>
  <c r="S185" i="19"/>
  <c r="R185" i="19"/>
  <c r="Q185" i="19"/>
  <c r="P185" i="19"/>
  <c r="O185" i="19"/>
  <c r="N185" i="19"/>
  <c r="M185" i="19"/>
  <c r="L185" i="19"/>
  <c r="K185" i="19"/>
  <c r="J185" i="19"/>
  <c r="I185" i="19"/>
  <c r="H185" i="19"/>
  <c r="G185" i="19"/>
  <c r="F185" i="19"/>
  <c r="AE184" i="19"/>
  <c r="AC184" i="19"/>
  <c r="AB184" i="19"/>
  <c r="AA184" i="19"/>
  <c r="Z184" i="19"/>
  <c r="Y184" i="19"/>
  <c r="X184" i="19"/>
  <c r="W184" i="19"/>
  <c r="V184" i="19"/>
  <c r="U184" i="19"/>
  <c r="T184" i="19"/>
  <c r="S184" i="19"/>
  <c r="R184" i="19"/>
  <c r="Q184" i="19"/>
  <c r="P184" i="19"/>
  <c r="O184" i="19"/>
  <c r="N184" i="19"/>
  <c r="M184" i="19"/>
  <c r="L184" i="19"/>
  <c r="K184" i="19"/>
  <c r="J184" i="19"/>
  <c r="I184" i="19"/>
  <c r="H184" i="19"/>
  <c r="G184" i="19"/>
  <c r="F184" i="19"/>
  <c r="AE183" i="19"/>
  <c r="AC183" i="19"/>
  <c r="AB183" i="19"/>
  <c r="AA183" i="19"/>
  <c r="Z183" i="19"/>
  <c r="Y183" i="19"/>
  <c r="X183" i="19"/>
  <c r="W183" i="19"/>
  <c r="V183" i="19"/>
  <c r="U183" i="19"/>
  <c r="T183" i="19"/>
  <c r="S183" i="19"/>
  <c r="R183" i="19"/>
  <c r="Q183" i="19"/>
  <c r="P183" i="19"/>
  <c r="O183" i="19"/>
  <c r="N183" i="19"/>
  <c r="M183" i="19"/>
  <c r="L183" i="19"/>
  <c r="K183" i="19"/>
  <c r="J183" i="19"/>
  <c r="I183" i="19"/>
  <c r="H183" i="19"/>
  <c r="G183" i="19"/>
  <c r="F183" i="19"/>
  <c r="AE182" i="19"/>
  <c r="AC182" i="19"/>
  <c r="AB182" i="19"/>
  <c r="AA182" i="19"/>
  <c r="Z182" i="19"/>
  <c r="Y182" i="19"/>
  <c r="X182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AE181" i="19"/>
  <c r="AC181" i="19"/>
  <c r="AB181" i="19"/>
  <c r="AA181" i="19"/>
  <c r="Z181" i="19"/>
  <c r="Y181" i="19"/>
  <c r="X181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AE180" i="19"/>
  <c r="AC180" i="19"/>
  <c r="AB180" i="19"/>
  <c r="AA180" i="19"/>
  <c r="Z180" i="19"/>
  <c r="Y180" i="19"/>
  <c r="X180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AE179" i="19"/>
  <c r="AC179" i="19"/>
  <c r="AB179" i="19"/>
  <c r="AA179" i="19"/>
  <c r="Z179" i="19"/>
  <c r="Y179" i="19"/>
  <c r="X179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AE178" i="19"/>
  <c r="AC178" i="19"/>
  <c r="AB178" i="19"/>
  <c r="AA178" i="19"/>
  <c r="Z178" i="19"/>
  <c r="Y178" i="19"/>
  <c r="X178" i="19"/>
  <c r="W178" i="19"/>
  <c r="V178" i="19"/>
  <c r="U178" i="19"/>
  <c r="T178" i="19"/>
  <c r="S178" i="19"/>
  <c r="R178" i="19"/>
  <c r="Q178" i="19"/>
  <c r="P178" i="19"/>
  <c r="O178" i="19"/>
  <c r="N178" i="19"/>
  <c r="M178" i="19"/>
  <c r="L178" i="19"/>
  <c r="K178" i="19"/>
  <c r="J178" i="19"/>
  <c r="I178" i="19"/>
  <c r="H178" i="19"/>
  <c r="G178" i="19"/>
  <c r="F178" i="19"/>
  <c r="AE177" i="19"/>
  <c r="AC177" i="19"/>
  <c r="AB177" i="19"/>
  <c r="AA177" i="19"/>
  <c r="Z177" i="19"/>
  <c r="Y177" i="19"/>
  <c r="X177" i="19"/>
  <c r="W177" i="19"/>
  <c r="V177" i="19"/>
  <c r="U177" i="19"/>
  <c r="T177" i="19"/>
  <c r="S177" i="19"/>
  <c r="R177" i="19"/>
  <c r="Q177" i="19"/>
  <c r="P177" i="19"/>
  <c r="O177" i="19"/>
  <c r="N177" i="19"/>
  <c r="M177" i="19"/>
  <c r="L177" i="19"/>
  <c r="K177" i="19"/>
  <c r="J177" i="19"/>
  <c r="I177" i="19"/>
  <c r="H177" i="19"/>
  <c r="G177" i="19"/>
  <c r="F177" i="19"/>
  <c r="AE176" i="19"/>
  <c r="AC176" i="19"/>
  <c r="AB176" i="19"/>
  <c r="AA176" i="19"/>
  <c r="Z176" i="19"/>
  <c r="Y176" i="19"/>
  <c r="X176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AE175" i="19"/>
  <c r="AC175" i="19"/>
  <c r="AB175" i="19"/>
  <c r="AA175" i="19"/>
  <c r="Z175" i="19"/>
  <c r="Y175" i="19"/>
  <c r="X175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AE174" i="19"/>
  <c r="AC174" i="19"/>
  <c r="AB174" i="19"/>
  <c r="AA174" i="19"/>
  <c r="Z174" i="19"/>
  <c r="Y174" i="19"/>
  <c r="X174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AE173" i="19"/>
  <c r="AC173" i="19"/>
  <c r="AB173" i="19"/>
  <c r="AA173" i="19"/>
  <c r="Z173" i="19"/>
  <c r="Y173" i="19"/>
  <c r="X173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AE172" i="19"/>
  <c r="AC172" i="19"/>
  <c r="AB172" i="19"/>
  <c r="AA172" i="19"/>
  <c r="Z172" i="19"/>
  <c r="Y172" i="19"/>
  <c r="X172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AE171" i="19"/>
  <c r="AC171" i="19"/>
  <c r="AB171" i="19"/>
  <c r="AA171" i="19"/>
  <c r="Z171" i="19"/>
  <c r="Y171" i="19"/>
  <c r="X171" i="19"/>
  <c r="W171" i="19"/>
  <c r="V171" i="19"/>
  <c r="U171" i="19"/>
  <c r="T171" i="19"/>
  <c r="S171" i="19"/>
  <c r="R171" i="19"/>
  <c r="Q171" i="19"/>
  <c r="P171" i="19"/>
  <c r="O171" i="19"/>
  <c r="N171" i="19"/>
  <c r="M171" i="19"/>
  <c r="L171" i="19"/>
  <c r="K171" i="19"/>
  <c r="J171" i="19"/>
  <c r="I171" i="19"/>
  <c r="H171" i="19"/>
  <c r="G171" i="19"/>
  <c r="F171" i="19"/>
  <c r="AE170" i="19"/>
  <c r="AC170" i="19"/>
  <c r="AB170" i="19"/>
  <c r="AA170" i="19"/>
  <c r="Z170" i="19"/>
  <c r="Y170" i="19"/>
  <c r="X170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AE169" i="19"/>
  <c r="AC169" i="19"/>
  <c r="AB169" i="19"/>
  <c r="AA169" i="19"/>
  <c r="Z169" i="19"/>
  <c r="Y169" i="19"/>
  <c r="X169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AE168" i="19"/>
  <c r="AC168" i="19"/>
  <c r="AB168" i="19"/>
  <c r="AA168" i="19"/>
  <c r="Z168" i="19"/>
  <c r="Y168" i="19"/>
  <c r="X168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AE167" i="19"/>
  <c r="AC167" i="19"/>
  <c r="AB167" i="19"/>
  <c r="AA167" i="19"/>
  <c r="Z167" i="19"/>
  <c r="Y167" i="19"/>
  <c r="X167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AE166" i="19"/>
  <c r="AC166" i="19"/>
  <c r="AB166" i="19"/>
  <c r="AA166" i="19"/>
  <c r="Z166" i="19"/>
  <c r="Y166" i="19"/>
  <c r="X166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AE165" i="19"/>
  <c r="AC165" i="19"/>
  <c r="AB165" i="19"/>
  <c r="AA165" i="19"/>
  <c r="Z165" i="19"/>
  <c r="Y165" i="19"/>
  <c r="X165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AE164" i="19"/>
  <c r="AC164" i="19"/>
  <c r="AB164" i="19"/>
  <c r="AA164" i="19"/>
  <c r="Z164" i="19"/>
  <c r="Y164" i="19"/>
  <c r="X164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AE163" i="19"/>
  <c r="AC163" i="19"/>
  <c r="AB163" i="19"/>
  <c r="AA163" i="19"/>
  <c r="Z163" i="19"/>
  <c r="Y163" i="19"/>
  <c r="X163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AE162" i="19"/>
  <c r="AC162" i="19"/>
  <c r="AB162" i="19"/>
  <c r="AA162" i="19"/>
  <c r="Z162" i="19"/>
  <c r="Y162" i="19"/>
  <c r="X162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AE161" i="19"/>
  <c r="AC161" i="19"/>
  <c r="AB161" i="19"/>
  <c r="AA161" i="19"/>
  <c r="Z161" i="19"/>
  <c r="Y161" i="19"/>
  <c r="X161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AE160" i="19"/>
  <c r="AC160" i="19"/>
  <c r="AB160" i="19"/>
  <c r="AA160" i="19"/>
  <c r="Z160" i="19"/>
  <c r="Y160" i="19"/>
  <c r="X160" i="19"/>
  <c r="W160" i="19"/>
  <c r="V160" i="19"/>
  <c r="U160" i="19"/>
  <c r="T160" i="19"/>
  <c r="S160" i="19"/>
  <c r="R160" i="19"/>
  <c r="Q160" i="19"/>
  <c r="P160" i="19"/>
  <c r="O160" i="19"/>
  <c r="N160" i="19"/>
  <c r="M160" i="19"/>
  <c r="L160" i="19"/>
  <c r="K160" i="19"/>
  <c r="J160" i="19"/>
  <c r="I160" i="19"/>
  <c r="H160" i="19"/>
  <c r="G160" i="19"/>
  <c r="F160" i="19"/>
  <c r="AE159" i="19"/>
  <c r="AC159" i="19"/>
  <c r="AB159" i="19"/>
  <c r="AA159" i="19"/>
  <c r="Z159" i="19"/>
  <c r="Y159" i="19"/>
  <c r="X159" i="19"/>
  <c r="W159" i="19"/>
  <c r="V159" i="19"/>
  <c r="U159" i="19"/>
  <c r="T159" i="19"/>
  <c r="S159" i="19"/>
  <c r="R159" i="19"/>
  <c r="Q159" i="19"/>
  <c r="P159" i="19"/>
  <c r="O159" i="19"/>
  <c r="N159" i="19"/>
  <c r="M159" i="19"/>
  <c r="L159" i="19"/>
  <c r="K159" i="19"/>
  <c r="J159" i="19"/>
  <c r="I159" i="19"/>
  <c r="H159" i="19"/>
  <c r="G159" i="19"/>
  <c r="F159" i="19"/>
  <c r="AE158" i="19"/>
  <c r="AC158" i="19"/>
  <c r="AB158" i="19"/>
  <c r="AA158" i="19"/>
  <c r="Z158" i="19"/>
  <c r="Y158" i="19"/>
  <c r="X158" i="19"/>
  <c r="W158" i="19"/>
  <c r="V158" i="19"/>
  <c r="U158" i="19"/>
  <c r="T158" i="19"/>
  <c r="S158" i="19"/>
  <c r="R158" i="19"/>
  <c r="Q158" i="19"/>
  <c r="P158" i="19"/>
  <c r="O158" i="19"/>
  <c r="N158" i="19"/>
  <c r="M158" i="19"/>
  <c r="L158" i="19"/>
  <c r="K158" i="19"/>
  <c r="J158" i="19"/>
  <c r="I158" i="19"/>
  <c r="H158" i="19"/>
  <c r="G158" i="19"/>
  <c r="F158" i="19"/>
  <c r="AE157" i="19"/>
  <c r="AC157" i="19"/>
  <c r="AB157" i="19"/>
  <c r="AA157" i="19"/>
  <c r="Z157" i="19"/>
  <c r="Y157" i="19"/>
  <c r="X157" i="19"/>
  <c r="W157" i="19"/>
  <c r="V157" i="19"/>
  <c r="U157" i="19"/>
  <c r="T157" i="19"/>
  <c r="S157" i="19"/>
  <c r="R157" i="19"/>
  <c r="Q157" i="19"/>
  <c r="P157" i="19"/>
  <c r="O157" i="19"/>
  <c r="N157" i="19"/>
  <c r="M157" i="19"/>
  <c r="L157" i="19"/>
  <c r="K157" i="19"/>
  <c r="J157" i="19"/>
  <c r="I157" i="19"/>
  <c r="H157" i="19"/>
  <c r="G157" i="19"/>
  <c r="F157" i="19"/>
  <c r="AE156" i="19"/>
  <c r="AC156" i="19"/>
  <c r="AB156" i="19"/>
  <c r="AA156" i="19"/>
  <c r="Z156" i="19"/>
  <c r="Y156" i="19"/>
  <c r="X156" i="19"/>
  <c r="W156" i="19"/>
  <c r="V156" i="19"/>
  <c r="U156" i="19"/>
  <c r="T156" i="19"/>
  <c r="S156" i="19"/>
  <c r="R156" i="19"/>
  <c r="Q156" i="19"/>
  <c r="P156" i="19"/>
  <c r="O156" i="19"/>
  <c r="N156" i="19"/>
  <c r="M156" i="19"/>
  <c r="L156" i="19"/>
  <c r="K156" i="19"/>
  <c r="J156" i="19"/>
  <c r="I156" i="19"/>
  <c r="H156" i="19"/>
  <c r="G156" i="19"/>
  <c r="F156" i="19"/>
  <c r="AE155" i="19"/>
  <c r="AC155" i="19"/>
  <c r="AB155" i="19"/>
  <c r="AA155" i="19"/>
  <c r="Z155" i="19"/>
  <c r="Y155" i="19"/>
  <c r="X155" i="19"/>
  <c r="W155" i="19"/>
  <c r="V155" i="19"/>
  <c r="U155" i="19"/>
  <c r="T155" i="19"/>
  <c r="S155" i="19"/>
  <c r="R155" i="19"/>
  <c r="Q155" i="19"/>
  <c r="P155" i="19"/>
  <c r="O155" i="19"/>
  <c r="N155" i="19"/>
  <c r="M155" i="19"/>
  <c r="L155" i="19"/>
  <c r="K155" i="19"/>
  <c r="J155" i="19"/>
  <c r="I155" i="19"/>
  <c r="H155" i="19"/>
  <c r="G155" i="19"/>
  <c r="F155" i="19"/>
  <c r="AE154" i="19"/>
  <c r="AC154" i="19"/>
  <c r="AB154" i="19"/>
  <c r="AA154" i="19"/>
  <c r="Z154" i="19"/>
  <c r="Y154" i="19"/>
  <c r="X154" i="19"/>
  <c r="W154" i="19"/>
  <c r="V154" i="19"/>
  <c r="U154" i="19"/>
  <c r="T154" i="19"/>
  <c r="S154" i="19"/>
  <c r="R154" i="19"/>
  <c r="Q154" i="19"/>
  <c r="P154" i="19"/>
  <c r="O154" i="19"/>
  <c r="N154" i="19"/>
  <c r="M154" i="19"/>
  <c r="L154" i="19"/>
  <c r="K154" i="19"/>
  <c r="J154" i="19"/>
  <c r="I154" i="19"/>
  <c r="H154" i="19"/>
  <c r="G154" i="19"/>
  <c r="F154" i="19"/>
  <c r="AE153" i="19"/>
  <c r="AC153" i="19"/>
  <c r="AB153" i="19"/>
  <c r="AA153" i="19"/>
  <c r="Z153" i="19"/>
  <c r="Y153" i="19"/>
  <c r="X153" i="19"/>
  <c r="W153" i="19"/>
  <c r="V153" i="19"/>
  <c r="U153" i="19"/>
  <c r="T153" i="19"/>
  <c r="S153" i="19"/>
  <c r="R153" i="19"/>
  <c r="Q153" i="19"/>
  <c r="P153" i="19"/>
  <c r="O153" i="19"/>
  <c r="N153" i="19"/>
  <c r="M153" i="19"/>
  <c r="L153" i="19"/>
  <c r="K153" i="19"/>
  <c r="J153" i="19"/>
  <c r="I153" i="19"/>
  <c r="H153" i="19"/>
  <c r="G153" i="19"/>
  <c r="F153" i="19"/>
  <c r="AE152" i="19"/>
  <c r="AC152" i="19"/>
  <c r="AB152" i="19"/>
  <c r="AA152" i="19"/>
  <c r="Z152" i="19"/>
  <c r="Y152" i="19"/>
  <c r="X152" i="19"/>
  <c r="W152" i="19"/>
  <c r="V152" i="19"/>
  <c r="U152" i="19"/>
  <c r="T152" i="19"/>
  <c r="S152" i="19"/>
  <c r="R152" i="19"/>
  <c r="Q152" i="19"/>
  <c r="P152" i="19"/>
  <c r="O152" i="19"/>
  <c r="N152" i="19"/>
  <c r="M152" i="19"/>
  <c r="L152" i="19"/>
  <c r="K152" i="19"/>
  <c r="J152" i="19"/>
  <c r="I152" i="19"/>
  <c r="H152" i="19"/>
  <c r="G152" i="19"/>
  <c r="F152" i="19"/>
  <c r="AE151" i="19"/>
  <c r="AC151" i="19"/>
  <c r="AB151" i="19"/>
  <c r="AA151" i="19"/>
  <c r="Z151" i="19"/>
  <c r="Y151" i="19"/>
  <c r="X151" i="19"/>
  <c r="W151" i="19"/>
  <c r="V151" i="19"/>
  <c r="U151" i="19"/>
  <c r="T151" i="19"/>
  <c r="S151" i="19"/>
  <c r="R151" i="19"/>
  <c r="Q151" i="19"/>
  <c r="P151" i="19"/>
  <c r="O151" i="19"/>
  <c r="N151" i="19"/>
  <c r="M151" i="19"/>
  <c r="L151" i="19"/>
  <c r="K151" i="19"/>
  <c r="J151" i="19"/>
  <c r="I151" i="19"/>
  <c r="H151" i="19"/>
  <c r="G151" i="19"/>
  <c r="F151" i="19"/>
  <c r="AE150" i="19"/>
  <c r="AC150" i="19"/>
  <c r="AB150" i="19"/>
  <c r="AA150" i="19"/>
  <c r="Z150" i="19"/>
  <c r="Y150" i="19"/>
  <c r="X150" i="19"/>
  <c r="W150" i="19"/>
  <c r="V150" i="19"/>
  <c r="U150" i="19"/>
  <c r="T150" i="19"/>
  <c r="S150" i="19"/>
  <c r="R150" i="19"/>
  <c r="Q150" i="19"/>
  <c r="P150" i="19"/>
  <c r="O150" i="19"/>
  <c r="N150" i="19"/>
  <c r="M150" i="19"/>
  <c r="L150" i="19"/>
  <c r="K150" i="19"/>
  <c r="J150" i="19"/>
  <c r="I150" i="19"/>
  <c r="H150" i="19"/>
  <c r="G150" i="19"/>
  <c r="F150" i="19"/>
  <c r="AE149" i="19"/>
  <c r="AC149" i="19"/>
  <c r="AB149" i="19"/>
  <c r="AA149" i="19"/>
  <c r="Z149" i="19"/>
  <c r="Y149" i="19"/>
  <c r="X149" i="19"/>
  <c r="W149" i="19"/>
  <c r="V149" i="19"/>
  <c r="U149" i="19"/>
  <c r="T149" i="19"/>
  <c r="S149" i="19"/>
  <c r="R149" i="19"/>
  <c r="Q149" i="19"/>
  <c r="P149" i="19"/>
  <c r="O149" i="19"/>
  <c r="N149" i="19"/>
  <c r="M149" i="19"/>
  <c r="L149" i="19"/>
  <c r="K149" i="19"/>
  <c r="J149" i="19"/>
  <c r="I149" i="19"/>
  <c r="H149" i="19"/>
  <c r="G149" i="19"/>
  <c r="F149" i="19"/>
  <c r="AE148" i="19"/>
  <c r="AC148" i="19"/>
  <c r="AB148" i="19"/>
  <c r="AA148" i="19"/>
  <c r="Z148" i="19"/>
  <c r="Y148" i="19"/>
  <c r="X148" i="19"/>
  <c r="W148" i="19"/>
  <c r="V148" i="19"/>
  <c r="U148" i="19"/>
  <c r="T148" i="19"/>
  <c r="S148" i="19"/>
  <c r="R148" i="19"/>
  <c r="Q148" i="19"/>
  <c r="P148" i="19"/>
  <c r="O148" i="19"/>
  <c r="N148" i="19"/>
  <c r="M148" i="19"/>
  <c r="L148" i="19"/>
  <c r="K148" i="19"/>
  <c r="J148" i="19"/>
  <c r="I148" i="19"/>
  <c r="H148" i="19"/>
  <c r="G148" i="19"/>
  <c r="F148" i="19"/>
  <c r="AE147" i="19"/>
  <c r="AC147" i="19"/>
  <c r="AB147" i="19"/>
  <c r="AA147" i="19"/>
  <c r="Z147" i="19"/>
  <c r="Y147" i="19"/>
  <c r="X147" i="19"/>
  <c r="W147" i="19"/>
  <c r="V147" i="19"/>
  <c r="U147" i="19"/>
  <c r="T147" i="19"/>
  <c r="S147" i="19"/>
  <c r="R147" i="19"/>
  <c r="Q147" i="19"/>
  <c r="P147" i="19"/>
  <c r="O147" i="19"/>
  <c r="N147" i="19"/>
  <c r="M147" i="19"/>
  <c r="L147" i="19"/>
  <c r="K147" i="19"/>
  <c r="J147" i="19"/>
  <c r="I147" i="19"/>
  <c r="H147" i="19"/>
  <c r="G147" i="19"/>
  <c r="F147" i="19"/>
  <c r="AE146" i="19"/>
  <c r="AC146" i="19"/>
  <c r="AB146" i="19"/>
  <c r="AA146" i="19"/>
  <c r="Z146" i="19"/>
  <c r="Y146" i="19"/>
  <c r="X146" i="19"/>
  <c r="W146" i="19"/>
  <c r="V146" i="19"/>
  <c r="U146" i="19"/>
  <c r="T146" i="19"/>
  <c r="S146" i="19"/>
  <c r="R146" i="19"/>
  <c r="Q146" i="19"/>
  <c r="P146" i="19"/>
  <c r="O146" i="19"/>
  <c r="N146" i="19"/>
  <c r="M146" i="19"/>
  <c r="L146" i="19"/>
  <c r="K146" i="19"/>
  <c r="J146" i="19"/>
  <c r="I146" i="19"/>
  <c r="H146" i="19"/>
  <c r="G146" i="19"/>
  <c r="F146" i="19"/>
  <c r="AE145" i="19"/>
  <c r="AC145" i="19"/>
  <c r="AB145" i="19"/>
  <c r="AA145" i="19"/>
  <c r="Z145" i="19"/>
  <c r="Y145" i="19"/>
  <c r="X145" i="19"/>
  <c r="W145" i="19"/>
  <c r="V145" i="19"/>
  <c r="U145" i="19"/>
  <c r="T145" i="19"/>
  <c r="S145" i="19"/>
  <c r="R145" i="19"/>
  <c r="Q145" i="19"/>
  <c r="P145" i="19"/>
  <c r="O145" i="19"/>
  <c r="N145" i="19"/>
  <c r="M145" i="19"/>
  <c r="L145" i="19"/>
  <c r="K145" i="19"/>
  <c r="J145" i="19"/>
  <c r="I145" i="19"/>
  <c r="H145" i="19"/>
  <c r="G145" i="19"/>
  <c r="F145" i="19"/>
  <c r="AE144" i="19"/>
  <c r="AC144" i="19"/>
  <c r="AB144" i="19"/>
  <c r="AA144" i="19"/>
  <c r="Z144" i="19"/>
  <c r="Y144" i="19"/>
  <c r="X144" i="19"/>
  <c r="W144" i="19"/>
  <c r="V144" i="19"/>
  <c r="U144" i="19"/>
  <c r="T144" i="19"/>
  <c r="S144" i="19"/>
  <c r="R144" i="19"/>
  <c r="Q144" i="19"/>
  <c r="P144" i="19"/>
  <c r="O144" i="19"/>
  <c r="N144" i="19"/>
  <c r="M144" i="19"/>
  <c r="L144" i="19"/>
  <c r="K144" i="19"/>
  <c r="J144" i="19"/>
  <c r="I144" i="19"/>
  <c r="H144" i="19"/>
  <c r="G144" i="19"/>
  <c r="F144" i="19"/>
  <c r="AE143" i="19"/>
  <c r="AC143" i="19"/>
  <c r="AB143" i="19"/>
  <c r="AA143" i="19"/>
  <c r="Z143" i="19"/>
  <c r="Y143" i="19"/>
  <c r="X143" i="19"/>
  <c r="W143" i="19"/>
  <c r="V143" i="19"/>
  <c r="U143" i="19"/>
  <c r="T143" i="19"/>
  <c r="S143" i="19"/>
  <c r="R143" i="19"/>
  <c r="Q143" i="19"/>
  <c r="P143" i="19"/>
  <c r="O143" i="19"/>
  <c r="N143" i="19"/>
  <c r="M143" i="19"/>
  <c r="L143" i="19"/>
  <c r="K143" i="19"/>
  <c r="J143" i="19"/>
  <c r="I143" i="19"/>
  <c r="H143" i="19"/>
  <c r="G143" i="19"/>
  <c r="F143" i="19"/>
  <c r="AE142" i="19"/>
  <c r="AC142" i="19"/>
  <c r="AB142" i="19"/>
  <c r="AA142" i="19"/>
  <c r="Z142" i="19"/>
  <c r="Y142" i="19"/>
  <c r="X142" i="19"/>
  <c r="W142" i="19"/>
  <c r="V142" i="19"/>
  <c r="U142" i="19"/>
  <c r="T142" i="19"/>
  <c r="S142" i="19"/>
  <c r="R142" i="19"/>
  <c r="Q142" i="19"/>
  <c r="P142" i="19"/>
  <c r="O142" i="19"/>
  <c r="N142" i="19"/>
  <c r="M142" i="19"/>
  <c r="L142" i="19"/>
  <c r="K142" i="19"/>
  <c r="J142" i="19"/>
  <c r="I142" i="19"/>
  <c r="H142" i="19"/>
  <c r="G142" i="19"/>
  <c r="F142" i="19"/>
  <c r="AE141" i="19"/>
  <c r="AC141" i="19"/>
  <c r="AB141" i="19"/>
  <c r="AA141" i="19"/>
  <c r="Z141" i="19"/>
  <c r="Y141" i="19"/>
  <c r="X141" i="19"/>
  <c r="W141" i="19"/>
  <c r="V141" i="19"/>
  <c r="U141" i="19"/>
  <c r="T141" i="19"/>
  <c r="S141" i="19"/>
  <c r="R141" i="19"/>
  <c r="Q141" i="19"/>
  <c r="P141" i="19"/>
  <c r="O141" i="19"/>
  <c r="N141" i="19"/>
  <c r="M141" i="19"/>
  <c r="L141" i="19"/>
  <c r="K141" i="19"/>
  <c r="J141" i="19"/>
  <c r="I141" i="19"/>
  <c r="H141" i="19"/>
  <c r="G141" i="19"/>
  <c r="F141" i="19"/>
  <c r="AE140" i="19"/>
  <c r="AC140" i="19"/>
  <c r="AB140" i="19"/>
  <c r="AA140" i="19"/>
  <c r="Z140" i="19"/>
  <c r="Y140" i="19"/>
  <c r="X140" i="19"/>
  <c r="W140" i="19"/>
  <c r="V140" i="19"/>
  <c r="U140" i="19"/>
  <c r="T140" i="19"/>
  <c r="S140" i="19"/>
  <c r="R140" i="19"/>
  <c r="Q140" i="19"/>
  <c r="P140" i="19"/>
  <c r="O140" i="19"/>
  <c r="N140" i="19"/>
  <c r="M140" i="19"/>
  <c r="L140" i="19"/>
  <c r="K140" i="19"/>
  <c r="J140" i="19"/>
  <c r="I140" i="19"/>
  <c r="H140" i="19"/>
  <c r="G140" i="19"/>
  <c r="F140" i="19"/>
  <c r="AE139" i="19"/>
  <c r="AC139" i="19"/>
  <c r="AB139" i="19"/>
  <c r="AA139" i="19"/>
  <c r="Z139" i="19"/>
  <c r="Y139" i="19"/>
  <c r="X139" i="19"/>
  <c r="W139" i="19"/>
  <c r="V139" i="19"/>
  <c r="U139" i="19"/>
  <c r="T139" i="19"/>
  <c r="S139" i="19"/>
  <c r="R139" i="19"/>
  <c r="Q139" i="19"/>
  <c r="P139" i="19"/>
  <c r="O139" i="19"/>
  <c r="N139" i="19"/>
  <c r="M139" i="19"/>
  <c r="L139" i="19"/>
  <c r="K139" i="19"/>
  <c r="J139" i="19"/>
  <c r="I139" i="19"/>
  <c r="H139" i="19"/>
  <c r="G139" i="19"/>
  <c r="F139" i="19"/>
  <c r="AE138" i="19"/>
  <c r="AC138" i="19"/>
  <c r="AB138" i="19"/>
  <c r="AA138" i="19"/>
  <c r="Z138" i="19"/>
  <c r="Y138" i="19"/>
  <c r="X138" i="19"/>
  <c r="W138" i="19"/>
  <c r="V138" i="19"/>
  <c r="U138" i="19"/>
  <c r="T138" i="19"/>
  <c r="S138" i="19"/>
  <c r="R138" i="19"/>
  <c r="Q138" i="19"/>
  <c r="P138" i="19"/>
  <c r="O138" i="19"/>
  <c r="N138" i="19"/>
  <c r="M138" i="19"/>
  <c r="L138" i="19"/>
  <c r="K138" i="19"/>
  <c r="J138" i="19"/>
  <c r="I138" i="19"/>
  <c r="H138" i="19"/>
  <c r="G138" i="19"/>
  <c r="F138" i="19"/>
  <c r="AE137" i="19"/>
  <c r="AC137" i="19"/>
  <c r="AB137" i="19"/>
  <c r="AA137" i="19"/>
  <c r="Z137" i="19"/>
  <c r="Y137" i="19"/>
  <c r="X137" i="19"/>
  <c r="W137" i="19"/>
  <c r="V137" i="19"/>
  <c r="U137" i="19"/>
  <c r="T137" i="19"/>
  <c r="S137" i="19"/>
  <c r="R137" i="19"/>
  <c r="Q137" i="19"/>
  <c r="P137" i="19"/>
  <c r="O137" i="19"/>
  <c r="N137" i="19"/>
  <c r="M137" i="19"/>
  <c r="L137" i="19"/>
  <c r="K137" i="19"/>
  <c r="J137" i="19"/>
  <c r="I137" i="19"/>
  <c r="H137" i="19"/>
  <c r="G137" i="19"/>
  <c r="F137" i="19"/>
  <c r="AE136" i="19"/>
  <c r="AC136" i="19"/>
  <c r="AB136" i="19"/>
  <c r="AA136" i="19"/>
  <c r="Z136" i="19"/>
  <c r="Y136" i="19"/>
  <c r="X136" i="19"/>
  <c r="W136" i="19"/>
  <c r="V136" i="19"/>
  <c r="U136" i="19"/>
  <c r="T136" i="19"/>
  <c r="S136" i="19"/>
  <c r="R136" i="19"/>
  <c r="Q136" i="19"/>
  <c r="P136" i="19"/>
  <c r="O136" i="19"/>
  <c r="N136" i="19"/>
  <c r="M136" i="19"/>
  <c r="L136" i="19"/>
  <c r="K136" i="19"/>
  <c r="J136" i="19"/>
  <c r="I136" i="19"/>
  <c r="H136" i="19"/>
  <c r="G136" i="19"/>
  <c r="F136" i="19"/>
  <c r="AE135" i="19"/>
  <c r="AC135" i="19"/>
  <c r="AB135" i="19"/>
  <c r="AA135" i="19"/>
  <c r="Z135" i="19"/>
  <c r="Y135" i="19"/>
  <c r="X135" i="19"/>
  <c r="W135" i="19"/>
  <c r="V135" i="19"/>
  <c r="U135" i="19"/>
  <c r="T135" i="19"/>
  <c r="S135" i="19"/>
  <c r="R135" i="19"/>
  <c r="Q135" i="19"/>
  <c r="P135" i="19"/>
  <c r="O135" i="19"/>
  <c r="N135" i="19"/>
  <c r="M135" i="19"/>
  <c r="L135" i="19"/>
  <c r="K135" i="19"/>
  <c r="J135" i="19"/>
  <c r="I135" i="19"/>
  <c r="H135" i="19"/>
  <c r="G135" i="19"/>
  <c r="F135" i="19"/>
  <c r="AE134" i="19"/>
  <c r="AC134" i="19"/>
  <c r="AB134" i="19"/>
  <c r="AA134" i="19"/>
  <c r="Z134" i="19"/>
  <c r="Y134" i="19"/>
  <c r="X134" i="19"/>
  <c r="W134" i="19"/>
  <c r="V134" i="19"/>
  <c r="U134" i="19"/>
  <c r="T134" i="19"/>
  <c r="S134" i="19"/>
  <c r="R134" i="19"/>
  <c r="Q134" i="19"/>
  <c r="P134" i="19"/>
  <c r="O134" i="19"/>
  <c r="N134" i="19"/>
  <c r="M134" i="19"/>
  <c r="L134" i="19"/>
  <c r="K134" i="19"/>
  <c r="J134" i="19"/>
  <c r="I134" i="19"/>
  <c r="H134" i="19"/>
  <c r="G134" i="19"/>
  <c r="F134" i="19"/>
  <c r="AE133" i="19"/>
  <c r="AC133" i="19"/>
  <c r="AB133" i="19"/>
  <c r="AA133" i="19"/>
  <c r="Z133" i="19"/>
  <c r="Y133" i="19"/>
  <c r="X133" i="19"/>
  <c r="W133" i="19"/>
  <c r="V133" i="19"/>
  <c r="U133" i="19"/>
  <c r="T133" i="19"/>
  <c r="S133" i="19"/>
  <c r="R133" i="19"/>
  <c r="Q133" i="19"/>
  <c r="P133" i="19"/>
  <c r="O133" i="19"/>
  <c r="N133" i="19"/>
  <c r="M133" i="19"/>
  <c r="L133" i="19"/>
  <c r="K133" i="19"/>
  <c r="J133" i="19"/>
  <c r="I133" i="19"/>
  <c r="H133" i="19"/>
  <c r="G133" i="19"/>
  <c r="F133" i="19"/>
  <c r="AE132" i="19"/>
  <c r="AC132" i="19"/>
  <c r="AB132" i="19"/>
  <c r="AA132" i="19"/>
  <c r="Z132" i="19"/>
  <c r="Y132" i="19"/>
  <c r="X132" i="19"/>
  <c r="W132" i="19"/>
  <c r="V132" i="19"/>
  <c r="U132" i="19"/>
  <c r="T132" i="19"/>
  <c r="S132" i="19"/>
  <c r="R132" i="19"/>
  <c r="Q132" i="19"/>
  <c r="P132" i="19"/>
  <c r="O132" i="19"/>
  <c r="N132" i="19"/>
  <c r="M132" i="19"/>
  <c r="L132" i="19"/>
  <c r="K132" i="19"/>
  <c r="J132" i="19"/>
  <c r="I132" i="19"/>
  <c r="H132" i="19"/>
  <c r="G132" i="19"/>
  <c r="F132" i="19"/>
  <c r="AE131" i="19"/>
  <c r="AC131" i="19"/>
  <c r="AB131" i="19"/>
  <c r="AA131" i="19"/>
  <c r="Z131" i="19"/>
  <c r="Y131" i="19"/>
  <c r="X131" i="19"/>
  <c r="W131" i="19"/>
  <c r="V131" i="19"/>
  <c r="U131" i="19"/>
  <c r="T131" i="19"/>
  <c r="S131" i="19"/>
  <c r="R131" i="19"/>
  <c r="Q131" i="19"/>
  <c r="P131" i="19"/>
  <c r="O131" i="19"/>
  <c r="N131" i="19"/>
  <c r="M131" i="19"/>
  <c r="L131" i="19"/>
  <c r="K131" i="19"/>
  <c r="J131" i="19"/>
  <c r="I131" i="19"/>
  <c r="H131" i="19"/>
  <c r="G131" i="19"/>
  <c r="F131" i="19"/>
  <c r="AE130" i="19"/>
  <c r="AC130" i="19"/>
  <c r="AB130" i="19"/>
  <c r="AA130" i="19"/>
  <c r="Z130" i="19"/>
  <c r="Y130" i="19"/>
  <c r="X130" i="19"/>
  <c r="W130" i="19"/>
  <c r="V130" i="19"/>
  <c r="U130" i="19"/>
  <c r="T130" i="19"/>
  <c r="S130" i="19"/>
  <c r="R130" i="19"/>
  <c r="Q130" i="19"/>
  <c r="P130" i="19"/>
  <c r="O130" i="19"/>
  <c r="N130" i="19"/>
  <c r="M130" i="19"/>
  <c r="L130" i="19"/>
  <c r="K130" i="19"/>
  <c r="J130" i="19"/>
  <c r="I130" i="19"/>
  <c r="H130" i="19"/>
  <c r="G130" i="19"/>
  <c r="F130" i="19"/>
  <c r="AE129" i="19"/>
  <c r="AC129" i="19"/>
  <c r="AB129" i="19"/>
  <c r="AA129" i="19"/>
  <c r="Z129" i="19"/>
  <c r="Y129" i="19"/>
  <c r="X129" i="19"/>
  <c r="W129" i="19"/>
  <c r="V129" i="19"/>
  <c r="U129" i="19"/>
  <c r="T129" i="19"/>
  <c r="S129" i="19"/>
  <c r="R129" i="19"/>
  <c r="Q129" i="19"/>
  <c r="P129" i="19"/>
  <c r="O129" i="19"/>
  <c r="N129" i="19"/>
  <c r="M129" i="19"/>
  <c r="L129" i="19"/>
  <c r="K129" i="19"/>
  <c r="J129" i="19"/>
  <c r="I129" i="19"/>
  <c r="H129" i="19"/>
  <c r="G129" i="19"/>
  <c r="F129" i="19"/>
  <c r="AE128" i="19"/>
  <c r="AC128" i="19"/>
  <c r="AB128" i="19"/>
  <c r="AA128" i="19"/>
  <c r="Z128" i="19"/>
  <c r="Y128" i="19"/>
  <c r="X128" i="19"/>
  <c r="W128" i="19"/>
  <c r="V128" i="19"/>
  <c r="U128" i="19"/>
  <c r="T128" i="19"/>
  <c r="S128" i="19"/>
  <c r="R128" i="19"/>
  <c r="Q128" i="19"/>
  <c r="P128" i="19"/>
  <c r="O128" i="19"/>
  <c r="N128" i="19"/>
  <c r="M128" i="19"/>
  <c r="L128" i="19"/>
  <c r="K128" i="19"/>
  <c r="J128" i="19"/>
  <c r="I128" i="19"/>
  <c r="H128" i="19"/>
  <c r="G128" i="19"/>
  <c r="F128" i="19"/>
  <c r="AE127" i="19"/>
  <c r="AC127" i="19"/>
  <c r="AB127" i="19"/>
  <c r="AA127" i="19"/>
  <c r="Z127" i="19"/>
  <c r="Y127" i="19"/>
  <c r="X127" i="19"/>
  <c r="W127" i="19"/>
  <c r="V127" i="19"/>
  <c r="U127" i="19"/>
  <c r="T127" i="19"/>
  <c r="S127" i="19"/>
  <c r="R127" i="19"/>
  <c r="Q127" i="19"/>
  <c r="P127" i="19"/>
  <c r="O127" i="19"/>
  <c r="N127" i="19"/>
  <c r="M127" i="19"/>
  <c r="L127" i="19"/>
  <c r="K127" i="19"/>
  <c r="J127" i="19"/>
  <c r="I127" i="19"/>
  <c r="H127" i="19"/>
  <c r="G127" i="19"/>
  <c r="F127" i="19"/>
  <c r="AE126" i="19"/>
  <c r="AC126" i="19"/>
  <c r="AB126" i="19"/>
  <c r="AA126" i="19"/>
  <c r="Z126" i="19"/>
  <c r="Y126" i="19"/>
  <c r="X126" i="19"/>
  <c r="W126" i="19"/>
  <c r="V126" i="19"/>
  <c r="U126" i="19"/>
  <c r="T126" i="19"/>
  <c r="S126" i="19"/>
  <c r="R126" i="19"/>
  <c r="Q126" i="19"/>
  <c r="P126" i="19"/>
  <c r="O126" i="19"/>
  <c r="N126" i="19"/>
  <c r="M126" i="19"/>
  <c r="L126" i="19"/>
  <c r="K126" i="19"/>
  <c r="J126" i="19"/>
  <c r="I126" i="19"/>
  <c r="H126" i="19"/>
  <c r="G126" i="19"/>
  <c r="F126" i="19"/>
  <c r="AE125" i="19"/>
  <c r="AC125" i="19"/>
  <c r="AB125" i="19"/>
  <c r="AA125" i="19"/>
  <c r="Z125" i="19"/>
  <c r="Y125" i="19"/>
  <c r="X125" i="19"/>
  <c r="W125" i="19"/>
  <c r="V125" i="19"/>
  <c r="U125" i="19"/>
  <c r="T125" i="19"/>
  <c r="S125" i="19"/>
  <c r="R125" i="19"/>
  <c r="Q125" i="19"/>
  <c r="P125" i="19"/>
  <c r="O125" i="19"/>
  <c r="N125" i="19"/>
  <c r="M125" i="19"/>
  <c r="L125" i="19"/>
  <c r="K125" i="19"/>
  <c r="J125" i="19"/>
  <c r="I125" i="19"/>
  <c r="H125" i="19"/>
  <c r="G125" i="19"/>
  <c r="F125" i="19"/>
  <c r="AE124" i="19"/>
  <c r="AC124" i="19"/>
  <c r="AB124" i="19"/>
  <c r="AA124" i="19"/>
  <c r="Z124" i="19"/>
  <c r="Y124" i="19"/>
  <c r="X124" i="19"/>
  <c r="W124" i="19"/>
  <c r="V124" i="19"/>
  <c r="U124" i="19"/>
  <c r="T124" i="19"/>
  <c r="S124" i="19"/>
  <c r="R124" i="19"/>
  <c r="Q124" i="19"/>
  <c r="P124" i="19"/>
  <c r="O124" i="19"/>
  <c r="N124" i="19"/>
  <c r="M124" i="19"/>
  <c r="L124" i="19"/>
  <c r="K124" i="19"/>
  <c r="J124" i="19"/>
  <c r="I124" i="19"/>
  <c r="H124" i="19"/>
  <c r="G124" i="19"/>
  <c r="F124" i="19"/>
  <c r="AE123" i="19"/>
  <c r="AC123" i="19"/>
  <c r="AB123" i="19"/>
  <c r="AA123" i="19"/>
  <c r="Z123" i="19"/>
  <c r="Y123" i="19"/>
  <c r="X123" i="19"/>
  <c r="W123" i="19"/>
  <c r="V123" i="19"/>
  <c r="U123" i="19"/>
  <c r="T123" i="19"/>
  <c r="S123" i="19"/>
  <c r="R123" i="19"/>
  <c r="Q123" i="19"/>
  <c r="P123" i="19"/>
  <c r="O123" i="19"/>
  <c r="N123" i="19"/>
  <c r="M123" i="19"/>
  <c r="L123" i="19"/>
  <c r="K123" i="19"/>
  <c r="J123" i="19"/>
  <c r="I123" i="19"/>
  <c r="H123" i="19"/>
  <c r="G123" i="19"/>
  <c r="F123" i="19"/>
  <c r="AE122" i="19"/>
  <c r="AC122" i="19"/>
  <c r="AB122" i="19"/>
  <c r="AA122" i="19"/>
  <c r="Z122" i="19"/>
  <c r="Y122" i="19"/>
  <c r="X122" i="19"/>
  <c r="W122" i="19"/>
  <c r="V122" i="19"/>
  <c r="U122" i="19"/>
  <c r="T122" i="19"/>
  <c r="S122" i="19"/>
  <c r="R122" i="19"/>
  <c r="Q122" i="19"/>
  <c r="P122" i="19"/>
  <c r="O122" i="19"/>
  <c r="N122" i="19"/>
  <c r="M122" i="19"/>
  <c r="L122" i="19"/>
  <c r="K122" i="19"/>
  <c r="J122" i="19"/>
  <c r="I122" i="19"/>
  <c r="H122" i="19"/>
  <c r="G122" i="19"/>
  <c r="F122" i="19"/>
  <c r="AE121" i="19"/>
  <c r="AC121" i="19"/>
  <c r="AB121" i="19"/>
  <c r="AA121" i="19"/>
  <c r="Z121" i="19"/>
  <c r="Y121" i="19"/>
  <c r="X121" i="19"/>
  <c r="W121" i="19"/>
  <c r="V121" i="19"/>
  <c r="U121" i="19"/>
  <c r="T121" i="19"/>
  <c r="S121" i="19"/>
  <c r="R121" i="19"/>
  <c r="Q121" i="19"/>
  <c r="P121" i="19"/>
  <c r="O121" i="19"/>
  <c r="N121" i="19"/>
  <c r="M121" i="19"/>
  <c r="L121" i="19"/>
  <c r="K121" i="19"/>
  <c r="J121" i="19"/>
  <c r="I121" i="19"/>
  <c r="H121" i="19"/>
  <c r="G121" i="19"/>
  <c r="F121" i="19"/>
  <c r="AE120" i="19"/>
  <c r="AC120" i="19"/>
  <c r="AB120" i="19"/>
  <c r="AA120" i="19"/>
  <c r="Z120" i="19"/>
  <c r="Y120" i="19"/>
  <c r="X120" i="19"/>
  <c r="W120" i="19"/>
  <c r="V120" i="19"/>
  <c r="U120" i="19"/>
  <c r="T120" i="19"/>
  <c r="S120" i="19"/>
  <c r="R120" i="19"/>
  <c r="Q120" i="19"/>
  <c r="P120" i="19"/>
  <c r="O120" i="19"/>
  <c r="N120" i="19"/>
  <c r="M120" i="19"/>
  <c r="L120" i="19"/>
  <c r="K120" i="19"/>
  <c r="J120" i="19"/>
  <c r="I120" i="19"/>
  <c r="H120" i="19"/>
  <c r="G120" i="19"/>
  <c r="F120" i="19"/>
  <c r="AE119" i="19"/>
  <c r="AC119" i="19"/>
  <c r="AB119" i="19"/>
  <c r="AA119" i="19"/>
  <c r="Z119" i="19"/>
  <c r="Y119" i="19"/>
  <c r="X119" i="19"/>
  <c r="W119" i="19"/>
  <c r="V119" i="19"/>
  <c r="U119" i="19"/>
  <c r="T119" i="19"/>
  <c r="S119" i="19"/>
  <c r="R119" i="19"/>
  <c r="Q119" i="19"/>
  <c r="P119" i="19"/>
  <c r="O119" i="19"/>
  <c r="N119" i="19"/>
  <c r="M119" i="19"/>
  <c r="L119" i="19"/>
  <c r="K119" i="19"/>
  <c r="J119" i="19"/>
  <c r="I119" i="19"/>
  <c r="H119" i="19"/>
  <c r="G119" i="19"/>
  <c r="F119" i="19"/>
  <c r="AE118" i="19"/>
  <c r="AC118" i="19"/>
  <c r="AB118" i="19"/>
  <c r="AA118" i="19"/>
  <c r="Z118" i="19"/>
  <c r="Y118" i="19"/>
  <c r="X118" i="19"/>
  <c r="W118" i="19"/>
  <c r="V118" i="19"/>
  <c r="U118" i="19"/>
  <c r="T118" i="19"/>
  <c r="S118" i="19"/>
  <c r="R118" i="19"/>
  <c r="Q118" i="19"/>
  <c r="P118" i="19"/>
  <c r="O118" i="19"/>
  <c r="N118" i="19"/>
  <c r="M118" i="19"/>
  <c r="L118" i="19"/>
  <c r="K118" i="19"/>
  <c r="J118" i="19"/>
  <c r="I118" i="19"/>
  <c r="H118" i="19"/>
  <c r="G118" i="19"/>
  <c r="F118" i="19"/>
  <c r="AE117" i="19"/>
  <c r="AC117" i="19"/>
  <c r="AB117" i="19"/>
  <c r="AA117" i="19"/>
  <c r="Z117" i="19"/>
  <c r="Y117" i="19"/>
  <c r="X117" i="19"/>
  <c r="W117" i="19"/>
  <c r="V117" i="19"/>
  <c r="U117" i="19"/>
  <c r="T117" i="19"/>
  <c r="S117" i="19"/>
  <c r="R117" i="19"/>
  <c r="Q117" i="19"/>
  <c r="P117" i="19"/>
  <c r="O117" i="19"/>
  <c r="N117" i="19"/>
  <c r="M117" i="19"/>
  <c r="L117" i="19"/>
  <c r="K117" i="19"/>
  <c r="J117" i="19"/>
  <c r="I117" i="19"/>
  <c r="H117" i="19"/>
  <c r="G117" i="19"/>
  <c r="F117" i="19"/>
  <c r="AE116" i="19"/>
  <c r="AC116" i="19"/>
  <c r="AB116" i="19"/>
  <c r="AA116" i="19"/>
  <c r="Z116" i="19"/>
  <c r="Y116" i="19"/>
  <c r="X116" i="19"/>
  <c r="W116" i="19"/>
  <c r="V116" i="19"/>
  <c r="U116" i="19"/>
  <c r="T116" i="19"/>
  <c r="S116" i="19"/>
  <c r="R116" i="19"/>
  <c r="Q116" i="19"/>
  <c r="P116" i="19"/>
  <c r="O116" i="19"/>
  <c r="N116" i="19"/>
  <c r="M116" i="19"/>
  <c r="L116" i="19"/>
  <c r="K116" i="19"/>
  <c r="J116" i="19"/>
  <c r="I116" i="19"/>
  <c r="H116" i="19"/>
  <c r="G116" i="19"/>
  <c r="F116" i="19"/>
  <c r="AE115" i="19"/>
  <c r="AC115" i="19"/>
  <c r="AB115" i="19"/>
  <c r="AA115" i="19"/>
  <c r="Z115" i="19"/>
  <c r="Y115" i="19"/>
  <c r="X115" i="19"/>
  <c r="W115" i="19"/>
  <c r="V115" i="19"/>
  <c r="U115" i="19"/>
  <c r="T115" i="19"/>
  <c r="S115" i="19"/>
  <c r="R115" i="19"/>
  <c r="Q115" i="19"/>
  <c r="P115" i="19"/>
  <c r="O115" i="19"/>
  <c r="N115" i="19"/>
  <c r="M115" i="19"/>
  <c r="L115" i="19"/>
  <c r="K115" i="19"/>
  <c r="J115" i="19"/>
  <c r="I115" i="19"/>
  <c r="H115" i="19"/>
  <c r="G115" i="19"/>
  <c r="F115" i="19"/>
  <c r="AE114" i="19"/>
  <c r="AC114" i="19"/>
  <c r="AB114" i="19"/>
  <c r="AA114" i="19"/>
  <c r="Z114" i="19"/>
  <c r="Y114" i="19"/>
  <c r="X114" i="19"/>
  <c r="W114" i="19"/>
  <c r="V114" i="19"/>
  <c r="U114" i="19"/>
  <c r="T114" i="19"/>
  <c r="S114" i="19"/>
  <c r="R114" i="19"/>
  <c r="Q114" i="19"/>
  <c r="P114" i="19"/>
  <c r="O114" i="19"/>
  <c r="N114" i="19"/>
  <c r="M114" i="19"/>
  <c r="L114" i="19"/>
  <c r="K114" i="19"/>
  <c r="J114" i="19"/>
  <c r="I114" i="19"/>
  <c r="H114" i="19"/>
  <c r="G114" i="19"/>
  <c r="F114" i="19"/>
  <c r="AE113" i="19"/>
  <c r="AC113" i="19"/>
  <c r="AB113" i="19"/>
  <c r="AA113" i="19"/>
  <c r="Z113" i="19"/>
  <c r="Y113" i="19"/>
  <c r="X113" i="19"/>
  <c r="W113" i="19"/>
  <c r="V113" i="19"/>
  <c r="U113" i="19"/>
  <c r="T113" i="19"/>
  <c r="S113" i="19"/>
  <c r="R113" i="19"/>
  <c r="Q113" i="19"/>
  <c r="P113" i="19"/>
  <c r="O113" i="19"/>
  <c r="N113" i="19"/>
  <c r="M113" i="19"/>
  <c r="L113" i="19"/>
  <c r="K113" i="19"/>
  <c r="J113" i="19"/>
  <c r="I113" i="19"/>
  <c r="H113" i="19"/>
  <c r="G113" i="19"/>
  <c r="F113" i="19"/>
  <c r="AE112" i="19"/>
  <c r="AC112" i="19"/>
  <c r="AB112" i="19"/>
  <c r="AA112" i="19"/>
  <c r="Z112" i="19"/>
  <c r="Y112" i="19"/>
  <c r="X112" i="19"/>
  <c r="W112" i="19"/>
  <c r="V112" i="19"/>
  <c r="U112" i="19"/>
  <c r="T112" i="19"/>
  <c r="S112" i="19"/>
  <c r="R112" i="19"/>
  <c r="Q112" i="19"/>
  <c r="P112" i="19"/>
  <c r="O112" i="19"/>
  <c r="N112" i="19"/>
  <c r="M112" i="19"/>
  <c r="L112" i="19"/>
  <c r="K112" i="19"/>
  <c r="J112" i="19"/>
  <c r="I112" i="19"/>
  <c r="H112" i="19"/>
  <c r="G112" i="19"/>
  <c r="F112" i="19"/>
  <c r="AE111" i="19"/>
  <c r="AC111" i="19"/>
  <c r="AB111" i="19"/>
  <c r="AA111" i="19"/>
  <c r="Z111" i="19"/>
  <c r="Y111" i="19"/>
  <c r="X111" i="19"/>
  <c r="W111" i="19"/>
  <c r="V111" i="19"/>
  <c r="U111" i="19"/>
  <c r="T111" i="19"/>
  <c r="S111" i="19"/>
  <c r="R111" i="19"/>
  <c r="Q111" i="19"/>
  <c r="P111" i="19"/>
  <c r="O111" i="19"/>
  <c r="N111" i="19"/>
  <c r="M111" i="19"/>
  <c r="L111" i="19"/>
  <c r="K111" i="19"/>
  <c r="J111" i="19"/>
  <c r="I111" i="19"/>
  <c r="H111" i="19"/>
  <c r="G111" i="19"/>
  <c r="F111" i="19"/>
  <c r="AE110" i="19"/>
  <c r="AC110" i="19"/>
  <c r="AB110" i="19"/>
  <c r="AA110" i="19"/>
  <c r="Z110" i="19"/>
  <c r="Y110" i="19"/>
  <c r="X110" i="19"/>
  <c r="W110" i="19"/>
  <c r="V110" i="19"/>
  <c r="U110" i="19"/>
  <c r="T110" i="19"/>
  <c r="S110" i="19"/>
  <c r="R110" i="19"/>
  <c r="Q110" i="19"/>
  <c r="P110" i="19"/>
  <c r="O110" i="19"/>
  <c r="N110" i="19"/>
  <c r="M110" i="19"/>
  <c r="L110" i="19"/>
  <c r="K110" i="19"/>
  <c r="J110" i="19"/>
  <c r="I110" i="19"/>
  <c r="H110" i="19"/>
  <c r="G110" i="19"/>
  <c r="F110" i="19"/>
  <c r="AE109" i="19"/>
  <c r="AC109" i="19"/>
  <c r="AB109" i="19"/>
  <c r="AA109" i="19"/>
  <c r="Z109" i="19"/>
  <c r="Y109" i="19"/>
  <c r="X109" i="19"/>
  <c r="W109" i="19"/>
  <c r="V109" i="19"/>
  <c r="U109" i="19"/>
  <c r="T109" i="19"/>
  <c r="S109" i="19"/>
  <c r="R109" i="19"/>
  <c r="Q109" i="19"/>
  <c r="P109" i="19"/>
  <c r="O109" i="19"/>
  <c r="N109" i="19"/>
  <c r="M109" i="19"/>
  <c r="L109" i="19"/>
  <c r="K109" i="19"/>
  <c r="J109" i="19"/>
  <c r="I109" i="19"/>
  <c r="H109" i="19"/>
  <c r="G109" i="19"/>
  <c r="F109" i="19"/>
  <c r="AE108" i="19"/>
  <c r="AC108" i="19"/>
  <c r="AB108" i="19"/>
  <c r="AA108" i="19"/>
  <c r="Z108" i="19"/>
  <c r="Y108" i="19"/>
  <c r="X108" i="19"/>
  <c r="W108" i="19"/>
  <c r="V108" i="19"/>
  <c r="U108" i="19"/>
  <c r="T108" i="19"/>
  <c r="S108" i="19"/>
  <c r="R108" i="19"/>
  <c r="Q108" i="19"/>
  <c r="P108" i="19"/>
  <c r="O108" i="19"/>
  <c r="N108" i="19"/>
  <c r="M108" i="19"/>
  <c r="L108" i="19"/>
  <c r="K108" i="19"/>
  <c r="J108" i="19"/>
  <c r="I108" i="19"/>
  <c r="H108" i="19"/>
  <c r="G108" i="19"/>
  <c r="F108" i="19"/>
  <c r="AE107" i="19"/>
  <c r="AC107" i="19"/>
  <c r="AB107" i="19"/>
  <c r="AA107" i="19"/>
  <c r="Z107" i="19"/>
  <c r="Y107" i="19"/>
  <c r="X107" i="19"/>
  <c r="W107" i="19"/>
  <c r="V107" i="19"/>
  <c r="U107" i="19"/>
  <c r="T107" i="19"/>
  <c r="S107" i="19"/>
  <c r="R107" i="19"/>
  <c r="Q107" i="19"/>
  <c r="P107" i="19"/>
  <c r="O107" i="19"/>
  <c r="N107" i="19"/>
  <c r="M107" i="19"/>
  <c r="L107" i="19"/>
  <c r="K107" i="19"/>
  <c r="J107" i="19"/>
  <c r="I107" i="19"/>
  <c r="H107" i="19"/>
  <c r="G107" i="19"/>
  <c r="F107" i="19"/>
  <c r="AE106" i="19"/>
  <c r="AC106" i="19"/>
  <c r="AB106" i="19"/>
  <c r="AA106" i="19"/>
  <c r="Z106" i="19"/>
  <c r="Y106" i="19"/>
  <c r="X106" i="19"/>
  <c r="W106" i="19"/>
  <c r="V106" i="19"/>
  <c r="U106" i="19"/>
  <c r="T106" i="19"/>
  <c r="S106" i="19"/>
  <c r="R106" i="19"/>
  <c r="Q106" i="19"/>
  <c r="P106" i="19"/>
  <c r="O106" i="19"/>
  <c r="N106" i="19"/>
  <c r="M106" i="19"/>
  <c r="L106" i="19"/>
  <c r="K106" i="19"/>
  <c r="J106" i="19"/>
  <c r="I106" i="19"/>
  <c r="H106" i="19"/>
  <c r="G106" i="19"/>
  <c r="F106" i="19"/>
  <c r="AE105" i="19"/>
  <c r="AC105" i="19"/>
  <c r="AB105" i="19"/>
  <c r="AA105" i="19"/>
  <c r="Z105" i="19"/>
  <c r="Y105" i="19"/>
  <c r="X105" i="19"/>
  <c r="W105" i="19"/>
  <c r="V105" i="19"/>
  <c r="U105" i="19"/>
  <c r="T105" i="19"/>
  <c r="S105" i="19"/>
  <c r="R105" i="19"/>
  <c r="Q105" i="19"/>
  <c r="P105" i="19"/>
  <c r="O105" i="19"/>
  <c r="N105" i="19"/>
  <c r="M105" i="19"/>
  <c r="L105" i="19"/>
  <c r="K105" i="19"/>
  <c r="J105" i="19"/>
  <c r="I105" i="19"/>
  <c r="H105" i="19"/>
  <c r="G105" i="19"/>
  <c r="F105" i="19"/>
  <c r="AE104" i="19"/>
  <c r="AC104" i="19"/>
  <c r="AB104" i="19"/>
  <c r="AA104" i="19"/>
  <c r="Z104" i="19"/>
  <c r="Y104" i="19"/>
  <c r="X104" i="19"/>
  <c r="W104" i="19"/>
  <c r="V104" i="19"/>
  <c r="U104" i="19"/>
  <c r="T104" i="19"/>
  <c r="S104" i="19"/>
  <c r="R104" i="19"/>
  <c r="Q104" i="19"/>
  <c r="P104" i="19"/>
  <c r="O104" i="19"/>
  <c r="N104" i="19"/>
  <c r="M104" i="19"/>
  <c r="L104" i="19"/>
  <c r="K104" i="19"/>
  <c r="J104" i="19"/>
  <c r="I104" i="19"/>
  <c r="H104" i="19"/>
  <c r="G104" i="19"/>
  <c r="F104" i="19"/>
  <c r="AE103" i="19"/>
  <c r="AC103" i="19"/>
  <c r="AB103" i="19"/>
  <c r="AA103" i="19"/>
  <c r="Z103" i="19"/>
  <c r="Y103" i="19"/>
  <c r="X103" i="19"/>
  <c r="W103" i="19"/>
  <c r="V103" i="19"/>
  <c r="U103" i="19"/>
  <c r="T103" i="19"/>
  <c r="S103" i="19"/>
  <c r="R103" i="19"/>
  <c r="Q103" i="19"/>
  <c r="P103" i="19"/>
  <c r="O103" i="19"/>
  <c r="N103" i="19"/>
  <c r="M103" i="19"/>
  <c r="L103" i="19"/>
  <c r="K103" i="19"/>
  <c r="J103" i="19"/>
  <c r="I103" i="19"/>
  <c r="H103" i="19"/>
  <c r="G103" i="19"/>
  <c r="F103" i="19"/>
  <c r="AE102" i="19"/>
  <c r="AC102" i="19"/>
  <c r="AB102" i="19"/>
  <c r="AA102" i="19"/>
  <c r="Z102" i="19"/>
  <c r="Y102" i="19"/>
  <c r="X102" i="19"/>
  <c r="W102" i="19"/>
  <c r="V102" i="19"/>
  <c r="U102" i="19"/>
  <c r="T102" i="19"/>
  <c r="S102" i="19"/>
  <c r="R102" i="19"/>
  <c r="Q102" i="19"/>
  <c r="P102" i="19"/>
  <c r="O102" i="19"/>
  <c r="N102" i="19"/>
  <c r="M102" i="19"/>
  <c r="L102" i="19"/>
  <c r="K102" i="19"/>
  <c r="J102" i="19"/>
  <c r="I102" i="19"/>
  <c r="H102" i="19"/>
  <c r="G102" i="19"/>
  <c r="F102" i="19"/>
  <c r="AE101" i="19"/>
  <c r="AC101" i="19"/>
  <c r="AB101" i="19"/>
  <c r="AA101" i="19"/>
  <c r="Z101" i="19"/>
  <c r="Y101" i="19"/>
  <c r="X101" i="19"/>
  <c r="W101" i="19"/>
  <c r="V101" i="19"/>
  <c r="U101" i="19"/>
  <c r="T101" i="19"/>
  <c r="S101" i="19"/>
  <c r="R101" i="19"/>
  <c r="Q101" i="19"/>
  <c r="P101" i="19"/>
  <c r="O101" i="19"/>
  <c r="N101" i="19"/>
  <c r="M101" i="19"/>
  <c r="L101" i="19"/>
  <c r="K101" i="19"/>
  <c r="J101" i="19"/>
  <c r="I101" i="19"/>
  <c r="H101" i="19"/>
  <c r="G101" i="19"/>
  <c r="F101" i="19"/>
  <c r="AE100" i="19"/>
  <c r="AC100" i="19"/>
  <c r="AB100" i="19"/>
  <c r="AA100" i="19"/>
  <c r="Z100" i="19"/>
  <c r="Y100" i="19"/>
  <c r="X100" i="19"/>
  <c r="W100" i="19"/>
  <c r="V100" i="19"/>
  <c r="U100" i="19"/>
  <c r="T100" i="19"/>
  <c r="S100" i="19"/>
  <c r="R100" i="19"/>
  <c r="Q100" i="19"/>
  <c r="P100" i="19"/>
  <c r="O100" i="19"/>
  <c r="N100" i="19"/>
  <c r="M100" i="19"/>
  <c r="L100" i="19"/>
  <c r="K100" i="19"/>
  <c r="J100" i="19"/>
  <c r="I100" i="19"/>
  <c r="H100" i="19"/>
  <c r="G100" i="19"/>
  <c r="F100" i="19"/>
  <c r="AE99" i="19"/>
  <c r="AC99" i="19"/>
  <c r="AB99" i="19"/>
  <c r="AA99" i="19"/>
  <c r="Z99" i="19"/>
  <c r="Y99" i="19"/>
  <c r="X99" i="19"/>
  <c r="W99" i="19"/>
  <c r="V99" i="19"/>
  <c r="U99" i="19"/>
  <c r="T99" i="19"/>
  <c r="S99" i="19"/>
  <c r="R99" i="19"/>
  <c r="Q99" i="19"/>
  <c r="P99" i="19"/>
  <c r="O99" i="19"/>
  <c r="N99" i="19"/>
  <c r="M99" i="19"/>
  <c r="L99" i="19"/>
  <c r="K99" i="19"/>
  <c r="J99" i="19"/>
  <c r="I99" i="19"/>
  <c r="H99" i="19"/>
  <c r="G99" i="19"/>
  <c r="F99" i="19"/>
  <c r="AE98" i="19"/>
  <c r="AC98" i="19"/>
  <c r="AB98" i="19"/>
  <c r="AA98" i="19"/>
  <c r="Z98" i="19"/>
  <c r="Y98" i="19"/>
  <c r="X98" i="19"/>
  <c r="W98" i="19"/>
  <c r="V98" i="19"/>
  <c r="U98" i="19"/>
  <c r="T98" i="19"/>
  <c r="S98" i="19"/>
  <c r="R98" i="19"/>
  <c r="Q98" i="19"/>
  <c r="P98" i="19"/>
  <c r="O98" i="19"/>
  <c r="N98" i="19"/>
  <c r="M98" i="19"/>
  <c r="L98" i="19"/>
  <c r="K98" i="19"/>
  <c r="J98" i="19"/>
  <c r="I98" i="19"/>
  <c r="H98" i="19"/>
  <c r="G98" i="19"/>
  <c r="F98" i="19"/>
  <c r="AE97" i="19"/>
  <c r="AC97" i="19"/>
  <c r="AB97" i="19"/>
  <c r="AA97" i="19"/>
  <c r="Z97" i="19"/>
  <c r="Y97" i="19"/>
  <c r="X97" i="19"/>
  <c r="W97" i="19"/>
  <c r="V97" i="19"/>
  <c r="U97" i="19"/>
  <c r="T97" i="19"/>
  <c r="S97" i="19"/>
  <c r="R97" i="19"/>
  <c r="Q97" i="19"/>
  <c r="P97" i="19"/>
  <c r="O97" i="19"/>
  <c r="N97" i="19"/>
  <c r="M97" i="19"/>
  <c r="L97" i="19"/>
  <c r="K97" i="19"/>
  <c r="J97" i="19"/>
  <c r="I97" i="19"/>
  <c r="H97" i="19"/>
  <c r="G97" i="19"/>
  <c r="F97" i="19"/>
  <c r="AE96" i="19"/>
  <c r="AC96" i="19"/>
  <c r="AB96" i="19"/>
  <c r="AA96" i="19"/>
  <c r="Z96" i="19"/>
  <c r="Y96" i="19"/>
  <c r="X96" i="19"/>
  <c r="W96" i="19"/>
  <c r="V96" i="19"/>
  <c r="U96" i="19"/>
  <c r="T96" i="19"/>
  <c r="S96" i="19"/>
  <c r="R96" i="19"/>
  <c r="Q96" i="19"/>
  <c r="P96" i="19"/>
  <c r="O96" i="19"/>
  <c r="N96" i="19"/>
  <c r="M96" i="19"/>
  <c r="L96" i="19"/>
  <c r="K96" i="19"/>
  <c r="J96" i="19"/>
  <c r="I96" i="19"/>
  <c r="H96" i="19"/>
  <c r="G96" i="19"/>
  <c r="F96" i="19"/>
  <c r="AE95" i="19"/>
  <c r="AC95" i="19"/>
  <c r="AB95" i="19"/>
  <c r="AA95" i="19"/>
  <c r="Z95" i="19"/>
  <c r="Y95" i="19"/>
  <c r="X95" i="19"/>
  <c r="W95" i="19"/>
  <c r="V95" i="19"/>
  <c r="U95" i="19"/>
  <c r="T95" i="19"/>
  <c r="S95" i="19"/>
  <c r="R95" i="19"/>
  <c r="Q95" i="19"/>
  <c r="P95" i="19"/>
  <c r="O95" i="19"/>
  <c r="N95" i="19"/>
  <c r="M95" i="19"/>
  <c r="L95" i="19"/>
  <c r="K95" i="19"/>
  <c r="J95" i="19"/>
  <c r="I95" i="19"/>
  <c r="H95" i="19"/>
  <c r="G95" i="19"/>
  <c r="F95" i="19"/>
  <c r="AE94" i="19"/>
  <c r="AC94" i="19"/>
  <c r="AB94" i="19"/>
  <c r="AA94" i="19"/>
  <c r="Z94" i="19"/>
  <c r="Y94" i="19"/>
  <c r="X94" i="19"/>
  <c r="W94" i="19"/>
  <c r="V94" i="19"/>
  <c r="U94" i="19"/>
  <c r="T94" i="19"/>
  <c r="S94" i="19"/>
  <c r="R94" i="19"/>
  <c r="Q94" i="19"/>
  <c r="P94" i="19"/>
  <c r="O94" i="19"/>
  <c r="N94" i="19"/>
  <c r="M94" i="19"/>
  <c r="L94" i="19"/>
  <c r="K94" i="19"/>
  <c r="J94" i="19"/>
  <c r="I94" i="19"/>
  <c r="H94" i="19"/>
  <c r="G94" i="19"/>
  <c r="F94" i="19"/>
  <c r="AE93" i="19"/>
  <c r="AC93" i="19"/>
  <c r="AB93" i="19"/>
  <c r="AA93" i="19"/>
  <c r="Z93" i="19"/>
  <c r="Y93" i="19"/>
  <c r="X93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H93" i="19"/>
  <c r="G93" i="19"/>
  <c r="F93" i="19"/>
  <c r="AE92" i="19"/>
  <c r="AC92" i="19"/>
  <c r="AB92" i="19"/>
  <c r="AA92" i="19"/>
  <c r="Z92" i="19"/>
  <c r="Y92" i="19"/>
  <c r="X92" i="19"/>
  <c r="W92" i="19"/>
  <c r="V92" i="19"/>
  <c r="U92" i="19"/>
  <c r="T92" i="19"/>
  <c r="S92" i="19"/>
  <c r="R92" i="19"/>
  <c r="Q92" i="19"/>
  <c r="P92" i="19"/>
  <c r="O92" i="19"/>
  <c r="N92" i="19"/>
  <c r="M92" i="19"/>
  <c r="L92" i="19"/>
  <c r="K92" i="19"/>
  <c r="J92" i="19"/>
  <c r="I92" i="19"/>
  <c r="H92" i="19"/>
  <c r="G92" i="19"/>
  <c r="F92" i="19"/>
  <c r="AE91" i="19"/>
  <c r="AC91" i="19"/>
  <c r="AB91" i="19"/>
  <c r="AA91" i="19"/>
  <c r="Z91" i="19"/>
  <c r="Y91" i="19"/>
  <c r="X91" i="19"/>
  <c r="W91" i="19"/>
  <c r="V91" i="19"/>
  <c r="U91" i="19"/>
  <c r="T91" i="19"/>
  <c r="S91" i="19"/>
  <c r="R91" i="19"/>
  <c r="Q91" i="19"/>
  <c r="P91" i="19"/>
  <c r="O91" i="19"/>
  <c r="N91" i="19"/>
  <c r="M91" i="19"/>
  <c r="L91" i="19"/>
  <c r="K91" i="19"/>
  <c r="J91" i="19"/>
  <c r="I91" i="19"/>
  <c r="H91" i="19"/>
  <c r="G91" i="19"/>
  <c r="F91" i="19"/>
  <c r="AE90" i="19"/>
  <c r="AC90" i="19"/>
  <c r="AB90" i="19"/>
  <c r="AA90" i="19"/>
  <c r="Z90" i="19"/>
  <c r="Y90" i="19"/>
  <c r="X90" i="19"/>
  <c r="W90" i="19"/>
  <c r="V90" i="19"/>
  <c r="U90" i="19"/>
  <c r="T90" i="19"/>
  <c r="S90" i="19"/>
  <c r="R90" i="19"/>
  <c r="Q90" i="19"/>
  <c r="P90" i="19"/>
  <c r="O90" i="19"/>
  <c r="N90" i="19"/>
  <c r="M90" i="19"/>
  <c r="L90" i="19"/>
  <c r="K90" i="19"/>
  <c r="J90" i="19"/>
  <c r="I90" i="19"/>
  <c r="H90" i="19"/>
  <c r="G90" i="19"/>
  <c r="F90" i="19"/>
  <c r="AE89" i="19"/>
  <c r="AC89" i="19"/>
  <c r="AB89" i="19"/>
  <c r="AA89" i="19"/>
  <c r="Z89" i="19"/>
  <c r="Y89" i="19"/>
  <c r="X89" i="19"/>
  <c r="W89" i="19"/>
  <c r="V89" i="19"/>
  <c r="U89" i="19"/>
  <c r="T89" i="19"/>
  <c r="S89" i="19"/>
  <c r="R89" i="19"/>
  <c r="Q89" i="19"/>
  <c r="P89" i="19"/>
  <c r="O89" i="19"/>
  <c r="N89" i="19"/>
  <c r="M89" i="19"/>
  <c r="L89" i="19"/>
  <c r="K89" i="19"/>
  <c r="J89" i="19"/>
  <c r="I89" i="19"/>
  <c r="H89" i="19"/>
  <c r="G89" i="19"/>
  <c r="F89" i="19"/>
  <c r="AE88" i="19"/>
  <c r="AC88" i="19"/>
  <c r="AB88" i="19"/>
  <c r="AA88" i="19"/>
  <c r="Z88" i="19"/>
  <c r="Y88" i="19"/>
  <c r="X88" i="19"/>
  <c r="W88" i="19"/>
  <c r="V88" i="19"/>
  <c r="U88" i="19"/>
  <c r="T88" i="19"/>
  <c r="S88" i="19"/>
  <c r="R88" i="19"/>
  <c r="Q88" i="19"/>
  <c r="P88" i="19"/>
  <c r="O88" i="19"/>
  <c r="N88" i="19"/>
  <c r="M88" i="19"/>
  <c r="L88" i="19"/>
  <c r="K88" i="19"/>
  <c r="J88" i="19"/>
  <c r="I88" i="19"/>
  <c r="H88" i="19"/>
  <c r="G88" i="19"/>
  <c r="F88" i="19"/>
  <c r="AE87" i="19"/>
  <c r="AC87" i="19"/>
  <c r="AB87" i="19"/>
  <c r="AA87" i="19"/>
  <c r="Z87" i="19"/>
  <c r="Y87" i="19"/>
  <c r="X87" i="19"/>
  <c r="W87" i="19"/>
  <c r="V87" i="19"/>
  <c r="U87" i="19"/>
  <c r="T87" i="19"/>
  <c r="S87" i="19"/>
  <c r="R87" i="19"/>
  <c r="Q87" i="19"/>
  <c r="P87" i="19"/>
  <c r="O87" i="19"/>
  <c r="N87" i="19"/>
  <c r="M87" i="19"/>
  <c r="L87" i="19"/>
  <c r="K87" i="19"/>
  <c r="J87" i="19"/>
  <c r="I87" i="19"/>
  <c r="H87" i="19"/>
  <c r="G87" i="19"/>
  <c r="F87" i="19"/>
  <c r="AE86" i="19"/>
  <c r="AC86" i="19"/>
  <c r="AB86" i="19"/>
  <c r="AA86" i="19"/>
  <c r="Z86" i="19"/>
  <c r="Y86" i="19"/>
  <c r="X86" i="19"/>
  <c r="W86" i="19"/>
  <c r="V86" i="19"/>
  <c r="U86" i="19"/>
  <c r="T86" i="19"/>
  <c r="S86" i="19"/>
  <c r="R86" i="19"/>
  <c r="Q86" i="19"/>
  <c r="P86" i="19"/>
  <c r="O86" i="19"/>
  <c r="N86" i="19"/>
  <c r="M86" i="19"/>
  <c r="L86" i="19"/>
  <c r="K86" i="19"/>
  <c r="J86" i="19"/>
  <c r="I86" i="19"/>
  <c r="H86" i="19"/>
  <c r="G86" i="19"/>
  <c r="F86" i="19"/>
  <c r="AE85" i="19"/>
  <c r="AC85" i="19"/>
  <c r="AB85" i="19"/>
  <c r="AA85" i="19"/>
  <c r="Z85" i="19"/>
  <c r="Y85" i="19"/>
  <c r="X85" i="19"/>
  <c r="W85" i="19"/>
  <c r="V85" i="19"/>
  <c r="U85" i="19"/>
  <c r="T85" i="19"/>
  <c r="S85" i="19"/>
  <c r="R85" i="19"/>
  <c r="Q85" i="19"/>
  <c r="P85" i="19"/>
  <c r="O85" i="19"/>
  <c r="N85" i="19"/>
  <c r="M85" i="19"/>
  <c r="L85" i="19"/>
  <c r="K85" i="19"/>
  <c r="J85" i="19"/>
  <c r="I85" i="19"/>
  <c r="H85" i="19"/>
  <c r="G85" i="19"/>
  <c r="F85" i="19"/>
  <c r="AE84" i="19"/>
  <c r="AC84" i="19"/>
  <c r="AB84" i="19"/>
  <c r="AA84" i="19"/>
  <c r="Z84" i="19"/>
  <c r="Y84" i="19"/>
  <c r="X84" i="19"/>
  <c r="W84" i="19"/>
  <c r="V84" i="19"/>
  <c r="U84" i="19"/>
  <c r="T84" i="19"/>
  <c r="S84" i="19"/>
  <c r="R84" i="19"/>
  <c r="Q84" i="19"/>
  <c r="P84" i="19"/>
  <c r="O84" i="19"/>
  <c r="N84" i="19"/>
  <c r="M84" i="19"/>
  <c r="L84" i="19"/>
  <c r="K84" i="19"/>
  <c r="J84" i="19"/>
  <c r="I84" i="19"/>
  <c r="H84" i="19"/>
  <c r="G84" i="19"/>
  <c r="F84" i="19"/>
  <c r="AE83" i="19"/>
  <c r="AC83" i="19"/>
  <c r="AB83" i="19"/>
  <c r="AA83" i="19"/>
  <c r="Z83" i="19"/>
  <c r="Y83" i="19"/>
  <c r="X83" i="19"/>
  <c r="W83" i="19"/>
  <c r="V83" i="19"/>
  <c r="U83" i="19"/>
  <c r="T83" i="19"/>
  <c r="S83" i="19"/>
  <c r="R83" i="19"/>
  <c r="Q83" i="19"/>
  <c r="P83" i="19"/>
  <c r="O83" i="19"/>
  <c r="N83" i="19"/>
  <c r="M83" i="19"/>
  <c r="L83" i="19"/>
  <c r="K83" i="19"/>
  <c r="J83" i="19"/>
  <c r="I83" i="19"/>
  <c r="H83" i="19"/>
  <c r="G83" i="19"/>
  <c r="F83" i="19"/>
  <c r="AE82" i="19"/>
  <c r="AC82" i="19"/>
  <c r="AB82" i="19"/>
  <c r="AA82" i="19"/>
  <c r="Z82" i="19"/>
  <c r="Y82" i="19"/>
  <c r="X82" i="19"/>
  <c r="W82" i="19"/>
  <c r="V82" i="19"/>
  <c r="U82" i="19"/>
  <c r="T82" i="19"/>
  <c r="S82" i="19"/>
  <c r="R82" i="19"/>
  <c r="Q82" i="19"/>
  <c r="P82" i="19"/>
  <c r="O82" i="19"/>
  <c r="N82" i="19"/>
  <c r="M82" i="19"/>
  <c r="L82" i="19"/>
  <c r="K82" i="19"/>
  <c r="J82" i="19"/>
  <c r="I82" i="19"/>
  <c r="H82" i="19"/>
  <c r="G82" i="19"/>
  <c r="F82" i="19"/>
  <c r="AE81" i="19"/>
  <c r="AC81" i="19"/>
  <c r="AB81" i="19"/>
  <c r="AA81" i="19"/>
  <c r="Z81" i="19"/>
  <c r="Y81" i="19"/>
  <c r="X81" i="19"/>
  <c r="W81" i="19"/>
  <c r="V81" i="19"/>
  <c r="U81" i="19"/>
  <c r="T81" i="19"/>
  <c r="S81" i="19"/>
  <c r="R81" i="19"/>
  <c r="Q81" i="19"/>
  <c r="P81" i="19"/>
  <c r="O81" i="19"/>
  <c r="N81" i="19"/>
  <c r="M81" i="19"/>
  <c r="L81" i="19"/>
  <c r="K81" i="19"/>
  <c r="J81" i="19"/>
  <c r="I81" i="19"/>
  <c r="H81" i="19"/>
  <c r="G81" i="19"/>
  <c r="F81" i="19"/>
  <c r="AE80" i="19"/>
  <c r="AC80" i="19"/>
  <c r="AB80" i="19"/>
  <c r="AA80" i="19"/>
  <c r="Z80" i="19"/>
  <c r="Y80" i="19"/>
  <c r="X80" i="19"/>
  <c r="W80" i="19"/>
  <c r="V80" i="19"/>
  <c r="U80" i="19"/>
  <c r="T80" i="19"/>
  <c r="S80" i="19"/>
  <c r="R80" i="19"/>
  <c r="Q80" i="19"/>
  <c r="P80" i="19"/>
  <c r="O80" i="19"/>
  <c r="N80" i="19"/>
  <c r="M80" i="19"/>
  <c r="L80" i="19"/>
  <c r="K80" i="19"/>
  <c r="J80" i="19"/>
  <c r="I80" i="19"/>
  <c r="H80" i="19"/>
  <c r="G80" i="19"/>
  <c r="F80" i="19"/>
  <c r="AE79" i="19"/>
  <c r="AC79" i="19"/>
  <c r="AB79" i="19"/>
  <c r="AA79" i="19"/>
  <c r="Z79" i="19"/>
  <c r="Y79" i="19"/>
  <c r="X79" i="19"/>
  <c r="W79" i="19"/>
  <c r="V79" i="19"/>
  <c r="U79" i="19"/>
  <c r="T79" i="19"/>
  <c r="S79" i="19"/>
  <c r="R79" i="19"/>
  <c r="Q79" i="19"/>
  <c r="P79" i="19"/>
  <c r="O79" i="19"/>
  <c r="N79" i="19"/>
  <c r="M79" i="19"/>
  <c r="L79" i="19"/>
  <c r="K79" i="19"/>
  <c r="J79" i="19"/>
  <c r="I79" i="19"/>
  <c r="H79" i="19"/>
  <c r="G79" i="19"/>
  <c r="F79" i="19"/>
  <c r="AE78" i="19"/>
  <c r="AC78" i="19"/>
  <c r="AB78" i="19"/>
  <c r="AA78" i="19"/>
  <c r="Z78" i="19"/>
  <c r="Y78" i="19"/>
  <c r="X78" i="19"/>
  <c r="W78" i="19"/>
  <c r="V78" i="19"/>
  <c r="U78" i="19"/>
  <c r="T78" i="19"/>
  <c r="S78" i="19"/>
  <c r="R78" i="19"/>
  <c r="Q78" i="19"/>
  <c r="P78" i="19"/>
  <c r="O78" i="19"/>
  <c r="N78" i="19"/>
  <c r="M78" i="19"/>
  <c r="L78" i="19"/>
  <c r="K78" i="19"/>
  <c r="J78" i="19"/>
  <c r="I78" i="19"/>
  <c r="H78" i="19"/>
  <c r="G78" i="19"/>
  <c r="F78" i="19"/>
  <c r="AE77" i="19"/>
  <c r="AC77" i="19"/>
  <c r="AB77" i="19"/>
  <c r="AA77" i="19"/>
  <c r="Z77" i="19"/>
  <c r="Y77" i="19"/>
  <c r="X77" i="19"/>
  <c r="W77" i="19"/>
  <c r="V77" i="19"/>
  <c r="U77" i="19"/>
  <c r="T77" i="19"/>
  <c r="S77" i="19"/>
  <c r="R77" i="19"/>
  <c r="Q77" i="19"/>
  <c r="P77" i="19"/>
  <c r="O77" i="19"/>
  <c r="N77" i="19"/>
  <c r="M77" i="19"/>
  <c r="L77" i="19"/>
  <c r="K77" i="19"/>
  <c r="J77" i="19"/>
  <c r="I77" i="19"/>
  <c r="H77" i="19"/>
  <c r="G77" i="19"/>
  <c r="F77" i="19"/>
  <c r="AE76" i="19"/>
  <c r="AC76" i="19"/>
  <c r="AB76" i="19"/>
  <c r="AA76" i="19"/>
  <c r="Z76" i="19"/>
  <c r="Y76" i="19"/>
  <c r="X76" i="19"/>
  <c r="W76" i="19"/>
  <c r="V76" i="19"/>
  <c r="U76" i="19"/>
  <c r="T76" i="19"/>
  <c r="S76" i="19"/>
  <c r="R76" i="19"/>
  <c r="Q76" i="19"/>
  <c r="P76" i="19"/>
  <c r="O76" i="19"/>
  <c r="N76" i="19"/>
  <c r="M76" i="19"/>
  <c r="L76" i="19"/>
  <c r="K76" i="19"/>
  <c r="J76" i="19"/>
  <c r="I76" i="19"/>
  <c r="H76" i="19"/>
  <c r="G76" i="19"/>
  <c r="F76" i="19"/>
  <c r="AE75" i="19"/>
  <c r="AC75" i="19"/>
  <c r="AB75" i="19"/>
  <c r="AA75" i="19"/>
  <c r="Z75" i="19"/>
  <c r="Y75" i="19"/>
  <c r="X75" i="19"/>
  <c r="W75" i="19"/>
  <c r="V75" i="19"/>
  <c r="U75" i="19"/>
  <c r="T75" i="19"/>
  <c r="S75" i="19"/>
  <c r="R75" i="19"/>
  <c r="Q75" i="19"/>
  <c r="P75" i="19"/>
  <c r="O75" i="19"/>
  <c r="N75" i="19"/>
  <c r="M75" i="19"/>
  <c r="L75" i="19"/>
  <c r="K75" i="19"/>
  <c r="J75" i="19"/>
  <c r="I75" i="19"/>
  <c r="H75" i="19"/>
  <c r="G75" i="19"/>
  <c r="F75" i="19"/>
  <c r="AE74" i="19"/>
  <c r="AC74" i="19"/>
  <c r="AB74" i="19"/>
  <c r="AA74" i="19"/>
  <c r="Z74" i="19"/>
  <c r="Y74" i="19"/>
  <c r="X74" i="19"/>
  <c r="W74" i="19"/>
  <c r="V74" i="19"/>
  <c r="U74" i="19"/>
  <c r="T74" i="19"/>
  <c r="S74" i="19"/>
  <c r="R74" i="19"/>
  <c r="Q74" i="19"/>
  <c r="P74" i="19"/>
  <c r="O74" i="19"/>
  <c r="N74" i="19"/>
  <c r="M74" i="19"/>
  <c r="L74" i="19"/>
  <c r="K74" i="19"/>
  <c r="J74" i="19"/>
  <c r="I74" i="19"/>
  <c r="H74" i="19"/>
  <c r="G74" i="19"/>
  <c r="F74" i="19"/>
  <c r="AE73" i="19"/>
  <c r="AC73" i="19"/>
  <c r="AB73" i="19"/>
  <c r="AA73" i="19"/>
  <c r="Z73" i="19"/>
  <c r="Y73" i="19"/>
  <c r="X73" i="19"/>
  <c r="W73" i="19"/>
  <c r="V73" i="19"/>
  <c r="U73" i="19"/>
  <c r="T73" i="19"/>
  <c r="S73" i="19"/>
  <c r="R73" i="19"/>
  <c r="Q73" i="19"/>
  <c r="P73" i="19"/>
  <c r="O73" i="19"/>
  <c r="N73" i="19"/>
  <c r="M73" i="19"/>
  <c r="L73" i="19"/>
  <c r="K73" i="19"/>
  <c r="J73" i="19"/>
  <c r="I73" i="19"/>
  <c r="H73" i="19"/>
  <c r="G73" i="19"/>
  <c r="F73" i="19"/>
  <c r="AE72" i="19"/>
  <c r="AC72" i="19"/>
  <c r="AB72" i="19"/>
  <c r="AA72" i="19"/>
  <c r="Z72" i="19"/>
  <c r="Y72" i="19"/>
  <c r="X72" i="19"/>
  <c r="W72" i="19"/>
  <c r="V72" i="19"/>
  <c r="U72" i="19"/>
  <c r="T72" i="19"/>
  <c r="S72" i="19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AE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AE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AE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AE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AE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AE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AE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AE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AE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AE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AE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AE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AE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AE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AE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AE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AE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AE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AE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AE52" i="19"/>
  <c r="AC52" i="19"/>
  <c r="AB52" i="19"/>
  <c r="AA52" i="19"/>
  <c r="Z52" i="19"/>
  <c r="Y52" i="19"/>
  <c r="X52" i="19"/>
  <c r="W52" i="19"/>
  <c r="V52" i="19"/>
  <c r="U52" i="19"/>
  <c r="T52" i="19"/>
  <c r="S52" i="19"/>
  <c r="R52" i="19"/>
  <c r="Q52" i="19"/>
  <c r="P52" i="19"/>
  <c r="O52" i="19"/>
  <c r="N52" i="19"/>
  <c r="M52" i="19"/>
  <c r="L52" i="19"/>
  <c r="K52" i="19"/>
  <c r="J52" i="19"/>
  <c r="I52" i="19"/>
  <c r="H52" i="19"/>
  <c r="G52" i="19"/>
  <c r="F52" i="19"/>
  <c r="AE51" i="19"/>
  <c r="AC51" i="19"/>
  <c r="AB51" i="19"/>
  <c r="AA51" i="19"/>
  <c r="Z51" i="19"/>
  <c r="Y51" i="19"/>
  <c r="X51" i="19"/>
  <c r="W51" i="19"/>
  <c r="V51" i="19"/>
  <c r="U51" i="19"/>
  <c r="T51" i="19"/>
  <c r="S51" i="19"/>
  <c r="R51" i="19"/>
  <c r="Q51" i="19"/>
  <c r="P51" i="19"/>
  <c r="O51" i="19"/>
  <c r="N51" i="19"/>
  <c r="M51" i="19"/>
  <c r="L51" i="19"/>
  <c r="K51" i="19"/>
  <c r="J51" i="19"/>
  <c r="I51" i="19"/>
  <c r="H51" i="19"/>
  <c r="G51" i="19"/>
  <c r="F51" i="19"/>
  <c r="AE50" i="19"/>
  <c r="AC50" i="19"/>
  <c r="AB50" i="19"/>
  <c r="AA50" i="19"/>
  <c r="Z50" i="19"/>
  <c r="Y50" i="19"/>
  <c r="X50" i="19"/>
  <c r="W50" i="19"/>
  <c r="V50" i="19"/>
  <c r="U50" i="19"/>
  <c r="T50" i="19"/>
  <c r="S50" i="19"/>
  <c r="R50" i="19"/>
  <c r="Q50" i="19"/>
  <c r="P50" i="19"/>
  <c r="O50" i="19"/>
  <c r="N50" i="19"/>
  <c r="M50" i="19"/>
  <c r="L50" i="19"/>
  <c r="K50" i="19"/>
  <c r="J50" i="19"/>
  <c r="I50" i="19"/>
  <c r="H50" i="19"/>
  <c r="G50" i="19"/>
  <c r="F50" i="19"/>
  <c r="AE49" i="19"/>
  <c r="AC49" i="19"/>
  <c r="AB49" i="19"/>
  <c r="AA49" i="19"/>
  <c r="Z49" i="19"/>
  <c r="Y49" i="19"/>
  <c r="X49" i="19"/>
  <c r="W49" i="19"/>
  <c r="V49" i="19"/>
  <c r="U49" i="19"/>
  <c r="T49" i="19"/>
  <c r="S49" i="19"/>
  <c r="R49" i="19"/>
  <c r="Q49" i="19"/>
  <c r="P49" i="19"/>
  <c r="O49" i="19"/>
  <c r="N49" i="19"/>
  <c r="M49" i="19"/>
  <c r="L49" i="19"/>
  <c r="K49" i="19"/>
  <c r="J49" i="19"/>
  <c r="I49" i="19"/>
  <c r="H49" i="19"/>
  <c r="G49" i="19"/>
  <c r="F49" i="19"/>
  <c r="AE48" i="19"/>
  <c r="AC48" i="19"/>
  <c r="AB48" i="19"/>
  <c r="AA48" i="19"/>
  <c r="Z48" i="19"/>
  <c r="Y48" i="19"/>
  <c r="X48" i="19"/>
  <c r="W48" i="19"/>
  <c r="V48" i="19"/>
  <c r="U48" i="19"/>
  <c r="T48" i="19"/>
  <c r="S48" i="19"/>
  <c r="R48" i="19"/>
  <c r="Q48" i="19"/>
  <c r="P48" i="19"/>
  <c r="O48" i="19"/>
  <c r="N48" i="19"/>
  <c r="M48" i="19"/>
  <c r="L48" i="19"/>
  <c r="K48" i="19"/>
  <c r="J48" i="19"/>
  <c r="I48" i="19"/>
  <c r="H48" i="19"/>
  <c r="G48" i="19"/>
  <c r="F48" i="19"/>
  <c r="AE47" i="19"/>
  <c r="AC47" i="19"/>
  <c r="AB47" i="19"/>
  <c r="AA47" i="19"/>
  <c r="Z47" i="19"/>
  <c r="Y47" i="19"/>
  <c r="X47" i="19"/>
  <c r="W47" i="19"/>
  <c r="V47" i="19"/>
  <c r="U47" i="19"/>
  <c r="T47" i="19"/>
  <c r="S47" i="19"/>
  <c r="R47" i="19"/>
  <c r="Q47" i="19"/>
  <c r="P47" i="19"/>
  <c r="O47" i="19"/>
  <c r="N47" i="19"/>
  <c r="M47" i="19"/>
  <c r="L47" i="19"/>
  <c r="K47" i="19"/>
  <c r="J47" i="19"/>
  <c r="I47" i="19"/>
  <c r="H47" i="19"/>
  <c r="G47" i="19"/>
  <c r="F47" i="19"/>
  <c r="AE46" i="19"/>
  <c r="AC46" i="19"/>
  <c r="AB46" i="19"/>
  <c r="AA46" i="19"/>
  <c r="Z46" i="19"/>
  <c r="Y46" i="19"/>
  <c r="X46" i="19"/>
  <c r="W46" i="19"/>
  <c r="V46" i="19"/>
  <c r="U46" i="19"/>
  <c r="T46" i="19"/>
  <c r="S46" i="19"/>
  <c r="R46" i="19"/>
  <c r="Q46" i="19"/>
  <c r="P46" i="19"/>
  <c r="O46" i="19"/>
  <c r="N46" i="19"/>
  <c r="M46" i="19"/>
  <c r="L46" i="19"/>
  <c r="K46" i="19"/>
  <c r="J46" i="19"/>
  <c r="I46" i="19"/>
  <c r="H46" i="19"/>
  <c r="G46" i="19"/>
  <c r="F46" i="19"/>
  <c r="AE45" i="19"/>
  <c r="AC45" i="19"/>
  <c r="AB45" i="19"/>
  <c r="AA45" i="19"/>
  <c r="Z45" i="19"/>
  <c r="Y45" i="19"/>
  <c r="X45" i="19"/>
  <c r="W45" i="19"/>
  <c r="V45" i="19"/>
  <c r="U45" i="19"/>
  <c r="T45" i="19"/>
  <c r="S45" i="19"/>
  <c r="R45" i="19"/>
  <c r="Q45" i="19"/>
  <c r="P45" i="19"/>
  <c r="O45" i="19"/>
  <c r="N45" i="19"/>
  <c r="M45" i="19"/>
  <c r="L45" i="19"/>
  <c r="K45" i="19"/>
  <c r="J45" i="19"/>
  <c r="I45" i="19"/>
  <c r="H45" i="19"/>
  <c r="G45" i="19"/>
  <c r="F45" i="19"/>
  <c r="AE44" i="19"/>
  <c r="AC44" i="19"/>
  <c r="AB44" i="19"/>
  <c r="AA44" i="19"/>
  <c r="Z44" i="19"/>
  <c r="Y44" i="19"/>
  <c r="X44" i="19"/>
  <c r="W44" i="19"/>
  <c r="V44" i="19"/>
  <c r="U44" i="19"/>
  <c r="T44" i="19"/>
  <c r="S44" i="19"/>
  <c r="R44" i="19"/>
  <c r="Q44" i="19"/>
  <c r="P44" i="19"/>
  <c r="O44" i="19"/>
  <c r="N44" i="19"/>
  <c r="M44" i="19"/>
  <c r="L44" i="19"/>
  <c r="K44" i="19"/>
  <c r="J44" i="19"/>
  <c r="I44" i="19"/>
  <c r="H44" i="19"/>
  <c r="G44" i="19"/>
  <c r="F44" i="19"/>
  <c r="AE43" i="19"/>
  <c r="AC43" i="19"/>
  <c r="AB43" i="19"/>
  <c r="AA43" i="19"/>
  <c r="Z43" i="19"/>
  <c r="Y43" i="19"/>
  <c r="X43" i="19"/>
  <c r="W43" i="19"/>
  <c r="V43" i="19"/>
  <c r="U43" i="19"/>
  <c r="T43" i="19"/>
  <c r="S43" i="19"/>
  <c r="R43" i="19"/>
  <c r="Q43" i="19"/>
  <c r="P43" i="19"/>
  <c r="O43" i="19"/>
  <c r="N43" i="19"/>
  <c r="M43" i="19"/>
  <c r="L43" i="19"/>
  <c r="K43" i="19"/>
  <c r="J43" i="19"/>
  <c r="I43" i="19"/>
  <c r="H43" i="19"/>
  <c r="G43" i="19"/>
  <c r="F43" i="19"/>
  <c r="AE42" i="19"/>
  <c r="AC42" i="19"/>
  <c r="AB42" i="19"/>
  <c r="AA42" i="19"/>
  <c r="Z42" i="19"/>
  <c r="Y42" i="19"/>
  <c r="X42" i="19"/>
  <c r="W42" i="19"/>
  <c r="V42" i="19"/>
  <c r="U42" i="19"/>
  <c r="T42" i="19"/>
  <c r="S42" i="19"/>
  <c r="R42" i="19"/>
  <c r="Q42" i="19"/>
  <c r="P42" i="19"/>
  <c r="O42" i="19"/>
  <c r="N42" i="19"/>
  <c r="M42" i="19"/>
  <c r="L42" i="19"/>
  <c r="K42" i="19"/>
  <c r="J42" i="19"/>
  <c r="I42" i="19"/>
  <c r="H42" i="19"/>
  <c r="G42" i="19"/>
  <c r="F42" i="19"/>
  <c r="AE41" i="19"/>
  <c r="AC41" i="19"/>
  <c r="AB41" i="19"/>
  <c r="AA41" i="19"/>
  <c r="Z41" i="19"/>
  <c r="Y41" i="19"/>
  <c r="X41" i="19"/>
  <c r="W41" i="19"/>
  <c r="V41" i="19"/>
  <c r="U41" i="19"/>
  <c r="T41" i="19"/>
  <c r="S41" i="19"/>
  <c r="R41" i="19"/>
  <c r="Q41" i="19"/>
  <c r="P41" i="19"/>
  <c r="O41" i="19"/>
  <c r="N41" i="19"/>
  <c r="M41" i="19"/>
  <c r="L41" i="19"/>
  <c r="K41" i="19"/>
  <c r="J41" i="19"/>
  <c r="I41" i="19"/>
  <c r="H41" i="19"/>
  <c r="G41" i="19"/>
  <c r="F41" i="19"/>
  <c r="AE40" i="19"/>
  <c r="AC40" i="19"/>
  <c r="AB40" i="19"/>
  <c r="AA40" i="19"/>
  <c r="Z40" i="19"/>
  <c r="Y40" i="19"/>
  <c r="X40" i="19"/>
  <c r="W40" i="19"/>
  <c r="V40" i="19"/>
  <c r="U40" i="19"/>
  <c r="T40" i="19"/>
  <c r="S40" i="19"/>
  <c r="R40" i="19"/>
  <c r="Q40" i="19"/>
  <c r="P40" i="19"/>
  <c r="O40" i="19"/>
  <c r="N40" i="19"/>
  <c r="M40" i="19"/>
  <c r="L40" i="19"/>
  <c r="K40" i="19"/>
  <c r="J40" i="19"/>
  <c r="I40" i="19"/>
  <c r="H40" i="19"/>
  <c r="G40" i="19"/>
  <c r="F40" i="19"/>
  <c r="AE39" i="19"/>
  <c r="AC39" i="19"/>
  <c r="AB39" i="19"/>
  <c r="AA39" i="19"/>
  <c r="Z39" i="19"/>
  <c r="Y39" i="19"/>
  <c r="X39" i="19"/>
  <c r="W39" i="19"/>
  <c r="V39" i="19"/>
  <c r="U39" i="19"/>
  <c r="T39" i="19"/>
  <c r="S39" i="19"/>
  <c r="R39" i="19"/>
  <c r="Q39" i="19"/>
  <c r="P39" i="19"/>
  <c r="O39" i="19"/>
  <c r="N39" i="19"/>
  <c r="M39" i="19"/>
  <c r="L39" i="19"/>
  <c r="K39" i="19"/>
  <c r="J39" i="19"/>
  <c r="I39" i="19"/>
  <c r="H39" i="19"/>
  <c r="G39" i="19"/>
  <c r="F39" i="19"/>
  <c r="AE38" i="19"/>
  <c r="AC38" i="19"/>
  <c r="AB38" i="19"/>
  <c r="AA38" i="19"/>
  <c r="Z38" i="19"/>
  <c r="Y38" i="19"/>
  <c r="X38" i="19"/>
  <c r="W38" i="19"/>
  <c r="V38" i="19"/>
  <c r="U38" i="19"/>
  <c r="T38" i="19"/>
  <c r="S38" i="19"/>
  <c r="R38" i="19"/>
  <c r="Q38" i="19"/>
  <c r="P38" i="19"/>
  <c r="O38" i="19"/>
  <c r="N38" i="19"/>
  <c r="M38" i="19"/>
  <c r="L38" i="19"/>
  <c r="K38" i="19"/>
  <c r="J38" i="19"/>
  <c r="I38" i="19"/>
  <c r="H38" i="19"/>
  <c r="G38" i="19"/>
  <c r="F38" i="19"/>
  <c r="AE37" i="19"/>
  <c r="AC37" i="19"/>
  <c r="AB37" i="19"/>
  <c r="AA37" i="19"/>
  <c r="Z37" i="19"/>
  <c r="Y37" i="19"/>
  <c r="X37" i="19"/>
  <c r="W37" i="19"/>
  <c r="V37" i="19"/>
  <c r="U37" i="19"/>
  <c r="T37" i="19"/>
  <c r="S37" i="19"/>
  <c r="R37" i="19"/>
  <c r="Q37" i="19"/>
  <c r="P37" i="19"/>
  <c r="O37" i="19"/>
  <c r="N37" i="19"/>
  <c r="M37" i="19"/>
  <c r="L37" i="19"/>
  <c r="K37" i="19"/>
  <c r="J37" i="19"/>
  <c r="I37" i="19"/>
  <c r="H37" i="19"/>
  <c r="G37" i="19"/>
  <c r="F37" i="19"/>
  <c r="AE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P36" i="19"/>
  <c r="O36" i="19"/>
  <c r="N36" i="19"/>
  <c r="M36" i="19"/>
  <c r="L36" i="19"/>
  <c r="K36" i="19"/>
  <c r="J36" i="19"/>
  <c r="I36" i="19"/>
  <c r="H36" i="19"/>
  <c r="G36" i="19"/>
  <c r="F36" i="19"/>
  <c r="AE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P35" i="19"/>
  <c r="O35" i="19"/>
  <c r="N35" i="19"/>
  <c r="M35" i="19"/>
  <c r="L35" i="19"/>
  <c r="K35" i="19"/>
  <c r="J35" i="19"/>
  <c r="I35" i="19"/>
  <c r="H35" i="19"/>
  <c r="G35" i="19"/>
  <c r="F35" i="19"/>
  <c r="AE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P34" i="19"/>
  <c r="O34" i="19"/>
  <c r="N34" i="19"/>
  <c r="M34" i="19"/>
  <c r="L34" i="19"/>
  <c r="K34" i="19"/>
  <c r="J34" i="19"/>
  <c r="I34" i="19"/>
  <c r="H34" i="19"/>
  <c r="G34" i="19"/>
  <c r="F34" i="19"/>
  <c r="AE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P33" i="19"/>
  <c r="O33" i="19"/>
  <c r="N33" i="19"/>
  <c r="M33" i="19"/>
  <c r="L33" i="19"/>
  <c r="K33" i="19"/>
  <c r="J33" i="19"/>
  <c r="I33" i="19"/>
  <c r="H33" i="19"/>
  <c r="G33" i="19"/>
  <c r="F33" i="19"/>
  <c r="AE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P32" i="19"/>
  <c r="O32" i="19"/>
  <c r="N32" i="19"/>
  <c r="M32" i="19"/>
  <c r="L32" i="19"/>
  <c r="K32" i="19"/>
  <c r="J32" i="19"/>
  <c r="I32" i="19"/>
  <c r="H32" i="19"/>
  <c r="G32" i="19"/>
  <c r="F32" i="19"/>
  <c r="AE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P31" i="19"/>
  <c r="O31" i="19"/>
  <c r="N31" i="19"/>
  <c r="M31" i="19"/>
  <c r="L31" i="19"/>
  <c r="K31" i="19"/>
  <c r="J31" i="19"/>
  <c r="I31" i="19"/>
  <c r="H31" i="19"/>
  <c r="G31" i="19"/>
  <c r="F31" i="19"/>
  <c r="AE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P30" i="19"/>
  <c r="O30" i="19"/>
  <c r="N30" i="19"/>
  <c r="M30" i="19"/>
  <c r="L30" i="19"/>
  <c r="K30" i="19"/>
  <c r="J30" i="19"/>
  <c r="I30" i="19"/>
  <c r="H30" i="19"/>
  <c r="G30" i="19"/>
  <c r="F30" i="19"/>
  <c r="AE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AE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AE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P27" i="19"/>
  <c r="O27" i="19"/>
  <c r="N27" i="19"/>
  <c r="M27" i="19"/>
  <c r="L27" i="19"/>
  <c r="K27" i="19"/>
  <c r="J27" i="19"/>
  <c r="I27" i="19"/>
  <c r="H27" i="19"/>
  <c r="G27" i="19"/>
  <c r="F27" i="19"/>
  <c r="AE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P26" i="19"/>
  <c r="O26" i="19"/>
  <c r="N26" i="19"/>
  <c r="M26" i="19"/>
  <c r="L26" i="19"/>
  <c r="K26" i="19"/>
  <c r="J26" i="19"/>
  <c r="I26" i="19"/>
  <c r="H26" i="19"/>
  <c r="G26" i="19"/>
  <c r="F26" i="19"/>
  <c r="AE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P25" i="19"/>
  <c r="O25" i="19"/>
  <c r="N25" i="19"/>
  <c r="M25" i="19"/>
  <c r="L25" i="19"/>
  <c r="K25" i="19"/>
  <c r="J25" i="19"/>
  <c r="I25" i="19"/>
  <c r="H25" i="19"/>
  <c r="G25" i="19"/>
  <c r="F25" i="19"/>
  <c r="AE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P24" i="19"/>
  <c r="O24" i="19"/>
  <c r="N24" i="19"/>
  <c r="M24" i="19"/>
  <c r="L24" i="19"/>
  <c r="K24" i="19"/>
  <c r="J24" i="19"/>
  <c r="I24" i="19"/>
  <c r="H24" i="19"/>
  <c r="G24" i="19"/>
  <c r="F24" i="19"/>
  <c r="AE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P23" i="19"/>
  <c r="O23" i="19"/>
  <c r="N23" i="19"/>
  <c r="M23" i="19"/>
  <c r="L23" i="19"/>
  <c r="K23" i="19"/>
  <c r="J23" i="19"/>
  <c r="I23" i="19"/>
  <c r="H23" i="19"/>
  <c r="G23" i="19"/>
  <c r="F23" i="19"/>
  <c r="AE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P22" i="19"/>
  <c r="O22" i="19"/>
  <c r="N22" i="19"/>
  <c r="M22" i="19"/>
  <c r="L22" i="19"/>
  <c r="K22" i="19"/>
  <c r="J22" i="19"/>
  <c r="I22" i="19"/>
  <c r="H22" i="19"/>
  <c r="G22" i="19"/>
  <c r="F22" i="19"/>
  <c r="AE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P21" i="19"/>
  <c r="O21" i="19"/>
  <c r="N21" i="19"/>
  <c r="M21" i="19"/>
  <c r="L21" i="19"/>
  <c r="K21" i="19"/>
  <c r="J21" i="19"/>
  <c r="I21" i="19"/>
  <c r="H21" i="19"/>
  <c r="G21" i="19"/>
  <c r="F21" i="19"/>
  <c r="AE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P20" i="19"/>
  <c r="O20" i="19"/>
  <c r="N20" i="19"/>
  <c r="M20" i="19"/>
  <c r="L20" i="19"/>
  <c r="K20" i="19"/>
  <c r="J20" i="19"/>
  <c r="I20" i="19"/>
  <c r="H20" i="19"/>
  <c r="G20" i="19"/>
  <c r="F20" i="19"/>
  <c r="AE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P19" i="19"/>
  <c r="O19" i="19"/>
  <c r="N19" i="19"/>
  <c r="M19" i="19"/>
  <c r="L19" i="19"/>
  <c r="K19" i="19"/>
  <c r="J19" i="19"/>
  <c r="I19" i="19"/>
  <c r="H19" i="19"/>
  <c r="G19" i="19"/>
  <c r="F19" i="19"/>
  <c r="AE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P18" i="19"/>
  <c r="O18" i="19"/>
  <c r="N18" i="19"/>
  <c r="M18" i="19"/>
  <c r="L18" i="19"/>
  <c r="K18" i="19"/>
  <c r="J18" i="19"/>
  <c r="I18" i="19"/>
  <c r="H18" i="19"/>
  <c r="G18" i="19"/>
  <c r="F18" i="19"/>
  <c r="AE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P17" i="19"/>
  <c r="O17" i="19"/>
  <c r="N17" i="19"/>
  <c r="M17" i="19"/>
  <c r="L17" i="19"/>
  <c r="K17" i="19"/>
  <c r="J17" i="19"/>
  <c r="I17" i="19"/>
  <c r="H17" i="19"/>
  <c r="G17" i="19"/>
  <c r="F17" i="19"/>
  <c r="AE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P16" i="19"/>
  <c r="O16" i="19"/>
  <c r="N16" i="19"/>
  <c r="M16" i="19"/>
  <c r="L16" i="19"/>
  <c r="K16" i="19"/>
  <c r="J16" i="19"/>
  <c r="I16" i="19"/>
  <c r="H16" i="19"/>
  <c r="G16" i="19"/>
  <c r="F16" i="19"/>
  <c r="AE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P15" i="19"/>
  <c r="O15" i="19"/>
  <c r="N15" i="19"/>
  <c r="M15" i="19"/>
  <c r="L15" i="19"/>
  <c r="K15" i="19"/>
  <c r="J15" i="19"/>
  <c r="I15" i="19"/>
  <c r="H15" i="19"/>
  <c r="G15" i="19"/>
  <c r="F15" i="19"/>
  <c r="AE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P14" i="19"/>
  <c r="O14" i="19"/>
  <c r="N14" i="19"/>
  <c r="M14" i="19"/>
  <c r="L14" i="19"/>
  <c r="K14" i="19"/>
  <c r="J14" i="19"/>
  <c r="I14" i="19"/>
  <c r="H14" i="19"/>
  <c r="G14" i="19"/>
  <c r="F14" i="19"/>
  <c r="AE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P13" i="19"/>
  <c r="O13" i="19"/>
  <c r="N13" i="19"/>
  <c r="M13" i="19"/>
  <c r="L13" i="19"/>
  <c r="K13" i="19"/>
  <c r="J13" i="19"/>
  <c r="I13" i="19"/>
  <c r="H13" i="19"/>
  <c r="G13" i="19"/>
  <c r="F13" i="19"/>
  <c r="AE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P12" i="19"/>
  <c r="O12" i="19"/>
  <c r="N12" i="19"/>
  <c r="M12" i="19"/>
  <c r="L12" i="19"/>
  <c r="K12" i="19"/>
  <c r="J12" i="19"/>
  <c r="I12" i="19"/>
  <c r="H12" i="19"/>
  <c r="G12" i="19"/>
  <c r="F12" i="19"/>
  <c r="AE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P11" i="19"/>
  <c r="O11" i="19"/>
  <c r="N11" i="19"/>
  <c r="M11" i="19"/>
  <c r="L11" i="19"/>
  <c r="K11" i="19"/>
  <c r="J11" i="19"/>
  <c r="I11" i="19"/>
  <c r="H11" i="19"/>
  <c r="G11" i="19"/>
  <c r="F11" i="19"/>
  <c r="AE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P10" i="19"/>
  <c r="O10" i="19"/>
  <c r="N10" i="19"/>
  <c r="M10" i="19"/>
  <c r="L10" i="19"/>
  <c r="K10" i="19"/>
  <c r="J10" i="19"/>
  <c r="I10" i="19"/>
  <c r="H10" i="19"/>
  <c r="G10" i="19"/>
  <c r="F10" i="19"/>
  <c r="AE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AE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P8" i="19"/>
  <c r="O8" i="19"/>
  <c r="N8" i="19"/>
  <c r="M8" i="19"/>
  <c r="L8" i="19"/>
  <c r="K8" i="19"/>
  <c r="J8" i="19"/>
  <c r="I8" i="19"/>
  <c r="H8" i="19"/>
  <c r="G8" i="19"/>
  <c r="F8" i="19"/>
  <c r="AE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AE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AE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AE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AE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AE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AE1" i="19"/>
  <c r="AC1" i="19"/>
  <c r="AB1" i="19"/>
  <c r="AA1" i="19"/>
  <c r="Z1" i="19"/>
  <c r="Y1" i="19"/>
  <c r="X1" i="19"/>
  <c r="W1" i="19"/>
  <c r="V1" i="19"/>
  <c r="U1" i="19"/>
  <c r="T1" i="19"/>
  <c r="S1" i="19"/>
  <c r="R1" i="19"/>
  <c r="Q1" i="19"/>
  <c r="P1" i="19"/>
  <c r="O1" i="19"/>
  <c r="N1" i="19"/>
  <c r="M1" i="19"/>
  <c r="L1" i="19"/>
  <c r="K1" i="19"/>
  <c r="J1" i="19"/>
  <c r="I1" i="19"/>
  <c r="H1" i="19"/>
  <c r="G1" i="19"/>
  <c r="F1" i="19"/>
  <c r="AE365" i="18"/>
  <c r="AC365" i="18"/>
  <c r="AB365" i="18"/>
  <c r="AA365" i="18"/>
  <c r="Z365" i="18"/>
  <c r="Y365" i="18"/>
  <c r="X365" i="18"/>
  <c r="W365" i="18"/>
  <c r="V365" i="18"/>
  <c r="U365" i="18"/>
  <c r="T365" i="18"/>
  <c r="S365" i="18"/>
  <c r="R365" i="18"/>
  <c r="Q365" i="18"/>
  <c r="P365" i="18"/>
  <c r="O365" i="18"/>
  <c r="N365" i="18"/>
  <c r="M365" i="18"/>
  <c r="L365" i="18"/>
  <c r="K365" i="18"/>
  <c r="J365" i="18"/>
  <c r="I365" i="18"/>
  <c r="H365" i="18"/>
  <c r="G365" i="18"/>
  <c r="F365" i="18"/>
  <c r="AE364" i="18"/>
  <c r="AC364" i="18"/>
  <c r="AB364" i="18"/>
  <c r="AA364" i="18"/>
  <c r="Z364" i="18"/>
  <c r="Y364" i="18"/>
  <c r="X364" i="18"/>
  <c r="W364" i="18"/>
  <c r="V364" i="18"/>
  <c r="U364" i="18"/>
  <c r="T364" i="18"/>
  <c r="S364" i="18"/>
  <c r="R364" i="18"/>
  <c r="Q364" i="18"/>
  <c r="P364" i="18"/>
  <c r="O364" i="18"/>
  <c r="N364" i="18"/>
  <c r="M364" i="18"/>
  <c r="L364" i="18"/>
  <c r="K364" i="18"/>
  <c r="J364" i="18"/>
  <c r="I364" i="18"/>
  <c r="H364" i="18"/>
  <c r="G364" i="18"/>
  <c r="F364" i="18"/>
  <c r="AE363" i="18"/>
  <c r="AC363" i="18"/>
  <c r="AB363" i="18"/>
  <c r="AA363" i="18"/>
  <c r="Z363" i="18"/>
  <c r="Y363" i="18"/>
  <c r="X363" i="18"/>
  <c r="W363" i="18"/>
  <c r="V363" i="18"/>
  <c r="U363" i="18"/>
  <c r="T363" i="18"/>
  <c r="S363" i="18"/>
  <c r="R363" i="18"/>
  <c r="Q363" i="18"/>
  <c r="P363" i="18"/>
  <c r="O363" i="18"/>
  <c r="N363" i="18"/>
  <c r="M363" i="18"/>
  <c r="L363" i="18"/>
  <c r="K363" i="18"/>
  <c r="J363" i="18"/>
  <c r="I363" i="18"/>
  <c r="H363" i="18"/>
  <c r="G363" i="18"/>
  <c r="F363" i="18"/>
  <c r="AE362" i="18"/>
  <c r="AC362" i="18"/>
  <c r="AB362" i="18"/>
  <c r="AA362" i="18"/>
  <c r="Z362" i="18"/>
  <c r="Y362" i="18"/>
  <c r="X362" i="18"/>
  <c r="W362" i="18"/>
  <c r="V362" i="18"/>
  <c r="U362" i="18"/>
  <c r="T362" i="18"/>
  <c r="S362" i="18"/>
  <c r="R362" i="18"/>
  <c r="Q362" i="18"/>
  <c r="P362" i="18"/>
  <c r="O362" i="18"/>
  <c r="N362" i="18"/>
  <c r="M362" i="18"/>
  <c r="L362" i="18"/>
  <c r="K362" i="18"/>
  <c r="J362" i="18"/>
  <c r="I362" i="18"/>
  <c r="H362" i="18"/>
  <c r="G362" i="18"/>
  <c r="F362" i="18"/>
  <c r="AE361" i="18"/>
  <c r="AC361" i="18"/>
  <c r="AB361" i="18"/>
  <c r="AA361" i="18"/>
  <c r="Z361" i="18"/>
  <c r="Y361" i="18"/>
  <c r="X361" i="18"/>
  <c r="W361" i="18"/>
  <c r="V361" i="18"/>
  <c r="U361" i="18"/>
  <c r="T361" i="18"/>
  <c r="S361" i="18"/>
  <c r="R361" i="18"/>
  <c r="Q361" i="18"/>
  <c r="P361" i="18"/>
  <c r="O361" i="18"/>
  <c r="N361" i="18"/>
  <c r="M361" i="18"/>
  <c r="L361" i="18"/>
  <c r="K361" i="18"/>
  <c r="J361" i="18"/>
  <c r="I361" i="18"/>
  <c r="H361" i="18"/>
  <c r="G361" i="18"/>
  <c r="F361" i="18"/>
  <c r="AE360" i="18"/>
  <c r="AC360" i="18"/>
  <c r="AB360" i="18"/>
  <c r="AA360" i="18"/>
  <c r="Z360" i="18"/>
  <c r="Y360" i="18"/>
  <c r="X360" i="18"/>
  <c r="W360" i="18"/>
  <c r="V360" i="18"/>
  <c r="U360" i="18"/>
  <c r="T360" i="18"/>
  <c r="S360" i="18"/>
  <c r="R360" i="18"/>
  <c r="Q360" i="18"/>
  <c r="P360" i="18"/>
  <c r="O360" i="18"/>
  <c r="N360" i="18"/>
  <c r="M360" i="18"/>
  <c r="L360" i="18"/>
  <c r="K360" i="18"/>
  <c r="J360" i="18"/>
  <c r="I360" i="18"/>
  <c r="H360" i="18"/>
  <c r="G360" i="18"/>
  <c r="F360" i="18"/>
  <c r="AE359" i="18"/>
  <c r="AC359" i="18"/>
  <c r="AB359" i="18"/>
  <c r="AA359" i="18"/>
  <c r="Z359" i="18"/>
  <c r="Y359" i="18"/>
  <c r="X359" i="18"/>
  <c r="W359" i="18"/>
  <c r="V359" i="18"/>
  <c r="U359" i="18"/>
  <c r="T359" i="18"/>
  <c r="S359" i="18"/>
  <c r="R359" i="18"/>
  <c r="Q359" i="18"/>
  <c r="P359" i="18"/>
  <c r="O359" i="18"/>
  <c r="N359" i="18"/>
  <c r="M359" i="18"/>
  <c r="L359" i="18"/>
  <c r="K359" i="18"/>
  <c r="J359" i="18"/>
  <c r="I359" i="18"/>
  <c r="H359" i="18"/>
  <c r="G359" i="18"/>
  <c r="F359" i="18"/>
  <c r="AE358" i="18"/>
  <c r="AC358" i="18"/>
  <c r="AB358" i="18"/>
  <c r="AA358" i="18"/>
  <c r="Z358" i="18"/>
  <c r="Y358" i="18"/>
  <c r="X358" i="18"/>
  <c r="W358" i="18"/>
  <c r="V358" i="18"/>
  <c r="U358" i="18"/>
  <c r="T358" i="18"/>
  <c r="S358" i="18"/>
  <c r="R358" i="18"/>
  <c r="Q358" i="18"/>
  <c r="P358" i="18"/>
  <c r="O358" i="18"/>
  <c r="N358" i="18"/>
  <c r="M358" i="18"/>
  <c r="L358" i="18"/>
  <c r="K358" i="18"/>
  <c r="J358" i="18"/>
  <c r="I358" i="18"/>
  <c r="H358" i="18"/>
  <c r="G358" i="18"/>
  <c r="F358" i="18"/>
  <c r="AE357" i="18"/>
  <c r="AC357" i="18"/>
  <c r="AB357" i="18"/>
  <c r="AA357" i="18"/>
  <c r="Z357" i="18"/>
  <c r="Y357" i="18"/>
  <c r="X357" i="18"/>
  <c r="W357" i="18"/>
  <c r="V357" i="18"/>
  <c r="U357" i="18"/>
  <c r="T357" i="18"/>
  <c r="S357" i="18"/>
  <c r="R357" i="18"/>
  <c r="Q357" i="18"/>
  <c r="P357" i="18"/>
  <c r="O357" i="18"/>
  <c r="N357" i="18"/>
  <c r="M357" i="18"/>
  <c r="L357" i="18"/>
  <c r="K357" i="18"/>
  <c r="J357" i="18"/>
  <c r="I357" i="18"/>
  <c r="H357" i="18"/>
  <c r="G357" i="18"/>
  <c r="F357" i="18"/>
  <c r="AE356" i="18"/>
  <c r="AC356" i="18"/>
  <c r="AB356" i="18"/>
  <c r="AA356" i="18"/>
  <c r="Z356" i="18"/>
  <c r="Y356" i="18"/>
  <c r="X356" i="18"/>
  <c r="W356" i="18"/>
  <c r="V356" i="18"/>
  <c r="U356" i="18"/>
  <c r="T356" i="18"/>
  <c r="S356" i="18"/>
  <c r="R356" i="18"/>
  <c r="Q356" i="18"/>
  <c r="P356" i="18"/>
  <c r="O356" i="18"/>
  <c r="N356" i="18"/>
  <c r="M356" i="18"/>
  <c r="L356" i="18"/>
  <c r="K356" i="18"/>
  <c r="J356" i="18"/>
  <c r="I356" i="18"/>
  <c r="H356" i="18"/>
  <c r="G356" i="18"/>
  <c r="F356" i="18"/>
  <c r="AE355" i="18"/>
  <c r="AC355" i="18"/>
  <c r="AB355" i="18"/>
  <c r="AA355" i="18"/>
  <c r="Z355" i="18"/>
  <c r="Y355" i="18"/>
  <c r="X355" i="18"/>
  <c r="W355" i="18"/>
  <c r="V355" i="18"/>
  <c r="U355" i="18"/>
  <c r="T355" i="18"/>
  <c r="S355" i="18"/>
  <c r="R355" i="18"/>
  <c r="Q355" i="18"/>
  <c r="P355" i="18"/>
  <c r="O355" i="18"/>
  <c r="N355" i="18"/>
  <c r="M355" i="18"/>
  <c r="L355" i="18"/>
  <c r="K355" i="18"/>
  <c r="J355" i="18"/>
  <c r="I355" i="18"/>
  <c r="H355" i="18"/>
  <c r="G355" i="18"/>
  <c r="F355" i="18"/>
  <c r="AE354" i="18"/>
  <c r="AC354" i="18"/>
  <c r="AB354" i="18"/>
  <c r="AA354" i="18"/>
  <c r="Z354" i="18"/>
  <c r="Y354" i="18"/>
  <c r="X354" i="18"/>
  <c r="W354" i="18"/>
  <c r="V354" i="18"/>
  <c r="U354" i="18"/>
  <c r="T354" i="18"/>
  <c r="S354" i="18"/>
  <c r="R354" i="18"/>
  <c r="Q354" i="18"/>
  <c r="P354" i="18"/>
  <c r="O354" i="18"/>
  <c r="N354" i="18"/>
  <c r="M354" i="18"/>
  <c r="L354" i="18"/>
  <c r="K354" i="18"/>
  <c r="J354" i="18"/>
  <c r="I354" i="18"/>
  <c r="H354" i="18"/>
  <c r="G354" i="18"/>
  <c r="F354" i="18"/>
  <c r="AE353" i="18"/>
  <c r="AC353" i="18"/>
  <c r="AB353" i="18"/>
  <c r="AA353" i="18"/>
  <c r="Z353" i="18"/>
  <c r="Y353" i="18"/>
  <c r="X353" i="18"/>
  <c r="W353" i="18"/>
  <c r="V353" i="18"/>
  <c r="U353" i="18"/>
  <c r="T353" i="18"/>
  <c r="S353" i="18"/>
  <c r="R353" i="18"/>
  <c r="Q353" i="18"/>
  <c r="P353" i="18"/>
  <c r="O353" i="18"/>
  <c r="N353" i="18"/>
  <c r="M353" i="18"/>
  <c r="L353" i="18"/>
  <c r="K353" i="18"/>
  <c r="J353" i="18"/>
  <c r="I353" i="18"/>
  <c r="H353" i="18"/>
  <c r="G353" i="18"/>
  <c r="F353" i="18"/>
  <c r="AE352" i="18"/>
  <c r="AC352" i="18"/>
  <c r="AB352" i="18"/>
  <c r="AA352" i="18"/>
  <c r="Z352" i="18"/>
  <c r="Y352" i="18"/>
  <c r="X352" i="18"/>
  <c r="W352" i="18"/>
  <c r="V352" i="18"/>
  <c r="U352" i="18"/>
  <c r="T352" i="18"/>
  <c r="S352" i="18"/>
  <c r="R352" i="18"/>
  <c r="Q352" i="18"/>
  <c r="P352" i="18"/>
  <c r="O352" i="18"/>
  <c r="N352" i="18"/>
  <c r="M352" i="18"/>
  <c r="L352" i="18"/>
  <c r="K352" i="18"/>
  <c r="J352" i="18"/>
  <c r="I352" i="18"/>
  <c r="H352" i="18"/>
  <c r="G352" i="18"/>
  <c r="F352" i="18"/>
  <c r="AE351" i="18"/>
  <c r="AC351" i="18"/>
  <c r="AB351" i="18"/>
  <c r="AA351" i="18"/>
  <c r="Z351" i="18"/>
  <c r="Y351" i="18"/>
  <c r="X351" i="18"/>
  <c r="W351" i="18"/>
  <c r="V351" i="18"/>
  <c r="U351" i="18"/>
  <c r="T351" i="18"/>
  <c r="S351" i="18"/>
  <c r="R351" i="18"/>
  <c r="Q351" i="18"/>
  <c r="P351" i="18"/>
  <c r="O351" i="18"/>
  <c r="N351" i="18"/>
  <c r="M351" i="18"/>
  <c r="L351" i="18"/>
  <c r="K351" i="18"/>
  <c r="J351" i="18"/>
  <c r="I351" i="18"/>
  <c r="H351" i="18"/>
  <c r="G351" i="18"/>
  <c r="F351" i="18"/>
  <c r="AE350" i="18"/>
  <c r="AC350" i="18"/>
  <c r="AB350" i="18"/>
  <c r="AA350" i="18"/>
  <c r="Z350" i="18"/>
  <c r="Y350" i="18"/>
  <c r="X350" i="18"/>
  <c r="W350" i="18"/>
  <c r="V350" i="18"/>
  <c r="U350" i="18"/>
  <c r="T350" i="18"/>
  <c r="S350" i="18"/>
  <c r="R350" i="18"/>
  <c r="Q350" i="18"/>
  <c r="P350" i="18"/>
  <c r="O350" i="18"/>
  <c r="N350" i="18"/>
  <c r="M350" i="18"/>
  <c r="L350" i="18"/>
  <c r="K350" i="18"/>
  <c r="J350" i="18"/>
  <c r="I350" i="18"/>
  <c r="H350" i="18"/>
  <c r="G350" i="18"/>
  <c r="F350" i="18"/>
  <c r="AE349" i="18"/>
  <c r="AC349" i="18"/>
  <c r="AB349" i="18"/>
  <c r="AA349" i="18"/>
  <c r="Z349" i="18"/>
  <c r="Y349" i="18"/>
  <c r="X349" i="18"/>
  <c r="W349" i="18"/>
  <c r="V349" i="18"/>
  <c r="U349" i="18"/>
  <c r="T349" i="18"/>
  <c r="S349" i="18"/>
  <c r="R349" i="18"/>
  <c r="Q349" i="18"/>
  <c r="P349" i="18"/>
  <c r="O349" i="18"/>
  <c r="N349" i="18"/>
  <c r="M349" i="18"/>
  <c r="L349" i="18"/>
  <c r="K349" i="18"/>
  <c r="J349" i="18"/>
  <c r="I349" i="18"/>
  <c r="H349" i="18"/>
  <c r="G349" i="18"/>
  <c r="F349" i="18"/>
  <c r="AE348" i="18"/>
  <c r="AC348" i="18"/>
  <c r="AB348" i="18"/>
  <c r="AA348" i="18"/>
  <c r="Z348" i="18"/>
  <c r="Y348" i="18"/>
  <c r="X348" i="18"/>
  <c r="W348" i="18"/>
  <c r="V348" i="18"/>
  <c r="U348" i="18"/>
  <c r="T348" i="18"/>
  <c r="S348" i="18"/>
  <c r="R348" i="18"/>
  <c r="Q348" i="18"/>
  <c r="P348" i="18"/>
  <c r="O348" i="18"/>
  <c r="N348" i="18"/>
  <c r="M348" i="18"/>
  <c r="L348" i="18"/>
  <c r="K348" i="18"/>
  <c r="J348" i="18"/>
  <c r="I348" i="18"/>
  <c r="H348" i="18"/>
  <c r="G348" i="18"/>
  <c r="F348" i="18"/>
  <c r="AE347" i="18"/>
  <c r="AC347" i="18"/>
  <c r="AB347" i="18"/>
  <c r="AA347" i="18"/>
  <c r="Z347" i="18"/>
  <c r="Y347" i="18"/>
  <c r="X347" i="18"/>
  <c r="W347" i="18"/>
  <c r="V347" i="18"/>
  <c r="U347" i="18"/>
  <c r="T347" i="18"/>
  <c r="S347" i="18"/>
  <c r="R347" i="18"/>
  <c r="Q347" i="18"/>
  <c r="P347" i="18"/>
  <c r="O347" i="18"/>
  <c r="N347" i="18"/>
  <c r="M347" i="18"/>
  <c r="L347" i="18"/>
  <c r="K347" i="18"/>
  <c r="J347" i="18"/>
  <c r="I347" i="18"/>
  <c r="H347" i="18"/>
  <c r="G347" i="18"/>
  <c r="F347" i="18"/>
  <c r="AE346" i="18"/>
  <c r="AC346" i="18"/>
  <c r="AB346" i="18"/>
  <c r="AA346" i="18"/>
  <c r="Z346" i="18"/>
  <c r="Y346" i="18"/>
  <c r="X346" i="18"/>
  <c r="W346" i="18"/>
  <c r="V346" i="18"/>
  <c r="U346" i="18"/>
  <c r="T346" i="18"/>
  <c r="S346" i="18"/>
  <c r="R346" i="18"/>
  <c r="Q346" i="18"/>
  <c r="P346" i="18"/>
  <c r="O346" i="18"/>
  <c r="N346" i="18"/>
  <c r="M346" i="18"/>
  <c r="L346" i="18"/>
  <c r="K346" i="18"/>
  <c r="J346" i="18"/>
  <c r="I346" i="18"/>
  <c r="H346" i="18"/>
  <c r="G346" i="18"/>
  <c r="F346" i="18"/>
  <c r="AE345" i="18"/>
  <c r="AC345" i="18"/>
  <c r="AB345" i="18"/>
  <c r="AA345" i="18"/>
  <c r="Z345" i="18"/>
  <c r="Y345" i="18"/>
  <c r="X345" i="18"/>
  <c r="W345" i="18"/>
  <c r="V345" i="18"/>
  <c r="U345" i="18"/>
  <c r="T345" i="18"/>
  <c r="S345" i="18"/>
  <c r="R345" i="18"/>
  <c r="Q345" i="18"/>
  <c r="P345" i="18"/>
  <c r="O345" i="18"/>
  <c r="N345" i="18"/>
  <c r="M345" i="18"/>
  <c r="L345" i="18"/>
  <c r="K345" i="18"/>
  <c r="J345" i="18"/>
  <c r="I345" i="18"/>
  <c r="H345" i="18"/>
  <c r="G345" i="18"/>
  <c r="F345" i="18"/>
  <c r="AE344" i="18"/>
  <c r="AC344" i="18"/>
  <c r="AB344" i="18"/>
  <c r="AA344" i="18"/>
  <c r="Z344" i="18"/>
  <c r="Y344" i="18"/>
  <c r="X344" i="18"/>
  <c r="W344" i="18"/>
  <c r="V344" i="18"/>
  <c r="U344" i="18"/>
  <c r="T344" i="18"/>
  <c r="S344" i="18"/>
  <c r="R344" i="18"/>
  <c r="Q344" i="18"/>
  <c r="P344" i="18"/>
  <c r="O344" i="18"/>
  <c r="N344" i="18"/>
  <c r="M344" i="18"/>
  <c r="L344" i="18"/>
  <c r="K344" i="18"/>
  <c r="J344" i="18"/>
  <c r="I344" i="18"/>
  <c r="H344" i="18"/>
  <c r="G344" i="18"/>
  <c r="F344" i="18"/>
  <c r="AE343" i="18"/>
  <c r="AC343" i="18"/>
  <c r="AB343" i="18"/>
  <c r="AA343" i="18"/>
  <c r="Z343" i="18"/>
  <c r="Y343" i="18"/>
  <c r="X343" i="18"/>
  <c r="W343" i="18"/>
  <c r="V343" i="18"/>
  <c r="U343" i="18"/>
  <c r="T343" i="18"/>
  <c r="S343" i="18"/>
  <c r="R343" i="18"/>
  <c r="Q343" i="18"/>
  <c r="P343" i="18"/>
  <c r="O343" i="18"/>
  <c r="N343" i="18"/>
  <c r="M343" i="18"/>
  <c r="L343" i="18"/>
  <c r="K343" i="18"/>
  <c r="J343" i="18"/>
  <c r="I343" i="18"/>
  <c r="H343" i="18"/>
  <c r="G343" i="18"/>
  <c r="F343" i="18"/>
  <c r="AE342" i="18"/>
  <c r="AC342" i="18"/>
  <c r="AB342" i="18"/>
  <c r="AA342" i="18"/>
  <c r="Z342" i="18"/>
  <c r="Y342" i="18"/>
  <c r="X342" i="18"/>
  <c r="W342" i="18"/>
  <c r="V342" i="18"/>
  <c r="U342" i="18"/>
  <c r="T342" i="18"/>
  <c r="S342" i="18"/>
  <c r="R342" i="18"/>
  <c r="Q342" i="18"/>
  <c r="P342" i="18"/>
  <c r="O342" i="18"/>
  <c r="N342" i="18"/>
  <c r="M342" i="18"/>
  <c r="L342" i="18"/>
  <c r="K342" i="18"/>
  <c r="J342" i="18"/>
  <c r="I342" i="18"/>
  <c r="H342" i="18"/>
  <c r="G342" i="18"/>
  <c r="F342" i="18"/>
  <c r="AE341" i="18"/>
  <c r="AC341" i="18"/>
  <c r="AB341" i="18"/>
  <c r="AA341" i="18"/>
  <c r="Z341" i="18"/>
  <c r="Y341" i="18"/>
  <c r="X341" i="18"/>
  <c r="W341" i="18"/>
  <c r="V341" i="18"/>
  <c r="U341" i="18"/>
  <c r="T341" i="18"/>
  <c r="S341" i="18"/>
  <c r="R341" i="18"/>
  <c r="Q341" i="18"/>
  <c r="P341" i="18"/>
  <c r="O341" i="18"/>
  <c r="N341" i="18"/>
  <c r="M341" i="18"/>
  <c r="L341" i="18"/>
  <c r="K341" i="18"/>
  <c r="J341" i="18"/>
  <c r="I341" i="18"/>
  <c r="H341" i="18"/>
  <c r="G341" i="18"/>
  <c r="F341" i="18"/>
  <c r="AE340" i="18"/>
  <c r="AC340" i="18"/>
  <c r="AB340" i="18"/>
  <c r="AA340" i="18"/>
  <c r="Z340" i="18"/>
  <c r="Y340" i="18"/>
  <c r="X340" i="18"/>
  <c r="W340" i="18"/>
  <c r="V340" i="18"/>
  <c r="U340" i="18"/>
  <c r="T340" i="18"/>
  <c r="S340" i="18"/>
  <c r="R340" i="18"/>
  <c r="Q340" i="18"/>
  <c r="P340" i="18"/>
  <c r="O340" i="18"/>
  <c r="N340" i="18"/>
  <c r="M340" i="18"/>
  <c r="L340" i="18"/>
  <c r="K340" i="18"/>
  <c r="J340" i="18"/>
  <c r="I340" i="18"/>
  <c r="H340" i="18"/>
  <c r="G340" i="18"/>
  <c r="F340" i="18"/>
  <c r="AE339" i="18"/>
  <c r="AC339" i="18"/>
  <c r="AB339" i="18"/>
  <c r="AA339" i="18"/>
  <c r="Z339" i="18"/>
  <c r="Y339" i="18"/>
  <c r="X339" i="18"/>
  <c r="W339" i="18"/>
  <c r="V339" i="18"/>
  <c r="U339" i="18"/>
  <c r="T339" i="18"/>
  <c r="S339" i="18"/>
  <c r="R339" i="18"/>
  <c r="Q339" i="18"/>
  <c r="P339" i="18"/>
  <c r="O339" i="18"/>
  <c r="N339" i="18"/>
  <c r="M339" i="18"/>
  <c r="L339" i="18"/>
  <c r="K339" i="18"/>
  <c r="J339" i="18"/>
  <c r="I339" i="18"/>
  <c r="H339" i="18"/>
  <c r="G339" i="18"/>
  <c r="F339" i="18"/>
  <c r="AE338" i="18"/>
  <c r="AC338" i="18"/>
  <c r="AB338" i="18"/>
  <c r="AA338" i="18"/>
  <c r="Z338" i="18"/>
  <c r="Y338" i="18"/>
  <c r="X338" i="18"/>
  <c r="W338" i="18"/>
  <c r="V338" i="18"/>
  <c r="U338" i="18"/>
  <c r="T338" i="18"/>
  <c r="S338" i="18"/>
  <c r="R338" i="18"/>
  <c r="Q338" i="18"/>
  <c r="P338" i="18"/>
  <c r="O338" i="18"/>
  <c r="N338" i="18"/>
  <c r="M338" i="18"/>
  <c r="L338" i="18"/>
  <c r="K338" i="18"/>
  <c r="J338" i="18"/>
  <c r="I338" i="18"/>
  <c r="H338" i="18"/>
  <c r="G338" i="18"/>
  <c r="F338" i="18"/>
  <c r="AE337" i="18"/>
  <c r="AC337" i="18"/>
  <c r="AB337" i="18"/>
  <c r="AA337" i="18"/>
  <c r="Z337" i="18"/>
  <c r="Y337" i="18"/>
  <c r="X337" i="18"/>
  <c r="W337" i="18"/>
  <c r="V337" i="18"/>
  <c r="U337" i="18"/>
  <c r="T337" i="18"/>
  <c r="S337" i="18"/>
  <c r="R337" i="18"/>
  <c r="Q337" i="18"/>
  <c r="P337" i="18"/>
  <c r="O337" i="18"/>
  <c r="N337" i="18"/>
  <c r="M337" i="18"/>
  <c r="L337" i="18"/>
  <c r="K337" i="18"/>
  <c r="J337" i="18"/>
  <c r="I337" i="18"/>
  <c r="H337" i="18"/>
  <c r="G337" i="18"/>
  <c r="F337" i="18"/>
  <c r="AE336" i="18"/>
  <c r="AC336" i="18"/>
  <c r="AB336" i="18"/>
  <c r="AA336" i="18"/>
  <c r="Z336" i="18"/>
  <c r="Y336" i="18"/>
  <c r="X336" i="18"/>
  <c r="W336" i="18"/>
  <c r="V336" i="18"/>
  <c r="U336" i="18"/>
  <c r="T336" i="18"/>
  <c r="S336" i="18"/>
  <c r="R336" i="18"/>
  <c r="Q336" i="18"/>
  <c r="P336" i="18"/>
  <c r="O336" i="18"/>
  <c r="N336" i="18"/>
  <c r="M336" i="18"/>
  <c r="L336" i="18"/>
  <c r="K336" i="18"/>
  <c r="J336" i="18"/>
  <c r="I336" i="18"/>
  <c r="H336" i="18"/>
  <c r="G336" i="18"/>
  <c r="F336" i="18"/>
  <c r="AE335" i="18"/>
  <c r="AC335" i="18"/>
  <c r="AB335" i="18"/>
  <c r="AA335" i="18"/>
  <c r="Z335" i="18"/>
  <c r="Y335" i="18"/>
  <c r="X335" i="18"/>
  <c r="W335" i="18"/>
  <c r="V335" i="18"/>
  <c r="U335" i="18"/>
  <c r="T335" i="18"/>
  <c r="S335" i="18"/>
  <c r="R335" i="18"/>
  <c r="Q335" i="18"/>
  <c r="P335" i="18"/>
  <c r="O335" i="18"/>
  <c r="N335" i="18"/>
  <c r="M335" i="18"/>
  <c r="L335" i="18"/>
  <c r="K335" i="18"/>
  <c r="J335" i="18"/>
  <c r="I335" i="18"/>
  <c r="H335" i="18"/>
  <c r="G335" i="18"/>
  <c r="F335" i="18"/>
  <c r="AE334" i="18"/>
  <c r="AC334" i="18"/>
  <c r="AB334" i="18"/>
  <c r="AA334" i="18"/>
  <c r="Z334" i="18"/>
  <c r="Y334" i="18"/>
  <c r="X334" i="18"/>
  <c r="W334" i="18"/>
  <c r="V334" i="18"/>
  <c r="U334" i="18"/>
  <c r="T334" i="18"/>
  <c r="S334" i="18"/>
  <c r="R334" i="18"/>
  <c r="Q334" i="18"/>
  <c r="P334" i="18"/>
  <c r="O334" i="18"/>
  <c r="N334" i="18"/>
  <c r="M334" i="18"/>
  <c r="L334" i="18"/>
  <c r="K334" i="18"/>
  <c r="J334" i="18"/>
  <c r="I334" i="18"/>
  <c r="H334" i="18"/>
  <c r="G334" i="18"/>
  <c r="F334" i="18"/>
  <c r="AE333" i="18"/>
  <c r="AC333" i="18"/>
  <c r="AB333" i="18"/>
  <c r="AA333" i="18"/>
  <c r="Z333" i="18"/>
  <c r="Y333" i="18"/>
  <c r="X333" i="18"/>
  <c r="W333" i="18"/>
  <c r="V333" i="18"/>
  <c r="U333" i="18"/>
  <c r="T333" i="18"/>
  <c r="S333" i="18"/>
  <c r="R333" i="18"/>
  <c r="Q333" i="18"/>
  <c r="P333" i="18"/>
  <c r="O333" i="18"/>
  <c r="N333" i="18"/>
  <c r="M333" i="18"/>
  <c r="L333" i="18"/>
  <c r="K333" i="18"/>
  <c r="J333" i="18"/>
  <c r="I333" i="18"/>
  <c r="H333" i="18"/>
  <c r="G333" i="18"/>
  <c r="F333" i="18"/>
  <c r="AE332" i="18"/>
  <c r="AC332" i="18"/>
  <c r="AB332" i="18"/>
  <c r="AA332" i="18"/>
  <c r="Z332" i="18"/>
  <c r="Y332" i="18"/>
  <c r="X332" i="18"/>
  <c r="W332" i="18"/>
  <c r="V332" i="18"/>
  <c r="U332" i="18"/>
  <c r="T332" i="18"/>
  <c r="S332" i="18"/>
  <c r="R332" i="18"/>
  <c r="Q332" i="18"/>
  <c r="P332" i="18"/>
  <c r="O332" i="18"/>
  <c r="N332" i="18"/>
  <c r="M332" i="18"/>
  <c r="L332" i="18"/>
  <c r="K332" i="18"/>
  <c r="J332" i="18"/>
  <c r="I332" i="18"/>
  <c r="H332" i="18"/>
  <c r="G332" i="18"/>
  <c r="F332" i="18"/>
  <c r="AE331" i="18"/>
  <c r="AC331" i="18"/>
  <c r="AB331" i="18"/>
  <c r="AA331" i="18"/>
  <c r="Z331" i="18"/>
  <c r="Y331" i="18"/>
  <c r="X331" i="18"/>
  <c r="W331" i="18"/>
  <c r="V331" i="18"/>
  <c r="U331" i="18"/>
  <c r="T331" i="18"/>
  <c r="S331" i="18"/>
  <c r="R331" i="18"/>
  <c r="Q331" i="18"/>
  <c r="P331" i="18"/>
  <c r="O331" i="18"/>
  <c r="N331" i="18"/>
  <c r="M331" i="18"/>
  <c r="L331" i="18"/>
  <c r="K331" i="18"/>
  <c r="J331" i="18"/>
  <c r="I331" i="18"/>
  <c r="H331" i="18"/>
  <c r="G331" i="18"/>
  <c r="F331" i="18"/>
  <c r="AE330" i="18"/>
  <c r="AC330" i="18"/>
  <c r="AB330" i="18"/>
  <c r="AA330" i="18"/>
  <c r="Z330" i="18"/>
  <c r="Y330" i="18"/>
  <c r="X330" i="18"/>
  <c r="W330" i="18"/>
  <c r="V330" i="18"/>
  <c r="U330" i="18"/>
  <c r="T330" i="18"/>
  <c r="S330" i="18"/>
  <c r="R330" i="18"/>
  <c r="Q330" i="18"/>
  <c r="P330" i="18"/>
  <c r="O330" i="18"/>
  <c r="N330" i="18"/>
  <c r="M330" i="18"/>
  <c r="L330" i="18"/>
  <c r="K330" i="18"/>
  <c r="J330" i="18"/>
  <c r="I330" i="18"/>
  <c r="H330" i="18"/>
  <c r="G330" i="18"/>
  <c r="F330" i="18"/>
  <c r="AE329" i="18"/>
  <c r="AC329" i="18"/>
  <c r="AB329" i="18"/>
  <c r="AA329" i="18"/>
  <c r="Z329" i="18"/>
  <c r="Y329" i="18"/>
  <c r="X329" i="18"/>
  <c r="W329" i="18"/>
  <c r="V329" i="18"/>
  <c r="U329" i="18"/>
  <c r="T329" i="18"/>
  <c r="S329" i="18"/>
  <c r="R329" i="18"/>
  <c r="Q329" i="18"/>
  <c r="P329" i="18"/>
  <c r="O329" i="18"/>
  <c r="N329" i="18"/>
  <c r="M329" i="18"/>
  <c r="L329" i="18"/>
  <c r="K329" i="18"/>
  <c r="J329" i="18"/>
  <c r="I329" i="18"/>
  <c r="H329" i="18"/>
  <c r="G329" i="18"/>
  <c r="F329" i="18"/>
  <c r="AE328" i="18"/>
  <c r="AC328" i="18"/>
  <c r="AB328" i="18"/>
  <c r="AA328" i="18"/>
  <c r="Z328" i="18"/>
  <c r="Y328" i="18"/>
  <c r="X328" i="18"/>
  <c r="W328" i="18"/>
  <c r="V328" i="18"/>
  <c r="U328" i="18"/>
  <c r="T328" i="18"/>
  <c r="S328" i="18"/>
  <c r="R328" i="18"/>
  <c r="Q328" i="18"/>
  <c r="P328" i="18"/>
  <c r="O328" i="18"/>
  <c r="N328" i="18"/>
  <c r="M328" i="18"/>
  <c r="L328" i="18"/>
  <c r="K328" i="18"/>
  <c r="J328" i="18"/>
  <c r="I328" i="18"/>
  <c r="H328" i="18"/>
  <c r="G328" i="18"/>
  <c r="F328" i="18"/>
  <c r="AE327" i="18"/>
  <c r="AC327" i="18"/>
  <c r="AB327" i="18"/>
  <c r="AA327" i="18"/>
  <c r="Z327" i="18"/>
  <c r="Y327" i="18"/>
  <c r="X327" i="18"/>
  <c r="W327" i="18"/>
  <c r="V327" i="18"/>
  <c r="U327" i="18"/>
  <c r="T327" i="18"/>
  <c r="S327" i="18"/>
  <c r="R327" i="18"/>
  <c r="Q327" i="18"/>
  <c r="P327" i="18"/>
  <c r="O327" i="18"/>
  <c r="N327" i="18"/>
  <c r="M327" i="18"/>
  <c r="L327" i="18"/>
  <c r="K327" i="18"/>
  <c r="J327" i="18"/>
  <c r="I327" i="18"/>
  <c r="H327" i="18"/>
  <c r="G327" i="18"/>
  <c r="F327" i="18"/>
  <c r="AE326" i="18"/>
  <c r="AC326" i="18"/>
  <c r="AB326" i="18"/>
  <c r="AA326" i="18"/>
  <c r="Z326" i="18"/>
  <c r="Y326" i="18"/>
  <c r="X326" i="18"/>
  <c r="W326" i="18"/>
  <c r="V326" i="18"/>
  <c r="U326" i="18"/>
  <c r="T326" i="18"/>
  <c r="S326" i="18"/>
  <c r="R326" i="18"/>
  <c r="Q326" i="18"/>
  <c r="P326" i="18"/>
  <c r="O326" i="18"/>
  <c r="N326" i="18"/>
  <c r="M326" i="18"/>
  <c r="L326" i="18"/>
  <c r="K326" i="18"/>
  <c r="J326" i="18"/>
  <c r="I326" i="18"/>
  <c r="H326" i="18"/>
  <c r="G326" i="18"/>
  <c r="F326" i="18"/>
  <c r="AE325" i="18"/>
  <c r="AC325" i="18"/>
  <c r="AB325" i="18"/>
  <c r="AA325" i="18"/>
  <c r="Z325" i="18"/>
  <c r="Y325" i="18"/>
  <c r="X325" i="18"/>
  <c r="W325" i="18"/>
  <c r="V325" i="18"/>
  <c r="U325" i="18"/>
  <c r="T325" i="18"/>
  <c r="S325" i="18"/>
  <c r="R325" i="18"/>
  <c r="Q325" i="18"/>
  <c r="P325" i="18"/>
  <c r="O325" i="18"/>
  <c r="N325" i="18"/>
  <c r="M325" i="18"/>
  <c r="L325" i="18"/>
  <c r="K325" i="18"/>
  <c r="J325" i="18"/>
  <c r="I325" i="18"/>
  <c r="H325" i="18"/>
  <c r="G325" i="18"/>
  <c r="F325" i="18"/>
  <c r="AE324" i="18"/>
  <c r="AC324" i="18"/>
  <c r="AB324" i="18"/>
  <c r="AA324" i="18"/>
  <c r="Z324" i="18"/>
  <c r="Y324" i="18"/>
  <c r="X324" i="18"/>
  <c r="W324" i="18"/>
  <c r="V324" i="18"/>
  <c r="U324" i="18"/>
  <c r="T324" i="18"/>
  <c r="S324" i="18"/>
  <c r="R324" i="18"/>
  <c r="Q324" i="18"/>
  <c r="P324" i="18"/>
  <c r="O324" i="18"/>
  <c r="N324" i="18"/>
  <c r="M324" i="18"/>
  <c r="L324" i="18"/>
  <c r="K324" i="18"/>
  <c r="J324" i="18"/>
  <c r="I324" i="18"/>
  <c r="H324" i="18"/>
  <c r="G324" i="18"/>
  <c r="F324" i="18"/>
  <c r="AE323" i="18"/>
  <c r="AC323" i="18"/>
  <c r="AB323" i="18"/>
  <c r="AA323" i="18"/>
  <c r="Z323" i="18"/>
  <c r="Y323" i="18"/>
  <c r="X323" i="18"/>
  <c r="W323" i="18"/>
  <c r="V323" i="18"/>
  <c r="U323" i="18"/>
  <c r="T323" i="18"/>
  <c r="S323" i="18"/>
  <c r="R323" i="18"/>
  <c r="Q323" i="18"/>
  <c r="P323" i="18"/>
  <c r="O323" i="18"/>
  <c r="N323" i="18"/>
  <c r="M323" i="18"/>
  <c r="L323" i="18"/>
  <c r="K323" i="18"/>
  <c r="J323" i="18"/>
  <c r="I323" i="18"/>
  <c r="H323" i="18"/>
  <c r="G323" i="18"/>
  <c r="F323" i="18"/>
  <c r="AE322" i="18"/>
  <c r="AC322" i="18"/>
  <c r="AB322" i="18"/>
  <c r="AA322" i="18"/>
  <c r="Z322" i="18"/>
  <c r="Y322" i="18"/>
  <c r="X322" i="18"/>
  <c r="W322" i="18"/>
  <c r="V322" i="18"/>
  <c r="U322" i="18"/>
  <c r="T322" i="18"/>
  <c r="S322" i="18"/>
  <c r="R322" i="18"/>
  <c r="Q322" i="18"/>
  <c r="P322" i="18"/>
  <c r="O322" i="18"/>
  <c r="N322" i="18"/>
  <c r="M322" i="18"/>
  <c r="L322" i="18"/>
  <c r="K322" i="18"/>
  <c r="J322" i="18"/>
  <c r="I322" i="18"/>
  <c r="H322" i="18"/>
  <c r="G322" i="18"/>
  <c r="F322" i="18"/>
  <c r="AE321" i="18"/>
  <c r="AC321" i="18"/>
  <c r="AB321" i="18"/>
  <c r="AA321" i="18"/>
  <c r="Z321" i="18"/>
  <c r="Y321" i="18"/>
  <c r="X321" i="18"/>
  <c r="W321" i="18"/>
  <c r="V321" i="18"/>
  <c r="U321" i="18"/>
  <c r="T321" i="18"/>
  <c r="S321" i="18"/>
  <c r="R321" i="18"/>
  <c r="Q321" i="18"/>
  <c r="P321" i="18"/>
  <c r="O321" i="18"/>
  <c r="N321" i="18"/>
  <c r="M321" i="18"/>
  <c r="L321" i="18"/>
  <c r="K321" i="18"/>
  <c r="J321" i="18"/>
  <c r="I321" i="18"/>
  <c r="H321" i="18"/>
  <c r="G321" i="18"/>
  <c r="F321" i="18"/>
  <c r="AE320" i="18"/>
  <c r="AC320" i="18"/>
  <c r="AB320" i="18"/>
  <c r="AA320" i="18"/>
  <c r="Z320" i="18"/>
  <c r="Y320" i="18"/>
  <c r="X320" i="18"/>
  <c r="W320" i="18"/>
  <c r="V320" i="18"/>
  <c r="U320" i="18"/>
  <c r="T320" i="18"/>
  <c r="S320" i="18"/>
  <c r="R320" i="18"/>
  <c r="Q320" i="18"/>
  <c r="P320" i="18"/>
  <c r="O320" i="18"/>
  <c r="N320" i="18"/>
  <c r="M320" i="18"/>
  <c r="L320" i="18"/>
  <c r="K320" i="18"/>
  <c r="J320" i="18"/>
  <c r="I320" i="18"/>
  <c r="H320" i="18"/>
  <c r="G320" i="18"/>
  <c r="F320" i="18"/>
  <c r="AE319" i="18"/>
  <c r="AC319" i="18"/>
  <c r="AB319" i="18"/>
  <c r="AA319" i="18"/>
  <c r="Z319" i="18"/>
  <c r="Y319" i="18"/>
  <c r="X319" i="18"/>
  <c r="W319" i="18"/>
  <c r="V319" i="18"/>
  <c r="U319" i="18"/>
  <c r="T319" i="18"/>
  <c r="S319" i="18"/>
  <c r="R319" i="18"/>
  <c r="Q319" i="18"/>
  <c r="P319" i="18"/>
  <c r="O319" i="18"/>
  <c r="N319" i="18"/>
  <c r="M319" i="18"/>
  <c r="L319" i="18"/>
  <c r="K319" i="18"/>
  <c r="J319" i="18"/>
  <c r="I319" i="18"/>
  <c r="H319" i="18"/>
  <c r="G319" i="18"/>
  <c r="F319" i="18"/>
  <c r="AE318" i="18"/>
  <c r="AC318" i="18"/>
  <c r="AB318" i="18"/>
  <c r="AA318" i="18"/>
  <c r="Z318" i="18"/>
  <c r="Y318" i="18"/>
  <c r="X318" i="18"/>
  <c r="W318" i="18"/>
  <c r="V318" i="18"/>
  <c r="U318" i="18"/>
  <c r="T318" i="18"/>
  <c r="S318" i="18"/>
  <c r="R318" i="18"/>
  <c r="Q318" i="18"/>
  <c r="P318" i="18"/>
  <c r="O318" i="18"/>
  <c r="N318" i="18"/>
  <c r="M318" i="18"/>
  <c r="L318" i="18"/>
  <c r="K318" i="18"/>
  <c r="J318" i="18"/>
  <c r="I318" i="18"/>
  <c r="H318" i="18"/>
  <c r="G318" i="18"/>
  <c r="F318" i="18"/>
  <c r="AE317" i="18"/>
  <c r="AC317" i="18"/>
  <c r="AB317" i="18"/>
  <c r="AA317" i="18"/>
  <c r="Z317" i="18"/>
  <c r="Y317" i="18"/>
  <c r="X317" i="18"/>
  <c r="W317" i="18"/>
  <c r="V317" i="18"/>
  <c r="U317" i="18"/>
  <c r="T317" i="18"/>
  <c r="S317" i="18"/>
  <c r="R317" i="18"/>
  <c r="Q317" i="18"/>
  <c r="P317" i="18"/>
  <c r="O317" i="18"/>
  <c r="N317" i="18"/>
  <c r="M317" i="18"/>
  <c r="L317" i="18"/>
  <c r="K317" i="18"/>
  <c r="J317" i="18"/>
  <c r="I317" i="18"/>
  <c r="H317" i="18"/>
  <c r="G317" i="18"/>
  <c r="F317" i="18"/>
  <c r="AE316" i="18"/>
  <c r="AC316" i="18"/>
  <c r="AB316" i="18"/>
  <c r="AA316" i="18"/>
  <c r="Z316" i="18"/>
  <c r="Y316" i="18"/>
  <c r="X316" i="18"/>
  <c r="W316" i="18"/>
  <c r="V316" i="18"/>
  <c r="U316" i="18"/>
  <c r="T316" i="18"/>
  <c r="S316" i="18"/>
  <c r="R316" i="18"/>
  <c r="Q316" i="18"/>
  <c r="P316" i="18"/>
  <c r="O316" i="18"/>
  <c r="N316" i="18"/>
  <c r="M316" i="18"/>
  <c r="L316" i="18"/>
  <c r="K316" i="18"/>
  <c r="J316" i="18"/>
  <c r="I316" i="18"/>
  <c r="H316" i="18"/>
  <c r="G316" i="18"/>
  <c r="F316" i="18"/>
  <c r="AE315" i="18"/>
  <c r="AC315" i="18"/>
  <c r="AB315" i="18"/>
  <c r="AA315" i="18"/>
  <c r="Z315" i="18"/>
  <c r="Y315" i="18"/>
  <c r="X315" i="18"/>
  <c r="W315" i="18"/>
  <c r="V315" i="18"/>
  <c r="U315" i="18"/>
  <c r="T315" i="18"/>
  <c r="S315" i="18"/>
  <c r="R315" i="18"/>
  <c r="Q315" i="18"/>
  <c r="P315" i="18"/>
  <c r="O315" i="18"/>
  <c r="N315" i="18"/>
  <c r="M315" i="18"/>
  <c r="L315" i="18"/>
  <c r="K315" i="18"/>
  <c r="J315" i="18"/>
  <c r="I315" i="18"/>
  <c r="H315" i="18"/>
  <c r="G315" i="18"/>
  <c r="F315" i="18"/>
  <c r="AE314" i="18"/>
  <c r="AC314" i="18"/>
  <c r="AB314" i="18"/>
  <c r="AA314" i="18"/>
  <c r="Z314" i="18"/>
  <c r="Y314" i="18"/>
  <c r="X314" i="18"/>
  <c r="W314" i="18"/>
  <c r="V314" i="18"/>
  <c r="U314" i="18"/>
  <c r="T314" i="18"/>
  <c r="S314" i="18"/>
  <c r="R314" i="18"/>
  <c r="Q314" i="18"/>
  <c r="P314" i="18"/>
  <c r="O314" i="18"/>
  <c r="N314" i="18"/>
  <c r="M314" i="18"/>
  <c r="L314" i="18"/>
  <c r="K314" i="18"/>
  <c r="J314" i="18"/>
  <c r="I314" i="18"/>
  <c r="H314" i="18"/>
  <c r="G314" i="18"/>
  <c r="F314" i="18"/>
  <c r="AE313" i="18"/>
  <c r="AC313" i="18"/>
  <c r="AB313" i="18"/>
  <c r="AA313" i="18"/>
  <c r="Z313" i="18"/>
  <c r="Y313" i="18"/>
  <c r="X313" i="18"/>
  <c r="W313" i="18"/>
  <c r="V313" i="18"/>
  <c r="U313" i="18"/>
  <c r="T313" i="18"/>
  <c r="S313" i="18"/>
  <c r="R313" i="18"/>
  <c r="Q313" i="18"/>
  <c r="P313" i="18"/>
  <c r="O313" i="18"/>
  <c r="N313" i="18"/>
  <c r="M313" i="18"/>
  <c r="L313" i="18"/>
  <c r="K313" i="18"/>
  <c r="J313" i="18"/>
  <c r="I313" i="18"/>
  <c r="H313" i="18"/>
  <c r="G313" i="18"/>
  <c r="F313" i="18"/>
  <c r="AE312" i="18"/>
  <c r="AC312" i="18"/>
  <c r="AB312" i="18"/>
  <c r="AA312" i="18"/>
  <c r="Z312" i="18"/>
  <c r="Y312" i="18"/>
  <c r="X312" i="18"/>
  <c r="W312" i="18"/>
  <c r="V312" i="18"/>
  <c r="U312" i="18"/>
  <c r="T312" i="18"/>
  <c r="S312" i="18"/>
  <c r="R312" i="18"/>
  <c r="Q312" i="18"/>
  <c r="P312" i="18"/>
  <c r="O312" i="18"/>
  <c r="N312" i="18"/>
  <c r="M312" i="18"/>
  <c r="L312" i="18"/>
  <c r="K312" i="18"/>
  <c r="J312" i="18"/>
  <c r="I312" i="18"/>
  <c r="H312" i="18"/>
  <c r="G312" i="18"/>
  <c r="F312" i="18"/>
  <c r="AE311" i="18"/>
  <c r="AC311" i="18"/>
  <c r="AB311" i="18"/>
  <c r="AA311" i="18"/>
  <c r="Z311" i="18"/>
  <c r="Y311" i="18"/>
  <c r="X311" i="18"/>
  <c r="W311" i="18"/>
  <c r="V311" i="18"/>
  <c r="U311" i="18"/>
  <c r="T311" i="18"/>
  <c r="S311" i="18"/>
  <c r="R311" i="18"/>
  <c r="Q311" i="18"/>
  <c r="P311" i="18"/>
  <c r="O311" i="18"/>
  <c r="N311" i="18"/>
  <c r="M311" i="18"/>
  <c r="L311" i="18"/>
  <c r="K311" i="18"/>
  <c r="J311" i="18"/>
  <c r="I311" i="18"/>
  <c r="H311" i="18"/>
  <c r="G311" i="18"/>
  <c r="F311" i="18"/>
  <c r="AE310" i="18"/>
  <c r="AC310" i="18"/>
  <c r="AB310" i="18"/>
  <c r="AA310" i="18"/>
  <c r="Z310" i="18"/>
  <c r="Y310" i="18"/>
  <c r="X310" i="18"/>
  <c r="W310" i="18"/>
  <c r="V310" i="18"/>
  <c r="U310" i="18"/>
  <c r="T310" i="18"/>
  <c r="S310" i="18"/>
  <c r="R310" i="18"/>
  <c r="Q310" i="18"/>
  <c r="P310" i="18"/>
  <c r="O310" i="18"/>
  <c r="N310" i="18"/>
  <c r="M310" i="18"/>
  <c r="L310" i="18"/>
  <c r="K310" i="18"/>
  <c r="J310" i="18"/>
  <c r="I310" i="18"/>
  <c r="H310" i="18"/>
  <c r="G310" i="18"/>
  <c r="F310" i="18"/>
  <c r="AE309" i="18"/>
  <c r="AC309" i="18"/>
  <c r="AB309" i="18"/>
  <c r="AA309" i="18"/>
  <c r="Z309" i="18"/>
  <c r="Y309" i="18"/>
  <c r="X309" i="18"/>
  <c r="W309" i="18"/>
  <c r="V309" i="18"/>
  <c r="U309" i="18"/>
  <c r="T309" i="18"/>
  <c r="S309" i="18"/>
  <c r="R309" i="18"/>
  <c r="Q309" i="18"/>
  <c r="P309" i="18"/>
  <c r="O309" i="18"/>
  <c r="N309" i="18"/>
  <c r="M309" i="18"/>
  <c r="L309" i="18"/>
  <c r="K309" i="18"/>
  <c r="J309" i="18"/>
  <c r="I309" i="18"/>
  <c r="H309" i="18"/>
  <c r="G309" i="18"/>
  <c r="F309" i="18"/>
  <c r="AE308" i="18"/>
  <c r="AC308" i="18"/>
  <c r="AB308" i="18"/>
  <c r="AA308" i="18"/>
  <c r="Z308" i="18"/>
  <c r="Y308" i="18"/>
  <c r="X308" i="18"/>
  <c r="W308" i="18"/>
  <c r="V308" i="18"/>
  <c r="U308" i="18"/>
  <c r="T308" i="18"/>
  <c r="S308" i="18"/>
  <c r="R308" i="18"/>
  <c r="Q308" i="18"/>
  <c r="P308" i="18"/>
  <c r="O308" i="18"/>
  <c r="N308" i="18"/>
  <c r="M308" i="18"/>
  <c r="L308" i="18"/>
  <c r="K308" i="18"/>
  <c r="J308" i="18"/>
  <c r="I308" i="18"/>
  <c r="H308" i="18"/>
  <c r="G308" i="18"/>
  <c r="F308" i="18"/>
  <c r="AE307" i="18"/>
  <c r="AC307" i="18"/>
  <c r="AB307" i="18"/>
  <c r="AA307" i="18"/>
  <c r="Z307" i="18"/>
  <c r="Y307" i="18"/>
  <c r="X307" i="18"/>
  <c r="W307" i="18"/>
  <c r="V307" i="18"/>
  <c r="U307" i="18"/>
  <c r="T307" i="18"/>
  <c r="S307" i="18"/>
  <c r="R307" i="18"/>
  <c r="Q307" i="18"/>
  <c r="P307" i="18"/>
  <c r="O307" i="18"/>
  <c r="N307" i="18"/>
  <c r="M307" i="18"/>
  <c r="L307" i="18"/>
  <c r="K307" i="18"/>
  <c r="J307" i="18"/>
  <c r="I307" i="18"/>
  <c r="H307" i="18"/>
  <c r="G307" i="18"/>
  <c r="F307" i="18"/>
  <c r="AE306" i="18"/>
  <c r="AC306" i="18"/>
  <c r="AB306" i="18"/>
  <c r="AA306" i="18"/>
  <c r="Z306" i="18"/>
  <c r="Y306" i="18"/>
  <c r="X306" i="18"/>
  <c r="W306" i="18"/>
  <c r="V306" i="18"/>
  <c r="U306" i="18"/>
  <c r="T306" i="18"/>
  <c r="S306" i="18"/>
  <c r="R306" i="18"/>
  <c r="Q306" i="18"/>
  <c r="P306" i="18"/>
  <c r="O306" i="18"/>
  <c r="N306" i="18"/>
  <c r="M306" i="18"/>
  <c r="L306" i="18"/>
  <c r="K306" i="18"/>
  <c r="J306" i="18"/>
  <c r="I306" i="18"/>
  <c r="H306" i="18"/>
  <c r="G306" i="18"/>
  <c r="F306" i="18"/>
  <c r="AE305" i="18"/>
  <c r="AC305" i="18"/>
  <c r="AB305" i="18"/>
  <c r="AA305" i="18"/>
  <c r="Z305" i="18"/>
  <c r="Y305" i="18"/>
  <c r="X305" i="18"/>
  <c r="W305" i="18"/>
  <c r="V305" i="18"/>
  <c r="U305" i="18"/>
  <c r="T305" i="18"/>
  <c r="S305" i="18"/>
  <c r="R305" i="18"/>
  <c r="Q305" i="18"/>
  <c r="P305" i="18"/>
  <c r="O305" i="18"/>
  <c r="N305" i="18"/>
  <c r="M305" i="18"/>
  <c r="L305" i="18"/>
  <c r="K305" i="18"/>
  <c r="J305" i="18"/>
  <c r="I305" i="18"/>
  <c r="H305" i="18"/>
  <c r="G305" i="18"/>
  <c r="F305" i="18"/>
  <c r="AE304" i="18"/>
  <c r="AC304" i="18"/>
  <c r="AB304" i="18"/>
  <c r="AA304" i="18"/>
  <c r="Z304" i="18"/>
  <c r="Y304" i="18"/>
  <c r="X304" i="18"/>
  <c r="W304" i="18"/>
  <c r="V304" i="18"/>
  <c r="U304" i="18"/>
  <c r="T304" i="18"/>
  <c r="S304" i="18"/>
  <c r="R304" i="18"/>
  <c r="Q304" i="18"/>
  <c r="P304" i="18"/>
  <c r="O304" i="18"/>
  <c r="N304" i="18"/>
  <c r="M304" i="18"/>
  <c r="L304" i="18"/>
  <c r="K304" i="18"/>
  <c r="J304" i="18"/>
  <c r="I304" i="18"/>
  <c r="H304" i="18"/>
  <c r="G304" i="18"/>
  <c r="F304" i="18"/>
  <c r="AE303" i="18"/>
  <c r="AC303" i="18"/>
  <c r="AB303" i="18"/>
  <c r="AA303" i="18"/>
  <c r="Z303" i="18"/>
  <c r="Y303" i="18"/>
  <c r="X303" i="18"/>
  <c r="W303" i="18"/>
  <c r="V303" i="18"/>
  <c r="U303" i="18"/>
  <c r="T303" i="18"/>
  <c r="S303" i="18"/>
  <c r="R303" i="18"/>
  <c r="Q303" i="18"/>
  <c r="P303" i="18"/>
  <c r="O303" i="18"/>
  <c r="N303" i="18"/>
  <c r="M303" i="18"/>
  <c r="L303" i="18"/>
  <c r="K303" i="18"/>
  <c r="J303" i="18"/>
  <c r="I303" i="18"/>
  <c r="H303" i="18"/>
  <c r="G303" i="18"/>
  <c r="F303" i="18"/>
  <c r="AE302" i="18"/>
  <c r="AC302" i="18"/>
  <c r="AB302" i="18"/>
  <c r="AA302" i="18"/>
  <c r="Z302" i="18"/>
  <c r="Y302" i="18"/>
  <c r="X302" i="18"/>
  <c r="W302" i="18"/>
  <c r="V302" i="18"/>
  <c r="U302" i="18"/>
  <c r="T302" i="18"/>
  <c r="S302" i="18"/>
  <c r="R302" i="18"/>
  <c r="Q302" i="18"/>
  <c r="P302" i="18"/>
  <c r="O302" i="18"/>
  <c r="N302" i="18"/>
  <c r="M302" i="18"/>
  <c r="L302" i="18"/>
  <c r="K302" i="18"/>
  <c r="J302" i="18"/>
  <c r="I302" i="18"/>
  <c r="H302" i="18"/>
  <c r="G302" i="18"/>
  <c r="F302" i="18"/>
  <c r="AE301" i="18"/>
  <c r="AC301" i="18"/>
  <c r="AB301" i="18"/>
  <c r="AA301" i="18"/>
  <c r="Z301" i="18"/>
  <c r="Y301" i="18"/>
  <c r="X301" i="18"/>
  <c r="W301" i="18"/>
  <c r="V301" i="18"/>
  <c r="U301" i="18"/>
  <c r="T301" i="18"/>
  <c r="S301" i="18"/>
  <c r="R301" i="18"/>
  <c r="Q301" i="18"/>
  <c r="P301" i="18"/>
  <c r="O301" i="18"/>
  <c r="N301" i="18"/>
  <c r="M301" i="18"/>
  <c r="L301" i="18"/>
  <c r="K301" i="18"/>
  <c r="J301" i="18"/>
  <c r="I301" i="18"/>
  <c r="H301" i="18"/>
  <c r="G301" i="18"/>
  <c r="F301" i="18"/>
  <c r="AE300" i="18"/>
  <c r="AC300" i="18"/>
  <c r="AB300" i="18"/>
  <c r="AA300" i="18"/>
  <c r="Z300" i="18"/>
  <c r="Y300" i="18"/>
  <c r="X300" i="18"/>
  <c r="W300" i="18"/>
  <c r="V300" i="18"/>
  <c r="U300" i="18"/>
  <c r="T300" i="18"/>
  <c r="S300" i="18"/>
  <c r="R300" i="18"/>
  <c r="Q300" i="18"/>
  <c r="P300" i="18"/>
  <c r="O300" i="18"/>
  <c r="N300" i="18"/>
  <c r="M300" i="18"/>
  <c r="L300" i="18"/>
  <c r="K300" i="18"/>
  <c r="J300" i="18"/>
  <c r="I300" i="18"/>
  <c r="H300" i="18"/>
  <c r="G300" i="18"/>
  <c r="F300" i="18"/>
  <c r="AE299" i="18"/>
  <c r="AC299" i="18"/>
  <c r="AB299" i="18"/>
  <c r="AA299" i="18"/>
  <c r="Z299" i="18"/>
  <c r="Y299" i="18"/>
  <c r="X299" i="18"/>
  <c r="W299" i="18"/>
  <c r="V299" i="18"/>
  <c r="U299" i="18"/>
  <c r="T299" i="18"/>
  <c r="S299" i="18"/>
  <c r="R299" i="18"/>
  <c r="Q299" i="18"/>
  <c r="P299" i="18"/>
  <c r="O299" i="18"/>
  <c r="N299" i="18"/>
  <c r="M299" i="18"/>
  <c r="L299" i="18"/>
  <c r="K299" i="18"/>
  <c r="J299" i="18"/>
  <c r="I299" i="18"/>
  <c r="H299" i="18"/>
  <c r="G299" i="18"/>
  <c r="F299" i="18"/>
  <c r="AE298" i="18"/>
  <c r="AC298" i="18"/>
  <c r="AB298" i="18"/>
  <c r="AA298" i="18"/>
  <c r="Z298" i="18"/>
  <c r="Y298" i="18"/>
  <c r="X298" i="18"/>
  <c r="W298" i="18"/>
  <c r="V298" i="18"/>
  <c r="U298" i="18"/>
  <c r="T298" i="18"/>
  <c r="S298" i="18"/>
  <c r="R298" i="18"/>
  <c r="Q298" i="18"/>
  <c r="P298" i="18"/>
  <c r="O298" i="18"/>
  <c r="N298" i="18"/>
  <c r="M298" i="18"/>
  <c r="L298" i="18"/>
  <c r="K298" i="18"/>
  <c r="J298" i="18"/>
  <c r="I298" i="18"/>
  <c r="H298" i="18"/>
  <c r="G298" i="18"/>
  <c r="F298" i="18"/>
  <c r="AE297" i="18"/>
  <c r="AC297" i="18"/>
  <c r="AB297" i="18"/>
  <c r="AA297" i="18"/>
  <c r="Z297" i="18"/>
  <c r="Y297" i="18"/>
  <c r="X297" i="18"/>
  <c r="W297" i="18"/>
  <c r="V297" i="18"/>
  <c r="U297" i="18"/>
  <c r="T297" i="18"/>
  <c r="S297" i="18"/>
  <c r="R297" i="18"/>
  <c r="Q297" i="18"/>
  <c r="P297" i="18"/>
  <c r="O297" i="18"/>
  <c r="N297" i="18"/>
  <c r="M297" i="18"/>
  <c r="L297" i="18"/>
  <c r="K297" i="18"/>
  <c r="J297" i="18"/>
  <c r="I297" i="18"/>
  <c r="H297" i="18"/>
  <c r="G297" i="18"/>
  <c r="F297" i="18"/>
  <c r="AE296" i="18"/>
  <c r="AC296" i="18"/>
  <c r="AB296" i="18"/>
  <c r="AA296" i="18"/>
  <c r="Z296" i="18"/>
  <c r="Y296" i="18"/>
  <c r="X296" i="18"/>
  <c r="W296" i="18"/>
  <c r="V296" i="18"/>
  <c r="U296" i="18"/>
  <c r="T296" i="18"/>
  <c r="S296" i="18"/>
  <c r="R296" i="18"/>
  <c r="Q296" i="18"/>
  <c r="P296" i="18"/>
  <c r="O296" i="18"/>
  <c r="N296" i="18"/>
  <c r="M296" i="18"/>
  <c r="L296" i="18"/>
  <c r="K296" i="18"/>
  <c r="J296" i="18"/>
  <c r="I296" i="18"/>
  <c r="H296" i="18"/>
  <c r="G296" i="18"/>
  <c r="F296" i="18"/>
  <c r="AE295" i="18"/>
  <c r="AC295" i="18"/>
  <c r="AB295" i="18"/>
  <c r="AA295" i="18"/>
  <c r="Z295" i="18"/>
  <c r="Y295" i="18"/>
  <c r="X295" i="18"/>
  <c r="W295" i="18"/>
  <c r="V295" i="18"/>
  <c r="U295" i="18"/>
  <c r="T295" i="18"/>
  <c r="S295" i="18"/>
  <c r="R295" i="18"/>
  <c r="Q295" i="18"/>
  <c r="P295" i="18"/>
  <c r="O295" i="18"/>
  <c r="N295" i="18"/>
  <c r="M295" i="18"/>
  <c r="L295" i="18"/>
  <c r="K295" i="18"/>
  <c r="J295" i="18"/>
  <c r="I295" i="18"/>
  <c r="H295" i="18"/>
  <c r="G295" i="18"/>
  <c r="F295" i="18"/>
  <c r="AE294" i="18"/>
  <c r="AC294" i="18"/>
  <c r="AB294" i="18"/>
  <c r="AA294" i="18"/>
  <c r="Z294" i="18"/>
  <c r="Y294" i="18"/>
  <c r="X294" i="18"/>
  <c r="W294" i="18"/>
  <c r="V294" i="18"/>
  <c r="U294" i="18"/>
  <c r="T294" i="18"/>
  <c r="S294" i="18"/>
  <c r="R294" i="18"/>
  <c r="Q294" i="18"/>
  <c r="P294" i="18"/>
  <c r="O294" i="18"/>
  <c r="N294" i="18"/>
  <c r="M294" i="18"/>
  <c r="L294" i="18"/>
  <c r="K294" i="18"/>
  <c r="J294" i="18"/>
  <c r="I294" i="18"/>
  <c r="H294" i="18"/>
  <c r="G294" i="18"/>
  <c r="F294" i="18"/>
  <c r="AE293" i="18"/>
  <c r="AC293" i="18"/>
  <c r="AB293" i="18"/>
  <c r="AA293" i="18"/>
  <c r="Z293" i="18"/>
  <c r="Y293" i="18"/>
  <c r="X293" i="18"/>
  <c r="W293" i="18"/>
  <c r="V293" i="18"/>
  <c r="U293" i="18"/>
  <c r="T293" i="18"/>
  <c r="S293" i="18"/>
  <c r="R293" i="18"/>
  <c r="Q293" i="18"/>
  <c r="P293" i="18"/>
  <c r="O293" i="18"/>
  <c r="N293" i="18"/>
  <c r="M293" i="18"/>
  <c r="L293" i="18"/>
  <c r="K293" i="18"/>
  <c r="J293" i="18"/>
  <c r="I293" i="18"/>
  <c r="H293" i="18"/>
  <c r="G293" i="18"/>
  <c r="F293" i="18"/>
  <c r="AE292" i="18"/>
  <c r="AC292" i="18"/>
  <c r="AB292" i="18"/>
  <c r="AA292" i="18"/>
  <c r="Z292" i="18"/>
  <c r="Y292" i="18"/>
  <c r="X292" i="18"/>
  <c r="W292" i="18"/>
  <c r="V292" i="18"/>
  <c r="U292" i="18"/>
  <c r="T292" i="18"/>
  <c r="S292" i="18"/>
  <c r="R292" i="18"/>
  <c r="Q292" i="18"/>
  <c r="P292" i="18"/>
  <c r="O292" i="18"/>
  <c r="N292" i="18"/>
  <c r="M292" i="18"/>
  <c r="L292" i="18"/>
  <c r="K292" i="18"/>
  <c r="J292" i="18"/>
  <c r="I292" i="18"/>
  <c r="H292" i="18"/>
  <c r="G292" i="18"/>
  <c r="F292" i="18"/>
  <c r="AE291" i="18"/>
  <c r="AC291" i="18"/>
  <c r="AB291" i="18"/>
  <c r="AA291" i="18"/>
  <c r="Z291" i="18"/>
  <c r="Y291" i="18"/>
  <c r="X291" i="18"/>
  <c r="W291" i="18"/>
  <c r="V291" i="18"/>
  <c r="U291" i="18"/>
  <c r="T291" i="18"/>
  <c r="S291" i="18"/>
  <c r="R291" i="18"/>
  <c r="Q291" i="18"/>
  <c r="P291" i="18"/>
  <c r="O291" i="18"/>
  <c r="N291" i="18"/>
  <c r="M291" i="18"/>
  <c r="L291" i="18"/>
  <c r="K291" i="18"/>
  <c r="J291" i="18"/>
  <c r="I291" i="18"/>
  <c r="H291" i="18"/>
  <c r="G291" i="18"/>
  <c r="F291" i="18"/>
  <c r="AE290" i="18"/>
  <c r="AC290" i="18"/>
  <c r="AB290" i="18"/>
  <c r="AA290" i="18"/>
  <c r="Z290" i="18"/>
  <c r="Y290" i="18"/>
  <c r="X290" i="18"/>
  <c r="W290" i="18"/>
  <c r="V290" i="18"/>
  <c r="U290" i="18"/>
  <c r="T290" i="18"/>
  <c r="S290" i="18"/>
  <c r="R290" i="18"/>
  <c r="Q290" i="18"/>
  <c r="P290" i="18"/>
  <c r="O290" i="18"/>
  <c r="N290" i="18"/>
  <c r="M290" i="18"/>
  <c r="L290" i="18"/>
  <c r="K290" i="18"/>
  <c r="J290" i="18"/>
  <c r="I290" i="18"/>
  <c r="H290" i="18"/>
  <c r="G290" i="18"/>
  <c r="F290" i="18"/>
  <c r="AE289" i="18"/>
  <c r="AC289" i="18"/>
  <c r="AB289" i="18"/>
  <c r="AA289" i="18"/>
  <c r="Z289" i="18"/>
  <c r="Y289" i="18"/>
  <c r="X289" i="18"/>
  <c r="W289" i="18"/>
  <c r="V289" i="18"/>
  <c r="U289" i="18"/>
  <c r="T289" i="18"/>
  <c r="S289" i="18"/>
  <c r="R289" i="18"/>
  <c r="Q289" i="18"/>
  <c r="P289" i="18"/>
  <c r="O289" i="18"/>
  <c r="N289" i="18"/>
  <c r="M289" i="18"/>
  <c r="L289" i="18"/>
  <c r="K289" i="18"/>
  <c r="J289" i="18"/>
  <c r="I289" i="18"/>
  <c r="H289" i="18"/>
  <c r="G289" i="18"/>
  <c r="F289" i="18"/>
  <c r="AE288" i="18"/>
  <c r="AC288" i="18"/>
  <c r="AB288" i="18"/>
  <c r="AA288" i="18"/>
  <c r="Z288" i="18"/>
  <c r="Y288" i="18"/>
  <c r="X288" i="18"/>
  <c r="W288" i="18"/>
  <c r="V288" i="18"/>
  <c r="U288" i="18"/>
  <c r="T288" i="18"/>
  <c r="S288" i="18"/>
  <c r="R288" i="18"/>
  <c r="Q288" i="18"/>
  <c r="P288" i="18"/>
  <c r="O288" i="18"/>
  <c r="N288" i="18"/>
  <c r="M288" i="18"/>
  <c r="L288" i="18"/>
  <c r="K288" i="18"/>
  <c r="J288" i="18"/>
  <c r="I288" i="18"/>
  <c r="H288" i="18"/>
  <c r="G288" i="18"/>
  <c r="F288" i="18"/>
  <c r="AE287" i="18"/>
  <c r="AC287" i="18"/>
  <c r="AB287" i="18"/>
  <c r="AA287" i="18"/>
  <c r="Z287" i="18"/>
  <c r="Y287" i="18"/>
  <c r="X287" i="18"/>
  <c r="W287" i="18"/>
  <c r="V287" i="18"/>
  <c r="U287" i="18"/>
  <c r="T287" i="18"/>
  <c r="S287" i="18"/>
  <c r="R287" i="18"/>
  <c r="Q287" i="18"/>
  <c r="P287" i="18"/>
  <c r="O287" i="18"/>
  <c r="N287" i="18"/>
  <c r="M287" i="18"/>
  <c r="L287" i="18"/>
  <c r="K287" i="18"/>
  <c r="J287" i="18"/>
  <c r="I287" i="18"/>
  <c r="H287" i="18"/>
  <c r="G287" i="18"/>
  <c r="F287" i="18"/>
  <c r="AE286" i="18"/>
  <c r="AC286" i="18"/>
  <c r="AB286" i="18"/>
  <c r="AA286" i="18"/>
  <c r="Z286" i="18"/>
  <c r="Y286" i="18"/>
  <c r="X286" i="18"/>
  <c r="W286" i="18"/>
  <c r="V286" i="18"/>
  <c r="U286" i="18"/>
  <c r="T286" i="18"/>
  <c r="S286" i="18"/>
  <c r="R286" i="18"/>
  <c r="Q286" i="18"/>
  <c r="P286" i="18"/>
  <c r="O286" i="18"/>
  <c r="N286" i="18"/>
  <c r="M286" i="18"/>
  <c r="L286" i="18"/>
  <c r="K286" i="18"/>
  <c r="J286" i="18"/>
  <c r="I286" i="18"/>
  <c r="H286" i="18"/>
  <c r="G286" i="18"/>
  <c r="F286" i="18"/>
  <c r="AE285" i="18"/>
  <c r="AC285" i="18"/>
  <c r="AB285" i="18"/>
  <c r="AA285" i="18"/>
  <c r="Z285" i="18"/>
  <c r="Y285" i="18"/>
  <c r="X285" i="18"/>
  <c r="W285" i="18"/>
  <c r="V285" i="18"/>
  <c r="U285" i="18"/>
  <c r="T285" i="18"/>
  <c r="S285" i="18"/>
  <c r="R285" i="18"/>
  <c r="Q285" i="18"/>
  <c r="P285" i="18"/>
  <c r="O285" i="18"/>
  <c r="N285" i="18"/>
  <c r="M285" i="18"/>
  <c r="L285" i="18"/>
  <c r="K285" i="18"/>
  <c r="J285" i="18"/>
  <c r="I285" i="18"/>
  <c r="H285" i="18"/>
  <c r="G285" i="18"/>
  <c r="F285" i="18"/>
  <c r="AE284" i="18"/>
  <c r="AC284" i="18"/>
  <c r="AB284" i="18"/>
  <c r="AA284" i="18"/>
  <c r="Z284" i="18"/>
  <c r="Y284" i="18"/>
  <c r="X284" i="18"/>
  <c r="W284" i="18"/>
  <c r="V284" i="18"/>
  <c r="U284" i="18"/>
  <c r="T284" i="18"/>
  <c r="S284" i="18"/>
  <c r="R284" i="18"/>
  <c r="Q284" i="18"/>
  <c r="P284" i="18"/>
  <c r="O284" i="18"/>
  <c r="N284" i="18"/>
  <c r="M284" i="18"/>
  <c r="L284" i="18"/>
  <c r="K284" i="18"/>
  <c r="J284" i="18"/>
  <c r="I284" i="18"/>
  <c r="H284" i="18"/>
  <c r="G284" i="18"/>
  <c r="F284" i="18"/>
  <c r="AE283" i="18"/>
  <c r="AC283" i="18"/>
  <c r="AB283" i="18"/>
  <c r="AA283" i="18"/>
  <c r="Z283" i="18"/>
  <c r="Y283" i="18"/>
  <c r="X283" i="18"/>
  <c r="W283" i="18"/>
  <c r="V283" i="18"/>
  <c r="U283" i="18"/>
  <c r="T283" i="18"/>
  <c r="S283" i="18"/>
  <c r="R283" i="18"/>
  <c r="Q283" i="18"/>
  <c r="P283" i="18"/>
  <c r="O283" i="18"/>
  <c r="N283" i="18"/>
  <c r="M283" i="18"/>
  <c r="L283" i="18"/>
  <c r="K283" i="18"/>
  <c r="J283" i="18"/>
  <c r="I283" i="18"/>
  <c r="H283" i="18"/>
  <c r="G283" i="18"/>
  <c r="F283" i="18"/>
  <c r="AE282" i="18"/>
  <c r="AC282" i="18"/>
  <c r="AB282" i="18"/>
  <c r="AA282" i="18"/>
  <c r="Z282" i="18"/>
  <c r="Y282" i="18"/>
  <c r="X282" i="18"/>
  <c r="W282" i="18"/>
  <c r="V282" i="18"/>
  <c r="U282" i="18"/>
  <c r="T282" i="18"/>
  <c r="S282" i="18"/>
  <c r="R282" i="18"/>
  <c r="Q282" i="18"/>
  <c r="P282" i="18"/>
  <c r="O282" i="18"/>
  <c r="N282" i="18"/>
  <c r="M282" i="18"/>
  <c r="L282" i="18"/>
  <c r="K282" i="18"/>
  <c r="J282" i="18"/>
  <c r="I282" i="18"/>
  <c r="H282" i="18"/>
  <c r="G282" i="18"/>
  <c r="F282" i="18"/>
  <c r="AE281" i="18"/>
  <c r="AC281" i="18"/>
  <c r="AB281" i="18"/>
  <c r="AA281" i="18"/>
  <c r="Z281" i="18"/>
  <c r="Y281" i="18"/>
  <c r="X281" i="18"/>
  <c r="W281" i="18"/>
  <c r="V281" i="18"/>
  <c r="U281" i="18"/>
  <c r="T281" i="18"/>
  <c r="S281" i="18"/>
  <c r="R281" i="18"/>
  <c r="Q281" i="18"/>
  <c r="P281" i="18"/>
  <c r="O281" i="18"/>
  <c r="N281" i="18"/>
  <c r="M281" i="18"/>
  <c r="L281" i="18"/>
  <c r="K281" i="18"/>
  <c r="J281" i="18"/>
  <c r="I281" i="18"/>
  <c r="H281" i="18"/>
  <c r="G281" i="18"/>
  <c r="F281" i="18"/>
  <c r="AE280" i="18"/>
  <c r="AC280" i="18"/>
  <c r="AB280" i="18"/>
  <c r="AA280" i="18"/>
  <c r="Z280" i="18"/>
  <c r="Y280" i="18"/>
  <c r="X280" i="18"/>
  <c r="W280" i="18"/>
  <c r="V280" i="18"/>
  <c r="U280" i="18"/>
  <c r="T280" i="18"/>
  <c r="S280" i="18"/>
  <c r="R280" i="18"/>
  <c r="Q280" i="18"/>
  <c r="P280" i="18"/>
  <c r="O280" i="18"/>
  <c r="N280" i="18"/>
  <c r="M280" i="18"/>
  <c r="L280" i="18"/>
  <c r="K280" i="18"/>
  <c r="J280" i="18"/>
  <c r="I280" i="18"/>
  <c r="H280" i="18"/>
  <c r="G280" i="18"/>
  <c r="F280" i="18"/>
  <c r="AE279" i="18"/>
  <c r="AC279" i="18"/>
  <c r="AB279" i="18"/>
  <c r="AA279" i="18"/>
  <c r="Z279" i="18"/>
  <c r="Y279" i="18"/>
  <c r="X279" i="18"/>
  <c r="W279" i="18"/>
  <c r="V279" i="18"/>
  <c r="U279" i="18"/>
  <c r="T279" i="18"/>
  <c r="S279" i="18"/>
  <c r="R279" i="18"/>
  <c r="Q279" i="18"/>
  <c r="P279" i="18"/>
  <c r="O279" i="18"/>
  <c r="N279" i="18"/>
  <c r="M279" i="18"/>
  <c r="L279" i="18"/>
  <c r="K279" i="18"/>
  <c r="J279" i="18"/>
  <c r="I279" i="18"/>
  <c r="H279" i="18"/>
  <c r="G279" i="18"/>
  <c r="F279" i="18"/>
  <c r="AE278" i="18"/>
  <c r="AC278" i="18"/>
  <c r="AB278" i="18"/>
  <c r="AA278" i="18"/>
  <c r="Z278" i="18"/>
  <c r="Y278" i="18"/>
  <c r="X278" i="18"/>
  <c r="W278" i="18"/>
  <c r="V278" i="18"/>
  <c r="U278" i="18"/>
  <c r="T278" i="18"/>
  <c r="S278" i="18"/>
  <c r="R278" i="18"/>
  <c r="Q278" i="18"/>
  <c r="P278" i="18"/>
  <c r="O278" i="18"/>
  <c r="N278" i="18"/>
  <c r="M278" i="18"/>
  <c r="L278" i="18"/>
  <c r="K278" i="18"/>
  <c r="J278" i="18"/>
  <c r="I278" i="18"/>
  <c r="H278" i="18"/>
  <c r="G278" i="18"/>
  <c r="F278" i="18"/>
  <c r="AE277" i="18"/>
  <c r="AC277" i="18"/>
  <c r="AB277" i="18"/>
  <c r="AA277" i="18"/>
  <c r="Z277" i="18"/>
  <c r="Y277" i="18"/>
  <c r="X277" i="18"/>
  <c r="W277" i="18"/>
  <c r="V277" i="18"/>
  <c r="U277" i="18"/>
  <c r="T277" i="18"/>
  <c r="S277" i="18"/>
  <c r="R277" i="18"/>
  <c r="Q277" i="18"/>
  <c r="P277" i="18"/>
  <c r="O277" i="18"/>
  <c r="N277" i="18"/>
  <c r="M277" i="18"/>
  <c r="L277" i="18"/>
  <c r="K277" i="18"/>
  <c r="J277" i="18"/>
  <c r="I277" i="18"/>
  <c r="H277" i="18"/>
  <c r="G277" i="18"/>
  <c r="F277" i="18"/>
  <c r="AE276" i="18"/>
  <c r="AC276" i="18"/>
  <c r="AB276" i="18"/>
  <c r="AA276" i="18"/>
  <c r="Z276" i="18"/>
  <c r="Y276" i="18"/>
  <c r="X276" i="18"/>
  <c r="W276" i="18"/>
  <c r="V276" i="18"/>
  <c r="U276" i="18"/>
  <c r="T276" i="18"/>
  <c r="S276" i="18"/>
  <c r="R276" i="18"/>
  <c r="Q276" i="18"/>
  <c r="P276" i="18"/>
  <c r="O276" i="18"/>
  <c r="N276" i="18"/>
  <c r="M276" i="18"/>
  <c r="L276" i="18"/>
  <c r="K276" i="18"/>
  <c r="J276" i="18"/>
  <c r="I276" i="18"/>
  <c r="H276" i="18"/>
  <c r="G276" i="18"/>
  <c r="F276" i="18"/>
  <c r="AE275" i="18"/>
  <c r="AC275" i="18"/>
  <c r="AB275" i="18"/>
  <c r="AA275" i="18"/>
  <c r="Z275" i="18"/>
  <c r="Y275" i="18"/>
  <c r="X275" i="18"/>
  <c r="W275" i="18"/>
  <c r="V275" i="18"/>
  <c r="U275" i="18"/>
  <c r="T275" i="18"/>
  <c r="S275" i="18"/>
  <c r="R275" i="18"/>
  <c r="Q275" i="18"/>
  <c r="P275" i="18"/>
  <c r="O275" i="18"/>
  <c r="N275" i="18"/>
  <c r="M275" i="18"/>
  <c r="L275" i="18"/>
  <c r="K275" i="18"/>
  <c r="J275" i="18"/>
  <c r="I275" i="18"/>
  <c r="H275" i="18"/>
  <c r="G275" i="18"/>
  <c r="F275" i="18"/>
  <c r="AE274" i="18"/>
  <c r="AC274" i="18"/>
  <c r="AB274" i="18"/>
  <c r="AA274" i="18"/>
  <c r="Z274" i="18"/>
  <c r="Y274" i="18"/>
  <c r="X274" i="18"/>
  <c r="W274" i="18"/>
  <c r="V274" i="18"/>
  <c r="U274" i="18"/>
  <c r="T274" i="18"/>
  <c r="S274" i="18"/>
  <c r="R274" i="18"/>
  <c r="Q274" i="18"/>
  <c r="P274" i="18"/>
  <c r="O274" i="18"/>
  <c r="N274" i="18"/>
  <c r="M274" i="18"/>
  <c r="L274" i="18"/>
  <c r="K274" i="18"/>
  <c r="J274" i="18"/>
  <c r="I274" i="18"/>
  <c r="H274" i="18"/>
  <c r="G274" i="18"/>
  <c r="F274" i="18"/>
  <c r="AE273" i="18"/>
  <c r="AC273" i="18"/>
  <c r="AB273" i="18"/>
  <c r="AA273" i="18"/>
  <c r="Z273" i="18"/>
  <c r="Y273" i="18"/>
  <c r="X273" i="18"/>
  <c r="W273" i="18"/>
  <c r="V273" i="18"/>
  <c r="U273" i="18"/>
  <c r="T273" i="18"/>
  <c r="S273" i="18"/>
  <c r="R273" i="18"/>
  <c r="Q273" i="18"/>
  <c r="P273" i="18"/>
  <c r="O273" i="18"/>
  <c r="N273" i="18"/>
  <c r="M273" i="18"/>
  <c r="L273" i="18"/>
  <c r="K273" i="18"/>
  <c r="J273" i="18"/>
  <c r="I273" i="18"/>
  <c r="H273" i="18"/>
  <c r="G273" i="18"/>
  <c r="F273" i="18"/>
  <c r="AE272" i="18"/>
  <c r="AC272" i="18"/>
  <c r="AB272" i="18"/>
  <c r="AA272" i="18"/>
  <c r="Z272" i="18"/>
  <c r="Y272" i="18"/>
  <c r="X272" i="18"/>
  <c r="W272" i="18"/>
  <c r="V272" i="18"/>
  <c r="U272" i="18"/>
  <c r="T272" i="18"/>
  <c r="S272" i="18"/>
  <c r="R272" i="18"/>
  <c r="Q272" i="18"/>
  <c r="P272" i="18"/>
  <c r="O272" i="18"/>
  <c r="N272" i="18"/>
  <c r="M272" i="18"/>
  <c r="L272" i="18"/>
  <c r="K272" i="18"/>
  <c r="J272" i="18"/>
  <c r="I272" i="18"/>
  <c r="H272" i="18"/>
  <c r="G272" i="18"/>
  <c r="F272" i="18"/>
  <c r="AE271" i="18"/>
  <c r="AC271" i="18"/>
  <c r="AB271" i="18"/>
  <c r="AA271" i="18"/>
  <c r="Z271" i="18"/>
  <c r="Y271" i="18"/>
  <c r="X271" i="18"/>
  <c r="W271" i="18"/>
  <c r="V271" i="18"/>
  <c r="U271" i="18"/>
  <c r="T271" i="18"/>
  <c r="S271" i="18"/>
  <c r="R271" i="18"/>
  <c r="Q271" i="18"/>
  <c r="P271" i="18"/>
  <c r="O271" i="18"/>
  <c r="N271" i="18"/>
  <c r="M271" i="18"/>
  <c r="L271" i="18"/>
  <c r="K271" i="18"/>
  <c r="J271" i="18"/>
  <c r="I271" i="18"/>
  <c r="H271" i="18"/>
  <c r="G271" i="18"/>
  <c r="F271" i="18"/>
  <c r="AE270" i="18"/>
  <c r="AC270" i="18"/>
  <c r="AB270" i="18"/>
  <c r="AA270" i="18"/>
  <c r="Z270" i="18"/>
  <c r="Y270" i="18"/>
  <c r="X270" i="18"/>
  <c r="W270" i="18"/>
  <c r="V270" i="18"/>
  <c r="U270" i="18"/>
  <c r="T270" i="18"/>
  <c r="S270" i="18"/>
  <c r="R270" i="18"/>
  <c r="Q270" i="18"/>
  <c r="P270" i="18"/>
  <c r="O270" i="18"/>
  <c r="N270" i="18"/>
  <c r="M270" i="18"/>
  <c r="L270" i="18"/>
  <c r="K270" i="18"/>
  <c r="J270" i="18"/>
  <c r="I270" i="18"/>
  <c r="H270" i="18"/>
  <c r="G270" i="18"/>
  <c r="F270" i="18"/>
  <c r="AE269" i="18"/>
  <c r="AC269" i="18"/>
  <c r="AB269" i="18"/>
  <c r="AA269" i="18"/>
  <c r="Z269" i="18"/>
  <c r="Y269" i="18"/>
  <c r="X269" i="18"/>
  <c r="W269" i="18"/>
  <c r="V269" i="18"/>
  <c r="U269" i="18"/>
  <c r="T269" i="18"/>
  <c r="S269" i="18"/>
  <c r="R269" i="18"/>
  <c r="Q269" i="18"/>
  <c r="P269" i="18"/>
  <c r="O269" i="18"/>
  <c r="N269" i="18"/>
  <c r="M269" i="18"/>
  <c r="L269" i="18"/>
  <c r="K269" i="18"/>
  <c r="J269" i="18"/>
  <c r="I269" i="18"/>
  <c r="H269" i="18"/>
  <c r="G269" i="18"/>
  <c r="F269" i="18"/>
  <c r="AE268" i="18"/>
  <c r="AC268" i="18"/>
  <c r="AB268" i="18"/>
  <c r="AA268" i="18"/>
  <c r="Z268" i="18"/>
  <c r="Y268" i="18"/>
  <c r="X268" i="18"/>
  <c r="W268" i="18"/>
  <c r="V268" i="18"/>
  <c r="U268" i="18"/>
  <c r="T268" i="18"/>
  <c r="S268" i="18"/>
  <c r="R268" i="18"/>
  <c r="Q268" i="18"/>
  <c r="P268" i="18"/>
  <c r="O268" i="18"/>
  <c r="N268" i="18"/>
  <c r="M268" i="18"/>
  <c r="L268" i="18"/>
  <c r="K268" i="18"/>
  <c r="J268" i="18"/>
  <c r="I268" i="18"/>
  <c r="H268" i="18"/>
  <c r="G268" i="18"/>
  <c r="F268" i="18"/>
  <c r="AE267" i="18"/>
  <c r="AC267" i="18"/>
  <c r="AB267" i="18"/>
  <c r="AA267" i="18"/>
  <c r="Z267" i="18"/>
  <c r="Y267" i="18"/>
  <c r="X267" i="18"/>
  <c r="W267" i="18"/>
  <c r="V267" i="18"/>
  <c r="U267" i="18"/>
  <c r="T267" i="18"/>
  <c r="S267" i="18"/>
  <c r="R267" i="18"/>
  <c r="Q267" i="18"/>
  <c r="P267" i="18"/>
  <c r="O267" i="18"/>
  <c r="N267" i="18"/>
  <c r="M267" i="18"/>
  <c r="L267" i="18"/>
  <c r="K267" i="18"/>
  <c r="J267" i="18"/>
  <c r="I267" i="18"/>
  <c r="H267" i="18"/>
  <c r="G267" i="18"/>
  <c r="F267" i="18"/>
  <c r="AE266" i="18"/>
  <c r="AC266" i="18"/>
  <c r="AB266" i="18"/>
  <c r="AA266" i="18"/>
  <c r="Z266" i="18"/>
  <c r="Y266" i="18"/>
  <c r="X266" i="18"/>
  <c r="W266" i="18"/>
  <c r="V266" i="18"/>
  <c r="U266" i="18"/>
  <c r="T266" i="18"/>
  <c r="S266" i="18"/>
  <c r="R266" i="18"/>
  <c r="Q266" i="18"/>
  <c r="P266" i="18"/>
  <c r="O266" i="18"/>
  <c r="N266" i="18"/>
  <c r="M266" i="18"/>
  <c r="L266" i="18"/>
  <c r="K266" i="18"/>
  <c r="J266" i="18"/>
  <c r="I266" i="18"/>
  <c r="H266" i="18"/>
  <c r="G266" i="18"/>
  <c r="F266" i="18"/>
  <c r="AE265" i="18"/>
  <c r="AC265" i="18"/>
  <c r="AB265" i="18"/>
  <c r="AA265" i="18"/>
  <c r="Z265" i="18"/>
  <c r="Y265" i="18"/>
  <c r="X265" i="18"/>
  <c r="W265" i="18"/>
  <c r="V265" i="18"/>
  <c r="U265" i="18"/>
  <c r="T265" i="18"/>
  <c r="S265" i="18"/>
  <c r="R265" i="18"/>
  <c r="Q265" i="18"/>
  <c r="P265" i="18"/>
  <c r="O265" i="18"/>
  <c r="N265" i="18"/>
  <c r="M265" i="18"/>
  <c r="L265" i="18"/>
  <c r="K265" i="18"/>
  <c r="J265" i="18"/>
  <c r="I265" i="18"/>
  <c r="H265" i="18"/>
  <c r="G265" i="18"/>
  <c r="F265" i="18"/>
  <c r="AE264" i="18"/>
  <c r="AC264" i="18"/>
  <c r="AB264" i="18"/>
  <c r="AA264" i="18"/>
  <c r="Z264" i="18"/>
  <c r="Y264" i="18"/>
  <c r="X264" i="18"/>
  <c r="W264" i="18"/>
  <c r="V264" i="18"/>
  <c r="U264" i="18"/>
  <c r="T264" i="18"/>
  <c r="S264" i="18"/>
  <c r="R264" i="18"/>
  <c r="Q264" i="18"/>
  <c r="P264" i="18"/>
  <c r="O264" i="18"/>
  <c r="N264" i="18"/>
  <c r="M264" i="18"/>
  <c r="L264" i="18"/>
  <c r="K264" i="18"/>
  <c r="J264" i="18"/>
  <c r="I264" i="18"/>
  <c r="H264" i="18"/>
  <c r="G264" i="18"/>
  <c r="F264" i="18"/>
  <c r="AE263" i="18"/>
  <c r="AC263" i="18"/>
  <c r="AB263" i="18"/>
  <c r="AA263" i="18"/>
  <c r="Z263" i="18"/>
  <c r="Y263" i="18"/>
  <c r="X263" i="18"/>
  <c r="W263" i="18"/>
  <c r="V263" i="18"/>
  <c r="U263" i="18"/>
  <c r="T263" i="18"/>
  <c r="S263" i="18"/>
  <c r="R263" i="18"/>
  <c r="Q263" i="18"/>
  <c r="P263" i="18"/>
  <c r="O263" i="18"/>
  <c r="N263" i="18"/>
  <c r="M263" i="18"/>
  <c r="L263" i="18"/>
  <c r="K263" i="18"/>
  <c r="J263" i="18"/>
  <c r="I263" i="18"/>
  <c r="H263" i="18"/>
  <c r="G263" i="18"/>
  <c r="F263" i="18"/>
  <c r="AE262" i="18"/>
  <c r="AC262" i="18"/>
  <c r="AB262" i="18"/>
  <c r="AA262" i="18"/>
  <c r="Z262" i="18"/>
  <c r="Y262" i="18"/>
  <c r="X262" i="18"/>
  <c r="W262" i="18"/>
  <c r="V262" i="18"/>
  <c r="U262" i="18"/>
  <c r="T262" i="18"/>
  <c r="S262" i="18"/>
  <c r="R262" i="18"/>
  <c r="Q262" i="18"/>
  <c r="P262" i="18"/>
  <c r="O262" i="18"/>
  <c r="N262" i="18"/>
  <c r="M262" i="18"/>
  <c r="L262" i="18"/>
  <c r="K262" i="18"/>
  <c r="J262" i="18"/>
  <c r="I262" i="18"/>
  <c r="H262" i="18"/>
  <c r="G262" i="18"/>
  <c r="F262" i="18"/>
  <c r="AE261" i="18"/>
  <c r="AC261" i="18"/>
  <c r="AB261" i="18"/>
  <c r="AA261" i="18"/>
  <c r="Z261" i="18"/>
  <c r="Y261" i="18"/>
  <c r="X261" i="18"/>
  <c r="W261" i="18"/>
  <c r="V261" i="18"/>
  <c r="U261" i="18"/>
  <c r="T261" i="18"/>
  <c r="S261" i="18"/>
  <c r="R261" i="18"/>
  <c r="Q261" i="18"/>
  <c r="P261" i="18"/>
  <c r="O261" i="18"/>
  <c r="N261" i="18"/>
  <c r="M261" i="18"/>
  <c r="L261" i="18"/>
  <c r="K261" i="18"/>
  <c r="J261" i="18"/>
  <c r="I261" i="18"/>
  <c r="H261" i="18"/>
  <c r="G261" i="18"/>
  <c r="F261" i="18"/>
  <c r="AE260" i="18"/>
  <c r="AC260" i="18"/>
  <c r="AB260" i="18"/>
  <c r="AA260" i="18"/>
  <c r="Z260" i="18"/>
  <c r="Y260" i="18"/>
  <c r="X260" i="18"/>
  <c r="W260" i="18"/>
  <c r="V260" i="18"/>
  <c r="U260" i="18"/>
  <c r="T260" i="18"/>
  <c r="S260" i="18"/>
  <c r="R260" i="18"/>
  <c r="Q260" i="18"/>
  <c r="P260" i="18"/>
  <c r="O260" i="18"/>
  <c r="N260" i="18"/>
  <c r="M260" i="18"/>
  <c r="L260" i="18"/>
  <c r="K260" i="18"/>
  <c r="J260" i="18"/>
  <c r="I260" i="18"/>
  <c r="H260" i="18"/>
  <c r="G260" i="18"/>
  <c r="F260" i="18"/>
  <c r="AE259" i="18"/>
  <c r="AC259" i="18"/>
  <c r="AB259" i="18"/>
  <c r="AA259" i="18"/>
  <c r="Z259" i="18"/>
  <c r="Y259" i="18"/>
  <c r="X259" i="18"/>
  <c r="W259" i="18"/>
  <c r="V259" i="18"/>
  <c r="U259" i="18"/>
  <c r="T259" i="18"/>
  <c r="S259" i="18"/>
  <c r="R259" i="18"/>
  <c r="Q259" i="18"/>
  <c r="P259" i="18"/>
  <c r="O259" i="18"/>
  <c r="N259" i="18"/>
  <c r="M259" i="18"/>
  <c r="L259" i="18"/>
  <c r="K259" i="18"/>
  <c r="J259" i="18"/>
  <c r="I259" i="18"/>
  <c r="H259" i="18"/>
  <c r="G259" i="18"/>
  <c r="F259" i="18"/>
  <c r="AE258" i="18"/>
  <c r="AC258" i="18"/>
  <c r="AB258" i="18"/>
  <c r="AA258" i="18"/>
  <c r="Z258" i="18"/>
  <c r="Y258" i="18"/>
  <c r="X258" i="18"/>
  <c r="W258" i="18"/>
  <c r="V258" i="18"/>
  <c r="U258" i="18"/>
  <c r="T258" i="18"/>
  <c r="S258" i="18"/>
  <c r="R258" i="18"/>
  <c r="Q258" i="18"/>
  <c r="P258" i="18"/>
  <c r="O258" i="18"/>
  <c r="N258" i="18"/>
  <c r="M258" i="18"/>
  <c r="L258" i="18"/>
  <c r="K258" i="18"/>
  <c r="J258" i="18"/>
  <c r="I258" i="18"/>
  <c r="H258" i="18"/>
  <c r="G258" i="18"/>
  <c r="F258" i="18"/>
  <c r="AE257" i="18"/>
  <c r="AC257" i="18"/>
  <c r="AB257" i="18"/>
  <c r="AA257" i="18"/>
  <c r="Z257" i="18"/>
  <c r="Y257" i="18"/>
  <c r="X257" i="18"/>
  <c r="W257" i="18"/>
  <c r="V257" i="18"/>
  <c r="U257" i="18"/>
  <c r="T257" i="18"/>
  <c r="S257" i="18"/>
  <c r="R257" i="18"/>
  <c r="Q257" i="18"/>
  <c r="P257" i="18"/>
  <c r="O257" i="18"/>
  <c r="N257" i="18"/>
  <c r="M257" i="18"/>
  <c r="L257" i="18"/>
  <c r="K257" i="18"/>
  <c r="J257" i="18"/>
  <c r="I257" i="18"/>
  <c r="H257" i="18"/>
  <c r="G257" i="18"/>
  <c r="F257" i="18"/>
  <c r="AE256" i="18"/>
  <c r="AC256" i="18"/>
  <c r="AB256" i="18"/>
  <c r="AA256" i="18"/>
  <c r="Z256" i="18"/>
  <c r="Y256" i="18"/>
  <c r="X256" i="18"/>
  <c r="W256" i="18"/>
  <c r="V256" i="18"/>
  <c r="U256" i="18"/>
  <c r="T256" i="18"/>
  <c r="S256" i="18"/>
  <c r="R256" i="18"/>
  <c r="Q256" i="18"/>
  <c r="P256" i="18"/>
  <c r="O256" i="18"/>
  <c r="N256" i="18"/>
  <c r="M256" i="18"/>
  <c r="L256" i="18"/>
  <c r="K256" i="18"/>
  <c r="J256" i="18"/>
  <c r="I256" i="18"/>
  <c r="H256" i="18"/>
  <c r="G256" i="18"/>
  <c r="F256" i="18"/>
  <c r="AE255" i="18"/>
  <c r="AC255" i="18"/>
  <c r="AB255" i="18"/>
  <c r="AA255" i="18"/>
  <c r="Z255" i="18"/>
  <c r="Y255" i="18"/>
  <c r="X255" i="18"/>
  <c r="W255" i="18"/>
  <c r="V255" i="18"/>
  <c r="U255" i="18"/>
  <c r="T255" i="18"/>
  <c r="S255" i="18"/>
  <c r="R255" i="18"/>
  <c r="Q255" i="18"/>
  <c r="P255" i="18"/>
  <c r="O255" i="18"/>
  <c r="N255" i="18"/>
  <c r="M255" i="18"/>
  <c r="L255" i="18"/>
  <c r="K255" i="18"/>
  <c r="J255" i="18"/>
  <c r="I255" i="18"/>
  <c r="H255" i="18"/>
  <c r="G255" i="18"/>
  <c r="F255" i="18"/>
  <c r="AE254" i="18"/>
  <c r="AC254" i="18"/>
  <c r="AB254" i="18"/>
  <c r="AA254" i="18"/>
  <c r="Z254" i="18"/>
  <c r="Y254" i="18"/>
  <c r="X254" i="18"/>
  <c r="W254" i="18"/>
  <c r="V254" i="18"/>
  <c r="U254" i="18"/>
  <c r="T254" i="18"/>
  <c r="S254" i="18"/>
  <c r="R254" i="18"/>
  <c r="Q254" i="18"/>
  <c r="P254" i="18"/>
  <c r="O254" i="18"/>
  <c r="N254" i="18"/>
  <c r="M254" i="18"/>
  <c r="L254" i="18"/>
  <c r="K254" i="18"/>
  <c r="J254" i="18"/>
  <c r="I254" i="18"/>
  <c r="H254" i="18"/>
  <c r="G254" i="18"/>
  <c r="F254" i="18"/>
  <c r="AE253" i="18"/>
  <c r="AC253" i="18"/>
  <c r="AB253" i="18"/>
  <c r="AA253" i="18"/>
  <c r="Z253" i="18"/>
  <c r="Y253" i="18"/>
  <c r="X253" i="18"/>
  <c r="W253" i="18"/>
  <c r="V253" i="18"/>
  <c r="U253" i="18"/>
  <c r="T253" i="18"/>
  <c r="S253" i="18"/>
  <c r="R253" i="18"/>
  <c r="Q253" i="18"/>
  <c r="P253" i="18"/>
  <c r="O253" i="18"/>
  <c r="N253" i="18"/>
  <c r="M253" i="18"/>
  <c r="L253" i="18"/>
  <c r="K253" i="18"/>
  <c r="J253" i="18"/>
  <c r="I253" i="18"/>
  <c r="H253" i="18"/>
  <c r="G253" i="18"/>
  <c r="F253" i="18"/>
  <c r="AE252" i="18"/>
  <c r="AC252" i="18"/>
  <c r="AB252" i="18"/>
  <c r="AA252" i="18"/>
  <c r="Z252" i="18"/>
  <c r="Y252" i="18"/>
  <c r="X252" i="18"/>
  <c r="W252" i="18"/>
  <c r="V252" i="18"/>
  <c r="U252" i="18"/>
  <c r="T252" i="18"/>
  <c r="S252" i="18"/>
  <c r="R252" i="18"/>
  <c r="Q252" i="18"/>
  <c r="P252" i="18"/>
  <c r="O252" i="18"/>
  <c r="N252" i="18"/>
  <c r="M252" i="18"/>
  <c r="L252" i="18"/>
  <c r="K252" i="18"/>
  <c r="J252" i="18"/>
  <c r="I252" i="18"/>
  <c r="H252" i="18"/>
  <c r="G252" i="18"/>
  <c r="F252" i="18"/>
  <c r="AE251" i="18"/>
  <c r="AC251" i="18"/>
  <c r="AB251" i="18"/>
  <c r="AA251" i="18"/>
  <c r="Z251" i="18"/>
  <c r="Y251" i="18"/>
  <c r="X251" i="18"/>
  <c r="W251" i="18"/>
  <c r="V251" i="18"/>
  <c r="U251" i="18"/>
  <c r="T251" i="18"/>
  <c r="S251" i="18"/>
  <c r="R251" i="18"/>
  <c r="Q251" i="18"/>
  <c r="P251" i="18"/>
  <c r="O251" i="18"/>
  <c r="N251" i="18"/>
  <c r="M251" i="18"/>
  <c r="L251" i="18"/>
  <c r="K251" i="18"/>
  <c r="J251" i="18"/>
  <c r="I251" i="18"/>
  <c r="H251" i="18"/>
  <c r="G251" i="18"/>
  <c r="F251" i="18"/>
  <c r="AE250" i="18"/>
  <c r="AC250" i="18"/>
  <c r="AB250" i="18"/>
  <c r="AA250" i="18"/>
  <c r="Z250" i="18"/>
  <c r="Y250" i="18"/>
  <c r="X250" i="18"/>
  <c r="W250" i="18"/>
  <c r="V250" i="18"/>
  <c r="U250" i="18"/>
  <c r="T250" i="18"/>
  <c r="S250" i="18"/>
  <c r="R250" i="18"/>
  <c r="Q250" i="18"/>
  <c r="P250" i="18"/>
  <c r="O250" i="18"/>
  <c r="N250" i="18"/>
  <c r="M250" i="18"/>
  <c r="L250" i="18"/>
  <c r="K250" i="18"/>
  <c r="J250" i="18"/>
  <c r="I250" i="18"/>
  <c r="H250" i="18"/>
  <c r="G250" i="18"/>
  <c r="F250" i="18"/>
  <c r="AE249" i="18"/>
  <c r="AC249" i="18"/>
  <c r="AB249" i="18"/>
  <c r="AA249" i="18"/>
  <c r="Z249" i="18"/>
  <c r="Y249" i="18"/>
  <c r="X249" i="18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AE248" i="18"/>
  <c r="AC248" i="18"/>
  <c r="AB248" i="18"/>
  <c r="AA248" i="18"/>
  <c r="Z248" i="18"/>
  <c r="Y248" i="18"/>
  <c r="X248" i="18"/>
  <c r="W248" i="18"/>
  <c r="V248" i="18"/>
  <c r="U248" i="18"/>
  <c r="T248" i="18"/>
  <c r="S248" i="18"/>
  <c r="R248" i="18"/>
  <c r="Q248" i="18"/>
  <c r="P248" i="18"/>
  <c r="O248" i="18"/>
  <c r="N248" i="18"/>
  <c r="M248" i="18"/>
  <c r="L248" i="18"/>
  <c r="K248" i="18"/>
  <c r="J248" i="18"/>
  <c r="I248" i="18"/>
  <c r="H248" i="18"/>
  <c r="G248" i="18"/>
  <c r="F248" i="18"/>
  <c r="AE247" i="18"/>
  <c r="AC247" i="18"/>
  <c r="AB247" i="18"/>
  <c r="AA247" i="18"/>
  <c r="Z247" i="18"/>
  <c r="Y247" i="18"/>
  <c r="X247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AE246" i="18"/>
  <c r="AC246" i="18"/>
  <c r="AB246" i="18"/>
  <c r="AA246" i="18"/>
  <c r="Z246" i="18"/>
  <c r="Y246" i="18"/>
  <c r="X246" i="18"/>
  <c r="W246" i="18"/>
  <c r="V246" i="18"/>
  <c r="U246" i="18"/>
  <c r="T246" i="18"/>
  <c r="S246" i="18"/>
  <c r="R246" i="18"/>
  <c r="Q246" i="18"/>
  <c r="P246" i="18"/>
  <c r="O246" i="18"/>
  <c r="N246" i="18"/>
  <c r="M246" i="18"/>
  <c r="L246" i="18"/>
  <c r="K246" i="18"/>
  <c r="J246" i="18"/>
  <c r="I246" i="18"/>
  <c r="H246" i="18"/>
  <c r="G246" i="18"/>
  <c r="F246" i="18"/>
  <c r="AE245" i="18"/>
  <c r="AC245" i="18"/>
  <c r="AB245" i="18"/>
  <c r="AA245" i="18"/>
  <c r="Z245" i="18"/>
  <c r="Y245" i="18"/>
  <c r="X245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AE244" i="18"/>
  <c r="AC244" i="18"/>
  <c r="AB244" i="18"/>
  <c r="AA244" i="18"/>
  <c r="Z244" i="18"/>
  <c r="Y244" i="18"/>
  <c r="X244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AE243" i="18"/>
  <c r="AC243" i="18"/>
  <c r="AB243" i="18"/>
  <c r="AA243" i="18"/>
  <c r="Z243" i="18"/>
  <c r="Y243" i="18"/>
  <c r="X243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AE242" i="18"/>
  <c r="AC242" i="18"/>
  <c r="AB242" i="18"/>
  <c r="AA242" i="18"/>
  <c r="Z242" i="18"/>
  <c r="Y242" i="18"/>
  <c r="X242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AE241" i="18"/>
  <c r="AC241" i="18"/>
  <c r="AB241" i="18"/>
  <c r="AA241" i="18"/>
  <c r="Z241" i="18"/>
  <c r="Y241" i="18"/>
  <c r="X241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AE240" i="18"/>
  <c r="AC240" i="18"/>
  <c r="AB240" i="18"/>
  <c r="AA240" i="18"/>
  <c r="Z240" i="18"/>
  <c r="Y240" i="18"/>
  <c r="X240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AE239" i="18"/>
  <c r="AC239" i="18"/>
  <c r="AB239" i="18"/>
  <c r="AA239" i="18"/>
  <c r="Z239" i="18"/>
  <c r="Y239" i="18"/>
  <c r="X239" i="18"/>
  <c r="W239" i="18"/>
  <c r="V239" i="18"/>
  <c r="U239" i="18"/>
  <c r="T239" i="18"/>
  <c r="S239" i="18"/>
  <c r="R239" i="18"/>
  <c r="Q239" i="18"/>
  <c r="P239" i="18"/>
  <c r="O239" i="18"/>
  <c r="N239" i="18"/>
  <c r="M239" i="18"/>
  <c r="L239" i="18"/>
  <c r="K239" i="18"/>
  <c r="J239" i="18"/>
  <c r="I239" i="18"/>
  <c r="H239" i="18"/>
  <c r="G239" i="18"/>
  <c r="F239" i="18"/>
  <c r="AE238" i="18"/>
  <c r="AC238" i="18"/>
  <c r="AB238" i="18"/>
  <c r="AA238" i="18"/>
  <c r="Z238" i="18"/>
  <c r="Y238" i="18"/>
  <c r="X238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AE237" i="18"/>
  <c r="AC237" i="18"/>
  <c r="AB237" i="18"/>
  <c r="AA237" i="18"/>
  <c r="Z237" i="18"/>
  <c r="Y237" i="18"/>
  <c r="X237" i="18"/>
  <c r="W237" i="18"/>
  <c r="V237" i="18"/>
  <c r="U237" i="18"/>
  <c r="T237" i="18"/>
  <c r="S237" i="18"/>
  <c r="R237" i="18"/>
  <c r="Q237" i="18"/>
  <c r="P237" i="18"/>
  <c r="O237" i="18"/>
  <c r="N237" i="18"/>
  <c r="M237" i="18"/>
  <c r="L237" i="18"/>
  <c r="K237" i="18"/>
  <c r="J237" i="18"/>
  <c r="I237" i="18"/>
  <c r="H237" i="18"/>
  <c r="G237" i="18"/>
  <c r="F237" i="18"/>
  <c r="AE236" i="18"/>
  <c r="AC236" i="18"/>
  <c r="AB236" i="18"/>
  <c r="AA236" i="18"/>
  <c r="Z236" i="18"/>
  <c r="Y236" i="18"/>
  <c r="X236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AE235" i="18"/>
  <c r="AC235" i="18"/>
  <c r="AB235" i="18"/>
  <c r="AA235" i="18"/>
  <c r="Z235" i="18"/>
  <c r="Y235" i="18"/>
  <c r="X235" i="18"/>
  <c r="W235" i="18"/>
  <c r="V235" i="18"/>
  <c r="U235" i="18"/>
  <c r="T235" i="18"/>
  <c r="S235" i="18"/>
  <c r="R235" i="18"/>
  <c r="Q235" i="18"/>
  <c r="P235" i="18"/>
  <c r="O235" i="18"/>
  <c r="N235" i="18"/>
  <c r="M235" i="18"/>
  <c r="L235" i="18"/>
  <c r="K235" i="18"/>
  <c r="J235" i="18"/>
  <c r="I235" i="18"/>
  <c r="H235" i="18"/>
  <c r="G235" i="18"/>
  <c r="F235" i="18"/>
  <c r="AE234" i="18"/>
  <c r="AC234" i="18"/>
  <c r="AB234" i="18"/>
  <c r="AA234" i="18"/>
  <c r="Z234" i="18"/>
  <c r="Y234" i="18"/>
  <c r="X234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AE233" i="18"/>
  <c r="AC233" i="18"/>
  <c r="AB233" i="18"/>
  <c r="AA233" i="18"/>
  <c r="Z233" i="18"/>
  <c r="Y233" i="18"/>
  <c r="X233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AE232" i="18"/>
  <c r="AC232" i="18"/>
  <c r="AB232" i="18"/>
  <c r="AA232" i="18"/>
  <c r="Z232" i="18"/>
  <c r="Y232" i="18"/>
  <c r="X232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AE231" i="18"/>
  <c r="AC231" i="18"/>
  <c r="AB231" i="18"/>
  <c r="AA231" i="18"/>
  <c r="Z231" i="18"/>
  <c r="Y231" i="18"/>
  <c r="X231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AE230" i="18"/>
  <c r="AC230" i="18"/>
  <c r="AB230" i="18"/>
  <c r="AA230" i="18"/>
  <c r="Z230" i="18"/>
  <c r="Y230" i="18"/>
  <c r="X230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AE229" i="18"/>
  <c r="AC229" i="18"/>
  <c r="AB229" i="18"/>
  <c r="AA229" i="18"/>
  <c r="Z229" i="18"/>
  <c r="Y229" i="18"/>
  <c r="X229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AE228" i="18"/>
  <c r="AC228" i="18"/>
  <c r="AB228" i="18"/>
  <c r="AA228" i="18"/>
  <c r="Z228" i="18"/>
  <c r="Y228" i="18"/>
  <c r="X228" i="18"/>
  <c r="W228" i="18"/>
  <c r="V228" i="18"/>
  <c r="U228" i="18"/>
  <c r="T228" i="18"/>
  <c r="S228" i="18"/>
  <c r="R228" i="18"/>
  <c r="Q228" i="18"/>
  <c r="P228" i="18"/>
  <c r="O228" i="18"/>
  <c r="N228" i="18"/>
  <c r="M228" i="18"/>
  <c r="L228" i="18"/>
  <c r="K228" i="18"/>
  <c r="J228" i="18"/>
  <c r="I228" i="18"/>
  <c r="H228" i="18"/>
  <c r="G228" i="18"/>
  <c r="F228" i="18"/>
  <c r="AE227" i="18"/>
  <c r="AC227" i="18"/>
  <c r="AB227" i="18"/>
  <c r="AA227" i="18"/>
  <c r="Z227" i="18"/>
  <c r="Y227" i="18"/>
  <c r="X227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AE226" i="18"/>
  <c r="AC226" i="18"/>
  <c r="AB226" i="18"/>
  <c r="AA226" i="18"/>
  <c r="Z226" i="18"/>
  <c r="Y226" i="18"/>
  <c r="X226" i="18"/>
  <c r="W226" i="18"/>
  <c r="V226" i="18"/>
  <c r="U226" i="18"/>
  <c r="T226" i="18"/>
  <c r="S226" i="18"/>
  <c r="R226" i="18"/>
  <c r="Q226" i="18"/>
  <c r="P226" i="18"/>
  <c r="O226" i="18"/>
  <c r="N226" i="18"/>
  <c r="M226" i="18"/>
  <c r="L226" i="18"/>
  <c r="K226" i="18"/>
  <c r="J226" i="18"/>
  <c r="I226" i="18"/>
  <c r="H226" i="18"/>
  <c r="G226" i="18"/>
  <c r="F226" i="18"/>
  <c r="AE225" i="18"/>
  <c r="AC225" i="18"/>
  <c r="AB225" i="18"/>
  <c r="AA225" i="18"/>
  <c r="Z225" i="18"/>
  <c r="Y225" i="18"/>
  <c r="X225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AE224" i="18"/>
  <c r="AC224" i="18"/>
  <c r="AB224" i="18"/>
  <c r="AA224" i="18"/>
  <c r="Z224" i="18"/>
  <c r="Y224" i="18"/>
  <c r="X224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AE223" i="18"/>
  <c r="AC223" i="18"/>
  <c r="AB223" i="18"/>
  <c r="AA223" i="18"/>
  <c r="Z223" i="18"/>
  <c r="Y223" i="18"/>
  <c r="X223" i="18"/>
  <c r="W223" i="18"/>
  <c r="V223" i="18"/>
  <c r="U223" i="18"/>
  <c r="T223" i="18"/>
  <c r="S223" i="18"/>
  <c r="R223" i="18"/>
  <c r="Q223" i="18"/>
  <c r="P223" i="18"/>
  <c r="O223" i="18"/>
  <c r="N223" i="18"/>
  <c r="M223" i="18"/>
  <c r="L223" i="18"/>
  <c r="K223" i="18"/>
  <c r="J223" i="18"/>
  <c r="I223" i="18"/>
  <c r="H223" i="18"/>
  <c r="G223" i="18"/>
  <c r="F223" i="18"/>
  <c r="AE222" i="18"/>
  <c r="AC222" i="18"/>
  <c r="AB222" i="18"/>
  <c r="AA222" i="18"/>
  <c r="Z222" i="18"/>
  <c r="Y222" i="18"/>
  <c r="X222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AE221" i="18"/>
  <c r="AC221" i="18"/>
  <c r="AB221" i="18"/>
  <c r="AA221" i="18"/>
  <c r="Z221" i="18"/>
  <c r="Y221" i="18"/>
  <c r="X221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AE220" i="18"/>
  <c r="AC220" i="18"/>
  <c r="AB220" i="18"/>
  <c r="AA220" i="18"/>
  <c r="Z220" i="18"/>
  <c r="Y220" i="18"/>
  <c r="X220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AE219" i="18"/>
  <c r="AC219" i="18"/>
  <c r="AB219" i="18"/>
  <c r="AA219" i="18"/>
  <c r="Z219" i="18"/>
  <c r="Y219" i="18"/>
  <c r="X219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AE218" i="18"/>
  <c r="AC218" i="18"/>
  <c r="AB218" i="18"/>
  <c r="AA218" i="18"/>
  <c r="Z218" i="18"/>
  <c r="Y218" i="18"/>
  <c r="X218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AE217" i="18"/>
  <c r="AC217" i="18"/>
  <c r="AB217" i="18"/>
  <c r="AA217" i="18"/>
  <c r="Z217" i="18"/>
  <c r="Y217" i="18"/>
  <c r="X217" i="18"/>
  <c r="W217" i="18"/>
  <c r="V217" i="18"/>
  <c r="U217" i="18"/>
  <c r="T217" i="18"/>
  <c r="S217" i="18"/>
  <c r="R217" i="18"/>
  <c r="Q217" i="18"/>
  <c r="P217" i="18"/>
  <c r="O217" i="18"/>
  <c r="N217" i="18"/>
  <c r="M217" i="18"/>
  <c r="L217" i="18"/>
  <c r="K217" i="18"/>
  <c r="J217" i="18"/>
  <c r="I217" i="18"/>
  <c r="H217" i="18"/>
  <c r="G217" i="18"/>
  <c r="F217" i="18"/>
  <c r="AE216" i="18"/>
  <c r="AC216" i="18"/>
  <c r="AB216" i="18"/>
  <c r="AA216" i="18"/>
  <c r="Z216" i="18"/>
  <c r="Y216" i="18"/>
  <c r="X216" i="18"/>
  <c r="W216" i="18"/>
  <c r="V216" i="18"/>
  <c r="U216" i="18"/>
  <c r="T216" i="18"/>
  <c r="S216" i="18"/>
  <c r="R216" i="18"/>
  <c r="Q216" i="18"/>
  <c r="P216" i="18"/>
  <c r="O216" i="18"/>
  <c r="N216" i="18"/>
  <c r="M216" i="18"/>
  <c r="L216" i="18"/>
  <c r="K216" i="18"/>
  <c r="J216" i="18"/>
  <c r="I216" i="18"/>
  <c r="H216" i="18"/>
  <c r="G216" i="18"/>
  <c r="F216" i="18"/>
  <c r="AE215" i="18"/>
  <c r="AC215" i="18"/>
  <c r="AB215" i="18"/>
  <c r="AA215" i="18"/>
  <c r="Z215" i="18"/>
  <c r="Y215" i="18"/>
  <c r="X215" i="18"/>
  <c r="W215" i="18"/>
  <c r="V215" i="18"/>
  <c r="U215" i="18"/>
  <c r="T215" i="18"/>
  <c r="S215" i="18"/>
  <c r="R215" i="18"/>
  <c r="Q215" i="18"/>
  <c r="P215" i="18"/>
  <c r="O215" i="18"/>
  <c r="N215" i="18"/>
  <c r="M215" i="18"/>
  <c r="L215" i="18"/>
  <c r="K215" i="18"/>
  <c r="J215" i="18"/>
  <c r="I215" i="18"/>
  <c r="H215" i="18"/>
  <c r="G215" i="18"/>
  <c r="F215" i="18"/>
  <c r="AE214" i="18"/>
  <c r="AC214" i="18"/>
  <c r="AB214" i="18"/>
  <c r="AA214" i="18"/>
  <c r="Z214" i="18"/>
  <c r="Y214" i="18"/>
  <c r="X214" i="18"/>
  <c r="W214" i="18"/>
  <c r="V214" i="18"/>
  <c r="U214" i="18"/>
  <c r="T214" i="18"/>
  <c r="S214" i="18"/>
  <c r="R214" i="18"/>
  <c r="Q214" i="18"/>
  <c r="P214" i="18"/>
  <c r="O214" i="18"/>
  <c r="N214" i="18"/>
  <c r="M214" i="18"/>
  <c r="L214" i="18"/>
  <c r="K214" i="18"/>
  <c r="J214" i="18"/>
  <c r="I214" i="18"/>
  <c r="H214" i="18"/>
  <c r="G214" i="18"/>
  <c r="F214" i="18"/>
  <c r="AE213" i="18"/>
  <c r="AC213" i="18"/>
  <c r="AB213" i="18"/>
  <c r="AA213" i="18"/>
  <c r="Z213" i="18"/>
  <c r="Y213" i="18"/>
  <c r="X213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AE212" i="18"/>
  <c r="AC212" i="18"/>
  <c r="AB212" i="18"/>
  <c r="AA212" i="18"/>
  <c r="Z212" i="18"/>
  <c r="Y212" i="18"/>
  <c r="X212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AE211" i="18"/>
  <c r="AC211" i="18"/>
  <c r="AB211" i="18"/>
  <c r="AA211" i="18"/>
  <c r="Z211" i="18"/>
  <c r="Y211" i="18"/>
  <c r="X211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AE210" i="18"/>
  <c r="AC210" i="18"/>
  <c r="AB210" i="18"/>
  <c r="AA210" i="18"/>
  <c r="Z210" i="18"/>
  <c r="Y210" i="18"/>
  <c r="X210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AE209" i="18"/>
  <c r="AC209" i="18"/>
  <c r="AB209" i="18"/>
  <c r="AA209" i="18"/>
  <c r="Z209" i="18"/>
  <c r="Y209" i="18"/>
  <c r="X209" i="18"/>
  <c r="W209" i="18"/>
  <c r="V209" i="18"/>
  <c r="U209" i="18"/>
  <c r="T209" i="18"/>
  <c r="S209" i="18"/>
  <c r="R209" i="18"/>
  <c r="Q209" i="18"/>
  <c r="P209" i="18"/>
  <c r="O209" i="18"/>
  <c r="N209" i="18"/>
  <c r="M209" i="18"/>
  <c r="L209" i="18"/>
  <c r="K209" i="18"/>
  <c r="J209" i="18"/>
  <c r="I209" i="18"/>
  <c r="H209" i="18"/>
  <c r="G209" i="18"/>
  <c r="F209" i="18"/>
  <c r="AE208" i="18"/>
  <c r="AC208" i="18"/>
  <c r="AB208" i="18"/>
  <c r="AA208" i="18"/>
  <c r="Z208" i="18"/>
  <c r="Y208" i="18"/>
  <c r="X208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AE207" i="18"/>
  <c r="AC207" i="18"/>
  <c r="AB207" i="18"/>
  <c r="AA207" i="18"/>
  <c r="Z207" i="18"/>
  <c r="Y207" i="18"/>
  <c r="X207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AE206" i="18"/>
  <c r="AC206" i="18"/>
  <c r="AB206" i="18"/>
  <c r="AA206" i="18"/>
  <c r="Z206" i="18"/>
  <c r="Y206" i="18"/>
  <c r="X206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AE205" i="18"/>
  <c r="AC205" i="18"/>
  <c r="AB205" i="18"/>
  <c r="AA205" i="18"/>
  <c r="Z205" i="18"/>
  <c r="Y205" i="18"/>
  <c r="X205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AE204" i="18"/>
  <c r="AC204" i="18"/>
  <c r="AB204" i="18"/>
  <c r="AA204" i="18"/>
  <c r="Z204" i="18"/>
  <c r="Y204" i="18"/>
  <c r="X204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AE203" i="18"/>
  <c r="AC203" i="18"/>
  <c r="AB203" i="18"/>
  <c r="AA203" i="18"/>
  <c r="Z203" i="18"/>
  <c r="Y203" i="18"/>
  <c r="X203" i="18"/>
  <c r="W203" i="18"/>
  <c r="V203" i="18"/>
  <c r="U203" i="18"/>
  <c r="T203" i="18"/>
  <c r="S203" i="18"/>
  <c r="R203" i="18"/>
  <c r="Q203" i="18"/>
  <c r="P203" i="18"/>
  <c r="O203" i="18"/>
  <c r="N203" i="18"/>
  <c r="M203" i="18"/>
  <c r="L203" i="18"/>
  <c r="K203" i="18"/>
  <c r="J203" i="18"/>
  <c r="I203" i="18"/>
  <c r="H203" i="18"/>
  <c r="G203" i="18"/>
  <c r="F203" i="18"/>
  <c r="AE202" i="18"/>
  <c r="AC202" i="18"/>
  <c r="AB202" i="18"/>
  <c r="AA202" i="18"/>
  <c r="Z202" i="18"/>
  <c r="Y202" i="18"/>
  <c r="X202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AE201" i="18"/>
  <c r="AC201" i="18"/>
  <c r="AB201" i="18"/>
  <c r="AA201" i="18"/>
  <c r="Z201" i="18"/>
  <c r="Y201" i="18"/>
  <c r="X201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AE200" i="18"/>
  <c r="AC200" i="18"/>
  <c r="AB200" i="18"/>
  <c r="AA200" i="18"/>
  <c r="Z200" i="18"/>
  <c r="Y200" i="18"/>
  <c r="X200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AE199" i="18"/>
  <c r="AC199" i="18"/>
  <c r="AB199" i="18"/>
  <c r="AA199" i="18"/>
  <c r="Z199" i="18"/>
  <c r="Y199" i="18"/>
  <c r="X199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AE198" i="18"/>
  <c r="AC198" i="18"/>
  <c r="AB198" i="18"/>
  <c r="AA198" i="18"/>
  <c r="Z198" i="18"/>
  <c r="Y198" i="18"/>
  <c r="X198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AE197" i="18"/>
  <c r="AC197" i="18"/>
  <c r="AB197" i="18"/>
  <c r="AA197" i="18"/>
  <c r="Z197" i="18"/>
  <c r="Y197" i="18"/>
  <c r="X197" i="18"/>
  <c r="W197" i="18"/>
  <c r="V197" i="18"/>
  <c r="U197" i="18"/>
  <c r="T197" i="18"/>
  <c r="S197" i="18"/>
  <c r="R197" i="18"/>
  <c r="Q197" i="18"/>
  <c r="P197" i="18"/>
  <c r="O197" i="18"/>
  <c r="N197" i="18"/>
  <c r="M197" i="18"/>
  <c r="L197" i="18"/>
  <c r="K197" i="18"/>
  <c r="J197" i="18"/>
  <c r="I197" i="18"/>
  <c r="H197" i="18"/>
  <c r="G197" i="18"/>
  <c r="F197" i="18"/>
  <c r="AE196" i="18"/>
  <c r="AC196" i="18"/>
  <c r="AB196" i="18"/>
  <c r="AA196" i="18"/>
  <c r="Z196" i="18"/>
  <c r="Y196" i="18"/>
  <c r="X196" i="18"/>
  <c r="W196" i="18"/>
  <c r="V196" i="18"/>
  <c r="U196" i="18"/>
  <c r="T196" i="18"/>
  <c r="S196" i="18"/>
  <c r="R196" i="18"/>
  <c r="Q196" i="18"/>
  <c r="P196" i="18"/>
  <c r="O196" i="18"/>
  <c r="N196" i="18"/>
  <c r="M196" i="18"/>
  <c r="L196" i="18"/>
  <c r="K196" i="18"/>
  <c r="J196" i="18"/>
  <c r="I196" i="18"/>
  <c r="H196" i="18"/>
  <c r="G196" i="18"/>
  <c r="F196" i="18"/>
  <c r="AE195" i="18"/>
  <c r="AC195" i="18"/>
  <c r="AB195" i="18"/>
  <c r="AA195" i="18"/>
  <c r="Z195" i="18"/>
  <c r="Y195" i="18"/>
  <c r="X195" i="18"/>
  <c r="W195" i="18"/>
  <c r="V195" i="18"/>
  <c r="U195" i="18"/>
  <c r="T195" i="18"/>
  <c r="S195" i="18"/>
  <c r="R195" i="18"/>
  <c r="Q195" i="18"/>
  <c r="P195" i="18"/>
  <c r="O195" i="18"/>
  <c r="N195" i="18"/>
  <c r="M195" i="18"/>
  <c r="L195" i="18"/>
  <c r="K195" i="18"/>
  <c r="J195" i="18"/>
  <c r="I195" i="18"/>
  <c r="H195" i="18"/>
  <c r="G195" i="18"/>
  <c r="F195" i="18"/>
  <c r="AE194" i="18"/>
  <c r="AC194" i="18"/>
  <c r="AB194" i="18"/>
  <c r="AA194" i="18"/>
  <c r="Z194" i="18"/>
  <c r="Y194" i="18"/>
  <c r="X194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AE193" i="18"/>
  <c r="AC193" i="18"/>
  <c r="AB193" i="18"/>
  <c r="AA193" i="18"/>
  <c r="Z193" i="18"/>
  <c r="Y193" i="18"/>
  <c r="X193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AE192" i="18"/>
  <c r="AC192" i="18"/>
  <c r="AB192" i="18"/>
  <c r="AA192" i="18"/>
  <c r="Z192" i="18"/>
  <c r="Y192" i="18"/>
  <c r="X192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AE191" i="18"/>
  <c r="AC191" i="18"/>
  <c r="AB191" i="18"/>
  <c r="AA191" i="18"/>
  <c r="Z191" i="18"/>
  <c r="Y191" i="18"/>
  <c r="X191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AE190" i="18"/>
  <c r="AC190" i="18"/>
  <c r="AB190" i="18"/>
  <c r="AA190" i="18"/>
  <c r="Z190" i="18"/>
  <c r="Y190" i="18"/>
  <c r="X190" i="18"/>
  <c r="W190" i="18"/>
  <c r="V190" i="18"/>
  <c r="U190" i="18"/>
  <c r="T190" i="18"/>
  <c r="S190" i="18"/>
  <c r="R190" i="18"/>
  <c r="Q190" i="18"/>
  <c r="P190" i="18"/>
  <c r="O190" i="18"/>
  <c r="N190" i="18"/>
  <c r="M190" i="18"/>
  <c r="L190" i="18"/>
  <c r="K190" i="18"/>
  <c r="J190" i="18"/>
  <c r="I190" i="18"/>
  <c r="H190" i="18"/>
  <c r="G190" i="18"/>
  <c r="F190" i="18"/>
  <c r="AE189" i="18"/>
  <c r="AC189" i="18"/>
  <c r="AB189" i="18"/>
  <c r="AA189" i="18"/>
  <c r="Z189" i="18"/>
  <c r="Y189" i="18"/>
  <c r="X189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AE188" i="18"/>
  <c r="AC188" i="18"/>
  <c r="AB188" i="18"/>
  <c r="AA188" i="18"/>
  <c r="Z188" i="18"/>
  <c r="Y188" i="18"/>
  <c r="X188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AE187" i="18"/>
  <c r="AC187" i="18"/>
  <c r="AB187" i="18"/>
  <c r="AA187" i="18"/>
  <c r="Z187" i="18"/>
  <c r="Y187" i="18"/>
  <c r="X187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AE186" i="18"/>
  <c r="AC186" i="18"/>
  <c r="AB186" i="18"/>
  <c r="AA186" i="18"/>
  <c r="Z186" i="18"/>
  <c r="Y186" i="18"/>
  <c r="X186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AE185" i="18"/>
  <c r="AC185" i="18"/>
  <c r="AB185" i="18"/>
  <c r="AA185" i="18"/>
  <c r="Z185" i="18"/>
  <c r="Y185" i="18"/>
  <c r="X185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AE184" i="18"/>
  <c r="AC184" i="18"/>
  <c r="AB184" i="18"/>
  <c r="AA184" i="18"/>
  <c r="Z184" i="18"/>
  <c r="Y184" i="18"/>
  <c r="X184" i="18"/>
  <c r="W184" i="18"/>
  <c r="V184" i="18"/>
  <c r="U184" i="18"/>
  <c r="T184" i="18"/>
  <c r="S184" i="18"/>
  <c r="R184" i="18"/>
  <c r="Q184" i="18"/>
  <c r="P184" i="18"/>
  <c r="O184" i="18"/>
  <c r="N184" i="18"/>
  <c r="M184" i="18"/>
  <c r="L184" i="18"/>
  <c r="K184" i="18"/>
  <c r="J184" i="18"/>
  <c r="I184" i="18"/>
  <c r="H184" i="18"/>
  <c r="G184" i="18"/>
  <c r="F184" i="18"/>
  <c r="AE183" i="18"/>
  <c r="AC183" i="18"/>
  <c r="AB183" i="18"/>
  <c r="AA183" i="18"/>
  <c r="Z183" i="18"/>
  <c r="Y183" i="18"/>
  <c r="X183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AE182" i="18"/>
  <c r="AC182" i="18"/>
  <c r="AB182" i="18"/>
  <c r="AA182" i="18"/>
  <c r="Z182" i="18"/>
  <c r="Y182" i="18"/>
  <c r="X182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AE181" i="18"/>
  <c r="AC181" i="18"/>
  <c r="AB181" i="18"/>
  <c r="AA181" i="18"/>
  <c r="Z181" i="18"/>
  <c r="Y181" i="18"/>
  <c r="X181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AE180" i="18"/>
  <c r="AC180" i="18"/>
  <c r="AB180" i="18"/>
  <c r="AA180" i="18"/>
  <c r="Z180" i="18"/>
  <c r="Y180" i="18"/>
  <c r="X180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AE179" i="18"/>
  <c r="AC179" i="18"/>
  <c r="AB179" i="18"/>
  <c r="AA179" i="18"/>
  <c r="Z179" i="18"/>
  <c r="Y179" i="18"/>
  <c r="X179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AE178" i="18"/>
  <c r="AC178" i="18"/>
  <c r="AB178" i="18"/>
  <c r="AA178" i="18"/>
  <c r="Z178" i="18"/>
  <c r="Y178" i="18"/>
  <c r="X178" i="18"/>
  <c r="W178" i="18"/>
  <c r="V178" i="18"/>
  <c r="U178" i="18"/>
  <c r="T178" i="18"/>
  <c r="S178" i="18"/>
  <c r="R178" i="18"/>
  <c r="Q178" i="18"/>
  <c r="P178" i="18"/>
  <c r="O178" i="18"/>
  <c r="N178" i="18"/>
  <c r="M178" i="18"/>
  <c r="L178" i="18"/>
  <c r="K178" i="18"/>
  <c r="J178" i="18"/>
  <c r="I178" i="18"/>
  <c r="H178" i="18"/>
  <c r="G178" i="18"/>
  <c r="F178" i="18"/>
  <c r="AE177" i="18"/>
  <c r="AC177" i="18"/>
  <c r="AB177" i="18"/>
  <c r="AA177" i="18"/>
  <c r="Z177" i="18"/>
  <c r="Y177" i="18"/>
  <c r="X177" i="18"/>
  <c r="W177" i="18"/>
  <c r="V177" i="18"/>
  <c r="U177" i="18"/>
  <c r="T177" i="18"/>
  <c r="S177" i="18"/>
  <c r="R177" i="18"/>
  <c r="Q177" i="18"/>
  <c r="P177" i="18"/>
  <c r="O177" i="18"/>
  <c r="N177" i="18"/>
  <c r="M177" i="18"/>
  <c r="L177" i="18"/>
  <c r="K177" i="18"/>
  <c r="J177" i="18"/>
  <c r="I177" i="18"/>
  <c r="H177" i="18"/>
  <c r="G177" i="18"/>
  <c r="F177" i="18"/>
  <c r="AE176" i="18"/>
  <c r="AC176" i="18"/>
  <c r="AB176" i="18"/>
  <c r="AA176" i="18"/>
  <c r="Z176" i="18"/>
  <c r="Y176" i="18"/>
  <c r="X176" i="18"/>
  <c r="W176" i="18"/>
  <c r="V176" i="18"/>
  <c r="U176" i="18"/>
  <c r="T176" i="18"/>
  <c r="S176" i="18"/>
  <c r="R176" i="18"/>
  <c r="Q176" i="18"/>
  <c r="P176" i="18"/>
  <c r="O176" i="18"/>
  <c r="N176" i="18"/>
  <c r="M176" i="18"/>
  <c r="L176" i="18"/>
  <c r="K176" i="18"/>
  <c r="J176" i="18"/>
  <c r="I176" i="18"/>
  <c r="H176" i="18"/>
  <c r="G176" i="18"/>
  <c r="F176" i="18"/>
  <c r="AE175" i="18"/>
  <c r="AC175" i="18"/>
  <c r="AB175" i="18"/>
  <c r="AA175" i="18"/>
  <c r="Z175" i="18"/>
  <c r="Y175" i="18"/>
  <c r="X175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AE174" i="18"/>
  <c r="AC174" i="18"/>
  <c r="AB174" i="18"/>
  <c r="AA174" i="18"/>
  <c r="Z174" i="18"/>
  <c r="Y174" i="18"/>
  <c r="X174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AE173" i="18"/>
  <c r="AC173" i="18"/>
  <c r="AB173" i="18"/>
  <c r="AA173" i="18"/>
  <c r="Z173" i="18"/>
  <c r="Y173" i="18"/>
  <c r="X173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AE172" i="18"/>
  <c r="AC172" i="18"/>
  <c r="AB172" i="18"/>
  <c r="AA172" i="18"/>
  <c r="Z172" i="18"/>
  <c r="Y172" i="18"/>
  <c r="X172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AE171" i="18"/>
  <c r="AC171" i="18"/>
  <c r="AB171" i="18"/>
  <c r="AA171" i="18"/>
  <c r="Z171" i="18"/>
  <c r="Y171" i="18"/>
  <c r="X171" i="18"/>
  <c r="W171" i="18"/>
  <c r="V171" i="18"/>
  <c r="U171" i="18"/>
  <c r="T171" i="18"/>
  <c r="S171" i="18"/>
  <c r="R171" i="18"/>
  <c r="Q171" i="18"/>
  <c r="P171" i="18"/>
  <c r="O171" i="18"/>
  <c r="N171" i="18"/>
  <c r="M171" i="18"/>
  <c r="L171" i="18"/>
  <c r="K171" i="18"/>
  <c r="J171" i="18"/>
  <c r="I171" i="18"/>
  <c r="H171" i="18"/>
  <c r="G171" i="18"/>
  <c r="F171" i="18"/>
  <c r="AE170" i="18"/>
  <c r="AC170" i="18"/>
  <c r="AB170" i="18"/>
  <c r="AA170" i="18"/>
  <c r="Z170" i="18"/>
  <c r="Y170" i="18"/>
  <c r="X170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AE169" i="18"/>
  <c r="AC169" i="18"/>
  <c r="AB169" i="18"/>
  <c r="AA169" i="18"/>
  <c r="Z169" i="18"/>
  <c r="Y169" i="18"/>
  <c r="X169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AE168" i="18"/>
  <c r="AC168" i="18"/>
  <c r="AB168" i="18"/>
  <c r="AA168" i="18"/>
  <c r="Z168" i="18"/>
  <c r="Y168" i="18"/>
  <c r="X168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AE167" i="18"/>
  <c r="AC167" i="18"/>
  <c r="AB167" i="18"/>
  <c r="AA167" i="18"/>
  <c r="Z167" i="18"/>
  <c r="Y167" i="18"/>
  <c r="X167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AE166" i="18"/>
  <c r="AC166" i="18"/>
  <c r="AB166" i="18"/>
  <c r="AA166" i="18"/>
  <c r="Z166" i="18"/>
  <c r="Y166" i="18"/>
  <c r="X166" i="18"/>
  <c r="W166" i="18"/>
  <c r="V166" i="18"/>
  <c r="U166" i="18"/>
  <c r="T166" i="18"/>
  <c r="S166" i="18"/>
  <c r="R166" i="18"/>
  <c r="Q166" i="18"/>
  <c r="P166" i="18"/>
  <c r="O166" i="18"/>
  <c r="N166" i="18"/>
  <c r="M166" i="18"/>
  <c r="L166" i="18"/>
  <c r="K166" i="18"/>
  <c r="J166" i="18"/>
  <c r="I166" i="18"/>
  <c r="H166" i="18"/>
  <c r="G166" i="18"/>
  <c r="F166" i="18"/>
  <c r="AE165" i="18"/>
  <c r="AC165" i="18"/>
  <c r="AB165" i="18"/>
  <c r="AA165" i="18"/>
  <c r="Z165" i="18"/>
  <c r="Y165" i="18"/>
  <c r="X165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AE164" i="18"/>
  <c r="AC164" i="18"/>
  <c r="AB164" i="18"/>
  <c r="AA164" i="18"/>
  <c r="Z164" i="18"/>
  <c r="Y164" i="18"/>
  <c r="X164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AE163" i="18"/>
  <c r="AC163" i="18"/>
  <c r="AB163" i="18"/>
  <c r="AA163" i="18"/>
  <c r="Z163" i="18"/>
  <c r="Y163" i="18"/>
  <c r="X163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AE162" i="18"/>
  <c r="AC162" i="18"/>
  <c r="AB162" i="18"/>
  <c r="AA162" i="18"/>
  <c r="Z162" i="18"/>
  <c r="Y162" i="18"/>
  <c r="X162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AE161" i="18"/>
  <c r="AC161" i="18"/>
  <c r="AB161" i="18"/>
  <c r="AA161" i="18"/>
  <c r="Z161" i="18"/>
  <c r="Y161" i="18"/>
  <c r="X161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AE160" i="18"/>
  <c r="AC160" i="18"/>
  <c r="AB160" i="18"/>
  <c r="AA160" i="18"/>
  <c r="Z160" i="18"/>
  <c r="Y160" i="18"/>
  <c r="X160" i="18"/>
  <c r="W160" i="18"/>
  <c r="V160" i="18"/>
  <c r="U160" i="18"/>
  <c r="T160" i="18"/>
  <c r="S160" i="18"/>
  <c r="R160" i="18"/>
  <c r="Q160" i="18"/>
  <c r="P160" i="18"/>
  <c r="O160" i="18"/>
  <c r="N160" i="18"/>
  <c r="M160" i="18"/>
  <c r="L160" i="18"/>
  <c r="K160" i="18"/>
  <c r="J160" i="18"/>
  <c r="I160" i="18"/>
  <c r="H160" i="18"/>
  <c r="G160" i="18"/>
  <c r="F160" i="18"/>
  <c r="AE159" i="18"/>
  <c r="AC159" i="18"/>
  <c r="AB159" i="18"/>
  <c r="AA159" i="18"/>
  <c r="Z159" i="18"/>
  <c r="Y159" i="18"/>
  <c r="X159" i="18"/>
  <c r="W159" i="18"/>
  <c r="V159" i="18"/>
  <c r="U159" i="18"/>
  <c r="T159" i="18"/>
  <c r="S159" i="18"/>
  <c r="R159" i="18"/>
  <c r="Q159" i="18"/>
  <c r="P159" i="18"/>
  <c r="O159" i="18"/>
  <c r="N159" i="18"/>
  <c r="M159" i="18"/>
  <c r="L159" i="18"/>
  <c r="K159" i="18"/>
  <c r="J159" i="18"/>
  <c r="I159" i="18"/>
  <c r="H159" i="18"/>
  <c r="G159" i="18"/>
  <c r="F159" i="18"/>
  <c r="AE158" i="18"/>
  <c r="AC158" i="18"/>
  <c r="AB158" i="18"/>
  <c r="AA158" i="18"/>
  <c r="Z158" i="18"/>
  <c r="Y158" i="18"/>
  <c r="X158" i="18"/>
  <c r="W158" i="18"/>
  <c r="V158" i="18"/>
  <c r="U158" i="18"/>
  <c r="T158" i="18"/>
  <c r="S158" i="18"/>
  <c r="R158" i="18"/>
  <c r="Q158" i="18"/>
  <c r="P158" i="18"/>
  <c r="O158" i="18"/>
  <c r="N158" i="18"/>
  <c r="M158" i="18"/>
  <c r="L158" i="18"/>
  <c r="K158" i="18"/>
  <c r="J158" i="18"/>
  <c r="I158" i="18"/>
  <c r="H158" i="18"/>
  <c r="G158" i="18"/>
  <c r="F158" i="18"/>
  <c r="AE157" i="18"/>
  <c r="AC157" i="18"/>
  <c r="AB157" i="18"/>
  <c r="AA157" i="18"/>
  <c r="Z157" i="18"/>
  <c r="Y157" i="18"/>
  <c r="X157" i="18"/>
  <c r="W157" i="18"/>
  <c r="V157" i="18"/>
  <c r="U157" i="18"/>
  <c r="T157" i="18"/>
  <c r="S157" i="18"/>
  <c r="R157" i="18"/>
  <c r="Q157" i="18"/>
  <c r="P157" i="18"/>
  <c r="O157" i="18"/>
  <c r="N157" i="18"/>
  <c r="M157" i="18"/>
  <c r="L157" i="18"/>
  <c r="K157" i="18"/>
  <c r="J157" i="18"/>
  <c r="I157" i="18"/>
  <c r="H157" i="18"/>
  <c r="G157" i="18"/>
  <c r="F157" i="18"/>
  <c r="AE156" i="18"/>
  <c r="AC156" i="18"/>
  <c r="AB156" i="18"/>
  <c r="AA156" i="18"/>
  <c r="Z156" i="18"/>
  <c r="Y156" i="18"/>
  <c r="X156" i="18"/>
  <c r="W156" i="18"/>
  <c r="V156" i="18"/>
  <c r="U156" i="18"/>
  <c r="T156" i="18"/>
  <c r="S156" i="18"/>
  <c r="R156" i="18"/>
  <c r="Q156" i="18"/>
  <c r="P156" i="18"/>
  <c r="O156" i="18"/>
  <c r="N156" i="18"/>
  <c r="M156" i="18"/>
  <c r="L156" i="18"/>
  <c r="K156" i="18"/>
  <c r="J156" i="18"/>
  <c r="I156" i="18"/>
  <c r="H156" i="18"/>
  <c r="G156" i="18"/>
  <c r="F156" i="18"/>
  <c r="AE155" i="18"/>
  <c r="AC155" i="18"/>
  <c r="AB155" i="18"/>
  <c r="AA155" i="18"/>
  <c r="Z155" i="18"/>
  <c r="Y155" i="18"/>
  <c r="X155" i="18"/>
  <c r="W155" i="18"/>
  <c r="V155" i="18"/>
  <c r="U155" i="18"/>
  <c r="T155" i="18"/>
  <c r="S155" i="18"/>
  <c r="R155" i="18"/>
  <c r="Q155" i="18"/>
  <c r="P155" i="18"/>
  <c r="O155" i="18"/>
  <c r="N155" i="18"/>
  <c r="M155" i="18"/>
  <c r="L155" i="18"/>
  <c r="K155" i="18"/>
  <c r="J155" i="18"/>
  <c r="I155" i="18"/>
  <c r="H155" i="18"/>
  <c r="G155" i="18"/>
  <c r="F155" i="18"/>
  <c r="AE154" i="18"/>
  <c r="AC154" i="18"/>
  <c r="AB154" i="18"/>
  <c r="AA154" i="18"/>
  <c r="Z154" i="18"/>
  <c r="Y154" i="18"/>
  <c r="X154" i="18"/>
  <c r="W154" i="18"/>
  <c r="V154" i="18"/>
  <c r="U154" i="18"/>
  <c r="T154" i="18"/>
  <c r="S154" i="18"/>
  <c r="R154" i="18"/>
  <c r="Q154" i="18"/>
  <c r="P154" i="18"/>
  <c r="O154" i="18"/>
  <c r="N154" i="18"/>
  <c r="M154" i="18"/>
  <c r="L154" i="18"/>
  <c r="K154" i="18"/>
  <c r="J154" i="18"/>
  <c r="I154" i="18"/>
  <c r="H154" i="18"/>
  <c r="G154" i="18"/>
  <c r="F154" i="18"/>
  <c r="AE153" i="18"/>
  <c r="AC153" i="18"/>
  <c r="AB153" i="18"/>
  <c r="AA153" i="18"/>
  <c r="Z153" i="18"/>
  <c r="Y153" i="18"/>
  <c r="X153" i="18"/>
  <c r="W153" i="18"/>
  <c r="V153" i="18"/>
  <c r="U153" i="18"/>
  <c r="T153" i="18"/>
  <c r="S153" i="18"/>
  <c r="R153" i="18"/>
  <c r="Q153" i="18"/>
  <c r="P153" i="18"/>
  <c r="O153" i="18"/>
  <c r="N153" i="18"/>
  <c r="M153" i="18"/>
  <c r="L153" i="18"/>
  <c r="K153" i="18"/>
  <c r="J153" i="18"/>
  <c r="I153" i="18"/>
  <c r="H153" i="18"/>
  <c r="G153" i="18"/>
  <c r="F153" i="18"/>
  <c r="AE152" i="18"/>
  <c r="AC152" i="18"/>
  <c r="AB152" i="18"/>
  <c r="AA152" i="18"/>
  <c r="Z152" i="18"/>
  <c r="Y152" i="18"/>
  <c r="X152" i="18"/>
  <c r="W152" i="18"/>
  <c r="V152" i="18"/>
  <c r="U152" i="18"/>
  <c r="T152" i="18"/>
  <c r="S152" i="18"/>
  <c r="R152" i="18"/>
  <c r="Q152" i="18"/>
  <c r="P152" i="18"/>
  <c r="O152" i="18"/>
  <c r="N152" i="18"/>
  <c r="M152" i="18"/>
  <c r="L152" i="18"/>
  <c r="K152" i="18"/>
  <c r="J152" i="18"/>
  <c r="I152" i="18"/>
  <c r="H152" i="18"/>
  <c r="G152" i="18"/>
  <c r="F152" i="18"/>
  <c r="AE151" i="18"/>
  <c r="AC151" i="18"/>
  <c r="AB151" i="18"/>
  <c r="AA151" i="18"/>
  <c r="Z151" i="18"/>
  <c r="Y151" i="18"/>
  <c r="X151" i="18"/>
  <c r="W151" i="18"/>
  <c r="V151" i="18"/>
  <c r="U151" i="18"/>
  <c r="T151" i="18"/>
  <c r="S151" i="18"/>
  <c r="R151" i="18"/>
  <c r="Q151" i="18"/>
  <c r="P151" i="18"/>
  <c r="O151" i="18"/>
  <c r="N151" i="18"/>
  <c r="M151" i="18"/>
  <c r="L151" i="18"/>
  <c r="K151" i="18"/>
  <c r="J151" i="18"/>
  <c r="I151" i="18"/>
  <c r="H151" i="18"/>
  <c r="G151" i="18"/>
  <c r="F151" i="18"/>
  <c r="AE150" i="18"/>
  <c r="AC150" i="18"/>
  <c r="AB150" i="18"/>
  <c r="AA150" i="18"/>
  <c r="Z150" i="18"/>
  <c r="Y150" i="18"/>
  <c r="X150" i="18"/>
  <c r="W150" i="18"/>
  <c r="V150" i="18"/>
  <c r="U150" i="18"/>
  <c r="T150" i="18"/>
  <c r="S150" i="18"/>
  <c r="R150" i="18"/>
  <c r="Q150" i="18"/>
  <c r="P150" i="18"/>
  <c r="O150" i="18"/>
  <c r="N150" i="18"/>
  <c r="M150" i="18"/>
  <c r="L150" i="18"/>
  <c r="K150" i="18"/>
  <c r="J150" i="18"/>
  <c r="I150" i="18"/>
  <c r="H150" i="18"/>
  <c r="G150" i="18"/>
  <c r="F150" i="18"/>
  <c r="AE149" i="18"/>
  <c r="AC149" i="18"/>
  <c r="AB149" i="18"/>
  <c r="AA149" i="18"/>
  <c r="Z149" i="18"/>
  <c r="Y149" i="18"/>
  <c r="X149" i="18"/>
  <c r="W149" i="18"/>
  <c r="V149" i="18"/>
  <c r="U149" i="18"/>
  <c r="T149" i="18"/>
  <c r="S149" i="18"/>
  <c r="R149" i="18"/>
  <c r="Q149" i="18"/>
  <c r="P149" i="18"/>
  <c r="O149" i="18"/>
  <c r="N149" i="18"/>
  <c r="M149" i="18"/>
  <c r="L149" i="18"/>
  <c r="K149" i="18"/>
  <c r="J149" i="18"/>
  <c r="I149" i="18"/>
  <c r="H149" i="18"/>
  <c r="G149" i="18"/>
  <c r="F149" i="18"/>
  <c r="AE148" i="18"/>
  <c r="AC148" i="18"/>
  <c r="AB148" i="18"/>
  <c r="AA148" i="18"/>
  <c r="Z148" i="18"/>
  <c r="Y148" i="18"/>
  <c r="X148" i="18"/>
  <c r="W148" i="18"/>
  <c r="V148" i="18"/>
  <c r="U148" i="18"/>
  <c r="T148" i="18"/>
  <c r="S148" i="18"/>
  <c r="R148" i="18"/>
  <c r="Q148" i="18"/>
  <c r="P148" i="18"/>
  <c r="O148" i="18"/>
  <c r="N148" i="18"/>
  <c r="M148" i="18"/>
  <c r="L148" i="18"/>
  <c r="K148" i="18"/>
  <c r="J148" i="18"/>
  <c r="I148" i="18"/>
  <c r="H148" i="18"/>
  <c r="G148" i="18"/>
  <c r="F148" i="18"/>
  <c r="AE147" i="18"/>
  <c r="AC147" i="18"/>
  <c r="AB147" i="18"/>
  <c r="AA147" i="18"/>
  <c r="Z147" i="18"/>
  <c r="Y147" i="18"/>
  <c r="X147" i="18"/>
  <c r="W147" i="18"/>
  <c r="V147" i="18"/>
  <c r="U147" i="18"/>
  <c r="T147" i="18"/>
  <c r="S147" i="18"/>
  <c r="R147" i="18"/>
  <c r="Q147" i="18"/>
  <c r="P147" i="18"/>
  <c r="O147" i="18"/>
  <c r="N147" i="18"/>
  <c r="M147" i="18"/>
  <c r="L147" i="18"/>
  <c r="K147" i="18"/>
  <c r="J147" i="18"/>
  <c r="I147" i="18"/>
  <c r="H147" i="18"/>
  <c r="G147" i="18"/>
  <c r="F147" i="18"/>
  <c r="AE146" i="18"/>
  <c r="AC146" i="18"/>
  <c r="AB146" i="18"/>
  <c r="AA146" i="18"/>
  <c r="Z146" i="18"/>
  <c r="Y146" i="18"/>
  <c r="X146" i="18"/>
  <c r="W146" i="18"/>
  <c r="V146" i="18"/>
  <c r="U146" i="18"/>
  <c r="T146" i="18"/>
  <c r="S146" i="18"/>
  <c r="R146" i="18"/>
  <c r="Q146" i="18"/>
  <c r="P146" i="18"/>
  <c r="O146" i="18"/>
  <c r="N146" i="18"/>
  <c r="M146" i="18"/>
  <c r="L146" i="18"/>
  <c r="K146" i="18"/>
  <c r="J146" i="18"/>
  <c r="I146" i="18"/>
  <c r="H146" i="18"/>
  <c r="G146" i="18"/>
  <c r="F146" i="18"/>
  <c r="AE145" i="18"/>
  <c r="AC145" i="18"/>
  <c r="AB145" i="18"/>
  <c r="AA145" i="18"/>
  <c r="Z145" i="18"/>
  <c r="Y145" i="18"/>
  <c r="X145" i="18"/>
  <c r="W145" i="18"/>
  <c r="V145" i="18"/>
  <c r="U145" i="18"/>
  <c r="T145" i="18"/>
  <c r="S145" i="18"/>
  <c r="R145" i="18"/>
  <c r="Q145" i="18"/>
  <c r="P145" i="18"/>
  <c r="O145" i="18"/>
  <c r="N145" i="18"/>
  <c r="M145" i="18"/>
  <c r="L145" i="18"/>
  <c r="K145" i="18"/>
  <c r="J145" i="18"/>
  <c r="I145" i="18"/>
  <c r="H145" i="18"/>
  <c r="G145" i="18"/>
  <c r="F145" i="18"/>
  <c r="AE144" i="18"/>
  <c r="AC144" i="18"/>
  <c r="AB144" i="18"/>
  <c r="AA144" i="18"/>
  <c r="Z144" i="18"/>
  <c r="Y144" i="18"/>
  <c r="X144" i="18"/>
  <c r="W144" i="18"/>
  <c r="V144" i="18"/>
  <c r="U144" i="18"/>
  <c r="T144" i="18"/>
  <c r="S144" i="18"/>
  <c r="R144" i="18"/>
  <c r="Q144" i="18"/>
  <c r="P144" i="18"/>
  <c r="O144" i="18"/>
  <c r="N144" i="18"/>
  <c r="M144" i="18"/>
  <c r="L144" i="18"/>
  <c r="K144" i="18"/>
  <c r="J144" i="18"/>
  <c r="I144" i="18"/>
  <c r="H144" i="18"/>
  <c r="G144" i="18"/>
  <c r="F144" i="18"/>
  <c r="AE143" i="18"/>
  <c r="AC143" i="18"/>
  <c r="AB143" i="18"/>
  <c r="AA143" i="18"/>
  <c r="Z143" i="18"/>
  <c r="Y143" i="18"/>
  <c r="X143" i="18"/>
  <c r="W143" i="18"/>
  <c r="V143" i="18"/>
  <c r="U143" i="18"/>
  <c r="T143" i="18"/>
  <c r="S143" i="18"/>
  <c r="R143" i="18"/>
  <c r="Q143" i="18"/>
  <c r="P143" i="18"/>
  <c r="O143" i="18"/>
  <c r="N143" i="18"/>
  <c r="M143" i="18"/>
  <c r="L143" i="18"/>
  <c r="K143" i="18"/>
  <c r="J143" i="18"/>
  <c r="I143" i="18"/>
  <c r="H143" i="18"/>
  <c r="G143" i="18"/>
  <c r="F143" i="18"/>
  <c r="AE142" i="18"/>
  <c r="AC142" i="18"/>
  <c r="AB142" i="18"/>
  <c r="AA142" i="18"/>
  <c r="Z142" i="18"/>
  <c r="Y142" i="18"/>
  <c r="X142" i="18"/>
  <c r="W142" i="18"/>
  <c r="V142" i="18"/>
  <c r="U142" i="18"/>
  <c r="T142" i="18"/>
  <c r="S142" i="18"/>
  <c r="R142" i="18"/>
  <c r="Q142" i="18"/>
  <c r="P142" i="18"/>
  <c r="O142" i="18"/>
  <c r="N142" i="18"/>
  <c r="M142" i="18"/>
  <c r="L142" i="18"/>
  <c r="K142" i="18"/>
  <c r="J142" i="18"/>
  <c r="I142" i="18"/>
  <c r="H142" i="18"/>
  <c r="G142" i="18"/>
  <c r="F142" i="18"/>
  <c r="AE141" i="18"/>
  <c r="AC141" i="18"/>
  <c r="AB141" i="18"/>
  <c r="AA141" i="18"/>
  <c r="Z141" i="18"/>
  <c r="Y141" i="18"/>
  <c r="X141" i="18"/>
  <c r="W141" i="18"/>
  <c r="V141" i="18"/>
  <c r="U141" i="18"/>
  <c r="T141" i="18"/>
  <c r="S141" i="18"/>
  <c r="R141" i="18"/>
  <c r="Q141" i="18"/>
  <c r="P141" i="18"/>
  <c r="O141" i="18"/>
  <c r="N141" i="18"/>
  <c r="M141" i="18"/>
  <c r="L141" i="18"/>
  <c r="K141" i="18"/>
  <c r="J141" i="18"/>
  <c r="I141" i="18"/>
  <c r="H141" i="18"/>
  <c r="G141" i="18"/>
  <c r="F141" i="18"/>
  <c r="AE140" i="18"/>
  <c r="AC140" i="18"/>
  <c r="AB140" i="18"/>
  <c r="AA140" i="18"/>
  <c r="Z140" i="18"/>
  <c r="Y140" i="18"/>
  <c r="X140" i="18"/>
  <c r="W140" i="18"/>
  <c r="V140" i="18"/>
  <c r="U140" i="18"/>
  <c r="T140" i="18"/>
  <c r="S140" i="18"/>
  <c r="R140" i="18"/>
  <c r="Q140" i="18"/>
  <c r="P140" i="18"/>
  <c r="O140" i="18"/>
  <c r="N140" i="18"/>
  <c r="M140" i="18"/>
  <c r="L140" i="18"/>
  <c r="K140" i="18"/>
  <c r="J140" i="18"/>
  <c r="I140" i="18"/>
  <c r="H140" i="18"/>
  <c r="G140" i="18"/>
  <c r="F140" i="18"/>
  <c r="AE139" i="18"/>
  <c r="AC139" i="18"/>
  <c r="AB139" i="18"/>
  <c r="AA139" i="18"/>
  <c r="Z139" i="18"/>
  <c r="Y139" i="18"/>
  <c r="X139" i="18"/>
  <c r="W139" i="18"/>
  <c r="V139" i="18"/>
  <c r="U139" i="18"/>
  <c r="T139" i="18"/>
  <c r="S139" i="18"/>
  <c r="R139" i="18"/>
  <c r="Q139" i="18"/>
  <c r="P139" i="18"/>
  <c r="O139" i="18"/>
  <c r="N139" i="18"/>
  <c r="M139" i="18"/>
  <c r="L139" i="18"/>
  <c r="K139" i="18"/>
  <c r="J139" i="18"/>
  <c r="I139" i="18"/>
  <c r="H139" i="18"/>
  <c r="G139" i="18"/>
  <c r="F139" i="18"/>
  <c r="AE138" i="18"/>
  <c r="AC138" i="18"/>
  <c r="AB138" i="18"/>
  <c r="AA138" i="18"/>
  <c r="Z138" i="18"/>
  <c r="Y138" i="18"/>
  <c r="X138" i="18"/>
  <c r="W138" i="18"/>
  <c r="V138" i="18"/>
  <c r="U138" i="18"/>
  <c r="T138" i="18"/>
  <c r="S138" i="18"/>
  <c r="R138" i="18"/>
  <c r="Q138" i="18"/>
  <c r="P138" i="18"/>
  <c r="O138" i="18"/>
  <c r="N138" i="18"/>
  <c r="M138" i="18"/>
  <c r="L138" i="18"/>
  <c r="K138" i="18"/>
  <c r="J138" i="18"/>
  <c r="I138" i="18"/>
  <c r="H138" i="18"/>
  <c r="G138" i="18"/>
  <c r="F138" i="18"/>
  <c r="AE137" i="18"/>
  <c r="AC137" i="18"/>
  <c r="AB137" i="18"/>
  <c r="AA137" i="18"/>
  <c r="Z137" i="18"/>
  <c r="Y137" i="18"/>
  <c r="X137" i="18"/>
  <c r="W137" i="18"/>
  <c r="V137" i="18"/>
  <c r="U137" i="18"/>
  <c r="T137" i="18"/>
  <c r="S137" i="18"/>
  <c r="R137" i="18"/>
  <c r="Q137" i="18"/>
  <c r="P137" i="18"/>
  <c r="O137" i="18"/>
  <c r="N137" i="18"/>
  <c r="M137" i="18"/>
  <c r="L137" i="18"/>
  <c r="K137" i="18"/>
  <c r="J137" i="18"/>
  <c r="I137" i="18"/>
  <c r="H137" i="18"/>
  <c r="G137" i="18"/>
  <c r="F137" i="18"/>
  <c r="AE136" i="18"/>
  <c r="AC136" i="18"/>
  <c r="AB136" i="18"/>
  <c r="AA136" i="18"/>
  <c r="Z136" i="18"/>
  <c r="Y136" i="18"/>
  <c r="X136" i="18"/>
  <c r="W136" i="18"/>
  <c r="V136" i="18"/>
  <c r="U136" i="18"/>
  <c r="T136" i="18"/>
  <c r="S136" i="18"/>
  <c r="R136" i="18"/>
  <c r="Q136" i="18"/>
  <c r="P136" i="18"/>
  <c r="O136" i="18"/>
  <c r="N136" i="18"/>
  <c r="M136" i="18"/>
  <c r="L136" i="18"/>
  <c r="K136" i="18"/>
  <c r="J136" i="18"/>
  <c r="I136" i="18"/>
  <c r="H136" i="18"/>
  <c r="G136" i="18"/>
  <c r="F136" i="18"/>
  <c r="AE135" i="18"/>
  <c r="AC135" i="18"/>
  <c r="AB135" i="18"/>
  <c r="AA135" i="18"/>
  <c r="Z135" i="18"/>
  <c r="Y135" i="18"/>
  <c r="X135" i="18"/>
  <c r="W135" i="18"/>
  <c r="V135" i="18"/>
  <c r="U135" i="18"/>
  <c r="T135" i="18"/>
  <c r="S135" i="18"/>
  <c r="R135" i="18"/>
  <c r="Q135" i="18"/>
  <c r="P135" i="18"/>
  <c r="O135" i="18"/>
  <c r="N135" i="18"/>
  <c r="M135" i="18"/>
  <c r="L135" i="18"/>
  <c r="K135" i="18"/>
  <c r="J135" i="18"/>
  <c r="I135" i="18"/>
  <c r="H135" i="18"/>
  <c r="G135" i="18"/>
  <c r="F135" i="18"/>
  <c r="AE134" i="18"/>
  <c r="AC134" i="18"/>
  <c r="AB134" i="18"/>
  <c r="AA134" i="18"/>
  <c r="Z134" i="18"/>
  <c r="Y134" i="18"/>
  <c r="X134" i="18"/>
  <c r="W134" i="18"/>
  <c r="V134" i="18"/>
  <c r="U134" i="18"/>
  <c r="T134" i="18"/>
  <c r="S134" i="18"/>
  <c r="R134" i="18"/>
  <c r="Q134" i="18"/>
  <c r="P134" i="18"/>
  <c r="O134" i="18"/>
  <c r="N134" i="18"/>
  <c r="M134" i="18"/>
  <c r="L134" i="18"/>
  <c r="K134" i="18"/>
  <c r="J134" i="18"/>
  <c r="I134" i="18"/>
  <c r="H134" i="18"/>
  <c r="G134" i="18"/>
  <c r="F134" i="18"/>
  <c r="AE133" i="18"/>
  <c r="AC133" i="18"/>
  <c r="AB133" i="18"/>
  <c r="AA133" i="18"/>
  <c r="Z133" i="18"/>
  <c r="Y133" i="18"/>
  <c r="X133" i="18"/>
  <c r="W133" i="18"/>
  <c r="V133" i="18"/>
  <c r="U133" i="18"/>
  <c r="T133" i="18"/>
  <c r="S133" i="18"/>
  <c r="R133" i="18"/>
  <c r="Q133" i="18"/>
  <c r="P133" i="18"/>
  <c r="O133" i="18"/>
  <c r="N133" i="18"/>
  <c r="M133" i="18"/>
  <c r="L133" i="18"/>
  <c r="K133" i="18"/>
  <c r="J133" i="18"/>
  <c r="I133" i="18"/>
  <c r="H133" i="18"/>
  <c r="G133" i="18"/>
  <c r="F133" i="18"/>
  <c r="AE132" i="18"/>
  <c r="AC132" i="18"/>
  <c r="AB132" i="18"/>
  <c r="AA132" i="18"/>
  <c r="Z132" i="18"/>
  <c r="Y132" i="18"/>
  <c r="X132" i="18"/>
  <c r="W132" i="18"/>
  <c r="V132" i="18"/>
  <c r="U132" i="18"/>
  <c r="T132" i="18"/>
  <c r="S132" i="18"/>
  <c r="R132" i="18"/>
  <c r="Q132" i="18"/>
  <c r="P132" i="18"/>
  <c r="O132" i="18"/>
  <c r="N132" i="18"/>
  <c r="M132" i="18"/>
  <c r="L132" i="18"/>
  <c r="K132" i="18"/>
  <c r="J132" i="18"/>
  <c r="I132" i="18"/>
  <c r="H132" i="18"/>
  <c r="G132" i="18"/>
  <c r="F132" i="18"/>
  <c r="AE131" i="18"/>
  <c r="AC131" i="18"/>
  <c r="AB131" i="18"/>
  <c r="AA131" i="18"/>
  <c r="Z131" i="18"/>
  <c r="Y131" i="18"/>
  <c r="X131" i="18"/>
  <c r="W131" i="18"/>
  <c r="V131" i="18"/>
  <c r="U131" i="18"/>
  <c r="T131" i="18"/>
  <c r="S131" i="18"/>
  <c r="R131" i="18"/>
  <c r="Q131" i="18"/>
  <c r="P131" i="18"/>
  <c r="O131" i="18"/>
  <c r="N131" i="18"/>
  <c r="M131" i="18"/>
  <c r="L131" i="18"/>
  <c r="K131" i="18"/>
  <c r="J131" i="18"/>
  <c r="I131" i="18"/>
  <c r="H131" i="18"/>
  <c r="G131" i="18"/>
  <c r="F131" i="18"/>
  <c r="AE130" i="18"/>
  <c r="AC130" i="18"/>
  <c r="AB130" i="18"/>
  <c r="AA130" i="18"/>
  <c r="Z130" i="18"/>
  <c r="Y130" i="18"/>
  <c r="X130" i="18"/>
  <c r="W130" i="18"/>
  <c r="V130" i="18"/>
  <c r="U130" i="18"/>
  <c r="T130" i="18"/>
  <c r="S130" i="18"/>
  <c r="R130" i="18"/>
  <c r="Q130" i="18"/>
  <c r="P130" i="18"/>
  <c r="O130" i="18"/>
  <c r="N130" i="18"/>
  <c r="M130" i="18"/>
  <c r="L130" i="18"/>
  <c r="K130" i="18"/>
  <c r="J130" i="18"/>
  <c r="I130" i="18"/>
  <c r="H130" i="18"/>
  <c r="G130" i="18"/>
  <c r="F130" i="18"/>
  <c r="AE129" i="18"/>
  <c r="AC129" i="18"/>
  <c r="AB129" i="18"/>
  <c r="AA129" i="18"/>
  <c r="Z129" i="18"/>
  <c r="Y129" i="18"/>
  <c r="X129" i="18"/>
  <c r="W129" i="18"/>
  <c r="V129" i="18"/>
  <c r="U129" i="18"/>
  <c r="T129" i="18"/>
  <c r="S129" i="18"/>
  <c r="R129" i="18"/>
  <c r="Q129" i="18"/>
  <c r="P129" i="18"/>
  <c r="O129" i="18"/>
  <c r="N129" i="18"/>
  <c r="M129" i="18"/>
  <c r="L129" i="18"/>
  <c r="K129" i="18"/>
  <c r="J129" i="18"/>
  <c r="I129" i="18"/>
  <c r="H129" i="18"/>
  <c r="G129" i="18"/>
  <c r="F129" i="18"/>
  <c r="AE128" i="18"/>
  <c r="AC128" i="18"/>
  <c r="AB128" i="18"/>
  <c r="AA128" i="18"/>
  <c r="Z128" i="18"/>
  <c r="Y128" i="18"/>
  <c r="X128" i="18"/>
  <c r="W128" i="18"/>
  <c r="V128" i="18"/>
  <c r="U128" i="18"/>
  <c r="T128" i="18"/>
  <c r="S128" i="18"/>
  <c r="R128" i="18"/>
  <c r="Q128" i="18"/>
  <c r="P128" i="18"/>
  <c r="O128" i="18"/>
  <c r="N128" i="18"/>
  <c r="M128" i="18"/>
  <c r="L128" i="18"/>
  <c r="K128" i="18"/>
  <c r="J128" i="18"/>
  <c r="I128" i="18"/>
  <c r="H128" i="18"/>
  <c r="G128" i="18"/>
  <c r="F128" i="18"/>
  <c r="AE127" i="18"/>
  <c r="AC127" i="18"/>
  <c r="AB127" i="18"/>
  <c r="AA127" i="18"/>
  <c r="Z127" i="18"/>
  <c r="Y127" i="18"/>
  <c r="X127" i="18"/>
  <c r="W127" i="18"/>
  <c r="V127" i="18"/>
  <c r="U127" i="18"/>
  <c r="T127" i="18"/>
  <c r="S127" i="18"/>
  <c r="R127" i="18"/>
  <c r="Q127" i="18"/>
  <c r="P127" i="18"/>
  <c r="O127" i="18"/>
  <c r="N127" i="18"/>
  <c r="M127" i="18"/>
  <c r="L127" i="18"/>
  <c r="K127" i="18"/>
  <c r="J127" i="18"/>
  <c r="I127" i="18"/>
  <c r="H127" i="18"/>
  <c r="G127" i="18"/>
  <c r="F127" i="18"/>
  <c r="AE126" i="18"/>
  <c r="AC126" i="18"/>
  <c r="AB126" i="18"/>
  <c r="AA126" i="18"/>
  <c r="Z126" i="18"/>
  <c r="Y126" i="18"/>
  <c r="X126" i="18"/>
  <c r="W126" i="18"/>
  <c r="V126" i="18"/>
  <c r="U126" i="18"/>
  <c r="T126" i="18"/>
  <c r="S126" i="18"/>
  <c r="R126" i="18"/>
  <c r="Q126" i="18"/>
  <c r="P126" i="18"/>
  <c r="O126" i="18"/>
  <c r="N126" i="18"/>
  <c r="M126" i="18"/>
  <c r="L126" i="18"/>
  <c r="K126" i="18"/>
  <c r="J126" i="18"/>
  <c r="I126" i="18"/>
  <c r="H126" i="18"/>
  <c r="G126" i="18"/>
  <c r="F126" i="18"/>
  <c r="AE125" i="18"/>
  <c r="AC125" i="18"/>
  <c r="AB125" i="18"/>
  <c r="AA125" i="18"/>
  <c r="Z125" i="18"/>
  <c r="Y125" i="18"/>
  <c r="X125" i="18"/>
  <c r="W125" i="18"/>
  <c r="V125" i="18"/>
  <c r="U125" i="18"/>
  <c r="T125" i="18"/>
  <c r="S125" i="18"/>
  <c r="R125" i="18"/>
  <c r="Q125" i="18"/>
  <c r="P125" i="18"/>
  <c r="O125" i="18"/>
  <c r="N125" i="18"/>
  <c r="M125" i="18"/>
  <c r="L125" i="18"/>
  <c r="K125" i="18"/>
  <c r="J125" i="18"/>
  <c r="I125" i="18"/>
  <c r="H125" i="18"/>
  <c r="G125" i="18"/>
  <c r="F125" i="18"/>
  <c r="AE124" i="18"/>
  <c r="AC124" i="18"/>
  <c r="AB124" i="18"/>
  <c r="AA124" i="18"/>
  <c r="Z124" i="18"/>
  <c r="Y124" i="18"/>
  <c r="X124" i="18"/>
  <c r="W124" i="18"/>
  <c r="V124" i="18"/>
  <c r="U124" i="18"/>
  <c r="T124" i="18"/>
  <c r="S124" i="18"/>
  <c r="R124" i="18"/>
  <c r="Q124" i="18"/>
  <c r="P124" i="18"/>
  <c r="O124" i="18"/>
  <c r="N124" i="18"/>
  <c r="M124" i="18"/>
  <c r="L124" i="18"/>
  <c r="K124" i="18"/>
  <c r="J124" i="18"/>
  <c r="I124" i="18"/>
  <c r="H124" i="18"/>
  <c r="G124" i="18"/>
  <c r="F124" i="18"/>
  <c r="AE123" i="18"/>
  <c r="AC123" i="18"/>
  <c r="AB123" i="18"/>
  <c r="AA123" i="18"/>
  <c r="Z123" i="18"/>
  <c r="Y123" i="18"/>
  <c r="X123" i="18"/>
  <c r="W123" i="18"/>
  <c r="V123" i="18"/>
  <c r="U123" i="18"/>
  <c r="T123" i="18"/>
  <c r="S123" i="18"/>
  <c r="R123" i="18"/>
  <c r="Q123" i="18"/>
  <c r="P123" i="18"/>
  <c r="O123" i="18"/>
  <c r="N123" i="18"/>
  <c r="M123" i="18"/>
  <c r="L123" i="18"/>
  <c r="K123" i="18"/>
  <c r="J123" i="18"/>
  <c r="I123" i="18"/>
  <c r="H123" i="18"/>
  <c r="G123" i="18"/>
  <c r="F123" i="18"/>
  <c r="AE122" i="18"/>
  <c r="AC122" i="18"/>
  <c r="AB122" i="18"/>
  <c r="AA122" i="18"/>
  <c r="Z122" i="18"/>
  <c r="Y122" i="18"/>
  <c r="X122" i="18"/>
  <c r="W122" i="18"/>
  <c r="V122" i="18"/>
  <c r="U122" i="18"/>
  <c r="T122" i="18"/>
  <c r="S122" i="18"/>
  <c r="R122" i="18"/>
  <c r="Q122" i="18"/>
  <c r="P122" i="18"/>
  <c r="O122" i="18"/>
  <c r="N122" i="18"/>
  <c r="M122" i="18"/>
  <c r="L122" i="18"/>
  <c r="K122" i="18"/>
  <c r="J122" i="18"/>
  <c r="I122" i="18"/>
  <c r="H122" i="18"/>
  <c r="G122" i="18"/>
  <c r="F122" i="18"/>
  <c r="AE121" i="18"/>
  <c r="AC121" i="18"/>
  <c r="AB121" i="18"/>
  <c r="AA121" i="18"/>
  <c r="Z121" i="18"/>
  <c r="Y121" i="18"/>
  <c r="X121" i="18"/>
  <c r="W121" i="18"/>
  <c r="V121" i="18"/>
  <c r="U121" i="18"/>
  <c r="T121" i="18"/>
  <c r="S121" i="18"/>
  <c r="R121" i="18"/>
  <c r="Q121" i="18"/>
  <c r="P121" i="18"/>
  <c r="O121" i="18"/>
  <c r="N121" i="18"/>
  <c r="M121" i="18"/>
  <c r="L121" i="18"/>
  <c r="K121" i="18"/>
  <c r="J121" i="18"/>
  <c r="I121" i="18"/>
  <c r="H121" i="18"/>
  <c r="G121" i="18"/>
  <c r="F121" i="18"/>
  <c r="AE120" i="18"/>
  <c r="AC120" i="18"/>
  <c r="AB120" i="18"/>
  <c r="AA120" i="18"/>
  <c r="Z120" i="18"/>
  <c r="Y120" i="18"/>
  <c r="X120" i="18"/>
  <c r="W120" i="18"/>
  <c r="V120" i="18"/>
  <c r="U120" i="18"/>
  <c r="T120" i="18"/>
  <c r="S120" i="18"/>
  <c r="R120" i="18"/>
  <c r="Q120" i="18"/>
  <c r="P120" i="18"/>
  <c r="O120" i="18"/>
  <c r="N120" i="18"/>
  <c r="M120" i="18"/>
  <c r="L120" i="18"/>
  <c r="K120" i="18"/>
  <c r="J120" i="18"/>
  <c r="I120" i="18"/>
  <c r="H120" i="18"/>
  <c r="G120" i="18"/>
  <c r="F120" i="18"/>
  <c r="AE119" i="18"/>
  <c r="AC119" i="18"/>
  <c r="AB119" i="18"/>
  <c r="AA119" i="18"/>
  <c r="Z119" i="18"/>
  <c r="Y119" i="18"/>
  <c r="X119" i="18"/>
  <c r="W119" i="18"/>
  <c r="V119" i="18"/>
  <c r="U119" i="18"/>
  <c r="T119" i="18"/>
  <c r="S119" i="18"/>
  <c r="R119" i="18"/>
  <c r="Q119" i="18"/>
  <c r="P119" i="18"/>
  <c r="O119" i="18"/>
  <c r="N119" i="18"/>
  <c r="M119" i="18"/>
  <c r="L119" i="18"/>
  <c r="K119" i="18"/>
  <c r="J119" i="18"/>
  <c r="I119" i="18"/>
  <c r="H119" i="18"/>
  <c r="G119" i="18"/>
  <c r="F119" i="18"/>
  <c r="AE118" i="18"/>
  <c r="AC118" i="18"/>
  <c r="AB118" i="18"/>
  <c r="AA118" i="18"/>
  <c r="Z118" i="18"/>
  <c r="Y118" i="18"/>
  <c r="X118" i="18"/>
  <c r="W118" i="18"/>
  <c r="V118" i="18"/>
  <c r="U118" i="18"/>
  <c r="T118" i="18"/>
  <c r="S118" i="18"/>
  <c r="R118" i="18"/>
  <c r="Q118" i="18"/>
  <c r="P118" i="18"/>
  <c r="O118" i="18"/>
  <c r="N118" i="18"/>
  <c r="M118" i="18"/>
  <c r="L118" i="18"/>
  <c r="K118" i="18"/>
  <c r="J118" i="18"/>
  <c r="I118" i="18"/>
  <c r="H118" i="18"/>
  <c r="G118" i="18"/>
  <c r="F118" i="18"/>
  <c r="AE117" i="18"/>
  <c r="AC117" i="18"/>
  <c r="AB117" i="18"/>
  <c r="AA117" i="18"/>
  <c r="Z117" i="18"/>
  <c r="Y117" i="18"/>
  <c r="X117" i="18"/>
  <c r="W117" i="18"/>
  <c r="V117" i="18"/>
  <c r="U117" i="18"/>
  <c r="T117" i="18"/>
  <c r="S117" i="18"/>
  <c r="R117" i="18"/>
  <c r="Q117" i="18"/>
  <c r="P117" i="18"/>
  <c r="O117" i="18"/>
  <c r="N117" i="18"/>
  <c r="M117" i="18"/>
  <c r="L117" i="18"/>
  <c r="K117" i="18"/>
  <c r="J117" i="18"/>
  <c r="I117" i="18"/>
  <c r="H117" i="18"/>
  <c r="G117" i="18"/>
  <c r="F117" i="18"/>
  <c r="AE116" i="18"/>
  <c r="AC116" i="18"/>
  <c r="AB116" i="18"/>
  <c r="AA116" i="18"/>
  <c r="Z116" i="18"/>
  <c r="Y116" i="18"/>
  <c r="X116" i="18"/>
  <c r="W116" i="18"/>
  <c r="V116" i="18"/>
  <c r="U116" i="18"/>
  <c r="T116" i="18"/>
  <c r="S116" i="18"/>
  <c r="R116" i="18"/>
  <c r="Q116" i="18"/>
  <c r="P116" i="18"/>
  <c r="O116" i="18"/>
  <c r="N116" i="18"/>
  <c r="M116" i="18"/>
  <c r="L116" i="18"/>
  <c r="K116" i="18"/>
  <c r="J116" i="18"/>
  <c r="I116" i="18"/>
  <c r="H116" i="18"/>
  <c r="G116" i="18"/>
  <c r="F116" i="18"/>
  <c r="AE115" i="18"/>
  <c r="AC115" i="18"/>
  <c r="AB115" i="18"/>
  <c r="AA115" i="18"/>
  <c r="Z115" i="18"/>
  <c r="Y115" i="18"/>
  <c r="X115" i="18"/>
  <c r="W115" i="18"/>
  <c r="V115" i="18"/>
  <c r="U115" i="18"/>
  <c r="T115" i="18"/>
  <c r="S115" i="18"/>
  <c r="R115" i="18"/>
  <c r="Q115" i="18"/>
  <c r="P115" i="18"/>
  <c r="O115" i="18"/>
  <c r="N115" i="18"/>
  <c r="M115" i="18"/>
  <c r="L115" i="18"/>
  <c r="K115" i="18"/>
  <c r="J115" i="18"/>
  <c r="I115" i="18"/>
  <c r="H115" i="18"/>
  <c r="G115" i="18"/>
  <c r="F115" i="18"/>
  <c r="AE114" i="18"/>
  <c r="AC114" i="18"/>
  <c r="AB114" i="18"/>
  <c r="AA114" i="18"/>
  <c r="Z114" i="18"/>
  <c r="Y114" i="18"/>
  <c r="X114" i="18"/>
  <c r="W114" i="18"/>
  <c r="V114" i="18"/>
  <c r="U114" i="18"/>
  <c r="T114" i="18"/>
  <c r="S114" i="18"/>
  <c r="R114" i="18"/>
  <c r="Q114" i="18"/>
  <c r="P114" i="18"/>
  <c r="O114" i="18"/>
  <c r="N114" i="18"/>
  <c r="M114" i="18"/>
  <c r="L114" i="18"/>
  <c r="K114" i="18"/>
  <c r="J114" i="18"/>
  <c r="I114" i="18"/>
  <c r="H114" i="18"/>
  <c r="G114" i="18"/>
  <c r="F114" i="18"/>
  <c r="AE113" i="18"/>
  <c r="AC113" i="18"/>
  <c r="AB113" i="18"/>
  <c r="AA113" i="18"/>
  <c r="Z113" i="18"/>
  <c r="Y113" i="18"/>
  <c r="X113" i="18"/>
  <c r="W113" i="18"/>
  <c r="V113" i="18"/>
  <c r="U113" i="18"/>
  <c r="T113" i="18"/>
  <c r="S113" i="18"/>
  <c r="R113" i="18"/>
  <c r="Q113" i="18"/>
  <c r="P113" i="18"/>
  <c r="O113" i="18"/>
  <c r="N113" i="18"/>
  <c r="M113" i="18"/>
  <c r="L113" i="18"/>
  <c r="K113" i="18"/>
  <c r="J113" i="18"/>
  <c r="I113" i="18"/>
  <c r="H113" i="18"/>
  <c r="G113" i="18"/>
  <c r="F113" i="18"/>
  <c r="AE112" i="18"/>
  <c r="AC112" i="18"/>
  <c r="AB112" i="18"/>
  <c r="AA112" i="18"/>
  <c r="Z112" i="18"/>
  <c r="Y112" i="18"/>
  <c r="X112" i="18"/>
  <c r="W112" i="18"/>
  <c r="V112" i="18"/>
  <c r="U112" i="18"/>
  <c r="T112" i="18"/>
  <c r="S112" i="18"/>
  <c r="R112" i="18"/>
  <c r="Q112" i="18"/>
  <c r="P112" i="18"/>
  <c r="O112" i="18"/>
  <c r="N112" i="18"/>
  <c r="M112" i="18"/>
  <c r="L112" i="18"/>
  <c r="K112" i="18"/>
  <c r="J112" i="18"/>
  <c r="I112" i="18"/>
  <c r="H112" i="18"/>
  <c r="G112" i="18"/>
  <c r="F112" i="18"/>
  <c r="AE111" i="18"/>
  <c r="AC111" i="18"/>
  <c r="AB111" i="18"/>
  <c r="AA111" i="18"/>
  <c r="Z111" i="18"/>
  <c r="Y111" i="18"/>
  <c r="X111" i="18"/>
  <c r="W111" i="18"/>
  <c r="V111" i="18"/>
  <c r="U111" i="18"/>
  <c r="T111" i="18"/>
  <c r="S111" i="18"/>
  <c r="R111" i="18"/>
  <c r="Q111" i="18"/>
  <c r="P111" i="18"/>
  <c r="O111" i="18"/>
  <c r="N111" i="18"/>
  <c r="M111" i="18"/>
  <c r="L111" i="18"/>
  <c r="K111" i="18"/>
  <c r="J111" i="18"/>
  <c r="I111" i="18"/>
  <c r="H111" i="18"/>
  <c r="G111" i="18"/>
  <c r="F111" i="18"/>
  <c r="AE110" i="18"/>
  <c r="AC110" i="18"/>
  <c r="AB110" i="18"/>
  <c r="AA110" i="18"/>
  <c r="Z110" i="18"/>
  <c r="Y110" i="18"/>
  <c r="X110" i="18"/>
  <c r="W110" i="18"/>
  <c r="V110" i="18"/>
  <c r="U110" i="18"/>
  <c r="T110" i="18"/>
  <c r="S110" i="18"/>
  <c r="R110" i="18"/>
  <c r="Q110" i="18"/>
  <c r="P110" i="18"/>
  <c r="O110" i="18"/>
  <c r="N110" i="18"/>
  <c r="M110" i="18"/>
  <c r="L110" i="18"/>
  <c r="K110" i="18"/>
  <c r="J110" i="18"/>
  <c r="I110" i="18"/>
  <c r="H110" i="18"/>
  <c r="G110" i="18"/>
  <c r="F110" i="18"/>
  <c r="AE109" i="18"/>
  <c r="AC109" i="18"/>
  <c r="AB109" i="18"/>
  <c r="AA109" i="18"/>
  <c r="Z109" i="18"/>
  <c r="Y109" i="18"/>
  <c r="X109" i="18"/>
  <c r="W109" i="18"/>
  <c r="V109" i="18"/>
  <c r="U109" i="18"/>
  <c r="T109" i="18"/>
  <c r="S109" i="18"/>
  <c r="R109" i="18"/>
  <c r="Q109" i="18"/>
  <c r="P109" i="18"/>
  <c r="O109" i="18"/>
  <c r="N109" i="18"/>
  <c r="M109" i="18"/>
  <c r="L109" i="18"/>
  <c r="K109" i="18"/>
  <c r="J109" i="18"/>
  <c r="I109" i="18"/>
  <c r="H109" i="18"/>
  <c r="G109" i="18"/>
  <c r="F109" i="18"/>
  <c r="AE108" i="18"/>
  <c r="AC108" i="18"/>
  <c r="AB108" i="18"/>
  <c r="AA108" i="18"/>
  <c r="Z108" i="18"/>
  <c r="Y108" i="18"/>
  <c r="X108" i="18"/>
  <c r="W108" i="18"/>
  <c r="V108" i="18"/>
  <c r="U108" i="18"/>
  <c r="T108" i="18"/>
  <c r="S108" i="18"/>
  <c r="R108" i="18"/>
  <c r="Q108" i="18"/>
  <c r="P108" i="18"/>
  <c r="O108" i="18"/>
  <c r="N108" i="18"/>
  <c r="M108" i="18"/>
  <c r="L108" i="18"/>
  <c r="K108" i="18"/>
  <c r="J108" i="18"/>
  <c r="I108" i="18"/>
  <c r="H108" i="18"/>
  <c r="G108" i="18"/>
  <c r="F108" i="18"/>
  <c r="AE107" i="18"/>
  <c r="AC107" i="18"/>
  <c r="AB107" i="18"/>
  <c r="AA107" i="18"/>
  <c r="Z107" i="18"/>
  <c r="Y107" i="18"/>
  <c r="X107" i="18"/>
  <c r="W107" i="18"/>
  <c r="V107" i="18"/>
  <c r="U107" i="18"/>
  <c r="T107" i="18"/>
  <c r="S107" i="18"/>
  <c r="R107" i="18"/>
  <c r="Q107" i="18"/>
  <c r="P107" i="18"/>
  <c r="O107" i="18"/>
  <c r="N107" i="18"/>
  <c r="M107" i="18"/>
  <c r="L107" i="18"/>
  <c r="K107" i="18"/>
  <c r="J107" i="18"/>
  <c r="I107" i="18"/>
  <c r="H107" i="18"/>
  <c r="G107" i="18"/>
  <c r="F107" i="18"/>
  <c r="AE106" i="18"/>
  <c r="AC106" i="18"/>
  <c r="AB106" i="18"/>
  <c r="AA106" i="18"/>
  <c r="Z106" i="18"/>
  <c r="Y106" i="18"/>
  <c r="X106" i="18"/>
  <c r="W106" i="18"/>
  <c r="V106" i="18"/>
  <c r="U106" i="18"/>
  <c r="T106" i="18"/>
  <c r="S106" i="18"/>
  <c r="R106" i="18"/>
  <c r="Q106" i="18"/>
  <c r="P106" i="18"/>
  <c r="O106" i="18"/>
  <c r="N106" i="18"/>
  <c r="M106" i="18"/>
  <c r="L106" i="18"/>
  <c r="K106" i="18"/>
  <c r="J106" i="18"/>
  <c r="I106" i="18"/>
  <c r="H106" i="18"/>
  <c r="G106" i="18"/>
  <c r="F106" i="18"/>
  <c r="AE105" i="18"/>
  <c r="AC105" i="18"/>
  <c r="AB105" i="18"/>
  <c r="AA105" i="18"/>
  <c r="Z105" i="18"/>
  <c r="Y105" i="18"/>
  <c r="X105" i="18"/>
  <c r="W105" i="18"/>
  <c r="V105" i="18"/>
  <c r="U105" i="18"/>
  <c r="T105" i="18"/>
  <c r="S105" i="18"/>
  <c r="R105" i="18"/>
  <c r="Q105" i="18"/>
  <c r="P105" i="18"/>
  <c r="O105" i="18"/>
  <c r="N105" i="18"/>
  <c r="M105" i="18"/>
  <c r="L105" i="18"/>
  <c r="K105" i="18"/>
  <c r="J105" i="18"/>
  <c r="I105" i="18"/>
  <c r="H105" i="18"/>
  <c r="G105" i="18"/>
  <c r="F105" i="18"/>
  <c r="AE104" i="18"/>
  <c r="AC104" i="18"/>
  <c r="AB104" i="18"/>
  <c r="AA104" i="18"/>
  <c r="Z104" i="18"/>
  <c r="Y104" i="18"/>
  <c r="X104" i="18"/>
  <c r="W104" i="18"/>
  <c r="V104" i="18"/>
  <c r="U104" i="18"/>
  <c r="T104" i="18"/>
  <c r="S104" i="18"/>
  <c r="R104" i="18"/>
  <c r="Q104" i="18"/>
  <c r="P104" i="18"/>
  <c r="O104" i="18"/>
  <c r="N104" i="18"/>
  <c r="M104" i="18"/>
  <c r="L104" i="18"/>
  <c r="K104" i="18"/>
  <c r="J104" i="18"/>
  <c r="I104" i="18"/>
  <c r="H104" i="18"/>
  <c r="G104" i="18"/>
  <c r="F104" i="18"/>
  <c r="AE103" i="18"/>
  <c r="AC103" i="18"/>
  <c r="AB103" i="18"/>
  <c r="AA103" i="18"/>
  <c r="Z103" i="18"/>
  <c r="Y103" i="18"/>
  <c r="X103" i="18"/>
  <c r="W103" i="18"/>
  <c r="V103" i="18"/>
  <c r="U103" i="18"/>
  <c r="T103" i="18"/>
  <c r="S103" i="18"/>
  <c r="R103" i="18"/>
  <c r="Q103" i="18"/>
  <c r="P103" i="18"/>
  <c r="O103" i="18"/>
  <c r="N103" i="18"/>
  <c r="M103" i="18"/>
  <c r="L103" i="18"/>
  <c r="K103" i="18"/>
  <c r="J103" i="18"/>
  <c r="I103" i="18"/>
  <c r="H103" i="18"/>
  <c r="G103" i="18"/>
  <c r="F103" i="18"/>
  <c r="AE102" i="18"/>
  <c r="AC102" i="18"/>
  <c r="AB102" i="18"/>
  <c r="AA102" i="18"/>
  <c r="Z102" i="18"/>
  <c r="Y102" i="18"/>
  <c r="X102" i="18"/>
  <c r="W102" i="18"/>
  <c r="V102" i="18"/>
  <c r="U102" i="18"/>
  <c r="T102" i="18"/>
  <c r="S102" i="18"/>
  <c r="R102" i="18"/>
  <c r="Q102" i="18"/>
  <c r="P102" i="18"/>
  <c r="O102" i="18"/>
  <c r="N102" i="18"/>
  <c r="M102" i="18"/>
  <c r="L102" i="18"/>
  <c r="K102" i="18"/>
  <c r="J102" i="18"/>
  <c r="I102" i="18"/>
  <c r="H102" i="18"/>
  <c r="G102" i="18"/>
  <c r="F102" i="18"/>
  <c r="AE101" i="18"/>
  <c r="AC101" i="18"/>
  <c r="AB101" i="18"/>
  <c r="AA101" i="18"/>
  <c r="Z101" i="18"/>
  <c r="Y101" i="18"/>
  <c r="X101" i="18"/>
  <c r="W101" i="18"/>
  <c r="V101" i="18"/>
  <c r="U101" i="18"/>
  <c r="T101" i="18"/>
  <c r="S101" i="18"/>
  <c r="R101" i="18"/>
  <c r="Q101" i="18"/>
  <c r="P101" i="18"/>
  <c r="O101" i="18"/>
  <c r="N101" i="18"/>
  <c r="M101" i="18"/>
  <c r="L101" i="18"/>
  <c r="K101" i="18"/>
  <c r="J101" i="18"/>
  <c r="I101" i="18"/>
  <c r="H101" i="18"/>
  <c r="G101" i="18"/>
  <c r="F101" i="18"/>
  <c r="AE100" i="18"/>
  <c r="AC100" i="18"/>
  <c r="AB100" i="18"/>
  <c r="AA100" i="18"/>
  <c r="Z100" i="18"/>
  <c r="Y100" i="18"/>
  <c r="X100" i="18"/>
  <c r="W100" i="18"/>
  <c r="V100" i="18"/>
  <c r="U100" i="18"/>
  <c r="T100" i="18"/>
  <c r="S100" i="18"/>
  <c r="R100" i="18"/>
  <c r="Q100" i="18"/>
  <c r="P100" i="18"/>
  <c r="O100" i="18"/>
  <c r="N100" i="18"/>
  <c r="M100" i="18"/>
  <c r="L100" i="18"/>
  <c r="K100" i="18"/>
  <c r="J100" i="18"/>
  <c r="I100" i="18"/>
  <c r="H100" i="18"/>
  <c r="G100" i="18"/>
  <c r="F100" i="18"/>
  <c r="AE99" i="18"/>
  <c r="AC99" i="18"/>
  <c r="AB99" i="18"/>
  <c r="AA99" i="18"/>
  <c r="Z99" i="18"/>
  <c r="Y99" i="18"/>
  <c r="X99" i="18"/>
  <c r="W99" i="18"/>
  <c r="V99" i="18"/>
  <c r="U99" i="18"/>
  <c r="T99" i="18"/>
  <c r="S99" i="18"/>
  <c r="R99" i="18"/>
  <c r="Q99" i="18"/>
  <c r="P99" i="18"/>
  <c r="O99" i="18"/>
  <c r="N99" i="18"/>
  <c r="M99" i="18"/>
  <c r="L99" i="18"/>
  <c r="K99" i="18"/>
  <c r="J99" i="18"/>
  <c r="I99" i="18"/>
  <c r="H99" i="18"/>
  <c r="G99" i="18"/>
  <c r="F99" i="18"/>
  <c r="AE98" i="18"/>
  <c r="AC98" i="18"/>
  <c r="AB98" i="18"/>
  <c r="AA98" i="18"/>
  <c r="Z98" i="18"/>
  <c r="Y98" i="18"/>
  <c r="X98" i="18"/>
  <c r="W98" i="18"/>
  <c r="V98" i="18"/>
  <c r="U98" i="18"/>
  <c r="T98" i="18"/>
  <c r="S98" i="18"/>
  <c r="R98" i="18"/>
  <c r="Q98" i="18"/>
  <c r="P98" i="18"/>
  <c r="O98" i="18"/>
  <c r="N98" i="18"/>
  <c r="M98" i="18"/>
  <c r="L98" i="18"/>
  <c r="K98" i="18"/>
  <c r="J98" i="18"/>
  <c r="I98" i="18"/>
  <c r="H98" i="18"/>
  <c r="G98" i="18"/>
  <c r="F98" i="18"/>
  <c r="AE97" i="18"/>
  <c r="AC97" i="18"/>
  <c r="AB97" i="18"/>
  <c r="AA97" i="18"/>
  <c r="Z97" i="18"/>
  <c r="Y97" i="18"/>
  <c r="X97" i="18"/>
  <c r="W97" i="18"/>
  <c r="V97" i="18"/>
  <c r="U97" i="18"/>
  <c r="T97" i="18"/>
  <c r="S97" i="18"/>
  <c r="R97" i="18"/>
  <c r="Q97" i="18"/>
  <c r="P97" i="18"/>
  <c r="O97" i="18"/>
  <c r="N97" i="18"/>
  <c r="M97" i="18"/>
  <c r="L97" i="18"/>
  <c r="K97" i="18"/>
  <c r="J97" i="18"/>
  <c r="I97" i="18"/>
  <c r="H97" i="18"/>
  <c r="G97" i="18"/>
  <c r="F97" i="18"/>
  <c r="AE96" i="18"/>
  <c r="AC96" i="18"/>
  <c r="AB96" i="18"/>
  <c r="AA96" i="18"/>
  <c r="Z96" i="18"/>
  <c r="Y96" i="18"/>
  <c r="X96" i="18"/>
  <c r="W96" i="18"/>
  <c r="V96" i="18"/>
  <c r="U96" i="18"/>
  <c r="T96" i="18"/>
  <c r="S96" i="18"/>
  <c r="R96" i="18"/>
  <c r="Q96" i="18"/>
  <c r="P96" i="18"/>
  <c r="O96" i="18"/>
  <c r="N96" i="18"/>
  <c r="M96" i="18"/>
  <c r="L96" i="18"/>
  <c r="K96" i="18"/>
  <c r="J96" i="18"/>
  <c r="I96" i="18"/>
  <c r="H96" i="18"/>
  <c r="G96" i="18"/>
  <c r="F96" i="18"/>
  <c r="AE95" i="18"/>
  <c r="AC95" i="18"/>
  <c r="AB95" i="18"/>
  <c r="AA95" i="18"/>
  <c r="Z95" i="18"/>
  <c r="Y95" i="18"/>
  <c r="X95" i="18"/>
  <c r="W95" i="18"/>
  <c r="V95" i="18"/>
  <c r="U95" i="18"/>
  <c r="T95" i="18"/>
  <c r="S95" i="18"/>
  <c r="R95" i="18"/>
  <c r="Q95" i="18"/>
  <c r="P95" i="18"/>
  <c r="O95" i="18"/>
  <c r="N95" i="18"/>
  <c r="M95" i="18"/>
  <c r="L95" i="18"/>
  <c r="K95" i="18"/>
  <c r="J95" i="18"/>
  <c r="I95" i="18"/>
  <c r="H95" i="18"/>
  <c r="G95" i="18"/>
  <c r="F95" i="18"/>
  <c r="AE94" i="18"/>
  <c r="AC94" i="18"/>
  <c r="AB94" i="18"/>
  <c r="AA94" i="18"/>
  <c r="Z94" i="18"/>
  <c r="Y94" i="18"/>
  <c r="X94" i="18"/>
  <c r="W94" i="18"/>
  <c r="V94" i="18"/>
  <c r="U94" i="18"/>
  <c r="T94" i="18"/>
  <c r="S94" i="18"/>
  <c r="R94" i="18"/>
  <c r="Q94" i="18"/>
  <c r="P94" i="18"/>
  <c r="O94" i="18"/>
  <c r="N94" i="18"/>
  <c r="M94" i="18"/>
  <c r="L94" i="18"/>
  <c r="K94" i="18"/>
  <c r="J94" i="18"/>
  <c r="I94" i="18"/>
  <c r="H94" i="18"/>
  <c r="G94" i="18"/>
  <c r="F94" i="18"/>
  <c r="AE93" i="18"/>
  <c r="AC93" i="18"/>
  <c r="AB93" i="18"/>
  <c r="AA93" i="18"/>
  <c r="Z93" i="18"/>
  <c r="Y93" i="18"/>
  <c r="X93" i="18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J93" i="18"/>
  <c r="I93" i="18"/>
  <c r="H93" i="18"/>
  <c r="G93" i="18"/>
  <c r="F93" i="18"/>
  <c r="AE92" i="18"/>
  <c r="AC92" i="18"/>
  <c r="AB92" i="18"/>
  <c r="AA92" i="18"/>
  <c r="Z92" i="18"/>
  <c r="Y92" i="18"/>
  <c r="X92" i="18"/>
  <c r="W92" i="18"/>
  <c r="V92" i="18"/>
  <c r="U92" i="18"/>
  <c r="T92" i="18"/>
  <c r="S92" i="18"/>
  <c r="R92" i="18"/>
  <c r="Q92" i="18"/>
  <c r="P92" i="18"/>
  <c r="O92" i="18"/>
  <c r="N92" i="18"/>
  <c r="M92" i="18"/>
  <c r="L92" i="18"/>
  <c r="K92" i="18"/>
  <c r="J92" i="18"/>
  <c r="I92" i="18"/>
  <c r="H92" i="18"/>
  <c r="G92" i="18"/>
  <c r="F92" i="18"/>
  <c r="AE91" i="18"/>
  <c r="AC91" i="18"/>
  <c r="AB91" i="18"/>
  <c r="AA91" i="18"/>
  <c r="Z91" i="18"/>
  <c r="Y91" i="18"/>
  <c r="X91" i="18"/>
  <c r="W91" i="18"/>
  <c r="V91" i="18"/>
  <c r="U91" i="18"/>
  <c r="T91" i="18"/>
  <c r="S91" i="18"/>
  <c r="R91" i="18"/>
  <c r="Q91" i="18"/>
  <c r="P91" i="18"/>
  <c r="O91" i="18"/>
  <c r="N91" i="18"/>
  <c r="M91" i="18"/>
  <c r="L91" i="18"/>
  <c r="K91" i="18"/>
  <c r="J91" i="18"/>
  <c r="I91" i="18"/>
  <c r="H91" i="18"/>
  <c r="G91" i="18"/>
  <c r="F91" i="18"/>
  <c r="AE90" i="18"/>
  <c r="AC90" i="18"/>
  <c r="AB90" i="18"/>
  <c r="AA90" i="18"/>
  <c r="Z90" i="18"/>
  <c r="Y90" i="18"/>
  <c r="X90" i="18"/>
  <c r="W90" i="18"/>
  <c r="V90" i="18"/>
  <c r="U90" i="18"/>
  <c r="T90" i="18"/>
  <c r="S90" i="18"/>
  <c r="R90" i="18"/>
  <c r="Q90" i="18"/>
  <c r="P90" i="18"/>
  <c r="O90" i="18"/>
  <c r="N90" i="18"/>
  <c r="M90" i="18"/>
  <c r="L90" i="18"/>
  <c r="K90" i="18"/>
  <c r="J90" i="18"/>
  <c r="I90" i="18"/>
  <c r="H90" i="18"/>
  <c r="G90" i="18"/>
  <c r="F90" i="18"/>
  <c r="AE89" i="18"/>
  <c r="AC89" i="18"/>
  <c r="AB89" i="18"/>
  <c r="AA89" i="18"/>
  <c r="Z89" i="18"/>
  <c r="Y89" i="18"/>
  <c r="X89" i="18"/>
  <c r="W89" i="18"/>
  <c r="V89" i="18"/>
  <c r="U89" i="18"/>
  <c r="T89" i="18"/>
  <c r="S89" i="18"/>
  <c r="R89" i="18"/>
  <c r="Q89" i="18"/>
  <c r="P89" i="18"/>
  <c r="O89" i="18"/>
  <c r="N89" i="18"/>
  <c r="M89" i="18"/>
  <c r="L89" i="18"/>
  <c r="K89" i="18"/>
  <c r="J89" i="18"/>
  <c r="I89" i="18"/>
  <c r="H89" i="18"/>
  <c r="G89" i="18"/>
  <c r="F89" i="18"/>
  <c r="AE88" i="18"/>
  <c r="AC88" i="18"/>
  <c r="AB88" i="18"/>
  <c r="AA88" i="18"/>
  <c r="Z88" i="18"/>
  <c r="Y88" i="18"/>
  <c r="X88" i="18"/>
  <c r="W88" i="18"/>
  <c r="V88" i="18"/>
  <c r="U88" i="18"/>
  <c r="T88" i="18"/>
  <c r="S88" i="18"/>
  <c r="R88" i="18"/>
  <c r="Q88" i="18"/>
  <c r="P88" i="18"/>
  <c r="O88" i="18"/>
  <c r="N88" i="18"/>
  <c r="M88" i="18"/>
  <c r="L88" i="18"/>
  <c r="K88" i="18"/>
  <c r="J88" i="18"/>
  <c r="I88" i="18"/>
  <c r="H88" i="18"/>
  <c r="G88" i="18"/>
  <c r="F88" i="18"/>
  <c r="AE87" i="18"/>
  <c r="AC87" i="18"/>
  <c r="AB87" i="18"/>
  <c r="AA87" i="18"/>
  <c r="Z87" i="18"/>
  <c r="Y87" i="18"/>
  <c r="X87" i="18"/>
  <c r="W87" i="18"/>
  <c r="V87" i="18"/>
  <c r="U87" i="18"/>
  <c r="T87" i="18"/>
  <c r="S87" i="18"/>
  <c r="R87" i="18"/>
  <c r="Q87" i="18"/>
  <c r="P87" i="18"/>
  <c r="O87" i="18"/>
  <c r="N87" i="18"/>
  <c r="M87" i="18"/>
  <c r="L87" i="18"/>
  <c r="K87" i="18"/>
  <c r="J87" i="18"/>
  <c r="I87" i="18"/>
  <c r="H87" i="18"/>
  <c r="G87" i="18"/>
  <c r="F87" i="18"/>
  <c r="AE86" i="18"/>
  <c r="AC86" i="18"/>
  <c r="AB86" i="18"/>
  <c r="AA86" i="18"/>
  <c r="Z86" i="18"/>
  <c r="Y86" i="18"/>
  <c r="X86" i="18"/>
  <c r="W86" i="18"/>
  <c r="V86" i="18"/>
  <c r="U86" i="18"/>
  <c r="T86" i="18"/>
  <c r="S86" i="18"/>
  <c r="R86" i="18"/>
  <c r="Q86" i="18"/>
  <c r="P86" i="18"/>
  <c r="O86" i="18"/>
  <c r="N86" i="18"/>
  <c r="M86" i="18"/>
  <c r="L86" i="18"/>
  <c r="K86" i="18"/>
  <c r="J86" i="18"/>
  <c r="I86" i="18"/>
  <c r="H86" i="18"/>
  <c r="G86" i="18"/>
  <c r="F86" i="18"/>
  <c r="AE85" i="18"/>
  <c r="AC85" i="18"/>
  <c r="AB85" i="18"/>
  <c r="AA85" i="18"/>
  <c r="Z85" i="18"/>
  <c r="Y85" i="18"/>
  <c r="X85" i="18"/>
  <c r="W85" i="18"/>
  <c r="V85" i="18"/>
  <c r="U85" i="18"/>
  <c r="T85" i="18"/>
  <c r="S85" i="18"/>
  <c r="R85" i="18"/>
  <c r="Q85" i="18"/>
  <c r="P85" i="18"/>
  <c r="O85" i="18"/>
  <c r="N85" i="18"/>
  <c r="M85" i="18"/>
  <c r="L85" i="18"/>
  <c r="K85" i="18"/>
  <c r="J85" i="18"/>
  <c r="I85" i="18"/>
  <c r="H85" i="18"/>
  <c r="G85" i="18"/>
  <c r="F85" i="18"/>
  <c r="AE84" i="18"/>
  <c r="AC84" i="18"/>
  <c r="AB84" i="18"/>
  <c r="AA84" i="18"/>
  <c r="Z84" i="18"/>
  <c r="Y84" i="18"/>
  <c r="X84" i="18"/>
  <c r="W84" i="18"/>
  <c r="V84" i="18"/>
  <c r="U84" i="18"/>
  <c r="T84" i="18"/>
  <c r="S84" i="18"/>
  <c r="R84" i="18"/>
  <c r="Q84" i="18"/>
  <c r="P84" i="18"/>
  <c r="O84" i="18"/>
  <c r="N84" i="18"/>
  <c r="M84" i="18"/>
  <c r="L84" i="18"/>
  <c r="K84" i="18"/>
  <c r="J84" i="18"/>
  <c r="I84" i="18"/>
  <c r="H84" i="18"/>
  <c r="G84" i="18"/>
  <c r="F84" i="18"/>
  <c r="AE83" i="18"/>
  <c r="AC83" i="18"/>
  <c r="AB83" i="18"/>
  <c r="AA83" i="18"/>
  <c r="Z83" i="18"/>
  <c r="Y83" i="18"/>
  <c r="X83" i="18"/>
  <c r="W83" i="18"/>
  <c r="V83" i="18"/>
  <c r="U83" i="18"/>
  <c r="T83" i="18"/>
  <c r="S83" i="18"/>
  <c r="R83" i="18"/>
  <c r="Q83" i="18"/>
  <c r="P83" i="18"/>
  <c r="O83" i="18"/>
  <c r="N83" i="18"/>
  <c r="M83" i="18"/>
  <c r="L83" i="18"/>
  <c r="K83" i="18"/>
  <c r="J83" i="18"/>
  <c r="I83" i="18"/>
  <c r="H83" i="18"/>
  <c r="G83" i="18"/>
  <c r="F83" i="18"/>
  <c r="AE82" i="18"/>
  <c r="AC82" i="18"/>
  <c r="AB82" i="18"/>
  <c r="AA82" i="18"/>
  <c r="Z82" i="18"/>
  <c r="Y82" i="18"/>
  <c r="X82" i="18"/>
  <c r="W82" i="18"/>
  <c r="V82" i="18"/>
  <c r="U82" i="18"/>
  <c r="T82" i="18"/>
  <c r="S82" i="18"/>
  <c r="R82" i="18"/>
  <c r="Q82" i="18"/>
  <c r="P82" i="18"/>
  <c r="O82" i="18"/>
  <c r="N82" i="18"/>
  <c r="M82" i="18"/>
  <c r="L82" i="18"/>
  <c r="K82" i="18"/>
  <c r="J82" i="18"/>
  <c r="I82" i="18"/>
  <c r="H82" i="18"/>
  <c r="G82" i="18"/>
  <c r="F82" i="18"/>
  <c r="AE81" i="18"/>
  <c r="AC81" i="18"/>
  <c r="AB81" i="18"/>
  <c r="AA81" i="18"/>
  <c r="Z81" i="18"/>
  <c r="Y81" i="18"/>
  <c r="X81" i="18"/>
  <c r="W81" i="18"/>
  <c r="V81" i="18"/>
  <c r="U81" i="18"/>
  <c r="T81" i="18"/>
  <c r="S81" i="18"/>
  <c r="R81" i="18"/>
  <c r="Q81" i="18"/>
  <c r="P81" i="18"/>
  <c r="O81" i="18"/>
  <c r="N81" i="18"/>
  <c r="M81" i="18"/>
  <c r="L81" i="18"/>
  <c r="K81" i="18"/>
  <c r="J81" i="18"/>
  <c r="I81" i="18"/>
  <c r="H81" i="18"/>
  <c r="G81" i="18"/>
  <c r="F81" i="18"/>
  <c r="AE80" i="18"/>
  <c r="AC80" i="18"/>
  <c r="AB80" i="18"/>
  <c r="AA80" i="18"/>
  <c r="Z80" i="18"/>
  <c r="Y80" i="18"/>
  <c r="X80" i="18"/>
  <c r="W80" i="18"/>
  <c r="V80" i="18"/>
  <c r="U80" i="18"/>
  <c r="T80" i="18"/>
  <c r="S80" i="18"/>
  <c r="R80" i="18"/>
  <c r="Q80" i="18"/>
  <c r="P80" i="18"/>
  <c r="O80" i="18"/>
  <c r="N80" i="18"/>
  <c r="M80" i="18"/>
  <c r="L80" i="18"/>
  <c r="K80" i="18"/>
  <c r="J80" i="18"/>
  <c r="I80" i="18"/>
  <c r="H80" i="18"/>
  <c r="G80" i="18"/>
  <c r="F80" i="18"/>
  <c r="AE79" i="18"/>
  <c r="AC79" i="18"/>
  <c r="AB79" i="18"/>
  <c r="AA79" i="18"/>
  <c r="Z79" i="18"/>
  <c r="Y79" i="18"/>
  <c r="X79" i="18"/>
  <c r="W79" i="18"/>
  <c r="V79" i="18"/>
  <c r="U79" i="18"/>
  <c r="T79" i="18"/>
  <c r="S79" i="18"/>
  <c r="R79" i="18"/>
  <c r="Q79" i="18"/>
  <c r="P79" i="18"/>
  <c r="O79" i="18"/>
  <c r="N79" i="18"/>
  <c r="M79" i="18"/>
  <c r="L79" i="18"/>
  <c r="K79" i="18"/>
  <c r="J79" i="18"/>
  <c r="I79" i="18"/>
  <c r="H79" i="18"/>
  <c r="G79" i="18"/>
  <c r="F79" i="18"/>
  <c r="AE78" i="18"/>
  <c r="AC78" i="18"/>
  <c r="AB78" i="18"/>
  <c r="AA78" i="18"/>
  <c r="Z78" i="18"/>
  <c r="Y78" i="18"/>
  <c r="X78" i="18"/>
  <c r="W78" i="18"/>
  <c r="V78" i="18"/>
  <c r="U78" i="18"/>
  <c r="T78" i="18"/>
  <c r="S78" i="18"/>
  <c r="R78" i="18"/>
  <c r="Q78" i="18"/>
  <c r="P78" i="18"/>
  <c r="O78" i="18"/>
  <c r="N78" i="18"/>
  <c r="M78" i="18"/>
  <c r="L78" i="18"/>
  <c r="K78" i="18"/>
  <c r="J78" i="18"/>
  <c r="I78" i="18"/>
  <c r="H78" i="18"/>
  <c r="G78" i="18"/>
  <c r="F78" i="18"/>
  <c r="AE77" i="18"/>
  <c r="AC77" i="18"/>
  <c r="AB77" i="18"/>
  <c r="AA77" i="18"/>
  <c r="Z77" i="18"/>
  <c r="Y77" i="18"/>
  <c r="X77" i="18"/>
  <c r="W77" i="18"/>
  <c r="V77" i="18"/>
  <c r="U77" i="18"/>
  <c r="T77" i="18"/>
  <c r="S77" i="18"/>
  <c r="R77" i="18"/>
  <c r="Q77" i="18"/>
  <c r="P77" i="18"/>
  <c r="O77" i="18"/>
  <c r="N77" i="18"/>
  <c r="M77" i="18"/>
  <c r="L77" i="18"/>
  <c r="K77" i="18"/>
  <c r="J77" i="18"/>
  <c r="I77" i="18"/>
  <c r="H77" i="18"/>
  <c r="G77" i="18"/>
  <c r="F77" i="18"/>
  <c r="AE76" i="18"/>
  <c r="AC76" i="18"/>
  <c r="AB76" i="18"/>
  <c r="AA76" i="18"/>
  <c r="Z76" i="18"/>
  <c r="Y76" i="18"/>
  <c r="X76" i="18"/>
  <c r="W76" i="18"/>
  <c r="V76" i="18"/>
  <c r="U76" i="18"/>
  <c r="T76" i="18"/>
  <c r="S76" i="18"/>
  <c r="R76" i="18"/>
  <c r="Q76" i="18"/>
  <c r="P76" i="18"/>
  <c r="O76" i="18"/>
  <c r="N76" i="18"/>
  <c r="M76" i="18"/>
  <c r="L76" i="18"/>
  <c r="K76" i="18"/>
  <c r="J76" i="18"/>
  <c r="I76" i="18"/>
  <c r="H76" i="18"/>
  <c r="G76" i="18"/>
  <c r="F76" i="18"/>
  <c r="AE75" i="18"/>
  <c r="AC75" i="18"/>
  <c r="AB75" i="18"/>
  <c r="AA75" i="18"/>
  <c r="Z75" i="18"/>
  <c r="Y75" i="18"/>
  <c r="X75" i="18"/>
  <c r="W75" i="18"/>
  <c r="V75" i="18"/>
  <c r="U75" i="18"/>
  <c r="T75" i="18"/>
  <c r="S75" i="18"/>
  <c r="R75" i="18"/>
  <c r="Q75" i="18"/>
  <c r="P75" i="18"/>
  <c r="O75" i="18"/>
  <c r="N75" i="18"/>
  <c r="M75" i="18"/>
  <c r="L75" i="18"/>
  <c r="K75" i="18"/>
  <c r="J75" i="18"/>
  <c r="I75" i="18"/>
  <c r="H75" i="18"/>
  <c r="G75" i="18"/>
  <c r="F75" i="18"/>
  <c r="AE74" i="18"/>
  <c r="AC74" i="18"/>
  <c r="AB74" i="18"/>
  <c r="AA74" i="18"/>
  <c r="Z74" i="18"/>
  <c r="Y74" i="18"/>
  <c r="X74" i="18"/>
  <c r="W74" i="18"/>
  <c r="V74" i="18"/>
  <c r="U74" i="18"/>
  <c r="T74" i="18"/>
  <c r="S74" i="18"/>
  <c r="R74" i="18"/>
  <c r="Q74" i="18"/>
  <c r="P74" i="18"/>
  <c r="O74" i="18"/>
  <c r="N74" i="18"/>
  <c r="M74" i="18"/>
  <c r="L74" i="18"/>
  <c r="K74" i="18"/>
  <c r="J74" i="18"/>
  <c r="I74" i="18"/>
  <c r="H74" i="18"/>
  <c r="G74" i="18"/>
  <c r="F74" i="18"/>
  <c r="AE73" i="18"/>
  <c r="AC73" i="18"/>
  <c r="AB73" i="18"/>
  <c r="AA73" i="18"/>
  <c r="Z73" i="18"/>
  <c r="Y73" i="18"/>
  <c r="X73" i="18"/>
  <c r="W73" i="18"/>
  <c r="V73" i="18"/>
  <c r="U73" i="18"/>
  <c r="T73" i="18"/>
  <c r="S73" i="18"/>
  <c r="R73" i="18"/>
  <c r="Q73" i="18"/>
  <c r="P73" i="18"/>
  <c r="O73" i="18"/>
  <c r="N73" i="18"/>
  <c r="M73" i="18"/>
  <c r="L73" i="18"/>
  <c r="K73" i="18"/>
  <c r="J73" i="18"/>
  <c r="I73" i="18"/>
  <c r="H73" i="18"/>
  <c r="G73" i="18"/>
  <c r="F73" i="18"/>
  <c r="AE72" i="18"/>
  <c r="AC72" i="18"/>
  <c r="AB72" i="18"/>
  <c r="AA72" i="18"/>
  <c r="Z72" i="18"/>
  <c r="Y72" i="18"/>
  <c r="X72" i="18"/>
  <c r="W72" i="18"/>
  <c r="V72" i="18"/>
  <c r="U72" i="18"/>
  <c r="T72" i="18"/>
  <c r="S72" i="18"/>
  <c r="R72" i="18"/>
  <c r="Q72" i="18"/>
  <c r="P72" i="18"/>
  <c r="O72" i="18"/>
  <c r="N72" i="18"/>
  <c r="M72" i="18"/>
  <c r="L72" i="18"/>
  <c r="K72" i="18"/>
  <c r="J72" i="18"/>
  <c r="I72" i="18"/>
  <c r="H72" i="18"/>
  <c r="G72" i="18"/>
  <c r="F72" i="18"/>
  <c r="AE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F71" i="18"/>
  <c r="AE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F70" i="18"/>
  <c r="AE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F69" i="18"/>
  <c r="AE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F68" i="18"/>
  <c r="AE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F67" i="18"/>
  <c r="AE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F66" i="18"/>
  <c r="AE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F65" i="18"/>
  <c r="AE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F64" i="18"/>
  <c r="AE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F63" i="18"/>
  <c r="AE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F62" i="18"/>
  <c r="AE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F61" i="18"/>
  <c r="AE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F60" i="18"/>
  <c r="AE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F59" i="18"/>
  <c r="AE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F58" i="18"/>
  <c r="AE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F57" i="18"/>
  <c r="AE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F56" i="18"/>
  <c r="AE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F55" i="18"/>
  <c r="AE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AE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F53" i="18"/>
  <c r="AE52" i="18"/>
  <c r="AC52" i="18"/>
  <c r="AB52" i="18"/>
  <c r="AA52" i="18"/>
  <c r="Z52" i="18"/>
  <c r="Y52" i="18"/>
  <c r="X52" i="18"/>
  <c r="W52" i="18"/>
  <c r="V52" i="18"/>
  <c r="U52" i="18"/>
  <c r="T52" i="18"/>
  <c r="S52" i="18"/>
  <c r="R52" i="18"/>
  <c r="Q52" i="18"/>
  <c r="P52" i="18"/>
  <c r="O52" i="18"/>
  <c r="N52" i="18"/>
  <c r="M52" i="18"/>
  <c r="L52" i="18"/>
  <c r="K52" i="18"/>
  <c r="J52" i="18"/>
  <c r="I52" i="18"/>
  <c r="H52" i="18"/>
  <c r="G52" i="18"/>
  <c r="F52" i="18"/>
  <c r="AE51" i="18"/>
  <c r="AC51" i="18"/>
  <c r="AB51" i="18"/>
  <c r="AA51" i="18"/>
  <c r="Z51" i="18"/>
  <c r="Y51" i="18"/>
  <c r="X51" i="18"/>
  <c r="W51" i="18"/>
  <c r="V51" i="18"/>
  <c r="U51" i="18"/>
  <c r="T51" i="18"/>
  <c r="S51" i="18"/>
  <c r="R51" i="18"/>
  <c r="Q51" i="18"/>
  <c r="P51" i="18"/>
  <c r="O51" i="18"/>
  <c r="N51" i="18"/>
  <c r="M51" i="18"/>
  <c r="L51" i="18"/>
  <c r="K51" i="18"/>
  <c r="J51" i="18"/>
  <c r="I51" i="18"/>
  <c r="H51" i="18"/>
  <c r="G51" i="18"/>
  <c r="F51" i="18"/>
  <c r="AE50" i="18"/>
  <c r="AC50" i="18"/>
  <c r="AB50" i="18"/>
  <c r="AA50" i="18"/>
  <c r="Z50" i="18"/>
  <c r="Y50" i="18"/>
  <c r="X50" i="18"/>
  <c r="W50" i="18"/>
  <c r="V50" i="18"/>
  <c r="U50" i="18"/>
  <c r="T50" i="18"/>
  <c r="S50" i="18"/>
  <c r="R50" i="18"/>
  <c r="Q50" i="18"/>
  <c r="P50" i="18"/>
  <c r="O50" i="18"/>
  <c r="N50" i="18"/>
  <c r="M50" i="18"/>
  <c r="L50" i="18"/>
  <c r="K50" i="18"/>
  <c r="J50" i="18"/>
  <c r="I50" i="18"/>
  <c r="H50" i="18"/>
  <c r="G50" i="18"/>
  <c r="F50" i="18"/>
  <c r="AE49" i="18"/>
  <c r="AC49" i="18"/>
  <c r="AB49" i="18"/>
  <c r="AA49" i="18"/>
  <c r="Z49" i="18"/>
  <c r="Y49" i="18"/>
  <c r="X49" i="18"/>
  <c r="W49" i="18"/>
  <c r="V49" i="18"/>
  <c r="U49" i="18"/>
  <c r="T49" i="18"/>
  <c r="S49" i="18"/>
  <c r="R49" i="18"/>
  <c r="Q49" i="18"/>
  <c r="P49" i="18"/>
  <c r="O49" i="18"/>
  <c r="N49" i="18"/>
  <c r="M49" i="18"/>
  <c r="L49" i="18"/>
  <c r="K49" i="18"/>
  <c r="J49" i="18"/>
  <c r="I49" i="18"/>
  <c r="H49" i="18"/>
  <c r="G49" i="18"/>
  <c r="F49" i="18"/>
  <c r="AE48" i="18"/>
  <c r="AC48" i="18"/>
  <c r="AB48" i="18"/>
  <c r="AA48" i="18"/>
  <c r="Z48" i="18"/>
  <c r="Y48" i="18"/>
  <c r="X48" i="18"/>
  <c r="W48" i="18"/>
  <c r="V48" i="18"/>
  <c r="U48" i="18"/>
  <c r="T48" i="18"/>
  <c r="S48" i="18"/>
  <c r="R48" i="18"/>
  <c r="Q48" i="18"/>
  <c r="P48" i="18"/>
  <c r="O48" i="18"/>
  <c r="N48" i="18"/>
  <c r="M48" i="18"/>
  <c r="L48" i="18"/>
  <c r="K48" i="18"/>
  <c r="J48" i="18"/>
  <c r="I48" i="18"/>
  <c r="H48" i="18"/>
  <c r="G48" i="18"/>
  <c r="F48" i="18"/>
  <c r="AE47" i="18"/>
  <c r="AC47" i="18"/>
  <c r="AB47" i="18"/>
  <c r="AA47" i="18"/>
  <c r="Z47" i="18"/>
  <c r="Y47" i="18"/>
  <c r="X47" i="18"/>
  <c r="W47" i="18"/>
  <c r="V47" i="18"/>
  <c r="U47" i="18"/>
  <c r="T47" i="18"/>
  <c r="S47" i="18"/>
  <c r="R47" i="18"/>
  <c r="Q47" i="18"/>
  <c r="P47" i="18"/>
  <c r="O47" i="18"/>
  <c r="N47" i="18"/>
  <c r="M47" i="18"/>
  <c r="L47" i="18"/>
  <c r="K47" i="18"/>
  <c r="J47" i="18"/>
  <c r="I47" i="18"/>
  <c r="H47" i="18"/>
  <c r="G47" i="18"/>
  <c r="F47" i="18"/>
  <c r="AE46" i="18"/>
  <c r="AC46" i="18"/>
  <c r="AB46" i="18"/>
  <c r="AA46" i="18"/>
  <c r="Z46" i="18"/>
  <c r="Y46" i="18"/>
  <c r="X46" i="18"/>
  <c r="W46" i="18"/>
  <c r="V46" i="18"/>
  <c r="U46" i="18"/>
  <c r="T46" i="18"/>
  <c r="S46" i="18"/>
  <c r="R46" i="18"/>
  <c r="Q46" i="18"/>
  <c r="P46" i="18"/>
  <c r="O46" i="18"/>
  <c r="N46" i="18"/>
  <c r="M46" i="18"/>
  <c r="L46" i="18"/>
  <c r="K46" i="18"/>
  <c r="J46" i="18"/>
  <c r="I46" i="18"/>
  <c r="H46" i="18"/>
  <c r="G46" i="18"/>
  <c r="F46" i="18"/>
  <c r="AE45" i="18"/>
  <c r="AC45" i="18"/>
  <c r="AB45" i="18"/>
  <c r="AA45" i="18"/>
  <c r="Z45" i="18"/>
  <c r="Y45" i="18"/>
  <c r="X45" i="18"/>
  <c r="W45" i="18"/>
  <c r="V45" i="18"/>
  <c r="U45" i="18"/>
  <c r="T45" i="18"/>
  <c r="S45" i="18"/>
  <c r="R45" i="18"/>
  <c r="Q45" i="18"/>
  <c r="P45" i="18"/>
  <c r="O45" i="18"/>
  <c r="N45" i="18"/>
  <c r="M45" i="18"/>
  <c r="L45" i="18"/>
  <c r="K45" i="18"/>
  <c r="J45" i="18"/>
  <c r="I45" i="18"/>
  <c r="H45" i="18"/>
  <c r="G45" i="18"/>
  <c r="F45" i="18"/>
  <c r="AE44" i="18"/>
  <c r="AC44" i="18"/>
  <c r="AB44" i="18"/>
  <c r="AA44" i="18"/>
  <c r="Z44" i="18"/>
  <c r="Y44" i="18"/>
  <c r="X44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AE43" i="18"/>
  <c r="AC43" i="18"/>
  <c r="AB43" i="18"/>
  <c r="AA43" i="18"/>
  <c r="Z43" i="18"/>
  <c r="Y43" i="18"/>
  <c r="X43" i="18"/>
  <c r="W43" i="18"/>
  <c r="V43" i="18"/>
  <c r="U43" i="18"/>
  <c r="T43" i="18"/>
  <c r="S43" i="18"/>
  <c r="R43" i="18"/>
  <c r="Q43" i="18"/>
  <c r="P43" i="18"/>
  <c r="O43" i="18"/>
  <c r="N43" i="18"/>
  <c r="M43" i="18"/>
  <c r="L43" i="18"/>
  <c r="K43" i="18"/>
  <c r="J43" i="18"/>
  <c r="I43" i="18"/>
  <c r="H43" i="18"/>
  <c r="G43" i="18"/>
  <c r="F43" i="18"/>
  <c r="AE42" i="18"/>
  <c r="AC42" i="18"/>
  <c r="AB42" i="18"/>
  <c r="AA42" i="18"/>
  <c r="Z42" i="18"/>
  <c r="Y42" i="18"/>
  <c r="X42" i="18"/>
  <c r="W42" i="18"/>
  <c r="V42" i="18"/>
  <c r="U42" i="18"/>
  <c r="T42" i="18"/>
  <c r="S42" i="18"/>
  <c r="R42" i="18"/>
  <c r="Q42" i="18"/>
  <c r="P42" i="18"/>
  <c r="O42" i="18"/>
  <c r="N42" i="18"/>
  <c r="M42" i="18"/>
  <c r="L42" i="18"/>
  <c r="K42" i="18"/>
  <c r="J42" i="18"/>
  <c r="I42" i="18"/>
  <c r="H42" i="18"/>
  <c r="G42" i="18"/>
  <c r="F42" i="18"/>
  <c r="AE41" i="18"/>
  <c r="AC41" i="18"/>
  <c r="AB41" i="18"/>
  <c r="AA41" i="18"/>
  <c r="Z41" i="18"/>
  <c r="Y41" i="18"/>
  <c r="X41" i="18"/>
  <c r="W41" i="18"/>
  <c r="V41" i="18"/>
  <c r="U41" i="18"/>
  <c r="T41" i="18"/>
  <c r="S41" i="18"/>
  <c r="R41" i="18"/>
  <c r="Q41" i="18"/>
  <c r="P41" i="18"/>
  <c r="O41" i="18"/>
  <c r="N41" i="18"/>
  <c r="M41" i="18"/>
  <c r="L41" i="18"/>
  <c r="K41" i="18"/>
  <c r="J41" i="18"/>
  <c r="I41" i="18"/>
  <c r="H41" i="18"/>
  <c r="G41" i="18"/>
  <c r="F41" i="18"/>
  <c r="AE40" i="18"/>
  <c r="AC40" i="18"/>
  <c r="AB40" i="18"/>
  <c r="AA40" i="18"/>
  <c r="Z40" i="18"/>
  <c r="Y40" i="18"/>
  <c r="X40" i="18"/>
  <c r="W40" i="18"/>
  <c r="V40" i="18"/>
  <c r="U40" i="18"/>
  <c r="T40" i="18"/>
  <c r="S40" i="18"/>
  <c r="R40" i="18"/>
  <c r="Q40" i="18"/>
  <c r="P40" i="18"/>
  <c r="O40" i="18"/>
  <c r="N40" i="18"/>
  <c r="M40" i="18"/>
  <c r="L40" i="18"/>
  <c r="K40" i="18"/>
  <c r="J40" i="18"/>
  <c r="I40" i="18"/>
  <c r="H40" i="18"/>
  <c r="G40" i="18"/>
  <c r="F40" i="18"/>
  <c r="AE39" i="18"/>
  <c r="AC39" i="18"/>
  <c r="AB39" i="18"/>
  <c r="AA39" i="18"/>
  <c r="Z39" i="18"/>
  <c r="Y39" i="18"/>
  <c r="X39" i="18"/>
  <c r="W39" i="18"/>
  <c r="V39" i="18"/>
  <c r="U39" i="18"/>
  <c r="T39" i="18"/>
  <c r="S39" i="18"/>
  <c r="R39" i="18"/>
  <c r="Q39" i="18"/>
  <c r="P39" i="18"/>
  <c r="O39" i="18"/>
  <c r="N39" i="18"/>
  <c r="M39" i="18"/>
  <c r="L39" i="18"/>
  <c r="K39" i="18"/>
  <c r="J39" i="18"/>
  <c r="I39" i="18"/>
  <c r="H39" i="18"/>
  <c r="G39" i="18"/>
  <c r="F39" i="18"/>
  <c r="AE38" i="18"/>
  <c r="AC38" i="18"/>
  <c r="AB38" i="18"/>
  <c r="AA38" i="18"/>
  <c r="Z38" i="18"/>
  <c r="Y38" i="18"/>
  <c r="X38" i="18"/>
  <c r="W38" i="18"/>
  <c r="V38" i="18"/>
  <c r="U38" i="18"/>
  <c r="T38" i="18"/>
  <c r="S38" i="18"/>
  <c r="R38" i="18"/>
  <c r="Q38" i="18"/>
  <c r="P38" i="18"/>
  <c r="O38" i="18"/>
  <c r="N38" i="18"/>
  <c r="M38" i="18"/>
  <c r="L38" i="18"/>
  <c r="K38" i="18"/>
  <c r="J38" i="18"/>
  <c r="I38" i="18"/>
  <c r="H38" i="18"/>
  <c r="G38" i="18"/>
  <c r="F38" i="18"/>
  <c r="AE37" i="18"/>
  <c r="AC37" i="18"/>
  <c r="AB37" i="18"/>
  <c r="AA37" i="18"/>
  <c r="Z37" i="18"/>
  <c r="Y37" i="18"/>
  <c r="X37" i="18"/>
  <c r="W37" i="18"/>
  <c r="V37" i="18"/>
  <c r="U37" i="18"/>
  <c r="T37" i="18"/>
  <c r="S37" i="18"/>
  <c r="R37" i="18"/>
  <c r="Q37" i="18"/>
  <c r="P37" i="18"/>
  <c r="O37" i="18"/>
  <c r="N37" i="18"/>
  <c r="M37" i="18"/>
  <c r="L37" i="18"/>
  <c r="K37" i="18"/>
  <c r="J37" i="18"/>
  <c r="I37" i="18"/>
  <c r="H37" i="18"/>
  <c r="G37" i="18"/>
  <c r="F37" i="18"/>
  <c r="AE36" i="18"/>
  <c r="AC36" i="18"/>
  <c r="AB36" i="18"/>
  <c r="AA36" i="18"/>
  <c r="Z36" i="18"/>
  <c r="Y36" i="18"/>
  <c r="X36" i="18"/>
  <c r="W36" i="18"/>
  <c r="V36" i="18"/>
  <c r="U36" i="18"/>
  <c r="T36" i="18"/>
  <c r="S36" i="18"/>
  <c r="R36" i="18"/>
  <c r="Q36" i="18"/>
  <c r="P36" i="18"/>
  <c r="O36" i="18"/>
  <c r="N36" i="18"/>
  <c r="M36" i="18"/>
  <c r="L36" i="18"/>
  <c r="K36" i="18"/>
  <c r="J36" i="18"/>
  <c r="I36" i="18"/>
  <c r="H36" i="18"/>
  <c r="G36" i="18"/>
  <c r="F36" i="18"/>
  <c r="AE35" i="18"/>
  <c r="AC35" i="18"/>
  <c r="AB35" i="18"/>
  <c r="AA35" i="18"/>
  <c r="Z35" i="18"/>
  <c r="Y35" i="18"/>
  <c r="X35" i="18"/>
  <c r="W35" i="18"/>
  <c r="V35" i="18"/>
  <c r="U35" i="18"/>
  <c r="T35" i="18"/>
  <c r="S35" i="18"/>
  <c r="R35" i="18"/>
  <c r="Q35" i="18"/>
  <c r="P35" i="18"/>
  <c r="O35" i="18"/>
  <c r="N35" i="18"/>
  <c r="M35" i="18"/>
  <c r="L35" i="18"/>
  <c r="K35" i="18"/>
  <c r="J35" i="18"/>
  <c r="I35" i="18"/>
  <c r="H35" i="18"/>
  <c r="G35" i="18"/>
  <c r="F35" i="18"/>
  <c r="AE34" i="18"/>
  <c r="AC34" i="18"/>
  <c r="AB34" i="18"/>
  <c r="AA34" i="18"/>
  <c r="Z34" i="18"/>
  <c r="Y34" i="18"/>
  <c r="X34" i="18"/>
  <c r="W34" i="18"/>
  <c r="V34" i="18"/>
  <c r="U34" i="18"/>
  <c r="T34" i="18"/>
  <c r="S34" i="18"/>
  <c r="R34" i="18"/>
  <c r="Q34" i="18"/>
  <c r="P34" i="18"/>
  <c r="O34" i="18"/>
  <c r="N34" i="18"/>
  <c r="M34" i="18"/>
  <c r="L34" i="18"/>
  <c r="K34" i="18"/>
  <c r="J34" i="18"/>
  <c r="I34" i="18"/>
  <c r="H34" i="18"/>
  <c r="G34" i="18"/>
  <c r="F34" i="18"/>
  <c r="AE33" i="18"/>
  <c r="AC33" i="18"/>
  <c r="AB33" i="18"/>
  <c r="AA33" i="18"/>
  <c r="Z33" i="18"/>
  <c r="Y33" i="18"/>
  <c r="X33" i="18"/>
  <c r="W33" i="18"/>
  <c r="V33" i="18"/>
  <c r="U33" i="18"/>
  <c r="T33" i="18"/>
  <c r="S33" i="18"/>
  <c r="R33" i="18"/>
  <c r="Q33" i="18"/>
  <c r="P33" i="18"/>
  <c r="O33" i="18"/>
  <c r="N33" i="18"/>
  <c r="M33" i="18"/>
  <c r="L33" i="18"/>
  <c r="K33" i="18"/>
  <c r="J33" i="18"/>
  <c r="I33" i="18"/>
  <c r="H33" i="18"/>
  <c r="G33" i="18"/>
  <c r="F33" i="18"/>
  <c r="AE32" i="18"/>
  <c r="AC32" i="18"/>
  <c r="AB32" i="18"/>
  <c r="AA32" i="18"/>
  <c r="Z32" i="18"/>
  <c r="Y32" i="18"/>
  <c r="X32" i="18"/>
  <c r="W32" i="18"/>
  <c r="V32" i="18"/>
  <c r="U32" i="18"/>
  <c r="T32" i="18"/>
  <c r="S32" i="18"/>
  <c r="R32" i="18"/>
  <c r="Q32" i="18"/>
  <c r="P32" i="18"/>
  <c r="O32" i="18"/>
  <c r="N32" i="18"/>
  <c r="M32" i="18"/>
  <c r="L32" i="18"/>
  <c r="K32" i="18"/>
  <c r="J32" i="18"/>
  <c r="I32" i="18"/>
  <c r="H32" i="18"/>
  <c r="G32" i="18"/>
  <c r="F32" i="18"/>
  <c r="AE31" i="18"/>
  <c r="AC31" i="18"/>
  <c r="AB31" i="18"/>
  <c r="AA31" i="18"/>
  <c r="Z31" i="18"/>
  <c r="Y31" i="18"/>
  <c r="X31" i="18"/>
  <c r="W31" i="18"/>
  <c r="V31" i="18"/>
  <c r="U31" i="18"/>
  <c r="T31" i="18"/>
  <c r="S31" i="18"/>
  <c r="R31" i="18"/>
  <c r="Q31" i="18"/>
  <c r="P31" i="18"/>
  <c r="O31" i="18"/>
  <c r="N31" i="18"/>
  <c r="M31" i="18"/>
  <c r="L31" i="18"/>
  <c r="K31" i="18"/>
  <c r="J31" i="18"/>
  <c r="I31" i="18"/>
  <c r="H31" i="18"/>
  <c r="G31" i="18"/>
  <c r="F31" i="18"/>
  <c r="AE30" i="18"/>
  <c r="AC30" i="18"/>
  <c r="AB30" i="18"/>
  <c r="AA30" i="18"/>
  <c r="Z30" i="18"/>
  <c r="Y30" i="18"/>
  <c r="X30" i="18"/>
  <c r="W30" i="18"/>
  <c r="V30" i="18"/>
  <c r="U30" i="18"/>
  <c r="T30" i="18"/>
  <c r="S30" i="18"/>
  <c r="R30" i="18"/>
  <c r="Q30" i="18"/>
  <c r="P30" i="18"/>
  <c r="O30" i="18"/>
  <c r="N30" i="18"/>
  <c r="M30" i="18"/>
  <c r="L30" i="18"/>
  <c r="K30" i="18"/>
  <c r="J30" i="18"/>
  <c r="I30" i="18"/>
  <c r="H30" i="18"/>
  <c r="G30" i="18"/>
  <c r="F30" i="18"/>
  <c r="AE29" i="18"/>
  <c r="AC29" i="18"/>
  <c r="AB29" i="18"/>
  <c r="AA29" i="18"/>
  <c r="Z29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AE28" i="18"/>
  <c r="AC28" i="18"/>
  <c r="AB28" i="18"/>
  <c r="AA28" i="18"/>
  <c r="Z28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AE27" i="18"/>
  <c r="AC27" i="18"/>
  <c r="AB27" i="18"/>
  <c r="AA27" i="18"/>
  <c r="Z27" i="18"/>
  <c r="Y27" i="18"/>
  <c r="X27" i="18"/>
  <c r="W27" i="18"/>
  <c r="V27" i="18"/>
  <c r="U27" i="18"/>
  <c r="T27" i="18"/>
  <c r="S27" i="18"/>
  <c r="R27" i="18"/>
  <c r="Q27" i="18"/>
  <c r="P27" i="18"/>
  <c r="O27" i="18"/>
  <c r="N27" i="18"/>
  <c r="M27" i="18"/>
  <c r="L27" i="18"/>
  <c r="K27" i="18"/>
  <c r="J27" i="18"/>
  <c r="I27" i="18"/>
  <c r="H27" i="18"/>
  <c r="G27" i="18"/>
  <c r="F27" i="18"/>
  <c r="AE26" i="18"/>
  <c r="AC26" i="18"/>
  <c r="AB26" i="18"/>
  <c r="AA26" i="18"/>
  <c r="Z26" i="18"/>
  <c r="Y26" i="18"/>
  <c r="X26" i="18"/>
  <c r="W26" i="18"/>
  <c r="V26" i="18"/>
  <c r="U26" i="18"/>
  <c r="T26" i="18"/>
  <c r="S26" i="18"/>
  <c r="R26" i="18"/>
  <c r="Q26" i="18"/>
  <c r="P26" i="18"/>
  <c r="O26" i="18"/>
  <c r="N26" i="18"/>
  <c r="M26" i="18"/>
  <c r="L26" i="18"/>
  <c r="K26" i="18"/>
  <c r="J26" i="18"/>
  <c r="I26" i="18"/>
  <c r="H26" i="18"/>
  <c r="G26" i="18"/>
  <c r="F26" i="18"/>
  <c r="AE25" i="18"/>
  <c r="AC25" i="18"/>
  <c r="AB25" i="18"/>
  <c r="AA25" i="18"/>
  <c r="Z25" i="18"/>
  <c r="Y25" i="18"/>
  <c r="X25" i="18"/>
  <c r="W25" i="18"/>
  <c r="V25" i="18"/>
  <c r="U25" i="18"/>
  <c r="T25" i="18"/>
  <c r="S25" i="18"/>
  <c r="R25" i="18"/>
  <c r="Q25" i="18"/>
  <c r="P25" i="18"/>
  <c r="O25" i="18"/>
  <c r="N25" i="18"/>
  <c r="M25" i="18"/>
  <c r="L25" i="18"/>
  <c r="K25" i="18"/>
  <c r="J25" i="18"/>
  <c r="I25" i="18"/>
  <c r="H25" i="18"/>
  <c r="G25" i="18"/>
  <c r="F25" i="18"/>
  <c r="AE24" i="18"/>
  <c r="AC24" i="18"/>
  <c r="AB24" i="18"/>
  <c r="AA24" i="18"/>
  <c r="Z24" i="18"/>
  <c r="Y24" i="18"/>
  <c r="X2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AE23" i="18"/>
  <c r="AC23" i="18"/>
  <c r="AB23" i="18"/>
  <c r="AA23" i="18"/>
  <c r="Z23" i="18"/>
  <c r="Y23" i="18"/>
  <c r="X23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AE22" i="18"/>
  <c r="AC22" i="18"/>
  <c r="AB22" i="18"/>
  <c r="AA22" i="18"/>
  <c r="Z22" i="18"/>
  <c r="Y22" i="18"/>
  <c r="X22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AE21" i="18"/>
  <c r="AC21" i="18"/>
  <c r="AB21" i="18"/>
  <c r="AA21" i="18"/>
  <c r="Z21" i="18"/>
  <c r="Y21" i="18"/>
  <c r="X21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AE20" i="18"/>
  <c r="AC20" i="18"/>
  <c r="AB20" i="18"/>
  <c r="AA20" i="18"/>
  <c r="Z20" i="18"/>
  <c r="Y20" i="18"/>
  <c r="X20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AE19" i="18"/>
  <c r="AC19" i="18"/>
  <c r="AB19" i="18"/>
  <c r="AA19" i="18"/>
  <c r="Z19" i="18"/>
  <c r="Y19" i="18"/>
  <c r="X19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AE18" i="18"/>
  <c r="AC18" i="18"/>
  <c r="AB18" i="18"/>
  <c r="AA18" i="18"/>
  <c r="Z18" i="18"/>
  <c r="Y18" i="18"/>
  <c r="X18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AE17" i="18"/>
  <c r="AC17" i="18"/>
  <c r="AB17" i="18"/>
  <c r="AA17" i="18"/>
  <c r="Z17" i="18"/>
  <c r="Y17" i="18"/>
  <c r="X17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AE16" i="18"/>
  <c r="AC16" i="18"/>
  <c r="AB16" i="18"/>
  <c r="AA16" i="18"/>
  <c r="Z16" i="18"/>
  <c r="Y16" i="18"/>
  <c r="X16" i="18"/>
  <c r="W16" i="18"/>
  <c r="V16" i="18"/>
  <c r="U16" i="18"/>
  <c r="T16" i="18"/>
  <c r="S16" i="18"/>
  <c r="R16" i="18"/>
  <c r="Q16" i="18"/>
  <c r="P16" i="18"/>
  <c r="O16" i="18"/>
  <c r="N16" i="18"/>
  <c r="M16" i="18"/>
  <c r="L16" i="18"/>
  <c r="K16" i="18"/>
  <c r="J16" i="18"/>
  <c r="I16" i="18"/>
  <c r="H16" i="18"/>
  <c r="G16" i="18"/>
  <c r="F16" i="18"/>
  <c r="AE15" i="18"/>
  <c r="AC15" i="18"/>
  <c r="AB15" i="18"/>
  <c r="AA15" i="18"/>
  <c r="Z15" i="18"/>
  <c r="Y15" i="18"/>
  <c r="X15" i="18"/>
  <c r="W15" i="18"/>
  <c r="V15" i="18"/>
  <c r="U15" i="18"/>
  <c r="T15" i="18"/>
  <c r="S15" i="18"/>
  <c r="R15" i="18"/>
  <c r="Q15" i="18"/>
  <c r="P15" i="18"/>
  <c r="O15" i="18"/>
  <c r="N15" i="18"/>
  <c r="M15" i="18"/>
  <c r="L15" i="18"/>
  <c r="K15" i="18"/>
  <c r="J15" i="18"/>
  <c r="I15" i="18"/>
  <c r="H15" i="18"/>
  <c r="G15" i="18"/>
  <c r="F15" i="18"/>
  <c r="AE14" i="18"/>
  <c r="AC14" i="18"/>
  <c r="AB14" i="18"/>
  <c r="AA14" i="18"/>
  <c r="Z14" i="18"/>
  <c r="Y14" i="18"/>
  <c r="X14" i="18"/>
  <c r="W14" i="18"/>
  <c r="V14" i="18"/>
  <c r="U14" i="18"/>
  <c r="T14" i="18"/>
  <c r="S14" i="18"/>
  <c r="R14" i="18"/>
  <c r="Q14" i="18"/>
  <c r="P14" i="18"/>
  <c r="O14" i="18"/>
  <c r="N14" i="18"/>
  <c r="M14" i="18"/>
  <c r="L14" i="18"/>
  <c r="K14" i="18"/>
  <c r="J14" i="18"/>
  <c r="I14" i="18"/>
  <c r="H14" i="18"/>
  <c r="G14" i="18"/>
  <c r="F14" i="18"/>
  <c r="AE13" i="18"/>
  <c r="AC13" i="18"/>
  <c r="AB13" i="18"/>
  <c r="AA13" i="18"/>
  <c r="Z13" i="18"/>
  <c r="Y13" i="18"/>
  <c r="X13" i="18"/>
  <c r="W13" i="18"/>
  <c r="V13" i="18"/>
  <c r="U13" i="18"/>
  <c r="T13" i="18"/>
  <c r="S13" i="18"/>
  <c r="R13" i="18"/>
  <c r="Q13" i="18"/>
  <c r="P13" i="18"/>
  <c r="O13" i="18"/>
  <c r="N13" i="18"/>
  <c r="M13" i="18"/>
  <c r="L13" i="18"/>
  <c r="K13" i="18"/>
  <c r="J13" i="18"/>
  <c r="I13" i="18"/>
  <c r="H13" i="18"/>
  <c r="G13" i="18"/>
  <c r="F13" i="18"/>
  <c r="AE12" i="18"/>
  <c r="AC12" i="18"/>
  <c r="AB12" i="18"/>
  <c r="AA12" i="18"/>
  <c r="Z12" i="18"/>
  <c r="Y12" i="18"/>
  <c r="X12" i="18"/>
  <c r="W12" i="18"/>
  <c r="V12" i="18"/>
  <c r="U12" i="18"/>
  <c r="T12" i="18"/>
  <c r="S12" i="18"/>
  <c r="R12" i="18"/>
  <c r="Q12" i="18"/>
  <c r="P12" i="18"/>
  <c r="O12" i="18"/>
  <c r="N12" i="18"/>
  <c r="M12" i="18"/>
  <c r="L12" i="18"/>
  <c r="K12" i="18"/>
  <c r="J12" i="18"/>
  <c r="I12" i="18"/>
  <c r="H12" i="18"/>
  <c r="G12" i="18"/>
  <c r="F12" i="18"/>
  <c r="AE11" i="18"/>
  <c r="AC11" i="18"/>
  <c r="AB11" i="18"/>
  <c r="AA11" i="18"/>
  <c r="Z11" i="18"/>
  <c r="Y11" i="18"/>
  <c r="X11" i="18"/>
  <c r="W11" i="18"/>
  <c r="V11" i="18"/>
  <c r="U11" i="18"/>
  <c r="T11" i="18"/>
  <c r="S11" i="18"/>
  <c r="R11" i="18"/>
  <c r="Q11" i="18"/>
  <c r="P11" i="18"/>
  <c r="O11" i="18"/>
  <c r="N11" i="18"/>
  <c r="M11" i="18"/>
  <c r="L11" i="18"/>
  <c r="K11" i="18"/>
  <c r="J11" i="18"/>
  <c r="I11" i="18"/>
  <c r="H11" i="18"/>
  <c r="G11" i="18"/>
  <c r="F11" i="18"/>
  <c r="AE10" i="18"/>
  <c r="AC10" i="18"/>
  <c r="AB10" i="18"/>
  <c r="AA10" i="18"/>
  <c r="Z10" i="18"/>
  <c r="Y10" i="18"/>
  <c r="X10" i="18"/>
  <c r="W10" i="18"/>
  <c r="V10" i="18"/>
  <c r="U10" i="18"/>
  <c r="T10" i="18"/>
  <c r="S10" i="18"/>
  <c r="R10" i="18"/>
  <c r="Q10" i="18"/>
  <c r="P10" i="18"/>
  <c r="O10" i="18"/>
  <c r="N10" i="18"/>
  <c r="M10" i="18"/>
  <c r="L10" i="18"/>
  <c r="K10" i="18"/>
  <c r="J10" i="18"/>
  <c r="I10" i="18"/>
  <c r="H10" i="18"/>
  <c r="G10" i="18"/>
  <c r="F10" i="18"/>
  <c r="AE9" i="18"/>
  <c r="AC9" i="18"/>
  <c r="AB9" i="18"/>
  <c r="AA9" i="18"/>
  <c r="Z9" i="18"/>
  <c r="Y9" i="18"/>
  <c r="X9" i="18"/>
  <c r="W9" i="18"/>
  <c r="V9" i="18"/>
  <c r="U9" i="18"/>
  <c r="T9" i="18"/>
  <c r="S9" i="18"/>
  <c r="R9" i="18"/>
  <c r="Q9" i="18"/>
  <c r="P9" i="18"/>
  <c r="O9" i="18"/>
  <c r="N9" i="18"/>
  <c r="M9" i="18"/>
  <c r="L9" i="18"/>
  <c r="K9" i="18"/>
  <c r="J9" i="18"/>
  <c r="I9" i="18"/>
  <c r="H9" i="18"/>
  <c r="G9" i="18"/>
  <c r="F9" i="18"/>
  <c r="AE8" i="18"/>
  <c r="AC8" i="18"/>
  <c r="AB8" i="18"/>
  <c r="AA8" i="18"/>
  <c r="Z8" i="18"/>
  <c r="Y8" i="18"/>
  <c r="X8" i="18"/>
  <c r="W8" i="18"/>
  <c r="V8" i="18"/>
  <c r="U8" i="18"/>
  <c r="T8" i="18"/>
  <c r="S8" i="18"/>
  <c r="R8" i="18"/>
  <c r="Q8" i="18"/>
  <c r="P8" i="18"/>
  <c r="O8" i="18"/>
  <c r="N8" i="18"/>
  <c r="M8" i="18"/>
  <c r="L8" i="18"/>
  <c r="K8" i="18"/>
  <c r="J8" i="18"/>
  <c r="I8" i="18"/>
  <c r="H8" i="18"/>
  <c r="G8" i="18"/>
  <c r="F8" i="18"/>
  <c r="AE7" i="18"/>
  <c r="AC7" i="18"/>
  <c r="AB7" i="18"/>
  <c r="AA7" i="18"/>
  <c r="Z7" i="18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AE6" i="18"/>
  <c r="AC6" i="18"/>
  <c r="AB6" i="18"/>
  <c r="AA6" i="18"/>
  <c r="Z6" i="18"/>
  <c r="Y6" i="18"/>
  <c r="X6" i="18"/>
  <c r="W6" i="18"/>
  <c r="V6" i="18"/>
  <c r="U6" i="18"/>
  <c r="T6" i="18"/>
  <c r="S6" i="18"/>
  <c r="R6" i="18"/>
  <c r="Q6" i="18"/>
  <c r="P6" i="18"/>
  <c r="O6" i="18"/>
  <c r="N6" i="18"/>
  <c r="M6" i="18"/>
  <c r="L6" i="18"/>
  <c r="K6" i="18"/>
  <c r="J6" i="18"/>
  <c r="I6" i="18"/>
  <c r="H6" i="18"/>
  <c r="G6" i="18"/>
  <c r="F6" i="18"/>
  <c r="AE5" i="18"/>
  <c r="AC5" i="18"/>
  <c r="AB5" i="18"/>
  <c r="AA5" i="18"/>
  <c r="Z5" i="18"/>
  <c r="Y5" i="18"/>
  <c r="X5" i="18"/>
  <c r="W5" i="18"/>
  <c r="V5" i="18"/>
  <c r="U5" i="18"/>
  <c r="T5" i="18"/>
  <c r="S5" i="18"/>
  <c r="R5" i="18"/>
  <c r="Q5" i="18"/>
  <c r="P5" i="18"/>
  <c r="O5" i="18"/>
  <c r="N5" i="18"/>
  <c r="M5" i="18"/>
  <c r="L5" i="18"/>
  <c r="K5" i="18"/>
  <c r="J5" i="18"/>
  <c r="I5" i="18"/>
  <c r="H5" i="18"/>
  <c r="G5" i="18"/>
  <c r="F5" i="18"/>
  <c r="AE4" i="18"/>
  <c r="AC4" i="18"/>
  <c r="AB4" i="18"/>
  <c r="AA4" i="18"/>
  <c r="Z4" i="18"/>
  <c r="Y4" i="18"/>
  <c r="X4" i="18"/>
  <c r="W4" i="18"/>
  <c r="V4" i="18"/>
  <c r="U4" i="18"/>
  <c r="T4" i="18"/>
  <c r="S4" i="18"/>
  <c r="R4" i="18"/>
  <c r="Q4" i="18"/>
  <c r="P4" i="18"/>
  <c r="O4" i="18"/>
  <c r="N4" i="18"/>
  <c r="M4" i="18"/>
  <c r="L4" i="18"/>
  <c r="K4" i="18"/>
  <c r="J4" i="18"/>
  <c r="I4" i="18"/>
  <c r="H4" i="18"/>
  <c r="G4" i="18"/>
  <c r="F4" i="18"/>
  <c r="AE3" i="18"/>
  <c r="AC3" i="18"/>
  <c r="AB3" i="18"/>
  <c r="AA3" i="18"/>
  <c r="Z3" i="18"/>
  <c r="Y3" i="18"/>
  <c r="X3" i="18"/>
  <c r="W3" i="18"/>
  <c r="V3" i="18"/>
  <c r="U3" i="18"/>
  <c r="T3" i="18"/>
  <c r="S3" i="18"/>
  <c r="R3" i="18"/>
  <c r="Q3" i="18"/>
  <c r="P3" i="18"/>
  <c r="O3" i="18"/>
  <c r="N3" i="18"/>
  <c r="M3" i="18"/>
  <c r="L3" i="18"/>
  <c r="K3" i="18"/>
  <c r="J3" i="18"/>
  <c r="I3" i="18"/>
  <c r="H3" i="18"/>
  <c r="G3" i="18"/>
  <c r="F3" i="18"/>
  <c r="AE2" i="18"/>
  <c r="AC2" i="18"/>
  <c r="AB2" i="18"/>
  <c r="AA2" i="18"/>
  <c r="Z2" i="18"/>
  <c r="Y2" i="18"/>
  <c r="X2" i="18"/>
  <c r="W2" i="18"/>
  <c r="V2" i="18"/>
  <c r="U2" i="18"/>
  <c r="T2" i="18"/>
  <c r="S2" i="18"/>
  <c r="R2" i="18"/>
  <c r="Q2" i="18"/>
  <c r="P2" i="18"/>
  <c r="O2" i="18"/>
  <c r="N2" i="18"/>
  <c r="M2" i="18"/>
  <c r="L2" i="18"/>
  <c r="K2" i="18"/>
  <c r="J2" i="18"/>
  <c r="I2" i="18"/>
  <c r="H2" i="18"/>
  <c r="G2" i="18"/>
  <c r="AE1" i="18"/>
  <c r="AC1" i="18"/>
  <c r="AB1" i="18"/>
  <c r="AA1" i="18"/>
  <c r="Z1" i="18"/>
  <c r="Y1" i="18"/>
  <c r="X1" i="18"/>
  <c r="W1" i="18"/>
  <c r="V1" i="18"/>
  <c r="U1" i="18"/>
  <c r="T1" i="18"/>
  <c r="S1" i="18"/>
  <c r="R1" i="18"/>
  <c r="Q1" i="18"/>
  <c r="P1" i="18"/>
  <c r="O1" i="18"/>
  <c r="N1" i="18"/>
  <c r="M1" i="18"/>
  <c r="L1" i="18"/>
  <c r="K1" i="18"/>
  <c r="J1" i="18"/>
  <c r="I1" i="18"/>
  <c r="H1" i="18"/>
  <c r="G1" i="18"/>
  <c r="F1" i="18"/>
  <c r="AE365" i="17"/>
  <c r="AC365" i="17"/>
  <c r="AB365" i="17"/>
  <c r="AA365" i="17"/>
  <c r="Z365" i="17"/>
  <c r="Y365" i="17"/>
  <c r="X365" i="17"/>
  <c r="W365" i="17"/>
  <c r="V365" i="17"/>
  <c r="U365" i="17"/>
  <c r="T365" i="17"/>
  <c r="S365" i="17"/>
  <c r="R365" i="17"/>
  <c r="Q365" i="17"/>
  <c r="P365" i="17"/>
  <c r="O365" i="17"/>
  <c r="N365" i="17"/>
  <c r="M365" i="17"/>
  <c r="L365" i="17"/>
  <c r="K365" i="17"/>
  <c r="J365" i="17"/>
  <c r="I365" i="17"/>
  <c r="H365" i="17"/>
  <c r="G365" i="17"/>
  <c r="F365" i="17"/>
  <c r="AE364" i="17"/>
  <c r="AC364" i="17"/>
  <c r="AB364" i="17"/>
  <c r="AA364" i="17"/>
  <c r="Z364" i="17"/>
  <c r="Y364" i="17"/>
  <c r="X364" i="17"/>
  <c r="W364" i="17"/>
  <c r="V364" i="17"/>
  <c r="U364" i="17"/>
  <c r="T364" i="17"/>
  <c r="S364" i="17"/>
  <c r="R364" i="17"/>
  <c r="Q364" i="17"/>
  <c r="P364" i="17"/>
  <c r="O364" i="17"/>
  <c r="N364" i="17"/>
  <c r="M364" i="17"/>
  <c r="L364" i="17"/>
  <c r="K364" i="17"/>
  <c r="J364" i="17"/>
  <c r="I364" i="17"/>
  <c r="H364" i="17"/>
  <c r="G364" i="17"/>
  <c r="F364" i="17"/>
  <c r="AE363" i="17"/>
  <c r="AC363" i="17"/>
  <c r="AB363" i="17"/>
  <c r="AA363" i="17"/>
  <c r="Z363" i="17"/>
  <c r="Y363" i="17"/>
  <c r="X363" i="17"/>
  <c r="W363" i="17"/>
  <c r="V363" i="17"/>
  <c r="U363" i="17"/>
  <c r="T363" i="17"/>
  <c r="S363" i="17"/>
  <c r="R363" i="17"/>
  <c r="Q363" i="17"/>
  <c r="P363" i="17"/>
  <c r="O363" i="17"/>
  <c r="N363" i="17"/>
  <c r="M363" i="17"/>
  <c r="L363" i="17"/>
  <c r="K363" i="17"/>
  <c r="J363" i="17"/>
  <c r="I363" i="17"/>
  <c r="H363" i="17"/>
  <c r="G363" i="17"/>
  <c r="F363" i="17"/>
  <c r="AE362" i="17"/>
  <c r="AC362" i="17"/>
  <c r="AB362" i="17"/>
  <c r="AA362" i="17"/>
  <c r="Z362" i="17"/>
  <c r="Y362" i="17"/>
  <c r="X362" i="17"/>
  <c r="W362" i="17"/>
  <c r="V362" i="17"/>
  <c r="U362" i="17"/>
  <c r="T362" i="17"/>
  <c r="S362" i="17"/>
  <c r="R362" i="17"/>
  <c r="Q362" i="17"/>
  <c r="P362" i="17"/>
  <c r="O362" i="17"/>
  <c r="N362" i="17"/>
  <c r="M362" i="17"/>
  <c r="L362" i="17"/>
  <c r="K362" i="17"/>
  <c r="J362" i="17"/>
  <c r="I362" i="17"/>
  <c r="H362" i="17"/>
  <c r="G362" i="17"/>
  <c r="F362" i="17"/>
  <c r="AE361" i="17"/>
  <c r="AC361" i="17"/>
  <c r="AB361" i="17"/>
  <c r="AA361" i="17"/>
  <c r="Z361" i="17"/>
  <c r="Y361" i="17"/>
  <c r="X361" i="17"/>
  <c r="W361" i="17"/>
  <c r="V361" i="17"/>
  <c r="U361" i="17"/>
  <c r="T361" i="17"/>
  <c r="S361" i="17"/>
  <c r="R361" i="17"/>
  <c r="Q361" i="17"/>
  <c r="P361" i="17"/>
  <c r="O361" i="17"/>
  <c r="N361" i="17"/>
  <c r="M361" i="17"/>
  <c r="L361" i="17"/>
  <c r="K361" i="17"/>
  <c r="J361" i="17"/>
  <c r="I361" i="17"/>
  <c r="H361" i="17"/>
  <c r="G361" i="17"/>
  <c r="F361" i="17"/>
  <c r="AE360" i="17"/>
  <c r="AC360" i="17"/>
  <c r="AB360" i="17"/>
  <c r="AA360" i="17"/>
  <c r="Z360" i="17"/>
  <c r="Y360" i="17"/>
  <c r="X360" i="17"/>
  <c r="W360" i="17"/>
  <c r="V360" i="17"/>
  <c r="U360" i="17"/>
  <c r="T360" i="17"/>
  <c r="S360" i="17"/>
  <c r="R360" i="17"/>
  <c r="Q360" i="17"/>
  <c r="P360" i="17"/>
  <c r="O360" i="17"/>
  <c r="N360" i="17"/>
  <c r="M360" i="17"/>
  <c r="L360" i="17"/>
  <c r="K360" i="17"/>
  <c r="J360" i="17"/>
  <c r="I360" i="17"/>
  <c r="H360" i="17"/>
  <c r="G360" i="17"/>
  <c r="F360" i="17"/>
  <c r="AE359" i="17"/>
  <c r="AC359" i="17"/>
  <c r="AB359" i="17"/>
  <c r="AA359" i="17"/>
  <c r="Z359" i="17"/>
  <c r="Y359" i="17"/>
  <c r="X359" i="17"/>
  <c r="W359" i="17"/>
  <c r="V359" i="17"/>
  <c r="U359" i="17"/>
  <c r="T359" i="17"/>
  <c r="S359" i="17"/>
  <c r="R359" i="17"/>
  <c r="Q359" i="17"/>
  <c r="P359" i="17"/>
  <c r="O359" i="17"/>
  <c r="N359" i="17"/>
  <c r="M359" i="17"/>
  <c r="L359" i="17"/>
  <c r="K359" i="17"/>
  <c r="J359" i="17"/>
  <c r="I359" i="17"/>
  <c r="H359" i="17"/>
  <c r="G359" i="17"/>
  <c r="F359" i="17"/>
  <c r="AE358" i="17"/>
  <c r="AC358" i="17"/>
  <c r="AB358" i="17"/>
  <c r="AA358" i="17"/>
  <c r="Z358" i="17"/>
  <c r="Y358" i="17"/>
  <c r="X358" i="17"/>
  <c r="W358" i="17"/>
  <c r="V358" i="17"/>
  <c r="U358" i="17"/>
  <c r="T358" i="17"/>
  <c r="S358" i="17"/>
  <c r="R358" i="17"/>
  <c r="Q358" i="17"/>
  <c r="P358" i="17"/>
  <c r="O358" i="17"/>
  <c r="N358" i="17"/>
  <c r="M358" i="17"/>
  <c r="L358" i="17"/>
  <c r="K358" i="17"/>
  <c r="J358" i="17"/>
  <c r="I358" i="17"/>
  <c r="H358" i="17"/>
  <c r="G358" i="17"/>
  <c r="F358" i="17"/>
  <c r="AE357" i="17"/>
  <c r="AC357" i="17"/>
  <c r="AB357" i="17"/>
  <c r="AA357" i="17"/>
  <c r="Z357" i="17"/>
  <c r="Y357" i="17"/>
  <c r="X357" i="17"/>
  <c r="W357" i="17"/>
  <c r="V357" i="17"/>
  <c r="U357" i="17"/>
  <c r="T357" i="17"/>
  <c r="S357" i="17"/>
  <c r="R357" i="17"/>
  <c r="Q357" i="17"/>
  <c r="P357" i="17"/>
  <c r="O357" i="17"/>
  <c r="N357" i="17"/>
  <c r="M357" i="17"/>
  <c r="L357" i="17"/>
  <c r="K357" i="17"/>
  <c r="J357" i="17"/>
  <c r="I357" i="17"/>
  <c r="H357" i="17"/>
  <c r="G357" i="17"/>
  <c r="F357" i="17"/>
  <c r="AE356" i="17"/>
  <c r="AC356" i="17"/>
  <c r="AB356" i="17"/>
  <c r="AA356" i="17"/>
  <c r="Z356" i="17"/>
  <c r="Y356" i="17"/>
  <c r="X356" i="17"/>
  <c r="W356" i="17"/>
  <c r="V356" i="17"/>
  <c r="U356" i="17"/>
  <c r="T356" i="17"/>
  <c r="S356" i="17"/>
  <c r="R356" i="17"/>
  <c r="Q356" i="17"/>
  <c r="P356" i="17"/>
  <c r="O356" i="17"/>
  <c r="N356" i="17"/>
  <c r="M356" i="17"/>
  <c r="L356" i="17"/>
  <c r="K356" i="17"/>
  <c r="J356" i="17"/>
  <c r="I356" i="17"/>
  <c r="H356" i="17"/>
  <c r="G356" i="17"/>
  <c r="F356" i="17"/>
  <c r="AE355" i="17"/>
  <c r="AC355" i="17"/>
  <c r="AB355" i="17"/>
  <c r="AA355" i="17"/>
  <c r="Z355" i="17"/>
  <c r="Y355" i="17"/>
  <c r="X355" i="17"/>
  <c r="W355" i="17"/>
  <c r="V355" i="17"/>
  <c r="U355" i="17"/>
  <c r="T355" i="17"/>
  <c r="S355" i="17"/>
  <c r="R355" i="17"/>
  <c r="Q355" i="17"/>
  <c r="P355" i="17"/>
  <c r="O355" i="17"/>
  <c r="N355" i="17"/>
  <c r="M355" i="17"/>
  <c r="L355" i="17"/>
  <c r="K355" i="17"/>
  <c r="J355" i="17"/>
  <c r="I355" i="17"/>
  <c r="H355" i="17"/>
  <c r="G355" i="17"/>
  <c r="F355" i="17"/>
  <c r="AE354" i="17"/>
  <c r="AC354" i="17"/>
  <c r="AB354" i="17"/>
  <c r="AA354" i="17"/>
  <c r="Z354" i="17"/>
  <c r="Y354" i="17"/>
  <c r="X354" i="17"/>
  <c r="W354" i="17"/>
  <c r="V354" i="17"/>
  <c r="U354" i="17"/>
  <c r="T354" i="17"/>
  <c r="S354" i="17"/>
  <c r="R354" i="17"/>
  <c r="Q354" i="17"/>
  <c r="P354" i="17"/>
  <c r="O354" i="17"/>
  <c r="N354" i="17"/>
  <c r="M354" i="17"/>
  <c r="L354" i="17"/>
  <c r="K354" i="17"/>
  <c r="J354" i="17"/>
  <c r="I354" i="17"/>
  <c r="H354" i="17"/>
  <c r="G354" i="17"/>
  <c r="F354" i="17"/>
  <c r="AE353" i="17"/>
  <c r="AC353" i="17"/>
  <c r="AB353" i="17"/>
  <c r="AA353" i="17"/>
  <c r="Z353" i="17"/>
  <c r="Y353" i="17"/>
  <c r="X353" i="17"/>
  <c r="W353" i="17"/>
  <c r="V353" i="17"/>
  <c r="U353" i="17"/>
  <c r="T353" i="17"/>
  <c r="S353" i="17"/>
  <c r="R353" i="17"/>
  <c r="Q353" i="17"/>
  <c r="P353" i="17"/>
  <c r="O353" i="17"/>
  <c r="N353" i="17"/>
  <c r="M353" i="17"/>
  <c r="L353" i="17"/>
  <c r="K353" i="17"/>
  <c r="J353" i="17"/>
  <c r="I353" i="17"/>
  <c r="H353" i="17"/>
  <c r="G353" i="17"/>
  <c r="F353" i="17"/>
  <c r="AE352" i="17"/>
  <c r="AC352" i="17"/>
  <c r="AB352" i="17"/>
  <c r="AA352" i="17"/>
  <c r="Z352" i="17"/>
  <c r="Y352" i="17"/>
  <c r="X352" i="17"/>
  <c r="W352" i="17"/>
  <c r="V352" i="17"/>
  <c r="U352" i="17"/>
  <c r="T352" i="17"/>
  <c r="S352" i="17"/>
  <c r="R352" i="17"/>
  <c r="Q352" i="17"/>
  <c r="P352" i="17"/>
  <c r="O352" i="17"/>
  <c r="N352" i="17"/>
  <c r="M352" i="17"/>
  <c r="L352" i="17"/>
  <c r="K352" i="17"/>
  <c r="J352" i="17"/>
  <c r="I352" i="17"/>
  <c r="H352" i="17"/>
  <c r="G352" i="17"/>
  <c r="F352" i="17"/>
  <c r="AE351" i="17"/>
  <c r="AC351" i="17"/>
  <c r="AB351" i="17"/>
  <c r="AA351" i="17"/>
  <c r="Z351" i="17"/>
  <c r="Y351" i="17"/>
  <c r="X351" i="17"/>
  <c r="W351" i="17"/>
  <c r="V351" i="17"/>
  <c r="U351" i="17"/>
  <c r="T351" i="17"/>
  <c r="S351" i="17"/>
  <c r="R351" i="17"/>
  <c r="Q351" i="17"/>
  <c r="P351" i="17"/>
  <c r="O351" i="17"/>
  <c r="N351" i="17"/>
  <c r="M351" i="17"/>
  <c r="L351" i="17"/>
  <c r="K351" i="17"/>
  <c r="J351" i="17"/>
  <c r="I351" i="17"/>
  <c r="H351" i="17"/>
  <c r="G351" i="17"/>
  <c r="F351" i="17"/>
  <c r="AE350" i="17"/>
  <c r="AC350" i="17"/>
  <c r="AB350" i="17"/>
  <c r="AA350" i="17"/>
  <c r="Z350" i="17"/>
  <c r="Y350" i="17"/>
  <c r="X350" i="17"/>
  <c r="W350" i="17"/>
  <c r="V350" i="17"/>
  <c r="U350" i="17"/>
  <c r="T350" i="17"/>
  <c r="S350" i="17"/>
  <c r="R350" i="17"/>
  <c r="Q350" i="17"/>
  <c r="P350" i="17"/>
  <c r="O350" i="17"/>
  <c r="N350" i="17"/>
  <c r="M350" i="17"/>
  <c r="L350" i="17"/>
  <c r="K350" i="17"/>
  <c r="J350" i="17"/>
  <c r="I350" i="17"/>
  <c r="H350" i="17"/>
  <c r="G350" i="17"/>
  <c r="F350" i="17"/>
  <c r="AE349" i="17"/>
  <c r="AC349" i="17"/>
  <c r="AB349" i="17"/>
  <c r="AA349" i="17"/>
  <c r="Z349" i="17"/>
  <c r="Y349" i="17"/>
  <c r="X349" i="17"/>
  <c r="W349" i="17"/>
  <c r="V349" i="17"/>
  <c r="U349" i="17"/>
  <c r="T349" i="17"/>
  <c r="S349" i="17"/>
  <c r="R349" i="17"/>
  <c r="Q349" i="17"/>
  <c r="P349" i="17"/>
  <c r="O349" i="17"/>
  <c r="N349" i="17"/>
  <c r="M349" i="17"/>
  <c r="L349" i="17"/>
  <c r="K349" i="17"/>
  <c r="J349" i="17"/>
  <c r="I349" i="17"/>
  <c r="H349" i="17"/>
  <c r="G349" i="17"/>
  <c r="F349" i="17"/>
  <c r="AE348" i="17"/>
  <c r="AC348" i="17"/>
  <c r="AB348" i="17"/>
  <c r="AA348" i="17"/>
  <c r="Z348" i="17"/>
  <c r="Y348" i="17"/>
  <c r="X348" i="17"/>
  <c r="W348" i="17"/>
  <c r="V348" i="17"/>
  <c r="U348" i="17"/>
  <c r="T348" i="17"/>
  <c r="S348" i="17"/>
  <c r="R348" i="17"/>
  <c r="Q348" i="17"/>
  <c r="P348" i="17"/>
  <c r="O348" i="17"/>
  <c r="N348" i="17"/>
  <c r="M348" i="17"/>
  <c r="L348" i="17"/>
  <c r="K348" i="17"/>
  <c r="J348" i="17"/>
  <c r="I348" i="17"/>
  <c r="H348" i="17"/>
  <c r="G348" i="17"/>
  <c r="F348" i="17"/>
  <c r="AE347" i="17"/>
  <c r="AC347" i="17"/>
  <c r="AB347" i="17"/>
  <c r="AA347" i="17"/>
  <c r="Z347" i="17"/>
  <c r="Y347" i="17"/>
  <c r="X347" i="17"/>
  <c r="W347" i="17"/>
  <c r="V347" i="17"/>
  <c r="U347" i="17"/>
  <c r="T347" i="17"/>
  <c r="S347" i="17"/>
  <c r="R347" i="17"/>
  <c r="Q347" i="17"/>
  <c r="P347" i="17"/>
  <c r="O347" i="17"/>
  <c r="N347" i="17"/>
  <c r="M347" i="17"/>
  <c r="L347" i="17"/>
  <c r="K347" i="17"/>
  <c r="J347" i="17"/>
  <c r="I347" i="17"/>
  <c r="H347" i="17"/>
  <c r="G347" i="17"/>
  <c r="F347" i="17"/>
  <c r="AE346" i="17"/>
  <c r="AC346" i="17"/>
  <c r="AB346" i="17"/>
  <c r="AA346" i="17"/>
  <c r="Z346" i="17"/>
  <c r="Y346" i="17"/>
  <c r="X346" i="17"/>
  <c r="W346" i="17"/>
  <c r="V346" i="17"/>
  <c r="U346" i="17"/>
  <c r="T346" i="17"/>
  <c r="S346" i="17"/>
  <c r="R346" i="17"/>
  <c r="Q346" i="17"/>
  <c r="P346" i="17"/>
  <c r="O346" i="17"/>
  <c r="N346" i="17"/>
  <c r="M346" i="17"/>
  <c r="L346" i="17"/>
  <c r="K346" i="17"/>
  <c r="J346" i="17"/>
  <c r="I346" i="17"/>
  <c r="H346" i="17"/>
  <c r="G346" i="17"/>
  <c r="F346" i="17"/>
  <c r="AE345" i="17"/>
  <c r="AC345" i="17"/>
  <c r="AB345" i="17"/>
  <c r="AA345" i="17"/>
  <c r="Z345" i="17"/>
  <c r="Y345" i="17"/>
  <c r="X345" i="17"/>
  <c r="W345" i="17"/>
  <c r="V345" i="17"/>
  <c r="U345" i="17"/>
  <c r="T345" i="17"/>
  <c r="S345" i="17"/>
  <c r="R345" i="17"/>
  <c r="Q345" i="17"/>
  <c r="P345" i="17"/>
  <c r="O345" i="17"/>
  <c r="N345" i="17"/>
  <c r="M345" i="17"/>
  <c r="L345" i="17"/>
  <c r="K345" i="17"/>
  <c r="J345" i="17"/>
  <c r="I345" i="17"/>
  <c r="H345" i="17"/>
  <c r="G345" i="17"/>
  <c r="F345" i="17"/>
  <c r="AE344" i="17"/>
  <c r="AC344" i="17"/>
  <c r="AB344" i="17"/>
  <c r="AA344" i="17"/>
  <c r="Z344" i="17"/>
  <c r="Y344" i="17"/>
  <c r="X344" i="17"/>
  <c r="W344" i="17"/>
  <c r="V344" i="17"/>
  <c r="U344" i="17"/>
  <c r="T344" i="17"/>
  <c r="S344" i="17"/>
  <c r="R344" i="17"/>
  <c r="Q344" i="17"/>
  <c r="P344" i="17"/>
  <c r="O344" i="17"/>
  <c r="N344" i="17"/>
  <c r="M344" i="17"/>
  <c r="L344" i="17"/>
  <c r="K344" i="17"/>
  <c r="J344" i="17"/>
  <c r="I344" i="17"/>
  <c r="H344" i="17"/>
  <c r="G344" i="17"/>
  <c r="F344" i="17"/>
  <c r="AE343" i="17"/>
  <c r="AC343" i="17"/>
  <c r="AB343" i="17"/>
  <c r="AA343" i="17"/>
  <c r="Z343" i="17"/>
  <c r="Y343" i="17"/>
  <c r="X343" i="17"/>
  <c r="W343" i="17"/>
  <c r="V343" i="17"/>
  <c r="U343" i="17"/>
  <c r="T343" i="17"/>
  <c r="S343" i="17"/>
  <c r="R343" i="17"/>
  <c r="Q343" i="17"/>
  <c r="P343" i="17"/>
  <c r="O343" i="17"/>
  <c r="N343" i="17"/>
  <c r="M343" i="17"/>
  <c r="L343" i="17"/>
  <c r="K343" i="17"/>
  <c r="J343" i="17"/>
  <c r="I343" i="17"/>
  <c r="H343" i="17"/>
  <c r="G343" i="17"/>
  <c r="F343" i="17"/>
  <c r="AE342" i="17"/>
  <c r="AC342" i="17"/>
  <c r="AB342" i="17"/>
  <c r="AA342" i="17"/>
  <c r="Z342" i="17"/>
  <c r="Y342" i="17"/>
  <c r="X342" i="17"/>
  <c r="W342" i="17"/>
  <c r="V342" i="17"/>
  <c r="U342" i="17"/>
  <c r="T342" i="17"/>
  <c r="S342" i="17"/>
  <c r="R342" i="17"/>
  <c r="Q342" i="17"/>
  <c r="P342" i="17"/>
  <c r="O342" i="17"/>
  <c r="N342" i="17"/>
  <c r="M342" i="17"/>
  <c r="L342" i="17"/>
  <c r="K342" i="17"/>
  <c r="J342" i="17"/>
  <c r="I342" i="17"/>
  <c r="H342" i="17"/>
  <c r="G342" i="17"/>
  <c r="F342" i="17"/>
  <c r="AE341" i="17"/>
  <c r="AC341" i="17"/>
  <c r="AB341" i="17"/>
  <c r="AA341" i="17"/>
  <c r="Z341" i="17"/>
  <c r="Y341" i="17"/>
  <c r="X341" i="17"/>
  <c r="W341" i="17"/>
  <c r="V341" i="17"/>
  <c r="U341" i="17"/>
  <c r="T341" i="17"/>
  <c r="S341" i="17"/>
  <c r="R341" i="17"/>
  <c r="Q341" i="17"/>
  <c r="P341" i="17"/>
  <c r="O341" i="17"/>
  <c r="N341" i="17"/>
  <c r="M341" i="17"/>
  <c r="L341" i="17"/>
  <c r="K341" i="17"/>
  <c r="J341" i="17"/>
  <c r="I341" i="17"/>
  <c r="H341" i="17"/>
  <c r="G341" i="17"/>
  <c r="F341" i="17"/>
  <c r="AE340" i="17"/>
  <c r="AC340" i="17"/>
  <c r="AB340" i="17"/>
  <c r="AA340" i="17"/>
  <c r="Z340" i="17"/>
  <c r="Y340" i="17"/>
  <c r="X340" i="17"/>
  <c r="W340" i="17"/>
  <c r="V340" i="17"/>
  <c r="U340" i="17"/>
  <c r="T340" i="17"/>
  <c r="S340" i="17"/>
  <c r="R340" i="17"/>
  <c r="Q340" i="17"/>
  <c r="P340" i="17"/>
  <c r="O340" i="17"/>
  <c r="N340" i="17"/>
  <c r="M340" i="17"/>
  <c r="L340" i="17"/>
  <c r="K340" i="17"/>
  <c r="J340" i="17"/>
  <c r="I340" i="17"/>
  <c r="H340" i="17"/>
  <c r="G340" i="17"/>
  <c r="F340" i="17"/>
  <c r="AE339" i="17"/>
  <c r="AC339" i="17"/>
  <c r="AB339" i="17"/>
  <c r="AA339" i="17"/>
  <c r="Z339" i="17"/>
  <c r="Y339" i="17"/>
  <c r="X339" i="17"/>
  <c r="W339" i="17"/>
  <c r="V339" i="17"/>
  <c r="U339" i="17"/>
  <c r="T339" i="17"/>
  <c r="S339" i="17"/>
  <c r="R339" i="17"/>
  <c r="Q339" i="17"/>
  <c r="P339" i="17"/>
  <c r="O339" i="17"/>
  <c r="N339" i="17"/>
  <c r="M339" i="17"/>
  <c r="L339" i="17"/>
  <c r="K339" i="17"/>
  <c r="J339" i="17"/>
  <c r="I339" i="17"/>
  <c r="H339" i="17"/>
  <c r="G339" i="17"/>
  <c r="F339" i="17"/>
  <c r="AE338" i="17"/>
  <c r="AC338" i="17"/>
  <c r="AB338" i="17"/>
  <c r="AA338" i="17"/>
  <c r="Z338" i="17"/>
  <c r="Y338" i="17"/>
  <c r="X338" i="17"/>
  <c r="W338" i="17"/>
  <c r="V338" i="17"/>
  <c r="U338" i="17"/>
  <c r="T338" i="17"/>
  <c r="S338" i="17"/>
  <c r="R338" i="17"/>
  <c r="Q338" i="17"/>
  <c r="P338" i="17"/>
  <c r="O338" i="17"/>
  <c r="N338" i="17"/>
  <c r="M338" i="17"/>
  <c r="L338" i="17"/>
  <c r="K338" i="17"/>
  <c r="J338" i="17"/>
  <c r="I338" i="17"/>
  <c r="H338" i="17"/>
  <c r="G338" i="17"/>
  <c r="F338" i="17"/>
  <c r="AE337" i="17"/>
  <c r="AC337" i="17"/>
  <c r="AB337" i="17"/>
  <c r="AA337" i="17"/>
  <c r="Z337" i="17"/>
  <c r="Y337" i="17"/>
  <c r="X337" i="17"/>
  <c r="W337" i="17"/>
  <c r="V337" i="17"/>
  <c r="U337" i="17"/>
  <c r="T337" i="17"/>
  <c r="S337" i="17"/>
  <c r="R337" i="17"/>
  <c r="Q337" i="17"/>
  <c r="P337" i="17"/>
  <c r="O337" i="17"/>
  <c r="N337" i="17"/>
  <c r="M337" i="17"/>
  <c r="L337" i="17"/>
  <c r="K337" i="17"/>
  <c r="J337" i="17"/>
  <c r="I337" i="17"/>
  <c r="H337" i="17"/>
  <c r="G337" i="17"/>
  <c r="F337" i="17"/>
  <c r="AE336" i="17"/>
  <c r="AC336" i="17"/>
  <c r="AB336" i="17"/>
  <c r="AA336" i="17"/>
  <c r="Z336" i="17"/>
  <c r="Y336" i="17"/>
  <c r="X336" i="17"/>
  <c r="W336" i="17"/>
  <c r="V336" i="17"/>
  <c r="U336" i="17"/>
  <c r="T336" i="17"/>
  <c r="S336" i="17"/>
  <c r="R336" i="17"/>
  <c r="Q336" i="17"/>
  <c r="P336" i="17"/>
  <c r="O336" i="17"/>
  <c r="N336" i="17"/>
  <c r="M336" i="17"/>
  <c r="L336" i="17"/>
  <c r="K336" i="17"/>
  <c r="J336" i="17"/>
  <c r="I336" i="17"/>
  <c r="H336" i="17"/>
  <c r="G336" i="17"/>
  <c r="F336" i="17"/>
  <c r="AE335" i="17"/>
  <c r="AC335" i="17"/>
  <c r="AB335" i="17"/>
  <c r="AA335" i="17"/>
  <c r="Z335" i="17"/>
  <c r="Y335" i="17"/>
  <c r="X335" i="17"/>
  <c r="W335" i="17"/>
  <c r="V335" i="17"/>
  <c r="U335" i="17"/>
  <c r="T335" i="17"/>
  <c r="S335" i="17"/>
  <c r="R335" i="17"/>
  <c r="Q335" i="17"/>
  <c r="P335" i="17"/>
  <c r="O335" i="17"/>
  <c r="N335" i="17"/>
  <c r="M335" i="17"/>
  <c r="L335" i="17"/>
  <c r="K335" i="17"/>
  <c r="J335" i="17"/>
  <c r="I335" i="17"/>
  <c r="H335" i="17"/>
  <c r="G335" i="17"/>
  <c r="F335" i="17"/>
  <c r="AE334" i="17"/>
  <c r="AC334" i="17"/>
  <c r="AB334" i="17"/>
  <c r="AA334" i="17"/>
  <c r="Z334" i="17"/>
  <c r="Y334" i="17"/>
  <c r="X334" i="17"/>
  <c r="W334" i="17"/>
  <c r="V334" i="17"/>
  <c r="U334" i="17"/>
  <c r="T334" i="17"/>
  <c r="S334" i="17"/>
  <c r="R334" i="17"/>
  <c r="Q334" i="17"/>
  <c r="P334" i="17"/>
  <c r="O334" i="17"/>
  <c r="N334" i="17"/>
  <c r="M334" i="17"/>
  <c r="L334" i="17"/>
  <c r="K334" i="17"/>
  <c r="J334" i="17"/>
  <c r="I334" i="17"/>
  <c r="H334" i="17"/>
  <c r="G334" i="17"/>
  <c r="F334" i="17"/>
  <c r="AE333" i="17"/>
  <c r="AC333" i="17"/>
  <c r="AB333" i="17"/>
  <c r="AA333" i="17"/>
  <c r="Z333" i="17"/>
  <c r="Y333" i="17"/>
  <c r="X333" i="17"/>
  <c r="W333" i="17"/>
  <c r="V333" i="17"/>
  <c r="U333" i="17"/>
  <c r="T333" i="17"/>
  <c r="S333" i="17"/>
  <c r="R333" i="17"/>
  <c r="Q333" i="17"/>
  <c r="P333" i="17"/>
  <c r="O333" i="17"/>
  <c r="N333" i="17"/>
  <c r="M333" i="17"/>
  <c r="L333" i="17"/>
  <c r="K333" i="17"/>
  <c r="J333" i="17"/>
  <c r="I333" i="17"/>
  <c r="H333" i="17"/>
  <c r="G333" i="17"/>
  <c r="F333" i="17"/>
  <c r="AE332" i="17"/>
  <c r="AC332" i="17"/>
  <c r="AB332" i="17"/>
  <c r="AA332" i="17"/>
  <c r="Z332" i="17"/>
  <c r="Y332" i="17"/>
  <c r="X332" i="17"/>
  <c r="W332" i="17"/>
  <c r="V332" i="17"/>
  <c r="U332" i="17"/>
  <c r="T332" i="17"/>
  <c r="S332" i="17"/>
  <c r="R332" i="17"/>
  <c r="Q332" i="17"/>
  <c r="P332" i="17"/>
  <c r="O332" i="17"/>
  <c r="N332" i="17"/>
  <c r="M332" i="17"/>
  <c r="L332" i="17"/>
  <c r="K332" i="17"/>
  <c r="J332" i="17"/>
  <c r="I332" i="17"/>
  <c r="H332" i="17"/>
  <c r="G332" i="17"/>
  <c r="F332" i="17"/>
  <c r="AE331" i="17"/>
  <c r="AC331" i="17"/>
  <c r="AB331" i="17"/>
  <c r="AA331" i="17"/>
  <c r="Z331" i="17"/>
  <c r="Y331" i="17"/>
  <c r="X331" i="17"/>
  <c r="W331" i="17"/>
  <c r="V331" i="17"/>
  <c r="U331" i="17"/>
  <c r="T331" i="17"/>
  <c r="S331" i="17"/>
  <c r="R331" i="17"/>
  <c r="Q331" i="17"/>
  <c r="P331" i="17"/>
  <c r="O331" i="17"/>
  <c r="N331" i="17"/>
  <c r="M331" i="17"/>
  <c r="L331" i="17"/>
  <c r="K331" i="17"/>
  <c r="J331" i="17"/>
  <c r="I331" i="17"/>
  <c r="H331" i="17"/>
  <c r="G331" i="17"/>
  <c r="F331" i="17"/>
  <c r="AE330" i="17"/>
  <c r="AC330" i="17"/>
  <c r="AB330" i="17"/>
  <c r="AA330" i="17"/>
  <c r="Z330" i="17"/>
  <c r="Y330" i="17"/>
  <c r="X330" i="17"/>
  <c r="W330" i="17"/>
  <c r="V330" i="17"/>
  <c r="U330" i="17"/>
  <c r="T330" i="17"/>
  <c r="S330" i="17"/>
  <c r="R330" i="17"/>
  <c r="Q330" i="17"/>
  <c r="P330" i="17"/>
  <c r="O330" i="17"/>
  <c r="N330" i="17"/>
  <c r="M330" i="17"/>
  <c r="L330" i="17"/>
  <c r="K330" i="17"/>
  <c r="J330" i="17"/>
  <c r="I330" i="17"/>
  <c r="H330" i="17"/>
  <c r="G330" i="17"/>
  <c r="F330" i="17"/>
  <c r="AE329" i="17"/>
  <c r="AC329" i="17"/>
  <c r="AB329" i="17"/>
  <c r="AA329" i="17"/>
  <c r="Z329" i="17"/>
  <c r="Y329" i="17"/>
  <c r="X329" i="17"/>
  <c r="W329" i="17"/>
  <c r="V329" i="17"/>
  <c r="U329" i="17"/>
  <c r="T329" i="17"/>
  <c r="S329" i="17"/>
  <c r="R329" i="17"/>
  <c r="Q329" i="17"/>
  <c r="P329" i="17"/>
  <c r="O329" i="17"/>
  <c r="N329" i="17"/>
  <c r="M329" i="17"/>
  <c r="L329" i="17"/>
  <c r="K329" i="17"/>
  <c r="J329" i="17"/>
  <c r="I329" i="17"/>
  <c r="H329" i="17"/>
  <c r="G329" i="17"/>
  <c r="F329" i="17"/>
  <c r="AE328" i="17"/>
  <c r="AC328" i="17"/>
  <c r="AB328" i="17"/>
  <c r="AA328" i="17"/>
  <c r="Z328" i="17"/>
  <c r="Y328" i="17"/>
  <c r="X328" i="17"/>
  <c r="W328" i="17"/>
  <c r="V328" i="17"/>
  <c r="U328" i="17"/>
  <c r="T328" i="17"/>
  <c r="S328" i="17"/>
  <c r="R328" i="17"/>
  <c r="Q328" i="17"/>
  <c r="P328" i="17"/>
  <c r="O328" i="17"/>
  <c r="N328" i="17"/>
  <c r="M328" i="17"/>
  <c r="L328" i="17"/>
  <c r="K328" i="17"/>
  <c r="J328" i="17"/>
  <c r="I328" i="17"/>
  <c r="H328" i="17"/>
  <c r="G328" i="17"/>
  <c r="F328" i="17"/>
  <c r="AE327" i="17"/>
  <c r="AC327" i="17"/>
  <c r="AB327" i="17"/>
  <c r="AA327" i="17"/>
  <c r="Z327" i="17"/>
  <c r="Y327" i="17"/>
  <c r="X327" i="17"/>
  <c r="W327" i="17"/>
  <c r="V327" i="17"/>
  <c r="U327" i="17"/>
  <c r="T327" i="17"/>
  <c r="S327" i="17"/>
  <c r="R327" i="17"/>
  <c r="Q327" i="17"/>
  <c r="P327" i="17"/>
  <c r="O327" i="17"/>
  <c r="N327" i="17"/>
  <c r="M327" i="17"/>
  <c r="L327" i="17"/>
  <c r="K327" i="17"/>
  <c r="J327" i="17"/>
  <c r="I327" i="17"/>
  <c r="H327" i="17"/>
  <c r="G327" i="17"/>
  <c r="F327" i="17"/>
  <c r="AE326" i="17"/>
  <c r="AC326" i="17"/>
  <c r="AB326" i="17"/>
  <c r="AA326" i="17"/>
  <c r="Z326" i="17"/>
  <c r="Y326" i="17"/>
  <c r="X326" i="17"/>
  <c r="W326" i="17"/>
  <c r="V326" i="17"/>
  <c r="U326" i="17"/>
  <c r="T326" i="17"/>
  <c r="S326" i="17"/>
  <c r="R326" i="17"/>
  <c r="Q326" i="17"/>
  <c r="P326" i="17"/>
  <c r="O326" i="17"/>
  <c r="N326" i="17"/>
  <c r="M326" i="17"/>
  <c r="L326" i="17"/>
  <c r="K326" i="17"/>
  <c r="J326" i="17"/>
  <c r="I326" i="17"/>
  <c r="H326" i="17"/>
  <c r="G326" i="17"/>
  <c r="F326" i="17"/>
  <c r="AE325" i="17"/>
  <c r="AC325" i="17"/>
  <c r="AB325" i="17"/>
  <c r="AA325" i="17"/>
  <c r="Z325" i="17"/>
  <c r="Y325" i="17"/>
  <c r="X325" i="17"/>
  <c r="W325" i="17"/>
  <c r="V325" i="17"/>
  <c r="U325" i="17"/>
  <c r="T325" i="17"/>
  <c r="S325" i="17"/>
  <c r="R325" i="17"/>
  <c r="Q325" i="17"/>
  <c r="P325" i="17"/>
  <c r="O325" i="17"/>
  <c r="N325" i="17"/>
  <c r="M325" i="17"/>
  <c r="L325" i="17"/>
  <c r="K325" i="17"/>
  <c r="J325" i="17"/>
  <c r="I325" i="17"/>
  <c r="H325" i="17"/>
  <c r="G325" i="17"/>
  <c r="F325" i="17"/>
  <c r="AE324" i="17"/>
  <c r="AC324" i="17"/>
  <c r="AB324" i="17"/>
  <c r="AA324" i="17"/>
  <c r="Z324" i="17"/>
  <c r="Y324" i="17"/>
  <c r="X324" i="17"/>
  <c r="W324" i="17"/>
  <c r="V324" i="17"/>
  <c r="U324" i="17"/>
  <c r="T324" i="17"/>
  <c r="S324" i="17"/>
  <c r="R324" i="17"/>
  <c r="Q324" i="17"/>
  <c r="P324" i="17"/>
  <c r="O324" i="17"/>
  <c r="N324" i="17"/>
  <c r="M324" i="17"/>
  <c r="L324" i="17"/>
  <c r="K324" i="17"/>
  <c r="J324" i="17"/>
  <c r="I324" i="17"/>
  <c r="H324" i="17"/>
  <c r="G324" i="17"/>
  <c r="F324" i="17"/>
  <c r="AE323" i="17"/>
  <c r="AC323" i="17"/>
  <c r="AB323" i="17"/>
  <c r="AA323" i="17"/>
  <c r="Z323" i="17"/>
  <c r="Y323" i="17"/>
  <c r="X323" i="17"/>
  <c r="W323" i="17"/>
  <c r="V323" i="17"/>
  <c r="U323" i="17"/>
  <c r="T323" i="17"/>
  <c r="S323" i="17"/>
  <c r="R323" i="17"/>
  <c r="Q323" i="17"/>
  <c r="P323" i="17"/>
  <c r="O323" i="17"/>
  <c r="N323" i="17"/>
  <c r="M323" i="17"/>
  <c r="L323" i="17"/>
  <c r="K323" i="17"/>
  <c r="J323" i="17"/>
  <c r="I323" i="17"/>
  <c r="H323" i="17"/>
  <c r="G323" i="17"/>
  <c r="F323" i="17"/>
  <c r="AE322" i="17"/>
  <c r="AC322" i="17"/>
  <c r="AB322" i="17"/>
  <c r="AA322" i="17"/>
  <c r="Z322" i="17"/>
  <c r="Y322" i="17"/>
  <c r="X322" i="17"/>
  <c r="W322" i="17"/>
  <c r="V322" i="17"/>
  <c r="U322" i="17"/>
  <c r="T322" i="17"/>
  <c r="S322" i="17"/>
  <c r="R322" i="17"/>
  <c r="Q322" i="17"/>
  <c r="P322" i="17"/>
  <c r="O322" i="17"/>
  <c r="N322" i="17"/>
  <c r="M322" i="17"/>
  <c r="L322" i="17"/>
  <c r="K322" i="17"/>
  <c r="J322" i="17"/>
  <c r="I322" i="17"/>
  <c r="H322" i="17"/>
  <c r="G322" i="17"/>
  <c r="F322" i="17"/>
  <c r="AE321" i="17"/>
  <c r="AC321" i="17"/>
  <c r="AB321" i="17"/>
  <c r="AA321" i="17"/>
  <c r="Z321" i="17"/>
  <c r="Y321" i="17"/>
  <c r="X321" i="17"/>
  <c r="W321" i="17"/>
  <c r="V321" i="17"/>
  <c r="U321" i="17"/>
  <c r="T321" i="17"/>
  <c r="S321" i="17"/>
  <c r="R321" i="17"/>
  <c r="Q321" i="17"/>
  <c r="P321" i="17"/>
  <c r="O321" i="17"/>
  <c r="N321" i="17"/>
  <c r="M321" i="17"/>
  <c r="L321" i="17"/>
  <c r="K321" i="17"/>
  <c r="J321" i="17"/>
  <c r="I321" i="17"/>
  <c r="H321" i="17"/>
  <c r="G321" i="17"/>
  <c r="F321" i="17"/>
  <c r="AE320" i="17"/>
  <c r="AC320" i="17"/>
  <c r="AB320" i="17"/>
  <c r="AA320" i="17"/>
  <c r="Z320" i="17"/>
  <c r="Y320" i="17"/>
  <c r="X320" i="17"/>
  <c r="W320" i="17"/>
  <c r="V320" i="17"/>
  <c r="U320" i="17"/>
  <c r="T320" i="17"/>
  <c r="S320" i="17"/>
  <c r="R320" i="17"/>
  <c r="Q320" i="17"/>
  <c r="P320" i="17"/>
  <c r="O320" i="17"/>
  <c r="N320" i="17"/>
  <c r="M320" i="17"/>
  <c r="L320" i="17"/>
  <c r="K320" i="17"/>
  <c r="J320" i="17"/>
  <c r="I320" i="17"/>
  <c r="H320" i="17"/>
  <c r="G320" i="17"/>
  <c r="F320" i="17"/>
  <c r="AE319" i="17"/>
  <c r="AC319" i="17"/>
  <c r="AB319" i="17"/>
  <c r="AA319" i="17"/>
  <c r="Z319" i="17"/>
  <c r="Y319" i="17"/>
  <c r="X319" i="17"/>
  <c r="W319" i="17"/>
  <c r="V319" i="17"/>
  <c r="U319" i="17"/>
  <c r="T319" i="17"/>
  <c r="S319" i="17"/>
  <c r="R319" i="17"/>
  <c r="Q319" i="17"/>
  <c r="P319" i="17"/>
  <c r="O319" i="17"/>
  <c r="N319" i="17"/>
  <c r="M319" i="17"/>
  <c r="L319" i="17"/>
  <c r="K319" i="17"/>
  <c r="J319" i="17"/>
  <c r="I319" i="17"/>
  <c r="H319" i="17"/>
  <c r="G319" i="17"/>
  <c r="F319" i="17"/>
  <c r="AE318" i="17"/>
  <c r="AC318" i="17"/>
  <c r="AB318" i="17"/>
  <c r="AA318" i="17"/>
  <c r="Z318" i="17"/>
  <c r="Y318" i="17"/>
  <c r="X318" i="17"/>
  <c r="W318" i="17"/>
  <c r="V318" i="17"/>
  <c r="U318" i="17"/>
  <c r="T318" i="17"/>
  <c r="S318" i="17"/>
  <c r="R318" i="17"/>
  <c r="Q318" i="17"/>
  <c r="P318" i="17"/>
  <c r="O318" i="17"/>
  <c r="N318" i="17"/>
  <c r="M318" i="17"/>
  <c r="L318" i="17"/>
  <c r="K318" i="17"/>
  <c r="J318" i="17"/>
  <c r="I318" i="17"/>
  <c r="H318" i="17"/>
  <c r="G318" i="17"/>
  <c r="F318" i="17"/>
  <c r="AE317" i="17"/>
  <c r="AC317" i="17"/>
  <c r="AB317" i="17"/>
  <c r="AA317" i="17"/>
  <c r="Z317" i="17"/>
  <c r="Y317" i="17"/>
  <c r="X317" i="17"/>
  <c r="W317" i="17"/>
  <c r="V317" i="17"/>
  <c r="U317" i="17"/>
  <c r="T317" i="17"/>
  <c r="S317" i="17"/>
  <c r="R317" i="17"/>
  <c r="Q317" i="17"/>
  <c r="P317" i="17"/>
  <c r="O317" i="17"/>
  <c r="N317" i="17"/>
  <c r="M317" i="17"/>
  <c r="L317" i="17"/>
  <c r="K317" i="17"/>
  <c r="J317" i="17"/>
  <c r="I317" i="17"/>
  <c r="H317" i="17"/>
  <c r="G317" i="17"/>
  <c r="F317" i="17"/>
  <c r="AE316" i="17"/>
  <c r="AC316" i="17"/>
  <c r="AB316" i="17"/>
  <c r="AA316" i="17"/>
  <c r="Z316" i="17"/>
  <c r="Y316" i="17"/>
  <c r="X316" i="17"/>
  <c r="W316" i="17"/>
  <c r="V316" i="17"/>
  <c r="U316" i="17"/>
  <c r="T316" i="17"/>
  <c r="S316" i="17"/>
  <c r="R316" i="17"/>
  <c r="Q316" i="17"/>
  <c r="P316" i="17"/>
  <c r="O316" i="17"/>
  <c r="N316" i="17"/>
  <c r="M316" i="17"/>
  <c r="L316" i="17"/>
  <c r="K316" i="17"/>
  <c r="J316" i="17"/>
  <c r="I316" i="17"/>
  <c r="H316" i="17"/>
  <c r="G316" i="17"/>
  <c r="F316" i="17"/>
  <c r="AE315" i="17"/>
  <c r="AC315" i="17"/>
  <c r="AB315" i="17"/>
  <c r="AA315" i="17"/>
  <c r="Z315" i="17"/>
  <c r="Y315" i="17"/>
  <c r="X315" i="17"/>
  <c r="W315" i="17"/>
  <c r="V315" i="17"/>
  <c r="U315" i="17"/>
  <c r="T315" i="17"/>
  <c r="S315" i="17"/>
  <c r="R315" i="17"/>
  <c r="Q315" i="17"/>
  <c r="P315" i="17"/>
  <c r="O315" i="17"/>
  <c r="N315" i="17"/>
  <c r="M315" i="17"/>
  <c r="L315" i="17"/>
  <c r="K315" i="17"/>
  <c r="J315" i="17"/>
  <c r="I315" i="17"/>
  <c r="H315" i="17"/>
  <c r="G315" i="17"/>
  <c r="F315" i="17"/>
  <c r="AE314" i="17"/>
  <c r="AC314" i="17"/>
  <c r="AB314" i="17"/>
  <c r="AA314" i="17"/>
  <c r="Z314" i="17"/>
  <c r="Y314" i="17"/>
  <c r="X314" i="17"/>
  <c r="W314" i="17"/>
  <c r="V314" i="17"/>
  <c r="U314" i="17"/>
  <c r="T314" i="17"/>
  <c r="S314" i="17"/>
  <c r="R314" i="17"/>
  <c r="Q314" i="17"/>
  <c r="P314" i="17"/>
  <c r="O314" i="17"/>
  <c r="N314" i="17"/>
  <c r="M314" i="17"/>
  <c r="L314" i="17"/>
  <c r="K314" i="17"/>
  <c r="J314" i="17"/>
  <c r="I314" i="17"/>
  <c r="H314" i="17"/>
  <c r="G314" i="17"/>
  <c r="F314" i="17"/>
  <c r="AE313" i="17"/>
  <c r="AC313" i="17"/>
  <c r="AB313" i="17"/>
  <c r="AA313" i="17"/>
  <c r="Z313" i="17"/>
  <c r="Y313" i="17"/>
  <c r="X313" i="17"/>
  <c r="W313" i="17"/>
  <c r="V313" i="17"/>
  <c r="U313" i="17"/>
  <c r="T313" i="17"/>
  <c r="S313" i="17"/>
  <c r="R313" i="17"/>
  <c r="Q313" i="17"/>
  <c r="P313" i="17"/>
  <c r="O313" i="17"/>
  <c r="N313" i="17"/>
  <c r="M313" i="17"/>
  <c r="L313" i="17"/>
  <c r="K313" i="17"/>
  <c r="J313" i="17"/>
  <c r="I313" i="17"/>
  <c r="H313" i="17"/>
  <c r="G313" i="17"/>
  <c r="F313" i="17"/>
  <c r="AE312" i="17"/>
  <c r="AC312" i="17"/>
  <c r="AB312" i="17"/>
  <c r="AA312" i="17"/>
  <c r="Z312" i="17"/>
  <c r="Y312" i="17"/>
  <c r="X312" i="17"/>
  <c r="W312" i="17"/>
  <c r="V312" i="17"/>
  <c r="U312" i="17"/>
  <c r="T312" i="17"/>
  <c r="S312" i="17"/>
  <c r="R312" i="17"/>
  <c r="Q312" i="17"/>
  <c r="P312" i="17"/>
  <c r="O312" i="17"/>
  <c r="N312" i="17"/>
  <c r="M312" i="17"/>
  <c r="L312" i="17"/>
  <c r="K312" i="17"/>
  <c r="J312" i="17"/>
  <c r="I312" i="17"/>
  <c r="H312" i="17"/>
  <c r="G312" i="17"/>
  <c r="F312" i="17"/>
  <c r="AE311" i="17"/>
  <c r="AC311" i="17"/>
  <c r="AB311" i="17"/>
  <c r="AA311" i="17"/>
  <c r="Z311" i="17"/>
  <c r="Y311" i="17"/>
  <c r="X311" i="17"/>
  <c r="W311" i="17"/>
  <c r="V311" i="17"/>
  <c r="U311" i="17"/>
  <c r="T311" i="17"/>
  <c r="S311" i="17"/>
  <c r="R311" i="17"/>
  <c r="Q311" i="17"/>
  <c r="P311" i="17"/>
  <c r="O311" i="17"/>
  <c r="N311" i="17"/>
  <c r="M311" i="17"/>
  <c r="L311" i="17"/>
  <c r="K311" i="17"/>
  <c r="J311" i="17"/>
  <c r="I311" i="17"/>
  <c r="H311" i="17"/>
  <c r="G311" i="17"/>
  <c r="F311" i="17"/>
  <c r="AE310" i="17"/>
  <c r="AC310" i="17"/>
  <c r="AB310" i="17"/>
  <c r="AA310" i="17"/>
  <c r="Z310" i="17"/>
  <c r="Y310" i="17"/>
  <c r="X310" i="17"/>
  <c r="W310" i="17"/>
  <c r="V310" i="17"/>
  <c r="U310" i="17"/>
  <c r="T310" i="17"/>
  <c r="S310" i="17"/>
  <c r="R310" i="17"/>
  <c r="Q310" i="17"/>
  <c r="P310" i="17"/>
  <c r="O310" i="17"/>
  <c r="N310" i="17"/>
  <c r="M310" i="17"/>
  <c r="L310" i="17"/>
  <c r="K310" i="17"/>
  <c r="J310" i="17"/>
  <c r="I310" i="17"/>
  <c r="H310" i="17"/>
  <c r="G310" i="17"/>
  <c r="F310" i="17"/>
  <c r="AE309" i="17"/>
  <c r="AC309" i="17"/>
  <c r="AB309" i="17"/>
  <c r="AA309" i="17"/>
  <c r="Z309" i="17"/>
  <c r="Y309" i="17"/>
  <c r="X309" i="17"/>
  <c r="W309" i="17"/>
  <c r="V309" i="17"/>
  <c r="U309" i="17"/>
  <c r="T309" i="17"/>
  <c r="S309" i="17"/>
  <c r="R309" i="17"/>
  <c r="Q309" i="17"/>
  <c r="P309" i="17"/>
  <c r="O309" i="17"/>
  <c r="N309" i="17"/>
  <c r="M309" i="17"/>
  <c r="L309" i="17"/>
  <c r="K309" i="17"/>
  <c r="J309" i="17"/>
  <c r="I309" i="17"/>
  <c r="H309" i="17"/>
  <c r="G309" i="17"/>
  <c r="F309" i="17"/>
  <c r="AE308" i="17"/>
  <c r="AC308" i="17"/>
  <c r="AB308" i="17"/>
  <c r="AA308" i="17"/>
  <c r="Z308" i="17"/>
  <c r="Y308" i="17"/>
  <c r="X308" i="17"/>
  <c r="W308" i="17"/>
  <c r="V308" i="17"/>
  <c r="U308" i="17"/>
  <c r="T308" i="17"/>
  <c r="S308" i="17"/>
  <c r="R308" i="17"/>
  <c r="Q308" i="17"/>
  <c r="P308" i="17"/>
  <c r="O308" i="17"/>
  <c r="N308" i="17"/>
  <c r="M308" i="17"/>
  <c r="L308" i="17"/>
  <c r="K308" i="17"/>
  <c r="J308" i="17"/>
  <c r="I308" i="17"/>
  <c r="H308" i="17"/>
  <c r="G308" i="17"/>
  <c r="F308" i="17"/>
  <c r="AE307" i="17"/>
  <c r="AC307" i="17"/>
  <c r="AB307" i="17"/>
  <c r="AA307" i="17"/>
  <c r="Z307" i="17"/>
  <c r="Y307" i="17"/>
  <c r="X307" i="17"/>
  <c r="W307" i="17"/>
  <c r="V307" i="17"/>
  <c r="U307" i="17"/>
  <c r="T307" i="17"/>
  <c r="S307" i="17"/>
  <c r="R307" i="17"/>
  <c r="Q307" i="17"/>
  <c r="P307" i="17"/>
  <c r="O307" i="17"/>
  <c r="N307" i="17"/>
  <c r="M307" i="17"/>
  <c r="L307" i="17"/>
  <c r="K307" i="17"/>
  <c r="J307" i="17"/>
  <c r="I307" i="17"/>
  <c r="H307" i="17"/>
  <c r="G307" i="17"/>
  <c r="F307" i="17"/>
  <c r="AE306" i="17"/>
  <c r="AC306" i="17"/>
  <c r="AB306" i="17"/>
  <c r="AA306" i="17"/>
  <c r="Z306" i="17"/>
  <c r="Y306" i="17"/>
  <c r="X306" i="17"/>
  <c r="W306" i="17"/>
  <c r="V306" i="17"/>
  <c r="U306" i="17"/>
  <c r="T306" i="17"/>
  <c r="S306" i="17"/>
  <c r="R306" i="17"/>
  <c r="Q306" i="17"/>
  <c r="P306" i="17"/>
  <c r="O306" i="17"/>
  <c r="N306" i="17"/>
  <c r="M306" i="17"/>
  <c r="L306" i="17"/>
  <c r="K306" i="17"/>
  <c r="J306" i="17"/>
  <c r="I306" i="17"/>
  <c r="H306" i="17"/>
  <c r="G306" i="17"/>
  <c r="F306" i="17"/>
  <c r="AE305" i="17"/>
  <c r="AC305" i="17"/>
  <c r="AB305" i="17"/>
  <c r="AA305" i="17"/>
  <c r="Z305" i="17"/>
  <c r="Y305" i="17"/>
  <c r="X305" i="17"/>
  <c r="W305" i="17"/>
  <c r="V305" i="17"/>
  <c r="U305" i="17"/>
  <c r="T305" i="17"/>
  <c r="S305" i="17"/>
  <c r="R305" i="17"/>
  <c r="Q305" i="17"/>
  <c r="P305" i="17"/>
  <c r="O305" i="17"/>
  <c r="N305" i="17"/>
  <c r="M305" i="17"/>
  <c r="L305" i="17"/>
  <c r="K305" i="17"/>
  <c r="J305" i="17"/>
  <c r="I305" i="17"/>
  <c r="H305" i="17"/>
  <c r="G305" i="17"/>
  <c r="F305" i="17"/>
  <c r="AE304" i="17"/>
  <c r="AC304" i="17"/>
  <c r="AB304" i="17"/>
  <c r="AA304" i="17"/>
  <c r="Z304" i="17"/>
  <c r="Y304" i="17"/>
  <c r="X304" i="17"/>
  <c r="W304" i="17"/>
  <c r="V304" i="17"/>
  <c r="U304" i="17"/>
  <c r="T304" i="17"/>
  <c r="S304" i="17"/>
  <c r="R304" i="17"/>
  <c r="Q304" i="17"/>
  <c r="P304" i="17"/>
  <c r="O304" i="17"/>
  <c r="N304" i="17"/>
  <c r="M304" i="17"/>
  <c r="L304" i="17"/>
  <c r="K304" i="17"/>
  <c r="J304" i="17"/>
  <c r="I304" i="17"/>
  <c r="H304" i="17"/>
  <c r="G304" i="17"/>
  <c r="F304" i="17"/>
  <c r="AE303" i="17"/>
  <c r="AC303" i="17"/>
  <c r="AB303" i="17"/>
  <c r="AA303" i="17"/>
  <c r="Z303" i="17"/>
  <c r="Y303" i="17"/>
  <c r="X303" i="17"/>
  <c r="W303" i="17"/>
  <c r="V303" i="17"/>
  <c r="U303" i="17"/>
  <c r="T303" i="17"/>
  <c r="S303" i="17"/>
  <c r="R303" i="17"/>
  <c r="Q303" i="17"/>
  <c r="P303" i="17"/>
  <c r="O303" i="17"/>
  <c r="N303" i="17"/>
  <c r="M303" i="17"/>
  <c r="L303" i="17"/>
  <c r="K303" i="17"/>
  <c r="J303" i="17"/>
  <c r="I303" i="17"/>
  <c r="H303" i="17"/>
  <c r="G303" i="17"/>
  <c r="F303" i="17"/>
  <c r="AE302" i="17"/>
  <c r="AC302" i="17"/>
  <c r="AB302" i="17"/>
  <c r="AA302" i="17"/>
  <c r="Z302" i="17"/>
  <c r="Y302" i="17"/>
  <c r="X302" i="17"/>
  <c r="W302" i="17"/>
  <c r="V302" i="17"/>
  <c r="U302" i="17"/>
  <c r="T302" i="17"/>
  <c r="S302" i="17"/>
  <c r="R302" i="17"/>
  <c r="Q302" i="17"/>
  <c r="P302" i="17"/>
  <c r="O302" i="17"/>
  <c r="N302" i="17"/>
  <c r="M302" i="17"/>
  <c r="L302" i="17"/>
  <c r="K302" i="17"/>
  <c r="J302" i="17"/>
  <c r="I302" i="17"/>
  <c r="H302" i="17"/>
  <c r="G302" i="17"/>
  <c r="F302" i="17"/>
  <c r="AE301" i="17"/>
  <c r="AC301" i="17"/>
  <c r="AB301" i="17"/>
  <c r="AA301" i="17"/>
  <c r="Z301" i="17"/>
  <c r="Y301" i="17"/>
  <c r="X301" i="17"/>
  <c r="W301" i="17"/>
  <c r="V301" i="17"/>
  <c r="U301" i="17"/>
  <c r="T301" i="17"/>
  <c r="S301" i="17"/>
  <c r="R301" i="17"/>
  <c r="Q301" i="17"/>
  <c r="P301" i="17"/>
  <c r="O301" i="17"/>
  <c r="N301" i="17"/>
  <c r="M301" i="17"/>
  <c r="L301" i="17"/>
  <c r="K301" i="17"/>
  <c r="J301" i="17"/>
  <c r="I301" i="17"/>
  <c r="H301" i="17"/>
  <c r="G301" i="17"/>
  <c r="F301" i="17"/>
  <c r="AE300" i="17"/>
  <c r="AC300" i="17"/>
  <c r="AB300" i="17"/>
  <c r="AA300" i="17"/>
  <c r="Z300" i="17"/>
  <c r="Y300" i="17"/>
  <c r="X300" i="17"/>
  <c r="W300" i="17"/>
  <c r="V300" i="17"/>
  <c r="U300" i="17"/>
  <c r="T300" i="17"/>
  <c r="S300" i="17"/>
  <c r="R300" i="17"/>
  <c r="Q300" i="17"/>
  <c r="P300" i="17"/>
  <c r="O300" i="17"/>
  <c r="N300" i="17"/>
  <c r="M300" i="17"/>
  <c r="L300" i="17"/>
  <c r="K300" i="17"/>
  <c r="J300" i="17"/>
  <c r="I300" i="17"/>
  <c r="H300" i="17"/>
  <c r="G300" i="17"/>
  <c r="F300" i="17"/>
  <c r="AE299" i="17"/>
  <c r="AC299" i="17"/>
  <c r="AB299" i="17"/>
  <c r="AA299" i="17"/>
  <c r="Z299" i="17"/>
  <c r="Y299" i="17"/>
  <c r="X299" i="17"/>
  <c r="W299" i="17"/>
  <c r="V299" i="17"/>
  <c r="U299" i="17"/>
  <c r="T299" i="17"/>
  <c r="S299" i="17"/>
  <c r="R299" i="17"/>
  <c r="Q299" i="17"/>
  <c r="P299" i="17"/>
  <c r="O299" i="17"/>
  <c r="N299" i="17"/>
  <c r="M299" i="17"/>
  <c r="L299" i="17"/>
  <c r="K299" i="17"/>
  <c r="J299" i="17"/>
  <c r="I299" i="17"/>
  <c r="H299" i="17"/>
  <c r="G299" i="17"/>
  <c r="F299" i="17"/>
  <c r="AE298" i="17"/>
  <c r="AC298" i="17"/>
  <c r="AB298" i="17"/>
  <c r="AA298" i="17"/>
  <c r="Z298" i="17"/>
  <c r="Y298" i="17"/>
  <c r="X298" i="17"/>
  <c r="W298" i="17"/>
  <c r="V298" i="17"/>
  <c r="U298" i="17"/>
  <c r="T298" i="17"/>
  <c r="S298" i="17"/>
  <c r="R298" i="17"/>
  <c r="Q298" i="17"/>
  <c r="P298" i="17"/>
  <c r="O298" i="17"/>
  <c r="N298" i="17"/>
  <c r="M298" i="17"/>
  <c r="L298" i="17"/>
  <c r="K298" i="17"/>
  <c r="J298" i="17"/>
  <c r="I298" i="17"/>
  <c r="H298" i="17"/>
  <c r="G298" i="17"/>
  <c r="F298" i="17"/>
  <c r="AE297" i="17"/>
  <c r="AC297" i="17"/>
  <c r="AB297" i="17"/>
  <c r="AA297" i="17"/>
  <c r="Z297" i="17"/>
  <c r="Y297" i="17"/>
  <c r="X297" i="17"/>
  <c r="W297" i="17"/>
  <c r="V297" i="17"/>
  <c r="U297" i="17"/>
  <c r="T297" i="17"/>
  <c r="S297" i="17"/>
  <c r="R297" i="17"/>
  <c r="Q297" i="17"/>
  <c r="P297" i="17"/>
  <c r="O297" i="17"/>
  <c r="N297" i="17"/>
  <c r="M297" i="17"/>
  <c r="L297" i="17"/>
  <c r="K297" i="17"/>
  <c r="J297" i="17"/>
  <c r="I297" i="17"/>
  <c r="H297" i="17"/>
  <c r="G297" i="17"/>
  <c r="F297" i="17"/>
  <c r="AE296" i="17"/>
  <c r="AC296" i="17"/>
  <c r="AB296" i="17"/>
  <c r="AA296" i="17"/>
  <c r="Z296" i="17"/>
  <c r="Y296" i="17"/>
  <c r="X296" i="17"/>
  <c r="W296" i="17"/>
  <c r="V296" i="17"/>
  <c r="U296" i="17"/>
  <c r="T296" i="17"/>
  <c r="S296" i="17"/>
  <c r="R296" i="17"/>
  <c r="Q296" i="17"/>
  <c r="P296" i="17"/>
  <c r="O296" i="17"/>
  <c r="N296" i="17"/>
  <c r="M296" i="17"/>
  <c r="L296" i="17"/>
  <c r="K296" i="17"/>
  <c r="J296" i="17"/>
  <c r="I296" i="17"/>
  <c r="H296" i="17"/>
  <c r="G296" i="17"/>
  <c r="F296" i="17"/>
  <c r="AE295" i="17"/>
  <c r="AC295" i="17"/>
  <c r="AB295" i="17"/>
  <c r="AA295" i="17"/>
  <c r="Z295" i="17"/>
  <c r="Y295" i="17"/>
  <c r="X295" i="17"/>
  <c r="W295" i="17"/>
  <c r="V295" i="17"/>
  <c r="U295" i="17"/>
  <c r="T295" i="17"/>
  <c r="S295" i="17"/>
  <c r="R295" i="17"/>
  <c r="Q295" i="17"/>
  <c r="P295" i="17"/>
  <c r="O295" i="17"/>
  <c r="N295" i="17"/>
  <c r="M295" i="17"/>
  <c r="L295" i="17"/>
  <c r="K295" i="17"/>
  <c r="J295" i="17"/>
  <c r="I295" i="17"/>
  <c r="H295" i="17"/>
  <c r="G295" i="17"/>
  <c r="F295" i="17"/>
  <c r="AE294" i="17"/>
  <c r="AC294" i="17"/>
  <c r="AB294" i="17"/>
  <c r="AA294" i="17"/>
  <c r="Z294" i="17"/>
  <c r="Y294" i="17"/>
  <c r="X294" i="17"/>
  <c r="W294" i="17"/>
  <c r="V294" i="17"/>
  <c r="U294" i="17"/>
  <c r="T294" i="17"/>
  <c r="S294" i="17"/>
  <c r="R294" i="17"/>
  <c r="Q294" i="17"/>
  <c r="P294" i="17"/>
  <c r="O294" i="17"/>
  <c r="N294" i="17"/>
  <c r="M294" i="17"/>
  <c r="L294" i="17"/>
  <c r="K294" i="17"/>
  <c r="J294" i="17"/>
  <c r="I294" i="17"/>
  <c r="H294" i="17"/>
  <c r="G294" i="17"/>
  <c r="F294" i="17"/>
  <c r="AE293" i="17"/>
  <c r="AC293" i="17"/>
  <c r="AB293" i="17"/>
  <c r="AA293" i="17"/>
  <c r="Z293" i="17"/>
  <c r="Y293" i="17"/>
  <c r="X293" i="17"/>
  <c r="W293" i="17"/>
  <c r="V293" i="17"/>
  <c r="U293" i="17"/>
  <c r="T293" i="17"/>
  <c r="S293" i="17"/>
  <c r="R293" i="17"/>
  <c r="Q293" i="17"/>
  <c r="P293" i="17"/>
  <c r="O293" i="17"/>
  <c r="N293" i="17"/>
  <c r="M293" i="17"/>
  <c r="L293" i="17"/>
  <c r="K293" i="17"/>
  <c r="J293" i="17"/>
  <c r="I293" i="17"/>
  <c r="H293" i="17"/>
  <c r="G293" i="17"/>
  <c r="F293" i="17"/>
  <c r="AE292" i="17"/>
  <c r="AC292" i="17"/>
  <c r="AB292" i="17"/>
  <c r="AA292" i="17"/>
  <c r="Z292" i="17"/>
  <c r="Y292" i="17"/>
  <c r="X292" i="17"/>
  <c r="W292" i="17"/>
  <c r="V292" i="17"/>
  <c r="U292" i="17"/>
  <c r="T292" i="17"/>
  <c r="S292" i="17"/>
  <c r="R292" i="17"/>
  <c r="Q292" i="17"/>
  <c r="P292" i="17"/>
  <c r="O292" i="17"/>
  <c r="N292" i="17"/>
  <c r="M292" i="17"/>
  <c r="L292" i="17"/>
  <c r="K292" i="17"/>
  <c r="J292" i="17"/>
  <c r="I292" i="17"/>
  <c r="H292" i="17"/>
  <c r="G292" i="17"/>
  <c r="F292" i="17"/>
  <c r="AE291" i="17"/>
  <c r="AC291" i="17"/>
  <c r="AB291" i="17"/>
  <c r="AA291" i="17"/>
  <c r="Z291" i="17"/>
  <c r="Y291" i="17"/>
  <c r="X291" i="17"/>
  <c r="W291" i="17"/>
  <c r="V291" i="17"/>
  <c r="U291" i="17"/>
  <c r="T291" i="17"/>
  <c r="S291" i="17"/>
  <c r="R291" i="17"/>
  <c r="Q291" i="17"/>
  <c r="P291" i="17"/>
  <c r="O291" i="17"/>
  <c r="N291" i="17"/>
  <c r="M291" i="17"/>
  <c r="L291" i="17"/>
  <c r="K291" i="17"/>
  <c r="J291" i="17"/>
  <c r="I291" i="17"/>
  <c r="H291" i="17"/>
  <c r="G291" i="17"/>
  <c r="F291" i="17"/>
  <c r="AE290" i="17"/>
  <c r="AC290" i="17"/>
  <c r="AB290" i="17"/>
  <c r="AA290" i="17"/>
  <c r="Z290" i="17"/>
  <c r="Y290" i="17"/>
  <c r="X290" i="17"/>
  <c r="W290" i="17"/>
  <c r="V290" i="17"/>
  <c r="U290" i="17"/>
  <c r="T290" i="17"/>
  <c r="S290" i="17"/>
  <c r="R290" i="17"/>
  <c r="Q290" i="17"/>
  <c r="P290" i="17"/>
  <c r="O290" i="17"/>
  <c r="N290" i="17"/>
  <c r="M290" i="17"/>
  <c r="L290" i="17"/>
  <c r="K290" i="17"/>
  <c r="J290" i="17"/>
  <c r="I290" i="17"/>
  <c r="H290" i="17"/>
  <c r="G290" i="17"/>
  <c r="F290" i="17"/>
  <c r="AE289" i="17"/>
  <c r="AC289" i="17"/>
  <c r="AB289" i="17"/>
  <c r="AA289" i="17"/>
  <c r="Z289" i="17"/>
  <c r="Y289" i="17"/>
  <c r="X289" i="17"/>
  <c r="W289" i="17"/>
  <c r="V289" i="17"/>
  <c r="U289" i="17"/>
  <c r="T289" i="17"/>
  <c r="S289" i="17"/>
  <c r="R289" i="17"/>
  <c r="Q289" i="17"/>
  <c r="P289" i="17"/>
  <c r="O289" i="17"/>
  <c r="N289" i="17"/>
  <c r="M289" i="17"/>
  <c r="L289" i="17"/>
  <c r="K289" i="17"/>
  <c r="J289" i="17"/>
  <c r="I289" i="17"/>
  <c r="H289" i="17"/>
  <c r="G289" i="17"/>
  <c r="F289" i="17"/>
  <c r="AE288" i="17"/>
  <c r="AC288" i="17"/>
  <c r="AB288" i="17"/>
  <c r="AA288" i="17"/>
  <c r="Z288" i="17"/>
  <c r="Y288" i="17"/>
  <c r="X288" i="17"/>
  <c r="W288" i="17"/>
  <c r="V288" i="17"/>
  <c r="U288" i="17"/>
  <c r="T288" i="17"/>
  <c r="S288" i="17"/>
  <c r="R288" i="17"/>
  <c r="Q288" i="17"/>
  <c r="P288" i="17"/>
  <c r="O288" i="17"/>
  <c r="N288" i="17"/>
  <c r="M288" i="17"/>
  <c r="L288" i="17"/>
  <c r="K288" i="17"/>
  <c r="J288" i="17"/>
  <c r="I288" i="17"/>
  <c r="H288" i="17"/>
  <c r="G288" i="17"/>
  <c r="F288" i="17"/>
  <c r="AE287" i="17"/>
  <c r="AC287" i="17"/>
  <c r="AB287" i="17"/>
  <c r="AA287" i="17"/>
  <c r="Z287" i="17"/>
  <c r="Y287" i="17"/>
  <c r="X287" i="17"/>
  <c r="W287" i="17"/>
  <c r="V287" i="17"/>
  <c r="U287" i="17"/>
  <c r="T287" i="17"/>
  <c r="S287" i="17"/>
  <c r="R287" i="17"/>
  <c r="Q287" i="17"/>
  <c r="P287" i="17"/>
  <c r="O287" i="17"/>
  <c r="N287" i="17"/>
  <c r="M287" i="17"/>
  <c r="L287" i="17"/>
  <c r="K287" i="17"/>
  <c r="J287" i="17"/>
  <c r="I287" i="17"/>
  <c r="H287" i="17"/>
  <c r="G287" i="17"/>
  <c r="F287" i="17"/>
  <c r="AE286" i="17"/>
  <c r="AC286" i="17"/>
  <c r="AB286" i="17"/>
  <c r="AA286" i="17"/>
  <c r="Z286" i="17"/>
  <c r="Y286" i="17"/>
  <c r="X286" i="17"/>
  <c r="W286" i="17"/>
  <c r="V286" i="17"/>
  <c r="U286" i="17"/>
  <c r="T286" i="17"/>
  <c r="S286" i="17"/>
  <c r="R286" i="17"/>
  <c r="Q286" i="17"/>
  <c r="P286" i="17"/>
  <c r="O286" i="17"/>
  <c r="N286" i="17"/>
  <c r="M286" i="17"/>
  <c r="L286" i="17"/>
  <c r="K286" i="17"/>
  <c r="J286" i="17"/>
  <c r="I286" i="17"/>
  <c r="H286" i="17"/>
  <c r="G286" i="17"/>
  <c r="F286" i="17"/>
  <c r="AE285" i="17"/>
  <c r="AC285" i="17"/>
  <c r="AB285" i="17"/>
  <c r="AA285" i="17"/>
  <c r="Z285" i="17"/>
  <c r="Y285" i="17"/>
  <c r="X285" i="17"/>
  <c r="W285" i="17"/>
  <c r="V285" i="17"/>
  <c r="U285" i="17"/>
  <c r="T285" i="17"/>
  <c r="S285" i="17"/>
  <c r="R285" i="17"/>
  <c r="Q285" i="17"/>
  <c r="P285" i="17"/>
  <c r="O285" i="17"/>
  <c r="N285" i="17"/>
  <c r="M285" i="17"/>
  <c r="L285" i="17"/>
  <c r="K285" i="17"/>
  <c r="J285" i="17"/>
  <c r="I285" i="17"/>
  <c r="H285" i="17"/>
  <c r="G285" i="17"/>
  <c r="F285" i="17"/>
  <c r="AE284" i="17"/>
  <c r="AC284" i="17"/>
  <c r="AB284" i="17"/>
  <c r="AA284" i="17"/>
  <c r="Z284" i="17"/>
  <c r="Y284" i="17"/>
  <c r="X284" i="17"/>
  <c r="W284" i="17"/>
  <c r="V284" i="17"/>
  <c r="U284" i="17"/>
  <c r="T284" i="17"/>
  <c r="S284" i="17"/>
  <c r="R284" i="17"/>
  <c r="Q284" i="17"/>
  <c r="P284" i="17"/>
  <c r="O284" i="17"/>
  <c r="N284" i="17"/>
  <c r="M284" i="17"/>
  <c r="L284" i="17"/>
  <c r="K284" i="17"/>
  <c r="J284" i="17"/>
  <c r="I284" i="17"/>
  <c r="H284" i="17"/>
  <c r="G284" i="17"/>
  <c r="F284" i="17"/>
  <c r="AE283" i="17"/>
  <c r="AC283" i="17"/>
  <c r="AB283" i="17"/>
  <c r="AA283" i="17"/>
  <c r="Z283" i="17"/>
  <c r="Y283" i="17"/>
  <c r="X283" i="17"/>
  <c r="W283" i="17"/>
  <c r="V283" i="17"/>
  <c r="U283" i="17"/>
  <c r="T283" i="17"/>
  <c r="S283" i="17"/>
  <c r="R283" i="17"/>
  <c r="Q283" i="17"/>
  <c r="P283" i="17"/>
  <c r="O283" i="17"/>
  <c r="N283" i="17"/>
  <c r="M283" i="17"/>
  <c r="L283" i="17"/>
  <c r="K283" i="17"/>
  <c r="J283" i="17"/>
  <c r="I283" i="17"/>
  <c r="H283" i="17"/>
  <c r="G283" i="17"/>
  <c r="F283" i="17"/>
  <c r="AE282" i="17"/>
  <c r="AC282" i="17"/>
  <c r="AB282" i="17"/>
  <c r="AA282" i="17"/>
  <c r="Z282" i="17"/>
  <c r="Y282" i="17"/>
  <c r="X282" i="17"/>
  <c r="W282" i="17"/>
  <c r="V282" i="17"/>
  <c r="U282" i="17"/>
  <c r="T282" i="17"/>
  <c r="S282" i="17"/>
  <c r="R282" i="17"/>
  <c r="Q282" i="17"/>
  <c r="P282" i="17"/>
  <c r="O282" i="17"/>
  <c r="N282" i="17"/>
  <c r="M282" i="17"/>
  <c r="L282" i="17"/>
  <c r="K282" i="17"/>
  <c r="J282" i="17"/>
  <c r="I282" i="17"/>
  <c r="H282" i="17"/>
  <c r="G282" i="17"/>
  <c r="F282" i="17"/>
  <c r="AE281" i="17"/>
  <c r="AC281" i="17"/>
  <c r="AB281" i="17"/>
  <c r="AA281" i="17"/>
  <c r="Z281" i="17"/>
  <c r="Y281" i="17"/>
  <c r="X281" i="17"/>
  <c r="W281" i="17"/>
  <c r="V281" i="17"/>
  <c r="U281" i="17"/>
  <c r="T281" i="17"/>
  <c r="S281" i="17"/>
  <c r="R281" i="17"/>
  <c r="Q281" i="17"/>
  <c r="P281" i="17"/>
  <c r="O281" i="17"/>
  <c r="N281" i="17"/>
  <c r="M281" i="17"/>
  <c r="L281" i="17"/>
  <c r="K281" i="17"/>
  <c r="J281" i="17"/>
  <c r="I281" i="17"/>
  <c r="H281" i="17"/>
  <c r="G281" i="17"/>
  <c r="F281" i="17"/>
  <c r="AE280" i="17"/>
  <c r="AC280" i="17"/>
  <c r="AB280" i="17"/>
  <c r="AA280" i="17"/>
  <c r="Z280" i="17"/>
  <c r="Y280" i="17"/>
  <c r="X280" i="17"/>
  <c r="W280" i="17"/>
  <c r="V280" i="17"/>
  <c r="U280" i="17"/>
  <c r="T280" i="17"/>
  <c r="S280" i="17"/>
  <c r="R280" i="17"/>
  <c r="Q280" i="17"/>
  <c r="P280" i="17"/>
  <c r="O280" i="17"/>
  <c r="N280" i="17"/>
  <c r="M280" i="17"/>
  <c r="L280" i="17"/>
  <c r="K280" i="17"/>
  <c r="J280" i="17"/>
  <c r="I280" i="17"/>
  <c r="H280" i="17"/>
  <c r="G280" i="17"/>
  <c r="F280" i="17"/>
  <c r="AE279" i="17"/>
  <c r="AC279" i="17"/>
  <c r="AB279" i="17"/>
  <c r="AA279" i="17"/>
  <c r="Z279" i="17"/>
  <c r="Y279" i="17"/>
  <c r="X279" i="17"/>
  <c r="W279" i="17"/>
  <c r="V279" i="17"/>
  <c r="U279" i="17"/>
  <c r="T279" i="17"/>
  <c r="S279" i="17"/>
  <c r="R279" i="17"/>
  <c r="Q279" i="17"/>
  <c r="P279" i="17"/>
  <c r="O279" i="17"/>
  <c r="N279" i="17"/>
  <c r="M279" i="17"/>
  <c r="L279" i="17"/>
  <c r="K279" i="17"/>
  <c r="J279" i="17"/>
  <c r="I279" i="17"/>
  <c r="H279" i="17"/>
  <c r="G279" i="17"/>
  <c r="F279" i="17"/>
  <c r="AE278" i="17"/>
  <c r="AC278" i="17"/>
  <c r="AB278" i="17"/>
  <c r="AA278" i="17"/>
  <c r="Z278" i="17"/>
  <c r="Y278" i="17"/>
  <c r="X278" i="17"/>
  <c r="W278" i="17"/>
  <c r="V278" i="17"/>
  <c r="U278" i="17"/>
  <c r="T278" i="17"/>
  <c r="S278" i="17"/>
  <c r="R278" i="17"/>
  <c r="Q278" i="17"/>
  <c r="P278" i="17"/>
  <c r="O278" i="17"/>
  <c r="N278" i="17"/>
  <c r="M278" i="17"/>
  <c r="L278" i="17"/>
  <c r="K278" i="17"/>
  <c r="J278" i="17"/>
  <c r="I278" i="17"/>
  <c r="H278" i="17"/>
  <c r="G278" i="17"/>
  <c r="F278" i="17"/>
  <c r="AE277" i="17"/>
  <c r="AC277" i="17"/>
  <c r="AB277" i="17"/>
  <c r="AA277" i="17"/>
  <c r="Z277" i="17"/>
  <c r="Y277" i="17"/>
  <c r="X277" i="17"/>
  <c r="W277" i="17"/>
  <c r="V277" i="17"/>
  <c r="U277" i="17"/>
  <c r="T277" i="17"/>
  <c r="S277" i="17"/>
  <c r="R277" i="17"/>
  <c r="Q277" i="17"/>
  <c r="P277" i="17"/>
  <c r="O277" i="17"/>
  <c r="N277" i="17"/>
  <c r="M277" i="17"/>
  <c r="L277" i="17"/>
  <c r="K277" i="17"/>
  <c r="J277" i="17"/>
  <c r="I277" i="17"/>
  <c r="H277" i="17"/>
  <c r="G277" i="17"/>
  <c r="F277" i="17"/>
  <c r="AE276" i="17"/>
  <c r="AC276" i="17"/>
  <c r="AB276" i="17"/>
  <c r="AA276" i="17"/>
  <c r="Z276" i="17"/>
  <c r="Y276" i="17"/>
  <c r="X276" i="17"/>
  <c r="W276" i="17"/>
  <c r="V276" i="17"/>
  <c r="U276" i="17"/>
  <c r="T276" i="17"/>
  <c r="S276" i="17"/>
  <c r="R276" i="17"/>
  <c r="Q276" i="17"/>
  <c r="P276" i="17"/>
  <c r="O276" i="17"/>
  <c r="N276" i="17"/>
  <c r="M276" i="17"/>
  <c r="L276" i="17"/>
  <c r="K276" i="17"/>
  <c r="J276" i="17"/>
  <c r="I276" i="17"/>
  <c r="H276" i="17"/>
  <c r="G276" i="17"/>
  <c r="F276" i="17"/>
  <c r="AE275" i="17"/>
  <c r="AC275" i="17"/>
  <c r="AB275" i="17"/>
  <c r="AA275" i="17"/>
  <c r="Z275" i="17"/>
  <c r="Y275" i="17"/>
  <c r="X275" i="17"/>
  <c r="W275" i="17"/>
  <c r="V275" i="17"/>
  <c r="U275" i="17"/>
  <c r="T275" i="17"/>
  <c r="S275" i="17"/>
  <c r="R275" i="17"/>
  <c r="Q275" i="17"/>
  <c r="P275" i="17"/>
  <c r="O275" i="17"/>
  <c r="N275" i="17"/>
  <c r="M275" i="17"/>
  <c r="L275" i="17"/>
  <c r="K275" i="17"/>
  <c r="J275" i="17"/>
  <c r="I275" i="17"/>
  <c r="H275" i="17"/>
  <c r="G275" i="17"/>
  <c r="F275" i="17"/>
  <c r="AE274" i="17"/>
  <c r="AC274" i="17"/>
  <c r="AB274" i="17"/>
  <c r="AA274" i="17"/>
  <c r="Z274" i="17"/>
  <c r="Y274" i="17"/>
  <c r="X274" i="17"/>
  <c r="W274" i="17"/>
  <c r="V274" i="17"/>
  <c r="U274" i="17"/>
  <c r="T274" i="17"/>
  <c r="S274" i="17"/>
  <c r="R274" i="17"/>
  <c r="Q274" i="17"/>
  <c r="P274" i="17"/>
  <c r="O274" i="17"/>
  <c r="N274" i="17"/>
  <c r="M274" i="17"/>
  <c r="L274" i="17"/>
  <c r="K274" i="17"/>
  <c r="J274" i="17"/>
  <c r="I274" i="17"/>
  <c r="H274" i="17"/>
  <c r="G274" i="17"/>
  <c r="F274" i="17"/>
  <c r="AE273" i="17"/>
  <c r="AC273" i="17"/>
  <c r="AB273" i="17"/>
  <c r="AA273" i="17"/>
  <c r="Z273" i="17"/>
  <c r="Y273" i="17"/>
  <c r="X273" i="17"/>
  <c r="W273" i="17"/>
  <c r="V273" i="17"/>
  <c r="U273" i="17"/>
  <c r="T273" i="17"/>
  <c r="S273" i="17"/>
  <c r="R273" i="17"/>
  <c r="Q273" i="17"/>
  <c r="P273" i="17"/>
  <c r="O273" i="17"/>
  <c r="N273" i="17"/>
  <c r="M273" i="17"/>
  <c r="L273" i="17"/>
  <c r="K273" i="17"/>
  <c r="J273" i="17"/>
  <c r="I273" i="17"/>
  <c r="H273" i="17"/>
  <c r="G273" i="17"/>
  <c r="F273" i="17"/>
  <c r="AE272" i="17"/>
  <c r="AC272" i="17"/>
  <c r="AB272" i="17"/>
  <c r="AA272" i="17"/>
  <c r="Z272" i="17"/>
  <c r="Y272" i="17"/>
  <c r="X272" i="17"/>
  <c r="W272" i="17"/>
  <c r="V272" i="17"/>
  <c r="U272" i="17"/>
  <c r="T272" i="17"/>
  <c r="S272" i="17"/>
  <c r="R272" i="17"/>
  <c r="Q272" i="17"/>
  <c r="P272" i="17"/>
  <c r="O272" i="17"/>
  <c r="N272" i="17"/>
  <c r="M272" i="17"/>
  <c r="L272" i="17"/>
  <c r="K272" i="17"/>
  <c r="J272" i="17"/>
  <c r="I272" i="17"/>
  <c r="H272" i="17"/>
  <c r="G272" i="17"/>
  <c r="F272" i="17"/>
  <c r="AE271" i="17"/>
  <c r="AC271" i="17"/>
  <c r="AB271" i="17"/>
  <c r="AA271" i="17"/>
  <c r="Z271" i="17"/>
  <c r="Y271" i="17"/>
  <c r="X271" i="17"/>
  <c r="W271" i="17"/>
  <c r="V271" i="17"/>
  <c r="U271" i="17"/>
  <c r="T271" i="17"/>
  <c r="S271" i="17"/>
  <c r="R271" i="17"/>
  <c r="Q271" i="17"/>
  <c r="P271" i="17"/>
  <c r="O271" i="17"/>
  <c r="N271" i="17"/>
  <c r="M271" i="17"/>
  <c r="L271" i="17"/>
  <c r="K271" i="17"/>
  <c r="J271" i="17"/>
  <c r="I271" i="17"/>
  <c r="H271" i="17"/>
  <c r="G271" i="17"/>
  <c r="F271" i="17"/>
  <c r="AE270" i="17"/>
  <c r="AC270" i="17"/>
  <c r="AB270" i="17"/>
  <c r="AA270" i="17"/>
  <c r="Z270" i="17"/>
  <c r="Y270" i="17"/>
  <c r="X270" i="17"/>
  <c r="W270" i="17"/>
  <c r="V270" i="17"/>
  <c r="U270" i="17"/>
  <c r="T270" i="17"/>
  <c r="S270" i="17"/>
  <c r="R270" i="17"/>
  <c r="Q270" i="17"/>
  <c r="P270" i="17"/>
  <c r="O270" i="17"/>
  <c r="N270" i="17"/>
  <c r="M270" i="17"/>
  <c r="L270" i="17"/>
  <c r="K270" i="17"/>
  <c r="J270" i="17"/>
  <c r="I270" i="17"/>
  <c r="H270" i="17"/>
  <c r="G270" i="17"/>
  <c r="F270" i="17"/>
  <c r="AE269" i="17"/>
  <c r="AC269" i="17"/>
  <c r="AB269" i="17"/>
  <c r="AA269" i="17"/>
  <c r="Z269" i="17"/>
  <c r="Y269" i="17"/>
  <c r="X269" i="17"/>
  <c r="W269" i="17"/>
  <c r="V269" i="17"/>
  <c r="U269" i="17"/>
  <c r="T269" i="17"/>
  <c r="S269" i="17"/>
  <c r="R269" i="17"/>
  <c r="Q269" i="17"/>
  <c r="P269" i="17"/>
  <c r="O269" i="17"/>
  <c r="N269" i="17"/>
  <c r="M269" i="17"/>
  <c r="L269" i="17"/>
  <c r="K269" i="17"/>
  <c r="J269" i="17"/>
  <c r="I269" i="17"/>
  <c r="H269" i="17"/>
  <c r="G269" i="17"/>
  <c r="F269" i="17"/>
  <c r="AE268" i="17"/>
  <c r="AC268" i="17"/>
  <c r="AB268" i="17"/>
  <c r="AA268" i="17"/>
  <c r="Z268" i="17"/>
  <c r="Y268" i="17"/>
  <c r="X268" i="17"/>
  <c r="W268" i="17"/>
  <c r="V268" i="17"/>
  <c r="U268" i="17"/>
  <c r="T268" i="17"/>
  <c r="S268" i="17"/>
  <c r="R268" i="17"/>
  <c r="Q268" i="17"/>
  <c r="P268" i="17"/>
  <c r="O268" i="17"/>
  <c r="N268" i="17"/>
  <c r="M268" i="17"/>
  <c r="L268" i="17"/>
  <c r="K268" i="17"/>
  <c r="J268" i="17"/>
  <c r="I268" i="17"/>
  <c r="H268" i="17"/>
  <c r="G268" i="17"/>
  <c r="F268" i="17"/>
  <c r="AE267" i="17"/>
  <c r="AC267" i="17"/>
  <c r="AB267" i="17"/>
  <c r="AA267" i="17"/>
  <c r="Z267" i="17"/>
  <c r="Y267" i="17"/>
  <c r="X267" i="17"/>
  <c r="W267" i="17"/>
  <c r="V267" i="17"/>
  <c r="U267" i="17"/>
  <c r="T267" i="17"/>
  <c r="S267" i="17"/>
  <c r="R267" i="17"/>
  <c r="Q267" i="17"/>
  <c r="P267" i="17"/>
  <c r="O267" i="17"/>
  <c r="N267" i="17"/>
  <c r="M267" i="17"/>
  <c r="L267" i="17"/>
  <c r="K267" i="17"/>
  <c r="J267" i="17"/>
  <c r="I267" i="17"/>
  <c r="H267" i="17"/>
  <c r="G267" i="17"/>
  <c r="F267" i="17"/>
  <c r="AE266" i="17"/>
  <c r="AC266" i="17"/>
  <c r="AB266" i="17"/>
  <c r="AA266" i="17"/>
  <c r="Z266" i="17"/>
  <c r="Y266" i="17"/>
  <c r="X266" i="17"/>
  <c r="W266" i="17"/>
  <c r="V266" i="17"/>
  <c r="U266" i="17"/>
  <c r="T266" i="17"/>
  <c r="S266" i="17"/>
  <c r="R266" i="17"/>
  <c r="Q266" i="17"/>
  <c r="P266" i="17"/>
  <c r="O266" i="17"/>
  <c r="N266" i="17"/>
  <c r="M266" i="17"/>
  <c r="L266" i="17"/>
  <c r="K266" i="17"/>
  <c r="J266" i="17"/>
  <c r="I266" i="17"/>
  <c r="H266" i="17"/>
  <c r="G266" i="17"/>
  <c r="F266" i="17"/>
  <c r="AE265" i="17"/>
  <c r="AC265" i="17"/>
  <c r="AB265" i="17"/>
  <c r="AA265" i="17"/>
  <c r="Z265" i="17"/>
  <c r="Y265" i="17"/>
  <c r="X265" i="17"/>
  <c r="W265" i="17"/>
  <c r="V265" i="17"/>
  <c r="U265" i="17"/>
  <c r="T265" i="17"/>
  <c r="S265" i="17"/>
  <c r="R265" i="17"/>
  <c r="Q265" i="17"/>
  <c r="P265" i="17"/>
  <c r="O265" i="17"/>
  <c r="N265" i="17"/>
  <c r="M265" i="17"/>
  <c r="L265" i="17"/>
  <c r="K265" i="17"/>
  <c r="J265" i="17"/>
  <c r="I265" i="17"/>
  <c r="H265" i="17"/>
  <c r="G265" i="17"/>
  <c r="F265" i="17"/>
  <c r="AE264" i="17"/>
  <c r="AC264" i="17"/>
  <c r="AB264" i="17"/>
  <c r="AA264" i="17"/>
  <c r="Z264" i="17"/>
  <c r="Y264" i="17"/>
  <c r="X264" i="17"/>
  <c r="W264" i="17"/>
  <c r="V264" i="17"/>
  <c r="U264" i="17"/>
  <c r="T264" i="17"/>
  <c r="S264" i="17"/>
  <c r="R264" i="17"/>
  <c r="Q264" i="17"/>
  <c r="P264" i="17"/>
  <c r="O264" i="17"/>
  <c r="N264" i="17"/>
  <c r="M264" i="17"/>
  <c r="L264" i="17"/>
  <c r="K264" i="17"/>
  <c r="J264" i="17"/>
  <c r="I264" i="17"/>
  <c r="H264" i="17"/>
  <c r="G264" i="17"/>
  <c r="F264" i="17"/>
  <c r="AE263" i="17"/>
  <c r="AC263" i="17"/>
  <c r="AB263" i="17"/>
  <c r="AA263" i="17"/>
  <c r="Z263" i="17"/>
  <c r="Y263" i="17"/>
  <c r="X263" i="17"/>
  <c r="W263" i="17"/>
  <c r="V263" i="17"/>
  <c r="U263" i="17"/>
  <c r="T263" i="17"/>
  <c r="S263" i="17"/>
  <c r="R263" i="17"/>
  <c r="Q263" i="17"/>
  <c r="P263" i="17"/>
  <c r="O263" i="17"/>
  <c r="N263" i="17"/>
  <c r="M263" i="17"/>
  <c r="L263" i="17"/>
  <c r="K263" i="17"/>
  <c r="J263" i="17"/>
  <c r="I263" i="17"/>
  <c r="H263" i="17"/>
  <c r="G263" i="17"/>
  <c r="F263" i="17"/>
  <c r="AE262" i="17"/>
  <c r="AC262" i="17"/>
  <c r="AB262" i="17"/>
  <c r="AA262" i="17"/>
  <c r="Z262" i="17"/>
  <c r="Y262" i="17"/>
  <c r="X262" i="17"/>
  <c r="W262" i="17"/>
  <c r="V262" i="17"/>
  <c r="U262" i="17"/>
  <c r="T262" i="17"/>
  <c r="S262" i="17"/>
  <c r="R262" i="17"/>
  <c r="Q262" i="17"/>
  <c r="P262" i="17"/>
  <c r="O262" i="17"/>
  <c r="N262" i="17"/>
  <c r="M262" i="17"/>
  <c r="L262" i="17"/>
  <c r="K262" i="17"/>
  <c r="J262" i="17"/>
  <c r="I262" i="17"/>
  <c r="H262" i="17"/>
  <c r="G262" i="17"/>
  <c r="F262" i="17"/>
  <c r="AE261" i="17"/>
  <c r="AC261" i="17"/>
  <c r="AB261" i="17"/>
  <c r="AA261" i="17"/>
  <c r="Z261" i="17"/>
  <c r="Y261" i="17"/>
  <c r="X261" i="17"/>
  <c r="W261" i="17"/>
  <c r="V261" i="17"/>
  <c r="U261" i="17"/>
  <c r="T261" i="17"/>
  <c r="S261" i="17"/>
  <c r="R261" i="17"/>
  <c r="Q261" i="17"/>
  <c r="P261" i="17"/>
  <c r="O261" i="17"/>
  <c r="N261" i="17"/>
  <c r="M261" i="17"/>
  <c r="L261" i="17"/>
  <c r="K261" i="17"/>
  <c r="J261" i="17"/>
  <c r="I261" i="17"/>
  <c r="H261" i="17"/>
  <c r="G261" i="17"/>
  <c r="F261" i="17"/>
  <c r="AE260" i="17"/>
  <c r="AC260" i="17"/>
  <c r="AB260" i="17"/>
  <c r="AA260" i="17"/>
  <c r="Z260" i="17"/>
  <c r="Y260" i="17"/>
  <c r="X260" i="17"/>
  <c r="W260" i="17"/>
  <c r="V260" i="17"/>
  <c r="U260" i="17"/>
  <c r="T260" i="17"/>
  <c r="S260" i="17"/>
  <c r="R260" i="17"/>
  <c r="Q260" i="17"/>
  <c r="P260" i="17"/>
  <c r="O260" i="17"/>
  <c r="N260" i="17"/>
  <c r="M260" i="17"/>
  <c r="L260" i="17"/>
  <c r="K260" i="17"/>
  <c r="J260" i="17"/>
  <c r="I260" i="17"/>
  <c r="H260" i="17"/>
  <c r="G260" i="17"/>
  <c r="F260" i="17"/>
  <c r="AE259" i="17"/>
  <c r="AC259" i="17"/>
  <c r="AB259" i="17"/>
  <c r="AA259" i="17"/>
  <c r="Z259" i="17"/>
  <c r="Y259" i="17"/>
  <c r="X259" i="17"/>
  <c r="W259" i="17"/>
  <c r="V259" i="17"/>
  <c r="U259" i="17"/>
  <c r="T259" i="17"/>
  <c r="S259" i="17"/>
  <c r="R259" i="17"/>
  <c r="Q259" i="17"/>
  <c r="P259" i="17"/>
  <c r="O259" i="17"/>
  <c r="N259" i="17"/>
  <c r="M259" i="17"/>
  <c r="L259" i="17"/>
  <c r="K259" i="17"/>
  <c r="J259" i="17"/>
  <c r="I259" i="17"/>
  <c r="H259" i="17"/>
  <c r="G259" i="17"/>
  <c r="F259" i="17"/>
  <c r="AE258" i="17"/>
  <c r="AC258" i="17"/>
  <c r="AB258" i="17"/>
  <c r="AA258" i="17"/>
  <c r="Z258" i="17"/>
  <c r="Y258" i="17"/>
  <c r="X258" i="17"/>
  <c r="W258" i="17"/>
  <c r="V258" i="17"/>
  <c r="U258" i="17"/>
  <c r="T258" i="17"/>
  <c r="S258" i="17"/>
  <c r="R258" i="17"/>
  <c r="Q258" i="17"/>
  <c r="P258" i="17"/>
  <c r="O258" i="17"/>
  <c r="N258" i="17"/>
  <c r="M258" i="17"/>
  <c r="L258" i="17"/>
  <c r="K258" i="17"/>
  <c r="J258" i="17"/>
  <c r="I258" i="17"/>
  <c r="H258" i="17"/>
  <c r="G258" i="17"/>
  <c r="F258" i="17"/>
  <c r="AE257" i="17"/>
  <c r="AC257" i="17"/>
  <c r="AB257" i="17"/>
  <c r="AA257" i="17"/>
  <c r="Z257" i="17"/>
  <c r="Y257" i="17"/>
  <c r="X257" i="17"/>
  <c r="W257" i="17"/>
  <c r="V257" i="17"/>
  <c r="U257" i="17"/>
  <c r="T257" i="17"/>
  <c r="S257" i="17"/>
  <c r="R257" i="17"/>
  <c r="Q257" i="17"/>
  <c r="P257" i="17"/>
  <c r="O257" i="17"/>
  <c r="N257" i="17"/>
  <c r="M257" i="17"/>
  <c r="L257" i="17"/>
  <c r="K257" i="17"/>
  <c r="J257" i="17"/>
  <c r="I257" i="17"/>
  <c r="H257" i="17"/>
  <c r="G257" i="17"/>
  <c r="F257" i="17"/>
  <c r="AE256" i="17"/>
  <c r="AC256" i="17"/>
  <c r="AB256" i="17"/>
  <c r="AA256" i="17"/>
  <c r="Z256" i="17"/>
  <c r="Y256" i="17"/>
  <c r="X256" i="17"/>
  <c r="W256" i="17"/>
  <c r="V256" i="17"/>
  <c r="U256" i="17"/>
  <c r="T256" i="17"/>
  <c r="S256" i="17"/>
  <c r="R256" i="17"/>
  <c r="Q256" i="17"/>
  <c r="P256" i="17"/>
  <c r="O256" i="17"/>
  <c r="N256" i="17"/>
  <c r="M256" i="17"/>
  <c r="L256" i="17"/>
  <c r="K256" i="17"/>
  <c r="J256" i="17"/>
  <c r="I256" i="17"/>
  <c r="H256" i="17"/>
  <c r="G256" i="17"/>
  <c r="F256" i="17"/>
  <c r="AE255" i="17"/>
  <c r="AC255" i="17"/>
  <c r="AB255" i="17"/>
  <c r="AA255" i="17"/>
  <c r="Z255" i="17"/>
  <c r="Y255" i="17"/>
  <c r="X255" i="17"/>
  <c r="W255" i="17"/>
  <c r="V255" i="17"/>
  <c r="U255" i="17"/>
  <c r="T255" i="17"/>
  <c r="S255" i="17"/>
  <c r="R255" i="17"/>
  <c r="Q255" i="17"/>
  <c r="P255" i="17"/>
  <c r="O255" i="17"/>
  <c r="N255" i="17"/>
  <c r="M255" i="17"/>
  <c r="L255" i="17"/>
  <c r="K255" i="17"/>
  <c r="J255" i="17"/>
  <c r="I255" i="17"/>
  <c r="H255" i="17"/>
  <c r="G255" i="17"/>
  <c r="F255" i="17"/>
  <c r="AE254" i="17"/>
  <c r="AC254" i="17"/>
  <c r="AB254" i="17"/>
  <c r="AA254" i="17"/>
  <c r="Z254" i="17"/>
  <c r="Y254" i="17"/>
  <c r="X254" i="17"/>
  <c r="W254" i="17"/>
  <c r="V254" i="17"/>
  <c r="U254" i="17"/>
  <c r="T254" i="17"/>
  <c r="S254" i="17"/>
  <c r="R254" i="17"/>
  <c r="Q254" i="17"/>
  <c r="P254" i="17"/>
  <c r="O254" i="17"/>
  <c r="N254" i="17"/>
  <c r="M254" i="17"/>
  <c r="L254" i="17"/>
  <c r="K254" i="17"/>
  <c r="J254" i="17"/>
  <c r="I254" i="17"/>
  <c r="H254" i="17"/>
  <c r="G254" i="17"/>
  <c r="F254" i="17"/>
  <c r="AE253" i="17"/>
  <c r="AC253" i="17"/>
  <c r="AB253" i="17"/>
  <c r="AA253" i="17"/>
  <c r="Z253" i="17"/>
  <c r="Y253" i="17"/>
  <c r="X253" i="17"/>
  <c r="W253" i="17"/>
  <c r="V253" i="17"/>
  <c r="U253" i="17"/>
  <c r="T253" i="17"/>
  <c r="S253" i="17"/>
  <c r="R253" i="17"/>
  <c r="Q253" i="17"/>
  <c r="P253" i="17"/>
  <c r="O253" i="17"/>
  <c r="N253" i="17"/>
  <c r="M253" i="17"/>
  <c r="L253" i="17"/>
  <c r="K253" i="17"/>
  <c r="J253" i="17"/>
  <c r="I253" i="17"/>
  <c r="H253" i="17"/>
  <c r="G253" i="17"/>
  <c r="F253" i="17"/>
  <c r="AE252" i="17"/>
  <c r="AC252" i="17"/>
  <c r="AB252" i="17"/>
  <c r="AA252" i="17"/>
  <c r="Z252" i="17"/>
  <c r="Y252" i="17"/>
  <c r="X252" i="17"/>
  <c r="W252" i="17"/>
  <c r="V252" i="17"/>
  <c r="U252" i="17"/>
  <c r="T252" i="17"/>
  <c r="S252" i="17"/>
  <c r="R252" i="17"/>
  <c r="Q252" i="17"/>
  <c r="P252" i="17"/>
  <c r="O252" i="17"/>
  <c r="N252" i="17"/>
  <c r="M252" i="17"/>
  <c r="L252" i="17"/>
  <c r="K252" i="17"/>
  <c r="J252" i="17"/>
  <c r="I252" i="17"/>
  <c r="H252" i="17"/>
  <c r="G252" i="17"/>
  <c r="F252" i="17"/>
  <c r="AE251" i="17"/>
  <c r="AC251" i="17"/>
  <c r="AB251" i="17"/>
  <c r="AA251" i="17"/>
  <c r="Z251" i="17"/>
  <c r="Y251" i="17"/>
  <c r="X251" i="17"/>
  <c r="W251" i="17"/>
  <c r="V251" i="17"/>
  <c r="U251" i="17"/>
  <c r="T251" i="17"/>
  <c r="S251" i="17"/>
  <c r="R251" i="17"/>
  <c r="Q251" i="17"/>
  <c r="P251" i="17"/>
  <c r="O251" i="17"/>
  <c r="N251" i="17"/>
  <c r="M251" i="17"/>
  <c r="L251" i="17"/>
  <c r="K251" i="17"/>
  <c r="J251" i="17"/>
  <c r="I251" i="17"/>
  <c r="H251" i="17"/>
  <c r="G251" i="17"/>
  <c r="F251" i="17"/>
  <c r="AE250" i="17"/>
  <c r="AC250" i="17"/>
  <c r="AB250" i="17"/>
  <c r="AA250" i="17"/>
  <c r="Z250" i="17"/>
  <c r="Y250" i="17"/>
  <c r="X250" i="17"/>
  <c r="W250" i="17"/>
  <c r="V250" i="17"/>
  <c r="U250" i="17"/>
  <c r="T250" i="17"/>
  <c r="S250" i="17"/>
  <c r="R250" i="17"/>
  <c r="Q250" i="17"/>
  <c r="P250" i="17"/>
  <c r="O250" i="17"/>
  <c r="N250" i="17"/>
  <c r="M250" i="17"/>
  <c r="L250" i="17"/>
  <c r="K250" i="17"/>
  <c r="J250" i="17"/>
  <c r="I250" i="17"/>
  <c r="H250" i="17"/>
  <c r="G250" i="17"/>
  <c r="F250" i="17"/>
  <c r="AE249" i="17"/>
  <c r="AC249" i="17"/>
  <c r="AB249" i="17"/>
  <c r="AA249" i="17"/>
  <c r="Z249" i="17"/>
  <c r="Y249" i="17"/>
  <c r="X249" i="17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AE248" i="17"/>
  <c r="AC248" i="17"/>
  <c r="AB248" i="17"/>
  <c r="AA248" i="17"/>
  <c r="Z248" i="17"/>
  <c r="Y248" i="17"/>
  <c r="X248" i="17"/>
  <c r="W248" i="17"/>
  <c r="V248" i="17"/>
  <c r="U248" i="17"/>
  <c r="T248" i="17"/>
  <c r="S248" i="17"/>
  <c r="R248" i="17"/>
  <c r="Q248" i="17"/>
  <c r="P248" i="17"/>
  <c r="O248" i="17"/>
  <c r="N248" i="17"/>
  <c r="M248" i="17"/>
  <c r="L248" i="17"/>
  <c r="K248" i="17"/>
  <c r="J248" i="17"/>
  <c r="I248" i="17"/>
  <c r="H248" i="17"/>
  <c r="G248" i="17"/>
  <c r="F248" i="17"/>
  <c r="AE247" i="17"/>
  <c r="AC247" i="17"/>
  <c r="AB247" i="17"/>
  <c r="AA247" i="17"/>
  <c r="Z247" i="17"/>
  <c r="Y247" i="17"/>
  <c r="X247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AE246" i="17"/>
  <c r="AC246" i="17"/>
  <c r="AB246" i="17"/>
  <c r="AA246" i="17"/>
  <c r="Z246" i="17"/>
  <c r="Y246" i="17"/>
  <c r="X246" i="17"/>
  <c r="W246" i="17"/>
  <c r="V246" i="17"/>
  <c r="U246" i="17"/>
  <c r="T246" i="17"/>
  <c r="S246" i="17"/>
  <c r="R246" i="17"/>
  <c r="Q246" i="17"/>
  <c r="P246" i="17"/>
  <c r="O246" i="17"/>
  <c r="N246" i="17"/>
  <c r="M246" i="17"/>
  <c r="L246" i="17"/>
  <c r="K246" i="17"/>
  <c r="J246" i="17"/>
  <c r="I246" i="17"/>
  <c r="H246" i="17"/>
  <c r="G246" i="17"/>
  <c r="F246" i="17"/>
  <c r="AE245" i="17"/>
  <c r="AC245" i="17"/>
  <c r="AB245" i="17"/>
  <c r="AA245" i="17"/>
  <c r="Z245" i="17"/>
  <c r="Y245" i="17"/>
  <c r="X245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AE244" i="17"/>
  <c r="AC244" i="17"/>
  <c r="AB244" i="17"/>
  <c r="AA244" i="17"/>
  <c r="Z244" i="17"/>
  <c r="Y244" i="17"/>
  <c r="X244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AE243" i="17"/>
  <c r="AC243" i="17"/>
  <c r="AB243" i="17"/>
  <c r="AA243" i="17"/>
  <c r="Z243" i="17"/>
  <c r="Y243" i="17"/>
  <c r="X243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AE242" i="17"/>
  <c r="AC242" i="17"/>
  <c r="AB242" i="17"/>
  <c r="AA242" i="17"/>
  <c r="Z242" i="17"/>
  <c r="Y242" i="17"/>
  <c r="X242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AE241" i="17"/>
  <c r="AC241" i="17"/>
  <c r="AB241" i="17"/>
  <c r="AA241" i="17"/>
  <c r="Z241" i="17"/>
  <c r="Y241" i="17"/>
  <c r="X241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AE240" i="17"/>
  <c r="AC240" i="17"/>
  <c r="AB240" i="17"/>
  <c r="AA240" i="17"/>
  <c r="Z240" i="17"/>
  <c r="Y240" i="17"/>
  <c r="X240" i="17"/>
  <c r="W240" i="17"/>
  <c r="V240" i="17"/>
  <c r="U240" i="17"/>
  <c r="T240" i="17"/>
  <c r="S240" i="17"/>
  <c r="R240" i="17"/>
  <c r="Q240" i="17"/>
  <c r="P240" i="17"/>
  <c r="O240" i="17"/>
  <c r="N240" i="17"/>
  <c r="M240" i="17"/>
  <c r="L240" i="17"/>
  <c r="K240" i="17"/>
  <c r="J240" i="17"/>
  <c r="I240" i="17"/>
  <c r="H240" i="17"/>
  <c r="G240" i="17"/>
  <c r="F240" i="17"/>
  <c r="AE239" i="17"/>
  <c r="AC239" i="17"/>
  <c r="AB239" i="17"/>
  <c r="AA239" i="17"/>
  <c r="Z239" i="17"/>
  <c r="Y239" i="17"/>
  <c r="X239" i="17"/>
  <c r="W239" i="17"/>
  <c r="V239" i="17"/>
  <c r="U239" i="17"/>
  <c r="T239" i="17"/>
  <c r="S239" i="17"/>
  <c r="R239" i="17"/>
  <c r="Q239" i="17"/>
  <c r="P239" i="17"/>
  <c r="O239" i="17"/>
  <c r="N239" i="17"/>
  <c r="M239" i="17"/>
  <c r="L239" i="17"/>
  <c r="K239" i="17"/>
  <c r="J239" i="17"/>
  <c r="I239" i="17"/>
  <c r="H239" i="17"/>
  <c r="G239" i="17"/>
  <c r="F239" i="17"/>
  <c r="AE238" i="17"/>
  <c r="AC238" i="17"/>
  <c r="AB238" i="17"/>
  <c r="AA238" i="17"/>
  <c r="Z238" i="17"/>
  <c r="Y238" i="17"/>
  <c r="X238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AE237" i="17"/>
  <c r="AC237" i="17"/>
  <c r="AB237" i="17"/>
  <c r="AA237" i="17"/>
  <c r="Z237" i="17"/>
  <c r="Y237" i="17"/>
  <c r="X237" i="17"/>
  <c r="W237" i="17"/>
  <c r="V237" i="17"/>
  <c r="U237" i="17"/>
  <c r="T237" i="17"/>
  <c r="S237" i="17"/>
  <c r="R237" i="17"/>
  <c r="Q237" i="17"/>
  <c r="P237" i="17"/>
  <c r="O237" i="17"/>
  <c r="N237" i="17"/>
  <c r="M237" i="17"/>
  <c r="L237" i="17"/>
  <c r="K237" i="17"/>
  <c r="J237" i="17"/>
  <c r="I237" i="17"/>
  <c r="H237" i="17"/>
  <c r="G237" i="17"/>
  <c r="F237" i="17"/>
  <c r="AE236" i="17"/>
  <c r="AC236" i="17"/>
  <c r="AB236" i="17"/>
  <c r="AA236" i="17"/>
  <c r="Z236" i="17"/>
  <c r="Y236" i="17"/>
  <c r="X236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AE235" i="17"/>
  <c r="AC235" i="17"/>
  <c r="AB235" i="17"/>
  <c r="AA235" i="17"/>
  <c r="Z235" i="17"/>
  <c r="Y235" i="17"/>
  <c r="X235" i="17"/>
  <c r="W235" i="17"/>
  <c r="V235" i="17"/>
  <c r="U235" i="17"/>
  <c r="T235" i="17"/>
  <c r="S235" i="17"/>
  <c r="R235" i="17"/>
  <c r="Q235" i="17"/>
  <c r="P235" i="17"/>
  <c r="O235" i="17"/>
  <c r="N235" i="17"/>
  <c r="M235" i="17"/>
  <c r="L235" i="17"/>
  <c r="K235" i="17"/>
  <c r="J235" i="17"/>
  <c r="I235" i="17"/>
  <c r="H235" i="17"/>
  <c r="G235" i="17"/>
  <c r="F235" i="17"/>
  <c r="AE234" i="17"/>
  <c r="AC234" i="17"/>
  <c r="AB234" i="17"/>
  <c r="AA234" i="17"/>
  <c r="Z234" i="17"/>
  <c r="Y234" i="17"/>
  <c r="X234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AE233" i="17"/>
  <c r="AC233" i="17"/>
  <c r="AB233" i="17"/>
  <c r="AA233" i="17"/>
  <c r="Z233" i="17"/>
  <c r="Y233" i="17"/>
  <c r="X233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AE232" i="17"/>
  <c r="AC232" i="17"/>
  <c r="AB232" i="17"/>
  <c r="AA232" i="17"/>
  <c r="Z232" i="17"/>
  <c r="Y232" i="17"/>
  <c r="X232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AE231" i="17"/>
  <c r="AC231" i="17"/>
  <c r="AB231" i="17"/>
  <c r="AA231" i="17"/>
  <c r="Z231" i="17"/>
  <c r="Y231" i="17"/>
  <c r="X231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AE230" i="17"/>
  <c r="AC230" i="17"/>
  <c r="AB230" i="17"/>
  <c r="AA230" i="17"/>
  <c r="Z230" i="17"/>
  <c r="Y230" i="17"/>
  <c r="X230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AE229" i="17"/>
  <c r="AC229" i="17"/>
  <c r="AB229" i="17"/>
  <c r="AA229" i="17"/>
  <c r="Z229" i="17"/>
  <c r="Y229" i="17"/>
  <c r="X229" i="17"/>
  <c r="W229" i="17"/>
  <c r="V229" i="17"/>
  <c r="U229" i="17"/>
  <c r="T229" i="17"/>
  <c r="S229" i="17"/>
  <c r="R229" i="17"/>
  <c r="Q229" i="17"/>
  <c r="P229" i="17"/>
  <c r="O229" i="17"/>
  <c r="N229" i="17"/>
  <c r="M229" i="17"/>
  <c r="L229" i="17"/>
  <c r="K229" i="17"/>
  <c r="J229" i="17"/>
  <c r="I229" i="17"/>
  <c r="H229" i="17"/>
  <c r="G229" i="17"/>
  <c r="F229" i="17"/>
  <c r="AE228" i="17"/>
  <c r="AC228" i="17"/>
  <c r="AB228" i="17"/>
  <c r="AA228" i="17"/>
  <c r="Z228" i="17"/>
  <c r="Y228" i="17"/>
  <c r="X228" i="17"/>
  <c r="W228" i="17"/>
  <c r="V228" i="17"/>
  <c r="U228" i="17"/>
  <c r="T228" i="17"/>
  <c r="S228" i="17"/>
  <c r="R228" i="17"/>
  <c r="Q228" i="17"/>
  <c r="P228" i="17"/>
  <c r="O228" i="17"/>
  <c r="N228" i="17"/>
  <c r="M228" i="17"/>
  <c r="L228" i="17"/>
  <c r="K228" i="17"/>
  <c r="J228" i="17"/>
  <c r="I228" i="17"/>
  <c r="H228" i="17"/>
  <c r="G228" i="17"/>
  <c r="F228" i="17"/>
  <c r="AE227" i="17"/>
  <c r="AC227" i="17"/>
  <c r="AB227" i="17"/>
  <c r="AA227" i="17"/>
  <c r="Z227" i="17"/>
  <c r="Y227" i="17"/>
  <c r="X227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AE226" i="17"/>
  <c r="AC226" i="17"/>
  <c r="AB226" i="17"/>
  <c r="AA226" i="17"/>
  <c r="Z226" i="17"/>
  <c r="Y226" i="17"/>
  <c r="X226" i="17"/>
  <c r="W226" i="17"/>
  <c r="V226" i="17"/>
  <c r="U226" i="17"/>
  <c r="T226" i="17"/>
  <c r="S226" i="17"/>
  <c r="R226" i="17"/>
  <c r="Q226" i="17"/>
  <c r="P226" i="17"/>
  <c r="O226" i="17"/>
  <c r="N226" i="17"/>
  <c r="M226" i="17"/>
  <c r="L226" i="17"/>
  <c r="K226" i="17"/>
  <c r="J226" i="17"/>
  <c r="I226" i="17"/>
  <c r="H226" i="17"/>
  <c r="G226" i="17"/>
  <c r="F226" i="17"/>
  <c r="AE225" i="17"/>
  <c r="AC225" i="17"/>
  <c r="AB225" i="17"/>
  <c r="AA225" i="17"/>
  <c r="Z225" i="17"/>
  <c r="Y225" i="17"/>
  <c r="X225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AE224" i="17"/>
  <c r="AC224" i="17"/>
  <c r="AB224" i="17"/>
  <c r="AA224" i="17"/>
  <c r="Z224" i="17"/>
  <c r="Y224" i="17"/>
  <c r="X224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AE223" i="17"/>
  <c r="AC223" i="17"/>
  <c r="AB223" i="17"/>
  <c r="AA223" i="17"/>
  <c r="Z223" i="17"/>
  <c r="Y223" i="17"/>
  <c r="X223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AE222" i="17"/>
  <c r="AC222" i="17"/>
  <c r="AB222" i="17"/>
  <c r="AA222" i="17"/>
  <c r="Z222" i="17"/>
  <c r="Y222" i="17"/>
  <c r="X222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AE221" i="17"/>
  <c r="AC221" i="17"/>
  <c r="AB221" i="17"/>
  <c r="AA221" i="17"/>
  <c r="Z221" i="17"/>
  <c r="Y221" i="17"/>
  <c r="X221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AE220" i="17"/>
  <c r="AC220" i="17"/>
  <c r="AB220" i="17"/>
  <c r="AA220" i="17"/>
  <c r="Z220" i="17"/>
  <c r="Y220" i="17"/>
  <c r="X220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AE219" i="17"/>
  <c r="AC219" i="17"/>
  <c r="AB219" i="17"/>
  <c r="AA219" i="17"/>
  <c r="Z219" i="17"/>
  <c r="Y219" i="17"/>
  <c r="X219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AE218" i="17"/>
  <c r="AC218" i="17"/>
  <c r="AB218" i="17"/>
  <c r="AA218" i="17"/>
  <c r="Z218" i="17"/>
  <c r="Y218" i="17"/>
  <c r="X218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AE217" i="17"/>
  <c r="AC217" i="17"/>
  <c r="AB217" i="17"/>
  <c r="AA217" i="17"/>
  <c r="Z217" i="17"/>
  <c r="Y217" i="17"/>
  <c r="X217" i="17"/>
  <c r="W217" i="17"/>
  <c r="V217" i="17"/>
  <c r="U217" i="17"/>
  <c r="T217" i="17"/>
  <c r="S217" i="17"/>
  <c r="R217" i="17"/>
  <c r="Q217" i="17"/>
  <c r="P217" i="17"/>
  <c r="O217" i="17"/>
  <c r="N217" i="17"/>
  <c r="M217" i="17"/>
  <c r="L217" i="17"/>
  <c r="K217" i="17"/>
  <c r="J217" i="17"/>
  <c r="I217" i="17"/>
  <c r="H217" i="17"/>
  <c r="G217" i="17"/>
  <c r="F217" i="17"/>
  <c r="AE216" i="17"/>
  <c r="AC216" i="17"/>
  <c r="AB216" i="17"/>
  <c r="AA216" i="17"/>
  <c r="Z216" i="17"/>
  <c r="Y216" i="17"/>
  <c r="X216" i="17"/>
  <c r="W216" i="17"/>
  <c r="V216" i="17"/>
  <c r="U216" i="17"/>
  <c r="T216" i="17"/>
  <c r="S216" i="17"/>
  <c r="R216" i="17"/>
  <c r="Q216" i="17"/>
  <c r="P216" i="17"/>
  <c r="O216" i="17"/>
  <c r="N216" i="17"/>
  <c r="M216" i="17"/>
  <c r="L216" i="17"/>
  <c r="K216" i="17"/>
  <c r="J216" i="17"/>
  <c r="I216" i="17"/>
  <c r="H216" i="17"/>
  <c r="G216" i="17"/>
  <c r="F216" i="17"/>
  <c r="AE215" i="17"/>
  <c r="AC215" i="17"/>
  <c r="AB215" i="17"/>
  <c r="AA215" i="17"/>
  <c r="Z215" i="17"/>
  <c r="Y215" i="17"/>
  <c r="X215" i="17"/>
  <c r="W215" i="17"/>
  <c r="V215" i="17"/>
  <c r="U215" i="17"/>
  <c r="T215" i="17"/>
  <c r="S215" i="17"/>
  <c r="R215" i="17"/>
  <c r="Q215" i="17"/>
  <c r="P215" i="17"/>
  <c r="O215" i="17"/>
  <c r="N215" i="17"/>
  <c r="M215" i="17"/>
  <c r="L215" i="17"/>
  <c r="K215" i="17"/>
  <c r="J215" i="17"/>
  <c r="I215" i="17"/>
  <c r="H215" i="17"/>
  <c r="G215" i="17"/>
  <c r="F215" i="17"/>
  <c r="AE214" i="17"/>
  <c r="AC214" i="17"/>
  <c r="AB214" i="17"/>
  <c r="AA214" i="17"/>
  <c r="Z214" i="17"/>
  <c r="Y214" i="17"/>
  <c r="X214" i="17"/>
  <c r="W214" i="17"/>
  <c r="V214" i="17"/>
  <c r="U214" i="17"/>
  <c r="T214" i="17"/>
  <c r="S214" i="17"/>
  <c r="R214" i="17"/>
  <c r="Q214" i="17"/>
  <c r="P214" i="17"/>
  <c r="O214" i="17"/>
  <c r="N214" i="17"/>
  <c r="M214" i="17"/>
  <c r="L214" i="17"/>
  <c r="K214" i="17"/>
  <c r="J214" i="17"/>
  <c r="I214" i="17"/>
  <c r="H214" i="17"/>
  <c r="G214" i="17"/>
  <c r="F214" i="17"/>
  <c r="AE213" i="17"/>
  <c r="AC213" i="17"/>
  <c r="AB213" i="17"/>
  <c r="AA213" i="17"/>
  <c r="Z213" i="17"/>
  <c r="Y213" i="17"/>
  <c r="X213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AE212" i="17"/>
  <c r="AC212" i="17"/>
  <c r="AB212" i="17"/>
  <c r="AA212" i="17"/>
  <c r="Z212" i="17"/>
  <c r="Y212" i="17"/>
  <c r="X212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AE211" i="17"/>
  <c r="AC211" i="17"/>
  <c r="AB211" i="17"/>
  <c r="AA211" i="17"/>
  <c r="Z211" i="17"/>
  <c r="Y211" i="17"/>
  <c r="X211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AE210" i="17"/>
  <c r="AC210" i="17"/>
  <c r="AB210" i="17"/>
  <c r="AA210" i="17"/>
  <c r="Z210" i="17"/>
  <c r="Y210" i="17"/>
  <c r="X210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AE209" i="17"/>
  <c r="AC209" i="17"/>
  <c r="AB209" i="17"/>
  <c r="AA209" i="17"/>
  <c r="Z209" i="17"/>
  <c r="Y209" i="17"/>
  <c r="X209" i="17"/>
  <c r="W209" i="17"/>
  <c r="V209" i="17"/>
  <c r="U209" i="17"/>
  <c r="T209" i="17"/>
  <c r="S209" i="17"/>
  <c r="R209" i="17"/>
  <c r="Q209" i="17"/>
  <c r="P209" i="17"/>
  <c r="O209" i="17"/>
  <c r="N209" i="17"/>
  <c r="M209" i="17"/>
  <c r="L209" i="17"/>
  <c r="K209" i="17"/>
  <c r="J209" i="17"/>
  <c r="I209" i="17"/>
  <c r="H209" i="17"/>
  <c r="G209" i="17"/>
  <c r="F209" i="17"/>
  <c r="AE208" i="17"/>
  <c r="AC208" i="17"/>
  <c r="AB208" i="17"/>
  <c r="AA208" i="17"/>
  <c r="Z208" i="17"/>
  <c r="Y208" i="17"/>
  <c r="X208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AE207" i="17"/>
  <c r="AC207" i="17"/>
  <c r="AB207" i="17"/>
  <c r="AA207" i="17"/>
  <c r="Z207" i="17"/>
  <c r="Y207" i="17"/>
  <c r="X207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AE206" i="17"/>
  <c r="AC206" i="17"/>
  <c r="AB206" i="17"/>
  <c r="AA206" i="17"/>
  <c r="Z206" i="17"/>
  <c r="Y206" i="17"/>
  <c r="X206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AE205" i="17"/>
  <c r="AC205" i="17"/>
  <c r="AB205" i="17"/>
  <c r="AA205" i="17"/>
  <c r="Z205" i="17"/>
  <c r="Y205" i="17"/>
  <c r="X205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AE204" i="17"/>
  <c r="AC204" i="17"/>
  <c r="AB204" i="17"/>
  <c r="AA204" i="17"/>
  <c r="Z204" i="17"/>
  <c r="Y204" i="17"/>
  <c r="X204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AE203" i="17"/>
  <c r="AC203" i="17"/>
  <c r="AB203" i="17"/>
  <c r="AA203" i="17"/>
  <c r="Z203" i="17"/>
  <c r="Y203" i="17"/>
  <c r="X203" i="17"/>
  <c r="W203" i="17"/>
  <c r="V203" i="17"/>
  <c r="U203" i="17"/>
  <c r="T203" i="17"/>
  <c r="S203" i="17"/>
  <c r="R203" i="17"/>
  <c r="Q203" i="17"/>
  <c r="P203" i="17"/>
  <c r="O203" i="17"/>
  <c r="N203" i="17"/>
  <c r="M203" i="17"/>
  <c r="L203" i="17"/>
  <c r="K203" i="17"/>
  <c r="J203" i="17"/>
  <c r="I203" i="17"/>
  <c r="H203" i="17"/>
  <c r="G203" i="17"/>
  <c r="F203" i="17"/>
  <c r="AE202" i="17"/>
  <c r="AC202" i="17"/>
  <c r="AB202" i="17"/>
  <c r="AA202" i="17"/>
  <c r="Z202" i="17"/>
  <c r="Y202" i="17"/>
  <c r="X202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AE201" i="17"/>
  <c r="AC201" i="17"/>
  <c r="AB201" i="17"/>
  <c r="AA201" i="17"/>
  <c r="Z201" i="17"/>
  <c r="Y201" i="17"/>
  <c r="X201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AE200" i="17"/>
  <c r="AC200" i="17"/>
  <c r="AB200" i="17"/>
  <c r="AA200" i="17"/>
  <c r="Z200" i="17"/>
  <c r="Y200" i="17"/>
  <c r="X200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AE199" i="17"/>
  <c r="AC199" i="17"/>
  <c r="AB199" i="17"/>
  <c r="AA199" i="17"/>
  <c r="Z199" i="17"/>
  <c r="Y199" i="17"/>
  <c r="X199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AE198" i="17"/>
  <c r="AC198" i="17"/>
  <c r="AB198" i="17"/>
  <c r="AA198" i="17"/>
  <c r="Z198" i="17"/>
  <c r="Y198" i="17"/>
  <c r="X198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AE197" i="17"/>
  <c r="AC197" i="17"/>
  <c r="AB197" i="17"/>
  <c r="AA197" i="17"/>
  <c r="Z197" i="17"/>
  <c r="Y197" i="17"/>
  <c r="X197" i="17"/>
  <c r="W197" i="17"/>
  <c r="V197" i="17"/>
  <c r="U197" i="17"/>
  <c r="T197" i="17"/>
  <c r="S197" i="17"/>
  <c r="R197" i="17"/>
  <c r="Q197" i="17"/>
  <c r="P197" i="17"/>
  <c r="O197" i="17"/>
  <c r="N197" i="17"/>
  <c r="M197" i="17"/>
  <c r="L197" i="17"/>
  <c r="K197" i="17"/>
  <c r="J197" i="17"/>
  <c r="I197" i="17"/>
  <c r="H197" i="17"/>
  <c r="G197" i="17"/>
  <c r="F197" i="17"/>
  <c r="AE196" i="17"/>
  <c r="AC196" i="17"/>
  <c r="AB196" i="17"/>
  <c r="AA196" i="17"/>
  <c r="Z196" i="17"/>
  <c r="Y196" i="17"/>
  <c r="X196" i="17"/>
  <c r="W196" i="17"/>
  <c r="V196" i="17"/>
  <c r="U196" i="17"/>
  <c r="T196" i="17"/>
  <c r="S196" i="17"/>
  <c r="R196" i="17"/>
  <c r="Q196" i="17"/>
  <c r="P196" i="17"/>
  <c r="O196" i="17"/>
  <c r="N196" i="17"/>
  <c r="M196" i="17"/>
  <c r="L196" i="17"/>
  <c r="K196" i="17"/>
  <c r="J196" i="17"/>
  <c r="I196" i="17"/>
  <c r="H196" i="17"/>
  <c r="G196" i="17"/>
  <c r="F196" i="17"/>
  <c r="AE195" i="17"/>
  <c r="AC195" i="17"/>
  <c r="AB195" i="17"/>
  <c r="AA195" i="17"/>
  <c r="Z195" i="17"/>
  <c r="Y195" i="17"/>
  <c r="X195" i="17"/>
  <c r="W195" i="17"/>
  <c r="V195" i="17"/>
  <c r="U195" i="17"/>
  <c r="T195" i="17"/>
  <c r="S195" i="17"/>
  <c r="R195" i="17"/>
  <c r="Q195" i="17"/>
  <c r="P195" i="17"/>
  <c r="O195" i="17"/>
  <c r="N195" i="17"/>
  <c r="M195" i="17"/>
  <c r="L195" i="17"/>
  <c r="K195" i="17"/>
  <c r="J195" i="17"/>
  <c r="I195" i="17"/>
  <c r="H195" i="17"/>
  <c r="G195" i="17"/>
  <c r="F195" i="17"/>
  <c r="AE194" i="17"/>
  <c r="AC194" i="17"/>
  <c r="AB194" i="17"/>
  <c r="AA194" i="17"/>
  <c r="Z194" i="17"/>
  <c r="Y194" i="17"/>
  <c r="X194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AE193" i="17"/>
  <c r="AC193" i="17"/>
  <c r="AB193" i="17"/>
  <c r="AA193" i="17"/>
  <c r="Z193" i="17"/>
  <c r="Y193" i="17"/>
  <c r="X193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AE192" i="17"/>
  <c r="AC192" i="17"/>
  <c r="AB192" i="17"/>
  <c r="AA192" i="17"/>
  <c r="Z192" i="17"/>
  <c r="Y192" i="17"/>
  <c r="X192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AE191" i="17"/>
  <c r="AC191" i="17"/>
  <c r="AB191" i="17"/>
  <c r="AA191" i="17"/>
  <c r="Z191" i="17"/>
  <c r="Y191" i="17"/>
  <c r="X191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AE190" i="17"/>
  <c r="AC190" i="17"/>
  <c r="AB190" i="17"/>
  <c r="AA190" i="17"/>
  <c r="Z190" i="17"/>
  <c r="Y190" i="17"/>
  <c r="X190" i="17"/>
  <c r="W190" i="17"/>
  <c r="V190" i="17"/>
  <c r="U190" i="17"/>
  <c r="T190" i="17"/>
  <c r="S190" i="17"/>
  <c r="R190" i="17"/>
  <c r="Q190" i="17"/>
  <c r="P190" i="17"/>
  <c r="O190" i="17"/>
  <c r="N190" i="17"/>
  <c r="M190" i="17"/>
  <c r="L190" i="17"/>
  <c r="K190" i="17"/>
  <c r="J190" i="17"/>
  <c r="I190" i="17"/>
  <c r="H190" i="17"/>
  <c r="G190" i="17"/>
  <c r="F190" i="17"/>
  <c r="AE189" i="17"/>
  <c r="AC189" i="17"/>
  <c r="AB189" i="17"/>
  <c r="AA189" i="17"/>
  <c r="Z189" i="17"/>
  <c r="Y189" i="17"/>
  <c r="X189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AE188" i="17"/>
  <c r="AC188" i="17"/>
  <c r="AB188" i="17"/>
  <c r="AA188" i="17"/>
  <c r="Z188" i="17"/>
  <c r="Y188" i="17"/>
  <c r="X188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AE187" i="17"/>
  <c r="AC187" i="17"/>
  <c r="AB187" i="17"/>
  <c r="AA187" i="17"/>
  <c r="Z187" i="17"/>
  <c r="Y187" i="17"/>
  <c r="X187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AE186" i="17"/>
  <c r="AC186" i="17"/>
  <c r="AB186" i="17"/>
  <c r="AA186" i="17"/>
  <c r="Z186" i="17"/>
  <c r="Y186" i="17"/>
  <c r="X186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AE185" i="17"/>
  <c r="AC185" i="17"/>
  <c r="AB185" i="17"/>
  <c r="AA185" i="17"/>
  <c r="Z185" i="17"/>
  <c r="Y185" i="17"/>
  <c r="X185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AE184" i="17"/>
  <c r="AC184" i="17"/>
  <c r="AB184" i="17"/>
  <c r="AA184" i="17"/>
  <c r="Z184" i="17"/>
  <c r="Y184" i="17"/>
  <c r="X184" i="17"/>
  <c r="W184" i="17"/>
  <c r="V184" i="17"/>
  <c r="U184" i="17"/>
  <c r="T184" i="17"/>
  <c r="S184" i="17"/>
  <c r="R184" i="17"/>
  <c r="Q184" i="17"/>
  <c r="P184" i="17"/>
  <c r="O184" i="17"/>
  <c r="N184" i="17"/>
  <c r="M184" i="17"/>
  <c r="L184" i="17"/>
  <c r="K184" i="17"/>
  <c r="J184" i="17"/>
  <c r="I184" i="17"/>
  <c r="H184" i="17"/>
  <c r="G184" i="17"/>
  <c r="F184" i="17"/>
  <c r="AE183" i="17"/>
  <c r="AC183" i="17"/>
  <c r="AB183" i="17"/>
  <c r="AA183" i="17"/>
  <c r="Z183" i="17"/>
  <c r="Y183" i="17"/>
  <c r="X183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AE182" i="17"/>
  <c r="AC182" i="17"/>
  <c r="AB182" i="17"/>
  <c r="AA182" i="17"/>
  <c r="Z182" i="17"/>
  <c r="Y182" i="17"/>
  <c r="X182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AE181" i="17"/>
  <c r="AC181" i="17"/>
  <c r="AB181" i="17"/>
  <c r="AA181" i="17"/>
  <c r="Z181" i="17"/>
  <c r="Y181" i="17"/>
  <c r="X181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AE180" i="17"/>
  <c r="AC180" i="17"/>
  <c r="AB180" i="17"/>
  <c r="AA180" i="17"/>
  <c r="Z180" i="17"/>
  <c r="Y180" i="17"/>
  <c r="X180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AE179" i="17"/>
  <c r="AC179" i="17"/>
  <c r="AB179" i="17"/>
  <c r="AA179" i="17"/>
  <c r="Z179" i="17"/>
  <c r="Y179" i="17"/>
  <c r="X179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AE178" i="17"/>
  <c r="AC178" i="17"/>
  <c r="AB178" i="17"/>
  <c r="AA178" i="17"/>
  <c r="Z178" i="17"/>
  <c r="Y178" i="17"/>
  <c r="X178" i="17"/>
  <c r="W178" i="17"/>
  <c r="V178" i="17"/>
  <c r="U178" i="17"/>
  <c r="T178" i="17"/>
  <c r="S178" i="17"/>
  <c r="R178" i="17"/>
  <c r="Q178" i="17"/>
  <c r="P178" i="17"/>
  <c r="O178" i="17"/>
  <c r="N178" i="17"/>
  <c r="M178" i="17"/>
  <c r="L178" i="17"/>
  <c r="K178" i="17"/>
  <c r="J178" i="17"/>
  <c r="I178" i="17"/>
  <c r="H178" i="17"/>
  <c r="G178" i="17"/>
  <c r="F178" i="17"/>
  <c r="AE177" i="17"/>
  <c r="AC177" i="17"/>
  <c r="AB177" i="17"/>
  <c r="AA177" i="17"/>
  <c r="Z177" i="17"/>
  <c r="Y177" i="17"/>
  <c r="X177" i="17"/>
  <c r="W177" i="17"/>
  <c r="V177" i="17"/>
  <c r="U177" i="17"/>
  <c r="T177" i="17"/>
  <c r="S177" i="17"/>
  <c r="R177" i="17"/>
  <c r="Q177" i="17"/>
  <c r="P177" i="17"/>
  <c r="O177" i="17"/>
  <c r="N177" i="17"/>
  <c r="M177" i="17"/>
  <c r="L177" i="17"/>
  <c r="K177" i="17"/>
  <c r="J177" i="17"/>
  <c r="I177" i="17"/>
  <c r="H177" i="17"/>
  <c r="G177" i="17"/>
  <c r="F177" i="17"/>
  <c r="AE176" i="17"/>
  <c r="AC176" i="17"/>
  <c r="AB176" i="17"/>
  <c r="AA176" i="17"/>
  <c r="Z176" i="17"/>
  <c r="Y176" i="17"/>
  <c r="X176" i="17"/>
  <c r="W176" i="17"/>
  <c r="V176" i="17"/>
  <c r="U176" i="17"/>
  <c r="T176" i="17"/>
  <c r="S176" i="17"/>
  <c r="R176" i="17"/>
  <c r="Q176" i="17"/>
  <c r="P176" i="17"/>
  <c r="O176" i="17"/>
  <c r="N176" i="17"/>
  <c r="M176" i="17"/>
  <c r="L176" i="17"/>
  <c r="K176" i="17"/>
  <c r="J176" i="17"/>
  <c r="I176" i="17"/>
  <c r="H176" i="17"/>
  <c r="G176" i="17"/>
  <c r="F176" i="17"/>
  <c r="AE175" i="17"/>
  <c r="AC175" i="17"/>
  <c r="AB175" i="17"/>
  <c r="AA175" i="17"/>
  <c r="Z175" i="17"/>
  <c r="Y175" i="17"/>
  <c r="X175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AE174" i="17"/>
  <c r="AC174" i="17"/>
  <c r="AB174" i="17"/>
  <c r="AA174" i="17"/>
  <c r="Z174" i="17"/>
  <c r="Y174" i="17"/>
  <c r="X174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AE173" i="17"/>
  <c r="AC173" i="17"/>
  <c r="AB173" i="17"/>
  <c r="AA173" i="17"/>
  <c r="Z173" i="17"/>
  <c r="Y173" i="17"/>
  <c r="X173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AE172" i="17"/>
  <c r="AC172" i="17"/>
  <c r="AB172" i="17"/>
  <c r="AA172" i="17"/>
  <c r="Z172" i="17"/>
  <c r="Y172" i="17"/>
  <c r="X172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AE171" i="17"/>
  <c r="AC171" i="17"/>
  <c r="AB171" i="17"/>
  <c r="AA171" i="17"/>
  <c r="Z171" i="17"/>
  <c r="Y171" i="17"/>
  <c r="X171" i="17"/>
  <c r="W171" i="17"/>
  <c r="V171" i="17"/>
  <c r="U171" i="17"/>
  <c r="T171" i="17"/>
  <c r="S171" i="17"/>
  <c r="R171" i="17"/>
  <c r="Q171" i="17"/>
  <c r="P171" i="17"/>
  <c r="O171" i="17"/>
  <c r="N171" i="17"/>
  <c r="M171" i="17"/>
  <c r="L171" i="17"/>
  <c r="K171" i="17"/>
  <c r="J171" i="17"/>
  <c r="I171" i="17"/>
  <c r="H171" i="17"/>
  <c r="G171" i="17"/>
  <c r="F171" i="17"/>
  <c r="AE170" i="17"/>
  <c r="AC170" i="17"/>
  <c r="AB170" i="17"/>
  <c r="AA170" i="17"/>
  <c r="Z170" i="17"/>
  <c r="Y170" i="17"/>
  <c r="X170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AE169" i="17"/>
  <c r="AC169" i="17"/>
  <c r="AB169" i="17"/>
  <c r="AA169" i="17"/>
  <c r="Z169" i="17"/>
  <c r="Y169" i="17"/>
  <c r="X169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AE168" i="17"/>
  <c r="AC168" i="17"/>
  <c r="AB168" i="17"/>
  <c r="AA168" i="17"/>
  <c r="Z168" i="17"/>
  <c r="Y168" i="17"/>
  <c r="X168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AE167" i="17"/>
  <c r="AC167" i="17"/>
  <c r="AB167" i="17"/>
  <c r="AA167" i="17"/>
  <c r="Z167" i="17"/>
  <c r="Y167" i="17"/>
  <c r="X167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AE166" i="17"/>
  <c r="AC166" i="17"/>
  <c r="AB166" i="17"/>
  <c r="AA166" i="17"/>
  <c r="Z166" i="17"/>
  <c r="Y166" i="17"/>
  <c r="X166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AE165" i="17"/>
  <c r="AC165" i="17"/>
  <c r="AB165" i="17"/>
  <c r="AA165" i="17"/>
  <c r="Z165" i="17"/>
  <c r="Y165" i="17"/>
  <c r="X165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AE164" i="17"/>
  <c r="AC164" i="17"/>
  <c r="AB164" i="17"/>
  <c r="AA164" i="17"/>
  <c r="Z164" i="17"/>
  <c r="Y164" i="17"/>
  <c r="X164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AE163" i="17"/>
  <c r="AC163" i="17"/>
  <c r="AB163" i="17"/>
  <c r="AA163" i="17"/>
  <c r="Z163" i="17"/>
  <c r="Y163" i="17"/>
  <c r="X163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AE162" i="17"/>
  <c r="AC162" i="17"/>
  <c r="AB162" i="17"/>
  <c r="AA162" i="17"/>
  <c r="Z162" i="17"/>
  <c r="Y162" i="17"/>
  <c r="X162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AE161" i="17"/>
  <c r="AC161" i="17"/>
  <c r="AB161" i="17"/>
  <c r="AA161" i="17"/>
  <c r="Z161" i="17"/>
  <c r="Y161" i="17"/>
  <c r="X161" i="17"/>
  <c r="W161" i="17"/>
  <c r="V161" i="17"/>
  <c r="U161" i="17"/>
  <c r="T161" i="17"/>
  <c r="S161" i="17"/>
  <c r="R161" i="17"/>
  <c r="Q161" i="17"/>
  <c r="P161" i="17"/>
  <c r="O161" i="17"/>
  <c r="N161" i="17"/>
  <c r="M161" i="17"/>
  <c r="L161" i="17"/>
  <c r="K161" i="17"/>
  <c r="J161" i="17"/>
  <c r="I161" i="17"/>
  <c r="H161" i="17"/>
  <c r="G161" i="17"/>
  <c r="F161" i="17"/>
  <c r="AE160" i="17"/>
  <c r="AC160" i="17"/>
  <c r="AB160" i="17"/>
  <c r="AA160" i="17"/>
  <c r="Z160" i="17"/>
  <c r="Y160" i="17"/>
  <c r="X160" i="17"/>
  <c r="W160" i="17"/>
  <c r="V160" i="17"/>
  <c r="U160" i="17"/>
  <c r="T160" i="17"/>
  <c r="S160" i="17"/>
  <c r="R160" i="17"/>
  <c r="Q160" i="17"/>
  <c r="P160" i="17"/>
  <c r="O160" i="17"/>
  <c r="N160" i="17"/>
  <c r="M160" i="17"/>
  <c r="L160" i="17"/>
  <c r="K160" i="17"/>
  <c r="J160" i="17"/>
  <c r="I160" i="17"/>
  <c r="H160" i="17"/>
  <c r="G160" i="17"/>
  <c r="F160" i="17"/>
  <c r="AE159" i="17"/>
  <c r="AC159" i="17"/>
  <c r="AB159" i="17"/>
  <c r="AA159" i="17"/>
  <c r="Z159" i="17"/>
  <c r="Y159" i="17"/>
  <c r="X159" i="17"/>
  <c r="W159" i="17"/>
  <c r="V159" i="17"/>
  <c r="U159" i="17"/>
  <c r="T159" i="17"/>
  <c r="S159" i="17"/>
  <c r="R159" i="17"/>
  <c r="Q159" i="17"/>
  <c r="P159" i="17"/>
  <c r="O159" i="17"/>
  <c r="N159" i="17"/>
  <c r="M159" i="17"/>
  <c r="L159" i="17"/>
  <c r="K159" i="17"/>
  <c r="J159" i="17"/>
  <c r="I159" i="17"/>
  <c r="H159" i="17"/>
  <c r="G159" i="17"/>
  <c r="F159" i="17"/>
  <c r="AE158" i="17"/>
  <c r="AC158" i="17"/>
  <c r="AB158" i="17"/>
  <c r="AA158" i="17"/>
  <c r="Z158" i="17"/>
  <c r="Y158" i="17"/>
  <c r="X158" i="17"/>
  <c r="W158" i="17"/>
  <c r="V158" i="17"/>
  <c r="U158" i="17"/>
  <c r="T158" i="17"/>
  <c r="S158" i="17"/>
  <c r="R158" i="17"/>
  <c r="Q158" i="17"/>
  <c r="P158" i="17"/>
  <c r="O158" i="17"/>
  <c r="N158" i="17"/>
  <c r="M158" i="17"/>
  <c r="L158" i="17"/>
  <c r="K158" i="17"/>
  <c r="J158" i="17"/>
  <c r="I158" i="17"/>
  <c r="H158" i="17"/>
  <c r="G158" i="17"/>
  <c r="F158" i="17"/>
  <c r="AE157" i="17"/>
  <c r="AC157" i="17"/>
  <c r="AB157" i="17"/>
  <c r="AA157" i="17"/>
  <c r="Z157" i="17"/>
  <c r="Y157" i="17"/>
  <c r="X157" i="17"/>
  <c r="W157" i="17"/>
  <c r="V157" i="17"/>
  <c r="U157" i="17"/>
  <c r="T157" i="17"/>
  <c r="S157" i="17"/>
  <c r="R157" i="17"/>
  <c r="Q157" i="17"/>
  <c r="P157" i="17"/>
  <c r="O157" i="17"/>
  <c r="N157" i="17"/>
  <c r="M157" i="17"/>
  <c r="L157" i="17"/>
  <c r="K157" i="17"/>
  <c r="J157" i="17"/>
  <c r="I157" i="17"/>
  <c r="H157" i="17"/>
  <c r="G157" i="17"/>
  <c r="F157" i="17"/>
  <c r="AE156" i="17"/>
  <c r="AC156" i="17"/>
  <c r="AB156" i="17"/>
  <c r="AA156" i="17"/>
  <c r="Z156" i="17"/>
  <c r="Y156" i="17"/>
  <c r="X156" i="17"/>
  <c r="W156" i="17"/>
  <c r="V156" i="17"/>
  <c r="U156" i="17"/>
  <c r="T156" i="17"/>
  <c r="S156" i="17"/>
  <c r="R156" i="17"/>
  <c r="Q156" i="17"/>
  <c r="P156" i="17"/>
  <c r="O156" i="17"/>
  <c r="N156" i="17"/>
  <c r="M156" i="17"/>
  <c r="L156" i="17"/>
  <c r="K156" i="17"/>
  <c r="J156" i="17"/>
  <c r="I156" i="17"/>
  <c r="H156" i="17"/>
  <c r="G156" i="17"/>
  <c r="F156" i="17"/>
  <c r="AE155" i="17"/>
  <c r="AC155" i="17"/>
  <c r="AB155" i="17"/>
  <c r="AA155" i="17"/>
  <c r="Z155" i="17"/>
  <c r="Y155" i="17"/>
  <c r="X155" i="17"/>
  <c r="W155" i="17"/>
  <c r="V155" i="17"/>
  <c r="U155" i="17"/>
  <c r="T155" i="17"/>
  <c r="S155" i="17"/>
  <c r="R155" i="17"/>
  <c r="Q155" i="17"/>
  <c r="P155" i="17"/>
  <c r="O155" i="17"/>
  <c r="N155" i="17"/>
  <c r="M155" i="17"/>
  <c r="L155" i="17"/>
  <c r="K155" i="17"/>
  <c r="J155" i="17"/>
  <c r="I155" i="17"/>
  <c r="H155" i="17"/>
  <c r="G155" i="17"/>
  <c r="F155" i="17"/>
  <c r="AE154" i="17"/>
  <c r="AC154" i="17"/>
  <c r="AB154" i="17"/>
  <c r="AA154" i="17"/>
  <c r="Z154" i="17"/>
  <c r="Y154" i="17"/>
  <c r="X154" i="17"/>
  <c r="W154" i="17"/>
  <c r="V154" i="17"/>
  <c r="U154" i="17"/>
  <c r="T154" i="17"/>
  <c r="S154" i="17"/>
  <c r="R154" i="17"/>
  <c r="Q154" i="17"/>
  <c r="P154" i="17"/>
  <c r="O154" i="17"/>
  <c r="N154" i="17"/>
  <c r="M154" i="17"/>
  <c r="L154" i="17"/>
  <c r="K154" i="17"/>
  <c r="J154" i="17"/>
  <c r="I154" i="17"/>
  <c r="H154" i="17"/>
  <c r="G154" i="17"/>
  <c r="F154" i="17"/>
  <c r="AE153" i="17"/>
  <c r="AC153" i="17"/>
  <c r="AB153" i="17"/>
  <c r="AA153" i="17"/>
  <c r="Z153" i="17"/>
  <c r="Y153" i="17"/>
  <c r="X153" i="17"/>
  <c r="W153" i="17"/>
  <c r="V153" i="17"/>
  <c r="U153" i="17"/>
  <c r="T153" i="17"/>
  <c r="S153" i="17"/>
  <c r="R153" i="17"/>
  <c r="Q153" i="17"/>
  <c r="P153" i="17"/>
  <c r="O153" i="17"/>
  <c r="N153" i="17"/>
  <c r="M153" i="17"/>
  <c r="L153" i="17"/>
  <c r="K153" i="17"/>
  <c r="J153" i="17"/>
  <c r="I153" i="17"/>
  <c r="H153" i="17"/>
  <c r="G153" i="17"/>
  <c r="F153" i="17"/>
  <c r="AE152" i="17"/>
  <c r="AC152" i="17"/>
  <c r="AB152" i="17"/>
  <c r="AA152" i="17"/>
  <c r="Z152" i="17"/>
  <c r="Y152" i="17"/>
  <c r="X152" i="17"/>
  <c r="W152" i="17"/>
  <c r="V152" i="17"/>
  <c r="U152" i="17"/>
  <c r="T152" i="17"/>
  <c r="S152" i="17"/>
  <c r="R152" i="17"/>
  <c r="Q152" i="17"/>
  <c r="P152" i="17"/>
  <c r="O152" i="17"/>
  <c r="N152" i="17"/>
  <c r="M152" i="17"/>
  <c r="L152" i="17"/>
  <c r="K152" i="17"/>
  <c r="J152" i="17"/>
  <c r="I152" i="17"/>
  <c r="H152" i="17"/>
  <c r="G152" i="17"/>
  <c r="F152" i="17"/>
  <c r="AE151" i="17"/>
  <c r="AC151" i="17"/>
  <c r="AB151" i="17"/>
  <c r="AA151" i="17"/>
  <c r="Z151" i="17"/>
  <c r="Y151" i="17"/>
  <c r="X151" i="17"/>
  <c r="W151" i="17"/>
  <c r="V151" i="17"/>
  <c r="U151" i="17"/>
  <c r="T151" i="17"/>
  <c r="S151" i="17"/>
  <c r="R151" i="17"/>
  <c r="Q151" i="17"/>
  <c r="P151" i="17"/>
  <c r="O151" i="17"/>
  <c r="N151" i="17"/>
  <c r="M151" i="17"/>
  <c r="L151" i="17"/>
  <c r="K151" i="17"/>
  <c r="J151" i="17"/>
  <c r="I151" i="17"/>
  <c r="H151" i="17"/>
  <c r="G151" i="17"/>
  <c r="F151" i="17"/>
  <c r="AE150" i="17"/>
  <c r="AC150" i="17"/>
  <c r="AB150" i="17"/>
  <c r="AA150" i="17"/>
  <c r="Z150" i="17"/>
  <c r="Y150" i="17"/>
  <c r="X150" i="17"/>
  <c r="W150" i="17"/>
  <c r="V150" i="17"/>
  <c r="U150" i="17"/>
  <c r="T150" i="17"/>
  <c r="S150" i="17"/>
  <c r="R150" i="17"/>
  <c r="Q150" i="17"/>
  <c r="P150" i="17"/>
  <c r="O150" i="17"/>
  <c r="N150" i="17"/>
  <c r="M150" i="17"/>
  <c r="L150" i="17"/>
  <c r="K150" i="17"/>
  <c r="J150" i="17"/>
  <c r="I150" i="17"/>
  <c r="H150" i="17"/>
  <c r="G150" i="17"/>
  <c r="F150" i="17"/>
  <c r="AE149" i="17"/>
  <c r="AC149" i="17"/>
  <c r="AB149" i="17"/>
  <c r="AA149" i="17"/>
  <c r="Z149" i="17"/>
  <c r="Y149" i="17"/>
  <c r="X149" i="17"/>
  <c r="W149" i="17"/>
  <c r="V149" i="17"/>
  <c r="U149" i="17"/>
  <c r="T149" i="17"/>
  <c r="S149" i="17"/>
  <c r="R149" i="17"/>
  <c r="Q149" i="17"/>
  <c r="P149" i="17"/>
  <c r="O149" i="17"/>
  <c r="N149" i="17"/>
  <c r="M149" i="17"/>
  <c r="L149" i="17"/>
  <c r="K149" i="17"/>
  <c r="J149" i="17"/>
  <c r="I149" i="17"/>
  <c r="H149" i="17"/>
  <c r="G149" i="17"/>
  <c r="F149" i="17"/>
  <c r="AE148" i="17"/>
  <c r="AC148" i="17"/>
  <c r="AB148" i="17"/>
  <c r="AA148" i="17"/>
  <c r="Z148" i="17"/>
  <c r="Y148" i="17"/>
  <c r="X148" i="17"/>
  <c r="W148" i="17"/>
  <c r="V148" i="17"/>
  <c r="U148" i="17"/>
  <c r="T148" i="17"/>
  <c r="S148" i="17"/>
  <c r="R148" i="17"/>
  <c r="Q148" i="17"/>
  <c r="P148" i="17"/>
  <c r="O148" i="17"/>
  <c r="N148" i="17"/>
  <c r="M148" i="17"/>
  <c r="L148" i="17"/>
  <c r="K148" i="17"/>
  <c r="J148" i="17"/>
  <c r="I148" i="17"/>
  <c r="H148" i="17"/>
  <c r="G148" i="17"/>
  <c r="F148" i="17"/>
  <c r="AE147" i="17"/>
  <c r="AC147" i="17"/>
  <c r="AB147" i="17"/>
  <c r="AA147" i="17"/>
  <c r="Z147" i="17"/>
  <c r="Y147" i="17"/>
  <c r="X147" i="17"/>
  <c r="W147" i="17"/>
  <c r="V147" i="17"/>
  <c r="U147" i="17"/>
  <c r="T147" i="17"/>
  <c r="S147" i="17"/>
  <c r="R147" i="17"/>
  <c r="Q147" i="17"/>
  <c r="P147" i="17"/>
  <c r="O147" i="17"/>
  <c r="N147" i="17"/>
  <c r="M147" i="17"/>
  <c r="L147" i="17"/>
  <c r="K147" i="17"/>
  <c r="J147" i="17"/>
  <c r="I147" i="17"/>
  <c r="H147" i="17"/>
  <c r="G147" i="17"/>
  <c r="F147" i="17"/>
  <c r="AE146" i="17"/>
  <c r="AC146" i="17"/>
  <c r="AB146" i="17"/>
  <c r="AA146" i="17"/>
  <c r="Z146" i="17"/>
  <c r="Y146" i="17"/>
  <c r="X146" i="17"/>
  <c r="W146" i="17"/>
  <c r="V146" i="17"/>
  <c r="U146" i="17"/>
  <c r="T146" i="17"/>
  <c r="S146" i="17"/>
  <c r="R146" i="17"/>
  <c r="Q146" i="17"/>
  <c r="P146" i="17"/>
  <c r="O146" i="17"/>
  <c r="N146" i="17"/>
  <c r="M146" i="17"/>
  <c r="L146" i="17"/>
  <c r="K146" i="17"/>
  <c r="J146" i="17"/>
  <c r="I146" i="17"/>
  <c r="H146" i="17"/>
  <c r="G146" i="17"/>
  <c r="F146" i="17"/>
  <c r="AE145" i="17"/>
  <c r="AC145" i="17"/>
  <c r="AB145" i="17"/>
  <c r="AA145" i="17"/>
  <c r="Z145" i="17"/>
  <c r="Y145" i="17"/>
  <c r="X145" i="17"/>
  <c r="W145" i="17"/>
  <c r="V145" i="17"/>
  <c r="U145" i="17"/>
  <c r="T145" i="17"/>
  <c r="S145" i="17"/>
  <c r="R145" i="17"/>
  <c r="Q145" i="17"/>
  <c r="P145" i="17"/>
  <c r="O145" i="17"/>
  <c r="N145" i="17"/>
  <c r="M145" i="17"/>
  <c r="L145" i="17"/>
  <c r="K145" i="17"/>
  <c r="J145" i="17"/>
  <c r="I145" i="17"/>
  <c r="H145" i="17"/>
  <c r="G145" i="17"/>
  <c r="F145" i="17"/>
  <c r="AE144" i="17"/>
  <c r="AC144" i="17"/>
  <c r="AB144" i="17"/>
  <c r="AA144" i="17"/>
  <c r="Z144" i="17"/>
  <c r="Y144" i="17"/>
  <c r="X144" i="17"/>
  <c r="W144" i="17"/>
  <c r="V144" i="17"/>
  <c r="U144" i="17"/>
  <c r="T144" i="17"/>
  <c r="S144" i="17"/>
  <c r="R144" i="17"/>
  <c r="Q144" i="17"/>
  <c r="P144" i="17"/>
  <c r="O144" i="17"/>
  <c r="N144" i="17"/>
  <c r="M144" i="17"/>
  <c r="L144" i="17"/>
  <c r="K144" i="17"/>
  <c r="J144" i="17"/>
  <c r="I144" i="17"/>
  <c r="H144" i="17"/>
  <c r="G144" i="17"/>
  <c r="F144" i="17"/>
  <c r="AE143" i="17"/>
  <c r="AC143" i="17"/>
  <c r="AB143" i="17"/>
  <c r="AA143" i="17"/>
  <c r="Z143" i="17"/>
  <c r="Y143" i="17"/>
  <c r="X143" i="17"/>
  <c r="W143" i="17"/>
  <c r="V143" i="17"/>
  <c r="U143" i="17"/>
  <c r="T143" i="17"/>
  <c r="S143" i="17"/>
  <c r="R143" i="17"/>
  <c r="Q143" i="17"/>
  <c r="P143" i="17"/>
  <c r="O143" i="17"/>
  <c r="N143" i="17"/>
  <c r="M143" i="17"/>
  <c r="L143" i="17"/>
  <c r="K143" i="17"/>
  <c r="J143" i="17"/>
  <c r="I143" i="17"/>
  <c r="H143" i="17"/>
  <c r="G143" i="17"/>
  <c r="F143" i="17"/>
  <c r="AE142" i="17"/>
  <c r="AC142" i="17"/>
  <c r="AB142" i="17"/>
  <c r="AA142" i="17"/>
  <c r="Z142" i="17"/>
  <c r="Y142" i="17"/>
  <c r="X142" i="17"/>
  <c r="W142" i="17"/>
  <c r="V142" i="17"/>
  <c r="U142" i="17"/>
  <c r="T142" i="17"/>
  <c r="S142" i="17"/>
  <c r="R142" i="17"/>
  <c r="Q142" i="17"/>
  <c r="P142" i="17"/>
  <c r="O142" i="17"/>
  <c r="N142" i="17"/>
  <c r="M142" i="17"/>
  <c r="L142" i="17"/>
  <c r="K142" i="17"/>
  <c r="J142" i="17"/>
  <c r="I142" i="17"/>
  <c r="H142" i="17"/>
  <c r="G142" i="17"/>
  <c r="F142" i="17"/>
  <c r="AE141" i="17"/>
  <c r="AC141" i="17"/>
  <c r="AB141" i="17"/>
  <c r="AA141" i="17"/>
  <c r="Z141" i="17"/>
  <c r="Y141" i="17"/>
  <c r="X141" i="17"/>
  <c r="W141" i="17"/>
  <c r="V141" i="17"/>
  <c r="U141" i="17"/>
  <c r="T141" i="17"/>
  <c r="S141" i="17"/>
  <c r="R141" i="17"/>
  <c r="Q141" i="17"/>
  <c r="P141" i="17"/>
  <c r="O141" i="17"/>
  <c r="N141" i="17"/>
  <c r="M141" i="17"/>
  <c r="L141" i="17"/>
  <c r="K141" i="17"/>
  <c r="J141" i="17"/>
  <c r="I141" i="17"/>
  <c r="H141" i="17"/>
  <c r="G141" i="17"/>
  <c r="F141" i="17"/>
  <c r="AE140" i="17"/>
  <c r="AC140" i="17"/>
  <c r="AB140" i="17"/>
  <c r="AA140" i="17"/>
  <c r="Z140" i="17"/>
  <c r="Y140" i="17"/>
  <c r="X140" i="17"/>
  <c r="W140" i="17"/>
  <c r="V140" i="17"/>
  <c r="U140" i="17"/>
  <c r="T140" i="17"/>
  <c r="S140" i="17"/>
  <c r="R140" i="17"/>
  <c r="Q140" i="17"/>
  <c r="P140" i="17"/>
  <c r="O140" i="17"/>
  <c r="N140" i="17"/>
  <c r="M140" i="17"/>
  <c r="L140" i="17"/>
  <c r="K140" i="17"/>
  <c r="J140" i="17"/>
  <c r="I140" i="17"/>
  <c r="H140" i="17"/>
  <c r="G140" i="17"/>
  <c r="F140" i="17"/>
  <c r="AE139" i="17"/>
  <c r="AC139" i="17"/>
  <c r="AB139" i="17"/>
  <c r="AA139" i="17"/>
  <c r="Z139" i="17"/>
  <c r="Y139" i="17"/>
  <c r="X139" i="17"/>
  <c r="W139" i="17"/>
  <c r="V139" i="17"/>
  <c r="U139" i="17"/>
  <c r="T139" i="17"/>
  <c r="S139" i="17"/>
  <c r="R139" i="17"/>
  <c r="Q139" i="17"/>
  <c r="P139" i="17"/>
  <c r="O139" i="17"/>
  <c r="N139" i="17"/>
  <c r="M139" i="17"/>
  <c r="L139" i="17"/>
  <c r="K139" i="17"/>
  <c r="J139" i="17"/>
  <c r="I139" i="17"/>
  <c r="H139" i="17"/>
  <c r="G139" i="17"/>
  <c r="F139" i="17"/>
  <c r="AE138" i="17"/>
  <c r="AC138" i="17"/>
  <c r="AB138" i="17"/>
  <c r="AA138" i="17"/>
  <c r="Z138" i="17"/>
  <c r="Y138" i="17"/>
  <c r="X138" i="17"/>
  <c r="W138" i="17"/>
  <c r="V138" i="17"/>
  <c r="U138" i="17"/>
  <c r="T138" i="17"/>
  <c r="S138" i="17"/>
  <c r="R138" i="17"/>
  <c r="Q138" i="17"/>
  <c r="P138" i="17"/>
  <c r="O138" i="17"/>
  <c r="N138" i="17"/>
  <c r="M138" i="17"/>
  <c r="L138" i="17"/>
  <c r="K138" i="17"/>
  <c r="J138" i="17"/>
  <c r="I138" i="17"/>
  <c r="H138" i="17"/>
  <c r="G138" i="17"/>
  <c r="F138" i="17"/>
  <c r="AE137" i="17"/>
  <c r="AC137" i="17"/>
  <c r="AB137" i="17"/>
  <c r="AA137" i="17"/>
  <c r="Z137" i="17"/>
  <c r="Y137" i="17"/>
  <c r="X137" i="17"/>
  <c r="W137" i="17"/>
  <c r="V137" i="17"/>
  <c r="U137" i="17"/>
  <c r="T137" i="17"/>
  <c r="S137" i="17"/>
  <c r="R137" i="17"/>
  <c r="Q137" i="17"/>
  <c r="P137" i="17"/>
  <c r="O137" i="17"/>
  <c r="N137" i="17"/>
  <c r="M137" i="17"/>
  <c r="L137" i="17"/>
  <c r="K137" i="17"/>
  <c r="J137" i="17"/>
  <c r="I137" i="17"/>
  <c r="H137" i="17"/>
  <c r="G137" i="17"/>
  <c r="F137" i="17"/>
  <c r="AE136" i="17"/>
  <c r="AC136" i="17"/>
  <c r="AB136" i="17"/>
  <c r="AA136" i="17"/>
  <c r="Z136" i="17"/>
  <c r="Y136" i="17"/>
  <c r="X136" i="17"/>
  <c r="W136" i="17"/>
  <c r="V136" i="17"/>
  <c r="U136" i="17"/>
  <c r="T136" i="17"/>
  <c r="S136" i="17"/>
  <c r="R136" i="17"/>
  <c r="Q136" i="17"/>
  <c r="P136" i="17"/>
  <c r="O136" i="17"/>
  <c r="N136" i="17"/>
  <c r="M136" i="17"/>
  <c r="L136" i="17"/>
  <c r="K136" i="17"/>
  <c r="J136" i="17"/>
  <c r="I136" i="17"/>
  <c r="H136" i="17"/>
  <c r="G136" i="17"/>
  <c r="F136" i="17"/>
  <c r="AE135" i="17"/>
  <c r="AC135" i="17"/>
  <c r="AB135" i="17"/>
  <c r="AA135" i="17"/>
  <c r="Z135" i="17"/>
  <c r="Y135" i="17"/>
  <c r="X135" i="17"/>
  <c r="W135" i="17"/>
  <c r="V135" i="17"/>
  <c r="U135" i="17"/>
  <c r="T135" i="17"/>
  <c r="S135" i="17"/>
  <c r="R135" i="17"/>
  <c r="Q135" i="17"/>
  <c r="P135" i="17"/>
  <c r="O135" i="17"/>
  <c r="N135" i="17"/>
  <c r="M135" i="17"/>
  <c r="L135" i="17"/>
  <c r="K135" i="17"/>
  <c r="J135" i="17"/>
  <c r="I135" i="17"/>
  <c r="H135" i="17"/>
  <c r="G135" i="17"/>
  <c r="F135" i="17"/>
  <c r="AE134" i="17"/>
  <c r="AC134" i="17"/>
  <c r="AB134" i="17"/>
  <c r="AA134" i="17"/>
  <c r="Z134" i="17"/>
  <c r="Y134" i="17"/>
  <c r="X134" i="17"/>
  <c r="W134" i="17"/>
  <c r="V134" i="17"/>
  <c r="U134" i="17"/>
  <c r="T134" i="17"/>
  <c r="S134" i="17"/>
  <c r="R134" i="17"/>
  <c r="Q134" i="17"/>
  <c r="P134" i="17"/>
  <c r="O134" i="17"/>
  <c r="N134" i="17"/>
  <c r="M134" i="17"/>
  <c r="L134" i="17"/>
  <c r="K134" i="17"/>
  <c r="J134" i="17"/>
  <c r="I134" i="17"/>
  <c r="H134" i="17"/>
  <c r="G134" i="17"/>
  <c r="F134" i="17"/>
  <c r="AE133" i="17"/>
  <c r="AC133" i="17"/>
  <c r="AB133" i="17"/>
  <c r="AA133" i="17"/>
  <c r="Z133" i="17"/>
  <c r="Y133" i="17"/>
  <c r="X133" i="17"/>
  <c r="W133" i="17"/>
  <c r="V133" i="17"/>
  <c r="U133" i="17"/>
  <c r="T133" i="17"/>
  <c r="S133" i="17"/>
  <c r="R133" i="17"/>
  <c r="Q133" i="17"/>
  <c r="P133" i="17"/>
  <c r="O133" i="17"/>
  <c r="N133" i="17"/>
  <c r="M133" i="17"/>
  <c r="L133" i="17"/>
  <c r="K133" i="17"/>
  <c r="J133" i="17"/>
  <c r="I133" i="17"/>
  <c r="H133" i="17"/>
  <c r="G133" i="17"/>
  <c r="F133" i="17"/>
  <c r="AE132" i="17"/>
  <c r="AC132" i="17"/>
  <c r="AB132" i="17"/>
  <c r="AA132" i="17"/>
  <c r="Z132" i="17"/>
  <c r="Y132" i="17"/>
  <c r="X132" i="17"/>
  <c r="W132" i="17"/>
  <c r="V132" i="17"/>
  <c r="U132" i="17"/>
  <c r="T132" i="17"/>
  <c r="S132" i="17"/>
  <c r="R132" i="17"/>
  <c r="Q132" i="17"/>
  <c r="P132" i="17"/>
  <c r="O132" i="17"/>
  <c r="N132" i="17"/>
  <c r="M132" i="17"/>
  <c r="L132" i="17"/>
  <c r="K132" i="17"/>
  <c r="J132" i="17"/>
  <c r="I132" i="17"/>
  <c r="H132" i="17"/>
  <c r="G132" i="17"/>
  <c r="F132" i="17"/>
  <c r="AE131" i="17"/>
  <c r="AC131" i="17"/>
  <c r="AB131" i="17"/>
  <c r="AA131" i="17"/>
  <c r="Z131" i="17"/>
  <c r="Y131" i="17"/>
  <c r="X131" i="17"/>
  <c r="W131" i="17"/>
  <c r="V131" i="17"/>
  <c r="U131" i="17"/>
  <c r="T131" i="17"/>
  <c r="S131" i="17"/>
  <c r="R131" i="17"/>
  <c r="Q131" i="17"/>
  <c r="P131" i="17"/>
  <c r="O131" i="17"/>
  <c r="N131" i="17"/>
  <c r="M131" i="17"/>
  <c r="L131" i="17"/>
  <c r="K131" i="17"/>
  <c r="J131" i="17"/>
  <c r="I131" i="17"/>
  <c r="H131" i="17"/>
  <c r="G131" i="17"/>
  <c r="F131" i="17"/>
  <c r="AE130" i="17"/>
  <c r="AC130" i="17"/>
  <c r="AB130" i="17"/>
  <c r="AA130" i="17"/>
  <c r="Z130" i="17"/>
  <c r="Y130" i="17"/>
  <c r="X130" i="17"/>
  <c r="W130" i="17"/>
  <c r="V130" i="17"/>
  <c r="U130" i="17"/>
  <c r="T130" i="17"/>
  <c r="S130" i="17"/>
  <c r="R130" i="17"/>
  <c r="Q130" i="17"/>
  <c r="P130" i="17"/>
  <c r="O130" i="17"/>
  <c r="N130" i="17"/>
  <c r="M130" i="17"/>
  <c r="L130" i="17"/>
  <c r="K130" i="17"/>
  <c r="J130" i="17"/>
  <c r="I130" i="17"/>
  <c r="H130" i="17"/>
  <c r="G130" i="17"/>
  <c r="F130" i="17"/>
  <c r="AE129" i="17"/>
  <c r="AC129" i="17"/>
  <c r="AB129" i="17"/>
  <c r="AA129" i="17"/>
  <c r="Z129" i="17"/>
  <c r="Y129" i="17"/>
  <c r="X129" i="17"/>
  <c r="W129" i="17"/>
  <c r="V129" i="17"/>
  <c r="U129" i="17"/>
  <c r="T129" i="17"/>
  <c r="S129" i="17"/>
  <c r="R129" i="17"/>
  <c r="Q129" i="17"/>
  <c r="P129" i="17"/>
  <c r="O129" i="17"/>
  <c r="N129" i="17"/>
  <c r="M129" i="17"/>
  <c r="L129" i="17"/>
  <c r="K129" i="17"/>
  <c r="J129" i="17"/>
  <c r="I129" i="17"/>
  <c r="H129" i="17"/>
  <c r="G129" i="17"/>
  <c r="F129" i="17"/>
  <c r="AE128" i="17"/>
  <c r="AC128" i="17"/>
  <c r="AB128" i="17"/>
  <c r="AA128" i="17"/>
  <c r="Z128" i="17"/>
  <c r="Y128" i="17"/>
  <c r="X128" i="17"/>
  <c r="W128" i="17"/>
  <c r="V128" i="17"/>
  <c r="U128" i="17"/>
  <c r="T128" i="17"/>
  <c r="S128" i="17"/>
  <c r="R128" i="17"/>
  <c r="Q128" i="17"/>
  <c r="P128" i="17"/>
  <c r="O128" i="17"/>
  <c r="N128" i="17"/>
  <c r="M128" i="17"/>
  <c r="L128" i="17"/>
  <c r="K128" i="17"/>
  <c r="J128" i="17"/>
  <c r="I128" i="17"/>
  <c r="H128" i="17"/>
  <c r="G128" i="17"/>
  <c r="F128" i="17"/>
  <c r="AE127" i="17"/>
  <c r="AC127" i="17"/>
  <c r="AB127" i="17"/>
  <c r="AA127" i="17"/>
  <c r="Z127" i="17"/>
  <c r="Y127" i="17"/>
  <c r="X127" i="17"/>
  <c r="W127" i="17"/>
  <c r="V127" i="17"/>
  <c r="U127" i="17"/>
  <c r="T127" i="17"/>
  <c r="S127" i="17"/>
  <c r="R127" i="17"/>
  <c r="Q127" i="17"/>
  <c r="P127" i="17"/>
  <c r="O127" i="17"/>
  <c r="N127" i="17"/>
  <c r="M127" i="17"/>
  <c r="L127" i="17"/>
  <c r="K127" i="17"/>
  <c r="J127" i="17"/>
  <c r="I127" i="17"/>
  <c r="H127" i="17"/>
  <c r="G127" i="17"/>
  <c r="F127" i="17"/>
  <c r="AE126" i="17"/>
  <c r="AC126" i="17"/>
  <c r="AB126" i="17"/>
  <c r="AA126" i="17"/>
  <c r="Z126" i="17"/>
  <c r="Y126" i="17"/>
  <c r="X126" i="17"/>
  <c r="W126" i="17"/>
  <c r="V126" i="17"/>
  <c r="U126" i="17"/>
  <c r="T126" i="17"/>
  <c r="S126" i="17"/>
  <c r="R126" i="17"/>
  <c r="Q126" i="17"/>
  <c r="P126" i="17"/>
  <c r="O126" i="17"/>
  <c r="N126" i="17"/>
  <c r="M126" i="17"/>
  <c r="L126" i="17"/>
  <c r="K126" i="17"/>
  <c r="J126" i="17"/>
  <c r="I126" i="17"/>
  <c r="H126" i="17"/>
  <c r="G126" i="17"/>
  <c r="F126" i="17"/>
  <c r="AE125" i="17"/>
  <c r="AC125" i="17"/>
  <c r="AB125" i="17"/>
  <c r="AA125" i="17"/>
  <c r="Z125" i="17"/>
  <c r="Y125" i="17"/>
  <c r="X125" i="17"/>
  <c r="W125" i="17"/>
  <c r="V125" i="17"/>
  <c r="U125" i="17"/>
  <c r="T125" i="17"/>
  <c r="S125" i="17"/>
  <c r="R125" i="17"/>
  <c r="Q125" i="17"/>
  <c r="P125" i="17"/>
  <c r="O125" i="17"/>
  <c r="N125" i="17"/>
  <c r="M125" i="17"/>
  <c r="L125" i="17"/>
  <c r="K125" i="17"/>
  <c r="J125" i="17"/>
  <c r="I125" i="17"/>
  <c r="H125" i="17"/>
  <c r="G125" i="17"/>
  <c r="F125" i="17"/>
  <c r="AE124" i="17"/>
  <c r="AC124" i="17"/>
  <c r="AB124" i="17"/>
  <c r="AA124" i="17"/>
  <c r="Z124" i="17"/>
  <c r="Y124" i="17"/>
  <c r="X124" i="17"/>
  <c r="W124" i="17"/>
  <c r="V124" i="17"/>
  <c r="U124" i="17"/>
  <c r="T124" i="17"/>
  <c r="S124" i="17"/>
  <c r="R124" i="17"/>
  <c r="Q124" i="17"/>
  <c r="P124" i="17"/>
  <c r="O124" i="17"/>
  <c r="N124" i="17"/>
  <c r="M124" i="17"/>
  <c r="L124" i="17"/>
  <c r="K124" i="17"/>
  <c r="J124" i="17"/>
  <c r="I124" i="17"/>
  <c r="H124" i="17"/>
  <c r="G124" i="17"/>
  <c r="F124" i="17"/>
  <c r="AE123" i="17"/>
  <c r="AC123" i="17"/>
  <c r="AB123" i="17"/>
  <c r="AA123" i="17"/>
  <c r="Z123" i="17"/>
  <c r="Y123" i="17"/>
  <c r="X123" i="17"/>
  <c r="W123" i="17"/>
  <c r="V123" i="17"/>
  <c r="U123" i="17"/>
  <c r="T123" i="17"/>
  <c r="S123" i="17"/>
  <c r="R123" i="17"/>
  <c r="Q123" i="17"/>
  <c r="P123" i="17"/>
  <c r="O123" i="17"/>
  <c r="N123" i="17"/>
  <c r="M123" i="17"/>
  <c r="L123" i="17"/>
  <c r="K123" i="17"/>
  <c r="J123" i="17"/>
  <c r="I123" i="17"/>
  <c r="H123" i="17"/>
  <c r="G123" i="17"/>
  <c r="F123" i="17"/>
  <c r="AE122" i="17"/>
  <c r="AC122" i="17"/>
  <c r="AB122" i="17"/>
  <c r="AA122" i="17"/>
  <c r="Z122" i="17"/>
  <c r="Y122" i="17"/>
  <c r="X122" i="17"/>
  <c r="W122" i="17"/>
  <c r="V122" i="17"/>
  <c r="U122" i="17"/>
  <c r="T122" i="17"/>
  <c r="S122" i="17"/>
  <c r="R122" i="17"/>
  <c r="Q122" i="17"/>
  <c r="P122" i="17"/>
  <c r="O122" i="17"/>
  <c r="N122" i="17"/>
  <c r="M122" i="17"/>
  <c r="L122" i="17"/>
  <c r="K122" i="17"/>
  <c r="J122" i="17"/>
  <c r="I122" i="17"/>
  <c r="H122" i="17"/>
  <c r="G122" i="17"/>
  <c r="F122" i="17"/>
  <c r="AE121" i="17"/>
  <c r="AC121" i="17"/>
  <c r="AB121" i="17"/>
  <c r="AA121" i="17"/>
  <c r="Z121" i="17"/>
  <c r="Y121" i="17"/>
  <c r="X121" i="17"/>
  <c r="W121" i="17"/>
  <c r="V121" i="17"/>
  <c r="U121" i="17"/>
  <c r="T121" i="17"/>
  <c r="S121" i="17"/>
  <c r="R121" i="17"/>
  <c r="Q121" i="17"/>
  <c r="P121" i="17"/>
  <c r="O121" i="17"/>
  <c r="N121" i="17"/>
  <c r="M121" i="17"/>
  <c r="L121" i="17"/>
  <c r="K121" i="17"/>
  <c r="J121" i="17"/>
  <c r="I121" i="17"/>
  <c r="H121" i="17"/>
  <c r="G121" i="17"/>
  <c r="F121" i="17"/>
  <c r="AE120" i="17"/>
  <c r="AC120" i="17"/>
  <c r="AB120" i="17"/>
  <c r="AA120" i="17"/>
  <c r="Z120" i="17"/>
  <c r="Y120" i="17"/>
  <c r="X120" i="17"/>
  <c r="W120" i="17"/>
  <c r="V120" i="17"/>
  <c r="U120" i="17"/>
  <c r="T120" i="17"/>
  <c r="S120" i="17"/>
  <c r="R120" i="17"/>
  <c r="Q120" i="17"/>
  <c r="P120" i="17"/>
  <c r="O120" i="17"/>
  <c r="N120" i="17"/>
  <c r="M120" i="17"/>
  <c r="L120" i="17"/>
  <c r="K120" i="17"/>
  <c r="J120" i="17"/>
  <c r="I120" i="17"/>
  <c r="H120" i="17"/>
  <c r="G120" i="17"/>
  <c r="F120" i="17"/>
  <c r="AE119" i="17"/>
  <c r="AC119" i="17"/>
  <c r="AB119" i="17"/>
  <c r="AA119" i="17"/>
  <c r="Z119" i="17"/>
  <c r="Y119" i="17"/>
  <c r="X119" i="17"/>
  <c r="W119" i="17"/>
  <c r="V119" i="17"/>
  <c r="U119" i="17"/>
  <c r="T119" i="17"/>
  <c r="S119" i="17"/>
  <c r="R119" i="17"/>
  <c r="Q119" i="17"/>
  <c r="P119" i="17"/>
  <c r="O119" i="17"/>
  <c r="N119" i="17"/>
  <c r="M119" i="17"/>
  <c r="L119" i="17"/>
  <c r="K119" i="17"/>
  <c r="J119" i="17"/>
  <c r="I119" i="17"/>
  <c r="H119" i="17"/>
  <c r="G119" i="17"/>
  <c r="F119" i="17"/>
  <c r="AE118" i="17"/>
  <c r="AC118" i="17"/>
  <c r="AB118" i="17"/>
  <c r="AA118" i="17"/>
  <c r="Z118" i="17"/>
  <c r="Y118" i="17"/>
  <c r="X118" i="17"/>
  <c r="W118" i="17"/>
  <c r="V118" i="17"/>
  <c r="U118" i="17"/>
  <c r="T118" i="17"/>
  <c r="S118" i="17"/>
  <c r="R118" i="17"/>
  <c r="Q118" i="17"/>
  <c r="P118" i="17"/>
  <c r="O118" i="17"/>
  <c r="N118" i="17"/>
  <c r="M118" i="17"/>
  <c r="L118" i="17"/>
  <c r="K118" i="17"/>
  <c r="J118" i="17"/>
  <c r="I118" i="17"/>
  <c r="H118" i="17"/>
  <c r="G118" i="17"/>
  <c r="F118" i="17"/>
  <c r="AE117" i="17"/>
  <c r="AC117" i="17"/>
  <c r="AB117" i="17"/>
  <c r="AA117" i="17"/>
  <c r="Z117" i="17"/>
  <c r="Y117" i="17"/>
  <c r="X117" i="17"/>
  <c r="W117" i="17"/>
  <c r="V117" i="17"/>
  <c r="U117" i="17"/>
  <c r="T117" i="17"/>
  <c r="S117" i="17"/>
  <c r="R117" i="17"/>
  <c r="Q117" i="17"/>
  <c r="P117" i="17"/>
  <c r="O117" i="17"/>
  <c r="N117" i="17"/>
  <c r="M117" i="17"/>
  <c r="L117" i="17"/>
  <c r="K117" i="17"/>
  <c r="J117" i="17"/>
  <c r="I117" i="17"/>
  <c r="H117" i="17"/>
  <c r="G117" i="17"/>
  <c r="F117" i="17"/>
  <c r="AE116" i="17"/>
  <c r="AC116" i="17"/>
  <c r="AB116" i="17"/>
  <c r="AA116" i="17"/>
  <c r="Z116" i="17"/>
  <c r="Y116" i="17"/>
  <c r="X116" i="17"/>
  <c r="W116" i="17"/>
  <c r="V116" i="17"/>
  <c r="U116" i="17"/>
  <c r="T116" i="17"/>
  <c r="S116" i="17"/>
  <c r="R116" i="17"/>
  <c r="Q116" i="17"/>
  <c r="P116" i="17"/>
  <c r="O116" i="17"/>
  <c r="N116" i="17"/>
  <c r="M116" i="17"/>
  <c r="L116" i="17"/>
  <c r="K116" i="17"/>
  <c r="J116" i="17"/>
  <c r="I116" i="17"/>
  <c r="H116" i="17"/>
  <c r="G116" i="17"/>
  <c r="F116" i="17"/>
  <c r="AE115" i="17"/>
  <c r="AC115" i="17"/>
  <c r="AB115" i="17"/>
  <c r="AA115" i="17"/>
  <c r="Z115" i="17"/>
  <c r="Y115" i="17"/>
  <c r="X115" i="17"/>
  <c r="W115" i="17"/>
  <c r="V115" i="17"/>
  <c r="U115" i="17"/>
  <c r="T115" i="17"/>
  <c r="S115" i="17"/>
  <c r="R115" i="17"/>
  <c r="Q115" i="17"/>
  <c r="P115" i="17"/>
  <c r="O115" i="17"/>
  <c r="N115" i="17"/>
  <c r="M115" i="17"/>
  <c r="L115" i="17"/>
  <c r="K115" i="17"/>
  <c r="J115" i="17"/>
  <c r="I115" i="17"/>
  <c r="H115" i="17"/>
  <c r="G115" i="17"/>
  <c r="F115" i="17"/>
  <c r="AE114" i="17"/>
  <c r="AC114" i="17"/>
  <c r="AB114" i="17"/>
  <c r="AA114" i="17"/>
  <c r="Z114" i="17"/>
  <c r="Y114" i="17"/>
  <c r="X114" i="17"/>
  <c r="W114" i="17"/>
  <c r="V114" i="17"/>
  <c r="U114" i="17"/>
  <c r="T114" i="17"/>
  <c r="S114" i="17"/>
  <c r="R114" i="17"/>
  <c r="Q114" i="17"/>
  <c r="P114" i="17"/>
  <c r="O114" i="17"/>
  <c r="N114" i="17"/>
  <c r="M114" i="17"/>
  <c r="L114" i="17"/>
  <c r="K114" i="17"/>
  <c r="J114" i="17"/>
  <c r="I114" i="17"/>
  <c r="H114" i="17"/>
  <c r="G114" i="17"/>
  <c r="F114" i="17"/>
  <c r="AE113" i="17"/>
  <c r="AC113" i="17"/>
  <c r="AB113" i="17"/>
  <c r="AA113" i="17"/>
  <c r="Z113" i="17"/>
  <c r="Y113" i="17"/>
  <c r="X113" i="17"/>
  <c r="W113" i="17"/>
  <c r="V113" i="17"/>
  <c r="U113" i="17"/>
  <c r="T113" i="17"/>
  <c r="S113" i="17"/>
  <c r="R113" i="17"/>
  <c r="Q113" i="17"/>
  <c r="P113" i="17"/>
  <c r="O113" i="17"/>
  <c r="N113" i="17"/>
  <c r="M113" i="17"/>
  <c r="L113" i="17"/>
  <c r="K113" i="17"/>
  <c r="J113" i="17"/>
  <c r="I113" i="17"/>
  <c r="H113" i="17"/>
  <c r="G113" i="17"/>
  <c r="F113" i="17"/>
  <c r="AE112" i="17"/>
  <c r="AC112" i="17"/>
  <c r="AB112" i="17"/>
  <c r="AA112" i="17"/>
  <c r="Z112" i="17"/>
  <c r="Y112" i="17"/>
  <c r="X112" i="17"/>
  <c r="W112" i="17"/>
  <c r="V112" i="17"/>
  <c r="U112" i="17"/>
  <c r="T112" i="17"/>
  <c r="S112" i="17"/>
  <c r="R112" i="17"/>
  <c r="Q112" i="17"/>
  <c r="P112" i="17"/>
  <c r="O112" i="17"/>
  <c r="N112" i="17"/>
  <c r="M112" i="17"/>
  <c r="L112" i="17"/>
  <c r="K112" i="17"/>
  <c r="J112" i="17"/>
  <c r="I112" i="17"/>
  <c r="H112" i="17"/>
  <c r="G112" i="17"/>
  <c r="F112" i="17"/>
  <c r="AE111" i="17"/>
  <c r="AC111" i="17"/>
  <c r="AB111" i="17"/>
  <c r="AA111" i="17"/>
  <c r="Z111" i="17"/>
  <c r="Y111" i="17"/>
  <c r="X111" i="17"/>
  <c r="W111" i="17"/>
  <c r="V111" i="17"/>
  <c r="U111" i="17"/>
  <c r="T111" i="17"/>
  <c r="S111" i="17"/>
  <c r="R111" i="17"/>
  <c r="Q111" i="17"/>
  <c r="P111" i="17"/>
  <c r="O111" i="17"/>
  <c r="N111" i="17"/>
  <c r="M111" i="17"/>
  <c r="L111" i="17"/>
  <c r="K111" i="17"/>
  <c r="J111" i="17"/>
  <c r="I111" i="17"/>
  <c r="H111" i="17"/>
  <c r="G111" i="17"/>
  <c r="F111" i="17"/>
  <c r="AE110" i="17"/>
  <c r="AC110" i="17"/>
  <c r="AB110" i="17"/>
  <c r="AA110" i="17"/>
  <c r="Z110" i="17"/>
  <c r="Y110" i="17"/>
  <c r="X110" i="17"/>
  <c r="W110" i="17"/>
  <c r="V110" i="17"/>
  <c r="U110" i="17"/>
  <c r="T110" i="17"/>
  <c r="S110" i="17"/>
  <c r="R110" i="17"/>
  <c r="Q110" i="17"/>
  <c r="P110" i="17"/>
  <c r="O110" i="17"/>
  <c r="N110" i="17"/>
  <c r="M110" i="17"/>
  <c r="L110" i="17"/>
  <c r="K110" i="17"/>
  <c r="J110" i="17"/>
  <c r="I110" i="17"/>
  <c r="H110" i="17"/>
  <c r="G110" i="17"/>
  <c r="F110" i="17"/>
  <c r="AE109" i="17"/>
  <c r="AC109" i="17"/>
  <c r="AB109" i="17"/>
  <c r="AA109" i="17"/>
  <c r="Z109" i="17"/>
  <c r="Y109" i="17"/>
  <c r="X109" i="17"/>
  <c r="W109" i="17"/>
  <c r="V109" i="17"/>
  <c r="U109" i="17"/>
  <c r="T109" i="17"/>
  <c r="S109" i="17"/>
  <c r="R109" i="17"/>
  <c r="Q109" i="17"/>
  <c r="P109" i="17"/>
  <c r="O109" i="17"/>
  <c r="N109" i="17"/>
  <c r="M109" i="17"/>
  <c r="L109" i="17"/>
  <c r="K109" i="17"/>
  <c r="J109" i="17"/>
  <c r="I109" i="17"/>
  <c r="H109" i="17"/>
  <c r="G109" i="17"/>
  <c r="F109" i="17"/>
  <c r="AE108" i="17"/>
  <c r="AC108" i="17"/>
  <c r="AB108" i="17"/>
  <c r="AA108" i="17"/>
  <c r="Z108" i="17"/>
  <c r="Y108" i="17"/>
  <c r="X108" i="17"/>
  <c r="W108" i="17"/>
  <c r="V108" i="17"/>
  <c r="U108" i="17"/>
  <c r="T108" i="17"/>
  <c r="S108" i="17"/>
  <c r="R108" i="17"/>
  <c r="Q108" i="17"/>
  <c r="P108" i="17"/>
  <c r="O108" i="17"/>
  <c r="N108" i="17"/>
  <c r="M108" i="17"/>
  <c r="L108" i="17"/>
  <c r="K108" i="17"/>
  <c r="J108" i="17"/>
  <c r="I108" i="17"/>
  <c r="H108" i="17"/>
  <c r="G108" i="17"/>
  <c r="F108" i="17"/>
  <c r="AE107" i="17"/>
  <c r="AC107" i="17"/>
  <c r="AB107" i="17"/>
  <c r="AA107" i="17"/>
  <c r="Z107" i="17"/>
  <c r="Y107" i="17"/>
  <c r="X107" i="17"/>
  <c r="W107" i="17"/>
  <c r="V107" i="17"/>
  <c r="U107" i="17"/>
  <c r="T107" i="17"/>
  <c r="S107" i="17"/>
  <c r="R107" i="17"/>
  <c r="Q107" i="17"/>
  <c r="P107" i="17"/>
  <c r="O107" i="17"/>
  <c r="N107" i="17"/>
  <c r="M107" i="17"/>
  <c r="L107" i="17"/>
  <c r="K107" i="17"/>
  <c r="J107" i="17"/>
  <c r="I107" i="17"/>
  <c r="H107" i="17"/>
  <c r="G107" i="17"/>
  <c r="F107" i="17"/>
  <c r="AE106" i="17"/>
  <c r="AC106" i="17"/>
  <c r="AB106" i="17"/>
  <c r="AA106" i="17"/>
  <c r="Z106" i="17"/>
  <c r="Y106" i="17"/>
  <c r="X106" i="17"/>
  <c r="W106" i="17"/>
  <c r="V106" i="17"/>
  <c r="U106" i="17"/>
  <c r="T106" i="17"/>
  <c r="S106" i="17"/>
  <c r="R106" i="17"/>
  <c r="Q106" i="17"/>
  <c r="P106" i="17"/>
  <c r="O106" i="17"/>
  <c r="N106" i="17"/>
  <c r="M106" i="17"/>
  <c r="L106" i="17"/>
  <c r="K106" i="17"/>
  <c r="J106" i="17"/>
  <c r="I106" i="17"/>
  <c r="H106" i="17"/>
  <c r="G106" i="17"/>
  <c r="F106" i="17"/>
  <c r="AE105" i="17"/>
  <c r="AC105" i="17"/>
  <c r="AB105" i="17"/>
  <c r="AA105" i="17"/>
  <c r="Z105" i="17"/>
  <c r="Y105" i="17"/>
  <c r="X105" i="17"/>
  <c r="W105" i="17"/>
  <c r="V105" i="17"/>
  <c r="U105" i="17"/>
  <c r="T105" i="17"/>
  <c r="S105" i="17"/>
  <c r="R105" i="17"/>
  <c r="Q105" i="17"/>
  <c r="P105" i="17"/>
  <c r="O105" i="17"/>
  <c r="N105" i="17"/>
  <c r="M105" i="17"/>
  <c r="L105" i="17"/>
  <c r="K105" i="17"/>
  <c r="J105" i="17"/>
  <c r="I105" i="17"/>
  <c r="H105" i="17"/>
  <c r="G105" i="17"/>
  <c r="F105" i="17"/>
  <c r="AE104" i="17"/>
  <c r="AC104" i="17"/>
  <c r="AB104" i="17"/>
  <c r="AA104" i="17"/>
  <c r="Z104" i="17"/>
  <c r="Y104" i="17"/>
  <c r="X104" i="17"/>
  <c r="W104" i="17"/>
  <c r="V104" i="17"/>
  <c r="U104" i="17"/>
  <c r="T104" i="17"/>
  <c r="S104" i="17"/>
  <c r="R104" i="17"/>
  <c r="Q104" i="17"/>
  <c r="P104" i="17"/>
  <c r="O104" i="17"/>
  <c r="N104" i="17"/>
  <c r="M104" i="17"/>
  <c r="L104" i="17"/>
  <c r="K104" i="17"/>
  <c r="J104" i="17"/>
  <c r="I104" i="17"/>
  <c r="H104" i="17"/>
  <c r="G104" i="17"/>
  <c r="F104" i="17"/>
  <c r="AE103" i="17"/>
  <c r="AC103" i="17"/>
  <c r="AB103" i="17"/>
  <c r="AA103" i="17"/>
  <c r="Z103" i="17"/>
  <c r="Y103" i="17"/>
  <c r="X103" i="17"/>
  <c r="W103" i="17"/>
  <c r="V103" i="17"/>
  <c r="U103" i="17"/>
  <c r="T103" i="17"/>
  <c r="S103" i="17"/>
  <c r="R103" i="17"/>
  <c r="Q103" i="17"/>
  <c r="P103" i="17"/>
  <c r="O103" i="17"/>
  <c r="N103" i="17"/>
  <c r="M103" i="17"/>
  <c r="L103" i="17"/>
  <c r="K103" i="17"/>
  <c r="J103" i="17"/>
  <c r="I103" i="17"/>
  <c r="H103" i="17"/>
  <c r="G103" i="17"/>
  <c r="F103" i="17"/>
  <c r="AE102" i="17"/>
  <c r="AC102" i="17"/>
  <c r="AB102" i="17"/>
  <c r="AA102" i="17"/>
  <c r="Z102" i="17"/>
  <c r="Y102" i="17"/>
  <c r="X102" i="17"/>
  <c r="W102" i="17"/>
  <c r="V102" i="17"/>
  <c r="U102" i="17"/>
  <c r="T102" i="17"/>
  <c r="S102" i="17"/>
  <c r="R102" i="17"/>
  <c r="Q102" i="17"/>
  <c r="P102" i="17"/>
  <c r="O102" i="17"/>
  <c r="N102" i="17"/>
  <c r="M102" i="17"/>
  <c r="L102" i="17"/>
  <c r="K102" i="17"/>
  <c r="J102" i="17"/>
  <c r="I102" i="17"/>
  <c r="H102" i="17"/>
  <c r="G102" i="17"/>
  <c r="F102" i="17"/>
  <c r="AE101" i="17"/>
  <c r="AC101" i="17"/>
  <c r="AB101" i="17"/>
  <c r="AA101" i="17"/>
  <c r="Z101" i="17"/>
  <c r="Y101" i="17"/>
  <c r="X101" i="17"/>
  <c r="W101" i="17"/>
  <c r="V101" i="17"/>
  <c r="U101" i="17"/>
  <c r="T101" i="17"/>
  <c r="S101" i="17"/>
  <c r="R101" i="17"/>
  <c r="Q101" i="17"/>
  <c r="P101" i="17"/>
  <c r="O101" i="17"/>
  <c r="N101" i="17"/>
  <c r="M101" i="17"/>
  <c r="L101" i="17"/>
  <c r="K101" i="17"/>
  <c r="J101" i="17"/>
  <c r="I101" i="17"/>
  <c r="H101" i="17"/>
  <c r="G101" i="17"/>
  <c r="F101" i="17"/>
  <c r="AE100" i="17"/>
  <c r="AC100" i="17"/>
  <c r="AB100" i="17"/>
  <c r="AA100" i="17"/>
  <c r="Z100" i="17"/>
  <c r="Y100" i="17"/>
  <c r="X100" i="17"/>
  <c r="W100" i="17"/>
  <c r="V100" i="17"/>
  <c r="U100" i="17"/>
  <c r="T100" i="17"/>
  <c r="S100" i="17"/>
  <c r="R100" i="17"/>
  <c r="Q100" i="17"/>
  <c r="P100" i="17"/>
  <c r="O100" i="17"/>
  <c r="N100" i="17"/>
  <c r="M100" i="17"/>
  <c r="L100" i="17"/>
  <c r="K100" i="17"/>
  <c r="J100" i="17"/>
  <c r="I100" i="17"/>
  <c r="H100" i="17"/>
  <c r="G100" i="17"/>
  <c r="F100" i="17"/>
  <c r="AE99" i="17"/>
  <c r="AC99" i="17"/>
  <c r="AB99" i="17"/>
  <c r="AA99" i="17"/>
  <c r="Z99" i="17"/>
  <c r="Y99" i="17"/>
  <c r="X99" i="17"/>
  <c r="W99" i="17"/>
  <c r="V99" i="17"/>
  <c r="U99" i="17"/>
  <c r="T99" i="17"/>
  <c r="S99" i="17"/>
  <c r="R99" i="17"/>
  <c r="Q99" i="17"/>
  <c r="P99" i="17"/>
  <c r="O99" i="17"/>
  <c r="N99" i="17"/>
  <c r="M99" i="17"/>
  <c r="L99" i="17"/>
  <c r="K99" i="17"/>
  <c r="J99" i="17"/>
  <c r="I99" i="17"/>
  <c r="H99" i="17"/>
  <c r="G99" i="17"/>
  <c r="F99" i="17"/>
  <c r="AE98" i="17"/>
  <c r="AC98" i="17"/>
  <c r="AB98" i="17"/>
  <c r="AA98" i="17"/>
  <c r="Z98" i="17"/>
  <c r="Y98" i="17"/>
  <c r="X98" i="17"/>
  <c r="W98" i="17"/>
  <c r="V98" i="17"/>
  <c r="U98" i="17"/>
  <c r="T98" i="17"/>
  <c r="S98" i="17"/>
  <c r="R98" i="17"/>
  <c r="Q98" i="17"/>
  <c r="P98" i="17"/>
  <c r="O98" i="17"/>
  <c r="N98" i="17"/>
  <c r="M98" i="17"/>
  <c r="L98" i="17"/>
  <c r="K98" i="17"/>
  <c r="J98" i="17"/>
  <c r="I98" i="17"/>
  <c r="H98" i="17"/>
  <c r="G98" i="17"/>
  <c r="F98" i="17"/>
  <c r="AE97" i="17"/>
  <c r="AC97" i="17"/>
  <c r="AB97" i="17"/>
  <c r="AA97" i="17"/>
  <c r="Z97" i="17"/>
  <c r="Y97" i="17"/>
  <c r="X97" i="17"/>
  <c r="W97" i="17"/>
  <c r="V97" i="17"/>
  <c r="U97" i="17"/>
  <c r="T97" i="17"/>
  <c r="S97" i="17"/>
  <c r="R97" i="17"/>
  <c r="Q97" i="17"/>
  <c r="P97" i="17"/>
  <c r="O97" i="17"/>
  <c r="N97" i="17"/>
  <c r="M97" i="17"/>
  <c r="L97" i="17"/>
  <c r="K97" i="17"/>
  <c r="J97" i="17"/>
  <c r="I97" i="17"/>
  <c r="H97" i="17"/>
  <c r="G97" i="17"/>
  <c r="F97" i="17"/>
  <c r="AE96" i="17"/>
  <c r="AC96" i="17"/>
  <c r="AB96" i="17"/>
  <c r="AA96" i="17"/>
  <c r="Z96" i="17"/>
  <c r="Y96" i="17"/>
  <c r="X96" i="17"/>
  <c r="W96" i="17"/>
  <c r="V96" i="17"/>
  <c r="U96" i="17"/>
  <c r="T96" i="17"/>
  <c r="S96" i="17"/>
  <c r="R96" i="17"/>
  <c r="Q96" i="17"/>
  <c r="P96" i="17"/>
  <c r="O96" i="17"/>
  <c r="N96" i="17"/>
  <c r="M96" i="17"/>
  <c r="L96" i="17"/>
  <c r="K96" i="17"/>
  <c r="J96" i="17"/>
  <c r="I96" i="17"/>
  <c r="H96" i="17"/>
  <c r="G96" i="17"/>
  <c r="F96" i="17"/>
  <c r="AE95" i="17"/>
  <c r="AC95" i="17"/>
  <c r="AB95" i="17"/>
  <c r="AA95" i="17"/>
  <c r="Z95" i="17"/>
  <c r="Y95" i="17"/>
  <c r="X95" i="17"/>
  <c r="W95" i="17"/>
  <c r="V95" i="17"/>
  <c r="U95" i="17"/>
  <c r="T95" i="17"/>
  <c r="S95" i="17"/>
  <c r="R95" i="17"/>
  <c r="Q95" i="17"/>
  <c r="P95" i="17"/>
  <c r="O95" i="17"/>
  <c r="N95" i="17"/>
  <c r="M95" i="17"/>
  <c r="L95" i="17"/>
  <c r="K95" i="17"/>
  <c r="J95" i="17"/>
  <c r="I95" i="17"/>
  <c r="H95" i="17"/>
  <c r="G95" i="17"/>
  <c r="F95" i="17"/>
  <c r="AE94" i="17"/>
  <c r="AC94" i="17"/>
  <c r="AB94" i="17"/>
  <c r="AA94" i="17"/>
  <c r="Z94" i="17"/>
  <c r="Y94" i="17"/>
  <c r="X94" i="17"/>
  <c r="W94" i="17"/>
  <c r="V94" i="17"/>
  <c r="U94" i="17"/>
  <c r="T94" i="17"/>
  <c r="S94" i="17"/>
  <c r="R94" i="17"/>
  <c r="Q94" i="17"/>
  <c r="P94" i="17"/>
  <c r="O94" i="17"/>
  <c r="N94" i="17"/>
  <c r="M94" i="17"/>
  <c r="L94" i="17"/>
  <c r="K94" i="17"/>
  <c r="J94" i="17"/>
  <c r="I94" i="17"/>
  <c r="H94" i="17"/>
  <c r="G94" i="17"/>
  <c r="F94" i="17"/>
  <c r="AE93" i="17"/>
  <c r="AC93" i="17"/>
  <c r="AB93" i="17"/>
  <c r="AA93" i="17"/>
  <c r="Z93" i="17"/>
  <c r="Y93" i="17"/>
  <c r="X93" i="17"/>
  <c r="W93" i="17"/>
  <c r="V93" i="17"/>
  <c r="U93" i="17"/>
  <c r="T93" i="17"/>
  <c r="S93" i="17"/>
  <c r="R93" i="17"/>
  <c r="Q93" i="17"/>
  <c r="P93" i="17"/>
  <c r="O93" i="17"/>
  <c r="N93" i="17"/>
  <c r="M93" i="17"/>
  <c r="L93" i="17"/>
  <c r="K93" i="17"/>
  <c r="J93" i="17"/>
  <c r="I93" i="17"/>
  <c r="H93" i="17"/>
  <c r="G93" i="17"/>
  <c r="F93" i="17"/>
  <c r="AE92" i="17"/>
  <c r="AC92" i="17"/>
  <c r="AB92" i="17"/>
  <c r="AA92" i="17"/>
  <c r="Z92" i="17"/>
  <c r="Y92" i="17"/>
  <c r="X92" i="17"/>
  <c r="W92" i="17"/>
  <c r="V92" i="17"/>
  <c r="U92" i="17"/>
  <c r="T92" i="17"/>
  <c r="S92" i="17"/>
  <c r="R92" i="17"/>
  <c r="Q92" i="17"/>
  <c r="P92" i="17"/>
  <c r="O92" i="17"/>
  <c r="N92" i="17"/>
  <c r="M92" i="17"/>
  <c r="L92" i="17"/>
  <c r="K92" i="17"/>
  <c r="J92" i="17"/>
  <c r="I92" i="17"/>
  <c r="H92" i="17"/>
  <c r="G92" i="17"/>
  <c r="F92" i="17"/>
  <c r="AE91" i="17"/>
  <c r="AC91" i="17"/>
  <c r="AB91" i="17"/>
  <c r="AA91" i="17"/>
  <c r="Z91" i="17"/>
  <c r="Y91" i="17"/>
  <c r="X91" i="17"/>
  <c r="W91" i="17"/>
  <c r="V91" i="17"/>
  <c r="U91" i="17"/>
  <c r="T91" i="17"/>
  <c r="S91" i="17"/>
  <c r="R91" i="17"/>
  <c r="Q91" i="17"/>
  <c r="P91" i="17"/>
  <c r="O91" i="17"/>
  <c r="N91" i="17"/>
  <c r="M91" i="17"/>
  <c r="L91" i="17"/>
  <c r="K91" i="17"/>
  <c r="J91" i="17"/>
  <c r="I91" i="17"/>
  <c r="H91" i="17"/>
  <c r="G91" i="17"/>
  <c r="F91" i="17"/>
  <c r="AE90" i="17"/>
  <c r="AC90" i="17"/>
  <c r="AB90" i="17"/>
  <c r="AA90" i="17"/>
  <c r="Z90" i="17"/>
  <c r="Y90" i="17"/>
  <c r="X90" i="17"/>
  <c r="W90" i="17"/>
  <c r="V90" i="17"/>
  <c r="U90" i="17"/>
  <c r="T90" i="17"/>
  <c r="S90" i="17"/>
  <c r="R90" i="17"/>
  <c r="Q90" i="17"/>
  <c r="P90" i="17"/>
  <c r="O90" i="17"/>
  <c r="N90" i="17"/>
  <c r="M90" i="17"/>
  <c r="L90" i="17"/>
  <c r="K90" i="17"/>
  <c r="J90" i="17"/>
  <c r="I90" i="17"/>
  <c r="H90" i="17"/>
  <c r="G90" i="17"/>
  <c r="F90" i="17"/>
  <c r="AE89" i="17"/>
  <c r="AC89" i="17"/>
  <c r="AB89" i="17"/>
  <c r="AA89" i="17"/>
  <c r="Z89" i="17"/>
  <c r="Y89" i="17"/>
  <c r="X89" i="17"/>
  <c r="W89" i="17"/>
  <c r="V89" i="17"/>
  <c r="U89" i="17"/>
  <c r="T89" i="17"/>
  <c r="S89" i="17"/>
  <c r="R89" i="17"/>
  <c r="Q89" i="17"/>
  <c r="P89" i="17"/>
  <c r="O89" i="17"/>
  <c r="N89" i="17"/>
  <c r="M89" i="17"/>
  <c r="L89" i="17"/>
  <c r="K89" i="17"/>
  <c r="J89" i="17"/>
  <c r="I89" i="17"/>
  <c r="H89" i="17"/>
  <c r="G89" i="17"/>
  <c r="F89" i="17"/>
  <c r="AE88" i="17"/>
  <c r="AC88" i="17"/>
  <c r="AB88" i="17"/>
  <c r="AA88" i="17"/>
  <c r="Z88" i="17"/>
  <c r="Y88" i="17"/>
  <c r="X88" i="17"/>
  <c r="W88" i="17"/>
  <c r="V88" i="17"/>
  <c r="U88" i="17"/>
  <c r="T88" i="17"/>
  <c r="S88" i="17"/>
  <c r="R88" i="17"/>
  <c r="Q88" i="17"/>
  <c r="P88" i="17"/>
  <c r="O88" i="17"/>
  <c r="N88" i="17"/>
  <c r="M88" i="17"/>
  <c r="L88" i="17"/>
  <c r="K88" i="17"/>
  <c r="J88" i="17"/>
  <c r="I88" i="17"/>
  <c r="H88" i="17"/>
  <c r="G88" i="17"/>
  <c r="F88" i="17"/>
  <c r="AE87" i="17"/>
  <c r="AC87" i="17"/>
  <c r="AB87" i="17"/>
  <c r="AA87" i="17"/>
  <c r="Z87" i="17"/>
  <c r="Y87" i="17"/>
  <c r="X87" i="17"/>
  <c r="W87" i="17"/>
  <c r="V87" i="17"/>
  <c r="U87" i="17"/>
  <c r="T87" i="17"/>
  <c r="S87" i="17"/>
  <c r="R87" i="17"/>
  <c r="Q87" i="17"/>
  <c r="P87" i="17"/>
  <c r="O87" i="17"/>
  <c r="N87" i="17"/>
  <c r="M87" i="17"/>
  <c r="L87" i="17"/>
  <c r="K87" i="17"/>
  <c r="J87" i="17"/>
  <c r="I87" i="17"/>
  <c r="H87" i="17"/>
  <c r="G87" i="17"/>
  <c r="F87" i="17"/>
  <c r="AE86" i="17"/>
  <c r="AC86" i="17"/>
  <c r="AB86" i="17"/>
  <c r="AA86" i="17"/>
  <c r="Z86" i="17"/>
  <c r="Y86" i="17"/>
  <c r="X86" i="17"/>
  <c r="W86" i="17"/>
  <c r="V86" i="17"/>
  <c r="U86" i="17"/>
  <c r="T86" i="17"/>
  <c r="S86" i="17"/>
  <c r="R86" i="17"/>
  <c r="Q86" i="17"/>
  <c r="P86" i="17"/>
  <c r="O86" i="17"/>
  <c r="N86" i="17"/>
  <c r="M86" i="17"/>
  <c r="L86" i="17"/>
  <c r="K86" i="17"/>
  <c r="J86" i="17"/>
  <c r="I86" i="17"/>
  <c r="H86" i="17"/>
  <c r="G86" i="17"/>
  <c r="F86" i="17"/>
  <c r="AE85" i="17"/>
  <c r="AC85" i="17"/>
  <c r="AB85" i="17"/>
  <c r="AA85" i="17"/>
  <c r="Z85" i="17"/>
  <c r="Y85" i="17"/>
  <c r="X85" i="17"/>
  <c r="W85" i="17"/>
  <c r="V85" i="17"/>
  <c r="U85" i="17"/>
  <c r="T85" i="17"/>
  <c r="S85" i="17"/>
  <c r="R85" i="17"/>
  <c r="Q85" i="17"/>
  <c r="P85" i="17"/>
  <c r="O85" i="17"/>
  <c r="N85" i="17"/>
  <c r="M85" i="17"/>
  <c r="L85" i="17"/>
  <c r="K85" i="17"/>
  <c r="J85" i="17"/>
  <c r="I85" i="17"/>
  <c r="H85" i="17"/>
  <c r="G85" i="17"/>
  <c r="F85" i="17"/>
  <c r="AE84" i="17"/>
  <c r="AC84" i="17"/>
  <c r="AB84" i="17"/>
  <c r="AA84" i="17"/>
  <c r="Z84" i="17"/>
  <c r="Y84" i="17"/>
  <c r="X84" i="17"/>
  <c r="W84" i="17"/>
  <c r="V84" i="17"/>
  <c r="U84" i="17"/>
  <c r="T84" i="17"/>
  <c r="S84" i="17"/>
  <c r="R84" i="17"/>
  <c r="Q84" i="17"/>
  <c r="P84" i="17"/>
  <c r="O84" i="17"/>
  <c r="N84" i="17"/>
  <c r="M84" i="17"/>
  <c r="L84" i="17"/>
  <c r="K84" i="17"/>
  <c r="J84" i="17"/>
  <c r="I84" i="17"/>
  <c r="H84" i="17"/>
  <c r="G84" i="17"/>
  <c r="F84" i="17"/>
  <c r="AE83" i="17"/>
  <c r="AC83" i="17"/>
  <c r="AB83" i="17"/>
  <c r="AA83" i="17"/>
  <c r="Z83" i="17"/>
  <c r="Y83" i="17"/>
  <c r="X83" i="17"/>
  <c r="W83" i="17"/>
  <c r="V83" i="17"/>
  <c r="U83" i="17"/>
  <c r="T83" i="17"/>
  <c r="S83" i="17"/>
  <c r="R83" i="17"/>
  <c r="Q83" i="17"/>
  <c r="P83" i="17"/>
  <c r="O83" i="17"/>
  <c r="N83" i="17"/>
  <c r="M83" i="17"/>
  <c r="L83" i="17"/>
  <c r="K83" i="17"/>
  <c r="J83" i="17"/>
  <c r="I83" i="17"/>
  <c r="H83" i="17"/>
  <c r="G83" i="17"/>
  <c r="F83" i="17"/>
  <c r="AE82" i="17"/>
  <c r="AC82" i="17"/>
  <c r="AB82" i="17"/>
  <c r="AA82" i="17"/>
  <c r="Z82" i="17"/>
  <c r="Y82" i="17"/>
  <c r="X82" i="17"/>
  <c r="W82" i="17"/>
  <c r="V82" i="17"/>
  <c r="U82" i="17"/>
  <c r="T82" i="17"/>
  <c r="S82" i="17"/>
  <c r="R82" i="17"/>
  <c r="Q82" i="17"/>
  <c r="P82" i="17"/>
  <c r="O82" i="17"/>
  <c r="N82" i="17"/>
  <c r="M82" i="17"/>
  <c r="L82" i="17"/>
  <c r="K82" i="17"/>
  <c r="J82" i="17"/>
  <c r="I82" i="17"/>
  <c r="H82" i="17"/>
  <c r="G82" i="17"/>
  <c r="F82" i="17"/>
  <c r="AE81" i="17"/>
  <c r="AC81" i="17"/>
  <c r="AB81" i="17"/>
  <c r="AA81" i="17"/>
  <c r="Z81" i="17"/>
  <c r="Y81" i="17"/>
  <c r="X81" i="17"/>
  <c r="W81" i="17"/>
  <c r="V81" i="17"/>
  <c r="U81" i="17"/>
  <c r="T81" i="17"/>
  <c r="S81" i="17"/>
  <c r="R81" i="17"/>
  <c r="Q81" i="17"/>
  <c r="P81" i="17"/>
  <c r="O81" i="17"/>
  <c r="N81" i="17"/>
  <c r="M81" i="17"/>
  <c r="L81" i="17"/>
  <c r="K81" i="17"/>
  <c r="J81" i="17"/>
  <c r="I81" i="17"/>
  <c r="H81" i="17"/>
  <c r="G81" i="17"/>
  <c r="F81" i="17"/>
  <c r="AE80" i="17"/>
  <c r="AC80" i="17"/>
  <c r="AB80" i="17"/>
  <c r="AA80" i="17"/>
  <c r="Z80" i="17"/>
  <c r="Y80" i="17"/>
  <c r="X80" i="17"/>
  <c r="W80" i="17"/>
  <c r="V80" i="17"/>
  <c r="U80" i="17"/>
  <c r="T80" i="17"/>
  <c r="S80" i="17"/>
  <c r="R80" i="17"/>
  <c r="Q80" i="17"/>
  <c r="P80" i="17"/>
  <c r="O80" i="17"/>
  <c r="N80" i="17"/>
  <c r="M80" i="17"/>
  <c r="L80" i="17"/>
  <c r="K80" i="17"/>
  <c r="J80" i="17"/>
  <c r="I80" i="17"/>
  <c r="H80" i="17"/>
  <c r="G80" i="17"/>
  <c r="F80" i="17"/>
  <c r="AE79" i="17"/>
  <c r="AC79" i="17"/>
  <c r="AB79" i="17"/>
  <c r="AA79" i="17"/>
  <c r="Z79" i="17"/>
  <c r="Y79" i="17"/>
  <c r="X79" i="17"/>
  <c r="W79" i="17"/>
  <c r="V79" i="17"/>
  <c r="U79" i="17"/>
  <c r="T79" i="17"/>
  <c r="S79" i="17"/>
  <c r="R79" i="17"/>
  <c r="Q79" i="17"/>
  <c r="P79" i="17"/>
  <c r="O79" i="17"/>
  <c r="N79" i="17"/>
  <c r="M79" i="17"/>
  <c r="L79" i="17"/>
  <c r="K79" i="17"/>
  <c r="J79" i="17"/>
  <c r="I79" i="17"/>
  <c r="H79" i="17"/>
  <c r="G79" i="17"/>
  <c r="F79" i="17"/>
  <c r="AE78" i="17"/>
  <c r="AC78" i="17"/>
  <c r="AB78" i="17"/>
  <c r="AA78" i="17"/>
  <c r="Z78" i="17"/>
  <c r="Y78" i="17"/>
  <c r="X78" i="17"/>
  <c r="W78" i="17"/>
  <c r="V78" i="17"/>
  <c r="U78" i="17"/>
  <c r="T78" i="17"/>
  <c r="S78" i="17"/>
  <c r="R78" i="17"/>
  <c r="Q78" i="17"/>
  <c r="P78" i="17"/>
  <c r="O78" i="17"/>
  <c r="N78" i="17"/>
  <c r="M78" i="17"/>
  <c r="L78" i="17"/>
  <c r="K78" i="17"/>
  <c r="J78" i="17"/>
  <c r="I78" i="17"/>
  <c r="H78" i="17"/>
  <c r="G78" i="17"/>
  <c r="F78" i="17"/>
  <c r="AE77" i="17"/>
  <c r="AC77" i="17"/>
  <c r="AB77" i="17"/>
  <c r="AA77" i="17"/>
  <c r="Z77" i="17"/>
  <c r="Y77" i="17"/>
  <c r="X77" i="17"/>
  <c r="W77" i="17"/>
  <c r="V77" i="17"/>
  <c r="U77" i="17"/>
  <c r="T77" i="17"/>
  <c r="S77" i="17"/>
  <c r="R77" i="17"/>
  <c r="Q77" i="17"/>
  <c r="P77" i="17"/>
  <c r="O77" i="17"/>
  <c r="N77" i="17"/>
  <c r="M77" i="17"/>
  <c r="L77" i="17"/>
  <c r="K77" i="17"/>
  <c r="J77" i="17"/>
  <c r="I77" i="17"/>
  <c r="H77" i="17"/>
  <c r="G77" i="17"/>
  <c r="F77" i="17"/>
  <c r="AE76" i="17"/>
  <c r="AC76" i="17"/>
  <c r="AB76" i="17"/>
  <c r="AA76" i="17"/>
  <c r="Z76" i="17"/>
  <c r="Y76" i="17"/>
  <c r="X76" i="17"/>
  <c r="W76" i="17"/>
  <c r="V76" i="17"/>
  <c r="U76" i="17"/>
  <c r="T76" i="17"/>
  <c r="S76" i="17"/>
  <c r="R76" i="17"/>
  <c r="Q76" i="17"/>
  <c r="P76" i="17"/>
  <c r="O76" i="17"/>
  <c r="N76" i="17"/>
  <c r="M76" i="17"/>
  <c r="L76" i="17"/>
  <c r="K76" i="17"/>
  <c r="J76" i="17"/>
  <c r="I76" i="17"/>
  <c r="H76" i="17"/>
  <c r="G76" i="17"/>
  <c r="F76" i="17"/>
  <c r="AE75" i="17"/>
  <c r="AC75" i="17"/>
  <c r="AB75" i="17"/>
  <c r="AA75" i="17"/>
  <c r="Z75" i="17"/>
  <c r="Y75" i="17"/>
  <c r="X75" i="17"/>
  <c r="W75" i="17"/>
  <c r="V75" i="17"/>
  <c r="U75" i="17"/>
  <c r="T75" i="17"/>
  <c r="S75" i="17"/>
  <c r="R75" i="17"/>
  <c r="Q75" i="17"/>
  <c r="P75" i="17"/>
  <c r="O75" i="17"/>
  <c r="N75" i="17"/>
  <c r="M75" i="17"/>
  <c r="L75" i="17"/>
  <c r="K75" i="17"/>
  <c r="J75" i="17"/>
  <c r="I75" i="17"/>
  <c r="H75" i="17"/>
  <c r="G75" i="17"/>
  <c r="F75" i="17"/>
  <c r="AE74" i="17"/>
  <c r="AC74" i="17"/>
  <c r="AB74" i="17"/>
  <c r="AA74" i="17"/>
  <c r="Z74" i="17"/>
  <c r="Y74" i="17"/>
  <c r="X74" i="17"/>
  <c r="W74" i="17"/>
  <c r="V74" i="17"/>
  <c r="U74" i="17"/>
  <c r="T74" i="17"/>
  <c r="S74" i="17"/>
  <c r="R74" i="17"/>
  <c r="Q74" i="17"/>
  <c r="P74" i="17"/>
  <c r="O74" i="17"/>
  <c r="N74" i="17"/>
  <c r="M74" i="17"/>
  <c r="L74" i="17"/>
  <c r="K74" i="17"/>
  <c r="J74" i="17"/>
  <c r="I74" i="17"/>
  <c r="H74" i="17"/>
  <c r="G74" i="17"/>
  <c r="F74" i="17"/>
  <c r="AE73" i="17"/>
  <c r="AC73" i="17"/>
  <c r="AB73" i="17"/>
  <c r="AA73" i="17"/>
  <c r="Z73" i="17"/>
  <c r="Y73" i="17"/>
  <c r="X73" i="17"/>
  <c r="W73" i="17"/>
  <c r="V73" i="17"/>
  <c r="U73" i="17"/>
  <c r="T73" i="17"/>
  <c r="S73" i="17"/>
  <c r="R73" i="17"/>
  <c r="Q73" i="17"/>
  <c r="P73" i="17"/>
  <c r="O73" i="17"/>
  <c r="N73" i="17"/>
  <c r="M73" i="17"/>
  <c r="L73" i="17"/>
  <c r="K73" i="17"/>
  <c r="J73" i="17"/>
  <c r="I73" i="17"/>
  <c r="H73" i="17"/>
  <c r="G73" i="17"/>
  <c r="F73" i="17"/>
  <c r="AE72" i="17"/>
  <c r="AC72" i="17"/>
  <c r="AB72" i="17"/>
  <c r="AA72" i="17"/>
  <c r="Z72" i="17"/>
  <c r="Y72" i="17"/>
  <c r="X72" i="17"/>
  <c r="W72" i="17"/>
  <c r="V72" i="17"/>
  <c r="U72" i="17"/>
  <c r="T72" i="17"/>
  <c r="S72" i="17"/>
  <c r="R72" i="17"/>
  <c r="Q72" i="17"/>
  <c r="P72" i="17"/>
  <c r="O72" i="17"/>
  <c r="N72" i="17"/>
  <c r="M72" i="17"/>
  <c r="L72" i="17"/>
  <c r="K72" i="17"/>
  <c r="J72" i="17"/>
  <c r="I72" i="17"/>
  <c r="H72" i="17"/>
  <c r="G72" i="17"/>
  <c r="F72" i="17"/>
  <c r="AE71" i="17"/>
  <c r="AC71" i="17"/>
  <c r="AB71" i="17"/>
  <c r="AA71" i="17"/>
  <c r="Z71" i="17"/>
  <c r="Y71" i="17"/>
  <c r="X71" i="17"/>
  <c r="W71" i="17"/>
  <c r="V71" i="17"/>
  <c r="U71" i="17"/>
  <c r="T71" i="17"/>
  <c r="S71" i="17"/>
  <c r="R71" i="17"/>
  <c r="Q71" i="17"/>
  <c r="P71" i="17"/>
  <c r="O71" i="17"/>
  <c r="N71" i="17"/>
  <c r="M71" i="17"/>
  <c r="L71" i="17"/>
  <c r="K71" i="17"/>
  <c r="J71" i="17"/>
  <c r="I71" i="17"/>
  <c r="H71" i="17"/>
  <c r="G71" i="17"/>
  <c r="F71" i="17"/>
  <c r="AE70" i="17"/>
  <c r="AC70" i="17"/>
  <c r="AB70" i="17"/>
  <c r="AA70" i="17"/>
  <c r="Z70" i="17"/>
  <c r="Y70" i="17"/>
  <c r="X70" i="17"/>
  <c r="W70" i="17"/>
  <c r="V70" i="17"/>
  <c r="U70" i="17"/>
  <c r="T70" i="17"/>
  <c r="S70" i="17"/>
  <c r="R70" i="17"/>
  <c r="Q70" i="17"/>
  <c r="P70" i="17"/>
  <c r="O70" i="17"/>
  <c r="N70" i="17"/>
  <c r="M70" i="17"/>
  <c r="L70" i="17"/>
  <c r="K70" i="17"/>
  <c r="J70" i="17"/>
  <c r="I70" i="17"/>
  <c r="H70" i="17"/>
  <c r="G70" i="17"/>
  <c r="F70" i="17"/>
  <c r="AE69" i="17"/>
  <c r="AC69" i="17"/>
  <c r="AB69" i="17"/>
  <c r="AA69" i="17"/>
  <c r="Z69" i="17"/>
  <c r="Y69" i="17"/>
  <c r="X69" i="17"/>
  <c r="W69" i="17"/>
  <c r="V69" i="17"/>
  <c r="U69" i="17"/>
  <c r="T69" i="17"/>
  <c r="S69" i="17"/>
  <c r="R69" i="17"/>
  <c r="Q69" i="17"/>
  <c r="P69" i="17"/>
  <c r="O69" i="17"/>
  <c r="N69" i="17"/>
  <c r="M69" i="17"/>
  <c r="L69" i="17"/>
  <c r="K69" i="17"/>
  <c r="J69" i="17"/>
  <c r="I69" i="17"/>
  <c r="H69" i="17"/>
  <c r="G69" i="17"/>
  <c r="F69" i="17"/>
  <c r="AE68" i="17"/>
  <c r="AC68" i="17"/>
  <c r="AB68" i="17"/>
  <c r="AA68" i="17"/>
  <c r="Z68" i="17"/>
  <c r="Y68" i="17"/>
  <c r="X68" i="17"/>
  <c r="W68" i="17"/>
  <c r="V68" i="17"/>
  <c r="U68" i="17"/>
  <c r="T68" i="17"/>
  <c r="S68" i="17"/>
  <c r="R68" i="17"/>
  <c r="Q68" i="17"/>
  <c r="P68" i="17"/>
  <c r="O68" i="17"/>
  <c r="N68" i="17"/>
  <c r="M68" i="17"/>
  <c r="L68" i="17"/>
  <c r="K68" i="17"/>
  <c r="J68" i="17"/>
  <c r="I68" i="17"/>
  <c r="H68" i="17"/>
  <c r="G68" i="17"/>
  <c r="F68" i="17"/>
  <c r="AE67" i="17"/>
  <c r="AC67" i="17"/>
  <c r="AB67" i="17"/>
  <c r="AA67" i="17"/>
  <c r="Z67" i="17"/>
  <c r="Y67" i="17"/>
  <c r="X67" i="17"/>
  <c r="W67" i="17"/>
  <c r="V67" i="17"/>
  <c r="U67" i="17"/>
  <c r="T67" i="17"/>
  <c r="S67" i="17"/>
  <c r="R67" i="17"/>
  <c r="Q67" i="17"/>
  <c r="P67" i="17"/>
  <c r="O67" i="17"/>
  <c r="N67" i="17"/>
  <c r="M67" i="17"/>
  <c r="L67" i="17"/>
  <c r="K67" i="17"/>
  <c r="J67" i="17"/>
  <c r="I67" i="17"/>
  <c r="H67" i="17"/>
  <c r="G67" i="17"/>
  <c r="F67" i="17"/>
  <c r="AE66" i="17"/>
  <c r="AC66" i="17"/>
  <c r="AB66" i="17"/>
  <c r="AA66" i="17"/>
  <c r="Z66" i="17"/>
  <c r="Y66" i="17"/>
  <c r="X66" i="17"/>
  <c r="W66" i="17"/>
  <c r="V66" i="17"/>
  <c r="U66" i="17"/>
  <c r="T66" i="17"/>
  <c r="S66" i="17"/>
  <c r="R66" i="17"/>
  <c r="Q66" i="17"/>
  <c r="P66" i="17"/>
  <c r="O66" i="17"/>
  <c r="N66" i="17"/>
  <c r="M66" i="17"/>
  <c r="L66" i="17"/>
  <c r="K66" i="17"/>
  <c r="J66" i="17"/>
  <c r="I66" i="17"/>
  <c r="H66" i="17"/>
  <c r="G66" i="17"/>
  <c r="F66" i="17"/>
  <c r="AE65" i="17"/>
  <c r="AC65" i="17"/>
  <c r="AB65" i="17"/>
  <c r="AA65" i="17"/>
  <c r="Z65" i="17"/>
  <c r="Y65" i="17"/>
  <c r="X65" i="17"/>
  <c r="W65" i="17"/>
  <c r="V65" i="17"/>
  <c r="U65" i="17"/>
  <c r="T65" i="17"/>
  <c r="S65" i="17"/>
  <c r="R65" i="17"/>
  <c r="Q65" i="17"/>
  <c r="P65" i="17"/>
  <c r="O65" i="17"/>
  <c r="N65" i="17"/>
  <c r="M65" i="17"/>
  <c r="L65" i="17"/>
  <c r="K65" i="17"/>
  <c r="J65" i="17"/>
  <c r="I65" i="17"/>
  <c r="H65" i="17"/>
  <c r="G65" i="17"/>
  <c r="F65" i="17"/>
  <c r="AE64" i="17"/>
  <c r="AC64" i="17"/>
  <c r="AB64" i="17"/>
  <c r="AA64" i="17"/>
  <c r="Z64" i="17"/>
  <c r="Y64" i="17"/>
  <c r="X64" i="17"/>
  <c r="W64" i="17"/>
  <c r="V64" i="17"/>
  <c r="U64" i="17"/>
  <c r="T64" i="17"/>
  <c r="S64" i="17"/>
  <c r="R64" i="17"/>
  <c r="Q64" i="17"/>
  <c r="P64" i="17"/>
  <c r="O64" i="17"/>
  <c r="N64" i="17"/>
  <c r="M64" i="17"/>
  <c r="L64" i="17"/>
  <c r="K64" i="17"/>
  <c r="J64" i="17"/>
  <c r="I64" i="17"/>
  <c r="H64" i="17"/>
  <c r="G64" i="17"/>
  <c r="F64" i="17"/>
  <c r="AE63" i="17"/>
  <c r="AC63" i="17"/>
  <c r="AB63" i="17"/>
  <c r="AA63" i="17"/>
  <c r="Z63" i="17"/>
  <c r="Y63" i="17"/>
  <c r="X63" i="17"/>
  <c r="W63" i="17"/>
  <c r="V63" i="17"/>
  <c r="U63" i="17"/>
  <c r="T63" i="17"/>
  <c r="S63" i="17"/>
  <c r="R63" i="17"/>
  <c r="Q63" i="17"/>
  <c r="P63" i="17"/>
  <c r="O63" i="17"/>
  <c r="N63" i="17"/>
  <c r="M63" i="17"/>
  <c r="L63" i="17"/>
  <c r="K63" i="17"/>
  <c r="J63" i="17"/>
  <c r="I63" i="17"/>
  <c r="H63" i="17"/>
  <c r="G63" i="17"/>
  <c r="F63" i="17"/>
  <c r="AE62" i="17"/>
  <c r="AC62" i="17"/>
  <c r="AB62" i="17"/>
  <c r="AA62" i="17"/>
  <c r="Z62" i="17"/>
  <c r="Y62" i="17"/>
  <c r="X62" i="17"/>
  <c r="W62" i="17"/>
  <c r="V62" i="17"/>
  <c r="U62" i="17"/>
  <c r="T62" i="17"/>
  <c r="S62" i="17"/>
  <c r="R62" i="17"/>
  <c r="Q62" i="17"/>
  <c r="P62" i="17"/>
  <c r="O62" i="17"/>
  <c r="N62" i="17"/>
  <c r="M62" i="17"/>
  <c r="L62" i="17"/>
  <c r="K62" i="17"/>
  <c r="J62" i="17"/>
  <c r="I62" i="17"/>
  <c r="H62" i="17"/>
  <c r="G62" i="17"/>
  <c r="F62" i="17"/>
  <c r="AE61" i="17"/>
  <c r="AC61" i="17"/>
  <c r="AB61" i="17"/>
  <c r="AA61" i="17"/>
  <c r="Z61" i="17"/>
  <c r="Y61" i="17"/>
  <c r="X61" i="17"/>
  <c r="W61" i="17"/>
  <c r="V61" i="17"/>
  <c r="U61" i="17"/>
  <c r="T61" i="17"/>
  <c r="S61" i="17"/>
  <c r="R61" i="17"/>
  <c r="Q61" i="17"/>
  <c r="P61" i="17"/>
  <c r="O61" i="17"/>
  <c r="N61" i="17"/>
  <c r="M61" i="17"/>
  <c r="L61" i="17"/>
  <c r="K61" i="17"/>
  <c r="J61" i="17"/>
  <c r="I61" i="17"/>
  <c r="H61" i="17"/>
  <c r="G61" i="17"/>
  <c r="F61" i="17"/>
  <c r="AE60" i="17"/>
  <c r="AC60" i="17"/>
  <c r="AB60" i="17"/>
  <c r="AA60" i="17"/>
  <c r="Z60" i="17"/>
  <c r="Y60" i="17"/>
  <c r="X60" i="17"/>
  <c r="W60" i="17"/>
  <c r="V60" i="17"/>
  <c r="U60" i="17"/>
  <c r="T60" i="17"/>
  <c r="S60" i="17"/>
  <c r="R60" i="17"/>
  <c r="Q60" i="17"/>
  <c r="P60" i="17"/>
  <c r="O60" i="17"/>
  <c r="N60" i="17"/>
  <c r="M60" i="17"/>
  <c r="L60" i="17"/>
  <c r="K60" i="17"/>
  <c r="J60" i="17"/>
  <c r="I60" i="17"/>
  <c r="H60" i="17"/>
  <c r="G60" i="17"/>
  <c r="F60" i="17"/>
  <c r="AE59" i="17"/>
  <c r="AC59" i="17"/>
  <c r="AB59" i="17"/>
  <c r="AA59" i="17"/>
  <c r="Z59" i="17"/>
  <c r="Y59" i="17"/>
  <c r="X59" i="17"/>
  <c r="W59" i="17"/>
  <c r="V59" i="17"/>
  <c r="U59" i="17"/>
  <c r="T59" i="17"/>
  <c r="S59" i="17"/>
  <c r="R59" i="17"/>
  <c r="Q59" i="17"/>
  <c r="P59" i="17"/>
  <c r="O59" i="17"/>
  <c r="N59" i="17"/>
  <c r="M59" i="17"/>
  <c r="L59" i="17"/>
  <c r="K59" i="17"/>
  <c r="J59" i="17"/>
  <c r="I59" i="17"/>
  <c r="H59" i="17"/>
  <c r="G59" i="17"/>
  <c r="F59" i="17"/>
  <c r="AE58" i="17"/>
  <c r="AC58" i="17"/>
  <c r="AB58" i="17"/>
  <c r="AA58" i="17"/>
  <c r="Z58" i="17"/>
  <c r="Y58" i="17"/>
  <c r="X58" i="17"/>
  <c r="W58" i="17"/>
  <c r="V58" i="17"/>
  <c r="U58" i="17"/>
  <c r="T58" i="17"/>
  <c r="S58" i="17"/>
  <c r="R58" i="17"/>
  <c r="Q58" i="17"/>
  <c r="P58" i="17"/>
  <c r="O58" i="17"/>
  <c r="N58" i="17"/>
  <c r="M58" i="17"/>
  <c r="L58" i="17"/>
  <c r="K58" i="17"/>
  <c r="J58" i="17"/>
  <c r="I58" i="17"/>
  <c r="H58" i="17"/>
  <c r="G58" i="17"/>
  <c r="F58" i="17"/>
  <c r="AE57" i="17"/>
  <c r="AC57" i="17"/>
  <c r="AB57" i="17"/>
  <c r="AA57" i="17"/>
  <c r="Z57" i="17"/>
  <c r="Y57" i="17"/>
  <c r="X57" i="17"/>
  <c r="W57" i="17"/>
  <c r="V57" i="17"/>
  <c r="U57" i="17"/>
  <c r="T57" i="17"/>
  <c r="S57" i="17"/>
  <c r="R57" i="17"/>
  <c r="Q57" i="17"/>
  <c r="P57" i="17"/>
  <c r="O57" i="17"/>
  <c r="N57" i="17"/>
  <c r="M57" i="17"/>
  <c r="L57" i="17"/>
  <c r="K57" i="17"/>
  <c r="J57" i="17"/>
  <c r="I57" i="17"/>
  <c r="H57" i="17"/>
  <c r="G57" i="17"/>
  <c r="F57" i="17"/>
  <c r="AE56" i="17"/>
  <c r="AC56" i="17"/>
  <c r="AB56" i="17"/>
  <c r="AA56" i="17"/>
  <c r="Z56" i="17"/>
  <c r="Y56" i="17"/>
  <c r="X56" i="17"/>
  <c r="W56" i="17"/>
  <c r="V56" i="17"/>
  <c r="U56" i="17"/>
  <c r="T56" i="17"/>
  <c r="S56" i="17"/>
  <c r="R56" i="17"/>
  <c r="Q56" i="17"/>
  <c r="P56" i="17"/>
  <c r="O56" i="17"/>
  <c r="N56" i="17"/>
  <c r="M56" i="17"/>
  <c r="L56" i="17"/>
  <c r="K56" i="17"/>
  <c r="J56" i="17"/>
  <c r="I56" i="17"/>
  <c r="H56" i="17"/>
  <c r="G56" i="17"/>
  <c r="F56" i="17"/>
  <c r="AE55" i="17"/>
  <c r="AC55" i="17"/>
  <c r="AB55" i="17"/>
  <c r="AA55" i="17"/>
  <c r="Z55" i="17"/>
  <c r="Y55" i="17"/>
  <c r="X55" i="17"/>
  <c r="W55" i="17"/>
  <c r="V55" i="17"/>
  <c r="U55" i="17"/>
  <c r="T55" i="17"/>
  <c r="S55" i="17"/>
  <c r="R55" i="17"/>
  <c r="Q55" i="17"/>
  <c r="P55" i="17"/>
  <c r="O55" i="17"/>
  <c r="N55" i="17"/>
  <c r="M55" i="17"/>
  <c r="L55" i="17"/>
  <c r="K55" i="17"/>
  <c r="J55" i="17"/>
  <c r="I55" i="17"/>
  <c r="H55" i="17"/>
  <c r="G55" i="17"/>
  <c r="F55" i="17"/>
  <c r="AE54" i="17"/>
  <c r="AC54" i="17"/>
  <c r="AB54" i="17"/>
  <c r="AA54" i="17"/>
  <c r="Z54" i="17"/>
  <c r="Y54" i="17"/>
  <c r="X54" i="17"/>
  <c r="W54" i="17"/>
  <c r="V54" i="17"/>
  <c r="U54" i="17"/>
  <c r="T54" i="17"/>
  <c r="S54" i="17"/>
  <c r="R54" i="17"/>
  <c r="Q54" i="17"/>
  <c r="P54" i="17"/>
  <c r="O54" i="17"/>
  <c r="N54" i="17"/>
  <c r="M54" i="17"/>
  <c r="L54" i="17"/>
  <c r="K54" i="17"/>
  <c r="J54" i="17"/>
  <c r="I54" i="17"/>
  <c r="H54" i="17"/>
  <c r="G54" i="17"/>
  <c r="F54" i="17"/>
  <c r="AE53" i="17"/>
  <c r="AC53" i="17"/>
  <c r="AB53" i="17"/>
  <c r="AA53" i="17"/>
  <c r="Z53" i="17"/>
  <c r="Y53" i="17"/>
  <c r="X53" i="17"/>
  <c r="W53" i="17"/>
  <c r="V53" i="17"/>
  <c r="U53" i="17"/>
  <c r="T53" i="17"/>
  <c r="S53" i="17"/>
  <c r="R53" i="17"/>
  <c r="Q53" i="17"/>
  <c r="P53" i="17"/>
  <c r="O53" i="17"/>
  <c r="N53" i="17"/>
  <c r="M53" i="17"/>
  <c r="L53" i="17"/>
  <c r="K53" i="17"/>
  <c r="J53" i="17"/>
  <c r="I53" i="17"/>
  <c r="H53" i="17"/>
  <c r="G53" i="17"/>
  <c r="F53" i="17"/>
  <c r="AE52" i="17"/>
  <c r="AC52" i="17"/>
  <c r="AB52" i="17"/>
  <c r="AA52" i="17"/>
  <c r="Z52" i="17"/>
  <c r="Y52" i="17"/>
  <c r="X52" i="17"/>
  <c r="W52" i="17"/>
  <c r="V52" i="17"/>
  <c r="U52" i="17"/>
  <c r="T52" i="17"/>
  <c r="S52" i="17"/>
  <c r="R52" i="17"/>
  <c r="Q52" i="17"/>
  <c r="P52" i="17"/>
  <c r="O52" i="17"/>
  <c r="N52" i="17"/>
  <c r="M52" i="17"/>
  <c r="L52" i="17"/>
  <c r="K52" i="17"/>
  <c r="J52" i="17"/>
  <c r="I52" i="17"/>
  <c r="H52" i="17"/>
  <c r="G52" i="17"/>
  <c r="F52" i="17"/>
  <c r="AE51" i="17"/>
  <c r="AC51" i="17"/>
  <c r="AB51" i="17"/>
  <c r="AA51" i="17"/>
  <c r="Z51" i="17"/>
  <c r="Y51" i="17"/>
  <c r="X51" i="17"/>
  <c r="W51" i="17"/>
  <c r="V51" i="17"/>
  <c r="U51" i="17"/>
  <c r="T51" i="17"/>
  <c r="S51" i="17"/>
  <c r="R51" i="17"/>
  <c r="Q51" i="17"/>
  <c r="P51" i="17"/>
  <c r="O51" i="17"/>
  <c r="N51" i="17"/>
  <c r="M51" i="17"/>
  <c r="L51" i="17"/>
  <c r="K51" i="17"/>
  <c r="J51" i="17"/>
  <c r="I51" i="17"/>
  <c r="H51" i="17"/>
  <c r="G51" i="17"/>
  <c r="F51" i="17"/>
  <c r="AE50" i="17"/>
  <c r="AC50" i="17"/>
  <c r="AB50" i="17"/>
  <c r="AA50" i="17"/>
  <c r="Z50" i="17"/>
  <c r="Y50" i="17"/>
  <c r="X50" i="17"/>
  <c r="W50" i="17"/>
  <c r="V50" i="17"/>
  <c r="U50" i="17"/>
  <c r="T50" i="17"/>
  <c r="S50" i="17"/>
  <c r="R50" i="17"/>
  <c r="Q50" i="17"/>
  <c r="P50" i="17"/>
  <c r="O50" i="17"/>
  <c r="N50" i="17"/>
  <c r="M50" i="17"/>
  <c r="L50" i="17"/>
  <c r="K50" i="17"/>
  <c r="J50" i="17"/>
  <c r="I50" i="17"/>
  <c r="H50" i="17"/>
  <c r="G50" i="17"/>
  <c r="F50" i="17"/>
  <c r="AE49" i="17"/>
  <c r="AC49" i="17"/>
  <c r="AB49" i="17"/>
  <c r="AA49" i="17"/>
  <c r="Z49" i="17"/>
  <c r="Y49" i="17"/>
  <c r="X49" i="17"/>
  <c r="W49" i="17"/>
  <c r="V49" i="17"/>
  <c r="U49" i="17"/>
  <c r="T49" i="17"/>
  <c r="S49" i="17"/>
  <c r="R49" i="17"/>
  <c r="Q49" i="17"/>
  <c r="P49" i="17"/>
  <c r="O49" i="17"/>
  <c r="N49" i="17"/>
  <c r="M49" i="17"/>
  <c r="L49" i="17"/>
  <c r="K49" i="17"/>
  <c r="J49" i="17"/>
  <c r="I49" i="17"/>
  <c r="H49" i="17"/>
  <c r="G49" i="17"/>
  <c r="F49" i="17"/>
  <c r="AE48" i="17"/>
  <c r="AC48" i="17"/>
  <c r="AB48" i="17"/>
  <c r="AA48" i="17"/>
  <c r="Z48" i="17"/>
  <c r="Y48" i="17"/>
  <c r="X48" i="17"/>
  <c r="W48" i="17"/>
  <c r="V48" i="17"/>
  <c r="U48" i="17"/>
  <c r="T48" i="17"/>
  <c r="S48" i="17"/>
  <c r="R48" i="17"/>
  <c r="Q48" i="17"/>
  <c r="P48" i="17"/>
  <c r="O48" i="17"/>
  <c r="N48" i="17"/>
  <c r="M48" i="17"/>
  <c r="L48" i="17"/>
  <c r="K48" i="17"/>
  <c r="J48" i="17"/>
  <c r="I48" i="17"/>
  <c r="H48" i="17"/>
  <c r="G48" i="17"/>
  <c r="F48" i="17"/>
  <c r="AE47" i="17"/>
  <c r="AC47" i="17"/>
  <c r="AB47" i="17"/>
  <c r="AA47" i="17"/>
  <c r="Z47" i="17"/>
  <c r="Y47" i="17"/>
  <c r="X47" i="17"/>
  <c r="W47" i="17"/>
  <c r="V47" i="17"/>
  <c r="U47" i="17"/>
  <c r="T47" i="17"/>
  <c r="S47" i="17"/>
  <c r="R47" i="17"/>
  <c r="Q47" i="17"/>
  <c r="P47" i="17"/>
  <c r="O47" i="17"/>
  <c r="N47" i="17"/>
  <c r="M47" i="17"/>
  <c r="L47" i="17"/>
  <c r="K47" i="17"/>
  <c r="J47" i="17"/>
  <c r="I47" i="17"/>
  <c r="H47" i="17"/>
  <c r="G47" i="17"/>
  <c r="F47" i="17"/>
  <c r="AE46" i="17"/>
  <c r="AC46" i="17"/>
  <c r="AB46" i="17"/>
  <c r="AA46" i="17"/>
  <c r="Z46" i="17"/>
  <c r="Y46" i="17"/>
  <c r="X46" i="17"/>
  <c r="W46" i="17"/>
  <c r="V46" i="17"/>
  <c r="U46" i="17"/>
  <c r="T46" i="17"/>
  <c r="S46" i="17"/>
  <c r="R46" i="17"/>
  <c r="Q46" i="17"/>
  <c r="P46" i="17"/>
  <c r="O46" i="17"/>
  <c r="N46" i="17"/>
  <c r="M46" i="17"/>
  <c r="L46" i="17"/>
  <c r="K46" i="17"/>
  <c r="J46" i="17"/>
  <c r="I46" i="17"/>
  <c r="H46" i="17"/>
  <c r="G46" i="17"/>
  <c r="F46" i="17"/>
  <c r="AE45" i="17"/>
  <c r="AC45" i="17"/>
  <c r="AB45" i="17"/>
  <c r="AA45" i="17"/>
  <c r="Z45" i="17"/>
  <c r="Y45" i="17"/>
  <c r="X45" i="17"/>
  <c r="W45" i="17"/>
  <c r="V45" i="17"/>
  <c r="U45" i="17"/>
  <c r="T45" i="17"/>
  <c r="S45" i="17"/>
  <c r="R45" i="17"/>
  <c r="Q45" i="17"/>
  <c r="P45" i="17"/>
  <c r="O45" i="17"/>
  <c r="N45" i="17"/>
  <c r="M45" i="17"/>
  <c r="L45" i="17"/>
  <c r="K45" i="17"/>
  <c r="J45" i="17"/>
  <c r="I45" i="17"/>
  <c r="H45" i="17"/>
  <c r="G45" i="17"/>
  <c r="F45" i="17"/>
  <c r="AE44" i="17"/>
  <c r="AC44" i="17"/>
  <c r="AB44" i="17"/>
  <c r="AA44" i="17"/>
  <c r="Z44" i="17"/>
  <c r="Y44" i="17"/>
  <c r="X44" i="17"/>
  <c r="W44" i="17"/>
  <c r="V44" i="17"/>
  <c r="U44" i="17"/>
  <c r="T44" i="17"/>
  <c r="S44" i="17"/>
  <c r="R44" i="17"/>
  <c r="Q44" i="17"/>
  <c r="P44" i="17"/>
  <c r="O44" i="17"/>
  <c r="N44" i="17"/>
  <c r="M44" i="17"/>
  <c r="L44" i="17"/>
  <c r="K44" i="17"/>
  <c r="J44" i="17"/>
  <c r="I44" i="17"/>
  <c r="H44" i="17"/>
  <c r="G44" i="17"/>
  <c r="F44" i="17"/>
  <c r="AE43" i="17"/>
  <c r="AC43" i="17"/>
  <c r="AB43" i="17"/>
  <c r="AA43" i="17"/>
  <c r="Z43" i="17"/>
  <c r="Y43" i="17"/>
  <c r="X43" i="17"/>
  <c r="W43" i="17"/>
  <c r="V43" i="17"/>
  <c r="U43" i="17"/>
  <c r="T43" i="17"/>
  <c r="S43" i="17"/>
  <c r="R43" i="17"/>
  <c r="Q43" i="17"/>
  <c r="P43" i="17"/>
  <c r="O43" i="17"/>
  <c r="N43" i="17"/>
  <c r="M43" i="17"/>
  <c r="L43" i="17"/>
  <c r="K43" i="17"/>
  <c r="J43" i="17"/>
  <c r="I43" i="17"/>
  <c r="H43" i="17"/>
  <c r="G43" i="17"/>
  <c r="F43" i="17"/>
  <c r="AE42" i="17"/>
  <c r="AC42" i="17"/>
  <c r="AB42" i="17"/>
  <c r="AA42" i="17"/>
  <c r="Z42" i="17"/>
  <c r="Y42" i="17"/>
  <c r="X42" i="17"/>
  <c r="W42" i="17"/>
  <c r="V42" i="17"/>
  <c r="U42" i="17"/>
  <c r="T42" i="17"/>
  <c r="S42" i="17"/>
  <c r="R42" i="17"/>
  <c r="Q42" i="17"/>
  <c r="P42" i="17"/>
  <c r="O42" i="17"/>
  <c r="N42" i="17"/>
  <c r="M42" i="17"/>
  <c r="L42" i="17"/>
  <c r="K42" i="17"/>
  <c r="J42" i="17"/>
  <c r="I42" i="17"/>
  <c r="H42" i="17"/>
  <c r="G42" i="17"/>
  <c r="F42" i="17"/>
  <c r="AE41" i="17"/>
  <c r="AC41" i="17"/>
  <c r="AB41" i="17"/>
  <c r="AA41" i="17"/>
  <c r="Z41" i="17"/>
  <c r="Y41" i="17"/>
  <c r="X41" i="17"/>
  <c r="W41" i="17"/>
  <c r="V41" i="17"/>
  <c r="U41" i="17"/>
  <c r="T41" i="17"/>
  <c r="S41" i="17"/>
  <c r="R41" i="17"/>
  <c r="Q41" i="17"/>
  <c r="P41" i="17"/>
  <c r="O41" i="17"/>
  <c r="N41" i="17"/>
  <c r="M41" i="17"/>
  <c r="L41" i="17"/>
  <c r="K41" i="17"/>
  <c r="J41" i="17"/>
  <c r="I41" i="17"/>
  <c r="H41" i="17"/>
  <c r="G41" i="17"/>
  <c r="F41" i="17"/>
  <c r="AE40" i="17"/>
  <c r="AC40" i="17"/>
  <c r="AB40" i="17"/>
  <c r="AA40" i="17"/>
  <c r="Z40" i="17"/>
  <c r="Y40" i="17"/>
  <c r="X40" i="17"/>
  <c r="W40" i="17"/>
  <c r="V40" i="17"/>
  <c r="U40" i="17"/>
  <c r="T40" i="17"/>
  <c r="S40" i="17"/>
  <c r="R40" i="17"/>
  <c r="Q40" i="17"/>
  <c r="P40" i="17"/>
  <c r="O40" i="17"/>
  <c r="N40" i="17"/>
  <c r="M40" i="17"/>
  <c r="L40" i="17"/>
  <c r="K40" i="17"/>
  <c r="J40" i="17"/>
  <c r="I40" i="17"/>
  <c r="H40" i="17"/>
  <c r="G40" i="17"/>
  <c r="F40" i="17"/>
  <c r="AE39" i="17"/>
  <c r="AC39" i="17"/>
  <c r="AB39" i="17"/>
  <c r="AA39" i="17"/>
  <c r="Z39" i="17"/>
  <c r="Y39" i="17"/>
  <c r="X39" i="17"/>
  <c r="W39" i="17"/>
  <c r="V39" i="17"/>
  <c r="U39" i="17"/>
  <c r="T39" i="17"/>
  <c r="S39" i="17"/>
  <c r="R39" i="17"/>
  <c r="Q39" i="17"/>
  <c r="P39" i="17"/>
  <c r="O39" i="17"/>
  <c r="N39" i="17"/>
  <c r="M39" i="17"/>
  <c r="L39" i="17"/>
  <c r="K39" i="17"/>
  <c r="J39" i="17"/>
  <c r="I39" i="17"/>
  <c r="H39" i="17"/>
  <c r="G39" i="17"/>
  <c r="F39" i="17"/>
  <c r="AE38" i="17"/>
  <c r="AC38" i="17"/>
  <c r="AB38" i="17"/>
  <c r="AA38" i="17"/>
  <c r="Z38" i="17"/>
  <c r="Y38" i="17"/>
  <c r="X38" i="17"/>
  <c r="W38" i="17"/>
  <c r="V38" i="17"/>
  <c r="U38" i="17"/>
  <c r="T38" i="17"/>
  <c r="S38" i="17"/>
  <c r="R38" i="17"/>
  <c r="Q38" i="17"/>
  <c r="P38" i="17"/>
  <c r="O38" i="17"/>
  <c r="N38" i="17"/>
  <c r="M38" i="17"/>
  <c r="L38" i="17"/>
  <c r="K38" i="17"/>
  <c r="J38" i="17"/>
  <c r="I38" i="17"/>
  <c r="H38" i="17"/>
  <c r="G38" i="17"/>
  <c r="F38" i="17"/>
  <c r="AE37" i="17"/>
  <c r="AC37" i="17"/>
  <c r="AB37" i="17"/>
  <c r="AA37" i="17"/>
  <c r="Z37" i="17"/>
  <c r="Y37" i="17"/>
  <c r="X37" i="17"/>
  <c r="W37" i="17"/>
  <c r="V37" i="17"/>
  <c r="U37" i="17"/>
  <c r="T37" i="17"/>
  <c r="S37" i="17"/>
  <c r="R37" i="17"/>
  <c r="Q37" i="17"/>
  <c r="P37" i="17"/>
  <c r="O37" i="17"/>
  <c r="N37" i="17"/>
  <c r="M37" i="17"/>
  <c r="L37" i="17"/>
  <c r="K37" i="17"/>
  <c r="J37" i="17"/>
  <c r="I37" i="17"/>
  <c r="H37" i="17"/>
  <c r="G37" i="17"/>
  <c r="F37" i="17"/>
  <c r="AE36" i="17"/>
  <c r="AC36" i="17"/>
  <c r="AB36" i="17"/>
  <c r="AA36" i="17"/>
  <c r="Z36" i="17"/>
  <c r="Y36" i="17"/>
  <c r="X36" i="17"/>
  <c r="W36" i="17"/>
  <c r="V36" i="17"/>
  <c r="U36" i="17"/>
  <c r="T36" i="17"/>
  <c r="S36" i="17"/>
  <c r="R36" i="17"/>
  <c r="Q36" i="17"/>
  <c r="P36" i="17"/>
  <c r="O36" i="17"/>
  <c r="N36" i="17"/>
  <c r="M36" i="17"/>
  <c r="L36" i="17"/>
  <c r="K36" i="17"/>
  <c r="J36" i="17"/>
  <c r="I36" i="17"/>
  <c r="H36" i="17"/>
  <c r="G36" i="17"/>
  <c r="F36" i="17"/>
  <c r="AE35" i="17"/>
  <c r="AC35" i="17"/>
  <c r="AB35" i="17"/>
  <c r="AA35" i="17"/>
  <c r="Z35" i="17"/>
  <c r="Y35" i="17"/>
  <c r="X35" i="17"/>
  <c r="W35" i="17"/>
  <c r="V35" i="17"/>
  <c r="U35" i="17"/>
  <c r="T35" i="17"/>
  <c r="S35" i="17"/>
  <c r="R35" i="17"/>
  <c r="Q35" i="17"/>
  <c r="P35" i="17"/>
  <c r="O35" i="17"/>
  <c r="N35" i="17"/>
  <c r="M35" i="17"/>
  <c r="L35" i="17"/>
  <c r="K35" i="17"/>
  <c r="J35" i="17"/>
  <c r="I35" i="17"/>
  <c r="H35" i="17"/>
  <c r="G35" i="17"/>
  <c r="F35" i="17"/>
  <c r="AE34" i="17"/>
  <c r="AC34" i="17"/>
  <c r="AB34" i="17"/>
  <c r="AA34" i="17"/>
  <c r="Z34" i="17"/>
  <c r="Y34" i="17"/>
  <c r="X34" i="17"/>
  <c r="W34" i="17"/>
  <c r="V34" i="17"/>
  <c r="U34" i="17"/>
  <c r="T34" i="17"/>
  <c r="S34" i="17"/>
  <c r="R34" i="17"/>
  <c r="Q34" i="17"/>
  <c r="P34" i="17"/>
  <c r="O34" i="17"/>
  <c r="N34" i="17"/>
  <c r="M34" i="17"/>
  <c r="L34" i="17"/>
  <c r="K34" i="17"/>
  <c r="J34" i="17"/>
  <c r="I34" i="17"/>
  <c r="H34" i="17"/>
  <c r="G34" i="17"/>
  <c r="F34" i="17"/>
  <c r="AE33" i="17"/>
  <c r="AC33" i="17"/>
  <c r="AB33" i="17"/>
  <c r="AA33" i="17"/>
  <c r="Z33" i="17"/>
  <c r="Y33" i="17"/>
  <c r="X33" i="17"/>
  <c r="W33" i="17"/>
  <c r="V33" i="17"/>
  <c r="U33" i="17"/>
  <c r="T33" i="17"/>
  <c r="S33" i="17"/>
  <c r="R33" i="17"/>
  <c r="Q33" i="17"/>
  <c r="P33" i="17"/>
  <c r="O33" i="17"/>
  <c r="N33" i="17"/>
  <c r="M33" i="17"/>
  <c r="L33" i="17"/>
  <c r="K33" i="17"/>
  <c r="J33" i="17"/>
  <c r="I33" i="17"/>
  <c r="H33" i="17"/>
  <c r="G33" i="17"/>
  <c r="F33" i="17"/>
  <c r="AE32" i="17"/>
  <c r="AC32" i="17"/>
  <c r="AB32" i="17"/>
  <c r="AA32" i="17"/>
  <c r="Z32" i="17"/>
  <c r="Y32" i="17"/>
  <c r="X32" i="17"/>
  <c r="W32" i="17"/>
  <c r="V32" i="17"/>
  <c r="U32" i="17"/>
  <c r="T32" i="17"/>
  <c r="S32" i="17"/>
  <c r="R32" i="17"/>
  <c r="Q32" i="17"/>
  <c r="P32" i="17"/>
  <c r="O32" i="17"/>
  <c r="N32" i="17"/>
  <c r="M32" i="17"/>
  <c r="L32" i="17"/>
  <c r="K32" i="17"/>
  <c r="J32" i="17"/>
  <c r="I32" i="17"/>
  <c r="H32" i="17"/>
  <c r="G32" i="17"/>
  <c r="F32" i="17"/>
  <c r="AE31" i="17"/>
  <c r="AC31" i="17"/>
  <c r="AB31" i="17"/>
  <c r="AA31" i="17"/>
  <c r="Z31" i="17"/>
  <c r="Y31" i="17"/>
  <c r="X31" i="17"/>
  <c r="W31" i="17"/>
  <c r="V31" i="17"/>
  <c r="U31" i="17"/>
  <c r="T31" i="17"/>
  <c r="S31" i="17"/>
  <c r="R31" i="17"/>
  <c r="Q31" i="17"/>
  <c r="P31" i="17"/>
  <c r="O31" i="17"/>
  <c r="N31" i="17"/>
  <c r="M31" i="17"/>
  <c r="L31" i="17"/>
  <c r="K31" i="17"/>
  <c r="J31" i="17"/>
  <c r="I31" i="17"/>
  <c r="H31" i="17"/>
  <c r="G31" i="17"/>
  <c r="F31" i="17"/>
  <c r="AE30" i="17"/>
  <c r="AC30" i="17"/>
  <c r="AB30" i="17"/>
  <c r="AA30" i="17"/>
  <c r="Z30" i="17"/>
  <c r="Y30" i="17"/>
  <c r="X30" i="17"/>
  <c r="W30" i="17"/>
  <c r="V30" i="17"/>
  <c r="U30" i="17"/>
  <c r="T30" i="17"/>
  <c r="S30" i="17"/>
  <c r="R30" i="17"/>
  <c r="Q30" i="17"/>
  <c r="P30" i="17"/>
  <c r="O30" i="17"/>
  <c r="N30" i="17"/>
  <c r="M30" i="17"/>
  <c r="L30" i="17"/>
  <c r="K30" i="17"/>
  <c r="J30" i="17"/>
  <c r="I30" i="17"/>
  <c r="H30" i="17"/>
  <c r="G30" i="17"/>
  <c r="F30" i="17"/>
  <c r="AE29" i="17"/>
  <c r="AC29" i="17"/>
  <c r="AB29" i="17"/>
  <c r="AA29" i="17"/>
  <c r="Z29" i="17"/>
  <c r="Y2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AE28" i="17"/>
  <c r="AC28" i="17"/>
  <c r="AB28" i="17"/>
  <c r="AA28" i="17"/>
  <c r="Z28" i="17"/>
  <c r="Y28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AE27" i="17"/>
  <c r="AC27" i="17"/>
  <c r="AB27" i="17"/>
  <c r="AA27" i="17"/>
  <c r="Z27" i="17"/>
  <c r="Y27" i="17"/>
  <c r="X27" i="17"/>
  <c r="W27" i="17"/>
  <c r="V27" i="17"/>
  <c r="U27" i="17"/>
  <c r="T27" i="17"/>
  <c r="S27" i="17"/>
  <c r="R27" i="17"/>
  <c r="Q27" i="17"/>
  <c r="P27" i="17"/>
  <c r="O27" i="17"/>
  <c r="N27" i="17"/>
  <c r="M27" i="17"/>
  <c r="L27" i="17"/>
  <c r="K27" i="17"/>
  <c r="J27" i="17"/>
  <c r="I27" i="17"/>
  <c r="H27" i="17"/>
  <c r="G27" i="17"/>
  <c r="F27" i="17"/>
  <c r="AE26" i="17"/>
  <c r="AC26" i="17"/>
  <c r="AB26" i="17"/>
  <c r="AA26" i="17"/>
  <c r="Z26" i="17"/>
  <c r="Y26" i="17"/>
  <c r="X26" i="17"/>
  <c r="W26" i="17"/>
  <c r="V26" i="17"/>
  <c r="U26" i="17"/>
  <c r="T26" i="17"/>
  <c r="S26" i="17"/>
  <c r="R26" i="17"/>
  <c r="Q26" i="17"/>
  <c r="P26" i="17"/>
  <c r="O26" i="17"/>
  <c r="N26" i="17"/>
  <c r="M26" i="17"/>
  <c r="L26" i="17"/>
  <c r="K26" i="17"/>
  <c r="J26" i="17"/>
  <c r="I26" i="17"/>
  <c r="H26" i="17"/>
  <c r="G26" i="17"/>
  <c r="F26" i="17"/>
  <c r="AE25" i="17"/>
  <c r="AC25" i="17"/>
  <c r="AB25" i="17"/>
  <c r="AA25" i="17"/>
  <c r="Z25" i="17"/>
  <c r="Y25" i="17"/>
  <c r="X25" i="17"/>
  <c r="W25" i="17"/>
  <c r="V25" i="17"/>
  <c r="U25" i="17"/>
  <c r="T25" i="17"/>
  <c r="S25" i="17"/>
  <c r="R25" i="17"/>
  <c r="Q25" i="17"/>
  <c r="P25" i="17"/>
  <c r="O25" i="17"/>
  <c r="N25" i="17"/>
  <c r="M25" i="17"/>
  <c r="L25" i="17"/>
  <c r="K25" i="17"/>
  <c r="J25" i="17"/>
  <c r="I25" i="17"/>
  <c r="H25" i="17"/>
  <c r="G25" i="17"/>
  <c r="F25" i="17"/>
  <c r="AE24" i="17"/>
  <c r="AC24" i="17"/>
  <c r="AB24" i="17"/>
  <c r="AA24" i="17"/>
  <c r="Z24" i="17"/>
  <c r="Y24" i="17"/>
  <c r="X24" i="17"/>
  <c r="W24" i="17"/>
  <c r="V24" i="17"/>
  <c r="U24" i="17"/>
  <c r="T24" i="17"/>
  <c r="S24" i="17"/>
  <c r="R24" i="17"/>
  <c r="Q24" i="17"/>
  <c r="P24" i="17"/>
  <c r="O24" i="17"/>
  <c r="N24" i="17"/>
  <c r="M24" i="17"/>
  <c r="L24" i="17"/>
  <c r="K24" i="17"/>
  <c r="J24" i="17"/>
  <c r="I24" i="17"/>
  <c r="H24" i="17"/>
  <c r="G24" i="17"/>
  <c r="F24" i="17"/>
  <c r="AE23" i="17"/>
  <c r="AC23" i="17"/>
  <c r="AB23" i="17"/>
  <c r="AA23" i="17"/>
  <c r="Z23" i="17"/>
  <c r="Y23" i="17"/>
  <c r="X23" i="17"/>
  <c r="W23" i="17"/>
  <c r="V23" i="17"/>
  <c r="U23" i="17"/>
  <c r="T23" i="17"/>
  <c r="S23" i="17"/>
  <c r="R23" i="17"/>
  <c r="Q23" i="17"/>
  <c r="P23" i="17"/>
  <c r="O23" i="17"/>
  <c r="N23" i="17"/>
  <c r="M23" i="17"/>
  <c r="L23" i="17"/>
  <c r="K23" i="17"/>
  <c r="J23" i="17"/>
  <c r="I23" i="17"/>
  <c r="H23" i="17"/>
  <c r="G23" i="17"/>
  <c r="F23" i="17"/>
  <c r="AE22" i="17"/>
  <c r="AC22" i="17"/>
  <c r="AB22" i="17"/>
  <c r="AA22" i="17"/>
  <c r="Z22" i="17"/>
  <c r="Y22" i="17"/>
  <c r="X22" i="17"/>
  <c r="W22" i="17"/>
  <c r="V22" i="17"/>
  <c r="U22" i="17"/>
  <c r="T22" i="17"/>
  <c r="S22" i="17"/>
  <c r="R22" i="17"/>
  <c r="Q22" i="17"/>
  <c r="P22" i="17"/>
  <c r="O22" i="17"/>
  <c r="N22" i="17"/>
  <c r="M22" i="17"/>
  <c r="L22" i="17"/>
  <c r="K22" i="17"/>
  <c r="J22" i="17"/>
  <c r="I22" i="17"/>
  <c r="H22" i="17"/>
  <c r="G22" i="17"/>
  <c r="F22" i="17"/>
  <c r="AE21" i="17"/>
  <c r="AC21" i="17"/>
  <c r="AB21" i="17"/>
  <c r="AA21" i="17"/>
  <c r="Z21" i="17"/>
  <c r="Y21" i="17"/>
  <c r="X21" i="17"/>
  <c r="W21" i="17"/>
  <c r="V21" i="17"/>
  <c r="U21" i="17"/>
  <c r="T21" i="17"/>
  <c r="S21" i="17"/>
  <c r="R21" i="17"/>
  <c r="Q21" i="17"/>
  <c r="P21" i="17"/>
  <c r="O21" i="17"/>
  <c r="N21" i="17"/>
  <c r="M21" i="17"/>
  <c r="L21" i="17"/>
  <c r="K21" i="17"/>
  <c r="J21" i="17"/>
  <c r="I21" i="17"/>
  <c r="H21" i="17"/>
  <c r="G21" i="17"/>
  <c r="F21" i="17"/>
  <c r="AE20" i="17"/>
  <c r="AC20" i="17"/>
  <c r="AB20" i="17"/>
  <c r="AA20" i="17"/>
  <c r="Z20" i="17"/>
  <c r="Y20" i="17"/>
  <c r="X20" i="17"/>
  <c r="W20" i="17"/>
  <c r="V20" i="17"/>
  <c r="U20" i="17"/>
  <c r="T20" i="17"/>
  <c r="S20" i="17"/>
  <c r="R20" i="17"/>
  <c r="Q20" i="17"/>
  <c r="P20" i="17"/>
  <c r="O20" i="17"/>
  <c r="N20" i="17"/>
  <c r="M20" i="17"/>
  <c r="L20" i="17"/>
  <c r="K20" i="17"/>
  <c r="J20" i="17"/>
  <c r="I20" i="17"/>
  <c r="H20" i="17"/>
  <c r="G20" i="17"/>
  <c r="F20" i="17"/>
  <c r="AE19" i="17"/>
  <c r="AC19" i="17"/>
  <c r="AB19" i="17"/>
  <c r="AA19" i="17"/>
  <c r="Z19" i="17"/>
  <c r="Y19" i="17"/>
  <c r="X19" i="17"/>
  <c r="W19" i="17"/>
  <c r="V19" i="17"/>
  <c r="U19" i="17"/>
  <c r="T19" i="17"/>
  <c r="S19" i="17"/>
  <c r="R19" i="17"/>
  <c r="Q19" i="17"/>
  <c r="P19" i="17"/>
  <c r="O19" i="17"/>
  <c r="N19" i="17"/>
  <c r="M19" i="17"/>
  <c r="L19" i="17"/>
  <c r="K19" i="17"/>
  <c r="J19" i="17"/>
  <c r="I19" i="17"/>
  <c r="H19" i="17"/>
  <c r="G19" i="17"/>
  <c r="F19" i="17"/>
  <c r="AE18" i="17"/>
  <c r="AC18" i="17"/>
  <c r="AB18" i="17"/>
  <c r="AA18" i="17"/>
  <c r="Z18" i="17"/>
  <c r="Y18" i="17"/>
  <c r="X18" i="17"/>
  <c r="W18" i="17"/>
  <c r="V18" i="17"/>
  <c r="U18" i="17"/>
  <c r="T18" i="17"/>
  <c r="S18" i="17"/>
  <c r="R18" i="17"/>
  <c r="Q18" i="17"/>
  <c r="P18" i="17"/>
  <c r="O18" i="17"/>
  <c r="N18" i="17"/>
  <c r="M18" i="17"/>
  <c r="L18" i="17"/>
  <c r="K18" i="17"/>
  <c r="J18" i="17"/>
  <c r="I18" i="17"/>
  <c r="H18" i="17"/>
  <c r="G18" i="17"/>
  <c r="F18" i="17"/>
  <c r="AE17" i="17"/>
  <c r="AC17" i="17"/>
  <c r="AB17" i="17"/>
  <c r="AA17" i="17"/>
  <c r="Z17" i="17"/>
  <c r="Y17" i="17"/>
  <c r="X17" i="17"/>
  <c r="W17" i="17"/>
  <c r="V17" i="17"/>
  <c r="U17" i="17"/>
  <c r="T17" i="17"/>
  <c r="S17" i="17"/>
  <c r="R17" i="17"/>
  <c r="Q17" i="17"/>
  <c r="P17" i="17"/>
  <c r="O17" i="17"/>
  <c r="N17" i="17"/>
  <c r="M17" i="17"/>
  <c r="L17" i="17"/>
  <c r="K17" i="17"/>
  <c r="J17" i="17"/>
  <c r="I17" i="17"/>
  <c r="H17" i="17"/>
  <c r="G17" i="17"/>
  <c r="F17" i="17"/>
  <c r="AE16" i="17"/>
  <c r="AC16" i="17"/>
  <c r="AB16" i="17"/>
  <c r="AA16" i="17"/>
  <c r="Z16" i="17"/>
  <c r="Y16" i="17"/>
  <c r="X16" i="17"/>
  <c r="W16" i="17"/>
  <c r="V16" i="17"/>
  <c r="U16" i="17"/>
  <c r="T16" i="17"/>
  <c r="S16" i="17"/>
  <c r="R16" i="17"/>
  <c r="Q16" i="17"/>
  <c r="P16" i="17"/>
  <c r="O16" i="17"/>
  <c r="N16" i="17"/>
  <c r="M16" i="17"/>
  <c r="L16" i="17"/>
  <c r="K16" i="17"/>
  <c r="J16" i="17"/>
  <c r="I16" i="17"/>
  <c r="H16" i="17"/>
  <c r="G16" i="17"/>
  <c r="F16" i="17"/>
  <c r="AE15" i="17"/>
  <c r="AC15" i="17"/>
  <c r="AB15" i="17"/>
  <c r="AA15" i="17"/>
  <c r="Z15" i="17"/>
  <c r="Y15" i="17"/>
  <c r="X15" i="17"/>
  <c r="W15" i="17"/>
  <c r="V15" i="17"/>
  <c r="U15" i="17"/>
  <c r="T15" i="17"/>
  <c r="S15" i="17"/>
  <c r="R15" i="17"/>
  <c r="Q15" i="17"/>
  <c r="P15" i="17"/>
  <c r="O15" i="17"/>
  <c r="N15" i="17"/>
  <c r="M15" i="17"/>
  <c r="L15" i="17"/>
  <c r="K15" i="17"/>
  <c r="J15" i="17"/>
  <c r="I15" i="17"/>
  <c r="H15" i="17"/>
  <c r="G15" i="17"/>
  <c r="F15" i="17"/>
  <c r="AE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AE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AE12" i="17"/>
  <c r="AC12" i="17"/>
  <c r="AB12" i="17"/>
  <c r="AA12" i="17"/>
  <c r="Z12" i="17"/>
  <c r="Y12" i="17"/>
  <c r="X12" i="17"/>
  <c r="W12" i="17"/>
  <c r="V12" i="17"/>
  <c r="U12" i="17"/>
  <c r="T12" i="17"/>
  <c r="S12" i="17"/>
  <c r="R12" i="17"/>
  <c r="Q12" i="17"/>
  <c r="P12" i="17"/>
  <c r="O12" i="17"/>
  <c r="N12" i="17"/>
  <c r="M12" i="17"/>
  <c r="L12" i="17"/>
  <c r="K12" i="17"/>
  <c r="J12" i="17"/>
  <c r="I12" i="17"/>
  <c r="H12" i="17"/>
  <c r="G12" i="17"/>
  <c r="F12" i="17"/>
  <c r="AE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AE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AE9" i="17"/>
  <c r="AC9" i="17"/>
  <c r="AB9" i="17"/>
  <c r="AA9" i="17"/>
  <c r="Z9" i="17"/>
  <c r="Y9" i="17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AE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AE7" i="17"/>
  <c r="AC7" i="17"/>
  <c r="AB7" i="17"/>
  <c r="AA7" i="17"/>
  <c r="Z7" i="17"/>
  <c r="Y7" i="17"/>
  <c r="X7" i="17"/>
  <c r="W7" i="17"/>
  <c r="V7" i="17"/>
  <c r="U7" i="17"/>
  <c r="T7" i="17"/>
  <c r="S7" i="17"/>
  <c r="R7" i="17"/>
  <c r="Q7" i="17"/>
  <c r="P7" i="17"/>
  <c r="O7" i="17"/>
  <c r="N7" i="17"/>
  <c r="M7" i="17"/>
  <c r="L7" i="17"/>
  <c r="K7" i="17"/>
  <c r="J7" i="17"/>
  <c r="I7" i="17"/>
  <c r="H7" i="17"/>
  <c r="G7" i="17"/>
  <c r="F7" i="17"/>
  <c r="AE6" i="17"/>
  <c r="AC6" i="17"/>
  <c r="AB6" i="17"/>
  <c r="AA6" i="17"/>
  <c r="Z6" i="17"/>
  <c r="Y6" i="17"/>
  <c r="X6" i="17"/>
  <c r="W6" i="17"/>
  <c r="V6" i="17"/>
  <c r="U6" i="17"/>
  <c r="T6" i="17"/>
  <c r="S6" i="17"/>
  <c r="R6" i="17"/>
  <c r="Q6" i="17"/>
  <c r="P6" i="17"/>
  <c r="O6" i="17"/>
  <c r="N6" i="17"/>
  <c r="M6" i="17"/>
  <c r="L6" i="17"/>
  <c r="K6" i="17"/>
  <c r="J6" i="17"/>
  <c r="I6" i="17"/>
  <c r="H6" i="17"/>
  <c r="G6" i="17"/>
  <c r="F6" i="17"/>
  <c r="AE5" i="17"/>
  <c r="AC5" i="17"/>
  <c r="AB5" i="17"/>
  <c r="AA5" i="17"/>
  <c r="Z5" i="17"/>
  <c r="Y5" i="17"/>
  <c r="X5" i="17"/>
  <c r="W5" i="17"/>
  <c r="V5" i="17"/>
  <c r="U5" i="17"/>
  <c r="T5" i="17"/>
  <c r="S5" i="17"/>
  <c r="R5" i="17"/>
  <c r="Q5" i="17"/>
  <c r="P5" i="17"/>
  <c r="O5" i="17"/>
  <c r="N5" i="17"/>
  <c r="M5" i="17"/>
  <c r="L5" i="17"/>
  <c r="K5" i="17"/>
  <c r="J5" i="17"/>
  <c r="I5" i="17"/>
  <c r="H5" i="17"/>
  <c r="G5" i="17"/>
  <c r="F5" i="17"/>
  <c r="AE4" i="17"/>
  <c r="AC4" i="17"/>
  <c r="AB4" i="17"/>
  <c r="AA4" i="17"/>
  <c r="Z4" i="17"/>
  <c r="Y4" i="17"/>
  <c r="X4" i="17"/>
  <c r="W4" i="17"/>
  <c r="V4" i="17"/>
  <c r="U4" i="17"/>
  <c r="T4" i="17"/>
  <c r="S4" i="17"/>
  <c r="R4" i="17"/>
  <c r="Q4" i="17"/>
  <c r="P4" i="17"/>
  <c r="O4" i="17"/>
  <c r="N4" i="17"/>
  <c r="M4" i="17"/>
  <c r="L4" i="17"/>
  <c r="K4" i="17"/>
  <c r="J4" i="17"/>
  <c r="I4" i="17"/>
  <c r="H4" i="17"/>
  <c r="G4" i="17"/>
  <c r="F4" i="17"/>
  <c r="AE3" i="17"/>
  <c r="AC3" i="17"/>
  <c r="AB3" i="17"/>
  <c r="AA3" i="17"/>
  <c r="Z3" i="17"/>
  <c r="Y3" i="17"/>
  <c r="X3" i="17"/>
  <c r="W3" i="17"/>
  <c r="V3" i="17"/>
  <c r="U3" i="17"/>
  <c r="T3" i="17"/>
  <c r="S3" i="17"/>
  <c r="R3" i="17"/>
  <c r="Q3" i="17"/>
  <c r="P3" i="17"/>
  <c r="O3" i="17"/>
  <c r="N3" i="17"/>
  <c r="M3" i="17"/>
  <c r="L3" i="17"/>
  <c r="K3" i="17"/>
  <c r="J3" i="17"/>
  <c r="I3" i="17"/>
  <c r="H3" i="17"/>
  <c r="G3" i="17"/>
  <c r="F3" i="17"/>
  <c r="AE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AE1" i="17"/>
  <c r="AC1" i="17"/>
  <c r="AB1" i="17"/>
  <c r="AA1" i="17"/>
  <c r="Z1" i="17"/>
  <c r="Y1" i="17"/>
  <c r="X1" i="17"/>
  <c r="W1" i="17"/>
  <c r="V1" i="17"/>
  <c r="U1" i="17"/>
  <c r="T1" i="17"/>
  <c r="S1" i="17"/>
  <c r="R1" i="17"/>
  <c r="Q1" i="17"/>
  <c r="P1" i="17"/>
  <c r="O1" i="17"/>
  <c r="N1" i="17"/>
  <c r="M1" i="17"/>
  <c r="L1" i="17"/>
  <c r="K1" i="17"/>
  <c r="J1" i="17"/>
  <c r="I1" i="17"/>
  <c r="H1" i="17"/>
  <c r="G1" i="17"/>
  <c r="F1" i="17"/>
  <c r="AE365" i="16"/>
  <c r="AC365" i="16"/>
  <c r="AB365" i="16"/>
  <c r="AA365" i="16"/>
  <c r="Z365" i="16"/>
  <c r="Y365" i="16"/>
  <c r="X365" i="16"/>
  <c r="W365" i="16"/>
  <c r="V365" i="16"/>
  <c r="U365" i="16"/>
  <c r="T365" i="16"/>
  <c r="S365" i="16"/>
  <c r="R365" i="16"/>
  <c r="Q365" i="16"/>
  <c r="P365" i="16"/>
  <c r="O365" i="16"/>
  <c r="N365" i="16"/>
  <c r="M365" i="16"/>
  <c r="L365" i="16"/>
  <c r="K365" i="16"/>
  <c r="J365" i="16"/>
  <c r="I365" i="16"/>
  <c r="H365" i="16"/>
  <c r="G365" i="16"/>
  <c r="F365" i="16"/>
  <c r="AE364" i="16"/>
  <c r="AC364" i="16"/>
  <c r="AB364" i="16"/>
  <c r="AA364" i="16"/>
  <c r="Z364" i="16"/>
  <c r="Y364" i="16"/>
  <c r="X364" i="16"/>
  <c r="W364" i="16"/>
  <c r="V364" i="16"/>
  <c r="U364" i="16"/>
  <c r="T364" i="16"/>
  <c r="S364" i="16"/>
  <c r="R364" i="16"/>
  <c r="Q364" i="16"/>
  <c r="P364" i="16"/>
  <c r="O364" i="16"/>
  <c r="N364" i="16"/>
  <c r="M364" i="16"/>
  <c r="L364" i="16"/>
  <c r="K364" i="16"/>
  <c r="J364" i="16"/>
  <c r="I364" i="16"/>
  <c r="H364" i="16"/>
  <c r="G364" i="16"/>
  <c r="F364" i="16"/>
  <c r="AE363" i="16"/>
  <c r="AC363" i="16"/>
  <c r="AB363" i="16"/>
  <c r="AA363" i="16"/>
  <c r="Z363" i="16"/>
  <c r="Y363" i="16"/>
  <c r="X363" i="16"/>
  <c r="W363" i="16"/>
  <c r="V363" i="16"/>
  <c r="U363" i="16"/>
  <c r="T363" i="16"/>
  <c r="S363" i="16"/>
  <c r="R363" i="16"/>
  <c r="Q363" i="16"/>
  <c r="P363" i="16"/>
  <c r="O363" i="16"/>
  <c r="N363" i="16"/>
  <c r="M363" i="16"/>
  <c r="L363" i="16"/>
  <c r="K363" i="16"/>
  <c r="J363" i="16"/>
  <c r="I363" i="16"/>
  <c r="H363" i="16"/>
  <c r="G363" i="16"/>
  <c r="F363" i="16"/>
  <c r="AE362" i="16"/>
  <c r="AC362" i="16"/>
  <c r="AB362" i="16"/>
  <c r="AA362" i="16"/>
  <c r="Z362" i="16"/>
  <c r="Y362" i="16"/>
  <c r="X362" i="16"/>
  <c r="W362" i="16"/>
  <c r="V362" i="16"/>
  <c r="U362" i="16"/>
  <c r="T362" i="16"/>
  <c r="S362" i="16"/>
  <c r="R362" i="16"/>
  <c r="Q362" i="16"/>
  <c r="P362" i="16"/>
  <c r="O362" i="16"/>
  <c r="N362" i="16"/>
  <c r="M362" i="16"/>
  <c r="L362" i="16"/>
  <c r="K362" i="16"/>
  <c r="J362" i="16"/>
  <c r="I362" i="16"/>
  <c r="H362" i="16"/>
  <c r="G362" i="16"/>
  <c r="F362" i="16"/>
  <c r="AE361" i="16"/>
  <c r="AC361" i="16"/>
  <c r="AB361" i="16"/>
  <c r="AA361" i="16"/>
  <c r="Z361" i="16"/>
  <c r="Y361" i="16"/>
  <c r="X361" i="16"/>
  <c r="W361" i="16"/>
  <c r="V361" i="16"/>
  <c r="U361" i="16"/>
  <c r="T361" i="16"/>
  <c r="S361" i="16"/>
  <c r="R361" i="16"/>
  <c r="Q361" i="16"/>
  <c r="P361" i="16"/>
  <c r="O361" i="16"/>
  <c r="N361" i="16"/>
  <c r="M361" i="16"/>
  <c r="L361" i="16"/>
  <c r="K361" i="16"/>
  <c r="J361" i="16"/>
  <c r="I361" i="16"/>
  <c r="H361" i="16"/>
  <c r="G361" i="16"/>
  <c r="F361" i="16"/>
  <c r="AE360" i="16"/>
  <c r="AC360" i="16"/>
  <c r="AB360" i="16"/>
  <c r="AA360" i="16"/>
  <c r="Z360" i="16"/>
  <c r="Y360" i="16"/>
  <c r="X360" i="16"/>
  <c r="W360" i="16"/>
  <c r="V360" i="16"/>
  <c r="U360" i="16"/>
  <c r="T360" i="16"/>
  <c r="S360" i="16"/>
  <c r="R360" i="16"/>
  <c r="Q360" i="16"/>
  <c r="P360" i="16"/>
  <c r="O360" i="16"/>
  <c r="N360" i="16"/>
  <c r="M360" i="16"/>
  <c r="L360" i="16"/>
  <c r="K360" i="16"/>
  <c r="J360" i="16"/>
  <c r="I360" i="16"/>
  <c r="H360" i="16"/>
  <c r="G360" i="16"/>
  <c r="F360" i="16"/>
  <c r="AE359" i="16"/>
  <c r="AC359" i="16"/>
  <c r="AB359" i="16"/>
  <c r="AA359" i="16"/>
  <c r="Z359" i="16"/>
  <c r="Y359" i="16"/>
  <c r="X359" i="16"/>
  <c r="W359" i="16"/>
  <c r="V359" i="16"/>
  <c r="U359" i="16"/>
  <c r="T359" i="16"/>
  <c r="S359" i="16"/>
  <c r="R359" i="16"/>
  <c r="Q359" i="16"/>
  <c r="P359" i="16"/>
  <c r="O359" i="16"/>
  <c r="N359" i="16"/>
  <c r="M359" i="16"/>
  <c r="L359" i="16"/>
  <c r="K359" i="16"/>
  <c r="J359" i="16"/>
  <c r="I359" i="16"/>
  <c r="H359" i="16"/>
  <c r="G359" i="16"/>
  <c r="F359" i="16"/>
  <c r="AE358" i="16"/>
  <c r="AC358" i="16"/>
  <c r="AB358" i="16"/>
  <c r="AA358" i="16"/>
  <c r="Z358" i="16"/>
  <c r="Y358" i="16"/>
  <c r="X358" i="16"/>
  <c r="W358" i="16"/>
  <c r="V358" i="16"/>
  <c r="U358" i="16"/>
  <c r="T358" i="16"/>
  <c r="S358" i="16"/>
  <c r="R358" i="16"/>
  <c r="Q358" i="16"/>
  <c r="P358" i="16"/>
  <c r="O358" i="16"/>
  <c r="N358" i="16"/>
  <c r="M358" i="16"/>
  <c r="L358" i="16"/>
  <c r="K358" i="16"/>
  <c r="J358" i="16"/>
  <c r="I358" i="16"/>
  <c r="H358" i="16"/>
  <c r="G358" i="16"/>
  <c r="F358" i="16"/>
  <c r="AE357" i="16"/>
  <c r="AC357" i="16"/>
  <c r="AB357" i="16"/>
  <c r="AA357" i="16"/>
  <c r="Z357" i="16"/>
  <c r="Y357" i="16"/>
  <c r="X357" i="16"/>
  <c r="W357" i="16"/>
  <c r="V357" i="16"/>
  <c r="U357" i="16"/>
  <c r="T357" i="16"/>
  <c r="S357" i="16"/>
  <c r="R357" i="16"/>
  <c r="Q357" i="16"/>
  <c r="P357" i="16"/>
  <c r="O357" i="16"/>
  <c r="N357" i="16"/>
  <c r="M357" i="16"/>
  <c r="L357" i="16"/>
  <c r="K357" i="16"/>
  <c r="J357" i="16"/>
  <c r="I357" i="16"/>
  <c r="H357" i="16"/>
  <c r="G357" i="16"/>
  <c r="F357" i="16"/>
  <c r="AE356" i="16"/>
  <c r="AC356" i="16"/>
  <c r="AB356" i="16"/>
  <c r="AA356" i="16"/>
  <c r="Z356" i="16"/>
  <c r="Y356" i="16"/>
  <c r="X356" i="16"/>
  <c r="W356" i="16"/>
  <c r="V356" i="16"/>
  <c r="U356" i="16"/>
  <c r="T356" i="16"/>
  <c r="S356" i="16"/>
  <c r="R356" i="16"/>
  <c r="Q356" i="16"/>
  <c r="P356" i="16"/>
  <c r="O356" i="16"/>
  <c r="N356" i="16"/>
  <c r="M356" i="16"/>
  <c r="L356" i="16"/>
  <c r="K356" i="16"/>
  <c r="J356" i="16"/>
  <c r="I356" i="16"/>
  <c r="H356" i="16"/>
  <c r="G356" i="16"/>
  <c r="F356" i="16"/>
  <c r="AE355" i="16"/>
  <c r="AC355" i="16"/>
  <c r="AB355" i="16"/>
  <c r="AA355" i="16"/>
  <c r="Z355" i="16"/>
  <c r="Y355" i="16"/>
  <c r="X355" i="16"/>
  <c r="W355" i="16"/>
  <c r="V355" i="16"/>
  <c r="U355" i="16"/>
  <c r="T355" i="16"/>
  <c r="S355" i="16"/>
  <c r="R355" i="16"/>
  <c r="Q355" i="16"/>
  <c r="P355" i="16"/>
  <c r="O355" i="16"/>
  <c r="N355" i="16"/>
  <c r="M355" i="16"/>
  <c r="L355" i="16"/>
  <c r="K355" i="16"/>
  <c r="J355" i="16"/>
  <c r="I355" i="16"/>
  <c r="H355" i="16"/>
  <c r="G355" i="16"/>
  <c r="F355" i="16"/>
  <c r="AE354" i="16"/>
  <c r="AC354" i="16"/>
  <c r="AB354" i="16"/>
  <c r="AA354" i="16"/>
  <c r="Z354" i="16"/>
  <c r="Y354" i="16"/>
  <c r="X354" i="16"/>
  <c r="W354" i="16"/>
  <c r="V354" i="16"/>
  <c r="U354" i="16"/>
  <c r="T354" i="16"/>
  <c r="S354" i="16"/>
  <c r="R354" i="16"/>
  <c r="Q354" i="16"/>
  <c r="P354" i="16"/>
  <c r="O354" i="16"/>
  <c r="N354" i="16"/>
  <c r="M354" i="16"/>
  <c r="L354" i="16"/>
  <c r="K354" i="16"/>
  <c r="J354" i="16"/>
  <c r="I354" i="16"/>
  <c r="H354" i="16"/>
  <c r="G354" i="16"/>
  <c r="F354" i="16"/>
  <c r="AE353" i="16"/>
  <c r="AC353" i="16"/>
  <c r="AB353" i="16"/>
  <c r="AA353" i="16"/>
  <c r="Z353" i="16"/>
  <c r="Y353" i="16"/>
  <c r="X353" i="16"/>
  <c r="W353" i="16"/>
  <c r="V353" i="16"/>
  <c r="U353" i="16"/>
  <c r="T353" i="16"/>
  <c r="S353" i="16"/>
  <c r="R353" i="16"/>
  <c r="Q353" i="16"/>
  <c r="P353" i="16"/>
  <c r="O353" i="16"/>
  <c r="N353" i="16"/>
  <c r="M353" i="16"/>
  <c r="L353" i="16"/>
  <c r="K353" i="16"/>
  <c r="J353" i="16"/>
  <c r="I353" i="16"/>
  <c r="H353" i="16"/>
  <c r="G353" i="16"/>
  <c r="F353" i="16"/>
  <c r="AE352" i="16"/>
  <c r="AC352" i="16"/>
  <c r="AB352" i="16"/>
  <c r="AA352" i="16"/>
  <c r="Z352" i="16"/>
  <c r="Y352" i="16"/>
  <c r="X352" i="16"/>
  <c r="W352" i="16"/>
  <c r="V352" i="16"/>
  <c r="U352" i="16"/>
  <c r="T352" i="16"/>
  <c r="S352" i="16"/>
  <c r="R352" i="16"/>
  <c r="Q352" i="16"/>
  <c r="P352" i="16"/>
  <c r="O352" i="16"/>
  <c r="N352" i="16"/>
  <c r="M352" i="16"/>
  <c r="L352" i="16"/>
  <c r="K352" i="16"/>
  <c r="J352" i="16"/>
  <c r="I352" i="16"/>
  <c r="H352" i="16"/>
  <c r="G352" i="16"/>
  <c r="F352" i="16"/>
  <c r="AE351" i="16"/>
  <c r="AC351" i="16"/>
  <c r="AB351" i="16"/>
  <c r="AA351" i="16"/>
  <c r="Z351" i="16"/>
  <c r="Y351" i="16"/>
  <c r="X351" i="16"/>
  <c r="W351" i="16"/>
  <c r="V351" i="16"/>
  <c r="U351" i="16"/>
  <c r="T351" i="16"/>
  <c r="S351" i="16"/>
  <c r="R351" i="16"/>
  <c r="Q351" i="16"/>
  <c r="P351" i="16"/>
  <c r="O351" i="16"/>
  <c r="N351" i="16"/>
  <c r="M351" i="16"/>
  <c r="L351" i="16"/>
  <c r="K351" i="16"/>
  <c r="J351" i="16"/>
  <c r="I351" i="16"/>
  <c r="H351" i="16"/>
  <c r="G351" i="16"/>
  <c r="F351" i="16"/>
  <c r="AE350" i="16"/>
  <c r="AC350" i="16"/>
  <c r="AB350" i="16"/>
  <c r="AA350" i="16"/>
  <c r="Z350" i="16"/>
  <c r="Y350" i="16"/>
  <c r="X350" i="16"/>
  <c r="W350" i="16"/>
  <c r="V350" i="16"/>
  <c r="U350" i="16"/>
  <c r="T350" i="16"/>
  <c r="S350" i="16"/>
  <c r="R350" i="16"/>
  <c r="Q350" i="16"/>
  <c r="P350" i="16"/>
  <c r="O350" i="16"/>
  <c r="N350" i="16"/>
  <c r="M350" i="16"/>
  <c r="L350" i="16"/>
  <c r="K350" i="16"/>
  <c r="J350" i="16"/>
  <c r="I350" i="16"/>
  <c r="H350" i="16"/>
  <c r="G350" i="16"/>
  <c r="F350" i="16"/>
  <c r="AE349" i="16"/>
  <c r="AC349" i="16"/>
  <c r="AB349" i="16"/>
  <c r="AA349" i="16"/>
  <c r="Z349" i="16"/>
  <c r="Y349" i="16"/>
  <c r="X349" i="16"/>
  <c r="W349" i="16"/>
  <c r="V349" i="16"/>
  <c r="U349" i="16"/>
  <c r="T349" i="16"/>
  <c r="S349" i="16"/>
  <c r="R349" i="16"/>
  <c r="Q349" i="16"/>
  <c r="P349" i="16"/>
  <c r="O349" i="16"/>
  <c r="N349" i="16"/>
  <c r="M349" i="16"/>
  <c r="L349" i="16"/>
  <c r="K349" i="16"/>
  <c r="J349" i="16"/>
  <c r="I349" i="16"/>
  <c r="H349" i="16"/>
  <c r="G349" i="16"/>
  <c r="F349" i="16"/>
  <c r="AE348" i="16"/>
  <c r="AC348" i="16"/>
  <c r="AB348" i="16"/>
  <c r="AA348" i="16"/>
  <c r="Z348" i="16"/>
  <c r="Y348" i="16"/>
  <c r="X348" i="16"/>
  <c r="W348" i="16"/>
  <c r="V348" i="16"/>
  <c r="U348" i="16"/>
  <c r="T348" i="16"/>
  <c r="S348" i="16"/>
  <c r="R348" i="16"/>
  <c r="Q348" i="16"/>
  <c r="P348" i="16"/>
  <c r="O348" i="16"/>
  <c r="N348" i="16"/>
  <c r="M348" i="16"/>
  <c r="L348" i="16"/>
  <c r="K348" i="16"/>
  <c r="J348" i="16"/>
  <c r="I348" i="16"/>
  <c r="H348" i="16"/>
  <c r="G348" i="16"/>
  <c r="F348" i="16"/>
  <c r="AE347" i="16"/>
  <c r="AC347" i="16"/>
  <c r="AB347" i="16"/>
  <c r="AA347" i="16"/>
  <c r="Z347" i="16"/>
  <c r="Y347" i="16"/>
  <c r="X347" i="16"/>
  <c r="W347" i="16"/>
  <c r="V347" i="16"/>
  <c r="U347" i="16"/>
  <c r="T347" i="16"/>
  <c r="S347" i="16"/>
  <c r="R347" i="16"/>
  <c r="Q347" i="16"/>
  <c r="P347" i="16"/>
  <c r="O347" i="16"/>
  <c r="N347" i="16"/>
  <c r="M347" i="16"/>
  <c r="L347" i="16"/>
  <c r="K347" i="16"/>
  <c r="J347" i="16"/>
  <c r="I347" i="16"/>
  <c r="H347" i="16"/>
  <c r="G347" i="16"/>
  <c r="F347" i="16"/>
  <c r="AE346" i="16"/>
  <c r="AC346" i="16"/>
  <c r="AB346" i="16"/>
  <c r="AA346" i="16"/>
  <c r="Z346" i="16"/>
  <c r="Y346" i="16"/>
  <c r="X346" i="16"/>
  <c r="W346" i="16"/>
  <c r="V346" i="16"/>
  <c r="U346" i="16"/>
  <c r="T346" i="16"/>
  <c r="S346" i="16"/>
  <c r="R346" i="16"/>
  <c r="Q346" i="16"/>
  <c r="P346" i="16"/>
  <c r="O346" i="16"/>
  <c r="N346" i="16"/>
  <c r="M346" i="16"/>
  <c r="L346" i="16"/>
  <c r="K346" i="16"/>
  <c r="J346" i="16"/>
  <c r="I346" i="16"/>
  <c r="H346" i="16"/>
  <c r="G346" i="16"/>
  <c r="F346" i="16"/>
  <c r="AE345" i="16"/>
  <c r="AC345" i="16"/>
  <c r="AB345" i="16"/>
  <c r="AA345" i="16"/>
  <c r="Z345" i="16"/>
  <c r="Y345" i="16"/>
  <c r="X345" i="16"/>
  <c r="W345" i="16"/>
  <c r="V345" i="16"/>
  <c r="U345" i="16"/>
  <c r="T345" i="16"/>
  <c r="S345" i="16"/>
  <c r="R345" i="16"/>
  <c r="Q345" i="16"/>
  <c r="P345" i="16"/>
  <c r="O345" i="16"/>
  <c r="N345" i="16"/>
  <c r="M345" i="16"/>
  <c r="L345" i="16"/>
  <c r="K345" i="16"/>
  <c r="J345" i="16"/>
  <c r="I345" i="16"/>
  <c r="H345" i="16"/>
  <c r="G345" i="16"/>
  <c r="F345" i="16"/>
  <c r="AE344" i="16"/>
  <c r="AC344" i="16"/>
  <c r="AB344" i="16"/>
  <c r="AA344" i="16"/>
  <c r="Z344" i="16"/>
  <c r="Y344" i="16"/>
  <c r="X344" i="16"/>
  <c r="W344" i="16"/>
  <c r="V344" i="16"/>
  <c r="U344" i="16"/>
  <c r="T344" i="16"/>
  <c r="S344" i="16"/>
  <c r="R344" i="16"/>
  <c r="Q344" i="16"/>
  <c r="P344" i="16"/>
  <c r="O344" i="16"/>
  <c r="N344" i="16"/>
  <c r="M344" i="16"/>
  <c r="L344" i="16"/>
  <c r="K344" i="16"/>
  <c r="J344" i="16"/>
  <c r="I344" i="16"/>
  <c r="H344" i="16"/>
  <c r="G344" i="16"/>
  <c r="F344" i="16"/>
  <c r="AE343" i="16"/>
  <c r="AC343" i="16"/>
  <c r="AB343" i="16"/>
  <c r="AA343" i="16"/>
  <c r="Z343" i="16"/>
  <c r="Y343" i="16"/>
  <c r="X343" i="16"/>
  <c r="W343" i="16"/>
  <c r="V343" i="16"/>
  <c r="U343" i="16"/>
  <c r="T343" i="16"/>
  <c r="S343" i="16"/>
  <c r="R343" i="16"/>
  <c r="Q343" i="16"/>
  <c r="P343" i="16"/>
  <c r="O343" i="16"/>
  <c r="N343" i="16"/>
  <c r="M343" i="16"/>
  <c r="L343" i="16"/>
  <c r="K343" i="16"/>
  <c r="J343" i="16"/>
  <c r="I343" i="16"/>
  <c r="H343" i="16"/>
  <c r="G343" i="16"/>
  <c r="F343" i="16"/>
  <c r="AE342" i="16"/>
  <c r="AC342" i="16"/>
  <c r="AB342" i="16"/>
  <c r="AA342" i="16"/>
  <c r="Z342" i="16"/>
  <c r="Y342" i="16"/>
  <c r="X342" i="16"/>
  <c r="W342" i="16"/>
  <c r="V342" i="16"/>
  <c r="U342" i="16"/>
  <c r="T342" i="16"/>
  <c r="S342" i="16"/>
  <c r="R342" i="16"/>
  <c r="Q342" i="16"/>
  <c r="P342" i="16"/>
  <c r="O342" i="16"/>
  <c r="N342" i="16"/>
  <c r="M342" i="16"/>
  <c r="L342" i="16"/>
  <c r="K342" i="16"/>
  <c r="J342" i="16"/>
  <c r="I342" i="16"/>
  <c r="H342" i="16"/>
  <c r="G342" i="16"/>
  <c r="F342" i="16"/>
  <c r="AE341" i="16"/>
  <c r="AC341" i="16"/>
  <c r="AB341" i="16"/>
  <c r="AA341" i="16"/>
  <c r="Z341" i="16"/>
  <c r="Y341" i="16"/>
  <c r="X341" i="16"/>
  <c r="W341" i="16"/>
  <c r="V341" i="16"/>
  <c r="U341" i="16"/>
  <c r="T341" i="16"/>
  <c r="S341" i="16"/>
  <c r="R341" i="16"/>
  <c r="Q341" i="16"/>
  <c r="P341" i="16"/>
  <c r="O341" i="16"/>
  <c r="N341" i="16"/>
  <c r="M341" i="16"/>
  <c r="L341" i="16"/>
  <c r="K341" i="16"/>
  <c r="J341" i="16"/>
  <c r="I341" i="16"/>
  <c r="H341" i="16"/>
  <c r="G341" i="16"/>
  <c r="F341" i="16"/>
  <c r="AE340" i="16"/>
  <c r="AC340" i="16"/>
  <c r="AB340" i="16"/>
  <c r="AA340" i="16"/>
  <c r="Z340" i="16"/>
  <c r="Y340" i="16"/>
  <c r="X340" i="16"/>
  <c r="W340" i="16"/>
  <c r="V340" i="16"/>
  <c r="U340" i="16"/>
  <c r="T340" i="16"/>
  <c r="S340" i="16"/>
  <c r="R340" i="16"/>
  <c r="Q340" i="16"/>
  <c r="P340" i="16"/>
  <c r="O340" i="16"/>
  <c r="N340" i="16"/>
  <c r="M340" i="16"/>
  <c r="L340" i="16"/>
  <c r="K340" i="16"/>
  <c r="J340" i="16"/>
  <c r="I340" i="16"/>
  <c r="H340" i="16"/>
  <c r="G340" i="16"/>
  <c r="F340" i="16"/>
  <c r="AE339" i="16"/>
  <c r="AC339" i="16"/>
  <c r="AB339" i="16"/>
  <c r="AA339" i="16"/>
  <c r="Z339" i="16"/>
  <c r="Y339" i="16"/>
  <c r="X339" i="16"/>
  <c r="W339" i="16"/>
  <c r="V339" i="16"/>
  <c r="U339" i="16"/>
  <c r="T339" i="16"/>
  <c r="S339" i="16"/>
  <c r="R339" i="16"/>
  <c r="Q339" i="16"/>
  <c r="P339" i="16"/>
  <c r="O339" i="16"/>
  <c r="N339" i="16"/>
  <c r="M339" i="16"/>
  <c r="L339" i="16"/>
  <c r="K339" i="16"/>
  <c r="J339" i="16"/>
  <c r="I339" i="16"/>
  <c r="H339" i="16"/>
  <c r="G339" i="16"/>
  <c r="F339" i="16"/>
  <c r="AE338" i="16"/>
  <c r="AC338" i="16"/>
  <c r="AB338" i="16"/>
  <c r="AA338" i="16"/>
  <c r="Z338" i="16"/>
  <c r="Y338" i="16"/>
  <c r="X338" i="16"/>
  <c r="W338" i="16"/>
  <c r="V338" i="16"/>
  <c r="U338" i="16"/>
  <c r="T338" i="16"/>
  <c r="S338" i="16"/>
  <c r="R338" i="16"/>
  <c r="Q338" i="16"/>
  <c r="P338" i="16"/>
  <c r="O338" i="16"/>
  <c r="N338" i="16"/>
  <c r="M338" i="16"/>
  <c r="L338" i="16"/>
  <c r="K338" i="16"/>
  <c r="J338" i="16"/>
  <c r="I338" i="16"/>
  <c r="H338" i="16"/>
  <c r="G338" i="16"/>
  <c r="F338" i="16"/>
  <c r="AE337" i="16"/>
  <c r="AC337" i="16"/>
  <c r="AB337" i="16"/>
  <c r="AA337" i="16"/>
  <c r="Z337" i="16"/>
  <c r="Y337" i="16"/>
  <c r="X337" i="16"/>
  <c r="W337" i="16"/>
  <c r="V337" i="16"/>
  <c r="U337" i="16"/>
  <c r="T337" i="16"/>
  <c r="S337" i="16"/>
  <c r="R337" i="16"/>
  <c r="Q337" i="16"/>
  <c r="P337" i="16"/>
  <c r="O337" i="16"/>
  <c r="N337" i="16"/>
  <c r="M337" i="16"/>
  <c r="L337" i="16"/>
  <c r="K337" i="16"/>
  <c r="J337" i="16"/>
  <c r="I337" i="16"/>
  <c r="H337" i="16"/>
  <c r="G337" i="16"/>
  <c r="F337" i="16"/>
  <c r="AE336" i="16"/>
  <c r="AC336" i="16"/>
  <c r="AB336" i="16"/>
  <c r="AA336" i="16"/>
  <c r="Z336" i="16"/>
  <c r="Y336" i="16"/>
  <c r="X336" i="16"/>
  <c r="W336" i="16"/>
  <c r="V336" i="16"/>
  <c r="U336" i="16"/>
  <c r="T336" i="16"/>
  <c r="S336" i="16"/>
  <c r="R336" i="16"/>
  <c r="Q336" i="16"/>
  <c r="P336" i="16"/>
  <c r="O336" i="16"/>
  <c r="N336" i="16"/>
  <c r="M336" i="16"/>
  <c r="L336" i="16"/>
  <c r="K336" i="16"/>
  <c r="J336" i="16"/>
  <c r="I336" i="16"/>
  <c r="H336" i="16"/>
  <c r="G336" i="16"/>
  <c r="F336" i="16"/>
  <c r="AE335" i="16"/>
  <c r="AC335" i="16"/>
  <c r="AB335" i="16"/>
  <c r="AA335" i="16"/>
  <c r="Z335" i="16"/>
  <c r="Y335" i="16"/>
  <c r="X335" i="16"/>
  <c r="W335" i="16"/>
  <c r="V335" i="16"/>
  <c r="U335" i="16"/>
  <c r="T335" i="16"/>
  <c r="S335" i="16"/>
  <c r="R335" i="16"/>
  <c r="Q335" i="16"/>
  <c r="P335" i="16"/>
  <c r="O335" i="16"/>
  <c r="N335" i="16"/>
  <c r="M335" i="16"/>
  <c r="L335" i="16"/>
  <c r="K335" i="16"/>
  <c r="J335" i="16"/>
  <c r="I335" i="16"/>
  <c r="H335" i="16"/>
  <c r="G335" i="16"/>
  <c r="F335" i="16"/>
  <c r="AE334" i="16"/>
  <c r="AC334" i="16"/>
  <c r="AB334" i="16"/>
  <c r="AA334" i="16"/>
  <c r="Z334" i="16"/>
  <c r="Y334" i="16"/>
  <c r="X334" i="16"/>
  <c r="W334" i="16"/>
  <c r="V334" i="16"/>
  <c r="U334" i="16"/>
  <c r="T334" i="16"/>
  <c r="S334" i="16"/>
  <c r="R334" i="16"/>
  <c r="Q334" i="16"/>
  <c r="P334" i="16"/>
  <c r="O334" i="16"/>
  <c r="N334" i="16"/>
  <c r="M334" i="16"/>
  <c r="L334" i="16"/>
  <c r="K334" i="16"/>
  <c r="J334" i="16"/>
  <c r="I334" i="16"/>
  <c r="H334" i="16"/>
  <c r="G334" i="16"/>
  <c r="F334" i="16"/>
  <c r="AE333" i="16"/>
  <c r="AC333" i="16"/>
  <c r="AB333" i="16"/>
  <c r="AA333" i="16"/>
  <c r="Z333" i="16"/>
  <c r="Y333" i="16"/>
  <c r="X333" i="16"/>
  <c r="W333" i="16"/>
  <c r="V333" i="16"/>
  <c r="U333" i="16"/>
  <c r="T333" i="16"/>
  <c r="S333" i="16"/>
  <c r="R333" i="16"/>
  <c r="Q333" i="16"/>
  <c r="P333" i="16"/>
  <c r="O333" i="16"/>
  <c r="N333" i="16"/>
  <c r="M333" i="16"/>
  <c r="L333" i="16"/>
  <c r="K333" i="16"/>
  <c r="J333" i="16"/>
  <c r="I333" i="16"/>
  <c r="H333" i="16"/>
  <c r="G333" i="16"/>
  <c r="F333" i="16"/>
  <c r="AE332" i="16"/>
  <c r="AC332" i="16"/>
  <c r="AB332" i="16"/>
  <c r="AA332" i="16"/>
  <c r="Z332" i="16"/>
  <c r="Y332" i="16"/>
  <c r="X332" i="16"/>
  <c r="W332" i="16"/>
  <c r="V332" i="16"/>
  <c r="U332" i="16"/>
  <c r="T332" i="16"/>
  <c r="S332" i="16"/>
  <c r="R332" i="16"/>
  <c r="Q332" i="16"/>
  <c r="P332" i="16"/>
  <c r="O332" i="16"/>
  <c r="N332" i="16"/>
  <c r="M332" i="16"/>
  <c r="L332" i="16"/>
  <c r="K332" i="16"/>
  <c r="J332" i="16"/>
  <c r="I332" i="16"/>
  <c r="H332" i="16"/>
  <c r="G332" i="16"/>
  <c r="F332" i="16"/>
  <c r="AE331" i="16"/>
  <c r="AC331" i="16"/>
  <c r="AB331" i="16"/>
  <c r="AA331" i="16"/>
  <c r="Z331" i="16"/>
  <c r="Y331" i="16"/>
  <c r="X331" i="16"/>
  <c r="W331" i="16"/>
  <c r="V331" i="16"/>
  <c r="U331" i="16"/>
  <c r="T331" i="16"/>
  <c r="S331" i="16"/>
  <c r="R331" i="16"/>
  <c r="Q331" i="16"/>
  <c r="P331" i="16"/>
  <c r="O331" i="16"/>
  <c r="N331" i="16"/>
  <c r="M331" i="16"/>
  <c r="L331" i="16"/>
  <c r="K331" i="16"/>
  <c r="J331" i="16"/>
  <c r="I331" i="16"/>
  <c r="H331" i="16"/>
  <c r="G331" i="16"/>
  <c r="F331" i="16"/>
  <c r="AE330" i="16"/>
  <c r="AC330" i="16"/>
  <c r="AB330" i="16"/>
  <c r="AA330" i="16"/>
  <c r="Z330" i="16"/>
  <c r="Y330" i="16"/>
  <c r="X330" i="16"/>
  <c r="W330" i="16"/>
  <c r="V330" i="16"/>
  <c r="U330" i="16"/>
  <c r="T330" i="16"/>
  <c r="S330" i="16"/>
  <c r="R330" i="16"/>
  <c r="Q330" i="16"/>
  <c r="P330" i="16"/>
  <c r="O330" i="16"/>
  <c r="N330" i="16"/>
  <c r="M330" i="16"/>
  <c r="L330" i="16"/>
  <c r="K330" i="16"/>
  <c r="J330" i="16"/>
  <c r="I330" i="16"/>
  <c r="H330" i="16"/>
  <c r="G330" i="16"/>
  <c r="F330" i="16"/>
  <c r="AE329" i="16"/>
  <c r="AC329" i="16"/>
  <c r="AB329" i="16"/>
  <c r="AA329" i="16"/>
  <c r="Z329" i="16"/>
  <c r="Y329" i="16"/>
  <c r="X329" i="16"/>
  <c r="W329" i="16"/>
  <c r="V329" i="16"/>
  <c r="U329" i="16"/>
  <c r="T329" i="16"/>
  <c r="S329" i="16"/>
  <c r="R329" i="16"/>
  <c r="Q329" i="16"/>
  <c r="P329" i="16"/>
  <c r="O329" i="16"/>
  <c r="N329" i="16"/>
  <c r="M329" i="16"/>
  <c r="L329" i="16"/>
  <c r="K329" i="16"/>
  <c r="J329" i="16"/>
  <c r="I329" i="16"/>
  <c r="H329" i="16"/>
  <c r="G329" i="16"/>
  <c r="F329" i="16"/>
  <c r="AE328" i="16"/>
  <c r="AC328" i="16"/>
  <c r="AB328" i="16"/>
  <c r="AA328" i="16"/>
  <c r="Z328" i="16"/>
  <c r="Y328" i="16"/>
  <c r="X328" i="16"/>
  <c r="W328" i="16"/>
  <c r="V328" i="16"/>
  <c r="U328" i="16"/>
  <c r="T328" i="16"/>
  <c r="S328" i="16"/>
  <c r="R328" i="16"/>
  <c r="Q328" i="16"/>
  <c r="P328" i="16"/>
  <c r="O328" i="16"/>
  <c r="N328" i="16"/>
  <c r="M328" i="16"/>
  <c r="L328" i="16"/>
  <c r="K328" i="16"/>
  <c r="J328" i="16"/>
  <c r="I328" i="16"/>
  <c r="H328" i="16"/>
  <c r="G328" i="16"/>
  <c r="F328" i="16"/>
  <c r="AE327" i="16"/>
  <c r="AC327" i="16"/>
  <c r="AB327" i="16"/>
  <c r="AA327" i="16"/>
  <c r="Z327" i="16"/>
  <c r="Y327" i="16"/>
  <c r="X327" i="16"/>
  <c r="W327" i="16"/>
  <c r="V327" i="16"/>
  <c r="U327" i="16"/>
  <c r="T327" i="16"/>
  <c r="S327" i="16"/>
  <c r="R327" i="16"/>
  <c r="Q327" i="16"/>
  <c r="P327" i="16"/>
  <c r="O327" i="16"/>
  <c r="N327" i="16"/>
  <c r="M327" i="16"/>
  <c r="L327" i="16"/>
  <c r="K327" i="16"/>
  <c r="J327" i="16"/>
  <c r="I327" i="16"/>
  <c r="H327" i="16"/>
  <c r="G327" i="16"/>
  <c r="F327" i="16"/>
  <c r="AE326" i="16"/>
  <c r="AC326" i="16"/>
  <c r="AB326" i="16"/>
  <c r="AA326" i="16"/>
  <c r="Z326" i="16"/>
  <c r="Y326" i="16"/>
  <c r="X326" i="16"/>
  <c r="W326" i="16"/>
  <c r="V326" i="16"/>
  <c r="U326" i="16"/>
  <c r="T326" i="16"/>
  <c r="S326" i="16"/>
  <c r="R326" i="16"/>
  <c r="Q326" i="16"/>
  <c r="P326" i="16"/>
  <c r="O326" i="16"/>
  <c r="N326" i="16"/>
  <c r="M326" i="16"/>
  <c r="L326" i="16"/>
  <c r="K326" i="16"/>
  <c r="J326" i="16"/>
  <c r="I326" i="16"/>
  <c r="H326" i="16"/>
  <c r="G326" i="16"/>
  <c r="F326" i="16"/>
  <c r="AE325" i="16"/>
  <c r="AC325" i="16"/>
  <c r="AB325" i="16"/>
  <c r="AA325" i="16"/>
  <c r="Z325" i="16"/>
  <c r="Y325" i="16"/>
  <c r="X325" i="16"/>
  <c r="W325" i="16"/>
  <c r="V325" i="16"/>
  <c r="U325" i="16"/>
  <c r="T325" i="16"/>
  <c r="S325" i="16"/>
  <c r="R325" i="16"/>
  <c r="Q325" i="16"/>
  <c r="P325" i="16"/>
  <c r="O325" i="16"/>
  <c r="N325" i="16"/>
  <c r="M325" i="16"/>
  <c r="L325" i="16"/>
  <c r="K325" i="16"/>
  <c r="J325" i="16"/>
  <c r="I325" i="16"/>
  <c r="H325" i="16"/>
  <c r="G325" i="16"/>
  <c r="F325" i="16"/>
  <c r="AE324" i="16"/>
  <c r="AC324" i="16"/>
  <c r="AB324" i="16"/>
  <c r="AA324" i="16"/>
  <c r="Z324" i="16"/>
  <c r="Y324" i="16"/>
  <c r="X324" i="16"/>
  <c r="W324" i="16"/>
  <c r="V324" i="16"/>
  <c r="U324" i="16"/>
  <c r="T324" i="16"/>
  <c r="S324" i="16"/>
  <c r="R324" i="16"/>
  <c r="Q324" i="16"/>
  <c r="P324" i="16"/>
  <c r="O324" i="16"/>
  <c r="N324" i="16"/>
  <c r="M324" i="16"/>
  <c r="L324" i="16"/>
  <c r="K324" i="16"/>
  <c r="J324" i="16"/>
  <c r="I324" i="16"/>
  <c r="H324" i="16"/>
  <c r="G324" i="16"/>
  <c r="F324" i="16"/>
  <c r="AE323" i="16"/>
  <c r="AC323" i="16"/>
  <c r="AB323" i="16"/>
  <c r="AA323" i="16"/>
  <c r="Z323" i="16"/>
  <c r="Y323" i="16"/>
  <c r="X323" i="16"/>
  <c r="W323" i="16"/>
  <c r="V323" i="16"/>
  <c r="U323" i="16"/>
  <c r="T323" i="16"/>
  <c r="S323" i="16"/>
  <c r="R323" i="16"/>
  <c r="Q323" i="16"/>
  <c r="P323" i="16"/>
  <c r="O323" i="16"/>
  <c r="N323" i="16"/>
  <c r="M323" i="16"/>
  <c r="L323" i="16"/>
  <c r="K323" i="16"/>
  <c r="J323" i="16"/>
  <c r="I323" i="16"/>
  <c r="H323" i="16"/>
  <c r="G323" i="16"/>
  <c r="F323" i="16"/>
  <c r="AE322" i="16"/>
  <c r="AC322" i="16"/>
  <c r="AB322" i="16"/>
  <c r="AA322" i="16"/>
  <c r="Z322" i="16"/>
  <c r="Y322" i="16"/>
  <c r="X322" i="16"/>
  <c r="W322" i="16"/>
  <c r="V322" i="16"/>
  <c r="U322" i="16"/>
  <c r="T322" i="16"/>
  <c r="S322" i="16"/>
  <c r="R322" i="16"/>
  <c r="Q322" i="16"/>
  <c r="P322" i="16"/>
  <c r="O322" i="16"/>
  <c r="N322" i="16"/>
  <c r="M322" i="16"/>
  <c r="L322" i="16"/>
  <c r="K322" i="16"/>
  <c r="J322" i="16"/>
  <c r="I322" i="16"/>
  <c r="H322" i="16"/>
  <c r="G322" i="16"/>
  <c r="F322" i="16"/>
  <c r="AE321" i="16"/>
  <c r="AC321" i="16"/>
  <c r="AB321" i="16"/>
  <c r="AA321" i="16"/>
  <c r="Z321" i="16"/>
  <c r="Y321" i="16"/>
  <c r="X321" i="16"/>
  <c r="W321" i="16"/>
  <c r="V321" i="16"/>
  <c r="U321" i="16"/>
  <c r="T321" i="16"/>
  <c r="S321" i="16"/>
  <c r="R321" i="16"/>
  <c r="Q321" i="16"/>
  <c r="P321" i="16"/>
  <c r="O321" i="16"/>
  <c r="N321" i="16"/>
  <c r="M321" i="16"/>
  <c r="L321" i="16"/>
  <c r="K321" i="16"/>
  <c r="J321" i="16"/>
  <c r="I321" i="16"/>
  <c r="H321" i="16"/>
  <c r="G321" i="16"/>
  <c r="F321" i="16"/>
  <c r="AE320" i="16"/>
  <c r="AC320" i="16"/>
  <c r="AB320" i="16"/>
  <c r="AA320" i="16"/>
  <c r="Z320" i="16"/>
  <c r="Y320" i="16"/>
  <c r="X320" i="16"/>
  <c r="W320" i="16"/>
  <c r="V320" i="16"/>
  <c r="U320" i="16"/>
  <c r="T320" i="16"/>
  <c r="S320" i="16"/>
  <c r="R320" i="16"/>
  <c r="Q320" i="16"/>
  <c r="P320" i="16"/>
  <c r="O320" i="16"/>
  <c r="N320" i="16"/>
  <c r="M320" i="16"/>
  <c r="L320" i="16"/>
  <c r="K320" i="16"/>
  <c r="J320" i="16"/>
  <c r="I320" i="16"/>
  <c r="H320" i="16"/>
  <c r="G320" i="16"/>
  <c r="F320" i="16"/>
  <c r="AE319" i="16"/>
  <c r="AC319" i="16"/>
  <c r="AB319" i="16"/>
  <c r="AA319" i="16"/>
  <c r="Z319" i="16"/>
  <c r="Y319" i="16"/>
  <c r="X319" i="16"/>
  <c r="W319" i="16"/>
  <c r="V319" i="16"/>
  <c r="U319" i="16"/>
  <c r="T319" i="16"/>
  <c r="S319" i="16"/>
  <c r="R319" i="16"/>
  <c r="Q319" i="16"/>
  <c r="P319" i="16"/>
  <c r="O319" i="16"/>
  <c r="N319" i="16"/>
  <c r="M319" i="16"/>
  <c r="L319" i="16"/>
  <c r="K319" i="16"/>
  <c r="J319" i="16"/>
  <c r="I319" i="16"/>
  <c r="H319" i="16"/>
  <c r="G319" i="16"/>
  <c r="F319" i="16"/>
  <c r="AE318" i="16"/>
  <c r="AC318" i="16"/>
  <c r="AB318" i="16"/>
  <c r="AA318" i="16"/>
  <c r="Z318" i="16"/>
  <c r="Y318" i="16"/>
  <c r="X318" i="16"/>
  <c r="W318" i="16"/>
  <c r="V318" i="16"/>
  <c r="U318" i="16"/>
  <c r="T318" i="16"/>
  <c r="S318" i="16"/>
  <c r="R318" i="16"/>
  <c r="Q318" i="16"/>
  <c r="P318" i="16"/>
  <c r="O318" i="16"/>
  <c r="N318" i="16"/>
  <c r="M318" i="16"/>
  <c r="L318" i="16"/>
  <c r="K318" i="16"/>
  <c r="J318" i="16"/>
  <c r="I318" i="16"/>
  <c r="H318" i="16"/>
  <c r="G318" i="16"/>
  <c r="F318" i="16"/>
  <c r="AE317" i="16"/>
  <c r="AC317" i="16"/>
  <c r="AB317" i="16"/>
  <c r="AA317" i="16"/>
  <c r="Z317" i="16"/>
  <c r="Y317" i="16"/>
  <c r="X317" i="16"/>
  <c r="W317" i="16"/>
  <c r="V317" i="16"/>
  <c r="U317" i="16"/>
  <c r="T317" i="16"/>
  <c r="S317" i="16"/>
  <c r="R317" i="16"/>
  <c r="Q317" i="16"/>
  <c r="P317" i="16"/>
  <c r="O317" i="16"/>
  <c r="N317" i="16"/>
  <c r="M317" i="16"/>
  <c r="L317" i="16"/>
  <c r="K317" i="16"/>
  <c r="J317" i="16"/>
  <c r="I317" i="16"/>
  <c r="H317" i="16"/>
  <c r="G317" i="16"/>
  <c r="F317" i="16"/>
  <c r="AE316" i="16"/>
  <c r="AC316" i="16"/>
  <c r="AB316" i="16"/>
  <c r="AA316" i="16"/>
  <c r="Z316" i="16"/>
  <c r="Y316" i="16"/>
  <c r="X316" i="16"/>
  <c r="W316" i="16"/>
  <c r="V316" i="16"/>
  <c r="U316" i="16"/>
  <c r="T316" i="16"/>
  <c r="S316" i="16"/>
  <c r="R316" i="16"/>
  <c r="Q316" i="16"/>
  <c r="P316" i="16"/>
  <c r="O316" i="16"/>
  <c r="N316" i="16"/>
  <c r="M316" i="16"/>
  <c r="L316" i="16"/>
  <c r="K316" i="16"/>
  <c r="J316" i="16"/>
  <c r="I316" i="16"/>
  <c r="H316" i="16"/>
  <c r="G316" i="16"/>
  <c r="F316" i="16"/>
  <c r="AE315" i="16"/>
  <c r="AC315" i="16"/>
  <c r="AB315" i="16"/>
  <c r="AA315" i="16"/>
  <c r="Z315" i="16"/>
  <c r="Y315" i="16"/>
  <c r="X315" i="16"/>
  <c r="W315" i="16"/>
  <c r="V315" i="16"/>
  <c r="U315" i="16"/>
  <c r="T315" i="16"/>
  <c r="S315" i="16"/>
  <c r="R315" i="16"/>
  <c r="Q315" i="16"/>
  <c r="P315" i="16"/>
  <c r="O315" i="16"/>
  <c r="N315" i="16"/>
  <c r="M315" i="16"/>
  <c r="L315" i="16"/>
  <c r="K315" i="16"/>
  <c r="J315" i="16"/>
  <c r="I315" i="16"/>
  <c r="H315" i="16"/>
  <c r="G315" i="16"/>
  <c r="F315" i="16"/>
  <c r="AE314" i="16"/>
  <c r="AC314" i="16"/>
  <c r="AB314" i="16"/>
  <c r="AA314" i="16"/>
  <c r="Z314" i="16"/>
  <c r="Y314" i="16"/>
  <c r="X314" i="16"/>
  <c r="W314" i="16"/>
  <c r="V314" i="16"/>
  <c r="U314" i="16"/>
  <c r="T314" i="16"/>
  <c r="S314" i="16"/>
  <c r="R314" i="16"/>
  <c r="Q314" i="16"/>
  <c r="P314" i="16"/>
  <c r="O314" i="16"/>
  <c r="N314" i="16"/>
  <c r="M314" i="16"/>
  <c r="L314" i="16"/>
  <c r="K314" i="16"/>
  <c r="J314" i="16"/>
  <c r="I314" i="16"/>
  <c r="H314" i="16"/>
  <c r="G314" i="16"/>
  <c r="F314" i="16"/>
  <c r="AE313" i="16"/>
  <c r="AC313" i="16"/>
  <c r="AB313" i="16"/>
  <c r="AA313" i="16"/>
  <c r="Z313" i="16"/>
  <c r="Y313" i="16"/>
  <c r="X313" i="16"/>
  <c r="W313" i="16"/>
  <c r="V313" i="16"/>
  <c r="U313" i="16"/>
  <c r="T313" i="16"/>
  <c r="S313" i="16"/>
  <c r="R313" i="16"/>
  <c r="Q313" i="16"/>
  <c r="P313" i="16"/>
  <c r="O313" i="16"/>
  <c r="N313" i="16"/>
  <c r="M313" i="16"/>
  <c r="L313" i="16"/>
  <c r="K313" i="16"/>
  <c r="J313" i="16"/>
  <c r="I313" i="16"/>
  <c r="H313" i="16"/>
  <c r="G313" i="16"/>
  <c r="F313" i="16"/>
  <c r="AE312" i="16"/>
  <c r="AC312" i="16"/>
  <c r="AB312" i="16"/>
  <c r="AA312" i="16"/>
  <c r="Z312" i="16"/>
  <c r="Y312" i="16"/>
  <c r="X312" i="16"/>
  <c r="W312" i="16"/>
  <c r="V312" i="16"/>
  <c r="U312" i="16"/>
  <c r="T312" i="16"/>
  <c r="S312" i="16"/>
  <c r="R312" i="16"/>
  <c r="Q312" i="16"/>
  <c r="P312" i="16"/>
  <c r="O312" i="16"/>
  <c r="N312" i="16"/>
  <c r="M312" i="16"/>
  <c r="L312" i="16"/>
  <c r="K312" i="16"/>
  <c r="J312" i="16"/>
  <c r="I312" i="16"/>
  <c r="H312" i="16"/>
  <c r="G312" i="16"/>
  <c r="F312" i="16"/>
  <c r="AE311" i="16"/>
  <c r="AC311" i="16"/>
  <c r="AB311" i="16"/>
  <c r="AA311" i="16"/>
  <c r="Z311" i="16"/>
  <c r="Y311" i="16"/>
  <c r="X311" i="16"/>
  <c r="W311" i="16"/>
  <c r="V311" i="16"/>
  <c r="U311" i="16"/>
  <c r="T311" i="16"/>
  <c r="S311" i="16"/>
  <c r="R311" i="16"/>
  <c r="Q311" i="16"/>
  <c r="P311" i="16"/>
  <c r="O311" i="16"/>
  <c r="N311" i="16"/>
  <c r="M311" i="16"/>
  <c r="L311" i="16"/>
  <c r="K311" i="16"/>
  <c r="J311" i="16"/>
  <c r="I311" i="16"/>
  <c r="H311" i="16"/>
  <c r="G311" i="16"/>
  <c r="F311" i="16"/>
  <c r="AE310" i="16"/>
  <c r="AC310" i="16"/>
  <c r="AB310" i="16"/>
  <c r="AA310" i="16"/>
  <c r="Z310" i="16"/>
  <c r="Y310" i="16"/>
  <c r="X310" i="16"/>
  <c r="W310" i="16"/>
  <c r="V310" i="16"/>
  <c r="U310" i="16"/>
  <c r="T310" i="16"/>
  <c r="S310" i="16"/>
  <c r="R310" i="16"/>
  <c r="Q310" i="16"/>
  <c r="P310" i="16"/>
  <c r="O310" i="16"/>
  <c r="N310" i="16"/>
  <c r="M310" i="16"/>
  <c r="L310" i="16"/>
  <c r="K310" i="16"/>
  <c r="J310" i="16"/>
  <c r="I310" i="16"/>
  <c r="H310" i="16"/>
  <c r="G310" i="16"/>
  <c r="F310" i="16"/>
  <c r="AE309" i="16"/>
  <c r="AC309" i="16"/>
  <c r="AB309" i="16"/>
  <c r="AA309" i="16"/>
  <c r="Z309" i="16"/>
  <c r="Y309" i="16"/>
  <c r="X309" i="16"/>
  <c r="W309" i="16"/>
  <c r="V309" i="16"/>
  <c r="U309" i="16"/>
  <c r="T309" i="16"/>
  <c r="S309" i="16"/>
  <c r="R309" i="16"/>
  <c r="Q309" i="16"/>
  <c r="P309" i="16"/>
  <c r="O309" i="16"/>
  <c r="N309" i="16"/>
  <c r="M309" i="16"/>
  <c r="L309" i="16"/>
  <c r="K309" i="16"/>
  <c r="J309" i="16"/>
  <c r="I309" i="16"/>
  <c r="H309" i="16"/>
  <c r="G309" i="16"/>
  <c r="F309" i="16"/>
  <c r="AE308" i="16"/>
  <c r="AC308" i="16"/>
  <c r="AB308" i="16"/>
  <c r="AA308" i="16"/>
  <c r="Z308" i="16"/>
  <c r="Y308" i="16"/>
  <c r="X308" i="16"/>
  <c r="W308" i="16"/>
  <c r="V308" i="16"/>
  <c r="U308" i="16"/>
  <c r="T308" i="16"/>
  <c r="S308" i="16"/>
  <c r="R308" i="16"/>
  <c r="Q308" i="16"/>
  <c r="P308" i="16"/>
  <c r="O308" i="16"/>
  <c r="N308" i="16"/>
  <c r="M308" i="16"/>
  <c r="L308" i="16"/>
  <c r="K308" i="16"/>
  <c r="J308" i="16"/>
  <c r="I308" i="16"/>
  <c r="H308" i="16"/>
  <c r="G308" i="16"/>
  <c r="F308" i="16"/>
  <c r="AE307" i="16"/>
  <c r="AC307" i="16"/>
  <c r="AB307" i="16"/>
  <c r="AA307" i="16"/>
  <c r="Z307" i="16"/>
  <c r="Y307" i="16"/>
  <c r="X307" i="16"/>
  <c r="W307" i="16"/>
  <c r="V307" i="16"/>
  <c r="U307" i="16"/>
  <c r="T307" i="16"/>
  <c r="S307" i="16"/>
  <c r="R307" i="16"/>
  <c r="Q307" i="16"/>
  <c r="P307" i="16"/>
  <c r="O307" i="16"/>
  <c r="N307" i="16"/>
  <c r="M307" i="16"/>
  <c r="L307" i="16"/>
  <c r="K307" i="16"/>
  <c r="J307" i="16"/>
  <c r="I307" i="16"/>
  <c r="H307" i="16"/>
  <c r="G307" i="16"/>
  <c r="F307" i="16"/>
  <c r="AE306" i="16"/>
  <c r="AC306" i="16"/>
  <c r="AB306" i="16"/>
  <c r="AA306" i="16"/>
  <c r="Z306" i="16"/>
  <c r="Y306" i="16"/>
  <c r="X306" i="16"/>
  <c r="W306" i="16"/>
  <c r="V306" i="16"/>
  <c r="U306" i="16"/>
  <c r="T306" i="16"/>
  <c r="S306" i="16"/>
  <c r="R306" i="16"/>
  <c r="Q306" i="16"/>
  <c r="P306" i="16"/>
  <c r="O306" i="16"/>
  <c r="N306" i="16"/>
  <c r="M306" i="16"/>
  <c r="L306" i="16"/>
  <c r="K306" i="16"/>
  <c r="J306" i="16"/>
  <c r="I306" i="16"/>
  <c r="H306" i="16"/>
  <c r="G306" i="16"/>
  <c r="F306" i="16"/>
  <c r="AE305" i="16"/>
  <c r="AC305" i="16"/>
  <c r="AB305" i="16"/>
  <c r="AA305" i="16"/>
  <c r="Z305" i="16"/>
  <c r="Y305" i="16"/>
  <c r="X305" i="16"/>
  <c r="W305" i="16"/>
  <c r="V305" i="16"/>
  <c r="U305" i="16"/>
  <c r="T305" i="16"/>
  <c r="S305" i="16"/>
  <c r="R305" i="16"/>
  <c r="Q305" i="16"/>
  <c r="P305" i="16"/>
  <c r="O305" i="16"/>
  <c r="N305" i="16"/>
  <c r="M305" i="16"/>
  <c r="L305" i="16"/>
  <c r="K305" i="16"/>
  <c r="J305" i="16"/>
  <c r="I305" i="16"/>
  <c r="H305" i="16"/>
  <c r="G305" i="16"/>
  <c r="F305" i="16"/>
  <c r="AE304" i="16"/>
  <c r="AC304" i="16"/>
  <c r="AB304" i="16"/>
  <c r="AA304" i="16"/>
  <c r="Z304" i="16"/>
  <c r="Y304" i="16"/>
  <c r="X304" i="16"/>
  <c r="W304" i="16"/>
  <c r="V304" i="16"/>
  <c r="U304" i="16"/>
  <c r="T304" i="16"/>
  <c r="S304" i="16"/>
  <c r="R304" i="16"/>
  <c r="Q304" i="16"/>
  <c r="P304" i="16"/>
  <c r="O304" i="16"/>
  <c r="N304" i="16"/>
  <c r="M304" i="16"/>
  <c r="L304" i="16"/>
  <c r="K304" i="16"/>
  <c r="J304" i="16"/>
  <c r="I304" i="16"/>
  <c r="H304" i="16"/>
  <c r="G304" i="16"/>
  <c r="F304" i="16"/>
  <c r="AE303" i="16"/>
  <c r="AC303" i="16"/>
  <c r="AB303" i="16"/>
  <c r="AA303" i="16"/>
  <c r="Z303" i="16"/>
  <c r="Y303" i="16"/>
  <c r="X303" i="16"/>
  <c r="W303" i="16"/>
  <c r="V303" i="16"/>
  <c r="U303" i="16"/>
  <c r="T303" i="16"/>
  <c r="S303" i="16"/>
  <c r="R303" i="16"/>
  <c r="Q303" i="16"/>
  <c r="P303" i="16"/>
  <c r="O303" i="16"/>
  <c r="N303" i="16"/>
  <c r="M303" i="16"/>
  <c r="L303" i="16"/>
  <c r="K303" i="16"/>
  <c r="J303" i="16"/>
  <c r="I303" i="16"/>
  <c r="H303" i="16"/>
  <c r="G303" i="16"/>
  <c r="F303" i="16"/>
  <c r="AE302" i="16"/>
  <c r="AC302" i="16"/>
  <c r="AB302" i="16"/>
  <c r="AA302" i="16"/>
  <c r="Z302" i="16"/>
  <c r="Y302" i="16"/>
  <c r="X302" i="16"/>
  <c r="W302" i="16"/>
  <c r="V302" i="16"/>
  <c r="U302" i="16"/>
  <c r="T302" i="16"/>
  <c r="S302" i="16"/>
  <c r="R302" i="16"/>
  <c r="Q302" i="16"/>
  <c r="P302" i="16"/>
  <c r="O302" i="16"/>
  <c r="N302" i="16"/>
  <c r="M302" i="16"/>
  <c r="L302" i="16"/>
  <c r="K302" i="16"/>
  <c r="J302" i="16"/>
  <c r="I302" i="16"/>
  <c r="H302" i="16"/>
  <c r="G302" i="16"/>
  <c r="F302" i="16"/>
  <c r="AE301" i="16"/>
  <c r="AC301" i="16"/>
  <c r="AB301" i="16"/>
  <c r="AA301" i="16"/>
  <c r="Z301" i="16"/>
  <c r="Y301" i="16"/>
  <c r="X301" i="16"/>
  <c r="W301" i="16"/>
  <c r="V301" i="16"/>
  <c r="U301" i="16"/>
  <c r="T301" i="16"/>
  <c r="S301" i="16"/>
  <c r="R301" i="16"/>
  <c r="Q301" i="16"/>
  <c r="P301" i="16"/>
  <c r="O301" i="16"/>
  <c r="N301" i="16"/>
  <c r="M301" i="16"/>
  <c r="L301" i="16"/>
  <c r="K301" i="16"/>
  <c r="J301" i="16"/>
  <c r="I301" i="16"/>
  <c r="H301" i="16"/>
  <c r="G301" i="16"/>
  <c r="F301" i="16"/>
  <c r="AE300" i="16"/>
  <c r="AC300" i="16"/>
  <c r="AB300" i="16"/>
  <c r="AA300" i="16"/>
  <c r="Z300" i="16"/>
  <c r="Y300" i="16"/>
  <c r="X300" i="16"/>
  <c r="W300" i="16"/>
  <c r="V300" i="16"/>
  <c r="U300" i="16"/>
  <c r="T300" i="16"/>
  <c r="S300" i="16"/>
  <c r="R300" i="16"/>
  <c r="Q300" i="16"/>
  <c r="P300" i="16"/>
  <c r="O300" i="16"/>
  <c r="N300" i="16"/>
  <c r="M300" i="16"/>
  <c r="L300" i="16"/>
  <c r="K300" i="16"/>
  <c r="J300" i="16"/>
  <c r="I300" i="16"/>
  <c r="H300" i="16"/>
  <c r="G300" i="16"/>
  <c r="F300" i="16"/>
  <c r="AE299" i="16"/>
  <c r="AC299" i="16"/>
  <c r="AB299" i="16"/>
  <c r="AA299" i="16"/>
  <c r="Z299" i="16"/>
  <c r="Y299" i="16"/>
  <c r="X299" i="16"/>
  <c r="W299" i="16"/>
  <c r="V299" i="16"/>
  <c r="U299" i="16"/>
  <c r="T299" i="16"/>
  <c r="S299" i="16"/>
  <c r="R299" i="16"/>
  <c r="Q299" i="16"/>
  <c r="P299" i="16"/>
  <c r="O299" i="16"/>
  <c r="N299" i="16"/>
  <c r="M299" i="16"/>
  <c r="L299" i="16"/>
  <c r="K299" i="16"/>
  <c r="J299" i="16"/>
  <c r="I299" i="16"/>
  <c r="H299" i="16"/>
  <c r="G299" i="16"/>
  <c r="F299" i="16"/>
  <c r="AE298" i="16"/>
  <c r="AC298" i="16"/>
  <c r="AB298" i="16"/>
  <c r="AA298" i="16"/>
  <c r="Z298" i="16"/>
  <c r="Y298" i="16"/>
  <c r="X298" i="16"/>
  <c r="W298" i="16"/>
  <c r="V298" i="16"/>
  <c r="U298" i="16"/>
  <c r="T298" i="16"/>
  <c r="S298" i="16"/>
  <c r="R298" i="16"/>
  <c r="Q298" i="16"/>
  <c r="P298" i="16"/>
  <c r="O298" i="16"/>
  <c r="N298" i="16"/>
  <c r="M298" i="16"/>
  <c r="L298" i="16"/>
  <c r="K298" i="16"/>
  <c r="J298" i="16"/>
  <c r="I298" i="16"/>
  <c r="H298" i="16"/>
  <c r="G298" i="16"/>
  <c r="F298" i="16"/>
  <c r="AE297" i="16"/>
  <c r="AC297" i="16"/>
  <c r="AB297" i="16"/>
  <c r="AA297" i="16"/>
  <c r="Z297" i="16"/>
  <c r="Y297" i="16"/>
  <c r="X297" i="16"/>
  <c r="W297" i="16"/>
  <c r="V297" i="16"/>
  <c r="U297" i="16"/>
  <c r="T297" i="16"/>
  <c r="S297" i="16"/>
  <c r="R297" i="16"/>
  <c r="Q297" i="16"/>
  <c r="P297" i="16"/>
  <c r="O297" i="16"/>
  <c r="N297" i="16"/>
  <c r="M297" i="16"/>
  <c r="L297" i="16"/>
  <c r="K297" i="16"/>
  <c r="J297" i="16"/>
  <c r="I297" i="16"/>
  <c r="H297" i="16"/>
  <c r="G297" i="16"/>
  <c r="F297" i="16"/>
  <c r="AE296" i="16"/>
  <c r="AC296" i="16"/>
  <c r="AB296" i="16"/>
  <c r="AA296" i="16"/>
  <c r="Z296" i="16"/>
  <c r="Y296" i="16"/>
  <c r="X296" i="16"/>
  <c r="W296" i="16"/>
  <c r="V296" i="16"/>
  <c r="U296" i="16"/>
  <c r="T296" i="16"/>
  <c r="S296" i="16"/>
  <c r="R296" i="16"/>
  <c r="Q296" i="16"/>
  <c r="P296" i="16"/>
  <c r="O296" i="16"/>
  <c r="N296" i="16"/>
  <c r="M296" i="16"/>
  <c r="L296" i="16"/>
  <c r="K296" i="16"/>
  <c r="J296" i="16"/>
  <c r="I296" i="16"/>
  <c r="H296" i="16"/>
  <c r="G296" i="16"/>
  <c r="F296" i="16"/>
  <c r="AE295" i="16"/>
  <c r="AC295" i="16"/>
  <c r="AB295" i="16"/>
  <c r="AA295" i="16"/>
  <c r="Z295" i="16"/>
  <c r="Y295" i="16"/>
  <c r="X295" i="16"/>
  <c r="W295" i="16"/>
  <c r="V295" i="16"/>
  <c r="U295" i="16"/>
  <c r="T295" i="16"/>
  <c r="S295" i="16"/>
  <c r="R295" i="16"/>
  <c r="Q295" i="16"/>
  <c r="P295" i="16"/>
  <c r="O295" i="16"/>
  <c r="N295" i="16"/>
  <c r="M295" i="16"/>
  <c r="L295" i="16"/>
  <c r="K295" i="16"/>
  <c r="J295" i="16"/>
  <c r="I295" i="16"/>
  <c r="H295" i="16"/>
  <c r="G295" i="16"/>
  <c r="F295" i="16"/>
  <c r="AE294" i="16"/>
  <c r="AC294" i="16"/>
  <c r="AB294" i="16"/>
  <c r="AA294" i="16"/>
  <c r="Z294" i="16"/>
  <c r="Y294" i="16"/>
  <c r="X294" i="16"/>
  <c r="W294" i="16"/>
  <c r="V294" i="16"/>
  <c r="U294" i="16"/>
  <c r="T294" i="16"/>
  <c r="S294" i="16"/>
  <c r="R294" i="16"/>
  <c r="Q294" i="16"/>
  <c r="P294" i="16"/>
  <c r="O294" i="16"/>
  <c r="N294" i="16"/>
  <c r="M294" i="16"/>
  <c r="L294" i="16"/>
  <c r="K294" i="16"/>
  <c r="J294" i="16"/>
  <c r="I294" i="16"/>
  <c r="H294" i="16"/>
  <c r="G294" i="16"/>
  <c r="F294" i="16"/>
  <c r="AE293" i="16"/>
  <c r="AC293" i="16"/>
  <c r="AB293" i="16"/>
  <c r="AA293" i="16"/>
  <c r="Z293" i="16"/>
  <c r="Y293" i="16"/>
  <c r="X293" i="16"/>
  <c r="W293" i="16"/>
  <c r="V293" i="16"/>
  <c r="U293" i="16"/>
  <c r="T293" i="16"/>
  <c r="S293" i="16"/>
  <c r="R293" i="16"/>
  <c r="Q293" i="16"/>
  <c r="P293" i="16"/>
  <c r="O293" i="16"/>
  <c r="N293" i="16"/>
  <c r="M293" i="16"/>
  <c r="L293" i="16"/>
  <c r="K293" i="16"/>
  <c r="J293" i="16"/>
  <c r="I293" i="16"/>
  <c r="H293" i="16"/>
  <c r="G293" i="16"/>
  <c r="F293" i="16"/>
  <c r="AE292" i="16"/>
  <c r="AC292" i="16"/>
  <c r="AB292" i="16"/>
  <c r="AA292" i="16"/>
  <c r="Z292" i="16"/>
  <c r="Y292" i="16"/>
  <c r="X292" i="16"/>
  <c r="W292" i="16"/>
  <c r="V292" i="16"/>
  <c r="U292" i="16"/>
  <c r="T292" i="16"/>
  <c r="S292" i="16"/>
  <c r="R292" i="16"/>
  <c r="Q292" i="16"/>
  <c r="P292" i="16"/>
  <c r="O292" i="16"/>
  <c r="N292" i="16"/>
  <c r="M292" i="16"/>
  <c r="L292" i="16"/>
  <c r="K292" i="16"/>
  <c r="J292" i="16"/>
  <c r="I292" i="16"/>
  <c r="H292" i="16"/>
  <c r="G292" i="16"/>
  <c r="F292" i="16"/>
  <c r="AE291" i="16"/>
  <c r="AC291" i="16"/>
  <c r="AB291" i="16"/>
  <c r="AA291" i="16"/>
  <c r="Z291" i="16"/>
  <c r="Y291" i="16"/>
  <c r="X291" i="16"/>
  <c r="W291" i="16"/>
  <c r="V291" i="16"/>
  <c r="U291" i="16"/>
  <c r="T291" i="16"/>
  <c r="S291" i="16"/>
  <c r="R291" i="16"/>
  <c r="Q291" i="16"/>
  <c r="P291" i="16"/>
  <c r="O291" i="16"/>
  <c r="N291" i="16"/>
  <c r="M291" i="16"/>
  <c r="L291" i="16"/>
  <c r="K291" i="16"/>
  <c r="J291" i="16"/>
  <c r="I291" i="16"/>
  <c r="H291" i="16"/>
  <c r="G291" i="16"/>
  <c r="F291" i="16"/>
  <c r="AE290" i="16"/>
  <c r="AC290" i="16"/>
  <c r="AB290" i="16"/>
  <c r="AA290" i="16"/>
  <c r="Z290" i="16"/>
  <c r="Y290" i="16"/>
  <c r="X290" i="16"/>
  <c r="W290" i="16"/>
  <c r="V290" i="16"/>
  <c r="U290" i="16"/>
  <c r="T290" i="16"/>
  <c r="S290" i="16"/>
  <c r="R290" i="16"/>
  <c r="Q290" i="16"/>
  <c r="P290" i="16"/>
  <c r="O290" i="16"/>
  <c r="N290" i="16"/>
  <c r="M290" i="16"/>
  <c r="L290" i="16"/>
  <c r="K290" i="16"/>
  <c r="J290" i="16"/>
  <c r="I290" i="16"/>
  <c r="H290" i="16"/>
  <c r="G290" i="16"/>
  <c r="F290" i="16"/>
  <c r="AE289" i="16"/>
  <c r="AC289" i="16"/>
  <c r="AB289" i="16"/>
  <c r="AA289" i="16"/>
  <c r="Z289" i="16"/>
  <c r="Y289" i="16"/>
  <c r="X289" i="16"/>
  <c r="W289" i="16"/>
  <c r="V289" i="16"/>
  <c r="U289" i="16"/>
  <c r="T289" i="16"/>
  <c r="S289" i="16"/>
  <c r="R289" i="16"/>
  <c r="Q289" i="16"/>
  <c r="P289" i="16"/>
  <c r="O289" i="16"/>
  <c r="N289" i="16"/>
  <c r="M289" i="16"/>
  <c r="L289" i="16"/>
  <c r="K289" i="16"/>
  <c r="J289" i="16"/>
  <c r="I289" i="16"/>
  <c r="H289" i="16"/>
  <c r="G289" i="16"/>
  <c r="F289" i="16"/>
  <c r="AE288" i="16"/>
  <c r="AC288" i="16"/>
  <c r="AB288" i="16"/>
  <c r="AA288" i="16"/>
  <c r="Z288" i="16"/>
  <c r="Y288" i="16"/>
  <c r="X288" i="16"/>
  <c r="W288" i="16"/>
  <c r="V288" i="16"/>
  <c r="U288" i="16"/>
  <c r="T288" i="16"/>
  <c r="S288" i="16"/>
  <c r="R288" i="16"/>
  <c r="Q288" i="16"/>
  <c r="P288" i="16"/>
  <c r="O288" i="16"/>
  <c r="N288" i="16"/>
  <c r="M288" i="16"/>
  <c r="L288" i="16"/>
  <c r="K288" i="16"/>
  <c r="J288" i="16"/>
  <c r="I288" i="16"/>
  <c r="H288" i="16"/>
  <c r="G288" i="16"/>
  <c r="F288" i="16"/>
  <c r="AE287" i="16"/>
  <c r="AC287" i="16"/>
  <c r="AB287" i="16"/>
  <c r="AA287" i="16"/>
  <c r="Z287" i="16"/>
  <c r="Y287" i="16"/>
  <c r="X287" i="16"/>
  <c r="W287" i="16"/>
  <c r="V287" i="16"/>
  <c r="U287" i="16"/>
  <c r="T287" i="16"/>
  <c r="S287" i="16"/>
  <c r="R287" i="16"/>
  <c r="Q287" i="16"/>
  <c r="P287" i="16"/>
  <c r="O287" i="16"/>
  <c r="N287" i="16"/>
  <c r="M287" i="16"/>
  <c r="L287" i="16"/>
  <c r="K287" i="16"/>
  <c r="J287" i="16"/>
  <c r="I287" i="16"/>
  <c r="H287" i="16"/>
  <c r="G287" i="16"/>
  <c r="F287" i="16"/>
  <c r="AE286" i="16"/>
  <c r="AC286" i="16"/>
  <c r="AB286" i="16"/>
  <c r="AA286" i="16"/>
  <c r="Z286" i="16"/>
  <c r="Y286" i="16"/>
  <c r="X286" i="16"/>
  <c r="W286" i="16"/>
  <c r="V286" i="16"/>
  <c r="U286" i="16"/>
  <c r="T286" i="16"/>
  <c r="S286" i="16"/>
  <c r="R286" i="16"/>
  <c r="Q286" i="16"/>
  <c r="P286" i="16"/>
  <c r="O286" i="16"/>
  <c r="N286" i="16"/>
  <c r="M286" i="16"/>
  <c r="L286" i="16"/>
  <c r="K286" i="16"/>
  <c r="J286" i="16"/>
  <c r="I286" i="16"/>
  <c r="H286" i="16"/>
  <c r="G286" i="16"/>
  <c r="F286" i="16"/>
  <c r="AE285" i="16"/>
  <c r="AC285" i="16"/>
  <c r="AB285" i="16"/>
  <c r="AA285" i="16"/>
  <c r="Z285" i="16"/>
  <c r="Y285" i="16"/>
  <c r="X285" i="16"/>
  <c r="W285" i="16"/>
  <c r="V285" i="16"/>
  <c r="U285" i="16"/>
  <c r="T285" i="16"/>
  <c r="S285" i="16"/>
  <c r="R285" i="16"/>
  <c r="Q285" i="16"/>
  <c r="P285" i="16"/>
  <c r="O285" i="16"/>
  <c r="N285" i="16"/>
  <c r="M285" i="16"/>
  <c r="L285" i="16"/>
  <c r="K285" i="16"/>
  <c r="J285" i="16"/>
  <c r="I285" i="16"/>
  <c r="H285" i="16"/>
  <c r="G285" i="16"/>
  <c r="F285" i="16"/>
  <c r="AE284" i="16"/>
  <c r="AC284" i="16"/>
  <c r="AB284" i="16"/>
  <c r="AA284" i="16"/>
  <c r="Z284" i="16"/>
  <c r="Y284" i="16"/>
  <c r="X284" i="16"/>
  <c r="W284" i="16"/>
  <c r="V284" i="16"/>
  <c r="U284" i="16"/>
  <c r="T284" i="16"/>
  <c r="S284" i="16"/>
  <c r="R284" i="16"/>
  <c r="Q284" i="16"/>
  <c r="P284" i="16"/>
  <c r="O284" i="16"/>
  <c r="N284" i="16"/>
  <c r="M284" i="16"/>
  <c r="L284" i="16"/>
  <c r="K284" i="16"/>
  <c r="J284" i="16"/>
  <c r="I284" i="16"/>
  <c r="H284" i="16"/>
  <c r="G284" i="16"/>
  <c r="F284" i="16"/>
  <c r="AE283" i="16"/>
  <c r="AC283" i="16"/>
  <c r="AB283" i="16"/>
  <c r="AA283" i="16"/>
  <c r="Z283" i="16"/>
  <c r="Y283" i="16"/>
  <c r="X283" i="16"/>
  <c r="W283" i="16"/>
  <c r="V283" i="16"/>
  <c r="U283" i="16"/>
  <c r="T283" i="16"/>
  <c r="S283" i="16"/>
  <c r="R283" i="16"/>
  <c r="Q283" i="16"/>
  <c r="P283" i="16"/>
  <c r="O283" i="16"/>
  <c r="N283" i="16"/>
  <c r="M283" i="16"/>
  <c r="L283" i="16"/>
  <c r="K283" i="16"/>
  <c r="J283" i="16"/>
  <c r="I283" i="16"/>
  <c r="H283" i="16"/>
  <c r="G283" i="16"/>
  <c r="F283" i="16"/>
  <c r="AE282" i="16"/>
  <c r="AC282" i="16"/>
  <c r="AB282" i="16"/>
  <c r="AA282" i="16"/>
  <c r="Z282" i="16"/>
  <c r="Y282" i="16"/>
  <c r="X282" i="16"/>
  <c r="W282" i="16"/>
  <c r="V282" i="16"/>
  <c r="U282" i="16"/>
  <c r="T282" i="16"/>
  <c r="S282" i="16"/>
  <c r="R282" i="16"/>
  <c r="Q282" i="16"/>
  <c r="P282" i="16"/>
  <c r="O282" i="16"/>
  <c r="N282" i="16"/>
  <c r="M282" i="16"/>
  <c r="L282" i="16"/>
  <c r="K282" i="16"/>
  <c r="J282" i="16"/>
  <c r="I282" i="16"/>
  <c r="H282" i="16"/>
  <c r="G282" i="16"/>
  <c r="F282" i="16"/>
  <c r="AE281" i="16"/>
  <c r="AC281" i="16"/>
  <c r="AB281" i="16"/>
  <c r="AA281" i="16"/>
  <c r="Z281" i="16"/>
  <c r="Y281" i="16"/>
  <c r="X281" i="16"/>
  <c r="W281" i="16"/>
  <c r="V281" i="16"/>
  <c r="U281" i="16"/>
  <c r="T281" i="16"/>
  <c r="S281" i="16"/>
  <c r="R281" i="16"/>
  <c r="Q281" i="16"/>
  <c r="P281" i="16"/>
  <c r="O281" i="16"/>
  <c r="N281" i="16"/>
  <c r="M281" i="16"/>
  <c r="L281" i="16"/>
  <c r="K281" i="16"/>
  <c r="J281" i="16"/>
  <c r="I281" i="16"/>
  <c r="H281" i="16"/>
  <c r="G281" i="16"/>
  <c r="F281" i="16"/>
  <c r="AE280" i="16"/>
  <c r="AC280" i="16"/>
  <c r="AB280" i="16"/>
  <c r="AA280" i="16"/>
  <c r="Z280" i="16"/>
  <c r="Y280" i="16"/>
  <c r="X280" i="16"/>
  <c r="W280" i="16"/>
  <c r="V280" i="16"/>
  <c r="U280" i="16"/>
  <c r="T280" i="16"/>
  <c r="S280" i="16"/>
  <c r="R280" i="16"/>
  <c r="Q280" i="16"/>
  <c r="P280" i="16"/>
  <c r="O280" i="16"/>
  <c r="N280" i="16"/>
  <c r="M280" i="16"/>
  <c r="L280" i="16"/>
  <c r="K280" i="16"/>
  <c r="J280" i="16"/>
  <c r="I280" i="16"/>
  <c r="H280" i="16"/>
  <c r="G280" i="16"/>
  <c r="F280" i="16"/>
  <c r="AE279" i="16"/>
  <c r="AC279" i="16"/>
  <c r="AB279" i="16"/>
  <c r="AA279" i="16"/>
  <c r="Z279" i="16"/>
  <c r="Y279" i="16"/>
  <c r="X279" i="16"/>
  <c r="W279" i="16"/>
  <c r="V279" i="16"/>
  <c r="U279" i="16"/>
  <c r="T279" i="16"/>
  <c r="S279" i="16"/>
  <c r="R279" i="16"/>
  <c r="Q279" i="16"/>
  <c r="P279" i="16"/>
  <c r="O279" i="16"/>
  <c r="N279" i="16"/>
  <c r="M279" i="16"/>
  <c r="L279" i="16"/>
  <c r="K279" i="16"/>
  <c r="J279" i="16"/>
  <c r="I279" i="16"/>
  <c r="H279" i="16"/>
  <c r="G279" i="16"/>
  <c r="F279" i="16"/>
  <c r="AE278" i="16"/>
  <c r="AC278" i="16"/>
  <c r="AB278" i="16"/>
  <c r="AA278" i="16"/>
  <c r="Z278" i="16"/>
  <c r="Y278" i="16"/>
  <c r="X278" i="16"/>
  <c r="W278" i="16"/>
  <c r="V278" i="16"/>
  <c r="U278" i="16"/>
  <c r="T278" i="16"/>
  <c r="S278" i="16"/>
  <c r="R278" i="16"/>
  <c r="Q278" i="16"/>
  <c r="P278" i="16"/>
  <c r="O278" i="16"/>
  <c r="N278" i="16"/>
  <c r="M278" i="16"/>
  <c r="L278" i="16"/>
  <c r="K278" i="16"/>
  <c r="J278" i="16"/>
  <c r="I278" i="16"/>
  <c r="H278" i="16"/>
  <c r="G278" i="16"/>
  <c r="F278" i="16"/>
  <c r="AE277" i="16"/>
  <c r="AC277" i="16"/>
  <c r="AB277" i="16"/>
  <c r="AA277" i="16"/>
  <c r="Z277" i="16"/>
  <c r="Y277" i="16"/>
  <c r="X277" i="16"/>
  <c r="W277" i="16"/>
  <c r="V277" i="16"/>
  <c r="U277" i="16"/>
  <c r="T277" i="16"/>
  <c r="S277" i="16"/>
  <c r="R277" i="16"/>
  <c r="Q277" i="16"/>
  <c r="P277" i="16"/>
  <c r="O277" i="16"/>
  <c r="N277" i="16"/>
  <c r="M277" i="16"/>
  <c r="L277" i="16"/>
  <c r="K277" i="16"/>
  <c r="J277" i="16"/>
  <c r="I277" i="16"/>
  <c r="H277" i="16"/>
  <c r="G277" i="16"/>
  <c r="F277" i="16"/>
  <c r="AE276" i="16"/>
  <c r="AC276" i="16"/>
  <c r="AB276" i="16"/>
  <c r="AA276" i="16"/>
  <c r="Z276" i="16"/>
  <c r="Y276" i="16"/>
  <c r="X276" i="16"/>
  <c r="W276" i="16"/>
  <c r="V276" i="16"/>
  <c r="U276" i="16"/>
  <c r="T276" i="16"/>
  <c r="S276" i="16"/>
  <c r="R276" i="16"/>
  <c r="Q276" i="16"/>
  <c r="P276" i="16"/>
  <c r="O276" i="16"/>
  <c r="N276" i="16"/>
  <c r="M276" i="16"/>
  <c r="L276" i="16"/>
  <c r="K276" i="16"/>
  <c r="J276" i="16"/>
  <c r="I276" i="16"/>
  <c r="H276" i="16"/>
  <c r="G276" i="16"/>
  <c r="F276" i="16"/>
  <c r="AE275" i="16"/>
  <c r="AC275" i="16"/>
  <c r="AB275" i="16"/>
  <c r="AA275" i="16"/>
  <c r="Z275" i="16"/>
  <c r="Y275" i="16"/>
  <c r="X275" i="16"/>
  <c r="W275" i="16"/>
  <c r="V275" i="16"/>
  <c r="U275" i="16"/>
  <c r="T275" i="16"/>
  <c r="S275" i="16"/>
  <c r="R275" i="16"/>
  <c r="Q275" i="16"/>
  <c r="P275" i="16"/>
  <c r="O275" i="16"/>
  <c r="N275" i="16"/>
  <c r="M275" i="16"/>
  <c r="L275" i="16"/>
  <c r="K275" i="16"/>
  <c r="J275" i="16"/>
  <c r="I275" i="16"/>
  <c r="H275" i="16"/>
  <c r="G275" i="16"/>
  <c r="F275" i="16"/>
  <c r="AE274" i="16"/>
  <c r="AC274" i="16"/>
  <c r="AB274" i="16"/>
  <c r="AA274" i="16"/>
  <c r="Z274" i="16"/>
  <c r="Y274" i="16"/>
  <c r="X274" i="16"/>
  <c r="W274" i="16"/>
  <c r="V274" i="16"/>
  <c r="U274" i="16"/>
  <c r="T274" i="16"/>
  <c r="S274" i="16"/>
  <c r="R274" i="16"/>
  <c r="Q274" i="16"/>
  <c r="P274" i="16"/>
  <c r="O274" i="16"/>
  <c r="N274" i="16"/>
  <c r="M274" i="16"/>
  <c r="L274" i="16"/>
  <c r="K274" i="16"/>
  <c r="J274" i="16"/>
  <c r="I274" i="16"/>
  <c r="H274" i="16"/>
  <c r="G274" i="16"/>
  <c r="F274" i="16"/>
  <c r="AE273" i="16"/>
  <c r="AC273" i="16"/>
  <c r="AB273" i="16"/>
  <c r="AA273" i="16"/>
  <c r="Z273" i="16"/>
  <c r="Y273" i="16"/>
  <c r="X273" i="16"/>
  <c r="W273" i="16"/>
  <c r="V273" i="16"/>
  <c r="U273" i="16"/>
  <c r="T273" i="16"/>
  <c r="S273" i="16"/>
  <c r="R273" i="16"/>
  <c r="Q273" i="16"/>
  <c r="P273" i="16"/>
  <c r="O273" i="16"/>
  <c r="N273" i="16"/>
  <c r="M273" i="16"/>
  <c r="L273" i="16"/>
  <c r="K273" i="16"/>
  <c r="J273" i="16"/>
  <c r="I273" i="16"/>
  <c r="H273" i="16"/>
  <c r="G273" i="16"/>
  <c r="F273" i="16"/>
  <c r="AE272" i="16"/>
  <c r="AC272" i="16"/>
  <c r="AB272" i="16"/>
  <c r="AA272" i="16"/>
  <c r="Z272" i="16"/>
  <c r="Y272" i="16"/>
  <c r="X272" i="16"/>
  <c r="W272" i="16"/>
  <c r="V272" i="16"/>
  <c r="U272" i="16"/>
  <c r="T272" i="16"/>
  <c r="S272" i="16"/>
  <c r="R272" i="16"/>
  <c r="Q272" i="16"/>
  <c r="P272" i="16"/>
  <c r="O272" i="16"/>
  <c r="N272" i="16"/>
  <c r="M272" i="16"/>
  <c r="L272" i="16"/>
  <c r="K272" i="16"/>
  <c r="J272" i="16"/>
  <c r="I272" i="16"/>
  <c r="H272" i="16"/>
  <c r="G272" i="16"/>
  <c r="F272" i="16"/>
  <c r="AE271" i="16"/>
  <c r="AC271" i="16"/>
  <c r="AB271" i="16"/>
  <c r="AA271" i="16"/>
  <c r="Z271" i="16"/>
  <c r="Y271" i="16"/>
  <c r="X271" i="16"/>
  <c r="W271" i="16"/>
  <c r="V271" i="16"/>
  <c r="U271" i="16"/>
  <c r="T271" i="16"/>
  <c r="S271" i="16"/>
  <c r="R271" i="16"/>
  <c r="Q271" i="16"/>
  <c r="P271" i="16"/>
  <c r="O271" i="16"/>
  <c r="N271" i="16"/>
  <c r="M271" i="16"/>
  <c r="L271" i="16"/>
  <c r="K271" i="16"/>
  <c r="J271" i="16"/>
  <c r="I271" i="16"/>
  <c r="H271" i="16"/>
  <c r="G271" i="16"/>
  <c r="F271" i="16"/>
  <c r="AE270" i="16"/>
  <c r="AC270" i="16"/>
  <c r="AB270" i="16"/>
  <c r="AA270" i="16"/>
  <c r="Z270" i="16"/>
  <c r="Y270" i="16"/>
  <c r="X270" i="16"/>
  <c r="W270" i="16"/>
  <c r="V270" i="16"/>
  <c r="U270" i="16"/>
  <c r="T270" i="16"/>
  <c r="S270" i="16"/>
  <c r="R270" i="16"/>
  <c r="Q270" i="16"/>
  <c r="P270" i="16"/>
  <c r="O270" i="16"/>
  <c r="N270" i="16"/>
  <c r="M270" i="16"/>
  <c r="L270" i="16"/>
  <c r="K270" i="16"/>
  <c r="J270" i="16"/>
  <c r="I270" i="16"/>
  <c r="H270" i="16"/>
  <c r="G270" i="16"/>
  <c r="F270" i="16"/>
  <c r="AE269" i="16"/>
  <c r="AC269" i="16"/>
  <c r="AB269" i="16"/>
  <c r="AA269" i="16"/>
  <c r="Z269" i="16"/>
  <c r="Y269" i="16"/>
  <c r="X269" i="16"/>
  <c r="W269" i="16"/>
  <c r="V269" i="16"/>
  <c r="U269" i="16"/>
  <c r="T269" i="16"/>
  <c r="S269" i="16"/>
  <c r="R269" i="16"/>
  <c r="Q269" i="16"/>
  <c r="P269" i="16"/>
  <c r="O269" i="16"/>
  <c r="N269" i="16"/>
  <c r="M269" i="16"/>
  <c r="L269" i="16"/>
  <c r="K269" i="16"/>
  <c r="J269" i="16"/>
  <c r="I269" i="16"/>
  <c r="H269" i="16"/>
  <c r="G269" i="16"/>
  <c r="F269" i="16"/>
  <c r="AE268" i="16"/>
  <c r="AC268" i="16"/>
  <c r="AB268" i="16"/>
  <c r="AA268" i="16"/>
  <c r="Z268" i="16"/>
  <c r="Y268" i="16"/>
  <c r="X268" i="16"/>
  <c r="W268" i="16"/>
  <c r="V268" i="16"/>
  <c r="U268" i="16"/>
  <c r="T268" i="16"/>
  <c r="S268" i="16"/>
  <c r="R268" i="16"/>
  <c r="Q268" i="16"/>
  <c r="P268" i="16"/>
  <c r="O268" i="16"/>
  <c r="N268" i="16"/>
  <c r="M268" i="16"/>
  <c r="L268" i="16"/>
  <c r="K268" i="16"/>
  <c r="J268" i="16"/>
  <c r="I268" i="16"/>
  <c r="H268" i="16"/>
  <c r="G268" i="16"/>
  <c r="F268" i="16"/>
  <c r="AE267" i="16"/>
  <c r="AC267" i="16"/>
  <c r="AB267" i="16"/>
  <c r="AA267" i="16"/>
  <c r="Z267" i="16"/>
  <c r="Y267" i="16"/>
  <c r="X267" i="16"/>
  <c r="W267" i="16"/>
  <c r="V267" i="16"/>
  <c r="U267" i="16"/>
  <c r="T267" i="16"/>
  <c r="S267" i="16"/>
  <c r="R267" i="16"/>
  <c r="Q267" i="16"/>
  <c r="P267" i="16"/>
  <c r="O267" i="16"/>
  <c r="N267" i="16"/>
  <c r="M267" i="16"/>
  <c r="L267" i="16"/>
  <c r="K267" i="16"/>
  <c r="J267" i="16"/>
  <c r="I267" i="16"/>
  <c r="H267" i="16"/>
  <c r="G267" i="16"/>
  <c r="F267" i="16"/>
  <c r="AE266" i="16"/>
  <c r="AC266" i="16"/>
  <c r="AB266" i="16"/>
  <c r="AA266" i="16"/>
  <c r="Z266" i="16"/>
  <c r="Y266" i="16"/>
  <c r="X266" i="16"/>
  <c r="W266" i="16"/>
  <c r="V266" i="16"/>
  <c r="U266" i="16"/>
  <c r="T266" i="16"/>
  <c r="S266" i="16"/>
  <c r="R266" i="16"/>
  <c r="Q266" i="16"/>
  <c r="P266" i="16"/>
  <c r="O266" i="16"/>
  <c r="N266" i="16"/>
  <c r="M266" i="16"/>
  <c r="L266" i="16"/>
  <c r="K266" i="16"/>
  <c r="J266" i="16"/>
  <c r="I266" i="16"/>
  <c r="H266" i="16"/>
  <c r="G266" i="16"/>
  <c r="F266" i="16"/>
  <c r="AE265" i="16"/>
  <c r="AC265" i="16"/>
  <c r="AB265" i="16"/>
  <c r="AA265" i="16"/>
  <c r="Z265" i="16"/>
  <c r="Y265" i="16"/>
  <c r="X265" i="16"/>
  <c r="W265" i="16"/>
  <c r="V265" i="16"/>
  <c r="U265" i="16"/>
  <c r="T265" i="16"/>
  <c r="S265" i="16"/>
  <c r="R265" i="16"/>
  <c r="Q265" i="16"/>
  <c r="P265" i="16"/>
  <c r="O265" i="16"/>
  <c r="N265" i="16"/>
  <c r="M265" i="16"/>
  <c r="L265" i="16"/>
  <c r="K265" i="16"/>
  <c r="J265" i="16"/>
  <c r="I265" i="16"/>
  <c r="H265" i="16"/>
  <c r="G265" i="16"/>
  <c r="F265" i="16"/>
  <c r="AE264" i="16"/>
  <c r="AC264" i="16"/>
  <c r="AB264" i="16"/>
  <c r="AA264" i="16"/>
  <c r="Z264" i="16"/>
  <c r="Y264" i="16"/>
  <c r="X264" i="16"/>
  <c r="W264" i="16"/>
  <c r="V264" i="16"/>
  <c r="U264" i="16"/>
  <c r="T264" i="16"/>
  <c r="S264" i="16"/>
  <c r="R264" i="16"/>
  <c r="Q264" i="16"/>
  <c r="P264" i="16"/>
  <c r="O264" i="16"/>
  <c r="N264" i="16"/>
  <c r="M264" i="16"/>
  <c r="L264" i="16"/>
  <c r="K264" i="16"/>
  <c r="J264" i="16"/>
  <c r="I264" i="16"/>
  <c r="H264" i="16"/>
  <c r="G264" i="16"/>
  <c r="F264" i="16"/>
  <c r="AE263" i="16"/>
  <c r="AC263" i="16"/>
  <c r="AB263" i="16"/>
  <c r="AA263" i="16"/>
  <c r="Z263" i="16"/>
  <c r="Y263" i="16"/>
  <c r="X263" i="16"/>
  <c r="W263" i="16"/>
  <c r="V263" i="16"/>
  <c r="U263" i="16"/>
  <c r="T263" i="16"/>
  <c r="S263" i="16"/>
  <c r="R263" i="16"/>
  <c r="Q263" i="16"/>
  <c r="P263" i="16"/>
  <c r="O263" i="16"/>
  <c r="N263" i="16"/>
  <c r="M263" i="16"/>
  <c r="L263" i="16"/>
  <c r="K263" i="16"/>
  <c r="J263" i="16"/>
  <c r="I263" i="16"/>
  <c r="H263" i="16"/>
  <c r="G263" i="16"/>
  <c r="F263" i="16"/>
  <c r="AE262" i="16"/>
  <c r="AC262" i="16"/>
  <c r="AB262" i="16"/>
  <c r="AA262" i="16"/>
  <c r="Z262" i="16"/>
  <c r="Y262" i="16"/>
  <c r="X262" i="16"/>
  <c r="W262" i="16"/>
  <c r="V262" i="16"/>
  <c r="U262" i="16"/>
  <c r="T262" i="16"/>
  <c r="S262" i="16"/>
  <c r="R262" i="16"/>
  <c r="Q262" i="16"/>
  <c r="P262" i="16"/>
  <c r="O262" i="16"/>
  <c r="N262" i="16"/>
  <c r="M262" i="16"/>
  <c r="L262" i="16"/>
  <c r="K262" i="16"/>
  <c r="J262" i="16"/>
  <c r="I262" i="16"/>
  <c r="H262" i="16"/>
  <c r="G262" i="16"/>
  <c r="F262" i="16"/>
  <c r="AE261" i="16"/>
  <c r="AC261" i="16"/>
  <c r="AB261" i="16"/>
  <c r="AA261" i="16"/>
  <c r="Z261" i="16"/>
  <c r="Y261" i="16"/>
  <c r="X261" i="16"/>
  <c r="W261" i="16"/>
  <c r="V261" i="16"/>
  <c r="U261" i="16"/>
  <c r="T261" i="16"/>
  <c r="S261" i="16"/>
  <c r="R261" i="16"/>
  <c r="Q261" i="16"/>
  <c r="P261" i="16"/>
  <c r="O261" i="16"/>
  <c r="N261" i="16"/>
  <c r="M261" i="16"/>
  <c r="L261" i="16"/>
  <c r="K261" i="16"/>
  <c r="J261" i="16"/>
  <c r="I261" i="16"/>
  <c r="H261" i="16"/>
  <c r="G261" i="16"/>
  <c r="F261" i="16"/>
  <c r="AE260" i="16"/>
  <c r="AC260" i="16"/>
  <c r="AB260" i="16"/>
  <c r="AA260" i="16"/>
  <c r="Z260" i="16"/>
  <c r="Y260" i="16"/>
  <c r="X260" i="16"/>
  <c r="W260" i="16"/>
  <c r="V260" i="16"/>
  <c r="U260" i="16"/>
  <c r="T260" i="16"/>
  <c r="S260" i="16"/>
  <c r="R260" i="16"/>
  <c r="Q260" i="16"/>
  <c r="P260" i="16"/>
  <c r="O260" i="16"/>
  <c r="N260" i="16"/>
  <c r="M260" i="16"/>
  <c r="L260" i="16"/>
  <c r="K260" i="16"/>
  <c r="J260" i="16"/>
  <c r="I260" i="16"/>
  <c r="H260" i="16"/>
  <c r="G260" i="16"/>
  <c r="F260" i="16"/>
  <c r="AE259" i="16"/>
  <c r="AC259" i="16"/>
  <c r="AB259" i="16"/>
  <c r="AA259" i="16"/>
  <c r="Z259" i="16"/>
  <c r="Y259" i="16"/>
  <c r="X259" i="16"/>
  <c r="W259" i="16"/>
  <c r="V259" i="16"/>
  <c r="U259" i="16"/>
  <c r="T259" i="16"/>
  <c r="S259" i="16"/>
  <c r="R259" i="16"/>
  <c r="Q259" i="16"/>
  <c r="P259" i="16"/>
  <c r="O259" i="16"/>
  <c r="N259" i="16"/>
  <c r="M259" i="16"/>
  <c r="L259" i="16"/>
  <c r="K259" i="16"/>
  <c r="J259" i="16"/>
  <c r="I259" i="16"/>
  <c r="H259" i="16"/>
  <c r="G259" i="16"/>
  <c r="F259" i="16"/>
  <c r="AE258" i="16"/>
  <c r="AC258" i="16"/>
  <c r="AB258" i="16"/>
  <c r="AA258" i="16"/>
  <c r="Z258" i="16"/>
  <c r="Y258" i="16"/>
  <c r="X258" i="16"/>
  <c r="W258" i="16"/>
  <c r="V258" i="16"/>
  <c r="U258" i="16"/>
  <c r="T258" i="16"/>
  <c r="S258" i="16"/>
  <c r="R258" i="16"/>
  <c r="Q258" i="16"/>
  <c r="P258" i="16"/>
  <c r="O258" i="16"/>
  <c r="N258" i="16"/>
  <c r="M258" i="16"/>
  <c r="L258" i="16"/>
  <c r="K258" i="16"/>
  <c r="J258" i="16"/>
  <c r="I258" i="16"/>
  <c r="H258" i="16"/>
  <c r="G258" i="16"/>
  <c r="F258" i="16"/>
  <c r="AE257" i="16"/>
  <c r="AC257" i="16"/>
  <c r="AB257" i="16"/>
  <c r="AA257" i="16"/>
  <c r="Z257" i="16"/>
  <c r="Y257" i="16"/>
  <c r="X257" i="16"/>
  <c r="W257" i="16"/>
  <c r="V257" i="16"/>
  <c r="U257" i="16"/>
  <c r="T257" i="16"/>
  <c r="S257" i="16"/>
  <c r="R257" i="16"/>
  <c r="Q257" i="16"/>
  <c r="P257" i="16"/>
  <c r="O257" i="16"/>
  <c r="N257" i="16"/>
  <c r="M257" i="16"/>
  <c r="L257" i="16"/>
  <c r="K257" i="16"/>
  <c r="J257" i="16"/>
  <c r="I257" i="16"/>
  <c r="H257" i="16"/>
  <c r="G257" i="16"/>
  <c r="F257" i="16"/>
  <c r="AE256" i="16"/>
  <c r="AC256" i="16"/>
  <c r="AB256" i="16"/>
  <c r="AA256" i="16"/>
  <c r="Z256" i="16"/>
  <c r="Y256" i="16"/>
  <c r="X256" i="16"/>
  <c r="W256" i="16"/>
  <c r="V256" i="16"/>
  <c r="U256" i="16"/>
  <c r="T256" i="16"/>
  <c r="S256" i="16"/>
  <c r="R256" i="16"/>
  <c r="Q256" i="16"/>
  <c r="P256" i="16"/>
  <c r="O256" i="16"/>
  <c r="N256" i="16"/>
  <c r="M256" i="16"/>
  <c r="L256" i="16"/>
  <c r="K256" i="16"/>
  <c r="J256" i="16"/>
  <c r="I256" i="16"/>
  <c r="H256" i="16"/>
  <c r="G256" i="16"/>
  <c r="F256" i="16"/>
  <c r="AE255" i="16"/>
  <c r="AC255" i="16"/>
  <c r="AB255" i="16"/>
  <c r="AA255" i="16"/>
  <c r="Z255" i="16"/>
  <c r="Y255" i="16"/>
  <c r="X255" i="16"/>
  <c r="W255" i="16"/>
  <c r="V255" i="16"/>
  <c r="U255" i="16"/>
  <c r="T255" i="16"/>
  <c r="S255" i="16"/>
  <c r="R255" i="16"/>
  <c r="Q255" i="16"/>
  <c r="P255" i="16"/>
  <c r="O255" i="16"/>
  <c r="N255" i="16"/>
  <c r="M255" i="16"/>
  <c r="L255" i="16"/>
  <c r="K255" i="16"/>
  <c r="J255" i="16"/>
  <c r="I255" i="16"/>
  <c r="H255" i="16"/>
  <c r="G255" i="16"/>
  <c r="F255" i="16"/>
  <c r="AE254" i="16"/>
  <c r="AC254" i="16"/>
  <c r="AB254" i="16"/>
  <c r="AA254" i="16"/>
  <c r="Z254" i="16"/>
  <c r="Y254" i="16"/>
  <c r="X254" i="16"/>
  <c r="W254" i="16"/>
  <c r="V254" i="16"/>
  <c r="U254" i="16"/>
  <c r="T254" i="16"/>
  <c r="S254" i="16"/>
  <c r="R254" i="16"/>
  <c r="Q254" i="16"/>
  <c r="P254" i="16"/>
  <c r="O254" i="16"/>
  <c r="N254" i="16"/>
  <c r="M254" i="16"/>
  <c r="L254" i="16"/>
  <c r="K254" i="16"/>
  <c r="J254" i="16"/>
  <c r="I254" i="16"/>
  <c r="H254" i="16"/>
  <c r="G254" i="16"/>
  <c r="F254" i="16"/>
  <c r="AE253" i="16"/>
  <c r="AC253" i="16"/>
  <c r="AB253" i="16"/>
  <c r="AA253" i="16"/>
  <c r="Z253" i="16"/>
  <c r="Y253" i="16"/>
  <c r="X253" i="16"/>
  <c r="W253" i="16"/>
  <c r="V253" i="16"/>
  <c r="U253" i="16"/>
  <c r="T253" i="16"/>
  <c r="S253" i="16"/>
  <c r="R253" i="16"/>
  <c r="Q253" i="16"/>
  <c r="P253" i="16"/>
  <c r="O253" i="16"/>
  <c r="N253" i="16"/>
  <c r="M253" i="16"/>
  <c r="L253" i="16"/>
  <c r="K253" i="16"/>
  <c r="J253" i="16"/>
  <c r="I253" i="16"/>
  <c r="H253" i="16"/>
  <c r="G253" i="16"/>
  <c r="F253" i="16"/>
  <c r="AE252" i="16"/>
  <c r="AC252" i="16"/>
  <c r="AB252" i="16"/>
  <c r="AA252" i="16"/>
  <c r="Z252" i="16"/>
  <c r="Y252" i="16"/>
  <c r="X252" i="16"/>
  <c r="W252" i="16"/>
  <c r="V252" i="16"/>
  <c r="U252" i="16"/>
  <c r="T252" i="16"/>
  <c r="S252" i="16"/>
  <c r="R252" i="16"/>
  <c r="Q252" i="16"/>
  <c r="P252" i="16"/>
  <c r="O252" i="16"/>
  <c r="N252" i="16"/>
  <c r="M252" i="16"/>
  <c r="L252" i="16"/>
  <c r="K252" i="16"/>
  <c r="J252" i="16"/>
  <c r="I252" i="16"/>
  <c r="H252" i="16"/>
  <c r="G252" i="16"/>
  <c r="F252" i="16"/>
  <c r="AE251" i="16"/>
  <c r="AC251" i="16"/>
  <c r="AB251" i="16"/>
  <c r="AA251" i="16"/>
  <c r="Z251" i="16"/>
  <c r="Y251" i="16"/>
  <c r="X251" i="16"/>
  <c r="W251" i="16"/>
  <c r="V251" i="16"/>
  <c r="U251" i="16"/>
  <c r="T251" i="16"/>
  <c r="S251" i="16"/>
  <c r="R251" i="16"/>
  <c r="Q251" i="16"/>
  <c r="P251" i="16"/>
  <c r="O251" i="16"/>
  <c r="N251" i="16"/>
  <c r="M251" i="16"/>
  <c r="L251" i="16"/>
  <c r="K251" i="16"/>
  <c r="J251" i="16"/>
  <c r="I251" i="16"/>
  <c r="H251" i="16"/>
  <c r="G251" i="16"/>
  <c r="F251" i="16"/>
  <c r="AE250" i="16"/>
  <c r="AC250" i="16"/>
  <c r="AB250" i="16"/>
  <c r="AA250" i="16"/>
  <c r="Z250" i="16"/>
  <c r="Y250" i="16"/>
  <c r="X250" i="16"/>
  <c r="W250" i="16"/>
  <c r="V250" i="16"/>
  <c r="U250" i="16"/>
  <c r="T250" i="16"/>
  <c r="S250" i="16"/>
  <c r="R250" i="16"/>
  <c r="Q250" i="16"/>
  <c r="P250" i="16"/>
  <c r="O250" i="16"/>
  <c r="N250" i="16"/>
  <c r="M250" i="16"/>
  <c r="L250" i="16"/>
  <c r="K250" i="16"/>
  <c r="J250" i="16"/>
  <c r="I250" i="16"/>
  <c r="H250" i="16"/>
  <c r="G250" i="16"/>
  <c r="F250" i="16"/>
  <c r="AE249" i="16"/>
  <c r="AC249" i="16"/>
  <c r="AB249" i="16"/>
  <c r="AA249" i="16"/>
  <c r="Z249" i="16"/>
  <c r="Y249" i="16"/>
  <c r="X249" i="16"/>
  <c r="W249" i="16"/>
  <c r="V249" i="16"/>
  <c r="U249" i="16"/>
  <c r="T249" i="16"/>
  <c r="S249" i="16"/>
  <c r="R249" i="16"/>
  <c r="Q249" i="16"/>
  <c r="P249" i="16"/>
  <c r="O249" i="16"/>
  <c r="N249" i="16"/>
  <c r="M249" i="16"/>
  <c r="L249" i="16"/>
  <c r="K249" i="16"/>
  <c r="J249" i="16"/>
  <c r="I249" i="16"/>
  <c r="H249" i="16"/>
  <c r="G249" i="16"/>
  <c r="F249" i="16"/>
  <c r="AE248" i="16"/>
  <c r="AC248" i="16"/>
  <c r="AB248" i="16"/>
  <c r="AA248" i="16"/>
  <c r="Z248" i="16"/>
  <c r="Y248" i="16"/>
  <c r="X248" i="16"/>
  <c r="W248" i="16"/>
  <c r="V248" i="16"/>
  <c r="U248" i="16"/>
  <c r="T248" i="16"/>
  <c r="S248" i="16"/>
  <c r="R248" i="16"/>
  <c r="Q248" i="16"/>
  <c r="P248" i="16"/>
  <c r="O248" i="16"/>
  <c r="N248" i="16"/>
  <c r="M248" i="16"/>
  <c r="L248" i="16"/>
  <c r="K248" i="16"/>
  <c r="J248" i="16"/>
  <c r="I248" i="16"/>
  <c r="H248" i="16"/>
  <c r="G248" i="16"/>
  <c r="F248" i="16"/>
  <c r="AE247" i="16"/>
  <c r="AC247" i="16"/>
  <c r="AB247" i="16"/>
  <c r="AA247" i="16"/>
  <c r="Z247" i="16"/>
  <c r="Y247" i="16"/>
  <c r="X247" i="16"/>
  <c r="W247" i="16"/>
  <c r="V247" i="16"/>
  <c r="U247" i="16"/>
  <c r="T247" i="16"/>
  <c r="S247" i="16"/>
  <c r="R247" i="16"/>
  <c r="Q247" i="16"/>
  <c r="P247" i="16"/>
  <c r="O247" i="16"/>
  <c r="N247" i="16"/>
  <c r="M247" i="16"/>
  <c r="L247" i="16"/>
  <c r="K247" i="16"/>
  <c r="J247" i="16"/>
  <c r="I247" i="16"/>
  <c r="H247" i="16"/>
  <c r="G247" i="16"/>
  <c r="F247" i="16"/>
  <c r="AE246" i="16"/>
  <c r="AC246" i="16"/>
  <c r="AB246" i="16"/>
  <c r="AA246" i="16"/>
  <c r="Z246" i="16"/>
  <c r="Y246" i="16"/>
  <c r="X246" i="16"/>
  <c r="W246" i="16"/>
  <c r="V246" i="16"/>
  <c r="U246" i="16"/>
  <c r="T246" i="16"/>
  <c r="S246" i="16"/>
  <c r="R246" i="16"/>
  <c r="Q246" i="16"/>
  <c r="P246" i="16"/>
  <c r="O246" i="16"/>
  <c r="N246" i="16"/>
  <c r="M246" i="16"/>
  <c r="L246" i="16"/>
  <c r="K246" i="16"/>
  <c r="J246" i="16"/>
  <c r="I246" i="16"/>
  <c r="H246" i="16"/>
  <c r="G246" i="16"/>
  <c r="F246" i="16"/>
  <c r="AE245" i="16"/>
  <c r="AC245" i="16"/>
  <c r="AB245" i="16"/>
  <c r="AA245" i="16"/>
  <c r="Z245" i="16"/>
  <c r="Y245" i="16"/>
  <c r="X245" i="16"/>
  <c r="W245" i="16"/>
  <c r="V245" i="16"/>
  <c r="U245" i="16"/>
  <c r="T245" i="16"/>
  <c r="S245" i="16"/>
  <c r="R245" i="16"/>
  <c r="Q245" i="16"/>
  <c r="P245" i="16"/>
  <c r="O245" i="16"/>
  <c r="N245" i="16"/>
  <c r="M245" i="16"/>
  <c r="L245" i="16"/>
  <c r="K245" i="16"/>
  <c r="J245" i="16"/>
  <c r="I245" i="16"/>
  <c r="H245" i="16"/>
  <c r="G245" i="16"/>
  <c r="F245" i="16"/>
  <c r="AE244" i="16"/>
  <c r="AC244" i="16"/>
  <c r="AB244" i="16"/>
  <c r="AA244" i="16"/>
  <c r="Z244" i="16"/>
  <c r="Y244" i="16"/>
  <c r="X244" i="16"/>
  <c r="W244" i="16"/>
  <c r="V244" i="16"/>
  <c r="U244" i="16"/>
  <c r="T244" i="16"/>
  <c r="S244" i="16"/>
  <c r="R244" i="16"/>
  <c r="Q244" i="16"/>
  <c r="P244" i="16"/>
  <c r="O244" i="16"/>
  <c r="N244" i="16"/>
  <c r="M244" i="16"/>
  <c r="L244" i="16"/>
  <c r="K244" i="16"/>
  <c r="J244" i="16"/>
  <c r="I244" i="16"/>
  <c r="H244" i="16"/>
  <c r="G244" i="16"/>
  <c r="F244" i="16"/>
  <c r="AE243" i="16"/>
  <c r="AC243" i="16"/>
  <c r="AB243" i="16"/>
  <c r="AA243" i="16"/>
  <c r="Z243" i="16"/>
  <c r="Y243" i="16"/>
  <c r="X243" i="16"/>
  <c r="W243" i="16"/>
  <c r="V243" i="16"/>
  <c r="U243" i="16"/>
  <c r="T243" i="16"/>
  <c r="S243" i="16"/>
  <c r="R243" i="16"/>
  <c r="Q243" i="16"/>
  <c r="P243" i="16"/>
  <c r="O243" i="16"/>
  <c r="N243" i="16"/>
  <c r="M243" i="16"/>
  <c r="L243" i="16"/>
  <c r="K243" i="16"/>
  <c r="J243" i="16"/>
  <c r="I243" i="16"/>
  <c r="H243" i="16"/>
  <c r="G243" i="16"/>
  <c r="F243" i="16"/>
  <c r="AE242" i="16"/>
  <c r="AC242" i="16"/>
  <c r="AB242" i="16"/>
  <c r="AA242" i="16"/>
  <c r="Z242" i="16"/>
  <c r="Y242" i="16"/>
  <c r="X242" i="16"/>
  <c r="W242" i="16"/>
  <c r="V242" i="16"/>
  <c r="U242" i="16"/>
  <c r="T242" i="16"/>
  <c r="S242" i="16"/>
  <c r="R242" i="16"/>
  <c r="Q242" i="16"/>
  <c r="P242" i="16"/>
  <c r="O242" i="16"/>
  <c r="N242" i="16"/>
  <c r="M242" i="16"/>
  <c r="L242" i="16"/>
  <c r="K242" i="16"/>
  <c r="J242" i="16"/>
  <c r="I242" i="16"/>
  <c r="H242" i="16"/>
  <c r="G242" i="16"/>
  <c r="F242" i="16"/>
  <c r="AE241" i="16"/>
  <c r="AC241" i="16"/>
  <c r="AB241" i="16"/>
  <c r="AA241" i="16"/>
  <c r="Z241" i="16"/>
  <c r="Y241" i="16"/>
  <c r="X241" i="16"/>
  <c r="W241" i="16"/>
  <c r="V241" i="16"/>
  <c r="U241" i="16"/>
  <c r="T241" i="16"/>
  <c r="S241" i="16"/>
  <c r="R241" i="16"/>
  <c r="Q241" i="16"/>
  <c r="P241" i="16"/>
  <c r="O241" i="16"/>
  <c r="N241" i="16"/>
  <c r="M241" i="16"/>
  <c r="L241" i="16"/>
  <c r="K241" i="16"/>
  <c r="J241" i="16"/>
  <c r="I241" i="16"/>
  <c r="H241" i="16"/>
  <c r="G241" i="16"/>
  <c r="F241" i="16"/>
  <c r="AE240" i="16"/>
  <c r="AC240" i="16"/>
  <c r="AB240" i="16"/>
  <c r="AA240" i="16"/>
  <c r="Z240" i="16"/>
  <c r="Y240" i="16"/>
  <c r="X240" i="16"/>
  <c r="W240" i="16"/>
  <c r="V240" i="16"/>
  <c r="U240" i="16"/>
  <c r="T240" i="16"/>
  <c r="S240" i="16"/>
  <c r="R240" i="16"/>
  <c r="Q240" i="16"/>
  <c r="P240" i="16"/>
  <c r="O240" i="16"/>
  <c r="N240" i="16"/>
  <c r="M240" i="16"/>
  <c r="L240" i="16"/>
  <c r="K240" i="16"/>
  <c r="J240" i="16"/>
  <c r="I240" i="16"/>
  <c r="H240" i="16"/>
  <c r="G240" i="16"/>
  <c r="F240" i="16"/>
  <c r="AE239" i="16"/>
  <c r="AC239" i="16"/>
  <c r="AB239" i="16"/>
  <c r="AA239" i="16"/>
  <c r="Z239" i="16"/>
  <c r="Y239" i="16"/>
  <c r="X239" i="16"/>
  <c r="W239" i="16"/>
  <c r="V239" i="16"/>
  <c r="U239" i="16"/>
  <c r="T239" i="16"/>
  <c r="S239" i="16"/>
  <c r="R239" i="16"/>
  <c r="Q239" i="16"/>
  <c r="P239" i="16"/>
  <c r="O239" i="16"/>
  <c r="N239" i="16"/>
  <c r="M239" i="16"/>
  <c r="L239" i="16"/>
  <c r="K239" i="16"/>
  <c r="J239" i="16"/>
  <c r="I239" i="16"/>
  <c r="H239" i="16"/>
  <c r="G239" i="16"/>
  <c r="F239" i="16"/>
  <c r="AE238" i="16"/>
  <c r="AC238" i="16"/>
  <c r="AB238" i="16"/>
  <c r="AA238" i="16"/>
  <c r="Z238" i="16"/>
  <c r="Y238" i="16"/>
  <c r="X238" i="16"/>
  <c r="W238" i="16"/>
  <c r="V238" i="16"/>
  <c r="U238" i="16"/>
  <c r="T238" i="16"/>
  <c r="S238" i="16"/>
  <c r="R238" i="16"/>
  <c r="Q238" i="16"/>
  <c r="P238" i="16"/>
  <c r="O238" i="16"/>
  <c r="N238" i="16"/>
  <c r="M238" i="16"/>
  <c r="L238" i="16"/>
  <c r="K238" i="16"/>
  <c r="J238" i="16"/>
  <c r="I238" i="16"/>
  <c r="H238" i="16"/>
  <c r="G238" i="16"/>
  <c r="F238" i="16"/>
  <c r="AE237" i="16"/>
  <c r="AC237" i="16"/>
  <c r="AB237" i="16"/>
  <c r="AA237" i="16"/>
  <c r="Z237" i="16"/>
  <c r="Y237" i="16"/>
  <c r="X237" i="16"/>
  <c r="W237" i="16"/>
  <c r="V237" i="16"/>
  <c r="U237" i="16"/>
  <c r="T237" i="16"/>
  <c r="S237" i="16"/>
  <c r="R237" i="16"/>
  <c r="Q237" i="16"/>
  <c r="P237" i="16"/>
  <c r="O237" i="16"/>
  <c r="N237" i="16"/>
  <c r="M237" i="16"/>
  <c r="L237" i="16"/>
  <c r="K237" i="16"/>
  <c r="J237" i="16"/>
  <c r="I237" i="16"/>
  <c r="H237" i="16"/>
  <c r="G237" i="16"/>
  <c r="F237" i="16"/>
  <c r="AE236" i="16"/>
  <c r="AC236" i="16"/>
  <c r="AB236" i="16"/>
  <c r="AA236" i="16"/>
  <c r="Z236" i="16"/>
  <c r="Y236" i="16"/>
  <c r="X236" i="16"/>
  <c r="W236" i="16"/>
  <c r="V236" i="16"/>
  <c r="U236" i="16"/>
  <c r="T236" i="16"/>
  <c r="S236" i="16"/>
  <c r="R236" i="16"/>
  <c r="Q236" i="16"/>
  <c r="P236" i="16"/>
  <c r="O236" i="16"/>
  <c r="N236" i="16"/>
  <c r="M236" i="16"/>
  <c r="L236" i="16"/>
  <c r="K236" i="16"/>
  <c r="J236" i="16"/>
  <c r="I236" i="16"/>
  <c r="H236" i="16"/>
  <c r="G236" i="16"/>
  <c r="F236" i="16"/>
  <c r="AE235" i="16"/>
  <c r="AC235" i="16"/>
  <c r="AB235" i="16"/>
  <c r="AA235" i="16"/>
  <c r="Z235" i="16"/>
  <c r="Y235" i="16"/>
  <c r="X235" i="16"/>
  <c r="W235" i="16"/>
  <c r="V235" i="16"/>
  <c r="U235" i="16"/>
  <c r="T235" i="16"/>
  <c r="S235" i="16"/>
  <c r="R235" i="16"/>
  <c r="Q235" i="16"/>
  <c r="P235" i="16"/>
  <c r="O235" i="16"/>
  <c r="N235" i="16"/>
  <c r="M235" i="16"/>
  <c r="L235" i="16"/>
  <c r="K235" i="16"/>
  <c r="J235" i="16"/>
  <c r="I235" i="16"/>
  <c r="H235" i="16"/>
  <c r="G235" i="16"/>
  <c r="F235" i="16"/>
  <c r="AE234" i="16"/>
  <c r="AC234" i="16"/>
  <c r="AB234" i="16"/>
  <c r="AA234" i="16"/>
  <c r="Z234" i="16"/>
  <c r="Y234" i="16"/>
  <c r="X234" i="16"/>
  <c r="W234" i="16"/>
  <c r="V234" i="16"/>
  <c r="U234" i="16"/>
  <c r="T234" i="16"/>
  <c r="S234" i="16"/>
  <c r="R234" i="16"/>
  <c r="Q234" i="16"/>
  <c r="P234" i="16"/>
  <c r="O234" i="16"/>
  <c r="N234" i="16"/>
  <c r="M234" i="16"/>
  <c r="L234" i="16"/>
  <c r="K234" i="16"/>
  <c r="J234" i="16"/>
  <c r="I234" i="16"/>
  <c r="H234" i="16"/>
  <c r="G234" i="16"/>
  <c r="F234" i="16"/>
  <c r="AE233" i="16"/>
  <c r="AC233" i="16"/>
  <c r="AB233" i="16"/>
  <c r="AA233" i="16"/>
  <c r="Z233" i="16"/>
  <c r="Y233" i="16"/>
  <c r="X233" i="16"/>
  <c r="W233" i="16"/>
  <c r="V233" i="16"/>
  <c r="U233" i="16"/>
  <c r="T233" i="16"/>
  <c r="S233" i="16"/>
  <c r="R233" i="16"/>
  <c r="Q233" i="16"/>
  <c r="P233" i="16"/>
  <c r="O233" i="16"/>
  <c r="N233" i="16"/>
  <c r="M233" i="16"/>
  <c r="L233" i="16"/>
  <c r="K233" i="16"/>
  <c r="J233" i="16"/>
  <c r="I233" i="16"/>
  <c r="H233" i="16"/>
  <c r="G233" i="16"/>
  <c r="F233" i="16"/>
  <c r="AE232" i="16"/>
  <c r="AC232" i="16"/>
  <c r="AB232" i="16"/>
  <c r="AA232" i="16"/>
  <c r="Z232" i="16"/>
  <c r="Y232" i="16"/>
  <c r="X232" i="16"/>
  <c r="W232" i="16"/>
  <c r="V232" i="16"/>
  <c r="U232" i="16"/>
  <c r="T232" i="16"/>
  <c r="S232" i="16"/>
  <c r="R232" i="16"/>
  <c r="Q232" i="16"/>
  <c r="P232" i="16"/>
  <c r="O232" i="16"/>
  <c r="N232" i="16"/>
  <c r="M232" i="16"/>
  <c r="L232" i="16"/>
  <c r="K232" i="16"/>
  <c r="J232" i="16"/>
  <c r="I232" i="16"/>
  <c r="H232" i="16"/>
  <c r="G232" i="16"/>
  <c r="F232" i="16"/>
  <c r="AE231" i="16"/>
  <c r="AC231" i="16"/>
  <c r="AB231" i="16"/>
  <c r="AA231" i="16"/>
  <c r="Z231" i="16"/>
  <c r="Y231" i="16"/>
  <c r="X231" i="16"/>
  <c r="W231" i="16"/>
  <c r="V231" i="16"/>
  <c r="U231" i="16"/>
  <c r="T231" i="16"/>
  <c r="S231" i="16"/>
  <c r="R231" i="16"/>
  <c r="Q231" i="16"/>
  <c r="P231" i="16"/>
  <c r="O231" i="16"/>
  <c r="N231" i="16"/>
  <c r="M231" i="16"/>
  <c r="L231" i="16"/>
  <c r="K231" i="16"/>
  <c r="J231" i="16"/>
  <c r="I231" i="16"/>
  <c r="H231" i="16"/>
  <c r="G231" i="16"/>
  <c r="F231" i="16"/>
  <c r="AE230" i="16"/>
  <c r="AC230" i="16"/>
  <c r="AB230" i="16"/>
  <c r="AA230" i="16"/>
  <c r="Z230" i="16"/>
  <c r="Y230" i="16"/>
  <c r="X230" i="16"/>
  <c r="W230" i="16"/>
  <c r="V230" i="16"/>
  <c r="U230" i="16"/>
  <c r="T230" i="16"/>
  <c r="S230" i="16"/>
  <c r="R230" i="16"/>
  <c r="Q230" i="16"/>
  <c r="P230" i="16"/>
  <c r="O230" i="16"/>
  <c r="N230" i="16"/>
  <c r="M230" i="16"/>
  <c r="L230" i="16"/>
  <c r="K230" i="16"/>
  <c r="J230" i="16"/>
  <c r="I230" i="16"/>
  <c r="H230" i="16"/>
  <c r="G230" i="16"/>
  <c r="F230" i="16"/>
  <c r="AE229" i="16"/>
  <c r="AC229" i="16"/>
  <c r="AB229" i="16"/>
  <c r="AA229" i="16"/>
  <c r="Z229" i="16"/>
  <c r="Y229" i="16"/>
  <c r="X229" i="16"/>
  <c r="W229" i="16"/>
  <c r="V229" i="16"/>
  <c r="U229" i="16"/>
  <c r="T229" i="16"/>
  <c r="S229" i="16"/>
  <c r="R229" i="16"/>
  <c r="Q229" i="16"/>
  <c r="P229" i="16"/>
  <c r="O229" i="16"/>
  <c r="N229" i="16"/>
  <c r="M229" i="16"/>
  <c r="L229" i="16"/>
  <c r="K229" i="16"/>
  <c r="J229" i="16"/>
  <c r="I229" i="16"/>
  <c r="H229" i="16"/>
  <c r="G229" i="16"/>
  <c r="F229" i="16"/>
  <c r="AE228" i="16"/>
  <c r="AC228" i="16"/>
  <c r="AB228" i="16"/>
  <c r="AA228" i="16"/>
  <c r="Z228" i="16"/>
  <c r="Y228" i="16"/>
  <c r="X228" i="16"/>
  <c r="W228" i="16"/>
  <c r="V228" i="16"/>
  <c r="U228" i="16"/>
  <c r="T228" i="16"/>
  <c r="S228" i="16"/>
  <c r="R228" i="16"/>
  <c r="Q228" i="16"/>
  <c r="P228" i="16"/>
  <c r="O228" i="16"/>
  <c r="N228" i="16"/>
  <c r="M228" i="16"/>
  <c r="L228" i="16"/>
  <c r="K228" i="16"/>
  <c r="J228" i="16"/>
  <c r="I228" i="16"/>
  <c r="H228" i="16"/>
  <c r="G228" i="16"/>
  <c r="F228" i="16"/>
  <c r="AE227" i="16"/>
  <c r="AC227" i="16"/>
  <c r="AB227" i="16"/>
  <c r="AA227" i="16"/>
  <c r="Z227" i="16"/>
  <c r="Y227" i="16"/>
  <c r="X227" i="16"/>
  <c r="W227" i="16"/>
  <c r="V227" i="16"/>
  <c r="U227" i="16"/>
  <c r="T227" i="16"/>
  <c r="S227" i="16"/>
  <c r="R227" i="16"/>
  <c r="Q227" i="16"/>
  <c r="P227" i="16"/>
  <c r="O227" i="16"/>
  <c r="N227" i="16"/>
  <c r="M227" i="16"/>
  <c r="L227" i="16"/>
  <c r="K227" i="16"/>
  <c r="J227" i="16"/>
  <c r="I227" i="16"/>
  <c r="H227" i="16"/>
  <c r="G227" i="16"/>
  <c r="F227" i="16"/>
  <c r="AE226" i="16"/>
  <c r="AC226" i="16"/>
  <c r="AB226" i="16"/>
  <c r="AA226" i="16"/>
  <c r="Z226" i="16"/>
  <c r="Y226" i="16"/>
  <c r="X226" i="16"/>
  <c r="W226" i="16"/>
  <c r="V226" i="16"/>
  <c r="U226" i="16"/>
  <c r="T226" i="16"/>
  <c r="S226" i="16"/>
  <c r="R226" i="16"/>
  <c r="Q226" i="16"/>
  <c r="P226" i="16"/>
  <c r="O226" i="16"/>
  <c r="N226" i="16"/>
  <c r="M226" i="16"/>
  <c r="L226" i="16"/>
  <c r="K226" i="16"/>
  <c r="J226" i="16"/>
  <c r="I226" i="16"/>
  <c r="H226" i="16"/>
  <c r="G226" i="16"/>
  <c r="F226" i="16"/>
  <c r="AE225" i="16"/>
  <c r="AC225" i="16"/>
  <c r="AB225" i="16"/>
  <c r="AA225" i="16"/>
  <c r="Z225" i="16"/>
  <c r="Y225" i="16"/>
  <c r="X225" i="16"/>
  <c r="W225" i="16"/>
  <c r="V225" i="16"/>
  <c r="U225" i="16"/>
  <c r="T225" i="16"/>
  <c r="S225" i="16"/>
  <c r="R225" i="16"/>
  <c r="Q225" i="16"/>
  <c r="P225" i="16"/>
  <c r="O225" i="16"/>
  <c r="N225" i="16"/>
  <c r="M225" i="16"/>
  <c r="L225" i="16"/>
  <c r="K225" i="16"/>
  <c r="J225" i="16"/>
  <c r="I225" i="16"/>
  <c r="H225" i="16"/>
  <c r="G225" i="16"/>
  <c r="F225" i="16"/>
  <c r="AE224" i="16"/>
  <c r="AC224" i="16"/>
  <c r="AB224" i="16"/>
  <c r="AA224" i="16"/>
  <c r="Z224" i="16"/>
  <c r="Y224" i="16"/>
  <c r="X224" i="16"/>
  <c r="W224" i="16"/>
  <c r="V224" i="16"/>
  <c r="U224" i="16"/>
  <c r="T224" i="16"/>
  <c r="S224" i="16"/>
  <c r="R224" i="16"/>
  <c r="Q224" i="16"/>
  <c r="P224" i="16"/>
  <c r="O224" i="16"/>
  <c r="N224" i="16"/>
  <c r="M224" i="16"/>
  <c r="L224" i="16"/>
  <c r="K224" i="16"/>
  <c r="J224" i="16"/>
  <c r="I224" i="16"/>
  <c r="H224" i="16"/>
  <c r="G224" i="16"/>
  <c r="F224" i="16"/>
  <c r="AE223" i="16"/>
  <c r="AC223" i="16"/>
  <c r="AB223" i="16"/>
  <c r="AA223" i="16"/>
  <c r="Z223" i="16"/>
  <c r="Y223" i="16"/>
  <c r="X223" i="16"/>
  <c r="W223" i="16"/>
  <c r="V223" i="16"/>
  <c r="U223" i="16"/>
  <c r="T223" i="16"/>
  <c r="S223" i="16"/>
  <c r="R223" i="16"/>
  <c r="Q223" i="16"/>
  <c r="P223" i="16"/>
  <c r="O223" i="16"/>
  <c r="N223" i="16"/>
  <c r="M223" i="16"/>
  <c r="L223" i="16"/>
  <c r="K223" i="16"/>
  <c r="J223" i="16"/>
  <c r="I223" i="16"/>
  <c r="H223" i="16"/>
  <c r="G223" i="16"/>
  <c r="F223" i="16"/>
  <c r="AE222" i="16"/>
  <c r="AC222" i="16"/>
  <c r="AB222" i="16"/>
  <c r="AA222" i="16"/>
  <c r="Z222" i="16"/>
  <c r="Y222" i="16"/>
  <c r="X222" i="16"/>
  <c r="W222" i="16"/>
  <c r="V222" i="16"/>
  <c r="U222" i="16"/>
  <c r="T222" i="16"/>
  <c r="S222" i="16"/>
  <c r="R222" i="16"/>
  <c r="Q222" i="16"/>
  <c r="P222" i="16"/>
  <c r="O222" i="16"/>
  <c r="N222" i="16"/>
  <c r="M222" i="16"/>
  <c r="L222" i="16"/>
  <c r="K222" i="16"/>
  <c r="J222" i="16"/>
  <c r="I222" i="16"/>
  <c r="H222" i="16"/>
  <c r="G222" i="16"/>
  <c r="F222" i="16"/>
  <c r="AE221" i="16"/>
  <c r="AC221" i="16"/>
  <c r="AB221" i="16"/>
  <c r="AA221" i="16"/>
  <c r="Z221" i="16"/>
  <c r="Y221" i="16"/>
  <c r="X221" i="16"/>
  <c r="W221" i="16"/>
  <c r="V221" i="16"/>
  <c r="U221" i="16"/>
  <c r="T221" i="16"/>
  <c r="S221" i="16"/>
  <c r="R221" i="16"/>
  <c r="Q221" i="16"/>
  <c r="P221" i="16"/>
  <c r="O221" i="16"/>
  <c r="N221" i="16"/>
  <c r="M221" i="16"/>
  <c r="L221" i="16"/>
  <c r="K221" i="16"/>
  <c r="J221" i="16"/>
  <c r="I221" i="16"/>
  <c r="H221" i="16"/>
  <c r="G221" i="16"/>
  <c r="F221" i="16"/>
  <c r="AE220" i="16"/>
  <c r="AC220" i="16"/>
  <c r="AB220" i="16"/>
  <c r="AA220" i="16"/>
  <c r="Z220" i="16"/>
  <c r="Y220" i="16"/>
  <c r="X220" i="16"/>
  <c r="W220" i="16"/>
  <c r="V220" i="16"/>
  <c r="U220" i="16"/>
  <c r="T220" i="16"/>
  <c r="S220" i="16"/>
  <c r="R220" i="16"/>
  <c r="Q220" i="16"/>
  <c r="P220" i="16"/>
  <c r="O220" i="16"/>
  <c r="N220" i="16"/>
  <c r="M220" i="16"/>
  <c r="L220" i="16"/>
  <c r="K220" i="16"/>
  <c r="J220" i="16"/>
  <c r="I220" i="16"/>
  <c r="H220" i="16"/>
  <c r="G220" i="16"/>
  <c r="F220" i="16"/>
  <c r="AE219" i="16"/>
  <c r="AC219" i="16"/>
  <c r="AB219" i="16"/>
  <c r="AA219" i="16"/>
  <c r="Z219" i="16"/>
  <c r="Y219" i="16"/>
  <c r="X219" i="16"/>
  <c r="W219" i="16"/>
  <c r="V219" i="16"/>
  <c r="U219" i="16"/>
  <c r="T219" i="16"/>
  <c r="S219" i="16"/>
  <c r="R219" i="16"/>
  <c r="Q219" i="16"/>
  <c r="P219" i="16"/>
  <c r="O219" i="16"/>
  <c r="N219" i="16"/>
  <c r="M219" i="16"/>
  <c r="L219" i="16"/>
  <c r="K219" i="16"/>
  <c r="J219" i="16"/>
  <c r="I219" i="16"/>
  <c r="H219" i="16"/>
  <c r="G219" i="16"/>
  <c r="F219" i="16"/>
  <c r="AE218" i="16"/>
  <c r="AC218" i="16"/>
  <c r="AB218" i="16"/>
  <c r="AA218" i="16"/>
  <c r="Z218" i="16"/>
  <c r="Y218" i="16"/>
  <c r="X218" i="16"/>
  <c r="W218" i="16"/>
  <c r="V218" i="16"/>
  <c r="U218" i="16"/>
  <c r="T218" i="16"/>
  <c r="S218" i="16"/>
  <c r="R218" i="16"/>
  <c r="Q218" i="16"/>
  <c r="P218" i="16"/>
  <c r="O218" i="16"/>
  <c r="N218" i="16"/>
  <c r="M218" i="16"/>
  <c r="L218" i="16"/>
  <c r="K218" i="16"/>
  <c r="J218" i="16"/>
  <c r="I218" i="16"/>
  <c r="H218" i="16"/>
  <c r="G218" i="16"/>
  <c r="F218" i="16"/>
  <c r="AE217" i="16"/>
  <c r="AC217" i="16"/>
  <c r="AB217" i="16"/>
  <c r="AA217" i="16"/>
  <c r="Z217" i="16"/>
  <c r="Y217" i="16"/>
  <c r="X217" i="16"/>
  <c r="W217" i="16"/>
  <c r="V217" i="16"/>
  <c r="U217" i="16"/>
  <c r="T217" i="16"/>
  <c r="S217" i="16"/>
  <c r="R217" i="16"/>
  <c r="Q217" i="16"/>
  <c r="P217" i="16"/>
  <c r="O217" i="16"/>
  <c r="N217" i="16"/>
  <c r="M217" i="16"/>
  <c r="L217" i="16"/>
  <c r="K217" i="16"/>
  <c r="J217" i="16"/>
  <c r="I217" i="16"/>
  <c r="H217" i="16"/>
  <c r="G217" i="16"/>
  <c r="F217" i="16"/>
  <c r="AE216" i="16"/>
  <c r="AC216" i="16"/>
  <c r="AB216" i="16"/>
  <c r="AA216" i="16"/>
  <c r="Z216" i="16"/>
  <c r="Y216" i="16"/>
  <c r="X216" i="16"/>
  <c r="W216" i="16"/>
  <c r="V216" i="16"/>
  <c r="U216" i="16"/>
  <c r="T216" i="16"/>
  <c r="S216" i="16"/>
  <c r="R216" i="16"/>
  <c r="Q216" i="16"/>
  <c r="P216" i="16"/>
  <c r="O216" i="16"/>
  <c r="N216" i="16"/>
  <c r="M216" i="16"/>
  <c r="L216" i="16"/>
  <c r="K216" i="16"/>
  <c r="J216" i="16"/>
  <c r="I216" i="16"/>
  <c r="H216" i="16"/>
  <c r="G216" i="16"/>
  <c r="F216" i="16"/>
  <c r="AE215" i="16"/>
  <c r="AC215" i="16"/>
  <c r="AB215" i="16"/>
  <c r="AA215" i="16"/>
  <c r="Z215" i="16"/>
  <c r="Y215" i="16"/>
  <c r="X215" i="16"/>
  <c r="W215" i="16"/>
  <c r="V215" i="16"/>
  <c r="U215" i="16"/>
  <c r="T215" i="16"/>
  <c r="S215" i="16"/>
  <c r="R215" i="16"/>
  <c r="Q215" i="16"/>
  <c r="P215" i="16"/>
  <c r="O215" i="16"/>
  <c r="N215" i="16"/>
  <c r="M215" i="16"/>
  <c r="L215" i="16"/>
  <c r="K215" i="16"/>
  <c r="J215" i="16"/>
  <c r="I215" i="16"/>
  <c r="H215" i="16"/>
  <c r="G215" i="16"/>
  <c r="F215" i="16"/>
  <c r="AE214" i="16"/>
  <c r="AC214" i="16"/>
  <c r="AB214" i="16"/>
  <c r="AA214" i="16"/>
  <c r="Z214" i="16"/>
  <c r="Y214" i="16"/>
  <c r="X214" i="16"/>
  <c r="W214" i="16"/>
  <c r="V214" i="16"/>
  <c r="U214" i="16"/>
  <c r="T214" i="16"/>
  <c r="S214" i="16"/>
  <c r="R214" i="16"/>
  <c r="Q214" i="16"/>
  <c r="P214" i="16"/>
  <c r="O214" i="16"/>
  <c r="N214" i="16"/>
  <c r="M214" i="16"/>
  <c r="L214" i="16"/>
  <c r="K214" i="16"/>
  <c r="J214" i="16"/>
  <c r="I214" i="16"/>
  <c r="H214" i="16"/>
  <c r="G214" i="16"/>
  <c r="F214" i="16"/>
  <c r="AE213" i="16"/>
  <c r="AC213" i="16"/>
  <c r="AB213" i="16"/>
  <c r="AA213" i="16"/>
  <c r="Z213" i="16"/>
  <c r="Y213" i="16"/>
  <c r="X213" i="16"/>
  <c r="W213" i="16"/>
  <c r="V213" i="16"/>
  <c r="U213" i="16"/>
  <c r="T213" i="16"/>
  <c r="S213" i="16"/>
  <c r="R213" i="16"/>
  <c r="Q213" i="16"/>
  <c r="P213" i="16"/>
  <c r="O213" i="16"/>
  <c r="N213" i="16"/>
  <c r="M213" i="16"/>
  <c r="L213" i="16"/>
  <c r="K213" i="16"/>
  <c r="J213" i="16"/>
  <c r="I213" i="16"/>
  <c r="H213" i="16"/>
  <c r="G213" i="16"/>
  <c r="F213" i="16"/>
  <c r="AE212" i="16"/>
  <c r="AC212" i="16"/>
  <c r="AB212" i="16"/>
  <c r="AA212" i="16"/>
  <c r="Z212" i="16"/>
  <c r="Y212" i="16"/>
  <c r="X212" i="16"/>
  <c r="W212" i="16"/>
  <c r="V212" i="16"/>
  <c r="U212" i="16"/>
  <c r="T212" i="16"/>
  <c r="S212" i="16"/>
  <c r="R212" i="16"/>
  <c r="Q212" i="16"/>
  <c r="P212" i="16"/>
  <c r="O212" i="16"/>
  <c r="N212" i="16"/>
  <c r="M212" i="16"/>
  <c r="L212" i="16"/>
  <c r="K212" i="16"/>
  <c r="J212" i="16"/>
  <c r="I212" i="16"/>
  <c r="H212" i="16"/>
  <c r="G212" i="16"/>
  <c r="F212" i="16"/>
  <c r="AE211" i="16"/>
  <c r="AC211" i="16"/>
  <c r="AB211" i="16"/>
  <c r="AA211" i="16"/>
  <c r="Z211" i="16"/>
  <c r="Y211" i="16"/>
  <c r="X211" i="16"/>
  <c r="W211" i="16"/>
  <c r="V211" i="16"/>
  <c r="U211" i="16"/>
  <c r="T211" i="16"/>
  <c r="S211" i="16"/>
  <c r="R211" i="16"/>
  <c r="Q211" i="16"/>
  <c r="P211" i="16"/>
  <c r="O211" i="16"/>
  <c r="N211" i="16"/>
  <c r="M211" i="16"/>
  <c r="L211" i="16"/>
  <c r="K211" i="16"/>
  <c r="J211" i="16"/>
  <c r="I211" i="16"/>
  <c r="H211" i="16"/>
  <c r="G211" i="16"/>
  <c r="F211" i="16"/>
  <c r="AE210" i="16"/>
  <c r="AC210" i="16"/>
  <c r="AB210" i="16"/>
  <c r="AA210" i="16"/>
  <c r="Z210" i="16"/>
  <c r="Y210" i="16"/>
  <c r="X210" i="16"/>
  <c r="W210" i="16"/>
  <c r="V210" i="16"/>
  <c r="U210" i="16"/>
  <c r="T210" i="16"/>
  <c r="S210" i="16"/>
  <c r="R210" i="16"/>
  <c r="Q210" i="16"/>
  <c r="P210" i="16"/>
  <c r="O210" i="16"/>
  <c r="N210" i="16"/>
  <c r="M210" i="16"/>
  <c r="L210" i="16"/>
  <c r="K210" i="16"/>
  <c r="J210" i="16"/>
  <c r="I210" i="16"/>
  <c r="H210" i="16"/>
  <c r="G210" i="16"/>
  <c r="F210" i="16"/>
  <c r="AE209" i="16"/>
  <c r="AC209" i="16"/>
  <c r="AB209" i="16"/>
  <c r="AA209" i="16"/>
  <c r="Z209" i="16"/>
  <c r="Y209" i="16"/>
  <c r="X209" i="16"/>
  <c r="W209" i="16"/>
  <c r="V209" i="16"/>
  <c r="U209" i="16"/>
  <c r="T209" i="16"/>
  <c r="S209" i="16"/>
  <c r="R209" i="16"/>
  <c r="Q209" i="16"/>
  <c r="P209" i="16"/>
  <c r="O209" i="16"/>
  <c r="N209" i="16"/>
  <c r="M209" i="16"/>
  <c r="L209" i="16"/>
  <c r="K209" i="16"/>
  <c r="J209" i="16"/>
  <c r="I209" i="16"/>
  <c r="H209" i="16"/>
  <c r="G209" i="16"/>
  <c r="F209" i="16"/>
  <c r="AE208" i="16"/>
  <c r="AC208" i="16"/>
  <c r="AB208" i="16"/>
  <c r="AA208" i="16"/>
  <c r="Z208" i="16"/>
  <c r="Y208" i="16"/>
  <c r="X208" i="16"/>
  <c r="W208" i="16"/>
  <c r="V208" i="16"/>
  <c r="U208" i="16"/>
  <c r="T208" i="16"/>
  <c r="S208" i="16"/>
  <c r="R208" i="16"/>
  <c r="Q208" i="16"/>
  <c r="P208" i="16"/>
  <c r="O208" i="16"/>
  <c r="N208" i="16"/>
  <c r="M208" i="16"/>
  <c r="L208" i="16"/>
  <c r="K208" i="16"/>
  <c r="J208" i="16"/>
  <c r="I208" i="16"/>
  <c r="H208" i="16"/>
  <c r="G208" i="16"/>
  <c r="F208" i="16"/>
  <c r="AE207" i="16"/>
  <c r="AC207" i="16"/>
  <c r="AB207" i="16"/>
  <c r="AA207" i="16"/>
  <c r="Z207" i="16"/>
  <c r="Y207" i="16"/>
  <c r="X207" i="16"/>
  <c r="W207" i="16"/>
  <c r="V207" i="16"/>
  <c r="U207" i="16"/>
  <c r="T207" i="16"/>
  <c r="S207" i="16"/>
  <c r="R207" i="16"/>
  <c r="Q207" i="16"/>
  <c r="P207" i="16"/>
  <c r="O207" i="16"/>
  <c r="N207" i="16"/>
  <c r="M207" i="16"/>
  <c r="L207" i="16"/>
  <c r="K207" i="16"/>
  <c r="J207" i="16"/>
  <c r="I207" i="16"/>
  <c r="H207" i="16"/>
  <c r="G207" i="16"/>
  <c r="F207" i="16"/>
  <c r="AE206" i="16"/>
  <c r="AC206" i="16"/>
  <c r="AB206" i="16"/>
  <c r="AA206" i="16"/>
  <c r="Z206" i="16"/>
  <c r="Y206" i="16"/>
  <c r="X206" i="16"/>
  <c r="W206" i="16"/>
  <c r="V206" i="16"/>
  <c r="U206" i="16"/>
  <c r="T206" i="16"/>
  <c r="S206" i="16"/>
  <c r="R206" i="16"/>
  <c r="Q206" i="16"/>
  <c r="P206" i="16"/>
  <c r="O206" i="16"/>
  <c r="N206" i="16"/>
  <c r="M206" i="16"/>
  <c r="L206" i="16"/>
  <c r="K206" i="16"/>
  <c r="J206" i="16"/>
  <c r="I206" i="16"/>
  <c r="H206" i="16"/>
  <c r="G206" i="16"/>
  <c r="F206" i="16"/>
  <c r="AE205" i="16"/>
  <c r="AC205" i="16"/>
  <c r="AB205" i="16"/>
  <c r="AA205" i="16"/>
  <c r="Z205" i="16"/>
  <c r="Y205" i="16"/>
  <c r="X205" i="16"/>
  <c r="W205" i="16"/>
  <c r="V205" i="16"/>
  <c r="U205" i="16"/>
  <c r="T205" i="16"/>
  <c r="S205" i="16"/>
  <c r="R205" i="16"/>
  <c r="Q205" i="16"/>
  <c r="P205" i="16"/>
  <c r="O205" i="16"/>
  <c r="N205" i="16"/>
  <c r="M205" i="16"/>
  <c r="L205" i="16"/>
  <c r="K205" i="16"/>
  <c r="J205" i="16"/>
  <c r="I205" i="16"/>
  <c r="H205" i="16"/>
  <c r="G205" i="16"/>
  <c r="F205" i="16"/>
  <c r="AE204" i="16"/>
  <c r="AC204" i="16"/>
  <c r="AB204" i="16"/>
  <c r="AA204" i="16"/>
  <c r="Z204" i="16"/>
  <c r="Y204" i="16"/>
  <c r="X204" i="16"/>
  <c r="W204" i="16"/>
  <c r="V204" i="16"/>
  <c r="U204" i="16"/>
  <c r="T204" i="16"/>
  <c r="S204" i="16"/>
  <c r="R204" i="16"/>
  <c r="Q204" i="16"/>
  <c r="P204" i="16"/>
  <c r="O204" i="16"/>
  <c r="N204" i="16"/>
  <c r="M204" i="16"/>
  <c r="L204" i="16"/>
  <c r="K204" i="16"/>
  <c r="J204" i="16"/>
  <c r="I204" i="16"/>
  <c r="H204" i="16"/>
  <c r="G204" i="16"/>
  <c r="F204" i="16"/>
  <c r="AE203" i="16"/>
  <c r="AC203" i="16"/>
  <c r="AB203" i="16"/>
  <c r="AA203" i="16"/>
  <c r="Z203" i="16"/>
  <c r="Y203" i="16"/>
  <c r="X203" i="16"/>
  <c r="W203" i="16"/>
  <c r="V203" i="16"/>
  <c r="U203" i="16"/>
  <c r="T203" i="16"/>
  <c r="S203" i="16"/>
  <c r="R203" i="16"/>
  <c r="Q203" i="16"/>
  <c r="P203" i="16"/>
  <c r="O203" i="16"/>
  <c r="N203" i="16"/>
  <c r="M203" i="16"/>
  <c r="L203" i="16"/>
  <c r="K203" i="16"/>
  <c r="J203" i="16"/>
  <c r="I203" i="16"/>
  <c r="H203" i="16"/>
  <c r="G203" i="16"/>
  <c r="F203" i="16"/>
  <c r="AE202" i="16"/>
  <c r="AC202" i="16"/>
  <c r="AB202" i="16"/>
  <c r="AA202" i="16"/>
  <c r="Z202" i="16"/>
  <c r="Y202" i="16"/>
  <c r="X202" i="16"/>
  <c r="W202" i="16"/>
  <c r="V202" i="16"/>
  <c r="U202" i="16"/>
  <c r="T202" i="16"/>
  <c r="S202" i="16"/>
  <c r="R202" i="16"/>
  <c r="Q202" i="16"/>
  <c r="P202" i="16"/>
  <c r="O202" i="16"/>
  <c r="N202" i="16"/>
  <c r="M202" i="16"/>
  <c r="L202" i="16"/>
  <c r="K202" i="16"/>
  <c r="J202" i="16"/>
  <c r="I202" i="16"/>
  <c r="H202" i="16"/>
  <c r="G202" i="16"/>
  <c r="F202" i="16"/>
  <c r="AE201" i="16"/>
  <c r="AC201" i="16"/>
  <c r="AB201" i="16"/>
  <c r="AA201" i="16"/>
  <c r="Z201" i="16"/>
  <c r="Y201" i="16"/>
  <c r="X201" i="16"/>
  <c r="W201" i="16"/>
  <c r="V201" i="16"/>
  <c r="U201" i="16"/>
  <c r="T201" i="16"/>
  <c r="S201" i="16"/>
  <c r="R201" i="16"/>
  <c r="Q201" i="16"/>
  <c r="P201" i="16"/>
  <c r="O201" i="16"/>
  <c r="N201" i="16"/>
  <c r="M201" i="16"/>
  <c r="L201" i="16"/>
  <c r="K201" i="16"/>
  <c r="J201" i="16"/>
  <c r="I201" i="16"/>
  <c r="H201" i="16"/>
  <c r="G201" i="16"/>
  <c r="F201" i="16"/>
  <c r="AE200" i="16"/>
  <c r="AC200" i="16"/>
  <c r="AB200" i="16"/>
  <c r="AA200" i="16"/>
  <c r="Z200" i="16"/>
  <c r="Y200" i="16"/>
  <c r="X200" i="16"/>
  <c r="W200" i="16"/>
  <c r="V200" i="16"/>
  <c r="U200" i="16"/>
  <c r="T200" i="16"/>
  <c r="S200" i="16"/>
  <c r="R200" i="16"/>
  <c r="Q200" i="16"/>
  <c r="P200" i="16"/>
  <c r="O200" i="16"/>
  <c r="N200" i="16"/>
  <c r="M200" i="16"/>
  <c r="L200" i="16"/>
  <c r="K200" i="16"/>
  <c r="J200" i="16"/>
  <c r="I200" i="16"/>
  <c r="H200" i="16"/>
  <c r="G200" i="16"/>
  <c r="F200" i="16"/>
  <c r="AE199" i="16"/>
  <c r="AC199" i="16"/>
  <c r="AB199" i="16"/>
  <c r="AA199" i="16"/>
  <c r="Z199" i="16"/>
  <c r="Y199" i="16"/>
  <c r="X199" i="16"/>
  <c r="W199" i="16"/>
  <c r="V199" i="16"/>
  <c r="U199" i="16"/>
  <c r="T199" i="16"/>
  <c r="S199" i="16"/>
  <c r="R199" i="16"/>
  <c r="Q199" i="16"/>
  <c r="P199" i="16"/>
  <c r="O199" i="16"/>
  <c r="N199" i="16"/>
  <c r="M199" i="16"/>
  <c r="L199" i="16"/>
  <c r="K199" i="16"/>
  <c r="J199" i="16"/>
  <c r="I199" i="16"/>
  <c r="H199" i="16"/>
  <c r="G199" i="16"/>
  <c r="F199" i="16"/>
  <c r="AE198" i="16"/>
  <c r="AC198" i="16"/>
  <c r="AB198" i="16"/>
  <c r="AA198" i="16"/>
  <c r="Z198" i="16"/>
  <c r="Y198" i="16"/>
  <c r="X198" i="16"/>
  <c r="W198" i="16"/>
  <c r="V198" i="16"/>
  <c r="U198" i="16"/>
  <c r="T198" i="16"/>
  <c r="S198" i="16"/>
  <c r="R198" i="16"/>
  <c r="Q198" i="16"/>
  <c r="P198" i="16"/>
  <c r="O198" i="16"/>
  <c r="N198" i="16"/>
  <c r="M198" i="16"/>
  <c r="L198" i="16"/>
  <c r="K198" i="16"/>
  <c r="J198" i="16"/>
  <c r="I198" i="16"/>
  <c r="H198" i="16"/>
  <c r="G198" i="16"/>
  <c r="F198" i="16"/>
  <c r="AE197" i="16"/>
  <c r="AC197" i="16"/>
  <c r="AB197" i="16"/>
  <c r="AA197" i="16"/>
  <c r="Z197" i="16"/>
  <c r="Y197" i="16"/>
  <c r="X197" i="16"/>
  <c r="W197" i="16"/>
  <c r="V197" i="16"/>
  <c r="U197" i="16"/>
  <c r="T197" i="16"/>
  <c r="S197" i="16"/>
  <c r="R197" i="16"/>
  <c r="Q197" i="16"/>
  <c r="P197" i="16"/>
  <c r="O197" i="16"/>
  <c r="N197" i="16"/>
  <c r="M197" i="16"/>
  <c r="L197" i="16"/>
  <c r="K197" i="16"/>
  <c r="J197" i="16"/>
  <c r="I197" i="16"/>
  <c r="H197" i="16"/>
  <c r="G197" i="16"/>
  <c r="F197" i="16"/>
  <c r="AE196" i="16"/>
  <c r="AC196" i="16"/>
  <c r="AB196" i="16"/>
  <c r="AA196" i="16"/>
  <c r="Z196" i="16"/>
  <c r="Y196" i="16"/>
  <c r="X196" i="16"/>
  <c r="W196" i="16"/>
  <c r="V196" i="16"/>
  <c r="U196" i="16"/>
  <c r="T196" i="16"/>
  <c r="S196" i="16"/>
  <c r="R196" i="16"/>
  <c r="Q196" i="16"/>
  <c r="P196" i="16"/>
  <c r="O196" i="16"/>
  <c r="N196" i="16"/>
  <c r="M196" i="16"/>
  <c r="L196" i="16"/>
  <c r="K196" i="16"/>
  <c r="J196" i="16"/>
  <c r="I196" i="16"/>
  <c r="H196" i="16"/>
  <c r="G196" i="16"/>
  <c r="F196" i="16"/>
  <c r="AE195" i="16"/>
  <c r="AC195" i="16"/>
  <c r="AB195" i="16"/>
  <c r="AA195" i="16"/>
  <c r="Z195" i="16"/>
  <c r="Y195" i="16"/>
  <c r="X195" i="16"/>
  <c r="W195" i="16"/>
  <c r="V195" i="16"/>
  <c r="U195" i="16"/>
  <c r="T195" i="16"/>
  <c r="S195" i="16"/>
  <c r="R195" i="16"/>
  <c r="Q195" i="16"/>
  <c r="P195" i="16"/>
  <c r="O195" i="16"/>
  <c r="N195" i="16"/>
  <c r="M195" i="16"/>
  <c r="L195" i="16"/>
  <c r="K195" i="16"/>
  <c r="J195" i="16"/>
  <c r="I195" i="16"/>
  <c r="H195" i="16"/>
  <c r="G195" i="16"/>
  <c r="F195" i="16"/>
  <c r="AE194" i="16"/>
  <c r="AC194" i="16"/>
  <c r="AB194" i="16"/>
  <c r="AA194" i="16"/>
  <c r="Z194" i="16"/>
  <c r="Y194" i="16"/>
  <c r="X194" i="16"/>
  <c r="W194" i="16"/>
  <c r="V194" i="16"/>
  <c r="U194" i="16"/>
  <c r="T194" i="16"/>
  <c r="S194" i="16"/>
  <c r="R194" i="16"/>
  <c r="Q194" i="16"/>
  <c r="P194" i="16"/>
  <c r="O194" i="16"/>
  <c r="N194" i="16"/>
  <c r="M194" i="16"/>
  <c r="L194" i="16"/>
  <c r="K194" i="16"/>
  <c r="J194" i="16"/>
  <c r="I194" i="16"/>
  <c r="H194" i="16"/>
  <c r="G194" i="16"/>
  <c r="F194" i="16"/>
  <c r="AE193" i="16"/>
  <c r="AC193" i="16"/>
  <c r="AB193" i="16"/>
  <c r="AA193" i="16"/>
  <c r="Z193" i="16"/>
  <c r="Y193" i="16"/>
  <c r="X193" i="16"/>
  <c r="W193" i="16"/>
  <c r="V193" i="16"/>
  <c r="U193" i="16"/>
  <c r="T193" i="16"/>
  <c r="S193" i="16"/>
  <c r="R193" i="16"/>
  <c r="Q193" i="16"/>
  <c r="P193" i="16"/>
  <c r="O193" i="16"/>
  <c r="N193" i="16"/>
  <c r="M193" i="16"/>
  <c r="L193" i="16"/>
  <c r="K193" i="16"/>
  <c r="J193" i="16"/>
  <c r="I193" i="16"/>
  <c r="H193" i="16"/>
  <c r="G193" i="16"/>
  <c r="F193" i="16"/>
  <c r="AE192" i="16"/>
  <c r="AC192" i="16"/>
  <c r="AB192" i="16"/>
  <c r="AA192" i="16"/>
  <c r="Z192" i="16"/>
  <c r="Y192" i="16"/>
  <c r="X192" i="16"/>
  <c r="W192" i="16"/>
  <c r="V192" i="16"/>
  <c r="U192" i="16"/>
  <c r="T192" i="16"/>
  <c r="S192" i="16"/>
  <c r="R192" i="16"/>
  <c r="Q192" i="16"/>
  <c r="P192" i="16"/>
  <c r="O192" i="16"/>
  <c r="N192" i="16"/>
  <c r="M192" i="16"/>
  <c r="L192" i="16"/>
  <c r="K192" i="16"/>
  <c r="J192" i="16"/>
  <c r="I192" i="16"/>
  <c r="H192" i="16"/>
  <c r="G192" i="16"/>
  <c r="F192" i="16"/>
  <c r="AE191" i="16"/>
  <c r="AC191" i="16"/>
  <c r="AB191" i="16"/>
  <c r="AA191" i="16"/>
  <c r="Z191" i="16"/>
  <c r="Y191" i="16"/>
  <c r="X191" i="16"/>
  <c r="W191" i="16"/>
  <c r="V191" i="16"/>
  <c r="U191" i="16"/>
  <c r="T191" i="16"/>
  <c r="S191" i="16"/>
  <c r="R191" i="16"/>
  <c r="Q191" i="16"/>
  <c r="P191" i="16"/>
  <c r="O191" i="16"/>
  <c r="N191" i="16"/>
  <c r="M191" i="16"/>
  <c r="L191" i="16"/>
  <c r="K191" i="16"/>
  <c r="J191" i="16"/>
  <c r="I191" i="16"/>
  <c r="H191" i="16"/>
  <c r="G191" i="16"/>
  <c r="F191" i="16"/>
  <c r="AE190" i="16"/>
  <c r="AC190" i="16"/>
  <c r="AB190" i="16"/>
  <c r="AA190" i="16"/>
  <c r="Z190" i="16"/>
  <c r="Y190" i="16"/>
  <c r="X190" i="16"/>
  <c r="W190" i="16"/>
  <c r="V190" i="16"/>
  <c r="U190" i="16"/>
  <c r="T190" i="16"/>
  <c r="S190" i="16"/>
  <c r="R190" i="16"/>
  <c r="Q190" i="16"/>
  <c r="P190" i="16"/>
  <c r="O190" i="16"/>
  <c r="N190" i="16"/>
  <c r="M190" i="16"/>
  <c r="L190" i="16"/>
  <c r="K190" i="16"/>
  <c r="J190" i="16"/>
  <c r="I190" i="16"/>
  <c r="H190" i="16"/>
  <c r="G190" i="16"/>
  <c r="F190" i="16"/>
  <c r="AE189" i="16"/>
  <c r="AC189" i="16"/>
  <c r="AB189" i="16"/>
  <c r="AA189" i="16"/>
  <c r="Z189" i="16"/>
  <c r="Y189" i="16"/>
  <c r="X189" i="16"/>
  <c r="W189" i="16"/>
  <c r="V189" i="16"/>
  <c r="U189" i="16"/>
  <c r="T189" i="16"/>
  <c r="S189" i="16"/>
  <c r="R189" i="16"/>
  <c r="Q189" i="16"/>
  <c r="P189" i="16"/>
  <c r="O189" i="16"/>
  <c r="N189" i="16"/>
  <c r="M189" i="16"/>
  <c r="L189" i="16"/>
  <c r="K189" i="16"/>
  <c r="J189" i="16"/>
  <c r="I189" i="16"/>
  <c r="H189" i="16"/>
  <c r="G189" i="16"/>
  <c r="F189" i="16"/>
  <c r="AE188" i="16"/>
  <c r="AC188" i="16"/>
  <c r="AB188" i="16"/>
  <c r="AA188" i="16"/>
  <c r="Z188" i="16"/>
  <c r="Y188" i="16"/>
  <c r="X188" i="16"/>
  <c r="W188" i="16"/>
  <c r="V188" i="16"/>
  <c r="U188" i="16"/>
  <c r="T188" i="16"/>
  <c r="S188" i="16"/>
  <c r="R188" i="16"/>
  <c r="Q188" i="16"/>
  <c r="P188" i="16"/>
  <c r="O188" i="16"/>
  <c r="N188" i="16"/>
  <c r="M188" i="16"/>
  <c r="L188" i="16"/>
  <c r="K188" i="16"/>
  <c r="J188" i="16"/>
  <c r="I188" i="16"/>
  <c r="H188" i="16"/>
  <c r="G188" i="16"/>
  <c r="F188" i="16"/>
  <c r="AE187" i="16"/>
  <c r="AC187" i="16"/>
  <c r="AB187" i="16"/>
  <c r="AA187" i="16"/>
  <c r="Z187" i="16"/>
  <c r="Y187" i="16"/>
  <c r="X187" i="16"/>
  <c r="W187" i="16"/>
  <c r="V187" i="16"/>
  <c r="U187" i="16"/>
  <c r="T187" i="16"/>
  <c r="S187" i="16"/>
  <c r="R187" i="16"/>
  <c r="Q187" i="16"/>
  <c r="P187" i="16"/>
  <c r="O187" i="16"/>
  <c r="N187" i="16"/>
  <c r="M187" i="16"/>
  <c r="L187" i="16"/>
  <c r="K187" i="16"/>
  <c r="J187" i="16"/>
  <c r="I187" i="16"/>
  <c r="H187" i="16"/>
  <c r="G187" i="16"/>
  <c r="F187" i="16"/>
  <c r="AE186" i="16"/>
  <c r="AC186" i="16"/>
  <c r="AB186" i="16"/>
  <c r="AA186" i="16"/>
  <c r="Z186" i="16"/>
  <c r="Y186" i="16"/>
  <c r="X186" i="16"/>
  <c r="W186" i="16"/>
  <c r="V186" i="16"/>
  <c r="U186" i="16"/>
  <c r="T186" i="16"/>
  <c r="S186" i="16"/>
  <c r="R186" i="16"/>
  <c r="Q186" i="16"/>
  <c r="P186" i="16"/>
  <c r="O186" i="16"/>
  <c r="N186" i="16"/>
  <c r="M186" i="16"/>
  <c r="L186" i="16"/>
  <c r="K186" i="16"/>
  <c r="J186" i="16"/>
  <c r="I186" i="16"/>
  <c r="H186" i="16"/>
  <c r="G186" i="16"/>
  <c r="F186" i="16"/>
  <c r="AE185" i="16"/>
  <c r="AC185" i="16"/>
  <c r="AB185" i="16"/>
  <c r="AA185" i="16"/>
  <c r="Z185" i="16"/>
  <c r="Y185" i="16"/>
  <c r="X185" i="16"/>
  <c r="W185" i="16"/>
  <c r="V185" i="16"/>
  <c r="U185" i="16"/>
  <c r="T185" i="16"/>
  <c r="S185" i="16"/>
  <c r="R185" i="16"/>
  <c r="Q185" i="16"/>
  <c r="P185" i="16"/>
  <c r="O185" i="16"/>
  <c r="N185" i="16"/>
  <c r="M185" i="16"/>
  <c r="L185" i="16"/>
  <c r="K185" i="16"/>
  <c r="J185" i="16"/>
  <c r="I185" i="16"/>
  <c r="H185" i="16"/>
  <c r="G185" i="16"/>
  <c r="F185" i="16"/>
  <c r="AE184" i="16"/>
  <c r="AC184" i="16"/>
  <c r="AB184" i="16"/>
  <c r="AA184" i="16"/>
  <c r="Z184" i="16"/>
  <c r="Y184" i="16"/>
  <c r="X184" i="16"/>
  <c r="W184" i="16"/>
  <c r="V184" i="16"/>
  <c r="U184" i="16"/>
  <c r="T184" i="16"/>
  <c r="S184" i="16"/>
  <c r="R184" i="16"/>
  <c r="Q184" i="16"/>
  <c r="P184" i="16"/>
  <c r="O184" i="16"/>
  <c r="N184" i="16"/>
  <c r="M184" i="16"/>
  <c r="L184" i="16"/>
  <c r="K184" i="16"/>
  <c r="J184" i="16"/>
  <c r="I184" i="16"/>
  <c r="H184" i="16"/>
  <c r="G184" i="16"/>
  <c r="F184" i="16"/>
  <c r="AE183" i="16"/>
  <c r="AC183" i="16"/>
  <c r="AB183" i="16"/>
  <c r="AA183" i="16"/>
  <c r="Z183" i="16"/>
  <c r="Y183" i="16"/>
  <c r="X183" i="16"/>
  <c r="W183" i="16"/>
  <c r="V183" i="16"/>
  <c r="U183" i="16"/>
  <c r="T183" i="16"/>
  <c r="S183" i="16"/>
  <c r="R183" i="16"/>
  <c r="Q183" i="16"/>
  <c r="P183" i="16"/>
  <c r="O183" i="16"/>
  <c r="N183" i="16"/>
  <c r="M183" i="16"/>
  <c r="L183" i="16"/>
  <c r="K183" i="16"/>
  <c r="J183" i="16"/>
  <c r="I183" i="16"/>
  <c r="H183" i="16"/>
  <c r="G183" i="16"/>
  <c r="F183" i="16"/>
  <c r="AE182" i="16"/>
  <c r="AC182" i="16"/>
  <c r="AB182" i="16"/>
  <c r="AA182" i="16"/>
  <c r="Z182" i="16"/>
  <c r="Y182" i="16"/>
  <c r="X182" i="16"/>
  <c r="W182" i="16"/>
  <c r="V182" i="16"/>
  <c r="U182" i="16"/>
  <c r="T182" i="16"/>
  <c r="S182" i="16"/>
  <c r="R182" i="16"/>
  <c r="Q182" i="16"/>
  <c r="P182" i="16"/>
  <c r="O182" i="16"/>
  <c r="N182" i="16"/>
  <c r="M182" i="16"/>
  <c r="L182" i="16"/>
  <c r="K182" i="16"/>
  <c r="J182" i="16"/>
  <c r="I182" i="16"/>
  <c r="H182" i="16"/>
  <c r="G182" i="16"/>
  <c r="F182" i="16"/>
  <c r="AE181" i="16"/>
  <c r="AC181" i="16"/>
  <c r="AB181" i="16"/>
  <c r="AA181" i="16"/>
  <c r="Z181" i="16"/>
  <c r="Y181" i="16"/>
  <c r="X181" i="16"/>
  <c r="W181" i="16"/>
  <c r="V181" i="16"/>
  <c r="U181" i="16"/>
  <c r="T181" i="16"/>
  <c r="S181" i="16"/>
  <c r="R181" i="16"/>
  <c r="Q181" i="16"/>
  <c r="P181" i="16"/>
  <c r="O181" i="16"/>
  <c r="N181" i="16"/>
  <c r="M181" i="16"/>
  <c r="L181" i="16"/>
  <c r="K181" i="16"/>
  <c r="J181" i="16"/>
  <c r="I181" i="16"/>
  <c r="H181" i="16"/>
  <c r="G181" i="16"/>
  <c r="F181" i="16"/>
  <c r="AE180" i="16"/>
  <c r="AC180" i="16"/>
  <c r="AB180" i="16"/>
  <c r="AA180" i="16"/>
  <c r="Z180" i="16"/>
  <c r="Y180" i="16"/>
  <c r="X180" i="16"/>
  <c r="W180" i="16"/>
  <c r="V180" i="16"/>
  <c r="U180" i="16"/>
  <c r="T180" i="16"/>
  <c r="S180" i="16"/>
  <c r="R180" i="16"/>
  <c r="Q180" i="16"/>
  <c r="P180" i="16"/>
  <c r="O180" i="16"/>
  <c r="N180" i="16"/>
  <c r="M180" i="16"/>
  <c r="L180" i="16"/>
  <c r="K180" i="16"/>
  <c r="J180" i="16"/>
  <c r="I180" i="16"/>
  <c r="H180" i="16"/>
  <c r="G180" i="16"/>
  <c r="F180" i="16"/>
  <c r="AE179" i="16"/>
  <c r="AC179" i="16"/>
  <c r="AB179" i="16"/>
  <c r="AA179" i="16"/>
  <c r="Z179" i="16"/>
  <c r="Y179" i="16"/>
  <c r="X179" i="16"/>
  <c r="W179" i="16"/>
  <c r="V179" i="16"/>
  <c r="U179" i="16"/>
  <c r="T179" i="16"/>
  <c r="S179" i="16"/>
  <c r="R179" i="16"/>
  <c r="Q179" i="16"/>
  <c r="P179" i="16"/>
  <c r="O179" i="16"/>
  <c r="N179" i="16"/>
  <c r="M179" i="16"/>
  <c r="L179" i="16"/>
  <c r="K179" i="16"/>
  <c r="J179" i="16"/>
  <c r="I179" i="16"/>
  <c r="H179" i="16"/>
  <c r="G179" i="16"/>
  <c r="F179" i="16"/>
  <c r="AE178" i="16"/>
  <c r="AC178" i="16"/>
  <c r="AB178" i="16"/>
  <c r="AA178" i="16"/>
  <c r="Z178" i="16"/>
  <c r="Y178" i="16"/>
  <c r="X178" i="16"/>
  <c r="W178" i="16"/>
  <c r="V178" i="16"/>
  <c r="U178" i="16"/>
  <c r="T178" i="16"/>
  <c r="S178" i="16"/>
  <c r="R178" i="16"/>
  <c r="Q178" i="16"/>
  <c r="P178" i="16"/>
  <c r="O178" i="16"/>
  <c r="N178" i="16"/>
  <c r="M178" i="16"/>
  <c r="L178" i="16"/>
  <c r="K178" i="16"/>
  <c r="J178" i="16"/>
  <c r="I178" i="16"/>
  <c r="H178" i="16"/>
  <c r="G178" i="16"/>
  <c r="F178" i="16"/>
  <c r="AE177" i="16"/>
  <c r="AC177" i="16"/>
  <c r="AB177" i="16"/>
  <c r="AA177" i="16"/>
  <c r="Z177" i="16"/>
  <c r="Y177" i="16"/>
  <c r="X177" i="16"/>
  <c r="W177" i="16"/>
  <c r="V177" i="16"/>
  <c r="U177" i="16"/>
  <c r="T177" i="16"/>
  <c r="S177" i="16"/>
  <c r="R177" i="16"/>
  <c r="Q177" i="16"/>
  <c r="P177" i="16"/>
  <c r="O177" i="16"/>
  <c r="N177" i="16"/>
  <c r="M177" i="16"/>
  <c r="L177" i="16"/>
  <c r="K177" i="16"/>
  <c r="J177" i="16"/>
  <c r="I177" i="16"/>
  <c r="H177" i="16"/>
  <c r="G177" i="16"/>
  <c r="F177" i="16"/>
  <c r="AE176" i="16"/>
  <c r="AC176" i="16"/>
  <c r="AB176" i="16"/>
  <c r="AA176" i="16"/>
  <c r="Z176" i="16"/>
  <c r="Y176" i="16"/>
  <c r="X176" i="16"/>
  <c r="W176" i="16"/>
  <c r="V176" i="16"/>
  <c r="U176" i="16"/>
  <c r="T176" i="16"/>
  <c r="S176" i="16"/>
  <c r="R176" i="16"/>
  <c r="Q176" i="16"/>
  <c r="P176" i="16"/>
  <c r="O176" i="16"/>
  <c r="N176" i="16"/>
  <c r="M176" i="16"/>
  <c r="L176" i="16"/>
  <c r="K176" i="16"/>
  <c r="J176" i="16"/>
  <c r="I176" i="16"/>
  <c r="H176" i="16"/>
  <c r="G176" i="16"/>
  <c r="F176" i="16"/>
  <c r="AE175" i="16"/>
  <c r="AC175" i="16"/>
  <c r="AB175" i="16"/>
  <c r="AA175" i="16"/>
  <c r="Z175" i="16"/>
  <c r="Y175" i="16"/>
  <c r="X175" i="16"/>
  <c r="W175" i="16"/>
  <c r="V175" i="16"/>
  <c r="U175" i="16"/>
  <c r="T175" i="16"/>
  <c r="S175" i="16"/>
  <c r="R175" i="16"/>
  <c r="Q175" i="16"/>
  <c r="P175" i="16"/>
  <c r="O175" i="16"/>
  <c r="N175" i="16"/>
  <c r="M175" i="16"/>
  <c r="L175" i="16"/>
  <c r="K175" i="16"/>
  <c r="J175" i="16"/>
  <c r="I175" i="16"/>
  <c r="H175" i="16"/>
  <c r="G175" i="16"/>
  <c r="F175" i="16"/>
  <c r="AE174" i="16"/>
  <c r="AC174" i="16"/>
  <c r="AB174" i="16"/>
  <c r="AA174" i="16"/>
  <c r="Z174" i="16"/>
  <c r="Y174" i="16"/>
  <c r="X174" i="16"/>
  <c r="W174" i="16"/>
  <c r="V174" i="16"/>
  <c r="U174" i="16"/>
  <c r="T174" i="16"/>
  <c r="S174" i="16"/>
  <c r="R174" i="16"/>
  <c r="Q174" i="16"/>
  <c r="P174" i="16"/>
  <c r="O174" i="16"/>
  <c r="N174" i="16"/>
  <c r="M174" i="16"/>
  <c r="L174" i="16"/>
  <c r="K174" i="16"/>
  <c r="J174" i="16"/>
  <c r="I174" i="16"/>
  <c r="H174" i="16"/>
  <c r="G174" i="16"/>
  <c r="F174" i="16"/>
  <c r="AE173" i="16"/>
  <c r="AC173" i="16"/>
  <c r="AB173" i="16"/>
  <c r="AA173" i="16"/>
  <c r="Z173" i="16"/>
  <c r="Y173" i="16"/>
  <c r="X173" i="16"/>
  <c r="W173" i="16"/>
  <c r="V173" i="16"/>
  <c r="U173" i="16"/>
  <c r="T173" i="16"/>
  <c r="S173" i="16"/>
  <c r="R173" i="16"/>
  <c r="Q173" i="16"/>
  <c r="P173" i="16"/>
  <c r="O173" i="16"/>
  <c r="N173" i="16"/>
  <c r="M173" i="16"/>
  <c r="L173" i="16"/>
  <c r="K173" i="16"/>
  <c r="J173" i="16"/>
  <c r="I173" i="16"/>
  <c r="H173" i="16"/>
  <c r="G173" i="16"/>
  <c r="F173" i="16"/>
  <c r="AE172" i="16"/>
  <c r="AC172" i="16"/>
  <c r="AB172" i="16"/>
  <c r="AA172" i="16"/>
  <c r="Z172" i="16"/>
  <c r="Y172" i="16"/>
  <c r="X172" i="16"/>
  <c r="W172" i="16"/>
  <c r="V172" i="16"/>
  <c r="U172" i="16"/>
  <c r="T172" i="16"/>
  <c r="S172" i="16"/>
  <c r="R172" i="16"/>
  <c r="Q172" i="16"/>
  <c r="P172" i="16"/>
  <c r="O172" i="16"/>
  <c r="N172" i="16"/>
  <c r="M172" i="16"/>
  <c r="L172" i="16"/>
  <c r="K172" i="16"/>
  <c r="J172" i="16"/>
  <c r="I172" i="16"/>
  <c r="H172" i="16"/>
  <c r="G172" i="16"/>
  <c r="F172" i="16"/>
  <c r="AE171" i="16"/>
  <c r="AC171" i="16"/>
  <c r="AB171" i="16"/>
  <c r="AA171" i="16"/>
  <c r="Z171" i="16"/>
  <c r="Y171" i="16"/>
  <c r="X171" i="16"/>
  <c r="W171" i="16"/>
  <c r="V171" i="16"/>
  <c r="U171" i="16"/>
  <c r="T171" i="16"/>
  <c r="S171" i="16"/>
  <c r="R171" i="16"/>
  <c r="Q171" i="16"/>
  <c r="P171" i="16"/>
  <c r="O171" i="16"/>
  <c r="N171" i="16"/>
  <c r="M171" i="16"/>
  <c r="L171" i="16"/>
  <c r="K171" i="16"/>
  <c r="J171" i="16"/>
  <c r="I171" i="16"/>
  <c r="H171" i="16"/>
  <c r="G171" i="16"/>
  <c r="F171" i="16"/>
  <c r="AE170" i="16"/>
  <c r="AC170" i="16"/>
  <c r="AB170" i="16"/>
  <c r="AA170" i="16"/>
  <c r="Z170" i="16"/>
  <c r="Y170" i="16"/>
  <c r="X170" i="16"/>
  <c r="W170" i="16"/>
  <c r="V170" i="16"/>
  <c r="U170" i="16"/>
  <c r="T170" i="16"/>
  <c r="S170" i="16"/>
  <c r="R170" i="16"/>
  <c r="Q170" i="16"/>
  <c r="P170" i="16"/>
  <c r="O170" i="16"/>
  <c r="N170" i="16"/>
  <c r="M170" i="16"/>
  <c r="L170" i="16"/>
  <c r="K170" i="16"/>
  <c r="J170" i="16"/>
  <c r="I170" i="16"/>
  <c r="H170" i="16"/>
  <c r="G170" i="16"/>
  <c r="F170" i="16"/>
  <c r="AE169" i="16"/>
  <c r="AC169" i="16"/>
  <c r="AB169" i="16"/>
  <c r="AA169" i="16"/>
  <c r="Z169" i="16"/>
  <c r="Y169" i="16"/>
  <c r="X169" i="16"/>
  <c r="W169" i="16"/>
  <c r="V169" i="16"/>
  <c r="U169" i="16"/>
  <c r="T169" i="16"/>
  <c r="S169" i="16"/>
  <c r="R169" i="16"/>
  <c r="Q169" i="16"/>
  <c r="P169" i="16"/>
  <c r="O169" i="16"/>
  <c r="N169" i="16"/>
  <c r="M169" i="16"/>
  <c r="L169" i="16"/>
  <c r="K169" i="16"/>
  <c r="J169" i="16"/>
  <c r="I169" i="16"/>
  <c r="H169" i="16"/>
  <c r="G169" i="16"/>
  <c r="F169" i="16"/>
  <c r="AE168" i="16"/>
  <c r="AC168" i="16"/>
  <c r="AB168" i="16"/>
  <c r="AA168" i="16"/>
  <c r="Z168" i="16"/>
  <c r="Y168" i="16"/>
  <c r="X168" i="16"/>
  <c r="W168" i="16"/>
  <c r="V168" i="16"/>
  <c r="U168" i="16"/>
  <c r="T168" i="16"/>
  <c r="S168" i="16"/>
  <c r="R168" i="16"/>
  <c r="Q168" i="16"/>
  <c r="P168" i="16"/>
  <c r="O168" i="16"/>
  <c r="N168" i="16"/>
  <c r="M168" i="16"/>
  <c r="L168" i="16"/>
  <c r="K168" i="16"/>
  <c r="J168" i="16"/>
  <c r="I168" i="16"/>
  <c r="H168" i="16"/>
  <c r="G168" i="16"/>
  <c r="F168" i="16"/>
  <c r="AE167" i="16"/>
  <c r="AC167" i="16"/>
  <c r="AB167" i="16"/>
  <c r="AA167" i="16"/>
  <c r="Z167" i="16"/>
  <c r="Y167" i="16"/>
  <c r="X167" i="16"/>
  <c r="W167" i="16"/>
  <c r="V167" i="16"/>
  <c r="U167" i="16"/>
  <c r="T167" i="16"/>
  <c r="S167" i="16"/>
  <c r="R167" i="16"/>
  <c r="Q167" i="16"/>
  <c r="P167" i="16"/>
  <c r="O167" i="16"/>
  <c r="N167" i="16"/>
  <c r="M167" i="16"/>
  <c r="L167" i="16"/>
  <c r="K167" i="16"/>
  <c r="J167" i="16"/>
  <c r="I167" i="16"/>
  <c r="H167" i="16"/>
  <c r="G167" i="16"/>
  <c r="F167" i="16"/>
  <c r="AE166" i="16"/>
  <c r="AC166" i="16"/>
  <c r="AB166" i="16"/>
  <c r="AA166" i="16"/>
  <c r="Z166" i="16"/>
  <c r="Y166" i="16"/>
  <c r="X166" i="16"/>
  <c r="W166" i="16"/>
  <c r="V166" i="16"/>
  <c r="U166" i="16"/>
  <c r="T166" i="16"/>
  <c r="S166" i="16"/>
  <c r="R166" i="16"/>
  <c r="Q166" i="16"/>
  <c r="P166" i="16"/>
  <c r="O166" i="16"/>
  <c r="N166" i="16"/>
  <c r="M166" i="16"/>
  <c r="L166" i="16"/>
  <c r="K166" i="16"/>
  <c r="J166" i="16"/>
  <c r="I166" i="16"/>
  <c r="H166" i="16"/>
  <c r="G166" i="16"/>
  <c r="F166" i="16"/>
  <c r="AE165" i="16"/>
  <c r="AC165" i="16"/>
  <c r="AB165" i="16"/>
  <c r="AA165" i="16"/>
  <c r="Z165" i="16"/>
  <c r="Y165" i="16"/>
  <c r="X165" i="16"/>
  <c r="W165" i="16"/>
  <c r="V165" i="16"/>
  <c r="U165" i="16"/>
  <c r="T165" i="16"/>
  <c r="S165" i="16"/>
  <c r="R165" i="16"/>
  <c r="Q165" i="16"/>
  <c r="P165" i="16"/>
  <c r="O165" i="16"/>
  <c r="N165" i="16"/>
  <c r="M165" i="16"/>
  <c r="L165" i="16"/>
  <c r="K165" i="16"/>
  <c r="J165" i="16"/>
  <c r="I165" i="16"/>
  <c r="H165" i="16"/>
  <c r="G165" i="16"/>
  <c r="F165" i="16"/>
  <c r="AE164" i="16"/>
  <c r="AC164" i="16"/>
  <c r="AB164" i="16"/>
  <c r="AA164" i="16"/>
  <c r="Z164" i="16"/>
  <c r="Y164" i="16"/>
  <c r="X164" i="16"/>
  <c r="W164" i="16"/>
  <c r="V164" i="16"/>
  <c r="U164" i="16"/>
  <c r="T164" i="16"/>
  <c r="S164" i="16"/>
  <c r="R164" i="16"/>
  <c r="Q164" i="16"/>
  <c r="P164" i="16"/>
  <c r="O164" i="16"/>
  <c r="N164" i="16"/>
  <c r="M164" i="16"/>
  <c r="L164" i="16"/>
  <c r="K164" i="16"/>
  <c r="J164" i="16"/>
  <c r="I164" i="16"/>
  <c r="H164" i="16"/>
  <c r="G164" i="16"/>
  <c r="F164" i="16"/>
  <c r="AE163" i="16"/>
  <c r="AC163" i="16"/>
  <c r="AB163" i="16"/>
  <c r="AA163" i="16"/>
  <c r="Z163" i="16"/>
  <c r="Y163" i="16"/>
  <c r="X163" i="16"/>
  <c r="W163" i="16"/>
  <c r="V163" i="16"/>
  <c r="U163" i="16"/>
  <c r="T163" i="16"/>
  <c r="S163" i="16"/>
  <c r="R163" i="16"/>
  <c r="Q163" i="16"/>
  <c r="P163" i="16"/>
  <c r="O163" i="16"/>
  <c r="N163" i="16"/>
  <c r="M163" i="16"/>
  <c r="L163" i="16"/>
  <c r="K163" i="16"/>
  <c r="J163" i="16"/>
  <c r="I163" i="16"/>
  <c r="H163" i="16"/>
  <c r="G163" i="16"/>
  <c r="F163" i="16"/>
  <c r="AE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G162" i="16"/>
  <c r="F162" i="16"/>
  <c r="AE161" i="16"/>
  <c r="AC161" i="16"/>
  <c r="AB161" i="16"/>
  <c r="AA161" i="16"/>
  <c r="Z161" i="16"/>
  <c r="Y161" i="16"/>
  <c r="X161" i="16"/>
  <c r="W161" i="16"/>
  <c r="V161" i="16"/>
  <c r="U161" i="16"/>
  <c r="T161" i="16"/>
  <c r="S161" i="16"/>
  <c r="R161" i="16"/>
  <c r="Q161" i="16"/>
  <c r="P161" i="16"/>
  <c r="O161" i="16"/>
  <c r="N161" i="16"/>
  <c r="M161" i="16"/>
  <c r="L161" i="16"/>
  <c r="K161" i="16"/>
  <c r="J161" i="16"/>
  <c r="I161" i="16"/>
  <c r="H161" i="16"/>
  <c r="G161" i="16"/>
  <c r="F161" i="16"/>
  <c r="AE160" i="16"/>
  <c r="AC160" i="16"/>
  <c r="AB160" i="16"/>
  <c r="AA160" i="16"/>
  <c r="Z160" i="16"/>
  <c r="Y160" i="16"/>
  <c r="X160" i="16"/>
  <c r="W160" i="16"/>
  <c r="V160" i="16"/>
  <c r="U160" i="16"/>
  <c r="T160" i="16"/>
  <c r="S160" i="16"/>
  <c r="R160" i="16"/>
  <c r="Q160" i="16"/>
  <c r="P160" i="16"/>
  <c r="O160" i="16"/>
  <c r="N160" i="16"/>
  <c r="M160" i="16"/>
  <c r="L160" i="16"/>
  <c r="K160" i="16"/>
  <c r="J160" i="16"/>
  <c r="I160" i="16"/>
  <c r="H160" i="16"/>
  <c r="G160" i="16"/>
  <c r="F160" i="16"/>
  <c r="AE159" i="16"/>
  <c r="AC159" i="16"/>
  <c r="AB159" i="16"/>
  <c r="AA159" i="16"/>
  <c r="Z159" i="16"/>
  <c r="Y159" i="16"/>
  <c r="X159" i="16"/>
  <c r="W159" i="16"/>
  <c r="V159" i="16"/>
  <c r="U159" i="16"/>
  <c r="T159" i="16"/>
  <c r="S159" i="16"/>
  <c r="R159" i="16"/>
  <c r="Q159" i="16"/>
  <c r="P159" i="16"/>
  <c r="O159" i="16"/>
  <c r="N159" i="16"/>
  <c r="M159" i="16"/>
  <c r="L159" i="16"/>
  <c r="K159" i="16"/>
  <c r="J159" i="16"/>
  <c r="I159" i="16"/>
  <c r="H159" i="16"/>
  <c r="G159" i="16"/>
  <c r="F159" i="16"/>
  <c r="AE158" i="16"/>
  <c r="AC158" i="16"/>
  <c r="AB158" i="16"/>
  <c r="AA158" i="16"/>
  <c r="Z158" i="16"/>
  <c r="Y158" i="16"/>
  <c r="X158" i="16"/>
  <c r="W158" i="16"/>
  <c r="V158" i="16"/>
  <c r="U158" i="16"/>
  <c r="T158" i="16"/>
  <c r="S158" i="16"/>
  <c r="R158" i="16"/>
  <c r="Q158" i="16"/>
  <c r="P158" i="16"/>
  <c r="O158" i="16"/>
  <c r="N158" i="16"/>
  <c r="M158" i="16"/>
  <c r="L158" i="16"/>
  <c r="K158" i="16"/>
  <c r="J158" i="16"/>
  <c r="I158" i="16"/>
  <c r="H158" i="16"/>
  <c r="G158" i="16"/>
  <c r="F158" i="16"/>
  <c r="AE157" i="16"/>
  <c r="AC157" i="16"/>
  <c r="AB157" i="16"/>
  <c r="AA157" i="16"/>
  <c r="Z157" i="16"/>
  <c r="Y157" i="16"/>
  <c r="X157" i="16"/>
  <c r="W157" i="16"/>
  <c r="V157" i="16"/>
  <c r="U157" i="16"/>
  <c r="T157" i="16"/>
  <c r="S157" i="16"/>
  <c r="R157" i="16"/>
  <c r="Q157" i="16"/>
  <c r="P157" i="16"/>
  <c r="O157" i="16"/>
  <c r="N157" i="16"/>
  <c r="M157" i="16"/>
  <c r="L157" i="16"/>
  <c r="K157" i="16"/>
  <c r="J157" i="16"/>
  <c r="I157" i="16"/>
  <c r="H157" i="16"/>
  <c r="G157" i="16"/>
  <c r="F157" i="16"/>
  <c r="AE156" i="16"/>
  <c r="AC156" i="16"/>
  <c r="AB156" i="16"/>
  <c r="AA156" i="16"/>
  <c r="Z156" i="16"/>
  <c r="Y156" i="16"/>
  <c r="X156" i="16"/>
  <c r="W156" i="16"/>
  <c r="V156" i="16"/>
  <c r="U156" i="16"/>
  <c r="T156" i="16"/>
  <c r="S156" i="16"/>
  <c r="R156" i="16"/>
  <c r="Q156" i="16"/>
  <c r="P156" i="16"/>
  <c r="O156" i="16"/>
  <c r="N156" i="16"/>
  <c r="M156" i="16"/>
  <c r="L156" i="16"/>
  <c r="K156" i="16"/>
  <c r="J156" i="16"/>
  <c r="I156" i="16"/>
  <c r="H156" i="16"/>
  <c r="G156" i="16"/>
  <c r="F156" i="16"/>
  <c r="AE155" i="16"/>
  <c r="AC155" i="16"/>
  <c r="AB155" i="16"/>
  <c r="AA155" i="16"/>
  <c r="Z155" i="16"/>
  <c r="Y155" i="16"/>
  <c r="X155" i="16"/>
  <c r="W155" i="16"/>
  <c r="V155" i="16"/>
  <c r="U155" i="16"/>
  <c r="T155" i="16"/>
  <c r="S155" i="16"/>
  <c r="R155" i="16"/>
  <c r="Q155" i="16"/>
  <c r="P155" i="16"/>
  <c r="O155" i="16"/>
  <c r="N155" i="16"/>
  <c r="M155" i="16"/>
  <c r="L155" i="16"/>
  <c r="K155" i="16"/>
  <c r="J155" i="16"/>
  <c r="I155" i="16"/>
  <c r="H155" i="16"/>
  <c r="G155" i="16"/>
  <c r="F155" i="16"/>
  <c r="AE154" i="16"/>
  <c r="AC154" i="16"/>
  <c r="AB154" i="16"/>
  <c r="AA154" i="16"/>
  <c r="Z154" i="16"/>
  <c r="Y154" i="16"/>
  <c r="X154" i="16"/>
  <c r="W154" i="16"/>
  <c r="V154" i="16"/>
  <c r="U154" i="16"/>
  <c r="T154" i="16"/>
  <c r="S154" i="16"/>
  <c r="R154" i="16"/>
  <c r="Q154" i="16"/>
  <c r="P154" i="16"/>
  <c r="O154" i="16"/>
  <c r="N154" i="16"/>
  <c r="M154" i="16"/>
  <c r="L154" i="16"/>
  <c r="K154" i="16"/>
  <c r="J154" i="16"/>
  <c r="I154" i="16"/>
  <c r="H154" i="16"/>
  <c r="G154" i="16"/>
  <c r="F154" i="16"/>
  <c r="AE153" i="16"/>
  <c r="AC153" i="16"/>
  <c r="AB153" i="16"/>
  <c r="AA153" i="16"/>
  <c r="Z153" i="16"/>
  <c r="Y153" i="16"/>
  <c r="X153" i="16"/>
  <c r="W153" i="16"/>
  <c r="V153" i="16"/>
  <c r="U153" i="16"/>
  <c r="T153" i="16"/>
  <c r="S153" i="16"/>
  <c r="R153" i="16"/>
  <c r="Q153" i="16"/>
  <c r="P153" i="16"/>
  <c r="O153" i="16"/>
  <c r="N153" i="16"/>
  <c r="M153" i="16"/>
  <c r="L153" i="16"/>
  <c r="K153" i="16"/>
  <c r="J153" i="16"/>
  <c r="I153" i="16"/>
  <c r="H153" i="16"/>
  <c r="G153" i="16"/>
  <c r="F153" i="16"/>
  <c r="AE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AE151" i="16"/>
  <c r="AC151" i="16"/>
  <c r="AB151" i="16"/>
  <c r="AA151" i="16"/>
  <c r="Z151" i="16"/>
  <c r="Y151" i="16"/>
  <c r="X151" i="16"/>
  <c r="W151" i="16"/>
  <c r="V151" i="16"/>
  <c r="U151" i="16"/>
  <c r="T151" i="16"/>
  <c r="S151" i="16"/>
  <c r="R151" i="16"/>
  <c r="Q151" i="16"/>
  <c r="P151" i="16"/>
  <c r="O151" i="16"/>
  <c r="N151" i="16"/>
  <c r="M151" i="16"/>
  <c r="L151" i="16"/>
  <c r="K151" i="16"/>
  <c r="J151" i="16"/>
  <c r="I151" i="16"/>
  <c r="H151" i="16"/>
  <c r="G151" i="16"/>
  <c r="F151" i="16"/>
  <c r="AE150" i="16"/>
  <c r="AC150" i="16"/>
  <c r="AB150" i="16"/>
  <c r="AA150" i="16"/>
  <c r="Z150" i="16"/>
  <c r="Y150" i="16"/>
  <c r="X150" i="16"/>
  <c r="W150" i="16"/>
  <c r="V150" i="16"/>
  <c r="U150" i="16"/>
  <c r="T150" i="16"/>
  <c r="S150" i="16"/>
  <c r="R150" i="16"/>
  <c r="Q150" i="16"/>
  <c r="P150" i="16"/>
  <c r="O150" i="16"/>
  <c r="N150" i="16"/>
  <c r="M150" i="16"/>
  <c r="L150" i="16"/>
  <c r="K150" i="16"/>
  <c r="J150" i="16"/>
  <c r="I150" i="16"/>
  <c r="H150" i="16"/>
  <c r="G150" i="16"/>
  <c r="F150" i="16"/>
  <c r="AE149" i="16"/>
  <c r="AC149" i="16"/>
  <c r="AB149" i="16"/>
  <c r="AA149" i="16"/>
  <c r="Z149" i="16"/>
  <c r="Y149" i="16"/>
  <c r="X149" i="16"/>
  <c r="W149" i="16"/>
  <c r="V149" i="16"/>
  <c r="U149" i="16"/>
  <c r="T149" i="16"/>
  <c r="S149" i="16"/>
  <c r="R149" i="16"/>
  <c r="Q149" i="16"/>
  <c r="P149" i="16"/>
  <c r="O149" i="16"/>
  <c r="N149" i="16"/>
  <c r="M149" i="16"/>
  <c r="L149" i="16"/>
  <c r="K149" i="16"/>
  <c r="J149" i="16"/>
  <c r="I149" i="16"/>
  <c r="H149" i="16"/>
  <c r="G149" i="16"/>
  <c r="F149" i="16"/>
  <c r="AE148" i="16"/>
  <c r="AC148" i="16"/>
  <c r="AB148" i="16"/>
  <c r="AA148" i="16"/>
  <c r="Z148" i="16"/>
  <c r="Y148" i="16"/>
  <c r="X148" i="16"/>
  <c r="W148" i="16"/>
  <c r="V148" i="16"/>
  <c r="U148" i="16"/>
  <c r="T148" i="16"/>
  <c r="S148" i="16"/>
  <c r="R148" i="16"/>
  <c r="Q148" i="16"/>
  <c r="P148" i="16"/>
  <c r="O148" i="16"/>
  <c r="N148" i="16"/>
  <c r="M148" i="16"/>
  <c r="L148" i="16"/>
  <c r="K148" i="16"/>
  <c r="J148" i="16"/>
  <c r="I148" i="16"/>
  <c r="H148" i="16"/>
  <c r="G148" i="16"/>
  <c r="F148" i="16"/>
  <c r="AE147" i="16"/>
  <c r="AC147" i="16"/>
  <c r="AB147" i="16"/>
  <c r="AA147" i="16"/>
  <c r="Z147" i="16"/>
  <c r="Y147" i="16"/>
  <c r="X147" i="16"/>
  <c r="W147" i="16"/>
  <c r="V147" i="16"/>
  <c r="U147" i="16"/>
  <c r="T147" i="16"/>
  <c r="S147" i="16"/>
  <c r="R147" i="16"/>
  <c r="Q147" i="16"/>
  <c r="P147" i="16"/>
  <c r="O147" i="16"/>
  <c r="N147" i="16"/>
  <c r="M147" i="16"/>
  <c r="L147" i="16"/>
  <c r="K147" i="16"/>
  <c r="J147" i="16"/>
  <c r="I147" i="16"/>
  <c r="H147" i="16"/>
  <c r="G147" i="16"/>
  <c r="F147" i="16"/>
  <c r="AE146" i="16"/>
  <c r="AC146" i="16"/>
  <c r="AB146" i="16"/>
  <c r="AA146" i="16"/>
  <c r="Z146" i="16"/>
  <c r="Y146" i="16"/>
  <c r="X146" i="16"/>
  <c r="W146" i="16"/>
  <c r="V146" i="16"/>
  <c r="U146" i="16"/>
  <c r="T146" i="16"/>
  <c r="S146" i="16"/>
  <c r="R146" i="16"/>
  <c r="Q146" i="16"/>
  <c r="P146" i="16"/>
  <c r="O146" i="16"/>
  <c r="N146" i="16"/>
  <c r="M146" i="16"/>
  <c r="L146" i="16"/>
  <c r="K146" i="16"/>
  <c r="J146" i="16"/>
  <c r="I146" i="16"/>
  <c r="H146" i="16"/>
  <c r="G146" i="16"/>
  <c r="F146" i="16"/>
  <c r="AE145" i="16"/>
  <c r="AC145" i="16"/>
  <c r="AB145" i="16"/>
  <c r="AA145" i="16"/>
  <c r="Z145" i="16"/>
  <c r="Y145" i="16"/>
  <c r="X145" i="16"/>
  <c r="W145" i="16"/>
  <c r="V145" i="16"/>
  <c r="U145" i="16"/>
  <c r="T145" i="16"/>
  <c r="S145" i="16"/>
  <c r="R145" i="16"/>
  <c r="Q145" i="16"/>
  <c r="P145" i="16"/>
  <c r="O145" i="16"/>
  <c r="N145" i="16"/>
  <c r="M145" i="16"/>
  <c r="L145" i="16"/>
  <c r="K145" i="16"/>
  <c r="J145" i="16"/>
  <c r="I145" i="16"/>
  <c r="H145" i="16"/>
  <c r="G145" i="16"/>
  <c r="F145" i="16"/>
  <c r="AE144" i="16"/>
  <c r="AC144" i="16"/>
  <c r="AB144" i="16"/>
  <c r="AA144" i="16"/>
  <c r="Z144" i="16"/>
  <c r="Y144" i="16"/>
  <c r="X144" i="16"/>
  <c r="W144" i="16"/>
  <c r="V144" i="16"/>
  <c r="U144" i="16"/>
  <c r="T144" i="16"/>
  <c r="S144" i="16"/>
  <c r="R144" i="16"/>
  <c r="Q144" i="16"/>
  <c r="P144" i="16"/>
  <c r="O144" i="16"/>
  <c r="N144" i="16"/>
  <c r="M144" i="16"/>
  <c r="L144" i="16"/>
  <c r="K144" i="16"/>
  <c r="J144" i="16"/>
  <c r="I144" i="16"/>
  <c r="H144" i="16"/>
  <c r="G144" i="16"/>
  <c r="F144" i="16"/>
  <c r="AE143" i="16"/>
  <c r="AC143" i="16"/>
  <c r="AB143" i="16"/>
  <c r="AA143" i="16"/>
  <c r="Z143" i="16"/>
  <c r="Y143" i="16"/>
  <c r="X143" i="16"/>
  <c r="W143" i="16"/>
  <c r="V143" i="16"/>
  <c r="U143" i="16"/>
  <c r="T143" i="16"/>
  <c r="S143" i="16"/>
  <c r="R143" i="16"/>
  <c r="Q143" i="16"/>
  <c r="P143" i="16"/>
  <c r="O143" i="16"/>
  <c r="N143" i="16"/>
  <c r="M143" i="16"/>
  <c r="L143" i="16"/>
  <c r="K143" i="16"/>
  <c r="J143" i="16"/>
  <c r="I143" i="16"/>
  <c r="H143" i="16"/>
  <c r="G143" i="16"/>
  <c r="F143" i="16"/>
  <c r="AE142" i="16"/>
  <c r="AC142" i="16"/>
  <c r="AB142" i="16"/>
  <c r="AA142" i="16"/>
  <c r="Z142" i="16"/>
  <c r="Y142" i="16"/>
  <c r="X142" i="16"/>
  <c r="W142" i="16"/>
  <c r="V142" i="16"/>
  <c r="U142" i="16"/>
  <c r="T142" i="16"/>
  <c r="S142" i="16"/>
  <c r="R142" i="16"/>
  <c r="Q142" i="16"/>
  <c r="P142" i="16"/>
  <c r="O142" i="16"/>
  <c r="N142" i="16"/>
  <c r="M142" i="16"/>
  <c r="L142" i="16"/>
  <c r="K142" i="16"/>
  <c r="J142" i="16"/>
  <c r="I142" i="16"/>
  <c r="H142" i="16"/>
  <c r="G142" i="16"/>
  <c r="F142" i="16"/>
  <c r="AE141" i="16"/>
  <c r="AC141" i="16"/>
  <c r="AB141" i="16"/>
  <c r="AA141" i="16"/>
  <c r="Z141" i="16"/>
  <c r="Y141" i="16"/>
  <c r="X141" i="16"/>
  <c r="W141" i="16"/>
  <c r="V141" i="16"/>
  <c r="U141" i="16"/>
  <c r="T141" i="16"/>
  <c r="S141" i="16"/>
  <c r="R141" i="16"/>
  <c r="Q141" i="16"/>
  <c r="P141" i="16"/>
  <c r="O141" i="16"/>
  <c r="N141" i="16"/>
  <c r="M141" i="16"/>
  <c r="L141" i="16"/>
  <c r="K141" i="16"/>
  <c r="J141" i="16"/>
  <c r="I141" i="16"/>
  <c r="H141" i="16"/>
  <c r="G141" i="16"/>
  <c r="F141" i="16"/>
  <c r="AE140" i="16"/>
  <c r="AC140" i="16"/>
  <c r="AB140" i="16"/>
  <c r="AA140" i="16"/>
  <c r="Z140" i="16"/>
  <c r="Y140" i="16"/>
  <c r="X140" i="16"/>
  <c r="W140" i="16"/>
  <c r="V140" i="16"/>
  <c r="U140" i="16"/>
  <c r="T140" i="16"/>
  <c r="S140" i="16"/>
  <c r="R140" i="16"/>
  <c r="Q140" i="16"/>
  <c r="P140" i="16"/>
  <c r="O140" i="16"/>
  <c r="N140" i="16"/>
  <c r="M140" i="16"/>
  <c r="L140" i="16"/>
  <c r="K140" i="16"/>
  <c r="J140" i="16"/>
  <c r="I140" i="16"/>
  <c r="H140" i="16"/>
  <c r="G140" i="16"/>
  <c r="F140" i="16"/>
  <c r="AE139" i="16"/>
  <c r="AC139" i="16"/>
  <c r="AB139" i="16"/>
  <c r="AA139" i="16"/>
  <c r="Z139" i="16"/>
  <c r="Y139" i="16"/>
  <c r="X139" i="16"/>
  <c r="W139" i="16"/>
  <c r="V139" i="16"/>
  <c r="U139" i="16"/>
  <c r="T139" i="16"/>
  <c r="S139" i="16"/>
  <c r="R139" i="16"/>
  <c r="Q139" i="16"/>
  <c r="P139" i="16"/>
  <c r="O139" i="16"/>
  <c r="N139" i="16"/>
  <c r="M139" i="16"/>
  <c r="L139" i="16"/>
  <c r="K139" i="16"/>
  <c r="J139" i="16"/>
  <c r="I139" i="16"/>
  <c r="H139" i="16"/>
  <c r="G139" i="16"/>
  <c r="F139" i="16"/>
  <c r="AE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AE137" i="16"/>
  <c r="AC137" i="16"/>
  <c r="AB137" i="16"/>
  <c r="AA137" i="16"/>
  <c r="Z137" i="16"/>
  <c r="Y137" i="16"/>
  <c r="X137" i="16"/>
  <c r="W137" i="16"/>
  <c r="V137" i="16"/>
  <c r="U137" i="16"/>
  <c r="T137" i="16"/>
  <c r="S137" i="16"/>
  <c r="R137" i="16"/>
  <c r="Q137" i="16"/>
  <c r="P137" i="16"/>
  <c r="O137" i="16"/>
  <c r="N137" i="16"/>
  <c r="M137" i="16"/>
  <c r="L137" i="16"/>
  <c r="K137" i="16"/>
  <c r="J137" i="16"/>
  <c r="I137" i="16"/>
  <c r="H137" i="16"/>
  <c r="G137" i="16"/>
  <c r="F137" i="16"/>
  <c r="AE136" i="16"/>
  <c r="AC136" i="16"/>
  <c r="AB136" i="16"/>
  <c r="AA136" i="16"/>
  <c r="Z136" i="16"/>
  <c r="Y136" i="16"/>
  <c r="X136" i="16"/>
  <c r="W136" i="16"/>
  <c r="V136" i="16"/>
  <c r="U136" i="16"/>
  <c r="T136" i="16"/>
  <c r="S136" i="16"/>
  <c r="R136" i="16"/>
  <c r="Q136" i="16"/>
  <c r="P136" i="16"/>
  <c r="O136" i="16"/>
  <c r="N136" i="16"/>
  <c r="M136" i="16"/>
  <c r="L136" i="16"/>
  <c r="K136" i="16"/>
  <c r="J136" i="16"/>
  <c r="I136" i="16"/>
  <c r="H136" i="16"/>
  <c r="G136" i="16"/>
  <c r="F136" i="16"/>
  <c r="AE135" i="16"/>
  <c r="AC135" i="16"/>
  <c r="AB135" i="16"/>
  <c r="AA135" i="16"/>
  <c r="Z135" i="16"/>
  <c r="Y135" i="16"/>
  <c r="X135" i="16"/>
  <c r="W135" i="16"/>
  <c r="V135" i="16"/>
  <c r="U135" i="16"/>
  <c r="T135" i="16"/>
  <c r="S135" i="16"/>
  <c r="R135" i="16"/>
  <c r="Q135" i="16"/>
  <c r="P135" i="16"/>
  <c r="O135" i="16"/>
  <c r="N135" i="16"/>
  <c r="M135" i="16"/>
  <c r="L135" i="16"/>
  <c r="K135" i="16"/>
  <c r="J135" i="16"/>
  <c r="I135" i="16"/>
  <c r="H135" i="16"/>
  <c r="G135" i="16"/>
  <c r="F135" i="16"/>
  <c r="AE134" i="16"/>
  <c r="AC134" i="16"/>
  <c r="AB134" i="16"/>
  <c r="AA134" i="16"/>
  <c r="Z134" i="16"/>
  <c r="Y134" i="16"/>
  <c r="X134" i="16"/>
  <c r="W134" i="16"/>
  <c r="V134" i="16"/>
  <c r="U134" i="16"/>
  <c r="T134" i="16"/>
  <c r="S134" i="16"/>
  <c r="R134" i="16"/>
  <c r="Q134" i="16"/>
  <c r="P134" i="16"/>
  <c r="O134" i="16"/>
  <c r="N134" i="16"/>
  <c r="M134" i="16"/>
  <c r="L134" i="16"/>
  <c r="K134" i="16"/>
  <c r="J134" i="16"/>
  <c r="I134" i="16"/>
  <c r="H134" i="16"/>
  <c r="G134" i="16"/>
  <c r="F134" i="16"/>
  <c r="AE133" i="16"/>
  <c r="AC133" i="16"/>
  <c r="AB133" i="16"/>
  <c r="AA133" i="16"/>
  <c r="Z133" i="16"/>
  <c r="Y133" i="16"/>
  <c r="X133" i="16"/>
  <c r="W133" i="16"/>
  <c r="V133" i="16"/>
  <c r="U133" i="16"/>
  <c r="T133" i="16"/>
  <c r="S133" i="16"/>
  <c r="R133" i="16"/>
  <c r="Q133" i="16"/>
  <c r="P133" i="16"/>
  <c r="O133" i="16"/>
  <c r="N133" i="16"/>
  <c r="M133" i="16"/>
  <c r="L133" i="16"/>
  <c r="K133" i="16"/>
  <c r="J133" i="16"/>
  <c r="I133" i="16"/>
  <c r="H133" i="16"/>
  <c r="G133" i="16"/>
  <c r="F133" i="16"/>
  <c r="AE132" i="16"/>
  <c r="AC132" i="16"/>
  <c r="AB132" i="16"/>
  <c r="AA132" i="16"/>
  <c r="Z132" i="16"/>
  <c r="Y132" i="16"/>
  <c r="X132" i="16"/>
  <c r="W132" i="16"/>
  <c r="V132" i="16"/>
  <c r="U132" i="16"/>
  <c r="T132" i="16"/>
  <c r="S132" i="16"/>
  <c r="R132" i="16"/>
  <c r="Q132" i="16"/>
  <c r="P132" i="16"/>
  <c r="O132" i="16"/>
  <c r="N132" i="16"/>
  <c r="M132" i="16"/>
  <c r="L132" i="16"/>
  <c r="K132" i="16"/>
  <c r="J132" i="16"/>
  <c r="I132" i="16"/>
  <c r="H132" i="16"/>
  <c r="G132" i="16"/>
  <c r="F132" i="16"/>
  <c r="AE131" i="16"/>
  <c r="AC131" i="16"/>
  <c r="AB131" i="16"/>
  <c r="AA131" i="16"/>
  <c r="Z131" i="16"/>
  <c r="Y131" i="16"/>
  <c r="X131" i="16"/>
  <c r="W131" i="16"/>
  <c r="V131" i="16"/>
  <c r="U131" i="16"/>
  <c r="T131" i="16"/>
  <c r="S131" i="16"/>
  <c r="R131" i="16"/>
  <c r="Q131" i="16"/>
  <c r="P131" i="16"/>
  <c r="O131" i="16"/>
  <c r="N131" i="16"/>
  <c r="M131" i="16"/>
  <c r="L131" i="16"/>
  <c r="K131" i="16"/>
  <c r="J131" i="16"/>
  <c r="I131" i="16"/>
  <c r="H131" i="16"/>
  <c r="G131" i="16"/>
  <c r="F131" i="16"/>
  <c r="AE130" i="16"/>
  <c r="AC130" i="16"/>
  <c r="AB130" i="16"/>
  <c r="AA130" i="16"/>
  <c r="Z130" i="16"/>
  <c r="Y130" i="16"/>
  <c r="X130" i="16"/>
  <c r="W130" i="16"/>
  <c r="V130" i="16"/>
  <c r="U130" i="16"/>
  <c r="T130" i="16"/>
  <c r="S130" i="16"/>
  <c r="R130" i="16"/>
  <c r="Q130" i="16"/>
  <c r="P130" i="16"/>
  <c r="O130" i="16"/>
  <c r="N130" i="16"/>
  <c r="M130" i="16"/>
  <c r="L130" i="16"/>
  <c r="K130" i="16"/>
  <c r="J130" i="16"/>
  <c r="I130" i="16"/>
  <c r="H130" i="16"/>
  <c r="G130" i="16"/>
  <c r="F130" i="16"/>
  <c r="AE129" i="16"/>
  <c r="AC129" i="16"/>
  <c r="AB129" i="16"/>
  <c r="AA129" i="16"/>
  <c r="Z129" i="16"/>
  <c r="Y129" i="16"/>
  <c r="X129" i="16"/>
  <c r="W129" i="16"/>
  <c r="V129" i="16"/>
  <c r="U129" i="16"/>
  <c r="T129" i="16"/>
  <c r="S129" i="16"/>
  <c r="R129" i="16"/>
  <c r="Q129" i="16"/>
  <c r="P129" i="16"/>
  <c r="O129" i="16"/>
  <c r="N129" i="16"/>
  <c r="M129" i="16"/>
  <c r="L129" i="16"/>
  <c r="K129" i="16"/>
  <c r="J129" i="16"/>
  <c r="I129" i="16"/>
  <c r="H129" i="16"/>
  <c r="G129" i="16"/>
  <c r="F129" i="16"/>
  <c r="AE128" i="16"/>
  <c r="AC128" i="16"/>
  <c r="AB128" i="16"/>
  <c r="AA128" i="16"/>
  <c r="Z128" i="16"/>
  <c r="Y128" i="16"/>
  <c r="X128" i="16"/>
  <c r="W128" i="16"/>
  <c r="V128" i="16"/>
  <c r="U128" i="16"/>
  <c r="T128" i="16"/>
  <c r="S128" i="16"/>
  <c r="R128" i="16"/>
  <c r="Q128" i="16"/>
  <c r="P128" i="16"/>
  <c r="O128" i="16"/>
  <c r="N128" i="16"/>
  <c r="M128" i="16"/>
  <c r="L128" i="16"/>
  <c r="K128" i="16"/>
  <c r="J128" i="16"/>
  <c r="I128" i="16"/>
  <c r="H128" i="16"/>
  <c r="G128" i="16"/>
  <c r="F128" i="16"/>
  <c r="AE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AE126" i="16"/>
  <c r="AC126" i="16"/>
  <c r="AB126" i="16"/>
  <c r="AA126" i="16"/>
  <c r="Z126" i="16"/>
  <c r="Y126" i="16"/>
  <c r="X126" i="16"/>
  <c r="W126" i="16"/>
  <c r="V126" i="16"/>
  <c r="U126" i="16"/>
  <c r="T126" i="16"/>
  <c r="S126" i="16"/>
  <c r="R126" i="16"/>
  <c r="Q126" i="16"/>
  <c r="P126" i="16"/>
  <c r="O126" i="16"/>
  <c r="N126" i="16"/>
  <c r="M126" i="16"/>
  <c r="L126" i="16"/>
  <c r="K126" i="16"/>
  <c r="J126" i="16"/>
  <c r="I126" i="16"/>
  <c r="H126" i="16"/>
  <c r="G126" i="16"/>
  <c r="F126" i="16"/>
  <c r="AE125" i="16"/>
  <c r="AC125" i="16"/>
  <c r="AB125" i="16"/>
  <c r="AA125" i="16"/>
  <c r="Z125" i="16"/>
  <c r="Y125" i="16"/>
  <c r="X125" i="16"/>
  <c r="W125" i="16"/>
  <c r="V125" i="16"/>
  <c r="U125" i="16"/>
  <c r="T125" i="16"/>
  <c r="S125" i="16"/>
  <c r="R125" i="16"/>
  <c r="Q125" i="16"/>
  <c r="P125" i="16"/>
  <c r="O125" i="16"/>
  <c r="N125" i="16"/>
  <c r="M125" i="16"/>
  <c r="L125" i="16"/>
  <c r="K125" i="16"/>
  <c r="J125" i="16"/>
  <c r="I125" i="16"/>
  <c r="H125" i="16"/>
  <c r="G125" i="16"/>
  <c r="F125" i="16"/>
  <c r="AE124" i="16"/>
  <c r="AC124" i="16"/>
  <c r="AB124" i="16"/>
  <c r="AA124" i="16"/>
  <c r="Z124" i="16"/>
  <c r="Y124" i="16"/>
  <c r="X124" i="16"/>
  <c r="W124" i="16"/>
  <c r="V124" i="16"/>
  <c r="U124" i="16"/>
  <c r="T124" i="16"/>
  <c r="S124" i="16"/>
  <c r="R124" i="16"/>
  <c r="Q124" i="16"/>
  <c r="P124" i="16"/>
  <c r="O124" i="16"/>
  <c r="N124" i="16"/>
  <c r="M124" i="16"/>
  <c r="L124" i="16"/>
  <c r="K124" i="16"/>
  <c r="J124" i="16"/>
  <c r="I124" i="16"/>
  <c r="H124" i="16"/>
  <c r="G124" i="16"/>
  <c r="F124" i="16"/>
  <c r="AE123" i="16"/>
  <c r="AC123" i="16"/>
  <c r="AB123" i="16"/>
  <c r="AA123" i="16"/>
  <c r="Z123" i="16"/>
  <c r="Y123" i="16"/>
  <c r="X123" i="16"/>
  <c r="W123" i="16"/>
  <c r="V123" i="16"/>
  <c r="U123" i="16"/>
  <c r="T123" i="16"/>
  <c r="S123" i="16"/>
  <c r="R123" i="16"/>
  <c r="Q123" i="16"/>
  <c r="P123" i="16"/>
  <c r="O123" i="16"/>
  <c r="N123" i="16"/>
  <c r="M123" i="16"/>
  <c r="L123" i="16"/>
  <c r="K123" i="16"/>
  <c r="J123" i="16"/>
  <c r="I123" i="16"/>
  <c r="H123" i="16"/>
  <c r="G123" i="16"/>
  <c r="F123" i="16"/>
  <c r="AE122" i="16"/>
  <c r="AC122" i="16"/>
  <c r="AB122" i="16"/>
  <c r="AA122" i="16"/>
  <c r="Z122" i="16"/>
  <c r="Y122" i="16"/>
  <c r="X122" i="16"/>
  <c r="W122" i="16"/>
  <c r="V122" i="16"/>
  <c r="U122" i="16"/>
  <c r="T122" i="16"/>
  <c r="S122" i="16"/>
  <c r="R122" i="16"/>
  <c r="Q122" i="16"/>
  <c r="P122" i="16"/>
  <c r="O122" i="16"/>
  <c r="N122" i="16"/>
  <c r="M122" i="16"/>
  <c r="L122" i="16"/>
  <c r="K122" i="16"/>
  <c r="J122" i="16"/>
  <c r="I122" i="16"/>
  <c r="H122" i="16"/>
  <c r="G122" i="16"/>
  <c r="F122" i="16"/>
  <c r="AE121" i="16"/>
  <c r="AC121" i="16"/>
  <c r="AB121" i="16"/>
  <c r="AA121" i="16"/>
  <c r="Z121" i="16"/>
  <c r="Y121" i="16"/>
  <c r="X121" i="16"/>
  <c r="W121" i="16"/>
  <c r="V121" i="16"/>
  <c r="U121" i="16"/>
  <c r="T121" i="16"/>
  <c r="S121" i="16"/>
  <c r="R121" i="16"/>
  <c r="Q121" i="16"/>
  <c r="P121" i="16"/>
  <c r="O121" i="16"/>
  <c r="N121" i="16"/>
  <c r="M121" i="16"/>
  <c r="L121" i="16"/>
  <c r="K121" i="16"/>
  <c r="J121" i="16"/>
  <c r="I121" i="16"/>
  <c r="H121" i="16"/>
  <c r="G121" i="16"/>
  <c r="F121" i="16"/>
  <c r="AE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AE119" i="16"/>
  <c r="AC119" i="16"/>
  <c r="AB119" i="16"/>
  <c r="AA119" i="16"/>
  <c r="Z119" i="16"/>
  <c r="Y119" i="16"/>
  <c r="X119" i="16"/>
  <c r="W119" i="16"/>
  <c r="V119" i="16"/>
  <c r="U119" i="16"/>
  <c r="T119" i="16"/>
  <c r="S119" i="16"/>
  <c r="R119" i="16"/>
  <c r="Q119" i="16"/>
  <c r="P119" i="16"/>
  <c r="O119" i="16"/>
  <c r="N119" i="16"/>
  <c r="M119" i="16"/>
  <c r="L119" i="16"/>
  <c r="K119" i="16"/>
  <c r="J119" i="16"/>
  <c r="I119" i="16"/>
  <c r="H119" i="16"/>
  <c r="G119" i="16"/>
  <c r="F119" i="16"/>
  <c r="AE118" i="16"/>
  <c r="AC118" i="16"/>
  <c r="AB118" i="16"/>
  <c r="AA118" i="16"/>
  <c r="Z118" i="16"/>
  <c r="Y118" i="16"/>
  <c r="X118" i="16"/>
  <c r="W118" i="16"/>
  <c r="V118" i="16"/>
  <c r="U118" i="16"/>
  <c r="T118" i="16"/>
  <c r="S118" i="16"/>
  <c r="R118" i="16"/>
  <c r="Q118" i="16"/>
  <c r="P118" i="16"/>
  <c r="O118" i="16"/>
  <c r="N118" i="16"/>
  <c r="M118" i="16"/>
  <c r="L118" i="16"/>
  <c r="K118" i="16"/>
  <c r="J118" i="16"/>
  <c r="I118" i="16"/>
  <c r="H118" i="16"/>
  <c r="G118" i="16"/>
  <c r="F118" i="16"/>
  <c r="AE117" i="16"/>
  <c r="AC117" i="16"/>
  <c r="AB117" i="16"/>
  <c r="AA117" i="16"/>
  <c r="Z117" i="16"/>
  <c r="Y117" i="16"/>
  <c r="X117" i="16"/>
  <c r="W117" i="16"/>
  <c r="V117" i="16"/>
  <c r="U117" i="16"/>
  <c r="T117" i="16"/>
  <c r="S117" i="16"/>
  <c r="R117" i="16"/>
  <c r="Q117" i="16"/>
  <c r="P117" i="16"/>
  <c r="O117" i="16"/>
  <c r="N117" i="16"/>
  <c r="M117" i="16"/>
  <c r="L117" i="16"/>
  <c r="K117" i="16"/>
  <c r="J117" i="16"/>
  <c r="I117" i="16"/>
  <c r="H117" i="16"/>
  <c r="G117" i="16"/>
  <c r="F117" i="16"/>
  <c r="AE116" i="16"/>
  <c r="AC116" i="16"/>
  <c r="AB116" i="16"/>
  <c r="AA116" i="16"/>
  <c r="Z116" i="16"/>
  <c r="Y116" i="16"/>
  <c r="X116" i="16"/>
  <c r="W116" i="16"/>
  <c r="V116" i="16"/>
  <c r="U116" i="16"/>
  <c r="T116" i="16"/>
  <c r="S116" i="16"/>
  <c r="R116" i="16"/>
  <c r="Q116" i="16"/>
  <c r="P116" i="16"/>
  <c r="O116" i="16"/>
  <c r="N116" i="16"/>
  <c r="M116" i="16"/>
  <c r="L116" i="16"/>
  <c r="K116" i="16"/>
  <c r="J116" i="16"/>
  <c r="I116" i="16"/>
  <c r="H116" i="16"/>
  <c r="G116" i="16"/>
  <c r="F116" i="16"/>
  <c r="AE115" i="16"/>
  <c r="AC115" i="16"/>
  <c r="AB115" i="16"/>
  <c r="AA115" i="16"/>
  <c r="Z115" i="16"/>
  <c r="Y115" i="16"/>
  <c r="X115" i="16"/>
  <c r="W115" i="16"/>
  <c r="V115" i="16"/>
  <c r="U115" i="16"/>
  <c r="T115" i="16"/>
  <c r="S115" i="16"/>
  <c r="R115" i="16"/>
  <c r="Q115" i="16"/>
  <c r="P115" i="16"/>
  <c r="O115" i="16"/>
  <c r="N115" i="16"/>
  <c r="M115" i="16"/>
  <c r="L115" i="16"/>
  <c r="K115" i="16"/>
  <c r="J115" i="16"/>
  <c r="I115" i="16"/>
  <c r="H115" i="16"/>
  <c r="G115" i="16"/>
  <c r="F115" i="16"/>
  <c r="AE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AE113" i="16"/>
  <c r="AC113" i="16"/>
  <c r="AB113" i="16"/>
  <c r="AA113" i="16"/>
  <c r="Z113" i="16"/>
  <c r="Y113" i="16"/>
  <c r="X113" i="16"/>
  <c r="W113" i="16"/>
  <c r="V113" i="16"/>
  <c r="U113" i="16"/>
  <c r="T113" i="16"/>
  <c r="S113" i="16"/>
  <c r="R113" i="16"/>
  <c r="Q113" i="16"/>
  <c r="P113" i="16"/>
  <c r="O113" i="16"/>
  <c r="N113" i="16"/>
  <c r="M113" i="16"/>
  <c r="L113" i="16"/>
  <c r="K113" i="16"/>
  <c r="J113" i="16"/>
  <c r="I113" i="16"/>
  <c r="H113" i="16"/>
  <c r="G113" i="16"/>
  <c r="F113" i="16"/>
  <c r="AE112" i="16"/>
  <c r="AC112" i="16"/>
  <c r="AB112" i="16"/>
  <c r="AA112" i="16"/>
  <c r="Z112" i="16"/>
  <c r="Y112" i="16"/>
  <c r="X112" i="16"/>
  <c r="W112" i="16"/>
  <c r="V112" i="16"/>
  <c r="U112" i="16"/>
  <c r="T112" i="16"/>
  <c r="S112" i="16"/>
  <c r="R112" i="16"/>
  <c r="Q112" i="16"/>
  <c r="P112" i="16"/>
  <c r="O112" i="16"/>
  <c r="N112" i="16"/>
  <c r="M112" i="16"/>
  <c r="L112" i="16"/>
  <c r="K112" i="16"/>
  <c r="J112" i="16"/>
  <c r="I112" i="16"/>
  <c r="H112" i="16"/>
  <c r="G112" i="16"/>
  <c r="F112" i="16"/>
  <c r="AE111" i="16"/>
  <c r="AC111" i="16"/>
  <c r="AB111" i="16"/>
  <c r="AA111" i="16"/>
  <c r="Z111" i="16"/>
  <c r="Y111" i="16"/>
  <c r="X111" i="16"/>
  <c r="W111" i="16"/>
  <c r="V111" i="16"/>
  <c r="U111" i="16"/>
  <c r="T111" i="16"/>
  <c r="S111" i="16"/>
  <c r="R111" i="16"/>
  <c r="Q111" i="16"/>
  <c r="P111" i="16"/>
  <c r="O111" i="16"/>
  <c r="N111" i="16"/>
  <c r="M111" i="16"/>
  <c r="L111" i="16"/>
  <c r="K111" i="16"/>
  <c r="J111" i="16"/>
  <c r="I111" i="16"/>
  <c r="H111" i="16"/>
  <c r="G111" i="16"/>
  <c r="F111" i="16"/>
  <c r="AE110" i="16"/>
  <c r="AC110" i="16"/>
  <c r="AB110" i="16"/>
  <c r="AA110" i="16"/>
  <c r="Z110" i="16"/>
  <c r="Y110" i="16"/>
  <c r="X110" i="16"/>
  <c r="W110" i="16"/>
  <c r="V110" i="16"/>
  <c r="U110" i="16"/>
  <c r="T110" i="16"/>
  <c r="S110" i="16"/>
  <c r="R110" i="16"/>
  <c r="Q110" i="16"/>
  <c r="P110" i="16"/>
  <c r="O110" i="16"/>
  <c r="N110" i="16"/>
  <c r="M110" i="16"/>
  <c r="L110" i="16"/>
  <c r="K110" i="16"/>
  <c r="J110" i="16"/>
  <c r="I110" i="16"/>
  <c r="H110" i="16"/>
  <c r="G110" i="16"/>
  <c r="F110" i="16"/>
  <c r="AE109" i="16"/>
  <c r="AC109" i="16"/>
  <c r="AB109" i="16"/>
  <c r="AA109" i="16"/>
  <c r="Z109" i="16"/>
  <c r="Y109" i="16"/>
  <c r="X109" i="16"/>
  <c r="W109" i="16"/>
  <c r="V109" i="16"/>
  <c r="U109" i="16"/>
  <c r="T109" i="16"/>
  <c r="S109" i="16"/>
  <c r="R109" i="16"/>
  <c r="Q109" i="16"/>
  <c r="P109" i="16"/>
  <c r="O109" i="16"/>
  <c r="N109" i="16"/>
  <c r="M109" i="16"/>
  <c r="L109" i="16"/>
  <c r="K109" i="16"/>
  <c r="J109" i="16"/>
  <c r="I109" i="16"/>
  <c r="H109" i="16"/>
  <c r="G109" i="16"/>
  <c r="F109" i="16"/>
  <c r="AE108" i="16"/>
  <c r="AC108" i="16"/>
  <c r="AB108" i="16"/>
  <c r="AA108" i="16"/>
  <c r="Z108" i="16"/>
  <c r="Y108" i="16"/>
  <c r="X108" i="16"/>
  <c r="W108" i="16"/>
  <c r="V108" i="16"/>
  <c r="U108" i="16"/>
  <c r="T108" i="16"/>
  <c r="S108" i="16"/>
  <c r="R108" i="16"/>
  <c r="Q108" i="16"/>
  <c r="P108" i="16"/>
  <c r="O108" i="16"/>
  <c r="N108" i="16"/>
  <c r="M108" i="16"/>
  <c r="L108" i="16"/>
  <c r="K108" i="16"/>
  <c r="J108" i="16"/>
  <c r="I108" i="16"/>
  <c r="H108" i="16"/>
  <c r="G108" i="16"/>
  <c r="F108" i="16"/>
  <c r="AE107" i="16"/>
  <c r="AC107" i="16"/>
  <c r="AB107" i="16"/>
  <c r="AA107" i="16"/>
  <c r="Z107" i="16"/>
  <c r="Y107" i="16"/>
  <c r="X107" i="16"/>
  <c r="W107" i="16"/>
  <c r="V107" i="16"/>
  <c r="U107" i="16"/>
  <c r="T107" i="16"/>
  <c r="S107" i="16"/>
  <c r="R107" i="16"/>
  <c r="Q107" i="16"/>
  <c r="P107" i="16"/>
  <c r="O107" i="16"/>
  <c r="N107" i="16"/>
  <c r="M107" i="16"/>
  <c r="L107" i="16"/>
  <c r="K107" i="16"/>
  <c r="J107" i="16"/>
  <c r="I107" i="16"/>
  <c r="H107" i="16"/>
  <c r="G107" i="16"/>
  <c r="F107" i="16"/>
  <c r="AE106" i="16"/>
  <c r="AC106" i="16"/>
  <c r="AB106" i="16"/>
  <c r="AA106" i="16"/>
  <c r="Z106" i="16"/>
  <c r="Y106" i="16"/>
  <c r="X106" i="16"/>
  <c r="W106" i="16"/>
  <c r="V106" i="16"/>
  <c r="U106" i="16"/>
  <c r="T106" i="16"/>
  <c r="S106" i="16"/>
  <c r="R106" i="16"/>
  <c r="Q106" i="16"/>
  <c r="P106" i="16"/>
  <c r="O106" i="16"/>
  <c r="N106" i="16"/>
  <c r="M106" i="16"/>
  <c r="L106" i="16"/>
  <c r="K106" i="16"/>
  <c r="J106" i="16"/>
  <c r="I106" i="16"/>
  <c r="H106" i="16"/>
  <c r="G106" i="16"/>
  <c r="F106" i="16"/>
  <c r="AE105" i="16"/>
  <c r="AC105" i="16"/>
  <c r="AB105" i="16"/>
  <c r="AA105" i="16"/>
  <c r="Z105" i="16"/>
  <c r="Y105" i="16"/>
  <c r="X105" i="16"/>
  <c r="W105" i="16"/>
  <c r="V105" i="16"/>
  <c r="U105" i="16"/>
  <c r="T105" i="16"/>
  <c r="S105" i="16"/>
  <c r="R105" i="16"/>
  <c r="Q105" i="16"/>
  <c r="P105" i="16"/>
  <c r="O105" i="16"/>
  <c r="N105" i="16"/>
  <c r="M105" i="16"/>
  <c r="L105" i="16"/>
  <c r="K105" i="16"/>
  <c r="J105" i="16"/>
  <c r="I105" i="16"/>
  <c r="H105" i="16"/>
  <c r="G105" i="16"/>
  <c r="F105" i="16"/>
  <c r="AE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AE103" i="16"/>
  <c r="AC103" i="16"/>
  <c r="AB103" i="16"/>
  <c r="AA103" i="16"/>
  <c r="Z103" i="16"/>
  <c r="Y103" i="16"/>
  <c r="X103" i="16"/>
  <c r="W103" i="16"/>
  <c r="V103" i="16"/>
  <c r="U103" i="16"/>
  <c r="T103" i="16"/>
  <c r="S103" i="16"/>
  <c r="R103" i="16"/>
  <c r="Q103" i="16"/>
  <c r="P103" i="16"/>
  <c r="O103" i="16"/>
  <c r="N103" i="16"/>
  <c r="M103" i="16"/>
  <c r="L103" i="16"/>
  <c r="K103" i="16"/>
  <c r="J103" i="16"/>
  <c r="I103" i="16"/>
  <c r="H103" i="16"/>
  <c r="G103" i="16"/>
  <c r="F103" i="16"/>
  <c r="AE102" i="16"/>
  <c r="AC102" i="16"/>
  <c r="AB102" i="16"/>
  <c r="AA102" i="16"/>
  <c r="Z102" i="16"/>
  <c r="Y102" i="16"/>
  <c r="X102" i="16"/>
  <c r="W102" i="16"/>
  <c r="V102" i="16"/>
  <c r="U102" i="16"/>
  <c r="T102" i="16"/>
  <c r="S102" i="16"/>
  <c r="R102" i="16"/>
  <c r="Q102" i="16"/>
  <c r="P102" i="16"/>
  <c r="O102" i="16"/>
  <c r="N102" i="16"/>
  <c r="M102" i="16"/>
  <c r="L102" i="16"/>
  <c r="K102" i="16"/>
  <c r="J102" i="16"/>
  <c r="I102" i="16"/>
  <c r="H102" i="16"/>
  <c r="G102" i="16"/>
  <c r="F102" i="16"/>
  <c r="AE101" i="16"/>
  <c r="AC101" i="16"/>
  <c r="AB101" i="16"/>
  <c r="AA101" i="16"/>
  <c r="Z101" i="16"/>
  <c r="Y101" i="16"/>
  <c r="X101" i="16"/>
  <c r="W101" i="16"/>
  <c r="V101" i="16"/>
  <c r="U101" i="16"/>
  <c r="T101" i="16"/>
  <c r="S101" i="16"/>
  <c r="R101" i="16"/>
  <c r="Q101" i="16"/>
  <c r="P101" i="16"/>
  <c r="O101" i="16"/>
  <c r="N101" i="16"/>
  <c r="M101" i="16"/>
  <c r="L101" i="16"/>
  <c r="K101" i="16"/>
  <c r="J101" i="16"/>
  <c r="I101" i="16"/>
  <c r="H101" i="16"/>
  <c r="G101" i="16"/>
  <c r="F101" i="16"/>
  <c r="AE100" i="16"/>
  <c r="AC100" i="16"/>
  <c r="AB100" i="16"/>
  <c r="AA100" i="16"/>
  <c r="Z100" i="16"/>
  <c r="Y100" i="16"/>
  <c r="X100" i="16"/>
  <c r="W100" i="16"/>
  <c r="V100" i="16"/>
  <c r="U100" i="16"/>
  <c r="T100" i="16"/>
  <c r="S100" i="16"/>
  <c r="R100" i="16"/>
  <c r="Q100" i="16"/>
  <c r="P100" i="16"/>
  <c r="O100" i="16"/>
  <c r="N100" i="16"/>
  <c r="M100" i="16"/>
  <c r="L100" i="16"/>
  <c r="K100" i="16"/>
  <c r="J100" i="16"/>
  <c r="I100" i="16"/>
  <c r="H100" i="16"/>
  <c r="G100" i="16"/>
  <c r="F100" i="16"/>
  <c r="AE99" i="16"/>
  <c r="AC99" i="16"/>
  <c r="AB99" i="16"/>
  <c r="AA99" i="16"/>
  <c r="Z99" i="16"/>
  <c r="Y99" i="16"/>
  <c r="X99" i="16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AE98" i="16"/>
  <c r="AC98" i="16"/>
  <c r="AB98" i="16"/>
  <c r="AA98" i="16"/>
  <c r="Z98" i="16"/>
  <c r="Y98" i="16"/>
  <c r="X98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AE97" i="16"/>
  <c r="AC97" i="16"/>
  <c r="AB97" i="16"/>
  <c r="AA97" i="16"/>
  <c r="Z97" i="16"/>
  <c r="Y97" i="16"/>
  <c r="X97" i="16"/>
  <c r="W97" i="16"/>
  <c r="V97" i="16"/>
  <c r="U97" i="16"/>
  <c r="T97" i="16"/>
  <c r="S97" i="16"/>
  <c r="R97" i="16"/>
  <c r="Q97" i="16"/>
  <c r="P97" i="16"/>
  <c r="O97" i="16"/>
  <c r="N97" i="16"/>
  <c r="M97" i="16"/>
  <c r="L97" i="16"/>
  <c r="K97" i="16"/>
  <c r="J97" i="16"/>
  <c r="I97" i="16"/>
  <c r="H97" i="16"/>
  <c r="G97" i="16"/>
  <c r="F97" i="16"/>
  <c r="AE96" i="16"/>
  <c r="AC96" i="16"/>
  <c r="AB96" i="16"/>
  <c r="AA96" i="16"/>
  <c r="Z96" i="16"/>
  <c r="Y96" i="16"/>
  <c r="X96" i="16"/>
  <c r="W96" i="16"/>
  <c r="V96" i="16"/>
  <c r="U96" i="16"/>
  <c r="T96" i="16"/>
  <c r="S96" i="16"/>
  <c r="R96" i="16"/>
  <c r="Q96" i="16"/>
  <c r="P96" i="16"/>
  <c r="O96" i="16"/>
  <c r="N96" i="16"/>
  <c r="M96" i="16"/>
  <c r="L96" i="16"/>
  <c r="K96" i="16"/>
  <c r="J96" i="16"/>
  <c r="I96" i="16"/>
  <c r="H96" i="16"/>
  <c r="G96" i="16"/>
  <c r="F96" i="16"/>
  <c r="AE95" i="16"/>
  <c r="AC95" i="16"/>
  <c r="AB95" i="16"/>
  <c r="AA95" i="16"/>
  <c r="Z95" i="16"/>
  <c r="Y95" i="16"/>
  <c r="X95" i="16"/>
  <c r="W95" i="16"/>
  <c r="V95" i="16"/>
  <c r="U95" i="16"/>
  <c r="T95" i="16"/>
  <c r="S95" i="16"/>
  <c r="R95" i="16"/>
  <c r="Q95" i="16"/>
  <c r="P95" i="16"/>
  <c r="O95" i="16"/>
  <c r="N95" i="16"/>
  <c r="M95" i="16"/>
  <c r="L95" i="16"/>
  <c r="K95" i="16"/>
  <c r="J95" i="16"/>
  <c r="I95" i="16"/>
  <c r="H95" i="16"/>
  <c r="G95" i="16"/>
  <c r="F95" i="16"/>
  <c r="AE94" i="16"/>
  <c r="AC94" i="16"/>
  <c r="AB94" i="16"/>
  <c r="AA94" i="16"/>
  <c r="Z94" i="16"/>
  <c r="Y94" i="16"/>
  <c r="X94" i="16"/>
  <c r="W94" i="16"/>
  <c r="V94" i="16"/>
  <c r="U94" i="16"/>
  <c r="T94" i="16"/>
  <c r="S94" i="16"/>
  <c r="R94" i="16"/>
  <c r="Q94" i="16"/>
  <c r="P94" i="16"/>
  <c r="O94" i="16"/>
  <c r="N94" i="16"/>
  <c r="M94" i="16"/>
  <c r="L94" i="16"/>
  <c r="K94" i="16"/>
  <c r="J94" i="16"/>
  <c r="I94" i="16"/>
  <c r="H94" i="16"/>
  <c r="G94" i="16"/>
  <c r="F94" i="16"/>
  <c r="AE93" i="16"/>
  <c r="AC93" i="16"/>
  <c r="AB93" i="16"/>
  <c r="AA93" i="16"/>
  <c r="Z93" i="16"/>
  <c r="Y93" i="16"/>
  <c r="X93" i="16"/>
  <c r="W93" i="16"/>
  <c r="V93" i="16"/>
  <c r="U93" i="16"/>
  <c r="T93" i="16"/>
  <c r="S93" i="16"/>
  <c r="R93" i="16"/>
  <c r="Q93" i="16"/>
  <c r="P93" i="16"/>
  <c r="O93" i="16"/>
  <c r="N93" i="16"/>
  <c r="M93" i="16"/>
  <c r="L93" i="16"/>
  <c r="K93" i="16"/>
  <c r="J93" i="16"/>
  <c r="I93" i="16"/>
  <c r="H93" i="16"/>
  <c r="G93" i="16"/>
  <c r="F93" i="16"/>
  <c r="AE92" i="16"/>
  <c r="AC92" i="16"/>
  <c r="AB92" i="16"/>
  <c r="AA92" i="16"/>
  <c r="Z92" i="16"/>
  <c r="Y92" i="16"/>
  <c r="X92" i="16"/>
  <c r="W92" i="16"/>
  <c r="V92" i="16"/>
  <c r="U92" i="16"/>
  <c r="T92" i="16"/>
  <c r="S92" i="16"/>
  <c r="R92" i="16"/>
  <c r="Q92" i="16"/>
  <c r="P92" i="16"/>
  <c r="O92" i="16"/>
  <c r="N92" i="16"/>
  <c r="M92" i="16"/>
  <c r="L92" i="16"/>
  <c r="K92" i="16"/>
  <c r="J92" i="16"/>
  <c r="I92" i="16"/>
  <c r="H92" i="16"/>
  <c r="G92" i="16"/>
  <c r="F92" i="16"/>
  <c r="AE91" i="16"/>
  <c r="AC91" i="16"/>
  <c r="AB91" i="16"/>
  <c r="AA91" i="16"/>
  <c r="Z91" i="16"/>
  <c r="Y91" i="16"/>
  <c r="X91" i="16"/>
  <c r="W91" i="16"/>
  <c r="V91" i="16"/>
  <c r="U91" i="16"/>
  <c r="T91" i="16"/>
  <c r="S91" i="16"/>
  <c r="R91" i="16"/>
  <c r="Q91" i="16"/>
  <c r="P91" i="16"/>
  <c r="O91" i="16"/>
  <c r="N91" i="16"/>
  <c r="M91" i="16"/>
  <c r="L91" i="16"/>
  <c r="K91" i="16"/>
  <c r="J91" i="16"/>
  <c r="I91" i="16"/>
  <c r="H91" i="16"/>
  <c r="G91" i="16"/>
  <c r="F91" i="16"/>
  <c r="AE90" i="16"/>
  <c r="AC90" i="16"/>
  <c r="AB90" i="16"/>
  <c r="AA90" i="16"/>
  <c r="Z90" i="16"/>
  <c r="Y90" i="16"/>
  <c r="X90" i="16"/>
  <c r="W90" i="16"/>
  <c r="V90" i="16"/>
  <c r="U90" i="16"/>
  <c r="T90" i="16"/>
  <c r="S90" i="16"/>
  <c r="R90" i="16"/>
  <c r="Q90" i="16"/>
  <c r="P90" i="16"/>
  <c r="O90" i="16"/>
  <c r="N90" i="16"/>
  <c r="M90" i="16"/>
  <c r="L90" i="16"/>
  <c r="K90" i="16"/>
  <c r="J90" i="16"/>
  <c r="I90" i="16"/>
  <c r="H90" i="16"/>
  <c r="G90" i="16"/>
  <c r="F90" i="16"/>
  <c r="AE89" i="16"/>
  <c r="AC89" i="16"/>
  <c r="AB89" i="16"/>
  <c r="AA89" i="16"/>
  <c r="Z89" i="16"/>
  <c r="Y89" i="16"/>
  <c r="X89" i="16"/>
  <c r="W89" i="16"/>
  <c r="V89" i="16"/>
  <c r="U89" i="16"/>
  <c r="T89" i="16"/>
  <c r="S89" i="16"/>
  <c r="R89" i="16"/>
  <c r="Q89" i="16"/>
  <c r="P89" i="16"/>
  <c r="O89" i="16"/>
  <c r="N89" i="16"/>
  <c r="M89" i="16"/>
  <c r="L89" i="16"/>
  <c r="K89" i="16"/>
  <c r="J89" i="16"/>
  <c r="I89" i="16"/>
  <c r="H89" i="16"/>
  <c r="G89" i="16"/>
  <c r="F89" i="16"/>
  <c r="AE88" i="16"/>
  <c r="AC88" i="16"/>
  <c r="AB88" i="16"/>
  <c r="AA88" i="16"/>
  <c r="Z88" i="16"/>
  <c r="Y88" i="16"/>
  <c r="X88" i="16"/>
  <c r="W88" i="16"/>
  <c r="V88" i="16"/>
  <c r="U88" i="16"/>
  <c r="T88" i="16"/>
  <c r="S88" i="16"/>
  <c r="R88" i="16"/>
  <c r="Q88" i="16"/>
  <c r="P88" i="16"/>
  <c r="O88" i="16"/>
  <c r="N88" i="16"/>
  <c r="M88" i="16"/>
  <c r="L88" i="16"/>
  <c r="K88" i="16"/>
  <c r="J88" i="16"/>
  <c r="I88" i="16"/>
  <c r="H88" i="16"/>
  <c r="G88" i="16"/>
  <c r="F88" i="16"/>
  <c r="AE87" i="16"/>
  <c r="AC87" i="16"/>
  <c r="AB87" i="16"/>
  <c r="AA87" i="16"/>
  <c r="Z87" i="16"/>
  <c r="Y87" i="16"/>
  <c r="X87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AE86" i="16"/>
  <c r="AC86" i="16"/>
  <c r="AB86" i="16"/>
  <c r="AA86" i="16"/>
  <c r="Z86" i="16"/>
  <c r="Y86" i="16"/>
  <c r="X86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AE85" i="16"/>
  <c r="AC85" i="16"/>
  <c r="AB85" i="16"/>
  <c r="AA85" i="16"/>
  <c r="Z85" i="16"/>
  <c r="Y85" i="16"/>
  <c r="X85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AE84" i="16"/>
  <c r="AC84" i="16"/>
  <c r="AB84" i="16"/>
  <c r="AA84" i="16"/>
  <c r="Z84" i="16"/>
  <c r="Y84" i="16"/>
  <c r="X84" i="16"/>
  <c r="W84" i="16"/>
  <c r="V84" i="16"/>
  <c r="U84" i="16"/>
  <c r="T84" i="16"/>
  <c r="S84" i="16"/>
  <c r="R84" i="16"/>
  <c r="Q84" i="16"/>
  <c r="P84" i="16"/>
  <c r="O84" i="16"/>
  <c r="N84" i="16"/>
  <c r="M84" i="16"/>
  <c r="L84" i="16"/>
  <c r="K84" i="16"/>
  <c r="J84" i="16"/>
  <c r="I84" i="16"/>
  <c r="H84" i="16"/>
  <c r="G84" i="16"/>
  <c r="F84" i="16"/>
  <c r="AE83" i="16"/>
  <c r="AC83" i="16"/>
  <c r="AB83" i="16"/>
  <c r="AA83" i="16"/>
  <c r="Z83" i="16"/>
  <c r="Y83" i="16"/>
  <c r="X83" i="16"/>
  <c r="W83" i="16"/>
  <c r="V83" i="16"/>
  <c r="U83" i="16"/>
  <c r="T83" i="16"/>
  <c r="S83" i="16"/>
  <c r="R83" i="16"/>
  <c r="Q83" i="16"/>
  <c r="P83" i="16"/>
  <c r="O83" i="16"/>
  <c r="N83" i="16"/>
  <c r="M83" i="16"/>
  <c r="L83" i="16"/>
  <c r="K83" i="16"/>
  <c r="J83" i="16"/>
  <c r="I83" i="16"/>
  <c r="H83" i="16"/>
  <c r="G83" i="16"/>
  <c r="F83" i="16"/>
  <c r="AE82" i="16"/>
  <c r="AC82" i="16"/>
  <c r="AB82" i="16"/>
  <c r="AA82" i="16"/>
  <c r="Z82" i="16"/>
  <c r="Y82" i="16"/>
  <c r="X82" i="16"/>
  <c r="W82" i="16"/>
  <c r="V82" i="16"/>
  <c r="U82" i="16"/>
  <c r="T82" i="16"/>
  <c r="S82" i="16"/>
  <c r="R82" i="16"/>
  <c r="Q82" i="16"/>
  <c r="P82" i="16"/>
  <c r="O82" i="16"/>
  <c r="N82" i="16"/>
  <c r="M82" i="16"/>
  <c r="L82" i="16"/>
  <c r="K82" i="16"/>
  <c r="J82" i="16"/>
  <c r="I82" i="16"/>
  <c r="H82" i="16"/>
  <c r="G82" i="16"/>
  <c r="F82" i="16"/>
  <c r="AE81" i="16"/>
  <c r="AC81" i="16"/>
  <c r="AB81" i="16"/>
  <c r="AA81" i="16"/>
  <c r="Z81" i="16"/>
  <c r="Y81" i="16"/>
  <c r="X81" i="16"/>
  <c r="W81" i="16"/>
  <c r="V81" i="16"/>
  <c r="U81" i="16"/>
  <c r="T81" i="16"/>
  <c r="S81" i="16"/>
  <c r="R81" i="16"/>
  <c r="Q81" i="16"/>
  <c r="P81" i="16"/>
  <c r="O81" i="16"/>
  <c r="N81" i="16"/>
  <c r="M81" i="16"/>
  <c r="L81" i="16"/>
  <c r="K81" i="16"/>
  <c r="J81" i="16"/>
  <c r="I81" i="16"/>
  <c r="H81" i="16"/>
  <c r="G81" i="16"/>
  <c r="F81" i="16"/>
  <c r="AE80" i="16"/>
  <c r="AC80" i="16"/>
  <c r="AB80" i="16"/>
  <c r="AA80" i="16"/>
  <c r="Z80" i="16"/>
  <c r="Y80" i="16"/>
  <c r="X80" i="16"/>
  <c r="W80" i="16"/>
  <c r="V80" i="16"/>
  <c r="U80" i="16"/>
  <c r="T80" i="16"/>
  <c r="S80" i="16"/>
  <c r="R80" i="16"/>
  <c r="Q80" i="16"/>
  <c r="P80" i="16"/>
  <c r="O80" i="16"/>
  <c r="N80" i="16"/>
  <c r="M80" i="16"/>
  <c r="L80" i="16"/>
  <c r="K80" i="16"/>
  <c r="J80" i="16"/>
  <c r="I80" i="16"/>
  <c r="H80" i="16"/>
  <c r="G80" i="16"/>
  <c r="F80" i="16"/>
  <c r="AE79" i="16"/>
  <c r="AC79" i="16"/>
  <c r="AB79" i="16"/>
  <c r="AA79" i="16"/>
  <c r="Z79" i="16"/>
  <c r="Y79" i="16"/>
  <c r="X79" i="16"/>
  <c r="W79" i="16"/>
  <c r="V79" i="16"/>
  <c r="U79" i="16"/>
  <c r="T79" i="16"/>
  <c r="S79" i="16"/>
  <c r="R79" i="16"/>
  <c r="Q79" i="16"/>
  <c r="P79" i="16"/>
  <c r="O79" i="16"/>
  <c r="N79" i="16"/>
  <c r="M79" i="16"/>
  <c r="L79" i="16"/>
  <c r="K79" i="16"/>
  <c r="J79" i="16"/>
  <c r="I79" i="16"/>
  <c r="H79" i="16"/>
  <c r="G79" i="16"/>
  <c r="F79" i="16"/>
  <c r="AE78" i="16"/>
  <c r="AC78" i="16"/>
  <c r="AB78" i="16"/>
  <c r="AA78" i="16"/>
  <c r="Z78" i="16"/>
  <c r="Y78" i="16"/>
  <c r="X78" i="16"/>
  <c r="W78" i="16"/>
  <c r="V78" i="16"/>
  <c r="U78" i="16"/>
  <c r="T78" i="16"/>
  <c r="S78" i="16"/>
  <c r="R78" i="16"/>
  <c r="Q78" i="16"/>
  <c r="P78" i="16"/>
  <c r="O78" i="16"/>
  <c r="N78" i="16"/>
  <c r="M78" i="16"/>
  <c r="L78" i="16"/>
  <c r="K78" i="16"/>
  <c r="J78" i="16"/>
  <c r="I78" i="16"/>
  <c r="H78" i="16"/>
  <c r="G78" i="16"/>
  <c r="F78" i="16"/>
  <c r="AE77" i="16"/>
  <c r="AC77" i="16"/>
  <c r="AB77" i="16"/>
  <c r="AA77" i="16"/>
  <c r="Z77" i="16"/>
  <c r="Y77" i="16"/>
  <c r="X77" i="16"/>
  <c r="W77" i="16"/>
  <c r="V77" i="16"/>
  <c r="U77" i="16"/>
  <c r="T77" i="16"/>
  <c r="S77" i="16"/>
  <c r="R77" i="16"/>
  <c r="Q77" i="16"/>
  <c r="P77" i="16"/>
  <c r="O77" i="16"/>
  <c r="N77" i="16"/>
  <c r="M77" i="16"/>
  <c r="L77" i="16"/>
  <c r="K77" i="16"/>
  <c r="J77" i="16"/>
  <c r="I77" i="16"/>
  <c r="H77" i="16"/>
  <c r="G77" i="16"/>
  <c r="F77" i="16"/>
  <c r="AE76" i="16"/>
  <c r="AC76" i="16"/>
  <c r="AB76" i="16"/>
  <c r="AA76" i="16"/>
  <c r="Z76" i="16"/>
  <c r="Y76" i="16"/>
  <c r="X76" i="16"/>
  <c r="W76" i="16"/>
  <c r="V76" i="16"/>
  <c r="U76" i="16"/>
  <c r="T76" i="16"/>
  <c r="S76" i="16"/>
  <c r="R76" i="16"/>
  <c r="Q76" i="16"/>
  <c r="P76" i="16"/>
  <c r="O76" i="16"/>
  <c r="N76" i="16"/>
  <c r="M76" i="16"/>
  <c r="L76" i="16"/>
  <c r="K76" i="16"/>
  <c r="J76" i="16"/>
  <c r="I76" i="16"/>
  <c r="H76" i="16"/>
  <c r="G76" i="16"/>
  <c r="F76" i="16"/>
  <c r="AE75" i="16"/>
  <c r="AC75" i="16"/>
  <c r="AB75" i="16"/>
  <c r="AA75" i="16"/>
  <c r="Z75" i="16"/>
  <c r="Y75" i="16"/>
  <c r="X75" i="16"/>
  <c r="W75" i="16"/>
  <c r="V75" i="16"/>
  <c r="U75" i="16"/>
  <c r="T75" i="16"/>
  <c r="S75" i="16"/>
  <c r="R75" i="16"/>
  <c r="Q75" i="16"/>
  <c r="P75" i="16"/>
  <c r="O75" i="16"/>
  <c r="N75" i="16"/>
  <c r="M75" i="16"/>
  <c r="L75" i="16"/>
  <c r="K75" i="16"/>
  <c r="J75" i="16"/>
  <c r="I75" i="16"/>
  <c r="H75" i="16"/>
  <c r="G75" i="16"/>
  <c r="F75" i="16"/>
  <c r="AE74" i="16"/>
  <c r="AC74" i="16"/>
  <c r="AB74" i="16"/>
  <c r="AA74" i="16"/>
  <c r="Z74" i="16"/>
  <c r="Y74" i="16"/>
  <c r="X74" i="16"/>
  <c r="W74" i="16"/>
  <c r="V74" i="16"/>
  <c r="U74" i="16"/>
  <c r="T74" i="16"/>
  <c r="S74" i="16"/>
  <c r="R74" i="16"/>
  <c r="Q74" i="16"/>
  <c r="P74" i="16"/>
  <c r="O74" i="16"/>
  <c r="N74" i="16"/>
  <c r="M74" i="16"/>
  <c r="L74" i="16"/>
  <c r="K74" i="16"/>
  <c r="J74" i="16"/>
  <c r="I74" i="16"/>
  <c r="H74" i="16"/>
  <c r="G74" i="16"/>
  <c r="F74" i="16"/>
  <c r="AE73" i="16"/>
  <c r="AC73" i="16"/>
  <c r="AB73" i="16"/>
  <c r="AA73" i="16"/>
  <c r="Z73" i="16"/>
  <c r="Y73" i="16"/>
  <c r="X73" i="16"/>
  <c r="W73" i="16"/>
  <c r="V73" i="16"/>
  <c r="U73" i="16"/>
  <c r="T73" i="16"/>
  <c r="S73" i="16"/>
  <c r="R73" i="16"/>
  <c r="Q73" i="16"/>
  <c r="P73" i="16"/>
  <c r="O73" i="16"/>
  <c r="N73" i="16"/>
  <c r="M73" i="16"/>
  <c r="L73" i="16"/>
  <c r="K73" i="16"/>
  <c r="J73" i="16"/>
  <c r="I73" i="16"/>
  <c r="H73" i="16"/>
  <c r="G73" i="16"/>
  <c r="F73" i="16"/>
  <c r="AE72" i="16"/>
  <c r="AC72" i="16"/>
  <c r="AB72" i="16"/>
  <c r="AA72" i="16"/>
  <c r="Z72" i="16"/>
  <c r="Y72" i="16"/>
  <c r="X72" i="16"/>
  <c r="W72" i="16"/>
  <c r="V72" i="16"/>
  <c r="U72" i="16"/>
  <c r="T72" i="16"/>
  <c r="S72" i="16"/>
  <c r="R72" i="16"/>
  <c r="Q72" i="16"/>
  <c r="P72" i="16"/>
  <c r="O72" i="16"/>
  <c r="N72" i="16"/>
  <c r="M72" i="16"/>
  <c r="L72" i="16"/>
  <c r="K72" i="16"/>
  <c r="J72" i="16"/>
  <c r="I72" i="16"/>
  <c r="H72" i="16"/>
  <c r="G72" i="16"/>
  <c r="F72" i="16"/>
  <c r="AE71" i="16"/>
  <c r="AC71" i="16"/>
  <c r="AB71" i="16"/>
  <c r="AA71" i="16"/>
  <c r="Z71" i="16"/>
  <c r="Y71" i="16"/>
  <c r="X71" i="16"/>
  <c r="W71" i="16"/>
  <c r="V71" i="16"/>
  <c r="U71" i="16"/>
  <c r="T71" i="16"/>
  <c r="S71" i="16"/>
  <c r="R71" i="16"/>
  <c r="Q71" i="16"/>
  <c r="P71" i="16"/>
  <c r="O71" i="16"/>
  <c r="N71" i="16"/>
  <c r="M71" i="16"/>
  <c r="L71" i="16"/>
  <c r="K71" i="16"/>
  <c r="J71" i="16"/>
  <c r="I71" i="16"/>
  <c r="H71" i="16"/>
  <c r="G71" i="16"/>
  <c r="F71" i="16"/>
  <c r="AE70" i="16"/>
  <c r="AC70" i="16"/>
  <c r="AB70" i="16"/>
  <c r="AA70" i="16"/>
  <c r="Z70" i="16"/>
  <c r="Y70" i="16"/>
  <c r="X70" i="16"/>
  <c r="W70" i="16"/>
  <c r="V70" i="16"/>
  <c r="U70" i="16"/>
  <c r="T70" i="16"/>
  <c r="S70" i="16"/>
  <c r="R70" i="16"/>
  <c r="Q70" i="16"/>
  <c r="P70" i="16"/>
  <c r="O70" i="16"/>
  <c r="N70" i="16"/>
  <c r="M70" i="16"/>
  <c r="L70" i="16"/>
  <c r="K70" i="16"/>
  <c r="J70" i="16"/>
  <c r="I70" i="16"/>
  <c r="H70" i="16"/>
  <c r="G70" i="16"/>
  <c r="F70" i="16"/>
  <c r="AE69" i="16"/>
  <c r="AC69" i="16"/>
  <c r="AB69" i="16"/>
  <c r="AA69" i="16"/>
  <c r="Z69" i="16"/>
  <c r="Y69" i="16"/>
  <c r="X69" i="16"/>
  <c r="W69" i="16"/>
  <c r="V69" i="16"/>
  <c r="U69" i="16"/>
  <c r="T69" i="16"/>
  <c r="S69" i="16"/>
  <c r="R69" i="16"/>
  <c r="Q69" i="16"/>
  <c r="P69" i="16"/>
  <c r="O69" i="16"/>
  <c r="N69" i="16"/>
  <c r="M69" i="16"/>
  <c r="L69" i="16"/>
  <c r="K69" i="16"/>
  <c r="J69" i="16"/>
  <c r="I69" i="16"/>
  <c r="H69" i="16"/>
  <c r="G69" i="16"/>
  <c r="F69" i="16"/>
  <c r="AE68" i="16"/>
  <c r="AC68" i="16"/>
  <c r="AB68" i="16"/>
  <c r="AA68" i="16"/>
  <c r="Z68" i="16"/>
  <c r="Y68" i="16"/>
  <c r="X68" i="16"/>
  <c r="W68" i="16"/>
  <c r="V68" i="16"/>
  <c r="U68" i="16"/>
  <c r="T68" i="16"/>
  <c r="S68" i="16"/>
  <c r="R68" i="16"/>
  <c r="Q68" i="16"/>
  <c r="P68" i="16"/>
  <c r="O68" i="16"/>
  <c r="N68" i="16"/>
  <c r="M68" i="16"/>
  <c r="L68" i="16"/>
  <c r="K68" i="16"/>
  <c r="J68" i="16"/>
  <c r="I68" i="16"/>
  <c r="H68" i="16"/>
  <c r="G68" i="16"/>
  <c r="F68" i="16"/>
  <c r="AE67" i="16"/>
  <c r="AC67" i="16"/>
  <c r="AB67" i="16"/>
  <c r="AA67" i="16"/>
  <c r="Z67" i="16"/>
  <c r="Y67" i="16"/>
  <c r="X67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AE66" i="16"/>
  <c r="AC66" i="16"/>
  <c r="AB66" i="16"/>
  <c r="AA66" i="16"/>
  <c r="Z66" i="16"/>
  <c r="Y66" i="16"/>
  <c r="X66" i="16"/>
  <c r="W66" i="16"/>
  <c r="V66" i="16"/>
  <c r="U66" i="16"/>
  <c r="T66" i="16"/>
  <c r="S66" i="16"/>
  <c r="R66" i="16"/>
  <c r="Q66" i="16"/>
  <c r="P66" i="16"/>
  <c r="O66" i="16"/>
  <c r="N66" i="16"/>
  <c r="M66" i="16"/>
  <c r="L66" i="16"/>
  <c r="K66" i="16"/>
  <c r="J66" i="16"/>
  <c r="I66" i="16"/>
  <c r="H66" i="16"/>
  <c r="G66" i="16"/>
  <c r="F66" i="16"/>
  <c r="AE65" i="16"/>
  <c r="AC65" i="16"/>
  <c r="AB65" i="16"/>
  <c r="AA65" i="16"/>
  <c r="Z65" i="16"/>
  <c r="Y65" i="16"/>
  <c r="X65" i="16"/>
  <c r="W65" i="16"/>
  <c r="V65" i="16"/>
  <c r="U65" i="16"/>
  <c r="T65" i="16"/>
  <c r="S65" i="16"/>
  <c r="R65" i="16"/>
  <c r="Q65" i="16"/>
  <c r="P65" i="16"/>
  <c r="O65" i="16"/>
  <c r="N65" i="16"/>
  <c r="M65" i="16"/>
  <c r="L65" i="16"/>
  <c r="K65" i="16"/>
  <c r="J65" i="16"/>
  <c r="I65" i="16"/>
  <c r="H65" i="16"/>
  <c r="G65" i="16"/>
  <c r="F65" i="16"/>
  <c r="AE64" i="16"/>
  <c r="AC64" i="16"/>
  <c r="AB64" i="16"/>
  <c r="AA64" i="16"/>
  <c r="Z64" i="16"/>
  <c r="Y64" i="16"/>
  <c r="X64" i="16"/>
  <c r="W64" i="16"/>
  <c r="V64" i="16"/>
  <c r="U64" i="16"/>
  <c r="T64" i="16"/>
  <c r="S64" i="16"/>
  <c r="R64" i="16"/>
  <c r="Q64" i="16"/>
  <c r="P64" i="16"/>
  <c r="O64" i="16"/>
  <c r="N64" i="16"/>
  <c r="M64" i="16"/>
  <c r="L64" i="16"/>
  <c r="K64" i="16"/>
  <c r="J64" i="16"/>
  <c r="I64" i="16"/>
  <c r="H64" i="16"/>
  <c r="G64" i="16"/>
  <c r="F64" i="16"/>
  <c r="AE63" i="16"/>
  <c r="AC63" i="16"/>
  <c r="AB63" i="16"/>
  <c r="AA63" i="16"/>
  <c r="Z63" i="16"/>
  <c r="Y63" i="16"/>
  <c r="X63" i="16"/>
  <c r="W63" i="16"/>
  <c r="V63" i="16"/>
  <c r="U63" i="16"/>
  <c r="T63" i="16"/>
  <c r="S63" i="16"/>
  <c r="R63" i="16"/>
  <c r="Q63" i="16"/>
  <c r="P63" i="16"/>
  <c r="O63" i="16"/>
  <c r="N63" i="16"/>
  <c r="M63" i="16"/>
  <c r="L63" i="16"/>
  <c r="K63" i="16"/>
  <c r="J63" i="16"/>
  <c r="I63" i="16"/>
  <c r="H63" i="16"/>
  <c r="G63" i="16"/>
  <c r="F63" i="16"/>
  <c r="AE62" i="16"/>
  <c r="AC62" i="16"/>
  <c r="AB62" i="16"/>
  <c r="AA62" i="16"/>
  <c r="Z62" i="16"/>
  <c r="Y62" i="16"/>
  <c r="X62" i="16"/>
  <c r="W62" i="16"/>
  <c r="V62" i="16"/>
  <c r="U62" i="16"/>
  <c r="T62" i="16"/>
  <c r="S62" i="16"/>
  <c r="R62" i="16"/>
  <c r="Q62" i="16"/>
  <c r="P62" i="16"/>
  <c r="O62" i="16"/>
  <c r="N62" i="16"/>
  <c r="M62" i="16"/>
  <c r="L62" i="16"/>
  <c r="K62" i="16"/>
  <c r="J62" i="16"/>
  <c r="I62" i="16"/>
  <c r="H62" i="16"/>
  <c r="G62" i="16"/>
  <c r="F62" i="16"/>
  <c r="AE61" i="16"/>
  <c r="AC61" i="16"/>
  <c r="AB61" i="16"/>
  <c r="AA61" i="16"/>
  <c r="Z61" i="16"/>
  <c r="Y61" i="16"/>
  <c r="X61" i="16"/>
  <c r="W61" i="16"/>
  <c r="V61" i="16"/>
  <c r="U61" i="16"/>
  <c r="T61" i="16"/>
  <c r="S61" i="16"/>
  <c r="R61" i="16"/>
  <c r="Q61" i="16"/>
  <c r="P61" i="16"/>
  <c r="O61" i="16"/>
  <c r="N61" i="16"/>
  <c r="M61" i="16"/>
  <c r="L61" i="16"/>
  <c r="K61" i="16"/>
  <c r="J61" i="16"/>
  <c r="I61" i="16"/>
  <c r="H61" i="16"/>
  <c r="G61" i="16"/>
  <c r="F61" i="16"/>
  <c r="AE60" i="16"/>
  <c r="AC60" i="16"/>
  <c r="AB60" i="16"/>
  <c r="AA60" i="16"/>
  <c r="Z60" i="16"/>
  <c r="Y60" i="16"/>
  <c r="X60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AE59" i="16"/>
  <c r="AC59" i="16"/>
  <c r="AB59" i="16"/>
  <c r="AA59" i="16"/>
  <c r="Z59" i="16"/>
  <c r="Y59" i="16"/>
  <c r="X59" i="16"/>
  <c r="W59" i="16"/>
  <c r="V59" i="16"/>
  <c r="U59" i="16"/>
  <c r="T59" i="16"/>
  <c r="S59" i="16"/>
  <c r="R59" i="16"/>
  <c r="Q59" i="16"/>
  <c r="P59" i="16"/>
  <c r="O59" i="16"/>
  <c r="N59" i="16"/>
  <c r="M59" i="16"/>
  <c r="L59" i="16"/>
  <c r="K59" i="16"/>
  <c r="J59" i="16"/>
  <c r="I59" i="16"/>
  <c r="H59" i="16"/>
  <c r="G59" i="16"/>
  <c r="F59" i="16"/>
  <c r="AE58" i="16"/>
  <c r="AC58" i="16"/>
  <c r="AB58" i="16"/>
  <c r="AA58" i="16"/>
  <c r="Z58" i="16"/>
  <c r="Y58" i="16"/>
  <c r="X58" i="16"/>
  <c r="W58" i="16"/>
  <c r="V58" i="16"/>
  <c r="U58" i="16"/>
  <c r="T58" i="16"/>
  <c r="S58" i="16"/>
  <c r="R58" i="16"/>
  <c r="Q58" i="16"/>
  <c r="P58" i="16"/>
  <c r="O58" i="16"/>
  <c r="N58" i="16"/>
  <c r="M58" i="16"/>
  <c r="L58" i="16"/>
  <c r="K58" i="16"/>
  <c r="J58" i="16"/>
  <c r="I58" i="16"/>
  <c r="H58" i="16"/>
  <c r="G58" i="16"/>
  <c r="F58" i="16"/>
  <c r="AE57" i="16"/>
  <c r="AC57" i="16"/>
  <c r="AB57" i="16"/>
  <c r="AA57" i="16"/>
  <c r="Z57" i="16"/>
  <c r="Y57" i="16"/>
  <c r="X57" i="16"/>
  <c r="W57" i="16"/>
  <c r="V57" i="16"/>
  <c r="U57" i="16"/>
  <c r="T57" i="16"/>
  <c r="S57" i="16"/>
  <c r="R57" i="16"/>
  <c r="Q57" i="16"/>
  <c r="P57" i="16"/>
  <c r="O57" i="16"/>
  <c r="N57" i="16"/>
  <c r="M57" i="16"/>
  <c r="L57" i="16"/>
  <c r="K57" i="16"/>
  <c r="J57" i="16"/>
  <c r="I57" i="16"/>
  <c r="H57" i="16"/>
  <c r="G57" i="16"/>
  <c r="F57" i="16"/>
  <c r="AE56" i="16"/>
  <c r="AC56" i="16"/>
  <c r="AB56" i="16"/>
  <c r="AA56" i="16"/>
  <c r="Z56" i="16"/>
  <c r="Y56" i="16"/>
  <c r="X56" i="16"/>
  <c r="W56" i="16"/>
  <c r="V56" i="16"/>
  <c r="U56" i="16"/>
  <c r="T56" i="16"/>
  <c r="S56" i="16"/>
  <c r="R56" i="16"/>
  <c r="Q56" i="16"/>
  <c r="P56" i="16"/>
  <c r="O56" i="16"/>
  <c r="N56" i="16"/>
  <c r="M56" i="16"/>
  <c r="L56" i="16"/>
  <c r="K56" i="16"/>
  <c r="J56" i="16"/>
  <c r="I56" i="16"/>
  <c r="H56" i="16"/>
  <c r="G56" i="16"/>
  <c r="F56" i="16"/>
  <c r="AE55" i="16"/>
  <c r="AC55" i="16"/>
  <c r="AB55" i="16"/>
  <c r="AA55" i="16"/>
  <c r="Z55" i="16"/>
  <c r="Y55" i="16"/>
  <c r="X55" i="16"/>
  <c r="W55" i="16"/>
  <c r="V55" i="16"/>
  <c r="U55" i="16"/>
  <c r="T55" i="16"/>
  <c r="S55" i="16"/>
  <c r="R55" i="16"/>
  <c r="Q55" i="16"/>
  <c r="P55" i="16"/>
  <c r="O55" i="16"/>
  <c r="N55" i="16"/>
  <c r="M55" i="16"/>
  <c r="L55" i="16"/>
  <c r="K55" i="16"/>
  <c r="J55" i="16"/>
  <c r="I55" i="16"/>
  <c r="H55" i="16"/>
  <c r="G55" i="16"/>
  <c r="F55" i="16"/>
  <c r="AE54" i="16"/>
  <c r="AC54" i="16"/>
  <c r="AB54" i="16"/>
  <c r="AA54" i="16"/>
  <c r="Z54" i="16"/>
  <c r="Y54" i="16"/>
  <c r="X54" i="16"/>
  <c r="W54" i="16"/>
  <c r="V54" i="16"/>
  <c r="U54" i="16"/>
  <c r="T54" i="16"/>
  <c r="S54" i="16"/>
  <c r="R54" i="16"/>
  <c r="Q54" i="16"/>
  <c r="P54" i="16"/>
  <c r="O54" i="16"/>
  <c r="N54" i="16"/>
  <c r="M54" i="16"/>
  <c r="L54" i="16"/>
  <c r="K54" i="16"/>
  <c r="J54" i="16"/>
  <c r="I54" i="16"/>
  <c r="H54" i="16"/>
  <c r="G54" i="16"/>
  <c r="F54" i="16"/>
  <c r="AE53" i="16"/>
  <c r="AC53" i="16"/>
  <c r="AB53" i="16"/>
  <c r="AA53" i="16"/>
  <c r="Z53" i="16"/>
  <c r="Y53" i="16"/>
  <c r="X53" i="16"/>
  <c r="W53" i="16"/>
  <c r="V53" i="16"/>
  <c r="U53" i="16"/>
  <c r="T53" i="16"/>
  <c r="S53" i="16"/>
  <c r="R53" i="16"/>
  <c r="Q53" i="16"/>
  <c r="P53" i="16"/>
  <c r="O53" i="16"/>
  <c r="N53" i="16"/>
  <c r="M53" i="16"/>
  <c r="L53" i="16"/>
  <c r="K53" i="16"/>
  <c r="J53" i="16"/>
  <c r="I53" i="16"/>
  <c r="H53" i="16"/>
  <c r="G53" i="16"/>
  <c r="F53" i="16"/>
  <c r="AE52" i="16"/>
  <c r="AC52" i="16"/>
  <c r="AB52" i="16"/>
  <c r="AA52" i="16"/>
  <c r="Z52" i="16"/>
  <c r="Y52" i="16"/>
  <c r="X52" i="16"/>
  <c r="W52" i="16"/>
  <c r="V52" i="16"/>
  <c r="U52" i="16"/>
  <c r="T52" i="16"/>
  <c r="S52" i="16"/>
  <c r="R52" i="16"/>
  <c r="Q52" i="16"/>
  <c r="P52" i="16"/>
  <c r="O52" i="16"/>
  <c r="N52" i="16"/>
  <c r="M52" i="16"/>
  <c r="L52" i="16"/>
  <c r="K52" i="16"/>
  <c r="J52" i="16"/>
  <c r="I52" i="16"/>
  <c r="H52" i="16"/>
  <c r="G52" i="16"/>
  <c r="F52" i="16"/>
  <c r="AE51" i="16"/>
  <c r="AC51" i="16"/>
  <c r="AB51" i="16"/>
  <c r="AA51" i="16"/>
  <c r="Z51" i="16"/>
  <c r="Y51" i="16"/>
  <c r="X51" i="16"/>
  <c r="W51" i="16"/>
  <c r="V51" i="16"/>
  <c r="U51" i="16"/>
  <c r="T51" i="16"/>
  <c r="S51" i="16"/>
  <c r="R51" i="16"/>
  <c r="Q51" i="16"/>
  <c r="P51" i="16"/>
  <c r="O51" i="16"/>
  <c r="N51" i="16"/>
  <c r="M51" i="16"/>
  <c r="L51" i="16"/>
  <c r="K51" i="16"/>
  <c r="J51" i="16"/>
  <c r="I51" i="16"/>
  <c r="H51" i="16"/>
  <c r="G51" i="16"/>
  <c r="F51" i="16"/>
  <c r="AE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AE49" i="16"/>
  <c r="AC49" i="16"/>
  <c r="AB49" i="16"/>
  <c r="AA49" i="16"/>
  <c r="Z49" i="16"/>
  <c r="Y49" i="16"/>
  <c r="X49" i="16"/>
  <c r="W49" i="16"/>
  <c r="V49" i="16"/>
  <c r="U49" i="16"/>
  <c r="T49" i="16"/>
  <c r="S49" i="16"/>
  <c r="R49" i="16"/>
  <c r="Q49" i="16"/>
  <c r="P49" i="16"/>
  <c r="O49" i="16"/>
  <c r="N49" i="16"/>
  <c r="M49" i="16"/>
  <c r="L49" i="16"/>
  <c r="K49" i="16"/>
  <c r="J49" i="16"/>
  <c r="I49" i="16"/>
  <c r="H49" i="16"/>
  <c r="G49" i="16"/>
  <c r="F49" i="16"/>
  <c r="AE48" i="16"/>
  <c r="AC48" i="16"/>
  <c r="AB48" i="16"/>
  <c r="AA48" i="16"/>
  <c r="Z48" i="16"/>
  <c r="Y48" i="16"/>
  <c r="X48" i="16"/>
  <c r="W48" i="16"/>
  <c r="V48" i="16"/>
  <c r="U48" i="16"/>
  <c r="T48" i="16"/>
  <c r="S48" i="16"/>
  <c r="R48" i="16"/>
  <c r="Q48" i="16"/>
  <c r="P48" i="16"/>
  <c r="O48" i="16"/>
  <c r="N48" i="16"/>
  <c r="M48" i="16"/>
  <c r="L48" i="16"/>
  <c r="K48" i="16"/>
  <c r="J48" i="16"/>
  <c r="I48" i="16"/>
  <c r="H48" i="16"/>
  <c r="G48" i="16"/>
  <c r="F48" i="16"/>
  <c r="AE47" i="16"/>
  <c r="AC47" i="16"/>
  <c r="AB47" i="16"/>
  <c r="AA47" i="16"/>
  <c r="Z47" i="16"/>
  <c r="Y47" i="16"/>
  <c r="X47" i="16"/>
  <c r="W47" i="16"/>
  <c r="V47" i="16"/>
  <c r="U47" i="16"/>
  <c r="T47" i="16"/>
  <c r="S47" i="16"/>
  <c r="R47" i="16"/>
  <c r="Q47" i="16"/>
  <c r="P47" i="16"/>
  <c r="O47" i="16"/>
  <c r="N47" i="16"/>
  <c r="M47" i="16"/>
  <c r="L47" i="16"/>
  <c r="K47" i="16"/>
  <c r="J47" i="16"/>
  <c r="I47" i="16"/>
  <c r="H47" i="16"/>
  <c r="G47" i="16"/>
  <c r="F47" i="16"/>
  <c r="AE46" i="16"/>
  <c r="AC46" i="16"/>
  <c r="AB46" i="16"/>
  <c r="AA46" i="16"/>
  <c r="Z46" i="16"/>
  <c r="Y46" i="16"/>
  <c r="X46" i="16"/>
  <c r="W46" i="16"/>
  <c r="V46" i="16"/>
  <c r="U46" i="16"/>
  <c r="T46" i="16"/>
  <c r="S46" i="16"/>
  <c r="R46" i="16"/>
  <c r="Q46" i="16"/>
  <c r="P46" i="16"/>
  <c r="O46" i="16"/>
  <c r="N46" i="16"/>
  <c r="M46" i="16"/>
  <c r="L46" i="16"/>
  <c r="K46" i="16"/>
  <c r="J46" i="16"/>
  <c r="I46" i="16"/>
  <c r="H46" i="16"/>
  <c r="G46" i="16"/>
  <c r="F46" i="16"/>
  <c r="AE45" i="16"/>
  <c r="AC45" i="16"/>
  <c r="AB45" i="16"/>
  <c r="AA45" i="16"/>
  <c r="Z45" i="16"/>
  <c r="Y45" i="16"/>
  <c r="X45" i="16"/>
  <c r="W45" i="16"/>
  <c r="V45" i="16"/>
  <c r="U45" i="16"/>
  <c r="T45" i="16"/>
  <c r="S45" i="16"/>
  <c r="R45" i="16"/>
  <c r="Q45" i="16"/>
  <c r="P45" i="16"/>
  <c r="O45" i="16"/>
  <c r="N45" i="16"/>
  <c r="M45" i="16"/>
  <c r="L45" i="16"/>
  <c r="K45" i="16"/>
  <c r="J45" i="16"/>
  <c r="I45" i="16"/>
  <c r="H45" i="16"/>
  <c r="G45" i="16"/>
  <c r="F45" i="16"/>
  <c r="AE44" i="16"/>
  <c r="AC44" i="16"/>
  <c r="AB44" i="16"/>
  <c r="AA44" i="16"/>
  <c r="Z44" i="16"/>
  <c r="Y44" i="16"/>
  <c r="X44" i="16"/>
  <c r="W44" i="16"/>
  <c r="V44" i="16"/>
  <c r="U44" i="16"/>
  <c r="T44" i="16"/>
  <c r="S44" i="16"/>
  <c r="R44" i="16"/>
  <c r="Q44" i="16"/>
  <c r="P44" i="16"/>
  <c r="O44" i="16"/>
  <c r="N44" i="16"/>
  <c r="M44" i="16"/>
  <c r="L44" i="16"/>
  <c r="K44" i="16"/>
  <c r="J44" i="16"/>
  <c r="I44" i="16"/>
  <c r="H44" i="16"/>
  <c r="G44" i="16"/>
  <c r="F44" i="16"/>
  <c r="AE43" i="16"/>
  <c r="AC43" i="16"/>
  <c r="AB43" i="16"/>
  <c r="AA43" i="16"/>
  <c r="Z43" i="16"/>
  <c r="Y43" i="16"/>
  <c r="X43" i="16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AE42" i="16"/>
  <c r="AC42" i="16"/>
  <c r="AB42" i="16"/>
  <c r="AA42" i="16"/>
  <c r="Z42" i="16"/>
  <c r="Y42" i="16"/>
  <c r="X42" i="16"/>
  <c r="W42" i="16"/>
  <c r="V42" i="16"/>
  <c r="U42" i="16"/>
  <c r="T42" i="16"/>
  <c r="S42" i="16"/>
  <c r="R42" i="16"/>
  <c r="Q42" i="16"/>
  <c r="P42" i="16"/>
  <c r="O42" i="16"/>
  <c r="N42" i="16"/>
  <c r="M42" i="16"/>
  <c r="L42" i="16"/>
  <c r="K42" i="16"/>
  <c r="J42" i="16"/>
  <c r="I42" i="16"/>
  <c r="H42" i="16"/>
  <c r="G42" i="16"/>
  <c r="F42" i="16"/>
  <c r="AE41" i="16"/>
  <c r="AC41" i="16"/>
  <c r="AB41" i="16"/>
  <c r="AA41" i="16"/>
  <c r="Z41" i="16"/>
  <c r="Y41" i="16"/>
  <c r="X41" i="16"/>
  <c r="W41" i="16"/>
  <c r="V41" i="16"/>
  <c r="U41" i="16"/>
  <c r="T41" i="16"/>
  <c r="S41" i="16"/>
  <c r="R41" i="16"/>
  <c r="Q41" i="16"/>
  <c r="P41" i="16"/>
  <c r="O41" i="16"/>
  <c r="N41" i="16"/>
  <c r="M41" i="16"/>
  <c r="L41" i="16"/>
  <c r="K41" i="16"/>
  <c r="J41" i="16"/>
  <c r="I41" i="16"/>
  <c r="H41" i="16"/>
  <c r="G41" i="16"/>
  <c r="F41" i="16"/>
  <c r="AE40" i="16"/>
  <c r="AC40" i="16"/>
  <c r="AB40" i="16"/>
  <c r="AA40" i="16"/>
  <c r="Z40" i="16"/>
  <c r="Y40" i="16"/>
  <c r="X40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AE39" i="16"/>
  <c r="AC39" i="16"/>
  <c r="AB39" i="16"/>
  <c r="AA39" i="16"/>
  <c r="Z39" i="16"/>
  <c r="Y39" i="16"/>
  <c r="X39" i="16"/>
  <c r="W39" i="16"/>
  <c r="V39" i="16"/>
  <c r="U39" i="16"/>
  <c r="T39" i="16"/>
  <c r="S39" i="16"/>
  <c r="R39" i="16"/>
  <c r="Q39" i="16"/>
  <c r="P39" i="16"/>
  <c r="O39" i="16"/>
  <c r="N39" i="16"/>
  <c r="M39" i="16"/>
  <c r="L39" i="16"/>
  <c r="K39" i="16"/>
  <c r="J39" i="16"/>
  <c r="I39" i="16"/>
  <c r="H39" i="16"/>
  <c r="G39" i="16"/>
  <c r="F39" i="16"/>
  <c r="AE38" i="16"/>
  <c r="AC38" i="16"/>
  <c r="AB38" i="16"/>
  <c r="AA38" i="16"/>
  <c r="Z38" i="16"/>
  <c r="Y38" i="16"/>
  <c r="X38" i="16"/>
  <c r="W38" i="16"/>
  <c r="V38" i="16"/>
  <c r="U38" i="16"/>
  <c r="T38" i="16"/>
  <c r="S38" i="16"/>
  <c r="R38" i="16"/>
  <c r="Q38" i="16"/>
  <c r="P38" i="16"/>
  <c r="O38" i="16"/>
  <c r="N38" i="16"/>
  <c r="M38" i="16"/>
  <c r="L38" i="16"/>
  <c r="K38" i="16"/>
  <c r="J38" i="16"/>
  <c r="I38" i="16"/>
  <c r="H38" i="16"/>
  <c r="G38" i="16"/>
  <c r="F38" i="16"/>
  <c r="AE37" i="16"/>
  <c r="AC37" i="16"/>
  <c r="AB37" i="16"/>
  <c r="AA37" i="16"/>
  <c r="Z37" i="16"/>
  <c r="Y37" i="16"/>
  <c r="X37" i="16"/>
  <c r="W37" i="16"/>
  <c r="V37" i="16"/>
  <c r="U37" i="16"/>
  <c r="T37" i="16"/>
  <c r="S37" i="16"/>
  <c r="R37" i="16"/>
  <c r="Q37" i="16"/>
  <c r="P37" i="16"/>
  <c r="O37" i="16"/>
  <c r="N37" i="16"/>
  <c r="M37" i="16"/>
  <c r="L37" i="16"/>
  <c r="K37" i="16"/>
  <c r="J37" i="16"/>
  <c r="I37" i="16"/>
  <c r="H37" i="16"/>
  <c r="G37" i="16"/>
  <c r="F37" i="16"/>
  <c r="AE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AE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F35" i="16"/>
  <c r="AE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AE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P33" i="16"/>
  <c r="O33" i="16"/>
  <c r="N33" i="16"/>
  <c r="M33" i="16"/>
  <c r="L33" i="16"/>
  <c r="K33" i="16"/>
  <c r="J33" i="16"/>
  <c r="I33" i="16"/>
  <c r="H33" i="16"/>
  <c r="G33" i="16"/>
  <c r="F33" i="16"/>
  <c r="AE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P32" i="16"/>
  <c r="O32" i="16"/>
  <c r="N32" i="16"/>
  <c r="M32" i="16"/>
  <c r="L32" i="16"/>
  <c r="K32" i="16"/>
  <c r="J32" i="16"/>
  <c r="I32" i="16"/>
  <c r="H32" i="16"/>
  <c r="G32" i="16"/>
  <c r="F32" i="16"/>
  <c r="AE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P31" i="16"/>
  <c r="O31" i="16"/>
  <c r="N31" i="16"/>
  <c r="M31" i="16"/>
  <c r="L31" i="16"/>
  <c r="K31" i="16"/>
  <c r="J31" i="16"/>
  <c r="I31" i="16"/>
  <c r="H31" i="16"/>
  <c r="G31" i="16"/>
  <c r="F31" i="16"/>
  <c r="AE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P30" i="16"/>
  <c r="O30" i="16"/>
  <c r="N30" i="16"/>
  <c r="M30" i="16"/>
  <c r="L30" i="16"/>
  <c r="K30" i="16"/>
  <c r="J30" i="16"/>
  <c r="I30" i="16"/>
  <c r="H30" i="16"/>
  <c r="G30" i="16"/>
  <c r="F30" i="16"/>
  <c r="AE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AE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AE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AE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P26" i="16"/>
  <c r="O26" i="16"/>
  <c r="N26" i="16"/>
  <c r="M26" i="16"/>
  <c r="L26" i="16"/>
  <c r="K26" i="16"/>
  <c r="J26" i="16"/>
  <c r="I26" i="16"/>
  <c r="H26" i="16"/>
  <c r="G26" i="16"/>
  <c r="F26" i="16"/>
  <c r="AE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AE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AE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AE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P22" i="16"/>
  <c r="O22" i="16"/>
  <c r="N22" i="16"/>
  <c r="M22" i="16"/>
  <c r="L22" i="16"/>
  <c r="K22" i="16"/>
  <c r="J22" i="16"/>
  <c r="I22" i="16"/>
  <c r="H22" i="16"/>
  <c r="G22" i="16"/>
  <c r="F22" i="16"/>
  <c r="AE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P21" i="16"/>
  <c r="O21" i="16"/>
  <c r="N21" i="16"/>
  <c r="M21" i="16"/>
  <c r="L21" i="16"/>
  <c r="K21" i="16"/>
  <c r="J21" i="16"/>
  <c r="I21" i="16"/>
  <c r="H21" i="16"/>
  <c r="G21" i="16"/>
  <c r="F21" i="16"/>
  <c r="AE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P20" i="16"/>
  <c r="O20" i="16"/>
  <c r="N20" i="16"/>
  <c r="M20" i="16"/>
  <c r="L20" i="16"/>
  <c r="K20" i="16"/>
  <c r="J20" i="16"/>
  <c r="I20" i="16"/>
  <c r="H20" i="16"/>
  <c r="G20" i="16"/>
  <c r="F20" i="16"/>
  <c r="AE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AE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P18" i="16"/>
  <c r="O18" i="16"/>
  <c r="N18" i="16"/>
  <c r="M18" i="16"/>
  <c r="L18" i="16"/>
  <c r="K18" i="16"/>
  <c r="J18" i="16"/>
  <c r="I18" i="16"/>
  <c r="H18" i="16"/>
  <c r="G18" i="16"/>
  <c r="F18" i="16"/>
  <c r="AE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P17" i="16"/>
  <c r="O17" i="16"/>
  <c r="N17" i="16"/>
  <c r="M17" i="16"/>
  <c r="L17" i="16"/>
  <c r="K17" i="16"/>
  <c r="J17" i="16"/>
  <c r="I17" i="16"/>
  <c r="H17" i="16"/>
  <c r="G17" i="16"/>
  <c r="F17" i="16"/>
  <c r="AE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P16" i="16"/>
  <c r="O16" i="16"/>
  <c r="N16" i="16"/>
  <c r="M16" i="16"/>
  <c r="L16" i="16"/>
  <c r="K16" i="16"/>
  <c r="J16" i="16"/>
  <c r="I16" i="16"/>
  <c r="H16" i="16"/>
  <c r="G16" i="16"/>
  <c r="F16" i="16"/>
  <c r="AE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P15" i="16"/>
  <c r="O15" i="16"/>
  <c r="N15" i="16"/>
  <c r="M15" i="16"/>
  <c r="L15" i="16"/>
  <c r="K15" i="16"/>
  <c r="J15" i="16"/>
  <c r="I15" i="16"/>
  <c r="H15" i="16"/>
  <c r="G15" i="16"/>
  <c r="F15" i="16"/>
  <c r="AE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P14" i="16"/>
  <c r="O14" i="16"/>
  <c r="N14" i="16"/>
  <c r="M14" i="16"/>
  <c r="L14" i="16"/>
  <c r="K14" i="16"/>
  <c r="J14" i="16"/>
  <c r="I14" i="16"/>
  <c r="H14" i="16"/>
  <c r="G14" i="16"/>
  <c r="F14" i="16"/>
  <c r="AE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P13" i="16"/>
  <c r="O13" i="16"/>
  <c r="N13" i="16"/>
  <c r="M13" i="16"/>
  <c r="L13" i="16"/>
  <c r="K13" i="16"/>
  <c r="J13" i="16"/>
  <c r="I13" i="16"/>
  <c r="H13" i="16"/>
  <c r="G13" i="16"/>
  <c r="F13" i="16"/>
  <c r="AE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P12" i="16"/>
  <c r="O12" i="16"/>
  <c r="N12" i="16"/>
  <c r="M12" i="16"/>
  <c r="L12" i="16"/>
  <c r="K12" i="16"/>
  <c r="J12" i="16"/>
  <c r="I12" i="16"/>
  <c r="H12" i="16"/>
  <c r="G12" i="16"/>
  <c r="F12" i="16"/>
  <c r="AE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J11" i="16"/>
  <c r="I11" i="16"/>
  <c r="H11" i="16"/>
  <c r="G11" i="16"/>
  <c r="F11" i="16"/>
  <c r="AE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AE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AE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P8" i="16"/>
  <c r="O8" i="16"/>
  <c r="N8" i="16"/>
  <c r="M8" i="16"/>
  <c r="L8" i="16"/>
  <c r="K8" i="16"/>
  <c r="J8" i="16"/>
  <c r="I8" i="16"/>
  <c r="H8" i="16"/>
  <c r="G8" i="16"/>
  <c r="F8" i="16"/>
  <c r="AE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P7" i="16"/>
  <c r="O7" i="16"/>
  <c r="N7" i="16"/>
  <c r="M7" i="16"/>
  <c r="L7" i="16"/>
  <c r="K7" i="16"/>
  <c r="J7" i="16"/>
  <c r="I7" i="16"/>
  <c r="H7" i="16"/>
  <c r="G7" i="16"/>
  <c r="F7" i="16"/>
  <c r="AE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P6" i="16"/>
  <c r="O6" i="16"/>
  <c r="N6" i="16"/>
  <c r="M6" i="16"/>
  <c r="L6" i="16"/>
  <c r="K6" i="16"/>
  <c r="J6" i="16"/>
  <c r="I6" i="16"/>
  <c r="H6" i="16"/>
  <c r="G6" i="16"/>
  <c r="F6" i="16"/>
  <c r="AE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AE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AE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AE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AE1" i="16"/>
  <c r="AC1" i="16"/>
  <c r="AB1" i="16"/>
  <c r="AA1" i="16"/>
  <c r="Z1" i="16"/>
  <c r="Y1" i="16"/>
  <c r="X1" i="16"/>
  <c r="W1" i="16"/>
  <c r="V1" i="16"/>
  <c r="U1" i="16"/>
  <c r="T1" i="16"/>
  <c r="S1" i="16"/>
  <c r="R1" i="16"/>
  <c r="Q1" i="16"/>
  <c r="P1" i="16"/>
  <c r="O1" i="16"/>
  <c r="N1" i="16"/>
  <c r="M1" i="16"/>
  <c r="L1" i="16"/>
  <c r="K1" i="16"/>
  <c r="J1" i="16"/>
  <c r="I1" i="16"/>
  <c r="H1" i="16"/>
  <c r="G1" i="16"/>
  <c r="F1" i="16"/>
  <c r="AE365" i="15"/>
  <c r="AC365" i="15"/>
  <c r="AB365" i="15"/>
  <c r="AA365" i="15"/>
  <c r="Z365" i="15"/>
  <c r="Y365" i="15"/>
  <c r="X365" i="15"/>
  <c r="W365" i="15"/>
  <c r="V365" i="15"/>
  <c r="U365" i="15"/>
  <c r="T365" i="15"/>
  <c r="S365" i="15"/>
  <c r="R365" i="15"/>
  <c r="Q365" i="15"/>
  <c r="P365" i="15"/>
  <c r="O365" i="15"/>
  <c r="N365" i="15"/>
  <c r="M365" i="15"/>
  <c r="L365" i="15"/>
  <c r="K365" i="15"/>
  <c r="J365" i="15"/>
  <c r="I365" i="15"/>
  <c r="H365" i="15"/>
  <c r="G365" i="15"/>
  <c r="F365" i="15"/>
  <c r="AE364" i="15"/>
  <c r="AC364" i="15"/>
  <c r="AB364" i="15"/>
  <c r="AA364" i="15"/>
  <c r="Z364" i="15"/>
  <c r="Y364" i="15"/>
  <c r="X364" i="15"/>
  <c r="W364" i="15"/>
  <c r="V364" i="15"/>
  <c r="U364" i="15"/>
  <c r="T364" i="15"/>
  <c r="S364" i="15"/>
  <c r="R364" i="15"/>
  <c r="Q364" i="15"/>
  <c r="P364" i="15"/>
  <c r="O364" i="15"/>
  <c r="N364" i="15"/>
  <c r="M364" i="15"/>
  <c r="L364" i="15"/>
  <c r="K364" i="15"/>
  <c r="J364" i="15"/>
  <c r="I364" i="15"/>
  <c r="H364" i="15"/>
  <c r="G364" i="15"/>
  <c r="F364" i="15"/>
  <c r="AE363" i="15"/>
  <c r="AC363" i="15"/>
  <c r="AB363" i="15"/>
  <c r="AA363" i="15"/>
  <c r="Z363" i="15"/>
  <c r="Y363" i="15"/>
  <c r="X363" i="15"/>
  <c r="W363" i="15"/>
  <c r="V363" i="15"/>
  <c r="U363" i="15"/>
  <c r="T363" i="15"/>
  <c r="S363" i="15"/>
  <c r="R363" i="15"/>
  <c r="Q363" i="15"/>
  <c r="P363" i="15"/>
  <c r="O363" i="15"/>
  <c r="N363" i="15"/>
  <c r="M363" i="15"/>
  <c r="L363" i="15"/>
  <c r="K363" i="15"/>
  <c r="J363" i="15"/>
  <c r="I363" i="15"/>
  <c r="H363" i="15"/>
  <c r="G363" i="15"/>
  <c r="F363" i="15"/>
  <c r="AE362" i="15"/>
  <c r="AC362" i="15"/>
  <c r="AB362" i="15"/>
  <c r="AA362" i="15"/>
  <c r="Z362" i="15"/>
  <c r="Y362" i="15"/>
  <c r="X362" i="15"/>
  <c r="W362" i="15"/>
  <c r="V362" i="15"/>
  <c r="U362" i="15"/>
  <c r="T362" i="15"/>
  <c r="S362" i="15"/>
  <c r="R362" i="15"/>
  <c r="Q362" i="15"/>
  <c r="P362" i="15"/>
  <c r="O362" i="15"/>
  <c r="N362" i="15"/>
  <c r="M362" i="15"/>
  <c r="L362" i="15"/>
  <c r="K362" i="15"/>
  <c r="J362" i="15"/>
  <c r="I362" i="15"/>
  <c r="H362" i="15"/>
  <c r="G362" i="15"/>
  <c r="F362" i="15"/>
  <c r="AE361" i="15"/>
  <c r="AC361" i="15"/>
  <c r="AB361" i="15"/>
  <c r="AA361" i="15"/>
  <c r="Z361" i="15"/>
  <c r="Y361" i="15"/>
  <c r="X361" i="15"/>
  <c r="W361" i="15"/>
  <c r="V361" i="15"/>
  <c r="U361" i="15"/>
  <c r="T361" i="15"/>
  <c r="S361" i="15"/>
  <c r="R361" i="15"/>
  <c r="Q361" i="15"/>
  <c r="P361" i="15"/>
  <c r="O361" i="15"/>
  <c r="N361" i="15"/>
  <c r="M361" i="15"/>
  <c r="L361" i="15"/>
  <c r="K361" i="15"/>
  <c r="J361" i="15"/>
  <c r="I361" i="15"/>
  <c r="H361" i="15"/>
  <c r="G361" i="15"/>
  <c r="F361" i="15"/>
  <c r="AE360" i="15"/>
  <c r="AC360" i="15"/>
  <c r="AB360" i="15"/>
  <c r="AA360" i="15"/>
  <c r="Z360" i="15"/>
  <c r="Y360" i="15"/>
  <c r="X360" i="15"/>
  <c r="W360" i="15"/>
  <c r="V360" i="15"/>
  <c r="U360" i="15"/>
  <c r="T360" i="15"/>
  <c r="S360" i="15"/>
  <c r="R360" i="15"/>
  <c r="Q360" i="15"/>
  <c r="P360" i="15"/>
  <c r="O360" i="15"/>
  <c r="N360" i="15"/>
  <c r="M360" i="15"/>
  <c r="L360" i="15"/>
  <c r="K360" i="15"/>
  <c r="J360" i="15"/>
  <c r="I360" i="15"/>
  <c r="H360" i="15"/>
  <c r="G360" i="15"/>
  <c r="F360" i="15"/>
  <c r="AE359" i="15"/>
  <c r="AC359" i="15"/>
  <c r="AB359" i="15"/>
  <c r="AA359" i="15"/>
  <c r="Z359" i="15"/>
  <c r="Y359" i="15"/>
  <c r="X359" i="15"/>
  <c r="W359" i="15"/>
  <c r="V359" i="15"/>
  <c r="U359" i="15"/>
  <c r="T359" i="15"/>
  <c r="S359" i="15"/>
  <c r="R359" i="15"/>
  <c r="Q359" i="15"/>
  <c r="P359" i="15"/>
  <c r="O359" i="15"/>
  <c r="N359" i="15"/>
  <c r="M359" i="15"/>
  <c r="L359" i="15"/>
  <c r="K359" i="15"/>
  <c r="J359" i="15"/>
  <c r="I359" i="15"/>
  <c r="H359" i="15"/>
  <c r="G359" i="15"/>
  <c r="F359" i="15"/>
  <c r="AE358" i="15"/>
  <c r="AC358" i="15"/>
  <c r="AB358" i="15"/>
  <c r="AA358" i="15"/>
  <c r="Z358" i="15"/>
  <c r="Y358" i="15"/>
  <c r="X358" i="15"/>
  <c r="W358" i="15"/>
  <c r="V358" i="15"/>
  <c r="U358" i="15"/>
  <c r="T358" i="15"/>
  <c r="S358" i="15"/>
  <c r="R358" i="15"/>
  <c r="Q358" i="15"/>
  <c r="P358" i="15"/>
  <c r="O358" i="15"/>
  <c r="N358" i="15"/>
  <c r="M358" i="15"/>
  <c r="L358" i="15"/>
  <c r="K358" i="15"/>
  <c r="J358" i="15"/>
  <c r="I358" i="15"/>
  <c r="H358" i="15"/>
  <c r="G358" i="15"/>
  <c r="F358" i="15"/>
  <c r="AE357" i="15"/>
  <c r="AC357" i="15"/>
  <c r="AB357" i="15"/>
  <c r="AA357" i="15"/>
  <c r="Z357" i="15"/>
  <c r="Y357" i="15"/>
  <c r="X357" i="15"/>
  <c r="W357" i="15"/>
  <c r="V357" i="15"/>
  <c r="U357" i="15"/>
  <c r="T357" i="15"/>
  <c r="S357" i="15"/>
  <c r="R357" i="15"/>
  <c r="Q357" i="15"/>
  <c r="P357" i="15"/>
  <c r="O357" i="15"/>
  <c r="N357" i="15"/>
  <c r="M357" i="15"/>
  <c r="L357" i="15"/>
  <c r="K357" i="15"/>
  <c r="J357" i="15"/>
  <c r="I357" i="15"/>
  <c r="H357" i="15"/>
  <c r="G357" i="15"/>
  <c r="F357" i="15"/>
  <c r="AE356" i="15"/>
  <c r="AC356" i="15"/>
  <c r="AB356" i="15"/>
  <c r="AA356" i="15"/>
  <c r="Z356" i="15"/>
  <c r="Y356" i="15"/>
  <c r="X356" i="15"/>
  <c r="W356" i="15"/>
  <c r="V356" i="15"/>
  <c r="U356" i="15"/>
  <c r="T356" i="15"/>
  <c r="S356" i="15"/>
  <c r="R356" i="15"/>
  <c r="Q356" i="15"/>
  <c r="P356" i="15"/>
  <c r="O356" i="15"/>
  <c r="N356" i="15"/>
  <c r="M356" i="15"/>
  <c r="L356" i="15"/>
  <c r="K356" i="15"/>
  <c r="J356" i="15"/>
  <c r="I356" i="15"/>
  <c r="H356" i="15"/>
  <c r="G356" i="15"/>
  <c r="F356" i="15"/>
  <c r="AE355" i="15"/>
  <c r="AC355" i="15"/>
  <c r="AB355" i="15"/>
  <c r="AA355" i="15"/>
  <c r="Z355" i="15"/>
  <c r="Y355" i="15"/>
  <c r="X355" i="15"/>
  <c r="W355" i="15"/>
  <c r="V355" i="15"/>
  <c r="U355" i="15"/>
  <c r="T355" i="15"/>
  <c r="S355" i="15"/>
  <c r="R355" i="15"/>
  <c r="Q355" i="15"/>
  <c r="P355" i="15"/>
  <c r="O355" i="15"/>
  <c r="N355" i="15"/>
  <c r="M355" i="15"/>
  <c r="L355" i="15"/>
  <c r="K355" i="15"/>
  <c r="J355" i="15"/>
  <c r="I355" i="15"/>
  <c r="H355" i="15"/>
  <c r="G355" i="15"/>
  <c r="F355" i="15"/>
  <c r="AE354" i="15"/>
  <c r="AC354" i="15"/>
  <c r="AB354" i="15"/>
  <c r="AA354" i="15"/>
  <c r="Z354" i="15"/>
  <c r="Y354" i="15"/>
  <c r="X354" i="15"/>
  <c r="W354" i="15"/>
  <c r="V354" i="15"/>
  <c r="U354" i="15"/>
  <c r="T354" i="15"/>
  <c r="S354" i="15"/>
  <c r="R354" i="15"/>
  <c r="Q354" i="15"/>
  <c r="P354" i="15"/>
  <c r="O354" i="15"/>
  <c r="N354" i="15"/>
  <c r="M354" i="15"/>
  <c r="L354" i="15"/>
  <c r="K354" i="15"/>
  <c r="J354" i="15"/>
  <c r="I354" i="15"/>
  <c r="H354" i="15"/>
  <c r="G354" i="15"/>
  <c r="F354" i="15"/>
  <c r="AE353" i="15"/>
  <c r="AC353" i="15"/>
  <c r="AB353" i="15"/>
  <c r="AA353" i="15"/>
  <c r="Z353" i="15"/>
  <c r="Y353" i="15"/>
  <c r="X353" i="15"/>
  <c r="W353" i="15"/>
  <c r="V353" i="15"/>
  <c r="U353" i="15"/>
  <c r="T353" i="15"/>
  <c r="S353" i="15"/>
  <c r="R353" i="15"/>
  <c r="Q353" i="15"/>
  <c r="P353" i="15"/>
  <c r="O353" i="15"/>
  <c r="N353" i="15"/>
  <c r="M353" i="15"/>
  <c r="L353" i="15"/>
  <c r="K353" i="15"/>
  <c r="J353" i="15"/>
  <c r="I353" i="15"/>
  <c r="H353" i="15"/>
  <c r="G353" i="15"/>
  <c r="F353" i="15"/>
  <c r="AE352" i="15"/>
  <c r="AC352" i="15"/>
  <c r="AB352" i="15"/>
  <c r="AA352" i="15"/>
  <c r="Z352" i="15"/>
  <c r="Y352" i="15"/>
  <c r="X352" i="15"/>
  <c r="W352" i="15"/>
  <c r="V352" i="15"/>
  <c r="U352" i="15"/>
  <c r="T352" i="15"/>
  <c r="S352" i="15"/>
  <c r="R352" i="15"/>
  <c r="Q352" i="15"/>
  <c r="P352" i="15"/>
  <c r="O352" i="15"/>
  <c r="N352" i="15"/>
  <c r="M352" i="15"/>
  <c r="L352" i="15"/>
  <c r="K352" i="15"/>
  <c r="J352" i="15"/>
  <c r="I352" i="15"/>
  <c r="H352" i="15"/>
  <c r="G352" i="15"/>
  <c r="F352" i="15"/>
  <c r="AE351" i="15"/>
  <c r="AC351" i="15"/>
  <c r="AB351" i="15"/>
  <c r="AA351" i="15"/>
  <c r="Z351" i="15"/>
  <c r="Y351" i="15"/>
  <c r="X351" i="15"/>
  <c r="W351" i="15"/>
  <c r="V351" i="15"/>
  <c r="U351" i="15"/>
  <c r="T351" i="15"/>
  <c r="S351" i="15"/>
  <c r="R351" i="15"/>
  <c r="Q351" i="15"/>
  <c r="P351" i="15"/>
  <c r="O351" i="15"/>
  <c r="N351" i="15"/>
  <c r="M351" i="15"/>
  <c r="L351" i="15"/>
  <c r="K351" i="15"/>
  <c r="J351" i="15"/>
  <c r="I351" i="15"/>
  <c r="H351" i="15"/>
  <c r="G351" i="15"/>
  <c r="F351" i="15"/>
  <c r="AE350" i="15"/>
  <c r="AC350" i="15"/>
  <c r="AB350" i="15"/>
  <c r="AA350" i="15"/>
  <c r="Z350" i="15"/>
  <c r="Y350" i="15"/>
  <c r="X350" i="15"/>
  <c r="W350" i="15"/>
  <c r="V350" i="15"/>
  <c r="U350" i="15"/>
  <c r="T350" i="15"/>
  <c r="S350" i="15"/>
  <c r="R350" i="15"/>
  <c r="Q350" i="15"/>
  <c r="P350" i="15"/>
  <c r="O350" i="15"/>
  <c r="N350" i="15"/>
  <c r="M350" i="15"/>
  <c r="L350" i="15"/>
  <c r="K350" i="15"/>
  <c r="J350" i="15"/>
  <c r="I350" i="15"/>
  <c r="H350" i="15"/>
  <c r="G350" i="15"/>
  <c r="F350" i="15"/>
  <c r="AE349" i="15"/>
  <c r="AC349" i="15"/>
  <c r="AB349" i="15"/>
  <c r="AA349" i="15"/>
  <c r="Z349" i="15"/>
  <c r="Y349" i="15"/>
  <c r="X349" i="15"/>
  <c r="W349" i="15"/>
  <c r="V349" i="15"/>
  <c r="U349" i="15"/>
  <c r="T349" i="15"/>
  <c r="S349" i="15"/>
  <c r="R349" i="15"/>
  <c r="Q349" i="15"/>
  <c r="P349" i="15"/>
  <c r="O349" i="15"/>
  <c r="N349" i="15"/>
  <c r="M349" i="15"/>
  <c r="L349" i="15"/>
  <c r="K349" i="15"/>
  <c r="J349" i="15"/>
  <c r="I349" i="15"/>
  <c r="H349" i="15"/>
  <c r="G349" i="15"/>
  <c r="F349" i="15"/>
  <c r="AE348" i="15"/>
  <c r="AC348" i="15"/>
  <c r="AB348" i="15"/>
  <c r="AA348" i="15"/>
  <c r="Z348" i="15"/>
  <c r="Y348" i="15"/>
  <c r="X348" i="15"/>
  <c r="W348" i="15"/>
  <c r="V348" i="15"/>
  <c r="U348" i="15"/>
  <c r="T348" i="15"/>
  <c r="S348" i="15"/>
  <c r="R348" i="15"/>
  <c r="Q348" i="15"/>
  <c r="P348" i="15"/>
  <c r="O348" i="15"/>
  <c r="N348" i="15"/>
  <c r="M348" i="15"/>
  <c r="L348" i="15"/>
  <c r="K348" i="15"/>
  <c r="J348" i="15"/>
  <c r="I348" i="15"/>
  <c r="H348" i="15"/>
  <c r="G348" i="15"/>
  <c r="F348" i="15"/>
  <c r="AE347" i="15"/>
  <c r="AC347" i="15"/>
  <c r="AB347" i="15"/>
  <c r="AA347" i="15"/>
  <c r="Z347" i="15"/>
  <c r="Y347" i="15"/>
  <c r="X347" i="15"/>
  <c r="W347" i="15"/>
  <c r="V347" i="15"/>
  <c r="U347" i="15"/>
  <c r="T347" i="15"/>
  <c r="S347" i="15"/>
  <c r="R347" i="15"/>
  <c r="Q347" i="15"/>
  <c r="P347" i="15"/>
  <c r="O347" i="15"/>
  <c r="N347" i="15"/>
  <c r="M347" i="15"/>
  <c r="L347" i="15"/>
  <c r="K347" i="15"/>
  <c r="J347" i="15"/>
  <c r="I347" i="15"/>
  <c r="H347" i="15"/>
  <c r="G347" i="15"/>
  <c r="F347" i="15"/>
  <c r="AE346" i="15"/>
  <c r="AC346" i="15"/>
  <c r="AB346" i="15"/>
  <c r="AA346" i="15"/>
  <c r="Z346" i="15"/>
  <c r="Y346" i="15"/>
  <c r="X346" i="15"/>
  <c r="W346" i="15"/>
  <c r="V346" i="15"/>
  <c r="U346" i="15"/>
  <c r="T346" i="15"/>
  <c r="S346" i="15"/>
  <c r="R346" i="15"/>
  <c r="Q346" i="15"/>
  <c r="P346" i="15"/>
  <c r="O346" i="15"/>
  <c r="N346" i="15"/>
  <c r="M346" i="15"/>
  <c r="L346" i="15"/>
  <c r="K346" i="15"/>
  <c r="J346" i="15"/>
  <c r="I346" i="15"/>
  <c r="H346" i="15"/>
  <c r="G346" i="15"/>
  <c r="F346" i="15"/>
  <c r="AE345" i="15"/>
  <c r="AC345" i="15"/>
  <c r="AB345" i="15"/>
  <c r="AA345" i="15"/>
  <c r="Z345" i="15"/>
  <c r="Y345" i="15"/>
  <c r="X345" i="15"/>
  <c r="W345" i="15"/>
  <c r="V345" i="15"/>
  <c r="U345" i="15"/>
  <c r="T345" i="15"/>
  <c r="S345" i="15"/>
  <c r="R345" i="15"/>
  <c r="Q345" i="15"/>
  <c r="P345" i="15"/>
  <c r="O345" i="15"/>
  <c r="N345" i="15"/>
  <c r="M345" i="15"/>
  <c r="L345" i="15"/>
  <c r="K345" i="15"/>
  <c r="J345" i="15"/>
  <c r="I345" i="15"/>
  <c r="H345" i="15"/>
  <c r="G345" i="15"/>
  <c r="F345" i="15"/>
  <c r="AE344" i="15"/>
  <c r="AC344" i="15"/>
  <c r="AB344" i="15"/>
  <c r="AA344" i="15"/>
  <c r="Z344" i="15"/>
  <c r="Y344" i="15"/>
  <c r="X344" i="15"/>
  <c r="W344" i="15"/>
  <c r="V344" i="15"/>
  <c r="U344" i="15"/>
  <c r="T344" i="15"/>
  <c r="S344" i="15"/>
  <c r="R344" i="15"/>
  <c r="Q344" i="15"/>
  <c r="P344" i="15"/>
  <c r="O344" i="15"/>
  <c r="N344" i="15"/>
  <c r="M344" i="15"/>
  <c r="L344" i="15"/>
  <c r="K344" i="15"/>
  <c r="J344" i="15"/>
  <c r="I344" i="15"/>
  <c r="H344" i="15"/>
  <c r="G344" i="15"/>
  <c r="F344" i="15"/>
  <c r="AE343" i="15"/>
  <c r="AC343" i="15"/>
  <c r="AB343" i="15"/>
  <c r="AA343" i="15"/>
  <c r="Z343" i="15"/>
  <c r="Y343" i="15"/>
  <c r="X343" i="15"/>
  <c r="W343" i="15"/>
  <c r="V343" i="15"/>
  <c r="U343" i="15"/>
  <c r="T343" i="15"/>
  <c r="S343" i="15"/>
  <c r="R343" i="15"/>
  <c r="Q343" i="15"/>
  <c r="P343" i="15"/>
  <c r="O343" i="15"/>
  <c r="N343" i="15"/>
  <c r="M343" i="15"/>
  <c r="L343" i="15"/>
  <c r="K343" i="15"/>
  <c r="J343" i="15"/>
  <c r="I343" i="15"/>
  <c r="H343" i="15"/>
  <c r="G343" i="15"/>
  <c r="F343" i="15"/>
  <c r="AE342" i="15"/>
  <c r="AC342" i="15"/>
  <c r="AB342" i="15"/>
  <c r="AA342" i="15"/>
  <c r="Z342" i="15"/>
  <c r="Y342" i="15"/>
  <c r="X342" i="15"/>
  <c r="W342" i="15"/>
  <c r="V342" i="15"/>
  <c r="U342" i="15"/>
  <c r="T342" i="15"/>
  <c r="S342" i="15"/>
  <c r="R342" i="15"/>
  <c r="Q342" i="15"/>
  <c r="P342" i="15"/>
  <c r="O342" i="15"/>
  <c r="N342" i="15"/>
  <c r="M342" i="15"/>
  <c r="L342" i="15"/>
  <c r="K342" i="15"/>
  <c r="J342" i="15"/>
  <c r="I342" i="15"/>
  <c r="H342" i="15"/>
  <c r="G342" i="15"/>
  <c r="F342" i="15"/>
  <c r="AE341" i="15"/>
  <c r="AC341" i="15"/>
  <c r="AB341" i="15"/>
  <c r="AA341" i="15"/>
  <c r="Z341" i="15"/>
  <c r="Y341" i="15"/>
  <c r="X341" i="15"/>
  <c r="W341" i="15"/>
  <c r="V341" i="15"/>
  <c r="U341" i="15"/>
  <c r="T341" i="15"/>
  <c r="S341" i="15"/>
  <c r="R341" i="15"/>
  <c r="Q341" i="15"/>
  <c r="P341" i="15"/>
  <c r="O341" i="15"/>
  <c r="N341" i="15"/>
  <c r="M341" i="15"/>
  <c r="L341" i="15"/>
  <c r="K341" i="15"/>
  <c r="J341" i="15"/>
  <c r="I341" i="15"/>
  <c r="H341" i="15"/>
  <c r="G341" i="15"/>
  <c r="F341" i="15"/>
  <c r="AE340" i="15"/>
  <c r="AC340" i="15"/>
  <c r="AB340" i="15"/>
  <c r="AA340" i="15"/>
  <c r="Z340" i="15"/>
  <c r="Y340" i="15"/>
  <c r="X340" i="15"/>
  <c r="W340" i="15"/>
  <c r="V340" i="15"/>
  <c r="U340" i="15"/>
  <c r="T340" i="15"/>
  <c r="S340" i="15"/>
  <c r="R340" i="15"/>
  <c r="Q340" i="15"/>
  <c r="P340" i="15"/>
  <c r="O340" i="15"/>
  <c r="N340" i="15"/>
  <c r="M340" i="15"/>
  <c r="L340" i="15"/>
  <c r="K340" i="15"/>
  <c r="J340" i="15"/>
  <c r="I340" i="15"/>
  <c r="H340" i="15"/>
  <c r="G340" i="15"/>
  <c r="F340" i="15"/>
  <c r="AE339" i="15"/>
  <c r="AC339" i="15"/>
  <c r="AB339" i="15"/>
  <c r="AA339" i="15"/>
  <c r="Z339" i="15"/>
  <c r="Y339" i="15"/>
  <c r="X339" i="15"/>
  <c r="W339" i="15"/>
  <c r="V339" i="15"/>
  <c r="U339" i="15"/>
  <c r="T339" i="15"/>
  <c r="S339" i="15"/>
  <c r="R339" i="15"/>
  <c r="Q339" i="15"/>
  <c r="P339" i="15"/>
  <c r="O339" i="15"/>
  <c r="N339" i="15"/>
  <c r="M339" i="15"/>
  <c r="L339" i="15"/>
  <c r="K339" i="15"/>
  <c r="J339" i="15"/>
  <c r="I339" i="15"/>
  <c r="H339" i="15"/>
  <c r="G339" i="15"/>
  <c r="F339" i="15"/>
  <c r="AE338" i="15"/>
  <c r="AC338" i="15"/>
  <c r="AB338" i="15"/>
  <c r="AA338" i="15"/>
  <c r="Z338" i="15"/>
  <c r="Y338" i="15"/>
  <c r="X338" i="15"/>
  <c r="W338" i="15"/>
  <c r="V338" i="15"/>
  <c r="U338" i="15"/>
  <c r="T338" i="15"/>
  <c r="S338" i="15"/>
  <c r="R338" i="15"/>
  <c r="Q338" i="15"/>
  <c r="P338" i="15"/>
  <c r="O338" i="15"/>
  <c r="N338" i="15"/>
  <c r="M338" i="15"/>
  <c r="L338" i="15"/>
  <c r="K338" i="15"/>
  <c r="J338" i="15"/>
  <c r="I338" i="15"/>
  <c r="H338" i="15"/>
  <c r="G338" i="15"/>
  <c r="F338" i="15"/>
  <c r="AE337" i="15"/>
  <c r="AC337" i="15"/>
  <c r="AB337" i="15"/>
  <c r="AA337" i="15"/>
  <c r="Z337" i="15"/>
  <c r="Y337" i="15"/>
  <c r="X337" i="15"/>
  <c r="W337" i="15"/>
  <c r="V337" i="15"/>
  <c r="U337" i="15"/>
  <c r="T337" i="15"/>
  <c r="S337" i="15"/>
  <c r="R337" i="15"/>
  <c r="Q337" i="15"/>
  <c r="P337" i="15"/>
  <c r="O337" i="15"/>
  <c r="N337" i="15"/>
  <c r="M337" i="15"/>
  <c r="L337" i="15"/>
  <c r="K337" i="15"/>
  <c r="J337" i="15"/>
  <c r="I337" i="15"/>
  <c r="H337" i="15"/>
  <c r="G337" i="15"/>
  <c r="F337" i="15"/>
  <c r="AE336" i="15"/>
  <c r="AC336" i="15"/>
  <c r="AB336" i="15"/>
  <c r="AA336" i="15"/>
  <c r="Z336" i="15"/>
  <c r="Y336" i="15"/>
  <c r="X336" i="15"/>
  <c r="W336" i="15"/>
  <c r="V336" i="15"/>
  <c r="U336" i="15"/>
  <c r="T336" i="15"/>
  <c r="S336" i="15"/>
  <c r="R336" i="15"/>
  <c r="Q336" i="15"/>
  <c r="P336" i="15"/>
  <c r="O336" i="15"/>
  <c r="N336" i="15"/>
  <c r="M336" i="15"/>
  <c r="L336" i="15"/>
  <c r="K336" i="15"/>
  <c r="J336" i="15"/>
  <c r="I336" i="15"/>
  <c r="H336" i="15"/>
  <c r="G336" i="15"/>
  <c r="F336" i="15"/>
  <c r="AE335" i="15"/>
  <c r="AC335" i="15"/>
  <c r="AB335" i="15"/>
  <c r="AA335" i="15"/>
  <c r="Z335" i="15"/>
  <c r="Y335" i="15"/>
  <c r="X335" i="15"/>
  <c r="W335" i="15"/>
  <c r="V335" i="15"/>
  <c r="U335" i="15"/>
  <c r="T335" i="15"/>
  <c r="S335" i="15"/>
  <c r="R335" i="15"/>
  <c r="Q335" i="15"/>
  <c r="P335" i="15"/>
  <c r="O335" i="15"/>
  <c r="N335" i="15"/>
  <c r="M335" i="15"/>
  <c r="L335" i="15"/>
  <c r="K335" i="15"/>
  <c r="J335" i="15"/>
  <c r="I335" i="15"/>
  <c r="H335" i="15"/>
  <c r="G335" i="15"/>
  <c r="F335" i="15"/>
  <c r="AE334" i="15"/>
  <c r="AC334" i="15"/>
  <c r="AB334" i="15"/>
  <c r="AA334" i="15"/>
  <c r="Z334" i="15"/>
  <c r="Y334" i="15"/>
  <c r="X334" i="15"/>
  <c r="W334" i="15"/>
  <c r="V334" i="15"/>
  <c r="U334" i="15"/>
  <c r="T334" i="15"/>
  <c r="S334" i="15"/>
  <c r="R334" i="15"/>
  <c r="Q334" i="15"/>
  <c r="P334" i="15"/>
  <c r="O334" i="15"/>
  <c r="N334" i="15"/>
  <c r="M334" i="15"/>
  <c r="L334" i="15"/>
  <c r="K334" i="15"/>
  <c r="J334" i="15"/>
  <c r="I334" i="15"/>
  <c r="H334" i="15"/>
  <c r="G334" i="15"/>
  <c r="F334" i="15"/>
  <c r="AE333" i="15"/>
  <c r="AC333" i="15"/>
  <c r="AB333" i="15"/>
  <c r="AA333" i="15"/>
  <c r="Z333" i="15"/>
  <c r="Y333" i="15"/>
  <c r="X333" i="15"/>
  <c r="W333" i="15"/>
  <c r="V333" i="15"/>
  <c r="U333" i="15"/>
  <c r="T333" i="15"/>
  <c r="S333" i="15"/>
  <c r="R333" i="15"/>
  <c r="Q333" i="15"/>
  <c r="P333" i="15"/>
  <c r="O333" i="15"/>
  <c r="N333" i="15"/>
  <c r="M333" i="15"/>
  <c r="L333" i="15"/>
  <c r="K333" i="15"/>
  <c r="J333" i="15"/>
  <c r="I333" i="15"/>
  <c r="H333" i="15"/>
  <c r="G333" i="15"/>
  <c r="F333" i="15"/>
  <c r="AE332" i="15"/>
  <c r="AC332" i="15"/>
  <c r="AB332" i="15"/>
  <c r="AA332" i="15"/>
  <c r="Z332" i="15"/>
  <c r="Y332" i="15"/>
  <c r="X332" i="15"/>
  <c r="W332" i="15"/>
  <c r="V332" i="15"/>
  <c r="U332" i="15"/>
  <c r="T332" i="15"/>
  <c r="S332" i="15"/>
  <c r="R332" i="15"/>
  <c r="Q332" i="15"/>
  <c r="P332" i="15"/>
  <c r="O332" i="15"/>
  <c r="N332" i="15"/>
  <c r="M332" i="15"/>
  <c r="L332" i="15"/>
  <c r="K332" i="15"/>
  <c r="J332" i="15"/>
  <c r="I332" i="15"/>
  <c r="H332" i="15"/>
  <c r="G332" i="15"/>
  <c r="F332" i="15"/>
  <c r="AE331" i="15"/>
  <c r="AC331" i="15"/>
  <c r="AB331" i="15"/>
  <c r="AA331" i="15"/>
  <c r="Z331" i="15"/>
  <c r="Y331" i="15"/>
  <c r="X331" i="15"/>
  <c r="W331" i="15"/>
  <c r="V331" i="15"/>
  <c r="U331" i="15"/>
  <c r="T331" i="15"/>
  <c r="S331" i="15"/>
  <c r="R331" i="15"/>
  <c r="Q331" i="15"/>
  <c r="P331" i="15"/>
  <c r="O331" i="15"/>
  <c r="N331" i="15"/>
  <c r="M331" i="15"/>
  <c r="L331" i="15"/>
  <c r="K331" i="15"/>
  <c r="J331" i="15"/>
  <c r="I331" i="15"/>
  <c r="H331" i="15"/>
  <c r="G331" i="15"/>
  <c r="F331" i="15"/>
  <c r="AE330" i="15"/>
  <c r="AC330" i="15"/>
  <c r="AB330" i="15"/>
  <c r="AA330" i="15"/>
  <c r="Z330" i="15"/>
  <c r="Y330" i="15"/>
  <c r="X330" i="15"/>
  <c r="W330" i="15"/>
  <c r="V330" i="15"/>
  <c r="U330" i="15"/>
  <c r="T330" i="15"/>
  <c r="S330" i="15"/>
  <c r="R330" i="15"/>
  <c r="Q330" i="15"/>
  <c r="P330" i="15"/>
  <c r="O330" i="15"/>
  <c r="N330" i="15"/>
  <c r="M330" i="15"/>
  <c r="L330" i="15"/>
  <c r="K330" i="15"/>
  <c r="J330" i="15"/>
  <c r="I330" i="15"/>
  <c r="H330" i="15"/>
  <c r="G330" i="15"/>
  <c r="F330" i="15"/>
  <c r="AE329" i="15"/>
  <c r="AC329" i="15"/>
  <c r="AB329" i="15"/>
  <c r="AA329" i="15"/>
  <c r="Z329" i="15"/>
  <c r="Y329" i="15"/>
  <c r="X329" i="15"/>
  <c r="W329" i="15"/>
  <c r="V329" i="15"/>
  <c r="U329" i="15"/>
  <c r="T329" i="15"/>
  <c r="S329" i="15"/>
  <c r="R329" i="15"/>
  <c r="Q329" i="15"/>
  <c r="P329" i="15"/>
  <c r="O329" i="15"/>
  <c r="N329" i="15"/>
  <c r="M329" i="15"/>
  <c r="L329" i="15"/>
  <c r="K329" i="15"/>
  <c r="J329" i="15"/>
  <c r="I329" i="15"/>
  <c r="H329" i="15"/>
  <c r="G329" i="15"/>
  <c r="F329" i="15"/>
  <c r="AE328" i="15"/>
  <c r="AC328" i="15"/>
  <c r="AB328" i="15"/>
  <c r="AA328" i="15"/>
  <c r="Z328" i="15"/>
  <c r="Y328" i="15"/>
  <c r="X328" i="15"/>
  <c r="W328" i="15"/>
  <c r="V328" i="15"/>
  <c r="U328" i="15"/>
  <c r="T328" i="15"/>
  <c r="S328" i="15"/>
  <c r="R328" i="15"/>
  <c r="Q328" i="15"/>
  <c r="P328" i="15"/>
  <c r="O328" i="15"/>
  <c r="N328" i="15"/>
  <c r="M328" i="15"/>
  <c r="L328" i="15"/>
  <c r="K328" i="15"/>
  <c r="J328" i="15"/>
  <c r="I328" i="15"/>
  <c r="H328" i="15"/>
  <c r="G328" i="15"/>
  <c r="F328" i="15"/>
  <c r="AE327" i="15"/>
  <c r="AC327" i="15"/>
  <c r="AB327" i="15"/>
  <c r="AA327" i="15"/>
  <c r="Z327" i="15"/>
  <c r="Y327" i="15"/>
  <c r="X327" i="15"/>
  <c r="W327" i="15"/>
  <c r="V327" i="15"/>
  <c r="U327" i="15"/>
  <c r="T327" i="15"/>
  <c r="S327" i="15"/>
  <c r="R327" i="15"/>
  <c r="Q327" i="15"/>
  <c r="P327" i="15"/>
  <c r="O327" i="15"/>
  <c r="N327" i="15"/>
  <c r="M327" i="15"/>
  <c r="L327" i="15"/>
  <c r="K327" i="15"/>
  <c r="J327" i="15"/>
  <c r="I327" i="15"/>
  <c r="H327" i="15"/>
  <c r="G327" i="15"/>
  <c r="F327" i="15"/>
  <c r="AE326" i="15"/>
  <c r="AC326" i="15"/>
  <c r="AB326" i="15"/>
  <c r="AA326" i="15"/>
  <c r="Z326" i="15"/>
  <c r="Y326" i="15"/>
  <c r="X326" i="15"/>
  <c r="W326" i="15"/>
  <c r="V326" i="15"/>
  <c r="U326" i="15"/>
  <c r="T326" i="15"/>
  <c r="S326" i="15"/>
  <c r="R326" i="15"/>
  <c r="Q326" i="15"/>
  <c r="P326" i="15"/>
  <c r="O326" i="15"/>
  <c r="N326" i="15"/>
  <c r="M326" i="15"/>
  <c r="L326" i="15"/>
  <c r="K326" i="15"/>
  <c r="J326" i="15"/>
  <c r="I326" i="15"/>
  <c r="H326" i="15"/>
  <c r="G326" i="15"/>
  <c r="F326" i="15"/>
  <c r="AE325" i="15"/>
  <c r="AC325" i="15"/>
  <c r="AB325" i="15"/>
  <c r="AA325" i="15"/>
  <c r="Z325" i="15"/>
  <c r="Y325" i="15"/>
  <c r="X325" i="15"/>
  <c r="W325" i="15"/>
  <c r="V325" i="15"/>
  <c r="U325" i="15"/>
  <c r="T325" i="15"/>
  <c r="S325" i="15"/>
  <c r="R325" i="15"/>
  <c r="Q325" i="15"/>
  <c r="P325" i="15"/>
  <c r="O325" i="15"/>
  <c r="N325" i="15"/>
  <c r="M325" i="15"/>
  <c r="L325" i="15"/>
  <c r="K325" i="15"/>
  <c r="J325" i="15"/>
  <c r="I325" i="15"/>
  <c r="H325" i="15"/>
  <c r="G325" i="15"/>
  <c r="F325" i="15"/>
  <c r="AE324" i="15"/>
  <c r="AC324" i="15"/>
  <c r="AB324" i="15"/>
  <c r="AA324" i="15"/>
  <c r="Z324" i="15"/>
  <c r="Y324" i="15"/>
  <c r="X324" i="15"/>
  <c r="W324" i="15"/>
  <c r="V324" i="15"/>
  <c r="U324" i="15"/>
  <c r="T324" i="15"/>
  <c r="S324" i="15"/>
  <c r="R324" i="15"/>
  <c r="Q324" i="15"/>
  <c r="P324" i="15"/>
  <c r="O324" i="15"/>
  <c r="N324" i="15"/>
  <c r="M324" i="15"/>
  <c r="L324" i="15"/>
  <c r="K324" i="15"/>
  <c r="J324" i="15"/>
  <c r="I324" i="15"/>
  <c r="H324" i="15"/>
  <c r="G324" i="15"/>
  <c r="F324" i="15"/>
  <c r="AE323" i="15"/>
  <c r="AC323" i="15"/>
  <c r="AB323" i="15"/>
  <c r="AA323" i="15"/>
  <c r="Z323" i="15"/>
  <c r="Y323" i="15"/>
  <c r="X323" i="15"/>
  <c r="W323" i="15"/>
  <c r="V323" i="15"/>
  <c r="U323" i="15"/>
  <c r="T323" i="15"/>
  <c r="S323" i="15"/>
  <c r="R323" i="15"/>
  <c r="Q323" i="15"/>
  <c r="P323" i="15"/>
  <c r="O323" i="15"/>
  <c r="N323" i="15"/>
  <c r="M323" i="15"/>
  <c r="L323" i="15"/>
  <c r="K323" i="15"/>
  <c r="J323" i="15"/>
  <c r="I323" i="15"/>
  <c r="H323" i="15"/>
  <c r="G323" i="15"/>
  <c r="F323" i="15"/>
  <c r="AE322" i="15"/>
  <c r="AC322" i="15"/>
  <c r="AB322" i="15"/>
  <c r="AA322" i="15"/>
  <c r="Z322" i="15"/>
  <c r="Y322" i="15"/>
  <c r="X322" i="15"/>
  <c r="W322" i="15"/>
  <c r="V322" i="15"/>
  <c r="U322" i="15"/>
  <c r="T322" i="15"/>
  <c r="S322" i="15"/>
  <c r="R322" i="15"/>
  <c r="Q322" i="15"/>
  <c r="P322" i="15"/>
  <c r="O322" i="15"/>
  <c r="N322" i="15"/>
  <c r="M322" i="15"/>
  <c r="L322" i="15"/>
  <c r="K322" i="15"/>
  <c r="J322" i="15"/>
  <c r="I322" i="15"/>
  <c r="H322" i="15"/>
  <c r="G322" i="15"/>
  <c r="F322" i="15"/>
  <c r="AE321" i="15"/>
  <c r="AC321" i="15"/>
  <c r="AB321" i="15"/>
  <c r="AA321" i="15"/>
  <c r="Z321" i="15"/>
  <c r="Y321" i="15"/>
  <c r="X321" i="15"/>
  <c r="W321" i="15"/>
  <c r="V321" i="15"/>
  <c r="U321" i="15"/>
  <c r="T321" i="15"/>
  <c r="S321" i="15"/>
  <c r="R321" i="15"/>
  <c r="Q321" i="15"/>
  <c r="P321" i="15"/>
  <c r="O321" i="15"/>
  <c r="N321" i="15"/>
  <c r="M321" i="15"/>
  <c r="L321" i="15"/>
  <c r="K321" i="15"/>
  <c r="J321" i="15"/>
  <c r="I321" i="15"/>
  <c r="H321" i="15"/>
  <c r="G321" i="15"/>
  <c r="F321" i="15"/>
  <c r="AE320" i="15"/>
  <c r="AC320" i="15"/>
  <c r="AB320" i="15"/>
  <c r="AA320" i="15"/>
  <c r="Z320" i="15"/>
  <c r="Y320" i="15"/>
  <c r="X320" i="15"/>
  <c r="W320" i="15"/>
  <c r="V320" i="15"/>
  <c r="U320" i="15"/>
  <c r="T320" i="15"/>
  <c r="S320" i="15"/>
  <c r="R320" i="15"/>
  <c r="Q320" i="15"/>
  <c r="P320" i="15"/>
  <c r="O320" i="15"/>
  <c r="N320" i="15"/>
  <c r="M320" i="15"/>
  <c r="L320" i="15"/>
  <c r="K320" i="15"/>
  <c r="J320" i="15"/>
  <c r="I320" i="15"/>
  <c r="H320" i="15"/>
  <c r="G320" i="15"/>
  <c r="F320" i="15"/>
  <c r="AE319" i="15"/>
  <c r="AC319" i="15"/>
  <c r="AB319" i="15"/>
  <c r="AA319" i="15"/>
  <c r="Z319" i="15"/>
  <c r="Y319" i="15"/>
  <c r="X319" i="15"/>
  <c r="W319" i="15"/>
  <c r="V319" i="15"/>
  <c r="U319" i="15"/>
  <c r="T319" i="15"/>
  <c r="S319" i="15"/>
  <c r="R319" i="15"/>
  <c r="Q319" i="15"/>
  <c r="P319" i="15"/>
  <c r="O319" i="15"/>
  <c r="N319" i="15"/>
  <c r="M319" i="15"/>
  <c r="L319" i="15"/>
  <c r="K319" i="15"/>
  <c r="J319" i="15"/>
  <c r="I319" i="15"/>
  <c r="H319" i="15"/>
  <c r="G319" i="15"/>
  <c r="F319" i="15"/>
  <c r="AE318" i="15"/>
  <c r="AC318" i="15"/>
  <c r="AB318" i="15"/>
  <c r="AA318" i="15"/>
  <c r="Z318" i="15"/>
  <c r="Y318" i="15"/>
  <c r="X318" i="15"/>
  <c r="W318" i="15"/>
  <c r="V318" i="15"/>
  <c r="U318" i="15"/>
  <c r="T318" i="15"/>
  <c r="S318" i="15"/>
  <c r="R318" i="15"/>
  <c r="Q318" i="15"/>
  <c r="P318" i="15"/>
  <c r="O318" i="15"/>
  <c r="N318" i="15"/>
  <c r="M318" i="15"/>
  <c r="L318" i="15"/>
  <c r="K318" i="15"/>
  <c r="J318" i="15"/>
  <c r="I318" i="15"/>
  <c r="H318" i="15"/>
  <c r="G318" i="15"/>
  <c r="F318" i="15"/>
  <c r="AE317" i="15"/>
  <c r="AC317" i="15"/>
  <c r="AB317" i="15"/>
  <c r="AA317" i="15"/>
  <c r="Z317" i="15"/>
  <c r="Y317" i="15"/>
  <c r="X317" i="15"/>
  <c r="W317" i="15"/>
  <c r="V317" i="15"/>
  <c r="U317" i="15"/>
  <c r="T317" i="15"/>
  <c r="S317" i="15"/>
  <c r="R317" i="15"/>
  <c r="Q317" i="15"/>
  <c r="P317" i="15"/>
  <c r="O317" i="15"/>
  <c r="N317" i="15"/>
  <c r="M317" i="15"/>
  <c r="L317" i="15"/>
  <c r="K317" i="15"/>
  <c r="J317" i="15"/>
  <c r="I317" i="15"/>
  <c r="H317" i="15"/>
  <c r="G317" i="15"/>
  <c r="F317" i="15"/>
  <c r="AE316" i="15"/>
  <c r="AC316" i="15"/>
  <c r="AB316" i="15"/>
  <c r="AA316" i="15"/>
  <c r="Z316" i="15"/>
  <c r="Y316" i="15"/>
  <c r="X316" i="15"/>
  <c r="W316" i="15"/>
  <c r="V316" i="15"/>
  <c r="U316" i="15"/>
  <c r="T316" i="15"/>
  <c r="S316" i="15"/>
  <c r="R316" i="15"/>
  <c r="Q316" i="15"/>
  <c r="P316" i="15"/>
  <c r="O316" i="15"/>
  <c r="N316" i="15"/>
  <c r="M316" i="15"/>
  <c r="L316" i="15"/>
  <c r="K316" i="15"/>
  <c r="J316" i="15"/>
  <c r="I316" i="15"/>
  <c r="H316" i="15"/>
  <c r="G316" i="15"/>
  <c r="F316" i="15"/>
  <c r="AE315" i="15"/>
  <c r="AC315" i="15"/>
  <c r="AB315" i="15"/>
  <c r="AA315" i="15"/>
  <c r="Z315" i="15"/>
  <c r="Y315" i="15"/>
  <c r="X315" i="15"/>
  <c r="W315" i="15"/>
  <c r="V315" i="15"/>
  <c r="U315" i="15"/>
  <c r="T315" i="15"/>
  <c r="S315" i="15"/>
  <c r="R315" i="15"/>
  <c r="Q315" i="15"/>
  <c r="P315" i="15"/>
  <c r="O315" i="15"/>
  <c r="N315" i="15"/>
  <c r="M315" i="15"/>
  <c r="L315" i="15"/>
  <c r="K315" i="15"/>
  <c r="J315" i="15"/>
  <c r="I315" i="15"/>
  <c r="H315" i="15"/>
  <c r="G315" i="15"/>
  <c r="F315" i="15"/>
  <c r="AE314" i="15"/>
  <c r="AC314" i="15"/>
  <c r="AB314" i="15"/>
  <c r="AA314" i="15"/>
  <c r="Z314" i="15"/>
  <c r="Y314" i="15"/>
  <c r="X314" i="15"/>
  <c r="W314" i="15"/>
  <c r="V314" i="15"/>
  <c r="U314" i="15"/>
  <c r="T314" i="15"/>
  <c r="S314" i="15"/>
  <c r="R314" i="15"/>
  <c r="Q314" i="15"/>
  <c r="P314" i="15"/>
  <c r="O314" i="15"/>
  <c r="N314" i="15"/>
  <c r="M314" i="15"/>
  <c r="L314" i="15"/>
  <c r="K314" i="15"/>
  <c r="J314" i="15"/>
  <c r="I314" i="15"/>
  <c r="H314" i="15"/>
  <c r="G314" i="15"/>
  <c r="F314" i="15"/>
  <c r="AE313" i="15"/>
  <c r="AC313" i="15"/>
  <c r="AB313" i="15"/>
  <c r="AA313" i="15"/>
  <c r="Z313" i="15"/>
  <c r="Y313" i="15"/>
  <c r="X313" i="15"/>
  <c r="W313" i="15"/>
  <c r="V313" i="15"/>
  <c r="U313" i="15"/>
  <c r="T313" i="15"/>
  <c r="S313" i="15"/>
  <c r="R313" i="15"/>
  <c r="Q313" i="15"/>
  <c r="P313" i="15"/>
  <c r="O313" i="15"/>
  <c r="N313" i="15"/>
  <c r="M313" i="15"/>
  <c r="L313" i="15"/>
  <c r="K313" i="15"/>
  <c r="J313" i="15"/>
  <c r="I313" i="15"/>
  <c r="H313" i="15"/>
  <c r="G313" i="15"/>
  <c r="F313" i="15"/>
  <c r="AE312" i="15"/>
  <c r="AC312" i="15"/>
  <c r="AB312" i="15"/>
  <c r="AA312" i="15"/>
  <c r="Z312" i="15"/>
  <c r="Y312" i="15"/>
  <c r="X312" i="15"/>
  <c r="W312" i="15"/>
  <c r="V312" i="15"/>
  <c r="U312" i="15"/>
  <c r="T312" i="15"/>
  <c r="S312" i="15"/>
  <c r="R312" i="15"/>
  <c r="Q312" i="15"/>
  <c r="P312" i="15"/>
  <c r="O312" i="15"/>
  <c r="N312" i="15"/>
  <c r="M312" i="15"/>
  <c r="L312" i="15"/>
  <c r="K312" i="15"/>
  <c r="J312" i="15"/>
  <c r="I312" i="15"/>
  <c r="H312" i="15"/>
  <c r="G312" i="15"/>
  <c r="F312" i="15"/>
  <c r="AE311" i="15"/>
  <c r="AC311" i="15"/>
  <c r="AB311" i="15"/>
  <c r="AA311" i="15"/>
  <c r="Z311" i="15"/>
  <c r="Y311" i="15"/>
  <c r="X311" i="15"/>
  <c r="W311" i="15"/>
  <c r="V311" i="15"/>
  <c r="U311" i="15"/>
  <c r="T311" i="15"/>
  <c r="S311" i="15"/>
  <c r="R311" i="15"/>
  <c r="Q311" i="15"/>
  <c r="P311" i="15"/>
  <c r="O311" i="15"/>
  <c r="N311" i="15"/>
  <c r="M311" i="15"/>
  <c r="L311" i="15"/>
  <c r="K311" i="15"/>
  <c r="J311" i="15"/>
  <c r="I311" i="15"/>
  <c r="H311" i="15"/>
  <c r="G311" i="15"/>
  <c r="F311" i="15"/>
  <c r="AE310" i="15"/>
  <c r="AC310" i="15"/>
  <c r="AB310" i="15"/>
  <c r="AA310" i="15"/>
  <c r="Z310" i="15"/>
  <c r="Y310" i="15"/>
  <c r="X310" i="15"/>
  <c r="W310" i="15"/>
  <c r="V310" i="15"/>
  <c r="U310" i="15"/>
  <c r="T310" i="15"/>
  <c r="S310" i="15"/>
  <c r="R310" i="15"/>
  <c r="Q310" i="15"/>
  <c r="P310" i="15"/>
  <c r="O310" i="15"/>
  <c r="N310" i="15"/>
  <c r="M310" i="15"/>
  <c r="L310" i="15"/>
  <c r="K310" i="15"/>
  <c r="J310" i="15"/>
  <c r="I310" i="15"/>
  <c r="H310" i="15"/>
  <c r="G310" i="15"/>
  <c r="F310" i="15"/>
  <c r="AE309" i="15"/>
  <c r="AC309" i="15"/>
  <c r="AB309" i="15"/>
  <c r="AA309" i="15"/>
  <c r="Z309" i="15"/>
  <c r="Y309" i="15"/>
  <c r="X309" i="15"/>
  <c r="W309" i="15"/>
  <c r="V309" i="15"/>
  <c r="U309" i="15"/>
  <c r="T309" i="15"/>
  <c r="S309" i="15"/>
  <c r="R309" i="15"/>
  <c r="Q309" i="15"/>
  <c r="P309" i="15"/>
  <c r="O309" i="15"/>
  <c r="N309" i="15"/>
  <c r="M309" i="15"/>
  <c r="L309" i="15"/>
  <c r="K309" i="15"/>
  <c r="J309" i="15"/>
  <c r="I309" i="15"/>
  <c r="H309" i="15"/>
  <c r="G309" i="15"/>
  <c r="F309" i="15"/>
  <c r="AE308" i="15"/>
  <c r="AC308" i="15"/>
  <c r="AB308" i="15"/>
  <c r="AA308" i="15"/>
  <c r="Z308" i="15"/>
  <c r="Y308" i="15"/>
  <c r="X308" i="15"/>
  <c r="W308" i="15"/>
  <c r="V308" i="15"/>
  <c r="U308" i="15"/>
  <c r="T308" i="15"/>
  <c r="S308" i="15"/>
  <c r="R308" i="15"/>
  <c r="Q308" i="15"/>
  <c r="P308" i="15"/>
  <c r="O308" i="15"/>
  <c r="N308" i="15"/>
  <c r="M308" i="15"/>
  <c r="L308" i="15"/>
  <c r="K308" i="15"/>
  <c r="J308" i="15"/>
  <c r="I308" i="15"/>
  <c r="H308" i="15"/>
  <c r="G308" i="15"/>
  <c r="F308" i="15"/>
  <c r="AE307" i="15"/>
  <c r="AC307" i="15"/>
  <c r="AB307" i="15"/>
  <c r="AA307" i="15"/>
  <c r="Z307" i="15"/>
  <c r="Y307" i="15"/>
  <c r="X307" i="15"/>
  <c r="W307" i="15"/>
  <c r="V307" i="15"/>
  <c r="U307" i="15"/>
  <c r="T307" i="15"/>
  <c r="S307" i="15"/>
  <c r="R307" i="15"/>
  <c r="Q307" i="15"/>
  <c r="P307" i="15"/>
  <c r="O307" i="15"/>
  <c r="N307" i="15"/>
  <c r="M307" i="15"/>
  <c r="L307" i="15"/>
  <c r="K307" i="15"/>
  <c r="J307" i="15"/>
  <c r="I307" i="15"/>
  <c r="H307" i="15"/>
  <c r="G307" i="15"/>
  <c r="F307" i="15"/>
  <c r="AE306" i="15"/>
  <c r="AC306" i="15"/>
  <c r="AB306" i="15"/>
  <c r="AA306" i="15"/>
  <c r="Z306" i="15"/>
  <c r="Y306" i="15"/>
  <c r="X306" i="15"/>
  <c r="W306" i="15"/>
  <c r="V306" i="15"/>
  <c r="U306" i="15"/>
  <c r="T306" i="15"/>
  <c r="S306" i="15"/>
  <c r="R306" i="15"/>
  <c r="Q306" i="15"/>
  <c r="P306" i="15"/>
  <c r="O306" i="15"/>
  <c r="N306" i="15"/>
  <c r="M306" i="15"/>
  <c r="L306" i="15"/>
  <c r="K306" i="15"/>
  <c r="J306" i="15"/>
  <c r="I306" i="15"/>
  <c r="H306" i="15"/>
  <c r="G306" i="15"/>
  <c r="F306" i="15"/>
  <c r="AE305" i="15"/>
  <c r="AC305" i="15"/>
  <c r="AB305" i="15"/>
  <c r="AA305" i="15"/>
  <c r="Z305" i="15"/>
  <c r="Y305" i="15"/>
  <c r="X305" i="15"/>
  <c r="W305" i="15"/>
  <c r="V305" i="15"/>
  <c r="U305" i="15"/>
  <c r="T305" i="15"/>
  <c r="S305" i="15"/>
  <c r="R305" i="15"/>
  <c r="Q305" i="15"/>
  <c r="P305" i="15"/>
  <c r="O305" i="15"/>
  <c r="N305" i="15"/>
  <c r="M305" i="15"/>
  <c r="L305" i="15"/>
  <c r="K305" i="15"/>
  <c r="J305" i="15"/>
  <c r="I305" i="15"/>
  <c r="H305" i="15"/>
  <c r="G305" i="15"/>
  <c r="F305" i="15"/>
  <c r="AE304" i="15"/>
  <c r="AC304" i="15"/>
  <c r="AB304" i="15"/>
  <c r="AA304" i="15"/>
  <c r="Z304" i="15"/>
  <c r="Y304" i="15"/>
  <c r="X304" i="15"/>
  <c r="W304" i="15"/>
  <c r="V304" i="15"/>
  <c r="U304" i="15"/>
  <c r="T304" i="15"/>
  <c r="S304" i="15"/>
  <c r="R304" i="15"/>
  <c r="Q304" i="15"/>
  <c r="P304" i="15"/>
  <c r="O304" i="15"/>
  <c r="N304" i="15"/>
  <c r="M304" i="15"/>
  <c r="L304" i="15"/>
  <c r="K304" i="15"/>
  <c r="J304" i="15"/>
  <c r="I304" i="15"/>
  <c r="H304" i="15"/>
  <c r="G304" i="15"/>
  <c r="F304" i="15"/>
  <c r="AE303" i="15"/>
  <c r="AC303" i="15"/>
  <c r="AB303" i="15"/>
  <c r="AA303" i="15"/>
  <c r="Z303" i="15"/>
  <c r="Y303" i="15"/>
  <c r="X303" i="15"/>
  <c r="W303" i="15"/>
  <c r="V303" i="15"/>
  <c r="U303" i="15"/>
  <c r="T303" i="15"/>
  <c r="S303" i="15"/>
  <c r="R303" i="15"/>
  <c r="Q303" i="15"/>
  <c r="P303" i="15"/>
  <c r="O303" i="15"/>
  <c r="N303" i="15"/>
  <c r="M303" i="15"/>
  <c r="L303" i="15"/>
  <c r="K303" i="15"/>
  <c r="J303" i="15"/>
  <c r="I303" i="15"/>
  <c r="H303" i="15"/>
  <c r="G303" i="15"/>
  <c r="F303" i="15"/>
  <c r="AE302" i="15"/>
  <c r="AC302" i="15"/>
  <c r="AB302" i="15"/>
  <c r="AA302" i="15"/>
  <c r="Z302" i="15"/>
  <c r="Y302" i="15"/>
  <c r="X302" i="15"/>
  <c r="W302" i="15"/>
  <c r="V302" i="15"/>
  <c r="U302" i="15"/>
  <c r="T302" i="15"/>
  <c r="S302" i="15"/>
  <c r="R302" i="15"/>
  <c r="Q302" i="15"/>
  <c r="P302" i="15"/>
  <c r="O302" i="15"/>
  <c r="N302" i="15"/>
  <c r="M302" i="15"/>
  <c r="L302" i="15"/>
  <c r="K302" i="15"/>
  <c r="J302" i="15"/>
  <c r="I302" i="15"/>
  <c r="H302" i="15"/>
  <c r="G302" i="15"/>
  <c r="F302" i="15"/>
  <c r="AE301" i="15"/>
  <c r="AC301" i="15"/>
  <c r="AB301" i="15"/>
  <c r="AA301" i="15"/>
  <c r="Z301" i="15"/>
  <c r="Y301" i="15"/>
  <c r="X301" i="15"/>
  <c r="W301" i="15"/>
  <c r="V301" i="15"/>
  <c r="U301" i="15"/>
  <c r="T301" i="15"/>
  <c r="S301" i="15"/>
  <c r="R301" i="15"/>
  <c r="Q301" i="15"/>
  <c r="P301" i="15"/>
  <c r="O301" i="15"/>
  <c r="N301" i="15"/>
  <c r="M301" i="15"/>
  <c r="L301" i="15"/>
  <c r="K301" i="15"/>
  <c r="J301" i="15"/>
  <c r="I301" i="15"/>
  <c r="H301" i="15"/>
  <c r="G301" i="15"/>
  <c r="F301" i="15"/>
  <c r="AE300" i="15"/>
  <c r="AC300" i="15"/>
  <c r="AB300" i="15"/>
  <c r="AA300" i="15"/>
  <c r="Z300" i="15"/>
  <c r="Y300" i="15"/>
  <c r="X300" i="15"/>
  <c r="W300" i="15"/>
  <c r="V300" i="15"/>
  <c r="U300" i="15"/>
  <c r="T300" i="15"/>
  <c r="S300" i="15"/>
  <c r="R300" i="15"/>
  <c r="Q300" i="15"/>
  <c r="P300" i="15"/>
  <c r="O300" i="15"/>
  <c r="N300" i="15"/>
  <c r="M300" i="15"/>
  <c r="L300" i="15"/>
  <c r="K300" i="15"/>
  <c r="J300" i="15"/>
  <c r="I300" i="15"/>
  <c r="H300" i="15"/>
  <c r="G300" i="15"/>
  <c r="F300" i="15"/>
  <c r="AE299" i="15"/>
  <c r="AC299" i="15"/>
  <c r="AB299" i="15"/>
  <c r="AA299" i="15"/>
  <c r="Z299" i="15"/>
  <c r="Y299" i="15"/>
  <c r="X299" i="15"/>
  <c r="W299" i="15"/>
  <c r="V299" i="15"/>
  <c r="U299" i="15"/>
  <c r="T299" i="15"/>
  <c r="S299" i="15"/>
  <c r="R299" i="15"/>
  <c r="Q299" i="15"/>
  <c r="P299" i="15"/>
  <c r="O299" i="15"/>
  <c r="N299" i="15"/>
  <c r="M299" i="15"/>
  <c r="L299" i="15"/>
  <c r="K299" i="15"/>
  <c r="J299" i="15"/>
  <c r="I299" i="15"/>
  <c r="H299" i="15"/>
  <c r="G299" i="15"/>
  <c r="F299" i="15"/>
  <c r="AE298" i="15"/>
  <c r="AC298" i="15"/>
  <c r="AB298" i="15"/>
  <c r="AA298" i="15"/>
  <c r="Z298" i="15"/>
  <c r="Y298" i="15"/>
  <c r="X298" i="15"/>
  <c r="W298" i="15"/>
  <c r="V298" i="15"/>
  <c r="U298" i="15"/>
  <c r="T298" i="15"/>
  <c r="S298" i="15"/>
  <c r="R298" i="15"/>
  <c r="Q298" i="15"/>
  <c r="P298" i="15"/>
  <c r="O298" i="15"/>
  <c r="N298" i="15"/>
  <c r="M298" i="15"/>
  <c r="L298" i="15"/>
  <c r="K298" i="15"/>
  <c r="J298" i="15"/>
  <c r="I298" i="15"/>
  <c r="H298" i="15"/>
  <c r="G298" i="15"/>
  <c r="F298" i="15"/>
  <c r="AE297" i="15"/>
  <c r="AC297" i="15"/>
  <c r="AB297" i="15"/>
  <c r="AA297" i="15"/>
  <c r="Z297" i="15"/>
  <c r="Y297" i="15"/>
  <c r="X297" i="15"/>
  <c r="W297" i="15"/>
  <c r="V297" i="15"/>
  <c r="U297" i="15"/>
  <c r="T297" i="15"/>
  <c r="S297" i="15"/>
  <c r="R297" i="15"/>
  <c r="Q297" i="15"/>
  <c r="P297" i="15"/>
  <c r="O297" i="15"/>
  <c r="N297" i="15"/>
  <c r="M297" i="15"/>
  <c r="L297" i="15"/>
  <c r="K297" i="15"/>
  <c r="J297" i="15"/>
  <c r="I297" i="15"/>
  <c r="H297" i="15"/>
  <c r="G297" i="15"/>
  <c r="F297" i="15"/>
  <c r="AE296" i="15"/>
  <c r="AC296" i="15"/>
  <c r="AB296" i="15"/>
  <c r="AA296" i="15"/>
  <c r="Z296" i="15"/>
  <c r="Y296" i="15"/>
  <c r="X296" i="15"/>
  <c r="W296" i="15"/>
  <c r="V296" i="15"/>
  <c r="U296" i="15"/>
  <c r="T296" i="15"/>
  <c r="S296" i="15"/>
  <c r="R296" i="15"/>
  <c r="Q296" i="15"/>
  <c r="P296" i="15"/>
  <c r="O296" i="15"/>
  <c r="N296" i="15"/>
  <c r="M296" i="15"/>
  <c r="L296" i="15"/>
  <c r="K296" i="15"/>
  <c r="J296" i="15"/>
  <c r="I296" i="15"/>
  <c r="H296" i="15"/>
  <c r="G296" i="15"/>
  <c r="F296" i="15"/>
  <c r="AE295" i="15"/>
  <c r="AC295" i="15"/>
  <c r="AB295" i="15"/>
  <c r="AA295" i="15"/>
  <c r="Z295" i="15"/>
  <c r="Y295" i="15"/>
  <c r="X295" i="15"/>
  <c r="W295" i="15"/>
  <c r="V295" i="15"/>
  <c r="U295" i="15"/>
  <c r="T295" i="15"/>
  <c r="S295" i="15"/>
  <c r="R295" i="15"/>
  <c r="Q295" i="15"/>
  <c r="P295" i="15"/>
  <c r="O295" i="15"/>
  <c r="N295" i="15"/>
  <c r="M295" i="15"/>
  <c r="L295" i="15"/>
  <c r="K295" i="15"/>
  <c r="J295" i="15"/>
  <c r="I295" i="15"/>
  <c r="H295" i="15"/>
  <c r="G295" i="15"/>
  <c r="F295" i="15"/>
  <c r="AE294" i="15"/>
  <c r="AC294" i="15"/>
  <c r="AB294" i="15"/>
  <c r="AA294" i="15"/>
  <c r="Z294" i="15"/>
  <c r="Y294" i="15"/>
  <c r="X294" i="15"/>
  <c r="W294" i="15"/>
  <c r="V294" i="15"/>
  <c r="U294" i="15"/>
  <c r="T294" i="15"/>
  <c r="S294" i="15"/>
  <c r="R294" i="15"/>
  <c r="Q294" i="15"/>
  <c r="P294" i="15"/>
  <c r="O294" i="15"/>
  <c r="N294" i="15"/>
  <c r="M294" i="15"/>
  <c r="L294" i="15"/>
  <c r="K294" i="15"/>
  <c r="J294" i="15"/>
  <c r="I294" i="15"/>
  <c r="H294" i="15"/>
  <c r="G294" i="15"/>
  <c r="F294" i="15"/>
  <c r="AE293" i="15"/>
  <c r="AC293" i="15"/>
  <c r="AB293" i="15"/>
  <c r="AA293" i="15"/>
  <c r="Z293" i="15"/>
  <c r="Y293" i="15"/>
  <c r="X293" i="15"/>
  <c r="W293" i="15"/>
  <c r="V293" i="15"/>
  <c r="U293" i="15"/>
  <c r="T293" i="15"/>
  <c r="S293" i="15"/>
  <c r="R293" i="15"/>
  <c r="Q293" i="15"/>
  <c r="P293" i="15"/>
  <c r="O293" i="15"/>
  <c r="N293" i="15"/>
  <c r="M293" i="15"/>
  <c r="L293" i="15"/>
  <c r="K293" i="15"/>
  <c r="J293" i="15"/>
  <c r="I293" i="15"/>
  <c r="H293" i="15"/>
  <c r="G293" i="15"/>
  <c r="F293" i="15"/>
  <c r="AE292" i="15"/>
  <c r="AC292" i="15"/>
  <c r="AB292" i="15"/>
  <c r="AA292" i="15"/>
  <c r="Z292" i="15"/>
  <c r="Y292" i="15"/>
  <c r="X292" i="15"/>
  <c r="W292" i="15"/>
  <c r="V292" i="15"/>
  <c r="U292" i="15"/>
  <c r="T292" i="15"/>
  <c r="S292" i="15"/>
  <c r="R292" i="15"/>
  <c r="Q292" i="15"/>
  <c r="P292" i="15"/>
  <c r="O292" i="15"/>
  <c r="N292" i="15"/>
  <c r="M292" i="15"/>
  <c r="L292" i="15"/>
  <c r="K292" i="15"/>
  <c r="J292" i="15"/>
  <c r="I292" i="15"/>
  <c r="H292" i="15"/>
  <c r="G292" i="15"/>
  <c r="F292" i="15"/>
  <c r="AE291" i="15"/>
  <c r="AC291" i="15"/>
  <c r="AB291" i="15"/>
  <c r="AA291" i="15"/>
  <c r="Z291" i="15"/>
  <c r="Y291" i="15"/>
  <c r="X291" i="15"/>
  <c r="W291" i="15"/>
  <c r="V291" i="15"/>
  <c r="U291" i="15"/>
  <c r="T291" i="15"/>
  <c r="S291" i="15"/>
  <c r="R291" i="15"/>
  <c r="Q291" i="15"/>
  <c r="P291" i="15"/>
  <c r="O291" i="15"/>
  <c r="N291" i="15"/>
  <c r="M291" i="15"/>
  <c r="L291" i="15"/>
  <c r="K291" i="15"/>
  <c r="J291" i="15"/>
  <c r="I291" i="15"/>
  <c r="H291" i="15"/>
  <c r="G291" i="15"/>
  <c r="F291" i="15"/>
  <c r="AE290" i="15"/>
  <c r="AC290" i="15"/>
  <c r="AB290" i="15"/>
  <c r="AA290" i="15"/>
  <c r="Z290" i="15"/>
  <c r="Y290" i="15"/>
  <c r="X290" i="15"/>
  <c r="W290" i="15"/>
  <c r="V290" i="15"/>
  <c r="U290" i="15"/>
  <c r="T290" i="15"/>
  <c r="S290" i="15"/>
  <c r="R290" i="15"/>
  <c r="Q290" i="15"/>
  <c r="P290" i="15"/>
  <c r="O290" i="15"/>
  <c r="N290" i="15"/>
  <c r="M290" i="15"/>
  <c r="L290" i="15"/>
  <c r="K290" i="15"/>
  <c r="J290" i="15"/>
  <c r="I290" i="15"/>
  <c r="H290" i="15"/>
  <c r="G290" i="15"/>
  <c r="F290" i="15"/>
  <c r="AE289" i="15"/>
  <c r="AC289" i="15"/>
  <c r="AB289" i="15"/>
  <c r="AA289" i="15"/>
  <c r="Z289" i="15"/>
  <c r="Y289" i="15"/>
  <c r="X289" i="15"/>
  <c r="W289" i="15"/>
  <c r="V289" i="15"/>
  <c r="U289" i="15"/>
  <c r="T289" i="15"/>
  <c r="S289" i="15"/>
  <c r="R289" i="15"/>
  <c r="Q289" i="15"/>
  <c r="P289" i="15"/>
  <c r="O289" i="15"/>
  <c r="N289" i="15"/>
  <c r="M289" i="15"/>
  <c r="L289" i="15"/>
  <c r="K289" i="15"/>
  <c r="J289" i="15"/>
  <c r="I289" i="15"/>
  <c r="H289" i="15"/>
  <c r="G289" i="15"/>
  <c r="F289" i="15"/>
  <c r="AE288" i="15"/>
  <c r="AC288" i="15"/>
  <c r="AB288" i="15"/>
  <c r="AA288" i="15"/>
  <c r="Z288" i="15"/>
  <c r="Y288" i="15"/>
  <c r="X288" i="15"/>
  <c r="W288" i="15"/>
  <c r="V288" i="15"/>
  <c r="U288" i="15"/>
  <c r="T288" i="15"/>
  <c r="S288" i="15"/>
  <c r="R288" i="15"/>
  <c r="Q288" i="15"/>
  <c r="P288" i="15"/>
  <c r="O288" i="15"/>
  <c r="N288" i="15"/>
  <c r="M288" i="15"/>
  <c r="L288" i="15"/>
  <c r="K288" i="15"/>
  <c r="J288" i="15"/>
  <c r="I288" i="15"/>
  <c r="H288" i="15"/>
  <c r="G288" i="15"/>
  <c r="F288" i="15"/>
  <c r="AE287" i="15"/>
  <c r="AC287" i="15"/>
  <c r="AB287" i="15"/>
  <c r="AA287" i="15"/>
  <c r="Z287" i="15"/>
  <c r="Y287" i="15"/>
  <c r="X287" i="15"/>
  <c r="W287" i="15"/>
  <c r="V287" i="15"/>
  <c r="U287" i="15"/>
  <c r="T287" i="15"/>
  <c r="S287" i="15"/>
  <c r="R287" i="15"/>
  <c r="Q287" i="15"/>
  <c r="P287" i="15"/>
  <c r="O287" i="15"/>
  <c r="N287" i="15"/>
  <c r="M287" i="15"/>
  <c r="L287" i="15"/>
  <c r="K287" i="15"/>
  <c r="J287" i="15"/>
  <c r="I287" i="15"/>
  <c r="H287" i="15"/>
  <c r="G287" i="15"/>
  <c r="F287" i="15"/>
  <c r="AE286" i="15"/>
  <c r="AC286" i="15"/>
  <c r="AB286" i="15"/>
  <c r="AA286" i="15"/>
  <c r="Z286" i="15"/>
  <c r="Y286" i="15"/>
  <c r="X286" i="15"/>
  <c r="W286" i="15"/>
  <c r="V286" i="15"/>
  <c r="U286" i="15"/>
  <c r="T286" i="15"/>
  <c r="S286" i="15"/>
  <c r="R286" i="15"/>
  <c r="Q286" i="15"/>
  <c r="P286" i="15"/>
  <c r="O286" i="15"/>
  <c r="N286" i="15"/>
  <c r="M286" i="15"/>
  <c r="L286" i="15"/>
  <c r="K286" i="15"/>
  <c r="J286" i="15"/>
  <c r="I286" i="15"/>
  <c r="H286" i="15"/>
  <c r="G286" i="15"/>
  <c r="F286" i="15"/>
  <c r="AE285" i="15"/>
  <c r="AC285" i="15"/>
  <c r="AB285" i="15"/>
  <c r="AA285" i="15"/>
  <c r="Z285" i="15"/>
  <c r="Y285" i="15"/>
  <c r="X285" i="15"/>
  <c r="W285" i="15"/>
  <c r="V285" i="15"/>
  <c r="U285" i="15"/>
  <c r="T285" i="15"/>
  <c r="S285" i="15"/>
  <c r="R285" i="15"/>
  <c r="Q285" i="15"/>
  <c r="P285" i="15"/>
  <c r="O285" i="15"/>
  <c r="N285" i="15"/>
  <c r="M285" i="15"/>
  <c r="L285" i="15"/>
  <c r="K285" i="15"/>
  <c r="J285" i="15"/>
  <c r="I285" i="15"/>
  <c r="H285" i="15"/>
  <c r="G285" i="15"/>
  <c r="F285" i="15"/>
  <c r="AE284" i="15"/>
  <c r="AC284" i="15"/>
  <c r="AB284" i="15"/>
  <c r="AA284" i="15"/>
  <c r="Z284" i="15"/>
  <c r="Y284" i="15"/>
  <c r="X284" i="15"/>
  <c r="W284" i="15"/>
  <c r="V284" i="15"/>
  <c r="U284" i="15"/>
  <c r="T284" i="15"/>
  <c r="S284" i="15"/>
  <c r="R284" i="15"/>
  <c r="Q284" i="15"/>
  <c r="P284" i="15"/>
  <c r="O284" i="15"/>
  <c r="N284" i="15"/>
  <c r="M284" i="15"/>
  <c r="L284" i="15"/>
  <c r="K284" i="15"/>
  <c r="J284" i="15"/>
  <c r="I284" i="15"/>
  <c r="H284" i="15"/>
  <c r="G284" i="15"/>
  <c r="F284" i="15"/>
  <c r="AE283" i="15"/>
  <c r="AC283" i="15"/>
  <c r="AB283" i="15"/>
  <c r="AA283" i="15"/>
  <c r="Z283" i="15"/>
  <c r="Y283" i="15"/>
  <c r="X283" i="15"/>
  <c r="W283" i="15"/>
  <c r="V283" i="15"/>
  <c r="U283" i="15"/>
  <c r="T283" i="15"/>
  <c r="S283" i="15"/>
  <c r="R283" i="15"/>
  <c r="Q283" i="15"/>
  <c r="P283" i="15"/>
  <c r="O283" i="15"/>
  <c r="N283" i="15"/>
  <c r="M283" i="15"/>
  <c r="L283" i="15"/>
  <c r="K283" i="15"/>
  <c r="J283" i="15"/>
  <c r="I283" i="15"/>
  <c r="H283" i="15"/>
  <c r="G283" i="15"/>
  <c r="F283" i="15"/>
  <c r="AE282" i="15"/>
  <c r="AC282" i="15"/>
  <c r="AB282" i="15"/>
  <c r="AA282" i="15"/>
  <c r="Z282" i="15"/>
  <c r="Y282" i="15"/>
  <c r="X282" i="15"/>
  <c r="W282" i="15"/>
  <c r="V282" i="15"/>
  <c r="U282" i="15"/>
  <c r="T282" i="15"/>
  <c r="S282" i="15"/>
  <c r="R282" i="15"/>
  <c r="Q282" i="15"/>
  <c r="P282" i="15"/>
  <c r="O282" i="15"/>
  <c r="N282" i="15"/>
  <c r="M282" i="15"/>
  <c r="L282" i="15"/>
  <c r="K282" i="15"/>
  <c r="J282" i="15"/>
  <c r="I282" i="15"/>
  <c r="H282" i="15"/>
  <c r="G282" i="15"/>
  <c r="F282" i="15"/>
  <c r="AE281" i="15"/>
  <c r="AC281" i="15"/>
  <c r="AB281" i="15"/>
  <c r="AA281" i="15"/>
  <c r="Z281" i="15"/>
  <c r="Y281" i="15"/>
  <c r="X281" i="15"/>
  <c r="W281" i="15"/>
  <c r="V281" i="15"/>
  <c r="U281" i="15"/>
  <c r="T281" i="15"/>
  <c r="S281" i="15"/>
  <c r="R281" i="15"/>
  <c r="Q281" i="15"/>
  <c r="P281" i="15"/>
  <c r="O281" i="15"/>
  <c r="N281" i="15"/>
  <c r="M281" i="15"/>
  <c r="L281" i="15"/>
  <c r="K281" i="15"/>
  <c r="J281" i="15"/>
  <c r="I281" i="15"/>
  <c r="H281" i="15"/>
  <c r="G281" i="15"/>
  <c r="F281" i="15"/>
  <c r="AE280" i="15"/>
  <c r="AC280" i="15"/>
  <c r="AB280" i="15"/>
  <c r="AA280" i="15"/>
  <c r="Z280" i="15"/>
  <c r="Y280" i="15"/>
  <c r="X280" i="15"/>
  <c r="W280" i="15"/>
  <c r="V280" i="15"/>
  <c r="U280" i="15"/>
  <c r="T280" i="15"/>
  <c r="S280" i="15"/>
  <c r="R280" i="15"/>
  <c r="Q280" i="15"/>
  <c r="P280" i="15"/>
  <c r="O280" i="15"/>
  <c r="N280" i="15"/>
  <c r="M280" i="15"/>
  <c r="L280" i="15"/>
  <c r="K280" i="15"/>
  <c r="J280" i="15"/>
  <c r="I280" i="15"/>
  <c r="H280" i="15"/>
  <c r="G280" i="15"/>
  <c r="F280" i="15"/>
  <c r="AE279" i="15"/>
  <c r="AC279" i="15"/>
  <c r="AB279" i="15"/>
  <c r="AA279" i="15"/>
  <c r="Z279" i="15"/>
  <c r="Y279" i="15"/>
  <c r="X279" i="15"/>
  <c r="W279" i="15"/>
  <c r="V279" i="15"/>
  <c r="U279" i="15"/>
  <c r="T279" i="15"/>
  <c r="S279" i="15"/>
  <c r="R279" i="15"/>
  <c r="Q279" i="15"/>
  <c r="P279" i="15"/>
  <c r="O279" i="15"/>
  <c r="N279" i="15"/>
  <c r="M279" i="15"/>
  <c r="L279" i="15"/>
  <c r="K279" i="15"/>
  <c r="J279" i="15"/>
  <c r="I279" i="15"/>
  <c r="H279" i="15"/>
  <c r="G279" i="15"/>
  <c r="F279" i="15"/>
  <c r="AE278" i="15"/>
  <c r="AC278" i="15"/>
  <c r="AB278" i="15"/>
  <c r="AA278" i="15"/>
  <c r="Z278" i="15"/>
  <c r="Y278" i="15"/>
  <c r="X278" i="15"/>
  <c r="W278" i="15"/>
  <c r="V278" i="15"/>
  <c r="U278" i="15"/>
  <c r="T278" i="15"/>
  <c r="S278" i="15"/>
  <c r="R278" i="15"/>
  <c r="Q278" i="15"/>
  <c r="P278" i="15"/>
  <c r="O278" i="15"/>
  <c r="N278" i="15"/>
  <c r="M278" i="15"/>
  <c r="L278" i="15"/>
  <c r="K278" i="15"/>
  <c r="J278" i="15"/>
  <c r="I278" i="15"/>
  <c r="H278" i="15"/>
  <c r="G278" i="15"/>
  <c r="F278" i="15"/>
  <c r="AE277" i="15"/>
  <c r="AC277" i="15"/>
  <c r="AB277" i="15"/>
  <c r="AA277" i="15"/>
  <c r="Z277" i="15"/>
  <c r="Y277" i="15"/>
  <c r="X277" i="15"/>
  <c r="W277" i="15"/>
  <c r="V277" i="15"/>
  <c r="U277" i="15"/>
  <c r="T277" i="15"/>
  <c r="S277" i="15"/>
  <c r="R277" i="15"/>
  <c r="Q277" i="15"/>
  <c r="P277" i="15"/>
  <c r="O277" i="15"/>
  <c r="N277" i="15"/>
  <c r="M277" i="15"/>
  <c r="L277" i="15"/>
  <c r="K277" i="15"/>
  <c r="J277" i="15"/>
  <c r="I277" i="15"/>
  <c r="H277" i="15"/>
  <c r="G277" i="15"/>
  <c r="F277" i="15"/>
  <c r="AE276" i="15"/>
  <c r="AC276" i="15"/>
  <c r="AB276" i="15"/>
  <c r="AA276" i="15"/>
  <c r="Z276" i="15"/>
  <c r="Y276" i="15"/>
  <c r="X276" i="15"/>
  <c r="W276" i="15"/>
  <c r="V276" i="15"/>
  <c r="U276" i="15"/>
  <c r="T276" i="15"/>
  <c r="S276" i="15"/>
  <c r="R276" i="15"/>
  <c r="Q276" i="15"/>
  <c r="P276" i="15"/>
  <c r="O276" i="15"/>
  <c r="N276" i="15"/>
  <c r="M276" i="15"/>
  <c r="L276" i="15"/>
  <c r="K276" i="15"/>
  <c r="J276" i="15"/>
  <c r="I276" i="15"/>
  <c r="H276" i="15"/>
  <c r="G276" i="15"/>
  <c r="F276" i="15"/>
  <c r="AE275" i="15"/>
  <c r="AC275" i="15"/>
  <c r="AB275" i="15"/>
  <c r="AA275" i="15"/>
  <c r="Z275" i="15"/>
  <c r="Y275" i="15"/>
  <c r="X275" i="15"/>
  <c r="W275" i="15"/>
  <c r="V275" i="15"/>
  <c r="U275" i="15"/>
  <c r="T275" i="15"/>
  <c r="S275" i="15"/>
  <c r="R275" i="15"/>
  <c r="Q275" i="15"/>
  <c r="P275" i="15"/>
  <c r="O275" i="15"/>
  <c r="N275" i="15"/>
  <c r="M275" i="15"/>
  <c r="L275" i="15"/>
  <c r="K275" i="15"/>
  <c r="J275" i="15"/>
  <c r="I275" i="15"/>
  <c r="H275" i="15"/>
  <c r="G275" i="15"/>
  <c r="F275" i="15"/>
  <c r="AE274" i="15"/>
  <c r="AC274" i="15"/>
  <c r="AB274" i="15"/>
  <c r="AA274" i="15"/>
  <c r="Z274" i="15"/>
  <c r="Y274" i="15"/>
  <c r="X274" i="15"/>
  <c r="W274" i="15"/>
  <c r="V274" i="15"/>
  <c r="U274" i="15"/>
  <c r="T274" i="15"/>
  <c r="S274" i="15"/>
  <c r="R274" i="15"/>
  <c r="Q274" i="15"/>
  <c r="P274" i="15"/>
  <c r="O274" i="15"/>
  <c r="N274" i="15"/>
  <c r="M274" i="15"/>
  <c r="L274" i="15"/>
  <c r="K274" i="15"/>
  <c r="J274" i="15"/>
  <c r="I274" i="15"/>
  <c r="H274" i="15"/>
  <c r="G274" i="15"/>
  <c r="F274" i="15"/>
  <c r="AE273" i="15"/>
  <c r="AC273" i="15"/>
  <c r="AB273" i="15"/>
  <c r="AA273" i="15"/>
  <c r="Z273" i="15"/>
  <c r="Y273" i="15"/>
  <c r="X273" i="15"/>
  <c r="W273" i="15"/>
  <c r="V273" i="15"/>
  <c r="U273" i="15"/>
  <c r="T273" i="15"/>
  <c r="S273" i="15"/>
  <c r="R273" i="15"/>
  <c r="Q273" i="15"/>
  <c r="P273" i="15"/>
  <c r="O273" i="15"/>
  <c r="N273" i="15"/>
  <c r="M273" i="15"/>
  <c r="L273" i="15"/>
  <c r="K273" i="15"/>
  <c r="J273" i="15"/>
  <c r="I273" i="15"/>
  <c r="H273" i="15"/>
  <c r="G273" i="15"/>
  <c r="F273" i="15"/>
  <c r="AE272" i="15"/>
  <c r="AC272" i="15"/>
  <c r="AB272" i="15"/>
  <c r="AA272" i="15"/>
  <c r="Z272" i="15"/>
  <c r="Y272" i="15"/>
  <c r="X272" i="15"/>
  <c r="W272" i="15"/>
  <c r="V272" i="15"/>
  <c r="U272" i="15"/>
  <c r="T272" i="15"/>
  <c r="S272" i="15"/>
  <c r="R272" i="15"/>
  <c r="Q272" i="15"/>
  <c r="P272" i="15"/>
  <c r="O272" i="15"/>
  <c r="N272" i="15"/>
  <c r="M272" i="15"/>
  <c r="L272" i="15"/>
  <c r="K272" i="15"/>
  <c r="J272" i="15"/>
  <c r="I272" i="15"/>
  <c r="H272" i="15"/>
  <c r="G272" i="15"/>
  <c r="F272" i="15"/>
  <c r="AE271" i="15"/>
  <c r="AC271" i="15"/>
  <c r="AB271" i="15"/>
  <c r="AA271" i="15"/>
  <c r="Z271" i="15"/>
  <c r="Y271" i="15"/>
  <c r="X271" i="15"/>
  <c r="W271" i="15"/>
  <c r="V271" i="15"/>
  <c r="U271" i="15"/>
  <c r="T271" i="15"/>
  <c r="S271" i="15"/>
  <c r="R271" i="15"/>
  <c r="Q271" i="15"/>
  <c r="P271" i="15"/>
  <c r="O271" i="15"/>
  <c r="N271" i="15"/>
  <c r="M271" i="15"/>
  <c r="L271" i="15"/>
  <c r="K271" i="15"/>
  <c r="J271" i="15"/>
  <c r="I271" i="15"/>
  <c r="H271" i="15"/>
  <c r="G271" i="15"/>
  <c r="F271" i="15"/>
  <c r="AE270" i="15"/>
  <c r="AC270" i="15"/>
  <c r="AB270" i="15"/>
  <c r="AA270" i="15"/>
  <c r="Z270" i="15"/>
  <c r="Y270" i="15"/>
  <c r="X270" i="15"/>
  <c r="W270" i="15"/>
  <c r="V270" i="15"/>
  <c r="U270" i="15"/>
  <c r="T270" i="15"/>
  <c r="S270" i="15"/>
  <c r="R270" i="15"/>
  <c r="Q270" i="15"/>
  <c r="P270" i="15"/>
  <c r="O270" i="15"/>
  <c r="N270" i="15"/>
  <c r="M270" i="15"/>
  <c r="L270" i="15"/>
  <c r="K270" i="15"/>
  <c r="J270" i="15"/>
  <c r="I270" i="15"/>
  <c r="H270" i="15"/>
  <c r="G270" i="15"/>
  <c r="F270" i="15"/>
  <c r="AE269" i="15"/>
  <c r="AC269" i="15"/>
  <c r="AB269" i="15"/>
  <c r="AA269" i="15"/>
  <c r="Z269" i="15"/>
  <c r="Y269" i="15"/>
  <c r="X269" i="15"/>
  <c r="W269" i="15"/>
  <c r="V269" i="15"/>
  <c r="U269" i="15"/>
  <c r="T269" i="15"/>
  <c r="S269" i="15"/>
  <c r="R269" i="15"/>
  <c r="Q269" i="15"/>
  <c r="P269" i="15"/>
  <c r="O269" i="15"/>
  <c r="N269" i="15"/>
  <c r="M269" i="15"/>
  <c r="L269" i="15"/>
  <c r="K269" i="15"/>
  <c r="J269" i="15"/>
  <c r="I269" i="15"/>
  <c r="H269" i="15"/>
  <c r="G269" i="15"/>
  <c r="F269" i="15"/>
  <c r="AE268" i="15"/>
  <c r="AC268" i="15"/>
  <c r="AB268" i="15"/>
  <c r="AA268" i="15"/>
  <c r="Z268" i="15"/>
  <c r="Y268" i="15"/>
  <c r="X268" i="15"/>
  <c r="W268" i="15"/>
  <c r="V268" i="15"/>
  <c r="U268" i="15"/>
  <c r="T268" i="15"/>
  <c r="S268" i="15"/>
  <c r="R268" i="15"/>
  <c r="Q268" i="15"/>
  <c r="P268" i="15"/>
  <c r="O268" i="15"/>
  <c r="N268" i="15"/>
  <c r="M268" i="15"/>
  <c r="L268" i="15"/>
  <c r="K268" i="15"/>
  <c r="J268" i="15"/>
  <c r="I268" i="15"/>
  <c r="H268" i="15"/>
  <c r="G268" i="15"/>
  <c r="F268" i="15"/>
  <c r="AE267" i="15"/>
  <c r="AC267" i="15"/>
  <c r="AB267" i="15"/>
  <c r="AA267" i="15"/>
  <c r="Z267" i="15"/>
  <c r="Y267" i="15"/>
  <c r="X267" i="15"/>
  <c r="W267" i="15"/>
  <c r="V267" i="15"/>
  <c r="U267" i="15"/>
  <c r="T267" i="15"/>
  <c r="S267" i="15"/>
  <c r="R267" i="15"/>
  <c r="Q267" i="15"/>
  <c r="P267" i="15"/>
  <c r="O267" i="15"/>
  <c r="N267" i="15"/>
  <c r="M267" i="15"/>
  <c r="L267" i="15"/>
  <c r="K267" i="15"/>
  <c r="J267" i="15"/>
  <c r="I267" i="15"/>
  <c r="H267" i="15"/>
  <c r="G267" i="15"/>
  <c r="F267" i="15"/>
  <c r="AE266" i="15"/>
  <c r="AC266" i="15"/>
  <c r="AB266" i="15"/>
  <c r="AA266" i="15"/>
  <c r="Z266" i="15"/>
  <c r="Y266" i="15"/>
  <c r="X266" i="15"/>
  <c r="W266" i="15"/>
  <c r="V266" i="15"/>
  <c r="U266" i="15"/>
  <c r="T266" i="15"/>
  <c r="S266" i="15"/>
  <c r="R266" i="15"/>
  <c r="Q266" i="15"/>
  <c r="P266" i="15"/>
  <c r="O266" i="15"/>
  <c r="N266" i="15"/>
  <c r="M266" i="15"/>
  <c r="L266" i="15"/>
  <c r="K266" i="15"/>
  <c r="J266" i="15"/>
  <c r="I266" i="15"/>
  <c r="H266" i="15"/>
  <c r="G266" i="15"/>
  <c r="F266" i="15"/>
  <c r="AE265" i="15"/>
  <c r="AC265" i="15"/>
  <c r="AB265" i="15"/>
  <c r="AA265" i="15"/>
  <c r="Z265" i="15"/>
  <c r="Y265" i="15"/>
  <c r="X265" i="15"/>
  <c r="W265" i="15"/>
  <c r="V265" i="15"/>
  <c r="U265" i="15"/>
  <c r="T265" i="15"/>
  <c r="S265" i="15"/>
  <c r="R265" i="15"/>
  <c r="Q265" i="15"/>
  <c r="P265" i="15"/>
  <c r="O265" i="15"/>
  <c r="N265" i="15"/>
  <c r="M265" i="15"/>
  <c r="L265" i="15"/>
  <c r="K265" i="15"/>
  <c r="J265" i="15"/>
  <c r="I265" i="15"/>
  <c r="H265" i="15"/>
  <c r="G265" i="15"/>
  <c r="F265" i="15"/>
  <c r="AE264" i="15"/>
  <c r="AC264" i="15"/>
  <c r="AB264" i="15"/>
  <c r="AA264" i="15"/>
  <c r="Z264" i="15"/>
  <c r="Y264" i="15"/>
  <c r="X264" i="15"/>
  <c r="W264" i="15"/>
  <c r="V264" i="15"/>
  <c r="U264" i="15"/>
  <c r="T264" i="15"/>
  <c r="S264" i="15"/>
  <c r="R264" i="15"/>
  <c r="Q264" i="15"/>
  <c r="P264" i="15"/>
  <c r="O264" i="15"/>
  <c r="N264" i="15"/>
  <c r="M264" i="15"/>
  <c r="L264" i="15"/>
  <c r="K264" i="15"/>
  <c r="J264" i="15"/>
  <c r="I264" i="15"/>
  <c r="H264" i="15"/>
  <c r="G264" i="15"/>
  <c r="F264" i="15"/>
  <c r="AE263" i="15"/>
  <c r="AC263" i="15"/>
  <c r="AB263" i="15"/>
  <c r="AA263" i="15"/>
  <c r="Z263" i="15"/>
  <c r="Y263" i="15"/>
  <c r="X263" i="15"/>
  <c r="W263" i="15"/>
  <c r="V263" i="15"/>
  <c r="U263" i="15"/>
  <c r="T263" i="15"/>
  <c r="S263" i="15"/>
  <c r="R263" i="15"/>
  <c r="Q263" i="15"/>
  <c r="P263" i="15"/>
  <c r="O263" i="15"/>
  <c r="N263" i="15"/>
  <c r="M263" i="15"/>
  <c r="L263" i="15"/>
  <c r="K263" i="15"/>
  <c r="J263" i="15"/>
  <c r="I263" i="15"/>
  <c r="H263" i="15"/>
  <c r="G263" i="15"/>
  <c r="F263" i="15"/>
  <c r="AE262" i="15"/>
  <c r="AC262" i="15"/>
  <c r="AB262" i="15"/>
  <c r="AA262" i="15"/>
  <c r="Z262" i="15"/>
  <c r="Y262" i="15"/>
  <c r="X262" i="15"/>
  <c r="W262" i="15"/>
  <c r="V262" i="15"/>
  <c r="U262" i="15"/>
  <c r="T262" i="15"/>
  <c r="S262" i="15"/>
  <c r="R262" i="15"/>
  <c r="Q262" i="15"/>
  <c r="P262" i="15"/>
  <c r="O262" i="15"/>
  <c r="N262" i="15"/>
  <c r="M262" i="15"/>
  <c r="L262" i="15"/>
  <c r="K262" i="15"/>
  <c r="J262" i="15"/>
  <c r="I262" i="15"/>
  <c r="H262" i="15"/>
  <c r="G262" i="15"/>
  <c r="F262" i="15"/>
  <c r="AE261" i="15"/>
  <c r="AC261" i="15"/>
  <c r="AB261" i="15"/>
  <c r="AA261" i="15"/>
  <c r="Z261" i="15"/>
  <c r="Y261" i="15"/>
  <c r="X261" i="15"/>
  <c r="W261" i="15"/>
  <c r="V261" i="15"/>
  <c r="U261" i="15"/>
  <c r="T261" i="15"/>
  <c r="S261" i="15"/>
  <c r="R261" i="15"/>
  <c r="Q261" i="15"/>
  <c r="P261" i="15"/>
  <c r="O261" i="15"/>
  <c r="N261" i="15"/>
  <c r="M261" i="15"/>
  <c r="L261" i="15"/>
  <c r="K261" i="15"/>
  <c r="J261" i="15"/>
  <c r="I261" i="15"/>
  <c r="H261" i="15"/>
  <c r="G261" i="15"/>
  <c r="F261" i="15"/>
  <c r="AE260" i="15"/>
  <c r="AC260" i="15"/>
  <c r="AB260" i="15"/>
  <c r="AA260" i="15"/>
  <c r="Z260" i="15"/>
  <c r="Y260" i="15"/>
  <c r="X260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AE259" i="15"/>
  <c r="AC259" i="15"/>
  <c r="AB259" i="15"/>
  <c r="AA259" i="15"/>
  <c r="Z259" i="15"/>
  <c r="Y259" i="15"/>
  <c r="X259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AE258" i="15"/>
  <c r="AC258" i="15"/>
  <c r="AB258" i="15"/>
  <c r="AA258" i="15"/>
  <c r="Z258" i="15"/>
  <c r="Y258" i="15"/>
  <c r="X258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AE257" i="15"/>
  <c r="AC257" i="15"/>
  <c r="AB257" i="15"/>
  <c r="AA257" i="15"/>
  <c r="Z257" i="15"/>
  <c r="Y257" i="15"/>
  <c r="X257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AE256" i="15"/>
  <c r="AC256" i="15"/>
  <c r="AB256" i="15"/>
  <c r="AA256" i="15"/>
  <c r="Z256" i="15"/>
  <c r="Y256" i="15"/>
  <c r="X256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AE255" i="15"/>
  <c r="AC255" i="15"/>
  <c r="AB255" i="15"/>
  <c r="AA255" i="15"/>
  <c r="Z255" i="15"/>
  <c r="Y255" i="15"/>
  <c r="X255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AE254" i="15"/>
  <c r="AC254" i="15"/>
  <c r="AB254" i="15"/>
  <c r="AA254" i="15"/>
  <c r="Z254" i="15"/>
  <c r="Y254" i="15"/>
  <c r="X254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AE253" i="15"/>
  <c r="AC253" i="15"/>
  <c r="AB253" i="15"/>
  <c r="AA253" i="15"/>
  <c r="Z253" i="15"/>
  <c r="Y253" i="15"/>
  <c r="X253" i="15"/>
  <c r="W253" i="15"/>
  <c r="V253" i="15"/>
  <c r="U253" i="15"/>
  <c r="T253" i="15"/>
  <c r="S253" i="15"/>
  <c r="R253" i="15"/>
  <c r="Q253" i="15"/>
  <c r="P253" i="15"/>
  <c r="O253" i="15"/>
  <c r="N253" i="15"/>
  <c r="M253" i="15"/>
  <c r="L253" i="15"/>
  <c r="K253" i="15"/>
  <c r="J253" i="15"/>
  <c r="I253" i="15"/>
  <c r="H253" i="15"/>
  <c r="G253" i="15"/>
  <c r="F253" i="15"/>
  <c r="AE252" i="15"/>
  <c r="AC252" i="15"/>
  <c r="AB252" i="15"/>
  <c r="AA252" i="15"/>
  <c r="Z252" i="15"/>
  <c r="Y252" i="15"/>
  <c r="X252" i="15"/>
  <c r="W252" i="15"/>
  <c r="V252" i="15"/>
  <c r="U252" i="15"/>
  <c r="T252" i="15"/>
  <c r="S252" i="15"/>
  <c r="R252" i="15"/>
  <c r="Q252" i="15"/>
  <c r="P252" i="15"/>
  <c r="O252" i="15"/>
  <c r="N252" i="15"/>
  <c r="M252" i="15"/>
  <c r="L252" i="15"/>
  <c r="K252" i="15"/>
  <c r="J252" i="15"/>
  <c r="I252" i="15"/>
  <c r="H252" i="15"/>
  <c r="G252" i="15"/>
  <c r="F252" i="15"/>
  <c r="AE251" i="15"/>
  <c r="AC251" i="15"/>
  <c r="AB251" i="15"/>
  <c r="AA251" i="15"/>
  <c r="Z251" i="15"/>
  <c r="Y251" i="15"/>
  <c r="X251" i="15"/>
  <c r="W251" i="15"/>
  <c r="V251" i="15"/>
  <c r="U251" i="15"/>
  <c r="T251" i="15"/>
  <c r="S251" i="15"/>
  <c r="R251" i="15"/>
  <c r="Q251" i="15"/>
  <c r="P251" i="15"/>
  <c r="O251" i="15"/>
  <c r="N251" i="15"/>
  <c r="M251" i="15"/>
  <c r="L251" i="15"/>
  <c r="K251" i="15"/>
  <c r="J251" i="15"/>
  <c r="I251" i="15"/>
  <c r="H251" i="15"/>
  <c r="G251" i="15"/>
  <c r="F251" i="15"/>
  <c r="AE250" i="15"/>
  <c r="AC250" i="15"/>
  <c r="AB250" i="15"/>
  <c r="AA250" i="15"/>
  <c r="Z250" i="15"/>
  <c r="Y250" i="15"/>
  <c r="X250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AE249" i="15"/>
  <c r="AC249" i="15"/>
  <c r="AB249" i="15"/>
  <c r="AA249" i="15"/>
  <c r="Z249" i="15"/>
  <c r="Y249" i="15"/>
  <c r="X249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AE248" i="15"/>
  <c r="AC248" i="15"/>
  <c r="AB248" i="15"/>
  <c r="AA248" i="15"/>
  <c r="Z248" i="15"/>
  <c r="Y248" i="15"/>
  <c r="X248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AE247" i="15"/>
  <c r="AC247" i="15"/>
  <c r="AB247" i="15"/>
  <c r="AA247" i="15"/>
  <c r="Z247" i="15"/>
  <c r="Y247" i="15"/>
  <c r="X247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AE246" i="15"/>
  <c r="AC246" i="15"/>
  <c r="AB246" i="15"/>
  <c r="AA246" i="15"/>
  <c r="Z246" i="15"/>
  <c r="Y246" i="15"/>
  <c r="X246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AE245" i="15"/>
  <c r="AC245" i="15"/>
  <c r="AB245" i="15"/>
  <c r="AA245" i="15"/>
  <c r="Z245" i="15"/>
  <c r="Y245" i="15"/>
  <c r="X245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AE244" i="15"/>
  <c r="AC244" i="15"/>
  <c r="AB244" i="15"/>
  <c r="AA244" i="15"/>
  <c r="Z244" i="15"/>
  <c r="Y244" i="15"/>
  <c r="X244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AE243" i="15"/>
  <c r="AC243" i="15"/>
  <c r="AB243" i="15"/>
  <c r="AA243" i="15"/>
  <c r="Z243" i="15"/>
  <c r="Y243" i="15"/>
  <c r="X243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AE242" i="15"/>
  <c r="AC242" i="15"/>
  <c r="AB242" i="15"/>
  <c r="AA242" i="15"/>
  <c r="Z242" i="15"/>
  <c r="Y242" i="15"/>
  <c r="X242" i="15"/>
  <c r="W242" i="15"/>
  <c r="V242" i="15"/>
  <c r="U242" i="15"/>
  <c r="T242" i="15"/>
  <c r="S242" i="15"/>
  <c r="R242" i="15"/>
  <c r="Q242" i="15"/>
  <c r="P242" i="15"/>
  <c r="O242" i="15"/>
  <c r="N242" i="15"/>
  <c r="M242" i="15"/>
  <c r="L242" i="15"/>
  <c r="K242" i="15"/>
  <c r="J242" i="15"/>
  <c r="I242" i="15"/>
  <c r="H242" i="15"/>
  <c r="G242" i="15"/>
  <c r="F242" i="15"/>
  <c r="AE241" i="15"/>
  <c r="AC241" i="15"/>
  <c r="AB241" i="15"/>
  <c r="AA241" i="15"/>
  <c r="Z241" i="15"/>
  <c r="Y241" i="15"/>
  <c r="X241" i="15"/>
  <c r="W241" i="15"/>
  <c r="V241" i="15"/>
  <c r="U241" i="15"/>
  <c r="T241" i="15"/>
  <c r="S241" i="15"/>
  <c r="R241" i="15"/>
  <c r="Q241" i="15"/>
  <c r="P241" i="15"/>
  <c r="O241" i="15"/>
  <c r="N241" i="15"/>
  <c r="M241" i="15"/>
  <c r="L241" i="15"/>
  <c r="K241" i="15"/>
  <c r="J241" i="15"/>
  <c r="I241" i="15"/>
  <c r="H241" i="15"/>
  <c r="G241" i="15"/>
  <c r="F241" i="15"/>
  <c r="AE240" i="15"/>
  <c r="AC240" i="15"/>
  <c r="AB240" i="15"/>
  <c r="AA240" i="15"/>
  <c r="Z240" i="15"/>
  <c r="Y240" i="15"/>
  <c r="X240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AE239" i="15"/>
  <c r="AC239" i="15"/>
  <c r="AB239" i="15"/>
  <c r="AA239" i="15"/>
  <c r="Z239" i="15"/>
  <c r="Y239" i="15"/>
  <c r="X239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AE238" i="15"/>
  <c r="AC238" i="15"/>
  <c r="AB238" i="15"/>
  <c r="AA238" i="15"/>
  <c r="Z238" i="15"/>
  <c r="Y238" i="15"/>
  <c r="X238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AE237" i="15"/>
  <c r="AC237" i="15"/>
  <c r="AB237" i="15"/>
  <c r="AA237" i="15"/>
  <c r="Z237" i="15"/>
  <c r="Y237" i="15"/>
  <c r="X237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AE236" i="15"/>
  <c r="AC236" i="15"/>
  <c r="AB236" i="15"/>
  <c r="AA236" i="15"/>
  <c r="Z236" i="15"/>
  <c r="Y236" i="15"/>
  <c r="X236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AE235" i="15"/>
  <c r="AC235" i="15"/>
  <c r="AB235" i="15"/>
  <c r="AA235" i="15"/>
  <c r="Z235" i="15"/>
  <c r="Y235" i="15"/>
  <c r="X235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AE234" i="15"/>
  <c r="AC234" i="15"/>
  <c r="AB234" i="15"/>
  <c r="AA234" i="15"/>
  <c r="Z234" i="15"/>
  <c r="Y234" i="15"/>
  <c r="X234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AE233" i="15"/>
  <c r="AC233" i="15"/>
  <c r="AB233" i="15"/>
  <c r="AA233" i="15"/>
  <c r="Z233" i="15"/>
  <c r="Y233" i="15"/>
  <c r="X233" i="15"/>
  <c r="W233" i="15"/>
  <c r="V233" i="15"/>
  <c r="U233" i="15"/>
  <c r="T233" i="15"/>
  <c r="S233" i="15"/>
  <c r="R233" i="15"/>
  <c r="Q233" i="15"/>
  <c r="P233" i="15"/>
  <c r="O233" i="15"/>
  <c r="N233" i="15"/>
  <c r="M233" i="15"/>
  <c r="L233" i="15"/>
  <c r="K233" i="15"/>
  <c r="J233" i="15"/>
  <c r="I233" i="15"/>
  <c r="H233" i="15"/>
  <c r="G233" i="15"/>
  <c r="F233" i="15"/>
  <c r="AE232" i="15"/>
  <c r="AC232" i="15"/>
  <c r="AB232" i="15"/>
  <c r="AA232" i="15"/>
  <c r="Z232" i="15"/>
  <c r="Y232" i="15"/>
  <c r="X232" i="15"/>
  <c r="W232" i="15"/>
  <c r="V232" i="15"/>
  <c r="U232" i="15"/>
  <c r="T232" i="15"/>
  <c r="S232" i="15"/>
  <c r="R232" i="15"/>
  <c r="Q232" i="15"/>
  <c r="P232" i="15"/>
  <c r="O232" i="15"/>
  <c r="N232" i="15"/>
  <c r="M232" i="15"/>
  <c r="L232" i="15"/>
  <c r="K232" i="15"/>
  <c r="J232" i="15"/>
  <c r="I232" i="15"/>
  <c r="H232" i="15"/>
  <c r="G232" i="15"/>
  <c r="F232" i="15"/>
  <c r="AE231" i="15"/>
  <c r="AC231" i="15"/>
  <c r="AB231" i="15"/>
  <c r="AA231" i="15"/>
  <c r="Z231" i="15"/>
  <c r="Y231" i="15"/>
  <c r="X231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AE230" i="15"/>
  <c r="AC230" i="15"/>
  <c r="AB230" i="15"/>
  <c r="AA230" i="15"/>
  <c r="Z230" i="15"/>
  <c r="Y230" i="15"/>
  <c r="X230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AE229" i="15"/>
  <c r="AC229" i="15"/>
  <c r="AB229" i="15"/>
  <c r="AA229" i="15"/>
  <c r="Z229" i="15"/>
  <c r="Y229" i="15"/>
  <c r="X229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AE228" i="15"/>
  <c r="AC228" i="15"/>
  <c r="AB228" i="15"/>
  <c r="AA228" i="15"/>
  <c r="Z228" i="15"/>
  <c r="Y228" i="15"/>
  <c r="X228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AE227" i="15"/>
  <c r="AC227" i="15"/>
  <c r="AB227" i="15"/>
  <c r="AA227" i="15"/>
  <c r="Z227" i="15"/>
  <c r="Y227" i="15"/>
  <c r="X227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AE226" i="15"/>
  <c r="AC226" i="15"/>
  <c r="AB226" i="15"/>
  <c r="AA226" i="15"/>
  <c r="Z226" i="15"/>
  <c r="Y226" i="15"/>
  <c r="X226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AE225" i="15"/>
  <c r="AC225" i="15"/>
  <c r="AB225" i="15"/>
  <c r="AA225" i="15"/>
  <c r="Z225" i="15"/>
  <c r="Y225" i="15"/>
  <c r="X225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AE224" i="15"/>
  <c r="AC224" i="15"/>
  <c r="AB224" i="15"/>
  <c r="AA224" i="15"/>
  <c r="Z224" i="15"/>
  <c r="Y224" i="15"/>
  <c r="X224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AE223" i="15"/>
  <c r="AC223" i="15"/>
  <c r="AB223" i="15"/>
  <c r="AA223" i="15"/>
  <c r="Z223" i="15"/>
  <c r="Y223" i="15"/>
  <c r="X223" i="15"/>
  <c r="W223" i="15"/>
  <c r="V223" i="15"/>
  <c r="U223" i="15"/>
  <c r="T223" i="15"/>
  <c r="S223" i="15"/>
  <c r="R223" i="15"/>
  <c r="Q223" i="15"/>
  <c r="P223" i="15"/>
  <c r="O223" i="15"/>
  <c r="N223" i="15"/>
  <c r="M223" i="15"/>
  <c r="L223" i="15"/>
  <c r="K223" i="15"/>
  <c r="J223" i="15"/>
  <c r="I223" i="15"/>
  <c r="H223" i="15"/>
  <c r="G223" i="15"/>
  <c r="F223" i="15"/>
  <c r="AE222" i="15"/>
  <c r="AC222" i="15"/>
  <c r="AB222" i="15"/>
  <c r="AA222" i="15"/>
  <c r="Z222" i="15"/>
  <c r="Y222" i="15"/>
  <c r="X222" i="15"/>
  <c r="W222" i="15"/>
  <c r="V222" i="15"/>
  <c r="U222" i="15"/>
  <c r="T222" i="15"/>
  <c r="S222" i="15"/>
  <c r="R222" i="15"/>
  <c r="Q222" i="15"/>
  <c r="P222" i="15"/>
  <c r="O222" i="15"/>
  <c r="N222" i="15"/>
  <c r="M222" i="15"/>
  <c r="L222" i="15"/>
  <c r="K222" i="15"/>
  <c r="J222" i="15"/>
  <c r="I222" i="15"/>
  <c r="H222" i="15"/>
  <c r="G222" i="15"/>
  <c r="F222" i="15"/>
  <c r="AE221" i="15"/>
  <c r="AC221" i="15"/>
  <c r="AB221" i="15"/>
  <c r="AA221" i="15"/>
  <c r="Z221" i="15"/>
  <c r="Y221" i="15"/>
  <c r="X221" i="15"/>
  <c r="W221" i="15"/>
  <c r="V221" i="15"/>
  <c r="U221" i="15"/>
  <c r="T221" i="15"/>
  <c r="S221" i="15"/>
  <c r="R221" i="15"/>
  <c r="Q221" i="15"/>
  <c r="P221" i="15"/>
  <c r="O221" i="15"/>
  <c r="N221" i="15"/>
  <c r="M221" i="15"/>
  <c r="L221" i="15"/>
  <c r="K221" i="15"/>
  <c r="J221" i="15"/>
  <c r="I221" i="15"/>
  <c r="H221" i="15"/>
  <c r="G221" i="15"/>
  <c r="F221" i="15"/>
  <c r="AE220" i="15"/>
  <c r="AC220" i="15"/>
  <c r="AB220" i="15"/>
  <c r="AA220" i="15"/>
  <c r="Z220" i="15"/>
  <c r="Y220" i="15"/>
  <c r="X220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AE219" i="15"/>
  <c r="AC219" i="15"/>
  <c r="AB219" i="15"/>
  <c r="AA219" i="15"/>
  <c r="Z219" i="15"/>
  <c r="Y219" i="15"/>
  <c r="X219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AE218" i="15"/>
  <c r="AC218" i="15"/>
  <c r="AB218" i="15"/>
  <c r="AA218" i="15"/>
  <c r="Z218" i="15"/>
  <c r="Y218" i="15"/>
  <c r="X218" i="15"/>
  <c r="W218" i="15"/>
  <c r="V218" i="15"/>
  <c r="U218" i="15"/>
  <c r="T218" i="15"/>
  <c r="S218" i="15"/>
  <c r="R218" i="15"/>
  <c r="Q218" i="15"/>
  <c r="P218" i="15"/>
  <c r="O218" i="15"/>
  <c r="N218" i="15"/>
  <c r="M218" i="15"/>
  <c r="L218" i="15"/>
  <c r="K218" i="15"/>
  <c r="J218" i="15"/>
  <c r="I218" i="15"/>
  <c r="H218" i="15"/>
  <c r="G218" i="15"/>
  <c r="F218" i="15"/>
  <c r="AE217" i="15"/>
  <c r="AC217" i="15"/>
  <c r="AB217" i="15"/>
  <c r="AA217" i="15"/>
  <c r="Z217" i="15"/>
  <c r="Y217" i="15"/>
  <c r="X217" i="15"/>
  <c r="W217" i="15"/>
  <c r="V217" i="15"/>
  <c r="U217" i="15"/>
  <c r="T217" i="15"/>
  <c r="S217" i="15"/>
  <c r="R217" i="15"/>
  <c r="Q217" i="15"/>
  <c r="P217" i="15"/>
  <c r="O217" i="15"/>
  <c r="N217" i="15"/>
  <c r="M217" i="15"/>
  <c r="L217" i="15"/>
  <c r="K217" i="15"/>
  <c r="J217" i="15"/>
  <c r="I217" i="15"/>
  <c r="H217" i="15"/>
  <c r="G217" i="15"/>
  <c r="F217" i="15"/>
  <c r="AE216" i="15"/>
  <c r="AC216" i="15"/>
  <c r="AB216" i="15"/>
  <c r="AA216" i="15"/>
  <c r="Z216" i="15"/>
  <c r="Y216" i="15"/>
  <c r="X216" i="15"/>
  <c r="W216" i="15"/>
  <c r="V216" i="15"/>
  <c r="U216" i="15"/>
  <c r="T216" i="15"/>
  <c r="S216" i="15"/>
  <c r="R216" i="15"/>
  <c r="Q216" i="15"/>
  <c r="P216" i="15"/>
  <c r="O216" i="15"/>
  <c r="N216" i="15"/>
  <c r="M216" i="15"/>
  <c r="L216" i="15"/>
  <c r="K216" i="15"/>
  <c r="J216" i="15"/>
  <c r="I216" i="15"/>
  <c r="H216" i="15"/>
  <c r="G216" i="15"/>
  <c r="F216" i="15"/>
  <c r="AE215" i="15"/>
  <c r="AC215" i="15"/>
  <c r="AB215" i="15"/>
  <c r="AA215" i="15"/>
  <c r="Z215" i="15"/>
  <c r="Y215" i="15"/>
  <c r="X215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AE214" i="15"/>
  <c r="AC214" i="15"/>
  <c r="AB214" i="15"/>
  <c r="AA214" i="15"/>
  <c r="Z214" i="15"/>
  <c r="Y214" i="15"/>
  <c r="X214" i="15"/>
  <c r="W214" i="15"/>
  <c r="V214" i="15"/>
  <c r="U214" i="15"/>
  <c r="T214" i="15"/>
  <c r="S214" i="15"/>
  <c r="R214" i="15"/>
  <c r="Q214" i="15"/>
  <c r="P214" i="15"/>
  <c r="O214" i="15"/>
  <c r="N214" i="15"/>
  <c r="M214" i="15"/>
  <c r="L214" i="15"/>
  <c r="K214" i="15"/>
  <c r="J214" i="15"/>
  <c r="I214" i="15"/>
  <c r="H214" i="15"/>
  <c r="G214" i="15"/>
  <c r="F214" i="15"/>
  <c r="AE213" i="15"/>
  <c r="AC213" i="15"/>
  <c r="AB213" i="15"/>
  <c r="AA213" i="15"/>
  <c r="Z213" i="15"/>
  <c r="Y213" i="15"/>
  <c r="X213" i="15"/>
  <c r="W213" i="15"/>
  <c r="V213" i="15"/>
  <c r="U213" i="15"/>
  <c r="T213" i="15"/>
  <c r="S213" i="15"/>
  <c r="R213" i="15"/>
  <c r="Q213" i="15"/>
  <c r="P213" i="15"/>
  <c r="O213" i="15"/>
  <c r="N213" i="15"/>
  <c r="M213" i="15"/>
  <c r="L213" i="15"/>
  <c r="K213" i="15"/>
  <c r="J213" i="15"/>
  <c r="I213" i="15"/>
  <c r="H213" i="15"/>
  <c r="G213" i="15"/>
  <c r="F213" i="15"/>
  <c r="AE212" i="15"/>
  <c r="AC212" i="15"/>
  <c r="AB212" i="15"/>
  <c r="AA212" i="15"/>
  <c r="Z212" i="15"/>
  <c r="Y212" i="15"/>
  <c r="X212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AE211" i="15"/>
  <c r="AC211" i="15"/>
  <c r="AB211" i="15"/>
  <c r="AA211" i="15"/>
  <c r="Z211" i="15"/>
  <c r="Y211" i="15"/>
  <c r="X211" i="15"/>
  <c r="W211" i="15"/>
  <c r="V211" i="15"/>
  <c r="U211" i="15"/>
  <c r="T211" i="15"/>
  <c r="S211" i="15"/>
  <c r="R211" i="15"/>
  <c r="Q211" i="15"/>
  <c r="P211" i="15"/>
  <c r="O211" i="15"/>
  <c r="N211" i="15"/>
  <c r="M211" i="15"/>
  <c r="L211" i="15"/>
  <c r="K211" i="15"/>
  <c r="J211" i="15"/>
  <c r="I211" i="15"/>
  <c r="H211" i="15"/>
  <c r="G211" i="15"/>
  <c r="F211" i="15"/>
  <c r="AE210" i="15"/>
  <c r="AC210" i="15"/>
  <c r="AB210" i="15"/>
  <c r="AA210" i="15"/>
  <c r="Z210" i="15"/>
  <c r="Y210" i="15"/>
  <c r="X210" i="15"/>
  <c r="W210" i="15"/>
  <c r="V210" i="15"/>
  <c r="U210" i="15"/>
  <c r="T210" i="15"/>
  <c r="S210" i="15"/>
  <c r="R210" i="15"/>
  <c r="Q210" i="15"/>
  <c r="P210" i="15"/>
  <c r="O210" i="15"/>
  <c r="N210" i="15"/>
  <c r="M210" i="15"/>
  <c r="L210" i="15"/>
  <c r="K210" i="15"/>
  <c r="J210" i="15"/>
  <c r="I210" i="15"/>
  <c r="H210" i="15"/>
  <c r="G210" i="15"/>
  <c r="F210" i="15"/>
  <c r="AE209" i="15"/>
  <c r="AC209" i="15"/>
  <c r="AB209" i="15"/>
  <c r="AA209" i="15"/>
  <c r="Z209" i="15"/>
  <c r="Y209" i="15"/>
  <c r="X209" i="15"/>
  <c r="W209" i="15"/>
  <c r="V209" i="15"/>
  <c r="U209" i="15"/>
  <c r="T209" i="15"/>
  <c r="S209" i="15"/>
  <c r="R209" i="15"/>
  <c r="Q209" i="15"/>
  <c r="P209" i="15"/>
  <c r="O209" i="15"/>
  <c r="N209" i="15"/>
  <c r="M209" i="15"/>
  <c r="L209" i="15"/>
  <c r="K209" i="15"/>
  <c r="J209" i="15"/>
  <c r="I209" i="15"/>
  <c r="H209" i="15"/>
  <c r="G209" i="15"/>
  <c r="F209" i="15"/>
  <c r="AE208" i="15"/>
  <c r="AC208" i="15"/>
  <c r="AB208" i="15"/>
  <c r="AA208" i="15"/>
  <c r="Z208" i="15"/>
  <c r="Y208" i="15"/>
  <c r="X208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AE207" i="15"/>
  <c r="AC207" i="15"/>
  <c r="AB207" i="15"/>
  <c r="AA207" i="15"/>
  <c r="Z207" i="15"/>
  <c r="Y207" i="15"/>
  <c r="X207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AE206" i="15"/>
  <c r="AC206" i="15"/>
  <c r="AB206" i="15"/>
  <c r="AA206" i="15"/>
  <c r="Z206" i="15"/>
  <c r="Y206" i="15"/>
  <c r="X206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AE205" i="15"/>
  <c r="AC205" i="15"/>
  <c r="AB205" i="15"/>
  <c r="AA205" i="15"/>
  <c r="Z205" i="15"/>
  <c r="Y205" i="15"/>
  <c r="X205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AE204" i="15"/>
  <c r="AC204" i="15"/>
  <c r="AB204" i="15"/>
  <c r="AA204" i="15"/>
  <c r="Z204" i="15"/>
  <c r="Y204" i="15"/>
  <c r="X204" i="15"/>
  <c r="W204" i="15"/>
  <c r="V204" i="15"/>
  <c r="U204" i="15"/>
  <c r="T204" i="15"/>
  <c r="S204" i="15"/>
  <c r="R204" i="15"/>
  <c r="Q204" i="15"/>
  <c r="P204" i="15"/>
  <c r="O204" i="15"/>
  <c r="N204" i="15"/>
  <c r="M204" i="15"/>
  <c r="L204" i="15"/>
  <c r="K204" i="15"/>
  <c r="J204" i="15"/>
  <c r="I204" i="15"/>
  <c r="H204" i="15"/>
  <c r="G204" i="15"/>
  <c r="F204" i="15"/>
  <c r="AE203" i="15"/>
  <c r="AC203" i="15"/>
  <c r="AB203" i="15"/>
  <c r="AA203" i="15"/>
  <c r="Z203" i="15"/>
  <c r="Y203" i="15"/>
  <c r="X203" i="15"/>
  <c r="W203" i="15"/>
  <c r="V203" i="15"/>
  <c r="U203" i="15"/>
  <c r="T203" i="15"/>
  <c r="S203" i="15"/>
  <c r="R203" i="15"/>
  <c r="Q203" i="15"/>
  <c r="P203" i="15"/>
  <c r="O203" i="15"/>
  <c r="N203" i="15"/>
  <c r="M203" i="15"/>
  <c r="L203" i="15"/>
  <c r="K203" i="15"/>
  <c r="J203" i="15"/>
  <c r="I203" i="15"/>
  <c r="H203" i="15"/>
  <c r="G203" i="15"/>
  <c r="F203" i="15"/>
  <c r="AE202" i="15"/>
  <c r="AC202" i="15"/>
  <c r="AB202" i="15"/>
  <c r="AA202" i="15"/>
  <c r="Z202" i="15"/>
  <c r="Y202" i="15"/>
  <c r="X202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AE201" i="15"/>
  <c r="AC201" i="15"/>
  <c r="AB201" i="15"/>
  <c r="AA201" i="15"/>
  <c r="Z201" i="15"/>
  <c r="Y201" i="15"/>
  <c r="X201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AE200" i="15"/>
  <c r="AC200" i="15"/>
  <c r="AB200" i="15"/>
  <c r="AA200" i="15"/>
  <c r="Z200" i="15"/>
  <c r="Y200" i="15"/>
  <c r="X200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AE199" i="15"/>
  <c r="AC199" i="15"/>
  <c r="AB199" i="15"/>
  <c r="AA199" i="15"/>
  <c r="Z199" i="15"/>
  <c r="Y199" i="15"/>
  <c r="X199" i="15"/>
  <c r="W199" i="15"/>
  <c r="V199" i="15"/>
  <c r="U199" i="15"/>
  <c r="T199" i="15"/>
  <c r="S199" i="15"/>
  <c r="R199" i="15"/>
  <c r="Q199" i="15"/>
  <c r="P199" i="15"/>
  <c r="O199" i="15"/>
  <c r="N199" i="15"/>
  <c r="M199" i="15"/>
  <c r="L199" i="15"/>
  <c r="K199" i="15"/>
  <c r="J199" i="15"/>
  <c r="I199" i="15"/>
  <c r="H199" i="15"/>
  <c r="G199" i="15"/>
  <c r="F199" i="15"/>
  <c r="AE198" i="15"/>
  <c r="AC198" i="15"/>
  <c r="AB198" i="15"/>
  <c r="AA198" i="15"/>
  <c r="Z198" i="15"/>
  <c r="Y198" i="15"/>
  <c r="X198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AE197" i="15"/>
  <c r="AC197" i="15"/>
  <c r="AB197" i="15"/>
  <c r="AA197" i="15"/>
  <c r="Z197" i="15"/>
  <c r="Y197" i="15"/>
  <c r="X197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AE196" i="15"/>
  <c r="AC196" i="15"/>
  <c r="AB196" i="15"/>
  <c r="AA196" i="15"/>
  <c r="Z196" i="15"/>
  <c r="Y196" i="15"/>
  <c r="X196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AE195" i="15"/>
  <c r="AC195" i="15"/>
  <c r="AB195" i="15"/>
  <c r="AA195" i="15"/>
  <c r="Z195" i="15"/>
  <c r="Y195" i="15"/>
  <c r="X195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AE194" i="15"/>
  <c r="AC194" i="15"/>
  <c r="AB194" i="15"/>
  <c r="AA194" i="15"/>
  <c r="Z194" i="15"/>
  <c r="Y194" i="15"/>
  <c r="X194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AE193" i="15"/>
  <c r="AC193" i="15"/>
  <c r="AB193" i="15"/>
  <c r="AA193" i="15"/>
  <c r="Z193" i="15"/>
  <c r="Y193" i="15"/>
  <c r="X193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AE192" i="15"/>
  <c r="AC192" i="15"/>
  <c r="AB192" i="15"/>
  <c r="AA192" i="15"/>
  <c r="Z192" i="15"/>
  <c r="Y192" i="15"/>
  <c r="X192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AE191" i="15"/>
  <c r="AC191" i="15"/>
  <c r="AB191" i="15"/>
  <c r="AA191" i="15"/>
  <c r="Z191" i="15"/>
  <c r="Y191" i="15"/>
  <c r="X191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AE190" i="15"/>
  <c r="AC190" i="15"/>
  <c r="AB190" i="15"/>
  <c r="AA190" i="15"/>
  <c r="Z190" i="15"/>
  <c r="Y190" i="15"/>
  <c r="X190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AE189" i="15"/>
  <c r="AC189" i="15"/>
  <c r="AB189" i="15"/>
  <c r="AA189" i="15"/>
  <c r="Z189" i="15"/>
  <c r="Y189" i="15"/>
  <c r="X189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AE188" i="15"/>
  <c r="AC188" i="15"/>
  <c r="AB188" i="15"/>
  <c r="AA188" i="15"/>
  <c r="Z188" i="15"/>
  <c r="Y188" i="15"/>
  <c r="X188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AE187" i="15"/>
  <c r="AC187" i="15"/>
  <c r="AB187" i="15"/>
  <c r="AA187" i="15"/>
  <c r="Z187" i="15"/>
  <c r="Y187" i="15"/>
  <c r="X187" i="15"/>
  <c r="W187" i="15"/>
  <c r="V187" i="15"/>
  <c r="U187" i="15"/>
  <c r="T187" i="15"/>
  <c r="S187" i="15"/>
  <c r="R187" i="15"/>
  <c r="Q187" i="15"/>
  <c r="P187" i="15"/>
  <c r="O187" i="15"/>
  <c r="N187" i="15"/>
  <c r="M187" i="15"/>
  <c r="L187" i="15"/>
  <c r="K187" i="15"/>
  <c r="J187" i="15"/>
  <c r="I187" i="15"/>
  <c r="H187" i="15"/>
  <c r="G187" i="15"/>
  <c r="F187" i="15"/>
  <c r="AE186" i="15"/>
  <c r="AC186" i="15"/>
  <c r="AB186" i="15"/>
  <c r="AA186" i="15"/>
  <c r="Z186" i="15"/>
  <c r="Y186" i="15"/>
  <c r="X186" i="15"/>
  <c r="W186" i="15"/>
  <c r="V186" i="15"/>
  <c r="U186" i="15"/>
  <c r="T186" i="15"/>
  <c r="S186" i="15"/>
  <c r="R186" i="15"/>
  <c r="Q186" i="15"/>
  <c r="P186" i="15"/>
  <c r="O186" i="15"/>
  <c r="N186" i="15"/>
  <c r="M186" i="15"/>
  <c r="L186" i="15"/>
  <c r="K186" i="15"/>
  <c r="J186" i="15"/>
  <c r="I186" i="15"/>
  <c r="H186" i="15"/>
  <c r="G186" i="15"/>
  <c r="F186" i="15"/>
  <c r="AE185" i="15"/>
  <c r="AC185" i="15"/>
  <c r="AB185" i="15"/>
  <c r="AA185" i="15"/>
  <c r="Z185" i="15"/>
  <c r="Y185" i="15"/>
  <c r="X185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AE184" i="15"/>
  <c r="AC184" i="15"/>
  <c r="AB184" i="15"/>
  <c r="AA184" i="15"/>
  <c r="Z184" i="15"/>
  <c r="Y184" i="15"/>
  <c r="X184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AE183" i="15"/>
  <c r="AC183" i="15"/>
  <c r="AB183" i="15"/>
  <c r="AA183" i="15"/>
  <c r="Z183" i="15"/>
  <c r="Y183" i="15"/>
  <c r="X183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AE182" i="15"/>
  <c r="AC182" i="15"/>
  <c r="AB182" i="15"/>
  <c r="AA182" i="15"/>
  <c r="Z182" i="15"/>
  <c r="Y182" i="15"/>
  <c r="X182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AE181" i="15"/>
  <c r="AC181" i="15"/>
  <c r="AB181" i="15"/>
  <c r="AA181" i="15"/>
  <c r="Z181" i="15"/>
  <c r="Y181" i="15"/>
  <c r="X181" i="15"/>
  <c r="W181" i="15"/>
  <c r="V181" i="15"/>
  <c r="U181" i="15"/>
  <c r="T181" i="15"/>
  <c r="S181" i="15"/>
  <c r="R181" i="15"/>
  <c r="Q181" i="15"/>
  <c r="P181" i="15"/>
  <c r="O181" i="15"/>
  <c r="N181" i="15"/>
  <c r="M181" i="15"/>
  <c r="L181" i="15"/>
  <c r="K181" i="15"/>
  <c r="J181" i="15"/>
  <c r="I181" i="15"/>
  <c r="H181" i="15"/>
  <c r="G181" i="15"/>
  <c r="F181" i="15"/>
  <c r="AE180" i="15"/>
  <c r="AC180" i="15"/>
  <c r="AB180" i="15"/>
  <c r="AA180" i="15"/>
  <c r="Z180" i="15"/>
  <c r="Y180" i="15"/>
  <c r="X180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AE179" i="15"/>
  <c r="AC179" i="15"/>
  <c r="AB179" i="15"/>
  <c r="AA179" i="15"/>
  <c r="Z179" i="15"/>
  <c r="Y179" i="15"/>
  <c r="X179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AE178" i="15"/>
  <c r="AC178" i="15"/>
  <c r="AB178" i="15"/>
  <c r="AA178" i="15"/>
  <c r="Z178" i="15"/>
  <c r="Y178" i="15"/>
  <c r="X178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AE177" i="15"/>
  <c r="AC177" i="15"/>
  <c r="AB177" i="15"/>
  <c r="AA177" i="15"/>
  <c r="Z177" i="15"/>
  <c r="Y177" i="15"/>
  <c r="X177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AE176" i="15"/>
  <c r="AC176" i="15"/>
  <c r="AB176" i="15"/>
  <c r="AA176" i="15"/>
  <c r="Z176" i="15"/>
  <c r="Y176" i="15"/>
  <c r="X176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AE175" i="15"/>
  <c r="AC175" i="15"/>
  <c r="AB175" i="15"/>
  <c r="AA175" i="15"/>
  <c r="Z175" i="15"/>
  <c r="Y175" i="15"/>
  <c r="X175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AE174" i="15"/>
  <c r="AC174" i="15"/>
  <c r="AB174" i="15"/>
  <c r="AA174" i="15"/>
  <c r="Z174" i="15"/>
  <c r="Y174" i="15"/>
  <c r="X174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AE173" i="15"/>
  <c r="AC173" i="15"/>
  <c r="AB173" i="15"/>
  <c r="AA173" i="15"/>
  <c r="Z173" i="15"/>
  <c r="Y173" i="15"/>
  <c r="X173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AE172" i="15"/>
  <c r="AC172" i="15"/>
  <c r="AB172" i="15"/>
  <c r="AA172" i="15"/>
  <c r="Z172" i="15"/>
  <c r="Y172" i="15"/>
  <c r="X172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AE171" i="15"/>
  <c r="AC171" i="15"/>
  <c r="AB171" i="15"/>
  <c r="AA171" i="15"/>
  <c r="Z171" i="15"/>
  <c r="Y171" i="15"/>
  <c r="X171" i="15"/>
  <c r="W171" i="15"/>
  <c r="V171" i="15"/>
  <c r="U171" i="15"/>
  <c r="T171" i="15"/>
  <c r="S171" i="15"/>
  <c r="R171" i="15"/>
  <c r="Q171" i="15"/>
  <c r="P171" i="15"/>
  <c r="O171" i="15"/>
  <c r="N171" i="15"/>
  <c r="M171" i="15"/>
  <c r="L171" i="15"/>
  <c r="K171" i="15"/>
  <c r="J171" i="15"/>
  <c r="I171" i="15"/>
  <c r="H171" i="15"/>
  <c r="G171" i="15"/>
  <c r="F171" i="15"/>
  <c r="AE170" i="15"/>
  <c r="AC170" i="15"/>
  <c r="AB170" i="15"/>
  <c r="AA170" i="15"/>
  <c r="Z170" i="15"/>
  <c r="Y170" i="15"/>
  <c r="X170" i="15"/>
  <c r="W170" i="15"/>
  <c r="V170" i="15"/>
  <c r="U170" i="15"/>
  <c r="T170" i="15"/>
  <c r="S170" i="15"/>
  <c r="R170" i="15"/>
  <c r="Q170" i="15"/>
  <c r="P170" i="15"/>
  <c r="O170" i="15"/>
  <c r="N170" i="15"/>
  <c r="M170" i="15"/>
  <c r="L170" i="15"/>
  <c r="K170" i="15"/>
  <c r="J170" i="15"/>
  <c r="I170" i="15"/>
  <c r="H170" i="15"/>
  <c r="G170" i="15"/>
  <c r="F170" i="15"/>
  <c r="AE169" i="15"/>
  <c r="AC169" i="15"/>
  <c r="AB169" i="15"/>
  <c r="AA169" i="15"/>
  <c r="Z169" i="15"/>
  <c r="Y169" i="15"/>
  <c r="X169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AE168" i="15"/>
  <c r="AC168" i="15"/>
  <c r="AB168" i="15"/>
  <c r="AA168" i="15"/>
  <c r="Z168" i="15"/>
  <c r="Y168" i="15"/>
  <c r="X168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AE167" i="15"/>
  <c r="AC167" i="15"/>
  <c r="AB167" i="15"/>
  <c r="AA167" i="15"/>
  <c r="Z167" i="15"/>
  <c r="Y167" i="15"/>
  <c r="X167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AE166" i="15"/>
  <c r="AC166" i="15"/>
  <c r="AB166" i="15"/>
  <c r="AA166" i="15"/>
  <c r="Z166" i="15"/>
  <c r="Y166" i="15"/>
  <c r="X166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AE165" i="15"/>
  <c r="AC165" i="15"/>
  <c r="AB165" i="15"/>
  <c r="AA165" i="15"/>
  <c r="Z165" i="15"/>
  <c r="Y165" i="15"/>
  <c r="X165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AE164" i="15"/>
  <c r="AC164" i="15"/>
  <c r="AB164" i="15"/>
  <c r="AA164" i="15"/>
  <c r="Z164" i="15"/>
  <c r="Y164" i="15"/>
  <c r="X164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AE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AE162" i="15"/>
  <c r="AC162" i="15"/>
  <c r="AB162" i="15"/>
  <c r="AA162" i="15"/>
  <c r="Z162" i="15"/>
  <c r="Y162" i="15"/>
  <c r="X162" i="15"/>
  <c r="W162" i="15"/>
  <c r="V162" i="15"/>
  <c r="U162" i="15"/>
  <c r="T162" i="15"/>
  <c r="S162" i="15"/>
  <c r="R162" i="15"/>
  <c r="Q162" i="15"/>
  <c r="P162" i="15"/>
  <c r="O162" i="15"/>
  <c r="N162" i="15"/>
  <c r="M162" i="15"/>
  <c r="L162" i="15"/>
  <c r="K162" i="15"/>
  <c r="J162" i="15"/>
  <c r="I162" i="15"/>
  <c r="H162" i="15"/>
  <c r="G162" i="15"/>
  <c r="F162" i="15"/>
  <c r="AE161" i="15"/>
  <c r="AC161" i="15"/>
  <c r="AB161" i="15"/>
  <c r="AA161" i="15"/>
  <c r="Z161" i="15"/>
  <c r="Y161" i="15"/>
  <c r="X161" i="15"/>
  <c r="W161" i="15"/>
  <c r="V161" i="15"/>
  <c r="U161" i="15"/>
  <c r="T161" i="15"/>
  <c r="S161" i="15"/>
  <c r="R161" i="15"/>
  <c r="Q161" i="15"/>
  <c r="P161" i="15"/>
  <c r="O161" i="15"/>
  <c r="N161" i="15"/>
  <c r="M161" i="15"/>
  <c r="L161" i="15"/>
  <c r="K161" i="15"/>
  <c r="J161" i="15"/>
  <c r="I161" i="15"/>
  <c r="H161" i="15"/>
  <c r="G161" i="15"/>
  <c r="F161" i="15"/>
  <c r="AE160" i="15"/>
  <c r="AC160" i="15"/>
  <c r="AB160" i="15"/>
  <c r="AA160" i="15"/>
  <c r="Z160" i="15"/>
  <c r="Y160" i="15"/>
  <c r="X160" i="15"/>
  <c r="W160" i="15"/>
  <c r="V160" i="15"/>
  <c r="U160" i="15"/>
  <c r="T160" i="15"/>
  <c r="S160" i="15"/>
  <c r="R160" i="15"/>
  <c r="Q160" i="15"/>
  <c r="P160" i="15"/>
  <c r="O160" i="15"/>
  <c r="N160" i="15"/>
  <c r="M160" i="15"/>
  <c r="L160" i="15"/>
  <c r="K160" i="15"/>
  <c r="J160" i="15"/>
  <c r="I160" i="15"/>
  <c r="H160" i="15"/>
  <c r="G160" i="15"/>
  <c r="F160" i="15"/>
  <c r="AE159" i="15"/>
  <c r="AC159" i="15"/>
  <c r="AB159" i="15"/>
  <c r="AA159" i="15"/>
  <c r="Z159" i="15"/>
  <c r="Y159" i="15"/>
  <c r="X159" i="15"/>
  <c r="W159" i="15"/>
  <c r="V159" i="15"/>
  <c r="U159" i="15"/>
  <c r="T159" i="15"/>
  <c r="S159" i="15"/>
  <c r="R159" i="15"/>
  <c r="Q159" i="15"/>
  <c r="P159" i="15"/>
  <c r="O159" i="15"/>
  <c r="N159" i="15"/>
  <c r="M159" i="15"/>
  <c r="L159" i="15"/>
  <c r="K159" i="15"/>
  <c r="J159" i="15"/>
  <c r="I159" i="15"/>
  <c r="H159" i="15"/>
  <c r="G159" i="15"/>
  <c r="F159" i="15"/>
  <c r="AE158" i="15"/>
  <c r="AC158" i="15"/>
  <c r="AB158" i="15"/>
  <c r="AA158" i="15"/>
  <c r="Z158" i="15"/>
  <c r="Y158" i="15"/>
  <c r="X158" i="15"/>
  <c r="W158" i="15"/>
  <c r="V158" i="15"/>
  <c r="U158" i="15"/>
  <c r="T158" i="15"/>
  <c r="S158" i="15"/>
  <c r="R158" i="15"/>
  <c r="Q158" i="15"/>
  <c r="P158" i="15"/>
  <c r="O158" i="15"/>
  <c r="N158" i="15"/>
  <c r="M158" i="15"/>
  <c r="L158" i="15"/>
  <c r="K158" i="15"/>
  <c r="J158" i="15"/>
  <c r="I158" i="15"/>
  <c r="H158" i="15"/>
  <c r="G158" i="15"/>
  <c r="F158" i="15"/>
  <c r="AE157" i="15"/>
  <c r="AC157" i="15"/>
  <c r="AB157" i="15"/>
  <c r="AA157" i="15"/>
  <c r="Z157" i="15"/>
  <c r="Y157" i="15"/>
  <c r="X157" i="15"/>
  <c r="W157" i="15"/>
  <c r="V157" i="15"/>
  <c r="U157" i="15"/>
  <c r="T157" i="15"/>
  <c r="S157" i="15"/>
  <c r="R157" i="15"/>
  <c r="Q157" i="15"/>
  <c r="P157" i="15"/>
  <c r="O157" i="15"/>
  <c r="N157" i="15"/>
  <c r="M157" i="15"/>
  <c r="L157" i="15"/>
  <c r="K157" i="15"/>
  <c r="J157" i="15"/>
  <c r="I157" i="15"/>
  <c r="H157" i="15"/>
  <c r="G157" i="15"/>
  <c r="F157" i="15"/>
  <c r="AE156" i="15"/>
  <c r="AC156" i="15"/>
  <c r="AB156" i="15"/>
  <c r="AA156" i="15"/>
  <c r="Z156" i="15"/>
  <c r="Y156" i="15"/>
  <c r="X156" i="15"/>
  <c r="W156" i="15"/>
  <c r="V156" i="15"/>
  <c r="U156" i="15"/>
  <c r="T156" i="15"/>
  <c r="S156" i="15"/>
  <c r="R156" i="15"/>
  <c r="Q156" i="15"/>
  <c r="P156" i="15"/>
  <c r="O156" i="15"/>
  <c r="N156" i="15"/>
  <c r="M156" i="15"/>
  <c r="L156" i="15"/>
  <c r="K156" i="15"/>
  <c r="J156" i="15"/>
  <c r="I156" i="15"/>
  <c r="H156" i="15"/>
  <c r="G156" i="15"/>
  <c r="F156" i="15"/>
  <c r="AE155" i="15"/>
  <c r="AC155" i="15"/>
  <c r="AB155" i="15"/>
  <c r="AA155" i="15"/>
  <c r="Z155" i="15"/>
  <c r="Y155" i="15"/>
  <c r="X155" i="15"/>
  <c r="W155" i="15"/>
  <c r="V155" i="15"/>
  <c r="U155" i="15"/>
  <c r="T155" i="15"/>
  <c r="S155" i="15"/>
  <c r="R155" i="15"/>
  <c r="Q155" i="15"/>
  <c r="P155" i="15"/>
  <c r="O155" i="15"/>
  <c r="N155" i="15"/>
  <c r="M155" i="15"/>
  <c r="L155" i="15"/>
  <c r="K155" i="15"/>
  <c r="J155" i="15"/>
  <c r="I155" i="15"/>
  <c r="H155" i="15"/>
  <c r="G155" i="15"/>
  <c r="F155" i="15"/>
  <c r="AE154" i="15"/>
  <c r="AC154" i="15"/>
  <c r="AB154" i="15"/>
  <c r="AA154" i="15"/>
  <c r="Z154" i="15"/>
  <c r="Y154" i="15"/>
  <c r="X154" i="15"/>
  <c r="W154" i="15"/>
  <c r="V154" i="15"/>
  <c r="U154" i="15"/>
  <c r="T154" i="15"/>
  <c r="S154" i="15"/>
  <c r="R154" i="15"/>
  <c r="Q154" i="15"/>
  <c r="P154" i="15"/>
  <c r="O154" i="15"/>
  <c r="N154" i="15"/>
  <c r="M154" i="15"/>
  <c r="L154" i="15"/>
  <c r="K154" i="15"/>
  <c r="J154" i="15"/>
  <c r="I154" i="15"/>
  <c r="H154" i="15"/>
  <c r="G154" i="15"/>
  <c r="F154" i="15"/>
  <c r="AE153" i="15"/>
  <c r="AC153" i="15"/>
  <c r="AB153" i="15"/>
  <c r="AA153" i="15"/>
  <c r="Z153" i="15"/>
  <c r="Y153" i="15"/>
  <c r="X153" i="15"/>
  <c r="W153" i="15"/>
  <c r="V153" i="15"/>
  <c r="U153" i="15"/>
  <c r="T153" i="15"/>
  <c r="S153" i="15"/>
  <c r="R153" i="15"/>
  <c r="Q153" i="15"/>
  <c r="P153" i="15"/>
  <c r="O153" i="15"/>
  <c r="N153" i="15"/>
  <c r="M153" i="15"/>
  <c r="L153" i="15"/>
  <c r="K153" i="15"/>
  <c r="J153" i="15"/>
  <c r="I153" i="15"/>
  <c r="H153" i="15"/>
  <c r="G153" i="15"/>
  <c r="F153" i="15"/>
  <c r="AE152" i="15"/>
  <c r="AC152" i="15"/>
  <c r="AB152" i="15"/>
  <c r="AA152" i="15"/>
  <c r="Z152" i="15"/>
  <c r="Y152" i="15"/>
  <c r="X152" i="15"/>
  <c r="W152" i="15"/>
  <c r="V152" i="15"/>
  <c r="U152" i="15"/>
  <c r="T152" i="15"/>
  <c r="S152" i="15"/>
  <c r="R152" i="15"/>
  <c r="Q152" i="15"/>
  <c r="P152" i="15"/>
  <c r="O152" i="15"/>
  <c r="N152" i="15"/>
  <c r="M152" i="15"/>
  <c r="L152" i="15"/>
  <c r="K152" i="15"/>
  <c r="J152" i="15"/>
  <c r="I152" i="15"/>
  <c r="H152" i="15"/>
  <c r="G152" i="15"/>
  <c r="F152" i="15"/>
  <c r="AE151" i="15"/>
  <c r="AC151" i="15"/>
  <c r="AB151" i="15"/>
  <c r="AA151" i="15"/>
  <c r="Z151" i="15"/>
  <c r="Y151" i="15"/>
  <c r="X151" i="15"/>
  <c r="W151" i="15"/>
  <c r="V151" i="15"/>
  <c r="U151" i="15"/>
  <c r="T151" i="15"/>
  <c r="S151" i="15"/>
  <c r="R151" i="15"/>
  <c r="Q151" i="15"/>
  <c r="P151" i="15"/>
  <c r="O151" i="15"/>
  <c r="N151" i="15"/>
  <c r="M151" i="15"/>
  <c r="L151" i="15"/>
  <c r="K151" i="15"/>
  <c r="J151" i="15"/>
  <c r="I151" i="15"/>
  <c r="H151" i="15"/>
  <c r="G151" i="15"/>
  <c r="F151" i="15"/>
  <c r="AE150" i="15"/>
  <c r="AC150" i="15"/>
  <c r="AB150" i="15"/>
  <c r="AA150" i="15"/>
  <c r="Z150" i="15"/>
  <c r="Y150" i="15"/>
  <c r="X150" i="15"/>
  <c r="W150" i="15"/>
  <c r="V150" i="15"/>
  <c r="U150" i="15"/>
  <c r="T150" i="15"/>
  <c r="S150" i="15"/>
  <c r="R150" i="15"/>
  <c r="Q150" i="15"/>
  <c r="P150" i="15"/>
  <c r="O150" i="15"/>
  <c r="N150" i="15"/>
  <c r="M150" i="15"/>
  <c r="L150" i="15"/>
  <c r="K150" i="15"/>
  <c r="J150" i="15"/>
  <c r="I150" i="15"/>
  <c r="H150" i="15"/>
  <c r="G150" i="15"/>
  <c r="F150" i="15"/>
  <c r="AE149" i="15"/>
  <c r="AC149" i="15"/>
  <c r="AB149" i="15"/>
  <c r="AA149" i="15"/>
  <c r="Z149" i="15"/>
  <c r="Y149" i="15"/>
  <c r="X149" i="15"/>
  <c r="W149" i="15"/>
  <c r="V149" i="15"/>
  <c r="U149" i="15"/>
  <c r="T149" i="15"/>
  <c r="S149" i="15"/>
  <c r="R149" i="15"/>
  <c r="Q149" i="15"/>
  <c r="P149" i="15"/>
  <c r="O149" i="15"/>
  <c r="N149" i="15"/>
  <c r="M149" i="15"/>
  <c r="L149" i="15"/>
  <c r="K149" i="15"/>
  <c r="J149" i="15"/>
  <c r="I149" i="15"/>
  <c r="H149" i="15"/>
  <c r="G149" i="15"/>
  <c r="F149" i="15"/>
  <c r="AE148" i="15"/>
  <c r="AC148" i="15"/>
  <c r="AB148" i="15"/>
  <c r="AA148" i="15"/>
  <c r="Z148" i="15"/>
  <c r="Y148" i="15"/>
  <c r="X148" i="15"/>
  <c r="W148" i="15"/>
  <c r="V148" i="15"/>
  <c r="U148" i="15"/>
  <c r="T148" i="15"/>
  <c r="S148" i="15"/>
  <c r="R148" i="15"/>
  <c r="Q148" i="15"/>
  <c r="P148" i="15"/>
  <c r="O148" i="15"/>
  <c r="N148" i="15"/>
  <c r="M148" i="15"/>
  <c r="L148" i="15"/>
  <c r="K148" i="15"/>
  <c r="J148" i="15"/>
  <c r="I148" i="15"/>
  <c r="H148" i="15"/>
  <c r="G148" i="15"/>
  <c r="F148" i="15"/>
  <c r="AE147" i="15"/>
  <c r="AC147" i="15"/>
  <c r="AB147" i="15"/>
  <c r="AA147" i="15"/>
  <c r="Z147" i="15"/>
  <c r="Y147" i="15"/>
  <c r="X147" i="15"/>
  <c r="W147" i="15"/>
  <c r="V147" i="15"/>
  <c r="U147" i="15"/>
  <c r="T147" i="15"/>
  <c r="S147" i="15"/>
  <c r="R147" i="15"/>
  <c r="Q147" i="15"/>
  <c r="P147" i="15"/>
  <c r="O147" i="15"/>
  <c r="N147" i="15"/>
  <c r="M147" i="15"/>
  <c r="L147" i="15"/>
  <c r="K147" i="15"/>
  <c r="J147" i="15"/>
  <c r="I147" i="15"/>
  <c r="H147" i="15"/>
  <c r="G147" i="15"/>
  <c r="F147" i="15"/>
  <c r="AE146" i="15"/>
  <c r="AC146" i="15"/>
  <c r="AB146" i="15"/>
  <c r="AA146" i="15"/>
  <c r="Z146" i="15"/>
  <c r="Y146" i="15"/>
  <c r="X146" i="15"/>
  <c r="W146" i="15"/>
  <c r="V146" i="15"/>
  <c r="U146" i="15"/>
  <c r="T146" i="15"/>
  <c r="S146" i="15"/>
  <c r="R146" i="15"/>
  <c r="Q146" i="15"/>
  <c r="P146" i="15"/>
  <c r="O146" i="15"/>
  <c r="N146" i="15"/>
  <c r="M146" i="15"/>
  <c r="L146" i="15"/>
  <c r="K146" i="15"/>
  <c r="J146" i="15"/>
  <c r="I146" i="15"/>
  <c r="H146" i="15"/>
  <c r="G146" i="15"/>
  <c r="F146" i="15"/>
  <c r="AE145" i="15"/>
  <c r="AC145" i="15"/>
  <c r="AB145" i="15"/>
  <c r="AA145" i="15"/>
  <c r="Z145" i="15"/>
  <c r="Y145" i="15"/>
  <c r="X145" i="15"/>
  <c r="W145" i="15"/>
  <c r="V145" i="15"/>
  <c r="U145" i="15"/>
  <c r="T145" i="15"/>
  <c r="S145" i="15"/>
  <c r="R145" i="15"/>
  <c r="Q145" i="15"/>
  <c r="P145" i="15"/>
  <c r="O145" i="15"/>
  <c r="N145" i="15"/>
  <c r="M145" i="15"/>
  <c r="L145" i="15"/>
  <c r="K145" i="15"/>
  <c r="J145" i="15"/>
  <c r="I145" i="15"/>
  <c r="H145" i="15"/>
  <c r="G145" i="15"/>
  <c r="F145" i="15"/>
  <c r="AE144" i="15"/>
  <c r="AC144" i="15"/>
  <c r="AB144" i="15"/>
  <c r="AA144" i="15"/>
  <c r="Z144" i="15"/>
  <c r="Y144" i="15"/>
  <c r="X144" i="15"/>
  <c r="W144" i="15"/>
  <c r="V144" i="15"/>
  <c r="U144" i="15"/>
  <c r="T144" i="15"/>
  <c r="S144" i="15"/>
  <c r="R144" i="15"/>
  <c r="Q144" i="15"/>
  <c r="P144" i="15"/>
  <c r="O144" i="15"/>
  <c r="N144" i="15"/>
  <c r="M144" i="15"/>
  <c r="L144" i="15"/>
  <c r="K144" i="15"/>
  <c r="J144" i="15"/>
  <c r="I144" i="15"/>
  <c r="H144" i="15"/>
  <c r="G144" i="15"/>
  <c r="F144" i="15"/>
  <c r="AE143" i="15"/>
  <c r="AC143" i="15"/>
  <c r="AB143" i="15"/>
  <c r="AA143" i="15"/>
  <c r="Z143" i="15"/>
  <c r="Y143" i="15"/>
  <c r="X143" i="15"/>
  <c r="W143" i="15"/>
  <c r="V143" i="15"/>
  <c r="U143" i="15"/>
  <c r="T143" i="15"/>
  <c r="S143" i="15"/>
  <c r="R143" i="15"/>
  <c r="Q143" i="15"/>
  <c r="P143" i="15"/>
  <c r="O143" i="15"/>
  <c r="N143" i="15"/>
  <c r="M143" i="15"/>
  <c r="L143" i="15"/>
  <c r="K143" i="15"/>
  <c r="J143" i="15"/>
  <c r="I143" i="15"/>
  <c r="H143" i="15"/>
  <c r="G143" i="15"/>
  <c r="F143" i="15"/>
  <c r="AE142" i="15"/>
  <c r="AC142" i="15"/>
  <c r="AB142" i="15"/>
  <c r="AA142" i="15"/>
  <c r="Z142" i="15"/>
  <c r="Y142" i="15"/>
  <c r="X142" i="15"/>
  <c r="W142" i="15"/>
  <c r="V142" i="15"/>
  <c r="U142" i="15"/>
  <c r="T142" i="15"/>
  <c r="S142" i="15"/>
  <c r="R142" i="15"/>
  <c r="Q142" i="15"/>
  <c r="P142" i="15"/>
  <c r="O142" i="15"/>
  <c r="N142" i="15"/>
  <c r="M142" i="15"/>
  <c r="L142" i="15"/>
  <c r="K142" i="15"/>
  <c r="J142" i="15"/>
  <c r="I142" i="15"/>
  <c r="H142" i="15"/>
  <c r="G142" i="15"/>
  <c r="F142" i="15"/>
  <c r="AE141" i="15"/>
  <c r="AC141" i="15"/>
  <c r="AB141" i="15"/>
  <c r="AA141" i="15"/>
  <c r="Z141" i="15"/>
  <c r="Y141" i="15"/>
  <c r="X141" i="15"/>
  <c r="W141" i="15"/>
  <c r="V141" i="15"/>
  <c r="U141" i="15"/>
  <c r="T141" i="15"/>
  <c r="S141" i="15"/>
  <c r="R141" i="15"/>
  <c r="Q141" i="15"/>
  <c r="P141" i="15"/>
  <c r="O141" i="15"/>
  <c r="N141" i="15"/>
  <c r="M141" i="15"/>
  <c r="L141" i="15"/>
  <c r="K141" i="15"/>
  <c r="J141" i="15"/>
  <c r="I141" i="15"/>
  <c r="H141" i="15"/>
  <c r="G141" i="15"/>
  <c r="F141" i="15"/>
  <c r="AE140" i="15"/>
  <c r="AC140" i="15"/>
  <c r="AB140" i="15"/>
  <c r="AA140" i="15"/>
  <c r="Z140" i="15"/>
  <c r="Y140" i="15"/>
  <c r="X140" i="15"/>
  <c r="W140" i="15"/>
  <c r="V140" i="15"/>
  <c r="U140" i="15"/>
  <c r="T140" i="15"/>
  <c r="S140" i="15"/>
  <c r="R140" i="15"/>
  <c r="Q140" i="15"/>
  <c r="P140" i="15"/>
  <c r="O140" i="15"/>
  <c r="N140" i="15"/>
  <c r="M140" i="15"/>
  <c r="L140" i="15"/>
  <c r="K140" i="15"/>
  <c r="J140" i="15"/>
  <c r="I140" i="15"/>
  <c r="H140" i="15"/>
  <c r="G140" i="15"/>
  <c r="F140" i="15"/>
  <c r="AE139" i="15"/>
  <c r="AC139" i="15"/>
  <c r="AB139" i="15"/>
  <c r="AA139" i="15"/>
  <c r="Z139" i="15"/>
  <c r="Y139" i="15"/>
  <c r="X139" i="15"/>
  <c r="W139" i="15"/>
  <c r="V139" i="15"/>
  <c r="U139" i="15"/>
  <c r="T139" i="15"/>
  <c r="S139" i="15"/>
  <c r="R139" i="15"/>
  <c r="Q139" i="15"/>
  <c r="P139" i="15"/>
  <c r="O139" i="15"/>
  <c r="N139" i="15"/>
  <c r="M139" i="15"/>
  <c r="L139" i="15"/>
  <c r="K139" i="15"/>
  <c r="J139" i="15"/>
  <c r="I139" i="15"/>
  <c r="H139" i="15"/>
  <c r="G139" i="15"/>
  <c r="F139" i="15"/>
  <c r="AE138" i="15"/>
  <c r="AC138" i="15"/>
  <c r="AB138" i="15"/>
  <c r="AA138" i="15"/>
  <c r="Z138" i="15"/>
  <c r="Y138" i="15"/>
  <c r="X138" i="15"/>
  <c r="W138" i="15"/>
  <c r="V138" i="15"/>
  <c r="U138" i="15"/>
  <c r="T138" i="15"/>
  <c r="S138" i="15"/>
  <c r="R138" i="15"/>
  <c r="Q138" i="15"/>
  <c r="P138" i="15"/>
  <c r="O138" i="15"/>
  <c r="N138" i="15"/>
  <c r="M138" i="15"/>
  <c r="L138" i="15"/>
  <c r="K138" i="15"/>
  <c r="J138" i="15"/>
  <c r="I138" i="15"/>
  <c r="H138" i="15"/>
  <c r="G138" i="15"/>
  <c r="F138" i="15"/>
  <c r="AE137" i="15"/>
  <c r="AC137" i="15"/>
  <c r="AB137" i="15"/>
  <c r="AA137" i="15"/>
  <c r="Z137" i="15"/>
  <c r="Y137" i="15"/>
  <c r="X137" i="15"/>
  <c r="W137" i="15"/>
  <c r="V137" i="15"/>
  <c r="U137" i="15"/>
  <c r="T137" i="15"/>
  <c r="S137" i="15"/>
  <c r="R137" i="15"/>
  <c r="Q137" i="15"/>
  <c r="P137" i="15"/>
  <c r="O137" i="15"/>
  <c r="N137" i="15"/>
  <c r="M137" i="15"/>
  <c r="L137" i="15"/>
  <c r="K137" i="15"/>
  <c r="J137" i="15"/>
  <c r="I137" i="15"/>
  <c r="H137" i="15"/>
  <c r="G137" i="15"/>
  <c r="F137" i="15"/>
  <c r="AE136" i="15"/>
  <c r="AC136" i="15"/>
  <c r="AB136" i="15"/>
  <c r="AA136" i="15"/>
  <c r="Z136" i="15"/>
  <c r="Y136" i="15"/>
  <c r="X136" i="15"/>
  <c r="W136" i="15"/>
  <c r="V136" i="15"/>
  <c r="U136" i="15"/>
  <c r="T136" i="15"/>
  <c r="S136" i="15"/>
  <c r="R136" i="15"/>
  <c r="Q136" i="15"/>
  <c r="P136" i="15"/>
  <c r="O136" i="15"/>
  <c r="N136" i="15"/>
  <c r="M136" i="15"/>
  <c r="L136" i="15"/>
  <c r="K136" i="15"/>
  <c r="J136" i="15"/>
  <c r="I136" i="15"/>
  <c r="H136" i="15"/>
  <c r="G136" i="15"/>
  <c r="F136" i="15"/>
  <c r="AE135" i="15"/>
  <c r="AC135" i="15"/>
  <c r="AB135" i="15"/>
  <c r="AA135" i="15"/>
  <c r="Z135" i="15"/>
  <c r="Y135" i="15"/>
  <c r="X135" i="15"/>
  <c r="W135" i="15"/>
  <c r="V135" i="15"/>
  <c r="U135" i="15"/>
  <c r="T135" i="15"/>
  <c r="S135" i="15"/>
  <c r="R135" i="15"/>
  <c r="Q135" i="15"/>
  <c r="P135" i="15"/>
  <c r="O135" i="15"/>
  <c r="N135" i="15"/>
  <c r="M135" i="15"/>
  <c r="L135" i="15"/>
  <c r="K135" i="15"/>
  <c r="J135" i="15"/>
  <c r="I135" i="15"/>
  <c r="H135" i="15"/>
  <c r="G135" i="15"/>
  <c r="F135" i="15"/>
  <c r="AE134" i="15"/>
  <c r="AC134" i="15"/>
  <c r="AB134" i="15"/>
  <c r="AA134" i="15"/>
  <c r="Z134" i="15"/>
  <c r="Y134" i="15"/>
  <c r="X134" i="15"/>
  <c r="W134" i="15"/>
  <c r="V134" i="15"/>
  <c r="U134" i="15"/>
  <c r="T134" i="15"/>
  <c r="S134" i="15"/>
  <c r="R134" i="15"/>
  <c r="Q134" i="15"/>
  <c r="P134" i="15"/>
  <c r="O134" i="15"/>
  <c r="N134" i="15"/>
  <c r="M134" i="15"/>
  <c r="L134" i="15"/>
  <c r="K134" i="15"/>
  <c r="J134" i="15"/>
  <c r="I134" i="15"/>
  <c r="H134" i="15"/>
  <c r="G134" i="15"/>
  <c r="F134" i="15"/>
  <c r="AE133" i="15"/>
  <c r="AC133" i="15"/>
  <c r="AB133" i="15"/>
  <c r="AA133" i="15"/>
  <c r="Z133" i="15"/>
  <c r="Y133" i="15"/>
  <c r="X133" i="15"/>
  <c r="W133" i="15"/>
  <c r="V133" i="15"/>
  <c r="U133" i="15"/>
  <c r="T133" i="15"/>
  <c r="S133" i="15"/>
  <c r="R133" i="15"/>
  <c r="Q133" i="15"/>
  <c r="P133" i="15"/>
  <c r="O133" i="15"/>
  <c r="N133" i="15"/>
  <c r="M133" i="15"/>
  <c r="L133" i="15"/>
  <c r="K133" i="15"/>
  <c r="J133" i="15"/>
  <c r="I133" i="15"/>
  <c r="H133" i="15"/>
  <c r="G133" i="15"/>
  <c r="F133" i="15"/>
  <c r="AE132" i="15"/>
  <c r="AC132" i="15"/>
  <c r="AB132" i="15"/>
  <c r="AA132" i="15"/>
  <c r="Z132" i="15"/>
  <c r="Y132" i="15"/>
  <c r="X132" i="15"/>
  <c r="W132" i="15"/>
  <c r="V132" i="15"/>
  <c r="U132" i="15"/>
  <c r="T132" i="15"/>
  <c r="S132" i="15"/>
  <c r="R132" i="15"/>
  <c r="Q132" i="15"/>
  <c r="P132" i="15"/>
  <c r="O132" i="15"/>
  <c r="N132" i="15"/>
  <c r="M132" i="15"/>
  <c r="L132" i="15"/>
  <c r="K132" i="15"/>
  <c r="J132" i="15"/>
  <c r="I132" i="15"/>
  <c r="H132" i="15"/>
  <c r="G132" i="15"/>
  <c r="F132" i="15"/>
  <c r="AE131" i="15"/>
  <c r="AC131" i="15"/>
  <c r="AB131" i="15"/>
  <c r="AA131" i="15"/>
  <c r="Z131" i="15"/>
  <c r="Y131" i="15"/>
  <c r="X131" i="15"/>
  <c r="W131" i="15"/>
  <c r="V131" i="15"/>
  <c r="U131" i="15"/>
  <c r="T131" i="15"/>
  <c r="S131" i="15"/>
  <c r="R131" i="15"/>
  <c r="Q131" i="15"/>
  <c r="P131" i="15"/>
  <c r="O131" i="15"/>
  <c r="N131" i="15"/>
  <c r="M131" i="15"/>
  <c r="L131" i="15"/>
  <c r="K131" i="15"/>
  <c r="J131" i="15"/>
  <c r="I131" i="15"/>
  <c r="H131" i="15"/>
  <c r="G131" i="15"/>
  <c r="F131" i="15"/>
  <c r="AE130" i="15"/>
  <c r="AC130" i="15"/>
  <c r="AB130" i="15"/>
  <c r="AA130" i="15"/>
  <c r="Z130" i="15"/>
  <c r="Y130" i="15"/>
  <c r="X130" i="15"/>
  <c r="W130" i="15"/>
  <c r="V130" i="15"/>
  <c r="U130" i="15"/>
  <c r="T130" i="15"/>
  <c r="S130" i="15"/>
  <c r="R130" i="15"/>
  <c r="Q130" i="15"/>
  <c r="P130" i="15"/>
  <c r="O130" i="15"/>
  <c r="N130" i="15"/>
  <c r="M130" i="15"/>
  <c r="L130" i="15"/>
  <c r="K130" i="15"/>
  <c r="J130" i="15"/>
  <c r="I130" i="15"/>
  <c r="H130" i="15"/>
  <c r="G130" i="15"/>
  <c r="F130" i="15"/>
  <c r="AE129" i="15"/>
  <c r="AC129" i="15"/>
  <c r="AB129" i="15"/>
  <c r="AA129" i="15"/>
  <c r="Z129" i="15"/>
  <c r="Y129" i="15"/>
  <c r="X129" i="15"/>
  <c r="W129" i="15"/>
  <c r="V129" i="15"/>
  <c r="U129" i="15"/>
  <c r="T129" i="15"/>
  <c r="S129" i="15"/>
  <c r="R129" i="15"/>
  <c r="Q129" i="15"/>
  <c r="P129" i="15"/>
  <c r="O129" i="15"/>
  <c r="N129" i="15"/>
  <c r="M129" i="15"/>
  <c r="L129" i="15"/>
  <c r="K129" i="15"/>
  <c r="J129" i="15"/>
  <c r="I129" i="15"/>
  <c r="H129" i="15"/>
  <c r="G129" i="15"/>
  <c r="F129" i="15"/>
  <c r="AE128" i="15"/>
  <c r="AC128" i="15"/>
  <c r="AB128" i="15"/>
  <c r="AA128" i="15"/>
  <c r="Z128" i="15"/>
  <c r="Y128" i="15"/>
  <c r="X128" i="15"/>
  <c r="W128" i="15"/>
  <c r="V128" i="15"/>
  <c r="U128" i="15"/>
  <c r="T128" i="15"/>
  <c r="S128" i="15"/>
  <c r="R128" i="15"/>
  <c r="Q128" i="15"/>
  <c r="P128" i="15"/>
  <c r="O128" i="15"/>
  <c r="N128" i="15"/>
  <c r="M128" i="15"/>
  <c r="L128" i="15"/>
  <c r="K128" i="15"/>
  <c r="J128" i="15"/>
  <c r="I128" i="15"/>
  <c r="H128" i="15"/>
  <c r="G128" i="15"/>
  <c r="F128" i="15"/>
  <c r="AE127" i="15"/>
  <c r="AC127" i="15"/>
  <c r="AB127" i="15"/>
  <c r="AA127" i="15"/>
  <c r="Z127" i="15"/>
  <c r="Y127" i="15"/>
  <c r="X127" i="15"/>
  <c r="W127" i="15"/>
  <c r="V127" i="15"/>
  <c r="U127" i="15"/>
  <c r="T127" i="15"/>
  <c r="S127" i="15"/>
  <c r="R127" i="15"/>
  <c r="Q127" i="15"/>
  <c r="P127" i="15"/>
  <c r="O127" i="15"/>
  <c r="N127" i="15"/>
  <c r="M127" i="15"/>
  <c r="L127" i="15"/>
  <c r="K127" i="15"/>
  <c r="J127" i="15"/>
  <c r="I127" i="15"/>
  <c r="H127" i="15"/>
  <c r="G127" i="15"/>
  <c r="F127" i="15"/>
  <c r="AE126" i="15"/>
  <c r="AC126" i="15"/>
  <c r="AB126" i="15"/>
  <c r="AA126" i="15"/>
  <c r="Z126" i="15"/>
  <c r="Y126" i="15"/>
  <c r="X126" i="15"/>
  <c r="W126" i="15"/>
  <c r="V126" i="15"/>
  <c r="U126" i="15"/>
  <c r="T126" i="15"/>
  <c r="S126" i="15"/>
  <c r="R126" i="15"/>
  <c r="Q126" i="15"/>
  <c r="P126" i="15"/>
  <c r="O126" i="15"/>
  <c r="N126" i="15"/>
  <c r="M126" i="15"/>
  <c r="L126" i="15"/>
  <c r="K126" i="15"/>
  <c r="J126" i="15"/>
  <c r="I126" i="15"/>
  <c r="H126" i="15"/>
  <c r="G126" i="15"/>
  <c r="F126" i="15"/>
  <c r="AE125" i="15"/>
  <c r="AC125" i="15"/>
  <c r="AB125" i="15"/>
  <c r="AA125" i="15"/>
  <c r="Z125" i="15"/>
  <c r="Y125" i="15"/>
  <c r="X125" i="15"/>
  <c r="W125" i="15"/>
  <c r="V125" i="15"/>
  <c r="U125" i="15"/>
  <c r="T125" i="15"/>
  <c r="S125" i="15"/>
  <c r="R125" i="15"/>
  <c r="Q125" i="15"/>
  <c r="P125" i="15"/>
  <c r="O125" i="15"/>
  <c r="N125" i="15"/>
  <c r="M125" i="15"/>
  <c r="L125" i="15"/>
  <c r="K125" i="15"/>
  <c r="J125" i="15"/>
  <c r="I125" i="15"/>
  <c r="H125" i="15"/>
  <c r="G125" i="15"/>
  <c r="F125" i="15"/>
  <c r="AE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4" i="15"/>
  <c r="F124" i="15"/>
  <c r="AE123" i="15"/>
  <c r="AC123" i="15"/>
  <c r="AB123" i="15"/>
  <c r="AA123" i="15"/>
  <c r="Z123" i="15"/>
  <c r="Y123" i="15"/>
  <c r="X123" i="15"/>
  <c r="W123" i="15"/>
  <c r="V123" i="15"/>
  <c r="U123" i="15"/>
  <c r="T123" i="15"/>
  <c r="S123" i="15"/>
  <c r="R123" i="15"/>
  <c r="Q123" i="15"/>
  <c r="P123" i="15"/>
  <c r="O123" i="15"/>
  <c r="N123" i="15"/>
  <c r="M123" i="15"/>
  <c r="L123" i="15"/>
  <c r="K123" i="15"/>
  <c r="J123" i="15"/>
  <c r="I123" i="15"/>
  <c r="H123" i="15"/>
  <c r="G123" i="15"/>
  <c r="F123" i="15"/>
  <c r="AE122" i="15"/>
  <c r="AC122" i="15"/>
  <c r="AB122" i="15"/>
  <c r="AA122" i="15"/>
  <c r="Z122" i="15"/>
  <c r="Y122" i="15"/>
  <c r="X122" i="15"/>
  <c r="W122" i="15"/>
  <c r="V122" i="15"/>
  <c r="U122" i="15"/>
  <c r="T122" i="15"/>
  <c r="S122" i="15"/>
  <c r="R122" i="15"/>
  <c r="Q122" i="15"/>
  <c r="P122" i="15"/>
  <c r="O122" i="15"/>
  <c r="N122" i="15"/>
  <c r="M122" i="15"/>
  <c r="L122" i="15"/>
  <c r="K122" i="15"/>
  <c r="J122" i="15"/>
  <c r="I122" i="15"/>
  <c r="H122" i="15"/>
  <c r="G122" i="15"/>
  <c r="F122" i="15"/>
  <c r="AE121" i="15"/>
  <c r="AC121" i="15"/>
  <c r="AB121" i="15"/>
  <c r="AA121" i="15"/>
  <c r="Z121" i="15"/>
  <c r="Y121" i="15"/>
  <c r="X121" i="15"/>
  <c r="W121" i="15"/>
  <c r="V121" i="15"/>
  <c r="U121" i="15"/>
  <c r="T121" i="15"/>
  <c r="S121" i="15"/>
  <c r="R121" i="15"/>
  <c r="Q121" i="15"/>
  <c r="P121" i="15"/>
  <c r="O121" i="15"/>
  <c r="N121" i="15"/>
  <c r="M121" i="15"/>
  <c r="L121" i="15"/>
  <c r="K121" i="15"/>
  <c r="J121" i="15"/>
  <c r="I121" i="15"/>
  <c r="H121" i="15"/>
  <c r="G121" i="15"/>
  <c r="F121" i="15"/>
  <c r="AE120" i="15"/>
  <c r="AC120" i="15"/>
  <c r="AB120" i="15"/>
  <c r="AA120" i="15"/>
  <c r="Z120" i="15"/>
  <c r="Y120" i="15"/>
  <c r="X120" i="15"/>
  <c r="W120" i="15"/>
  <c r="V120" i="15"/>
  <c r="U120" i="15"/>
  <c r="T120" i="15"/>
  <c r="S120" i="15"/>
  <c r="R120" i="15"/>
  <c r="Q120" i="15"/>
  <c r="P120" i="15"/>
  <c r="O120" i="15"/>
  <c r="N120" i="15"/>
  <c r="M120" i="15"/>
  <c r="L120" i="15"/>
  <c r="K120" i="15"/>
  <c r="J120" i="15"/>
  <c r="I120" i="15"/>
  <c r="H120" i="15"/>
  <c r="G120" i="15"/>
  <c r="F120" i="15"/>
  <c r="AE119" i="15"/>
  <c r="AC119" i="15"/>
  <c r="AB119" i="15"/>
  <c r="AA119" i="15"/>
  <c r="Z119" i="15"/>
  <c r="Y119" i="15"/>
  <c r="X119" i="15"/>
  <c r="W119" i="15"/>
  <c r="V119" i="15"/>
  <c r="U119" i="15"/>
  <c r="T119" i="15"/>
  <c r="S119" i="15"/>
  <c r="R119" i="15"/>
  <c r="Q119" i="15"/>
  <c r="P119" i="15"/>
  <c r="O119" i="15"/>
  <c r="N119" i="15"/>
  <c r="M119" i="15"/>
  <c r="L119" i="15"/>
  <c r="K119" i="15"/>
  <c r="J119" i="15"/>
  <c r="I119" i="15"/>
  <c r="H119" i="15"/>
  <c r="G119" i="15"/>
  <c r="F119" i="15"/>
  <c r="AE118" i="15"/>
  <c r="AC118" i="15"/>
  <c r="AB118" i="15"/>
  <c r="AA118" i="15"/>
  <c r="Z118" i="15"/>
  <c r="Y118" i="15"/>
  <c r="X118" i="15"/>
  <c r="W118" i="15"/>
  <c r="V118" i="15"/>
  <c r="U118" i="15"/>
  <c r="T118" i="15"/>
  <c r="S118" i="15"/>
  <c r="R118" i="15"/>
  <c r="Q118" i="15"/>
  <c r="P118" i="15"/>
  <c r="O118" i="15"/>
  <c r="N118" i="15"/>
  <c r="M118" i="15"/>
  <c r="L118" i="15"/>
  <c r="K118" i="15"/>
  <c r="J118" i="15"/>
  <c r="I118" i="15"/>
  <c r="H118" i="15"/>
  <c r="G118" i="15"/>
  <c r="F118" i="15"/>
  <c r="AE117" i="15"/>
  <c r="AC117" i="15"/>
  <c r="AB117" i="15"/>
  <c r="AA117" i="15"/>
  <c r="Z117" i="15"/>
  <c r="Y117" i="15"/>
  <c r="X117" i="15"/>
  <c r="W117" i="15"/>
  <c r="V117" i="15"/>
  <c r="U117" i="15"/>
  <c r="T117" i="15"/>
  <c r="S117" i="15"/>
  <c r="R117" i="15"/>
  <c r="Q117" i="15"/>
  <c r="P117" i="15"/>
  <c r="O117" i="15"/>
  <c r="N117" i="15"/>
  <c r="M117" i="15"/>
  <c r="L117" i="15"/>
  <c r="K117" i="15"/>
  <c r="J117" i="15"/>
  <c r="I117" i="15"/>
  <c r="H117" i="15"/>
  <c r="G117" i="15"/>
  <c r="F117" i="15"/>
  <c r="AE116" i="15"/>
  <c r="AC116" i="15"/>
  <c r="AB116" i="15"/>
  <c r="AA116" i="15"/>
  <c r="Z116" i="15"/>
  <c r="Y116" i="15"/>
  <c r="X116" i="15"/>
  <c r="W116" i="15"/>
  <c r="V116" i="15"/>
  <c r="U116" i="15"/>
  <c r="T116" i="15"/>
  <c r="S116" i="15"/>
  <c r="R116" i="15"/>
  <c r="Q116" i="15"/>
  <c r="P116" i="15"/>
  <c r="O116" i="15"/>
  <c r="N116" i="15"/>
  <c r="M116" i="15"/>
  <c r="L116" i="15"/>
  <c r="K116" i="15"/>
  <c r="J116" i="15"/>
  <c r="I116" i="15"/>
  <c r="H116" i="15"/>
  <c r="G116" i="15"/>
  <c r="F116" i="15"/>
  <c r="AE115" i="15"/>
  <c r="AC115" i="15"/>
  <c r="AB115" i="15"/>
  <c r="AA115" i="15"/>
  <c r="Z115" i="15"/>
  <c r="Y115" i="15"/>
  <c r="X115" i="15"/>
  <c r="W115" i="15"/>
  <c r="V115" i="15"/>
  <c r="U115" i="15"/>
  <c r="T115" i="15"/>
  <c r="S115" i="15"/>
  <c r="R115" i="15"/>
  <c r="Q115" i="15"/>
  <c r="P115" i="15"/>
  <c r="O115" i="15"/>
  <c r="N115" i="15"/>
  <c r="M115" i="15"/>
  <c r="L115" i="15"/>
  <c r="K115" i="15"/>
  <c r="J115" i="15"/>
  <c r="I115" i="15"/>
  <c r="H115" i="15"/>
  <c r="G115" i="15"/>
  <c r="F115" i="15"/>
  <c r="AE114" i="15"/>
  <c r="AC114" i="15"/>
  <c r="AB114" i="15"/>
  <c r="AA114" i="15"/>
  <c r="Z114" i="15"/>
  <c r="Y114" i="15"/>
  <c r="X114" i="15"/>
  <c r="W114" i="15"/>
  <c r="V114" i="15"/>
  <c r="U114" i="15"/>
  <c r="T114" i="15"/>
  <c r="S114" i="15"/>
  <c r="R114" i="15"/>
  <c r="Q114" i="15"/>
  <c r="P114" i="15"/>
  <c r="O114" i="15"/>
  <c r="N114" i="15"/>
  <c r="M114" i="15"/>
  <c r="L114" i="15"/>
  <c r="K114" i="15"/>
  <c r="J114" i="15"/>
  <c r="I114" i="15"/>
  <c r="H114" i="15"/>
  <c r="G114" i="15"/>
  <c r="F114" i="15"/>
  <c r="AE113" i="15"/>
  <c r="AC113" i="15"/>
  <c r="AB113" i="15"/>
  <c r="AA113" i="15"/>
  <c r="Z113" i="15"/>
  <c r="Y113" i="15"/>
  <c r="X113" i="15"/>
  <c r="W113" i="15"/>
  <c r="V113" i="15"/>
  <c r="U113" i="15"/>
  <c r="T113" i="15"/>
  <c r="S113" i="15"/>
  <c r="R113" i="15"/>
  <c r="Q113" i="15"/>
  <c r="P113" i="15"/>
  <c r="O113" i="15"/>
  <c r="N113" i="15"/>
  <c r="M113" i="15"/>
  <c r="L113" i="15"/>
  <c r="K113" i="15"/>
  <c r="J113" i="15"/>
  <c r="I113" i="15"/>
  <c r="H113" i="15"/>
  <c r="G113" i="15"/>
  <c r="F113" i="15"/>
  <c r="AE112" i="15"/>
  <c r="AC112" i="15"/>
  <c r="AB112" i="15"/>
  <c r="AA112" i="15"/>
  <c r="Z112" i="15"/>
  <c r="Y112" i="15"/>
  <c r="X112" i="15"/>
  <c r="W112" i="15"/>
  <c r="V112" i="15"/>
  <c r="U112" i="15"/>
  <c r="T112" i="15"/>
  <c r="S112" i="15"/>
  <c r="R112" i="15"/>
  <c r="Q112" i="15"/>
  <c r="P112" i="15"/>
  <c r="O112" i="15"/>
  <c r="N112" i="15"/>
  <c r="M112" i="15"/>
  <c r="L112" i="15"/>
  <c r="K112" i="15"/>
  <c r="J112" i="15"/>
  <c r="I112" i="15"/>
  <c r="H112" i="15"/>
  <c r="G112" i="15"/>
  <c r="F112" i="15"/>
  <c r="AE111" i="15"/>
  <c r="AC111" i="15"/>
  <c r="AB111" i="15"/>
  <c r="AA111" i="15"/>
  <c r="Z111" i="15"/>
  <c r="Y111" i="15"/>
  <c r="X111" i="15"/>
  <c r="W111" i="15"/>
  <c r="V111" i="15"/>
  <c r="U111" i="15"/>
  <c r="T111" i="15"/>
  <c r="S111" i="15"/>
  <c r="R111" i="15"/>
  <c r="Q111" i="15"/>
  <c r="P111" i="15"/>
  <c r="O111" i="15"/>
  <c r="N111" i="15"/>
  <c r="M111" i="15"/>
  <c r="L111" i="15"/>
  <c r="K111" i="15"/>
  <c r="J111" i="15"/>
  <c r="I111" i="15"/>
  <c r="H111" i="15"/>
  <c r="G111" i="15"/>
  <c r="F111" i="15"/>
  <c r="AE110" i="15"/>
  <c r="AC110" i="15"/>
  <c r="AB110" i="15"/>
  <c r="AA110" i="15"/>
  <c r="Z110" i="15"/>
  <c r="Y110" i="15"/>
  <c r="X110" i="15"/>
  <c r="W110" i="15"/>
  <c r="V110" i="15"/>
  <c r="U110" i="15"/>
  <c r="T110" i="15"/>
  <c r="S110" i="15"/>
  <c r="R110" i="15"/>
  <c r="Q110" i="15"/>
  <c r="P110" i="15"/>
  <c r="O110" i="15"/>
  <c r="N110" i="15"/>
  <c r="M110" i="15"/>
  <c r="L110" i="15"/>
  <c r="K110" i="15"/>
  <c r="J110" i="15"/>
  <c r="I110" i="15"/>
  <c r="H110" i="15"/>
  <c r="G110" i="15"/>
  <c r="F110" i="15"/>
  <c r="AE109" i="15"/>
  <c r="AC109" i="15"/>
  <c r="AB109" i="15"/>
  <c r="AA109" i="15"/>
  <c r="Z109" i="15"/>
  <c r="Y109" i="15"/>
  <c r="X109" i="15"/>
  <c r="W109" i="15"/>
  <c r="V109" i="15"/>
  <c r="U109" i="15"/>
  <c r="T109" i="15"/>
  <c r="S109" i="15"/>
  <c r="R109" i="15"/>
  <c r="Q109" i="15"/>
  <c r="P109" i="15"/>
  <c r="O109" i="15"/>
  <c r="N109" i="15"/>
  <c r="M109" i="15"/>
  <c r="L109" i="15"/>
  <c r="K109" i="15"/>
  <c r="J109" i="15"/>
  <c r="I109" i="15"/>
  <c r="H109" i="15"/>
  <c r="G109" i="15"/>
  <c r="F109" i="15"/>
  <c r="AE108" i="15"/>
  <c r="AC108" i="15"/>
  <c r="AB108" i="15"/>
  <c r="AA108" i="15"/>
  <c r="Z108" i="15"/>
  <c r="Y108" i="15"/>
  <c r="X108" i="15"/>
  <c r="W108" i="15"/>
  <c r="V108" i="15"/>
  <c r="U108" i="15"/>
  <c r="T108" i="15"/>
  <c r="S108" i="15"/>
  <c r="R108" i="15"/>
  <c r="Q108" i="15"/>
  <c r="P108" i="15"/>
  <c r="O108" i="15"/>
  <c r="N108" i="15"/>
  <c r="M108" i="15"/>
  <c r="L108" i="15"/>
  <c r="K108" i="15"/>
  <c r="J108" i="15"/>
  <c r="I108" i="15"/>
  <c r="H108" i="15"/>
  <c r="G108" i="15"/>
  <c r="F108" i="15"/>
  <c r="AE107" i="15"/>
  <c r="AC107" i="15"/>
  <c r="AB107" i="15"/>
  <c r="AA107" i="15"/>
  <c r="Z107" i="15"/>
  <c r="Y107" i="15"/>
  <c r="X107" i="15"/>
  <c r="W107" i="15"/>
  <c r="V107" i="15"/>
  <c r="U107" i="15"/>
  <c r="T107" i="15"/>
  <c r="S107" i="15"/>
  <c r="R107" i="15"/>
  <c r="Q107" i="15"/>
  <c r="P107" i="15"/>
  <c r="O107" i="15"/>
  <c r="N107" i="15"/>
  <c r="M107" i="15"/>
  <c r="L107" i="15"/>
  <c r="K107" i="15"/>
  <c r="J107" i="15"/>
  <c r="I107" i="15"/>
  <c r="H107" i="15"/>
  <c r="G107" i="15"/>
  <c r="F107" i="15"/>
  <c r="AE106" i="15"/>
  <c r="AC106" i="15"/>
  <c r="AB106" i="15"/>
  <c r="AA106" i="15"/>
  <c r="Z106" i="15"/>
  <c r="Y106" i="15"/>
  <c r="X106" i="15"/>
  <c r="W106" i="15"/>
  <c r="V106" i="15"/>
  <c r="U106" i="15"/>
  <c r="T106" i="15"/>
  <c r="S106" i="15"/>
  <c r="R106" i="15"/>
  <c r="Q106" i="15"/>
  <c r="P106" i="15"/>
  <c r="O106" i="15"/>
  <c r="N106" i="15"/>
  <c r="M106" i="15"/>
  <c r="L106" i="15"/>
  <c r="K106" i="15"/>
  <c r="J106" i="15"/>
  <c r="I106" i="15"/>
  <c r="H106" i="15"/>
  <c r="G106" i="15"/>
  <c r="F106" i="15"/>
  <c r="AE105" i="15"/>
  <c r="AC105" i="15"/>
  <c r="AB105" i="15"/>
  <c r="AA105" i="15"/>
  <c r="Z105" i="15"/>
  <c r="Y105" i="15"/>
  <c r="X105" i="15"/>
  <c r="W105" i="15"/>
  <c r="V105" i="15"/>
  <c r="U105" i="15"/>
  <c r="T105" i="15"/>
  <c r="S105" i="15"/>
  <c r="R105" i="15"/>
  <c r="Q105" i="15"/>
  <c r="P105" i="15"/>
  <c r="O105" i="15"/>
  <c r="N105" i="15"/>
  <c r="M105" i="15"/>
  <c r="L105" i="15"/>
  <c r="K105" i="15"/>
  <c r="J105" i="15"/>
  <c r="I105" i="15"/>
  <c r="H105" i="15"/>
  <c r="G105" i="15"/>
  <c r="F105" i="15"/>
  <c r="AE104" i="15"/>
  <c r="AC104" i="15"/>
  <c r="AB104" i="15"/>
  <c r="AA104" i="15"/>
  <c r="Z104" i="15"/>
  <c r="Y104" i="15"/>
  <c r="X104" i="15"/>
  <c r="W104" i="15"/>
  <c r="V104" i="15"/>
  <c r="U104" i="15"/>
  <c r="T104" i="15"/>
  <c r="S104" i="15"/>
  <c r="R104" i="15"/>
  <c r="Q104" i="15"/>
  <c r="P104" i="15"/>
  <c r="O104" i="15"/>
  <c r="N104" i="15"/>
  <c r="M104" i="15"/>
  <c r="L104" i="15"/>
  <c r="K104" i="15"/>
  <c r="J104" i="15"/>
  <c r="I104" i="15"/>
  <c r="H104" i="15"/>
  <c r="G104" i="15"/>
  <c r="F104" i="15"/>
  <c r="AE103" i="15"/>
  <c r="AC103" i="15"/>
  <c r="AB103" i="15"/>
  <c r="AA103" i="15"/>
  <c r="Z103" i="15"/>
  <c r="Y103" i="15"/>
  <c r="X103" i="15"/>
  <c r="W103" i="15"/>
  <c r="V103" i="15"/>
  <c r="U103" i="15"/>
  <c r="T103" i="15"/>
  <c r="S103" i="15"/>
  <c r="R103" i="15"/>
  <c r="Q103" i="15"/>
  <c r="P103" i="15"/>
  <c r="O103" i="15"/>
  <c r="N103" i="15"/>
  <c r="M103" i="15"/>
  <c r="L103" i="15"/>
  <c r="K103" i="15"/>
  <c r="J103" i="15"/>
  <c r="I103" i="15"/>
  <c r="H103" i="15"/>
  <c r="G103" i="15"/>
  <c r="F103" i="15"/>
  <c r="AE102" i="15"/>
  <c r="AC102" i="15"/>
  <c r="AB102" i="15"/>
  <c r="AA102" i="15"/>
  <c r="Z102" i="15"/>
  <c r="Y102" i="15"/>
  <c r="X102" i="15"/>
  <c r="W102" i="15"/>
  <c r="V102" i="15"/>
  <c r="U102" i="15"/>
  <c r="T102" i="15"/>
  <c r="S102" i="15"/>
  <c r="R102" i="15"/>
  <c r="Q102" i="15"/>
  <c r="P102" i="15"/>
  <c r="O102" i="15"/>
  <c r="N102" i="15"/>
  <c r="M102" i="15"/>
  <c r="L102" i="15"/>
  <c r="K102" i="15"/>
  <c r="J102" i="15"/>
  <c r="I102" i="15"/>
  <c r="H102" i="15"/>
  <c r="G102" i="15"/>
  <c r="F102" i="15"/>
  <c r="AE101" i="15"/>
  <c r="AC101" i="15"/>
  <c r="AB101" i="15"/>
  <c r="AA101" i="15"/>
  <c r="Z101" i="15"/>
  <c r="Y101" i="15"/>
  <c r="X101" i="15"/>
  <c r="W101" i="15"/>
  <c r="V101" i="15"/>
  <c r="U101" i="15"/>
  <c r="T101" i="15"/>
  <c r="S101" i="15"/>
  <c r="R101" i="15"/>
  <c r="Q101" i="15"/>
  <c r="P101" i="15"/>
  <c r="O101" i="15"/>
  <c r="N101" i="15"/>
  <c r="M101" i="15"/>
  <c r="L101" i="15"/>
  <c r="K101" i="15"/>
  <c r="J101" i="15"/>
  <c r="I101" i="15"/>
  <c r="H101" i="15"/>
  <c r="G101" i="15"/>
  <c r="F101" i="15"/>
  <c r="AE100" i="15"/>
  <c r="AC100" i="15"/>
  <c r="AB100" i="15"/>
  <c r="AA100" i="15"/>
  <c r="Z100" i="15"/>
  <c r="Y100" i="15"/>
  <c r="X100" i="15"/>
  <c r="W100" i="15"/>
  <c r="V100" i="15"/>
  <c r="U100" i="15"/>
  <c r="T100" i="15"/>
  <c r="S100" i="15"/>
  <c r="R100" i="15"/>
  <c r="Q100" i="15"/>
  <c r="P100" i="15"/>
  <c r="O100" i="15"/>
  <c r="N100" i="15"/>
  <c r="M100" i="15"/>
  <c r="L100" i="15"/>
  <c r="K100" i="15"/>
  <c r="J100" i="15"/>
  <c r="I100" i="15"/>
  <c r="H100" i="15"/>
  <c r="G100" i="15"/>
  <c r="F100" i="15"/>
  <c r="AE99" i="15"/>
  <c r="AC99" i="15"/>
  <c r="AB99" i="15"/>
  <c r="AA99" i="15"/>
  <c r="Z99" i="15"/>
  <c r="Y99" i="15"/>
  <c r="X99" i="15"/>
  <c r="W99" i="15"/>
  <c r="V99" i="15"/>
  <c r="U99" i="15"/>
  <c r="T99" i="15"/>
  <c r="S99" i="15"/>
  <c r="R99" i="15"/>
  <c r="Q99" i="15"/>
  <c r="P99" i="15"/>
  <c r="O99" i="15"/>
  <c r="N99" i="15"/>
  <c r="M99" i="15"/>
  <c r="L99" i="15"/>
  <c r="K99" i="15"/>
  <c r="J99" i="15"/>
  <c r="I99" i="15"/>
  <c r="H99" i="15"/>
  <c r="G99" i="15"/>
  <c r="F99" i="15"/>
  <c r="AE98" i="15"/>
  <c r="AC98" i="15"/>
  <c r="AB98" i="15"/>
  <c r="AA98" i="15"/>
  <c r="Z98" i="15"/>
  <c r="Y98" i="15"/>
  <c r="X98" i="15"/>
  <c r="W98" i="15"/>
  <c r="V98" i="15"/>
  <c r="U98" i="15"/>
  <c r="T98" i="15"/>
  <c r="S98" i="15"/>
  <c r="R98" i="15"/>
  <c r="Q98" i="15"/>
  <c r="P98" i="15"/>
  <c r="O98" i="15"/>
  <c r="N98" i="15"/>
  <c r="M98" i="15"/>
  <c r="L98" i="15"/>
  <c r="K98" i="15"/>
  <c r="J98" i="15"/>
  <c r="I98" i="15"/>
  <c r="H98" i="15"/>
  <c r="G98" i="15"/>
  <c r="F98" i="15"/>
  <c r="AE97" i="15"/>
  <c r="AC97" i="15"/>
  <c r="AB97" i="15"/>
  <c r="AA97" i="15"/>
  <c r="Z97" i="15"/>
  <c r="Y97" i="15"/>
  <c r="X97" i="15"/>
  <c r="W97" i="15"/>
  <c r="V97" i="15"/>
  <c r="U97" i="15"/>
  <c r="T97" i="15"/>
  <c r="S97" i="15"/>
  <c r="R97" i="15"/>
  <c r="Q97" i="15"/>
  <c r="P97" i="15"/>
  <c r="O97" i="15"/>
  <c r="N97" i="15"/>
  <c r="M97" i="15"/>
  <c r="L97" i="15"/>
  <c r="K97" i="15"/>
  <c r="J97" i="15"/>
  <c r="I97" i="15"/>
  <c r="H97" i="15"/>
  <c r="G97" i="15"/>
  <c r="F97" i="15"/>
  <c r="AE96" i="15"/>
  <c r="AC96" i="15"/>
  <c r="AB96" i="15"/>
  <c r="AA96" i="15"/>
  <c r="Z96" i="15"/>
  <c r="Y96" i="15"/>
  <c r="X96" i="15"/>
  <c r="W96" i="15"/>
  <c r="V96" i="15"/>
  <c r="U96" i="15"/>
  <c r="T96" i="15"/>
  <c r="S96" i="15"/>
  <c r="R96" i="15"/>
  <c r="Q96" i="15"/>
  <c r="P96" i="15"/>
  <c r="O96" i="15"/>
  <c r="N96" i="15"/>
  <c r="M96" i="15"/>
  <c r="L96" i="15"/>
  <c r="K96" i="15"/>
  <c r="J96" i="15"/>
  <c r="I96" i="15"/>
  <c r="H96" i="15"/>
  <c r="G96" i="15"/>
  <c r="F96" i="15"/>
  <c r="AE95" i="15"/>
  <c r="AC95" i="15"/>
  <c r="AB95" i="15"/>
  <c r="AA95" i="15"/>
  <c r="Z95" i="15"/>
  <c r="Y95" i="15"/>
  <c r="X95" i="15"/>
  <c r="W95" i="15"/>
  <c r="V95" i="15"/>
  <c r="U95" i="15"/>
  <c r="T95" i="15"/>
  <c r="S95" i="15"/>
  <c r="R95" i="15"/>
  <c r="Q95" i="15"/>
  <c r="P95" i="15"/>
  <c r="O95" i="15"/>
  <c r="N95" i="15"/>
  <c r="M95" i="15"/>
  <c r="L95" i="15"/>
  <c r="K95" i="15"/>
  <c r="J95" i="15"/>
  <c r="I95" i="15"/>
  <c r="H95" i="15"/>
  <c r="G95" i="15"/>
  <c r="F95" i="15"/>
  <c r="AE94" i="15"/>
  <c r="AC94" i="15"/>
  <c r="AB94" i="15"/>
  <c r="AA94" i="15"/>
  <c r="Z94" i="15"/>
  <c r="Y94" i="15"/>
  <c r="X94" i="15"/>
  <c r="W94" i="15"/>
  <c r="V94" i="15"/>
  <c r="U94" i="15"/>
  <c r="T94" i="15"/>
  <c r="S94" i="15"/>
  <c r="R94" i="15"/>
  <c r="Q94" i="15"/>
  <c r="P94" i="15"/>
  <c r="O94" i="15"/>
  <c r="N94" i="15"/>
  <c r="M94" i="15"/>
  <c r="L94" i="15"/>
  <c r="K94" i="15"/>
  <c r="J94" i="15"/>
  <c r="I94" i="15"/>
  <c r="H94" i="15"/>
  <c r="G94" i="15"/>
  <c r="F94" i="15"/>
  <c r="AE93" i="15"/>
  <c r="AC93" i="15"/>
  <c r="AB93" i="15"/>
  <c r="AA93" i="15"/>
  <c r="Z93" i="15"/>
  <c r="Y93" i="15"/>
  <c r="X93" i="15"/>
  <c r="W93" i="15"/>
  <c r="V93" i="15"/>
  <c r="U93" i="15"/>
  <c r="T93" i="15"/>
  <c r="S93" i="15"/>
  <c r="R93" i="15"/>
  <c r="Q93" i="15"/>
  <c r="P93" i="15"/>
  <c r="O93" i="15"/>
  <c r="N93" i="15"/>
  <c r="M93" i="15"/>
  <c r="L93" i="15"/>
  <c r="K93" i="15"/>
  <c r="J93" i="15"/>
  <c r="I93" i="15"/>
  <c r="H93" i="15"/>
  <c r="G93" i="15"/>
  <c r="F93" i="15"/>
  <c r="AE92" i="15"/>
  <c r="AC92" i="15"/>
  <c r="AB92" i="15"/>
  <c r="AA92" i="15"/>
  <c r="Z92" i="15"/>
  <c r="Y92" i="15"/>
  <c r="X92" i="15"/>
  <c r="W92" i="15"/>
  <c r="V92" i="15"/>
  <c r="U92" i="15"/>
  <c r="T92" i="15"/>
  <c r="S92" i="15"/>
  <c r="R92" i="15"/>
  <c r="Q92" i="15"/>
  <c r="P92" i="15"/>
  <c r="O92" i="15"/>
  <c r="N92" i="15"/>
  <c r="M92" i="15"/>
  <c r="L92" i="15"/>
  <c r="K92" i="15"/>
  <c r="J92" i="15"/>
  <c r="I92" i="15"/>
  <c r="H92" i="15"/>
  <c r="G92" i="15"/>
  <c r="F92" i="15"/>
  <c r="AE91" i="15"/>
  <c r="AC91" i="15"/>
  <c r="AB91" i="15"/>
  <c r="AA91" i="15"/>
  <c r="Z91" i="15"/>
  <c r="Y91" i="15"/>
  <c r="X91" i="15"/>
  <c r="W91" i="15"/>
  <c r="V91" i="15"/>
  <c r="U91" i="15"/>
  <c r="T91" i="15"/>
  <c r="S91" i="15"/>
  <c r="R91" i="15"/>
  <c r="Q91" i="15"/>
  <c r="P91" i="15"/>
  <c r="O91" i="15"/>
  <c r="N91" i="15"/>
  <c r="M91" i="15"/>
  <c r="L91" i="15"/>
  <c r="K91" i="15"/>
  <c r="J91" i="15"/>
  <c r="I91" i="15"/>
  <c r="H91" i="15"/>
  <c r="G91" i="15"/>
  <c r="F91" i="15"/>
  <c r="AE90" i="15"/>
  <c r="AC90" i="15"/>
  <c r="AB90" i="15"/>
  <c r="AA90" i="15"/>
  <c r="Z90" i="15"/>
  <c r="Y90" i="15"/>
  <c r="X90" i="15"/>
  <c r="W90" i="15"/>
  <c r="V90" i="15"/>
  <c r="U90" i="15"/>
  <c r="T90" i="15"/>
  <c r="S90" i="15"/>
  <c r="R90" i="15"/>
  <c r="Q90" i="15"/>
  <c r="P90" i="15"/>
  <c r="O90" i="15"/>
  <c r="N90" i="15"/>
  <c r="M90" i="15"/>
  <c r="L90" i="15"/>
  <c r="K90" i="15"/>
  <c r="J90" i="15"/>
  <c r="I90" i="15"/>
  <c r="H90" i="15"/>
  <c r="G90" i="15"/>
  <c r="F90" i="15"/>
  <c r="AE89" i="15"/>
  <c r="AC89" i="15"/>
  <c r="AB89" i="15"/>
  <c r="AA89" i="15"/>
  <c r="Z89" i="15"/>
  <c r="Y89" i="15"/>
  <c r="X89" i="15"/>
  <c r="W89" i="15"/>
  <c r="V89" i="15"/>
  <c r="U89" i="15"/>
  <c r="T89" i="15"/>
  <c r="S89" i="15"/>
  <c r="R89" i="15"/>
  <c r="Q89" i="15"/>
  <c r="P89" i="15"/>
  <c r="O89" i="15"/>
  <c r="N89" i="15"/>
  <c r="M89" i="15"/>
  <c r="L89" i="15"/>
  <c r="K89" i="15"/>
  <c r="J89" i="15"/>
  <c r="I89" i="15"/>
  <c r="H89" i="15"/>
  <c r="G89" i="15"/>
  <c r="F89" i="15"/>
  <c r="AE88" i="15"/>
  <c r="AC88" i="15"/>
  <c r="AB88" i="15"/>
  <c r="AA88" i="15"/>
  <c r="Z88" i="15"/>
  <c r="Y88" i="15"/>
  <c r="X88" i="15"/>
  <c r="W88" i="15"/>
  <c r="V88" i="15"/>
  <c r="U88" i="15"/>
  <c r="T88" i="15"/>
  <c r="S88" i="15"/>
  <c r="R88" i="15"/>
  <c r="Q88" i="15"/>
  <c r="P88" i="15"/>
  <c r="O88" i="15"/>
  <c r="N88" i="15"/>
  <c r="M88" i="15"/>
  <c r="L88" i="15"/>
  <c r="K88" i="15"/>
  <c r="J88" i="15"/>
  <c r="I88" i="15"/>
  <c r="H88" i="15"/>
  <c r="G88" i="15"/>
  <c r="F88" i="15"/>
  <c r="AE87" i="15"/>
  <c r="AC87" i="15"/>
  <c r="AB87" i="15"/>
  <c r="AA87" i="15"/>
  <c r="Z87" i="15"/>
  <c r="Y87" i="15"/>
  <c r="X87" i="15"/>
  <c r="W87" i="15"/>
  <c r="V87" i="15"/>
  <c r="U87" i="15"/>
  <c r="T87" i="15"/>
  <c r="S87" i="15"/>
  <c r="R87" i="15"/>
  <c r="Q87" i="15"/>
  <c r="P87" i="15"/>
  <c r="O87" i="15"/>
  <c r="N87" i="15"/>
  <c r="M87" i="15"/>
  <c r="L87" i="15"/>
  <c r="K87" i="15"/>
  <c r="J87" i="15"/>
  <c r="I87" i="15"/>
  <c r="H87" i="15"/>
  <c r="G87" i="15"/>
  <c r="F87" i="15"/>
  <c r="AE86" i="15"/>
  <c r="AC86" i="15"/>
  <c r="AB86" i="15"/>
  <c r="AA86" i="15"/>
  <c r="Z86" i="15"/>
  <c r="Y86" i="15"/>
  <c r="X86" i="15"/>
  <c r="W86" i="15"/>
  <c r="V86" i="15"/>
  <c r="U86" i="15"/>
  <c r="T86" i="15"/>
  <c r="S86" i="15"/>
  <c r="R86" i="15"/>
  <c r="Q86" i="15"/>
  <c r="P86" i="15"/>
  <c r="O86" i="15"/>
  <c r="N86" i="15"/>
  <c r="M86" i="15"/>
  <c r="L86" i="15"/>
  <c r="K86" i="15"/>
  <c r="J86" i="15"/>
  <c r="I86" i="15"/>
  <c r="H86" i="15"/>
  <c r="G86" i="15"/>
  <c r="F86" i="15"/>
  <c r="AE85" i="15"/>
  <c r="AC85" i="15"/>
  <c r="AB85" i="15"/>
  <c r="AA85" i="15"/>
  <c r="Z85" i="15"/>
  <c r="Y85" i="15"/>
  <c r="X85" i="15"/>
  <c r="W85" i="15"/>
  <c r="V85" i="15"/>
  <c r="U85" i="15"/>
  <c r="T85" i="15"/>
  <c r="S85" i="15"/>
  <c r="R85" i="15"/>
  <c r="Q85" i="15"/>
  <c r="P85" i="15"/>
  <c r="O85" i="15"/>
  <c r="N85" i="15"/>
  <c r="M85" i="15"/>
  <c r="L85" i="15"/>
  <c r="K85" i="15"/>
  <c r="J85" i="15"/>
  <c r="I85" i="15"/>
  <c r="H85" i="15"/>
  <c r="G85" i="15"/>
  <c r="F85" i="15"/>
  <c r="AE84" i="15"/>
  <c r="AC84" i="15"/>
  <c r="AB84" i="15"/>
  <c r="AA84" i="15"/>
  <c r="Z84" i="15"/>
  <c r="Y84" i="15"/>
  <c r="X84" i="15"/>
  <c r="W84" i="15"/>
  <c r="V84" i="15"/>
  <c r="U84" i="15"/>
  <c r="T84" i="15"/>
  <c r="S84" i="15"/>
  <c r="R84" i="15"/>
  <c r="Q84" i="15"/>
  <c r="P84" i="15"/>
  <c r="O84" i="15"/>
  <c r="N84" i="15"/>
  <c r="M84" i="15"/>
  <c r="L84" i="15"/>
  <c r="K84" i="15"/>
  <c r="J84" i="15"/>
  <c r="I84" i="15"/>
  <c r="H84" i="15"/>
  <c r="G84" i="15"/>
  <c r="F84" i="15"/>
  <c r="AE83" i="15"/>
  <c r="AC83" i="15"/>
  <c r="AB83" i="15"/>
  <c r="AA83" i="15"/>
  <c r="Z83" i="15"/>
  <c r="Y83" i="15"/>
  <c r="X83" i="15"/>
  <c r="W83" i="15"/>
  <c r="V83" i="15"/>
  <c r="U83" i="15"/>
  <c r="T83" i="15"/>
  <c r="S83" i="15"/>
  <c r="R83" i="15"/>
  <c r="Q83" i="15"/>
  <c r="P83" i="15"/>
  <c r="O83" i="15"/>
  <c r="N83" i="15"/>
  <c r="M83" i="15"/>
  <c r="L83" i="15"/>
  <c r="K83" i="15"/>
  <c r="J83" i="15"/>
  <c r="I83" i="15"/>
  <c r="H83" i="15"/>
  <c r="G83" i="15"/>
  <c r="F83" i="15"/>
  <c r="AE82" i="15"/>
  <c r="AC82" i="15"/>
  <c r="AB82" i="15"/>
  <c r="AA82" i="15"/>
  <c r="Z82" i="15"/>
  <c r="Y82" i="15"/>
  <c r="X82" i="15"/>
  <c r="W82" i="15"/>
  <c r="V82" i="15"/>
  <c r="U82" i="15"/>
  <c r="T82" i="15"/>
  <c r="S82" i="15"/>
  <c r="R82" i="15"/>
  <c r="Q82" i="15"/>
  <c r="P82" i="15"/>
  <c r="O82" i="15"/>
  <c r="N82" i="15"/>
  <c r="M82" i="15"/>
  <c r="L82" i="15"/>
  <c r="K82" i="15"/>
  <c r="J82" i="15"/>
  <c r="I82" i="15"/>
  <c r="H82" i="15"/>
  <c r="G82" i="15"/>
  <c r="F82" i="15"/>
  <c r="AE81" i="15"/>
  <c r="AC81" i="15"/>
  <c r="AB81" i="15"/>
  <c r="AA81" i="15"/>
  <c r="Z81" i="15"/>
  <c r="Y81" i="15"/>
  <c r="X81" i="15"/>
  <c r="W81" i="15"/>
  <c r="V81" i="15"/>
  <c r="U81" i="15"/>
  <c r="T81" i="15"/>
  <c r="S81" i="15"/>
  <c r="R81" i="15"/>
  <c r="Q81" i="15"/>
  <c r="P81" i="15"/>
  <c r="O81" i="15"/>
  <c r="N81" i="15"/>
  <c r="M81" i="15"/>
  <c r="L81" i="15"/>
  <c r="K81" i="15"/>
  <c r="J81" i="15"/>
  <c r="I81" i="15"/>
  <c r="H81" i="15"/>
  <c r="G81" i="15"/>
  <c r="F81" i="15"/>
  <c r="AE80" i="15"/>
  <c r="AC80" i="15"/>
  <c r="AB80" i="15"/>
  <c r="AA80" i="15"/>
  <c r="Z80" i="15"/>
  <c r="Y80" i="15"/>
  <c r="X80" i="15"/>
  <c r="W80" i="15"/>
  <c r="V80" i="15"/>
  <c r="U80" i="15"/>
  <c r="T80" i="15"/>
  <c r="S80" i="15"/>
  <c r="R80" i="15"/>
  <c r="Q80" i="15"/>
  <c r="P80" i="15"/>
  <c r="O80" i="15"/>
  <c r="N80" i="15"/>
  <c r="M80" i="15"/>
  <c r="L80" i="15"/>
  <c r="K80" i="15"/>
  <c r="J80" i="15"/>
  <c r="I80" i="15"/>
  <c r="H80" i="15"/>
  <c r="G80" i="15"/>
  <c r="F80" i="15"/>
  <c r="AE79" i="15"/>
  <c r="AC79" i="15"/>
  <c r="AB79" i="15"/>
  <c r="AA79" i="15"/>
  <c r="Z79" i="15"/>
  <c r="Y79" i="15"/>
  <c r="X79" i="15"/>
  <c r="W79" i="15"/>
  <c r="V79" i="15"/>
  <c r="U79" i="15"/>
  <c r="T79" i="15"/>
  <c r="S79" i="15"/>
  <c r="R79" i="15"/>
  <c r="Q79" i="15"/>
  <c r="P79" i="15"/>
  <c r="O79" i="15"/>
  <c r="N79" i="15"/>
  <c r="M79" i="15"/>
  <c r="L79" i="15"/>
  <c r="K79" i="15"/>
  <c r="J79" i="15"/>
  <c r="I79" i="15"/>
  <c r="H79" i="15"/>
  <c r="G79" i="15"/>
  <c r="F79" i="15"/>
  <c r="AE78" i="15"/>
  <c r="AC78" i="15"/>
  <c r="AB78" i="15"/>
  <c r="AA78" i="15"/>
  <c r="Z78" i="15"/>
  <c r="Y78" i="15"/>
  <c r="X78" i="15"/>
  <c r="W78" i="15"/>
  <c r="V78" i="15"/>
  <c r="U78" i="15"/>
  <c r="T78" i="15"/>
  <c r="S78" i="15"/>
  <c r="R78" i="15"/>
  <c r="Q78" i="15"/>
  <c r="P78" i="15"/>
  <c r="O78" i="15"/>
  <c r="N78" i="15"/>
  <c r="M78" i="15"/>
  <c r="L78" i="15"/>
  <c r="K78" i="15"/>
  <c r="J78" i="15"/>
  <c r="I78" i="15"/>
  <c r="H78" i="15"/>
  <c r="G78" i="15"/>
  <c r="F78" i="15"/>
  <c r="AE77" i="15"/>
  <c r="AC77" i="15"/>
  <c r="AB77" i="15"/>
  <c r="AA77" i="15"/>
  <c r="Z77" i="15"/>
  <c r="Y77" i="15"/>
  <c r="X77" i="15"/>
  <c r="W77" i="15"/>
  <c r="V77" i="15"/>
  <c r="U77" i="15"/>
  <c r="T77" i="15"/>
  <c r="S77" i="15"/>
  <c r="R77" i="15"/>
  <c r="Q77" i="15"/>
  <c r="P77" i="15"/>
  <c r="O77" i="15"/>
  <c r="N77" i="15"/>
  <c r="M77" i="15"/>
  <c r="L77" i="15"/>
  <c r="K77" i="15"/>
  <c r="J77" i="15"/>
  <c r="I77" i="15"/>
  <c r="H77" i="15"/>
  <c r="G77" i="15"/>
  <c r="F77" i="15"/>
  <c r="AE76" i="15"/>
  <c r="AC76" i="15"/>
  <c r="AB76" i="15"/>
  <c r="AA76" i="15"/>
  <c r="Z76" i="15"/>
  <c r="Y76" i="15"/>
  <c r="X76" i="15"/>
  <c r="W76" i="15"/>
  <c r="V76" i="15"/>
  <c r="U76" i="15"/>
  <c r="T76" i="15"/>
  <c r="S76" i="15"/>
  <c r="R76" i="15"/>
  <c r="Q76" i="15"/>
  <c r="P76" i="15"/>
  <c r="O76" i="15"/>
  <c r="N76" i="15"/>
  <c r="M76" i="15"/>
  <c r="L76" i="15"/>
  <c r="K76" i="15"/>
  <c r="J76" i="15"/>
  <c r="I76" i="15"/>
  <c r="H76" i="15"/>
  <c r="G76" i="15"/>
  <c r="F76" i="15"/>
  <c r="AE75" i="15"/>
  <c r="AC75" i="15"/>
  <c r="AB75" i="15"/>
  <c r="AA75" i="15"/>
  <c r="Z75" i="15"/>
  <c r="Y75" i="15"/>
  <c r="X75" i="15"/>
  <c r="W75" i="15"/>
  <c r="V75" i="15"/>
  <c r="U75" i="15"/>
  <c r="T75" i="15"/>
  <c r="S75" i="15"/>
  <c r="R75" i="15"/>
  <c r="Q75" i="15"/>
  <c r="P75" i="15"/>
  <c r="O75" i="15"/>
  <c r="N75" i="15"/>
  <c r="M75" i="15"/>
  <c r="L75" i="15"/>
  <c r="K75" i="15"/>
  <c r="J75" i="15"/>
  <c r="I75" i="15"/>
  <c r="H75" i="15"/>
  <c r="G75" i="15"/>
  <c r="F75" i="15"/>
  <c r="AE74" i="15"/>
  <c r="AC74" i="15"/>
  <c r="AB74" i="15"/>
  <c r="AA74" i="15"/>
  <c r="Z74" i="15"/>
  <c r="Y74" i="15"/>
  <c r="X74" i="15"/>
  <c r="W74" i="15"/>
  <c r="V74" i="15"/>
  <c r="U74" i="15"/>
  <c r="T74" i="15"/>
  <c r="S74" i="15"/>
  <c r="R74" i="15"/>
  <c r="Q74" i="15"/>
  <c r="P74" i="15"/>
  <c r="O74" i="15"/>
  <c r="N74" i="15"/>
  <c r="M74" i="15"/>
  <c r="L74" i="15"/>
  <c r="K74" i="15"/>
  <c r="J74" i="15"/>
  <c r="I74" i="15"/>
  <c r="H74" i="15"/>
  <c r="G74" i="15"/>
  <c r="F74" i="15"/>
  <c r="AE73" i="15"/>
  <c r="AC73" i="15"/>
  <c r="AB73" i="15"/>
  <c r="AA73" i="15"/>
  <c r="Z73" i="15"/>
  <c r="Y73" i="15"/>
  <c r="X73" i="15"/>
  <c r="W73" i="15"/>
  <c r="V73" i="15"/>
  <c r="U73" i="15"/>
  <c r="T73" i="15"/>
  <c r="S73" i="15"/>
  <c r="R73" i="15"/>
  <c r="Q73" i="15"/>
  <c r="P73" i="15"/>
  <c r="O73" i="15"/>
  <c r="N73" i="15"/>
  <c r="M73" i="15"/>
  <c r="L73" i="15"/>
  <c r="K73" i="15"/>
  <c r="J73" i="15"/>
  <c r="I73" i="15"/>
  <c r="H73" i="15"/>
  <c r="G73" i="15"/>
  <c r="F73" i="15"/>
  <c r="AE72" i="15"/>
  <c r="AC72" i="15"/>
  <c r="AB72" i="15"/>
  <c r="AA72" i="15"/>
  <c r="Z72" i="15"/>
  <c r="Y72" i="15"/>
  <c r="X72" i="15"/>
  <c r="W72" i="15"/>
  <c r="V72" i="15"/>
  <c r="U72" i="15"/>
  <c r="T72" i="15"/>
  <c r="S72" i="15"/>
  <c r="R72" i="15"/>
  <c r="Q72" i="15"/>
  <c r="P72" i="15"/>
  <c r="O72" i="15"/>
  <c r="N72" i="15"/>
  <c r="M72" i="15"/>
  <c r="L72" i="15"/>
  <c r="K72" i="15"/>
  <c r="J72" i="15"/>
  <c r="I72" i="15"/>
  <c r="H72" i="15"/>
  <c r="G72" i="15"/>
  <c r="F72" i="15"/>
  <c r="AE71" i="15"/>
  <c r="AC71" i="15"/>
  <c r="AB71" i="15"/>
  <c r="AA71" i="15"/>
  <c r="Z71" i="15"/>
  <c r="Y71" i="15"/>
  <c r="X71" i="15"/>
  <c r="W71" i="15"/>
  <c r="V71" i="15"/>
  <c r="U71" i="15"/>
  <c r="T71" i="15"/>
  <c r="S71" i="15"/>
  <c r="R71" i="15"/>
  <c r="Q71" i="15"/>
  <c r="P71" i="15"/>
  <c r="O71" i="15"/>
  <c r="N71" i="15"/>
  <c r="M71" i="15"/>
  <c r="L71" i="15"/>
  <c r="K71" i="15"/>
  <c r="J71" i="15"/>
  <c r="I71" i="15"/>
  <c r="H71" i="15"/>
  <c r="G71" i="15"/>
  <c r="F71" i="15"/>
  <c r="AE70" i="15"/>
  <c r="AC70" i="15"/>
  <c r="AB70" i="15"/>
  <c r="AA70" i="15"/>
  <c r="Z70" i="15"/>
  <c r="Y70" i="15"/>
  <c r="X70" i="15"/>
  <c r="W70" i="15"/>
  <c r="V70" i="15"/>
  <c r="U70" i="15"/>
  <c r="T70" i="15"/>
  <c r="S70" i="15"/>
  <c r="R70" i="15"/>
  <c r="Q70" i="15"/>
  <c r="P70" i="15"/>
  <c r="O70" i="15"/>
  <c r="N70" i="15"/>
  <c r="M70" i="15"/>
  <c r="L70" i="15"/>
  <c r="K70" i="15"/>
  <c r="J70" i="15"/>
  <c r="I70" i="15"/>
  <c r="H70" i="15"/>
  <c r="G70" i="15"/>
  <c r="F70" i="15"/>
  <c r="AE69" i="15"/>
  <c r="AC69" i="15"/>
  <c r="AB69" i="15"/>
  <c r="AA69" i="15"/>
  <c r="Z69" i="15"/>
  <c r="Y69" i="15"/>
  <c r="X69" i="15"/>
  <c r="W69" i="15"/>
  <c r="V69" i="15"/>
  <c r="U69" i="15"/>
  <c r="T69" i="15"/>
  <c r="S69" i="15"/>
  <c r="R69" i="15"/>
  <c r="Q69" i="15"/>
  <c r="P69" i="15"/>
  <c r="O69" i="15"/>
  <c r="N69" i="15"/>
  <c r="M69" i="15"/>
  <c r="L69" i="15"/>
  <c r="K69" i="15"/>
  <c r="J69" i="15"/>
  <c r="I69" i="15"/>
  <c r="H69" i="15"/>
  <c r="G69" i="15"/>
  <c r="F69" i="15"/>
  <c r="AE68" i="15"/>
  <c r="AC68" i="15"/>
  <c r="AB68" i="15"/>
  <c r="AA68" i="15"/>
  <c r="Z68" i="15"/>
  <c r="Y68" i="15"/>
  <c r="X68" i="15"/>
  <c r="W68" i="15"/>
  <c r="V68" i="15"/>
  <c r="U68" i="15"/>
  <c r="T68" i="15"/>
  <c r="S68" i="15"/>
  <c r="R68" i="15"/>
  <c r="Q68" i="15"/>
  <c r="P68" i="15"/>
  <c r="O68" i="15"/>
  <c r="N68" i="15"/>
  <c r="M68" i="15"/>
  <c r="L68" i="15"/>
  <c r="K68" i="15"/>
  <c r="J68" i="15"/>
  <c r="I68" i="15"/>
  <c r="H68" i="15"/>
  <c r="G68" i="15"/>
  <c r="F68" i="15"/>
  <c r="AE67" i="15"/>
  <c r="AC67" i="15"/>
  <c r="AB67" i="15"/>
  <c r="AA67" i="15"/>
  <c r="Z67" i="15"/>
  <c r="Y67" i="15"/>
  <c r="X67" i="15"/>
  <c r="W67" i="15"/>
  <c r="V67" i="15"/>
  <c r="U67" i="15"/>
  <c r="T67" i="15"/>
  <c r="S67" i="15"/>
  <c r="R67" i="15"/>
  <c r="Q67" i="15"/>
  <c r="P67" i="15"/>
  <c r="O67" i="15"/>
  <c r="N67" i="15"/>
  <c r="M67" i="15"/>
  <c r="L67" i="15"/>
  <c r="K67" i="15"/>
  <c r="J67" i="15"/>
  <c r="I67" i="15"/>
  <c r="H67" i="15"/>
  <c r="G67" i="15"/>
  <c r="F67" i="15"/>
  <c r="AE66" i="15"/>
  <c r="AC66" i="15"/>
  <c r="AB66" i="15"/>
  <c r="AA66" i="15"/>
  <c r="Z66" i="15"/>
  <c r="Y66" i="15"/>
  <c r="X66" i="15"/>
  <c r="W66" i="15"/>
  <c r="V66" i="15"/>
  <c r="U66" i="15"/>
  <c r="T66" i="15"/>
  <c r="S66" i="15"/>
  <c r="R66" i="15"/>
  <c r="Q66" i="15"/>
  <c r="P66" i="15"/>
  <c r="O66" i="15"/>
  <c r="N66" i="15"/>
  <c r="M66" i="15"/>
  <c r="L66" i="15"/>
  <c r="K66" i="15"/>
  <c r="J66" i="15"/>
  <c r="I66" i="15"/>
  <c r="H66" i="15"/>
  <c r="G66" i="15"/>
  <c r="F66" i="15"/>
  <c r="AE65" i="15"/>
  <c r="AC65" i="15"/>
  <c r="AB65" i="15"/>
  <c r="AA65" i="15"/>
  <c r="Z65" i="15"/>
  <c r="Y65" i="15"/>
  <c r="X65" i="15"/>
  <c r="W65" i="15"/>
  <c r="V65" i="15"/>
  <c r="U65" i="15"/>
  <c r="T65" i="15"/>
  <c r="S65" i="15"/>
  <c r="R65" i="15"/>
  <c r="Q65" i="15"/>
  <c r="P65" i="15"/>
  <c r="O65" i="15"/>
  <c r="N65" i="15"/>
  <c r="M65" i="15"/>
  <c r="L65" i="15"/>
  <c r="K65" i="15"/>
  <c r="J65" i="15"/>
  <c r="I65" i="15"/>
  <c r="H65" i="15"/>
  <c r="G65" i="15"/>
  <c r="F65" i="15"/>
  <c r="AE64" i="15"/>
  <c r="AC64" i="15"/>
  <c r="AB64" i="15"/>
  <c r="AA64" i="15"/>
  <c r="Z64" i="15"/>
  <c r="Y64" i="15"/>
  <c r="X64" i="15"/>
  <c r="W64" i="15"/>
  <c r="V64" i="15"/>
  <c r="U64" i="15"/>
  <c r="T64" i="15"/>
  <c r="S64" i="15"/>
  <c r="R64" i="15"/>
  <c r="Q64" i="15"/>
  <c r="P64" i="15"/>
  <c r="O64" i="15"/>
  <c r="N64" i="15"/>
  <c r="M64" i="15"/>
  <c r="L64" i="15"/>
  <c r="K64" i="15"/>
  <c r="J64" i="15"/>
  <c r="I64" i="15"/>
  <c r="H64" i="15"/>
  <c r="G64" i="15"/>
  <c r="F64" i="15"/>
  <c r="AE63" i="15"/>
  <c r="AC63" i="15"/>
  <c r="AB63" i="15"/>
  <c r="AA63" i="15"/>
  <c r="Z63" i="15"/>
  <c r="Y63" i="15"/>
  <c r="X63" i="15"/>
  <c r="W63" i="15"/>
  <c r="V63" i="15"/>
  <c r="U63" i="15"/>
  <c r="T63" i="15"/>
  <c r="S63" i="15"/>
  <c r="R63" i="15"/>
  <c r="Q63" i="15"/>
  <c r="P63" i="15"/>
  <c r="O63" i="15"/>
  <c r="N63" i="15"/>
  <c r="M63" i="15"/>
  <c r="L63" i="15"/>
  <c r="K63" i="15"/>
  <c r="J63" i="15"/>
  <c r="I63" i="15"/>
  <c r="H63" i="15"/>
  <c r="G63" i="15"/>
  <c r="F63" i="15"/>
  <c r="AE62" i="15"/>
  <c r="AC62" i="15"/>
  <c r="AB62" i="15"/>
  <c r="AA62" i="15"/>
  <c r="Z62" i="15"/>
  <c r="Y62" i="15"/>
  <c r="X62" i="15"/>
  <c r="W62" i="15"/>
  <c r="V62" i="15"/>
  <c r="U62" i="15"/>
  <c r="T62" i="15"/>
  <c r="S62" i="15"/>
  <c r="R62" i="15"/>
  <c r="Q62" i="15"/>
  <c r="P62" i="15"/>
  <c r="O62" i="15"/>
  <c r="N62" i="15"/>
  <c r="M62" i="15"/>
  <c r="L62" i="15"/>
  <c r="K62" i="15"/>
  <c r="J62" i="15"/>
  <c r="I62" i="15"/>
  <c r="H62" i="15"/>
  <c r="G62" i="15"/>
  <c r="F62" i="15"/>
  <c r="AE61" i="15"/>
  <c r="AC61" i="15"/>
  <c r="AB61" i="15"/>
  <c r="AA61" i="15"/>
  <c r="Z61" i="15"/>
  <c r="Y61" i="15"/>
  <c r="X61" i="15"/>
  <c r="W61" i="15"/>
  <c r="V61" i="15"/>
  <c r="U61" i="15"/>
  <c r="T61" i="15"/>
  <c r="S61" i="15"/>
  <c r="R61" i="15"/>
  <c r="Q61" i="15"/>
  <c r="P61" i="15"/>
  <c r="O61" i="15"/>
  <c r="N61" i="15"/>
  <c r="M61" i="15"/>
  <c r="L61" i="15"/>
  <c r="K61" i="15"/>
  <c r="J61" i="15"/>
  <c r="I61" i="15"/>
  <c r="H61" i="15"/>
  <c r="G61" i="15"/>
  <c r="F61" i="15"/>
  <c r="AE60" i="15"/>
  <c r="AC60" i="15"/>
  <c r="AB60" i="15"/>
  <c r="AA60" i="15"/>
  <c r="Z60" i="15"/>
  <c r="Y60" i="15"/>
  <c r="X60" i="15"/>
  <c r="W60" i="15"/>
  <c r="V60" i="15"/>
  <c r="U60" i="15"/>
  <c r="T60" i="15"/>
  <c r="S60" i="15"/>
  <c r="R60" i="15"/>
  <c r="Q60" i="15"/>
  <c r="P60" i="15"/>
  <c r="O60" i="15"/>
  <c r="N60" i="15"/>
  <c r="M60" i="15"/>
  <c r="L60" i="15"/>
  <c r="K60" i="15"/>
  <c r="J60" i="15"/>
  <c r="I60" i="15"/>
  <c r="H60" i="15"/>
  <c r="G60" i="15"/>
  <c r="F60" i="15"/>
  <c r="AE59" i="15"/>
  <c r="AC59" i="15"/>
  <c r="AB59" i="15"/>
  <c r="AA59" i="15"/>
  <c r="Z59" i="15"/>
  <c r="Y59" i="15"/>
  <c r="X59" i="15"/>
  <c r="W59" i="15"/>
  <c r="V59" i="15"/>
  <c r="U59" i="15"/>
  <c r="T59" i="15"/>
  <c r="S59" i="15"/>
  <c r="R59" i="15"/>
  <c r="Q59" i="15"/>
  <c r="P59" i="15"/>
  <c r="O59" i="15"/>
  <c r="N59" i="15"/>
  <c r="M59" i="15"/>
  <c r="L59" i="15"/>
  <c r="K59" i="15"/>
  <c r="J59" i="15"/>
  <c r="I59" i="15"/>
  <c r="H59" i="15"/>
  <c r="G59" i="15"/>
  <c r="F59" i="15"/>
  <c r="AE58" i="15"/>
  <c r="AC58" i="15"/>
  <c r="AB58" i="15"/>
  <c r="AA58" i="15"/>
  <c r="Z58" i="15"/>
  <c r="Y58" i="15"/>
  <c r="X58" i="15"/>
  <c r="W58" i="15"/>
  <c r="V58" i="15"/>
  <c r="U58" i="15"/>
  <c r="T58" i="15"/>
  <c r="S58" i="15"/>
  <c r="R58" i="15"/>
  <c r="Q58" i="15"/>
  <c r="P58" i="15"/>
  <c r="O58" i="15"/>
  <c r="N58" i="15"/>
  <c r="M58" i="15"/>
  <c r="L58" i="15"/>
  <c r="K58" i="15"/>
  <c r="J58" i="15"/>
  <c r="I58" i="15"/>
  <c r="H58" i="15"/>
  <c r="G58" i="15"/>
  <c r="F58" i="15"/>
  <c r="AE57" i="15"/>
  <c r="AC57" i="15"/>
  <c r="AB57" i="15"/>
  <c r="AA57" i="15"/>
  <c r="Z57" i="15"/>
  <c r="Y57" i="15"/>
  <c r="X57" i="15"/>
  <c r="W57" i="15"/>
  <c r="V57" i="15"/>
  <c r="U57" i="15"/>
  <c r="T57" i="15"/>
  <c r="S57" i="15"/>
  <c r="R57" i="15"/>
  <c r="Q57" i="15"/>
  <c r="P57" i="15"/>
  <c r="O57" i="15"/>
  <c r="N57" i="15"/>
  <c r="M57" i="15"/>
  <c r="L57" i="15"/>
  <c r="K57" i="15"/>
  <c r="J57" i="15"/>
  <c r="I57" i="15"/>
  <c r="H57" i="15"/>
  <c r="G57" i="15"/>
  <c r="F57" i="15"/>
  <c r="AE56" i="15"/>
  <c r="AC56" i="15"/>
  <c r="AB56" i="15"/>
  <c r="AA56" i="15"/>
  <c r="Z56" i="15"/>
  <c r="Y56" i="15"/>
  <c r="X56" i="15"/>
  <c r="W56" i="15"/>
  <c r="V56" i="15"/>
  <c r="U56" i="15"/>
  <c r="T56" i="15"/>
  <c r="S56" i="15"/>
  <c r="R56" i="15"/>
  <c r="Q56" i="15"/>
  <c r="P56" i="15"/>
  <c r="O56" i="15"/>
  <c r="N56" i="15"/>
  <c r="M56" i="15"/>
  <c r="L56" i="15"/>
  <c r="K56" i="15"/>
  <c r="J56" i="15"/>
  <c r="I56" i="15"/>
  <c r="H56" i="15"/>
  <c r="G56" i="15"/>
  <c r="F56" i="15"/>
  <c r="AE55" i="15"/>
  <c r="AC55" i="15"/>
  <c r="AB55" i="15"/>
  <c r="AA55" i="15"/>
  <c r="Z55" i="15"/>
  <c r="Y55" i="15"/>
  <c r="X55" i="15"/>
  <c r="W55" i="15"/>
  <c r="V55" i="15"/>
  <c r="U55" i="15"/>
  <c r="T55" i="15"/>
  <c r="S55" i="15"/>
  <c r="R55" i="15"/>
  <c r="Q55" i="15"/>
  <c r="P55" i="15"/>
  <c r="O55" i="15"/>
  <c r="N55" i="15"/>
  <c r="M55" i="15"/>
  <c r="L55" i="15"/>
  <c r="K55" i="15"/>
  <c r="J55" i="15"/>
  <c r="I55" i="15"/>
  <c r="H55" i="15"/>
  <c r="G55" i="15"/>
  <c r="F55" i="15"/>
  <c r="AE54" i="15"/>
  <c r="AC54" i="15"/>
  <c r="AB54" i="15"/>
  <c r="AA54" i="15"/>
  <c r="Z54" i="15"/>
  <c r="Y54" i="15"/>
  <c r="X54" i="15"/>
  <c r="W54" i="15"/>
  <c r="V54" i="15"/>
  <c r="U54" i="15"/>
  <c r="T54" i="15"/>
  <c r="S54" i="15"/>
  <c r="R54" i="15"/>
  <c r="Q54" i="15"/>
  <c r="P54" i="15"/>
  <c r="O54" i="15"/>
  <c r="N54" i="15"/>
  <c r="M54" i="15"/>
  <c r="L54" i="15"/>
  <c r="K54" i="15"/>
  <c r="J54" i="15"/>
  <c r="I54" i="15"/>
  <c r="H54" i="15"/>
  <c r="G54" i="15"/>
  <c r="F54" i="15"/>
  <c r="AE53" i="15"/>
  <c r="AC53" i="15"/>
  <c r="AB53" i="15"/>
  <c r="AA53" i="15"/>
  <c r="Z53" i="15"/>
  <c r="Y53" i="15"/>
  <c r="X53" i="15"/>
  <c r="W53" i="15"/>
  <c r="V53" i="15"/>
  <c r="U53" i="15"/>
  <c r="T53" i="15"/>
  <c r="S53" i="15"/>
  <c r="R53" i="15"/>
  <c r="Q53" i="15"/>
  <c r="P53" i="15"/>
  <c r="O53" i="15"/>
  <c r="N53" i="15"/>
  <c r="M53" i="15"/>
  <c r="L53" i="15"/>
  <c r="K53" i="15"/>
  <c r="J53" i="15"/>
  <c r="I53" i="15"/>
  <c r="H53" i="15"/>
  <c r="G53" i="15"/>
  <c r="F53" i="15"/>
  <c r="AE52" i="15"/>
  <c r="AC52" i="15"/>
  <c r="AB52" i="15"/>
  <c r="AA52" i="15"/>
  <c r="Z52" i="15"/>
  <c r="Y52" i="15"/>
  <c r="X52" i="15"/>
  <c r="W52" i="15"/>
  <c r="V52" i="15"/>
  <c r="U52" i="15"/>
  <c r="T52" i="15"/>
  <c r="S52" i="15"/>
  <c r="R52" i="15"/>
  <c r="Q52" i="15"/>
  <c r="P52" i="15"/>
  <c r="O52" i="15"/>
  <c r="N52" i="15"/>
  <c r="M52" i="15"/>
  <c r="L52" i="15"/>
  <c r="K52" i="15"/>
  <c r="J52" i="15"/>
  <c r="I52" i="15"/>
  <c r="H52" i="15"/>
  <c r="G52" i="15"/>
  <c r="F52" i="15"/>
  <c r="AE51" i="15"/>
  <c r="AC51" i="15"/>
  <c r="AB51" i="15"/>
  <c r="AA51" i="15"/>
  <c r="Z51" i="15"/>
  <c r="Y51" i="15"/>
  <c r="X51" i="15"/>
  <c r="W51" i="15"/>
  <c r="V51" i="15"/>
  <c r="U51" i="15"/>
  <c r="T51" i="15"/>
  <c r="S51" i="15"/>
  <c r="R51" i="15"/>
  <c r="Q51" i="15"/>
  <c r="P51" i="15"/>
  <c r="O51" i="15"/>
  <c r="N51" i="15"/>
  <c r="M51" i="15"/>
  <c r="L51" i="15"/>
  <c r="K51" i="15"/>
  <c r="J51" i="15"/>
  <c r="I51" i="15"/>
  <c r="H51" i="15"/>
  <c r="G51" i="15"/>
  <c r="F51" i="15"/>
  <c r="AE50" i="15"/>
  <c r="AC50" i="15"/>
  <c r="AB50" i="15"/>
  <c r="AA50" i="15"/>
  <c r="Z50" i="15"/>
  <c r="Y50" i="15"/>
  <c r="X50" i="15"/>
  <c r="W50" i="15"/>
  <c r="V50" i="15"/>
  <c r="U50" i="15"/>
  <c r="T50" i="15"/>
  <c r="S50" i="15"/>
  <c r="R50" i="15"/>
  <c r="Q50" i="15"/>
  <c r="P50" i="15"/>
  <c r="O50" i="15"/>
  <c r="N50" i="15"/>
  <c r="M50" i="15"/>
  <c r="L50" i="15"/>
  <c r="K50" i="15"/>
  <c r="J50" i="15"/>
  <c r="I50" i="15"/>
  <c r="H50" i="15"/>
  <c r="G50" i="15"/>
  <c r="F50" i="15"/>
  <c r="AE49" i="15"/>
  <c r="AC49" i="15"/>
  <c r="AB49" i="15"/>
  <c r="AA49" i="15"/>
  <c r="Z49" i="15"/>
  <c r="Y49" i="15"/>
  <c r="X49" i="15"/>
  <c r="W49" i="15"/>
  <c r="V49" i="15"/>
  <c r="U49" i="15"/>
  <c r="T49" i="15"/>
  <c r="S49" i="15"/>
  <c r="R49" i="15"/>
  <c r="Q49" i="15"/>
  <c r="P49" i="15"/>
  <c r="O49" i="15"/>
  <c r="N49" i="15"/>
  <c r="M49" i="15"/>
  <c r="L49" i="15"/>
  <c r="K49" i="15"/>
  <c r="J49" i="15"/>
  <c r="I49" i="15"/>
  <c r="H49" i="15"/>
  <c r="G49" i="15"/>
  <c r="F49" i="15"/>
  <c r="AE48" i="15"/>
  <c r="AC48" i="15"/>
  <c r="AB48" i="15"/>
  <c r="AA48" i="15"/>
  <c r="Z48" i="15"/>
  <c r="Y48" i="15"/>
  <c r="X48" i="15"/>
  <c r="W48" i="15"/>
  <c r="V48" i="15"/>
  <c r="U48" i="15"/>
  <c r="T48" i="15"/>
  <c r="S48" i="15"/>
  <c r="R48" i="15"/>
  <c r="Q48" i="15"/>
  <c r="P48" i="15"/>
  <c r="O48" i="15"/>
  <c r="N48" i="15"/>
  <c r="M48" i="15"/>
  <c r="L48" i="15"/>
  <c r="K48" i="15"/>
  <c r="J48" i="15"/>
  <c r="I48" i="15"/>
  <c r="H48" i="15"/>
  <c r="G48" i="15"/>
  <c r="F48" i="15"/>
  <c r="AE47" i="15"/>
  <c r="AC47" i="15"/>
  <c r="AB47" i="15"/>
  <c r="AA47" i="15"/>
  <c r="Z47" i="15"/>
  <c r="Y47" i="15"/>
  <c r="X47" i="15"/>
  <c r="W47" i="15"/>
  <c r="V47" i="15"/>
  <c r="U47" i="15"/>
  <c r="T47" i="15"/>
  <c r="S47" i="15"/>
  <c r="R47" i="15"/>
  <c r="Q47" i="15"/>
  <c r="P47" i="15"/>
  <c r="O47" i="15"/>
  <c r="N47" i="15"/>
  <c r="M47" i="15"/>
  <c r="L47" i="15"/>
  <c r="K47" i="15"/>
  <c r="J47" i="15"/>
  <c r="I47" i="15"/>
  <c r="H47" i="15"/>
  <c r="G47" i="15"/>
  <c r="F47" i="15"/>
  <c r="AE46" i="15"/>
  <c r="AC46" i="15"/>
  <c r="AB46" i="15"/>
  <c r="AA46" i="15"/>
  <c r="Z46" i="15"/>
  <c r="Y46" i="15"/>
  <c r="X46" i="15"/>
  <c r="W46" i="15"/>
  <c r="V46" i="15"/>
  <c r="U46" i="15"/>
  <c r="T46" i="15"/>
  <c r="S46" i="15"/>
  <c r="R46" i="15"/>
  <c r="Q46" i="15"/>
  <c r="P46" i="15"/>
  <c r="O46" i="15"/>
  <c r="N46" i="15"/>
  <c r="M46" i="15"/>
  <c r="L46" i="15"/>
  <c r="K46" i="15"/>
  <c r="J46" i="15"/>
  <c r="I46" i="15"/>
  <c r="H46" i="15"/>
  <c r="G46" i="15"/>
  <c r="F46" i="15"/>
  <c r="AE45" i="15"/>
  <c r="AC45" i="15"/>
  <c r="AB45" i="15"/>
  <c r="AA45" i="15"/>
  <c r="Z45" i="15"/>
  <c r="Y45" i="15"/>
  <c r="X45" i="15"/>
  <c r="W45" i="15"/>
  <c r="V45" i="15"/>
  <c r="U45" i="15"/>
  <c r="T45" i="15"/>
  <c r="S45" i="15"/>
  <c r="R45" i="15"/>
  <c r="Q45" i="15"/>
  <c r="P45" i="15"/>
  <c r="O45" i="15"/>
  <c r="N45" i="15"/>
  <c r="M45" i="15"/>
  <c r="L45" i="15"/>
  <c r="K45" i="15"/>
  <c r="J45" i="15"/>
  <c r="I45" i="15"/>
  <c r="H45" i="15"/>
  <c r="G45" i="15"/>
  <c r="F45" i="15"/>
  <c r="AE44" i="15"/>
  <c r="AC44" i="15"/>
  <c r="AB44" i="15"/>
  <c r="AA44" i="15"/>
  <c r="Z44" i="15"/>
  <c r="Y44" i="15"/>
  <c r="X44" i="15"/>
  <c r="W44" i="15"/>
  <c r="V44" i="15"/>
  <c r="U44" i="15"/>
  <c r="T44" i="15"/>
  <c r="S44" i="15"/>
  <c r="R44" i="15"/>
  <c r="Q44" i="15"/>
  <c r="P44" i="15"/>
  <c r="O44" i="15"/>
  <c r="N44" i="15"/>
  <c r="M44" i="15"/>
  <c r="L44" i="15"/>
  <c r="K44" i="15"/>
  <c r="J44" i="15"/>
  <c r="I44" i="15"/>
  <c r="H44" i="15"/>
  <c r="G44" i="15"/>
  <c r="F44" i="15"/>
  <c r="AE43" i="15"/>
  <c r="AC43" i="15"/>
  <c r="AB43" i="15"/>
  <c r="AA43" i="15"/>
  <c r="Z43" i="15"/>
  <c r="Y43" i="15"/>
  <c r="X43" i="15"/>
  <c r="W43" i="15"/>
  <c r="V43" i="15"/>
  <c r="U43" i="15"/>
  <c r="T43" i="15"/>
  <c r="S43" i="15"/>
  <c r="R43" i="15"/>
  <c r="Q43" i="15"/>
  <c r="P43" i="15"/>
  <c r="O43" i="15"/>
  <c r="N43" i="15"/>
  <c r="M43" i="15"/>
  <c r="L43" i="15"/>
  <c r="K43" i="15"/>
  <c r="J43" i="15"/>
  <c r="I43" i="15"/>
  <c r="H43" i="15"/>
  <c r="G43" i="15"/>
  <c r="F43" i="15"/>
  <c r="AE42" i="15"/>
  <c r="AC42" i="15"/>
  <c r="AB42" i="15"/>
  <c r="AA42" i="15"/>
  <c r="Z42" i="15"/>
  <c r="Y42" i="15"/>
  <c r="X42" i="15"/>
  <c r="W42" i="15"/>
  <c r="V42" i="15"/>
  <c r="U42" i="15"/>
  <c r="T42" i="15"/>
  <c r="S42" i="15"/>
  <c r="R42" i="15"/>
  <c r="Q42" i="15"/>
  <c r="P42" i="15"/>
  <c r="O42" i="15"/>
  <c r="N42" i="15"/>
  <c r="M42" i="15"/>
  <c r="L42" i="15"/>
  <c r="K42" i="15"/>
  <c r="J42" i="15"/>
  <c r="I42" i="15"/>
  <c r="H42" i="15"/>
  <c r="G42" i="15"/>
  <c r="F42" i="15"/>
  <c r="AE41" i="15"/>
  <c r="AC41" i="15"/>
  <c r="AB41" i="15"/>
  <c r="AA41" i="15"/>
  <c r="Z41" i="15"/>
  <c r="Y41" i="15"/>
  <c r="X41" i="15"/>
  <c r="W41" i="15"/>
  <c r="V41" i="15"/>
  <c r="U41" i="15"/>
  <c r="T41" i="15"/>
  <c r="S41" i="15"/>
  <c r="R41" i="15"/>
  <c r="Q41" i="15"/>
  <c r="P41" i="15"/>
  <c r="O41" i="15"/>
  <c r="N41" i="15"/>
  <c r="M41" i="15"/>
  <c r="L41" i="15"/>
  <c r="K41" i="15"/>
  <c r="J41" i="15"/>
  <c r="I41" i="15"/>
  <c r="H41" i="15"/>
  <c r="G41" i="15"/>
  <c r="F41" i="15"/>
  <c r="AE40" i="15"/>
  <c r="AC40" i="15"/>
  <c r="AB40" i="15"/>
  <c r="AA40" i="15"/>
  <c r="Z40" i="15"/>
  <c r="Y40" i="15"/>
  <c r="X40" i="15"/>
  <c r="W40" i="15"/>
  <c r="V40" i="15"/>
  <c r="U40" i="15"/>
  <c r="T40" i="15"/>
  <c r="S40" i="15"/>
  <c r="R40" i="15"/>
  <c r="Q40" i="15"/>
  <c r="P40" i="15"/>
  <c r="O40" i="15"/>
  <c r="N40" i="15"/>
  <c r="M40" i="15"/>
  <c r="L40" i="15"/>
  <c r="K40" i="15"/>
  <c r="J40" i="15"/>
  <c r="I40" i="15"/>
  <c r="H40" i="15"/>
  <c r="G40" i="15"/>
  <c r="F40" i="15"/>
  <c r="AE39" i="15"/>
  <c r="AC39" i="15"/>
  <c r="AB39" i="15"/>
  <c r="AA39" i="15"/>
  <c r="Z39" i="15"/>
  <c r="Y39" i="15"/>
  <c r="X39" i="15"/>
  <c r="W39" i="15"/>
  <c r="V39" i="15"/>
  <c r="U39" i="15"/>
  <c r="T39" i="15"/>
  <c r="S39" i="15"/>
  <c r="R39" i="15"/>
  <c r="Q39" i="15"/>
  <c r="P39" i="15"/>
  <c r="O39" i="15"/>
  <c r="N39" i="15"/>
  <c r="M39" i="15"/>
  <c r="L39" i="15"/>
  <c r="K39" i="15"/>
  <c r="J39" i="15"/>
  <c r="I39" i="15"/>
  <c r="H39" i="15"/>
  <c r="G39" i="15"/>
  <c r="F39" i="15"/>
  <c r="AE38" i="15"/>
  <c r="AC38" i="15"/>
  <c r="AB38" i="15"/>
  <c r="AA38" i="15"/>
  <c r="Z38" i="15"/>
  <c r="Y38" i="15"/>
  <c r="X38" i="15"/>
  <c r="W38" i="15"/>
  <c r="V38" i="15"/>
  <c r="U38" i="15"/>
  <c r="T38" i="15"/>
  <c r="S38" i="15"/>
  <c r="R38" i="15"/>
  <c r="Q38" i="15"/>
  <c r="P38" i="15"/>
  <c r="O38" i="15"/>
  <c r="N38" i="15"/>
  <c r="M38" i="15"/>
  <c r="L38" i="15"/>
  <c r="K38" i="15"/>
  <c r="J38" i="15"/>
  <c r="I38" i="15"/>
  <c r="H38" i="15"/>
  <c r="G38" i="15"/>
  <c r="F38" i="15"/>
  <c r="AE37" i="15"/>
  <c r="AC37" i="15"/>
  <c r="AB37" i="15"/>
  <c r="AA37" i="15"/>
  <c r="Z37" i="15"/>
  <c r="Y37" i="15"/>
  <c r="X37" i="15"/>
  <c r="W37" i="15"/>
  <c r="V37" i="15"/>
  <c r="U37" i="15"/>
  <c r="T37" i="15"/>
  <c r="S37" i="15"/>
  <c r="R37" i="15"/>
  <c r="Q37" i="15"/>
  <c r="P37" i="15"/>
  <c r="O37" i="15"/>
  <c r="N37" i="15"/>
  <c r="M37" i="15"/>
  <c r="L37" i="15"/>
  <c r="K37" i="15"/>
  <c r="J37" i="15"/>
  <c r="I37" i="15"/>
  <c r="H37" i="15"/>
  <c r="G37" i="15"/>
  <c r="F37" i="15"/>
  <c r="AE36" i="15"/>
  <c r="AC36" i="15"/>
  <c r="AB36" i="15"/>
  <c r="AA36" i="15"/>
  <c r="Z36" i="15"/>
  <c r="Y36" i="15"/>
  <c r="X36" i="15"/>
  <c r="W36" i="15"/>
  <c r="V36" i="15"/>
  <c r="U36" i="15"/>
  <c r="T36" i="15"/>
  <c r="S36" i="15"/>
  <c r="R36" i="15"/>
  <c r="Q36" i="15"/>
  <c r="P36" i="15"/>
  <c r="O36" i="15"/>
  <c r="N36" i="15"/>
  <c r="M36" i="15"/>
  <c r="L36" i="15"/>
  <c r="K36" i="15"/>
  <c r="J36" i="15"/>
  <c r="I36" i="15"/>
  <c r="H36" i="15"/>
  <c r="G36" i="15"/>
  <c r="F36" i="15"/>
  <c r="AE35" i="15"/>
  <c r="AC35" i="15"/>
  <c r="AB35" i="15"/>
  <c r="AA35" i="15"/>
  <c r="Z35" i="15"/>
  <c r="Y35" i="15"/>
  <c r="X35" i="15"/>
  <c r="W35" i="15"/>
  <c r="V35" i="15"/>
  <c r="U35" i="15"/>
  <c r="T35" i="15"/>
  <c r="S35" i="15"/>
  <c r="R35" i="15"/>
  <c r="Q35" i="15"/>
  <c r="P35" i="15"/>
  <c r="O35" i="15"/>
  <c r="N35" i="15"/>
  <c r="M35" i="15"/>
  <c r="L35" i="15"/>
  <c r="K35" i="15"/>
  <c r="J35" i="15"/>
  <c r="I35" i="15"/>
  <c r="H35" i="15"/>
  <c r="G35" i="15"/>
  <c r="F35" i="15"/>
  <c r="AE34" i="15"/>
  <c r="AC34" i="15"/>
  <c r="AB34" i="15"/>
  <c r="AA34" i="15"/>
  <c r="Z34" i="15"/>
  <c r="Y34" i="15"/>
  <c r="X34" i="15"/>
  <c r="W34" i="15"/>
  <c r="V34" i="15"/>
  <c r="U34" i="15"/>
  <c r="T34" i="15"/>
  <c r="S34" i="15"/>
  <c r="R34" i="15"/>
  <c r="Q34" i="15"/>
  <c r="P34" i="15"/>
  <c r="O34" i="15"/>
  <c r="N34" i="15"/>
  <c r="M34" i="15"/>
  <c r="L34" i="15"/>
  <c r="K34" i="15"/>
  <c r="J34" i="15"/>
  <c r="I34" i="15"/>
  <c r="H34" i="15"/>
  <c r="G34" i="15"/>
  <c r="F34" i="15"/>
  <c r="AE33" i="15"/>
  <c r="AC33" i="15"/>
  <c r="AB33" i="15"/>
  <c r="AA33" i="15"/>
  <c r="Z33" i="15"/>
  <c r="Y33" i="15"/>
  <c r="X33" i="15"/>
  <c r="W33" i="15"/>
  <c r="V33" i="15"/>
  <c r="U33" i="15"/>
  <c r="T33" i="15"/>
  <c r="S33" i="15"/>
  <c r="R33" i="15"/>
  <c r="Q33" i="15"/>
  <c r="P33" i="15"/>
  <c r="O33" i="15"/>
  <c r="N33" i="15"/>
  <c r="M33" i="15"/>
  <c r="L33" i="15"/>
  <c r="K33" i="15"/>
  <c r="J33" i="15"/>
  <c r="I33" i="15"/>
  <c r="H33" i="15"/>
  <c r="G33" i="15"/>
  <c r="F33" i="15"/>
  <c r="AE32" i="15"/>
  <c r="AC32" i="15"/>
  <c r="AB32" i="15"/>
  <c r="AA32" i="15"/>
  <c r="Z32" i="15"/>
  <c r="Y32" i="15"/>
  <c r="X32" i="15"/>
  <c r="W32" i="15"/>
  <c r="V32" i="15"/>
  <c r="U32" i="15"/>
  <c r="T32" i="15"/>
  <c r="S32" i="15"/>
  <c r="R32" i="15"/>
  <c r="Q32" i="15"/>
  <c r="P32" i="15"/>
  <c r="O32" i="15"/>
  <c r="N32" i="15"/>
  <c r="M32" i="15"/>
  <c r="L32" i="15"/>
  <c r="K32" i="15"/>
  <c r="J32" i="15"/>
  <c r="I32" i="15"/>
  <c r="H32" i="15"/>
  <c r="G32" i="15"/>
  <c r="F32" i="15"/>
  <c r="AE31" i="15"/>
  <c r="AC31" i="15"/>
  <c r="AB31" i="15"/>
  <c r="AA31" i="15"/>
  <c r="Z31" i="15"/>
  <c r="Y31" i="15"/>
  <c r="X31" i="15"/>
  <c r="W31" i="15"/>
  <c r="V31" i="15"/>
  <c r="U31" i="15"/>
  <c r="T31" i="15"/>
  <c r="S31" i="15"/>
  <c r="R31" i="15"/>
  <c r="Q31" i="15"/>
  <c r="P31" i="15"/>
  <c r="O31" i="15"/>
  <c r="N31" i="15"/>
  <c r="M31" i="15"/>
  <c r="L31" i="15"/>
  <c r="K31" i="15"/>
  <c r="J31" i="15"/>
  <c r="I31" i="15"/>
  <c r="H31" i="15"/>
  <c r="G31" i="15"/>
  <c r="F31" i="15"/>
  <c r="AE30" i="15"/>
  <c r="AC30" i="15"/>
  <c r="AB30" i="15"/>
  <c r="AA30" i="15"/>
  <c r="Z30" i="15"/>
  <c r="Y30" i="15"/>
  <c r="X30" i="15"/>
  <c r="W30" i="15"/>
  <c r="V30" i="15"/>
  <c r="U30" i="15"/>
  <c r="T30" i="15"/>
  <c r="S30" i="15"/>
  <c r="R30" i="15"/>
  <c r="Q30" i="15"/>
  <c r="P30" i="15"/>
  <c r="O30" i="15"/>
  <c r="N30" i="15"/>
  <c r="M30" i="15"/>
  <c r="L30" i="15"/>
  <c r="K30" i="15"/>
  <c r="J30" i="15"/>
  <c r="I30" i="15"/>
  <c r="H30" i="15"/>
  <c r="G30" i="15"/>
  <c r="F30" i="15"/>
  <c r="AE29" i="15"/>
  <c r="AC29" i="15"/>
  <c r="AB29" i="15"/>
  <c r="AA29" i="15"/>
  <c r="Z29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AE28" i="15"/>
  <c r="AC28" i="15"/>
  <c r="AB28" i="15"/>
  <c r="AA28" i="15"/>
  <c r="Z28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AE27" i="15"/>
  <c r="AC27" i="15"/>
  <c r="AB27" i="15"/>
  <c r="AA27" i="15"/>
  <c r="Z27" i="15"/>
  <c r="Y27" i="15"/>
  <c r="X27" i="15"/>
  <c r="W27" i="15"/>
  <c r="V27" i="15"/>
  <c r="U27" i="15"/>
  <c r="T27" i="15"/>
  <c r="S27" i="15"/>
  <c r="R27" i="15"/>
  <c r="Q27" i="15"/>
  <c r="P27" i="15"/>
  <c r="O27" i="15"/>
  <c r="N27" i="15"/>
  <c r="M27" i="15"/>
  <c r="L27" i="15"/>
  <c r="K27" i="15"/>
  <c r="J27" i="15"/>
  <c r="I27" i="15"/>
  <c r="H27" i="15"/>
  <c r="G27" i="15"/>
  <c r="F27" i="15"/>
  <c r="AE26" i="15"/>
  <c r="AC26" i="15"/>
  <c r="AB26" i="15"/>
  <c r="AA26" i="15"/>
  <c r="Z26" i="15"/>
  <c r="Y26" i="15"/>
  <c r="X26" i="15"/>
  <c r="W26" i="15"/>
  <c r="V26" i="15"/>
  <c r="U26" i="15"/>
  <c r="T26" i="15"/>
  <c r="S26" i="15"/>
  <c r="R26" i="15"/>
  <c r="Q26" i="15"/>
  <c r="P26" i="15"/>
  <c r="O26" i="15"/>
  <c r="N26" i="15"/>
  <c r="M26" i="15"/>
  <c r="L26" i="15"/>
  <c r="K26" i="15"/>
  <c r="J26" i="15"/>
  <c r="I26" i="15"/>
  <c r="H26" i="15"/>
  <c r="G26" i="15"/>
  <c r="F26" i="15"/>
  <c r="AE25" i="15"/>
  <c r="AC25" i="15"/>
  <c r="AB25" i="15"/>
  <c r="AA25" i="15"/>
  <c r="Z25" i="15"/>
  <c r="Y25" i="15"/>
  <c r="X25" i="15"/>
  <c r="W25" i="15"/>
  <c r="V25" i="15"/>
  <c r="U25" i="15"/>
  <c r="T25" i="15"/>
  <c r="S25" i="15"/>
  <c r="R25" i="15"/>
  <c r="Q25" i="15"/>
  <c r="P25" i="15"/>
  <c r="O25" i="15"/>
  <c r="N25" i="15"/>
  <c r="M25" i="15"/>
  <c r="L25" i="15"/>
  <c r="K25" i="15"/>
  <c r="J25" i="15"/>
  <c r="I25" i="15"/>
  <c r="H25" i="15"/>
  <c r="G25" i="15"/>
  <c r="F25" i="15"/>
  <c r="AE24" i="15"/>
  <c r="AC24" i="15"/>
  <c r="AB24" i="15"/>
  <c r="AA24" i="15"/>
  <c r="Z24" i="15"/>
  <c r="Y24" i="15"/>
  <c r="X24" i="15"/>
  <c r="W24" i="15"/>
  <c r="V24" i="15"/>
  <c r="U24" i="15"/>
  <c r="T24" i="15"/>
  <c r="S24" i="15"/>
  <c r="R24" i="15"/>
  <c r="Q24" i="15"/>
  <c r="P24" i="15"/>
  <c r="O24" i="15"/>
  <c r="N24" i="15"/>
  <c r="M24" i="15"/>
  <c r="L24" i="15"/>
  <c r="K24" i="15"/>
  <c r="J24" i="15"/>
  <c r="I24" i="15"/>
  <c r="H24" i="15"/>
  <c r="G24" i="15"/>
  <c r="F24" i="15"/>
  <c r="AE23" i="15"/>
  <c r="AC23" i="15"/>
  <c r="AB23" i="15"/>
  <c r="AA23" i="15"/>
  <c r="Z23" i="15"/>
  <c r="Y23" i="15"/>
  <c r="X23" i="15"/>
  <c r="W23" i="15"/>
  <c r="V23" i="15"/>
  <c r="U23" i="15"/>
  <c r="T23" i="15"/>
  <c r="S23" i="15"/>
  <c r="R23" i="15"/>
  <c r="Q23" i="15"/>
  <c r="P23" i="15"/>
  <c r="O23" i="15"/>
  <c r="N23" i="15"/>
  <c r="M23" i="15"/>
  <c r="L23" i="15"/>
  <c r="K23" i="15"/>
  <c r="J23" i="15"/>
  <c r="I23" i="15"/>
  <c r="H23" i="15"/>
  <c r="G23" i="15"/>
  <c r="F23" i="15"/>
  <c r="AE22" i="15"/>
  <c r="AC22" i="15"/>
  <c r="AB22" i="15"/>
  <c r="AA22" i="15"/>
  <c r="Z22" i="15"/>
  <c r="Y22" i="15"/>
  <c r="X22" i="15"/>
  <c r="W22" i="15"/>
  <c r="V22" i="15"/>
  <c r="U22" i="15"/>
  <c r="T22" i="15"/>
  <c r="S22" i="15"/>
  <c r="R22" i="15"/>
  <c r="Q22" i="15"/>
  <c r="P22" i="15"/>
  <c r="O22" i="15"/>
  <c r="N22" i="15"/>
  <c r="M22" i="15"/>
  <c r="L22" i="15"/>
  <c r="K22" i="15"/>
  <c r="J22" i="15"/>
  <c r="I22" i="15"/>
  <c r="H22" i="15"/>
  <c r="G22" i="15"/>
  <c r="F22" i="15"/>
  <c r="AE21" i="15"/>
  <c r="AC21" i="15"/>
  <c r="AB21" i="15"/>
  <c r="AA21" i="15"/>
  <c r="Z21" i="15"/>
  <c r="Y21" i="15"/>
  <c r="X21" i="15"/>
  <c r="W21" i="15"/>
  <c r="V21" i="15"/>
  <c r="U21" i="15"/>
  <c r="T21" i="15"/>
  <c r="S21" i="15"/>
  <c r="R21" i="15"/>
  <c r="Q21" i="15"/>
  <c r="P21" i="15"/>
  <c r="O21" i="15"/>
  <c r="N21" i="15"/>
  <c r="M21" i="15"/>
  <c r="L21" i="15"/>
  <c r="K21" i="15"/>
  <c r="J21" i="15"/>
  <c r="I21" i="15"/>
  <c r="H21" i="15"/>
  <c r="G21" i="15"/>
  <c r="F21" i="15"/>
  <c r="AE20" i="15"/>
  <c r="AC20" i="15"/>
  <c r="AB20" i="15"/>
  <c r="AA20" i="15"/>
  <c r="Z20" i="15"/>
  <c r="Y20" i="15"/>
  <c r="X20" i="15"/>
  <c r="W20" i="15"/>
  <c r="V20" i="15"/>
  <c r="U20" i="15"/>
  <c r="T20" i="15"/>
  <c r="S20" i="15"/>
  <c r="R20" i="15"/>
  <c r="Q20" i="15"/>
  <c r="P20" i="15"/>
  <c r="O20" i="15"/>
  <c r="N20" i="15"/>
  <c r="M20" i="15"/>
  <c r="L20" i="15"/>
  <c r="K20" i="15"/>
  <c r="J20" i="15"/>
  <c r="I20" i="15"/>
  <c r="H20" i="15"/>
  <c r="G20" i="15"/>
  <c r="F20" i="15"/>
  <c r="AE19" i="15"/>
  <c r="AC19" i="15"/>
  <c r="AB19" i="15"/>
  <c r="AA19" i="15"/>
  <c r="Z19" i="15"/>
  <c r="Y19" i="15"/>
  <c r="X19" i="15"/>
  <c r="W19" i="15"/>
  <c r="V19" i="15"/>
  <c r="U19" i="15"/>
  <c r="T19" i="15"/>
  <c r="S19" i="15"/>
  <c r="R19" i="15"/>
  <c r="Q19" i="15"/>
  <c r="P19" i="15"/>
  <c r="O19" i="15"/>
  <c r="N19" i="15"/>
  <c r="M19" i="15"/>
  <c r="L19" i="15"/>
  <c r="K19" i="15"/>
  <c r="J19" i="15"/>
  <c r="I19" i="15"/>
  <c r="H19" i="15"/>
  <c r="G19" i="15"/>
  <c r="F19" i="15"/>
  <c r="AE18" i="15"/>
  <c r="AC18" i="15"/>
  <c r="AB18" i="15"/>
  <c r="AA18" i="15"/>
  <c r="Z18" i="15"/>
  <c r="Y18" i="15"/>
  <c r="X18" i="15"/>
  <c r="W18" i="15"/>
  <c r="V18" i="15"/>
  <c r="U18" i="15"/>
  <c r="T18" i="15"/>
  <c r="S18" i="15"/>
  <c r="R18" i="15"/>
  <c r="Q18" i="15"/>
  <c r="P18" i="15"/>
  <c r="O18" i="15"/>
  <c r="N18" i="15"/>
  <c r="M18" i="15"/>
  <c r="L18" i="15"/>
  <c r="K18" i="15"/>
  <c r="J18" i="15"/>
  <c r="I18" i="15"/>
  <c r="H18" i="15"/>
  <c r="G18" i="15"/>
  <c r="F18" i="15"/>
  <c r="AE17" i="15"/>
  <c r="AC17" i="15"/>
  <c r="AB17" i="15"/>
  <c r="AA17" i="15"/>
  <c r="Z17" i="15"/>
  <c r="Y17" i="15"/>
  <c r="X17" i="15"/>
  <c r="W17" i="15"/>
  <c r="V17" i="15"/>
  <c r="U17" i="15"/>
  <c r="T17" i="15"/>
  <c r="S17" i="15"/>
  <c r="R17" i="15"/>
  <c r="Q17" i="15"/>
  <c r="P17" i="15"/>
  <c r="O17" i="15"/>
  <c r="N17" i="15"/>
  <c r="M17" i="15"/>
  <c r="L17" i="15"/>
  <c r="K17" i="15"/>
  <c r="J17" i="15"/>
  <c r="I17" i="15"/>
  <c r="H17" i="15"/>
  <c r="G17" i="15"/>
  <c r="F17" i="15"/>
  <c r="AE16" i="15"/>
  <c r="AC16" i="15"/>
  <c r="AB16" i="15"/>
  <c r="AA16" i="15"/>
  <c r="Z16" i="15"/>
  <c r="Y16" i="15"/>
  <c r="X16" i="15"/>
  <c r="W16" i="15"/>
  <c r="V16" i="15"/>
  <c r="U16" i="15"/>
  <c r="T16" i="15"/>
  <c r="S16" i="15"/>
  <c r="R16" i="15"/>
  <c r="Q16" i="15"/>
  <c r="P16" i="15"/>
  <c r="O16" i="15"/>
  <c r="N16" i="15"/>
  <c r="M16" i="15"/>
  <c r="L16" i="15"/>
  <c r="K16" i="15"/>
  <c r="J16" i="15"/>
  <c r="I16" i="15"/>
  <c r="H16" i="15"/>
  <c r="G16" i="15"/>
  <c r="F16" i="15"/>
  <c r="AE15" i="15"/>
  <c r="AC15" i="15"/>
  <c r="AB15" i="15"/>
  <c r="AA15" i="15"/>
  <c r="Z15" i="15"/>
  <c r="Y15" i="15"/>
  <c r="X15" i="15"/>
  <c r="W15" i="15"/>
  <c r="V15" i="15"/>
  <c r="U15" i="15"/>
  <c r="T15" i="15"/>
  <c r="S15" i="15"/>
  <c r="R15" i="15"/>
  <c r="Q15" i="15"/>
  <c r="P15" i="15"/>
  <c r="O15" i="15"/>
  <c r="N15" i="15"/>
  <c r="M15" i="15"/>
  <c r="L15" i="15"/>
  <c r="K15" i="15"/>
  <c r="J15" i="15"/>
  <c r="I15" i="15"/>
  <c r="H15" i="15"/>
  <c r="G15" i="15"/>
  <c r="F15" i="15"/>
  <c r="AE14" i="15"/>
  <c r="AC14" i="15"/>
  <c r="AB14" i="15"/>
  <c r="AA14" i="15"/>
  <c r="Z14" i="15"/>
  <c r="Y14" i="15"/>
  <c r="X14" i="15"/>
  <c r="W14" i="15"/>
  <c r="V14" i="15"/>
  <c r="U14" i="15"/>
  <c r="T14" i="15"/>
  <c r="S14" i="15"/>
  <c r="R14" i="15"/>
  <c r="Q14" i="15"/>
  <c r="P14" i="15"/>
  <c r="O14" i="15"/>
  <c r="N14" i="15"/>
  <c r="M14" i="15"/>
  <c r="L14" i="15"/>
  <c r="K14" i="15"/>
  <c r="J14" i="15"/>
  <c r="I14" i="15"/>
  <c r="H14" i="15"/>
  <c r="G14" i="15"/>
  <c r="F14" i="15"/>
  <c r="AE13" i="15"/>
  <c r="AC13" i="15"/>
  <c r="AB13" i="15"/>
  <c r="AA13" i="15"/>
  <c r="Z13" i="15"/>
  <c r="Y13" i="15"/>
  <c r="X13" i="15"/>
  <c r="W13" i="15"/>
  <c r="V13" i="15"/>
  <c r="U13" i="15"/>
  <c r="T13" i="15"/>
  <c r="S13" i="15"/>
  <c r="R13" i="15"/>
  <c r="Q13" i="15"/>
  <c r="P13" i="15"/>
  <c r="O13" i="15"/>
  <c r="N13" i="15"/>
  <c r="M13" i="15"/>
  <c r="L13" i="15"/>
  <c r="K13" i="15"/>
  <c r="J13" i="15"/>
  <c r="I13" i="15"/>
  <c r="H13" i="15"/>
  <c r="G13" i="15"/>
  <c r="F13" i="15"/>
  <c r="AE12" i="15"/>
  <c r="AC12" i="15"/>
  <c r="AB12" i="15"/>
  <c r="AA12" i="15"/>
  <c r="Z12" i="15"/>
  <c r="Y12" i="15"/>
  <c r="X12" i="15"/>
  <c r="W12" i="15"/>
  <c r="V12" i="15"/>
  <c r="U12" i="15"/>
  <c r="T12" i="15"/>
  <c r="S12" i="15"/>
  <c r="R12" i="15"/>
  <c r="Q12" i="15"/>
  <c r="P12" i="15"/>
  <c r="O12" i="15"/>
  <c r="N12" i="15"/>
  <c r="M12" i="15"/>
  <c r="L12" i="15"/>
  <c r="K12" i="15"/>
  <c r="J12" i="15"/>
  <c r="I12" i="15"/>
  <c r="H12" i="15"/>
  <c r="G12" i="15"/>
  <c r="F12" i="15"/>
  <c r="AE11" i="15"/>
  <c r="AC11" i="15"/>
  <c r="AB11" i="15"/>
  <c r="AA11" i="15"/>
  <c r="Z11" i="15"/>
  <c r="Y11" i="15"/>
  <c r="X11" i="15"/>
  <c r="W11" i="15"/>
  <c r="V11" i="15"/>
  <c r="U11" i="15"/>
  <c r="T11" i="15"/>
  <c r="S11" i="15"/>
  <c r="R11" i="15"/>
  <c r="Q11" i="15"/>
  <c r="P11" i="15"/>
  <c r="O11" i="15"/>
  <c r="N11" i="15"/>
  <c r="M11" i="15"/>
  <c r="L11" i="15"/>
  <c r="K11" i="15"/>
  <c r="J11" i="15"/>
  <c r="I11" i="15"/>
  <c r="H11" i="15"/>
  <c r="G11" i="15"/>
  <c r="F11" i="15"/>
  <c r="AE10" i="15"/>
  <c r="AC10" i="15"/>
  <c r="AB10" i="15"/>
  <c r="AA10" i="15"/>
  <c r="Z10" i="15"/>
  <c r="Y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AE9" i="15"/>
  <c r="AC9" i="15"/>
  <c r="AB9" i="15"/>
  <c r="AA9" i="15"/>
  <c r="Z9" i="15"/>
  <c r="Y9" i="15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AE8" i="15"/>
  <c r="AC8" i="15"/>
  <c r="AB8" i="15"/>
  <c r="AA8" i="15"/>
  <c r="Z8" i="15"/>
  <c r="Y8" i="15"/>
  <c r="X8" i="15"/>
  <c r="W8" i="15"/>
  <c r="V8" i="15"/>
  <c r="U8" i="15"/>
  <c r="T8" i="15"/>
  <c r="S8" i="15"/>
  <c r="R8" i="15"/>
  <c r="Q8" i="15"/>
  <c r="P8" i="15"/>
  <c r="O8" i="15"/>
  <c r="N8" i="15"/>
  <c r="M8" i="15"/>
  <c r="L8" i="15"/>
  <c r="K8" i="15"/>
  <c r="J8" i="15"/>
  <c r="I8" i="15"/>
  <c r="H8" i="15"/>
  <c r="G8" i="15"/>
  <c r="F8" i="15"/>
  <c r="AE7" i="15"/>
  <c r="AC7" i="15"/>
  <c r="AB7" i="15"/>
  <c r="AA7" i="15"/>
  <c r="Z7" i="15"/>
  <c r="Y7" i="15"/>
  <c r="X7" i="15"/>
  <c r="W7" i="15"/>
  <c r="V7" i="15"/>
  <c r="U7" i="15"/>
  <c r="T7" i="15"/>
  <c r="S7" i="15"/>
  <c r="R7" i="15"/>
  <c r="Q7" i="15"/>
  <c r="P7" i="15"/>
  <c r="O7" i="15"/>
  <c r="N7" i="15"/>
  <c r="M7" i="15"/>
  <c r="L7" i="15"/>
  <c r="K7" i="15"/>
  <c r="J7" i="15"/>
  <c r="I7" i="15"/>
  <c r="H7" i="15"/>
  <c r="G7" i="15"/>
  <c r="F7" i="15"/>
  <c r="AE6" i="15"/>
  <c r="AC6" i="15"/>
  <c r="AB6" i="15"/>
  <c r="AA6" i="15"/>
  <c r="Z6" i="15"/>
  <c r="Y6" i="15"/>
  <c r="X6" i="15"/>
  <c r="W6" i="15"/>
  <c r="V6" i="15"/>
  <c r="U6" i="15"/>
  <c r="T6" i="15"/>
  <c r="S6" i="15"/>
  <c r="R6" i="15"/>
  <c r="Q6" i="15"/>
  <c r="P6" i="15"/>
  <c r="O6" i="15"/>
  <c r="N6" i="15"/>
  <c r="M6" i="15"/>
  <c r="L6" i="15"/>
  <c r="K6" i="15"/>
  <c r="J6" i="15"/>
  <c r="I6" i="15"/>
  <c r="H6" i="15"/>
  <c r="G6" i="15"/>
  <c r="F6" i="15"/>
  <c r="AE5" i="15"/>
  <c r="AC5" i="15"/>
  <c r="AB5" i="15"/>
  <c r="AA5" i="15"/>
  <c r="Z5" i="15"/>
  <c r="Y5" i="15"/>
  <c r="X5" i="15"/>
  <c r="W5" i="15"/>
  <c r="V5" i="15"/>
  <c r="U5" i="15"/>
  <c r="T5" i="15"/>
  <c r="S5" i="15"/>
  <c r="R5" i="15"/>
  <c r="Q5" i="15"/>
  <c r="P5" i="15"/>
  <c r="O5" i="15"/>
  <c r="N5" i="15"/>
  <c r="M5" i="15"/>
  <c r="L5" i="15"/>
  <c r="K5" i="15"/>
  <c r="J5" i="15"/>
  <c r="I5" i="15"/>
  <c r="H5" i="15"/>
  <c r="G5" i="15"/>
  <c r="F5" i="15"/>
  <c r="AE4" i="15"/>
  <c r="AC4" i="15"/>
  <c r="AB4" i="15"/>
  <c r="AA4" i="15"/>
  <c r="Z4" i="15"/>
  <c r="Y4" i="15"/>
  <c r="X4" i="15"/>
  <c r="W4" i="15"/>
  <c r="V4" i="15"/>
  <c r="U4" i="15"/>
  <c r="T4" i="15"/>
  <c r="S4" i="15"/>
  <c r="R4" i="15"/>
  <c r="Q4" i="15"/>
  <c r="P4" i="15"/>
  <c r="O4" i="15"/>
  <c r="N4" i="15"/>
  <c r="M4" i="15"/>
  <c r="L4" i="15"/>
  <c r="K4" i="15"/>
  <c r="J4" i="15"/>
  <c r="I4" i="15"/>
  <c r="H4" i="15"/>
  <c r="G4" i="15"/>
  <c r="F4" i="15"/>
  <c r="AE3" i="15"/>
  <c r="AC3" i="15"/>
  <c r="AB3" i="15"/>
  <c r="AA3" i="15"/>
  <c r="Z3" i="15"/>
  <c r="Y3" i="15"/>
  <c r="X3" i="15"/>
  <c r="W3" i="15"/>
  <c r="V3" i="15"/>
  <c r="U3" i="15"/>
  <c r="T3" i="15"/>
  <c r="S3" i="15"/>
  <c r="R3" i="15"/>
  <c r="Q3" i="15"/>
  <c r="P3" i="15"/>
  <c r="O3" i="15"/>
  <c r="N3" i="15"/>
  <c r="M3" i="15"/>
  <c r="L3" i="15"/>
  <c r="K3" i="15"/>
  <c r="J3" i="15"/>
  <c r="I3" i="15"/>
  <c r="H3" i="15"/>
  <c r="G3" i="15"/>
  <c r="F3" i="15"/>
  <c r="AE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AE1" i="15"/>
  <c r="AC1" i="15"/>
  <c r="AB1" i="15"/>
  <c r="AA1" i="15"/>
  <c r="Z1" i="15"/>
  <c r="Y1" i="15"/>
  <c r="X1" i="15"/>
  <c r="W1" i="15"/>
  <c r="V1" i="15"/>
  <c r="U1" i="15"/>
  <c r="T1" i="15"/>
  <c r="S1" i="15"/>
  <c r="R1" i="15"/>
  <c r="Q1" i="15"/>
  <c r="P1" i="15"/>
  <c r="O1" i="15"/>
  <c r="N1" i="15"/>
  <c r="M1" i="15"/>
  <c r="L1" i="15"/>
  <c r="K1" i="15"/>
  <c r="J1" i="15"/>
  <c r="I1" i="15"/>
  <c r="H1" i="15"/>
  <c r="G1" i="15"/>
  <c r="F1" i="15"/>
  <c r="AE365" i="14"/>
  <c r="AC365" i="14"/>
  <c r="AB365" i="14"/>
  <c r="AA365" i="14"/>
  <c r="Z365" i="14"/>
  <c r="Y365" i="14"/>
  <c r="X365" i="14"/>
  <c r="W365" i="14"/>
  <c r="V365" i="14"/>
  <c r="U365" i="14"/>
  <c r="T365" i="14"/>
  <c r="S365" i="14"/>
  <c r="R365" i="14"/>
  <c r="Q365" i="14"/>
  <c r="P365" i="14"/>
  <c r="O365" i="14"/>
  <c r="N365" i="14"/>
  <c r="M365" i="14"/>
  <c r="L365" i="14"/>
  <c r="K365" i="14"/>
  <c r="J365" i="14"/>
  <c r="I365" i="14"/>
  <c r="H365" i="14"/>
  <c r="G365" i="14"/>
  <c r="F365" i="14"/>
  <c r="AE364" i="14"/>
  <c r="AC364" i="14"/>
  <c r="AB364" i="14"/>
  <c r="AA364" i="14"/>
  <c r="Z364" i="14"/>
  <c r="Y364" i="14"/>
  <c r="X364" i="14"/>
  <c r="W364" i="14"/>
  <c r="V364" i="14"/>
  <c r="U364" i="14"/>
  <c r="T364" i="14"/>
  <c r="S364" i="14"/>
  <c r="R364" i="14"/>
  <c r="Q364" i="14"/>
  <c r="P364" i="14"/>
  <c r="O364" i="14"/>
  <c r="N364" i="14"/>
  <c r="M364" i="14"/>
  <c r="L364" i="14"/>
  <c r="K364" i="14"/>
  <c r="J364" i="14"/>
  <c r="I364" i="14"/>
  <c r="H364" i="14"/>
  <c r="G364" i="14"/>
  <c r="F364" i="14"/>
  <c r="AE363" i="14"/>
  <c r="AC363" i="14"/>
  <c r="AB363" i="14"/>
  <c r="AA363" i="14"/>
  <c r="Z363" i="14"/>
  <c r="Y363" i="14"/>
  <c r="X363" i="14"/>
  <c r="W363" i="14"/>
  <c r="V363" i="14"/>
  <c r="U363" i="14"/>
  <c r="T363" i="14"/>
  <c r="S363" i="14"/>
  <c r="R363" i="14"/>
  <c r="Q363" i="14"/>
  <c r="P363" i="14"/>
  <c r="O363" i="14"/>
  <c r="N363" i="14"/>
  <c r="M363" i="14"/>
  <c r="L363" i="14"/>
  <c r="K363" i="14"/>
  <c r="J363" i="14"/>
  <c r="I363" i="14"/>
  <c r="H363" i="14"/>
  <c r="G363" i="14"/>
  <c r="F363" i="14"/>
  <c r="AE362" i="14"/>
  <c r="AC362" i="14"/>
  <c r="AB362" i="14"/>
  <c r="AA362" i="14"/>
  <c r="Z362" i="14"/>
  <c r="Y362" i="14"/>
  <c r="X362" i="14"/>
  <c r="W362" i="14"/>
  <c r="V362" i="14"/>
  <c r="U362" i="14"/>
  <c r="T362" i="14"/>
  <c r="S362" i="14"/>
  <c r="R362" i="14"/>
  <c r="Q362" i="14"/>
  <c r="P362" i="14"/>
  <c r="O362" i="14"/>
  <c r="N362" i="14"/>
  <c r="M362" i="14"/>
  <c r="L362" i="14"/>
  <c r="K362" i="14"/>
  <c r="J362" i="14"/>
  <c r="I362" i="14"/>
  <c r="H362" i="14"/>
  <c r="G362" i="14"/>
  <c r="F362" i="14"/>
  <c r="AE361" i="14"/>
  <c r="AC361" i="14"/>
  <c r="AB361" i="14"/>
  <c r="AA361" i="14"/>
  <c r="Z361" i="14"/>
  <c r="Y361" i="14"/>
  <c r="X361" i="14"/>
  <c r="W361" i="14"/>
  <c r="V361" i="14"/>
  <c r="U361" i="14"/>
  <c r="T361" i="14"/>
  <c r="S361" i="14"/>
  <c r="R361" i="14"/>
  <c r="Q361" i="14"/>
  <c r="P361" i="14"/>
  <c r="O361" i="14"/>
  <c r="N361" i="14"/>
  <c r="M361" i="14"/>
  <c r="L361" i="14"/>
  <c r="K361" i="14"/>
  <c r="J361" i="14"/>
  <c r="I361" i="14"/>
  <c r="H361" i="14"/>
  <c r="G361" i="14"/>
  <c r="F361" i="14"/>
  <c r="AE360" i="14"/>
  <c r="AC360" i="14"/>
  <c r="AB360" i="14"/>
  <c r="AA360" i="14"/>
  <c r="Z360" i="14"/>
  <c r="Y360" i="14"/>
  <c r="X360" i="14"/>
  <c r="W360" i="14"/>
  <c r="V360" i="14"/>
  <c r="U360" i="14"/>
  <c r="T360" i="14"/>
  <c r="S360" i="14"/>
  <c r="R360" i="14"/>
  <c r="Q360" i="14"/>
  <c r="P360" i="14"/>
  <c r="O360" i="14"/>
  <c r="N360" i="14"/>
  <c r="M360" i="14"/>
  <c r="L360" i="14"/>
  <c r="K360" i="14"/>
  <c r="J360" i="14"/>
  <c r="I360" i="14"/>
  <c r="H360" i="14"/>
  <c r="G360" i="14"/>
  <c r="F360" i="14"/>
  <c r="AE359" i="14"/>
  <c r="AC359" i="14"/>
  <c r="AB359" i="14"/>
  <c r="AA359" i="14"/>
  <c r="Z359" i="14"/>
  <c r="Y359" i="14"/>
  <c r="X359" i="14"/>
  <c r="W359" i="14"/>
  <c r="V359" i="14"/>
  <c r="U359" i="14"/>
  <c r="T359" i="14"/>
  <c r="S359" i="14"/>
  <c r="R359" i="14"/>
  <c r="Q359" i="14"/>
  <c r="P359" i="14"/>
  <c r="O359" i="14"/>
  <c r="N359" i="14"/>
  <c r="M359" i="14"/>
  <c r="L359" i="14"/>
  <c r="K359" i="14"/>
  <c r="J359" i="14"/>
  <c r="I359" i="14"/>
  <c r="H359" i="14"/>
  <c r="G359" i="14"/>
  <c r="F359" i="14"/>
  <c r="AE358" i="14"/>
  <c r="AC358" i="14"/>
  <c r="AB358" i="14"/>
  <c r="AA358" i="14"/>
  <c r="Z358" i="14"/>
  <c r="Y358" i="14"/>
  <c r="X358" i="14"/>
  <c r="W358" i="14"/>
  <c r="V358" i="14"/>
  <c r="U358" i="14"/>
  <c r="T358" i="14"/>
  <c r="S358" i="14"/>
  <c r="R358" i="14"/>
  <c r="Q358" i="14"/>
  <c r="P358" i="14"/>
  <c r="O358" i="14"/>
  <c r="N358" i="14"/>
  <c r="M358" i="14"/>
  <c r="L358" i="14"/>
  <c r="K358" i="14"/>
  <c r="J358" i="14"/>
  <c r="I358" i="14"/>
  <c r="H358" i="14"/>
  <c r="G358" i="14"/>
  <c r="F358" i="14"/>
  <c r="AE357" i="14"/>
  <c r="AC357" i="14"/>
  <c r="AB357" i="14"/>
  <c r="AA357" i="14"/>
  <c r="Z357" i="14"/>
  <c r="Y357" i="14"/>
  <c r="X357" i="14"/>
  <c r="W357" i="14"/>
  <c r="V357" i="14"/>
  <c r="U357" i="14"/>
  <c r="T357" i="14"/>
  <c r="S357" i="14"/>
  <c r="R357" i="14"/>
  <c r="Q357" i="14"/>
  <c r="P357" i="14"/>
  <c r="O357" i="14"/>
  <c r="N357" i="14"/>
  <c r="M357" i="14"/>
  <c r="L357" i="14"/>
  <c r="K357" i="14"/>
  <c r="J357" i="14"/>
  <c r="I357" i="14"/>
  <c r="H357" i="14"/>
  <c r="G357" i="14"/>
  <c r="F357" i="14"/>
  <c r="AE356" i="14"/>
  <c r="AC356" i="14"/>
  <c r="AB356" i="14"/>
  <c r="AA356" i="14"/>
  <c r="Z356" i="14"/>
  <c r="Y356" i="14"/>
  <c r="X356" i="14"/>
  <c r="W356" i="14"/>
  <c r="V356" i="14"/>
  <c r="U356" i="14"/>
  <c r="T356" i="14"/>
  <c r="S356" i="14"/>
  <c r="R356" i="14"/>
  <c r="Q356" i="14"/>
  <c r="P356" i="14"/>
  <c r="O356" i="14"/>
  <c r="N356" i="14"/>
  <c r="M356" i="14"/>
  <c r="L356" i="14"/>
  <c r="K356" i="14"/>
  <c r="J356" i="14"/>
  <c r="I356" i="14"/>
  <c r="H356" i="14"/>
  <c r="G356" i="14"/>
  <c r="F356" i="14"/>
  <c r="AE355" i="14"/>
  <c r="AC355" i="14"/>
  <c r="AB355" i="14"/>
  <c r="AA355" i="14"/>
  <c r="Z355" i="14"/>
  <c r="Y355" i="14"/>
  <c r="X355" i="14"/>
  <c r="W355" i="14"/>
  <c r="V355" i="14"/>
  <c r="U355" i="14"/>
  <c r="T355" i="14"/>
  <c r="S355" i="14"/>
  <c r="R355" i="14"/>
  <c r="Q355" i="14"/>
  <c r="P355" i="14"/>
  <c r="O355" i="14"/>
  <c r="N355" i="14"/>
  <c r="M355" i="14"/>
  <c r="L355" i="14"/>
  <c r="K355" i="14"/>
  <c r="J355" i="14"/>
  <c r="I355" i="14"/>
  <c r="H355" i="14"/>
  <c r="G355" i="14"/>
  <c r="F355" i="14"/>
  <c r="AE354" i="14"/>
  <c r="AC354" i="14"/>
  <c r="AB354" i="14"/>
  <c r="AA354" i="14"/>
  <c r="Z354" i="14"/>
  <c r="Y354" i="14"/>
  <c r="X354" i="14"/>
  <c r="W354" i="14"/>
  <c r="V354" i="14"/>
  <c r="U354" i="14"/>
  <c r="T354" i="14"/>
  <c r="S354" i="14"/>
  <c r="R354" i="14"/>
  <c r="Q354" i="14"/>
  <c r="P354" i="14"/>
  <c r="O354" i="14"/>
  <c r="N354" i="14"/>
  <c r="M354" i="14"/>
  <c r="L354" i="14"/>
  <c r="K354" i="14"/>
  <c r="J354" i="14"/>
  <c r="I354" i="14"/>
  <c r="H354" i="14"/>
  <c r="G354" i="14"/>
  <c r="F354" i="14"/>
  <c r="AE353" i="14"/>
  <c r="AC353" i="14"/>
  <c r="AB353" i="14"/>
  <c r="AA353" i="14"/>
  <c r="Z353" i="14"/>
  <c r="Y353" i="14"/>
  <c r="X353" i="14"/>
  <c r="W353" i="14"/>
  <c r="V353" i="14"/>
  <c r="U353" i="14"/>
  <c r="T353" i="14"/>
  <c r="S353" i="14"/>
  <c r="R353" i="14"/>
  <c r="Q353" i="14"/>
  <c r="P353" i="14"/>
  <c r="O353" i="14"/>
  <c r="N353" i="14"/>
  <c r="M353" i="14"/>
  <c r="L353" i="14"/>
  <c r="K353" i="14"/>
  <c r="J353" i="14"/>
  <c r="I353" i="14"/>
  <c r="H353" i="14"/>
  <c r="G353" i="14"/>
  <c r="F353" i="14"/>
  <c r="AE352" i="14"/>
  <c r="AC352" i="14"/>
  <c r="AB352" i="14"/>
  <c r="AA352" i="14"/>
  <c r="Z352" i="14"/>
  <c r="Y352" i="14"/>
  <c r="X352" i="14"/>
  <c r="W352" i="14"/>
  <c r="V352" i="14"/>
  <c r="U352" i="14"/>
  <c r="T352" i="14"/>
  <c r="S352" i="14"/>
  <c r="R352" i="14"/>
  <c r="Q352" i="14"/>
  <c r="P352" i="14"/>
  <c r="O352" i="14"/>
  <c r="N352" i="14"/>
  <c r="M352" i="14"/>
  <c r="L352" i="14"/>
  <c r="K352" i="14"/>
  <c r="J352" i="14"/>
  <c r="I352" i="14"/>
  <c r="H352" i="14"/>
  <c r="G352" i="14"/>
  <c r="F352" i="14"/>
  <c r="AE351" i="14"/>
  <c r="AC351" i="14"/>
  <c r="AB351" i="14"/>
  <c r="AA351" i="14"/>
  <c r="Z351" i="14"/>
  <c r="Y351" i="14"/>
  <c r="X351" i="14"/>
  <c r="W351" i="14"/>
  <c r="V351" i="14"/>
  <c r="U351" i="14"/>
  <c r="T351" i="14"/>
  <c r="S351" i="14"/>
  <c r="R351" i="14"/>
  <c r="Q351" i="14"/>
  <c r="P351" i="14"/>
  <c r="O351" i="14"/>
  <c r="N351" i="14"/>
  <c r="M351" i="14"/>
  <c r="L351" i="14"/>
  <c r="K351" i="14"/>
  <c r="J351" i="14"/>
  <c r="I351" i="14"/>
  <c r="H351" i="14"/>
  <c r="G351" i="14"/>
  <c r="F351" i="14"/>
  <c r="AE350" i="14"/>
  <c r="AC350" i="14"/>
  <c r="AB350" i="14"/>
  <c r="AA350" i="14"/>
  <c r="Z350" i="14"/>
  <c r="Y350" i="14"/>
  <c r="X350" i="14"/>
  <c r="W350" i="14"/>
  <c r="V350" i="14"/>
  <c r="U350" i="14"/>
  <c r="T350" i="14"/>
  <c r="S350" i="14"/>
  <c r="R350" i="14"/>
  <c r="Q350" i="14"/>
  <c r="P350" i="14"/>
  <c r="O350" i="14"/>
  <c r="N350" i="14"/>
  <c r="M350" i="14"/>
  <c r="L350" i="14"/>
  <c r="K350" i="14"/>
  <c r="J350" i="14"/>
  <c r="I350" i="14"/>
  <c r="H350" i="14"/>
  <c r="G350" i="14"/>
  <c r="F350" i="14"/>
  <c r="AE349" i="14"/>
  <c r="AC349" i="14"/>
  <c r="AB349" i="14"/>
  <c r="AA349" i="14"/>
  <c r="Z349" i="14"/>
  <c r="Y349" i="14"/>
  <c r="X349" i="14"/>
  <c r="W349" i="14"/>
  <c r="V349" i="14"/>
  <c r="U349" i="14"/>
  <c r="T349" i="14"/>
  <c r="S349" i="14"/>
  <c r="R349" i="14"/>
  <c r="Q349" i="14"/>
  <c r="P349" i="14"/>
  <c r="O349" i="14"/>
  <c r="N349" i="14"/>
  <c r="M349" i="14"/>
  <c r="L349" i="14"/>
  <c r="K349" i="14"/>
  <c r="J349" i="14"/>
  <c r="I349" i="14"/>
  <c r="H349" i="14"/>
  <c r="G349" i="14"/>
  <c r="F349" i="14"/>
  <c r="AE348" i="14"/>
  <c r="AC348" i="14"/>
  <c r="AB348" i="14"/>
  <c r="AA348" i="14"/>
  <c r="Z348" i="14"/>
  <c r="Y348" i="14"/>
  <c r="X348" i="14"/>
  <c r="W348" i="14"/>
  <c r="V348" i="14"/>
  <c r="U348" i="14"/>
  <c r="T348" i="14"/>
  <c r="S348" i="14"/>
  <c r="R348" i="14"/>
  <c r="Q348" i="14"/>
  <c r="P348" i="14"/>
  <c r="O348" i="14"/>
  <c r="N348" i="14"/>
  <c r="M348" i="14"/>
  <c r="L348" i="14"/>
  <c r="K348" i="14"/>
  <c r="J348" i="14"/>
  <c r="I348" i="14"/>
  <c r="H348" i="14"/>
  <c r="G348" i="14"/>
  <c r="F348" i="14"/>
  <c r="AE347" i="14"/>
  <c r="AC347" i="14"/>
  <c r="AB347" i="14"/>
  <c r="AA347" i="14"/>
  <c r="Z347" i="14"/>
  <c r="Y347" i="14"/>
  <c r="X347" i="14"/>
  <c r="W347" i="14"/>
  <c r="V347" i="14"/>
  <c r="U347" i="14"/>
  <c r="T347" i="14"/>
  <c r="S347" i="14"/>
  <c r="R347" i="14"/>
  <c r="Q347" i="14"/>
  <c r="P347" i="14"/>
  <c r="O347" i="14"/>
  <c r="N347" i="14"/>
  <c r="M347" i="14"/>
  <c r="L347" i="14"/>
  <c r="K347" i="14"/>
  <c r="J347" i="14"/>
  <c r="I347" i="14"/>
  <c r="H347" i="14"/>
  <c r="G347" i="14"/>
  <c r="F347" i="14"/>
  <c r="AE346" i="14"/>
  <c r="AC346" i="14"/>
  <c r="AB346" i="14"/>
  <c r="AA346" i="14"/>
  <c r="Z346" i="14"/>
  <c r="Y346" i="14"/>
  <c r="X346" i="14"/>
  <c r="W346" i="14"/>
  <c r="V346" i="14"/>
  <c r="U346" i="14"/>
  <c r="T346" i="14"/>
  <c r="S346" i="14"/>
  <c r="R346" i="14"/>
  <c r="Q346" i="14"/>
  <c r="P346" i="14"/>
  <c r="O346" i="14"/>
  <c r="N346" i="14"/>
  <c r="M346" i="14"/>
  <c r="L346" i="14"/>
  <c r="K346" i="14"/>
  <c r="J346" i="14"/>
  <c r="I346" i="14"/>
  <c r="H346" i="14"/>
  <c r="G346" i="14"/>
  <c r="F346" i="14"/>
  <c r="AE345" i="14"/>
  <c r="AC345" i="14"/>
  <c r="AB345" i="14"/>
  <c r="AA345" i="14"/>
  <c r="Z345" i="14"/>
  <c r="Y345" i="14"/>
  <c r="X345" i="14"/>
  <c r="W345" i="14"/>
  <c r="V345" i="14"/>
  <c r="U345" i="14"/>
  <c r="T345" i="14"/>
  <c r="S345" i="14"/>
  <c r="R345" i="14"/>
  <c r="Q345" i="14"/>
  <c r="P345" i="14"/>
  <c r="O345" i="14"/>
  <c r="N345" i="14"/>
  <c r="M345" i="14"/>
  <c r="L345" i="14"/>
  <c r="K345" i="14"/>
  <c r="J345" i="14"/>
  <c r="I345" i="14"/>
  <c r="H345" i="14"/>
  <c r="G345" i="14"/>
  <c r="F345" i="14"/>
  <c r="AE344" i="14"/>
  <c r="AC344" i="14"/>
  <c r="AB344" i="14"/>
  <c r="AA344" i="14"/>
  <c r="Z344" i="14"/>
  <c r="Y344" i="14"/>
  <c r="X344" i="14"/>
  <c r="W344" i="14"/>
  <c r="V344" i="14"/>
  <c r="U344" i="14"/>
  <c r="T344" i="14"/>
  <c r="S344" i="14"/>
  <c r="R344" i="14"/>
  <c r="Q344" i="14"/>
  <c r="P344" i="14"/>
  <c r="O344" i="14"/>
  <c r="N344" i="14"/>
  <c r="M344" i="14"/>
  <c r="L344" i="14"/>
  <c r="K344" i="14"/>
  <c r="J344" i="14"/>
  <c r="I344" i="14"/>
  <c r="H344" i="14"/>
  <c r="G344" i="14"/>
  <c r="F344" i="14"/>
  <c r="AE343" i="14"/>
  <c r="AC343" i="14"/>
  <c r="AB343" i="14"/>
  <c r="AA343" i="14"/>
  <c r="Z343" i="14"/>
  <c r="Y343" i="14"/>
  <c r="X343" i="14"/>
  <c r="W343" i="14"/>
  <c r="V343" i="14"/>
  <c r="U343" i="14"/>
  <c r="T343" i="14"/>
  <c r="S343" i="14"/>
  <c r="R343" i="14"/>
  <c r="Q343" i="14"/>
  <c r="P343" i="14"/>
  <c r="O343" i="14"/>
  <c r="N343" i="14"/>
  <c r="M343" i="14"/>
  <c r="L343" i="14"/>
  <c r="K343" i="14"/>
  <c r="J343" i="14"/>
  <c r="I343" i="14"/>
  <c r="H343" i="14"/>
  <c r="G343" i="14"/>
  <c r="F343" i="14"/>
  <c r="AE342" i="14"/>
  <c r="AC342" i="14"/>
  <c r="AB342" i="14"/>
  <c r="AA342" i="14"/>
  <c r="Z342" i="14"/>
  <c r="Y342" i="14"/>
  <c r="X342" i="14"/>
  <c r="W342" i="14"/>
  <c r="V342" i="14"/>
  <c r="U342" i="14"/>
  <c r="T342" i="14"/>
  <c r="S342" i="14"/>
  <c r="R342" i="14"/>
  <c r="Q342" i="14"/>
  <c r="P342" i="14"/>
  <c r="O342" i="14"/>
  <c r="N342" i="14"/>
  <c r="M342" i="14"/>
  <c r="L342" i="14"/>
  <c r="K342" i="14"/>
  <c r="J342" i="14"/>
  <c r="I342" i="14"/>
  <c r="H342" i="14"/>
  <c r="G342" i="14"/>
  <c r="F342" i="14"/>
  <c r="AE341" i="14"/>
  <c r="AC341" i="14"/>
  <c r="AB341" i="14"/>
  <c r="AA341" i="14"/>
  <c r="Z341" i="14"/>
  <c r="Y341" i="14"/>
  <c r="X341" i="14"/>
  <c r="W341" i="14"/>
  <c r="V341" i="14"/>
  <c r="U341" i="14"/>
  <c r="T341" i="14"/>
  <c r="S341" i="14"/>
  <c r="R341" i="14"/>
  <c r="Q341" i="14"/>
  <c r="P341" i="14"/>
  <c r="O341" i="14"/>
  <c r="N341" i="14"/>
  <c r="M341" i="14"/>
  <c r="L341" i="14"/>
  <c r="K341" i="14"/>
  <c r="J341" i="14"/>
  <c r="I341" i="14"/>
  <c r="H341" i="14"/>
  <c r="G341" i="14"/>
  <c r="F341" i="14"/>
  <c r="AE340" i="14"/>
  <c r="AC340" i="14"/>
  <c r="AB340" i="14"/>
  <c r="AA340" i="14"/>
  <c r="Z340" i="14"/>
  <c r="Y340" i="14"/>
  <c r="X340" i="14"/>
  <c r="W340" i="14"/>
  <c r="V340" i="14"/>
  <c r="U340" i="14"/>
  <c r="T340" i="14"/>
  <c r="S340" i="14"/>
  <c r="R340" i="14"/>
  <c r="Q340" i="14"/>
  <c r="P340" i="14"/>
  <c r="O340" i="14"/>
  <c r="N340" i="14"/>
  <c r="M340" i="14"/>
  <c r="L340" i="14"/>
  <c r="K340" i="14"/>
  <c r="J340" i="14"/>
  <c r="I340" i="14"/>
  <c r="H340" i="14"/>
  <c r="G340" i="14"/>
  <c r="F340" i="14"/>
  <c r="AE339" i="14"/>
  <c r="AC339" i="14"/>
  <c r="AB339" i="14"/>
  <c r="AA339" i="14"/>
  <c r="Z339" i="14"/>
  <c r="Y339" i="14"/>
  <c r="X339" i="14"/>
  <c r="W339" i="14"/>
  <c r="V339" i="14"/>
  <c r="U339" i="14"/>
  <c r="T339" i="14"/>
  <c r="S339" i="14"/>
  <c r="R339" i="14"/>
  <c r="Q339" i="14"/>
  <c r="P339" i="14"/>
  <c r="O339" i="14"/>
  <c r="N339" i="14"/>
  <c r="M339" i="14"/>
  <c r="L339" i="14"/>
  <c r="K339" i="14"/>
  <c r="J339" i="14"/>
  <c r="I339" i="14"/>
  <c r="H339" i="14"/>
  <c r="G339" i="14"/>
  <c r="F339" i="14"/>
  <c r="AE338" i="14"/>
  <c r="AC338" i="14"/>
  <c r="AB338" i="14"/>
  <c r="AA338" i="14"/>
  <c r="Z338" i="14"/>
  <c r="Y338" i="14"/>
  <c r="X338" i="14"/>
  <c r="W338" i="14"/>
  <c r="V338" i="14"/>
  <c r="U338" i="14"/>
  <c r="T338" i="14"/>
  <c r="S338" i="14"/>
  <c r="R338" i="14"/>
  <c r="Q338" i="14"/>
  <c r="P338" i="14"/>
  <c r="O338" i="14"/>
  <c r="N338" i="14"/>
  <c r="M338" i="14"/>
  <c r="L338" i="14"/>
  <c r="K338" i="14"/>
  <c r="J338" i="14"/>
  <c r="I338" i="14"/>
  <c r="H338" i="14"/>
  <c r="G338" i="14"/>
  <c r="F338" i="14"/>
  <c r="AE337" i="14"/>
  <c r="AC337" i="14"/>
  <c r="AB337" i="14"/>
  <c r="AA337" i="14"/>
  <c r="Z337" i="14"/>
  <c r="Y337" i="14"/>
  <c r="X337" i="14"/>
  <c r="W337" i="14"/>
  <c r="V337" i="14"/>
  <c r="U337" i="14"/>
  <c r="T337" i="14"/>
  <c r="S337" i="14"/>
  <c r="R337" i="14"/>
  <c r="Q337" i="14"/>
  <c r="P337" i="14"/>
  <c r="O337" i="14"/>
  <c r="N337" i="14"/>
  <c r="M337" i="14"/>
  <c r="L337" i="14"/>
  <c r="K337" i="14"/>
  <c r="J337" i="14"/>
  <c r="I337" i="14"/>
  <c r="H337" i="14"/>
  <c r="G337" i="14"/>
  <c r="F337" i="14"/>
  <c r="AE336" i="14"/>
  <c r="AC336" i="14"/>
  <c r="AB336" i="14"/>
  <c r="AA336" i="14"/>
  <c r="Z336" i="14"/>
  <c r="Y336" i="14"/>
  <c r="X336" i="14"/>
  <c r="W336" i="14"/>
  <c r="V336" i="14"/>
  <c r="U336" i="14"/>
  <c r="T336" i="14"/>
  <c r="S336" i="14"/>
  <c r="R336" i="14"/>
  <c r="Q336" i="14"/>
  <c r="P336" i="14"/>
  <c r="O336" i="14"/>
  <c r="N336" i="14"/>
  <c r="M336" i="14"/>
  <c r="L336" i="14"/>
  <c r="K336" i="14"/>
  <c r="J336" i="14"/>
  <c r="I336" i="14"/>
  <c r="H336" i="14"/>
  <c r="G336" i="14"/>
  <c r="F336" i="14"/>
  <c r="AE335" i="14"/>
  <c r="AC335" i="14"/>
  <c r="AB335" i="14"/>
  <c r="AA335" i="14"/>
  <c r="Z335" i="14"/>
  <c r="Y335" i="14"/>
  <c r="X335" i="14"/>
  <c r="W335" i="14"/>
  <c r="V335" i="14"/>
  <c r="U335" i="14"/>
  <c r="T335" i="14"/>
  <c r="S335" i="14"/>
  <c r="R335" i="14"/>
  <c r="Q335" i="14"/>
  <c r="P335" i="14"/>
  <c r="O335" i="14"/>
  <c r="N335" i="14"/>
  <c r="M335" i="14"/>
  <c r="L335" i="14"/>
  <c r="K335" i="14"/>
  <c r="J335" i="14"/>
  <c r="I335" i="14"/>
  <c r="H335" i="14"/>
  <c r="G335" i="14"/>
  <c r="F335" i="14"/>
  <c r="AE334" i="14"/>
  <c r="AC334" i="14"/>
  <c r="AB334" i="14"/>
  <c r="AA334" i="14"/>
  <c r="Z334" i="14"/>
  <c r="Y334" i="14"/>
  <c r="X334" i="14"/>
  <c r="W334" i="14"/>
  <c r="V334" i="14"/>
  <c r="U334" i="14"/>
  <c r="T334" i="14"/>
  <c r="S334" i="14"/>
  <c r="R334" i="14"/>
  <c r="Q334" i="14"/>
  <c r="P334" i="14"/>
  <c r="O334" i="14"/>
  <c r="N334" i="14"/>
  <c r="M334" i="14"/>
  <c r="L334" i="14"/>
  <c r="K334" i="14"/>
  <c r="J334" i="14"/>
  <c r="I334" i="14"/>
  <c r="H334" i="14"/>
  <c r="G334" i="14"/>
  <c r="F334" i="14"/>
  <c r="AE333" i="14"/>
  <c r="AC333" i="14"/>
  <c r="AB333" i="14"/>
  <c r="AA333" i="14"/>
  <c r="Z333" i="14"/>
  <c r="Y333" i="14"/>
  <c r="X333" i="14"/>
  <c r="W333" i="14"/>
  <c r="V333" i="14"/>
  <c r="U333" i="14"/>
  <c r="T333" i="14"/>
  <c r="S333" i="14"/>
  <c r="R333" i="14"/>
  <c r="Q333" i="14"/>
  <c r="P333" i="14"/>
  <c r="O333" i="14"/>
  <c r="N333" i="14"/>
  <c r="M333" i="14"/>
  <c r="L333" i="14"/>
  <c r="K333" i="14"/>
  <c r="J333" i="14"/>
  <c r="I333" i="14"/>
  <c r="H333" i="14"/>
  <c r="G333" i="14"/>
  <c r="F333" i="14"/>
  <c r="AE332" i="14"/>
  <c r="AC332" i="14"/>
  <c r="AB332" i="14"/>
  <c r="AA332" i="14"/>
  <c r="Z332" i="14"/>
  <c r="Y332" i="14"/>
  <c r="X332" i="14"/>
  <c r="W332" i="14"/>
  <c r="V332" i="14"/>
  <c r="U332" i="14"/>
  <c r="T332" i="14"/>
  <c r="S332" i="14"/>
  <c r="R332" i="14"/>
  <c r="Q332" i="14"/>
  <c r="P332" i="14"/>
  <c r="O332" i="14"/>
  <c r="N332" i="14"/>
  <c r="M332" i="14"/>
  <c r="L332" i="14"/>
  <c r="K332" i="14"/>
  <c r="J332" i="14"/>
  <c r="I332" i="14"/>
  <c r="H332" i="14"/>
  <c r="G332" i="14"/>
  <c r="F332" i="14"/>
  <c r="AE331" i="14"/>
  <c r="AC331" i="14"/>
  <c r="AB331" i="14"/>
  <c r="AA331" i="14"/>
  <c r="Z331" i="14"/>
  <c r="Y331" i="14"/>
  <c r="X331" i="14"/>
  <c r="W331" i="14"/>
  <c r="V331" i="14"/>
  <c r="U331" i="14"/>
  <c r="T331" i="14"/>
  <c r="S331" i="14"/>
  <c r="R331" i="14"/>
  <c r="Q331" i="14"/>
  <c r="P331" i="14"/>
  <c r="O331" i="14"/>
  <c r="N331" i="14"/>
  <c r="M331" i="14"/>
  <c r="L331" i="14"/>
  <c r="K331" i="14"/>
  <c r="J331" i="14"/>
  <c r="I331" i="14"/>
  <c r="H331" i="14"/>
  <c r="G331" i="14"/>
  <c r="F331" i="14"/>
  <c r="AE330" i="14"/>
  <c r="AC330" i="14"/>
  <c r="AB330" i="14"/>
  <c r="AA330" i="14"/>
  <c r="Z330" i="14"/>
  <c r="Y330" i="14"/>
  <c r="X330" i="14"/>
  <c r="W330" i="14"/>
  <c r="V330" i="14"/>
  <c r="U330" i="14"/>
  <c r="T330" i="14"/>
  <c r="S330" i="14"/>
  <c r="R330" i="14"/>
  <c r="Q330" i="14"/>
  <c r="P330" i="14"/>
  <c r="O330" i="14"/>
  <c r="N330" i="14"/>
  <c r="M330" i="14"/>
  <c r="L330" i="14"/>
  <c r="K330" i="14"/>
  <c r="J330" i="14"/>
  <c r="I330" i="14"/>
  <c r="H330" i="14"/>
  <c r="G330" i="14"/>
  <c r="F330" i="14"/>
  <c r="AE329" i="14"/>
  <c r="AC329" i="14"/>
  <c r="AB329" i="14"/>
  <c r="AA329" i="14"/>
  <c r="Z329" i="14"/>
  <c r="Y329" i="14"/>
  <c r="X329" i="14"/>
  <c r="W329" i="14"/>
  <c r="V329" i="14"/>
  <c r="U329" i="14"/>
  <c r="T329" i="14"/>
  <c r="S329" i="14"/>
  <c r="R329" i="14"/>
  <c r="Q329" i="14"/>
  <c r="P329" i="14"/>
  <c r="O329" i="14"/>
  <c r="N329" i="14"/>
  <c r="M329" i="14"/>
  <c r="L329" i="14"/>
  <c r="K329" i="14"/>
  <c r="J329" i="14"/>
  <c r="I329" i="14"/>
  <c r="H329" i="14"/>
  <c r="G329" i="14"/>
  <c r="F329" i="14"/>
  <c r="AE328" i="14"/>
  <c r="AC328" i="14"/>
  <c r="AB328" i="14"/>
  <c r="AA328" i="14"/>
  <c r="Z328" i="14"/>
  <c r="Y328" i="14"/>
  <c r="X328" i="14"/>
  <c r="W328" i="14"/>
  <c r="V328" i="14"/>
  <c r="U328" i="14"/>
  <c r="T328" i="14"/>
  <c r="S328" i="14"/>
  <c r="R328" i="14"/>
  <c r="Q328" i="14"/>
  <c r="P328" i="14"/>
  <c r="O328" i="14"/>
  <c r="N328" i="14"/>
  <c r="M328" i="14"/>
  <c r="L328" i="14"/>
  <c r="K328" i="14"/>
  <c r="J328" i="14"/>
  <c r="I328" i="14"/>
  <c r="H328" i="14"/>
  <c r="G328" i="14"/>
  <c r="F328" i="14"/>
  <c r="AE327" i="14"/>
  <c r="AC327" i="14"/>
  <c r="AB327" i="14"/>
  <c r="AA327" i="14"/>
  <c r="Z327" i="14"/>
  <c r="Y327" i="14"/>
  <c r="X327" i="14"/>
  <c r="W327" i="14"/>
  <c r="V327" i="14"/>
  <c r="U327" i="14"/>
  <c r="T327" i="14"/>
  <c r="S327" i="14"/>
  <c r="R327" i="14"/>
  <c r="Q327" i="14"/>
  <c r="P327" i="14"/>
  <c r="O327" i="14"/>
  <c r="N327" i="14"/>
  <c r="M327" i="14"/>
  <c r="L327" i="14"/>
  <c r="K327" i="14"/>
  <c r="J327" i="14"/>
  <c r="I327" i="14"/>
  <c r="H327" i="14"/>
  <c r="G327" i="14"/>
  <c r="F327" i="14"/>
  <c r="AE326" i="14"/>
  <c r="AC326" i="14"/>
  <c r="AB326" i="14"/>
  <c r="AA326" i="14"/>
  <c r="Z326" i="14"/>
  <c r="Y326" i="14"/>
  <c r="X326" i="14"/>
  <c r="W326" i="14"/>
  <c r="V326" i="14"/>
  <c r="U326" i="14"/>
  <c r="T326" i="14"/>
  <c r="S326" i="14"/>
  <c r="R326" i="14"/>
  <c r="Q326" i="14"/>
  <c r="P326" i="14"/>
  <c r="O326" i="14"/>
  <c r="N326" i="14"/>
  <c r="M326" i="14"/>
  <c r="L326" i="14"/>
  <c r="K326" i="14"/>
  <c r="J326" i="14"/>
  <c r="I326" i="14"/>
  <c r="H326" i="14"/>
  <c r="G326" i="14"/>
  <c r="F326" i="14"/>
  <c r="AE325" i="14"/>
  <c r="AC325" i="14"/>
  <c r="AB325" i="14"/>
  <c r="AA325" i="14"/>
  <c r="Z325" i="14"/>
  <c r="Y325" i="14"/>
  <c r="X325" i="14"/>
  <c r="W325" i="14"/>
  <c r="V325" i="14"/>
  <c r="U325" i="14"/>
  <c r="T325" i="14"/>
  <c r="S325" i="14"/>
  <c r="R325" i="14"/>
  <c r="Q325" i="14"/>
  <c r="P325" i="14"/>
  <c r="O325" i="14"/>
  <c r="N325" i="14"/>
  <c r="M325" i="14"/>
  <c r="L325" i="14"/>
  <c r="K325" i="14"/>
  <c r="J325" i="14"/>
  <c r="I325" i="14"/>
  <c r="H325" i="14"/>
  <c r="G325" i="14"/>
  <c r="F325" i="14"/>
  <c r="AE324" i="14"/>
  <c r="AC324" i="14"/>
  <c r="AB324" i="14"/>
  <c r="AA324" i="14"/>
  <c r="Z324" i="14"/>
  <c r="Y324" i="14"/>
  <c r="X324" i="14"/>
  <c r="W324" i="14"/>
  <c r="V324" i="14"/>
  <c r="U324" i="14"/>
  <c r="T324" i="14"/>
  <c r="S324" i="14"/>
  <c r="R324" i="14"/>
  <c r="Q324" i="14"/>
  <c r="P324" i="14"/>
  <c r="O324" i="14"/>
  <c r="N324" i="14"/>
  <c r="M324" i="14"/>
  <c r="L324" i="14"/>
  <c r="K324" i="14"/>
  <c r="J324" i="14"/>
  <c r="I324" i="14"/>
  <c r="H324" i="14"/>
  <c r="G324" i="14"/>
  <c r="F324" i="14"/>
  <c r="AE323" i="14"/>
  <c r="AC323" i="14"/>
  <c r="AB323" i="14"/>
  <c r="AA323" i="14"/>
  <c r="Z323" i="14"/>
  <c r="Y323" i="14"/>
  <c r="X323" i="14"/>
  <c r="W323" i="14"/>
  <c r="V323" i="14"/>
  <c r="U323" i="14"/>
  <c r="T323" i="14"/>
  <c r="S323" i="14"/>
  <c r="R323" i="14"/>
  <c r="Q323" i="14"/>
  <c r="P323" i="14"/>
  <c r="O323" i="14"/>
  <c r="N323" i="14"/>
  <c r="M323" i="14"/>
  <c r="L323" i="14"/>
  <c r="K323" i="14"/>
  <c r="J323" i="14"/>
  <c r="I323" i="14"/>
  <c r="H323" i="14"/>
  <c r="G323" i="14"/>
  <c r="F323" i="14"/>
  <c r="AE322" i="14"/>
  <c r="AC322" i="14"/>
  <c r="AB322" i="14"/>
  <c r="AA322" i="14"/>
  <c r="Z322" i="14"/>
  <c r="Y322" i="14"/>
  <c r="X322" i="14"/>
  <c r="W322" i="14"/>
  <c r="V322" i="14"/>
  <c r="U322" i="14"/>
  <c r="T322" i="14"/>
  <c r="S322" i="14"/>
  <c r="R322" i="14"/>
  <c r="Q322" i="14"/>
  <c r="P322" i="14"/>
  <c r="O322" i="14"/>
  <c r="N322" i="14"/>
  <c r="M322" i="14"/>
  <c r="L322" i="14"/>
  <c r="K322" i="14"/>
  <c r="J322" i="14"/>
  <c r="I322" i="14"/>
  <c r="H322" i="14"/>
  <c r="G322" i="14"/>
  <c r="F322" i="14"/>
  <c r="AE321" i="14"/>
  <c r="AC321" i="14"/>
  <c r="AB321" i="14"/>
  <c r="AA321" i="14"/>
  <c r="Z321" i="14"/>
  <c r="Y321" i="14"/>
  <c r="X321" i="14"/>
  <c r="W321" i="14"/>
  <c r="V321" i="14"/>
  <c r="U321" i="14"/>
  <c r="T321" i="14"/>
  <c r="S321" i="14"/>
  <c r="R321" i="14"/>
  <c r="Q321" i="14"/>
  <c r="P321" i="14"/>
  <c r="O321" i="14"/>
  <c r="N321" i="14"/>
  <c r="M321" i="14"/>
  <c r="L321" i="14"/>
  <c r="K321" i="14"/>
  <c r="J321" i="14"/>
  <c r="I321" i="14"/>
  <c r="H321" i="14"/>
  <c r="G321" i="14"/>
  <c r="F321" i="14"/>
  <c r="AE320" i="14"/>
  <c r="AC320" i="14"/>
  <c r="AB320" i="14"/>
  <c r="AA320" i="14"/>
  <c r="Z320" i="14"/>
  <c r="Y320" i="14"/>
  <c r="X320" i="14"/>
  <c r="W320" i="14"/>
  <c r="V320" i="14"/>
  <c r="U320" i="14"/>
  <c r="T320" i="14"/>
  <c r="S320" i="14"/>
  <c r="R320" i="14"/>
  <c r="Q320" i="14"/>
  <c r="P320" i="14"/>
  <c r="O320" i="14"/>
  <c r="N320" i="14"/>
  <c r="M320" i="14"/>
  <c r="L320" i="14"/>
  <c r="K320" i="14"/>
  <c r="J320" i="14"/>
  <c r="I320" i="14"/>
  <c r="H320" i="14"/>
  <c r="G320" i="14"/>
  <c r="F320" i="14"/>
  <c r="AE319" i="14"/>
  <c r="AC319" i="14"/>
  <c r="AB319" i="14"/>
  <c r="AA319" i="14"/>
  <c r="Z319" i="14"/>
  <c r="Y319" i="14"/>
  <c r="X319" i="14"/>
  <c r="W319" i="14"/>
  <c r="V319" i="14"/>
  <c r="U319" i="14"/>
  <c r="T319" i="14"/>
  <c r="S319" i="14"/>
  <c r="R319" i="14"/>
  <c r="Q319" i="14"/>
  <c r="P319" i="14"/>
  <c r="O319" i="14"/>
  <c r="N319" i="14"/>
  <c r="M319" i="14"/>
  <c r="L319" i="14"/>
  <c r="K319" i="14"/>
  <c r="J319" i="14"/>
  <c r="I319" i="14"/>
  <c r="H319" i="14"/>
  <c r="G319" i="14"/>
  <c r="F319" i="14"/>
  <c r="AE318" i="14"/>
  <c r="AC318" i="14"/>
  <c r="AB318" i="14"/>
  <c r="AA318" i="14"/>
  <c r="Z318" i="14"/>
  <c r="Y318" i="14"/>
  <c r="X318" i="14"/>
  <c r="W318" i="14"/>
  <c r="V318" i="14"/>
  <c r="U318" i="14"/>
  <c r="T318" i="14"/>
  <c r="S318" i="14"/>
  <c r="R318" i="14"/>
  <c r="Q318" i="14"/>
  <c r="P318" i="14"/>
  <c r="O318" i="14"/>
  <c r="N318" i="14"/>
  <c r="M318" i="14"/>
  <c r="L318" i="14"/>
  <c r="K318" i="14"/>
  <c r="J318" i="14"/>
  <c r="I318" i="14"/>
  <c r="H318" i="14"/>
  <c r="G318" i="14"/>
  <c r="F318" i="14"/>
  <c r="AE317" i="14"/>
  <c r="AC317" i="14"/>
  <c r="AB317" i="14"/>
  <c r="AA317" i="14"/>
  <c r="Z317" i="14"/>
  <c r="Y317" i="14"/>
  <c r="X317" i="14"/>
  <c r="W317" i="14"/>
  <c r="V317" i="14"/>
  <c r="U317" i="14"/>
  <c r="T317" i="14"/>
  <c r="S317" i="14"/>
  <c r="R317" i="14"/>
  <c r="Q317" i="14"/>
  <c r="P317" i="14"/>
  <c r="O317" i="14"/>
  <c r="N317" i="14"/>
  <c r="M317" i="14"/>
  <c r="L317" i="14"/>
  <c r="K317" i="14"/>
  <c r="J317" i="14"/>
  <c r="I317" i="14"/>
  <c r="H317" i="14"/>
  <c r="G317" i="14"/>
  <c r="F317" i="14"/>
  <c r="AE316" i="14"/>
  <c r="AC316" i="14"/>
  <c r="AB316" i="14"/>
  <c r="AA316" i="14"/>
  <c r="Z316" i="14"/>
  <c r="Y316" i="14"/>
  <c r="X316" i="14"/>
  <c r="W316" i="14"/>
  <c r="V316" i="14"/>
  <c r="U316" i="14"/>
  <c r="T316" i="14"/>
  <c r="S316" i="14"/>
  <c r="R316" i="14"/>
  <c r="Q316" i="14"/>
  <c r="P316" i="14"/>
  <c r="O316" i="14"/>
  <c r="N316" i="14"/>
  <c r="M316" i="14"/>
  <c r="L316" i="14"/>
  <c r="K316" i="14"/>
  <c r="J316" i="14"/>
  <c r="I316" i="14"/>
  <c r="H316" i="14"/>
  <c r="G316" i="14"/>
  <c r="F316" i="14"/>
  <c r="AE315" i="14"/>
  <c r="AC315" i="14"/>
  <c r="AB315" i="14"/>
  <c r="AA315" i="14"/>
  <c r="Z315" i="14"/>
  <c r="Y315" i="14"/>
  <c r="X315" i="14"/>
  <c r="W315" i="14"/>
  <c r="V315" i="14"/>
  <c r="U315" i="14"/>
  <c r="T315" i="14"/>
  <c r="S315" i="14"/>
  <c r="R315" i="14"/>
  <c r="Q315" i="14"/>
  <c r="P315" i="14"/>
  <c r="O315" i="14"/>
  <c r="N315" i="14"/>
  <c r="M315" i="14"/>
  <c r="L315" i="14"/>
  <c r="K315" i="14"/>
  <c r="J315" i="14"/>
  <c r="I315" i="14"/>
  <c r="H315" i="14"/>
  <c r="G315" i="14"/>
  <c r="F315" i="14"/>
  <c r="AE314" i="14"/>
  <c r="AC314" i="14"/>
  <c r="AB314" i="14"/>
  <c r="AA314" i="14"/>
  <c r="Z314" i="14"/>
  <c r="Y314" i="14"/>
  <c r="X314" i="14"/>
  <c r="W314" i="14"/>
  <c r="V314" i="14"/>
  <c r="U314" i="14"/>
  <c r="T314" i="14"/>
  <c r="S314" i="14"/>
  <c r="R314" i="14"/>
  <c r="Q314" i="14"/>
  <c r="P314" i="14"/>
  <c r="O314" i="14"/>
  <c r="N314" i="14"/>
  <c r="M314" i="14"/>
  <c r="L314" i="14"/>
  <c r="K314" i="14"/>
  <c r="J314" i="14"/>
  <c r="I314" i="14"/>
  <c r="H314" i="14"/>
  <c r="G314" i="14"/>
  <c r="F314" i="14"/>
  <c r="AE313" i="14"/>
  <c r="AC313" i="14"/>
  <c r="AB313" i="14"/>
  <c r="AA313" i="14"/>
  <c r="Z313" i="14"/>
  <c r="Y313" i="14"/>
  <c r="X313" i="14"/>
  <c r="W313" i="14"/>
  <c r="V313" i="14"/>
  <c r="U313" i="14"/>
  <c r="T313" i="14"/>
  <c r="S313" i="14"/>
  <c r="R313" i="14"/>
  <c r="Q313" i="14"/>
  <c r="P313" i="14"/>
  <c r="O313" i="14"/>
  <c r="N313" i="14"/>
  <c r="M313" i="14"/>
  <c r="L313" i="14"/>
  <c r="K313" i="14"/>
  <c r="J313" i="14"/>
  <c r="I313" i="14"/>
  <c r="H313" i="14"/>
  <c r="G313" i="14"/>
  <c r="F313" i="14"/>
  <c r="AE312" i="14"/>
  <c r="AC312" i="14"/>
  <c r="AB312" i="14"/>
  <c r="AA312" i="14"/>
  <c r="Z312" i="14"/>
  <c r="Y312" i="14"/>
  <c r="X312" i="14"/>
  <c r="W312" i="14"/>
  <c r="V312" i="14"/>
  <c r="U312" i="14"/>
  <c r="T312" i="14"/>
  <c r="S312" i="14"/>
  <c r="R312" i="14"/>
  <c r="Q312" i="14"/>
  <c r="P312" i="14"/>
  <c r="O312" i="14"/>
  <c r="N312" i="14"/>
  <c r="M312" i="14"/>
  <c r="L312" i="14"/>
  <c r="K312" i="14"/>
  <c r="J312" i="14"/>
  <c r="I312" i="14"/>
  <c r="H312" i="14"/>
  <c r="G312" i="14"/>
  <c r="F312" i="14"/>
  <c r="AE311" i="14"/>
  <c r="AC311" i="14"/>
  <c r="AB311" i="14"/>
  <c r="AA311" i="14"/>
  <c r="Z311" i="14"/>
  <c r="Y311" i="14"/>
  <c r="X311" i="14"/>
  <c r="W311" i="14"/>
  <c r="V311" i="14"/>
  <c r="U311" i="14"/>
  <c r="T311" i="14"/>
  <c r="S311" i="14"/>
  <c r="R311" i="14"/>
  <c r="Q311" i="14"/>
  <c r="P311" i="14"/>
  <c r="O311" i="14"/>
  <c r="N311" i="14"/>
  <c r="M311" i="14"/>
  <c r="L311" i="14"/>
  <c r="K311" i="14"/>
  <c r="J311" i="14"/>
  <c r="I311" i="14"/>
  <c r="H311" i="14"/>
  <c r="G311" i="14"/>
  <c r="F311" i="14"/>
  <c r="AE310" i="14"/>
  <c r="AC310" i="14"/>
  <c r="AB310" i="14"/>
  <c r="AA310" i="14"/>
  <c r="Z310" i="14"/>
  <c r="Y310" i="14"/>
  <c r="X310" i="14"/>
  <c r="W310" i="14"/>
  <c r="V310" i="14"/>
  <c r="U310" i="14"/>
  <c r="T310" i="14"/>
  <c r="S310" i="14"/>
  <c r="R310" i="14"/>
  <c r="Q310" i="14"/>
  <c r="P310" i="14"/>
  <c r="O310" i="14"/>
  <c r="N310" i="14"/>
  <c r="M310" i="14"/>
  <c r="L310" i="14"/>
  <c r="K310" i="14"/>
  <c r="J310" i="14"/>
  <c r="I310" i="14"/>
  <c r="H310" i="14"/>
  <c r="G310" i="14"/>
  <c r="F310" i="14"/>
  <c r="AE309" i="14"/>
  <c r="AC309" i="14"/>
  <c r="AB309" i="14"/>
  <c r="AA309" i="14"/>
  <c r="Z309" i="14"/>
  <c r="Y309" i="14"/>
  <c r="X309" i="14"/>
  <c r="W309" i="14"/>
  <c r="V309" i="14"/>
  <c r="U309" i="14"/>
  <c r="T309" i="14"/>
  <c r="S309" i="14"/>
  <c r="R309" i="14"/>
  <c r="Q309" i="14"/>
  <c r="P309" i="14"/>
  <c r="O309" i="14"/>
  <c r="N309" i="14"/>
  <c r="M309" i="14"/>
  <c r="L309" i="14"/>
  <c r="K309" i="14"/>
  <c r="J309" i="14"/>
  <c r="I309" i="14"/>
  <c r="H309" i="14"/>
  <c r="G309" i="14"/>
  <c r="F309" i="14"/>
  <c r="AE308" i="14"/>
  <c r="AC308" i="14"/>
  <c r="AB308" i="14"/>
  <c r="AA308" i="14"/>
  <c r="Z308" i="14"/>
  <c r="Y308" i="14"/>
  <c r="X308" i="14"/>
  <c r="W308" i="14"/>
  <c r="V308" i="14"/>
  <c r="U308" i="14"/>
  <c r="T308" i="14"/>
  <c r="S308" i="14"/>
  <c r="R308" i="14"/>
  <c r="Q308" i="14"/>
  <c r="P308" i="14"/>
  <c r="O308" i="14"/>
  <c r="N308" i="14"/>
  <c r="M308" i="14"/>
  <c r="L308" i="14"/>
  <c r="K308" i="14"/>
  <c r="J308" i="14"/>
  <c r="I308" i="14"/>
  <c r="H308" i="14"/>
  <c r="G308" i="14"/>
  <c r="F308" i="14"/>
  <c r="AE307" i="14"/>
  <c r="AC307" i="14"/>
  <c r="AB307" i="14"/>
  <c r="AA307" i="14"/>
  <c r="Z307" i="14"/>
  <c r="Y307" i="14"/>
  <c r="X307" i="14"/>
  <c r="W307" i="14"/>
  <c r="V307" i="14"/>
  <c r="U307" i="14"/>
  <c r="T307" i="14"/>
  <c r="S307" i="14"/>
  <c r="R307" i="14"/>
  <c r="Q307" i="14"/>
  <c r="P307" i="14"/>
  <c r="O307" i="14"/>
  <c r="N307" i="14"/>
  <c r="M307" i="14"/>
  <c r="L307" i="14"/>
  <c r="K307" i="14"/>
  <c r="J307" i="14"/>
  <c r="I307" i="14"/>
  <c r="H307" i="14"/>
  <c r="G307" i="14"/>
  <c r="F307" i="14"/>
  <c r="AE306" i="14"/>
  <c r="AC306" i="14"/>
  <c r="AB306" i="14"/>
  <c r="AA306" i="14"/>
  <c r="Z306" i="14"/>
  <c r="Y306" i="14"/>
  <c r="X306" i="14"/>
  <c r="W306" i="14"/>
  <c r="V306" i="14"/>
  <c r="U306" i="14"/>
  <c r="T306" i="14"/>
  <c r="S306" i="14"/>
  <c r="R306" i="14"/>
  <c r="Q306" i="14"/>
  <c r="P306" i="14"/>
  <c r="O306" i="14"/>
  <c r="N306" i="14"/>
  <c r="M306" i="14"/>
  <c r="L306" i="14"/>
  <c r="K306" i="14"/>
  <c r="J306" i="14"/>
  <c r="I306" i="14"/>
  <c r="H306" i="14"/>
  <c r="G306" i="14"/>
  <c r="F306" i="14"/>
  <c r="AE305" i="14"/>
  <c r="AC305" i="14"/>
  <c r="AB305" i="14"/>
  <c r="AA305" i="14"/>
  <c r="Z305" i="14"/>
  <c r="Y305" i="14"/>
  <c r="X305" i="14"/>
  <c r="W305" i="14"/>
  <c r="V305" i="14"/>
  <c r="U305" i="14"/>
  <c r="T305" i="14"/>
  <c r="S305" i="14"/>
  <c r="R305" i="14"/>
  <c r="Q305" i="14"/>
  <c r="P305" i="14"/>
  <c r="O305" i="14"/>
  <c r="N305" i="14"/>
  <c r="M305" i="14"/>
  <c r="L305" i="14"/>
  <c r="K305" i="14"/>
  <c r="J305" i="14"/>
  <c r="I305" i="14"/>
  <c r="H305" i="14"/>
  <c r="G305" i="14"/>
  <c r="F305" i="14"/>
  <c r="AE304" i="14"/>
  <c r="AC304" i="14"/>
  <c r="AB304" i="14"/>
  <c r="AA304" i="14"/>
  <c r="Z304" i="14"/>
  <c r="Y304" i="14"/>
  <c r="X304" i="14"/>
  <c r="W304" i="14"/>
  <c r="V304" i="14"/>
  <c r="U304" i="14"/>
  <c r="T304" i="14"/>
  <c r="S304" i="14"/>
  <c r="R304" i="14"/>
  <c r="Q304" i="14"/>
  <c r="P304" i="14"/>
  <c r="O304" i="14"/>
  <c r="N304" i="14"/>
  <c r="M304" i="14"/>
  <c r="L304" i="14"/>
  <c r="K304" i="14"/>
  <c r="J304" i="14"/>
  <c r="I304" i="14"/>
  <c r="H304" i="14"/>
  <c r="G304" i="14"/>
  <c r="F304" i="14"/>
  <c r="AE303" i="14"/>
  <c r="AC303" i="14"/>
  <c r="AB303" i="14"/>
  <c r="AA303" i="14"/>
  <c r="Z303" i="14"/>
  <c r="Y303" i="14"/>
  <c r="X303" i="14"/>
  <c r="W303" i="14"/>
  <c r="V303" i="14"/>
  <c r="U303" i="14"/>
  <c r="T303" i="14"/>
  <c r="S303" i="14"/>
  <c r="R303" i="14"/>
  <c r="Q303" i="14"/>
  <c r="P303" i="14"/>
  <c r="O303" i="14"/>
  <c r="N303" i="14"/>
  <c r="M303" i="14"/>
  <c r="L303" i="14"/>
  <c r="K303" i="14"/>
  <c r="J303" i="14"/>
  <c r="I303" i="14"/>
  <c r="H303" i="14"/>
  <c r="G303" i="14"/>
  <c r="F303" i="14"/>
  <c r="AE302" i="14"/>
  <c r="AC302" i="14"/>
  <c r="AB302" i="14"/>
  <c r="AA302" i="14"/>
  <c r="Z302" i="14"/>
  <c r="Y302" i="14"/>
  <c r="X302" i="14"/>
  <c r="W302" i="14"/>
  <c r="V302" i="14"/>
  <c r="U302" i="14"/>
  <c r="T302" i="14"/>
  <c r="S302" i="14"/>
  <c r="R302" i="14"/>
  <c r="Q302" i="14"/>
  <c r="P302" i="14"/>
  <c r="O302" i="14"/>
  <c r="N302" i="14"/>
  <c r="M302" i="14"/>
  <c r="L302" i="14"/>
  <c r="K302" i="14"/>
  <c r="J302" i="14"/>
  <c r="I302" i="14"/>
  <c r="H302" i="14"/>
  <c r="G302" i="14"/>
  <c r="F302" i="14"/>
  <c r="AE301" i="14"/>
  <c r="AC301" i="14"/>
  <c r="AB301" i="14"/>
  <c r="AA301" i="14"/>
  <c r="Z301" i="14"/>
  <c r="Y301" i="14"/>
  <c r="X301" i="14"/>
  <c r="W301" i="14"/>
  <c r="V301" i="14"/>
  <c r="U301" i="14"/>
  <c r="T301" i="14"/>
  <c r="S301" i="14"/>
  <c r="R301" i="14"/>
  <c r="Q301" i="14"/>
  <c r="P301" i="14"/>
  <c r="O301" i="14"/>
  <c r="N301" i="14"/>
  <c r="M301" i="14"/>
  <c r="L301" i="14"/>
  <c r="K301" i="14"/>
  <c r="J301" i="14"/>
  <c r="I301" i="14"/>
  <c r="H301" i="14"/>
  <c r="G301" i="14"/>
  <c r="F301" i="14"/>
  <c r="AE300" i="14"/>
  <c r="AC300" i="14"/>
  <c r="AB300" i="14"/>
  <c r="AA300" i="14"/>
  <c r="Z300" i="14"/>
  <c r="Y300" i="14"/>
  <c r="X300" i="14"/>
  <c r="W300" i="14"/>
  <c r="V300" i="14"/>
  <c r="U300" i="14"/>
  <c r="T300" i="14"/>
  <c r="S300" i="14"/>
  <c r="R300" i="14"/>
  <c r="Q300" i="14"/>
  <c r="P300" i="14"/>
  <c r="O300" i="14"/>
  <c r="N300" i="14"/>
  <c r="M300" i="14"/>
  <c r="L300" i="14"/>
  <c r="K300" i="14"/>
  <c r="J300" i="14"/>
  <c r="I300" i="14"/>
  <c r="H300" i="14"/>
  <c r="G300" i="14"/>
  <c r="F300" i="14"/>
  <c r="AE299" i="14"/>
  <c r="AC299" i="14"/>
  <c r="AB299" i="14"/>
  <c r="AA299" i="14"/>
  <c r="Z299" i="14"/>
  <c r="Y299" i="14"/>
  <c r="X299" i="14"/>
  <c r="W299" i="14"/>
  <c r="V299" i="14"/>
  <c r="U299" i="14"/>
  <c r="T299" i="14"/>
  <c r="S299" i="14"/>
  <c r="R299" i="14"/>
  <c r="Q299" i="14"/>
  <c r="P299" i="14"/>
  <c r="O299" i="14"/>
  <c r="N299" i="14"/>
  <c r="M299" i="14"/>
  <c r="L299" i="14"/>
  <c r="K299" i="14"/>
  <c r="J299" i="14"/>
  <c r="I299" i="14"/>
  <c r="H299" i="14"/>
  <c r="G299" i="14"/>
  <c r="F299" i="14"/>
  <c r="AE298" i="14"/>
  <c r="AC298" i="14"/>
  <c r="AB298" i="14"/>
  <c r="AA298" i="14"/>
  <c r="Z298" i="14"/>
  <c r="Y298" i="14"/>
  <c r="X298" i="14"/>
  <c r="W298" i="14"/>
  <c r="V298" i="14"/>
  <c r="U298" i="14"/>
  <c r="T298" i="14"/>
  <c r="S298" i="14"/>
  <c r="R298" i="14"/>
  <c r="Q298" i="14"/>
  <c r="P298" i="14"/>
  <c r="O298" i="14"/>
  <c r="N298" i="14"/>
  <c r="M298" i="14"/>
  <c r="L298" i="14"/>
  <c r="K298" i="14"/>
  <c r="J298" i="14"/>
  <c r="I298" i="14"/>
  <c r="H298" i="14"/>
  <c r="G298" i="14"/>
  <c r="F298" i="14"/>
  <c r="AE297" i="14"/>
  <c r="AC297" i="14"/>
  <c r="AB297" i="14"/>
  <c r="AA297" i="14"/>
  <c r="Z297" i="14"/>
  <c r="Y297" i="14"/>
  <c r="X297" i="14"/>
  <c r="W297" i="14"/>
  <c r="V297" i="14"/>
  <c r="U297" i="14"/>
  <c r="T297" i="14"/>
  <c r="S297" i="14"/>
  <c r="R297" i="14"/>
  <c r="Q297" i="14"/>
  <c r="P297" i="14"/>
  <c r="O297" i="14"/>
  <c r="N297" i="14"/>
  <c r="M297" i="14"/>
  <c r="L297" i="14"/>
  <c r="K297" i="14"/>
  <c r="J297" i="14"/>
  <c r="I297" i="14"/>
  <c r="H297" i="14"/>
  <c r="G297" i="14"/>
  <c r="F297" i="14"/>
  <c r="AE296" i="14"/>
  <c r="AC296" i="14"/>
  <c r="AB296" i="14"/>
  <c r="AA296" i="14"/>
  <c r="Z296" i="14"/>
  <c r="Y296" i="14"/>
  <c r="X296" i="14"/>
  <c r="W296" i="14"/>
  <c r="V296" i="14"/>
  <c r="U296" i="14"/>
  <c r="T296" i="14"/>
  <c r="S296" i="14"/>
  <c r="R296" i="14"/>
  <c r="Q296" i="14"/>
  <c r="P296" i="14"/>
  <c r="O296" i="14"/>
  <c r="N296" i="14"/>
  <c r="M296" i="14"/>
  <c r="L296" i="14"/>
  <c r="K296" i="14"/>
  <c r="J296" i="14"/>
  <c r="I296" i="14"/>
  <c r="H296" i="14"/>
  <c r="G296" i="14"/>
  <c r="F296" i="14"/>
  <c r="AE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AE294" i="14"/>
  <c r="AC294" i="14"/>
  <c r="AB294" i="14"/>
  <c r="AA294" i="14"/>
  <c r="Z294" i="14"/>
  <c r="Y294" i="14"/>
  <c r="X294" i="14"/>
  <c r="W294" i="14"/>
  <c r="V294" i="14"/>
  <c r="U294" i="14"/>
  <c r="T294" i="14"/>
  <c r="S294" i="14"/>
  <c r="R294" i="14"/>
  <c r="Q294" i="14"/>
  <c r="P294" i="14"/>
  <c r="O294" i="14"/>
  <c r="N294" i="14"/>
  <c r="M294" i="14"/>
  <c r="L294" i="14"/>
  <c r="K294" i="14"/>
  <c r="J294" i="14"/>
  <c r="I294" i="14"/>
  <c r="H294" i="14"/>
  <c r="G294" i="14"/>
  <c r="F294" i="14"/>
  <c r="AE293" i="14"/>
  <c r="AC293" i="14"/>
  <c r="AB293" i="14"/>
  <c r="AA293" i="14"/>
  <c r="Z293" i="14"/>
  <c r="Y293" i="14"/>
  <c r="X293" i="14"/>
  <c r="W293" i="14"/>
  <c r="V293" i="14"/>
  <c r="U293" i="14"/>
  <c r="T293" i="14"/>
  <c r="S293" i="14"/>
  <c r="R293" i="14"/>
  <c r="Q293" i="14"/>
  <c r="P293" i="14"/>
  <c r="O293" i="14"/>
  <c r="N293" i="14"/>
  <c r="M293" i="14"/>
  <c r="L293" i="14"/>
  <c r="K293" i="14"/>
  <c r="J293" i="14"/>
  <c r="I293" i="14"/>
  <c r="H293" i="14"/>
  <c r="G293" i="14"/>
  <c r="F293" i="14"/>
  <c r="AE292" i="14"/>
  <c r="AC292" i="14"/>
  <c r="AB292" i="14"/>
  <c r="AA292" i="14"/>
  <c r="Z292" i="14"/>
  <c r="Y292" i="14"/>
  <c r="X292" i="14"/>
  <c r="W292" i="14"/>
  <c r="V292" i="14"/>
  <c r="U292" i="14"/>
  <c r="T292" i="14"/>
  <c r="S292" i="14"/>
  <c r="R292" i="14"/>
  <c r="Q292" i="14"/>
  <c r="P292" i="14"/>
  <c r="O292" i="14"/>
  <c r="N292" i="14"/>
  <c r="M292" i="14"/>
  <c r="L292" i="14"/>
  <c r="K292" i="14"/>
  <c r="J292" i="14"/>
  <c r="I292" i="14"/>
  <c r="H292" i="14"/>
  <c r="G292" i="14"/>
  <c r="F292" i="14"/>
  <c r="AE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K291" i="14"/>
  <c r="J291" i="14"/>
  <c r="I291" i="14"/>
  <c r="H291" i="14"/>
  <c r="G291" i="14"/>
  <c r="F291" i="14"/>
  <c r="AE290" i="14"/>
  <c r="AC290" i="14"/>
  <c r="AB290" i="14"/>
  <c r="AA290" i="14"/>
  <c r="Z290" i="14"/>
  <c r="Y290" i="14"/>
  <c r="X290" i="14"/>
  <c r="W290" i="14"/>
  <c r="V290" i="14"/>
  <c r="U290" i="14"/>
  <c r="T290" i="14"/>
  <c r="S290" i="14"/>
  <c r="R290" i="14"/>
  <c r="Q290" i="14"/>
  <c r="P290" i="14"/>
  <c r="O290" i="14"/>
  <c r="N290" i="14"/>
  <c r="M290" i="14"/>
  <c r="L290" i="14"/>
  <c r="K290" i="14"/>
  <c r="J290" i="14"/>
  <c r="I290" i="14"/>
  <c r="H290" i="14"/>
  <c r="G290" i="14"/>
  <c r="F290" i="14"/>
  <c r="AE289" i="14"/>
  <c r="AC289" i="14"/>
  <c r="AB289" i="14"/>
  <c r="AA289" i="14"/>
  <c r="Z289" i="14"/>
  <c r="Y289" i="14"/>
  <c r="X289" i="14"/>
  <c r="W289" i="14"/>
  <c r="V289" i="14"/>
  <c r="U289" i="14"/>
  <c r="T289" i="14"/>
  <c r="S289" i="14"/>
  <c r="R289" i="14"/>
  <c r="Q289" i="14"/>
  <c r="P289" i="14"/>
  <c r="O289" i="14"/>
  <c r="N289" i="14"/>
  <c r="M289" i="14"/>
  <c r="L289" i="14"/>
  <c r="K289" i="14"/>
  <c r="J289" i="14"/>
  <c r="I289" i="14"/>
  <c r="H289" i="14"/>
  <c r="G289" i="14"/>
  <c r="F289" i="14"/>
  <c r="AE288" i="14"/>
  <c r="AC288" i="14"/>
  <c r="AB288" i="14"/>
  <c r="AA288" i="14"/>
  <c r="Z288" i="14"/>
  <c r="Y288" i="14"/>
  <c r="X288" i="14"/>
  <c r="W288" i="14"/>
  <c r="V288" i="14"/>
  <c r="U288" i="14"/>
  <c r="T288" i="14"/>
  <c r="S288" i="14"/>
  <c r="R288" i="14"/>
  <c r="Q288" i="14"/>
  <c r="P288" i="14"/>
  <c r="O288" i="14"/>
  <c r="N288" i="14"/>
  <c r="M288" i="14"/>
  <c r="L288" i="14"/>
  <c r="K288" i="14"/>
  <c r="J288" i="14"/>
  <c r="I288" i="14"/>
  <c r="H288" i="14"/>
  <c r="G288" i="14"/>
  <c r="F288" i="14"/>
  <c r="AE287" i="14"/>
  <c r="AC287" i="14"/>
  <c r="AB287" i="14"/>
  <c r="AA287" i="14"/>
  <c r="Z287" i="14"/>
  <c r="Y287" i="14"/>
  <c r="X287" i="14"/>
  <c r="W287" i="14"/>
  <c r="V287" i="14"/>
  <c r="U287" i="14"/>
  <c r="T287" i="14"/>
  <c r="S287" i="14"/>
  <c r="R287" i="14"/>
  <c r="Q287" i="14"/>
  <c r="P287" i="14"/>
  <c r="O287" i="14"/>
  <c r="N287" i="14"/>
  <c r="M287" i="14"/>
  <c r="L287" i="14"/>
  <c r="K287" i="14"/>
  <c r="J287" i="14"/>
  <c r="I287" i="14"/>
  <c r="H287" i="14"/>
  <c r="G287" i="14"/>
  <c r="F287" i="14"/>
  <c r="AE286" i="14"/>
  <c r="AC286" i="14"/>
  <c r="AB286" i="14"/>
  <c r="AA286" i="14"/>
  <c r="Z286" i="14"/>
  <c r="Y286" i="14"/>
  <c r="X286" i="14"/>
  <c r="W286" i="14"/>
  <c r="V286" i="14"/>
  <c r="U286" i="14"/>
  <c r="T286" i="14"/>
  <c r="S286" i="14"/>
  <c r="R286" i="14"/>
  <c r="Q286" i="14"/>
  <c r="P286" i="14"/>
  <c r="O286" i="14"/>
  <c r="N286" i="14"/>
  <c r="M286" i="14"/>
  <c r="L286" i="14"/>
  <c r="K286" i="14"/>
  <c r="J286" i="14"/>
  <c r="I286" i="14"/>
  <c r="H286" i="14"/>
  <c r="G286" i="14"/>
  <c r="F286" i="14"/>
  <c r="AE285" i="14"/>
  <c r="AC285" i="14"/>
  <c r="AB285" i="14"/>
  <c r="AA285" i="14"/>
  <c r="Z285" i="14"/>
  <c r="Y285" i="14"/>
  <c r="X285" i="14"/>
  <c r="W285" i="14"/>
  <c r="V285" i="14"/>
  <c r="U285" i="14"/>
  <c r="T285" i="14"/>
  <c r="S285" i="14"/>
  <c r="R285" i="14"/>
  <c r="Q285" i="14"/>
  <c r="P285" i="14"/>
  <c r="O285" i="14"/>
  <c r="N285" i="14"/>
  <c r="M285" i="14"/>
  <c r="L285" i="14"/>
  <c r="K285" i="14"/>
  <c r="J285" i="14"/>
  <c r="I285" i="14"/>
  <c r="H285" i="14"/>
  <c r="G285" i="14"/>
  <c r="F285" i="14"/>
  <c r="AE284" i="14"/>
  <c r="AC284" i="14"/>
  <c r="AB284" i="14"/>
  <c r="AA284" i="14"/>
  <c r="Z284" i="14"/>
  <c r="Y284" i="14"/>
  <c r="X284" i="14"/>
  <c r="W284" i="14"/>
  <c r="V284" i="14"/>
  <c r="U284" i="14"/>
  <c r="T284" i="14"/>
  <c r="S284" i="14"/>
  <c r="R284" i="14"/>
  <c r="Q284" i="14"/>
  <c r="P284" i="14"/>
  <c r="O284" i="14"/>
  <c r="N284" i="14"/>
  <c r="M284" i="14"/>
  <c r="L284" i="14"/>
  <c r="K284" i="14"/>
  <c r="J284" i="14"/>
  <c r="I284" i="14"/>
  <c r="H284" i="14"/>
  <c r="G284" i="14"/>
  <c r="F284" i="14"/>
  <c r="AE283" i="14"/>
  <c r="AC283" i="14"/>
  <c r="AB283" i="14"/>
  <c r="AA283" i="14"/>
  <c r="Z283" i="14"/>
  <c r="Y283" i="14"/>
  <c r="X283" i="14"/>
  <c r="W283" i="14"/>
  <c r="V283" i="14"/>
  <c r="U283" i="14"/>
  <c r="T283" i="14"/>
  <c r="S283" i="14"/>
  <c r="R283" i="14"/>
  <c r="Q283" i="14"/>
  <c r="P283" i="14"/>
  <c r="O283" i="14"/>
  <c r="N283" i="14"/>
  <c r="M283" i="14"/>
  <c r="L283" i="14"/>
  <c r="K283" i="14"/>
  <c r="J283" i="14"/>
  <c r="I283" i="14"/>
  <c r="H283" i="14"/>
  <c r="G283" i="14"/>
  <c r="F283" i="14"/>
  <c r="AE282" i="14"/>
  <c r="AC282" i="14"/>
  <c r="AB282" i="14"/>
  <c r="AA282" i="14"/>
  <c r="Z282" i="14"/>
  <c r="Y282" i="14"/>
  <c r="X282" i="14"/>
  <c r="W282" i="14"/>
  <c r="V282" i="14"/>
  <c r="U282" i="14"/>
  <c r="T282" i="14"/>
  <c r="S282" i="14"/>
  <c r="R282" i="14"/>
  <c r="Q282" i="14"/>
  <c r="P282" i="14"/>
  <c r="O282" i="14"/>
  <c r="N282" i="14"/>
  <c r="M282" i="14"/>
  <c r="L282" i="14"/>
  <c r="K282" i="14"/>
  <c r="J282" i="14"/>
  <c r="I282" i="14"/>
  <c r="H282" i="14"/>
  <c r="G282" i="14"/>
  <c r="F282" i="14"/>
  <c r="AE281" i="14"/>
  <c r="AC281" i="14"/>
  <c r="AB281" i="14"/>
  <c r="AA281" i="14"/>
  <c r="Z281" i="14"/>
  <c r="Y281" i="14"/>
  <c r="X281" i="14"/>
  <c r="W281" i="14"/>
  <c r="V281" i="14"/>
  <c r="U281" i="14"/>
  <c r="T281" i="14"/>
  <c r="S281" i="14"/>
  <c r="R281" i="14"/>
  <c r="Q281" i="14"/>
  <c r="P281" i="14"/>
  <c r="O281" i="14"/>
  <c r="N281" i="14"/>
  <c r="M281" i="14"/>
  <c r="L281" i="14"/>
  <c r="K281" i="14"/>
  <c r="J281" i="14"/>
  <c r="I281" i="14"/>
  <c r="H281" i="14"/>
  <c r="G281" i="14"/>
  <c r="F281" i="14"/>
  <c r="AE280" i="14"/>
  <c r="AC280" i="14"/>
  <c r="AB280" i="14"/>
  <c r="AA280" i="14"/>
  <c r="Z280" i="14"/>
  <c r="Y280" i="14"/>
  <c r="X280" i="14"/>
  <c r="W280" i="14"/>
  <c r="V280" i="14"/>
  <c r="U280" i="14"/>
  <c r="T280" i="14"/>
  <c r="S280" i="14"/>
  <c r="R280" i="14"/>
  <c r="Q280" i="14"/>
  <c r="P280" i="14"/>
  <c r="O280" i="14"/>
  <c r="N280" i="14"/>
  <c r="M280" i="14"/>
  <c r="L280" i="14"/>
  <c r="K280" i="14"/>
  <c r="J280" i="14"/>
  <c r="I280" i="14"/>
  <c r="H280" i="14"/>
  <c r="G280" i="14"/>
  <c r="F280" i="14"/>
  <c r="AE279" i="14"/>
  <c r="AC279" i="14"/>
  <c r="AB279" i="14"/>
  <c r="AA279" i="14"/>
  <c r="Z279" i="14"/>
  <c r="Y279" i="14"/>
  <c r="X279" i="14"/>
  <c r="W279" i="14"/>
  <c r="V279" i="14"/>
  <c r="U279" i="14"/>
  <c r="T279" i="14"/>
  <c r="S279" i="14"/>
  <c r="R279" i="14"/>
  <c r="Q279" i="14"/>
  <c r="P279" i="14"/>
  <c r="O279" i="14"/>
  <c r="N279" i="14"/>
  <c r="M279" i="14"/>
  <c r="L279" i="14"/>
  <c r="K279" i="14"/>
  <c r="J279" i="14"/>
  <c r="I279" i="14"/>
  <c r="H279" i="14"/>
  <c r="G279" i="14"/>
  <c r="F279" i="14"/>
  <c r="AE278" i="14"/>
  <c r="AC278" i="14"/>
  <c r="AB278" i="14"/>
  <c r="AA278" i="14"/>
  <c r="Z278" i="14"/>
  <c r="Y278" i="14"/>
  <c r="X278" i="14"/>
  <c r="W278" i="14"/>
  <c r="V278" i="14"/>
  <c r="U278" i="14"/>
  <c r="T278" i="14"/>
  <c r="S278" i="14"/>
  <c r="R278" i="14"/>
  <c r="Q278" i="14"/>
  <c r="P278" i="14"/>
  <c r="O278" i="14"/>
  <c r="N278" i="14"/>
  <c r="M278" i="14"/>
  <c r="L278" i="14"/>
  <c r="K278" i="14"/>
  <c r="J278" i="14"/>
  <c r="I278" i="14"/>
  <c r="H278" i="14"/>
  <c r="G278" i="14"/>
  <c r="F278" i="14"/>
  <c r="AE277" i="14"/>
  <c r="AC277" i="14"/>
  <c r="AB277" i="14"/>
  <c r="AA277" i="14"/>
  <c r="Z277" i="14"/>
  <c r="Y277" i="14"/>
  <c r="X277" i="14"/>
  <c r="W277" i="14"/>
  <c r="V277" i="14"/>
  <c r="U277" i="14"/>
  <c r="T277" i="14"/>
  <c r="S277" i="14"/>
  <c r="R277" i="14"/>
  <c r="Q277" i="14"/>
  <c r="P277" i="14"/>
  <c r="O277" i="14"/>
  <c r="N277" i="14"/>
  <c r="M277" i="14"/>
  <c r="L277" i="14"/>
  <c r="K277" i="14"/>
  <c r="J277" i="14"/>
  <c r="I277" i="14"/>
  <c r="H277" i="14"/>
  <c r="G277" i="14"/>
  <c r="F277" i="14"/>
  <c r="AE276" i="14"/>
  <c r="AC276" i="14"/>
  <c r="AB276" i="14"/>
  <c r="AA276" i="14"/>
  <c r="Z276" i="14"/>
  <c r="Y276" i="14"/>
  <c r="X276" i="14"/>
  <c r="W276" i="14"/>
  <c r="V276" i="14"/>
  <c r="U276" i="14"/>
  <c r="T276" i="14"/>
  <c r="S276" i="14"/>
  <c r="R276" i="14"/>
  <c r="Q276" i="14"/>
  <c r="P276" i="14"/>
  <c r="O276" i="14"/>
  <c r="N276" i="14"/>
  <c r="M276" i="14"/>
  <c r="L276" i="14"/>
  <c r="K276" i="14"/>
  <c r="J276" i="14"/>
  <c r="I276" i="14"/>
  <c r="H276" i="14"/>
  <c r="G276" i="14"/>
  <c r="F276" i="14"/>
  <c r="AE275" i="14"/>
  <c r="AC275" i="14"/>
  <c r="AB275" i="14"/>
  <c r="AA275" i="14"/>
  <c r="Z275" i="14"/>
  <c r="Y275" i="14"/>
  <c r="X275" i="14"/>
  <c r="W275" i="14"/>
  <c r="V275" i="14"/>
  <c r="U275" i="14"/>
  <c r="T275" i="14"/>
  <c r="S275" i="14"/>
  <c r="R275" i="14"/>
  <c r="Q275" i="14"/>
  <c r="P275" i="14"/>
  <c r="O275" i="14"/>
  <c r="N275" i="14"/>
  <c r="M275" i="14"/>
  <c r="L275" i="14"/>
  <c r="K275" i="14"/>
  <c r="J275" i="14"/>
  <c r="I275" i="14"/>
  <c r="H275" i="14"/>
  <c r="G275" i="14"/>
  <c r="F275" i="14"/>
  <c r="AE274" i="14"/>
  <c r="AC274" i="14"/>
  <c r="AB274" i="14"/>
  <c r="AA274" i="14"/>
  <c r="Z274" i="14"/>
  <c r="Y274" i="14"/>
  <c r="X274" i="14"/>
  <c r="W274" i="14"/>
  <c r="V274" i="14"/>
  <c r="U274" i="14"/>
  <c r="T274" i="14"/>
  <c r="S274" i="14"/>
  <c r="R274" i="14"/>
  <c r="Q274" i="14"/>
  <c r="P274" i="14"/>
  <c r="O274" i="14"/>
  <c r="N274" i="14"/>
  <c r="M274" i="14"/>
  <c r="L274" i="14"/>
  <c r="K274" i="14"/>
  <c r="J274" i="14"/>
  <c r="I274" i="14"/>
  <c r="H274" i="14"/>
  <c r="G274" i="14"/>
  <c r="F274" i="14"/>
  <c r="AE273" i="14"/>
  <c r="AC273" i="14"/>
  <c r="AB273" i="14"/>
  <c r="AA273" i="14"/>
  <c r="Z273" i="14"/>
  <c r="Y273" i="14"/>
  <c r="X273" i="14"/>
  <c r="W273" i="14"/>
  <c r="V273" i="14"/>
  <c r="U273" i="14"/>
  <c r="T273" i="14"/>
  <c r="S273" i="14"/>
  <c r="R273" i="14"/>
  <c r="Q273" i="14"/>
  <c r="P273" i="14"/>
  <c r="O273" i="14"/>
  <c r="N273" i="14"/>
  <c r="M273" i="14"/>
  <c r="L273" i="14"/>
  <c r="K273" i="14"/>
  <c r="J273" i="14"/>
  <c r="I273" i="14"/>
  <c r="H273" i="14"/>
  <c r="G273" i="14"/>
  <c r="F273" i="14"/>
  <c r="AE272" i="14"/>
  <c r="AC272" i="14"/>
  <c r="AB272" i="14"/>
  <c r="AA272" i="14"/>
  <c r="Z272" i="14"/>
  <c r="Y272" i="14"/>
  <c r="X272" i="14"/>
  <c r="W272" i="14"/>
  <c r="V272" i="14"/>
  <c r="U272" i="14"/>
  <c r="T272" i="14"/>
  <c r="S272" i="14"/>
  <c r="R272" i="14"/>
  <c r="Q272" i="14"/>
  <c r="P272" i="14"/>
  <c r="O272" i="14"/>
  <c r="N272" i="14"/>
  <c r="M272" i="14"/>
  <c r="L272" i="14"/>
  <c r="K272" i="14"/>
  <c r="J272" i="14"/>
  <c r="I272" i="14"/>
  <c r="H272" i="14"/>
  <c r="G272" i="14"/>
  <c r="F272" i="14"/>
  <c r="AE271" i="14"/>
  <c r="AC271" i="14"/>
  <c r="AB271" i="14"/>
  <c r="AA271" i="14"/>
  <c r="Z271" i="14"/>
  <c r="Y271" i="14"/>
  <c r="X271" i="14"/>
  <c r="W271" i="14"/>
  <c r="V271" i="14"/>
  <c r="U271" i="14"/>
  <c r="T271" i="14"/>
  <c r="S271" i="14"/>
  <c r="R271" i="14"/>
  <c r="Q271" i="14"/>
  <c r="P271" i="14"/>
  <c r="O271" i="14"/>
  <c r="N271" i="14"/>
  <c r="M271" i="14"/>
  <c r="L271" i="14"/>
  <c r="K271" i="14"/>
  <c r="J271" i="14"/>
  <c r="I271" i="14"/>
  <c r="H271" i="14"/>
  <c r="G271" i="14"/>
  <c r="F271" i="14"/>
  <c r="AE270" i="14"/>
  <c r="AC270" i="14"/>
  <c r="AB270" i="14"/>
  <c r="AA270" i="14"/>
  <c r="Z270" i="14"/>
  <c r="Y270" i="14"/>
  <c r="X270" i="14"/>
  <c r="W270" i="14"/>
  <c r="V270" i="14"/>
  <c r="U270" i="14"/>
  <c r="T270" i="14"/>
  <c r="S270" i="14"/>
  <c r="R270" i="14"/>
  <c r="Q270" i="14"/>
  <c r="P270" i="14"/>
  <c r="O270" i="14"/>
  <c r="N270" i="14"/>
  <c r="M270" i="14"/>
  <c r="L270" i="14"/>
  <c r="K270" i="14"/>
  <c r="J270" i="14"/>
  <c r="I270" i="14"/>
  <c r="H270" i="14"/>
  <c r="G270" i="14"/>
  <c r="F270" i="14"/>
  <c r="AE269" i="14"/>
  <c r="AC269" i="14"/>
  <c r="AB269" i="14"/>
  <c r="AA269" i="14"/>
  <c r="Z269" i="14"/>
  <c r="Y269" i="14"/>
  <c r="X269" i="14"/>
  <c r="W269" i="14"/>
  <c r="V269" i="14"/>
  <c r="U269" i="14"/>
  <c r="T269" i="14"/>
  <c r="S269" i="14"/>
  <c r="R269" i="14"/>
  <c r="Q269" i="14"/>
  <c r="P269" i="14"/>
  <c r="O269" i="14"/>
  <c r="N269" i="14"/>
  <c r="M269" i="14"/>
  <c r="L269" i="14"/>
  <c r="K269" i="14"/>
  <c r="J269" i="14"/>
  <c r="I269" i="14"/>
  <c r="H269" i="14"/>
  <c r="G269" i="14"/>
  <c r="F269" i="14"/>
  <c r="AE268" i="14"/>
  <c r="AC268" i="14"/>
  <c r="AB268" i="14"/>
  <c r="AA268" i="14"/>
  <c r="Z268" i="14"/>
  <c r="Y268" i="14"/>
  <c r="X268" i="14"/>
  <c r="W268" i="14"/>
  <c r="V268" i="14"/>
  <c r="U268" i="14"/>
  <c r="T268" i="14"/>
  <c r="S268" i="14"/>
  <c r="R268" i="14"/>
  <c r="Q268" i="14"/>
  <c r="P268" i="14"/>
  <c r="O268" i="14"/>
  <c r="N268" i="14"/>
  <c r="M268" i="14"/>
  <c r="L268" i="14"/>
  <c r="K268" i="14"/>
  <c r="J268" i="14"/>
  <c r="I268" i="14"/>
  <c r="H268" i="14"/>
  <c r="G268" i="14"/>
  <c r="F268" i="14"/>
  <c r="AE267" i="14"/>
  <c r="AC267" i="14"/>
  <c r="AB267" i="14"/>
  <c r="AA267" i="14"/>
  <c r="Z267" i="14"/>
  <c r="Y267" i="14"/>
  <c r="X267" i="14"/>
  <c r="W267" i="14"/>
  <c r="V267" i="14"/>
  <c r="U267" i="14"/>
  <c r="T267" i="14"/>
  <c r="S267" i="14"/>
  <c r="R267" i="14"/>
  <c r="Q267" i="14"/>
  <c r="P267" i="14"/>
  <c r="O267" i="14"/>
  <c r="N267" i="14"/>
  <c r="M267" i="14"/>
  <c r="L267" i="14"/>
  <c r="K267" i="14"/>
  <c r="J267" i="14"/>
  <c r="I267" i="14"/>
  <c r="H267" i="14"/>
  <c r="G267" i="14"/>
  <c r="F267" i="14"/>
  <c r="AE266" i="14"/>
  <c r="AC266" i="14"/>
  <c r="AB266" i="14"/>
  <c r="AA266" i="14"/>
  <c r="Z266" i="14"/>
  <c r="Y266" i="14"/>
  <c r="X266" i="14"/>
  <c r="W266" i="14"/>
  <c r="V266" i="14"/>
  <c r="U266" i="14"/>
  <c r="T266" i="14"/>
  <c r="S266" i="14"/>
  <c r="R266" i="14"/>
  <c r="Q266" i="14"/>
  <c r="P266" i="14"/>
  <c r="O266" i="14"/>
  <c r="N266" i="14"/>
  <c r="M266" i="14"/>
  <c r="L266" i="14"/>
  <c r="K266" i="14"/>
  <c r="J266" i="14"/>
  <c r="I266" i="14"/>
  <c r="H266" i="14"/>
  <c r="G266" i="14"/>
  <c r="F266" i="14"/>
  <c r="AE265" i="14"/>
  <c r="AC265" i="14"/>
  <c r="AB265" i="14"/>
  <c r="AA265" i="14"/>
  <c r="Z265" i="14"/>
  <c r="Y265" i="14"/>
  <c r="X265" i="14"/>
  <c r="W265" i="14"/>
  <c r="V265" i="14"/>
  <c r="U265" i="14"/>
  <c r="T265" i="14"/>
  <c r="S265" i="14"/>
  <c r="R265" i="14"/>
  <c r="Q265" i="14"/>
  <c r="P265" i="14"/>
  <c r="O265" i="14"/>
  <c r="N265" i="14"/>
  <c r="M265" i="14"/>
  <c r="L265" i="14"/>
  <c r="K265" i="14"/>
  <c r="J265" i="14"/>
  <c r="I265" i="14"/>
  <c r="H265" i="14"/>
  <c r="G265" i="14"/>
  <c r="F265" i="14"/>
  <c r="AE264" i="14"/>
  <c r="AC264" i="14"/>
  <c r="AB264" i="14"/>
  <c r="AA264" i="14"/>
  <c r="Z264" i="14"/>
  <c r="Y264" i="14"/>
  <c r="X264" i="14"/>
  <c r="W264" i="14"/>
  <c r="V264" i="14"/>
  <c r="U264" i="14"/>
  <c r="T264" i="14"/>
  <c r="S264" i="14"/>
  <c r="R264" i="14"/>
  <c r="Q264" i="14"/>
  <c r="P264" i="14"/>
  <c r="O264" i="14"/>
  <c r="N264" i="14"/>
  <c r="M264" i="14"/>
  <c r="L264" i="14"/>
  <c r="K264" i="14"/>
  <c r="J264" i="14"/>
  <c r="I264" i="14"/>
  <c r="H264" i="14"/>
  <c r="G264" i="14"/>
  <c r="F264" i="14"/>
  <c r="AE263" i="14"/>
  <c r="AC263" i="14"/>
  <c r="AB263" i="14"/>
  <c r="AA263" i="14"/>
  <c r="Z263" i="14"/>
  <c r="Y263" i="14"/>
  <c r="X263" i="14"/>
  <c r="W263" i="14"/>
  <c r="V263" i="14"/>
  <c r="U263" i="14"/>
  <c r="T263" i="14"/>
  <c r="S263" i="14"/>
  <c r="R263" i="14"/>
  <c r="Q263" i="14"/>
  <c r="P263" i="14"/>
  <c r="O263" i="14"/>
  <c r="N263" i="14"/>
  <c r="M263" i="14"/>
  <c r="L263" i="14"/>
  <c r="K263" i="14"/>
  <c r="J263" i="14"/>
  <c r="I263" i="14"/>
  <c r="H263" i="14"/>
  <c r="G263" i="14"/>
  <c r="F263" i="14"/>
  <c r="AE262" i="14"/>
  <c r="AC262" i="14"/>
  <c r="AB262" i="14"/>
  <c r="AA262" i="14"/>
  <c r="Z262" i="14"/>
  <c r="Y262" i="14"/>
  <c r="X262" i="14"/>
  <c r="W262" i="14"/>
  <c r="V262" i="14"/>
  <c r="U262" i="14"/>
  <c r="T262" i="14"/>
  <c r="S262" i="14"/>
  <c r="R262" i="14"/>
  <c r="Q262" i="14"/>
  <c r="P262" i="14"/>
  <c r="O262" i="14"/>
  <c r="N262" i="14"/>
  <c r="M262" i="14"/>
  <c r="L262" i="14"/>
  <c r="K262" i="14"/>
  <c r="J262" i="14"/>
  <c r="I262" i="14"/>
  <c r="H262" i="14"/>
  <c r="G262" i="14"/>
  <c r="F262" i="14"/>
  <c r="AE261" i="14"/>
  <c r="AC261" i="14"/>
  <c r="AB261" i="14"/>
  <c r="AA261" i="14"/>
  <c r="Z261" i="14"/>
  <c r="Y261" i="14"/>
  <c r="X261" i="14"/>
  <c r="W261" i="14"/>
  <c r="V261" i="14"/>
  <c r="U261" i="14"/>
  <c r="T261" i="14"/>
  <c r="S261" i="14"/>
  <c r="R261" i="14"/>
  <c r="Q261" i="14"/>
  <c r="P261" i="14"/>
  <c r="O261" i="14"/>
  <c r="N261" i="14"/>
  <c r="M261" i="14"/>
  <c r="L261" i="14"/>
  <c r="K261" i="14"/>
  <c r="J261" i="14"/>
  <c r="I261" i="14"/>
  <c r="H261" i="14"/>
  <c r="G261" i="14"/>
  <c r="F261" i="14"/>
  <c r="AE260" i="14"/>
  <c r="AC260" i="14"/>
  <c r="AB260" i="14"/>
  <c r="AA260" i="14"/>
  <c r="Z260" i="14"/>
  <c r="Y260" i="14"/>
  <c r="X260" i="14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AE259" i="14"/>
  <c r="AC259" i="14"/>
  <c r="AB259" i="14"/>
  <c r="AA259" i="14"/>
  <c r="Z259" i="14"/>
  <c r="Y259" i="14"/>
  <c r="X259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AE258" i="14"/>
  <c r="AC258" i="14"/>
  <c r="AB258" i="14"/>
  <c r="AA258" i="14"/>
  <c r="Z258" i="14"/>
  <c r="Y258" i="14"/>
  <c r="X258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AE257" i="14"/>
  <c r="AC257" i="14"/>
  <c r="AB257" i="14"/>
  <c r="AA257" i="14"/>
  <c r="Z257" i="14"/>
  <c r="Y257" i="14"/>
  <c r="X257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AE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AE255" i="14"/>
  <c r="AC255" i="14"/>
  <c r="AB255" i="14"/>
  <c r="AA255" i="14"/>
  <c r="Z255" i="14"/>
  <c r="Y255" i="14"/>
  <c r="X255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AE254" i="14"/>
  <c r="AC254" i="14"/>
  <c r="AB254" i="14"/>
  <c r="AA254" i="14"/>
  <c r="Z254" i="14"/>
  <c r="Y254" i="14"/>
  <c r="X254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AE253" i="14"/>
  <c r="AC253" i="14"/>
  <c r="AB253" i="14"/>
  <c r="AA253" i="14"/>
  <c r="Z253" i="14"/>
  <c r="Y253" i="14"/>
  <c r="X253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AE252" i="14"/>
  <c r="AC252" i="14"/>
  <c r="AB252" i="14"/>
  <c r="AA252" i="14"/>
  <c r="Z252" i="14"/>
  <c r="Y252" i="14"/>
  <c r="X252" i="14"/>
  <c r="W252" i="14"/>
  <c r="V252" i="14"/>
  <c r="U252" i="14"/>
  <c r="T252" i="14"/>
  <c r="S252" i="14"/>
  <c r="R252" i="14"/>
  <c r="Q252" i="14"/>
  <c r="P252" i="14"/>
  <c r="O252" i="14"/>
  <c r="N252" i="14"/>
  <c r="M252" i="14"/>
  <c r="L252" i="14"/>
  <c r="K252" i="14"/>
  <c r="J252" i="14"/>
  <c r="I252" i="14"/>
  <c r="H252" i="14"/>
  <c r="G252" i="14"/>
  <c r="F252" i="14"/>
  <c r="AE251" i="14"/>
  <c r="AC251" i="14"/>
  <c r="AB251" i="14"/>
  <c r="AA251" i="14"/>
  <c r="Z251" i="14"/>
  <c r="Y251" i="14"/>
  <c r="X251" i="14"/>
  <c r="W251" i="14"/>
  <c r="V251" i="14"/>
  <c r="U251" i="14"/>
  <c r="T251" i="14"/>
  <c r="S251" i="14"/>
  <c r="R251" i="14"/>
  <c r="Q251" i="14"/>
  <c r="P251" i="14"/>
  <c r="O251" i="14"/>
  <c r="N251" i="14"/>
  <c r="M251" i="14"/>
  <c r="L251" i="14"/>
  <c r="K251" i="14"/>
  <c r="J251" i="14"/>
  <c r="I251" i="14"/>
  <c r="H251" i="14"/>
  <c r="G251" i="14"/>
  <c r="F251" i="14"/>
  <c r="AE250" i="14"/>
  <c r="AC250" i="14"/>
  <c r="AB250" i="14"/>
  <c r="AA250" i="14"/>
  <c r="Z250" i="14"/>
  <c r="Y250" i="14"/>
  <c r="X250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AE249" i="14"/>
  <c r="AC249" i="14"/>
  <c r="AB249" i="14"/>
  <c r="AA249" i="14"/>
  <c r="Z249" i="14"/>
  <c r="Y249" i="14"/>
  <c r="X249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AE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AE247" i="14"/>
  <c r="AC247" i="14"/>
  <c r="AB247" i="14"/>
  <c r="AA247" i="14"/>
  <c r="Z247" i="14"/>
  <c r="Y247" i="14"/>
  <c r="X247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AE246" i="14"/>
  <c r="AC246" i="14"/>
  <c r="AB246" i="14"/>
  <c r="AA246" i="14"/>
  <c r="Z246" i="14"/>
  <c r="Y246" i="14"/>
  <c r="X246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AE245" i="14"/>
  <c r="AC245" i="14"/>
  <c r="AB245" i="14"/>
  <c r="AA245" i="14"/>
  <c r="Z245" i="14"/>
  <c r="Y245" i="14"/>
  <c r="X245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AE244" i="14"/>
  <c r="AC244" i="14"/>
  <c r="AB244" i="14"/>
  <c r="AA244" i="14"/>
  <c r="Z244" i="14"/>
  <c r="Y244" i="14"/>
  <c r="X244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AE243" i="14"/>
  <c r="AC243" i="14"/>
  <c r="AB243" i="14"/>
  <c r="AA243" i="14"/>
  <c r="Z243" i="14"/>
  <c r="Y243" i="14"/>
  <c r="X243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AE242" i="14"/>
  <c r="AC242" i="14"/>
  <c r="AB242" i="14"/>
  <c r="AA242" i="14"/>
  <c r="Z242" i="14"/>
  <c r="Y242" i="14"/>
  <c r="X242" i="14"/>
  <c r="W242" i="14"/>
  <c r="V242" i="14"/>
  <c r="U242" i="14"/>
  <c r="T242" i="14"/>
  <c r="S242" i="14"/>
  <c r="R242" i="14"/>
  <c r="Q242" i="14"/>
  <c r="P242" i="14"/>
  <c r="O242" i="14"/>
  <c r="N242" i="14"/>
  <c r="M242" i="14"/>
  <c r="L242" i="14"/>
  <c r="K242" i="14"/>
  <c r="J242" i="14"/>
  <c r="I242" i="14"/>
  <c r="H242" i="14"/>
  <c r="G242" i="14"/>
  <c r="F242" i="14"/>
  <c r="AE241" i="14"/>
  <c r="AC241" i="14"/>
  <c r="AB241" i="14"/>
  <c r="AA241" i="14"/>
  <c r="Z241" i="14"/>
  <c r="Y241" i="14"/>
  <c r="X241" i="14"/>
  <c r="W241" i="14"/>
  <c r="V241" i="14"/>
  <c r="U241" i="14"/>
  <c r="T241" i="14"/>
  <c r="S241" i="14"/>
  <c r="R241" i="14"/>
  <c r="Q241" i="14"/>
  <c r="P241" i="14"/>
  <c r="O241" i="14"/>
  <c r="N241" i="14"/>
  <c r="M241" i="14"/>
  <c r="L241" i="14"/>
  <c r="K241" i="14"/>
  <c r="J241" i="14"/>
  <c r="I241" i="14"/>
  <c r="H241" i="14"/>
  <c r="G241" i="14"/>
  <c r="F241" i="14"/>
  <c r="AE240" i="14"/>
  <c r="AC240" i="14"/>
  <c r="AB240" i="14"/>
  <c r="AA240" i="14"/>
  <c r="Z240" i="14"/>
  <c r="Y240" i="14"/>
  <c r="X240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AE239" i="14"/>
  <c r="AC239" i="14"/>
  <c r="AB239" i="14"/>
  <c r="AA239" i="14"/>
  <c r="Z239" i="14"/>
  <c r="Y239" i="14"/>
  <c r="X239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AE238" i="14"/>
  <c r="AC238" i="14"/>
  <c r="AB238" i="14"/>
  <c r="AA238" i="14"/>
  <c r="Z238" i="14"/>
  <c r="Y238" i="14"/>
  <c r="X238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AE237" i="14"/>
  <c r="AC237" i="14"/>
  <c r="AB237" i="14"/>
  <c r="AA237" i="14"/>
  <c r="Z237" i="14"/>
  <c r="Y237" i="14"/>
  <c r="X237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AE236" i="14"/>
  <c r="AC236" i="14"/>
  <c r="AB236" i="14"/>
  <c r="AA236" i="14"/>
  <c r="Z236" i="14"/>
  <c r="Y236" i="14"/>
  <c r="X236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AE235" i="14"/>
  <c r="AC235" i="14"/>
  <c r="AB235" i="14"/>
  <c r="AA235" i="14"/>
  <c r="Z235" i="14"/>
  <c r="Y235" i="14"/>
  <c r="X235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AE234" i="14"/>
  <c r="AC234" i="14"/>
  <c r="AB234" i="14"/>
  <c r="AA234" i="14"/>
  <c r="Z234" i="14"/>
  <c r="Y234" i="14"/>
  <c r="X234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AE233" i="14"/>
  <c r="AC233" i="14"/>
  <c r="AB233" i="14"/>
  <c r="AA233" i="14"/>
  <c r="Z233" i="14"/>
  <c r="Y233" i="14"/>
  <c r="X233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AE232" i="14"/>
  <c r="AC232" i="14"/>
  <c r="AB232" i="14"/>
  <c r="AA232" i="14"/>
  <c r="Z232" i="14"/>
  <c r="Y232" i="14"/>
  <c r="X232" i="14"/>
  <c r="W232" i="14"/>
  <c r="V232" i="14"/>
  <c r="U232" i="14"/>
  <c r="T232" i="14"/>
  <c r="S232" i="14"/>
  <c r="R232" i="14"/>
  <c r="Q232" i="14"/>
  <c r="P232" i="14"/>
  <c r="O232" i="14"/>
  <c r="N232" i="14"/>
  <c r="M232" i="14"/>
  <c r="L232" i="14"/>
  <c r="K232" i="14"/>
  <c r="J232" i="14"/>
  <c r="I232" i="14"/>
  <c r="H232" i="14"/>
  <c r="G232" i="14"/>
  <c r="F232" i="14"/>
  <c r="AE231" i="14"/>
  <c r="AC231" i="14"/>
  <c r="AB231" i="14"/>
  <c r="AA231" i="14"/>
  <c r="Z231" i="14"/>
  <c r="Y231" i="14"/>
  <c r="X231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AE230" i="14"/>
  <c r="AC230" i="14"/>
  <c r="AB230" i="14"/>
  <c r="AA230" i="14"/>
  <c r="Z230" i="14"/>
  <c r="Y230" i="14"/>
  <c r="X230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AE229" i="14"/>
  <c r="AC229" i="14"/>
  <c r="AB229" i="14"/>
  <c r="AA229" i="14"/>
  <c r="Z229" i="14"/>
  <c r="Y229" i="14"/>
  <c r="X229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AE228" i="14"/>
  <c r="AC228" i="14"/>
  <c r="AB228" i="14"/>
  <c r="AA228" i="14"/>
  <c r="Z228" i="14"/>
  <c r="Y228" i="14"/>
  <c r="X228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AE227" i="14"/>
  <c r="AC227" i="14"/>
  <c r="AB227" i="14"/>
  <c r="AA227" i="14"/>
  <c r="Z227" i="14"/>
  <c r="Y227" i="14"/>
  <c r="X227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AE226" i="14"/>
  <c r="AC226" i="14"/>
  <c r="AB226" i="14"/>
  <c r="AA226" i="14"/>
  <c r="Z226" i="14"/>
  <c r="Y226" i="14"/>
  <c r="X226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AE225" i="14"/>
  <c r="AC225" i="14"/>
  <c r="AB225" i="14"/>
  <c r="AA225" i="14"/>
  <c r="Z225" i="14"/>
  <c r="Y225" i="14"/>
  <c r="X225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AE224" i="14"/>
  <c r="AC224" i="14"/>
  <c r="AB224" i="14"/>
  <c r="AA224" i="14"/>
  <c r="Z224" i="14"/>
  <c r="Y224" i="14"/>
  <c r="X224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AE223" i="14"/>
  <c r="AC223" i="14"/>
  <c r="AB223" i="14"/>
  <c r="AA223" i="14"/>
  <c r="Z223" i="14"/>
  <c r="Y223" i="14"/>
  <c r="X223" i="14"/>
  <c r="W223" i="14"/>
  <c r="V223" i="14"/>
  <c r="U223" i="14"/>
  <c r="T223" i="14"/>
  <c r="S223" i="14"/>
  <c r="R223" i="14"/>
  <c r="Q223" i="14"/>
  <c r="P223" i="14"/>
  <c r="O223" i="14"/>
  <c r="N223" i="14"/>
  <c r="M223" i="14"/>
  <c r="L223" i="14"/>
  <c r="K223" i="14"/>
  <c r="J223" i="14"/>
  <c r="I223" i="14"/>
  <c r="H223" i="14"/>
  <c r="G223" i="14"/>
  <c r="F223" i="14"/>
  <c r="AE222" i="14"/>
  <c r="AC222" i="14"/>
  <c r="AB222" i="14"/>
  <c r="AA222" i="14"/>
  <c r="Z222" i="14"/>
  <c r="Y222" i="14"/>
  <c r="X222" i="14"/>
  <c r="W222" i="14"/>
  <c r="V222" i="14"/>
  <c r="U222" i="14"/>
  <c r="T222" i="14"/>
  <c r="S222" i="14"/>
  <c r="R222" i="14"/>
  <c r="Q222" i="14"/>
  <c r="P222" i="14"/>
  <c r="O222" i="14"/>
  <c r="N222" i="14"/>
  <c r="M222" i="14"/>
  <c r="L222" i="14"/>
  <c r="K222" i="14"/>
  <c r="J222" i="14"/>
  <c r="I222" i="14"/>
  <c r="H222" i="14"/>
  <c r="G222" i="14"/>
  <c r="F222" i="14"/>
  <c r="AE221" i="14"/>
  <c r="AC221" i="14"/>
  <c r="AB221" i="14"/>
  <c r="AA221" i="14"/>
  <c r="Z221" i="14"/>
  <c r="Y221" i="14"/>
  <c r="X221" i="14"/>
  <c r="W221" i="14"/>
  <c r="V221" i="14"/>
  <c r="U221" i="14"/>
  <c r="T221" i="14"/>
  <c r="S221" i="14"/>
  <c r="R221" i="14"/>
  <c r="Q221" i="14"/>
  <c r="P221" i="14"/>
  <c r="O221" i="14"/>
  <c r="N221" i="14"/>
  <c r="M221" i="14"/>
  <c r="L221" i="14"/>
  <c r="K221" i="14"/>
  <c r="J221" i="14"/>
  <c r="I221" i="14"/>
  <c r="H221" i="14"/>
  <c r="G221" i="14"/>
  <c r="F221" i="14"/>
  <c r="AE220" i="14"/>
  <c r="AC220" i="14"/>
  <c r="AB220" i="14"/>
  <c r="AA220" i="14"/>
  <c r="Z220" i="14"/>
  <c r="Y220" i="14"/>
  <c r="X220" i="14"/>
  <c r="W220" i="14"/>
  <c r="V220" i="14"/>
  <c r="U220" i="14"/>
  <c r="T220" i="14"/>
  <c r="S220" i="14"/>
  <c r="R220" i="14"/>
  <c r="Q220" i="14"/>
  <c r="P220" i="14"/>
  <c r="O220" i="14"/>
  <c r="N220" i="14"/>
  <c r="M220" i="14"/>
  <c r="L220" i="14"/>
  <c r="K220" i="14"/>
  <c r="J220" i="14"/>
  <c r="I220" i="14"/>
  <c r="H220" i="14"/>
  <c r="G220" i="14"/>
  <c r="F220" i="14"/>
  <c r="AE219" i="14"/>
  <c r="AC219" i="14"/>
  <c r="AB219" i="14"/>
  <c r="AA219" i="14"/>
  <c r="Z219" i="14"/>
  <c r="Y219" i="14"/>
  <c r="X219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AE218" i="14"/>
  <c r="AC218" i="14"/>
  <c r="AB218" i="14"/>
  <c r="AA218" i="14"/>
  <c r="Z218" i="14"/>
  <c r="Y218" i="14"/>
  <c r="X218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AE217" i="14"/>
  <c r="AC217" i="14"/>
  <c r="AB217" i="14"/>
  <c r="AA217" i="14"/>
  <c r="Z217" i="14"/>
  <c r="Y217" i="14"/>
  <c r="X217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AE216" i="14"/>
  <c r="AC216" i="14"/>
  <c r="AB216" i="14"/>
  <c r="AA216" i="14"/>
  <c r="Z216" i="14"/>
  <c r="Y216" i="14"/>
  <c r="X216" i="14"/>
  <c r="W216" i="14"/>
  <c r="V216" i="14"/>
  <c r="U216" i="14"/>
  <c r="T216" i="14"/>
  <c r="S216" i="14"/>
  <c r="R216" i="14"/>
  <c r="Q216" i="14"/>
  <c r="P216" i="14"/>
  <c r="O216" i="14"/>
  <c r="N216" i="14"/>
  <c r="M216" i="14"/>
  <c r="L216" i="14"/>
  <c r="K216" i="14"/>
  <c r="J216" i="14"/>
  <c r="I216" i="14"/>
  <c r="H216" i="14"/>
  <c r="G216" i="14"/>
  <c r="F216" i="14"/>
  <c r="AE215" i="14"/>
  <c r="AC215" i="14"/>
  <c r="AB215" i="14"/>
  <c r="AA215" i="14"/>
  <c r="Z215" i="14"/>
  <c r="Y215" i="14"/>
  <c r="X215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AE214" i="14"/>
  <c r="AC214" i="14"/>
  <c r="AB214" i="14"/>
  <c r="AA214" i="14"/>
  <c r="Z214" i="14"/>
  <c r="Y214" i="14"/>
  <c r="X214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AE213" i="14"/>
  <c r="AC213" i="14"/>
  <c r="AB213" i="14"/>
  <c r="AA213" i="14"/>
  <c r="Z213" i="14"/>
  <c r="Y213" i="14"/>
  <c r="X213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AE212" i="14"/>
  <c r="AC212" i="14"/>
  <c r="AB212" i="14"/>
  <c r="AA212" i="14"/>
  <c r="Z212" i="14"/>
  <c r="Y212" i="14"/>
  <c r="X212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AE211" i="14"/>
  <c r="AC211" i="14"/>
  <c r="AB211" i="14"/>
  <c r="AA211" i="14"/>
  <c r="Z211" i="14"/>
  <c r="Y211" i="14"/>
  <c r="X211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AE210" i="14"/>
  <c r="AC210" i="14"/>
  <c r="AB210" i="14"/>
  <c r="AA210" i="14"/>
  <c r="Z210" i="14"/>
  <c r="Y210" i="14"/>
  <c r="X210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AE209" i="14"/>
  <c r="AC209" i="14"/>
  <c r="AB209" i="14"/>
  <c r="AA209" i="14"/>
  <c r="Z209" i="14"/>
  <c r="Y209" i="14"/>
  <c r="X209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AE208" i="14"/>
  <c r="AC208" i="14"/>
  <c r="AB208" i="14"/>
  <c r="AA208" i="14"/>
  <c r="Z208" i="14"/>
  <c r="Y208" i="14"/>
  <c r="X208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AE207" i="14"/>
  <c r="AC207" i="14"/>
  <c r="AB207" i="14"/>
  <c r="AA207" i="14"/>
  <c r="Z207" i="14"/>
  <c r="Y207" i="14"/>
  <c r="X207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AE206" i="14"/>
  <c r="AC206" i="14"/>
  <c r="AB206" i="14"/>
  <c r="AA206" i="14"/>
  <c r="Z206" i="14"/>
  <c r="Y206" i="14"/>
  <c r="X206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AE205" i="14"/>
  <c r="AC205" i="14"/>
  <c r="AB205" i="14"/>
  <c r="AA205" i="14"/>
  <c r="Z205" i="14"/>
  <c r="Y205" i="14"/>
  <c r="X205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AE204" i="14"/>
  <c r="AC204" i="14"/>
  <c r="AB204" i="14"/>
  <c r="AA204" i="14"/>
  <c r="Z204" i="14"/>
  <c r="Y204" i="14"/>
  <c r="X204" i="14"/>
  <c r="W204" i="14"/>
  <c r="V204" i="14"/>
  <c r="U204" i="14"/>
  <c r="T204" i="14"/>
  <c r="S204" i="14"/>
  <c r="R204" i="14"/>
  <c r="Q204" i="14"/>
  <c r="P204" i="14"/>
  <c r="O204" i="14"/>
  <c r="N204" i="14"/>
  <c r="M204" i="14"/>
  <c r="L204" i="14"/>
  <c r="K204" i="14"/>
  <c r="J204" i="14"/>
  <c r="I204" i="14"/>
  <c r="H204" i="14"/>
  <c r="G204" i="14"/>
  <c r="F204" i="14"/>
  <c r="AE203" i="14"/>
  <c r="AC203" i="14"/>
  <c r="AB203" i="14"/>
  <c r="AA203" i="14"/>
  <c r="Z203" i="14"/>
  <c r="Y203" i="14"/>
  <c r="X203" i="14"/>
  <c r="W203" i="14"/>
  <c r="V203" i="14"/>
  <c r="U203" i="14"/>
  <c r="T203" i="14"/>
  <c r="S203" i="14"/>
  <c r="R203" i="14"/>
  <c r="Q203" i="14"/>
  <c r="P203" i="14"/>
  <c r="O203" i="14"/>
  <c r="N203" i="14"/>
  <c r="M203" i="14"/>
  <c r="L203" i="14"/>
  <c r="K203" i="14"/>
  <c r="J203" i="14"/>
  <c r="I203" i="14"/>
  <c r="H203" i="14"/>
  <c r="G203" i="14"/>
  <c r="F203" i="14"/>
  <c r="AE202" i="14"/>
  <c r="AC202" i="14"/>
  <c r="AB202" i="14"/>
  <c r="AA202" i="14"/>
  <c r="Z202" i="14"/>
  <c r="Y202" i="14"/>
  <c r="X202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AE201" i="14"/>
  <c r="AC201" i="14"/>
  <c r="AB201" i="14"/>
  <c r="AA201" i="14"/>
  <c r="Z201" i="14"/>
  <c r="Y201" i="14"/>
  <c r="X201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AE200" i="14"/>
  <c r="AC200" i="14"/>
  <c r="AB200" i="14"/>
  <c r="AA200" i="14"/>
  <c r="Z200" i="14"/>
  <c r="Y200" i="14"/>
  <c r="X200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AE199" i="14"/>
  <c r="AC199" i="14"/>
  <c r="AB199" i="14"/>
  <c r="AA199" i="14"/>
  <c r="Z199" i="14"/>
  <c r="Y199" i="14"/>
  <c r="X199" i="14"/>
  <c r="W199" i="14"/>
  <c r="V199" i="14"/>
  <c r="U199" i="14"/>
  <c r="T199" i="14"/>
  <c r="S199" i="14"/>
  <c r="R199" i="14"/>
  <c r="Q199" i="14"/>
  <c r="P199" i="14"/>
  <c r="O199" i="14"/>
  <c r="N199" i="14"/>
  <c r="M199" i="14"/>
  <c r="L199" i="14"/>
  <c r="K199" i="14"/>
  <c r="J199" i="14"/>
  <c r="I199" i="14"/>
  <c r="H199" i="14"/>
  <c r="G199" i="14"/>
  <c r="F199" i="14"/>
  <c r="AE198" i="14"/>
  <c r="AC198" i="14"/>
  <c r="AB198" i="14"/>
  <c r="AA198" i="14"/>
  <c r="Z198" i="14"/>
  <c r="Y198" i="14"/>
  <c r="X198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AE197" i="14"/>
  <c r="AC197" i="14"/>
  <c r="AB197" i="14"/>
  <c r="AA197" i="14"/>
  <c r="Z197" i="14"/>
  <c r="Y197" i="14"/>
  <c r="X197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AE196" i="14"/>
  <c r="AC196" i="14"/>
  <c r="AB196" i="14"/>
  <c r="AA196" i="14"/>
  <c r="Z196" i="14"/>
  <c r="Y196" i="14"/>
  <c r="X196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AE195" i="14"/>
  <c r="AC195" i="14"/>
  <c r="AB195" i="14"/>
  <c r="AA195" i="14"/>
  <c r="Z195" i="14"/>
  <c r="Y195" i="14"/>
  <c r="X195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AE194" i="14"/>
  <c r="AC194" i="14"/>
  <c r="AB194" i="14"/>
  <c r="AA194" i="14"/>
  <c r="Z194" i="14"/>
  <c r="Y194" i="14"/>
  <c r="X194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AE193" i="14"/>
  <c r="AC193" i="14"/>
  <c r="AB193" i="14"/>
  <c r="AA193" i="14"/>
  <c r="Z193" i="14"/>
  <c r="Y193" i="14"/>
  <c r="X193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AE192" i="14"/>
  <c r="AC192" i="14"/>
  <c r="AB192" i="14"/>
  <c r="AA192" i="14"/>
  <c r="Z192" i="14"/>
  <c r="Y192" i="14"/>
  <c r="X192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AE191" i="14"/>
  <c r="AC191" i="14"/>
  <c r="AB191" i="14"/>
  <c r="AA191" i="14"/>
  <c r="Z191" i="14"/>
  <c r="Y191" i="14"/>
  <c r="X191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AE190" i="14"/>
  <c r="AC190" i="14"/>
  <c r="AB190" i="14"/>
  <c r="AA190" i="14"/>
  <c r="Z190" i="14"/>
  <c r="Y190" i="14"/>
  <c r="X190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AE189" i="14"/>
  <c r="AC189" i="14"/>
  <c r="AB189" i="14"/>
  <c r="AA189" i="14"/>
  <c r="Z189" i="14"/>
  <c r="Y189" i="14"/>
  <c r="X189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AE188" i="14"/>
  <c r="AC188" i="14"/>
  <c r="AB188" i="14"/>
  <c r="AA188" i="14"/>
  <c r="Z188" i="14"/>
  <c r="Y188" i="14"/>
  <c r="X188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AE187" i="14"/>
  <c r="AC187" i="14"/>
  <c r="AB187" i="14"/>
  <c r="AA187" i="14"/>
  <c r="Z187" i="14"/>
  <c r="Y187" i="14"/>
  <c r="X187" i="14"/>
  <c r="W187" i="14"/>
  <c r="V187" i="14"/>
  <c r="U187" i="14"/>
  <c r="T187" i="14"/>
  <c r="S187" i="14"/>
  <c r="R187" i="14"/>
  <c r="Q187" i="14"/>
  <c r="P187" i="14"/>
  <c r="O187" i="14"/>
  <c r="N187" i="14"/>
  <c r="M187" i="14"/>
  <c r="L187" i="14"/>
  <c r="K187" i="14"/>
  <c r="J187" i="14"/>
  <c r="I187" i="14"/>
  <c r="H187" i="14"/>
  <c r="G187" i="14"/>
  <c r="F187" i="14"/>
  <c r="AE186" i="14"/>
  <c r="AC186" i="14"/>
  <c r="AB186" i="14"/>
  <c r="AA186" i="14"/>
  <c r="Z186" i="14"/>
  <c r="Y186" i="14"/>
  <c r="X186" i="14"/>
  <c r="W186" i="14"/>
  <c r="V186" i="14"/>
  <c r="U186" i="14"/>
  <c r="T186" i="14"/>
  <c r="S186" i="14"/>
  <c r="R186" i="14"/>
  <c r="Q186" i="14"/>
  <c r="P186" i="14"/>
  <c r="O186" i="14"/>
  <c r="N186" i="14"/>
  <c r="M186" i="14"/>
  <c r="L186" i="14"/>
  <c r="K186" i="14"/>
  <c r="J186" i="14"/>
  <c r="I186" i="14"/>
  <c r="H186" i="14"/>
  <c r="G186" i="14"/>
  <c r="F186" i="14"/>
  <c r="AE185" i="14"/>
  <c r="AC185" i="14"/>
  <c r="AB185" i="14"/>
  <c r="AA185" i="14"/>
  <c r="Z185" i="14"/>
  <c r="Y185" i="14"/>
  <c r="X185" i="14"/>
  <c r="W185" i="14"/>
  <c r="V185" i="14"/>
  <c r="U185" i="14"/>
  <c r="T185" i="14"/>
  <c r="S185" i="14"/>
  <c r="R185" i="14"/>
  <c r="Q185" i="14"/>
  <c r="P185" i="14"/>
  <c r="O185" i="14"/>
  <c r="N185" i="14"/>
  <c r="M185" i="14"/>
  <c r="L185" i="14"/>
  <c r="K185" i="14"/>
  <c r="J185" i="14"/>
  <c r="I185" i="14"/>
  <c r="H185" i="14"/>
  <c r="G185" i="14"/>
  <c r="F185" i="14"/>
  <c r="AE184" i="14"/>
  <c r="AC184" i="14"/>
  <c r="AB184" i="14"/>
  <c r="AA184" i="14"/>
  <c r="Z184" i="14"/>
  <c r="Y184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AE183" i="14"/>
  <c r="AC183" i="14"/>
  <c r="AB183" i="14"/>
  <c r="AA183" i="14"/>
  <c r="Z183" i="14"/>
  <c r="Y183" i="14"/>
  <c r="X183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AE182" i="14"/>
  <c r="AC182" i="14"/>
  <c r="AB182" i="14"/>
  <c r="AA182" i="14"/>
  <c r="Z182" i="14"/>
  <c r="Y182" i="14"/>
  <c r="X182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AE181" i="14"/>
  <c r="AC181" i="14"/>
  <c r="AB181" i="14"/>
  <c r="AA181" i="14"/>
  <c r="Z181" i="14"/>
  <c r="Y181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AE180" i="14"/>
  <c r="AC180" i="14"/>
  <c r="AB180" i="14"/>
  <c r="AA180" i="14"/>
  <c r="Z180" i="14"/>
  <c r="Y180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AE179" i="14"/>
  <c r="AC179" i="14"/>
  <c r="AB179" i="14"/>
  <c r="AA179" i="14"/>
  <c r="Z179" i="14"/>
  <c r="Y179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AE178" i="14"/>
  <c r="AC178" i="14"/>
  <c r="AB178" i="14"/>
  <c r="AA178" i="14"/>
  <c r="Z178" i="14"/>
  <c r="Y178" i="14"/>
  <c r="X178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AE177" i="14"/>
  <c r="AC177" i="14"/>
  <c r="AB177" i="14"/>
  <c r="AA177" i="14"/>
  <c r="Z177" i="14"/>
  <c r="Y177" i="14"/>
  <c r="X177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AE176" i="14"/>
  <c r="AC176" i="14"/>
  <c r="AB176" i="14"/>
  <c r="AA176" i="14"/>
  <c r="Z176" i="14"/>
  <c r="Y176" i="14"/>
  <c r="X176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AE175" i="14"/>
  <c r="AC175" i="14"/>
  <c r="AB175" i="14"/>
  <c r="AA175" i="14"/>
  <c r="Z175" i="14"/>
  <c r="Y175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AE174" i="14"/>
  <c r="AC174" i="14"/>
  <c r="AB174" i="14"/>
  <c r="AA174" i="14"/>
  <c r="Z174" i="14"/>
  <c r="Y174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AE173" i="14"/>
  <c r="AC173" i="14"/>
  <c r="AB173" i="14"/>
  <c r="AA173" i="14"/>
  <c r="Z173" i="14"/>
  <c r="Y173" i="14"/>
  <c r="X173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AE172" i="14"/>
  <c r="AC172" i="14"/>
  <c r="AB172" i="14"/>
  <c r="AA172" i="14"/>
  <c r="Z172" i="14"/>
  <c r="Y172" i="14"/>
  <c r="X172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F172" i="14"/>
  <c r="AE171" i="14"/>
  <c r="AC171" i="14"/>
  <c r="AB171" i="14"/>
  <c r="AA171" i="14"/>
  <c r="Z171" i="14"/>
  <c r="Y171" i="14"/>
  <c r="X171" i="14"/>
  <c r="W171" i="14"/>
  <c r="V171" i="14"/>
  <c r="U171" i="14"/>
  <c r="T171" i="14"/>
  <c r="S171" i="14"/>
  <c r="R171" i="14"/>
  <c r="Q171" i="14"/>
  <c r="P171" i="14"/>
  <c r="O171" i="14"/>
  <c r="N171" i="14"/>
  <c r="M171" i="14"/>
  <c r="L171" i="14"/>
  <c r="K171" i="14"/>
  <c r="J171" i="14"/>
  <c r="I171" i="14"/>
  <c r="H171" i="14"/>
  <c r="G171" i="14"/>
  <c r="F171" i="14"/>
  <c r="AE170" i="14"/>
  <c r="AC170" i="14"/>
  <c r="AB170" i="14"/>
  <c r="AA170" i="14"/>
  <c r="Z170" i="14"/>
  <c r="Y170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AE169" i="14"/>
  <c r="AC169" i="14"/>
  <c r="AB169" i="14"/>
  <c r="AA169" i="14"/>
  <c r="Z169" i="14"/>
  <c r="Y169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AE168" i="14"/>
  <c r="AC168" i="14"/>
  <c r="AB168" i="14"/>
  <c r="AA168" i="14"/>
  <c r="Z168" i="14"/>
  <c r="Y168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AE167" i="14"/>
  <c r="AC167" i="14"/>
  <c r="AB167" i="14"/>
  <c r="AA167" i="14"/>
  <c r="Z167" i="14"/>
  <c r="Y167" i="14"/>
  <c r="X167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AE166" i="14"/>
  <c r="AC166" i="14"/>
  <c r="AB166" i="14"/>
  <c r="AA166" i="14"/>
  <c r="Z166" i="14"/>
  <c r="Y166" i="14"/>
  <c r="X166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AE165" i="14"/>
  <c r="AC165" i="14"/>
  <c r="AB165" i="14"/>
  <c r="AA165" i="14"/>
  <c r="Z165" i="14"/>
  <c r="Y165" i="14"/>
  <c r="X165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AE164" i="14"/>
  <c r="AC164" i="14"/>
  <c r="AB164" i="14"/>
  <c r="AA164" i="14"/>
  <c r="Z164" i="14"/>
  <c r="Y164" i="14"/>
  <c r="X164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AE163" i="14"/>
  <c r="AC163" i="14"/>
  <c r="AB163" i="14"/>
  <c r="AA163" i="14"/>
  <c r="Z163" i="14"/>
  <c r="Y163" i="14"/>
  <c r="X163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J163" i="14"/>
  <c r="I163" i="14"/>
  <c r="H163" i="14"/>
  <c r="G163" i="14"/>
  <c r="F163" i="14"/>
  <c r="AE162" i="14"/>
  <c r="AC162" i="14"/>
  <c r="AB162" i="14"/>
  <c r="AA162" i="14"/>
  <c r="Z162" i="14"/>
  <c r="Y162" i="14"/>
  <c r="X162" i="14"/>
  <c r="W162" i="14"/>
  <c r="V162" i="14"/>
  <c r="U162" i="14"/>
  <c r="T162" i="14"/>
  <c r="S162" i="14"/>
  <c r="R162" i="14"/>
  <c r="Q162" i="14"/>
  <c r="P162" i="14"/>
  <c r="O162" i="14"/>
  <c r="N162" i="14"/>
  <c r="M162" i="14"/>
  <c r="L162" i="14"/>
  <c r="K162" i="14"/>
  <c r="J162" i="14"/>
  <c r="I162" i="14"/>
  <c r="H162" i="14"/>
  <c r="G162" i="14"/>
  <c r="F162" i="14"/>
  <c r="AE161" i="14"/>
  <c r="AC161" i="14"/>
  <c r="AB161" i="14"/>
  <c r="AA161" i="14"/>
  <c r="Z161" i="14"/>
  <c r="Y161" i="14"/>
  <c r="X161" i="14"/>
  <c r="W161" i="14"/>
  <c r="V161" i="14"/>
  <c r="U161" i="14"/>
  <c r="T161" i="14"/>
  <c r="S161" i="14"/>
  <c r="R161" i="14"/>
  <c r="Q161" i="14"/>
  <c r="P161" i="14"/>
  <c r="O161" i="14"/>
  <c r="N161" i="14"/>
  <c r="M161" i="14"/>
  <c r="L161" i="14"/>
  <c r="K161" i="14"/>
  <c r="J161" i="14"/>
  <c r="I161" i="14"/>
  <c r="H161" i="14"/>
  <c r="G161" i="14"/>
  <c r="F161" i="14"/>
  <c r="AE160" i="14"/>
  <c r="AC160" i="14"/>
  <c r="AB160" i="14"/>
  <c r="AA160" i="14"/>
  <c r="Z160" i="14"/>
  <c r="Y160" i="14"/>
  <c r="X160" i="14"/>
  <c r="W160" i="14"/>
  <c r="V160" i="14"/>
  <c r="U160" i="14"/>
  <c r="T160" i="14"/>
  <c r="S160" i="14"/>
  <c r="R160" i="14"/>
  <c r="Q160" i="14"/>
  <c r="P160" i="14"/>
  <c r="O160" i="14"/>
  <c r="N160" i="14"/>
  <c r="M160" i="14"/>
  <c r="L160" i="14"/>
  <c r="K160" i="14"/>
  <c r="J160" i="14"/>
  <c r="I160" i="14"/>
  <c r="H160" i="14"/>
  <c r="G160" i="14"/>
  <c r="F160" i="14"/>
  <c r="AE159" i="14"/>
  <c r="AC159" i="14"/>
  <c r="AB159" i="14"/>
  <c r="AA159" i="14"/>
  <c r="Z159" i="14"/>
  <c r="Y159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AE158" i="14"/>
  <c r="AC158" i="14"/>
  <c r="AB158" i="14"/>
  <c r="AA158" i="14"/>
  <c r="Z158" i="14"/>
  <c r="Y158" i="14"/>
  <c r="X158" i="14"/>
  <c r="W158" i="14"/>
  <c r="V158" i="14"/>
  <c r="U158" i="14"/>
  <c r="T158" i="14"/>
  <c r="S158" i="14"/>
  <c r="R158" i="14"/>
  <c r="Q158" i="14"/>
  <c r="P158" i="14"/>
  <c r="O158" i="14"/>
  <c r="N158" i="14"/>
  <c r="M158" i="14"/>
  <c r="L158" i="14"/>
  <c r="K158" i="14"/>
  <c r="J158" i="14"/>
  <c r="I158" i="14"/>
  <c r="H158" i="14"/>
  <c r="G158" i="14"/>
  <c r="F158" i="14"/>
  <c r="AE157" i="14"/>
  <c r="AC157" i="14"/>
  <c r="AB157" i="14"/>
  <c r="AA157" i="14"/>
  <c r="Z157" i="14"/>
  <c r="Y157" i="14"/>
  <c r="X157" i="14"/>
  <c r="W157" i="14"/>
  <c r="V157" i="14"/>
  <c r="U157" i="14"/>
  <c r="T157" i="14"/>
  <c r="S157" i="14"/>
  <c r="R157" i="14"/>
  <c r="Q157" i="14"/>
  <c r="P157" i="14"/>
  <c r="O157" i="14"/>
  <c r="N157" i="14"/>
  <c r="M157" i="14"/>
  <c r="L157" i="14"/>
  <c r="K157" i="14"/>
  <c r="J157" i="14"/>
  <c r="I157" i="14"/>
  <c r="H157" i="14"/>
  <c r="G157" i="14"/>
  <c r="F157" i="14"/>
  <c r="AE156" i="14"/>
  <c r="AC156" i="14"/>
  <c r="AB156" i="14"/>
  <c r="AA156" i="14"/>
  <c r="Z156" i="14"/>
  <c r="Y156" i="14"/>
  <c r="X156" i="14"/>
  <c r="W156" i="14"/>
  <c r="V156" i="14"/>
  <c r="U156" i="14"/>
  <c r="T156" i="14"/>
  <c r="S156" i="14"/>
  <c r="R156" i="14"/>
  <c r="Q156" i="14"/>
  <c r="P156" i="14"/>
  <c r="O156" i="14"/>
  <c r="N156" i="14"/>
  <c r="M156" i="14"/>
  <c r="L156" i="14"/>
  <c r="K156" i="14"/>
  <c r="J156" i="14"/>
  <c r="I156" i="14"/>
  <c r="H156" i="14"/>
  <c r="G156" i="14"/>
  <c r="F156" i="14"/>
  <c r="AE155" i="14"/>
  <c r="AC155" i="14"/>
  <c r="AB155" i="14"/>
  <c r="AA155" i="14"/>
  <c r="Z155" i="14"/>
  <c r="Y155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AE154" i="14"/>
  <c r="AC154" i="14"/>
  <c r="AB154" i="14"/>
  <c r="AA154" i="14"/>
  <c r="Z154" i="14"/>
  <c r="Y154" i="14"/>
  <c r="X154" i="14"/>
  <c r="W154" i="14"/>
  <c r="V154" i="14"/>
  <c r="U154" i="14"/>
  <c r="T154" i="14"/>
  <c r="S154" i="14"/>
  <c r="R154" i="14"/>
  <c r="Q154" i="14"/>
  <c r="P154" i="14"/>
  <c r="O154" i="14"/>
  <c r="N154" i="14"/>
  <c r="M154" i="14"/>
  <c r="L154" i="14"/>
  <c r="K154" i="14"/>
  <c r="J154" i="14"/>
  <c r="I154" i="14"/>
  <c r="H154" i="14"/>
  <c r="G154" i="14"/>
  <c r="F154" i="14"/>
  <c r="AE153" i="14"/>
  <c r="AC153" i="14"/>
  <c r="AB153" i="14"/>
  <c r="AA153" i="14"/>
  <c r="Z153" i="14"/>
  <c r="Y153" i="14"/>
  <c r="X153" i="14"/>
  <c r="W153" i="14"/>
  <c r="V153" i="14"/>
  <c r="U153" i="14"/>
  <c r="T153" i="14"/>
  <c r="S153" i="14"/>
  <c r="R153" i="14"/>
  <c r="Q153" i="14"/>
  <c r="P153" i="14"/>
  <c r="O153" i="14"/>
  <c r="N153" i="14"/>
  <c r="M153" i="14"/>
  <c r="L153" i="14"/>
  <c r="K153" i="14"/>
  <c r="J153" i="14"/>
  <c r="I153" i="14"/>
  <c r="H153" i="14"/>
  <c r="G153" i="14"/>
  <c r="F153" i="14"/>
  <c r="AE152" i="14"/>
  <c r="AC152" i="14"/>
  <c r="AB152" i="14"/>
  <c r="AA152" i="14"/>
  <c r="Z152" i="14"/>
  <c r="Y152" i="14"/>
  <c r="X152" i="14"/>
  <c r="W152" i="14"/>
  <c r="V152" i="14"/>
  <c r="U152" i="14"/>
  <c r="T152" i="14"/>
  <c r="S152" i="14"/>
  <c r="R152" i="14"/>
  <c r="Q152" i="14"/>
  <c r="P152" i="14"/>
  <c r="O152" i="14"/>
  <c r="N152" i="14"/>
  <c r="M152" i="14"/>
  <c r="L152" i="14"/>
  <c r="K152" i="14"/>
  <c r="J152" i="14"/>
  <c r="I152" i="14"/>
  <c r="H152" i="14"/>
  <c r="G152" i="14"/>
  <c r="F152" i="14"/>
  <c r="AE151" i="14"/>
  <c r="AC151" i="14"/>
  <c r="AB151" i="14"/>
  <c r="AA151" i="14"/>
  <c r="Z151" i="14"/>
  <c r="Y151" i="14"/>
  <c r="X151" i="14"/>
  <c r="W151" i="14"/>
  <c r="V151" i="14"/>
  <c r="U151" i="14"/>
  <c r="T151" i="14"/>
  <c r="S151" i="14"/>
  <c r="R151" i="14"/>
  <c r="Q151" i="14"/>
  <c r="P151" i="14"/>
  <c r="O151" i="14"/>
  <c r="N151" i="14"/>
  <c r="M151" i="14"/>
  <c r="L151" i="14"/>
  <c r="K151" i="14"/>
  <c r="J151" i="14"/>
  <c r="I151" i="14"/>
  <c r="H151" i="14"/>
  <c r="G151" i="14"/>
  <c r="F151" i="14"/>
  <c r="AE150" i="14"/>
  <c r="AC150" i="14"/>
  <c r="AB150" i="14"/>
  <c r="AA150" i="14"/>
  <c r="Z150" i="14"/>
  <c r="Y150" i="14"/>
  <c r="X150" i="14"/>
  <c r="W150" i="14"/>
  <c r="V150" i="14"/>
  <c r="U150" i="14"/>
  <c r="T150" i="14"/>
  <c r="S150" i="14"/>
  <c r="R150" i="14"/>
  <c r="Q150" i="14"/>
  <c r="P150" i="14"/>
  <c r="O150" i="14"/>
  <c r="N150" i="14"/>
  <c r="M150" i="14"/>
  <c r="L150" i="14"/>
  <c r="K150" i="14"/>
  <c r="J150" i="14"/>
  <c r="I150" i="14"/>
  <c r="H150" i="14"/>
  <c r="G150" i="14"/>
  <c r="F150" i="14"/>
  <c r="AE149" i="14"/>
  <c r="AC149" i="14"/>
  <c r="AB149" i="14"/>
  <c r="AA149" i="14"/>
  <c r="Z149" i="14"/>
  <c r="Y149" i="14"/>
  <c r="X149" i="14"/>
  <c r="W149" i="14"/>
  <c r="V149" i="14"/>
  <c r="U149" i="14"/>
  <c r="T149" i="14"/>
  <c r="S149" i="14"/>
  <c r="R149" i="14"/>
  <c r="Q149" i="14"/>
  <c r="P149" i="14"/>
  <c r="O149" i="14"/>
  <c r="N149" i="14"/>
  <c r="M149" i="14"/>
  <c r="L149" i="14"/>
  <c r="K149" i="14"/>
  <c r="J149" i="14"/>
  <c r="I149" i="14"/>
  <c r="H149" i="14"/>
  <c r="G149" i="14"/>
  <c r="F149" i="14"/>
  <c r="AE148" i="14"/>
  <c r="AC148" i="14"/>
  <c r="AB148" i="14"/>
  <c r="AA148" i="14"/>
  <c r="Z148" i="14"/>
  <c r="Y148" i="14"/>
  <c r="X148" i="14"/>
  <c r="W148" i="14"/>
  <c r="V148" i="14"/>
  <c r="U148" i="14"/>
  <c r="T148" i="14"/>
  <c r="S148" i="14"/>
  <c r="R148" i="14"/>
  <c r="Q148" i="14"/>
  <c r="P148" i="14"/>
  <c r="O148" i="14"/>
  <c r="N148" i="14"/>
  <c r="M148" i="14"/>
  <c r="L148" i="14"/>
  <c r="K148" i="14"/>
  <c r="J148" i="14"/>
  <c r="I148" i="14"/>
  <c r="H148" i="14"/>
  <c r="G148" i="14"/>
  <c r="F148" i="14"/>
  <c r="AE147" i="14"/>
  <c r="AC147" i="14"/>
  <c r="AB147" i="14"/>
  <c r="AA147" i="14"/>
  <c r="Z147" i="14"/>
  <c r="Y147" i="14"/>
  <c r="X147" i="14"/>
  <c r="W147" i="14"/>
  <c r="V147" i="14"/>
  <c r="U147" i="14"/>
  <c r="T147" i="14"/>
  <c r="S147" i="14"/>
  <c r="R147" i="14"/>
  <c r="Q147" i="14"/>
  <c r="P147" i="14"/>
  <c r="O147" i="14"/>
  <c r="N147" i="14"/>
  <c r="M147" i="14"/>
  <c r="L147" i="14"/>
  <c r="K147" i="14"/>
  <c r="J147" i="14"/>
  <c r="I147" i="14"/>
  <c r="H147" i="14"/>
  <c r="G147" i="14"/>
  <c r="F147" i="14"/>
  <c r="AE146" i="14"/>
  <c r="AC146" i="14"/>
  <c r="AB146" i="14"/>
  <c r="AA146" i="14"/>
  <c r="Z146" i="14"/>
  <c r="Y146" i="14"/>
  <c r="X146" i="14"/>
  <c r="W146" i="14"/>
  <c r="V146" i="14"/>
  <c r="U146" i="14"/>
  <c r="T146" i="14"/>
  <c r="S146" i="14"/>
  <c r="R146" i="14"/>
  <c r="Q146" i="14"/>
  <c r="P146" i="14"/>
  <c r="O146" i="14"/>
  <c r="N146" i="14"/>
  <c r="M146" i="14"/>
  <c r="L146" i="14"/>
  <c r="K146" i="14"/>
  <c r="J146" i="14"/>
  <c r="I146" i="14"/>
  <c r="H146" i="14"/>
  <c r="G146" i="14"/>
  <c r="F146" i="14"/>
  <c r="AE145" i="14"/>
  <c r="AC145" i="14"/>
  <c r="AB145" i="14"/>
  <c r="AA145" i="14"/>
  <c r="Z145" i="14"/>
  <c r="Y145" i="14"/>
  <c r="X145" i="14"/>
  <c r="W145" i="14"/>
  <c r="V145" i="14"/>
  <c r="U145" i="14"/>
  <c r="T145" i="14"/>
  <c r="S145" i="14"/>
  <c r="R145" i="14"/>
  <c r="Q145" i="14"/>
  <c r="P145" i="14"/>
  <c r="O145" i="14"/>
  <c r="N145" i="14"/>
  <c r="M145" i="14"/>
  <c r="L145" i="14"/>
  <c r="K145" i="14"/>
  <c r="J145" i="14"/>
  <c r="I145" i="14"/>
  <c r="H145" i="14"/>
  <c r="G145" i="14"/>
  <c r="F145" i="14"/>
  <c r="AE144" i="14"/>
  <c r="AC144" i="14"/>
  <c r="AB144" i="14"/>
  <c r="AA144" i="14"/>
  <c r="Z144" i="14"/>
  <c r="Y144" i="14"/>
  <c r="X144" i="14"/>
  <c r="W144" i="14"/>
  <c r="V144" i="14"/>
  <c r="U144" i="14"/>
  <c r="T144" i="14"/>
  <c r="S144" i="14"/>
  <c r="R144" i="14"/>
  <c r="Q144" i="14"/>
  <c r="P144" i="14"/>
  <c r="O144" i="14"/>
  <c r="N144" i="14"/>
  <c r="M144" i="14"/>
  <c r="L144" i="14"/>
  <c r="K144" i="14"/>
  <c r="J144" i="14"/>
  <c r="I144" i="14"/>
  <c r="H144" i="14"/>
  <c r="G144" i="14"/>
  <c r="F144" i="14"/>
  <c r="AE143" i="14"/>
  <c r="AC143" i="14"/>
  <c r="AB143" i="14"/>
  <c r="AA143" i="14"/>
  <c r="Z143" i="14"/>
  <c r="Y143" i="14"/>
  <c r="X143" i="14"/>
  <c r="W143" i="14"/>
  <c r="V143" i="14"/>
  <c r="U143" i="14"/>
  <c r="T143" i="14"/>
  <c r="S143" i="14"/>
  <c r="R143" i="14"/>
  <c r="Q143" i="14"/>
  <c r="P143" i="14"/>
  <c r="O143" i="14"/>
  <c r="N143" i="14"/>
  <c r="M143" i="14"/>
  <c r="L143" i="14"/>
  <c r="K143" i="14"/>
  <c r="J143" i="14"/>
  <c r="I143" i="14"/>
  <c r="H143" i="14"/>
  <c r="G143" i="14"/>
  <c r="F143" i="14"/>
  <c r="AE142" i="14"/>
  <c r="AC142" i="14"/>
  <c r="AB142" i="14"/>
  <c r="AA142" i="14"/>
  <c r="Z142" i="14"/>
  <c r="Y142" i="14"/>
  <c r="X142" i="14"/>
  <c r="W142" i="14"/>
  <c r="V142" i="14"/>
  <c r="U142" i="14"/>
  <c r="T142" i="14"/>
  <c r="S142" i="14"/>
  <c r="R142" i="14"/>
  <c r="Q142" i="14"/>
  <c r="P142" i="14"/>
  <c r="O142" i="14"/>
  <c r="N142" i="14"/>
  <c r="M142" i="14"/>
  <c r="L142" i="14"/>
  <c r="K142" i="14"/>
  <c r="J142" i="14"/>
  <c r="I142" i="14"/>
  <c r="H142" i="14"/>
  <c r="G142" i="14"/>
  <c r="F142" i="14"/>
  <c r="AE141" i="14"/>
  <c r="AC141" i="14"/>
  <c r="AB141" i="14"/>
  <c r="AA141" i="14"/>
  <c r="Z141" i="14"/>
  <c r="Y141" i="14"/>
  <c r="X141" i="14"/>
  <c r="W141" i="14"/>
  <c r="V141" i="14"/>
  <c r="U141" i="14"/>
  <c r="T141" i="14"/>
  <c r="S141" i="14"/>
  <c r="R141" i="14"/>
  <c r="Q141" i="14"/>
  <c r="P141" i="14"/>
  <c r="O141" i="14"/>
  <c r="N141" i="14"/>
  <c r="M141" i="14"/>
  <c r="L141" i="14"/>
  <c r="K141" i="14"/>
  <c r="J141" i="14"/>
  <c r="I141" i="14"/>
  <c r="H141" i="14"/>
  <c r="G141" i="14"/>
  <c r="F141" i="14"/>
  <c r="AE140" i="14"/>
  <c r="AC140" i="14"/>
  <c r="AB140" i="14"/>
  <c r="AA140" i="14"/>
  <c r="Z140" i="14"/>
  <c r="Y140" i="14"/>
  <c r="X140" i="14"/>
  <c r="W140" i="14"/>
  <c r="V140" i="14"/>
  <c r="U140" i="14"/>
  <c r="T140" i="14"/>
  <c r="S140" i="14"/>
  <c r="R140" i="14"/>
  <c r="Q140" i="14"/>
  <c r="P140" i="14"/>
  <c r="O140" i="14"/>
  <c r="N140" i="14"/>
  <c r="M140" i="14"/>
  <c r="L140" i="14"/>
  <c r="K140" i="14"/>
  <c r="J140" i="14"/>
  <c r="I140" i="14"/>
  <c r="H140" i="14"/>
  <c r="G140" i="14"/>
  <c r="F140" i="14"/>
  <c r="AE139" i="14"/>
  <c r="AC139" i="14"/>
  <c r="AB139" i="14"/>
  <c r="AA139" i="14"/>
  <c r="Z139" i="14"/>
  <c r="Y139" i="14"/>
  <c r="X139" i="14"/>
  <c r="W139" i="14"/>
  <c r="V139" i="14"/>
  <c r="U139" i="14"/>
  <c r="T139" i="14"/>
  <c r="S139" i="14"/>
  <c r="R139" i="14"/>
  <c r="Q139" i="14"/>
  <c r="P139" i="14"/>
  <c r="O139" i="14"/>
  <c r="N139" i="14"/>
  <c r="M139" i="14"/>
  <c r="L139" i="14"/>
  <c r="K139" i="14"/>
  <c r="J139" i="14"/>
  <c r="I139" i="14"/>
  <c r="H139" i="14"/>
  <c r="G139" i="14"/>
  <c r="F139" i="14"/>
  <c r="AE138" i="14"/>
  <c r="AC138" i="14"/>
  <c r="AB138" i="14"/>
  <c r="AA138" i="14"/>
  <c r="Z138" i="14"/>
  <c r="Y138" i="14"/>
  <c r="X138" i="14"/>
  <c r="W138" i="14"/>
  <c r="V138" i="14"/>
  <c r="U138" i="14"/>
  <c r="T138" i="14"/>
  <c r="S138" i="14"/>
  <c r="R138" i="14"/>
  <c r="Q138" i="14"/>
  <c r="P138" i="14"/>
  <c r="O138" i="14"/>
  <c r="N138" i="14"/>
  <c r="M138" i="14"/>
  <c r="L138" i="14"/>
  <c r="K138" i="14"/>
  <c r="J138" i="14"/>
  <c r="I138" i="14"/>
  <c r="H138" i="14"/>
  <c r="G138" i="14"/>
  <c r="F138" i="14"/>
  <c r="AE137" i="14"/>
  <c r="AC137" i="14"/>
  <c r="AB137" i="14"/>
  <c r="AA137" i="14"/>
  <c r="Z137" i="14"/>
  <c r="Y137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AE136" i="14"/>
  <c r="AC136" i="14"/>
  <c r="AB136" i="14"/>
  <c r="AA136" i="14"/>
  <c r="Z136" i="14"/>
  <c r="Y136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AE135" i="14"/>
  <c r="AC135" i="14"/>
  <c r="AB135" i="14"/>
  <c r="AA135" i="14"/>
  <c r="Z135" i="14"/>
  <c r="Y135" i="14"/>
  <c r="X135" i="14"/>
  <c r="W135" i="14"/>
  <c r="V135" i="14"/>
  <c r="U135" i="14"/>
  <c r="T135" i="14"/>
  <c r="S135" i="14"/>
  <c r="R135" i="14"/>
  <c r="Q135" i="14"/>
  <c r="P135" i="14"/>
  <c r="O135" i="14"/>
  <c r="N135" i="14"/>
  <c r="M135" i="14"/>
  <c r="L135" i="14"/>
  <c r="K135" i="14"/>
  <c r="J135" i="14"/>
  <c r="I135" i="14"/>
  <c r="H135" i="14"/>
  <c r="G135" i="14"/>
  <c r="F135" i="14"/>
  <c r="AE134" i="14"/>
  <c r="AC134" i="14"/>
  <c r="AB134" i="14"/>
  <c r="AA134" i="14"/>
  <c r="Z134" i="14"/>
  <c r="Y134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AE133" i="14"/>
  <c r="AC133" i="14"/>
  <c r="AB133" i="14"/>
  <c r="AA133" i="14"/>
  <c r="Z133" i="14"/>
  <c r="Y133" i="14"/>
  <c r="X133" i="14"/>
  <c r="W133" i="14"/>
  <c r="V133" i="14"/>
  <c r="U133" i="14"/>
  <c r="T133" i="14"/>
  <c r="S133" i="14"/>
  <c r="R133" i="14"/>
  <c r="Q133" i="14"/>
  <c r="P133" i="14"/>
  <c r="O133" i="14"/>
  <c r="N133" i="14"/>
  <c r="M133" i="14"/>
  <c r="L133" i="14"/>
  <c r="K133" i="14"/>
  <c r="J133" i="14"/>
  <c r="I133" i="14"/>
  <c r="H133" i="14"/>
  <c r="G133" i="14"/>
  <c r="F133" i="14"/>
  <c r="AE132" i="14"/>
  <c r="AC132" i="14"/>
  <c r="AB132" i="14"/>
  <c r="AA132" i="14"/>
  <c r="Z132" i="14"/>
  <c r="Y132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AE131" i="14"/>
  <c r="AC131" i="14"/>
  <c r="AB131" i="14"/>
  <c r="AA131" i="14"/>
  <c r="Z131" i="14"/>
  <c r="Y131" i="14"/>
  <c r="X131" i="14"/>
  <c r="W131" i="14"/>
  <c r="V131" i="14"/>
  <c r="U131" i="14"/>
  <c r="T131" i="14"/>
  <c r="S131" i="14"/>
  <c r="R131" i="14"/>
  <c r="Q131" i="14"/>
  <c r="P131" i="14"/>
  <c r="O131" i="14"/>
  <c r="N131" i="14"/>
  <c r="M131" i="14"/>
  <c r="L131" i="14"/>
  <c r="K131" i="14"/>
  <c r="J131" i="14"/>
  <c r="I131" i="14"/>
  <c r="H131" i="14"/>
  <c r="G131" i="14"/>
  <c r="F131" i="14"/>
  <c r="AE130" i="14"/>
  <c r="AC130" i="14"/>
  <c r="AB130" i="14"/>
  <c r="AA130" i="14"/>
  <c r="Z130" i="14"/>
  <c r="Y130" i="14"/>
  <c r="X130" i="14"/>
  <c r="W130" i="14"/>
  <c r="V130" i="14"/>
  <c r="U130" i="14"/>
  <c r="T130" i="14"/>
  <c r="S130" i="14"/>
  <c r="R130" i="14"/>
  <c r="Q130" i="14"/>
  <c r="P130" i="14"/>
  <c r="O130" i="14"/>
  <c r="N130" i="14"/>
  <c r="M130" i="14"/>
  <c r="L130" i="14"/>
  <c r="K130" i="14"/>
  <c r="J130" i="14"/>
  <c r="I130" i="14"/>
  <c r="H130" i="14"/>
  <c r="G130" i="14"/>
  <c r="F130" i="14"/>
  <c r="AE129" i="14"/>
  <c r="AC129" i="14"/>
  <c r="AB129" i="14"/>
  <c r="AA129" i="14"/>
  <c r="Z129" i="14"/>
  <c r="Y129" i="14"/>
  <c r="X129" i="14"/>
  <c r="W129" i="14"/>
  <c r="V129" i="14"/>
  <c r="U129" i="14"/>
  <c r="T129" i="14"/>
  <c r="S129" i="14"/>
  <c r="R129" i="14"/>
  <c r="Q129" i="14"/>
  <c r="P129" i="14"/>
  <c r="O129" i="14"/>
  <c r="N129" i="14"/>
  <c r="M129" i="14"/>
  <c r="L129" i="14"/>
  <c r="K129" i="14"/>
  <c r="J129" i="14"/>
  <c r="I129" i="14"/>
  <c r="H129" i="14"/>
  <c r="G129" i="14"/>
  <c r="F129" i="14"/>
  <c r="AE128" i="14"/>
  <c r="AC128" i="14"/>
  <c r="AB128" i="14"/>
  <c r="AA128" i="14"/>
  <c r="Z128" i="14"/>
  <c r="Y128" i="14"/>
  <c r="X128" i="14"/>
  <c r="W128" i="14"/>
  <c r="V128" i="14"/>
  <c r="U128" i="14"/>
  <c r="T128" i="14"/>
  <c r="S128" i="14"/>
  <c r="R128" i="14"/>
  <c r="Q128" i="14"/>
  <c r="P128" i="14"/>
  <c r="O128" i="14"/>
  <c r="N128" i="14"/>
  <c r="M128" i="14"/>
  <c r="L128" i="14"/>
  <c r="K128" i="14"/>
  <c r="J128" i="14"/>
  <c r="I128" i="14"/>
  <c r="H128" i="14"/>
  <c r="G128" i="14"/>
  <c r="F128" i="14"/>
  <c r="AE127" i="14"/>
  <c r="AC127" i="14"/>
  <c r="AB127" i="14"/>
  <c r="AA127" i="14"/>
  <c r="Z127" i="14"/>
  <c r="Y127" i="14"/>
  <c r="X127" i="14"/>
  <c r="W127" i="14"/>
  <c r="V127" i="14"/>
  <c r="U127" i="14"/>
  <c r="T127" i="14"/>
  <c r="S127" i="14"/>
  <c r="R127" i="14"/>
  <c r="Q127" i="14"/>
  <c r="P127" i="14"/>
  <c r="O127" i="14"/>
  <c r="N127" i="14"/>
  <c r="M127" i="14"/>
  <c r="L127" i="14"/>
  <c r="K127" i="14"/>
  <c r="J127" i="14"/>
  <c r="I127" i="14"/>
  <c r="H127" i="14"/>
  <c r="G127" i="14"/>
  <c r="F127" i="14"/>
  <c r="AE126" i="14"/>
  <c r="AC126" i="14"/>
  <c r="AB126" i="14"/>
  <c r="AA126" i="14"/>
  <c r="Z126" i="14"/>
  <c r="Y126" i="14"/>
  <c r="X126" i="14"/>
  <c r="W126" i="14"/>
  <c r="V126" i="14"/>
  <c r="U126" i="14"/>
  <c r="T126" i="14"/>
  <c r="S126" i="14"/>
  <c r="R126" i="14"/>
  <c r="Q126" i="14"/>
  <c r="P126" i="14"/>
  <c r="O126" i="14"/>
  <c r="N126" i="14"/>
  <c r="M126" i="14"/>
  <c r="L126" i="14"/>
  <c r="K126" i="14"/>
  <c r="J126" i="14"/>
  <c r="I126" i="14"/>
  <c r="H126" i="14"/>
  <c r="G126" i="14"/>
  <c r="F126" i="14"/>
  <c r="AE125" i="14"/>
  <c r="AC125" i="14"/>
  <c r="AB125" i="14"/>
  <c r="AA125" i="14"/>
  <c r="Z125" i="14"/>
  <c r="Y125" i="14"/>
  <c r="X125" i="14"/>
  <c r="W125" i="14"/>
  <c r="V125" i="14"/>
  <c r="U125" i="14"/>
  <c r="T125" i="14"/>
  <c r="S125" i="14"/>
  <c r="R125" i="14"/>
  <c r="Q125" i="14"/>
  <c r="P125" i="14"/>
  <c r="O125" i="14"/>
  <c r="N125" i="14"/>
  <c r="M125" i="14"/>
  <c r="L125" i="14"/>
  <c r="K125" i="14"/>
  <c r="J125" i="14"/>
  <c r="I125" i="14"/>
  <c r="H125" i="14"/>
  <c r="G125" i="14"/>
  <c r="F125" i="14"/>
  <c r="AE124" i="14"/>
  <c r="AC124" i="14"/>
  <c r="AB124" i="14"/>
  <c r="AA124" i="14"/>
  <c r="Z124" i="14"/>
  <c r="Y124" i="14"/>
  <c r="X124" i="14"/>
  <c r="W124" i="14"/>
  <c r="V124" i="14"/>
  <c r="U124" i="14"/>
  <c r="T124" i="14"/>
  <c r="S124" i="14"/>
  <c r="R124" i="14"/>
  <c r="Q124" i="14"/>
  <c r="P124" i="14"/>
  <c r="O124" i="14"/>
  <c r="N124" i="14"/>
  <c r="M124" i="14"/>
  <c r="L124" i="14"/>
  <c r="K124" i="14"/>
  <c r="J124" i="14"/>
  <c r="I124" i="14"/>
  <c r="H124" i="14"/>
  <c r="G124" i="14"/>
  <c r="F124" i="14"/>
  <c r="AE123" i="14"/>
  <c r="AC123" i="14"/>
  <c r="AB123" i="14"/>
  <c r="AA123" i="14"/>
  <c r="Z123" i="14"/>
  <c r="Y123" i="14"/>
  <c r="X123" i="14"/>
  <c r="W123" i="14"/>
  <c r="V123" i="14"/>
  <c r="U123" i="14"/>
  <c r="T123" i="14"/>
  <c r="S123" i="14"/>
  <c r="R123" i="14"/>
  <c r="Q123" i="14"/>
  <c r="P123" i="14"/>
  <c r="O123" i="14"/>
  <c r="N123" i="14"/>
  <c r="M123" i="14"/>
  <c r="L123" i="14"/>
  <c r="K123" i="14"/>
  <c r="J123" i="14"/>
  <c r="I123" i="14"/>
  <c r="H123" i="14"/>
  <c r="G123" i="14"/>
  <c r="F123" i="14"/>
  <c r="AE122" i="14"/>
  <c r="AC122" i="14"/>
  <c r="AB122" i="14"/>
  <c r="AA122" i="14"/>
  <c r="Z122" i="14"/>
  <c r="Y122" i="14"/>
  <c r="X122" i="14"/>
  <c r="W122" i="14"/>
  <c r="V122" i="14"/>
  <c r="U122" i="14"/>
  <c r="T122" i="14"/>
  <c r="S122" i="14"/>
  <c r="R122" i="14"/>
  <c r="Q122" i="14"/>
  <c r="P122" i="14"/>
  <c r="O122" i="14"/>
  <c r="N122" i="14"/>
  <c r="M122" i="14"/>
  <c r="L122" i="14"/>
  <c r="K122" i="14"/>
  <c r="J122" i="14"/>
  <c r="I122" i="14"/>
  <c r="H122" i="14"/>
  <c r="G122" i="14"/>
  <c r="F122" i="14"/>
  <c r="AE121" i="14"/>
  <c r="AC121" i="14"/>
  <c r="AB121" i="14"/>
  <c r="AA121" i="14"/>
  <c r="Z121" i="14"/>
  <c r="Y121" i="14"/>
  <c r="X121" i="14"/>
  <c r="W121" i="14"/>
  <c r="V121" i="14"/>
  <c r="U121" i="14"/>
  <c r="T121" i="14"/>
  <c r="S121" i="14"/>
  <c r="R121" i="14"/>
  <c r="Q121" i="14"/>
  <c r="P121" i="14"/>
  <c r="O121" i="14"/>
  <c r="N121" i="14"/>
  <c r="M121" i="14"/>
  <c r="L121" i="14"/>
  <c r="K121" i="14"/>
  <c r="J121" i="14"/>
  <c r="I121" i="14"/>
  <c r="H121" i="14"/>
  <c r="G121" i="14"/>
  <c r="F121" i="14"/>
  <c r="AE120" i="14"/>
  <c r="AC120" i="14"/>
  <c r="AB120" i="14"/>
  <c r="AA120" i="14"/>
  <c r="Z120" i="14"/>
  <c r="Y120" i="14"/>
  <c r="X120" i="14"/>
  <c r="W120" i="14"/>
  <c r="V120" i="14"/>
  <c r="U120" i="14"/>
  <c r="T120" i="14"/>
  <c r="S120" i="14"/>
  <c r="R120" i="14"/>
  <c r="Q120" i="14"/>
  <c r="P120" i="14"/>
  <c r="O120" i="14"/>
  <c r="N120" i="14"/>
  <c r="M120" i="14"/>
  <c r="L120" i="14"/>
  <c r="K120" i="14"/>
  <c r="J120" i="14"/>
  <c r="I120" i="14"/>
  <c r="H120" i="14"/>
  <c r="G120" i="14"/>
  <c r="F120" i="14"/>
  <c r="AE119" i="14"/>
  <c r="AC119" i="14"/>
  <c r="AB119" i="14"/>
  <c r="AA119" i="14"/>
  <c r="Z119" i="14"/>
  <c r="Y119" i="14"/>
  <c r="X119" i="14"/>
  <c r="W119" i="14"/>
  <c r="V119" i="14"/>
  <c r="U119" i="14"/>
  <c r="T119" i="14"/>
  <c r="S119" i="14"/>
  <c r="R119" i="14"/>
  <c r="Q119" i="14"/>
  <c r="P119" i="14"/>
  <c r="O119" i="14"/>
  <c r="N119" i="14"/>
  <c r="M119" i="14"/>
  <c r="L119" i="14"/>
  <c r="K119" i="14"/>
  <c r="J119" i="14"/>
  <c r="I119" i="14"/>
  <c r="H119" i="14"/>
  <c r="G119" i="14"/>
  <c r="F119" i="14"/>
  <c r="AE118" i="14"/>
  <c r="AC118" i="14"/>
  <c r="AB118" i="14"/>
  <c r="AA118" i="14"/>
  <c r="Z118" i="14"/>
  <c r="Y118" i="14"/>
  <c r="X118" i="14"/>
  <c r="W118" i="14"/>
  <c r="V118" i="14"/>
  <c r="U118" i="14"/>
  <c r="T118" i="14"/>
  <c r="S118" i="14"/>
  <c r="R118" i="14"/>
  <c r="Q118" i="14"/>
  <c r="P118" i="14"/>
  <c r="O118" i="14"/>
  <c r="N118" i="14"/>
  <c r="M118" i="14"/>
  <c r="L118" i="14"/>
  <c r="K118" i="14"/>
  <c r="J118" i="14"/>
  <c r="I118" i="14"/>
  <c r="H118" i="14"/>
  <c r="G118" i="14"/>
  <c r="F118" i="14"/>
  <c r="AE117" i="14"/>
  <c r="AC117" i="14"/>
  <c r="AB117" i="14"/>
  <c r="AA117" i="14"/>
  <c r="Z117" i="14"/>
  <c r="Y117" i="14"/>
  <c r="X117" i="14"/>
  <c r="W117" i="14"/>
  <c r="V117" i="14"/>
  <c r="U117" i="14"/>
  <c r="T117" i="14"/>
  <c r="S117" i="14"/>
  <c r="R117" i="14"/>
  <c r="Q117" i="14"/>
  <c r="P117" i="14"/>
  <c r="O117" i="14"/>
  <c r="N117" i="14"/>
  <c r="M117" i="14"/>
  <c r="L117" i="14"/>
  <c r="K117" i="14"/>
  <c r="J117" i="14"/>
  <c r="I117" i="14"/>
  <c r="H117" i="14"/>
  <c r="G117" i="14"/>
  <c r="F117" i="14"/>
  <c r="AE116" i="14"/>
  <c r="AC116" i="14"/>
  <c r="AB116" i="14"/>
  <c r="AA116" i="14"/>
  <c r="Z116" i="14"/>
  <c r="Y116" i="14"/>
  <c r="X116" i="14"/>
  <c r="W116" i="14"/>
  <c r="V116" i="14"/>
  <c r="U116" i="14"/>
  <c r="T116" i="14"/>
  <c r="S116" i="14"/>
  <c r="R116" i="14"/>
  <c r="Q116" i="14"/>
  <c r="P116" i="14"/>
  <c r="O116" i="14"/>
  <c r="N116" i="14"/>
  <c r="M116" i="14"/>
  <c r="L116" i="14"/>
  <c r="K116" i="14"/>
  <c r="J116" i="14"/>
  <c r="I116" i="14"/>
  <c r="H116" i="14"/>
  <c r="G116" i="14"/>
  <c r="F116" i="14"/>
  <c r="AE115" i="14"/>
  <c r="AC115" i="14"/>
  <c r="AB115" i="14"/>
  <c r="AA115" i="14"/>
  <c r="Z115" i="14"/>
  <c r="Y115" i="14"/>
  <c r="X115" i="14"/>
  <c r="W115" i="14"/>
  <c r="V115" i="14"/>
  <c r="U115" i="14"/>
  <c r="T115" i="14"/>
  <c r="S115" i="14"/>
  <c r="R115" i="14"/>
  <c r="Q115" i="14"/>
  <c r="P115" i="14"/>
  <c r="O115" i="14"/>
  <c r="N115" i="14"/>
  <c r="M115" i="14"/>
  <c r="L115" i="14"/>
  <c r="K115" i="14"/>
  <c r="J115" i="14"/>
  <c r="I115" i="14"/>
  <c r="H115" i="14"/>
  <c r="G115" i="14"/>
  <c r="F115" i="14"/>
  <c r="AE114" i="14"/>
  <c r="AC114" i="14"/>
  <c r="AB114" i="14"/>
  <c r="AA114" i="14"/>
  <c r="Z114" i="14"/>
  <c r="Y114" i="14"/>
  <c r="X114" i="14"/>
  <c r="W114" i="14"/>
  <c r="V114" i="14"/>
  <c r="U114" i="14"/>
  <c r="T114" i="14"/>
  <c r="S114" i="14"/>
  <c r="R114" i="14"/>
  <c r="Q114" i="14"/>
  <c r="P114" i="14"/>
  <c r="O114" i="14"/>
  <c r="N114" i="14"/>
  <c r="M114" i="14"/>
  <c r="L114" i="14"/>
  <c r="K114" i="14"/>
  <c r="J114" i="14"/>
  <c r="I114" i="14"/>
  <c r="H114" i="14"/>
  <c r="G114" i="14"/>
  <c r="F114" i="14"/>
  <c r="AE113" i="14"/>
  <c r="AC113" i="14"/>
  <c r="AB113" i="14"/>
  <c r="AA113" i="14"/>
  <c r="Z113" i="14"/>
  <c r="Y113" i="14"/>
  <c r="X113" i="14"/>
  <c r="W113" i="14"/>
  <c r="V113" i="14"/>
  <c r="U113" i="14"/>
  <c r="T113" i="14"/>
  <c r="S113" i="14"/>
  <c r="R113" i="14"/>
  <c r="Q113" i="14"/>
  <c r="P113" i="14"/>
  <c r="O113" i="14"/>
  <c r="N113" i="14"/>
  <c r="M113" i="14"/>
  <c r="L113" i="14"/>
  <c r="K113" i="14"/>
  <c r="J113" i="14"/>
  <c r="I113" i="14"/>
  <c r="H113" i="14"/>
  <c r="G113" i="14"/>
  <c r="F113" i="14"/>
  <c r="AE112" i="14"/>
  <c r="AC112" i="14"/>
  <c r="AB112" i="14"/>
  <c r="AA112" i="14"/>
  <c r="Z112" i="14"/>
  <c r="Y112" i="14"/>
  <c r="X112" i="14"/>
  <c r="W112" i="14"/>
  <c r="V112" i="14"/>
  <c r="U112" i="14"/>
  <c r="T112" i="14"/>
  <c r="S112" i="14"/>
  <c r="R112" i="14"/>
  <c r="Q112" i="14"/>
  <c r="P112" i="14"/>
  <c r="O112" i="14"/>
  <c r="N112" i="14"/>
  <c r="M112" i="14"/>
  <c r="L112" i="14"/>
  <c r="K112" i="14"/>
  <c r="J112" i="14"/>
  <c r="I112" i="14"/>
  <c r="H112" i="14"/>
  <c r="G112" i="14"/>
  <c r="F112" i="14"/>
  <c r="AE111" i="14"/>
  <c r="AC111" i="14"/>
  <c r="AB111" i="14"/>
  <c r="AA111" i="14"/>
  <c r="Z111" i="14"/>
  <c r="Y111" i="14"/>
  <c r="X111" i="14"/>
  <c r="W111" i="14"/>
  <c r="V111" i="14"/>
  <c r="U111" i="14"/>
  <c r="T111" i="14"/>
  <c r="S111" i="14"/>
  <c r="R111" i="14"/>
  <c r="Q111" i="14"/>
  <c r="P111" i="14"/>
  <c r="O111" i="14"/>
  <c r="N111" i="14"/>
  <c r="M111" i="14"/>
  <c r="L111" i="14"/>
  <c r="K111" i="14"/>
  <c r="J111" i="14"/>
  <c r="I111" i="14"/>
  <c r="H111" i="14"/>
  <c r="G111" i="14"/>
  <c r="F111" i="14"/>
  <c r="AE110" i="14"/>
  <c r="AC110" i="14"/>
  <c r="AB110" i="14"/>
  <c r="AA110" i="14"/>
  <c r="Z110" i="14"/>
  <c r="Y110" i="14"/>
  <c r="X110" i="14"/>
  <c r="W110" i="14"/>
  <c r="V110" i="14"/>
  <c r="U110" i="14"/>
  <c r="T110" i="14"/>
  <c r="S110" i="14"/>
  <c r="R110" i="14"/>
  <c r="Q110" i="14"/>
  <c r="P110" i="14"/>
  <c r="O110" i="14"/>
  <c r="N110" i="14"/>
  <c r="M110" i="14"/>
  <c r="L110" i="14"/>
  <c r="K110" i="14"/>
  <c r="J110" i="14"/>
  <c r="I110" i="14"/>
  <c r="H110" i="14"/>
  <c r="G110" i="14"/>
  <c r="F110" i="14"/>
  <c r="AE109" i="14"/>
  <c r="AC109" i="14"/>
  <c r="AB109" i="14"/>
  <c r="AA109" i="14"/>
  <c r="Z109" i="14"/>
  <c r="Y109" i="14"/>
  <c r="X109" i="14"/>
  <c r="W109" i="14"/>
  <c r="V109" i="14"/>
  <c r="U109" i="14"/>
  <c r="T109" i="14"/>
  <c r="S109" i="14"/>
  <c r="R109" i="14"/>
  <c r="Q109" i="14"/>
  <c r="P109" i="14"/>
  <c r="O109" i="14"/>
  <c r="N109" i="14"/>
  <c r="M109" i="14"/>
  <c r="L109" i="14"/>
  <c r="K109" i="14"/>
  <c r="J109" i="14"/>
  <c r="I109" i="14"/>
  <c r="H109" i="14"/>
  <c r="G109" i="14"/>
  <c r="F109" i="14"/>
  <c r="AE108" i="14"/>
  <c r="AC108" i="14"/>
  <c r="AB108" i="14"/>
  <c r="AA108" i="14"/>
  <c r="Z108" i="14"/>
  <c r="Y108" i="14"/>
  <c r="X108" i="14"/>
  <c r="W108" i="14"/>
  <c r="V108" i="14"/>
  <c r="U108" i="14"/>
  <c r="T108" i="14"/>
  <c r="S108" i="14"/>
  <c r="R108" i="14"/>
  <c r="Q108" i="14"/>
  <c r="P108" i="14"/>
  <c r="O108" i="14"/>
  <c r="N108" i="14"/>
  <c r="M108" i="14"/>
  <c r="L108" i="14"/>
  <c r="K108" i="14"/>
  <c r="J108" i="14"/>
  <c r="I108" i="14"/>
  <c r="H108" i="14"/>
  <c r="G108" i="14"/>
  <c r="F108" i="14"/>
  <c r="AE107" i="14"/>
  <c r="AC107" i="14"/>
  <c r="AB107" i="14"/>
  <c r="AA107" i="14"/>
  <c r="Z107" i="14"/>
  <c r="Y107" i="14"/>
  <c r="X107" i="14"/>
  <c r="W107" i="14"/>
  <c r="V107" i="14"/>
  <c r="U107" i="14"/>
  <c r="T107" i="14"/>
  <c r="S107" i="14"/>
  <c r="R107" i="14"/>
  <c r="Q107" i="14"/>
  <c r="P107" i="14"/>
  <c r="O107" i="14"/>
  <c r="N107" i="14"/>
  <c r="M107" i="14"/>
  <c r="L107" i="14"/>
  <c r="K107" i="14"/>
  <c r="J107" i="14"/>
  <c r="I107" i="14"/>
  <c r="H107" i="14"/>
  <c r="G107" i="14"/>
  <c r="F107" i="14"/>
  <c r="AE106" i="14"/>
  <c r="AC106" i="14"/>
  <c r="AB106" i="14"/>
  <c r="AA106" i="14"/>
  <c r="Z106" i="14"/>
  <c r="Y106" i="14"/>
  <c r="X106" i="14"/>
  <c r="W106" i="14"/>
  <c r="V106" i="14"/>
  <c r="U106" i="14"/>
  <c r="T106" i="14"/>
  <c r="S106" i="14"/>
  <c r="R106" i="14"/>
  <c r="Q106" i="14"/>
  <c r="P106" i="14"/>
  <c r="O106" i="14"/>
  <c r="N106" i="14"/>
  <c r="M106" i="14"/>
  <c r="L106" i="14"/>
  <c r="K106" i="14"/>
  <c r="J106" i="14"/>
  <c r="I106" i="14"/>
  <c r="H106" i="14"/>
  <c r="G106" i="14"/>
  <c r="F106" i="14"/>
  <c r="AE105" i="14"/>
  <c r="AC105" i="14"/>
  <c r="AB105" i="14"/>
  <c r="AA105" i="14"/>
  <c r="Z105" i="14"/>
  <c r="Y105" i="14"/>
  <c r="X105" i="14"/>
  <c r="W105" i="14"/>
  <c r="V105" i="14"/>
  <c r="U105" i="14"/>
  <c r="T105" i="14"/>
  <c r="S105" i="14"/>
  <c r="R105" i="14"/>
  <c r="Q105" i="14"/>
  <c r="P105" i="14"/>
  <c r="O105" i="14"/>
  <c r="N105" i="14"/>
  <c r="M105" i="14"/>
  <c r="L105" i="14"/>
  <c r="K105" i="14"/>
  <c r="J105" i="14"/>
  <c r="I105" i="14"/>
  <c r="H105" i="14"/>
  <c r="G105" i="14"/>
  <c r="F105" i="14"/>
  <c r="AE104" i="14"/>
  <c r="AC104" i="14"/>
  <c r="AB104" i="14"/>
  <c r="AA104" i="14"/>
  <c r="Z104" i="14"/>
  <c r="Y104" i="14"/>
  <c r="X104" i="14"/>
  <c r="W104" i="14"/>
  <c r="V104" i="14"/>
  <c r="U104" i="14"/>
  <c r="T104" i="14"/>
  <c r="S104" i="14"/>
  <c r="R104" i="14"/>
  <c r="Q104" i="14"/>
  <c r="P104" i="14"/>
  <c r="O104" i="14"/>
  <c r="N104" i="14"/>
  <c r="M104" i="14"/>
  <c r="L104" i="14"/>
  <c r="K104" i="14"/>
  <c r="J104" i="14"/>
  <c r="I104" i="14"/>
  <c r="H104" i="14"/>
  <c r="G104" i="14"/>
  <c r="F104" i="14"/>
  <c r="AE103" i="14"/>
  <c r="AC103" i="14"/>
  <c r="AB103" i="14"/>
  <c r="AA103" i="14"/>
  <c r="Z103" i="14"/>
  <c r="Y103" i="14"/>
  <c r="X103" i="14"/>
  <c r="W103" i="14"/>
  <c r="V103" i="14"/>
  <c r="U103" i="14"/>
  <c r="T103" i="14"/>
  <c r="S103" i="14"/>
  <c r="R103" i="14"/>
  <c r="Q103" i="14"/>
  <c r="P103" i="14"/>
  <c r="O103" i="14"/>
  <c r="N103" i="14"/>
  <c r="M103" i="14"/>
  <c r="L103" i="14"/>
  <c r="K103" i="14"/>
  <c r="J103" i="14"/>
  <c r="I103" i="14"/>
  <c r="H103" i="14"/>
  <c r="G103" i="14"/>
  <c r="F103" i="14"/>
  <c r="AE102" i="14"/>
  <c r="AC102" i="14"/>
  <c r="AB102" i="14"/>
  <c r="AA102" i="14"/>
  <c r="Z102" i="14"/>
  <c r="Y102" i="14"/>
  <c r="X102" i="14"/>
  <c r="W102" i="14"/>
  <c r="V102" i="14"/>
  <c r="U102" i="14"/>
  <c r="T102" i="14"/>
  <c r="S102" i="14"/>
  <c r="R102" i="14"/>
  <c r="Q102" i="14"/>
  <c r="P102" i="14"/>
  <c r="O102" i="14"/>
  <c r="N102" i="14"/>
  <c r="M102" i="14"/>
  <c r="L102" i="14"/>
  <c r="K102" i="14"/>
  <c r="J102" i="14"/>
  <c r="I102" i="14"/>
  <c r="H102" i="14"/>
  <c r="G102" i="14"/>
  <c r="F102" i="14"/>
  <c r="AE101" i="14"/>
  <c r="AC101" i="14"/>
  <c r="AB101" i="14"/>
  <c r="AA101" i="14"/>
  <c r="Z101" i="14"/>
  <c r="Y101" i="14"/>
  <c r="X101" i="14"/>
  <c r="W101" i="14"/>
  <c r="V101" i="14"/>
  <c r="U101" i="14"/>
  <c r="T101" i="14"/>
  <c r="S101" i="14"/>
  <c r="R101" i="14"/>
  <c r="Q101" i="14"/>
  <c r="P101" i="14"/>
  <c r="O101" i="14"/>
  <c r="N101" i="14"/>
  <c r="M101" i="14"/>
  <c r="L101" i="14"/>
  <c r="K101" i="14"/>
  <c r="J101" i="14"/>
  <c r="I101" i="14"/>
  <c r="H101" i="14"/>
  <c r="G101" i="14"/>
  <c r="F101" i="14"/>
  <c r="AE100" i="14"/>
  <c r="AC100" i="14"/>
  <c r="AB100" i="14"/>
  <c r="AA100" i="14"/>
  <c r="Z100" i="14"/>
  <c r="Y100" i="14"/>
  <c r="X100" i="14"/>
  <c r="W100" i="14"/>
  <c r="V100" i="14"/>
  <c r="U100" i="14"/>
  <c r="T100" i="14"/>
  <c r="S100" i="14"/>
  <c r="R100" i="14"/>
  <c r="Q100" i="14"/>
  <c r="P100" i="14"/>
  <c r="O100" i="14"/>
  <c r="N100" i="14"/>
  <c r="M100" i="14"/>
  <c r="L100" i="14"/>
  <c r="K100" i="14"/>
  <c r="J100" i="14"/>
  <c r="I100" i="14"/>
  <c r="H100" i="14"/>
  <c r="G100" i="14"/>
  <c r="F100" i="14"/>
  <c r="AE99" i="14"/>
  <c r="AC99" i="14"/>
  <c r="AB99" i="14"/>
  <c r="AA99" i="14"/>
  <c r="Z99" i="14"/>
  <c r="Y99" i="14"/>
  <c r="X99" i="14"/>
  <c r="W99" i="14"/>
  <c r="V99" i="14"/>
  <c r="U99" i="14"/>
  <c r="T99" i="14"/>
  <c r="S99" i="14"/>
  <c r="R99" i="14"/>
  <c r="Q99" i="14"/>
  <c r="P99" i="14"/>
  <c r="O99" i="14"/>
  <c r="N99" i="14"/>
  <c r="M99" i="14"/>
  <c r="L99" i="14"/>
  <c r="K99" i="14"/>
  <c r="J99" i="14"/>
  <c r="I99" i="14"/>
  <c r="H99" i="14"/>
  <c r="G99" i="14"/>
  <c r="F99" i="14"/>
  <c r="AE98" i="14"/>
  <c r="AC98" i="14"/>
  <c r="AB98" i="14"/>
  <c r="AA98" i="14"/>
  <c r="Z98" i="14"/>
  <c r="Y98" i="14"/>
  <c r="X98" i="14"/>
  <c r="W98" i="14"/>
  <c r="V98" i="14"/>
  <c r="U98" i="14"/>
  <c r="T98" i="14"/>
  <c r="S98" i="14"/>
  <c r="R98" i="14"/>
  <c r="Q98" i="14"/>
  <c r="P98" i="14"/>
  <c r="O98" i="14"/>
  <c r="N98" i="14"/>
  <c r="M98" i="14"/>
  <c r="L98" i="14"/>
  <c r="K98" i="14"/>
  <c r="J98" i="14"/>
  <c r="I98" i="14"/>
  <c r="H98" i="14"/>
  <c r="G98" i="14"/>
  <c r="F98" i="14"/>
  <c r="AE97" i="14"/>
  <c r="AC97" i="14"/>
  <c r="AB97" i="14"/>
  <c r="AA97" i="14"/>
  <c r="Z97" i="14"/>
  <c r="Y97" i="14"/>
  <c r="X97" i="14"/>
  <c r="W97" i="14"/>
  <c r="V97" i="14"/>
  <c r="U97" i="14"/>
  <c r="T97" i="14"/>
  <c r="S97" i="14"/>
  <c r="R97" i="14"/>
  <c r="Q97" i="14"/>
  <c r="P97" i="14"/>
  <c r="O97" i="14"/>
  <c r="N97" i="14"/>
  <c r="M97" i="14"/>
  <c r="L97" i="14"/>
  <c r="K97" i="14"/>
  <c r="J97" i="14"/>
  <c r="I97" i="14"/>
  <c r="H97" i="14"/>
  <c r="G97" i="14"/>
  <c r="F97" i="14"/>
  <c r="AE96" i="14"/>
  <c r="AC96" i="14"/>
  <c r="AB96" i="14"/>
  <c r="AA96" i="14"/>
  <c r="Z96" i="14"/>
  <c r="Y96" i="14"/>
  <c r="X96" i="14"/>
  <c r="W96" i="14"/>
  <c r="V96" i="14"/>
  <c r="U96" i="14"/>
  <c r="T96" i="14"/>
  <c r="S96" i="14"/>
  <c r="R96" i="14"/>
  <c r="Q96" i="14"/>
  <c r="P96" i="14"/>
  <c r="O96" i="14"/>
  <c r="N96" i="14"/>
  <c r="M96" i="14"/>
  <c r="L96" i="14"/>
  <c r="K96" i="14"/>
  <c r="J96" i="14"/>
  <c r="I96" i="14"/>
  <c r="H96" i="14"/>
  <c r="G96" i="14"/>
  <c r="F96" i="14"/>
  <c r="AE95" i="14"/>
  <c r="AC95" i="14"/>
  <c r="AB95" i="14"/>
  <c r="AA95" i="14"/>
  <c r="Z95" i="14"/>
  <c r="Y95" i="14"/>
  <c r="X95" i="14"/>
  <c r="W95" i="14"/>
  <c r="V95" i="14"/>
  <c r="U95" i="14"/>
  <c r="T95" i="14"/>
  <c r="S95" i="14"/>
  <c r="R95" i="14"/>
  <c r="Q95" i="14"/>
  <c r="P95" i="14"/>
  <c r="O95" i="14"/>
  <c r="N95" i="14"/>
  <c r="M95" i="14"/>
  <c r="L95" i="14"/>
  <c r="K95" i="14"/>
  <c r="J95" i="14"/>
  <c r="I95" i="14"/>
  <c r="H95" i="14"/>
  <c r="G95" i="14"/>
  <c r="F95" i="14"/>
  <c r="AE94" i="14"/>
  <c r="AC94" i="14"/>
  <c r="AB94" i="14"/>
  <c r="AA94" i="14"/>
  <c r="Z94" i="14"/>
  <c r="Y94" i="14"/>
  <c r="X94" i="14"/>
  <c r="W94" i="14"/>
  <c r="V94" i="14"/>
  <c r="U94" i="14"/>
  <c r="T94" i="14"/>
  <c r="S94" i="14"/>
  <c r="R94" i="14"/>
  <c r="Q94" i="14"/>
  <c r="P94" i="14"/>
  <c r="O94" i="14"/>
  <c r="N94" i="14"/>
  <c r="M94" i="14"/>
  <c r="L94" i="14"/>
  <c r="K94" i="14"/>
  <c r="J94" i="14"/>
  <c r="I94" i="14"/>
  <c r="H94" i="14"/>
  <c r="G94" i="14"/>
  <c r="F94" i="14"/>
  <c r="AE93" i="14"/>
  <c r="AC93" i="14"/>
  <c r="AB93" i="14"/>
  <c r="AA93" i="14"/>
  <c r="Z93" i="14"/>
  <c r="Y93" i="14"/>
  <c r="X93" i="14"/>
  <c r="W93" i="14"/>
  <c r="V93" i="14"/>
  <c r="U93" i="14"/>
  <c r="T93" i="14"/>
  <c r="S93" i="14"/>
  <c r="R93" i="14"/>
  <c r="Q93" i="14"/>
  <c r="P93" i="14"/>
  <c r="O93" i="14"/>
  <c r="N93" i="14"/>
  <c r="M93" i="14"/>
  <c r="L93" i="14"/>
  <c r="K93" i="14"/>
  <c r="J93" i="14"/>
  <c r="I93" i="14"/>
  <c r="H93" i="14"/>
  <c r="G93" i="14"/>
  <c r="F93" i="14"/>
  <c r="AE92" i="14"/>
  <c r="AC92" i="14"/>
  <c r="AB92" i="14"/>
  <c r="AA92" i="14"/>
  <c r="Z92" i="14"/>
  <c r="Y92" i="14"/>
  <c r="X92" i="14"/>
  <c r="W92" i="14"/>
  <c r="V92" i="14"/>
  <c r="U92" i="14"/>
  <c r="T92" i="14"/>
  <c r="S92" i="14"/>
  <c r="R92" i="14"/>
  <c r="Q92" i="14"/>
  <c r="P92" i="14"/>
  <c r="O92" i="14"/>
  <c r="N92" i="14"/>
  <c r="M92" i="14"/>
  <c r="L92" i="14"/>
  <c r="K92" i="14"/>
  <c r="J92" i="14"/>
  <c r="I92" i="14"/>
  <c r="H92" i="14"/>
  <c r="G92" i="14"/>
  <c r="F92" i="14"/>
  <c r="AE91" i="14"/>
  <c r="AC91" i="14"/>
  <c r="AB91" i="14"/>
  <c r="AA91" i="14"/>
  <c r="Z91" i="14"/>
  <c r="Y91" i="14"/>
  <c r="X91" i="14"/>
  <c r="W91" i="14"/>
  <c r="V91" i="14"/>
  <c r="U91" i="14"/>
  <c r="T91" i="14"/>
  <c r="S91" i="14"/>
  <c r="R91" i="14"/>
  <c r="Q91" i="14"/>
  <c r="P91" i="14"/>
  <c r="O91" i="14"/>
  <c r="N91" i="14"/>
  <c r="M91" i="14"/>
  <c r="L91" i="14"/>
  <c r="K91" i="14"/>
  <c r="J91" i="14"/>
  <c r="I91" i="14"/>
  <c r="H91" i="14"/>
  <c r="G91" i="14"/>
  <c r="F91" i="14"/>
  <c r="AE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AE89" i="14"/>
  <c r="AC89" i="14"/>
  <c r="AB89" i="14"/>
  <c r="AA89" i="14"/>
  <c r="Z89" i="14"/>
  <c r="Y89" i="14"/>
  <c r="X89" i="14"/>
  <c r="W89" i="14"/>
  <c r="V89" i="14"/>
  <c r="U89" i="14"/>
  <c r="T89" i="14"/>
  <c r="S89" i="14"/>
  <c r="R89" i="14"/>
  <c r="Q89" i="14"/>
  <c r="P89" i="14"/>
  <c r="O89" i="14"/>
  <c r="N89" i="14"/>
  <c r="M89" i="14"/>
  <c r="L89" i="14"/>
  <c r="K89" i="14"/>
  <c r="J89" i="14"/>
  <c r="I89" i="14"/>
  <c r="H89" i="14"/>
  <c r="G89" i="14"/>
  <c r="F89" i="14"/>
  <c r="AE88" i="14"/>
  <c r="AC88" i="14"/>
  <c r="AB88" i="14"/>
  <c r="AA88" i="14"/>
  <c r="Z88" i="14"/>
  <c r="Y88" i="14"/>
  <c r="X88" i="14"/>
  <c r="W88" i="14"/>
  <c r="V88" i="14"/>
  <c r="U88" i="14"/>
  <c r="T88" i="14"/>
  <c r="S88" i="14"/>
  <c r="R88" i="14"/>
  <c r="Q88" i="14"/>
  <c r="P88" i="14"/>
  <c r="O88" i="14"/>
  <c r="N88" i="14"/>
  <c r="M88" i="14"/>
  <c r="L88" i="14"/>
  <c r="K88" i="14"/>
  <c r="J88" i="14"/>
  <c r="I88" i="14"/>
  <c r="H88" i="14"/>
  <c r="G88" i="14"/>
  <c r="F88" i="14"/>
  <c r="AE87" i="14"/>
  <c r="AC87" i="14"/>
  <c r="AB87" i="14"/>
  <c r="AA87" i="14"/>
  <c r="Z87" i="14"/>
  <c r="Y87" i="14"/>
  <c r="X87" i="14"/>
  <c r="W87" i="14"/>
  <c r="V87" i="14"/>
  <c r="U87" i="14"/>
  <c r="T87" i="14"/>
  <c r="S87" i="14"/>
  <c r="R87" i="14"/>
  <c r="Q87" i="14"/>
  <c r="P87" i="14"/>
  <c r="O87" i="14"/>
  <c r="N87" i="14"/>
  <c r="M87" i="14"/>
  <c r="L87" i="14"/>
  <c r="K87" i="14"/>
  <c r="J87" i="14"/>
  <c r="I87" i="14"/>
  <c r="H87" i="14"/>
  <c r="G87" i="14"/>
  <c r="F87" i="14"/>
  <c r="AE86" i="14"/>
  <c r="AC86" i="14"/>
  <c r="AB86" i="14"/>
  <c r="AA86" i="14"/>
  <c r="Z86" i="14"/>
  <c r="Y86" i="14"/>
  <c r="X86" i="14"/>
  <c r="W86" i="14"/>
  <c r="V86" i="14"/>
  <c r="U86" i="14"/>
  <c r="T86" i="14"/>
  <c r="S86" i="14"/>
  <c r="R86" i="14"/>
  <c r="Q86" i="14"/>
  <c r="P86" i="14"/>
  <c r="O86" i="14"/>
  <c r="N86" i="14"/>
  <c r="M86" i="14"/>
  <c r="L86" i="14"/>
  <c r="K86" i="14"/>
  <c r="J86" i="14"/>
  <c r="I86" i="14"/>
  <c r="H86" i="14"/>
  <c r="G86" i="14"/>
  <c r="F86" i="14"/>
  <c r="AE85" i="14"/>
  <c r="AC85" i="14"/>
  <c r="AB85" i="14"/>
  <c r="AA85" i="14"/>
  <c r="Z85" i="14"/>
  <c r="Y85" i="14"/>
  <c r="X85" i="14"/>
  <c r="W85" i="14"/>
  <c r="V85" i="14"/>
  <c r="U85" i="14"/>
  <c r="T85" i="14"/>
  <c r="S85" i="14"/>
  <c r="R85" i="14"/>
  <c r="Q85" i="14"/>
  <c r="P85" i="14"/>
  <c r="O85" i="14"/>
  <c r="N85" i="14"/>
  <c r="M85" i="14"/>
  <c r="L85" i="14"/>
  <c r="K85" i="14"/>
  <c r="J85" i="14"/>
  <c r="I85" i="14"/>
  <c r="H85" i="14"/>
  <c r="G85" i="14"/>
  <c r="F85" i="14"/>
  <c r="AE84" i="14"/>
  <c r="AC84" i="14"/>
  <c r="AB84" i="14"/>
  <c r="AA84" i="14"/>
  <c r="Z84" i="14"/>
  <c r="Y84" i="14"/>
  <c r="X84" i="14"/>
  <c r="W84" i="14"/>
  <c r="V84" i="14"/>
  <c r="U84" i="14"/>
  <c r="T84" i="14"/>
  <c r="S84" i="14"/>
  <c r="R84" i="14"/>
  <c r="Q84" i="14"/>
  <c r="P84" i="14"/>
  <c r="O84" i="14"/>
  <c r="N84" i="14"/>
  <c r="M84" i="14"/>
  <c r="L84" i="14"/>
  <c r="K84" i="14"/>
  <c r="J84" i="14"/>
  <c r="I84" i="14"/>
  <c r="H84" i="14"/>
  <c r="G84" i="14"/>
  <c r="F84" i="14"/>
  <c r="AE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AE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AE81" i="14"/>
  <c r="AC81" i="14"/>
  <c r="AB81" i="14"/>
  <c r="AA81" i="14"/>
  <c r="Z81" i="14"/>
  <c r="Y81" i="14"/>
  <c r="X81" i="14"/>
  <c r="W81" i="14"/>
  <c r="V81" i="14"/>
  <c r="U81" i="14"/>
  <c r="T81" i="14"/>
  <c r="S81" i="14"/>
  <c r="R81" i="14"/>
  <c r="Q81" i="14"/>
  <c r="P81" i="14"/>
  <c r="O81" i="14"/>
  <c r="N81" i="14"/>
  <c r="M81" i="14"/>
  <c r="L81" i="14"/>
  <c r="K81" i="14"/>
  <c r="J81" i="14"/>
  <c r="I81" i="14"/>
  <c r="H81" i="14"/>
  <c r="G81" i="14"/>
  <c r="F81" i="14"/>
  <c r="AE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AE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AE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AE77" i="14"/>
  <c r="AC77" i="14"/>
  <c r="AB77" i="14"/>
  <c r="AA77" i="14"/>
  <c r="Z77" i="14"/>
  <c r="Y77" i="14"/>
  <c r="X77" i="14"/>
  <c r="W77" i="14"/>
  <c r="V77" i="14"/>
  <c r="U77" i="14"/>
  <c r="T77" i="14"/>
  <c r="S77" i="14"/>
  <c r="R77" i="14"/>
  <c r="Q77" i="14"/>
  <c r="P77" i="14"/>
  <c r="O77" i="14"/>
  <c r="N77" i="14"/>
  <c r="M77" i="14"/>
  <c r="L77" i="14"/>
  <c r="K77" i="14"/>
  <c r="J77" i="14"/>
  <c r="I77" i="14"/>
  <c r="H77" i="14"/>
  <c r="G77" i="14"/>
  <c r="F77" i="14"/>
  <c r="AE76" i="14"/>
  <c r="AC76" i="14"/>
  <c r="AB76" i="14"/>
  <c r="AA76" i="14"/>
  <c r="Z76" i="14"/>
  <c r="Y76" i="14"/>
  <c r="X76" i="14"/>
  <c r="W76" i="14"/>
  <c r="V76" i="14"/>
  <c r="U76" i="14"/>
  <c r="T76" i="14"/>
  <c r="S76" i="14"/>
  <c r="R76" i="14"/>
  <c r="Q76" i="14"/>
  <c r="P76" i="14"/>
  <c r="O76" i="14"/>
  <c r="N76" i="14"/>
  <c r="M76" i="14"/>
  <c r="L76" i="14"/>
  <c r="K76" i="14"/>
  <c r="J76" i="14"/>
  <c r="I76" i="14"/>
  <c r="H76" i="14"/>
  <c r="G76" i="14"/>
  <c r="F76" i="14"/>
  <c r="AE75" i="14"/>
  <c r="AC75" i="14"/>
  <c r="AB75" i="14"/>
  <c r="AA75" i="14"/>
  <c r="Z75" i="14"/>
  <c r="Y75" i="14"/>
  <c r="X75" i="14"/>
  <c r="W75" i="14"/>
  <c r="V75" i="14"/>
  <c r="U75" i="14"/>
  <c r="T75" i="14"/>
  <c r="S75" i="14"/>
  <c r="R75" i="14"/>
  <c r="Q75" i="14"/>
  <c r="P75" i="14"/>
  <c r="O75" i="14"/>
  <c r="N75" i="14"/>
  <c r="M75" i="14"/>
  <c r="L75" i="14"/>
  <c r="K75" i="14"/>
  <c r="J75" i="14"/>
  <c r="I75" i="14"/>
  <c r="H75" i="14"/>
  <c r="G75" i="14"/>
  <c r="F75" i="14"/>
  <c r="AE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AE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AE72" i="14"/>
  <c r="AC72" i="14"/>
  <c r="AB72" i="14"/>
  <c r="AA72" i="14"/>
  <c r="Z72" i="14"/>
  <c r="Y72" i="14"/>
  <c r="X72" i="14"/>
  <c r="W72" i="14"/>
  <c r="V72" i="14"/>
  <c r="U72" i="14"/>
  <c r="T72" i="14"/>
  <c r="S72" i="14"/>
  <c r="R72" i="14"/>
  <c r="Q72" i="14"/>
  <c r="P72" i="14"/>
  <c r="O72" i="14"/>
  <c r="N72" i="14"/>
  <c r="M72" i="14"/>
  <c r="L72" i="14"/>
  <c r="K72" i="14"/>
  <c r="J72" i="14"/>
  <c r="I72" i="14"/>
  <c r="H72" i="14"/>
  <c r="G72" i="14"/>
  <c r="F72" i="14"/>
  <c r="AE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AE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AE69" i="14"/>
  <c r="AC69" i="14"/>
  <c r="AB69" i="14"/>
  <c r="AA69" i="14"/>
  <c r="Z69" i="14"/>
  <c r="Y69" i="14"/>
  <c r="X69" i="14"/>
  <c r="W69" i="14"/>
  <c r="V69" i="14"/>
  <c r="U69" i="14"/>
  <c r="T69" i="14"/>
  <c r="S69" i="14"/>
  <c r="R69" i="14"/>
  <c r="Q69" i="14"/>
  <c r="P69" i="14"/>
  <c r="O69" i="14"/>
  <c r="N69" i="14"/>
  <c r="M69" i="14"/>
  <c r="L69" i="14"/>
  <c r="K69" i="14"/>
  <c r="J69" i="14"/>
  <c r="I69" i="14"/>
  <c r="H69" i="14"/>
  <c r="G69" i="14"/>
  <c r="F69" i="14"/>
  <c r="AE68" i="14"/>
  <c r="AC68" i="14"/>
  <c r="AB68" i="14"/>
  <c r="AA68" i="14"/>
  <c r="Z68" i="14"/>
  <c r="Y68" i="14"/>
  <c r="X68" i="14"/>
  <c r="W68" i="14"/>
  <c r="V68" i="14"/>
  <c r="U68" i="14"/>
  <c r="T68" i="14"/>
  <c r="S68" i="14"/>
  <c r="R68" i="14"/>
  <c r="Q68" i="14"/>
  <c r="P68" i="14"/>
  <c r="O68" i="14"/>
  <c r="N68" i="14"/>
  <c r="M68" i="14"/>
  <c r="L68" i="14"/>
  <c r="K68" i="14"/>
  <c r="J68" i="14"/>
  <c r="I68" i="14"/>
  <c r="H68" i="14"/>
  <c r="G68" i="14"/>
  <c r="F68" i="14"/>
  <c r="AE67" i="14"/>
  <c r="AC67" i="14"/>
  <c r="AB67" i="14"/>
  <c r="AA67" i="14"/>
  <c r="Z67" i="14"/>
  <c r="Y67" i="14"/>
  <c r="X67" i="14"/>
  <c r="W67" i="14"/>
  <c r="V67" i="14"/>
  <c r="U67" i="14"/>
  <c r="T67" i="14"/>
  <c r="S67" i="14"/>
  <c r="R67" i="14"/>
  <c r="Q67" i="14"/>
  <c r="P67" i="14"/>
  <c r="O67" i="14"/>
  <c r="N67" i="14"/>
  <c r="M67" i="14"/>
  <c r="L67" i="14"/>
  <c r="K67" i="14"/>
  <c r="J67" i="14"/>
  <c r="I67" i="14"/>
  <c r="H67" i="14"/>
  <c r="G67" i="14"/>
  <c r="F67" i="14"/>
  <c r="AE66" i="14"/>
  <c r="AC66" i="14"/>
  <c r="AB66" i="14"/>
  <c r="AA66" i="14"/>
  <c r="Z66" i="14"/>
  <c r="Y66" i="14"/>
  <c r="X66" i="14"/>
  <c r="W66" i="14"/>
  <c r="V66" i="14"/>
  <c r="U66" i="14"/>
  <c r="T66" i="14"/>
  <c r="S66" i="14"/>
  <c r="R66" i="14"/>
  <c r="Q66" i="14"/>
  <c r="P66" i="14"/>
  <c r="O66" i="14"/>
  <c r="N66" i="14"/>
  <c r="M66" i="14"/>
  <c r="L66" i="14"/>
  <c r="K66" i="14"/>
  <c r="J66" i="14"/>
  <c r="I66" i="14"/>
  <c r="H66" i="14"/>
  <c r="G66" i="14"/>
  <c r="F66" i="14"/>
  <c r="AE65" i="14"/>
  <c r="AC65" i="14"/>
  <c r="AB65" i="14"/>
  <c r="AA65" i="14"/>
  <c r="Z65" i="14"/>
  <c r="Y65" i="14"/>
  <c r="X65" i="14"/>
  <c r="W65" i="14"/>
  <c r="V65" i="14"/>
  <c r="U65" i="14"/>
  <c r="T65" i="14"/>
  <c r="S65" i="14"/>
  <c r="R65" i="14"/>
  <c r="Q65" i="14"/>
  <c r="P65" i="14"/>
  <c r="O65" i="14"/>
  <c r="N65" i="14"/>
  <c r="M65" i="14"/>
  <c r="L65" i="14"/>
  <c r="K65" i="14"/>
  <c r="J65" i="14"/>
  <c r="I65" i="14"/>
  <c r="H65" i="14"/>
  <c r="G65" i="14"/>
  <c r="F65" i="14"/>
  <c r="AE64" i="14"/>
  <c r="AC64" i="14"/>
  <c r="AB64" i="14"/>
  <c r="AA64" i="14"/>
  <c r="Z64" i="14"/>
  <c r="Y64" i="14"/>
  <c r="X64" i="14"/>
  <c r="W64" i="14"/>
  <c r="V64" i="14"/>
  <c r="U64" i="14"/>
  <c r="T64" i="14"/>
  <c r="S64" i="14"/>
  <c r="R64" i="14"/>
  <c r="Q64" i="14"/>
  <c r="P64" i="14"/>
  <c r="O64" i="14"/>
  <c r="N64" i="14"/>
  <c r="M64" i="14"/>
  <c r="L64" i="14"/>
  <c r="K64" i="14"/>
  <c r="J64" i="14"/>
  <c r="I64" i="14"/>
  <c r="H64" i="14"/>
  <c r="G64" i="14"/>
  <c r="F64" i="14"/>
  <c r="AE63" i="14"/>
  <c r="AC63" i="14"/>
  <c r="AB63" i="14"/>
  <c r="AA63" i="14"/>
  <c r="Z63" i="14"/>
  <c r="Y63" i="14"/>
  <c r="X63" i="14"/>
  <c r="W63" i="14"/>
  <c r="V63" i="14"/>
  <c r="U63" i="14"/>
  <c r="T63" i="14"/>
  <c r="S63" i="14"/>
  <c r="R63" i="14"/>
  <c r="Q63" i="14"/>
  <c r="P63" i="14"/>
  <c r="O63" i="14"/>
  <c r="N63" i="14"/>
  <c r="M63" i="14"/>
  <c r="L63" i="14"/>
  <c r="K63" i="14"/>
  <c r="J63" i="14"/>
  <c r="I63" i="14"/>
  <c r="H63" i="14"/>
  <c r="G63" i="14"/>
  <c r="F63" i="14"/>
  <c r="AE62" i="14"/>
  <c r="AC62" i="14"/>
  <c r="AB62" i="14"/>
  <c r="AA62" i="14"/>
  <c r="Z62" i="14"/>
  <c r="Y62" i="14"/>
  <c r="X62" i="14"/>
  <c r="W62" i="14"/>
  <c r="V62" i="14"/>
  <c r="U62" i="14"/>
  <c r="T62" i="14"/>
  <c r="S62" i="14"/>
  <c r="R62" i="14"/>
  <c r="Q62" i="14"/>
  <c r="P62" i="14"/>
  <c r="O62" i="14"/>
  <c r="N62" i="14"/>
  <c r="M62" i="14"/>
  <c r="L62" i="14"/>
  <c r="K62" i="14"/>
  <c r="J62" i="14"/>
  <c r="I62" i="14"/>
  <c r="H62" i="14"/>
  <c r="G62" i="14"/>
  <c r="F62" i="14"/>
  <c r="AE61" i="14"/>
  <c r="AC61" i="14"/>
  <c r="AB61" i="14"/>
  <c r="AA61" i="14"/>
  <c r="Z61" i="14"/>
  <c r="Y61" i="14"/>
  <c r="X61" i="14"/>
  <c r="W61" i="14"/>
  <c r="V61" i="14"/>
  <c r="U61" i="14"/>
  <c r="T61" i="14"/>
  <c r="S61" i="14"/>
  <c r="R61" i="14"/>
  <c r="Q61" i="14"/>
  <c r="P61" i="14"/>
  <c r="O61" i="14"/>
  <c r="N61" i="14"/>
  <c r="M61" i="14"/>
  <c r="L61" i="14"/>
  <c r="K61" i="14"/>
  <c r="J61" i="14"/>
  <c r="I61" i="14"/>
  <c r="H61" i="14"/>
  <c r="G61" i="14"/>
  <c r="F61" i="14"/>
  <c r="AE60" i="14"/>
  <c r="AC60" i="14"/>
  <c r="AB60" i="14"/>
  <c r="AA60" i="14"/>
  <c r="Z60" i="14"/>
  <c r="Y60" i="14"/>
  <c r="X60" i="14"/>
  <c r="W60" i="14"/>
  <c r="V60" i="14"/>
  <c r="U60" i="14"/>
  <c r="T60" i="14"/>
  <c r="S60" i="14"/>
  <c r="R60" i="14"/>
  <c r="Q60" i="14"/>
  <c r="P60" i="14"/>
  <c r="O60" i="14"/>
  <c r="N60" i="14"/>
  <c r="M60" i="14"/>
  <c r="L60" i="14"/>
  <c r="K60" i="14"/>
  <c r="J60" i="14"/>
  <c r="I60" i="14"/>
  <c r="H60" i="14"/>
  <c r="G60" i="14"/>
  <c r="F60" i="14"/>
  <c r="AE59" i="14"/>
  <c r="AC59" i="14"/>
  <c r="AB59" i="14"/>
  <c r="AA59" i="14"/>
  <c r="Z59" i="14"/>
  <c r="Y59" i="14"/>
  <c r="X59" i="14"/>
  <c r="W59" i="14"/>
  <c r="V59" i="14"/>
  <c r="U59" i="14"/>
  <c r="T59" i="14"/>
  <c r="S59" i="14"/>
  <c r="R59" i="14"/>
  <c r="Q59" i="14"/>
  <c r="P59" i="14"/>
  <c r="O59" i="14"/>
  <c r="N59" i="14"/>
  <c r="M59" i="14"/>
  <c r="L59" i="14"/>
  <c r="K59" i="14"/>
  <c r="J59" i="14"/>
  <c r="I59" i="14"/>
  <c r="H59" i="14"/>
  <c r="G59" i="14"/>
  <c r="F59" i="14"/>
  <c r="AE58" i="14"/>
  <c r="AC58" i="14"/>
  <c r="AB58" i="14"/>
  <c r="AA58" i="14"/>
  <c r="Z58" i="14"/>
  <c r="Y58" i="14"/>
  <c r="X58" i="14"/>
  <c r="W58" i="14"/>
  <c r="V58" i="14"/>
  <c r="U58" i="14"/>
  <c r="T58" i="14"/>
  <c r="S58" i="14"/>
  <c r="R58" i="14"/>
  <c r="Q58" i="14"/>
  <c r="P58" i="14"/>
  <c r="O58" i="14"/>
  <c r="N58" i="14"/>
  <c r="M58" i="14"/>
  <c r="L58" i="14"/>
  <c r="K58" i="14"/>
  <c r="J58" i="14"/>
  <c r="I58" i="14"/>
  <c r="H58" i="14"/>
  <c r="G58" i="14"/>
  <c r="F58" i="14"/>
  <c r="AE57" i="14"/>
  <c r="AC57" i="14"/>
  <c r="AB57" i="14"/>
  <c r="AA57" i="14"/>
  <c r="Z57" i="14"/>
  <c r="Y57" i="14"/>
  <c r="X57" i="14"/>
  <c r="W57" i="14"/>
  <c r="V57" i="14"/>
  <c r="U57" i="14"/>
  <c r="T57" i="14"/>
  <c r="S57" i="14"/>
  <c r="R57" i="14"/>
  <c r="Q57" i="14"/>
  <c r="P57" i="14"/>
  <c r="O57" i="14"/>
  <c r="N57" i="14"/>
  <c r="M57" i="14"/>
  <c r="L57" i="14"/>
  <c r="K57" i="14"/>
  <c r="J57" i="14"/>
  <c r="I57" i="14"/>
  <c r="H57" i="14"/>
  <c r="G57" i="14"/>
  <c r="F57" i="14"/>
  <c r="AE56" i="14"/>
  <c r="AC56" i="14"/>
  <c r="AB56" i="14"/>
  <c r="AA56" i="14"/>
  <c r="Z56" i="14"/>
  <c r="Y56" i="14"/>
  <c r="X56" i="14"/>
  <c r="W56" i="14"/>
  <c r="V56" i="14"/>
  <c r="U56" i="14"/>
  <c r="T56" i="14"/>
  <c r="S56" i="14"/>
  <c r="R56" i="14"/>
  <c r="Q56" i="14"/>
  <c r="P56" i="14"/>
  <c r="O56" i="14"/>
  <c r="N56" i="14"/>
  <c r="M56" i="14"/>
  <c r="L56" i="14"/>
  <c r="K56" i="14"/>
  <c r="J56" i="14"/>
  <c r="I56" i="14"/>
  <c r="H56" i="14"/>
  <c r="G56" i="14"/>
  <c r="F56" i="14"/>
  <c r="AE55" i="14"/>
  <c r="AC55" i="14"/>
  <c r="AB55" i="14"/>
  <c r="AA55" i="14"/>
  <c r="Z55" i="14"/>
  <c r="Y55" i="14"/>
  <c r="X55" i="14"/>
  <c r="W55" i="14"/>
  <c r="V55" i="14"/>
  <c r="U55" i="14"/>
  <c r="T55" i="14"/>
  <c r="S55" i="14"/>
  <c r="R55" i="14"/>
  <c r="Q55" i="14"/>
  <c r="P55" i="14"/>
  <c r="O55" i="14"/>
  <c r="N55" i="14"/>
  <c r="M55" i="14"/>
  <c r="L55" i="14"/>
  <c r="K55" i="14"/>
  <c r="J55" i="14"/>
  <c r="I55" i="14"/>
  <c r="H55" i="14"/>
  <c r="G55" i="14"/>
  <c r="F55" i="14"/>
  <c r="AE54" i="14"/>
  <c r="AC54" i="14"/>
  <c r="AB54" i="14"/>
  <c r="AA54" i="14"/>
  <c r="Z54" i="14"/>
  <c r="Y54" i="14"/>
  <c r="X54" i="14"/>
  <c r="W54" i="14"/>
  <c r="V54" i="14"/>
  <c r="U54" i="14"/>
  <c r="T54" i="14"/>
  <c r="S54" i="14"/>
  <c r="R54" i="14"/>
  <c r="Q54" i="14"/>
  <c r="P54" i="14"/>
  <c r="O54" i="14"/>
  <c r="N54" i="14"/>
  <c r="M54" i="14"/>
  <c r="L54" i="14"/>
  <c r="K54" i="14"/>
  <c r="J54" i="14"/>
  <c r="I54" i="14"/>
  <c r="H54" i="14"/>
  <c r="G54" i="14"/>
  <c r="F54" i="14"/>
  <c r="AE53" i="14"/>
  <c r="AC53" i="14"/>
  <c r="AB53" i="14"/>
  <c r="AA53" i="14"/>
  <c r="Z53" i="14"/>
  <c r="Y53" i="14"/>
  <c r="X53" i="14"/>
  <c r="W53" i="14"/>
  <c r="V53" i="14"/>
  <c r="U53" i="14"/>
  <c r="T53" i="14"/>
  <c r="S53" i="14"/>
  <c r="R53" i="14"/>
  <c r="Q53" i="14"/>
  <c r="P53" i="14"/>
  <c r="O53" i="14"/>
  <c r="N53" i="14"/>
  <c r="M53" i="14"/>
  <c r="L53" i="14"/>
  <c r="K53" i="14"/>
  <c r="J53" i="14"/>
  <c r="I53" i="14"/>
  <c r="H53" i="14"/>
  <c r="G53" i="14"/>
  <c r="F53" i="14"/>
  <c r="AE52" i="14"/>
  <c r="AC52" i="14"/>
  <c r="AB52" i="14"/>
  <c r="AA52" i="14"/>
  <c r="Z52" i="14"/>
  <c r="Y52" i="14"/>
  <c r="X52" i="14"/>
  <c r="W52" i="14"/>
  <c r="V52" i="14"/>
  <c r="U52" i="14"/>
  <c r="T52" i="14"/>
  <c r="S52" i="14"/>
  <c r="R52" i="14"/>
  <c r="Q52" i="14"/>
  <c r="P52" i="14"/>
  <c r="O52" i="14"/>
  <c r="N52" i="14"/>
  <c r="M52" i="14"/>
  <c r="L52" i="14"/>
  <c r="K52" i="14"/>
  <c r="J52" i="14"/>
  <c r="I52" i="14"/>
  <c r="H52" i="14"/>
  <c r="G52" i="14"/>
  <c r="F52" i="14"/>
  <c r="AE51" i="14"/>
  <c r="AC51" i="14"/>
  <c r="AB51" i="14"/>
  <c r="AA51" i="14"/>
  <c r="Z51" i="14"/>
  <c r="Y51" i="14"/>
  <c r="X51" i="14"/>
  <c r="W51" i="14"/>
  <c r="V51" i="14"/>
  <c r="U51" i="14"/>
  <c r="T51" i="14"/>
  <c r="S51" i="14"/>
  <c r="R51" i="14"/>
  <c r="Q51" i="14"/>
  <c r="P51" i="14"/>
  <c r="O51" i="14"/>
  <c r="N51" i="14"/>
  <c r="M51" i="14"/>
  <c r="L51" i="14"/>
  <c r="K51" i="14"/>
  <c r="J51" i="14"/>
  <c r="I51" i="14"/>
  <c r="H51" i="14"/>
  <c r="G51" i="14"/>
  <c r="F51" i="14"/>
  <c r="AE50" i="14"/>
  <c r="AC50" i="14"/>
  <c r="AB50" i="14"/>
  <c r="AA50" i="14"/>
  <c r="Z50" i="14"/>
  <c r="Y50" i="14"/>
  <c r="X50" i="14"/>
  <c r="W50" i="14"/>
  <c r="V50" i="14"/>
  <c r="U50" i="14"/>
  <c r="T50" i="14"/>
  <c r="S50" i="14"/>
  <c r="R50" i="14"/>
  <c r="Q50" i="14"/>
  <c r="P50" i="14"/>
  <c r="O50" i="14"/>
  <c r="N50" i="14"/>
  <c r="M50" i="14"/>
  <c r="L50" i="14"/>
  <c r="K50" i="14"/>
  <c r="J50" i="14"/>
  <c r="I50" i="14"/>
  <c r="H50" i="14"/>
  <c r="G50" i="14"/>
  <c r="F50" i="14"/>
  <c r="AE49" i="14"/>
  <c r="AC49" i="14"/>
  <c r="AB49" i="14"/>
  <c r="AA49" i="14"/>
  <c r="Z49" i="14"/>
  <c r="Y49" i="14"/>
  <c r="X49" i="14"/>
  <c r="W49" i="14"/>
  <c r="V49" i="14"/>
  <c r="U49" i="14"/>
  <c r="T49" i="14"/>
  <c r="S49" i="14"/>
  <c r="R49" i="14"/>
  <c r="Q49" i="14"/>
  <c r="P49" i="14"/>
  <c r="O49" i="14"/>
  <c r="N49" i="14"/>
  <c r="M49" i="14"/>
  <c r="L49" i="14"/>
  <c r="K49" i="14"/>
  <c r="J49" i="14"/>
  <c r="I49" i="14"/>
  <c r="H49" i="14"/>
  <c r="G49" i="14"/>
  <c r="F49" i="14"/>
  <c r="AE48" i="14"/>
  <c r="AC48" i="14"/>
  <c r="AB48" i="14"/>
  <c r="AA48" i="14"/>
  <c r="Z48" i="14"/>
  <c r="Y48" i="14"/>
  <c r="X48" i="14"/>
  <c r="W48" i="14"/>
  <c r="V48" i="14"/>
  <c r="U48" i="14"/>
  <c r="T48" i="14"/>
  <c r="S48" i="14"/>
  <c r="R48" i="14"/>
  <c r="Q48" i="14"/>
  <c r="P48" i="14"/>
  <c r="O48" i="14"/>
  <c r="N48" i="14"/>
  <c r="M48" i="14"/>
  <c r="L48" i="14"/>
  <c r="K48" i="14"/>
  <c r="J48" i="14"/>
  <c r="I48" i="14"/>
  <c r="H48" i="14"/>
  <c r="G48" i="14"/>
  <c r="F48" i="14"/>
  <c r="AE47" i="14"/>
  <c r="AC47" i="14"/>
  <c r="AB47" i="14"/>
  <c r="AA47" i="14"/>
  <c r="Z47" i="14"/>
  <c r="Y47" i="14"/>
  <c r="X47" i="14"/>
  <c r="W47" i="14"/>
  <c r="V47" i="14"/>
  <c r="U47" i="14"/>
  <c r="T47" i="14"/>
  <c r="S47" i="14"/>
  <c r="R47" i="14"/>
  <c r="Q47" i="14"/>
  <c r="P47" i="14"/>
  <c r="O47" i="14"/>
  <c r="N47" i="14"/>
  <c r="M47" i="14"/>
  <c r="L47" i="14"/>
  <c r="K47" i="14"/>
  <c r="J47" i="14"/>
  <c r="I47" i="14"/>
  <c r="H47" i="14"/>
  <c r="G47" i="14"/>
  <c r="F47" i="14"/>
  <c r="AE46" i="14"/>
  <c r="AC46" i="14"/>
  <c r="AB46" i="14"/>
  <c r="AA46" i="14"/>
  <c r="Z46" i="14"/>
  <c r="Y46" i="14"/>
  <c r="X46" i="14"/>
  <c r="W46" i="14"/>
  <c r="V46" i="14"/>
  <c r="U46" i="14"/>
  <c r="T46" i="14"/>
  <c r="S46" i="14"/>
  <c r="R46" i="14"/>
  <c r="Q46" i="14"/>
  <c r="P46" i="14"/>
  <c r="O46" i="14"/>
  <c r="N46" i="14"/>
  <c r="M46" i="14"/>
  <c r="L46" i="14"/>
  <c r="K46" i="14"/>
  <c r="J46" i="14"/>
  <c r="I46" i="14"/>
  <c r="H46" i="14"/>
  <c r="G46" i="14"/>
  <c r="F46" i="14"/>
  <c r="AE45" i="14"/>
  <c r="AC45" i="14"/>
  <c r="AB45" i="14"/>
  <c r="AA45" i="14"/>
  <c r="Z45" i="14"/>
  <c r="Y45" i="14"/>
  <c r="X45" i="14"/>
  <c r="W45" i="14"/>
  <c r="V45" i="14"/>
  <c r="U45" i="14"/>
  <c r="T45" i="14"/>
  <c r="S45" i="14"/>
  <c r="R45" i="14"/>
  <c r="Q45" i="14"/>
  <c r="P45" i="14"/>
  <c r="O45" i="14"/>
  <c r="N45" i="14"/>
  <c r="M45" i="14"/>
  <c r="L45" i="14"/>
  <c r="K45" i="14"/>
  <c r="J45" i="14"/>
  <c r="I45" i="14"/>
  <c r="H45" i="14"/>
  <c r="G45" i="14"/>
  <c r="F45" i="14"/>
  <c r="AE44" i="14"/>
  <c r="AC44" i="14"/>
  <c r="AB44" i="14"/>
  <c r="AA44" i="14"/>
  <c r="Z44" i="14"/>
  <c r="Y44" i="14"/>
  <c r="X44" i="14"/>
  <c r="W44" i="14"/>
  <c r="V44" i="14"/>
  <c r="U44" i="14"/>
  <c r="T44" i="14"/>
  <c r="S44" i="14"/>
  <c r="R44" i="14"/>
  <c r="Q44" i="14"/>
  <c r="P44" i="14"/>
  <c r="O44" i="14"/>
  <c r="N44" i="14"/>
  <c r="M44" i="14"/>
  <c r="L44" i="14"/>
  <c r="K44" i="14"/>
  <c r="J44" i="14"/>
  <c r="I44" i="14"/>
  <c r="H44" i="14"/>
  <c r="G44" i="14"/>
  <c r="F44" i="14"/>
  <c r="AE43" i="14"/>
  <c r="AC43" i="14"/>
  <c r="AB43" i="14"/>
  <c r="AA43" i="14"/>
  <c r="Z43" i="14"/>
  <c r="Y43" i="14"/>
  <c r="X43" i="14"/>
  <c r="W43" i="14"/>
  <c r="V43" i="14"/>
  <c r="U43" i="14"/>
  <c r="T43" i="14"/>
  <c r="S43" i="14"/>
  <c r="R43" i="14"/>
  <c r="Q43" i="14"/>
  <c r="P43" i="14"/>
  <c r="O43" i="14"/>
  <c r="N43" i="14"/>
  <c r="M43" i="14"/>
  <c r="L43" i="14"/>
  <c r="K43" i="14"/>
  <c r="J43" i="14"/>
  <c r="I43" i="14"/>
  <c r="H43" i="14"/>
  <c r="G43" i="14"/>
  <c r="F43" i="14"/>
  <c r="AE42" i="14"/>
  <c r="AC42" i="14"/>
  <c r="AB42" i="14"/>
  <c r="AA42" i="14"/>
  <c r="Z42" i="14"/>
  <c r="Y42" i="14"/>
  <c r="X42" i="14"/>
  <c r="W42" i="14"/>
  <c r="V42" i="14"/>
  <c r="U42" i="14"/>
  <c r="T42" i="14"/>
  <c r="S42" i="14"/>
  <c r="R42" i="14"/>
  <c r="Q42" i="14"/>
  <c r="P42" i="14"/>
  <c r="O42" i="14"/>
  <c r="N42" i="14"/>
  <c r="M42" i="14"/>
  <c r="L42" i="14"/>
  <c r="K42" i="14"/>
  <c r="J42" i="14"/>
  <c r="I42" i="14"/>
  <c r="H42" i="14"/>
  <c r="G42" i="14"/>
  <c r="F42" i="14"/>
  <c r="AE41" i="14"/>
  <c r="AC41" i="14"/>
  <c r="AB41" i="14"/>
  <c r="AA41" i="14"/>
  <c r="Z41" i="14"/>
  <c r="Y41" i="14"/>
  <c r="X41" i="14"/>
  <c r="W41" i="14"/>
  <c r="V41" i="14"/>
  <c r="U41" i="14"/>
  <c r="T41" i="14"/>
  <c r="S41" i="14"/>
  <c r="R41" i="14"/>
  <c r="Q41" i="14"/>
  <c r="P41" i="14"/>
  <c r="O41" i="14"/>
  <c r="N41" i="14"/>
  <c r="M41" i="14"/>
  <c r="L41" i="14"/>
  <c r="K41" i="14"/>
  <c r="J41" i="14"/>
  <c r="I41" i="14"/>
  <c r="H41" i="14"/>
  <c r="G41" i="14"/>
  <c r="F41" i="14"/>
  <c r="AE40" i="14"/>
  <c r="AC40" i="14"/>
  <c r="AB40" i="14"/>
  <c r="AA40" i="14"/>
  <c r="Z40" i="14"/>
  <c r="Y40" i="14"/>
  <c r="X40" i="14"/>
  <c r="W40" i="14"/>
  <c r="V40" i="14"/>
  <c r="U40" i="14"/>
  <c r="T40" i="14"/>
  <c r="S40" i="14"/>
  <c r="R40" i="14"/>
  <c r="Q40" i="14"/>
  <c r="P40" i="14"/>
  <c r="O40" i="14"/>
  <c r="N40" i="14"/>
  <c r="M40" i="14"/>
  <c r="L40" i="14"/>
  <c r="K40" i="14"/>
  <c r="J40" i="14"/>
  <c r="I40" i="14"/>
  <c r="H40" i="14"/>
  <c r="G40" i="14"/>
  <c r="F40" i="14"/>
  <c r="AE39" i="14"/>
  <c r="AC39" i="14"/>
  <c r="AB39" i="14"/>
  <c r="AA39" i="14"/>
  <c r="Z39" i="14"/>
  <c r="Y39" i="14"/>
  <c r="X39" i="14"/>
  <c r="W39" i="14"/>
  <c r="V39" i="14"/>
  <c r="U39" i="14"/>
  <c r="T39" i="14"/>
  <c r="S39" i="14"/>
  <c r="R39" i="14"/>
  <c r="Q39" i="14"/>
  <c r="P39" i="14"/>
  <c r="O39" i="14"/>
  <c r="N39" i="14"/>
  <c r="M39" i="14"/>
  <c r="L39" i="14"/>
  <c r="K39" i="14"/>
  <c r="J39" i="14"/>
  <c r="I39" i="14"/>
  <c r="H39" i="14"/>
  <c r="G39" i="14"/>
  <c r="F39" i="14"/>
  <c r="AE38" i="14"/>
  <c r="AC38" i="14"/>
  <c r="AB38" i="14"/>
  <c r="AA38" i="14"/>
  <c r="Z38" i="14"/>
  <c r="Y38" i="14"/>
  <c r="X38" i="14"/>
  <c r="W38" i="14"/>
  <c r="V38" i="14"/>
  <c r="U38" i="14"/>
  <c r="T38" i="14"/>
  <c r="S38" i="14"/>
  <c r="R38" i="14"/>
  <c r="Q38" i="14"/>
  <c r="P38" i="14"/>
  <c r="O38" i="14"/>
  <c r="N38" i="14"/>
  <c r="M38" i="14"/>
  <c r="L38" i="14"/>
  <c r="K38" i="14"/>
  <c r="J38" i="14"/>
  <c r="I38" i="14"/>
  <c r="H38" i="14"/>
  <c r="G38" i="14"/>
  <c r="F38" i="14"/>
  <c r="AE37" i="14"/>
  <c r="AC37" i="14"/>
  <c r="AB37" i="14"/>
  <c r="AA37" i="14"/>
  <c r="Z37" i="14"/>
  <c r="Y37" i="14"/>
  <c r="X37" i="14"/>
  <c r="W37" i="14"/>
  <c r="V37" i="14"/>
  <c r="U37" i="14"/>
  <c r="T37" i="14"/>
  <c r="S37" i="14"/>
  <c r="R37" i="14"/>
  <c r="Q37" i="14"/>
  <c r="P37" i="14"/>
  <c r="O37" i="14"/>
  <c r="N37" i="14"/>
  <c r="M37" i="14"/>
  <c r="L37" i="14"/>
  <c r="K37" i="14"/>
  <c r="J37" i="14"/>
  <c r="I37" i="14"/>
  <c r="H37" i="14"/>
  <c r="G37" i="14"/>
  <c r="F37" i="14"/>
  <c r="AE36" i="14"/>
  <c r="AC36" i="14"/>
  <c r="AB36" i="14"/>
  <c r="AA36" i="14"/>
  <c r="Z36" i="14"/>
  <c r="Y36" i="14"/>
  <c r="X36" i="14"/>
  <c r="W36" i="14"/>
  <c r="V36" i="14"/>
  <c r="U36" i="14"/>
  <c r="T36" i="14"/>
  <c r="S36" i="14"/>
  <c r="R36" i="14"/>
  <c r="Q36" i="14"/>
  <c r="P36" i="14"/>
  <c r="O36" i="14"/>
  <c r="N36" i="14"/>
  <c r="M36" i="14"/>
  <c r="L36" i="14"/>
  <c r="K36" i="14"/>
  <c r="J36" i="14"/>
  <c r="I36" i="14"/>
  <c r="H36" i="14"/>
  <c r="G36" i="14"/>
  <c r="F36" i="14"/>
  <c r="AE35" i="14"/>
  <c r="AC35" i="14"/>
  <c r="AB35" i="14"/>
  <c r="AA35" i="14"/>
  <c r="Z35" i="14"/>
  <c r="Y35" i="14"/>
  <c r="X35" i="14"/>
  <c r="W35" i="14"/>
  <c r="V35" i="14"/>
  <c r="U35" i="14"/>
  <c r="T35" i="14"/>
  <c r="S35" i="14"/>
  <c r="R35" i="14"/>
  <c r="Q35" i="14"/>
  <c r="P35" i="14"/>
  <c r="O35" i="14"/>
  <c r="N35" i="14"/>
  <c r="M35" i="14"/>
  <c r="L35" i="14"/>
  <c r="K35" i="14"/>
  <c r="J35" i="14"/>
  <c r="I35" i="14"/>
  <c r="H35" i="14"/>
  <c r="G35" i="14"/>
  <c r="F35" i="14"/>
  <c r="AE34" i="14"/>
  <c r="AC34" i="14"/>
  <c r="AB34" i="14"/>
  <c r="AA34" i="14"/>
  <c r="Z34" i="14"/>
  <c r="Y34" i="14"/>
  <c r="X34" i="14"/>
  <c r="W34" i="14"/>
  <c r="V34" i="14"/>
  <c r="U34" i="14"/>
  <c r="T34" i="14"/>
  <c r="S34" i="14"/>
  <c r="R34" i="14"/>
  <c r="Q34" i="14"/>
  <c r="P34" i="14"/>
  <c r="O34" i="14"/>
  <c r="N34" i="14"/>
  <c r="M34" i="14"/>
  <c r="L34" i="14"/>
  <c r="K34" i="14"/>
  <c r="J34" i="14"/>
  <c r="I34" i="14"/>
  <c r="H34" i="14"/>
  <c r="G34" i="14"/>
  <c r="F34" i="14"/>
  <c r="AE33" i="14"/>
  <c r="AC33" i="14"/>
  <c r="AB33" i="14"/>
  <c r="AA33" i="14"/>
  <c r="Z33" i="14"/>
  <c r="Y33" i="14"/>
  <c r="X33" i="14"/>
  <c r="W33" i="14"/>
  <c r="V33" i="14"/>
  <c r="U33" i="14"/>
  <c r="T33" i="14"/>
  <c r="S33" i="14"/>
  <c r="R33" i="14"/>
  <c r="Q33" i="14"/>
  <c r="P33" i="14"/>
  <c r="O33" i="14"/>
  <c r="N33" i="14"/>
  <c r="M33" i="14"/>
  <c r="L33" i="14"/>
  <c r="K33" i="14"/>
  <c r="J33" i="14"/>
  <c r="I33" i="14"/>
  <c r="H33" i="14"/>
  <c r="G33" i="14"/>
  <c r="F33" i="14"/>
  <c r="AE32" i="14"/>
  <c r="AC32" i="14"/>
  <c r="AB32" i="14"/>
  <c r="AA32" i="14"/>
  <c r="Z32" i="14"/>
  <c r="Y32" i="14"/>
  <c r="X32" i="14"/>
  <c r="W32" i="14"/>
  <c r="V32" i="14"/>
  <c r="U32" i="14"/>
  <c r="T32" i="14"/>
  <c r="S32" i="14"/>
  <c r="R32" i="14"/>
  <c r="Q32" i="14"/>
  <c r="P32" i="14"/>
  <c r="O32" i="14"/>
  <c r="N32" i="14"/>
  <c r="M32" i="14"/>
  <c r="L32" i="14"/>
  <c r="K32" i="14"/>
  <c r="J32" i="14"/>
  <c r="I32" i="14"/>
  <c r="H32" i="14"/>
  <c r="G32" i="14"/>
  <c r="F32" i="14"/>
  <c r="AE31" i="14"/>
  <c r="AC31" i="14"/>
  <c r="AB31" i="14"/>
  <c r="AA31" i="14"/>
  <c r="Z31" i="14"/>
  <c r="Y31" i="14"/>
  <c r="X31" i="14"/>
  <c r="W31" i="14"/>
  <c r="V31" i="14"/>
  <c r="U31" i="14"/>
  <c r="T31" i="14"/>
  <c r="S31" i="14"/>
  <c r="R31" i="14"/>
  <c r="Q31" i="14"/>
  <c r="P31" i="14"/>
  <c r="O31" i="14"/>
  <c r="N31" i="14"/>
  <c r="M31" i="14"/>
  <c r="L31" i="14"/>
  <c r="K31" i="14"/>
  <c r="J31" i="14"/>
  <c r="I31" i="14"/>
  <c r="H31" i="14"/>
  <c r="G31" i="14"/>
  <c r="F31" i="14"/>
  <c r="AE30" i="14"/>
  <c r="AC30" i="14"/>
  <c r="AB30" i="14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AE29" i="14"/>
  <c r="AC29" i="14"/>
  <c r="AB29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AE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AE27" i="14"/>
  <c r="AC27" i="14"/>
  <c r="AB27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AE26" i="14"/>
  <c r="AC26" i="14"/>
  <c r="AB26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AE25" i="14"/>
  <c r="AC25" i="14"/>
  <c r="AB25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AE24" i="14"/>
  <c r="AC24" i="14"/>
  <c r="AB24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AE23" i="14"/>
  <c r="AC23" i="14"/>
  <c r="AB23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AE22" i="14"/>
  <c r="AC22" i="14"/>
  <c r="AB22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AE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AE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AE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AE18" i="14"/>
  <c r="AC18" i="14"/>
  <c r="AB18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AE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AE16" i="14"/>
  <c r="AC16" i="14"/>
  <c r="AB16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AE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AE14" i="14"/>
  <c r="AC14" i="14"/>
  <c r="AB14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AE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AE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AE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AE10" i="14"/>
  <c r="AC10" i="14"/>
  <c r="AB10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AE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AE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AE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AE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AE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AE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AE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AE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AE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AE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AE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AE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AE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AE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AE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AE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AE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AE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AE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AE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AE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AE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AE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AE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AE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AE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AE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AE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AE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AE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AE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AE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AE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AE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AE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AE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AE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AE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AE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AE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AE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AE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AE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AE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AE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AE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AE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AE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AE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AE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AE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AE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AE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AE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AE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AE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AE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AE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AE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AE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AE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AE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AE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AE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AE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AE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AE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AE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AE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AE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AE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AE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AE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AE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AE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AE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AE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AE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AE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AE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AE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AE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AE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AE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AE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AE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AE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AE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AE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AE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AE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AE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AE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AE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AE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AE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AE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AE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AE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AE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AE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AE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AE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AE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AE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AE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AE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AE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AE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AE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AE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AE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AE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AE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AE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AE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AE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AE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AE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AE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AE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AE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AE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AE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AE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AE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AE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AE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AE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AE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AE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AE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AE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AE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AE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AE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AE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AE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AE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AE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AE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AE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AE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AE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AE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AE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AE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AE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AE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AE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AE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AE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AE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AE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AE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AE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AE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AE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AE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AE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AE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AE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AE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AE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AE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AE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AE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AE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AE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AE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AE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AE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AE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AE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AE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AE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AE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AE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AE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AE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AE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AE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AE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AE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AE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AE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AE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AE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AE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AE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AE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AE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AE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AE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AE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AE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AE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AE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AE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AE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AE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AE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AE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AE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AE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AE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AE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AE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AE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AE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AE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AE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AE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AE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AE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AE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AE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AE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AE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AE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AE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AE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AE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AE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AE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AE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AE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AE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AE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AE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AE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AE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AE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AE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AE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AE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AE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AE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AE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AE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AE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AE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AE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AE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AE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AE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AE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AE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AE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AE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AE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AE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AE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AE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AE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AE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AE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AE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AE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AE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AE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AE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AE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AE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AE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AE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AE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AE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AE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AE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AE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AE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AE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AE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AE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AE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AE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AE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AE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AE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AE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AE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AE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AE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AE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AE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AE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AE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AE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AE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AE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AE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AE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AE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AE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AE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AE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AE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AE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AE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AE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AE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AE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AE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AE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AE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AE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AE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AE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AE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AE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AE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AE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AE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AE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AE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AE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AE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AE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AE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AE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AE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AE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AE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AE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AE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AE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AE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AE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AE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AE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AE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AE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AE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AE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AE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AE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AE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AE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AE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AE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AE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AE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AE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AE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AE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AE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AE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AE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AE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AE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AE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AE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AE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AE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AE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AE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AE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AE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AE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AE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AE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AE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AE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AE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AE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AE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AE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AE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AE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AE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AE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AE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AE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AE365" i="12"/>
  <c r="AC365" i="12"/>
  <c r="AB365" i="12"/>
  <c r="AA365" i="12"/>
  <c r="Z365" i="12"/>
  <c r="Y365" i="12"/>
  <c r="X365" i="12"/>
  <c r="W365" i="12"/>
  <c r="V365" i="12"/>
  <c r="U365" i="12"/>
  <c r="T365" i="12"/>
  <c r="S365" i="12"/>
  <c r="R365" i="12"/>
  <c r="Q365" i="12"/>
  <c r="P365" i="12"/>
  <c r="O365" i="12"/>
  <c r="N365" i="12"/>
  <c r="M365" i="12"/>
  <c r="L365" i="12"/>
  <c r="K365" i="12"/>
  <c r="J365" i="12"/>
  <c r="I365" i="12"/>
  <c r="H365" i="12"/>
  <c r="G365" i="12"/>
  <c r="F365" i="12"/>
  <c r="AE364" i="12"/>
  <c r="AC364" i="12"/>
  <c r="AB364" i="12"/>
  <c r="AA364" i="12"/>
  <c r="Z364" i="12"/>
  <c r="Y364" i="12"/>
  <c r="X364" i="12"/>
  <c r="W364" i="12"/>
  <c r="V364" i="12"/>
  <c r="U364" i="12"/>
  <c r="T364" i="12"/>
  <c r="S364" i="12"/>
  <c r="R364" i="12"/>
  <c r="Q364" i="12"/>
  <c r="P364" i="12"/>
  <c r="O364" i="12"/>
  <c r="N364" i="12"/>
  <c r="M364" i="12"/>
  <c r="L364" i="12"/>
  <c r="K364" i="12"/>
  <c r="J364" i="12"/>
  <c r="I364" i="12"/>
  <c r="H364" i="12"/>
  <c r="G364" i="12"/>
  <c r="F364" i="12"/>
  <c r="AE363" i="12"/>
  <c r="AC363" i="12"/>
  <c r="AB363" i="12"/>
  <c r="AA363" i="12"/>
  <c r="Z363" i="12"/>
  <c r="Y363" i="12"/>
  <c r="X363" i="12"/>
  <c r="W363" i="12"/>
  <c r="V363" i="12"/>
  <c r="U363" i="12"/>
  <c r="T363" i="12"/>
  <c r="S363" i="12"/>
  <c r="R363" i="12"/>
  <c r="Q363" i="12"/>
  <c r="P363" i="12"/>
  <c r="O363" i="12"/>
  <c r="N363" i="12"/>
  <c r="M363" i="12"/>
  <c r="L363" i="12"/>
  <c r="K363" i="12"/>
  <c r="J363" i="12"/>
  <c r="I363" i="12"/>
  <c r="H363" i="12"/>
  <c r="G363" i="12"/>
  <c r="F363" i="12"/>
  <c r="AE362" i="12"/>
  <c r="AC362" i="12"/>
  <c r="AB362" i="12"/>
  <c r="AA362" i="12"/>
  <c r="Z362" i="12"/>
  <c r="Y362" i="12"/>
  <c r="X362" i="12"/>
  <c r="W362" i="12"/>
  <c r="V362" i="12"/>
  <c r="U362" i="12"/>
  <c r="T362" i="12"/>
  <c r="S362" i="12"/>
  <c r="R362" i="12"/>
  <c r="Q362" i="12"/>
  <c r="P362" i="12"/>
  <c r="O362" i="12"/>
  <c r="N362" i="12"/>
  <c r="M362" i="12"/>
  <c r="L362" i="12"/>
  <c r="K362" i="12"/>
  <c r="J362" i="12"/>
  <c r="I362" i="12"/>
  <c r="H362" i="12"/>
  <c r="G362" i="12"/>
  <c r="F362" i="12"/>
  <c r="AE361" i="12"/>
  <c r="AC361" i="12"/>
  <c r="AB361" i="12"/>
  <c r="AA361" i="12"/>
  <c r="Z361" i="12"/>
  <c r="Y361" i="12"/>
  <c r="X361" i="12"/>
  <c r="W361" i="12"/>
  <c r="V361" i="12"/>
  <c r="U361" i="12"/>
  <c r="T361" i="12"/>
  <c r="S361" i="12"/>
  <c r="R361" i="12"/>
  <c r="Q361" i="12"/>
  <c r="P361" i="12"/>
  <c r="O361" i="12"/>
  <c r="N361" i="12"/>
  <c r="M361" i="12"/>
  <c r="L361" i="12"/>
  <c r="K361" i="12"/>
  <c r="J361" i="12"/>
  <c r="I361" i="12"/>
  <c r="H361" i="12"/>
  <c r="G361" i="12"/>
  <c r="F361" i="12"/>
  <c r="AE360" i="12"/>
  <c r="AC360" i="12"/>
  <c r="AB360" i="12"/>
  <c r="AA360" i="12"/>
  <c r="Z360" i="12"/>
  <c r="Y360" i="12"/>
  <c r="X360" i="12"/>
  <c r="W360" i="12"/>
  <c r="V360" i="12"/>
  <c r="U360" i="12"/>
  <c r="T360" i="12"/>
  <c r="S360" i="12"/>
  <c r="R360" i="12"/>
  <c r="Q360" i="12"/>
  <c r="P360" i="12"/>
  <c r="O360" i="12"/>
  <c r="N360" i="12"/>
  <c r="M360" i="12"/>
  <c r="L360" i="12"/>
  <c r="K360" i="12"/>
  <c r="J360" i="12"/>
  <c r="I360" i="12"/>
  <c r="H360" i="12"/>
  <c r="G360" i="12"/>
  <c r="F360" i="12"/>
  <c r="AE359" i="12"/>
  <c r="AC359" i="12"/>
  <c r="AB359" i="12"/>
  <c r="AA359" i="12"/>
  <c r="Z359" i="12"/>
  <c r="Y359" i="12"/>
  <c r="X359" i="12"/>
  <c r="W359" i="12"/>
  <c r="V359" i="12"/>
  <c r="U359" i="12"/>
  <c r="T359" i="12"/>
  <c r="S359" i="12"/>
  <c r="R359" i="12"/>
  <c r="Q359" i="12"/>
  <c r="P359" i="12"/>
  <c r="O359" i="12"/>
  <c r="N359" i="12"/>
  <c r="M359" i="12"/>
  <c r="L359" i="12"/>
  <c r="K359" i="12"/>
  <c r="J359" i="12"/>
  <c r="I359" i="12"/>
  <c r="H359" i="12"/>
  <c r="G359" i="12"/>
  <c r="F359" i="12"/>
  <c r="AE358" i="12"/>
  <c r="AC358" i="12"/>
  <c r="AB358" i="12"/>
  <c r="AA358" i="12"/>
  <c r="Z358" i="12"/>
  <c r="Y358" i="12"/>
  <c r="X358" i="12"/>
  <c r="W358" i="12"/>
  <c r="V358" i="12"/>
  <c r="U358" i="12"/>
  <c r="T358" i="12"/>
  <c r="S358" i="12"/>
  <c r="R358" i="12"/>
  <c r="Q358" i="12"/>
  <c r="P358" i="12"/>
  <c r="O358" i="12"/>
  <c r="N358" i="12"/>
  <c r="M358" i="12"/>
  <c r="L358" i="12"/>
  <c r="K358" i="12"/>
  <c r="J358" i="12"/>
  <c r="I358" i="12"/>
  <c r="H358" i="12"/>
  <c r="G358" i="12"/>
  <c r="F358" i="12"/>
  <c r="AE357" i="12"/>
  <c r="AC357" i="12"/>
  <c r="AB357" i="12"/>
  <c r="AA357" i="12"/>
  <c r="Z357" i="12"/>
  <c r="Y357" i="12"/>
  <c r="X357" i="12"/>
  <c r="W357" i="12"/>
  <c r="V357" i="12"/>
  <c r="U357" i="12"/>
  <c r="T357" i="12"/>
  <c r="S357" i="12"/>
  <c r="R357" i="12"/>
  <c r="Q357" i="12"/>
  <c r="P357" i="12"/>
  <c r="O357" i="12"/>
  <c r="N357" i="12"/>
  <c r="M357" i="12"/>
  <c r="L357" i="12"/>
  <c r="K357" i="12"/>
  <c r="J357" i="12"/>
  <c r="I357" i="12"/>
  <c r="H357" i="12"/>
  <c r="G357" i="12"/>
  <c r="F357" i="12"/>
  <c r="AE356" i="12"/>
  <c r="AC356" i="12"/>
  <c r="AB356" i="12"/>
  <c r="AA356" i="12"/>
  <c r="Z356" i="12"/>
  <c r="Y356" i="12"/>
  <c r="X356" i="12"/>
  <c r="W356" i="12"/>
  <c r="V356" i="12"/>
  <c r="U356" i="12"/>
  <c r="T356" i="12"/>
  <c r="S356" i="12"/>
  <c r="R356" i="12"/>
  <c r="Q356" i="12"/>
  <c r="P356" i="12"/>
  <c r="O356" i="12"/>
  <c r="N356" i="12"/>
  <c r="M356" i="12"/>
  <c r="L356" i="12"/>
  <c r="K356" i="12"/>
  <c r="J356" i="12"/>
  <c r="I356" i="12"/>
  <c r="H356" i="12"/>
  <c r="G356" i="12"/>
  <c r="F356" i="12"/>
  <c r="AE355" i="12"/>
  <c r="AC355" i="12"/>
  <c r="AB355" i="12"/>
  <c r="AA355" i="12"/>
  <c r="Z355" i="12"/>
  <c r="Y355" i="12"/>
  <c r="X355" i="12"/>
  <c r="W355" i="12"/>
  <c r="V355" i="12"/>
  <c r="U355" i="12"/>
  <c r="T355" i="12"/>
  <c r="S355" i="12"/>
  <c r="R355" i="12"/>
  <c r="Q355" i="12"/>
  <c r="P355" i="12"/>
  <c r="O355" i="12"/>
  <c r="N355" i="12"/>
  <c r="M355" i="12"/>
  <c r="L355" i="12"/>
  <c r="K355" i="12"/>
  <c r="J355" i="12"/>
  <c r="I355" i="12"/>
  <c r="H355" i="12"/>
  <c r="G355" i="12"/>
  <c r="F355" i="12"/>
  <c r="AE354" i="12"/>
  <c r="AC354" i="12"/>
  <c r="AB354" i="12"/>
  <c r="AA354" i="12"/>
  <c r="Z354" i="12"/>
  <c r="Y354" i="12"/>
  <c r="X354" i="12"/>
  <c r="W354" i="12"/>
  <c r="V354" i="12"/>
  <c r="U354" i="12"/>
  <c r="T354" i="12"/>
  <c r="S354" i="12"/>
  <c r="R354" i="12"/>
  <c r="Q354" i="12"/>
  <c r="P354" i="12"/>
  <c r="O354" i="12"/>
  <c r="N354" i="12"/>
  <c r="M354" i="12"/>
  <c r="L354" i="12"/>
  <c r="K354" i="12"/>
  <c r="J354" i="12"/>
  <c r="I354" i="12"/>
  <c r="H354" i="12"/>
  <c r="G354" i="12"/>
  <c r="F354" i="12"/>
  <c r="AE353" i="12"/>
  <c r="AC353" i="12"/>
  <c r="AB353" i="12"/>
  <c r="AA353" i="12"/>
  <c r="Z353" i="12"/>
  <c r="Y353" i="12"/>
  <c r="X353" i="12"/>
  <c r="W353" i="12"/>
  <c r="V353" i="12"/>
  <c r="U353" i="12"/>
  <c r="T353" i="12"/>
  <c r="S353" i="12"/>
  <c r="R353" i="12"/>
  <c r="Q353" i="12"/>
  <c r="P353" i="12"/>
  <c r="O353" i="12"/>
  <c r="N353" i="12"/>
  <c r="M353" i="12"/>
  <c r="L353" i="12"/>
  <c r="K353" i="12"/>
  <c r="J353" i="12"/>
  <c r="I353" i="12"/>
  <c r="H353" i="12"/>
  <c r="G353" i="12"/>
  <c r="F353" i="12"/>
  <c r="AE352" i="12"/>
  <c r="AC352" i="12"/>
  <c r="AB352" i="12"/>
  <c r="AA352" i="12"/>
  <c r="Z352" i="12"/>
  <c r="Y352" i="12"/>
  <c r="X352" i="12"/>
  <c r="W352" i="12"/>
  <c r="V352" i="12"/>
  <c r="U352" i="12"/>
  <c r="T352" i="12"/>
  <c r="S352" i="12"/>
  <c r="R352" i="12"/>
  <c r="Q352" i="12"/>
  <c r="P352" i="12"/>
  <c r="O352" i="12"/>
  <c r="N352" i="12"/>
  <c r="M352" i="12"/>
  <c r="L352" i="12"/>
  <c r="K352" i="12"/>
  <c r="J352" i="12"/>
  <c r="I352" i="12"/>
  <c r="H352" i="12"/>
  <c r="G352" i="12"/>
  <c r="F352" i="12"/>
  <c r="AE351" i="12"/>
  <c r="AC351" i="12"/>
  <c r="AB351" i="12"/>
  <c r="AA351" i="12"/>
  <c r="Z351" i="12"/>
  <c r="Y351" i="12"/>
  <c r="X351" i="12"/>
  <c r="W351" i="12"/>
  <c r="V351" i="12"/>
  <c r="U351" i="12"/>
  <c r="T351" i="12"/>
  <c r="S351" i="12"/>
  <c r="R351" i="12"/>
  <c r="Q351" i="12"/>
  <c r="P351" i="12"/>
  <c r="O351" i="12"/>
  <c r="N351" i="12"/>
  <c r="M351" i="12"/>
  <c r="L351" i="12"/>
  <c r="K351" i="12"/>
  <c r="J351" i="12"/>
  <c r="I351" i="12"/>
  <c r="H351" i="12"/>
  <c r="G351" i="12"/>
  <c r="F351" i="12"/>
  <c r="AE350" i="12"/>
  <c r="AC350" i="12"/>
  <c r="AB350" i="12"/>
  <c r="AA350" i="12"/>
  <c r="Z350" i="12"/>
  <c r="Y350" i="12"/>
  <c r="X350" i="12"/>
  <c r="W350" i="12"/>
  <c r="V350" i="12"/>
  <c r="U350" i="12"/>
  <c r="T350" i="12"/>
  <c r="S350" i="12"/>
  <c r="R350" i="12"/>
  <c r="Q350" i="12"/>
  <c r="P350" i="12"/>
  <c r="O350" i="12"/>
  <c r="N350" i="12"/>
  <c r="M350" i="12"/>
  <c r="L350" i="12"/>
  <c r="K350" i="12"/>
  <c r="J350" i="12"/>
  <c r="I350" i="12"/>
  <c r="H350" i="12"/>
  <c r="G350" i="12"/>
  <c r="F350" i="12"/>
  <c r="AE349" i="12"/>
  <c r="AC349" i="12"/>
  <c r="AB349" i="12"/>
  <c r="AA349" i="12"/>
  <c r="Z349" i="12"/>
  <c r="Y349" i="12"/>
  <c r="X349" i="12"/>
  <c r="W349" i="12"/>
  <c r="V349" i="12"/>
  <c r="U349" i="12"/>
  <c r="T349" i="12"/>
  <c r="S349" i="12"/>
  <c r="R349" i="12"/>
  <c r="Q349" i="12"/>
  <c r="P349" i="12"/>
  <c r="O349" i="12"/>
  <c r="N349" i="12"/>
  <c r="M349" i="12"/>
  <c r="L349" i="12"/>
  <c r="K349" i="12"/>
  <c r="J349" i="12"/>
  <c r="I349" i="12"/>
  <c r="H349" i="12"/>
  <c r="G349" i="12"/>
  <c r="F349" i="12"/>
  <c r="AE348" i="12"/>
  <c r="AC348" i="12"/>
  <c r="AB348" i="12"/>
  <c r="AA348" i="12"/>
  <c r="Z348" i="12"/>
  <c r="Y348" i="12"/>
  <c r="X348" i="12"/>
  <c r="W348" i="12"/>
  <c r="V348" i="12"/>
  <c r="U348" i="12"/>
  <c r="T348" i="12"/>
  <c r="S348" i="12"/>
  <c r="R348" i="12"/>
  <c r="Q348" i="12"/>
  <c r="P348" i="12"/>
  <c r="O348" i="12"/>
  <c r="N348" i="12"/>
  <c r="M348" i="12"/>
  <c r="L348" i="12"/>
  <c r="K348" i="12"/>
  <c r="J348" i="12"/>
  <c r="I348" i="12"/>
  <c r="H348" i="12"/>
  <c r="G348" i="12"/>
  <c r="F348" i="12"/>
  <c r="AE347" i="12"/>
  <c r="AC347" i="12"/>
  <c r="AB347" i="12"/>
  <c r="AA347" i="12"/>
  <c r="Z347" i="12"/>
  <c r="Y347" i="12"/>
  <c r="X347" i="12"/>
  <c r="W347" i="12"/>
  <c r="V347" i="12"/>
  <c r="U347" i="12"/>
  <c r="T347" i="12"/>
  <c r="S347" i="12"/>
  <c r="R347" i="12"/>
  <c r="Q347" i="12"/>
  <c r="P347" i="12"/>
  <c r="O347" i="12"/>
  <c r="N347" i="12"/>
  <c r="M347" i="12"/>
  <c r="L347" i="12"/>
  <c r="K347" i="12"/>
  <c r="J347" i="12"/>
  <c r="I347" i="12"/>
  <c r="H347" i="12"/>
  <c r="G347" i="12"/>
  <c r="F347" i="12"/>
  <c r="AE346" i="12"/>
  <c r="AC346" i="12"/>
  <c r="AB346" i="12"/>
  <c r="AA346" i="12"/>
  <c r="Z346" i="12"/>
  <c r="Y346" i="12"/>
  <c r="X346" i="12"/>
  <c r="W346" i="12"/>
  <c r="V346" i="12"/>
  <c r="U346" i="12"/>
  <c r="T346" i="12"/>
  <c r="S346" i="12"/>
  <c r="R346" i="12"/>
  <c r="Q346" i="12"/>
  <c r="P346" i="12"/>
  <c r="O346" i="12"/>
  <c r="N346" i="12"/>
  <c r="M346" i="12"/>
  <c r="L346" i="12"/>
  <c r="K346" i="12"/>
  <c r="J346" i="12"/>
  <c r="I346" i="12"/>
  <c r="H346" i="12"/>
  <c r="G346" i="12"/>
  <c r="F346" i="12"/>
  <c r="AE345" i="12"/>
  <c r="AC345" i="12"/>
  <c r="AB345" i="12"/>
  <c r="AA345" i="12"/>
  <c r="Z345" i="12"/>
  <c r="Y345" i="12"/>
  <c r="X345" i="12"/>
  <c r="W345" i="12"/>
  <c r="V345" i="12"/>
  <c r="U345" i="12"/>
  <c r="T345" i="12"/>
  <c r="S345" i="12"/>
  <c r="R345" i="12"/>
  <c r="Q345" i="12"/>
  <c r="P345" i="12"/>
  <c r="O345" i="12"/>
  <c r="N345" i="12"/>
  <c r="M345" i="12"/>
  <c r="L345" i="12"/>
  <c r="K345" i="12"/>
  <c r="J345" i="12"/>
  <c r="I345" i="12"/>
  <c r="H345" i="12"/>
  <c r="G345" i="12"/>
  <c r="F345" i="12"/>
  <c r="AE344" i="12"/>
  <c r="AC344" i="12"/>
  <c r="AB344" i="12"/>
  <c r="AA344" i="12"/>
  <c r="Z344" i="12"/>
  <c r="Y344" i="12"/>
  <c r="X344" i="12"/>
  <c r="W344" i="12"/>
  <c r="V344" i="12"/>
  <c r="U344" i="12"/>
  <c r="T344" i="12"/>
  <c r="S344" i="12"/>
  <c r="R344" i="12"/>
  <c r="Q344" i="12"/>
  <c r="P344" i="12"/>
  <c r="O344" i="12"/>
  <c r="N344" i="12"/>
  <c r="M344" i="12"/>
  <c r="L344" i="12"/>
  <c r="K344" i="12"/>
  <c r="J344" i="12"/>
  <c r="I344" i="12"/>
  <c r="H344" i="12"/>
  <c r="G344" i="12"/>
  <c r="F344" i="12"/>
  <c r="AE343" i="12"/>
  <c r="AC343" i="12"/>
  <c r="AB343" i="12"/>
  <c r="AA343" i="12"/>
  <c r="Z343" i="12"/>
  <c r="Y343" i="12"/>
  <c r="X343" i="12"/>
  <c r="W343" i="12"/>
  <c r="V343" i="12"/>
  <c r="U343" i="12"/>
  <c r="T343" i="12"/>
  <c r="S343" i="12"/>
  <c r="R343" i="12"/>
  <c r="Q343" i="12"/>
  <c r="P343" i="12"/>
  <c r="O343" i="12"/>
  <c r="N343" i="12"/>
  <c r="M343" i="12"/>
  <c r="L343" i="12"/>
  <c r="K343" i="12"/>
  <c r="J343" i="12"/>
  <c r="I343" i="12"/>
  <c r="H343" i="12"/>
  <c r="G343" i="12"/>
  <c r="F343" i="12"/>
  <c r="AE342" i="12"/>
  <c r="AC342" i="12"/>
  <c r="AB342" i="12"/>
  <c r="AA342" i="12"/>
  <c r="Z342" i="12"/>
  <c r="Y342" i="12"/>
  <c r="X342" i="12"/>
  <c r="W342" i="12"/>
  <c r="V342" i="12"/>
  <c r="U342" i="12"/>
  <c r="T342" i="12"/>
  <c r="S342" i="12"/>
  <c r="R342" i="12"/>
  <c r="Q342" i="12"/>
  <c r="P342" i="12"/>
  <c r="O342" i="12"/>
  <c r="N342" i="12"/>
  <c r="M342" i="12"/>
  <c r="L342" i="12"/>
  <c r="K342" i="12"/>
  <c r="J342" i="12"/>
  <c r="I342" i="12"/>
  <c r="H342" i="12"/>
  <c r="G342" i="12"/>
  <c r="F342" i="12"/>
  <c r="AE341" i="12"/>
  <c r="AC341" i="12"/>
  <c r="AB341" i="12"/>
  <c r="AA341" i="12"/>
  <c r="Z341" i="12"/>
  <c r="Y341" i="12"/>
  <c r="X341" i="12"/>
  <c r="W341" i="12"/>
  <c r="V341" i="12"/>
  <c r="U341" i="12"/>
  <c r="T341" i="12"/>
  <c r="S341" i="12"/>
  <c r="R341" i="12"/>
  <c r="Q341" i="12"/>
  <c r="P341" i="12"/>
  <c r="O341" i="12"/>
  <c r="N341" i="12"/>
  <c r="M341" i="12"/>
  <c r="L341" i="12"/>
  <c r="K341" i="12"/>
  <c r="J341" i="12"/>
  <c r="I341" i="12"/>
  <c r="H341" i="12"/>
  <c r="G341" i="12"/>
  <c r="F341" i="12"/>
  <c r="AE340" i="12"/>
  <c r="AC340" i="12"/>
  <c r="AB340" i="12"/>
  <c r="AA340" i="12"/>
  <c r="Z340" i="12"/>
  <c r="Y340" i="12"/>
  <c r="X340" i="12"/>
  <c r="W340" i="12"/>
  <c r="V340" i="12"/>
  <c r="U340" i="12"/>
  <c r="T340" i="12"/>
  <c r="S340" i="12"/>
  <c r="R340" i="12"/>
  <c r="Q340" i="12"/>
  <c r="P340" i="12"/>
  <c r="O340" i="12"/>
  <c r="N340" i="12"/>
  <c r="M340" i="12"/>
  <c r="L340" i="12"/>
  <c r="K340" i="12"/>
  <c r="J340" i="12"/>
  <c r="I340" i="12"/>
  <c r="H340" i="12"/>
  <c r="G340" i="12"/>
  <c r="F340" i="12"/>
  <c r="AE339" i="12"/>
  <c r="AC339" i="12"/>
  <c r="AB339" i="12"/>
  <c r="AA339" i="12"/>
  <c r="Z339" i="12"/>
  <c r="Y339" i="12"/>
  <c r="X339" i="12"/>
  <c r="W339" i="12"/>
  <c r="V339" i="12"/>
  <c r="U339" i="12"/>
  <c r="T339" i="12"/>
  <c r="S339" i="12"/>
  <c r="R339" i="12"/>
  <c r="Q339" i="12"/>
  <c r="P339" i="12"/>
  <c r="O339" i="12"/>
  <c r="N339" i="12"/>
  <c r="M339" i="12"/>
  <c r="L339" i="12"/>
  <c r="K339" i="12"/>
  <c r="J339" i="12"/>
  <c r="I339" i="12"/>
  <c r="H339" i="12"/>
  <c r="G339" i="12"/>
  <c r="F339" i="12"/>
  <c r="AE338" i="12"/>
  <c r="AC338" i="12"/>
  <c r="AB338" i="12"/>
  <c r="AA338" i="12"/>
  <c r="Z338" i="12"/>
  <c r="Y338" i="12"/>
  <c r="X338" i="12"/>
  <c r="W338" i="12"/>
  <c r="V338" i="12"/>
  <c r="U338" i="12"/>
  <c r="T338" i="12"/>
  <c r="S338" i="12"/>
  <c r="R338" i="12"/>
  <c r="Q338" i="12"/>
  <c r="P338" i="12"/>
  <c r="O338" i="12"/>
  <c r="N338" i="12"/>
  <c r="M338" i="12"/>
  <c r="L338" i="12"/>
  <c r="K338" i="12"/>
  <c r="J338" i="12"/>
  <c r="I338" i="12"/>
  <c r="H338" i="12"/>
  <c r="G338" i="12"/>
  <c r="F338" i="12"/>
  <c r="AE337" i="12"/>
  <c r="AC337" i="12"/>
  <c r="AB337" i="12"/>
  <c r="AA337" i="12"/>
  <c r="Z337" i="12"/>
  <c r="Y337" i="12"/>
  <c r="X337" i="12"/>
  <c r="W337" i="12"/>
  <c r="V337" i="12"/>
  <c r="U337" i="12"/>
  <c r="T337" i="12"/>
  <c r="S337" i="12"/>
  <c r="R337" i="12"/>
  <c r="Q337" i="12"/>
  <c r="P337" i="12"/>
  <c r="O337" i="12"/>
  <c r="N337" i="12"/>
  <c r="M337" i="12"/>
  <c r="L337" i="12"/>
  <c r="K337" i="12"/>
  <c r="J337" i="12"/>
  <c r="I337" i="12"/>
  <c r="H337" i="12"/>
  <c r="G337" i="12"/>
  <c r="F337" i="12"/>
  <c r="AE336" i="12"/>
  <c r="AC336" i="12"/>
  <c r="AB336" i="12"/>
  <c r="AA336" i="12"/>
  <c r="Z336" i="12"/>
  <c r="Y336" i="12"/>
  <c r="X336" i="12"/>
  <c r="W336" i="12"/>
  <c r="V336" i="12"/>
  <c r="U336" i="12"/>
  <c r="T336" i="12"/>
  <c r="S336" i="12"/>
  <c r="R336" i="12"/>
  <c r="Q336" i="12"/>
  <c r="P336" i="12"/>
  <c r="O336" i="12"/>
  <c r="N336" i="12"/>
  <c r="M336" i="12"/>
  <c r="L336" i="12"/>
  <c r="K336" i="12"/>
  <c r="J336" i="12"/>
  <c r="I336" i="12"/>
  <c r="H336" i="12"/>
  <c r="G336" i="12"/>
  <c r="F336" i="12"/>
  <c r="AE335" i="12"/>
  <c r="AC335" i="12"/>
  <c r="AB335" i="12"/>
  <c r="AA335" i="12"/>
  <c r="Z335" i="12"/>
  <c r="Y335" i="12"/>
  <c r="X335" i="12"/>
  <c r="W335" i="12"/>
  <c r="V335" i="12"/>
  <c r="U335" i="12"/>
  <c r="T335" i="12"/>
  <c r="S335" i="12"/>
  <c r="R335" i="12"/>
  <c r="Q335" i="12"/>
  <c r="P335" i="12"/>
  <c r="O335" i="12"/>
  <c r="N335" i="12"/>
  <c r="M335" i="12"/>
  <c r="L335" i="12"/>
  <c r="K335" i="12"/>
  <c r="J335" i="12"/>
  <c r="I335" i="12"/>
  <c r="H335" i="12"/>
  <c r="G335" i="12"/>
  <c r="F335" i="12"/>
  <c r="AE334" i="12"/>
  <c r="AC334" i="12"/>
  <c r="AB334" i="12"/>
  <c r="AA334" i="12"/>
  <c r="Z334" i="12"/>
  <c r="Y334" i="12"/>
  <c r="X334" i="12"/>
  <c r="W334" i="12"/>
  <c r="V334" i="12"/>
  <c r="U334" i="12"/>
  <c r="T334" i="12"/>
  <c r="S334" i="12"/>
  <c r="R334" i="12"/>
  <c r="Q334" i="12"/>
  <c r="P334" i="12"/>
  <c r="O334" i="12"/>
  <c r="N334" i="12"/>
  <c r="M334" i="12"/>
  <c r="L334" i="12"/>
  <c r="K334" i="12"/>
  <c r="J334" i="12"/>
  <c r="I334" i="12"/>
  <c r="H334" i="12"/>
  <c r="G334" i="12"/>
  <c r="F334" i="12"/>
  <c r="AE333" i="12"/>
  <c r="AC333" i="12"/>
  <c r="AB333" i="12"/>
  <c r="AA333" i="12"/>
  <c r="Z333" i="12"/>
  <c r="Y333" i="12"/>
  <c r="X333" i="12"/>
  <c r="W333" i="12"/>
  <c r="V333" i="12"/>
  <c r="U333" i="12"/>
  <c r="T333" i="12"/>
  <c r="S333" i="12"/>
  <c r="R333" i="12"/>
  <c r="Q333" i="12"/>
  <c r="P333" i="12"/>
  <c r="O333" i="12"/>
  <c r="N333" i="12"/>
  <c r="M333" i="12"/>
  <c r="L333" i="12"/>
  <c r="K333" i="12"/>
  <c r="J333" i="12"/>
  <c r="I333" i="12"/>
  <c r="H333" i="12"/>
  <c r="G333" i="12"/>
  <c r="F333" i="12"/>
  <c r="AE332" i="12"/>
  <c r="AC332" i="12"/>
  <c r="AB332" i="12"/>
  <c r="AA332" i="12"/>
  <c r="Z332" i="12"/>
  <c r="Y332" i="12"/>
  <c r="X332" i="12"/>
  <c r="W332" i="12"/>
  <c r="V332" i="12"/>
  <c r="U332" i="12"/>
  <c r="T332" i="12"/>
  <c r="S332" i="12"/>
  <c r="R332" i="12"/>
  <c r="Q332" i="12"/>
  <c r="P332" i="12"/>
  <c r="O332" i="12"/>
  <c r="N332" i="12"/>
  <c r="M332" i="12"/>
  <c r="L332" i="12"/>
  <c r="K332" i="12"/>
  <c r="J332" i="12"/>
  <c r="I332" i="12"/>
  <c r="H332" i="12"/>
  <c r="G332" i="12"/>
  <c r="F332" i="12"/>
  <c r="AE331" i="12"/>
  <c r="AC331" i="12"/>
  <c r="AB331" i="12"/>
  <c r="AA331" i="12"/>
  <c r="Z331" i="12"/>
  <c r="Y331" i="12"/>
  <c r="X331" i="12"/>
  <c r="W331" i="12"/>
  <c r="V331" i="12"/>
  <c r="U331" i="12"/>
  <c r="T331" i="12"/>
  <c r="S331" i="12"/>
  <c r="R331" i="12"/>
  <c r="Q331" i="12"/>
  <c r="P331" i="12"/>
  <c r="O331" i="12"/>
  <c r="N331" i="12"/>
  <c r="M331" i="12"/>
  <c r="L331" i="12"/>
  <c r="K331" i="12"/>
  <c r="J331" i="12"/>
  <c r="I331" i="12"/>
  <c r="H331" i="12"/>
  <c r="G331" i="12"/>
  <c r="F331" i="12"/>
  <c r="AE330" i="12"/>
  <c r="AC330" i="12"/>
  <c r="AB330" i="12"/>
  <c r="AA330" i="12"/>
  <c r="Z330" i="12"/>
  <c r="Y330" i="12"/>
  <c r="X330" i="12"/>
  <c r="W330" i="12"/>
  <c r="V330" i="12"/>
  <c r="U330" i="12"/>
  <c r="T330" i="12"/>
  <c r="S330" i="12"/>
  <c r="R330" i="12"/>
  <c r="Q330" i="12"/>
  <c r="P330" i="12"/>
  <c r="O330" i="12"/>
  <c r="N330" i="12"/>
  <c r="M330" i="12"/>
  <c r="L330" i="12"/>
  <c r="K330" i="12"/>
  <c r="J330" i="12"/>
  <c r="I330" i="12"/>
  <c r="H330" i="12"/>
  <c r="G330" i="12"/>
  <c r="F330" i="12"/>
  <c r="AE329" i="12"/>
  <c r="AC329" i="12"/>
  <c r="AB329" i="12"/>
  <c r="AA329" i="12"/>
  <c r="Z329" i="12"/>
  <c r="Y329" i="12"/>
  <c r="X329" i="12"/>
  <c r="W329" i="12"/>
  <c r="V329" i="12"/>
  <c r="U329" i="12"/>
  <c r="T329" i="12"/>
  <c r="S329" i="12"/>
  <c r="R329" i="12"/>
  <c r="Q329" i="12"/>
  <c r="P329" i="12"/>
  <c r="O329" i="12"/>
  <c r="N329" i="12"/>
  <c r="M329" i="12"/>
  <c r="L329" i="12"/>
  <c r="K329" i="12"/>
  <c r="J329" i="12"/>
  <c r="I329" i="12"/>
  <c r="H329" i="12"/>
  <c r="G329" i="12"/>
  <c r="F329" i="12"/>
  <c r="AE328" i="12"/>
  <c r="AC328" i="12"/>
  <c r="AB328" i="12"/>
  <c r="AA328" i="12"/>
  <c r="Z328" i="12"/>
  <c r="Y328" i="12"/>
  <c r="X328" i="12"/>
  <c r="W328" i="12"/>
  <c r="V328" i="12"/>
  <c r="U328" i="12"/>
  <c r="T328" i="12"/>
  <c r="S328" i="12"/>
  <c r="R328" i="12"/>
  <c r="Q328" i="12"/>
  <c r="P328" i="12"/>
  <c r="O328" i="12"/>
  <c r="N328" i="12"/>
  <c r="M328" i="12"/>
  <c r="L328" i="12"/>
  <c r="K328" i="12"/>
  <c r="J328" i="12"/>
  <c r="I328" i="12"/>
  <c r="H328" i="12"/>
  <c r="G328" i="12"/>
  <c r="F328" i="12"/>
  <c r="AE327" i="12"/>
  <c r="AC327" i="12"/>
  <c r="AB327" i="12"/>
  <c r="AA327" i="12"/>
  <c r="Z327" i="12"/>
  <c r="Y327" i="12"/>
  <c r="X327" i="12"/>
  <c r="W327" i="12"/>
  <c r="V327" i="12"/>
  <c r="U327" i="12"/>
  <c r="T327" i="12"/>
  <c r="S327" i="12"/>
  <c r="R327" i="12"/>
  <c r="Q327" i="12"/>
  <c r="P327" i="12"/>
  <c r="O327" i="12"/>
  <c r="N327" i="12"/>
  <c r="M327" i="12"/>
  <c r="L327" i="12"/>
  <c r="K327" i="12"/>
  <c r="J327" i="12"/>
  <c r="I327" i="12"/>
  <c r="H327" i="12"/>
  <c r="G327" i="12"/>
  <c r="F327" i="12"/>
  <c r="AE326" i="12"/>
  <c r="AC326" i="12"/>
  <c r="AB326" i="12"/>
  <c r="AA326" i="12"/>
  <c r="Z326" i="12"/>
  <c r="Y326" i="12"/>
  <c r="X326" i="12"/>
  <c r="W326" i="12"/>
  <c r="V326" i="12"/>
  <c r="U326" i="12"/>
  <c r="T326" i="12"/>
  <c r="S326" i="12"/>
  <c r="R326" i="12"/>
  <c r="Q326" i="12"/>
  <c r="P326" i="12"/>
  <c r="O326" i="12"/>
  <c r="N326" i="12"/>
  <c r="M326" i="12"/>
  <c r="L326" i="12"/>
  <c r="K326" i="12"/>
  <c r="J326" i="12"/>
  <c r="I326" i="12"/>
  <c r="H326" i="12"/>
  <c r="G326" i="12"/>
  <c r="F326" i="12"/>
  <c r="AE325" i="12"/>
  <c r="AC325" i="12"/>
  <c r="AB325" i="12"/>
  <c r="AA325" i="12"/>
  <c r="Z325" i="12"/>
  <c r="Y325" i="12"/>
  <c r="X325" i="12"/>
  <c r="W325" i="12"/>
  <c r="V325" i="12"/>
  <c r="U325" i="12"/>
  <c r="T325" i="12"/>
  <c r="S325" i="12"/>
  <c r="R325" i="12"/>
  <c r="Q325" i="12"/>
  <c r="P325" i="12"/>
  <c r="O325" i="12"/>
  <c r="N325" i="12"/>
  <c r="M325" i="12"/>
  <c r="L325" i="12"/>
  <c r="K325" i="12"/>
  <c r="J325" i="12"/>
  <c r="I325" i="12"/>
  <c r="H325" i="12"/>
  <c r="G325" i="12"/>
  <c r="F325" i="12"/>
  <c r="AE324" i="12"/>
  <c r="AC324" i="12"/>
  <c r="AB324" i="12"/>
  <c r="AA324" i="12"/>
  <c r="Z324" i="12"/>
  <c r="Y324" i="12"/>
  <c r="X324" i="12"/>
  <c r="W324" i="12"/>
  <c r="V324" i="12"/>
  <c r="U324" i="12"/>
  <c r="T324" i="12"/>
  <c r="S324" i="12"/>
  <c r="R324" i="12"/>
  <c r="Q324" i="12"/>
  <c r="P324" i="12"/>
  <c r="O324" i="12"/>
  <c r="N324" i="12"/>
  <c r="M324" i="12"/>
  <c r="L324" i="12"/>
  <c r="K324" i="12"/>
  <c r="J324" i="12"/>
  <c r="I324" i="12"/>
  <c r="H324" i="12"/>
  <c r="G324" i="12"/>
  <c r="F324" i="12"/>
  <c r="AE323" i="12"/>
  <c r="AC323" i="12"/>
  <c r="AB323" i="12"/>
  <c r="AA323" i="12"/>
  <c r="Z323" i="12"/>
  <c r="Y323" i="12"/>
  <c r="X323" i="12"/>
  <c r="W323" i="12"/>
  <c r="V323" i="12"/>
  <c r="U323" i="12"/>
  <c r="T323" i="12"/>
  <c r="S323" i="12"/>
  <c r="R323" i="12"/>
  <c r="Q323" i="12"/>
  <c r="P323" i="12"/>
  <c r="O323" i="12"/>
  <c r="N323" i="12"/>
  <c r="M323" i="12"/>
  <c r="L323" i="12"/>
  <c r="K323" i="12"/>
  <c r="J323" i="12"/>
  <c r="I323" i="12"/>
  <c r="H323" i="12"/>
  <c r="G323" i="12"/>
  <c r="F323" i="12"/>
  <c r="AE322" i="12"/>
  <c r="AC322" i="12"/>
  <c r="AB322" i="12"/>
  <c r="AA322" i="12"/>
  <c r="Z322" i="12"/>
  <c r="Y322" i="12"/>
  <c r="X322" i="12"/>
  <c r="W322" i="12"/>
  <c r="V322" i="12"/>
  <c r="U322" i="12"/>
  <c r="T322" i="12"/>
  <c r="S322" i="12"/>
  <c r="R322" i="12"/>
  <c r="Q322" i="12"/>
  <c r="P322" i="12"/>
  <c r="O322" i="12"/>
  <c r="N322" i="12"/>
  <c r="M322" i="12"/>
  <c r="L322" i="12"/>
  <c r="K322" i="12"/>
  <c r="J322" i="12"/>
  <c r="I322" i="12"/>
  <c r="H322" i="12"/>
  <c r="G322" i="12"/>
  <c r="F322" i="12"/>
  <c r="AE321" i="12"/>
  <c r="AC321" i="12"/>
  <c r="AB321" i="12"/>
  <c r="AA321" i="12"/>
  <c r="Z321" i="12"/>
  <c r="Y321" i="12"/>
  <c r="X321" i="12"/>
  <c r="W321" i="12"/>
  <c r="V321" i="12"/>
  <c r="U321" i="12"/>
  <c r="T321" i="12"/>
  <c r="S321" i="12"/>
  <c r="R321" i="12"/>
  <c r="Q321" i="12"/>
  <c r="P321" i="12"/>
  <c r="O321" i="12"/>
  <c r="N321" i="12"/>
  <c r="M321" i="12"/>
  <c r="L321" i="12"/>
  <c r="K321" i="12"/>
  <c r="J321" i="12"/>
  <c r="I321" i="12"/>
  <c r="H321" i="12"/>
  <c r="G321" i="12"/>
  <c r="F321" i="12"/>
  <c r="AE320" i="12"/>
  <c r="AC320" i="12"/>
  <c r="AB320" i="12"/>
  <c r="AA320" i="12"/>
  <c r="Z320" i="12"/>
  <c r="Y320" i="12"/>
  <c r="X320" i="12"/>
  <c r="W320" i="12"/>
  <c r="V320" i="12"/>
  <c r="U320" i="12"/>
  <c r="T320" i="12"/>
  <c r="S320" i="12"/>
  <c r="R320" i="12"/>
  <c r="Q320" i="12"/>
  <c r="P320" i="12"/>
  <c r="O320" i="12"/>
  <c r="N320" i="12"/>
  <c r="M320" i="12"/>
  <c r="L320" i="12"/>
  <c r="K320" i="12"/>
  <c r="J320" i="12"/>
  <c r="I320" i="12"/>
  <c r="H320" i="12"/>
  <c r="G320" i="12"/>
  <c r="F320" i="12"/>
  <c r="AE319" i="12"/>
  <c r="AC319" i="12"/>
  <c r="AB319" i="12"/>
  <c r="AA319" i="12"/>
  <c r="Z319" i="12"/>
  <c r="Y319" i="12"/>
  <c r="X319" i="12"/>
  <c r="W319" i="12"/>
  <c r="V319" i="12"/>
  <c r="U319" i="12"/>
  <c r="T319" i="12"/>
  <c r="S319" i="12"/>
  <c r="R319" i="12"/>
  <c r="Q319" i="12"/>
  <c r="P319" i="12"/>
  <c r="O319" i="12"/>
  <c r="N319" i="12"/>
  <c r="M319" i="12"/>
  <c r="L319" i="12"/>
  <c r="K319" i="12"/>
  <c r="J319" i="12"/>
  <c r="I319" i="12"/>
  <c r="H319" i="12"/>
  <c r="G319" i="12"/>
  <c r="F319" i="12"/>
  <c r="AE318" i="12"/>
  <c r="AC318" i="12"/>
  <c r="AB318" i="12"/>
  <c r="AA318" i="12"/>
  <c r="Z318" i="12"/>
  <c r="Y318" i="12"/>
  <c r="X318" i="12"/>
  <c r="W318" i="12"/>
  <c r="V318" i="12"/>
  <c r="U318" i="12"/>
  <c r="T318" i="12"/>
  <c r="S318" i="12"/>
  <c r="R318" i="12"/>
  <c r="Q318" i="12"/>
  <c r="P318" i="12"/>
  <c r="O318" i="12"/>
  <c r="N318" i="12"/>
  <c r="M318" i="12"/>
  <c r="L318" i="12"/>
  <c r="K318" i="12"/>
  <c r="J318" i="12"/>
  <c r="I318" i="12"/>
  <c r="H318" i="12"/>
  <c r="G318" i="12"/>
  <c r="F318" i="12"/>
  <c r="AE317" i="12"/>
  <c r="AC317" i="12"/>
  <c r="AB317" i="12"/>
  <c r="AA317" i="12"/>
  <c r="Z317" i="12"/>
  <c r="Y317" i="12"/>
  <c r="X317" i="12"/>
  <c r="W317" i="12"/>
  <c r="V317" i="12"/>
  <c r="U317" i="12"/>
  <c r="T317" i="12"/>
  <c r="S317" i="12"/>
  <c r="R317" i="12"/>
  <c r="Q317" i="12"/>
  <c r="P317" i="12"/>
  <c r="O317" i="12"/>
  <c r="N317" i="12"/>
  <c r="M317" i="12"/>
  <c r="L317" i="12"/>
  <c r="K317" i="12"/>
  <c r="J317" i="12"/>
  <c r="I317" i="12"/>
  <c r="H317" i="12"/>
  <c r="G317" i="12"/>
  <c r="F317" i="12"/>
  <c r="AE316" i="12"/>
  <c r="AC316" i="12"/>
  <c r="AB316" i="12"/>
  <c r="AA316" i="12"/>
  <c r="Z316" i="12"/>
  <c r="Y316" i="12"/>
  <c r="X316" i="12"/>
  <c r="W316" i="12"/>
  <c r="V316" i="12"/>
  <c r="U316" i="12"/>
  <c r="T316" i="12"/>
  <c r="S316" i="12"/>
  <c r="R316" i="12"/>
  <c r="Q316" i="12"/>
  <c r="P316" i="12"/>
  <c r="O316" i="12"/>
  <c r="N316" i="12"/>
  <c r="M316" i="12"/>
  <c r="L316" i="12"/>
  <c r="K316" i="12"/>
  <c r="J316" i="12"/>
  <c r="I316" i="12"/>
  <c r="H316" i="12"/>
  <c r="G316" i="12"/>
  <c r="F316" i="12"/>
  <c r="AE315" i="12"/>
  <c r="AC315" i="12"/>
  <c r="AB315" i="12"/>
  <c r="AA315" i="12"/>
  <c r="Z315" i="12"/>
  <c r="Y315" i="12"/>
  <c r="X315" i="12"/>
  <c r="W315" i="12"/>
  <c r="V315" i="12"/>
  <c r="U315" i="12"/>
  <c r="T315" i="12"/>
  <c r="S315" i="12"/>
  <c r="R315" i="12"/>
  <c r="Q315" i="12"/>
  <c r="P315" i="12"/>
  <c r="O315" i="12"/>
  <c r="N315" i="12"/>
  <c r="M315" i="12"/>
  <c r="L315" i="12"/>
  <c r="K315" i="12"/>
  <c r="J315" i="12"/>
  <c r="I315" i="12"/>
  <c r="H315" i="12"/>
  <c r="G315" i="12"/>
  <c r="F315" i="12"/>
  <c r="AE314" i="12"/>
  <c r="AC314" i="12"/>
  <c r="AB314" i="12"/>
  <c r="AA314" i="12"/>
  <c r="Z314" i="12"/>
  <c r="Y314" i="12"/>
  <c r="X314" i="12"/>
  <c r="W314" i="12"/>
  <c r="V314" i="12"/>
  <c r="U314" i="12"/>
  <c r="T314" i="12"/>
  <c r="S314" i="12"/>
  <c r="R314" i="12"/>
  <c r="Q314" i="12"/>
  <c r="P314" i="12"/>
  <c r="O314" i="12"/>
  <c r="N314" i="12"/>
  <c r="M314" i="12"/>
  <c r="L314" i="12"/>
  <c r="K314" i="12"/>
  <c r="J314" i="12"/>
  <c r="I314" i="12"/>
  <c r="H314" i="12"/>
  <c r="G314" i="12"/>
  <c r="F314" i="12"/>
  <c r="AE313" i="12"/>
  <c r="AC313" i="12"/>
  <c r="AB313" i="12"/>
  <c r="AA313" i="12"/>
  <c r="Z313" i="12"/>
  <c r="Y313" i="12"/>
  <c r="X313" i="12"/>
  <c r="W313" i="12"/>
  <c r="V313" i="12"/>
  <c r="U313" i="12"/>
  <c r="T313" i="12"/>
  <c r="S313" i="12"/>
  <c r="R313" i="12"/>
  <c r="Q313" i="12"/>
  <c r="P313" i="12"/>
  <c r="O313" i="12"/>
  <c r="N313" i="12"/>
  <c r="M313" i="12"/>
  <c r="L313" i="12"/>
  <c r="K313" i="12"/>
  <c r="J313" i="12"/>
  <c r="I313" i="12"/>
  <c r="H313" i="12"/>
  <c r="G313" i="12"/>
  <c r="F313" i="12"/>
  <c r="AE312" i="12"/>
  <c r="AC312" i="12"/>
  <c r="AB312" i="12"/>
  <c r="AA312" i="12"/>
  <c r="Z312" i="12"/>
  <c r="Y312" i="12"/>
  <c r="X312" i="12"/>
  <c r="W312" i="12"/>
  <c r="V312" i="12"/>
  <c r="U312" i="12"/>
  <c r="T312" i="12"/>
  <c r="S312" i="12"/>
  <c r="R312" i="12"/>
  <c r="Q312" i="12"/>
  <c r="P312" i="12"/>
  <c r="O312" i="12"/>
  <c r="N312" i="12"/>
  <c r="M312" i="12"/>
  <c r="L312" i="12"/>
  <c r="K312" i="12"/>
  <c r="J312" i="12"/>
  <c r="I312" i="12"/>
  <c r="H312" i="12"/>
  <c r="G312" i="12"/>
  <c r="F312" i="12"/>
  <c r="AE311" i="12"/>
  <c r="AC311" i="12"/>
  <c r="AB311" i="12"/>
  <c r="AA311" i="12"/>
  <c r="Z311" i="12"/>
  <c r="Y311" i="12"/>
  <c r="X311" i="12"/>
  <c r="W311" i="12"/>
  <c r="V311" i="12"/>
  <c r="U311" i="12"/>
  <c r="T311" i="12"/>
  <c r="S311" i="12"/>
  <c r="R311" i="12"/>
  <c r="Q311" i="12"/>
  <c r="P311" i="12"/>
  <c r="O311" i="12"/>
  <c r="N311" i="12"/>
  <c r="M311" i="12"/>
  <c r="L311" i="12"/>
  <c r="K311" i="12"/>
  <c r="J311" i="12"/>
  <c r="I311" i="12"/>
  <c r="H311" i="12"/>
  <c r="G311" i="12"/>
  <c r="F311" i="12"/>
  <c r="AE310" i="12"/>
  <c r="AC310" i="12"/>
  <c r="AB310" i="12"/>
  <c r="AA310" i="12"/>
  <c r="Z310" i="12"/>
  <c r="Y310" i="12"/>
  <c r="X310" i="12"/>
  <c r="W310" i="12"/>
  <c r="V310" i="12"/>
  <c r="U310" i="12"/>
  <c r="T310" i="12"/>
  <c r="S310" i="12"/>
  <c r="R310" i="12"/>
  <c r="Q310" i="12"/>
  <c r="P310" i="12"/>
  <c r="O310" i="12"/>
  <c r="N310" i="12"/>
  <c r="M310" i="12"/>
  <c r="L310" i="12"/>
  <c r="K310" i="12"/>
  <c r="J310" i="12"/>
  <c r="I310" i="12"/>
  <c r="H310" i="12"/>
  <c r="G310" i="12"/>
  <c r="F310" i="12"/>
  <c r="AE309" i="12"/>
  <c r="AC309" i="12"/>
  <c r="AB309" i="12"/>
  <c r="AA309" i="12"/>
  <c r="Z309" i="12"/>
  <c r="Y309" i="12"/>
  <c r="X309" i="12"/>
  <c r="W309" i="12"/>
  <c r="V309" i="12"/>
  <c r="U309" i="12"/>
  <c r="T309" i="12"/>
  <c r="S309" i="12"/>
  <c r="R309" i="12"/>
  <c r="Q309" i="12"/>
  <c r="P309" i="12"/>
  <c r="O309" i="12"/>
  <c r="N309" i="12"/>
  <c r="M309" i="12"/>
  <c r="L309" i="12"/>
  <c r="K309" i="12"/>
  <c r="J309" i="12"/>
  <c r="I309" i="12"/>
  <c r="H309" i="12"/>
  <c r="G309" i="12"/>
  <c r="F309" i="12"/>
  <c r="AE308" i="12"/>
  <c r="AC308" i="12"/>
  <c r="AB308" i="12"/>
  <c r="AA308" i="12"/>
  <c r="Z308" i="12"/>
  <c r="Y308" i="12"/>
  <c r="X308" i="12"/>
  <c r="W308" i="12"/>
  <c r="V308" i="12"/>
  <c r="U308" i="12"/>
  <c r="T308" i="12"/>
  <c r="S308" i="12"/>
  <c r="R308" i="12"/>
  <c r="Q308" i="12"/>
  <c r="P308" i="12"/>
  <c r="O308" i="12"/>
  <c r="N308" i="12"/>
  <c r="M308" i="12"/>
  <c r="L308" i="12"/>
  <c r="K308" i="12"/>
  <c r="J308" i="12"/>
  <c r="I308" i="12"/>
  <c r="H308" i="12"/>
  <c r="G308" i="12"/>
  <c r="F308" i="12"/>
  <c r="AE307" i="12"/>
  <c r="AC307" i="12"/>
  <c r="AB307" i="12"/>
  <c r="AA307" i="12"/>
  <c r="Z307" i="12"/>
  <c r="Y307" i="12"/>
  <c r="X307" i="12"/>
  <c r="W307" i="12"/>
  <c r="V307" i="12"/>
  <c r="U307" i="12"/>
  <c r="T307" i="12"/>
  <c r="S307" i="12"/>
  <c r="R307" i="12"/>
  <c r="Q307" i="12"/>
  <c r="P307" i="12"/>
  <c r="O307" i="12"/>
  <c r="N307" i="12"/>
  <c r="M307" i="12"/>
  <c r="L307" i="12"/>
  <c r="K307" i="12"/>
  <c r="J307" i="12"/>
  <c r="I307" i="12"/>
  <c r="H307" i="12"/>
  <c r="G307" i="12"/>
  <c r="F307" i="12"/>
  <c r="AE306" i="12"/>
  <c r="AC306" i="12"/>
  <c r="AB306" i="12"/>
  <c r="AA306" i="12"/>
  <c r="Z306" i="12"/>
  <c r="Y306" i="12"/>
  <c r="X306" i="12"/>
  <c r="W306" i="12"/>
  <c r="V306" i="12"/>
  <c r="U306" i="12"/>
  <c r="T306" i="12"/>
  <c r="S306" i="12"/>
  <c r="R306" i="12"/>
  <c r="Q306" i="12"/>
  <c r="P306" i="12"/>
  <c r="O306" i="12"/>
  <c r="N306" i="12"/>
  <c r="M306" i="12"/>
  <c r="L306" i="12"/>
  <c r="K306" i="12"/>
  <c r="J306" i="12"/>
  <c r="I306" i="12"/>
  <c r="H306" i="12"/>
  <c r="G306" i="12"/>
  <c r="F306" i="12"/>
  <c r="AE305" i="12"/>
  <c r="AC305" i="12"/>
  <c r="AB305" i="12"/>
  <c r="AA305" i="12"/>
  <c r="Z305" i="12"/>
  <c r="Y305" i="12"/>
  <c r="X305" i="12"/>
  <c r="W305" i="12"/>
  <c r="V305" i="12"/>
  <c r="U305" i="12"/>
  <c r="T305" i="12"/>
  <c r="S305" i="12"/>
  <c r="R305" i="12"/>
  <c r="Q305" i="12"/>
  <c r="P305" i="12"/>
  <c r="O305" i="12"/>
  <c r="N305" i="12"/>
  <c r="M305" i="12"/>
  <c r="L305" i="12"/>
  <c r="K305" i="12"/>
  <c r="J305" i="12"/>
  <c r="I305" i="12"/>
  <c r="H305" i="12"/>
  <c r="G305" i="12"/>
  <c r="F305" i="12"/>
  <c r="AE304" i="12"/>
  <c r="AC304" i="12"/>
  <c r="AB304" i="12"/>
  <c r="AA304" i="12"/>
  <c r="Z304" i="12"/>
  <c r="Y304" i="12"/>
  <c r="X304" i="12"/>
  <c r="W304" i="12"/>
  <c r="V304" i="12"/>
  <c r="U304" i="12"/>
  <c r="T304" i="12"/>
  <c r="S304" i="12"/>
  <c r="R304" i="12"/>
  <c r="Q304" i="12"/>
  <c r="P304" i="12"/>
  <c r="O304" i="12"/>
  <c r="N304" i="12"/>
  <c r="M304" i="12"/>
  <c r="L304" i="12"/>
  <c r="K304" i="12"/>
  <c r="J304" i="12"/>
  <c r="I304" i="12"/>
  <c r="H304" i="12"/>
  <c r="G304" i="12"/>
  <c r="F304" i="12"/>
  <c r="AE303" i="12"/>
  <c r="AC303" i="12"/>
  <c r="AB303" i="12"/>
  <c r="AA303" i="12"/>
  <c r="Z303" i="12"/>
  <c r="Y303" i="12"/>
  <c r="X303" i="12"/>
  <c r="W303" i="12"/>
  <c r="V303" i="12"/>
  <c r="U303" i="12"/>
  <c r="T303" i="12"/>
  <c r="S303" i="12"/>
  <c r="R303" i="12"/>
  <c r="Q303" i="12"/>
  <c r="P303" i="12"/>
  <c r="O303" i="12"/>
  <c r="N303" i="12"/>
  <c r="M303" i="12"/>
  <c r="L303" i="12"/>
  <c r="K303" i="12"/>
  <c r="J303" i="12"/>
  <c r="I303" i="12"/>
  <c r="H303" i="12"/>
  <c r="G303" i="12"/>
  <c r="F303" i="12"/>
  <c r="AE302" i="12"/>
  <c r="AC302" i="12"/>
  <c r="AB302" i="12"/>
  <c r="AA302" i="12"/>
  <c r="Z302" i="12"/>
  <c r="Y302" i="12"/>
  <c r="X302" i="12"/>
  <c r="W302" i="12"/>
  <c r="V302" i="12"/>
  <c r="U302" i="12"/>
  <c r="T302" i="12"/>
  <c r="S302" i="12"/>
  <c r="R302" i="12"/>
  <c r="Q302" i="12"/>
  <c r="P302" i="12"/>
  <c r="O302" i="12"/>
  <c r="N302" i="12"/>
  <c r="M302" i="12"/>
  <c r="L302" i="12"/>
  <c r="K302" i="12"/>
  <c r="J302" i="12"/>
  <c r="I302" i="12"/>
  <c r="H302" i="12"/>
  <c r="G302" i="12"/>
  <c r="F302" i="12"/>
  <c r="AE301" i="12"/>
  <c r="AC301" i="12"/>
  <c r="AB301" i="12"/>
  <c r="AA301" i="12"/>
  <c r="Z301" i="12"/>
  <c r="Y301" i="12"/>
  <c r="X301" i="12"/>
  <c r="W301" i="12"/>
  <c r="V301" i="12"/>
  <c r="U301" i="12"/>
  <c r="T301" i="12"/>
  <c r="S301" i="12"/>
  <c r="R301" i="12"/>
  <c r="Q301" i="12"/>
  <c r="P301" i="12"/>
  <c r="O301" i="12"/>
  <c r="N301" i="12"/>
  <c r="M301" i="12"/>
  <c r="L301" i="12"/>
  <c r="K301" i="12"/>
  <c r="J301" i="12"/>
  <c r="I301" i="12"/>
  <c r="H301" i="12"/>
  <c r="G301" i="12"/>
  <c r="F301" i="12"/>
  <c r="AE300" i="12"/>
  <c r="AC300" i="12"/>
  <c r="AB300" i="12"/>
  <c r="AA300" i="12"/>
  <c r="Z300" i="12"/>
  <c r="Y300" i="12"/>
  <c r="X300" i="12"/>
  <c r="W300" i="12"/>
  <c r="V300" i="12"/>
  <c r="U300" i="12"/>
  <c r="T300" i="12"/>
  <c r="S300" i="12"/>
  <c r="R300" i="12"/>
  <c r="Q300" i="12"/>
  <c r="P300" i="12"/>
  <c r="O300" i="12"/>
  <c r="N300" i="12"/>
  <c r="M300" i="12"/>
  <c r="L300" i="12"/>
  <c r="K300" i="12"/>
  <c r="J300" i="12"/>
  <c r="I300" i="12"/>
  <c r="H300" i="12"/>
  <c r="G300" i="12"/>
  <c r="F300" i="12"/>
  <c r="AE299" i="12"/>
  <c r="AC299" i="12"/>
  <c r="AB299" i="12"/>
  <c r="AA299" i="12"/>
  <c r="Z299" i="12"/>
  <c r="Y299" i="12"/>
  <c r="X299" i="12"/>
  <c r="W299" i="12"/>
  <c r="V299" i="12"/>
  <c r="U299" i="12"/>
  <c r="T299" i="12"/>
  <c r="S299" i="12"/>
  <c r="R299" i="12"/>
  <c r="Q299" i="12"/>
  <c r="P299" i="12"/>
  <c r="O299" i="12"/>
  <c r="N299" i="12"/>
  <c r="M299" i="12"/>
  <c r="L299" i="12"/>
  <c r="K299" i="12"/>
  <c r="J299" i="12"/>
  <c r="I299" i="12"/>
  <c r="H299" i="12"/>
  <c r="G299" i="12"/>
  <c r="F299" i="12"/>
  <c r="AE298" i="12"/>
  <c r="AC298" i="12"/>
  <c r="AB298" i="12"/>
  <c r="AA298" i="12"/>
  <c r="Z298" i="12"/>
  <c r="Y298" i="12"/>
  <c r="X298" i="12"/>
  <c r="W298" i="12"/>
  <c r="V298" i="12"/>
  <c r="U298" i="12"/>
  <c r="T298" i="12"/>
  <c r="S298" i="12"/>
  <c r="R298" i="12"/>
  <c r="Q298" i="12"/>
  <c r="P298" i="12"/>
  <c r="O298" i="12"/>
  <c r="N298" i="12"/>
  <c r="M298" i="12"/>
  <c r="L298" i="12"/>
  <c r="K298" i="12"/>
  <c r="J298" i="12"/>
  <c r="I298" i="12"/>
  <c r="H298" i="12"/>
  <c r="G298" i="12"/>
  <c r="F298" i="12"/>
  <c r="AE297" i="12"/>
  <c r="AC297" i="12"/>
  <c r="AB297" i="12"/>
  <c r="AA297" i="12"/>
  <c r="Z297" i="12"/>
  <c r="Y297" i="12"/>
  <c r="X297" i="12"/>
  <c r="W297" i="12"/>
  <c r="V297" i="12"/>
  <c r="U297" i="12"/>
  <c r="T297" i="12"/>
  <c r="S297" i="12"/>
  <c r="R297" i="12"/>
  <c r="Q297" i="12"/>
  <c r="P297" i="12"/>
  <c r="O297" i="12"/>
  <c r="N297" i="12"/>
  <c r="M297" i="12"/>
  <c r="L297" i="12"/>
  <c r="K297" i="12"/>
  <c r="J297" i="12"/>
  <c r="I297" i="12"/>
  <c r="H297" i="12"/>
  <c r="G297" i="12"/>
  <c r="F297" i="12"/>
  <c r="AE296" i="12"/>
  <c r="AC296" i="12"/>
  <c r="AB296" i="12"/>
  <c r="AA296" i="12"/>
  <c r="Z296" i="12"/>
  <c r="Y296" i="12"/>
  <c r="X296" i="12"/>
  <c r="W296" i="12"/>
  <c r="V296" i="12"/>
  <c r="U296" i="12"/>
  <c r="T296" i="12"/>
  <c r="S296" i="12"/>
  <c r="R296" i="12"/>
  <c r="Q296" i="12"/>
  <c r="P296" i="12"/>
  <c r="O296" i="12"/>
  <c r="N296" i="12"/>
  <c r="M296" i="12"/>
  <c r="L296" i="12"/>
  <c r="K296" i="12"/>
  <c r="J296" i="12"/>
  <c r="I296" i="12"/>
  <c r="H296" i="12"/>
  <c r="G296" i="12"/>
  <c r="F296" i="12"/>
  <c r="AE295" i="12"/>
  <c r="AC295" i="12"/>
  <c r="AB295" i="12"/>
  <c r="AA295" i="12"/>
  <c r="Z295" i="12"/>
  <c r="Y295" i="12"/>
  <c r="X295" i="12"/>
  <c r="W295" i="12"/>
  <c r="V295" i="12"/>
  <c r="U295" i="12"/>
  <c r="T295" i="12"/>
  <c r="S295" i="12"/>
  <c r="R295" i="12"/>
  <c r="Q295" i="12"/>
  <c r="P295" i="12"/>
  <c r="O295" i="12"/>
  <c r="N295" i="12"/>
  <c r="M295" i="12"/>
  <c r="L295" i="12"/>
  <c r="K295" i="12"/>
  <c r="J295" i="12"/>
  <c r="I295" i="12"/>
  <c r="H295" i="12"/>
  <c r="G295" i="12"/>
  <c r="F295" i="12"/>
  <c r="AE294" i="12"/>
  <c r="AC294" i="12"/>
  <c r="AB294" i="12"/>
  <c r="AA294" i="12"/>
  <c r="Z294" i="12"/>
  <c r="Y294" i="12"/>
  <c r="X294" i="12"/>
  <c r="W294" i="12"/>
  <c r="V294" i="12"/>
  <c r="U294" i="12"/>
  <c r="T294" i="12"/>
  <c r="S294" i="12"/>
  <c r="R294" i="12"/>
  <c r="Q294" i="12"/>
  <c r="P294" i="12"/>
  <c r="O294" i="12"/>
  <c r="N294" i="12"/>
  <c r="M294" i="12"/>
  <c r="L294" i="12"/>
  <c r="K294" i="12"/>
  <c r="J294" i="12"/>
  <c r="I294" i="12"/>
  <c r="H294" i="12"/>
  <c r="G294" i="12"/>
  <c r="F294" i="12"/>
  <c r="AE293" i="12"/>
  <c r="AC293" i="12"/>
  <c r="AB293" i="12"/>
  <c r="AA293" i="12"/>
  <c r="Z293" i="12"/>
  <c r="Y293" i="12"/>
  <c r="X293" i="12"/>
  <c r="W293" i="12"/>
  <c r="V293" i="12"/>
  <c r="U293" i="12"/>
  <c r="T293" i="12"/>
  <c r="S293" i="12"/>
  <c r="R293" i="12"/>
  <c r="Q293" i="12"/>
  <c r="P293" i="12"/>
  <c r="O293" i="12"/>
  <c r="N293" i="12"/>
  <c r="M293" i="12"/>
  <c r="L293" i="12"/>
  <c r="K293" i="12"/>
  <c r="J293" i="12"/>
  <c r="I293" i="12"/>
  <c r="H293" i="12"/>
  <c r="G293" i="12"/>
  <c r="F293" i="12"/>
  <c r="AE292" i="12"/>
  <c r="AC292" i="12"/>
  <c r="AB292" i="12"/>
  <c r="AA292" i="12"/>
  <c r="Z292" i="12"/>
  <c r="Y292" i="12"/>
  <c r="X292" i="12"/>
  <c r="W292" i="12"/>
  <c r="V292" i="12"/>
  <c r="U292" i="12"/>
  <c r="T292" i="12"/>
  <c r="S292" i="12"/>
  <c r="R292" i="12"/>
  <c r="Q292" i="12"/>
  <c r="P292" i="12"/>
  <c r="O292" i="12"/>
  <c r="N292" i="12"/>
  <c r="M292" i="12"/>
  <c r="L292" i="12"/>
  <c r="K292" i="12"/>
  <c r="J292" i="12"/>
  <c r="I292" i="12"/>
  <c r="H292" i="12"/>
  <c r="G292" i="12"/>
  <c r="F292" i="12"/>
  <c r="AE291" i="12"/>
  <c r="AC291" i="12"/>
  <c r="AB291" i="12"/>
  <c r="AA291" i="12"/>
  <c r="Z291" i="12"/>
  <c r="Y291" i="12"/>
  <c r="X291" i="12"/>
  <c r="W291" i="12"/>
  <c r="V291" i="12"/>
  <c r="U291" i="12"/>
  <c r="T291" i="12"/>
  <c r="S291" i="12"/>
  <c r="R291" i="12"/>
  <c r="Q291" i="12"/>
  <c r="P291" i="12"/>
  <c r="O291" i="12"/>
  <c r="N291" i="12"/>
  <c r="M291" i="12"/>
  <c r="L291" i="12"/>
  <c r="K291" i="12"/>
  <c r="J291" i="12"/>
  <c r="I291" i="12"/>
  <c r="H291" i="12"/>
  <c r="G291" i="12"/>
  <c r="F291" i="12"/>
  <c r="AE290" i="12"/>
  <c r="AC290" i="12"/>
  <c r="AB290" i="12"/>
  <c r="AA290" i="12"/>
  <c r="Z290" i="12"/>
  <c r="Y290" i="12"/>
  <c r="X290" i="12"/>
  <c r="W290" i="12"/>
  <c r="V290" i="12"/>
  <c r="U290" i="12"/>
  <c r="T290" i="12"/>
  <c r="S290" i="12"/>
  <c r="R290" i="12"/>
  <c r="Q290" i="12"/>
  <c r="P290" i="12"/>
  <c r="O290" i="12"/>
  <c r="N290" i="12"/>
  <c r="M290" i="12"/>
  <c r="L290" i="12"/>
  <c r="K290" i="12"/>
  <c r="J290" i="12"/>
  <c r="I290" i="12"/>
  <c r="H290" i="12"/>
  <c r="G290" i="12"/>
  <c r="F290" i="12"/>
  <c r="AE289" i="12"/>
  <c r="AC289" i="12"/>
  <c r="AB289" i="12"/>
  <c r="AA289" i="12"/>
  <c r="Z289" i="12"/>
  <c r="Y289" i="12"/>
  <c r="X289" i="12"/>
  <c r="W289" i="12"/>
  <c r="V289" i="12"/>
  <c r="U289" i="12"/>
  <c r="T289" i="12"/>
  <c r="S289" i="12"/>
  <c r="R289" i="12"/>
  <c r="Q289" i="12"/>
  <c r="P289" i="12"/>
  <c r="O289" i="12"/>
  <c r="N289" i="12"/>
  <c r="M289" i="12"/>
  <c r="L289" i="12"/>
  <c r="K289" i="12"/>
  <c r="J289" i="12"/>
  <c r="I289" i="12"/>
  <c r="H289" i="12"/>
  <c r="G289" i="12"/>
  <c r="F289" i="12"/>
  <c r="AE288" i="12"/>
  <c r="AC288" i="12"/>
  <c r="AB288" i="12"/>
  <c r="AA288" i="12"/>
  <c r="Z288" i="12"/>
  <c r="Y288" i="12"/>
  <c r="X288" i="12"/>
  <c r="W288" i="12"/>
  <c r="V288" i="12"/>
  <c r="U288" i="12"/>
  <c r="T288" i="12"/>
  <c r="S288" i="12"/>
  <c r="R288" i="12"/>
  <c r="Q288" i="12"/>
  <c r="P288" i="12"/>
  <c r="O288" i="12"/>
  <c r="N288" i="12"/>
  <c r="M288" i="12"/>
  <c r="L288" i="12"/>
  <c r="K288" i="12"/>
  <c r="J288" i="12"/>
  <c r="I288" i="12"/>
  <c r="H288" i="12"/>
  <c r="G288" i="12"/>
  <c r="F288" i="12"/>
  <c r="AE287" i="12"/>
  <c r="AC287" i="12"/>
  <c r="AB287" i="12"/>
  <c r="AA287" i="12"/>
  <c r="Z287" i="12"/>
  <c r="Y287" i="12"/>
  <c r="X287" i="12"/>
  <c r="W287" i="12"/>
  <c r="V287" i="12"/>
  <c r="U287" i="12"/>
  <c r="T287" i="12"/>
  <c r="S287" i="12"/>
  <c r="R287" i="12"/>
  <c r="Q287" i="12"/>
  <c r="P287" i="12"/>
  <c r="O287" i="12"/>
  <c r="N287" i="12"/>
  <c r="M287" i="12"/>
  <c r="L287" i="12"/>
  <c r="K287" i="12"/>
  <c r="J287" i="12"/>
  <c r="I287" i="12"/>
  <c r="H287" i="12"/>
  <c r="G287" i="12"/>
  <c r="F287" i="12"/>
  <c r="AE286" i="12"/>
  <c r="AC286" i="12"/>
  <c r="AB286" i="12"/>
  <c r="AA286" i="12"/>
  <c r="Z286" i="12"/>
  <c r="Y286" i="12"/>
  <c r="X286" i="12"/>
  <c r="W286" i="12"/>
  <c r="V286" i="12"/>
  <c r="U286" i="12"/>
  <c r="T286" i="12"/>
  <c r="S286" i="12"/>
  <c r="R286" i="12"/>
  <c r="Q286" i="12"/>
  <c r="P286" i="12"/>
  <c r="O286" i="12"/>
  <c r="N286" i="12"/>
  <c r="M286" i="12"/>
  <c r="L286" i="12"/>
  <c r="K286" i="12"/>
  <c r="J286" i="12"/>
  <c r="I286" i="12"/>
  <c r="H286" i="12"/>
  <c r="G286" i="12"/>
  <c r="F286" i="12"/>
  <c r="AE285" i="12"/>
  <c r="AC285" i="12"/>
  <c r="AB285" i="12"/>
  <c r="AA285" i="12"/>
  <c r="Z285" i="12"/>
  <c r="Y285" i="12"/>
  <c r="X285" i="12"/>
  <c r="W285" i="12"/>
  <c r="V285" i="12"/>
  <c r="U285" i="12"/>
  <c r="T285" i="12"/>
  <c r="S285" i="12"/>
  <c r="R285" i="12"/>
  <c r="Q285" i="12"/>
  <c r="P285" i="12"/>
  <c r="O285" i="12"/>
  <c r="N285" i="12"/>
  <c r="M285" i="12"/>
  <c r="L285" i="12"/>
  <c r="K285" i="12"/>
  <c r="J285" i="12"/>
  <c r="I285" i="12"/>
  <c r="H285" i="12"/>
  <c r="G285" i="12"/>
  <c r="F285" i="12"/>
  <c r="AE284" i="12"/>
  <c r="AC284" i="12"/>
  <c r="AB284" i="12"/>
  <c r="AA284" i="12"/>
  <c r="Z284" i="12"/>
  <c r="Y284" i="12"/>
  <c r="X284" i="12"/>
  <c r="W284" i="12"/>
  <c r="V284" i="12"/>
  <c r="U284" i="12"/>
  <c r="T284" i="12"/>
  <c r="S284" i="12"/>
  <c r="R284" i="12"/>
  <c r="Q284" i="12"/>
  <c r="P284" i="12"/>
  <c r="O284" i="12"/>
  <c r="N284" i="12"/>
  <c r="M284" i="12"/>
  <c r="L284" i="12"/>
  <c r="K284" i="12"/>
  <c r="J284" i="12"/>
  <c r="I284" i="12"/>
  <c r="H284" i="12"/>
  <c r="G284" i="12"/>
  <c r="F284" i="12"/>
  <c r="AE283" i="12"/>
  <c r="AC283" i="12"/>
  <c r="AB283" i="12"/>
  <c r="AA283" i="12"/>
  <c r="Z283" i="12"/>
  <c r="Y283" i="12"/>
  <c r="X283" i="12"/>
  <c r="W283" i="12"/>
  <c r="V283" i="12"/>
  <c r="U283" i="12"/>
  <c r="T283" i="12"/>
  <c r="S283" i="12"/>
  <c r="R283" i="12"/>
  <c r="Q283" i="12"/>
  <c r="P283" i="12"/>
  <c r="O283" i="12"/>
  <c r="N283" i="12"/>
  <c r="M283" i="12"/>
  <c r="L283" i="12"/>
  <c r="K283" i="12"/>
  <c r="J283" i="12"/>
  <c r="I283" i="12"/>
  <c r="H283" i="12"/>
  <c r="G283" i="12"/>
  <c r="F283" i="12"/>
  <c r="AE282" i="12"/>
  <c r="AC282" i="12"/>
  <c r="AB282" i="12"/>
  <c r="AA282" i="12"/>
  <c r="Z282" i="12"/>
  <c r="Y282" i="12"/>
  <c r="X282" i="12"/>
  <c r="W282" i="12"/>
  <c r="V282" i="12"/>
  <c r="U282" i="12"/>
  <c r="T282" i="12"/>
  <c r="S282" i="12"/>
  <c r="R282" i="12"/>
  <c r="Q282" i="12"/>
  <c r="P282" i="12"/>
  <c r="O282" i="12"/>
  <c r="N282" i="12"/>
  <c r="M282" i="12"/>
  <c r="L282" i="12"/>
  <c r="K282" i="12"/>
  <c r="J282" i="12"/>
  <c r="I282" i="12"/>
  <c r="H282" i="12"/>
  <c r="G282" i="12"/>
  <c r="F282" i="12"/>
  <c r="AE281" i="12"/>
  <c r="AC281" i="12"/>
  <c r="AB281" i="12"/>
  <c r="AA281" i="12"/>
  <c r="Z281" i="12"/>
  <c r="Y281" i="12"/>
  <c r="X281" i="12"/>
  <c r="W281" i="12"/>
  <c r="V281" i="12"/>
  <c r="U281" i="12"/>
  <c r="T281" i="12"/>
  <c r="S281" i="12"/>
  <c r="R281" i="12"/>
  <c r="Q281" i="12"/>
  <c r="P281" i="12"/>
  <c r="O281" i="12"/>
  <c r="N281" i="12"/>
  <c r="M281" i="12"/>
  <c r="L281" i="12"/>
  <c r="K281" i="12"/>
  <c r="J281" i="12"/>
  <c r="I281" i="12"/>
  <c r="H281" i="12"/>
  <c r="G281" i="12"/>
  <c r="F281" i="12"/>
  <c r="AE280" i="12"/>
  <c r="AC280" i="12"/>
  <c r="AB280" i="12"/>
  <c r="AA280" i="12"/>
  <c r="Z280" i="12"/>
  <c r="Y280" i="12"/>
  <c r="X280" i="12"/>
  <c r="W280" i="12"/>
  <c r="V280" i="12"/>
  <c r="U280" i="12"/>
  <c r="T280" i="12"/>
  <c r="S280" i="12"/>
  <c r="R280" i="12"/>
  <c r="Q280" i="12"/>
  <c r="P280" i="12"/>
  <c r="O280" i="12"/>
  <c r="N280" i="12"/>
  <c r="M280" i="12"/>
  <c r="L280" i="12"/>
  <c r="K280" i="12"/>
  <c r="J280" i="12"/>
  <c r="I280" i="12"/>
  <c r="H280" i="12"/>
  <c r="G280" i="12"/>
  <c r="F280" i="12"/>
  <c r="AE279" i="12"/>
  <c r="AC279" i="12"/>
  <c r="AB279" i="12"/>
  <c r="AA279" i="12"/>
  <c r="Z279" i="12"/>
  <c r="Y279" i="12"/>
  <c r="X279" i="12"/>
  <c r="W279" i="12"/>
  <c r="V279" i="12"/>
  <c r="U279" i="12"/>
  <c r="T279" i="12"/>
  <c r="S279" i="12"/>
  <c r="R279" i="12"/>
  <c r="Q279" i="12"/>
  <c r="P279" i="12"/>
  <c r="O279" i="12"/>
  <c r="N279" i="12"/>
  <c r="M279" i="12"/>
  <c r="L279" i="12"/>
  <c r="K279" i="12"/>
  <c r="J279" i="12"/>
  <c r="I279" i="12"/>
  <c r="H279" i="12"/>
  <c r="G279" i="12"/>
  <c r="F279" i="12"/>
  <c r="AE278" i="12"/>
  <c r="AC278" i="12"/>
  <c r="AB278" i="12"/>
  <c r="AA278" i="12"/>
  <c r="Z278" i="12"/>
  <c r="Y278" i="12"/>
  <c r="X278" i="12"/>
  <c r="W278" i="12"/>
  <c r="V278" i="12"/>
  <c r="U278" i="12"/>
  <c r="T278" i="12"/>
  <c r="S278" i="12"/>
  <c r="R278" i="12"/>
  <c r="Q278" i="12"/>
  <c r="P278" i="12"/>
  <c r="O278" i="12"/>
  <c r="N278" i="12"/>
  <c r="M278" i="12"/>
  <c r="L278" i="12"/>
  <c r="K278" i="12"/>
  <c r="J278" i="12"/>
  <c r="I278" i="12"/>
  <c r="H278" i="12"/>
  <c r="G278" i="12"/>
  <c r="F278" i="12"/>
  <c r="AE277" i="12"/>
  <c r="AC277" i="12"/>
  <c r="AB277" i="12"/>
  <c r="AA277" i="12"/>
  <c r="Z277" i="12"/>
  <c r="Y277" i="12"/>
  <c r="X277" i="12"/>
  <c r="W277" i="12"/>
  <c r="V277" i="12"/>
  <c r="U277" i="12"/>
  <c r="T277" i="12"/>
  <c r="S277" i="12"/>
  <c r="R277" i="12"/>
  <c r="Q277" i="12"/>
  <c r="P277" i="12"/>
  <c r="O277" i="12"/>
  <c r="N277" i="12"/>
  <c r="M277" i="12"/>
  <c r="L277" i="12"/>
  <c r="K277" i="12"/>
  <c r="J277" i="12"/>
  <c r="I277" i="12"/>
  <c r="H277" i="12"/>
  <c r="G277" i="12"/>
  <c r="F277" i="12"/>
  <c r="AE276" i="12"/>
  <c r="AC276" i="12"/>
  <c r="AB276" i="12"/>
  <c r="AA276" i="12"/>
  <c r="Z276" i="12"/>
  <c r="Y276" i="12"/>
  <c r="X276" i="12"/>
  <c r="W276" i="12"/>
  <c r="V276" i="12"/>
  <c r="U276" i="12"/>
  <c r="T276" i="12"/>
  <c r="S276" i="12"/>
  <c r="R276" i="12"/>
  <c r="Q276" i="12"/>
  <c r="P276" i="12"/>
  <c r="O276" i="12"/>
  <c r="N276" i="12"/>
  <c r="M276" i="12"/>
  <c r="L276" i="12"/>
  <c r="K276" i="12"/>
  <c r="J276" i="12"/>
  <c r="I276" i="12"/>
  <c r="H276" i="12"/>
  <c r="G276" i="12"/>
  <c r="F276" i="12"/>
  <c r="AE275" i="12"/>
  <c r="AC275" i="12"/>
  <c r="AB275" i="12"/>
  <c r="AA275" i="12"/>
  <c r="Z275" i="12"/>
  <c r="Y275" i="12"/>
  <c r="X275" i="12"/>
  <c r="W275" i="12"/>
  <c r="V275" i="12"/>
  <c r="U275" i="12"/>
  <c r="T275" i="12"/>
  <c r="S275" i="12"/>
  <c r="R275" i="12"/>
  <c r="Q275" i="12"/>
  <c r="P275" i="12"/>
  <c r="O275" i="12"/>
  <c r="N275" i="12"/>
  <c r="M275" i="12"/>
  <c r="L275" i="12"/>
  <c r="K275" i="12"/>
  <c r="J275" i="12"/>
  <c r="I275" i="12"/>
  <c r="H275" i="12"/>
  <c r="G275" i="12"/>
  <c r="F275" i="12"/>
  <c r="AE274" i="12"/>
  <c r="AC274" i="12"/>
  <c r="AB274" i="12"/>
  <c r="AA274" i="12"/>
  <c r="Z274" i="12"/>
  <c r="Y274" i="12"/>
  <c r="X274" i="12"/>
  <c r="W274" i="12"/>
  <c r="V274" i="12"/>
  <c r="U274" i="12"/>
  <c r="T274" i="12"/>
  <c r="S274" i="12"/>
  <c r="R274" i="12"/>
  <c r="Q274" i="12"/>
  <c r="P274" i="12"/>
  <c r="O274" i="12"/>
  <c r="N274" i="12"/>
  <c r="M274" i="12"/>
  <c r="L274" i="12"/>
  <c r="K274" i="12"/>
  <c r="J274" i="12"/>
  <c r="I274" i="12"/>
  <c r="H274" i="12"/>
  <c r="G274" i="12"/>
  <c r="F274" i="12"/>
  <c r="AE273" i="12"/>
  <c r="AC273" i="12"/>
  <c r="AB273" i="12"/>
  <c r="AA273" i="12"/>
  <c r="Z273" i="12"/>
  <c r="Y273" i="12"/>
  <c r="X273" i="12"/>
  <c r="W273" i="12"/>
  <c r="V273" i="12"/>
  <c r="U273" i="12"/>
  <c r="T273" i="12"/>
  <c r="S273" i="12"/>
  <c r="R273" i="12"/>
  <c r="Q273" i="12"/>
  <c r="P273" i="12"/>
  <c r="O273" i="12"/>
  <c r="N273" i="12"/>
  <c r="M273" i="12"/>
  <c r="L273" i="12"/>
  <c r="K273" i="12"/>
  <c r="J273" i="12"/>
  <c r="I273" i="12"/>
  <c r="H273" i="12"/>
  <c r="G273" i="12"/>
  <c r="F273" i="12"/>
  <c r="AE272" i="12"/>
  <c r="AC272" i="12"/>
  <c r="AB272" i="12"/>
  <c r="AA272" i="12"/>
  <c r="Z272" i="12"/>
  <c r="Y272" i="12"/>
  <c r="X272" i="12"/>
  <c r="W272" i="12"/>
  <c r="V272" i="12"/>
  <c r="U272" i="12"/>
  <c r="T272" i="12"/>
  <c r="S272" i="12"/>
  <c r="R272" i="12"/>
  <c r="Q272" i="12"/>
  <c r="P272" i="12"/>
  <c r="O272" i="12"/>
  <c r="N272" i="12"/>
  <c r="M272" i="12"/>
  <c r="L272" i="12"/>
  <c r="K272" i="12"/>
  <c r="J272" i="12"/>
  <c r="I272" i="12"/>
  <c r="H272" i="12"/>
  <c r="G272" i="12"/>
  <c r="F272" i="12"/>
  <c r="AE271" i="12"/>
  <c r="AC271" i="12"/>
  <c r="AB271" i="12"/>
  <c r="AA271" i="12"/>
  <c r="Z271" i="12"/>
  <c r="Y271" i="12"/>
  <c r="X271" i="12"/>
  <c r="W271" i="12"/>
  <c r="V271" i="12"/>
  <c r="U271" i="12"/>
  <c r="T271" i="12"/>
  <c r="S271" i="12"/>
  <c r="R271" i="12"/>
  <c r="Q271" i="12"/>
  <c r="P271" i="12"/>
  <c r="O271" i="12"/>
  <c r="N271" i="12"/>
  <c r="M271" i="12"/>
  <c r="L271" i="12"/>
  <c r="K271" i="12"/>
  <c r="J271" i="12"/>
  <c r="I271" i="12"/>
  <c r="H271" i="12"/>
  <c r="G271" i="12"/>
  <c r="F271" i="12"/>
  <c r="AE270" i="12"/>
  <c r="AC270" i="12"/>
  <c r="AB270" i="12"/>
  <c r="AA270" i="12"/>
  <c r="Z270" i="12"/>
  <c r="Y270" i="12"/>
  <c r="X270" i="12"/>
  <c r="W270" i="12"/>
  <c r="V270" i="12"/>
  <c r="U270" i="12"/>
  <c r="T270" i="12"/>
  <c r="S270" i="12"/>
  <c r="R270" i="12"/>
  <c r="Q270" i="12"/>
  <c r="P270" i="12"/>
  <c r="O270" i="12"/>
  <c r="N270" i="12"/>
  <c r="M270" i="12"/>
  <c r="L270" i="12"/>
  <c r="K270" i="12"/>
  <c r="J270" i="12"/>
  <c r="I270" i="12"/>
  <c r="H270" i="12"/>
  <c r="G270" i="12"/>
  <c r="F270" i="12"/>
  <c r="AE269" i="12"/>
  <c r="AC269" i="12"/>
  <c r="AB269" i="12"/>
  <c r="AA269" i="12"/>
  <c r="Z269" i="12"/>
  <c r="Y269" i="12"/>
  <c r="X269" i="12"/>
  <c r="W269" i="12"/>
  <c r="V269" i="12"/>
  <c r="U269" i="12"/>
  <c r="T269" i="12"/>
  <c r="S269" i="12"/>
  <c r="R269" i="12"/>
  <c r="Q269" i="12"/>
  <c r="P269" i="12"/>
  <c r="O269" i="12"/>
  <c r="N269" i="12"/>
  <c r="M269" i="12"/>
  <c r="L269" i="12"/>
  <c r="K269" i="12"/>
  <c r="J269" i="12"/>
  <c r="I269" i="12"/>
  <c r="H269" i="12"/>
  <c r="G269" i="12"/>
  <c r="F269" i="12"/>
  <c r="AE268" i="12"/>
  <c r="AC268" i="12"/>
  <c r="AB268" i="12"/>
  <c r="AA268" i="12"/>
  <c r="Z268" i="12"/>
  <c r="Y268" i="12"/>
  <c r="X268" i="12"/>
  <c r="W268" i="12"/>
  <c r="V268" i="12"/>
  <c r="U268" i="12"/>
  <c r="T268" i="12"/>
  <c r="S268" i="12"/>
  <c r="R268" i="12"/>
  <c r="Q268" i="12"/>
  <c r="P268" i="12"/>
  <c r="O268" i="12"/>
  <c r="N268" i="12"/>
  <c r="M268" i="12"/>
  <c r="L268" i="12"/>
  <c r="K268" i="12"/>
  <c r="J268" i="12"/>
  <c r="I268" i="12"/>
  <c r="H268" i="12"/>
  <c r="G268" i="12"/>
  <c r="F268" i="12"/>
  <c r="AE267" i="12"/>
  <c r="AC267" i="12"/>
  <c r="AB267" i="12"/>
  <c r="AA267" i="12"/>
  <c r="Z267" i="12"/>
  <c r="Y267" i="12"/>
  <c r="X267" i="12"/>
  <c r="W267" i="12"/>
  <c r="V267" i="12"/>
  <c r="U267" i="12"/>
  <c r="T267" i="12"/>
  <c r="S267" i="12"/>
  <c r="R267" i="12"/>
  <c r="Q267" i="12"/>
  <c r="P267" i="12"/>
  <c r="O267" i="12"/>
  <c r="N267" i="12"/>
  <c r="M267" i="12"/>
  <c r="L267" i="12"/>
  <c r="K267" i="12"/>
  <c r="J267" i="12"/>
  <c r="I267" i="12"/>
  <c r="H267" i="12"/>
  <c r="G267" i="12"/>
  <c r="F267" i="12"/>
  <c r="AE266" i="12"/>
  <c r="AC266" i="12"/>
  <c r="AB266" i="12"/>
  <c r="AA266" i="12"/>
  <c r="Z266" i="12"/>
  <c r="Y266" i="12"/>
  <c r="X266" i="12"/>
  <c r="W266" i="12"/>
  <c r="V266" i="12"/>
  <c r="U266" i="12"/>
  <c r="T266" i="12"/>
  <c r="S266" i="12"/>
  <c r="R266" i="12"/>
  <c r="Q266" i="12"/>
  <c r="P266" i="12"/>
  <c r="O266" i="12"/>
  <c r="N266" i="12"/>
  <c r="M266" i="12"/>
  <c r="L266" i="12"/>
  <c r="K266" i="12"/>
  <c r="J266" i="12"/>
  <c r="I266" i="12"/>
  <c r="H266" i="12"/>
  <c r="G266" i="12"/>
  <c r="F266" i="12"/>
  <c r="AE265" i="12"/>
  <c r="AC265" i="12"/>
  <c r="AB265" i="12"/>
  <c r="AA265" i="12"/>
  <c r="Z265" i="12"/>
  <c r="Y265" i="12"/>
  <c r="X265" i="12"/>
  <c r="W265" i="12"/>
  <c r="V265" i="12"/>
  <c r="U265" i="12"/>
  <c r="T265" i="12"/>
  <c r="S265" i="12"/>
  <c r="R265" i="12"/>
  <c r="Q265" i="12"/>
  <c r="P265" i="12"/>
  <c r="O265" i="12"/>
  <c r="N265" i="12"/>
  <c r="M265" i="12"/>
  <c r="L265" i="12"/>
  <c r="K265" i="12"/>
  <c r="J265" i="12"/>
  <c r="I265" i="12"/>
  <c r="H265" i="12"/>
  <c r="G265" i="12"/>
  <c r="F265" i="12"/>
  <c r="AE264" i="12"/>
  <c r="AC264" i="12"/>
  <c r="AB264" i="12"/>
  <c r="AA264" i="12"/>
  <c r="Z264" i="12"/>
  <c r="Y264" i="12"/>
  <c r="X264" i="12"/>
  <c r="W264" i="12"/>
  <c r="V264" i="12"/>
  <c r="U264" i="12"/>
  <c r="T264" i="12"/>
  <c r="S264" i="12"/>
  <c r="R264" i="12"/>
  <c r="Q264" i="12"/>
  <c r="P264" i="12"/>
  <c r="O264" i="12"/>
  <c r="N264" i="12"/>
  <c r="M264" i="12"/>
  <c r="L264" i="12"/>
  <c r="K264" i="12"/>
  <c r="J264" i="12"/>
  <c r="I264" i="12"/>
  <c r="H264" i="12"/>
  <c r="G264" i="12"/>
  <c r="F264" i="12"/>
  <c r="AE263" i="12"/>
  <c r="AC263" i="12"/>
  <c r="AB263" i="12"/>
  <c r="AA263" i="12"/>
  <c r="Z263" i="12"/>
  <c r="Y263" i="12"/>
  <c r="X263" i="12"/>
  <c r="W263" i="12"/>
  <c r="V263" i="12"/>
  <c r="U263" i="12"/>
  <c r="T263" i="12"/>
  <c r="S263" i="12"/>
  <c r="R263" i="12"/>
  <c r="Q263" i="12"/>
  <c r="P263" i="12"/>
  <c r="O263" i="12"/>
  <c r="N263" i="12"/>
  <c r="M263" i="12"/>
  <c r="L263" i="12"/>
  <c r="K263" i="12"/>
  <c r="J263" i="12"/>
  <c r="I263" i="12"/>
  <c r="H263" i="12"/>
  <c r="G263" i="12"/>
  <c r="F263" i="12"/>
  <c r="AE262" i="12"/>
  <c r="AC262" i="12"/>
  <c r="AB262" i="12"/>
  <c r="AA262" i="12"/>
  <c r="Z262" i="12"/>
  <c r="Y262" i="12"/>
  <c r="X262" i="12"/>
  <c r="W262" i="12"/>
  <c r="V262" i="12"/>
  <c r="U262" i="12"/>
  <c r="T262" i="12"/>
  <c r="S262" i="12"/>
  <c r="R262" i="12"/>
  <c r="Q262" i="12"/>
  <c r="P262" i="12"/>
  <c r="O262" i="12"/>
  <c r="N262" i="12"/>
  <c r="M262" i="12"/>
  <c r="L262" i="12"/>
  <c r="K262" i="12"/>
  <c r="J262" i="12"/>
  <c r="I262" i="12"/>
  <c r="H262" i="12"/>
  <c r="G262" i="12"/>
  <c r="F262" i="12"/>
  <c r="AE261" i="12"/>
  <c r="AC261" i="12"/>
  <c r="AB261" i="12"/>
  <c r="AA261" i="12"/>
  <c r="Z261" i="12"/>
  <c r="Y261" i="12"/>
  <c r="X261" i="12"/>
  <c r="W261" i="12"/>
  <c r="V261" i="12"/>
  <c r="U261" i="12"/>
  <c r="T261" i="12"/>
  <c r="S261" i="12"/>
  <c r="R261" i="12"/>
  <c r="Q261" i="12"/>
  <c r="P261" i="12"/>
  <c r="O261" i="12"/>
  <c r="N261" i="12"/>
  <c r="M261" i="12"/>
  <c r="L261" i="12"/>
  <c r="K261" i="12"/>
  <c r="J261" i="12"/>
  <c r="I261" i="12"/>
  <c r="H261" i="12"/>
  <c r="G261" i="12"/>
  <c r="F261" i="12"/>
  <c r="AE260" i="12"/>
  <c r="AC260" i="12"/>
  <c r="AB260" i="12"/>
  <c r="AA260" i="12"/>
  <c r="Z260" i="12"/>
  <c r="Y260" i="12"/>
  <c r="X260" i="12"/>
  <c r="W260" i="12"/>
  <c r="V260" i="12"/>
  <c r="U260" i="12"/>
  <c r="T260" i="12"/>
  <c r="S260" i="12"/>
  <c r="R260" i="12"/>
  <c r="Q260" i="12"/>
  <c r="P260" i="12"/>
  <c r="O260" i="12"/>
  <c r="N260" i="12"/>
  <c r="M260" i="12"/>
  <c r="L260" i="12"/>
  <c r="K260" i="12"/>
  <c r="J260" i="12"/>
  <c r="I260" i="12"/>
  <c r="H260" i="12"/>
  <c r="G260" i="12"/>
  <c r="F260" i="12"/>
  <c r="AE259" i="12"/>
  <c r="AC259" i="12"/>
  <c r="AB259" i="12"/>
  <c r="AA259" i="12"/>
  <c r="Z259" i="12"/>
  <c r="Y259" i="12"/>
  <c r="X259" i="12"/>
  <c r="W259" i="12"/>
  <c r="V259" i="12"/>
  <c r="U259" i="12"/>
  <c r="T259" i="12"/>
  <c r="S259" i="12"/>
  <c r="R259" i="12"/>
  <c r="Q259" i="12"/>
  <c r="P259" i="12"/>
  <c r="O259" i="12"/>
  <c r="N259" i="12"/>
  <c r="M259" i="12"/>
  <c r="L259" i="12"/>
  <c r="K259" i="12"/>
  <c r="J259" i="12"/>
  <c r="I259" i="12"/>
  <c r="H259" i="12"/>
  <c r="G259" i="12"/>
  <c r="F259" i="12"/>
  <c r="AE258" i="12"/>
  <c r="AC258" i="12"/>
  <c r="AB258" i="12"/>
  <c r="AA258" i="12"/>
  <c r="Z258" i="12"/>
  <c r="Y258" i="12"/>
  <c r="X258" i="12"/>
  <c r="W258" i="12"/>
  <c r="V258" i="12"/>
  <c r="U258" i="12"/>
  <c r="T258" i="12"/>
  <c r="S258" i="12"/>
  <c r="R258" i="12"/>
  <c r="Q258" i="12"/>
  <c r="P258" i="12"/>
  <c r="O258" i="12"/>
  <c r="N258" i="12"/>
  <c r="M258" i="12"/>
  <c r="L258" i="12"/>
  <c r="K258" i="12"/>
  <c r="J258" i="12"/>
  <c r="I258" i="12"/>
  <c r="H258" i="12"/>
  <c r="G258" i="12"/>
  <c r="F258" i="12"/>
  <c r="AE257" i="12"/>
  <c r="AC257" i="12"/>
  <c r="AB257" i="12"/>
  <c r="AA257" i="12"/>
  <c r="Z257" i="12"/>
  <c r="Y257" i="12"/>
  <c r="X257" i="12"/>
  <c r="W257" i="12"/>
  <c r="V257" i="12"/>
  <c r="U257" i="12"/>
  <c r="T257" i="12"/>
  <c r="S257" i="12"/>
  <c r="R257" i="12"/>
  <c r="Q257" i="12"/>
  <c r="P257" i="12"/>
  <c r="O257" i="12"/>
  <c r="N257" i="12"/>
  <c r="M257" i="12"/>
  <c r="L257" i="12"/>
  <c r="K257" i="12"/>
  <c r="J257" i="12"/>
  <c r="I257" i="12"/>
  <c r="H257" i="12"/>
  <c r="G257" i="12"/>
  <c r="F257" i="12"/>
  <c r="AE256" i="12"/>
  <c r="AC256" i="12"/>
  <c r="AB256" i="12"/>
  <c r="AA256" i="12"/>
  <c r="Z256" i="12"/>
  <c r="Y256" i="12"/>
  <c r="X256" i="12"/>
  <c r="W256" i="12"/>
  <c r="V256" i="12"/>
  <c r="U256" i="12"/>
  <c r="T256" i="12"/>
  <c r="S256" i="12"/>
  <c r="R256" i="12"/>
  <c r="Q256" i="12"/>
  <c r="P256" i="12"/>
  <c r="O256" i="12"/>
  <c r="N256" i="12"/>
  <c r="M256" i="12"/>
  <c r="L256" i="12"/>
  <c r="K256" i="12"/>
  <c r="J256" i="12"/>
  <c r="I256" i="12"/>
  <c r="H256" i="12"/>
  <c r="G256" i="12"/>
  <c r="F256" i="12"/>
  <c r="AE255" i="12"/>
  <c r="AC255" i="12"/>
  <c r="AB255" i="12"/>
  <c r="AA255" i="12"/>
  <c r="Z255" i="12"/>
  <c r="Y255" i="12"/>
  <c r="X255" i="12"/>
  <c r="W255" i="12"/>
  <c r="V255" i="12"/>
  <c r="U255" i="12"/>
  <c r="T255" i="12"/>
  <c r="S255" i="12"/>
  <c r="R255" i="12"/>
  <c r="Q255" i="12"/>
  <c r="P255" i="12"/>
  <c r="O255" i="12"/>
  <c r="N255" i="12"/>
  <c r="M255" i="12"/>
  <c r="L255" i="12"/>
  <c r="K255" i="12"/>
  <c r="J255" i="12"/>
  <c r="I255" i="12"/>
  <c r="H255" i="12"/>
  <c r="G255" i="12"/>
  <c r="F255" i="12"/>
  <c r="AE254" i="12"/>
  <c r="AC254" i="12"/>
  <c r="AB254" i="12"/>
  <c r="AA254" i="12"/>
  <c r="Z254" i="12"/>
  <c r="Y254" i="12"/>
  <c r="X254" i="12"/>
  <c r="W254" i="12"/>
  <c r="V254" i="12"/>
  <c r="U254" i="12"/>
  <c r="T254" i="12"/>
  <c r="S254" i="12"/>
  <c r="R254" i="12"/>
  <c r="Q254" i="12"/>
  <c r="P254" i="12"/>
  <c r="O254" i="12"/>
  <c r="N254" i="12"/>
  <c r="M254" i="12"/>
  <c r="L254" i="12"/>
  <c r="K254" i="12"/>
  <c r="J254" i="12"/>
  <c r="I254" i="12"/>
  <c r="H254" i="12"/>
  <c r="G254" i="12"/>
  <c r="F254" i="12"/>
  <c r="AE253" i="12"/>
  <c r="AC253" i="12"/>
  <c r="AB253" i="12"/>
  <c r="AA253" i="12"/>
  <c r="Z253" i="12"/>
  <c r="Y253" i="12"/>
  <c r="X253" i="12"/>
  <c r="W253" i="12"/>
  <c r="V253" i="12"/>
  <c r="U253" i="12"/>
  <c r="T253" i="12"/>
  <c r="S253" i="12"/>
  <c r="R253" i="12"/>
  <c r="Q253" i="12"/>
  <c r="P253" i="12"/>
  <c r="O253" i="12"/>
  <c r="N253" i="12"/>
  <c r="M253" i="12"/>
  <c r="L253" i="12"/>
  <c r="K253" i="12"/>
  <c r="J253" i="12"/>
  <c r="I253" i="12"/>
  <c r="H253" i="12"/>
  <c r="G253" i="12"/>
  <c r="F253" i="12"/>
  <c r="AE252" i="12"/>
  <c r="AC252" i="12"/>
  <c r="AB252" i="12"/>
  <c r="AA252" i="12"/>
  <c r="Z252" i="12"/>
  <c r="Y252" i="12"/>
  <c r="X252" i="12"/>
  <c r="W252" i="12"/>
  <c r="V252" i="12"/>
  <c r="U252" i="12"/>
  <c r="T252" i="12"/>
  <c r="S252" i="12"/>
  <c r="R252" i="12"/>
  <c r="Q252" i="12"/>
  <c r="P252" i="12"/>
  <c r="O252" i="12"/>
  <c r="N252" i="12"/>
  <c r="M252" i="12"/>
  <c r="L252" i="12"/>
  <c r="K252" i="12"/>
  <c r="J252" i="12"/>
  <c r="I252" i="12"/>
  <c r="H252" i="12"/>
  <c r="G252" i="12"/>
  <c r="F252" i="12"/>
  <c r="AE251" i="12"/>
  <c r="AC251" i="12"/>
  <c r="AB251" i="12"/>
  <c r="AA251" i="12"/>
  <c r="Z251" i="12"/>
  <c r="Y251" i="12"/>
  <c r="X251" i="12"/>
  <c r="W251" i="12"/>
  <c r="V251" i="12"/>
  <c r="U251" i="12"/>
  <c r="T251" i="12"/>
  <c r="S251" i="12"/>
  <c r="R251" i="12"/>
  <c r="Q251" i="12"/>
  <c r="P251" i="12"/>
  <c r="O251" i="12"/>
  <c r="N251" i="12"/>
  <c r="M251" i="12"/>
  <c r="L251" i="12"/>
  <c r="K251" i="12"/>
  <c r="J251" i="12"/>
  <c r="I251" i="12"/>
  <c r="H251" i="12"/>
  <c r="G251" i="12"/>
  <c r="F251" i="12"/>
  <c r="AE250" i="12"/>
  <c r="AC250" i="12"/>
  <c r="AB250" i="12"/>
  <c r="AA250" i="12"/>
  <c r="Z250" i="12"/>
  <c r="Y250" i="12"/>
  <c r="X250" i="12"/>
  <c r="W250" i="12"/>
  <c r="V250" i="12"/>
  <c r="U250" i="12"/>
  <c r="T250" i="12"/>
  <c r="S250" i="12"/>
  <c r="R250" i="12"/>
  <c r="Q250" i="12"/>
  <c r="P250" i="12"/>
  <c r="O250" i="12"/>
  <c r="N250" i="12"/>
  <c r="M250" i="12"/>
  <c r="L250" i="12"/>
  <c r="K250" i="12"/>
  <c r="J250" i="12"/>
  <c r="I250" i="12"/>
  <c r="H250" i="12"/>
  <c r="G250" i="12"/>
  <c r="F250" i="12"/>
  <c r="AE249" i="12"/>
  <c r="AC249" i="12"/>
  <c r="AB249" i="12"/>
  <c r="AA249" i="12"/>
  <c r="Z249" i="12"/>
  <c r="Y249" i="12"/>
  <c r="X249" i="12"/>
  <c r="W249" i="12"/>
  <c r="V249" i="12"/>
  <c r="U249" i="12"/>
  <c r="T249" i="12"/>
  <c r="S249" i="12"/>
  <c r="R249" i="12"/>
  <c r="Q249" i="12"/>
  <c r="P249" i="12"/>
  <c r="O249" i="12"/>
  <c r="N249" i="12"/>
  <c r="M249" i="12"/>
  <c r="L249" i="12"/>
  <c r="K249" i="12"/>
  <c r="J249" i="12"/>
  <c r="I249" i="12"/>
  <c r="H249" i="12"/>
  <c r="G249" i="12"/>
  <c r="F249" i="12"/>
  <c r="AE248" i="12"/>
  <c r="AC248" i="12"/>
  <c r="AB248" i="12"/>
  <c r="AA248" i="12"/>
  <c r="Z248" i="12"/>
  <c r="Y248" i="12"/>
  <c r="X248" i="12"/>
  <c r="W248" i="12"/>
  <c r="V248" i="12"/>
  <c r="U248" i="12"/>
  <c r="T248" i="12"/>
  <c r="S248" i="12"/>
  <c r="R248" i="12"/>
  <c r="Q248" i="12"/>
  <c r="P248" i="12"/>
  <c r="O248" i="12"/>
  <c r="N248" i="12"/>
  <c r="M248" i="12"/>
  <c r="L248" i="12"/>
  <c r="K248" i="12"/>
  <c r="J248" i="12"/>
  <c r="I248" i="12"/>
  <c r="H248" i="12"/>
  <c r="G248" i="12"/>
  <c r="F248" i="12"/>
  <c r="AE247" i="12"/>
  <c r="AC247" i="12"/>
  <c r="AB247" i="12"/>
  <c r="AA247" i="12"/>
  <c r="Z247" i="12"/>
  <c r="Y247" i="12"/>
  <c r="X247" i="12"/>
  <c r="W247" i="12"/>
  <c r="V247" i="12"/>
  <c r="U247" i="12"/>
  <c r="T247" i="12"/>
  <c r="S247" i="12"/>
  <c r="R247" i="12"/>
  <c r="Q247" i="12"/>
  <c r="P247" i="12"/>
  <c r="O247" i="12"/>
  <c r="N247" i="12"/>
  <c r="M247" i="12"/>
  <c r="L247" i="12"/>
  <c r="K247" i="12"/>
  <c r="J247" i="12"/>
  <c r="I247" i="12"/>
  <c r="H247" i="12"/>
  <c r="G247" i="12"/>
  <c r="F247" i="12"/>
  <c r="AE246" i="12"/>
  <c r="AC246" i="12"/>
  <c r="AB246" i="12"/>
  <c r="AA246" i="12"/>
  <c r="Z246" i="12"/>
  <c r="Y246" i="12"/>
  <c r="X246" i="12"/>
  <c r="W246" i="12"/>
  <c r="V246" i="12"/>
  <c r="U246" i="12"/>
  <c r="T246" i="12"/>
  <c r="S246" i="12"/>
  <c r="R246" i="12"/>
  <c r="Q246" i="12"/>
  <c r="P246" i="12"/>
  <c r="O246" i="12"/>
  <c r="N246" i="12"/>
  <c r="M246" i="12"/>
  <c r="L246" i="12"/>
  <c r="K246" i="12"/>
  <c r="J246" i="12"/>
  <c r="I246" i="12"/>
  <c r="H246" i="12"/>
  <c r="G246" i="12"/>
  <c r="F246" i="12"/>
  <c r="AE245" i="12"/>
  <c r="AC245" i="12"/>
  <c r="AB245" i="12"/>
  <c r="AA245" i="12"/>
  <c r="Z245" i="12"/>
  <c r="Y245" i="12"/>
  <c r="X245" i="12"/>
  <c r="W245" i="12"/>
  <c r="V245" i="12"/>
  <c r="U245" i="12"/>
  <c r="T245" i="12"/>
  <c r="S245" i="12"/>
  <c r="R245" i="12"/>
  <c r="Q245" i="12"/>
  <c r="P245" i="12"/>
  <c r="O245" i="12"/>
  <c r="N245" i="12"/>
  <c r="M245" i="12"/>
  <c r="L245" i="12"/>
  <c r="K245" i="12"/>
  <c r="J245" i="12"/>
  <c r="I245" i="12"/>
  <c r="H245" i="12"/>
  <c r="G245" i="12"/>
  <c r="F245" i="12"/>
  <c r="AE244" i="12"/>
  <c r="AC244" i="12"/>
  <c r="AB244" i="12"/>
  <c r="AA244" i="12"/>
  <c r="Z244" i="12"/>
  <c r="Y244" i="12"/>
  <c r="X244" i="12"/>
  <c r="W244" i="12"/>
  <c r="V244" i="12"/>
  <c r="U244" i="12"/>
  <c r="T244" i="12"/>
  <c r="S244" i="12"/>
  <c r="R244" i="12"/>
  <c r="Q244" i="12"/>
  <c r="P244" i="12"/>
  <c r="O244" i="12"/>
  <c r="N244" i="12"/>
  <c r="M244" i="12"/>
  <c r="L244" i="12"/>
  <c r="K244" i="12"/>
  <c r="J244" i="12"/>
  <c r="I244" i="12"/>
  <c r="H244" i="12"/>
  <c r="G244" i="12"/>
  <c r="F244" i="12"/>
  <c r="AE243" i="12"/>
  <c r="AC243" i="12"/>
  <c r="AB243" i="12"/>
  <c r="AA243" i="12"/>
  <c r="Z243" i="12"/>
  <c r="Y243" i="12"/>
  <c r="X243" i="12"/>
  <c r="W243" i="12"/>
  <c r="V243" i="12"/>
  <c r="U243" i="12"/>
  <c r="T243" i="12"/>
  <c r="S243" i="12"/>
  <c r="R243" i="12"/>
  <c r="Q243" i="12"/>
  <c r="P243" i="12"/>
  <c r="O243" i="12"/>
  <c r="N243" i="12"/>
  <c r="M243" i="12"/>
  <c r="L243" i="12"/>
  <c r="K243" i="12"/>
  <c r="J243" i="12"/>
  <c r="I243" i="12"/>
  <c r="H243" i="12"/>
  <c r="G243" i="12"/>
  <c r="F243" i="12"/>
  <c r="AE242" i="12"/>
  <c r="AC242" i="12"/>
  <c r="AB242" i="12"/>
  <c r="AA242" i="12"/>
  <c r="Z242" i="12"/>
  <c r="Y242" i="12"/>
  <c r="X242" i="12"/>
  <c r="W242" i="12"/>
  <c r="V242" i="12"/>
  <c r="U242" i="12"/>
  <c r="T242" i="12"/>
  <c r="S242" i="12"/>
  <c r="R242" i="12"/>
  <c r="Q242" i="12"/>
  <c r="P242" i="12"/>
  <c r="O242" i="12"/>
  <c r="N242" i="12"/>
  <c r="M242" i="12"/>
  <c r="L242" i="12"/>
  <c r="K242" i="12"/>
  <c r="J242" i="12"/>
  <c r="I242" i="12"/>
  <c r="H242" i="12"/>
  <c r="G242" i="12"/>
  <c r="F242" i="12"/>
  <c r="AE241" i="12"/>
  <c r="AC241" i="12"/>
  <c r="AB241" i="12"/>
  <c r="AA241" i="12"/>
  <c r="Z241" i="12"/>
  <c r="Y241" i="12"/>
  <c r="X241" i="12"/>
  <c r="W241" i="12"/>
  <c r="V241" i="12"/>
  <c r="U241" i="12"/>
  <c r="T241" i="12"/>
  <c r="S241" i="12"/>
  <c r="R241" i="12"/>
  <c r="Q241" i="12"/>
  <c r="P241" i="12"/>
  <c r="O241" i="12"/>
  <c r="N241" i="12"/>
  <c r="M241" i="12"/>
  <c r="L241" i="12"/>
  <c r="K241" i="12"/>
  <c r="J241" i="12"/>
  <c r="I241" i="12"/>
  <c r="H241" i="12"/>
  <c r="G241" i="12"/>
  <c r="F241" i="12"/>
  <c r="AE240" i="12"/>
  <c r="AC240" i="12"/>
  <c r="AB240" i="12"/>
  <c r="AA240" i="12"/>
  <c r="Z240" i="12"/>
  <c r="Y240" i="12"/>
  <c r="X240" i="12"/>
  <c r="W240" i="12"/>
  <c r="V240" i="12"/>
  <c r="U240" i="12"/>
  <c r="T240" i="12"/>
  <c r="S240" i="12"/>
  <c r="R240" i="12"/>
  <c r="Q240" i="12"/>
  <c r="P240" i="12"/>
  <c r="O240" i="12"/>
  <c r="N240" i="12"/>
  <c r="M240" i="12"/>
  <c r="L240" i="12"/>
  <c r="K240" i="12"/>
  <c r="J240" i="12"/>
  <c r="I240" i="12"/>
  <c r="H240" i="12"/>
  <c r="G240" i="12"/>
  <c r="F240" i="12"/>
  <c r="AE239" i="12"/>
  <c r="AC239" i="12"/>
  <c r="AB239" i="12"/>
  <c r="AA239" i="12"/>
  <c r="Z239" i="12"/>
  <c r="Y239" i="12"/>
  <c r="X239" i="12"/>
  <c r="W239" i="12"/>
  <c r="V239" i="12"/>
  <c r="U239" i="12"/>
  <c r="T239" i="12"/>
  <c r="S239" i="12"/>
  <c r="R239" i="12"/>
  <c r="Q239" i="12"/>
  <c r="P239" i="12"/>
  <c r="O239" i="12"/>
  <c r="N239" i="12"/>
  <c r="M239" i="12"/>
  <c r="L239" i="12"/>
  <c r="K239" i="12"/>
  <c r="J239" i="12"/>
  <c r="I239" i="12"/>
  <c r="H239" i="12"/>
  <c r="G239" i="12"/>
  <c r="F239" i="12"/>
  <c r="AE238" i="12"/>
  <c r="AC238" i="12"/>
  <c r="AB238" i="12"/>
  <c r="AA238" i="12"/>
  <c r="Z238" i="12"/>
  <c r="Y238" i="12"/>
  <c r="X238" i="12"/>
  <c r="W238" i="12"/>
  <c r="V238" i="12"/>
  <c r="U238" i="12"/>
  <c r="T238" i="12"/>
  <c r="S238" i="12"/>
  <c r="R238" i="12"/>
  <c r="Q238" i="12"/>
  <c r="P238" i="12"/>
  <c r="O238" i="12"/>
  <c r="N238" i="12"/>
  <c r="M238" i="12"/>
  <c r="L238" i="12"/>
  <c r="K238" i="12"/>
  <c r="J238" i="12"/>
  <c r="I238" i="12"/>
  <c r="H238" i="12"/>
  <c r="G238" i="12"/>
  <c r="F238" i="12"/>
  <c r="AE237" i="12"/>
  <c r="AC237" i="12"/>
  <c r="AB237" i="12"/>
  <c r="AA237" i="12"/>
  <c r="Z237" i="12"/>
  <c r="Y237" i="12"/>
  <c r="X237" i="12"/>
  <c r="W237" i="12"/>
  <c r="V237" i="12"/>
  <c r="U237" i="12"/>
  <c r="T237" i="12"/>
  <c r="S237" i="12"/>
  <c r="R237" i="12"/>
  <c r="Q237" i="12"/>
  <c r="P237" i="12"/>
  <c r="O237" i="12"/>
  <c r="N237" i="12"/>
  <c r="M237" i="12"/>
  <c r="L237" i="12"/>
  <c r="K237" i="12"/>
  <c r="J237" i="12"/>
  <c r="I237" i="12"/>
  <c r="H237" i="12"/>
  <c r="G237" i="12"/>
  <c r="F237" i="12"/>
  <c r="AE236" i="12"/>
  <c r="AC236" i="12"/>
  <c r="AB236" i="12"/>
  <c r="AA236" i="12"/>
  <c r="Z236" i="12"/>
  <c r="Y236" i="12"/>
  <c r="X236" i="12"/>
  <c r="W236" i="12"/>
  <c r="V236" i="12"/>
  <c r="U236" i="12"/>
  <c r="T236" i="12"/>
  <c r="S236" i="12"/>
  <c r="R236" i="12"/>
  <c r="Q236" i="12"/>
  <c r="P236" i="12"/>
  <c r="O236" i="12"/>
  <c r="N236" i="12"/>
  <c r="M236" i="12"/>
  <c r="L236" i="12"/>
  <c r="K236" i="12"/>
  <c r="J236" i="12"/>
  <c r="I236" i="12"/>
  <c r="H236" i="12"/>
  <c r="G236" i="12"/>
  <c r="F236" i="12"/>
  <c r="AE235" i="12"/>
  <c r="AC235" i="12"/>
  <c r="AB235" i="12"/>
  <c r="AA235" i="12"/>
  <c r="Z235" i="12"/>
  <c r="Y235" i="12"/>
  <c r="X235" i="12"/>
  <c r="W235" i="12"/>
  <c r="V235" i="12"/>
  <c r="U235" i="12"/>
  <c r="T235" i="12"/>
  <c r="S235" i="12"/>
  <c r="R235" i="12"/>
  <c r="Q235" i="12"/>
  <c r="P235" i="12"/>
  <c r="O235" i="12"/>
  <c r="N235" i="12"/>
  <c r="M235" i="12"/>
  <c r="L235" i="12"/>
  <c r="K235" i="12"/>
  <c r="J235" i="12"/>
  <c r="I235" i="12"/>
  <c r="H235" i="12"/>
  <c r="G235" i="12"/>
  <c r="F235" i="12"/>
  <c r="AE234" i="12"/>
  <c r="AC234" i="12"/>
  <c r="AB234" i="12"/>
  <c r="AA234" i="12"/>
  <c r="Z234" i="12"/>
  <c r="Y234" i="12"/>
  <c r="X234" i="12"/>
  <c r="W234" i="12"/>
  <c r="V234" i="12"/>
  <c r="U234" i="12"/>
  <c r="T234" i="12"/>
  <c r="S234" i="12"/>
  <c r="R234" i="12"/>
  <c r="Q234" i="12"/>
  <c r="P234" i="12"/>
  <c r="O234" i="12"/>
  <c r="N234" i="12"/>
  <c r="M234" i="12"/>
  <c r="L234" i="12"/>
  <c r="K234" i="12"/>
  <c r="J234" i="12"/>
  <c r="I234" i="12"/>
  <c r="H234" i="12"/>
  <c r="G234" i="12"/>
  <c r="F234" i="12"/>
  <c r="AE233" i="12"/>
  <c r="AC233" i="12"/>
  <c r="AB233" i="12"/>
  <c r="AA233" i="12"/>
  <c r="Z233" i="12"/>
  <c r="Y233" i="12"/>
  <c r="X233" i="12"/>
  <c r="W233" i="12"/>
  <c r="V233" i="12"/>
  <c r="U233" i="12"/>
  <c r="T233" i="12"/>
  <c r="S233" i="12"/>
  <c r="R233" i="12"/>
  <c r="Q233" i="12"/>
  <c r="P233" i="12"/>
  <c r="O233" i="12"/>
  <c r="N233" i="12"/>
  <c r="M233" i="12"/>
  <c r="L233" i="12"/>
  <c r="K233" i="12"/>
  <c r="J233" i="12"/>
  <c r="I233" i="12"/>
  <c r="H233" i="12"/>
  <c r="G233" i="12"/>
  <c r="F233" i="12"/>
  <c r="AE232" i="12"/>
  <c r="AC232" i="12"/>
  <c r="AB232" i="12"/>
  <c r="AA232" i="12"/>
  <c r="Z232" i="12"/>
  <c r="Y232" i="12"/>
  <c r="X232" i="12"/>
  <c r="W232" i="12"/>
  <c r="V232" i="12"/>
  <c r="U232" i="12"/>
  <c r="T232" i="12"/>
  <c r="S232" i="12"/>
  <c r="R232" i="12"/>
  <c r="Q232" i="12"/>
  <c r="P232" i="12"/>
  <c r="O232" i="12"/>
  <c r="N232" i="12"/>
  <c r="M232" i="12"/>
  <c r="L232" i="12"/>
  <c r="K232" i="12"/>
  <c r="J232" i="12"/>
  <c r="I232" i="12"/>
  <c r="H232" i="12"/>
  <c r="G232" i="12"/>
  <c r="F232" i="12"/>
  <c r="AE231" i="12"/>
  <c r="AC231" i="12"/>
  <c r="AB231" i="12"/>
  <c r="AA231" i="12"/>
  <c r="Z231" i="12"/>
  <c r="Y231" i="12"/>
  <c r="X231" i="12"/>
  <c r="W231" i="12"/>
  <c r="V231" i="12"/>
  <c r="U231" i="12"/>
  <c r="T231" i="12"/>
  <c r="S231" i="12"/>
  <c r="R231" i="12"/>
  <c r="Q231" i="12"/>
  <c r="P231" i="12"/>
  <c r="O231" i="12"/>
  <c r="N231" i="12"/>
  <c r="M231" i="12"/>
  <c r="L231" i="12"/>
  <c r="K231" i="12"/>
  <c r="J231" i="12"/>
  <c r="I231" i="12"/>
  <c r="H231" i="12"/>
  <c r="G231" i="12"/>
  <c r="F231" i="12"/>
  <c r="AE230" i="12"/>
  <c r="AC230" i="12"/>
  <c r="AB230" i="12"/>
  <c r="AA230" i="12"/>
  <c r="Z230" i="12"/>
  <c r="Y230" i="12"/>
  <c r="X230" i="12"/>
  <c r="W230" i="12"/>
  <c r="V230" i="12"/>
  <c r="U230" i="12"/>
  <c r="T230" i="12"/>
  <c r="S230" i="12"/>
  <c r="R230" i="12"/>
  <c r="Q230" i="12"/>
  <c r="P230" i="12"/>
  <c r="O230" i="12"/>
  <c r="N230" i="12"/>
  <c r="M230" i="12"/>
  <c r="L230" i="12"/>
  <c r="K230" i="12"/>
  <c r="J230" i="12"/>
  <c r="I230" i="12"/>
  <c r="H230" i="12"/>
  <c r="G230" i="12"/>
  <c r="F230" i="12"/>
  <c r="AE229" i="12"/>
  <c r="AC229" i="12"/>
  <c r="AB229" i="12"/>
  <c r="AA229" i="12"/>
  <c r="Z229" i="12"/>
  <c r="Y229" i="12"/>
  <c r="X229" i="12"/>
  <c r="W229" i="12"/>
  <c r="V229" i="12"/>
  <c r="U229" i="12"/>
  <c r="T229" i="12"/>
  <c r="S229" i="12"/>
  <c r="R229" i="12"/>
  <c r="Q229" i="12"/>
  <c r="P229" i="12"/>
  <c r="O229" i="12"/>
  <c r="N229" i="12"/>
  <c r="M229" i="12"/>
  <c r="L229" i="12"/>
  <c r="K229" i="12"/>
  <c r="J229" i="12"/>
  <c r="I229" i="12"/>
  <c r="H229" i="12"/>
  <c r="G229" i="12"/>
  <c r="F229" i="12"/>
  <c r="AE228" i="12"/>
  <c r="AC228" i="12"/>
  <c r="AB228" i="12"/>
  <c r="AA228" i="12"/>
  <c r="Z228" i="12"/>
  <c r="Y228" i="12"/>
  <c r="X228" i="12"/>
  <c r="W228" i="12"/>
  <c r="V228" i="12"/>
  <c r="U228" i="12"/>
  <c r="T228" i="12"/>
  <c r="S228" i="12"/>
  <c r="R228" i="12"/>
  <c r="Q228" i="12"/>
  <c r="P228" i="12"/>
  <c r="O228" i="12"/>
  <c r="N228" i="12"/>
  <c r="M228" i="12"/>
  <c r="L228" i="12"/>
  <c r="K228" i="12"/>
  <c r="J228" i="12"/>
  <c r="I228" i="12"/>
  <c r="H228" i="12"/>
  <c r="G228" i="12"/>
  <c r="F228" i="12"/>
  <c r="AE227" i="12"/>
  <c r="AC227" i="12"/>
  <c r="AB227" i="12"/>
  <c r="AA227" i="12"/>
  <c r="Z227" i="12"/>
  <c r="Y227" i="12"/>
  <c r="X227" i="12"/>
  <c r="W227" i="12"/>
  <c r="V227" i="12"/>
  <c r="U227" i="12"/>
  <c r="T227" i="12"/>
  <c r="S227" i="12"/>
  <c r="R227" i="12"/>
  <c r="Q227" i="12"/>
  <c r="P227" i="12"/>
  <c r="O227" i="12"/>
  <c r="N227" i="12"/>
  <c r="M227" i="12"/>
  <c r="L227" i="12"/>
  <c r="K227" i="12"/>
  <c r="J227" i="12"/>
  <c r="I227" i="12"/>
  <c r="H227" i="12"/>
  <c r="G227" i="12"/>
  <c r="F227" i="12"/>
  <c r="AE226" i="12"/>
  <c r="AC226" i="12"/>
  <c r="AB226" i="12"/>
  <c r="AA226" i="12"/>
  <c r="Z226" i="12"/>
  <c r="Y226" i="12"/>
  <c r="X226" i="12"/>
  <c r="W226" i="12"/>
  <c r="V226" i="12"/>
  <c r="U226" i="12"/>
  <c r="T226" i="12"/>
  <c r="S226" i="12"/>
  <c r="R226" i="12"/>
  <c r="Q226" i="12"/>
  <c r="P226" i="12"/>
  <c r="O226" i="12"/>
  <c r="N226" i="12"/>
  <c r="M226" i="12"/>
  <c r="L226" i="12"/>
  <c r="K226" i="12"/>
  <c r="J226" i="12"/>
  <c r="I226" i="12"/>
  <c r="H226" i="12"/>
  <c r="G226" i="12"/>
  <c r="F226" i="12"/>
  <c r="AE225" i="12"/>
  <c r="AC225" i="12"/>
  <c r="AB225" i="12"/>
  <c r="AA225" i="12"/>
  <c r="Z225" i="12"/>
  <c r="Y225" i="12"/>
  <c r="X225" i="12"/>
  <c r="W225" i="12"/>
  <c r="V225" i="12"/>
  <c r="U225" i="12"/>
  <c r="T225" i="12"/>
  <c r="S225" i="12"/>
  <c r="R225" i="12"/>
  <c r="Q225" i="12"/>
  <c r="P225" i="12"/>
  <c r="O225" i="12"/>
  <c r="N225" i="12"/>
  <c r="M225" i="12"/>
  <c r="L225" i="12"/>
  <c r="K225" i="12"/>
  <c r="J225" i="12"/>
  <c r="I225" i="12"/>
  <c r="H225" i="12"/>
  <c r="G225" i="12"/>
  <c r="F225" i="12"/>
  <c r="AE224" i="12"/>
  <c r="AC224" i="12"/>
  <c r="AB224" i="12"/>
  <c r="AA224" i="12"/>
  <c r="Z224" i="12"/>
  <c r="Y224" i="12"/>
  <c r="X224" i="12"/>
  <c r="W224" i="12"/>
  <c r="V224" i="12"/>
  <c r="U224" i="12"/>
  <c r="T224" i="12"/>
  <c r="S224" i="12"/>
  <c r="R224" i="12"/>
  <c r="Q224" i="12"/>
  <c r="P224" i="12"/>
  <c r="O224" i="12"/>
  <c r="N224" i="12"/>
  <c r="M224" i="12"/>
  <c r="L224" i="12"/>
  <c r="K224" i="12"/>
  <c r="J224" i="12"/>
  <c r="I224" i="12"/>
  <c r="H224" i="12"/>
  <c r="G224" i="12"/>
  <c r="F224" i="12"/>
  <c r="AE223" i="12"/>
  <c r="AC223" i="12"/>
  <c r="AB223" i="12"/>
  <c r="AA223" i="12"/>
  <c r="Z223" i="12"/>
  <c r="Y223" i="12"/>
  <c r="X223" i="12"/>
  <c r="W223" i="12"/>
  <c r="V223" i="12"/>
  <c r="U223" i="12"/>
  <c r="T223" i="12"/>
  <c r="S223" i="12"/>
  <c r="R223" i="12"/>
  <c r="Q223" i="12"/>
  <c r="P223" i="12"/>
  <c r="O223" i="12"/>
  <c r="N223" i="12"/>
  <c r="M223" i="12"/>
  <c r="L223" i="12"/>
  <c r="K223" i="12"/>
  <c r="J223" i="12"/>
  <c r="I223" i="12"/>
  <c r="H223" i="12"/>
  <c r="G223" i="12"/>
  <c r="F223" i="12"/>
  <c r="AE222" i="12"/>
  <c r="AC222" i="12"/>
  <c r="AB222" i="12"/>
  <c r="AA222" i="12"/>
  <c r="Z222" i="12"/>
  <c r="Y222" i="12"/>
  <c r="X222" i="12"/>
  <c r="W222" i="12"/>
  <c r="V222" i="12"/>
  <c r="U222" i="12"/>
  <c r="T222" i="12"/>
  <c r="S222" i="12"/>
  <c r="R222" i="12"/>
  <c r="Q222" i="12"/>
  <c r="P222" i="12"/>
  <c r="O222" i="12"/>
  <c r="N222" i="12"/>
  <c r="M222" i="12"/>
  <c r="L222" i="12"/>
  <c r="K222" i="12"/>
  <c r="J222" i="12"/>
  <c r="I222" i="12"/>
  <c r="H222" i="12"/>
  <c r="G222" i="12"/>
  <c r="F222" i="12"/>
  <c r="AE221" i="12"/>
  <c r="AC221" i="12"/>
  <c r="AB221" i="12"/>
  <c r="AA221" i="12"/>
  <c r="Z221" i="12"/>
  <c r="Y221" i="12"/>
  <c r="X221" i="12"/>
  <c r="W221" i="12"/>
  <c r="V221" i="12"/>
  <c r="U221" i="12"/>
  <c r="T221" i="12"/>
  <c r="S221" i="12"/>
  <c r="R221" i="12"/>
  <c r="Q221" i="12"/>
  <c r="P221" i="12"/>
  <c r="O221" i="12"/>
  <c r="N221" i="12"/>
  <c r="M221" i="12"/>
  <c r="L221" i="12"/>
  <c r="K221" i="12"/>
  <c r="J221" i="12"/>
  <c r="I221" i="12"/>
  <c r="H221" i="12"/>
  <c r="G221" i="12"/>
  <c r="F221" i="12"/>
  <c r="AE220" i="12"/>
  <c r="AC220" i="12"/>
  <c r="AB220" i="12"/>
  <c r="AA220" i="12"/>
  <c r="Z220" i="12"/>
  <c r="Y220" i="12"/>
  <c r="X220" i="12"/>
  <c r="W220" i="12"/>
  <c r="V220" i="12"/>
  <c r="U220" i="12"/>
  <c r="T220" i="12"/>
  <c r="S220" i="12"/>
  <c r="R220" i="12"/>
  <c r="Q220" i="12"/>
  <c r="P220" i="12"/>
  <c r="O220" i="12"/>
  <c r="N220" i="12"/>
  <c r="M220" i="12"/>
  <c r="L220" i="12"/>
  <c r="K220" i="12"/>
  <c r="J220" i="12"/>
  <c r="I220" i="12"/>
  <c r="H220" i="12"/>
  <c r="G220" i="12"/>
  <c r="F220" i="12"/>
  <c r="AE219" i="12"/>
  <c r="AC219" i="12"/>
  <c r="AB219" i="12"/>
  <c r="AA219" i="12"/>
  <c r="Z219" i="12"/>
  <c r="Y219" i="12"/>
  <c r="X219" i="12"/>
  <c r="W219" i="12"/>
  <c r="V219" i="12"/>
  <c r="U219" i="12"/>
  <c r="T219" i="12"/>
  <c r="S219" i="12"/>
  <c r="R219" i="12"/>
  <c r="Q219" i="12"/>
  <c r="P219" i="12"/>
  <c r="O219" i="12"/>
  <c r="N219" i="12"/>
  <c r="M219" i="12"/>
  <c r="L219" i="12"/>
  <c r="K219" i="12"/>
  <c r="J219" i="12"/>
  <c r="I219" i="12"/>
  <c r="H219" i="12"/>
  <c r="G219" i="12"/>
  <c r="F219" i="12"/>
  <c r="AE218" i="12"/>
  <c r="AC218" i="12"/>
  <c r="AB218" i="12"/>
  <c r="AA218" i="12"/>
  <c r="Z218" i="12"/>
  <c r="Y218" i="12"/>
  <c r="X218" i="12"/>
  <c r="W218" i="12"/>
  <c r="V218" i="12"/>
  <c r="U218" i="12"/>
  <c r="T218" i="12"/>
  <c r="S218" i="12"/>
  <c r="R218" i="12"/>
  <c r="Q218" i="12"/>
  <c r="P218" i="12"/>
  <c r="O218" i="12"/>
  <c r="N218" i="12"/>
  <c r="M218" i="12"/>
  <c r="L218" i="12"/>
  <c r="K218" i="12"/>
  <c r="J218" i="12"/>
  <c r="I218" i="12"/>
  <c r="H218" i="12"/>
  <c r="G218" i="12"/>
  <c r="F218" i="12"/>
  <c r="AE217" i="12"/>
  <c r="AC217" i="12"/>
  <c r="AB217" i="12"/>
  <c r="AA217" i="12"/>
  <c r="Z217" i="12"/>
  <c r="Y217" i="12"/>
  <c r="X217" i="12"/>
  <c r="W217" i="12"/>
  <c r="V217" i="12"/>
  <c r="U217" i="12"/>
  <c r="T217" i="12"/>
  <c r="S217" i="12"/>
  <c r="R217" i="12"/>
  <c r="Q217" i="12"/>
  <c r="P217" i="12"/>
  <c r="O217" i="12"/>
  <c r="N217" i="12"/>
  <c r="M217" i="12"/>
  <c r="L217" i="12"/>
  <c r="K217" i="12"/>
  <c r="J217" i="12"/>
  <c r="I217" i="12"/>
  <c r="H217" i="12"/>
  <c r="G217" i="12"/>
  <c r="F217" i="12"/>
  <c r="AE216" i="12"/>
  <c r="AC216" i="12"/>
  <c r="AB216" i="12"/>
  <c r="AA216" i="12"/>
  <c r="Z216" i="12"/>
  <c r="Y216" i="12"/>
  <c r="X216" i="12"/>
  <c r="W216" i="12"/>
  <c r="V216" i="12"/>
  <c r="U216" i="12"/>
  <c r="T216" i="12"/>
  <c r="S216" i="12"/>
  <c r="R216" i="12"/>
  <c r="Q216" i="12"/>
  <c r="P216" i="12"/>
  <c r="O216" i="12"/>
  <c r="N216" i="12"/>
  <c r="M216" i="12"/>
  <c r="L216" i="12"/>
  <c r="K216" i="12"/>
  <c r="J216" i="12"/>
  <c r="I216" i="12"/>
  <c r="H216" i="12"/>
  <c r="G216" i="12"/>
  <c r="F216" i="12"/>
  <c r="AE215" i="12"/>
  <c r="AC215" i="12"/>
  <c r="AB215" i="12"/>
  <c r="AA215" i="12"/>
  <c r="Z215" i="12"/>
  <c r="Y215" i="12"/>
  <c r="X215" i="12"/>
  <c r="W215" i="12"/>
  <c r="V215" i="12"/>
  <c r="U215" i="12"/>
  <c r="T215" i="12"/>
  <c r="S215" i="12"/>
  <c r="R215" i="12"/>
  <c r="Q215" i="12"/>
  <c r="P215" i="12"/>
  <c r="O215" i="12"/>
  <c r="N215" i="12"/>
  <c r="M215" i="12"/>
  <c r="L215" i="12"/>
  <c r="K215" i="12"/>
  <c r="J215" i="12"/>
  <c r="I215" i="12"/>
  <c r="H215" i="12"/>
  <c r="G215" i="12"/>
  <c r="F215" i="12"/>
  <c r="AE214" i="12"/>
  <c r="AC214" i="12"/>
  <c r="AB214" i="12"/>
  <c r="AA214" i="12"/>
  <c r="Z214" i="12"/>
  <c r="Y214" i="12"/>
  <c r="X214" i="12"/>
  <c r="W214" i="12"/>
  <c r="V214" i="12"/>
  <c r="U214" i="12"/>
  <c r="T214" i="12"/>
  <c r="S214" i="12"/>
  <c r="R214" i="12"/>
  <c r="Q214" i="12"/>
  <c r="P214" i="12"/>
  <c r="O214" i="12"/>
  <c r="N214" i="12"/>
  <c r="M214" i="12"/>
  <c r="L214" i="12"/>
  <c r="K214" i="12"/>
  <c r="J214" i="12"/>
  <c r="I214" i="12"/>
  <c r="H214" i="12"/>
  <c r="G214" i="12"/>
  <c r="F214" i="12"/>
  <c r="AE213" i="12"/>
  <c r="AC213" i="12"/>
  <c r="AB213" i="12"/>
  <c r="AA213" i="12"/>
  <c r="Z213" i="12"/>
  <c r="Y213" i="12"/>
  <c r="X213" i="12"/>
  <c r="W213" i="12"/>
  <c r="V213" i="12"/>
  <c r="U213" i="12"/>
  <c r="T213" i="12"/>
  <c r="S213" i="12"/>
  <c r="R213" i="12"/>
  <c r="Q213" i="12"/>
  <c r="P213" i="12"/>
  <c r="O213" i="12"/>
  <c r="N213" i="12"/>
  <c r="M213" i="12"/>
  <c r="L213" i="12"/>
  <c r="K213" i="12"/>
  <c r="J213" i="12"/>
  <c r="I213" i="12"/>
  <c r="H213" i="12"/>
  <c r="G213" i="12"/>
  <c r="F213" i="12"/>
  <c r="AE212" i="12"/>
  <c r="AC212" i="12"/>
  <c r="AB212" i="12"/>
  <c r="AA212" i="12"/>
  <c r="Z212" i="12"/>
  <c r="Y212" i="12"/>
  <c r="X212" i="12"/>
  <c r="W212" i="12"/>
  <c r="V212" i="12"/>
  <c r="U212" i="12"/>
  <c r="T212" i="12"/>
  <c r="S212" i="12"/>
  <c r="R212" i="12"/>
  <c r="Q212" i="12"/>
  <c r="P212" i="12"/>
  <c r="O212" i="12"/>
  <c r="N212" i="12"/>
  <c r="M212" i="12"/>
  <c r="L212" i="12"/>
  <c r="K212" i="12"/>
  <c r="J212" i="12"/>
  <c r="I212" i="12"/>
  <c r="H212" i="12"/>
  <c r="G212" i="12"/>
  <c r="F212" i="12"/>
  <c r="AE211" i="12"/>
  <c r="AC211" i="12"/>
  <c r="AB211" i="12"/>
  <c r="AA211" i="12"/>
  <c r="Z211" i="12"/>
  <c r="Y211" i="12"/>
  <c r="X211" i="12"/>
  <c r="W211" i="12"/>
  <c r="V211" i="12"/>
  <c r="U211" i="12"/>
  <c r="T211" i="12"/>
  <c r="S211" i="12"/>
  <c r="R211" i="12"/>
  <c r="Q211" i="12"/>
  <c r="P211" i="12"/>
  <c r="O211" i="12"/>
  <c r="N211" i="12"/>
  <c r="M211" i="12"/>
  <c r="L211" i="12"/>
  <c r="K211" i="12"/>
  <c r="J211" i="12"/>
  <c r="I211" i="12"/>
  <c r="H211" i="12"/>
  <c r="G211" i="12"/>
  <c r="F211" i="12"/>
  <c r="AE210" i="12"/>
  <c r="AC210" i="12"/>
  <c r="AB210" i="12"/>
  <c r="AA210" i="12"/>
  <c r="Z210" i="12"/>
  <c r="Y210" i="12"/>
  <c r="X210" i="12"/>
  <c r="W210" i="12"/>
  <c r="V210" i="12"/>
  <c r="U210" i="12"/>
  <c r="T210" i="12"/>
  <c r="S210" i="12"/>
  <c r="R210" i="12"/>
  <c r="Q210" i="12"/>
  <c r="P210" i="12"/>
  <c r="O210" i="12"/>
  <c r="N210" i="12"/>
  <c r="M210" i="12"/>
  <c r="L210" i="12"/>
  <c r="K210" i="12"/>
  <c r="J210" i="12"/>
  <c r="I210" i="12"/>
  <c r="H210" i="12"/>
  <c r="G210" i="12"/>
  <c r="F210" i="12"/>
  <c r="AE209" i="12"/>
  <c r="AC209" i="12"/>
  <c r="AB209" i="12"/>
  <c r="AA209" i="12"/>
  <c r="Z209" i="12"/>
  <c r="Y209" i="12"/>
  <c r="X209" i="12"/>
  <c r="W209" i="12"/>
  <c r="V209" i="12"/>
  <c r="U209" i="12"/>
  <c r="T209" i="12"/>
  <c r="S209" i="12"/>
  <c r="R209" i="12"/>
  <c r="Q209" i="12"/>
  <c r="P209" i="12"/>
  <c r="O209" i="12"/>
  <c r="N209" i="12"/>
  <c r="M209" i="12"/>
  <c r="L209" i="12"/>
  <c r="K209" i="12"/>
  <c r="J209" i="12"/>
  <c r="I209" i="12"/>
  <c r="H209" i="12"/>
  <c r="G209" i="12"/>
  <c r="F209" i="12"/>
  <c r="AE208" i="12"/>
  <c r="AC208" i="12"/>
  <c r="AB208" i="12"/>
  <c r="AA208" i="12"/>
  <c r="Z208" i="12"/>
  <c r="Y208" i="12"/>
  <c r="X208" i="12"/>
  <c r="W208" i="12"/>
  <c r="V208" i="12"/>
  <c r="U208" i="12"/>
  <c r="T208" i="12"/>
  <c r="S208" i="12"/>
  <c r="R208" i="12"/>
  <c r="Q208" i="12"/>
  <c r="P208" i="12"/>
  <c r="O208" i="12"/>
  <c r="N208" i="12"/>
  <c r="M208" i="12"/>
  <c r="L208" i="12"/>
  <c r="K208" i="12"/>
  <c r="J208" i="12"/>
  <c r="I208" i="12"/>
  <c r="H208" i="12"/>
  <c r="G208" i="12"/>
  <c r="F208" i="12"/>
  <c r="AE207" i="12"/>
  <c r="AC207" i="12"/>
  <c r="AB207" i="12"/>
  <c r="AA207" i="12"/>
  <c r="Z207" i="12"/>
  <c r="Y207" i="12"/>
  <c r="X207" i="12"/>
  <c r="W207" i="12"/>
  <c r="V207" i="12"/>
  <c r="U207" i="12"/>
  <c r="T207" i="12"/>
  <c r="S207" i="12"/>
  <c r="R207" i="12"/>
  <c r="Q207" i="12"/>
  <c r="P207" i="12"/>
  <c r="O207" i="12"/>
  <c r="N207" i="12"/>
  <c r="M207" i="12"/>
  <c r="L207" i="12"/>
  <c r="K207" i="12"/>
  <c r="J207" i="12"/>
  <c r="I207" i="12"/>
  <c r="H207" i="12"/>
  <c r="G207" i="12"/>
  <c r="F207" i="12"/>
  <c r="AE206" i="12"/>
  <c r="AC206" i="12"/>
  <c r="AB206" i="12"/>
  <c r="AA206" i="12"/>
  <c r="Z206" i="12"/>
  <c r="Y206" i="12"/>
  <c r="X206" i="12"/>
  <c r="W206" i="12"/>
  <c r="V206" i="12"/>
  <c r="U206" i="12"/>
  <c r="T206" i="12"/>
  <c r="S206" i="12"/>
  <c r="R206" i="12"/>
  <c r="Q206" i="12"/>
  <c r="P206" i="12"/>
  <c r="O206" i="12"/>
  <c r="N206" i="12"/>
  <c r="M206" i="12"/>
  <c r="L206" i="12"/>
  <c r="K206" i="12"/>
  <c r="J206" i="12"/>
  <c r="I206" i="12"/>
  <c r="H206" i="12"/>
  <c r="G206" i="12"/>
  <c r="F206" i="12"/>
  <c r="AE205" i="12"/>
  <c r="AC205" i="12"/>
  <c r="AB205" i="12"/>
  <c r="AA205" i="12"/>
  <c r="Z205" i="12"/>
  <c r="Y205" i="12"/>
  <c r="X205" i="12"/>
  <c r="W205" i="12"/>
  <c r="V205" i="12"/>
  <c r="U205" i="12"/>
  <c r="T205" i="12"/>
  <c r="S205" i="12"/>
  <c r="R205" i="12"/>
  <c r="Q205" i="12"/>
  <c r="P205" i="12"/>
  <c r="O205" i="12"/>
  <c r="N205" i="12"/>
  <c r="M205" i="12"/>
  <c r="L205" i="12"/>
  <c r="K205" i="12"/>
  <c r="J205" i="12"/>
  <c r="I205" i="12"/>
  <c r="H205" i="12"/>
  <c r="G205" i="12"/>
  <c r="F205" i="12"/>
  <c r="AE204" i="12"/>
  <c r="AC204" i="12"/>
  <c r="AB204" i="12"/>
  <c r="AA204" i="12"/>
  <c r="Z204" i="12"/>
  <c r="Y204" i="12"/>
  <c r="X204" i="12"/>
  <c r="W204" i="12"/>
  <c r="V204" i="12"/>
  <c r="U204" i="12"/>
  <c r="T204" i="12"/>
  <c r="S204" i="12"/>
  <c r="R204" i="12"/>
  <c r="Q204" i="12"/>
  <c r="P204" i="12"/>
  <c r="O204" i="12"/>
  <c r="N204" i="12"/>
  <c r="M204" i="12"/>
  <c r="L204" i="12"/>
  <c r="K204" i="12"/>
  <c r="J204" i="12"/>
  <c r="I204" i="12"/>
  <c r="H204" i="12"/>
  <c r="G204" i="12"/>
  <c r="F204" i="12"/>
  <c r="AE203" i="12"/>
  <c r="AC203" i="12"/>
  <c r="AB203" i="12"/>
  <c r="AA203" i="12"/>
  <c r="Z203" i="12"/>
  <c r="Y203" i="12"/>
  <c r="X203" i="12"/>
  <c r="W203" i="12"/>
  <c r="V203" i="12"/>
  <c r="U203" i="12"/>
  <c r="T203" i="12"/>
  <c r="S203" i="12"/>
  <c r="R203" i="12"/>
  <c r="Q203" i="12"/>
  <c r="P203" i="12"/>
  <c r="O203" i="12"/>
  <c r="N203" i="12"/>
  <c r="M203" i="12"/>
  <c r="L203" i="12"/>
  <c r="K203" i="12"/>
  <c r="J203" i="12"/>
  <c r="I203" i="12"/>
  <c r="H203" i="12"/>
  <c r="G203" i="12"/>
  <c r="F203" i="12"/>
  <c r="AE202" i="12"/>
  <c r="AC202" i="12"/>
  <c r="AB202" i="12"/>
  <c r="AA202" i="12"/>
  <c r="Z202" i="12"/>
  <c r="Y202" i="12"/>
  <c r="X202" i="12"/>
  <c r="W202" i="12"/>
  <c r="V202" i="12"/>
  <c r="U202" i="12"/>
  <c r="T202" i="12"/>
  <c r="S202" i="12"/>
  <c r="R202" i="12"/>
  <c r="Q202" i="12"/>
  <c r="P202" i="12"/>
  <c r="O202" i="12"/>
  <c r="N202" i="12"/>
  <c r="M202" i="12"/>
  <c r="L202" i="12"/>
  <c r="K202" i="12"/>
  <c r="J202" i="12"/>
  <c r="I202" i="12"/>
  <c r="H202" i="12"/>
  <c r="G202" i="12"/>
  <c r="F202" i="12"/>
  <c r="AE201" i="12"/>
  <c r="AC201" i="12"/>
  <c r="AB201" i="12"/>
  <c r="AA201" i="12"/>
  <c r="Z201" i="12"/>
  <c r="Y201" i="12"/>
  <c r="X201" i="12"/>
  <c r="W201" i="12"/>
  <c r="V201" i="12"/>
  <c r="U201" i="12"/>
  <c r="T201" i="12"/>
  <c r="S201" i="12"/>
  <c r="R201" i="12"/>
  <c r="Q201" i="12"/>
  <c r="P201" i="12"/>
  <c r="O201" i="12"/>
  <c r="N201" i="12"/>
  <c r="M201" i="12"/>
  <c r="L201" i="12"/>
  <c r="K201" i="12"/>
  <c r="J201" i="12"/>
  <c r="I201" i="12"/>
  <c r="H201" i="12"/>
  <c r="G201" i="12"/>
  <c r="F201" i="12"/>
  <c r="AE200" i="12"/>
  <c r="AC200" i="12"/>
  <c r="AB200" i="12"/>
  <c r="AA200" i="12"/>
  <c r="Z200" i="12"/>
  <c r="Y200" i="12"/>
  <c r="X200" i="12"/>
  <c r="W200" i="12"/>
  <c r="V200" i="12"/>
  <c r="U200" i="12"/>
  <c r="T200" i="12"/>
  <c r="S200" i="12"/>
  <c r="R200" i="12"/>
  <c r="Q200" i="12"/>
  <c r="P200" i="12"/>
  <c r="O200" i="12"/>
  <c r="N200" i="12"/>
  <c r="M200" i="12"/>
  <c r="L200" i="12"/>
  <c r="K200" i="12"/>
  <c r="J200" i="12"/>
  <c r="I200" i="12"/>
  <c r="H200" i="12"/>
  <c r="G200" i="12"/>
  <c r="F200" i="12"/>
  <c r="AE199" i="12"/>
  <c r="AC199" i="12"/>
  <c r="AB199" i="12"/>
  <c r="AA199" i="12"/>
  <c r="Z199" i="12"/>
  <c r="Y199" i="12"/>
  <c r="X199" i="12"/>
  <c r="W199" i="12"/>
  <c r="V199" i="12"/>
  <c r="U199" i="12"/>
  <c r="T199" i="12"/>
  <c r="S199" i="12"/>
  <c r="R199" i="12"/>
  <c r="Q199" i="12"/>
  <c r="P199" i="12"/>
  <c r="O199" i="12"/>
  <c r="N199" i="12"/>
  <c r="M199" i="12"/>
  <c r="L199" i="12"/>
  <c r="K199" i="12"/>
  <c r="J199" i="12"/>
  <c r="I199" i="12"/>
  <c r="H199" i="12"/>
  <c r="G199" i="12"/>
  <c r="F199" i="12"/>
  <c r="AE198" i="12"/>
  <c r="AC198" i="12"/>
  <c r="AB198" i="12"/>
  <c r="AA198" i="12"/>
  <c r="Z198" i="12"/>
  <c r="Y198" i="12"/>
  <c r="X198" i="12"/>
  <c r="W198" i="12"/>
  <c r="V198" i="12"/>
  <c r="U198" i="12"/>
  <c r="T198" i="12"/>
  <c r="S198" i="12"/>
  <c r="R198" i="12"/>
  <c r="Q198" i="12"/>
  <c r="P198" i="12"/>
  <c r="O198" i="12"/>
  <c r="N198" i="12"/>
  <c r="M198" i="12"/>
  <c r="L198" i="12"/>
  <c r="K198" i="12"/>
  <c r="J198" i="12"/>
  <c r="I198" i="12"/>
  <c r="H198" i="12"/>
  <c r="G198" i="12"/>
  <c r="F198" i="12"/>
  <c r="AE197" i="12"/>
  <c r="AC197" i="12"/>
  <c r="AB197" i="12"/>
  <c r="AA197" i="12"/>
  <c r="Z197" i="12"/>
  <c r="Y197" i="12"/>
  <c r="X197" i="12"/>
  <c r="W197" i="12"/>
  <c r="V197" i="12"/>
  <c r="U197" i="12"/>
  <c r="T197" i="12"/>
  <c r="S197" i="12"/>
  <c r="R197" i="12"/>
  <c r="Q197" i="12"/>
  <c r="P197" i="12"/>
  <c r="O197" i="12"/>
  <c r="N197" i="12"/>
  <c r="M197" i="12"/>
  <c r="L197" i="12"/>
  <c r="K197" i="12"/>
  <c r="J197" i="12"/>
  <c r="I197" i="12"/>
  <c r="H197" i="12"/>
  <c r="G197" i="12"/>
  <c r="F197" i="12"/>
  <c r="AE196" i="12"/>
  <c r="AC196" i="12"/>
  <c r="AB196" i="12"/>
  <c r="AA196" i="12"/>
  <c r="Z196" i="12"/>
  <c r="Y196" i="12"/>
  <c r="X196" i="12"/>
  <c r="W196" i="12"/>
  <c r="V196" i="12"/>
  <c r="U196" i="12"/>
  <c r="T196" i="12"/>
  <c r="S196" i="12"/>
  <c r="R196" i="12"/>
  <c r="Q196" i="12"/>
  <c r="P196" i="12"/>
  <c r="O196" i="12"/>
  <c r="N196" i="12"/>
  <c r="M196" i="12"/>
  <c r="L196" i="12"/>
  <c r="K196" i="12"/>
  <c r="J196" i="12"/>
  <c r="I196" i="12"/>
  <c r="H196" i="12"/>
  <c r="G196" i="12"/>
  <c r="F196" i="12"/>
  <c r="AE195" i="12"/>
  <c r="AC195" i="12"/>
  <c r="AB195" i="12"/>
  <c r="AA195" i="12"/>
  <c r="Z195" i="12"/>
  <c r="Y195" i="12"/>
  <c r="X195" i="12"/>
  <c r="W195" i="12"/>
  <c r="V195" i="12"/>
  <c r="U195" i="12"/>
  <c r="T195" i="12"/>
  <c r="S195" i="12"/>
  <c r="R195" i="12"/>
  <c r="Q195" i="12"/>
  <c r="P195" i="12"/>
  <c r="O195" i="12"/>
  <c r="N195" i="12"/>
  <c r="M195" i="12"/>
  <c r="L195" i="12"/>
  <c r="K195" i="12"/>
  <c r="J195" i="12"/>
  <c r="I195" i="12"/>
  <c r="H195" i="12"/>
  <c r="G195" i="12"/>
  <c r="F195" i="12"/>
  <c r="AE194" i="12"/>
  <c r="AC194" i="12"/>
  <c r="AB194" i="12"/>
  <c r="AA194" i="12"/>
  <c r="Z194" i="12"/>
  <c r="Y194" i="12"/>
  <c r="X194" i="12"/>
  <c r="W194" i="12"/>
  <c r="V194" i="12"/>
  <c r="U194" i="12"/>
  <c r="T194" i="12"/>
  <c r="S194" i="12"/>
  <c r="R194" i="12"/>
  <c r="Q194" i="12"/>
  <c r="P194" i="12"/>
  <c r="O194" i="12"/>
  <c r="N194" i="12"/>
  <c r="M194" i="12"/>
  <c r="L194" i="12"/>
  <c r="K194" i="12"/>
  <c r="J194" i="12"/>
  <c r="I194" i="12"/>
  <c r="H194" i="12"/>
  <c r="G194" i="12"/>
  <c r="F194" i="12"/>
  <c r="AE193" i="12"/>
  <c r="AC193" i="12"/>
  <c r="AB193" i="12"/>
  <c r="AA193" i="12"/>
  <c r="Z193" i="12"/>
  <c r="Y193" i="12"/>
  <c r="X193" i="12"/>
  <c r="W193" i="12"/>
  <c r="V193" i="12"/>
  <c r="U193" i="12"/>
  <c r="T193" i="12"/>
  <c r="S193" i="12"/>
  <c r="R193" i="12"/>
  <c r="Q193" i="12"/>
  <c r="P193" i="12"/>
  <c r="O193" i="12"/>
  <c r="N193" i="12"/>
  <c r="M193" i="12"/>
  <c r="L193" i="12"/>
  <c r="K193" i="12"/>
  <c r="J193" i="12"/>
  <c r="I193" i="12"/>
  <c r="H193" i="12"/>
  <c r="G193" i="12"/>
  <c r="F193" i="12"/>
  <c r="AE192" i="12"/>
  <c r="AC192" i="12"/>
  <c r="AB192" i="12"/>
  <c r="AA192" i="12"/>
  <c r="Z192" i="12"/>
  <c r="Y192" i="12"/>
  <c r="X192" i="12"/>
  <c r="W192" i="12"/>
  <c r="V192" i="12"/>
  <c r="U192" i="12"/>
  <c r="T192" i="12"/>
  <c r="S192" i="12"/>
  <c r="R192" i="12"/>
  <c r="Q192" i="12"/>
  <c r="P192" i="12"/>
  <c r="O192" i="12"/>
  <c r="N192" i="12"/>
  <c r="M192" i="12"/>
  <c r="L192" i="12"/>
  <c r="K192" i="12"/>
  <c r="J192" i="12"/>
  <c r="I192" i="12"/>
  <c r="H192" i="12"/>
  <c r="G192" i="12"/>
  <c r="F192" i="12"/>
  <c r="AE191" i="12"/>
  <c r="AC191" i="12"/>
  <c r="AB191" i="12"/>
  <c r="AA191" i="12"/>
  <c r="Z191" i="12"/>
  <c r="Y191" i="12"/>
  <c r="X191" i="12"/>
  <c r="W191" i="12"/>
  <c r="V191" i="12"/>
  <c r="U191" i="12"/>
  <c r="T191" i="12"/>
  <c r="S191" i="12"/>
  <c r="R191" i="12"/>
  <c r="Q191" i="12"/>
  <c r="P191" i="12"/>
  <c r="O191" i="12"/>
  <c r="N191" i="12"/>
  <c r="M191" i="12"/>
  <c r="L191" i="12"/>
  <c r="K191" i="12"/>
  <c r="J191" i="12"/>
  <c r="I191" i="12"/>
  <c r="H191" i="12"/>
  <c r="G191" i="12"/>
  <c r="F191" i="12"/>
  <c r="AE190" i="12"/>
  <c r="AC190" i="12"/>
  <c r="AB190" i="12"/>
  <c r="AA190" i="12"/>
  <c r="Z190" i="12"/>
  <c r="Y190" i="12"/>
  <c r="X190" i="12"/>
  <c r="W190" i="12"/>
  <c r="V190" i="12"/>
  <c r="U190" i="12"/>
  <c r="T190" i="12"/>
  <c r="S190" i="12"/>
  <c r="R190" i="12"/>
  <c r="Q190" i="12"/>
  <c r="P190" i="12"/>
  <c r="O190" i="12"/>
  <c r="N190" i="12"/>
  <c r="M190" i="12"/>
  <c r="L190" i="12"/>
  <c r="K190" i="12"/>
  <c r="J190" i="12"/>
  <c r="I190" i="12"/>
  <c r="H190" i="12"/>
  <c r="G190" i="12"/>
  <c r="F190" i="12"/>
  <c r="AE189" i="12"/>
  <c r="AC189" i="12"/>
  <c r="AB189" i="12"/>
  <c r="AA189" i="12"/>
  <c r="Z189" i="12"/>
  <c r="Y189" i="12"/>
  <c r="X189" i="12"/>
  <c r="W189" i="12"/>
  <c r="V189" i="12"/>
  <c r="U189" i="12"/>
  <c r="T189" i="12"/>
  <c r="S189" i="12"/>
  <c r="R189" i="12"/>
  <c r="Q189" i="12"/>
  <c r="P189" i="12"/>
  <c r="O189" i="12"/>
  <c r="N189" i="12"/>
  <c r="M189" i="12"/>
  <c r="L189" i="12"/>
  <c r="K189" i="12"/>
  <c r="J189" i="12"/>
  <c r="I189" i="12"/>
  <c r="H189" i="12"/>
  <c r="G189" i="12"/>
  <c r="F189" i="12"/>
  <c r="AE188" i="12"/>
  <c r="AC188" i="12"/>
  <c r="AB188" i="12"/>
  <c r="AA188" i="12"/>
  <c r="Z188" i="12"/>
  <c r="Y188" i="12"/>
  <c r="X188" i="12"/>
  <c r="W188" i="12"/>
  <c r="V188" i="12"/>
  <c r="U188" i="12"/>
  <c r="T188" i="12"/>
  <c r="S188" i="12"/>
  <c r="R188" i="12"/>
  <c r="Q188" i="12"/>
  <c r="P188" i="12"/>
  <c r="O188" i="12"/>
  <c r="N188" i="12"/>
  <c r="M188" i="12"/>
  <c r="L188" i="12"/>
  <c r="K188" i="12"/>
  <c r="J188" i="12"/>
  <c r="I188" i="12"/>
  <c r="H188" i="12"/>
  <c r="G188" i="12"/>
  <c r="F188" i="12"/>
  <c r="AE187" i="12"/>
  <c r="AC187" i="12"/>
  <c r="AB187" i="12"/>
  <c r="AA187" i="12"/>
  <c r="Z187" i="12"/>
  <c r="Y187" i="12"/>
  <c r="X187" i="12"/>
  <c r="W187" i="12"/>
  <c r="V187" i="12"/>
  <c r="U187" i="12"/>
  <c r="T187" i="12"/>
  <c r="S187" i="12"/>
  <c r="R187" i="12"/>
  <c r="Q187" i="12"/>
  <c r="P187" i="12"/>
  <c r="O187" i="12"/>
  <c r="N187" i="12"/>
  <c r="M187" i="12"/>
  <c r="L187" i="12"/>
  <c r="K187" i="12"/>
  <c r="J187" i="12"/>
  <c r="I187" i="12"/>
  <c r="H187" i="12"/>
  <c r="G187" i="12"/>
  <c r="F187" i="12"/>
  <c r="AE186" i="12"/>
  <c r="AC186" i="12"/>
  <c r="AB186" i="12"/>
  <c r="AA186" i="12"/>
  <c r="Z186" i="12"/>
  <c r="Y186" i="12"/>
  <c r="X186" i="12"/>
  <c r="W186" i="12"/>
  <c r="V186" i="12"/>
  <c r="U186" i="12"/>
  <c r="T186" i="12"/>
  <c r="S186" i="12"/>
  <c r="R186" i="12"/>
  <c r="Q186" i="12"/>
  <c r="P186" i="12"/>
  <c r="O186" i="12"/>
  <c r="N186" i="12"/>
  <c r="M186" i="12"/>
  <c r="L186" i="12"/>
  <c r="K186" i="12"/>
  <c r="J186" i="12"/>
  <c r="I186" i="12"/>
  <c r="H186" i="12"/>
  <c r="G186" i="12"/>
  <c r="F186" i="12"/>
  <c r="AE185" i="12"/>
  <c r="AC185" i="12"/>
  <c r="AB185" i="12"/>
  <c r="AA185" i="12"/>
  <c r="Z185" i="12"/>
  <c r="Y185" i="12"/>
  <c r="X185" i="12"/>
  <c r="W185" i="12"/>
  <c r="V185" i="12"/>
  <c r="U185" i="12"/>
  <c r="T185" i="12"/>
  <c r="S185" i="12"/>
  <c r="R185" i="12"/>
  <c r="Q185" i="12"/>
  <c r="P185" i="12"/>
  <c r="O185" i="12"/>
  <c r="N185" i="12"/>
  <c r="M185" i="12"/>
  <c r="L185" i="12"/>
  <c r="K185" i="12"/>
  <c r="J185" i="12"/>
  <c r="I185" i="12"/>
  <c r="H185" i="12"/>
  <c r="G185" i="12"/>
  <c r="F185" i="12"/>
  <c r="AE184" i="12"/>
  <c r="AC184" i="12"/>
  <c r="AB184" i="12"/>
  <c r="AA184" i="12"/>
  <c r="Z184" i="12"/>
  <c r="Y184" i="12"/>
  <c r="X184" i="12"/>
  <c r="W184" i="12"/>
  <c r="V184" i="12"/>
  <c r="U184" i="12"/>
  <c r="T184" i="12"/>
  <c r="S184" i="12"/>
  <c r="R184" i="12"/>
  <c r="Q184" i="12"/>
  <c r="P184" i="12"/>
  <c r="O184" i="12"/>
  <c r="N184" i="12"/>
  <c r="M184" i="12"/>
  <c r="L184" i="12"/>
  <c r="K184" i="12"/>
  <c r="J184" i="12"/>
  <c r="I184" i="12"/>
  <c r="H184" i="12"/>
  <c r="G184" i="12"/>
  <c r="F184" i="12"/>
  <c r="AE183" i="12"/>
  <c r="AC183" i="12"/>
  <c r="AB183" i="12"/>
  <c r="AA183" i="12"/>
  <c r="Z183" i="12"/>
  <c r="Y183" i="12"/>
  <c r="X183" i="12"/>
  <c r="W183" i="12"/>
  <c r="V183" i="12"/>
  <c r="U183" i="12"/>
  <c r="T183" i="12"/>
  <c r="S183" i="12"/>
  <c r="R183" i="12"/>
  <c r="Q183" i="12"/>
  <c r="P183" i="12"/>
  <c r="O183" i="12"/>
  <c r="N183" i="12"/>
  <c r="M183" i="12"/>
  <c r="L183" i="12"/>
  <c r="K183" i="12"/>
  <c r="J183" i="12"/>
  <c r="I183" i="12"/>
  <c r="H183" i="12"/>
  <c r="G183" i="12"/>
  <c r="F183" i="12"/>
  <c r="AE182" i="12"/>
  <c r="AC182" i="12"/>
  <c r="AB182" i="12"/>
  <c r="AA182" i="12"/>
  <c r="Z182" i="12"/>
  <c r="Y182" i="12"/>
  <c r="X182" i="12"/>
  <c r="W182" i="12"/>
  <c r="V182" i="12"/>
  <c r="U182" i="12"/>
  <c r="T182" i="12"/>
  <c r="S182" i="12"/>
  <c r="R182" i="12"/>
  <c r="Q182" i="12"/>
  <c r="P182" i="12"/>
  <c r="O182" i="12"/>
  <c r="N182" i="12"/>
  <c r="M182" i="12"/>
  <c r="L182" i="12"/>
  <c r="K182" i="12"/>
  <c r="J182" i="12"/>
  <c r="I182" i="12"/>
  <c r="H182" i="12"/>
  <c r="G182" i="12"/>
  <c r="F182" i="12"/>
  <c r="AE181" i="12"/>
  <c r="AC181" i="12"/>
  <c r="AB181" i="12"/>
  <c r="AA181" i="12"/>
  <c r="Z181" i="12"/>
  <c r="Y181" i="12"/>
  <c r="X181" i="12"/>
  <c r="W181" i="12"/>
  <c r="V181" i="12"/>
  <c r="U181" i="12"/>
  <c r="T181" i="12"/>
  <c r="S181" i="12"/>
  <c r="R181" i="12"/>
  <c r="Q181" i="12"/>
  <c r="P181" i="12"/>
  <c r="O181" i="12"/>
  <c r="N181" i="12"/>
  <c r="M181" i="12"/>
  <c r="L181" i="12"/>
  <c r="K181" i="12"/>
  <c r="J181" i="12"/>
  <c r="I181" i="12"/>
  <c r="H181" i="12"/>
  <c r="G181" i="12"/>
  <c r="F181" i="12"/>
  <c r="AE180" i="12"/>
  <c r="AC180" i="12"/>
  <c r="AB180" i="12"/>
  <c r="AA180" i="12"/>
  <c r="Z180" i="12"/>
  <c r="Y180" i="12"/>
  <c r="X180" i="12"/>
  <c r="W180" i="12"/>
  <c r="V180" i="12"/>
  <c r="U180" i="12"/>
  <c r="T180" i="12"/>
  <c r="S180" i="12"/>
  <c r="R180" i="12"/>
  <c r="Q180" i="12"/>
  <c r="P180" i="12"/>
  <c r="O180" i="12"/>
  <c r="N180" i="12"/>
  <c r="M180" i="12"/>
  <c r="L180" i="12"/>
  <c r="K180" i="12"/>
  <c r="J180" i="12"/>
  <c r="I180" i="12"/>
  <c r="H180" i="12"/>
  <c r="G180" i="12"/>
  <c r="F180" i="12"/>
  <c r="AE179" i="12"/>
  <c r="AC179" i="12"/>
  <c r="AB179" i="12"/>
  <c r="AA179" i="12"/>
  <c r="Z179" i="12"/>
  <c r="Y179" i="12"/>
  <c r="X179" i="12"/>
  <c r="W179" i="12"/>
  <c r="V179" i="12"/>
  <c r="U179" i="12"/>
  <c r="T179" i="12"/>
  <c r="S179" i="12"/>
  <c r="R179" i="12"/>
  <c r="Q179" i="12"/>
  <c r="P179" i="12"/>
  <c r="O179" i="12"/>
  <c r="N179" i="12"/>
  <c r="M179" i="12"/>
  <c r="L179" i="12"/>
  <c r="K179" i="12"/>
  <c r="J179" i="12"/>
  <c r="I179" i="12"/>
  <c r="H179" i="12"/>
  <c r="G179" i="12"/>
  <c r="F179" i="12"/>
  <c r="AE178" i="12"/>
  <c r="AC178" i="12"/>
  <c r="AB178" i="12"/>
  <c r="AA178" i="12"/>
  <c r="Z178" i="12"/>
  <c r="Y178" i="12"/>
  <c r="X178" i="12"/>
  <c r="W178" i="12"/>
  <c r="V178" i="12"/>
  <c r="U178" i="12"/>
  <c r="T178" i="12"/>
  <c r="S178" i="12"/>
  <c r="R178" i="12"/>
  <c r="Q178" i="12"/>
  <c r="P178" i="12"/>
  <c r="O178" i="12"/>
  <c r="N178" i="12"/>
  <c r="M178" i="12"/>
  <c r="L178" i="12"/>
  <c r="K178" i="12"/>
  <c r="J178" i="12"/>
  <c r="I178" i="12"/>
  <c r="H178" i="12"/>
  <c r="G178" i="12"/>
  <c r="F178" i="12"/>
  <c r="AE177" i="12"/>
  <c r="AC177" i="12"/>
  <c r="AB177" i="12"/>
  <c r="AA177" i="12"/>
  <c r="Z177" i="12"/>
  <c r="Y177" i="12"/>
  <c r="X177" i="12"/>
  <c r="W177" i="12"/>
  <c r="V177" i="12"/>
  <c r="U177" i="12"/>
  <c r="T177" i="12"/>
  <c r="S177" i="12"/>
  <c r="R177" i="12"/>
  <c r="Q177" i="12"/>
  <c r="P177" i="12"/>
  <c r="O177" i="12"/>
  <c r="N177" i="12"/>
  <c r="M177" i="12"/>
  <c r="L177" i="12"/>
  <c r="K177" i="12"/>
  <c r="J177" i="12"/>
  <c r="I177" i="12"/>
  <c r="H177" i="12"/>
  <c r="G177" i="12"/>
  <c r="F177" i="12"/>
  <c r="AE176" i="12"/>
  <c r="AC176" i="12"/>
  <c r="AB176" i="12"/>
  <c r="AA176" i="12"/>
  <c r="Z176" i="12"/>
  <c r="Y176" i="12"/>
  <c r="X176" i="12"/>
  <c r="W176" i="12"/>
  <c r="V176" i="12"/>
  <c r="U176" i="12"/>
  <c r="T176" i="12"/>
  <c r="S176" i="12"/>
  <c r="R176" i="12"/>
  <c r="Q176" i="12"/>
  <c r="P176" i="12"/>
  <c r="O176" i="12"/>
  <c r="N176" i="12"/>
  <c r="M176" i="12"/>
  <c r="L176" i="12"/>
  <c r="K176" i="12"/>
  <c r="J176" i="12"/>
  <c r="I176" i="12"/>
  <c r="H176" i="12"/>
  <c r="G176" i="12"/>
  <c r="F176" i="12"/>
  <c r="AE175" i="12"/>
  <c r="AC175" i="12"/>
  <c r="AB175" i="12"/>
  <c r="AA175" i="12"/>
  <c r="Z175" i="12"/>
  <c r="Y175" i="12"/>
  <c r="X175" i="12"/>
  <c r="W175" i="12"/>
  <c r="V175" i="12"/>
  <c r="U175" i="12"/>
  <c r="T175" i="12"/>
  <c r="S175" i="12"/>
  <c r="R175" i="12"/>
  <c r="Q175" i="12"/>
  <c r="P175" i="12"/>
  <c r="O175" i="12"/>
  <c r="N175" i="12"/>
  <c r="M175" i="12"/>
  <c r="L175" i="12"/>
  <c r="K175" i="12"/>
  <c r="J175" i="12"/>
  <c r="I175" i="12"/>
  <c r="H175" i="12"/>
  <c r="G175" i="12"/>
  <c r="F175" i="12"/>
  <c r="AE174" i="12"/>
  <c r="AC174" i="12"/>
  <c r="AB174" i="12"/>
  <c r="AA174" i="12"/>
  <c r="Z174" i="12"/>
  <c r="Y174" i="12"/>
  <c r="X174" i="12"/>
  <c r="W174" i="12"/>
  <c r="V174" i="12"/>
  <c r="U174" i="12"/>
  <c r="T174" i="12"/>
  <c r="S174" i="12"/>
  <c r="R174" i="12"/>
  <c r="Q174" i="12"/>
  <c r="P174" i="12"/>
  <c r="O174" i="12"/>
  <c r="N174" i="12"/>
  <c r="M174" i="12"/>
  <c r="L174" i="12"/>
  <c r="K174" i="12"/>
  <c r="J174" i="12"/>
  <c r="I174" i="12"/>
  <c r="H174" i="12"/>
  <c r="G174" i="12"/>
  <c r="F174" i="12"/>
  <c r="AE173" i="12"/>
  <c r="AC173" i="12"/>
  <c r="AB173" i="12"/>
  <c r="AA173" i="12"/>
  <c r="Z173" i="12"/>
  <c r="Y173" i="12"/>
  <c r="X173" i="12"/>
  <c r="W173" i="12"/>
  <c r="V173" i="12"/>
  <c r="U173" i="12"/>
  <c r="T173" i="12"/>
  <c r="S173" i="12"/>
  <c r="R173" i="12"/>
  <c r="Q173" i="12"/>
  <c r="P173" i="12"/>
  <c r="O173" i="12"/>
  <c r="N173" i="12"/>
  <c r="M173" i="12"/>
  <c r="L173" i="12"/>
  <c r="K173" i="12"/>
  <c r="J173" i="12"/>
  <c r="I173" i="12"/>
  <c r="H173" i="12"/>
  <c r="G173" i="12"/>
  <c r="F173" i="12"/>
  <c r="AE172" i="12"/>
  <c r="AC172" i="12"/>
  <c r="AB172" i="12"/>
  <c r="AA172" i="12"/>
  <c r="Z172" i="12"/>
  <c r="Y172" i="12"/>
  <c r="X172" i="12"/>
  <c r="W172" i="12"/>
  <c r="V172" i="12"/>
  <c r="U172" i="12"/>
  <c r="T172" i="12"/>
  <c r="S172" i="12"/>
  <c r="R172" i="12"/>
  <c r="Q172" i="12"/>
  <c r="P172" i="12"/>
  <c r="O172" i="12"/>
  <c r="N172" i="12"/>
  <c r="M172" i="12"/>
  <c r="L172" i="12"/>
  <c r="K172" i="12"/>
  <c r="J172" i="12"/>
  <c r="I172" i="12"/>
  <c r="H172" i="12"/>
  <c r="G172" i="12"/>
  <c r="F172" i="12"/>
  <c r="AE171" i="12"/>
  <c r="AC171" i="12"/>
  <c r="AB171" i="12"/>
  <c r="AA171" i="12"/>
  <c r="Z171" i="12"/>
  <c r="Y171" i="12"/>
  <c r="X171" i="12"/>
  <c r="W171" i="12"/>
  <c r="V171" i="12"/>
  <c r="U171" i="12"/>
  <c r="T171" i="12"/>
  <c r="S171" i="12"/>
  <c r="R171" i="12"/>
  <c r="Q171" i="12"/>
  <c r="P171" i="12"/>
  <c r="O171" i="12"/>
  <c r="N171" i="12"/>
  <c r="M171" i="12"/>
  <c r="L171" i="12"/>
  <c r="K171" i="12"/>
  <c r="J171" i="12"/>
  <c r="I171" i="12"/>
  <c r="H171" i="12"/>
  <c r="G171" i="12"/>
  <c r="F171" i="12"/>
  <c r="AE170" i="12"/>
  <c r="AC170" i="12"/>
  <c r="AB170" i="12"/>
  <c r="AA170" i="12"/>
  <c r="Z170" i="12"/>
  <c r="Y170" i="12"/>
  <c r="X170" i="12"/>
  <c r="W170" i="12"/>
  <c r="V170" i="12"/>
  <c r="U170" i="12"/>
  <c r="T170" i="12"/>
  <c r="S170" i="12"/>
  <c r="R170" i="12"/>
  <c r="Q170" i="12"/>
  <c r="P170" i="12"/>
  <c r="O170" i="12"/>
  <c r="N170" i="12"/>
  <c r="M170" i="12"/>
  <c r="L170" i="12"/>
  <c r="K170" i="12"/>
  <c r="J170" i="12"/>
  <c r="I170" i="12"/>
  <c r="H170" i="12"/>
  <c r="G170" i="12"/>
  <c r="F170" i="12"/>
  <c r="AE169" i="12"/>
  <c r="AC169" i="12"/>
  <c r="AB169" i="12"/>
  <c r="AA169" i="12"/>
  <c r="Z169" i="12"/>
  <c r="Y169" i="12"/>
  <c r="X169" i="12"/>
  <c r="W169" i="12"/>
  <c r="V169" i="12"/>
  <c r="U169" i="12"/>
  <c r="T169" i="12"/>
  <c r="S169" i="12"/>
  <c r="R169" i="12"/>
  <c r="Q169" i="12"/>
  <c r="P169" i="12"/>
  <c r="O169" i="12"/>
  <c r="N169" i="12"/>
  <c r="M169" i="12"/>
  <c r="L169" i="12"/>
  <c r="K169" i="12"/>
  <c r="J169" i="12"/>
  <c r="I169" i="12"/>
  <c r="H169" i="12"/>
  <c r="G169" i="12"/>
  <c r="F169" i="12"/>
  <c r="AE168" i="12"/>
  <c r="AC168" i="12"/>
  <c r="AB168" i="12"/>
  <c r="AA168" i="12"/>
  <c r="Z168" i="12"/>
  <c r="Y168" i="12"/>
  <c r="X168" i="12"/>
  <c r="W168" i="12"/>
  <c r="V168" i="12"/>
  <c r="U168" i="12"/>
  <c r="T168" i="12"/>
  <c r="S168" i="12"/>
  <c r="R168" i="12"/>
  <c r="Q168" i="12"/>
  <c r="P168" i="12"/>
  <c r="O168" i="12"/>
  <c r="N168" i="12"/>
  <c r="M168" i="12"/>
  <c r="L168" i="12"/>
  <c r="K168" i="12"/>
  <c r="J168" i="12"/>
  <c r="I168" i="12"/>
  <c r="H168" i="12"/>
  <c r="G168" i="12"/>
  <c r="F168" i="12"/>
  <c r="AE167" i="12"/>
  <c r="AC167" i="12"/>
  <c r="AB167" i="12"/>
  <c r="AA167" i="12"/>
  <c r="Z167" i="12"/>
  <c r="Y167" i="12"/>
  <c r="X167" i="12"/>
  <c r="W167" i="12"/>
  <c r="V167" i="12"/>
  <c r="U167" i="12"/>
  <c r="T167" i="12"/>
  <c r="S167" i="12"/>
  <c r="R167" i="12"/>
  <c r="Q167" i="12"/>
  <c r="P167" i="12"/>
  <c r="O167" i="12"/>
  <c r="N167" i="12"/>
  <c r="M167" i="12"/>
  <c r="L167" i="12"/>
  <c r="K167" i="12"/>
  <c r="J167" i="12"/>
  <c r="I167" i="12"/>
  <c r="H167" i="12"/>
  <c r="G167" i="12"/>
  <c r="F167" i="12"/>
  <c r="AE166" i="12"/>
  <c r="AC166" i="12"/>
  <c r="AB166" i="12"/>
  <c r="AA166" i="12"/>
  <c r="Z166" i="12"/>
  <c r="Y166" i="12"/>
  <c r="X166" i="12"/>
  <c r="W166" i="12"/>
  <c r="V166" i="12"/>
  <c r="U166" i="12"/>
  <c r="T166" i="12"/>
  <c r="S166" i="12"/>
  <c r="R166" i="12"/>
  <c r="Q166" i="12"/>
  <c r="P166" i="12"/>
  <c r="O166" i="12"/>
  <c r="N166" i="12"/>
  <c r="M166" i="12"/>
  <c r="L166" i="12"/>
  <c r="K166" i="12"/>
  <c r="J166" i="12"/>
  <c r="I166" i="12"/>
  <c r="H166" i="12"/>
  <c r="G166" i="12"/>
  <c r="F166" i="12"/>
  <c r="AE165" i="12"/>
  <c r="AC165" i="12"/>
  <c r="AB165" i="12"/>
  <c r="AA165" i="12"/>
  <c r="Z165" i="12"/>
  <c r="Y165" i="12"/>
  <c r="X165" i="12"/>
  <c r="W165" i="12"/>
  <c r="V165" i="12"/>
  <c r="U165" i="12"/>
  <c r="T165" i="12"/>
  <c r="S165" i="12"/>
  <c r="R165" i="12"/>
  <c r="Q165" i="12"/>
  <c r="P165" i="12"/>
  <c r="O165" i="12"/>
  <c r="N165" i="12"/>
  <c r="M165" i="12"/>
  <c r="L165" i="12"/>
  <c r="K165" i="12"/>
  <c r="J165" i="12"/>
  <c r="I165" i="12"/>
  <c r="H165" i="12"/>
  <c r="G165" i="12"/>
  <c r="F165" i="12"/>
  <c r="AE164" i="12"/>
  <c r="AC164" i="12"/>
  <c r="AB164" i="12"/>
  <c r="AA164" i="12"/>
  <c r="Z164" i="12"/>
  <c r="Y164" i="12"/>
  <c r="X164" i="12"/>
  <c r="W164" i="12"/>
  <c r="V164" i="12"/>
  <c r="U164" i="12"/>
  <c r="T164" i="12"/>
  <c r="S164" i="12"/>
  <c r="R164" i="12"/>
  <c r="Q164" i="12"/>
  <c r="P164" i="12"/>
  <c r="O164" i="12"/>
  <c r="N164" i="12"/>
  <c r="M164" i="12"/>
  <c r="L164" i="12"/>
  <c r="K164" i="12"/>
  <c r="J164" i="12"/>
  <c r="I164" i="12"/>
  <c r="H164" i="12"/>
  <c r="G164" i="12"/>
  <c r="F164" i="12"/>
  <c r="AE163" i="12"/>
  <c r="AC163" i="12"/>
  <c r="AB163" i="12"/>
  <c r="AA163" i="12"/>
  <c r="Z163" i="12"/>
  <c r="Y163" i="12"/>
  <c r="X163" i="12"/>
  <c r="W163" i="12"/>
  <c r="V163" i="12"/>
  <c r="U163" i="12"/>
  <c r="T163" i="12"/>
  <c r="S163" i="12"/>
  <c r="R163" i="12"/>
  <c r="Q163" i="12"/>
  <c r="P163" i="12"/>
  <c r="O163" i="12"/>
  <c r="N163" i="12"/>
  <c r="M163" i="12"/>
  <c r="L163" i="12"/>
  <c r="K163" i="12"/>
  <c r="J163" i="12"/>
  <c r="I163" i="12"/>
  <c r="H163" i="12"/>
  <c r="G163" i="12"/>
  <c r="F163" i="12"/>
  <c r="AE162" i="12"/>
  <c r="AC162" i="12"/>
  <c r="AB162" i="12"/>
  <c r="AA162" i="12"/>
  <c r="Z162" i="12"/>
  <c r="Y162" i="12"/>
  <c r="X162" i="12"/>
  <c r="W162" i="12"/>
  <c r="V162" i="12"/>
  <c r="U162" i="12"/>
  <c r="T162" i="12"/>
  <c r="S162" i="12"/>
  <c r="R162" i="12"/>
  <c r="Q162" i="12"/>
  <c r="P162" i="12"/>
  <c r="O162" i="12"/>
  <c r="N162" i="12"/>
  <c r="M162" i="12"/>
  <c r="L162" i="12"/>
  <c r="K162" i="12"/>
  <c r="J162" i="12"/>
  <c r="I162" i="12"/>
  <c r="H162" i="12"/>
  <c r="G162" i="12"/>
  <c r="F162" i="12"/>
  <c r="AE161" i="12"/>
  <c r="AC161" i="12"/>
  <c r="AB161" i="12"/>
  <c r="AA161" i="12"/>
  <c r="Z161" i="12"/>
  <c r="Y161" i="12"/>
  <c r="X161" i="12"/>
  <c r="W161" i="12"/>
  <c r="V161" i="12"/>
  <c r="U161" i="12"/>
  <c r="T161" i="12"/>
  <c r="S161" i="12"/>
  <c r="R161" i="12"/>
  <c r="Q161" i="12"/>
  <c r="P161" i="12"/>
  <c r="O161" i="12"/>
  <c r="N161" i="12"/>
  <c r="M161" i="12"/>
  <c r="L161" i="12"/>
  <c r="K161" i="12"/>
  <c r="J161" i="12"/>
  <c r="I161" i="12"/>
  <c r="H161" i="12"/>
  <c r="G161" i="12"/>
  <c r="F161" i="12"/>
  <c r="AE160" i="12"/>
  <c r="AC160" i="12"/>
  <c r="AB160" i="12"/>
  <c r="AA160" i="12"/>
  <c r="Z160" i="12"/>
  <c r="Y160" i="12"/>
  <c r="X160" i="12"/>
  <c r="W160" i="12"/>
  <c r="V160" i="12"/>
  <c r="U160" i="12"/>
  <c r="T160" i="12"/>
  <c r="S160" i="12"/>
  <c r="R160" i="12"/>
  <c r="Q160" i="12"/>
  <c r="P160" i="12"/>
  <c r="O160" i="12"/>
  <c r="N160" i="12"/>
  <c r="M160" i="12"/>
  <c r="L160" i="12"/>
  <c r="K160" i="12"/>
  <c r="J160" i="12"/>
  <c r="I160" i="12"/>
  <c r="H160" i="12"/>
  <c r="G160" i="12"/>
  <c r="F160" i="12"/>
  <c r="AE159" i="12"/>
  <c r="AC159" i="12"/>
  <c r="AB159" i="12"/>
  <c r="AA159" i="12"/>
  <c r="Z159" i="12"/>
  <c r="Y159" i="12"/>
  <c r="X159" i="12"/>
  <c r="W159" i="12"/>
  <c r="V159" i="12"/>
  <c r="U159" i="12"/>
  <c r="T159" i="12"/>
  <c r="S159" i="12"/>
  <c r="R159" i="12"/>
  <c r="Q159" i="12"/>
  <c r="P159" i="12"/>
  <c r="O159" i="12"/>
  <c r="N159" i="12"/>
  <c r="M159" i="12"/>
  <c r="L159" i="12"/>
  <c r="K159" i="12"/>
  <c r="J159" i="12"/>
  <c r="I159" i="12"/>
  <c r="H159" i="12"/>
  <c r="G159" i="12"/>
  <c r="F159" i="12"/>
  <c r="AE158" i="12"/>
  <c r="AC158" i="12"/>
  <c r="AB158" i="12"/>
  <c r="AA158" i="12"/>
  <c r="Z158" i="12"/>
  <c r="Y158" i="12"/>
  <c r="X158" i="12"/>
  <c r="W158" i="12"/>
  <c r="V158" i="12"/>
  <c r="U158" i="12"/>
  <c r="T158" i="12"/>
  <c r="S158" i="12"/>
  <c r="R158" i="12"/>
  <c r="Q158" i="12"/>
  <c r="P158" i="12"/>
  <c r="O158" i="12"/>
  <c r="N158" i="12"/>
  <c r="M158" i="12"/>
  <c r="L158" i="12"/>
  <c r="K158" i="12"/>
  <c r="J158" i="12"/>
  <c r="I158" i="12"/>
  <c r="H158" i="12"/>
  <c r="G158" i="12"/>
  <c r="F158" i="12"/>
  <c r="AE157" i="12"/>
  <c r="AC157" i="12"/>
  <c r="AB157" i="12"/>
  <c r="AA157" i="12"/>
  <c r="Z157" i="12"/>
  <c r="Y157" i="12"/>
  <c r="X157" i="12"/>
  <c r="W157" i="12"/>
  <c r="V157" i="12"/>
  <c r="U157" i="12"/>
  <c r="T157" i="12"/>
  <c r="S157" i="12"/>
  <c r="R157" i="12"/>
  <c r="Q157" i="12"/>
  <c r="P157" i="12"/>
  <c r="O157" i="12"/>
  <c r="N157" i="12"/>
  <c r="M157" i="12"/>
  <c r="L157" i="12"/>
  <c r="K157" i="12"/>
  <c r="J157" i="12"/>
  <c r="I157" i="12"/>
  <c r="H157" i="12"/>
  <c r="G157" i="12"/>
  <c r="F157" i="12"/>
  <c r="AE156" i="12"/>
  <c r="AC156" i="12"/>
  <c r="AB156" i="12"/>
  <c r="AA156" i="12"/>
  <c r="Z156" i="12"/>
  <c r="Y156" i="12"/>
  <c r="X156" i="12"/>
  <c r="W156" i="12"/>
  <c r="V156" i="12"/>
  <c r="U156" i="12"/>
  <c r="T156" i="12"/>
  <c r="S156" i="12"/>
  <c r="R156" i="12"/>
  <c r="Q156" i="12"/>
  <c r="P156" i="12"/>
  <c r="O156" i="12"/>
  <c r="N156" i="12"/>
  <c r="M156" i="12"/>
  <c r="L156" i="12"/>
  <c r="K156" i="12"/>
  <c r="J156" i="12"/>
  <c r="I156" i="12"/>
  <c r="H156" i="12"/>
  <c r="G156" i="12"/>
  <c r="F156" i="12"/>
  <c r="AE155" i="12"/>
  <c r="AC155" i="12"/>
  <c r="AB155" i="12"/>
  <c r="AA155" i="12"/>
  <c r="Z155" i="12"/>
  <c r="Y155" i="12"/>
  <c r="X155" i="12"/>
  <c r="W155" i="12"/>
  <c r="V155" i="12"/>
  <c r="U155" i="12"/>
  <c r="T155" i="12"/>
  <c r="S155" i="12"/>
  <c r="R155" i="12"/>
  <c r="Q155" i="12"/>
  <c r="P155" i="12"/>
  <c r="O155" i="12"/>
  <c r="N155" i="12"/>
  <c r="M155" i="12"/>
  <c r="L155" i="12"/>
  <c r="K155" i="12"/>
  <c r="J155" i="12"/>
  <c r="I155" i="12"/>
  <c r="H155" i="12"/>
  <c r="G155" i="12"/>
  <c r="F155" i="12"/>
  <c r="AE154" i="12"/>
  <c r="AC154" i="12"/>
  <c r="AB154" i="12"/>
  <c r="AA154" i="12"/>
  <c r="Z154" i="12"/>
  <c r="Y154" i="12"/>
  <c r="X154" i="12"/>
  <c r="W154" i="12"/>
  <c r="V154" i="12"/>
  <c r="U154" i="12"/>
  <c r="T154" i="12"/>
  <c r="S154" i="12"/>
  <c r="R154" i="12"/>
  <c r="Q154" i="12"/>
  <c r="P154" i="12"/>
  <c r="O154" i="12"/>
  <c r="N154" i="12"/>
  <c r="M154" i="12"/>
  <c r="L154" i="12"/>
  <c r="K154" i="12"/>
  <c r="J154" i="12"/>
  <c r="I154" i="12"/>
  <c r="H154" i="12"/>
  <c r="G154" i="12"/>
  <c r="F154" i="12"/>
  <c r="AE153" i="12"/>
  <c r="AC153" i="12"/>
  <c r="AB153" i="12"/>
  <c r="AA153" i="12"/>
  <c r="Z153" i="12"/>
  <c r="Y153" i="12"/>
  <c r="X153" i="12"/>
  <c r="W153" i="12"/>
  <c r="V153" i="12"/>
  <c r="U153" i="12"/>
  <c r="T153" i="12"/>
  <c r="S153" i="12"/>
  <c r="R153" i="12"/>
  <c r="Q153" i="12"/>
  <c r="P153" i="12"/>
  <c r="O153" i="12"/>
  <c r="N153" i="12"/>
  <c r="M153" i="12"/>
  <c r="L153" i="12"/>
  <c r="K153" i="12"/>
  <c r="J153" i="12"/>
  <c r="I153" i="12"/>
  <c r="H153" i="12"/>
  <c r="G153" i="12"/>
  <c r="F153" i="12"/>
  <c r="AE152" i="12"/>
  <c r="AC152" i="12"/>
  <c r="AB152" i="12"/>
  <c r="AA152" i="12"/>
  <c r="Z152" i="12"/>
  <c r="Y152" i="12"/>
  <c r="X152" i="12"/>
  <c r="W152" i="12"/>
  <c r="V152" i="12"/>
  <c r="U152" i="12"/>
  <c r="T152" i="12"/>
  <c r="S152" i="12"/>
  <c r="R152" i="12"/>
  <c r="Q152" i="12"/>
  <c r="P152" i="12"/>
  <c r="O152" i="12"/>
  <c r="N152" i="12"/>
  <c r="M152" i="12"/>
  <c r="L152" i="12"/>
  <c r="K152" i="12"/>
  <c r="J152" i="12"/>
  <c r="I152" i="12"/>
  <c r="H152" i="12"/>
  <c r="G152" i="12"/>
  <c r="F152" i="12"/>
  <c r="AE151" i="12"/>
  <c r="AC151" i="12"/>
  <c r="AB151" i="12"/>
  <c r="AA151" i="12"/>
  <c r="Z151" i="12"/>
  <c r="Y151" i="12"/>
  <c r="X151" i="12"/>
  <c r="W151" i="12"/>
  <c r="V151" i="12"/>
  <c r="U151" i="12"/>
  <c r="T151" i="12"/>
  <c r="S151" i="12"/>
  <c r="R151" i="12"/>
  <c r="Q151" i="12"/>
  <c r="P151" i="12"/>
  <c r="O151" i="12"/>
  <c r="N151" i="12"/>
  <c r="M151" i="12"/>
  <c r="L151" i="12"/>
  <c r="K151" i="12"/>
  <c r="J151" i="12"/>
  <c r="I151" i="12"/>
  <c r="H151" i="12"/>
  <c r="G151" i="12"/>
  <c r="F151" i="12"/>
  <c r="AE150" i="12"/>
  <c r="AC150" i="12"/>
  <c r="AB150" i="12"/>
  <c r="AA150" i="12"/>
  <c r="Z150" i="12"/>
  <c r="Y150" i="12"/>
  <c r="X150" i="12"/>
  <c r="W150" i="12"/>
  <c r="V150" i="12"/>
  <c r="U150" i="12"/>
  <c r="T150" i="12"/>
  <c r="S150" i="12"/>
  <c r="R150" i="12"/>
  <c r="Q150" i="12"/>
  <c r="P150" i="12"/>
  <c r="O150" i="12"/>
  <c r="N150" i="12"/>
  <c r="M150" i="12"/>
  <c r="L150" i="12"/>
  <c r="K150" i="12"/>
  <c r="J150" i="12"/>
  <c r="I150" i="12"/>
  <c r="H150" i="12"/>
  <c r="G150" i="12"/>
  <c r="F150" i="12"/>
  <c r="AE149" i="12"/>
  <c r="AC149" i="12"/>
  <c r="AB149" i="12"/>
  <c r="AA149" i="12"/>
  <c r="Z149" i="12"/>
  <c r="Y149" i="12"/>
  <c r="X149" i="12"/>
  <c r="W149" i="12"/>
  <c r="V149" i="12"/>
  <c r="U149" i="12"/>
  <c r="T149" i="12"/>
  <c r="S149" i="12"/>
  <c r="R149" i="12"/>
  <c r="Q149" i="12"/>
  <c r="P149" i="12"/>
  <c r="O149" i="12"/>
  <c r="N149" i="12"/>
  <c r="M149" i="12"/>
  <c r="L149" i="12"/>
  <c r="K149" i="12"/>
  <c r="J149" i="12"/>
  <c r="I149" i="12"/>
  <c r="H149" i="12"/>
  <c r="G149" i="12"/>
  <c r="F149" i="12"/>
  <c r="AE148" i="12"/>
  <c r="AC148" i="12"/>
  <c r="AB148" i="12"/>
  <c r="AA148" i="12"/>
  <c r="Z148" i="12"/>
  <c r="Y148" i="12"/>
  <c r="X148" i="12"/>
  <c r="W148" i="12"/>
  <c r="V148" i="12"/>
  <c r="U148" i="12"/>
  <c r="T148" i="12"/>
  <c r="S148" i="12"/>
  <c r="R148" i="12"/>
  <c r="Q148" i="12"/>
  <c r="P148" i="12"/>
  <c r="O148" i="12"/>
  <c r="N148" i="12"/>
  <c r="M148" i="12"/>
  <c r="L148" i="12"/>
  <c r="K148" i="12"/>
  <c r="J148" i="12"/>
  <c r="I148" i="12"/>
  <c r="H148" i="12"/>
  <c r="G148" i="12"/>
  <c r="F148" i="12"/>
  <c r="AE147" i="12"/>
  <c r="AC147" i="12"/>
  <c r="AB147" i="12"/>
  <c r="AA147" i="12"/>
  <c r="Z147" i="12"/>
  <c r="Y147" i="12"/>
  <c r="X147" i="12"/>
  <c r="W147" i="12"/>
  <c r="V147" i="12"/>
  <c r="U147" i="12"/>
  <c r="T147" i="12"/>
  <c r="S147" i="12"/>
  <c r="R147" i="12"/>
  <c r="Q147" i="12"/>
  <c r="P147" i="12"/>
  <c r="O147" i="12"/>
  <c r="N147" i="12"/>
  <c r="M147" i="12"/>
  <c r="L147" i="12"/>
  <c r="K147" i="12"/>
  <c r="J147" i="12"/>
  <c r="I147" i="12"/>
  <c r="H147" i="12"/>
  <c r="G147" i="12"/>
  <c r="F147" i="12"/>
  <c r="AE146" i="12"/>
  <c r="AC146" i="12"/>
  <c r="AB146" i="12"/>
  <c r="AA146" i="12"/>
  <c r="Z146" i="12"/>
  <c r="Y146" i="12"/>
  <c r="X146" i="12"/>
  <c r="W146" i="12"/>
  <c r="V146" i="12"/>
  <c r="U146" i="12"/>
  <c r="T146" i="12"/>
  <c r="S146" i="12"/>
  <c r="R146" i="12"/>
  <c r="Q146" i="12"/>
  <c r="P146" i="12"/>
  <c r="O146" i="12"/>
  <c r="N146" i="12"/>
  <c r="M146" i="12"/>
  <c r="L146" i="12"/>
  <c r="K146" i="12"/>
  <c r="J146" i="12"/>
  <c r="I146" i="12"/>
  <c r="H146" i="12"/>
  <c r="G146" i="12"/>
  <c r="F146" i="12"/>
  <c r="AE145" i="12"/>
  <c r="AC145" i="12"/>
  <c r="AB145" i="12"/>
  <c r="AA145" i="12"/>
  <c r="Z145" i="12"/>
  <c r="Y145" i="12"/>
  <c r="X145" i="12"/>
  <c r="W145" i="12"/>
  <c r="V145" i="12"/>
  <c r="U145" i="12"/>
  <c r="T145" i="12"/>
  <c r="S145" i="12"/>
  <c r="R145" i="12"/>
  <c r="Q145" i="12"/>
  <c r="P145" i="12"/>
  <c r="O145" i="12"/>
  <c r="N145" i="12"/>
  <c r="M145" i="12"/>
  <c r="L145" i="12"/>
  <c r="K145" i="12"/>
  <c r="J145" i="12"/>
  <c r="I145" i="12"/>
  <c r="H145" i="12"/>
  <c r="G145" i="12"/>
  <c r="F145" i="12"/>
  <c r="AE144" i="12"/>
  <c r="AC144" i="12"/>
  <c r="AB144" i="12"/>
  <c r="AA144" i="12"/>
  <c r="Z144" i="12"/>
  <c r="Y144" i="12"/>
  <c r="X144" i="12"/>
  <c r="W144" i="12"/>
  <c r="V144" i="12"/>
  <c r="U144" i="12"/>
  <c r="T144" i="12"/>
  <c r="S144" i="12"/>
  <c r="R144" i="12"/>
  <c r="Q144" i="12"/>
  <c r="P144" i="12"/>
  <c r="O144" i="12"/>
  <c r="N144" i="12"/>
  <c r="M144" i="12"/>
  <c r="L144" i="12"/>
  <c r="K144" i="12"/>
  <c r="J144" i="12"/>
  <c r="I144" i="12"/>
  <c r="H144" i="12"/>
  <c r="G144" i="12"/>
  <c r="F144" i="12"/>
  <c r="AE143" i="12"/>
  <c r="AC143" i="12"/>
  <c r="AB143" i="12"/>
  <c r="AA143" i="12"/>
  <c r="Z143" i="12"/>
  <c r="Y143" i="12"/>
  <c r="X143" i="12"/>
  <c r="W143" i="12"/>
  <c r="V143" i="12"/>
  <c r="U143" i="12"/>
  <c r="T143" i="12"/>
  <c r="S143" i="12"/>
  <c r="R143" i="12"/>
  <c r="Q143" i="12"/>
  <c r="P143" i="12"/>
  <c r="O143" i="12"/>
  <c r="N143" i="12"/>
  <c r="M143" i="12"/>
  <c r="L143" i="12"/>
  <c r="K143" i="12"/>
  <c r="J143" i="12"/>
  <c r="I143" i="12"/>
  <c r="H143" i="12"/>
  <c r="G143" i="12"/>
  <c r="F143" i="12"/>
  <c r="AE142" i="12"/>
  <c r="AC142" i="12"/>
  <c r="AB142" i="12"/>
  <c r="AA142" i="12"/>
  <c r="Z142" i="12"/>
  <c r="Y142" i="12"/>
  <c r="X142" i="12"/>
  <c r="W142" i="12"/>
  <c r="V142" i="12"/>
  <c r="U142" i="12"/>
  <c r="T142" i="12"/>
  <c r="S142" i="12"/>
  <c r="R142" i="12"/>
  <c r="Q142" i="12"/>
  <c r="P142" i="12"/>
  <c r="O142" i="12"/>
  <c r="N142" i="12"/>
  <c r="M142" i="12"/>
  <c r="L142" i="12"/>
  <c r="K142" i="12"/>
  <c r="J142" i="12"/>
  <c r="I142" i="12"/>
  <c r="H142" i="12"/>
  <c r="G142" i="12"/>
  <c r="F142" i="12"/>
  <c r="AE141" i="12"/>
  <c r="AC141" i="12"/>
  <c r="AB141" i="12"/>
  <c r="AA141" i="12"/>
  <c r="Z141" i="12"/>
  <c r="Y141" i="12"/>
  <c r="X141" i="12"/>
  <c r="W141" i="12"/>
  <c r="V141" i="12"/>
  <c r="U141" i="12"/>
  <c r="T141" i="12"/>
  <c r="S141" i="12"/>
  <c r="R141" i="12"/>
  <c r="Q141" i="12"/>
  <c r="P141" i="12"/>
  <c r="O141" i="12"/>
  <c r="N141" i="12"/>
  <c r="M141" i="12"/>
  <c r="L141" i="12"/>
  <c r="K141" i="12"/>
  <c r="J141" i="12"/>
  <c r="I141" i="12"/>
  <c r="H141" i="12"/>
  <c r="G141" i="12"/>
  <c r="F141" i="12"/>
  <c r="AE140" i="12"/>
  <c r="AC140" i="12"/>
  <c r="AB140" i="12"/>
  <c r="AA140" i="12"/>
  <c r="Z140" i="12"/>
  <c r="Y140" i="12"/>
  <c r="X140" i="12"/>
  <c r="W140" i="12"/>
  <c r="V140" i="12"/>
  <c r="U140" i="12"/>
  <c r="T140" i="12"/>
  <c r="S140" i="12"/>
  <c r="R140" i="12"/>
  <c r="Q140" i="12"/>
  <c r="P140" i="12"/>
  <c r="O140" i="12"/>
  <c r="N140" i="12"/>
  <c r="M140" i="12"/>
  <c r="L140" i="12"/>
  <c r="K140" i="12"/>
  <c r="J140" i="12"/>
  <c r="I140" i="12"/>
  <c r="H140" i="12"/>
  <c r="G140" i="12"/>
  <c r="F140" i="12"/>
  <c r="AE139" i="12"/>
  <c r="AC139" i="12"/>
  <c r="AB139" i="12"/>
  <c r="AA139" i="12"/>
  <c r="Z139" i="12"/>
  <c r="Y139" i="12"/>
  <c r="X139" i="12"/>
  <c r="W139" i="12"/>
  <c r="V139" i="12"/>
  <c r="U139" i="12"/>
  <c r="T139" i="12"/>
  <c r="S139" i="12"/>
  <c r="R139" i="12"/>
  <c r="Q139" i="12"/>
  <c r="P139" i="12"/>
  <c r="O139" i="12"/>
  <c r="N139" i="12"/>
  <c r="M139" i="12"/>
  <c r="L139" i="12"/>
  <c r="K139" i="12"/>
  <c r="J139" i="12"/>
  <c r="I139" i="12"/>
  <c r="H139" i="12"/>
  <c r="G139" i="12"/>
  <c r="F139" i="12"/>
  <c r="AE138" i="12"/>
  <c r="AC138" i="12"/>
  <c r="AB138" i="12"/>
  <c r="AA138" i="12"/>
  <c r="Z138" i="12"/>
  <c r="Y138" i="12"/>
  <c r="X138" i="12"/>
  <c r="W138" i="12"/>
  <c r="V138" i="12"/>
  <c r="U138" i="12"/>
  <c r="T138" i="12"/>
  <c r="S138" i="12"/>
  <c r="R138" i="12"/>
  <c r="Q138" i="12"/>
  <c r="P138" i="12"/>
  <c r="O138" i="12"/>
  <c r="N138" i="12"/>
  <c r="M138" i="12"/>
  <c r="L138" i="12"/>
  <c r="K138" i="12"/>
  <c r="J138" i="12"/>
  <c r="I138" i="12"/>
  <c r="H138" i="12"/>
  <c r="G138" i="12"/>
  <c r="F138" i="12"/>
  <c r="AE137" i="12"/>
  <c r="AC137" i="12"/>
  <c r="AB137" i="12"/>
  <c r="AA137" i="12"/>
  <c r="Z137" i="12"/>
  <c r="Y137" i="12"/>
  <c r="X137" i="12"/>
  <c r="W137" i="12"/>
  <c r="V137" i="12"/>
  <c r="U137" i="12"/>
  <c r="T137" i="12"/>
  <c r="S137" i="12"/>
  <c r="R137" i="12"/>
  <c r="Q137" i="12"/>
  <c r="P137" i="12"/>
  <c r="O137" i="12"/>
  <c r="N137" i="12"/>
  <c r="M137" i="12"/>
  <c r="L137" i="12"/>
  <c r="K137" i="12"/>
  <c r="J137" i="12"/>
  <c r="I137" i="12"/>
  <c r="H137" i="12"/>
  <c r="G137" i="12"/>
  <c r="F137" i="12"/>
  <c r="AE136" i="12"/>
  <c r="AC136" i="12"/>
  <c r="AB136" i="12"/>
  <c r="AA136" i="12"/>
  <c r="Z136" i="12"/>
  <c r="Y136" i="12"/>
  <c r="X136" i="12"/>
  <c r="W136" i="12"/>
  <c r="V136" i="12"/>
  <c r="U136" i="12"/>
  <c r="T136" i="12"/>
  <c r="S136" i="12"/>
  <c r="R136" i="12"/>
  <c r="Q136" i="12"/>
  <c r="P136" i="12"/>
  <c r="O136" i="12"/>
  <c r="N136" i="12"/>
  <c r="M136" i="12"/>
  <c r="L136" i="12"/>
  <c r="K136" i="12"/>
  <c r="J136" i="12"/>
  <c r="I136" i="12"/>
  <c r="H136" i="12"/>
  <c r="G136" i="12"/>
  <c r="F136" i="12"/>
  <c r="AE135" i="12"/>
  <c r="AC135" i="12"/>
  <c r="AB135" i="12"/>
  <c r="AA135" i="12"/>
  <c r="Z135" i="12"/>
  <c r="Y135" i="12"/>
  <c r="X135" i="12"/>
  <c r="W135" i="12"/>
  <c r="V135" i="12"/>
  <c r="U135" i="12"/>
  <c r="T135" i="12"/>
  <c r="S135" i="12"/>
  <c r="R135" i="12"/>
  <c r="Q135" i="12"/>
  <c r="P135" i="12"/>
  <c r="O135" i="12"/>
  <c r="N135" i="12"/>
  <c r="M135" i="12"/>
  <c r="L135" i="12"/>
  <c r="K135" i="12"/>
  <c r="J135" i="12"/>
  <c r="I135" i="12"/>
  <c r="H135" i="12"/>
  <c r="G135" i="12"/>
  <c r="F135" i="12"/>
  <c r="AE134" i="12"/>
  <c r="AC134" i="12"/>
  <c r="AB134" i="12"/>
  <c r="AA134" i="12"/>
  <c r="Z134" i="12"/>
  <c r="Y134" i="12"/>
  <c r="X134" i="12"/>
  <c r="W134" i="12"/>
  <c r="V134" i="12"/>
  <c r="U134" i="12"/>
  <c r="T134" i="12"/>
  <c r="S134" i="12"/>
  <c r="R134" i="12"/>
  <c r="Q134" i="12"/>
  <c r="P134" i="12"/>
  <c r="O134" i="12"/>
  <c r="N134" i="12"/>
  <c r="M134" i="12"/>
  <c r="L134" i="12"/>
  <c r="K134" i="12"/>
  <c r="J134" i="12"/>
  <c r="I134" i="12"/>
  <c r="H134" i="12"/>
  <c r="G134" i="12"/>
  <c r="F134" i="12"/>
  <c r="AE133" i="12"/>
  <c r="AC133" i="12"/>
  <c r="AB133" i="12"/>
  <c r="AA133" i="12"/>
  <c r="Z133" i="12"/>
  <c r="Y133" i="12"/>
  <c r="X133" i="12"/>
  <c r="W133" i="12"/>
  <c r="V133" i="12"/>
  <c r="U133" i="12"/>
  <c r="T133" i="12"/>
  <c r="S133" i="12"/>
  <c r="R133" i="12"/>
  <c r="Q133" i="12"/>
  <c r="P133" i="12"/>
  <c r="O133" i="12"/>
  <c r="N133" i="12"/>
  <c r="M133" i="12"/>
  <c r="L133" i="12"/>
  <c r="K133" i="12"/>
  <c r="J133" i="12"/>
  <c r="I133" i="12"/>
  <c r="H133" i="12"/>
  <c r="G133" i="12"/>
  <c r="F133" i="12"/>
  <c r="AE132" i="12"/>
  <c r="AC132" i="12"/>
  <c r="AB132" i="12"/>
  <c r="AA132" i="12"/>
  <c r="Z132" i="12"/>
  <c r="Y132" i="12"/>
  <c r="X132" i="12"/>
  <c r="W132" i="12"/>
  <c r="V132" i="12"/>
  <c r="U132" i="12"/>
  <c r="T132" i="12"/>
  <c r="S132" i="12"/>
  <c r="R132" i="12"/>
  <c r="Q132" i="12"/>
  <c r="P132" i="12"/>
  <c r="O132" i="12"/>
  <c r="N132" i="12"/>
  <c r="M132" i="12"/>
  <c r="L132" i="12"/>
  <c r="K132" i="12"/>
  <c r="J132" i="12"/>
  <c r="I132" i="12"/>
  <c r="H132" i="12"/>
  <c r="G132" i="12"/>
  <c r="F132" i="12"/>
  <c r="AE131" i="12"/>
  <c r="AC131" i="12"/>
  <c r="AB131" i="12"/>
  <c r="AA131" i="12"/>
  <c r="Z131" i="12"/>
  <c r="Y131" i="12"/>
  <c r="X131" i="12"/>
  <c r="W131" i="12"/>
  <c r="V131" i="12"/>
  <c r="U131" i="12"/>
  <c r="T131" i="12"/>
  <c r="S131" i="12"/>
  <c r="R131" i="12"/>
  <c r="Q131" i="12"/>
  <c r="P131" i="12"/>
  <c r="O131" i="12"/>
  <c r="N131" i="12"/>
  <c r="M131" i="12"/>
  <c r="L131" i="12"/>
  <c r="K131" i="12"/>
  <c r="J131" i="12"/>
  <c r="I131" i="12"/>
  <c r="H131" i="12"/>
  <c r="G131" i="12"/>
  <c r="F131" i="12"/>
  <c r="AE130" i="12"/>
  <c r="AC130" i="12"/>
  <c r="AB130" i="12"/>
  <c r="AA130" i="12"/>
  <c r="Z130" i="12"/>
  <c r="Y130" i="12"/>
  <c r="X130" i="12"/>
  <c r="W130" i="12"/>
  <c r="V130" i="12"/>
  <c r="U130" i="12"/>
  <c r="T130" i="12"/>
  <c r="S130" i="12"/>
  <c r="R130" i="12"/>
  <c r="Q130" i="12"/>
  <c r="P130" i="12"/>
  <c r="O130" i="12"/>
  <c r="N130" i="12"/>
  <c r="M130" i="12"/>
  <c r="L130" i="12"/>
  <c r="K130" i="12"/>
  <c r="J130" i="12"/>
  <c r="I130" i="12"/>
  <c r="H130" i="12"/>
  <c r="G130" i="12"/>
  <c r="F130" i="12"/>
  <c r="AE129" i="12"/>
  <c r="AC129" i="12"/>
  <c r="AB129" i="12"/>
  <c r="AA129" i="12"/>
  <c r="Z129" i="12"/>
  <c r="Y129" i="12"/>
  <c r="X129" i="12"/>
  <c r="W129" i="12"/>
  <c r="V129" i="12"/>
  <c r="U129" i="12"/>
  <c r="T129" i="12"/>
  <c r="S129" i="12"/>
  <c r="R129" i="12"/>
  <c r="Q129" i="12"/>
  <c r="P129" i="12"/>
  <c r="O129" i="12"/>
  <c r="N129" i="12"/>
  <c r="M129" i="12"/>
  <c r="L129" i="12"/>
  <c r="K129" i="12"/>
  <c r="J129" i="12"/>
  <c r="I129" i="12"/>
  <c r="H129" i="12"/>
  <c r="G129" i="12"/>
  <c r="F129" i="12"/>
  <c r="AE128" i="12"/>
  <c r="AC128" i="12"/>
  <c r="AB128" i="12"/>
  <c r="AA128" i="12"/>
  <c r="Z128" i="12"/>
  <c r="Y128" i="12"/>
  <c r="X128" i="12"/>
  <c r="W128" i="12"/>
  <c r="V128" i="12"/>
  <c r="U128" i="12"/>
  <c r="T128" i="12"/>
  <c r="S128" i="12"/>
  <c r="R128" i="12"/>
  <c r="Q128" i="12"/>
  <c r="P128" i="12"/>
  <c r="O128" i="12"/>
  <c r="N128" i="12"/>
  <c r="M128" i="12"/>
  <c r="L128" i="12"/>
  <c r="K128" i="12"/>
  <c r="J128" i="12"/>
  <c r="I128" i="12"/>
  <c r="H128" i="12"/>
  <c r="G128" i="12"/>
  <c r="F128" i="12"/>
  <c r="AE127" i="12"/>
  <c r="AC127" i="12"/>
  <c r="AB127" i="12"/>
  <c r="AA127" i="12"/>
  <c r="Z127" i="12"/>
  <c r="Y127" i="12"/>
  <c r="X127" i="12"/>
  <c r="W127" i="12"/>
  <c r="V127" i="12"/>
  <c r="U127" i="12"/>
  <c r="T127" i="12"/>
  <c r="S127" i="12"/>
  <c r="R127" i="12"/>
  <c r="Q127" i="12"/>
  <c r="P127" i="12"/>
  <c r="O127" i="12"/>
  <c r="N127" i="12"/>
  <c r="M127" i="12"/>
  <c r="L127" i="12"/>
  <c r="K127" i="12"/>
  <c r="J127" i="12"/>
  <c r="I127" i="12"/>
  <c r="H127" i="12"/>
  <c r="G127" i="12"/>
  <c r="F127" i="12"/>
  <c r="AE126" i="12"/>
  <c r="AC126" i="12"/>
  <c r="AB126" i="12"/>
  <c r="AA126" i="12"/>
  <c r="Z126" i="12"/>
  <c r="Y126" i="12"/>
  <c r="X126" i="12"/>
  <c r="W126" i="12"/>
  <c r="V126" i="12"/>
  <c r="U126" i="12"/>
  <c r="T126" i="12"/>
  <c r="S126" i="12"/>
  <c r="R126" i="12"/>
  <c r="Q126" i="12"/>
  <c r="P126" i="12"/>
  <c r="O126" i="12"/>
  <c r="N126" i="12"/>
  <c r="M126" i="12"/>
  <c r="L126" i="12"/>
  <c r="K126" i="12"/>
  <c r="J126" i="12"/>
  <c r="I126" i="12"/>
  <c r="H126" i="12"/>
  <c r="G126" i="12"/>
  <c r="F126" i="12"/>
  <c r="AE125" i="12"/>
  <c r="AC125" i="12"/>
  <c r="AB125" i="12"/>
  <c r="AA125" i="12"/>
  <c r="Z125" i="12"/>
  <c r="Y125" i="12"/>
  <c r="X125" i="12"/>
  <c r="W125" i="12"/>
  <c r="V125" i="12"/>
  <c r="U125" i="12"/>
  <c r="T125" i="12"/>
  <c r="S125" i="12"/>
  <c r="R125" i="12"/>
  <c r="Q125" i="12"/>
  <c r="P125" i="12"/>
  <c r="O125" i="12"/>
  <c r="N125" i="12"/>
  <c r="M125" i="12"/>
  <c r="L125" i="12"/>
  <c r="K125" i="12"/>
  <c r="J125" i="12"/>
  <c r="I125" i="12"/>
  <c r="H125" i="12"/>
  <c r="G125" i="12"/>
  <c r="F125" i="12"/>
  <c r="AE124" i="12"/>
  <c r="AC124" i="12"/>
  <c r="AB124" i="12"/>
  <c r="AA124" i="12"/>
  <c r="Z124" i="12"/>
  <c r="Y124" i="12"/>
  <c r="X124" i="12"/>
  <c r="W124" i="12"/>
  <c r="V124" i="12"/>
  <c r="U124" i="12"/>
  <c r="T124" i="12"/>
  <c r="S124" i="12"/>
  <c r="R124" i="12"/>
  <c r="Q124" i="12"/>
  <c r="P124" i="12"/>
  <c r="O124" i="12"/>
  <c r="N124" i="12"/>
  <c r="M124" i="12"/>
  <c r="L124" i="12"/>
  <c r="K124" i="12"/>
  <c r="J124" i="12"/>
  <c r="I124" i="12"/>
  <c r="H124" i="12"/>
  <c r="G124" i="12"/>
  <c r="F124" i="12"/>
  <c r="AE123" i="12"/>
  <c r="AC123" i="12"/>
  <c r="AB123" i="12"/>
  <c r="AA123" i="12"/>
  <c r="Z123" i="12"/>
  <c r="Y123" i="12"/>
  <c r="X123" i="12"/>
  <c r="W123" i="12"/>
  <c r="V123" i="12"/>
  <c r="U123" i="12"/>
  <c r="T123" i="12"/>
  <c r="S123" i="12"/>
  <c r="R123" i="12"/>
  <c r="Q123" i="12"/>
  <c r="P123" i="12"/>
  <c r="O123" i="12"/>
  <c r="N123" i="12"/>
  <c r="M123" i="12"/>
  <c r="L123" i="12"/>
  <c r="K123" i="12"/>
  <c r="J123" i="12"/>
  <c r="I123" i="12"/>
  <c r="H123" i="12"/>
  <c r="G123" i="12"/>
  <c r="F123" i="12"/>
  <c r="AE122" i="12"/>
  <c r="AC122" i="12"/>
  <c r="AB122" i="12"/>
  <c r="AA122" i="12"/>
  <c r="Z122" i="12"/>
  <c r="Y122" i="12"/>
  <c r="X122" i="12"/>
  <c r="W122" i="12"/>
  <c r="V122" i="12"/>
  <c r="U122" i="12"/>
  <c r="T122" i="12"/>
  <c r="S122" i="12"/>
  <c r="R122" i="12"/>
  <c r="Q122" i="12"/>
  <c r="P122" i="12"/>
  <c r="O122" i="12"/>
  <c r="N122" i="12"/>
  <c r="M122" i="12"/>
  <c r="L122" i="12"/>
  <c r="K122" i="12"/>
  <c r="J122" i="12"/>
  <c r="I122" i="12"/>
  <c r="H122" i="12"/>
  <c r="G122" i="12"/>
  <c r="F122" i="12"/>
  <c r="AE121" i="12"/>
  <c r="AC121" i="12"/>
  <c r="AB121" i="12"/>
  <c r="AA121" i="12"/>
  <c r="Z121" i="12"/>
  <c r="Y121" i="12"/>
  <c r="X121" i="12"/>
  <c r="W121" i="12"/>
  <c r="V121" i="12"/>
  <c r="U121" i="12"/>
  <c r="T121" i="12"/>
  <c r="S121" i="12"/>
  <c r="R121" i="12"/>
  <c r="Q121" i="12"/>
  <c r="P121" i="12"/>
  <c r="O121" i="12"/>
  <c r="N121" i="12"/>
  <c r="M121" i="12"/>
  <c r="L121" i="12"/>
  <c r="K121" i="12"/>
  <c r="J121" i="12"/>
  <c r="I121" i="12"/>
  <c r="H121" i="12"/>
  <c r="G121" i="12"/>
  <c r="F121" i="12"/>
  <c r="AE120" i="12"/>
  <c r="AC120" i="12"/>
  <c r="AB120" i="12"/>
  <c r="AA120" i="12"/>
  <c r="Z120" i="12"/>
  <c r="Y120" i="12"/>
  <c r="X120" i="12"/>
  <c r="W120" i="12"/>
  <c r="V120" i="12"/>
  <c r="U120" i="12"/>
  <c r="T120" i="12"/>
  <c r="S120" i="12"/>
  <c r="R120" i="12"/>
  <c r="Q120" i="12"/>
  <c r="P120" i="12"/>
  <c r="O120" i="12"/>
  <c r="N120" i="12"/>
  <c r="M120" i="12"/>
  <c r="L120" i="12"/>
  <c r="K120" i="12"/>
  <c r="J120" i="12"/>
  <c r="I120" i="12"/>
  <c r="H120" i="12"/>
  <c r="G120" i="12"/>
  <c r="F120" i="12"/>
  <c r="AE119" i="12"/>
  <c r="AC119" i="12"/>
  <c r="AB119" i="12"/>
  <c r="AA119" i="12"/>
  <c r="Z119" i="12"/>
  <c r="Y119" i="12"/>
  <c r="X119" i="12"/>
  <c r="W119" i="12"/>
  <c r="V119" i="12"/>
  <c r="U119" i="12"/>
  <c r="T119" i="12"/>
  <c r="S119" i="12"/>
  <c r="R119" i="12"/>
  <c r="Q119" i="12"/>
  <c r="P119" i="12"/>
  <c r="O119" i="12"/>
  <c r="N119" i="12"/>
  <c r="M119" i="12"/>
  <c r="L119" i="12"/>
  <c r="K119" i="12"/>
  <c r="J119" i="12"/>
  <c r="I119" i="12"/>
  <c r="H119" i="12"/>
  <c r="G119" i="12"/>
  <c r="F119" i="12"/>
  <c r="AE118" i="12"/>
  <c r="AC118" i="12"/>
  <c r="AB118" i="12"/>
  <c r="AA118" i="12"/>
  <c r="Z118" i="12"/>
  <c r="Y118" i="12"/>
  <c r="X118" i="12"/>
  <c r="W118" i="12"/>
  <c r="V118" i="12"/>
  <c r="U118" i="12"/>
  <c r="T118" i="12"/>
  <c r="S118" i="12"/>
  <c r="R118" i="12"/>
  <c r="Q118" i="12"/>
  <c r="P118" i="12"/>
  <c r="O118" i="12"/>
  <c r="N118" i="12"/>
  <c r="M118" i="12"/>
  <c r="L118" i="12"/>
  <c r="K118" i="12"/>
  <c r="J118" i="12"/>
  <c r="I118" i="12"/>
  <c r="H118" i="12"/>
  <c r="G118" i="12"/>
  <c r="F118" i="12"/>
  <c r="AE117" i="12"/>
  <c r="AC117" i="12"/>
  <c r="AB117" i="12"/>
  <c r="AA117" i="12"/>
  <c r="Z117" i="12"/>
  <c r="Y117" i="12"/>
  <c r="X117" i="12"/>
  <c r="W117" i="12"/>
  <c r="V117" i="12"/>
  <c r="U117" i="12"/>
  <c r="T117" i="12"/>
  <c r="S117" i="12"/>
  <c r="R117" i="12"/>
  <c r="Q117" i="12"/>
  <c r="P117" i="12"/>
  <c r="O117" i="12"/>
  <c r="N117" i="12"/>
  <c r="M117" i="12"/>
  <c r="L117" i="12"/>
  <c r="K117" i="12"/>
  <c r="J117" i="12"/>
  <c r="I117" i="12"/>
  <c r="H117" i="12"/>
  <c r="G117" i="12"/>
  <c r="F117" i="12"/>
  <c r="AE116" i="12"/>
  <c r="AC116" i="12"/>
  <c r="AB116" i="12"/>
  <c r="AA116" i="12"/>
  <c r="Z116" i="12"/>
  <c r="Y116" i="12"/>
  <c r="X116" i="12"/>
  <c r="W116" i="12"/>
  <c r="V116" i="12"/>
  <c r="U116" i="12"/>
  <c r="T116" i="12"/>
  <c r="S116" i="12"/>
  <c r="R116" i="12"/>
  <c r="Q116" i="12"/>
  <c r="P116" i="12"/>
  <c r="O116" i="12"/>
  <c r="N116" i="12"/>
  <c r="M116" i="12"/>
  <c r="L116" i="12"/>
  <c r="K116" i="12"/>
  <c r="J116" i="12"/>
  <c r="I116" i="12"/>
  <c r="H116" i="12"/>
  <c r="G116" i="12"/>
  <c r="F116" i="12"/>
  <c r="AE115" i="12"/>
  <c r="AC115" i="12"/>
  <c r="AB115" i="12"/>
  <c r="AA115" i="12"/>
  <c r="Z115" i="12"/>
  <c r="Y115" i="12"/>
  <c r="X115" i="12"/>
  <c r="W115" i="12"/>
  <c r="V115" i="12"/>
  <c r="U115" i="12"/>
  <c r="T115" i="12"/>
  <c r="S115" i="12"/>
  <c r="R115" i="12"/>
  <c r="Q115" i="12"/>
  <c r="P115" i="12"/>
  <c r="O115" i="12"/>
  <c r="N115" i="12"/>
  <c r="M115" i="12"/>
  <c r="L115" i="12"/>
  <c r="K115" i="12"/>
  <c r="J115" i="12"/>
  <c r="I115" i="12"/>
  <c r="H115" i="12"/>
  <c r="G115" i="12"/>
  <c r="F115" i="12"/>
  <c r="AE114" i="12"/>
  <c r="AC114" i="12"/>
  <c r="AB114" i="12"/>
  <c r="AA114" i="12"/>
  <c r="Z114" i="12"/>
  <c r="Y114" i="12"/>
  <c r="X114" i="12"/>
  <c r="W114" i="12"/>
  <c r="V114" i="12"/>
  <c r="U114" i="12"/>
  <c r="T114" i="12"/>
  <c r="S114" i="12"/>
  <c r="R114" i="12"/>
  <c r="Q114" i="12"/>
  <c r="P114" i="12"/>
  <c r="O114" i="12"/>
  <c r="N114" i="12"/>
  <c r="M114" i="12"/>
  <c r="L114" i="12"/>
  <c r="K114" i="12"/>
  <c r="J114" i="12"/>
  <c r="I114" i="12"/>
  <c r="H114" i="12"/>
  <c r="G114" i="12"/>
  <c r="F114" i="12"/>
  <c r="AE113" i="12"/>
  <c r="AC113" i="12"/>
  <c r="AB113" i="12"/>
  <c r="AA113" i="12"/>
  <c r="Z113" i="12"/>
  <c r="Y113" i="12"/>
  <c r="X113" i="12"/>
  <c r="W113" i="12"/>
  <c r="V113" i="12"/>
  <c r="U113" i="12"/>
  <c r="T113" i="12"/>
  <c r="S113" i="12"/>
  <c r="R113" i="12"/>
  <c r="Q113" i="12"/>
  <c r="P113" i="12"/>
  <c r="O113" i="12"/>
  <c r="N113" i="12"/>
  <c r="M113" i="12"/>
  <c r="L113" i="12"/>
  <c r="K113" i="12"/>
  <c r="J113" i="12"/>
  <c r="I113" i="12"/>
  <c r="H113" i="12"/>
  <c r="G113" i="12"/>
  <c r="F113" i="12"/>
  <c r="AE112" i="12"/>
  <c r="AC112" i="12"/>
  <c r="AB112" i="12"/>
  <c r="AA112" i="12"/>
  <c r="Z112" i="12"/>
  <c r="Y112" i="12"/>
  <c r="X112" i="12"/>
  <c r="W112" i="12"/>
  <c r="V112" i="12"/>
  <c r="U112" i="12"/>
  <c r="T112" i="12"/>
  <c r="S112" i="12"/>
  <c r="R112" i="12"/>
  <c r="Q112" i="12"/>
  <c r="P112" i="12"/>
  <c r="O112" i="12"/>
  <c r="N112" i="12"/>
  <c r="M112" i="12"/>
  <c r="L112" i="12"/>
  <c r="K112" i="12"/>
  <c r="J112" i="12"/>
  <c r="I112" i="12"/>
  <c r="H112" i="12"/>
  <c r="G112" i="12"/>
  <c r="F112" i="12"/>
  <c r="AE111" i="12"/>
  <c r="AC111" i="12"/>
  <c r="AB111" i="12"/>
  <c r="AA111" i="12"/>
  <c r="Z111" i="12"/>
  <c r="Y111" i="12"/>
  <c r="X111" i="12"/>
  <c r="W111" i="12"/>
  <c r="V111" i="12"/>
  <c r="U111" i="12"/>
  <c r="T111" i="12"/>
  <c r="S111" i="12"/>
  <c r="R111" i="12"/>
  <c r="Q111" i="12"/>
  <c r="P111" i="12"/>
  <c r="O111" i="12"/>
  <c r="N111" i="12"/>
  <c r="M111" i="12"/>
  <c r="L111" i="12"/>
  <c r="K111" i="12"/>
  <c r="J111" i="12"/>
  <c r="I111" i="12"/>
  <c r="H111" i="12"/>
  <c r="G111" i="12"/>
  <c r="F111" i="12"/>
  <c r="AE110" i="12"/>
  <c r="AC110" i="12"/>
  <c r="AB110" i="12"/>
  <c r="AA110" i="12"/>
  <c r="Z110" i="12"/>
  <c r="Y110" i="12"/>
  <c r="X110" i="12"/>
  <c r="W110" i="12"/>
  <c r="V110" i="12"/>
  <c r="U110" i="12"/>
  <c r="T110" i="12"/>
  <c r="S110" i="12"/>
  <c r="R110" i="12"/>
  <c r="Q110" i="12"/>
  <c r="P110" i="12"/>
  <c r="O110" i="12"/>
  <c r="N110" i="12"/>
  <c r="M110" i="12"/>
  <c r="L110" i="12"/>
  <c r="K110" i="12"/>
  <c r="J110" i="12"/>
  <c r="I110" i="12"/>
  <c r="H110" i="12"/>
  <c r="G110" i="12"/>
  <c r="F110" i="12"/>
  <c r="AE109" i="12"/>
  <c r="AC109" i="12"/>
  <c r="AB109" i="12"/>
  <c r="AA109" i="12"/>
  <c r="Z109" i="12"/>
  <c r="Y109" i="12"/>
  <c r="X109" i="12"/>
  <c r="W109" i="12"/>
  <c r="V109" i="12"/>
  <c r="U109" i="12"/>
  <c r="T109" i="12"/>
  <c r="S109" i="12"/>
  <c r="R109" i="12"/>
  <c r="Q109" i="12"/>
  <c r="P109" i="12"/>
  <c r="O109" i="12"/>
  <c r="N109" i="12"/>
  <c r="M109" i="12"/>
  <c r="L109" i="12"/>
  <c r="K109" i="12"/>
  <c r="J109" i="12"/>
  <c r="I109" i="12"/>
  <c r="H109" i="12"/>
  <c r="G109" i="12"/>
  <c r="F109" i="12"/>
  <c r="AE108" i="12"/>
  <c r="AC108" i="12"/>
  <c r="AB108" i="12"/>
  <c r="AA108" i="12"/>
  <c r="Z108" i="12"/>
  <c r="Y108" i="12"/>
  <c r="X108" i="12"/>
  <c r="W108" i="12"/>
  <c r="V108" i="12"/>
  <c r="U108" i="12"/>
  <c r="T108" i="12"/>
  <c r="S108" i="12"/>
  <c r="R108" i="12"/>
  <c r="Q108" i="12"/>
  <c r="P108" i="12"/>
  <c r="O108" i="12"/>
  <c r="N108" i="12"/>
  <c r="M108" i="12"/>
  <c r="L108" i="12"/>
  <c r="K108" i="12"/>
  <c r="J108" i="12"/>
  <c r="I108" i="12"/>
  <c r="H108" i="12"/>
  <c r="G108" i="12"/>
  <c r="F108" i="12"/>
  <c r="AE107" i="12"/>
  <c r="AC107" i="12"/>
  <c r="AB107" i="12"/>
  <c r="AA107" i="12"/>
  <c r="Z107" i="12"/>
  <c r="Y107" i="12"/>
  <c r="X107" i="12"/>
  <c r="W107" i="12"/>
  <c r="V107" i="12"/>
  <c r="U107" i="12"/>
  <c r="T107" i="12"/>
  <c r="S107" i="12"/>
  <c r="R107" i="12"/>
  <c r="Q107" i="12"/>
  <c r="P107" i="12"/>
  <c r="O107" i="12"/>
  <c r="N107" i="12"/>
  <c r="M107" i="12"/>
  <c r="L107" i="12"/>
  <c r="K107" i="12"/>
  <c r="J107" i="12"/>
  <c r="I107" i="12"/>
  <c r="H107" i="12"/>
  <c r="G107" i="12"/>
  <c r="F107" i="12"/>
  <c r="AE106" i="12"/>
  <c r="AC106" i="12"/>
  <c r="AB106" i="12"/>
  <c r="AA106" i="12"/>
  <c r="Z106" i="12"/>
  <c r="Y106" i="12"/>
  <c r="X106" i="12"/>
  <c r="W106" i="12"/>
  <c r="V106" i="12"/>
  <c r="U106" i="12"/>
  <c r="T106" i="12"/>
  <c r="S106" i="12"/>
  <c r="R106" i="12"/>
  <c r="Q106" i="12"/>
  <c r="P106" i="12"/>
  <c r="O106" i="12"/>
  <c r="N106" i="12"/>
  <c r="M106" i="12"/>
  <c r="L106" i="12"/>
  <c r="K106" i="12"/>
  <c r="J106" i="12"/>
  <c r="I106" i="12"/>
  <c r="H106" i="12"/>
  <c r="G106" i="12"/>
  <c r="F106" i="12"/>
  <c r="AE105" i="12"/>
  <c r="AC105" i="12"/>
  <c r="AB105" i="12"/>
  <c r="AA105" i="12"/>
  <c r="Z105" i="12"/>
  <c r="Y105" i="12"/>
  <c r="X105" i="12"/>
  <c r="W105" i="12"/>
  <c r="V105" i="12"/>
  <c r="U105" i="12"/>
  <c r="T105" i="12"/>
  <c r="S105" i="12"/>
  <c r="R105" i="12"/>
  <c r="Q105" i="12"/>
  <c r="P105" i="12"/>
  <c r="O105" i="12"/>
  <c r="N105" i="12"/>
  <c r="M105" i="12"/>
  <c r="L105" i="12"/>
  <c r="K105" i="12"/>
  <c r="J105" i="12"/>
  <c r="I105" i="12"/>
  <c r="H105" i="12"/>
  <c r="G105" i="12"/>
  <c r="F105" i="12"/>
  <c r="AE104" i="12"/>
  <c r="AC104" i="12"/>
  <c r="AB104" i="12"/>
  <c r="AA104" i="12"/>
  <c r="Z104" i="12"/>
  <c r="Y104" i="12"/>
  <c r="X104" i="12"/>
  <c r="W104" i="12"/>
  <c r="V104" i="12"/>
  <c r="U104" i="12"/>
  <c r="T104" i="12"/>
  <c r="S104" i="12"/>
  <c r="R104" i="12"/>
  <c r="Q104" i="12"/>
  <c r="P104" i="12"/>
  <c r="O104" i="12"/>
  <c r="N104" i="12"/>
  <c r="M104" i="12"/>
  <c r="L104" i="12"/>
  <c r="K104" i="12"/>
  <c r="J104" i="12"/>
  <c r="I104" i="12"/>
  <c r="H104" i="12"/>
  <c r="G104" i="12"/>
  <c r="F104" i="12"/>
  <c r="AE103" i="12"/>
  <c r="AC103" i="12"/>
  <c r="AB103" i="12"/>
  <c r="AA103" i="12"/>
  <c r="Z103" i="12"/>
  <c r="Y103" i="12"/>
  <c r="X103" i="12"/>
  <c r="W103" i="12"/>
  <c r="V103" i="12"/>
  <c r="U103" i="12"/>
  <c r="T103" i="12"/>
  <c r="S103" i="12"/>
  <c r="R103" i="12"/>
  <c r="Q103" i="12"/>
  <c r="P103" i="12"/>
  <c r="O103" i="12"/>
  <c r="N103" i="12"/>
  <c r="M103" i="12"/>
  <c r="L103" i="12"/>
  <c r="K103" i="12"/>
  <c r="J103" i="12"/>
  <c r="I103" i="12"/>
  <c r="H103" i="12"/>
  <c r="G103" i="12"/>
  <c r="F103" i="12"/>
  <c r="AE102" i="12"/>
  <c r="AC102" i="12"/>
  <c r="AB102" i="12"/>
  <c r="AA102" i="12"/>
  <c r="Z102" i="12"/>
  <c r="Y102" i="12"/>
  <c r="X102" i="12"/>
  <c r="W102" i="12"/>
  <c r="V102" i="12"/>
  <c r="U102" i="12"/>
  <c r="T102" i="12"/>
  <c r="S102" i="12"/>
  <c r="R102" i="12"/>
  <c r="Q102" i="12"/>
  <c r="P102" i="12"/>
  <c r="O102" i="12"/>
  <c r="N102" i="12"/>
  <c r="M102" i="12"/>
  <c r="L102" i="12"/>
  <c r="K102" i="12"/>
  <c r="J102" i="12"/>
  <c r="I102" i="12"/>
  <c r="H102" i="12"/>
  <c r="G102" i="12"/>
  <c r="F102" i="12"/>
  <c r="AE101" i="12"/>
  <c r="AC101" i="12"/>
  <c r="AB101" i="12"/>
  <c r="AA101" i="12"/>
  <c r="Z101" i="12"/>
  <c r="Y101" i="12"/>
  <c r="X101" i="12"/>
  <c r="W101" i="12"/>
  <c r="V101" i="12"/>
  <c r="U101" i="12"/>
  <c r="T101" i="12"/>
  <c r="S101" i="12"/>
  <c r="R101" i="12"/>
  <c r="Q101" i="12"/>
  <c r="P101" i="12"/>
  <c r="O101" i="12"/>
  <c r="N101" i="12"/>
  <c r="M101" i="12"/>
  <c r="L101" i="12"/>
  <c r="K101" i="12"/>
  <c r="J101" i="12"/>
  <c r="I101" i="12"/>
  <c r="H101" i="12"/>
  <c r="G101" i="12"/>
  <c r="F101" i="12"/>
  <c r="AE100" i="12"/>
  <c r="AC100" i="12"/>
  <c r="AB100" i="12"/>
  <c r="AA100" i="12"/>
  <c r="Z100" i="12"/>
  <c r="Y100" i="12"/>
  <c r="X100" i="12"/>
  <c r="W100" i="12"/>
  <c r="V100" i="12"/>
  <c r="U100" i="12"/>
  <c r="T100" i="12"/>
  <c r="S100" i="12"/>
  <c r="R100" i="12"/>
  <c r="Q100" i="12"/>
  <c r="P100" i="12"/>
  <c r="O100" i="12"/>
  <c r="N100" i="12"/>
  <c r="M100" i="12"/>
  <c r="L100" i="12"/>
  <c r="K100" i="12"/>
  <c r="J100" i="12"/>
  <c r="I100" i="12"/>
  <c r="H100" i="12"/>
  <c r="G100" i="12"/>
  <c r="F100" i="12"/>
  <c r="AE99" i="12"/>
  <c r="AC99" i="12"/>
  <c r="AB99" i="12"/>
  <c r="AA99" i="12"/>
  <c r="Z99" i="12"/>
  <c r="Y99" i="12"/>
  <c r="X99" i="12"/>
  <c r="W99" i="12"/>
  <c r="V99" i="12"/>
  <c r="U99" i="12"/>
  <c r="T99" i="12"/>
  <c r="S99" i="12"/>
  <c r="R99" i="12"/>
  <c r="Q99" i="12"/>
  <c r="P99" i="12"/>
  <c r="O99" i="12"/>
  <c r="N99" i="12"/>
  <c r="M99" i="12"/>
  <c r="L99" i="12"/>
  <c r="K99" i="12"/>
  <c r="J99" i="12"/>
  <c r="I99" i="12"/>
  <c r="H99" i="12"/>
  <c r="G99" i="12"/>
  <c r="F99" i="12"/>
  <c r="AE98" i="12"/>
  <c r="AC98" i="12"/>
  <c r="AB98" i="12"/>
  <c r="AA98" i="12"/>
  <c r="Z98" i="12"/>
  <c r="Y98" i="12"/>
  <c r="X98" i="12"/>
  <c r="W98" i="12"/>
  <c r="V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AE97" i="12"/>
  <c r="AC97" i="12"/>
  <c r="AB97" i="12"/>
  <c r="AA97" i="12"/>
  <c r="Z97" i="12"/>
  <c r="Y97" i="12"/>
  <c r="X97" i="12"/>
  <c r="W97" i="12"/>
  <c r="V97" i="12"/>
  <c r="U97" i="12"/>
  <c r="T97" i="12"/>
  <c r="S97" i="12"/>
  <c r="R97" i="12"/>
  <c r="Q97" i="12"/>
  <c r="P97" i="12"/>
  <c r="O97" i="12"/>
  <c r="N97" i="12"/>
  <c r="M97" i="12"/>
  <c r="L97" i="12"/>
  <c r="K97" i="12"/>
  <c r="J97" i="12"/>
  <c r="I97" i="12"/>
  <c r="H97" i="12"/>
  <c r="G97" i="12"/>
  <c r="F97" i="12"/>
  <c r="AE96" i="12"/>
  <c r="AC96" i="12"/>
  <c r="AB96" i="12"/>
  <c r="AA96" i="12"/>
  <c r="Z96" i="12"/>
  <c r="Y96" i="12"/>
  <c r="X96" i="12"/>
  <c r="W96" i="12"/>
  <c r="V96" i="12"/>
  <c r="U96" i="12"/>
  <c r="T96" i="12"/>
  <c r="S96" i="12"/>
  <c r="R96" i="12"/>
  <c r="Q96" i="12"/>
  <c r="P96" i="12"/>
  <c r="O96" i="12"/>
  <c r="N96" i="12"/>
  <c r="M96" i="12"/>
  <c r="L96" i="12"/>
  <c r="K96" i="12"/>
  <c r="J96" i="12"/>
  <c r="I96" i="12"/>
  <c r="H96" i="12"/>
  <c r="G96" i="12"/>
  <c r="F96" i="12"/>
  <c r="AE95" i="12"/>
  <c r="AC95" i="12"/>
  <c r="AB95" i="12"/>
  <c r="AA95" i="12"/>
  <c r="Z95" i="12"/>
  <c r="Y95" i="12"/>
  <c r="X95" i="12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AE94" i="12"/>
  <c r="AC94" i="12"/>
  <c r="AB94" i="12"/>
  <c r="AA94" i="12"/>
  <c r="Z94" i="12"/>
  <c r="Y94" i="12"/>
  <c r="X94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AE93" i="12"/>
  <c r="AC93" i="12"/>
  <c r="AB93" i="12"/>
  <c r="AA93" i="12"/>
  <c r="Z93" i="12"/>
  <c r="Y93" i="12"/>
  <c r="X93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AE92" i="12"/>
  <c r="AC92" i="12"/>
  <c r="AB92" i="12"/>
  <c r="AA92" i="12"/>
  <c r="Z92" i="12"/>
  <c r="Y92" i="12"/>
  <c r="X92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AE91" i="12"/>
  <c r="AC91" i="12"/>
  <c r="AB91" i="12"/>
  <c r="AA91" i="12"/>
  <c r="Z91" i="12"/>
  <c r="Y91" i="12"/>
  <c r="X91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AE90" i="12"/>
  <c r="AC90" i="12"/>
  <c r="AB90" i="12"/>
  <c r="AA90" i="12"/>
  <c r="Z90" i="12"/>
  <c r="Y90" i="12"/>
  <c r="X90" i="12"/>
  <c r="W90" i="12"/>
  <c r="V90" i="12"/>
  <c r="U90" i="12"/>
  <c r="T90" i="12"/>
  <c r="S90" i="12"/>
  <c r="R90" i="12"/>
  <c r="Q90" i="12"/>
  <c r="P90" i="12"/>
  <c r="O90" i="12"/>
  <c r="N90" i="12"/>
  <c r="M90" i="12"/>
  <c r="L90" i="12"/>
  <c r="K90" i="12"/>
  <c r="J90" i="12"/>
  <c r="I90" i="12"/>
  <c r="H90" i="12"/>
  <c r="G90" i="12"/>
  <c r="F90" i="12"/>
  <c r="AE89" i="12"/>
  <c r="AC89" i="12"/>
  <c r="AB89" i="12"/>
  <c r="AA89" i="12"/>
  <c r="Z89" i="12"/>
  <c r="Y89" i="12"/>
  <c r="X89" i="12"/>
  <c r="W89" i="12"/>
  <c r="V89" i="12"/>
  <c r="U89" i="12"/>
  <c r="T89" i="12"/>
  <c r="S89" i="12"/>
  <c r="R89" i="12"/>
  <c r="Q89" i="12"/>
  <c r="P89" i="12"/>
  <c r="O89" i="12"/>
  <c r="N89" i="12"/>
  <c r="M89" i="12"/>
  <c r="L89" i="12"/>
  <c r="K89" i="12"/>
  <c r="J89" i="12"/>
  <c r="I89" i="12"/>
  <c r="H89" i="12"/>
  <c r="G89" i="12"/>
  <c r="F89" i="12"/>
  <c r="AE88" i="12"/>
  <c r="AC88" i="12"/>
  <c r="AB88" i="12"/>
  <c r="AA88" i="12"/>
  <c r="Z88" i="12"/>
  <c r="Y88" i="12"/>
  <c r="X88" i="12"/>
  <c r="W88" i="12"/>
  <c r="V88" i="12"/>
  <c r="U88" i="12"/>
  <c r="T88" i="12"/>
  <c r="S88" i="12"/>
  <c r="R88" i="12"/>
  <c r="Q88" i="12"/>
  <c r="P88" i="12"/>
  <c r="O88" i="12"/>
  <c r="N88" i="12"/>
  <c r="M88" i="12"/>
  <c r="L88" i="12"/>
  <c r="K88" i="12"/>
  <c r="J88" i="12"/>
  <c r="I88" i="12"/>
  <c r="H88" i="12"/>
  <c r="G88" i="12"/>
  <c r="F88" i="12"/>
  <c r="AE87" i="12"/>
  <c r="AC87" i="12"/>
  <c r="AB87" i="12"/>
  <c r="AA87" i="12"/>
  <c r="Z87" i="12"/>
  <c r="Y87" i="12"/>
  <c r="X87" i="12"/>
  <c r="W87" i="12"/>
  <c r="V87" i="12"/>
  <c r="U87" i="12"/>
  <c r="T87" i="12"/>
  <c r="S87" i="12"/>
  <c r="R87" i="12"/>
  <c r="Q87" i="12"/>
  <c r="P87" i="12"/>
  <c r="O87" i="12"/>
  <c r="N87" i="12"/>
  <c r="M87" i="12"/>
  <c r="L87" i="12"/>
  <c r="K87" i="12"/>
  <c r="J87" i="12"/>
  <c r="I87" i="12"/>
  <c r="H87" i="12"/>
  <c r="G87" i="12"/>
  <c r="F87" i="12"/>
  <c r="AE86" i="12"/>
  <c r="AC86" i="12"/>
  <c r="AB86" i="12"/>
  <c r="AA86" i="12"/>
  <c r="Z86" i="12"/>
  <c r="Y86" i="12"/>
  <c r="X86" i="12"/>
  <c r="W86" i="12"/>
  <c r="V86" i="12"/>
  <c r="U86" i="12"/>
  <c r="T86" i="12"/>
  <c r="S86" i="12"/>
  <c r="R86" i="12"/>
  <c r="Q86" i="12"/>
  <c r="P86" i="12"/>
  <c r="O86" i="12"/>
  <c r="N86" i="12"/>
  <c r="M86" i="12"/>
  <c r="L86" i="12"/>
  <c r="K86" i="12"/>
  <c r="J86" i="12"/>
  <c r="I86" i="12"/>
  <c r="H86" i="12"/>
  <c r="G86" i="12"/>
  <c r="F86" i="12"/>
  <c r="AE85" i="12"/>
  <c r="AC85" i="12"/>
  <c r="AB85" i="12"/>
  <c r="AA85" i="12"/>
  <c r="Z85" i="12"/>
  <c r="Y85" i="12"/>
  <c r="X85" i="12"/>
  <c r="W85" i="12"/>
  <c r="V85" i="12"/>
  <c r="U85" i="12"/>
  <c r="T85" i="12"/>
  <c r="S85" i="12"/>
  <c r="R85" i="12"/>
  <c r="Q85" i="12"/>
  <c r="P85" i="12"/>
  <c r="O85" i="12"/>
  <c r="N85" i="12"/>
  <c r="M85" i="12"/>
  <c r="L85" i="12"/>
  <c r="K85" i="12"/>
  <c r="J85" i="12"/>
  <c r="I85" i="12"/>
  <c r="H85" i="12"/>
  <c r="G85" i="12"/>
  <c r="F85" i="12"/>
  <c r="AE84" i="12"/>
  <c r="AC84" i="12"/>
  <c r="AB84" i="12"/>
  <c r="AA84" i="12"/>
  <c r="Z84" i="12"/>
  <c r="Y84" i="12"/>
  <c r="X84" i="12"/>
  <c r="W84" i="12"/>
  <c r="V84" i="12"/>
  <c r="U84" i="12"/>
  <c r="T84" i="12"/>
  <c r="S84" i="12"/>
  <c r="R84" i="12"/>
  <c r="Q84" i="12"/>
  <c r="P84" i="12"/>
  <c r="O84" i="12"/>
  <c r="N84" i="12"/>
  <c r="M84" i="12"/>
  <c r="L84" i="12"/>
  <c r="K84" i="12"/>
  <c r="J84" i="12"/>
  <c r="I84" i="12"/>
  <c r="H84" i="12"/>
  <c r="G84" i="12"/>
  <c r="F84" i="12"/>
  <c r="AE83" i="12"/>
  <c r="AC83" i="12"/>
  <c r="AB83" i="12"/>
  <c r="AA83" i="12"/>
  <c r="Z83" i="12"/>
  <c r="Y83" i="12"/>
  <c r="X83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AE82" i="12"/>
  <c r="AC82" i="12"/>
  <c r="AB82" i="12"/>
  <c r="AA82" i="12"/>
  <c r="Z82" i="12"/>
  <c r="Y82" i="12"/>
  <c r="X82" i="12"/>
  <c r="W82" i="12"/>
  <c r="V82" i="12"/>
  <c r="U82" i="12"/>
  <c r="T82" i="12"/>
  <c r="S82" i="12"/>
  <c r="R82" i="12"/>
  <c r="Q82" i="12"/>
  <c r="P82" i="12"/>
  <c r="O82" i="12"/>
  <c r="N82" i="12"/>
  <c r="M82" i="12"/>
  <c r="L82" i="12"/>
  <c r="K82" i="12"/>
  <c r="J82" i="12"/>
  <c r="I82" i="12"/>
  <c r="H82" i="12"/>
  <c r="G82" i="12"/>
  <c r="F82" i="12"/>
  <c r="AE81" i="12"/>
  <c r="AC81" i="12"/>
  <c r="AB81" i="12"/>
  <c r="AA81" i="12"/>
  <c r="Z81" i="12"/>
  <c r="Y81" i="12"/>
  <c r="X81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AE80" i="12"/>
  <c r="AC80" i="12"/>
  <c r="AB80" i="12"/>
  <c r="AA80" i="12"/>
  <c r="Z80" i="12"/>
  <c r="Y80" i="12"/>
  <c r="X80" i="12"/>
  <c r="W80" i="12"/>
  <c r="V80" i="12"/>
  <c r="U80" i="12"/>
  <c r="T80" i="12"/>
  <c r="S80" i="12"/>
  <c r="R80" i="12"/>
  <c r="Q80" i="12"/>
  <c r="P80" i="12"/>
  <c r="O80" i="12"/>
  <c r="N80" i="12"/>
  <c r="M80" i="12"/>
  <c r="L80" i="12"/>
  <c r="K80" i="12"/>
  <c r="J80" i="12"/>
  <c r="I80" i="12"/>
  <c r="H80" i="12"/>
  <c r="G80" i="12"/>
  <c r="F80" i="12"/>
  <c r="AE79" i="12"/>
  <c r="AC79" i="12"/>
  <c r="AB79" i="12"/>
  <c r="AA79" i="12"/>
  <c r="Z79" i="12"/>
  <c r="Y79" i="12"/>
  <c r="X79" i="12"/>
  <c r="W79" i="12"/>
  <c r="V79" i="12"/>
  <c r="U79" i="12"/>
  <c r="T79" i="12"/>
  <c r="S79" i="12"/>
  <c r="R79" i="12"/>
  <c r="Q79" i="12"/>
  <c r="P79" i="12"/>
  <c r="O79" i="12"/>
  <c r="N79" i="12"/>
  <c r="M79" i="12"/>
  <c r="L79" i="12"/>
  <c r="K79" i="12"/>
  <c r="J79" i="12"/>
  <c r="I79" i="12"/>
  <c r="H79" i="12"/>
  <c r="G79" i="12"/>
  <c r="F79" i="12"/>
  <c r="AE78" i="12"/>
  <c r="AC78" i="12"/>
  <c r="AB78" i="12"/>
  <c r="AA78" i="12"/>
  <c r="Z78" i="12"/>
  <c r="Y78" i="12"/>
  <c r="X78" i="12"/>
  <c r="W78" i="12"/>
  <c r="V78" i="12"/>
  <c r="U78" i="12"/>
  <c r="T78" i="12"/>
  <c r="S78" i="12"/>
  <c r="R78" i="12"/>
  <c r="Q78" i="12"/>
  <c r="P78" i="12"/>
  <c r="O78" i="12"/>
  <c r="N78" i="12"/>
  <c r="M78" i="12"/>
  <c r="L78" i="12"/>
  <c r="K78" i="12"/>
  <c r="J78" i="12"/>
  <c r="I78" i="12"/>
  <c r="H78" i="12"/>
  <c r="G78" i="12"/>
  <c r="F78" i="12"/>
  <c r="AE77" i="12"/>
  <c r="AC77" i="12"/>
  <c r="AB77" i="12"/>
  <c r="AA77" i="12"/>
  <c r="Z77" i="12"/>
  <c r="Y77" i="12"/>
  <c r="X77" i="12"/>
  <c r="W77" i="12"/>
  <c r="V77" i="12"/>
  <c r="U77" i="12"/>
  <c r="T77" i="12"/>
  <c r="S77" i="12"/>
  <c r="R77" i="12"/>
  <c r="Q77" i="12"/>
  <c r="P77" i="12"/>
  <c r="O77" i="12"/>
  <c r="N77" i="12"/>
  <c r="M77" i="12"/>
  <c r="L77" i="12"/>
  <c r="K77" i="12"/>
  <c r="J77" i="12"/>
  <c r="I77" i="12"/>
  <c r="H77" i="12"/>
  <c r="G77" i="12"/>
  <c r="F77" i="12"/>
  <c r="AE76" i="12"/>
  <c r="AC76" i="12"/>
  <c r="AB76" i="12"/>
  <c r="AA76" i="12"/>
  <c r="Z76" i="12"/>
  <c r="Y76" i="12"/>
  <c r="X76" i="12"/>
  <c r="W76" i="12"/>
  <c r="V76" i="12"/>
  <c r="U76" i="12"/>
  <c r="T76" i="12"/>
  <c r="S76" i="12"/>
  <c r="R76" i="12"/>
  <c r="Q76" i="12"/>
  <c r="P76" i="12"/>
  <c r="O76" i="12"/>
  <c r="N76" i="12"/>
  <c r="M76" i="12"/>
  <c r="L76" i="12"/>
  <c r="K76" i="12"/>
  <c r="J76" i="12"/>
  <c r="I76" i="12"/>
  <c r="H76" i="12"/>
  <c r="G76" i="12"/>
  <c r="F76" i="12"/>
  <c r="AE75" i="12"/>
  <c r="AC75" i="12"/>
  <c r="AB75" i="12"/>
  <c r="AA75" i="12"/>
  <c r="Z75" i="12"/>
  <c r="Y75" i="12"/>
  <c r="X75" i="12"/>
  <c r="W75" i="12"/>
  <c r="V75" i="12"/>
  <c r="U75" i="12"/>
  <c r="T75" i="12"/>
  <c r="S75" i="12"/>
  <c r="R75" i="12"/>
  <c r="Q75" i="12"/>
  <c r="P75" i="12"/>
  <c r="O75" i="12"/>
  <c r="N75" i="12"/>
  <c r="M75" i="12"/>
  <c r="L75" i="12"/>
  <c r="K75" i="12"/>
  <c r="J75" i="12"/>
  <c r="I75" i="12"/>
  <c r="H75" i="12"/>
  <c r="G75" i="12"/>
  <c r="F75" i="12"/>
  <c r="AE74" i="12"/>
  <c r="AC74" i="12"/>
  <c r="AB74" i="12"/>
  <c r="AA74" i="12"/>
  <c r="Z74" i="12"/>
  <c r="Y74" i="12"/>
  <c r="X74" i="12"/>
  <c r="W74" i="12"/>
  <c r="V74" i="12"/>
  <c r="U74" i="12"/>
  <c r="T74" i="12"/>
  <c r="S74" i="12"/>
  <c r="R74" i="12"/>
  <c r="Q74" i="12"/>
  <c r="P74" i="12"/>
  <c r="O74" i="12"/>
  <c r="N74" i="12"/>
  <c r="M74" i="12"/>
  <c r="L74" i="12"/>
  <c r="K74" i="12"/>
  <c r="J74" i="12"/>
  <c r="I74" i="12"/>
  <c r="H74" i="12"/>
  <c r="G74" i="12"/>
  <c r="F74" i="12"/>
  <c r="AE73" i="12"/>
  <c r="AC73" i="12"/>
  <c r="AB73" i="12"/>
  <c r="AA73" i="12"/>
  <c r="Z73" i="12"/>
  <c r="Y73" i="12"/>
  <c r="X73" i="12"/>
  <c r="W73" i="12"/>
  <c r="V73" i="12"/>
  <c r="U73" i="12"/>
  <c r="T73" i="12"/>
  <c r="S73" i="12"/>
  <c r="R73" i="12"/>
  <c r="Q73" i="12"/>
  <c r="P73" i="12"/>
  <c r="O73" i="12"/>
  <c r="N73" i="12"/>
  <c r="M73" i="12"/>
  <c r="L73" i="12"/>
  <c r="K73" i="12"/>
  <c r="J73" i="12"/>
  <c r="I73" i="12"/>
  <c r="H73" i="12"/>
  <c r="G73" i="12"/>
  <c r="F73" i="12"/>
  <c r="AE72" i="12"/>
  <c r="AC72" i="12"/>
  <c r="AB72" i="12"/>
  <c r="AA72" i="12"/>
  <c r="Z72" i="12"/>
  <c r="Y72" i="12"/>
  <c r="X72" i="12"/>
  <c r="W72" i="12"/>
  <c r="V72" i="12"/>
  <c r="U72" i="12"/>
  <c r="T72" i="12"/>
  <c r="S72" i="12"/>
  <c r="R72" i="12"/>
  <c r="Q72" i="12"/>
  <c r="P72" i="12"/>
  <c r="O72" i="12"/>
  <c r="N72" i="12"/>
  <c r="M72" i="12"/>
  <c r="L72" i="12"/>
  <c r="K72" i="12"/>
  <c r="J72" i="12"/>
  <c r="I72" i="12"/>
  <c r="H72" i="12"/>
  <c r="G72" i="12"/>
  <c r="F72" i="12"/>
  <c r="AE71" i="12"/>
  <c r="AC71" i="12"/>
  <c r="AB71" i="12"/>
  <c r="AA71" i="12"/>
  <c r="Z71" i="12"/>
  <c r="Y71" i="12"/>
  <c r="X71" i="12"/>
  <c r="W71" i="12"/>
  <c r="V71" i="12"/>
  <c r="U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AE70" i="12"/>
  <c r="AC70" i="12"/>
  <c r="AB70" i="12"/>
  <c r="AA70" i="12"/>
  <c r="Z70" i="12"/>
  <c r="Y70" i="12"/>
  <c r="X70" i="12"/>
  <c r="W70" i="12"/>
  <c r="V70" i="12"/>
  <c r="U70" i="12"/>
  <c r="T70" i="12"/>
  <c r="S70" i="12"/>
  <c r="R70" i="12"/>
  <c r="Q70" i="12"/>
  <c r="P70" i="12"/>
  <c r="O70" i="12"/>
  <c r="N70" i="12"/>
  <c r="M70" i="12"/>
  <c r="L70" i="12"/>
  <c r="K70" i="12"/>
  <c r="J70" i="12"/>
  <c r="I70" i="12"/>
  <c r="H70" i="12"/>
  <c r="G70" i="12"/>
  <c r="F70" i="12"/>
  <c r="AE69" i="12"/>
  <c r="AC69" i="12"/>
  <c r="AB69" i="12"/>
  <c r="AA69" i="12"/>
  <c r="Z69" i="12"/>
  <c r="Y69" i="12"/>
  <c r="X69" i="12"/>
  <c r="W69" i="12"/>
  <c r="V69" i="12"/>
  <c r="U69" i="12"/>
  <c r="T69" i="12"/>
  <c r="S69" i="12"/>
  <c r="R69" i="12"/>
  <c r="Q69" i="12"/>
  <c r="P69" i="12"/>
  <c r="O69" i="12"/>
  <c r="N69" i="12"/>
  <c r="M69" i="12"/>
  <c r="L69" i="12"/>
  <c r="K69" i="12"/>
  <c r="J69" i="12"/>
  <c r="I69" i="12"/>
  <c r="H69" i="12"/>
  <c r="G69" i="12"/>
  <c r="F69" i="12"/>
  <c r="AE68" i="12"/>
  <c r="AC68" i="12"/>
  <c r="AB68" i="12"/>
  <c r="AA68" i="12"/>
  <c r="Z68" i="12"/>
  <c r="Y68" i="12"/>
  <c r="X68" i="12"/>
  <c r="W68" i="12"/>
  <c r="V68" i="12"/>
  <c r="U68" i="12"/>
  <c r="T68" i="12"/>
  <c r="S68" i="12"/>
  <c r="R68" i="12"/>
  <c r="Q68" i="12"/>
  <c r="P68" i="12"/>
  <c r="O68" i="12"/>
  <c r="N68" i="12"/>
  <c r="M68" i="12"/>
  <c r="L68" i="12"/>
  <c r="K68" i="12"/>
  <c r="J68" i="12"/>
  <c r="I68" i="12"/>
  <c r="H68" i="12"/>
  <c r="G68" i="12"/>
  <c r="F68" i="12"/>
  <c r="AE67" i="12"/>
  <c r="AC67" i="12"/>
  <c r="AB67" i="12"/>
  <c r="AA67" i="12"/>
  <c r="Z67" i="12"/>
  <c r="Y67" i="12"/>
  <c r="X67" i="12"/>
  <c r="W67" i="12"/>
  <c r="V67" i="12"/>
  <c r="U67" i="12"/>
  <c r="T67" i="12"/>
  <c r="S67" i="12"/>
  <c r="R67" i="12"/>
  <c r="Q67" i="12"/>
  <c r="P67" i="12"/>
  <c r="O67" i="12"/>
  <c r="N67" i="12"/>
  <c r="M67" i="12"/>
  <c r="L67" i="12"/>
  <c r="K67" i="12"/>
  <c r="J67" i="12"/>
  <c r="I67" i="12"/>
  <c r="H67" i="12"/>
  <c r="G67" i="12"/>
  <c r="F67" i="12"/>
  <c r="AE66" i="12"/>
  <c r="AC66" i="12"/>
  <c r="AB66" i="12"/>
  <c r="AA66" i="12"/>
  <c r="Z66" i="12"/>
  <c r="Y66" i="12"/>
  <c r="X66" i="12"/>
  <c r="W66" i="12"/>
  <c r="V66" i="12"/>
  <c r="U66" i="12"/>
  <c r="T66" i="12"/>
  <c r="S66" i="12"/>
  <c r="R66" i="12"/>
  <c r="Q66" i="12"/>
  <c r="P66" i="12"/>
  <c r="O66" i="12"/>
  <c r="N66" i="12"/>
  <c r="M66" i="12"/>
  <c r="L66" i="12"/>
  <c r="K66" i="12"/>
  <c r="J66" i="12"/>
  <c r="I66" i="12"/>
  <c r="H66" i="12"/>
  <c r="G66" i="12"/>
  <c r="F66" i="12"/>
  <c r="AE65" i="12"/>
  <c r="AC65" i="12"/>
  <c r="AB65" i="12"/>
  <c r="AA65" i="12"/>
  <c r="Z65" i="12"/>
  <c r="Y65" i="12"/>
  <c r="X65" i="12"/>
  <c r="W65" i="12"/>
  <c r="V65" i="12"/>
  <c r="U65" i="12"/>
  <c r="T65" i="12"/>
  <c r="S65" i="12"/>
  <c r="R65" i="12"/>
  <c r="Q65" i="12"/>
  <c r="P65" i="12"/>
  <c r="O65" i="12"/>
  <c r="N65" i="12"/>
  <c r="M65" i="12"/>
  <c r="L65" i="12"/>
  <c r="K65" i="12"/>
  <c r="J65" i="12"/>
  <c r="I65" i="12"/>
  <c r="H65" i="12"/>
  <c r="G65" i="12"/>
  <c r="F65" i="12"/>
  <c r="AE64" i="12"/>
  <c r="AC64" i="12"/>
  <c r="AB64" i="12"/>
  <c r="AA64" i="12"/>
  <c r="Z64" i="12"/>
  <c r="Y64" i="12"/>
  <c r="X64" i="12"/>
  <c r="W64" i="12"/>
  <c r="V64" i="12"/>
  <c r="U64" i="12"/>
  <c r="T64" i="12"/>
  <c r="S64" i="12"/>
  <c r="R64" i="12"/>
  <c r="Q64" i="12"/>
  <c r="P64" i="12"/>
  <c r="O64" i="12"/>
  <c r="N64" i="12"/>
  <c r="M64" i="12"/>
  <c r="L64" i="12"/>
  <c r="K64" i="12"/>
  <c r="J64" i="12"/>
  <c r="I64" i="12"/>
  <c r="H64" i="12"/>
  <c r="G64" i="12"/>
  <c r="F64" i="12"/>
  <c r="AE63" i="12"/>
  <c r="AC63" i="12"/>
  <c r="AB63" i="12"/>
  <c r="AA63" i="12"/>
  <c r="Z63" i="12"/>
  <c r="Y63" i="12"/>
  <c r="X63" i="12"/>
  <c r="W63" i="12"/>
  <c r="V63" i="12"/>
  <c r="U63" i="12"/>
  <c r="T63" i="12"/>
  <c r="S63" i="12"/>
  <c r="R63" i="12"/>
  <c r="Q63" i="12"/>
  <c r="P63" i="12"/>
  <c r="O63" i="12"/>
  <c r="N63" i="12"/>
  <c r="M63" i="12"/>
  <c r="L63" i="12"/>
  <c r="K63" i="12"/>
  <c r="J63" i="12"/>
  <c r="I63" i="12"/>
  <c r="H63" i="12"/>
  <c r="G63" i="12"/>
  <c r="F63" i="12"/>
  <c r="AE62" i="12"/>
  <c r="AC62" i="12"/>
  <c r="AB62" i="12"/>
  <c r="AA62" i="12"/>
  <c r="Z62" i="12"/>
  <c r="Y62" i="12"/>
  <c r="X62" i="12"/>
  <c r="W62" i="12"/>
  <c r="V62" i="12"/>
  <c r="U62" i="12"/>
  <c r="T62" i="12"/>
  <c r="S62" i="12"/>
  <c r="R62" i="12"/>
  <c r="Q62" i="12"/>
  <c r="P62" i="12"/>
  <c r="O62" i="12"/>
  <c r="N62" i="12"/>
  <c r="M62" i="12"/>
  <c r="L62" i="12"/>
  <c r="K62" i="12"/>
  <c r="J62" i="12"/>
  <c r="I62" i="12"/>
  <c r="H62" i="12"/>
  <c r="G62" i="12"/>
  <c r="F62" i="12"/>
  <c r="AE61" i="12"/>
  <c r="AC61" i="12"/>
  <c r="AB61" i="12"/>
  <c r="AA61" i="12"/>
  <c r="Z61" i="12"/>
  <c r="Y61" i="12"/>
  <c r="X61" i="12"/>
  <c r="W61" i="12"/>
  <c r="V61" i="12"/>
  <c r="U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F61" i="12"/>
  <c r="AE60" i="12"/>
  <c r="AC60" i="12"/>
  <c r="AB60" i="12"/>
  <c r="AA60" i="12"/>
  <c r="Z60" i="12"/>
  <c r="Y60" i="12"/>
  <c r="X60" i="12"/>
  <c r="W60" i="12"/>
  <c r="V60" i="12"/>
  <c r="U60" i="12"/>
  <c r="T60" i="12"/>
  <c r="S60" i="12"/>
  <c r="R60" i="12"/>
  <c r="Q60" i="12"/>
  <c r="P60" i="12"/>
  <c r="O60" i="12"/>
  <c r="N60" i="12"/>
  <c r="M60" i="12"/>
  <c r="L60" i="12"/>
  <c r="K60" i="12"/>
  <c r="J60" i="12"/>
  <c r="I60" i="12"/>
  <c r="H60" i="12"/>
  <c r="G60" i="12"/>
  <c r="F60" i="12"/>
  <c r="AE59" i="12"/>
  <c r="AC59" i="12"/>
  <c r="AB59" i="12"/>
  <c r="AA59" i="12"/>
  <c r="Z59" i="12"/>
  <c r="Y59" i="12"/>
  <c r="X59" i="12"/>
  <c r="W59" i="12"/>
  <c r="V59" i="12"/>
  <c r="U59" i="12"/>
  <c r="T59" i="12"/>
  <c r="S59" i="12"/>
  <c r="R59" i="12"/>
  <c r="Q59" i="12"/>
  <c r="P59" i="12"/>
  <c r="O59" i="12"/>
  <c r="N59" i="12"/>
  <c r="M59" i="12"/>
  <c r="L59" i="12"/>
  <c r="K59" i="12"/>
  <c r="J59" i="12"/>
  <c r="I59" i="12"/>
  <c r="H59" i="12"/>
  <c r="G59" i="12"/>
  <c r="F59" i="12"/>
  <c r="AE58" i="12"/>
  <c r="AC58" i="12"/>
  <c r="AB58" i="12"/>
  <c r="AA58" i="12"/>
  <c r="Z58" i="12"/>
  <c r="Y58" i="12"/>
  <c r="X58" i="12"/>
  <c r="W58" i="12"/>
  <c r="V58" i="12"/>
  <c r="U58" i="12"/>
  <c r="T58" i="12"/>
  <c r="S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AE57" i="12"/>
  <c r="AC57" i="12"/>
  <c r="AB57" i="12"/>
  <c r="AA57" i="12"/>
  <c r="Z57" i="12"/>
  <c r="Y57" i="12"/>
  <c r="X57" i="12"/>
  <c r="W57" i="12"/>
  <c r="V57" i="12"/>
  <c r="U57" i="12"/>
  <c r="T57" i="12"/>
  <c r="S57" i="12"/>
  <c r="R57" i="12"/>
  <c r="Q57" i="12"/>
  <c r="P57" i="12"/>
  <c r="O57" i="12"/>
  <c r="N57" i="12"/>
  <c r="M57" i="12"/>
  <c r="L57" i="12"/>
  <c r="K57" i="12"/>
  <c r="J57" i="12"/>
  <c r="I57" i="12"/>
  <c r="H57" i="12"/>
  <c r="G57" i="12"/>
  <c r="F57" i="12"/>
  <c r="AE56" i="12"/>
  <c r="AC56" i="12"/>
  <c r="AB56" i="12"/>
  <c r="AA56" i="12"/>
  <c r="Z56" i="12"/>
  <c r="Y56" i="12"/>
  <c r="X56" i="12"/>
  <c r="W56" i="12"/>
  <c r="V56" i="12"/>
  <c r="U56" i="12"/>
  <c r="T56" i="12"/>
  <c r="S56" i="12"/>
  <c r="R56" i="12"/>
  <c r="Q56" i="12"/>
  <c r="P56" i="12"/>
  <c r="O56" i="12"/>
  <c r="N56" i="12"/>
  <c r="M56" i="12"/>
  <c r="L56" i="12"/>
  <c r="K56" i="12"/>
  <c r="J56" i="12"/>
  <c r="I56" i="12"/>
  <c r="H56" i="12"/>
  <c r="G56" i="12"/>
  <c r="F56" i="12"/>
  <c r="AE55" i="12"/>
  <c r="AC55" i="12"/>
  <c r="AB55" i="12"/>
  <c r="AA55" i="12"/>
  <c r="Z55" i="12"/>
  <c r="Y55" i="12"/>
  <c r="X55" i="12"/>
  <c r="W55" i="12"/>
  <c r="V55" i="12"/>
  <c r="U55" i="12"/>
  <c r="T55" i="12"/>
  <c r="S55" i="12"/>
  <c r="R55" i="12"/>
  <c r="Q55" i="12"/>
  <c r="P55" i="12"/>
  <c r="O55" i="12"/>
  <c r="N55" i="12"/>
  <c r="M55" i="12"/>
  <c r="L55" i="12"/>
  <c r="K55" i="12"/>
  <c r="J55" i="12"/>
  <c r="I55" i="12"/>
  <c r="H55" i="12"/>
  <c r="G55" i="12"/>
  <c r="F55" i="12"/>
  <c r="AE54" i="12"/>
  <c r="AC54" i="12"/>
  <c r="AB54" i="12"/>
  <c r="AA54" i="12"/>
  <c r="Z54" i="12"/>
  <c r="Y54" i="12"/>
  <c r="X5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AE53" i="12"/>
  <c r="AC53" i="12"/>
  <c r="AB53" i="12"/>
  <c r="AA53" i="12"/>
  <c r="Z53" i="12"/>
  <c r="Y53" i="12"/>
  <c r="X53" i="12"/>
  <c r="W53" i="12"/>
  <c r="V53" i="12"/>
  <c r="U53" i="12"/>
  <c r="T53" i="12"/>
  <c r="S53" i="12"/>
  <c r="R53" i="12"/>
  <c r="Q53" i="12"/>
  <c r="P53" i="12"/>
  <c r="O53" i="12"/>
  <c r="N53" i="12"/>
  <c r="M53" i="12"/>
  <c r="L53" i="12"/>
  <c r="K53" i="12"/>
  <c r="J53" i="12"/>
  <c r="I53" i="12"/>
  <c r="H53" i="12"/>
  <c r="G53" i="12"/>
  <c r="F53" i="12"/>
  <c r="AE52" i="12"/>
  <c r="AC52" i="12"/>
  <c r="AB52" i="12"/>
  <c r="AA52" i="12"/>
  <c r="Z52" i="12"/>
  <c r="Y52" i="12"/>
  <c r="X52" i="12"/>
  <c r="W52" i="12"/>
  <c r="V52" i="12"/>
  <c r="U52" i="12"/>
  <c r="T52" i="12"/>
  <c r="S52" i="12"/>
  <c r="R52" i="12"/>
  <c r="Q52" i="12"/>
  <c r="P52" i="12"/>
  <c r="O52" i="12"/>
  <c r="N52" i="12"/>
  <c r="M52" i="12"/>
  <c r="L52" i="12"/>
  <c r="K52" i="12"/>
  <c r="J52" i="12"/>
  <c r="I52" i="12"/>
  <c r="H52" i="12"/>
  <c r="G52" i="12"/>
  <c r="F52" i="12"/>
  <c r="AE51" i="12"/>
  <c r="AC51" i="12"/>
  <c r="AB51" i="12"/>
  <c r="AA51" i="12"/>
  <c r="Z51" i="12"/>
  <c r="Y51" i="12"/>
  <c r="X51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AE50" i="12"/>
  <c r="AC50" i="12"/>
  <c r="AB50" i="12"/>
  <c r="AA50" i="12"/>
  <c r="Z50" i="12"/>
  <c r="Y50" i="12"/>
  <c r="X50" i="12"/>
  <c r="W50" i="12"/>
  <c r="V50" i="12"/>
  <c r="U50" i="12"/>
  <c r="T50" i="12"/>
  <c r="S50" i="12"/>
  <c r="R50" i="12"/>
  <c r="Q50" i="12"/>
  <c r="P50" i="12"/>
  <c r="O50" i="12"/>
  <c r="N50" i="12"/>
  <c r="M50" i="12"/>
  <c r="L50" i="12"/>
  <c r="K50" i="12"/>
  <c r="J50" i="12"/>
  <c r="I50" i="12"/>
  <c r="H50" i="12"/>
  <c r="G50" i="12"/>
  <c r="F50" i="12"/>
  <c r="AE49" i="12"/>
  <c r="AC49" i="12"/>
  <c r="AB49" i="12"/>
  <c r="AA49" i="12"/>
  <c r="Z49" i="12"/>
  <c r="Y49" i="12"/>
  <c r="X49" i="12"/>
  <c r="W49" i="12"/>
  <c r="V49" i="12"/>
  <c r="U49" i="12"/>
  <c r="T49" i="12"/>
  <c r="S49" i="12"/>
  <c r="R49" i="12"/>
  <c r="Q49" i="12"/>
  <c r="P49" i="12"/>
  <c r="O49" i="12"/>
  <c r="N49" i="12"/>
  <c r="M49" i="12"/>
  <c r="L49" i="12"/>
  <c r="K49" i="12"/>
  <c r="J49" i="12"/>
  <c r="I49" i="12"/>
  <c r="H49" i="12"/>
  <c r="G49" i="12"/>
  <c r="F49" i="12"/>
  <c r="AE48" i="12"/>
  <c r="AC48" i="12"/>
  <c r="AB48" i="12"/>
  <c r="AA48" i="12"/>
  <c r="Z48" i="12"/>
  <c r="Y48" i="12"/>
  <c r="X48" i="12"/>
  <c r="W48" i="12"/>
  <c r="V48" i="12"/>
  <c r="U48" i="12"/>
  <c r="T48" i="12"/>
  <c r="S48" i="12"/>
  <c r="R48" i="12"/>
  <c r="Q48" i="12"/>
  <c r="P48" i="12"/>
  <c r="O48" i="12"/>
  <c r="N48" i="12"/>
  <c r="M48" i="12"/>
  <c r="L48" i="12"/>
  <c r="K48" i="12"/>
  <c r="J48" i="12"/>
  <c r="I48" i="12"/>
  <c r="H48" i="12"/>
  <c r="G48" i="12"/>
  <c r="F48" i="12"/>
  <c r="AE47" i="12"/>
  <c r="AC47" i="12"/>
  <c r="AB47" i="12"/>
  <c r="AA47" i="12"/>
  <c r="Z47" i="12"/>
  <c r="Y47" i="12"/>
  <c r="X47" i="12"/>
  <c r="W47" i="12"/>
  <c r="V47" i="12"/>
  <c r="U47" i="12"/>
  <c r="T47" i="12"/>
  <c r="S47" i="12"/>
  <c r="R47" i="12"/>
  <c r="Q47" i="12"/>
  <c r="P47" i="12"/>
  <c r="O47" i="12"/>
  <c r="N47" i="12"/>
  <c r="M47" i="12"/>
  <c r="L47" i="12"/>
  <c r="K47" i="12"/>
  <c r="J47" i="12"/>
  <c r="I47" i="12"/>
  <c r="H47" i="12"/>
  <c r="G47" i="12"/>
  <c r="F47" i="12"/>
  <c r="AE46" i="12"/>
  <c r="AC46" i="12"/>
  <c r="AB46" i="12"/>
  <c r="AA46" i="12"/>
  <c r="Z46" i="12"/>
  <c r="Y46" i="12"/>
  <c r="X46" i="12"/>
  <c r="W46" i="12"/>
  <c r="V46" i="12"/>
  <c r="U46" i="12"/>
  <c r="T46" i="12"/>
  <c r="S46" i="12"/>
  <c r="R46" i="12"/>
  <c r="Q46" i="12"/>
  <c r="P46" i="12"/>
  <c r="O46" i="12"/>
  <c r="N46" i="12"/>
  <c r="M46" i="12"/>
  <c r="L46" i="12"/>
  <c r="K46" i="12"/>
  <c r="J46" i="12"/>
  <c r="I46" i="12"/>
  <c r="H46" i="12"/>
  <c r="G46" i="12"/>
  <c r="F46" i="12"/>
  <c r="AE45" i="12"/>
  <c r="AC45" i="12"/>
  <c r="AB45" i="12"/>
  <c r="AA45" i="12"/>
  <c r="Z45" i="12"/>
  <c r="Y45" i="12"/>
  <c r="X45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AE44" i="12"/>
  <c r="AC44" i="12"/>
  <c r="AB44" i="12"/>
  <c r="AA44" i="12"/>
  <c r="Z44" i="12"/>
  <c r="Y44" i="12"/>
  <c r="X44" i="12"/>
  <c r="W44" i="12"/>
  <c r="V44" i="12"/>
  <c r="U44" i="12"/>
  <c r="T44" i="12"/>
  <c r="S44" i="12"/>
  <c r="R44" i="12"/>
  <c r="Q44" i="12"/>
  <c r="P44" i="12"/>
  <c r="O44" i="12"/>
  <c r="N44" i="12"/>
  <c r="M44" i="12"/>
  <c r="L44" i="12"/>
  <c r="K44" i="12"/>
  <c r="J44" i="12"/>
  <c r="I44" i="12"/>
  <c r="H44" i="12"/>
  <c r="G44" i="12"/>
  <c r="F44" i="12"/>
  <c r="AE43" i="12"/>
  <c r="AC43" i="12"/>
  <c r="AB43" i="12"/>
  <c r="AA43" i="12"/>
  <c r="Z43" i="12"/>
  <c r="Y43" i="12"/>
  <c r="X43" i="12"/>
  <c r="W43" i="12"/>
  <c r="V43" i="12"/>
  <c r="U43" i="12"/>
  <c r="T43" i="12"/>
  <c r="S43" i="12"/>
  <c r="R43" i="12"/>
  <c r="Q43" i="12"/>
  <c r="P43" i="12"/>
  <c r="O43" i="12"/>
  <c r="N43" i="12"/>
  <c r="M43" i="12"/>
  <c r="L43" i="12"/>
  <c r="K43" i="12"/>
  <c r="J43" i="12"/>
  <c r="I43" i="12"/>
  <c r="H43" i="12"/>
  <c r="G43" i="12"/>
  <c r="F43" i="12"/>
  <c r="AE42" i="12"/>
  <c r="AC42" i="12"/>
  <c r="AB42" i="12"/>
  <c r="AA42" i="12"/>
  <c r="Z42" i="12"/>
  <c r="Y42" i="12"/>
  <c r="X42" i="12"/>
  <c r="W42" i="12"/>
  <c r="V42" i="12"/>
  <c r="U42" i="12"/>
  <c r="T42" i="12"/>
  <c r="S42" i="12"/>
  <c r="R42" i="12"/>
  <c r="Q42" i="12"/>
  <c r="P42" i="12"/>
  <c r="O42" i="12"/>
  <c r="N42" i="12"/>
  <c r="M42" i="12"/>
  <c r="L42" i="12"/>
  <c r="K42" i="12"/>
  <c r="J42" i="12"/>
  <c r="I42" i="12"/>
  <c r="H42" i="12"/>
  <c r="G42" i="12"/>
  <c r="F42" i="12"/>
  <c r="AE41" i="12"/>
  <c r="AC41" i="12"/>
  <c r="AB41" i="12"/>
  <c r="AA41" i="12"/>
  <c r="Z41" i="12"/>
  <c r="Y41" i="12"/>
  <c r="X41" i="12"/>
  <c r="W41" i="12"/>
  <c r="V41" i="12"/>
  <c r="U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F41" i="12"/>
  <c r="AE40" i="12"/>
  <c r="AC40" i="12"/>
  <c r="AB40" i="12"/>
  <c r="AA40" i="12"/>
  <c r="Z40" i="12"/>
  <c r="Y40" i="12"/>
  <c r="X40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AE39" i="12"/>
  <c r="AC39" i="12"/>
  <c r="AB39" i="12"/>
  <c r="AA39" i="12"/>
  <c r="Z39" i="12"/>
  <c r="Y39" i="12"/>
  <c r="X39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AE38" i="12"/>
  <c r="AC38" i="12"/>
  <c r="AB38" i="12"/>
  <c r="AA38" i="12"/>
  <c r="Z38" i="12"/>
  <c r="Y38" i="12"/>
  <c r="X38" i="12"/>
  <c r="W38" i="12"/>
  <c r="V38" i="12"/>
  <c r="U38" i="12"/>
  <c r="T38" i="12"/>
  <c r="S38" i="12"/>
  <c r="R38" i="12"/>
  <c r="Q38" i="12"/>
  <c r="P38" i="12"/>
  <c r="O38" i="12"/>
  <c r="N38" i="12"/>
  <c r="M38" i="12"/>
  <c r="L38" i="12"/>
  <c r="K38" i="12"/>
  <c r="J38" i="12"/>
  <c r="I38" i="12"/>
  <c r="H38" i="12"/>
  <c r="G38" i="12"/>
  <c r="F38" i="12"/>
  <c r="AE37" i="12"/>
  <c r="AC37" i="12"/>
  <c r="AB37" i="12"/>
  <c r="AA37" i="12"/>
  <c r="Z37" i="12"/>
  <c r="Y37" i="12"/>
  <c r="X37" i="12"/>
  <c r="W37" i="12"/>
  <c r="V37" i="12"/>
  <c r="U37" i="12"/>
  <c r="T37" i="12"/>
  <c r="S37" i="12"/>
  <c r="R37" i="12"/>
  <c r="Q37" i="12"/>
  <c r="P37" i="12"/>
  <c r="O37" i="12"/>
  <c r="N37" i="12"/>
  <c r="M37" i="12"/>
  <c r="L37" i="12"/>
  <c r="K37" i="12"/>
  <c r="J37" i="12"/>
  <c r="I37" i="12"/>
  <c r="H37" i="12"/>
  <c r="G37" i="12"/>
  <c r="F37" i="12"/>
  <c r="AE36" i="12"/>
  <c r="AC36" i="12"/>
  <c r="AB36" i="12"/>
  <c r="AA36" i="12"/>
  <c r="Z36" i="12"/>
  <c r="Y36" i="12"/>
  <c r="X36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AE35" i="12"/>
  <c r="AC35" i="12"/>
  <c r="AB35" i="12"/>
  <c r="AA35" i="12"/>
  <c r="Z35" i="12"/>
  <c r="Y35" i="12"/>
  <c r="X35" i="12"/>
  <c r="W35" i="12"/>
  <c r="V35" i="12"/>
  <c r="U35" i="12"/>
  <c r="T35" i="12"/>
  <c r="S35" i="12"/>
  <c r="R35" i="12"/>
  <c r="Q35" i="12"/>
  <c r="P35" i="12"/>
  <c r="O35" i="12"/>
  <c r="N35" i="12"/>
  <c r="M35" i="12"/>
  <c r="L35" i="12"/>
  <c r="K35" i="12"/>
  <c r="J35" i="12"/>
  <c r="I35" i="12"/>
  <c r="H35" i="12"/>
  <c r="G35" i="12"/>
  <c r="F35" i="12"/>
  <c r="AE34" i="12"/>
  <c r="AC34" i="12"/>
  <c r="AB34" i="12"/>
  <c r="AA34" i="12"/>
  <c r="Z34" i="12"/>
  <c r="Y34" i="12"/>
  <c r="X34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AE33" i="12"/>
  <c r="AC33" i="12"/>
  <c r="AB33" i="12"/>
  <c r="AA33" i="12"/>
  <c r="Z33" i="12"/>
  <c r="Y33" i="12"/>
  <c r="X33" i="12"/>
  <c r="W33" i="12"/>
  <c r="V33" i="12"/>
  <c r="U33" i="12"/>
  <c r="T33" i="12"/>
  <c r="S33" i="12"/>
  <c r="R33" i="12"/>
  <c r="Q33" i="12"/>
  <c r="P33" i="12"/>
  <c r="O33" i="12"/>
  <c r="N33" i="12"/>
  <c r="M33" i="12"/>
  <c r="L33" i="12"/>
  <c r="K33" i="12"/>
  <c r="J33" i="12"/>
  <c r="I33" i="12"/>
  <c r="H33" i="12"/>
  <c r="G33" i="12"/>
  <c r="F33" i="12"/>
  <c r="AE32" i="12"/>
  <c r="AC32" i="12"/>
  <c r="AB32" i="12"/>
  <c r="AA32" i="12"/>
  <c r="Z32" i="12"/>
  <c r="Y32" i="12"/>
  <c r="X32" i="12"/>
  <c r="W32" i="12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H32" i="12"/>
  <c r="G32" i="12"/>
  <c r="F32" i="12"/>
  <c r="AE31" i="12"/>
  <c r="AC31" i="12"/>
  <c r="AB31" i="12"/>
  <c r="AA31" i="12"/>
  <c r="Z31" i="12"/>
  <c r="Y31" i="12"/>
  <c r="X31" i="12"/>
  <c r="W31" i="12"/>
  <c r="V31" i="12"/>
  <c r="U31" i="12"/>
  <c r="T31" i="12"/>
  <c r="S31" i="12"/>
  <c r="R31" i="12"/>
  <c r="Q31" i="12"/>
  <c r="P31" i="12"/>
  <c r="O31" i="12"/>
  <c r="N31" i="12"/>
  <c r="M31" i="12"/>
  <c r="L31" i="12"/>
  <c r="K31" i="12"/>
  <c r="J31" i="12"/>
  <c r="I31" i="12"/>
  <c r="H31" i="12"/>
  <c r="G31" i="12"/>
  <c r="F31" i="12"/>
  <c r="AE30" i="12"/>
  <c r="AC30" i="12"/>
  <c r="AB30" i="12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AE29" i="12"/>
  <c r="AC29" i="12"/>
  <c r="AB29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AE28" i="12"/>
  <c r="AC28" i="12"/>
  <c r="AB28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AE27" i="12"/>
  <c r="AC27" i="12"/>
  <c r="AB27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AE26" i="12"/>
  <c r="AC26" i="12"/>
  <c r="AB26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AE25" i="12"/>
  <c r="AC25" i="12"/>
  <c r="AB25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AE24" i="12"/>
  <c r="AC24" i="12"/>
  <c r="AB24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AE23" i="12"/>
  <c r="AC23" i="12"/>
  <c r="AB23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AE22" i="12"/>
  <c r="AC22" i="12"/>
  <c r="AB22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AE21" i="12"/>
  <c r="AC21" i="12"/>
  <c r="AB21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AE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AE19" i="12"/>
  <c r="AC19" i="12"/>
  <c r="AB19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AE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AE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AE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AE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AE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AE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AE12" i="12"/>
  <c r="AC12" i="12"/>
  <c r="AB12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AE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AE10" i="12"/>
  <c r="AC10" i="12"/>
  <c r="AB10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AE9" i="12"/>
  <c r="AC9" i="12"/>
  <c r="AB9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AE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AE7" i="12"/>
  <c r="AC7" i="12"/>
  <c r="AB7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AE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AE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AE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AE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AE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AE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AE365" i="11"/>
  <c r="AC365" i="11"/>
  <c r="AB365" i="11"/>
  <c r="AA365" i="11"/>
  <c r="Z365" i="11"/>
  <c r="Y365" i="11"/>
  <c r="X365" i="11"/>
  <c r="W365" i="11"/>
  <c r="V365" i="11"/>
  <c r="U365" i="11"/>
  <c r="T365" i="11"/>
  <c r="S365" i="11"/>
  <c r="R365" i="11"/>
  <c r="Q365" i="11"/>
  <c r="P365" i="11"/>
  <c r="O365" i="11"/>
  <c r="N365" i="11"/>
  <c r="M365" i="11"/>
  <c r="L365" i="11"/>
  <c r="K365" i="11"/>
  <c r="J365" i="11"/>
  <c r="I365" i="11"/>
  <c r="H365" i="11"/>
  <c r="G365" i="11"/>
  <c r="F365" i="11"/>
  <c r="AE364" i="11"/>
  <c r="AC364" i="11"/>
  <c r="AB364" i="11"/>
  <c r="AA364" i="11"/>
  <c r="Z364" i="11"/>
  <c r="Y364" i="11"/>
  <c r="X364" i="11"/>
  <c r="W364" i="11"/>
  <c r="V364" i="11"/>
  <c r="U364" i="11"/>
  <c r="T364" i="11"/>
  <c r="S364" i="11"/>
  <c r="R364" i="11"/>
  <c r="Q364" i="11"/>
  <c r="P364" i="11"/>
  <c r="O364" i="11"/>
  <c r="N364" i="11"/>
  <c r="M364" i="11"/>
  <c r="L364" i="11"/>
  <c r="K364" i="11"/>
  <c r="J364" i="11"/>
  <c r="I364" i="11"/>
  <c r="H364" i="11"/>
  <c r="G364" i="11"/>
  <c r="F364" i="11"/>
  <c r="AE363" i="11"/>
  <c r="AC363" i="11"/>
  <c r="AB363" i="11"/>
  <c r="AA363" i="11"/>
  <c r="Z363" i="11"/>
  <c r="Y363" i="11"/>
  <c r="X363" i="11"/>
  <c r="W363" i="11"/>
  <c r="V363" i="11"/>
  <c r="U363" i="11"/>
  <c r="T363" i="11"/>
  <c r="S363" i="11"/>
  <c r="R363" i="11"/>
  <c r="Q363" i="11"/>
  <c r="P363" i="11"/>
  <c r="O363" i="11"/>
  <c r="N363" i="11"/>
  <c r="M363" i="11"/>
  <c r="L363" i="11"/>
  <c r="K363" i="11"/>
  <c r="J363" i="11"/>
  <c r="I363" i="11"/>
  <c r="H363" i="11"/>
  <c r="G363" i="11"/>
  <c r="F363" i="11"/>
  <c r="AE362" i="11"/>
  <c r="AC362" i="11"/>
  <c r="AB362" i="11"/>
  <c r="AA362" i="11"/>
  <c r="Z362" i="11"/>
  <c r="Y362" i="11"/>
  <c r="X362" i="11"/>
  <c r="W362" i="11"/>
  <c r="V362" i="11"/>
  <c r="U362" i="11"/>
  <c r="T362" i="11"/>
  <c r="S362" i="11"/>
  <c r="R362" i="11"/>
  <c r="Q362" i="11"/>
  <c r="P362" i="11"/>
  <c r="O362" i="11"/>
  <c r="N362" i="11"/>
  <c r="M362" i="11"/>
  <c r="L362" i="11"/>
  <c r="K362" i="11"/>
  <c r="J362" i="11"/>
  <c r="I362" i="11"/>
  <c r="H362" i="11"/>
  <c r="G362" i="11"/>
  <c r="F362" i="11"/>
  <c r="AE361" i="11"/>
  <c r="AC361" i="11"/>
  <c r="AB361" i="11"/>
  <c r="AA361" i="11"/>
  <c r="Z361" i="11"/>
  <c r="Y361" i="11"/>
  <c r="X361" i="11"/>
  <c r="W361" i="11"/>
  <c r="V361" i="11"/>
  <c r="U361" i="11"/>
  <c r="T361" i="11"/>
  <c r="S361" i="11"/>
  <c r="R361" i="11"/>
  <c r="Q361" i="11"/>
  <c r="P361" i="11"/>
  <c r="O361" i="11"/>
  <c r="N361" i="11"/>
  <c r="M361" i="11"/>
  <c r="L361" i="11"/>
  <c r="K361" i="11"/>
  <c r="J361" i="11"/>
  <c r="I361" i="11"/>
  <c r="H361" i="11"/>
  <c r="G361" i="11"/>
  <c r="F361" i="11"/>
  <c r="AE360" i="11"/>
  <c r="AC360" i="11"/>
  <c r="AB360" i="11"/>
  <c r="AA360" i="11"/>
  <c r="Z360" i="11"/>
  <c r="Y360" i="11"/>
  <c r="X360" i="11"/>
  <c r="W360" i="11"/>
  <c r="V360" i="11"/>
  <c r="U360" i="11"/>
  <c r="T360" i="11"/>
  <c r="S360" i="11"/>
  <c r="R360" i="11"/>
  <c r="Q360" i="11"/>
  <c r="P360" i="11"/>
  <c r="O360" i="11"/>
  <c r="N360" i="11"/>
  <c r="M360" i="11"/>
  <c r="L360" i="11"/>
  <c r="K360" i="11"/>
  <c r="J360" i="11"/>
  <c r="I360" i="11"/>
  <c r="H360" i="11"/>
  <c r="G360" i="11"/>
  <c r="F360" i="11"/>
  <c r="AE359" i="11"/>
  <c r="AC359" i="11"/>
  <c r="AB359" i="11"/>
  <c r="AA359" i="11"/>
  <c r="Z359" i="11"/>
  <c r="Y359" i="11"/>
  <c r="X359" i="11"/>
  <c r="W359" i="11"/>
  <c r="V359" i="11"/>
  <c r="U359" i="11"/>
  <c r="T359" i="11"/>
  <c r="S359" i="11"/>
  <c r="R359" i="11"/>
  <c r="Q359" i="11"/>
  <c r="P359" i="11"/>
  <c r="O359" i="11"/>
  <c r="N359" i="11"/>
  <c r="M359" i="11"/>
  <c r="L359" i="11"/>
  <c r="K359" i="11"/>
  <c r="J359" i="11"/>
  <c r="I359" i="11"/>
  <c r="H359" i="11"/>
  <c r="G359" i="11"/>
  <c r="F359" i="11"/>
  <c r="AE358" i="11"/>
  <c r="AC358" i="11"/>
  <c r="AB358" i="11"/>
  <c r="AA358" i="11"/>
  <c r="Z358" i="11"/>
  <c r="Y358" i="11"/>
  <c r="X358" i="11"/>
  <c r="W358" i="11"/>
  <c r="V358" i="11"/>
  <c r="U358" i="11"/>
  <c r="T358" i="11"/>
  <c r="S358" i="11"/>
  <c r="R358" i="11"/>
  <c r="Q358" i="11"/>
  <c r="P358" i="11"/>
  <c r="O358" i="11"/>
  <c r="N358" i="11"/>
  <c r="M358" i="11"/>
  <c r="L358" i="11"/>
  <c r="K358" i="11"/>
  <c r="J358" i="11"/>
  <c r="I358" i="11"/>
  <c r="H358" i="11"/>
  <c r="G358" i="11"/>
  <c r="F358" i="11"/>
  <c r="AE357" i="11"/>
  <c r="AC357" i="11"/>
  <c r="AB357" i="11"/>
  <c r="AA357" i="11"/>
  <c r="Z357" i="11"/>
  <c r="Y357" i="11"/>
  <c r="X357" i="11"/>
  <c r="W357" i="11"/>
  <c r="V357" i="11"/>
  <c r="U357" i="11"/>
  <c r="T357" i="11"/>
  <c r="S357" i="11"/>
  <c r="R357" i="11"/>
  <c r="Q357" i="11"/>
  <c r="P357" i="11"/>
  <c r="O357" i="11"/>
  <c r="N357" i="11"/>
  <c r="M357" i="11"/>
  <c r="L357" i="11"/>
  <c r="K357" i="11"/>
  <c r="J357" i="11"/>
  <c r="I357" i="11"/>
  <c r="H357" i="11"/>
  <c r="G357" i="11"/>
  <c r="F357" i="11"/>
  <c r="AE356" i="11"/>
  <c r="AC356" i="11"/>
  <c r="AB356" i="11"/>
  <c r="AA356" i="11"/>
  <c r="Z356" i="11"/>
  <c r="Y356" i="11"/>
  <c r="X356" i="11"/>
  <c r="W356" i="11"/>
  <c r="V356" i="11"/>
  <c r="U356" i="11"/>
  <c r="T356" i="11"/>
  <c r="S356" i="11"/>
  <c r="R356" i="11"/>
  <c r="Q356" i="11"/>
  <c r="P356" i="11"/>
  <c r="O356" i="11"/>
  <c r="N356" i="11"/>
  <c r="M356" i="11"/>
  <c r="L356" i="11"/>
  <c r="K356" i="11"/>
  <c r="J356" i="11"/>
  <c r="I356" i="11"/>
  <c r="H356" i="11"/>
  <c r="G356" i="11"/>
  <c r="F356" i="11"/>
  <c r="AE355" i="11"/>
  <c r="AC355" i="11"/>
  <c r="AB355" i="11"/>
  <c r="AA355" i="11"/>
  <c r="Z355" i="11"/>
  <c r="Y355" i="11"/>
  <c r="X355" i="11"/>
  <c r="W355" i="11"/>
  <c r="V355" i="11"/>
  <c r="U355" i="11"/>
  <c r="T355" i="11"/>
  <c r="S355" i="11"/>
  <c r="R355" i="11"/>
  <c r="Q355" i="11"/>
  <c r="P355" i="11"/>
  <c r="O355" i="11"/>
  <c r="N355" i="11"/>
  <c r="M355" i="11"/>
  <c r="L355" i="11"/>
  <c r="K355" i="11"/>
  <c r="J355" i="11"/>
  <c r="I355" i="11"/>
  <c r="H355" i="11"/>
  <c r="G355" i="11"/>
  <c r="F355" i="11"/>
  <c r="AE354" i="11"/>
  <c r="AC354" i="11"/>
  <c r="AB354" i="11"/>
  <c r="AA354" i="11"/>
  <c r="Z354" i="11"/>
  <c r="Y354" i="11"/>
  <c r="X354" i="11"/>
  <c r="W354" i="11"/>
  <c r="V354" i="11"/>
  <c r="U354" i="11"/>
  <c r="T354" i="11"/>
  <c r="S354" i="11"/>
  <c r="R354" i="11"/>
  <c r="Q354" i="11"/>
  <c r="P354" i="11"/>
  <c r="O354" i="11"/>
  <c r="N354" i="11"/>
  <c r="M354" i="11"/>
  <c r="L354" i="11"/>
  <c r="K354" i="11"/>
  <c r="J354" i="11"/>
  <c r="I354" i="11"/>
  <c r="H354" i="11"/>
  <c r="G354" i="11"/>
  <c r="F354" i="11"/>
  <c r="AE353" i="11"/>
  <c r="AC353" i="11"/>
  <c r="AB353" i="11"/>
  <c r="AA353" i="11"/>
  <c r="Z353" i="11"/>
  <c r="Y353" i="11"/>
  <c r="X353" i="11"/>
  <c r="W353" i="11"/>
  <c r="V353" i="11"/>
  <c r="U353" i="11"/>
  <c r="T353" i="11"/>
  <c r="S353" i="11"/>
  <c r="R353" i="11"/>
  <c r="Q353" i="11"/>
  <c r="P353" i="11"/>
  <c r="O353" i="11"/>
  <c r="N353" i="11"/>
  <c r="M353" i="11"/>
  <c r="L353" i="11"/>
  <c r="K353" i="11"/>
  <c r="J353" i="11"/>
  <c r="I353" i="11"/>
  <c r="H353" i="11"/>
  <c r="G353" i="11"/>
  <c r="F353" i="11"/>
  <c r="AE352" i="11"/>
  <c r="AC352" i="11"/>
  <c r="AB352" i="11"/>
  <c r="AA352" i="11"/>
  <c r="Z352" i="11"/>
  <c r="Y352" i="11"/>
  <c r="X352" i="11"/>
  <c r="W352" i="11"/>
  <c r="V352" i="11"/>
  <c r="U352" i="11"/>
  <c r="T352" i="11"/>
  <c r="S352" i="11"/>
  <c r="R352" i="11"/>
  <c r="Q352" i="11"/>
  <c r="P352" i="11"/>
  <c r="O352" i="11"/>
  <c r="N352" i="11"/>
  <c r="M352" i="11"/>
  <c r="L352" i="11"/>
  <c r="K352" i="11"/>
  <c r="J352" i="11"/>
  <c r="I352" i="11"/>
  <c r="H352" i="11"/>
  <c r="G352" i="11"/>
  <c r="F352" i="11"/>
  <c r="AE351" i="11"/>
  <c r="AC351" i="11"/>
  <c r="AB351" i="11"/>
  <c r="AA351" i="11"/>
  <c r="Z351" i="11"/>
  <c r="Y351" i="11"/>
  <c r="X351" i="11"/>
  <c r="W351" i="11"/>
  <c r="V351" i="11"/>
  <c r="U351" i="11"/>
  <c r="T351" i="11"/>
  <c r="S351" i="11"/>
  <c r="R351" i="11"/>
  <c r="Q351" i="11"/>
  <c r="P351" i="11"/>
  <c r="O351" i="11"/>
  <c r="N351" i="11"/>
  <c r="M351" i="11"/>
  <c r="L351" i="11"/>
  <c r="K351" i="11"/>
  <c r="J351" i="11"/>
  <c r="I351" i="11"/>
  <c r="H351" i="11"/>
  <c r="G351" i="11"/>
  <c r="F351" i="11"/>
  <c r="AE350" i="11"/>
  <c r="AC350" i="11"/>
  <c r="AB350" i="11"/>
  <c r="AA350" i="11"/>
  <c r="Z350" i="11"/>
  <c r="Y350" i="11"/>
  <c r="X350" i="11"/>
  <c r="W350" i="11"/>
  <c r="V350" i="11"/>
  <c r="U350" i="11"/>
  <c r="T350" i="11"/>
  <c r="S350" i="11"/>
  <c r="R350" i="11"/>
  <c r="Q350" i="11"/>
  <c r="P350" i="11"/>
  <c r="O350" i="11"/>
  <c r="N350" i="11"/>
  <c r="M350" i="11"/>
  <c r="L350" i="11"/>
  <c r="K350" i="11"/>
  <c r="J350" i="11"/>
  <c r="I350" i="11"/>
  <c r="H350" i="11"/>
  <c r="G350" i="11"/>
  <c r="F350" i="11"/>
  <c r="AE349" i="11"/>
  <c r="AC349" i="11"/>
  <c r="AB349" i="11"/>
  <c r="AA349" i="11"/>
  <c r="Z349" i="11"/>
  <c r="Y349" i="11"/>
  <c r="X349" i="11"/>
  <c r="W349" i="11"/>
  <c r="V349" i="11"/>
  <c r="U349" i="11"/>
  <c r="T349" i="11"/>
  <c r="S349" i="11"/>
  <c r="R349" i="11"/>
  <c r="Q349" i="11"/>
  <c r="P349" i="11"/>
  <c r="O349" i="11"/>
  <c r="N349" i="11"/>
  <c r="M349" i="11"/>
  <c r="L349" i="11"/>
  <c r="K349" i="11"/>
  <c r="J349" i="11"/>
  <c r="I349" i="11"/>
  <c r="H349" i="11"/>
  <c r="G349" i="11"/>
  <c r="F349" i="11"/>
  <c r="AE348" i="11"/>
  <c r="AC348" i="11"/>
  <c r="AB348" i="11"/>
  <c r="AA348" i="11"/>
  <c r="Z348" i="11"/>
  <c r="Y348" i="11"/>
  <c r="X348" i="11"/>
  <c r="W348" i="11"/>
  <c r="V348" i="11"/>
  <c r="U348" i="11"/>
  <c r="T348" i="11"/>
  <c r="S348" i="11"/>
  <c r="R348" i="11"/>
  <c r="Q348" i="11"/>
  <c r="P348" i="11"/>
  <c r="O348" i="11"/>
  <c r="N348" i="11"/>
  <c r="M348" i="11"/>
  <c r="L348" i="11"/>
  <c r="K348" i="11"/>
  <c r="J348" i="11"/>
  <c r="I348" i="11"/>
  <c r="H348" i="11"/>
  <c r="G348" i="11"/>
  <c r="F348" i="11"/>
  <c r="AE347" i="11"/>
  <c r="AC347" i="11"/>
  <c r="AB347" i="11"/>
  <c r="AA347" i="11"/>
  <c r="Z347" i="11"/>
  <c r="Y347" i="11"/>
  <c r="X347" i="11"/>
  <c r="W347" i="11"/>
  <c r="V347" i="11"/>
  <c r="U347" i="11"/>
  <c r="T347" i="11"/>
  <c r="S347" i="11"/>
  <c r="R347" i="11"/>
  <c r="Q347" i="11"/>
  <c r="P347" i="11"/>
  <c r="O347" i="11"/>
  <c r="N347" i="11"/>
  <c r="M347" i="11"/>
  <c r="L347" i="11"/>
  <c r="K347" i="11"/>
  <c r="J347" i="11"/>
  <c r="I347" i="11"/>
  <c r="H347" i="11"/>
  <c r="G347" i="11"/>
  <c r="F347" i="11"/>
  <c r="AE346" i="11"/>
  <c r="AC346" i="11"/>
  <c r="AB346" i="11"/>
  <c r="AA346" i="11"/>
  <c r="Z346" i="11"/>
  <c r="Y346" i="11"/>
  <c r="X346" i="11"/>
  <c r="W346" i="11"/>
  <c r="V346" i="11"/>
  <c r="U346" i="11"/>
  <c r="T346" i="11"/>
  <c r="S346" i="11"/>
  <c r="R346" i="11"/>
  <c r="Q346" i="11"/>
  <c r="P346" i="11"/>
  <c r="O346" i="11"/>
  <c r="N346" i="11"/>
  <c r="M346" i="11"/>
  <c r="L346" i="11"/>
  <c r="K346" i="11"/>
  <c r="J346" i="11"/>
  <c r="I346" i="11"/>
  <c r="H346" i="11"/>
  <c r="G346" i="11"/>
  <c r="F346" i="11"/>
  <c r="AE345" i="11"/>
  <c r="AC345" i="11"/>
  <c r="AB345" i="11"/>
  <c r="AA345" i="11"/>
  <c r="Z345" i="11"/>
  <c r="Y345" i="11"/>
  <c r="X345" i="11"/>
  <c r="W345" i="11"/>
  <c r="V345" i="11"/>
  <c r="U345" i="11"/>
  <c r="T345" i="11"/>
  <c r="S345" i="11"/>
  <c r="R345" i="11"/>
  <c r="Q345" i="11"/>
  <c r="P345" i="11"/>
  <c r="O345" i="11"/>
  <c r="N345" i="11"/>
  <c r="M345" i="11"/>
  <c r="L345" i="11"/>
  <c r="K345" i="11"/>
  <c r="J345" i="11"/>
  <c r="I345" i="11"/>
  <c r="H345" i="11"/>
  <c r="G345" i="11"/>
  <c r="F345" i="11"/>
  <c r="AE344" i="11"/>
  <c r="AC344" i="11"/>
  <c r="AB344" i="11"/>
  <c r="AA344" i="11"/>
  <c r="Z344" i="11"/>
  <c r="Y344" i="11"/>
  <c r="X344" i="11"/>
  <c r="W344" i="11"/>
  <c r="V344" i="11"/>
  <c r="U344" i="11"/>
  <c r="T344" i="11"/>
  <c r="S344" i="11"/>
  <c r="R344" i="11"/>
  <c r="Q344" i="11"/>
  <c r="P344" i="11"/>
  <c r="O344" i="11"/>
  <c r="N344" i="11"/>
  <c r="M344" i="11"/>
  <c r="L344" i="11"/>
  <c r="K344" i="11"/>
  <c r="J344" i="11"/>
  <c r="I344" i="11"/>
  <c r="H344" i="11"/>
  <c r="G344" i="11"/>
  <c r="F344" i="11"/>
  <c r="AE343" i="11"/>
  <c r="AC343" i="11"/>
  <c r="AB343" i="11"/>
  <c r="AA343" i="11"/>
  <c r="Z343" i="11"/>
  <c r="Y343" i="11"/>
  <c r="X343" i="11"/>
  <c r="W343" i="11"/>
  <c r="V343" i="11"/>
  <c r="U343" i="11"/>
  <c r="T343" i="11"/>
  <c r="S343" i="11"/>
  <c r="R343" i="11"/>
  <c r="Q343" i="11"/>
  <c r="P343" i="11"/>
  <c r="O343" i="11"/>
  <c r="N343" i="11"/>
  <c r="M343" i="11"/>
  <c r="L343" i="11"/>
  <c r="K343" i="11"/>
  <c r="J343" i="11"/>
  <c r="I343" i="11"/>
  <c r="H343" i="11"/>
  <c r="G343" i="11"/>
  <c r="F343" i="11"/>
  <c r="AE342" i="11"/>
  <c r="AC342" i="11"/>
  <c r="AB342" i="11"/>
  <c r="AA342" i="11"/>
  <c r="Z342" i="11"/>
  <c r="Y342" i="11"/>
  <c r="X342" i="11"/>
  <c r="W342" i="11"/>
  <c r="V342" i="11"/>
  <c r="U342" i="11"/>
  <c r="T342" i="11"/>
  <c r="S342" i="11"/>
  <c r="R342" i="11"/>
  <c r="Q342" i="11"/>
  <c r="P342" i="11"/>
  <c r="O342" i="11"/>
  <c r="N342" i="11"/>
  <c r="M342" i="11"/>
  <c r="L342" i="11"/>
  <c r="K342" i="11"/>
  <c r="J342" i="11"/>
  <c r="I342" i="11"/>
  <c r="H342" i="11"/>
  <c r="G342" i="11"/>
  <c r="F342" i="11"/>
  <c r="AE341" i="11"/>
  <c r="AC341" i="11"/>
  <c r="AB341" i="11"/>
  <c r="AA341" i="11"/>
  <c r="Z341" i="11"/>
  <c r="Y341" i="11"/>
  <c r="X341" i="11"/>
  <c r="W341" i="11"/>
  <c r="V341" i="11"/>
  <c r="U341" i="11"/>
  <c r="T341" i="11"/>
  <c r="S341" i="11"/>
  <c r="R341" i="11"/>
  <c r="Q341" i="11"/>
  <c r="P341" i="11"/>
  <c r="O341" i="11"/>
  <c r="N341" i="11"/>
  <c r="M341" i="11"/>
  <c r="L341" i="11"/>
  <c r="K341" i="11"/>
  <c r="J341" i="11"/>
  <c r="I341" i="11"/>
  <c r="H341" i="11"/>
  <c r="G341" i="11"/>
  <c r="F341" i="11"/>
  <c r="AE340" i="11"/>
  <c r="AC340" i="11"/>
  <c r="AB340" i="11"/>
  <c r="AA340" i="11"/>
  <c r="Z340" i="11"/>
  <c r="Y340" i="11"/>
  <c r="X340" i="11"/>
  <c r="W340" i="11"/>
  <c r="V340" i="11"/>
  <c r="U340" i="11"/>
  <c r="T340" i="11"/>
  <c r="S340" i="11"/>
  <c r="R340" i="11"/>
  <c r="Q340" i="11"/>
  <c r="P340" i="11"/>
  <c r="O340" i="11"/>
  <c r="N340" i="11"/>
  <c r="M340" i="11"/>
  <c r="L340" i="11"/>
  <c r="K340" i="11"/>
  <c r="J340" i="11"/>
  <c r="I340" i="11"/>
  <c r="H340" i="11"/>
  <c r="G340" i="11"/>
  <c r="F340" i="11"/>
  <c r="AE339" i="11"/>
  <c r="AC339" i="11"/>
  <c r="AB339" i="11"/>
  <c r="AA339" i="11"/>
  <c r="Z339" i="11"/>
  <c r="Y339" i="11"/>
  <c r="X339" i="11"/>
  <c r="W339" i="11"/>
  <c r="V339" i="11"/>
  <c r="U339" i="11"/>
  <c r="T339" i="11"/>
  <c r="S339" i="11"/>
  <c r="R339" i="11"/>
  <c r="Q339" i="11"/>
  <c r="P339" i="11"/>
  <c r="O339" i="11"/>
  <c r="N339" i="11"/>
  <c r="M339" i="11"/>
  <c r="L339" i="11"/>
  <c r="K339" i="11"/>
  <c r="J339" i="11"/>
  <c r="I339" i="11"/>
  <c r="H339" i="11"/>
  <c r="G339" i="11"/>
  <c r="F339" i="11"/>
  <c r="AE338" i="11"/>
  <c r="AC338" i="11"/>
  <c r="AB338" i="11"/>
  <c r="AA338" i="11"/>
  <c r="Z338" i="11"/>
  <c r="Y338" i="11"/>
  <c r="X338" i="11"/>
  <c r="W338" i="11"/>
  <c r="V338" i="11"/>
  <c r="U338" i="11"/>
  <c r="T338" i="11"/>
  <c r="S338" i="11"/>
  <c r="R338" i="11"/>
  <c r="Q338" i="11"/>
  <c r="P338" i="11"/>
  <c r="O338" i="11"/>
  <c r="N338" i="11"/>
  <c r="M338" i="11"/>
  <c r="L338" i="11"/>
  <c r="K338" i="11"/>
  <c r="J338" i="11"/>
  <c r="I338" i="11"/>
  <c r="H338" i="11"/>
  <c r="G338" i="11"/>
  <c r="F338" i="11"/>
  <c r="AE337" i="11"/>
  <c r="AC337" i="11"/>
  <c r="AB337" i="11"/>
  <c r="AA337" i="11"/>
  <c r="Z337" i="11"/>
  <c r="Y337" i="11"/>
  <c r="X337" i="11"/>
  <c r="W337" i="11"/>
  <c r="V337" i="11"/>
  <c r="U337" i="11"/>
  <c r="T337" i="11"/>
  <c r="S337" i="11"/>
  <c r="R337" i="11"/>
  <c r="Q337" i="11"/>
  <c r="P337" i="11"/>
  <c r="O337" i="11"/>
  <c r="N337" i="11"/>
  <c r="M337" i="11"/>
  <c r="L337" i="11"/>
  <c r="K337" i="11"/>
  <c r="J337" i="11"/>
  <c r="I337" i="11"/>
  <c r="H337" i="11"/>
  <c r="G337" i="11"/>
  <c r="F337" i="11"/>
  <c r="AE336" i="11"/>
  <c r="AC336" i="11"/>
  <c r="AB336" i="11"/>
  <c r="AA336" i="11"/>
  <c r="Z336" i="11"/>
  <c r="Y336" i="11"/>
  <c r="X336" i="11"/>
  <c r="W336" i="11"/>
  <c r="V336" i="11"/>
  <c r="U336" i="11"/>
  <c r="T336" i="11"/>
  <c r="S336" i="11"/>
  <c r="R336" i="11"/>
  <c r="Q336" i="11"/>
  <c r="P336" i="11"/>
  <c r="O336" i="11"/>
  <c r="N336" i="11"/>
  <c r="M336" i="11"/>
  <c r="L336" i="11"/>
  <c r="K336" i="11"/>
  <c r="J336" i="11"/>
  <c r="I336" i="11"/>
  <c r="H336" i="11"/>
  <c r="G336" i="11"/>
  <c r="F336" i="11"/>
  <c r="AE335" i="11"/>
  <c r="AC335" i="11"/>
  <c r="AB335" i="11"/>
  <c r="AA335" i="11"/>
  <c r="Z335" i="11"/>
  <c r="Y335" i="11"/>
  <c r="X335" i="11"/>
  <c r="W335" i="11"/>
  <c r="V335" i="11"/>
  <c r="U335" i="11"/>
  <c r="T335" i="11"/>
  <c r="S335" i="11"/>
  <c r="R335" i="11"/>
  <c r="Q335" i="11"/>
  <c r="P335" i="11"/>
  <c r="O335" i="11"/>
  <c r="N335" i="11"/>
  <c r="M335" i="11"/>
  <c r="L335" i="11"/>
  <c r="K335" i="11"/>
  <c r="J335" i="11"/>
  <c r="I335" i="11"/>
  <c r="H335" i="11"/>
  <c r="G335" i="11"/>
  <c r="F335" i="11"/>
  <c r="AE334" i="11"/>
  <c r="AC334" i="11"/>
  <c r="AB334" i="11"/>
  <c r="AA334" i="11"/>
  <c r="Z334" i="11"/>
  <c r="Y334" i="11"/>
  <c r="X334" i="11"/>
  <c r="W334" i="11"/>
  <c r="V334" i="11"/>
  <c r="U334" i="11"/>
  <c r="T334" i="11"/>
  <c r="S334" i="11"/>
  <c r="R334" i="11"/>
  <c r="Q334" i="11"/>
  <c r="P334" i="11"/>
  <c r="O334" i="11"/>
  <c r="N334" i="11"/>
  <c r="M334" i="11"/>
  <c r="L334" i="11"/>
  <c r="K334" i="11"/>
  <c r="J334" i="11"/>
  <c r="I334" i="11"/>
  <c r="H334" i="11"/>
  <c r="G334" i="11"/>
  <c r="F334" i="11"/>
  <c r="AE333" i="11"/>
  <c r="AC333" i="11"/>
  <c r="AB333" i="11"/>
  <c r="AA333" i="11"/>
  <c r="Z333" i="11"/>
  <c r="Y333" i="11"/>
  <c r="X333" i="11"/>
  <c r="W333" i="11"/>
  <c r="V333" i="11"/>
  <c r="U333" i="11"/>
  <c r="T333" i="11"/>
  <c r="S333" i="11"/>
  <c r="R333" i="11"/>
  <c r="Q333" i="11"/>
  <c r="P333" i="11"/>
  <c r="O333" i="11"/>
  <c r="N333" i="11"/>
  <c r="M333" i="11"/>
  <c r="L333" i="11"/>
  <c r="K333" i="11"/>
  <c r="J333" i="11"/>
  <c r="I333" i="11"/>
  <c r="H333" i="11"/>
  <c r="G333" i="11"/>
  <c r="F333" i="11"/>
  <c r="AE332" i="11"/>
  <c r="AC332" i="11"/>
  <c r="AB332" i="11"/>
  <c r="AA332" i="11"/>
  <c r="Z332" i="11"/>
  <c r="Y332" i="11"/>
  <c r="X332" i="11"/>
  <c r="W332" i="11"/>
  <c r="V332" i="11"/>
  <c r="U332" i="11"/>
  <c r="T332" i="11"/>
  <c r="S332" i="11"/>
  <c r="R332" i="11"/>
  <c r="Q332" i="11"/>
  <c r="P332" i="11"/>
  <c r="O332" i="11"/>
  <c r="N332" i="11"/>
  <c r="M332" i="11"/>
  <c r="L332" i="11"/>
  <c r="K332" i="11"/>
  <c r="J332" i="11"/>
  <c r="I332" i="11"/>
  <c r="H332" i="11"/>
  <c r="G332" i="11"/>
  <c r="F332" i="11"/>
  <c r="AE331" i="11"/>
  <c r="AC331" i="11"/>
  <c r="AB331" i="11"/>
  <c r="AA331" i="11"/>
  <c r="Z331" i="11"/>
  <c r="Y331" i="11"/>
  <c r="X331" i="11"/>
  <c r="W331" i="11"/>
  <c r="V331" i="11"/>
  <c r="U331" i="11"/>
  <c r="T331" i="11"/>
  <c r="S331" i="11"/>
  <c r="R331" i="11"/>
  <c r="Q331" i="11"/>
  <c r="P331" i="11"/>
  <c r="O331" i="11"/>
  <c r="N331" i="11"/>
  <c r="M331" i="11"/>
  <c r="L331" i="11"/>
  <c r="K331" i="11"/>
  <c r="J331" i="11"/>
  <c r="I331" i="11"/>
  <c r="H331" i="11"/>
  <c r="G331" i="11"/>
  <c r="F331" i="11"/>
  <c r="AE330" i="11"/>
  <c r="AC330" i="11"/>
  <c r="AB330" i="11"/>
  <c r="AA330" i="11"/>
  <c r="Z330" i="11"/>
  <c r="Y330" i="11"/>
  <c r="X330" i="11"/>
  <c r="W330" i="11"/>
  <c r="V330" i="11"/>
  <c r="U330" i="11"/>
  <c r="T330" i="11"/>
  <c r="S330" i="11"/>
  <c r="R330" i="11"/>
  <c r="Q330" i="11"/>
  <c r="P330" i="11"/>
  <c r="O330" i="11"/>
  <c r="N330" i="11"/>
  <c r="M330" i="11"/>
  <c r="L330" i="11"/>
  <c r="K330" i="11"/>
  <c r="J330" i="11"/>
  <c r="I330" i="11"/>
  <c r="H330" i="11"/>
  <c r="G330" i="11"/>
  <c r="F330" i="11"/>
  <c r="AE329" i="11"/>
  <c r="AC329" i="11"/>
  <c r="AB329" i="11"/>
  <c r="AA329" i="11"/>
  <c r="Z329" i="11"/>
  <c r="Y329" i="11"/>
  <c r="X329" i="11"/>
  <c r="W329" i="11"/>
  <c r="V329" i="11"/>
  <c r="U329" i="11"/>
  <c r="T329" i="11"/>
  <c r="S329" i="11"/>
  <c r="R329" i="11"/>
  <c r="Q329" i="11"/>
  <c r="P329" i="11"/>
  <c r="O329" i="11"/>
  <c r="N329" i="11"/>
  <c r="M329" i="11"/>
  <c r="L329" i="11"/>
  <c r="K329" i="11"/>
  <c r="J329" i="11"/>
  <c r="I329" i="11"/>
  <c r="H329" i="11"/>
  <c r="G329" i="11"/>
  <c r="F329" i="11"/>
  <c r="AE328" i="11"/>
  <c r="AC328" i="11"/>
  <c r="AB328" i="11"/>
  <c r="AA328" i="11"/>
  <c r="Z328" i="11"/>
  <c r="Y328" i="11"/>
  <c r="X328" i="11"/>
  <c r="W328" i="11"/>
  <c r="V328" i="11"/>
  <c r="U328" i="11"/>
  <c r="T328" i="11"/>
  <c r="S328" i="11"/>
  <c r="R328" i="11"/>
  <c r="Q328" i="11"/>
  <c r="P328" i="11"/>
  <c r="O328" i="11"/>
  <c r="N328" i="11"/>
  <c r="M328" i="11"/>
  <c r="L328" i="11"/>
  <c r="K328" i="11"/>
  <c r="J328" i="11"/>
  <c r="I328" i="11"/>
  <c r="H328" i="11"/>
  <c r="G328" i="11"/>
  <c r="F328" i="11"/>
  <c r="AE327" i="11"/>
  <c r="AC327" i="11"/>
  <c r="AB327" i="11"/>
  <c r="AA327" i="11"/>
  <c r="Z327" i="11"/>
  <c r="Y327" i="11"/>
  <c r="X327" i="11"/>
  <c r="W327" i="11"/>
  <c r="V327" i="11"/>
  <c r="U327" i="11"/>
  <c r="T327" i="11"/>
  <c r="S327" i="11"/>
  <c r="R327" i="11"/>
  <c r="Q327" i="11"/>
  <c r="P327" i="11"/>
  <c r="O327" i="11"/>
  <c r="N327" i="11"/>
  <c r="M327" i="11"/>
  <c r="L327" i="11"/>
  <c r="K327" i="11"/>
  <c r="J327" i="11"/>
  <c r="I327" i="11"/>
  <c r="H327" i="11"/>
  <c r="G327" i="11"/>
  <c r="F327" i="11"/>
  <c r="AE326" i="11"/>
  <c r="AC326" i="11"/>
  <c r="AB326" i="11"/>
  <c r="AA326" i="11"/>
  <c r="Z326" i="11"/>
  <c r="Y326" i="11"/>
  <c r="X326" i="11"/>
  <c r="W326" i="11"/>
  <c r="V326" i="11"/>
  <c r="U326" i="11"/>
  <c r="T326" i="11"/>
  <c r="S326" i="11"/>
  <c r="R326" i="11"/>
  <c r="Q326" i="11"/>
  <c r="P326" i="11"/>
  <c r="O326" i="11"/>
  <c r="N326" i="11"/>
  <c r="M326" i="11"/>
  <c r="L326" i="11"/>
  <c r="K326" i="11"/>
  <c r="J326" i="11"/>
  <c r="I326" i="11"/>
  <c r="H326" i="11"/>
  <c r="G326" i="11"/>
  <c r="F326" i="11"/>
  <c r="AE325" i="11"/>
  <c r="AC325" i="11"/>
  <c r="AB325" i="11"/>
  <c r="AA325" i="11"/>
  <c r="Z325" i="11"/>
  <c r="Y325" i="11"/>
  <c r="X325" i="11"/>
  <c r="W325" i="11"/>
  <c r="V325" i="11"/>
  <c r="U325" i="11"/>
  <c r="T325" i="11"/>
  <c r="S325" i="11"/>
  <c r="R325" i="11"/>
  <c r="Q325" i="11"/>
  <c r="P325" i="11"/>
  <c r="O325" i="11"/>
  <c r="N325" i="11"/>
  <c r="M325" i="11"/>
  <c r="L325" i="11"/>
  <c r="K325" i="11"/>
  <c r="J325" i="11"/>
  <c r="I325" i="11"/>
  <c r="H325" i="11"/>
  <c r="G325" i="11"/>
  <c r="F325" i="11"/>
  <c r="AE324" i="11"/>
  <c r="AC324" i="11"/>
  <c r="AB324" i="11"/>
  <c r="AA324" i="11"/>
  <c r="Z324" i="11"/>
  <c r="Y324" i="11"/>
  <c r="X324" i="11"/>
  <c r="W324" i="11"/>
  <c r="V324" i="11"/>
  <c r="U324" i="11"/>
  <c r="T324" i="11"/>
  <c r="S324" i="11"/>
  <c r="R324" i="11"/>
  <c r="Q324" i="11"/>
  <c r="P324" i="11"/>
  <c r="O324" i="11"/>
  <c r="N324" i="11"/>
  <c r="M324" i="11"/>
  <c r="L324" i="11"/>
  <c r="K324" i="11"/>
  <c r="J324" i="11"/>
  <c r="I324" i="11"/>
  <c r="H324" i="11"/>
  <c r="G324" i="11"/>
  <c r="F324" i="11"/>
  <c r="AE323" i="11"/>
  <c r="AC323" i="11"/>
  <c r="AB323" i="11"/>
  <c r="AA323" i="11"/>
  <c r="Z323" i="11"/>
  <c r="Y323" i="11"/>
  <c r="X323" i="11"/>
  <c r="W323" i="11"/>
  <c r="V323" i="11"/>
  <c r="U323" i="11"/>
  <c r="T323" i="11"/>
  <c r="S323" i="11"/>
  <c r="R323" i="11"/>
  <c r="Q323" i="11"/>
  <c r="P323" i="11"/>
  <c r="O323" i="11"/>
  <c r="N323" i="11"/>
  <c r="M323" i="11"/>
  <c r="L323" i="11"/>
  <c r="K323" i="11"/>
  <c r="J323" i="11"/>
  <c r="I323" i="11"/>
  <c r="H323" i="11"/>
  <c r="G323" i="11"/>
  <c r="F323" i="11"/>
  <c r="AE322" i="11"/>
  <c r="AC322" i="11"/>
  <c r="AB322" i="11"/>
  <c r="AA322" i="11"/>
  <c r="Z322" i="11"/>
  <c r="Y322" i="11"/>
  <c r="X322" i="11"/>
  <c r="W322" i="11"/>
  <c r="V322" i="11"/>
  <c r="U322" i="11"/>
  <c r="T322" i="11"/>
  <c r="S322" i="11"/>
  <c r="R322" i="11"/>
  <c r="Q322" i="11"/>
  <c r="P322" i="11"/>
  <c r="O322" i="11"/>
  <c r="N322" i="11"/>
  <c r="M322" i="11"/>
  <c r="L322" i="11"/>
  <c r="K322" i="11"/>
  <c r="J322" i="11"/>
  <c r="I322" i="11"/>
  <c r="H322" i="11"/>
  <c r="G322" i="11"/>
  <c r="F322" i="11"/>
  <c r="AE321" i="11"/>
  <c r="AC321" i="11"/>
  <c r="AB321" i="11"/>
  <c r="AA321" i="11"/>
  <c r="Z321" i="11"/>
  <c r="Y321" i="11"/>
  <c r="X321" i="11"/>
  <c r="W321" i="11"/>
  <c r="V321" i="11"/>
  <c r="U321" i="11"/>
  <c r="T321" i="11"/>
  <c r="S321" i="11"/>
  <c r="R321" i="11"/>
  <c r="Q321" i="11"/>
  <c r="P321" i="11"/>
  <c r="O321" i="11"/>
  <c r="N321" i="11"/>
  <c r="M321" i="11"/>
  <c r="L321" i="11"/>
  <c r="K321" i="11"/>
  <c r="J321" i="11"/>
  <c r="I321" i="11"/>
  <c r="H321" i="11"/>
  <c r="G321" i="11"/>
  <c r="F321" i="11"/>
  <c r="AE320" i="11"/>
  <c r="AC320" i="11"/>
  <c r="AB320" i="11"/>
  <c r="AA320" i="11"/>
  <c r="Z320" i="11"/>
  <c r="Y320" i="11"/>
  <c r="X320" i="11"/>
  <c r="W320" i="11"/>
  <c r="V320" i="11"/>
  <c r="U320" i="11"/>
  <c r="T320" i="11"/>
  <c r="S320" i="11"/>
  <c r="R320" i="11"/>
  <c r="Q320" i="11"/>
  <c r="P320" i="11"/>
  <c r="O320" i="11"/>
  <c r="N320" i="11"/>
  <c r="M320" i="11"/>
  <c r="L320" i="11"/>
  <c r="K320" i="11"/>
  <c r="J320" i="11"/>
  <c r="I320" i="11"/>
  <c r="H320" i="11"/>
  <c r="G320" i="11"/>
  <c r="F320" i="11"/>
  <c r="AE319" i="11"/>
  <c r="AC319" i="11"/>
  <c r="AB319" i="11"/>
  <c r="AA319" i="11"/>
  <c r="Z319" i="11"/>
  <c r="Y319" i="11"/>
  <c r="X319" i="11"/>
  <c r="W319" i="11"/>
  <c r="V319" i="11"/>
  <c r="U319" i="11"/>
  <c r="T319" i="11"/>
  <c r="S319" i="11"/>
  <c r="R319" i="11"/>
  <c r="Q319" i="11"/>
  <c r="P319" i="11"/>
  <c r="O319" i="11"/>
  <c r="N319" i="11"/>
  <c r="M319" i="11"/>
  <c r="L319" i="11"/>
  <c r="K319" i="11"/>
  <c r="J319" i="11"/>
  <c r="I319" i="11"/>
  <c r="H319" i="11"/>
  <c r="G319" i="11"/>
  <c r="F319" i="11"/>
  <c r="AE318" i="11"/>
  <c r="AC318" i="11"/>
  <c r="AB318" i="11"/>
  <c r="AA318" i="11"/>
  <c r="Z318" i="11"/>
  <c r="Y318" i="11"/>
  <c r="X318" i="11"/>
  <c r="W318" i="11"/>
  <c r="V318" i="11"/>
  <c r="U318" i="11"/>
  <c r="T318" i="11"/>
  <c r="S318" i="11"/>
  <c r="R318" i="11"/>
  <c r="Q318" i="11"/>
  <c r="P318" i="11"/>
  <c r="O318" i="11"/>
  <c r="N318" i="11"/>
  <c r="M318" i="11"/>
  <c r="L318" i="11"/>
  <c r="K318" i="11"/>
  <c r="J318" i="11"/>
  <c r="I318" i="11"/>
  <c r="H318" i="11"/>
  <c r="G318" i="11"/>
  <c r="F318" i="11"/>
  <c r="AE317" i="11"/>
  <c r="AC317" i="11"/>
  <c r="AB317" i="11"/>
  <c r="AA317" i="11"/>
  <c r="Z317" i="11"/>
  <c r="Y317" i="11"/>
  <c r="X317" i="11"/>
  <c r="W317" i="11"/>
  <c r="V317" i="11"/>
  <c r="U317" i="11"/>
  <c r="T317" i="11"/>
  <c r="S317" i="11"/>
  <c r="R317" i="11"/>
  <c r="Q317" i="11"/>
  <c r="P317" i="11"/>
  <c r="O317" i="11"/>
  <c r="N317" i="11"/>
  <c r="M317" i="11"/>
  <c r="L317" i="11"/>
  <c r="K317" i="11"/>
  <c r="J317" i="11"/>
  <c r="I317" i="11"/>
  <c r="H317" i="11"/>
  <c r="G317" i="11"/>
  <c r="F317" i="11"/>
  <c r="AE316" i="11"/>
  <c r="AC316" i="11"/>
  <c r="AB316" i="11"/>
  <c r="AA316" i="11"/>
  <c r="Z316" i="11"/>
  <c r="Y316" i="11"/>
  <c r="X316" i="11"/>
  <c r="W316" i="11"/>
  <c r="V316" i="11"/>
  <c r="U316" i="11"/>
  <c r="T316" i="11"/>
  <c r="S316" i="11"/>
  <c r="R316" i="11"/>
  <c r="Q316" i="11"/>
  <c r="P316" i="11"/>
  <c r="O316" i="11"/>
  <c r="N316" i="11"/>
  <c r="M316" i="11"/>
  <c r="L316" i="11"/>
  <c r="K316" i="11"/>
  <c r="J316" i="11"/>
  <c r="I316" i="11"/>
  <c r="H316" i="11"/>
  <c r="G316" i="11"/>
  <c r="F316" i="11"/>
  <c r="AE315" i="11"/>
  <c r="AC315" i="11"/>
  <c r="AB315" i="11"/>
  <c r="AA315" i="11"/>
  <c r="Z315" i="11"/>
  <c r="Y315" i="11"/>
  <c r="X315" i="11"/>
  <c r="W315" i="11"/>
  <c r="V315" i="11"/>
  <c r="U315" i="11"/>
  <c r="T315" i="11"/>
  <c r="S315" i="11"/>
  <c r="R315" i="11"/>
  <c r="Q315" i="11"/>
  <c r="P315" i="11"/>
  <c r="O315" i="11"/>
  <c r="N315" i="11"/>
  <c r="M315" i="11"/>
  <c r="L315" i="11"/>
  <c r="K315" i="11"/>
  <c r="J315" i="11"/>
  <c r="I315" i="11"/>
  <c r="H315" i="11"/>
  <c r="G315" i="11"/>
  <c r="F315" i="11"/>
  <c r="AE314" i="11"/>
  <c r="AC314" i="11"/>
  <c r="AB314" i="11"/>
  <c r="AA314" i="11"/>
  <c r="Z314" i="11"/>
  <c r="Y314" i="11"/>
  <c r="X314" i="11"/>
  <c r="W314" i="11"/>
  <c r="V314" i="11"/>
  <c r="U314" i="11"/>
  <c r="T314" i="11"/>
  <c r="S314" i="11"/>
  <c r="R314" i="11"/>
  <c r="Q314" i="11"/>
  <c r="P314" i="11"/>
  <c r="O314" i="11"/>
  <c r="N314" i="11"/>
  <c r="M314" i="11"/>
  <c r="L314" i="11"/>
  <c r="K314" i="11"/>
  <c r="J314" i="11"/>
  <c r="I314" i="11"/>
  <c r="H314" i="11"/>
  <c r="G314" i="11"/>
  <c r="F314" i="11"/>
  <c r="AE313" i="11"/>
  <c r="AC313" i="11"/>
  <c r="AB313" i="11"/>
  <c r="AA313" i="11"/>
  <c r="Z313" i="11"/>
  <c r="Y313" i="11"/>
  <c r="X313" i="11"/>
  <c r="W313" i="11"/>
  <c r="V313" i="11"/>
  <c r="U313" i="11"/>
  <c r="T313" i="11"/>
  <c r="S313" i="11"/>
  <c r="R313" i="11"/>
  <c r="Q313" i="11"/>
  <c r="P313" i="11"/>
  <c r="O313" i="11"/>
  <c r="N313" i="11"/>
  <c r="M313" i="11"/>
  <c r="L313" i="11"/>
  <c r="K313" i="11"/>
  <c r="J313" i="11"/>
  <c r="I313" i="11"/>
  <c r="H313" i="11"/>
  <c r="G313" i="11"/>
  <c r="F313" i="11"/>
  <c r="AE312" i="11"/>
  <c r="AC312" i="11"/>
  <c r="AB312" i="11"/>
  <c r="AA312" i="11"/>
  <c r="Z312" i="11"/>
  <c r="Y312" i="11"/>
  <c r="X312" i="11"/>
  <c r="W312" i="11"/>
  <c r="V312" i="11"/>
  <c r="U312" i="11"/>
  <c r="T312" i="11"/>
  <c r="S312" i="11"/>
  <c r="R312" i="11"/>
  <c r="Q312" i="11"/>
  <c r="P312" i="11"/>
  <c r="O312" i="11"/>
  <c r="N312" i="11"/>
  <c r="M312" i="11"/>
  <c r="L312" i="11"/>
  <c r="K312" i="11"/>
  <c r="J312" i="11"/>
  <c r="I312" i="11"/>
  <c r="H312" i="11"/>
  <c r="G312" i="11"/>
  <c r="F312" i="11"/>
  <c r="AE311" i="11"/>
  <c r="AC311" i="11"/>
  <c r="AB311" i="11"/>
  <c r="AA311" i="11"/>
  <c r="Z311" i="11"/>
  <c r="Y311" i="11"/>
  <c r="X311" i="11"/>
  <c r="W311" i="11"/>
  <c r="V311" i="11"/>
  <c r="U311" i="11"/>
  <c r="T311" i="11"/>
  <c r="S311" i="11"/>
  <c r="R311" i="11"/>
  <c r="Q311" i="11"/>
  <c r="P311" i="11"/>
  <c r="O311" i="11"/>
  <c r="N311" i="11"/>
  <c r="M311" i="11"/>
  <c r="L311" i="11"/>
  <c r="K311" i="11"/>
  <c r="J311" i="11"/>
  <c r="I311" i="11"/>
  <c r="H311" i="11"/>
  <c r="G311" i="11"/>
  <c r="F311" i="11"/>
  <c r="AE310" i="11"/>
  <c r="AC310" i="11"/>
  <c r="AB310" i="11"/>
  <c r="AA310" i="11"/>
  <c r="Z310" i="11"/>
  <c r="Y310" i="11"/>
  <c r="X310" i="11"/>
  <c r="W310" i="11"/>
  <c r="V310" i="11"/>
  <c r="U310" i="11"/>
  <c r="T310" i="11"/>
  <c r="S310" i="11"/>
  <c r="R310" i="11"/>
  <c r="Q310" i="11"/>
  <c r="P310" i="11"/>
  <c r="O310" i="11"/>
  <c r="N310" i="11"/>
  <c r="M310" i="11"/>
  <c r="L310" i="11"/>
  <c r="K310" i="11"/>
  <c r="J310" i="11"/>
  <c r="I310" i="11"/>
  <c r="H310" i="11"/>
  <c r="G310" i="11"/>
  <c r="F310" i="11"/>
  <c r="AE309" i="11"/>
  <c r="AC309" i="11"/>
  <c r="AB309" i="11"/>
  <c r="AA309" i="11"/>
  <c r="Z309" i="11"/>
  <c r="Y309" i="11"/>
  <c r="X309" i="11"/>
  <c r="W309" i="11"/>
  <c r="V309" i="11"/>
  <c r="U309" i="11"/>
  <c r="T309" i="11"/>
  <c r="S309" i="11"/>
  <c r="R309" i="11"/>
  <c r="Q309" i="11"/>
  <c r="P309" i="11"/>
  <c r="O309" i="11"/>
  <c r="N309" i="11"/>
  <c r="M309" i="11"/>
  <c r="L309" i="11"/>
  <c r="K309" i="11"/>
  <c r="J309" i="11"/>
  <c r="I309" i="11"/>
  <c r="H309" i="11"/>
  <c r="G309" i="11"/>
  <c r="F309" i="11"/>
  <c r="AE308" i="11"/>
  <c r="AC308" i="11"/>
  <c r="AB308" i="11"/>
  <c r="AA308" i="11"/>
  <c r="Z308" i="11"/>
  <c r="Y308" i="11"/>
  <c r="X308" i="11"/>
  <c r="W308" i="11"/>
  <c r="V308" i="11"/>
  <c r="U308" i="11"/>
  <c r="T308" i="11"/>
  <c r="S308" i="11"/>
  <c r="R308" i="11"/>
  <c r="Q308" i="11"/>
  <c r="P308" i="11"/>
  <c r="O308" i="11"/>
  <c r="N308" i="11"/>
  <c r="M308" i="11"/>
  <c r="L308" i="11"/>
  <c r="K308" i="11"/>
  <c r="J308" i="11"/>
  <c r="I308" i="11"/>
  <c r="H308" i="11"/>
  <c r="G308" i="11"/>
  <c r="F308" i="11"/>
  <c r="AE307" i="11"/>
  <c r="AC307" i="11"/>
  <c r="AB307" i="11"/>
  <c r="AA307" i="11"/>
  <c r="Z307" i="11"/>
  <c r="Y307" i="11"/>
  <c r="X307" i="11"/>
  <c r="W307" i="11"/>
  <c r="V307" i="11"/>
  <c r="U307" i="11"/>
  <c r="T307" i="11"/>
  <c r="S307" i="11"/>
  <c r="R307" i="11"/>
  <c r="Q307" i="11"/>
  <c r="P307" i="11"/>
  <c r="O307" i="11"/>
  <c r="N307" i="11"/>
  <c r="M307" i="11"/>
  <c r="L307" i="11"/>
  <c r="K307" i="11"/>
  <c r="J307" i="11"/>
  <c r="I307" i="11"/>
  <c r="H307" i="11"/>
  <c r="G307" i="11"/>
  <c r="F307" i="11"/>
  <c r="AE306" i="11"/>
  <c r="AC306" i="11"/>
  <c r="AB306" i="11"/>
  <c r="AA306" i="11"/>
  <c r="Z306" i="11"/>
  <c r="Y306" i="11"/>
  <c r="X306" i="11"/>
  <c r="W306" i="11"/>
  <c r="V306" i="11"/>
  <c r="U306" i="11"/>
  <c r="T306" i="11"/>
  <c r="S306" i="11"/>
  <c r="R306" i="11"/>
  <c r="Q306" i="11"/>
  <c r="P306" i="11"/>
  <c r="O306" i="11"/>
  <c r="N306" i="11"/>
  <c r="M306" i="11"/>
  <c r="L306" i="11"/>
  <c r="K306" i="11"/>
  <c r="J306" i="11"/>
  <c r="I306" i="11"/>
  <c r="H306" i="11"/>
  <c r="G306" i="11"/>
  <c r="F306" i="11"/>
  <c r="AE305" i="11"/>
  <c r="AC305" i="11"/>
  <c r="AB305" i="11"/>
  <c r="AA305" i="11"/>
  <c r="Z305" i="11"/>
  <c r="Y305" i="11"/>
  <c r="X305" i="11"/>
  <c r="W305" i="11"/>
  <c r="V305" i="11"/>
  <c r="U305" i="11"/>
  <c r="T305" i="11"/>
  <c r="S305" i="11"/>
  <c r="R305" i="11"/>
  <c r="Q305" i="11"/>
  <c r="P305" i="11"/>
  <c r="O305" i="11"/>
  <c r="N305" i="11"/>
  <c r="M305" i="11"/>
  <c r="L305" i="11"/>
  <c r="K305" i="11"/>
  <c r="J305" i="11"/>
  <c r="I305" i="11"/>
  <c r="H305" i="11"/>
  <c r="G305" i="11"/>
  <c r="F305" i="11"/>
  <c r="AE304" i="11"/>
  <c r="AC304" i="11"/>
  <c r="AB304" i="11"/>
  <c r="AA304" i="11"/>
  <c r="Z304" i="11"/>
  <c r="Y304" i="11"/>
  <c r="X304" i="11"/>
  <c r="W304" i="11"/>
  <c r="V304" i="11"/>
  <c r="U304" i="11"/>
  <c r="T304" i="11"/>
  <c r="S304" i="11"/>
  <c r="R304" i="11"/>
  <c r="Q304" i="11"/>
  <c r="P304" i="11"/>
  <c r="O304" i="11"/>
  <c r="N304" i="11"/>
  <c r="M304" i="11"/>
  <c r="L304" i="11"/>
  <c r="K304" i="11"/>
  <c r="J304" i="11"/>
  <c r="I304" i="11"/>
  <c r="H304" i="11"/>
  <c r="G304" i="11"/>
  <c r="F304" i="11"/>
  <c r="AE303" i="11"/>
  <c r="AC303" i="11"/>
  <c r="AB303" i="11"/>
  <c r="AA303" i="11"/>
  <c r="Z303" i="11"/>
  <c r="Y303" i="11"/>
  <c r="X303" i="11"/>
  <c r="W303" i="11"/>
  <c r="V303" i="11"/>
  <c r="U303" i="11"/>
  <c r="T303" i="11"/>
  <c r="S303" i="11"/>
  <c r="R303" i="11"/>
  <c r="Q303" i="11"/>
  <c r="P303" i="11"/>
  <c r="O303" i="11"/>
  <c r="N303" i="11"/>
  <c r="M303" i="11"/>
  <c r="L303" i="11"/>
  <c r="K303" i="11"/>
  <c r="J303" i="11"/>
  <c r="I303" i="11"/>
  <c r="H303" i="11"/>
  <c r="G303" i="11"/>
  <c r="F303" i="11"/>
  <c r="AE302" i="11"/>
  <c r="AC302" i="11"/>
  <c r="AB302" i="11"/>
  <c r="AA302" i="11"/>
  <c r="Z302" i="11"/>
  <c r="Y302" i="11"/>
  <c r="X302" i="11"/>
  <c r="W302" i="11"/>
  <c r="V302" i="11"/>
  <c r="U302" i="11"/>
  <c r="T302" i="11"/>
  <c r="S302" i="11"/>
  <c r="R302" i="11"/>
  <c r="Q302" i="11"/>
  <c r="P302" i="11"/>
  <c r="O302" i="11"/>
  <c r="N302" i="11"/>
  <c r="M302" i="11"/>
  <c r="L302" i="11"/>
  <c r="K302" i="11"/>
  <c r="J302" i="11"/>
  <c r="I302" i="11"/>
  <c r="H302" i="11"/>
  <c r="G302" i="11"/>
  <c r="F302" i="11"/>
  <c r="AE301" i="11"/>
  <c r="AC301" i="11"/>
  <c r="AB301" i="11"/>
  <c r="AA301" i="11"/>
  <c r="Z301" i="11"/>
  <c r="Y301" i="11"/>
  <c r="X301" i="11"/>
  <c r="W301" i="11"/>
  <c r="V301" i="11"/>
  <c r="U301" i="11"/>
  <c r="T301" i="11"/>
  <c r="S301" i="11"/>
  <c r="R301" i="11"/>
  <c r="Q301" i="11"/>
  <c r="P301" i="11"/>
  <c r="O301" i="11"/>
  <c r="N301" i="11"/>
  <c r="M301" i="11"/>
  <c r="L301" i="11"/>
  <c r="K301" i="11"/>
  <c r="J301" i="11"/>
  <c r="I301" i="11"/>
  <c r="H301" i="11"/>
  <c r="G301" i="11"/>
  <c r="F301" i="11"/>
  <c r="AE300" i="11"/>
  <c r="AC300" i="11"/>
  <c r="AB300" i="11"/>
  <c r="AA300" i="11"/>
  <c r="Z300" i="11"/>
  <c r="Y300" i="11"/>
  <c r="X300" i="11"/>
  <c r="W300" i="11"/>
  <c r="V300" i="11"/>
  <c r="U300" i="11"/>
  <c r="T300" i="11"/>
  <c r="S300" i="11"/>
  <c r="R300" i="11"/>
  <c r="Q300" i="11"/>
  <c r="P300" i="11"/>
  <c r="O300" i="11"/>
  <c r="N300" i="11"/>
  <c r="M300" i="11"/>
  <c r="L300" i="11"/>
  <c r="K300" i="11"/>
  <c r="J300" i="11"/>
  <c r="I300" i="11"/>
  <c r="H300" i="11"/>
  <c r="G300" i="11"/>
  <c r="F300" i="11"/>
  <c r="AE299" i="11"/>
  <c r="AC299" i="11"/>
  <c r="AB299" i="11"/>
  <c r="AA299" i="11"/>
  <c r="Z299" i="11"/>
  <c r="Y299" i="11"/>
  <c r="X299" i="11"/>
  <c r="W299" i="11"/>
  <c r="V299" i="11"/>
  <c r="U299" i="11"/>
  <c r="T299" i="11"/>
  <c r="S299" i="11"/>
  <c r="R299" i="11"/>
  <c r="Q299" i="11"/>
  <c r="P299" i="11"/>
  <c r="O299" i="11"/>
  <c r="N299" i="11"/>
  <c r="M299" i="11"/>
  <c r="L299" i="11"/>
  <c r="K299" i="11"/>
  <c r="J299" i="11"/>
  <c r="I299" i="11"/>
  <c r="H299" i="11"/>
  <c r="G299" i="11"/>
  <c r="F299" i="11"/>
  <c r="AE298" i="11"/>
  <c r="AC298" i="11"/>
  <c r="AB298" i="11"/>
  <c r="AA298" i="11"/>
  <c r="Z298" i="11"/>
  <c r="Y298" i="11"/>
  <c r="X298" i="11"/>
  <c r="W298" i="11"/>
  <c r="V298" i="11"/>
  <c r="U298" i="11"/>
  <c r="T298" i="11"/>
  <c r="S298" i="11"/>
  <c r="R298" i="11"/>
  <c r="Q298" i="11"/>
  <c r="P298" i="11"/>
  <c r="O298" i="11"/>
  <c r="N298" i="11"/>
  <c r="M298" i="11"/>
  <c r="L298" i="11"/>
  <c r="K298" i="11"/>
  <c r="J298" i="11"/>
  <c r="I298" i="11"/>
  <c r="H298" i="11"/>
  <c r="G298" i="11"/>
  <c r="F298" i="11"/>
  <c r="AE297" i="11"/>
  <c r="AC297" i="11"/>
  <c r="AB297" i="11"/>
  <c r="AA297" i="11"/>
  <c r="Z297" i="11"/>
  <c r="Y297" i="11"/>
  <c r="X297" i="11"/>
  <c r="W297" i="11"/>
  <c r="V297" i="11"/>
  <c r="U297" i="11"/>
  <c r="T297" i="11"/>
  <c r="S297" i="11"/>
  <c r="R297" i="11"/>
  <c r="Q297" i="11"/>
  <c r="P297" i="11"/>
  <c r="O297" i="11"/>
  <c r="N297" i="11"/>
  <c r="M297" i="11"/>
  <c r="L297" i="11"/>
  <c r="K297" i="11"/>
  <c r="J297" i="11"/>
  <c r="I297" i="11"/>
  <c r="H297" i="11"/>
  <c r="G297" i="11"/>
  <c r="F297" i="11"/>
  <c r="AE296" i="11"/>
  <c r="AC296" i="11"/>
  <c r="AB296" i="11"/>
  <c r="AA296" i="11"/>
  <c r="Z296" i="11"/>
  <c r="Y296" i="11"/>
  <c r="X296" i="11"/>
  <c r="W296" i="11"/>
  <c r="V296" i="11"/>
  <c r="U296" i="11"/>
  <c r="T296" i="11"/>
  <c r="S296" i="11"/>
  <c r="R296" i="11"/>
  <c r="Q296" i="11"/>
  <c r="P296" i="11"/>
  <c r="O296" i="11"/>
  <c r="N296" i="11"/>
  <c r="M296" i="11"/>
  <c r="L296" i="11"/>
  <c r="K296" i="11"/>
  <c r="J296" i="11"/>
  <c r="I296" i="11"/>
  <c r="H296" i="11"/>
  <c r="G296" i="11"/>
  <c r="F296" i="11"/>
  <c r="AE295" i="11"/>
  <c r="AC295" i="11"/>
  <c r="AB295" i="11"/>
  <c r="AA295" i="11"/>
  <c r="Z295" i="11"/>
  <c r="Y295" i="11"/>
  <c r="X295" i="11"/>
  <c r="W295" i="11"/>
  <c r="V295" i="11"/>
  <c r="U295" i="11"/>
  <c r="T295" i="11"/>
  <c r="S295" i="11"/>
  <c r="R295" i="11"/>
  <c r="Q295" i="11"/>
  <c r="P295" i="11"/>
  <c r="O295" i="11"/>
  <c r="N295" i="11"/>
  <c r="M295" i="11"/>
  <c r="L295" i="11"/>
  <c r="K295" i="11"/>
  <c r="J295" i="11"/>
  <c r="I295" i="11"/>
  <c r="H295" i="11"/>
  <c r="G295" i="11"/>
  <c r="F295" i="11"/>
  <c r="AE294" i="11"/>
  <c r="AC294" i="11"/>
  <c r="AB294" i="11"/>
  <c r="AA294" i="11"/>
  <c r="Z294" i="11"/>
  <c r="Y294" i="11"/>
  <c r="X294" i="11"/>
  <c r="W294" i="11"/>
  <c r="V294" i="11"/>
  <c r="U294" i="11"/>
  <c r="T294" i="11"/>
  <c r="S294" i="11"/>
  <c r="R294" i="11"/>
  <c r="Q294" i="11"/>
  <c r="P294" i="11"/>
  <c r="O294" i="11"/>
  <c r="N294" i="11"/>
  <c r="M294" i="11"/>
  <c r="L294" i="11"/>
  <c r="K294" i="11"/>
  <c r="J294" i="11"/>
  <c r="I294" i="11"/>
  <c r="H294" i="11"/>
  <c r="G294" i="11"/>
  <c r="F294" i="11"/>
  <c r="AE293" i="11"/>
  <c r="AC293" i="11"/>
  <c r="AB293" i="11"/>
  <c r="AA293" i="11"/>
  <c r="Z293" i="11"/>
  <c r="Y293" i="11"/>
  <c r="X293" i="11"/>
  <c r="W293" i="11"/>
  <c r="V293" i="11"/>
  <c r="U293" i="11"/>
  <c r="T293" i="11"/>
  <c r="S293" i="11"/>
  <c r="R293" i="11"/>
  <c r="Q293" i="11"/>
  <c r="P293" i="11"/>
  <c r="O293" i="11"/>
  <c r="N293" i="11"/>
  <c r="M293" i="11"/>
  <c r="L293" i="11"/>
  <c r="K293" i="11"/>
  <c r="J293" i="11"/>
  <c r="I293" i="11"/>
  <c r="H293" i="11"/>
  <c r="G293" i="11"/>
  <c r="F293" i="11"/>
  <c r="AE292" i="11"/>
  <c r="AC292" i="11"/>
  <c r="AB292" i="11"/>
  <c r="AA292" i="11"/>
  <c r="Z292" i="11"/>
  <c r="Y292" i="11"/>
  <c r="X292" i="11"/>
  <c r="W292" i="11"/>
  <c r="V292" i="11"/>
  <c r="U292" i="11"/>
  <c r="T292" i="11"/>
  <c r="S292" i="11"/>
  <c r="R292" i="11"/>
  <c r="Q292" i="11"/>
  <c r="P292" i="11"/>
  <c r="O292" i="11"/>
  <c r="N292" i="11"/>
  <c r="M292" i="11"/>
  <c r="L292" i="11"/>
  <c r="K292" i="11"/>
  <c r="J292" i="11"/>
  <c r="I292" i="11"/>
  <c r="H292" i="11"/>
  <c r="G292" i="11"/>
  <c r="F292" i="11"/>
  <c r="AE291" i="11"/>
  <c r="AC291" i="11"/>
  <c r="AB291" i="11"/>
  <c r="AA291" i="11"/>
  <c r="Z291" i="11"/>
  <c r="Y291" i="11"/>
  <c r="X291" i="11"/>
  <c r="W291" i="11"/>
  <c r="V291" i="11"/>
  <c r="U291" i="11"/>
  <c r="T291" i="11"/>
  <c r="S291" i="11"/>
  <c r="R291" i="11"/>
  <c r="Q291" i="11"/>
  <c r="P291" i="11"/>
  <c r="O291" i="11"/>
  <c r="N291" i="11"/>
  <c r="M291" i="11"/>
  <c r="L291" i="11"/>
  <c r="K291" i="11"/>
  <c r="J291" i="11"/>
  <c r="I291" i="11"/>
  <c r="H291" i="11"/>
  <c r="G291" i="11"/>
  <c r="F291" i="11"/>
  <c r="AE290" i="11"/>
  <c r="AC290" i="11"/>
  <c r="AB290" i="11"/>
  <c r="AA290" i="11"/>
  <c r="Z290" i="11"/>
  <c r="Y290" i="11"/>
  <c r="X290" i="11"/>
  <c r="W290" i="11"/>
  <c r="V290" i="11"/>
  <c r="U290" i="11"/>
  <c r="T290" i="11"/>
  <c r="S290" i="11"/>
  <c r="R290" i="11"/>
  <c r="Q290" i="11"/>
  <c r="P290" i="11"/>
  <c r="O290" i="11"/>
  <c r="N290" i="11"/>
  <c r="M290" i="11"/>
  <c r="L290" i="11"/>
  <c r="K290" i="11"/>
  <c r="J290" i="11"/>
  <c r="I290" i="11"/>
  <c r="H290" i="11"/>
  <c r="G290" i="11"/>
  <c r="F290" i="11"/>
  <c r="AE289" i="11"/>
  <c r="AC289" i="11"/>
  <c r="AB289" i="11"/>
  <c r="AA289" i="11"/>
  <c r="Z289" i="11"/>
  <c r="Y289" i="11"/>
  <c r="X289" i="11"/>
  <c r="W289" i="11"/>
  <c r="V289" i="11"/>
  <c r="U289" i="11"/>
  <c r="T289" i="11"/>
  <c r="S289" i="11"/>
  <c r="R289" i="11"/>
  <c r="Q289" i="11"/>
  <c r="P289" i="11"/>
  <c r="O289" i="11"/>
  <c r="N289" i="11"/>
  <c r="M289" i="11"/>
  <c r="L289" i="11"/>
  <c r="K289" i="11"/>
  <c r="J289" i="11"/>
  <c r="I289" i="11"/>
  <c r="H289" i="11"/>
  <c r="G289" i="11"/>
  <c r="F289" i="11"/>
  <c r="AE288" i="11"/>
  <c r="AC288" i="11"/>
  <c r="AB288" i="11"/>
  <c r="AA288" i="11"/>
  <c r="Z288" i="11"/>
  <c r="Y288" i="11"/>
  <c r="X288" i="11"/>
  <c r="W288" i="11"/>
  <c r="V288" i="11"/>
  <c r="U288" i="11"/>
  <c r="T288" i="11"/>
  <c r="S288" i="11"/>
  <c r="R288" i="11"/>
  <c r="Q288" i="11"/>
  <c r="P288" i="11"/>
  <c r="O288" i="11"/>
  <c r="N288" i="11"/>
  <c r="M288" i="11"/>
  <c r="L288" i="11"/>
  <c r="K288" i="11"/>
  <c r="J288" i="11"/>
  <c r="I288" i="11"/>
  <c r="H288" i="11"/>
  <c r="G288" i="11"/>
  <c r="F288" i="11"/>
  <c r="AE287" i="11"/>
  <c r="AC287" i="11"/>
  <c r="AB287" i="11"/>
  <c r="AA287" i="11"/>
  <c r="Z287" i="11"/>
  <c r="Y287" i="11"/>
  <c r="X287" i="11"/>
  <c r="W287" i="11"/>
  <c r="V287" i="11"/>
  <c r="U287" i="11"/>
  <c r="T287" i="11"/>
  <c r="S287" i="11"/>
  <c r="R287" i="11"/>
  <c r="Q287" i="11"/>
  <c r="P287" i="11"/>
  <c r="O287" i="11"/>
  <c r="N287" i="11"/>
  <c r="M287" i="11"/>
  <c r="L287" i="11"/>
  <c r="K287" i="11"/>
  <c r="J287" i="11"/>
  <c r="I287" i="11"/>
  <c r="H287" i="11"/>
  <c r="G287" i="11"/>
  <c r="F287" i="11"/>
  <c r="AE286" i="11"/>
  <c r="AC286" i="11"/>
  <c r="AB286" i="11"/>
  <c r="AA286" i="11"/>
  <c r="Z286" i="11"/>
  <c r="Y286" i="11"/>
  <c r="X286" i="11"/>
  <c r="W286" i="11"/>
  <c r="V286" i="11"/>
  <c r="U286" i="11"/>
  <c r="T286" i="11"/>
  <c r="S286" i="11"/>
  <c r="R286" i="11"/>
  <c r="Q286" i="11"/>
  <c r="P286" i="11"/>
  <c r="O286" i="11"/>
  <c r="N286" i="11"/>
  <c r="M286" i="11"/>
  <c r="L286" i="11"/>
  <c r="K286" i="11"/>
  <c r="J286" i="11"/>
  <c r="I286" i="11"/>
  <c r="H286" i="11"/>
  <c r="G286" i="11"/>
  <c r="F286" i="11"/>
  <c r="AE285" i="11"/>
  <c r="AC285" i="11"/>
  <c r="AB285" i="11"/>
  <c r="AA285" i="11"/>
  <c r="Z285" i="11"/>
  <c r="Y285" i="11"/>
  <c r="X285" i="11"/>
  <c r="W285" i="11"/>
  <c r="V285" i="11"/>
  <c r="U285" i="11"/>
  <c r="T285" i="11"/>
  <c r="S285" i="11"/>
  <c r="R285" i="11"/>
  <c r="Q285" i="11"/>
  <c r="P285" i="11"/>
  <c r="O285" i="11"/>
  <c r="N285" i="11"/>
  <c r="M285" i="11"/>
  <c r="L285" i="11"/>
  <c r="K285" i="11"/>
  <c r="J285" i="11"/>
  <c r="I285" i="11"/>
  <c r="H285" i="11"/>
  <c r="G285" i="11"/>
  <c r="F285" i="11"/>
  <c r="AE284" i="11"/>
  <c r="AC284" i="11"/>
  <c r="AB284" i="11"/>
  <c r="AA284" i="11"/>
  <c r="Z284" i="11"/>
  <c r="Y284" i="11"/>
  <c r="X284" i="11"/>
  <c r="W284" i="11"/>
  <c r="V284" i="11"/>
  <c r="U284" i="11"/>
  <c r="T284" i="11"/>
  <c r="S284" i="11"/>
  <c r="R284" i="11"/>
  <c r="Q284" i="11"/>
  <c r="P284" i="11"/>
  <c r="O284" i="11"/>
  <c r="N284" i="11"/>
  <c r="M284" i="11"/>
  <c r="L284" i="11"/>
  <c r="K284" i="11"/>
  <c r="J284" i="11"/>
  <c r="I284" i="11"/>
  <c r="H284" i="11"/>
  <c r="G284" i="11"/>
  <c r="F284" i="11"/>
  <c r="AE283" i="11"/>
  <c r="AC283" i="11"/>
  <c r="AB283" i="11"/>
  <c r="AA283" i="11"/>
  <c r="Z283" i="11"/>
  <c r="Y283" i="11"/>
  <c r="X283" i="11"/>
  <c r="W283" i="11"/>
  <c r="V283" i="11"/>
  <c r="U283" i="11"/>
  <c r="T283" i="11"/>
  <c r="S283" i="11"/>
  <c r="R283" i="11"/>
  <c r="Q283" i="11"/>
  <c r="P283" i="11"/>
  <c r="O283" i="11"/>
  <c r="N283" i="11"/>
  <c r="M283" i="11"/>
  <c r="L283" i="11"/>
  <c r="K283" i="11"/>
  <c r="J283" i="11"/>
  <c r="I283" i="11"/>
  <c r="H283" i="11"/>
  <c r="G283" i="11"/>
  <c r="F283" i="11"/>
  <c r="AE282" i="11"/>
  <c r="AC282" i="11"/>
  <c r="AB282" i="11"/>
  <c r="AA282" i="11"/>
  <c r="Z282" i="11"/>
  <c r="Y282" i="11"/>
  <c r="X282" i="11"/>
  <c r="W282" i="11"/>
  <c r="V282" i="11"/>
  <c r="U282" i="11"/>
  <c r="T282" i="11"/>
  <c r="S282" i="11"/>
  <c r="R282" i="11"/>
  <c r="Q282" i="11"/>
  <c r="P282" i="11"/>
  <c r="O282" i="11"/>
  <c r="N282" i="11"/>
  <c r="M282" i="11"/>
  <c r="L282" i="11"/>
  <c r="K282" i="11"/>
  <c r="J282" i="11"/>
  <c r="I282" i="11"/>
  <c r="H282" i="11"/>
  <c r="G282" i="11"/>
  <c r="F282" i="11"/>
  <c r="AE281" i="11"/>
  <c r="AC281" i="11"/>
  <c r="AB281" i="11"/>
  <c r="AA281" i="11"/>
  <c r="Z281" i="11"/>
  <c r="Y281" i="11"/>
  <c r="X281" i="11"/>
  <c r="W281" i="11"/>
  <c r="V281" i="11"/>
  <c r="U281" i="11"/>
  <c r="T281" i="11"/>
  <c r="S281" i="11"/>
  <c r="R281" i="11"/>
  <c r="Q281" i="11"/>
  <c r="P281" i="11"/>
  <c r="O281" i="11"/>
  <c r="N281" i="11"/>
  <c r="M281" i="11"/>
  <c r="L281" i="11"/>
  <c r="K281" i="11"/>
  <c r="J281" i="11"/>
  <c r="I281" i="11"/>
  <c r="H281" i="11"/>
  <c r="G281" i="11"/>
  <c r="F281" i="11"/>
  <c r="AE280" i="11"/>
  <c r="AC280" i="11"/>
  <c r="AB280" i="11"/>
  <c r="AA280" i="11"/>
  <c r="Z280" i="11"/>
  <c r="Y280" i="11"/>
  <c r="X280" i="11"/>
  <c r="W280" i="11"/>
  <c r="V280" i="11"/>
  <c r="U280" i="11"/>
  <c r="T280" i="11"/>
  <c r="S280" i="11"/>
  <c r="R280" i="11"/>
  <c r="Q280" i="11"/>
  <c r="P280" i="11"/>
  <c r="O280" i="11"/>
  <c r="N280" i="11"/>
  <c r="M280" i="11"/>
  <c r="L280" i="11"/>
  <c r="K280" i="11"/>
  <c r="J280" i="11"/>
  <c r="I280" i="11"/>
  <c r="H280" i="11"/>
  <c r="G280" i="11"/>
  <c r="F280" i="11"/>
  <c r="AE279" i="11"/>
  <c r="AC279" i="11"/>
  <c r="AB279" i="11"/>
  <c r="AA279" i="11"/>
  <c r="Z279" i="11"/>
  <c r="Y279" i="11"/>
  <c r="X279" i="11"/>
  <c r="W279" i="11"/>
  <c r="V279" i="11"/>
  <c r="U279" i="11"/>
  <c r="T279" i="11"/>
  <c r="S279" i="11"/>
  <c r="R279" i="11"/>
  <c r="Q279" i="11"/>
  <c r="P279" i="11"/>
  <c r="O279" i="11"/>
  <c r="N279" i="11"/>
  <c r="M279" i="11"/>
  <c r="L279" i="11"/>
  <c r="K279" i="11"/>
  <c r="J279" i="11"/>
  <c r="I279" i="11"/>
  <c r="H279" i="11"/>
  <c r="G279" i="11"/>
  <c r="F279" i="11"/>
  <c r="AE278" i="11"/>
  <c r="AC278" i="11"/>
  <c r="AB278" i="11"/>
  <c r="AA278" i="11"/>
  <c r="Z278" i="11"/>
  <c r="Y278" i="11"/>
  <c r="X278" i="11"/>
  <c r="W278" i="11"/>
  <c r="V278" i="11"/>
  <c r="U278" i="11"/>
  <c r="T278" i="11"/>
  <c r="S278" i="11"/>
  <c r="R278" i="11"/>
  <c r="Q278" i="11"/>
  <c r="P278" i="11"/>
  <c r="O278" i="11"/>
  <c r="N278" i="11"/>
  <c r="M278" i="11"/>
  <c r="L278" i="11"/>
  <c r="K278" i="11"/>
  <c r="J278" i="11"/>
  <c r="I278" i="11"/>
  <c r="H278" i="11"/>
  <c r="G278" i="11"/>
  <c r="F278" i="11"/>
  <c r="AE277" i="11"/>
  <c r="AC277" i="11"/>
  <c r="AB277" i="11"/>
  <c r="AA277" i="11"/>
  <c r="Z277" i="11"/>
  <c r="Y277" i="11"/>
  <c r="X277" i="11"/>
  <c r="W277" i="11"/>
  <c r="V277" i="11"/>
  <c r="U277" i="11"/>
  <c r="T277" i="11"/>
  <c r="S277" i="11"/>
  <c r="R277" i="11"/>
  <c r="Q277" i="11"/>
  <c r="P277" i="11"/>
  <c r="O277" i="11"/>
  <c r="N277" i="11"/>
  <c r="M277" i="11"/>
  <c r="L277" i="11"/>
  <c r="K277" i="11"/>
  <c r="J277" i="11"/>
  <c r="I277" i="11"/>
  <c r="H277" i="11"/>
  <c r="G277" i="11"/>
  <c r="F277" i="11"/>
  <c r="AE276" i="11"/>
  <c r="AC276" i="11"/>
  <c r="AB276" i="11"/>
  <c r="AA276" i="11"/>
  <c r="Z276" i="11"/>
  <c r="Y276" i="11"/>
  <c r="X276" i="11"/>
  <c r="W276" i="11"/>
  <c r="V276" i="11"/>
  <c r="U276" i="11"/>
  <c r="T276" i="11"/>
  <c r="S276" i="11"/>
  <c r="R276" i="11"/>
  <c r="Q276" i="11"/>
  <c r="P276" i="11"/>
  <c r="O276" i="11"/>
  <c r="N276" i="11"/>
  <c r="M276" i="11"/>
  <c r="L276" i="11"/>
  <c r="K276" i="11"/>
  <c r="J276" i="11"/>
  <c r="I276" i="11"/>
  <c r="H276" i="11"/>
  <c r="G276" i="11"/>
  <c r="F276" i="11"/>
  <c r="AE275" i="11"/>
  <c r="AC275" i="11"/>
  <c r="AB275" i="11"/>
  <c r="AA275" i="11"/>
  <c r="Z275" i="11"/>
  <c r="Y275" i="11"/>
  <c r="X275" i="11"/>
  <c r="W275" i="11"/>
  <c r="V275" i="11"/>
  <c r="U275" i="11"/>
  <c r="T275" i="11"/>
  <c r="S275" i="11"/>
  <c r="R275" i="11"/>
  <c r="Q275" i="11"/>
  <c r="P275" i="11"/>
  <c r="O275" i="11"/>
  <c r="N275" i="11"/>
  <c r="M275" i="11"/>
  <c r="L275" i="11"/>
  <c r="K275" i="11"/>
  <c r="J275" i="11"/>
  <c r="I275" i="11"/>
  <c r="H275" i="11"/>
  <c r="G275" i="11"/>
  <c r="F275" i="11"/>
  <c r="AE274" i="11"/>
  <c r="AC274" i="11"/>
  <c r="AB274" i="11"/>
  <c r="AA274" i="11"/>
  <c r="Z274" i="11"/>
  <c r="Y274" i="11"/>
  <c r="X274" i="11"/>
  <c r="W274" i="11"/>
  <c r="V274" i="11"/>
  <c r="U274" i="11"/>
  <c r="T274" i="11"/>
  <c r="S274" i="11"/>
  <c r="R274" i="11"/>
  <c r="Q274" i="11"/>
  <c r="P274" i="11"/>
  <c r="O274" i="11"/>
  <c r="N274" i="11"/>
  <c r="M274" i="11"/>
  <c r="L274" i="11"/>
  <c r="K274" i="11"/>
  <c r="J274" i="11"/>
  <c r="I274" i="11"/>
  <c r="H274" i="11"/>
  <c r="G274" i="11"/>
  <c r="F274" i="11"/>
  <c r="AE273" i="11"/>
  <c r="AC273" i="11"/>
  <c r="AB273" i="11"/>
  <c r="AA273" i="11"/>
  <c r="Z273" i="11"/>
  <c r="Y273" i="11"/>
  <c r="X273" i="11"/>
  <c r="W273" i="11"/>
  <c r="V273" i="11"/>
  <c r="U273" i="11"/>
  <c r="T273" i="11"/>
  <c r="S273" i="11"/>
  <c r="R273" i="11"/>
  <c r="Q273" i="11"/>
  <c r="P273" i="11"/>
  <c r="O273" i="11"/>
  <c r="N273" i="11"/>
  <c r="M273" i="11"/>
  <c r="L273" i="11"/>
  <c r="K273" i="11"/>
  <c r="J273" i="11"/>
  <c r="I273" i="11"/>
  <c r="H273" i="11"/>
  <c r="G273" i="11"/>
  <c r="F273" i="11"/>
  <c r="AE272" i="11"/>
  <c r="AC272" i="11"/>
  <c r="AB272" i="11"/>
  <c r="AA272" i="11"/>
  <c r="Z272" i="11"/>
  <c r="Y272" i="11"/>
  <c r="X272" i="11"/>
  <c r="W272" i="11"/>
  <c r="V272" i="11"/>
  <c r="U272" i="11"/>
  <c r="T272" i="11"/>
  <c r="S272" i="11"/>
  <c r="R272" i="11"/>
  <c r="Q272" i="11"/>
  <c r="P272" i="11"/>
  <c r="O272" i="11"/>
  <c r="N272" i="11"/>
  <c r="M272" i="11"/>
  <c r="L272" i="11"/>
  <c r="K272" i="11"/>
  <c r="J272" i="11"/>
  <c r="I272" i="11"/>
  <c r="H272" i="11"/>
  <c r="G272" i="11"/>
  <c r="F272" i="11"/>
  <c r="AE271" i="11"/>
  <c r="AC271" i="11"/>
  <c r="AB271" i="11"/>
  <c r="AA271" i="11"/>
  <c r="Z271" i="11"/>
  <c r="Y271" i="11"/>
  <c r="X271" i="11"/>
  <c r="W271" i="11"/>
  <c r="V271" i="11"/>
  <c r="U271" i="11"/>
  <c r="T271" i="11"/>
  <c r="S271" i="11"/>
  <c r="R271" i="11"/>
  <c r="Q271" i="11"/>
  <c r="P271" i="11"/>
  <c r="O271" i="11"/>
  <c r="N271" i="11"/>
  <c r="M271" i="11"/>
  <c r="L271" i="11"/>
  <c r="K271" i="11"/>
  <c r="J271" i="11"/>
  <c r="I271" i="11"/>
  <c r="H271" i="11"/>
  <c r="G271" i="11"/>
  <c r="F271" i="11"/>
  <c r="AE270" i="11"/>
  <c r="AC270" i="11"/>
  <c r="AB270" i="11"/>
  <c r="AA270" i="11"/>
  <c r="Z270" i="11"/>
  <c r="Y270" i="11"/>
  <c r="X270" i="11"/>
  <c r="W270" i="11"/>
  <c r="V270" i="11"/>
  <c r="U270" i="11"/>
  <c r="T270" i="11"/>
  <c r="S270" i="11"/>
  <c r="R270" i="11"/>
  <c r="Q270" i="11"/>
  <c r="P270" i="11"/>
  <c r="O270" i="11"/>
  <c r="N270" i="11"/>
  <c r="M270" i="11"/>
  <c r="L270" i="11"/>
  <c r="K270" i="11"/>
  <c r="J270" i="11"/>
  <c r="I270" i="11"/>
  <c r="H270" i="11"/>
  <c r="G270" i="11"/>
  <c r="F270" i="11"/>
  <c r="AE269" i="11"/>
  <c r="AC269" i="11"/>
  <c r="AB269" i="11"/>
  <c r="AA269" i="11"/>
  <c r="Z269" i="11"/>
  <c r="Y269" i="11"/>
  <c r="X269" i="11"/>
  <c r="W269" i="11"/>
  <c r="V269" i="11"/>
  <c r="U269" i="11"/>
  <c r="T269" i="11"/>
  <c r="S269" i="11"/>
  <c r="R269" i="11"/>
  <c r="Q269" i="11"/>
  <c r="P269" i="11"/>
  <c r="O269" i="11"/>
  <c r="N269" i="11"/>
  <c r="M269" i="11"/>
  <c r="L269" i="11"/>
  <c r="K269" i="11"/>
  <c r="J269" i="11"/>
  <c r="I269" i="11"/>
  <c r="H269" i="11"/>
  <c r="G269" i="11"/>
  <c r="F269" i="11"/>
  <c r="AE268" i="11"/>
  <c r="AC268" i="11"/>
  <c r="AB268" i="11"/>
  <c r="AA268" i="11"/>
  <c r="Z268" i="11"/>
  <c r="Y268" i="11"/>
  <c r="X268" i="11"/>
  <c r="W268" i="11"/>
  <c r="V268" i="11"/>
  <c r="U268" i="11"/>
  <c r="T268" i="11"/>
  <c r="S268" i="11"/>
  <c r="R268" i="11"/>
  <c r="Q268" i="11"/>
  <c r="P268" i="11"/>
  <c r="O268" i="11"/>
  <c r="N268" i="11"/>
  <c r="M268" i="11"/>
  <c r="L268" i="11"/>
  <c r="K268" i="11"/>
  <c r="J268" i="11"/>
  <c r="I268" i="11"/>
  <c r="H268" i="11"/>
  <c r="G268" i="11"/>
  <c r="F268" i="11"/>
  <c r="AE267" i="11"/>
  <c r="AC267" i="11"/>
  <c r="AB267" i="11"/>
  <c r="AA267" i="11"/>
  <c r="Z267" i="11"/>
  <c r="Y267" i="11"/>
  <c r="X267" i="11"/>
  <c r="W267" i="11"/>
  <c r="V267" i="11"/>
  <c r="U267" i="11"/>
  <c r="T267" i="11"/>
  <c r="S267" i="11"/>
  <c r="R267" i="11"/>
  <c r="Q267" i="11"/>
  <c r="P267" i="11"/>
  <c r="O267" i="11"/>
  <c r="N267" i="11"/>
  <c r="M267" i="11"/>
  <c r="L267" i="11"/>
  <c r="K267" i="11"/>
  <c r="J267" i="11"/>
  <c r="I267" i="11"/>
  <c r="H267" i="11"/>
  <c r="G267" i="11"/>
  <c r="F267" i="11"/>
  <c r="AE266" i="11"/>
  <c r="AC266" i="11"/>
  <c r="AB266" i="11"/>
  <c r="AA266" i="11"/>
  <c r="Z266" i="11"/>
  <c r="Y266" i="11"/>
  <c r="X266" i="11"/>
  <c r="W266" i="11"/>
  <c r="V266" i="11"/>
  <c r="U266" i="11"/>
  <c r="T266" i="11"/>
  <c r="S266" i="11"/>
  <c r="R266" i="11"/>
  <c r="Q266" i="11"/>
  <c r="P266" i="11"/>
  <c r="O266" i="11"/>
  <c r="N266" i="11"/>
  <c r="M266" i="11"/>
  <c r="L266" i="11"/>
  <c r="K266" i="11"/>
  <c r="J266" i="11"/>
  <c r="I266" i="11"/>
  <c r="H266" i="11"/>
  <c r="G266" i="11"/>
  <c r="F266" i="11"/>
  <c r="AE265" i="11"/>
  <c r="AC265" i="11"/>
  <c r="AB265" i="11"/>
  <c r="AA265" i="11"/>
  <c r="Z265" i="11"/>
  <c r="Y265" i="11"/>
  <c r="X265" i="11"/>
  <c r="W265" i="11"/>
  <c r="V265" i="11"/>
  <c r="U265" i="11"/>
  <c r="T265" i="11"/>
  <c r="S265" i="11"/>
  <c r="R265" i="11"/>
  <c r="Q265" i="11"/>
  <c r="P265" i="11"/>
  <c r="O265" i="11"/>
  <c r="N265" i="11"/>
  <c r="M265" i="11"/>
  <c r="L265" i="11"/>
  <c r="K265" i="11"/>
  <c r="J265" i="11"/>
  <c r="I265" i="11"/>
  <c r="H265" i="11"/>
  <c r="G265" i="11"/>
  <c r="F265" i="11"/>
  <c r="AE264" i="11"/>
  <c r="AC264" i="11"/>
  <c r="AB264" i="11"/>
  <c r="AA264" i="11"/>
  <c r="Z264" i="11"/>
  <c r="Y264" i="11"/>
  <c r="X264" i="11"/>
  <c r="W264" i="11"/>
  <c r="V264" i="11"/>
  <c r="U264" i="11"/>
  <c r="T264" i="11"/>
  <c r="S264" i="11"/>
  <c r="R264" i="11"/>
  <c r="Q264" i="11"/>
  <c r="P264" i="11"/>
  <c r="O264" i="11"/>
  <c r="N264" i="11"/>
  <c r="M264" i="11"/>
  <c r="L264" i="11"/>
  <c r="K264" i="11"/>
  <c r="J264" i="11"/>
  <c r="I264" i="11"/>
  <c r="H264" i="11"/>
  <c r="G264" i="11"/>
  <c r="F264" i="11"/>
  <c r="AE263" i="11"/>
  <c r="AC263" i="11"/>
  <c r="AB263" i="11"/>
  <c r="AA263" i="11"/>
  <c r="Z263" i="11"/>
  <c r="Y263" i="11"/>
  <c r="X263" i="11"/>
  <c r="W263" i="11"/>
  <c r="V263" i="11"/>
  <c r="U263" i="11"/>
  <c r="T263" i="11"/>
  <c r="S263" i="11"/>
  <c r="R263" i="11"/>
  <c r="Q263" i="11"/>
  <c r="P263" i="11"/>
  <c r="O263" i="11"/>
  <c r="N263" i="11"/>
  <c r="M263" i="11"/>
  <c r="L263" i="11"/>
  <c r="K263" i="11"/>
  <c r="J263" i="11"/>
  <c r="I263" i="11"/>
  <c r="H263" i="11"/>
  <c r="G263" i="11"/>
  <c r="F263" i="11"/>
  <c r="AE262" i="11"/>
  <c r="AC262" i="11"/>
  <c r="AB262" i="11"/>
  <c r="AA262" i="11"/>
  <c r="Z262" i="11"/>
  <c r="Y262" i="11"/>
  <c r="X262" i="11"/>
  <c r="W262" i="11"/>
  <c r="V262" i="11"/>
  <c r="U262" i="11"/>
  <c r="T262" i="11"/>
  <c r="S262" i="11"/>
  <c r="R262" i="11"/>
  <c r="Q262" i="11"/>
  <c r="P262" i="11"/>
  <c r="O262" i="11"/>
  <c r="N262" i="11"/>
  <c r="M262" i="11"/>
  <c r="L262" i="11"/>
  <c r="K262" i="11"/>
  <c r="J262" i="11"/>
  <c r="I262" i="11"/>
  <c r="H262" i="11"/>
  <c r="G262" i="11"/>
  <c r="F262" i="11"/>
  <c r="AE261" i="11"/>
  <c r="AC261" i="11"/>
  <c r="AB261" i="11"/>
  <c r="AA261" i="11"/>
  <c r="Z261" i="11"/>
  <c r="Y261" i="11"/>
  <c r="X261" i="11"/>
  <c r="W261" i="11"/>
  <c r="V261" i="11"/>
  <c r="U261" i="11"/>
  <c r="T261" i="11"/>
  <c r="S261" i="11"/>
  <c r="R261" i="11"/>
  <c r="Q261" i="11"/>
  <c r="P261" i="11"/>
  <c r="O261" i="11"/>
  <c r="N261" i="11"/>
  <c r="M261" i="11"/>
  <c r="L261" i="11"/>
  <c r="K261" i="11"/>
  <c r="J261" i="11"/>
  <c r="I261" i="11"/>
  <c r="H261" i="11"/>
  <c r="G261" i="11"/>
  <c r="F261" i="11"/>
  <c r="AE260" i="11"/>
  <c r="AC260" i="11"/>
  <c r="AB260" i="11"/>
  <c r="AA260" i="11"/>
  <c r="Z260" i="11"/>
  <c r="Y260" i="11"/>
  <c r="X260" i="11"/>
  <c r="W260" i="11"/>
  <c r="V260" i="11"/>
  <c r="U260" i="11"/>
  <c r="T260" i="11"/>
  <c r="S260" i="11"/>
  <c r="R260" i="11"/>
  <c r="Q260" i="11"/>
  <c r="P260" i="11"/>
  <c r="O260" i="11"/>
  <c r="N260" i="11"/>
  <c r="M260" i="11"/>
  <c r="L260" i="11"/>
  <c r="K260" i="11"/>
  <c r="J260" i="11"/>
  <c r="I260" i="11"/>
  <c r="H260" i="11"/>
  <c r="G260" i="11"/>
  <c r="F260" i="11"/>
  <c r="AE259" i="11"/>
  <c r="AC259" i="11"/>
  <c r="AB259" i="11"/>
  <c r="AA259" i="11"/>
  <c r="Z259" i="11"/>
  <c r="Y259" i="11"/>
  <c r="X259" i="11"/>
  <c r="W259" i="11"/>
  <c r="V259" i="11"/>
  <c r="U259" i="11"/>
  <c r="T259" i="11"/>
  <c r="S259" i="11"/>
  <c r="R259" i="11"/>
  <c r="Q259" i="11"/>
  <c r="P259" i="11"/>
  <c r="O259" i="11"/>
  <c r="N259" i="11"/>
  <c r="M259" i="11"/>
  <c r="L259" i="11"/>
  <c r="K259" i="11"/>
  <c r="J259" i="11"/>
  <c r="I259" i="11"/>
  <c r="H259" i="11"/>
  <c r="G259" i="11"/>
  <c r="F259" i="11"/>
  <c r="AE258" i="11"/>
  <c r="AC258" i="11"/>
  <c r="AB258" i="11"/>
  <c r="AA258" i="11"/>
  <c r="Z258" i="11"/>
  <c r="Y258" i="11"/>
  <c r="X258" i="11"/>
  <c r="W258" i="11"/>
  <c r="V258" i="11"/>
  <c r="U258" i="11"/>
  <c r="T258" i="11"/>
  <c r="S258" i="11"/>
  <c r="R258" i="11"/>
  <c r="Q258" i="11"/>
  <c r="P258" i="11"/>
  <c r="O258" i="11"/>
  <c r="N258" i="11"/>
  <c r="M258" i="11"/>
  <c r="L258" i="11"/>
  <c r="K258" i="11"/>
  <c r="J258" i="11"/>
  <c r="I258" i="11"/>
  <c r="H258" i="11"/>
  <c r="G258" i="11"/>
  <c r="F258" i="11"/>
  <c r="AE257" i="11"/>
  <c r="AC257" i="11"/>
  <c r="AB257" i="11"/>
  <c r="AA257" i="11"/>
  <c r="Z257" i="11"/>
  <c r="Y257" i="11"/>
  <c r="X257" i="11"/>
  <c r="W257" i="11"/>
  <c r="V257" i="11"/>
  <c r="U257" i="11"/>
  <c r="T257" i="11"/>
  <c r="S257" i="11"/>
  <c r="R257" i="11"/>
  <c r="Q257" i="11"/>
  <c r="P257" i="11"/>
  <c r="O257" i="11"/>
  <c r="N257" i="11"/>
  <c r="M257" i="11"/>
  <c r="L257" i="11"/>
  <c r="K257" i="11"/>
  <c r="J257" i="11"/>
  <c r="I257" i="11"/>
  <c r="H257" i="11"/>
  <c r="G257" i="11"/>
  <c r="F257" i="11"/>
  <c r="AE256" i="11"/>
  <c r="AC256" i="11"/>
  <c r="AB256" i="11"/>
  <c r="AA256" i="11"/>
  <c r="Z256" i="11"/>
  <c r="Y256" i="11"/>
  <c r="X256" i="11"/>
  <c r="W256" i="11"/>
  <c r="V256" i="11"/>
  <c r="U256" i="11"/>
  <c r="T256" i="11"/>
  <c r="S256" i="11"/>
  <c r="R256" i="11"/>
  <c r="Q256" i="11"/>
  <c r="P256" i="11"/>
  <c r="O256" i="11"/>
  <c r="N256" i="11"/>
  <c r="M256" i="11"/>
  <c r="L256" i="11"/>
  <c r="K256" i="11"/>
  <c r="J256" i="11"/>
  <c r="I256" i="11"/>
  <c r="H256" i="11"/>
  <c r="G256" i="11"/>
  <c r="F256" i="11"/>
  <c r="AE255" i="11"/>
  <c r="AC255" i="11"/>
  <c r="AB255" i="11"/>
  <c r="AA255" i="11"/>
  <c r="Z255" i="11"/>
  <c r="Y255" i="11"/>
  <c r="X255" i="11"/>
  <c r="W255" i="11"/>
  <c r="V255" i="11"/>
  <c r="U255" i="11"/>
  <c r="T255" i="11"/>
  <c r="S255" i="11"/>
  <c r="R255" i="11"/>
  <c r="Q255" i="11"/>
  <c r="P255" i="11"/>
  <c r="O255" i="11"/>
  <c r="N255" i="11"/>
  <c r="M255" i="11"/>
  <c r="L255" i="11"/>
  <c r="K255" i="11"/>
  <c r="J255" i="11"/>
  <c r="I255" i="11"/>
  <c r="H255" i="11"/>
  <c r="G255" i="11"/>
  <c r="F255" i="11"/>
  <c r="AE254" i="11"/>
  <c r="AC254" i="11"/>
  <c r="AB254" i="11"/>
  <c r="AA254" i="11"/>
  <c r="Z254" i="11"/>
  <c r="Y254" i="11"/>
  <c r="X254" i="11"/>
  <c r="W254" i="11"/>
  <c r="V254" i="11"/>
  <c r="U254" i="11"/>
  <c r="T254" i="11"/>
  <c r="S254" i="11"/>
  <c r="R254" i="11"/>
  <c r="Q254" i="11"/>
  <c r="P254" i="11"/>
  <c r="O254" i="11"/>
  <c r="N254" i="11"/>
  <c r="M254" i="11"/>
  <c r="L254" i="11"/>
  <c r="K254" i="11"/>
  <c r="J254" i="11"/>
  <c r="I254" i="11"/>
  <c r="H254" i="11"/>
  <c r="G254" i="11"/>
  <c r="F254" i="11"/>
  <c r="AE253" i="11"/>
  <c r="AC253" i="11"/>
  <c r="AB253" i="11"/>
  <c r="AA253" i="11"/>
  <c r="Z253" i="11"/>
  <c r="Y253" i="11"/>
  <c r="X253" i="11"/>
  <c r="W253" i="11"/>
  <c r="V253" i="11"/>
  <c r="U253" i="11"/>
  <c r="T253" i="11"/>
  <c r="S253" i="11"/>
  <c r="R253" i="11"/>
  <c r="Q253" i="11"/>
  <c r="P253" i="11"/>
  <c r="O253" i="11"/>
  <c r="N253" i="11"/>
  <c r="M253" i="11"/>
  <c r="L253" i="11"/>
  <c r="K253" i="11"/>
  <c r="J253" i="11"/>
  <c r="I253" i="11"/>
  <c r="H253" i="11"/>
  <c r="G253" i="11"/>
  <c r="F253" i="11"/>
  <c r="AE252" i="11"/>
  <c r="AC252" i="11"/>
  <c r="AB252" i="11"/>
  <c r="AA252" i="11"/>
  <c r="Z252" i="11"/>
  <c r="Y252" i="11"/>
  <c r="X252" i="11"/>
  <c r="W252" i="11"/>
  <c r="V252" i="11"/>
  <c r="U252" i="11"/>
  <c r="T252" i="11"/>
  <c r="S252" i="11"/>
  <c r="R252" i="11"/>
  <c r="Q252" i="11"/>
  <c r="P252" i="11"/>
  <c r="O252" i="11"/>
  <c r="N252" i="11"/>
  <c r="M252" i="11"/>
  <c r="L252" i="11"/>
  <c r="K252" i="11"/>
  <c r="J252" i="11"/>
  <c r="I252" i="11"/>
  <c r="H252" i="11"/>
  <c r="G252" i="11"/>
  <c r="F252" i="11"/>
  <c r="AE251" i="11"/>
  <c r="AC251" i="11"/>
  <c r="AB251" i="11"/>
  <c r="AA251" i="11"/>
  <c r="Z251" i="11"/>
  <c r="Y251" i="11"/>
  <c r="X251" i="11"/>
  <c r="W251" i="11"/>
  <c r="V251" i="11"/>
  <c r="U251" i="11"/>
  <c r="T251" i="11"/>
  <c r="S251" i="11"/>
  <c r="R251" i="11"/>
  <c r="Q251" i="11"/>
  <c r="P251" i="11"/>
  <c r="O251" i="11"/>
  <c r="N251" i="11"/>
  <c r="M251" i="11"/>
  <c r="L251" i="11"/>
  <c r="K251" i="11"/>
  <c r="J251" i="11"/>
  <c r="I251" i="11"/>
  <c r="H251" i="11"/>
  <c r="G251" i="11"/>
  <c r="F251" i="11"/>
  <c r="AE250" i="11"/>
  <c r="AC250" i="11"/>
  <c r="AB250" i="11"/>
  <c r="AA250" i="11"/>
  <c r="Z250" i="11"/>
  <c r="Y250" i="11"/>
  <c r="X250" i="11"/>
  <c r="W250" i="11"/>
  <c r="V250" i="11"/>
  <c r="U250" i="11"/>
  <c r="T250" i="11"/>
  <c r="S250" i="11"/>
  <c r="R250" i="11"/>
  <c r="Q250" i="11"/>
  <c r="P250" i="11"/>
  <c r="O250" i="11"/>
  <c r="N250" i="11"/>
  <c r="M250" i="11"/>
  <c r="L250" i="11"/>
  <c r="K250" i="11"/>
  <c r="J250" i="11"/>
  <c r="I250" i="11"/>
  <c r="H250" i="11"/>
  <c r="G250" i="11"/>
  <c r="F250" i="11"/>
  <c r="AE249" i="11"/>
  <c r="AC249" i="11"/>
  <c r="AB249" i="11"/>
  <c r="AA249" i="11"/>
  <c r="Z249" i="11"/>
  <c r="Y249" i="11"/>
  <c r="X249" i="11"/>
  <c r="W249" i="11"/>
  <c r="V249" i="11"/>
  <c r="U249" i="11"/>
  <c r="T249" i="11"/>
  <c r="S249" i="11"/>
  <c r="R249" i="11"/>
  <c r="Q249" i="11"/>
  <c r="P249" i="11"/>
  <c r="O249" i="11"/>
  <c r="N249" i="11"/>
  <c r="M249" i="11"/>
  <c r="L249" i="11"/>
  <c r="K249" i="11"/>
  <c r="J249" i="11"/>
  <c r="I249" i="11"/>
  <c r="H249" i="11"/>
  <c r="G249" i="11"/>
  <c r="F249" i="11"/>
  <c r="AE248" i="11"/>
  <c r="AC248" i="11"/>
  <c r="AB248" i="11"/>
  <c r="AA248" i="11"/>
  <c r="Z248" i="11"/>
  <c r="Y248" i="11"/>
  <c r="X248" i="11"/>
  <c r="W248" i="11"/>
  <c r="V248" i="11"/>
  <c r="U248" i="11"/>
  <c r="T248" i="11"/>
  <c r="S248" i="11"/>
  <c r="R248" i="11"/>
  <c r="Q248" i="11"/>
  <c r="P248" i="11"/>
  <c r="O248" i="11"/>
  <c r="N248" i="11"/>
  <c r="M248" i="11"/>
  <c r="L248" i="11"/>
  <c r="K248" i="11"/>
  <c r="J248" i="11"/>
  <c r="I248" i="11"/>
  <c r="H248" i="11"/>
  <c r="G248" i="11"/>
  <c r="F248" i="11"/>
  <c r="AE247" i="11"/>
  <c r="AC247" i="11"/>
  <c r="AB247" i="11"/>
  <c r="AA247" i="11"/>
  <c r="Z247" i="11"/>
  <c r="Y247" i="11"/>
  <c r="X247" i="11"/>
  <c r="W247" i="11"/>
  <c r="V247" i="11"/>
  <c r="U247" i="11"/>
  <c r="T247" i="11"/>
  <c r="S247" i="11"/>
  <c r="R247" i="11"/>
  <c r="Q247" i="11"/>
  <c r="P247" i="11"/>
  <c r="O247" i="11"/>
  <c r="N247" i="11"/>
  <c r="M247" i="11"/>
  <c r="L247" i="11"/>
  <c r="K247" i="11"/>
  <c r="J247" i="11"/>
  <c r="I247" i="11"/>
  <c r="H247" i="11"/>
  <c r="G247" i="11"/>
  <c r="F247" i="11"/>
  <c r="AE246" i="11"/>
  <c r="AC246" i="11"/>
  <c r="AB246" i="11"/>
  <c r="AA246" i="11"/>
  <c r="Z246" i="11"/>
  <c r="Y246" i="11"/>
  <c r="X246" i="11"/>
  <c r="W246" i="11"/>
  <c r="V246" i="11"/>
  <c r="U246" i="11"/>
  <c r="T246" i="11"/>
  <c r="S246" i="11"/>
  <c r="R246" i="11"/>
  <c r="Q246" i="11"/>
  <c r="P246" i="11"/>
  <c r="O246" i="11"/>
  <c r="N246" i="11"/>
  <c r="M246" i="11"/>
  <c r="L246" i="11"/>
  <c r="K246" i="11"/>
  <c r="J246" i="11"/>
  <c r="I246" i="11"/>
  <c r="H246" i="11"/>
  <c r="G246" i="11"/>
  <c r="F246" i="11"/>
  <c r="AE245" i="11"/>
  <c r="AC245" i="11"/>
  <c r="AB245" i="11"/>
  <c r="AA245" i="11"/>
  <c r="Z245" i="11"/>
  <c r="Y245" i="11"/>
  <c r="X245" i="11"/>
  <c r="W245" i="11"/>
  <c r="V245" i="11"/>
  <c r="U245" i="11"/>
  <c r="T245" i="11"/>
  <c r="S245" i="11"/>
  <c r="R245" i="11"/>
  <c r="Q245" i="11"/>
  <c r="P245" i="11"/>
  <c r="O245" i="11"/>
  <c r="N245" i="11"/>
  <c r="M245" i="11"/>
  <c r="L245" i="11"/>
  <c r="K245" i="11"/>
  <c r="J245" i="11"/>
  <c r="I245" i="11"/>
  <c r="H245" i="11"/>
  <c r="G245" i="11"/>
  <c r="F245" i="11"/>
  <c r="AE244" i="11"/>
  <c r="AC244" i="11"/>
  <c r="AB244" i="11"/>
  <c r="AA244" i="11"/>
  <c r="Z244" i="11"/>
  <c r="Y244" i="11"/>
  <c r="X244" i="11"/>
  <c r="W244" i="11"/>
  <c r="V244" i="11"/>
  <c r="U244" i="11"/>
  <c r="T244" i="11"/>
  <c r="S244" i="11"/>
  <c r="R244" i="11"/>
  <c r="Q244" i="11"/>
  <c r="P244" i="11"/>
  <c r="O244" i="11"/>
  <c r="N244" i="11"/>
  <c r="M244" i="11"/>
  <c r="L244" i="11"/>
  <c r="K244" i="11"/>
  <c r="J244" i="11"/>
  <c r="I244" i="11"/>
  <c r="H244" i="11"/>
  <c r="G244" i="11"/>
  <c r="F244" i="11"/>
  <c r="AE243" i="11"/>
  <c r="AC243" i="11"/>
  <c r="AB243" i="11"/>
  <c r="AA243" i="11"/>
  <c r="Z243" i="11"/>
  <c r="Y243" i="11"/>
  <c r="X243" i="11"/>
  <c r="W243" i="11"/>
  <c r="V243" i="11"/>
  <c r="U243" i="11"/>
  <c r="T243" i="11"/>
  <c r="S243" i="11"/>
  <c r="R243" i="11"/>
  <c r="Q243" i="11"/>
  <c r="P243" i="11"/>
  <c r="O243" i="11"/>
  <c r="N243" i="11"/>
  <c r="M243" i="11"/>
  <c r="L243" i="11"/>
  <c r="K243" i="11"/>
  <c r="J243" i="11"/>
  <c r="I243" i="11"/>
  <c r="H243" i="11"/>
  <c r="G243" i="11"/>
  <c r="F243" i="11"/>
  <c r="AE242" i="11"/>
  <c r="AC242" i="11"/>
  <c r="AB242" i="11"/>
  <c r="AA242" i="11"/>
  <c r="Z242" i="11"/>
  <c r="Y242" i="11"/>
  <c r="X242" i="11"/>
  <c r="W242" i="11"/>
  <c r="V242" i="11"/>
  <c r="U242" i="11"/>
  <c r="T242" i="11"/>
  <c r="S242" i="11"/>
  <c r="R242" i="11"/>
  <c r="Q242" i="11"/>
  <c r="P242" i="11"/>
  <c r="O242" i="11"/>
  <c r="N242" i="11"/>
  <c r="M242" i="11"/>
  <c r="L242" i="11"/>
  <c r="K242" i="11"/>
  <c r="J242" i="11"/>
  <c r="I242" i="11"/>
  <c r="H242" i="11"/>
  <c r="G242" i="11"/>
  <c r="F242" i="11"/>
  <c r="AE241" i="11"/>
  <c r="AC241" i="11"/>
  <c r="AB241" i="11"/>
  <c r="AA241" i="11"/>
  <c r="Z241" i="11"/>
  <c r="Y241" i="11"/>
  <c r="X241" i="11"/>
  <c r="W241" i="11"/>
  <c r="V241" i="11"/>
  <c r="U241" i="11"/>
  <c r="T241" i="11"/>
  <c r="S241" i="11"/>
  <c r="R241" i="11"/>
  <c r="Q241" i="11"/>
  <c r="P241" i="11"/>
  <c r="O241" i="11"/>
  <c r="N241" i="11"/>
  <c r="M241" i="11"/>
  <c r="L241" i="11"/>
  <c r="K241" i="11"/>
  <c r="J241" i="11"/>
  <c r="I241" i="11"/>
  <c r="H241" i="11"/>
  <c r="G241" i="11"/>
  <c r="F241" i="11"/>
  <c r="AE240" i="11"/>
  <c r="AC240" i="11"/>
  <c r="AB240" i="11"/>
  <c r="AA240" i="11"/>
  <c r="Z240" i="11"/>
  <c r="Y240" i="11"/>
  <c r="X240" i="11"/>
  <c r="W240" i="11"/>
  <c r="V240" i="11"/>
  <c r="U240" i="11"/>
  <c r="T240" i="11"/>
  <c r="S240" i="11"/>
  <c r="R240" i="11"/>
  <c r="Q240" i="11"/>
  <c r="P240" i="11"/>
  <c r="O240" i="11"/>
  <c r="N240" i="11"/>
  <c r="M240" i="11"/>
  <c r="L240" i="11"/>
  <c r="K240" i="11"/>
  <c r="J240" i="11"/>
  <c r="I240" i="11"/>
  <c r="H240" i="11"/>
  <c r="G240" i="11"/>
  <c r="F240" i="11"/>
  <c r="AE239" i="11"/>
  <c r="AC239" i="11"/>
  <c r="AB239" i="11"/>
  <c r="AA239" i="11"/>
  <c r="Z239" i="11"/>
  <c r="Y239" i="11"/>
  <c r="X239" i="11"/>
  <c r="W239" i="11"/>
  <c r="V239" i="11"/>
  <c r="U239" i="11"/>
  <c r="T239" i="11"/>
  <c r="S239" i="11"/>
  <c r="R239" i="11"/>
  <c r="Q239" i="11"/>
  <c r="P239" i="11"/>
  <c r="O239" i="11"/>
  <c r="N239" i="11"/>
  <c r="M239" i="11"/>
  <c r="L239" i="11"/>
  <c r="K239" i="11"/>
  <c r="J239" i="11"/>
  <c r="I239" i="11"/>
  <c r="H239" i="11"/>
  <c r="G239" i="11"/>
  <c r="F239" i="11"/>
  <c r="AE238" i="11"/>
  <c r="AC238" i="11"/>
  <c r="AB238" i="11"/>
  <c r="AA238" i="11"/>
  <c r="Z238" i="11"/>
  <c r="Y238" i="11"/>
  <c r="X238" i="11"/>
  <c r="W238" i="11"/>
  <c r="V238" i="11"/>
  <c r="U238" i="11"/>
  <c r="T238" i="11"/>
  <c r="S238" i="11"/>
  <c r="R238" i="11"/>
  <c r="Q238" i="11"/>
  <c r="P238" i="11"/>
  <c r="O238" i="11"/>
  <c r="N238" i="11"/>
  <c r="M238" i="11"/>
  <c r="L238" i="11"/>
  <c r="K238" i="11"/>
  <c r="J238" i="11"/>
  <c r="I238" i="11"/>
  <c r="H238" i="11"/>
  <c r="G238" i="11"/>
  <c r="F238" i="11"/>
  <c r="AE237" i="11"/>
  <c r="AC237" i="11"/>
  <c r="AB237" i="11"/>
  <c r="AA237" i="11"/>
  <c r="Z237" i="11"/>
  <c r="Y237" i="11"/>
  <c r="X237" i="11"/>
  <c r="W237" i="11"/>
  <c r="V237" i="11"/>
  <c r="U237" i="11"/>
  <c r="T237" i="11"/>
  <c r="S237" i="11"/>
  <c r="R237" i="11"/>
  <c r="Q237" i="11"/>
  <c r="P237" i="11"/>
  <c r="O237" i="11"/>
  <c r="N237" i="11"/>
  <c r="M237" i="11"/>
  <c r="L237" i="11"/>
  <c r="K237" i="11"/>
  <c r="J237" i="11"/>
  <c r="I237" i="11"/>
  <c r="H237" i="11"/>
  <c r="G237" i="11"/>
  <c r="F237" i="11"/>
  <c r="AE236" i="11"/>
  <c r="AC236" i="11"/>
  <c r="AB236" i="11"/>
  <c r="AA236" i="11"/>
  <c r="Z236" i="11"/>
  <c r="Y236" i="11"/>
  <c r="X236" i="11"/>
  <c r="W236" i="11"/>
  <c r="V236" i="11"/>
  <c r="U236" i="11"/>
  <c r="T236" i="11"/>
  <c r="S236" i="11"/>
  <c r="R236" i="11"/>
  <c r="Q236" i="11"/>
  <c r="P236" i="11"/>
  <c r="O236" i="11"/>
  <c r="N236" i="11"/>
  <c r="M236" i="11"/>
  <c r="L236" i="11"/>
  <c r="K236" i="11"/>
  <c r="J236" i="11"/>
  <c r="I236" i="11"/>
  <c r="H236" i="11"/>
  <c r="G236" i="11"/>
  <c r="F236" i="11"/>
  <c r="AE235" i="11"/>
  <c r="AC235" i="11"/>
  <c r="AB235" i="11"/>
  <c r="AA235" i="11"/>
  <c r="Z235" i="11"/>
  <c r="Y235" i="11"/>
  <c r="X235" i="11"/>
  <c r="W235" i="11"/>
  <c r="V235" i="11"/>
  <c r="U235" i="11"/>
  <c r="T235" i="11"/>
  <c r="S235" i="11"/>
  <c r="R235" i="11"/>
  <c r="Q235" i="11"/>
  <c r="P235" i="11"/>
  <c r="O235" i="11"/>
  <c r="N235" i="11"/>
  <c r="M235" i="11"/>
  <c r="L235" i="11"/>
  <c r="K235" i="11"/>
  <c r="J235" i="11"/>
  <c r="I235" i="11"/>
  <c r="H235" i="11"/>
  <c r="G235" i="11"/>
  <c r="F235" i="11"/>
  <c r="AE234" i="11"/>
  <c r="AC234" i="11"/>
  <c r="AB234" i="11"/>
  <c r="AA234" i="11"/>
  <c r="Z234" i="11"/>
  <c r="Y234" i="11"/>
  <c r="X234" i="11"/>
  <c r="W234" i="11"/>
  <c r="V234" i="11"/>
  <c r="U234" i="11"/>
  <c r="T234" i="11"/>
  <c r="S234" i="11"/>
  <c r="R234" i="11"/>
  <c r="Q234" i="11"/>
  <c r="P234" i="11"/>
  <c r="O234" i="11"/>
  <c r="N234" i="11"/>
  <c r="M234" i="11"/>
  <c r="L234" i="11"/>
  <c r="K234" i="11"/>
  <c r="J234" i="11"/>
  <c r="I234" i="11"/>
  <c r="H234" i="11"/>
  <c r="G234" i="11"/>
  <c r="F234" i="11"/>
  <c r="AE233" i="11"/>
  <c r="AC233" i="11"/>
  <c r="AB233" i="11"/>
  <c r="AA233" i="11"/>
  <c r="Z233" i="11"/>
  <c r="Y233" i="11"/>
  <c r="X233" i="11"/>
  <c r="W233" i="11"/>
  <c r="V233" i="11"/>
  <c r="U233" i="11"/>
  <c r="T233" i="11"/>
  <c r="S233" i="11"/>
  <c r="R233" i="11"/>
  <c r="Q233" i="11"/>
  <c r="P233" i="11"/>
  <c r="O233" i="11"/>
  <c r="N233" i="11"/>
  <c r="M233" i="11"/>
  <c r="L233" i="11"/>
  <c r="K233" i="11"/>
  <c r="J233" i="11"/>
  <c r="I233" i="11"/>
  <c r="H233" i="11"/>
  <c r="G233" i="11"/>
  <c r="F233" i="11"/>
  <c r="AE232" i="11"/>
  <c r="AC232" i="11"/>
  <c r="AB232" i="11"/>
  <c r="AA232" i="11"/>
  <c r="Z232" i="11"/>
  <c r="Y232" i="11"/>
  <c r="X232" i="11"/>
  <c r="W232" i="11"/>
  <c r="V232" i="11"/>
  <c r="U232" i="11"/>
  <c r="T232" i="11"/>
  <c r="S232" i="11"/>
  <c r="R232" i="11"/>
  <c r="Q232" i="11"/>
  <c r="P232" i="11"/>
  <c r="O232" i="11"/>
  <c r="N232" i="11"/>
  <c r="M232" i="11"/>
  <c r="L232" i="11"/>
  <c r="K232" i="11"/>
  <c r="J232" i="11"/>
  <c r="I232" i="11"/>
  <c r="H232" i="11"/>
  <c r="G232" i="11"/>
  <c r="F232" i="11"/>
  <c r="AE231" i="11"/>
  <c r="AC231" i="11"/>
  <c r="AB231" i="11"/>
  <c r="AA231" i="11"/>
  <c r="Z231" i="11"/>
  <c r="Y231" i="11"/>
  <c r="X231" i="11"/>
  <c r="W231" i="11"/>
  <c r="V231" i="11"/>
  <c r="U231" i="11"/>
  <c r="T231" i="11"/>
  <c r="S231" i="11"/>
  <c r="R231" i="11"/>
  <c r="Q231" i="11"/>
  <c r="P231" i="11"/>
  <c r="O231" i="11"/>
  <c r="N231" i="11"/>
  <c r="M231" i="11"/>
  <c r="L231" i="11"/>
  <c r="K231" i="11"/>
  <c r="J231" i="11"/>
  <c r="I231" i="11"/>
  <c r="H231" i="11"/>
  <c r="G231" i="11"/>
  <c r="F231" i="11"/>
  <c r="AE230" i="11"/>
  <c r="AC230" i="11"/>
  <c r="AB230" i="11"/>
  <c r="AA230" i="11"/>
  <c r="Z230" i="11"/>
  <c r="Y230" i="11"/>
  <c r="X230" i="11"/>
  <c r="W230" i="11"/>
  <c r="V230" i="11"/>
  <c r="U230" i="11"/>
  <c r="T230" i="11"/>
  <c r="S230" i="11"/>
  <c r="R230" i="11"/>
  <c r="Q230" i="11"/>
  <c r="P230" i="11"/>
  <c r="O230" i="11"/>
  <c r="N230" i="11"/>
  <c r="M230" i="11"/>
  <c r="L230" i="11"/>
  <c r="K230" i="11"/>
  <c r="J230" i="11"/>
  <c r="I230" i="11"/>
  <c r="H230" i="11"/>
  <c r="G230" i="11"/>
  <c r="F230" i="11"/>
  <c r="AE229" i="11"/>
  <c r="AC229" i="11"/>
  <c r="AB229" i="11"/>
  <c r="AA229" i="11"/>
  <c r="Z229" i="11"/>
  <c r="Y229" i="11"/>
  <c r="X229" i="11"/>
  <c r="W229" i="11"/>
  <c r="V229" i="11"/>
  <c r="U229" i="11"/>
  <c r="T229" i="11"/>
  <c r="S229" i="11"/>
  <c r="R229" i="11"/>
  <c r="Q229" i="11"/>
  <c r="P229" i="11"/>
  <c r="O229" i="11"/>
  <c r="N229" i="11"/>
  <c r="M229" i="11"/>
  <c r="L229" i="11"/>
  <c r="K229" i="11"/>
  <c r="J229" i="11"/>
  <c r="I229" i="11"/>
  <c r="H229" i="11"/>
  <c r="G229" i="11"/>
  <c r="F229" i="11"/>
  <c r="AE228" i="11"/>
  <c r="AC228" i="11"/>
  <c r="AB228" i="11"/>
  <c r="AA228" i="11"/>
  <c r="Z228" i="11"/>
  <c r="Y228" i="11"/>
  <c r="X228" i="11"/>
  <c r="W228" i="11"/>
  <c r="V228" i="11"/>
  <c r="U228" i="11"/>
  <c r="T228" i="11"/>
  <c r="S228" i="11"/>
  <c r="R228" i="11"/>
  <c r="Q228" i="11"/>
  <c r="P228" i="11"/>
  <c r="O228" i="11"/>
  <c r="N228" i="11"/>
  <c r="M228" i="11"/>
  <c r="L228" i="11"/>
  <c r="K228" i="11"/>
  <c r="J228" i="11"/>
  <c r="I228" i="11"/>
  <c r="H228" i="11"/>
  <c r="G228" i="11"/>
  <c r="F228" i="11"/>
  <c r="AE227" i="11"/>
  <c r="AC227" i="11"/>
  <c r="AB227" i="11"/>
  <c r="AA227" i="11"/>
  <c r="Z227" i="11"/>
  <c r="Y227" i="11"/>
  <c r="X227" i="11"/>
  <c r="W227" i="11"/>
  <c r="V227" i="11"/>
  <c r="U227" i="11"/>
  <c r="T227" i="11"/>
  <c r="S227" i="11"/>
  <c r="R227" i="11"/>
  <c r="Q227" i="11"/>
  <c r="P227" i="11"/>
  <c r="O227" i="11"/>
  <c r="N227" i="11"/>
  <c r="M227" i="11"/>
  <c r="L227" i="11"/>
  <c r="K227" i="11"/>
  <c r="J227" i="11"/>
  <c r="I227" i="11"/>
  <c r="H227" i="11"/>
  <c r="G227" i="11"/>
  <c r="F227" i="11"/>
  <c r="AE226" i="11"/>
  <c r="AC226" i="11"/>
  <c r="AB226" i="11"/>
  <c r="AA226" i="11"/>
  <c r="Z226" i="11"/>
  <c r="Y226" i="11"/>
  <c r="X226" i="11"/>
  <c r="W226" i="11"/>
  <c r="V226" i="11"/>
  <c r="U226" i="11"/>
  <c r="T226" i="11"/>
  <c r="S226" i="11"/>
  <c r="R226" i="11"/>
  <c r="Q226" i="11"/>
  <c r="P226" i="11"/>
  <c r="O226" i="11"/>
  <c r="N226" i="11"/>
  <c r="M226" i="11"/>
  <c r="L226" i="11"/>
  <c r="K226" i="11"/>
  <c r="J226" i="11"/>
  <c r="I226" i="11"/>
  <c r="H226" i="11"/>
  <c r="G226" i="11"/>
  <c r="F226" i="11"/>
  <c r="AE225" i="11"/>
  <c r="AC225" i="11"/>
  <c r="AB225" i="11"/>
  <c r="AA225" i="11"/>
  <c r="Z225" i="11"/>
  <c r="Y225" i="11"/>
  <c r="X225" i="11"/>
  <c r="W225" i="11"/>
  <c r="V225" i="11"/>
  <c r="U225" i="11"/>
  <c r="T225" i="11"/>
  <c r="S225" i="11"/>
  <c r="R225" i="11"/>
  <c r="Q225" i="11"/>
  <c r="P225" i="11"/>
  <c r="O225" i="11"/>
  <c r="N225" i="11"/>
  <c r="M225" i="11"/>
  <c r="L225" i="11"/>
  <c r="K225" i="11"/>
  <c r="J225" i="11"/>
  <c r="I225" i="11"/>
  <c r="H225" i="11"/>
  <c r="G225" i="11"/>
  <c r="F225" i="11"/>
  <c r="AE224" i="11"/>
  <c r="AC224" i="11"/>
  <c r="AB224" i="11"/>
  <c r="AA224" i="11"/>
  <c r="Z224" i="11"/>
  <c r="Y224" i="11"/>
  <c r="X224" i="11"/>
  <c r="W224" i="11"/>
  <c r="V224" i="11"/>
  <c r="U224" i="11"/>
  <c r="T224" i="11"/>
  <c r="S224" i="11"/>
  <c r="R224" i="11"/>
  <c r="Q224" i="11"/>
  <c r="P224" i="11"/>
  <c r="O224" i="11"/>
  <c r="N224" i="11"/>
  <c r="M224" i="11"/>
  <c r="L224" i="11"/>
  <c r="K224" i="11"/>
  <c r="J224" i="11"/>
  <c r="I224" i="11"/>
  <c r="H224" i="11"/>
  <c r="G224" i="11"/>
  <c r="F224" i="11"/>
  <c r="AE223" i="11"/>
  <c r="AC223" i="11"/>
  <c r="AB223" i="11"/>
  <c r="AA223" i="11"/>
  <c r="Z223" i="11"/>
  <c r="Y223" i="11"/>
  <c r="X223" i="11"/>
  <c r="W223" i="11"/>
  <c r="V223" i="11"/>
  <c r="U223" i="11"/>
  <c r="T223" i="11"/>
  <c r="S223" i="11"/>
  <c r="R223" i="11"/>
  <c r="Q223" i="11"/>
  <c r="P223" i="11"/>
  <c r="O223" i="11"/>
  <c r="N223" i="11"/>
  <c r="M223" i="11"/>
  <c r="L223" i="11"/>
  <c r="K223" i="11"/>
  <c r="J223" i="11"/>
  <c r="I223" i="11"/>
  <c r="H223" i="11"/>
  <c r="G223" i="11"/>
  <c r="F223" i="11"/>
  <c r="AE222" i="11"/>
  <c r="AC222" i="11"/>
  <c r="AB222" i="11"/>
  <c r="AA222" i="11"/>
  <c r="Z222" i="11"/>
  <c r="Y222" i="11"/>
  <c r="X222" i="11"/>
  <c r="W222" i="11"/>
  <c r="V222" i="11"/>
  <c r="U222" i="11"/>
  <c r="T222" i="11"/>
  <c r="S222" i="11"/>
  <c r="R222" i="11"/>
  <c r="Q222" i="11"/>
  <c r="P222" i="11"/>
  <c r="O222" i="11"/>
  <c r="N222" i="11"/>
  <c r="M222" i="11"/>
  <c r="L222" i="11"/>
  <c r="K222" i="11"/>
  <c r="J222" i="11"/>
  <c r="I222" i="11"/>
  <c r="H222" i="11"/>
  <c r="G222" i="11"/>
  <c r="F222" i="11"/>
  <c r="AE221" i="11"/>
  <c r="AC221" i="11"/>
  <c r="AB221" i="11"/>
  <c r="AA221" i="11"/>
  <c r="Z221" i="11"/>
  <c r="Y221" i="11"/>
  <c r="X221" i="11"/>
  <c r="W221" i="11"/>
  <c r="V221" i="11"/>
  <c r="U221" i="11"/>
  <c r="T221" i="11"/>
  <c r="S221" i="11"/>
  <c r="R221" i="11"/>
  <c r="Q221" i="11"/>
  <c r="P221" i="11"/>
  <c r="O221" i="11"/>
  <c r="N221" i="11"/>
  <c r="M221" i="11"/>
  <c r="L221" i="11"/>
  <c r="K221" i="11"/>
  <c r="J221" i="11"/>
  <c r="I221" i="11"/>
  <c r="H221" i="11"/>
  <c r="G221" i="11"/>
  <c r="F221" i="11"/>
  <c r="AE220" i="11"/>
  <c r="AC220" i="11"/>
  <c r="AB220" i="11"/>
  <c r="AA220" i="11"/>
  <c r="Z220" i="11"/>
  <c r="Y220" i="11"/>
  <c r="X220" i="11"/>
  <c r="W220" i="11"/>
  <c r="V220" i="11"/>
  <c r="U220" i="11"/>
  <c r="T220" i="11"/>
  <c r="S220" i="11"/>
  <c r="R220" i="11"/>
  <c r="Q220" i="11"/>
  <c r="P220" i="11"/>
  <c r="O220" i="11"/>
  <c r="N220" i="11"/>
  <c r="M220" i="11"/>
  <c r="L220" i="11"/>
  <c r="K220" i="11"/>
  <c r="J220" i="11"/>
  <c r="I220" i="11"/>
  <c r="H220" i="11"/>
  <c r="G220" i="11"/>
  <c r="F220" i="11"/>
  <c r="AE219" i="11"/>
  <c r="AC219" i="11"/>
  <c r="AB219" i="11"/>
  <c r="AA219" i="11"/>
  <c r="Z219" i="11"/>
  <c r="Y219" i="11"/>
  <c r="X219" i="11"/>
  <c r="W219" i="11"/>
  <c r="V219" i="11"/>
  <c r="U219" i="11"/>
  <c r="T219" i="11"/>
  <c r="S219" i="11"/>
  <c r="R219" i="11"/>
  <c r="Q219" i="11"/>
  <c r="P219" i="11"/>
  <c r="O219" i="11"/>
  <c r="N219" i="11"/>
  <c r="M219" i="11"/>
  <c r="L219" i="11"/>
  <c r="K219" i="11"/>
  <c r="J219" i="11"/>
  <c r="I219" i="11"/>
  <c r="H219" i="11"/>
  <c r="G219" i="11"/>
  <c r="F219" i="11"/>
  <c r="AE218" i="11"/>
  <c r="AC218" i="11"/>
  <c r="AB218" i="11"/>
  <c r="AA218" i="11"/>
  <c r="Z218" i="11"/>
  <c r="Y218" i="11"/>
  <c r="X218" i="11"/>
  <c r="W218" i="11"/>
  <c r="V218" i="11"/>
  <c r="U218" i="11"/>
  <c r="T218" i="11"/>
  <c r="S218" i="11"/>
  <c r="R218" i="11"/>
  <c r="Q218" i="11"/>
  <c r="P218" i="11"/>
  <c r="O218" i="11"/>
  <c r="N218" i="11"/>
  <c r="M218" i="11"/>
  <c r="L218" i="11"/>
  <c r="K218" i="11"/>
  <c r="J218" i="11"/>
  <c r="I218" i="11"/>
  <c r="H218" i="11"/>
  <c r="G218" i="11"/>
  <c r="F218" i="11"/>
  <c r="AE217" i="11"/>
  <c r="AC217" i="11"/>
  <c r="AB217" i="11"/>
  <c r="AA217" i="11"/>
  <c r="Z217" i="11"/>
  <c r="Y217" i="11"/>
  <c r="X217" i="11"/>
  <c r="W217" i="11"/>
  <c r="V217" i="11"/>
  <c r="U217" i="11"/>
  <c r="T217" i="11"/>
  <c r="S217" i="11"/>
  <c r="R217" i="11"/>
  <c r="Q217" i="11"/>
  <c r="P217" i="11"/>
  <c r="O217" i="11"/>
  <c r="N217" i="11"/>
  <c r="M217" i="11"/>
  <c r="L217" i="11"/>
  <c r="K217" i="11"/>
  <c r="J217" i="11"/>
  <c r="I217" i="11"/>
  <c r="H217" i="11"/>
  <c r="G217" i="11"/>
  <c r="F217" i="11"/>
  <c r="AE216" i="11"/>
  <c r="AC216" i="11"/>
  <c r="AB216" i="11"/>
  <c r="AA216" i="11"/>
  <c r="Z216" i="11"/>
  <c r="Y216" i="11"/>
  <c r="X216" i="11"/>
  <c r="W216" i="11"/>
  <c r="V216" i="11"/>
  <c r="U216" i="11"/>
  <c r="T216" i="11"/>
  <c r="S216" i="11"/>
  <c r="R216" i="11"/>
  <c r="Q216" i="11"/>
  <c r="P216" i="11"/>
  <c r="O216" i="11"/>
  <c r="N216" i="11"/>
  <c r="M216" i="11"/>
  <c r="L216" i="11"/>
  <c r="K216" i="11"/>
  <c r="J216" i="11"/>
  <c r="I216" i="11"/>
  <c r="H216" i="11"/>
  <c r="G216" i="11"/>
  <c r="F216" i="11"/>
  <c r="AE215" i="11"/>
  <c r="AC215" i="11"/>
  <c r="AB215" i="11"/>
  <c r="AA215" i="11"/>
  <c r="Z215" i="11"/>
  <c r="Y215" i="11"/>
  <c r="X215" i="11"/>
  <c r="W215" i="11"/>
  <c r="V215" i="11"/>
  <c r="U215" i="11"/>
  <c r="T215" i="11"/>
  <c r="S215" i="11"/>
  <c r="R215" i="11"/>
  <c r="Q215" i="11"/>
  <c r="P215" i="11"/>
  <c r="O215" i="11"/>
  <c r="N215" i="11"/>
  <c r="M215" i="11"/>
  <c r="L215" i="11"/>
  <c r="K215" i="11"/>
  <c r="J215" i="11"/>
  <c r="I215" i="11"/>
  <c r="H215" i="11"/>
  <c r="G215" i="11"/>
  <c r="F215" i="11"/>
  <c r="AE214" i="11"/>
  <c r="AC214" i="11"/>
  <c r="AB214" i="11"/>
  <c r="AA214" i="11"/>
  <c r="Z214" i="11"/>
  <c r="Y214" i="11"/>
  <c r="X214" i="11"/>
  <c r="W214" i="11"/>
  <c r="V214" i="11"/>
  <c r="U214" i="11"/>
  <c r="T214" i="11"/>
  <c r="S214" i="11"/>
  <c r="R214" i="11"/>
  <c r="Q214" i="11"/>
  <c r="P214" i="11"/>
  <c r="O214" i="11"/>
  <c r="N214" i="11"/>
  <c r="M214" i="11"/>
  <c r="L214" i="11"/>
  <c r="K214" i="11"/>
  <c r="J214" i="11"/>
  <c r="I214" i="11"/>
  <c r="H214" i="11"/>
  <c r="G214" i="11"/>
  <c r="F214" i="11"/>
  <c r="AE213" i="11"/>
  <c r="AC213" i="11"/>
  <c r="AB213" i="11"/>
  <c r="AA213" i="11"/>
  <c r="Z213" i="11"/>
  <c r="Y213" i="11"/>
  <c r="X213" i="11"/>
  <c r="W213" i="11"/>
  <c r="V213" i="11"/>
  <c r="U213" i="11"/>
  <c r="T213" i="11"/>
  <c r="S213" i="11"/>
  <c r="R213" i="11"/>
  <c r="Q213" i="11"/>
  <c r="P213" i="11"/>
  <c r="O213" i="11"/>
  <c r="N213" i="11"/>
  <c r="M213" i="11"/>
  <c r="L213" i="11"/>
  <c r="K213" i="11"/>
  <c r="J213" i="11"/>
  <c r="I213" i="11"/>
  <c r="H213" i="11"/>
  <c r="G213" i="11"/>
  <c r="F213" i="11"/>
  <c r="AE212" i="11"/>
  <c r="AC212" i="11"/>
  <c r="AB212" i="11"/>
  <c r="AA212" i="11"/>
  <c r="Z212" i="11"/>
  <c r="Y212" i="11"/>
  <c r="X212" i="11"/>
  <c r="W212" i="11"/>
  <c r="V212" i="11"/>
  <c r="U212" i="11"/>
  <c r="T212" i="11"/>
  <c r="S212" i="11"/>
  <c r="R212" i="11"/>
  <c r="Q212" i="11"/>
  <c r="P212" i="11"/>
  <c r="O212" i="11"/>
  <c r="N212" i="11"/>
  <c r="M212" i="11"/>
  <c r="L212" i="11"/>
  <c r="K212" i="11"/>
  <c r="J212" i="11"/>
  <c r="I212" i="11"/>
  <c r="H212" i="11"/>
  <c r="G212" i="11"/>
  <c r="F212" i="11"/>
  <c r="AE211" i="11"/>
  <c r="AC211" i="11"/>
  <c r="AB211" i="11"/>
  <c r="AA211" i="11"/>
  <c r="Z211" i="11"/>
  <c r="Y211" i="11"/>
  <c r="X211" i="11"/>
  <c r="W211" i="11"/>
  <c r="V211" i="11"/>
  <c r="U211" i="11"/>
  <c r="T211" i="11"/>
  <c r="S211" i="11"/>
  <c r="R211" i="11"/>
  <c r="Q211" i="11"/>
  <c r="P211" i="11"/>
  <c r="O211" i="11"/>
  <c r="N211" i="11"/>
  <c r="M211" i="11"/>
  <c r="L211" i="11"/>
  <c r="K211" i="11"/>
  <c r="J211" i="11"/>
  <c r="I211" i="11"/>
  <c r="H211" i="11"/>
  <c r="G211" i="11"/>
  <c r="F211" i="11"/>
  <c r="AE210" i="11"/>
  <c r="AC210" i="11"/>
  <c r="AB210" i="11"/>
  <c r="AA210" i="11"/>
  <c r="Z210" i="11"/>
  <c r="Y210" i="11"/>
  <c r="X210" i="11"/>
  <c r="W210" i="11"/>
  <c r="V210" i="11"/>
  <c r="U210" i="11"/>
  <c r="T210" i="11"/>
  <c r="S210" i="11"/>
  <c r="R210" i="11"/>
  <c r="Q210" i="11"/>
  <c r="P210" i="11"/>
  <c r="O210" i="11"/>
  <c r="N210" i="11"/>
  <c r="M210" i="11"/>
  <c r="L210" i="11"/>
  <c r="K210" i="11"/>
  <c r="J210" i="11"/>
  <c r="I210" i="11"/>
  <c r="H210" i="11"/>
  <c r="G210" i="11"/>
  <c r="F210" i="11"/>
  <c r="AE209" i="11"/>
  <c r="AC209" i="11"/>
  <c r="AB209" i="11"/>
  <c r="AA209" i="11"/>
  <c r="Z209" i="11"/>
  <c r="Y209" i="11"/>
  <c r="X209" i="11"/>
  <c r="W209" i="11"/>
  <c r="V209" i="11"/>
  <c r="U209" i="11"/>
  <c r="T209" i="11"/>
  <c r="S209" i="11"/>
  <c r="R209" i="11"/>
  <c r="Q209" i="11"/>
  <c r="P209" i="11"/>
  <c r="O209" i="11"/>
  <c r="N209" i="11"/>
  <c r="M209" i="11"/>
  <c r="L209" i="11"/>
  <c r="K209" i="11"/>
  <c r="J209" i="11"/>
  <c r="I209" i="11"/>
  <c r="H209" i="11"/>
  <c r="G209" i="11"/>
  <c r="F209" i="11"/>
  <c r="AE208" i="11"/>
  <c r="AC208" i="11"/>
  <c r="AB208" i="11"/>
  <c r="AA208" i="11"/>
  <c r="Z208" i="11"/>
  <c r="Y208" i="11"/>
  <c r="X208" i="11"/>
  <c r="W208" i="11"/>
  <c r="V208" i="11"/>
  <c r="U208" i="11"/>
  <c r="T208" i="11"/>
  <c r="S208" i="11"/>
  <c r="R208" i="11"/>
  <c r="Q208" i="11"/>
  <c r="P208" i="11"/>
  <c r="O208" i="11"/>
  <c r="N208" i="11"/>
  <c r="M208" i="11"/>
  <c r="L208" i="11"/>
  <c r="K208" i="11"/>
  <c r="J208" i="11"/>
  <c r="I208" i="11"/>
  <c r="H208" i="11"/>
  <c r="G208" i="11"/>
  <c r="F208" i="11"/>
  <c r="AE207" i="11"/>
  <c r="AC207" i="11"/>
  <c r="AB207" i="11"/>
  <c r="AA207" i="11"/>
  <c r="Z207" i="11"/>
  <c r="Y207" i="11"/>
  <c r="X207" i="11"/>
  <c r="W207" i="11"/>
  <c r="V207" i="11"/>
  <c r="U207" i="11"/>
  <c r="T207" i="11"/>
  <c r="S207" i="11"/>
  <c r="R207" i="11"/>
  <c r="Q207" i="11"/>
  <c r="P207" i="11"/>
  <c r="O207" i="11"/>
  <c r="N207" i="11"/>
  <c r="M207" i="11"/>
  <c r="L207" i="11"/>
  <c r="K207" i="11"/>
  <c r="J207" i="11"/>
  <c r="I207" i="11"/>
  <c r="H207" i="11"/>
  <c r="G207" i="11"/>
  <c r="F207" i="11"/>
  <c r="AE206" i="11"/>
  <c r="AC206" i="11"/>
  <c r="AB206" i="11"/>
  <c r="AA206" i="11"/>
  <c r="Z206" i="11"/>
  <c r="Y206" i="11"/>
  <c r="X206" i="11"/>
  <c r="W206" i="11"/>
  <c r="V206" i="11"/>
  <c r="U206" i="11"/>
  <c r="T206" i="11"/>
  <c r="S206" i="11"/>
  <c r="R206" i="11"/>
  <c r="Q206" i="11"/>
  <c r="P206" i="11"/>
  <c r="O206" i="11"/>
  <c r="N206" i="11"/>
  <c r="M206" i="11"/>
  <c r="L206" i="11"/>
  <c r="K206" i="11"/>
  <c r="J206" i="11"/>
  <c r="I206" i="11"/>
  <c r="H206" i="11"/>
  <c r="G206" i="11"/>
  <c r="F206" i="11"/>
  <c r="AE205" i="11"/>
  <c r="AC205" i="11"/>
  <c r="AB205" i="11"/>
  <c r="AA205" i="11"/>
  <c r="Z205" i="11"/>
  <c r="Y205" i="11"/>
  <c r="X205" i="11"/>
  <c r="W205" i="11"/>
  <c r="V205" i="11"/>
  <c r="U205" i="11"/>
  <c r="T205" i="11"/>
  <c r="S205" i="11"/>
  <c r="R205" i="11"/>
  <c r="Q205" i="11"/>
  <c r="P205" i="11"/>
  <c r="O205" i="11"/>
  <c r="N205" i="11"/>
  <c r="M205" i="11"/>
  <c r="L205" i="11"/>
  <c r="K205" i="11"/>
  <c r="J205" i="11"/>
  <c r="I205" i="11"/>
  <c r="H205" i="11"/>
  <c r="G205" i="11"/>
  <c r="F205" i="11"/>
  <c r="AE204" i="11"/>
  <c r="AC204" i="11"/>
  <c r="AB204" i="11"/>
  <c r="AA204" i="11"/>
  <c r="Z204" i="11"/>
  <c r="Y204" i="11"/>
  <c r="X204" i="11"/>
  <c r="W204" i="11"/>
  <c r="V204" i="11"/>
  <c r="U204" i="11"/>
  <c r="T204" i="11"/>
  <c r="S204" i="11"/>
  <c r="R204" i="11"/>
  <c r="Q204" i="11"/>
  <c r="P204" i="11"/>
  <c r="O204" i="11"/>
  <c r="N204" i="11"/>
  <c r="M204" i="11"/>
  <c r="L204" i="11"/>
  <c r="K204" i="11"/>
  <c r="J204" i="11"/>
  <c r="I204" i="11"/>
  <c r="H204" i="11"/>
  <c r="G204" i="11"/>
  <c r="F204" i="11"/>
  <c r="AE203" i="11"/>
  <c r="AC203" i="11"/>
  <c r="AB203" i="11"/>
  <c r="AA203" i="11"/>
  <c r="Z203" i="11"/>
  <c r="Y203" i="11"/>
  <c r="X203" i="11"/>
  <c r="W203" i="11"/>
  <c r="V203" i="11"/>
  <c r="U203" i="11"/>
  <c r="T203" i="11"/>
  <c r="S203" i="11"/>
  <c r="R203" i="11"/>
  <c r="Q203" i="11"/>
  <c r="P203" i="11"/>
  <c r="O203" i="11"/>
  <c r="N203" i="11"/>
  <c r="M203" i="11"/>
  <c r="L203" i="11"/>
  <c r="K203" i="11"/>
  <c r="J203" i="11"/>
  <c r="I203" i="11"/>
  <c r="H203" i="11"/>
  <c r="G203" i="11"/>
  <c r="F203" i="11"/>
  <c r="AE202" i="11"/>
  <c r="AC202" i="11"/>
  <c r="AB202" i="11"/>
  <c r="AA202" i="11"/>
  <c r="Z202" i="11"/>
  <c r="Y202" i="11"/>
  <c r="X202" i="11"/>
  <c r="W202" i="11"/>
  <c r="V202" i="11"/>
  <c r="U202" i="11"/>
  <c r="T202" i="11"/>
  <c r="S202" i="11"/>
  <c r="R202" i="11"/>
  <c r="Q202" i="11"/>
  <c r="P202" i="11"/>
  <c r="O202" i="11"/>
  <c r="N202" i="11"/>
  <c r="M202" i="11"/>
  <c r="L202" i="11"/>
  <c r="K202" i="11"/>
  <c r="J202" i="11"/>
  <c r="I202" i="11"/>
  <c r="H202" i="11"/>
  <c r="G202" i="11"/>
  <c r="F202" i="11"/>
  <c r="AE201" i="11"/>
  <c r="AC201" i="11"/>
  <c r="AB201" i="11"/>
  <c r="AA201" i="11"/>
  <c r="Z201" i="11"/>
  <c r="Y201" i="11"/>
  <c r="X201" i="11"/>
  <c r="W201" i="11"/>
  <c r="V201" i="11"/>
  <c r="U201" i="11"/>
  <c r="T201" i="11"/>
  <c r="S201" i="11"/>
  <c r="R201" i="11"/>
  <c r="Q201" i="11"/>
  <c r="P201" i="11"/>
  <c r="O201" i="11"/>
  <c r="N201" i="11"/>
  <c r="M201" i="11"/>
  <c r="L201" i="11"/>
  <c r="K201" i="11"/>
  <c r="J201" i="11"/>
  <c r="I201" i="11"/>
  <c r="H201" i="11"/>
  <c r="G201" i="11"/>
  <c r="F201" i="11"/>
  <c r="AE200" i="11"/>
  <c r="AC200" i="11"/>
  <c r="AB200" i="11"/>
  <c r="AA200" i="11"/>
  <c r="Z200" i="11"/>
  <c r="Y200" i="11"/>
  <c r="X200" i="11"/>
  <c r="W200" i="11"/>
  <c r="V200" i="11"/>
  <c r="U200" i="11"/>
  <c r="T200" i="11"/>
  <c r="S200" i="11"/>
  <c r="R200" i="11"/>
  <c r="Q200" i="11"/>
  <c r="P200" i="11"/>
  <c r="O200" i="11"/>
  <c r="N200" i="11"/>
  <c r="M200" i="11"/>
  <c r="L200" i="11"/>
  <c r="K200" i="11"/>
  <c r="J200" i="11"/>
  <c r="I200" i="11"/>
  <c r="H200" i="11"/>
  <c r="G200" i="11"/>
  <c r="F200" i="11"/>
  <c r="AE199" i="11"/>
  <c r="AC199" i="11"/>
  <c r="AB199" i="11"/>
  <c r="AA199" i="11"/>
  <c r="Z199" i="11"/>
  <c r="Y199" i="11"/>
  <c r="X199" i="11"/>
  <c r="W199" i="11"/>
  <c r="V199" i="11"/>
  <c r="U199" i="11"/>
  <c r="T199" i="11"/>
  <c r="S199" i="11"/>
  <c r="R199" i="11"/>
  <c r="Q199" i="11"/>
  <c r="P199" i="11"/>
  <c r="O199" i="11"/>
  <c r="N199" i="11"/>
  <c r="M199" i="11"/>
  <c r="L199" i="11"/>
  <c r="K199" i="11"/>
  <c r="J199" i="11"/>
  <c r="I199" i="11"/>
  <c r="H199" i="11"/>
  <c r="G199" i="11"/>
  <c r="F199" i="11"/>
  <c r="AE198" i="11"/>
  <c r="AC198" i="11"/>
  <c r="AB198" i="11"/>
  <c r="AA198" i="11"/>
  <c r="Z198" i="11"/>
  <c r="Y198" i="11"/>
  <c r="X198" i="11"/>
  <c r="W198" i="11"/>
  <c r="V198" i="11"/>
  <c r="U198" i="11"/>
  <c r="T198" i="11"/>
  <c r="S198" i="11"/>
  <c r="R198" i="11"/>
  <c r="Q198" i="11"/>
  <c r="P198" i="11"/>
  <c r="O198" i="11"/>
  <c r="N198" i="11"/>
  <c r="M198" i="11"/>
  <c r="L198" i="11"/>
  <c r="K198" i="11"/>
  <c r="J198" i="11"/>
  <c r="I198" i="11"/>
  <c r="H198" i="11"/>
  <c r="G198" i="11"/>
  <c r="F198" i="11"/>
  <c r="AE197" i="11"/>
  <c r="AC197" i="11"/>
  <c r="AB197" i="11"/>
  <c r="AA197" i="11"/>
  <c r="Z197" i="11"/>
  <c r="Y197" i="11"/>
  <c r="X197" i="11"/>
  <c r="W197" i="11"/>
  <c r="V197" i="11"/>
  <c r="U197" i="11"/>
  <c r="T197" i="11"/>
  <c r="S197" i="11"/>
  <c r="R197" i="11"/>
  <c r="Q197" i="11"/>
  <c r="P197" i="11"/>
  <c r="O197" i="11"/>
  <c r="N197" i="11"/>
  <c r="M197" i="11"/>
  <c r="L197" i="11"/>
  <c r="K197" i="11"/>
  <c r="J197" i="11"/>
  <c r="I197" i="11"/>
  <c r="H197" i="11"/>
  <c r="G197" i="11"/>
  <c r="F197" i="11"/>
  <c r="AE196" i="11"/>
  <c r="AC196" i="11"/>
  <c r="AB196" i="11"/>
  <c r="AA196" i="11"/>
  <c r="Z196" i="11"/>
  <c r="Y196" i="11"/>
  <c r="X196" i="11"/>
  <c r="W196" i="11"/>
  <c r="V196" i="11"/>
  <c r="U196" i="11"/>
  <c r="T196" i="11"/>
  <c r="S196" i="11"/>
  <c r="R196" i="11"/>
  <c r="Q196" i="11"/>
  <c r="P196" i="11"/>
  <c r="O196" i="11"/>
  <c r="N196" i="11"/>
  <c r="M196" i="11"/>
  <c r="L196" i="11"/>
  <c r="K196" i="11"/>
  <c r="J196" i="11"/>
  <c r="I196" i="11"/>
  <c r="H196" i="11"/>
  <c r="G196" i="11"/>
  <c r="F196" i="11"/>
  <c r="AE195" i="11"/>
  <c r="AC195" i="11"/>
  <c r="AB195" i="11"/>
  <c r="AA195" i="11"/>
  <c r="Z195" i="11"/>
  <c r="Y195" i="11"/>
  <c r="X195" i="11"/>
  <c r="W195" i="11"/>
  <c r="V195" i="11"/>
  <c r="U195" i="11"/>
  <c r="T195" i="11"/>
  <c r="S195" i="11"/>
  <c r="R195" i="11"/>
  <c r="Q195" i="11"/>
  <c r="P195" i="11"/>
  <c r="O195" i="11"/>
  <c r="N195" i="11"/>
  <c r="M195" i="11"/>
  <c r="L195" i="11"/>
  <c r="K195" i="11"/>
  <c r="J195" i="11"/>
  <c r="I195" i="11"/>
  <c r="H195" i="11"/>
  <c r="G195" i="11"/>
  <c r="F195" i="11"/>
  <c r="AE194" i="11"/>
  <c r="AC194" i="11"/>
  <c r="AB194" i="11"/>
  <c r="AA194" i="11"/>
  <c r="Z194" i="11"/>
  <c r="Y194" i="11"/>
  <c r="X194" i="11"/>
  <c r="W194" i="11"/>
  <c r="V194" i="11"/>
  <c r="U194" i="11"/>
  <c r="T194" i="11"/>
  <c r="S194" i="11"/>
  <c r="R194" i="11"/>
  <c r="Q194" i="11"/>
  <c r="P194" i="11"/>
  <c r="O194" i="11"/>
  <c r="N194" i="11"/>
  <c r="M194" i="11"/>
  <c r="L194" i="11"/>
  <c r="K194" i="11"/>
  <c r="J194" i="11"/>
  <c r="I194" i="11"/>
  <c r="H194" i="11"/>
  <c r="G194" i="11"/>
  <c r="F194" i="11"/>
  <c r="AE193" i="11"/>
  <c r="AC193" i="11"/>
  <c r="AB193" i="11"/>
  <c r="AA193" i="11"/>
  <c r="Z193" i="11"/>
  <c r="Y193" i="11"/>
  <c r="X193" i="11"/>
  <c r="W193" i="11"/>
  <c r="V193" i="11"/>
  <c r="U193" i="11"/>
  <c r="T193" i="11"/>
  <c r="S193" i="11"/>
  <c r="R193" i="11"/>
  <c r="Q193" i="11"/>
  <c r="P193" i="11"/>
  <c r="O193" i="11"/>
  <c r="N193" i="11"/>
  <c r="M193" i="11"/>
  <c r="L193" i="11"/>
  <c r="K193" i="11"/>
  <c r="J193" i="11"/>
  <c r="I193" i="11"/>
  <c r="H193" i="11"/>
  <c r="G193" i="11"/>
  <c r="F193" i="11"/>
  <c r="AE192" i="11"/>
  <c r="AC192" i="11"/>
  <c r="AB192" i="11"/>
  <c r="AA192" i="11"/>
  <c r="Z192" i="11"/>
  <c r="Y192" i="11"/>
  <c r="X192" i="11"/>
  <c r="W192" i="11"/>
  <c r="V192" i="11"/>
  <c r="U192" i="11"/>
  <c r="T192" i="11"/>
  <c r="S192" i="11"/>
  <c r="R192" i="11"/>
  <c r="Q192" i="11"/>
  <c r="P192" i="11"/>
  <c r="O192" i="11"/>
  <c r="N192" i="11"/>
  <c r="M192" i="11"/>
  <c r="L192" i="11"/>
  <c r="K192" i="11"/>
  <c r="J192" i="11"/>
  <c r="I192" i="11"/>
  <c r="H192" i="11"/>
  <c r="G192" i="11"/>
  <c r="F192" i="11"/>
  <c r="AE191" i="11"/>
  <c r="AC191" i="11"/>
  <c r="AB191" i="11"/>
  <c r="AA191" i="11"/>
  <c r="Z191" i="11"/>
  <c r="Y191" i="11"/>
  <c r="X191" i="11"/>
  <c r="W191" i="11"/>
  <c r="V191" i="11"/>
  <c r="U191" i="11"/>
  <c r="T191" i="11"/>
  <c r="S191" i="11"/>
  <c r="R191" i="11"/>
  <c r="Q191" i="11"/>
  <c r="P191" i="11"/>
  <c r="O191" i="11"/>
  <c r="N191" i="11"/>
  <c r="M191" i="11"/>
  <c r="L191" i="11"/>
  <c r="K191" i="11"/>
  <c r="J191" i="11"/>
  <c r="I191" i="11"/>
  <c r="H191" i="11"/>
  <c r="G191" i="11"/>
  <c r="F191" i="11"/>
  <c r="AE190" i="11"/>
  <c r="AC190" i="11"/>
  <c r="AB190" i="11"/>
  <c r="AA190" i="11"/>
  <c r="Z190" i="11"/>
  <c r="Y190" i="11"/>
  <c r="X190" i="11"/>
  <c r="W190" i="11"/>
  <c r="V190" i="11"/>
  <c r="U190" i="11"/>
  <c r="T190" i="11"/>
  <c r="S190" i="11"/>
  <c r="R190" i="11"/>
  <c r="Q190" i="11"/>
  <c r="P190" i="11"/>
  <c r="O190" i="11"/>
  <c r="N190" i="11"/>
  <c r="M190" i="11"/>
  <c r="L190" i="11"/>
  <c r="K190" i="11"/>
  <c r="J190" i="11"/>
  <c r="I190" i="11"/>
  <c r="H190" i="11"/>
  <c r="G190" i="11"/>
  <c r="F190" i="11"/>
  <c r="AE189" i="11"/>
  <c r="AC189" i="11"/>
  <c r="AB189" i="11"/>
  <c r="AA189" i="11"/>
  <c r="Z189" i="11"/>
  <c r="Y189" i="11"/>
  <c r="X189" i="11"/>
  <c r="W189" i="11"/>
  <c r="V189" i="11"/>
  <c r="U189" i="11"/>
  <c r="T189" i="11"/>
  <c r="S189" i="11"/>
  <c r="R189" i="11"/>
  <c r="Q189" i="11"/>
  <c r="P189" i="11"/>
  <c r="O189" i="11"/>
  <c r="N189" i="11"/>
  <c r="M189" i="11"/>
  <c r="L189" i="11"/>
  <c r="K189" i="11"/>
  <c r="J189" i="11"/>
  <c r="I189" i="11"/>
  <c r="H189" i="11"/>
  <c r="G189" i="11"/>
  <c r="F189" i="11"/>
  <c r="AE188" i="11"/>
  <c r="AC188" i="11"/>
  <c r="AB188" i="11"/>
  <c r="AA188" i="11"/>
  <c r="Z188" i="11"/>
  <c r="Y188" i="11"/>
  <c r="X188" i="11"/>
  <c r="W188" i="11"/>
  <c r="V188" i="11"/>
  <c r="U188" i="11"/>
  <c r="T188" i="11"/>
  <c r="S188" i="11"/>
  <c r="R188" i="11"/>
  <c r="Q188" i="11"/>
  <c r="P188" i="11"/>
  <c r="O188" i="11"/>
  <c r="N188" i="11"/>
  <c r="M188" i="11"/>
  <c r="L188" i="11"/>
  <c r="K188" i="11"/>
  <c r="J188" i="11"/>
  <c r="I188" i="11"/>
  <c r="H188" i="11"/>
  <c r="G188" i="11"/>
  <c r="F188" i="11"/>
  <c r="AE187" i="11"/>
  <c r="AC187" i="11"/>
  <c r="AB187" i="11"/>
  <c r="AA187" i="11"/>
  <c r="Z187" i="11"/>
  <c r="Y187" i="11"/>
  <c r="X187" i="11"/>
  <c r="W187" i="11"/>
  <c r="V187" i="11"/>
  <c r="U187" i="11"/>
  <c r="T187" i="11"/>
  <c r="S187" i="11"/>
  <c r="R187" i="11"/>
  <c r="Q187" i="11"/>
  <c r="P187" i="11"/>
  <c r="O187" i="11"/>
  <c r="N187" i="11"/>
  <c r="M187" i="11"/>
  <c r="L187" i="11"/>
  <c r="K187" i="11"/>
  <c r="J187" i="11"/>
  <c r="I187" i="11"/>
  <c r="H187" i="11"/>
  <c r="G187" i="11"/>
  <c r="F187" i="11"/>
  <c r="AE186" i="11"/>
  <c r="AC186" i="11"/>
  <c r="AB186" i="11"/>
  <c r="AA186" i="11"/>
  <c r="Z186" i="11"/>
  <c r="Y186" i="11"/>
  <c r="X186" i="11"/>
  <c r="W186" i="11"/>
  <c r="V186" i="11"/>
  <c r="U186" i="11"/>
  <c r="T186" i="11"/>
  <c r="S186" i="11"/>
  <c r="R186" i="11"/>
  <c r="Q186" i="11"/>
  <c r="P186" i="11"/>
  <c r="O186" i="11"/>
  <c r="N186" i="11"/>
  <c r="M186" i="11"/>
  <c r="L186" i="11"/>
  <c r="K186" i="11"/>
  <c r="J186" i="11"/>
  <c r="I186" i="11"/>
  <c r="H186" i="11"/>
  <c r="G186" i="11"/>
  <c r="F186" i="11"/>
  <c r="AE185" i="11"/>
  <c r="AC185" i="11"/>
  <c r="AB185" i="11"/>
  <c r="AA185" i="11"/>
  <c r="Z185" i="11"/>
  <c r="Y185" i="11"/>
  <c r="X185" i="11"/>
  <c r="W185" i="11"/>
  <c r="V185" i="11"/>
  <c r="U185" i="11"/>
  <c r="T185" i="11"/>
  <c r="S185" i="11"/>
  <c r="R185" i="11"/>
  <c r="Q185" i="11"/>
  <c r="P185" i="11"/>
  <c r="O185" i="11"/>
  <c r="N185" i="11"/>
  <c r="M185" i="11"/>
  <c r="L185" i="11"/>
  <c r="K185" i="11"/>
  <c r="J185" i="11"/>
  <c r="I185" i="11"/>
  <c r="H185" i="11"/>
  <c r="G185" i="11"/>
  <c r="F185" i="11"/>
  <c r="AE184" i="11"/>
  <c r="AC184" i="11"/>
  <c r="AB184" i="11"/>
  <c r="AA184" i="11"/>
  <c r="Z184" i="11"/>
  <c r="Y184" i="11"/>
  <c r="X184" i="11"/>
  <c r="W184" i="11"/>
  <c r="V184" i="11"/>
  <c r="U184" i="11"/>
  <c r="T184" i="11"/>
  <c r="S184" i="11"/>
  <c r="R184" i="11"/>
  <c r="Q184" i="11"/>
  <c r="P184" i="11"/>
  <c r="O184" i="11"/>
  <c r="N184" i="11"/>
  <c r="M184" i="11"/>
  <c r="L184" i="11"/>
  <c r="K184" i="11"/>
  <c r="J184" i="11"/>
  <c r="I184" i="11"/>
  <c r="H184" i="11"/>
  <c r="G184" i="11"/>
  <c r="F184" i="11"/>
  <c r="AE183" i="11"/>
  <c r="AC183" i="11"/>
  <c r="AB183" i="11"/>
  <c r="AA183" i="11"/>
  <c r="Z183" i="11"/>
  <c r="Y183" i="11"/>
  <c r="X183" i="11"/>
  <c r="W183" i="11"/>
  <c r="V183" i="11"/>
  <c r="U183" i="11"/>
  <c r="T183" i="11"/>
  <c r="S183" i="11"/>
  <c r="R183" i="11"/>
  <c r="Q183" i="11"/>
  <c r="P183" i="11"/>
  <c r="O183" i="11"/>
  <c r="N183" i="11"/>
  <c r="M183" i="11"/>
  <c r="L183" i="11"/>
  <c r="K183" i="11"/>
  <c r="J183" i="11"/>
  <c r="I183" i="11"/>
  <c r="H183" i="11"/>
  <c r="G183" i="11"/>
  <c r="F183" i="11"/>
  <c r="AE182" i="11"/>
  <c r="AC182" i="11"/>
  <c r="AB182" i="11"/>
  <c r="AA182" i="11"/>
  <c r="Z182" i="11"/>
  <c r="Y182" i="11"/>
  <c r="X182" i="11"/>
  <c r="W182" i="11"/>
  <c r="V182" i="11"/>
  <c r="U182" i="11"/>
  <c r="T182" i="11"/>
  <c r="S182" i="11"/>
  <c r="R182" i="11"/>
  <c r="Q182" i="11"/>
  <c r="P182" i="11"/>
  <c r="O182" i="11"/>
  <c r="N182" i="11"/>
  <c r="M182" i="11"/>
  <c r="L182" i="11"/>
  <c r="K182" i="11"/>
  <c r="J182" i="11"/>
  <c r="I182" i="11"/>
  <c r="H182" i="11"/>
  <c r="G182" i="11"/>
  <c r="F182" i="11"/>
  <c r="AE181" i="11"/>
  <c r="AC181" i="11"/>
  <c r="AB181" i="11"/>
  <c r="AA181" i="11"/>
  <c r="Z181" i="11"/>
  <c r="Y181" i="11"/>
  <c r="X181" i="11"/>
  <c r="W181" i="11"/>
  <c r="V181" i="11"/>
  <c r="U181" i="11"/>
  <c r="T181" i="11"/>
  <c r="S181" i="11"/>
  <c r="R181" i="11"/>
  <c r="Q181" i="11"/>
  <c r="P181" i="11"/>
  <c r="O181" i="11"/>
  <c r="N181" i="11"/>
  <c r="M181" i="11"/>
  <c r="L181" i="11"/>
  <c r="K181" i="11"/>
  <c r="J181" i="11"/>
  <c r="I181" i="11"/>
  <c r="H181" i="11"/>
  <c r="G181" i="11"/>
  <c r="F181" i="11"/>
  <c r="AE180" i="11"/>
  <c r="AC180" i="11"/>
  <c r="AB180" i="11"/>
  <c r="AA180" i="11"/>
  <c r="Z180" i="11"/>
  <c r="Y180" i="11"/>
  <c r="X180" i="11"/>
  <c r="W180" i="11"/>
  <c r="V180" i="11"/>
  <c r="U180" i="11"/>
  <c r="T180" i="11"/>
  <c r="S180" i="11"/>
  <c r="R180" i="11"/>
  <c r="Q180" i="11"/>
  <c r="P180" i="11"/>
  <c r="O180" i="11"/>
  <c r="N180" i="11"/>
  <c r="M180" i="11"/>
  <c r="L180" i="11"/>
  <c r="K180" i="11"/>
  <c r="J180" i="11"/>
  <c r="I180" i="11"/>
  <c r="H180" i="11"/>
  <c r="G180" i="11"/>
  <c r="F180" i="11"/>
  <c r="AE179" i="11"/>
  <c r="AC179" i="11"/>
  <c r="AB179" i="11"/>
  <c r="AA179" i="11"/>
  <c r="Z179" i="11"/>
  <c r="Y179" i="11"/>
  <c r="X179" i="11"/>
  <c r="W179" i="11"/>
  <c r="V179" i="11"/>
  <c r="U179" i="11"/>
  <c r="T179" i="11"/>
  <c r="S179" i="11"/>
  <c r="R179" i="11"/>
  <c r="Q179" i="11"/>
  <c r="P179" i="11"/>
  <c r="O179" i="11"/>
  <c r="N179" i="11"/>
  <c r="M179" i="11"/>
  <c r="L179" i="11"/>
  <c r="K179" i="11"/>
  <c r="J179" i="11"/>
  <c r="I179" i="11"/>
  <c r="H179" i="11"/>
  <c r="G179" i="11"/>
  <c r="F179" i="11"/>
  <c r="AE178" i="11"/>
  <c r="AC178" i="11"/>
  <c r="AB178" i="11"/>
  <c r="AA178" i="11"/>
  <c r="Z178" i="11"/>
  <c r="Y178" i="11"/>
  <c r="X178" i="11"/>
  <c r="W178" i="11"/>
  <c r="V178" i="11"/>
  <c r="U178" i="11"/>
  <c r="T178" i="11"/>
  <c r="S178" i="11"/>
  <c r="R178" i="11"/>
  <c r="Q178" i="11"/>
  <c r="P178" i="11"/>
  <c r="O178" i="11"/>
  <c r="N178" i="11"/>
  <c r="M178" i="11"/>
  <c r="L178" i="11"/>
  <c r="K178" i="11"/>
  <c r="J178" i="11"/>
  <c r="I178" i="11"/>
  <c r="H178" i="11"/>
  <c r="G178" i="11"/>
  <c r="F178" i="11"/>
  <c r="AE177" i="11"/>
  <c r="AC177" i="11"/>
  <c r="AB177" i="11"/>
  <c r="AA177" i="11"/>
  <c r="Z177" i="11"/>
  <c r="Y177" i="11"/>
  <c r="X177" i="11"/>
  <c r="W177" i="11"/>
  <c r="V177" i="11"/>
  <c r="U177" i="11"/>
  <c r="T177" i="11"/>
  <c r="S177" i="11"/>
  <c r="R177" i="11"/>
  <c r="Q177" i="11"/>
  <c r="P177" i="11"/>
  <c r="O177" i="11"/>
  <c r="N177" i="11"/>
  <c r="M177" i="11"/>
  <c r="L177" i="11"/>
  <c r="K177" i="11"/>
  <c r="J177" i="11"/>
  <c r="I177" i="11"/>
  <c r="H177" i="11"/>
  <c r="G177" i="11"/>
  <c r="F177" i="11"/>
  <c r="AE176" i="11"/>
  <c r="AC176" i="11"/>
  <c r="AB176" i="11"/>
  <c r="AA176" i="11"/>
  <c r="Z176" i="11"/>
  <c r="Y176" i="11"/>
  <c r="X176" i="11"/>
  <c r="W176" i="11"/>
  <c r="V176" i="11"/>
  <c r="U176" i="11"/>
  <c r="T176" i="11"/>
  <c r="S176" i="11"/>
  <c r="R176" i="11"/>
  <c r="Q176" i="11"/>
  <c r="P176" i="11"/>
  <c r="O176" i="11"/>
  <c r="N176" i="11"/>
  <c r="M176" i="11"/>
  <c r="L176" i="11"/>
  <c r="K176" i="11"/>
  <c r="J176" i="11"/>
  <c r="I176" i="11"/>
  <c r="H176" i="11"/>
  <c r="G176" i="11"/>
  <c r="F176" i="11"/>
  <c r="AE175" i="11"/>
  <c r="AC175" i="11"/>
  <c r="AB175" i="11"/>
  <c r="AA175" i="11"/>
  <c r="Z175" i="11"/>
  <c r="Y175" i="11"/>
  <c r="X175" i="11"/>
  <c r="W175" i="11"/>
  <c r="V175" i="11"/>
  <c r="U175" i="11"/>
  <c r="T175" i="11"/>
  <c r="S175" i="11"/>
  <c r="R175" i="11"/>
  <c r="Q175" i="11"/>
  <c r="P175" i="11"/>
  <c r="O175" i="11"/>
  <c r="N175" i="11"/>
  <c r="M175" i="11"/>
  <c r="L175" i="11"/>
  <c r="K175" i="11"/>
  <c r="J175" i="11"/>
  <c r="I175" i="11"/>
  <c r="H175" i="11"/>
  <c r="G175" i="11"/>
  <c r="F175" i="11"/>
  <c r="AE174" i="11"/>
  <c r="AC174" i="11"/>
  <c r="AB174" i="11"/>
  <c r="AA174" i="11"/>
  <c r="Z174" i="11"/>
  <c r="Y174" i="11"/>
  <c r="X174" i="11"/>
  <c r="W174" i="11"/>
  <c r="V174" i="11"/>
  <c r="U174" i="11"/>
  <c r="T174" i="11"/>
  <c r="S174" i="11"/>
  <c r="R174" i="11"/>
  <c r="Q174" i="11"/>
  <c r="P174" i="11"/>
  <c r="O174" i="11"/>
  <c r="N174" i="11"/>
  <c r="M174" i="11"/>
  <c r="L174" i="11"/>
  <c r="K174" i="11"/>
  <c r="J174" i="11"/>
  <c r="I174" i="11"/>
  <c r="H174" i="11"/>
  <c r="G174" i="11"/>
  <c r="F174" i="11"/>
  <c r="AE173" i="11"/>
  <c r="AC173" i="11"/>
  <c r="AB173" i="11"/>
  <c r="AA173" i="11"/>
  <c r="Z173" i="11"/>
  <c r="Y173" i="11"/>
  <c r="X173" i="11"/>
  <c r="W173" i="11"/>
  <c r="V173" i="11"/>
  <c r="U173" i="11"/>
  <c r="T173" i="11"/>
  <c r="S173" i="11"/>
  <c r="R173" i="11"/>
  <c r="Q173" i="11"/>
  <c r="P173" i="11"/>
  <c r="O173" i="11"/>
  <c r="N173" i="11"/>
  <c r="M173" i="11"/>
  <c r="L173" i="11"/>
  <c r="K173" i="11"/>
  <c r="J173" i="11"/>
  <c r="I173" i="11"/>
  <c r="H173" i="11"/>
  <c r="G173" i="11"/>
  <c r="F173" i="11"/>
  <c r="AE172" i="11"/>
  <c r="AC172" i="11"/>
  <c r="AB172" i="11"/>
  <c r="AA172" i="11"/>
  <c r="Z172" i="11"/>
  <c r="Y172" i="11"/>
  <c r="X172" i="11"/>
  <c r="W172" i="11"/>
  <c r="V172" i="11"/>
  <c r="U172" i="11"/>
  <c r="T172" i="11"/>
  <c r="S172" i="11"/>
  <c r="R172" i="11"/>
  <c r="Q172" i="11"/>
  <c r="P172" i="11"/>
  <c r="O172" i="11"/>
  <c r="N172" i="11"/>
  <c r="M172" i="11"/>
  <c r="L172" i="11"/>
  <c r="K172" i="11"/>
  <c r="J172" i="11"/>
  <c r="I172" i="11"/>
  <c r="H172" i="11"/>
  <c r="G172" i="11"/>
  <c r="F172" i="11"/>
  <c r="AE171" i="11"/>
  <c r="AC171" i="11"/>
  <c r="AB171" i="11"/>
  <c r="AA171" i="11"/>
  <c r="Z171" i="11"/>
  <c r="Y171" i="11"/>
  <c r="X171" i="11"/>
  <c r="W171" i="11"/>
  <c r="V171" i="11"/>
  <c r="U171" i="11"/>
  <c r="T171" i="11"/>
  <c r="S171" i="11"/>
  <c r="R171" i="11"/>
  <c r="Q171" i="11"/>
  <c r="P171" i="11"/>
  <c r="O171" i="11"/>
  <c r="N171" i="11"/>
  <c r="M171" i="11"/>
  <c r="L171" i="11"/>
  <c r="K171" i="11"/>
  <c r="J171" i="11"/>
  <c r="I171" i="11"/>
  <c r="H171" i="11"/>
  <c r="G171" i="11"/>
  <c r="F171" i="11"/>
  <c r="AE170" i="11"/>
  <c r="AC170" i="11"/>
  <c r="AB170" i="11"/>
  <c r="AA170" i="11"/>
  <c r="Z170" i="11"/>
  <c r="Y170" i="11"/>
  <c r="X170" i="11"/>
  <c r="W170" i="11"/>
  <c r="V170" i="11"/>
  <c r="U170" i="11"/>
  <c r="T170" i="11"/>
  <c r="S170" i="11"/>
  <c r="R170" i="11"/>
  <c r="Q170" i="11"/>
  <c r="P170" i="11"/>
  <c r="O170" i="11"/>
  <c r="N170" i="11"/>
  <c r="M170" i="11"/>
  <c r="L170" i="11"/>
  <c r="K170" i="11"/>
  <c r="J170" i="11"/>
  <c r="I170" i="11"/>
  <c r="H170" i="11"/>
  <c r="G170" i="11"/>
  <c r="F170" i="11"/>
  <c r="AE169" i="11"/>
  <c r="AC169" i="11"/>
  <c r="AB169" i="11"/>
  <c r="AA169" i="11"/>
  <c r="Z169" i="11"/>
  <c r="Y169" i="11"/>
  <c r="X169" i="11"/>
  <c r="W169" i="11"/>
  <c r="V169" i="11"/>
  <c r="U169" i="11"/>
  <c r="T169" i="11"/>
  <c r="S169" i="11"/>
  <c r="R169" i="11"/>
  <c r="Q169" i="11"/>
  <c r="P169" i="11"/>
  <c r="O169" i="11"/>
  <c r="N169" i="11"/>
  <c r="M169" i="11"/>
  <c r="L169" i="11"/>
  <c r="K169" i="11"/>
  <c r="J169" i="11"/>
  <c r="I169" i="11"/>
  <c r="H169" i="11"/>
  <c r="G169" i="11"/>
  <c r="F169" i="11"/>
  <c r="AE168" i="11"/>
  <c r="AC168" i="11"/>
  <c r="AB168" i="11"/>
  <c r="AA168" i="11"/>
  <c r="Z168" i="11"/>
  <c r="Y168" i="11"/>
  <c r="X168" i="11"/>
  <c r="W168" i="11"/>
  <c r="V168" i="11"/>
  <c r="U168" i="11"/>
  <c r="T168" i="11"/>
  <c r="S168" i="11"/>
  <c r="R168" i="11"/>
  <c r="Q168" i="11"/>
  <c r="P168" i="11"/>
  <c r="O168" i="11"/>
  <c r="N168" i="11"/>
  <c r="M168" i="11"/>
  <c r="L168" i="11"/>
  <c r="K168" i="11"/>
  <c r="J168" i="11"/>
  <c r="I168" i="11"/>
  <c r="H168" i="11"/>
  <c r="G168" i="11"/>
  <c r="F168" i="11"/>
  <c r="AE167" i="11"/>
  <c r="AC167" i="11"/>
  <c r="AB167" i="11"/>
  <c r="AA167" i="11"/>
  <c r="Z167" i="11"/>
  <c r="Y167" i="11"/>
  <c r="X167" i="11"/>
  <c r="W167" i="11"/>
  <c r="V167" i="11"/>
  <c r="U167" i="11"/>
  <c r="T167" i="11"/>
  <c r="S167" i="11"/>
  <c r="R167" i="11"/>
  <c r="Q167" i="11"/>
  <c r="P167" i="11"/>
  <c r="O167" i="11"/>
  <c r="N167" i="11"/>
  <c r="M167" i="11"/>
  <c r="L167" i="11"/>
  <c r="K167" i="11"/>
  <c r="J167" i="11"/>
  <c r="I167" i="11"/>
  <c r="H167" i="11"/>
  <c r="G167" i="11"/>
  <c r="F167" i="11"/>
  <c r="AE166" i="11"/>
  <c r="AC166" i="11"/>
  <c r="AB166" i="11"/>
  <c r="AA166" i="11"/>
  <c r="Z166" i="11"/>
  <c r="Y166" i="11"/>
  <c r="X166" i="11"/>
  <c r="W166" i="11"/>
  <c r="V166" i="11"/>
  <c r="U166" i="11"/>
  <c r="T166" i="11"/>
  <c r="S166" i="11"/>
  <c r="R166" i="11"/>
  <c r="Q166" i="11"/>
  <c r="P166" i="11"/>
  <c r="O166" i="11"/>
  <c r="N166" i="11"/>
  <c r="M166" i="11"/>
  <c r="L166" i="11"/>
  <c r="K166" i="11"/>
  <c r="J166" i="11"/>
  <c r="I166" i="11"/>
  <c r="H166" i="11"/>
  <c r="G166" i="11"/>
  <c r="F166" i="11"/>
  <c r="AE165" i="11"/>
  <c r="AC165" i="11"/>
  <c r="AB165" i="11"/>
  <c r="AA165" i="11"/>
  <c r="Z165" i="11"/>
  <c r="Y165" i="11"/>
  <c r="X165" i="11"/>
  <c r="W165" i="11"/>
  <c r="V165" i="11"/>
  <c r="U165" i="11"/>
  <c r="T165" i="11"/>
  <c r="S165" i="11"/>
  <c r="R165" i="11"/>
  <c r="Q165" i="11"/>
  <c r="P165" i="11"/>
  <c r="O165" i="11"/>
  <c r="N165" i="11"/>
  <c r="M165" i="11"/>
  <c r="L165" i="11"/>
  <c r="K165" i="11"/>
  <c r="J165" i="11"/>
  <c r="I165" i="11"/>
  <c r="H165" i="11"/>
  <c r="G165" i="11"/>
  <c r="F165" i="11"/>
  <c r="AE164" i="11"/>
  <c r="AC164" i="11"/>
  <c r="AB164" i="11"/>
  <c r="AA164" i="11"/>
  <c r="Z164" i="11"/>
  <c r="Y164" i="11"/>
  <c r="X164" i="11"/>
  <c r="W164" i="11"/>
  <c r="V164" i="11"/>
  <c r="U164" i="11"/>
  <c r="T164" i="11"/>
  <c r="S164" i="11"/>
  <c r="R164" i="11"/>
  <c r="Q164" i="11"/>
  <c r="P164" i="11"/>
  <c r="O164" i="11"/>
  <c r="N164" i="11"/>
  <c r="M164" i="11"/>
  <c r="L164" i="11"/>
  <c r="K164" i="11"/>
  <c r="J164" i="11"/>
  <c r="I164" i="11"/>
  <c r="H164" i="11"/>
  <c r="G164" i="11"/>
  <c r="F164" i="11"/>
  <c r="AE163" i="11"/>
  <c r="AC163" i="11"/>
  <c r="AB163" i="11"/>
  <c r="AA163" i="11"/>
  <c r="Z163" i="11"/>
  <c r="Y163" i="11"/>
  <c r="X163" i="11"/>
  <c r="W163" i="11"/>
  <c r="V163" i="11"/>
  <c r="U163" i="11"/>
  <c r="T163" i="11"/>
  <c r="S163" i="11"/>
  <c r="R163" i="11"/>
  <c r="Q163" i="11"/>
  <c r="P163" i="11"/>
  <c r="O163" i="11"/>
  <c r="N163" i="11"/>
  <c r="M163" i="11"/>
  <c r="L163" i="11"/>
  <c r="K163" i="11"/>
  <c r="J163" i="11"/>
  <c r="I163" i="11"/>
  <c r="H163" i="11"/>
  <c r="G163" i="11"/>
  <c r="F163" i="11"/>
  <c r="AE162" i="11"/>
  <c r="AC162" i="11"/>
  <c r="AB162" i="11"/>
  <c r="AA162" i="11"/>
  <c r="Z162" i="11"/>
  <c r="Y162" i="11"/>
  <c r="X162" i="11"/>
  <c r="W162" i="11"/>
  <c r="V162" i="11"/>
  <c r="U162" i="11"/>
  <c r="T162" i="11"/>
  <c r="S162" i="11"/>
  <c r="R162" i="11"/>
  <c r="Q162" i="11"/>
  <c r="P162" i="11"/>
  <c r="O162" i="11"/>
  <c r="N162" i="11"/>
  <c r="M162" i="11"/>
  <c r="L162" i="11"/>
  <c r="K162" i="11"/>
  <c r="J162" i="11"/>
  <c r="I162" i="11"/>
  <c r="H162" i="11"/>
  <c r="G162" i="11"/>
  <c r="F162" i="11"/>
  <c r="AE161" i="11"/>
  <c r="AC161" i="11"/>
  <c r="AB161" i="11"/>
  <c r="AA161" i="11"/>
  <c r="Z161" i="11"/>
  <c r="Y161" i="11"/>
  <c r="X161" i="11"/>
  <c r="W161" i="11"/>
  <c r="V161" i="11"/>
  <c r="U161" i="11"/>
  <c r="T161" i="11"/>
  <c r="S161" i="11"/>
  <c r="R161" i="11"/>
  <c r="Q161" i="11"/>
  <c r="P161" i="11"/>
  <c r="O161" i="11"/>
  <c r="N161" i="11"/>
  <c r="M161" i="11"/>
  <c r="L161" i="11"/>
  <c r="K161" i="11"/>
  <c r="J161" i="11"/>
  <c r="I161" i="11"/>
  <c r="H161" i="11"/>
  <c r="G161" i="11"/>
  <c r="F161" i="11"/>
  <c r="AE160" i="11"/>
  <c r="AC160" i="11"/>
  <c r="AB160" i="11"/>
  <c r="AA160" i="11"/>
  <c r="Z160" i="11"/>
  <c r="Y160" i="11"/>
  <c r="X160" i="11"/>
  <c r="W160" i="11"/>
  <c r="V160" i="11"/>
  <c r="U160" i="11"/>
  <c r="T160" i="11"/>
  <c r="S160" i="11"/>
  <c r="R160" i="11"/>
  <c r="Q160" i="11"/>
  <c r="P160" i="11"/>
  <c r="O160" i="11"/>
  <c r="N160" i="11"/>
  <c r="M160" i="11"/>
  <c r="L160" i="11"/>
  <c r="K160" i="11"/>
  <c r="J160" i="11"/>
  <c r="I160" i="11"/>
  <c r="H160" i="11"/>
  <c r="G160" i="11"/>
  <c r="F160" i="11"/>
  <c r="AE159" i="11"/>
  <c r="AC159" i="11"/>
  <c r="AB159" i="11"/>
  <c r="AA159" i="11"/>
  <c r="Z159" i="11"/>
  <c r="Y159" i="11"/>
  <c r="X159" i="11"/>
  <c r="W159" i="11"/>
  <c r="V159" i="11"/>
  <c r="U159" i="11"/>
  <c r="T159" i="11"/>
  <c r="S159" i="11"/>
  <c r="R159" i="11"/>
  <c r="Q159" i="11"/>
  <c r="P159" i="11"/>
  <c r="O159" i="11"/>
  <c r="N159" i="11"/>
  <c r="M159" i="11"/>
  <c r="L159" i="11"/>
  <c r="K159" i="11"/>
  <c r="J159" i="11"/>
  <c r="I159" i="11"/>
  <c r="H159" i="11"/>
  <c r="G159" i="11"/>
  <c r="F159" i="11"/>
  <c r="AE158" i="11"/>
  <c r="AC158" i="11"/>
  <c r="AB158" i="11"/>
  <c r="AA158" i="11"/>
  <c r="Z158" i="11"/>
  <c r="Y158" i="11"/>
  <c r="X158" i="11"/>
  <c r="W158" i="11"/>
  <c r="V158" i="11"/>
  <c r="U158" i="11"/>
  <c r="T158" i="11"/>
  <c r="S158" i="11"/>
  <c r="R158" i="11"/>
  <c r="Q158" i="11"/>
  <c r="P158" i="11"/>
  <c r="O158" i="11"/>
  <c r="N158" i="11"/>
  <c r="M158" i="11"/>
  <c r="L158" i="11"/>
  <c r="K158" i="11"/>
  <c r="J158" i="11"/>
  <c r="I158" i="11"/>
  <c r="H158" i="11"/>
  <c r="G158" i="11"/>
  <c r="F158" i="11"/>
  <c r="AE157" i="11"/>
  <c r="AC157" i="11"/>
  <c r="AB157" i="11"/>
  <c r="AA157" i="11"/>
  <c r="Z157" i="11"/>
  <c r="Y157" i="11"/>
  <c r="X157" i="11"/>
  <c r="W157" i="11"/>
  <c r="V157" i="11"/>
  <c r="U157" i="11"/>
  <c r="T157" i="11"/>
  <c r="S157" i="11"/>
  <c r="R157" i="11"/>
  <c r="Q157" i="11"/>
  <c r="P157" i="11"/>
  <c r="O157" i="11"/>
  <c r="N157" i="11"/>
  <c r="M157" i="11"/>
  <c r="L157" i="11"/>
  <c r="K157" i="11"/>
  <c r="J157" i="11"/>
  <c r="I157" i="11"/>
  <c r="H157" i="11"/>
  <c r="G157" i="11"/>
  <c r="F157" i="11"/>
  <c r="AE156" i="11"/>
  <c r="AC156" i="11"/>
  <c r="AB156" i="11"/>
  <c r="AA156" i="11"/>
  <c r="Z156" i="11"/>
  <c r="Y156" i="11"/>
  <c r="X156" i="11"/>
  <c r="W156" i="11"/>
  <c r="V156" i="11"/>
  <c r="U156" i="11"/>
  <c r="T156" i="11"/>
  <c r="S156" i="11"/>
  <c r="R156" i="11"/>
  <c r="Q156" i="11"/>
  <c r="P156" i="11"/>
  <c r="O156" i="11"/>
  <c r="N156" i="11"/>
  <c r="M156" i="11"/>
  <c r="L156" i="11"/>
  <c r="K156" i="11"/>
  <c r="J156" i="11"/>
  <c r="I156" i="11"/>
  <c r="H156" i="11"/>
  <c r="G156" i="11"/>
  <c r="F156" i="11"/>
  <c r="AE155" i="11"/>
  <c r="AC155" i="11"/>
  <c r="AB155" i="11"/>
  <c r="AA155" i="11"/>
  <c r="Z155" i="11"/>
  <c r="Y155" i="11"/>
  <c r="X155" i="11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AE154" i="11"/>
  <c r="AC154" i="11"/>
  <c r="AB154" i="11"/>
  <c r="AA154" i="11"/>
  <c r="Z154" i="11"/>
  <c r="Y154" i="11"/>
  <c r="X154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AE153" i="11"/>
  <c r="AC153" i="11"/>
  <c r="AB153" i="11"/>
  <c r="AA153" i="11"/>
  <c r="Z153" i="11"/>
  <c r="Y153" i="11"/>
  <c r="X153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AE152" i="11"/>
  <c r="AC152" i="11"/>
  <c r="AB152" i="11"/>
  <c r="AA152" i="11"/>
  <c r="Z152" i="11"/>
  <c r="Y152" i="11"/>
  <c r="X152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AE151" i="11"/>
  <c r="AC151" i="11"/>
  <c r="AB151" i="11"/>
  <c r="AA151" i="11"/>
  <c r="Z151" i="11"/>
  <c r="Y151" i="11"/>
  <c r="X151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AE150" i="11"/>
  <c r="AC150" i="11"/>
  <c r="AB150" i="11"/>
  <c r="AA150" i="11"/>
  <c r="Z150" i="11"/>
  <c r="Y150" i="11"/>
  <c r="X150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AE149" i="11"/>
  <c r="AC149" i="11"/>
  <c r="AB149" i="11"/>
  <c r="AA149" i="11"/>
  <c r="Z149" i="11"/>
  <c r="Y149" i="11"/>
  <c r="X149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AE148" i="11"/>
  <c r="AC148" i="11"/>
  <c r="AB148" i="11"/>
  <c r="AA148" i="11"/>
  <c r="Z148" i="11"/>
  <c r="Y148" i="11"/>
  <c r="X148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AE147" i="11"/>
  <c r="AC147" i="11"/>
  <c r="AB147" i="11"/>
  <c r="AA147" i="11"/>
  <c r="Z147" i="11"/>
  <c r="Y147" i="11"/>
  <c r="X147" i="11"/>
  <c r="W147" i="11"/>
  <c r="V147" i="11"/>
  <c r="U147" i="11"/>
  <c r="T147" i="11"/>
  <c r="S147" i="11"/>
  <c r="R147" i="11"/>
  <c r="Q147" i="11"/>
  <c r="P147" i="11"/>
  <c r="O147" i="11"/>
  <c r="N147" i="11"/>
  <c r="M147" i="11"/>
  <c r="L147" i="11"/>
  <c r="K147" i="11"/>
  <c r="J147" i="11"/>
  <c r="I147" i="11"/>
  <c r="H147" i="11"/>
  <c r="G147" i="11"/>
  <c r="F147" i="11"/>
  <c r="AE146" i="11"/>
  <c r="AC146" i="11"/>
  <c r="AB146" i="11"/>
  <c r="AA146" i="11"/>
  <c r="Z146" i="11"/>
  <c r="Y146" i="11"/>
  <c r="X146" i="11"/>
  <c r="W146" i="11"/>
  <c r="V146" i="11"/>
  <c r="U146" i="11"/>
  <c r="T146" i="11"/>
  <c r="S146" i="11"/>
  <c r="R146" i="11"/>
  <c r="Q146" i="11"/>
  <c r="P146" i="11"/>
  <c r="O146" i="11"/>
  <c r="N146" i="11"/>
  <c r="M146" i="11"/>
  <c r="L146" i="11"/>
  <c r="K146" i="11"/>
  <c r="J146" i="11"/>
  <c r="I146" i="11"/>
  <c r="H146" i="11"/>
  <c r="G146" i="11"/>
  <c r="F146" i="11"/>
  <c r="AE145" i="11"/>
  <c r="AC145" i="11"/>
  <c r="AB145" i="11"/>
  <c r="AA145" i="11"/>
  <c r="Z145" i="11"/>
  <c r="Y145" i="11"/>
  <c r="X145" i="11"/>
  <c r="W145" i="11"/>
  <c r="V145" i="11"/>
  <c r="U145" i="11"/>
  <c r="T145" i="11"/>
  <c r="S145" i="11"/>
  <c r="R145" i="11"/>
  <c r="Q145" i="11"/>
  <c r="P145" i="11"/>
  <c r="O145" i="11"/>
  <c r="N145" i="11"/>
  <c r="M145" i="11"/>
  <c r="L145" i="11"/>
  <c r="K145" i="11"/>
  <c r="J145" i="11"/>
  <c r="I145" i="11"/>
  <c r="H145" i="11"/>
  <c r="G145" i="11"/>
  <c r="F145" i="11"/>
  <c r="AE144" i="11"/>
  <c r="AC144" i="11"/>
  <c r="AB144" i="11"/>
  <c r="AA144" i="11"/>
  <c r="Z144" i="11"/>
  <c r="Y144" i="11"/>
  <c r="X144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AE143" i="11"/>
  <c r="AC143" i="11"/>
  <c r="AB143" i="11"/>
  <c r="AA143" i="11"/>
  <c r="Z143" i="11"/>
  <c r="Y143" i="11"/>
  <c r="X143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AE142" i="11"/>
  <c r="AC142" i="11"/>
  <c r="AB142" i="11"/>
  <c r="AA142" i="11"/>
  <c r="Z142" i="11"/>
  <c r="Y142" i="11"/>
  <c r="X142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AE141" i="11"/>
  <c r="AC141" i="11"/>
  <c r="AB141" i="11"/>
  <c r="AA141" i="11"/>
  <c r="Z141" i="11"/>
  <c r="Y141" i="11"/>
  <c r="X141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AE140" i="11"/>
  <c r="AC140" i="11"/>
  <c r="AB140" i="11"/>
  <c r="AA140" i="11"/>
  <c r="Z140" i="11"/>
  <c r="Y140" i="11"/>
  <c r="X140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AE139" i="11"/>
  <c r="AC139" i="11"/>
  <c r="AB139" i="11"/>
  <c r="AA139" i="11"/>
  <c r="Z139" i="11"/>
  <c r="Y139" i="11"/>
  <c r="X139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AE138" i="11"/>
  <c r="AC138" i="11"/>
  <c r="AB138" i="11"/>
  <c r="AA138" i="11"/>
  <c r="Z138" i="11"/>
  <c r="Y138" i="11"/>
  <c r="X138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AE137" i="11"/>
  <c r="AC137" i="11"/>
  <c r="AB137" i="11"/>
  <c r="AA137" i="11"/>
  <c r="Z137" i="11"/>
  <c r="Y137" i="11"/>
  <c r="X137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AE136" i="11"/>
  <c r="AC136" i="11"/>
  <c r="AB136" i="11"/>
  <c r="AA136" i="11"/>
  <c r="Z136" i="11"/>
  <c r="Y136" i="11"/>
  <c r="X136" i="11"/>
  <c r="W136" i="11"/>
  <c r="V136" i="11"/>
  <c r="U136" i="11"/>
  <c r="T136" i="11"/>
  <c r="S136" i="11"/>
  <c r="R136" i="11"/>
  <c r="Q136" i="11"/>
  <c r="P136" i="11"/>
  <c r="O136" i="11"/>
  <c r="N136" i="11"/>
  <c r="M136" i="11"/>
  <c r="L136" i="11"/>
  <c r="K136" i="11"/>
  <c r="J136" i="11"/>
  <c r="I136" i="11"/>
  <c r="H136" i="11"/>
  <c r="G136" i="11"/>
  <c r="F136" i="11"/>
  <c r="AE135" i="11"/>
  <c r="AC135" i="11"/>
  <c r="AB135" i="11"/>
  <c r="AA135" i="11"/>
  <c r="Z135" i="11"/>
  <c r="Y135" i="11"/>
  <c r="X135" i="11"/>
  <c r="W135" i="11"/>
  <c r="V135" i="11"/>
  <c r="U135" i="11"/>
  <c r="T135" i="11"/>
  <c r="S135" i="11"/>
  <c r="R135" i="11"/>
  <c r="Q135" i="11"/>
  <c r="P135" i="11"/>
  <c r="O135" i="11"/>
  <c r="N135" i="11"/>
  <c r="M135" i="11"/>
  <c r="L135" i="11"/>
  <c r="K135" i="11"/>
  <c r="J135" i="11"/>
  <c r="I135" i="11"/>
  <c r="H135" i="11"/>
  <c r="G135" i="11"/>
  <c r="F135" i="11"/>
  <c r="AE134" i="11"/>
  <c r="AC134" i="11"/>
  <c r="AB134" i="11"/>
  <c r="AA134" i="11"/>
  <c r="Z134" i="11"/>
  <c r="Y134" i="11"/>
  <c r="X134" i="11"/>
  <c r="W134" i="11"/>
  <c r="V134" i="11"/>
  <c r="U134" i="11"/>
  <c r="T134" i="11"/>
  <c r="S134" i="11"/>
  <c r="R134" i="11"/>
  <c r="Q134" i="11"/>
  <c r="P134" i="11"/>
  <c r="O134" i="11"/>
  <c r="N134" i="11"/>
  <c r="M134" i="11"/>
  <c r="L134" i="11"/>
  <c r="K134" i="11"/>
  <c r="J134" i="11"/>
  <c r="I134" i="11"/>
  <c r="H134" i="11"/>
  <c r="G134" i="11"/>
  <c r="F134" i="11"/>
  <c r="AE133" i="11"/>
  <c r="AC133" i="11"/>
  <c r="AB133" i="11"/>
  <c r="AA133" i="11"/>
  <c r="Z133" i="11"/>
  <c r="Y133" i="11"/>
  <c r="X133" i="11"/>
  <c r="W133" i="11"/>
  <c r="V133" i="11"/>
  <c r="U133" i="11"/>
  <c r="T133" i="11"/>
  <c r="S133" i="11"/>
  <c r="R133" i="11"/>
  <c r="Q133" i="11"/>
  <c r="P133" i="11"/>
  <c r="O133" i="11"/>
  <c r="N133" i="11"/>
  <c r="M133" i="11"/>
  <c r="L133" i="11"/>
  <c r="K133" i="11"/>
  <c r="J133" i="11"/>
  <c r="I133" i="11"/>
  <c r="H133" i="11"/>
  <c r="G133" i="11"/>
  <c r="F133" i="11"/>
  <c r="AE132" i="11"/>
  <c r="AC132" i="11"/>
  <c r="AB132" i="11"/>
  <c r="AA132" i="11"/>
  <c r="Z132" i="11"/>
  <c r="Y132" i="11"/>
  <c r="X132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AE131" i="11"/>
  <c r="AC131" i="11"/>
  <c r="AB131" i="11"/>
  <c r="AA131" i="11"/>
  <c r="Z131" i="11"/>
  <c r="Y131" i="11"/>
  <c r="X131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AE130" i="11"/>
  <c r="AC130" i="11"/>
  <c r="AB130" i="11"/>
  <c r="AA130" i="11"/>
  <c r="Z130" i="11"/>
  <c r="Y130" i="11"/>
  <c r="X130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AE129" i="11"/>
  <c r="AC129" i="11"/>
  <c r="AB129" i="11"/>
  <c r="AA129" i="11"/>
  <c r="Z129" i="11"/>
  <c r="Y129" i="11"/>
  <c r="X129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AE128" i="11"/>
  <c r="AC128" i="11"/>
  <c r="AB128" i="11"/>
  <c r="AA128" i="11"/>
  <c r="Z128" i="11"/>
  <c r="Y128" i="11"/>
  <c r="X128" i="11"/>
  <c r="W128" i="11"/>
  <c r="V128" i="11"/>
  <c r="U128" i="11"/>
  <c r="T128" i="11"/>
  <c r="S128" i="11"/>
  <c r="R128" i="11"/>
  <c r="Q128" i="11"/>
  <c r="P128" i="11"/>
  <c r="O128" i="11"/>
  <c r="N128" i="11"/>
  <c r="M128" i="11"/>
  <c r="L128" i="11"/>
  <c r="K128" i="11"/>
  <c r="J128" i="11"/>
  <c r="I128" i="11"/>
  <c r="H128" i="11"/>
  <c r="G128" i="11"/>
  <c r="F128" i="11"/>
  <c r="AE127" i="11"/>
  <c r="AC127" i="11"/>
  <c r="AB127" i="11"/>
  <c r="AA127" i="11"/>
  <c r="Z127" i="11"/>
  <c r="Y127" i="11"/>
  <c r="X127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AE126" i="11"/>
  <c r="AC126" i="11"/>
  <c r="AB126" i="11"/>
  <c r="AA126" i="11"/>
  <c r="Z126" i="11"/>
  <c r="Y126" i="11"/>
  <c r="X126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AE125" i="11"/>
  <c r="AC125" i="11"/>
  <c r="AB125" i="11"/>
  <c r="AA125" i="11"/>
  <c r="Z125" i="11"/>
  <c r="Y125" i="11"/>
  <c r="X125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AE124" i="11"/>
  <c r="AC124" i="11"/>
  <c r="AB124" i="11"/>
  <c r="AA124" i="11"/>
  <c r="Z124" i="11"/>
  <c r="Y124" i="11"/>
  <c r="X124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AE123" i="11"/>
  <c r="AC123" i="11"/>
  <c r="AB123" i="11"/>
  <c r="AA123" i="11"/>
  <c r="Z123" i="11"/>
  <c r="Y123" i="11"/>
  <c r="X123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AE122" i="11"/>
  <c r="AC122" i="11"/>
  <c r="AB122" i="11"/>
  <c r="AA122" i="11"/>
  <c r="Z122" i="11"/>
  <c r="Y122" i="11"/>
  <c r="X122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AE121" i="11"/>
  <c r="AC121" i="11"/>
  <c r="AB121" i="11"/>
  <c r="AA121" i="11"/>
  <c r="Z121" i="11"/>
  <c r="Y121" i="11"/>
  <c r="X121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AE120" i="11"/>
  <c r="AC120" i="11"/>
  <c r="AB120" i="11"/>
  <c r="AA120" i="11"/>
  <c r="Z120" i="11"/>
  <c r="Y120" i="11"/>
  <c r="X120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AE119" i="11"/>
  <c r="AC119" i="11"/>
  <c r="AB119" i="11"/>
  <c r="AA119" i="11"/>
  <c r="Z119" i="11"/>
  <c r="Y119" i="11"/>
  <c r="X119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AE118" i="11"/>
  <c r="AC118" i="11"/>
  <c r="AB118" i="11"/>
  <c r="AA118" i="11"/>
  <c r="Z118" i="11"/>
  <c r="Y118" i="11"/>
  <c r="X118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AE117" i="11"/>
  <c r="AC117" i="11"/>
  <c r="AB117" i="11"/>
  <c r="AA117" i="11"/>
  <c r="Z117" i="11"/>
  <c r="Y117" i="11"/>
  <c r="X117" i="11"/>
  <c r="W117" i="11"/>
  <c r="V117" i="11"/>
  <c r="U117" i="11"/>
  <c r="T117" i="11"/>
  <c r="S117" i="11"/>
  <c r="R117" i="11"/>
  <c r="Q117" i="11"/>
  <c r="P117" i="11"/>
  <c r="O117" i="11"/>
  <c r="N117" i="11"/>
  <c r="M117" i="11"/>
  <c r="L117" i="11"/>
  <c r="K117" i="11"/>
  <c r="J117" i="11"/>
  <c r="I117" i="11"/>
  <c r="H117" i="11"/>
  <c r="G117" i="11"/>
  <c r="F117" i="11"/>
  <c r="AE116" i="11"/>
  <c r="AC116" i="11"/>
  <c r="AB116" i="11"/>
  <c r="AA116" i="11"/>
  <c r="Z116" i="11"/>
  <c r="Y116" i="11"/>
  <c r="X116" i="11"/>
  <c r="W116" i="11"/>
  <c r="V116" i="11"/>
  <c r="U116" i="11"/>
  <c r="T116" i="11"/>
  <c r="S116" i="11"/>
  <c r="R116" i="11"/>
  <c r="Q116" i="11"/>
  <c r="P116" i="11"/>
  <c r="O116" i="11"/>
  <c r="N116" i="11"/>
  <c r="M116" i="11"/>
  <c r="L116" i="11"/>
  <c r="K116" i="11"/>
  <c r="J116" i="11"/>
  <c r="I116" i="11"/>
  <c r="H116" i="11"/>
  <c r="G116" i="11"/>
  <c r="F116" i="11"/>
  <c r="AE115" i="11"/>
  <c r="AC115" i="11"/>
  <c r="AB115" i="11"/>
  <c r="AA115" i="11"/>
  <c r="Z115" i="11"/>
  <c r="Y115" i="11"/>
  <c r="X115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AE114" i="11"/>
  <c r="AC114" i="11"/>
  <c r="AB114" i="11"/>
  <c r="AA114" i="11"/>
  <c r="Z114" i="11"/>
  <c r="Y114" i="11"/>
  <c r="X114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AE113" i="11"/>
  <c r="AC113" i="11"/>
  <c r="AB113" i="11"/>
  <c r="AA113" i="11"/>
  <c r="Z113" i="11"/>
  <c r="Y113" i="11"/>
  <c r="X113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AE112" i="11"/>
  <c r="AC112" i="11"/>
  <c r="AB112" i="11"/>
  <c r="AA112" i="11"/>
  <c r="Z112" i="11"/>
  <c r="Y112" i="11"/>
  <c r="X112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AE111" i="11"/>
  <c r="AC111" i="11"/>
  <c r="AB111" i="11"/>
  <c r="AA111" i="11"/>
  <c r="Z111" i="11"/>
  <c r="Y111" i="11"/>
  <c r="X111" i="11"/>
  <c r="W111" i="11"/>
  <c r="V111" i="11"/>
  <c r="U111" i="11"/>
  <c r="T111" i="11"/>
  <c r="S111" i="11"/>
  <c r="R111" i="11"/>
  <c r="Q111" i="11"/>
  <c r="P111" i="11"/>
  <c r="O111" i="11"/>
  <c r="N111" i="11"/>
  <c r="M111" i="11"/>
  <c r="L111" i="11"/>
  <c r="K111" i="11"/>
  <c r="J111" i="11"/>
  <c r="I111" i="11"/>
  <c r="H111" i="11"/>
  <c r="G111" i="11"/>
  <c r="F111" i="11"/>
  <c r="AE110" i="11"/>
  <c r="AC110" i="11"/>
  <c r="AB110" i="11"/>
  <c r="AA110" i="11"/>
  <c r="Z110" i="11"/>
  <c r="Y110" i="11"/>
  <c r="X110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AE109" i="11"/>
  <c r="AC109" i="11"/>
  <c r="AB109" i="11"/>
  <c r="AA109" i="11"/>
  <c r="Z109" i="11"/>
  <c r="Y109" i="11"/>
  <c r="X109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AE108" i="11"/>
  <c r="AC108" i="11"/>
  <c r="AB108" i="11"/>
  <c r="AA108" i="11"/>
  <c r="Z108" i="11"/>
  <c r="Y108" i="11"/>
  <c r="X108" i="1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AE107" i="11"/>
  <c r="AC107" i="11"/>
  <c r="AB107" i="11"/>
  <c r="AA107" i="11"/>
  <c r="Z107" i="11"/>
  <c r="Y107" i="11"/>
  <c r="X107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AE106" i="11"/>
  <c r="AC106" i="11"/>
  <c r="AB106" i="11"/>
  <c r="AA106" i="11"/>
  <c r="Z106" i="11"/>
  <c r="Y106" i="11"/>
  <c r="X106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AE105" i="11"/>
  <c r="AC105" i="11"/>
  <c r="AB105" i="11"/>
  <c r="AA105" i="11"/>
  <c r="Z105" i="11"/>
  <c r="Y105" i="11"/>
  <c r="X105" i="11"/>
  <c r="W105" i="11"/>
  <c r="V105" i="11"/>
  <c r="U105" i="11"/>
  <c r="T105" i="11"/>
  <c r="S105" i="1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AE104" i="11"/>
  <c r="AC104" i="11"/>
  <c r="AB104" i="11"/>
  <c r="AA104" i="11"/>
  <c r="Z104" i="11"/>
  <c r="Y104" i="11"/>
  <c r="X104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AE103" i="11"/>
  <c r="AC103" i="11"/>
  <c r="AB103" i="11"/>
  <c r="AA103" i="11"/>
  <c r="Z103" i="11"/>
  <c r="Y103" i="11"/>
  <c r="X103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AE102" i="11"/>
  <c r="AC102" i="11"/>
  <c r="AB102" i="11"/>
  <c r="AA102" i="11"/>
  <c r="Z102" i="11"/>
  <c r="Y102" i="11"/>
  <c r="X102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AE101" i="11"/>
  <c r="AC101" i="11"/>
  <c r="AB101" i="11"/>
  <c r="AA101" i="11"/>
  <c r="Z101" i="11"/>
  <c r="Y101" i="11"/>
  <c r="X101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AE100" i="11"/>
  <c r="AC100" i="11"/>
  <c r="AB100" i="11"/>
  <c r="AA100" i="11"/>
  <c r="Z100" i="11"/>
  <c r="Y100" i="11"/>
  <c r="X100" i="11"/>
  <c r="W100" i="11"/>
  <c r="V100" i="11"/>
  <c r="U100" i="11"/>
  <c r="T100" i="11"/>
  <c r="S100" i="11"/>
  <c r="R100" i="11"/>
  <c r="Q100" i="11"/>
  <c r="P100" i="11"/>
  <c r="O100" i="11"/>
  <c r="N100" i="11"/>
  <c r="M100" i="11"/>
  <c r="L100" i="11"/>
  <c r="K100" i="11"/>
  <c r="J100" i="11"/>
  <c r="I100" i="11"/>
  <c r="H100" i="11"/>
  <c r="G100" i="11"/>
  <c r="F100" i="11"/>
  <c r="AE99" i="11"/>
  <c r="AC99" i="11"/>
  <c r="AB99" i="11"/>
  <c r="AA99" i="11"/>
  <c r="Z99" i="11"/>
  <c r="Y99" i="11"/>
  <c r="X99" i="11"/>
  <c r="W99" i="11"/>
  <c r="V99" i="11"/>
  <c r="U99" i="11"/>
  <c r="T99" i="11"/>
  <c r="S99" i="11"/>
  <c r="R99" i="11"/>
  <c r="Q99" i="11"/>
  <c r="P99" i="11"/>
  <c r="O99" i="11"/>
  <c r="N99" i="11"/>
  <c r="M99" i="11"/>
  <c r="L99" i="11"/>
  <c r="K99" i="11"/>
  <c r="J99" i="11"/>
  <c r="I99" i="11"/>
  <c r="H99" i="11"/>
  <c r="G99" i="11"/>
  <c r="F99" i="11"/>
  <c r="AE98" i="11"/>
  <c r="AC98" i="11"/>
  <c r="AB98" i="11"/>
  <c r="AA98" i="11"/>
  <c r="Z98" i="11"/>
  <c r="Y98" i="11"/>
  <c r="X98" i="11"/>
  <c r="W98" i="11"/>
  <c r="V98" i="11"/>
  <c r="U98" i="11"/>
  <c r="T98" i="11"/>
  <c r="S98" i="11"/>
  <c r="R98" i="11"/>
  <c r="Q98" i="11"/>
  <c r="P98" i="11"/>
  <c r="O98" i="11"/>
  <c r="N98" i="11"/>
  <c r="M98" i="11"/>
  <c r="L98" i="11"/>
  <c r="K98" i="11"/>
  <c r="J98" i="11"/>
  <c r="I98" i="11"/>
  <c r="H98" i="11"/>
  <c r="G98" i="11"/>
  <c r="F98" i="11"/>
  <c r="AE97" i="11"/>
  <c r="AC97" i="11"/>
  <c r="AB97" i="11"/>
  <c r="AA97" i="11"/>
  <c r="Z97" i="11"/>
  <c r="Y97" i="11"/>
  <c r="X97" i="11"/>
  <c r="W97" i="11"/>
  <c r="V97" i="11"/>
  <c r="U97" i="11"/>
  <c r="T97" i="11"/>
  <c r="S97" i="11"/>
  <c r="R97" i="11"/>
  <c r="Q97" i="11"/>
  <c r="P97" i="11"/>
  <c r="O97" i="11"/>
  <c r="N97" i="11"/>
  <c r="M97" i="11"/>
  <c r="L97" i="11"/>
  <c r="K97" i="11"/>
  <c r="J97" i="11"/>
  <c r="I97" i="11"/>
  <c r="H97" i="11"/>
  <c r="G97" i="11"/>
  <c r="F97" i="11"/>
  <c r="AE96" i="11"/>
  <c r="AC96" i="11"/>
  <c r="AB96" i="11"/>
  <c r="AA96" i="11"/>
  <c r="Z96" i="11"/>
  <c r="Y96" i="11"/>
  <c r="X96" i="11"/>
  <c r="W96" i="11"/>
  <c r="V96" i="11"/>
  <c r="U96" i="11"/>
  <c r="T96" i="11"/>
  <c r="S96" i="11"/>
  <c r="R96" i="11"/>
  <c r="Q96" i="11"/>
  <c r="P96" i="11"/>
  <c r="O96" i="11"/>
  <c r="N96" i="11"/>
  <c r="M96" i="11"/>
  <c r="L96" i="11"/>
  <c r="K96" i="11"/>
  <c r="J96" i="11"/>
  <c r="I96" i="11"/>
  <c r="H96" i="11"/>
  <c r="G96" i="11"/>
  <c r="F96" i="11"/>
  <c r="AE95" i="11"/>
  <c r="AC95" i="11"/>
  <c r="AB95" i="11"/>
  <c r="AA95" i="11"/>
  <c r="Z95" i="11"/>
  <c r="Y95" i="11"/>
  <c r="X95" i="11"/>
  <c r="W95" i="11"/>
  <c r="V95" i="11"/>
  <c r="U95" i="11"/>
  <c r="T95" i="11"/>
  <c r="S95" i="11"/>
  <c r="R95" i="11"/>
  <c r="Q95" i="11"/>
  <c r="P95" i="11"/>
  <c r="O95" i="11"/>
  <c r="N95" i="11"/>
  <c r="M95" i="11"/>
  <c r="L95" i="11"/>
  <c r="K95" i="11"/>
  <c r="J95" i="11"/>
  <c r="I95" i="11"/>
  <c r="H95" i="11"/>
  <c r="G95" i="11"/>
  <c r="F95" i="11"/>
  <c r="AE94" i="11"/>
  <c r="AC94" i="11"/>
  <c r="AB94" i="11"/>
  <c r="AA94" i="11"/>
  <c r="Z94" i="11"/>
  <c r="Y94" i="11"/>
  <c r="X94" i="11"/>
  <c r="W94" i="11"/>
  <c r="V94" i="11"/>
  <c r="U94" i="11"/>
  <c r="T94" i="11"/>
  <c r="S94" i="11"/>
  <c r="R94" i="11"/>
  <c r="Q94" i="11"/>
  <c r="P94" i="11"/>
  <c r="O94" i="11"/>
  <c r="N94" i="11"/>
  <c r="M94" i="11"/>
  <c r="L94" i="11"/>
  <c r="K94" i="11"/>
  <c r="J94" i="11"/>
  <c r="I94" i="11"/>
  <c r="H94" i="11"/>
  <c r="G94" i="11"/>
  <c r="F94" i="11"/>
  <c r="AE93" i="11"/>
  <c r="AC93" i="11"/>
  <c r="AB93" i="11"/>
  <c r="AA93" i="11"/>
  <c r="Z93" i="11"/>
  <c r="Y93" i="11"/>
  <c r="X93" i="11"/>
  <c r="W93" i="11"/>
  <c r="V93" i="11"/>
  <c r="U93" i="11"/>
  <c r="T93" i="11"/>
  <c r="S93" i="11"/>
  <c r="R93" i="11"/>
  <c r="Q93" i="11"/>
  <c r="P93" i="11"/>
  <c r="O93" i="11"/>
  <c r="N93" i="11"/>
  <c r="M93" i="11"/>
  <c r="L93" i="11"/>
  <c r="K93" i="11"/>
  <c r="J93" i="11"/>
  <c r="I93" i="11"/>
  <c r="H93" i="11"/>
  <c r="G93" i="11"/>
  <c r="F93" i="11"/>
  <c r="AE92" i="11"/>
  <c r="AC92" i="11"/>
  <c r="AB92" i="11"/>
  <c r="AA92" i="11"/>
  <c r="Z92" i="11"/>
  <c r="Y92" i="11"/>
  <c r="X92" i="11"/>
  <c r="W92" i="11"/>
  <c r="V92" i="11"/>
  <c r="U92" i="11"/>
  <c r="T92" i="11"/>
  <c r="S92" i="11"/>
  <c r="R92" i="11"/>
  <c r="Q92" i="11"/>
  <c r="P92" i="11"/>
  <c r="O92" i="11"/>
  <c r="N92" i="11"/>
  <c r="M92" i="11"/>
  <c r="L92" i="11"/>
  <c r="K92" i="11"/>
  <c r="J92" i="11"/>
  <c r="I92" i="11"/>
  <c r="H92" i="11"/>
  <c r="G92" i="11"/>
  <c r="F92" i="11"/>
  <c r="AE91" i="11"/>
  <c r="AC91" i="11"/>
  <c r="AB91" i="11"/>
  <c r="AA91" i="11"/>
  <c r="Z91" i="11"/>
  <c r="Y91" i="11"/>
  <c r="X91" i="11"/>
  <c r="W91" i="11"/>
  <c r="V91" i="11"/>
  <c r="U91" i="11"/>
  <c r="T91" i="11"/>
  <c r="S91" i="11"/>
  <c r="R91" i="11"/>
  <c r="Q91" i="11"/>
  <c r="P91" i="11"/>
  <c r="O91" i="11"/>
  <c r="N91" i="11"/>
  <c r="M91" i="11"/>
  <c r="L91" i="11"/>
  <c r="K91" i="11"/>
  <c r="J91" i="11"/>
  <c r="I91" i="11"/>
  <c r="H91" i="11"/>
  <c r="G91" i="11"/>
  <c r="F91" i="11"/>
  <c r="AE90" i="11"/>
  <c r="AC90" i="11"/>
  <c r="AB90" i="11"/>
  <c r="AA90" i="11"/>
  <c r="Z90" i="11"/>
  <c r="Y90" i="11"/>
  <c r="X90" i="11"/>
  <c r="W90" i="11"/>
  <c r="V90" i="11"/>
  <c r="U90" i="11"/>
  <c r="T90" i="11"/>
  <c r="S90" i="11"/>
  <c r="R90" i="11"/>
  <c r="Q90" i="11"/>
  <c r="P90" i="11"/>
  <c r="O90" i="11"/>
  <c r="N90" i="11"/>
  <c r="M90" i="11"/>
  <c r="L90" i="11"/>
  <c r="K90" i="11"/>
  <c r="J90" i="11"/>
  <c r="I90" i="11"/>
  <c r="H90" i="11"/>
  <c r="G90" i="11"/>
  <c r="F90" i="11"/>
  <c r="AE89" i="11"/>
  <c r="AC89" i="11"/>
  <c r="AB89" i="11"/>
  <c r="AA89" i="11"/>
  <c r="Z89" i="11"/>
  <c r="Y89" i="11"/>
  <c r="X89" i="11"/>
  <c r="W89" i="11"/>
  <c r="V89" i="11"/>
  <c r="U89" i="11"/>
  <c r="T89" i="11"/>
  <c r="S89" i="11"/>
  <c r="R89" i="11"/>
  <c r="Q89" i="11"/>
  <c r="P89" i="11"/>
  <c r="O89" i="11"/>
  <c r="N89" i="11"/>
  <c r="M89" i="11"/>
  <c r="L89" i="11"/>
  <c r="K89" i="11"/>
  <c r="J89" i="11"/>
  <c r="I89" i="11"/>
  <c r="H89" i="11"/>
  <c r="G89" i="11"/>
  <c r="F89" i="11"/>
  <c r="AE88" i="11"/>
  <c r="AC88" i="11"/>
  <c r="AB88" i="11"/>
  <c r="AA88" i="11"/>
  <c r="Z88" i="11"/>
  <c r="Y88" i="11"/>
  <c r="X88" i="11"/>
  <c r="W88" i="11"/>
  <c r="V88" i="11"/>
  <c r="U88" i="11"/>
  <c r="T88" i="11"/>
  <c r="S88" i="11"/>
  <c r="R88" i="11"/>
  <c r="Q88" i="11"/>
  <c r="P88" i="11"/>
  <c r="O88" i="11"/>
  <c r="N88" i="11"/>
  <c r="M88" i="11"/>
  <c r="L88" i="11"/>
  <c r="K88" i="11"/>
  <c r="J88" i="11"/>
  <c r="I88" i="11"/>
  <c r="H88" i="11"/>
  <c r="G88" i="11"/>
  <c r="F88" i="11"/>
  <c r="AE87" i="11"/>
  <c r="AC87" i="11"/>
  <c r="AB87" i="11"/>
  <c r="AA87" i="11"/>
  <c r="Z87" i="11"/>
  <c r="Y87" i="11"/>
  <c r="X87" i="11"/>
  <c r="W87" i="11"/>
  <c r="V87" i="11"/>
  <c r="U87" i="11"/>
  <c r="T87" i="11"/>
  <c r="S87" i="11"/>
  <c r="R87" i="11"/>
  <c r="Q87" i="11"/>
  <c r="P87" i="11"/>
  <c r="O87" i="11"/>
  <c r="N87" i="11"/>
  <c r="M87" i="11"/>
  <c r="L87" i="11"/>
  <c r="K87" i="11"/>
  <c r="J87" i="11"/>
  <c r="I87" i="11"/>
  <c r="H87" i="11"/>
  <c r="G87" i="11"/>
  <c r="F87" i="11"/>
  <c r="AE86" i="11"/>
  <c r="AC86" i="11"/>
  <c r="AB86" i="11"/>
  <c r="AA86" i="11"/>
  <c r="Z86" i="11"/>
  <c r="Y86" i="11"/>
  <c r="X86" i="11"/>
  <c r="W86" i="11"/>
  <c r="V86" i="11"/>
  <c r="U86" i="11"/>
  <c r="T86" i="11"/>
  <c r="S86" i="11"/>
  <c r="R86" i="11"/>
  <c r="Q86" i="11"/>
  <c r="P86" i="11"/>
  <c r="O86" i="11"/>
  <c r="N86" i="11"/>
  <c r="M86" i="11"/>
  <c r="L86" i="11"/>
  <c r="K86" i="11"/>
  <c r="J86" i="11"/>
  <c r="I86" i="11"/>
  <c r="H86" i="11"/>
  <c r="G86" i="11"/>
  <c r="F86" i="11"/>
  <c r="AE85" i="11"/>
  <c r="AC85" i="11"/>
  <c r="AB85" i="11"/>
  <c r="AA85" i="11"/>
  <c r="Z85" i="11"/>
  <c r="Y85" i="11"/>
  <c r="X85" i="11"/>
  <c r="W85" i="11"/>
  <c r="V85" i="11"/>
  <c r="U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AE84" i="11"/>
  <c r="AC84" i="11"/>
  <c r="AB84" i="11"/>
  <c r="AA84" i="11"/>
  <c r="Z84" i="11"/>
  <c r="Y84" i="11"/>
  <c r="X84" i="11"/>
  <c r="W84" i="11"/>
  <c r="V84" i="11"/>
  <c r="U84" i="11"/>
  <c r="T84" i="11"/>
  <c r="S84" i="11"/>
  <c r="R84" i="11"/>
  <c r="Q84" i="11"/>
  <c r="P84" i="11"/>
  <c r="O84" i="11"/>
  <c r="N84" i="11"/>
  <c r="M84" i="11"/>
  <c r="L84" i="11"/>
  <c r="K84" i="11"/>
  <c r="J84" i="11"/>
  <c r="I84" i="11"/>
  <c r="H84" i="11"/>
  <c r="G84" i="11"/>
  <c r="F84" i="11"/>
  <c r="AE83" i="11"/>
  <c r="AC83" i="11"/>
  <c r="AB83" i="11"/>
  <c r="AA83" i="11"/>
  <c r="Z83" i="11"/>
  <c r="Y83" i="11"/>
  <c r="X83" i="11"/>
  <c r="W83" i="11"/>
  <c r="V83" i="11"/>
  <c r="U83" i="11"/>
  <c r="T83" i="11"/>
  <c r="S83" i="11"/>
  <c r="R83" i="11"/>
  <c r="Q83" i="11"/>
  <c r="P83" i="11"/>
  <c r="O83" i="11"/>
  <c r="N83" i="11"/>
  <c r="M83" i="11"/>
  <c r="L83" i="11"/>
  <c r="K83" i="11"/>
  <c r="J83" i="11"/>
  <c r="I83" i="11"/>
  <c r="H83" i="11"/>
  <c r="G83" i="11"/>
  <c r="F83" i="11"/>
  <c r="AE82" i="11"/>
  <c r="AC82" i="11"/>
  <c r="AB82" i="11"/>
  <c r="AA82" i="11"/>
  <c r="Z82" i="11"/>
  <c r="Y82" i="11"/>
  <c r="X82" i="11"/>
  <c r="W82" i="11"/>
  <c r="V82" i="11"/>
  <c r="U82" i="11"/>
  <c r="T82" i="11"/>
  <c r="S82" i="11"/>
  <c r="R82" i="11"/>
  <c r="Q82" i="11"/>
  <c r="P82" i="11"/>
  <c r="O82" i="11"/>
  <c r="N82" i="11"/>
  <c r="M82" i="11"/>
  <c r="L82" i="11"/>
  <c r="K82" i="11"/>
  <c r="J82" i="11"/>
  <c r="I82" i="11"/>
  <c r="H82" i="11"/>
  <c r="G82" i="11"/>
  <c r="F82" i="11"/>
  <c r="AE81" i="11"/>
  <c r="AC81" i="11"/>
  <c r="AB81" i="11"/>
  <c r="AA81" i="11"/>
  <c r="Z81" i="11"/>
  <c r="Y81" i="11"/>
  <c r="X81" i="11"/>
  <c r="W81" i="11"/>
  <c r="V81" i="11"/>
  <c r="U81" i="11"/>
  <c r="T81" i="11"/>
  <c r="S81" i="11"/>
  <c r="R81" i="11"/>
  <c r="Q81" i="11"/>
  <c r="P81" i="11"/>
  <c r="O81" i="11"/>
  <c r="N81" i="11"/>
  <c r="M81" i="11"/>
  <c r="L81" i="11"/>
  <c r="K81" i="11"/>
  <c r="J81" i="11"/>
  <c r="I81" i="11"/>
  <c r="H81" i="11"/>
  <c r="G81" i="11"/>
  <c r="F81" i="11"/>
  <c r="AE80" i="11"/>
  <c r="AC80" i="11"/>
  <c r="AB80" i="11"/>
  <c r="AA80" i="11"/>
  <c r="Z80" i="11"/>
  <c r="Y80" i="11"/>
  <c r="X80" i="11"/>
  <c r="W80" i="11"/>
  <c r="V80" i="11"/>
  <c r="U80" i="11"/>
  <c r="T80" i="11"/>
  <c r="S80" i="11"/>
  <c r="R80" i="11"/>
  <c r="Q80" i="11"/>
  <c r="P80" i="11"/>
  <c r="O80" i="11"/>
  <c r="N80" i="11"/>
  <c r="M80" i="11"/>
  <c r="L80" i="11"/>
  <c r="K80" i="11"/>
  <c r="J80" i="11"/>
  <c r="I80" i="11"/>
  <c r="H80" i="11"/>
  <c r="G80" i="11"/>
  <c r="F80" i="11"/>
  <c r="AE79" i="11"/>
  <c r="AC79" i="11"/>
  <c r="AB79" i="11"/>
  <c r="AA79" i="11"/>
  <c r="Z79" i="11"/>
  <c r="Y79" i="11"/>
  <c r="X79" i="11"/>
  <c r="W79" i="11"/>
  <c r="V79" i="11"/>
  <c r="U79" i="11"/>
  <c r="T79" i="11"/>
  <c r="S79" i="11"/>
  <c r="R79" i="11"/>
  <c r="Q79" i="11"/>
  <c r="P79" i="11"/>
  <c r="O79" i="11"/>
  <c r="N79" i="11"/>
  <c r="M79" i="11"/>
  <c r="L79" i="11"/>
  <c r="K79" i="11"/>
  <c r="J79" i="11"/>
  <c r="I79" i="11"/>
  <c r="H79" i="11"/>
  <c r="G79" i="11"/>
  <c r="F79" i="11"/>
  <c r="AE78" i="11"/>
  <c r="AC78" i="11"/>
  <c r="AB78" i="11"/>
  <c r="AA78" i="11"/>
  <c r="Z78" i="11"/>
  <c r="Y78" i="11"/>
  <c r="X78" i="11"/>
  <c r="W78" i="11"/>
  <c r="V78" i="11"/>
  <c r="U78" i="11"/>
  <c r="T78" i="11"/>
  <c r="S78" i="11"/>
  <c r="R78" i="11"/>
  <c r="Q78" i="11"/>
  <c r="P78" i="11"/>
  <c r="O78" i="11"/>
  <c r="N78" i="11"/>
  <c r="M78" i="11"/>
  <c r="L78" i="11"/>
  <c r="K78" i="11"/>
  <c r="J78" i="11"/>
  <c r="I78" i="11"/>
  <c r="H78" i="11"/>
  <c r="G78" i="11"/>
  <c r="F78" i="11"/>
  <c r="AE77" i="11"/>
  <c r="AC77" i="11"/>
  <c r="AB77" i="11"/>
  <c r="AA77" i="11"/>
  <c r="Z77" i="11"/>
  <c r="Y77" i="11"/>
  <c r="X77" i="11"/>
  <c r="W77" i="11"/>
  <c r="V77" i="11"/>
  <c r="U77" i="11"/>
  <c r="T77" i="11"/>
  <c r="S77" i="11"/>
  <c r="R77" i="11"/>
  <c r="Q77" i="11"/>
  <c r="P77" i="11"/>
  <c r="O77" i="11"/>
  <c r="N77" i="11"/>
  <c r="M77" i="11"/>
  <c r="L77" i="11"/>
  <c r="K77" i="11"/>
  <c r="J77" i="11"/>
  <c r="I77" i="11"/>
  <c r="H77" i="11"/>
  <c r="G77" i="11"/>
  <c r="F77" i="11"/>
  <c r="AE76" i="11"/>
  <c r="AC76" i="11"/>
  <c r="AB76" i="11"/>
  <c r="AA76" i="11"/>
  <c r="Z76" i="11"/>
  <c r="Y76" i="11"/>
  <c r="X76" i="11"/>
  <c r="W76" i="11"/>
  <c r="V76" i="11"/>
  <c r="U76" i="11"/>
  <c r="T76" i="11"/>
  <c r="S76" i="11"/>
  <c r="R76" i="11"/>
  <c r="Q76" i="11"/>
  <c r="P76" i="11"/>
  <c r="O76" i="11"/>
  <c r="N76" i="11"/>
  <c r="M76" i="11"/>
  <c r="L76" i="11"/>
  <c r="K76" i="11"/>
  <c r="J76" i="11"/>
  <c r="I76" i="11"/>
  <c r="H76" i="11"/>
  <c r="G76" i="11"/>
  <c r="F76" i="11"/>
  <c r="AE75" i="11"/>
  <c r="AC75" i="11"/>
  <c r="AB75" i="11"/>
  <c r="AA75" i="11"/>
  <c r="Z75" i="11"/>
  <c r="Y75" i="11"/>
  <c r="X75" i="11"/>
  <c r="W75" i="11"/>
  <c r="V75" i="11"/>
  <c r="U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F75" i="11"/>
  <c r="AE74" i="11"/>
  <c r="AC74" i="11"/>
  <c r="AB74" i="11"/>
  <c r="AA74" i="11"/>
  <c r="Z74" i="11"/>
  <c r="Y74" i="11"/>
  <c r="X74" i="11"/>
  <c r="W74" i="11"/>
  <c r="V74" i="11"/>
  <c r="U74" i="11"/>
  <c r="T74" i="11"/>
  <c r="S74" i="11"/>
  <c r="R74" i="11"/>
  <c r="Q74" i="11"/>
  <c r="P74" i="11"/>
  <c r="O74" i="11"/>
  <c r="N74" i="11"/>
  <c r="M74" i="11"/>
  <c r="L74" i="11"/>
  <c r="K74" i="11"/>
  <c r="J74" i="11"/>
  <c r="I74" i="11"/>
  <c r="H74" i="11"/>
  <c r="G74" i="11"/>
  <c r="F74" i="11"/>
  <c r="AE73" i="11"/>
  <c r="AC73" i="11"/>
  <c r="AB73" i="11"/>
  <c r="AA73" i="11"/>
  <c r="Z73" i="11"/>
  <c r="Y73" i="11"/>
  <c r="X73" i="11"/>
  <c r="W73" i="11"/>
  <c r="V73" i="11"/>
  <c r="U73" i="11"/>
  <c r="T73" i="11"/>
  <c r="S73" i="11"/>
  <c r="R73" i="11"/>
  <c r="Q73" i="11"/>
  <c r="P73" i="11"/>
  <c r="O73" i="11"/>
  <c r="N73" i="11"/>
  <c r="M73" i="11"/>
  <c r="L73" i="11"/>
  <c r="K73" i="11"/>
  <c r="J73" i="11"/>
  <c r="I73" i="11"/>
  <c r="H73" i="11"/>
  <c r="G73" i="11"/>
  <c r="F73" i="11"/>
  <c r="AE72" i="11"/>
  <c r="AC72" i="11"/>
  <c r="AB72" i="11"/>
  <c r="AA72" i="11"/>
  <c r="Z72" i="11"/>
  <c r="Y72" i="11"/>
  <c r="X72" i="11"/>
  <c r="W72" i="11"/>
  <c r="V72" i="11"/>
  <c r="U72" i="11"/>
  <c r="T72" i="11"/>
  <c r="S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AE71" i="11"/>
  <c r="AC71" i="11"/>
  <c r="AB71" i="11"/>
  <c r="AA71" i="11"/>
  <c r="Z71" i="11"/>
  <c r="Y71" i="11"/>
  <c r="X71" i="11"/>
  <c r="W71" i="11"/>
  <c r="V71" i="11"/>
  <c r="U71" i="11"/>
  <c r="T71" i="11"/>
  <c r="S71" i="11"/>
  <c r="R71" i="11"/>
  <c r="Q71" i="11"/>
  <c r="P71" i="11"/>
  <c r="O71" i="11"/>
  <c r="N71" i="11"/>
  <c r="M71" i="11"/>
  <c r="L71" i="11"/>
  <c r="K71" i="11"/>
  <c r="J71" i="11"/>
  <c r="I71" i="11"/>
  <c r="H71" i="11"/>
  <c r="G71" i="11"/>
  <c r="F71" i="11"/>
  <c r="AE70" i="11"/>
  <c r="AC70" i="11"/>
  <c r="AB70" i="11"/>
  <c r="AA70" i="11"/>
  <c r="Z70" i="11"/>
  <c r="Y70" i="11"/>
  <c r="X70" i="11"/>
  <c r="W70" i="11"/>
  <c r="V70" i="11"/>
  <c r="U70" i="11"/>
  <c r="T70" i="11"/>
  <c r="S70" i="11"/>
  <c r="R70" i="11"/>
  <c r="Q70" i="11"/>
  <c r="P70" i="11"/>
  <c r="O70" i="11"/>
  <c r="N70" i="11"/>
  <c r="M70" i="11"/>
  <c r="L70" i="11"/>
  <c r="K70" i="11"/>
  <c r="J70" i="11"/>
  <c r="I70" i="11"/>
  <c r="H70" i="11"/>
  <c r="G70" i="11"/>
  <c r="F70" i="11"/>
  <c r="AE69" i="11"/>
  <c r="AC69" i="11"/>
  <c r="AB69" i="11"/>
  <c r="AA69" i="11"/>
  <c r="Z69" i="11"/>
  <c r="Y69" i="11"/>
  <c r="X69" i="11"/>
  <c r="W69" i="11"/>
  <c r="V69" i="11"/>
  <c r="U69" i="11"/>
  <c r="T69" i="11"/>
  <c r="S69" i="11"/>
  <c r="R69" i="11"/>
  <c r="Q69" i="11"/>
  <c r="P69" i="11"/>
  <c r="O69" i="11"/>
  <c r="N69" i="11"/>
  <c r="M69" i="11"/>
  <c r="L69" i="11"/>
  <c r="K69" i="11"/>
  <c r="J69" i="11"/>
  <c r="I69" i="11"/>
  <c r="H69" i="11"/>
  <c r="G69" i="11"/>
  <c r="F69" i="11"/>
  <c r="AE68" i="11"/>
  <c r="AC68" i="11"/>
  <c r="AB68" i="11"/>
  <c r="AA68" i="11"/>
  <c r="Z68" i="11"/>
  <c r="Y68" i="11"/>
  <c r="X68" i="11"/>
  <c r="W68" i="11"/>
  <c r="V68" i="11"/>
  <c r="U68" i="11"/>
  <c r="T68" i="11"/>
  <c r="S68" i="11"/>
  <c r="R68" i="11"/>
  <c r="Q68" i="11"/>
  <c r="P68" i="11"/>
  <c r="O68" i="11"/>
  <c r="N68" i="11"/>
  <c r="M68" i="11"/>
  <c r="L68" i="11"/>
  <c r="K68" i="11"/>
  <c r="J68" i="11"/>
  <c r="I68" i="11"/>
  <c r="H68" i="11"/>
  <c r="G68" i="11"/>
  <c r="F68" i="11"/>
  <c r="AE67" i="11"/>
  <c r="AC67" i="11"/>
  <c r="AB67" i="11"/>
  <c r="AA67" i="11"/>
  <c r="Z67" i="11"/>
  <c r="Y67" i="11"/>
  <c r="X67" i="11"/>
  <c r="W67" i="11"/>
  <c r="V67" i="11"/>
  <c r="U67" i="11"/>
  <c r="T67" i="11"/>
  <c r="S67" i="11"/>
  <c r="R67" i="11"/>
  <c r="Q67" i="11"/>
  <c r="P67" i="11"/>
  <c r="O67" i="11"/>
  <c r="N67" i="11"/>
  <c r="M67" i="11"/>
  <c r="L67" i="11"/>
  <c r="K67" i="11"/>
  <c r="J67" i="11"/>
  <c r="I67" i="11"/>
  <c r="H67" i="11"/>
  <c r="G67" i="11"/>
  <c r="F67" i="11"/>
  <c r="AE66" i="11"/>
  <c r="AC66" i="11"/>
  <c r="AB66" i="11"/>
  <c r="AA66" i="11"/>
  <c r="Z66" i="11"/>
  <c r="Y66" i="11"/>
  <c r="X66" i="11"/>
  <c r="W66" i="11"/>
  <c r="V66" i="11"/>
  <c r="U66" i="11"/>
  <c r="T66" i="11"/>
  <c r="S66" i="11"/>
  <c r="R66" i="11"/>
  <c r="Q66" i="11"/>
  <c r="P66" i="11"/>
  <c r="O66" i="11"/>
  <c r="N66" i="11"/>
  <c r="M66" i="11"/>
  <c r="L66" i="11"/>
  <c r="K66" i="11"/>
  <c r="J66" i="11"/>
  <c r="I66" i="11"/>
  <c r="H66" i="11"/>
  <c r="G66" i="11"/>
  <c r="F66" i="11"/>
  <c r="AE65" i="11"/>
  <c r="AC65" i="11"/>
  <c r="AB65" i="11"/>
  <c r="AA65" i="11"/>
  <c r="Z65" i="11"/>
  <c r="Y65" i="11"/>
  <c r="X65" i="11"/>
  <c r="W65" i="11"/>
  <c r="V65" i="11"/>
  <c r="U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F65" i="11"/>
  <c r="AE64" i="11"/>
  <c r="AC64" i="11"/>
  <c r="AB64" i="11"/>
  <c r="AA64" i="11"/>
  <c r="Z64" i="11"/>
  <c r="Y64" i="11"/>
  <c r="X64" i="11"/>
  <c r="W64" i="11"/>
  <c r="V64" i="11"/>
  <c r="U64" i="11"/>
  <c r="T64" i="11"/>
  <c r="S64" i="11"/>
  <c r="R64" i="11"/>
  <c r="Q64" i="11"/>
  <c r="P64" i="11"/>
  <c r="O64" i="11"/>
  <c r="N64" i="11"/>
  <c r="M64" i="11"/>
  <c r="L64" i="11"/>
  <c r="K64" i="11"/>
  <c r="J64" i="11"/>
  <c r="I64" i="11"/>
  <c r="H64" i="11"/>
  <c r="G64" i="11"/>
  <c r="F64" i="11"/>
  <c r="AE63" i="11"/>
  <c r="AC63" i="11"/>
  <c r="AB63" i="11"/>
  <c r="AA63" i="11"/>
  <c r="Z63" i="11"/>
  <c r="Y63" i="11"/>
  <c r="X63" i="11"/>
  <c r="W63" i="11"/>
  <c r="V63" i="11"/>
  <c r="U63" i="11"/>
  <c r="T63" i="11"/>
  <c r="S63" i="11"/>
  <c r="R63" i="11"/>
  <c r="Q63" i="11"/>
  <c r="P63" i="11"/>
  <c r="O63" i="11"/>
  <c r="N63" i="11"/>
  <c r="M63" i="11"/>
  <c r="L63" i="11"/>
  <c r="K63" i="11"/>
  <c r="J63" i="11"/>
  <c r="I63" i="11"/>
  <c r="H63" i="11"/>
  <c r="G63" i="11"/>
  <c r="F63" i="11"/>
  <c r="AE62" i="11"/>
  <c r="AC62" i="11"/>
  <c r="AB62" i="11"/>
  <c r="AA62" i="11"/>
  <c r="Z62" i="11"/>
  <c r="Y62" i="11"/>
  <c r="X62" i="11"/>
  <c r="W62" i="11"/>
  <c r="V62" i="11"/>
  <c r="U62" i="11"/>
  <c r="T62" i="11"/>
  <c r="S62" i="11"/>
  <c r="R62" i="11"/>
  <c r="Q62" i="11"/>
  <c r="P62" i="11"/>
  <c r="O62" i="11"/>
  <c r="N62" i="11"/>
  <c r="M62" i="11"/>
  <c r="L62" i="11"/>
  <c r="K62" i="11"/>
  <c r="J62" i="11"/>
  <c r="I62" i="11"/>
  <c r="H62" i="11"/>
  <c r="G62" i="11"/>
  <c r="F62" i="11"/>
  <c r="AE61" i="11"/>
  <c r="AC61" i="11"/>
  <c r="AB61" i="11"/>
  <c r="AA61" i="11"/>
  <c r="Z61" i="11"/>
  <c r="Y61" i="11"/>
  <c r="X61" i="11"/>
  <c r="W61" i="11"/>
  <c r="V61" i="11"/>
  <c r="U61" i="11"/>
  <c r="T61" i="11"/>
  <c r="S61" i="11"/>
  <c r="R61" i="11"/>
  <c r="Q61" i="11"/>
  <c r="P61" i="11"/>
  <c r="O61" i="11"/>
  <c r="N61" i="11"/>
  <c r="M61" i="11"/>
  <c r="L61" i="11"/>
  <c r="K61" i="11"/>
  <c r="J61" i="11"/>
  <c r="I61" i="11"/>
  <c r="H61" i="11"/>
  <c r="G61" i="11"/>
  <c r="F61" i="11"/>
  <c r="AE60" i="11"/>
  <c r="AC60" i="11"/>
  <c r="AB60" i="11"/>
  <c r="AA60" i="11"/>
  <c r="Z60" i="11"/>
  <c r="Y60" i="11"/>
  <c r="X60" i="11"/>
  <c r="W60" i="11"/>
  <c r="V60" i="11"/>
  <c r="U60" i="11"/>
  <c r="T60" i="11"/>
  <c r="S60" i="11"/>
  <c r="R60" i="11"/>
  <c r="Q60" i="11"/>
  <c r="P60" i="11"/>
  <c r="O60" i="11"/>
  <c r="N60" i="11"/>
  <c r="M60" i="11"/>
  <c r="L60" i="11"/>
  <c r="K60" i="11"/>
  <c r="J60" i="11"/>
  <c r="I60" i="11"/>
  <c r="H60" i="11"/>
  <c r="G60" i="11"/>
  <c r="F60" i="11"/>
  <c r="AE59" i="11"/>
  <c r="AC59" i="11"/>
  <c r="AB59" i="11"/>
  <c r="AA59" i="11"/>
  <c r="Z59" i="11"/>
  <c r="Y59" i="11"/>
  <c r="X59" i="11"/>
  <c r="W59" i="11"/>
  <c r="V59" i="11"/>
  <c r="U59" i="11"/>
  <c r="T59" i="11"/>
  <c r="S59" i="11"/>
  <c r="R59" i="11"/>
  <c r="Q59" i="11"/>
  <c r="P59" i="11"/>
  <c r="O59" i="11"/>
  <c r="N59" i="11"/>
  <c r="M59" i="11"/>
  <c r="L59" i="11"/>
  <c r="K59" i="11"/>
  <c r="J59" i="11"/>
  <c r="I59" i="11"/>
  <c r="H59" i="11"/>
  <c r="G59" i="11"/>
  <c r="F59" i="11"/>
  <c r="AE58" i="11"/>
  <c r="AC58" i="11"/>
  <c r="AB58" i="11"/>
  <c r="AA58" i="11"/>
  <c r="Z58" i="11"/>
  <c r="Y58" i="11"/>
  <c r="X58" i="11"/>
  <c r="W58" i="11"/>
  <c r="V58" i="11"/>
  <c r="U58" i="11"/>
  <c r="T58" i="11"/>
  <c r="S58" i="11"/>
  <c r="R58" i="11"/>
  <c r="Q58" i="11"/>
  <c r="P58" i="11"/>
  <c r="O58" i="11"/>
  <c r="N58" i="11"/>
  <c r="M58" i="11"/>
  <c r="L58" i="11"/>
  <c r="K58" i="11"/>
  <c r="J58" i="11"/>
  <c r="I58" i="11"/>
  <c r="H58" i="11"/>
  <c r="G58" i="11"/>
  <c r="F58" i="11"/>
  <c r="AE57" i="11"/>
  <c r="AC57" i="11"/>
  <c r="AB57" i="11"/>
  <c r="AA57" i="11"/>
  <c r="Z57" i="11"/>
  <c r="Y57" i="11"/>
  <c r="X57" i="11"/>
  <c r="W57" i="11"/>
  <c r="V57" i="11"/>
  <c r="U57" i="11"/>
  <c r="T57" i="11"/>
  <c r="S57" i="11"/>
  <c r="R57" i="11"/>
  <c r="Q57" i="11"/>
  <c r="P57" i="11"/>
  <c r="O57" i="11"/>
  <c r="N57" i="11"/>
  <c r="M57" i="11"/>
  <c r="L57" i="11"/>
  <c r="K57" i="11"/>
  <c r="J57" i="11"/>
  <c r="I57" i="11"/>
  <c r="H57" i="11"/>
  <c r="G57" i="11"/>
  <c r="F57" i="11"/>
  <c r="AE56" i="11"/>
  <c r="AC56" i="11"/>
  <c r="AB56" i="11"/>
  <c r="AA56" i="11"/>
  <c r="Z56" i="11"/>
  <c r="Y56" i="11"/>
  <c r="X56" i="11"/>
  <c r="W56" i="11"/>
  <c r="V56" i="11"/>
  <c r="U56" i="11"/>
  <c r="T56" i="11"/>
  <c r="S56" i="11"/>
  <c r="R56" i="11"/>
  <c r="Q56" i="11"/>
  <c r="P56" i="11"/>
  <c r="O56" i="11"/>
  <c r="N56" i="11"/>
  <c r="M56" i="11"/>
  <c r="L56" i="11"/>
  <c r="K56" i="11"/>
  <c r="J56" i="11"/>
  <c r="I56" i="11"/>
  <c r="H56" i="11"/>
  <c r="G56" i="11"/>
  <c r="F56" i="11"/>
  <c r="AE55" i="11"/>
  <c r="AC55" i="11"/>
  <c r="AB55" i="11"/>
  <c r="AA55" i="11"/>
  <c r="Z55" i="11"/>
  <c r="Y55" i="11"/>
  <c r="X55" i="11"/>
  <c r="W55" i="11"/>
  <c r="V55" i="11"/>
  <c r="U55" i="11"/>
  <c r="T55" i="11"/>
  <c r="S55" i="11"/>
  <c r="R55" i="11"/>
  <c r="Q55" i="11"/>
  <c r="P55" i="11"/>
  <c r="O55" i="11"/>
  <c r="N55" i="11"/>
  <c r="M55" i="11"/>
  <c r="L55" i="11"/>
  <c r="K55" i="11"/>
  <c r="J55" i="11"/>
  <c r="I55" i="11"/>
  <c r="H55" i="11"/>
  <c r="G55" i="11"/>
  <c r="F55" i="11"/>
  <c r="AE54" i="11"/>
  <c r="AC54" i="11"/>
  <c r="AB54" i="11"/>
  <c r="AA54" i="11"/>
  <c r="Z54" i="11"/>
  <c r="Y54" i="11"/>
  <c r="X54" i="11"/>
  <c r="W54" i="11"/>
  <c r="V54" i="11"/>
  <c r="U54" i="11"/>
  <c r="T54" i="11"/>
  <c r="S54" i="11"/>
  <c r="R54" i="11"/>
  <c r="Q54" i="11"/>
  <c r="P54" i="11"/>
  <c r="O54" i="11"/>
  <c r="N54" i="11"/>
  <c r="M54" i="11"/>
  <c r="L54" i="11"/>
  <c r="K54" i="11"/>
  <c r="J54" i="11"/>
  <c r="I54" i="11"/>
  <c r="H54" i="11"/>
  <c r="G54" i="11"/>
  <c r="F54" i="11"/>
  <c r="AE53" i="11"/>
  <c r="AC53" i="11"/>
  <c r="AB53" i="11"/>
  <c r="AA53" i="11"/>
  <c r="Z53" i="11"/>
  <c r="Y53" i="11"/>
  <c r="X53" i="11"/>
  <c r="W53" i="11"/>
  <c r="V53" i="11"/>
  <c r="U53" i="11"/>
  <c r="T53" i="11"/>
  <c r="S53" i="11"/>
  <c r="R53" i="11"/>
  <c r="Q53" i="11"/>
  <c r="P53" i="11"/>
  <c r="O53" i="11"/>
  <c r="N53" i="11"/>
  <c r="M53" i="11"/>
  <c r="L53" i="11"/>
  <c r="K53" i="11"/>
  <c r="J53" i="11"/>
  <c r="I53" i="11"/>
  <c r="H53" i="11"/>
  <c r="G53" i="11"/>
  <c r="F53" i="11"/>
  <c r="AE52" i="11"/>
  <c r="AC52" i="11"/>
  <c r="AB52" i="11"/>
  <c r="AA52" i="11"/>
  <c r="Z52" i="11"/>
  <c r="Y52" i="11"/>
  <c r="X52" i="11"/>
  <c r="W52" i="11"/>
  <c r="V52" i="11"/>
  <c r="U52" i="11"/>
  <c r="T52" i="11"/>
  <c r="S52" i="11"/>
  <c r="R52" i="11"/>
  <c r="Q52" i="11"/>
  <c r="P52" i="11"/>
  <c r="O52" i="11"/>
  <c r="N52" i="11"/>
  <c r="M52" i="11"/>
  <c r="L52" i="11"/>
  <c r="K52" i="11"/>
  <c r="J52" i="11"/>
  <c r="I52" i="11"/>
  <c r="H52" i="11"/>
  <c r="G52" i="11"/>
  <c r="F52" i="11"/>
  <c r="AE51" i="11"/>
  <c r="AC51" i="11"/>
  <c r="AB51" i="11"/>
  <c r="AA51" i="11"/>
  <c r="Z51" i="11"/>
  <c r="Y51" i="11"/>
  <c r="X51" i="11"/>
  <c r="W51" i="11"/>
  <c r="V51" i="11"/>
  <c r="U51" i="11"/>
  <c r="T51" i="11"/>
  <c r="S51" i="11"/>
  <c r="R51" i="11"/>
  <c r="Q51" i="11"/>
  <c r="P51" i="11"/>
  <c r="O51" i="11"/>
  <c r="N51" i="11"/>
  <c r="M51" i="11"/>
  <c r="L51" i="11"/>
  <c r="K51" i="11"/>
  <c r="J51" i="11"/>
  <c r="I51" i="11"/>
  <c r="H51" i="11"/>
  <c r="G51" i="11"/>
  <c r="F51" i="11"/>
  <c r="AE50" i="11"/>
  <c r="AC50" i="11"/>
  <c r="AB50" i="11"/>
  <c r="AA50" i="11"/>
  <c r="Z50" i="11"/>
  <c r="Y50" i="11"/>
  <c r="X50" i="11"/>
  <c r="W50" i="11"/>
  <c r="V50" i="11"/>
  <c r="U50" i="11"/>
  <c r="T50" i="11"/>
  <c r="S50" i="11"/>
  <c r="R50" i="11"/>
  <c r="Q50" i="11"/>
  <c r="P50" i="11"/>
  <c r="O50" i="11"/>
  <c r="N50" i="11"/>
  <c r="M50" i="11"/>
  <c r="L50" i="11"/>
  <c r="K50" i="11"/>
  <c r="J50" i="11"/>
  <c r="I50" i="11"/>
  <c r="H50" i="11"/>
  <c r="G50" i="11"/>
  <c r="F50" i="11"/>
  <c r="AE49" i="11"/>
  <c r="AC49" i="11"/>
  <c r="AB49" i="11"/>
  <c r="AA49" i="11"/>
  <c r="Z49" i="11"/>
  <c r="Y49" i="11"/>
  <c r="X49" i="11"/>
  <c r="W49" i="11"/>
  <c r="V49" i="11"/>
  <c r="U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AE48" i="11"/>
  <c r="AC48" i="11"/>
  <c r="AB48" i="11"/>
  <c r="AA48" i="11"/>
  <c r="Z48" i="11"/>
  <c r="Y48" i="11"/>
  <c r="X48" i="11"/>
  <c r="W48" i="11"/>
  <c r="V48" i="11"/>
  <c r="U48" i="11"/>
  <c r="T48" i="11"/>
  <c r="S48" i="11"/>
  <c r="R48" i="11"/>
  <c r="Q48" i="11"/>
  <c r="P48" i="11"/>
  <c r="O48" i="11"/>
  <c r="N48" i="11"/>
  <c r="M48" i="11"/>
  <c r="L48" i="11"/>
  <c r="K48" i="11"/>
  <c r="J48" i="11"/>
  <c r="I48" i="11"/>
  <c r="H48" i="11"/>
  <c r="G48" i="11"/>
  <c r="F48" i="11"/>
  <c r="AE47" i="11"/>
  <c r="AC47" i="11"/>
  <c r="AB47" i="11"/>
  <c r="AA47" i="11"/>
  <c r="Z47" i="11"/>
  <c r="Y47" i="11"/>
  <c r="X47" i="11"/>
  <c r="W47" i="11"/>
  <c r="V47" i="11"/>
  <c r="U47" i="11"/>
  <c r="T47" i="11"/>
  <c r="S47" i="11"/>
  <c r="R47" i="11"/>
  <c r="Q47" i="11"/>
  <c r="P47" i="11"/>
  <c r="O47" i="11"/>
  <c r="N47" i="11"/>
  <c r="M47" i="11"/>
  <c r="L47" i="11"/>
  <c r="K47" i="11"/>
  <c r="J47" i="11"/>
  <c r="I47" i="11"/>
  <c r="H47" i="11"/>
  <c r="G47" i="11"/>
  <c r="F47" i="11"/>
  <c r="AE46" i="11"/>
  <c r="AC46" i="11"/>
  <c r="AB46" i="11"/>
  <c r="AA46" i="11"/>
  <c r="Z46" i="11"/>
  <c r="Y46" i="11"/>
  <c r="X46" i="11"/>
  <c r="W46" i="11"/>
  <c r="V46" i="11"/>
  <c r="U46" i="11"/>
  <c r="T46" i="11"/>
  <c r="S46" i="11"/>
  <c r="R46" i="11"/>
  <c r="Q46" i="11"/>
  <c r="P46" i="11"/>
  <c r="O46" i="11"/>
  <c r="N46" i="11"/>
  <c r="M46" i="11"/>
  <c r="L46" i="11"/>
  <c r="K46" i="11"/>
  <c r="J46" i="11"/>
  <c r="I46" i="11"/>
  <c r="H46" i="11"/>
  <c r="G46" i="11"/>
  <c r="F46" i="11"/>
  <c r="AE45" i="11"/>
  <c r="AC45" i="11"/>
  <c r="AB45" i="11"/>
  <c r="AA45" i="11"/>
  <c r="Z45" i="11"/>
  <c r="Y45" i="11"/>
  <c r="X45" i="11"/>
  <c r="W45" i="11"/>
  <c r="V45" i="11"/>
  <c r="U45" i="11"/>
  <c r="T45" i="11"/>
  <c r="S45" i="11"/>
  <c r="R45" i="11"/>
  <c r="Q45" i="11"/>
  <c r="P45" i="11"/>
  <c r="O45" i="11"/>
  <c r="N45" i="11"/>
  <c r="M45" i="11"/>
  <c r="L45" i="11"/>
  <c r="K45" i="11"/>
  <c r="J45" i="11"/>
  <c r="I45" i="11"/>
  <c r="H45" i="11"/>
  <c r="G45" i="11"/>
  <c r="F45" i="11"/>
  <c r="AE44" i="11"/>
  <c r="AC44" i="11"/>
  <c r="AB44" i="11"/>
  <c r="AA44" i="11"/>
  <c r="Z44" i="11"/>
  <c r="Y44" i="11"/>
  <c r="X44" i="11"/>
  <c r="W44" i="11"/>
  <c r="V44" i="11"/>
  <c r="U44" i="11"/>
  <c r="T44" i="11"/>
  <c r="S44" i="11"/>
  <c r="R44" i="11"/>
  <c r="Q44" i="11"/>
  <c r="P44" i="11"/>
  <c r="O44" i="11"/>
  <c r="N44" i="11"/>
  <c r="M44" i="11"/>
  <c r="L44" i="11"/>
  <c r="K44" i="11"/>
  <c r="J44" i="11"/>
  <c r="I44" i="11"/>
  <c r="H44" i="11"/>
  <c r="G44" i="11"/>
  <c r="F44" i="11"/>
  <c r="AE43" i="11"/>
  <c r="AC43" i="11"/>
  <c r="AB43" i="11"/>
  <c r="AA43" i="11"/>
  <c r="Z43" i="11"/>
  <c r="Y43" i="11"/>
  <c r="X43" i="11"/>
  <c r="W43" i="11"/>
  <c r="V43" i="11"/>
  <c r="U43" i="11"/>
  <c r="T43" i="11"/>
  <c r="S43" i="11"/>
  <c r="R43" i="11"/>
  <c r="Q43" i="11"/>
  <c r="P43" i="11"/>
  <c r="O43" i="11"/>
  <c r="N43" i="11"/>
  <c r="M43" i="11"/>
  <c r="L43" i="11"/>
  <c r="K43" i="11"/>
  <c r="J43" i="11"/>
  <c r="I43" i="11"/>
  <c r="H43" i="11"/>
  <c r="G43" i="11"/>
  <c r="F43" i="11"/>
  <c r="AE42" i="11"/>
  <c r="AC42" i="11"/>
  <c r="AB42" i="11"/>
  <c r="AA42" i="11"/>
  <c r="Z42" i="11"/>
  <c r="Y42" i="11"/>
  <c r="X42" i="11"/>
  <c r="W42" i="11"/>
  <c r="V42" i="11"/>
  <c r="U42" i="11"/>
  <c r="T42" i="11"/>
  <c r="S42" i="11"/>
  <c r="R42" i="11"/>
  <c r="Q42" i="11"/>
  <c r="P42" i="11"/>
  <c r="O42" i="11"/>
  <c r="N42" i="11"/>
  <c r="M42" i="11"/>
  <c r="L42" i="11"/>
  <c r="K42" i="11"/>
  <c r="J42" i="11"/>
  <c r="I42" i="11"/>
  <c r="H42" i="11"/>
  <c r="G42" i="11"/>
  <c r="F42" i="11"/>
  <c r="AE41" i="11"/>
  <c r="AC41" i="11"/>
  <c r="AB41" i="11"/>
  <c r="AA41" i="11"/>
  <c r="Z41" i="11"/>
  <c r="Y41" i="11"/>
  <c r="X41" i="11"/>
  <c r="W41" i="11"/>
  <c r="V41" i="11"/>
  <c r="U41" i="11"/>
  <c r="T41" i="11"/>
  <c r="S41" i="11"/>
  <c r="R41" i="11"/>
  <c r="Q41" i="11"/>
  <c r="P41" i="11"/>
  <c r="O41" i="11"/>
  <c r="N41" i="11"/>
  <c r="M41" i="11"/>
  <c r="L41" i="11"/>
  <c r="K41" i="11"/>
  <c r="J41" i="11"/>
  <c r="I41" i="11"/>
  <c r="H41" i="11"/>
  <c r="G41" i="11"/>
  <c r="F41" i="11"/>
  <c r="AE40" i="11"/>
  <c r="AC40" i="11"/>
  <c r="AB40" i="11"/>
  <c r="AA40" i="11"/>
  <c r="Z40" i="11"/>
  <c r="Y40" i="11"/>
  <c r="X40" i="11"/>
  <c r="W40" i="11"/>
  <c r="V40" i="11"/>
  <c r="U40" i="11"/>
  <c r="T40" i="11"/>
  <c r="S40" i="11"/>
  <c r="R40" i="11"/>
  <c r="Q40" i="11"/>
  <c r="P40" i="11"/>
  <c r="O40" i="11"/>
  <c r="N40" i="11"/>
  <c r="M40" i="11"/>
  <c r="L40" i="11"/>
  <c r="K40" i="11"/>
  <c r="J40" i="11"/>
  <c r="I40" i="11"/>
  <c r="H40" i="11"/>
  <c r="G40" i="11"/>
  <c r="F40" i="11"/>
  <c r="AE39" i="11"/>
  <c r="AC39" i="11"/>
  <c r="AB39" i="11"/>
  <c r="AA39" i="11"/>
  <c r="Z39" i="11"/>
  <c r="Y39" i="11"/>
  <c r="X39" i="11"/>
  <c r="W39" i="11"/>
  <c r="V39" i="11"/>
  <c r="U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AE38" i="11"/>
  <c r="AC38" i="11"/>
  <c r="AB38" i="11"/>
  <c r="AA38" i="11"/>
  <c r="Z38" i="11"/>
  <c r="Y38" i="11"/>
  <c r="X38" i="11"/>
  <c r="W38" i="11"/>
  <c r="V38" i="11"/>
  <c r="U38" i="11"/>
  <c r="T38" i="11"/>
  <c r="S38" i="11"/>
  <c r="R38" i="11"/>
  <c r="Q38" i="11"/>
  <c r="P38" i="11"/>
  <c r="O38" i="11"/>
  <c r="N38" i="11"/>
  <c r="M38" i="11"/>
  <c r="L38" i="11"/>
  <c r="K38" i="11"/>
  <c r="J38" i="11"/>
  <c r="I38" i="11"/>
  <c r="H38" i="11"/>
  <c r="G38" i="11"/>
  <c r="F38" i="11"/>
  <c r="AE37" i="11"/>
  <c r="AC37" i="11"/>
  <c r="AB37" i="11"/>
  <c r="AA37" i="11"/>
  <c r="Z37" i="11"/>
  <c r="Y37" i="11"/>
  <c r="X37" i="11"/>
  <c r="W37" i="11"/>
  <c r="V37" i="11"/>
  <c r="U37" i="11"/>
  <c r="T37" i="11"/>
  <c r="S37" i="11"/>
  <c r="R37" i="11"/>
  <c r="Q37" i="11"/>
  <c r="P37" i="11"/>
  <c r="O37" i="11"/>
  <c r="N37" i="11"/>
  <c r="M37" i="11"/>
  <c r="L37" i="11"/>
  <c r="K37" i="11"/>
  <c r="J37" i="11"/>
  <c r="I37" i="11"/>
  <c r="H37" i="11"/>
  <c r="G37" i="11"/>
  <c r="F37" i="11"/>
  <c r="AE36" i="11"/>
  <c r="AC36" i="11"/>
  <c r="AB36" i="11"/>
  <c r="AA36" i="11"/>
  <c r="Z36" i="11"/>
  <c r="Y36" i="11"/>
  <c r="X36" i="11"/>
  <c r="W36" i="11"/>
  <c r="V36" i="11"/>
  <c r="U36" i="11"/>
  <c r="T36" i="11"/>
  <c r="S36" i="11"/>
  <c r="R36" i="11"/>
  <c r="Q36" i="11"/>
  <c r="P36" i="11"/>
  <c r="O36" i="11"/>
  <c r="N36" i="11"/>
  <c r="M36" i="11"/>
  <c r="L36" i="11"/>
  <c r="K36" i="11"/>
  <c r="J36" i="11"/>
  <c r="I36" i="11"/>
  <c r="H36" i="11"/>
  <c r="G36" i="11"/>
  <c r="F36" i="11"/>
  <c r="AE35" i="11"/>
  <c r="AC35" i="11"/>
  <c r="AB35" i="11"/>
  <c r="AA35" i="11"/>
  <c r="Z35" i="11"/>
  <c r="Y35" i="11"/>
  <c r="X35" i="11"/>
  <c r="W35" i="11"/>
  <c r="V35" i="11"/>
  <c r="U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H35" i="11"/>
  <c r="G35" i="11"/>
  <c r="F35" i="11"/>
  <c r="AE34" i="11"/>
  <c r="AC34" i="11"/>
  <c r="AB34" i="11"/>
  <c r="AA34" i="11"/>
  <c r="Z34" i="11"/>
  <c r="Y34" i="11"/>
  <c r="X34" i="11"/>
  <c r="W34" i="11"/>
  <c r="V34" i="11"/>
  <c r="U34" i="11"/>
  <c r="T34" i="11"/>
  <c r="S34" i="11"/>
  <c r="R34" i="11"/>
  <c r="Q34" i="11"/>
  <c r="P34" i="11"/>
  <c r="O34" i="11"/>
  <c r="N34" i="11"/>
  <c r="M34" i="11"/>
  <c r="L34" i="11"/>
  <c r="K34" i="11"/>
  <c r="J34" i="11"/>
  <c r="I34" i="11"/>
  <c r="H34" i="11"/>
  <c r="G34" i="11"/>
  <c r="F34" i="11"/>
  <c r="AE33" i="11"/>
  <c r="AC33" i="11"/>
  <c r="AB33" i="11"/>
  <c r="AA33" i="11"/>
  <c r="Z33" i="11"/>
  <c r="Y33" i="11"/>
  <c r="X33" i="11"/>
  <c r="W33" i="11"/>
  <c r="V33" i="11"/>
  <c r="U33" i="11"/>
  <c r="T33" i="11"/>
  <c r="S33" i="11"/>
  <c r="R33" i="11"/>
  <c r="Q33" i="11"/>
  <c r="P33" i="11"/>
  <c r="O33" i="11"/>
  <c r="N33" i="11"/>
  <c r="M33" i="11"/>
  <c r="L33" i="11"/>
  <c r="K33" i="11"/>
  <c r="J33" i="11"/>
  <c r="I33" i="11"/>
  <c r="H33" i="11"/>
  <c r="G33" i="11"/>
  <c r="F33" i="11"/>
  <c r="AE32" i="11"/>
  <c r="AC32" i="11"/>
  <c r="AB32" i="11"/>
  <c r="AA32" i="11"/>
  <c r="Z32" i="11"/>
  <c r="Y32" i="11"/>
  <c r="X32" i="11"/>
  <c r="W32" i="11"/>
  <c r="V32" i="11"/>
  <c r="U32" i="11"/>
  <c r="T32" i="11"/>
  <c r="S32" i="11"/>
  <c r="R32" i="11"/>
  <c r="Q32" i="11"/>
  <c r="P32" i="11"/>
  <c r="O32" i="11"/>
  <c r="N32" i="11"/>
  <c r="M32" i="11"/>
  <c r="L32" i="11"/>
  <c r="K32" i="11"/>
  <c r="J32" i="11"/>
  <c r="I32" i="11"/>
  <c r="H32" i="11"/>
  <c r="G32" i="11"/>
  <c r="F32" i="11"/>
  <c r="AE31" i="11"/>
  <c r="AC31" i="11"/>
  <c r="AB31" i="11"/>
  <c r="AA31" i="11"/>
  <c r="Z31" i="11"/>
  <c r="Y31" i="11"/>
  <c r="X31" i="11"/>
  <c r="W31" i="11"/>
  <c r="V31" i="11"/>
  <c r="U31" i="11"/>
  <c r="T31" i="11"/>
  <c r="S31" i="11"/>
  <c r="R31" i="11"/>
  <c r="Q31" i="11"/>
  <c r="P31" i="11"/>
  <c r="O31" i="11"/>
  <c r="N31" i="11"/>
  <c r="M31" i="11"/>
  <c r="L31" i="11"/>
  <c r="K31" i="11"/>
  <c r="J31" i="11"/>
  <c r="I31" i="11"/>
  <c r="H31" i="11"/>
  <c r="G31" i="11"/>
  <c r="F31" i="11"/>
  <c r="AE30" i="11"/>
  <c r="AC30" i="11"/>
  <c r="AB30" i="11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AE29" i="11"/>
  <c r="AC29" i="11"/>
  <c r="AB29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AE28" i="11"/>
  <c r="AC28" i="11"/>
  <c r="AB28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AE27" i="11"/>
  <c r="AC27" i="11"/>
  <c r="AB27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AE26" i="11"/>
  <c r="AC26" i="11"/>
  <c r="AB26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AE25" i="11"/>
  <c r="AC25" i="11"/>
  <c r="AB25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AE24" i="11"/>
  <c r="AC24" i="11"/>
  <c r="AB24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AE23" i="11"/>
  <c r="AC23" i="11"/>
  <c r="AB23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AE22" i="11"/>
  <c r="AC22" i="11"/>
  <c r="AB22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AE21" i="11"/>
  <c r="AC21" i="11"/>
  <c r="AB21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AE20" i="11"/>
  <c r="AC20" i="11"/>
  <c r="AB20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AE19" i="11"/>
  <c r="AC19" i="11"/>
  <c r="AB19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AE18" i="11"/>
  <c r="AC18" i="11"/>
  <c r="AB18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AE17" i="11"/>
  <c r="AC17" i="11"/>
  <c r="AB17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AE16" i="11"/>
  <c r="AC16" i="11"/>
  <c r="AB16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AE15" i="11"/>
  <c r="AC15" i="11"/>
  <c r="AB15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AE14" i="11"/>
  <c r="AC14" i="11"/>
  <c r="AB14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AE13" i="11"/>
  <c r="AC13" i="11"/>
  <c r="AB13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AE12" i="11"/>
  <c r="AC12" i="11"/>
  <c r="AB12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AE11" i="11"/>
  <c r="AC11" i="11"/>
  <c r="AB11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AE10" i="11"/>
  <c r="AC10" i="11"/>
  <c r="AB10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AE9" i="11"/>
  <c r="AC9" i="11"/>
  <c r="AB9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AE8" i="11"/>
  <c r="AC8" i="11"/>
  <c r="AB8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AE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AE6" i="11"/>
  <c r="AC6" i="11"/>
  <c r="AB6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AE5" i="11"/>
  <c r="AC5" i="11"/>
  <c r="AB5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AE4" i="11"/>
  <c r="AC4" i="11"/>
  <c r="AB4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AE3" i="11"/>
  <c r="AC3" i="11"/>
  <c r="AB3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AE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AE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AE365" i="10"/>
  <c r="AC365" i="10"/>
  <c r="AB365" i="10"/>
  <c r="AA365" i="10"/>
  <c r="Z365" i="10"/>
  <c r="Y365" i="10"/>
  <c r="X365" i="10"/>
  <c r="W365" i="10"/>
  <c r="V365" i="10"/>
  <c r="U365" i="10"/>
  <c r="T365" i="10"/>
  <c r="S365" i="10"/>
  <c r="R365" i="10"/>
  <c r="Q365" i="10"/>
  <c r="P365" i="10"/>
  <c r="O365" i="10"/>
  <c r="N365" i="10"/>
  <c r="M365" i="10"/>
  <c r="L365" i="10"/>
  <c r="K365" i="10"/>
  <c r="J365" i="10"/>
  <c r="I365" i="10"/>
  <c r="H365" i="10"/>
  <c r="G365" i="10"/>
  <c r="F365" i="10"/>
  <c r="AE364" i="10"/>
  <c r="AC364" i="10"/>
  <c r="AB364" i="10"/>
  <c r="AA364" i="10"/>
  <c r="Z364" i="10"/>
  <c r="Y364" i="10"/>
  <c r="X364" i="10"/>
  <c r="W364" i="10"/>
  <c r="V364" i="10"/>
  <c r="U364" i="10"/>
  <c r="T364" i="10"/>
  <c r="S364" i="10"/>
  <c r="R364" i="10"/>
  <c r="Q364" i="10"/>
  <c r="P364" i="10"/>
  <c r="O364" i="10"/>
  <c r="N364" i="10"/>
  <c r="M364" i="10"/>
  <c r="L364" i="10"/>
  <c r="K364" i="10"/>
  <c r="J364" i="10"/>
  <c r="I364" i="10"/>
  <c r="H364" i="10"/>
  <c r="G364" i="10"/>
  <c r="F364" i="10"/>
  <c r="AE363" i="10"/>
  <c r="AC363" i="10"/>
  <c r="AB363" i="10"/>
  <c r="AA363" i="10"/>
  <c r="Z363" i="10"/>
  <c r="Y363" i="10"/>
  <c r="X363" i="10"/>
  <c r="W363" i="10"/>
  <c r="V363" i="10"/>
  <c r="U363" i="10"/>
  <c r="T363" i="10"/>
  <c r="S363" i="10"/>
  <c r="R363" i="10"/>
  <c r="Q363" i="10"/>
  <c r="P363" i="10"/>
  <c r="O363" i="10"/>
  <c r="N363" i="10"/>
  <c r="M363" i="10"/>
  <c r="L363" i="10"/>
  <c r="K363" i="10"/>
  <c r="J363" i="10"/>
  <c r="I363" i="10"/>
  <c r="H363" i="10"/>
  <c r="G363" i="10"/>
  <c r="F363" i="10"/>
  <c r="AE362" i="10"/>
  <c r="AC362" i="10"/>
  <c r="AB362" i="10"/>
  <c r="AA362" i="10"/>
  <c r="Z362" i="10"/>
  <c r="Y362" i="10"/>
  <c r="X362" i="10"/>
  <c r="W362" i="10"/>
  <c r="V362" i="10"/>
  <c r="U362" i="10"/>
  <c r="T362" i="10"/>
  <c r="S362" i="10"/>
  <c r="R362" i="10"/>
  <c r="Q362" i="10"/>
  <c r="P362" i="10"/>
  <c r="O362" i="10"/>
  <c r="N362" i="10"/>
  <c r="M362" i="10"/>
  <c r="L362" i="10"/>
  <c r="K362" i="10"/>
  <c r="J362" i="10"/>
  <c r="I362" i="10"/>
  <c r="H362" i="10"/>
  <c r="G362" i="10"/>
  <c r="F362" i="10"/>
  <c r="AE361" i="10"/>
  <c r="AC361" i="10"/>
  <c r="AB361" i="10"/>
  <c r="AA361" i="10"/>
  <c r="Z361" i="10"/>
  <c r="Y361" i="10"/>
  <c r="X361" i="10"/>
  <c r="W361" i="10"/>
  <c r="V361" i="10"/>
  <c r="U361" i="10"/>
  <c r="T361" i="10"/>
  <c r="S361" i="10"/>
  <c r="R361" i="10"/>
  <c r="Q361" i="10"/>
  <c r="P361" i="10"/>
  <c r="O361" i="10"/>
  <c r="N361" i="10"/>
  <c r="M361" i="10"/>
  <c r="L361" i="10"/>
  <c r="K361" i="10"/>
  <c r="J361" i="10"/>
  <c r="I361" i="10"/>
  <c r="H361" i="10"/>
  <c r="G361" i="10"/>
  <c r="F361" i="10"/>
  <c r="AE360" i="10"/>
  <c r="AC360" i="10"/>
  <c r="AB360" i="10"/>
  <c r="AA360" i="10"/>
  <c r="Z360" i="10"/>
  <c r="Y360" i="10"/>
  <c r="X360" i="10"/>
  <c r="W360" i="10"/>
  <c r="V360" i="10"/>
  <c r="U360" i="10"/>
  <c r="T360" i="10"/>
  <c r="S360" i="10"/>
  <c r="R360" i="10"/>
  <c r="Q360" i="10"/>
  <c r="P360" i="10"/>
  <c r="O360" i="10"/>
  <c r="N360" i="10"/>
  <c r="M360" i="10"/>
  <c r="L360" i="10"/>
  <c r="K360" i="10"/>
  <c r="J360" i="10"/>
  <c r="I360" i="10"/>
  <c r="H360" i="10"/>
  <c r="G360" i="10"/>
  <c r="F360" i="10"/>
  <c r="AE359" i="10"/>
  <c r="AC359" i="10"/>
  <c r="AB359" i="10"/>
  <c r="AA359" i="10"/>
  <c r="Z359" i="10"/>
  <c r="Y359" i="10"/>
  <c r="X359" i="10"/>
  <c r="W359" i="10"/>
  <c r="V359" i="10"/>
  <c r="U359" i="10"/>
  <c r="T359" i="10"/>
  <c r="S359" i="10"/>
  <c r="R359" i="10"/>
  <c r="Q359" i="10"/>
  <c r="P359" i="10"/>
  <c r="O359" i="10"/>
  <c r="N359" i="10"/>
  <c r="M359" i="10"/>
  <c r="L359" i="10"/>
  <c r="K359" i="10"/>
  <c r="J359" i="10"/>
  <c r="I359" i="10"/>
  <c r="H359" i="10"/>
  <c r="G359" i="10"/>
  <c r="F359" i="10"/>
  <c r="AE358" i="10"/>
  <c r="AC358" i="10"/>
  <c r="AB358" i="10"/>
  <c r="AA358" i="10"/>
  <c r="Z358" i="10"/>
  <c r="Y358" i="10"/>
  <c r="X358" i="10"/>
  <c r="W358" i="10"/>
  <c r="V358" i="10"/>
  <c r="U358" i="10"/>
  <c r="T358" i="10"/>
  <c r="S358" i="10"/>
  <c r="R358" i="10"/>
  <c r="Q358" i="10"/>
  <c r="P358" i="10"/>
  <c r="O358" i="10"/>
  <c r="N358" i="10"/>
  <c r="M358" i="10"/>
  <c r="L358" i="10"/>
  <c r="K358" i="10"/>
  <c r="J358" i="10"/>
  <c r="I358" i="10"/>
  <c r="H358" i="10"/>
  <c r="G358" i="10"/>
  <c r="F358" i="10"/>
  <c r="AE357" i="10"/>
  <c r="AC357" i="10"/>
  <c r="AB357" i="10"/>
  <c r="AA357" i="10"/>
  <c r="Z357" i="10"/>
  <c r="Y357" i="10"/>
  <c r="X357" i="10"/>
  <c r="W357" i="10"/>
  <c r="V357" i="10"/>
  <c r="U357" i="10"/>
  <c r="T357" i="10"/>
  <c r="S357" i="10"/>
  <c r="R357" i="10"/>
  <c r="Q357" i="10"/>
  <c r="P357" i="10"/>
  <c r="O357" i="10"/>
  <c r="N357" i="10"/>
  <c r="M357" i="10"/>
  <c r="L357" i="10"/>
  <c r="K357" i="10"/>
  <c r="J357" i="10"/>
  <c r="I357" i="10"/>
  <c r="H357" i="10"/>
  <c r="G357" i="10"/>
  <c r="F357" i="10"/>
  <c r="AE356" i="10"/>
  <c r="AC356" i="10"/>
  <c r="AB356" i="10"/>
  <c r="AA356" i="10"/>
  <c r="Z356" i="10"/>
  <c r="Y356" i="10"/>
  <c r="X356" i="10"/>
  <c r="W356" i="10"/>
  <c r="V356" i="10"/>
  <c r="U356" i="10"/>
  <c r="T356" i="10"/>
  <c r="S356" i="10"/>
  <c r="R356" i="10"/>
  <c r="Q356" i="10"/>
  <c r="P356" i="10"/>
  <c r="O356" i="10"/>
  <c r="N356" i="10"/>
  <c r="M356" i="10"/>
  <c r="L356" i="10"/>
  <c r="K356" i="10"/>
  <c r="J356" i="10"/>
  <c r="I356" i="10"/>
  <c r="H356" i="10"/>
  <c r="G356" i="10"/>
  <c r="F356" i="10"/>
  <c r="AE355" i="10"/>
  <c r="AC355" i="10"/>
  <c r="AB355" i="10"/>
  <c r="AA355" i="10"/>
  <c r="Z355" i="10"/>
  <c r="Y355" i="10"/>
  <c r="X355" i="10"/>
  <c r="W355" i="10"/>
  <c r="V355" i="10"/>
  <c r="U355" i="10"/>
  <c r="T355" i="10"/>
  <c r="S355" i="10"/>
  <c r="R355" i="10"/>
  <c r="Q355" i="10"/>
  <c r="P355" i="10"/>
  <c r="O355" i="10"/>
  <c r="N355" i="10"/>
  <c r="M355" i="10"/>
  <c r="L355" i="10"/>
  <c r="K355" i="10"/>
  <c r="J355" i="10"/>
  <c r="I355" i="10"/>
  <c r="H355" i="10"/>
  <c r="G355" i="10"/>
  <c r="F355" i="10"/>
  <c r="AE354" i="10"/>
  <c r="AC354" i="10"/>
  <c r="AB354" i="10"/>
  <c r="AA354" i="10"/>
  <c r="Z354" i="10"/>
  <c r="Y354" i="10"/>
  <c r="X354" i="10"/>
  <c r="W354" i="10"/>
  <c r="V354" i="10"/>
  <c r="U354" i="10"/>
  <c r="T354" i="10"/>
  <c r="S354" i="10"/>
  <c r="R354" i="10"/>
  <c r="Q354" i="10"/>
  <c r="P354" i="10"/>
  <c r="O354" i="10"/>
  <c r="N354" i="10"/>
  <c r="M354" i="10"/>
  <c r="L354" i="10"/>
  <c r="K354" i="10"/>
  <c r="J354" i="10"/>
  <c r="I354" i="10"/>
  <c r="H354" i="10"/>
  <c r="G354" i="10"/>
  <c r="F354" i="10"/>
  <c r="AE353" i="10"/>
  <c r="AC353" i="10"/>
  <c r="AB353" i="10"/>
  <c r="AA353" i="10"/>
  <c r="Z353" i="10"/>
  <c r="Y353" i="10"/>
  <c r="X353" i="10"/>
  <c r="W353" i="10"/>
  <c r="V353" i="10"/>
  <c r="U353" i="10"/>
  <c r="T353" i="10"/>
  <c r="S353" i="10"/>
  <c r="R353" i="10"/>
  <c r="Q353" i="10"/>
  <c r="P353" i="10"/>
  <c r="O353" i="10"/>
  <c r="N353" i="10"/>
  <c r="M353" i="10"/>
  <c r="L353" i="10"/>
  <c r="K353" i="10"/>
  <c r="J353" i="10"/>
  <c r="I353" i="10"/>
  <c r="H353" i="10"/>
  <c r="G353" i="10"/>
  <c r="F353" i="10"/>
  <c r="AE352" i="10"/>
  <c r="AC352" i="10"/>
  <c r="AB352" i="10"/>
  <c r="AA352" i="10"/>
  <c r="Z352" i="10"/>
  <c r="Y352" i="10"/>
  <c r="X352" i="10"/>
  <c r="W352" i="10"/>
  <c r="V352" i="10"/>
  <c r="U352" i="10"/>
  <c r="T352" i="10"/>
  <c r="S352" i="10"/>
  <c r="R352" i="10"/>
  <c r="Q352" i="10"/>
  <c r="P352" i="10"/>
  <c r="O352" i="10"/>
  <c r="N352" i="10"/>
  <c r="M352" i="10"/>
  <c r="L352" i="10"/>
  <c r="K352" i="10"/>
  <c r="J352" i="10"/>
  <c r="I352" i="10"/>
  <c r="H352" i="10"/>
  <c r="G352" i="10"/>
  <c r="F352" i="10"/>
  <c r="AE351" i="10"/>
  <c r="AC351" i="10"/>
  <c r="AB351" i="10"/>
  <c r="AA351" i="10"/>
  <c r="Z351" i="10"/>
  <c r="Y351" i="10"/>
  <c r="X351" i="10"/>
  <c r="W351" i="10"/>
  <c r="V351" i="10"/>
  <c r="U351" i="10"/>
  <c r="T351" i="10"/>
  <c r="S351" i="10"/>
  <c r="R351" i="10"/>
  <c r="Q351" i="10"/>
  <c r="P351" i="10"/>
  <c r="O351" i="10"/>
  <c r="N351" i="10"/>
  <c r="M351" i="10"/>
  <c r="L351" i="10"/>
  <c r="K351" i="10"/>
  <c r="J351" i="10"/>
  <c r="I351" i="10"/>
  <c r="H351" i="10"/>
  <c r="G351" i="10"/>
  <c r="F351" i="10"/>
  <c r="AE350" i="10"/>
  <c r="AC350" i="10"/>
  <c r="AB350" i="10"/>
  <c r="AA350" i="10"/>
  <c r="Z350" i="10"/>
  <c r="Y350" i="10"/>
  <c r="X350" i="10"/>
  <c r="W350" i="10"/>
  <c r="V350" i="10"/>
  <c r="U350" i="10"/>
  <c r="T350" i="10"/>
  <c r="S350" i="10"/>
  <c r="R350" i="10"/>
  <c r="Q350" i="10"/>
  <c r="P350" i="10"/>
  <c r="O350" i="10"/>
  <c r="N350" i="10"/>
  <c r="M350" i="10"/>
  <c r="L350" i="10"/>
  <c r="K350" i="10"/>
  <c r="J350" i="10"/>
  <c r="I350" i="10"/>
  <c r="H350" i="10"/>
  <c r="G350" i="10"/>
  <c r="F350" i="10"/>
  <c r="AE349" i="10"/>
  <c r="AC349" i="10"/>
  <c r="AB349" i="10"/>
  <c r="AA349" i="10"/>
  <c r="Z349" i="10"/>
  <c r="Y349" i="10"/>
  <c r="X349" i="10"/>
  <c r="W349" i="10"/>
  <c r="V349" i="10"/>
  <c r="U349" i="10"/>
  <c r="T349" i="10"/>
  <c r="S349" i="10"/>
  <c r="R349" i="10"/>
  <c r="Q349" i="10"/>
  <c r="P349" i="10"/>
  <c r="O349" i="10"/>
  <c r="N349" i="10"/>
  <c r="M349" i="10"/>
  <c r="L349" i="10"/>
  <c r="K349" i="10"/>
  <c r="J349" i="10"/>
  <c r="I349" i="10"/>
  <c r="H349" i="10"/>
  <c r="G349" i="10"/>
  <c r="F349" i="10"/>
  <c r="AE348" i="10"/>
  <c r="AC348" i="10"/>
  <c r="AB348" i="10"/>
  <c r="AA348" i="10"/>
  <c r="Z348" i="10"/>
  <c r="Y348" i="10"/>
  <c r="X348" i="10"/>
  <c r="W348" i="10"/>
  <c r="V348" i="10"/>
  <c r="U348" i="10"/>
  <c r="T348" i="10"/>
  <c r="S348" i="10"/>
  <c r="R348" i="10"/>
  <c r="Q348" i="10"/>
  <c r="P348" i="10"/>
  <c r="O348" i="10"/>
  <c r="N348" i="10"/>
  <c r="M348" i="10"/>
  <c r="L348" i="10"/>
  <c r="K348" i="10"/>
  <c r="J348" i="10"/>
  <c r="I348" i="10"/>
  <c r="H348" i="10"/>
  <c r="G348" i="10"/>
  <c r="F348" i="10"/>
  <c r="AE347" i="10"/>
  <c r="AC347" i="10"/>
  <c r="AB347" i="10"/>
  <c r="AA347" i="10"/>
  <c r="Z347" i="10"/>
  <c r="Y347" i="10"/>
  <c r="X347" i="10"/>
  <c r="W347" i="10"/>
  <c r="V347" i="10"/>
  <c r="U347" i="10"/>
  <c r="T347" i="10"/>
  <c r="S347" i="10"/>
  <c r="R347" i="10"/>
  <c r="Q347" i="10"/>
  <c r="P347" i="10"/>
  <c r="O347" i="10"/>
  <c r="N347" i="10"/>
  <c r="M347" i="10"/>
  <c r="L347" i="10"/>
  <c r="K347" i="10"/>
  <c r="J347" i="10"/>
  <c r="I347" i="10"/>
  <c r="H347" i="10"/>
  <c r="G347" i="10"/>
  <c r="F347" i="10"/>
  <c r="AE346" i="10"/>
  <c r="AC346" i="10"/>
  <c r="AB346" i="10"/>
  <c r="AA346" i="10"/>
  <c r="Z346" i="10"/>
  <c r="Y346" i="10"/>
  <c r="X346" i="10"/>
  <c r="W346" i="10"/>
  <c r="V346" i="10"/>
  <c r="U346" i="10"/>
  <c r="T346" i="10"/>
  <c r="S346" i="10"/>
  <c r="R346" i="10"/>
  <c r="Q346" i="10"/>
  <c r="P346" i="10"/>
  <c r="O346" i="10"/>
  <c r="N346" i="10"/>
  <c r="M346" i="10"/>
  <c r="L346" i="10"/>
  <c r="K346" i="10"/>
  <c r="J346" i="10"/>
  <c r="I346" i="10"/>
  <c r="H346" i="10"/>
  <c r="G346" i="10"/>
  <c r="F346" i="10"/>
  <c r="AE345" i="10"/>
  <c r="AC345" i="10"/>
  <c r="AB345" i="10"/>
  <c r="AA345" i="10"/>
  <c r="Z345" i="10"/>
  <c r="Y345" i="10"/>
  <c r="X345" i="10"/>
  <c r="W345" i="10"/>
  <c r="V345" i="10"/>
  <c r="U345" i="10"/>
  <c r="T345" i="10"/>
  <c r="S345" i="10"/>
  <c r="R345" i="10"/>
  <c r="Q345" i="10"/>
  <c r="P345" i="10"/>
  <c r="O345" i="10"/>
  <c r="N345" i="10"/>
  <c r="M345" i="10"/>
  <c r="L345" i="10"/>
  <c r="K345" i="10"/>
  <c r="J345" i="10"/>
  <c r="I345" i="10"/>
  <c r="H345" i="10"/>
  <c r="G345" i="10"/>
  <c r="F345" i="10"/>
  <c r="AE344" i="10"/>
  <c r="AC344" i="10"/>
  <c r="AB344" i="10"/>
  <c r="AA344" i="10"/>
  <c r="Z344" i="10"/>
  <c r="Y344" i="10"/>
  <c r="X344" i="10"/>
  <c r="W344" i="10"/>
  <c r="V344" i="10"/>
  <c r="U344" i="10"/>
  <c r="T344" i="10"/>
  <c r="S344" i="10"/>
  <c r="R344" i="10"/>
  <c r="Q344" i="10"/>
  <c r="P344" i="10"/>
  <c r="O344" i="10"/>
  <c r="N344" i="10"/>
  <c r="M344" i="10"/>
  <c r="L344" i="10"/>
  <c r="K344" i="10"/>
  <c r="J344" i="10"/>
  <c r="I344" i="10"/>
  <c r="H344" i="10"/>
  <c r="G344" i="10"/>
  <c r="F344" i="10"/>
  <c r="AE343" i="10"/>
  <c r="AC343" i="10"/>
  <c r="AB343" i="10"/>
  <c r="AA343" i="10"/>
  <c r="Z343" i="10"/>
  <c r="Y343" i="10"/>
  <c r="X343" i="10"/>
  <c r="W343" i="10"/>
  <c r="V343" i="10"/>
  <c r="U343" i="10"/>
  <c r="T343" i="10"/>
  <c r="S343" i="10"/>
  <c r="R343" i="10"/>
  <c r="Q343" i="10"/>
  <c r="P343" i="10"/>
  <c r="O343" i="10"/>
  <c r="N343" i="10"/>
  <c r="M343" i="10"/>
  <c r="L343" i="10"/>
  <c r="K343" i="10"/>
  <c r="J343" i="10"/>
  <c r="I343" i="10"/>
  <c r="H343" i="10"/>
  <c r="G343" i="10"/>
  <c r="F343" i="10"/>
  <c r="AE342" i="10"/>
  <c r="AC342" i="10"/>
  <c r="AB342" i="10"/>
  <c r="AA342" i="10"/>
  <c r="Z342" i="10"/>
  <c r="Y342" i="10"/>
  <c r="X342" i="10"/>
  <c r="W342" i="10"/>
  <c r="V342" i="10"/>
  <c r="U342" i="10"/>
  <c r="T342" i="10"/>
  <c r="S342" i="10"/>
  <c r="R342" i="10"/>
  <c r="Q342" i="10"/>
  <c r="P342" i="10"/>
  <c r="O342" i="10"/>
  <c r="N342" i="10"/>
  <c r="M342" i="10"/>
  <c r="L342" i="10"/>
  <c r="K342" i="10"/>
  <c r="J342" i="10"/>
  <c r="I342" i="10"/>
  <c r="H342" i="10"/>
  <c r="G342" i="10"/>
  <c r="F342" i="10"/>
  <c r="AE341" i="10"/>
  <c r="AC341" i="10"/>
  <c r="AB341" i="10"/>
  <c r="AA341" i="10"/>
  <c r="Z341" i="10"/>
  <c r="Y341" i="10"/>
  <c r="X341" i="10"/>
  <c r="W341" i="10"/>
  <c r="V341" i="10"/>
  <c r="U341" i="10"/>
  <c r="T341" i="10"/>
  <c r="S341" i="10"/>
  <c r="R341" i="10"/>
  <c r="Q341" i="10"/>
  <c r="P341" i="10"/>
  <c r="O341" i="10"/>
  <c r="N341" i="10"/>
  <c r="M341" i="10"/>
  <c r="L341" i="10"/>
  <c r="K341" i="10"/>
  <c r="J341" i="10"/>
  <c r="I341" i="10"/>
  <c r="H341" i="10"/>
  <c r="G341" i="10"/>
  <c r="F341" i="10"/>
  <c r="AE340" i="10"/>
  <c r="AC340" i="10"/>
  <c r="AB340" i="10"/>
  <c r="AA340" i="10"/>
  <c r="Z340" i="10"/>
  <c r="Y340" i="10"/>
  <c r="X340" i="10"/>
  <c r="W340" i="10"/>
  <c r="V340" i="10"/>
  <c r="U340" i="10"/>
  <c r="T340" i="10"/>
  <c r="S340" i="10"/>
  <c r="R340" i="10"/>
  <c r="Q340" i="10"/>
  <c r="P340" i="10"/>
  <c r="O340" i="10"/>
  <c r="N340" i="10"/>
  <c r="M340" i="10"/>
  <c r="L340" i="10"/>
  <c r="K340" i="10"/>
  <c r="J340" i="10"/>
  <c r="I340" i="10"/>
  <c r="H340" i="10"/>
  <c r="G340" i="10"/>
  <c r="F340" i="10"/>
  <c r="AE339" i="10"/>
  <c r="AC339" i="10"/>
  <c r="AB339" i="10"/>
  <c r="AA339" i="10"/>
  <c r="Z339" i="10"/>
  <c r="Y339" i="10"/>
  <c r="X339" i="10"/>
  <c r="W339" i="10"/>
  <c r="V339" i="10"/>
  <c r="U339" i="10"/>
  <c r="T339" i="10"/>
  <c r="S339" i="10"/>
  <c r="R339" i="10"/>
  <c r="Q339" i="10"/>
  <c r="P339" i="10"/>
  <c r="O339" i="10"/>
  <c r="N339" i="10"/>
  <c r="M339" i="10"/>
  <c r="L339" i="10"/>
  <c r="K339" i="10"/>
  <c r="J339" i="10"/>
  <c r="I339" i="10"/>
  <c r="H339" i="10"/>
  <c r="G339" i="10"/>
  <c r="F339" i="10"/>
  <c r="AE338" i="10"/>
  <c r="AC338" i="10"/>
  <c r="AB338" i="10"/>
  <c r="AA338" i="10"/>
  <c r="Z338" i="10"/>
  <c r="Y338" i="10"/>
  <c r="X338" i="10"/>
  <c r="W338" i="10"/>
  <c r="V338" i="10"/>
  <c r="U338" i="10"/>
  <c r="T338" i="10"/>
  <c r="S338" i="10"/>
  <c r="R338" i="10"/>
  <c r="Q338" i="10"/>
  <c r="P338" i="10"/>
  <c r="O338" i="10"/>
  <c r="N338" i="10"/>
  <c r="M338" i="10"/>
  <c r="L338" i="10"/>
  <c r="K338" i="10"/>
  <c r="J338" i="10"/>
  <c r="I338" i="10"/>
  <c r="H338" i="10"/>
  <c r="G338" i="10"/>
  <c r="F338" i="10"/>
  <c r="AE337" i="10"/>
  <c r="AC337" i="10"/>
  <c r="AB337" i="10"/>
  <c r="AA337" i="10"/>
  <c r="Z337" i="10"/>
  <c r="Y337" i="10"/>
  <c r="X337" i="10"/>
  <c r="W337" i="10"/>
  <c r="V337" i="10"/>
  <c r="U337" i="10"/>
  <c r="T337" i="10"/>
  <c r="S337" i="10"/>
  <c r="R337" i="10"/>
  <c r="Q337" i="10"/>
  <c r="P337" i="10"/>
  <c r="O337" i="10"/>
  <c r="N337" i="10"/>
  <c r="M337" i="10"/>
  <c r="L337" i="10"/>
  <c r="K337" i="10"/>
  <c r="J337" i="10"/>
  <c r="I337" i="10"/>
  <c r="H337" i="10"/>
  <c r="G337" i="10"/>
  <c r="F337" i="10"/>
  <c r="AE336" i="10"/>
  <c r="AC336" i="10"/>
  <c r="AB336" i="10"/>
  <c r="AA336" i="10"/>
  <c r="Z336" i="10"/>
  <c r="Y336" i="10"/>
  <c r="X336" i="10"/>
  <c r="W336" i="10"/>
  <c r="V336" i="10"/>
  <c r="U336" i="10"/>
  <c r="T336" i="10"/>
  <c r="S336" i="10"/>
  <c r="R336" i="10"/>
  <c r="Q336" i="10"/>
  <c r="P336" i="10"/>
  <c r="O336" i="10"/>
  <c r="N336" i="10"/>
  <c r="M336" i="10"/>
  <c r="L336" i="10"/>
  <c r="K336" i="10"/>
  <c r="J336" i="10"/>
  <c r="I336" i="10"/>
  <c r="H336" i="10"/>
  <c r="G336" i="10"/>
  <c r="F336" i="10"/>
  <c r="AE335" i="10"/>
  <c r="AC335" i="10"/>
  <c r="AB335" i="10"/>
  <c r="AA335" i="10"/>
  <c r="Z335" i="10"/>
  <c r="Y335" i="10"/>
  <c r="X335" i="10"/>
  <c r="W335" i="10"/>
  <c r="V335" i="10"/>
  <c r="U335" i="10"/>
  <c r="T335" i="10"/>
  <c r="S335" i="10"/>
  <c r="R335" i="10"/>
  <c r="Q335" i="10"/>
  <c r="P335" i="10"/>
  <c r="O335" i="10"/>
  <c r="N335" i="10"/>
  <c r="M335" i="10"/>
  <c r="L335" i="10"/>
  <c r="K335" i="10"/>
  <c r="J335" i="10"/>
  <c r="I335" i="10"/>
  <c r="H335" i="10"/>
  <c r="G335" i="10"/>
  <c r="F335" i="10"/>
  <c r="AE334" i="10"/>
  <c r="AC334" i="10"/>
  <c r="AB334" i="10"/>
  <c r="AA334" i="10"/>
  <c r="Z334" i="10"/>
  <c r="Y334" i="10"/>
  <c r="X334" i="10"/>
  <c r="W334" i="10"/>
  <c r="V334" i="10"/>
  <c r="U334" i="10"/>
  <c r="T334" i="10"/>
  <c r="S334" i="10"/>
  <c r="R334" i="10"/>
  <c r="Q334" i="10"/>
  <c r="P334" i="10"/>
  <c r="O334" i="10"/>
  <c r="N334" i="10"/>
  <c r="M334" i="10"/>
  <c r="L334" i="10"/>
  <c r="K334" i="10"/>
  <c r="J334" i="10"/>
  <c r="I334" i="10"/>
  <c r="H334" i="10"/>
  <c r="G334" i="10"/>
  <c r="F334" i="10"/>
  <c r="AE333" i="10"/>
  <c r="AC333" i="10"/>
  <c r="AB333" i="10"/>
  <c r="AA333" i="10"/>
  <c r="Z333" i="10"/>
  <c r="Y333" i="10"/>
  <c r="X333" i="10"/>
  <c r="W333" i="10"/>
  <c r="V333" i="10"/>
  <c r="U333" i="10"/>
  <c r="T333" i="10"/>
  <c r="S333" i="10"/>
  <c r="R333" i="10"/>
  <c r="Q333" i="10"/>
  <c r="P333" i="10"/>
  <c r="O333" i="10"/>
  <c r="N333" i="10"/>
  <c r="M333" i="10"/>
  <c r="L333" i="10"/>
  <c r="K333" i="10"/>
  <c r="J333" i="10"/>
  <c r="I333" i="10"/>
  <c r="H333" i="10"/>
  <c r="G333" i="10"/>
  <c r="F333" i="10"/>
  <c r="AE332" i="10"/>
  <c r="AC332" i="10"/>
  <c r="AB332" i="10"/>
  <c r="AA332" i="10"/>
  <c r="Z332" i="10"/>
  <c r="Y332" i="10"/>
  <c r="X332" i="10"/>
  <c r="W332" i="10"/>
  <c r="V332" i="10"/>
  <c r="U332" i="10"/>
  <c r="T332" i="10"/>
  <c r="S332" i="10"/>
  <c r="R332" i="10"/>
  <c r="Q332" i="10"/>
  <c r="P332" i="10"/>
  <c r="O332" i="10"/>
  <c r="N332" i="10"/>
  <c r="M332" i="10"/>
  <c r="L332" i="10"/>
  <c r="K332" i="10"/>
  <c r="J332" i="10"/>
  <c r="I332" i="10"/>
  <c r="H332" i="10"/>
  <c r="G332" i="10"/>
  <c r="F332" i="10"/>
  <c r="AE331" i="10"/>
  <c r="AC331" i="10"/>
  <c r="AB331" i="10"/>
  <c r="AA331" i="10"/>
  <c r="Z331" i="10"/>
  <c r="Y331" i="10"/>
  <c r="X331" i="10"/>
  <c r="W331" i="10"/>
  <c r="V331" i="10"/>
  <c r="U331" i="10"/>
  <c r="T331" i="10"/>
  <c r="S331" i="10"/>
  <c r="R331" i="10"/>
  <c r="Q331" i="10"/>
  <c r="P331" i="10"/>
  <c r="O331" i="10"/>
  <c r="N331" i="10"/>
  <c r="M331" i="10"/>
  <c r="L331" i="10"/>
  <c r="K331" i="10"/>
  <c r="J331" i="10"/>
  <c r="I331" i="10"/>
  <c r="H331" i="10"/>
  <c r="G331" i="10"/>
  <c r="F331" i="10"/>
  <c r="AE330" i="10"/>
  <c r="AC330" i="10"/>
  <c r="AB330" i="10"/>
  <c r="AA330" i="10"/>
  <c r="Z330" i="10"/>
  <c r="Y330" i="10"/>
  <c r="X330" i="10"/>
  <c r="W330" i="10"/>
  <c r="V330" i="10"/>
  <c r="U330" i="10"/>
  <c r="T330" i="10"/>
  <c r="S330" i="10"/>
  <c r="R330" i="10"/>
  <c r="Q330" i="10"/>
  <c r="P330" i="10"/>
  <c r="O330" i="10"/>
  <c r="N330" i="10"/>
  <c r="M330" i="10"/>
  <c r="L330" i="10"/>
  <c r="K330" i="10"/>
  <c r="J330" i="10"/>
  <c r="I330" i="10"/>
  <c r="H330" i="10"/>
  <c r="G330" i="10"/>
  <c r="F330" i="10"/>
  <c r="AE329" i="10"/>
  <c r="AC329" i="10"/>
  <c r="AB329" i="10"/>
  <c r="AA329" i="10"/>
  <c r="Z329" i="10"/>
  <c r="Y329" i="10"/>
  <c r="X329" i="10"/>
  <c r="W329" i="10"/>
  <c r="V329" i="10"/>
  <c r="U329" i="10"/>
  <c r="T329" i="10"/>
  <c r="S329" i="10"/>
  <c r="R329" i="10"/>
  <c r="Q329" i="10"/>
  <c r="P329" i="10"/>
  <c r="O329" i="10"/>
  <c r="N329" i="10"/>
  <c r="M329" i="10"/>
  <c r="L329" i="10"/>
  <c r="K329" i="10"/>
  <c r="J329" i="10"/>
  <c r="I329" i="10"/>
  <c r="H329" i="10"/>
  <c r="G329" i="10"/>
  <c r="F329" i="10"/>
  <c r="AE328" i="10"/>
  <c r="AC328" i="10"/>
  <c r="AB328" i="10"/>
  <c r="AA328" i="10"/>
  <c r="Z328" i="10"/>
  <c r="Y328" i="10"/>
  <c r="X328" i="10"/>
  <c r="W328" i="10"/>
  <c r="V328" i="10"/>
  <c r="U328" i="10"/>
  <c r="T328" i="10"/>
  <c r="S328" i="10"/>
  <c r="R328" i="10"/>
  <c r="Q328" i="10"/>
  <c r="P328" i="10"/>
  <c r="O328" i="10"/>
  <c r="N328" i="10"/>
  <c r="M328" i="10"/>
  <c r="L328" i="10"/>
  <c r="K328" i="10"/>
  <c r="J328" i="10"/>
  <c r="I328" i="10"/>
  <c r="H328" i="10"/>
  <c r="G328" i="10"/>
  <c r="F328" i="10"/>
  <c r="AE327" i="10"/>
  <c r="AC327" i="10"/>
  <c r="AB327" i="10"/>
  <c r="AA327" i="10"/>
  <c r="Z327" i="10"/>
  <c r="Y327" i="10"/>
  <c r="X327" i="10"/>
  <c r="W327" i="10"/>
  <c r="V327" i="10"/>
  <c r="U327" i="10"/>
  <c r="T327" i="10"/>
  <c r="S327" i="10"/>
  <c r="R327" i="10"/>
  <c r="Q327" i="10"/>
  <c r="P327" i="10"/>
  <c r="O327" i="10"/>
  <c r="N327" i="10"/>
  <c r="M327" i="10"/>
  <c r="L327" i="10"/>
  <c r="K327" i="10"/>
  <c r="J327" i="10"/>
  <c r="I327" i="10"/>
  <c r="H327" i="10"/>
  <c r="G327" i="10"/>
  <c r="F327" i="10"/>
  <c r="AE326" i="10"/>
  <c r="AC326" i="10"/>
  <c r="AB326" i="10"/>
  <c r="AA326" i="10"/>
  <c r="Z326" i="10"/>
  <c r="Y326" i="10"/>
  <c r="X326" i="10"/>
  <c r="W326" i="10"/>
  <c r="V326" i="10"/>
  <c r="U326" i="10"/>
  <c r="T326" i="10"/>
  <c r="S326" i="10"/>
  <c r="R326" i="10"/>
  <c r="Q326" i="10"/>
  <c r="P326" i="10"/>
  <c r="O326" i="10"/>
  <c r="N326" i="10"/>
  <c r="M326" i="10"/>
  <c r="L326" i="10"/>
  <c r="K326" i="10"/>
  <c r="J326" i="10"/>
  <c r="I326" i="10"/>
  <c r="H326" i="10"/>
  <c r="G326" i="10"/>
  <c r="F326" i="10"/>
  <c r="AE325" i="10"/>
  <c r="AC325" i="10"/>
  <c r="AB325" i="10"/>
  <c r="AA325" i="10"/>
  <c r="Z325" i="10"/>
  <c r="Y325" i="10"/>
  <c r="X325" i="10"/>
  <c r="W325" i="10"/>
  <c r="V325" i="10"/>
  <c r="U325" i="10"/>
  <c r="T325" i="10"/>
  <c r="S325" i="10"/>
  <c r="R325" i="10"/>
  <c r="Q325" i="10"/>
  <c r="P325" i="10"/>
  <c r="O325" i="10"/>
  <c r="N325" i="10"/>
  <c r="M325" i="10"/>
  <c r="L325" i="10"/>
  <c r="K325" i="10"/>
  <c r="J325" i="10"/>
  <c r="I325" i="10"/>
  <c r="H325" i="10"/>
  <c r="G325" i="10"/>
  <c r="F325" i="10"/>
  <c r="AE324" i="10"/>
  <c r="AC324" i="10"/>
  <c r="AB324" i="10"/>
  <c r="AA324" i="10"/>
  <c r="Z324" i="10"/>
  <c r="Y324" i="10"/>
  <c r="X324" i="10"/>
  <c r="W324" i="10"/>
  <c r="V324" i="10"/>
  <c r="U324" i="10"/>
  <c r="T324" i="10"/>
  <c r="S324" i="10"/>
  <c r="R324" i="10"/>
  <c r="Q324" i="10"/>
  <c r="P324" i="10"/>
  <c r="O324" i="10"/>
  <c r="N324" i="10"/>
  <c r="M324" i="10"/>
  <c r="L324" i="10"/>
  <c r="K324" i="10"/>
  <c r="J324" i="10"/>
  <c r="I324" i="10"/>
  <c r="H324" i="10"/>
  <c r="G324" i="10"/>
  <c r="F324" i="10"/>
  <c r="AE323" i="10"/>
  <c r="AC323" i="10"/>
  <c r="AB323" i="10"/>
  <c r="AA323" i="10"/>
  <c r="Z323" i="10"/>
  <c r="Y323" i="10"/>
  <c r="X323" i="10"/>
  <c r="W323" i="10"/>
  <c r="V323" i="10"/>
  <c r="U323" i="10"/>
  <c r="T323" i="10"/>
  <c r="S323" i="10"/>
  <c r="R323" i="10"/>
  <c r="Q323" i="10"/>
  <c r="P323" i="10"/>
  <c r="O323" i="10"/>
  <c r="N323" i="10"/>
  <c r="M323" i="10"/>
  <c r="L323" i="10"/>
  <c r="K323" i="10"/>
  <c r="J323" i="10"/>
  <c r="I323" i="10"/>
  <c r="H323" i="10"/>
  <c r="G323" i="10"/>
  <c r="F323" i="10"/>
  <c r="AE322" i="10"/>
  <c r="AC322" i="10"/>
  <c r="AB322" i="10"/>
  <c r="AA322" i="10"/>
  <c r="Z322" i="10"/>
  <c r="Y322" i="10"/>
  <c r="X322" i="10"/>
  <c r="W322" i="10"/>
  <c r="V322" i="10"/>
  <c r="U322" i="10"/>
  <c r="T322" i="10"/>
  <c r="S322" i="10"/>
  <c r="R322" i="10"/>
  <c r="Q322" i="10"/>
  <c r="P322" i="10"/>
  <c r="O322" i="10"/>
  <c r="N322" i="10"/>
  <c r="M322" i="10"/>
  <c r="L322" i="10"/>
  <c r="K322" i="10"/>
  <c r="J322" i="10"/>
  <c r="I322" i="10"/>
  <c r="H322" i="10"/>
  <c r="G322" i="10"/>
  <c r="F322" i="10"/>
  <c r="AE321" i="10"/>
  <c r="AC321" i="10"/>
  <c r="AB321" i="10"/>
  <c r="AA321" i="10"/>
  <c r="Z321" i="10"/>
  <c r="Y321" i="10"/>
  <c r="X321" i="10"/>
  <c r="W321" i="10"/>
  <c r="V321" i="10"/>
  <c r="U321" i="10"/>
  <c r="T321" i="10"/>
  <c r="S321" i="10"/>
  <c r="R321" i="10"/>
  <c r="Q321" i="10"/>
  <c r="P321" i="10"/>
  <c r="O321" i="10"/>
  <c r="N321" i="10"/>
  <c r="M321" i="10"/>
  <c r="L321" i="10"/>
  <c r="K321" i="10"/>
  <c r="J321" i="10"/>
  <c r="I321" i="10"/>
  <c r="H321" i="10"/>
  <c r="G321" i="10"/>
  <c r="F321" i="10"/>
  <c r="AE320" i="10"/>
  <c r="AC320" i="10"/>
  <c r="AB320" i="10"/>
  <c r="AA320" i="10"/>
  <c r="Z320" i="10"/>
  <c r="Y320" i="10"/>
  <c r="X320" i="10"/>
  <c r="W320" i="10"/>
  <c r="V320" i="10"/>
  <c r="U320" i="10"/>
  <c r="T320" i="10"/>
  <c r="S320" i="10"/>
  <c r="R320" i="10"/>
  <c r="Q320" i="10"/>
  <c r="P320" i="10"/>
  <c r="O320" i="10"/>
  <c r="N320" i="10"/>
  <c r="M320" i="10"/>
  <c r="L320" i="10"/>
  <c r="K320" i="10"/>
  <c r="J320" i="10"/>
  <c r="I320" i="10"/>
  <c r="H320" i="10"/>
  <c r="G320" i="10"/>
  <c r="F320" i="10"/>
  <c r="AE319" i="10"/>
  <c r="AC319" i="10"/>
  <c r="AB319" i="10"/>
  <c r="AA319" i="10"/>
  <c r="Z319" i="10"/>
  <c r="Y319" i="10"/>
  <c r="X319" i="10"/>
  <c r="W319" i="10"/>
  <c r="V319" i="10"/>
  <c r="U319" i="10"/>
  <c r="T319" i="10"/>
  <c r="S319" i="10"/>
  <c r="R319" i="10"/>
  <c r="Q319" i="10"/>
  <c r="P319" i="10"/>
  <c r="O319" i="10"/>
  <c r="N319" i="10"/>
  <c r="M319" i="10"/>
  <c r="L319" i="10"/>
  <c r="K319" i="10"/>
  <c r="J319" i="10"/>
  <c r="I319" i="10"/>
  <c r="H319" i="10"/>
  <c r="G319" i="10"/>
  <c r="F319" i="10"/>
  <c r="AE318" i="10"/>
  <c r="AC318" i="10"/>
  <c r="AB318" i="10"/>
  <c r="AA318" i="10"/>
  <c r="Z318" i="10"/>
  <c r="Y318" i="10"/>
  <c r="X318" i="10"/>
  <c r="W318" i="10"/>
  <c r="V318" i="10"/>
  <c r="U318" i="10"/>
  <c r="T318" i="10"/>
  <c r="S318" i="10"/>
  <c r="R318" i="10"/>
  <c r="Q318" i="10"/>
  <c r="P318" i="10"/>
  <c r="O318" i="10"/>
  <c r="N318" i="10"/>
  <c r="M318" i="10"/>
  <c r="L318" i="10"/>
  <c r="K318" i="10"/>
  <c r="J318" i="10"/>
  <c r="I318" i="10"/>
  <c r="H318" i="10"/>
  <c r="G318" i="10"/>
  <c r="F318" i="10"/>
  <c r="AE317" i="10"/>
  <c r="AC317" i="10"/>
  <c r="AB317" i="10"/>
  <c r="AA317" i="10"/>
  <c r="Z317" i="10"/>
  <c r="Y317" i="10"/>
  <c r="X317" i="10"/>
  <c r="W317" i="10"/>
  <c r="V317" i="10"/>
  <c r="U317" i="10"/>
  <c r="T317" i="10"/>
  <c r="S317" i="10"/>
  <c r="R317" i="10"/>
  <c r="Q317" i="10"/>
  <c r="P317" i="10"/>
  <c r="O317" i="10"/>
  <c r="N317" i="10"/>
  <c r="M317" i="10"/>
  <c r="L317" i="10"/>
  <c r="K317" i="10"/>
  <c r="J317" i="10"/>
  <c r="I317" i="10"/>
  <c r="H317" i="10"/>
  <c r="G317" i="10"/>
  <c r="F317" i="10"/>
  <c r="AE316" i="10"/>
  <c r="AC316" i="10"/>
  <c r="AB316" i="10"/>
  <c r="AA316" i="10"/>
  <c r="Z316" i="10"/>
  <c r="Y316" i="10"/>
  <c r="X316" i="10"/>
  <c r="W316" i="10"/>
  <c r="V316" i="10"/>
  <c r="U316" i="10"/>
  <c r="T316" i="10"/>
  <c r="S316" i="10"/>
  <c r="R316" i="10"/>
  <c r="Q316" i="10"/>
  <c r="P316" i="10"/>
  <c r="O316" i="10"/>
  <c r="N316" i="10"/>
  <c r="M316" i="10"/>
  <c r="L316" i="10"/>
  <c r="K316" i="10"/>
  <c r="J316" i="10"/>
  <c r="I316" i="10"/>
  <c r="H316" i="10"/>
  <c r="G316" i="10"/>
  <c r="F316" i="10"/>
  <c r="AE315" i="10"/>
  <c r="AC315" i="10"/>
  <c r="AB315" i="10"/>
  <c r="AA315" i="10"/>
  <c r="Z315" i="10"/>
  <c r="Y315" i="10"/>
  <c r="X315" i="10"/>
  <c r="W315" i="10"/>
  <c r="V315" i="10"/>
  <c r="U315" i="10"/>
  <c r="T315" i="10"/>
  <c r="S315" i="10"/>
  <c r="R315" i="10"/>
  <c r="Q315" i="10"/>
  <c r="P315" i="10"/>
  <c r="O315" i="10"/>
  <c r="N315" i="10"/>
  <c r="M315" i="10"/>
  <c r="L315" i="10"/>
  <c r="K315" i="10"/>
  <c r="J315" i="10"/>
  <c r="I315" i="10"/>
  <c r="H315" i="10"/>
  <c r="G315" i="10"/>
  <c r="F315" i="10"/>
  <c r="AE314" i="10"/>
  <c r="AC314" i="10"/>
  <c r="AB314" i="10"/>
  <c r="AA314" i="10"/>
  <c r="Z314" i="10"/>
  <c r="Y314" i="10"/>
  <c r="X314" i="10"/>
  <c r="W314" i="10"/>
  <c r="V314" i="10"/>
  <c r="U314" i="10"/>
  <c r="T314" i="10"/>
  <c r="S314" i="10"/>
  <c r="R314" i="10"/>
  <c r="Q314" i="10"/>
  <c r="P314" i="10"/>
  <c r="O314" i="10"/>
  <c r="N314" i="10"/>
  <c r="M314" i="10"/>
  <c r="L314" i="10"/>
  <c r="K314" i="10"/>
  <c r="J314" i="10"/>
  <c r="I314" i="10"/>
  <c r="H314" i="10"/>
  <c r="G314" i="10"/>
  <c r="F314" i="10"/>
  <c r="AE313" i="10"/>
  <c r="AC313" i="10"/>
  <c r="AB313" i="10"/>
  <c r="AA313" i="10"/>
  <c r="Z313" i="10"/>
  <c r="Y313" i="10"/>
  <c r="X313" i="10"/>
  <c r="W313" i="10"/>
  <c r="V313" i="10"/>
  <c r="U313" i="10"/>
  <c r="T313" i="10"/>
  <c r="S313" i="10"/>
  <c r="R313" i="10"/>
  <c r="Q313" i="10"/>
  <c r="P313" i="10"/>
  <c r="O313" i="10"/>
  <c r="N313" i="10"/>
  <c r="M313" i="10"/>
  <c r="L313" i="10"/>
  <c r="K313" i="10"/>
  <c r="J313" i="10"/>
  <c r="I313" i="10"/>
  <c r="H313" i="10"/>
  <c r="G313" i="10"/>
  <c r="F313" i="10"/>
  <c r="AE312" i="10"/>
  <c r="AC312" i="10"/>
  <c r="AB312" i="10"/>
  <c r="AA312" i="10"/>
  <c r="Z312" i="10"/>
  <c r="Y312" i="10"/>
  <c r="X312" i="10"/>
  <c r="W312" i="10"/>
  <c r="V312" i="10"/>
  <c r="U312" i="10"/>
  <c r="T312" i="10"/>
  <c r="S312" i="10"/>
  <c r="R312" i="10"/>
  <c r="Q312" i="10"/>
  <c r="P312" i="10"/>
  <c r="O312" i="10"/>
  <c r="N312" i="10"/>
  <c r="M312" i="10"/>
  <c r="L312" i="10"/>
  <c r="K312" i="10"/>
  <c r="J312" i="10"/>
  <c r="I312" i="10"/>
  <c r="H312" i="10"/>
  <c r="G312" i="10"/>
  <c r="F312" i="10"/>
  <c r="AE311" i="10"/>
  <c r="AC311" i="10"/>
  <c r="AB311" i="10"/>
  <c r="AA311" i="10"/>
  <c r="Z311" i="10"/>
  <c r="Y311" i="10"/>
  <c r="X311" i="10"/>
  <c r="W311" i="10"/>
  <c r="V311" i="10"/>
  <c r="U311" i="10"/>
  <c r="T311" i="10"/>
  <c r="S311" i="10"/>
  <c r="R311" i="10"/>
  <c r="Q311" i="10"/>
  <c r="P311" i="10"/>
  <c r="O311" i="10"/>
  <c r="N311" i="10"/>
  <c r="M311" i="10"/>
  <c r="L311" i="10"/>
  <c r="K311" i="10"/>
  <c r="J311" i="10"/>
  <c r="I311" i="10"/>
  <c r="H311" i="10"/>
  <c r="G311" i="10"/>
  <c r="F311" i="10"/>
  <c r="AE310" i="10"/>
  <c r="AC310" i="10"/>
  <c r="AB310" i="10"/>
  <c r="AA310" i="10"/>
  <c r="Z310" i="10"/>
  <c r="Y310" i="10"/>
  <c r="X310" i="10"/>
  <c r="W310" i="10"/>
  <c r="V310" i="10"/>
  <c r="U310" i="10"/>
  <c r="T310" i="10"/>
  <c r="S310" i="10"/>
  <c r="R310" i="10"/>
  <c r="Q310" i="10"/>
  <c r="P310" i="10"/>
  <c r="O310" i="10"/>
  <c r="N310" i="10"/>
  <c r="M310" i="10"/>
  <c r="L310" i="10"/>
  <c r="K310" i="10"/>
  <c r="J310" i="10"/>
  <c r="I310" i="10"/>
  <c r="H310" i="10"/>
  <c r="G310" i="10"/>
  <c r="F310" i="10"/>
  <c r="AE309" i="10"/>
  <c r="AC309" i="10"/>
  <c r="AB309" i="10"/>
  <c r="AA309" i="10"/>
  <c r="Z309" i="10"/>
  <c r="Y309" i="10"/>
  <c r="X309" i="10"/>
  <c r="W309" i="10"/>
  <c r="V309" i="10"/>
  <c r="U309" i="10"/>
  <c r="T309" i="10"/>
  <c r="S309" i="10"/>
  <c r="R309" i="10"/>
  <c r="Q309" i="10"/>
  <c r="P309" i="10"/>
  <c r="O309" i="10"/>
  <c r="N309" i="10"/>
  <c r="M309" i="10"/>
  <c r="L309" i="10"/>
  <c r="K309" i="10"/>
  <c r="J309" i="10"/>
  <c r="I309" i="10"/>
  <c r="H309" i="10"/>
  <c r="G309" i="10"/>
  <c r="F309" i="10"/>
  <c r="AE308" i="10"/>
  <c r="AC308" i="10"/>
  <c r="AB308" i="10"/>
  <c r="AA308" i="10"/>
  <c r="Z308" i="10"/>
  <c r="Y308" i="10"/>
  <c r="X308" i="10"/>
  <c r="W308" i="10"/>
  <c r="V308" i="10"/>
  <c r="U308" i="10"/>
  <c r="T308" i="10"/>
  <c r="S308" i="10"/>
  <c r="R308" i="10"/>
  <c r="Q308" i="10"/>
  <c r="P308" i="10"/>
  <c r="O308" i="10"/>
  <c r="N308" i="10"/>
  <c r="M308" i="10"/>
  <c r="L308" i="10"/>
  <c r="K308" i="10"/>
  <c r="J308" i="10"/>
  <c r="I308" i="10"/>
  <c r="H308" i="10"/>
  <c r="G308" i="10"/>
  <c r="F308" i="10"/>
  <c r="AE307" i="10"/>
  <c r="AC307" i="10"/>
  <c r="AB307" i="10"/>
  <c r="AA307" i="10"/>
  <c r="Z307" i="10"/>
  <c r="Y307" i="10"/>
  <c r="X307" i="10"/>
  <c r="W307" i="10"/>
  <c r="V307" i="10"/>
  <c r="U307" i="10"/>
  <c r="T307" i="10"/>
  <c r="S307" i="10"/>
  <c r="R307" i="10"/>
  <c r="Q307" i="10"/>
  <c r="P307" i="10"/>
  <c r="O307" i="10"/>
  <c r="N307" i="10"/>
  <c r="M307" i="10"/>
  <c r="L307" i="10"/>
  <c r="K307" i="10"/>
  <c r="J307" i="10"/>
  <c r="I307" i="10"/>
  <c r="H307" i="10"/>
  <c r="G307" i="10"/>
  <c r="F307" i="10"/>
  <c r="AE306" i="10"/>
  <c r="AC306" i="10"/>
  <c r="AB306" i="10"/>
  <c r="AA306" i="10"/>
  <c r="Z306" i="10"/>
  <c r="Y306" i="10"/>
  <c r="X306" i="10"/>
  <c r="W306" i="10"/>
  <c r="V306" i="10"/>
  <c r="U306" i="10"/>
  <c r="T306" i="10"/>
  <c r="S306" i="10"/>
  <c r="R306" i="10"/>
  <c r="Q306" i="10"/>
  <c r="P306" i="10"/>
  <c r="O306" i="10"/>
  <c r="N306" i="10"/>
  <c r="M306" i="10"/>
  <c r="L306" i="10"/>
  <c r="K306" i="10"/>
  <c r="J306" i="10"/>
  <c r="I306" i="10"/>
  <c r="H306" i="10"/>
  <c r="G306" i="10"/>
  <c r="F306" i="10"/>
  <c r="AE305" i="10"/>
  <c r="AC305" i="10"/>
  <c r="AB305" i="10"/>
  <c r="AA305" i="10"/>
  <c r="Z305" i="10"/>
  <c r="Y305" i="10"/>
  <c r="X305" i="10"/>
  <c r="W305" i="10"/>
  <c r="V305" i="10"/>
  <c r="U305" i="10"/>
  <c r="T305" i="10"/>
  <c r="S305" i="10"/>
  <c r="R305" i="10"/>
  <c r="Q305" i="10"/>
  <c r="P305" i="10"/>
  <c r="O305" i="10"/>
  <c r="N305" i="10"/>
  <c r="M305" i="10"/>
  <c r="L305" i="10"/>
  <c r="K305" i="10"/>
  <c r="J305" i="10"/>
  <c r="I305" i="10"/>
  <c r="H305" i="10"/>
  <c r="G305" i="10"/>
  <c r="F305" i="10"/>
  <c r="AE304" i="10"/>
  <c r="AC304" i="10"/>
  <c r="AB304" i="10"/>
  <c r="AA304" i="10"/>
  <c r="Z304" i="10"/>
  <c r="Y304" i="10"/>
  <c r="X304" i="10"/>
  <c r="W304" i="10"/>
  <c r="V304" i="10"/>
  <c r="U304" i="10"/>
  <c r="T304" i="10"/>
  <c r="S304" i="10"/>
  <c r="R304" i="10"/>
  <c r="Q304" i="10"/>
  <c r="P304" i="10"/>
  <c r="O304" i="10"/>
  <c r="N304" i="10"/>
  <c r="M304" i="10"/>
  <c r="L304" i="10"/>
  <c r="K304" i="10"/>
  <c r="J304" i="10"/>
  <c r="I304" i="10"/>
  <c r="H304" i="10"/>
  <c r="G304" i="10"/>
  <c r="F304" i="10"/>
  <c r="AE303" i="10"/>
  <c r="AC303" i="10"/>
  <c r="AB303" i="10"/>
  <c r="AA303" i="10"/>
  <c r="Z303" i="10"/>
  <c r="Y303" i="10"/>
  <c r="X303" i="10"/>
  <c r="W303" i="10"/>
  <c r="V303" i="10"/>
  <c r="U303" i="10"/>
  <c r="T303" i="10"/>
  <c r="S303" i="10"/>
  <c r="R303" i="10"/>
  <c r="Q303" i="10"/>
  <c r="P303" i="10"/>
  <c r="O303" i="10"/>
  <c r="N303" i="10"/>
  <c r="M303" i="10"/>
  <c r="L303" i="10"/>
  <c r="K303" i="10"/>
  <c r="J303" i="10"/>
  <c r="I303" i="10"/>
  <c r="H303" i="10"/>
  <c r="G303" i="10"/>
  <c r="F303" i="10"/>
  <c r="AE302" i="10"/>
  <c r="AC302" i="10"/>
  <c r="AB302" i="10"/>
  <c r="AA302" i="10"/>
  <c r="Z302" i="10"/>
  <c r="Y302" i="10"/>
  <c r="X302" i="10"/>
  <c r="W302" i="10"/>
  <c r="V302" i="10"/>
  <c r="U302" i="10"/>
  <c r="T302" i="10"/>
  <c r="S302" i="10"/>
  <c r="R302" i="10"/>
  <c r="Q302" i="10"/>
  <c r="P302" i="10"/>
  <c r="O302" i="10"/>
  <c r="N302" i="10"/>
  <c r="M302" i="10"/>
  <c r="L302" i="10"/>
  <c r="K302" i="10"/>
  <c r="J302" i="10"/>
  <c r="I302" i="10"/>
  <c r="H302" i="10"/>
  <c r="G302" i="10"/>
  <c r="F302" i="10"/>
  <c r="AE301" i="10"/>
  <c r="AC301" i="10"/>
  <c r="AB301" i="10"/>
  <c r="AA301" i="10"/>
  <c r="Z301" i="10"/>
  <c r="Y301" i="10"/>
  <c r="X301" i="10"/>
  <c r="W301" i="10"/>
  <c r="V301" i="10"/>
  <c r="U301" i="10"/>
  <c r="T301" i="10"/>
  <c r="S301" i="10"/>
  <c r="R301" i="10"/>
  <c r="Q301" i="10"/>
  <c r="P301" i="10"/>
  <c r="O301" i="10"/>
  <c r="N301" i="10"/>
  <c r="M301" i="10"/>
  <c r="L301" i="10"/>
  <c r="K301" i="10"/>
  <c r="J301" i="10"/>
  <c r="I301" i="10"/>
  <c r="H301" i="10"/>
  <c r="G301" i="10"/>
  <c r="F301" i="10"/>
  <c r="AE300" i="10"/>
  <c r="AC300" i="10"/>
  <c r="AB300" i="10"/>
  <c r="AA300" i="10"/>
  <c r="Z300" i="10"/>
  <c r="Y300" i="10"/>
  <c r="X300" i="10"/>
  <c r="W300" i="10"/>
  <c r="V300" i="10"/>
  <c r="U300" i="10"/>
  <c r="T300" i="10"/>
  <c r="S300" i="10"/>
  <c r="R300" i="10"/>
  <c r="Q300" i="10"/>
  <c r="P300" i="10"/>
  <c r="O300" i="10"/>
  <c r="N300" i="10"/>
  <c r="M300" i="10"/>
  <c r="L300" i="10"/>
  <c r="K300" i="10"/>
  <c r="J300" i="10"/>
  <c r="I300" i="10"/>
  <c r="H300" i="10"/>
  <c r="G300" i="10"/>
  <c r="F300" i="10"/>
  <c r="AE299" i="10"/>
  <c r="AC299" i="10"/>
  <c r="AB299" i="10"/>
  <c r="AA299" i="10"/>
  <c r="Z299" i="10"/>
  <c r="Y299" i="10"/>
  <c r="X299" i="10"/>
  <c r="W299" i="10"/>
  <c r="V299" i="10"/>
  <c r="U299" i="10"/>
  <c r="T299" i="10"/>
  <c r="S299" i="10"/>
  <c r="R299" i="10"/>
  <c r="Q299" i="10"/>
  <c r="P299" i="10"/>
  <c r="O299" i="10"/>
  <c r="N299" i="10"/>
  <c r="M299" i="10"/>
  <c r="L299" i="10"/>
  <c r="K299" i="10"/>
  <c r="J299" i="10"/>
  <c r="I299" i="10"/>
  <c r="H299" i="10"/>
  <c r="G299" i="10"/>
  <c r="F299" i="10"/>
  <c r="AE298" i="10"/>
  <c r="AC298" i="10"/>
  <c r="AB298" i="10"/>
  <c r="AA298" i="10"/>
  <c r="Z298" i="10"/>
  <c r="Y298" i="10"/>
  <c r="X298" i="10"/>
  <c r="W298" i="10"/>
  <c r="V298" i="10"/>
  <c r="U298" i="10"/>
  <c r="T298" i="10"/>
  <c r="S298" i="10"/>
  <c r="R298" i="10"/>
  <c r="Q298" i="10"/>
  <c r="P298" i="10"/>
  <c r="O298" i="10"/>
  <c r="N298" i="10"/>
  <c r="M298" i="10"/>
  <c r="L298" i="10"/>
  <c r="K298" i="10"/>
  <c r="J298" i="10"/>
  <c r="I298" i="10"/>
  <c r="H298" i="10"/>
  <c r="G298" i="10"/>
  <c r="F298" i="10"/>
  <c r="AE297" i="10"/>
  <c r="AC297" i="10"/>
  <c r="AB297" i="10"/>
  <c r="AA297" i="10"/>
  <c r="Z297" i="10"/>
  <c r="Y297" i="10"/>
  <c r="X297" i="10"/>
  <c r="W297" i="10"/>
  <c r="V297" i="10"/>
  <c r="U297" i="10"/>
  <c r="T297" i="10"/>
  <c r="S297" i="10"/>
  <c r="R297" i="10"/>
  <c r="Q297" i="10"/>
  <c r="P297" i="10"/>
  <c r="O297" i="10"/>
  <c r="N297" i="10"/>
  <c r="M297" i="10"/>
  <c r="L297" i="10"/>
  <c r="K297" i="10"/>
  <c r="J297" i="10"/>
  <c r="I297" i="10"/>
  <c r="H297" i="10"/>
  <c r="G297" i="10"/>
  <c r="F297" i="10"/>
  <c r="AE296" i="10"/>
  <c r="AC296" i="10"/>
  <c r="AB296" i="10"/>
  <c r="AA296" i="10"/>
  <c r="Z296" i="10"/>
  <c r="Y296" i="10"/>
  <c r="X296" i="10"/>
  <c r="W296" i="10"/>
  <c r="V296" i="10"/>
  <c r="U296" i="10"/>
  <c r="T296" i="10"/>
  <c r="S296" i="10"/>
  <c r="R296" i="10"/>
  <c r="Q296" i="10"/>
  <c r="P296" i="10"/>
  <c r="O296" i="10"/>
  <c r="N296" i="10"/>
  <c r="M296" i="10"/>
  <c r="L296" i="10"/>
  <c r="K296" i="10"/>
  <c r="J296" i="10"/>
  <c r="I296" i="10"/>
  <c r="H296" i="10"/>
  <c r="G296" i="10"/>
  <c r="F296" i="10"/>
  <c r="AE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AE294" i="10"/>
  <c r="AC294" i="10"/>
  <c r="AB294" i="10"/>
  <c r="AA294" i="10"/>
  <c r="Z294" i="10"/>
  <c r="Y294" i="10"/>
  <c r="X294" i="10"/>
  <c r="W294" i="10"/>
  <c r="V294" i="10"/>
  <c r="U294" i="10"/>
  <c r="T294" i="10"/>
  <c r="S294" i="10"/>
  <c r="R294" i="10"/>
  <c r="Q294" i="10"/>
  <c r="P294" i="10"/>
  <c r="O294" i="10"/>
  <c r="N294" i="10"/>
  <c r="M294" i="10"/>
  <c r="L294" i="10"/>
  <c r="K294" i="10"/>
  <c r="J294" i="10"/>
  <c r="I294" i="10"/>
  <c r="H294" i="10"/>
  <c r="G294" i="10"/>
  <c r="F294" i="10"/>
  <c r="AE293" i="10"/>
  <c r="AC293" i="10"/>
  <c r="AB293" i="10"/>
  <c r="AA293" i="10"/>
  <c r="Z293" i="10"/>
  <c r="Y293" i="10"/>
  <c r="X293" i="10"/>
  <c r="W293" i="10"/>
  <c r="V293" i="10"/>
  <c r="U293" i="10"/>
  <c r="T293" i="10"/>
  <c r="S293" i="10"/>
  <c r="R293" i="10"/>
  <c r="Q293" i="10"/>
  <c r="P293" i="10"/>
  <c r="O293" i="10"/>
  <c r="N293" i="10"/>
  <c r="M293" i="10"/>
  <c r="L293" i="10"/>
  <c r="K293" i="10"/>
  <c r="J293" i="10"/>
  <c r="I293" i="10"/>
  <c r="H293" i="10"/>
  <c r="G293" i="10"/>
  <c r="F293" i="10"/>
  <c r="AE292" i="10"/>
  <c r="AC292" i="10"/>
  <c r="AB292" i="10"/>
  <c r="AA292" i="10"/>
  <c r="Z292" i="10"/>
  <c r="Y292" i="10"/>
  <c r="X292" i="10"/>
  <c r="W292" i="10"/>
  <c r="V292" i="10"/>
  <c r="U292" i="10"/>
  <c r="T292" i="10"/>
  <c r="S292" i="10"/>
  <c r="R292" i="10"/>
  <c r="Q292" i="10"/>
  <c r="P292" i="10"/>
  <c r="O292" i="10"/>
  <c r="N292" i="10"/>
  <c r="M292" i="10"/>
  <c r="L292" i="10"/>
  <c r="K292" i="10"/>
  <c r="J292" i="10"/>
  <c r="I292" i="10"/>
  <c r="H292" i="10"/>
  <c r="G292" i="10"/>
  <c r="F292" i="10"/>
  <c r="AE291" i="10"/>
  <c r="AC291" i="10"/>
  <c r="AB291" i="10"/>
  <c r="AA291" i="10"/>
  <c r="Z291" i="10"/>
  <c r="Y291" i="10"/>
  <c r="X291" i="10"/>
  <c r="W291" i="10"/>
  <c r="V291" i="10"/>
  <c r="U291" i="10"/>
  <c r="T291" i="10"/>
  <c r="S291" i="10"/>
  <c r="R291" i="10"/>
  <c r="Q291" i="10"/>
  <c r="P291" i="10"/>
  <c r="O291" i="10"/>
  <c r="N291" i="10"/>
  <c r="M291" i="10"/>
  <c r="L291" i="10"/>
  <c r="K291" i="10"/>
  <c r="J291" i="10"/>
  <c r="I291" i="10"/>
  <c r="H291" i="10"/>
  <c r="G291" i="10"/>
  <c r="F291" i="10"/>
  <c r="AE290" i="10"/>
  <c r="AC290" i="10"/>
  <c r="AB290" i="10"/>
  <c r="AA290" i="10"/>
  <c r="Z290" i="10"/>
  <c r="Y290" i="10"/>
  <c r="X290" i="10"/>
  <c r="W290" i="10"/>
  <c r="V290" i="10"/>
  <c r="U290" i="10"/>
  <c r="T290" i="10"/>
  <c r="S290" i="10"/>
  <c r="R290" i="10"/>
  <c r="Q290" i="10"/>
  <c r="P290" i="10"/>
  <c r="O290" i="10"/>
  <c r="N290" i="10"/>
  <c r="M290" i="10"/>
  <c r="L290" i="10"/>
  <c r="K290" i="10"/>
  <c r="J290" i="10"/>
  <c r="I290" i="10"/>
  <c r="H290" i="10"/>
  <c r="G290" i="10"/>
  <c r="F290" i="10"/>
  <c r="AE289" i="10"/>
  <c r="AC289" i="10"/>
  <c r="AB289" i="10"/>
  <c r="AA289" i="10"/>
  <c r="Z289" i="10"/>
  <c r="Y289" i="10"/>
  <c r="X289" i="10"/>
  <c r="W289" i="10"/>
  <c r="V289" i="10"/>
  <c r="U289" i="10"/>
  <c r="T289" i="10"/>
  <c r="S289" i="10"/>
  <c r="R289" i="10"/>
  <c r="Q289" i="10"/>
  <c r="P289" i="10"/>
  <c r="O289" i="10"/>
  <c r="N289" i="10"/>
  <c r="M289" i="10"/>
  <c r="L289" i="10"/>
  <c r="K289" i="10"/>
  <c r="J289" i="10"/>
  <c r="I289" i="10"/>
  <c r="H289" i="10"/>
  <c r="G289" i="10"/>
  <c r="F289" i="10"/>
  <c r="AE288" i="10"/>
  <c r="AC288" i="10"/>
  <c r="AB288" i="10"/>
  <c r="AA288" i="10"/>
  <c r="Z288" i="10"/>
  <c r="Y288" i="10"/>
  <c r="X288" i="10"/>
  <c r="W288" i="10"/>
  <c r="V288" i="10"/>
  <c r="U288" i="10"/>
  <c r="T288" i="10"/>
  <c r="S288" i="10"/>
  <c r="R288" i="10"/>
  <c r="Q288" i="10"/>
  <c r="P288" i="10"/>
  <c r="O288" i="10"/>
  <c r="N288" i="10"/>
  <c r="M288" i="10"/>
  <c r="L288" i="10"/>
  <c r="K288" i="10"/>
  <c r="J288" i="10"/>
  <c r="I288" i="10"/>
  <c r="H288" i="10"/>
  <c r="G288" i="10"/>
  <c r="F288" i="10"/>
  <c r="AE287" i="10"/>
  <c r="AC287" i="10"/>
  <c r="AB287" i="10"/>
  <c r="AA287" i="10"/>
  <c r="Z287" i="10"/>
  <c r="Y287" i="10"/>
  <c r="X287" i="10"/>
  <c r="W287" i="10"/>
  <c r="V287" i="10"/>
  <c r="U287" i="10"/>
  <c r="T287" i="10"/>
  <c r="S287" i="10"/>
  <c r="R287" i="10"/>
  <c r="Q287" i="10"/>
  <c r="P287" i="10"/>
  <c r="O287" i="10"/>
  <c r="N287" i="10"/>
  <c r="M287" i="10"/>
  <c r="L287" i="10"/>
  <c r="K287" i="10"/>
  <c r="J287" i="10"/>
  <c r="I287" i="10"/>
  <c r="H287" i="10"/>
  <c r="G287" i="10"/>
  <c r="F287" i="10"/>
  <c r="AE286" i="10"/>
  <c r="AC286" i="10"/>
  <c r="AB286" i="10"/>
  <c r="AA286" i="10"/>
  <c r="Z286" i="10"/>
  <c r="Y286" i="10"/>
  <c r="X286" i="10"/>
  <c r="W286" i="10"/>
  <c r="V286" i="10"/>
  <c r="U286" i="10"/>
  <c r="T286" i="10"/>
  <c r="S286" i="10"/>
  <c r="R286" i="10"/>
  <c r="Q286" i="10"/>
  <c r="P286" i="10"/>
  <c r="O286" i="10"/>
  <c r="N286" i="10"/>
  <c r="M286" i="10"/>
  <c r="L286" i="10"/>
  <c r="K286" i="10"/>
  <c r="J286" i="10"/>
  <c r="I286" i="10"/>
  <c r="H286" i="10"/>
  <c r="G286" i="10"/>
  <c r="F286" i="10"/>
  <c r="AE285" i="10"/>
  <c r="AC285" i="10"/>
  <c r="AB285" i="10"/>
  <c r="AA285" i="10"/>
  <c r="Z285" i="10"/>
  <c r="Y285" i="10"/>
  <c r="X285" i="10"/>
  <c r="W285" i="10"/>
  <c r="V285" i="10"/>
  <c r="U285" i="10"/>
  <c r="T285" i="10"/>
  <c r="S285" i="10"/>
  <c r="R285" i="10"/>
  <c r="Q285" i="10"/>
  <c r="P285" i="10"/>
  <c r="O285" i="10"/>
  <c r="N285" i="10"/>
  <c r="M285" i="10"/>
  <c r="L285" i="10"/>
  <c r="K285" i="10"/>
  <c r="J285" i="10"/>
  <c r="I285" i="10"/>
  <c r="H285" i="10"/>
  <c r="G285" i="10"/>
  <c r="F285" i="10"/>
  <c r="AE284" i="10"/>
  <c r="AC284" i="10"/>
  <c r="AB284" i="10"/>
  <c r="AA284" i="10"/>
  <c r="Z284" i="10"/>
  <c r="Y284" i="10"/>
  <c r="X284" i="10"/>
  <c r="W284" i="10"/>
  <c r="V284" i="10"/>
  <c r="U284" i="10"/>
  <c r="T284" i="10"/>
  <c r="S284" i="10"/>
  <c r="R284" i="10"/>
  <c r="Q284" i="10"/>
  <c r="P284" i="10"/>
  <c r="O284" i="10"/>
  <c r="N284" i="10"/>
  <c r="M284" i="10"/>
  <c r="L284" i="10"/>
  <c r="K284" i="10"/>
  <c r="J284" i="10"/>
  <c r="I284" i="10"/>
  <c r="H284" i="10"/>
  <c r="G284" i="10"/>
  <c r="F284" i="10"/>
  <c r="AE283" i="10"/>
  <c r="AC283" i="10"/>
  <c r="AB283" i="10"/>
  <c r="AA283" i="10"/>
  <c r="Z283" i="10"/>
  <c r="Y283" i="10"/>
  <c r="X283" i="10"/>
  <c r="W283" i="10"/>
  <c r="V283" i="10"/>
  <c r="U283" i="10"/>
  <c r="T283" i="10"/>
  <c r="S283" i="10"/>
  <c r="R283" i="10"/>
  <c r="Q283" i="10"/>
  <c r="P283" i="10"/>
  <c r="O283" i="10"/>
  <c r="N283" i="10"/>
  <c r="M283" i="10"/>
  <c r="L283" i="10"/>
  <c r="K283" i="10"/>
  <c r="J283" i="10"/>
  <c r="I283" i="10"/>
  <c r="H283" i="10"/>
  <c r="G283" i="10"/>
  <c r="F283" i="10"/>
  <c r="AE282" i="10"/>
  <c r="AC282" i="10"/>
  <c r="AB282" i="10"/>
  <c r="AA282" i="10"/>
  <c r="Z282" i="10"/>
  <c r="Y282" i="10"/>
  <c r="X282" i="10"/>
  <c r="W282" i="10"/>
  <c r="V282" i="10"/>
  <c r="U282" i="10"/>
  <c r="T282" i="10"/>
  <c r="S282" i="10"/>
  <c r="R282" i="10"/>
  <c r="Q282" i="10"/>
  <c r="P282" i="10"/>
  <c r="O282" i="10"/>
  <c r="N282" i="10"/>
  <c r="M282" i="10"/>
  <c r="L282" i="10"/>
  <c r="K282" i="10"/>
  <c r="J282" i="10"/>
  <c r="I282" i="10"/>
  <c r="H282" i="10"/>
  <c r="G282" i="10"/>
  <c r="F282" i="10"/>
  <c r="AE281" i="10"/>
  <c r="AC281" i="10"/>
  <c r="AB281" i="10"/>
  <c r="AA281" i="10"/>
  <c r="Z281" i="10"/>
  <c r="Y281" i="10"/>
  <c r="X281" i="10"/>
  <c r="W281" i="10"/>
  <c r="V281" i="10"/>
  <c r="U281" i="10"/>
  <c r="T281" i="10"/>
  <c r="S281" i="10"/>
  <c r="R281" i="10"/>
  <c r="Q281" i="10"/>
  <c r="P281" i="10"/>
  <c r="O281" i="10"/>
  <c r="N281" i="10"/>
  <c r="M281" i="10"/>
  <c r="L281" i="10"/>
  <c r="K281" i="10"/>
  <c r="J281" i="10"/>
  <c r="I281" i="10"/>
  <c r="H281" i="10"/>
  <c r="G281" i="10"/>
  <c r="F281" i="10"/>
  <c r="AE280" i="10"/>
  <c r="AC280" i="10"/>
  <c r="AB280" i="10"/>
  <c r="AA280" i="10"/>
  <c r="Z280" i="10"/>
  <c r="Y280" i="10"/>
  <c r="X280" i="10"/>
  <c r="W280" i="10"/>
  <c r="V280" i="10"/>
  <c r="U280" i="10"/>
  <c r="T280" i="10"/>
  <c r="S280" i="10"/>
  <c r="R280" i="10"/>
  <c r="Q280" i="10"/>
  <c r="P280" i="10"/>
  <c r="O280" i="10"/>
  <c r="N280" i="10"/>
  <c r="M280" i="10"/>
  <c r="L280" i="10"/>
  <c r="K280" i="10"/>
  <c r="J280" i="10"/>
  <c r="I280" i="10"/>
  <c r="H280" i="10"/>
  <c r="G280" i="10"/>
  <c r="F280" i="10"/>
  <c r="AE279" i="10"/>
  <c r="AC279" i="10"/>
  <c r="AB279" i="10"/>
  <c r="AA279" i="10"/>
  <c r="Z279" i="10"/>
  <c r="Y279" i="10"/>
  <c r="X279" i="10"/>
  <c r="W279" i="10"/>
  <c r="V279" i="10"/>
  <c r="U279" i="10"/>
  <c r="T279" i="10"/>
  <c r="S279" i="10"/>
  <c r="R279" i="10"/>
  <c r="Q279" i="10"/>
  <c r="P279" i="10"/>
  <c r="O279" i="10"/>
  <c r="N279" i="10"/>
  <c r="M279" i="10"/>
  <c r="L279" i="10"/>
  <c r="K279" i="10"/>
  <c r="J279" i="10"/>
  <c r="I279" i="10"/>
  <c r="H279" i="10"/>
  <c r="G279" i="10"/>
  <c r="F279" i="10"/>
  <c r="AE278" i="10"/>
  <c r="AC278" i="10"/>
  <c r="AB278" i="10"/>
  <c r="AA278" i="10"/>
  <c r="Z278" i="10"/>
  <c r="Y278" i="10"/>
  <c r="X278" i="10"/>
  <c r="W278" i="10"/>
  <c r="V278" i="10"/>
  <c r="U278" i="10"/>
  <c r="T278" i="10"/>
  <c r="S278" i="10"/>
  <c r="R278" i="10"/>
  <c r="Q278" i="10"/>
  <c r="P278" i="10"/>
  <c r="O278" i="10"/>
  <c r="N278" i="10"/>
  <c r="M278" i="10"/>
  <c r="L278" i="10"/>
  <c r="K278" i="10"/>
  <c r="J278" i="10"/>
  <c r="I278" i="10"/>
  <c r="H278" i="10"/>
  <c r="G278" i="10"/>
  <c r="F278" i="10"/>
  <c r="AE277" i="10"/>
  <c r="AC277" i="10"/>
  <c r="AB277" i="10"/>
  <c r="AA277" i="10"/>
  <c r="Z277" i="10"/>
  <c r="Y277" i="10"/>
  <c r="X277" i="10"/>
  <c r="W277" i="10"/>
  <c r="V277" i="10"/>
  <c r="U277" i="10"/>
  <c r="T277" i="10"/>
  <c r="S277" i="10"/>
  <c r="R277" i="10"/>
  <c r="Q277" i="10"/>
  <c r="P277" i="10"/>
  <c r="O277" i="10"/>
  <c r="N277" i="10"/>
  <c r="M277" i="10"/>
  <c r="L277" i="10"/>
  <c r="K277" i="10"/>
  <c r="J277" i="10"/>
  <c r="I277" i="10"/>
  <c r="H277" i="10"/>
  <c r="G277" i="10"/>
  <c r="F277" i="10"/>
  <c r="AE276" i="10"/>
  <c r="AC276" i="10"/>
  <c r="AB276" i="10"/>
  <c r="AA276" i="10"/>
  <c r="Z276" i="10"/>
  <c r="Y276" i="10"/>
  <c r="X276" i="10"/>
  <c r="W276" i="10"/>
  <c r="V276" i="10"/>
  <c r="U276" i="10"/>
  <c r="T276" i="10"/>
  <c r="S276" i="10"/>
  <c r="R276" i="10"/>
  <c r="Q276" i="10"/>
  <c r="P276" i="10"/>
  <c r="O276" i="10"/>
  <c r="N276" i="10"/>
  <c r="M276" i="10"/>
  <c r="L276" i="10"/>
  <c r="K276" i="10"/>
  <c r="J276" i="10"/>
  <c r="I276" i="10"/>
  <c r="H276" i="10"/>
  <c r="G276" i="10"/>
  <c r="F276" i="10"/>
  <c r="AE275" i="10"/>
  <c r="AC275" i="10"/>
  <c r="AB275" i="10"/>
  <c r="AA275" i="10"/>
  <c r="Z275" i="10"/>
  <c r="Y275" i="10"/>
  <c r="X275" i="10"/>
  <c r="W275" i="10"/>
  <c r="V275" i="10"/>
  <c r="U275" i="10"/>
  <c r="T275" i="10"/>
  <c r="S275" i="10"/>
  <c r="R275" i="10"/>
  <c r="Q275" i="10"/>
  <c r="P275" i="10"/>
  <c r="O275" i="10"/>
  <c r="N275" i="10"/>
  <c r="M275" i="10"/>
  <c r="L275" i="10"/>
  <c r="K275" i="10"/>
  <c r="J275" i="10"/>
  <c r="I275" i="10"/>
  <c r="H275" i="10"/>
  <c r="G275" i="10"/>
  <c r="F275" i="10"/>
  <c r="AE274" i="10"/>
  <c r="AC274" i="10"/>
  <c r="AB274" i="10"/>
  <c r="AA274" i="10"/>
  <c r="Z274" i="10"/>
  <c r="Y274" i="10"/>
  <c r="X274" i="10"/>
  <c r="W274" i="10"/>
  <c r="V274" i="10"/>
  <c r="U274" i="10"/>
  <c r="T274" i="10"/>
  <c r="S274" i="10"/>
  <c r="R274" i="10"/>
  <c r="Q274" i="10"/>
  <c r="P274" i="10"/>
  <c r="O274" i="10"/>
  <c r="N274" i="10"/>
  <c r="M274" i="10"/>
  <c r="L274" i="10"/>
  <c r="K274" i="10"/>
  <c r="J274" i="10"/>
  <c r="I274" i="10"/>
  <c r="H274" i="10"/>
  <c r="G274" i="10"/>
  <c r="F274" i="10"/>
  <c r="AE273" i="10"/>
  <c r="AC273" i="10"/>
  <c r="AB273" i="10"/>
  <c r="AA273" i="10"/>
  <c r="Z273" i="10"/>
  <c r="Y273" i="10"/>
  <c r="X273" i="10"/>
  <c r="W273" i="10"/>
  <c r="V273" i="10"/>
  <c r="U273" i="10"/>
  <c r="T273" i="10"/>
  <c r="S273" i="10"/>
  <c r="R273" i="10"/>
  <c r="Q273" i="10"/>
  <c r="P273" i="10"/>
  <c r="O273" i="10"/>
  <c r="N273" i="10"/>
  <c r="M273" i="10"/>
  <c r="L273" i="10"/>
  <c r="K273" i="10"/>
  <c r="J273" i="10"/>
  <c r="I273" i="10"/>
  <c r="H273" i="10"/>
  <c r="G273" i="10"/>
  <c r="F273" i="10"/>
  <c r="AE272" i="10"/>
  <c r="AC272" i="10"/>
  <c r="AB272" i="10"/>
  <c r="AA272" i="10"/>
  <c r="Z272" i="10"/>
  <c r="Y272" i="10"/>
  <c r="X272" i="10"/>
  <c r="W272" i="10"/>
  <c r="V272" i="10"/>
  <c r="U272" i="10"/>
  <c r="T272" i="10"/>
  <c r="S272" i="10"/>
  <c r="R272" i="10"/>
  <c r="Q272" i="10"/>
  <c r="P272" i="10"/>
  <c r="O272" i="10"/>
  <c r="N272" i="10"/>
  <c r="M272" i="10"/>
  <c r="L272" i="10"/>
  <c r="K272" i="10"/>
  <c r="J272" i="10"/>
  <c r="I272" i="10"/>
  <c r="H272" i="10"/>
  <c r="G272" i="10"/>
  <c r="F272" i="10"/>
  <c r="AE271" i="10"/>
  <c r="AC271" i="10"/>
  <c r="AB271" i="10"/>
  <c r="AA271" i="10"/>
  <c r="Z271" i="10"/>
  <c r="Y271" i="10"/>
  <c r="X271" i="10"/>
  <c r="W271" i="10"/>
  <c r="V271" i="10"/>
  <c r="U271" i="10"/>
  <c r="T271" i="10"/>
  <c r="S271" i="10"/>
  <c r="R271" i="10"/>
  <c r="Q271" i="10"/>
  <c r="P271" i="10"/>
  <c r="O271" i="10"/>
  <c r="N271" i="10"/>
  <c r="M271" i="10"/>
  <c r="L271" i="10"/>
  <c r="K271" i="10"/>
  <c r="J271" i="10"/>
  <c r="I271" i="10"/>
  <c r="H271" i="10"/>
  <c r="G271" i="10"/>
  <c r="F271" i="10"/>
  <c r="AE270" i="10"/>
  <c r="AC270" i="10"/>
  <c r="AB270" i="10"/>
  <c r="AA270" i="10"/>
  <c r="Z270" i="10"/>
  <c r="Y270" i="10"/>
  <c r="X270" i="10"/>
  <c r="W270" i="10"/>
  <c r="V270" i="10"/>
  <c r="U270" i="10"/>
  <c r="T270" i="10"/>
  <c r="S270" i="10"/>
  <c r="R270" i="10"/>
  <c r="Q270" i="10"/>
  <c r="P270" i="10"/>
  <c r="O270" i="10"/>
  <c r="N270" i="10"/>
  <c r="M270" i="10"/>
  <c r="L270" i="10"/>
  <c r="K270" i="10"/>
  <c r="J270" i="10"/>
  <c r="I270" i="10"/>
  <c r="H270" i="10"/>
  <c r="G270" i="10"/>
  <c r="F270" i="10"/>
  <c r="AE269" i="10"/>
  <c r="AC269" i="10"/>
  <c r="AB269" i="10"/>
  <c r="AA269" i="10"/>
  <c r="Z269" i="10"/>
  <c r="Y269" i="10"/>
  <c r="X269" i="10"/>
  <c r="W269" i="10"/>
  <c r="V269" i="10"/>
  <c r="U269" i="10"/>
  <c r="T269" i="10"/>
  <c r="S269" i="10"/>
  <c r="R269" i="10"/>
  <c r="Q269" i="10"/>
  <c r="P269" i="10"/>
  <c r="O269" i="10"/>
  <c r="N269" i="10"/>
  <c r="M269" i="10"/>
  <c r="L269" i="10"/>
  <c r="K269" i="10"/>
  <c r="J269" i="10"/>
  <c r="I269" i="10"/>
  <c r="H269" i="10"/>
  <c r="G269" i="10"/>
  <c r="F269" i="10"/>
  <c r="AE268" i="10"/>
  <c r="AC268" i="10"/>
  <c r="AB268" i="10"/>
  <c r="AA268" i="10"/>
  <c r="Z268" i="10"/>
  <c r="Y268" i="10"/>
  <c r="X268" i="10"/>
  <c r="W268" i="10"/>
  <c r="V268" i="10"/>
  <c r="U268" i="10"/>
  <c r="T268" i="10"/>
  <c r="S268" i="10"/>
  <c r="R268" i="10"/>
  <c r="Q268" i="10"/>
  <c r="P268" i="10"/>
  <c r="O268" i="10"/>
  <c r="N268" i="10"/>
  <c r="M268" i="10"/>
  <c r="L268" i="10"/>
  <c r="K268" i="10"/>
  <c r="J268" i="10"/>
  <c r="I268" i="10"/>
  <c r="H268" i="10"/>
  <c r="G268" i="10"/>
  <c r="F268" i="10"/>
  <c r="AE267" i="10"/>
  <c r="AC267" i="10"/>
  <c r="AB267" i="10"/>
  <c r="AA267" i="10"/>
  <c r="Z267" i="10"/>
  <c r="Y267" i="10"/>
  <c r="X267" i="10"/>
  <c r="W267" i="10"/>
  <c r="V267" i="10"/>
  <c r="U267" i="10"/>
  <c r="T267" i="10"/>
  <c r="S267" i="10"/>
  <c r="R267" i="10"/>
  <c r="Q267" i="10"/>
  <c r="P267" i="10"/>
  <c r="O267" i="10"/>
  <c r="N267" i="10"/>
  <c r="M267" i="10"/>
  <c r="L267" i="10"/>
  <c r="K267" i="10"/>
  <c r="J267" i="10"/>
  <c r="I267" i="10"/>
  <c r="H267" i="10"/>
  <c r="G267" i="10"/>
  <c r="F267" i="10"/>
  <c r="AE266" i="10"/>
  <c r="AC266" i="10"/>
  <c r="AB266" i="10"/>
  <c r="AA266" i="10"/>
  <c r="Z266" i="10"/>
  <c r="Y266" i="10"/>
  <c r="X266" i="10"/>
  <c r="W266" i="10"/>
  <c r="V266" i="10"/>
  <c r="U266" i="10"/>
  <c r="T266" i="10"/>
  <c r="S266" i="10"/>
  <c r="R266" i="10"/>
  <c r="Q266" i="10"/>
  <c r="P266" i="10"/>
  <c r="O266" i="10"/>
  <c r="N266" i="10"/>
  <c r="M266" i="10"/>
  <c r="L266" i="10"/>
  <c r="K266" i="10"/>
  <c r="J266" i="10"/>
  <c r="I266" i="10"/>
  <c r="H266" i="10"/>
  <c r="G266" i="10"/>
  <c r="F266" i="10"/>
  <c r="AE265" i="10"/>
  <c r="AC265" i="10"/>
  <c r="AB265" i="10"/>
  <c r="AA265" i="10"/>
  <c r="Z265" i="10"/>
  <c r="Y265" i="10"/>
  <c r="X265" i="10"/>
  <c r="W265" i="10"/>
  <c r="V265" i="10"/>
  <c r="U265" i="10"/>
  <c r="T265" i="10"/>
  <c r="S265" i="10"/>
  <c r="R265" i="10"/>
  <c r="Q265" i="10"/>
  <c r="P265" i="10"/>
  <c r="O265" i="10"/>
  <c r="N265" i="10"/>
  <c r="M265" i="10"/>
  <c r="L265" i="10"/>
  <c r="K265" i="10"/>
  <c r="J265" i="10"/>
  <c r="I265" i="10"/>
  <c r="H265" i="10"/>
  <c r="G265" i="10"/>
  <c r="F265" i="10"/>
  <c r="AE264" i="10"/>
  <c r="AC264" i="10"/>
  <c r="AB264" i="10"/>
  <c r="AA264" i="10"/>
  <c r="Z264" i="10"/>
  <c r="Y264" i="10"/>
  <c r="X264" i="10"/>
  <c r="W264" i="10"/>
  <c r="V264" i="10"/>
  <c r="U264" i="10"/>
  <c r="T264" i="10"/>
  <c r="S264" i="10"/>
  <c r="R264" i="10"/>
  <c r="Q264" i="10"/>
  <c r="P264" i="10"/>
  <c r="O264" i="10"/>
  <c r="N264" i="10"/>
  <c r="M264" i="10"/>
  <c r="L264" i="10"/>
  <c r="K264" i="10"/>
  <c r="J264" i="10"/>
  <c r="I264" i="10"/>
  <c r="H264" i="10"/>
  <c r="G264" i="10"/>
  <c r="F264" i="10"/>
  <c r="AE263" i="10"/>
  <c r="AC263" i="10"/>
  <c r="AB263" i="10"/>
  <c r="AA263" i="10"/>
  <c r="Z263" i="10"/>
  <c r="Y263" i="10"/>
  <c r="X263" i="10"/>
  <c r="W263" i="10"/>
  <c r="V263" i="10"/>
  <c r="U263" i="10"/>
  <c r="T263" i="10"/>
  <c r="S263" i="10"/>
  <c r="R263" i="10"/>
  <c r="Q263" i="10"/>
  <c r="P263" i="10"/>
  <c r="O263" i="10"/>
  <c r="N263" i="10"/>
  <c r="M263" i="10"/>
  <c r="L263" i="10"/>
  <c r="K263" i="10"/>
  <c r="J263" i="10"/>
  <c r="I263" i="10"/>
  <c r="H263" i="10"/>
  <c r="G263" i="10"/>
  <c r="F263" i="10"/>
  <c r="AE262" i="10"/>
  <c r="AC262" i="10"/>
  <c r="AB262" i="10"/>
  <c r="AA262" i="10"/>
  <c r="Z262" i="10"/>
  <c r="Y262" i="10"/>
  <c r="X262" i="10"/>
  <c r="W262" i="10"/>
  <c r="V262" i="10"/>
  <c r="U262" i="10"/>
  <c r="T262" i="10"/>
  <c r="S262" i="10"/>
  <c r="R262" i="10"/>
  <c r="Q262" i="10"/>
  <c r="P262" i="10"/>
  <c r="O262" i="10"/>
  <c r="N262" i="10"/>
  <c r="M262" i="10"/>
  <c r="L262" i="10"/>
  <c r="K262" i="10"/>
  <c r="J262" i="10"/>
  <c r="I262" i="10"/>
  <c r="H262" i="10"/>
  <c r="G262" i="10"/>
  <c r="F262" i="10"/>
  <c r="AE261" i="10"/>
  <c r="AC261" i="10"/>
  <c r="AB261" i="10"/>
  <c r="AA261" i="10"/>
  <c r="Z261" i="10"/>
  <c r="Y261" i="10"/>
  <c r="X261" i="10"/>
  <c r="W261" i="10"/>
  <c r="V261" i="10"/>
  <c r="U261" i="10"/>
  <c r="T261" i="10"/>
  <c r="S261" i="10"/>
  <c r="R261" i="10"/>
  <c r="Q261" i="10"/>
  <c r="P261" i="10"/>
  <c r="O261" i="10"/>
  <c r="N261" i="10"/>
  <c r="M261" i="10"/>
  <c r="L261" i="10"/>
  <c r="K261" i="10"/>
  <c r="J261" i="10"/>
  <c r="I261" i="10"/>
  <c r="H261" i="10"/>
  <c r="G261" i="10"/>
  <c r="F261" i="10"/>
  <c r="AE260" i="10"/>
  <c r="AC260" i="10"/>
  <c r="AB260" i="10"/>
  <c r="AA260" i="10"/>
  <c r="Z260" i="10"/>
  <c r="Y260" i="10"/>
  <c r="X260" i="10"/>
  <c r="W260" i="10"/>
  <c r="V260" i="10"/>
  <c r="U260" i="10"/>
  <c r="T260" i="10"/>
  <c r="S260" i="10"/>
  <c r="R260" i="10"/>
  <c r="Q260" i="10"/>
  <c r="P260" i="10"/>
  <c r="O260" i="10"/>
  <c r="N260" i="10"/>
  <c r="M260" i="10"/>
  <c r="L260" i="10"/>
  <c r="K260" i="10"/>
  <c r="J260" i="10"/>
  <c r="I260" i="10"/>
  <c r="H260" i="10"/>
  <c r="G260" i="10"/>
  <c r="F260" i="10"/>
  <c r="AE259" i="10"/>
  <c r="AC259" i="10"/>
  <c r="AB259" i="10"/>
  <c r="AA259" i="10"/>
  <c r="Z259" i="10"/>
  <c r="Y259" i="10"/>
  <c r="X259" i="10"/>
  <c r="W259" i="10"/>
  <c r="V259" i="10"/>
  <c r="U259" i="10"/>
  <c r="T259" i="10"/>
  <c r="S259" i="10"/>
  <c r="R259" i="10"/>
  <c r="Q259" i="10"/>
  <c r="P259" i="10"/>
  <c r="O259" i="10"/>
  <c r="N259" i="10"/>
  <c r="M259" i="10"/>
  <c r="L259" i="10"/>
  <c r="K259" i="10"/>
  <c r="J259" i="10"/>
  <c r="I259" i="10"/>
  <c r="H259" i="10"/>
  <c r="G259" i="10"/>
  <c r="F259" i="10"/>
  <c r="AE258" i="10"/>
  <c r="AC258" i="10"/>
  <c r="AB258" i="10"/>
  <c r="AA258" i="10"/>
  <c r="Z258" i="10"/>
  <c r="Y258" i="10"/>
  <c r="X258" i="10"/>
  <c r="W258" i="10"/>
  <c r="V258" i="10"/>
  <c r="U258" i="10"/>
  <c r="T258" i="10"/>
  <c r="S258" i="10"/>
  <c r="R258" i="10"/>
  <c r="Q258" i="10"/>
  <c r="P258" i="10"/>
  <c r="O258" i="10"/>
  <c r="N258" i="10"/>
  <c r="M258" i="10"/>
  <c r="L258" i="10"/>
  <c r="K258" i="10"/>
  <c r="J258" i="10"/>
  <c r="I258" i="10"/>
  <c r="H258" i="10"/>
  <c r="G258" i="10"/>
  <c r="F258" i="10"/>
  <c r="AE257" i="10"/>
  <c r="AC257" i="10"/>
  <c r="AB257" i="10"/>
  <c r="AA257" i="10"/>
  <c r="Z257" i="10"/>
  <c r="Y257" i="10"/>
  <c r="X257" i="10"/>
  <c r="W257" i="10"/>
  <c r="V257" i="10"/>
  <c r="U257" i="10"/>
  <c r="T257" i="10"/>
  <c r="S257" i="10"/>
  <c r="R257" i="10"/>
  <c r="Q257" i="10"/>
  <c r="P257" i="10"/>
  <c r="O257" i="10"/>
  <c r="N257" i="10"/>
  <c r="M257" i="10"/>
  <c r="L257" i="10"/>
  <c r="K257" i="10"/>
  <c r="J257" i="10"/>
  <c r="I257" i="10"/>
  <c r="H257" i="10"/>
  <c r="G257" i="10"/>
  <c r="F257" i="10"/>
  <c r="AE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AE255" i="10"/>
  <c r="AC255" i="10"/>
  <c r="AB255" i="10"/>
  <c r="AA255" i="10"/>
  <c r="Z255" i="10"/>
  <c r="Y255" i="10"/>
  <c r="X255" i="10"/>
  <c r="W255" i="10"/>
  <c r="V255" i="10"/>
  <c r="U255" i="10"/>
  <c r="T255" i="10"/>
  <c r="S255" i="10"/>
  <c r="R255" i="10"/>
  <c r="Q255" i="10"/>
  <c r="P255" i="10"/>
  <c r="O255" i="10"/>
  <c r="N255" i="10"/>
  <c r="M255" i="10"/>
  <c r="L255" i="10"/>
  <c r="K255" i="10"/>
  <c r="J255" i="10"/>
  <c r="I255" i="10"/>
  <c r="H255" i="10"/>
  <c r="G255" i="10"/>
  <c r="F255" i="10"/>
  <c r="AE254" i="10"/>
  <c r="AC254" i="10"/>
  <c r="AB254" i="10"/>
  <c r="AA254" i="10"/>
  <c r="Z254" i="10"/>
  <c r="Y254" i="10"/>
  <c r="X254" i="10"/>
  <c r="W254" i="10"/>
  <c r="V254" i="10"/>
  <c r="U254" i="10"/>
  <c r="T254" i="10"/>
  <c r="S254" i="10"/>
  <c r="R254" i="10"/>
  <c r="Q254" i="10"/>
  <c r="P254" i="10"/>
  <c r="O254" i="10"/>
  <c r="N254" i="10"/>
  <c r="M254" i="10"/>
  <c r="L254" i="10"/>
  <c r="K254" i="10"/>
  <c r="J254" i="10"/>
  <c r="I254" i="10"/>
  <c r="H254" i="10"/>
  <c r="G254" i="10"/>
  <c r="F254" i="10"/>
  <c r="AE253" i="10"/>
  <c r="AC253" i="10"/>
  <c r="AB253" i="10"/>
  <c r="AA253" i="10"/>
  <c r="Z253" i="10"/>
  <c r="Y253" i="10"/>
  <c r="X253" i="10"/>
  <c r="W253" i="10"/>
  <c r="V253" i="10"/>
  <c r="U253" i="10"/>
  <c r="T253" i="10"/>
  <c r="S253" i="10"/>
  <c r="R253" i="10"/>
  <c r="Q253" i="10"/>
  <c r="P253" i="10"/>
  <c r="O253" i="10"/>
  <c r="N253" i="10"/>
  <c r="M253" i="10"/>
  <c r="L253" i="10"/>
  <c r="K253" i="10"/>
  <c r="J253" i="10"/>
  <c r="I253" i="10"/>
  <c r="H253" i="10"/>
  <c r="G253" i="10"/>
  <c r="F253" i="10"/>
  <c r="AE252" i="10"/>
  <c r="AC252" i="10"/>
  <c r="AB252" i="10"/>
  <c r="AA252" i="10"/>
  <c r="Z252" i="10"/>
  <c r="Y252" i="10"/>
  <c r="X252" i="10"/>
  <c r="W252" i="10"/>
  <c r="V252" i="10"/>
  <c r="U252" i="10"/>
  <c r="T252" i="10"/>
  <c r="S252" i="10"/>
  <c r="R252" i="10"/>
  <c r="Q252" i="10"/>
  <c r="P252" i="10"/>
  <c r="O252" i="10"/>
  <c r="N252" i="10"/>
  <c r="M252" i="10"/>
  <c r="L252" i="10"/>
  <c r="K252" i="10"/>
  <c r="J252" i="10"/>
  <c r="I252" i="10"/>
  <c r="H252" i="10"/>
  <c r="G252" i="10"/>
  <c r="F252" i="10"/>
  <c r="AE251" i="10"/>
  <c r="AC251" i="10"/>
  <c r="AB251" i="10"/>
  <c r="AA251" i="10"/>
  <c r="Z251" i="10"/>
  <c r="Y251" i="10"/>
  <c r="X251" i="10"/>
  <c r="W251" i="10"/>
  <c r="V251" i="10"/>
  <c r="U251" i="10"/>
  <c r="T251" i="10"/>
  <c r="S251" i="10"/>
  <c r="R251" i="10"/>
  <c r="Q251" i="10"/>
  <c r="P251" i="10"/>
  <c r="O251" i="10"/>
  <c r="N251" i="10"/>
  <c r="M251" i="10"/>
  <c r="L251" i="10"/>
  <c r="K251" i="10"/>
  <c r="J251" i="10"/>
  <c r="I251" i="10"/>
  <c r="H251" i="10"/>
  <c r="G251" i="10"/>
  <c r="F251" i="10"/>
  <c r="AE250" i="10"/>
  <c r="AC250" i="10"/>
  <c r="AB250" i="10"/>
  <c r="AA250" i="10"/>
  <c r="Z250" i="10"/>
  <c r="Y250" i="10"/>
  <c r="X250" i="10"/>
  <c r="W250" i="10"/>
  <c r="V250" i="10"/>
  <c r="U250" i="10"/>
  <c r="T250" i="10"/>
  <c r="S250" i="10"/>
  <c r="R250" i="10"/>
  <c r="Q250" i="10"/>
  <c r="P250" i="10"/>
  <c r="O250" i="10"/>
  <c r="N250" i="10"/>
  <c r="M250" i="10"/>
  <c r="L250" i="10"/>
  <c r="K250" i="10"/>
  <c r="J250" i="10"/>
  <c r="I250" i="10"/>
  <c r="H250" i="10"/>
  <c r="G250" i="10"/>
  <c r="F250" i="10"/>
  <c r="AE249" i="10"/>
  <c r="AC249" i="10"/>
  <c r="AB249" i="10"/>
  <c r="AA249" i="10"/>
  <c r="Z249" i="10"/>
  <c r="Y249" i="10"/>
  <c r="X249" i="10"/>
  <c r="W249" i="10"/>
  <c r="V249" i="10"/>
  <c r="U249" i="10"/>
  <c r="T249" i="10"/>
  <c r="S249" i="10"/>
  <c r="R249" i="10"/>
  <c r="Q249" i="10"/>
  <c r="P249" i="10"/>
  <c r="O249" i="10"/>
  <c r="N249" i="10"/>
  <c r="M249" i="10"/>
  <c r="L249" i="10"/>
  <c r="K249" i="10"/>
  <c r="J249" i="10"/>
  <c r="I249" i="10"/>
  <c r="H249" i="10"/>
  <c r="G249" i="10"/>
  <c r="F249" i="10"/>
  <c r="AE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AE247" i="10"/>
  <c r="AC247" i="10"/>
  <c r="AB247" i="10"/>
  <c r="AA247" i="10"/>
  <c r="Z247" i="10"/>
  <c r="Y247" i="10"/>
  <c r="X247" i="10"/>
  <c r="W247" i="10"/>
  <c r="V247" i="10"/>
  <c r="U247" i="10"/>
  <c r="T247" i="10"/>
  <c r="S247" i="10"/>
  <c r="R247" i="10"/>
  <c r="Q247" i="10"/>
  <c r="P247" i="10"/>
  <c r="O247" i="10"/>
  <c r="N247" i="10"/>
  <c r="M247" i="10"/>
  <c r="L247" i="10"/>
  <c r="K247" i="10"/>
  <c r="J247" i="10"/>
  <c r="I247" i="10"/>
  <c r="H247" i="10"/>
  <c r="G247" i="10"/>
  <c r="F247" i="10"/>
  <c r="AE246" i="10"/>
  <c r="AC246" i="10"/>
  <c r="AB246" i="10"/>
  <c r="AA246" i="10"/>
  <c r="Z246" i="10"/>
  <c r="Y246" i="10"/>
  <c r="X246" i="10"/>
  <c r="W246" i="10"/>
  <c r="V246" i="10"/>
  <c r="U246" i="10"/>
  <c r="T246" i="10"/>
  <c r="S246" i="10"/>
  <c r="R246" i="10"/>
  <c r="Q246" i="10"/>
  <c r="P246" i="10"/>
  <c r="O246" i="10"/>
  <c r="N246" i="10"/>
  <c r="M246" i="10"/>
  <c r="L246" i="10"/>
  <c r="K246" i="10"/>
  <c r="J246" i="10"/>
  <c r="I246" i="10"/>
  <c r="H246" i="10"/>
  <c r="G246" i="10"/>
  <c r="F246" i="10"/>
  <c r="AE245" i="10"/>
  <c r="AC245" i="10"/>
  <c r="AB245" i="10"/>
  <c r="AA245" i="10"/>
  <c r="Z245" i="10"/>
  <c r="Y245" i="10"/>
  <c r="X245" i="10"/>
  <c r="W245" i="10"/>
  <c r="V245" i="10"/>
  <c r="U245" i="10"/>
  <c r="T245" i="10"/>
  <c r="S245" i="10"/>
  <c r="R245" i="10"/>
  <c r="Q245" i="10"/>
  <c r="P245" i="10"/>
  <c r="O245" i="10"/>
  <c r="N245" i="10"/>
  <c r="M245" i="10"/>
  <c r="L245" i="10"/>
  <c r="K245" i="10"/>
  <c r="J245" i="10"/>
  <c r="I245" i="10"/>
  <c r="H245" i="10"/>
  <c r="G245" i="10"/>
  <c r="F245" i="10"/>
  <c r="AE244" i="10"/>
  <c r="AC244" i="10"/>
  <c r="AB244" i="10"/>
  <c r="AA244" i="10"/>
  <c r="Z244" i="10"/>
  <c r="Y244" i="10"/>
  <c r="X244" i="10"/>
  <c r="W244" i="10"/>
  <c r="V244" i="10"/>
  <c r="U244" i="10"/>
  <c r="T244" i="10"/>
  <c r="S244" i="10"/>
  <c r="R244" i="10"/>
  <c r="Q244" i="10"/>
  <c r="P244" i="10"/>
  <c r="O244" i="10"/>
  <c r="N244" i="10"/>
  <c r="M244" i="10"/>
  <c r="L244" i="10"/>
  <c r="K244" i="10"/>
  <c r="J244" i="10"/>
  <c r="I244" i="10"/>
  <c r="H244" i="10"/>
  <c r="G244" i="10"/>
  <c r="F244" i="10"/>
  <c r="AE243" i="10"/>
  <c r="AC243" i="10"/>
  <c r="AB243" i="10"/>
  <c r="AA243" i="10"/>
  <c r="Z243" i="10"/>
  <c r="Y243" i="10"/>
  <c r="X243" i="10"/>
  <c r="W243" i="10"/>
  <c r="V243" i="10"/>
  <c r="U243" i="10"/>
  <c r="T243" i="10"/>
  <c r="S243" i="10"/>
  <c r="R243" i="10"/>
  <c r="Q243" i="10"/>
  <c r="P243" i="10"/>
  <c r="O243" i="10"/>
  <c r="N243" i="10"/>
  <c r="M243" i="10"/>
  <c r="L243" i="10"/>
  <c r="K243" i="10"/>
  <c r="J243" i="10"/>
  <c r="I243" i="10"/>
  <c r="H243" i="10"/>
  <c r="G243" i="10"/>
  <c r="F243" i="10"/>
  <c r="AE242" i="10"/>
  <c r="AC242" i="10"/>
  <c r="AB242" i="10"/>
  <c r="AA242" i="10"/>
  <c r="Z242" i="10"/>
  <c r="Y242" i="10"/>
  <c r="X242" i="10"/>
  <c r="W242" i="10"/>
  <c r="V242" i="10"/>
  <c r="U242" i="10"/>
  <c r="T242" i="10"/>
  <c r="S242" i="10"/>
  <c r="R242" i="10"/>
  <c r="Q242" i="10"/>
  <c r="P242" i="10"/>
  <c r="O242" i="10"/>
  <c r="N242" i="10"/>
  <c r="M242" i="10"/>
  <c r="L242" i="10"/>
  <c r="K242" i="10"/>
  <c r="J242" i="10"/>
  <c r="I242" i="10"/>
  <c r="H242" i="10"/>
  <c r="G242" i="10"/>
  <c r="F242" i="10"/>
  <c r="AE241" i="10"/>
  <c r="AC241" i="10"/>
  <c r="AB241" i="10"/>
  <c r="AA241" i="10"/>
  <c r="Z241" i="10"/>
  <c r="Y241" i="10"/>
  <c r="X241" i="10"/>
  <c r="W241" i="10"/>
  <c r="V241" i="10"/>
  <c r="U241" i="10"/>
  <c r="T241" i="10"/>
  <c r="S241" i="10"/>
  <c r="R241" i="10"/>
  <c r="Q241" i="10"/>
  <c r="P241" i="10"/>
  <c r="O241" i="10"/>
  <c r="N241" i="10"/>
  <c r="M241" i="10"/>
  <c r="L241" i="10"/>
  <c r="K241" i="10"/>
  <c r="J241" i="10"/>
  <c r="I241" i="10"/>
  <c r="H241" i="10"/>
  <c r="G241" i="10"/>
  <c r="F241" i="10"/>
  <c r="AE240" i="10"/>
  <c r="AC240" i="10"/>
  <c r="AB240" i="10"/>
  <c r="AA240" i="10"/>
  <c r="Z240" i="10"/>
  <c r="Y240" i="10"/>
  <c r="X240" i="10"/>
  <c r="W240" i="10"/>
  <c r="V240" i="10"/>
  <c r="U240" i="10"/>
  <c r="T240" i="10"/>
  <c r="S240" i="10"/>
  <c r="R240" i="10"/>
  <c r="Q240" i="10"/>
  <c r="P240" i="10"/>
  <c r="O240" i="10"/>
  <c r="N240" i="10"/>
  <c r="M240" i="10"/>
  <c r="L240" i="10"/>
  <c r="K240" i="10"/>
  <c r="J240" i="10"/>
  <c r="I240" i="10"/>
  <c r="H240" i="10"/>
  <c r="G240" i="10"/>
  <c r="F240" i="10"/>
  <c r="AE239" i="10"/>
  <c r="AC239" i="10"/>
  <c r="AB239" i="10"/>
  <c r="AA239" i="10"/>
  <c r="Z239" i="10"/>
  <c r="Y239" i="10"/>
  <c r="X239" i="10"/>
  <c r="W239" i="10"/>
  <c r="V239" i="10"/>
  <c r="U239" i="10"/>
  <c r="T239" i="10"/>
  <c r="S239" i="10"/>
  <c r="R239" i="10"/>
  <c r="Q239" i="10"/>
  <c r="P239" i="10"/>
  <c r="O239" i="10"/>
  <c r="N239" i="10"/>
  <c r="M239" i="10"/>
  <c r="L239" i="10"/>
  <c r="K239" i="10"/>
  <c r="J239" i="10"/>
  <c r="I239" i="10"/>
  <c r="H239" i="10"/>
  <c r="G239" i="10"/>
  <c r="F239" i="10"/>
  <c r="AE238" i="10"/>
  <c r="AC238" i="10"/>
  <c r="AB238" i="10"/>
  <c r="AA238" i="10"/>
  <c r="Z238" i="10"/>
  <c r="Y238" i="10"/>
  <c r="X238" i="10"/>
  <c r="W238" i="10"/>
  <c r="V238" i="10"/>
  <c r="U238" i="10"/>
  <c r="T238" i="10"/>
  <c r="S238" i="10"/>
  <c r="R238" i="10"/>
  <c r="Q238" i="10"/>
  <c r="P238" i="10"/>
  <c r="O238" i="10"/>
  <c r="N238" i="10"/>
  <c r="M238" i="10"/>
  <c r="L238" i="10"/>
  <c r="K238" i="10"/>
  <c r="J238" i="10"/>
  <c r="I238" i="10"/>
  <c r="H238" i="10"/>
  <c r="G238" i="10"/>
  <c r="F238" i="10"/>
  <c r="AE237" i="10"/>
  <c r="AC237" i="10"/>
  <c r="AB237" i="10"/>
  <c r="AA237" i="10"/>
  <c r="Z237" i="10"/>
  <c r="Y237" i="10"/>
  <c r="X237" i="10"/>
  <c r="W237" i="10"/>
  <c r="V237" i="10"/>
  <c r="U237" i="10"/>
  <c r="T237" i="10"/>
  <c r="S237" i="10"/>
  <c r="R237" i="10"/>
  <c r="Q237" i="10"/>
  <c r="P237" i="10"/>
  <c r="O237" i="10"/>
  <c r="N237" i="10"/>
  <c r="M237" i="10"/>
  <c r="L237" i="10"/>
  <c r="K237" i="10"/>
  <c r="J237" i="10"/>
  <c r="I237" i="10"/>
  <c r="H237" i="10"/>
  <c r="G237" i="10"/>
  <c r="F237" i="10"/>
  <c r="AE236" i="10"/>
  <c r="AC236" i="10"/>
  <c r="AB236" i="10"/>
  <c r="AA236" i="10"/>
  <c r="Z236" i="10"/>
  <c r="Y236" i="10"/>
  <c r="X236" i="10"/>
  <c r="W236" i="10"/>
  <c r="V236" i="10"/>
  <c r="U236" i="10"/>
  <c r="T236" i="10"/>
  <c r="S236" i="10"/>
  <c r="R236" i="10"/>
  <c r="Q236" i="10"/>
  <c r="P236" i="10"/>
  <c r="O236" i="10"/>
  <c r="N236" i="10"/>
  <c r="M236" i="10"/>
  <c r="L236" i="10"/>
  <c r="K236" i="10"/>
  <c r="J236" i="10"/>
  <c r="I236" i="10"/>
  <c r="H236" i="10"/>
  <c r="G236" i="10"/>
  <c r="F236" i="10"/>
  <c r="AE235" i="10"/>
  <c r="AC235" i="10"/>
  <c r="AB235" i="10"/>
  <c r="AA235" i="10"/>
  <c r="Z235" i="10"/>
  <c r="Y235" i="10"/>
  <c r="X235" i="10"/>
  <c r="W235" i="10"/>
  <c r="V235" i="10"/>
  <c r="U235" i="10"/>
  <c r="T235" i="10"/>
  <c r="S235" i="10"/>
  <c r="R235" i="10"/>
  <c r="Q235" i="10"/>
  <c r="P235" i="10"/>
  <c r="O235" i="10"/>
  <c r="N235" i="10"/>
  <c r="M235" i="10"/>
  <c r="L235" i="10"/>
  <c r="K235" i="10"/>
  <c r="J235" i="10"/>
  <c r="I235" i="10"/>
  <c r="H235" i="10"/>
  <c r="G235" i="10"/>
  <c r="F235" i="10"/>
  <c r="AE234" i="10"/>
  <c r="AC234" i="10"/>
  <c r="AB234" i="10"/>
  <c r="AA234" i="10"/>
  <c r="Z234" i="10"/>
  <c r="Y234" i="10"/>
  <c r="X234" i="10"/>
  <c r="W234" i="10"/>
  <c r="V234" i="10"/>
  <c r="U234" i="10"/>
  <c r="T234" i="10"/>
  <c r="S234" i="10"/>
  <c r="R234" i="10"/>
  <c r="Q234" i="10"/>
  <c r="P234" i="10"/>
  <c r="O234" i="10"/>
  <c r="N234" i="10"/>
  <c r="M234" i="10"/>
  <c r="L234" i="10"/>
  <c r="K234" i="10"/>
  <c r="J234" i="10"/>
  <c r="I234" i="10"/>
  <c r="H234" i="10"/>
  <c r="G234" i="10"/>
  <c r="F234" i="10"/>
  <c r="AE233" i="10"/>
  <c r="AC233" i="10"/>
  <c r="AB233" i="10"/>
  <c r="AA233" i="10"/>
  <c r="Z233" i="10"/>
  <c r="Y233" i="10"/>
  <c r="X233" i="10"/>
  <c r="W233" i="10"/>
  <c r="V233" i="10"/>
  <c r="U233" i="10"/>
  <c r="T233" i="10"/>
  <c r="S233" i="10"/>
  <c r="R233" i="10"/>
  <c r="Q233" i="10"/>
  <c r="P233" i="10"/>
  <c r="O233" i="10"/>
  <c r="N233" i="10"/>
  <c r="M233" i="10"/>
  <c r="L233" i="10"/>
  <c r="K233" i="10"/>
  <c r="J233" i="10"/>
  <c r="I233" i="10"/>
  <c r="H233" i="10"/>
  <c r="G233" i="10"/>
  <c r="F233" i="10"/>
  <c r="AE232" i="10"/>
  <c r="AC232" i="10"/>
  <c r="AB232" i="10"/>
  <c r="AA232" i="10"/>
  <c r="Z232" i="10"/>
  <c r="Y232" i="10"/>
  <c r="X232" i="10"/>
  <c r="W232" i="10"/>
  <c r="V232" i="10"/>
  <c r="U232" i="10"/>
  <c r="T232" i="10"/>
  <c r="S232" i="10"/>
  <c r="R232" i="10"/>
  <c r="Q232" i="10"/>
  <c r="P232" i="10"/>
  <c r="O232" i="10"/>
  <c r="N232" i="10"/>
  <c r="M232" i="10"/>
  <c r="L232" i="10"/>
  <c r="K232" i="10"/>
  <c r="J232" i="10"/>
  <c r="I232" i="10"/>
  <c r="H232" i="10"/>
  <c r="G232" i="10"/>
  <c r="F232" i="10"/>
  <c r="AE231" i="10"/>
  <c r="AC231" i="10"/>
  <c r="AB231" i="10"/>
  <c r="AA231" i="10"/>
  <c r="Z231" i="10"/>
  <c r="Y231" i="10"/>
  <c r="X231" i="10"/>
  <c r="W231" i="10"/>
  <c r="V231" i="10"/>
  <c r="U231" i="10"/>
  <c r="T231" i="10"/>
  <c r="S231" i="10"/>
  <c r="R231" i="10"/>
  <c r="Q231" i="10"/>
  <c r="P231" i="10"/>
  <c r="O231" i="10"/>
  <c r="N231" i="10"/>
  <c r="M231" i="10"/>
  <c r="L231" i="10"/>
  <c r="K231" i="10"/>
  <c r="J231" i="10"/>
  <c r="I231" i="10"/>
  <c r="H231" i="10"/>
  <c r="G231" i="10"/>
  <c r="F231" i="10"/>
  <c r="AE230" i="10"/>
  <c r="AC230" i="10"/>
  <c r="AB230" i="10"/>
  <c r="AA230" i="10"/>
  <c r="Z230" i="10"/>
  <c r="Y230" i="10"/>
  <c r="X230" i="10"/>
  <c r="W230" i="10"/>
  <c r="V230" i="10"/>
  <c r="U230" i="10"/>
  <c r="T230" i="10"/>
  <c r="S230" i="10"/>
  <c r="R230" i="10"/>
  <c r="Q230" i="10"/>
  <c r="P230" i="10"/>
  <c r="O230" i="10"/>
  <c r="N230" i="10"/>
  <c r="M230" i="10"/>
  <c r="L230" i="10"/>
  <c r="K230" i="10"/>
  <c r="J230" i="10"/>
  <c r="I230" i="10"/>
  <c r="H230" i="10"/>
  <c r="G230" i="10"/>
  <c r="F230" i="10"/>
  <c r="AE229" i="10"/>
  <c r="AC229" i="10"/>
  <c r="AB229" i="10"/>
  <c r="AA229" i="10"/>
  <c r="Z229" i="10"/>
  <c r="Y229" i="10"/>
  <c r="X229" i="10"/>
  <c r="W229" i="10"/>
  <c r="V229" i="10"/>
  <c r="U229" i="10"/>
  <c r="T229" i="10"/>
  <c r="S229" i="10"/>
  <c r="R229" i="10"/>
  <c r="Q229" i="10"/>
  <c r="P229" i="10"/>
  <c r="O229" i="10"/>
  <c r="N229" i="10"/>
  <c r="M229" i="10"/>
  <c r="L229" i="10"/>
  <c r="K229" i="10"/>
  <c r="J229" i="10"/>
  <c r="I229" i="10"/>
  <c r="H229" i="10"/>
  <c r="G229" i="10"/>
  <c r="F229" i="10"/>
  <c r="AE228" i="10"/>
  <c r="AC228" i="10"/>
  <c r="AB228" i="10"/>
  <c r="AA228" i="10"/>
  <c r="Z228" i="10"/>
  <c r="Y228" i="10"/>
  <c r="X228" i="10"/>
  <c r="W228" i="10"/>
  <c r="V228" i="10"/>
  <c r="U228" i="10"/>
  <c r="T228" i="10"/>
  <c r="S228" i="10"/>
  <c r="R228" i="10"/>
  <c r="Q228" i="10"/>
  <c r="P228" i="10"/>
  <c r="O228" i="10"/>
  <c r="N228" i="10"/>
  <c r="M228" i="10"/>
  <c r="L228" i="10"/>
  <c r="K228" i="10"/>
  <c r="J228" i="10"/>
  <c r="I228" i="10"/>
  <c r="H228" i="10"/>
  <c r="G228" i="10"/>
  <c r="F228" i="10"/>
  <c r="AE227" i="10"/>
  <c r="AC227" i="10"/>
  <c r="AB227" i="10"/>
  <c r="AA227" i="10"/>
  <c r="Z227" i="10"/>
  <c r="Y227" i="10"/>
  <c r="X227" i="10"/>
  <c r="W227" i="10"/>
  <c r="V227" i="10"/>
  <c r="U227" i="10"/>
  <c r="T227" i="10"/>
  <c r="S227" i="10"/>
  <c r="R227" i="10"/>
  <c r="Q227" i="10"/>
  <c r="P227" i="10"/>
  <c r="O227" i="10"/>
  <c r="N227" i="10"/>
  <c r="M227" i="10"/>
  <c r="L227" i="10"/>
  <c r="K227" i="10"/>
  <c r="J227" i="10"/>
  <c r="I227" i="10"/>
  <c r="H227" i="10"/>
  <c r="G227" i="10"/>
  <c r="F227" i="10"/>
  <c r="AE226" i="10"/>
  <c r="AC226" i="10"/>
  <c r="AB226" i="10"/>
  <c r="AA226" i="10"/>
  <c r="Z226" i="10"/>
  <c r="Y226" i="10"/>
  <c r="X226" i="10"/>
  <c r="W226" i="10"/>
  <c r="V226" i="10"/>
  <c r="U226" i="10"/>
  <c r="T226" i="10"/>
  <c r="S226" i="10"/>
  <c r="R226" i="10"/>
  <c r="Q226" i="10"/>
  <c r="P226" i="10"/>
  <c r="O226" i="10"/>
  <c r="N226" i="10"/>
  <c r="M226" i="10"/>
  <c r="L226" i="10"/>
  <c r="K226" i="10"/>
  <c r="J226" i="10"/>
  <c r="I226" i="10"/>
  <c r="H226" i="10"/>
  <c r="G226" i="10"/>
  <c r="F226" i="10"/>
  <c r="AE225" i="10"/>
  <c r="AC225" i="10"/>
  <c r="AB225" i="10"/>
  <c r="AA225" i="10"/>
  <c r="Z225" i="10"/>
  <c r="Y225" i="10"/>
  <c r="X225" i="10"/>
  <c r="W225" i="10"/>
  <c r="V225" i="10"/>
  <c r="U225" i="10"/>
  <c r="T225" i="10"/>
  <c r="S225" i="10"/>
  <c r="R225" i="10"/>
  <c r="Q225" i="10"/>
  <c r="P225" i="10"/>
  <c r="O225" i="10"/>
  <c r="N225" i="10"/>
  <c r="M225" i="10"/>
  <c r="L225" i="10"/>
  <c r="K225" i="10"/>
  <c r="J225" i="10"/>
  <c r="I225" i="10"/>
  <c r="H225" i="10"/>
  <c r="G225" i="10"/>
  <c r="F225" i="10"/>
  <c r="AE224" i="10"/>
  <c r="AC224" i="10"/>
  <c r="AB224" i="10"/>
  <c r="AA224" i="10"/>
  <c r="Z224" i="10"/>
  <c r="Y224" i="10"/>
  <c r="X224" i="10"/>
  <c r="W224" i="10"/>
  <c r="V224" i="10"/>
  <c r="U224" i="10"/>
  <c r="T224" i="10"/>
  <c r="S224" i="10"/>
  <c r="R224" i="10"/>
  <c r="Q224" i="10"/>
  <c r="P224" i="10"/>
  <c r="O224" i="10"/>
  <c r="N224" i="10"/>
  <c r="M224" i="10"/>
  <c r="L224" i="10"/>
  <c r="K224" i="10"/>
  <c r="J224" i="10"/>
  <c r="I224" i="10"/>
  <c r="H224" i="10"/>
  <c r="G224" i="10"/>
  <c r="F224" i="10"/>
  <c r="AE223" i="10"/>
  <c r="AC223" i="10"/>
  <c r="AB223" i="10"/>
  <c r="AA223" i="10"/>
  <c r="Z223" i="10"/>
  <c r="Y223" i="10"/>
  <c r="X223" i="10"/>
  <c r="W223" i="10"/>
  <c r="V223" i="10"/>
  <c r="U223" i="10"/>
  <c r="T223" i="10"/>
  <c r="S223" i="10"/>
  <c r="R223" i="10"/>
  <c r="Q223" i="10"/>
  <c r="P223" i="10"/>
  <c r="O223" i="10"/>
  <c r="N223" i="10"/>
  <c r="M223" i="10"/>
  <c r="L223" i="10"/>
  <c r="K223" i="10"/>
  <c r="J223" i="10"/>
  <c r="I223" i="10"/>
  <c r="H223" i="10"/>
  <c r="G223" i="10"/>
  <c r="F223" i="10"/>
  <c r="AE222" i="10"/>
  <c r="AC222" i="10"/>
  <c r="AB222" i="10"/>
  <c r="AA222" i="10"/>
  <c r="Z222" i="10"/>
  <c r="Y222" i="10"/>
  <c r="X222" i="10"/>
  <c r="W222" i="10"/>
  <c r="V222" i="10"/>
  <c r="U222" i="10"/>
  <c r="T222" i="10"/>
  <c r="S222" i="10"/>
  <c r="R222" i="10"/>
  <c r="Q222" i="10"/>
  <c r="P222" i="10"/>
  <c r="O222" i="10"/>
  <c r="N222" i="10"/>
  <c r="M222" i="10"/>
  <c r="L222" i="10"/>
  <c r="K222" i="10"/>
  <c r="J222" i="10"/>
  <c r="I222" i="10"/>
  <c r="H222" i="10"/>
  <c r="G222" i="10"/>
  <c r="F222" i="10"/>
  <c r="AE221" i="10"/>
  <c r="AC221" i="10"/>
  <c r="AB221" i="10"/>
  <c r="AA221" i="10"/>
  <c r="Z221" i="10"/>
  <c r="Y221" i="10"/>
  <c r="X221" i="10"/>
  <c r="W221" i="10"/>
  <c r="V221" i="10"/>
  <c r="U221" i="10"/>
  <c r="T221" i="10"/>
  <c r="S221" i="10"/>
  <c r="R221" i="10"/>
  <c r="Q221" i="10"/>
  <c r="P221" i="10"/>
  <c r="O221" i="10"/>
  <c r="N221" i="10"/>
  <c r="M221" i="10"/>
  <c r="L221" i="10"/>
  <c r="K221" i="10"/>
  <c r="J221" i="10"/>
  <c r="I221" i="10"/>
  <c r="H221" i="10"/>
  <c r="G221" i="10"/>
  <c r="F221" i="10"/>
  <c r="AE220" i="10"/>
  <c r="AC220" i="10"/>
  <c r="AB220" i="10"/>
  <c r="AA220" i="10"/>
  <c r="Z220" i="10"/>
  <c r="Y220" i="10"/>
  <c r="X220" i="10"/>
  <c r="W220" i="10"/>
  <c r="V220" i="10"/>
  <c r="U220" i="10"/>
  <c r="T220" i="10"/>
  <c r="S220" i="10"/>
  <c r="R220" i="10"/>
  <c r="Q220" i="10"/>
  <c r="P220" i="10"/>
  <c r="O220" i="10"/>
  <c r="N220" i="10"/>
  <c r="M220" i="10"/>
  <c r="L220" i="10"/>
  <c r="K220" i="10"/>
  <c r="J220" i="10"/>
  <c r="I220" i="10"/>
  <c r="H220" i="10"/>
  <c r="G220" i="10"/>
  <c r="F220" i="10"/>
  <c r="AE219" i="10"/>
  <c r="AC219" i="10"/>
  <c r="AB219" i="10"/>
  <c r="AA219" i="10"/>
  <c r="Z219" i="10"/>
  <c r="Y219" i="10"/>
  <c r="X219" i="10"/>
  <c r="W219" i="10"/>
  <c r="V219" i="10"/>
  <c r="U219" i="10"/>
  <c r="T219" i="10"/>
  <c r="S219" i="10"/>
  <c r="R219" i="10"/>
  <c r="Q219" i="10"/>
  <c r="P219" i="10"/>
  <c r="O219" i="10"/>
  <c r="N219" i="10"/>
  <c r="M219" i="10"/>
  <c r="L219" i="10"/>
  <c r="K219" i="10"/>
  <c r="J219" i="10"/>
  <c r="I219" i="10"/>
  <c r="H219" i="10"/>
  <c r="G219" i="10"/>
  <c r="F219" i="10"/>
  <c r="AE218" i="10"/>
  <c r="AC218" i="10"/>
  <c r="AB218" i="10"/>
  <c r="AA218" i="10"/>
  <c r="Z218" i="10"/>
  <c r="Y218" i="10"/>
  <c r="X218" i="10"/>
  <c r="W218" i="10"/>
  <c r="V218" i="10"/>
  <c r="U218" i="10"/>
  <c r="T218" i="10"/>
  <c r="S218" i="10"/>
  <c r="R218" i="10"/>
  <c r="Q218" i="10"/>
  <c r="P218" i="10"/>
  <c r="O218" i="10"/>
  <c r="N218" i="10"/>
  <c r="M218" i="10"/>
  <c r="L218" i="10"/>
  <c r="K218" i="10"/>
  <c r="J218" i="10"/>
  <c r="I218" i="10"/>
  <c r="H218" i="10"/>
  <c r="G218" i="10"/>
  <c r="F218" i="10"/>
  <c r="AE217" i="10"/>
  <c r="AC217" i="10"/>
  <c r="AB217" i="10"/>
  <c r="AA217" i="10"/>
  <c r="Z217" i="10"/>
  <c r="Y217" i="10"/>
  <c r="X217" i="10"/>
  <c r="W217" i="10"/>
  <c r="V217" i="10"/>
  <c r="U217" i="10"/>
  <c r="T217" i="10"/>
  <c r="S217" i="10"/>
  <c r="R217" i="10"/>
  <c r="Q217" i="10"/>
  <c r="P217" i="10"/>
  <c r="O217" i="10"/>
  <c r="N217" i="10"/>
  <c r="M217" i="10"/>
  <c r="L217" i="10"/>
  <c r="K217" i="10"/>
  <c r="J217" i="10"/>
  <c r="I217" i="10"/>
  <c r="H217" i="10"/>
  <c r="G217" i="10"/>
  <c r="F217" i="10"/>
  <c r="AE216" i="10"/>
  <c r="AC216" i="10"/>
  <c r="AB216" i="10"/>
  <c r="AA216" i="10"/>
  <c r="Z216" i="10"/>
  <c r="Y216" i="10"/>
  <c r="X216" i="10"/>
  <c r="W216" i="10"/>
  <c r="V216" i="10"/>
  <c r="U216" i="10"/>
  <c r="T216" i="10"/>
  <c r="S216" i="10"/>
  <c r="R216" i="10"/>
  <c r="Q216" i="10"/>
  <c r="P216" i="10"/>
  <c r="O216" i="10"/>
  <c r="N216" i="10"/>
  <c r="M216" i="10"/>
  <c r="L216" i="10"/>
  <c r="K216" i="10"/>
  <c r="J216" i="10"/>
  <c r="I216" i="10"/>
  <c r="H216" i="10"/>
  <c r="G216" i="10"/>
  <c r="F216" i="10"/>
  <c r="AE215" i="10"/>
  <c r="AC215" i="10"/>
  <c r="AB215" i="10"/>
  <c r="AA215" i="10"/>
  <c r="Z215" i="10"/>
  <c r="Y215" i="10"/>
  <c r="X215" i="10"/>
  <c r="W215" i="10"/>
  <c r="V215" i="10"/>
  <c r="U215" i="10"/>
  <c r="T215" i="10"/>
  <c r="S215" i="10"/>
  <c r="R215" i="10"/>
  <c r="Q215" i="10"/>
  <c r="P215" i="10"/>
  <c r="O215" i="10"/>
  <c r="N215" i="10"/>
  <c r="M215" i="10"/>
  <c r="L215" i="10"/>
  <c r="K215" i="10"/>
  <c r="J215" i="10"/>
  <c r="I215" i="10"/>
  <c r="H215" i="10"/>
  <c r="G215" i="10"/>
  <c r="F215" i="10"/>
  <c r="AE214" i="10"/>
  <c r="AC214" i="10"/>
  <c r="AB214" i="10"/>
  <c r="AA214" i="10"/>
  <c r="Z214" i="10"/>
  <c r="Y214" i="10"/>
  <c r="X214" i="10"/>
  <c r="W214" i="10"/>
  <c r="V214" i="10"/>
  <c r="U214" i="10"/>
  <c r="T214" i="10"/>
  <c r="S214" i="10"/>
  <c r="R214" i="10"/>
  <c r="Q214" i="10"/>
  <c r="P214" i="10"/>
  <c r="O214" i="10"/>
  <c r="N214" i="10"/>
  <c r="M214" i="10"/>
  <c r="L214" i="10"/>
  <c r="K214" i="10"/>
  <c r="J214" i="10"/>
  <c r="I214" i="10"/>
  <c r="H214" i="10"/>
  <c r="G214" i="10"/>
  <c r="F214" i="10"/>
  <c r="AE213" i="10"/>
  <c r="AC213" i="10"/>
  <c r="AB213" i="10"/>
  <c r="AA213" i="10"/>
  <c r="Z213" i="10"/>
  <c r="Y213" i="10"/>
  <c r="X213" i="10"/>
  <c r="W213" i="10"/>
  <c r="V213" i="10"/>
  <c r="U213" i="10"/>
  <c r="T213" i="10"/>
  <c r="S213" i="10"/>
  <c r="R213" i="10"/>
  <c r="Q213" i="10"/>
  <c r="P213" i="10"/>
  <c r="O213" i="10"/>
  <c r="N213" i="10"/>
  <c r="M213" i="10"/>
  <c r="L213" i="10"/>
  <c r="K213" i="10"/>
  <c r="J213" i="10"/>
  <c r="I213" i="10"/>
  <c r="H213" i="10"/>
  <c r="G213" i="10"/>
  <c r="F213" i="10"/>
  <c r="AE212" i="10"/>
  <c r="AC212" i="10"/>
  <c r="AB212" i="10"/>
  <c r="AA212" i="10"/>
  <c r="Z212" i="10"/>
  <c r="Y212" i="10"/>
  <c r="X212" i="10"/>
  <c r="W212" i="10"/>
  <c r="V212" i="10"/>
  <c r="U212" i="10"/>
  <c r="T212" i="10"/>
  <c r="S212" i="10"/>
  <c r="R212" i="10"/>
  <c r="Q212" i="10"/>
  <c r="P212" i="10"/>
  <c r="O212" i="10"/>
  <c r="N212" i="10"/>
  <c r="M212" i="10"/>
  <c r="L212" i="10"/>
  <c r="K212" i="10"/>
  <c r="J212" i="10"/>
  <c r="I212" i="10"/>
  <c r="H212" i="10"/>
  <c r="G212" i="10"/>
  <c r="F212" i="10"/>
  <c r="AE211" i="10"/>
  <c r="AC211" i="10"/>
  <c r="AB211" i="10"/>
  <c r="AA211" i="10"/>
  <c r="Z211" i="10"/>
  <c r="Y211" i="10"/>
  <c r="X211" i="10"/>
  <c r="W211" i="10"/>
  <c r="V211" i="10"/>
  <c r="U211" i="10"/>
  <c r="T211" i="10"/>
  <c r="S211" i="10"/>
  <c r="R211" i="10"/>
  <c r="Q211" i="10"/>
  <c r="P211" i="10"/>
  <c r="O211" i="10"/>
  <c r="N211" i="10"/>
  <c r="M211" i="10"/>
  <c r="L211" i="10"/>
  <c r="K211" i="10"/>
  <c r="J211" i="10"/>
  <c r="I211" i="10"/>
  <c r="H211" i="10"/>
  <c r="G211" i="10"/>
  <c r="F211" i="10"/>
  <c r="AE210" i="10"/>
  <c r="AC210" i="10"/>
  <c r="AB210" i="10"/>
  <c r="AA210" i="10"/>
  <c r="Z210" i="10"/>
  <c r="Y210" i="10"/>
  <c r="X210" i="10"/>
  <c r="W210" i="10"/>
  <c r="V210" i="10"/>
  <c r="U210" i="10"/>
  <c r="T210" i="10"/>
  <c r="S210" i="10"/>
  <c r="R210" i="10"/>
  <c r="Q210" i="10"/>
  <c r="P210" i="10"/>
  <c r="O210" i="10"/>
  <c r="N210" i="10"/>
  <c r="M210" i="10"/>
  <c r="L210" i="10"/>
  <c r="K210" i="10"/>
  <c r="J210" i="10"/>
  <c r="I210" i="10"/>
  <c r="H210" i="10"/>
  <c r="G210" i="10"/>
  <c r="F210" i="10"/>
  <c r="AE209" i="10"/>
  <c r="AC209" i="10"/>
  <c r="AB209" i="10"/>
  <c r="AA209" i="10"/>
  <c r="Z209" i="10"/>
  <c r="Y209" i="10"/>
  <c r="X209" i="10"/>
  <c r="W209" i="10"/>
  <c r="V209" i="10"/>
  <c r="U209" i="10"/>
  <c r="T209" i="10"/>
  <c r="S209" i="10"/>
  <c r="R209" i="10"/>
  <c r="Q209" i="10"/>
  <c r="P209" i="10"/>
  <c r="O209" i="10"/>
  <c r="N209" i="10"/>
  <c r="M209" i="10"/>
  <c r="L209" i="10"/>
  <c r="K209" i="10"/>
  <c r="J209" i="10"/>
  <c r="I209" i="10"/>
  <c r="H209" i="10"/>
  <c r="G209" i="10"/>
  <c r="F209" i="10"/>
  <c r="AE208" i="10"/>
  <c r="AC208" i="10"/>
  <c r="AB208" i="10"/>
  <c r="AA208" i="10"/>
  <c r="Z208" i="10"/>
  <c r="Y208" i="10"/>
  <c r="X208" i="10"/>
  <c r="W208" i="10"/>
  <c r="V208" i="10"/>
  <c r="U208" i="10"/>
  <c r="T208" i="10"/>
  <c r="S208" i="10"/>
  <c r="R208" i="10"/>
  <c r="Q208" i="10"/>
  <c r="P208" i="10"/>
  <c r="O208" i="10"/>
  <c r="N208" i="10"/>
  <c r="M208" i="10"/>
  <c r="L208" i="10"/>
  <c r="K208" i="10"/>
  <c r="J208" i="10"/>
  <c r="I208" i="10"/>
  <c r="H208" i="10"/>
  <c r="G208" i="10"/>
  <c r="F208" i="10"/>
  <c r="AE207" i="10"/>
  <c r="AC207" i="10"/>
  <c r="AB207" i="10"/>
  <c r="AA207" i="10"/>
  <c r="Z207" i="10"/>
  <c r="Y207" i="10"/>
  <c r="X207" i="10"/>
  <c r="W207" i="10"/>
  <c r="V207" i="10"/>
  <c r="U207" i="10"/>
  <c r="T207" i="10"/>
  <c r="S207" i="10"/>
  <c r="R207" i="10"/>
  <c r="Q207" i="10"/>
  <c r="P207" i="10"/>
  <c r="O207" i="10"/>
  <c r="N207" i="10"/>
  <c r="M207" i="10"/>
  <c r="L207" i="10"/>
  <c r="K207" i="10"/>
  <c r="J207" i="10"/>
  <c r="I207" i="10"/>
  <c r="H207" i="10"/>
  <c r="G207" i="10"/>
  <c r="F207" i="10"/>
  <c r="AE206" i="10"/>
  <c r="AC206" i="10"/>
  <c r="AB206" i="10"/>
  <c r="AA206" i="10"/>
  <c r="Z206" i="10"/>
  <c r="Y206" i="10"/>
  <c r="X206" i="10"/>
  <c r="W206" i="10"/>
  <c r="V206" i="10"/>
  <c r="U206" i="10"/>
  <c r="T206" i="10"/>
  <c r="S206" i="10"/>
  <c r="R206" i="10"/>
  <c r="Q206" i="10"/>
  <c r="P206" i="10"/>
  <c r="O206" i="10"/>
  <c r="N206" i="10"/>
  <c r="M206" i="10"/>
  <c r="L206" i="10"/>
  <c r="K206" i="10"/>
  <c r="J206" i="10"/>
  <c r="I206" i="10"/>
  <c r="H206" i="10"/>
  <c r="G206" i="10"/>
  <c r="F206" i="10"/>
  <c r="AE205" i="10"/>
  <c r="AC205" i="10"/>
  <c r="AB205" i="10"/>
  <c r="AA205" i="10"/>
  <c r="Z205" i="10"/>
  <c r="Y205" i="10"/>
  <c r="X205" i="10"/>
  <c r="W205" i="10"/>
  <c r="V205" i="10"/>
  <c r="U205" i="10"/>
  <c r="T205" i="10"/>
  <c r="S205" i="10"/>
  <c r="R205" i="10"/>
  <c r="Q205" i="10"/>
  <c r="P205" i="10"/>
  <c r="O205" i="10"/>
  <c r="N205" i="10"/>
  <c r="M205" i="10"/>
  <c r="L205" i="10"/>
  <c r="K205" i="10"/>
  <c r="J205" i="10"/>
  <c r="I205" i="10"/>
  <c r="H205" i="10"/>
  <c r="G205" i="10"/>
  <c r="F205" i="10"/>
  <c r="AE204" i="10"/>
  <c r="AC204" i="10"/>
  <c r="AB204" i="10"/>
  <c r="AA204" i="10"/>
  <c r="Z204" i="10"/>
  <c r="Y204" i="10"/>
  <c r="X204" i="10"/>
  <c r="W204" i="10"/>
  <c r="V204" i="10"/>
  <c r="U204" i="10"/>
  <c r="T204" i="10"/>
  <c r="S204" i="10"/>
  <c r="R204" i="10"/>
  <c r="Q204" i="10"/>
  <c r="P204" i="10"/>
  <c r="O204" i="10"/>
  <c r="N204" i="10"/>
  <c r="M204" i="10"/>
  <c r="L204" i="10"/>
  <c r="K204" i="10"/>
  <c r="J204" i="10"/>
  <c r="I204" i="10"/>
  <c r="H204" i="10"/>
  <c r="G204" i="10"/>
  <c r="F204" i="10"/>
  <c r="AE203" i="10"/>
  <c r="AC203" i="10"/>
  <c r="AB203" i="10"/>
  <c r="AA203" i="10"/>
  <c r="Z203" i="10"/>
  <c r="Y203" i="10"/>
  <c r="X203" i="10"/>
  <c r="W203" i="10"/>
  <c r="V203" i="10"/>
  <c r="U203" i="10"/>
  <c r="T203" i="10"/>
  <c r="S203" i="10"/>
  <c r="R203" i="10"/>
  <c r="Q203" i="10"/>
  <c r="P203" i="10"/>
  <c r="O203" i="10"/>
  <c r="N203" i="10"/>
  <c r="M203" i="10"/>
  <c r="L203" i="10"/>
  <c r="K203" i="10"/>
  <c r="J203" i="10"/>
  <c r="I203" i="10"/>
  <c r="H203" i="10"/>
  <c r="G203" i="10"/>
  <c r="F203" i="10"/>
  <c r="AE202" i="10"/>
  <c r="AC202" i="10"/>
  <c r="AB202" i="10"/>
  <c r="AA202" i="10"/>
  <c r="Z202" i="10"/>
  <c r="Y202" i="10"/>
  <c r="X202" i="10"/>
  <c r="W202" i="10"/>
  <c r="V202" i="10"/>
  <c r="U202" i="10"/>
  <c r="T202" i="10"/>
  <c r="S202" i="10"/>
  <c r="R202" i="10"/>
  <c r="Q202" i="10"/>
  <c r="P202" i="10"/>
  <c r="O202" i="10"/>
  <c r="N202" i="10"/>
  <c r="M202" i="10"/>
  <c r="L202" i="10"/>
  <c r="K202" i="10"/>
  <c r="J202" i="10"/>
  <c r="I202" i="10"/>
  <c r="H202" i="10"/>
  <c r="G202" i="10"/>
  <c r="F202" i="10"/>
  <c r="AE201" i="10"/>
  <c r="AC201" i="10"/>
  <c r="AB201" i="10"/>
  <c r="AA201" i="10"/>
  <c r="Z201" i="10"/>
  <c r="Y201" i="10"/>
  <c r="X201" i="10"/>
  <c r="W201" i="10"/>
  <c r="V201" i="10"/>
  <c r="U201" i="10"/>
  <c r="T201" i="10"/>
  <c r="S201" i="10"/>
  <c r="R201" i="10"/>
  <c r="Q201" i="10"/>
  <c r="P201" i="10"/>
  <c r="O201" i="10"/>
  <c r="N201" i="10"/>
  <c r="M201" i="10"/>
  <c r="L201" i="10"/>
  <c r="K201" i="10"/>
  <c r="J201" i="10"/>
  <c r="I201" i="10"/>
  <c r="H201" i="10"/>
  <c r="G201" i="10"/>
  <c r="F201" i="10"/>
  <c r="AE200" i="10"/>
  <c r="AC200" i="10"/>
  <c r="AB200" i="10"/>
  <c r="AA200" i="10"/>
  <c r="Z200" i="10"/>
  <c r="Y200" i="10"/>
  <c r="X200" i="10"/>
  <c r="W200" i="10"/>
  <c r="V200" i="10"/>
  <c r="U200" i="10"/>
  <c r="T200" i="10"/>
  <c r="S200" i="10"/>
  <c r="R200" i="10"/>
  <c r="Q200" i="10"/>
  <c r="P200" i="10"/>
  <c r="O200" i="10"/>
  <c r="N200" i="10"/>
  <c r="M200" i="10"/>
  <c r="L200" i="10"/>
  <c r="K200" i="10"/>
  <c r="J200" i="10"/>
  <c r="I200" i="10"/>
  <c r="H200" i="10"/>
  <c r="G200" i="10"/>
  <c r="F200" i="10"/>
  <c r="AE199" i="10"/>
  <c r="AC199" i="10"/>
  <c r="AB199" i="10"/>
  <c r="AA199" i="10"/>
  <c r="Z199" i="10"/>
  <c r="Y199" i="10"/>
  <c r="X199" i="10"/>
  <c r="W199" i="10"/>
  <c r="V199" i="10"/>
  <c r="U199" i="10"/>
  <c r="T199" i="10"/>
  <c r="S199" i="10"/>
  <c r="R199" i="10"/>
  <c r="Q199" i="10"/>
  <c r="P199" i="10"/>
  <c r="O199" i="10"/>
  <c r="N199" i="10"/>
  <c r="M199" i="10"/>
  <c r="L199" i="10"/>
  <c r="K199" i="10"/>
  <c r="J199" i="10"/>
  <c r="I199" i="10"/>
  <c r="H199" i="10"/>
  <c r="G199" i="10"/>
  <c r="F199" i="10"/>
  <c r="AE198" i="10"/>
  <c r="AC198" i="10"/>
  <c r="AB198" i="10"/>
  <c r="AA198" i="10"/>
  <c r="Z198" i="10"/>
  <c r="Y198" i="10"/>
  <c r="X198" i="10"/>
  <c r="W198" i="10"/>
  <c r="V198" i="10"/>
  <c r="U198" i="10"/>
  <c r="T198" i="10"/>
  <c r="S198" i="10"/>
  <c r="R198" i="10"/>
  <c r="Q198" i="10"/>
  <c r="P198" i="10"/>
  <c r="O198" i="10"/>
  <c r="N198" i="10"/>
  <c r="M198" i="10"/>
  <c r="L198" i="10"/>
  <c r="K198" i="10"/>
  <c r="J198" i="10"/>
  <c r="I198" i="10"/>
  <c r="H198" i="10"/>
  <c r="G198" i="10"/>
  <c r="F198" i="10"/>
  <c r="AE197" i="10"/>
  <c r="AC197" i="10"/>
  <c r="AB197" i="10"/>
  <c r="AA197" i="10"/>
  <c r="Z197" i="10"/>
  <c r="Y197" i="10"/>
  <c r="X197" i="10"/>
  <c r="W197" i="10"/>
  <c r="V197" i="10"/>
  <c r="U197" i="10"/>
  <c r="T197" i="10"/>
  <c r="S197" i="10"/>
  <c r="R197" i="10"/>
  <c r="Q197" i="10"/>
  <c r="P197" i="10"/>
  <c r="O197" i="10"/>
  <c r="N197" i="10"/>
  <c r="M197" i="10"/>
  <c r="L197" i="10"/>
  <c r="K197" i="10"/>
  <c r="J197" i="10"/>
  <c r="I197" i="10"/>
  <c r="H197" i="10"/>
  <c r="G197" i="10"/>
  <c r="F197" i="10"/>
  <c r="AE196" i="10"/>
  <c r="AC196" i="10"/>
  <c r="AB196" i="10"/>
  <c r="AA196" i="10"/>
  <c r="Z196" i="10"/>
  <c r="Y196" i="10"/>
  <c r="X196" i="10"/>
  <c r="W196" i="10"/>
  <c r="V196" i="10"/>
  <c r="U196" i="10"/>
  <c r="T196" i="10"/>
  <c r="S196" i="10"/>
  <c r="R196" i="10"/>
  <c r="Q196" i="10"/>
  <c r="P196" i="10"/>
  <c r="O196" i="10"/>
  <c r="N196" i="10"/>
  <c r="M196" i="10"/>
  <c r="L196" i="10"/>
  <c r="K196" i="10"/>
  <c r="J196" i="10"/>
  <c r="I196" i="10"/>
  <c r="H196" i="10"/>
  <c r="G196" i="10"/>
  <c r="F196" i="10"/>
  <c r="AE195" i="10"/>
  <c r="AC195" i="10"/>
  <c r="AB195" i="10"/>
  <c r="AA195" i="10"/>
  <c r="Z195" i="10"/>
  <c r="Y195" i="10"/>
  <c r="X195" i="10"/>
  <c r="W195" i="10"/>
  <c r="V195" i="10"/>
  <c r="U195" i="10"/>
  <c r="T195" i="10"/>
  <c r="S195" i="10"/>
  <c r="R195" i="10"/>
  <c r="Q195" i="10"/>
  <c r="P195" i="10"/>
  <c r="O195" i="10"/>
  <c r="N195" i="10"/>
  <c r="M195" i="10"/>
  <c r="L195" i="10"/>
  <c r="K195" i="10"/>
  <c r="J195" i="10"/>
  <c r="I195" i="10"/>
  <c r="H195" i="10"/>
  <c r="G195" i="10"/>
  <c r="F195" i="10"/>
  <c r="AE194" i="10"/>
  <c r="AC194" i="10"/>
  <c r="AB194" i="10"/>
  <c r="AA194" i="10"/>
  <c r="Z194" i="10"/>
  <c r="Y194" i="10"/>
  <c r="X194" i="10"/>
  <c r="W194" i="10"/>
  <c r="V194" i="10"/>
  <c r="U194" i="10"/>
  <c r="T194" i="10"/>
  <c r="S194" i="10"/>
  <c r="R194" i="10"/>
  <c r="Q194" i="10"/>
  <c r="P194" i="10"/>
  <c r="O194" i="10"/>
  <c r="N194" i="10"/>
  <c r="M194" i="10"/>
  <c r="L194" i="10"/>
  <c r="K194" i="10"/>
  <c r="J194" i="10"/>
  <c r="I194" i="10"/>
  <c r="H194" i="10"/>
  <c r="G194" i="10"/>
  <c r="F194" i="10"/>
  <c r="AE193" i="10"/>
  <c r="AC193" i="10"/>
  <c r="AB193" i="10"/>
  <c r="AA193" i="10"/>
  <c r="Z193" i="10"/>
  <c r="Y193" i="10"/>
  <c r="X193" i="10"/>
  <c r="W193" i="10"/>
  <c r="V193" i="10"/>
  <c r="U193" i="10"/>
  <c r="T193" i="10"/>
  <c r="S193" i="10"/>
  <c r="R193" i="10"/>
  <c r="Q193" i="10"/>
  <c r="P193" i="10"/>
  <c r="O193" i="10"/>
  <c r="N193" i="10"/>
  <c r="M193" i="10"/>
  <c r="L193" i="10"/>
  <c r="K193" i="10"/>
  <c r="J193" i="10"/>
  <c r="I193" i="10"/>
  <c r="H193" i="10"/>
  <c r="G193" i="10"/>
  <c r="F193" i="10"/>
  <c r="AE192" i="10"/>
  <c r="AC192" i="10"/>
  <c r="AB192" i="10"/>
  <c r="AA192" i="10"/>
  <c r="Z192" i="10"/>
  <c r="Y192" i="10"/>
  <c r="X192" i="10"/>
  <c r="W192" i="10"/>
  <c r="V192" i="10"/>
  <c r="U192" i="10"/>
  <c r="T192" i="10"/>
  <c r="S192" i="10"/>
  <c r="R192" i="10"/>
  <c r="Q192" i="10"/>
  <c r="P192" i="10"/>
  <c r="O192" i="10"/>
  <c r="N192" i="10"/>
  <c r="M192" i="10"/>
  <c r="L192" i="10"/>
  <c r="K192" i="10"/>
  <c r="J192" i="10"/>
  <c r="I192" i="10"/>
  <c r="H192" i="10"/>
  <c r="G192" i="10"/>
  <c r="F192" i="10"/>
  <c r="AE191" i="10"/>
  <c r="AC191" i="10"/>
  <c r="AB191" i="10"/>
  <c r="AA191" i="10"/>
  <c r="Z191" i="10"/>
  <c r="Y191" i="10"/>
  <c r="X191" i="10"/>
  <c r="W191" i="10"/>
  <c r="V191" i="10"/>
  <c r="U191" i="10"/>
  <c r="T191" i="10"/>
  <c r="S191" i="10"/>
  <c r="R191" i="10"/>
  <c r="Q191" i="10"/>
  <c r="P191" i="10"/>
  <c r="O191" i="10"/>
  <c r="N191" i="10"/>
  <c r="M191" i="10"/>
  <c r="L191" i="10"/>
  <c r="K191" i="10"/>
  <c r="J191" i="10"/>
  <c r="I191" i="10"/>
  <c r="H191" i="10"/>
  <c r="G191" i="10"/>
  <c r="F191" i="10"/>
  <c r="AE190" i="10"/>
  <c r="AC190" i="10"/>
  <c r="AB190" i="10"/>
  <c r="AA190" i="10"/>
  <c r="Z190" i="10"/>
  <c r="Y190" i="10"/>
  <c r="X190" i="10"/>
  <c r="W190" i="10"/>
  <c r="V190" i="10"/>
  <c r="U190" i="10"/>
  <c r="T190" i="10"/>
  <c r="S190" i="10"/>
  <c r="R190" i="10"/>
  <c r="Q190" i="10"/>
  <c r="P190" i="10"/>
  <c r="O190" i="10"/>
  <c r="N190" i="10"/>
  <c r="M190" i="10"/>
  <c r="L190" i="10"/>
  <c r="K190" i="10"/>
  <c r="J190" i="10"/>
  <c r="I190" i="10"/>
  <c r="H190" i="10"/>
  <c r="G190" i="10"/>
  <c r="F190" i="10"/>
  <c r="AE189" i="10"/>
  <c r="AC189" i="10"/>
  <c r="AB189" i="10"/>
  <c r="AA189" i="10"/>
  <c r="Z189" i="10"/>
  <c r="Y189" i="10"/>
  <c r="X189" i="10"/>
  <c r="W189" i="10"/>
  <c r="V189" i="10"/>
  <c r="U189" i="10"/>
  <c r="T189" i="10"/>
  <c r="S189" i="10"/>
  <c r="R189" i="10"/>
  <c r="Q189" i="10"/>
  <c r="P189" i="10"/>
  <c r="O189" i="10"/>
  <c r="N189" i="10"/>
  <c r="M189" i="10"/>
  <c r="L189" i="10"/>
  <c r="K189" i="10"/>
  <c r="J189" i="10"/>
  <c r="I189" i="10"/>
  <c r="H189" i="10"/>
  <c r="G189" i="10"/>
  <c r="F189" i="10"/>
  <c r="AE188" i="10"/>
  <c r="AC188" i="10"/>
  <c r="AB188" i="10"/>
  <c r="AA188" i="10"/>
  <c r="Z188" i="10"/>
  <c r="Y188" i="10"/>
  <c r="X188" i="10"/>
  <c r="W188" i="10"/>
  <c r="V188" i="10"/>
  <c r="U188" i="10"/>
  <c r="T188" i="10"/>
  <c r="S188" i="10"/>
  <c r="R188" i="10"/>
  <c r="Q188" i="10"/>
  <c r="P188" i="10"/>
  <c r="O188" i="10"/>
  <c r="N188" i="10"/>
  <c r="M188" i="10"/>
  <c r="L188" i="10"/>
  <c r="K188" i="10"/>
  <c r="J188" i="10"/>
  <c r="I188" i="10"/>
  <c r="H188" i="10"/>
  <c r="G188" i="10"/>
  <c r="F188" i="10"/>
  <c r="AE187" i="10"/>
  <c r="AC187" i="10"/>
  <c r="AB187" i="10"/>
  <c r="AA187" i="10"/>
  <c r="Z187" i="10"/>
  <c r="Y187" i="10"/>
  <c r="X187" i="10"/>
  <c r="W187" i="10"/>
  <c r="V187" i="10"/>
  <c r="U187" i="10"/>
  <c r="T187" i="10"/>
  <c r="S187" i="10"/>
  <c r="R187" i="10"/>
  <c r="Q187" i="10"/>
  <c r="P187" i="10"/>
  <c r="O187" i="10"/>
  <c r="N187" i="10"/>
  <c r="M187" i="10"/>
  <c r="L187" i="10"/>
  <c r="K187" i="10"/>
  <c r="J187" i="10"/>
  <c r="I187" i="10"/>
  <c r="H187" i="10"/>
  <c r="G187" i="10"/>
  <c r="F187" i="10"/>
  <c r="AE186" i="10"/>
  <c r="AC186" i="10"/>
  <c r="AB186" i="10"/>
  <c r="AA186" i="10"/>
  <c r="Z186" i="10"/>
  <c r="Y186" i="10"/>
  <c r="X186" i="10"/>
  <c r="W186" i="10"/>
  <c r="V186" i="10"/>
  <c r="U186" i="10"/>
  <c r="T186" i="10"/>
  <c r="S186" i="10"/>
  <c r="R186" i="10"/>
  <c r="Q186" i="10"/>
  <c r="P186" i="10"/>
  <c r="O186" i="10"/>
  <c r="N186" i="10"/>
  <c r="M186" i="10"/>
  <c r="L186" i="10"/>
  <c r="K186" i="10"/>
  <c r="J186" i="10"/>
  <c r="I186" i="10"/>
  <c r="H186" i="10"/>
  <c r="G186" i="10"/>
  <c r="F186" i="10"/>
  <c r="AE185" i="10"/>
  <c r="AC185" i="10"/>
  <c r="AB185" i="10"/>
  <c r="AA185" i="10"/>
  <c r="Z185" i="10"/>
  <c r="Y185" i="10"/>
  <c r="X185" i="10"/>
  <c r="W185" i="10"/>
  <c r="V185" i="10"/>
  <c r="U185" i="10"/>
  <c r="T185" i="10"/>
  <c r="S185" i="10"/>
  <c r="R185" i="10"/>
  <c r="Q185" i="10"/>
  <c r="P185" i="10"/>
  <c r="O185" i="10"/>
  <c r="N185" i="10"/>
  <c r="M185" i="10"/>
  <c r="L185" i="10"/>
  <c r="K185" i="10"/>
  <c r="J185" i="10"/>
  <c r="I185" i="10"/>
  <c r="H185" i="10"/>
  <c r="G185" i="10"/>
  <c r="F185" i="10"/>
  <c r="AE184" i="10"/>
  <c r="AC184" i="10"/>
  <c r="AB184" i="10"/>
  <c r="AA184" i="10"/>
  <c r="Z184" i="10"/>
  <c r="Y184" i="10"/>
  <c r="X184" i="10"/>
  <c r="W184" i="10"/>
  <c r="V184" i="10"/>
  <c r="U184" i="10"/>
  <c r="T184" i="10"/>
  <c r="S184" i="10"/>
  <c r="R184" i="10"/>
  <c r="Q184" i="10"/>
  <c r="P184" i="10"/>
  <c r="O184" i="10"/>
  <c r="N184" i="10"/>
  <c r="M184" i="10"/>
  <c r="L184" i="10"/>
  <c r="K184" i="10"/>
  <c r="J184" i="10"/>
  <c r="I184" i="10"/>
  <c r="H184" i="10"/>
  <c r="G184" i="10"/>
  <c r="F184" i="10"/>
  <c r="AE183" i="10"/>
  <c r="AC183" i="10"/>
  <c r="AB183" i="10"/>
  <c r="AA183" i="10"/>
  <c r="Z183" i="10"/>
  <c r="Y183" i="10"/>
  <c r="X183" i="10"/>
  <c r="W183" i="10"/>
  <c r="V183" i="10"/>
  <c r="U183" i="10"/>
  <c r="T183" i="10"/>
  <c r="S183" i="10"/>
  <c r="R183" i="10"/>
  <c r="Q183" i="10"/>
  <c r="P183" i="10"/>
  <c r="O183" i="10"/>
  <c r="N183" i="10"/>
  <c r="M183" i="10"/>
  <c r="L183" i="10"/>
  <c r="K183" i="10"/>
  <c r="J183" i="10"/>
  <c r="I183" i="10"/>
  <c r="H183" i="10"/>
  <c r="G183" i="10"/>
  <c r="F183" i="10"/>
  <c r="AE182" i="10"/>
  <c r="AC182" i="10"/>
  <c r="AB182" i="10"/>
  <c r="AA182" i="10"/>
  <c r="Z182" i="10"/>
  <c r="Y182" i="10"/>
  <c r="X182" i="10"/>
  <c r="W182" i="10"/>
  <c r="V182" i="10"/>
  <c r="U182" i="10"/>
  <c r="T182" i="10"/>
  <c r="S182" i="10"/>
  <c r="R182" i="10"/>
  <c r="Q182" i="10"/>
  <c r="P182" i="10"/>
  <c r="O182" i="10"/>
  <c r="N182" i="10"/>
  <c r="M182" i="10"/>
  <c r="L182" i="10"/>
  <c r="K182" i="10"/>
  <c r="J182" i="10"/>
  <c r="I182" i="10"/>
  <c r="H182" i="10"/>
  <c r="G182" i="10"/>
  <c r="F182" i="10"/>
  <c r="AE181" i="10"/>
  <c r="AC181" i="10"/>
  <c r="AB181" i="10"/>
  <c r="AA181" i="10"/>
  <c r="Z181" i="10"/>
  <c r="Y181" i="10"/>
  <c r="X181" i="10"/>
  <c r="W181" i="10"/>
  <c r="V181" i="10"/>
  <c r="U181" i="10"/>
  <c r="T181" i="10"/>
  <c r="S181" i="10"/>
  <c r="R181" i="10"/>
  <c r="Q181" i="10"/>
  <c r="P181" i="10"/>
  <c r="O181" i="10"/>
  <c r="N181" i="10"/>
  <c r="M181" i="10"/>
  <c r="L181" i="10"/>
  <c r="K181" i="10"/>
  <c r="J181" i="10"/>
  <c r="I181" i="10"/>
  <c r="H181" i="10"/>
  <c r="G181" i="10"/>
  <c r="F181" i="10"/>
  <c r="AE180" i="10"/>
  <c r="AC180" i="10"/>
  <c r="AB180" i="10"/>
  <c r="AA180" i="10"/>
  <c r="Z180" i="10"/>
  <c r="Y180" i="10"/>
  <c r="X180" i="10"/>
  <c r="W180" i="10"/>
  <c r="V180" i="10"/>
  <c r="U180" i="10"/>
  <c r="T180" i="10"/>
  <c r="S180" i="10"/>
  <c r="R180" i="10"/>
  <c r="Q180" i="10"/>
  <c r="P180" i="10"/>
  <c r="O180" i="10"/>
  <c r="N180" i="10"/>
  <c r="M180" i="10"/>
  <c r="L180" i="10"/>
  <c r="K180" i="10"/>
  <c r="J180" i="10"/>
  <c r="I180" i="10"/>
  <c r="H180" i="10"/>
  <c r="G180" i="10"/>
  <c r="F180" i="10"/>
  <c r="AE179" i="10"/>
  <c r="AC179" i="10"/>
  <c r="AB179" i="10"/>
  <c r="AA179" i="10"/>
  <c r="Z179" i="10"/>
  <c r="Y179" i="10"/>
  <c r="X179" i="10"/>
  <c r="W179" i="10"/>
  <c r="V179" i="10"/>
  <c r="U179" i="10"/>
  <c r="T179" i="10"/>
  <c r="S179" i="10"/>
  <c r="R179" i="10"/>
  <c r="Q179" i="10"/>
  <c r="P179" i="10"/>
  <c r="O179" i="10"/>
  <c r="N179" i="10"/>
  <c r="M179" i="10"/>
  <c r="L179" i="10"/>
  <c r="K179" i="10"/>
  <c r="J179" i="10"/>
  <c r="I179" i="10"/>
  <c r="H179" i="10"/>
  <c r="G179" i="10"/>
  <c r="F179" i="10"/>
  <c r="AE178" i="10"/>
  <c r="AC178" i="10"/>
  <c r="AB178" i="10"/>
  <c r="AA178" i="10"/>
  <c r="Z178" i="10"/>
  <c r="Y178" i="10"/>
  <c r="X178" i="10"/>
  <c r="W178" i="10"/>
  <c r="V178" i="10"/>
  <c r="U178" i="10"/>
  <c r="T178" i="10"/>
  <c r="S178" i="10"/>
  <c r="R178" i="10"/>
  <c r="Q178" i="10"/>
  <c r="P178" i="10"/>
  <c r="O178" i="10"/>
  <c r="N178" i="10"/>
  <c r="M178" i="10"/>
  <c r="L178" i="10"/>
  <c r="K178" i="10"/>
  <c r="J178" i="10"/>
  <c r="I178" i="10"/>
  <c r="H178" i="10"/>
  <c r="G178" i="10"/>
  <c r="F178" i="10"/>
  <c r="AE177" i="10"/>
  <c r="AC177" i="10"/>
  <c r="AB177" i="10"/>
  <c r="AA177" i="10"/>
  <c r="Z177" i="10"/>
  <c r="Y177" i="10"/>
  <c r="X177" i="10"/>
  <c r="W177" i="10"/>
  <c r="V177" i="10"/>
  <c r="U177" i="10"/>
  <c r="T177" i="10"/>
  <c r="S177" i="10"/>
  <c r="R177" i="10"/>
  <c r="Q177" i="10"/>
  <c r="P177" i="10"/>
  <c r="O177" i="10"/>
  <c r="N177" i="10"/>
  <c r="M177" i="10"/>
  <c r="L177" i="10"/>
  <c r="K177" i="10"/>
  <c r="J177" i="10"/>
  <c r="I177" i="10"/>
  <c r="H177" i="10"/>
  <c r="G177" i="10"/>
  <c r="F177" i="10"/>
  <c r="AE176" i="10"/>
  <c r="AC176" i="10"/>
  <c r="AB176" i="10"/>
  <c r="AA176" i="10"/>
  <c r="Z176" i="10"/>
  <c r="Y176" i="10"/>
  <c r="X176" i="10"/>
  <c r="W176" i="10"/>
  <c r="V176" i="10"/>
  <c r="U176" i="10"/>
  <c r="T176" i="10"/>
  <c r="S176" i="10"/>
  <c r="R176" i="10"/>
  <c r="Q176" i="10"/>
  <c r="P176" i="10"/>
  <c r="O176" i="10"/>
  <c r="N176" i="10"/>
  <c r="M176" i="10"/>
  <c r="L176" i="10"/>
  <c r="K176" i="10"/>
  <c r="J176" i="10"/>
  <c r="I176" i="10"/>
  <c r="H176" i="10"/>
  <c r="G176" i="10"/>
  <c r="F176" i="10"/>
  <c r="AE175" i="10"/>
  <c r="AC175" i="10"/>
  <c r="AB175" i="10"/>
  <c r="AA175" i="10"/>
  <c r="Z175" i="10"/>
  <c r="Y175" i="10"/>
  <c r="X175" i="10"/>
  <c r="W175" i="10"/>
  <c r="V175" i="10"/>
  <c r="U175" i="10"/>
  <c r="T175" i="10"/>
  <c r="S175" i="10"/>
  <c r="R175" i="10"/>
  <c r="Q175" i="10"/>
  <c r="P175" i="10"/>
  <c r="O175" i="10"/>
  <c r="N175" i="10"/>
  <c r="M175" i="10"/>
  <c r="L175" i="10"/>
  <c r="K175" i="10"/>
  <c r="J175" i="10"/>
  <c r="I175" i="10"/>
  <c r="H175" i="10"/>
  <c r="G175" i="10"/>
  <c r="F175" i="10"/>
  <c r="AE174" i="10"/>
  <c r="AC174" i="10"/>
  <c r="AB174" i="10"/>
  <c r="AA174" i="10"/>
  <c r="Z174" i="10"/>
  <c r="Y174" i="10"/>
  <c r="X174" i="10"/>
  <c r="W174" i="10"/>
  <c r="V174" i="10"/>
  <c r="U174" i="10"/>
  <c r="T174" i="10"/>
  <c r="S174" i="10"/>
  <c r="R174" i="10"/>
  <c r="Q174" i="10"/>
  <c r="P174" i="10"/>
  <c r="O174" i="10"/>
  <c r="N174" i="10"/>
  <c r="M174" i="10"/>
  <c r="L174" i="10"/>
  <c r="K174" i="10"/>
  <c r="J174" i="10"/>
  <c r="I174" i="10"/>
  <c r="H174" i="10"/>
  <c r="G174" i="10"/>
  <c r="F174" i="10"/>
  <c r="AE173" i="10"/>
  <c r="AC173" i="10"/>
  <c r="AB173" i="10"/>
  <c r="AA173" i="10"/>
  <c r="Z173" i="10"/>
  <c r="Y173" i="10"/>
  <c r="X173" i="10"/>
  <c r="W173" i="10"/>
  <c r="V173" i="10"/>
  <c r="U173" i="10"/>
  <c r="T173" i="10"/>
  <c r="S173" i="10"/>
  <c r="R173" i="10"/>
  <c r="Q173" i="10"/>
  <c r="P173" i="10"/>
  <c r="O173" i="10"/>
  <c r="N173" i="10"/>
  <c r="M173" i="10"/>
  <c r="L173" i="10"/>
  <c r="K173" i="10"/>
  <c r="J173" i="10"/>
  <c r="I173" i="10"/>
  <c r="H173" i="10"/>
  <c r="G173" i="10"/>
  <c r="F173" i="10"/>
  <c r="AE172" i="10"/>
  <c r="AC172" i="10"/>
  <c r="AB172" i="10"/>
  <c r="AA172" i="10"/>
  <c r="Z172" i="10"/>
  <c r="Y172" i="10"/>
  <c r="X172" i="10"/>
  <c r="W172" i="10"/>
  <c r="V172" i="10"/>
  <c r="U172" i="10"/>
  <c r="T172" i="10"/>
  <c r="S172" i="10"/>
  <c r="R172" i="10"/>
  <c r="Q172" i="10"/>
  <c r="P172" i="10"/>
  <c r="O172" i="10"/>
  <c r="N172" i="10"/>
  <c r="M172" i="10"/>
  <c r="L172" i="10"/>
  <c r="K172" i="10"/>
  <c r="J172" i="10"/>
  <c r="I172" i="10"/>
  <c r="H172" i="10"/>
  <c r="G172" i="10"/>
  <c r="F172" i="10"/>
  <c r="AE171" i="10"/>
  <c r="AC171" i="10"/>
  <c r="AB171" i="10"/>
  <c r="AA171" i="10"/>
  <c r="Z171" i="10"/>
  <c r="Y171" i="10"/>
  <c r="X171" i="10"/>
  <c r="W171" i="10"/>
  <c r="V171" i="10"/>
  <c r="U171" i="10"/>
  <c r="T171" i="10"/>
  <c r="S171" i="10"/>
  <c r="R171" i="10"/>
  <c r="Q171" i="10"/>
  <c r="P171" i="10"/>
  <c r="O171" i="10"/>
  <c r="N171" i="10"/>
  <c r="M171" i="10"/>
  <c r="L171" i="10"/>
  <c r="K171" i="10"/>
  <c r="J171" i="10"/>
  <c r="I171" i="10"/>
  <c r="H171" i="10"/>
  <c r="G171" i="10"/>
  <c r="F171" i="10"/>
  <c r="AE170" i="10"/>
  <c r="AC170" i="10"/>
  <c r="AB170" i="10"/>
  <c r="AA170" i="10"/>
  <c r="Z170" i="10"/>
  <c r="Y170" i="10"/>
  <c r="X170" i="10"/>
  <c r="W170" i="10"/>
  <c r="V170" i="10"/>
  <c r="U170" i="10"/>
  <c r="T170" i="10"/>
  <c r="S170" i="10"/>
  <c r="R170" i="10"/>
  <c r="Q170" i="10"/>
  <c r="P170" i="10"/>
  <c r="O170" i="10"/>
  <c r="N170" i="10"/>
  <c r="M170" i="10"/>
  <c r="L170" i="10"/>
  <c r="K170" i="10"/>
  <c r="J170" i="10"/>
  <c r="I170" i="10"/>
  <c r="H170" i="10"/>
  <c r="G170" i="10"/>
  <c r="F170" i="10"/>
  <c r="AE169" i="10"/>
  <c r="AC169" i="10"/>
  <c r="AB169" i="10"/>
  <c r="AA169" i="10"/>
  <c r="Z169" i="10"/>
  <c r="Y169" i="10"/>
  <c r="X169" i="10"/>
  <c r="W169" i="10"/>
  <c r="V169" i="10"/>
  <c r="U169" i="10"/>
  <c r="T169" i="10"/>
  <c r="S169" i="10"/>
  <c r="R169" i="10"/>
  <c r="Q169" i="10"/>
  <c r="P169" i="10"/>
  <c r="O169" i="10"/>
  <c r="N169" i="10"/>
  <c r="M169" i="10"/>
  <c r="L169" i="10"/>
  <c r="K169" i="10"/>
  <c r="J169" i="10"/>
  <c r="I169" i="10"/>
  <c r="H169" i="10"/>
  <c r="G169" i="10"/>
  <c r="F169" i="10"/>
  <c r="AE168" i="10"/>
  <c r="AC168" i="10"/>
  <c r="AB168" i="10"/>
  <c r="AA168" i="10"/>
  <c r="Z168" i="10"/>
  <c r="Y168" i="10"/>
  <c r="X168" i="10"/>
  <c r="W168" i="10"/>
  <c r="V168" i="10"/>
  <c r="U168" i="10"/>
  <c r="T168" i="10"/>
  <c r="S168" i="10"/>
  <c r="R168" i="10"/>
  <c r="Q168" i="10"/>
  <c r="P168" i="10"/>
  <c r="O168" i="10"/>
  <c r="N168" i="10"/>
  <c r="M168" i="10"/>
  <c r="L168" i="10"/>
  <c r="K168" i="10"/>
  <c r="J168" i="10"/>
  <c r="I168" i="10"/>
  <c r="H168" i="10"/>
  <c r="G168" i="10"/>
  <c r="F168" i="10"/>
  <c r="AE167" i="10"/>
  <c r="AC167" i="10"/>
  <c r="AB167" i="10"/>
  <c r="AA167" i="10"/>
  <c r="Z167" i="10"/>
  <c r="Y167" i="10"/>
  <c r="X167" i="10"/>
  <c r="W167" i="10"/>
  <c r="V167" i="10"/>
  <c r="U167" i="10"/>
  <c r="T167" i="10"/>
  <c r="S167" i="10"/>
  <c r="R167" i="10"/>
  <c r="Q167" i="10"/>
  <c r="P167" i="10"/>
  <c r="O167" i="10"/>
  <c r="N167" i="10"/>
  <c r="M167" i="10"/>
  <c r="L167" i="10"/>
  <c r="K167" i="10"/>
  <c r="J167" i="10"/>
  <c r="I167" i="10"/>
  <c r="H167" i="10"/>
  <c r="G167" i="10"/>
  <c r="F167" i="10"/>
  <c r="AE166" i="10"/>
  <c r="AC166" i="10"/>
  <c r="AB166" i="10"/>
  <c r="AA166" i="10"/>
  <c r="Z166" i="10"/>
  <c r="Y166" i="10"/>
  <c r="X166" i="10"/>
  <c r="W166" i="10"/>
  <c r="V166" i="10"/>
  <c r="U166" i="10"/>
  <c r="T166" i="10"/>
  <c r="S166" i="10"/>
  <c r="R166" i="10"/>
  <c r="Q166" i="10"/>
  <c r="P166" i="10"/>
  <c r="O166" i="10"/>
  <c r="N166" i="10"/>
  <c r="M166" i="10"/>
  <c r="L166" i="10"/>
  <c r="K166" i="10"/>
  <c r="J166" i="10"/>
  <c r="I166" i="10"/>
  <c r="H166" i="10"/>
  <c r="G166" i="10"/>
  <c r="F166" i="10"/>
  <c r="AE165" i="10"/>
  <c r="AC165" i="10"/>
  <c r="AB165" i="10"/>
  <c r="AA165" i="10"/>
  <c r="Z165" i="10"/>
  <c r="Y165" i="10"/>
  <c r="X165" i="10"/>
  <c r="W165" i="10"/>
  <c r="V165" i="10"/>
  <c r="U165" i="10"/>
  <c r="T165" i="10"/>
  <c r="S165" i="10"/>
  <c r="R165" i="10"/>
  <c r="Q165" i="10"/>
  <c r="P165" i="10"/>
  <c r="O165" i="10"/>
  <c r="N165" i="10"/>
  <c r="M165" i="10"/>
  <c r="L165" i="10"/>
  <c r="K165" i="10"/>
  <c r="J165" i="10"/>
  <c r="I165" i="10"/>
  <c r="H165" i="10"/>
  <c r="G165" i="10"/>
  <c r="F165" i="10"/>
  <c r="AE164" i="10"/>
  <c r="AC164" i="10"/>
  <c r="AB164" i="10"/>
  <c r="AA164" i="10"/>
  <c r="Z164" i="10"/>
  <c r="Y164" i="10"/>
  <c r="X164" i="10"/>
  <c r="W164" i="10"/>
  <c r="V164" i="10"/>
  <c r="U164" i="10"/>
  <c r="T164" i="10"/>
  <c r="S164" i="10"/>
  <c r="R164" i="10"/>
  <c r="Q164" i="10"/>
  <c r="P164" i="10"/>
  <c r="O164" i="10"/>
  <c r="N164" i="10"/>
  <c r="M164" i="10"/>
  <c r="L164" i="10"/>
  <c r="K164" i="10"/>
  <c r="J164" i="10"/>
  <c r="I164" i="10"/>
  <c r="H164" i="10"/>
  <c r="G164" i="10"/>
  <c r="F164" i="10"/>
  <c r="AE163" i="10"/>
  <c r="AC163" i="10"/>
  <c r="AB163" i="10"/>
  <c r="AA163" i="10"/>
  <c r="Z163" i="10"/>
  <c r="Y163" i="10"/>
  <c r="X163" i="10"/>
  <c r="W163" i="10"/>
  <c r="V163" i="10"/>
  <c r="U163" i="10"/>
  <c r="T163" i="10"/>
  <c r="S163" i="10"/>
  <c r="R163" i="10"/>
  <c r="Q163" i="10"/>
  <c r="P163" i="10"/>
  <c r="O163" i="10"/>
  <c r="N163" i="10"/>
  <c r="M163" i="10"/>
  <c r="L163" i="10"/>
  <c r="K163" i="10"/>
  <c r="J163" i="10"/>
  <c r="I163" i="10"/>
  <c r="H163" i="10"/>
  <c r="G163" i="10"/>
  <c r="F163" i="10"/>
  <c r="AE162" i="10"/>
  <c r="AC162" i="10"/>
  <c r="AB162" i="10"/>
  <c r="AA162" i="10"/>
  <c r="Z162" i="10"/>
  <c r="Y162" i="10"/>
  <c r="X162" i="10"/>
  <c r="W162" i="10"/>
  <c r="V162" i="10"/>
  <c r="U162" i="10"/>
  <c r="T162" i="10"/>
  <c r="S162" i="10"/>
  <c r="R162" i="10"/>
  <c r="Q162" i="10"/>
  <c r="P162" i="10"/>
  <c r="O162" i="10"/>
  <c r="N162" i="10"/>
  <c r="M162" i="10"/>
  <c r="L162" i="10"/>
  <c r="K162" i="10"/>
  <c r="J162" i="10"/>
  <c r="I162" i="10"/>
  <c r="H162" i="10"/>
  <c r="G162" i="10"/>
  <c r="F162" i="10"/>
  <c r="AE161" i="10"/>
  <c r="AC161" i="10"/>
  <c r="AB161" i="10"/>
  <c r="AA161" i="10"/>
  <c r="Z161" i="10"/>
  <c r="Y161" i="10"/>
  <c r="X161" i="10"/>
  <c r="W161" i="10"/>
  <c r="V161" i="10"/>
  <c r="U161" i="10"/>
  <c r="T161" i="10"/>
  <c r="S161" i="10"/>
  <c r="R161" i="10"/>
  <c r="Q161" i="10"/>
  <c r="P161" i="10"/>
  <c r="O161" i="10"/>
  <c r="N161" i="10"/>
  <c r="M161" i="10"/>
  <c r="L161" i="10"/>
  <c r="K161" i="10"/>
  <c r="J161" i="10"/>
  <c r="I161" i="10"/>
  <c r="H161" i="10"/>
  <c r="G161" i="10"/>
  <c r="F161" i="10"/>
  <c r="AE160" i="10"/>
  <c r="AC160" i="10"/>
  <c r="AB160" i="10"/>
  <c r="AA160" i="10"/>
  <c r="Z160" i="10"/>
  <c r="Y160" i="10"/>
  <c r="X160" i="10"/>
  <c r="W160" i="10"/>
  <c r="V160" i="10"/>
  <c r="U160" i="10"/>
  <c r="T160" i="10"/>
  <c r="S160" i="10"/>
  <c r="R160" i="10"/>
  <c r="Q160" i="10"/>
  <c r="P160" i="10"/>
  <c r="O160" i="10"/>
  <c r="N160" i="10"/>
  <c r="M160" i="10"/>
  <c r="L160" i="10"/>
  <c r="K160" i="10"/>
  <c r="J160" i="10"/>
  <c r="I160" i="10"/>
  <c r="H160" i="10"/>
  <c r="G160" i="10"/>
  <c r="F160" i="10"/>
  <c r="AE159" i="10"/>
  <c r="AC159" i="10"/>
  <c r="AB159" i="10"/>
  <c r="AA159" i="10"/>
  <c r="Z159" i="10"/>
  <c r="Y159" i="10"/>
  <c r="X159" i="10"/>
  <c r="W159" i="10"/>
  <c r="V159" i="10"/>
  <c r="U159" i="10"/>
  <c r="T159" i="10"/>
  <c r="S159" i="10"/>
  <c r="R159" i="10"/>
  <c r="Q159" i="10"/>
  <c r="P159" i="10"/>
  <c r="O159" i="10"/>
  <c r="N159" i="10"/>
  <c r="M159" i="10"/>
  <c r="L159" i="10"/>
  <c r="K159" i="10"/>
  <c r="J159" i="10"/>
  <c r="I159" i="10"/>
  <c r="H159" i="10"/>
  <c r="G159" i="10"/>
  <c r="F159" i="10"/>
  <c r="AE158" i="10"/>
  <c r="AC158" i="10"/>
  <c r="AB158" i="10"/>
  <c r="AA158" i="10"/>
  <c r="Z158" i="10"/>
  <c r="Y158" i="10"/>
  <c r="X158" i="10"/>
  <c r="W158" i="10"/>
  <c r="V158" i="10"/>
  <c r="U158" i="10"/>
  <c r="T158" i="10"/>
  <c r="S158" i="10"/>
  <c r="R158" i="10"/>
  <c r="Q158" i="10"/>
  <c r="P158" i="10"/>
  <c r="O158" i="10"/>
  <c r="N158" i="10"/>
  <c r="M158" i="10"/>
  <c r="L158" i="10"/>
  <c r="K158" i="10"/>
  <c r="J158" i="10"/>
  <c r="I158" i="10"/>
  <c r="H158" i="10"/>
  <c r="G158" i="10"/>
  <c r="F158" i="10"/>
  <c r="AE157" i="10"/>
  <c r="AC157" i="10"/>
  <c r="AB157" i="10"/>
  <c r="AA157" i="10"/>
  <c r="Z157" i="10"/>
  <c r="Y157" i="10"/>
  <c r="X157" i="10"/>
  <c r="W157" i="10"/>
  <c r="V157" i="10"/>
  <c r="U157" i="10"/>
  <c r="T157" i="10"/>
  <c r="S157" i="10"/>
  <c r="R157" i="10"/>
  <c r="Q157" i="10"/>
  <c r="P157" i="10"/>
  <c r="O157" i="10"/>
  <c r="N157" i="10"/>
  <c r="M157" i="10"/>
  <c r="L157" i="10"/>
  <c r="K157" i="10"/>
  <c r="J157" i="10"/>
  <c r="I157" i="10"/>
  <c r="H157" i="10"/>
  <c r="G157" i="10"/>
  <c r="F157" i="10"/>
  <c r="AE156" i="10"/>
  <c r="AC156" i="10"/>
  <c r="AB156" i="10"/>
  <c r="AA156" i="10"/>
  <c r="Z156" i="10"/>
  <c r="Y156" i="10"/>
  <c r="X156" i="10"/>
  <c r="W156" i="10"/>
  <c r="V156" i="10"/>
  <c r="U156" i="10"/>
  <c r="T156" i="10"/>
  <c r="S156" i="10"/>
  <c r="R156" i="10"/>
  <c r="Q156" i="10"/>
  <c r="P156" i="10"/>
  <c r="O156" i="10"/>
  <c r="N156" i="10"/>
  <c r="M156" i="10"/>
  <c r="L156" i="10"/>
  <c r="K156" i="10"/>
  <c r="J156" i="10"/>
  <c r="I156" i="10"/>
  <c r="H156" i="10"/>
  <c r="G156" i="10"/>
  <c r="F156" i="10"/>
  <c r="AE155" i="10"/>
  <c r="AC155" i="10"/>
  <c r="AB155" i="10"/>
  <c r="AA155" i="10"/>
  <c r="Z155" i="10"/>
  <c r="Y155" i="10"/>
  <c r="X155" i="10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AE154" i="10"/>
  <c r="AC154" i="10"/>
  <c r="AB154" i="10"/>
  <c r="AA154" i="10"/>
  <c r="Z154" i="10"/>
  <c r="Y154" i="10"/>
  <c r="X154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AE153" i="10"/>
  <c r="AC153" i="10"/>
  <c r="AB153" i="10"/>
  <c r="AA153" i="10"/>
  <c r="Z153" i="10"/>
  <c r="Y153" i="10"/>
  <c r="X153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AE152" i="10"/>
  <c r="AC152" i="10"/>
  <c r="AB152" i="10"/>
  <c r="AA152" i="10"/>
  <c r="Z152" i="10"/>
  <c r="Y152" i="10"/>
  <c r="X152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AE151" i="10"/>
  <c r="AC151" i="10"/>
  <c r="AB151" i="10"/>
  <c r="AA151" i="10"/>
  <c r="Z151" i="10"/>
  <c r="Y151" i="10"/>
  <c r="X151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AE150" i="10"/>
  <c r="AC150" i="10"/>
  <c r="AB150" i="10"/>
  <c r="AA150" i="10"/>
  <c r="Z150" i="10"/>
  <c r="Y150" i="10"/>
  <c r="X150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AE149" i="10"/>
  <c r="AC149" i="10"/>
  <c r="AB149" i="10"/>
  <c r="AA149" i="10"/>
  <c r="Z149" i="10"/>
  <c r="Y149" i="10"/>
  <c r="X149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AE148" i="10"/>
  <c r="AC148" i="10"/>
  <c r="AB148" i="10"/>
  <c r="AA148" i="10"/>
  <c r="Z148" i="10"/>
  <c r="Y148" i="10"/>
  <c r="X148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AE147" i="10"/>
  <c r="AC147" i="10"/>
  <c r="AB147" i="10"/>
  <c r="AA147" i="10"/>
  <c r="Z147" i="10"/>
  <c r="Y147" i="10"/>
  <c r="X147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AE146" i="10"/>
  <c r="AC146" i="10"/>
  <c r="AB146" i="10"/>
  <c r="AA146" i="10"/>
  <c r="Z146" i="10"/>
  <c r="Y146" i="10"/>
  <c r="X146" i="10"/>
  <c r="W146" i="10"/>
  <c r="V146" i="10"/>
  <c r="U146" i="10"/>
  <c r="T146" i="10"/>
  <c r="S146" i="10"/>
  <c r="R146" i="10"/>
  <c r="Q146" i="10"/>
  <c r="P146" i="10"/>
  <c r="O146" i="10"/>
  <c r="N146" i="10"/>
  <c r="M146" i="10"/>
  <c r="L146" i="10"/>
  <c r="K146" i="10"/>
  <c r="J146" i="10"/>
  <c r="I146" i="10"/>
  <c r="H146" i="10"/>
  <c r="G146" i="10"/>
  <c r="F146" i="10"/>
  <c r="AE145" i="10"/>
  <c r="AC145" i="10"/>
  <c r="AB145" i="10"/>
  <c r="AA145" i="10"/>
  <c r="Z145" i="10"/>
  <c r="Y145" i="10"/>
  <c r="X145" i="10"/>
  <c r="W145" i="10"/>
  <c r="V145" i="10"/>
  <c r="U145" i="10"/>
  <c r="T145" i="10"/>
  <c r="S145" i="10"/>
  <c r="R145" i="10"/>
  <c r="Q145" i="10"/>
  <c r="P145" i="10"/>
  <c r="O145" i="10"/>
  <c r="N145" i="10"/>
  <c r="M145" i="10"/>
  <c r="L145" i="10"/>
  <c r="K145" i="10"/>
  <c r="J145" i="10"/>
  <c r="I145" i="10"/>
  <c r="H145" i="10"/>
  <c r="G145" i="10"/>
  <c r="F145" i="10"/>
  <c r="AE144" i="10"/>
  <c r="AC144" i="10"/>
  <c r="AB144" i="10"/>
  <c r="AA144" i="10"/>
  <c r="Z144" i="10"/>
  <c r="Y144" i="10"/>
  <c r="X144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AE143" i="10"/>
  <c r="AC143" i="10"/>
  <c r="AB143" i="10"/>
  <c r="AA143" i="10"/>
  <c r="Z143" i="10"/>
  <c r="Y143" i="10"/>
  <c r="X143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AE142" i="10"/>
  <c r="AC142" i="10"/>
  <c r="AB142" i="10"/>
  <c r="AA142" i="10"/>
  <c r="Z142" i="10"/>
  <c r="Y142" i="10"/>
  <c r="X142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AE141" i="10"/>
  <c r="AC141" i="10"/>
  <c r="AB141" i="10"/>
  <c r="AA141" i="10"/>
  <c r="Z141" i="10"/>
  <c r="Y141" i="10"/>
  <c r="X141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AE140" i="10"/>
  <c r="AC140" i="10"/>
  <c r="AB140" i="10"/>
  <c r="AA140" i="10"/>
  <c r="Z140" i="10"/>
  <c r="Y140" i="10"/>
  <c r="X140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AE139" i="10"/>
  <c r="AC139" i="10"/>
  <c r="AB139" i="10"/>
  <c r="AA139" i="10"/>
  <c r="Z139" i="10"/>
  <c r="Y139" i="10"/>
  <c r="X139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AE138" i="10"/>
  <c r="AC138" i="10"/>
  <c r="AB138" i="10"/>
  <c r="AA138" i="10"/>
  <c r="Z138" i="10"/>
  <c r="Y138" i="10"/>
  <c r="X138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AE137" i="10"/>
  <c r="AC137" i="10"/>
  <c r="AB137" i="10"/>
  <c r="AA137" i="10"/>
  <c r="Z137" i="10"/>
  <c r="Y137" i="10"/>
  <c r="X137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AE136" i="10"/>
  <c r="AC136" i="10"/>
  <c r="AB136" i="10"/>
  <c r="AA136" i="10"/>
  <c r="Z136" i="10"/>
  <c r="Y136" i="10"/>
  <c r="X136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AE135" i="10"/>
  <c r="AC135" i="10"/>
  <c r="AB135" i="10"/>
  <c r="AA135" i="10"/>
  <c r="Z135" i="10"/>
  <c r="Y135" i="10"/>
  <c r="X135" i="10"/>
  <c r="W135" i="10"/>
  <c r="V135" i="10"/>
  <c r="U135" i="10"/>
  <c r="T135" i="10"/>
  <c r="S135" i="10"/>
  <c r="R135" i="10"/>
  <c r="Q135" i="10"/>
  <c r="P135" i="10"/>
  <c r="O135" i="10"/>
  <c r="N135" i="10"/>
  <c r="M135" i="10"/>
  <c r="L135" i="10"/>
  <c r="K135" i="10"/>
  <c r="J135" i="10"/>
  <c r="I135" i="10"/>
  <c r="H135" i="10"/>
  <c r="G135" i="10"/>
  <c r="F135" i="10"/>
  <c r="AE134" i="10"/>
  <c r="AC134" i="10"/>
  <c r="AB134" i="10"/>
  <c r="AA134" i="10"/>
  <c r="Z134" i="10"/>
  <c r="Y134" i="10"/>
  <c r="X134" i="10"/>
  <c r="W134" i="10"/>
  <c r="V134" i="10"/>
  <c r="U134" i="10"/>
  <c r="T134" i="10"/>
  <c r="S134" i="10"/>
  <c r="R134" i="10"/>
  <c r="Q134" i="10"/>
  <c r="P134" i="10"/>
  <c r="O134" i="10"/>
  <c r="N134" i="10"/>
  <c r="M134" i="10"/>
  <c r="L134" i="10"/>
  <c r="K134" i="10"/>
  <c r="J134" i="10"/>
  <c r="I134" i="10"/>
  <c r="H134" i="10"/>
  <c r="G134" i="10"/>
  <c r="F134" i="10"/>
  <c r="AE133" i="10"/>
  <c r="AC133" i="10"/>
  <c r="AB133" i="10"/>
  <c r="AA133" i="10"/>
  <c r="Z133" i="10"/>
  <c r="Y133" i="10"/>
  <c r="X133" i="10"/>
  <c r="W133" i="10"/>
  <c r="V133" i="10"/>
  <c r="U133" i="10"/>
  <c r="T133" i="10"/>
  <c r="S133" i="10"/>
  <c r="R133" i="10"/>
  <c r="Q133" i="10"/>
  <c r="P133" i="10"/>
  <c r="O133" i="10"/>
  <c r="N133" i="10"/>
  <c r="M133" i="10"/>
  <c r="L133" i="10"/>
  <c r="K133" i="10"/>
  <c r="J133" i="10"/>
  <c r="I133" i="10"/>
  <c r="H133" i="10"/>
  <c r="G133" i="10"/>
  <c r="F133" i="10"/>
  <c r="AE132" i="10"/>
  <c r="AC132" i="10"/>
  <c r="AB132" i="10"/>
  <c r="AA132" i="10"/>
  <c r="Z132" i="10"/>
  <c r="Y132" i="10"/>
  <c r="X132" i="10"/>
  <c r="W132" i="10"/>
  <c r="V132" i="10"/>
  <c r="U132" i="10"/>
  <c r="T132" i="10"/>
  <c r="S132" i="10"/>
  <c r="R132" i="10"/>
  <c r="Q132" i="10"/>
  <c r="P132" i="10"/>
  <c r="O132" i="10"/>
  <c r="N132" i="10"/>
  <c r="M132" i="10"/>
  <c r="L132" i="10"/>
  <c r="K132" i="10"/>
  <c r="J132" i="10"/>
  <c r="I132" i="10"/>
  <c r="H132" i="10"/>
  <c r="G132" i="10"/>
  <c r="F132" i="10"/>
  <c r="AE131" i="10"/>
  <c r="AC131" i="10"/>
  <c r="AB131" i="10"/>
  <c r="AA131" i="10"/>
  <c r="Z131" i="10"/>
  <c r="Y131" i="10"/>
  <c r="X131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AE130" i="10"/>
  <c r="AC130" i="10"/>
  <c r="AB130" i="10"/>
  <c r="AA130" i="10"/>
  <c r="Z130" i="10"/>
  <c r="Y130" i="10"/>
  <c r="X130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AE129" i="10"/>
  <c r="AC129" i="10"/>
  <c r="AB129" i="10"/>
  <c r="AA129" i="10"/>
  <c r="Z129" i="10"/>
  <c r="Y129" i="10"/>
  <c r="X129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AE128" i="10"/>
  <c r="AC128" i="10"/>
  <c r="AB128" i="10"/>
  <c r="AA128" i="10"/>
  <c r="Z128" i="10"/>
  <c r="Y128" i="10"/>
  <c r="X128" i="10"/>
  <c r="W128" i="10"/>
  <c r="V128" i="10"/>
  <c r="U128" i="10"/>
  <c r="T128" i="10"/>
  <c r="S128" i="10"/>
  <c r="R128" i="10"/>
  <c r="Q128" i="10"/>
  <c r="P128" i="10"/>
  <c r="O128" i="10"/>
  <c r="N128" i="10"/>
  <c r="M128" i="10"/>
  <c r="L128" i="10"/>
  <c r="K128" i="10"/>
  <c r="J128" i="10"/>
  <c r="I128" i="10"/>
  <c r="H128" i="10"/>
  <c r="G128" i="10"/>
  <c r="F128" i="10"/>
  <c r="AE127" i="10"/>
  <c r="AC127" i="10"/>
  <c r="AB127" i="10"/>
  <c r="AA127" i="10"/>
  <c r="Z127" i="10"/>
  <c r="Y127" i="10"/>
  <c r="X127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AE126" i="10"/>
  <c r="AC126" i="10"/>
  <c r="AB126" i="10"/>
  <c r="AA126" i="10"/>
  <c r="Z126" i="10"/>
  <c r="Y126" i="10"/>
  <c r="X126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AE125" i="10"/>
  <c r="AC125" i="10"/>
  <c r="AB125" i="10"/>
  <c r="AA125" i="10"/>
  <c r="Z125" i="10"/>
  <c r="Y125" i="10"/>
  <c r="X125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AE124" i="10"/>
  <c r="AC124" i="10"/>
  <c r="AB124" i="10"/>
  <c r="AA124" i="10"/>
  <c r="Z124" i="10"/>
  <c r="Y124" i="10"/>
  <c r="X124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AE123" i="10"/>
  <c r="AC123" i="10"/>
  <c r="AB123" i="10"/>
  <c r="AA123" i="10"/>
  <c r="Z123" i="10"/>
  <c r="Y123" i="10"/>
  <c r="X123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AE122" i="10"/>
  <c r="AC122" i="10"/>
  <c r="AB122" i="10"/>
  <c r="AA122" i="10"/>
  <c r="Z122" i="10"/>
  <c r="Y122" i="10"/>
  <c r="X122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AE121" i="10"/>
  <c r="AC121" i="10"/>
  <c r="AB121" i="10"/>
  <c r="AA121" i="10"/>
  <c r="Z121" i="10"/>
  <c r="Y121" i="10"/>
  <c r="X121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AE120" i="10"/>
  <c r="AC120" i="10"/>
  <c r="AB120" i="10"/>
  <c r="AA120" i="10"/>
  <c r="Z120" i="10"/>
  <c r="Y120" i="10"/>
  <c r="X120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AE119" i="10"/>
  <c r="AC119" i="10"/>
  <c r="AB119" i="10"/>
  <c r="AA119" i="10"/>
  <c r="Z119" i="10"/>
  <c r="Y119" i="10"/>
  <c r="X119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AE118" i="10"/>
  <c r="AC118" i="10"/>
  <c r="AB118" i="10"/>
  <c r="AA118" i="10"/>
  <c r="Z118" i="10"/>
  <c r="Y118" i="10"/>
  <c r="X118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AE117" i="10"/>
  <c r="AC117" i="10"/>
  <c r="AB117" i="10"/>
  <c r="AA117" i="10"/>
  <c r="Z117" i="10"/>
  <c r="Y117" i="10"/>
  <c r="X117" i="10"/>
  <c r="W117" i="10"/>
  <c r="V117" i="10"/>
  <c r="U117" i="10"/>
  <c r="T117" i="10"/>
  <c r="S117" i="10"/>
  <c r="R117" i="10"/>
  <c r="Q117" i="10"/>
  <c r="P117" i="10"/>
  <c r="O117" i="10"/>
  <c r="N117" i="10"/>
  <c r="M117" i="10"/>
  <c r="L117" i="10"/>
  <c r="K117" i="10"/>
  <c r="J117" i="10"/>
  <c r="I117" i="10"/>
  <c r="H117" i="10"/>
  <c r="G117" i="10"/>
  <c r="F117" i="10"/>
  <c r="AE116" i="10"/>
  <c r="AC116" i="10"/>
  <c r="AB116" i="10"/>
  <c r="AA116" i="10"/>
  <c r="Z116" i="10"/>
  <c r="Y116" i="10"/>
  <c r="X116" i="10"/>
  <c r="W116" i="10"/>
  <c r="V116" i="10"/>
  <c r="U116" i="10"/>
  <c r="T116" i="10"/>
  <c r="S116" i="10"/>
  <c r="R116" i="10"/>
  <c r="Q116" i="10"/>
  <c r="P116" i="10"/>
  <c r="O116" i="10"/>
  <c r="N116" i="10"/>
  <c r="M116" i="10"/>
  <c r="L116" i="10"/>
  <c r="K116" i="10"/>
  <c r="J116" i="10"/>
  <c r="I116" i="10"/>
  <c r="H116" i="10"/>
  <c r="G116" i="10"/>
  <c r="F116" i="10"/>
  <c r="AE115" i="10"/>
  <c r="AC115" i="10"/>
  <c r="AB115" i="10"/>
  <c r="AA115" i="10"/>
  <c r="Z115" i="10"/>
  <c r="Y115" i="10"/>
  <c r="X115" i="10"/>
  <c r="W115" i="10"/>
  <c r="V115" i="10"/>
  <c r="U115" i="10"/>
  <c r="T115" i="10"/>
  <c r="S115" i="10"/>
  <c r="R115" i="10"/>
  <c r="Q115" i="10"/>
  <c r="P115" i="10"/>
  <c r="O115" i="10"/>
  <c r="N115" i="10"/>
  <c r="M115" i="10"/>
  <c r="L115" i="10"/>
  <c r="K115" i="10"/>
  <c r="J115" i="10"/>
  <c r="I115" i="10"/>
  <c r="H115" i="10"/>
  <c r="G115" i="10"/>
  <c r="F115" i="10"/>
  <c r="AE114" i="10"/>
  <c r="AC114" i="10"/>
  <c r="AB114" i="10"/>
  <c r="AA114" i="10"/>
  <c r="Z114" i="10"/>
  <c r="Y114" i="10"/>
  <c r="X114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AE113" i="10"/>
  <c r="AC113" i="10"/>
  <c r="AB113" i="10"/>
  <c r="AA113" i="10"/>
  <c r="Z113" i="10"/>
  <c r="Y113" i="10"/>
  <c r="X113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AE112" i="10"/>
  <c r="AC112" i="10"/>
  <c r="AB112" i="10"/>
  <c r="AA112" i="10"/>
  <c r="Z112" i="10"/>
  <c r="Y112" i="10"/>
  <c r="X112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AE111" i="10"/>
  <c r="AC111" i="10"/>
  <c r="AB111" i="10"/>
  <c r="AA111" i="10"/>
  <c r="Z111" i="10"/>
  <c r="Y111" i="10"/>
  <c r="X111" i="10"/>
  <c r="W111" i="10"/>
  <c r="V111" i="10"/>
  <c r="U111" i="10"/>
  <c r="T111" i="10"/>
  <c r="S111" i="10"/>
  <c r="R111" i="10"/>
  <c r="Q111" i="10"/>
  <c r="P111" i="10"/>
  <c r="O111" i="10"/>
  <c r="N111" i="10"/>
  <c r="M111" i="10"/>
  <c r="L111" i="10"/>
  <c r="K111" i="10"/>
  <c r="J111" i="10"/>
  <c r="I111" i="10"/>
  <c r="H111" i="10"/>
  <c r="G111" i="10"/>
  <c r="F111" i="10"/>
  <c r="AE110" i="10"/>
  <c r="AC110" i="10"/>
  <c r="AB110" i="10"/>
  <c r="AA110" i="10"/>
  <c r="Z110" i="10"/>
  <c r="Y110" i="10"/>
  <c r="X110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AE109" i="10"/>
  <c r="AC109" i="10"/>
  <c r="AB109" i="10"/>
  <c r="AA109" i="10"/>
  <c r="Z109" i="10"/>
  <c r="Y109" i="10"/>
  <c r="X109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AE108" i="10"/>
  <c r="AC108" i="10"/>
  <c r="AB108" i="10"/>
  <c r="AA108" i="10"/>
  <c r="Z108" i="10"/>
  <c r="Y108" i="10"/>
  <c r="X108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AE107" i="10"/>
  <c r="AC107" i="10"/>
  <c r="AB107" i="10"/>
  <c r="AA107" i="10"/>
  <c r="Z107" i="10"/>
  <c r="Y107" i="10"/>
  <c r="X107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AE106" i="10"/>
  <c r="AC106" i="10"/>
  <c r="AB106" i="10"/>
  <c r="AA106" i="10"/>
  <c r="Z106" i="10"/>
  <c r="Y106" i="10"/>
  <c r="X106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AE105" i="10"/>
  <c r="AC105" i="10"/>
  <c r="AB105" i="10"/>
  <c r="AA105" i="10"/>
  <c r="Z105" i="10"/>
  <c r="Y105" i="10"/>
  <c r="X105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AE104" i="10"/>
  <c r="AC104" i="10"/>
  <c r="AB104" i="10"/>
  <c r="AA104" i="10"/>
  <c r="Z104" i="10"/>
  <c r="Y104" i="10"/>
  <c r="X104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AE103" i="10"/>
  <c r="AC103" i="10"/>
  <c r="AB103" i="10"/>
  <c r="AA103" i="10"/>
  <c r="Z103" i="10"/>
  <c r="Y103" i="10"/>
  <c r="X103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AE102" i="10"/>
  <c r="AC102" i="10"/>
  <c r="AB102" i="10"/>
  <c r="AA102" i="10"/>
  <c r="Z102" i="10"/>
  <c r="Y102" i="10"/>
  <c r="X102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AE101" i="10"/>
  <c r="AC101" i="10"/>
  <c r="AB101" i="10"/>
  <c r="AA101" i="10"/>
  <c r="Z101" i="10"/>
  <c r="Y101" i="10"/>
  <c r="X101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AE100" i="10"/>
  <c r="AC100" i="10"/>
  <c r="AB100" i="10"/>
  <c r="AA100" i="10"/>
  <c r="Z100" i="10"/>
  <c r="Y100" i="10"/>
  <c r="X100" i="10"/>
  <c r="W100" i="10"/>
  <c r="V100" i="10"/>
  <c r="U100" i="10"/>
  <c r="T100" i="10"/>
  <c r="S100" i="10"/>
  <c r="R100" i="10"/>
  <c r="Q100" i="10"/>
  <c r="P100" i="10"/>
  <c r="O100" i="10"/>
  <c r="N100" i="10"/>
  <c r="M100" i="10"/>
  <c r="L100" i="10"/>
  <c r="K100" i="10"/>
  <c r="J100" i="10"/>
  <c r="I100" i="10"/>
  <c r="H100" i="10"/>
  <c r="G100" i="10"/>
  <c r="F100" i="10"/>
  <c r="AE99" i="10"/>
  <c r="AC99" i="10"/>
  <c r="AB99" i="10"/>
  <c r="AA99" i="10"/>
  <c r="Z99" i="10"/>
  <c r="Y99" i="10"/>
  <c r="X99" i="10"/>
  <c r="W99" i="10"/>
  <c r="V99" i="10"/>
  <c r="U99" i="10"/>
  <c r="T99" i="10"/>
  <c r="S99" i="10"/>
  <c r="R99" i="10"/>
  <c r="Q99" i="10"/>
  <c r="P99" i="10"/>
  <c r="O99" i="10"/>
  <c r="N99" i="10"/>
  <c r="M99" i="10"/>
  <c r="L99" i="10"/>
  <c r="K99" i="10"/>
  <c r="J99" i="10"/>
  <c r="I99" i="10"/>
  <c r="H99" i="10"/>
  <c r="G99" i="10"/>
  <c r="F99" i="10"/>
  <c r="AE98" i="10"/>
  <c r="AC98" i="10"/>
  <c r="AB98" i="10"/>
  <c r="AA98" i="10"/>
  <c r="Z98" i="10"/>
  <c r="Y98" i="10"/>
  <c r="X98" i="10"/>
  <c r="W98" i="10"/>
  <c r="V98" i="10"/>
  <c r="U98" i="10"/>
  <c r="T98" i="10"/>
  <c r="S98" i="10"/>
  <c r="R98" i="10"/>
  <c r="Q98" i="10"/>
  <c r="P98" i="10"/>
  <c r="O98" i="10"/>
  <c r="N98" i="10"/>
  <c r="M98" i="10"/>
  <c r="L98" i="10"/>
  <c r="K98" i="10"/>
  <c r="J98" i="10"/>
  <c r="I98" i="10"/>
  <c r="H98" i="10"/>
  <c r="G98" i="10"/>
  <c r="F98" i="10"/>
  <c r="AE97" i="10"/>
  <c r="AC97" i="10"/>
  <c r="AB97" i="10"/>
  <c r="AA97" i="10"/>
  <c r="Z97" i="10"/>
  <c r="Y97" i="10"/>
  <c r="X97" i="10"/>
  <c r="W97" i="10"/>
  <c r="V97" i="10"/>
  <c r="U97" i="10"/>
  <c r="T97" i="10"/>
  <c r="S97" i="10"/>
  <c r="R97" i="10"/>
  <c r="Q97" i="10"/>
  <c r="P97" i="10"/>
  <c r="O97" i="10"/>
  <c r="N97" i="10"/>
  <c r="M97" i="10"/>
  <c r="L97" i="10"/>
  <c r="K97" i="10"/>
  <c r="J97" i="10"/>
  <c r="I97" i="10"/>
  <c r="H97" i="10"/>
  <c r="G97" i="10"/>
  <c r="F97" i="10"/>
  <c r="AE96" i="10"/>
  <c r="AC96" i="10"/>
  <c r="AB96" i="10"/>
  <c r="AA96" i="10"/>
  <c r="Z96" i="10"/>
  <c r="Y96" i="10"/>
  <c r="X96" i="10"/>
  <c r="W96" i="10"/>
  <c r="V96" i="10"/>
  <c r="U96" i="10"/>
  <c r="T96" i="10"/>
  <c r="S96" i="10"/>
  <c r="R96" i="10"/>
  <c r="Q96" i="10"/>
  <c r="P96" i="10"/>
  <c r="O96" i="10"/>
  <c r="N96" i="10"/>
  <c r="M96" i="10"/>
  <c r="L96" i="10"/>
  <c r="K96" i="10"/>
  <c r="J96" i="10"/>
  <c r="I96" i="10"/>
  <c r="H96" i="10"/>
  <c r="G96" i="10"/>
  <c r="F96" i="10"/>
  <c r="AE95" i="10"/>
  <c r="AC95" i="10"/>
  <c r="AB95" i="10"/>
  <c r="AA95" i="10"/>
  <c r="Z95" i="10"/>
  <c r="Y95" i="10"/>
  <c r="X95" i="10"/>
  <c r="W95" i="10"/>
  <c r="V95" i="10"/>
  <c r="U95" i="10"/>
  <c r="T95" i="10"/>
  <c r="S95" i="10"/>
  <c r="R95" i="10"/>
  <c r="Q95" i="10"/>
  <c r="P95" i="10"/>
  <c r="O95" i="10"/>
  <c r="N95" i="10"/>
  <c r="M95" i="10"/>
  <c r="L95" i="10"/>
  <c r="K95" i="10"/>
  <c r="J95" i="10"/>
  <c r="I95" i="10"/>
  <c r="H95" i="10"/>
  <c r="G95" i="10"/>
  <c r="F95" i="10"/>
  <c r="AE94" i="10"/>
  <c r="AC94" i="10"/>
  <c r="AB94" i="10"/>
  <c r="AA94" i="10"/>
  <c r="Z94" i="10"/>
  <c r="Y94" i="10"/>
  <c r="X94" i="10"/>
  <c r="W94" i="10"/>
  <c r="V94" i="10"/>
  <c r="U94" i="10"/>
  <c r="T94" i="10"/>
  <c r="S94" i="10"/>
  <c r="R94" i="10"/>
  <c r="Q94" i="10"/>
  <c r="P94" i="10"/>
  <c r="O94" i="10"/>
  <c r="N94" i="10"/>
  <c r="M94" i="10"/>
  <c r="L94" i="10"/>
  <c r="K94" i="10"/>
  <c r="J94" i="10"/>
  <c r="I94" i="10"/>
  <c r="H94" i="10"/>
  <c r="G94" i="10"/>
  <c r="F94" i="10"/>
  <c r="AE93" i="10"/>
  <c r="AC93" i="10"/>
  <c r="AB93" i="10"/>
  <c r="AA93" i="10"/>
  <c r="Z93" i="10"/>
  <c r="Y93" i="10"/>
  <c r="X93" i="10"/>
  <c r="W93" i="10"/>
  <c r="V93" i="10"/>
  <c r="U93" i="10"/>
  <c r="T93" i="10"/>
  <c r="S93" i="10"/>
  <c r="R93" i="10"/>
  <c r="Q93" i="10"/>
  <c r="P93" i="10"/>
  <c r="O93" i="10"/>
  <c r="N93" i="10"/>
  <c r="M93" i="10"/>
  <c r="L93" i="10"/>
  <c r="K93" i="10"/>
  <c r="J93" i="10"/>
  <c r="I93" i="10"/>
  <c r="H93" i="10"/>
  <c r="G93" i="10"/>
  <c r="F93" i="10"/>
  <c r="AE92" i="10"/>
  <c r="AC92" i="10"/>
  <c r="AB92" i="10"/>
  <c r="AA92" i="10"/>
  <c r="Z92" i="10"/>
  <c r="Y92" i="10"/>
  <c r="X92" i="10"/>
  <c r="W92" i="10"/>
  <c r="V92" i="10"/>
  <c r="U92" i="10"/>
  <c r="T92" i="10"/>
  <c r="S92" i="10"/>
  <c r="R92" i="10"/>
  <c r="Q92" i="10"/>
  <c r="P92" i="10"/>
  <c r="O92" i="10"/>
  <c r="N92" i="10"/>
  <c r="M92" i="10"/>
  <c r="L92" i="10"/>
  <c r="K92" i="10"/>
  <c r="J92" i="10"/>
  <c r="I92" i="10"/>
  <c r="H92" i="10"/>
  <c r="G92" i="10"/>
  <c r="F92" i="10"/>
  <c r="AE91" i="10"/>
  <c r="AC91" i="10"/>
  <c r="AB91" i="10"/>
  <c r="AA91" i="10"/>
  <c r="Z91" i="10"/>
  <c r="Y91" i="10"/>
  <c r="X91" i="10"/>
  <c r="W91" i="10"/>
  <c r="V91" i="10"/>
  <c r="U91" i="10"/>
  <c r="T91" i="10"/>
  <c r="S91" i="10"/>
  <c r="R91" i="10"/>
  <c r="Q91" i="10"/>
  <c r="P91" i="10"/>
  <c r="O91" i="10"/>
  <c r="N91" i="10"/>
  <c r="M91" i="10"/>
  <c r="L91" i="10"/>
  <c r="K91" i="10"/>
  <c r="J91" i="10"/>
  <c r="I91" i="10"/>
  <c r="H91" i="10"/>
  <c r="G91" i="10"/>
  <c r="F91" i="10"/>
  <c r="AE90" i="10"/>
  <c r="AC90" i="10"/>
  <c r="AB90" i="10"/>
  <c r="AA90" i="10"/>
  <c r="Z90" i="10"/>
  <c r="Y90" i="10"/>
  <c r="X90" i="10"/>
  <c r="W90" i="10"/>
  <c r="V90" i="10"/>
  <c r="U90" i="10"/>
  <c r="T90" i="10"/>
  <c r="S90" i="10"/>
  <c r="R90" i="10"/>
  <c r="Q90" i="10"/>
  <c r="P90" i="10"/>
  <c r="O90" i="10"/>
  <c r="N90" i="10"/>
  <c r="M90" i="10"/>
  <c r="L90" i="10"/>
  <c r="K90" i="10"/>
  <c r="J90" i="10"/>
  <c r="I90" i="10"/>
  <c r="H90" i="10"/>
  <c r="G90" i="10"/>
  <c r="F90" i="10"/>
  <c r="AE89" i="10"/>
  <c r="AC89" i="10"/>
  <c r="AB89" i="10"/>
  <c r="AA89" i="10"/>
  <c r="Z89" i="10"/>
  <c r="Y89" i="10"/>
  <c r="X89" i="10"/>
  <c r="W89" i="10"/>
  <c r="V89" i="10"/>
  <c r="U89" i="10"/>
  <c r="T89" i="10"/>
  <c r="S89" i="10"/>
  <c r="R89" i="10"/>
  <c r="Q89" i="10"/>
  <c r="P89" i="10"/>
  <c r="O89" i="10"/>
  <c r="N89" i="10"/>
  <c r="M89" i="10"/>
  <c r="L89" i="10"/>
  <c r="K89" i="10"/>
  <c r="J89" i="10"/>
  <c r="I89" i="10"/>
  <c r="H89" i="10"/>
  <c r="G89" i="10"/>
  <c r="F89" i="10"/>
  <c r="AE88" i="10"/>
  <c r="AC88" i="10"/>
  <c r="AB88" i="10"/>
  <c r="AA88" i="10"/>
  <c r="Z88" i="10"/>
  <c r="Y88" i="10"/>
  <c r="X88" i="10"/>
  <c r="W88" i="10"/>
  <c r="V88" i="10"/>
  <c r="U88" i="10"/>
  <c r="T88" i="10"/>
  <c r="S88" i="10"/>
  <c r="R88" i="10"/>
  <c r="Q88" i="10"/>
  <c r="P88" i="10"/>
  <c r="O88" i="10"/>
  <c r="N88" i="10"/>
  <c r="M88" i="10"/>
  <c r="L88" i="10"/>
  <c r="K88" i="10"/>
  <c r="J88" i="10"/>
  <c r="I88" i="10"/>
  <c r="H88" i="10"/>
  <c r="G88" i="10"/>
  <c r="F88" i="10"/>
  <c r="AE87" i="10"/>
  <c r="AC87" i="10"/>
  <c r="AB87" i="10"/>
  <c r="AA87" i="10"/>
  <c r="Z87" i="10"/>
  <c r="Y87" i="10"/>
  <c r="X87" i="10"/>
  <c r="W87" i="10"/>
  <c r="V87" i="10"/>
  <c r="U87" i="10"/>
  <c r="T87" i="10"/>
  <c r="S87" i="10"/>
  <c r="R87" i="10"/>
  <c r="Q87" i="10"/>
  <c r="P87" i="10"/>
  <c r="O87" i="10"/>
  <c r="N87" i="10"/>
  <c r="M87" i="10"/>
  <c r="L87" i="10"/>
  <c r="K87" i="10"/>
  <c r="J87" i="10"/>
  <c r="I87" i="10"/>
  <c r="H87" i="10"/>
  <c r="G87" i="10"/>
  <c r="F87" i="10"/>
  <c r="AE86" i="10"/>
  <c r="AC86" i="10"/>
  <c r="AB86" i="10"/>
  <c r="AA86" i="10"/>
  <c r="Z86" i="10"/>
  <c r="Y86" i="10"/>
  <c r="X86" i="10"/>
  <c r="W86" i="10"/>
  <c r="V86" i="10"/>
  <c r="U86" i="10"/>
  <c r="T86" i="10"/>
  <c r="S86" i="10"/>
  <c r="R86" i="10"/>
  <c r="Q86" i="10"/>
  <c r="P86" i="10"/>
  <c r="O86" i="10"/>
  <c r="N86" i="10"/>
  <c r="M86" i="10"/>
  <c r="L86" i="10"/>
  <c r="K86" i="10"/>
  <c r="J86" i="10"/>
  <c r="I86" i="10"/>
  <c r="H86" i="10"/>
  <c r="G86" i="10"/>
  <c r="F86" i="10"/>
  <c r="AE85" i="10"/>
  <c r="AC85" i="10"/>
  <c r="AB85" i="10"/>
  <c r="AA85" i="10"/>
  <c r="Z85" i="10"/>
  <c r="Y85" i="10"/>
  <c r="X85" i="10"/>
  <c r="W85" i="10"/>
  <c r="V85" i="10"/>
  <c r="U85" i="10"/>
  <c r="T85" i="10"/>
  <c r="S85" i="10"/>
  <c r="R85" i="10"/>
  <c r="Q85" i="10"/>
  <c r="P85" i="10"/>
  <c r="O85" i="10"/>
  <c r="N85" i="10"/>
  <c r="M85" i="10"/>
  <c r="L85" i="10"/>
  <c r="K85" i="10"/>
  <c r="J85" i="10"/>
  <c r="I85" i="10"/>
  <c r="H85" i="10"/>
  <c r="G85" i="10"/>
  <c r="F85" i="10"/>
  <c r="AE84" i="10"/>
  <c r="AC84" i="10"/>
  <c r="AB84" i="10"/>
  <c r="AA84" i="10"/>
  <c r="Z84" i="10"/>
  <c r="Y84" i="10"/>
  <c r="X84" i="10"/>
  <c r="W84" i="10"/>
  <c r="V84" i="10"/>
  <c r="U84" i="10"/>
  <c r="T84" i="10"/>
  <c r="S84" i="10"/>
  <c r="R84" i="10"/>
  <c r="Q84" i="10"/>
  <c r="P84" i="10"/>
  <c r="O84" i="10"/>
  <c r="N84" i="10"/>
  <c r="M84" i="10"/>
  <c r="L84" i="10"/>
  <c r="K84" i="10"/>
  <c r="J84" i="10"/>
  <c r="I84" i="10"/>
  <c r="H84" i="10"/>
  <c r="G84" i="10"/>
  <c r="F84" i="10"/>
  <c r="AE83" i="10"/>
  <c r="AC83" i="10"/>
  <c r="AB83" i="10"/>
  <c r="AA83" i="10"/>
  <c r="Z83" i="10"/>
  <c r="Y83" i="10"/>
  <c r="X83" i="10"/>
  <c r="W83" i="10"/>
  <c r="V83" i="10"/>
  <c r="U83" i="10"/>
  <c r="T83" i="10"/>
  <c r="S83" i="10"/>
  <c r="R83" i="10"/>
  <c r="Q83" i="10"/>
  <c r="P83" i="10"/>
  <c r="O83" i="10"/>
  <c r="N83" i="10"/>
  <c r="M83" i="10"/>
  <c r="L83" i="10"/>
  <c r="K83" i="10"/>
  <c r="J83" i="10"/>
  <c r="I83" i="10"/>
  <c r="H83" i="10"/>
  <c r="G83" i="10"/>
  <c r="F83" i="10"/>
  <c r="AE82" i="10"/>
  <c r="AC82" i="10"/>
  <c r="AB82" i="10"/>
  <c r="AA82" i="10"/>
  <c r="Z82" i="10"/>
  <c r="Y82" i="10"/>
  <c r="X82" i="10"/>
  <c r="W82" i="10"/>
  <c r="V82" i="10"/>
  <c r="U82" i="10"/>
  <c r="T82" i="10"/>
  <c r="S82" i="10"/>
  <c r="R82" i="10"/>
  <c r="Q82" i="10"/>
  <c r="P82" i="10"/>
  <c r="O82" i="10"/>
  <c r="N82" i="10"/>
  <c r="M82" i="10"/>
  <c r="L82" i="10"/>
  <c r="K82" i="10"/>
  <c r="J82" i="10"/>
  <c r="I82" i="10"/>
  <c r="H82" i="10"/>
  <c r="G82" i="10"/>
  <c r="F82" i="10"/>
  <c r="AE81" i="10"/>
  <c r="AC81" i="10"/>
  <c r="AB81" i="10"/>
  <c r="AA81" i="10"/>
  <c r="Z81" i="10"/>
  <c r="Y81" i="10"/>
  <c r="X81" i="10"/>
  <c r="W81" i="10"/>
  <c r="V81" i="10"/>
  <c r="U81" i="10"/>
  <c r="T81" i="10"/>
  <c r="S81" i="10"/>
  <c r="R81" i="10"/>
  <c r="Q81" i="10"/>
  <c r="P81" i="10"/>
  <c r="O81" i="10"/>
  <c r="N81" i="10"/>
  <c r="M81" i="10"/>
  <c r="L81" i="10"/>
  <c r="K81" i="10"/>
  <c r="J81" i="10"/>
  <c r="I81" i="10"/>
  <c r="H81" i="10"/>
  <c r="G81" i="10"/>
  <c r="F81" i="10"/>
  <c r="AE80" i="10"/>
  <c r="AC80" i="10"/>
  <c r="AB80" i="10"/>
  <c r="AA80" i="10"/>
  <c r="Z80" i="10"/>
  <c r="Y80" i="10"/>
  <c r="X80" i="10"/>
  <c r="W80" i="10"/>
  <c r="V80" i="10"/>
  <c r="U80" i="10"/>
  <c r="T80" i="10"/>
  <c r="S80" i="10"/>
  <c r="R80" i="10"/>
  <c r="Q80" i="10"/>
  <c r="P80" i="10"/>
  <c r="O80" i="10"/>
  <c r="N80" i="10"/>
  <c r="M80" i="10"/>
  <c r="L80" i="10"/>
  <c r="K80" i="10"/>
  <c r="J80" i="10"/>
  <c r="I80" i="10"/>
  <c r="H80" i="10"/>
  <c r="G80" i="10"/>
  <c r="F80" i="10"/>
  <c r="AE79" i="10"/>
  <c r="AC79" i="10"/>
  <c r="AB79" i="10"/>
  <c r="AA79" i="10"/>
  <c r="Z79" i="10"/>
  <c r="Y79" i="10"/>
  <c r="X79" i="10"/>
  <c r="W79" i="10"/>
  <c r="V79" i="10"/>
  <c r="U79" i="10"/>
  <c r="T79" i="10"/>
  <c r="S79" i="10"/>
  <c r="R79" i="10"/>
  <c r="Q79" i="10"/>
  <c r="P79" i="10"/>
  <c r="O79" i="10"/>
  <c r="N79" i="10"/>
  <c r="M79" i="10"/>
  <c r="L79" i="10"/>
  <c r="K79" i="10"/>
  <c r="J79" i="10"/>
  <c r="I79" i="10"/>
  <c r="H79" i="10"/>
  <c r="G79" i="10"/>
  <c r="F79" i="10"/>
  <c r="AE78" i="10"/>
  <c r="AC78" i="10"/>
  <c r="AB78" i="10"/>
  <c r="AA78" i="10"/>
  <c r="Z78" i="10"/>
  <c r="Y78" i="10"/>
  <c r="X78" i="10"/>
  <c r="W78" i="10"/>
  <c r="V78" i="10"/>
  <c r="U78" i="10"/>
  <c r="T78" i="10"/>
  <c r="S78" i="10"/>
  <c r="R78" i="10"/>
  <c r="Q78" i="10"/>
  <c r="P78" i="10"/>
  <c r="O78" i="10"/>
  <c r="N78" i="10"/>
  <c r="M78" i="10"/>
  <c r="L78" i="10"/>
  <c r="K78" i="10"/>
  <c r="J78" i="10"/>
  <c r="I78" i="10"/>
  <c r="H78" i="10"/>
  <c r="G78" i="10"/>
  <c r="F78" i="10"/>
  <c r="AE77" i="10"/>
  <c r="AC77" i="10"/>
  <c r="AB77" i="10"/>
  <c r="AA77" i="10"/>
  <c r="Z77" i="10"/>
  <c r="Y77" i="10"/>
  <c r="X77" i="10"/>
  <c r="W77" i="10"/>
  <c r="V77" i="10"/>
  <c r="U77" i="10"/>
  <c r="T77" i="10"/>
  <c r="S77" i="10"/>
  <c r="R77" i="10"/>
  <c r="Q77" i="10"/>
  <c r="P77" i="10"/>
  <c r="O77" i="10"/>
  <c r="N77" i="10"/>
  <c r="M77" i="10"/>
  <c r="L77" i="10"/>
  <c r="K77" i="10"/>
  <c r="J77" i="10"/>
  <c r="I77" i="10"/>
  <c r="H77" i="10"/>
  <c r="G77" i="10"/>
  <c r="F77" i="10"/>
  <c r="AE76" i="10"/>
  <c r="AC76" i="10"/>
  <c r="AB76" i="10"/>
  <c r="AA76" i="10"/>
  <c r="Z76" i="10"/>
  <c r="Y76" i="10"/>
  <c r="X76" i="10"/>
  <c r="W76" i="10"/>
  <c r="V76" i="10"/>
  <c r="U76" i="10"/>
  <c r="T76" i="10"/>
  <c r="S76" i="10"/>
  <c r="R76" i="10"/>
  <c r="Q76" i="10"/>
  <c r="P76" i="10"/>
  <c r="O76" i="10"/>
  <c r="N76" i="10"/>
  <c r="M76" i="10"/>
  <c r="L76" i="10"/>
  <c r="K76" i="10"/>
  <c r="J76" i="10"/>
  <c r="I76" i="10"/>
  <c r="H76" i="10"/>
  <c r="G76" i="10"/>
  <c r="F76" i="10"/>
  <c r="AE75" i="10"/>
  <c r="AC75" i="10"/>
  <c r="AB75" i="10"/>
  <c r="AA75" i="10"/>
  <c r="Z75" i="10"/>
  <c r="Y75" i="10"/>
  <c r="X75" i="10"/>
  <c r="W75" i="10"/>
  <c r="V75" i="10"/>
  <c r="U75" i="10"/>
  <c r="T75" i="10"/>
  <c r="S75" i="10"/>
  <c r="R75" i="10"/>
  <c r="Q75" i="10"/>
  <c r="P75" i="10"/>
  <c r="O75" i="10"/>
  <c r="N75" i="10"/>
  <c r="M75" i="10"/>
  <c r="L75" i="10"/>
  <c r="K75" i="10"/>
  <c r="J75" i="10"/>
  <c r="I75" i="10"/>
  <c r="H75" i="10"/>
  <c r="G75" i="10"/>
  <c r="F75" i="10"/>
  <c r="AE74" i="10"/>
  <c r="AC74" i="10"/>
  <c r="AB74" i="10"/>
  <c r="AA74" i="10"/>
  <c r="Z74" i="10"/>
  <c r="Y74" i="10"/>
  <c r="X74" i="10"/>
  <c r="W74" i="10"/>
  <c r="V74" i="10"/>
  <c r="U74" i="10"/>
  <c r="T74" i="10"/>
  <c r="S74" i="10"/>
  <c r="R74" i="10"/>
  <c r="Q74" i="10"/>
  <c r="P74" i="10"/>
  <c r="O74" i="10"/>
  <c r="N74" i="10"/>
  <c r="M74" i="10"/>
  <c r="L74" i="10"/>
  <c r="K74" i="10"/>
  <c r="J74" i="10"/>
  <c r="I74" i="10"/>
  <c r="H74" i="10"/>
  <c r="G74" i="10"/>
  <c r="F74" i="10"/>
  <c r="AE73" i="10"/>
  <c r="AC73" i="10"/>
  <c r="AB73" i="10"/>
  <c r="AA73" i="10"/>
  <c r="Z73" i="10"/>
  <c r="Y73" i="10"/>
  <c r="X73" i="10"/>
  <c r="W73" i="10"/>
  <c r="V73" i="10"/>
  <c r="U73" i="10"/>
  <c r="T73" i="10"/>
  <c r="S73" i="10"/>
  <c r="R73" i="10"/>
  <c r="Q73" i="10"/>
  <c r="P73" i="10"/>
  <c r="O73" i="10"/>
  <c r="N73" i="10"/>
  <c r="M73" i="10"/>
  <c r="L73" i="10"/>
  <c r="K73" i="10"/>
  <c r="J73" i="10"/>
  <c r="I73" i="10"/>
  <c r="H73" i="10"/>
  <c r="G73" i="10"/>
  <c r="F73" i="10"/>
  <c r="AE72" i="10"/>
  <c r="AC72" i="10"/>
  <c r="AB72" i="10"/>
  <c r="AA72" i="10"/>
  <c r="Z72" i="10"/>
  <c r="Y72" i="10"/>
  <c r="X72" i="10"/>
  <c r="W72" i="10"/>
  <c r="V72" i="10"/>
  <c r="U72" i="10"/>
  <c r="T72" i="10"/>
  <c r="S72" i="10"/>
  <c r="R72" i="10"/>
  <c r="Q72" i="10"/>
  <c r="P72" i="10"/>
  <c r="O72" i="10"/>
  <c r="N72" i="10"/>
  <c r="M72" i="10"/>
  <c r="L72" i="10"/>
  <c r="K72" i="10"/>
  <c r="J72" i="10"/>
  <c r="I72" i="10"/>
  <c r="H72" i="10"/>
  <c r="G72" i="10"/>
  <c r="F72" i="10"/>
  <c r="AE71" i="10"/>
  <c r="AC71" i="10"/>
  <c r="AB71" i="10"/>
  <c r="AA71" i="10"/>
  <c r="Z71" i="10"/>
  <c r="Y71" i="10"/>
  <c r="X71" i="10"/>
  <c r="W71" i="10"/>
  <c r="V71" i="10"/>
  <c r="U71" i="10"/>
  <c r="T71" i="10"/>
  <c r="S71" i="10"/>
  <c r="R71" i="10"/>
  <c r="Q71" i="10"/>
  <c r="P71" i="10"/>
  <c r="O71" i="10"/>
  <c r="N71" i="10"/>
  <c r="M71" i="10"/>
  <c r="L71" i="10"/>
  <c r="K71" i="10"/>
  <c r="J71" i="10"/>
  <c r="I71" i="10"/>
  <c r="H71" i="10"/>
  <c r="G71" i="10"/>
  <c r="F71" i="10"/>
  <c r="AE70" i="10"/>
  <c r="AC70" i="10"/>
  <c r="AB70" i="10"/>
  <c r="AA70" i="10"/>
  <c r="Z70" i="10"/>
  <c r="Y70" i="10"/>
  <c r="X70" i="10"/>
  <c r="W70" i="10"/>
  <c r="V70" i="10"/>
  <c r="U70" i="10"/>
  <c r="T70" i="10"/>
  <c r="S70" i="10"/>
  <c r="R70" i="10"/>
  <c r="Q70" i="10"/>
  <c r="P70" i="10"/>
  <c r="O70" i="10"/>
  <c r="N70" i="10"/>
  <c r="M70" i="10"/>
  <c r="L70" i="10"/>
  <c r="K70" i="10"/>
  <c r="J70" i="10"/>
  <c r="I70" i="10"/>
  <c r="H70" i="10"/>
  <c r="G70" i="10"/>
  <c r="F70" i="10"/>
  <c r="AE69" i="10"/>
  <c r="AC69" i="10"/>
  <c r="AB69" i="10"/>
  <c r="AA69" i="10"/>
  <c r="Z69" i="10"/>
  <c r="Y69" i="10"/>
  <c r="X69" i="10"/>
  <c r="W69" i="10"/>
  <c r="V69" i="10"/>
  <c r="U69" i="10"/>
  <c r="T69" i="10"/>
  <c r="S69" i="10"/>
  <c r="R69" i="10"/>
  <c r="Q69" i="10"/>
  <c r="P69" i="10"/>
  <c r="O69" i="10"/>
  <c r="N69" i="10"/>
  <c r="M69" i="10"/>
  <c r="L69" i="10"/>
  <c r="K69" i="10"/>
  <c r="J69" i="10"/>
  <c r="I69" i="10"/>
  <c r="H69" i="10"/>
  <c r="G69" i="10"/>
  <c r="F69" i="10"/>
  <c r="AE68" i="10"/>
  <c r="AC68" i="10"/>
  <c r="AB68" i="10"/>
  <c r="AA68" i="10"/>
  <c r="Z68" i="10"/>
  <c r="Y68" i="10"/>
  <c r="X68" i="10"/>
  <c r="W68" i="10"/>
  <c r="V68" i="10"/>
  <c r="U68" i="10"/>
  <c r="T68" i="10"/>
  <c r="S68" i="10"/>
  <c r="R68" i="10"/>
  <c r="Q68" i="10"/>
  <c r="P68" i="10"/>
  <c r="O68" i="10"/>
  <c r="N68" i="10"/>
  <c r="M68" i="10"/>
  <c r="L68" i="10"/>
  <c r="K68" i="10"/>
  <c r="J68" i="10"/>
  <c r="I68" i="10"/>
  <c r="H68" i="10"/>
  <c r="G68" i="10"/>
  <c r="F68" i="10"/>
  <c r="AE67" i="10"/>
  <c r="AC67" i="10"/>
  <c r="AB67" i="10"/>
  <c r="AA67" i="10"/>
  <c r="Z67" i="10"/>
  <c r="Y67" i="10"/>
  <c r="X67" i="10"/>
  <c r="W67" i="10"/>
  <c r="V67" i="10"/>
  <c r="U67" i="10"/>
  <c r="T67" i="10"/>
  <c r="S67" i="10"/>
  <c r="R67" i="10"/>
  <c r="Q67" i="10"/>
  <c r="P67" i="10"/>
  <c r="O67" i="10"/>
  <c r="N67" i="10"/>
  <c r="M67" i="10"/>
  <c r="L67" i="10"/>
  <c r="K67" i="10"/>
  <c r="J67" i="10"/>
  <c r="I67" i="10"/>
  <c r="H67" i="10"/>
  <c r="G67" i="10"/>
  <c r="F67" i="10"/>
  <c r="AE66" i="10"/>
  <c r="AC66" i="10"/>
  <c r="AB66" i="10"/>
  <c r="AA66" i="10"/>
  <c r="Z66" i="10"/>
  <c r="Y66" i="10"/>
  <c r="X66" i="10"/>
  <c r="W66" i="10"/>
  <c r="V66" i="10"/>
  <c r="U66" i="10"/>
  <c r="T66" i="10"/>
  <c r="S66" i="10"/>
  <c r="R66" i="10"/>
  <c r="Q66" i="10"/>
  <c r="P66" i="10"/>
  <c r="O66" i="10"/>
  <c r="N66" i="10"/>
  <c r="M66" i="10"/>
  <c r="L66" i="10"/>
  <c r="K66" i="10"/>
  <c r="J66" i="10"/>
  <c r="I66" i="10"/>
  <c r="H66" i="10"/>
  <c r="G66" i="10"/>
  <c r="F66" i="10"/>
  <c r="AE65" i="10"/>
  <c r="AC65" i="10"/>
  <c r="AB65" i="10"/>
  <c r="AA65" i="10"/>
  <c r="Z65" i="10"/>
  <c r="Y65" i="10"/>
  <c r="X65" i="10"/>
  <c r="W65" i="10"/>
  <c r="V65" i="10"/>
  <c r="U65" i="10"/>
  <c r="T65" i="10"/>
  <c r="S65" i="10"/>
  <c r="R65" i="10"/>
  <c r="Q65" i="10"/>
  <c r="P65" i="10"/>
  <c r="O65" i="10"/>
  <c r="N65" i="10"/>
  <c r="M65" i="10"/>
  <c r="L65" i="10"/>
  <c r="K65" i="10"/>
  <c r="J65" i="10"/>
  <c r="I65" i="10"/>
  <c r="H65" i="10"/>
  <c r="G65" i="10"/>
  <c r="F65" i="10"/>
  <c r="AE64" i="10"/>
  <c r="AC64" i="10"/>
  <c r="AB64" i="10"/>
  <c r="AA64" i="10"/>
  <c r="Z64" i="10"/>
  <c r="Y64" i="10"/>
  <c r="X64" i="10"/>
  <c r="W64" i="10"/>
  <c r="V64" i="10"/>
  <c r="U64" i="10"/>
  <c r="T64" i="10"/>
  <c r="S64" i="10"/>
  <c r="R64" i="10"/>
  <c r="Q64" i="10"/>
  <c r="P64" i="10"/>
  <c r="O64" i="10"/>
  <c r="N64" i="10"/>
  <c r="M64" i="10"/>
  <c r="L64" i="10"/>
  <c r="K64" i="10"/>
  <c r="J64" i="10"/>
  <c r="I64" i="10"/>
  <c r="H64" i="10"/>
  <c r="G64" i="10"/>
  <c r="F64" i="10"/>
  <c r="AE63" i="10"/>
  <c r="AC63" i="10"/>
  <c r="AB63" i="10"/>
  <c r="AA63" i="10"/>
  <c r="Z63" i="10"/>
  <c r="Y63" i="10"/>
  <c r="X63" i="10"/>
  <c r="W63" i="10"/>
  <c r="V63" i="10"/>
  <c r="U63" i="10"/>
  <c r="T63" i="10"/>
  <c r="S63" i="10"/>
  <c r="R63" i="10"/>
  <c r="Q63" i="10"/>
  <c r="P63" i="10"/>
  <c r="O63" i="10"/>
  <c r="N63" i="10"/>
  <c r="M63" i="10"/>
  <c r="L63" i="10"/>
  <c r="K63" i="10"/>
  <c r="J63" i="10"/>
  <c r="I63" i="10"/>
  <c r="H63" i="10"/>
  <c r="G63" i="10"/>
  <c r="F63" i="10"/>
  <c r="AE62" i="10"/>
  <c r="AC62" i="10"/>
  <c r="AB62" i="10"/>
  <c r="AA62" i="10"/>
  <c r="Z62" i="10"/>
  <c r="Y62" i="10"/>
  <c r="X62" i="10"/>
  <c r="W62" i="10"/>
  <c r="V62" i="10"/>
  <c r="U62" i="10"/>
  <c r="T62" i="10"/>
  <c r="S62" i="10"/>
  <c r="R62" i="10"/>
  <c r="Q62" i="10"/>
  <c r="P62" i="10"/>
  <c r="O62" i="10"/>
  <c r="N62" i="10"/>
  <c r="M62" i="10"/>
  <c r="L62" i="10"/>
  <c r="K62" i="10"/>
  <c r="J62" i="10"/>
  <c r="I62" i="10"/>
  <c r="H62" i="10"/>
  <c r="G62" i="10"/>
  <c r="F62" i="10"/>
  <c r="AE61" i="10"/>
  <c r="AC61" i="10"/>
  <c r="AB61" i="10"/>
  <c r="AA61" i="10"/>
  <c r="Z61" i="10"/>
  <c r="Y61" i="10"/>
  <c r="X61" i="10"/>
  <c r="W61" i="10"/>
  <c r="V61" i="10"/>
  <c r="U61" i="10"/>
  <c r="T61" i="10"/>
  <c r="S61" i="10"/>
  <c r="R61" i="10"/>
  <c r="Q61" i="10"/>
  <c r="P61" i="10"/>
  <c r="O61" i="10"/>
  <c r="N61" i="10"/>
  <c r="M61" i="10"/>
  <c r="L61" i="10"/>
  <c r="K61" i="10"/>
  <c r="J61" i="10"/>
  <c r="I61" i="10"/>
  <c r="H61" i="10"/>
  <c r="G61" i="10"/>
  <c r="F61" i="10"/>
  <c r="AE60" i="10"/>
  <c r="AC60" i="10"/>
  <c r="AB60" i="10"/>
  <c r="AA60" i="10"/>
  <c r="Z60" i="10"/>
  <c r="Y60" i="10"/>
  <c r="X60" i="10"/>
  <c r="W60" i="10"/>
  <c r="V60" i="10"/>
  <c r="U60" i="10"/>
  <c r="T60" i="10"/>
  <c r="S60" i="10"/>
  <c r="R60" i="10"/>
  <c r="Q60" i="10"/>
  <c r="P60" i="10"/>
  <c r="O60" i="10"/>
  <c r="N60" i="10"/>
  <c r="M60" i="10"/>
  <c r="L60" i="10"/>
  <c r="K60" i="10"/>
  <c r="J60" i="10"/>
  <c r="I60" i="10"/>
  <c r="H60" i="10"/>
  <c r="G60" i="10"/>
  <c r="F60" i="10"/>
  <c r="AE59" i="10"/>
  <c r="AC59" i="10"/>
  <c r="AB59" i="10"/>
  <c r="AA59" i="10"/>
  <c r="Z59" i="10"/>
  <c r="Y59" i="10"/>
  <c r="X59" i="10"/>
  <c r="W59" i="10"/>
  <c r="V59" i="10"/>
  <c r="U59" i="10"/>
  <c r="T59" i="10"/>
  <c r="S59" i="10"/>
  <c r="R59" i="10"/>
  <c r="Q59" i="10"/>
  <c r="P59" i="10"/>
  <c r="O59" i="10"/>
  <c r="N59" i="10"/>
  <c r="M59" i="10"/>
  <c r="L59" i="10"/>
  <c r="K59" i="10"/>
  <c r="J59" i="10"/>
  <c r="I59" i="10"/>
  <c r="H59" i="10"/>
  <c r="G59" i="10"/>
  <c r="F59" i="10"/>
  <c r="AE58" i="10"/>
  <c r="AC58" i="10"/>
  <c r="AB58" i="10"/>
  <c r="AA58" i="10"/>
  <c r="Z58" i="10"/>
  <c r="Y58" i="10"/>
  <c r="X58" i="10"/>
  <c r="W58" i="10"/>
  <c r="V58" i="10"/>
  <c r="U58" i="10"/>
  <c r="T58" i="10"/>
  <c r="S58" i="10"/>
  <c r="R58" i="10"/>
  <c r="Q58" i="10"/>
  <c r="P58" i="10"/>
  <c r="O58" i="10"/>
  <c r="N58" i="10"/>
  <c r="M58" i="10"/>
  <c r="L58" i="10"/>
  <c r="K58" i="10"/>
  <c r="J58" i="10"/>
  <c r="I58" i="10"/>
  <c r="H58" i="10"/>
  <c r="G58" i="10"/>
  <c r="F58" i="10"/>
  <c r="AE57" i="10"/>
  <c r="AC57" i="10"/>
  <c r="AB57" i="10"/>
  <c r="AA57" i="10"/>
  <c r="Z57" i="10"/>
  <c r="Y57" i="10"/>
  <c r="X57" i="10"/>
  <c r="W57" i="10"/>
  <c r="V57" i="10"/>
  <c r="U57" i="10"/>
  <c r="T57" i="10"/>
  <c r="S57" i="10"/>
  <c r="R57" i="10"/>
  <c r="Q57" i="10"/>
  <c r="P57" i="10"/>
  <c r="O57" i="10"/>
  <c r="N57" i="10"/>
  <c r="M57" i="10"/>
  <c r="L57" i="10"/>
  <c r="K57" i="10"/>
  <c r="J57" i="10"/>
  <c r="I57" i="10"/>
  <c r="H57" i="10"/>
  <c r="G57" i="10"/>
  <c r="F57" i="10"/>
  <c r="AE56" i="10"/>
  <c r="AC56" i="10"/>
  <c r="AB56" i="10"/>
  <c r="AA56" i="10"/>
  <c r="Z56" i="10"/>
  <c r="Y56" i="10"/>
  <c r="X56" i="10"/>
  <c r="W56" i="10"/>
  <c r="V56" i="10"/>
  <c r="U56" i="10"/>
  <c r="T56" i="10"/>
  <c r="S56" i="10"/>
  <c r="R56" i="10"/>
  <c r="Q56" i="10"/>
  <c r="P56" i="10"/>
  <c r="O56" i="10"/>
  <c r="N56" i="10"/>
  <c r="M56" i="10"/>
  <c r="L56" i="10"/>
  <c r="K56" i="10"/>
  <c r="J56" i="10"/>
  <c r="I56" i="10"/>
  <c r="H56" i="10"/>
  <c r="G56" i="10"/>
  <c r="F56" i="10"/>
  <c r="AE55" i="10"/>
  <c r="AC55" i="10"/>
  <c r="AB55" i="10"/>
  <c r="AA55" i="10"/>
  <c r="Z55" i="10"/>
  <c r="Y55" i="10"/>
  <c r="X55" i="10"/>
  <c r="W55" i="10"/>
  <c r="V55" i="10"/>
  <c r="U55" i="10"/>
  <c r="T55" i="10"/>
  <c r="S55" i="10"/>
  <c r="R55" i="10"/>
  <c r="Q55" i="10"/>
  <c r="P55" i="10"/>
  <c r="O55" i="10"/>
  <c r="N55" i="10"/>
  <c r="M55" i="10"/>
  <c r="L55" i="10"/>
  <c r="K55" i="10"/>
  <c r="J55" i="10"/>
  <c r="I55" i="10"/>
  <c r="H55" i="10"/>
  <c r="G55" i="10"/>
  <c r="F55" i="10"/>
  <c r="AE54" i="10"/>
  <c r="AC54" i="10"/>
  <c r="AB54" i="10"/>
  <c r="AA54" i="10"/>
  <c r="Z54" i="10"/>
  <c r="Y54" i="10"/>
  <c r="X54" i="10"/>
  <c r="W54" i="10"/>
  <c r="V54" i="10"/>
  <c r="U54" i="10"/>
  <c r="T54" i="10"/>
  <c r="S54" i="10"/>
  <c r="R54" i="10"/>
  <c r="Q54" i="10"/>
  <c r="P54" i="10"/>
  <c r="O54" i="10"/>
  <c r="N54" i="10"/>
  <c r="M54" i="10"/>
  <c r="L54" i="10"/>
  <c r="K54" i="10"/>
  <c r="J54" i="10"/>
  <c r="I54" i="10"/>
  <c r="H54" i="10"/>
  <c r="G54" i="10"/>
  <c r="F54" i="10"/>
  <c r="AE53" i="10"/>
  <c r="AC53" i="10"/>
  <c r="AB53" i="10"/>
  <c r="AA53" i="10"/>
  <c r="Z53" i="10"/>
  <c r="Y53" i="10"/>
  <c r="X53" i="10"/>
  <c r="W53" i="10"/>
  <c r="V53" i="10"/>
  <c r="U53" i="10"/>
  <c r="T53" i="10"/>
  <c r="S53" i="10"/>
  <c r="R53" i="10"/>
  <c r="Q53" i="10"/>
  <c r="P53" i="10"/>
  <c r="O53" i="10"/>
  <c r="N53" i="10"/>
  <c r="M53" i="10"/>
  <c r="L53" i="10"/>
  <c r="K53" i="10"/>
  <c r="J53" i="10"/>
  <c r="I53" i="10"/>
  <c r="H53" i="10"/>
  <c r="G53" i="10"/>
  <c r="F53" i="10"/>
  <c r="AE52" i="10"/>
  <c r="AC52" i="10"/>
  <c r="AB52" i="10"/>
  <c r="AA52" i="10"/>
  <c r="Z52" i="10"/>
  <c r="Y52" i="10"/>
  <c r="X52" i="10"/>
  <c r="W52" i="10"/>
  <c r="V52" i="10"/>
  <c r="U52" i="10"/>
  <c r="T52" i="10"/>
  <c r="S52" i="10"/>
  <c r="R52" i="10"/>
  <c r="Q52" i="10"/>
  <c r="P52" i="10"/>
  <c r="O52" i="10"/>
  <c r="N52" i="10"/>
  <c r="M52" i="10"/>
  <c r="L52" i="10"/>
  <c r="K52" i="10"/>
  <c r="J52" i="10"/>
  <c r="I52" i="10"/>
  <c r="H52" i="10"/>
  <c r="G52" i="10"/>
  <c r="F52" i="10"/>
  <c r="AE51" i="10"/>
  <c r="AC51" i="10"/>
  <c r="AB51" i="10"/>
  <c r="AA51" i="10"/>
  <c r="Z51" i="10"/>
  <c r="Y51" i="10"/>
  <c r="X51" i="10"/>
  <c r="W51" i="10"/>
  <c r="V51" i="10"/>
  <c r="U51" i="10"/>
  <c r="T51" i="10"/>
  <c r="S51" i="10"/>
  <c r="R51" i="10"/>
  <c r="Q51" i="10"/>
  <c r="P51" i="10"/>
  <c r="O51" i="10"/>
  <c r="N51" i="10"/>
  <c r="M51" i="10"/>
  <c r="L51" i="10"/>
  <c r="K51" i="10"/>
  <c r="J51" i="10"/>
  <c r="I51" i="10"/>
  <c r="H51" i="10"/>
  <c r="G51" i="10"/>
  <c r="F51" i="10"/>
  <c r="AE50" i="10"/>
  <c r="AC50" i="10"/>
  <c r="AB50" i="10"/>
  <c r="AA50" i="10"/>
  <c r="Z50" i="10"/>
  <c r="Y50" i="10"/>
  <c r="X50" i="10"/>
  <c r="W50" i="10"/>
  <c r="V50" i="10"/>
  <c r="U50" i="10"/>
  <c r="T50" i="10"/>
  <c r="S50" i="10"/>
  <c r="R50" i="10"/>
  <c r="Q50" i="10"/>
  <c r="P50" i="10"/>
  <c r="O50" i="10"/>
  <c r="N50" i="10"/>
  <c r="M50" i="10"/>
  <c r="L50" i="10"/>
  <c r="K50" i="10"/>
  <c r="J50" i="10"/>
  <c r="I50" i="10"/>
  <c r="H50" i="10"/>
  <c r="G50" i="10"/>
  <c r="F50" i="10"/>
  <c r="AE49" i="10"/>
  <c r="AC49" i="10"/>
  <c r="AB49" i="10"/>
  <c r="AA49" i="10"/>
  <c r="Z49" i="10"/>
  <c r="Y49" i="10"/>
  <c r="X49" i="10"/>
  <c r="W49" i="10"/>
  <c r="V49" i="10"/>
  <c r="U49" i="10"/>
  <c r="T49" i="10"/>
  <c r="S49" i="10"/>
  <c r="R49" i="10"/>
  <c r="Q49" i="10"/>
  <c r="P49" i="10"/>
  <c r="O49" i="10"/>
  <c r="N49" i="10"/>
  <c r="M49" i="10"/>
  <c r="L49" i="10"/>
  <c r="K49" i="10"/>
  <c r="J49" i="10"/>
  <c r="I49" i="10"/>
  <c r="H49" i="10"/>
  <c r="G49" i="10"/>
  <c r="F49" i="10"/>
  <c r="AE48" i="10"/>
  <c r="AC48" i="10"/>
  <c r="AB48" i="10"/>
  <c r="AA48" i="10"/>
  <c r="Z48" i="10"/>
  <c r="Y48" i="10"/>
  <c r="X48" i="10"/>
  <c r="W48" i="10"/>
  <c r="V48" i="10"/>
  <c r="U48" i="10"/>
  <c r="T48" i="10"/>
  <c r="S48" i="10"/>
  <c r="R48" i="10"/>
  <c r="Q48" i="10"/>
  <c r="P48" i="10"/>
  <c r="O48" i="10"/>
  <c r="N48" i="10"/>
  <c r="M48" i="10"/>
  <c r="L48" i="10"/>
  <c r="K48" i="10"/>
  <c r="J48" i="10"/>
  <c r="I48" i="10"/>
  <c r="H48" i="10"/>
  <c r="G48" i="10"/>
  <c r="F48" i="10"/>
  <c r="AE47" i="10"/>
  <c r="AC47" i="10"/>
  <c r="AB47" i="10"/>
  <c r="AA47" i="10"/>
  <c r="Z47" i="10"/>
  <c r="Y47" i="10"/>
  <c r="X47" i="10"/>
  <c r="W47" i="10"/>
  <c r="V47" i="10"/>
  <c r="U47" i="10"/>
  <c r="T47" i="10"/>
  <c r="S47" i="10"/>
  <c r="R47" i="10"/>
  <c r="Q47" i="10"/>
  <c r="P47" i="10"/>
  <c r="O47" i="10"/>
  <c r="N47" i="10"/>
  <c r="M47" i="10"/>
  <c r="L47" i="10"/>
  <c r="K47" i="10"/>
  <c r="J47" i="10"/>
  <c r="I47" i="10"/>
  <c r="H47" i="10"/>
  <c r="G47" i="10"/>
  <c r="F47" i="10"/>
  <c r="AE46" i="10"/>
  <c r="AC46" i="10"/>
  <c r="AB46" i="10"/>
  <c r="AA46" i="10"/>
  <c r="Z46" i="10"/>
  <c r="Y46" i="10"/>
  <c r="X46" i="10"/>
  <c r="W46" i="10"/>
  <c r="V46" i="10"/>
  <c r="U46" i="10"/>
  <c r="T46" i="10"/>
  <c r="S46" i="10"/>
  <c r="R46" i="10"/>
  <c r="Q46" i="10"/>
  <c r="P46" i="10"/>
  <c r="O46" i="10"/>
  <c r="N46" i="10"/>
  <c r="M46" i="10"/>
  <c r="L46" i="10"/>
  <c r="K46" i="10"/>
  <c r="J46" i="10"/>
  <c r="I46" i="10"/>
  <c r="H46" i="10"/>
  <c r="G46" i="10"/>
  <c r="F46" i="10"/>
  <c r="AE45" i="10"/>
  <c r="AC45" i="10"/>
  <c r="AB45" i="10"/>
  <c r="AA45" i="10"/>
  <c r="Z45" i="10"/>
  <c r="Y45" i="10"/>
  <c r="X45" i="10"/>
  <c r="W45" i="10"/>
  <c r="V45" i="10"/>
  <c r="U45" i="10"/>
  <c r="T45" i="10"/>
  <c r="S45" i="10"/>
  <c r="R45" i="10"/>
  <c r="Q45" i="10"/>
  <c r="P45" i="10"/>
  <c r="O45" i="10"/>
  <c r="N45" i="10"/>
  <c r="M45" i="10"/>
  <c r="L45" i="10"/>
  <c r="K45" i="10"/>
  <c r="J45" i="10"/>
  <c r="I45" i="10"/>
  <c r="H45" i="10"/>
  <c r="G45" i="10"/>
  <c r="F45" i="10"/>
  <c r="AE44" i="10"/>
  <c r="AC44" i="10"/>
  <c r="AB44" i="10"/>
  <c r="AA44" i="10"/>
  <c r="Z44" i="10"/>
  <c r="Y44" i="10"/>
  <c r="X44" i="10"/>
  <c r="W44" i="10"/>
  <c r="V44" i="10"/>
  <c r="U44" i="10"/>
  <c r="T44" i="10"/>
  <c r="S44" i="10"/>
  <c r="R44" i="10"/>
  <c r="Q44" i="10"/>
  <c r="P44" i="10"/>
  <c r="O44" i="10"/>
  <c r="N44" i="10"/>
  <c r="M44" i="10"/>
  <c r="L44" i="10"/>
  <c r="K44" i="10"/>
  <c r="J44" i="10"/>
  <c r="I44" i="10"/>
  <c r="H44" i="10"/>
  <c r="G44" i="10"/>
  <c r="F44" i="10"/>
  <c r="AE43" i="10"/>
  <c r="AC43" i="10"/>
  <c r="AB43" i="10"/>
  <c r="AA43" i="10"/>
  <c r="Z43" i="10"/>
  <c r="Y43" i="10"/>
  <c r="X43" i="10"/>
  <c r="W43" i="10"/>
  <c r="V43" i="10"/>
  <c r="U43" i="10"/>
  <c r="T43" i="10"/>
  <c r="S43" i="10"/>
  <c r="R43" i="10"/>
  <c r="Q43" i="10"/>
  <c r="P43" i="10"/>
  <c r="O43" i="10"/>
  <c r="N43" i="10"/>
  <c r="M43" i="10"/>
  <c r="L43" i="10"/>
  <c r="K43" i="10"/>
  <c r="J43" i="10"/>
  <c r="I43" i="10"/>
  <c r="H43" i="10"/>
  <c r="G43" i="10"/>
  <c r="F43" i="10"/>
  <c r="AE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L42" i="10"/>
  <c r="K42" i="10"/>
  <c r="J42" i="10"/>
  <c r="I42" i="10"/>
  <c r="H42" i="10"/>
  <c r="G42" i="10"/>
  <c r="F42" i="10"/>
  <c r="AE41" i="10"/>
  <c r="AC41" i="10"/>
  <c r="AB41" i="10"/>
  <c r="AA41" i="10"/>
  <c r="Z41" i="10"/>
  <c r="Y41" i="10"/>
  <c r="X41" i="10"/>
  <c r="W41" i="10"/>
  <c r="V41" i="10"/>
  <c r="U41" i="10"/>
  <c r="T41" i="10"/>
  <c r="S41" i="10"/>
  <c r="R41" i="10"/>
  <c r="Q41" i="10"/>
  <c r="P41" i="10"/>
  <c r="O41" i="10"/>
  <c r="N41" i="10"/>
  <c r="M41" i="10"/>
  <c r="L41" i="10"/>
  <c r="K41" i="10"/>
  <c r="J41" i="10"/>
  <c r="I41" i="10"/>
  <c r="H41" i="10"/>
  <c r="G41" i="10"/>
  <c r="F41" i="10"/>
  <c r="AE40" i="10"/>
  <c r="AC40" i="10"/>
  <c r="AB40" i="10"/>
  <c r="AA40" i="10"/>
  <c r="Z40" i="10"/>
  <c r="Y40" i="10"/>
  <c r="X40" i="10"/>
  <c r="W40" i="10"/>
  <c r="V40" i="10"/>
  <c r="U40" i="10"/>
  <c r="T40" i="10"/>
  <c r="S40" i="10"/>
  <c r="R40" i="10"/>
  <c r="Q40" i="10"/>
  <c r="P40" i="10"/>
  <c r="O40" i="10"/>
  <c r="N40" i="10"/>
  <c r="M40" i="10"/>
  <c r="L40" i="10"/>
  <c r="K40" i="10"/>
  <c r="J40" i="10"/>
  <c r="I40" i="10"/>
  <c r="H40" i="10"/>
  <c r="G40" i="10"/>
  <c r="F40" i="10"/>
  <c r="AE39" i="10"/>
  <c r="AC39" i="10"/>
  <c r="AB39" i="10"/>
  <c r="AA39" i="10"/>
  <c r="Z39" i="10"/>
  <c r="Y39" i="10"/>
  <c r="X39" i="10"/>
  <c r="W39" i="10"/>
  <c r="V39" i="10"/>
  <c r="U39" i="10"/>
  <c r="T39" i="10"/>
  <c r="S39" i="10"/>
  <c r="R39" i="10"/>
  <c r="Q39" i="10"/>
  <c r="P39" i="10"/>
  <c r="O39" i="10"/>
  <c r="N39" i="10"/>
  <c r="M39" i="10"/>
  <c r="L39" i="10"/>
  <c r="K39" i="10"/>
  <c r="J39" i="10"/>
  <c r="I39" i="10"/>
  <c r="H39" i="10"/>
  <c r="G39" i="10"/>
  <c r="F39" i="10"/>
  <c r="AE38" i="10"/>
  <c r="AC38" i="10"/>
  <c r="AB38" i="10"/>
  <c r="AA38" i="10"/>
  <c r="Z38" i="10"/>
  <c r="Y38" i="10"/>
  <c r="X38" i="10"/>
  <c r="W38" i="10"/>
  <c r="V38" i="10"/>
  <c r="U38" i="10"/>
  <c r="T38" i="10"/>
  <c r="S38" i="10"/>
  <c r="R38" i="10"/>
  <c r="Q38" i="10"/>
  <c r="P38" i="10"/>
  <c r="O38" i="10"/>
  <c r="N38" i="10"/>
  <c r="M38" i="10"/>
  <c r="L38" i="10"/>
  <c r="K38" i="10"/>
  <c r="J38" i="10"/>
  <c r="I38" i="10"/>
  <c r="H38" i="10"/>
  <c r="G38" i="10"/>
  <c r="F38" i="10"/>
  <c r="AE37" i="10"/>
  <c r="AC37" i="10"/>
  <c r="AB37" i="10"/>
  <c r="AA37" i="10"/>
  <c r="Z37" i="10"/>
  <c r="Y37" i="10"/>
  <c r="X37" i="10"/>
  <c r="W37" i="10"/>
  <c r="V37" i="10"/>
  <c r="U37" i="10"/>
  <c r="T37" i="10"/>
  <c r="S37" i="10"/>
  <c r="R37" i="10"/>
  <c r="Q37" i="10"/>
  <c r="P37" i="10"/>
  <c r="O37" i="10"/>
  <c r="N37" i="10"/>
  <c r="M37" i="10"/>
  <c r="L37" i="10"/>
  <c r="K37" i="10"/>
  <c r="J37" i="10"/>
  <c r="I37" i="10"/>
  <c r="H37" i="10"/>
  <c r="G37" i="10"/>
  <c r="F37" i="10"/>
  <c r="AE36" i="10"/>
  <c r="AC36" i="10"/>
  <c r="AB36" i="10"/>
  <c r="AA36" i="10"/>
  <c r="Z36" i="10"/>
  <c r="Y36" i="10"/>
  <c r="X36" i="10"/>
  <c r="W36" i="10"/>
  <c r="V36" i="10"/>
  <c r="U36" i="10"/>
  <c r="T36" i="10"/>
  <c r="S36" i="10"/>
  <c r="R36" i="10"/>
  <c r="Q36" i="10"/>
  <c r="P36" i="10"/>
  <c r="O36" i="10"/>
  <c r="N36" i="10"/>
  <c r="M36" i="10"/>
  <c r="L36" i="10"/>
  <c r="K36" i="10"/>
  <c r="J36" i="10"/>
  <c r="I36" i="10"/>
  <c r="H36" i="10"/>
  <c r="G36" i="10"/>
  <c r="F36" i="10"/>
  <c r="AE35" i="10"/>
  <c r="AC35" i="10"/>
  <c r="AB35" i="10"/>
  <c r="AA35" i="10"/>
  <c r="Z35" i="10"/>
  <c r="Y35" i="10"/>
  <c r="X35" i="10"/>
  <c r="W35" i="10"/>
  <c r="V35" i="10"/>
  <c r="U35" i="10"/>
  <c r="T35" i="10"/>
  <c r="S35" i="10"/>
  <c r="R35" i="10"/>
  <c r="Q35" i="10"/>
  <c r="P35" i="10"/>
  <c r="O35" i="10"/>
  <c r="N35" i="10"/>
  <c r="M35" i="10"/>
  <c r="L35" i="10"/>
  <c r="K35" i="10"/>
  <c r="J35" i="10"/>
  <c r="I35" i="10"/>
  <c r="H35" i="10"/>
  <c r="G35" i="10"/>
  <c r="F35" i="10"/>
  <c r="AE34" i="10"/>
  <c r="AC34" i="10"/>
  <c r="AB34" i="10"/>
  <c r="AA34" i="10"/>
  <c r="Z34" i="10"/>
  <c r="Y34" i="10"/>
  <c r="X34" i="10"/>
  <c r="W34" i="10"/>
  <c r="V34" i="10"/>
  <c r="U34" i="10"/>
  <c r="T34" i="10"/>
  <c r="S34" i="10"/>
  <c r="R34" i="10"/>
  <c r="Q34" i="10"/>
  <c r="P34" i="10"/>
  <c r="O34" i="10"/>
  <c r="N34" i="10"/>
  <c r="M34" i="10"/>
  <c r="L34" i="10"/>
  <c r="K34" i="10"/>
  <c r="J34" i="10"/>
  <c r="I34" i="10"/>
  <c r="H34" i="10"/>
  <c r="G34" i="10"/>
  <c r="F34" i="10"/>
  <c r="AE33" i="10"/>
  <c r="AC33" i="10"/>
  <c r="AB33" i="10"/>
  <c r="AA33" i="10"/>
  <c r="Z33" i="10"/>
  <c r="Y33" i="10"/>
  <c r="X33" i="10"/>
  <c r="W33" i="10"/>
  <c r="V33" i="10"/>
  <c r="U33" i="10"/>
  <c r="T33" i="10"/>
  <c r="S33" i="10"/>
  <c r="R33" i="10"/>
  <c r="Q33" i="10"/>
  <c r="P33" i="10"/>
  <c r="O33" i="10"/>
  <c r="N33" i="10"/>
  <c r="M33" i="10"/>
  <c r="L33" i="10"/>
  <c r="K33" i="10"/>
  <c r="J33" i="10"/>
  <c r="I33" i="10"/>
  <c r="H33" i="10"/>
  <c r="G33" i="10"/>
  <c r="F33" i="10"/>
  <c r="AE32" i="10"/>
  <c r="AC32" i="10"/>
  <c r="AB32" i="10"/>
  <c r="AA32" i="10"/>
  <c r="Z32" i="10"/>
  <c r="Y32" i="10"/>
  <c r="X32" i="10"/>
  <c r="W32" i="10"/>
  <c r="V32" i="10"/>
  <c r="U32" i="10"/>
  <c r="T32" i="10"/>
  <c r="S32" i="10"/>
  <c r="R32" i="10"/>
  <c r="Q32" i="10"/>
  <c r="P32" i="10"/>
  <c r="O32" i="10"/>
  <c r="N32" i="10"/>
  <c r="M32" i="10"/>
  <c r="L32" i="10"/>
  <c r="K32" i="10"/>
  <c r="J32" i="10"/>
  <c r="I32" i="10"/>
  <c r="H32" i="10"/>
  <c r="G32" i="10"/>
  <c r="F32" i="10"/>
  <c r="AE31" i="10"/>
  <c r="AC31" i="10"/>
  <c r="AB31" i="10"/>
  <c r="AA31" i="10"/>
  <c r="Z31" i="10"/>
  <c r="Y31" i="10"/>
  <c r="X31" i="10"/>
  <c r="W31" i="10"/>
  <c r="V31" i="10"/>
  <c r="U31" i="10"/>
  <c r="T31" i="10"/>
  <c r="S31" i="10"/>
  <c r="R31" i="10"/>
  <c r="Q31" i="10"/>
  <c r="P31" i="10"/>
  <c r="O31" i="10"/>
  <c r="N31" i="10"/>
  <c r="M31" i="10"/>
  <c r="L31" i="10"/>
  <c r="K31" i="10"/>
  <c r="J31" i="10"/>
  <c r="I31" i="10"/>
  <c r="H31" i="10"/>
  <c r="G31" i="10"/>
  <c r="F31" i="10"/>
  <c r="AE30" i="10"/>
  <c r="AC30" i="10"/>
  <c r="AB30" i="10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AE29" i="10"/>
  <c r="AC29" i="10"/>
  <c r="AB29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AE28" i="10"/>
  <c r="AC28" i="10"/>
  <c r="AB28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AE27" i="10"/>
  <c r="AC27" i="10"/>
  <c r="AB27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AE26" i="10"/>
  <c r="AC26" i="10"/>
  <c r="AB26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AE25" i="10"/>
  <c r="AC25" i="10"/>
  <c r="AB25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AE24" i="10"/>
  <c r="AC24" i="10"/>
  <c r="AB24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AE23" i="10"/>
  <c r="AC23" i="10"/>
  <c r="AB23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AE22" i="10"/>
  <c r="AC22" i="10"/>
  <c r="AB22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AE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AE20" i="10"/>
  <c r="AC20" i="10"/>
  <c r="AB20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AE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AE18" i="10"/>
  <c r="AC18" i="10"/>
  <c r="AB18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AE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AE16" i="10"/>
  <c r="AC16" i="10"/>
  <c r="AB16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AE15" i="10"/>
  <c r="AC15" i="10"/>
  <c r="AB15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AE14" i="10"/>
  <c r="AC14" i="10"/>
  <c r="AB14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AE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AE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AE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AE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AE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AE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AE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AE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AE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AE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AE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AE2" i="10"/>
  <c r="AC2" i="10"/>
  <c r="AB2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AE1" i="10"/>
  <c r="AC1" i="10"/>
  <c r="AB1" i="10"/>
  <c r="AA1" i="10"/>
  <c r="Z1" i="10"/>
  <c r="Y1" i="10"/>
  <c r="X1" i="10"/>
  <c r="W1" i="10"/>
  <c r="V1" i="10"/>
  <c r="U1" i="10"/>
  <c r="T1" i="10"/>
  <c r="S1" i="10"/>
  <c r="R1" i="10"/>
  <c r="Q1" i="10"/>
  <c r="P1" i="10"/>
  <c r="O1" i="10"/>
  <c r="N1" i="10"/>
  <c r="M1" i="10"/>
  <c r="L1" i="10"/>
  <c r="K1" i="10"/>
  <c r="J1" i="10"/>
  <c r="I1" i="10"/>
  <c r="H1" i="10"/>
  <c r="G1" i="10"/>
  <c r="F1" i="10"/>
  <c r="AE365" i="9"/>
  <c r="AC365" i="9"/>
  <c r="AB365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O365" i="9"/>
  <c r="N365" i="9"/>
  <c r="M365" i="9"/>
  <c r="L365" i="9"/>
  <c r="K365" i="9"/>
  <c r="J365" i="9"/>
  <c r="I365" i="9"/>
  <c r="H365" i="9"/>
  <c r="G365" i="9"/>
  <c r="F365" i="9"/>
  <c r="AE364" i="9"/>
  <c r="AC364" i="9"/>
  <c r="AB364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O364" i="9"/>
  <c r="N364" i="9"/>
  <c r="M364" i="9"/>
  <c r="L364" i="9"/>
  <c r="K364" i="9"/>
  <c r="J364" i="9"/>
  <c r="I364" i="9"/>
  <c r="H364" i="9"/>
  <c r="G364" i="9"/>
  <c r="F364" i="9"/>
  <c r="AE363" i="9"/>
  <c r="AC363" i="9"/>
  <c r="AB363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AE362" i="9"/>
  <c r="AC362" i="9"/>
  <c r="AB362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AE361" i="9"/>
  <c r="AC361" i="9"/>
  <c r="AB361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O361" i="9"/>
  <c r="N361" i="9"/>
  <c r="M361" i="9"/>
  <c r="L361" i="9"/>
  <c r="K361" i="9"/>
  <c r="J361" i="9"/>
  <c r="I361" i="9"/>
  <c r="H361" i="9"/>
  <c r="G361" i="9"/>
  <c r="F361" i="9"/>
  <c r="AE360" i="9"/>
  <c r="AC360" i="9"/>
  <c r="AB360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AE359" i="9"/>
  <c r="AC359" i="9"/>
  <c r="AB359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O359" i="9"/>
  <c r="N359" i="9"/>
  <c r="M359" i="9"/>
  <c r="L359" i="9"/>
  <c r="K359" i="9"/>
  <c r="J359" i="9"/>
  <c r="I359" i="9"/>
  <c r="H359" i="9"/>
  <c r="G359" i="9"/>
  <c r="F359" i="9"/>
  <c r="AE358" i="9"/>
  <c r="AC358" i="9"/>
  <c r="AB358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O358" i="9"/>
  <c r="N358" i="9"/>
  <c r="M358" i="9"/>
  <c r="L358" i="9"/>
  <c r="K358" i="9"/>
  <c r="J358" i="9"/>
  <c r="I358" i="9"/>
  <c r="H358" i="9"/>
  <c r="G358" i="9"/>
  <c r="F358" i="9"/>
  <c r="AE357" i="9"/>
  <c r="AC357" i="9"/>
  <c r="AB357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O357" i="9"/>
  <c r="N357" i="9"/>
  <c r="M357" i="9"/>
  <c r="L357" i="9"/>
  <c r="K357" i="9"/>
  <c r="J357" i="9"/>
  <c r="I357" i="9"/>
  <c r="H357" i="9"/>
  <c r="G357" i="9"/>
  <c r="F357" i="9"/>
  <c r="AE356" i="9"/>
  <c r="AC356" i="9"/>
  <c r="AB356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O356" i="9"/>
  <c r="N356" i="9"/>
  <c r="M356" i="9"/>
  <c r="L356" i="9"/>
  <c r="K356" i="9"/>
  <c r="J356" i="9"/>
  <c r="I356" i="9"/>
  <c r="H356" i="9"/>
  <c r="G356" i="9"/>
  <c r="F356" i="9"/>
  <c r="AE355" i="9"/>
  <c r="AC355" i="9"/>
  <c r="AB355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AE354" i="9"/>
  <c r="AC354" i="9"/>
  <c r="AB354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AE353" i="9"/>
  <c r="AC353" i="9"/>
  <c r="AB353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O353" i="9"/>
  <c r="N353" i="9"/>
  <c r="M353" i="9"/>
  <c r="L353" i="9"/>
  <c r="K353" i="9"/>
  <c r="J353" i="9"/>
  <c r="I353" i="9"/>
  <c r="H353" i="9"/>
  <c r="G353" i="9"/>
  <c r="F353" i="9"/>
  <c r="AE352" i="9"/>
  <c r="AC352" i="9"/>
  <c r="AB352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AE351" i="9"/>
  <c r="AC351" i="9"/>
  <c r="AB351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O351" i="9"/>
  <c r="N351" i="9"/>
  <c r="M351" i="9"/>
  <c r="L351" i="9"/>
  <c r="K351" i="9"/>
  <c r="J351" i="9"/>
  <c r="I351" i="9"/>
  <c r="H351" i="9"/>
  <c r="G351" i="9"/>
  <c r="F351" i="9"/>
  <c r="AE350" i="9"/>
  <c r="AC350" i="9"/>
  <c r="AB350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O350" i="9"/>
  <c r="N350" i="9"/>
  <c r="M350" i="9"/>
  <c r="L350" i="9"/>
  <c r="K350" i="9"/>
  <c r="J350" i="9"/>
  <c r="I350" i="9"/>
  <c r="H350" i="9"/>
  <c r="G350" i="9"/>
  <c r="F350" i="9"/>
  <c r="AE349" i="9"/>
  <c r="AC349" i="9"/>
  <c r="AB349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O349" i="9"/>
  <c r="N349" i="9"/>
  <c r="M349" i="9"/>
  <c r="L349" i="9"/>
  <c r="K349" i="9"/>
  <c r="J349" i="9"/>
  <c r="I349" i="9"/>
  <c r="H349" i="9"/>
  <c r="G349" i="9"/>
  <c r="F349" i="9"/>
  <c r="AE348" i="9"/>
  <c r="AC348" i="9"/>
  <c r="AB348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O348" i="9"/>
  <c r="N348" i="9"/>
  <c r="M348" i="9"/>
  <c r="L348" i="9"/>
  <c r="K348" i="9"/>
  <c r="J348" i="9"/>
  <c r="I348" i="9"/>
  <c r="H348" i="9"/>
  <c r="G348" i="9"/>
  <c r="F348" i="9"/>
  <c r="AE347" i="9"/>
  <c r="AC347" i="9"/>
  <c r="AB347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AE346" i="9"/>
  <c r="AC346" i="9"/>
  <c r="AB346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AE345" i="9"/>
  <c r="AC345" i="9"/>
  <c r="AB345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O345" i="9"/>
  <c r="N345" i="9"/>
  <c r="M345" i="9"/>
  <c r="L345" i="9"/>
  <c r="K345" i="9"/>
  <c r="J345" i="9"/>
  <c r="I345" i="9"/>
  <c r="H345" i="9"/>
  <c r="G345" i="9"/>
  <c r="F345" i="9"/>
  <c r="AE344" i="9"/>
  <c r="AC344" i="9"/>
  <c r="AB344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AE343" i="9"/>
  <c r="AC343" i="9"/>
  <c r="AB343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O343" i="9"/>
  <c r="N343" i="9"/>
  <c r="M343" i="9"/>
  <c r="L343" i="9"/>
  <c r="K343" i="9"/>
  <c r="J343" i="9"/>
  <c r="I343" i="9"/>
  <c r="H343" i="9"/>
  <c r="G343" i="9"/>
  <c r="F343" i="9"/>
  <c r="AE342" i="9"/>
  <c r="AC342" i="9"/>
  <c r="AB342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O342" i="9"/>
  <c r="N342" i="9"/>
  <c r="M342" i="9"/>
  <c r="L342" i="9"/>
  <c r="K342" i="9"/>
  <c r="J342" i="9"/>
  <c r="I342" i="9"/>
  <c r="H342" i="9"/>
  <c r="G342" i="9"/>
  <c r="F342" i="9"/>
  <c r="AE341" i="9"/>
  <c r="AC341" i="9"/>
  <c r="AB341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AE340" i="9"/>
  <c r="AC340" i="9"/>
  <c r="AB340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O340" i="9"/>
  <c r="N340" i="9"/>
  <c r="M340" i="9"/>
  <c r="L340" i="9"/>
  <c r="K340" i="9"/>
  <c r="J340" i="9"/>
  <c r="I340" i="9"/>
  <c r="H340" i="9"/>
  <c r="G340" i="9"/>
  <c r="F340" i="9"/>
  <c r="AE339" i="9"/>
  <c r="AC339" i="9"/>
  <c r="AB339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O339" i="9"/>
  <c r="N339" i="9"/>
  <c r="M339" i="9"/>
  <c r="L339" i="9"/>
  <c r="K339" i="9"/>
  <c r="J339" i="9"/>
  <c r="I339" i="9"/>
  <c r="H339" i="9"/>
  <c r="G339" i="9"/>
  <c r="F339" i="9"/>
  <c r="AE338" i="9"/>
  <c r="AC338" i="9"/>
  <c r="AB338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AE337" i="9"/>
  <c r="AC337" i="9"/>
  <c r="AB337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AE336" i="9"/>
  <c r="AC336" i="9"/>
  <c r="AB336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O336" i="9"/>
  <c r="N336" i="9"/>
  <c r="M336" i="9"/>
  <c r="L336" i="9"/>
  <c r="K336" i="9"/>
  <c r="J336" i="9"/>
  <c r="I336" i="9"/>
  <c r="H336" i="9"/>
  <c r="G336" i="9"/>
  <c r="F336" i="9"/>
  <c r="AE335" i="9"/>
  <c r="AC335" i="9"/>
  <c r="AB335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AE334" i="9"/>
  <c r="AC334" i="9"/>
  <c r="AB334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O334" i="9"/>
  <c r="N334" i="9"/>
  <c r="M334" i="9"/>
  <c r="L334" i="9"/>
  <c r="K334" i="9"/>
  <c r="J334" i="9"/>
  <c r="I334" i="9"/>
  <c r="H334" i="9"/>
  <c r="G334" i="9"/>
  <c r="F334" i="9"/>
  <c r="AE333" i="9"/>
  <c r="AC333" i="9"/>
  <c r="AB333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O333" i="9"/>
  <c r="N333" i="9"/>
  <c r="M333" i="9"/>
  <c r="L333" i="9"/>
  <c r="K333" i="9"/>
  <c r="J333" i="9"/>
  <c r="I333" i="9"/>
  <c r="H333" i="9"/>
  <c r="G333" i="9"/>
  <c r="F333" i="9"/>
  <c r="AE332" i="9"/>
  <c r="AC332" i="9"/>
  <c r="AB332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O332" i="9"/>
  <c r="N332" i="9"/>
  <c r="M332" i="9"/>
  <c r="L332" i="9"/>
  <c r="K332" i="9"/>
  <c r="J332" i="9"/>
  <c r="I332" i="9"/>
  <c r="H332" i="9"/>
  <c r="G332" i="9"/>
  <c r="F332" i="9"/>
  <c r="AE331" i="9"/>
  <c r="AC331" i="9"/>
  <c r="AB331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O331" i="9"/>
  <c r="N331" i="9"/>
  <c r="M331" i="9"/>
  <c r="L331" i="9"/>
  <c r="K331" i="9"/>
  <c r="J331" i="9"/>
  <c r="I331" i="9"/>
  <c r="H331" i="9"/>
  <c r="G331" i="9"/>
  <c r="F331" i="9"/>
  <c r="AE330" i="9"/>
  <c r="AC330" i="9"/>
  <c r="AB330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AE329" i="9"/>
  <c r="AC329" i="9"/>
  <c r="AB329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AE328" i="9"/>
  <c r="AC328" i="9"/>
  <c r="AB328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O328" i="9"/>
  <c r="N328" i="9"/>
  <c r="M328" i="9"/>
  <c r="L328" i="9"/>
  <c r="K328" i="9"/>
  <c r="J328" i="9"/>
  <c r="I328" i="9"/>
  <c r="H328" i="9"/>
  <c r="G328" i="9"/>
  <c r="F328" i="9"/>
  <c r="AE327" i="9"/>
  <c r="AC327" i="9"/>
  <c r="AB327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AE326" i="9"/>
  <c r="AC326" i="9"/>
  <c r="AB326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O326" i="9"/>
  <c r="N326" i="9"/>
  <c r="M326" i="9"/>
  <c r="L326" i="9"/>
  <c r="K326" i="9"/>
  <c r="J326" i="9"/>
  <c r="I326" i="9"/>
  <c r="H326" i="9"/>
  <c r="G326" i="9"/>
  <c r="F326" i="9"/>
  <c r="AE325" i="9"/>
  <c r="AC325" i="9"/>
  <c r="AB325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O325" i="9"/>
  <c r="N325" i="9"/>
  <c r="M325" i="9"/>
  <c r="L325" i="9"/>
  <c r="K325" i="9"/>
  <c r="J325" i="9"/>
  <c r="I325" i="9"/>
  <c r="H325" i="9"/>
  <c r="G325" i="9"/>
  <c r="F325" i="9"/>
  <c r="AE324" i="9"/>
  <c r="AC324" i="9"/>
  <c r="AB324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O324" i="9"/>
  <c r="N324" i="9"/>
  <c r="M324" i="9"/>
  <c r="L324" i="9"/>
  <c r="K324" i="9"/>
  <c r="J324" i="9"/>
  <c r="I324" i="9"/>
  <c r="H324" i="9"/>
  <c r="G324" i="9"/>
  <c r="F324" i="9"/>
  <c r="AE323" i="9"/>
  <c r="AC323" i="9"/>
  <c r="AB323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O323" i="9"/>
  <c r="N323" i="9"/>
  <c r="M323" i="9"/>
  <c r="L323" i="9"/>
  <c r="K323" i="9"/>
  <c r="J323" i="9"/>
  <c r="I323" i="9"/>
  <c r="H323" i="9"/>
  <c r="G323" i="9"/>
  <c r="F323" i="9"/>
  <c r="AE322" i="9"/>
  <c r="AC322" i="9"/>
  <c r="AB322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AE321" i="9"/>
  <c r="AC321" i="9"/>
  <c r="AB321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AE320" i="9"/>
  <c r="AC320" i="9"/>
  <c r="AB320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O320" i="9"/>
  <c r="N320" i="9"/>
  <c r="M320" i="9"/>
  <c r="L320" i="9"/>
  <c r="K320" i="9"/>
  <c r="J320" i="9"/>
  <c r="I320" i="9"/>
  <c r="H320" i="9"/>
  <c r="G320" i="9"/>
  <c r="F320" i="9"/>
  <c r="AE319" i="9"/>
  <c r="AC319" i="9"/>
  <c r="AB319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AE318" i="9"/>
  <c r="AC318" i="9"/>
  <c r="AB318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O318" i="9"/>
  <c r="N318" i="9"/>
  <c r="M318" i="9"/>
  <c r="L318" i="9"/>
  <c r="K318" i="9"/>
  <c r="J318" i="9"/>
  <c r="I318" i="9"/>
  <c r="H318" i="9"/>
  <c r="G318" i="9"/>
  <c r="F318" i="9"/>
  <c r="AE317" i="9"/>
  <c r="AC317" i="9"/>
  <c r="AB317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O317" i="9"/>
  <c r="N317" i="9"/>
  <c r="M317" i="9"/>
  <c r="L317" i="9"/>
  <c r="K317" i="9"/>
  <c r="J317" i="9"/>
  <c r="I317" i="9"/>
  <c r="H317" i="9"/>
  <c r="G317" i="9"/>
  <c r="F317" i="9"/>
  <c r="AE316" i="9"/>
  <c r="AC316" i="9"/>
  <c r="AB316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O316" i="9"/>
  <c r="N316" i="9"/>
  <c r="M316" i="9"/>
  <c r="L316" i="9"/>
  <c r="K316" i="9"/>
  <c r="J316" i="9"/>
  <c r="I316" i="9"/>
  <c r="H316" i="9"/>
  <c r="G316" i="9"/>
  <c r="F316" i="9"/>
  <c r="AE315" i="9"/>
  <c r="AC315" i="9"/>
  <c r="AB315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O315" i="9"/>
  <c r="N315" i="9"/>
  <c r="M315" i="9"/>
  <c r="L315" i="9"/>
  <c r="K315" i="9"/>
  <c r="J315" i="9"/>
  <c r="I315" i="9"/>
  <c r="H315" i="9"/>
  <c r="G315" i="9"/>
  <c r="F315" i="9"/>
  <c r="AE314" i="9"/>
  <c r="AC314" i="9"/>
  <c r="AB314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AE313" i="9"/>
  <c r="AC313" i="9"/>
  <c r="AB313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AE312" i="9"/>
  <c r="AC312" i="9"/>
  <c r="AB312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O312" i="9"/>
  <c r="N312" i="9"/>
  <c r="M312" i="9"/>
  <c r="L312" i="9"/>
  <c r="K312" i="9"/>
  <c r="J312" i="9"/>
  <c r="I312" i="9"/>
  <c r="H312" i="9"/>
  <c r="G312" i="9"/>
  <c r="F312" i="9"/>
  <c r="AE311" i="9"/>
  <c r="AC311" i="9"/>
  <c r="AB311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AE310" i="9"/>
  <c r="AC310" i="9"/>
  <c r="AB310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O310" i="9"/>
  <c r="N310" i="9"/>
  <c r="M310" i="9"/>
  <c r="L310" i="9"/>
  <c r="K310" i="9"/>
  <c r="J310" i="9"/>
  <c r="I310" i="9"/>
  <c r="H310" i="9"/>
  <c r="G310" i="9"/>
  <c r="F310" i="9"/>
  <c r="AE309" i="9"/>
  <c r="AC309" i="9"/>
  <c r="AB309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O309" i="9"/>
  <c r="N309" i="9"/>
  <c r="M309" i="9"/>
  <c r="L309" i="9"/>
  <c r="K309" i="9"/>
  <c r="J309" i="9"/>
  <c r="I309" i="9"/>
  <c r="H309" i="9"/>
  <c r="G309" i="9"/>
  <c r="F309" i="9"/>
  <c r="AE308" i="9"/>
  <c r="AC308" i="9"/>
  <c r="AB308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O308" i="9"/>
  <c r="N308" i="9"/>
  <c r="M308" i="9"/>
  <c r="L308" i="9"/>
  <c r="K308" i="9"/>
  <c r="J308" i="9"/>
  <c r="I308" i="9"/>
  <c r="H308" i="9"/>
  <c r="G308" i="9"/>
  <c r="F308" i="9"/>
  <c r="AE307" i="9"/>
  <c r="AC307" i="9"/>
  <c r="AB307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O307" i="9"/>
  <c r="N307" i="9"/>
  <c r="M307" i="9"/>
  <c r="L307" i="9"/>
  <c r="K307" i="9"/>
  <c r="J307" i="9"/>
  <c r="I307" i="9"/>
  <c r="H307" i="9"/>
  <c r="G307" i="9"/>
  <c r="F307" i="9"/>
  <c r="AE306" i="9"/>
  <c r="AC306" i="9"/>
  <c r="AB306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AE305" i="9"/>
  <c r="AC305" i="9"/>
  <c r="AB305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AE304" i="9"/>
  <c r="AC304" i="9"/>
  <c r="AB304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O304" i="9"/>
  <c r="N304" i="9"/>
  <c r="M304" i="9"/>
  <c r="L304" i="9"/>
  <c r="K304" i="9"/>
  <c r="J304" i="9"/>
  <c r="I304" i="9"/>
  <c r="H304" i="9"/>
  <c r="G304" i="9"/>
  <c r="F304" i="9"/>
  <c r="AE303" i="9"/>
  <c r="AC303" i="9"/>
  <c r="AB303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AE302" i="9"/>
  <c r="AC302" i="9"/>
  <c r="AB302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O302" i="9"/>
  <c r="N302" i="9"/>
  <c r="M302" i="9"/>
  <c r="L302" i="9"/>
  <c r="K302" i="9"/>
  <c r="J302" i="9"/>
  <c r="I302" i="9"/>
  <c r="H302" i="9"/>
  <c r="G302" i="9"/>
  <c r="F302" i="9"/>
  <c r="AE301" i="9"/>
  <c r="AC301" i="9"/>
  <c r="AB301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O301" i="9"/>
  <c r="N301" i="9"/>
  <c r="M301" i="9"/>
  <c r="L301" i="9"/>
  <c r="K301" i="9"/>
  <c r="J301" i="9"/>
  <c r="I301" i="9"/>
  <c r="H301" i="9"/>
  <c r="G301" i="9"/>
  <c r="F301" i="9"/>
  <c r="AE300" i="9"/>
  <c r="AC300" i="9"/>
  <c r="AB300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O300" i="9"/>
  <c r="N300" i="9"/>
  <c r="M300" i="9"/>
  <c r="L300" i="9"/>
  <c r="K300" i="9"/>
  <c r="J300" i="9"/>
  <c r="I300" i="9"/>
  <c r="H300" i="9"/>
  <c r="G300" i="9"/>
  <c r="F300" i="9"/>
  <c r="AE299" i="9"/>
  <c r="AC299" i="9"/>
  <c r="AB299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O299" i="9"/>
  <c r="N299" i="9"/>
  <c r="M299" i="9"/>
  <c r="L299" i="9"/>
  <c r="K299" i="9"/>
  <c r="J299" i="9"/>
  <c r="I299" i="9"/>
  <c r="H299" i="9"/>
  <c r="G299" i="9"/>
  <c r="F299" i="9"/>
  <c r="AE298" i="9"/>
  <c r="AC298" i="9"/>
  <c r="AB298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AE297" i="9"/>
  <c r="AC297" i="9"/>
  <c r="AB297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AE296" i="9"/>
  <c r="AC296" i="9"/>
  <c r="AB296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O296" i="9"/>
  <c r="N296" i="9"/>
  <c r="M296" i="9"/>
  <c r="L296" i="9"/>
  <c r="K296" i="9"/>
  <c r="J296" i="9"/>
  <c r="I296" i="9"/>
  <c r="H296" i="9"/>
  <c r="G296" i="9"/>
  <c r="F296" i="9"/>
  <c r="AE295" i="9"/>
  <c r="AC295" i="9"/>
  <c r="AB295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AE294" i="9"/>
  <c r="AC294" i="9"/>
  <c r="AB294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O294" i="9"/>
  <c r="N294" i="9"/>
  <c r="M294" i="9"/>
  <c r="L294" i="9"/>
  <c r="K294" i="9"/>
  <c r="J294" i="9"/>
  <c r="I294" i="9"/>
  <c r="H294" i="9"/>
  <c r="G294" i="9"/>
  <c r="F294" i="9"/>
  <c r="AE293" i="9"/>
  <c r="AC293" i="9"/>
  <c r="AB293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O293" i="9"/>
  <c r="N293" i="9"/>
  <c r="M293" i="9"/>
  <c r="L293" i="9"/>
  <c r="K293" i="9"/>
  <c r="J293" i="9"/>
  <c r="I293" i="9"/>
  <c r="H293" i="9"/>
  <c r="G293" i="9"/>
  <c r="F293" i="9"/>
  <c r="AE292" i="9"/>
  <c r="AC292" i="9"/>
  <c r="AB292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O292" i="9"/>
  <c r="N292" i="9"/>
  <c r="M292" i="9"/>
  <c r="L292" i="9"/>
  <c r="K292" i="9"/>
  <c r="J292" i="9"/>
  <c r="I292" i="9"/>
  <c r="H292" i="9"/>
  <c r="G292" i="9"/>
  <c r="F292" i="9"/>
  <c r="AE291" i="9"/>
  <c r="AC291" i="9"/>
  <c r="AB291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O291" i="9"/>
  <c r="N291" i="9"/>
  <c r="M291" i="9"/>
  <c r="L291" i="9"/>
  <c r="K291" i="9"/>
  <c r="J291" i="9"/>
  <c r="I291" i="9"/>
  <c r="H291" i="9"/>
  <c r="G291" i="9"/>
  <c r="F291" i="9"/>
  <c r="AE290" i="9"/>
  <c r="AC290" i="9"/>
  <c r="AB290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AE289" i="9"/>
  <c r="AC289" i="9"/>
  <c r="AB289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AE288" i="9"/>
  <c r="AC288" i="9"/>
  <c r="AB288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O288" i="9"/>
  <c r="N288" i="9"/>
  <c r="M288" i="9"/>
  <c r="L288" i="9"/>
  <c r="K288" i="9"/>
  <c r="J288" i="9"/>
  <c r="I288" i="9"/>
  <c r="H288" i="9"/>
  <c r="G288" i="9"/>
  <c r="F288" i="9"/>
  <c r="AE287" i="9"/>
  <c r="AC287" i="9"/>
  <c r="AB287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AE286" i="9"/>
  <c r="AC286" i="9"/>
  <c r="AB286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O286" i="9"/>
  <c r="N286" i="9"/>
  <c r="M286" i="9"/>
  <c r="L286" i="9"/>
  <c r="K286" i="9"/>
  <c r="J286" i="9"/>
  <c r="I286" i="9"/>
  <c r="H286" i="9"/>
  <c r="G286" i="9"/>
  <c r="F286" i="9"/>
  <c r="AE285" i="9"/>
  <c r="AC285" i="9"/>
  <c r="AB285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O285" i="9"/>
  <c r="N285" i="9"/>
  <c r="M285" i="9"/>
  <c r="L285" i="9"/>
  <c r="K285" i="9"/>
  <c r="J285" i="9"/>
  <c r="I285" i="9"/>
  <c r="H285" i="9"/>
  <c r="G285" i="9"/>
  <c r="F285" i="9"/>
  <c r="AE284" i="9"/>
  <c r="AC284" i="9"/>
  <c r="AB284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O284" i="9"/>
  <c r="N284" i="9"/>
  <c r="M284" i="9"/>
  <c r="L284" i="9"/>
  <c r="K284" i="9"/>
  <c r="J284" i="9"/>
  <c r="I284" i="9"/>
  <c r="H284" i="9"/>
  <c r="G284" i="9"/>
  <c r="F284" i="9"/>
  <c r="AE283" i="9"/>
  <c r="AC283" i="9"/>
  <c r="AB283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O283" i="9"/>
  <c r="N283" i="9"/>
  <c r="M283" i="9"/>
  <c r="L283" i="9"/>
  <c r="K283" i="9"/>
  <c r="J283" i="9"/>
  <c r="I283" i="9"/>
  <c r="H283" i="9"/>
  <c r="G283" i="9"/>
  <c r="F283" i="9"/>
  <c r="AE282" i="9"/>
  <c r="AC282" i="9"/>
  <c r="AB282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AE281" i="9"/>
  <c r="AC281" i="9"/>
  <c r="AB281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AE280" i="9"/>
  <c r="AC280" i="9"/>
  <c r="AB280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O280" i="9"/>
  <c r="N280" i="9"/>
  <c r="M280" i="9"/>
  <c r="L280" i="9"/>
  <c r="K280" i="9"/>
  <c r="J280" i="9"/>
  <c r="I280" i="9"/>
  <c r="H280" i="9"/>
  <c r="G280" i="9"/>
  <c r="F280" i="9"/>
  <c r="AE279" i="9"/>
  <c r="AC279" i="9"/>
  <c r="AB279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AE278" i="9"/>
  <c r="AC278" i="9"/>
  <c r="AB278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O278" i="9"/>
  <c r="N278" i="9"/>
  <c r="M278" i="9"/>
  <c r="L278" i="9"/>
  <c r="K278" i="9"/>
  <c r="J278" i="9"/>
  <c r="I278" i="9"/>
  <c r="H278" i="9"/>
  <c r="G278" i="9"/>
  <c r="F278" i="9"/>
  <c r="AE277" i="9"/>
  <c r="AC277" i="9"/>
  <c r="AB277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O277" i="9"/>
  <c r="N277" i="9"/>
  <c r="M277" i="9"/>
  <c r="L277" i="9"/>
  <c r="K277" i="9"/>
  <c r="J277" i="9"/>
  <c r="I277" i="9"/>
  <c r="H277" i="9"/>
  <c r="G277" i="9"/>
  <c r="F277" i="9"/>
  <c r="AE276" i="9"/>
  <c r="AC276" i="9"/>
  <c r="AB276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O276" i="9"/>
  <c r="N276" i="9"/>
  <c r="M276" i="9"/>
  <c r="L276" i="9"/>
  <c r="K276" i="9"/>
  <c r="J276" i="9"/>
  <c r="I276" i="9"/>
  <c r="H276" i="9"/>
  <c r="G276" i="9"/>
  <c r="F276" i="9"/>
  <c r="AE275" i="9"/>
  <c r="AC275" i="9"/>
  <c r="AB275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O275" i="9"/>
  <c r="N275" i="9"/>
  <c r="M275" i="9"/>
  <c r="L275" i="9"/>
  <c r="K275" i="9"/>
  <c r="J275" i="9"/>
  <c r="I275" i="9"/>
  <c r="H275" i="9"/>
  <c r="G275" i="9"/>
  <c r="F275" i="9"/>
  <c r="AE274" i="9"/>
  <c r="AC274" i="9"/>
  <c r="AB274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AE273" i="9"/>
  <c r="AC273" i="9"/>
  <c r="AB273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AE272" i="9"/>
  <c r="AC272" i="9"/>
  <c r="AB272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O272" i="9"/>
  <c r="N272" i="9"/>
  <c r="M272" i="9"/>
  <c r="L272" i="9"/>
  <c r="K272" i="9"/>
  <c r="J272" i="9"/>
  <c r="I272" i="9"/>
  <c r="H272" i="9"/>
  <c r="G272" i="9"/>
  <c r="F272" i="9"/>
  <c r="AE271" i="9"/>
  <c r="AC271" i="9"/>
  <c r="AB271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AE270" i="9"/>
  <c r="AC270" i="9"/>
  <c r="AB270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O270" i="9"/>
  <c r="N270" i="9"/>
  <c r="M270" i="9"/>
  <c r="L270" i="9"/>
  <c r="K270" i="9"/>
  <c r="J270" i="9"/>
  <c r="I270" i="9"/>
  <c r="H270" i="9"/>
  <c r="G270" i="9"/>
  <c r="F270" i="9"/>
  <c r="AE269" i="9"/>
  <c r="AC269" i="9"/>
  <c r="AB269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O269" i="9"/>
  <c r="N269" i="9"/>
  <c r="M269" i="9"/>
  <c r="L269" i="9"/>
  <c r="K269" i="9"/>
  <c r="J269" i="9"/>
  <c r="I269" i="9"/>
  <c r="H269" i="9"/>
  <c r="G269" i="9"/>
  <c r="F269" i="9"/>
  <c r="AE268" i="9"/>
  <c r="AC268" i="9"/>
  <c r="AB268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O268" i="9"/>
  <c r="N268" i="9"/>
  <c r="M268" i="9"/>
  <c r="L268" i="9"/>
  <c r="K268" i="9"/>
  <c r="J268" i="9"/>
  <c r="I268" i="9"/>
  <c r="H268" i="9"/>
  <c r="G268" i="9"/>
  <c r="F268" i="9"/>
  <c r="AE267" i="9"/>
  <c r="AC267" i="9"/>
  <c r="AB267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O267" i="9"/>
  <c r="N267" i="9"/>
  <c r="M267" i="9"/>
  <c r="L267" i="9"/>
  <c r="K267" i="9"/>
  <c r="J267" i="9"/>
  <c r="I267" i="9"/>
  <c r="H267" i="9"/>
  <c r="G267" i="9"/>
  <c r="F267" i="9"/>
  <c r="AE266" i="9"/>
  <c r="AC266" i="9"/>
  <c r="AB266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AE265" i="9"/>
  <c r="AC265" i="9"/>
  <c r="AB265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AE264" i="9"/>
  <c r="AC264" i="9"/>
  <c r="AB264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O264" i="9"/>
  <c r="N264" i="9"/>
  <c r="M264" i="9"/>
  <c r="L264" i="9"/>
  <c r="K264" i="9"/>
  <c r="J264" i="9"/>
  <c r="I264" i="9"/>
  <c r="H264" i="9"/>
  <c r="G264" i="9"/>
  <c r="F264" i="9"/>
  <c r="AE263" i="9"/>
  <c r="AC263" i="9"/>
  <c r="AB263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AE262" i="9"/>
  <c r="AC262" i="9"/>
  <c r="AB262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O262" i="9"/>
  <c r="N262" i="9"/>
  <c r="M262" i="9"/>
  <c r="L262" i="9"/>
  <c r="K262" i="9"/>
  <c r="J262" i="9"/>
  <c r="I262" i="9"/>
  <c r="H262" i="9"/>
  <c r="G262" i="9"/>
  <c r="F262" i="9"/>
  <c r="AE261" i="9"/>
  <c r="AC261" i="9"/>
  <c r="AB261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O261" i="9"/>
  <c r="N261" i="9"/>
  <c r="M261" i="9"/>
  <c r="L261" i="9"/>
  <c r="K261" i="9"/>
  <c r="J261" i="9"/>
  <c r="I261" i="9"/>
  <c r="H261" i="9"/>
  <c r="G261" i="9"/>
  <c r="F261" i="9"/>
  <c r="AE260" i="9"/>
  <c r="AC260" i="9"/>
  <c r="AB260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O260" i="9"/>
  <c r="N260" i="9"/>
  <c r="M260" i="9"/>
  <c r="L260" i="9"/>
  <c r="K260" i="9"/>
  <c r="J260" i="9"/>
  <c r="I260" i="9"/>
  <c r="H260" i="9"/>
  <c r="G260" i="9"/>
  <c r="F260" i="9"/>
  <c r="AE259" i="9"/>
  <c r="AC259" i="9"/>
  <c r="AB259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O259" i="9"/>
  <c r="N259" i="9"/>
  <c r="M259" i="9"/>
  <c r="L259" i="9"/>
  <c r="K259" i="9"/>
  <c r="J259" i="9"/>
  <c r="I259" i="9"/>
  <c r="H259" i="9"/>
  <c r="G259" i="9"/>
  <c r="F259" i="9"/>
  <c r="AE258" i="9"/>
  <c r="AC258" i="9"/>
  <c r="AB258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AE257" i="9"/>
  <c r="AC257" i="9"/>
  <c r="AB257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AE256" i="9"/>
  <c r="AC256" i="9"/>
  <c r="AB256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O256" i="9"/>
  <c r="N256" i="9"/>
  <c r="M256" i="9"/>
  <c r="L256" i="9"/>
  <c r="K256" i="9"/>
  <c r="J256" i="9"/>
  <c r="I256" i="9"/>
  <c r="H256" i="9"/>
  <c r="G256" i="9"/>
  <c r="F256" i="9"/>
  <c r="AE255" i="9"/>
  <c r="AC255" i="9"/>
  <c r="AB255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AE254" i="9"/>
  <c r="AC254" i="9"/>
  <c r="AB254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O254" i="9"/>
  <c r="N254" i="9"/>
  <c r="M254" i="9"/>
  <c r="L254" i="9"/>
  <c r="K254" i="9"/>
  <c r="J254" i="9"/>
  <c r="I254" i="9"/>
  <c r="H254" i="9"/>
  <c r="G254" i="9"/>
  <c r="F254" i="9"/>
  <c r="AE253" i="9"/>
  <c r="AC253" i="9"/>
  <c r="AB253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O253" i="9"/>
  <c r="N253" i="9"/>
  <c r="M253" i="9"/>
  <c r="L253" i="9"/>
  <c r="K253" i="9"/>
  <c r="J253" i="9"/>
  <c r="I253" i="9"/>
  <c r="H253" i="9"/>
  <c r="G253" i="9"/>
  <c r="F253" i="9"/>
  <c r="AE252" i="9"/>
  <c r="AC252" i="9"/>
  <c r="AB252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O252" i="9"/>
  <c r="N252" i="9"/>
  <c r="M252" i="9"/>
  <c r="L252" i="9"/>
  <c r="K252" i="9"/>
  <c r="J252" i="9"/>
  <c r="I252" i="9"/>
  <c r="H252" i="9"/>
  <c r="G252" i="9"/>
  <c r="F252" i="9"/>
  <c r="AE251" i="9"/>
  <c r="AC251" i="9"/>
  <c r="AB251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O251" i="9"/>
  <c r="N251" i="9"/>
  <c r="M251" i="9"/>
  <c r="L251" i="9"/>
  <c r="K251" i="9"/>
  <c r="J251" i="9"/>
  <c r="I251" i="9"/>
  <c r="H251" i="9"/>
  <c r="G251" i="9"/>
  <c r="F251" i="9"/>
  <c r="AE250" i="9"/>
  <c r="AC250" i="9"/>
  <c r="AB250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AE249" i="9"/>
  <c r="AC249" i="9"/>
  <c r="AB249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AE248" i="9"/>
  <c r="AC248" i="9"/>
  <c r="AB248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O248" i="9"/>
  <c r="N248" i="9"/>
  <c r="M248" i="9"/>
  <c r="L248" i="9"/>
  <c r="K248" i="9"/>
  <c r="J248" i="9"/>
  <c r="I248" i="9"/>
  <c r="H248" i="9"/>
  <c r="G248" i="9"/>
  <c r="F248" i="9"/>
  <c r="AE247" i="9"/>
  <c r="AC247" i="9"/>
  <c r="AB247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AE246" i="9"/>
  <c r="AC246" i="9"/>
  <c r="AB246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O246" i="9"/>
  <c r="N246" i="9"/>
  <c r="M246" i="9"/>
  <c r="L246" i="9"/>
  <c r="K246" i="9"/>
  <c r="J246" i="9"/>
  <c r="I246" i="9"/>
  <c r="H246" i="9"/>
  <c r="G246" i="9"/>
  <c r="F246" i="9"/>
  <c r="AE245" i="9"/>
  <c r="AC245" i="9"/>
  <c r="AB245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O245" i="9"/>
  <c r="N245" i="9"/>
  <c r="M245" i="9"/>
  <c r="L245" i="9"/>
  <c r="K245" i="9"/>
  <c r="J245" i="9"/>
  <c r="I245" i="9"/>
  <c r="H245" i="9"/>
  <c r="G245" i="9"/>
  <c r="F245" i="9"/>
  <c r="AE244" i="9"/>
  <c r="AC244" i="9"/>
  <c r="AB244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O244" i="9"/>
  <c r="N244" i="9"/>
  <c r="M244" i="9"/>
  <c r="L244" i="9"/>
  <c r="K244" i="9"/>
  <c r="J244" i="9"/>
  <c r="I244" i="9"/>
  <c r="H244" i="9"/>
  <c r="G244" i="9"/>
  <c r="F244" i="9"/>
  <c r="AE243" i="9"/>
  <c r="AC243" i="9"/>
  <c r="AB243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O243" i="9"/>
  <c r="N243" i="9"/>
  <c r="M243" i="9"/>
  <c r="L243" i="9"/>
  <c r="K243" i="9"/>
  <c r="J243" i="9"/>
  <c r="I243" i="9"/>
  <c r="H243" i="9"/>
  <c r="G243" i="9"/>
  <c r="F243" i="9"/>
  <c r="AE242" i="9"/>
  <c r="AC242" i="9"/>
  <c r="AB242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AE241" i="9"/>
  <c r="AC241" i="9"/>
  <c r="AB241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AE240" i="9"/>
  <c r="AC240" i="9"/>
  <c r="AB240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O240" i="9"/>
  <c r="N240" i="9"/>
  <c r="M240" i="9"/>
  <c r="L240" i="9"/>
  <c r="K240" i="9"/>
  <c r="J240" i="9"/>
  <c r="I240" i="9"/>
  <c r="H240" i="9"/>
  <c r="G240" i="9"/>
  <c r="F240" i="9"/>
  <c r="AE239" i="9"/>
  <c r="AC239" i="9"/>
  <c r="AB239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AE238" i="9"/>
  <c r="AC238" i="9"/>
  <c r="AB238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O238" i="9"/>
  <c r="N238" i="9"/>
  <c r="M238" i="9"/>
  <c r="L238" i="9"/>
  <c r="K238" i="9"/>
  <c r="J238" i="9"/>
  <c r="I238" i="9"/>
  <c r="H238" i="9"/>
  <c r="G238" i="9"/>
  <c r="F238" i="9"/>
  <c r="AE237" i="9"/>
  <c r="AC237" i="9"/>
  <c r="AB237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O237" i="9"/>
  <c r="N237" i="9"/>
  <c r="M237" i="9"/>
  <c r="L237" i="9"/>
  <c r="K237" i="9"/>
  <c r="J237" i="9"/>
  <c r="I237" i="9"/>
  <c r="H237" i="9"/>
  <c r="G237" i="9"/>
  <c r="F237" i="9"/>
  <c r="AE236" i="9"/>
  <c r="AC236" i="9"/>
  <c r="AB236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O236" i="9"/>
  <c r="N236" i="9"/>
  <c r="M236" i="9"/>
  <c r="L236" i="9"/>
  <c r="K236" i="9"/>
  <c r="J236" i="9"/>
  <c r="I236" i="9"/>
  <c r="H236" i="9"/>
  <c r="G236" i="9"/>
  <c r="F236" i="9"/>
  <c r="AE235" i="9"/>
  <c r="AC235" i="9"/>
  <c r="AB235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O235" i="9"/>
  <c r="N235" i="9"/>
  <c r="M235" i="9"/>
  <c r="L235" i="9"/>
  <c r="K235" i="9"/>
  <c r="J235" i="9"/>
  <c r="I235" i="9"/>
  <c r="H235" i="9"/>
  <c r="G235" i="9"/>
  <c r="F235" i="9"/>
  <c r="AE234" i="9"/>
  <c r="AC234" i="9"/>
  <c r="AB234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AE233" i="9"/>
  <c r="AC233" i="9"/>
  <c r="AB233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AE232" i="9"/>
  <c r="AC232" i="9"/>
  <c r="AB232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O232" i="9"/>
  <c r="N232" i="9"/>
  <c r="M232" i="9"/>
  <c r="L232" i="9"/>
  <c r="K232" i="9"/>
  <c r="J232" i="9"/>
  <c r="I232" i="9"/>
  <c r="H232" i="9"/>
  <c r="G232" i="9"/>
  <c r="F232" i="9"/>
  <c r="AE231" i="9"/>
  <c r="AC231" i="9"/>
  <c r="AB231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AE230" i="9"/>
  <c r="AC230" i="9"/>
  <c r="AB230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O230" i="9"/>
  <c r="N230" i="9"/>
  <c r="M230" i="9"/>
  <c r="L230" i="9"/>
  <c r="K230" i="9"/>
  <c r="J230" i="9"/>
  <c r="I230" i="9"/>
  <c r="H230" i="9"/>
  <c r="G230" i="9"/>
  <c r="F230" i="9"/>
  <c r="AE229" i="9"/>
  <c r="AC229" i="9"/>
  <c r="AB229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O229" i="9"/>
  <c r="N229" i="9"/>
  <c r="M229" i="9"/>
  <c r="L229" i="9"/>
  <c r="K229" i="9"/>
  <c r="J229" i="9"/>
  <c r="I229" i="9"/>
  <c r="H229" i="9"/>
  <c r="G229" i="9"/>
  <c r="F229" i="9"/>
  <c r="AE228" i="9"/>
  <c r="AC228" i="9"/>
  <c r="AB228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O228" i="9"/>
  <c r="N228" i="9"/>
  <c r="M228" i="9"/>
  <c r="L228" i="9"/>
  <c r="K228" i="9"/>
  <c r="J228" i="9"/>
  <c r="I228" i="9"/>
  <c r="H228" i="9"/>
  <c r="G228" i="9"/>
  <c r="F228" i="9"/>
  <c r="AE227" i="9"/>
  <c r="AC227" i="9"/>
  <c r="AB227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O227" i="9"/>
  <c r="N227" i="9"/>
  <c r="M227" i="9"/>
  <c r="L227" i="9"/>
  <c r="K227" i="9"/>
  <c r="J227" i="9"/>
  <c r="I227" i="9"/>
  <c r="H227" i="9"/>
  <c r="G227" i="9"/>
  <c r="F227" i="9"/>
  <c r="AE226" i="9"/>
  <c r="AC226" i="9"/>
  <c r="AB226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AE225" i="9"/>
  <c r="AC225" i="9"/>
  <c r="AB225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AE224" i="9"/>
  <c r="AC224" i="9"/>
  <c r="AB224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O224" i="9"/>
  <c r="N224" i="9"/>
  <c r="M224" i="9"/>
  <c r="L224" i="9"/>
  <c r="K224" i="9"/>
  <c r="J224" i="9"/>
  <c r="I224" i="9"/>
  <c r="H224" i="9"/>
  <c r="G224" i="9"/>
  <c r="F224" i="9"/>
  <c r="AE223" i="9"/>
  <c r="AC223" i="9"/>
  <c r="AB223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AE222" i="9"/>
  <c r="AC222" i="9"/>
  <c r="AB222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O222" i="9"/>
  <c r="N222" i="9"/>
  <c r="M222" i="9"/>
  <c r="L222" i="9"/>
  <c r="K222" i="9"/>
  <c r="J222" i="9"/>
  <c r="I222" i="9"/>
  <c r="H222" i="9"/>
  <c r="G222" i="9"/>
  <c r="F222" i="9"/>
  <c r="AE221" i="9"/>
  <c r="AC221" i="9"/>
  <c r="AB221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O221" i="9"/>
  <c r="N221" i="9"/>
  <c r="M221" i="9"/>
  <c r="L221" i="9"/>
  <c r="K221" i="9"/>
  <c r="J221" i="9"/>
  <c r="I221" i="9"/>
  <c r="H221" i="9"/>
  <c r="G221" i="9"/>
  <c r="F221" i="9"/>
  <c r="AE220" i="9"/>
  <c r="AC220" i="9"/>
  <c r="AB220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O220" i="9"/>
  <c r="N220" i="9"/>
  <c r="M220" i="9"/>
  <c r="L220" i="9"/>
  <c r="K220" i="9"/>
  <c r="J220" i="9"/>
  <c r="I220" i="9"/>
  <c r="H220" i="9"/>
  <c r="G220" i="9"/>
  <c r="F220" i="9"/>
  <c r="AE219" i="9"/>
  <c r="AC219" i="9"/>
  <c r="AB219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O219" i="9"/>
  <c r="N219" i="9"/>
  <c r="M219" i="9"/>
  <c r="L219" i="9"/>
  <c r="K219" i="9"/>
  <c r="J219" i="9"/>
  <c r="I219" i="9"/>
  <c r="H219" i="9"/>
  <c r="G219" i="9"/>
  <c r="F219" i="9"/>
  <c r="AE218" i="9"/>
  <c r="AC218" i="9"/>
  <c r="AB218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AE217" i="9"/>
  <c r="AC217" i="9"/>
  <c r="AB217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AE216" i="9"/>
  <c r="AC216" i="9"/>
  <c r="AB216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O216" i="9"/>
  <c r="N216" i="9"/>
  <c r="M216" i="9"/>
  <c r="L216" i="9"/>
  <c r="K216" i="9"/>
  <c r="J216" i="9"/>
  <c r="I216" i="9"/>
  <c r="H216" i="9"/>
  <c r="G216" i="9"/>
  <c r="F216" i="9"/>
  <c r="AE215" i="9"/>
  <c r="AC215" i="9"/>
  <c r="AB215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AE214" i="9"/>
  <c r="AC214" i="9"/>
  <c r="AB214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O214" i="9"/>
  <c r="N214" i="9"/>
  <c r="M214" i="9"/>
  <c r="L214" i="9"/>
  <c r="K214" i="9"/>
  <c r="J214" i="9"/>
  <c r="I214" i="9"/>
  <c r="H214" i="9"/>
  <c r="G214" i="9"/>
  <c r="F214" i="9"/>
  <c r="AE213" i="9"/>
  <c r="AC213" i="9"/>
  <c r="AB213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O213" i="9"/>
  <c r="N213" i="9"/>
  <c r="M213" i="9"/>
  <c r="L213" i="9"/>
  <c r="K213" i="9"/>
  <c r="J213" i="9"/>
  <c r="I213" i="9"/>
  <c r="H213" i="9"/>
  <c r="G213" i="9"/>
  <c r="F213" i="9"/>
  <c r="AE212" i="9"/>
  <c r="AC212" i="9"/>
  <c r="AB212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O212" i="9"/>
  <c r="N212" i="9"/>
  <c r="M212" i="9"/>
  <c r="L212" i="9"/>
  <c r="K212" i="9"/>
  <c r="J212" i="9"/>
  <c r="I212" i="9"/>
  <c r="H212" i="9"/>
  <c r="G212" i="9"/>
  <c r="F212" i="9"/>
  <c r="AE211" i="9"/>
  <c r="AC211" i="9"/>
  <c r="AB211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O211" i="9"/>
  <c r="N211" i="9"/>
  <c r="M211" i="9"/>
  <c r="L211" i="9"/>
  <c r="K211" i="9"/>
  <c r="J211" i="9"/>
  <c r="I211" i="9"/>
  <c r="H211" i="9"/>
  <c r="G211" i="9"/>
  <c r="F211" i="9"/>
  <c r="AE210" i="9"/>
  <c r="AC210" i="9"/>
  <c r="AB210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AE209" i="9"/>
  <c r="AC209" i="9"/>
  <c r="AB209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AE208" i="9"/>
  <c r="AC208" i="9"/>
  <c r="AB208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O208" i="9"/>
  <c r="N208" i="9"/>
  <c r="M208" i="9"/>
  <c r="L208" i="9"/>
  <c r="K208" i="9"/>
  <c r="J208" i="9"/>
  <c r="I208" i="9"/>
  <c r="H208" i="9"/>
  <c r="G208" i="9"/>
  <c r="F208" i="9"/>
  <c r="AE207" i="9"/>
  <c r="AC207" i="9"/>
  <c r="AB207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AE206" i="9"/>
  <c r="AC206" i="9"/>
  <c r="AB206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O206" i="9"/>
  <c r="N206" i="9"/>
  <c r="M206" i="9"/>
  <c r="L206" i="9"/>
  <c r="K206" i="9"/>
  <c r="J206" i="9"/>
  <c r="I206" i="9"/>
  <c r="H206" i="9"/>
  <c r="G206" i="9"/>
  <c r="F206" i="9"/>
  <c r="AE205" i="9"/>
  <c r="AC205" i="9"/>
  <c r="AB205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O205" i="9"/>
  <c r="N205" i="9"/>
  <c r="M205" i="9"/>
  <c r="L205" i="9"/>
  <c r="K205" i="9"/>
  <c r="J205" i="9"/>
  <c r="I205" i="9"/>
  <c r="H205" i="9"/>
  <c r="G205" i="9"/>
  <c r="F205" i="9"/>
  <c r="AE204" i="9"/>
  <c r="AC204" i="9"/>
  <c r="AB204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O204" i="9"/>
  <c r="N204" i="9"/>
  <c r="M204" i="9"/>
  <c r="L204" i="9"/>
  <c r="K204" i="9"/>
  <c r="J204" i="9"/>
  <c r="I204" i="9"/>
  <c r="H204" i="9"/>
  <c r="G204" i="9"/>
  <c r="F204" i="9"/>
  <c r="AE203" i="9"/>
  <c r="AC203" i="9"/>
  <c r="AB203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O203" i="9"/>
  <c r="N203" i="9"/>
  <c r="M203" i="9"/>
  <c r="L203" i="9"/>
  <c r="K203" i="9"/>
  <c r="J203" i="9"/>
  <c r="I203" i="9"/>
  <c r="H203" i="9"/>
  <c r="G203" i="9"/>
  <c r="F203" i="9"/>
  <c r="AE202" i="9"/>
  <c r="AC202" i="9"/>
  <c r="AB202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AE201" i="9"/>
  <c r="AC201" i="9"/>
  <c r="AB201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AE200" i="9"/>
  <c r="AC200" i="9"/>
  <c r="AB200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O200" i="9"/>
  <c r="N200" i="9"/>
  <c r="M200" i="9"/>
  <c r="L200" i="9"/>
  <c r="K200" i="9"/>
  <c r="J200" i="9"/>
  <c r="I200" i="9"/>
  <c r="H200" i="9"/>
  <c r="G200" i="9"/>
  <c r="F200" i="9"/>
  <c r="AE199" i="9"/>
  <c r="AC199" i="9"/>
  <c r="AB199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AE198" i="9"/>
  <c r="AC198" i="9"/>
  <c r="AB198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O198" i="9"/>
  <c r="N198" i="9"/>
  <c r="M198" i="9"/>
  <c r="L198" i="9"/>
  <c r="K198" i="9"/>
  <c r="J198" i="9"/>
  <c r="I198" i="9"/>
  <c r="H198" i="9"/>
  <c r="G198" i="9"/>
  <c r="F198" i="9"/>
  <c r="AE197" i="9"/>
  <c r="AC197" i="9"/>
  <c r="AB197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O197" i="9"/>
  <c r="N197" i="9"/>
  <c r="M197" i="9"/>
  <c r="L197" i="9"/>
  <c r="K197" i="9"/>
  <c r="J197" i="9"/>
  <c r="I197" i="9"/>
  <c r="H197" i="9"/>
  <c r="G197" i="9"/>
  <c r="F197" i="9"/>
  <c r="AE196" i="9"/>
  <c r="AC196" i="9"/>
  <c r="AB196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O196" i="9"/>
  <c r="N196" i="9"/>
  <c r="M196" i="9"/>
  <c r="L196" i="9"/>
  <c r="K196" i="9"/>
  <c r="J196" i="9"/>
  <c r="I196" i="9"/>
  <c r="H196" i="9"/>
  <c r="G196" i="9"/>
  <c r="F196" i="9"/>
  <c r="AE195" i="9"/>
  <c r="AC195" i="9"/>
  <c r="AB195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O195" i="9"/>
  <c r="N195" i="9"/>
  <c r="M195" i="9"/>
  <c r="L195" i="9"/>
  <c r="K195" i="9"/>
  <c r="J195" i="9"/>
  <c r="I195" i="9"/>
  <c r="H195" i="9"/>
  <c r="G195" i="9"/>
  <c r="F195" i="9"/>
  <c r="AE194" i="9"/>
  <c r="AC194" i="9"/>
  <c r="AB194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AE193" i="9"/>
  <c r="AC193" i="9"/>
  <c r="AB193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AE192" i="9"/>
  <c r="AC192" i="9"/>
  <c r="AB192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O192" i="9"/>
  <c r="N192" i="9"/>
  <c r="M192" i="9"/>
  <c r="L192" i="9"/>
  <c r="K192" i="9"/>
  <c r="J192" i="9"/>
  <c r="I192" i="9"/>
  <c r="H192" i="9"/>
  <c r="G192" i="9"/>
  <c r="F192" i="9"/>
  <c r="AE191" i="9"/>
  <c r="AC191" i="9"/>
  <c r="AB191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AE190" i="9"/>
  <c r="AC190" i="9"/>
  <c r="AB190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O190" i="9"/>
  <c r="N190" i="9"/>
  <c r="M190" i="9"/>
  <c r="L190" i="9"/>
  <c r="K190" i="9"/>
  <c r="J190" i="9"/>
  <c r="I190" i="9"/>
  <c r="H190" i="9"/>
  <c r="G190" i="9"/>
  <c r="F190" i="9"/>
  <c r="AE189" i="9"/>
  <c r="AC189" i="9"/>
  <c r="AB189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O189" i="9"/>
  <c r="N189" i="9"/>
  <c r="M189" i="9"/>
  <c r="L189" i="9"/>
  <c r="K189" i="9"/>
  <c r="J189" i="9"/>
  <c r="I189" i="9"/>
  <c r="H189" i="9"/>
  <c r="G189" i="9"/>
  <c r="F189" i="9"/>
  <c r="AE188" i="9"/>
  <c r="AC188" i="9"/>
  <c r="AB188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O188" i="9"/>
  <c r="N188" i="9"/>
  <c r="M188" i="9"/>
  <c r="L188" i="9"/>
  <c r="K188" i="9"/>
  <c r="J188" i="9"/>
  <c r="I188" i="9"/>
  <c r="H188" i="9"/>
  <c r="G188" i="9"/>
  <c r="F188" i="9"/>
  <c r="AE187" i="9"/>
  <c r="AC187" i="9"/>
  <c r="AB187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O187" i="9"/>
  <c r="N187" i="9"/>
  <c r="M187" i="9"/>
  <c r="L187" i="9"/>
  <c r="K187" i="9"/>
  <c r="J187" i="9"/>
  <c r="I187" i="9"/>
  <c r="H187" i="9"/>
  <c r="G187" i="9"/>
  <c r="F187" i="9"/>
  <c r="AE186" i="9"/>
  <c r="AC186" i="9"/>
  <c r="AB186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AE185" i="9"/>
  <c r="AC185" i="9"/>
  <c r="AB185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AE184" i="9"/>
  <c r="AC184" i="9"/>
  <c r="AB184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O184" i="9"/>
  <c r="N184" i="9"/>
  <c r="M184" i="9"/>
  <c r="L184" i="9"/>
  <c r="K184" i="9"/>
  <c r="J184" i="9"/>
  <c r="I184" i="9"/>
  <c r="H184" i="9"/>
  <c r="G184" i="9"/>
  <c r="F184" i="9"/>
  <c r="AE183" i="9"/>
  <c r="AC183" i="9"/>
  <c r="AB183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AE182" i="9"/>
  <c r="AC182" i="9"/>
  <c r="AB182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O182" i="9"/>
  <c r="N182" i="9"/>
  <c r="M182" i="9"/>
  <c r="L182" i="9"/>
  <c r="K182" i="9"/>
  <c r="J182" i="9"/>
  <c r="I182" i="9"/>
  <c r="H182" i="9"/>
  <c r="G182" i="9"/>
  <c r="F182" i="9"/>
  <c r="AE181" i="9"/>
  <c r="AC181" i="9"/>
  <c r="AB181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O181" i="9"/>
  <c r="N181" i="9"/>
  <c r="M181" i="9"/>
  <c r="L181" i="9"/>
  <c r="K181" i="9"/>
  <c r="J181" i="9"/>
  <c r="I181" i="9"/>
  <c r="H181" i="9"/>
  <c r="G181" i="9"/>
  <c r="F181" i="9"/>
  <c r="AE180" i="9"/>
  <c r="AC180" i="9"/>
  <c r="AB180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O180" i="9"/>
  <c r="N180" i="9"/>
  <c r="M180" i="9"/>
  <c r="L180" i="9"/>
  <c r="K180" i="9"/>
  <c r="J180" i="9"/>
  <c r="I180" i="9"/>
  <c r="H180" i="9"/>
  <c r="G180" i="9"/>
  <c r="F180" i="9"/>
  <c r="AE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AE178" i="9"/>
  <c r="AC178" i="9"/>
  <c r="AB178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AE177" i="9"/>
  <c r="AC177" i="9"/>
  <c r="AB177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AE176" i="9"/>
  <c r="AC176" i="9"/>
  <c r="AB176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O176" i="9"/>
  <c r="N176" i="9"/>
  <c r="M176" i="9"/>
  <c r="L176" i="9"/>
  <c r="K176" i="9"/>
  <c r="J176" i="9"/>
  <c r="I176" i="9"/>
  <c r="H176" i="9"/>
  <c r="G176" i="9"/>
  <c r="F176" i="9"/>
  <c r="AE175" i="9"/>
  <c r="AC175" i="9"/>
  <c r="AB175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AE174" i="9"/>
  <c r="AC174" i="9"/>
  <c r="AB174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O174" i="9"/>
  <c r="N174" i="9"/>
  <c r="M174" i="9"/>
  <c r="L174" i="9"/>
  <c r="K174" i="9"/>
  <c r="J174" i="9"/>
  <c r="I174" i="9"/>
  <c r="H174" i="9"/>
  <c r="G174" i="9"/>
  <c r="F174" i="9"/>
  <c r="AE173" i="9"/>
  <c r="AC173" i="9"/>
  <c r="AB173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O173" i="9"/>
  <c r="N173" i="9"/>
  <c r="M173" i="9"/>
  <c r="L173" i="9"/>
  <c r="K173" i="9"/>
  <c r="J173" i="9"/>
  <c r="I173" i="9"/>
  <c r="H173" i="9"/>
  <c r="G173" i="9"/>
  <c r="F173" i="9"/>
  <c r="AE172" i="9"/>
  <c r="AC172" i="9"/>
  <c r="AB172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O172" i="9"/>
  <c r="N172" i="9"/>
  <c r="M172" i="9"/>
  <c r="L172" i="9"/>
  <c r="K172" i="9"/>
  <c r="J172" i="9"/>
  <c r="I172" i="9"/>
  <c r="H172" i="9"/>
  <c r="G172" i="9"/>
  <c r="F172" i="9"/>
  <c r="AE171" i="9"/>
  <c r="AC171" i="9"/>
  <c r="AB171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O171" i="9"/>
  <c r="N171" i="9"/>
  <c r="M171" i="9"/>
  <c r="L171" i="9"/>
  <c r="K171" i="9"/>
  <c r="J171" i="9"/>
  <c r="I171" i="9"/>
  <c r="H171" i="9"/>
  <c r="G171" i="9"/>
  <c r="F171" i="9"/>
  <c r="AE170" i="9"/>
  <c r="AC170" i="9"/>
  <c r="AB170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AE169" i="9"/>
  <c r="AC169" i="9"/>
  <c r="AB169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AE168" i="9"/>
  <c r="AC168" i="9"/>
  <c r="AB168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O168" i="9"/>
  <c r="N168" i="9"/>
  <c r="M168" i="9"/>
  <c r="L168" i="9"/>
  <c r="K168" i="9"/>
  <c r="J168" i="9"/>
  <c r="I168" i="9"/>
  <c r="H168" i="9"/>
  <c r="G168" i="9"/>
  <c r="F168" i="9"/>
  <c r="AE167" i="9"/>
  <c r="AC167" i="9"/>
  <c r="AB167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AE166" i="9"/>
  <c r="AC166" i="9"/>
  <c r="AB166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O166" i="9"/>
  <c r="N166" i="9"/>
  <c r="M166" i="9"/>
  <c r="L166" i="9"/>
  <c r="K166" i="9"/>
  <c r="J166" i="9"/>
  <c r="I166" i="9"/>
  <c r="H166" i="9"/>
  <c r="G166" i="9"/>
  <c r="F166" i="9"/>
  <c r="AE165" i="9"/>
  <c r="AC165" i="9"/>
  <c r="AB165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O165" i="9"/>
  <c r="N165" i="9"/>
  <c r="M165" i="9"/>
  <c r="L165" i="9"/>
  <c r="K165" i="9"/>
  <c r="J165" i="9"/>
  <c r="I165" i="9"/>
  <c r="H165" i="9"/>
  <c r="G165" i="9"/>
  <c r="F165" i="9"/>
  <c r="AE164" i="9"/>
  <c r="AC164" i="9"/>
  <c r="AB164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O164" i="9"/>
  <c r="N164" i="9"/>
  <c r="M164" i="9"/>
  <c r="L164" i="9"/>
  <c r="K164" i="9"/>
  <c r="J164" i="9"/>
  <c r="I164" i="9"/>
  <c r="H164" i="9"/>
  <c r="G164" i="9"/>
  <c r="F164" i="9"/>
  <c r="AE163" i="9"/>
  <c r="AC163" i="9"/>
  <c r="AB163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O163" i="9"/>
  <c r="N163" i="9"/>
  <c r="M163" i="9"/>
  <c r="L163" i="9"/>
  <c r="K163" i="9"/>
  <c r="J163" i="9"/>
  <c r="I163" i="9"/>
  <c r="H163" i="9"/>
  <c r="G163" i="9"/>
  <c r="F163" i="9"/>
  <c r="AE162" i="9"/>
  <c r="AC162" i="9"/>
  <c r="AB162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AE161" i="9"/>
  <c r="AC161" i="9"/>
  <c r="AB161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AE160" i="9"/>
  <c r="AC160" i="9"/>
  <c r="AB160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O160" i="9"/>
  <c r="N160" i="9"/>
  <c r="M160" i="9"/>
  <c r="L160" i="9"/>
  <c r="K160" i="9"/>
  <c r="J160" i="9"/>
  <c r="I160" i="9"/>
  <c r="H160" i="9"/>
  <c r="G160" i="9"/>
  <c r="F160" i="9"/>
  <c r="AE159" i="9"/>
  <c r="AC159" i="9"/>
  <c r="AB159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AE158" i="9"/>
  <c r="AC158" i="9"/>
  <c r="AB158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O158" i="9"/>
  <c r="N158" i="9"/>
  <c r="M158" i="9"/>
  <c r="L158" i="9"/>
  <c r="K158" i="9"/>
  <c r="J158" i="9"/>
  <c r="I158" i="9"/>
  <c r="H158" i="9"/>
  <c r="G158" i="9"/>
  <c r="F158" i="9"/>
  <c r="AE157" i="9"/>
  <c r="AC157" i="9"/>
  <c r="AB157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O157" i="9"/>
  <c r="N157" i="9"/>
  <c r="M157" i="9"/>
  <c r="L157" i="9"/>
  <c r="K157" i="9"/>
  <c r="J157" i="9"/>
  <c r="I157" i="9"/>
  <c r="H157" i="9"/>
  <c r="G157" i="9"/>
  <c r="F157" i="9"/>
  <c r="AE156" i="9"/>
  <c r="AC156" i="9"/>
  <c r="AB156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O156" i="9"/>
  <c r="N156" i="9"/>
  <c r="M156" i="9"/>
  <c r="L156" i="9"/>
  <c r="K156" i="9"/>
  <c r="J156" i="9"/>
  <c r="I156" i="9"/>
  <c r="H156" i="9"/>
  <c r="G156" i="9"/>
  <c r="F156" i="9"/>
  <c r="AE155" i="9"/>
  <c r="AC155" i="9"/>
  <c r="AB155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AE154" i="9"/>
  <c r="AC154" i="9"/>
  <c r="AB154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AE153" i="9"/>
  <c r="AC153" i="9"/>
  <c r="AB153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AE152" i="9"/>
  <c r="AC152" i="9"/>
  <c r="AB152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AE151" i="9"/>
  <c r="AC151" i="9"/>
  <c r="AB151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AE150" i="9"/>
  <c r="AC150" i="9"/>
  <c r="AB150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AE149" i="9"/>
  <c r="AC149" i="9"/>
  <c r="AB149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AE148" i="9"/>
  <c r="AC148" i="9"/>
  <c r="AB148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AE147" i="9"/>
  <c r="AC147" i="9"/>
  <c r="AB147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O147" i="9"/>
  <c r="N147" i="9"/>
  <c r="M147" i="9"/>
  <c r="L147" i="9"/>
  <c r="K147" i="9"/>
  <c r="J147" i="9"/>
  <c r="I147" i="9"/>
  <c r="H147" i="9"/>
  <c r="G147" i="9"/>
  <c r="F147" i="9"/>
  <c r="AE146" i="9"/>
  <c r="AC146" i="9"/>
  <c r="AB146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AE145" i="9"/>
  <c r="AC145" i="9"/>
  <c r="AB145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AE144" i="9"/>
  <c r="AC144" i="9"/>
  <c r="AB144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AE143" i="9"/>
  <c r="AC143" i="9"/>
  <c r="AB143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AE142" i="9"/>
  <c r="AC142" i="9"/>
  <c r="AB142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AE141" i="9"/>
  <c r="AC141" i="9"/>
  <c r="AB141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AE140" i="9"/>
  <c r="AC140" i="9"/>
  <c r="AB140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AE139" i="9"/>
  <c r="AC139" i="9"/>
  <c r="AB139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AE138" i="9"/>
  <c r="AC138" i="9"/>
  <c r="AB138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AE137" i="9"/>
  <c r="AC137" i="9"/>
  <c r="AB137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AE136" i="9"/>
  <c r="AC136" i="9"/>
  <c r="AB136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O136" i="9"/>
  <c r="N136" i="9"/>
  <c r="M136" i="9"/>
  <c r="L136" i="9"/>
  <c r="K136" i="9"/>
  <c r="J136" i="9"/>
  <c r="I136" i="9"/>
  <c r="H136" i="9"/>
  <c r="G136" i="9"/>
  <c r="F136" i="9"/>
  <c r="AE135" i="9"/>
  <c r="AC135" i="9"/>
  <c r="AB135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AE134" i="9"/>
  <c r="AC134" i="9"/>
  <c r="AB134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O134" i="9"/>
  <c r="N134" i="9"/>
  <c r="M134" i="9"/>
  <c r="L134" i="9"/>
  <c r="K134" i="9"/>
  <c r="J134" i="9"/>
  <c r="I134" i="9"/>
  <c r="H134" i="9"/>
  <c r="G134" i="9"/>
  <c r="F134" i="9"/>
  <c r="AE133" i="9"/>
  <c r="AC133" i="9"/>
  <c r="AB133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O133" i="9"/>
  <c r="N133" i="9"/>
  <c r="M133" i="9"/>
  <c r="L133" i="9"/>
  <c r="K133" i="9"/>
  <c r="J133" i="9"/>
  <c r="I133" i="9"/>
  <c r="H133" i="9"/>
  <c r="G133" i="9"/>
  <c r="F133" i="9"/>
  <c r="AE132" i="9"/>
  <c r="AC132" i="9"/>
  <c r="AB132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O132" i="9"/>
  <c r="N132" i="9"/>
  <c r="M132" i="9"/>
  <c r="L132" i="9"/>
  <c r="K132" i="9"/>
  <c r="J132" i="9"/>
  <c r="I132" i="9"/>
  <c r="H132" i="9"/>
  <c r="G132" i="9"/>
  <c r="F132" i="9"/>
  <c r="AE131" i="9"/>
  <c r="AC131" i="9"/>
  <c r="AB131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AE130" i="9"/>
  <c r="AC130" i="9"/>
  <c r="AB130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AE129" i="9"/>
  <c r="AC129" i="9"/>
  <c r="AB129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AE128" i="9"/>
  <c r="AC128" i="9"/>
  <c r="AB128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O128" i="9"/>
  <c r="N128" i="9"/>
  <c r="M128" i="9"/>
  <c r="L128" i="9"/>
  <c r="K128" i="9"/>
  <c r="J128" i="9"/>
  <c r="I128" i="9"/>
  <c r="H128" i="9"/>
  <c r="G128" i="9"/>
  <c r="F128" i="9"/>
  <c r="AE127" i="9"/>
  <c r="AC127" i="9"/>
  <c r="AB127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AE126" i="9"/>
  <c r="AC126" i="9"/>
  <c r="AB126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AE125" i="9"/>
  <c r="AC125" i="9"/>
  <c r="AB125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AE124" i="9"/>
  <c r="AC124" i="9"/>
  <c r="AB124" i="9"/>
  <c r="AA124" i="9"/>
  <c r="Z124" i="9"/>
  <c r="Y124" i="9"/>
  <c r="X124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AE123" i="9"/>
  <c r="AC123" i="9"/>
  <c r="AB123" i="9"/>
  <c r="AA123" i="9"/>
  <c r="Z123" i="9"/>
  <c r="Y123" i="9"/>
  <c r="X123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AE122" i="9"/>
  <c r="AC122" i="9"/>
  <c r="AB122" i="9"/>
  <c r="AA122" i="9"/>
  <c r="Z122" i="9"/>
  <c r="Y122" i="9"/>
  <c r="X122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AE121" i="9"/>
  <c r="AC121" i="9"/>
  <c r="AB121" i="9"/>
  <c r="AA121" i="9"/>
  <c r="Z121" i="9"/>
  <c r="Y121" i="9"/>
  <c r="X121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AE120" i="9"/>
  <c r="AC120" i="9"/>
  <c r="AB120" i="9"/>
  <c r="AA120" i="9"/>
  <c r="Z120" i="9"/>
  <c r="Y120" i="9"/>
  <c r="X120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AE119" i="9"/>
  <c r="AC119" i="9"/>
  <c r="AB119" i="9"/>
  <c r="AA119" i="9"/>
  <c r="Z119" i="9"/>
  <c r="Y119" i="9"/>
  <c r="X119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AE118" i="9"/>
  <c r="AC118" i="9"/>
  <c r="AB118" i="9"/>
  <c r="AA118" i="9"/>
  <c r="Z118" i="9"/>
  <c r="Y118" i="9"/>
  <c r="X118" i="9"/>
  <c r="W118" i="9"/>
  <c r="V118" i="9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AE117" i="9"/>
  <c r="AC117" i="9"/>
  <c r="AB117" i="9"/>
  <c r="AA117" i="9"/>
  <c r="Z117" i="9"/>
  <c r="Y117" i="9"/>
  <c r="X117" i="9"/>
  <c r="W117" i="9"/>
  <c r="V117" i="9"/>
  <c r="U117" i="9"/>
  <c r="T117" i="9"/>
  <c r="S117" i="9"/>
  <c r="R117" i="9"/>
  <c r="Q117" i="9"/>
  <c r="P117" i="9"/>
  <c r="O117" i="9"/>
  <c r="N117" i="9"/>
  <c r="M117" i="9"/>
  <c r="L117" i="9"/>
  <c r="K117" i="9"/>
  <c r="J117" i="9"/>
  <c r="I117" i="9"/>
  <c r="H117" i="9"/>
  <c r="G117" i="9"/>
  <c r="F117" i="9"/>
  <c r="AE116" i="9"/>
  <c r="AC116" i="9"/>
  <c r="AB116" i="9"/>
  <c r="AA116" i="9"/>
  <c r="Z116" i="9"/>
  <c r="Y116" i="9"/>
  <c r="X116" i="9"/>
  <c r="W116" i="9"/>
  <c r="V116" i="9"/>
  <c r="U116" i="9"/>
  <c r="T116" i="9"/>
  <c r="S116" i="9"/>
  <c r="R116" i="9"/>
  <c r="Q116" i="9"/>
  <c r="P116" i="9"/>
  <c r="O116" i="9"/>
  <c r="N116" i="9"/>
  <c r="M116" i="9"/>
  <c r="L116" i="9"/>
  <c r="K116" i="9"/>
  <c r="J116" i="9"/>
  <c r="I116" i="9"/>
  <c r="H116" i="9"/>
  <c r="G116" i="9"/>
  <c r="F116" i="9"/>
  <c r="AE115" i="9"/>
  <c r="AC115" i="9"/>
  <c r="AB115" i="9"/>
  <c r="AA115" i="9"/>
  <c r="Z115" i="9"/>
  <c r="Y115" i="9"/>
  <c r="X115" i="9"/>
  <c r="W115" i="9"/>
  <c r="V115" i="9"/>
  <c r="U115" i="9"/>
  <c r="T115" i="9"/>
  <c r="S115" i="9"/>
  <c r="R115" i="9"/>
  <c r="Q115" i="9"/>
  <c r="P115" i="9"/>
  <c r="O115" i="9"/>
  <c r="N115" i="9"/>
  <c r="M115" i="9"/>
  <c r="L115" i="9"/>
  <c r="K115" i="9"/>
  <c r="J115" i="9"/>
  <c r="I115" i="9"/>
  <c r="H115" i="9"/>
  <c r="G115" i="9"/>
  <c r="F115" i="9"/>
  <c r="AE114" i="9"/>
  <c r="AC114" i="9"/>
  <c r="AB114" i="9"/>
  <c r="AA114" i="9"/>
  <c r="Z114" i="9"/>
  <c r="Y114" i="9"/>
  <c r="X114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AE113" i="9"/>
  <c r="AC113" i="9"/>
  <c r="AB113" i="9"/>
  <c r="AA113" i="9"/>
  <c r="Z113" i="9"/>
  <c r="Y113" i="9"/>
  <c r="X113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AE112" i="9"/>
  <c r="AC112" i="9"/>
  <c r="AB112" i="9"/>
  <c r="AA112" i="9"/>
  <c r="Z112" i="9"/>
  <c r="Y112" i="9"/>
  <c r="X112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AE111" i="9"/>
  <c r="AC111" i="9"/>
  <c r="AB111" i="9"/>
  <c r="AA111" i="9"/>
  <c r="Z111" i="9"/>
  <c r="Y111" i="9"/>
  <c r="X111" i="9"/>
  <c r="W111" i="9"/>
  <c r="V111" i="9"/>
  <c r="U111" i="9"/>
  <c r="T111" i="9"/>
  <c r="S111" i="9"/>
  <c r="R111" i="9"/>
  <c r="Q111" i="9"/>
  <c r="P111" i="9"/>
  <c r="O111" i="9"/>
  <c r="N111" i="9"/>
  <c r="M111" i="9"/>
  <c r="L111" i="9"/>
  <c r="K111" i="9"/>
  <c r="J111" i="9"/>
  <c r="I111" i="9"/>
  <c r="H111" i="9"/>
  <c r="G111" i="9"/>
  <c r="F111" i="9"/>
  <c r="AE110" i="9"/>
  <c r="AC110" i="9"/>
  <c r="AB110" i="9"/>
  <c r="AA110" i="9"/>
  <c r="Z110" i="9"/>
  <c r="Y110" i="9"/>
  <c r="X110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AE109" i="9"/>
  <c r="AC109" i="9"/>
  <c r="AB109" i="9"/>
  <c r="AA109" i="9"/>
  <c r="Z109" i="9"/>
  <c r="Y109" i="9"/>
  <c r="X109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AE108" i="9"/>
  <c r="AC108" i="9"/>
  <c r="AB108" i="9"/>
  <c r="AA108" i="9"/>
  <c r="Z108" i="9"/>
  <c r="Y108" i="9"/>
  <c r="X108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AE107" i="9"/>
  <c r="AC107" i="9"/>
  <c r="AB107" i="9"/>
  <c r="AA107" i="9"/>
  <c r="Z107" i="9"/>
  <c r="Y107" i="9"/>
  <c r="X107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AE106" i="9"/>
  <c r="AC106" i="9"/>
  <c r="AB106" i="9"/>
  <c r="AA106" i="9"/>
  <c r="Z106" i="9"/>
  <c r="Y106" i="9"/>
  <c r="X106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AE105" i="9"/>
  <c r="AC105" i="9"/>
  <c r="AB105" i="9"/>
  <c r="AA105" i="9"/>
  <c r="Z105" i="9"/>
  <c r="Y105" i="9"/>
  <c r="X105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AE104" i="9"/>
  <c r="AC104" i="9"/>
  <c r="AB104" i="9"/>
  <c r="AA104" i="9"/>
  <c r="Z104" i="9"/>
  <c r="Y104" i="9"/>
  <c r="X104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AE103" i="9"/>
  <c r="AC103" i="9"/>
  <c r="AB103" i="9"/>
  <c r="AA103" i="9"/>
  <c r="Z103" i="9"/>
  <c r="Y103" i="9"/>
  <c r="X103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AE102" i="9"/>
  <c r="AC102" i="9"/>
  <c r="AB102" i="9"/>
  <c r="AA102" i="9"/>
  <c r="Z102" i="9"/>
  <c r="Y102" i="9"/>
  <c r="X102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AE101" i="9"/>
  <c r="AC101" i="9"/>
  <c r="AB101" i="9"/>
  <c r="AA101" i="9"/>
  <c r="Z101" i="9"/>
  <c r="Y101" i="9"/>
  <c r="X101" i="9"/>
  <c r="W101" i="9"/>
  <c r="V101" i="9"/>
  <c r="U101" i="9"/>
  <c r="T101" i="9"/>
  <c r="S101" i="9"/>
  <c r="R101" i="9"/>
  <c r="Q101" i="9"/>
  <c r="P101" i="9"/>
  <c r="O101" i="9"/>
  <c r="N101" i="9"/>
  <c r="M101" i="9"/>
  <c r="L101" i="9"/>
  <c r="K101" i="9"/>
  <c r="J101" i="9"/>
  <c r="I101" i="9"/>
  <c r="H101" i="9"/>
  <c r="G101" i="9"/>
  <c r="F101" i="9"/>
  <c r="AE100" i="9"/>
  <c r="AC100" i="9"/>
  <c r="AB100" i="9"/>
  <c r="AA100" i="9"/>
  <c r="Z100" i="9"/>
  <c r="Y100" i="9"/>
  <c r="X100" i="9"/>
  <c r="W100" i="9"/>
  <c r="V100" i="9"/>
  <c r="U100" i="9"/>
  <c r="T100" i="9"/>
  <c r="S100" i="9"/>
  <c r="R100" i="9"/>
  <c r="Q100" i="9"/>
  <c r="P100" i="9"/>
  <c r="O100" i="9"/>
  <c r="N100" i="9"/>
  <c r="M100" i="9"/>
  <c r="L100" i="9"/>
  <c r="K100" i="9"/>
  <c r="J100" i="9"/>
  <c r="I100" i="9"/>
  <c r="H100" i="9"/>
  <c r="G100" i="9"/>
  <c r="F100" i="9"/>
  <c r="AE99" i="9"/>
  <c r="AC99" i="9"/>
  <c r="AB99" i="9"/>
  <c r="AA99" i="9"/>
  <c r="Z99" i="9"/>
  <c r="Y99" i="9"/>
  <c r="X99" i="9"/>
  <c r="W99" i="9"/>
  <c r="V99" i="9"/>
  <c r="U99" i="9"/>
  <c r="T99" i="9"/>
  <c r="S99" i="9"/>
  <c r="R99" i="9"/>
  <c r="Q99" i="9"/>
  <c r="P99" i="9"/>
  <c r="O99" i="9"/>
  <c r="N99" i="9"/>
  <c r="M99" i="9"/>
  <c r="L99" i="9"/>
  <c r="K99" i="9"/>
  <c r="J99" i="9"/>
  <c r="I99" i="9"/>
  <c r="H99" i="9"/>
  <c r="G99" i="9"/>
  <c r="F99" i="9"/>
  <c r="AE98" i="9"/>
  <c r="AC98" i="9"/>
  <c r="AB98" i="9"/>
  <c r="AA98" i="9"/>
  <c r="Z98" i="9"/>
  <c r="Y98" i="9"/>
  <c r="X98" i="9"/>
  <c r="W98" i="9"/>
  <c r="V98" i="9"/>
  <c r="U98" i="9"/>
  <c r="T98" i="9"/>
  <c r="S98" i="9"/>
  <c r="R98" i="9"/>
  <c r="Q98" i="9"/>
  <c r="P98" i="9"/>
  <c r="O98" i="9"/>
  <c r="N98" i="9"/>
  <c r="M98" i="9"/>
  <c r="L98" i="9"/>
  <c r="K98" i="9"/>
  <c r="J98" i="9"/>
  <c r="I98" i="9"/>
  <c r="H98" i="9"/>
  <c r="G98" i="9"/>
  <c r="F98" i="9"/>
  <c r="AE97" i="9"/>
  <c r="AC97" i="9"/>
  <c r="AB97" i="9"/>
  <c r="AA97" i="9"/>
  <c r="Z97" i="9"/>
  <c r="Y97" i="9"/>
  <c r="X97" i="9"/>
  <c r="W97" i="9"/>
  <c r="V97" i="9"/>
  <c r="U97" i="9"/>
  <c r="T97" i="9"/>
  <c r="S97" i="9"/>
  <c r="R97" i="9"/>
  <c r="Q97" i="9"/>
  <c r="P97" i="9"/>
  <c r="O97" i="9"/>
  <c r="N97" i="9"/>
  <c r="M97" i="9"/>
  <c r="L97" i="9"/>
  <c r="K97" i="9"/>
  <c r="J97" i="9"/>
  <c r="I97" i="9"/>
  <c r="H97" i="9"/>
  <c r="G97" i="9"/>
  <c r="F97" i="9"/>
  <c r="AE96" i="9"/>
  <c r="AC96" i="9"/>
  <c r="AB96" i="9"/>
  <c r="AA96" i="9"/>
  <c r="Z96" i="9"/>
  <c r="Y96" i="9"/>
  <c r="X96" i="9"/>
  <c r="W96" i="9"/>
  <c r="V96" i="9"/>
  <c r="U96" i="9"/>
  <c r="T96" i="9"/>
  <c r="S96" i="9"/>
  <c r="R96" i="9"/>
  <c r="Q96" i="9"/>
  <c r="P96" i="9"/>
  <c r="O96" i="9"/>
  <c r="N96" i="9"/>
  <c r="M96" i="9"/>
  <c r="L96" i="9"/>
  <c r="K96" i="9"/>
  <c r="J96" i="9"/>
  <c r="I96" i="9"/>
  <c r="H96" i="9"/>
  <c r="G96" i="9"/>
  <c r="F96" i="9"/>
  <c r="AE95" i="9"/>
  <c r="AC95" i="9"/>
  <c r="AB95" i="9"/>
  <c r="AA95" i="9"/>
  <c r="Z95" i="9"/>
  <c r="Y95" i="9"/>
  <c r="X95" i="9"/>
  <c r="W95" i="9"/>
  <c r="V95" i="9"/>
  <c r="U95" i="9"/>
  <c r="T95" i="9"/>
  <c r="S95" i="9"/>
  <c r="R95" i="9"/>
  <c r="Q95" i="9"/>
  <c r="P95" i="9"/>
  <c r="O95" i="9"/>
  <c r="N95" i="9"/>
  <c r="M95" i="9"/>
  <c r="L95" i="9"/>
  <c r="K95" i="9"/>
  <c r="J95" i="9"/>
  <c r="I95" i="9"/>
  <c r="H95" i="9"/>
  <c r="G95" i="9"/>
  <c r="F95" i="9"/>
  <c r="AE94" i="9"/>
  <c r="AC94" i="9"/>
  <c r="AB94" i="9"/>
  <c r="AA94" i="9"/>
  <c r="Z94" i="9"/>
  <c r="Y94" i="9"/>
  <c r="X94" i="9"/>
  <c r="W94" i="9"/>
  <c r="V94" i="9"/>
  <c r="U94" i="9"/>
  <c r="T94" i="9"/>
  <c r="S94" i="9"/>
  <c r="R94" i="9"/>
  <c r="Q94" i="9"/>
  <c r="P94" i="9"/>
  <c r="O94" i="9"/>
  <c r="N94" i="9"/>
  <c r="M94" i="9"/>
  <c r="L94" i="9"/>
  <c r="K94" i="9"/>
  <c r="J94" i="9"/>
  <c r="I94" i="9"/>
  <c r="H94" i="9"/>
  <c r="G94" i="9"/>
  <c r="F94" i="9"/>
  <c r="AE93" i="9"/>
  <c r="AC93" i="9"/>
  <c r="AB93" i="9"/>
  <c r="AA93" i="9"/>
  <c r="Z93" i="9"/>
  <c r="Y93" i="9"/>
  <c r="X93" i="9"/>
  <c r="W93" i="9"/>
  <c r="V93" i="9"/>
  <c r="U93" i="9"/>
  <c r="T93" i="9"/>
  <c r="S93" i="9"/>
  <c r="R93" i="9"/>
  <c r="Q93" i="9"/>
  <c r="P93" i="9"/>
  <c r="O93" i="9"/>
  <c r="N93" i="9"/>
  <c r="M93" i="9"/>
  <c r="L93" i="9"/>
  <c r="K93" i="9"/>
  <c r="J93" i="9"/>
  <c r="I93" i="9"/>
  <c r="H93" i="9"/>
  <c r="G93" i="9"/>
  <c r="F93" i="9"/>
  <c r="AE92" i="9"/>
  <c r="AC92" i="9"/>
  <c r="AB92" i="9"/>
  <c r="AA92" i="9"/>
  <c r="Z92" i="9"/>
  <c r="Y92" i="9"/>
  <c r="X92" i="9"/>
  <c r="W92" i="9"/>
  <c r="V92" i="9"/>
  <c r="U92" i="9"/>
  <c r="T92" i="9"/>
  <c r="S92" i="9"/>
  <c r="R92" i="9"/>
  <c r="Q92" i="9"/>
  <c r="P92" i="9"/>
  <c r="O92" i="9"/>
  <c r="N92" i="9"/>
  <c r="M92" i="9"/>
  <c r="L92" i="9"/>
  <c r="K92" i="9"/>
  <c r="J92" i="9"/>
  <c r="I92" i="9"/>
  <c r="H92" i="9"/>
  <c r="G92" i="9"/>
  <c r="F92" i="9"/>
  <c r="AE91" i="9"/>
  <c r="AC91" i="9"/>
  <c r="AB91" i="9"/>
  <c r="AA91" i="9"/>
  <c r="Z91" i="9"/>
  <c r="Y91" i="9"/>
  <c r="X91" i="9"/>
  <c r="W91" i="9"/>
  <c r="V91" i="9"/>
  <c r="U91" i="9"/>
  <c r="T91" i="9"/>
  <c r="S91" i="9"/>
  <c r="R91" i="9"/>
  <c r="Q91" i="9"/>
  <c r="P91" i="9"/>
  <c r="O91" i="9"/>
  <c r="N91" i="9"/>
  <c r="M91" i="9"/>
  <c r="L91" i="9"/>
  <c r="K91" i="9"/>
  <c r="J91" i="9"/>
  <c r="I91" i="9"/>
  <c r="H91" i="9"/>
  <c r="G91" i="9"/>
  <c r="F91" i="9"/>
  <c r="AE90" i="9"/>
  <c r="AC90" i="9"/>
  <c r="AB90" i="9"/>
  <c r="AA90" i="9"/>
  <c r="Z90" i="9"/>
  <c r="Y90" i="9"/>
  <c r="X90" i="9"/>
  <c r="W90" i="9"/>
  <c r="V90" i="9"/>
  <c r="U90" i="9"/>
  <c r="T90" i="9"/>
  <c r="S90" i="9"/>
  <c r="R90" i="9"/>
  <c r="Q90" i="9"/>
  <c r="P90" i="9"/>
  <c r="O90" i="9"/>
  <c r="N90" i="9"/>
  <c r="M90" i="9"/>
  <c r="L90" i="9"/>
  <c r="K90" i="9"/>
  <c r="J90" i="9"/>
  <c r="I90" i="9"/>
  <c r="H90" i="9"/>
  <c r="G90" i="9"/>
  <c r="F90" i="9"/>
  <c r="AE89" i="9"/>
  <c r="AC89" i="9"/>
  <c r="AB89" i="9"/>
  <c r="AA89" i="9"/>
  <c r="Z89" i="9"/>
  <c r="Y89" i="9"/>
  <c r="X89" i="9"/>
  <c r="W89" i="9"/>
  <c r="V89" i="9"/>
  <c r="U89" i="9"/>
  <c r="T89" i="9"/>
  <c r="S89" i="9"/>
  <c r="R89" i="9"/>
  <c r="Q89" i="9"/>
  <c r="P89" i="9"/>
  <c r="O89" i="9"/>
  <c r="N89" i="9"/>
  <c r="M89" i="9"/>
  <c r="L89" i="9"/>
  <c r="K89" i="9"/>
  <c r="J89" i="9"/>
  <c r="I89" i="9"/>
  <c r="H89" i="9"/>
  <c r="G89" i="9"/>
  <c r="F89" i="9"/>
  <c r="AE88" i="9"/>
  <c r="AC88" i="9"/>
  <c r="AB88" i="9"/>
  <c r="AA88" i="9"/>
  <c r="Z88" i="9"/>
  <c r="Y88" i="9"/>
  <c r="X88" i="9"/>
  <c r="W88" i="9"/>
  <c r="V88" i="9"/>
  <c r="U88" i="9"/>
  <c r="T88" i="9"/>
  <c r="S88" i="9"/>
  <c r="R88" i="9"/>
  <c r="Q88" i="9"/>
  <c r="P88" i="9"/>
  <c r="O88" i="9"/>
  <c r="N88" i="9"/>
  <c r="M88" i="9"/>
  <c r="L88" i="9"/>
  <c r="K88" i="9"/>
  <c r="J88" i="9"/>
  <c r="I88" i="9"/>
  <c r="H88" i="9"/>
  <c r="G88" i="9"/>
  <c r="F88" i="9"/>
  <c r="AE87" i="9"/>
  <c r="AC87" i="9"/>
  <c r="AB87" i="9"/>
  <c r="AA87" i="9"/>
  <c r="Z87" i="9"/>
  <c r="Y87" i="9"/>
  <c r="X87" i="9"/>
  <c r="W87" i="9"/>
  <c r="V87" i="9"/>
  <c r="U87" i="9"/>
  <c r="T87" i="9"/>
  <c r="S87" i="9"/>
  <c r="R87" i="9"/>
  <c r="Q87" i="9"/>
  <c r="P87" i="9"/>
  <c r="O87" i="9"/>
  <c r="N87" i="9"/>
  <c r="M87" i="9"/>
  <c r="L87" i="9"/>
  <c r="K87" i="9"/>
  <c r="J87" i="9"/>
  <c r="I87" i="9"/>
  <c r="H87" i="9"/>
  <c r="G87" i="9"/>
  <c r="F87" i="9"/>
  <c r="AE86" i="9"/>
  <c r="AC86" i="9"/>
  <c r="AB86" i="9"/>
  <c r="AA86" i="9"/>
  <c r="Z86" i="9"/>
  <c r="Y86" i="9"/>
  <c r="X86" i="9"/>
  <c r="W86" i="9"/>
  <c r="V86" i="9"/>
  <c r="U86" i="9"/>
  <c r="T86" i="9"/>
  <c r="S86" i="9"/>
  <c r="R86" i="9"/>
  <c r="Q86" i="9"/>
  <c r="P86" i="9"/>
  <c r="O86" i="9"/>
  <c r="N86" i="9"/>
  <c r="M86" i="9"/>
  <c r="L86" i="9"/>
  <c r="K86" i="9"/>
  <c r="J86" i="9"/>
  <c r="I86" i="9"/>
  <c r="H86" i="9"/>
  <c r="G86" i="9"/>
  <c r="F86" i="9"/>
  <c r="AE85" i="9"/>
  <c r="AC85" i="9"/>
  <c r="AB85" i="9"/>
  <c r="AA85" i="9"/>
  <c r="Z85" i="9"/>
  <c r="Y85" i="9"/>
  <c r="X85" i="9"/>
  <c r="W85" i="9"/>
  <c r="V85" i="9"/>
  <c r="U85" i="9"/>
  <c r="T85" i="9"/>
  <c r="S85" i="9"/>
  <c r="R85" i="9"/>
  <c r="Q85" i="9"/>
  <c r="P85" i="9"/>
  <c r="O85" i="9"/>
  <c r="N85" i="9"/>
  <c r="M85" i="9"/>
  <c r="L85" i="9"/>
  <c r="K85" i="9"/>
  <c r="J85" i="9"/>
  <c r="I85" i="9"/>
  <c r="H85" i="9"/>
  <c r="G85" i="9"/>
  <c r="F85" i="9"/>
  <c r="AE84" i="9"/>
  <c r="AC84" i="9"/>
  <c r="AB84" i="9"/>
  <c r="AA84" i="9"/>
  <c r="Z84" i="9"/>
  <c r="Y84" i="9"/>
  <c r="X84" i="9"/>
  <c r="W84" i="9"/>
  <c r="V84" i="9"/>
  <c r="U84" i="9"/>
  <c r="T84" i="9"/>
  <c r="S84" i="9"/>
  <c r="R84" i="9"/>
  <c r="Q84" i="9"/>
  <c r="P84" i="9"/>
  <c r="O84" i="9"/>
  <c r="N84" i="9"/>
  <c r="M84" i="9"/>
  <c r="L84" i="9"/>
  <c r="K84" i="9"/>
  <c r="J84" i="9"/>
  <c r="I84" i="9"/>
  <c r="H84" i="9"/>
  <c r="G84" i="9"/>
  <c r="F84" i="9"/>
  <c r="AE83" i="9"/>
  <c r="AC83" i="9"/>
  <c r="AB83" i="9"/>
  <c r="AA83" i="9"/>
  <c r="Z83" i="9"/>
  <c r="Y83" i="9"/>
  <c r="X83" i="9"/>
  <c r="W83" i="9"/>
  <c r="V83" i="9"/>
  <c r="U83" i="9"/>
  <c r="T83" i="9"/>
  <c r="S83" i="9"/>
  <c r="R83" i="9"/>
  <c r="Q83" i="9"/>
  <c r="P83" i="9"/>
  <c r="O83" i="9"/>
  <c r="N83" i="9"/>
  <c r="M83" i="9"/>
  <c r="L83" i="9"/>
  <c r="K83" i="9"/>
  <c r="J83" i="9"/>
  <c r="I83" i="9"/>
  <c r="H83" i="9"/>
  <c r="G83" i="9"/>
  <c r="F83" i="9"/>
  <c r="AE82" i="9"/>
  <c r="AC82" i="9"/>
  <c r="AB82" i="9"/>
  <c r="AA82" i="9"/>
  <c r="Z82" i="9"/>
  <c r="Y82" i="9"/>
  <c r="X82" i="9"/>
  <c r="W82" i="9"/>
  <c r="V82" i="9"/>
  <c r="U82" i="9"/>
  <c r="T82" i="9"/>
  <c r="S82" i="9"/>
  <c r="R82" i="9"/>
  <c r="Q82" i="9"/>
  <c r="P82" i="9"/>
  <c r="O82" i="9"/>
  <c r="N82" i="9"/>
  <c r="M82" i="9"/>
  <c r="L82" i="9"/>
  <c r="K82" i="9"/>
  <c r="J82" i="9"/>
  <c r="I82" i="9"/>
  <c r="H82" i="9"/>
  <c r="G82" i="9"/>
  <c r="F82" i="9"/>
  <c r="AE81" i="9"/>
  <c r="AC81" i="9"/>
  <c r="AB81" i="9"/>
  <c r="AA81" i="9"/>
  <c r="Z81" i="9"/>
  <c r="Y81" i="9"/>
  <c r="X81" i="9"/>
  <c r="W81" i="9"/>
  <c r="V81" i="9"/>
  <c r="U81" i="9"/>
  <c r="T81" i="9"/>
  <c r="S81" i="9"/>
  <c r="R81" i="9"/>
  <c r="Q81" i="9"/>
  <c r="P81" i="9"/>
  <c r="O81" i="9"/>
  <c r="N81" i="9"/>
  <c r="M81" i="9"/>
  <c r="L81" i="9"/>
  <c r="K81" i="9"/>
  <c r="J81" i="9"/>
  <c r="I81" i="9"/>
  <c r="H81" i="9"/>
  <c r="G81" i="9"/>
  <c r="F81" i="9"/>
  <c r="AE80" i="9"/>
  <c r="AC80" i="9"/>
  <c r="AB80" i="9"/>
  <c r="AA80" i="9"/>
  <c r="Z80" i="9"/>
  <c r="Y80" i="9"/>
  <c r="X80" i="9"/>
  <c r="W80" i="9"/>
  <c r="V80" i="9"/>
  <c r="U80" i="9"/>
  <c r="T80" i="9"/>
  <c r="S80" i="9"/>
  <c r="R80" i="9"/>
  <c r="Q80" i="9"/>
  <c r="P80" i="9"/>
  <c r="O80" i="9"/>
  <c r="N80" i="9"/>
  <c r="M80" i="9"/>
  <c r="L80" i="9"/>
  <c r="K80" i="9"/>
  <c r="J80" i="9"/>
  <c r="I80" i="9"/>
  <c r="H80" i="9"/>
  <c r="G80" i="9"/>
  <c r="F80" i="9"/>
  <c r="AE79" i="9"/>
  <c r="AC79" i="9"/>
  <c r="AB79" i="9"/>
  <c r="AA79" i="9"/>
  <c r="Z79" i="9"/>
  <c r="Y79" i="9"/>
  <c r="X79" i="9"/>
  <c r="W79" i="9"/>
  <c r="V79" i="9"/>
  <c r="U79" i="9"/>
  <c r="T79" i="9"/>
  <c r="S79" i="9"/>
  <c r="R79" i="9"/>
  <c r="Q79" i="9"/>
  <c r="P79" i="9"/>
  <c r="O79" i="9"/>
  <c r="N79" i="9"/>
  <c r="M79" i="9"/>
  <c r="L79" i="9"/>
  <c r="K79" i="9"/>
  <c r="J79" i="9"/>
  <c r="I79" i="9"/>
  <c r="H79" i="9"/>
  <c r="G79" i="9"/>
  <c r="F79" i="9"/>
  <c r="AE78" i="9"/>
  <c r="AC78" i="9"/>
  <c r="AB78" i="9"/>
  <c r="AA78" i="9"/>
  <c r="Z78" i="9"/>
  <c r="Y78" i="9"/>
  <c r="X78" i="9"/>
  <c r="W78" i="9"/>
  <c r="V78" i="9"/>
  <c r="U78" i="9"/>
  <c r="T78" i="9"/>
  <c r="S78" i="9"/>
  <c r="R78" i="9"/>
  <c r="Q78" i="9"/>
  <c r="P78" i="9"/>
  <c r="O78" i="9"/>
  <c r="N78" i="9"/>
  <c r="M78" i="9"/>
  <c r="L78" i="9"/>
  <c r="K78" i="9"/>
  <c r="J78" i="9"/>
  <c r="I78" i="9"/>
  <c r="H78" i="9"/>
  <c r="G78" i="9"/>
  <c r="F78" i="9"/>
  <c r="AE77" i="9"/>
  <c r="AC77" i="9"/>
  <c r="AB77" i="9"/>
  <c r="AA77" i="9"/>
  <c r="Z77" i="9"/>
  <c r="Y77" i="9"/>
  <c r="X77" i="9"/>
  <c r="W77" i="9"/>
  <c r="V77" i="9"/>
  <c r="U77" i="9"/>
  <c r="T77" i="9"/>
  <c r="S77" i="9"/>
  <c r="R77" i="9"/>
  <c r="Q77" i="9"/>
  <c r="P77" i="9"/>
  <c r="O77" i="9"/>
  <c r="N77" i="9"/>
  <c r="M77" i="9"/>
  <c r="L77" i="9"/>
  <c r="K77" i="9"/>
  <c r="J77" i="9"/>
  <c r="I77" i="9"/>
  <c r="H77" i="9"/>
  <c r="G77" i="9"/>
  <c r="F77" i="9"/>
  <c r="AE76" i="9"/>
  <c r="AC76" i="9"/>
  <c r="AB76" i="9"/>
  <c r="AA76" i="9"/>
  <c r="Z76" i="9"/>
  <c r="Y76" i="9"/>
  <c r="X76" i="9"/>
  <c r="W76" i="9"/>
  <c r="V76" i="9"/>
  <c r="U76" i="9"/>
  <c r="T76" i="9"/>
  <c r="S76" i="9"/>
  <c r="R76" i="9"/>
  <c r="Q76" i="9"/>
  <c r="P76" i="9"/>
  <c r="O76" i="9"/>
  <c r="N76" i="9"/>
  <c r="M76" i="9"/>
  <c r="L76" i="9"/>
  <c r="K76" i="9"/>
  <c r="J76" i="9"/>
  <c r="I76" i="9"/>
  <c r="H76" i="9"/>
  <c r="G76" i="9"/>
  <c r="F76" i="9"/>
  <c r="AE75" i="9"/>
  <c r="AC75" i="9"/>
  <c r="AB75" i="9"/>
  <c r="AA75" i="9"/>
  <c r="Z75" i="9"/>
  <c r="Y75" i="9"/>
  <c r="X75" i="9"/>
  <c r="W75" i="9"/>
  <c r="V75" i="9"/>
  <c r="U75" i="9"/>
  <c r="T75" i="9"/>
  <c r="S75" i="9"/>
  <c r="R75" i="9"/>
  <c r="Q75" i="9"/>
  <c r="P75" i="9"/>
  <c r="O75" i="9"/>
  <c r="N75" i="9"/>
  <c r="M75" i="9"/>
  <c r="L75" i="9"/>
  <c r="K75" i="9"/>
  <c r="J75" i="9"/>
  <c r="I75" i="9"/>
  <c r="H75" i="9"/>
  <c r="G75" i="9"/>
  <c r="F75" i="9"/>
  <c r="AE74" i="9"/>
  <c r="AC74" i="9"/>
  <c r="AB74" i="9"/>
  <c r="AA74" i="9"/>
  <c r="Z74" i="9"/>
  <c r="Y74" i="9"/>
  <c r="X74" i="9"/>
  <c r="W74" i="9"/>
  <c r="V74" i="9"/>
  <c r="U74" i="9"/>
  <c r="T74" i="9"/>
  <c r="S74" i="9"/>
  <c r="R74" i="9"/>
  <c r="Q74" i="9"/>
  <c r="P74" i="9"/>
  <c r="O74" i="9"/>
  <c r="N74" i="9"/>
  <c r="M74" i="9"/>
  <c r="L74" i="9"/>
  <c r="K74" i="9"/>
  <c r="J74" i="9"/>
  <c r="I74" i="9"/>
  <c r="H74" i="9"/>
  <c r="G74" i="9"/>
  <c r="F74" i="9"/>
  <c r="AE73" i="9"/>
  <c r="AC73" i="9"/>
  <c r="AB73" i="9"/>
  <c r="AA73" i="9"/>
  <c r="Z73" i="9"/>
  <c r="Y73" i="9"/>
  <c r="X73" i="9"/>
  <c r="W73" i="9"/>
  <c r="V73" i="9"/>
  <c r="U73" i="9"/>
  <c r="T73" i="9"/>
  <c r="S73" i="9"/>
  <c r="R73" i="9"/>
  <c r="Q73" i="9"/>
  <c r="P73" i="9"/>
  <c r="O73" i="9"/>
  <c r="N73" i="9"/>
  <c r="M73" i="9"/>
  <c r="L73" i="9"/>
  <c r="K73" i="9"/>
  <c r="J73" i="9"/>
  <c r="I73" i="9"/>
  <c r="H73" i="9"/>
  <c r="G73" i="9"/>
  <c r="F73" i="9"/>
  <c r="AE72" i="9"/>
  <c r="AC72" i="9"/>
  <c r="AB72" i="9"/>
  <c r="AA72" i="9"/>
  <c r="Z72" i="9"/>
  <c r="Y72" i="9"/>
  <c r="X72" i="9"/>
  <c r="W72" i="9"/>
  <c r="V72" i="9"/>
  <c r="U72" i="9"/>
  <c r="T72" i="9"/>
  <c r="S72" i="9"/>
  <c r="R72" i="9"/>
  <c r="Q72" i="9"/>
  <c r="P72" i="9"/>
  <c r="O72" i="9"/>
  <c r="N72" i="9"/>
  <c r="M72" i="9"/>
  <c r="L72" i="9"/>
  <c r="K72" i="9"/>
  <c r="J72" i="9"/>
  <c r="I72" i="9"/>
  <c r="H72" i="9"/>
  <c r="G72" i="9"/>
  <c r="F72" i="9"/>
  <c r="AE71" i="9"/>
  <c r="AC71" i="9"/>
  <c r="AB71" i="9"/>
  <c r="AA71" i="9"/>
  <c r="Z71" i="9"/>
  <c r="Y71" i="9"/>
  <c r="X71" i="9"/>
  <c r="W71" i="9"/>
  <c r="V71" i="9"/>
  <c r="U71" i="9"/>
  <c r="T71" i="9"/>
  <c r="S71" i="9"/>
  <c r="R71" i="9"/>
  <c r="Q71" i="9"/>
  <c r="P71" i="9"/>
  <c r="O71" i="9"/>
  <c r="N71" i="9"/>
  <c r="M71" i="9"/>
  <c r="L71" i="9"/>
  <c r="K71" i="9"/>
  <c r="J71" i="9"/>
  <c r="I71" i="9"/>
  <c r="H71" i="9"/>
  <c r="G71" i="9"/>
  <c r="F71" i="9"/>
  <c r="AE70" i="9"/>
  <c r="AC70" i="9"/>
  <c r="AB70" i="9"/>
  <c r="AA70" i="9"/>
  <c r="Z70" i="9"/>
  <c r="Y70" i="9"/>
  <c r="X70" i="9"/>
  <c r="W70" i="9"/>
  <c r="V70" i="9"/>
  <c r="U70" i="9"/>
  <c r="T70" i="9"/>
  <c r="S70" i="9"/>
  <c r="R70" i="9"/>
  <c r="Q70" i="9"/>
  <c r="P70" i="9"/>
  <c r="O70" i="9"/>
  <c r="N70" i="9"/>
  <c r="M70" i="9"/>
  <c r="L70" i="9"/>
  <c r="K70" i="9"/>
  <c r="J70" i="9"/>
  <c r="I70" i="9"/>
  <c r="H70" i="9"/>
  <c r="G70" i="9"/>
  <c r="F70" i="9"/>
  <c r="AE69" i="9"/>
  <c r="AC69" i="9"/>
  <c r="AB69" i="9"/>
  <c r="AA69" i="9"/>
  <c r="Z69" i="9"/>
  <c r="Y69" i="9"/>
  <c r="X69" i="9"/>
  <c r="W69" i="9"/>
  <c r="V69" i="9"/>
  <c r="U69" i="9"/>
  <c r="T69" i="9"/>
  <c r="S69" i="9"/>
  <c r="R69" i="9"/>
  <c r="Q69" i="9"/>
  <c r="P69" i="9"/>
  <c r="O69" i="9"/>
  <c r="N69" i="9"/>
  <c r="M69" i="9"/>
  <c r="L69" i="9"/>
  <c r="K69" i="9"/>
  <c r="J69" i="9"/>
  <c r="I69" i="9"/>
  <c r="H69" i="9"/>
  <c r="G69" i="9"/>
  <c r="F69" i="9"/>
  <c r="AE68" i="9"/>
  <c r="AC68" i="9"/>
  <c r="AB68" i="9"/>
  <c r="AA68" i="9"/>
  <c r="Z68" i="9"/>
  <c r="Y68" i="9"/>
  <c r="X68" i="9"/>
  <c r="W68" i="9"/>
  <c r="V68" i="9"/>
  <c r="U68" i="9"/>
  <c r="T68" i="9"/>
  <c r="S68" i="9"/>
  <c r="R68" i="9"/>
  <c r="Q68" i="9"/>
  <c r="P68" i="9"/>
  <c r="O68" i="9"/>
  <c r="N68" i="9"/>
  <c r="M68" i="9"/>
  <c r="L68" i="9"/>
  <c r="K68" i="9"/>
  <c r="J68" i="9"/>
  <c r="I68" i="9"/>
  <c r="H68" i="9"/>
  <c r="G68" i="9"/>
  <c r="F68" i="9"/>
  <c r="AE67" i="9"/>
  <c r="AC67" i="9"/>
  <c r="AB67" i="9"/>
  <c r="AA67" i="9"/>
  <c r="Z67" i="9"/>
  <c r="Y67" i="9"/>
  <c r="X67" i="9"/>
  <c r="W67" i="9"/>
  <c r="V67" i="9"/>
  <c r="U67" i="9"/>
  <c r="T67" i="9"/>
  <c r="S67" i="9"/>
  <c r="R67" i="9"/>
  <c r="Q67" i="9"/>
  <c r="P67" i="9"/>
  <c r="O67" i="9"/>
  <c r="N67" i="9"/>
  <c r="M67" i="9"/>
  <c r="L67" i="9"/>
  <c r="K67" i="9"/>
  <c r="J67" i="9"/>
  <c r="I67" i="9"/>
  <c r="H67" i="9"/>
  <c r="G67" i="9"/>
  <c r="F67" i="9"/>
  <c r="AE66" i="9"/>
  <c r="AC66" i="9"/>
  <c r="AB66" i="9"/>
  <c r="AA66" i="9"/>
  <c r="Z66" i="9"/>
  <c r="Y66" i="9"/>
  <c r="X66" i="9"/>
  <c r="W66" i="9"/>
  <c r="V66" i="9"/>
  <c r="U66" i="9"/>
  <c r="T66" i="9"/>
  <c r="S66" i="9"/>
  <c r="R66" i="9"/>
  <c r="Q66" i="9"/>
  <c r="P66" i="9"/>
  <c r="O66" i="9"/>
  <c r="N66" i="9"/>
  <c r="M66" i="9"/>
  <c r="L66" i="9"/>
  <c r="K66" i="9"/>
  <c r="J66" i="9"/>
  <c r="I66" i="9"/>
  <c r="H66" i="9"/>
  <c r="G66" i="9"/>
  <c r="F66" i="9"/>
  <c r="AE65" i="9"/>
  <c r="AC65" i="9"/>
  <c r="AB65" i="9"/>
  <c r="AA65" i="9"/>
  <c r="Z65" i="9"/>
  <c r="Y65" i="9"/>
  <c r="X65" i="9"/>
  <c r="W65" i="9"/>
  <c r="V65" i="9"/>
  <c r="U65" i="9"/>
  <c r="T65" i="9"/>
  <c r="S65" i="9"/>
  <c r="R65" i="9"/>
  <c r="Q65" i="9"/>
  <c r="P65" i="9"/>
  <c r="O65" i="9"/>
  <c r="N65" i="9"/>
  <c r="M65" i="9"/>
  <c r="L65" i="9"/>
  <c r="K65" i="9"/>
  <c r="J65" i="9"/>
  <c r="I65" i="9"/>
  <c r="H65" i="9"/>
  <c r="G65" i="9"/>
  <c r="F65" i="9"/>
  <c r="AE64" i="9"/>
  <c r="AC64" i="9"/>
  <c r="AB64" i="9"/>
  <c r="AA64" i="9"/>
  <c r="Z64" i="9"/>
  <c r="Y64" i="9"/>
  <c r="X64" i="9"/>
  <c r="W64" i="9"/>
  <c r="V64" i="9"/>
  <c r="U64" i="9"/>
  <c r="T64" i="9"/>
  <c r="S64" i="9"/>
  <c r="R64" i="9"/>
  <c r="Q64" i="9"/>
  <c r="P64" i="9"/>
  <c r="O64" i="9"/>
  <c r="N64" i="9"/>
  <c r="M64" i="9"/>
  <c r="L64" i="9"/>
  <c r="K64" i="9"/>
  <c r="J64" i="9"/>
  <c r="I64" i="9"/>
  <c r="H64" i="9"/>
  <c r="G64" i="9"/>
  <c r="F64" i="9"/>
  <c r="AE63" i="9"/>
  <c r="AC63" i="9"/>
  <c r="AB63" i="9"/>
  <c r="AA63" i="9"/>
  <c r="Z63" i="9"/>
  <c r="Y63" i="9"/>
  <c r="X63" i="9"/>
  <c r="W63" i="9"/>
  <c r="V63" i="9"/>
  <c r="U63" i="9"/>
  <c r="T63" i="9"/>
  <c r="S63" i="9"/>
  <c r="R63" i="9"/>
  <c r="Q63" i="9"/>
  <c r="P63" i="9"/>
  <c r="O63" i="9"/>
  <c r="N63" i="9"/>
  <c r="M63" i="9"/>
  <c r="L63" i="9"/>
  <c r="K63" i="9"/>
  <c r="J63" i="9"/>
  <c r="I63" i="9"/>
  <c r="H63" i="9"/>
  <c r="G63" i="9"/>
  <c r="F63" i="9"/>
  <c r="AE62" i="9"/>
  <c r="AC62" i="9"/>
  <c r="AB62" i="9"/>
  <c r="AA62" i="9"/>
  <c r="Z62" i="9"/>
  <c r="Y62" i="9"/>
  <c r="X62" i="9"/>
  <c r="W62" i="9"/>
  <c r="V62" i="9"/>
  <c r="U62" i="9"/>
  <c r="T62" i="9"/>
  <c r="S62" i="9"/>
  <c r="R62" i="9"/>
  <c r="Q62" i="9"/>
  <c r="P62" i="9"/>
  <c r="O62" i="9"/>
  <c r="N62" i="9"/>
  <c r="M62" i="9"/>
  <c r="L62" i="9"/>
  <c r="K62" i="9"/>
  <c r="J62" i="9"/>
  <c r="I62" i="9"/>
  <c r="H62" i="9"/>
  <c r="G62" i="9"/>
  <c r="F62" i="9"/>
  <c r="AE61" i="9"/>
  <c r="AC61" i="9"/>
  <c r="AB61" i="9"/>
  <c r="AA61" i="9"/>
  <c r="Z61" i="9"/>
  <c r="Y61" i="9"/>
  <c r="X61" i="9"/>
  <c r="W61" i="9"/>
  <c r="V61" i="9"/>
  <c r="U61" i="9"/>
  <c r="T61" i="9"/>
  <c r="S61" i="9"/>
  <c r="R61" i="9"/>
  <c r="Q61" i="9"/>
  <c r="P61" i="9"/>
  <c r="O61" i="9"/>
  <c r="N61" i="9"/>
  <c r="M61" i="9"/>
  <c r="L61" i="9"/>
  <c r="K61" i="9"/>
  <c r="J61" i="9"/>
  <c r="I61" i="9"/>
  <c r="H61" i="9"/>
  <c r="G61" i="9"/>
  <c r="F61" i="9"/>
  <c r="AE60" i="9"/>
  <c r="AC60" i="9"/>
  <c r="AB60" i="9"/>
  <c r="AA60" i="9"/>
  <c r="Z60" i="9"/>
  <c r="Y60" i="9"/>
  <c r="X60" i="9"/>
  <c r="W60" i="9"/>
  <c r="V60" i="9"/>
  <c r="U60" i="9"/>
  <c r="T60" i="9"/>
  <c r="S60" i="9"/>
  <c r="R60" i="9"/>
  <c r="Q60" i="9"/>
  <c r="P60" i="9"/>
  <c r="O60" i="9"/>
  <c r="N60" i="9"/>
  <c r="M60" i="9"/>
  <c r="L60" i="9"/>
  <c r="K60" i="9"/>
  <c r="J60" i="9"/>
  <c r="I60" i="9"/>
  <c r="H60" i="9"/>
  <c r="G60" i="9"/>
  <c r="F60" i="9"/>
  <c r="AE59" i="9"/>
  <c r="AC59" i="9"/>
  <c r="AB59" i="9"/>
  <c r="AA59" i="9"/>
  <c r="Z59" i="9"/>
  <c r="Y59" i="9"/>
  <c r="X59" i="9"/>
  <c r="W59" i="9"/>
  <c r="V59" i="9"/>
  <c r="U59" i="9"/>
  <c r="T59" i="9"/>
  <c r="S59" i="9"/>
  <c r="R59" i="9"/>
  <c r="Q59" i="9"/>
  <c r="P59" i="9"/>
  <c r="O59" i="9"/>
  <c r="N59" i="9"/>
  <c r="M59" i="9"/>
  <c r="L59" i="9"/>
  <c r="K59" i="9"/>
  <c r="J59" i="9"/>
  <c r="I59" i="9"/>
  <c r="H59" i="9"/>
  <c r="G59" i="9"/>
  <c r="F59" i="9"/>
  <c r="AE58" i="9"/>
  <c r="AC58" i="9"/>
  <c r="AB58" i="9"/>
  <c r="AA58" i="9"/>
  <c r="Z58" i="9"/>
  <c r="Y58" i="9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AE57" i="9"/>
  <c r="AC57" i="9"/>
  <c r="AB57" i="9"/>
  <c r="AA57" i="9"/>
  <c r="Z57" i="9"/>
  <c r="Y57" i="9"/>
  <c r="X57" i="9"/>
  <c r="W57" i="9"/>
  <c r="V57" i="9"/>
  <c r="U57" i="9"/>
  <c r="T57" i="9"/>
  <c r="S57" i="9"/>
  <c r="R57" i="9"/>
  <c r="Q57" i="9"/>
  <c r="P57" i="9"/>
  <c r="O57" i="9"/>
  <c r="N57" i="9"/>
  <c r="M57" i="9"/>
  <c r="L57" i="9"/>
  <c r="K57" i="9"/>
  <c r="J57" i="9"/>
  <c r="I57" i="9"/>
  <c r="H57" i="9"/>
  <c r="G57" i="9"/>
  <c r="F57" i="9"/>
  <c r="AE56" i="9"/>
  <c r="AC56" i="9"/>
  <c r="AB56" i="9"/>
  <c r="AA56" i="9"/>
  <c r="Z56" i="9"/>
  <c r="Y56" i="9"/>
  <c r="X56" i="9"/>
  <c r="W56" i="9"/>
  <c r="V56" i="9"/>
  <c r="U56" i="9"/>
  <c r="T56" i="9"/>
  <c r="S56" i="9"/>
  <c r="R56" i="9"/>
  <c r="Q56" i="9"/>
  <c r="P56" i="9"/>
  <c r="O56" i="9"/>
  <c r="N56" i="9"/>
  <c r="M56" i="9"/>
  <c r="L56" i="9"/>
  <c r="K56" i="9"/>
  <c r="J56" i="9"/>
  <c r="I56" i="9"/>
  <c r="H56" i="9"/>
  <c r="G56" i="9"/>
  <c r="F56" i="9"/>
  <c r="AE55" i="9"/>
  <c r="AC55" i="9"/>
  <c r="AB55" i="9"/>
  <c r="AA55" i="9"/>
  <c r="Z55" i="9"/>
  <c r="Y55" i="9"/>
  <c r="X55" i="9"/>
  <c r="W55" i="9"/>
  <c r="V55" i="9"/>
  <c r="U55" i="9"/>
  <c r="T55" i="9"/>
  <c r="S55" i="9"/>
  <c r="R55" i="9"/>
  <c r="Q55" i="9"/>
  <c r="P55" i="9"/>
  <c r="O55" i="9"/>
  <c r="N55" i="9"/>
  <c r="M55" i="9"/>
  <c r="L55" i="9"/>
  <c r="K55" i="9"/>
  <c r="J55" i="9"/>
  <c r="I55" i="9"/>
  <c r="H55" i="9"/>
  <c r="G55" i="9"/>
  <c r="F55" i="9"/>
  <c r="AE54" i="9"/>
  <c r="AC54" i="9"/>
  <c r="AB54" i="9"/>
  <c r="AA54" i="9"/>
  <c r="Z54" i="9"/>
  <c r="Y54" i="9"/>
  <c r="X54" i="9"/>
  <c r="W54" i="9"/>
  <c r="V54" i="9"/>
  <c r="U54" i="9"/>
  <c r="T54" i="9"/>
  <c r="S54" i="9"/>
  <c r="R54" i="9"/>
  <c r="Q54" i="9"/>
  <c r="P54" i="9"/>
  <c r="O54" i="9"/>
  <c r="N54" i="9"/>
  <c r="M54" i="9"/>
  <c r="L54" i="9"/>
  <c r="K54" i="9"/>
  <c r="J54" i="9"/>
  <c r="I54" i="9"/>
  <c r="H54" i="9"/>
  <c r="G54" i="9"/>
  <c r="F54" i="9"/>
  <c r="AE53" i="9"/>
  <c r="AC53" i="9"/>
  <c r="AB53" i="9"/>
  <c r="AA53" i="9"/>
  <c r="Z53" i="9"/>
  <c r="Y53" i="9"/>
  <c r="X53" i="9"/>
  <c r="W53" i="9"/>
  <c r="V53" i="9"/>
  <c r="U53" i="9"/>
  <c r="T53" i="9"/>
  <c r="S53" i="9"/>
  <c r="R53" i="9"/>
  <c r="Q53" i="9"/>
  <c r="P53" i="9"/>
  <c r="O53" i="9"/>
  <c r="N53" i="9"/>
  <c r="M53" i="9"/>
  <c r="L53" i="9"/>
  <c r="K53" i="9"/>
  <c r="J53" i="9"/>
  <c r="I53" i="9"/>
  <c r="H53" i="9"/>
  <c r="G53" i="9"/>
  <c r="F53" i="9"/>
  <c r="AE52" i="9"/>
  <c r="AC52" i="9"/>
  <c r="AB52" i="9"/>
  <c r="AA52" i="9"/>
  <c r="Z52" i="9"/>
  <c r="Y52" i="9"/>
  <c r="X52" i="9"/>
  <c r="W52" i="9"/>
  <c r="V52" i="9"/>
  <c r="U52" i="9"/>
  <c r="T52" i="9"/>
  <c r="S52" i="9"/>
  <c r="R52" i="9"/>
  <c r="Q52" i="9"/>
  <c r="P52" i="9"/>
  <c r="O52" i="9"/>
  <c r="N52" i="9"/>
  <c r="M52" i="9"/>
  <c r="L52" i="9"/>
  <c r="K52" i="9"/>
  <c r="J52" i="9"/>
  <c r="I52" i="9"/>
  <c r="H52" i="9"/>
  <c r="G52" i="9"/>
  <c r="F52" i="9"/>
  <c r="AE51" i="9"/>
  <c r="AC51" i="9"/>
  <c r="AB51" i="9"/>
  <c r="AA51" i="9"/>
  <c r="Z51" i="9"/>
  <c r="Y51" i="9"/>
  <c r="X51" i="9"/>
  <c r="W51" i="9"/>
  <c r="V51" i="9"/>
  <c r="U51" i="9"/>
  <c r="T51" i="9"/>
  <c r="S51" i="9"/>
  <c r="R51" i="9"/>
  <c r="Q51" i="9"/>
  <c r="P51" i="9"/>
  <c r="O51" i="9"/>
  <c r="N51" i="9"/>
  <c r="M51" i="9"/>
  <c r="L51" i="9"/>
  <c r="K51" i="9"/>
  <c r="J51" i="9"/>
  <c r="I51" i="9"/>
  <c r="H51" i="9"/>
  <c r="G51" i="9"/>
  <c r="F51" i="9"/>
  <c r="AE50" i="9"/>
  <c r="AC50" i="9"/>
  <c r="AB50" i="9"/>
  <c r="AA50" i="9"/>
  <c r="Z50" i="9"/>
  <c r="Y50" i="9"/>
  <c r="X50" i="9"/>
  <c r="W50" i="9"/>
  <c r="V50" i="9"/>
  <c r="U50" i="9"/>
  <c r="T50" i="9"/>
  <c r="S50" i="9"/>
  <c r="R50" i="9"/>
  <c r="Q50" i="9"/>
  <c r="P50" i="9"/>
  <c r="O50" i="9"/>
  <c r="N50" i="9"/>
  <c r="M50" i="9"/>
  <c r="L50" i="9"/>
  <c r="K50" i="9"/>
  <c r="J50" i="9"/>
  <c r="I50" i="9"/>
  <c r="H50" i="9"/>
  <c r="G50" i="9"/>
  <c r="F50" i="9"/>
  <c r="AE49" i="9"/>
  <c r="AC49" i="9"/>
  <c r="AB49" i="9"/>
  <c r="AA49" i="9"/>
  <c r="Z49" i="9"/>
  <c r="Y49" i="9"/>
  <c r="X49" i="9"/>
  <c r="W49" i="9"/>
  <c r="V49" i="9"/>
  <c r="U49" i="9"/>
  <c r="T49" i="9"/>
  <c r="S49" i="9"/>
  <c r="R49" i="9"/>
  <c r="Q49" i="9"/>
  <c r="P49" i="9"/>
  <c r="O49" i="9"/>
  <c r="N49" i="9"/>
  <c r="M49" i="9"/>
  <c r="L49" i="9"/>
  <c r="K49" i="9"/>
  <c r="J49" i="9"/>
  <c r="I49" i="9"/>
  <c r="H49" i="9"/>
  <c r="G49" i="9"/>
  <c r="F49" i="9"/>
  <c r="AE48" i="9"/>
  <c r="AC48" i="9"/>
  <c r="AB48" i="9"/>
  <c r="AA48" i="9"/>
  <c r="Z48" i="9"/>
  <c r="Y48" i="9"/>
  <c r="X48" i="9"/>
  <c r="W48" i="9"/>
  <c r="V48" i="9"/>
  <c r="U48" i="9"/>
  <c r="T48" i="9"/>
  <c r="S48" i="9"/>
  <c r="R48" i="9"/>
  <c r="Q48" i="9"/>
  <c r="P48" i="9"/>
  <c r="O48" i="9"/>
  <c r="N48" i="9"/>
  <c r="M48" i="9"/>
  <c r="L48" i="9"/>
  <c r="K48" i="9"/>
  <c r="J48" i="9"/>
  <c r="I48" i="9"/>
  <c r="H48" i="9"/>
  <c r="G48" i="9"/>
  <c r="F48" i="9"/>
  <c r="AE47" i="9"/>
  <c r="AC47" i="9"/>
  <c r="AB47" i="9"/>
  <c r="AA47" i="9"/>
  <c r="Z47" i="9"/>
  <c r="Y47" i="9"/>
  <c r="X47" i="9"/>
  <c r="W47" i="9"/>
  <c r="V47" i="9"/>
  <c r="U47" i="9"/>
  <c r="T47" i="9"/>
  <c r="S47" i="9"/>
  <c r="R47" i="9"/>
  <c r="Q47" i="9"/>
  <c r="P47" i="9"/>
  <c r="O47" i="9"/>
  <c r="N47" i="9"/>
  <c r="M47" i="9"/>
  <c r="L47" i="9"/>
  <c r="K47" i="9"/>
  <c r="J47" i="9"/>
  <c r="I47" i="9"/>
  <c r="H47" i="9"/>
  <c r="G47" i="9"/>
  <c r="F47" i="9"/>
  <c r="AE46" i="9"/>
  <c r="AC46" i="9"/>
  <c r="AB46" i="9"/>
  <c r="AA46" i="9"/>
  <c r="Z46" i="9"/>
  <c r="Y46" i="9"/>
  <c r="X46" i="9"/>
  <c r="W46" i="9"/>
  <c r="V46" i="9"/>
  <c r="U46" i="9"/>
  <c r="T46" i="9"/>
  <c r="S46" i="9"/>
  <c r="R46" i="9"/>
  <c r="Q46" i="9"/>
  <c r="P46" i="9"/>
  <c r="O46" i="9"/>
  <c r="N46" i="9"/>
  <c r="M46" i="9"/>
  <c r="L46" i="9"/>
  <c r="K46" i="9"/>
  <c r="J46" i="9"/>
  <c r="I46" i="9"/>
  <c r="H46" i="9"/>
  <c r="G46" i="9"/>
  <c r="F46" i="9"/>
  <c r="AE45" i="9"/>
  <c r="AC45" i="9"/>
  <c r="AB45" i="9"/>
  <c r="AA45" i="9"/>
  <c r="Z45" i="9"/>
  <c r="Y45" i="9"/>
  <c r="X45" i="9"/>
  <c r="W45" i="9"/>
  <c r="V45" i="9"/>
  <c r="U45" i="9"/>
  <c r="T45" i="9"/>
  <c r="S45" i="9"/>
  <c r="R45" i="9"/>
  <c r="Q45" i="9"/>
  <c r="P45" i="9"/>
  <c r="O45" i="9"/>
  <c r="N45" i="9"/>
  <c r="M45" i="9"/>
  <c r="L45" i="9"/>
  <c r="K45" i="9"/>
  <c r="J45" i="9"/>
  <c r="I45" i="9"/>
  <c r="H45" i="9"/>
  <c r="G45" i="9"/>
  <c r="F45" i="9"/>
  <c r="AE44" i="9"/>
  <c r="AC44" i="9"/>
  <c r="AB44" i="9"/>
  <c r="AA44" i="9"/>
  <c r="Z44" i="9"/>
  <c r="Y44" i="9"/>
  <c r="X44" i="9"/>
  <c r="W44" i="9"/>
  <c r="V44" i="9"/>
  <c r="U44" i="9"/>
  <c r="T44" i="9"/>
  <c r="S44" i="9"/>
  <c r="R44" i="9"/>
  <c r="Q44" i="9"/>
  <c r="P44" i="9"/>
  <c r="O44" i="9"/>
  <c r="N44" i="9"/>
  <c r="M44" i="9"/>
  <c r="L44" i="9"/>
  <c r="K44" i="9"/>
  <c r="J44" i="9"/>
  <c r="I44" i="9"/>
  <c r="H44" i="9"/>
  <c r="G44" i="9"/>
  <c r="F44" i="9"/>
  <c r="AE43" i="9"/>
  <c r="AC43" i="9"/>
  <c r="AB43" i="9"/>
  <c r="AA43" i="9"/>
  <c r="Z43" i="9"/>
  <c r="Y43" i="9"/>
  <c r="X43" i="9"/>
  <c r="W43" i="9"/>
  <c r="V43" i="9"/>
  <c r="U43" i="9"/>
  <c r="T43" i="9"/>
  <c r="S43" i="9"/>
  <c r="R43" i="9"/>
  <c r="Q43" i="9"/>
  <c r="P43" i="9"/>
  <c r="O43" i="9"/>
  <c r="N43" i="9"/>
  <c r="M43" i="9"/>
  <c r="L43" i="9"/>
  <c r="K43" i="9"/>
  <c r="J43" i="9"/>
  <c r="I43" i="9"/>
  <c r="H43" i="9"/>
  <c r="G43" i="9"/>
  <c r="F43" i="9"/>
  <c r="AE42" i="9"/>
  <c r="AC42" i="9"/>
  <c r="AB42" i="9"/>
  <c r="AA42" i="9"/>
  <c r="Z42" i="9"/>
  <c r="Y42" i="9"/>
  <c r="X42" i="9"/>
  <c r="W42" i="9"/>
  <c r="V42" i="9"/>
  <c r="U42" i="9"/>
  <c r="T42" i="9"/>
  <c r="S42" i="9"/>
  <c r="R42" i="9"/>
  <c r="Q42" i="9"/>
  <c r="P42" i="9"/>
  <c r="O42" i="9"/>
  <c r="N42" i="9"/>
  <c r="M42" i="9"/>
  <c r="L42" i="9"/>
  <c r="K42" i="9"/>
  <c r="J42" i="9"/>
  <c r="I42" i="9"/>
  <c r="H42" i="9"/>
  <c r="G42" i="9"/>
  <c r="F42" i="9"/>
  <c r="AE41" i="9"/>
  <c r="AC41" i="9"/>
  <c r="AB41" i="9"/>
  <c r="AA41" i="9"/>
  <c r="Z41" i="9"/>
  <c r="Y41" i="9"/>
  <c r="X41" i="9"/>
  <c r="W41" i="9"/>
  <c r="V41" i="9"/>
  <c r="U41" i="9"/>
  <c r="T41" i="9"/>
  <c r="S41" i="9"/>
  <c r="R41" i="9"/>
  <c r="Q41" i="9"/>
  <c r="P41" i="9"/>
  <c r="O41" i="9"/>
  <c r="N41" i="9"/>
  <c r="M41" i="9"/>
  <c r="L41" i="9"/>
  <c r="K41" i="9"/>
  <c r="J41" i="9"/>
  <c r="I41" i="9"/>
  <c r="H41" i="9"/>
  <c r="G41" i="9"/>
  <c r="F41" i="9"/>
  <c r="AE40" i="9"/>
  <c r="AC40" i="9"/>
  <c r="AB40" i="9"/>
  <c r="AA40" i="9"/>
  <c r="Z40" i="9"/>
  <c r="Y40" i="9"/>
  <c r="X40" i="9"/>
  <c r="W40" i="9"/>
  <c r="V40" i="9"/>
  <c r="U40" i="9"/>
  <c r="T40" i="9"/>
  <c r="S40" i="9"/>
  <c r="R40" i="9"/>
  <c r="Q40" i="9"/>
  <c r="P40" i="9"/>
  <c r="O40" i="9"/>
  <c r="N40" i="9"/>
  <c r="M40" i="9"/>
  <c r="L40" i="9"/>
  <c r="K40" i="9"/>
  <c r="J40" i="9"/>
  <c r="I40" i="9"/>
  <c r="H40" i="9"/>
  <c r="G40" i="9"/>
  <c r="F40" i="9"/>
  <c r="AE39" i="9"/>
  <c r="AC39" i="9"/>
  <c r="AB39" i="9"/>
  <c r="AA39" i="9"/>
  <c r="Z39" i="9"/>
  <c r="Y39" i="9"/>
  <c r="X39" i="9"/>
  <c r="W39" i="9"/>
  <c r="V39" i="9"/>
  <c r="U39" i="9"/>
  <c r="T39" i="9"/>
  <c r="S39" i="9"/>
  <c r="R39" i="9"/>
  <c r="Q39" i="9"/>
  <c r="P39" i="9"/>
  <c r="O39" i="9"/>
  <c r="N39" i="9"/>
  <c r="M39" i="9"/>
  <c r="L39" i="9"/>
  <c r="K39" i="9"/>
  <c r="J39" i="9"/>
  <c r="I39" i="9"/>
  <c r="H39" i="9"/>
  <c r="G39" i="9"/>
  <c r="F39" i="9"/>
  <c r="AE38" i="9"/>
  <c r="AC38" i="9"/>
  <c r="AB38" i="9"/>
  <c r="AA38" i="9"/>
  <c r="Z38" i="9"/>
  <c r="Y38" i="9"/>
  <c r="X38" i="9"/>
  <c r="W38" i="9"/>
  <c r="V38" i="9"/>
  <c r="U38" i="9"/>
  <c r="T38" i="9"/>
  <c r="S38" i="9"/>
  <c r="R38" i="9"/>
  <c r="Q38" i="9"/>
  <c r="P38" i="9"/>
  <c r="O38" i="9"/>
  <c r="N38" i="9"/>
  <c r="M38" i="9"/>
  <c r="L38" i="9"/>
  <c r="K38" i="9"/>
  <c r="J38" i="9"/>
  <c r="I38" i="9"/>
  <c r="H38" i="9"/>
  <c r="G38" i="9"/>
  <c r="F38" i="9"/>
  <c r="AE37" i="9"/>
  <c r="AC37" i="9"/>
  <c r="AB37" i="9"/>
  <c r="AA37" i="9"/>
  <c r="Z37" i="9"/>
  <c r="Y37" i="9"/>
  <c r="X37" i="9"/>
  <c r="W37" i="9"/>
  <c r="V37" i="9"/>
  <c r="U37" i="9"/>
  <c r="T37" i="9"/>
  <c r="S37" i="9"/>
  <c r="R37" i="9"/>
  <c r="Q37" i="9"/>
  <c r="P37" i="9"/>
  <c r="O37" i="9"/>
  <c r="N37" i="9"/>
  <c r="M37" i="9"/>
  <c r="L37" i="9"/>
  <c r="K37" i="9"/>
  <c r="J37" i="9"/>
  <c r="I37" i="9"/>
  <c r="H37" i="9"/>
  <c r="G37" i="9"/>
  <c r="F37" i="9"/>
  <c r="AE36" i="9"/>
  <c r="AC36" i="9"/>
  <c r="AB36" i="9"/>
  <c r="AA36" i="9"/>
  <c r="Z36" i="9"/>
  <c r="Y36" i="9"/>
  <c r="X36" i="9"/>
  <c r="W36" i="9"/>
  <c r="V36" i="9"/>
  <c r="U36" i="9"/>
  <c r="T36" i="9"/>
  <c r="S36" i="9"/>
  <c r="R36" i="9"/>
  <c r="Q36" i="9"/>
  <c r="P36" i="9"/>
  <c r="O36" i="9"/>
  <c r="N36" i="9"/>
  <c r="M36" i="9"/>
  <c r="L36" i="9"/>
  <c r="K36" i="9"/>
  <c r="J36" i="9"/>
  <c r="I36" i="9"/>
  <c r="H36" i="9"/>
  <c r="G36" i="9"/>
  <c r="F36" i="9"/>
  <c r="AE35" i="9"/>
  <c r="AC35" i="9"/>
  <c r="AB35" i="9"/>
  <c r="AA35" i="9"/>
  <c r="Z35" i="9"/>
  <c r="Y35" i="9"/>
  <c r="X35" i="9"/>
  <c r="W35" i="9"/>
  <c r="V35" i="9"/>
  <c r="U35" i="9"/>
  <c r="T35" i="9"/>
  <c r="S35" i="9"/>
  <c r="R35" i="9"/>
  <c r="Q35" i="9"/>
  <c r="P35" i="9"/>
  <c r="O35" i="9"/>
  <c r="N35" i="9"/>
  <c r="M35" i="9"/>
  <c r="L35" i="9"/>
  <c r="K35" i="9"/>
  <c r="J35" i="9"/>
  <c r="I35" i="9"/>
  <c r="H35" i="9"/>
  <c r="G35" i="9"/>
  <c r="F35" i="9"/>
  <c r="AE34" i="9"/>
  <c r="AC34" i="9"/>
  <c r="AB34" i="9"/>
  <c r="AA34" i="9"/>
  <c r="Z34" i="9"/>
  <c r="Y34" i="9"/>
  <c r="X34" i="9"/>
  <c r="W34" i="9"/>
  <c r="V34" i="9"/>
  <c r="U34" i="9"/>
  <c r="T34" i="9"/>
  <c r="S34" i="9"/>
  <c r="R34" i="9"/>
  <c r="Q34" i="9"/>
  <c r="P34" i="9"/>
  <c r="O34" i="9"/>
  <c r="N34" i="9"/>
  <c r="M34" i="9"/>
  <c r="L34" i="9"/>
  <c r="K34" i="9"/>
  <c r="J34" i="9"/>
  <c r="I34" i="9"/>
  <c r="H34" i="9"/>
  <c r="G34" i="9"/>
  <c r="F34" i="9"/>
  <c r="AE33" i="9"/>
  <c r="AC33" i="9"/>
  <c r="AB33" i="9"/>
  <c r="AA33" i="9"/>
  <c r="Z33" i="9"/>
  <c r="Y33" i="9"/>
  <c r="X33" i="9"/>
  <c r="W33" i="9"/>
  <c r="V33" i="9"/>
  <c r="U33" i="9"/>
  <c r="T33" i="9"/>
  <c r="S33" i="9"/>
  <c r="R33" i="9"/>
  <c r="Q33" i="9"/>
  <c r="P33" i="9"/>
  <c r="O33" i="9"/>
  <c r="N33" i="9"/>
  <c r="M33" i="9"/>
  <c r="L33" i="9"/>
  <c r="K33" i="9"/>
  <c r="J33" i="9"/>
  <c r="I33" i="9"/>
  <c r="H33" i="9"/>
  <c r="G33" i="9"/>
  <c r="F33" i="9"/>
  <c r="AE32" i="9"/>
  <c r="AC32" i="9"/>
  <c r="AB32" i="9"/>
  <c r="AA32" i="9"/>
  <c r="Z32" i="9"/>
  <c r="Y32" i="9"/>
  <c r="X32" i="9"/>
  <c r="W32" i="9"/>
  <c r="V32" i="9"/>
  <c r="U32" i="9"/>
  <c r="T32" i="9"/>
  <c r="S32" i="9"/>
  <c r="R32" i="9"/>
  <c r="Q32" i="9"/>
  <c r="P32" i="9"/>
  <c r="O32" i="9"/>
  <c r="N32" i="9"/>
  <c r="M32" i="9"/>
  <c r="L32" i="9"/>
  <c r="K32" i="9"/>
  <c r="J32" i="9"/>
  <c r="I32" i="9"/>
  <c r="H32" i="9"/>
  <c r="G32" i="9"/>
  <c r="F32" i="9"/>
  <c r="AE31" i="9"/>
  <c r="AC31" i="9"/>
  <c r="AB31" i="9"/>
  <c r="AA31" i="9"/>
  <c r="Z31" i="9"/>
  <c r="Y31" i="9"/>
  <c r="X31" i="9"/>
  <c r="W31" i="9"/>
  <c r="V31" i="9"/>
  <c r="U31" i="9"/>
  <c r="T31" i="9"/>
  <c r="S31" i="9"/>
  <c r="R31" i="9"/>
  <c r="Q31" i="9"/>
  <c r="P31" i="9"/>
  <c r="O31" i="9"/>
  <c r="N31" i="9"/>
  <c r="M31" i="9"/>
  <c r="L31" i="9"/>
  <c r="K31" i="9"/>
  <c r="J31" i="9"/>
  <c r="I31" i="9"/>
  <c r="H31" i="9"/>
  <c r="G31" i="9"/>
  <c r="F31" i="9"/>
  <c r="AE30" i="9"/>
  <c r="AC30" i="9"/>
  <c r="AB30" i="9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AE29" i="9"/>
  <c r="AC29" i="9"/>
  <c r="AB29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AE28" i="9"/>
  <c r="AC28" i="9"/>
  <c r="AB28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AE27" i="9"/>
  <c r="AC27" i="9"/>
  <c r="AB27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AE26" i="9"/>
  <c r="AC26" i="9"/>
  <c r="AB26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AE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AE24" i="9"/>
  <c r="AC24" i="9"/>
  <c r="AB24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AE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AE22" i="9"/>
  <c r="AC22" i="9"/>
  <c r="AB22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AE21" i="9"/>
  <c r="AC21" i="9"/>
  <c r="AB21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AE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AE19" i="9"/>
  <c r="AC19" i="9"/>
  <c r="AB19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AE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AE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AE16" i="9"/>
  <c r="AC16" i="9"/>
  <c r="AB16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AE15" i="9"/>
  <c r="AC15" i="9"/>
  <c r="AB15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AE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AE13" i="9"/>
  <c r="AC13" i="9"/>
  <c r="AB13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AE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AE11" i="9"/>
  <c r="AC11" i="9"/>
  <c r="AB11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AE10" i="9"/>
  <c r="AC10" i="9"/>
  <c r="AB10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AE9" i="9"/>
  <c r="AC9" i="9"/>
  <c r="AB9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AE8" i="9"/>
  <c r="AC8" i="9"/>
  <c r="AB8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AE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AE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AE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AE4" i="9"/>
  <c r="AC4" i="9"/>
  <c r="AB4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AE3" i="9"/>
  <c r="AC3" i="9"/>
  <c r="AB3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AE2" i="9"/>
  <c r="AC2" i="9"/>
  <c r="AB2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AE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AE365" i="8"/>
  <c r="AC365" i="8"/>
  <c r="AB365" i="8"/>
  <c r="AA365" i="8"/>
  <c r="Z365" i="8"/>
  <c r="Y365" i="8"/>
  <c r="X365" i="8"/>
  <c r="W365" i="8"/>
  <c r="V365" i="8"/>
  <c r="U365" i="8"/>
  <c r="T365" i="8"/>
  <c r="S365" i="8"/>
  <c r="R365" i="8"/>
  <c r="Q365" i="8"/>
  <c r="P365" i="8"/>
  <c r="O365" i="8"/>
  <c r="N365" i="8"/>
  <c r="M365" i="8"/>
  <c r="L365" i="8"/>
  <c r="K365" i="8"/>
  <c r="J365" i="8"/>
  <c r="I365" i="8"/>
  <c r="H365" i="8"/>
  <c r="G365" i="8"/>
  <c r="F365" i="8"/>
  <c r="AE364" i="8"/>
  <c r="AC364" i="8"/>
  <c r="AB364" i="8"/>
  <c r="AA364" i="8"/>
  <c r="Z364" i="8"/>
  <c r="Y364" i="8"/>
  <c r="X364" i="8"/>
  <c r="W364" i="8"/>
  <c r="V364" i="8"/>
  <c r="U364" i="8"/>
  <c r="T364" i="8"/>
  <c r="S364" i="8"/>
  <c r="R364" i="8"/>
  <c r="Q364" i="8"/>
  <c r="P364" i="8"/>
  <c r="O364" i="8"/>
  <c r="N364" i="8"/>
  <c r="M364" i="8"/>
  <c r="L364" i="8"/>
  <c r="K364" i="8"/>
  <c r="J364" i="8"/>
  <c r="I364" i="8"/>
  <c r="H364" i="8"/>
  <c r="G364" i="8"/>
  <c r="F364" i="8"/>
  <c r="AE363" i="8"/>
  <c r="AC363" i="8"/>
  <c r="AB363" i="8"/>
  <c r="AA363" i="8"/>
  <c r="Z363" i="8"/>
  <c r="Y363" i="8"/>
  <c r="X363" i="8"/>
  <c r="W363" i="8"/>
  <c r="V363" i="8"/>
  <c r="U363" i="8"/>
  <c r="T363" i="8"/>
  <c r="S363" i="8"/>
  <c r="R363" i="8"/>
  <c r="Q363" i="8"/>
  <c r="P363" i="8"/>
  <c r="O363" i="8"/>
  <c r="N363" i="8"/>
  <c r="M363" i="8"/>
  <c r="L363" i="8"/>
  <c r="K363" i="8"/>
  <c r="J363" i="8"/>
  <c r="I363" i="8"/>
  <c r="H363" i="8"/>
  <c r="G363" i="8"/>
  <c r="F363" i="8"/>
  <c r="AE362" i="8"/>
  <c r="AC362" i="8"/>
  <c r="AB362" i="8"/>
  <c r="AA362" i="8"/>
  <c r="Z362" i="8"/>
  <c r="Y362" i="8"/>
  <c r="X362" i="8"/>
  <c r="W362" i="8"/>
  <c r="V362" i="8"/>
  <c r="U362" i="8"/>
  <c r="T362" i="8"/>
  <c r="S362" i="8"/>
  <c r="R362" i="8"/>
  <c r="Q362" i="8"/>
  <c r="P362" i="8"/>
  <c r="O362" i="8"/>
  <c r="N362" i="8"/>
  <c r="M362" i="8"/>
  <c r="L362" i="8"/>
  <c r="K362" i="8"/>
  <c r="J362" i="8"/>
  <c r="I362" i="8"/>
  <c r="H362" i="8"/>
  <c r="G362" i="8"/>
  <c r="F362" i="8"/>
  <c r="AE361" i="8"/>
  <c r="AC361" i="8"/>
  <c r="AB361" i="8"/>
  <c r="AA361" i="8"/>
  <c r="Z361" i="8"/>
  <c r="Y361" i="8"/>
  <c r="X361" i="8"/>
  <c r="W361" i="8"/>
  <c r="V361" i="8"/>
  <c r="U361" i="8"/>
  <c r="T361" i="8"/>
  <c r="S361" i="8"/>
  <c r="R361" i="8"/>
  <c r="Q361" i="8"/>
  <c r="P361" i="8"/>
  <c r="O361" i="8"/>
  <c r="N361" i="8"/>
  <c r="M361" i="8"/>
  <c r="L361" i="8"/>
  <c r="K361" i="8"/>
  <c r="J361" i="8"/>
  <c r="I361" i="8"/>
  <c r="H361" i="8"/>
  <c r="G361" i="8"/>
  <c r="F361" i="8"/>
  <c r="AE360" i="8"/>
  <c r="AC360" i="8"/>
  <c r="AB360" i="8"/>
  <c r="AA360" i="8"/>
  <c r="Z360" i="8"/>
  <c r="Y360" i="8"/>
  <c r="X360" i="8"/>
  <c r="W360" i="8"/>
  <c r="V360" i="8"/>
  <c r="U360" i="8"/>
  <c r="T360" i="8"/>
  <c r="S360" i="8"/>
  <c r="R360" i="8"/>
  <c r="Q360" i="8"/>
  <c r="P360" i="8"/>
  <c r="O360" i="8"/>
  <c r="N360" i="8"/>
  <c r="M360" i="8"/>
  <c r="L360" i="8"/>
  <c r="K360" i="8"/>
  <c r="J360" i="8"/>
  <c r="I360" i="8"/>
  <c r="H360" i="8"/>
  <c r="G360" i="8"/>
  <c r="F360" i="8"/>
  <c r="AE359" i="8"/>
  <c r="AC359" i="8"/>
  <c r="AB359" i="8"/>
  <c r="AA359" i="8"/>
  <c r="Z359" i="8"/>
  <c r="Y359" i="8"/>
  <c r="X359" i="8"/>
  <c r="W359" i="8"/>
  <c r="V359" i="8"/>
  <c r="U359" i="8"/>
  <c r="T359" i="8"/>
  <c r="S359" i="8"/>
  <c r="R359" i="8"/>
  <c r="Q359" i="8"/>
  <c r="P359" i="8"/>
  <c r="O359" i="8"/>
  <c r="N359" i="8"/>
  <c r="M359" i="8"/>
  <c r="L359" i="8"/>
  <c r="K359" i="8"/>
  <c r="J359" i="8"/>
  <c r="I359" i="8"/>
  <c r="H359" i="8"/>
  <c r="G359" i="8"/>
  <c r="F359" i="8"/>
  <c r="AE358" i="8"/>
  <c r="AC358" i="8"/>
  <c r="AB358" i="8"/>
  <c r="AA358" i="8"/>
  <c r="Z358" i="8"/>
  <c r="Y358" i="8"/>
  <c r="X358" i="8"/>
  <c r="W358" i="8"/>
  <c r="V358" i="8"/>
  <c r="U358" i="8"/>
  <c r="T358" i="8"/>
  <c r="S358" i="8"/>
  <c r="R358" i="8"/>
  <c r="Q358" i="8"/>
  <c r="P358" i="8"/>
  <c r="O358" i="8"/>
  <c r="N358" i="8"/>
  <c r="M358" i="8"/>
  <c r="L358" i="8"/>
  <c r="K358" i="8"/>
  <c r="J358" i="8"/>
  <c r="I358" i="8"/>
  <c r="H358" i="8"/>
  <c r="G358" i="8"/>
  <c r="F358" i="8"/>
  <c r="AE357" i="8"/>
  <c r="AC357" i="8"/>
  <c r="AB357" i="8"/>
  <c r="AA357" i="8"/>
  <c r="Z357" i="8"/>
  <c r="Y357" i="8"/>
  <c r="X357" i="8"/>
  <c r="W357" i="8"/>
  <c r="V357" i="8"/>
  <c r="U357" i="8"/>
  <c r="T357" i="8"/>
  <c r="S357" i="8"/>
  <c r="R357" i="8"/>
  <c r="Q357" i="8"/>
  <c r="P357" i="8"/>
  <c r="O357" i="8"/>
  <c r="N357" i="8"/>
  <c r="M357" i="8"/>
  <c r="L357" i="8"/>
  <c r="K357" i="8"/>
  <c r="J357" i="8"/>
  <c r="I357" i="8"/>
  <c r="H357" i="8"/>
  <c r="G357" i="8"/>
  <c r="F357" i="8"/>
  <c r="AE356" i="8"/>
  <c r="AC356" i="8"/>
  <c r="AB356" i="8"/>
  <c r="AA356" i="8"/>
  <c r="Z356" i="8"/>
  <c r="Y356" i="8"/>
  <c r="X356" i="8"/>
  <c r="W356" i="8"/>
  <c r="V356" i="8"/>
  <c r="U356" i="8"/>
  <c r="T356" i="8"/>
  <c r="S356" i="8"/>
  <c r="R356" i="8"/>
  <c r="Q356" i="8"/>
  <c r="P356" i="8"/>
  <c r="O356" i="8"/>
  <c r="N356" i="8"/>
  <c r="M356" i="8"/>
  <c r="L356" i="8"/>
  <c r="K356" i="8"/>
  <c r="J356" i="8"/>
  <c r="I356" i="8"/>
  <c r="H356" i="8"/>
  <c r="G356" i="8"/>
  <c r="F356" i="8"/>
  <c r="AE355" i="8"/>
  <c r="AC355" i="8"/>
  <c r="AB355" i="8"/>
  <c r="AA355" i="8"/>
  <c r="Z355" i="8"/>
  <c r="Y355" i="8"/>
  <c r="X355" i="8"/>
  <c r="W355" i="8"/>
  <c r="V355" i="8"/>
  <c r="U355" i="8"/>
  <c r="T355" i="8"/>
  <c r="S355" i="8"/>
  <c r="R355" i="8"/>
  <c r="Q355" i="8"/>
  <c r="P355" i="8"/>
  <c r="O355" i="8"/>
  <c r="N355" i="8"/>
  <c r="M355" i="8"/>
  <c r="L355" i="8"/>
  <c r="K355" i="8"/>
  <c r="J355" i="8"/>
  <c r="I355" i="8"/>
  <c r="H355" i="8"/>
  <c r="G355" i="8"/>
  <c r="F355" i="8"/>
  <c r="AE354" i="8"/>
  <c r="AC354" i="8"/>
  <c r="AB354" i="8"/>
  <c r="AA354" i="8"/>
  <c r="Z354" i="8"/>
  <c r="Y354" i="8"/>
  <c r="X354" i="8"/>
  <c r="W354" i="8"/>
  <c r="V354" i="8"/>
  <c r="U354" i="8"/>
  <c r="T354" i="8"/>
  <c r="S354" i="8"/>
  <c r="R354" i="8"/>
  <c r="Q354" i="8"/>
  <c r="P354" i="8"/>
  <c r="O354" i="8"/>
  <c r="N354" i="8"/>
  <c r="M354" i="8"/>
  <c r="L354" i="8"/>
  <c r="K354" i="8"/>
  <c r="J354" i="8"/>
  <c r="I354" i="8"/>
  <c r="H354" i="8"/>
  <c r="G354" i="8"/>
  <c r="F354" i="8"/>
  <c r="AE353" i="8"/>
  <c r="AC353" i="8"/>
  <c r="AB353" i="8"/>
  <c r="AA353" i="8"/>
  <c r="Z353" i="8"/>
  <c r="Y353" i="8"/>
  <c r="X353" i="8"/>
  <c r="W353" i="8"/>
  <c r="V353" i="8"/>
  <c r="U353" i="8"/>
  <c r="T353" i="8"/>
  <c r="S353" i="8"/>
  <c r="R353" i="8"/>
  <c r="Q353" i="8"/>
  <c r="P353" i="8"/>
  <c r="O353" i="8"/>
  <c r="N353" i="8"/>
  <c r="M353" i="8"/>
  <c r="L353" i="8"/>
  <c r="K353" i="8"/>
  <c r="J353" i="8"/>
  <c r="I353" i="8"/>
  <c r="H353" i="8"/>
  <c r="G353" i="8"/>
  <c r="F353" i="8"/>
  <c r="AE352" i="8"/>
  <c r="AC352" i="8"/>
  <c r="AB352" i="8"/>
  <c r="AA352" i="8"/>
  <c r="Z352" i="8"/>
  <c r="Y352" i="8"/>
  <c r="X352" i="8"/>
  <c r="W352" i="8"/>
  <c r="V352" i="8"/>
  <c r="U352" i="8"/>
  <c r="T352" i="8"/>
  <c r="S352" i="8"/>
  <c r="R352" i="8"/>
  <c r="Q352" i="8"/>
  <c r="P352" i="8"/>
  <c r="O352" i="8"/>
  <c r="N352" i="8"/>
  <c r="M352" i="8"/>
  <c r="L352" i="8"/>
  <c r="K352" i="8"/>
  <c r="J352" i="8"/>
  <c r="I352" i="8"/>
  <c r="H352" i="8"/>
  <c r="G352" i="8"/>
  <c r="F352" i="8"/>
  <c r="AE351" i="8"/>
  <c r="AC351" i="8"/>
  <c r="AB351" i="8"/>
  <c r="AA351" i="8"/>
  <c r="Z351" i="8"/>
  <c r="Y351" i="8"/>
  <c r="X351" i="8"/>
  <c r="W351" i="8"/>
  <c r="V351" i="8"/>
  <c r="U351" i="8"/>
  <c r="T351" i="8"/>
  <c r="S351" i="8"/>
  <c r="R351" i="8"/>
  <c r="Q351" i="8"/>
  <c r="P351" i="8"/>
  <c r="O351" i="8"/>
  <c r="N351" i="8"/>
  <c r="M351" i="8"/>
  <c r="L351" i="8"/>
  <c r="K351" i="8"/>
  <c r="J351" i="8"/>
  <c r="I351" i="8"/>
  <c r="H351" i="8"/>
  <c r="G351" i="8"/>
  <c r="F351" i="8"/>
  <c r="AE350" i="8"/>
  <c r="AC350" i="8"/>
  <c r="AB350" i="8"/>
  <c r="AA350" i="8"/>
  <c r="Z350" i="8"/>
  <c r="Y350" i="8"/>
  <c r="X350" i="8"/>
  <c r="W350" i="8"/>
  <c r="V350" i="8"/>
  <c r="U350" i="8"/>
  <c r="T350" i="8"/>
  <c r="S350" i="8"/>
  <c r="R350" i="8"/>
  <c r="Q350" i="8"/>
  <c r="P350" i="8"/>
  <c r="O350" i="8"/>
  <c r="N350" i="8"/>
  <c r="M350" i="8"/>
  <c r="L350" i="8"/>
  <c r="K350" i="8"/>
  <c r="J350" i="8"/>
  <c r="I350" i="8"/>
  <c r="H350" i="8"/>
  <c r="G350" i="8"/>
  <c r="F350" i="8"/>
  <c r="AE349" i="8"/>
  <c r="AC349" i="8"/>
  <c r="AB349" i="8"/>
  <c r="AA349" i="8"/>
  <c r="Z349" i="8"/>
  <c r="Y349" i="8"/>
  <c r="X349" i="8"/>
  <c r="W349" i="8"/>
  <c r="V349" i="8"/>
  <c r="U349" i="8"/>
  <c r="T349" i="8"/>
  <c r="S349" i="8"/>
  <c r="R349" i="8"/>
  <c r="Q349" i="8"/>
  <c r="P349" i="8"/>
  <c r="O349" i="8"/>
  <c r="N349" i="8"/>
  <c r="M349" i="8"/>
  <c r="L349" i="8"/>
  <c r="K349" i="8"/>
  <c r="J349" i="8"/>
  <c r="I349" i="8"/>
  <c r="H349" i="8"/>
  <c r="G349" i="8"/>
  <c r="F349" i="8"/>
  <c r="AE348" i="8"/>
  <c r="AC348" i="8"/>
  <c r="AB348" i="8"/>
  <c r="AA348" i="8"/>
  <c r="Z348" i="8"/>
  <c r="Y348" i="8"/>
  <c r="X348" i="8"/>
  <c r="W348" i="8"/>
  <c r="V348" i="8"/>
  <c r="U348" i="8"/>
  <c r="T348" i="8"/>
  <c r="S348" i="8"/>
  <c r="R348" i="8"/>
  <c r="Q348" i="8"/>
  <c r="P348" i="8"/>
  <c r="O348" i="8"/>
  <c r="N348" i="8"/>
  <c r="M348" i="8"/>
  <c r="L348" i="8"/>
  <c r="K348" i="8"/>
  <c r="J348" i="8"/>
  <c r="I348" i="8"/>
  <c r="H348" i="8"/>
  <c r="G348" i="8"/>
  <c r="F348" i="8"/>
  <c r="AE347" i="8"/>
  <c r="AC347" i="8"/>
  <c r="AB347" i="8"/>
  <c r="AA347" i="8"/>
  <c r="Z347" i="8"/>
  <c r="Y347" i="8"/>
  <c r="X347" i="8"/>
  <c r="W347" i="8"/>
  <c r="V347" i="8"/>
  <c r="U347" i="8"/>
  <c r="T347" i="8"/>
  <c r="S347" i="8"/>
  <c r="R347" i="8"/>
  <c r="Q347" i="8"/>
  <c r="P347" i="8"/>
  <c r="O347" i="8"/>
  <c r="N347" i="8"/>
  <c r="M347" i="8"/>
  <c r="L347" i="8"/>
  <c r="K347" i="8"/>
  <c r="J347" i="8"/>
  <c r="I347" i="8"/>
  <c r="H347" i="8"/>
  <c r="G347" i="8"/>
  <c r="F347" i="8"/>
  <c r="AE346" i="8"/>
  <c r="AC346" i="8"/>
  <c r="AB346" i="8"/>
  <c r="AA346" i="8"/>
  <c r="Z346" i="8"/>
  <c r="Y346" i="8"/>
  <c r="X346" i="8"/>
  <c r="W346" i="8"/>
  <c r="V346" i="8"/>
  <c r="U346" i="8"/>
  <c r="T346" i="8"/>
  <c r="S346" i="8"/>
  <c r="R346" i="8"/>
  <c r="Q346" i="8"/>
  <c r="P346" i="8"/>
  <c r="O346" i="8"/>
  <c r="N346" i="8"/>
  <c r="M346" i="8"/>
  <c r="L346" i="8"/>
  <c r="K346" i="8"/>
  <c r="J346" i="8"/>
  <c r="I346" i="8"/>
  <c r="H346" i="8"/>
  <c r="G346" i="8"/>
  <c r="F346" i="8"/>
  <c r="AE345" i="8"/>
  <c r="AC345" i="8"/>
  <c r="AB345" i="8"/>
  <c r="AA345" i="8"/>
  <c r="Z345" i="8"/>
  <c r="Y345" i="8"/>
  <c r="X345" i="8"/>
  <c r="W345" i="8"/>
  <c r="V345" i="8"/>
  <c r="U345" i="8"/>
  <c r="T345" i="8"/>
  <c r="S345" i="8"/>
  <c r="R345" i="8"/>
  <c r="Q345" i="8"/>
  <c r="P345" i="8"/>
  <c r="O345" i="8"/>
  <c r="N345" i="8"/>
  <c r="M345" i="8"/>
  <c r="L345" i="8"/>
  <c r="K345" i="8"/>
  <c r="J345" i="8"/>
  <c r="I345" i="8"/>
  <c r="H345" i="8"/>
  <c r="G345" i="8"/>
  <c r="F345" i="8"/>
  <c r="AE344" i="8"/>
  <c r="AC344" i="8"/>
  <c r="AB344" i="8"/>
  <c r="AA344" i="8"/>
  <c r="Z344" i="8"/>
  <c r="Y344" i="8"/>
  <c r="X344" i="8"/>
  <c r="W344" i="8"/>
  <c r="V344" i="8"/>
  <c r="U344" i="8"/>
  <c r="T344" i="8"/>
  <c r="S344" i="8"/>
  <c r="R344" i="8"/>
  <c r="Q344" i="8"/>
  <c r="P344" i="8"/>
  <c r="O344" i="8"/>
  <c r="N344" i="8"/>
  <c r="M344" i="8"/>
  <c r="L344" i="8"/>
  <c r="K344" i="8"/>
  <c r="J344" i="8"/>
  <c r="I344" i="8"/>
  <c r="H344" i="8"/>
  <c r="G344" i="8"/>
  <c r="F344" i="8"/>
  <c r="AE343" i="8"/>
  <c r="AC343" i="8"/>
  <c r="AB343" i="8"/>
  <c r="AA343" i="8"/>
  <c r="Z343" i="8"/>
  <c r="Y343" i="8"/>
  <c r="X343" i="8"/>
  <c r="W343" i="8"/>
  <c r="V343" i="8"/>
  <c r="U343" i="8"/>
  <c r="T343" i="8"/>
  <c r="S343" i="8"/>
  <c r="R343" i="8"/>
  <c r="Q343" i="8"/>
  <c r="P343" i="8"/>
  <c r="O343" i="8"/>
  <c r="N343" i="8"/>
  <c r="M343" i="8"/>
  <c r="L343" i="8"/>
  <c r="K343" i="8"/>
  <c r="J343" i="8"/>
  <c r="I343" i="8"/>
  <c r="H343" i="8"/>
  <c r="G343" i="8"/>
  <c r="F343" i="8"/>
  <c r="AE342" i="8"/>
  <c r="AC342" i="8"/>
  <c r="AB342" i="8"/>
  <c r="AA342" i="8"/>
  <c r="Z342" i="8"/>
  <c r="Y342" i="8"/>
  <c r="X342" i="8"/>
  <c r="W342" i="8"/>
  <c r="V342" i="8"/>
  <c r="U342" i="8"/>
  <c r="T342" i="8"/>
  <c r="S342" i="8"/>
  <c r="R342" i="8"/>
  <c r="Q342" i="8"/>
  <c r="P342" i="8"/>
  <c r="O342" i="8"/>
  <c r="N342" i="8"/>
  <c r="M342" i="8"/>
  <c r="L342" i="8"/>
  <c r="K342" i="8"/>
  <c r="J342" i="8"/>
  <c r="I342" i="8"/>
  <c r="H342" i="8"/>
  <c r="G342" i="8"/>
  <c r="F342" i="8"/>
  <c r="AE341" i="8"/>
  <c r="AC341" i="8"/>
  <c r="AB341" i="8"/>
  <c r="AA341" i="8"/>
  <c r="Z341" i="8"/>
  <c r="Y341" i="8"/>
  <c r="X341" i="8"/>
  <c r="W341" i="8"/>
  <c r="V341" i="8"/>
  <c r="U341" i="8"/>
  <c r="T341" i="8"/>
  <c r="S341" i="8"/>
  <c r="R341" i="8"/>
  <c r="Q341" i="8"/>
  <c r="P341" i="8"/>
  <c r="O341" i="8"/>
  <c r="N341" i="8"/>
  <c r="M341" i="8"/>
  <c r="L341" i="8"/>
  <c r="K341" i="8"/>
  <c r="J341" i="8"/>
  <c r="I341" i="8"/>
  <c r="H341" i="8"/>
  <c r="G341" i="8"/>
  <c r="F341" i="8"/>
  <c r="AE340" i="8"/>
  <c r="AC340" i="8"/>
  <c r="AB340" i="8"/>
  <c r="AA340" i="8"/>
  <c r="Z340" i="8"/>
  <c r="Y340" i="8"/>
  <c r="X340" i="8"/>
  <c r="W340" i="8"/>
  <c r="V340" i="8"/>
  <c r="U340" i="8"/>
  <c r="T340" i="8"/>
  <c r="S340" i="8"/>
  <c r="R340" i="8"/>
  <c r="Q340" i="8"/>
  <c r="P340" i="8"/>
  <c r="O340" i="8"/>
  <c r="N340" i="8"/>
  <c r="M340" i="8"/>
  <c r="L340" i="8"/>
  <c r="K340" i="8"/>
  <c r="J340" i="8"/>
  <c r="I340" i="8"/>
  <c r="H340" i="8"/>
  <c r="G340" i="8"/>
  <c r="F340" i="8"/>
  <c r="AE339" i="8"/>
  <c r="AC339" i="8"/>
  <c r="AB339" i="8"/>
  <c r="AA339" i="8"/>
  <c r="Z339" i="8"/>
  <c r="Y339" i="8"/>
  <c r="X339" i="8"/>
  <c r="W339" i="8"/>
  <c r="V339" i="8"/>
  <c r="U339" i="8"/>
  <c r="T339" i="8"/>
  <c r="S339" i="8"/>
  <c r="R339" i="8"/>
  <c r="Q339" i="8"/>
  <c r="P339" i="8"/>
  <c r="O339" i="8"/>
  <c r="N339" i="8"/>
  <c r="M339" i="8"/>
  <c r="L339" i="8"/>
  <c r="K339" i="8"/>
  <c r="J339" i="8"/>
  <c r="I339" i="8"/>
  <c r="H339" i="8"/>
  <c r="G339" i="8"/>
  <c r="F339" i="8"/>
  <c r="AE338" i="8"/>
  <c r="AC338" i="8"/>
  <c r="AB338" i="8"/>
  <c r="AA338" i="8"/>
  <c r="Z338" i="8"/>
  <c r="Y338" i="8"/>
  <c r="X338" i="8"/>
  <c r="W338" i="8"/>
  <c r="V338" i="8"/>
  <c r="U338" i="8"/>
  <c r="T338" i="8"/>
  <c r="S338" i="8"/>
  <c r="R338" i="8"/>
  <c r="Q338" i="8"/>
  <c r="P338" i="8"/>
  <c r="O338" i="8"/>
  <c r="N338" i="8"/>
  <c r="M338" i="8"/>
  <c r="L338" i="8"/>
  <c r="K338" i="8"/>
  <c r="J338" i="8"/>
  <c r="I338" i="8"/>
  <c r="H338" i="8"/>
  <c r="G338" i="8"/>
  <c r="F338" i="8"/>
  <c r="AE337" i="8"/>
  <c r="AC337" i="8"/>
  <c r="AB337" i="8"/>
  <c r="AA337" i="8"/>
  <c r="Z337" i="8"/>
  <c r="Y337" i="8"/>
  <c r="X337" i="8"/>
  <c r="W337" i="8"/>
  <c r="V337" i="8"/>
  <c r="U337" i="8"/>
  <c r="T337" i="8"/>
  <c r="S337" i="8"/>
  <c r="R337" i="8"/>
  <c r="Q337" i="8"/>
  <c r="P337" i="8"/>
  <c r="O337" i="8"/>
  <c r="N337" i="8"/>
  <c r="M337" i="8"/>
  <c r="L337" i="8"/>
  <c r="K337" i="8"/>
  <c r="J337" i="8"/>
  <c r="I337" i="8"/>
  <c r="H337" i="8"/>
  <c r="G337" i="8"/>
  <c r="F337" i="8"/>
  <c r="AE336" i="8"/>
  <c r="AC336" i="8"/>
  <c r="AB336" i="8"/>
  <c r="AA336" i="8"/>
  <c r="Z336" i="8"/>
  <c r="Y336" i="8"/>
  <c r="X336" i="8"/>
  <c r="W336" i="8"/>
  <c r="V336" i="8"/>
  <c r="U336" i="8"/>
  <c r="T336" i="8"/>
  <c r="S336" i="8"/>
  <c r="R336" i="8"/>
  <c r="Q336" i="8"/>
  <c r="P336" i="8"/>
  <c r="O336" i="8"/>
  <c r="N336" i="8"/>
  <c r="M336" i="8"/>
  <c r="L336" i="8"/>
  <c r="K336" i="8"/>
  <c r="J336" i="8"/>
  <c r="I336" i="8"/>
  <c r="H336" i="8"/>
  <c r="G336" i="8"/>
  <c r="F336" i="8"/>
  <c r="AE335" i="8"/>
  <c r="AC335" i="8"/>
  <c r="AB335" i="8"/>
  <c r="AA335" i="8"/>
  <c r="Z335" i="8"/>
  <c r="Y335" i="8"/>
  <c r="X335" i="8"/>
  <c r="W335" i="8"/>
  <c r="V335" i="8"/>
  <c r="U335" i="8"/>
  <c r="T335" i="8"/>
  <c r="S335" i="8"/>
  <c r="R335" i="8"/>
  <c r="Q335" i="8"/>
  <c r="P335" i="8"/>
  <c r="O335" i="8"/>
  <c r="N335" i="8"/>
  <c r="M335" i="8"/>
  <c r="L335" i="8"/>
  <c r="K335" i="8"/>
  <c r="J335" i="8"/>
  <c r="I335" i="8"/>
  <c r="H335" i="8"/>
  <c r="G335" i="8"/>
  <c r="F335" i="8"/>
  <c r="AE334" i="8"/>
  <c r="AC334" i="8"/>
  <c r="AB334" i="8"/>
  <c r="AA334" i="8"/>
  <c r="Z334" i="8"/>
  <c r="Y334" i="8"/>
  <c r="X334" i="8"/>
  <c r="W334" i="8"/>
  <c r="V334" i="8"/>
  <c r="U334" i="8"/>
  <c r="T334" i="8"/>
  <c r="S334" i="8"/>
  <c r="R334" i="8"/>
  <c r="Q334" i="8"/>
  <c r="P334" i="8"/>
  <c r="O334" i="8"/>
  <c r="N334" i="8"/>
  <c r="M334" i="8"/>
  <c r="L334" i="8"/>
  <c r="K334" i="8"/>
  <c r="J334" i="8"/>
  <c r="I334" i="8"/>
  <c r="H334" i="8"/>
  <c r="G334" i="8"/>
  <c r="F334" i="8"/>
  <c r="AE333" i="8"/>
  <c r="AC333" i="8"/>
  <c r="AB333" i="8"/>
  <c r="AA333" i="8"/>
  <c r="Z333" i="8"/>
  <c r="Y333" i="8"/>
  <c r="X333" i="8"/>
  <c r="W333" i="8"/>
  <c r="V333" i="8"/>
  <c r="U333" i="8"/>
  <c r="T333" i="8"/>
  <c r="S333" i="8"/>
  <c r="R333" i="8"/>
  <c r="Q333" i="8"/>
  <c r="P333" i="8"/>
  <c r="O333" i="8"/>
  <c r="N333" i="8"/>
  <c r="M333" i="8"/>
  <c r="L333" i="8"/>
  <c r="K333" i="8"/>
  <c r="J333" i="8"/>
  <c r="I333" i="8"/>
  <c r="H333" i="8"/>
  <c r="G333" i="8"/>
  <c r="F333" i="8"/>
  <c r="AE332" i="8"/>
  <c r="AC332" i="8"/>
  <c r="AB332" i="8"/>
  <c r="AA332" i="8"/>
  <c r="Z332" i="8"/>
  <c r="Y332" i="8"/>
  <c r="X332" i="8"/>
  <c r="W332" i="8"/>
  <c r="V332" i="8"/>
  <c r="U332" i="8"/>
  <c r="T332" i="8"/>
  <c r="S332" i="8"/>
  <c r="R332" i="8"/>
  <c r="Q332" i="8"/>
  <c r="P332" i="8"/>
  <c r="O332" i="8"/>
  <c r="N332" i="8"/>
  <c r="M332" i="8"/>
  <c r="L332" i="8"/>
  <c r="K332" i="8"/>
  <c r="J332" i="8"/>
  <c r="I332" i="8"/>
  <c r="H332" i="8"/>
  <c r="G332" i="8"/>
  <c r="F332" i="8"/>
  <c r="AE331" i="8"/>
  <c r="AC331" i="8"/>
  <c r="AB331" i="8"/>
  <c r="AA331" i="8"/>
  <c r="Z331" i="8"/>
  <c r="Y331" i="8"/>
  <c r="X331" i="8"/>
  <c r="W331" i="8"/>
  <c r="V331" i="8"/>
  <c r="U331" i="8"/>
  <c r="T331" i="8"/>
  <c r="S331" i="8"/>
  <c r="R331" i="8"/>
  <c r="Q331" i="8"/>
  <c r="P331" i="8"/>
  <c r="O331" i="8"/>
  <c r="N331" i="8"/>
  <c r="M331" i="8"/>
  <c r="L331" i="8"/>
  <c r="K331" i="8"/>
  <c r="J331" i="8"/>
  <c r="I331" i="8"/>
  <c r="H331" i="8"/>
  <c r="G331" i="8"/>
  <c r="F331" i="8"/>
  <c r="AE330" i="8"/>
  <c r="AC330" i="8"/>
  <c r="AB330" i="8"/>
  <c r="AA330" i="8"/>
  <c r="Z330" i="8"/>
  <c r="Y330" i="8"/>
  <c r="X330" i="8"/>
  <c r="W330" i="8"/>
  <c r="V330" i="8"/>
  <c r="U330" i="8"/>
  <c r="T330" i="8"/>
  <c r="S330" i="8"/>
  <c r="R330" i="8"/>
  <c r="Q330" i="8"/>
  <c r="P330" i="8"/>
  <c r="O330" i="8"/>
  <c r="N330" i="8"/>
  <c r="M330" i="8"/>
  <c r="L330" i="8"/>
  <c r="K330" i="8"/>
  <c r="J330" i="8"/>
  <c r="I330" i="8"/>
  <c r="H330" i="8"/>
  <c r="G330" i="8"/>
  <c r="F330" i="8"/>
  <c r="AE329" i="8"/>
  <c r="AC329" i="8"/>
  <c r="AB329" i="8"/>
  <c r="AA329" i="8"/>
  <c r="Z329" i="8"/>
  <c r="Y329" i="8"/>
  <c r="X329" i="8"/>
  <c r="W329" i="8"/>
  <c r="V329" i="8"/>
  <c r="U329" i="8"/>
  <c r="T329" i="8"/>
  <c r="S329" i="8"/>
  <c r="R329" i="8"/>
  <c r="Q329" i="8"/>
  <c r="P329" i="8"/>
  <c r="O329" i="8"/>
  <c r="N329" i="8"/>
  <c r="M329" i="8"/>
  <c r="L329" i="8"/>
  <c r="K329" i="8"/>
  <c r="J329" i="8"/>
  <c r="I329" i="8"/>
  <c r="H329" i="8"/>
  <c r="G329" i="8"/>
  <c r="F329" i="8"/>
  <c r="AE328" i="8"/>
  <c r="AC328" i="8"/>
  <c r="AB328" i="8"/>
  <c r="AA328" i="8"/>
  <c r="Z328" i="8"/>
  <c r="Y328" i="8"/>
  <c r="X328" i="8"/>
  <c r="W328" i="8"/>
  <c r="V328" i="8"/>
  <c r="U328" i="8"/>
  <c r="T328" i="8"/>
  <c r="S328" i="8"/>
  <c r="R328" i="8"/>
  <c r="Q328" i="8"/>
  <c r="P328" i="8"/>
  <c r="O328" i="8"/>
  <c r="N328" i="8"/>
  <c r="M328" i="8"/>
  <c r="L328" i="8"/>
  <c r="K328" i="8"/>
  <c r="J328" i="8"/>
  <c r="I328" i="8"/>
  <c r="H328" i="8"/>
  <c r="G328" i="8"/>
  <c r="F328" i="8"/>
  <c r="AE327" i="8"/>
  <c r="AC327" i="8"/>
  <c r="AB327" i="8"/>
  <c r="AA327" i="8"/>
  <c r="Z327" i="8"/>
  <c r="Y327" i="8"/>
  <c r="X327" i="8"/>
  <c r="W327" i="8"/>
  <c r="V327" i="8"/>
  <c r="U327" i="8"/>
  <c r="T327" i="8"/>
  <c r="S327" i="8"/>
  <c r="R327" i="8"/>
  <c r="Q327" i="8"/>
  <c r="P327" i="8"/>
  <c r="O327" i="8"/>
  <c r="N327" i="8"/>
  <c r="M327" i="8"/>
  <c r="L327" i="8"/>
  <c r="K327" i="8"/>
  <c r="J327" i="8"/>
  <c r="I327" i="8"/>
  <c r="H327" i="8"/>
  <c r="G327" i="8"/>
  <c r="F327" i="8"/>
  <c r="AE326" i="8"/>
  <c r="AC326" i="8"/>
  <c r="AB326" i="8"/>
  <c r="AA326" i="8"/>
  <c r="Z326" i="8"/>
  <c r="Y326" i="8"/>
  <c r="X326" i="8"/>
  <c r="W326" i="8"/>
  <c r="V326" i="8"/>
  <c r="U326" i="8"/>
  <c r="T326" i="8"/>
  <c r="S326" i="8"/>
  <c r="R326" i="8"/>
  <c r="Q326" i="8"/>
  <c r="P326" i="8"/>
  <c r="O326" i="8"/>
  <c r="N326" i="8"/>
  <c r="M326" i="8"/>
  <c r="L326" i="8"/>
  <c r="K326" i="8"/>
  <c r="J326" i="8"/>
  <c r="I326" i="8"/>
  <c r="H326" i="8"/>
  <c r="G326" i="8"/>
  <c r="F326" i="8"/>
  <c r="AE325" i="8"/>
  <c r="AC325" i="8"/>
  <c r="AB325" i="8"/>
  <c r="AA325" i="8"/>
  <c r="Z325" i="8"/>
  <c r="Y325" i="8"/>
  <c r="X325" i="8"/>
  <c r="W325" i="8"/>
  <c r="V325" i="8"/>
  <c r="U325" i="8"/>
  <c r="T325" i="8"/>
  <c r="S325" i="8"/>
  <c r="R325" i="8"/>
  <c r="Q325" i="8"/>
  <c r="P325" i="8"/>
  <c r="O325" i="8"/>
  <c r="N325" i="8"/>
  <c r="M325" i="8"/>
  <c r="L325" i="8"/>
  <c r="K325" i="8"/>
  <c r="J325" i="8"/>
  <c r="I325" i="8"/>
  <c r="H325" i="8"/>
  <c r="G325" i="8"/>
  <c r="F325" i="8"/>
  <c r="AE324" i="8"/>
  <c r="AC324" i="8"/>
  <c r="AB324" i="8"/>
  <c r="AA324" i="8"/>
  <c r="Z324" i="8"/>
  <c r="Y324" i="8"/>
  <c r="X324" i="8"/>
  <c r="W324" i="8"/>
  <c r="V324" i="8"/>
  <c r="U324" i="8"/>
  <c r="T324" i="8"/>
  <c r="S324" i="8"/>
  <c r="R324" i="8"/>
  <c r="Q324" i="8"/>
  <c r="P324" i="8"/>
  <c r="O324" i="8"/>
  <c r="N324" i="8"/>
  <c r="M324" i="8"/>
  <c r="L324" i="8"/>
  <c r="K324" i="8"/>
  <c r="J324" i="8"/>
  <c r="I324" i="8"/>
  <c r="H324" i="8"/>
  <c r="G324" i="8"/>
  <c r="F324" i="8"/>
  <c r="AE323" i="8"/>
  <c r="AC323" i="8"/>
  <c r="AB323" i="8"/>
  <c r="AA323" i="8"/>
  <c r="Z323" i="8"/>
  <c r="Y323" i="8"/>
  <c r="X323" i="8"/>
  <c r="W323" i="8"/>
  <c r="V323" i="8"/>
  <c r="U323" i="8"/>
  <c r="T323" i="8"/>
  <c r="S323" i="8"/>
  <c r="R323" i="8"/>
  <c r="Q323" i="8"/>
  <c r="P323" i="8"/>
  <c r="O323" i="8"/>
  <c r="N323" i="8"/>
  <c r="M323" i="8"/>
  <c r="L323" i="8"/>
  <c r="K323" i="8"/>
  <c r="J323" i="8"/>
  <c r="I323" i="8"/>
  <c r="H323" i="8"/>
  <c r="G323" i="8"/>
  <c r="F323" i="8"/>
  <c r="AE322" i="8"/>
  <c r="AC322" i="8"/>
  <c r="AB322" i="8"/>
  <c r="AA322" i="8"/>
  <c r="Z322" i="8"/>
  <c r="Y322" i="8"/>
  <c r="X322" i="8"/>
  <c r="W322" i="8"/>
  <c r="V322" i="8"/>
  <c r="U322" i="8"/>
  <c r="T322" i="8"/>
  <c r="S322" i="8"/>
  <c r="R322" i="8"/>
  <c r="Q322" i="8"/>
  <c r="P322" i="8"/>
  <c r="O322" i="8"/>
  <c r="N322" i="8"/>
  <c r="M322" i="8"/>
  <c r="L322" i="8"/>
  <c r="K322" i="8"/>
  <c r="J322" i="8"/>
  <c r="I322" i="8"/>
  <c r="H322" i="8"/>
  <c r="G322" i="8"/>
  <c r="F322" i="8"/>
  <c r="AE321" i="8"/>
  <c r="AC321" i="8"/>
  <c r="AB321" i="8"/>
  <c r="AA321" i="8"/>
  <c r="Z321" i="8"/>
  <c r="Y321" i="8"/>
  <c r="X321" i="8"/>
  <c r="W321" i="8"/>
  <c r="V321" i="8"/>
  <c r="U321" i="8"/>
  <c r="T321" i="8"/>
  <c r="S321" i="8"/>
  <c r="R321" i="8"/>
  <c r="Q321" i="8"/>
  <c r="P321" i="8"/>
  <c r="O321" i="8"/>
  <c r="N321" i="8"/>
  <c r="M321" i="8"/>
  <c r="L321" i="8"/>
  <c r="K321" i="8"/>
  <c r="J321" i="8"/>
  <c r="I321" i="8"/>
  <c r="H321" i="8"/>
  <c r="G321" i="8"/>
  <c r="F321" i="8"/>
  <c r="AE320" i="8"/>
  <c r="AC320" i="8"/>
  <c r="AB320" i="8"/>
  <c r="AA320" i="8"/>
  <c r="Z320" i="8"/>
  <c r="Y320" i="8"/>
  <c r="X320" i="8"/>
  <c r="W320" i="8"/>
  <c r="V320" i="8"/>
  <c r="U320" i="8"/>
  <c r="T320" i="8"/>
  <c r="S320" i="8"/>
  <c r="R320" i="8"/>
  <c r="Q320" i="8"/>
  <c r="P320" i="8"/>
  <c r="O320" i="8"/>
  <c r="N320" i="8"/>
  <c r="M320" i="8"/>
  <c r="L320" i="8"/>
  <c r="K320" i="8"/>
  <c r="J320" i="8"/>
  <c r="I320" i="8"/>
  <c r="H320" i="8"/>
  <c r="G320" i="8"/>
  <c r="F320" i="8"/>
  <c r="AE319" i="8"/>
  <c r="AC319" i="8"/>
  <c r="AB319" i="8"/>
  <c r="AA319" i="8"/>
  <c r="Z319" i="8"/>
  <c r="Y319" i="8"/>
  <c r="X319" i="8"/>
  <c r="W319" i="8"/>
  <c r="V319" i="8"/>
  <c r="U319" i="8"/>
  <c r="T319" i="8"/>
  <c r="S319" i="8"/>
  <c r="R319" i="8"/>
  <c r="Q319" i="8"/>
  <c r="P319" i="8"/>
  <c r="O319" i="8"/>
  <c r="N319" i="8"/>
  <c r="M319" i="8"/>
  <c r="L319" i="8"/>
  <c r="K319" i="8"/>
  <c r="J319" i="8"/>
  <c r="I319" i="8"/>
  <c r="H319" i="8"/>
  <c r="G319" i="8"/>
  <c r="F319" i="8"/>
  <c r="AE318" i="8"/>
  <c r="AC318" i="8"/>
  <c r="AB318" i="8"/>
  <c r="AA318" i="8"/>
  <c r="Z318" i="8"/>
  <c r="Y318" i="8"/>
  <c r="X318" i="8"/>
  <c r="W318" i="8"/>
  <c r="V318" i="8"/>
  <c r="U318" i="8"/>
  <c r="T318" i="8"/>
  <c r="S318" i="8"/>
  <c r="R318" i="8"/>
  <c r="Q318" i="8"/>
  <c r="P318" i="8"/>
  <c r="O318" i="8"/>
  <c r="N318" i="8"/>
  <c r="M318" i="8"/>
  <c r="L318" i="8"/>
  <c r="K318" i="8"/>
  <c r="J318" i="8"/>
  <c r="I318" i="8"/>
  <c r="H318" i="8"/>
  <c r="G318" i="8"/>
  <c r="F318" i="8"/>
  <c r="AE317" i="8"/>
  <c r="AC317" i="8"/>
  <c r="AB317" i="8"/>
  <c r="AA317" i="8"/>
  <c r="Z317" i="8"/>
  <c r="Y317" i="8"/>
  <c r="X317" i="8"/>
  <c r="W317" i="8"/>
  <c r="V317" i="8"/>
  <c r="U317" i="8"/>
  <c r="T317" i="8"/>
  <c r="S317" i="8"/>
  <c r="R317" i="8"/>
  <c r="Q317" i="8"/>
  <c r="P317" i="8"/>
  <c r="O317" i="8"/>
  <c r="N317" i="8"/>
  <c r="M317" i="8"/>
  <c r="L317" i="8"/>
  <c r="K317" i="8"/>
  <c r="J317" i="8"/>
  <c r="I317" i="8"/>
  <c r="H317" i="8"/>
  <c r="G317" i="8"/>
  <c r="F317" i="8"/>
  <c r="AE316" i="8"/>
  <c r="AC316" i="8"/>
  <c r="AB316" i="8"/>
  <c r="AA316" i="8"/>
  <c r="Z316" i="8"/>
  <c r="Y316" i="8"/>
  <c r="X316" i="8"/>
  <c r="W316" i="8"/>
  <c r="V316" i="8"/>
  <c r="U316" i="8"/>
  <c r="T316" i="8"/>
  <c r="S316" i="8"/>
  <c r="R316" i="8"/>
  <c r="Q316" i="8"/>
  <c r="P316" i="8"/>
  <c r="O316" i="8"/>
  <c r="N316" i="8"/>
  <c r="M316" i="8"/>
  <c r="L316" i="8"/>
  <c r="K316" i="8"/>
  <c r="J316" i="8"/>
  <c r="I316" i="8"/>
  <c r="H316" i="8"/>
  <c r="G316" i="8"/>
  <c r="F316" i="8"/>
  <c r="AE315" i="8"/>
  <c r="AC315" i="8"/>
  <c r="AB315" i="8"/>
  <c r="AA315" i="8"/>
  <c r="Z315" i="8"/>
  <c r="Y315" i="8"/>
  <c r="X315" i="8"/>
  <c r="W315" i="8"/>
  <c r="V315" i="8"/>
  <c r="U315" i="8"/>
  <c r="T315" i="8"/>
  <c r="S315" i="8"/>
  <c r="R315" i="8"/>
  <c r="Q315" i="8"/>
  <c r="P315" i="8"/>
  <c r="O315" i="8"/>
  <c r="N315" i="8"/>
  <c r="M315" i="8"/>
  <c r="L315" i="8"/>
  <c r="K315" i="8"/>
  <c r="J315" i="8"/>
  <c r="I315" i="8"/>
  <c r="H315" i="8"/>
  <c r="G315" i="8"/>
  <c r="F315" i="8"/>
  <c r="AE314" i="8"/>
  <c r="AC314" i="8"/>
  <c r="AB314" i="8"/>
  <c r="AA314" i="8"/>
  <c r="Z314" i="8"/>
  <c r="Y314" i="8"/>
  <c r="X314" i="8"/>
  <c r="W314" i="8"/>
  <c r="V314" i="8"/>
  <c r="U314" i="8"/>
  <c r="T314" i="8"/>
  <c r="S314" i="8"/>
  <c r="R314" i="8"/>
  <c r="Q314" i="8"/>
  <c r="P314" i="8"/>
  <c r="O314" i="8"/>
  <c r="N314" i="8"/>
  <c r="M314" i="8"/>
  <c r="L314" i="8"/>
  <c r="K314" i="8"/>
  <c r="J314" i="8"/>
  <c r="I314" i="8"/>
  <c r="H314" i="8"/>
  <c r="G314" i="8"/>
  <c r="F314" i="8"/>
  <c r="AE313" i="8"/>
  <c r="AC313" i="8"/>
  <c r="AB313" i="8"/>
  <c r="AA313" i="8"/>
  <c r="Z313" i="8"/>
  <c r="Y313" i="8"/>
  <c r="X313" i="8"/>
  <c r="W313" i="8"/>
  <c r="V313" i="8"/>
  <c r="U313" i="8"/>
  <c r="T313" i="8"/>
  <c r="S313" i="8"/>
  <c r="R313" i="8"/>
  <c r="Q313" i="8"/>
  <c r="P313" i="8"/>
  <c r="O313" i="8"/>
  <c r="N313" i="8"/>
  <c r="M313" i="8"/>
  <c r="L313" i="8"/>
  <c r="K313" i="8"/>
  <c r="J313" i="8"/>
  <c r="I313" i="8"/>
  <c r="H313" i="8"/>
  <c r="G313" i="8"/>
  <c r="F313" i="8"/>
  <c r="AE312" i="8"/>
  <c r="AC312" i="8"/>
  <c r="AB312" i="8"/>
  <c r="AA312" i="8"/>
  <c r="Z312" i="8"/>
  <c r="Y312" i="8"/>
  <c r="X312" i="8"/>
  <c r="W312" i="8"/>
  <c r="V312" i="8"/>
  <c r="U312" i="8"/>
  <c r="T312" i="8"/>
  <c r="S312" i="8"/>
  <c r="R312" i="8"/>
  <c r="Q312" i="8"/>
  <c r="P312" i="8"/>
  <c r="O312" i="8"/>
  <c r="N312" i="8"/>
  <c r="M312" i="8"/>
  <c r="L312" i="8"/>
  <c r="K312" i="8"/>
  <c r="J312" i="8"/>
  <c r="I312" i="8"/>
  <c r="H312" i="8"/>
  <c r="G312" i="8"/>
  <c r="F312" i="8"/>
  <c r="AE311" i="8"/>
  <c r="AC311" i="8"/>
  <c r="AB311" i="8"/>
  <c r="AA311" i="8"/>
  <c r="Z311" i="8"/>
  <c r="Y311" i="8"/>
  <c r="X311" i="8"/>
  <c r="W311" i="8"/>
  <c r="V311" i="8"/>
  <c r="U311" i="8"/>
  <c r="T311" i="8"/>
  <c r="S311" i="8"/>
  <c r="R311" i="8"/>
  <c r="Q311" i="8"/>
  <c r="P311" i="8"/>
  <c r="O311" i="8"/>
  <c r="N311" i="8"/>
  <c r="M311" i="8"/>
  <c r="L311" i="8"/>
  <c r="K311" i="8"/>
  <c r="J311" i="8"/>
  <c r="I311" i="8"/>
  <c r="H311" i="8"/>
  <c r="G311" i="8"/>
  <c r="F311" i="8"/>
  <c r="AE310" i="8"/>
  <c r="AC310" i="8"/>
  <c r="AB310" i="8"/>
  <c r="AA310" i="8"/>
  <c r="Z310" i="8"/>
  <c r="Y310" i="8"/>
  <c r="X310" i="8"/>
  <c r="W310" i="8"/>
  <c r="V310" i="8"/>
  <c r="U310" i="8"/>
  <c r="T310" i="8"/>
  <c r="S310" i="8"/>
  <c r="R310" i="8"/>
  <c r="Q310" i="8"/>
  <c r="P310" i="8"/>
  <c r="O310" i="8"/>
  <c r="N310" i="8"/>
  <c r="M310" i="8"/>
  <c r="L310" i="8"/>
  <c r="K310" i="8"/>
  <c r="J310" i="8"/>
  <c r="I310" i="8"/>
  <c r="H310" i="8"/>
  <c r="G310" i="8"/>
  <c r="F310" i="8"/>
  <c r="AE309" i="8"/>
  <c r="AC309" i="8"/>
  <c r="AB309" i="8"/>
  <c r="AA309" i="8"/>
  <c r="Z309" i="8"/>
  <c r="Y309" i="8"/>
  <c r="X309" i="8"/>
  <c r="W309" i="8"/>
  <c r="V309" i="8"/>
  <c r="U309" i="8"/>
  <c r="T309" i="8"/>
  <c r="S309" i="8"/>
  <c r="R309" i="8"/>
  <c r="Q309" i="8"/>
  <c r="P309" i="8"/>
  <c r="O309" i="8"/>
  <c r="N309" i="8"/>
  <c r="M309" i="8"/>
  <c r="L309" i="8"/>
  <c r="K309" i="8"/>
  <c r="J309" i="8"/>
  <c r="I309" i="8"/>
  <c r="H309" i="8"/>
  <c r="G309" i="8"/>
  <c r="F309" i="8"/>
  <c r="AE308" i="8"/>
  <c r="AC308" i="8"/>
  <c r="AB308" i="8"/>
  <c r="AA308" i="8"/>
  <c r="Z308" i="8"/>
  <c r="Y308" i="8"/>
  <c r="X308" i="8"/>
  <c r="W308" i="8"/>
  <c r="V308" i="8"/>
  <c r="U308" i="8"/>
  <c r="T308" i="8"/>
  <c r="S308" i="8"/>
  <c r="R308" i="8"/>
  <c r="Q308" i="8"/>
  <c r="P308" i="8"/>
  <c r="O308" i="8"/>
  <c r="N308" i="8"/>
  <c r="M308" i="8"/>
  <c r="L308" i="8"/>
  <c r="K308" i="8"/>
  <c r="J308" i="8"/>
  <c r="I308" i="8"/>
  <c r="H308" i="8"/>
  <c r="G308" i="8"/>
  <c r="F308" i="8"/>
  <c r="AE307" i="8"/>
  <c r="AC307" i="8"/>
  <c r="AB307" i="8"/>
  <c r="AA307" i="8"/>
  <c r="Z307" i="8"/>
  <c r="Y307" i="8"/>
  <c r="X307" i="8"/>
  <c r="W307" i="8"/>
  <c r="V307" i="8"/>
  <c r="U307" i="8"/>
  <c r="T307" i="8"/>
  <c r="S307" i="8"/>
  <c r="R307" i="8"/>
  <c r="Q307" i="8"/>
  <c r="P307" i="8"/>
  <c r="O307" i="8"/>
  <c r="N307" i="8"/>
  <c r="M307" i="8"/>
  <c r="L307" i="8"/>
  <c r="K307" i="8"/>
  <c r="J307" i="8"/>
  <c r="I307" i="8"/>
  <c r="H307" i="8"/>
  <c r="G307" i="8"/>
  <c r="F307" i="8"/>
  <c r="AE306" i="8"/>
  <c r="AC306" i="8"/>
  <c r="AB306" i="8"/>
  <c r="AA306" i="8"/>
  <c r="Z306" i="8"/>
  <c r="Y306" i="8"/>
  <c r="X306" i="8"/>
  <c r="W306" i="8"/>
  <c r="V306" i="8"/>
  <c r="U306" i="8"/>
  <c r="T306" i="8"/>
  <c r="S306" i="8"/>
  <c r="R306" i="8"/>
  <c r="Q306" i="8"/>
  <c r="P306" i="8"/>
  <c r="O306" i="8"/>
  <c r="N306" i="8"/>
  <c r="M306" i="8"/>
  <c r="L306" i="8"/>
  <c r="K306" i="8"/>
  <c r="J306" i="8"/>
  <c r="I306" i="8"/>
  <c r="H306" i="8"/>
  <c r="G306" i="8"/>
  <c r="F306" i="8"/>
  <c r="AE305" i="8"/>
  <c r="AC305" i="8"/>
  <c r="AB305" i="8"/>
  <c r="AA305" i="8"/>
  <c r="Z305" i="8"/>
  <c r="Y305" i="8"/>
  <c r="X305" i="8"/>
  <c r="W305" i="8"/>
  <c r="V305" i="8"/>
  <c r="U305" i="8"/>
  <c r="T305" i="8"/>
  <c r="S305" i="8"/>
  <c r="R305" i="8"/>
  <c r="Q305" i="8"/>
  <c r="P305" i="8"/>
  <c r="O305" i="8"/>
  <c r="N305" i="8"/>
  <c r="M305" i="8"/>
  <c r="L305" i="8"/>
  <c r="K305" i="8"/>
  <c r="J305" i="8"/>
  <c r="I305" i="8"/>
  <c r="H305" i="8"/>
  <c r="G305" i="8"/>
  <c r="F305" i="8"/>
  <c r="AE304" i="8"/>
  <c r="AC304" i="8"/>
  <c r="AB304" i="8"/>
  <c r="AA304" i="8"/>
  <c r="Z304" i="8"/>
  <c r="Y304" i="8"/>
  <c r="X304" i="8"/>
  <c r="W304" i="8"/>
  <c r="V304" i="8"/>
  <c r="U304" i="8"/>
  <c r="T304" i="8"/>
  <c r="S304" i="8"/>
  <c r="R304" i="8"/>
  <c r="Q304" i="8"/>
  <c r="P304" i="8"/>
  <c r="O304" i="8"/>
  <c r="N304" i="8"/>
  <c r="M304" i="8"/>
  <c r="L304" i="8"/>
  <c r="K304" i="8"/>
  <c r="J304" i="8"/>
  <c r="I304" i="8"/>
  <c r="H304" i="8"/>
  <c r="G304" i="8"/>
  <c r="F304" i="8"/>
  <c r="AE303" i="8"/>
  <c r="AC303" i="8"/>
  <c r="AB303" i="8"/>
  <c r="AA303" i="8"/>
  <c r="Z303" i="8"/>
  <c r="Y303" i="8"/>
  <c r="X303" i="8"/>
  <c r="W303" i="8"/>
  <c r="V303" i="8"/>
  <c r="U303" i="8"/>
  <c r="T303" i="8"/>
  <c r="S303" i="8"/>
  <c r="R303" i="8"/>
  <c r="Q303" i="8"/>
  <c r="P303" i="8"/>
  <c r="O303" i="8"/>
  <c r="N303" i="8"/>
  <c r="M303" i="8"/>
  <c r="L303" i="8"/>
  <c r="K303" i="8"/>
  <c r="J303" i="8"/>
  <c r="I303" i="8"/>
  <c r="H303" i="8"/>
  <c r="G303" i="8"/>
  <c r="F303" i="8"/>
  <c r="AE302" i="8"/>
  <c r="AC302" i="8"/>
  <c r="AB302" i="8"/>
  <c r="AA302" i="8"/>
  <c r="Z302" i="8"/>
  <c r="Y302" i="8"/>
  <c r="X302" i="8"/>
  <c r="W302" i="8"/>
  <c r="V302" i="8"/>
  <c r="U302" i="8"/>
  <c r="T302" i="8"/>
  <c r="S302" i="8"/>
  <c r="R302" i="8"/>
  <c r="Q302" i="8"/>
  <c r="P302" i="8"/>
  <c r="O302" i="8"/>
  <c r="N302" i="8"/>
  <c r="M302" i="8"/>
  <c r="L302" i="8"/>
  <c r="K302" i="8"/>
  <c r="J302" i="8"/>
  <c r="I302" i="8"/>
  <c r="H302" i="8"/>
  <c r="G302" i="8"/>
  <c r="F302" i="8"/>
  <c r="AE301" i="8"/>
  <c r="AC301" i="8"/>
  <c r="AB301" i="8"/>
  <c r="AA301" i="8"/>
  <c r="Z301" i="8"/>
  <c r="Y301" i="8"/>
  <c r="X301" i="8"/>
  <c r="W301" i="8"/>
  <c r="V301" i="8"/>
  <c r="U301" i="8"/>
  <c r="T301" i="8"/>
  <c r="S301" i="8"/>
  <c r="R301" i="8"/>
  <c r="Q301" i="8"/>
  <c r="P301" i="8"/>
  <c r="O301" i="8"/>
  <c r="N301" i="8"/>
  <c r="M301" i="8"/>
  <c r="L301" i="8"/>
  <c r="K301" i="8"/>
  <c r="J301" i="8"/>
  <c r="I301" i="8"/>
  <c r="H301" i="8"/>
  <c r="G301" i="8"/>
  <c r="F301" i="8"/>
  <c r="AE300" i="8"/>
  <c r="AC300" i="8"/>
  <c r="AB300" i="8"/>
  <c r="AA300" i="8"/>
  <c r="Z300" i="8"/>
  <c r="Y300" i="8"/>
  <c r="X300" i="8"/>
  <c r="W300" i="8"/>
  <c r="V300" i="8"/>
  <c r="U300" i="8"/>
  <c r="T300" i="8"/>
  <c r="S300" i="8"/>
  <c r="R300" i="8"/>
  <c r="Q300" i="8"/>
  <c r="P300" i="8"/>
  <c r="O300" i="8"/>
  <c r="N300" i="8"/>
  <c r="M300" i="8"/>
  <c r="L300" i="8"/>
  <c r="K300" i="8"/>
  <c r="J300" i="8"/>
  <c r="I300" i="8"/>
  <c r="H300" i="8"/>
  <c r="G300" i="8"/>
  <c r="F300" i="8"/>
  <c r="AE299" i="8"/>
  <c r="AC299" i="8"/>
  <c r="AB299" i="8"/>
  <c r="AA299" i="8"/>
  <c r="Z299" i="8"/>
  <c r="Y299" i="8"/>
  <c r="X299" i="8"/>
  <c r="W299" i="8"/>
  <c r="V299" i="8"/>
  <c r="U299" i="8"/>
  <c r="T299" i="8"/>
  <c r="S299" i="8"/>
  <c r="R299" i="8"/>
  <c r="Q299" i="8"/>
  <c r="P299" i="8"/>
  <c r="O299" i="8"/>
  <c r="N299" i="8"/>
  <c r="M299" i="8"/>
  <c r="L299" i="8"/>
  <c r="K299" i="8"/>
  <c r="J299" i="8"/>
  <c r="I299" i="8"/>
  <c r="H299" i="8"/>
  <c r="G299" i="8"/>
  <c r="F299" i="8"/>
  <c r="AE298" i="8"/>
  <c r="AC298" i="8"/>
  <c r="AB298" i="8"/>
  <c r="AA298" i="8"/>
  <c r="Z298" i="8"/>
  <c r="Y298" i="8"/>
  <c r="X298" i="8"/>
  <c r="W298" i="8"/>
  <c r="V298" i="8"/>
  <c r="U298" i="8"/>
  <c r="T298" i="8"/>
  <c r="S298" i="8"/>
  <c r="R298" i="8"/>
  <c r="Q298" i="8"/>
  <c r="P298" i="8"/>
  <c r="O298" i="8"/>
  <c r="N298" i="8"/>
  <c r="M298" i="8"/>
  <c r="L298" i="8"/>
  <c r="K298" i="8"/>
  <c r="J298" i="8"/>
  <c r="I298" i="8"/>
  <c r="H298" i="8"/>
  <c r="G298" i="8"/>
  <c r="F298" i="8"/>
  <c r="AE297" i="8"/>
  <c r="AC297" i="8"/>
  <c r="AB297" i="8"/>
  <c r="AA297" i="8"/>
  <c r="Z297" i="8"/>
  <c r="Y297" i="8"/>
  <c r="X297" i="8"/>
  <c r="W297" i="8"/>
  <c r="V297" i="8"/>
  <c r="U297" i="8"/>
  <c r="T297" i="8"/>
  <c r="S297" i="8"/>
  <c r="R297" i="8"/>
  <c r="Q297" i="8"/>
  <c r="P297" i="8"/>
  <c r="O297" i="8"/>
  <c r="N297" i="8"/>
  <c r="M297" i="8"/>
  <c r="L297" i="8"/>
  <c r="K297" i="8"/>
  <c r="J297" i="8"/>
  <c r="I297" i="8"/>
  <c r="H297" i="8"/>
  <c r="G297" i="8"/>
  <c r="F297" i="8"/>
  <c r="AE296" i="8"/>
  <c r="AC296" i="8"/>
  <c r="AB296" i="8"/>
  <c r="AA296" i="8"/>
  <c r="Z296" i="8"/>
  <c r="Y296" i="8"/>
  <c r="X296" i="8"/>
  <c r="W296" i="8"/>
  <c r="V296" i="8"/>
  <c r="U296" i="8"/>
  <c r="T296" i="8"/>
  <c r="S296" i="8"/>
  <c r="R296" i="8"/>
  <c r="Q296" i="8"/>
  <c r="P296" i="8"/>
  <c r="O296" i="8"/>
  <c r="N296" i="8"/>
  <c r="M296" i="8"/>
  <c r="L296" i="8"/>
  <c r="K296" i="8"/>
  <c r="J296" i="8"/>
  <c r="I296" i="8"/>
  <c r="H296" i="8"/>
  <c r="G296" i="8"/>
  <c r="F296" i="8"/>
  <c r="AE295" i="8"/>
  <c r="AC295" i="8"/>
  <c r="AB295" i="8"/>
  <c r="AA295" i="8"/>
  <c r="Z295" i="8"/>
  <c r="Y295" i="8"/>
  <c r="X295" i="8"/>
  <c r="W295" i="8"/>
  <c r="V295" i="8"/>
  <c r="U295" i="8"/>
  <c r="T295" i="8"/>
  <c r="S295" i="8"/>
  <c r="R295" i="8"/>
  <c r="Q295" i="8"/>
  <c r="P295" i="8"/>
  <c r="O295" i="8"/>
  <c r="N295" i="8"/>
  <c r="M295" i="8"/>
  <c r="L295" i="8"/>
  <c r="K295" i="8"/>
  <c r="J295" i="8"/>
  <c r="I295" i="8"/>
  <c r="H295" i="8"/>
  <c r="G295" i="8"/>
  <c r="F295" i="8"/>
  <c r="AE294" i="8"/>
  <c r="AC294" i="8"/>
  <c r="AB294" i="8"/>
  <c r="AA294" i="8"/>
  <c r="Z294" i="8"/>
  <c r="Y294" i="8"/>
  <c r="X294" i="8"/>
  <c r="W294" i="8"/>
  <c r="V294" i="8"/>
  <c r="U294" i="8"/>
  <c r="T294" i="8"/>
  <c r="S294" i="8"/>
  <c r="R294" i="8"/>
  <c r="Q294" i="8"/>
  <c r="P294" i="8"/>
  <c r="O294" i="8"/>
  <c r="N294" i="8"/>
  <c r="M294" i="8"/>
  <c r="L294" i="8"/>
  <c r="K294" i="8"/>
  <c r="J294" i="8"/>
  <c r="I294" i="8"/>
  <c r="H294" i="8"/>
  <c r="G294" i="8"/>
  <c r="F294" i="8"/>
  <c r="AE293" i="8"/>
  <c r="AC293" i="8"/>
  <c r="AB293" i="8"/>
  <c r="AA293" i="8"/>
  <c r="Z293" i="8"/>
  <c r="Y293" i="8"/>
  <c r="X293" i="8"/>
  <c r="W293" i="8"/>
  <c r="V293" i="8"/>
  <c r="U293" i="8"/>
  <c r="T293" i="8"/>
  <c r="S293" i="8"/>
  <c r="R293" i="8"/>
  <c r="Q293" i="8"/>
  <c r="P293" i="8"/>
  <c r="O293" i="8"/>
  <c r="N293" i="8"/>
  <c r="M293" i="8"/>
  <c r="L293" i="8"/>
  <c r="K293" i="8"/>
  <c r="J293" i="8"/>
  <c r="I293" i="8"/>
  <c r="H293" i="8"/>
  <c r="G293" i="8"/>
  <c r="F293" i="8"/>
  <c r="AE292" i="8"/>
  <c r="AC292" i="8"/>
  <c r="AB292" i="8"/>
  <c r="AA292" i="8"/>
  <c r="Z292" i="8"/>
  <c r="Y292" i="8"/>
  <c r="X292" i="8"/>
  <c r="W292" i="8"/>
  <c r="V292" i="8"/>
  <c r="U292" i="8"/>
  <c r="T292" i="8"/>
  <c r="S292" i="8"/>
  <c r="R292" i="8"/>
  <c r="Q292" i="8"/>
  <c r="P292" i="8"/>
  <c r="O292" i="8"/>
  <c r="N292" i="8"/>
  <c r="M292" i="8"/>
  <c r="L292" i="8"/>
  <c r="K292" i="8"/>
  <c r="J292" i="8"/>
  <c r="I292" i="8"/>
  <c r="H292" i="8"/>
  <c r="G292" i="8"/>
  <c r="F292" i="8"/>
  <c r="AE291" i="8"/>
  <c r="AC291" i="8"/>
  <c r="AB291" i="8"/>
  <c r="AA291" i="8"/>
  <c r="Z291" i="8"/>
  <c r="Y291" i="8"/>
  <c r="X291" i="8"/>
  <c r="W291" i="8"/>
  <c r="V291" i="8"/>
  <c r="U291" i="8"/>
  <c r="T291" i="8"/>
  <c r="S291" i="8"/>
  <c r="R291" i="8"/>
  <c r="Q291" i="8"/>
  <c r="P291" i="8"/>
  <c r="O291" i="8"/>
  <c r="N291" i="8"/>
  <c r="M291" i="8"/>
  <c r="L291" i="8"/>
  <c r="K291" i="8"/>
  <c r="J291" i="8"/>
  <c r="I291" i="8"/>
  <c r="H291" i="8"/>
  <c r="G291" i="8"/>
  <c r="F291" i="8"/>
  <c r="AE290" i="8"/>
  <c r="AC290" i="8"/>
  <c r="AB290" i="8"/>
  <c r="AA290" i="8"/>
  <c r="Z290" i="8"/>
  <c r="Y290" i="8"/>
  <c r="X290" i="8"/>
  <c r="W290" i="8"/>
  <c r="V290" i="8"/>
  <c r="U290" i="8"/>
  <c r="T290" i="8"/>
  <c r="S290" i="8"/>
  <c r="R290" i="8"/>
  <c r="Q290" i="8"/>
  <c r="P290" i="8"/>
  <c r="O290" i="8"/>
  <c r="N290" i="8"/>
  <c r="M290" i="8"/>
  <c r="L290" i="8"/>
  <c r="K290" i="8"/>
  <c r="J290" i="8"/>
  <c r="I290" i="8"/>
  <c r="H290" i="8"/>
  <c r="G290" i="8"/>
  <c r="F290" i="8"/>
  <c r="AE289" i="8"/>
  <c r="AC289" i="8"/>
  <c r="AB289" i="8"/>
  <c r="AA289" i="8"/>
  <c r="Z289" i="8"/>
  <c r="Y289" i="8"/>
  <c r="X289" i="8"/>
  <c r="W289" i="8"/>
  <c r="V289" i="8"/>
  <c r="U289" i="8"/>
  <c r="T289" i="8"/>
  <c r="S289" i="8"/>
  <c r="R289" i="8"/>
  <c r="Q289" i="8"/>
  <c r="P289" i="8"/>
  <c r="O289" i="8"/>
  <c r="N289" i="8"/>
  <c r="M289" i="8"/>
  <c r="L289" i="8"/>
  <c r="K289" i="8"/>
  <c r="J289" i="8"/>
  <c r="I289" i="8"/>
  <c r="H289" i="8"/>
  <c r="G289" i="8"/>
  <c r="F289" i="8"/>
  <c r="AE288" i="8"/>
  <c r="AC288" i="8"/>
  <c r="AB288" i="8"/>
  <c r="AA288" i="8"/>
  <c r="Z288" i="8"/>
  <c r="Y288" i="8"/>
  <c r="X288" i="8"/>
  <c r="W288" i="8"/>
  <c r="V288" i="8"/>
  <c r="U288" i="8"/>
  <c r="T288" i="8"/>
  <c r="S288" i="8"/>
  <c r="R288" i="8"/>
  <c r="Q288" i="8"/>
  <c r="P288" i="8"/>
  <c r="O288" i="8"/>
  <c r="N288" i="8"/>
  <c r="M288" i="8"/>
  <c r="L288" i="8"/>
  <c r="K288" i="8"/>
  <c r="J288" i="8"/>
  <c r="I288" i="8"/>
  <c r="H288" i="8"/>
  <c r="G288" i="8"/>
  <c r="F288" i="8"/>
  <c r="AE287" i="8"/>
  <c r="AC287" i="8"/>
  <c r="AB287" i="8"/>
  <c r="AA287" i="8"/>
  <c r="Z287" i="8"/>
  <c r="Y287" i="8"/>
  <c r="X287" i="8"/>
  <c r="W287" i="8"/>
  <c r="V287" i="8"/>
  <c r="U287" i="8"/>
  <c r="T287" i="8"/>
  <c r="S287" i="8"/>
  <c r="R287" i="8"/>
  <c r="Q287" i="8"/>
  <c r="P287" i="8"/>
  <c r="O287" i="8"/>
  <c r="N287" i="8"/>
  <c r="M287" i="8"/>
  <c r="L287" i="8"/>
  <c r="K287" i="8"/>
  <c r="J287" i="8"/>
  <c r="I287" i="8"/>
  <c r="H287" i="8"/>
  <c r="G287" i="8"/>
  <c r="F287" i="8"/>
  <c r="AE286" i="8"/>
  <c r="AC286" i="8"/>
  <c r="AB286" i="8"/>
  <c r="AA286" i="8"/>
  <c r="Z286" i="8"/>
  <c r="Y286" i="8"/>
  <c r="X286" i="8"/>
  <c r="W286" i="8"/>
  <c r="V286" i="8"/>
  <c r="U286" i="8"/>
  <c r="T286" i="8"/>
  <c r="S286" i="8"/>
  <c r="R286" i="8"/>
  <c r="Q286" i="8"/>
  <c r="P286" i="8"/>
  <c r="O286" i="8"/>
  <c r="N286" i="8"/>
  <c r="M286" i="8"/>
  <c r="L286" i="8"/>
  <c r="K286" i="8"/>
  <c r="J286" i="8"/>
  <c r="I286" i="8"/>
  <c r="H286" i="8"/>
  <c r="G286" i="8"/>
  <c r="F286" i="8"/>
  <c r="AE285" i="8"/>
  <c r="AC285" i="8"/>
  <c r="AB285" i="8"/>
  <c r="AA285" i="8"/>
  <c r="Z285" i="8"/>
  <c r="Y285" i="8"/>
  <c r="X285" i="8"/>
  <c r="W285" i="8"/>
  <c r="V285" i="8"/>
  <c r="U285" i="8"/>
  <c r="T285" i="8"/>
  <c r="S285" i="8"/>
  <c r="R285" i="8"/>
  <c r="Q285" i="8"/>
  <c r="P285" i="8"/>
  <c r="O285" i="8"/>
  <c r="N285" i="8"/>
  <c r="M285" i="8"/>
  <c r="L285" i="8"/>
  <c r="K285" i="8"/>
  <c r="J285" i="8"/>
  <c r="I285" i="8"/>
  <c r="H285" i="8"/>
  <c r="G285" i="8"/>
  <c r="F285" i="8"/>
  <c r="AE284" i="8"/>
  <c r="AC284" i="8"/>
  <c r="AB284" i="8"/>
  <c r="AA284" i="8"/>
  <c r="Z284" i="8"/>
  <c r="Y284" i="8"/>
  <c r="X284" i="8"/>
  <c r="W284" i="8"/>
  <c r="V284" i="8"/>
  <c r="U284" i="8"/>
  <c r="T284" i="8"/>
  <c r="S284" i="8"/>
  <c r="R284" i="8"/>
  <c r="Q284" i="8"/>
  <c r="P284" i="8"/>
  <c r="O284" i="8"/>
  <c r="N284" i="8"/>
  <c r="M284" i="8"/>
  <c r="L284" i="8"/>
  <c r="K284" i="8"/>
  <c r="J284" i="8"/>
  <c r="I284" i="8"/>
  <c r="H284" i="8"/>
  <c r="G284" i="8"/>
  <c r="F284" i="8"/>
  <c r="AE283" i="8"/>
  <c r="AC283" i="8"/>
  <c r="AB283" i="8"/>
  <c r="AA283" i="8"/>
  <c r="Z283" i="8"/>
  <c r="Y283" i="8"/>
  <c r="X283" i="8"/>
  <c r="W283" i="8"/>
  <c r="V283" i="8"/>
  <c r="U283" i="8"/>
  <c r="T283" i="8"/>
  <c r="S283" i="8"/>
  <c r="R283" i="8"/>
  <c r="Q283" i="8"/>
  <c r="P283" i="8"/>
  <c r="O283" i="8"/>
  <c r="N283" i="8"/>
  <c r="M283" i="8"/>
  <c r="L283" i="8"/>
  <c r="K283" i="8"/>
  <c r="J283" i="8"/>
  <c r="I283" i="8"/>
  <c r="H283" i="8"/>
  <c r="G283" i="8"/>
  <c r="F283" i="8"/>
  <c r="AE282" i="8"/>
  <c r="AC282" i="8"/>
  <c r="AB282" i="8"/>
  <c r="AA282" i="8"/>
  <c r="Z282" i="8"/>
  <c r="Y282" i="8"/>
  <c r="X282" i="8"/>
  <c r="W282" i="8"/>
  <c r="V282" i="8"/>
  <c r="U282" i="8"/>
  <c r="T282" i="8"/>
  <c r="S282" i="8"/>
  <c r="R282" i="8"/>
  <c r="Q282" i="8"/>
  <c r="P282" i="8"/>
  <c r="O282" i="8"/>
  <c r="N282" i="8"/>
  <c r="M282" i="8"/>
  <c r="L282" i="8"/>
  <c r="K282" i="8"/>
  <c r="J282" i="8"/>
  <c r="I282" i="8"/>
  <c r="H282" i="8"/>
  <c r="G282" i="8"/>
  <c r="F282" i="8"/>
  <c r="AE281" i="8"/>
  <c r="AC281" i="8"/>
  <c r="AB281" i="8"/>
  <c r="AA281" i="8"/>
  <c r="Z281" i="8"/>
  <c r="Y281" i="8"/>
  <c r="X281" i="8"/>
  <c r="W281" i="8"/>
  <c r="V281" i="8"/>
  <c r="U281" i="8"/>
  <c r="T281" i="8"/>
  <c r="S281" i="8"/>
  <c r="R281" i="8"/>
  <c r="Q281" i="8"/>
  <c r="P281" i="8"/>
  <c r="O281" i="8"/>
  <c r="N281" i="8"/>
  <c r="M281" i="8"/>
  <c r="L281" i="8"/>
  <c r="K281" i="8"/>
  <c r="J281" i="8"/>
  <c r="I281" i="8"/>
  <c r="H281" i="8"/>
  <c r="G281" i="8"/>
  <c r="F281" i="8"/>
  <c r="AE280" i="8"/>
  <c r="AC280" i="8"/>
  <c r="AB280" i="8"/>
  <c r="AA280" i="8"/>
  <c r="Z280" i="8"/>
  <c r="Y280" i="8"/>
  <c r="X280" i="8"/>
  <c r="W280" i="8"/>
  <c r="V280" i="8"/>
  <c r="U280" i="8"/>
  <c r="T280" i="8"/>
  <c r="S280" i="8"/>
  <c r="R280" i="8"/>
  <c r="Q280" i="8"/>
  <c r="P280" i="8"/>
  <c r="O280" i="8"/>
  <c r="N280" i="8"/>
  <c r="M280" i="8"/>
  <c r="L280" i="8"/>
  <c r="K280" i="8"/>
  <c r="J280" i="8"/>
  <c r="I280" i="8"/>
  <c r="H280" i="8"/>
  <c r="G280" i="8"/>
  <c r="F280" i="8"/>
  <c r="AE279" i="8"/>
  <c r="AC279" i="8"/>
  <c r="AB279" i="8"/>
  <c r="AA279" i="8"/>
  <c r="Z279" i="8"/>
  <c r="Y279" i="8"/>
  <c r="X279" i="8"/>
  <c r="W279" i="8"/>
  <c r="V279" i="8"/>
  <c r="U279" i="8"/>
  <c r="T279" i="8"/>
  <c r="S279" i="8"/>
  <c r="R279" i="8"/>
  <c r="Q279" i="8"/>
  <c r="P279" i="8"/>
  <c r="O279" i="8"/>
  <c r="N279" i="8"/>
  <c r="M279" i="8"/>
  <c r="L279" i="8"/>
  <c r="K279" i="8"/>
  <c r="J279" i="8"/>
  <c r="I279" i="8"/>
  <c r="H279" i="8"/>
  <c r="G279" i="8"/>
  <c r="F279" i="8"/>
  <c r="AE278" i="8"/>
  <c r="AC278" i="8"/>
  <c r="AB278" i="8"/>
  <c r="AA278" i="8"/>
  <c r="Z278" i="8"/>
  <c r="Y278" i="8"/>
  <c r="X278" i="8"/>
  <c r="W278" i="8"/>
  <c r="V278" i="8"/>
  <c r="U278" i="8"/>
  <c r="T278" i="8"/>
  <c r="S278" i="8"/>
  <c r="R278" i="8"/>
  <c r="Q278" i="8"/>
  <c r="P278" i="8"/>
  <c r="O278" i="8"/>
  <c r="N278" i="8"/>
  <c r="M278" i="8"/>
  <c r="L278" i="8"/>
  <c r="K278" i="8"/>
  <c r="J278" i="8"/>
  <c r="I278" i="8"/>
  <c r="H278" i="8"/>
  <c r="G278" i="8"/>
  <c r="F278" i="8"/>
  <c r="AE277" i="8"/>
  <c r="AC277" i="8"/>
  <c r="AB277" i="8"/>
  <c r="AA277" i="8"/>
  <c r="Z277" i="8"/>
  <c r="Y277" i="8"/>
  <c r="X277" i="8"/>
  <c r="W277" i="8"/>
  <c r="V277" i="8"/>
  <c r="U277" i="8"/>
  <c r="T277" i="8"/>
  <c r="S277" i="8"/>
  <c r="R277" i="8"/>
  <c r="Q277" i="8"/>
  <c r="P277" i="8"/>
  <c r="O277" i="8"/>
  <c r="N277" i="8"/>
  <c r="M277" i="8"/>
  <c r="L277" i="8"/>
  <c r="K277" i="8"/>
  <c r="J277" i="8"/>
  <c r="I277" i="8"/>
  <c r="H277" i="8"/>
  <c r="G277" i="8"/>
  <c r="F277" i="8"/>
  <c r="AE276" i="8"/>
  <c r="AC276" i="8"/>
  <c r="AB276" i="8"/>
  <c r="AA276" i="8"/>
  <c r="Z276" i="8"/>
  <c r="Y276" i="8"/>
  <c r="X276" i="8"/>
  <c r="W276" i="8"/>
  <c r="V276" i="8"/>
  <c r="U276" i="8"/>
  <c r="T276" i="8"/>
  <c r="S276" i="8"/>
  <c r="R276" i="8"/>
  <c r="Q276" i="8"/>
  <c r="P276" i="8"/>
  <c r="O276" i="8"/>
  <c r="N276" i="8"/>
  <c r="M276" i="8"/>
  <c r="L276" i="8"/>
  <c r="K276" i="8"/>
  <c r="J276" i="8"/>
  <c r="I276" i="8"/>
  <c r="H276" i="8"/>
  <c r="G276" i="8"/>
  <c r="F276" i="8"/>
  <c r="AE275" i="8"/>
  <c r="AC275" i="8"/>
  <c r="AB275" i="8"/>
  <c r="AA275" i="8"/>
  <c r="Z275" i="8"/>
  <c r="Y275" i="8"/>
  <c r="X275" i="8"/>
  <c r="W275" i="8"/>
  <c r="V275" i="8"/>
  <c r="U275" i="8"/>
  <c r="T275" i="8"/>
  <c r="S275" i="8"/>
  <c r="R275" i="8"/>
  <c r="Q275" i="8"/>
  <c r="P275" i="8"/>
  <c r="O275" i="8"/>
  <c r="N275" i="8"/>
  <c r="M275" i="8"/>
  <c r="L275" i="8"/>
  <c r="K275" i="8"/>
  <c r="J275" i="8"/>
  <c r="I275" i="8"/>
  <c r="H275" i="8"/>
  <c r="G275" i="8"/>
  <c r="F275" i="8"/>
  <c r="AE274" i="8"/>
  <c r="AC274" i="8"/>
  <c r="AB274" i="8"/>
  <c r="AA274" i="8"/>
  <c r="Z274" i="8"/>
  <c r="Y274" i="8"/>
  <c r="X274" i="8"/>
  <c r="W274" i="8"/>
  <c r="V274" i="8"/>
  <c r="U274" i="8"/>
  <c r="T274" i="8"/>
  <c r="S274" i="8"/>
  <c r="R274" i="8"/>
  <c r="Q274" i="8"/>
  <c r="P274" i="8"/>
  <c r="O274" i="8"/>
  <c r="N274" i="8"/>
  <c r="M274" i="8"/>
  <c r="L274" i="8"/>
  <c r="K274" i="8"/>
  <c r="J274" i="8"/>
  <c r="I274" i="8"/>
  <c r="H274" i="8"/>
  <c r="G274" i="8"/>
  <c r="F274" i="8"/>
  <c r="AE273" i="8"/>
  <c r="AC273" i="8"/>
  <c r="AB273" i="8"/>
  <c r="AA273" i="8"/>
  <c r="Z273" i="8"/>
  <c r="Y273" i="8"/>
  <c r="X273" i="8"/>
  <c r="W273" i="8"/>
  <c r="V273" i="8"/>
  <c r="U273" i="8"/>
  <c r="T273" i="8"/>
  <c r="S273" i="8"/>
  <c r="R273" i="8"/>
  <c r="Q273" i="8"/>
  <c r="P273" i="8"/>
  <c r="O273" i="8"/>
  <c r="N273" i="8"/>
  <c r="M273" i="8"/>
  <c r="L273" i="8"/>
  <c r="K273" i="8"/>
  <c r="J273" i="8"/>
  <c r="I273" i="8"/>
  <c r="H273" i="8"/>
  <c r="G273" i="8"/>
  <c r="F273" i="8"/>
  <c r="AE272" i="8"/>
  <c r="AC272" i="8"/>
  <c r="AB272" i="8"/>
  <c r="AA272" i="8"/>
  <c r="Z272" i="8"/>
  <c r="Y272" i="8"/>
  <c r="X272" i="8"/>
  <c r="W272" i="8"/>
  <c r="V272" i="8"/>
  <c r="U272" i="8"/>
  <c r="T272" i="8"/>
  <c r="S272" i="8"/>
  <c r="R272" i="8"/>
  <c r="Q272" i="8"/>
  <c r="P272" i="8"/>
  <c r="O272" i="8"/>
  <c r="N272" i="8"/>
  <c r="M272" i="8"/>
  <c r="L272" i="8"/>
  <c r="K272" i="8"/>
  <c r="J272" i="8"/>
  <c r="I272" i="8"/>
  <c r="H272" i="8"/>
  <c r="G272" i="8"/>
  <c r="F272" i="8"/>
  <c r="AE271" i="8"/>
  <c r="AC271" i="8"/>
  <c r="AB271" i="8"/>
  <c r="AA271" i="8"/>
  <c r="Z271" i="8"/>
  <c r="Y271" i="8"/>
  <c r="X271" i="8"/>
  <c r="W271" i="8"/>
  <c r="V271" i="8"/>
  <c r="U271" i="8"/>
  <c r="T271" i="8"/>
  <c r="S271" i="8"/>
  <c r="R271" i="8"/>
  <c r="Q271" i="8"/>
  <c r="P271" i="8"/>
  <c r="O271" i="8"/>
  <c r="N271" i="8"/>
  <c r="M271" i="8"/>
  <c r="L271" i="8"/>
  <c r="K271" i="8"/>
  <c r="J271" i="8"/>
  <c r="I271" i="8"/>
  <c r="H271" i="8"/>
  <c r="G271" i="8"/>
  <c r="F271" i="8"/>
  <c r="AE270" i="8"/>
  <c r="AC270" i="8"/>
  <c r="AB270" i="8"/>
  <c r="AA270" i="8"/>
  <c r="Z270" i="8"/>
  <c r="Y270" i="8"/>
  <c r="X270" i="8"/>
  <c r="W270" i="8"/>
  <c r="V270" i="8"/>
  <c r="U270" i="8"/>
  <c r="T270" i="8"/>
  <c r="S270" i="8"/>
  <c r="R270" i="8"/>
  <c r="Q270" i="8"/>
  <c r="P270" i="8"/>
  <c r="O270" i="8"/>
  <c r="N270" i="8"/>
  <c r="M270" i="8"/>
  <c r="L270" i="8"/>
  <c r="K270" i="8"/>
  <c r="J270" i="8"/>
  <c r="I270" i="8"/>
  <c r="H270" i="8"/>
  <c r="G270" i="8"/>
  <c r="F270" i="8"/>
  <c r="AE269" i="8"/>
  <c r="AC269" i="8"/>
  <c r="AB269" i="8"/>
  <c r="AA269" i="8"/>
  <c r="Z269" i="8"/>
  <c r="Y269" i="8"/>
  <c r="X269" i="8"/>
  <c r="W269" i="8"/>
  <c r="V269" i="8"/>
  <c r="U269" i="8"/>
  <c r="T269" i="8"/>
  <c r="S269" i="8"/>
  <c r="R269" i="8"/>
  <c r="Q269" i="8"/>
  <c r="P269" i="8"/>
  <c r="O269" i="8"/>
  <c r="N269" i="8"/>
  <c r="M269" i="8"/>
  <c r="L269" i="8"/>
  <c r="K269" i="8"/>
  <c r="J269" i="8"/>
  <c r="I269" i="8"/>
  <c r="H269" i="8"/>
  <c r="G269" i="8"/>
  <c r="F269" i="8"/>
  <c r="AE268" i="8"/>
  <c r="AC268" i="8"/>
  <c r="AB268" i="8"/>
  <c r="AA268" i="8"/>
  <c r="Z268" i="8"/>
  <c r="Y268" i="8"/>
  <c r="X268" i="8"/>
  <c r="W268" i="8"/>
  <c r="V268" i="8"/>
  <c r="U268" i="8"/>
  <c r="T268" i="8"/>
  <c r="S268" i="8"/>
  <c r="R268" i="8"/>
  <c r="Q268" i="8"/>
  <c r="P268" i="8"/>
  <c r="O268" i="8"/>
  <c r="N268" i="8"/>
  <c r="M268" i="8"/>
  <c r="L268" i="8"/>
  <c r="K268" i="8"/>
  <c r="J268" i="8"/>
  <c r="I268" i="8"/>
  <c r="H268" i="8"/>
  <c r="G268" i="8"/>
  <c r="F268" i="8"/>
  <c r="AE267" i="8"/>
  <c r="AC267" i="8"/>
  <c r="AB267" i="8"/>
  <c r="AA267" i="8"/>
  <c r="Z267" i="8"/>
  <c r="Y267" i="8"/>
  <c r="X267" i="8"/>
  <c r="W267" i="8"/>
  <c r="V267" i="8"/>
  <c r="U267" i="8"/>
  <c r="T267" i="8"/>
  <c r="S267" i="8"/>
  <c r="R267" i="8"/>
  <c r="Q267" i="8"/>
  <c r="P267" i="8"/>
  <c r="O267" i="8"/>
  <c r="N267" i="8"/>
  <c r="M267" i="8"/>
  <c r="L267" i="8"/>
  <c r="K267" i="8"/>
  <c r="J267" i="8"/>
  <c r="I267" i="8"/>
  <c r="H267" i="8"/>
  <c r="G267" i="8"/>
  <c r="F267" i="8"/>
  <c r="AE266" i="8"/>
  <c r="AC266" i="8"/>
  <c r="AB266" i="8"/>
  <c r="AA266" i="8"/>
  <c r="Z266" i="8"/>
  <c r="Y266" i="8"/>
  <c r="X266" i="8"/>
  <c r="W266" i="8"/>
  <c r="V266" i="8"/>
  <c r="U266" i="8"/>
  <c r="T266" i="8"/>
  <c r="S266" i="8"/>
  <c r="R266" i="8"/>
  <c r="Q266" i="8"/>
  <c r="P266" i="8"/>
  <c r="O266" i="8"/>
  <c r="N266" i="8"/>
  <c r="M266" i="8"/>
  <c r="L266" i="8"/>
  <c r="K266" i="8"/>
  <c r="J266" i="8"/>
  <c r="I266" i="8"/>
  <c r="H266" i="8"/>
  <c r="G266" i="8"/>
  <c r="F266" i="8"/>
  <c r="AE265" i="8"/>
  <c r="AC265" i="8"/>
  <c r="AB265" i="8"/>
  <c r="AA265" i="8"/>
  <c r="Z265" i="8"/>
  <c r="Y265" i="8"/>
  <c r="X265" i="8"/>
  <c r="W265" i="8"/>
  <c r="V265" i="8"/>
  <c r="U265" i="8"/>
  <c r="T265" i="8"/>
  <c r="S265" i="8"/>
  <c r="R265" i="8"/>
  <c r="Q265" i="8"/>
  <c r="P265" i="8"/>
  <c r="O265" i="8"/>
  <c r="N265" i="8"/>
  <c r="M265" i="8"/>
  <c r="L265" i="8"/>
  <c r="K265" i="8"/>
  <c r="J265" i="8"/>
  <c r="I265" i="8"/>
  <c r="H265" i="8"/>
  <c r="G265" i="8"/>
  <c r="F265" i="8"/>
  <c r="AE264" i="8"/>
  <c r="AC264" i="8"/>
  <c r="AB264" i="8"/>
  <c r="AA264" i="8"/>
  <c r="Z264" i="8"/>
  <c r="Y264" i="8"/>
  <c r="X264" i="8"/>
  <c r="W264" i="8"/>
  <c r="V264" i="8"/>
  <c r="U264" i="8"/>
  <c r="T264" i="8"/>
  <c r="S264" i="8"/>
  <c r="R264" i="8"/>
  <c r="Q264" i="8"/>
  <c r="P264" i="8"/>
  <c r="O264" i="8"/>
  <c r="N264" i="8"/>
  <c r="M264" i="8"/>
  <c r="L264" i="8"/>
  <c r="K264" i="8"/>
  <c r="J264" i="8"/>
  <c r="I264" i="8"/>
  <c r="H264" i="8"/>
  <c r="G264" i="8"/>
  <c r="F264" i="8"/>
  <c r="AE263" i="8"/>
  <c r="AC263" i="8"/>
  <c r="AB263" i="8"/>
  <c r="AA263" i="8"/>
  <c r="Z263" i="8"/>
  <c r="Y263" i="8"/>
  <c r="X263" i="8"/>
  <c r="W263" i="8"/>
  <c r="V263" i="8"/>
  <c r="U263" i="8"/>
  <c r="T263" i="8"/>
  <c r="S263" i="8"/>
  <c r="R263" i="8"/>
  <c r="Q263" i="8"/>
  <c r="P263" i="8"/>
  <c r="O263" i="8"/>
  <c r="N263" i="8"/>
  <c r="M263" i="8"/>
  <c r="L263" i="8"/>
  <c r="K263" i="8"/>
  <c r="J263" i="8"/>
  <c r="I263" i="8"/>
  <c r="H263" i="8"/>
  <c r="G263" i="8"/>
  <c r="F263" i="8"/>
  <c r="AE262" i="8"/>
  <c r="AC262" i="8"/>
  <c r="AB262" i="8"/>
  <c r="AA262" i="8"/>
  <c r="Z262" i="8"/>
  <c r="Y262" i="8"/>
  <c r="X262" i="8"/>
  <c r="W262" i="8"/>
  <c r="V262" i="8"/>
  <c r="U262" i="8"/>
  <c r="T262" i="8"/>
  <c r="S262" i="8"/>
  <c r="R262" i="8"/>
  <c r="Q262" i="8"/>
  <c r="P262" i="8"/>
  <c r="O262" i="8"/>
  <c r="N262" i="8"/>
  <c r="M262" i="8"/>
  <c r="L262" i="8"/>
  <c r="K262" i="8"/>
  <c r="J262" i="8"/>
  <c r="I262" i="8"/>
  <c r="H262" i="8"/>
  <c r="G262" i="8"/>
  <c r="F262" i="8"/>
  <c r="AE261" i="8"/>
  <c r="AC261" i="8"/>
  <c r="AB261" i="8"/>
  <c r="AA261" i="8"/>
  <c r="Z261" i="8"/>
  <c r="Y261" i="8"/>
  <c r="X261" i="8"/>
  <c r="W261" i="8"/>
  <c r="V261" i="8"/>
  <c r="U261" i="8"/>
  <c r="T261" i="8"/>
  <c r="S261" i="8"/>
  <c r="R261" i="8"/>
  <c r="Q261" i="8"/>
  <c r="P261" i="8"/>
  <c r="O261" i="8"/>
  <c r="N261" i="8"/>
  <c r="M261" i="8"/>
  <c r="L261" i="8"/>
  <c r="K261" i="8"/>
  <c r="J261" i="8"/>
  <c r="I261" i="8"/>
  <c r="H261" i="8"/>
  <c r="G261" i="8"/>
  <c r="F261" i="8"/>
  <c r="AE260" i="8"/>
  <c r="AC260" i="8"/>
  <c r="AB260" i="8"/>
  <c r="AA260" i="8"/>
  <c r="Z260" i="8"/>
  <c r="Y260" i="8"/>
  <c r="X260" i="8"/>
  <c r="W260" i="8"/>
  <c r="V260" i="8"/>
  <c r="U260" i="8"/>
  <c r="T260" i="8"/>
  <c r="S260" i="8"/>
  <c r="R260" i="8"/>
  <c r="Q260" i="8"/>
  <c r="P260" i="8"/>
  <c r="O260" i="8"/>
  <c r="N260" i="8"/>
  <c r="M260" i="8"/>
  <c r="L260" i="8"/>
  <c r="K260" i="8"/>
  <c r="J260" i="8"/>
  <c r="I260" i="8"/>
  <c r="H260" i="8"/>
  <c r="G260" i="8"/>
  <c r="F260" i="8"/>
  <c r="AE259" i="8"/>
  <c r="AC259" i="8"/>
  <c r="AB259" i="8"/>
  <c r="AA259" i="8"/>
  <c r="Z259" i="8"/>
  <c r="Y259" i="8"/>
  <c r="X259" i="8"/>
  <c r="W259" i="8"/>
  <c r="V259" i="8"/>
  <c r="U259" i="8"/>
  <c r="T259" i="8"/>
  <c r="S259" i="8"/>
  <c r="R259" i="8"/>
  <c r="Q259" i="8"/>
  <c r="P259" i="8"/>
  <c r="O259" i="8"/>
  <c r="N259" i="8"/>
  <c r="M259" i="8"/>
  <c r="L259" i="8"/>
  <c r="K259" i="8"/>
  <c r="J259" i="8"/>
  <c r="I259" i="8"/>
  <c r="H259" i="8"/>
  <c r="G259" i="8"/>
  <c r="F259" i="8"/>
  <c r="AE258" i="8"/>
  <c r="AC258" i="8"/>
  <c r="AB258" i="8"/>
  <c r="AA258" i="8"/>
  <c r="Z258" i="8"/>
  <c r="Y258" i="8"/>
  <c r="X258" i="8"/>
  <c r="W258" i="8"/>
  <c r="V258" i="8"/>
  <c r="U258" i="8"/>
  <c r="T258" i="8"/>
  <c r="S258" i="8"/>
  <c r="R258" i="8"/>
  <c r="Q258" i="8"/>
  <c r="P258" i="8"/>
  <c r="O258" i="8"/>
  <c r="N258" i="8"/>
  <c r="M258" i="8"/>
  <c r="L258" i="8"/>
  <c r="K258" i="8"/>
  <c r="J258" i="8"/>
  <c r="I258" i="8"/>
  <c r="H258" i="8"/>
  <c r="G258" i="8"/>
  <c r="F258" i="8"/>
  <c r="AE257" i="8"/>
  <c r="AC257" i="8"/>
  <c r="AB257" i="8"/>
  <c r="AA257" i="8"/>
  <c r="Z257" i="8"/>
  <c r="Y257" i="8"/>
  <c r="X257" i="8"/>
  <c r="W257" i="8"/>
  <c r="V257" i="8"/>
  <c r="U257" i="8"/>
  <c r="T257" i="8"/>
  <c r="S257" i="8"/>
  <c r="R257" i="8"/>
  <c r="Q257" i="8"/>
  <c r="P257" i="8"/>
  <c r="O257" i="8"/>
  <c r="N257" i="8"/>
  <c r="M257" i="8"/>
  <c r="L257" i="8"/>
  <c r="K257" i="8"/>
  <c r="J257" i="8"/>
  <c r="I257" i="8"/>
  <c r="H257" i="8"/>
  <c r="G257" i="8"/>
  <c r="F257" i="8"/>
  <c r="AE256" i="8"/>
  <c r="AC256" i="8"/>
  <c r="AB256" i="8"/>
  <c r="AA256" i="8"/>
  <c r="Z256" i="8"/>
  <c r="Y256" i="8"/>
  <c r="X256" i="8"/>
  <c r="W256" i="8"/>
  <c r="V256" i="8"/>
  <c r="U256" i="8"/>
  <c r="T256" i="8"/>
  <c r="S256" i="8"/>
  <c r="R256" i="8"/>
  <c r="Q256" i="8"/>
  <c r="P256" i="8"/>
  <c r="O256" i="8"/>
  <c r="N256" i="8"/>
  <c r="M256" i="8"/>
  <c r="L256" i="8"/>
  <c r="K256" i="8"/>
  <c r="J256" i="8"/>
  <c r="I256" i="8"/>
  <c r="H256" i="8"/>
  <c r="G256" i="8"/>
  <c r="F256" i="8"/>
  <c r="AE255" i="8"/>
  <c r="AC255" i="8"/>
  <c r="AB255" i="8"/>
  <c r="AA255" i="8"/>
  <c r="Z255" i="8"/>
  <c r="Y255" i="8"/>
  <c r="X255" i="8"/>
  <c r="W255" i="8"/>
  <c r="V255" i="8"/>
  <c r="U255" i="8"/>
  <c r="T255" i="8"/>
  <c r="S255" i="8"/>
  <c r="R255" i="8"/>
  <c r="Q255" i="8"/>
  <c r="P255" i="8"/>
  <c r="O255" i="8"/>
  <c r="N255" i="8"/>
  <c r="M255" i="8"/>
  <c r="L255" i="8"/>
  <c r="K255" i="8"/>
  <c r="J255" i="8"/>
  <c r="I255" i="8"/>
  <c r="H255" i="8"/>
  <c r="G255" i="8"/>
  <c r="F255" i="8"/>
  <c r="AE254" i="8"/>
  <c r="AC254" i="8"/>
  <c r="AB254" i="8"/>
  <c r="AA254" i="8"/>
  <c r="Z254" i="8"/>
  <c r="Y254" i="8"/>
  <c r="X254" i="8"/>
  <c r="W254" i="8"/>
  <c r="V254" i="8"/>
  <c r="U254" i="8"/>
  <c r="T254" i="8"/>
  <c r="S254" i="8"/>
  <c r="R254" i="8"/>
  <c r="Q254" i="8"/>
  <c r="P254" i="8"/>
  <c r="O254" i="8"/>
  <c r="N254" i="8"/>
  <c r="M254" i="8"/>
  <c r="L254" i="8"/>
  <c r="K254" i="8"/>
  <c r="J254" i="8"/>
  <c r="I254" i="8"/>
  <c r="H254" i="8"/>
  <c r="G254" i="8"/>
  <c r="F254" i="8"/>
  <c r="AE253" i="8"/>
  <c r="AC253" i="8"/>
  <c r="AB253" i="8"/>
  <c r="AA253" i="8"/>
  <c r="Z253" i="8"/>
  <c r="Y253" i="8"/>
  <c r="X253" i="8"/>
  <c r="W253" i="8"/>
  <c r="V253" i="8"/>
  <c r="U253" i="8"/>
  <c r="T253" i="8"/>
  <c r="S253" i="8"/>
  <c r="R253" i="8"/>
  <c r="Q253" i="8"/>
  <c r="P253" i="8"/>
  <c r="O253" i="8"/>
  <c r="N253" i="8"/>
  <c r="M253" i="8"/>
  <c r="L253" i="8"/>
  <c r="K253" i="8"/>
  <c r="J253" i="8"/>
  <c r="I253" i="8"/>
  <c r="H253" i="8"/>
  <c r="G253" i="8"/>
  <c r="F253" i="8"/>
  <c r="AE252" i="8"/>
  <c r="AC252" i="8"/>
  <c r="AB252" i="8"/>
  <c r="AA252" i="8"/>
  <c r="Z252" i="8"/>
  <c r="Y252" i="8"/>
  <c r="X252" i="8"/>
  <c r="W252" i="8"/>
  <c r="V252" i="8"/>
  <c r="U252" i="8"/>
  <c r="T252" i="8"/>
  <c r="S252" i="8"/>
  <c r="R252" i="8"/>
  <c r="Q252" i="8"/>
  <c r="P252" i="8"/>
  <c r="O252" i="8"/>
  <c r="N252" i="8"/>
  <c r="M252" i="8"/>
  <c r="L252" i="8"/>
  <c r="K252" i="8"/>
  <c r="J252" i="8"/>
  <c r="I252" i="8"/>
  <c r="H252" i="8"/>
  <c r="G252" i="8"/>
  <c r="F252" i="8"/>
  <c r="AE251" i="8"/>
  <c r="AC251" i="8"/>
  <c r="AB251" i="8"/>
  <c r="AA251" i="8"/>
  <c r="Z251" i="8"/>
  <c r="Y251" i="8"/>
  <c r="X251" i="8"/>
  <c r="W251" i="8"/>
  <c r="V251" i="8"/>
  <c r="U251" i="8"/>
  <c r="T251" i="8"/>
  <c r="S251" i="8"/>
  <c r="R251" i="8"/>
  <c r="Q251" i="8"/>
  <c r="P251" i="8"/>
  <c r="O251" i="8"/>
  <c r="N251" i="8"/>
  <c r="M251" i="8"/>
  <c r="L251" i="8"/>
  <c r="K251" i="8"/>
  <c r="J251" i="8"/>
  <c r="I251" i="8"/>
  <c r="H251" i="8"/>
  <c r="G251" i="8"/>
  <c r="F251" i="8"/>
  <c r="AE250" i="8"/>
  <c r="AC250" i="8"/>
  <c r="AB250" i="8"/>
  <c r="AA250" i="8"/>
  <c r="Z250" i="8"/>
  <c r="Y250" i="8"/>
  <c r="X250" i="8"/>
  <c r="W250" i="8"/>
  <c r="V250" i="8"/>
  <c r="U250" i="8"/>
  <c r="T250" i="8"/>
  <c r="S250" i="8"/>
  <c r="R250" i="8"/>
  <c r="Q250" i="8"/>
  <c r="P250" i="8"/>
  <c r="O250" i="8"/>
  <c r="N250" i="8"/>
  <c r="M250" i="8"/>
  <c r="L250" i="8"/>
  <c r="K250" i="8"/>
  <c r="J250" i="8"/>
  <c r="I250" i="8"/>
  <c r="H250" i="8"/>
  <c r="G250" i="8"/>
  <c r="F250" i="8"/>
  <c r="AE249" i="8"/>
  <c r="AC249" i="8"/>
  <c r="AB249" i="8"/>
  <c r="AA249" i="8"/>
  <c r="Z249" i="8"/>
  <c r="Y249" i="8"/>
  <c r="X249" i="8"/>
  <c r="W249" i="8"/>
  <c r="V249" i="8"/>
  <c r="U249" i="8"/>
  <c r="T249" i="8"/>
  <c r="S249" i="8"/>
  <c r="R249" i="8"/>
  <c r="Q249" i="8"/>
  <c r="P249" i="8"/>
  <c r="O249" i="8"/>
  <c r="N249" i="8"/>
  <c r="M249" i="8"/>
  <c r="L249" i="8"/>
  <c r="K249" i="8"/>
  <c r="J249" i="8"/>
  <c r="I249" i="8"/>
  <c r="H249" i="8"/>
  <c r="G249" i="8"/>
  <c r="F249" i="8"/>
  <c r="AE248" i="8"/>
  <c r="AC248" i="8"/>
  <c r="AB248" i="8"/>
  <c r="AA248" i="8"/>
  <c r="Z248" i="8"/>
  <c r="Y248" i="8"/>
  <c r="X248" i="8"/>
  <c r="W248" i="8"/>
  <c r="V248" i="8"/>
  <c r="U248" i="8"/>
  <c r="T248" i="8"/>
  <c r="S248" i="8"/>
  <c r="R248" i="8"/>
  <c r="Q248" i="8"/>
  <c r="P248" i="8"/>
  <c r="O248" i="8"/>
  <c r="N248" i="8"/>
  <c r="M248" i="8"/>
  <c r="L248" i="8"/>
  <c r="K248" i="8"/>
  <c r="J248" i="8"/>
  <c r="I248" i="8"/>
  <c r="H248" i="8"/>
  <c r="G248" i="8"/>
  <c r="F248" i="8"/>
  <c r="AE247" i="8"/>
  <c r="AC247" i="8"/>
  <c r="AB247" i="8"/>
  <c r="AA247" i="8"/>
  <c r="Z247" i="8"/>
  <c r="Y247" i="8"/>
  <c r="X247" i="8"/>
  <c r="W247" i="8"/>
  <c r="V247" i="8"/>
  <c r="U247" i="8"/>
  <c r="T247" i="8"/>
  <c r="S247" i="8"/>
  <c r="R247" i="8"/>
  <c r="Q247" i="8"/>
  <c r="P247" i="8"/>
  <c r="O247" i="8"/>
  <c r="N247" i="8"/>
  <c r="M247" i="8"/>
  <c r="L247" i="8"/>
  <c r="K247" i="8"/>
  <c r="J247" i="8"/>
  <c r="I247" i="8"/>
  <c r="H247" i="8"/>
  <c r="G247" i="8"/>
  <c r="F247" i="8"/>
  <c r="AE246" i="8"/>
  <c r="AC246" i="8"/>
  <c r="AB246" i="8"/>
  <c r="AA246" i="8"/>
  <c r="Z246" i="8"/>
  <c r="Y246" i="8"/>
  <c r="X246" i="8"/>
  <c r="W246" i="8"/>
  <c r="V246" i="8"/>
  <c r="U246" i="8"/>
  <c r="T246" i="8"/>
  <c r="S246" i="8"/>
  <c r="R246" i="8"/>
  <c r="Q246" i="8"/>
  <c r="P246" i="8"/>
  <c r="O246" i="8"/>
  <c r="N246" i="8"/>
  <c r="M246" i="8"/>
  <c r="L246" i="8"/>
  <c r="K246" i="8"/>
  <c r="J246" i="8"/>
  <c r="I246" i="8"/>
  <c r="H246" i="8"/>
  <c r="G246" i="8"/>
  <c r="F246" i="8"/>
  <c r="AE245" i="8"/>
  <c r="AC245" i="8"/>
  <c r="AB245" i="8"/>
  <c r="AA245" i="8"/>
  <c r="Z245" i="8"/>
  <c r="Y245" i="8"/>
  <c r="X245" i="8"/>
  <c r="W245" i="8"/>
  <c r="V245" i="8"/>
  <c r="U245" i="8"/>
  <c r="T245" i="8"/>
  <c r="S245" i="8"/>
  <c r="R245" i="8"/>
  <c r="Q245" i="8"/>
  <c r="P245" i="8"/>
  <c r="O245" i="8"/>
  <c r="N245" i="8"/>
  <c r="M245" i="8"/>
  <c r="L245" i="8"/>
  <c r="K245" i="8"/>
  <c r="J245" i="8"/>
  <c r="I245" i="8"/>
  <c r="H245" i="8"/>
  <c r="G245" i="8"/>
  <c r="F245" i="8"/>
  <c r="AE244" i="8"/>
  <c r="AC244" i="8"/>
  <c r="AB244" i="8"/>
  <c r="AA244" i="8"/>
  <c r="Z244" i="8"/>
  <c r="Y244" i="8"/>
  <c r="X244" i="8"/>
  <c r="W244" i="8"/>
  <c r="V244" i="8"/>
  <c r="U244" i="8"/>
  <c r="T244" i="8"/>
  <c r="S244" i="8"/>
  <c r="R244" i="8"/>
  <c r="Q244" i="8"/>
  <c r="P244" i="8"/>
  <c r="O244" i="8"/>
  <c r="N244" i="8"/>
  <c r="M244" i="8"/>
  <c r="L244" i="8"/>
  <c r="K244" i="8"/>
  <c r="J244" i="8"/>
  <c r="I244" i="8"/>
  <c r="H244" i="8"/>
  <c r="G244" i="8"/>
  <c r="F244" i="8"/>
  <c r="AE243" i="8"/>
  <c r="AC243" i="8"/>
  <c r="AB243" i="8"/>
  <c r="AA243" i="8"/>
  <c r="Z243" i="8"/>
  <c r="Y243" i="8"/>
  <c r="X243" i="8"/>
  <c r="W243" i="8"/>
  <c r="V243" i="8"/>
  <c r="U243" i="8"/>
  <c r="T243" i="8"/>
  <c r="S243" i="8"/>
  <c r="R243" i="8"/>
  <c r="Q243" i="8"/>
  <c r="P243" i="8"/>
  <c r="O243" i="8"/>
  <c r="N243" i="8"/>
  <c r="M243" i="8"/>
  <c r="L243" i="8"/>
  <c r="K243" i="8"/>
  <c r="J243" i="8"/>
  <c r="I243" i="8"/>
  <c r="H243" i="8"/>
  <c r="G243" i="8"/>
  <c r="F243" i="8"/>
  <c r="AE242" i="8"/>
  <c r="AC242" i="8"/>
  <c r="AB242" i="8"/>
  <c r="AA242" i="8"/>
  <c r="Z242" i="8"/>
  <c r="Y242" i="8"/>
  <c r="X242" i="8"/>
  <c r="W242" i="8"/>
  <c r="V242" i="8"/>
  <c r="U242" i="8"/>
  <c r="T242" i="8"/>
  <c r="S242" i="8"/>
  <c r="R242" i="8"/>
  <c r="Q242" i="8"/>
  <c r="P242" i="8"/>
  <c r="O242" i="8"/>
  <c r="N242" i="8"/>
  <c r="M242" i="8"/>
  <c r="L242" i="8"/>
  <c r="K242" i="8"/>
  <c r="J242" i="8"/>
  <c r="I242" i="8"/>
  <c r="H242" i="8"/>
  <c r="G242" i="8"/>
  <c r="F242" i="8"/>
  <c r="AE241" i="8"/>
  <c r="AC241" i="8"/>
  <c r="AB241" i="8"/>
  <c r="AA241" i="8"/>
  <c r="Z241" i="8"/>
  <c r="Y241" i="8"/>
  <c r="X241" i="8"/>
  <c r="W241" i="8"/>
  <c r="V241" i="8"/>
  <c r="U241" i="8"/>
  <c r="T241" i="8"/>
  <c r="S241" i="8"/>
  <c r="R241" i="8"/>
  <c r="Q241" i="8"/>
  <c r="P241" i="8"/>
  <c r="O241" i="8"/>
  <c r="N241" i="8"/>
  <c r="M241" i="8"/>
  <c r="L241" i="8"/>
  <c r="K241" i="8"/>
  <c r="J241" i="8"/>
  <c r="I241" i="8"/>
  <c r="H241" i="8"/>
  <c r="G241" i="8"/>
  <c r="F241" i="8"/>
  <c r="AE240" i="8"/>
  <c r="AC240" i="8"/>
  <c r="AB240" i="8"/>
  <c r="AA240" i="8"/>
  <c r="Z240" i="8"/>
  <c r="Y240" i="8"/>
  <c r="X240" i="8"/>
  <c r="W240" i="8"/>
  <c r="V240" i="8"/>
  <c r="U240" i="8"/>
  <c r="T240" i="8"/>
  <c r="S240" i="8"/>
  <c r="R240" i="8"/>
  <c r="Q240" i="8"/>
  <c r="P240" i="8"/>
  <c r="O240" i="8"/>
  <c r="N240" i="8"/>
  <c r="M240" i="8"/>
  <c r="L240" i="8"/>
  <c r="K240" i="8"/>
  <c r="J240" i="8"/>
  <c r="I240" i="8"/>
  <c r="H240" i="8"/>
  <c r="G240" i="8"/>
  <c r="F240" i="8"/>
  <c r="AE239" i="8"/>
  <c r="AC239" i="8"/>
  <c r="AB239" i="8"/>
  <c r="AA239" i="8"/>
  <c r="Z239" i="8"/>
  <c r="Y239" i="8"/>
  <c r="X239" i="8"/>
  <c r="W239" i="8"/>
  <c r="V239" i="8"/>
  <c r="U239" i="8"/>
  <c r="T239" i="8"/>
  <c r="S239" i="8"/>
  <c r="R239" i="8"/>
  <c r="Q239" i="8"/>
  <c r="P239" i="8"/>
  <c r="O239" i="8"/>
  <c r="N239" i="8"/>
  <c r="M239" i="8"/>
  <c r="L239" i="8"/>
  <c r="K239" i="8"/>
  <c r="J239" i="8"/>
  <c r="I239" i="8"/>
  <c r="H239" i="8"/>
  <c r="G239" i="8"/>
  <c r="F239" i="8"/>
  <c r="AE238" i="8"/>
  <c r="AC238" i="8"/>
  <c r="AB238" i="8"/>
  <c r="AA238" i="8"/>
  <c r="Z238" i="8"/>
  <c r="Y238" i="8"/>
  <c r="X238" i="8"/>
  <c r="W238" i="8"/>
  <c r="V238" i="8"/>
  <c r="U238" i="8"/>
  <c r="T238" i="8"/>
  <c r="S238" i="8"/>
  <c r="R238" i="8"/>
  <c r="Q238" i="8"/>
  <c r="P238" i="8"/>
  <c r="O238" i="8"/>
  <c r="N238" i="8"/>
  <c r="M238" i="8"/>
  <c r="L238" i="8"/>
  <c r="K238" i="8"/>
  <c r="J238" i="8"/>
  <c r="I238" i="8"/>
  <c r="H238" i="8"/>
  <c r="G238" i="8"/>
  <c r="F238" i="8"/>
  <c r="AE237" i="8"/>
  <c r="AC237" i="8"/>
  <c r="AB237" i="8"/>
  <c r="AA237" i="8"/>
  <c r="Z237" i="8"/>
  <c r="Y237" i="8"/>
  <c r="X237" i="8"/>
  <c r="W237" i="8"/>
  <c r="V237" i="8"/>
  <c r="U237" i="8"/>
  <c r="T237" i="8"/>
  <c r="S237" i="8"/>
  <c r="R237" i="8"/>
  <c r="Q237" i="8"/>
  <c r="P237" i="8"/>
  <c r="O237" i="8"/>
  <c r="N237" i="8"/>
  <c r="M237" i="8"/>
  <c r="L237" i="8"/>
  <c r="K237" i="8"/>
  <c r="J237" i="8"/>
  <c r="I237" i="8"/>
  <c r="H237" i="8"/>
  <c r="G237" i="8"/>
  <c r="F237" i="8"/>
  <c r="AE236" i="8"/>
  <c r="AC236" i="8"/>
  <c r="AB236" i="8"/>
  <c r="AA236" i="8"/>
  <c r="Z236" i="8"/>
  <c r="Y236" i="8"/>
  <c r="X236" i="8"/>
  <c r="W236" i="8"/>
  <c r="V236" i="8"/>
  <c r="U236" i="8"/>
  <c r="T236" i="8"/>
  <c r="S236" i="8"/>
  <c r="R236" i="8"/>
  <c r="Q236" i="8"/>
  <c r="P236" i="8"/>
  <c r="O236" i="8"/>
  <c r="N236" i="8"/>
  <c r="M236" i="8"/>
  <c r="L236" i="8"/>
  <c r="K236" i="8"/>
  <c r="J236" i="8"/>
  <c r="I236" i="8"/>
  <c r="H236" i="8"/>
  <c r="G236" i="8"/>
  <c r="F236" i="8"/>
  <c r="AE235" i="8"/>
  <c r="AC235" i="8"/>
  <c r="AB235" i="8"/>
  <c r="AA235" i="8"/>
  <c r="Z235" i="8"/>
  <c r="Y235" i="8"/>
  <c r="X235" i="8"/>
  <c r="W235" i="8"/>
  <c r="V235" i="8"/>
  <c r="U235" i="8"/>
  <c r="T235" i="8"/>
  <c r="S235" i="8"/>
  <c r="R235" i="8"/>
  <c r="Q235" i="8"/>
  <c r="P235" i="8"/>
  <c r="O235" i="8"/>
  <c r="N235" i="8"/>
  <c r="M235" i="8"/>
  <c r="L235" i="8"/>
  <c r="K235" i="8"/>
  <c r="J235" i="8"/>
  <c r="I235" i="8"/>
  <c r="H235" i="8"/>
  <c r="G235" i="8"/>
  <c r="F235" i="8"/>
  <c r="AE234" i="8"/>
  <c r="AC234" i="8"/>
  <c r="AB234" i="8"/>
  <c r="AA234" i="8"/>
  <c r="Z234" i="8"/>
  <c r="Y234" i="8"/>
  <c r="X234" i="8"/>
  <c r="W234" i="8"/>
  <c r="V234" i="8"/>
  <c r="U234" i="8"/>
  <c r="T234" i="8"/>
  <c r="S234" i="8"/>
  <c r="R234" i="8"/>
  <c r="Q234" i="8"/>
  <c r="P234" i="8"/>
  <c r="O234" i="8"/>
  <c r="N234" i="8"/>
  <c r="M234" i="8"/>
  <c r="L234" i="8"/>
  <c r="K234" i="8"/>
  <c r="J234" i="8"/>
  <c r="I234" i="8"/>
  <c r="H234" i="8"/>
  <c r="G234" i="8"/>
  <c r="F234" i="8"/>
  <c r="AE233" i="8"/>
  <c r="AC233" i="8"/>
  <c r="AB233" i="8"/>
  <c r="AA233" i="8"/>
  <c r="Z233" i="8"/>
  <c r="Y233" i="8"/>
  <c r="X233" i="8"/>
  <c r="W233" i="8"/>
  <c r="V233" i="8"/>
  <c r="U233" i="8"/>
  <c r="T233" i="8"/>
  <c r="S233" i="8"/>
  <c r="R233" i="8"/>
  <c r="Q233" i="8"/>
  <c r="P233" i="8"/>
  <c r="O233" i="8"/>
  <c r="N233" i="8"/>
  <c r="M233" i="8"/>
  <c r="L233" i="8"/>
  <c r="K233" i="8"/>
  <c r="J233" i="8"/>
  <c r="I233" i="8"/>
  <c r="H233" i="8"/>
  <c r="G233" i="8"/>
  <c r="F233" i="8"/>
  <c r="AE232" i="8"/>
  <c r="AC232" i="8"/>
  <c r="AB232" i="8"/>
  <c r="AA232" i="8"/>
  <c r="Z232" i="8"/>
  <c r="Y232" i="8"/>
  <c r="X232" i="8"/>
  <c r="W232" i="8"/>
  <c r="V232" i="8"/>
  <c r="U232" i="8"/>
  <c r="T232" i="8"/>
  <c r="S232" i="8"/>
  <c r="R232" i="8"/>
  <c r="Q232" i="8"/>
  <c r="P232" i="8"/>
  <c r="O232" i="8"/>
  <c r="N232" i="8"/>
  <c r="M232" i="8"/>
  <c r="L232" i="8"/>
  <c r="K232" i="8"/>
  <c r="J232" i="8"/>
  <c r="I232" i="8"/>
  <c r="H232" i="8"/>
  <c r="G232" i="8"/>
  <c r="F232" i="8"/>
  <c r="AE231" i="8"/>
  <c r="AC231" i="8"/>
  <c r="AB231" i="8"/>
  <c r="AA231" i="8"/>
  <c r="Z231" i="8"/>
  <c r="Y231" i="8"/>
  <c r="X231" i="8"/>
  <c r="W231" i="8"/>
  <c r="V231" i="8"/>
  <c r="U231" i="8"/>
  <c r="T231" i="8"/>
  <c r="S231" i="8"/>
  <c r="R231" i="8"/>
  <c r="Q231" i="8"/>
  <c r="P231" i="8"/>
  <c r="O231" i="8"/>
  <c r="N231" i="8"/>
  <c r="M231" i="8"/>
  <c r="L231" i="8"/>
  <c r="K231" i="8"/>
  <c r="J231" i="8"/>
  <c r="I231" i="8"/>
  <c r="H231" i="8"/>
  <c r="G231" i="8"/>
  <c r="F231" i="8"/>
  <c r="AE230" i="8"/>
  <c r="AC230" i="8"/>
  <c r="AB230" i="8"/>
  <c r="AA230" i="8"/>
  <c r="Z230" i="8"/>
  <c r="Y230" i="8"/>
  <c r="X230" i="8"/>
  <c r="W230" i="8"/>
  <c r="V230" i="8"/>
  <c r="U230" i="8"/>
  <c r="T230" i="8"/>
  <c r="S230" i="8"/>
  <c r="R230" i="8"/>
  <c r="Q230" i="8"/>
  <c r="P230" i="8"/>
  <c r="O230" i="8"/>
  <c r="N230" i="8"/>
  <c r="M230" i="8"/>
  <c r="L230" i="8"/>
  <c r="K230" i="8"/>
  <c r="J230" i="8"/>
  <c r="I230" i="8"/>
  <c r="H230" i="8"/>
  <c r="G230" i="8"/>
  <c r="F230" i="8"/>
  <c r="AE229" i="8"/>
  <c r="AC229" i="8"/>
  <c r="AB229" i="8"/>
  <c r="AA229" i="8"/>
  <c r="Z229" i="8"/>
  <c r="Y229" i="8"/>
  <c r="X229" i="8"/>
  <c r="W229" i="8"/>
  <c r="V229" i="8"/>
  <c r="U229" i="8"/>
  <c r="T229" i="8"/>
  <c r="S229" i="8"/>
  <c r="R229" i="8"/>
  <c r="Q229" i="8"/>
  <c r="P229" i="8"/>
  <c r="O229" i="8"/>
  <c r="N229" i="8"/>
  <c r="M229" i="8"/>
  <c r="L229" i="8"/>
  <c r="K229" i="8"/>
  <c r="J229" i="8"/>
  <c r="I229" i="8"/>
  <c r="H229" i="8"/>
  <c r="G229" i="8"/>
  <c r="F229" i="8"/>
  <c r="AE228" i="8"/>
  <c r="AC228" i="8"/>
  <c r="AB228" i="8"/>
  <c r="AA228" i="8"/>
  <c r="Z228" i="8"/>
  <c r="Y228" i="8"/>
  <c r="X228" i="8"/>
  <c r="W228" i="8"/>
  <c r="V228" i="8"/>
  <c r="U228" i="8"/>
  <c r="T228" i="8"/>
  <c r="S228" i="8"/>
  <c r="R228" i="8"/>
  <c r="Q228" i="8"/>
  <c r="P228" i="8"/>
  <c r="O228" i="8"/>
  <c r="N228" i="8"/>
  <c r="M228" i="8"/>
  <c r="L228" i="8"/>
  <c r="K228" i="8"/>
  <c r="J228" i="8"/>
  <c r="I228" i="8"/>
  <c r="H228" i="8"/>
  <c r="G228" i="8"/>
  <c r="F228" i="8"/>
  <c r="AE227" i="8"/>
  <c r="AC227" i="8"/>
  <c r="AB227" i="8"/>
  <c r="AA227" i="8"/>
  <c r="Z227" i="8"/>
  <c r="Y227" i="8"/>
  <c r="X227" i="8"/>
  <c r="W227" i="8"/>
  <c r="V227" i="8"/>
  <c r="U227" i="8"/>
  <c r="T227" i="8"/>
  <c r="S227" i="8"/>
  <c r="R227" i="8"/>
  <c r="Q227" i="8"/>
  <c r="P227" i="8"/>
  <c r="O227" i="8"/>
  <c r="N227" i="8"/>
  <c r="M227" i="8"/>
  <c r="L227" i="8"/>
  <c r="K227" i="8"/>
  <c r="J227" i="8"/>
  <c r="I227" i="8"/>
  <c r="H227" i="8"/>
  <c r="G227" i="8"/>
  <c r="F227" i="8"/>
  <c r="AE226" i="8"/>
  <c r="AC226" i="8"/>
  <c r="AB226" i="8"/>
  <c r="AA226" i="8"/>
  <c r="Z226" i="8"/>
  <c r="Y226" i="8"/>
  <c r="X226" i="8"/>
  <c r="W226" i="8"/>
  <c r="V226" i="8"/>
  <c r="U226" i="8"/>
  <c r="T226" i="8"/>
  <c r="S226" i="8"/>
  <c r="R226" i="8"/>
  <c r="Q226" i="8"/>
  <c r="P226" i="8"/>
  <c r="O226" i="8"/>
  <c r="N226" i="8"/>
  <c r="M226" i="8"/>
  <c r="L226" i="8"/>
  <c r="K226" i="8"/>
  <c r="J226" i="8"/>
  <c r="I226" i="8"/>
  <c r="H226" i="8"/>
  <c r="G226" i="8"/>
  <c r="F226" i="8"/>
  <c r="AE225" i="8"/>
  <c r="AC225" i="8"/>
  <c r="AB225" i="8"/>
  <c r="AA225" i="8"/>
  <c r="Z225" i="8"/>
  <c r="Y225" i="8"/>
  <c r="X225" i="8"/>
  <c r="W225" i="8"/>
  <c r="V225" i="8"/>
  <c r="U225" i="8"/>
  <c r="T225" i="8"/>
  <c r="S225" i="8"/>
  <c r="R225" i="8"/>
  <c r="Q225" i="8"/>
  <c r="P225" i="8"/>
  <c r="O225" i="8"/>
  <c r="N225" i="8"/>
  <c r="M225" i="8"/>
  <c r="L225" i="8"/>
  <c r="K225" i="8"/>
  <c r="J225" i="8"/>
  <c r="I225" i="8"/>
  <c r="H225" i="8"/>
  <c r="G225" i="8"/>
  <c r="F225" i="8"/>
  <c r="AE224" i="8"/>
  <c r="AC224" i="8"/>
  <c r="AB224" i="8"/>
  <c r="AA224" i="8"/>
  <c r="Z224" i="8"/>
  <c r="Y224" i="8"/>
  <c r="X224" i="8"/>
  <c r="W224" i="8"/>
  <c r="V224" i="8"/>
  <c r="U224" i="8"/>
  <c r="T224" i="8"/>
  <c r="S224" i="8"/>
  <c r="R224" i="8"/>
  <c r="Q224" i="8"/>
  <c r="P224" i="8"/>
  <c r="O224" i="8"/>
  <c r="N224" i="8"/>
  <c r="M224" i="8"/>
  <c r="L224" i="8"/>
  <c r="K224" i="8"/>
  <c r="J224" i="8"/>
  <c r="I224" i="8"/>
  <c r="H224" i="8"/>
  <c r="G224" i="8"/>
  <c r="F224" i="8"/>
  <c r="AE223" i="8"/>
  <c r="AC223" i="8"/>
  <c r="AB223" i="8"/>
  <c r="AA223" i="8"/>
  <c r="Z223" i="8"/>
  <c r="Y223" i="8"/>
  <c r="X223" i="8"/>
  <c r="W223" i="8"/>
  <c r="V223" i="8"/>
  <c r="U223" i="8"/>
  <c r="T223" i="8"/>
  <c r="S223" i="8"/>
  <c r="R223" i="8"/>
  <c r="Q223" i="8"/>
  <c r="P223" i="8"/>
  <c r="O223" i="8"/>
  <c r="N223" i="8"/>
  <c r="M223" i="8"/>
  <c r="L223" i="8"/>
  <c r="K223" i="8"/>
  <c r="J223" i="8"/>
  <c r="I223" i="8"/>
  <c r="H223" i="8"/>
  <c r="G223" i="8"/>
  <c r="F223" i="8"/>
  <c r="AE222" i="8"/>
  <c r="AC222" i="8"/>
  <c r="AB222" i="8"/>
  <c r="AA222" i="8"/>
  <c r="Z222" i="8"/>
  <c r="Y222" i="8"/>
  <c r="X222" i="8"/>
  <c r="W222" i="8"/>
  <c r="V222" i="8"/>
  <c r="U222" i="8"/>
  <c r="T222" i="8"/>
  <c r="S222" i="8"/>
  <c r="R222" i="8"/>
  <c r="Q222" i="8"/>
  <c r="P222" i="8"/>
  <c r="O222" i="8"/>
  <c r="N222" i="8"/>
  <c r="M222" i="8"/>
  <c r="L222" i="8"/>
  <c r="K222" i="8"/>
  <c r="J222" i="8"/>
  <c r="I222" i="8"/>
  <c r="H222" i="8"/>
  <c r="G222" i="8"/>
  <c r="F222" i="8"/>
  <c r="AE221" i="8"/>
  <c r="AC221" i="8"/>
  <c r="AB221" i="8"/>
  <c r="AA221" i="8"/>
  <c r="Z221" i="8"/>
  <c r="Y221" i="8"/>
  <c r="X221" i="8"/>
  <c r="W221" i="8"/>
  <c r="V221" i="8"/>
  <c r="U221" i="8"/>
  <c r="T221" i="8"/>
  <c r="S221" i="8"/>
  <c r="R221" i="8"/>
  <c r="Q221" i="8"/>
  <c r="P221" i="8"/>
  <c r="O221" i="8"/>
  <c r="N221" i="8"/>
  <c r="M221" i="8"/>
  <c r="L221" i="8"/>
  <c r="K221" i="8"/>
  <c r="J221" i="8"/>
  <c r="I221" i="8"/>
  <c r="H221" i="8"/>
  <c r="G221" i="8"/>
  <c r="F221" i="8"/>
  <c r="AE220" i="8"/>
  <c r="AC220" i="8"/>
  <c r="AB220" i="8"/>
  <c r="AA220" i="8"/>
  <c r="Z220" i="8"/>
  <c r="Y220" i="8"/>
  <c r="X220" i="8"/>
  <c r="W220" i="8"/>
  <c r="V220" i="8"/>
  <c r="U220" i="8"/>
  <c r="T220" i="8"/>
  <c r="S220" i="8"/>
  <c r="R220" i="8"/>
  <c r="Q220" i="8"/>
  <c r="P220" i="8"/>
  <c r="O220" i="8"/>
  <c r="N220" i="8"/>
  <c r="M220" i="8"/>
  <c r="L220" i="8"/>
  <c r="K220" i="8"/>
  <c r="J220" i="8"/>
  <c r="I220" i="8"/>
  <c r="H220" i="8"/>
  <c r="G220" i="8"/>
  <c r="F220" i="8"/>
  <c r="AE219" i="8"/>
  <c r="AC219" i="8"/>
  <c r="AB219" i="8"/>
  <c r="AA219" i="8"/>
  <c r="Z219" i="8"/>
  <c r="Y219" i="8"/>
  <c r="X219" i="8"/>
  <c r="W219" i="8"/>
  <c r="V219" i="8"/>
  <c r="U219" i="8"/>
  <c r="T219" i="8"/>
  <c r="S219" i="8"/>
  <c r="R219" i="8"/>
  <c r="Q219" i="8"/>
  <c r="P219" i="8"/>
  <c r="O219" i="8"/>
  <c r="N219" i="8"/>
  <c r="M219" i="8"/>
  <c r="L219" i="8"/>
  <c r="K219" i="8"/>
  <c r="J219" i="8"/>
  <c r="I219" i="8"/>
  <c r="H219" i="8"/>
  <c r="G219" i="8"/>
  <c r="F219" i="8"/>
  <c r="AE218" i="8"/>
  <c r="AC218" i="8"/>
  <c r="AB218" i="8"/>
  <c r="AA218" i="8"/>
  <c r="Z218" i="8"/>
  <c r="Y218" i="8"/>
  <c r="X218" i="8"/>
  <c r="W218" i="8"/>
  <c r="V218" i="8"/>
  <c r="U218" i="8"/>
  <c r="T218" i="8"/>
  <c r="S218" i="8"/>
  <c r="R218" i="8"/>
  <c r="Q218" i="8"/>
  <c r="P218" i="8"/>
  <c r="O218" i="8"/>
  <c r="N218" i="8"/>
  <c r="M218" i="8"/>
  <c r="L218" i="8"/>
  <c r="K218" i="8"/>
  <c r="J218" i="8"/>
  <c r="I218" i="8"/>
  <c r="H218" i="8"/>
  <c r="G218" i="8"/>
  <c r="F218" i="8"/>
  <c r="AE217" i="8"/>
  <c r="AC217" i="8"/>
  <c r="AB217" i="8"/>
  <c r="AA217" i="8"/>
  <c r="Z217" i="8"/>
  <c r="Y217" i="8"/>
  <c r="X217" i="8"/>
  <c r="W217" i="8"/>
  <c r="V217" i="8"/>
  <c r="U217" i="8"/>
  <c r="T217" i="8"/>
  <c r="S217" i="8"/>
  <c r="R217" i="8"/>
  <c r="Q217" i="8"/>
  <c r="P217" i="8"/>
  <c r="O217" i="8"/>
  <c r="N217" i="8"/>
  <c r="M217" i="8"/>
  <c r="L217" i="8"/>
  <c r="K217" i="8"/>
  <c r="J217" i="8"/>
  <c r="I217" i="8"/>
  <c r="H217" i="8"/>
  <c r="G217" i="8"/>
  <c r="F217" i="8"/>
  <c r="AE216" i="8"/>
  <c r="AC216" i="8"/>
  <c r="AB216" i="8"/>
  <c r="AA216" i="8"/>
  <c r="Z216" i="8"/>
  <c r="Y216" i="8"/>
  <c r="X216" i="8"/>
  <c r="W216" i="8"/>
  <c r="V216" i="8"/>
  <c r="U216" i="8"/>
  <c r="T216" i="8"/>
  <c r="S216" i="8"/>
  <c r="R216" i="8"/>
  <c r="Q216" i="8"/>
  <c r="P216" i="8"/>
  <c r="O216" i="8"/>
  <c r="N216" i="8"/>
  <c r="M216" i="8"/>
  <c r="L216" i="8"/>
  <c r="K216" i="8"/>
  <c r="J216" i="8"/>
  <c r="I216" i="8"/>
  <c r="H216" i="8"/>
  <c r="G216" i="8"/>
  <c r="F216" i="8"/>
  <c r="AE215" i="8"/>
  <c r="AC215" i="8"/>
  <c r="AB215" i="8"/>
  <c r="AA215" i="8"/>
  <c r="Z215" i="8"/>
  <c r="Y215" i="8"/>
  <c r="X215" i="8"/>
  <c r="W215" i="8"/>
  <c r="V215" i="8"/>
  <c r="U215" i="8"/>
  <c r="T215" i="8"/>
  <c r="S215" i="8"/>
  <c r="R215" i="8"/>
  <c r="Q215" i="8"/>
  <c r="P215" i="8"/>
  <c r="O215" i="8"/>
  <c r="N215" i="8"/>
  <c r="M215" i="8"/>
  <c r="L215" i="8"/>
  <c r="K215" i="8"/>
  <c r="J215" i="8"/>
  <c r="I215" i="8"/>
  <c r="H215" i="8"/>
  <c r="G215" i="8"/>
  <c r="F215" i="8"/>
  <c r="AE214" i="8"/>
  <c r="AC214" i="8"/>
  <c r="AB214" i="8"/>
  <c r="AA214" i="8"/>
  <c r="Z214" i="8"/>
  <c r="Y214" i="8"/>
  <c r="X214" i="8"/>
  <c r="W214" i="8"/>
  <c r="V214" i="8"/>
  <c r="U214" i="8"/>
  <c r="T214" i="8"/>
  <c r="S214" i="8"/>
  <c r="R214" i="8"/>
  <c r="Q214" i="8"/>
  <c r="P214" i="8"/>
  <c r="O214" i="8"/>
  <c r="N214" i="8"/>
  <c r="M214" i="8"/>
  <c r="L214" i="8"/>
  <c r="K214" i="8"/>
  <c r="J214" i="8"/>
  <c r="I214" i="8"/>
  <c r="H214" i="8"/>
  <c r="G214" i="8"/>
  <c r="F214" i="8"/>
  <c r="AE213" i="8"/>
  <c r="AC213" i="8"/>
  <c r="AB213" i="8"/>
  <c r="AA213" i="8"/>
  <c r="Z213" i="8"/>
  <c r="Y213" i="8"/>
  <c r="X213" i="8"/>
  <c r="W213" i="8"/>
  <c r="V213" i="8"/>
  <c r="U213" i="8"/>
  <c r="T213" i="8"/>
  <c r="S213" i="8"/>
  <c r="R213" i="8"/>
  <c r="Q213" i="8"/>
  <c r="P213" i="8"/>
  <c r="O213" i="8"/>
  <c r="N213" i="8"/>
  <c r="M213" i="8"/>
  <c r="L213" i="8"/>
  <c r="K213" i="8"/>
  <c r="J213" i="8"/>
  <c r="I213" i="8"/>
  <c r="H213" i="8"/>
  <c r="G213" i="8"/>
  <c r="F213" i="8"/>
  <c r="AE212" i="8"/>
  <c r="AC212" i="8"/>
  <c r="AB212" i="8"/>
  <c r="AA212" i="8"/>
  <c r="Z212" i="8"/>
  <c r="Y212" i="8"/>
  <c r="X212" i="8"/>
  <c r="W212" i="8"/>
  <c r="V212" i="8"/>
  <c r="U212" i="8"/>
  <c r="T212" i="8"/>
  <c r="S212" i="8"/>
  <c r="R212" i="8"/>
  <c r="Q212" i="8"/>
  <c r="P212" i="8"/>
  <c r="O212" i="8"/>
  <c r="N212" i="8"/>
  <c r="M212" i="8"/>
  <c r="L212" i="8"/>
  <c r="K212" i="8"/>
  <c r="J212" i="8"/>
  <c r="I212" i="8"/>
  <c r="H212" i="8"/>
  <c r="G212" i="8"/>
  <c r="F212" i="8"/>
  <c r="AE211" i="8"/>
  <c r="AC211" i="8"/>
  <c r="AB211" i="8"/>
  <c r="AA211" i="8"/>
  <c r="Z211" i="8"/>
  <c r="Y211" i="8"/>
  <c r="X211" i="8"/>
  <c r="W211" i="8"/>
  <c r="V211" i="8"/>
  <c r="U211" i="8"/>
  <c r="T211" i="8"/>
  <c r="S211" i="8"/>
  <c r="R211" i="8"/>
  <c r="Q211" i="8"/>
  <c r="P211" i="8"/>
  <c r="O211" i="8"/>
  <c r="N211" i="8"/>
  <c r="M211" i="8"/>
  <c r="L211" i="8"/>
  <c r="K211" i="8"/>
  <c r="J211" i="8"/>
  <c r="I211" i="8"/>
  <c r="H211" i="8"/>
  <c r="G211" i="8"/>
  <c r="F211" i="8"/>
  <c r="AE210" i="8"/>
  <c r="AC210" i="8"/>
  <c r="AB210" i="8"/>
  <c r="AA210" i="8"/>
  <c r="Z210" i="8"/>
  <c r="Y210" i="8"/>
  <c r="X210" i="8"/>
  <c r="W210" i="8"/>
  <c r="V210" i="8"/>
  <c r="U210" i="8"/>
  <c r="T210" i="8"/>
  <c r="S210" i="8"/>
  <c r="R210" i="8"/>
  <c r="Q210" i="8"/>
  <c r="P210" i="8"/>
  <c r="O210" i="8"/>
  <c r="N210" i="8"/>
  <c r="M210" i="8"/>
  <c r="L210" i="8"/>
  <c r="K210" i="8"/>
  <c r="J210" i="8"/>
  <c r="I210" i="8"/>
  <c r="H210" i="8"/>
  <c r="G210" i="8"/>
  <c r="F210" i="8"/>
  <c r="AE209" i="8"/>
  <c r="AC209" i="8"/>
  <c r="AB209" i="8"/>
  <c r="AA209" i="8"/>
  <c r="Z209" i="8"/>
  <c r="Y209" i="8"/>
  <c r="X209" i="8"/>
  <c r="W209" i="8"/>
  <c r="V209" i="8"/>
  <c r="U209" i="8"/>
  <c r="T209" i="8"/>
  <c r="S209" i="8"/>
  <c r="R209" i="8"/>
  <c r="Q209" i="8"/>
  <c r="P209" i="8"/>
  <c r="O209" i="8"/>
  <c r="N209" i="8"/>
  <c r="M209" i="8"/>
  <c r="L209" i="8"/>
  <c r="K209" i="8"/>
  <c r="J209" i="8"/>
  <c r="I209" i="8"/>
  <c r="H209" i="8"/>
  <c r="G209" i="8"/>
  <c r="F209" i="8"/>
  <c r="AE208" i="8"/>
  <c r="AC208" i="8"/>
  <c r="AB208" i="8"/>
  <c r="AA208" i="8"/>
  <c r="Z208" i="8"/>
  <c r="Y208" i="8"/>
  <c r="X208" i="8"/>
  <c r="W208" i="8"/>
  <c r="V208" i="8"/>
  <c r="U208" i="8"/>
  <c r="T208" i="8"/>
  <c r="S208" i="8"/>
  <c r="R208" i="8"/>
  <c r="Q208" i="8"/>
  <c r="P208" i="8"/>
  <c r="O208" i="8"/>
  <c r="N208" i="8"/>
  <c r="M208" i="8"/>
  <c r="L208" i="8"/>
  <c r="K208" i="8"/>
  <c r="J208" i="8"/>
  <c r="I208" i="8"/>
  <c r="H208" i="8"/>
  <c r="G208" i="8"/>
  <c r="F208" i="8"/>
  <c r="AE207" i="8"/>
  <c r="AC207" i="8"/>
  <c r="AB207" i="8"/>
  <c r="AA207" i="8"/>
  <c r="Z207" i="8"/>
  <c r="Y207" i="8"/>
  <c r="X207" i="8"/>
  <c r="W207" i="8"/>
  <c r="V207" i="8"/>
  <c r="U207" i="8"/>
  <c r="T207" i="8"/>
  <c r="S207" i="8"/>
  <c r="R207" i="8"/>
  <c r="Q207" i="8"/>
  <c r="P207" i="8"/>
  <c r="O207" i="8"/>
  <c r="N207" i="8"/>
  <c r="M207" i="8"/>
  <c r="L207" i="8"/>
  <c r="K207" i="8"/>
  <c r="J207" i="8"/>
  <c r="I207" i="8"/>
  <c r="H207" i="8"/>
  <c r="G207" i="8"/>
  <c r="F207" i="8"/>
  <c r="AE206" i="8"/>
  <c r="AC206" i="8"/>
  <c r="AB206" i="8"/>
  <c r="AA206" i="8"/>
  <c r="Z206" i="8"/>
  <c r="Y206" i="8"/>
  <c r="X206" i="8"/>
  <c r="W206" i="8"/>
  <c r="V206" i="8"/>
  <c r="U206" i="8"/>
  <c r="T206" i="8"/>
  <c r="S206" i="8"/>
  <c r="R206" i="8"/>
  <c r="Q206" i="8"/>
  <c r="P206" i="8"/>
  <c r="O206" i="8"/>
  <c r="N206" i="8"/>
  <c r="M206" i="8"/>
  <c r="L206" i="8"/>
  <c r="K206" i="8"/>
  <c r="J206" i="8"/>
  <c r="I206" i="8"/>
  <c r="H206" i="8"/>
  <c r="G206" i="8"/>
  <c r="F206" i="8"/>
  <c r="AE205" i="8"/>
  <c r="AC205" i="8"/>
  <c r="AB205" i="8"/>
  <c r="AA205" i="8"/>
  <c r="Z205" i="8"/>
  <c r="Y205" i="8"/>
  <c r="X205" i="8"/>
  <c r="W205" i="8"/>
  <c r="V205" i="8"/>
  <c r="U205" i="8"/>
  <c r="T205" i="8"/>
  <c r="S205" i="8"/>
  <c r="R205" i="8"/>
  <c r="Q205" i="8"/>
  <c r="P205" i="8"/>
  <c r="O205" i="8"/>
  <c r="N205" i="8"/>
  <c r="M205" i="8"/>
  <c r="L205" i="8"/>
  <c r="K205" i="8"/>
  <c r="J205" i="8"/>
  <c r="I205" i="8"/>
  <c r="H205" i="8"/>
  <c r="G205" i="8"/>
  <c r="F205" i="8"/>
  <c r="AE204" i="8"/>
  <c r="AC204" i="8"/>
  <c r="AB204" i="8"/>
  <c r="AA204" i="8"/>
  <c r="Z204" i="8"/>
  <c r="Y204" i="8"/>
  <c r="X204" i="8"/>
  <c r="W204" i="8"/>
  <c r="V204" i="8"/>
  <c r="U204" i="8"/>
  <c r="T204" i="8"/>
  <c r="S204" i="8"/>
  <c r="R204" i="8"/>
  <c r="Q204" i="8"/>
  <c r="P204" i="8"/>
  <c r="O204" i="8"/>
  <c r="N204" i="8"/>
  <c r="M204" i="8"/>
  <c r="L204" i="8"/>
  <c r="K204" i="8"/>
  <c r="J204" i="8"/>
  <c r="I204" i="8"/>
  <c r="H204" i="8"/>
  <c r="G204" i="8"/>
  <c r="F204" i="8"/>
  <c r="AE203" i="8"/>
  <c r="AC203" i="8"/>
  <c r="AB203" i="8"/>
  <c r="AA203" i="8"/>
  <c r="Z203" i="8"/>
  <c r="Y203" i="8"/>
  <c r="X203" i="8"/>
  <c r="W203" i="8"/>
  <c r="V203" i="8"/>
  <c r="U203" i="8"/>
  <c r="T203" i="8"/>
  <c r="S203" i="8"/>
  <c r="R203" i="8"/>
  <c r="Q203" i="8"/>
  <c r="P203" i="8"/>
  <c r="O203" i="8"/>
  <c r="N203" i="8"/>
  <c r="M203" i="8"/>
  <c r="L203" i="8"/>
  <c r="K203" i="8"/>
  <c r="J203" i="8"/>
  <c r="I203" i="8"/>
  <c r="H203" i="8"/>
  <c r="G203" i="8"/>
  <c r="F203" i="8"/>
  <c r="AE202" i="8"/>
  <c r="AC202" i="8"/>
  <c r="AB202" i="8"/>
  <c r="AA202" i="8"/>
  <c r="Z202" i="8"/>
  <c r="Y202" i="8"/>
  <c r="X202" i="8"/>
  <c r="W202" i="8"/>
  <c r="V202" i="8"/>
  <c r="U202" i="8"/>
  <c r="T202" i="8"/>
  <c r="S202" i="8"/>
  <c r="R202" i="8"/>
  <c r="Q202" i="8"/>
  <c r="P202" i="8"/>
  <c r="O202" i="8"/>
  <c r="N202" i="8"/>
  <c r="M202" i="8"/>
  <c r="L202" i="8"/>
  <c r="K202" i="8"/>
  <c r="J202" i="8"/>
  <c r="I202" i="8"/>
  <c r="H202" i="8"/>
  <c r="G202" i="8"/>
  <c r="F202" i="8"/>
  <c r="AE201" i="8"/>
  <c r="AC201" i="8"/>
  <c r="AB201" i="8"/>
  <c r="AA201" i="8"/>
  <c r="Z201" i="8"/>
  <c r="Y201" i="8"/>
  <c r="X201" i="8"/>
  <c r="W201" i="8"/>
  <c r="V201" i="8"/>
  <c r="U201" i="8"/>
  <c r="T201" i="8"/>
  <c r="S201" i="8"/>
  <c r="R201" i="8"/>
  <c r="Q201" i="8"/>
  <c r="P201" i="8"/>
  <c r="O201" i="8"/>
  <c r="N201" i="8"/>
  <c r="M201" i="8"/>
  <c r="L201" i="8"/>
  <c r="K201" i="8"/>
  <c r="J201" i="8"/>
  <c r="I201" i="8"/>
  <c r="H201" i="8"/>
  <c r="G201" i="8"/>
  <c r="F201" i="8"/>
  <c r="AE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AE199" i="8"/>
  <c r="AC199" i="8"/>
  <c r="AB199" i="8"/>
  <c r="AA199" i="8"/>
  <c r="Z199" i="8"/>
  <c r="Y199" i="8"/>
  <c r="X199" i="8"/>
  <c r="W199" i="8"/>
  <c r="V199" i="8"/>
  <c r="U199" i="8"/>
  <c r="T199" i="8"/>
  <c r="S199" i="8"/>
  <c r="R199" i="8"/>
  <c r="Q199" i="8"/>
  <c r="P199" i="8"/>
  <c r="O199" i="8"/>
  <c r="N199" i="8"/>
  <c r="M199" i="8"/>
  <c r="L199" i="8"/>
  <c r="K199" i="8"/>
  <c r="J199" i="8"/>
  <c r="I199" i="8"/>
  <c r="H199" i="8"/>
  <c r="G199" i="8"/>
  <c r="F199" i="8"/>
  <c r="AE198" i="8"/>
  <c r="AC198" i="8"/>
  <c r="AB198" i="8"/>
  <c r="AA198" i="8"/>
  <c r="Z198" i="8"/>
  <c r="Y198" i="8"/>
  <c r="X198" i="8"/>
  <c r="W198" i="8"/>
  <c r="V198" i="8"/>
  <c r="U198" i="8"/>
  <c r="T198" i="8"/>
  <c r="S198" i="8"/>
  <c r="R198" i="8"/>
  <c r="Q198" i="8"/>
  <c r="P198" i="8"/>
  <c r="O198" i="8"/>
  <c r="N198" i="8"/>
  <c r="M198" i="8"/>
  <c r="L198" i="8"/>
  <c r="K198" i="8"/>
  <c r="J198" i="8"/>
  <c r="I198" i="8"/>
  <c r="H198" i="8"/>
  <c r="G198" i="8"/>
  <c r="F198" i="8"/>
  <c r="AE197" i="8"/>
  <c r="AC197" i="8"/>
  <c r="AB197" i="8"/>
  <c r="AA197" i="8"/>
  <c r="Z197" i="8"/>
  <c r="Y197" i="8"/>
  <c r="X197" i="8"/>
  <c r="W197" i="8"/>
  <c r="V197" i="8"/>
  <c r="U197" i="8"/>
  <c r="T197" i="8"/>
  <c r="S197" i="8"/>
  <c r="R197" i="8"/>
  <c r="Q197" i="8"/>
  <c r="P197" i="8"/>
  <c r="O197" i="8"/>
  <c r="N197" i="8"/>
  <c r="M197" i="8"/>
  <c r="L197" i="8"/>
  <c r="K197" i="8"/>
  <c r="J197" i="8"/>
  <c r="I197" i="8"/>
  <c r="H197" i="8"/>
  <c r="G197" i="8"/>
  <c r="F197" i="8"/>
  <c r="AE196" i="8"/>
  <c r="AC196" i="8"/>
  <c r="AB196" i="8"/>
  <c r="AA196" i="8"/>
  <c r="Z196" i="8"/>
  <c r="Y196" i="8"/>
  <c r="X196" i="8"/>
  <c r="W196" i="8"/>
  <c r="V196" i="8"/>
  <c r="U196" i="8"/>
  <c r="T196" i="8"/>
  <c r="S196" i="8"/>
  <c r="R196" i="8"/>
  <c r="Q196" i="8"/>
  <c r="P196" i="8"/>
  <c r="O196" i="8"/>
  <c r="N196" i="8"/>
  <c r="M196" i="8"/>
  <c r="L196" i="8"/>
  <c r="K196" i="8"/>
  <c r="J196" i="8"/>
  <c r="I196" i="8"/>
  <c r="H196" i="8"/>
  <c r="G196" i="8"/>
  <c r="F196" i="8"/>
  <c r="AE195" i="8"/>
  <c r="AC195" i="8"/>
  <c r="AB195" i="8"/>
  <c r="AA195" i="8"/>
  <c r="Z195" i="8"/>
  <c r="Y195" i="8"/>
  <c r="X195" i="8"/>
  <c r="W195" i="8"/>
  <c r="V195" i="8"/>
  <c r="U195" i="8"/>
  <c r="T195" i="8"/>
  <c r="S195" i="8"/>
  <c r="R195" i="8"/>
  <c r="Q195" i="8"/>
  <c r="P195" i="8"/>
  <c r="O195" i="8"/>
  <c r="N195" i="8"/>
  <c r="M195" i="8"/>
  <c r="L195" i="8"/>
  <c r="K195" i="8"/>
  <c r="J195" i="8"/>
  <c r="I195" i="8"/>
  <c r="H195" i="8"/>
  <c r="G195" i="8"/>
  <c r="F195" i="8"/>
  <c r="AE194" i="8"/>
  <c r="AC194" i="8"/>
  <c r="AB194" i="8"/>
  <c r="AA194" i="8"/>
  <c r="Z194" i="8"/>
  <c r="Y194" i="8"/>
  <c r="X194" i="8"/>
  <c r="W194" i="8"/>
  <c r="V194" i="8"/>
  <c r="U194" i="8"/>
  <c r="T194" i="8"/>
  <c r="S194" i="8"/>
  <c r="R194" i="8"/>
  <c r="Q194" i="8"/>
  <c r="P194" i="8"/>
  <c r="O194" i="8"/>
  <c r="N194" i="8"/>
  <c r="M194" i="8"/>
  <c r="L194" i="8"/>
  <c r="K194" i="8"/>
  <c r="J194" i="8"/>
  <c r="I194" i="8"/>
  <c r="H194" i="8"/>
  <c r="G194" i="8"/>
  <c r="F194" i="8"/>
  <c r="AE193" i="8"/>
  <c r="AC193" i="8"/>
  <c r="AB193" i="8"/>
  <c r="AA193" i="8"/>
  <c r="Z193" i="8"/>
  <c r="Y193" i="8"/>
  <c r="X193" i="8"/>
  <c r="W193" i="8"/>
  <c r="V193" i="8"/>
  <c r="U193" i="8"/>
  <c r="T193" i="8"/>
  <c r="S193" i="8"/>
  <c r="R193" i="8"/>
  <c r="Q193" i="8"/>
  <c r="P193" i="8"/>
  <c r="O193" i="8"/>
  <c r="N193" i="8"/>
  <c r="M193" i="8"/>
  <c r="L193" i="8"/>
  <c r="K193" i="8"/>
  <c r="J193" i="8"/>
  <c r="I193" i="8"/>
  <c r="H193" i="8"/>
  <c r="G193" i="8"/>
  <c r="F193" i="8"/>
  <c r="AE192" i="8"/>
  <c r="AC192" i="8"/>
  <c r="AB192" i="8"/>
  <c r="AA192" i="8"/>
  <c r="Z192" i="8"/>
  <c r="Y192" i="8"/>
  <c r="X192" i="8"/>
  <c r="W192" i="8"/>
  <c r="V192" i="8"/>
  <c r="U192" i="8"/>
  <c r="T192" i="8"/>
  <c r="S192" i="8"/>
  <c r="R192" i="8"/>
  <c r="Q192" i="8"/>
  <c r="P192" i="8"/>
  <c r="O192" i="8"/>
  <c r="N192" i="8"/>
  <c r="M192" i="8"/>
  <c r="L192" i="8"/>
  <c r="K192" i="8"/>
  <c r="J192" i="8"/>
  <c r="I192" i="8"/>
  <c r="H192" i="8"/>
  <c r="G192" i="8"/>
  <c r="F192" i="8"/>
  <c r="AE191" i="8"/>
  <c r="AC191" i="8"/>
  <c r="AB191" i="8"/>
  <c r="AA191" i="8"/>
  <c r="Z191" i="8"/>
  <c r="Y191" i="8"/>
  <c r="X191" i="8"/>
  <c r="W191" i="8"/>
  <c r="V191" i="8"/>
  <c r="U191" i="8"/>
  <c r="T191" i="8"/>
  <c r="S191" i="8"/>
  <c r="R191" i="8"/>
  <c r="Q191" i="8"/>
  <c r="P191" i="8"/>
  <c r="O191" i="8"/>
  <c r="N191" i="8"/>
  <c r="M191" i="8"/>
  <c r="L191" i="8"/>
  <c r="K191" i="8"/>
  <c r="J191" i="8"/>
  <c r="I191" i="8"/>
  <c r="H191" i="8"/>
  <c r="G191" i="8"/>
  <c r="F191" i="8"/>
  <c r="AE190" i="8"/>
  <c r="AC190" i="8"/>
  <c r="AB190" i="8"/>
  <c r="AA190" i="8"/>
  <c r="Z190" i="8"/>
  <c r="Y190" i="8"/>
  <c r="X190" i="8"/>
  <c r="W190" i="8"/>
  <c r="V190" i="8"/>
  <c r="U190" i="8"/>
  <c r="T190" i="8"/>
  <c r="S190" i="8"/>
  <c r="R190" i="8"/>
  <c r="Q190" i="8"/>
  <c r="P190" i="8"/>
  <c r="O190" i="8"/>
  <c r="N190" i="8"/>
  <c r="M190" i="8"/>
  <c r="L190" i="8"/>
  <c r="K190" i="8"/>
  <c r="J190" i="8"/>
  <c r="I190" i="8"/>
  <c r="H190" i="8"/>
  <c r="G190" i="8"/>
  <c r="F190" i="8"/>
  <c r="AE189" i="8"/>
  <c r="AC189" i="8"/>
  <c r="AB189" i="8"/>
  <c r="AA189" i="8"/>
  <c r="Z189" i="8"/>
  <c r="Y189" i="8"/>
  <c r="X189" i="8"/>
  <c r="W189" i="8"/>
  <c r="V189" i="8"/>
  <c r="U189" i="8"/>
  <c r="T189" i="8"/>
  <c r="S189" i="8"/>
  <c r="R189" i="8"/>
  <c r="Q189" i="8"/>
  <c r="P189" i="8"/>
  <c r="O189" i="8"/>
  <c r="N189" i="8"/>
  <c r="M189" i="8"/>
  <c r="L189" i="8"/>
  <c r="K189" i="8"/>
  <c r="J189" i="8"/>
  <c r="I189" i="8"/>
  <c r="H189" i="8"/>
  <c r="G189" i="8"/>
  <c r="F189" i="8"/>
  <c r="AE188" i="8"/>
  <c r="AC188" i="8"/>
  <c r="AB188" i="8"/>
  <c r="AA188" i="8"/>
  <c r="Z188" i="8"/>
  <c r="Y188" i="8"/>
  <c r="X188" i="8"/>
  <c r="W188" i="8"/>
  <c r="V188" i="8"/>
  <c r="U188" i="8"/>
  <c r="T188" i="8"/>
  <c r="S188" i="8"/>
  <c r="R188" i="8"/>
  <c r="Q188" i="8"/>
  <c r="P188" i="8"/>
  <c r="O188" i="8"/>
  <c r="N188" i="8"/>
  <c r="M188" i="8"/>
  <c r="L188" i="8"/>
  <c r="K188" i="8"/>
  <c r="J188" i="8"/>
  <c r="I188" i="8"/>
  <c r="H188" i="8"/>
  <c r="G188" i="8"/>
  <c r="F188" i="8"/>
  <c r="AE187" i="8"/>
  <c r="AC187" i="8"/>
  <c r="AB187" i="8"/>
  <c r="AA187" i="8"/>
  <c r="Z187" i="8"/>
  <c r="Y187" i="8"/>
  <c r="X187" i="8"/>
  <c r="W187" i="8"/>
  <c r="V187" i="8"/>
  <c r="U187" i="8"/>
  <c r="T187" i="8"/>
  <c r="S187" i="8"/>
  <c r="R187" i="8"/>
  <c r="Q187" i="8"/>
  <c r="P187" i="8"/>
  <c r="O187" i="8"/>
  <c r="N187" i="8"/>
  <c r="M187" i="8"/>
  <c r="L187" i="8"/>
  <c r="K187" i="8"/>
  <c r="J187" i="8"/>
  <c r="I187" i="8"/>
  <c r="H187" i="8"/>
  <c r="G187" i="8"/>
  <c r="F187" i="8"/>
  <c r="AE186" i="8"/>
  <c r="AC186" i="8"/>
  <c r="AB186" i="8"/>
  <c r="AA186" i="8"/>
  <c r="Z186" i="8"/>
  <c r="Y186" i="8"/>
  <c r="X186" i="8"/>
  <c r="W186" i="8"/>
  <c r="V186" i="8"/>
  <c r="U186" i="8"/>
  <c r="T186" i="8"/>
  <c r="S186" i="8"/>
  <c r="R186" i="8"/>
  <c r="Q186" i="8"/>
  <c r="P186" i="8"/>
  <c r="O186" i="8"/>
  <c r="N186" i="8"/>
  <c r="M186" i="8"/>
  <c r="L186" i="8"/>
  <c r="K186" i="8"/>
  <c r="J186" i="8"/>
  <c r="I186" i="8"/>
  <c r="H186" i="8"/>
  <c r="G186" i="8"/>
  <c r="F186" i="8"/>
  <c r="AE185" i="8"/>
  <c r="AC185" i="8"/>
  <c r="AB185" i="8"/>
  <c r="AA185" i="8"/>
  <c r="Z185" i="8"/>
  <c r="Y185" i="8"/>
  <c r="X185" i="8"/>
  <c r="W185" i="8"/>
  <c r="V185" i="8"/>
  <c r="U185" i="8"/>
  <c r="T185" i="8"/>
  <c r="S185" i="8"/>
  <c r="R185" i="8"/>
  <c r="Q185" i="8"/>
  <c r="P185" i="8"/>
  <c r="O185" i="8"/>
  <c r="N185" i="8"/>
  <c r="M185" i="8"/>
  <c r="L185" i="8"/>
  <c r="K185" i="8"/>
  <c r="J185" i="8"/>
  <c r="I185" i="8"/>
  <c r="H185" i="8"/>
  <c r="G185" i="8"/>
  <c r="F185" i="8"/>
  <c r="AE184" i="8"/>
  <c r="AC184" i="8"/>
  <c r="AB184" i="8"/>
  <c r="AA184" i="8"/>
  <c r="Z184" i="8"/>
  <c r="Y184" i="8"/>
  <c r="X184" i="8"/>
  <c r="W184" i="8"/>
  <c r="V184" i="8"/>
  <c r="U184" i="8"/>
  <c r="T184" i="8"/>
  <c r="S184" i="8"/>
  <c r="R184" i="8"/>
  <c r="Q184" i="8"/>
  <c r="P184" i="8"/>
  <c r="O184" i="8"/>
  <c r="N184" i="8"/>
  <c r="M184" i="8"/>
  <c r="L184" i="8"/>
  <c r="K184" i="8"/>
  <c r="J184" i="8"/>
  <c r="I184" i="8"/>
  <c r="H184" i="8"/>
  <c r="G184" i="8"/>
  <c r="F184" i="8"/>
  <c r="AE183" i="8"/>
  <c r="AC183" i="8"/>
  <c r="AB183" i="8"/>
  <c r="AA183" i="8"/>
  <c r="Z183" i="8"/>
  <c r="Y183" i="8"/>
  <c r="X183" i="8"/>
  <c r="W183" i="8"/>
  <c r="V183" i="8"/>
  <c r="U183" i="8"/>
  <c r="T183" i="8"/>
  <c r="S183" i="8"/>
  <c r="R183" i="8"/>
  <c r="Q183" i="8"/>
  <c r="P183" i="8"/>
  <c r="O183" i="8"/>
  <c r="N183" i="8"/>
  <c r="M183" i="8"/>
  <c r="L183" i="8"/>
  <c r="K183" i="8"/>
  <c r="J183" i="8"/>
  <c r="I183" i="8"/>
  <c r="H183" i="8"/>
  <c r="G183" i="8"/>
  <c r="F183" i="8"/>
  <c r="AE182" i="8"/>
  <c r="AC182" i="8"/>
  <c r="AB182" i="8"/>
  <c r="AA182" i="8"/>
  <c r="Z182" i="8"/>
  <c r="Y182" i="8"/>
  <c r="X182" i="8"/>
  <c r="W182" i="8"/>
  <c r="V182" i="8"/>
  <c r="U182" i="8"/>
  <c r="T182" i="8"/>
  <c r="S182" i="8"/>
  <c r="R182" i="8"/>
  <c r="Q182" i="8"/>
  <c r="P182" i="8"/>
  <c r="O182" i="8"/>
  <c r="N182" i="8"/>
  <c r="M182" i="8"/>
  <c r="L182" i="8"/>
  <c r="K182" i="8"/>
  <c r="J182" i="8"/>
  <c r="I182" i="8"/>
  <c r="H182" i="8"/>
  <c r="G182" i="8"/>
  <c r="F182" i="8"/>
  <c r="AE181" i="8"/>
  <c r="AC181" i="8"/>
  <c r="AB181" i="8"/>
  <c r="AA181" i="8"/>
  <c r="Z181" i="8"/>
  <c r="Y181" i="8"/>
  <c r="X181" i="8"/>
  <c r="W181" i="8"/>
  <c r="V181" i="8"/>
  <c r="U181" i="8"/>
  <c r="T181" i="8"/>
  <c r="S181" i="8"/>
  <c r="R181" i="8"/>
  <c r="Q181" i="8"/>
  <c r="P181" i="8"/>
  <c r="O181" i="8"/>
  <c r="N181" i="8"/>
  <c r="M181" i="8"/>
  <c r="L181" i="8"/>
  <c r="K181" i="8"/>
  <c r="J181" i="8"/>
  <c r="I181" i="8"/>
  <c r="H181" i="8"/>
  <c r="G181" i="8"/>
  <c r="F181" i="8"/>
  <c r="AE180" i="8"/>
  <c r="AC180" i="8"/>
  <c r="AB180" i="8"/>
  <c r="AA180" i="8"/>
  <c r="Z180" i="8"/>
  <c r="Y180" i="8"/>
  <c r="X180" i="8"/>
  <c r="W180" i="8"/>
  <c r="V180" i="8"/>
  <c r="U180" i="8"/>
  <c r="T180" i="8"/>
  <c r="S180" i="8"/>
  <c r="R180" i="8"/>
  <c r="Q180" i="8"/>
  <c r="P180" i="8"/>
  <c r="O180" i="8"/>
  <c r="N180" i="8"/>
  <c r="M180" i="8"/>
  <c r="L180" i="8"/>
  <c r="K180" i="8"/>
  <c r="J180" i="8"/>
  <c r="I180" i="8"/>
  <c r="H180" i="8"/>
  <c r="G180" i="8"/>
  <c r="F180" i="8"/>
  <c r="AE179" i="8"/>
  <c r="AC179" i="8"/>
  <c r="AB179" i="8"/>
  <c r="AA179" i="8"/>
  <c r="Z179" i="8"/>
  <c r="Y179" i="8"/>
  <c r="X179" i="8"/>
  <c r="W179" i="8"/>
  <c r="V179" i="8"/>
  <c r="U179" i="8"/>
  <c r="T179" i="8"/>
  <c r="S179" i="8"/>
  <c r="R179" i="8"/>
  <c r="Q179" i="8"/>
  <c r="P179" i="8"/>
  <c r="O179" i="8"/>
  <c r="N179" i="8"/>
  <c r="M179" i="8"/>
  <c r="L179" i="8"/>
  <c r="K179" i="8"/>
  <c r="J179" i="8"/>
  <c r="I179" i="8"/>
  <c r="H179" i="8"/>
  <c r="G179" i="8"/>
  <c r="F179" i="8"/>
  <c r="AE178" i="8"/>
  <c r="AC178" i="8"/>
  <c r="AB178" i="8"/>
  <c r="AA178" i="8"/>
  <c r="Z178" i="8"/>
  <c r="Y178" i="8"/>
  <c r="X178" i="8"/>
  <c r="W178" i="8"/>
  <c r="V178" i="8"/>
  <c r="U178" i="8"/>
  <c r="T178" i="8"/>
  <c r="S178" i="8"/>
  <c r="R178" i="8"/>
  <c r="Q178" i="8"/>
  <c r="P178" i="8"/>
  <c r="O178" i="8"/>
  <c r="N178" i="8"/>
  <c r="M178" i="8"/>
  <c r="L178" i="8"/>
  <c r="K178" i="8"/>
  <c r="J178" i="8"/>
  <c r="I178" i="8"/>
  <c r="H178" i="8"/>
  <c r="G178" i="8"/>
  <c r="F178" i="8"/>
  <c r="AE177" i="8"/>
  <c r="AC177" i="8"/>
  <c r="AB177" i="8"/>
  <c r="AA177" i="8"/>
  <c r="Z177" i="8"/>
  <c r="Y177" i="8"/>
  <c r="X177" i="8"/>
  <c r="W177" i="8"/>
  <c r="V177" i="8"/>
  <c r="U177" i="8"/>
  <c r="T177" i="8"/>
  <c r="S177" i="8"/>
  <c r="R177" i="8"/>
  <c r="Q177" i="8"/>
  <c r="P177" i="8"/>
  <c r="O177" i="8"/>
  <c r="N177" i="8"/>
  <c r="M177" i="8"/>
  <c r="L177" i="8"/>
  <c r="K177" i="8"/>
  <c r="J177" i="8"/>
  <c r="I177" i="8"/>
  <c r="H177" i="8"/>
  <c r="G177" i="8"/>
  <c r="F177" i="8"/>
  <c r="AE176" i="8"/>
  <c r="AC176" i="8"/>
  <c r="AB176" i="8"/>
  <c r="AA176" i="8"/>
  <c r="Z176" i="8"/>
  <c r="Y176" i="8"/>
  <c r="X176" i="8"/>
  <c r="W176" i="8"/>
  <c r="V176" i="8"/>
  <c r="U176" i="8"/>
  <c r="T176" i="8"/>
  <c r="S176" i="8"/>
  <c r="R176" i="8"/>
  <c r="Q176" i="8"/>
  <c r="P176" i="8"/>
  <c r="O176" i="8"/>
  <c r="N176" i="8"/>
  <c r="M176" i="8"/>
  <c r="L176" i="8"/>
  <c r="K176" i="8"/>
  <c r="J176" i="8"/>
  <c r="I176" i="8"/>
  <c r="H176" i="8"/>
  <c r="G176" i="8"/>
  <c r="F176" i="8"/>
  <c r="AE175" i="8"/>
  <c r="AC175" i="8"/>
  <c r="AB175" i="8"/>
  <c r="AA175" i="8"/>
  <c r="Z175" i="8"/>
  <c r="Y175" i="8"/>
  <c r="X175" i="8"/>
  <c r="W175" i="8"/>
  <c r="V175" i="8"/>
  <c r="U175" i="8"/>
  <c r="T175" i="8"/>
  <c r="S175" i="8"/>
  <c r="R175" i="8"/>
  <c r="Q175" i="8"/>
  <c r="P175" i="8"/>
  <c r="O175" i="8"/>
  <c r="N175" i="8"/>
  <c r="M175" i="8"/>
  <c r="L175" i="8"/>
  <c r="K175" i="8"/>
  <c r="J175" i="8"/>
  <c r="I175" i="8"/>
  <c r="H175" i="8"/>
  <c r="G175" i="8"/>
  <c r="F175" i="8"/>
  <c r="AE174" i="8"/>
  <c r="AC174" i="8"/>
  <c r="AB174" i="8"/>
  <c r="AA174" i="8"/>
  <c r="Z174" i="8"/>
  <c r="Y174" i="8"/>
  <c r="X174" i="8"/>
  <c r="W174" i="8"/>
  <c r="V174" i="8"/>
  <c r="U174" i="8"/>
  <c r="T174" i="8"/>
  <c r="S174" i="8"/>
  <c r="R174" i="8"/>
  <c r="Q174" i="8"/>
  <c r="P174" i="8"/>
  <c r="O174" i="8"/>
  <c r="N174" i="8"/>
  <c r="M174" i="8"/>
  <c r="L174" i="8"/>
  <c r="K174" i="8"/>
  <c r="J174" i="8"/>
  <c r="I174" i="8"/>
  <c r="H174" i="8"/>
  <c r="G174" i="8"/>
  <c r="F174" i="8"/>
  <c r="AE173" i="8"/>
  <c r="AC173" i="8"/>
  <c r="AB173" i="8"/>
  <c r="AA173" i="8"/>
  <c r="Z173" i="8"/>
  <c r="Y173" i="8"/>
  <c r="X173" i="8"/>
  <c r="W173" i="8"/>
  <c r="V173" i="8"/>
  <c r="U173" i="8"/>
  <c r="T173" i="8"/>
  <c r="S173" i="8"/>
  <c r="R173" i="8"/>
  <c r="Q173" i="8"/>
  <c r="P173" i="8"/>
  <c r="O173" i="8"/>
  <c r="N173" i="8"/>
  <c r="M173" i="8"/>
  <c r="L173" i="8"/>
  <c r="K173" i="8"/>
  <c r="J173" i="8"/>
  <c r="I173" i="8"/>
  <c r="H173" i="8"/>
  <c r="G173" i="8"/>
  <c r="F173" i="8"/>
  <c r="AE172" i="8"/>
  <c r="AC172" i="8"/>
  <c r="AB172" i="8"/>
  <c r="AA172" i="8"/>
  <c r="Z172" i="8"/>
  <c r="Y172" i="8"/>
  <c r="X172" i="8"/>
  <c r="W172" i="8"/>
  <c r="V172" i="8"/>
  <c r="U172" i="8"/>
  <c r="T172" i="8"/>
  <c r="S172" i="8"/>
  <c r="R172" i="8"/>
  <c r="Q172" i="8"/>
  <c r="P172" i="8"/>
  <c r="O172" i="8"/>
  <c r="N172" i="8"/>
  <c r="M172" i="8"/>
  <c r="L172" i="8"/>
  <c r="K172" i="8"/>
  <c r="J172" i="8"/>
  <c r="I172" i="8"/>
  <c r="H172" i="8"/>
  <c r="G172" i="8"/>
  <c r="F172" i="8"/>
  <c r="AE171" i="8"/>
  <c r="AC171" i="8"/>
  <c r="AB171" i="8"/>
  <c r="AA171" i="8"/>
  <c r="Z171" i="8"/>
  <c r="Y171" i="8"/>
  <c r="X171" i="8"/>
  <c r="W171" i="8"/>
  <c r="V171" i="8"/>
  <c r="U171" i="8"/>
  <c r="T171" i="8"/>
  <c r="S171" i="8"/>
  <c r="R171" i="8"/>
  <c r="Q171" i="8"/>
  <c r="P171" i="8"/>
  <c r="O171" i="8"/>
  <c r="N171" i="8"/>
  <c r="M171" i="8"/>
  <c r="L171" i="8"/>
  <c r="K171" i="8"/>
  <c r="J171" i="8"/>
  <c r="I171" i="8"/>
  <c r="H171" i="8"/>
  <c r="G171" i="8"/>
  <c r="F171" i="8"/>
  <c r="AE170" i="8"/>
  <c r="AC170" i="8"/>
  <c r="AB170" i="8"/>
  <c r="AA170" i="8"/>
  <c r="Z170" i="8"/>
  <c r="Y170" i="8"/>
  <c r="X170" i="8"/>
  <c r="W170" i="8"/>
  <c r="V170" i="8"/>
  <c r="U170" i="8"/>
  <c r="T170" i="8"/>
  <c r="S170" i="8"/>
  <c r="R170" i="8"/>
  <c r="Q170" i="8"/>
  <c r="P170" i="8"/>
  <c r="O170" i="8"/>
  <c r="N170" i="8"/>
  <c r="M170" i="8"/>
  <c r="L170" i="8"/>
  <c r="K170" i="8"/>
  <c r="J170" i="8"/>
  <c r="I170" i="8"/>
  <c r="H170" i="8"/>
  <c r="G170" i="8"/>
  <c r="F170" i="8"/>
  <c r="AE169" i="8"/>
  <c r="AC169" i="8"/>
  <c r="AB169" i="8"/>
  <c r="AA169" i="8"/>
  <c r="Z169" i="8"/>
  <c r="Y169" i="8"/>
  <c r="X169" i="8"/>
  <c r="W169" i="8"/>
  <c r="V169" i="8"/>
  <c r="U169" i="8"/>
  <c r="T169" i="8"/>
  <c r="S169" i="8"/>
  <c r="R169" i="8"/>
  <c r="Q169" i="8"/>
  <c r="P169" i="8"/>
  <c r="O169" i="8"/>
  <c r="N169" i="8"/>
  <c r="M169" i="8"/>
  <c r="L169" i="8"/>
  <c r="K169" i="8"/>
  <c r="J169" i="8"/>
  <c r="I169" i="8"/>
  <c r="H169" i="8"/>
  <c r="G169" i="8"/>
  <c r="F169" i="8"/>
  <c r="AE168" i="8"/>
  <c r="AC168" i="8"/>
  <c r="AB168" i="8"/>
  <c r="AA168" i="8"/>
  <c r="Z168" i="8"/>
  <c r="Y168" i="8"/>
  <c r="X168" i="8"/>
  <c r="W168" i="8"/>
  <c r="V168" i="8"/>
  <c r="U168" i="8"/>
  <c r="T168" i="8"/>
  <c r="S168" i="8"/>
  <c r="R168" i="8"/>
  <c r="Q168" i="8"/>
  <c r="P168" i="8"/>
  <c r="O168" i="8"/>
  <c r="N168" i="8"/>
  <c r="M168" i="8"/>
  <c r="L168" i="8"/>
  <c r="K168" i="8"/>
  <c r="J168" i="8"/>
  <c r="I168" i="8"/>
  <c r="H168" i="8"/>
  <c r="G168" i="8"/>
  <c r="F168" i="8"/>
  <c r="AE167" i="8"/>
  <c r="AC167" i="8"/>
  <c r="AB167" i="8"/>
  <c r="AA167" i="8"/>
  <c r="Z167" i="8"/>
  <c r="Y167" i="8"/>
  <c r="X167" i="8"/>
  <c r="W167" i="8"/>
  <c r="V167" i="8"/>
  <c r="U167" i="8"/>
  <c r="T167" i="8"/>
  <c r="S167" i="8"/>
  <c r="R167" i="8"/>
  <c r="Q167" i="8"/>
  <c r="P167" i="8"/>
  <c r="O167" i="8"/>
  <c r="N167" i="8"/>
  <c r="M167" i="8"/>
  <c r="L167" i="8"/>
  <c r="K167" i="8"/>
  <c r="J167" i="8"/>
  <c r="I167" i="8"/>
  <c r="H167" i="8"/>
  <c r="G167" i="8"/>
  <c r="F167" i="8"/>
  <c r="AE166" i="8"/>
  <c r="AC166" i="8"/>
  <c r="AB166" i="8"/>
  <c r="AA166" i="8"/>
  <c r="Z166" i="8"/>
  <c r="Y166" i="8"/>
  <c r="X166" i="8"/>
  <c r="W166" i="8"/>
  <c r="V166" i="8"/>
  <c r="U166" i="8"/>
  <c r="T166" i="8"/>
  <c r="S166" i="8"/>
  <c r="R166" i="8"/>
  <c r="Q166" i="8"/>
  <c r="P166" i="8"/>
  <c r="O166" i="8"/>
  <c r="N166" i="8"/>
  <c r="M166" i="8"/>
  <c r="L166" i="8"/>
  <c r="K166" i="8"/>
  <c r="J166" i="8"/>
  <c r="I166" i="8"/>
  <c r="H166" i="8"/>
  <c r="G166" i="8"/>
  <c r="F166" i="8"/>
  <c r="AE165" i="8"/>
  <c r="AC165" i="8"/>
  <c r="AB165" i="8"/>
  <c r="AA165" i="8"/>
  <c r="Z165" i="8"/>
  <c r="Y165" i="8"/>
  <c r="X165" i="8"/>
  <c r="W165" i="8"/>
  <c r="V165" i="8"/>
  <c r="U165" i="8"/>
  <c r="T165" i="8"/>
  <c r="S165" i="8"/>
  <c r="R165" i="8"/>
  <c r="Q165" i="8"/>
  <c r="P165" i="8"/>
  <c r="O165" i="8"/>
  <c r="N165" i="8"/>
  <c r="M165" i="8"/>
  <c r="L165" i="8"/>
  <c r="K165" i="8"/>
  <c r="J165" i="8"/>
  <c r="I165" i="8"/>
  <c r="H165" i="8"/>
  <c r="G165" i="8"/>
  <c r="F165" i="8"/>
  <c r="AE164" i="8"/>
  <c r="AC164" i="8"/>
  <c r="AB164" i="8"/>
  <c r="AA164" i="8"/>
  <c r="Z164" i="8"/>
  <c r="Y164" i="8"/>
  <c r="X164" i="8"/>
  <c r="W164" i="8"/>
  <c r="V164" i="8"/>
  <c r="U164" i="8"/>
  <c r="T164" i="8"/>
  <c r="S164" i="8"/>
  <c r="R164" i="8"/>
  <c r="Q164" i="8"/>
  <c r="P164" i="8"/>
  <c r="O164" i="8"/>
  <c r="N164" i="8"/>
  <c r="M164" i="8"/>
  <c r="L164" i="8"/>
  <c r="K164" i="8"/>
  <c r="J164" i="8"/>
  <c r="I164" i="8"/>
  <c r="H164" i="8"/>
  <c r="G164" i="8"/>
  <c r="F164" i="8"/>
  <c r="AE163" i="8"/>
  <c r="AC163" i="8"/>
  <c r="AB163" i="8"/>
  <c r="AA163" i="8"/>
  <c r="Z163" i="8"/>
  <c r="Y163" i="8"/>
  <c r="X163" i="8"/>
  <c r="W163" i="8"/>
  <c r="V163" i="8"/>
  <c r="U163" i="8"/>
  <c r="T163" i="8"/>
  <c r="S163" i="8"/>
  <c r="R163" i="8"/>
  <c r="Q163" i="8"/>
  <c r="P163" i="8"/>
  <c r="O163" i="8"/>
  <c r="N163" i="8"/>
  <c r="M163" i="8"/>
  <c r="L163" i="8"/>
  <c r="K163" i="8"/>
  <c r="J163" i="8"/>
  <c r="I163" i="8"/>
  <c r="H163" i="8"/>
  <c r="G163" i="8"/>
  <c r="F163" i="8"/>
  <c r="AE162" i="8"/>
  <c r="AC162" i="8"/>
  <c r="AB162" i="8"/>
  <c r="AA162" i="8"/>
  <c r="Z162" i="8"/>
  <c r="Y162" i="8"/>
  <c r="X162" i="8"/>
  <c r="W162" i="8"/>
  <c r="V162" i="8"/>
  <c r="U162" i="8"/>
  <c r="T162" i="8"/>
  <c r="S162" i="8"/>
  <c r="R162" i="8"/>
  <c r="Q162" i="8"/>
  <c r="P162" i="8"/>
  <c r="O162" i="8"/>
  <c r="N162" i="8"/>
  <c r="M162" i="8"/>
  <c r="L162" i="8"/>
  <c r="K162" i="8"/>
  <c r="J162" i="8"/>
  <c r="I162" i="8"/>
  <c r="H162" i="8"/>
  <c r="G162" i="8"/>
  <c r="F162" i="8"/>
  <c r="AE161" i="8"/>
  <c r="AC161" i="8"/>
  <c r="AB161" i="8"/>
  <c r="AA161" i="8"/>
  <c r="Z161" i="8"/>
  <c r="Y161" i="8"/>
  <c r="X161" i="8"/>
  <c r="W161" i="8"/>
  <c r="V161" i="8"/>
  <c r="U161" i="8"/>
  <c r="T161" i="8"/>
  <c r="S161" i="8"/>
  <c r="R161" i="8"/>
  <c r="Q161" i="8"/>
  <c r="P161" i="8"/>
  <c r="O161" i="8"/>
  <c r="N161" i="8"/>
  <c r="M161" i="8"/>
  <c r="L161" i="8"/>
  <c r="K161" i="8"/>
  <c r="J161" i="8"/>
  <c r="I161" i="8"/>
  <c r="H161" i="8"/>
  <c r="G161" i="8"/>
  <c r="F161" i="8"/>
  <c r="AE160" i="8"/>
  <c r="AC160" i="8"/>
  <c r="AB160" i="8"/>
  <c r="AA160" i="8"/>
  <c r="Z160" i="8"/>
  <c r="Y160" i="8"/>
  <c r="X160" i="8"/>
  <c r="W160" i="8"/>
  <c r="V160" i="8"/>
  <c r="U160" i="8"/>
  <c r="T160" i="8"/>
  <c r="S160" i="8"/>
  <c r="R160" i="8"/>
  <c r="Q160" i="8"/>
  <c r="P160" i="8"/>
  <c r="O160" i="8"/>
  <c r="N160" i="8"/>
  <c r="M160" i="8"/>
  <c r="L160" i="8"/>
  <c r="K160" i="8"/>
  <c r="J160" i="8"/>
  <c r="I160" i="8"/>
  <c r="H160" i="8"/>
  <c r="G160" i="8"/>
  <c r="F160" i="8"/>
  <c r="AE159" i="8"/>
  <c r="AC159" i="8"/>
  <c r="AB159" i="8"/>
  <c r="AA159" i="8"/>
  <c r="Z159" i="8"/>
  <c r="Y159" i="8"/>
  <c r="X159" i="8"/>
  <c r="W159" i="8"/>
  <c r="V159" i="8"/>
  <c r="U159" i="8"/>
  <c r="T159" i="8"/>
  <c r="S159" i="8"/>
  <c r="R159" i="8"/>
  <c r="Q159" i="8"/>
  <c r="P159" i="8"/>
  <c r="O159" i="8"/>
  <c r="N159" i="8"/>
  <c r="M159" i="8"/>
  <c r="L159" i="8"/>
  <c r="K159" i="8"/>
  <c r="J159" i="8"/>
  <c r="I159" i="8"/>
  <c r="H159" i="8"/>
  <c r="G159" i="8"/>
  <c r="F159" i="8"/>
  <c r="AE158" i="8"/>
  <c r="AC158" i="8"/>
  <c r="AB158" i="8"/>
  <c r="AA158" i="8"/>
  <c r="Z158" i="8"/>
  <c r="Y158" i="8"/>
  <c r="X158" i="8"/>
  <c r="W158" i="8"/>
  <c r="V158" i="8"/>
  <c r="U158" i="8"/>
  <c r="T158" i="8"/>
  <c r="S158" i="8"/>
  <c r="R158" i="8"/>
  <c r="Q158" i="8"/>
  <c r="P158" i="8"/>
  <c r="O158" i="8"/>
  <c r="N158" i="8"/>
  <c r="M158" i="8"/>
  <c r="L158" i="8"/>
  <c r="K158" i="8"/>
  <c r="J158" i="8"/>
  <c r="I158" i="8"/>
  <c r="H158" i="8"/>
  <c r="G158" i="8"/>
  <c r="F158" i="8"/>
  <c r="AE157" i="8"/>
  <c r="AC157" i="8"/>
  <c r="AB157" i="8"/>
  <c r="AA157" i="8"/>
  <c r="Z157" i="8"/>
  <c r="Y157" i="8"/>
  <c r="X157" i="8"/>
  <c r="W157" i="8"/>
  <c r="V157" i="8"/>
  <c r="U157" i="8"/>
  <c r="T157" i="8"/>
  <c r="S157" i="8"/>
  <c r="R157" i="8"/>
  <c r="Q157" i="8"/>
  <c r="P157" i="8"/>
  <c r="O157" i="8"/>
  <c r="N157" i="8"/>
  <c r="M157" i="8"/>
  <c r="L157" i="8"/>
  <c r="K157" i="8"/>
  <c r="J157" i="8"/>
  <c r="I157" i="8"/>
  <c r="H157" i="8"/>
  <c r="G157" i="8"/>
  <c r="F157" i="8"/>
  <c r="AE156" i="8"/>
  <c r="AC156" i="8"/>
  <c r="AB156" i="8"/>
  <c r="AA156" i="8"/>
  <c r="Z156" i="8"/>
  <c r="Y156" i="8"/>
  <c r="X156" i="8"/>
  <c r="W156" i="8"/>
  <c r="V156" i="8"/>
  <c r="U156" i="8"/>
  <c r="T156" i="8"/>
  <c r="S156" i="8"/>
  <c r="R156" i="8"/>
  <c r="Q156" i="8"/>
  <c r="P156" i="8"/>
  <c r="O156" i="8"/>
  <c r="N156" i="8"/>
  <c r="M156" i="8"/>
  <c r="L156" i="8"/>
  <c r="K156" i="8"/>
  <c r="J156" i="8"/>
  <c r="I156" i="8"/>
  <c r="H156" i="8"/>
  <c r="G156" i="8"/>
  <c r="F156" i="8"/>
  <c r="AE155" i="8"/>
  <c r="AC155" i="8"/>
  <c r="AB155" i="8"/>
  <c r="AA155" i="8"/>
  <c r="Z155" i="8"/>
  <c r="Y155" i="8"/>
  <c r="X155" i="8"/>
  <c r="W155" i="8"/>
  <c r="V155" i="8"/>
  <c r="U155" i="8"/>
  <c r="T155" i="8"/>
  <c r="S155" i="8"/>
  <c r="R155" i="8"/>
  <c r="Q155" i="8"/>
  <c r="P155" i="8"/>
  <c r="O155" i="8"/>
  <c r="N155" i="8"/>
  <c r="M155" i="8"/>
  <c r="L155" i="8"/>
  <c r="K155" i="8"/>
  <c r="J155" i="8"/>
  <c r="I155" i="8"/>
  <c r="H155" i="8"/>
  <c r="G155" i="8"/>
  <c r="F155" i="8"/>
  <c r="AE154" i="8"/>
  <c r="AC154" i="8"/>
  <c r="AB154" i="8"/>
  <c r="AA154" i="8"/>
  <c r="Z154" i="8"/>
  <c r="Y154" i="8"/>
  <c r="X154" i="8"/>
  <c r="W154" i="8"/>
  <c r="V154" i="8"/>
  <c r="U154" i="8"/>
  <c r="T154" i="8"/>
  <c r="S154" i="8"/>
  <c r="R154" i="8"/>
  <c r="Q154" i="8"/>
  <c r="P154" i="8"/>
  <c r="O154" i="8"/>
  <c r="N154" i="8"/>
  <c r="M154" i="8"/>
  <c r="L154" i="8"/>
  <c r="K154" i="8"/>
  <c r="J154" i="8"/>
  <c r="I154" i="8"/>
  <c r="H154" i="8"/>
  <c r="G154" i="8"/>
  <c r="F154" i="8"/>
  <c r="AE153" i="8"/>
  <c r="AC153" i="8"/>
  <c r="AB153" i="8"/>
  <c r="AA153" i="8"/>
  <c r="Z153" i="8"/>
  <c r="Y153" i="8"/>
  <c r="X153" i="8"/>
  <c r="W153" i="8"/>
  <c r="V153" i="8"/>
  <c r="U153" i="8"/>
  <c r="T153" i="8"/>
  <c r="S153" i="8"/>
  <c r="R153" i="8"/>
  <c r="Q153" i="8"/>
  <c r="P153" i="8"/>
  <c r="O153" i="8"/>
  <c r="N153" i="8"/>
  <c r="M153" i="8"/>
  <c r="L153" i="8"/>
  <c r="K153" i="8"/>
  <c r="J153" i="8"/>
  <c r="I153" i="8"/>
  <c r="H153" i="8"/>
  <c r="G153" i="8"/>
  <c r="F153" i="8"/>
  <c r="AE152" i="8"/>
  <c r="AC152" i="8"/>
  <c r="AB152" i="8"/>
  <c r="AA152" i="8"/>
  <c r="Z152" i="8"/>
  <c r="Y152" i="8"/>
  <c r="X152" i="8"/>
  <c r="W152" i="8"/>
  <c r="V152" i="8"/>
  <c r="U152" i="8"/>
  <c r="T152" i="8"/>
  <c r="S152" i="8"/>
  <c r="R152" i="8"/>
  <c r="Q152" i="8"/>
  <c r="P152" i="8"/>
  <c r="O152" i="8"/>
  <c r="N152" i="8"/>
  <c r="M152" i="8"/>
  <c r="L152" i="8"/>
  <c r="K152" i="8"/>
  <c r="J152" i="8"/>
  <c r="I152" i="8"/>
  <c r="H152" i="8"/>
  <c r="G152" i="8"/>
  <c r="F152" i="8"/>
  <c r="AE151" i="8"/>
  <c r="AC151" i="8"/>
  <c r="AB151" i="8"/>
  <c r="AA151" i="8"/>
  <c r="Z151" i="8"/>
  <c r="Y151" i="8"/>
  <c r="X151" i="8"/>
  <c r="W151" i="8"/>
  <c r="V151" i="8"/>
  <c r="U151" i="8"/>
  <c r="T151" i="8"/>
  <c r="S151" i="8"/>
  <c r="R151" i="8"/>
  <c r="Q151" i="8"/>
  <c r="P151" i="8"/>
  <c r="O151" i="8"/>
  <c r="N151" i="8"/>
  <c r="M151" i="8"/>
  <c r="L151" i="8"/>
  <c r="K151" i="8"/>
  <c r="J151" i="8"/>
  <c r="I151" i="8"/>
  <c r="H151" i="8"/>
  <c r="G151" i="8"/>
  <c r="F151" i="8"/>
  <c r="AE150" i="8"/>
  <c r="AC150" i="8"/>
  <c r="AB150" i="8"/>
  <c r="AA150" i="8"/>
  <c r="Z150" i="8"/>
  <c r="Y150" i="8"/>
  <c r="X150" i="8"/>
  <c r="W150" i="8"/>
  <c r="V150" i="8"/>
  <c r="U150" i="8"/>
  <c r="T150" i="8"/>
  <c r="S150" i="8"/>
  <c r="R150" i="8"/>
  <c r="Q150" i="8"/>
  <c r="P150" i="8"/>
  <c r="O150" i="8"/>
  <c r="N150" i="8"/>
  <c r="M150" i="8"/>
  <c r="L150" i="8"/>
  <c r="K150" i="8"/>
  <c r="J150" i="8"/>
  <c r="I150" i="8"/>
  <c r="H150" i="8"/>
  <c r="G150" i="8"/>
  <c r="F150" i="8"/>
  <c r="AE149" i="8"/>
  <c r="AC149" i="8"/>
  <c r="AB149" i="8"/>
  <c r="AA149" i="8"/>
  <c r="Z149" i="8"/>
  <c r="Y149" i="8"/>
  <c r="X149" i="8"/>
  <c r="W149" i="8"/>
  <c r="V149" i="8"/>
  <c r="U149" i="8"/>
  <c r="T149" i="8"/>
  <c r="S149" i="8"/>
  <c r="R149" i="8"/>
  <c r="Q149" i="8"/>
  <c r="P149" i="8"/>
  <c r="O149" i="8"/>
  <c r="N149" i="8"/>
  <c r="M149" i="8"/>
  <c r="L149" i="8"/>
  <c r="K149" i="8"/>
  <c r="J149" i="8"/>
  <c r="I149" i="8"/>
  <c r="H149" i="8"/>
  <c r="G149" i="8"/>
  <c r="F149" i="8"/>
  <c r="AE148" i="8"/>
  <c r="AC148" i="8"/>
  <c r="AB148" i="8"/>
  <c r="AA148" i="8"/>
  <c r="Z148" i="8"/>
  <c r="Y148" i="8"/>
  <c r="X148" i="8"/>
  <c r="W148" i="8"/>
  <c r="V148" i="8"/>
  <c r="U148" i="8"/>
  <c r="T148" i="8"/>
  <c r="S148" i="8"/>
  <c r="R148" i="8"/>
  <c r="Q148" i="8"/>
  <c r="P148" i="8"/>
  <c r="O148" i="8"/>
  <c r="N148" i="8"/>
  <c r="M148" i="8"/>
  <c r="L148" i="8"/>
  <c r="K148" i="8"/>
  <c r="J148" i="8"/>
  <c r="I148" i="8"/>
  <c r="H148" i="8"/>
  <c r="G148" i="8"/>
  <c r="F148" i="8"/>
  <c r="AE147" i="8"/>
  <c r="AC147" i="8"/>
  <c r="AB147" i="8"/>
  <c r="AA147" i="8"/>
  <c r="Z147" i="8"/>
  <c r="Y147" i="8"/>
  <c r="X147" i="8"/>
  <c r="W147" i="8"/>
  <c r="V147" i="8"/>
  <c r="U147" i="8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AE146" i="8"/>
  <c r="AC146" i="8"/>
  <c r="AB146" i="8"/>
  <c r="AA146" i="8"/>
  <c r="Z146" i="8"/>
  <c r="Y146" i="8"/>
  <c r="X146" i="8"/>
  <c r="W146" i="8"/>
  <c r="V146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AE145" i="8"/>
  <c r="AC145" i="8"/>
  <c r="AB145" i="8"/>
  <c r="AA145" i="8"/>
  <c r="Z145" i="8"/>
  <c r="Y145" i="8"/>
  <c r="X145" i="8"/>
  <c r="W145" i="8"/>
  <c r="V145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AE144" i="8"/>
  <c r="AC144" i="8"/>
  <c r="AB144" i="8"/>
  <c r="AA144" i="8"/>
  <c r="Z144" i="8"/>
  <c r="Y144" i="8"/>
  <c r="X144" i="8"/>
  <c r="W144" i="8"/>
  <c r="V144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AE143" i="8"/>
  <c r="AC143" i="8"/>
  <c r="AB143" i="8"/>
  <c r="AA143" i="8"/>
  <c r="Z143" i="8"/>
  <c r="Y143" i="8"/>
  <c r="X143" i="8"/>
  <c r="W143" i="8"/>
  <c r="V143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AE142" i="8"/>
  <c r="AC142" i="8"/>
  <c r="AB142" i="8"/>
  <c r="AA142" i="8"/>
  <c r="Z142" i="8"/>
  <c r="Y142" i="8"/>
  <c r="X142" i="8"/>
  <c r="W142" i="8"/>
  <c r="V142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AE141" i="8"/>
  <c r="AC141" i="8"/>
  <c r="AB141" i="8"/>
  <c r="AA141" i="8"/>
  <c r="Z141" i="8"/>
  <c r="Y141" i="8"/>
  <c r="X141" i="8"/>
  <c r="W141" i="8"/>
  <c r="V141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AE140" i="8"/>
  <c r="AC140" i="8"/>
  <c r="AB140" i="8"/>
  <c r="AA140" i="8"/>
  <c r="Z140" i="8"/>
  <c r="Y140" i="8"/>
  <c r="X140" i="8"/>
  <c r="W140" i="8"/>
  <c r="V140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AE139" i="8"/>
  <c r="AC139" i="8"/>
  <c r="AB139" i="8"/>
  <c r="AA139" i="8"/>
  <c r="Z139" i="8"/>
  <c r="Y139" i="8"/>
  <c r="X139" i="8"/>
  <c r="W139" i="8"/>
  <c r="V139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AE138" i="8"/>
  <c r="AC138" i="8"/>
  <c r="AB138" i="8"/>
  <c r="AA138" i="8"/>
  <c r="Z138" i="8"/>
  <c r="Y138" i="8"/>
  <c r="X138" i="8"/>
  <c r="W138" i="8"/>
  <c r="V138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AE137" i="8"/>
  <c r="AC137" i="8"/>
  <c r="AB137" i="8"/>
  <c r="AA137" i="8"/>
  <c r="Z137" i="8"/>
  <c r="Y137" i="8"/>
  <c r="X137" i="8"/>
  <c r="W137" i="8"/>
  <c r="V137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AE136" i="8"/>
  <c r="AC136" i="8"/>
  <c r="AB136" i="8"/>
  <c r="AA136" i="8"/>
  <c r="Z136" i="8"/>
  <c r="Y136" i="8"/>
  <c r="X136" i="8"/>
  <c r="W136" i="8"/>
  <c r="V136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AE135" i="8"/>
  <c r="AC135" i="8"/>
  <c r="AB135" i="8"/>
  <c r="AA135" i="8"/>
  <c r="Z135" i="8"/>
  <c r="Y135" i="8"/>
  <c r="X135" i="8"/>
  <c r="W135" i="8"/>
  <c r="V135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AE134" i="8"/>
  <c r="AC134" i="8"/>
  <c r="AB134" i="8"/>
  <c r="AA134" i="8"/>
  <c r="Z134" i="8"/>
  <c r="Y134" i="8"/>
  <c r="X134" i="8"/>
  <c r="W134" i="8"/>
  <c r="V134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AE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AE132" i="8"/>
  <c r="AC132" i="8"/>
  <c r="AB132" i="8"/>
  <c r="AA132" i="8"/>
  <c r="Z132" i="8"/>
  <c r="Y132" i="8"/>
  <c r="X132" i="8"/>
  <c r="W132" i="8"/>
  <c r="V132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AE131" i="8"/>
  <c r="AC131" i="8"/>
  <c r="AB131" i="8"/>
  <c r="AA131" i="8"/>
  <c r="Z131" i="8"/>
  <c r="Y131" i="8"/>
  <c r="X131" i="8"/>
  <c r="W131" i="8"/>
  <c r="V131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AE130" i="8"/>
  <c r="AC130" i="8"/>
  <c r="AB130" i="8"/>
  <c r="AA130" i="8"/>
  <c r="Z130" i="8"/>
  <c r="Y130" i="8"/>
  <c r="X130" i="8"/>
  <c r="W130" i="8"/>
  <c r="V130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AE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AE128" i="8"/>
  <c r="AC128" i="8"/>
  <c r="AB128" i="8"/>
  <c r="AA128" i="8"/>
  <c r="Z128" i="8"/>
  <c r="Y128" i="8"/>
  <c r="X128" i="8"/>
  <c r="W128" i="8"/>
  <c r="V128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AE127" i="8"/>
  <c r="AC127" i="8"/>
  <c r="AB127" i="8"/>
  <c r="AA127" i="8"/>
  <c r="Z127" i="8"/>
  <c r="Y127" i="8"/>
  <c r="X127" i="8"/>
  <c r="W127" i="8"/>
  <c r="V127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AE126" i="8"/>
  <c r="AC126" i="8"/>
  <c r="AB126" i="8"/>
  <c r="AA126" i="8"/>
  <c r="Z126" i="8"/>
  <c r="Y126" i="8"/>
  <c r="X126" i="8"/>
  <c r="W126" i="8"/>
  <c r="V126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AE125" i="8"/>
  <c r="AC125" i="8"/>
  <c r="AB125" i="8"/>
  <c r="AA125" i="8"/>
  <c r="Z125" i="8"/>
  <c r="Y125" i="8"/>
  <c r="X125" i="8"/>
  <c r="W125" i="8"/>
  <c r="V125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AE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AE123" i="8"/>
  <c r="AC123" i="8"/>
  <c r="AB123" i="8"/>
  <c r="AA123" i="8"/>
  <c r="Z123" i="8"/>
  <c r="Y123" i="8"/>
  <c r="X123" i="8"/>
  <c r="W123" i="8"/>
  <c r="V123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AE122" i="8"/>
  <c r="AC122" i="8"/>
  <c r="AB122" i="8"/>
  <c r="AA122" i="8"/>
  <c r="Z122" i="8"/>
  <c r="Y122" i="8"/>
  <c r="X122" i="8"/>
  <c r="W122" i="8"/>
  <c r="V122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AE121" i="8"/>
  <c r="AC121" i="8"/>
  <c r="AB121" i="8"/>
  <c r="AA121" i="8"/>
  <c r="Z121" i="8"/>
  <c r="Y121" i="8"/>
  <c r="X121" i="8"/>
  <c r="W121" i="8"/>
  <c r="V121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AE120" i="8"/>
  <c r="AC120" i="8"/>
  <c r="AB120" i="8"/>
  <c r="AA120" i="8"/>
  <c r="Z120" i="8"/>
  <c r="Y120" i="8"/>
  <c r="X120" i="8"/>
  <c r="W120" i="8"/>
  <c r="V120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AE119" i="8"/>
  <c r="AC119" i="8"/>
  <c r="AB119" i="8"/>
  <c r="AA119" i="8"/>
  <c r="Z119" i="8"/>
  <c r="Y119" i="8"/>
  <c r="X119" i="8"/>
  <c r="W119" i="8"/>
  <c r="V119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AE118" i="8"/>
  <c r="AC118" i="8"/>
  <c r="AB118" i="8"/>
  <c r="AA118" i="8"/>
  <c r="Z118" i="8"/>
  <c r="Y118" i="8"/>
  <c r="X118" i="8"/>
  <c r="W118" i="8"/>
  <c r="V118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AE117" i="8"/>
  <c r="AC117" i="8"/>
  <c r="AB117" i="8"/>
  <c r="AA117" i="8"/>
  <c r="Z117" i="8"/>
  <c r="Y117" i="8"/>
  <c r="X117" i="8"/>
  <c r="W117" i="8"/>
  <c r="V117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AE116" i="8"/>
  <c r="AC116" i="8"/>
  <c r="AB116" i="8"/>
  <c r="AA116" i="8"/>
  <c r="Z116" i="8"/>
  <c r="Y116" i="8"/>
  <c r="X116" i="8"/>
  <c r="W116" i="8"/>
  <c r="V116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AE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AE114" i="8"/>
  <c r="AC114" i="8"/>
  <c r="AB114" i="8"/>
  <c r="AA114" i="8"/>
  <c r="Z114" i="8"/>
  <c r="Y114" i="8"/>
  <c r="X114" i="8"/>
  <c r="W114" i="8"/>
  <c r="V114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AE113" i="8"/>
  <c r="AC113" i="8"/>
  <c r="AB113" i="8"/>
  <c r="AA113" i="8"/>
  <c r="Z113" i="8"/>
  <c r="Y113" i="8"/>
  <c r="X113" i="8"/>
  <c r="W113" i="8"/>
  <c r="V113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AE112" i="8"/>
  <c r="AC112" i="8"/>
  <c r="AB112" i="8"/>
  <c r="AA112" i="8"/>
  <c r="Z112" i="8"/>
  <c r="Y112" i="8"/>
  <c r="X112" i="8"/>
  <c r="W112" i="8"/>
  <c r="V112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AE111" i="8"/>
  <c r="AC111" i="8"/>
  <c r="AB111" i="8"/>
  <c r="AA111" i="8"/>
  <c r="Z111" i="8"/>
  <c r="Y111" i="8"/>
  <c r="X111" i="8"/>
  <c r="W111" i="8"/>
  <c r="V111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AE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AE109" i="8"/>
  <c r="AC109" i="8"/>
  <c r="AB109" i="8"/>
  <c r="AA109" i="8"/>
  <c r="Z109" i="8"/>
  <c r="Y109" i="8"/>
  <c r="X109" i="8"/>
  <c r="W109" i="8"/>
  <c r="V109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AE108" i="8"/>
  <c r="AC108" i="8"/>
  <c r="AB108" i="8"/>
  <c r="AA108" i="8"/>
  <c r="Z108" i="8"/>
  <c r="Y108" i="8"/>
  <c r="X108" i="8"/>
  <c r="W108" i="8"/>
  <c r="V108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AE107" i="8"/>
  <c r="AC107" i="8"/>
  <c r="AB107" i="8"/>
  <c r="AA107" i="8"/>
  <c r="Z107" i="8"/>
  <c r="Y107" i="8"/>
  <c r="X107" i="8"/>
  <c r="W107" i="8"/>
  <c r="V107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AE106" i="8"/>
  <c r="AC106" i="8"/>
  <c r="AB106" i="8"/>
  <c r="AA106" i="8"/>
  <c r="Z106" i="8"/>
  <c r="Y106" i="8"/>
  <c r="X106" i="8"/>
  <c r="W106" i="8"/>
  <c r="V106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AE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AE104" i="8"/>
  <c r="AC104" i="8"/>
  <c r="AB104" i="8"/>
  <c r="AA104" i="8"/>
  <c r="Z104" i="8"/>
  <c r="Y104" i="8"/>
  <c r="X104" i="8"/>
  <c r="W104" i="8"/>
  <c r="V104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AE103" i="8"/>
  <c r="AC103" i="8"/>
  <c r="AB103" i="8"/>
  <c r="AA103" i="8"/>
  <c r="Z103" i="8"/>
  <c r="Y103" i="8"/>
  <c r="X103" i="8"/>
  <c r="W103" i="8"/>
  <c r="V103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AE102" i="8"/>
  <c r="AC102" i="8"/>
  <c r="AB102" i="8"/>
  <c r="AA102" i="8"/>
  <c r="Z102" i="8"/>
  <c r="Y102" i="8"/>
  <c r="X102" i="8"/>
  <c r="W102" i="8"/>
  <c r="V102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AE101" i="8"/>
  <c r="AC101" i="8"/>
  <c r="AB101" i="8"/>
  <c r="AA101" i="8"/>
  <c r="Z101" i="8"/>
  <c r="Y101" i="8"/>
  <c r="X101" i="8"/>
  <c r="W101" i="8"/>
  <c r="V101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AE100" i="8"/>
  <c r="AC100" i="8"/>
  <c r="AB100" i="8"/>
  <c r="AA100" i="8"/>
  <c r="Z100" i="8"/>
  <c r="Y100" i="8"/>
  <c r="X100" i="8"/>
  <c r="W100" i="8"/>
  <c r="V100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AE99" i="8"/>
  <c r="AC99" i="8"/>
  <c r="AB99" i="8"/>
  <c r="AA99" i="8"/>
  <c r="Z99" i="8"/>
  <c r="Y99" i="8"/>
  <c r="X99" i="8"/>
  <c r="W99" i="8"/>
  <c r="V99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AE98" i="8"/>
  <c r="AC98" i="8"/>
  <c r="AB98" i="8"/>
  <c r="AA98" i="8"/>
  <c r="Z98" i="8"/>
  <c r="Y98" i="8"/>
  <c r="X98" i="8"/>
  <c r="W98" i="8"/>
  <c r="V98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AE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AE96" i="8"/>
  <c r="AC96" i="8"/>
  <c r="AB96" i="8"/>
  <c r="AA96" i="8"/>
  <c r="Z96" i="8"/>
  <c r="Y96" i="8"/>
  <c r="X96" i="8"/>
  <c r="W96" i="8"/>
  <c r="V96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AE95" i="8"/>
  <c r="AC95" i="8"/>
  <c r="AB95" i="8"/>
  <c r="AA95" i="8"/>
  <c r="Z95" i="8"/>
  <c r="Y95" i="8"/>
  <c r="X95" i="8"/>
  <c r="W95" i="8"/>
  <c r="V95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AE94" i="8"/>
  <c r="AC94" i="8"/>
  <c r="AB94" i="8"/>
  <c r="AA94" i="8"/>
  <c r="Z94" i="8"/>
  <c r="Y94" i="8"/>
  <c r="X94" i="8"/>
  <c r="W94" i="8"/>
  <c r="V94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AE93" i="8"/>
  <c r="AC93" i="8"/>
  <c r="AB93" i="8"/>
  <c r="AA93" i="8"/>
  <c r="Z93" i="8"/>
  <c r="Y93" i="8"/>
  <c r="X93" i="8"/>
  <c r="W93" i="8"/>
  <c r="V93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AE92" i="8"/>
  <c r="AC92" i="8"/>
  <c r="AB92" i="8"/>
  <c r="AA92" i="8"/>
  <c r="Z92" i="8"/>
  <c r="Y92" i="8"/>
  <c r="X92" i="8"/>
  <c r="W92" i="8"/>
  <c r="V92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AE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AE90" i="8"/>
  <c r="AC90" i="8"/>
  <c r="AB90" i="8"/>
  <c r="AA90" i="8"/>
  <c r="Z90" i="8"/>
  <c r="Y90" i="8"/>
  <c r="X90" i="8"/>
  <c r="W90" i="8"/>
  <c r="V90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AE89" i="8"/>
  <c r="AC89" i="8"/>
  <c r="AB89" i="8"/>
  <c r="AA89" i="8"/>
  <c r="Z89" i="8"/>
  <c r="Y89" i="8"/>
  <c r="X89" i="8"/>
  <c r="W89" i="8"/>
  <c r="V89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AE88" i="8"/>
  <c r="AC88" i="8"/>
  <c r="AB88" i="8"/>
  <c r="AA88" i="8"/>
  <c r="Z88" i="8"/>
  <c r="Y88" i="8"/>
  <c r="X88" i="8"/>
  <c r="W88" i="8"/>
  <c r="V88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AE87" i="8"/>
  <c r="AC87" i="8"/>
  <c r="AB87" i="8"/>
  <c r="AA87" i="8"/>
  <c r="Z87" i="8"/>
  <c r="Y87" i="8"/>
  <c r="X87" i="8"/>
  <c r="W87" i="8"/>
  <c r="V87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AE86" i="8"/>
  <c r="AC86" i="8"/>
  <c r="AB86" i="8"/>
  <c r="AA86" i="8"/>
  <c r="Z86" i="8"/>
  <c r="Y86" i="8"/>
  <c r="X86" i="8"/>
  <c r="W86" i="8"/>
  <c r="V86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AE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AE84" i="8"/>
  <c r="AC84" i="8"/>
  <c r="AB84" i="8"/>
  <c r="AA84" i="8"/>
  <c r="Z84" i="8"/>
  <c r="Y84" i="8"/>
  <c r="X84" i="8"/>
  <c r="W84" i="8"/>
  <c r="V84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AE83" i="8"/>
  <c r="AC83" i="8"/>
  <c r="AB83" i="8"/>
  <c r="AA83" i="8"/>
  <c r="Z83" i="8"/>
  <c r="Y83" i="8"/>
  <c r="X83" i="8"/>
  <c r="W83" i="8"/>
  <c r="V83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AE82" i="8"/>
  <c r="AC82" i="8"/>
  <c r="AB82" i="8"/>
  <c r="AA82" i="8"/>
  <c r="Z82" i="8"/>
  <c r="Y82" i="8"/>
  <c r="X82" i="8"/>
  <c r="W82" i="8"/>
  <c r="V82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AE81" i="8"/>
  <c r="AC81" i="8"/>
  <c r="AB81" i="8"/>
  <c r="AA81" i="8"/>
  <c r="Z81" i="8"/>
  <c r="Y81" i="8"/>
  <c r="X81" i="8"/>
  <c r="W81" i="8"/>
  <c r="V81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AE80" i="8"/>
  <c r="AC80" i="8"/>
  <c r="AB80" i="8"/>
  <c r="AA80" i="8"/>
  <c r="Z80" i="8"/>
  <c r="Y80" i="8"/>
  <c r="X80" i="8"/>
  <c r="W80" i="8"/>
  <c r="V80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AE79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AE78" i="8"/>
  <c r="AC78" i="8"/>
  <c r="AB78" i="8"/>
  <c r="AA78" i="8"/>
  <c r="Z78" i="8"/>
  <c r="Y78" i="8"/>
  <c r="X78" i="8"/>
  <c r="W78" i="8"/>
  <c r="V78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AE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AE76" i="8"/>
  <c r="AC76" i="8"/>
  <c r="AB76" i="8"/>
  <c r="AA76" i="8"/>
  <c r="Z76" i="8"/>
  <c r="Y76" i="8"/>
  <c r="X76" i="8"/>
  <c r="W76" i="8"/>
  <c r="V76" i="8"/>
  <c r="U76" i="8"/>
  <c r="T76" i="8"/>
  <c r="S76" i="8"/>
  <c r="R76" i="8"/>
  <c r="Q76" i="8"/>
  <c r="P76" i="8"/>
  <c r="O76" i="8"/>
  <c r="N76" i="8"/>
  <c r="M76" i="8"/>
  <c r="L76" i="8"/>
  <c r="K76" i="8"/>
  <c r="J76" i="8"/>
  <c r="I76" i="8"/>
  <c r="H76" i="8"/>
  <c r="G76" i="8"/>
  <c r="F76" i="8"/>
  <c r="AE75" i="8"/>
  <c r="AC75" i="8"/>
  <c r="AB75" i="8"/>
  <c r="AA75" i="8"/>
  <c r="Z75" i="8"/>
  <c r="Y75" i="8"/>
  <c r="X75" i="8"/>
  <c r="W75" i="8"/>
  <c r="V75" i="8"/>
  <c r="U75" i="8"/>
  <c r="T75" i="8"/>
  <c r="S75" i="8"/>
  <c r="R75" i="8"/>
  <c r="Q75" i="8"/>
  <c r="P75" i="8"/>
  <c r="O75" i="8"/>
  <c r="N75" i="8"/>
  <c r="M75" i="8"/>
  <c r="L75" i="8"/>
  <c r="K75" i="8"/>
  <c r="J75" i="8"/>
  <c r="I75" i="8"/>
  <c r="H75" i="8"/>
  <c r="G75" i="8"/>
  <c r="F75" i="8"/>
  <c r="AE74" i="8"/>
  <c r="AC74" i="8"/>
  <c r="AB74" i="8"/>
  <c r="AA74" i="8"/>
  <c r="Z74" i="8"/>
  <c r="Y74" i="8"/>
  <c r="X74" i="8"/>
  <c r="W74" i="8"/>
  <c r="V74" i="8"/>
  <c r="U74" i="8"/>
  <c r="T74" i="8"/>
  <c r="S74" i="8"/>
  <c r="R74" i="8"/>
  <c r="Q74" i="8"/>
  <c r="P74" i="8"/>
  <c r="O74" i="8"/>
  <c r="N74" i="8"/>
  <c r="M74" i="8"/>
  <c r="L74" i="8"/>
  <c r="K74" i="8"/>
  <c r="J74" i="8"/>
  <c r="I74" i="8"/>
  <c r="H74" i="8"/>
  <c r="G74" i="8"/>
  <c r="F74" i="8"/>
  <c r="AE73" i="8"/>
  <c r="AC73" i="8"/>
  <c r="AB73" i="8"/>
  <c r="AA73" i="8"/>
  <c r="Z73" i="8"/>
  <c r="Y73" i="8"/>
  <c r="X73" i="8"/>
  <c r="W73" i="8"/>
  <c r="V73" i="8"/>
  <c r="U73" i="8"/>
  <c r="T73" i="8"/>
  <c r="S73" i="8"/>
  <c r="R73" i="8"/>
  <c r="Q73" i="8"/>
  <c r="P73" i="8"/>
  <c r="O73" i="8"/>
  <c r="N73" i="8"/>
  <c r="M73" i="8"/>
  <c r="L73" i="8"/>
  <c r="K73" i="8"/>
  <c r="J73" i="8"/>
  <c r="I73" i="8"/>
  <c r="H73" i="8"/>
  <c r="G73" i="8"/>
  <c r="F73" i="8"/>
  <c r="AE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G72" i="8"/>
  <c r="F72" i="8"/>
  <c r="AE71" i="8"/>
  <c r="AC71" i="8"/>
  <c r="AB71" i="8"/>
  <c r="AA71" i="8"/>
  <c r="Z71" i="8"/>
  <c r="Y71" i="8"/>
  <c r="X71" i="8"/>
  <c r="W71" i="8"/>
  <c r="V71" i="8"/>
  <c r="U71" i="8"/>
  <c r="T71" i="8"/>
  <c r="S71" i="8"/>
  <c r="R71" i="8"/>
  <c r="Q71" i="8"/>
  <c r="P71" i="8"/>
  <c r="O71" i="8"/>
  <c r="N71" i="8"/>
  <c r="M71" i="8"/>
  <c r="L71" i="8"/>
  <c r="K71" i="8"/>
  <c r="J71" i="8"/>
  <c r="I71" i="8"/>
  <c r="H71" i="8"/>
  <c r="G71" i="8"/>
  <c r="F71" i="8"/>
  <c r="AE70" i="8"/>
  <c r="AC70" i="8"/>
  <c r="AB70" i="8"/>
  <c r="AA70" i="8"/>
  <c r="Z70" i="8"/>
  <c r="Y70" i="8"/>
  <c r="X70" i="8"/>
  <c r="W70" i="8"/>
  <c r="V70" i="8"/>
  <c r="U70" i="8"/>
  <c r="T70" i="8"/>
  <c r="S70" i="8"/>
  <c r="R70" i="8"/>
  <c r="Q70" i="8"/>
  <c r="P70" i="8"/>
  <c r="O70" i="8"/>
  <c r="N70" i="8"/>
  <c r="M70" i="8"/>
  <c r="L70" i="8"/>
  <c r="K70" i="8"/>
  <c r="J70" i="8"/>
  <c r="I70" i="8"/>
  <c r="H70" i="8"/>
  <c r="G70" i="8"/>
  <c r="F70" i="8"/>
  <c r="AE69" i="8"/>
  <c r="AC69" i="8"/>
  <c r="AB69" i="8"/>
  <c r="AA69" i="8"/>
  <c r="Z69" i="8"/>
  <c r="Y69" i="8"/>
  <c r="X69" i="8"/>
  <c r="W69" i="8"/>
  <c r="V69" i="8"/>
  <c r="U69" i="8"/>
  <c r="T69" i="8"/>
  <c r="S69" i="8"/>
  <c r="R69" i="8"/>
  <c r="Q69" i="8"/>
  <c r="P69" i="8"/>
  <c r="O69" i="8"/>
  <c r="N69" i="8"/>
  <c r="M69" i="8"/>
  <c r="L69" i="8"/>
  <c r="K69" i="8"/>
  <c r="J69" i="8"/>
  <c r="I69" i="8"/>
  <c r="H69" i="8"/>
  <c r="G69" i="8"/>
  <c r="F69" i="8"/>
  <c r="AE68" i="8"/>
  <c r="AC68" i="8"/>
  <c r="AB68" i="8"/>
  <c r="AA68" i="8"/>
  <c r="Z68" i="8"/>
  <c r="Y68" i="8"/>
  <c r="X68" i="8"/>
  <c r="W68" i="8"/>
  <c r="V68" i="8"/>
  <c r="U68" i="8"/>
  <c r="T68" i="8"/>
  <c r="S68" i="8"/>
  <c r="R68" i="8"/>
  <c r="Q68" i="8"/>
  <c r="P68" i="8"/>
  <c r="O68" i="8"/>
  <c r="N68" i="8"/>
  <c r="M68" i="8"/>
  <c r="L68" i="8"/>
  <c r="K68" i="8"/>
  <c r="J68" i="8"/>
  <c r="I68" i="8"/>
  <c r="H68" i="8"/>
  <c r="G68" i="8"/>
  <c r="F68" i="8"/>
  <c r="AE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G67" i="8"/>
  <c r="F67" i="8"/>
  <c r="AE66" i="8"/>
  <c r="AC66" i="8"/>
  <c r="AB66" i="8"/>
  <c r="AA66" i="8"/>
  <c r="Z66" i="8"/>
  <c r="Y66" i="8"/>
  <c r="X66" i="8"/>
  <c r="W66" i="8"/>
  <c r="V66" i="8"/>
  <c r="U66" i="8"/>
  <c r="T66" i="8"/>
  <c r="S66" i="8"/>
  <c r="R66" i="8"/>
  <c r="Q66" i="8"/>
  <c r="P66" i="8"/>
  <c r="O66" i="8"/>
  <c r="N66" i="8"/>
  <c r="M66" i="8"/>
  <c r="L66" i="8"/>
  <c r="K66" i="8"/>
  <c r="J66" i="8"/>
  <c r="I66" i="8"/>
  <c r="H66" i="8"/>
  <c r="G66" i="8"/>
  <c r="F66" i="8"/>
  <c r="AE65" i="8"/>
  <c r="AC65" i="8"/>
  <c r="AB65" i="8"/>
  <c r="AA65" i="8"/>
  <c r="Z65" i="8"/>
  <c r="Y65" i="8"/>
  <c r="X65" i="8"/>
  <c r="W65" i="8"/>
  <c r="V65" i="8"/>
  <c r="U65" i="8"/>
  <c r="T65" i="8"/>
  <c r="S65" i="8"/>
  <c r="R65" i="8"/>
  <c r="Q65" i="8"/>
  <c r="P65" i="8"/>
  <c r="O65" i="8"/>
  <c r="N65" i="8"/>
  <c r="M65" i="8"/>
  <c r="L65" i="8"/>
  <c r="K65" i="8"/>
  <c r="J65" i="8"/>
  <c r="I65" i="8"/>
  <c r="H65" i="8"/>
  <c r="G65" i="8"/>
  <c r="F65" i="8"/>
  <c r="AE64" i="8"/>
  <c r="AC64" i="8"/>
  <c r="AB64" i="8"/>
  <c r="AA64" i="8"/>
  <c r="Z64" i="8"/>
  <c r="Y64" i="8"/>
  <c r="X64" i="8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AE63" i="8"/>
  <c r="AC63" i="8"/>
  <c r="AB63" i="8"/>
  <c r="AA63" i="8"/>
  <c r="Z63" i="8"/>
  <c r="Y63" i="8"/>
  <c r="X63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AE62" i="8"/>
  <c r="AC62" i="8"/>
  <c r="AB62" i="8"/>
  <c r="AA62" i="8"/>
  <c r="Z62" i="8"/>
  <c r="Y62" i="8"/>
  <c r="X62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AE61" i="8"/>
  <c r="AC61" i="8"/>
  <c r="AB61" i="8"/>
  <c r="AA61" i="8"/>
  <c r="Z61" i="8"/>
  <c r="Y61" i="8"/>
  <c r="X61" i="8"/>
  <c r="W61" i="8"/>
  <c r="V61" i="8"/>
  <c r="U61" i="8"/>
  <c r="T61" i="8"/>
  <c r="S61" i="8"/>
  <c r="R61" i="8"/>
  <c r="Q61" i="8"/>
  <c r="P61" i="8"/>
  <c r="O61" i="8"/>
  <c r="N61" i="8"/>
  <c r="M61" i="8"/>
  <c r="L61" i="8"/>
  <c r="K61" i="8"/>
  <c r="J61" i="8"/>
  <c r="I61" i="8"/>
  <c r="H61" i="8"/>
  <c r="G61" i="8"/>
  <c r="F61" i="8"/>
  <c r="AE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AE59" i="8"/>
  <c r="AC59" i="8"/>
  <c r="AB59" i="8"/>
  <c r="AA59" i="8"/>
  <c r="Z59" i="8"/>
  <c r="Y59" i="8"/>
  <c r="X59" i="8"/>
  <c r="W59" i="8"/>
  <c r="V59" i="8"/>
  <c r="U59" i="8"/>
  <c r="T59" i="8"/>
  <c r="S59" i="8"/>
  <c r="R59" i="8"/>
  <c r="Q59" i="8"/>
  <c r="P59" i="8"/>
  <c r="O59" i="8"/>
  <c r="N59" i="8"/>
  <c r="M59" i="8"/>
  <c r="L59" i="8"/>
  <c r="K59" i="8"/>
  <c r="J59" i="8"/>
  <c r="I59" i="8"/>
  <c r="H59" i="8"/>
  <c r="G59" i="8"/>
  <c r="F59" i="8"/>
  <c r="AE58" i="8"/>
  <c r="AC58" i="8"/>
  <c r="AB58" i="8"/>
  <c r="AA58" i="8"/>
  <c r="Z58" i="8"/>
  <c r="Y58" i="8"/>
  <c r="X58" i="8"/>
  <c r="W58" i="8"/>
  <c r="V58" i="8"/>
  <c r="U58" i="8"/>
  <c r="T58" i="8"/>
  <c r="S58" i="8"/>
  <c r="R58" i="8"/>
  <c r="Q58" i="8"/>
  <c r="P58" i="8"/>
  <c r="O58" i="8"/>
  <c r="N58" i="8"/>
  <c r="M58" i="8"/>
  <c r="L58" i="8"/>
  <c r="K58" i="8"/>
  <c r="J58" i="8"/>
  <c r="I58" i="8"/>
  <c r="H58" i="8"/>
  <c r="G58" i="8"/>
  <c r="F58" i="8"/>
  <c r="AE57" i="8"/>
  <c r="AC57" i="8"/>
  <c r="AB57" i="8"/>
  <c r="AA57" i="8"/>
  <c r="Z57" i="8"/>
  <c r="Y57" i="8"/>
  <c r="X57" i="8"/>
  <c r="W57" i="8"/>
  <c r="V57" i="8"/>
  <c r="U57" i="8"/>
  <c r="T57" i="8"/>
  <c r="S57" i="8"/>
  <c r="R57" i="8"/>
  <c r="Q57" i="8"/>
  <c r="P57" i="8"/>
  <c r="O57" i="8"/>
  <c r="N57" i="8"/>
  <c r="M57" i="8"/>
  <c r="L57" i="8"/>
  <c r="K57" i="8"/>
  <c r="J57" i="8"/>
  <c r="I57" i="8"/>
  <c r="H57" i="8"/>
  <c r="G57" i="8"/>
  <c r="F57" i="8"/>
  <c r="AE56" i="8"/>
  <c r="AC56" i="8"/>
  <c r="AB56" i="8"/>
  <c r="AA56" i="8"/>
  <c r="Z56" i="8"/>
  <c r="Y56" i="8"/>
  <c r="X56" i="8"/>
  <c r="W56" i="8"/>
  <c r="V56" i="8"/>
  <c r="U56" i="8"/>
  <c r="T56" i="8"/>
  <c r="S56" i="8"/>
  <c r="R56" i="8"/>
  <c r="Q56" i="8"/>
  <c r="P56" i="8"/>
  <c r="O56" i="8"/>
  <c r="N56" i="8"/>
  <c r="M56" i="8"/>
  <c r="L56" i="8"/>
  <c r="K56" i="8"/>
  <c r="J56" i="8"/>
  <c r="I56" i="8"/>
  <c r="H56" i="8"/>
  <c r="G56" i="8"/>
  <c r="F56" i="8"/>
  <c r="AE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G55" i="8"/>
  <c r="F55" i="8"/>
  <c r="AE54" i="8"/>
  <c r="AC54" i="8"/>
  <c r="AB54" i="8"/>
  <c r="AA54" i="8"/>
  <c r="Z54" i="8"/>
  <c r="Y54" i="8"/>
  <c r="X54" i="8"/>
  <c r="W54" i="8"/>
  <c r="V54" i="8"/>
  <c r="U54" i="8"/>
  <c r="T54" i="8"/>
  <c r="S54" i="8"/>
  <c r="R54" i="8"/>
  <c r="Q54" i="8"/>
  <c r="P54" i="8"/>
  <c r="O54" i="8"/>
  <c r="N54" i="8"/>
  <c r="M54" i="8"/>
  <c r="L54" i="8"/>
  <c r="K54" i="8"/>
  <c r="J54" i="8"/>
  <c r="I54" i="8"/>
  <c r="H54" i="8"/>
  <c r="G54" i="8"/>
  <c r="F54" i="8"/>
  <c r="AE53" i="8"/>
  <c r="AC53" i="8"/>
  <c r="AB53" i="8"/>
  <c r="AA53" i="8"/>
  <c r="Z53" i="8"/>
  <c r="Y53" i="8"/>
  <c r="X53" i="8"/>
  <c r="W53" i="8"/>
  <c r="V53" i="8"/>
  <c r="U53" i="8"/>
  <c r="T53" i="8"/>
  <c r="S53" i="8"/>
  <c r="R53" i="8"/>
  <c r="Q53" i="8"/>
  <c r="P53" i="8"/>
  <c r="O53" i="8"/>
  <c r="N53" i="8"/>
  <c r="M53" i="8"/>
  <c r="L53" i="8"/>
  <c r="K53" i="8"/>
  <c r="J53" i="8"/>
  <c r="I53" i="8"/>
  <c r="H53" i="8"/>
  <c r="G53" i="8"/>
  <c r="F53" i="8"/>
  <c r="AE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G52" i="8"/>
  <c r="F52" i="8"/>
  <c r="AE51" i="8"/>
  <c r="AC51" i="8"/>
  <c r="AB51" i="8"/>
  <c r="AA51" i="8"/>
  <c r="Z51" i="8"/>
  <c r="Y51" i="8"/>
  <c r="X51" i="8"/>
  <c r="W51" i="8"/>
  <c r="V51" i="8"/>
  <c r="U51" i="8"/>
  <c r="T51" i="8"/>
  <c r="S51" i="8"/>
  <c r="R51" i="8"/>
  <c r="Q51" i="8"/>
  <c r="P51" i="8"/>
  <c r="O51" i="8"/>
  <c r="N51" i="8"/>
  <c r="M51" i="8"/>
  <c r="L51" i="8"/>
  <c r="K51" i="8"/>
  <c r="J51" i="8"/>
  <c r="I51" i="8"/>
  <c r="H51" i="8"/>
  <c r="G51" i="8"/>
  <c r="F51" i="8"/>
  <c r="AE50" i="8"/>
  <c r="AC50" i="8"/>
  <c r="AB50" i="8"/>
  <c r="AA50" i="8"/>
  <c r="Z50" i="8"/>
  <c r="Y50" i="8"/>
  <c r="X50" i="8"/>
  <c r="W50" i="8"/>
  <c r="V50" i="8"/>
  <c r="U50" i="8"/>
  <c r="T50" i="8"/>
  <c r="S50" i="8"/>
  <c r="R50" i="8"/>
  <c r="Q50" i="8"/>
  <c r="P50" i="8"/>
  <c r="O50" i="8"/>
  <c r="N50" i="8"/>
  <c r="M50" i="8"/>
  <c r="L50" i="8"/>
  <c r="K50" i="8"/>
  <c r="J50" i="8"/>
  <c r="I50" i="8"/>
  <c r="H50" i="8"/>
  <c r="G50" i="8"/>
  <c r="F50" i="8"/>
  <c r="AE49" i="8"/>
  <c r="AC49" i="8"/>
  <c r="AB49" i="8"/>
  <c r="AA49" i="8"/>
  <c r="Z49" i="8"/>
  <c r="Y49" i="8"/>
  <c r="X49" i="8"/>
  <c r="W49" i="8"/>
  <c r="V49" i="8"/>
  <c r="U49" i="8"/>
  <c r="T49" i="8"/>
  <c r="S49" i="8"/>
  <c r="R49" i="8"/>
  <c r="Q49" i="8"/>
  <c r="P49" i="8"/>
  <c r="O49" i="8"/>
  <c r="N49" i="8"/>
  <c r="M49" i="8"/>
  <c r="L49" i="8"/>
  <c r="K49" i="8"/>
  <c r="J49" i="8"/>
  <c r="I49" i="8"/>
  <c r="H49" i="8"/>
  <c r="G49" i="8"/>
  <c r="F49" i="8"/>
  <c r="AE48" i="8"/>
  <c r="AC48" i="8"/>
  <c r="AB48" i="8"/>
  <c r="AA48" i="8"/>
  <c r="Z48" i="8"/>
  <c r="Y48" i="8"/>
  <c r="X48" i="8"/>
  <c r="W48" i="8"/>
  <c r="V48" i="8"/>
  <c r="U48" i="8"/>
  <c r="T48" i="8"/>
  <c r="S48" i="8"/>
  <c r="R48" i="8"/>
  <c r="Q48" i="8"/>
  <c r="P48" i="8"/>
  <c r="O48" i="8"/>
  <c r="N48" i="8"/>
  <c r="M48" i="8"/>
  <c r="L48" i="8"/>
  <c r="K48" i="8"/>
  <c r="J48" i="8"/>
  <c r="I48" i="8"/>
  <c r="H48" i="8"/>
  <c r="G48" i="8"/>
  <c r="F48" i="8"/>
  <c r="AE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G47" i="8"/>
  <c r="F47" i="8"/>
  <c r="AE46" i="8"/>
  <c r="AC46" i="8"/>
  <c r="AB46" i="8"/>
  <c r="AA46" i="8"/>
  <c r="Z46" i="8"/>
  <c r="Y46" i="8"/>
  <c r="X46" i="8"/>
  <c r="W46" i="8"/>
  <c r="V46" i="8"/>
  <c r="U46" i="8"/>
  <c r="T46" i="8"/>
  <c r="S46" i="8"/>
  <c r="R46" i="8"/>
  <c r="Q46" i="8"/>
  <c r="P46" i="8"/>
  <c r="O46" i="8"/>
  <c r="N46" i="8"/>
  <c r="M46" i="8"/>
  <c r="L46" i="8"/>
  <c r="K46" i="8"/>
  <c r="J46" i="8"/>
  <c r="I46" i="8"/>
  <c r="H46" i="8"/>
  <c r="G46" i="8"/>
  <c r="F46" i="8"/>
  <c r="AE45" i="8"/>
  <c r="AC45" i="8"/>
  <c r="AB45" i="8"/>
  <c r="AA45" i="8"/>
  <c r="Z45" i="8"/>
  <c r="Y45" i="8"/>
  <c r="X45" i="8"/>
  <c r="W45" i="8"/>
  <c r="V45" i="8"/>
  <c r="U45" i="8"/>
  <c r="T45" i="8"/>
  <c r="S45" i="8"/>
  <c r="R45" i="8"/>
  <c r="Q45" i="8"/>
  <c r="P45" i="8"/>
  <c r="O45" i="8"/>
  <c r="N45" i="8"/>
  <c r="M45" i="8"/>
  <c r="L45" i="8"/>
  <c r="K45" i="8"/>
  <c r="J45" i="8"/>
  <c r="I45" i="8"/>
  <c r="H45" i="8"/>
  <c r="G45" i="8"/>
  <c r="F45" i="8"/>
  <c r="AE44" i="8"/>
  <c r="AC44" i="8"/>
  <c r="AB44" i="8"/>
  <c r="AA44" i="8"/>
  <c r="Z44" i="8"/>
  <c r="Y44" i="8"/>
  <c r="X44" i="8"/>
  <c r="W44" i="8"/>
  <c r="V44" i="8"/>
  <c r="U44" i="8"/>
  <c r="T44" i="8"/>
  <c r="S44" i="8"/>
  <c r="R44" i="8"/>
  <c r="Q44" i="8"/>
  <c r="P44" i="8"/>
  <c r="O44" i="8"/>
  <c r="N44" i="8"/>
  <c r="M44" i="8"/>
  <c r="L44" i="8"/>
  <c r="K44" i="8"/>
  <c r="J44" i="8"/>
  <c r="I44" i="8"/>
  <c r="H44" i="8"/>
  <c r="G44" i="8"/>
  <c r="F44" i="8"/>
  <c r="AE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G43" i="8"/>
  <c r="F43" i="8"/>
  <c r="AE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AE41" i="8"/>
  <c r="AC41" i="8"/>
  <c r="AB41" i="8"/>
  <c r="AA41" i="8"/>
  <c r="Z41" i="8"/>
  <c r="Y41" i="8"/>
  <c r="X41" i="8"/>
  <c r="W41" i="8"/>
  <c r="V41" i="8"/>
  <c r="U41" i="8"/>
  <c r="T41" i="8"/>
  <c r="S41" i="8"/>
  <c r="R41" i="8"/>
  <c r="Q41" i="8"/>
  <c r="P41" i="8"/>
  <c r="O41" i="8"/>
  <c r="N41" i="8"/>
  <c r="M41" i="8"/>
  <c r="L41" i="8"/>
  <c r="K41" i="8"/>
  <c r="J41" i="8"/>
  <c r="I41" i="8"/>
  <c r="H41" i="8"/>
  <c r="G41" i="8"/>
  <c r="F41" i="8"/>
  <c r="AE40" i="8"/>
  <c r="AC40" i="8"/>
  <c r="AB40" i="8"/>
  <c r="AA40" i="8"/>
  <c r="Z40" i="8"/>
  <c r="Y40" i="8"/>
  <c r="X40" i="8"/>
  <c r="W40" i="8"/>
  <c r="V40" i="8"/>
  <c r="U40" i="8"/>
  <c r="T40" i="8"/>
  <c r="S40" i="8"/>
  <c r="R40" i="8"/>
  <c r="Q40" i="8"/>
  <c r="P40" i="8"/>
  <c r="O40" i="8"/>
  <c r="N40" i="8"/>
  <c r="M40" i="8"/>
  <c r="L40" i="8"/>
  <c r="K40" i="8"/>
  <c r="J40" i="8"/>
  <c r="I40" i="8"/>
  <c r="H40" i="8"/>
  <c r="G40" i="8"/>
  <c r="F40" i="8"/>
  <c r="AE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AE38" i="8"/>
  <c r="AC38" i="8"/>
  <c r="AB38" i="8"/>
  <c r="AA38" i="8"/>
  <c r="Z38" i="8"/>
  <c r="Y38" i="8"/>
  <c r="X38" i="8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AE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G37" i="8"/>
  <c r="F37" i="8"/>
  <c r="AE36" i="8"/>
  <c r="AC36" i="8"/>
  <c r="AB36" i="8"/>
  <c r="AA36" i="8"/>
  <c r="Z36" i="8"/>
  <c r="Y36" i="8"/>
  <c r="X36" i="8"/>
  <c r="W36" i="8"/>
  <c r="V36" i="8"/>
  <c r="U36" i="8"/>
  <c r="T36" i="8"/>
  <c r="S36" i="8"/>
  <c r="R36" i="8"/>
  <c r="Q36" i="8"/>
  <c r="P36" i="8"/>
  <c r="O36" i="8"/>
  <c r="N36" i="8"/>
  <c r="M36" i="8"/>
  <c r="L36" i="8"/>
  <c r="K36" i="8"/>
  <c r="J36" i="8"/>
  <c r="I36" i="8"/>
  <c r="H36" i="8"/>
  <c r="G36" i="8"/>
  <c r="F36" i="8"/>
  <c r="AE35" i="8"/>
  <c r="AC35" i="8"/>
  <c r="AB35" i="8"/>
  <c r="AA35" i="8"/>
  <c r="Z35" i="8"/>
  <c r="Y35" i="8"/>
  <c r="X35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AE34" i="8"/>
  <c r="AC34" i="8"/>
  <c r="AB34" i="8"/>
  <c r="AA34" i="8"/>
  <c r="Z34" i="8"/>
  <c r="Y34" i="8"/>
  <c r="X34" i="8"/>
  <c r="W34" i="8"/>
  <c r="V34" i="8"/>
  <c r="U34" i="8"/>
  <c r="T34" i="8"/>
  <c r="S34" i="8"/>
  <c r="R34" i="8"/>
  <c r="Q34" i="8"/>
  <c r="P34" i="8"/>
  <c r="O34" i="8"/>
  <c r="N34" i="8"/>
  <c r="M34" i="8"/>
  <c r="L34" i="8"/>
  <c r="K34" i="8"/>
  <c r="J34" i="8"/>
  <c r="I34" i="8"/>
  <c r="H34" i="8"/>
  <c r="G34" i="8"/>
  <c r="F34" i="8"/>
  <c r="AE33" i="8"/>
  <c r="AC33" i="8"/>
  <c r="AB33" i="8"/>
  <c r="AA33" i="8"/>
  <c r="Z33" i="8"/>
  <c r="Y33" i="8"/>
  <c r="X33" i="8"/>
  <c r="W33" i="8"/>
  <c r="V33" i="8"/>
  <c r="U33" i="8"/>
  <c r="T33" i="8"/>
  <c r="S33" i="8"/>
  <c r="R33" i="8"/>
  <c r="Q33" i="8"/>
  <c r="P33" i="8"/>
  <c r="O33" i="8"/>
  <c r="N33" i="8"/>
  <c r="M33" i="8"/>
  <c r="L33" i="8"/>
  <c r="K33" i="8"/>
  <c r="J33" i="8"/>
  <c r="I33" i="8"/>
  <c r="H33" i="8"/>
  <c r="G33" i="8"/>
  <c r="F33" i="8"/>
  <c r="AE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G32" i="8"/>
  <c r="F32" i="8"/>
  <c r="AE31" i="8"/>
  <c r="AC31" i="8"/>
  <c r="AB31" i="8"/>
  <c r="AA31" i="8"/>
  <c r="Z31" i="8"/>
  <c r="Y31" i="8"/>
  <c r="X31" i="8"/>
  <c r="W31" i="8"/>
  <c r="V31" i="8"/>
  <c r="U31" i="8"/>
  <c r="T31" i="8"/>
  <c r="S31" i="8"/>
  <c r="R31" i="8"/>
  <c r="Q31" i="8"/>
  <c r="P31" i="8"/>
  <c r="O31" i="8"/>
  <c r="N31" i="8"/>
  <c r="M31" i="8"/>
  <c r="L31" i="8"/>
  <c r="K31" i="8"/>
  <c r="J31" i="8"/>
  <c r="I31" i="8"/>
  <c r="H31" i="8"/>
  <c r="G31" i="8"/>
  <c r="F31" i="8"/>
  <c r="AE30" i="8"/>
  <c r="AC30" i="8"/>
  <c r="AB30" i="8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AE29" i="8"/>
  <c r="AC29" i="8"/>
  <c r="AB29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AE28" i="8"/>
  <c r="AC28" i="8"/>
  <c r="AB28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AE27" i="8"/>
  <c r="AC27" i="8"/>
  <c r="AB27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AE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AE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AE24" i="8"/>
  <c r="AC24" i="8"/>
  <c r="AB24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AE23" i="8"/>
  <c r="AC23" i="8"/>
  <c r="AB23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AE22" i="8"/>
  <c r="AC22" i="8"/>
  <c r="AB22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AE21" i="8"/>
  <c r="AC21" i="8"/>
  <c r="AB21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AE20" i="8"/>
  <c r="AC20" i="8"/>
  <c r="AB20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AE19" i="8"/>
  <c r="AC19" i="8"/>
  <c r="AB19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AE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AE17" i="8"/>
  <c r="AC17" i="8"/>
  <c r="AB17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AE16" i="8"/>
  <c r="AC16" i="8"/>
  <c r="AB16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AE15" i="8"/>
  <c r="AC15" i="8"/>
  <c r="AB15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AE14" i="8"/>
  <c r="AC14" i="8"/>
  <c r="AB14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AE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AE12" i="8"/>
  <c r="AC12" i="8"/>
  <c r="AB12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AE11" i="8"/>
  <c r="AC11" i="8"/>
  <c r="AB11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AE10" i="8"/>
  <c r="AC10" i="8"/>
  <c r="AB10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AE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AE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AE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AE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AE5" i="8"/>
  <c r="AC5" i="8"/>
  <c r="AB5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AE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AE3" i="8"/>
  <c r="AC3" i="8"/>
  <c r="AB3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AE2" i="8"/>
  <c r="AC2" i="8"/>
  <c r="AB2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AE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AE365" i="7"/>
  <c r="AC365" i="7"/>
  <c r="AB365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O365" i="7"/>
  <c r="N365" i="7"/>
  <c r="M365" i="7"/>
  <c r="L365" i="7"/>
  <c r="K365" i="7"/>
  <c r="J365" i="7"/>
  <c r="I365" i="7"/>
  <c r="H365" i="7"/>
  <c r="G365" i="7"/>
  <c r="F365" i="7"/>
  <c r="AE364" i="7"/>
  <c r="AC364" i="7"/>
  <c r="AB364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O364" i="7"/>
  <c r="N364" i="7"/>
  <c r="M364" i="7"/>
  <c r="L364" i="7"/>
  <c r="K364" i="7"/>
  <c r="J364" i="7"/>
  <c r="I364" i="7"/>
  <c r="H364" i="7"/>
  <c r="G364" i="7"/>
  <c r="F364" i="7"/>
  <c r="AE363" i="7"/>
  <c r="AC363" i="7"/>
  <c r="AB363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O363" i="7"/>
  <c r="N363" i="7"/>
  <c r="M363" i="7"/>
  <c r="L363" i="7"/>
  <c r="K363" i="7"/>
  <c r="J363" i="7"/>
  <c r="I363" i="7"/>
  <c r="H363" i="7"/>
  <c r="G363" i="7"/>
  <c r="F363" i="7"/>
  <c r="AE362" i="7"/>
  <c r="AC362" i="7"/>
  <c r="AB362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O362" i="7"/>
  <c r="N362" i="7"/>
  <c r="M362" i="7"/>
  <c r="L362" i="7"/>
  <c r="K362" i="7"/>
  <c r="J362" i="7"/>
  <c r="I362" i="7"/>
  <c r="H362" i="7"/>
  <c r="G362" i="7"/>
  <c r="F362" i="7"/>
  <c r="AE361" i="7"/>
  <c r="AC361" i="7"/>
  <c r="AB361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O361" i="7"/>
  <c r="N361" i="7"/>
  <c r="M361" i="7"/>
  <c r="L361" i="7"/>
  <c r="K361" i="7"/>
  <c r="J361" i="7"/>
  <c r="I361" i="7"/>
  <c r="H361" i="7"/>
  <c r="G361" i="7"/>
  <c r="F361" i="7"/>
  <c r="AE360" i="7"/>
  <c r="AC360" i="7"/>
  <c r="AB360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AE359" i="7"/>
  <c r="AC359" i="7"/>
  <c r="AB359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AE358" i="7"/>
  <c r="AC358" i="7"/>
  <c r="AB358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AE357" i="7"/>
  <c r="AC357" i="7"/>
  <c r="AB357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O357" i="7"/>
  <c r="N357" i="7"/>
  <c r="M357" i="7"/>
  <c r="L357" i="7"/>
  <c r="K357" i="7"/>
  <c r="J357" i="7"/>
  <c r="I357" i="7"/>
  <c r="H357" i="7"/>
  <c r="G357" i="7"/>
  <c r="F357" i="7"/>
  <c r="AE356" i="7"/>
  <c r="AC356" i="7"/>
  <c r="AB356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O356" i="7"/>
  <c r="N356" i="7"/>
  <c r="M356" i="7"/>
  <c r="L356" i="7"/>
  <c r="K356" i="7"/>
  <c r="J356" i="7"/>
  <c r="I356" i="7"/>
  <c r="H356" i="7"/>
  <c r="G356" i="7"/>
  <c r="F356" i="7"/>
  <c r="AE355" i="7"/>
  <c r="AC355" i="7"/>
  <c r="AB355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O355" i="7"/>
  <c r="N355" i="7"/>
  <c r="M355" i="7"/>
  <c r="L355" i="7"/>
  <c r="K355" i="7"/>
  <c r="J355" i="7"/>
  <c r="I355" i="7"/>
  <c r="H355" i="7"/>
  <c r="G355" i="7"/>
  <c r="F355" i="7"/>
  <c r="AE354" i="7"/>
  <c r="AC354" i="7"/>
  <c r="AB354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O354" i="7"/>
  <c r="N354" i="7"/>
  <c r="M354" i="7"/>
  <c r="L354" i="7"/>
  <c r="K354" i="7"/>
  <c r="J354" i="7"/>
  <c r="I354" i="7"/>
  <c r="H354" i="7"/>
  <c r="G354" i="7"/>
  <c r="F354" i="7"/>
  <c r="AE353" i="7"/>
  <c r="AC353" i="7"/>
  <c r="AB353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AE352" i="7"/>
  <c r="AC352" i="7"/>
  <c r="AB352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AE351" i="7"/>
  <c r="AC351" i="7"/>
  <c r="AB351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AE350" i="7"/>
  <c r="AC350" i="7"/>
  <c r="AB350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AE349" i="7"/>
  <c r="AC349" i="7"/>
  <c r="AB349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O349" i="7"/>
  <c r="N349" i="7"/>
  <c r="M349" i="7"/>
  <c r="L349" i="7"/>
  <c r="K349" i="7"/>
  <c r="J349" i="7"/>
  <c r="I349" i="7"/>
  <c r="H349" i="7"/>
  <c r="G349" i="7"/>
  <c r="F349" i="7"/>
  <c r="AE348" i="7"/>
  <c r="AC348" i="7"/>
  <c r="AB348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O348" i="7"/>
  <c r="N348" i="7"/>
  <c r="M348" i="7"/>
  <c r="L348" i="7"/>
  <c r="K348" i="7"/>
  <c r="J348" i="7"/>
  <c r="I348" i="7"/>
  <c r="H348" i="7"/>
  <c r="G348" i="7"/>
  <c r="F348" i="7"/>
  <c r="AE347" i="7"/>
  <c r="AC347" i="7"/>
  <c r="AB347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O347" i="7"/>
  <c r="N347" i="7"/>
  <c r="M347" i="7"/>
  <c r="L347" i="7"/>
  <c r="K347" i="7"/>
  <c r="J347" i="7"/>
  <c r="I347" i="7"/>
  <c r="H347" i="7"/>
  <c r="G347" i="7"/>
  <c r="F347" i="7"/>
  <c r="AE346" i="7"/>
  <c r="AC346" i="7"/>
  <c r="AB346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O346" i="7"/>
  <c r="N346" i="7"/>
  <c r="M346" i="7"/>
  <c r="L346" i="7"/>
  <c r="K346" i="7"/>
  <c r="J346" i="7"/>
  <c r="I346" i="7"/>
  <c r="H346" i="7"/>
  <c r="G346" i="7"/>
  <c r="F346" i="7"/>
  <c r="AE345" i="7"/>
  <c r="AC345" i="7"/>
  <c r="AB345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O345" i="7"/>
  <c r="N345" i="7"/>
  <c r="M345" i="7"/>
  <c r="L345" i="7"/>
  <c r="K345" i="7"/>
  <c r="J345" i="7"/>
  <c r="I345" i="7"/>
  <c r="H345" i="7"/>
  <c r="G345" i="7"/>
  <c r="F345" i="7"/>
  <c r="AE344" i="7"/>
  <c r="AC344" i="7"/>
  <c r="AB344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AE343" i="7"/>
  <c r="AC343" i="7"/>
  <c r="AB343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AE342" i="7"/>
  <c r="AC342" i="7"/>
  <c r="AB342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O342" i="7"/>
  <c r="N342" i="7"/>
  <c r="M342" i="7"/>
  <c r="L342" i="7"/>
  <c r="K342" i="7"/>
  <c r="J342" i="7"/>
  <c r="I342" i="7"/>
  <c r="H342" i="7"/>
  <c r="G342" i="7"/>
  <c r="F342" i="7"/>
  <c r="AE341" i="7"/>
  <c r="AC341" i="7"/>
  <c r="AB341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O341" i="7"/>
  <c r="N341" i="7"/>
  <c r="M341" i="7"/>
  <c r="L341" i="7"/>
  <c r="K341" i="7"/>
  <c r="J341" i="7"/>
  <c r="I341" i="7"/>
  <c r="H341" i="7"/>
  <c r="G341" i="7"/>
  <c r="F341" i="7"/>
  <c r="AE340" i="7"/>
  <c r="AC340" i="7"/>
  <c r="AB340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AE339" i="7"/>
  <c r="AC339" i="7"/>
  <c r="AB339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AE338" i="7"/>
  <c r="AC338" i="7"/>
  <c r="AB338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O338" i="7"/>
  <c r="N338" i="7"/>
  <c r="M338" i="7"/>
  <c r="L338" i="7"/>
  <c r="K338" i="7"/>
  <c r="J338" i="7"/>
  <c r="I338" i="7"/>
  <c r="H338" i="7"/>
  <c r="G338" i="7"/>
  <c r="F338" i="7"/>
  <c r="AE337" i="7"/>
  <c r="AC337" i="7"/>
  <c r="AB337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AE336" i="7"/>
  <c r="AC336" i="7"/>
  <c r="AB336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O336" i="7"/>
  <c r="N336" i="7"/>
  <c r="M336" i="7"/>
  <c r="L336" i="7"/>
  <c r="K336" i="7"/>
  <c r="J336" i="7"/>
  <c r="I336" i="7"/>
  <c r="H336" i="7"/>
  <c r="G336" i="7"/>
  <c r="F336" i="7"/>
  <c r="AE335" i="7"/>
  <c r="AC335" i="7"/>
  <c r="AB335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O335" i="7"/>
  <c r="N335" i="7"/>
  <c r="M335" i="7"/>
  <c r="L335" i="7"/>
  <c r="K335" i="7"/>
  <c r="J335" i="7"/>
  <c r="I335" i="7"/>
  <c r="H335" i="7"/>
  <c r="G335" i="7"/>
  <c r="F335" i="7"/>
  <c r="AE334" i="7"/>
  <c r="AC334" i="7"/>
  <c r="AB334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AE333" i="7"/>
  <c r="AC333" i="7"/>
  <c r="AB333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O333" i="7"/>
  <c r="N333" i="7"/>
  <c r="M333" i="7"/>
  <c r="L333" i="7"/>
  <c r="K333" i="7"/>
  <c r="J333" i="7"/>
  <c r="I333" i="7"/>
  <c r="H333" i="7"/>
  <c r="G333" i="7"/>
  <c r="F333" i="7"/>
  <c r="AE332" i="7"/>
  <c r="AC332" i="7"/>
  <c r="AB332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O332" i="7"/>
  <c r="N332" i="7"/>
  <c r="M332" i="7"/>
  <c r="L332" i="7"/>
  <c r="K332" i="7"/>
  <c r="J332" i="7"/>
  <c r="I332" i="7"/>
  <c r="H332" i="7"/>
  <c r="G332" i="7"/>
  <c r="F332" i="7"/>
  <c r="AE331" i="7"/>
  <c r="AC331" i="7"/>
  <c r="AB331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AE330" i="7"/>
  <c r="AC330" i="7"/>
  <c r="AB330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O330" i="7"/>
  <c r="N330" i="7"/>
  <c r="M330" i="7"/>
  <c r="L330" i="7"/>
  <c r="K330" i="7"/>
  <c r="J330" i="7"/>
  <c r="I330" i="7"/>
  <c r="H330" i="7"/>
  <c r="G330" i="7"/>
  <c r="F330" i="7"/>
  <c r="AE329" i="7"/>
  <c r="AC329" i="7"/>
  <c r="AB329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AE328" i="7"/>
  <c r="AC328" i="7"/>
  <c r="AB328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O328" i="7"/>
  <c r="N328" i="7"/>
  <c r="M328" i="7"/>
  <c r="L328" i="7"/>
  <c r="K328" i="7"/>
  <c r="J328" i="7"/>
  <c r="I328" i="7"/>
  <c r="H328" i="7"/>
  <c r="G328" i="7"/>
  <c r="F328" i="7"/>
  <c r="AE327" i="7"/>
  <c r="AC327" i="7"/>
  <c r="AB327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O327" i="7"/>
  <c r="N327" i="7"/>
  <c r="M327" i="7"/>
  <c r="L327" i="7"/>
  <c r="K327" i="7"/>
  <c r="J327" i="7"/>
  <c r="I327" i="7"/>
  <c r="H327" i="7"/>
  <c r="G327" i="7"/>
  <c r="F327" i="7"/>
  <c r="AE326" i="7"/>
  <c r="AC326" i="7"/>
  <c r="AB326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AE325" i="7"/>
  <c r="AC325" i="7"/>
  <c r="AB325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O325" i="7"/>
  <c r="N325" i="7"/>
  <c r="M325" i="7"/>
  <c r="L325" i="7"/>
  <c r="K325" i="7"/>
  <c r="J325" i="7"/>
  <c r="I325" i="7"/>
  <c r="H325" i="7"/>
  <c r="G325" i="7"/>
  <c r="F325" i="7"/>
  <c r="AE324" i="7"/>
  <c r="AC324" i="7"/>
  <c r="AB324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AE323" i="7"/>
  <c r="AC323" i="7"/>
  <c r="AB323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AE322" i="7"/>
  <c r="AC322" i="7"/>
  <c r="AB322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O322" i="7"/>
  <c r="N322" i="7"/>
  <c r="M322" i="7"/>
  <c r="L322" i="7"/>
  <c r="K322" i="7"/>
  <c r="J322" i="7"/>
  <c r="I322" i="7"/>
  <c r="H322" i="7"/>
  <c r="G322" i="7"/>
  <c r="F322" i="7"/>
  <c r="AE321" i="7"/>
  <c r="AC321" i="7"/>
  <c r="AB321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AE320" i="7"/>
  <c r="AC320" i="7"/>
  <c r="AB320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O320" i="7"/>
  <c r="N320" i="7"/>
  <c r="M320" i="7"/>
  <c r="L320" i="7"/>
  <c r="K320" i="7"/>
  <c r="J320" i="7"/>
  <c r="I320" i="7"/>
  <c r="H320" i="7"/>
  <c r="G320" i="7"/>
  <c r="F320" i="7"/>
  <c r="AE319" i="7"/>
  <c r="AC319" i="7"/>
  <c r="AB319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O319" i="7"/>
  <c r="N319" i="7"/>
  <c r="M319" i="7"/>
  <c r="L319" i="7"/>
  <c r="K319" i="7"/>
  <c r="J319" i="7"/>
  <c r="I319" i="7"/>
  <c r="H319" i="7"/>
  <c r="G319" i="7"/>
  <c r="F319" i="7"/>
  <c r="AE318" i="7"/>
  <c r="AC318" i="7"/>
  <c r="AB318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AE317" i="7"/>
  <c r="AC317" i="7"/>
  <c r="AB317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O317" i="7"/>
  <c r="N317" i="7"/>
  <c r="M317" i="7"/>
  <c r="L317" i="7"/>
  <c r="K317" i="7"/>
  <c r="J317" i="7"/>
  <c r="I317" i="7"/>
  <c r="H317" i="7"/>
  <c r="G317" i="7"/>
  <c r="F317" i="7"/>
  <c r="AE316" i="7"/>
  <c r="AC316" i="7"/>
  <c r="AB316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O316" i="7"/>
  <c r="N316" i="7"/>
  <c r="M316" i="7"/>
  <c r="L316" i="7"/>
  <c r="K316" i="7"/>
  <c r="J316" i="7"/>
  <c r="I316" i="7"/>
  <c r="H316" i="7"/>
  <c r="G316" i="7"/>
  <c r="F316" i="7"/>
  <c r="AE315" i="7"/>
  <c r="AC315" i="7"/>
  <c r="AB315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AE314" i="7"/>
  <c r="AC314" i="7"/>
  <c r="AB314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O314" i="7"/>
  <c r="N314" i="7"/>
  <c r="M314" i="7"/>
  <c r="L314" i="7"/>
  <c r="K314" i="7"/>
  <c r="J314" i="7"/>
  <c r="I314" i="7"/>
  <c r="H314" i="7"/>
  <c r="G314" i="7"/>
  <c r="F314" i="7"/>
  <c r="AE313" i="7"/>
  <c r="AC313" i="7"/>
  <c r="AB313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AE312" i="7"/>
  <c r="AC312" i="7"/>
  <c r="AB312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O312" i="7"/>
  <c r="N312" i="7"/>
  <c r="M312" i="7"/>
  <c r="L312" i="7"/>
  <c r="K312" i="7"/>
  <c r="J312" i="7"/>
  <c r="I312" i="7"/>
  <c r="H312" i="7"/>
  <c r="G312" i="7"/>
  <c r="F312" i="7"/>
  <c r="AE311" i="7"/>
  <c r="AC311" i="7"/>
  <c r="AB311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O311" i="7"/>
  <c r="N311" i="7"/>
  <c r="M311" i="7"/>
  <c r="L311" i="7"/>
  <c r="K311" i="7"/>
  <c r="J311" i="7"/>
  <c r="I311" i="7"/>
  <c r="H311" i="7"/>
  <c r="G311" i="7"/>
  <c r="F311" i="7"/>
  <c r="AE310" i="7"/>
  <c r="AC310" i="7"/>
  <c r="AB310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AE309" i="7"/>
  <c r="AC309" i="7"/>
  <c r="AB309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O309" i="7"/>
  <c r="N309" i="7"/>
  <c r="M309" i="7"/>
  <c r="L309" i="7"/>
  <c r="K309" i="7"/>
  <c r="J309" i="7"/>
  <c r="I309" i="7"/>
  <c r="H309" i="7"/>
  <c r="G309" i="7"/>
  <c r="F309" i="7"/>
  <c r="AE308" i="7"/>
  <c r="AC308" i="7"/>
  <c r="AB308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AE307" i="7"/>
  <c r="AC307" i="7"/>
  <c r="AB307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AE306" i="7"/>
  <c r="AC306" i="7"/>
  <c r="AB306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O306" i="7"/>
  <c r="N306" i="7"/>
  <c r="M306" i="7"/>
  <c r="L306" i="7"/>
  <c r="K306" i="7"/>
  <c r="J306" i="7"/>
  <c r="I306" i="7"/>
  <c r="H306" i="7"/>
  <c r="G306" i="7"/>
  <c r="F306" i="7"/>
  <c r="AE305" i="7"/>
  <c r="AC305" i="7"/>
  <c r="AB305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AE304" i="7"/>
  <c r="AC304" i="7"/>
  <c r="AB304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O304" i="7"/>
  <c r="N304" i="7"/>
  <c r="M304" i="7"/>
  <c r="L304" i="7"/>
  <c r="K304" i="7"/>
  <c r="J304" i="7"/>
  <c r="I304" i="7"/>
  <c r="H304" i="7"/>
  <c r="G304" i="7"/>
  <c r="F304" i="7"/>
  <c r="AE303" i="7"/>
  <c r="AC303" i="7"/>
  <c r="AB303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O303" i="7"/>
  <c r="N303" i="7"/>
  <c r="M303" i="7"/>
  <c r="L303" i="7"/>
  <c r="K303" i="7"/>
  <c r="J303" i="7"/>
  <c r="I303" i="7"/>
  <c r="H303" i="7"/>
  <c r="G303" i="7"/>
  <c r="F303" i="7"/>
  <c r="AE302" i="7"/>
  <c r="AC302" i="7"/>
  <c r="AB302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AE301" i="7"/>
  <c r="AC301" i="7"/>
  <c r="AB301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O301" i="7"/>
  <c r="N301" i="7"/>
  <c r="M301" i="7"/>
  <c r="L301" i="7"/>
  <c r="K301" i="7"/>
  <c r="J301" i="7"/>
  <c r="I301" i="7"/>
  <c r="H301" i="7"/>
  <c r="G301" i="7"/>
  <c r="F301" i="7"/>
  <c r="AE300" i="7"/>
  <c r="AC300" i="7"/>
  <c r="AB300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O300" i="7"/>
  <c r="N300" i="7"/>
  <c r="M300" i="7"/>
  <c r="L300" i="7"/>
  <c r="K300" i="7"/>
  <c r="J300" i="7"/>
  <c r="I300" i="7"/>
  <c r="H300" i="7"/>
  <c r="G300" i="7"/>
  <c r="F300" i="7"/>
  <c r="AE299" i="7"/>
  <c r="AC299" i="7"/>
  <c r="AB299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AE298" i="7"/>
  <c r="AC298" i="7"/>
  <c r="AB298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O298" i="7"/>
  <c r="N298" i="7"/>
  <c r="M298" i="7"/>
  <c r="L298" i="7"/>
  <c r="K298" i="7"/>
  <c r="J298" i="7"/>
  <c r="I298" i="7"/>
  <c r="H298" i="7"/>
  <c r="G298" i="7"/>
  <c r="F298" i="7"/>
  <c r="AE297" i="7"/>
  <c r="AC297" i="7"/>
  <c r="AB297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AE296" i="7"/>
  <c r="AC296" i="7"/>
  <c r="AB296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O296" i="7"/>
  <c r="N296" i="7"/>
  <c r="M296" i="7"/>
  <c r="L296" i="7"/>
  <c r="K296" i="7"/>
  <c r="J296" i="7"/>
  <c r="I296" i="7"/>
  <c r="H296" i="7"/>
  <c r="G296" i="7"/>
  <c r="F296" i="7"/>
  <c r="AE295" i="7"/>
  <c r="AC295" i="7"/>
  <c r="AB295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O295" i="7"/>
  <c r="N295" i="7"/>
  <c r="M295" i="7"/>
  <c r="L295" i="7"/>
  <c r="K295" i="7"/>
  <c r="J295" i="7"/>
  <c r="I295" i="7"/>
  <c r="H295" i="7"/>
  <c r="G295" i="7"/>
  <c r="F295" i="7"/>
  <c r="AE294" i="7"/>
  <c r="AC294" i="7"/>
  <c r="AB294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AE293" i="7"/>
  <c r="AC293" i="7"/>
  <c r="AB293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O293" i="7"/>
  <c r="N293" i="7"/>
  <c r="M293" i="7"/>
  <c r="L293" i="7"/>
  <c r="K293" i="7"/>
  <c r="J293" i="7"/>
  <c r="I293" i="7"/>
  <c r="H293" i="7"/>
  <c r="G293" i="7"/>
  <c r="F293" i="7"/>
  <c r="AE292" i="7"/>
  <c r="AC292" i="7"/>
  <c r="AB292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AE291" i="7"/>
  <c r="AC291" i="7"/>
  <c r="AB291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AE290" i="7"/>
  <c r="AC290" i="7"/>
  <c r="AB290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O290" i="7"/>
  <c r="N290" i="7"/>
  <c r="M290" i="7"/>
  <c r="L290" i="7"/>
  <c r="K290" i="7"/>
  <c r="J290" i="7"/>
  <c r="I290" i="7"/>
  <c r="H290" i="7"/>
  <c r="G290" i="7"/>
  <c r="F290" i="7"/>
  <c r="AE289" i="7"/>
  <c r="AC289" i="7"/>
  <c r="AB289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AE288" i="7"/>
  <c r="AC288" i="7"/>
  <c r="AB288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O288" i="7"/>
  <c r="N288" i="7"/>
  <c r="M288" i="7"/>
  <c r="L288" i="7"/>
  <c r="K288" i="7"/>
  <c r="J288" i="7"/>
  <c r="I288" i="7"/>
  <c r="H288" i="7"/>
  <c r="G288" i="7"/>
  <c r="F288" i="7"/>
  <c r="AE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AE286" i="7"/>
  <c r="AC286" i="7"/>
  <c r="AB286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AE285" i="7"/>
  <c r="AC285" i="7"/>
  <c r="AB285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O285" i="7"/>
  <c r="N285" i="7"/>
  <c r="M285" i="7"/>
  <c r="L285" i="7"/>
  <c r="K285" i="7"/>
  <c r="J285" i="7"/>
  <c r="I285" i="7"/>
  <c r="H285" i="7"/>
  <c r="G285" i="7"/>
  <c r="F285" i="7"/>
  <c r="AE284" i="7"/>
  <c r="AC284" i="7"/>
  <c r="AB284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O284" i="7"/>
  <c r="N284" i="7"/>
  <c r="M284" i="7"/>
  <c r="L284" i="7"/>
  <c r="K284" i="7"/>
  <c r="J284" i="7"/>
  <c r="I284" i="7"/>
  <c r="H284" i="7"/>
  <c r="G284" i="7"/>
  <c r="F284" i="7"/>
  <c r="AE283" i="7"/>
  <c r="AC283" i="7"/>
  <c r="AB283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AE282" i="7"/>
  <c r="AC282" i="7"/>
  <c r="AB282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O282" i="7"/>
  <c r="N282" i="7"/>
  <c r="M282" i="7"/>
  <c r="L282" i="7"/>
  <c r="K282" i="7"/>
  <c r="J282" i="7"/>
  <c r="I282" i="7"/>
  <c r="H282" i="7"/>
  <c r="G282" i="7"/>
  <c r="F282" i="7"/>
  <c r="AE281" i="7"/>
  <c r="AC281" i="7"/>
  <c r="AB281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AE280" i="7"/>
  <c r="AC280" i="7"/>
  <c r="AB280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O280" i="7"/>
  <c r="N280" i="7"/>
  <c r="M280" i="7"/>
  <c r="L280" i="7"/>
  <c r="K280" i="7"/>
  <c r="J280" i="7"/>
  <c r="I280" i="7"/>
  <c r="H280" i="7"/>
  <c r="G280" i="7"/>
  <c r="F280" i="7"/>
  <c r="AE279" i="7"/>
  <c r="AC279" i="7"/>
  <c r="AB279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O279" i="7"/>
  <c r="N279" i="7"/>
  <c r="M279" i="7"/>
  <c r="L279" i="7"/>
  <c r="K279" i="7"/>
  <c r="J279" i="7"/>
  <c r="I279" i="7"/>
  <c r="H279" i="7"/>
  <c r="G279" i="7"/>
  <c r="F279" i="7"/>
  <c r="AE278" i="7"/>
  <c r="AC278" i="7"/>
  <c r="AB278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AE277" i="7"/>
  <c r="AC277" i="7"/>
  <c r="AB277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O277" i="7"/>
  <c r="N277" i="7"/>
  <c r="M277" i="7"/>
  <c r="L277" i="7"/>
  <c r="K277" i="7"/>
  <c r="J277" i="7"/>
  <c r="I277" i="7"/>
  <c r="H277" i="7"/>
  <c r="G277" i="7"/>
  <c r="F277" i="7"/>
  <c r="AE276" i="7"/>
  <c r="AC276" i="7"/>
  <c r="AB276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AE275" i="7"/>
  <c r="AC275" i="7"/>
  <c r="AB275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AE274" i="7"/>
  <c r="AC274" i="7"/>
  <c r="AB274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O274" i="7"/>
  <c r="N274" i="7"/>
  <c r="M274" i="7"/>
  <c r="L274" i="7"/>
  <c r="K274" i="7"/>
  <c r="J274" i="7"/>
  <c r="I274" i="7"/>
  <c r="H274" i="7"/>
  <c r="G274" i="7"/>
  <c r="F274" i="7"/>
  <c r="AE273" i="7"/>
  <c r="AC273" i="7"/>
  <c r="AB273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AE272" i="7"/>
  <c r="AC272" i="7"/>
  <c r="AB272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O272" i="7"/>
  <c r="N272" i="7"/>
  <c r="M272" i="7"/>
  <c r="L272" i="7"/>
  <c r="K272" i="7"/>
  <c r="J272" i="7"/>
  <c r="I272" i="7"/>
  <c r="H272" i="7"/>
  <c r="G272" i="7"/>
  <c r="F272" i="7"/>
  <c r="AE271" i="7"/>
  <c r="AC271" i="7"/>
  <c r="AB271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O271" i="7"/>
  <c r="N271" i="7"/>
  <c r="M271" i="7"/>
  <c r="L271" i="7"/>
  <c r="K271" i="7"/>
  <c r="J271" i="7"/>
  <c r="I271" i="7"/>
  <c r="H271" i="7"/>
  <c r="G271" i="7"/>
  <c r="F271" i="7"/>
  <c r="AE270" i="7"/>
  <c r="AC270" i="7"/>
  <c r="AB270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AE269" i="7"/>
  <c r="AC269" i="7"/>
  <c r="AB269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O269" i="7"/>
  <c r="N269" i="7"/>
  <c r="M269" i="7"/>
  <c r="L269" i="7"/>
  <c r="K269" i="7"/>
  <c r="J269" i="7"/>
  <c r="I269" i="7"/>
  <c r="H269" i="7"/>
  <c r="G269" i="7"/>
  <c r="F269" i="7"/>
  <c r="AE268" i="7"/>
  <c r="AC268" i="7"/>
  <c r="AB268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O268" i="7"/>
  <c r="N268" i="7"/>
  <c r="M268" i="7"/>
  <c r="L268" i="7"/>
  <c r="K268" i="7"/>
  <c r="J268" i="7"/>
  <c r="I268" i="7"/>
  <c r="H268" i="7"/>
  <c r="G268" i="7"/>
  <c r="F268" i="7"/>
  <c r="AE267" i="7"/>
  <c r="AC267" i="7"/>
  <c r="AB267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AE266" i="7"/>
  <c r="AC266" i="7"/>
  <c r="AB266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O266" i="7"/>
  <c r="N266" i="7"/>
  <c r="M266" i="7"/>
  <c r="L266" i="7"/>
  <c r="K266" i="7"/>
  <c r="J266" i="7"/>
  <c r="I266" i="7"/>
  <c r="H266" i="7"/>
  <c r="G266" i="7"/>
  <c r="F266" i="7"/>
  <c r="AE265" i="7"/>
  <c r="AC265" i="7"/>
  <c r="AB265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AE264" i="7"/>
  <c r="AC264" i="7"/>
  <c r="AB264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O264" i="7"/>
  <c r="N264" i="7"/>
  <c r="M264" i="7"/>
  <c r="L264" i="7"/>
  <c r="K264" i="7"/>
  <c r="J264" i="7"/>
  <c r="I264" i="7"/>
  <c r="H264" i="7"/>
  <c r="G264" i="7"/>
  <c r="F264" i="7"/>
  <c r="AE263" i="7"/>
  <c r="AC263" i="7"/>
  <c r="AB263" i="7"/>
  <c r="AA263" i="7"/>
  <c r="Z263" i="7"/>
  <c r="Y263" i="7"/>
  <c r="X263" i="7"/>
  <c r="W263" i="7"/>
  <c r="V263" i="7"/>
  <c r="U263" i="7"/>
  <c r="T263" i="7"/>
  <c r="S263" i="7"/>
  <c r="R263" i="7"/>
  <c r="Q263" i="7"/>
  <c r="P263" i="7"/>
  <c r="O263" i="7"/>
  <c r="N263" i="7"/>
  <c r="M263" i="7"/>
  <c r="L263" i="7"/>
  <c r="K263" i="7"/>
  <c r="J263" i="7"/>
  <c r="I263" i="7"/>
  <c r="H263" i="7"/>
  <c r="G263" i="7"/>
  <c r="F263" i="7"/>
  <c r="AE262" i="7"/>
  <c r="AC262" i="7"/>
  <c r="AB262" i="7"/>
  <c r="AA262" i="7"/>
  <c r="Z262" i="7"/>
  <c r="Y262" i="7"/>
  <c r="X262" i="7"/>
  <c r="W262" i="7"/>
  <c r="V262" i="7"/>
  <c r="U262" i="7"/>
  <c r="T262" i="7"/>
  <c r="S262" i="7"/>
  <c r="R262" i="7"/>
  <c r="Q262" i="7"/>
  <c r="P262" i="7"/>
  <c r="O262" i="7"/>
  <c r="N262" i="7"/>
  <c r="M262" i="7"/>
  <c r="L262" i="7"/>
  <c r="K262" i="7"/>
  <c r="J262" i="7"/>
  <c r="I262" i="7"/>
  <c r="H262" i="7"/>
  <c r="G262" i="7"/>
  <c r="F262" i="7"/>
  <c r="AE261" i="7"/>
  <c r="AC261" i="7"/>
  <c r="AB261" i="7"/>
  <c r="AA261" i="7"/>
  <c r="Z261" i="7"/>
  <c r="Y261" i="7"/>
  <c r="X261" i="7"/>
  <c r="W261" i="7"/>
  <c r="V261" i="7"/>
  <c r="U261" i="7"/>
  <c r="T261" i="7"/>
  <c r="S261" i="7"/>
  <c r="R261" i="7"/>
  <c r="Q261" i="7"/>
  <c r="P261" i="7"/>
  <c r="O261" i="7"/>
  <c r="N261" i="7"/>
  <c r="M261" i="7"/>
  <c r="L261" i="7"/>
  <c r="K261" i="7"/>
  <c r="J261" i="7"/>
  <c r="I261" i="7"/>
  <c r="H261" i="7"/>
  <c r="G261" i="7"/>
  <c r="F261" i="7"/>
  <c r="AE260" i="7"/>
  <c r="AC260" i="7"/>
  <c r="AB260" i="7"/>
  <c r="AA260" i="7"/>
  <c r="Z260" i="7"/>
  <c r="Y260" i="7"/>
  <c r="X260" i="7"/>
  <c r="W260" i="7"/>
  <c r="V260" i="7"/>
  <c r="U260" i="7"/>
  <c r="T260" i="7"/>
  <c r="S260" i="7"/>
  <c r="R260" i="7"/>
  <c r="Q260" i="7"/>
  <c r="P260" i="7"/>
  <c r="O260" i="7"/>
  <c r="N260" i="7"/>
  <c r="M260" i="7"/>
  <c r="L260" i="7"/>
  <c r="K260" i="7"/>
  <c r="J260" i="7"/>
  <c r="I260" i="7"/>
  <c r="H260" i="7"/>
  <c r="G260" i="7"/>
  <c r="F260" i="7"/>
  <c r="AE259" i="7"/>
  <c r="AC259" i="7"/>
  <c r="AB259" i="7"/>
  <c r="AA259" i="7"/>
  <c r="Z259" i="7"/>
  <c r="Y259" i="7"/>
  <c r="X259" i="7"/>
  <c r="W259" i="7"/>
  <c r="V259" i="7"/>
  <c r="U259" i="7"/>
  <c r="T259" i="7"/>
  <c r="S259" i="7"/>
  <c r="R259" i="7"/>
  <c r="Q259" i="7"/>
  <c r="P259" i="7"/>
  <c r="O259" i="7"/>
  <c r="N259" i="7"/>
  <c r="M259" i="7"/>
  <c r="L259" i="7"/>
  <c r="K259" i="7"/>
  <c r="J259" i="7"/>
  <c r="I259" i="7"/>
  <c r="H259" i="7"/>
  <c r="G259" i="7"/>
  <c r="F259" i="7"/>
  <c r="AE258" i="7"/>
  <c r="AC258" i="7"/>
  <c r="AB258" i="7"/>
  <c r="AA258" i="7"/>
  <c r="Z258" i="7"/>
  <c r="Y258" i="7"/>
  <c r="X258" i="7"/>
  <c r="W258" i="7"/>
  <c r="V258" i="7"/>
  <c r="U258" i="7"/>
  <c r="T258" i="7"/>
  <c r="S258" i="7"/>
  <c r="R258" i="7"/>
  <c r="Q258" i="7"/>
  <c r="P258" i="7"/>
  <c r="O258" i="7"/>
  <c r="N258" i="7"/>
  <c r="M258" i="7"/>
  <c r="L258" i="7"/>
  <c r="K258" i="7"/>
  <c r="J258" i="7"/>
  <c r="I258" i="7"/>
  <c r="H258" i="7"/>
  <c r="G258" i="7"/>
  <c r="F258" i="7"/>
  <c r="AE257" i="7"/>
  <c r="AC257" i="7"/>
  <c r="AB257" i="7"/>
  <c r="AA257" i="7"/>
  <c r="Z257" i="7"/>
  <c r="Y257" i="7"/>
  <c r="X257" i="7"/>
  <c r="W257" i="7"/>
  <c r="V257" i="7"/>
  <c r="U257" i="7"/>
  <c r="T257" i="7"/>
  <c r="S257" i="7"/>
  <c r="R257" i="7"/>
  <c r="Q257" i="7"/>
  <c r="P257" i="7"/>
  <c r="O257" i="7"/>
  <c r="N257" i="7"/>
  <c r="M257" i="7"/>
  <c r="L257" i="7"/>
  <c r="K257" i="7"/>
  <c r="J257" i="7"/>
  <c r="I257" i="7"/>
  <c r="H257" i="7"/>
  <c r="G257" i="7"/>
  <c r="F257" i="7"/>
  <c r="AE256" i="7"/>
  <c r="AC256" i="7"/>
  <c r="AB256" i="7"/>
  <c r="AA256" i="7"/>
  <c r="Z256" i="7"/>
  <c r="Y256" i="7"/>
  <c r="X256" i="7"/>
  <c r="W256" i="7"/>
  <c r="V256" i="7"/>
  <c r="U256" i="7"/>
  <c r="T256" i="7"/>
  <c r="S256" i="7"/>
  <c r="R256" i="7"/>
  <c r="Q256" i="7"/>
  <c r="P256" i="7"/>
  <c r="O256" i="7"/>
  <c r="N256" i="7"/>
  <c r="M256" i="7"/>
  <c r="L256" i="7"/>
  <c r="K256" i="7"/>
  <c r="J256" i="7"/>
  <c r="I256" i="7"/>
  <c r="H256" i="7"/>
  <c r="G256" i="7"/>
  <c r="F256" i="7"/>
  <c r="AE255" i="7"/>
  <c r="AC255" i="7"/>
  <c r="AB255" i="7"/>
  <c r="AA255" i="7"/>
  <c r="Z255" i="7"/>
  <c r="Y255" i="7"/>
  <c r="X255" i="7"/>
  <c r="W255" i="7"/>
  <c r="V255" i="7"/>
  <c r="U255" i="7"/>
  <c r="T255" i="7"/>
  <c r="S255" i="7"/>
  <c r="R255" i="7"/>
  <c r="Q255" i="7"/>
  <c r="P255" i="7"/>
  <c r="O255" i="7"/>
  <c r="N255" i="7"/>
  <c r="M255" i="7"/>
  <c r="L255" i="7"/>
  <c r="K255" i="7"/>
  <c r="J255" i="7"/>
  <c r="I255" i="7"/>
  <c r="H255" i="7"/>
  <c r="G255" i="7"/>
  <c r="F255" i="7"/>
  <c r="AE254" i="7"/>
  <c r="AC254" i="7"/>
  <c r="AB254" i="7"/>
  <c r="AA254" i="7"/>
  <c r="Z254" i="7"/>
  <c r="Y254" i="7"/>
  <c r="X254" i="7"/>
  <c r="W254" i="7"/>
  <c r="V254" i="7"/>
  <c r="U254" i="7"/>
  <c r="T254" i="7"/>
  <c r="S254" i="7"/>
  <c r="R254" i="7"/>
  <c r="Q254" i="7"/>
  <c r="P254" i="7"/>
  <c r="O254" i="7"/>
  <c r="N254" i="7"/>
  <c r="M254" i="7"/>
  <c r="L254" i="7"/>
  <c r="K254" i="7"/>
  <c r="J254" i="7"/>
  <c r="I254" i="7"/>
  <c r="H254" i="7"/>
  <c r="G254" i="7"/>
  <c r="F254" i="7"/>
  <c r="AE253" i="7"/>
  <c r="AC253" i="7"/>
  <c r="AB253" i="7"/>
  <c r="AA253" i="7"/>
  <c r="Z253" i="7"/>
  <c r="Y253" i="7"/>
  <c r="X253" i="7"/>
  <c r="W253" i="7"/>
  <c r="V253" i="7"/>
  <c r="U253" i="7"/>
  <c r="T253" i="7"/>
  <c r="S253" i="7"/>
  <c r="R253" i="7"/>
  <c r="Q253" i="7"/>
  <c r="P253" i="7"/>
  <c r="O253" i="7"/>
  <c r="N253" i="7"/>
  <c r="M253" i="7"/>
  <c r="L253" i="7"/>
  <c r="K253" i="7"/>
  <c r="J253" i="7"/>
  <c r="I253" i="7"/>
  <c r="H253" i="7"/>
  <c r="G253" i="7"/>
  <c r="F253" i="7"/>
  <c r="AE252" i="7"/>
  <c r="AC252" i="7"/>
  <c r="AB252" i="7"/>
  <c r="AA252" i="7"/>
  <c r="Z252" i="7"/>
  <c r="Y252" i="7"/>
  <c r="X252" i="7"/>
  <c r="W252" i="7"/>
  <c r="V252" i="7"/>
  <c r="U252" i="7"/>
  <c r="T252" i="7"/>
  <c r="S252" i="7"/>
  <c r="R252" i="7"/>
  <c r="Q252" i="7"/>
  <c r="P252" i="7"/>
  <c r="O252" i="7"/>
  <c r="N252" i="7"/>
  <c r="M252" i="7"/>
  <c r="L252" i="7"/>
  <c r="K252" i="7"/>
  <c r="J252" i="7"/>
  <c r="I252" i="7"/>
  <c r="H252" i="7"/>
  <c r="G252" i="7"/>
  <c r="F252" i="7"/>
  <c r="AE251" i="7"/>
  <c r="AC251" i="7"/>
  <c r="AB251" i="7"/>
  <c r="AA251" i="7"/>
  <c r="Z251" i="7"/>
  <c r="Y251" i="7"/>
  <c r="X251" i="7"/>
  <c r="W251" i="7"/>
  <c r="V251" i="7"/>
  <c r="U251" i="7"/>
  <c r="T251" i="7"/>
  <c r="S251" i="7"/>
  <c r="R251" i="7"/>
  <c r="Q251" i="7"/>
  <c r="P251" i="7"/>
  <c r="O251" i="7"/>
  <c r="N251" i="7"/>
  <c r="M251" i="7"/>
  <c r="L251" i="7"/>
  <c r="K251" i="7"/>
  <c r="J251" i="7"/>
  <c r="I251" i="7"/>
  <c r="H251" i="7"/>
  <c r="G251" i="7"/>
  <c r="F251" i="7"/>
  <c r="AE250" i="7"/>
  <c r="AC250" i="7"/>
  <c r="AB250" i="7"/>
  <c r="AA250" i="7"/>
  <c r="Z250" i="7"/>
  <c r="Y250" i="7"/>
  <c r="X250" i="7"/>
  <c r="W250" i="7"/>
  <c r="V250" i="7"/>
  <c r="U250" i="7"/>
  <c r="T250" i="7"/>
  <c r="S250" i="7"/>
  <c r="R250" i="7"/>
  <c r="Q250" i="7"/>
  <c r="P250" i="7"/>
  <c r="O250" i="7"/>
  <c r="N250" i="7"/>
  <c r="M250" i="7"/>
  <c r="L250" i="7"/>
  <c r="K250" i="7"/>
  <c r="J250" i="7"/>
  <c r="I250" i="7"/>
  <c r="H250" i="7"/>
  <c r="G250" i="7"/>
  <c r="F250" i="7"/>
  <c r="AE249" i="7"/>
  <c r="AC249" i="7"/>
  <c r="AB249" i="7"/>
  <c r="AA249" i="7"/>
  <c r="Z249" i="7"/>
  <c r="Y249" i="7"/>
  <c r="X249" i="7"/>
  <c r="W249" i="7"/>
  <c r="V249" i="7"/>
  <c r="U249" i="7"/>
  <c r="T249" i="7"/>
  <c r="S249" i="7"/>
  <c r="R249" i="7"/>
  <c r="Q249" i="7"/>
  <c r="P249" i="7"/>
  <c r="O249" i="7"/>
  <c r="N249" i="7"/>
  <c r="M249" i="7"/>
  <c r="L249" i="7"/>
  <c r="K249" i="7"/>
  <c r="J249" i="7"/>
  <c r="I249" i="7"/>
  <c r="H249" i="7"/>
  <c r="G249" i="7"/>
  <c r="F249" i="7"/>
  <c r="AE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AE247" i="7"/>
  <c r="AC247" i="7"/>
  <c r="AB247" i="7"/>
  <c r="AA247" i="7"/>
  <c r="Z247" i="7"/>
  <c r="Y247" i="7"/>
  <c r="X247" i="7"/>
  <c r="W247" i="7"/>
  <c r="V247" i="7"/>
  <c r="U247" i="7"/>
  <c r="T247" i="7"/>
  <c r="S247" i="7"/>
  <c r="R247" i="7"/>
  <c r="Q247" i="7"/>
  <c r="P247" i="7"/>
  <c r="O247" i="7"/>
  <c r="N247" i="7"/>
  <c r="M247" i="7"/>
  <c r="L247" i="7"/>
  <c r="K247" i="7"/>
  <c r="J247" i="7"/>
  <c r="I247" i="7"/>
  <c r="H247" i="7"/>
  <c r="G247" i="7"/>
  <c r="F247" i="7"/>
  <c r="AE246" i="7"/>
  <c r="AC246" i="7"/>
  <c r="AB246" i="7"/>
  <c r="AA246" i="7"/>
  <c r="Z246" i="7"/>
  <c r="Y246" i="7"/>
  <c r="X246" i="7"/>
  <c r="W246" i="7"/>
  <c r="V246" i="7"/>
  <c r="U246" i="7"/>
  <c r="T246" i="7"/>
  <c r="S246" i="7"/>
  <c r="R246" i="7"/>
  <c r="Q246" i="7"/>
  <c r="P246" i="7"/>
  <c r="O246" i="7"/>
  <c r="N246" i="7"/>
  <c r="M246" i="7"/>
  <c r="L246" i="7"/>
  <c r="K246" i="7"/>
  <c r="J246" i="7"/>
  <c r="I246" i="7"/>
  <c r="H246" i="7"/>
  <c r="G246" i="7"/>
  <c r="F246" i="7"/>
  <c r="AE245" i="7"/>
  <c r="AC245" i="7"/>
  <c r="AB245" i="7"/>
  <c r="AA245" i="7"/>
  <c r="Z245" i="7"/>
  <c r="Y245" i="7"/>
  <c r="X245" i="7"/>
  <c r="W245" i="7"/>
  <c r="V245" i="7"/>
  <c r="U245" i="7"/>
  <c r="T245" i="7"/>
  <c r="S245" i="7"/>
  <c r="R245" i="7"/>
  <c r="Q245" i="7"/>
  <c r="P245" i="7"/>
  <c r="O245" i="7"/>
  <c r="N245" i="7"/>
  <c r="M245" i="7"/>
  <c r="L245" i="7"/>
  <c r="K245" i="7"/>
  <c r="J245" i="7"/>
  <c r="I245" i="7"/>
  <c r="H245" i="7"/>
  <c r="G245" i="7"/>
  <c r="F245" i="7"/>
  <c r="AE244" i="7"/>
  <c r="AC244" i="7"/>
  <c r="AB244" i="7"/>
  <c r="AA244" i="7"/>
  <c r="Z244" i="7"/>
  <c r="Y244" i="7"/>
  <c r="X244" i="7"/>
  <c r="W244" i="7"/>
  <c r="V244" i="7"/>
  <c r="U244" i="7"/>
  <c r="T244" i="7"/>
  <c r="S244" i="7"/>
  <c r="R244" i="7"/>
  <c r="Q244" i="7"/>
  <c r="P244" i="7"/>
  <c r="O244" i="7"/>
  <c r="N244" i="7"/>
  <c r="M244" i="7"/>
  <c r="L244" i="7"/>
  <c r="K244" i="7"/>
  <c r="J244" i="7"/>
  <c r="I244" i="7"/>
  <c r="H244" i="7"/>
  <c r="G244" i="7"/>
  <c r="F244" i="7"/>
  <c r="AE243" i="7"/>
  <c r="AC243" i="7"/>
  <c r="AB243" i="7"/>
  <c r="AA243" i="7"/>
  <c r="Z243" i="7"/>
  <c r="Y243" i="7"/>
  <c r="X243" i="7"/>
  <c r="W243" i="7"/>
  <c r="V243" i="7"/>
  <c r="U243" i="7"/>
  <c r="T243" i="7"/>
  <c r="S243" i="7"/>
  <c r="R243" i="7"/>
  <c r="Q243" i="7"/>
  <c r="P243" i="7"/>
  <c r="O243" i="7"/>
  <c r="N243" i="7"/>
  <c r="M243" i="7"/>
  <c r="L243" i="7"/>
  <c r="K243" i="7"/>
  <c r="J243" i="7"/>
  <c r="I243" i="7"/>
  <c r="H243" i="7"/>
  <c r="G243" i="7"/>
  <c r="F243" i="7"/>
  <c r="AE242" i="7"/>
  <c r="AC242" i="7"/>
  <c r="AB242" i="7"/>
  <c r="AA242" i="7"/>
  <c r="Z242" i="7"/>
  <c r="Y242" i="7"/>
  <c r="X242" i="7"/>
  <c r="W242" i="7"/>
  <c r="V242" i="7"/>
  <c r="U242" i="7"/>
  <c r="T242" i="7"/>
  <c r="S242" i="7"/>
  <c r="R242" i="7"/>
  <c r="Q242" i="7"/>
  <c r="P242" i="7"/>
  <c r="O242" i="7"/>
  <c r="N242" i="7"/>
  <c r="M242" i="7"/>
  <c r="L242" i="7"/>
  <c r="K242" i="7"/>
  <c r="J242" i="7"/>
  <c r="I242" i="7"/>
  <c r="H242" i="7"/>
  <c r="G242" i="7"/>
  <c r="F242" i="7"/>
  <c r="AE241" i="7"/>
  <c r="AC241" i="7"/>
  <c r="AB241" i="7"/>
  <c r="AA241" i="7"/>
  <c r="Z241" i="7"/>
  <c r="Y241" i="7"/>
  <c r="X241" i="7"/>
  <c r="W241" i="7"/>
  <c r="V241" i="7"/>
  <c r="U241" i="7"/>
  <c r="T241" i="7"/>
  <c r="S241" i="7"/>
  <c r="R241" i="7"/>
  <c r="Q241" i="7"/>
  <c r="P241" i="7"/>
  <c r="O241" i="7"/>
  <c r="N241" i="7"/>
  <c r="M241" i="7"/>
  <c r="L241" i="7"/>
  <c r="K241" i="7"/>
  <c r="J241" i="7"/>
  <c r="I241" i="7"/>
  <c r="H241" i="7"/>
  <c r="G241" i="7"/>
  <c r="F241" i="7"/>
  <c r="AE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AE239" i="7"/>
  <c r="AC239" i="7"/>
  <c r="AB239" i="7"/>
  <c r="AA239" i="7"/>
  <c r="Z239" i="7"/>
  <c r="Y239" i="7"/>
  <c r="X239" i="7"/>
  <c r="W239" i="7"/>
  <c r="V239" i="7"/>
  <c r="U239" i="7"/>
  <c r="T239" i="7"/>
  <c r="S239" i="7"/>
  <c r="R239" i="7"/>
  <c r="Q239" i="7"/>
  <c r="P239" i="7"/>
  <c r="O239" i="7"/>
  <c r="N239" i="7"/>
  <c r="M239" i="7"/>
  <c r="L239" i="7"/>
  <c r="K239" i="7"/>
  <c r="J239" i="7"/>
  <c r="I239" i="7"/>
  <c r="H239" i="7"/>
  <c r="G239" i="7"/>
  <c r="F239" i="7"/>
  <c r="AE238" i="7"/>
  <c r="AC238" i="7"/>
  <c r="AB238" i="7"/>
  <c r="AA238" i="7"/>
  <c r="Z238" i="7"/>
  <c r="Y238" i="7"/>
  <c r="X238" i="7"/>
  <c r="W238" i="7"/>
  <c r="V238" i="7"/>
  <c r="U238" i="7"/>
  <c r="T238" i="7"/>
  <c r="S238" i="7"/>
  <c r="R238" i="7"/>
  <c r="Q238" i="7"/>
  <c r="P238" i="7"/>
  <c r="O238" i="7"/>
  <c r="N238" i="7"/>
  <c r="M238" i="7"/>
  <c r="L238" i="7"/>
  <c r="K238" i="7"/>
  <c r="J238" i="7"/>
  <c r="I238" i="7"/>
  <c r="H238" i="7"/>
  <c r="G238" i="7"/>
  <c r="F238" i="7"/>
  <c r="AE237" i="7"/>
  <c r="AC237" i="7"/>
  <c r="AB237" i="7"/>
  <c r="AA237" i="7"/>
  <c r="Z237" i="7"/>
  <c r="Y237" i="7"/>
  <c r="X237" i="7"/>
  <c r="W237" i="7"/>
  <c r="V237" i="7"/>
  <c r="U237" i="7"/>
  <c r="T237" i="7"/>
  <c r="S237" i="7"/>
  <c r="R237" i="7"/>
  <c r="Q237" i="7"/>
  <c r="P237" i="7"/>
  <c r="O237" i="7"/>
  <c r="N237" i="7"/>
  <c r="M237" i="7"/>
  <c r="L237" i="7"/>
  <c r="K237" i="7"/>
  <c r="J237" i="7"/>
  <c r="I237" i="7"/>
  <c r="H237" i="7"/>
  <c r="G237" i="7"/>
  <c r="F237" i="7"/>
  <c r="AE236" i="7"/>
  <c r="AC236" i="7"/>
  <c r="AB236" i="7"/>
  <c r="AA236" i="7"/>
  <c r="Z236" i="7"/>
  <c r="Y236" i="7"/>
  <c r="X236" i="7"/>
  <c r="W236" i="7"/>
  <c r="V236" i="7"/>
  <c r="U236" i="7"/>
  <c r="T236" i="7"/>
  <c r="S236" i="7"/>
  <c r="R236" i="7"/>
  <c r="Q236" i="7"/>
  <c r="P236" i="7"/>
  <c r="O236" i="7"/>
  <c r="N236" i="7"/>
  <c r="M236" i="7"/>
  <c r="L236" i="7"/>
  <c r="K236" i="7"/>
  <c r="J236" i="7"/>
  <c r="I236" i="7"/>
  <c r="H236" i="7"/>
  <c r="G236" i="7"/>
  <c r="F236" i="7"/>
  <c r="AE235" i="7"/>
  <c r="AC235" i="7"/>
  <c r="AB235" i="7"/>
  <c r="AA235" i="7"/>
  <c r="Z235" i="7"/>
  <c r="Y235" i="7"/>
  <c r="X235" i="7"/>
  <c r="W235" i="7"/>
  <c r="V235" i="7"/>
  <c r="U235" i="7"/>
  <c r="T235" i="7"/>
  <c r="S235" i="7"/>
  <c r="R235" i="7"/>
  <c r="Q235" i="7"/>
  <c r="P235" i="7"/>
  <c r="O235" i="7"/>
  <c r="N235" i="7"/>
  <c r="M235" i="7"/>
  <c r="L235" i="7"/>
  <c r="K235" i="7"/>
  <c r="J235" i="7"/>
  <c r="I235" i="7"/>
  <c r="H235" i="7"/>
  <c r="G235" i="7"/>
  <c r="F235" i="7"/>
  <c r="AE234" i="7"/>
  <c r="AC234" i="7"/>
  <c r="AB234" i="7"/>
  <c r="AA234" i="7"/>
  <c r="Z234" i="7"/>
  <c r="Y234" i="7"/>
  <c r="X234" i="7"/>
  <c r="W234" i="7"/>
  <c r="V234" i="7"/>
  <c r="U234" i="7"/>
  <c r="T234" i="7"/>
  <c r="S234" i="7"/>
  <c r="R234" i="7"/>
  <c r="Q234" i="7"/>
  <c r="P234" i="7"/>
  <c r="O234" i="7"/>
  <c r="N234" i="7"/>
  <c r="M234" i="7"/>
  <c r="L234" i="7"/>
  <c r="K234" i="7"/>
  <c r="J234" i="7"/>
  <c r="I234" i="7"/>
  <c r="H234" i="7"/>
  <c r="G234" i="7"/>
  <c r="F234" i="7"/>
  <c r="AE233" i="7"/>
  <c r="AC233" i="7"/>
  <c r="AB233" i="7"/>
  <c r="AA233" i="7"/>
  <c r="Z233" i="7"/>
  <c r="Y233" i="7"/>
  <c r="X233" i="7"/>
  <c r="W233" i="7"/>
  <c r="V233" i="7"/>
  <c r="U233" i="7"/>
  <c r="T233" i="7"/>
  <c r="S233" i="7"/>
  <c r="R233" i="7"/>
  <c r="Q233" i="7"/>
  <c r="P233" i="7"/>
  <c r="O233" i="7"/>
  <c r="N233" i="7"/>
  <c r="M233" i="7"/>
  <c r="L233" i="7"/>
  <c r="K233" i="7"/>
  <c r="J233" i="7"/>
  <c r="I233" i="7"/>
  <c r="H233" i="7"/>
  <c r="G233" i="7"/>
  <c r="F233" i="7"/>
  <c r="AE232" i="7"/>
  <c r="AC232" i="7"/>
  <c r="AB232" i="7"/>
  <c r="AA232" i="7"/>
  <c r="Z232" i="7"/>
  <c r="Y232" i="7"/>
  <c r="X232" i="7"/>
  <c r="W232" i="7"/>
  <c r="V232" i="7"/>
  <c r="U232" i="7"/>
  <c r="T232" i="7"/>
  <c r="S232" i="7"/>
  <c r="R232" i="7"/>
  <c r="Q232" i="7"/>
  <c r="P232" i="7"/>
  <c r="O232" i="7"/>
  <c r="N232" i="7"/>
  <c r="M232" i="7"/>
  <c r="L232" i="7"/>
  <c r="K232" i="7"/>
  <c r="J232" i="7"/>
  <c r="I232" i="7"/>
  <c r="H232" i="7"/>
  <c r="G232" i="7"/>
  <c r="F232" i="7"/>
  <c r="AE231" i="7"/>
  <c r="AC231" i="7"/>
  <c r="AB231" i="7"/>
  <c r="AA231" i="7"/>
  <c r="Z231" i="7"/>
  <c r="Y231" i="7"/>
  <c r="X231" i="7"/>
  <c r="W231" i="7"/>
  <c r="V231" i="7"/>
  <c r="U231" i="7"/>
  <c r="T231" i="7"/>
  <c r="S231" i="7"/>
  <c r="R231" i="7"/>
  <c r="Q231" i="7"/>
  <c r="P231" i="7"/>
  <c r="O231" i="7"/>
  <c r="N231" i="7"/>
  <c r="M231" i="7"/>
  <c r="L231" i="7"/>
  <c r="K231" i="7"/>
  <c r="J231" i="7"/>
  <c r="I231" i="7"/>
  <c r="H231" i="7"/>
  <c r="G231" i="7"/>
  <c r="F231" i="7"/>
  <c r="AE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AE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AE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AE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AE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AE225" i="7"/>
  <c r="AC225" i="7"/>
  <c r="AB225" i="7"/>
  <c r="AA225" i="7"/>
  <c r="Z225" i="7"/>
  <c r="Y225" i="7"/>
  <c r="X225" i="7"/>
  <c r="W225" i="7"/>
  <c r="V225" i="7"/>
  <c r="U225" i="7"/>
  <c r="T225" i="7"/>
  <c r="S225" i="7"/>
  <c r="R225" i="7"/>
  <c r="Q225" i="7"/>
  <c r="P225" i="7"/>
  <c r="O225" i="7"/>
  <c r="N225" i="7"/>
  <c r="M225" i="7"/>
  <c r="L225" i="7"/>
  <c r="K225" i="7"/>
  <c r="J225" i="7"/>
  <c r="I225" i="7"/>
  <c r="H225" i="7"/>
  <c r="G225" i="7"/>
  <c r="F225" i="7"/>
  <c r="AE224" i="7"/>
  <c r="AC224" i="7"/>
  <c r="AB224" i="7"/>
  <c r="AA224" i="7"/>
  <c r="Z224" i="7"/>
  <c r="Y224" i="7"/>
  <c r="X224" i="7"/>
  <c r="W224" i="7"/>
  <c r="V224" i="7"/>
  <c r="U224" i="7"/>
  <c r="T224" i="7"/>
  <c r="S224" i="7"/>
  <c r="R224" i="7"/>
  <c r="Q224" i="7"/>
  <c r="P224" i="7"/>
  <c r="O224" i="7"/>
  <c r="N224" i="7"/>
  <c r="M224" i="7"/>
  <c r="L224" i="7"/>
  <c r="K224" i="7"/>
  <c r="J224" i="7"/>
  <c r="I224" i="7"/>
  <c r="H224" i="7"/>
  <c r="G224" i="7"/>
  <c r="F224" i="7"/>
  <c r="AE223" i="7"/>
  <c r="AC223" i="7"/>
  <c r="AB223" i="7"/>
  <c r="AA223" i="7"/>
  <c r="Z223" i="7"/>
  <c r="Y223" i="7"/>
  <c r="X223" i="7"/>
  <c r="W223" i="7"/>
  <c r="V223" i="7"/>
  <c r="U223" i="7"/>
  <c r="T223" i="7"/>
  <c r="S223" i="7"/>
  <c r="R223" i="7"/>
  <c r="Q223" i="7"/>
  <c r="P223" i="7"/>
  <c r="O223" i="7"/>
  <c r="N223" i="7"/>
  <c r="M223" i="7"/>
  <c r="L223" i="7"/>
  <c r="K223" i="7"/>
  <c r="J223" i="7"/>
  <c r="I223" i="7"/>
  <c r="H223" i="7"/>
  <c r="G223" i="7"/>
  <c r="F223" i="7"/>
  <c r="AE222" i="7"/>
  <c r="AC222" i="7"/>
  <c r="AB222" i="7"/>
  <c r="AA222" i="7"/>
  <c r="Z222" i="7"/>
  <c r="Y222" i="7"/>
  <c r="X222" i="7"/>
  <c r="W222" i="7"/>
  <c r="V222" i="7"/>
  <c r="U222" i="7"/>
  <c r="T222" i="7"/>
  <c r="S222" i="7"/>
  <c r="R222" i="7"/>
  <c r="Q222" i="7"/>
  <c r="P222" i="7"/>
  <c r="O222" i="7"/>
  <c r="N222" i="7"/>
  <c r="M222" i="7"/>
  <c r="L222" i="7"/>
  <c r="K222" i="7"/>
  <c r="J222" i="7"/>
  <c r="I222" i="7"/>
  <c r="H222" i="7"/>
  <c r="G222" i="7"/>
  <c r="F222" i="7"/>
  <c r="AE221" i="7"/>
  <c r="AC221" i="7"/>
  <c r="AB221" i="7"/>
  <c r="AA221" i="7"/>
  <c r="Z221" i="7"/>
  <c r="Y221" i="7"/>
  <c r="X221" i="7"/>
  <c r="W221" i="7"/>
  <c r="V221" i="7"/>
  <c r="U221" i="7"/>
  <c r="T221" i="7"/>
  <c r="S221" i="7"/>
  <c r="R221" i="7"/>
  <c r="Q221" i="7"/>
  <c r="P221" i="7"/>
  <c r="O221" i="7"/>
  <c r="N221" i="7"/>
  <c r="M221" i="7"/>
  <c r="L221" i="7"/>
  <c r="K221" i="7"/>
  <c r="J221" i="7"/>
  <c r="I221" i="7"/>
  <c r="H221" i="7"/>
  <c r="G221" i="7"/>
  <c r="F221" i="7"/>
  <c r="AE220" i="7"/>
  <c r="AC220" i="7"/>
  <c r="AB220" i="7"/>
  <c r="AA220" i="7"/>
  <c r="Z220" i="7"/>
  <c r="Y220" i="7"/>
  <c r="X220" i="7"/>
  <c r="W220" i="7"/>
  <c r="V220" i="7"/>
  <c r="U220" i="7"/>
  <c r="T220" i="7"/>
  <c r="S220" i="7"/>
  <c r="R220" i="7"/>
  <c r="Q220" i="7"/>
  <c r="P220" i="7"/>
  <c r="O220" i="7"/>
  <c r="N220" i="7"/>
  <c r="M220" i="7"/>
  <c r="L220" i="7"/>
  <c r="K220" i="7"/>
  <c r="J220" i="7"/>
  <c r="I220" i="7"/>
  <c r="H220" i="7"/>
  <c r="G220" i="7"/>
  <c r="F220" i="7"/>
  <c r="AE219" i="7"/>
  <c r="AC219" i="7"/>
  <c r="AB219" i="7"/>
  <c r="AA219" i="7"/>
  <c r="Z219" i="7"/>
  <c r="Y219" i="7"/>
  <c r="X219" i="7"/>
  <c r="W219" i="7"/>
  <c r="V219" i="7"/>
  <c r="U219" i="7"/>
  <c r="T219" i="7"/>
  <c r="S219" i="7"/>
  <c r="R219" i="7"/>
  <c r="Q219" i="7"/>
  <c r="P219" i="7"/>
  <c r="O219" i="7"/>
  <c r="N219" i="7"/>
  <c r="M219" i="7"/>
  <c r="L219" i="7"/>
  <c r="K219" i="7"/>
  <c r="J219" i="7"/>
  <c r="I219" i="7"/>
  <c r="H219" i="7"/>
  <c r="G219" i="7"/>
  <c r="F219" i="7"/>
  <c r="AE218" i="7"/>
  <c r="AC218" i="7"/>
  <c r="AB218" i="7"/>
  <c r="AA218" i="7"/>
  <c r="Z218" i="7"/>
  <c r="Y218" i="7"/>
  <c r="X218" i="7"/>
  <c r="W218" i="7"/>
  <c r="V218" i="7"/>
  <c r="U218" i="7"/>
  <c r="T218" i="7"/>
  <c r="S218" i="7"/>
  <c r="R218" i="7"/>
  <c r="Q218" i="7"/>
  <c r="P218" i="7"/>
  <c r="O218" i="7"/>
  <c r="N218" i="7"/>
  <c r="M218" i="7"/>
  <c r="L218" i="7"/>
  <c r="K218" i="7"/>
  <c r="J218" i="7"/>
  <c r="I218" i="7"/>
  <c r="H218" i="7"/>
  <c r="G218" i="7"/>
  <c r="F218" i="7"/>
  <c r="AE217" i="7"/>
  <c r="AC217" i="7"/>
  <c r="AB217" i="7"/>
  <c r="AA217" i="7"/>
  <c r="Z217" i="7"/>
  <c r="Y217" i="7"/>
  <c r="X217" i="7"/>
  <c r="W217" i="7"/>
  <c r="V217" i="7"/>
  <c r="U217" i="7"/>
  <c r="T217" i="7"/>
  <c r="S217" i="7"/>
  <c r="R217" i="7"/>
  <c r="Q217" i="7"/>
  <c r="P217" i="7"/>
  <c r="O217" i="7"/>
  <c r="N217" i="7"/>
  <c r="M217" i="7"/>
  <c r="L217" i="7"/>
  <c r="K217" i="7"/>
  <c r="J217" i="7"/>
  <c r="I217" i="7"/>
  <c r="H217" i="7"/>
  <c r="G217" i="7"/>
  <c r="F217" i="7"/>
  <c r="AE216" i="7"/>
  <c r="AC216" i="7"/>
  <c r="AB216" i="7"/>
  <c r="AA216" i="7"/>
  <c r="Z216" i="7"/>
  <c r="Y216" i="7"/>
  <c r="X216" i="7"/>
  <c r="W216" i="7"/>
  <c r="V216" i="7"/>
  <c r="U216" i="7"/>
  <c r="T216" i="7"/>
  <c r="S216" i="7"/>
  <c r="R216" i="7"/>
  <c r="Q216" i="7"/>
  <c r="P216" i="7"/>
  <c r="O216" i="7"/>
  <c r="N216" i="7"/>
  <c r="M216" i="7"/>
  <c r="L216" i="7"/>
  <c r="K216" i="7"/>
  <c r="J216" i="7"/>
  <c r="I216" i="7"/>
  <c r="H216" i="7"/>
  <c r="G216" i="7"/>
  <c r="F216" i="7"/>
  <c r="AE215" i="7"/>
  <c r="AC215" i="7"/>
  <c r="AB215" i="7"/>
  <c r="AA215" i="7"/>
  <c r="Z215" i="7"/>
  <c r="Y215" i="7"/>
  <c r="X215" i="7"/>
  <c r="W215" i="7"/>
  <c r="V215" i="7"/>
  <c r="U215" i="7"/>
  <c r="T215" i="7"/>
  <c r="S215" i="7"/>
  <c r="R215" i="7"/>
  <c r="Q215" i="7"/>
  <c r="P215" i="7"/>
  <c r="O215" i="7"/>
  <c r="N215" i="7"/>
  <c r="M215" i="7"/>
  <c r="L215" i="7"/>
  <c r="K215" i="7"/>
  <c r="J215" i="7"/>
  <c r="I215" i="7"/>
  <c r="H215" i="7"/>
  <c r="G215" i="7"/>
  <c r="F215" i="7"/>
  <c r="AE214" i="7"/>
  <c r="AC214" i="7"/>
  <c r="AB214" i="7"/>
  <c r="AA214" i="7"/>
  <c r="Z214" i="7"/>
  <c r="Y214" i="7"/>
  <c r="X214" i="7"/>
  <c r="W214" i="7"/>
  <c r="V214" i="7"/>
  <c r="U214" i="7"/>
  <c r="T214" i="7"/>
  <c r="S214" i="7"/>
  <c r="R214" i="7"/>
  <c r="Q214" i="7"/>
  <c r="P214" i="7"/>
  <c r="O214" i="7"/>
  <c r="N214" i="7"/>
  <c r="M214" i="7"/>
  <c r="L214" i="7"/>
  <c r="K214" i="7"/>
  <c r="J214" i="7"/>
  <c r="I214" i="7"/>
  <c r="H214" i="7"/>
  <c r="G214" i="7"/>
  <c r="F214" i="7"/>
  <c r="AE213" i="7"/>
  <c r="AC213" i="7"/>
  <c r="AB213" i="7"/>
  <c r="AA213" i="7"/>
  <c r="Z213" i="7"/>
  <c r="Y213" i="7"/>
  <c r="X213" i="7"/>
  <c r="W213" i="7"/>
  <c r="V213" i="7"/>
  <c r="U213" i="7"/>
  <c r="T213" i="7"/>
  <c r="S213" i="7"/>
  <c r="R213" i="7"/>
  <c r="Q213" i="7"/>
  <c r="P213" i="7"/>
  <c r="O213" i="7"/>
  <c r="N213" i="7"/>
  <c r="M213" i="7"/>
  <c r="L213" i="7"/>
  <c r="K213" i="7"/>
  <c r="J213" i="7"/>
  <c r="I213" i="7"/>
  <c r="H213" i="7"/>
  <c r="G213" i="7"/>
  <c r="F213" i="7"/>
  <c r="AE212" i="7"/>
  <c r="AC212" i="7"/>
  <c r="AB212" i="7"/>
  <c r="AA212" i="7"/>
  <c r="Z212" i="7"/>
  <c r="Y212" i="7"/>
  <c r="X212" i="7"/>
  <c r="W212" i="7"/>
  <c r="V212" i="7"/>
  <c r="U212" i="7"/>
  <c r="T212" i="7"/>
  <c r="S212" i="7"/>
  <c r="R212" i="7"/>
  <c r="Q212" i="7"/>
  <c r="P212" i="7"/>
  <c r="O212" i="7"/>
  <c r="N212" i="7"/>
  <c r="M212" i="7"/>
  <c r="L212" i="7"/>
  <c r="K212" i="7"/>
  <c r="J212" i="7"/>
  <c r="I212" i="7"/>
  <c r="H212" i="7"/>
  <c r="G212" i="7"/>
  <c r="F212" i="7"/>
  <c r="AE211" i="7"/>
  <c r="AC211" i="7"/>
  <c r="AB211" i="7"/>
  <c r="AA211" i="7"/>
  <c r="Z211" i="7"/>
  <c r="Y211" i="7"/>
  <c r="X211" i="7"/>
  <c r="W211" i="7"/>
  <c r="V211" i="7"/>
  <c r="U211" i="7"/>
  <c r="T211" i="7"/>
  <c r="S211" i="7"/>
  <c r="R211" i="7"/>
  <c r="Q211" i="7"/>
  <c r="P211" i="7"/>
  <c r="O211" i="7"/>
  <c r="N211" i="7"/>
  <c r="M211" i="7"/>
  <c r="L211" i="7"/>
  <c r="K211" i="7"/>
  <c r="J211" i="7"/>
  <c r="I211" i="7"/>
  <c r="H211" i="7"/>
  <c r="G211" i="7"/>
  <c r="F211" i="7"/>
  <c r="AE210" i="7"/>
  <c r="AC210" i="7"/>
  <c r="AB210" i="7"/>
  <c r="AA210" i="7"/>
  <c r="Z210" i="7"/>
  <c r="Y210" i="7"/>
  <c r="X210" i="7"/>
  <c r="W210" i="7"/>
  <c r="V210" i="7"/>
  <c r="U210" i="7"/>
  <c r="T210" i="7"/>
  <c r="S210" i="7"/>
  <c r="R210" i="7"/>
  <c r="Q210" i="7"/>
  <c r="P210" i="7"/>
  <c r="O210" i="7"/>
  <c r="N210" i="7"/>
  <c r="M210" i="7"/>
  <c r="L210" i="7"/>
  <c r="K210" i="7"/>
  <c r="J210" i="7"/>
  <c r="I210" i="7"/>
  <c r="H210" i="7"/>
  <c r="G210" i="7"/>
  <c r="F210" i="7"/>
  <c r="AE209" i="7"/>
  <c r="AC209" i="7"/>
  <c r="AB209" i="7"/>
  <c r="AA209" i="7"/>
  <c r="Z209" i="7"/>
  <c r="Y209" i="7"/>
  <c r="X209" i="7"/>
  <c r="W209" i="7"/>
  <c r="V209" i="7"/>
  <c r="U209" i="7"/>
  <c r="T209" i="7"/>
  <c r="S209" i="7"/>
  <c r="R209" i="7"/>
  <c r="Q209" i="7"/>
  <c r="P209" i="7"/>
  <c r="O209" i="7"/>
  <c r="N209" i="7"/>
  <c r="M209" i="7"/>
  <c r="L209" i="7"/>
  <c r="K209" i="7"/>
  <c r="J209" i="7"/>
  <c r="I209" i="7"/>
  <c r="H209" i="7"/>
  <c r="G209" i="7"/>
  <c r="F209" i="7"/>
  <c r="AE208" i="7"/>
  <c r="AC208" i="7"/>
  <c r="AB208" i="7"/>
  <c r="AA208" i="7"/>
  <c r="Z208" i="7"/>
  <c r="Y208" i="7"/>
  <c r="X208" i="7"/>
  <c r="W208" i="7"/>
  <c r="V208" i="7"/>
  <c r="U208" i="7"/>
  <c r="T208" i="7"/>
  <c r="S208" i="7"/>
  <c r="R208" i="7"/>
  <c r="Q208" i="7"/>
  <c r="P208" i="7"/>
  <c r="O208" i="7"/>
  <c r="N208" i="7"/>
  <c r="M208" i="7"/>
  <c r="L208" i="7"/>
  <c r="K208" i="7"/>
  <c r="J208" i="7"/>
  <c r="I208" i="7"/>
  <c r="H208" i="7"/>
  <c r="G208" i="7"/>
  <c r="F208" i="7"/>
  <c r="AE207" i="7"/>
  <c r="AC207" i="7"/>
  <c r="AB207" i="7"/>
  <c r="AA207" i="7"/>
  <c r="Z207" i="7"/>
  <c r="Y207" i="7"/>
  <c r="X207" i="7"/>
  <c r="W207" i="7"/>
  <c r="V207" i="7"/>
  <c r="U207" i="7"/>
  <c r="T207" i="7"/>
  <c r="S207" i="7"/>
  <c r="R207" i="7"/>
  <c r="Q207" i="7"/>
  <c r="P207" i="7"/>
  <c r="O207" i="7"/>
  <c r="N207" i="7"/>
  <c r="M207" i="7"/>
  <c r="L207" i="7"/>
  <c r="K207" i="7"/>
  <c r="J207" i="7"/>
  <c r="I207" i="7"/>
  <c r="H207" i="7"/>
  <c r="G207" i="7"/>
  <c r="F207" i="7"/>
  <c r="AE206" i="7"/>
  <c r="AC206" i="7"/>
  <c r="AB206" i="7"/>
  <c r="AA206" i="7"/>
  <c r="Z206" i="7"/>
  <c r="Y206" i="7"/>
  <c r="X206" i="7"/>
  <c r="W206" i="7"/>
  <c r="V206" i="7"/>
  <c r="U206" i="7"/>
  <c r="T206" i="7"/>
  <c r="S206" i="7"/>
  <c r="R206" i="7"/>
  <c r="Q206" i="7"/>
  <c r="P206" i="7"/>
  <c r="O206" i="7"/>
  <c r="N206" i="7"/>
  <c r="M206" i="7"/>
  <c r="L206" i="7"/>
  <c r="K206" i="7"/>
  <c r="J206" i="7"/>
  <c r="I206" i="7"/>
  <c r="H206" i="7"/>
  <c r="G206" i="7"/>
  <c r="F206" i="7"/>
  <c r="AE205" i="7"/>
  <c r="AC205" i="7"/>
  <c r="AB205" i="7"/>
  <c r="AA205" i="7"/>
  <c r="Z205" i="7"/>
  <c r="Y205" i="7"/>
  <c r="X205" i="7"/>
  <c r="W205" i="7"/>
  <c r="V205" i="7"/>
  <c r="U205" i="7"/>
  <c r="T205" i="7"/>
  <c r="S205" i="7"/>
  <c r="R205" i="7"/>
  <c r="Q205" i="7"/>
  <c r="P205" i="7"/>
  <c r="O205" i="7"/>
  <c r="N205" i="7"/>
  <c r="M205" i="7"/>
  <c r="L205" i="7"/>
  <c r="K205" i="7"/>
  <c r="J205" i="7"/>
  <c r="I205" i="7"/>
  <c r="H205" i="7"/>
  <c r="G205" i="7"/>
  <c r="F205" i="7"/>
  <c r="AE204" i="7"/>
  <c r="AC204" i="7"/>
  <c r="AB204" i="7"/>
  <c r="AA204" i="7"/>
  <c r="Z204" i="7"/>
  <c r="Y204" i="7"/>
  <c r="X204" i="7"/>
  <c r="W204" i="7"/>
  <c r="V204" i="7"/>
  <c r="U204" i="7"/>
  <c r="T204" i="7"/>
  <c r="S204" i="7"/>
  <c r="R204" i="7"/>
  <c r="Q204" i="7"/>
  <c r="P204" i="7"/>
  <c r="O204" i="7"/>
  <c r="N204" i="7"/>
  <c r="M204" i="7"/>
  <c r="L204" i="7"/>
  <c r="K204" i="7"/>
  <c r="J204" i="7"/>
  <c r="I204" i="7"/>
  <c r="H204" i="7"/>
  <c r="G204" i="7"/>
  <c r="F204" i="7"/>
  <c r="AE203" i="7"/>
  <c r="AC203" i="7"/>
  <c r="AB203" i="7"/>
  <c r="AA203" i="7"/>
  <c r="Z203" i="7"/>
  <c r="Y203" i="7"/>
  <c r="X203" i="7"/>
  <c r="W203" i="7"/>
  <c r="V203" i="7"/>
  <c r="U203" i="7"/>
  <c r="T203" i="7"/>
  <c r="S203" i="7"/>
  <c r="R203" i="7"/>
  <c r="Q203" i="7"/>
  <c r="P203" i="7"/>
  <c r="O203" i="7"/>
  <c r="N203" i="7"/>
  <c r="M203" i="7"/>
  <c r="L203" i="7"/>
  <c r="K203" i="7"/>
  <c r="J203" i="7"/>
  <c r="I203" i="7"/>
  <c r="H203" i="7"/>
  <c r="G203" i="7"/>
  <c r="F203" i="7"/>
  <c r="AE202" i="7"/>
  <c r="AC202" i="7"/>
  <c r="AB202" i="7"/>
  <c r="AA202" i="7"/>
  <c r="Z202" i="7"/>
  <c r="Y202" i="7"/>
  <c r="X202" i="7"/>
  <c r="W202" i="7"/>
  <c r="V202" i="7"/>
  <c r="U202" i="7"/>
  <c r="T202" i="7"/>
  <c r="S202" i="7"/>
  <c r="R202" i="7"/>
  <c r="Q202" i="7"/>
  <c r="P202" i="7"/>
  <c r="O202" i="7"/>
  <c r="N202" i="7"/>
  <c r="M202" i="7"/>
  <c r="L202" i="7"/>
  <c r="K202" i="7"/>
  <c r="J202" i="7"/>
  <c r="I202" i="7"/>
  <c r="H202" i="7"/>
  <c r="G202" i="7"/>
  <c r="F202" i="7"/>
  <c r="AE201" i="7"/>
  <c r="AC201" i="7"/>
  <c r="AB201" i="7"/>
  <c r="AA201" i="7"/>
  <c r="Z201" i="7"/>
  <c r="Y201" i="7"/>
  <c r="X201" i="7"/>
  <c r="W201" i="7"/>
  <c r="V201" i="7"/>
  <c r="U201" i="7"/>
  <c r="T201" i="7"/>
  <c r="S201" i="7"/>
  <c r="R201" i="7"/>
  <c r="Q201" i="7"/>
  <c r="P201" i="7"/>
  <c r="O201" i="7"/>
  <c r="N201" i="7"/>
  <c r="M201" i="7"/>
  <c r="L201" i="7"/>
  <c r="K201" i="7"/>
  <c r="J201" i="7"/>
  <c r="I201" i="7"/>
  <c r="H201" i="7"/>
  <c r="G201" i="7"/>
  <c r="F201" i="7"/>
  <c r="AE200" i="7"/>
  <c r="AC200" i="7"/>
  <c r="AB200" i="7"/>
  <c r="AA200" i="7"/>
  <c r="Z200" i="7"/>
  <c r="Y200" i="7"/>
  <c r="X200" i="7"/>
  <c r="W200" i="7"/>
  <c r="V200" i="7"/>
  <c r="U200" i="7"/>
  <c r="T200" i="7"/>
  <c r="S200" i="7"/>
  <c r="R200" i="7"/>
  <c r="Q200" i="7"/>
  <c r="P200" i="7"/>
  <c r="O200" i="7"/>
  <c r="N200" i="7"/>
  <c r="M200" i="7"/>
  <c r="L200" i="7"/>
  <c r="K200" i="7"/>
  <c r="J200" i="7"/>
  <c r="I200" i="7"/>
  <c r="H200" i="7"/>
  <c r="G200" i="7"/>
  <c r="F200" i="7"/>
  <c r="AE199" i="7"/>
  <c r="AC199" i="7"/>
  <c r="AB199" i="7"/>
  <c r="AA199" i="7"/>
  <c r="Z199" i="7"/>
  <c r="Y199" i="7"/>
  <c r="X199" i="7"/>
  <c r="W199" i="7"/>
  <c r="V199" i="7"/>
  <c r="U199" i="7"/>
  <c r="T199" i="7"/>
  <c r="S199" i="7"/>
  <c r="R199" i="7"/>
  <c r="Q199" i="7"/>
  <c r="P199" i="7"/>
  <c r="O199" i="7"/>
  <c r="N199" i="7"/>
  <c r="M199" i="7"/>
  <c r="L199" i="7"/>
  <c r="K199" i="7"/>
  <c r="J199" i="7"/>
  <c r="I199" i="7"/>
  <c r="H199" i="7"/>
  <c r="G199" i="7"/>
  <c r="F199" i="7"/>
  <c r="AE198" i="7"/>
  <c r="AC198" i="7"/>
  <c r="AB198" i="7"/>
  <c r="AA198" i="7"/>
  <c r="Z198" i="7"/>
  <c r="Y198" i="7"/>
  <c r="X198" i="7"/>
  <c r="W198" i="7"/>
  <c r="V198" i="7"/>
  <c r="U198" i="7"/>
  <c r="T198" i="7"/>
  <c r="S198" i="7"/>
  <c r="R198" i="7"/>
  <c r="Q198" i="7"/>
  <c r="P198" i="7"/>
  <c r="O198" i="7"/>
  <c r="N198" i="7"/>
  <c r="M198" i="7"/>
  <c r="L198" i="7"/>
  <c r="K198" i="7"/>
  <c r="J198" i="7"/>
  <c r="I198" i="7"/>
  <c r="H198" i="7"/>
  <c r="G198" i="7"/>
  <c r="F198" i="7"/>
  <c r="AE197" i="7"/>
  <c r="AC197" i="7"/>
  <c r="AB197" i="7"/>
  <c r="AA197" i="7"/>
  <c r="Z197" i="7"/>
  <c r="Y197" i="7"/>
  <c r="X197" i="7"/>
  <c r="W197" i="7"/>
  <c r="V197" i="7"/>
  <c r="U197" i="7"/>
  <c r="T197" i="7"/>
  <c r="S197" i="7"/>
  <c r="R197" i="7"/>
  <c r="Q197" i="7"/>
  <c r="P197" i="7"/>
  <c r="O197" i="7"/>
  <c r="N197" i="7"/>
  <c r="M197" i="7"/>
  <c r="L197" i="7"/>
  <c r="K197" i="7"/>
  <c r="J197" i="7"/>
  <c r="I197" i="7"/>
  <c r="H197" i="7"/>
  <c r="G197" i="7"/>
  <c r="F197" i="7"/>
  <c r="AE196" i="7"/>
  <c r="AC196" i="7"/>
  <c r="AB196" i="7"/>
  <c r="AA196" i="7"/>
  <c r="Z196" i="7"/>
  <c r="Y196" i="7"/>
  <c r="X196" i="7"/>
  <c r="W196" i="7"/>
  <c r="V196" i="7"/>
  <c r="U196" i="7"/>
  <c r="T196" i="7"/>
  <c r="S196" i="7"/>
  <c r="R196" i="7"/>
  <c r="Q196" i="7"/>
  <c r="P196" i="7"/>
  <c r="O196" i="7"/>
  <c r="N196" i="7"/>
  <c r="M196" i="7"/>
  <c r="L196" i="7"/>
  <c r="K196" i="7"/>
  <c r="J196" i="7"/>
  <c r="I196" i="7"/>
  <c r="H196" i="7"/>
  <c r="G196" i="7"/>
  <c r="F196" i="7"/>
  <c r="AE195" i="7"/>
  <c r="AC195" i="7"/>
  <c r="AB195" i="7"/>
  <c r="AA195" i="7"/>
  <c r="Z195" i="7"/>
  <c r="Y195" i="7"/>
  <c r="X195" i="7"/>
  <c r="W195" i="7"/>
  <c r="V195" i="7"/>
  <c r="U195" i="7"/>
  <c r="T195" i="7"/>
  <c r="S195" i="7"/>
  <c r="R195" i="7"/>
  <c r="Q195" i="7"/>
  <c r="P195" i="7"/>
  <c r="O195" i="7"/>
  <c r="N195" i="7"/>
  <c r="M195" i="7"/>
  <c r="L195" i="7"/>
  <c r="K195" i="7"/>
  <c r="J195" i="7"/>
  <c r="I195" i="7"/>
  <c r="H195" i="7"/>
  <c r="G195" i="7"/>
  <c r="F195" i="7"/>
  <c r="AE194" i="7"/>
  <c r="AC194" i="7"/>
  <c r="AB194" i="7"/>
  <c r="AA194" i="7"/>
  <c r="Z194" i="7"/>
  <c r="Y194" i="7"/>
  <c r="X194" i="7"/>
  <c r="W194" i="7"/>
  <c r="V194" i="7"/>
  <c r="U194" i="7"/>
  <c r="T194" i="7"/>
  <c r="S194" i="7"/>
  <c r="R194" i="7"/>
  <c r="Q194" i="7"/>
  <c r="P194" i="7"/>
  <c r="O194" i="7"/>
  <c r="N194" i="7"/>
  <c r="M194" i="7"/>
  <c r="L194" i="7"/>
  <c r="K194" i="7"/>
  <c r="J194" i="7"/>
  <c r="I194" i="7"/>
  <c r="H194" i="7"/>
  <c r="G194" i="7"/>
  <c r="F194" i="7"/>
  <c r="AE193" i="7"/>
  <c r="AC193" i="7"/>
  <c r="AB193" i="7"/>
  <c r="AA193" i="7"/>
  <c r="Z193" i="7"/>
  <c r="Y193" i="7"/>
  <c r="X193" i="7"/>
  <c r="W193" i="7"/>
  <c r="V193" i="7"/>
  <c r="U193" i="7"/>
  <c r="T193" i="7"/>
  <c r="S193" i="7"/>
  <c r="R193" i="7"/>
  <c r="Q193" i="7"/>
  <c r="P193" i="7"/>
  <c r="O193" i="7"/>
  <c r="N193" i="7"/>
  <c r="M193" i="7"/>
  <c r="L193" i="7"/>
  <c r="K193" i="7"/>
  <c r="J193" i="7"/>
  <c r="I193" i="7"/>
  <c r="H193" i="7"/>
  <c r="G193" i="7"/>
  <c r="F193" i="7"/>
  <c r="AE192" i="7"/>
  <c r="AC192" i="7"/>
  <c r="AB192" i="7"/>
  <c r="AA192" i="7"/>
  <c r="Z192" i="7"/>
  <c r="Y192" i="7"/>
  <c r="X192" i="7"/>
  <c r="W192" i="7"/>
  <c r="V192" i="7"/>
  <c r="U192" i="7"/>
  <c r="T192" i="7"/>
  <c r="S192" i="7"/>
  <c r="R192" i="7"/>
  <c r="Q192" i="7"/>
  <c r="P192" i="7"/>
  <c r="O192" i="7"/>
  <c r="N192" i="7"/>
  <c r="M192" i="7"/>
  <c r="L192" i="7"/>
  <c r="K192" i="7"/>
  <c r="J192" i="7"/>
  <c r="I192" i="7"/>
  <c r="H192" i="7"/>
  <c r="G192" i="7"/>
  <c r="F192" i="7"/>
  <c r="AE191" i="7"/>
  <c r="AC191" i="7"/>
  <c r="AB191" i="7"/>
  <c r="AA191" i="7"/>
  <c r="Z191" i="7"/>
  <c r="Y191" i="7"/>
  <c r="X191" i="7"/>
  <c r="W191" i="7"/>
  <c r="V191" i="7"/>
  <c r="U191" i="7"/>
  <c r="T191" i="7"/>
  <c r="S191" i="7"/>
  <c r="R191" i="7"/>
  <c r="Q191" i="7"/>
  <c r="P191" i="7"/>
  <c r="O191" i="7"/>
  <c r="N191" i="7"/>
  <c r="M191" i="7"/>
  <c r="L191" i="7"/>
  <c r="K191" i="7"/>
  <c r="J191" i="7"/>
  <c r="I191" i="7"/>
  <c r="H191" i="7"/>
  <c r="G191" i="7"/>
  <c r="F191" i="7"/>
  <c r="AE190" i="7"/>
  <c r="AC190" i="7"/>
  <c r="AB190" i="7"/>
  <c r="AA190" i="7"/>
  <c r="Z190" i="7"/>
  <c r="Y190" i="7"/>
  <c r="X190" i="7"/>
  <c r="W190" i="7"/>
  <c r="V190" i="7"/>
  <c r="U190" i="7"/>
  <c r="T190" i="7"/>
  <c r="S190" i="7"/>
  <c r="R190" i="7"/>
  <c r="Q190" i="7"/>
  <c r="P190" i="7"/>
  <c r="O190" i="7"/>
  <c r="N190" i="7"/>
  <c r="M190" i="7"/>
  <c r="L190" i="7"/>
  <c r="K190" i="7"/>
  <c r="J190" i="7"/>
  <c r="I190" i="7"/>
  <c r="H190" i="7"/>
  <c r="G190" i="7"/>
  <c r="F190" i="7"/>
  <c r="AE189" i="7"/>
  <c r="AC189" i="7"/>
  <c r="AB189" i="7"/>
  <c r="AA189" i="7"/>
  <c r="Z189" i="7"/>
  <c r="Y189" i="7"/>
  <c r="X189" i="7"/>
  <c r="W189" i="7"/>
  <c r="V189" i="7"/>
  <c r="U189" i="7"/>
  <c r="T189" i="7"/>
  <c r="S189" i="7"/>
  <c r="R189" i="7"/>
  <c r="Q189" i="7"/>
  <c r="P189" i="7"/>
  <c r="O189" i="7"/>
  <c r="N189" i="7"/>
  <c r="M189" i="7"/>
  <c r="L189" i="7"/>
  <c r="K189" i="7"/>
  <c r="J189" i="7"/>
  <c r="I189" i="7"/>
  <c r="H189" i="7"/>
  <c r="G189" i="7"/>
  <c r="F189" i="7"/>
  <c r="AE188" i="7"/>
  <c r="AC188" i="7"/>
  <c r="AB188" i="7"/>
  <c r="AA188" i="7"/>
  <c r="Z188" i="7"/>
  <c r="Y188" i="7"/>
  <c r="X188" i="7"/>
  <c r="W188" i="7"/>
  <c r="V188" i="7"/>
  <c r="U188" i="7"/>
  <c r="T188" i="7"/>
  <c r="S188" i="7"/>
  <c r="R188" i="7"/>
  <c r="Q188" i="7"/>
  <c r="P188" i="7"/>
  <c r="O188" i="7"/>
  <c r="N188" i="7"/>
  <c r="M188" i="7"/>
  <c r="L188" i="7"/>
  <c r="K188" i="7"/>
  <c r="J188" i="7"/>
  <c r="I188" i="7"/>
  <c r="H188" i="7"/>
  <c r="G188" i="7"/>
  <c r="F188" i="7"/>
  <c r="AE187" i="7"/>
  <c r="AC187" i="7"/>
  <c r="AB187" i="7"/>
  <c r="AA187" i="7"/>
  <c r="Z187" i="7"/>
  <c r="Y187" i="7"/>
  <c r="X187" i="7"/>
  <c r="W187" i="7"/>
  <c r="V187" i="7"/>
  <c r="U187" i="7"/>
  <c r="T187" i="7"/>
  <c r="S187" i="7"/>
  <c r="R187" i="7"/>
  <c r="Q187" i="7"/>
  <c r="P187" i="7"/>
  <c r="O187" i="7"/>
  <c r="N187" i="7"/>
  <c r="M187" i="7"/>
  <c r="L187" i="7"/>
  <c r="K187" i="7"/>
  <c r="J187" i="7"/>
  <c r="I187" i="7"/>
  <c r="H187" i="7"/>
  <c r="G187" i="7"/>
  <c r="F187" i="7"/>
  <c r="AE186" i="7"/>
  <c r="AC186" i="7"/>
  <c r="AB186" i="7"/>
  <c r="AA186" i="7"/>
  <c r="Z186" i="7"/>
  <c r="Y186" i="7"/>
  <c r="X186" i="7"/>
  <c r="W186" i="7"/>
  <c r="V186" i="7"/>
  <c r="U186" i="7"/>
  <c r="T186" i="7"/>
  <c r="S186" i="7"/>
  <c r="R186" i="7"/>
  <c r="Q186" i="7"/>
  <c r="P186" i="7"/>
  <c r="O186" i="7"/>
  <c r="N186" i="7"/>
  <c r="M186" i="7"/>
  <c r="L186" i="7"/>
  <c r="K186" i="7"/>
  <c r="J186" i="7"/>
  <c r="I186" i="7"/>
  <c r="H186" i="7"/>
  <c r="G186" i="7"/>
  <c r="F186" i="7"/>
  <c r="AE185" i="7"/>
  <c r="AC185" i="7"/>
  <c r="AB185" i="7"/>
  <c r="AA185" i="7"/>
  <c r="Z185" i="7"/>
  <c r="Y185" i="7"/>
  <c r="X185" i="7"/>
  <c r="W185" i="7"/>
  <c r="V185" i="7"/>
  <c r="U185" i="7"/>
  <c r="T185" i="7"/>
  <c r="S185" i="7"/>
  <c r="R185" i="7"/>
  <c r="Q185" i="7"/>
  <c r="P185" i="7"/>
  <c r="O185" i="7"/>
  <c r="N185" i="7"/>
  <c r="M185" i="7"/>
  <c r="L185" i="7"/>
  <c r="K185" i="7"/>
  <c r="J185" i="7"/>
  <c r="I185" i="7"/>
  <c r="H185" i="7"/>
  <c r="G185" i="7"/>
  <c r="F185" i="7"/>
  <c r="AE184" i="7"/>
  <c r="AC184" i="7"/>
  <c r="AB184" i="7"/>
  <c r="AA184" i="7"/>
  <c r="Z184" i="7"/>
  <c r="Y184" i="7"/>
  <c r="X184" i="7"/>
  <c r="W184" i="7"/>
  <c r="V184" i="7"/>
  <c r="U184" i="7"/>
  <c r="T184" i="7"/>
  <c r="S184" i="7"/>
  <c r="R184" i="7"/>
  <c r="Q184" i="7"/>
  <c r="P184" i="7"/>
  <c r="O184" i="7"/>
  <c r="N184" i="7"/>
  <c r="M184" i="7"/>
  <c r="L184" i="7"/>
  <c r="K184" i="7"/>
  <c r="J184" i="7"/>
  <c r="I184" i="7"/>
  <c r="H184" i="7"/>
  <c r="G184" i="7"/>
  <c r="F184" i="7"/>
  <c r="AE183" i="7"/>
  <c r="AC183" i="7"/>
  <c r="AB183" i="7"/>
  <c r="AA183" i="7"/>
  <c r="Z183" i="7"/>
  <c r="Y183" i="7"/>
  <c r="X183" i="7"/>
  <c r="W183" i="7"/>
  <c r="V183" i="7"/>
  <c r="U183" i="7"/>
  <c r="T183" i="7"/>
  <c r="S183" i="7"/>
  <c r="R183" i="7"/>
  <c r="Q183" i="7"/>
  <c r="P183" i="7"/>
  <c r="O183" i="7"/>
  <c r="N183" i="7"/>
  <c r="M183" i="7"/>
  <c r="L183" i="7"/>
  <c r="K183" i="7"/>
  <c r="J183" i="7"/>
  <c r="I183" i="7"/>
  <c r="H183" i="7"/>
  <c r="G183" i="7"/>
  <c r="F183" i="7"/>
  <c r="AE182" i="7"/>
  <c r="AC182" i="7"/>
  <c r="AB182" i="7"/>
  <c r="AA182" i="7"/>
  <c r="Z182" i="7"/>
  <c r="Y182" i="7"/>
  <c r="X182" i="7"/>
  <c r="W182" i="7"/>
  <c r="V182" i="7"/>
  <c r="U182" i="7"/>
  <c r="T182" i="7"/>
  <c r="S182" i="7"/>
  <c r="R182" i="7"/>
  <c r="Q182" i="7"/>
  <c r="P182" i="7"/>
  <c r="O182" i="7"/>
  <c r="N182" i="7"/>
  <c r="M182" i="7"/>
  <c r="L182" i="7"/>
  <c r="K182" i="7"/>
  <c r="J182" i="7"/>
  <c r="I182" i="7"/>
  <c r="H182" i="7"/>
  <c r="G182" i="7"/>
  <c r="F182" i="7"/>
  <c r="AE181" i="7"/>
  <c r="AC181" i="7"/>
  <c r="AB181" i="7"/>
  <c r="AA181" i="7"/>
  <c r="Z181" i="7"/>
  <c r="Y181" i="7"/>
  <c r="X181" i="7"/>
  <c r="W181" i="7"/>
  <c r="V181" i="7"/>
  <c r="U181" i="7"/>
  <c r="T181" i="7"/>
  <c r="S181" i="7"/>
  <c r="R181" i="7"/>
  <c r="Q181" i="7"/>
  <c r="P181" i="7"/>
  <c r="O181" i="7"/>
  <c r="N181" i="7"/>
  <c r="M181" i="7"/>
  <c r="L181" i="7"/>
  <c r="K181" i="7"/>
  <c r="J181" i="7"/>
  <c r="I181" i="7"/>
  <c r="H181" i="7"/>
  <c r="G181" i="7"/>
  <c r="F181" i="7"/>
  <c r="AE180" i="7"/>
  <c r="AC180" i="7"/>
  <c r="AB180" i="7"/>
  <c r="AA180" i="7"/>
  <c r="Z180" i="7"/>
  <c r="Y180" i="7"/>
  <c r="X180" i="7"/>
  <c r="W180" i="7"/>
  <c r="V180" i="7"/>
  <c r="U180" i="7"/>
  <c r="T180" i="7"/>
  <c r="S180" i="7"/>
  <c r="R180" i="7"/>
  <c r="Q180" i="7"/>
  <c r="P180" i="7"/>
  <c r="O180" i="7"/>
  <c r="N180" i="7"/>
  <c r="M180" i="7"/>
  <c r="L180" i="7"/>
  <c r="K180" i="7"/>
  <c r="J180" i="7"/>
  <c r="I180" i="7"/>
  <c r="H180" i="7"/>
  <c r="G180" i="7"/>
  <c r="F180" i="7"/>
  <c r="AE179" i="7"/>
  <c r="AC179" i="7"/>
  <c r="AB179" i="7"/>
  <c r="AA179" i="7"/>
  <c r="Z179" i="7"/>
  <c r="Y179" i="7"/>
  <c r="X179" i="7"/>
  <c r="W179" i="7"/>
  <c r="V179" i="7"/>
  <c r="U179" i="7"/>
  <c r="T179" i="7"/>
  <c r="S179" i="7"/>
  <c r="R179" i="7"/>
  <c r="Q179" i="7"/>
  <c r="P179" i="7"/>
  <c r="O179" i="7"/>
  <c r="N179" i="7"/>
  <c r="M179" i="7"/>
  <c r="L179" i="7"/>
  <c r="K179" i="7"/>
  <c r="J179" i="7"/>
  <c r="I179" i="7"/>
  <c r="H179" i="7"/>
  <c r="G179" i="7"/>
  <c r="F179" i="7"/>
  <c r="AE178" i="7"/>
  <c r="AC178" i="7"/>
  <c r="AB178" i="7"/>
  <c r="AA178" i="7"/>
  <c r="Z178" i="7"/>
  <c r="Y178" i="7"/>
  <c r="X178" i="7"/>
  <c r="W178" i="7"/>
  <c r="V178" i="7"/>
  <c r="U178" i="7"/>
  <c r="T178" i="7"/>
  <c r="S178" i="7"/>
  <c r="R178" i="7"/>
  <c r="Q178" i="7"/>
  <c r="P178" i="7"/>
  <c r="O178" i="7"/>
  <c r="N178" i="7"/>
  <c r="M178" i="7"/>
  <c r="L178" i="7"/>
  <c r="K178" i="7"/>
  <c r="J178" i="7"/>
  <c r="I178" i="7"/>
  <c r="H178" i="7"/>
  <c r="G178" i="7"/>
  <c r="F178" i="7"/>
  <c r="AE177" i="7"/>
  <c r="AC177" i="7"/>
  <c r="AB177" i="7"/>
  <c r="AA177" i="7"/>
  <c r="Z177" i="7"/>
  <c r="Y177" i="7"/>
  <c r="X177" i="7"/>
  <c r="W177" i="7"/>
  <c r="V177" i="7"/>
  <c r="U177" i="7"/>
  <c r="T177" i="7"/>
  <c r="S177" i="7"/>
  <c r="R177" i="7"/>
  <c r="Q177" i="7"/>
  <c r="P177" i="7"/>
  <c r="O177" i="7"/>
  <c r="N177" i="7"/>
  <c r="M177" i="7"/>
  <c r="L177" i="7"/>
  <c r="K177" i="7"/>
  <c r="J177" i="7"/>
  <c r="I177" i="7"/>
  <c r="H177" i="7"/>
  <c r="G177" i="7"/>
  <c r="F177" i="7"/>
  <c r="AE176" i="7"/>
  <c r="AC176" i="7"/>
  <c r="AB176" i="7"/>
  <c r="AA176" i="7"/>
  <c r="Z176" i="7"/>
  <c r="Y176" i="7"/>
  <c r="X176" i="7"/>
  <c r="W176" i="7"/>
  <c r="V176" i="7"/>
  <c r="U176" i="7"/>
  <c r="T176" i="7"/>
  <c r="S176" i="7"/>
  <c r="R176" i="7"/>
  <c r="Q176" i="7"/>
  <c r="P176" i="7"/>
  <c r="O176" i="7"/>
  <c r="N176" i="7"/>
  <c r="M176" i="7"/>
  <c r="L176" i="7"/>
  <c r="K176" i="7"/>
  <c r="J176" i="7"/>
  <c r="I176" i="7"/>
  <c r="H176" i="7"/>
  <c r="G176" i="7"/>
  <c r="F176" i="7"/>
  <c r="AE175" i="7"/>
  <c r="AC175" i="7"/>
  <c r="AB175" i="7"/>
  <c r="AA175" i="7"/>
  <c r="Z175" i="7"/>
  <c r="Y175" i="7"/>
  <c r="X175" i="7"/>
  <c r="W175" i="7"/>
  <c r="V175" i="7"/>
  <c r="U175" i="7"/>
  <c r="T175" i="7"/>
  <c r="S175" i="7"/>
  <c r="R175" i="7"/>
  <c r="Q175" i="7"/>
  <c r="P175" i="7"/>
  <c r="O175" i="7"/>
  <c r="N175" i="7"/>
  <c r="M175" i="7"/>
  <c r="L175" i="7"/>
  <c r="K175" i="7"/>
  <c r="J175" i="7"/>
  <c r="I175" i="7"/>
  <c r="H175" i="7"/>
  <c r="G175" i="7"/>
  <c r="F175" i="7"/>
  <c r="AE174" i="7"/>
  <c r="AC174" i="7"/>
  <c r="AB174" i="7"/>
  <c r="AA174" i="7"/>
  <c r="Z174" i="7"/>
  <c r="Y174" i="7"/>
  <c r="X174" i="7"/>
  <c r="W174" i="7"/>
  <c r="V174" i="7"/>
  <c r="U174" i="7"/>
  <c r="T174" i="7"/>
  <c r="S174" i="7"/>
  <c r="R174" i="7"/>
  <c r="Q174" i="7"/>
  <c r="P174" i="7"/>
  <c r="O174" i="7"/>
  <c r="N174" i="7"/>
  <c r="M174" i="7"/>
  <c r="L174" i="7"/>
  <c r="K174" i="7"/>
  <c r="J174" i="7"/>
  <c r="I174" i="7"/>
  <c r="H174" i="7"/>
  <c r="G174" i="7"/>
  <c r="F174" i="7"/>
  <c r="AE173" i="7"/>
  <c r="AC173" i="7"/>
  <c r="AB173" i="7"/>
  <c r="AA173" i="7"/>
  <c r="Z173" i="7"/>
  <c r="Y173" i="7"/>
  <c r="X173" i="7"/>
  <c r="W173" i="7"/>
  <c r="V173" i="7"/>
  <c r="U173" i="7"/>
  <c r="T173" i="7"/>
  <c r="S173" i="7"/>
  <c r="R173" i="7"/>
  <c r="Q173" i="7"/>
  <c r="P173" i="7"/>
  <c r="O173" i="7"/>
  <c r="N173" i="7"/>
  <c r="M173" i="7"/>
  <c r="L173" i="7"/>
  <c r="K173" i="7"/>
  <c r="J173" i="7"/>
  <c r="I173" i="7"/>
  <c r="H173" i="7"/>
  <c r="G173" i="7"/>
  <c r="F173" i="7"/>
  <c r="AE172" i="7"/>
  <c r="AC172" i="7"/>
  <c r="AB172" i="7"/>
  <c r="AA172" i="7"/>
  <c r="Z172" i="7"/>
  <c r="Y172" i="7"/>
  <c r="X172" i="7"/>
  <c r="W172" i="7"/>
  <c r="V172" i="7"/>
  <c r="U172" i="7"/>
  <c r="T172" i="7"/>
  <c r="S172" i="7"/>
  <c r="R172" i="7"/>
  <c r="Q172" i="7"/>
  <c r="P172" i="7"/>
  <c r="O172" i="7"/>
  <c r="N172" i="7"/>
  <c r="M172" i="7"/>
  <c r="L172" i="7"/>
  <c r="K172" i="7"/>
  <c r="J172" i="7"/>
  <c r="I172" i="7"/>
  <c r="H172" i="7"/>
  <c r="G172" i="7"/>
  <c r="F172" i="7"/>
  <c r="AE171" i="7"/>
  <c r="AC171" i="7"/>
  <c r="AB171" i="7"/>
  <c r="AA171" i="7"/>
  <c r="Z171" i="7"/>
  <c r="Y171" i="7"/>
  <c r="X171" i="7"/>
  <c r="W171" i="7"/>
  <c r="V171" i="7"/>
  <c r="U171" i="7"/>
  <c r="T171" i="7"/>
  <c r="S171" i="7"/>
  <c r="R171" i="7"/>
  <c r="Q171" i="7"/>
  <c r="P171" i="7"/>
  <c r="O171" i="7"/>
  <c r="N171" i="7"/>
  <c r="M171" i="7"/>
  <c r="L171" i="7"/>
  <c r="K171" i="7"/>
  <c r="J171" i="7"/>
  <c r="I171" i="7"/>
  <c r="H171" i="7"/>
  <c r="G171" i="7"/>
  <c r="F171" i="7"/>
  <c r="AE170" i="7"/>
  <c r="AC170" i="7"/>
  <c r="AB170" i="7"/>
  <c r="AA170" i="7"/>
  <c r="Z170" i="7"/>
  <c r="Y170" i="7"/>
  <c r="X170" i="7"/>
  <c r="W170" i="7"/>
  <c r="V170" i="7"/>
  <c r="U170" i="7"/>
  <c r="T170" i="7"/>
  <c r="S170" i="7"/>
  <c r="R170" i="7"/>
  <c r="Q170" i="7"/>
  <c r="P170" i="7"/>
  <c r="O170" i="7"/>
  <c r="N170" i="7"/>
  <c r="M170" i="7"/>
  <c r="L170" i="7"/>
  <c r="K170" i="7"/>
  <c r="J170" i="7"/>
  <c r="I170" i="7"/>
  <c r="H170" i="7"/>
  <c r="G170" i="7"/>
  <c r="F170" i="7"/>
  <c r="AE169" i="7"/>
  <c r="AC169" i="7"/>
  <c r="AB169" i="7"/>
  <c r="AA169" i="7"/>
  <c r="Z169" i="7"/>
  <c r="Y169" i="7"/>
  <c r="X169" i="7"/>
  <c r="W169" i="7"/>
  <c r="V169" i="7"/>
  <c r="U169" i="7"/>
  <c r="T169" i="7"/>
  <c r="S169" i="7"/>
  <c r="R169" i="7"/>
  <c r="Q169" i="7"/>
  <c r="P169" i="7"/>
  <c r="O169" i="7"/>
  <c r="N169" i="7"/>
  <c r="M169" i="7"/>
  <c r="L169" i="7"/>
  <c r="K169" i="7"/>
  <c r="J169" i="7"/>
  <c r="I169" i="7"/>
  <c r="H169" i="7"/>
  <c r="G169" i="7"/>
  <c r="F169" i="7"/>
  <c r="AE168" i="7"/>
  <c r="AC168" i="7"/>
  <c r="AB168" i="7"/>
  <c r="AA168" i="7"/>
  <c r="Z168" i="7"/>
  <c r="Y168" i="7"/>
  <c r="X168" i="7"/>
  <c r="W168" i="7"/>
  <c r="V168" i="7"/>
  <c r="U168" i="7"/>
  <c r="T168" i="7"/>
  <c r="S168" i="7"/>
  <c r="R168" i="7"/>
  <c r="Q168" i="7"/>
  <c r="P168" i="7"/>
  <c r="O168" i="7"/>
  <c r="N168" i="7"/>
  <c r="M168" i="7"/>
  <c r="L168" i="7"/>
  <c r="K168" i="7"/>
  <c r="J168" i="7"/>
  <c r="I168" i="7"/>
  <c r="H168" i="7"/>
  <c r="G168" i="7"/>
  <c r="F168" i="7"/>
  <c r="AE167" i="7"/>
  <c r="AC167" i="7"/>
  <c r="AB167" i="7"/>
  <c r="AA167" i="7"/>
  <c r="Z167" i="7"/>
  <c r="Y167" i="7"/>
  <c r="X167" i="7"/>
  <c r="W167" i="7"/>
  <c r="V167" i="7"/>
  <c r="U167" i="7"/>
  <c r="T167" i="7"/>
  <c r="S167" i="7"/>
  <c r="R167" i="7"/>
  <c r="Q167" i="7"/>
  <c r="P167" i="7"/>
  <c r="O167" i="7"/>
  <c r="N167" i="7"/>
  <c r="M167" i="7"/>
  <c r="L167" i="7"/>
  <c r="K167" i="7"/>
  <c r="J167" i="7"/>
  <c r="I167" i="7"/>
  <c r="H167" i="7"/>
  <c r="G167" i="7"/>
  <c r="F167" i="7"/>
  <c r="AE166" i="7"/>
  <c r="AC166" i="7"/>
  <c r="AB166" i="7"/>
  <c r="AA166" i="7"/>
  <c r="Z166" i="7"/>
  <c r="Y166" i="7"/>
  <c r="X166" i="7"/>
  <c r="W166" i="7"/>
  <c r="V166" i="7"/>
  <c r="U166" i="7"/>
  <c r="T166" i="7"/>
  <c r="S166" i="7"/>
  <c r="R166" i="7"/>
  <c r="Q166" i="7"/>
  <c r="P166" i="7"/>
  <c r="O166" i="7"/>
  <c r="N166" i="7"/>
  <c r="M166" i="7"/>
  <c r="L166" i="7"/>
  <c r="K166" i="7"/>
  <c r="J166" i="7"/>
  <c r="I166" i="7"/>
  <c r="H166" i="7"/>
  <c r="G166" i="7"/>
  <c r="F166" i="7"/>
  <c r="AE165" i="7"/>
  <c r="AC165" i="7"/>
  <c r="AB165" i="7"/>
  <c r="AA165" i="7"/>
  <c r="Z165" i="7"/>
  <c r="Y165" i="7"/>
  <c r="X165" i="7"/>
  <c r="W165" i="7"/>
  <c r="V165" i="7"/>
  <c r="U165" i="7"/>
  <c r="T165" i="7"/>
  <c r="S165" i="7"/>
  <c r="R165" i="7"/>
  <c r="Q165" i="7"/>
  <c r="P165" i="7"/>
  <c r="O165" i="7"/>
  <c r="N165" i="7"/>
  <c r="M165" i="7"/>
  <c r="L165" i="7"/>
  <c r="K165" i="7"/>
  <c r="J165" i="7"/>
  <c r="I165" i="7"/>
  <c r="H165" i="7"/>
  <c r="G165" i="7"/>
  <c r="F165" i="7"/>
  <c r="AE164" i="7"/>
  <c r="AC164" i="7"/>
  <c r="AB164" i="7"/>
  <c r="AA164" i="7"/>
  <c r="Z164" i="7"/>
  <c r="Y164" i="7"/>
  <c r="X164" i="7"/>
  <c r="W164" i="7"/>
  <c r="V164" i="7"/>
  <c r="U164" i="7"/>
  <c r="T164" i="7"/>
  <c r="S164" i="7"/>
  <c r="R164" i="7"/>
  <c r="Q164" i="7"/>
  <c r="P164" i="7"/>
  <c r="O164" i="7"/>
  <c r="N164" i="7"/>
  <c r="M164" i="7"/>
  <c r="L164" i="7"/>
  <c r="K164" i="7"/>
  <c r="J164" i="7"/>
  <c r="I164" i="7"/>
  <c r="H164" i="7"/>
  <c r="G164" i="7"/>
  <c r="F164" i="7"/>
  <c r="AE163" i="7"/>
  <c r="AC163" i="7"/>
  <c r="AB163" i="7"/>
  <c r="AA163" i="7"/>
  <c r="Z163" i="7"/>
  <c r="Y163" i="7"/>
  <c r="X163" i="7"/>
  <c r="W163" i="7"/>
  <c r="V163" i="7"/>
  <c r="U163" i="7"/>
  <c r="T163" i="7"/>
  <c r="S163" i="7"/>
  <c r="R163" i="7"/>
  <c r="Q163" i="7"/>
  <c r="P163" i="7"/>
  <c r="O163" i="7"/>
  <c r="N163" i="7"/>
  <c r="M163" i="7"/>
  <c r="L163" i="7"/>
  <c r="K163" i="7"/>
  <c r="J163" i="7"/>
  <c r="I163" i="7"/>
  <c r="H163" i="7"/>
  <c r="G163" i="7"/>
  <c r="F163" i="7"/>
  <c r="AE162" i="7"/>
  <c r="AC162" i="7"/>
  <c r="AB162" i="7"/>
  <c r="AA162" i="7"/>
  <c r="Z162" i="7"/>
  <c r="Y162" i="7"/>
  <c r="X162" i="7"/>
  <c r="W162" i="7"/>
  <c r="V162" i="7"/>
  <c r="U162" i="7"/>
  <c r="T162" i="7"/>
  <c r="S162" i="7"/>
  <c r="R162" i="7"/>
  <c r="Q162" i="7"/>
  <c r="P162" i="7"/>
  <c r="O162" i="7"/>
  <c r="N162" i="7"/>
  <c r="M162" i="7"/>
  <c r="L162" i="7"/>
  <c r="K162" i="7"/>
  <c r="J162" i="7"/>
  <c r="I162" i="7"/>
  <c r="H162" i="7"/>
  <c r="G162" i="7"/>
  <c r="F162" i="7"/>
  <c r="AE161" i="7"/>
  <c r="AC161" i="7"/>
  <c r="AB161" i="7"/>
  <c r="AA161" i="7"/>
  <c r="Z161" i="7"/>
  <c r="Y161" i="7"/>
  <c r="X161" i="7"/>
  <c r="W161" i="7"/>
  <c r="V161" i="7"/>
  <c r="U161" i="7"/>
  <c r="T161" i="7"/>
  <c r="S161" i="7"/>
  <c r="R161" i="7"/>
  <c r="Q161" i="7"/>
  <c r="P161" i="7"/>
  <c r="O161" i="7"/>
  <c r="N161" i="7"/>
  <c r="M161" i="7"/>
  <c r="L161" i="7"/>
  <c r="K161" i="7"/>
  <c r="J161" i="7"/>
  <c r="I161" i="7"/>
  <c r="H161" i="7"/>
  <c r="G161" i="7"/>
  <c r="F161" i="7"/>
  <c r="AE160" i="7"/>
  <c r="AC160" i="7"/>
  <c r="AB160" i="7"/>
  <c r="AA160" i="7"/>
  <c r="Z160" i="7"/>
  <c r="Y160" i="7"/>
  <c r="X160" i="7"/>
  <c r="W160" i="7"/>
  <c r="V160" i="7"/>
  <c r="U160" i="7"/>
  <c r="T160" i="7"/>
  <c r="S160" i="7"/>
  <c r="R160" i="7"/>
  <c r="Q160" i="7"/>
  <c r="P160" i="7"/>
  <c r="O160" i="7"/>
  <c r="N160" i="7"/>
  <c r="M160" i="7"/>
  <c r="L160" i="7"/>
  <c r="K160" i="7"/>
  <c r="J160" i="7"/>
  <c r="I160" i="7"/>
  <c r="H160" i="7"/>
  <c r="G160" i="7"/>
  <c r="F160" i="7"/>
  <c r="AE159" i="7"/>
  <c r="AC159" i="7"/>
  <c r="AB159" i="7"/>
  <c r="AA159" i="7"/>
  <c r="Z159" i="7"/>
  <c r="Y159" i="7"/>
  <c r="X159" i="7"/>
  <c r="W159" i="7"/>
  <c r="V159" i="7"/>
  <c r="U159" i="7"/>
  <c r="T159" i="7"/>
  <c r="S159" i="7"/>
  <c r="R159" i="7"/>
  <c r="Q159" i="7"/>
  <c r="P159" i="7"/>
  <c r="O159" i="7"/>
  <c r="N159" i="7"/>
  <c r="M159" i="7"/>
  <c r="L159" i="7"/>
  <c r="K159" i="7"/>
  <c r="J159" i="7"/>
  <c r="I159" i="7"/>
  <c r="H159" i="7"/>
  <c r="G159" i="7"/>
  <c r="F159" i="7"/>
  <c r="AE158" i="7"/>
  <c r="AC158" i="7"/>
  <c r="AB158" i="7"/>
  <c r="AA158" i="7"/>
  <c r="Z158" i="7"/>
  <c r="Y158" i="7"/>
  <c r="X158" i="7"/>
  <c r="W158" i="7"/>
  <c r="V158" i="7"/>
  <c r="U158" i="7"/>
  <c r="T158" i="7"/>
  <c r="S158" i="7"/>
  <c r="R158" i="7"/>
  <c r="Q158" i="7"/>
  <c r="P158" i="7"/>
  <c r="O158" i="7"/>
  <c r="N158" i="7"/>
  <c r="M158" i="7"/>
  <c r="L158" i="7"/>
  <c r="K158" i="7"/>
  <c r="J158" i="7"/>
  <c r="I158" i="7"/>
  <c r="H158" i="7"/>
  <c r="G158" i="7"/>
  <c r="F158" i="7"/>
  <c r="AE157" i="7"/>
  <c r="AC157" i="7"/>
  <c r="AB157" i="7"/>
  <c r="AA157" i="7"/>
  <c r="Z157" i="7"/>
  <c r="Y157" i="7"/>
  <c r="X157" i="7"/>
  <c r="W157" i="7"/>
  <c r="V157" i="7"/>
  <c r="U157" i="7"/>
  <c r="T157" i="7"/>
  <c r="S157" i="7"/>
  <c r="R157" i="7"/>
  <c r="Q157" i="7"/>
  <c r="P157" i="7"/>
  <c r="O157" i="7"/>
  <c r="N157" i="7"/>
  <c r="M157" i="7"/>
  <c r="L157" i="7"/>
  <c r="K157" i="7"/>
  <c r="J157" i="7"/>
  <c r="I157" i="7"/>
  <c r="H157" i="7"/>
  <c r="G157" i="7"/>
  <c r="F157" i="7"/>
  <c r="AE156" i="7"/>
  <c r="AC156" i="7"/>
  <c r="AB156" i="7"/>
  <c r="AA156" i="7"/>
  <c r="Z156" i="7"/>
  <c r="Y156" i="7"/>
  <c r="X156" i="7"/>
  <c r="W156" i="7"/>
  <c r="V156" i="7"/>
  <c r="U156" i="7"/>
  <c r="T156" i="7"/>
  <c r="S156" i="7"/>
  <c r="R156" i="7"/>
  <c r="Q156" i="7"/>
  <c r="P156" i="7"/>
  <c r="O156" i="7"/>
  <c r="N156" i="7"/>
  <c r="M156" i="7"/>
  <c r="L156" i="7"/>
  <c r="K156" i="7"/>
  <c r="J156" i="7"/>
  <c r="I156" i="7"/>
  <c r="H156" i="7"/>
  <c r="G156" i="7"/>
  <c r="F156" i="7"/>
  <c r="AE155" i="7"/>
  <c r="AC155" i="7"/>
  <c r="AB155" i="7"/>
  <c r="AA155" i="7"/>
  <c r="Z155" i="7"/>
  <c r="Y155" i="7"/>
  <c r="X155" i="7"/>
  <c r="W155" i="7"/>
  <c r="V155" i="7"/>
  <c r="U155" i="7"/>
  <c r="T155" i="7"/>
  <c r="S155" i="7"/>
  <c r="R155" i="7"/>
  <c r="Q155" i="7"/>
  <c r="P155" i="7"/>
  <c r="O155" i="7"/>
  <c r="N155" i="7"/>
  <c r="M155" i="7"/>
  <c r="L155" i="7"/>
  <c r="K155" i="7"/>
  <c r="J155" i="7"/>
  <c r="I155" i="7"/>
  <c r="H155" i="7"/>
  <c r="G155" i="7"/>
  <c r="F155" i="7"/>
  <c r="AE154" i="7"/>
  <c r="AC154" i="7"/>
  <c r="AB154" i="7"/>
  <c r="AA154" i="7"/>
  <c r="Z154" i="7"/>
  <c r="Y154" i="7"/>
  <c r="X154" i="7"/>
  <c r="W154" i="7"/>
  <c r="V154" i="7"/>
  <c r="U154" i="7"/>
  <c r="T154" i="7"/>
  <c r="S154" i="7"/>
  <c r="R154" i="7"/>
  <c r="Q154" i="7"/>
  <c r="P154" i="7"/>
  <c r="O154" i="7"/>
  <c r="N154" i="7"/>
  <c r="M154" i="7"/>
  <c r="L154" i="7"/>
  <c r="K154" i="7"/>
  <c r="J154" i="7"/>
  <c r="I154" i="7"/>
  <c r="H154" i="7"/>
  <c r="G154" i="7"/>
  <c r="F154" i="7"/>
  <c r="AE153" i="7"/>
  <c r="AC153" i="7"/>
  <c r="AB153" i="7"/>
  <c r="AA153" i="7"/>
  <c r="Z153" i="7"/>
  <c r="Y153" i="7"/>
  <c r="X153" i="7"/>
  <c r="W153" i="7"/>
  <c r="V153" i="7"/>
  <c r="U153" i="7"/>
  <c r="T153" i="7"/>
  <c r="S153" i="7"/>
  <c r="R153" i="7"/>
  <c r="Q153" i="7"/>
  <c r="P153" i="7"/>
  <c r="O153" i="7"/>
  <c r="N153" i="7"/>
  <c r="M153" i="7"/>
  <c r="L153" i="7"/>
  <c r="K153" i="7"/>
  <c r="J153" i="7"/>
  <c r="I153" i="7"/>
  <c r="H153" i="7"/>
  <c r="G153" i="7"/>
  <c r="F153" i="7"/>
  <c r="AE152" i="7"/>
  <c r="AC152" i="7"/>
  <c r="AB152" i="7"/>
  <c r="AA152" i="7"/>
  <c r="Z152" i="7"/>
  <c r="Y152" i="7"/>
  <c r="X152" i="7"/>
  <c r="W152" i="7"/>
  <c r="V152" i="7"/>
  <c r="U152" i="7"/>
  <c r="T152" i="7"/>
  <c r="S152" i="7"/>
  <c r="R152" i="7"/>
  <c r="Q152" i="7"/>
  <c r="P152" i="7"/>
  <c r="O152" i="7"/>
  <c r="N152" i="7"/>
  <c r="M152" i="7"/>
  <c r="L152" i="7"/>
  <c r="K152" i="7"/>
  <c r="J152" i="7"/>
  <c r="I152" i="7"/>
  <c r="H152" i="7"/>
  <c r="G152" i="7"/>
  <c r="F152" i="7"/>
  <c r="AE151" i="7"/>
  <c r="AC151" i="7"/>
  <c r="AB151" i="7"/>
  <c r="AA151" i="7"/>
  <c r="Z151" i="7"/>
  <c r="Y151" i="7"/>
  <c r="X151" i="7"/>
  <c r="W151" i="7"/>
  <c r="V151" i="7"/>
  <c r="U151" i="7"/>
  <c r="T151" i="7"/>
  <c r="S151" i="7"/>
  <c r="R151" i="7"/>
  <c r="Q151" i="7"/>
  <c r="P151" i="7"/>
  <c r="O151" i="7"/>
  <c r="N151" i="7"/>
  <c r="M151" i="7"/>
  <c r="L151" i="7"/>
  <c r="K151" i="7"/>
  <c r="J151" i="7"/>
  <c r="I151" i="7"/>
  <c r="H151" i="7"/>
  <c r="G151" i="7"/>
  <c r="F151" i="7"/>
  <c r="AE150" i="7"/>
  <c r="AC150" i="7"/>
  <c r="AB150" i="7"/>
  <c r="AA150" i="7"/>
  <c r="Z150" i="7"/>
  <c r="Y150" i="7"/>
  <c r="X150" i="7"/>
  <c r="W150" i="7"/>
  <c r="V150" i="7"/>
  <c r="U150" i="7"/>
  <c r="T150" i="7"/>
  <c r="S150" i="7"/>
  <c r="R150" i="7"/>
  <c r="Q150" i="7"/>
  <c r="P150" i="7"/>
  <c r="O150" i="7"/>
  <c r="N150" i="7"/>
  <c r="M150" i="7"/>
  <c r="L150" i="7"/>
  <c r="K150" i="7"/>
  <c r="J150" i="7"/>
  <c r="I150" i="7"/>
  <c r="H150" i="7"/>
  <c r="G150" i="7"/>
  <c r="F150" i="7"/>
  <c r="AE149" i="7"/>
  <c r="AC149" i="7"/>
  <c r="AB149" i="7"/>
  <c r="AA149" i="7"/>
  <c r="Z149" i="7"/>
  <c r="Y149" i="7"/>
  <c r="X149" i="7"/>
  <c r="W149" i="7"/>
  <c r="V149" i="7"/>
  <c r="U149" i="7"/>
  <c r="T149" i="7"/>
  <c r="S149" i="7"/>
  <c r="R149" i="7"/>
  <c r="Q149" i="7"/>
  <c r="P149" i="7"/>
  <c r="O149" i="7"/>
  <c r="N149" i="7"/>
  <c r="M149" i="7"/>
  <c r="L149" i="7"/>
  <c r="K149" i="7"/>
  <c r="J149" i="7"/>
  <c r="I149" i="7"/>
  <c r="H149" i="7"/>
  <c r="G149" i="7"/>
  <c r="F149" i="7"/>
  <c r="AE148" i="7"/>
  <c r="AC148" i="7"/>
  <c r="AB148" i="7"/>
  <c r="AA148" i="7"/>
  <c r="Z148" i="7"/>
  <c r="Y148" i="7"/>
  <c r="X148" i="7"/>
  <c r="W148" i="7"/>
  <c r="V148" i="7"/>
  <c r="U148" i="7"/>
  <c r="T148" i="7"/>
  <c r="S148" i="7"/>
  <c r="R148" i="7"/>
  <c r="Q148" i="7"/>
  <c r="P148" i="7"/>
  <c r="O148" i="7"/>
  <c r="N148" i="7"/>
  <c r="M148" i="7"/>
  <c r="L148" i="7"/>
  <c r="K148" i="7"/>
  <c r="J148" i="7"/>
  <c r="I148" i="7"/>
  <c r="H148" i="7"/>
  <c r="G148" i="7"/>
  <c r="F148" i="7"/>
  <c r="AE147" i="7"/>
  <c r="AC147" i="7"/>
  <c r="AB147" i="7"/>
  <c r="AA147" i="7"/>
  <c r="Z147" i="7"/>
  <c r="Y147" i="7"/>
  <c r="X147" i="7"/>
  <c r="W147" i="7"/>
  <c r="V147" i="7"/>
  <c r="U147" i="7"/>
  <c r="T147" i="7"/>
  <c r="S147" i="7"/>
  <c r="R147" i="7"/>
  <c r="Q147" i="7"/>
  <c r="P147" i="7"/>
  <c r="O147" i="7"/>
  <c r="N147" i="7"/>
  <c r="M147" i="7"/>
  <c r="L147" i="7"/>
  <c r="K147" i="7"/>
  <c r="J147" i="7"/>
  <c r="I147" i="7"/>
  <c r="H147" i="7"/>
  <c r="G147" i="7"/>
  <c r="F147" i="7"/>
  <c r="AE146" i="7"/>
  <c r="AC146" i="7"/>
  <c r="AB146" i="7"/>
  <c r="AA146" i="7"/>
  <c r="Z146" i="7"/>
  <c r="Y146" i="7"/>
  <c r="X146" i="7"/>
  <c r="W146" i="7"/>
  <c r="V146" i="7"/>
  <c r="U146" i="7"/>
  <c r="T146" i="7"/>
  <c r="S146" i="7"/>
  <c r="R146" i="7"/>
  <c r="Q146" i="7"/>
  <c r="P146" i="7"/>
  <c r="O146" i="7"/>
  <c r="N146" i="7"/>
  <c r="M146" i="7"/>
  <c r="L146" i="7"/>
  <c r="K146" i="7"/>
  <c r="J146" i="7"/>
  <c r="I146" i="7"/>
  <c r="H146" i="7"/>
  <c r="G146" i="7"/>
  <c r="F146" i="7"/>
  <c r="AE145" i="7"/>
  <c r="AC145" i="7"/>
  <c r="AB145" i="7"/>
  <c r="AA145" i="7"/>
  <c r="Z145" i="7"/>
  <c r="Y145" i="7"/>
  <c r="X145" i="7"/>
  <c r="W145" i="7"/>
  <c r="V145" i="7"/>
  <c r="U145" i="7"/>
  <c r="T145" i="7"/>
  <c r="S145" i="7"/>
  <c r="R145" i="7"/>
  <c r="Q145" i="7"/>
  <c r="P145" i="7"/>
  <c r="O145" i="7"/>
  <c r="N145" i="7"/>
  <c r="M145" i="7"/>
  <c r="L145" i="7"/>
  <c r="K145" i="7"/>
  <c r="J145" i="7"/>
  <c r="I145" i="7"/>
  <c r="H145" i="7"/>
  <c r="G145" i="7"/>
  <c r="F145" i="7"/>
  <c r="AE144" i="7"/>
  <c r="AC144" i="7"/>
  <c r="AB144" i="7"/>
  <c r="AA144" i="7"/>
  <c r="Z144" i="7"/>
  <c r="Y144" i="7"/>
  <c r="X144" i="7"/>
  <c r="W144" i="7"/>
  <c r="V144" i="7"/>
  <c r="U144" i="7"/>
  <c r="T144" i="7"/>
  <c r="S144" i="7"/>
  <c r="R144" i="7"/>
  <c r="Q144" i="7"/>
  <c r="P144" i="7"/>
  <c r="O144" i="7"/>
  <c r="N144" i="7"/>
  <c r="M144" i="7"/>
  <c r="L144" i="7"/>
  <c r="K144" i="7"/>
  <c r="J144" i="7"/>
  <c r="I144" i="7"/>
  <c r="H144" i="7"/>
  <c r="G144" i="7"/>
  <c r="F144" i="7"/>
  <c r="AE143" i="7"/>
  <c r="AC143" i="7"/>
  <c r="AB143" i="7"/>
  <c r="AA143" i="7"/>
  <c r="Z143" i="7"/>
  <c r="Y143" i="7"/>
  <c r="X143" i="7"/>
  <c r="W143" i="7"/>
  <c r="V143" i="7"/>
  <c r="U143" i="7"/>
  <c r="T143" i="7"/>
  <c r="S143" i="7"/>
  <c r="R143" i="7"/>
  <c r="Q143" i="7"/>
  <c r="P143" i="7"/>
  <c r="O143" i="7"/>
  <c r="N143" i="7"/>
  <c r="M143" i="7"/>
  <c r="L143" i="7"/>
  <c r="K143" i="7"/>
  <c r="J143" i="7"/>
  <c r="I143" i="7"/>
  <c r="H143" i="7"/>
  <c r="G143" i="7"/>
  <c r="F143" i="7"/>
  <c r="AE142" i="7"/>
  <c r="AC142" i="7"/>
  <c r="AB142" i="7"/>
  <c r="AA142" i="7"/>
  <c r="Z142" i="7"/>
  <c r="Y142" i="7"/>
  <c r="X142" i="7"/>
  <c r="W142" i="7"/>
  <c r="V142" i="7"/>
  <c r="U142" i="7"/>
  <c r="T142" i="7"/>
  <c r="S142" i="7"/>
  <c r="R142" i="7"/>
  <c r="Q142" i="7"/>
  <c r="P142" i="7"/>
  <c r="O142" i="7"/>
  <c r="N142" i="7"/>
  <c r="M142" i="7"/>
  <c r="L142" i="7"/>
  <c r="K142" i="7"/>
  <c r="J142" i="7"/>
  <c r="I142" i="7"/>
  <c r="H142" i="7"/>
  <c r="G142" i="7"/>
  <c r="F142" i="7"/>
  <c r="AE141" i="7"/>
  <c r="AC141" i="7"/>
  <c r="AB141" i="7"/>
  <c r="AA141" i="7"/>
  <c r="Z141" i="7"/>
  <c r="Y141" i="7"/>
  <c r="X141" i="7"/>
  <c r="W141" i="7"/>
  <c r="V141" i="7"/>
  <c r="U141" i="7"/>
  <c r="T141" i="7"/>
  <c r="S141" i="7"/>
  <c r="R141" i="7"/>
  <c r="Q141" i="7"/>
  <c r="P141" i="7"/>
  <c r="O141" i="7"/>
  <c r="N141" i="7"/>
  <c r="M141" i="7"/>
  <c r="L141" i="7"/>
  <c r="K141" i="7"/>
  <c r="J141" i="7"/>
  <c r="I141" i="7"/>
  <c r="H141" i="7"/>
  <c r="G141" i="7"/>
  <c r="F141" i="7"/>
  <c r="AE140" i="7"/>
  <c r="AC140" i="7"/>
  <c r="AB140" i="7"/>
  <c r="AA140" i="7"/>
  <c r="Z140" i="7"/>
  <c r="Y140" i="7"/>
  <c r="X140" i="7"/>
  <c r="W140" i="7"/>
  <c r="V140" i="7"/>
  <c r="U140" i="7"/>
  <c r="T140" i="7"/>
  <c r="S140" i="7"/>
  <c r="R140" i="7"/>
  <c r="Q140" i="7"/>
  <c r="P140" i="7"/>
  <c r="O140" i="7"/>
  <c r="N140" i="7"/>
  <c r="M140" i="7"/>
  <c r="L140" i="7"/>
  <c r="K140" i="7"/>
  <c r="J140" i="7"/>
  <c r="I140" i="7"/>
  <c r="H140" i="7"/>
  <c r="G140" i="7"/>
  <c r="F140" i="7"/>
  <c r="AE139" i="7"/>
  <c r="AC139" i="7"/>
  <c r="AB139" i="7"/>
  <c r="AA139" i="7"/>
  <c r="Z139" i="7"/>
  <c r="Y139" i="7"/>
  <c r="X139" i="7"/>
  <c r="W139" i="7"/>
  <c r="V139" i="7"/>
  <c r="U139" i="7"/>
  <c r="T139" i="7"/>
  <c r="S139" i="7"/>
  <c r="R139" i="7"/>
  <c r="Q139" i="7"/>
  <c r="P139" i="7"/>
  <c r="O139" i="7"/>
  <c r="N139" i="7"/>
  <c r="M139" i="7"/>
  <c r="L139" i="7"/>
  <c r="K139" i="7"/>
  <c r="J139" i="7"/>
  <c r="I139" i="7"/>
  <c r="H139" i="7"/>
  <c r="G139" i="7"/>
  <c r="F139" i="7"/>
  <c r="AE138" i="7"/>
  <c r="AC138" i="7"/>
  <c r="AB138" i="7"/>
  <c r="AA138" i="7"/>
  <c r="Z138" i="7"/>
  <c r="Y138" i="7"/>
  <c r="X138" i="7"/>
  <c r="W138" i="7"/>
  <c r="V138" i="7"/>
  <c r="U138" i="7"/>
  <c r="T138" i="7"/>
  <c r="S138" i="7"/>
  <c r="R138" i="7"/>
  <c r="Q138" i="7"/>
  <c r="P138" i="7"/>
  <c r="O138" i="7"/>
  <c r="N138" i="7"/>
  <c r="M138" i="7"/>
  <c r="L138" i="7"/>
  <c r="K138" i="7"/>
  <c r="J138" i="7"/>
  <c r="I138" i="7"/>
  <c r="H138" i="7"/>
  <c r="G138" i="7"/>
  <c r="F138" i="7"/>
  <c r="AE137" i="7"/>
  <c r="AC137" i="7"/>
  <c r="AB137" i="7"/>
  <c r="AA137" i="7"/>
  <c r="Z137" i="7"/>
  <c r="Y137" i="7"/>
  <c r="X137" i="7"/>
  <c r="W137" i="7"/>
  <c r="V137" i="7"/>
  <c r="U137" i="7"/>
  <c r="T137" i="7"/>
  <c r="S137" i="7"/>
  <c r="R137" i="7"/>
  <c r="Q137" i="7"/>
  <c r="P137" i="7"/>
  <c r="O137" i="7"/>
  <c r="N137" i="7"/>
  <c r="M137" i="7"/>
  <c r="L137" i="7"/>
  <c r="K137" i="7"/>
  <c r="J137" i="7"/>
  <c r="I137" i="7"/>
  <c r="H137" i="7"/>
  <c r="G137" i="7"/>
  <c r="F137" i="7"/>
  <c r="AE136" i="7"/>
  <c r="AC136" i="7"/>
  <c r="AB136" i="7"/>
  <c r="AA136" i="7"/>
  <c r="Z136" i="7"/>
  <c r="Y136" i="7"/>
  <c r="X136" i="7"/>
  <c r="W136" i="7"/>
  <c r="V136" i="7"/>
  <c r="U136" i="7"/>
  <c r="T136" i="7"/>
  <c r="S136" i="7"/>
  <c r="R136" i="7"/>
  <c r="Q136" i="7"/>
  <c r="P136" i="7"/>
  <c r="O136" i="7"/>
  <c r="N136" i="7"/>
  <c r="M136" i="7"/>
  <c r="L136" i="7"/>
  <c r="K136" i="7"/>
  <c r="J136" i="7"/>
  <c r="I136" i="7"/>
  <c r="H136" i="7"/>
  <c r="G136" i="7"/>
  <c r="F136" i="7"/>
  <c r="AE135" i="7"/>
  <c r="AC135" i="7"/>
  <c r="AB135" i="7"/>
  <c r="AA135" i="7"/>
  <c r="Z135" i="7"/>
  <c r="Y135" i="7"/>
  <c r="X135" i="7"/>
  <c r="W135" i="7"/>
  <c r="V135" i="7"/>
  <c r="U135" i="7"/>
  <c r="T135" i="7"/>
  <c r="S135" i="7"/>
  <c r="R135" i="7"/>
  <c r="Q135" i="7"/>
  <c r="P135" i="7"/>
  <c r="O135" i="7"/>
  <c r="N135" i="7"/>
  <c r="M135" i="7"/>
  <c r="L135" i="7"/>
  <c r="K135" i="7"/>
  <c r="J135" i="7"/>
  <c r="I135" i="7"/>
  <c r="H135" i="7"/>
  <c r="G135" i="7"/>
  <c r="F135" i="7"/>
  <c r="AE134" i="7"/>
  <c r="AC134" i="7"/>
  <c r="AB134" i="7"/>
  <c r="AA134" i="7"/>
  <c r="Z134" i="7"/>
  <c r="Y134" i="7"/>
  <c r="X134" i="7"/>
  <c r="W134" i="7"/>
  <c r="V134" i="7"/>
  <c r="U134" i="7"/>
  <c r="T134" i="7"/>
  <c r="S134" i="7"/>
  <c r="R134" i="7"/>
  <c r="Q134" i="7"/>
  <c r="P134" i="7"/>
  <c r="O134" i="7"/>
  <c r="N134" i="7"/>
  <c r="M134" i="7"/>
  <c r="L134" i="7"/>
  <c r="K134" i="7"/>
  <c r="J134" i="7"/>
  <c r="I134" i="7"/>
  <c r="H134" i="7"/>
  <c r="G134" i="7"/>
  <c r="F134" i="7"/>
  <c r="AE133" i="7"/>
  <c r="AC133" i="7"/>
  <c r="AB133" i="7"/>
  <c r="AA133" i="7"/>
  <c r="Z133" i="7"/>
  <c r="Y133" i="7"/>
  <c r="X133" i="7"/>
  <c r="W133" i="7"/>
  <c r="V133" i="7"/>
  <c r="U133" i="7"/>
  <c r="T133" i="7"/>
  <c r="S133" i="7"/>
  <c r="R133" i="7"/>
  <c r="Q133" i="7"/>
  <c r="P133" i="7"/>
  <c r="O133" i="7"/>
  <c r="N133" i="7"/>
  <c r="M133" i="7"/>
  <c r="L133" i="7"/>
  <c r="K133" i="7"/>
  <c r="J133" i="7"/>
  <c r="I133" i="7"/>
  <c r="H133" i="7"/>
  <c r="G133" i="7"/>
  <c r="F133" i="7"/>
  <c r="AE132" i="7"/>
  <c r="AC132" i="7"/>
  <c r="AB132" i="7"/>
  <c r="AA132" i="7"/>
  <c r="Z132" i="7"/>
  <c r="Y132" i="7"/>
  <c r="X132" i="7"/>
  <c r="W132" i="7"/>
  <c r="V132" i="7"/>
  <c r="U132" i="7"/>
  <c r="T132" i="7"/>
  <c r="S132" i="7"/>
  <c r="R132" i="7"/>
  <c r="Q132" i="7"/>
  <c r="P132" i="7"/>
  <c r="O132" i="7"/>
  <c r="N132" i="7"/>
  <c r="M132" i="7"/>
  <c r="L132" i="7"/>
  <c r="K132" i="7"/>
  <c r="J132" i="7"/>
  <c r="I132" i="7"/>
  <c r="H132" i="7"/>
  <c r="G132" i="7"/>
  <c r="F132" i="7"/>
  <c r="AE131" i="7"/>
  <c r="AC131" i="7"/>
  <c r="AB131" i="7"/>
  <c r="AA131" i="7"/>
  <c r="Z131" i="7"/>
  <c r="Y131" i="7"/>
  <c r="X131" i="7"/>
  <c r="W131" i="7"/>
  <c r="V131" i="7"/>
  <c r="U131" i="7"/>
  <c r="T131" i="7"/>
  <c r="S131" i="7"/>
  <c r="R131" i="7"/>
  <c r="Q131" i="7"/>
  <c r="P131" i="7"/>
  <c r="O131" i="7"/>
  <c r="N131" i="7"/>
  <c r="M131" i="7"/>
  <c r="L131" i="7"/>
  <c r="K131" i="7"/>
  <c r="J131" i="7"/>
  <c r="I131" i="7"/>
  <c r="H131" i="7"/>
  <c r="G131" i="7"/>
  <c r="F131" i="7"/>
  <c r="AE130" i="7"/>
  <c r="AC130" i="7"/>
  <c r="AB130" i="7"/>
  <c r="AA130" i="7"/>
  <c r="Z130" i="7"/>
  <c r="Y130" i="7"/>
  <c r="X130" i="7"/>
  <c r="W130" i="7"/>
  <c r="V130" i="7"/>
  <c r="U130" i="7"/>
  <c r="T130" i="7"/>
  <c r="S130" i="7"/>
  <c r="R130" i="7"/>
  <c r="Q130" i="7"/>
  <c r="P130" i="7"/>
  <c r="O130" i="7"/>
  <c r="N130" i="7"/>
  <c r="M130" i="7"/>
  <c r="L130" i="7"/>
  <c r="K130" i="7"/>
  <c r="J130" i="7"/>
  <c r="I130" i="7"/>
  <c r="H130" i="7"/>
  <c r="G130" i="7"/>
  <c r="F130" i="7"/>
  <c r="AE129" i="7"/>
  <c r="AC129" i="7"/>
  <c r="AB129" i="7"/>
  <c r="AA129" i="7"/>
  <c r="Z129" i="7"/>
  <c r="Y129" i="7"/>
  <c r="X129" i="7"/>
  <c r="W129" i="7"/>
  <c r="V129" i="7"/>
  <c r="U129" i="7"/>
  <c r="T129" i="7"/>
  <c r="S129" i="7"/>
  <c r="R129" i="7"/>
  <c r="Q129" i="7"/>
  <c r="P129" i="7"/>
  <c r="O129" i="7"/>
  <c r="N129" i="7"/>
  <c r="M129" i="7"/>
  <c r="L129" i="7"/>
  <c r="K129" i="7"/>
  <c r="J129" i="7"/>
  <c r="I129" i="7"/>
  <c r="H129" i="7"/>
  <c r="G129" i="7"/>
  <c r="F129" i="7"/>
  <c r="AE128" i="7"/>
  <c r="AC128" i="7"/>
  <c r="AB128" i="7"/>
  <c r="AA128" i="7"/>
  <c r="Z128" i="7"/>
  <c r="Y128" i="7"/>
  <c r="X128" i="7"/>
  <c r="W128" i="7"/>
  <c r="V128" i="7"/>
  <c r="U128" i="7"/>
  <c r="T128" i="7"/>
  <c r="S128" i="7"/>
  <c r="R128" i="7"/>
  <c r="Q128" i="7"/>
  <c r="P128" i="7"/>
  <c r="O128" i="7"/>
  <c r="N128" i="7"/>
  <c r="M128" i="7"/>
  <c r="L128" i="7"/>
  <c r="K128" i="7"/>
  <c r="J128" i="7"/>
  <c r="I128" i="7"/>
  <c r="H128" i="7"/>
  <c r="G128" i="7"/>
  <c r="F128" i="7"/>
  <c r="AE127" i="7"/>
  <c r="AC127" i="7"/>
  <c r="AB127" i="7"/>
  <c r="AA127" i="7"/>
  <c r="Z127" i="7"/>
  <c r="Y127" i="7"/>
  <c r="X127" i="7"/>
  <c r="W127" i="7"/>
  <c r="V127" i="7"/>
  <c r="U127" i="7"/>
  <c r="T127" i="7"/>
  <c r="S127" i="7"/>
  <c r="R127" i="7"/>
  <c r="Q127" i="7"/>
  <c r="P127" i="7"/>
  <c r="O127" i="7"/>
  <c r="N127" i="7"/>
  <c r="M127" i="7"/>
  <c r="L127" i="7"/>
  <c r="K127" i="7"/>
  <c r="J127" i="7"/>
  <c r="I127" i="7"/>
  <c r="H127" i="7"/>
  <c r="G127" i="7"/>
  <c r="F127" i="7"/>
  <c r="AE126" i="7"/>
  <c r="AC126" i="7"/>
  <c r="AB126" i="7"/>
  <c r="AA126" i="7"/>
  <c r="Z126" i="7"/>
  <c r="Y126" i="7"/>
  <c r="X126" i="7"/>
  <c r="W126" i="7"/>
  <c r="V126" i="7"/>
  <c r="U126" i="7"/>
  <c r="T126" i="7"/>
  <c r="S126" i="7"/>
  <c r="R126" i="7"/>
  <c r="Q126" i="7"/>
  <c r="P126" i="7"/>
  <c r="O126" i="7"/>
  <c r="N126" i="7"/>
  <c r="M126" i="7"/>
  <c r="L126" i="7"/>
  <c r="K126" i="7"/>
  <c r="J126" i="7"/>
  <c r="I126" i="7"/>
  <c r="H126" i="7"/>
  <c r="G126" i="7"/>
  <c r="F126" i="7"/>
  <c r="AE125" i="7"/>
  <c r="AC125" i="7"/>
  <c r="AB125" i="7"/>
  <c r="AA125" i="7"/>
  <c r="Z125" i="7"/>
  <c r="Y125" i="7"/>
  <c r="X125" i="7"/>
  <c r="W125" i="7"/>
  <c r="V125" i="7"/>
  <c r="U125" i="7"/>
  <c r="T125" i="7"/>
  <c r="S125" i="7"/>
  <c r="R125" i="7"/>
  <c r="Q125" i="7"/>
  <c r="P125" i="7"/>
  <c r="O125" i="7"/>
  <c r="N125" i="7"/>
  <c r="M125" i="7"/>
  <c r="L125" i="7"/>
  <c r="K125" i="7"/>
  <c r="J125" i="7"/>
  <c r="I125" i="7"/>
  <c r="H125" i="7"/>
  <c r="G125" i="7"/>
  <c r="F125" i="7"/>
  <c r="AE124" i="7"/>
  <c r="AC124" i="7"/>
  <c r="AB124" i="7"/>
  <c r="AA124" i="7"/>
  <c r="Z124" i="7"/>
  <c r="Y124" i="7"/>
  <c r="X124" i="7"/>
  <c r="W124" i="7"/>
  <c r="V124" i="7"/>
  <c r="U124" i="7"/>
  <c r="T124" i="7"/>
  <c r="S124" i="7"/>
  <c r="R124" i="7"/>
  <c r="Q124" i="7"/>
  <c r="P124" i="7"/>
  <c r="O124" i="7"/>
  <c r="N124" i="7"/>
  <c r="M124" i="7"/>
  <c r="L124" i="7"/>
  <c r="K124" i="7"/>
  <c r="J124" i="7"/>
  <c r="I124" i="7"/>
  <c r="H124" i="7"/>
  <c r="G124" i="7"/>
  <c r="F124" i="7"/>
  <c r="AE123" i="7"/>
  <c r="AC123" i="7"/>
  <c r="AB123" i="7"/>
  <c r="AA123" i="7"/>
  <c r="Z123" i="7"/>
  <c r="Y123" i="7"/>
  <c r="X123" i="7"/>
  <c r="W123" i="7"/>
  <c r="V123" i="7"/>
  <c r="U123" i="7"/>
  <c r="T123" i="7"/>
  <c r="S123" i="7"/>
  <c r="R123" i="7"/>
  <c r="Q123" i="7"/>
  <c r="P123" i="7"/>
  <c r="O123" i="7"/>
  <c r="N123" i="7"/>
  <c r="M123" i="7"/>
  <c r="L123" i="7"/>
  <c r="K123" i="7"/>
  <c r="J123" i="7"/>
  <c r="I123" i="7"/>
  <c r="H123" i="7"/>
  <c r="G123" i="7"/>
  <c r="F123" i="7"/>
  <c r="AE122" i="7"/>
  <c r="AC122" i="7"/>
  <c r="AB122" i="7"/>
  <c r="AA122" i="7"/>
  <c r="Z122" i="7"/>
  <c r="Y122" i="7"/>
  <c r="X122" i="7"/>
  <c r="W122" i="7"/>
  <c r="V122" i="7"/>
  <c r="U122" i="7"/>
  <c r="T122" i="7"/>
  <c r="S122" i="7"/>
  <c r="R122" i="7"/>
  <c r="Q122" i="7"/>
  <c r="P122" i="7"/>
  <c r="O122" i="7"/>
  <c r="N122" i="7"/>
  <c r="M122" i="7"/>
  <c r="L122" i="7"/>
  <c r="K122" i="7"/>
  <c r="J122" i="7"/>
  <c r="I122" i="7"/>
  <c r="H122" i="7"/>
  <c r="G122" i="7"/>
  <c r="F122" i="7"/>
  <c r="AE121" i="7"/>
  <c r="AC121" i="7"/>
  <c r="AB121" i="7"/>
  <c r="AA121" i="7"/>
  <c r="Z121" i="7"/>
  <c r="Y121" i="7"/>
  <c r="X121" i="7"/>
  <c r="W121" i="7"/>
  <c r="V121" i="7"/>
  <c r="U121" i="7"/>
  <c r="T121" i="7"/>
  <c r="S121" i="7"/>
  <c r="R121" i="7"/>
  <c r="Q121" i="7"/>
  <c r="P121" i="7"/>
  <c r="O121" i="7"/>
  <c r="N121" i="7"/>
  <c r="M121" i="7"/>
  <c r="L121" i="7"/>
  <c r="K121" i="7"/>
  <c r="J121" i="7"/>
  <c r="I121" i="7"/>
  <c r="H121" i="7"/>
  <c r="G121" i="7"/>
  <c r="F121" i="7"/>
  <c r="AE120" i="7"/>
  <c r="AC120" i="7"/>
  <c r="AB120" i="7"/>
  <c r="AA120" i="7"/>
  <c r="Z120" i="7"/>
  <c r="Y120" i="7"/>
  <c r="X120" i="7"/>
  <c r="W120" i="7"/>
  <c r="V120" i="7"/>
  <c r="U120" i="7"/>
  <c r="T120" i="7"/>
  <c r="S120" i="7"/>
  <c r="R120" i="7"/>
  <c r="Q120" i="7"/>
  <c r="P120" i="7"/>
  <c r="O120" i="7"/>
  <c r="N120" i="7"/>
  <c r="M120" i="7"/>
  <c r="L120" i="7"/>
  <c r="K120" i="7"/>
  <c r="J120" i="7"/>
  <c r="I120" i="7"/>
  <c r="H120" i="7"/>
  <c r="G120" i="7"/>
  <c r="F120" i="7"/>
  <c r="AE119" i="7"/>
  <c r="AC119" i="7"/>
  <c r="AB119" i="7"/>
  <c r="AA119" i="7"/>
  <c r="Z119" i="7"/>
  <c r="Y119" i="7"/>
  <c r="X119" i="7"/>
  <c r="W119" i="7"/>
  <c r="V119" i="7"/>
  <c r="U119" i="7"/>
  <c r="T119" i="7"/>
  <c r="S119" i="7"/>
  <c r="R119" i="7"/>
  <c r="Q119" i="7"/>
  <c r="P119" i="7"/>
  <c r="O119" i="7"/>
  <c r="N119" i="7"/>
  <c r="M119" i="7"/>
  <c r="L119" i="7"/>
  <c r="K119" i="7"/>
  <c r="J119" i="7"/>
  <c r="I119" i="7"/>
  <c r="H119" i="7"/>
  <c r="G119" i="7"/>
  <c r="F119" i="7"/>
  <c r="AE118" i="7"/>
  <c r="AC118" i="7"/>
  <c r="AB118" i="7"/>
  <c r="AA118" i="7"/>
  <c r="Z118" i="7"/>
  <c r="Y118" i="7"/>
  <c r="X118" i="7"/>
  <c r="W118" i="7"/>
  <c r="V118" i="7"/>
  <c r="U118" i="7"/>
  <c r="T118" i="7"/>
  <c r="S118" i="7"/>
  <c r="R118" i="7"/>
  <c r="Q118" i="7"/>
  <c r="P118" i="7"/>
  <c r="O118" i="7"/>
  <c r="N118" i="7"/>
  <c r="M118" i="7"/>
  <c r="L118" i="7"/>
  <c r="K118" i="7"/>
  <c r="J118" i="7"/>
  <c r="I118" i="7"/>
  <c r="H118" i="7"/>
  <c r="G118" i="7"/>
  <c r="F118" i="7"/>
  <c r="AE117" i="7"/>
  <c r="AC117" i="7"/>
  <c r="AB117" i="7"/>
  <c r="AA117" i="7"/>
  <c r="Z117" i="7"/>
  <c r="Y117" i="7"/>
  <c r="X117" i="7"/>
  <c r="W117" i="7"/>
  <c r="V117" i="7"/>
  <c r="U117" i="7"/>
  <c r="T117" i="7"/>
  <c r="S117" i="7"/>
  <c r="R117" i="7"/>
  <c r="Q117" i="7"/>
  <c r="P117" i="7"/>
  <c r="O117" i="7"/>
  <c r="N117" i="7"/>
  <c r="M117" i="7"/>
  <c r="L117" i="7"/>
  <c r="K117" i="7"/>
  <c r="J117" i="7"/>
  <c r="I117" i="7"/>
  <c r="H117" i="7"/>
  <c r="G117" i="7"/>
  <c r="F117" i="7"/>
  <c r="AE116" i="7"/>
  <c r="AC116" i="7"/>
  <c r="AB116" i="7"/>
  <c r="AA116" i="7"/>
  <c r="Z116" i="7"/>
  <c r="Y116" i="7"/>
  <c r="X116" i="7"/>
  <c r="W116" i="7"/>
  <c r="V116" i="7"/>
  <c r="U116" i="7"/>
  <c r="T116" i="7"/>
  <c r="S116" i="7"/>
  <c r="R116" i="7"/>
  <c r="Q116" i="7"/>
  <c r="P116" i="7"/>
  <c r="O116" i="7"/>
  <c r="N116" i="7"/>
  <c r="M116" i="7"/>
  <c r="L116" i="7"/>
  <c r="K116" i="7"/>
  <c r="J116" i="7"/>
  <c r="I116" i="7"/>
  <c r="H116" i="7"/>
  <c r="G116" i="7"/>
  <c r="F116" i="7"/>
  <c r="AE115" i="7"/>
  <c r="AC115" i="7"/>
  <c r="AB115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M115" i="7"/>
  <c r="L115" i="7"/>
  <c r="K115" i="7"/>
  <c r="J115" i="7"/>
  <c r="I115" i="7"/>
  <c r="H115" i="7"/>
  <c r="G115" i="7"/>
  <c r="F115" i="7"/>
  <c r="AE114" i="7"/>
  <c r="AC114" i="7"/>
  <c r="AB114" i="7"/>
  <c r="AA114" i="7"/>
  <c r="Z114" i="7"/>
  <c r="Y114" i="7"/>
  <c r="X114" i="7"/>
  <c r="W114" i="7"/>
  <c r="V114" i="7"/>
  <c r="U114" i="7"/>
  <c r="T114" i="7"/>
  <c r="S114" i="7"/>
  <c r="R114" i="7"/>
  <c r="Q114" i="7"/>
  <c r="P114" i="7"/>
  <c r="O114" i="7"/>
  <c r="N114" i="7"/>
  <c r="M114" i="7"/>
  <c r="L114" i="7"/>
  <c r="K114" i="7"/>
  <c r="J114" i="7"/>
  <c r="I114" i="7"/>
  <c r="H114" i="7"/>
  <c r="G114" i="7"/>
  <c r="F114" i="7"/>
  <c r="AE113" i="7"/>
  <c r="AC113" i="7"/>
  <c r="AB113" i="7"/>
  <c r="AA113" i="7"/>
  <c r="Z113" i="7"/>
  <c r="Y113" i="7"/>
  <c r="X113" i="7"/>
  <c r="W113" i="7"/>
  <c r="V113" i="7"/>
  <c r="U113" i="7"/>
  <c r="T113" i="7"/>
  <c r="S113" i="7"/>
  <c r="R113" i="7"/>
  <c r="Q113" i="7"/>
  <c r="P113" i="7"/>
  <c r="O113" i="7"/>
  <c r="N113" i="7"/>
  <c r="M113" i="7"/>
  <c r="L113" i="7"/>
  <c r="K113" i="7"/>
  <c r="J113" i="7"/>
  <c r="I113" i="7"/>
  <c r="H113" i="7"/>
  <c r="G113" i="7"/>
  <c r="F113" i="7"/>
  <c r="AE112" i="7"/>
  <c r="AC112" i="7"/>
  <c r="AB112" i="7"/>
  <c r="AA112" i="7"/>
  <c r="Z112" i="7"/>
  <c r="Y112" i="7"/>
  <c r="X112" i="7"/>
  <c r="W112" i="7"/>
  <c r="V112" i="7"/>
  <c r="U112" i="7"/>
  <c r="T112" i="7"/>
  <c r="S112" i="7"/>
  <c r="R112" i="7"/>
  <c r="Q112" i="7"/>
  <c r="P112" i="7"/>
  <c r="O112" i="7"/>
  <c r="N112" i="7"/>
  <c r="M112" i="7"/>
  <c r="L112" i="7"/>
  <c r="K112" i="7"/>
  <c r="J112" i="7"/>
  <c r="I112" i="7"/>
  <c r="H112" i="7"/>
  <c r="G112" i="7"/>
  <c r="F112" i="7"/>
  <c r="AE111" i="7"/>
  <c r="AC111" i="7"/>
  <c r="AB111" i="7"/>
  <c r="AA111" i="7"/>
  <c r="Z111" i="7"/>
  <c r="Y111" i="7"/>
  <c r="X111" i="7"/>
  <c r="W111" i="7"/>
  <c r="V111" i="7"/>
  <c r="U111" i="7"/>
  <c r="T111" i="7"/>
  <c r="S111" i="7"/>
  <c r="R111" i="7"/>
  <c r="Q111" i="7"/>
  <c r="P111" i="7"/>
  <c r="O111" i="7"/>
  <c r="N111" i="7"/>
  <c r="M111" i="7"/>
  <c r="L111" i="7"/>
  <c r="K111" i="7"/>
  <c r="J111" i="7"/>
  <c r="I111" i="7"/>
  <c r="H111" i="7"/>
  <c r="G111" i="7"/>
  <c r="F111" i="7"/>
  <c r="AE110" i="7"/>
  <c r="AC110" i="7"/>
  <c r="AB110" i="7"/>
  <c r="AA110" i="7"/>
  <c r="Z110" i="7"/>
  <c r="Y110" i="7"/>
  <c r="X110" i="7"/>
  <c r="W110" i="7"/>
  <c r="V110" i="7"/>
  <c r="U110" i="7"/>
  <c r="T110" i="7"/>
  <c r="S110" i="7"/>
  <c r="R110" i="7"/>
  <c r="Q110" i="7"/>
  <c r="P110" i="7"/>
  <c r="O110" i="7"/>
  <c r="N110" i="7"/>
  <c r="M110" i="7"/>
  <c r="L110" i="7"/>
  <c r="K110" i="7"/>
  <c r="J110" i="7"/>
  <c r="I110" i="7"/>
  <c r="H110" i="7"/>
  <c r="G110" i="7"/>
  <c r="F110" i="7"/>
  <c r="AE109" i="7"/>
  <c r="AC109" i="7"/>
  <c r="AB109" i="7"/>
  <c r="AA109" i="7"/>
  <c r="Z109" i="7"/>
  <c r="Y109" i="7"/>
  <c r="X109" i="7"/>
  <c r="W109" i="7"/>
  <c r="V109" i="7"/>
  <c r="U109" i="7"/>
  <c r="T109" i="7"/>
  <c r="S109" i="7"/>
  <c r="R109" i="7"/>
  <c r="Q109" i="7"/>
  <c r="P109" i="7"/>
  <c r="O109" i="7"/>
  <c r="N109" i="7"/>
  <c r="M109" i="7"/>
  <c r="L109" i="7"/>
  <c r="K109" i="7"/>
  <c r="J109" i="7"/>
  <c r="I109" i="7"/>
  <c r="H109" i="7"/>
  <c r="G109" i="7"/>
  <c r="F109" i="7"/>
  <c r="AE108" i="7"/>
  <c r="AC108" i="7"/>
  <c r="AB108" i="7"/>
  <c r="AA108" i="7"/>
  <c r="Z108" i="7"/>
  <c r="Y108" i="7"/>
  <c r="X108" i="7"/>
  <c r="W108" i="7"/>
  <c r="V108" i="7"/>
  <c r="U108" i="7"/>
  <c r="T108" i="7"/>
  <c r="S108" i="7"/>
  <c r="R108" i="7"/>
  <c r="Q108" i="7"/>
  <c r="P108" i="7"/>
  <c r="O108" i="7"/>
  <c r="N108" i="7"/>
  <c r="M108" i="7"/>
  <c r="L108" i="7"/>
  <c r="K108" i="7"/>
  <c r="J108" i="7"/>
  <c r="I108" i="7"/>
  <c r="H108" i="7"/>
  <c r="G108" i="7"/>
  <c r="F108" i="7"/>
  <c r="AE107" i="7"/>
  <c r="AC107" i="7"/>
  <c r="AB107" i="7"/>
  <c r="AA107" i="7"/>
  <c r="Z107" i="7"/>
  <c r="Y107" i="7"/>
  <c r="X107" i="7"/>
  <c r="W107" i="7"/>
  <c r="V107" i="7"/>
  <c r="U107" i="7"/>
  <c r="T107" i="7"/>
  <c r="S107" i="7"/>
  <c r="R107" i="7"/>
  <c r="Q107" i="7"/>
  <c r="P107" i="7"/>
  <c r="O107" i="7"/>
  <c r="N107" i="7"/>
  <c r="M107" i="7"/>
  <c r="L107" i="7"/>
  <c r="K107" i="7"/>
  <c r="J107" i="7"/>
  <c r="I107" i="7"/>
  <c r="H107" i="7"/>
  <c r="G107" i="7"/>
  <c r="F107" i="7"/>
  <c r="AE106" i="7"/>
  <c r="AC106" i="7"/>
  <c r="AB106" i="7"/>
  <c r="AA106" i="7"/>
  <c r="Z106" i="7"/>
  <c r="Y106" i="7"/>
  <c r="X106" i="7"/>
  <c r="W106" i="7"/>
  <c r="V106" i="7"/>
  <c r="U106" i="7"/>
  <c r="T106" i="7"/>
  <c r="S106" i="7"/>
  <c r="R106" i="7"/>
  <c r="Q106" i="7"/>
  <c r="P106" i="7"/>
  <c r="O106" i="7"/>
  <c r="N106" i="7"/>
  <c r="M106" i="7"/>
  <c r="L106" i="7"/>
  <c r="K106" i="7"/>
  <c r="J106" i="7"/>
  <c r="I106" i="7"/>
  <c r="H106" i="7"/>
  <c r="G106" i="7"/>
  <c r="F106" i="7"/>
  <c r="AE105" i="7"/>
  <c r="AC105" i="7"/>
  <c r="AB105" i="7"/>
  <c r="AA105" i="7"/>
  <c r="Z105" i="7"/>
  <c r="Y105" i="7"/>
  <c r="X105" i="7"/>
  <c r="W105" i="7"/>
  <c r="V105" i="7"/>
  <c r="U105" i="7"/>
  <c r="T105" i="7"/>
  <c r="S105" i="7"/>
  <c r="R105" i="7"/>
  <c r="Q105" i="7"/>
  <c r="P105" i="7"/>
  <c r="O105" i="7"/>
  <c r="N105" i="7"/>
  <c r="M105" i="7"/>
  <c r="L105" i="7"/>
  <c r="K105" i="7"/>
  <c r="J105" i="7"/>
  <c r="I105" i="7"/>
  <c r="H105" i="7"/>
  <c r="G105" i="7"/>
  <c r="F105" i="7"/>
  <c r="AE104" i="7"/>
  <c r="AC104" i="7"/>
  <c r="AB104" i="7"/>
  <c r="AA104" i="7"/>
  <c r="Z104" i="7"/>
  <c r="Y104" i="7"/>
  <c r="X104" i="7"/>
  <c r="W104" i="7"/>
  <c r="V104" i="7"/>
  <c r="U104" i="7"/>
  <c r="T104" i="7"/>
  <c r="S104" i="7"/>
  <c r="R104" i="7"/>
  <c r="Q104" i="7"/>
  <c r="P104" i="7"/>
  <c r="O104" i="7"/>
  <c r="N104" i="7"/>
  <c r="M104" i="7"/>
  <c r="L104" i="7"/>
  <c r="K104" i="7"/>
  <c r="J104" i="7"/>
  <c r="I104" i="7"/>
  <c r="H104" i="7"/>
  <c r="G104" i="7"/>
  <c r="F104" i="7"/>
  <c r="AE103" i="7"/>
  <c r="AC103" i="7"/>
  <c r="AB103" i="7"/>
  <c r="AA103" i="7"/>
  <c r="Z103" i="7"/>
  <c r="Y103" i="7"/>
  <c r="X103" i="7"/>
  <c r="W103" i="7"/>
  <c r="V103" i="7"/>
  <c r="U103" i="7"/>
  <c r="T103" i="7"/>
  <c r="S103" i="7"/>
  <c r="R103" i="7"/>
  <c r="Q103" i="7"/>
  <c r="P103" i="7"/>
  <c r="O103" i="7"/>
  <c r="N103" i="7"/>
  <c r="M103" i="7"/>
  <c r="L103" i="7"/>
  <c r="K103" i="7"/>
  <c r="J103" i="7"/>
  <c r="I103" i="7"/>
  <c r="H103" i="7"/>
  <c r="G103" i="7"/>
  <c r="F103" i="7"/>
  <c r="AE102" i="7"/>
  <c r="AC102" i="7"/>
  <c r="AB102" i="7"/>
  <c r="AA102" i="7"/>
  <c r="Z102" i="7"/>
  <c r="Y102" i="7"/>
  <c r="X102" i="7"/>
  <c r="W102" i="7"/>
  <c r="V102" i="7"/>
  <c r="U102" i="7"/>
  <c r="T102" i="7"/>
  <c r="S102" i="7"/>
  <c r="R102" i="7"/>
  <c r="Q102" i="7"/>
  <c r="P102" i="7"/>
  <c r="O102" i="7"/>
  <c r="N102" i="7"/>
  <c r="M102" i="7"/>
  <c r="L102" i="7"/>
  <c r="K102" i="7"/>
  <c r="J102" i="7"/>
  <c r="I102" i="7"/>
  <c r="H102" i="7"/>
  <c r="G102" i="7"/>
  <c r="F102" i="7"/>
  <c r="AE101" i="7"/>
  <c r="AC101" i="7"/>
  <c r="AB101" i="7"/>
  <c r="AA101" i="7"/>
  <c r="Z101" i="7"/>
  <c r="Y101" i="7"/>
  <c r="X101" i="7"/>
  <c r="W101" i="7"/>
  <c r="V101" i="7"/>
  <c r="U101" i="7"/>
  <c r="T101" i="7"/>
  <c r="S101" i="7"/>
  <c r="R101" i="7"/>
  <c r="Q101" i="7"/>
  <c r="P101" i="7"/>
  <c r="O101" i="7"/>
  <c r="N101" i="7"/>
  <c r="M101" i="7"/>
  <c r="L101" i="7"/>
  <c r="K101" i="7"/>
  <c r="J101" i="7"/>
  <c r="I101" i="7"/>
  <c r="H101" i="7"/>
  <c r="G101" i="7"/>
  <c r="F101" i="7"/>
  <c r="AE100" i="7"/>
  <c r="AC100" i="7"/>
  <c r="AB100" i="7"/>
  <c r="AA100" i="7"/>
  <c r="Z100" i="7"/>
  <c r="Y100" i="7"/>
  <c r="X100" i="7"/>
  <c r="W100" i="7"/>
  <c r="V100" i="7"/>
  <c r="U100" i="7"/>
  <c r="T100" i="7"/>
  <c r="S100" i="7"/>
  <c r="R100" i="7"/>
  <c r="Q100" i="7"/>
  <c r="P100" i="7"/>
  <c r="O100" i="7"/>
  <c r="N100" i="7"/>
  <c r="M100" i="7"/>
  <c r="L100" i="7"/>
  <c r="K100" i="7"/>
  <c r="J100" i="7"/>
  <c r="I100" i="7"/>
  <c r="H100" i="7"/>
  <c r="G100" i="7"/>
  <c r="F100" i="7"/>
  <c r="AE99" i="7"/>
  <c r="AC99" i="7"/>
  <c r="AB99" i="7"/>
  <c r="AA99" i="7"/>
  <c r="Z99" i="7"/>
  <c r="Y99" i="7"/>
  <c r="X99" i="7"/>
  <c r="W99" i="7"/>
  <c r="V99" i="7"/>
  <c r="U99" i="7"/>
  <c r="T99" i="7"/>
  <c r="S99" i="7"/>
  <c r="R99" i="7"/>
  <c r="Q99" i="7"/>
  <c r="P99" i="7"/>
  <c r="O99" i="7"/>
  <c r="N99" i="7"/>
  <c r="M99" i="7"/>
  <c r="L99" i="7"/>
  <c r="K99" i="7"/>
  <c r="J99" i="7"/>
  <c r="I99" i="7"/>
  <c r="H99" i="7"/>
  <c r="G99" i="7"/>
  <c r="F99" i="7"/>
  <c r="AE98" i="7"/>
  <c r="AC98" i="7"/>
  <c r="AB98" i="7"/>
  <c r="AA98" i="7"/>
  <c r="Z98" i="7"/>
  <c r="Y98" i="7"/>
  <c r="X98" i="7"/>
  <c r="W98" i="7"/>
  <c r="V98" i="7"/>
  <c r="U98" i="7"/>
  <c r="T98" i="7"/>
  <c r="S98" i="7"/>
  <c r="R98" i="7"/>
  <c r="Q98" i="7"/>
  <c r="P98" i="7"/>
  <c r="O98" i="7"/>
  <c r="N98" i="7"/>
  <c r="M98" i="7"/>
  <c r="L98" i="7"/>
  <c r="K98" i="7"/>
  <c r="J98" i="7"/>
  <c r="I98" i="7"/>
  <c r="H98" i="7"/>
  <c r="G98" i="7"/>
  <c r="F98" i="7"/>
  <c r="AE97" i="7"/>
  <c r="AC97" i="7"/>
  <c r="AB97" i="7"/>
  <c r="AA97" i="7"/>
  <c r="Z97" i="7"/>
  <c r="Y97" i="7"/>
  <c r="X97" i="7"/>
  <c r="W97" i="7"/>
  <c r="V97" i="7"/>
  <c r="U97" i="7"/>
  <c r="T97" i="7"/>
  <c r="S97" i="7"/>
  <c r="R97" i="7"/>
  <c r="Q97" i="7"/>
  <c r="P97" i="7"/>
  <c r="O97" i="7"/>
  <c r="N97" i="7"/>
  <c r="M97" i="7"/>
  <c r="L97" i="7"/>
  <c r="K97" i="7"/>
  <c r="J97" i="7"/>
  <c r="I97" i="7"/>
  <c r="H97" i="7"/>
  <c r="G97" i="7"/>
  <c r="F97" i="7"/>
  <c r="AE96" i="7"/>
  <c r="AC96" i="7"/>
  <c r="AB96" i="7"/>
  <c r="AA96" i="7"/>
  <c r="Z96" i="7"/>
  <c r="Y96" i="7"/>
  <c r="X96" i="7"/>
  <c r="W96" i="7"/>
  <c r="V96" i="7"/>
  <c r="U96" i="7"/>
  <c r="T96" i="7"/>
  <c r="S96" i="7"/>
  <c r="R96" i="7"/>
  <c r="Q96" i="7"/>
  <c r="P96" i="7"/>
  <c r="O96" i="7"/>
  <c r="N96" i="7"/>
  <c r="M96" i="7"/>
  <c r="L96" i="7"/>
  <c r="K96" i="7"/>
  <c r="J96" i="7"/>
  <c r="I96" i="7"/>
  <c r="H96" i="7"/>
  <c r="G96" i="7"/>
  <c r="F96" i="7"/>
  <c r="AE95" i="7"/>
  <c r="AC95" i="7"/>
  <c r="AB95" i="7"/>
  <c r="AA95" i="7"/>
  <c r="Z95" i="7"/>
  <c r="Y95" i="7"/>
  <c r="X95" i="7"/>
  <c r="W95" i="7"/>
  <c r="V95" i="7"/>
  <c r="U95" i="7"/>
  <c r="T95" i="7"/>
  <c r="S95" i="7"/>
  <c r="R95" i="7"/>
  <c r="Q95" i="7"/>
  <c r="P95" i="7"/>
  <c r="O95" i="7"/>
  <c r="N95" i="7"/>
  <c r="M95" i="7"/>
  <c r="L95" i="7"/>
  <c r="K95" i="7"/>
  <c r="J95" i="7"/>
  <c r="I95" i="7"/>
  <c r="H95" i="7"/>
  <c r="G95" i="7"/>
  <c r="F95" i="7"/>
  <c r="AE94" i="7"/>
  <c r="AC94" i="7"/>
  <c r="AB94" i="7"/>
  <c r="AA94" i="7"/>
  <c r="Z94" i="7"/>
  <c r="Y94" i="7"/>
  <c r="X94" i="7"/>
  <c r="W94" i="7"/>
  <c r="V94" i="7"/>
  <c r="U94" i="7"/>
  <c r="T94" i="7"/>
  <c r="S94" i="7"/>
  <c r="R94" i="7"/>
  <c r="Q94" i="7"/>
  <c r="P94" i="7"/>
  <c r="O94" i="7"/>
  <c r="N94" i="7"/>
  <c r="M94" i="7"/>
  <c r="L94" i="7"/>
  <c r="K94" i="7"/>
  <c r="J94" i="7"/>
  <c r="I94" i="7"/>
  <c r="H94" i="7"/>
  <c r="G94" i="7"/>
  <c r="F94" i="7"/>
  <c r="AE93" i="7"/>
  <c r="AC93" i="7"/>
  <c r="AB93" i="7"/>
  <c r="AA93" i="7"/>
  <c r="Z93" i="7"/>
  <c r="Y93" i="7"/>
  <c r="X93" i="7"/>
  <c r="W93" i="7"/>
  <c r="V93" i="7"/>
  <c r="U93" i="7"/>
  <c r="T93" i="7"/>
  <c r="S93" i="7"/>
  <c r="R93" i="7"/>
  <c r="Q93" i="7"/>
  <c r="P93" i="7"/>
  <c r="O93" i="7"/>
  <c r="N93" i="7"/>
  <c r="M93" i="7"/>
  <c r="L93" i="7"/>
  <c r="K93" i="7"/>
  <c r="J93" i="7"/>
  <c r="I93" i="7"/>
  <c r="H93" i="7"/>
  <c r="G93" i="7"/>
  <c r="F93" i="7"/>
  <c r="AE92" i="7"/>
  <c r="AC92" i="7"/>
  <c r="AB92" i="7"/>
  <c r="AA92" i="7"/>
  <c r="Z92" i="7"/>
  <c r="Y92" i="7"/>
  <c r="X92" i="7"/>
  <c r="W92" i="7"/>
  <c r="V92" i="7"/>
  <c r="U92" i="7"/>
  <c r="T92" i="7"/>
  <c r="S92" i="7"/>
  <c r="R92" i="7"/>
  <c r="Q92" i="7"/>
  <c r="P92" i="7"/>
  <c r="O92" i="7"/>
  <c r="N92" i="7"/>
  <c r="M92" i="7"/>
  <c r="L92" i="7"/>
  <c r="K92" i="7"/>
  <c r="J92" i="7"/>
  <c r="I92" i="7"/>
  <c r="H92" i="7"/>
  <c r="G92" i="7"/>
  <c r="F92" i="7"/>
  <c r="AE91" i="7"/>
  <c r="AC91" i="7"/>
  <c r="AB91" i="7"/>
  <c r="AA91" i="7"/>
  <c r="Z91" i="7"/>
  <c r="Y91" i="7"/>
  <c r="X91" i="7"/>
  <c r="W91" i="7"/>
  <c r="V91" i="7"/>
  <c r="U91" i="7"/>
  <c r="T91" i="7"/>
  <c r="S91" i="7"/>
  <c r="R91" i="7"/>
  <c r="Q91" i="7"/>
  <c r="P91" i="7"/>
  <c r="O91" i="7"/>
  <c r="N91" i="7"/>
  <c r="M91" i="7"/>
  <c r="L91" i="7"/>
  <c r="K91" i="7"/>
  <c r="J91" i="7"/>
  <c r="I91" i="7"/>
  <c r="H91" i="7"/>
  <c r="G91" i="7"/>
  <c r="F91" i="7"/>
  <c r="AE90" i="7"/>
  <c r="AC90" i="7"/>
  <c r="AB90" i="7"/>
  <c r="AA90" i="7"/>
  <c r="Z90" i="7"/>
  <c r="Y90" i="7"/>
  <c r="X90" i="7"/>
  <c r="W90" i="7"/>
  <c r="V90" i="7"/>
  <c r="U90" i="7"/>
  <c r="T90" i="7"/>
  <c r="S90" i="7"/>
  <c r="R90" i="7"/>
  <c r="Q90" i="7"/>
  <c r="P90" i="7"/>
  <c r="O90" i="7"/>
  <c r="N90" i="7"/>
  <c r="M90" i="7"/>
  <c r="L90" i="7"/>
  <c r="K90" i="7"/>
  <c r="J90" i="7"/>
  <c r="I90" i="7"/>
  <c r="H90" i="7"/>
  <c r="G90" i="7"/>
  <c r="F90" i="7"/>
  <c r="AE89" i="7"/>
  <c r="AC89" i="7"/>
  <c r="AB89" i="7"/>
  <c r="AA89" i="7"/>
  <c r="Z89" i="7"/>
  <c r="Y89" i="7"/>
  <c r="X89" i="7"/>
  <c r="W89" i="7"/>
  <c r="V89" i="7"/>
  <c r="U89" i="7"/>
  <c r="T89" i="7"/>
  <c r="S89" i="7"/>
  <c r="R89" i="7"/>
  <c r="Q89" i="7"/>
  <c r="P89" i="7"/>
  <c r="O89" i="7"/>
  <c r="N89" i="7"/>
  <c r="M89" i="7"/>
  <c r="L89" i="7"/>
  <c r="K89" i="7"/>
  <c r="J89" i="7"/>
  <c r="I89" i="7"/>
  <c r="H89" i="7"/>
  <c r="G89" i="7"/>
  <c r="F89" i="7"/>
  <c r="AE88" i="7"/>
  <c r="AC88" i="7"/>
  <c r="AB88" i="7"/>
  <c r="AA88" i="7"/>
  <c r="Z88" i="7"/>
  <c r="Y88" i="7"/>
  <c r="X88" i="7"/>
  <c r="W88" i="7"/>
  <c r="V88" i="7"/>
  <c r="U88" i="7"/>
  <c r="T88" i="7"/>
  <c r="S88" i="7"/>
  <c r="R88" i="7"/>
  <c r="Q88" i="7"/>
  <c r="P88" i="7"/>
  <c r="O88" i="7"/>
  <c r="N88" i="7"/>
  <c r="M88" i="7"/>
  <c r="L88" i="7"/>
  <c r="K88" i="7"/>
  <c r="J88" i="7"/>
  <c r="I88" i="7"/>
  <c r="H88" i="7"/>
  <c r="G88" i="7"/>
  <c r="F88" i="7"/>
  <c r="AE87" i="7"/>
  <c r="AC87" i="7"/>
  <c r="AB87" i="7"/>
  <c r="AA87" i="7"/>
  <c r="Z87" i="7"/>
  <c r="Y87" i="7"/>
  <c r="X87" i="7"/>
  <c r="W87" i="7"/>
  <c r="V87" i="7"/>
  <c r="U87" i="7"/>
  <c r="T87" i="7"/>
  <c r="S87" i="7"/>
  <c r="R87" i="7"/>
  <c r="Q87" i="7"/>
  <c r="P87" i="7"/>
  <c r="O87" i="7"/>
  <c r="N87" i="7"/>
  <c r="M87" i="7"/>
  <c r="L87" i="7"/>
  <c r="K87" i="7"/>
  <c r="J87" i="7"/>
  <c r="I87" i="7"/>
  <c r="H87" i="7"/>
  <c r="G87" i="7"/>
  <c r="F87" i="7"/>
  <c r="AE86" i="7"/>
  <c r="AC86" i="7"/>
  <c r="AB86" i="7"/>
  <c r="AA86" i="7"/>
  <c r="Z86" i="7"/>
  <c r="Y86" i="7"/>
  <c r="X86" i="7"/>
  <c r="W86" i="7"/>
  <c r="V86" i="7"/>
  <c r="U86" i="7"/>
  <c r="T86" i="7"/>
  <c r="S86" i="7"/>
  <c r="R86" i="7"/>
  <c r="Q86" i="7"/>
  <c r="P86" i="7"/>
  <c r="O86" i="7"/>
  <c r="N86" i="7"/>
  <c r="M86" i="7"/>
  <c r="L86" i="7"/>
  <c r="K86" i="7"/>
  <c r="J86" i="7"/>
  <c r="I86" i="7"/>
  <c r="H86" i="7"/>
  <c r="G86" i="7"/>
  <c r="F86" i="7"/>
  <c r="AE85" i="7"/>
  <c r="AC85" i="7"/>
  <c r="AB85" i="7"/>
  <c r="AA85" i="7"/>
  <c r="Z85" i="7"/>
  <c r="Y85" i="7"/>
  <c r="X85" i="7"/>
  <c r="W85" i="7"/>
  <c r="V85" i="7"/>
  <c r="U85" i="7"/>
  <c r="T85" i="7"/>
  <c r="S85" i="7"/>
  <c r="R85" i="7"/>
  <c r="Q85" i="7"/>
  <c r="P85" i="7"/>
  <c r="O85" i="7"/>
  <c r="N85" i="7"/>
  <c r="M85" i="7"/>
  <c r="L85" i="7"/>
  <c r="K85" i="7"/>
  <c r="J85" i="7"/>
  <c r="I85" i="7"/>
  <c r="H85" i="7"/>
  <c r="G85" i="7"/>
  <c r="F85" i="7"/>
  <c r="AE84" i="7"/>
  <c r="AC84" i="7"/>
  <c r="AB84" i="7"/>
  <c r="AA84" i="7"/>
  <c r="Z84" i="7"/>
  <c r="Y84" i="7"/>
  <c r="X84" i="7"/>
  <c r="W84" i="7"/>
  <c r="V84" i="7"/>
  <c r="U84" i="7"/>
  <c r="T84" i="7"/>
  <c r="S84" i="7"/>
  <c r="R84" i="7"/>
  <c r="Q84" i="7"/>
  <c r="P84" i="7"/>
  <c r="O84" i="7"/>
  <c r="N84" i="7"/>
  <c r="M84" i="7"/>
  <c r="L84" i="7"/>
  <c r="K84" i="7"/>
  <c r="J84" i="7"/>
  <c r="I84" i="7"/>
  <c r="H84" i="7"/>
  <c r="G84" i="7"/>
  <c r="F84" i="7"/>
  <c r="AE83" i="7"/>
  <c r="AC83" i="7"/>
  <c r="AB83" i="7"/>
  <c r="AA83" i="7"/>
  <c r="Z83" i="7"/>
  <c r="Y83" i="7"/>
  <c r="X83" i="7"/>
  <c r="W83" i="7"/>
  <c r="V83" i="7"/>
  <c r="U83" i="7"/>
  <c r="T83" i="7"/>
  <c r="S83" i="7"/>
  <c r="R83" i="7"/>
  <c r="Q83" i="7"/>
  <c r="P83" i="7"/>
  <c r="O83" i="7"/>
  <c r="N83" i="7"/>
  <c r="M83" i="7"/>
  <c r="L83" i="7"/>
  <c r="K83" i="7"/>
  <c r="J83" i="7"/>
  <c r="I83" i="7"/>
  <c r="H83" i="7"/>
  <c r="G83" i="7"/>
  <c r="F83" i="7"/>
  <c r="AE82" i="7"/>
  <c r="AC82" i="7"/>
  <c r="AB82" i="7"/>
  <c r="AA82" i="7"/>
  <c r="Z82" i="7"/>
  <c r="Y82" i="7"/>
  <c r="X82" i="7"/>
  <c r="W82" i="7"/>
  <c r="V82" i="7"/>
  <c r="U82" i="7"/>
  <c r="T82" i="7"/>
  <c r="S82" i="7"/>
  <c r="R82" i="7"/>
  <c r="Q82" i="7"/>
  <c r="P82" i="7"/>
  <c r="O82" i="7"/>
  <c r="N82" i="7"/>
  <c r="M82" i="7"/>
  <c r="L82" i="7"/>
  <c r="K82" i="7"/>
  <c r="J82" i="7"/>
  <c r="I82" i="7"/>
  <c r="H82" i="7"/>
  <c r="G82" i="7"/>
  <c r="F82" i="7"/>
  <c r="AE81" i="7"/>
  <c r="AC81" i="7"/>
  <c r="AB81" i="7"/>
  <c r="AA81" i="7"/>
  <c r="Z81" i="7"/>
  <c r="Y81" i="7"/>
  <c r="X81" i="7"/>
  <c r="W81" i="7"/>
  <c r="V81" i="7"/>
  <c r="U81" i="7"/>
  <c r="T81" i="7"/>
  <c r="S81" i="7"/>
  <c r="R81" i="7"/>
  <c r="Q81" i="7"/>
  <c r="P81" i="7"/>
  <c r="O81" i="7"/>
  <c r="N81" i="7"/>
  <c r="M81" i="7"/>
  <c r="L81" i="7"/>
  <c r="K81" i="7"/>
  <c r="J81" i="7"/>
  <c r="I81" i="7"/>
  <c r="H81" i="7"/>
  <c r="G81" i="7"/>
  <c r="F81" i="7"/>
  <c r="AE80" i="7"/>
  <c r="AC80" i="7"/>
  <c r="AB80" i="7"/>
  <c r="AA80" i="7"/>
  <c r="Z80" i="7"/>
  <c r="Y80" i="7"/>
  <c r="X80" i="7"/>
  <c r="W80" i="7"/>
  <c r="V80" i="7"/>
  <c r="U80" i="7"/>
  <c r="T80" i="7"/>
  <c r="S80" i="7"/>
  <c r="R80" i="7"/>
  <c r="Q80" i="7"/>
  <c r="P80" i="7"/>
  <c r="O80" i="7"/>
  <c r="N80" i="7"/>
  <c r="M80" i="7"/>
  <c r="L80" i="7"/>
  <c r="K80" i="7"/>
  <c r="J80" i="7"/>
  <c r="I80" i="7"/>
  <c r="H80" i="7"/>
  <c r="G80" i="7"/>
  <c r="F80" i="7"/>
  <c r="AE79" i="7"/>
  <c r="AC79" i="7"/>
  <c r="AB79" i="7"/>
  <c r="AA79" i="7"/>
  <c r="Z79" i="7"/>
  <c r="Y79" i="7"/>
  <c r="X79" i="7"/>
  <c r="W79" i="7"/>
  <c r="V79" i="7"/>
  <c r="U79" i="7"/>
  <c r="T79" i="7"/>
  <c r="S79" i="7"/>
  <c r="R79" i="7"/>
  <c r="Q79" i="7"/>
  <c r="P79" i="7"/>
  <c r="O79" i="7"/>
  <c r="N79" i="7"/>
  <c r="M79" i="7"/>
  <c r="L79" i="7"/>
  <c r="K79" i="7"/>
  <c r="J79" i="7"/>
  <c r="I79" i="7"/>
  <c r="H79" i="7"/>
  <c r="G79" i="7"/>
  <c r="F79" i="7"/>
  <c r="AE78" i="7"/>
  <c r="AC78" i="7"/>
  <c r="AB78" i="7"/>
  <c r="AA78" i="7"/>
  <c r="Z78" i="7"/>
  <c r="Y78" i="7"/>
  <c r="X78" i="7"/>
  <c r="W78" i="7"/>
  <c r="V78" i="7"/>
  <c r="U78" i="7"/>
  <c r="T78" i="7"/>
  <c r="S78" i="7"/>
  <c r="R78" i="7"/>
  <c r="Q78" i="7"/>
  <c r="P78" i="7"/>
  <c r="O78" i="7"/>
  <c r="N78" i="7"/>
  <c r="M78" i="7"/>
  <c r="L78" i="7"/>
  <c r="K78" i="7"/>
  <c r="J78" i="7"/>
  <c r="I78" i="7"/>
  <c r="H78" i="7"/>
  <c r="G78" i="7"/>
  <c r="F78" i="7"/>
  <c r="AE77" i="7"/>
  <c r="AC77" i="7"/>
  <c r="AB77" i="7"/>
  <c r="AA77" i="7"/>
  <c r="Z77" i="7"/>
  <c r="Y77" i="7"/>
  <c r="X77" i="7"/>
  <c r="W77" i="7"/>
  <c r="V77" i="7"/>
  <c r="U77" i="7"/>
  <c r="T77" i="7"/>
  <c r="S77" i="7"/>
  <c r="R77" i="7"/>
  <c r="Q77" i="7"/>
  <c r="P77" i="7"/>
  <c r="O77" i="7"/>
  <c r="N77" i="7"/>
  <c r="M77" i="7"/>
  <c r="L77" i="7"/>
  <c r="K77" i="7"/>
  <c r="J77" i="7"/>
  <c r="I77" i="7"/>
  <c r="H77" i="7"/>
  <c r="G77" i="7"/>
  <c r="F77" i="7"/>
  <c r="AE76" i="7"/>
  <c r="AC76" i="7"/>
  <c r="AB76" i="7"/>
  <c r="AA76" i="7"/>
  <c r="Z76" i="7"/>
  <c r="Y76" i="7"/>
  <c r="X76" i="7"/>
  <c r="W76" i="7"/>
  <c r="V76" i="7"/>
  <c r="U76" i="7"/>
  <c r="T76" i="7"/>
  <c r="S76" i="7"/>
  <c r="R76" i="7"/>
  <c r="Q76" i="7"/>
  <c r="P76" i="7"/>
  <c r="O76" i="7"/>
  <c r="N76" i="7"/>
  <c r="M76" i="7"/>
  <c r="L76" i="7"/>
  <c r="K76" i="7"/>
  <c r="J76" i="7"/>
  <c r="I76" i="7"/>
  <c r="H76" i="7"/>
  <c r="G76" i="7"/>
  <c r="F76" i="7"/>
  <c r="AE75" i="7"/>
  <c r="AC75" i="7"/>
  <c r="AB75" i="7"/>
  <c r="AA75" i="7"/>
  <c r="Z75" i="7"/>
  <c r="Y75" i="7"/>
  <c r="X75" i="7"/>
  <c r="W75" i="7"/>
  <c r="V75" i="7"/>
  <c r="U75" i="7"/>
  <c r="T75" i="7"/>
  <c r="S75" i="7"/>
  <c r="R75" i="7"/>
  <c r="Q75" i="7"/>
  <c r="P75" i="7"/>
  <c r="O75" i="7"/>
  <c r="N75" i="7"/>
  <c r="M75" i="7"/>
  <c r="L75" i="7"/>
  <c r="K75" i="7"/>
  <c r="J75" i="7"/>
  <c r="I75" i="7"/>
  <c r="H75" i="7"/>
  <c r="G75" i="7"/>
  <c r="F75" i="7"/>
  <c r="AE74" i="7"/>
  <c r="AC74" i="7"/>
  <c r="AB74" i="7"/>
  <c r="AA74" i="7"/>
  <c r="Z74" i="7"/>
  <c r="Y74" i="7"/>
  <c r="X74" i="7"/>
  <c r="W74" i="7"/>
  <c r="V74" i="7"/>
  <c r="U74" i="7"/>
  <c r="T74" i="7"/>
  <c r="S74" i="7"/>
  <c r="R74" i="7"/>
  <c r="Q74" i="7"/>
  <c r="P74" i="7"/>
  <c r="O74" i="7"/>
  <c r="N74" i="7"/>
  <c r="M74" i="7"/>
  <c r="L74" i="7"/>
  <c r="K74" i="7"/>
  <c r="J74" i="7"/>
  <c r="I74" i="7"/>
  <c r="H74" i="7"/>
  <c r="G74" i="7"/>
  <c r="F74" i="7"/>
  <c r="AE73" i="7"/>
  <c r="AC73" i="7"/>
  <c r="AB73" i="7"/>
  <c r="AA73" i="7"/>
  <c r="Z73" i="7"/>
  <c r="Y73" i="7"/>
  <c r="X73" i="7"/>
  <c r="W73" i="7"/>
  <c r="V73" i="7"/>
  <c r="U73" i="7"/>
  <c r="T73" i="7"/>
  <c r="S73" i="7"/>
  <c r="R73" i="7"/>
  <c r="Q73" i="7"/>
  <c r="P73" i="7"/>
  <c r="O73" i="7"/>
  <c r="N73" i="7"/>
  <c r="M73" i="7"/>
  <c r="L73" i="7"/>
  <c r="K73" i="7"/>
  <c r="J73" i="7"/>
  <c r="I73" i="7"/>
  <c r="H73" i="7"/>
  <c r="G73" i="7"/>
  <c r="F73" i="7"/>
  <c r="AE72" i="7"/>
  <c r="AC72" i="7"/>
  <c r="AB72" i="7"/>
  <c r="AA72" i="7"/>
  <c r="Z72" i="7"/>
  <c r="Y72" i="7"/>
  <c r="X72" i="7"/>
  <c r="W72" i="7"/>
  <c r="V72" i="7"/>
  <c r="U72" i="7"/>
  <c r="T72" i="7"/>
  <c r="S72" i="7"/>
  <c r="R72" i="7"/>
  <c r="Q72" i="7"/>
  <c r="P72" i="7"/>
  <c r="O72" i="7"/>
  <c r="N72" i="7"/>
  <c r="M72" i="7"/>
  <c r="L72" i="7"/>
  <c r="K72" i="7"/>
  <c r="J72" i="7"/>
  <c r="I72" i="7"/>
  <c r="H72" i="7"/>
  <c r="G72" i="7"/>
  <c r="F72" i="7"/>
  <c r="AE71" i="7"/>
  <c r="AC71" i="7"/>
  <c r="AB71" i="7"/>
  <c r="AA71" i="7"/>
  <c r="Z71" i="7"/>
  <c r="Y71" i="7"/>
  <c r="X71" i="7"/>
  <c r="W71" i="7"/>
  <c r="V71" i="7"/>
  <c r="U71" i="7"/>
  <c r="T71" i="7"/>
  <c r="S71" i="7"/>
  <c r="R71" i="7"/>
  <c r="Q71" i="7"/>
  <c r="P71" i="7"/>
  <c r="O71" i="7"/>
  <c r="N71" i="7"/>
  <c r="M71" i="7"/>
  <c r="L71" i="7"/>
  <c r="K71" i="7"/>
  <c r="J71" i="7"/>
  <c r="I71" i="7"/>
  <c r="H71" i="7"/>
  <c r="G71" i="7"/>
  <c r="F71" i="7"/>
  <c r="AE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AE69" i="7"/>
  <c r="AC69" i="7"/>
  <c r="AB69" i="7"/>
  <c r="AA69" i="7"/>
  <c r="Z69" i="7"/>
  <c r="Y69" i="7"/>
  <c r="X69" i="7"/>
  <c r="W69" i="7"/>
  <c r="V69" i="7"/>
  <c r="U69" i="7"/>
  <c r="T69" i="7"/>
  <c r="S69" i="7"/>
  <c r="R69" i="7"/>
  <c r="Q69" i="7"/>
  <c r="P69" i="7"/>
  <c r="O69" i="7"/>
  <c r="N69" i="7"/>
  <c r="M69" i="7"/>
  <c r="L69" i="7"/>
  <c r="K69" i="7"/>
  <c r="J69" i="7"/>
  <c r="I69" i="7"/>
  <c r="H69" i="7"/>
  <c r="G69" i="7"/>
  <c r="F69" i="7"/>
  <c r="AE68" i="7"/>
  <c r="AC68" i="7"/>
  <c r="AB68" i="7"/>
  <c r="AA68" i="7"/>
  <c r="Z68" i="7"/>
  <c r="Y68" i="7"/>
  <c r="X68" i="7"/>
  <c r="W68" i="7"/>
  <c r="V68" i="7"/>
  <c r="U68" i="7"/>
  <c r="T68" i="7"/>
  <c r="S68" i="7"/>
  <c r="R68" i="7"/>
  <c r="Q68" i="7"/>
  <c r="P68" i="7"/>
  <c r="O68" i="7"/>
  <c r="N68" i="7"/>
  <c r="M68" i="7"/>
  <c r="L68" i="7"/>
  <c r="K68" i="7"/>
  <c r="J68" i="7"/>
  <c r="I68" i="7"/>
  <c r="H68" i="7"/>
  <c r="G68" i="7"/>
  <c r="F68" i="7"/>
  <c r="AE67" i="7"/>
  <c r="AC67" i="7"/>
  <c r="AB67" i="7"/>
  <c r="AA67" i="7"/>
  <c r="Z67" i="7"/>
  <c r="Y67" i="7"/>
  <c r="X67" i="7"/>
  <c r="W67" i="7"/>
  <c r="V67" i="7"/>
  <c r="U67" i="7"/>
  <c r="T67" i="7"/>
  <c r="S67" i="7"/>
  <c r="R67" i="7"/>
  <c r="Q67" i="7"/>
  <c r="P67" i="7"/>
  <c r="O67" i="7"/>
  <c r="N67" i="7"/>
  <c r="M67" i="7"/>
  <c r="L67" i="7"/>
  <c r="K67" i="7"/>
  <c r="J67" i="7"/>
  <c r="I67" i="7"/>
  <c r="H67" i="7"/>
  <c r="G67" i="7"/>
  <c r="F67" i="7"/>
  <c r="AE66" i="7"/>
  <c r="AC66" i="7"/>
  <c r="AB66" i="7"/>
  <c r="AA66" i="7"/>
  <c r="Z66" i="7"/>
  <c r="Y66" i="7"/>
  <c r="X66" i="7"/>
  <c r="W66" i="7"/>
  <c r="V66" i="7"/>
  <c r="U66" i="7"/>
  <c r="T66" i="7"/>
  <c r="S66" i="7"/>
  <c r="R66" i="7"/>
  <c r="Q66" i="7"/>
  <c r="P66" i="7"/>
  <c r="O66" i="7"/>
  <c r="N66" i="7"/>
  <c r="M66" i="7"/>
  <c r="L66" i="7"/>
  <c r="K66" i="7"/>
  <c r="J66" i="7"/>
  <c r="I66" i="7"/>
  <c r="H66" i="7"/>
  <c r="G66" i="7"/>
  <c r="F66" i="7"/>
  <c r="AE65" i="7"/>
  <c r="AC65" i="7"/>
  <c r="AB65" i="7"/>
  <c r="AA65" i="7"/>
  <c r="Z65" i="7"/>
  <c r="Y65" i="7"/>
  <c r="X65" i="7"/>
  <c r="W65" i="7"/>
  <c r="V65" i="7"/>
  <c r="U65" i="7"/>
  <c r="T65" i="7"/>
  <c r="S65" i="7"/>
  <c r="R65" i="7"/>
  <c r="Q65" i="7"/>
  <c r="P65" i="7"/>
  <c r="O65" i="7"/>
  <c r="N65" i="7"/>
  <c r="M65" i="7"/>
  <c r="L65" i="7"/>
  <c r="K65" i="7"/>
  <c r="J65" i="7"/>
  <c r="I65" i="7"/>
  <c r="H65" i="7"/>
  <c r="G65" i="7"/>
  <c r="F65" i="7"/>
  <c r="AE64" i="7"/>
  <c r="AC64" i="7"/>
  <c r="AB64" i="7"/>
  <c r="AA64" i="7"/>
  <c r="Z64" i="7"/>
  <c r="Y64" i="7"/>
  <c r="X64" i="7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AE63" i="7"/>
  <c r="AC63" i="7"/>
  <c r="AB63" i="7"/>
  <c r="AA63" i="7"/>
  <c r="Z63" i="7"/>
  <c r="Y63" i="7"/>
  <c r="X63" i="7"/>
  <c r="W63" i="7"/>
  <c r="V63" i="7"/>
  <c r="U63" i="7"/>
  <c r="T63" i="7"/>
  <c r="S63" i="7"/>
  <c r="R63" i="7"/>
  <c r="Q63" i="7"/>
  <c r="P63" i="7"/>
  <c r="O63" i="7"/>
  <c r="N63" i="7"/>
  <c r="M63" i="7"/>
  <c r="L63" i="7"/>
  <c r="K63" i="7"/>
  <c r="J63" i="7"/>
  <c r="I63" i="7"/>
  <c r="H63" i="7"/>
  <c r="G63" i="7"/>
  <c r="F63" i="7"/>
  <c r="AE62" i="7"/>
  <c r="AC62" i="7"/>
  <c r="AB62" i="7"/>
  <c r="AA62" i="7"/>
  <c r="Z62" i="7"/>
  <c r="Y62" i="7"/>
  <c r="X62" i="7"/>
  <c r="W62" i="7"/>
  <c r="V62" i="7"/>
  <c r="U62" i="7"/>
  <c r="T62" i="7"/>
  <c r="S62" i="7"/>
  <c r="R62" i="7"/>
  <c r="Q62" i="7"/>
  <c r="P62" i="7"/>
  <c r="O62" i="7"/>
  <c r="N62" i="7"/>
  <c r="M62" i="7"/>
  <c r="L62" i="7"/>
  <c r="K62" i="7"/>
  <c r="J62" i="7"/>
  <c r="I62" i="7"/>
  <c r="H62" i="7"/>
  <c r="G62" i="7"/>
  <c r="F62" i="7"/>
  <c r="AE61" i="7"/>
  <c r="AC61" i="7"/>
  <c r="AB61" i="7"/>
  <c r="AA61" i="7"/>
  <c r="Z61" i="7"/>
  <c r="Y61" i="7"/>
  <c r="X61" i="7"/>
  <c r="W61" i="7"/>
  <c r="V61" i="7"/>
  <c r="U61" i="7"/>
  <c r="T61" i="7"/>
  <c r="S61" i="7"/>
  <c r="R61" i="7"/>
  <c r="Q61" i="7"/>
  <c r="P61" i="7"/>
  <c r="O61" i="7"/>
  <c r="N61" i="7"/>
  <c r="M61" i="7"/>
  <c r="L61" i="7"/>
  <c r="K61" i="7"/>
  <c r="J61" i="7"/>
  <c r="I61" i="7"/>
  <c r="H61" i="7"/>
  <c r="G61" i="7"/>
  <c r="F61" i="7"/>
  <c r="AE60" i="7"/>
  <c r="AC60" i="7"/>
  <c r="AB60" i="7"/>
  <c r="AA60" i="7"/>
  <c r="Z60" i="7"/>
  <c r="Y60" i="7"/>
  <c r="X60" i="7"/>
  <c r="W60" i="7"/>
  <c r="V60" i="7"/>
  <c r="U60" i="7"/>
  <c r="T60" i="7"/>
  <c r="S60" i="7"/>
  <c r="R60" i="7"/>
  <c r="Q60" i="7"/>
  <c r="P60" i="7"/>
  <c r="O60" i="7"/>
  <c r="N60" i="7"/>
  <c r="M60" i="7"/>
  <c r="L60" i="7"/>
  <c r="K60" i="7"/>
  <c r="J60" i="7"/>
  <c r="I60" i="7"/>
  <c r="H60" i="7"/>
  <c r="G60" i="7"/>
  <c r="F60" i="7"/>
  <c r="AE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AE58" i="7"/>
  <c r="AC58" i="7"/>
  <c r="AB58" i="7"/>
  <c r="AA58" i="7"/>
  <c r="Z58" i="7"/>
  <c r="Y58" i="7"/>
  <c r="X58" i="7"/>
  <c r="W58" i="7"/>
  <c r="V58" i="7"/>
  <c r="U58" i="7"/>
  <c r="T58" i="7"/>
  <c r="S58" i="7"/>
  <c r="R58" i="7"/>
  <c r="Q58" i="7"/>
  <c r="P58" i="7"/>
  <c r="O58" i="7"/>
  <c r="N58" i="7"/>
  <c r="M58" i="7"/>
  <c r="L58" i="7"/>
  <c r="K58" i="7"/>
  <c r="J58" i="7"/>
  <c r="I58" i="7"/>
  <c r="H58" i="7"/>
  <c r="G58" i="7"/>
  <c r="F58" i="7"/>
  <c r="AE57" i="7"/>
  <c r="AC57" i="7"/>
  <c r="AB57" i="7"/>
  <c r="AA57" i="7"/>
  <c r="Z57" i="7"/>
  <c r="Y57" i="7"/>
  <c r="X57" i="7"/>
  <c r="W57" i="7"/>
  <c r="V57" i="7"/>
  <c r="U57" i="7"/>
  <c r="T57" i="7"/>
  <c r="S57" i="7"/>
  <c r="R57" i="7"/>
  <c r="Q57" i="7"/>
  <c r="P57" i="7"/>
  <c r="O57" i="7"/>
  <c r="N57" i="7"/>
  <c r="M57" i="7"/>
  <c r="L57" i="7"/>
  <c r="K57" i="7"/>
  <c r="J57" i="7"/>
  <c r="I57" i="7"/>
  <c r="H57" i="7"/>
  <c r="G57" i="7"/>
  <c r="F57" i="7"/>
  <c r="AE56" i="7"/>
  <c r="AC56" i="7"/>
  <c r="AB56" i="7"/>
  <c r="AA56" i="7"/>
  <c r="Z56" i="7"/>
  <c r="Y56" i="7"/>
  <c r="X56" i="7"/>
  <c r="W56" i="7"/>
  <c r="V56" i="7"/>
  <c r="U56" i="7"/>
  <c r="T56" i="7"/>
  <c r="S56" i="7"/>
  <c r="R56" i="7"/>
  <c r="Q56" i="7"/>
  <c r="P56" i="7"/>
  <c r="O56" i="7"/>
  <c r="N56" i="7"/>
  <c r="M56" i="7"/>
  <c r="L56" i="7"/>
  <c r="K56" i="7"/>
  <c r="J56" i="7"/>
  <c r="I56" i="7"/>
  <c r="H56" i="7"/>
  <c r="G56" i="7"/>
  <c r="F56" i="7"/>
  <c r="AE55" i="7"/>
  <c r="AC55" i="7"/>
  <c r="AB55" i="7"/>
  <c r="AA55" i="7"/>
  <c r="Z55" i="7"/>
  <c r="Y55" i="7"/>
  <c r="X55" i="7"/>
  <c r="W55" i="7"/>
  <c r="V55" i="7"/>
  <c r="U55" i="7"/>
  <c r="T55" i="7"/>
  <c r="S55" i="7"/>
  <c r="R55" i="7"/>
  <c r="Q55" i="7"/>
  <c r="P55" i="7"/>
  <c r="O55" i="7"/>
  <c r="N55" i="7"/>
  <c r="M55" i="7"/>
  <c r="L55" i="7"/>
  <c r="K55" i="7"/>
  <c r="J55" i="7"/>
  <c r="I55" i="7"/>
  <c r="H55" i="7"/>
  <c r="G55" i="7"/>
  <c r="F55" i="7"/>
  <c r="AE54" i="7"/>
  <c r="AC54" i="7"/>
  <c r="AB54" i="7"/>
  <c r="AA54" i="7"/>
  <c r="Z54" i="7"/>
  <c r="Y54" i="7"/>
  <c r="X54" i="7"/>
  <c r="W54" i="7"/>
  <c r="V54" i="7"/>
  <c r="U54" i="7"/>
  <c r="T54" i="7"/>
  <c r="S54" i="7"/>
  <c r="R54" i="7"/>
  <c r="Q54" i="7"/>
  <c r="P54" i="7"/>
  <c r="O54" i="7"/>
  <c r="N54" i="7"/>
  <c r="M54" i="7"/>
  <c r="L54" i="7"/>
  <c r="K54" i="7"/>
  <c r="J54" i="7"/>
  <c r="I54" i="7"/>
  <c r="H54" i="7"/>
  <c r="G54" i="7"/>
  <c r="F54" i="7"/>
  <c r="AE53" i="7"/>
  <c r="AC53" i="7"/>
  <c r="AB53" i="7"/>
  <c r="AA53" i="7"/>
  <c r="Z53" i="7"/>
  <c r="Y53" i="7"/>
  <c r="X53" i="7"/>
  <c r="W53" i="7"/>
  <c r="V53" i="7"/>
  <c r="U53" i="7"/>
  <c r="T53" i="7"/>
  <c r="S53" i="7"/>
  <c r="R53" i="7"/>
  <c r="Q53" i="7"/>
  <c r="P53" i="7"/>
  <c r="O53" i="7"/>
  <c r="N53" i="7"/>
  <c r="M53" i="7"/>
  <c r="L53" i="7"/>
  <c r="K53" i="7"/>
  <c r="J53" i="7"/>
  <c r="I53" i="7"/>
  <c r="H53" i="7"/>
  <c r="G53" i="7"/>
  <c r="F53" i="7"/>
  <c r="AE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AE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AE50" i="7"/>
  <c r="AC50" i="7"/>
  <c r="AB50" i="7"/>
  <c r="AA50" i="7"/>
  <c r="Z50" i="7"/>
  <c r="Y50" i="7"/>
  <c r="X50" i="7"/>
  <c r="W50" i="7"/>
  <c r="V50" i="7"/>
  <c r="U50" i="7"/>
  <c r="T50" i="7"/>
  <c r="S50" i="7"/>
  <c r="R50" i="7"/>
  <c r="Q50" i="7"/>
  <c r="P50" i="7"/>
  <c r="O50" i="7"/>
  <c r="N50" i="7"/>
  <c r="M50" i="7"/>
  <c r="L50" i="7"/>
  <c r="K50" i="7"/>
  <c r="J50" i="7"/>
  <c r="I50" i="7"/>
  <c r="H50" i="7"/>
  <c r="G50" i="7"/>
  <c r="F50" i="7"/>
  <c r="AE49" i="7"/>
  <c r="AC49" i="7"/>
  <c r="AB49" i="7"/>
  <c r="AA49" i="7"/>
  <c r="Z49" i="7"/>
  <c r="Y49" i="7"/>
  <c r="X49" i="7"/>
  <c r="W49" i="7"/>
  <c r="V49" i="7"/>
  <c r="U49" i="7"/>
  <c r="T49" i="7"/>
  <c r="S49" i="7"/>
  <c r="R49" i="7"/>
  <c r="Q49" i="7"/>
  <c r="P49" i="7"/>
  <c r="O49" i="7"/>
  <c r="N49" i="7"/>
  <c r="M49" i="7"/>
  <c r="L49" i="7"/>
  <c r="K49" i="7"/>
  <c r="J49" i="7"/>
  <c r="I49" i="7"/>
  <c r="H49" i="7"/>
  <c r="G49" i="7"/>
  <c r="F49" i="7"/>
  <c r="AE48" i="7"/>
  <c r="AC48" i="7"/>
  <c r="AB48" i="7"/>
  <c r="AA48" i="7"/>
  <c r="Z48" i="7"/>
  <c r="Y48" i="7"/>
  <c r="X48" i="7"/>
  <c r="W48" i="7"/>
  <c r="V48" i="7"/>
  <c r="U48" i="7"/>
  <c r="T48" i="7"/>
  <c r="S48" i="7"/>
  <c r="R48" i="7"/>
  <c r="Q48" i="7"/>
  <c r="P48" i="7"/>
  <c r="O48" i="7"/>
  <c r="N48" i="7"/>
  <c r="M48" i="7"/>
  <c r="L48" i="7"/>
  <c r="K48" i="7"/>
  <c r="J48" i="7"/>
  <c r="I48" i="7"/>
  <c r="H48" i="7"/>
  <c r="G48" i="7"/>
  <c r="F48" i="7"/>
  <c r="AE47" i="7"/>
  <c r="AC47" i="7"/>
  <c r="AB47" i="7"/>
  <c r="AA47" i="7"/>
  <c r="Z47" i="7"/>
  <c r="Y47" i="7"/>
  <c r="X47" i="7"/>
  <c r="W47" i="7"/>
  <c r="V47" i="7"/>
  <c r="U47" i="7"/>
  <c r="T47" i="7"/>
  <c r="S47" i="7"/>
  <c r="R47" i="7"/>
  <c r="Q47" i="7"/>
  <c r="P47" i="7"/>
  <c r="O47" i="7"/>
  <c r="N47" i="7"/>
  <c r="M47" i="7"/>
  <c r="L47" i="7"/>
  <c r="K47" i="7"/>
  <c r="J47" i="7"/>
  <c r="I47" i="7"/>
  <c r="H47" i="7"/>
  <c r="G47" i="7"/>
  <c r="F47" i="7"/>
  <c r="AE46" i="7"/>
  <c r="AC46" i="7"/>
  <c r="AB46" i="7"/>
  <c r="AA46" i="7"/>
  <c r="Z46" i="7"/>
  <c r="Y46" i="7"/>
  <c r="X46" i="7"/>
  <c r="W46" i="7"/>
  <c r="V46" i="7"/>
  <c r="U46" i="7"/>
  <c r="T46" i="7"/>
  <c r="S46" i="7"/>
  <c r="R46" i="7"/>
  <c r="Q46" i="7"/>
  <c r="P46" i="7"/>
  <c r="O46" i="7"/>
  <c r="N46" i="7"/>
  <c r="M46" i="7"/>
  <c r="L46" i="7"/>
  <c r="K46" i="7"/>
  <c r="J46" i="7"/>
  <c r="I46" i="7"/>
  <c r="H46" i="7"/>
  <c r="G46" i="7"/>
  <c r="F46" i="7"/>
  <c r="AE45" i="7"/>
  <c r="AC45" i="7"/>
  <c r="AB45" i="7"/>
  <c r="AA45" i="7"/>
  <c r="Z45" i="7"/>
  <c r="Y45" i="7"/>
  <c r="X45" i="7"/>
  <c r="W45" i="7"/>
  <c r="V45" i="7"/>
  <c r="U45" i="7"/>
  <c r="T45" i="7"/>
  <c r="S45" i="7"/>
  <c r="R45" i="7"/>
  <c r="Q45" i="7"/>
  <c r="P45" i="7"/>
  <c r="O45" i="7"/>
  <c r="N45" i="7"/>
  <c r="M45" i="7"/>
  <c r="L45" i="7"/>
  <c r="K45" i="7"/>
  <c r="J45" i="7"/>
  <c r="I45" i="7"/>
  <c r="H45" i="7"/>
  <c r="G45" i="7"/>
  <c r="F45" i="7"/>
  <c r="AE44" i="7"/>
  <c r="AC44" i="7"/>
  <c r="AB44" i="7"/>
  <c r="AA44" i="7"/>
  <c r="Z44" i="7"/>
  <c r="Y44" i="7"/>
  <c r="X44" i="7"/>
  <c r="W44" i="7"/>
  <c r="V44" i="7"/>
  <c r="U44" i="7"/>
  <c r="T44" i="7"/>
  <c r="S44" i="7"/>
  <c r="R44" i="7"/>
  <c r="Q44" i="7"/>
  <c r="P44" i="7"/>
  <c r="O44" i="7"/>
  <c r="N44" i="7"/>
  <c r="M44" i="7"/>
  <c r="L44" i="7"/>
  <c r="K44" i="7"/>
  <c r="J44" i="7"/>
  <c r="I44" i="7"/>
  <c r="H44" i="7"/>
  <c r="G44" i="7"/>
  <c r="F44" i="7"/>
  <c r="AE43" i="7"/>
  <c r="AC43" i="7"/>
  <c r="AB43" i="7"/>
  <c r="AA43" i="7"/>
  <c r="Z43" i="7"/>
  <c r="Y43" i="7"/>
  <c r="X43" i="7"/>
  <c r="W43" i="7"/>
  <c r="V43" i="7"/>
  <c r="U43" i="7"/>
  <c r="T43" i="7"/>
  <c r="S43" i="7"/>
  <c r="R43" i="7"/>
  <c r="Q43" i="7"/>
  <c r="P43" i="7"/>
  <c r="O43" i="7"/>
  <c r="N43" i="7"/>
  <c r="M43" i="7"/>
  <c r="L43" i="7"/>
  <c r="K43" i="7"/>
  <c r="J43" i="7"/>
  <c r="I43" i="7"/>
  <c r="H43" i="7"/>
  <c r="G43" i="7"/>
  <c r="F43" i="7"/>
  <c r="AE42" i="7"/>
  <c r="AC42" i="7"/>
  <c r="AB42" i="7"/>
  <c r="AA42" i="7"/>
  <c r="Z42" i="7"/>
  <c r="Y42" i="7"/>
  <c r="X42" i="7"/>
  <c r="W42" i="7"/>
  <c r="V42" i="7"/>
  <c r="U42" i="7"/>
  <c r="T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AE41" i="7"/>
  <c r="AC41" i="7"/>
  <c r="AB41" i="7"/>
  <c r="AA41" i="7"/>
  <c r="Z41" i="7"/>
  <c r="Y41" i="7"/>
  <c r="X41" i="7"/>
  <c r="W41" i="7"/>
  <c r="V41" i="7"/>
  <c r="U41" i="7"/>
  <c r="T41" i="7"/>
  <c r="S41" i="7"/>
  <c r="R41" i="7"/>
  <c r="Q41" i="7"/>
  <c r="P41" i="7"/>
  <c r="O41" i="7"/>
  <c r="N41" i="7"/>
  <c r="M41" i="7"/>
  <c r="L41" i="7"/>
  <c r="K41" i="7"/>
  <c r="J41" i="7"/>
  <c r="I41" i="7"/>
  <c r="H41" i="7"/>
  <c r="G41" i="7"/>
  <c r="F41" i="7"/>
  <c r="AE40" i="7"/>
  <c r="AC40" i="7"/>
  <c r="AB40" i="7"/>
  <c r="AA40" i="7"/>
  <c r="Z40" i="7"/>
  <c r="Y40" i="7"/>
  <c r="X40" i="7"/>
  <c r="W40" i="7"/>
  <c r="V40" i="7"/>
  <c r="U40" i="7"/>
  <c r="T40" i="7"/>
  <c r="S40" i="7"/>
  <c r="R40" i="7"/>
  <c r="Q40" i="7"/>
  <c r="P40" i="7"/>
  <c r="O40" i="7"/>
  <c r="N40" i="7"/>
  <c r="M40" i="7"/>
  <c r="L40" i="7"/>
  <c r="K40" i="7"/>
  <c r="J40" i="7"/>
  <c r="I40" i="7"/>
  <c r="H40" i="7"/>
  <c r="G40" i="7"/>
  <c r="F40" i="7"/>
  <c r="AE39" i="7"/>
  <c r="AC39" i="7"/>
  <c r="AB39" i="7"/>
  <c r="AA39" i="7"/>
  <c r="Z39" i="7"/>
  <c r="Y39" i="7"/>
  <c r="X39" i="7"/>
  <c r="W39" i="7"/>
  <c r="V39" i="7"/>
  <c r="U39" i="7"/>
  <c r="T39" i="7"/>
  <c r="S39" i="7"/>
  <c r="R39" i="7"/>
  <c r="Q39" i="7"/>
  <c r="P39" i="7"/>
  <c r="O39" i="7"/>
  <c r="N39" i="7"/>
  <c r="M39" i="7"/>
  <c r="L39" i="7"/>
  <c r="K39" i="7"/>
  <c r="J39" i="7"/>
  <c r="I39" i="7"/>
  <c r="H39" i="7"/>
  <c r="G39" i="7"/>
  <c r="F39" i="7"/>
  <c r="AE38" i="7"/>
  <c r="AC38" i="7"/>
  <c r="AB38" i="7"/>
  <c r="AA38" i="7"/>
  <c r="Z38" i="7"/>
  <c r="Y38" i="7"/>
  <c r="X38" i="7"/>
  <c r="W38" i="7"/>
  <c r="V38" i="7"/>
  <c r="U38" i="7"/>
  <c r="T38" i="7"/>
  <c r="S38" i="7"/>
  <c r="R38" i="7"/>
  <c r="Q38" i="7"/>
  <c r="P38" i="7"/>
  <c r="O38" i="7"/>
  <c r="N38" i="7"/>
  <c r="M38" i="7"/>
  <c r="L38" i="7"/>
  <c r="K38" i="7"/>
  <c r="J38" i="7"/>
  <c r="I38" i="7"/>
  <c r="H38" i="7"/>
  <c r="G38" i="7"/>
  <c r="F38" i="7"/>
  <c r="AE37" i="7"/>
  <c r="AC37" i="7"/>
  <c r="AB37" i="7"/>
  <c r="AA37" i="7"/>
  <c r="Z37" i="7"/>
  <c r="Y37" i="7"/>
  <c r="X37" i="7"/>
  <c r="W37" i="7"/>
  <c r="V37" i="7"/>
  <c r="U37" i="7"/>
  <c r="T37" i="7"/>
  <c r="S37" i="7"/>
  <c r="R37" i="7"/>
  <c r="Q37" i="7"/>
  <c r="P37" i="7"/>
  <c r="O37" i="7"/>
  <c r="N37" i="7"/>
  <c r="M37" i="7"/>
  <c r="L37" i="7"/>
  <c r="K37" i="7"/>
  <c r="J37" i="7"/>
  <c r="I37" i="7"/>
  <c r="H37" i="7"/>
  <c r="G37" i="7"/>
  <c r="F37" i="7"/>
  <c r="AE36" i="7"/>
  <c r="AC36" i="7"/>
  <c r="AB36" i="7"/>
  <c r="AA36" i="7"/>
  <c r="Z36" i="7"/>
  <c r="Y36" i="7"/>
  <c r="X36" i="7"/>
  <c r="W36" i="7"/>
  <c r="V36" i="7"/>
  <c r="U36" i="7"/>
  <c r="T36" i="7"/>
  <c r="S36" i="7"/>
  <c r="R36" i="7"/>
  <c r="Q36" i="7"/>
  <c r="P36" i="7"/>
  <c r="O36" i="7"/>
  <c r="N36" i="7"/>
  <c r="M36" i="7"/>
  <c r="L36" i="7"/>
  <c r="K36" i="7"/>
  <c r="J36" i="7"/>
  <c r="I36" i="7"/>
  <c r="H36" i="7"/>
  <c r="G36" i="7"/>
  <c r="F36" i="7"/>
  <c r="AE35" i="7"/>
  <c r="AC35" i="7"/>
  <c r="AB35" i="7"/>
  <c r="AA35" i="7"/>
  <c r="Z35" i="7"/>
  <c r="Y35" i="7"/>
  <c r="X35" i="7"/>
  <c r="W35" i="7"/>
  <c r="V35" i="7"/>
  <c r="U35" i="7"/>
  <c r="T35" i="7"/>
  <c r="S35" i="7"/>
  <c r="R35" i="7"/>
  <c r="Q35" i="7"/>
  <c r="P35" i="7"/>
  <c r="O35" i="7"/>
  <c r="N35" i="7"/>
  <c r="M35" i="7"/>
  <c r="L35" i="7"/>
  <c r="K35" i="7"/>
  <c r="J35" i="7"/>
  <c r="I35" i="7"/>
  <c r="H35" i="7"/>
  <c r="G35" i="7"/>
  <c r="F35" i="7"/>
  <c r="AE34" i="7"/>
  <c r="AC34" i="7"/>
  <c r="AB34" i="7"/>
  <c r="AA34" i="7"/>
  <c r="Z34" i="7"/>
  <c r="Y34" i="7"/>
  <c r="X34" i="7"/>
  <c r="W34" i="7"/>
  <c r="V34" i="7"/>
  <c r="U34" i="7"/>
  <c r="T34" i="7"/>
  <c r="S34" i="7"/>
  <c r="R34" i="7"/>
  <c r="Q34" i="7"/>
  <c r="P34" i="7"/>
  <c r="O34" i="7"/>
  <c r="N34" i="7"/>
  <c r="M34" i="7"/>
  <c r="L34" i="7"/>
  <c r="K34" i="7"/>
  <c r="J34" i="7"/>
  <c r="I34" i="7"/>
  <c r="H34" i="7"/>
  <c r="G34" i="7"/>
  <c r="F34" i="7"/>
  <c r="AE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AE32" i="7"/>
  <c r="AC32" i="7"/>
  <c r="AB32" i="7"/>
  <c r="AA32" i="7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L32" i="7"/>
  <c r="K32" i="7"/>
  <c r="J32" i="7"/>
  <c r="I32" i="7"/>
  <c r="H32" i="7"/>
  <c r="G32" i="7"/>
  <c r="F32" i="7"/>
  <c r="AE31" i="7"/>
  <c r="AC31" i="7"/>
  <c r="AB31" i="7"/>
  <c r="AA31" i="7"/>
  <c r="Z31" i="7"/>
  <c r="Y31" i="7"/>
  <c r="X31" i="7"/>
  <c r="W31" i="7"/>
  <c r="V31" i="7"/>
  <c r="U31" i="7"/>
  <c r="T31" i="7"/>
  <c r="S31" i="7"/>
  <c r="R31" i="7"/>
  <c r="Q31" i="7"/>
  <c r="P31" i="7"/>
  <c r="O31" i="7"/>
  <c r="N31" i="7"/>
  <c r="M31" i="7"/>
  <c r="L31" i="7"/>
  <c r="K31" i="7"/>
  <c r="J31" i="7"/>
  <c r="I31" i="7"/>
  <c r="H31" i="7"/>
  <c r="G31" i="7"/>
  <c r="F31" i="7"/>
  <c r="AE30" i="7"/>
  <c r="AC30" i="7"/>
  <c r="AB30" i="7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AE29" i="7"/>
  <c r="AC29" i="7"/>
  <c r="AB29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AE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AE27" i="7"/>
  <c r="AC27" i="7"/>
  <c r="AB27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AE26" i="7"/>
  <c r="AC26" i="7"/>
  <c r="AB26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AE25" i="7"/>
  <c r="AC25" i="7"/>
  <c r="AB25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AE24" i="7"/>
  <c r="AC24" i="7"/>
  <c r="AB24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AE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AE22" i="7"/>
  <c r="AC22" i="7"/>
  <c r="AB22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AE21" i="7"/>
  <c r="AC21" i="7"/>
  <c r="AB21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AE20" i="7"/>
  <c r="AC20" i="7"/>
  <c r="AB20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AE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AE18" i="7"/>
  <c r="AC18" i="7"/>
  <c r="AB18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AE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AE16" i="7"/>
  <c r="AC16" i="7"/>
  <c r="AB16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AE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AE14" i="7"/>
  <c r="AC14" i="7"/>
  <c r="AB14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AE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AE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AE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AE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AE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AE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AE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AE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AE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AE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AE3" i="7"/>
  <c r="AC3" i="7"/>
  <c r="AB3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AE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AE1" i="7"/>
  <c r="AC1" i="7"/>
  <c r="AB1" i="7"/>
  <c r="AA1" i="7"/>
  <c r="Z1" i="7"/>
  <c r="Y1" i="7"/>
  <c r="X1" i="7"/>
  <c r="W1" i="7"/>
  <c r="V1" i="7"/>
  <c r="U1" i="7"/>
  <c r="T1" i="7"/>
  <c r="S1" i="7"/>
  <c r="R1" i="7"/>
  <c r="Q1" i="7"/>
  <c r="P1" i="7"/>
  <c r="O1" i="7"/>
  <c r="N1" i="7"/>
  <c r="M1" i="7"/>
  <c r="L1" i="7"/>
  <c r="K1" i="7"/>
  <c r="J1" i="7"/>
  <c r="I1" i="7"/>
  <c r="H1" i="7"/>
  <c r="G1" i="7"/>
  <c r="F1" i="7"/>
  <c r="AE365" i="6"/>
  <c r="AC365" i="6"/>
  <c r="AB365" i="6"/>
  <c r="AA365" i="6"/>
  <c r="Z365" i="6"/>
  <c r="Y365" i="6"/>
  <c r="X365" i="6"/>
  <c r="W365" i="6"/>
  <c r="V365" i="6"/>
  <c r="U365" i="6"/>
  <c r="T365" i="6"/>
  <c r="S365" i="6"/>
  <c r="R365" i="6"/>
  <c r="Q365" i="6"/>
  <c r="P365" i="6"/>
  <c r="O365" i="6"/>
  <c r="N365" i="6"/>
  <c r="M365" i="6"/>
  <c r="L365" i="6"/>
  <c r="K365" i="6"/>
  <c r="J365" i="6"/>
  <c r="I365" i="6"/>
  <c r="H365" i="6"/>
  <c r="G365" i="6"/>
  <c r="F365" i="6"/>
  <c r="AE364" i="6"/>
  <c r="AC364" i="6"/>
  <c r="AB364" i="6"/>
  <c r="AA364" i="6"/>
  <c r="Z364" i="6"/>
  <c r="Y364" i="6"/>
  <c r="X364" i="6"/>
  <c r="W364" i="6"/>
  <c r="V364" i="6"/>
  <c r="U364" i="6"/>
  <c r="T364" i="6"/>
  <c r="S364" i="6"/>
  <c r="R364" i="6"/>
  <c r="Q364" i="6"/>
  <c r="P364" i="6"/>
  <c r="O364" i="6"/>
  <c r="N364" i="6"/>
  <c r="M364" i="6"/>
  <c r="L364" i="6"/>
  <c r="K364" i="6"/>
  <c r="J364" i="6"/>
  <c r="I364" i="6"/>
  <c r="H364" i="6"/>
  <c r="G364" i="6"/>
  <c r="F364" i="6"/>
  <c r="AE363" i="6"/>
  <c r="AC363" i="6"/>
  <c r="AB363" i="6"/>
  <c r="AA363" i="6"/>
  <c r="Z363" i="6"/>
  <c r="Y363" i="6"/>
  <c r="X363" i="6"/>
  <c r="W363" i="6"/>
  <c r="V363" i="6"/>
  <c r="U363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H363" i="6"/>
  <c r="G363" i="6"/>
  <c r="F363" i="6"/>
  <c r="AE362" i="6"/>
  <c r="AC362" i="6"/>
  <c r="AB362" i="6"/>
  <c r="AA362" i="6"/>
  <c r="Z362" i="6"/>
  <c r="Y362" i="6"/>
  <c r="X362" i="6"/>
  <c r="W362" i="6"/>
  <c r="V362" i="6"/>
  <c r="U362" i="6"/>
  <c r="T362" i="6"/>
  <c r="S362" i="6"/>
  <c r="R362" i="6"/>
  <c r="Q362" i="6"/>
  <c r="P362" i="6"/>
  <c r="O362" i="6"/>
  <c r="N362" i="6"/>
  <c r="M362" i="6"/>
  <c r="L362" i="6"/>
  <c r="K362" i="6"/>
  <c r="J362" i="6"/>
  <c r="I362" i="6"/>
  <c r="H362" i="6"/>
  <c r="G362" i="6"/>
  <c r="F362" i="6"/>
  <c r="AE361" i="6"/>
  <c r="AC361" i="6"/>
  <c r="AB361" i="6"/>
  <c r="AA361" i="6"/>
  <c r="Z361" i="6"/>
  <c r="Y361" i="6"/>
  <c r="X361" i="6"/>
  <c r="W361" i="6"/>
  <c r="V361" i="6"/>
  <c r="U361" i="6"/>
  <c r="T361" i="6"/>
  <c r="S361" i="6"/>
  <c r="R361" i="6"/>
  <c r="Q361" i="6"/>
  <c r="P361" i="6"/>
  <c r="O361" i="6"/>
  <c r="N361" i="6"/>
  <c r="M361" i="6"/>
  <c r="L361" i="6"/>
  <c r="K361" i="6"/>
  <c r="J361" i="6"/>
  <c r="I361" i="6"/>
  <c r="H361" i="6"/>
  <c r="G361" i="6"/>
  <c r="F361" i="6"/>
  <c r="AE360" i="6"/>
  <c r="AC360" i="6"/>
  <c r="AB360" i="6"/>
  <c r="AA360" i="6"/>
  <c r="Z360" i="6"/>
  <c r="Y360" i="6"/>
  <c r="X360" i="6"/>
  <c r="W360" i="6"/>
  <c r="V360" i="6"/>
  <c r="U360" i="6"/>
  <c r="T360" i="6"/>
  <c r="S360" i="6"/>
  <c r="R360" i="6"/>
  <c r="Q360" i="6"/>
  <c r="P360" i="6"/>
  <c r="O360" i="6"/>
  <c r="N360" i="6"/>
  <c r="M360" i="6"/>
  <c r="L360" i="6"/>
  <c r="K360" i="6"/>
  <c r="J360" i="6"/>
  <c r="I360" i="6"/>
  <c r="H360" i="6"/>
  <c r="G360" i="6"/>
  <c r="F360" i="6"/>
  <c r="AE359" i="6"/>
  <c r="AC359" i="6"/>
  <c r="AB359" i="6"/>
  <c r="AA359" i="6"/>
  <c r="Z359" i="6"/>
  <c r="Y359" i="6"/>
  <c r="X359" i="6"/>
  <c r="W359" i="6"/>
  <c r="V359" i="6"/>
  <c r="U359" i="6"/>
  <c r="T359" i="6"/>
  <c r="S359" i="6"/>
  <c r="R359" i="6"/>
  <c r="Q359" i="6"/>
  <c r="P359" i="6"/>
  <c r="O359" i="6"/>
  <c r="N359" i="6"/>
  <c r="M359" i="6"/>
  <c r="L359" i="6"/>
  <c r="K359" i="6"/>
  <c r="J359" i="6"/>
  <c r="I359" i="6"/>
  <c r="H359" i="6"/>
  <c r="G359" i="6"/>
  <c r="F359" i="6"/>
  <c r="AE358" i="6"/>
  <c r="AC358" i="6"/>
  <c r="AB358" i="6"/>
  <c r="AA358" i="6"/>
  <c r="Z358" i="6"/>
  <c r="Y358" i="6"/>
  <c r="X358" i="6"/>
  <c r="W358" i="6"/>
  <c r="V358" i="6"/>
  <c r="U358" i="6"/>
  <c r="T358" i="6"/>
  <c r="S358" i="6"/>
  <c r="R358" i="6"/>
  <c r="Q358" i="6"/>
  <c r="P358" i="6"/>
  <c r="O358" i="6"/>
  <c r="N358" i="6"/>
  <c r="M358" i="6"/>
  <c r="L358" i="6"/>
  <c r="K358" i="6"/>
  <c r="J358" i="6"/>
  <c r="I358" i="6"/>
  <c r="H358" i="6"/>
  <c r="G358" i="6"/>
  <c r="F358" i="6"/>
  <c r="AE357" i="6"/>
  <c r="AC357" i="6"/>
  <c r="AB357" i="6"/>
  <c r="AA357" i="6"/>
  <c r="Z357" i="6"/>
  <c r="Y357" i="6"/>
  <c r="X357" i="6"/>
  <c r="W357" i="6"/>
  <c r="V357" i="6"/>
  <c r="U357" i="6"/>
  <c r="T357" i="6"/>
  <c r="S357" i="6"/>
  <c r="R357" i="6"/>
  <c r="Q357" i="6"/>
  <c r="P357" i="6"/>
  <c r="O357" i="6"/>
  <c r="N357" i="6"/>
  <c r="M357" i="6"/>
  <c r="L357" i="6"/>
  <c r="K357" i="6"/>
  <c r="J357" i="6"/>
  <c r="I357" i="6"/>
  <c r="H357" i="6"/>
  <c r="G357" i="6"/>
  <c r="F357" i="6"/>
  <c r="AE356" i="6"/>
  <c r="AC356" i="6"/>
  <c r="AB356" i="6"/>
  <c r="AA356" i="6"/>
  <c r="Z356" i="6"/>
  <c r="Y356" i="6"/>
  <c r="X356" i="6"/>
  <c r="W356" i="6"/>
  <c r="V356" i="6"/>
  <c r="U356" i="6"/>
  <c r="T356" i="6"/>
  <c r="S356" i="6"/>
  <c r="R356" i="6"/>
  <c r="Q356" i="6"/>
  <c r="P356" i="6"/>
  <c r="O356" i="6"/>
  <c r="N356" i="6"/>
  <c r="M356" i="6"/>
  <c r="L356" i="6"/>
  <c r="K356" i="6"/>
  <c r="J356" i="6"/>
  <c r="I356" i="6"/>
  <c r="H356" i="6"/>
  <c r="G356" i="6"/>
  <c r="F356" i="6"/>
  <c r="AE355" i="6"/>
  <c r="AC355" i="6"/>
  <c r="AB355" i="6"/>
  <c r="AA355" i="6"/>
  <c r="Z355" i="6"/>
  <c r="Y355" i="6"/>
  <c r="X355" i="6"/>
  <c r="W355" i="6"/>
  <c r="V355" i="6"/>
  <c r="U355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H355" i="6"/>
  <c r="G355" i="6"/>
  <c r="F355" i="6"/>
  <c r="AE354" i="6"/>
  <c r="AC354" i="6"/>
  <c r="AB354" i="6"/>
  <c r="AA354" i="6"/>
  <c r="Z354" i="6"/>
  <c r="Y354" i="6"/>
  <c r="X354" i="6"/>
  <c r="W354" i="6"/>
  <c r="V354" i="6"/>
  <c r="U354" i="6"/>
  <c r="T354" i="6"/>
  <c r="S354" i="6"/>
  <c r="R354" i="6"/>
  <c r="Q354" i="6"/>
  <c r="P354" i="6"/>
  <c r="O354" i="6"/>
  <c r="N354" i="6"/>
  <c r="M354" i="6"/>
  <c r="L354" i="6"/>
  <c r="K354" i="6"/>
  <c r="J354" i="6"/>
  <c r="I354" i="6"/>
  <c r="H354" i="6"/>
  <c r="G354" i="6"/>
  <c r="F354" i="6"/>
  <c r="AE353" i="6"/>
  <c r="AC353" i="6"/>
  <c r="AB353" i="6"/>
  <c r="AA353" i="6"/>
  <c r="Z353" i="6"/>
  <c r="Y353" i="6"/>
  <c r="X353" i="6"/>
  <c r="W353" i="6"/>
  <c r="V353" i="6"/>
  <c r="U353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H353" i="6"/>
  <c r="G353" i="6"/>
  <c r="F353" i="6"/>
  <c r="AE352" i="6"/>
  <c r="AC352" i="6"/>
  <c r="AB352" i="6"/>
  <c r="AA352" i="6"/>
  <c r="Z352" i="6"/>
  <c r="Y352" i="6"/>
  <c r="X352" i="6"/>
  <c r="W352" i="6"/>
  <c r="V352" i="6"/>
  <c r="U352" i="6"/>
  <c r="T352" i="6"/>
  <c r="S352" i="6"/>
  <c r="R352" i="6"/>
  <c r="Q352" i="6"/>
  <c r="P352" i="6"/>
  <c r="O352" i="6"/>
  <c r="N352" i="6"/>
  <c r="M352" i="6"/>
  <c r="L352" i="6"/>
  <c r="K352" i="6"/>
  <c r="J352" i="6"/>
  <c r="I352" i="6"/>
  <c r="H352" i="6"/>
  <c r="G352" i="6"/>
  <c r="F352" i="6"/>
  <c r="AE351" i="6"/>
  <c r="AC351" i="6"/>
  <c r="AB351" i="6"/>
  <c r="AA351" i="6"/>
  <c r="Z351" i="6"/>
  <c r="Y351" i="6"/>
  <c r="X351" i="6"/>
  <c r="W351" i="6"/>
  <c r="V351" i="6"/>
  <c r="U351" i="6"/>
  <c r="T351" i="6"/>
  <c r="S351" i="6"/>
  <c r="R351" i="6"/>
  <c r="Q351" i="6"/>
  <c r="P351" i="6"/>
  <c r="O351" i="6"/>
  <c r="N351" i="6"/>
  <c r="M351" i="6"/>
  <c r="L351" i="6"/>
  <c r="K351" i="6"/>
  <c r="J351" i="6"/>
  <c r="I351" i="6"/>
  <c r="H351" i="6"/>
  <c r="G351" i="6"/>
  <c r="F351" i="6"/>
  <c r="AE350" i="6"/>
  <c r="AC350" i="6"/>
  <c r="AB350" i="6"/>
  <c r="AA350" i="6"/>
  <c r="Z350" i="6"/>
  <c r="Y350" i="6"/>
  <c r="X350" i="6"/>
  <c r="W350" i="6"/>
  <c r="V350" i="6"/>
  <c r="U350" i="6"/>
  <c r="T350" i="6"/>
  <c r="S350" i="6"/>
  <c r="R350" i="6"/>
  <c r="Q350" i="6"/>
  <c r="P350" i="6"/>
  <c r="O350" i="6"/>
  <c r="N350" i="6"/>
  <c r="M350" i="6"/>
  <c r="L350" i="6"/>
  <c r="K350" i="6"/>
  <c r="J350" i="6"/>
  <c r="I350" i="6"/>
  <c r="H350" i="6"/>
  <c r="G350" i="6"/>
  <c r="F350" i="6"/>
  <c r="AE349" i="6"/>
  <c r="AC349" i="6"/>
  <c r="AB349" i="6"/>
  <c r="AA349" i="6"/>
  <c r="Z349" i="6"/>
  <c r="Y349" i="6"/>
  <c r="X349" i="6"/>
  <c r="W349" i="6"/>
  <c r="V349" i="6"/>
  <c r="U349" i="6"/>
  <c r="T349" i="6"/>
  <c r="S349" i="6"/>
  <c r="R349" i="6"/>
  <c r="Q349" i="6"/>
  <c r="P349" i="6"/>
  <c r="O349" i="6"/>
  <c r="N349" i="6"/>
  <c r="M349" i="6"/>
  <c r="L349" i="6"/>
  <c r="K349" i="6"/>
  <c r="J349" i="6"/>
  <c r="I349" i="6"/>
  <c r="H349" i="6"/>
  <c r="G349" i="6"/>
  <c r="F349" i="6"/>
  <c r="AE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H348" i="6"/>
  <c r="G348" i="6"/>
  <c r="F348" i="6"/>
  <c r="AE347" i="6"/>
  <c r="AC347" i="6"/>
  <c r="AB347" i="6"/>
  <c r="AA347" i="6"/>
  <c r="Z347" i="6"/>
  <c r="Y347" i="6"/>
  <c r="X347" i="6"/>
  <c r="W347" i="6"/>
  <c r="V347" i="6"/>
  <c r="U347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H347" i="6"/>
  <c r="G347" i="6"/>
  <c r="F347" i="6"/>
  <c r="AE346" i="6"/>
  <c r="AC346" i="6"/>
  <c r="AB346" i="6"/>
  <c r="AA346" i="6"/>
  <c r="Z346" i="6"/>
  <c r="Y346" i="6"/>
  <c r="X346" i="6"/>
  <c r="W346" i="6"/>
  <c r="V346" i="6"/>
  <c r="U346" i="6"/>
  <c r="T346" i="6"/>
  <c r="S346" i="6"/>
  <c r="R346" i="6"/>
  <c r="Q346" i="6"/>
  <c r="P346" i="6"/>
  <c r="O346" i="6"/>
  <c r="N346" i="6"/>
  <c r="M346" i="6"/>
  <c r="L346" i="6"/>
  <c r="K346" i="6"/>
  <c r="J346" i="6"/>
  <c r="I346" i="6"/>
  <c r="H346" i="6"/>
  <c r="G346" i="6"/>
  <c r="F346" i="6"/>
  <c r="AE345" i="6"/>
  <c r="AC345" i="6"/>
  <c r="AB345" i="6"/>
  <c r="AA345" i="6"/>
  <c r="Z345" i="6"/>
  <c r="Y345" i="6"/>
  <c r="X345" i="6"/>
  <c r="W345" i="6"/>
  <c r="V345" i="6"/>
  <c r="U345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H345" i="6"/>
  <c r="G345" i="6"/>
  <c r="F345" i="6"/>
  <c r="AE344" i="6"/>
  <c r="AC344" i="6"/>
  <c r="AB344" i="6"/>
  <c r="AA344" i="6"/>
  <c r="Z344" i="6"/>
  <c r="Y344" i="6"/>
  <c r="X344" i="6"/>
  <c r="W344" i="6"/>
  <c r="V344" i="6"/>
  <c r="U344" i="6"/>
  <c r="T344" i="6"/>
  <c r="S344" i="6"/>
  <c r="R344" i="6"/>
  <c r="Q344" i="6"/>
  <c r="P344" i="6"/>
  <c r="O344" i="6"/>
  <c r="N344" i="6"/>
  <c r="M344" i="6"/>
  <c r="L344" i="6"/>
  <c r="K344" i="6"/>
  <c r="J344" i="6"/>
  <c r="I344" i="6"/>
  <c r="H344" i="6"/>
  <c r="G344" i="6"/>
  <c r="F344" i="6"/>
  <c r="AE343" i="6"/>
  <c r="AC343" i="6"/>
  <c r="AB343" i="6"/>
  <c r="AA343" i="6"/>
  <c r="Z343" i="6"/>
  <c r="Y343" i="6"/>
  <c r="X343" i="6"/>
  <c r="W343" i="6"/>
  <c r="V343" i="6"/>
  <c r="U343" i="6"/>
  <c r="T343" i="6"/>
  <c r="S343" i="6"/>
  <c r="R343" i="6"/>
  <c r="Q343" i="6"/>
  <c r="P343" i="6"/>
  <c r="O343" i="6"/>
  <c r="N343" i="6"/>
  <c r="M343" i="6"/>
  <c r="L343" i="6"/>
  <c r="K343" i="6"/>
  <c r="J343" i="6"/>
  <c r="I343" i="6"/>
  <c r="H343" i="6"/>
  <c r="G343" i="6"/>
  <c r="F343" i="6"/>
  <c r="AE342" i="6"/>
  <c r="AC342" i="6"/>
  <c r="AB342" i="6"/>
  <c r="AA342" i="6"/>
  <c r="Z342" i="6"/>
  <c r="Y342" i="6"/>
  <c r="X342" i="6"/>
  <c r="W342" i="6"/>
  <c r="V342" i="6"/>
  <c r="U342" i="6"/>
  <c r="T342" i="6"/>
  <c r="S342" i="6"/>
  <c r="R342" i="6"/>
  <c r="Q342" i="6"/>
  <c r="P342" i="6"/>
  <c r="O342" i="6"/>
  <c r="N342" i="6"/>
  <c r="M342" i="6"/>
  <c r="L342" i="6"/>
  <c r="K342" i="6"/>
  <c r="J342" i="6"/>
  <c r="I342" i="6"/>
  <c r="H342" i="6"/>
  <c r="G342" i="6"/>
  <c r="F342" i="6"/>
  <c r="AE341" i="6"/>
  <c r="AC341" i="6"/>
  <c r="AB341" i="6"/>
  <c r="AA341" i="6"/>
  <c r="Z341" i="6"/>
  <c r="Y341" i="6"/>
  <c r="X341" i="6"/>
  <c r="W341" i="6"/>
  <c r="V341" i="6"/>
  <c r="U341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H341" i="6"/>
  <c r="G341" i="6"/>
  <c r="F341" i="6"/>
  <c r="AE340" i="6"/>
  <c r="AC340" i="6"/>
  <c r="AB340" i="6"/>
  <c r="AA340" i="6"/>
  <c r="Z340" i="6"/>
  <c r="Y340" i="6"/>
  <c r="X340" i="6"/>
  <c r="W340" i="6"/>
  <c r="V340" i="6"/>
  <c r="U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H340" i="6"/>
  <c r="G340" i="6"/>
  <c r="F340" i="6"/>
  <c r="AE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H339" i="6"/>
  <c r="G339" i="6"/>
  <c r="F339" i="6"/>
  <c r="AE338" i="6"/>
  <c r="AC338" i="6"/>
  <c r="AB338" i="6"/>
  <c r="AA338" i="6"/>
  <c r="Z338" i="6"/>
  <c r="Y338" i="6"/>
  <c r="X338" i="6"/>
  <c r="W338" i="6"/>
  <c r="V338" i="6"/>
  <c r="U338" i="6"/>
  <c r="T338" i="6"/>
  <c r="S338" i="6"/>
  <c r="R338" i="6"/>
  <c r="Q338" i="6"/>
  <c r="P338" i="6"/>
  <c r="O338" i="6"/>
  <c r="N338" i="6"/>
  <c r="M338" i="6"/>
  <c r="L338" i="6"/>
  <c r="K338" i="6"/>
  <c r="J338" i="6"/>
  <c r="I338" i="6"/>
  <c r="H338" i="6"/>
  <c r="G338" i="6"/>
  <c r="F338" i="6"/>
  <c r="AE337" i="6"/>
  <c r="AC337" i="6"/>
  <c r="AB337" i="6"/>
  <c r="AA337" i="6"/>
  <c r="Z337" i="6"/>
  <c r="Y337" i="6"/>
  <c r="X337" i="6"/>
  <c r="W337" i="6"/>
  <c r="V337" i="6"/>
  <c r="U337" i="6"/>
  <c r="T337" i="6"/>
  <c r="S337" i="6"/>
  <c r="R337" i="6"/>
  <c r="Q337" i="6"/>
  <c r="P337" i="6"/>
  <c r="O337" i="6"/>
  <c r="N337" i="6"/>
  <c r="M337" i="6"/>
  <c r="L337" i="6"/>
  <c r="K337" i="6"/>
  <c r="J337" i="6"/>
  <c r="I337" i="6"/>
  <c r="H337" i="6"/>
  <c r="G337" i="6"/>
  <c r="F337" i="6"/>
  <c r="AE336" i="6"/>
  <c r="AC336" i="6"/>
  <c r="AB336" i="6"/>
  <c r="AA336" i="6"/>
  <c r="Z336" i="6"/>
  <c r="Y336" i="6"/>
  <c r="X336" i="6"/>
  <c r="W336" i="6"/>
  <c r="V336" i="6"/>
  <c r="U336" i="6"/>
  <c r="T336" i="6"/>
  <c r="S336" i="6"/>
  <c r="R336" i="6"/>
  <c r="Q336" i="6"/>
  <c r="P336" i="6"/>
  <c r="O336" i="6"/>
  <c r="N336" i="6"/>
  <c r="M336" i="6"/>
  <c r="L336" i="6"/>
  <c r="K336" i="6"/>
  <c r="J336" i="6"/>
  <c r="I336" i="6"/>
  <c r="H336" i="6"/>
  <c r="G336" i="6"/>
  <c r="F336" i="6"/>
  <c r="AE335" i="6"/>
  <c r="AC335" i="6"/>
  <c r="AB335" i="6"/>
  <c r="AA335" i="6"/>
  <c r="Z335" i="6"/>
  <c r="Y335" i="6"/>
  <c r="X335" i="6"/>
  <c r="W335" i="6"/>
  <c r="V335" i="6"/>
  <c r="U335" i="6"/>
  <c r="T335" i="6"/>
  <c r="S335" i="6"/>
  <c r="R335" i="6"/>
  <c r="Q335" i="6"/>
  <c r="P335" i="6"/>
  <c r="O335" i="6"/>
  <c r="N335" i="6"/>
  <c r="M335" i="6"/>
  <c r="L335" i="6"/>
  <c r="K335" i="6"/>
  <c r="J335" i="6"/>
  <c r="I335" i="6"/>
  <c r="H335" i="6"/>
  <c r="G335" i="6"/>
  <c r="F335" i="6"/>
  <c r="AE334" i="6"/>
  <c r="AC334" i="6"/>
  <c r="AB334" i="6"/>
  <c r="AA334" i="6"/>
  <c r="Z334" i="6"/>
  <c r="Y334" i="6"/>
  <c r="X334" i="6"/>
  <c r="W334" i="6"/>
  <c r="V334" i="6"/>
  <c r="U334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H334" i="6"/>
  <c r="G334" i="6"/>
  <c r="F334" i="6"/>
  <c r="AE333" i="6"/>
  <c r="AC333" i="6"/>
  <c r="AB333" i="6"/>
  <c r="AA333" i="6"/>
  <c r="Z333" i="6"/>
  <c r="Y333" i="6"/>
  <c r="X333" i="6"/>
  <c r="W333" i="6"/>
  <c r="V333" i="6"/>
  <c r="U333" i="6"/>
  <c r="T333" i="6"/>
  <c r="S333" i="6"/>
  <c r="R333" i="6"/>
  <c r="Q333" i="6"/>
  <c r="P333" i="6"/>
  <c r="O333" i="6"/>
  <c r="N333" i="6"/>
  <c r="M333" i="6"/>
  <c r="L333" i="6"/>
  <c r="K333" i="6"/>
  <c r="J333" i="6"/>
  <c r="I333" i="6"/>
  <c r="H333" i="6"/>
  <c r="G333" i="6"/>
  <c r="F333" i="6"/>
  <c r="AE332" i="6"/>
  <c r="AC332" i="6"/>
  <c r="AB332" i="6"/>
  <c r="AA332" i="6"/>
  <c r="Z332" i="6"/>
  <c r="Y332" i="6"/>
  <c r="X332" i="6"/>
  <c r="W332" i="6"/>
  <c r="V332" i="6"/>
  <c r="U332" i="6"/>
  <c r="T332" i="6"/>
  <c r="S332" i="6"/>
  <c r="R332" i="6"/>
  <c r="Q332" i="6"/>
  <c r="P332" i="6"/>
  <c r="O332" i="6"/>
  <c r="N332" i="6"/>
  <c r="M332" i="6"/>
  <c r="L332" i="6"/>
  <c r="K332" i="6"/>
  <c r="J332" i="6"/>
  <c r="I332" i="6"/>
  <c r="H332" i="6"/>
  <c r="G332" i="6"/>
  <c r="F332" i="6"/>
  <c r="AE331" i="6"/>
  <c r="AC331" i="6"/>
  <c r="AB331" i="6"/>
  <c r="AA331" i="6"/>
  <c r="Z331" i="6"/>
  <c r="Y331" i="6"/>
  <c r="X331" i="6"/>
  <c r="W331" i="6"/>
  <c r="V331" i="6"/>
  <c r="U331" i="6"/>
  <c r="T331" i="6"/>
  <c r="S331" i="6"/>
  <c r="R331" i="6"/>
  <c r="Q331" i="6"/>
  <c r="P331" i="6"/>
  <c r="O331" i="6"/>
  <c r="N331" i="6"/>
  <c r="M331" i="6"/>
  <c r="L331" i="6"/>
  <c r="K331" i="6"/>
  <c r="J331" i="6"/>
  <c r="I331" i="6"/>
  <c r="H331" i="6"/>
  <c r="G331" i="6"/>
  <c r="F331" i="6"/>
  <c r="AE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H330" i="6"/>
  <c r="G330" i="6"/>
  <c r="F330" i="6"/>
  <c r="AE329" i="6"/>
  <c r="AC329" i="6"/>
  <c r="AB329" i="6"/>
  <c r="AA329" i="6"/>
  <c r="Z329" i="6"/>
  <c r="Y329" i="6"/>
  <c r="X329" i="6"/>
  <c r="W329" i="6"/>
  <c r="V329" i="6"/>
  <c r="U329" i="6"/>
  <c r="T329" i="6"/>
  <c r="S329" i="6"/>
  <c r="R329" i="6"/>
  <c r="Q329" i="6"/>
  <c r="P329" i="6"/>
  <c r="O329" i="6"/>
  <c r="N329" i="6"/>
  <c r="M329" i="6"/>
  <c r="L329" i="6"/>
  <c r="K329" i="6"/>
  <c r="J329" i="6"/>
  <c r="I329" i="6"/>
  <c r="H329" i="6"/>
  <c r="G329" i="6"/>
  <c r="F329" i="6"/>
  <c r="AE328" i="6"/>
  <c r="AC328" i="6"/>
  <c r="AB328" i="6"/>
  <c r="AA328" i="6"/>
  <c r="Z328" i="6"/>
  <c r="Y328" i="6"/>
  <c r="X328" i="6"/>
  <c r="W328" i="6"/>
  <c r="V328" i="6"/>
  <c r="U328" i="6"/>
  <c r="T328" i="6"/>
  <c r="S328" i="6"/>
  <c r="R328" i="6"/>
  <c r="Q328" i="6"/>
  <c r="P328" i="6"/>
  <c r="O328" i="6"/>
  <c r="N328" i="6"/>
  <c r="M328" i="6"/>
  <c r="L328" i="6"/>
  <c r="K328" i="6"/>
  <c r="J328" i="6"/>
  <c r="I328" i="6"/>
  <c r="H328" i="6"/>
  <c r="G328" i="6"/>
  <c r="F328" i="6"/>
  <c r="AE327" i="6"/>
  <c r="AC327" i="6"/>
  <c r="AB327" i="6"/>
  <c r="AA327" i="6"/>
  <c r="Z327" i="6"/>
  <c r="Y327" i="6"/>
  <c r="X327" i="6"/>
  <c r="W327" i="6"/>
  <c r="V327" i="6"/>
  <c r="U327" i="6"/>
  <c r="T327" i="6"/>
  <c r="S327" i="6"/>
  <c r="R327" i="6"/>
  <c r="Q327" i="6"/>
  <c r="P327" i="6"/>
  <c r="O327" i="6"/>
  <c r="N327" i="6"/>
  <c r="M327" i="6"/>
  <c r="L327" i="6"/>
  <c r="K327" i="6"/>
  <c r="J327" i="6"/>
  <c r="I327" i="6"/>
  <c r="H327" i="6"/>
  <c r="G327" i="6"/>
  <c r="F327" i="6"/>
  <c r="AE326" i="6"/>
  <c r="AC326" i="6"/>
  <c r="AB326" i="6"/>
  <c r="AA326" i="6"/>
  <c r="Z326" i="6"/>
  <c r="Y326" i="6"/>
  <c r="X326" i="6"/>
  <c r="W326" i="6"/>
  <c r="V326" i="6"/>
  <c r="U326" i="6"/>
  <c r="T326" i="6"/>
  <c r="S326" i="6"/>
  <c r="R326" i="6"/>
  <c r="Q326" i="6"/>
  <c r="P326" i="6"/>
  <c r="O326" i="6"/>
  <c r="N326" i="6"/>
  <c r="M326" i="6"/>
  <c r="L326" i="6"/>
  <c r="K326" i="6"/>
  <c r="J326" i="6"/>
  <c r="I326" i="6"/>
  <c r="H326" i="6"/>
  <c r="G326" i="6"/>
  <c r="F326" i="6"/>
  <c r="AE325" i="6"/>
  <c r="AC325" i="6"/>
  <c r="AB325" i="6"/>
  <c r="AA325" i="6"/>
  <c r="Z325" i="6"/>
  <c r="Y325" i="6"/>
  <c r="X325" i="6"/>
  <c r="W325" i="6"/>
  <c r="V325" i="6"/>
  <c r="U325" i="6"/>
  <c r="T325" i="6"/>
  <c r="S325" i="6"/>
  <c r="R325" i="6"/>
  <c r="Q325" i="6"/>
  <c r="P325" i="6"/>
  <c r="O325" i="6"/>
  <c r="N325" i="6"/>
  <c r="M325" i="6"/>
  <c r="L325" i="6"/>
  <c r="K325" i="6"/>
  <c r="J325" i="6"/>
  <c r="I325" i="6"/>
  <c r="H325" i="6"/>
  <c r="G325" i="6"/>
  <c r="F325" i="6"/>
  <c r="AE324" i="6"/>
  <c r="AC324" i="6"/>
  <c r="AB324" i="6"/>
  <c r="AA324" i="6"/>
  <c r="Z324" i="6"/>
  <c r="Y324" i="6"/>
  <c r="X324" i="6"/>
  <c r="W324" i="6"/>
  <c r="V324" i="6"/>
  <c r="U324" i="6"/>
  <c r="T324" i="6"/>
  <c r="S324" i="6"/>
  <c r="R324" i="6"/>
  <c r="Q324" i="6"/>
  <c r="P324" i="6"/>
  <c r="O324" i="6"/>
  <c r="N324" i="6"/>
  <c r="M324" i="6"/>
  <c r="L324" i="6"/>
  <c r="K324" i="6"/>
  <c r="J324" i="6"/>
  <c r="I324" i="6"/>
  <c r="H324" i="6"/>
  <c r="G324" i="6"/>
  <c r="F324" i="6"/>
  <c r="AE323" i="6"/>
  <c r="AC323" i="6"/>
  <c r="AB323" i="6"/>
  <c r="AA323" i="6"/>
  <c r="Z323" i="6"/>
  <c r="Y323" i="6"/>
  <c r="X323" i="6"/>
  <c r="W323" i="6"/>
  <c r="V323" i="6"/>
  <c r="U323" i="6"/>
  <c r="T323" i="6"/>
  <c r="S323" i="6"/>
  <c r="R323" i="6"/>
  <c r="Q323" i="6"/>
  <c r="P323" i="6"/>
  <c r="O323" i="6"/>
  <c r="N323" i="6"/>
  <c r="M323" i="6"/>
  <c r="L323" i="6"/>
  <c r="K323" i="6"/>
  <c r="J323" i="6"/>
  <c r="I323" i="6"/>
  <c r="H323" i="6"/>
  <c r="G323" i="6"/>
  <c r="F323" i="6"/>
  <c r="AE322" i="6"/>
  <c r="AC322" i="6"/>
  <c r="AB322" i="6"/>
  <c r="AA322" i="6"/>
  <c r="Z322" i="6"/>
  <c r="Y322" i="6"/>
  <c r="X322" i="6"/>
  <c r="W322" i="6"/>
  <c r="V322" i="6"/>
  <c r="U322" i="6"/>
  <c r="T322" i="6"/>
  <c r="S322" i="6"/>
  <c r="R322" i="6"/>
  <c r="Q322" i="6"/>
  <c r="P322" i="6"/>
  <c r="O322" i="6"/>
  <c r="N322" i="6"/>
  <c r="M322" i="6"/>
  <c r="L322" i="6"/>
  <c r="K322" i="6"/>
  <c r="J322" i="6"/>
  <c r="I322" i="6"/>
  <c r="H322" i="6"/>
  <c r="G322" i="6"/>
  <c r="F322" i="6"/>
  <c r="AE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H321" i="6"/>
  <c r="G321" i="6"/>
  <c r="F321" i="6"/>
  <c r="AE320" i="6"/>
  <c r="AC320" i="6"/>
  <c r="AB320" i="6"/>
  <c r="AA320" i="6"/>
  <c r="Z320" i="6"/>
  <c r="Y320" i="6"/>
  <c r="X320" i="6"/>
  <c r="W320" i="6"/>
  <c r="V320" i="6"/>
  <c r="U320" i="6"/>
  <c r="T320" i="6"/>
  <c r="S320" i="6"/>
  <c r="R320" i="6"/>
  <c r="Q320" i="6"/>
  <c r="P320" i="6"/>
  <c r="O320" i="6"/>
  <c r="N320" i="6"/>
  <c r="M320" i="6"/>
  <c r="L320" i="6"/>
  <c r="K320" i="6"/>
  <c r="J320" i="6"/>
  <c r="I320" i="6"/>
  <c r="H320" i="6"/>
  <c r="G320" i="6"/>
  <c r="F320" i="6"/>
  <c r="AE319" i="6"/>
  <c r="AC319" i="6"/>
  <c r="AB319" i="6"/>
  <c r="AA319" i="6"/>
  <c r="Z319" i="6"/>
  <c r="Y319" i="6"/>
  <c r="X319" i="6"/>
  <c r="W319" i="6"/>
  <c r="V319" i="6"/>
  <c r="U319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H319" i="6"/>
  <c r="G319" i="6"/>
  <c r="F319" i="6"/>
  <c r="AE318" i="6"/>
  <c r="AC318" i="6"/>
  <c r="AB318" i="6"/>
  <c r="AA318" i="6"/>
  <c r="Z318" i="6"/>
  <c r="Y318" i="6"/>
  <c r="X318" i="6"/>
  <c r="W318" i="6"/>
  <c r="V318" i="6"/>
  <c r="U318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H318" i="6"/>
  <c r="G318" i="6"/>
  <c r="F318" i="6"/>
  <c r="AE317" i="6"/>
  <c r="AC317" i="6"/>
  <c r="AB317" i="6"/>
  <c r="AA317" i="6"/>
  <c r="Z317" i="6"/>
  <c r="Y317" i="6"/>
  <c r="X317" i="6"/>
  <c r="W317" i="6"/>
  <c r="V317" i="6"/>
  <c r="U317" i="6"/>
  <c r="T317" i="6"/>
  <c r="S317" i="6"/>
  <c r="R317" i="6"/>
  <c r="Q317" i="6"/>
  <c r="P317" i="6"/>
  <c r="O317" i="6"/>
  <c r="N317" i="6"/>
  <c r="M317" i="6"/>
  <c r="L317" i="6"/>
  <c r="K317" i="6"/>
  <c r="J317" i="6"/>
  <c r="I317" i="6"/>
  <c r="H317" i="6"/>
  <c r="G317" i="6"/>
  <c r="F317" i="6"/>
  <c r="AE316" i="6"/>
  <c r="AC316" i="6"/>
  <c r="AB316" i="6"/>
  <c r="AA316" i="6"/>
  <c r="Z316" i="6"/>
  <c r="Y316" i="6"/>
  <c r="X316" i="6"/>
  <c r="W316" i="6"/>
  <c r="V316" i="6"/>
  <c r="U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H316" i="6"/>
  <c r="G316" i="6"/>
  <c r="F316" i="6"/>
  <c r="AE315" i="6"/>
  <c r="AC315" i="6"/>
  <c r="AB315" i="6"/>
  <c r="AA315" i="6"/>
  <c r="Z315" i="6"/>
  <c r="Y315" i="6"/>
  <c r="X315" i="6"/>
  <c r="W315" i="6"/>
  <c r="V315" i="6"/>
  <c r="U315" i="6"/>
  <c r="T315" i="6"/>
  <c r="S315" i="6"/>
  <c r="R315" i="6"/>
  <c r="Q315" i="6"/>
  <c r="P315" i="6"/>
  <c r="O315" i="6"/>
  <c r="N315" i="6"/>
  <c r="M315" i="6"/>
  <c r="L315" i="6"/>
  <c r="K315" i="6"/>
  <c r="J315" i="6"/>
  <c r="I315" i="6"/>
  <c r="H315" i="6"/>
  <c r="G315" i="6"/>
  <c r="F315" i="6"/>
  <c r="AE314" i="6"/>
  <c r="AC314" i="6"/>
  <c r="AB314" i="6"/>
  <c r="AA314" i="6"/>
  <c r="Z314" i="6"/>
  <c r="Y314" i="6"/>
  <c r="X314" i="6"/>
  <c r="W314" i="6"/>
  <c r="V314" i="6"/>
  <c r="U314" i="6"/>
  <c r="T314" i="6"/>
  <c r="S314" i="6"/>
  <c r="R314" i="6"/>
  <c r="Q314" i="6"/>
  <c r="P314" i="6"/>
  <c r="O314" i="6"/>
  <c r="N314" i="6"/>
  <c r="M314" i="6"/>
  <c r="L314" i="6"/>
  <c r="K314" i="6"/>
  <c r="J314" i="6"/>
  <c r="I314" i="6"/>
  <c r="H314" i="6"/>
  <c r="G314" i="6"/>
  <c r="F314" i="6"/>
  <c r="AE313" i="6"/>
  <c r="AC313" i="6"/>
  <c r="AB313" i="6"/>
  <c r="AA313" i="6"/>
  <c r="Z313" i="6"/>
  <c r="Y313" i="6"/>
  <c r="X313" i="6"/>
  <c r="W313" i="6"/>
  <c r="V313" i="6"/>
  <c r="U313" i="6"/>
  <c r="T313" i="6"/>
  <c r="S313" i="6"/>
  <c r="R313" i="6"/>
  <c r="Q313" i="6"/>
  <c r="P313" i="6"/>
  <c r="O313" i="6"/>
  <c r="N313" i="6"/>
  <c r="M313" i="6"/>
  <c r="L313" i="6"/>
  <c r="K313" i="6"/>
  <c r="J313" i="6"/>
  <c r="I313" i="6"/>
  <c r="H313" i="6"/>
  <c r="G313" i="6"/>
  <c r="F313" i="6"/>
  <c r="AE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H312" i="6"/>
  <c r="G312" i="6"/>
  <c r="F312" i="6"/>
  <c r="AE311" i="6"/>
  <c r="AC311" i="6"/>
  <c r="AB311" i="6"/>
  <c r="AA311" i="6"/>
  <c r="Z311" i="6"/>
  <c r="Y311" i="6"/>
  <c r="X311" i="6"/>
  <c r="W311" i="6"/>
  <c r="V311" i="6"/>
  <c r="U311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H311" i="6"/>
  <c r="G311" i="6"/>
  <c r="F311" i="6"/>
  <c r="AE310" i="6"/>
  <c r="AC310" i="6"/>
  <c r="AB310" i="6"/>
  <c r="AA310" i="6"/>
  <c r="Z310" i="6"/>
  <c r="Y310" i="6"/>
  <c r="X310" i="6"/>
  <c r="W310" i="6"/>
  <c r="V310" i="6"/>
  <c r="U310" i="6"/>
  <c r="T310" i="6"/>
  <c r="S310" i="6"/>
  <c r="R310" i="6"/>
  <c r="Q310" i="6"/>
  <c r="P310" i="6"/>
  <c r="O310" i="6"/>
  <c r="N310" i="6"/>
  <c r="M310" i="6"/>
  <c r="L310" i="6"/>
  <c r="K310" i="6"/>
  <c r="J310" i="6"/>
  <c r="I310" i="6"/>
  <c r="H310" i="6"/>
  <c r="G310" i="6"/>
  <c r="F310" i="6"/>
  <c r="AE309" i="6"/>
  <c r="AC309" i="6"/>
  <c r="AB309" i="6"/>
  <c r="AA309" i="6"/>
  <c r="Z309" i="6"/>
  <c r="Y309" i="6"/>
  <c r="X309" i="6"/>
  <c r="W309" i="6"/>
  <c r="V309" i="6"/>
  <c r="U309" i="6"/>
  <c r="T309" i="6"/>
  <c r="S309" i="6"/>
  <c r="R309" i="6"/>
  <c r="Q309" i="6"/>
  <c r="P309" i="6"/>
  <c r="O309" i="6"/>
  <c r="N309" i="6"/>
  <c r="M309" i="6"/>
  <c r="L309" i="6"/>
  <c r="K309" i="6"/>
  <c r="J309" i="6"/>
  <c r="I309" i="6"/>
  <c r="H309" i="6"/>
  <c r="G309" i="6"/>
  <c r="F309" i="6"/>
  <c r="AE308" i="6"/>
  <c r="AC308" i="6"/>
  <c r="AB308" i="6"/>
  <c r="AA308" i="6"/>
  <c r="Z308" i="6"/>
  <c r="Y308" i="6"/>
  <c r="X308" i="6"/>
  <c r="W308" i="6"/>
  <c r="V308" i="6"/>
  <c r="U308" i="6"/>
  <c r="T308" i="6"/>
  <c r="S308" i="6"/>
  <c r="R308" i="6"/>
  <c r="Q308" i="6"/>
  <c r="P308" i="6"/>
  <c r="O308" i="6"/>
  <c r="N308" i="6"/>
  <c r="M308" i="6"/>
  <c r="L308" i="6"/>
  <c r="K308" i="6"/>
  <c r="J308" i="6"/>
  <c r="I308" i="6"/>
  <c r="H308" i="6"/>
  <c r="G308" i="6"/>
  <c r="F308" i="6"/>
  <c r="AE307" i="6"/>
  <c r="AC307" i="6"/>
  <c r="AB307" i="6"/>
  <c r="AA307" i="6"/>
  <c r="Z307" i="6"/>
  <c r="Y307" i="6"/>
  <c r="X307" i="6"/>
  <c r="W307" i="6"/>
  <c r="V307" i="6"/>
  <c r="U307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H307" i="6"/>
  <c r="G307" i="6"/>
  <c r="F307" i="6"/>
  <c r="AE306" i="6"/>
  <c r="AC306" i="6"/>
  <c r="AB306" i="6"/>
  <c r="AA306" i="6"/>
  <c r="Z306" i="6"/>
  <c r="Y306" i="6"/>
  <c r="X306" i="6"/>
  <c r="W306" i="6"/>
  <c r="V306" i="6"/>
  <c r="U306" i="6"/>
  <c r="T306" i="6"/>
  <c r="S306" i="6"/>
  <c r="R306" i="6"/>
  <c r="Q306" i="6"/>
  <c r="P306" i="6"/>
  <c r="O306" i="6"/>
  <c r="N306" i="6"/>
  <c r="M306" i="6"/>
  <c r="L306" i="6"/>
  <c r="K306" i="6"/>
  <c r="J306" i="6"/>
  <c r="I306" i="6"/>
  <c r="H306" i="6"/>
  <c r="G306" i="6"/>
  <c r="F306" i="6"/>
  <c r="AE305" i="6"/>
  <c r="AC305" i="6"/>
  <c r="AB305" i="6"/>
  <c r="AA305" i="6"/>
  <c r="Z305" i="6"/>
  <c r="Y305" i="6"/>
  <c r="X305" i="6"/>
  <c r="W305" i="6"/>
  <c r="V305" i="6"/>
  <c r="U305" i="6"/>
  <c r="T305" i="6"/>
  <c r="S305" i="6"/>
  <c r="R305" i="6"/>
  <c r="Q305" i="6"/>
  <c r="P305" i="6"/>
  <c r="O305" i="6"/>
  <c r="N305" i="6"/>
  <c r="M305" i="6"/>
  <c r="L305" i="6"/>
  <c r="K305" i="6"/>
  <c r="J305" i="6"/>
  <c r="I305" i="6"/>
  <c r="H305" i="6"/>
  <c r="G305" i="6"/>
  <c r="F305" i="6"/>
  <c r="AE304" i="6"/>
  <c r="AC304" i="6"/>
  <c r="AB304" i="6"/>
  <c r="AA304" i="6"/>
  <c r="Z304" i="6"/>
  <c r="Y304" i="6"/>
  <c r="X304" i="6"/>
  <c r="W304" i="6"/>
  <c r="V304" i="6"/>
  <c r="U304" i="6"/>
  <c r="T304" i="6"/>
  <c r="S304" i="6"/>
  <c r="R304" i="6"/>
  <c r="Q304" i="6"/>
  <c r="P304" i="6"/>
  <c r="O304" i="6"/>
  <c r="N304" i="6"/>
  <c r="M304" i="6"/>
  <c r="L304" i="6"/>
  <c r="K304" i="6"/>
  <c r="J304" i="6"/>
  <c r="I304" i="6"/>
  <c r="H304" i="6"/>
  <c r="G304" i="6"/>
  <c r="F304" i="6"/>
  <c r="AE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H303" i="6"/>
  <c r="G303" i="6"/>
  <c r="F303" i="6"/>
  <c r="AE302" i="6"/>
  <c r="AC302" i="6"/>
  <c r="AB302" i="6"/>
  <c r="AA302" i="6"/>
  <c r="Z302" i="6"/>
  <c r="Y302" i="6"/>
  <c r="X302" i="6"/>
  <c r="W302" i="6"/>
  <c r="V302" i="6"/>
  <c r="U302" i="6"/>
  <c r="T302" i="6"/>
  <c r="S302" i="6"/>
  <c r="R302" i="6"/>
  <c r="Q302" i="6"/>
  <c r="P302" i="6"/>
  <c r="O302" i="6"/>
  <c r="N302" i="6"/>
  <c r="M302" i="6"/>
  <c r="L302" i="6"/>
  <c r="K302" i="6"/>
  <c r="J302" i="6"/>
  <c r="I302" i="6"/>
  <c r="H302" i="6"/>
  <c r="G302" i="6"/>
  <c r="F302" i="6"/>
  <c r="AE301" i="6"/>
  <c r="AC301" i="6"/>
  <c r="AB301" i="6"/>
  <c r="AA301" i="6"/>
  <c r="Z301" i="6"/>
  <c r="Y301" i="6"/>
  <c r="X301" i="6"/>
  <c r="W301" i="6"/>
  <c r="V301" i="6"/>
  <c r="U301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H301" i="6"/>
  <c r="G301" i="6"/>
  <c r="F301" i="6"/>
  <c r="AE300" i="6"/>
  <c r="AC300" i="6"/>
  <c r="AB300" i="6"/>
  <c r="AA300" i="6"/>
  <c r="Z300" i="6"/>
  <c r="Y300" i="6"/>
  <c r="X300" i="6"/>
  <c r="W300" i="6"/>
  <c r="V300" i="6"/>
  <c r="U300" i="6"/>
  <c r="T300" i="6"/>
  <c r="S300" i="6"/>
  <c r="R300" i="6"/>
  <c r="Q300" i="6"/>
  <c r="P300" i="6"/>
  <c r="O300" i="6"/>
  <c r="N300" i="6"/>
  <c r="M300" i="6"/>
  <c r="L300" i="6"/>
  <c r="K300" i="6"/>
  <c r="J300" i="6"/>
  <c r="I300" i="6"/>
  <c r="H300" i="6"/>
  <c r="G300" i="6"/>
  <c r="F300" i="6"/>
  <c r="AE299" i="6"/>
  <c r="AC299" i="6"/>
  <c r="AB299" i="6"/>
  <c r="AA299" i="6"/>
  <c r="Z299" i="6"/>
  <c r="Y299" i="6"/>
  <c r="X299" i="6"/>
  <c r="W299" i="6"/>
  <c r="V299" i="6"/>
  <c r="U299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H299" i="6"/>
  <c r="G299" i="6"/>
  <c r="F299" i="6"/>
  <c r="AE298" i="6"/>
  <c r="AC298" i="6"/>
  <c r="AB298" i="6"/>
  <c r="AA298" i="6"/>
  <c r="Z298" i="6"/>
  <c r="Y298" i="6"/>
  <c r="X298" i="6"/>
  <c r="W298" i="6"/>
  <c r="V298" i="6"/>
  <c r="U298" i="6"/>
  <c r="T298" i="6"/>
  <c r="S298" i="6"/>
  <c r="R298" i="6"/>
  <c r="Q298" i="6"/>
  <c r="P298" i="6"/>
  <c r="O298" i="6"/>
  <c r="N298" i="6"/>
  <c r="M298" i="6"/>
  <c r="L298" i="6"/>
  <c r="K298" i="6"/>
  <c r="J298" i="6"/>
  <c r="I298" i="6"/>
  <c r="H298" i="6"/>
  <c r="G298" i="6"/>
  <c r="F298" i="6"/>
  <c r="AE297" i="6"/>
  <c r="AC297" i="6"/>
  <c r="AB297" i="6"/>
  <c r="AA297" i="6"/>
  <c r="Z297" i="6"/>
  <c r="Y297" i="6"/>
  <c r="X297" i="6"/>
  <c r="W297" i="6"/>
  <c r="V297" i="6"/>
  <c r="U297" i="6"/>
  <c r="T297" i="6"/>
  <c r="S297" i="6"/>
  <c r="R297" i="6"/>
  <c r="Q297" i="6"/>
  <c r="P297" i="6"/>
  <c r="O297" i="6"/>
  <c r="N297" i="6"/>
  <c r="M297" i="6"/>
  <c r="L297" i="6"/>
  <c r="K297" i="6"/>
  <c r="J297" i="6"/>
  <c r="I297" i="6"/>
  <c r="H297" i="6"/>
  <c r="G297" i="6"/>
  <c r="F297" i="6"/>
  <c r="AE296" i="6"/>
  <c r="AC296" i="6"/>
  <c r="AB296" i="6"/>
  <c r="AA296" i="6"/>
  <c r="Z296" i="6"/>
  <c r="Y296" i="6"/>
  <c r="X296" i="6"/>
  <c r="W296" i="6"/>
  <c r="V296" i="6"/>
  <c r="U296" i="6"/>
  <c r="T296" i="6"/>
  <c r="S296" i="6"/>
  <c r="R296" i="6"/>
  <c r="Q296" i="6"/>
  <c r="P296" i="6"/>
  <c r="O296" i="6"/>
  <c r="N296" i="6"/>
  <c r="M296" i="6"/>
  <c r="L296" i="6"/>
  <c r="K296" i="6"/>
  <c r="J296" i="6"/>
  <c r="I296" i="6"/>
  <c r="H296" i="6"/>
  <c r="G296" i="6"/>
  <c r="F296" i="6"/>
  <c r="AE295" i="6"/>
  <c r="AC295" i="6"/>
  <c r="AB295" i="6"/>
  <c r="AA295" i="6"/>
  <c r="Z295" i="6"/>
  <c r="Y295" i="6"/>
  <c r="X295" i="6"/>
  <c r="W295" i="6"/>
  <c r="V295" i="6"/>
  <c r="U295" i="6"/>
  <c r="T295" i="6"/>
  <c r="S295" i="6"/>
  <c r="R295" i="6"/>
  <c r="Q295" i="6"/>
  <c r="P295" i="6"/>
  <c r="O295" i="6"/>
  <c r="N295" i="6"/>
  <c r="M295" i="6"/>
  <c r="L295" i="6"/>
  <c r="K295" i="6"/>
  <c r="J295" i="6"/>
  <c r="I295" i="6"/>
  <c r="H295" i="6"/>
  <c r="G295" i="6"/>
  <c r="F295" i="6"/>
  <c r="AE294" i="6"/>
  <c r="AC294" i="6"/>
  <c r="AB294" i="6"/>
  <c r="AA294" i="6"/>
  <c r="Z294" i="6"/>
  <c r="Y294" i="6"/>
  <c r="X294" i="6"/>
  <c r="W294" i="6"/>
  <c r="V294" i="6"/>
  <c r="U294" i="6"/>
  <c r="T294" i="6"/>
  <c r="S294" i="6"/>
  <c r="R294" i="6"/>
  <c r="Q294" i="6"/>
  <c r="P294" i="6"/>
  <c r="O294" i="6"/>
  <c r="N294" i="6"/>
  <c r="M294" i="6"/>
  <c r="L294" i="6"/>
  <c r="K294" i="6"/>
  <c r="J294" i="6"/>
  <c r="I294" i="6"/>
  <c r="H294" i="6"/>
  <c r="G294" i="6"/>
  <c r="F294" i="6"/>
  <c r="AE293" i="6"/>
  <c r="AC293" i="6"/>
  <c r="AB293" i="6"/>
  <c r="AA293" i="6"/>
  <c r="Z293" i="6"/>
  <c r="Y293" i="6"/>
  <c r="X293" i="6"/>
  <c r="W293" i="6"/>
  <c r="V293" i="6"/>
  <c r="U293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H293" i="6"/>
  <c r="G293" i="6"/>
  <c r="F293" i="6"/>
  <c r="AE292" i="6"/>
  <c r="AC292" i="6"/>
  <c r="AB292" i="6"/>
  <c r="AA292" i="6"/>
  <c r="Z292" i="6"/>
  <c r="Y292" i="6"/>
  <c r="X292" i="6"/>
  <c r="W292" i="6"/>
  <c r="V292" i="6"/>
  <c r="U292" i="6"/>
  <c r="T292" i="6"/>
  <c r="S292" i="6"/>
  <c r="R292" i="6"/>
  <c r="Q292" i="6"/>
  <c r="P292" i="6"/>
  <c r="O292" i="6"/>
  <c r="N292" i="6"/>
  <c r="M292" i="6"/>
  <c r="L292" i="6"/>
  <c r="K292" i="6"/>
  <c r="J292" i="6"/>
  <c r="I292" i="6"/>
  <c r="H292" i="6"/>
  <c r="G292" i="6"/>
  <c r="F292" i="6"/>
  <c r="AE291" i="6"/>
  <c r="AC291" i="6"/>
  <c r="AB291" i="6"/>
  <c r="AA291" i="6"/>
  <c r="Z291" i="6"/>
  <c r="Y291" i="6"/>
  <c r="X291" i="6"/>
  <c r="W291" i="6"/>
  <c r="V291" i="6"/>
  <c r="U291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H291" i="6"/>
  <c r="G291" i="6"/>
  <c r="F291" i="6"/>
  <c r="AE290" i="6"/>
  <c r="AC290" i="6"/>
  <c r="AB290" i="6"/>
  <c r="AA290" i="6"/>
  <c r="Z290" i="6"/>
  <c r="Y290" i="6"/>
  <c r="X290" i="6"/>
  <c r="W290" i="6"/>
  <c r="V290" i="6"/>
  <c r="U290" i="6"/>
  <c r="T290" i="6"/>
  <c r="S290" i="6"/>
  <c r="R290" i="6"/>
  <c r="Q290" i="6"/>
  <c r="P290" i="6"/>
  <c r="O290" i="6"/>
  <c r="N290" i="6"/>
  <c r="M290" i="6"/>
  <c r="L290" i="6"/>
  <c r="K290" i="6"/>
  <c r="J290" i="6"/>
  <c r="I290" i="6"/>
  <c r="H290" i="6"/>
  <c r="G290" i="6"/>
  <c r="F290" i="6"/>
  <c r="AE289" i="6"/>
  <c r="AC289" i="6"/>
  <c r="AB289" i="6"/>
  <c r="AA289" i="6"/>
  <c r="Z289" i="6"/>
  <c r="Y289" i="6"/>
  <c r="X289" i="6"/>
  <c r="W289" i="6"/>
  <c r="V289" i="6"/>
  <c r="U289" i="6"/>
  <c r="T289" i="6"/>
  <c r="S289" i="6"/>
  <c r="R289" i="6"/>
  <c r="Q289" i="6"/>
  <c r="P289" i="6"/>
  <c r="O289" i="6"/>
  <c r="N289" i="6"/>
  <c r="M289" i="6"/>
  <c r="L289" i="6"/>
  <c r="K289" i="6"/>
  <c r="J289" i="6"/>
  <c r="I289" i="6"/>
  <c r="H289" i="6"/>
  <c r="G289" i="6"/>
  <c r="F289" i="6"/>
  <c r="AE288" i="6"/>
  <c r="AC288" i="6"/>
  <c r="AB288" i="6"/>
  <c r="AA288" i="6"/>
  <c r="Z288" i="6"/>
  <c r="Y288" i="6"/>
  <c r="X288" i="6"/>
  <c r="W288" i="6"/>
  <c r="V288" i="6"/>
  <c r="U288" i="6"/>
  <c r="T288" i="6"/>
  <c r="S288" i="6"/>
  <c r="R288" i="6"/>
  <c r="Q288" i="6"/>
  <c r="P288" i="6"/>
  <c r="O288" i="6"/>
  <c r="N288" i="6"/>
  <c r="M288" i="6"/>
  <c r="L288" i="6"/>
  <c r="K288" i="6"/>
  <c r="J288" i="6"/>
  <c r="I288" i="6"/>
  <c r="H288" i="6"/>
  <c r="G288" i="6"/>
  <c r="F288" i="6"/>
  <c r="AE287" i="6"/>
  <c r="AC287" i="6"/>
  <c r="AB287" i="6"/>
  <c r="AA287" i="6"/>
  <c r="Z287" i="6"/>
  <c r="Y287" i="6"/>
  <c r="X287" i="6"/>
  <c r="W287" i="6"/>
  <c r="V287" i="6"/>
  <c r="U287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H287" i="6"/>
  <c r="G287" i="6"/>
  <c r="F287" i="6"/>
  <c r="AE286" i="6"/>
  <c r="AC286" i="6"/>
  <c r="AB286" i="6"/>
  <c r="AA286" i="6"/>
  <c r="Z286" i="6"/>
  <c r="Y286" i="6"/>
  <c r="X286" i="6"/>
  <c r="W286" i="6"/>
  <c r="V286" i="6"/>
  <c r="U286" i="6"/>
  <c r="T286" i="6"/>
  <c r="S286" i="6"/>
  <c r="R286" i="6"/>
  <c r="Q286" i="6"/>
  <c r="P286" i="6"/>
  <c r="O286" i="6"/>
  <c r="N286" i="6"/>
  <c r="M286" i="6"/>
  <c r="L286" i="6"/>
  <c r="K286" i="6"/>
  <c r="J286" i="6"/>
  <c r="I286" i="6"/>
  <c r="H286" i="6"/>
  <c r="G286" i="6"/>
  <c r="F286" i="6"/>
  <c r="AE285" i="6"/>
  <c r="AC285" i="6"/>
  <c r="AB285" i="6"/>
  <c r="AA285" i="6"/>
  <c r="Z285" i="6"/>
  <c r="Y285" i="6"/>
  <c r="X285" i="6"/>
  <c r="W285" i="6"/>
  <c r="V285" i="6"/>
  <c r="U285" i="6"/>
  <c r="T285" i="6"/>
  <c r="S285" i="6"/>
  <c r="R285" i="6"/>
  <c r="Q285" i="6"/>
  <c r="P285" i="6"/>
  <c r="O285" i="6"/>
  <c r="N285" i="6"/>
  <c r="M285" i="6"/>
  <c r="L285" i="6"/>
  <c r="K285" i="6"/>
  <c r="J285" i="6"/>
  <c r="I285" i="6"/>
  <c r="H285" i="6"/>
  <c r="G285" i="6"/>
  <c r="F285" i="6"/>
  <c r="AE284" i="6"/>
  <c r="AC284" i="6"/>
  <c r="AB284" i="6"/>
  <c r="AA284" i="6"/>
  <c r="Z284" i="6"/>
  <c r="Y284" i="6"/>
  <c r="X284" i="6"/>
  <c r="W284" i="6"/>
  <c r="V284" i="6"/>
  <c r="U284" i="6"/>
  <c r="T284" i="6"/>
  <c r="S284" i="6"/>
  <c r="R284" i="6"/>
  <c r="Q284" i="6"/>
  <c r="P284" i="6"/>
  <c r="O284" i="6"/>
  <c r="N284" i="6"/>
  <c r="M284" i="6"/>
  <c r="L284" i="6"/>
  <c r="K284" i="6"/>
  <c r="J284" i="6"/>
  <c r="I284" i="6"/>
  <c r="H284" i="6"/>
  <c r="G284" i="6"/>
  <c r="F284" i="6"/>
  <c r="AE283" i="6"/>
  <c r="AC283" i="6"/>
  <c r="AB283" i="6"/>
  <c r="AA283" i="6"/>
  <c r="Z283" i="6"/>
  <c r="Y283" i="6"/>
  <c r="X283" i="6"/>
  <c r="W283" i="6"/>
  <c r="V283" i="6"/>
  <c r="U283" i="6"/>
  <c r="T283" i="6"/>
  <c r="S283" i="6"/>
  <c r="R283" i="6"/>
  <c r="Q283" i="6"/>
  <c r="P283" i="6"/>
  <c r="O283" i="6"/>
  <c r="N283" i="6"/>
  <c r="M283" i="6"/>
  <c r="L283" i="6"/>
  <c r="K283" i="6"/>
  <c r="J283" i="6"/>
  <c r="I283" i="6"/>
  <c r="H283" i="6"/>
  <c r="G283" i="6"/>
  <c r="F283" i="6"/>
  <c r="AE282" i="6"/>
  <c r="AC282" i="6"/>
  <c r="AB282" i="6"/>
  <c r="AA282" i="6"/>
  <c r="Z282" i="6"/>
  <c r="Y282" i="6"/>
  <c r="X282" i="6"/>
  <c r="W282" i="6"/>
  <c r="V282" i="6"/>
  <c r="U282" i="6"/>
  <c r="T282" i="6"/>
  <c r="S282" i="6"/>
  <c r="R282" i="6"/>
  <c r="Q282" i="6"/>
  <c r="P282" i="6"/>
  <c r="O282" i="6"/>
  <c r="N282" i="6"/>
  <c r="M282" i="6"/>
  <c r="L282" i="6"/>
  <c r="K282" i="6"/>
  <c r="J282" i="6"/>
  <c r="I282" i="6"/>
  <c r="H282" i="6"/>
  <c r="G282" i="6"/>
  <c r="F282" i="6"/>
  <c r="AE281" i="6"/>
  <c r="AC281" i="6"/>
  <c r="AB281" i="6"/>
  <c r="AA281" i="6"/>
  <c r="Z281" i="6"/>
  <c r="Y281" i="6"/>
  <c r="X281" i="6"/>
  <c r="W281" i="6"/>
  <c r="V281" i="6"/>
  <c r="U281" i="6"/>
  <c r="T281" i="6"/>
  <c r="S281" i="6"/>
  <c r="R281" i="6"/>
  <c r="Q281" i="6"/>
  <c r="P281" i="6"/>
  <c r="O281" i="6"/>
  <c r="N281" i="6"/>
  <c r="M281" i="6"/>
  <c r="L281" i="6"/>
  <c r="K281" i="6"/>
  <c r="J281" i="6"/>
  <c r="I281" i="6"/>
  <c r="H281" i="6"/>
  <c r="G281" i="6"/>
  <c r="F281" i="6"/>
  <c r="AE280" i="6"/>
  <c r="AC280" i="6"/>
  <c r="AB280" i="6"/>
  <c r="AA280" i="6"/>
  <c r="Z280" i="6"/>
  <c r="Y280" i="6"/>
  <c r="X280" i="6"/>
  <c r="W280" i="6"/>
  <c r="V280" i="6"/>
  <c r="U280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H280" i="6"/>
  <c r="G280" i="6"/>
  <c r="F280" i="6"/>
  <c r="AE279" i="6"/>
  <c r="AC279" i="6"/>
  <c r="AB279" i="6"/>
  <c r="AA279" i="6"/>
  <c r="Z279" i="6"/>
  <c r="Y279" i="6"/>
  <c r="X279" i="6"/>
  <c r="W279" i="6"/>
  <c r="V279" i="6"/>
  <c r="U279" i="6"/>
  <c r="T279" i="6"/>
  <c r="S279" i="6"/>
  <c r="R279" i="6"/>
  <c r="Q279" i="6"/>
  <c r="P279" i="6"/>
  <c r="O279" i="6"/>
  <c r="N279" i="6"/>
  <c r="M279" i="6"/>
  <c r="L279" i="6"/>
  <c r="K279" i="6"/>
  <c r="J279" i="6"/>
  <c r="I279" i="6"/>
  <c r="H279" i="6"/>
  <c r="G279" i="6"/>
  <c r="F279" i="6"/>
  <c r="AE278" i="6"/>
  <c r="AC278" i="6"/>
  <c r="AB278" i="6"/>
  <c r="AA278" i="6"/>
  <c r="Z278" i="6"/>
  <c r="Y278" i="6"/>
  <c r="X278" i="6"/>
  <c r="W278" i="6"/>
  <c r="V278" i="6"/>
  <c r="U278" i="6"/>
  <c r="T278" i="6"/>
  <c r="S278" i="6"/>
  <c r="R278" i="6"/>
  <c r="Q278" i="6"/>
  <c r="P278" i="6"/>
  <c r="O278" i="6"/>
  <c r="N278" i="6"/>
  <c r="M278" i="6"/>
  <c r="L278" i="6"/>
  <c r="K278" i="6"/>
  <c r="J278" i="6"/>
  <c r="I278" i="6"/>
  <c r="H278" i="6"/>
  <c r="G278" i="6"/>
  <c r="F278" i="6"/>
  <c r="AE277" i="6"/>
  <c r="AC277" i="6"/>
  <c r="AB277" i="6"/>
  <c r="AA277" i="6"/>
  <c r="Z277" i="6"/>
  <c r="Y277" i="6"/>
  <c r="X277" i="6"/>
  <c r="W277" i="6"/>
  <c r="V277" i="6"/>
  <c r="U277" i="6"/>
  <c r="T277" i="6"/>
  <c r="S277" i="6"/>
  <c r="R277" i="6"/>
  <c r="Q277" i="6"/>
  <c r="P277" i="6"/>
  <c r="O277" i="6"/>
  <c r="N277" i="6"/>
  <c r="M277" i="6"/>
  <c r="L277" i="6"/>
  <c r="K277" i="6"/>
  <c r="J277" i="6"/>
  <c r="I277" i="6"/>
  <c r="H277" i="6"/>
  <c r="G277" i="6"/>
  <c r="F277" i="6"/>
  <c r="AE276" i="6"/>
  <c r="AC276" i="6"/>
  <c r="AB276" i="6"/>
  <c r="AA276" i="6"/>
  <c r="Z276" i="6"/>
  <c r="Y276" i="6"/>
  <c r="X276" i="6"/>
  <c r="W276" i="6"/>
  <c r="V276" i="6"/>
  <c r="U276" i="6"/>
  <c r="T276" i="6"/>
  <c r="S276" i="6"/>
  <c r="R276" i="6"/>
  <c r="Q276" i="6"/>
  <c r="P276" i="6"/>
  <c r="O276" i="6"/>
  <c r="N276" i="6"/>
  <c r="M276" i="6"/>
  <c r="L276" i="6"/>
  <c r="K276" i="6"/>
  <c r="J276" i="6"/>
  <c r="I276" i="6"/>
  <c r="H276" i="6"/>
  <c r="G276" i="6"/>
  <c r="F276" i="6"/>
  <c r="AE275" i="6"/>
  <c r="AC275" i="6"/>
  <c r="AB275" i="6"/>
  <c r="AA275" i="6"/>
  <c r="Z275" i="6"/>
  <c r="Y275" i="6"/>
  <c r="X275" i="6"/>
  <c r="W275" i="6"/>
  <c r="V275" i="6"/>
  <c r="U275" i="6"/>
  <c r="T275" i="6"/>
  <c r="S275" i="6"/>
  <c r="R275" i="6"/>
  <c r="Q275" i="6"/>
  <c r="P275" i="6"/>
  <c r="O275" i="6"/>
  <c r="N275" i="6"/>
  <c r="M275" i="6"/>
  <c r="L275" i="6"/>
  <c r="K275" i="6"/>
  <c r="J275" i="6"/>
  <c r="I275" i="6"/>
  <c r="H275" i="6"/>
  <c r="G275" i="6"/>
  <c r="F275" i="6"/>
  <c r="AE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F274" i="6"/>
  <c r="AE273" i="6"/>
  <c r="AC273" i="6"/>
  <c r="AB273" i="6"/>
  <c r="AA273" i="6"/>
  <c r="Z273" i="6"/>
  <c r="Y273" i="6"/>
  <c r="X273" i="6"/>
  <c r="W273" i="6"/>
  <c r="V273" i="6"/>
  <c r="U273" i="6"/>
  <c r="T273" i="6"/>
  <c r="S273" i="6"/>
  <c r="R273" i="6"/>
  <c r="Q273" i="6"/>
  <c r="P273" i="6"/>
  <c r="O273" i="6"/>
  <c r="N273" i="6"/>
  <c r="M273" i="6"/>
  <c r="L273" i="6"/>
  <c r="K273" i="6"/>
  <c r="J273" i="6"/>
  <c r="I273" i="6"/>
  <c r="H273" i="6"/>
  <c r="G273" i="6"/>
  <c r="F273" i="6"/>
  <c r="AE272" i="6"/>
  <c r="AC272" i="6"/>
  <c r="AB272" i="6"/>
  <c r="AA272" i="6"/>
  <c r="Z272" i="6"/>
  <c r="Y272" i="6"/>
  <c r="X272" i="6"/>
  <c r="W272" i="6"/>
  <c r="V272" i="6"/>
  <c r="U272" i="6"/>
  <c r="T272" i="6"/>
  <c r="S272" i="6"/>
  <c r="R272" i="6"/>
  <c r="Q272" i="6"/>
  <c r="P272" i="6"/>
  <c r="O272" i="6"/>
  <c r="N272" i="6"/>
  <c r="M272" i="6"/>
  <c r="L272" i="6"/>
  <c r="K272" i="6"/>
  <c r="J272" i="6"/>
  <c r="I272" i="6"/>
  <c r="H272" i="6"/>
  <c r="G272" i="6"/>
  <c r="F272" i="6"/>
  <c r="AE271" i="6"/>
  <c r="AC271" i="6"/>
  <c r="AB271" i="6"/>
  <c r="AA271" i="6"/>
  <c r="Z271" i="6"/>
  <c r="Y271" i="6"/>
  <c r="X271" i="6"/>
  <c r="W271" i="6"/>
  <c r="V271" i="6"/>
  <c r="U271" i="6"/>
  <c r="T271" i="6"/>
  <c r="S271" i="6"/>
  <c r="R271" i="6"/>
  <c r="Q271" i="6"/>
  <c r="P271" i="6"/>
  <c r="O271" i="6"/>
  <c r="N271" i="6"/>
  <c r="M271" i="6"/>
  <c r="L271" i="6"/>
  <c r="K271" i="6"/>
  <c r="J271" i="6"/>
  <c r="I271" i="6"/>
  <c r="H271" i="6"/>
  <c r="G271" i="6"/>
  <c r="F271" i="6"/>
  <c r="AE270" i="6"/>
  <c r="AC270" i="6"/>
  <c r="AB270" i="6"/>
  <c r="AA270" i="6"/>
  <c r="Z270" i="6"/>
  <c r="Y270" i="6"/>
  <c r="X270" i="6"/>
  <c r="W270" i="6"/>
  <c r="V270" i="6"/>
  <c r="U270" i="6"/>
  <c r="T270" i="6"/>
  <c r="S270" i="6"/>
  <c r="R270" i="6"/>
  <c r="Q270" i="6"/>
  <c r="P270" i="6"/>
  <c r="O270" i="6"/>
  <c r="N270" i="6"/>
  <c r="M270" i="6"/>
  <c r="L270" i="6"/>
  <c r="K270" i="6"/>
  <c r="J270" i="6"/>
  <c r="I270" i="6"/>
  <c r="H270" i="6"/>
  <c r="G270" i="6"/>
  <c r="F270" i="6"/>
  <c r="AE269" i="6"/>
  <c r="AC269" i="6"/>
  <c r="AB269" i="6"/>
  <c r="AA269" i="6"/>
  <c r="Z269" i="6"/>
  <c r="Y269" i="6"/>
  <c r="X269" i="6"/>
  <c r="W269" i="6"/>
  <c r="V269" i="6"/>
  <c r="U269" i="6"/>
  <c r="T269" i="6"/>
  <c r="S269" i="6"/>
  <c r="R269" i="6"/>
  <c r="Q269" i="6"/>
  <c r="P269" i="6"/>
  <c r="O269" i="6"/>
  <c r="N269" i="6"/>
  <c r="M269" i="6"/>
  <c r="L269" i="6"/>
  <c r="K269" i="6"/>
  <c r="J269" i="6"/>
  <c r="I269" i="6"/>
  <c r="H269" i="6"/>
  <c r="G269" i="6"/>
  <c r="F269" i="6"/>
  <c r="AE268" i="6"/>
  <c r="AC268" i="6"/>
  <c r="AB268" i="6"/>
  <c r="AA268" i="6"/>
  <c r="Z268" i="6"/>
  <c r="Y268" i="6"/>
  <c r="X268" i="6"/>
  <c r="W268" i="6"/>
  <c r="V268" i="6"/>
  <c r="U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H268" i="6"/>
  <c r="G268" i="6"/>
  <c r="F268" i="6"/>
  <c r="AE267" i="6"/>
  <c r="AC267" i="6"/>
  <c r="AB267" i="6"/>
  <c r="AA267" i="6"/>
  <c r="Z267" i="6"/>
  <c r="Y267" i="6"/>
  <c r="X267" i="6"/>
  <c r="W267" i="6"/>
  <c r="V267" i="6"/>
  <c r="U267" i="6"/>
  <c r="T267" i="6"/>
  <c r="S267" i="6"/>
  <c r="R267" i="6"/>
  <c r="Q267" i="6"/>
  <c r="P267" i="6"/>
  <c r="O267" i="6"/>
  <c r="N267" i="6"/>
  <c r="M267" i="6"/>
  <c r="L267" i="6"/>
  <c r="K267" i="6"/>
  <c r="J267" i="6"/>
  <c r="I267" i="6"/>
  <c r="H267" i="6"/>
  <c r="G267" i="6"/>
  <c r="F267" i="6"/>
  <c r="AE266" i="6"/>
  <c r="AC266" i="6"/>
  <c r="AB266" i="6"/>
  <c r="AA266" i="6"/>
  <c r="Z266" i="6"/>
  <c r="Y266" i="6"/>
  <c r="X266" i="6"/>
  <c r="W266" i="6"/>
  <c r="V266" i="6"/>
  <c r="U266" i="6"/>
  <c r="T266" i="6"/>
  <c r="S266" i="6"/>
  <c r="R266" i="6"/>
  <c r="Q266" i="6"/>
  <c r="P266" i="6"/>
  <c r="O266" i="6"/>
  <c r="N266" i="6"/>
  <c r="M266" i="6"/>
  <c r="L266" i="6"/>
  <c r="K266" i="6"/>
  <c r="J266" i="6"/>
  <c r="I266" i="6"/>
  <c r="H266" i="6"/>
  <c r="G266" i="6"/>
  <c r="F266" i="6"/>
  <c r="AE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H265" i="6"/>
  <c r="G265" i="6"/>
  <c r="F265" i="6"/>
  <c r="AE264" i="6"/>
  <c r="AC264" i="6"/>
  <c r="AB264" i="6"/>
  <c r="AA264" i="6"/>
  <c r="Z264" i="6"/>
  <c r="Y264" i="6"/>
  <c r="X264" i="6"/>
  <c r="W264" i="6"/>
  <c r="V264" i="6"/>
  <c r="U264" i="6"/>
  <c r="T264" i="6"/>
  <c r="S264" i="6"/>
  <c r="R264" i="6"/>
  <c r="Q264" i="6"/>
  <c r="P264" i="6"/>
  <c r="O264" i="6"/>
  <c r="N264" i="6"/>
  <c r="M264" i="6"/>
  <c r="L264" i="6"/>
  <c r="K264" i="6"/>
  <c r="J264" i="6"/>
  <c r="I264" i="6"/>
  <c r="H264" i="6"/>
  <c r="G264" i="6"/>
  <c r="F264" i="6"/>
  <c r="AE263" i="6"/>
  <c r="AC263" i="6"/>
  <c r="AB263" i="6"/>
  <c r="AA263" i="6"/>
  <c r="Z263" i="6"/>
  <c r="Y263" i="6"/>
  <c r="X263" i="6"/>
  <c r="W263" i="6"/>
  <c r="V263" i="6"/>
  <c r="U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H263" i="6"/>
  <c r="G263" i="6"/>
  <c r="F263" i="6"/>
  <c r="AE262" i="6"/>
  <c r="AC262" i="6"/>
  <c r="AB262" i="6"/>
  <c r="AA262" i="6"/>
  <c r="Z262" i="6"/>
  <c r="Y262" i="6"/>
  <c r="X262" i="6"/>
  <c r="W262" i="6"/>
  <c r="V262" i="6"/>
  <c r="U262" i="6"/>
  <c r="T262" i="6"/>
  <c r="S262" i="6"/>
  <c r="R262" i="6"/>
  <c r="Q262" i="6"/>
  <c r="P262" i="6"/>
  <c r="O262" i="6"/>
  <c r="N262" i="6"/>
  <c r="M262" i="6"/>
  <c r="L262" i="6"/>
  <c r="K262" i="6"/>
  <c r="J262" i="6"/>
  <c r="I262" i="6"/>
  <c r="H262" i="6"/>
  <c r="G262" i="6"/>
  <c r="F262" i="6"/>
  <c r="AE261" i="6"/>
  <c r="AC261" i="6"/>
  <c r="AB261" i="6"/>
  <c r="AA261" i="6"/>
  <c r="Z261" i="6"/>
  <c r="Y261" i="6"/>
  <c r="X261" i="6"/>
  <c r="W261" i="6"/>
  <c r="V261" i="6"/>
  <c r="U261" i="6"/>
  <c r="T261" i="6"/>
  <c r="S261" i="6"/>
  <c r="R261" i="6"/>
  <c r="Q261" i="6"/>
  <c r="P261" i="6"/>
  <c r="O261" i="6"/>
  <c r="N261" i="6"/>
  <c r="M261" i="6"/>
  <c r="L261" i="6"/>
  <c r="K261" i="6"/>
  <c r="J261" i="6"/>
  <c r="I261" i="6"/>
  <c r="H261" i="6"/>
  <c r="G261" i="6"/>
  <c r="F261" i="6"/>
  <c r="AE260" i="6"/>
  <c r="AC260" i="6"/>
  <c r="AB260" i="6"/>
  <c r="AA260" i="6"/>
  <c r="Z260" i="6"/>
  <c r="Y260" i="6"/>
  <c r="X260" i="6"/>
  <c r="W260" i="6"/>
  <c r="V260" i="6"/>
  <c r="U260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H260" i="6"/>
  <c r="G260" i="6"/>
  <c r="F260" i="6"/>
  <c r="AE259" i="6"/>
  <c r="AC259" i="6"/>
  <c r="AB259" i="6"/>
  <c r="AA259" i="6"/>
  <c r="Z259" i="6"/>
  <c r="Y259" i="6"/>
  <c r="X259" i="6"/>
  <c r="W259" i="6"/>
  <c r="V259" i="6"/>
  <c r="U259" i="6"/>
  <c r="T259" i="6"/>
  <c r="S259" i="6"/>
  <c r="R259" i="6"/>
  <c r="Q259" i="6"/>
  <c r="P259" i="6"/>
  <c r="O259" i="6"/>
  <c r="N259" i="6"/>
  <c r="M259" i="6"/>
  <c r="L259" i="6"/>
  <c r="K259" i="6"/>
  <c r="J259" i="6"/>
  <c r="I259" i="6"/>
  <c r="H259" i="6"/>
  <c r="G259" i="6"/>
  <c r="F259" i="6"/>
  <c r="AE258" i="6"/>
  <c r="AC258" i="6"/>
  <c r="AB258" i="6"/>
  <c r="AA258" i="6"/>
  <c r="Z258" i="6"/>
  <c r="Y258" i="6"/>
  <c r="X258" i="6"/>
  <c r="W258" i="6"/>
  <c r="V258" i="6"/>
  <c r="U258" i="6"/>
  <c r="T258" i="6"/>
  <c r="S258" i="6"/>
  <c r="R258" i="6"/>
  <c r="Q258" i="6"/>
  <c r="P258" i="6"/>
  <c r="O258" i="6"/>
  <c r="N258" i="6"/>
  <c r="M258" i="6"/>
  <c r="L258" i="6"/>
  <c r="K258" i="6"/>
  <c r="J258" i="6"/>
  <c r="I258" i="6"/>
  <c r="H258" i="6"/>
  <c r="G258" i="6"/>
  <c r="F258" i="6"/>
  <c r="AE257" i="6"/>
  <c r="AC257" i="6"/>
  <c r="AB257" i="6"/>
  <c r="AA257" i="6"/>
  <c r="Z257" i="6"/>
  <c r="Y257" i="6"/>
  <c r="X257" i="6"/>
  <c r="W257" i="6"/>
  <c r="V257" i="6"/>
  <c r="U257" i="6"/>
  <c r="T257" i="6"/>
  <c r="S257" i="6"/>
  <c r="R257" i="6"/>
  <c r="Q257" i="6"/>
  <c r="P257" i="6"/>
  <c r="O257" i="6"/>
  <c r="N257" i="6"/>
  <c r="M257" i="6"/>
  <c r="L257" i="6"/>
  <c r="K257" i="6"/>
  <c r="J257" i="6"/>
  <c r="I257" i="6"/>
  <c r="H257" i="6"/>
  <c r="G257" i="6"/>
  <c r="F257" i="6"/>
  <c r="AE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H256" i="6"/>
  <c r="G256" i="6"/>
  <c r="F256" i="6"/>
  <c r="AE255" i="6"/>
  <c r="AC255" i="6"/>
  <c r="AB255" i="6"/>
  <c r="AA255" i="6"/>
  <c r="Z255" i="6"/>
  <c r="Y255" i="6"/>
  <c r="X255" i="6"/>
  <c r="W255" i="6"/>
  <c r="V255" i="6"/>
  <c r="U255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H255" i="6"/>
  <c r="G255" i="6"/>
  <c r="F255" i="6"/>
  <c r="AE254" i="6"/>
  <c r="AC254" i="6"/>
  <c r="AB254" i="6"/>
  <c r="AA254" i="6"/>
  <c r="Z254" i="6"/>
  <c r="Y254" i="6"/>
  <c r="X254" i="6"/>
  <c r="W254" i="6"/>
  <c r="V254" i="6"/>
  <c r="U254" i="6"/>
  <c r="T254" i="6"/>
  <c r="S254" i="6"/>
  <c r="R254" i="6"/>
  <c r="Q254" i="6"/>
  <c r="P254" i="6"/>
  <c r="O254" i="6"/>
  <c r="N254" i="6"/>
  <c r="M254" i="6"/>
  <c r="L254" i="6"/>
  <c r="K254" i="6"/>
  <c r="J254" i="6"/>
  <c r="I254" i="6"/>
  <c r="H254" i="6"/>
  <c r="G254" i="6"/>
  <c r="F254" i="6"/>
  <c r="AE253" i="6"/>
  <c r="AC253" i="6"/>
  <c r="AB253" i="6"/>
  <c r="AA253" i="6"/>
  <c r="Z253" i="6"/>
  <c r="Y253" i="6"/>
  <c r="X253" i="6"/>
  <c r="W253" i="6"/>
  <c r="V253" i="6"/>
  <c r="U253" i="6"/>
  <c r="T253" i="6"/>
  <c r="S253" i="6"/>
  <c r="R253" i="6"/>
  <c r="Q253" i="6"/>
  <c r="P253" i="6"/>
  <c r="O253" i="6"/>
  <c r="N253" i="6"/>
  <c r="M253" i="6"/>
  <c r="L253" i="6"/>
  <c r="K253" i="6"/>
  <c r="J253" i="6"/>
  <c r="I253" i="6"/>
  <c r="H253" i="6"/>
  <c r="G253" i="6"/>
  <c r="F253" i="6"/>
  <c r="AE252" i="6"/>
  <c r="AC252" i="6"/>
  <c r="AB252" i="6"/>
  <c r="AA252" i="6"/>
  <c r="Z252" i="6"/>
  <c r="Y252" i="6"/>
  <c r="X252" i="6"/>
  <c r="W252" i="6"/>
  <c r="V252" i="6"/>
  <c r="U252" i="6"/>
  <c r="T252" i="6"/>
  <c r="S252" i="6"/>
  <c r="R252" i="6"/>
  <c r="Q252" i="6"/>
  <c r="P252" i="6"/>
  <c r="O252" i="6"/>
  <c r="N252" i="6"/>
  <c r="M252" i="6"/>
  <c r="L252" i="6"/>
  <c r="K252" i="6"/>
  <c r="J252" i="6"/>
  <c r="I252" i="6"/>
  <c r="H252" i="6"/>
  <c r="G252" i="6"/>
  <c r="F252" i="6"/>
  <c r="AE251" i="6"/>
  <c r="AC251" i="6"/>
  <c r="AB251" i="6"/>
  <c r="AA251" i="6"/>
  <c r="Z251" i="6"/>
  <c r="Y251" i="6"/>
  <c r="X251" i="6"/>
  <c r="W251" i="6"/>
  <c r="V251" i="6"/>
  <c r="U251" i="6"/>
  <c r="T251" i="6"/>
  <c r="S251" i="6"/>
  <c r="R251" i="6"/>
  <c r="Q251" i="6"/>
  <c r="P251" i="6"/>
  <c r="O251" i="6"/>
  <c r="N251" i="6"/>
  <c r="M251" i="6"/>
  <c r="L251" i="6"/>
  <c r="K251" i="6"/>
  <c r="J251" i="6"/>
  <c r="I251" i="6"/>
  <c r="H251" i="6"/>
  <c r="G251" i="6"/>
  <c r="F251" i="6"/>
  <c r="AE250" i="6"/>
  <c r="AC250" i="6"/>
  <c r="AB250" i="6"/>
  <c r="AA250" i="6"/>
  <c r="Z250" i="6"/>
  <c r="Y250" i="6"/>
  <c r="X250" i="6"/>
  <c r="W250" i="6"/>
  <c r="V250" i="6"/>
  <c r="U250" i="6"/>
  <c r="T250" i="6"/>
  <c r="S250" i="6"/>
  <c r="R250" i="6"/>
  <c r="Q250" i="6"/>
  <c r="P250" i="6"/>
  <c r="O250" i="6"/>
  <c r="N250" i="6"/>
  <c r="M250" i="6"/>
  <c r="L250" i="6"/>
  <c r="K250" i="6"/>
  <c r="J250" i="6"/>
  <c r="I250" i="6"/>
  <c r="H250" i="6"/>
  <c r="G250" i="6"/>
  <c r="F250" i="6"/>
  <c r="AE249" i="6"/>
  <c r="AC249" i="6"/>
  <c r="AB249" i="6"/>
  <c r="AA249" i="6"/>
  <c r="Z249" i="6"/>
  <c r="Y249" i="6"/>
  <c r="X249" i="6"/>
  <c r="W249" i="6"/>
  <c r="V249" i="6"/>
  <c r="U249" i="6"/>
  <c r="T249" i="6"/>
  <c r="S249" i="6"/>
  <c r="R249" i="6"/>
  <c r="Q249" i="6"/>
  <c r="P249" i="6"/>
  <c r="O249" i="6"/>
  <c r="N249" i="6"/>
  <c r="M249" i="6"/>
  <c r="L249" i="6"/>
  <c r="K249" i="6"/>
  <c r="J249" i="6"/>
  <c r="I249" i="6"/>
  <c r="H249" i="6"/>
  <c r="G249" i="6"/>
  <c r="F249" i="6"/>
  <c r="AE248" i="6"/>
  <c r="AC248" i="6"/>
  <c r="AB248" i="6"/>
  <c r="AA248" i="6"/>
  <c r="Z248" i="6"/>
  <c r="Y248" i="6"/>
  <c r="X248" i="6"/>
  <c r="W248" i="6"/>
  <c r="V248" i="6"/>
  <c r="U248" i="6"/>
  <c r="T248" i="6"/>
  <c r="S248" i="6"/>
  <c r="R248" i="6"/>
  <c r="Q248" i="6"/>
  <c r="P248" i="6"/>
  <c r="O248" i="6"/>
  <c r="N248" i="6"/>
  <c r="M248" i="6"/>
  <c r="L248" i="6"/>
  <c r="K248" i="6"/>
  <c r="J248" i="6"/>
  <c r="I248" i="6"/>
  <c r="H248" i="6"/>
  <c r="G248" i="6"/>
  <c r="F248" i="6"/>
  <c r="AE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F247" i="6"/>
  <c r="AE246" i="6"/>
  <c r="AC246" i="6"/>
  <c r="AB246" i="6"/>
  <c r="AA246" i="6"/>
  <c r="Z246" i="6"/>
  <c r="Y246" i="6"/>
  <c r="X246" i="6"/>
  <c r="W246" i="6"/>
  <c r="V246" i="6"/>
  <c r="U246" i="6"/>
  <c r="T246" i="6"/>
  <c r="S246" i="6"/>
  <c r="R246" i="6"/>
  <c r="Q246" i="6"/>
  <c r="P246" i="6"/>
  <c r="O246" i="6"/>
  <c r="N246" i="6"/>
  <c r="M246" i="6"/>
  <c r="L246" i="6"/>
  <c r="K246" i="6"/>
  <c r="J246" i="6"/>
  <c r="I246" i="6"/>
  <c r="H246" i="6"/>
  <c r="G246" i="6"/>
  <c r="F246" i="6"/>
  <c r="AE245" i="6"/>
  <c r="AC245" i="6"/>
  <c r="AB245" i="6"/>
  <c r="AA245" i="6"/>
  <c r="Z245" i="6"/>
  <c r="Y245" i="6"/>
  <c r="X245" i="6"/>
  <c r="W245" i="6"/>
  <c r="V245" i="6"/>
  <c r="U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H245" i="6"/>
  <c r="G245" i="6"/>
  <c r="F245" i="6"/>
  <c r="AE244" i="6"/>
  <c r="AC244" i="6"/>
  <c r="AB244" i="6"/>
  <c r="AA244" i="6"/>
  <c r="Z244" i="6"/>
  <c r="Y244" i="6"/>
  <c r="X244" i="6"/>
  <c r="W244" i="6"/>
  <c r="V244" i="6"/>
  <c r="U244" i="6"/>
  <c r="T244" i="6"/>
  <c r="S244" i="6"/>
  <c r="R244" i="6"/>
  <c r="Q244" i="6"/>
  <c r="P244" i="6"/>
  <c r="O244" i="6"/>
  <c r="N244" i="6"/>
  <c r="M244" i="6"/>
  <c r="L244" i="6"/>
  <c r="K244" i="6"/>
  <c r="J244" i="6"/>
  <c r="I244" i="6"/>
  <c r="H244" i="6"/>
  <c r="G244" i="6"/>
  <c r="F244" i="6"/>
  <c r="AE243" i="6"/>
  <c r="AC243" i="6"/>
  <c r="AB243" i="6"/>
  <c r="AA243" i="6"/>
  <c r="Z243" i="6"/>
  <c r="Y243" i="6"/>
  <c r="X243" i="6"/>
  <c r="W243" i="6"/>
  <c r="V243" i="6"/>
  <c r="U243" i="6"/>
  <c r="T243" i="6"/>
  <c r="S243" i="6"/>
  <c r="R243" i="6"/>
  <c r="Q243" i="6"/>
  <c r="P243" i="6"/>
  <c r="O243" i="6"/>
  <c r="N243" i="6"/>
  <c r="M243" i="6"/>
  <c r="L243" i="6"/>
  <c r="K243" i="6"/>
  <c r="J243" i="6"/>
  <c r="I243" i="6"/>
  <c r="H243" i="6"/>
  <c r="G243" i="6"/>
  <c r="F243" i="6"/>
  <c r="AE242" i="6"/>
  <c r="AC242" i="6"/>
  <c r="AB242" i="6"/>
  <c r="AA242" i="6"/>
  <c r="Z242" i="6"/>
  <c r="Y242" i="6"/>
  <c r="X242" i="6"/>
  <c r="W242" i="6"/>
  <c r="V242" i="6"/>
  <c r="U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H242" i="6"/>
  <c r="G242" i="6"/>
  <c r="F242" i="6"/>
  <c r="AE241" i="6"/>
  <c r="AC241" i="6"/>
  <c r="AB241" i="6"/>
  <c r="AA241" i="6"/>
  <c r="Z241" i="6"/>
  <c r="Y241" i="6"/>
  <c r="X241" i="6"/>
  <c r="W241" i="6"/>
  <c r="V241" i="6"/>
  <c r="U241" i="6"/>
  <c r="T241" i="6"/>
  <c r="S241" i="6"/>
  <c r="R241" i="6"/>
  <c r="Q241" i="6"/>
  <c r="P241" i="6"/>
  <c r="O241" i="6"/>
  <c r="N241" i="6"/>
  <c r="M241" i="6"/>
  <c r="L241" i="6"/>
  <c r="K241" i="6"/>
  <c r="J241" i="6"/>
  <c r="I241" i="6"/>
  <c r="H241" i="6"/>
  <c r="G241" i="6"/>
  <c r="F241" i="6"/>
  <c r="AE240" i="6"/>
  <c r="AC240" i="6"/>
  <c r="AB240" i="6"/>
  <c r="AA240" i="6"/>
  <c r="Z240" i="6"/>
  <c r="Y240" i="6"/>
  <c r="X240" i="6"/>
  <c r="W240" i="6"/>
  <c r="V240" i="6"/>
  <c r="U240" i="6"/>
  <c r="T240" i="6"/>
  <c r="S240" i="6"/>
  <c r="R240" i="6"/>
  <c r="Q240" i="6"/>
  <c r="P240" i="6"/>
  <c r="O240" i="6"/>
  <c r="N240" i="6"/>
  <c r="M240" i="6"/>
  <c r="L240" i="6"/>
  <c r="K240" i="6"/>
  <c r="J240" i="6"/>
  <c r="I240" i="6"/>
  <c r="H240" i="6"/>
  <c r="G240" i="6"/>
  <c r="F240" i="6"/>
  <c r="AE239" i="6"/>
  <c r="AC239" i="6"/>
  <c r="AB239" i="6"/>
  <c r="AA239" i="6"/>
  <c r="Z239" i="6"/>
  <c r="Y239" i="6"/>
  <c r="X239" i="6"/>
  <c r="W239" i="6"/>
  <c r="V239" i="6"/>
  <c r="U239" i="6"/>
  <c r="T239" i="6"/>
  <c r="S239" i="6"/>
  <c r="R239" i="6"/>
  <c r="Q239" i="6"/>
  <c r="P239" i="6"/>
  <c r="O239" i="6"/>
  <c r="N239" i="6"/>
  <c r="M239" i="6"/>
  <c r="L239" i="6"/>
  <c r="K239" i="6"/>
  <c r="J239" i="6"/>
  <c r="I239" i="6"/>
  <c r="H239" i="6"/>
  <c r="G239" i="6"/>
  <c r="F239" i="6"/>
  <c r="AE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H238" i="6"/>
  <c r="G238" i="6"/>
  <c r="F238" i="6"/>
  <c r="AE237" i="6"/>
  <c r="AC237" i="6"/>
  <c r="AB237" i="6"/>
  <c r="AA237" i="6"/>
  <c r="Z237" i="6"/>
  <c r="Y237" i="6"/>
  <c r="X237" i="6"/>
  <c r="W237" i="6"/>
  <c r="V237" i="6"/>
  <c r="U237" i="6"/>
  <c r="T237" i="6"/>
  <c r="S237" i="6"/>
  <c r="R237" i="6"/>
  <c r="Q237" i="6"/>
  <c r="P237" i="6"/>
  <c r="O237" i="6"/>
  <c r="N237" i="6"/>
  <c r="M237" i="6"/>
  <c r="L237" i="6"/>
  <c r="K237" i="6"/>
  <c r="J237" i="6"/>
  <c r="I237" i="6"/>
  <c r="H237" i="6"/>
  <c r="G237" i="6"/>
  <c r="F237" i="6"/>
  <c r="AE236" i="6"/>
  <c r="AC236" i="6"/>
  <c r="AB236" i="6"/>
  <c r="AA236" i="6"/>
  <c r="Z236" i="6"/>
  <c r="Y236" i="6"/>
  <c r="X236" i="6"/>
  <c r="W236" i="6"/>
  <c r="V236" i="6"/>
  <c r="U236" i="6"/>
  <c r="T236" i="6"/>
  <c r="S236" i="6"/>
  <c r="R236" i="6"/>
  <c r="Q236" i="6"/>
  <c r="P236" i="6"/>
  <c r="O236" i="6"/>
  <c r="N236" i="6"/>
  <c r="M236" i="6"/>
  <c r="L236" i="6"/>
  <c r="K236" i="6"/>
  <c r="J236" i="6"/>
  <c r="I236" i="6"/>
  <c r="H236" i="6"/>
  <c r="G236" i="6"/>
  <c r="F236" i="6"/>
  <c r="AE235" i="6"/>
  <c r="AC235" i="6"/>
  <c r="AB235" i="6"/>
  <c r="AA235" i="6"/>
  <c r="Z235" i="6"/>
  <c r="Y235" i="6"/>
  <c r="X235" i="6"/>
  <c r="W235" i="6"/>
  <c r="V235" i="6"/>
  <c r="U235" i="6"/>
  <c r="T235" i="6"/>
  <c r="S235" i="6"/>
  <c r="R235" i="6"/>
  <c r="Q235" i="6"/>
  <c r="P235" i="6"/>
  <c r="O235" i="6"/>
  <c r="N235" i="6"/>
  <c r="M235" i="6"/>
  <c r="L235" i="6"/>
  <c r="K235" i="6"/>
  <c r="J235" i="6"/>
  <c r="I235" i="6"/>
  <c r="H235" i="6"/>
  <c r="G235" i="6"/>
  <c r="F235" i="6"/>
  <c r="AE234" i="6"/>
  <c r="AC234" i="6"/>
  <c r="AB234" i="6"/>
  <c r="AA234" i="6"/>
  <c r="Z234" i="6"/>
  <c r="Y234" i="6"/>
  <c r="X234" i="6"/>
  <c r="W234" i="6"/>
  <c r="V234" i="6"/>
  <c r="U234" i="6"/>
  <c r="T234" i="6"/>
  <c r="S234" i="6"/>
  <c r="R234" i="6"/>
  <c r="Q234" i="6"/>
  <c r="P234" i="6"/>
  <c r="O234" i="6"/>
  <c r="N234" i="6"/>
  <c r="M234" i="6"/>
  <c r="L234" i="6"/>
  <c r="K234" i="6"/>
  <c r="J234" i="6"/>
  <c r="I234" i="6"/>
  <c r="H234" i="6"/>
  <c r="G234" i="6"/>
  <c r="F234" i="6"/>
  <c r="AE233" i="6"/>
  <c r="AC233" i="6"/>
  <c r="AB233" i="6"/>
  <c r="AA233" i="6"/>
  <c r="Z233" i="6"/>
  <c r="Y233" i="6"/>
  <c r="X233" i="6"/>
  <c r="W233" i="6"/>
  <c r="V233" i="6"/>
  <c r="U233" i="6"/>
  <c r="T233" i="6"/>
  <c r="S233" i="6"/>
  <c r="R233" i="6"/>
  <c r="Q233" i="6"/>
  <c r="P233" i="6"/>
  <c r="O233" i="6"/>
  <c r="N233" i="6"/>
  <c r="M233" i="6"/>
  <c r="L233" i="6"/>
  <c r="K233" i="6"/>
  <c r="J233" i="6"/>
  <c r="I233" i="6"/>
  <c r="H233" i="6"/>
  <c r="G233" i="6"/>
  <c r="F233" i="6"/>
  <c r="AE232" i="6"/>
  <c r="AC232" i="6"/>
  <c r="AB232" i="6"/>
  <c r="AA232" i="6"/>
  <c r="Z232" i="6"/>
  <c r="Y232" i="6"/>
  <c r="X232" i="6"/>
  <c r="W232" i="6"/>
  <c r="V232" i="6"/>
  <c r="U232" i="6"/>
  <c r="T232" i="6"/>
  <c r="S232" i="6"/>
  <c r="R232" i="6"/>
  <c r="Q232" i="6"/>
  <c r="P232" i="6"/>
  <c r="O232" i="6"/>
  <c r="N232" i="6"/>
  <c r="M232" i="6"/>
  <c r="L232" i="6"/>
  <c r="K232" i="6"/>
  <c r="J232" i="6"/>
  <c r="I232" i="6"/>
  <c r="H232" i="6"/>
  <c r="G232" i="6"/>
  <c r="F232" i="6"/>
  <c r="AE231" i="6"/>
  <c r="AC231" i="6"/>
  <c r="AB231" i="6"/>
  <c r="AA231" i="6"/>
  <c r="Z231" i="6"/>
  <c r="Y231" i="6"/>
  <c r="X231" i="6"/>
  <c r="W231" i="6"/>
  <c r="V231" i="6"/>
  <c r="U231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H231" i="6"/>
  <c r="G231" i="6"/>
  <c r="F231" i="6"/>
  <c r="AE230" i="6"/>
  <c r="AC230" i="6"/>
  <c r="AB230" i="6"/>
  <c r="AA230" i="6"/>
  <c r="Z230" i="6"/>
  <c r="Y230" i="6"/>
  <c r="X230" i="6"/>
  <c r="W230" i="6"/>
  <c r="V230" i="6"/>
  <c r="U230" i="6"/>
  <c r="T230" i="6"/>
  <c r="S230" i="6"/>
  <c r="R230" i="6"/>
  <c r="Q230" i="6"/>
  <c r="P230" i="6"/>
  <c r="O230" i="6"/>
  <c r="N230" i="6"/>
  <c r="M230" i="6"/>
  <c r="L230" i="6"/>
  <c r="K230" i="6"/>
  <c r="J230" i="6"/>
  <c r="I230" i="6"/>
  <c r="H230" i="6"/>
  <c r="G230" i="6"/>
  <c r="F230" i="6"/>
  <c r="AE229" i="6"/>
  <c r="AC229" i="6"/>
  <c r="AB229" i="6"/>
  <c r="AA229" i="6"/>
  <c r="Z229" i="6"/>
  <c r="Y229" i="6"/>
  <c r="X229" i="6"/>
  <c r="W229" i="6"/>
  <c r="V229" i="6"/>
  <c r="U229" i="6"/>
  <c r="T229" i="6"/>
  <c r="S229" i="6"/>
  <c r="R229" i="6"/>
  <c r="Q229" i="6"/>
  <c r="P229" i="6"/>
  <c r="O229" i="6"/>
  <c r="N229" i="6"/>
  <c r="M229" i="6"/>
  <c r="L229" i="6"/>
  <c r="K229" i="6"/>
  <c r="J229" i="6"/>
  <c r="I229" i="6"/>
  <c r="H229" i="6"/>
  <c r="G229" i="6"/>
  <c r="F229" i="6"/>
  <c r="AE228" i="6"/>
  <c r="AC228" i="6"/>
  <c r="AB228" i="6"/>
  <c r="AA228" i="6"/>
  <c r="Z228" i="6"/>
  <c r="Y228" i="6"/>
  <c r="X228" i="6"/>
  <c r="W228" i="6"/>
  <c r="V228" i="6"/>
  <c r="U228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H228" i="6"/>
  <c r="G228" i="6"/>
  <c r="F228" i="6"/>
  <c r="AE227" i="6"/>
  <c r="AC227" i="6"/>
  <c r="AB227" i="6"/>
  <c r="AA227" i="6"/>
  <c r="Z227" i="6"/>
  <c r="Y227" i="6"/>
  <c r="X227" i="6"/>
  <c r="W227" i="6"/>
  <c r="V227" i="6"/>
  <c r="U227" i="6"/>
  <c r="T227" i="6"/>
  <c r="S227" i="6"/>
  <c r="R227" i="6"/>
  <c r="Q227" i="6"/>
  <c r="P227" i="6"/>
  <c r="O227" i="6"/>
  <c r="N227" i="6"/>
  <c r="M227" i="6"/>
  <c r="L227" i="6"/>
  <c r="K227" i="6"/>
  <c r="J227" i="6"/>
  <c r="I227" i="6"/>
  <c r="H227" i="6"/>
  <c r="G227" i="6"/>
  <c r="F227" i="6"/>
  <c r="AE226" i="6"/>
  <c r="AC226" i="6"/>
  <c r="AB226" i="6"/>
  <c r="AA226" i="6"/>
  <c r="Z226" i="6"/>
  <c r="Y226" i="6"/>
  <c r="X226" i="6"/>
  <c r="W226" i="6"/>
  <c r="V226" i="6"/>
  <c r="U226" i="6"/>
  <c r="T226" i="6"/>
  <c r="S226" i="6"/>
  <c r="R226" i="6"/>
  <c r="Q226" i="6"/>
  <c r="P226" i="6"/>
  <c r="O226" i="6"/>
  <c r="N226" i="6"/>
  <c r="M226" i="6"/>
  <c r="L226" i="6"/>
  <c r="K226" i="6"/>
  <c r="J226" i="6"/>
  <c r="I226" i="6"/>
  <c r="H226" i="6"/>
  <c r="G226" i="6"/>
  <c r="F226" i="6"/>
  <c r="AE225" i="6"/>
  <c r="AC225" i="6"/>
  <c r="AB225" i="6"/>
  <c r="AA225" i="6"/>
  <c r="Z225" i="6"/>
  <c r="Y225" i="6"/>
  <c r="X225" i="6"/>
  <c r="W225" i="6"/>
  <c r="V225" i="6"/>
  <c r="U225" i="6"/>
  <c r="T225" i="6"/>
  <c r="S225" i="6"/>
  <c r="R225" i="6"/>
  <c r="Q225" i="6"/>
  <c r="P225" i="6"/>
  <c r="O225" i="6"/>
  <c r="N225" i="6"/>
  <c r="M225" i="6"/>
  <c r="L225" i="6"/>
  <c r="K225" i="6"/>
  <c r="J225" i="6"/>
  <c r="I225" i="6"/>
  <c r="H225" i="6"/>
  <c r="G225" i="6"/>
  <c r="F225" i="6"/>
  <c r="AE224" i="6"/>
  <c r="AC224" i="6"/>
  <c r="AB224" i="6"/>
  <c r="AA224" i="6"/>
  <c r="Z224" i="6"/>
  <c r="Y224" i="6"/>
  <c r="X224" i="6"/>
  <c r="W224" i="6"/>
  <c r="V224" i="6"/>
  <c r="U224" i="6"/>
  <c r="T224" i="6"/>
  <c r="S224" i="6"/>
  <c r="R224" i="6"/>
  <c r="Q224" i="6"/>
  <c r="P224" i="6"/>
  <c r="O224" i="6"/>
  <c r="N224" i="6"/>
  <c r="M224" i="6"/>
  <c r="L224" i="6"/>
  <c r="K224" i="6"/>
  <c r="J224" i="6"/>
  <c r="I224" i="6"/>
  <c r="H224" i="6"/>
  <c r="G224" i="6"/>
  <c r="F224" i="6"/>
  <c r="AE223" i="6"/>
  <c r="AC223" i="6"/>
  <c r="AB223" i="6"/>
  <c r="AA223" i="6"/>
  <c r="Z223" i="6"/>
  <c r="Y223" i="6"/>
  <c r="X223" i="6"/>
  <c r="W223" i="6"/>
  <c r="V223" i="6"/>
  <c r="U223" i="6"/>
  <c r="T223" i="6"/>
  <c r="S223" i="6"/>
  <c r="R223" i="6"/>
  <c r="Q223" i="6"/>
  <c r="P223" i="6"/>
  <c r="O223" i="6"/>
  <c r="N223" i="6"/>
  <c r="M223" i="6"/>
  <c r="L223" i="6"/>
  <c r="K223" i="6"/>
  <c r="J223" i="6"/>
  <c r="I223" i="6"/>
  <c r="H223" i="6"/>
  <c r="G223" i="6"/>
  <c r="F223" i="6"/>
  <c r="AE222" i="6"/>
  <c r="AC222" i="6"/>
  <c r="AB222" i="6"/>
  <c r="AA222" i="6"/>
  <c r="Z222" i="6"/>
  <c r="Y222" i="6"/>
  <c r="X222" i="6"/>
  <c r="W222" i="6"/>
  <c r="V222" i="6"/>
  <c r="U222" i="6"/>
  <c r="T222" i="6"/>
  <c r="S222" i="6"/>
  <c r="R222" i="6"/>
  <c r="Q222" i="6"/>
  <c r="P222" i="6"/>
  <c r="O222" i="6"/>
  <c r="N222" i="6"/>
  <c r="M222" i="6"/>
  <c r="L222" i="6"/>
  <c r="K222" i="6"/>
  <c r="J222" i="6"/>
  <c r="I222" i="6"/>
  <c r="H222" i="6"/>
  <c r="G222" i="6"/>
  <c r="F222" i="6"/>
  <c r="AE221" i="6"/>
  <c r="AC221" i="6"/>
  <c r="AB221" i="6"/>
  <c r="AA221" i="6"/>
  <c r="Z221" i="6"/>
  <c r="Y221" i="6"/>
  <c r="X221" i="6"/>
  <c r="W221" i="6"/>
  <c r="V221" i="6"/>
  <c r="U221" i="6"/>
  <c r="T221" i="6"/>
  <c r="S221" i="6"/>
  <c r="R221" i="6"/>
  <c r="Q221" i="6"/>
  <c r="P221" i="6"/>
  <c r="O221" i="6"/>
  <c r="N221" i="6"/>
  <c r="M221" i="6"/>
  <c r="L221" i="6"/>
  <c r="K221" i="6"/>
  <c r="J221" i="6"/>
  <c r="I221" i="6"/>
  <c r="H221" i="6"/>
  <c r="G221" i="6"/>
  <c r="F221" i="6"/>
  <c r="AE220" i="6"/>
  <c r="AC220" i="6"/>
  <c r="AB220" i="6"/>
  <c r="AA220" i="6"/>
  <c r="Z220" i="6"/>
  <c r="Y220" i="6"/>
  <c r="X220" i="6"/>
  <c r="W220" i="6"/>
  <c r="V220" i="6"/>
  <c r="U220" i="6"/>
  <c r="T220" i="6"/>
  <c r="S220" i="6"/>
  <c r="R220" i="6"/>
  <c r="Q220" i="6"/>
  <c r="P220" i="6"/>
  <c r="O220" i="6"/>
  <c r="N220" i="6"/>
  <c r="M220" i="6"/>
  <c r="L220" i="6"/>
  <c r="K220" i="6"/>
  <c r="J220" i="6"/>
  <c r="I220" i="6"/>
  <c r="H220" i="6"/>
  <c r="G220" i="6"/>
  <c r="F220" i="6"/>
  <c r="AE219" i="6"/>
  <c r="AC219" i="6"/>
  <c r="AB219" i="6"/>
  <c r="AA219" i="6"/>
  <c r="Z219" i="6"/>
  <c r="Y219" i="6"/>
  <c r="X219" i="6"/>
  <c r="W219" i="6"/>
  <c r="V219" i="6"/>
  <c r="U219" i="6"/>
  <c r="T219" i="6"/>
  <c r="S219" i="6"/>
  <c r="R219" i="6"/>
  <c r="Q219" i="6"/>
  <c r="P219" i="6"/>
  <c r="O219" i="6"/>
  <c r="N219" i="6"/>
  <c r="M219" i="6"/>
  <c r="L219" i="6"/>
  <c r="K219" i="6"/>
  <c r="J219" i="6"/>
  <c r="I219" i="6"/>
  <c r="H219" i="6"/>
  <c r="G219" i="6"/>
  <c r="F219" i="6"/>
  <c r="AE218" i="6"/>
  <c r="AC218" i="6"/>
  <c r="AB218" i="6"/>
  <c r="AA218" i="6"/>
  <c r="Z218" i="6"/>
  <c r="Y218" i="6"/>
  <c r="X218" i="6"/>
  <c r="W218" i="6"/>
  <c r="V218" i="6"/>
  <c r="U218" i="6"/>
  <c r="T218" i="6"/>
  <c r="S218" i="6"/>
  <c r="R218" i="6"/>
  <c r="Q218" i="6"/>
  <c r="P218" i="6"/>
  <c r="O218" i="6"/>
  <c r="N218" i="6"/>
  <c r="M218" i="6"/>
  <c r="L218" i="6"/>
  <c r="K218" i="6"/>
  <c r="J218" i="6"/>
  <c r="I218" i="6"/>
  <c r="H218" i="6"/>
  <c r="G218" i="6"/>
  <c r="F218" i="6"/>
  <c r="AE217" i="6"/>
  <c r="AC217" i="6"/>
  <c r="AB217" i="6"/>
  <c r="AA217" i="6"/>
  <c r="Z217" i="6"/>
  <c r="Y217" i="6"/>
  <c r="X217" i="6"/>
  <c r="W217" i="6"/>
  <c r="V217" i="6"/>
  <c r="U217" i="6"/>
  <c r="T217" i="6"/>
  <c r="S217" i="6"/>
  <c r="R217" i="6"/>
  <c r="Q217" i="6"/>
  <c r="P217" i="6"/>
  <c r="O217" i="6"/>
  <c r="N217" i="6"/>
  <c r="M217" i="6"/>
  <c r="L217" i="6"/>
  <c r="K217" i="6"/>
  <c r="J217" i="6"/>
  <c r="I217" i="6"/>
  <c r="H217" i="6"/>
  <c r="G217" i="6"/>
  <c r="F217" i="6"/>
  <c r="AE216" i="6"/>
  <c r="AC216" i="6"/>
  <c r="AB216" i="6"/>
  <c r="AA216" i="6"/>
  <c r="Z216" i="6"/>
  <c r="Y216" i="6"/>
  <c r="X216" i="6"/>
  <c r="W216" i="6"/>
  <c r="V216" i="6"/>
  <c r="U216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H216" i="6"/>
  <c r="G216" i="6"/>
  <c r="F216" i="6"/>
  <c r="AE215" i="6"/>
  <c r="AC215" i="6"/>
  <c r="AB215" i="6"/>
  <c r="AA215" i="6"/>
  <c r="Z215" i="6"/>
  <c r="Y215" i="6"/>
  <c r="X215" i="6"/>
  <c r="W215" i="6"/>
  <c r="V215" i="6"/>
  <c r="U215" i="6"/>
  <c r="T215" i="6"/>
  <c r="S215" i="6"/>
  <c r="R215" i="6"/>
  <c r="Q215" i="6"/>
  <c r="P215" i="6"/>
  <c r="O215" i="6"/>
  <c r="N215" i="6"/>
  <c r="M215" i="6"/>
  <c r="L215" i="6"/>
  <c r="K215" i="6"/>
  <c r="J215" i="6"/>
  <c r="I215" i="6"/>
  <c r="H215" i="6"/>
  <c r="G215" i="6"/>
  <c r="F215" i="6"/>
  <c r="AE214" i="6"/>
  <c r="AC214" i="6"/>
  <c r="AB214" i="6"/>
  <c r="AA214" i="6"/>
  <c r="Z214" i="6"/>
  <c r="Y214" i="6"/>
  <c r="X214" i="6"/>
  <c r="W214" i="6"/>
  <c r="V214" i="6"/>
  <c r="U214" i="6"/>
  <c r="T214" i="6"/>
  <c r="S214" i="6"/>
  <c r="R214" i="6"/>
  <c r="Q214" i="6"/>
  <c r="P214" i="6"/>
  <c r="O214" i="6"/>
  <c r="N214" i="6"/>
  <c r="M214" i="6"/>
  <c r="L214" i="6"/>
  <c r="K214" i="6"/>
  <c r="J214" i="6"/>
  <c r="I214" i="6"/>
  <c r="H214" i="6"/>
  <c r="G214" i="6"/>
  <c r="F214" i="6"/>
  <c r="AE213" i="6"/>
  <c r="AC213" i="6"/>
  <c r="AB213" i="6"/>
  <c r="AA213" i="6"/>
  <c r="Z213" i="6"/>
  <c r="Y213" i="6"/>
  <c r="X213" i="6"/>
  <c r="W213" i="6"/>
  <c r="V213" i="6"/>
  <c r="U213" i="6"/>
  <c r="T213" i="6"/>
  <c r="S213" i="6"/>
  <c r="R213" i="6"/>
  <c r="Q213" i="6"/>
  <c r="P213" i="6"/>
  <c r="O213" i="6"/>
  <c r="N213" i="6"/>
  <c r="M213" i="6"/>
  <c r="L213" i="6"/>
  <c r="K213" i="6"/>
  <c r="J213" i="6"/>
  <c r="I213" i="6"/>
  <c r="H213" i="6"/>
  <c r="G213" i="6"/>
  <c r="F213" i="6"/>
  <c r="AE212" i="6"/>
  <c r="AC212" i="6"/>
  <c r="AB212" i="6"/>
  <c r="AA212" i="6"/>
  <c r="Z212" i="6"/>
  <c r="Y212" i="6"/>
  <c r="X212" i="6"/>
  <c r="W212" i="6"/>
  <c r="V212" i="6"/>
  <c r="U212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H212" i="6"/>
  <c r="G212" i="6"/>
  <c r="F212" i="6"/>
  <c r="AE211" i="6"/>
  <c r="AC211" i="6"/>
  <c r="AB211" i="6"/>
  <c r="AA211" i="6"/>
  <c r="Z211" i="6"/>
  <c r="Y211" i="6"/>
  <c r="X211" i="6"/>
  <c r="W211" i="6"/>
  <c r="V211" i="6"/>
  <c r="U211" i="6"/>
  <c r="T211" i="6"/>
  <c r="S211" i="6"/>
  <c r="R211" i="6"/>
  <c r="Q211" i="6"/>
  <c r="P211" i="6"/>
  <c r="O211" i="6"/>
  <c r="N211" i="6"/>
  <c r="M211" i="6"/>
  <c r="L211" i="6"/>
  <c r="K211" i="6"/>
  <c r="J211" i="6"/>
  <c r="I211" i="6"/>
  <c r="H211" i="6"/>
  <c r="G211" i="6"/>
  <c r="F211" i="6"/>
  <c r="AE210" i="6"/>
  <c r="AC210" i="6"/>
  <c r="AB210" i="6"/>
  <c r="AA210" i="6"/>
  <c r="Z210" i="6"/>
  <c r="Y210" i="6"/>
  <c r="X210" i="6"/>
  <c r="W210" i="6"/>
  <c r="V210" i="6"/>
  <c r="U210" i="6"/>
  <c r="T210" i="6"/>
  <c r="S210" i="6"/>
  <c r="R210" i="6"/>
  <c r="Q210" i="6"/>
  <c r="P210" i="6"/>
  <c r="O210" i="6"/>
  <c r="N210" i="6"/>
  <c r="M210" i="6"/>
  <c r="L210" i="6"/>
  <c r="K210" i="6"/>
  <c r="J210" i="6"/>
  <c r="I210" i="6"/>
  <c r="H210" i="6"/>
  <c r="G210" i="6"/>
  <c r="F210" i="6"/>
  <c r="AE209" i="6"/>
  <c r="AC209" i="6"/>
  <c r="AB209" i="6"/>
  <c r="AA209" i="6"/>
  <c r="Z209" i="6"/>
  <c r="Y209" i="6"/>
  <c r="X209" i="6"/>
  <c r="W209" i="6"/>
  <c r="V209" i="6"/>
  <c r="U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H209" i="6"/>
  <c r="G209" i="6"/>
  <c r="F209" i="6"/>
  <c r="AE208" i="6"/>
  <c r="AC208" i="6"/>
  <c r="AB208" i="6"/>
  <c r="AA208" i="6"/>
  <c r="Z208" i="6"/>
  <c r="Y208" i="6"/>
  <c r="X208" i="6"/>
  <c r="W208" i="6"/>
  <c r="V208" i="6"/>
  <c r="U208" i="6"/>
  <c r="T208" i="6"/>
  <c r="S208" i="6"/>
  <c r="R208" i="6"/>
  <c r="Q208" i="6"/>
  <c r="P208" i="6"/>
  <c r="O208" i="6"/>
  <c r="N208" i="6"/>
  <c r="M208" i="6"/>
  <c r="L208" i="6"/>
  <c r="K208" i="6"/>
  <c r="J208" i="6"/>
  <c r="I208" i="6"/>
  <c r="H208" i="6"/>
  <c r="G208" i="6"/>
  <c r="F208" i="6"/>
  <c r="AE207" i="6"/>
  <c r="AC207" i="6"/>
  <c r="AB207" i="6"/>
  <c r="AA207" i="6"/>
  <c r="Z207" i="6"/>
  <c r="Y207" i="6"/>
  <c r="X207" i="6"/>
  <c r="W207" i="6"/>
  <c r="V207" i="6"/>
  <c r="U207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H207" i="6"/>
  <c r="G207" i="6"/>
  <c r="F207" i="6"/>
  <c r="AE206" i="6"/>
  <c r="AC206" i="6"/>
  <c r="AB206" i="6"/>
  <c r="AA206" i="6"/>
  <c r="Z206" i="6"/>
  <c r="Y206" i="6"/>
  <c r="X206" i="6"/>
  <c r="W206" i="6"/>
  <c r="V206" i="6"/>
  <c r="U206" i="6"/>
  <c r="T206" i="6"/>
  <c r="S206" i="6"/>
  <c r="R206" i="6"/>
  <c r="Q206" i="6"/>
  <c r="P206" i="6"/>
  <c r="O206" i="6"/>
  <c r="N206" i="6"/>
  <c r="M206" i="6"/>
  <c r="L206" i="6"/>
  <c r="K206" i="6"/>
  <c r="J206" i="6"/>
  <c r="I206" i="6"/>
  <c r="H206" i="6"/>
  <c r="G206" i="6"/>
  <c r="F206" i="6"/>
  <c r="AE205" i="6"/>
  <c r="AC205" i="6"/>
  <c r="AB205" i="6"/>
  <c r="AA205" i="6"/>
  <c r="Z205" i="6"/>
  <c r="Y205" i="6"/>
  <c r="X205" i="6"/>
  <c r="W205" i="6"/>
  <c r="V205" i="6"/>
  <c r="U205" i="6"/>
  <c r="T205" i="6"/>
  <c r="S205" i="6"/>
  <c r="R205" i="6"/>
  <c r="Q205" i="6"/>
  <c r="P205" i="6"/>
  <c r="O205" i="6"/>
  <c r="N205" i="6"/>
  <c r="M205" i="6"/>
  <c r="L205" i="6"/>
  <c r="K205" i="6"/>
  <c r="J205" i="6"/>
  <c r="I205" i="6"/>
  <c r="H205" i="6"/>
  <c r="G205" i="6"/>
  <c r="F205" i="6"/>
  <c r="AE204" i="6"/>
  <c r="AC204" i="6"/>
  <c r="AB204" i="6"/>
  <c r="AA204" i="6"/>
  <c r="Z204" i="6"/>
  <c r="Y204" i="6"/>
  <c r="X204" i="6"/>
  <c r="W204" i="6"/>
  <c r="V204" i="6"/>
  <c r="U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H204" i="6"/>
  <c r="G204" i="6"/>
  <c r="F204" i="6"/>
  <c r="AE203" i="6"/>
  <c r="AC203" i="6"/>
  <c r="AB203" i="6"/>
  <c r="AA203" i="6"/>
  <c r="Z203" i="6"/>
  <c r="Y203" i="6"/>
  <c r="X203" i="6"/>
  <c r="W203" i="6"/>
  <c r="V203" i="6"/>
  <c r="U203" i="6"/>
  <c r="T203" i="6"/>
  <c r="S203" i="6"/>
  <c r="R203" i="6"/>
  <c r="Q203" i="6"/>
  <c r="P203" i="6"/>
  <c r="O203" i="6"/>
  <c r="N203" i="6"/>
  <c r="M203" i="6"/>
  <c r="L203" i="6"/>
  <c r="K203" i="6"/>
  <c r="J203" i="6"/>
  <c r="I203" i="6"/>
  <c r="H203" i="6"/>
  <c r="G203" i="6"/>
  <c r="F203" i="6"/>
  <c r="AE202" i="6"/>
  <c r="AC202" i="6"/>
  <c r="AB202" i="6"/>
  <c r="AA202" i="6"/>
  <c r="Z202" i="6"/>
  <c r="Y202" i="6"/>
  <c r="X202" i="6"/>
  <c r="W202" i="6"/>
  <c r="V202" i="6"/>
  <c r="U202" i="6"/>
  <c r="T202" i="6"/>
  <c r="S202" i="6"/>
  <c r="R202" i="6"/>
  <c r="Q202" i="6"/>
  <c r="P202" i="6"/>
  <c r="O202" i="6"/>
  <c r="N202" i="6"/>
  <c r="M202" i="6"/>
  <c r="L202" i="6"/>
  <c r="K202" i="6"/>
  <c r="J202" i="6"/>
  <c r="I202" i="6"/>
  <c r="H202" i="6"/>
  <c r="G202" i="6"/>
  <c r="F202" i="6"/>
  <c r="AE201" i="6"/>
  <c r="AC201" i="6"/>
  <c r="AB201" i="6"/>
  <c r="AA201" i="6"/>
  <c r="Z201" i="6"/>
  <c r="Y201" i="6"/>
  <c r="X201" i="6"/>
  <c r="W201" i="6"/>
  <c r="V201" i="6"/>
  <c r="U201" i="6"/>
  <c r="T201" i="6"/>
  <c r="S201" i="6"/>
  <c r="R201" i="6"/>
  <c r="Q201" i="6"/>
  <c r="P201" i="6"/>
  <c r="O201" i="6"/>
  <c r="N201" i="6"/>
  <c r="M201" i="6"/>
  <c r="L201" i="6"/>
  <c r="K201" i="6"/>
  <c r="J201" i="6"/>
  <c r="I201" i="6"/>
  <c r="H201" i="6"/>
  <c r="G201" i="6"/>
  <c r="F201" i="6"/>
  <c r="AE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H200" i="6"/>
  <c r="G200" i="6"/>
  <c r="F200" i="6"/>
  <c r="AE199" i="6"/>
  <c r="AC199" i="6"/>
  <c r="AB199" i="6"/>
  <c r="AA199" i="6"/>
  <c r="Z199" i="6"/>
  <c r="Y199" i="6"/>
  <c r="X199" i="6"/>
  <c r="W199" i="6"/>
  <c r="V199" i="6"/>
  <c r="U199" i="6"/>
  <c r="T199" i="6"/>
  <c r="S199" i="6"/>
  <c r="R199" i="6"/>
  <c r="Q199" i="6"/>
  <c r="P199" i="6"/>
  <c r="O199" i="6"/>
  <c r="N199" i="6"/>
  <c r="M199" i="6"/>
  <c r="L199" i="6"/>
  <c r="K199" i="6"/>
  <c r="J199" i="6"/>
  <c r="I199" i="6"/>
  <c r="H199" i="6"/>
  <c r="G199" i="6"/>
  <c r="F199" i="6"/>
  <c r="AE198" i="6"/>
  <c r="AC198" i="6"/>
  <c r="AB198" i="6"/>
  <c r="AA198" i="6"/>
  <c r="Z198" i="6"/>
  <c r="Y198" i="6"/>
  <c r="X198" i="6"/>
  <c r="W198" i="6"/>
  <c r="V198" i="6"/>
  <c r="U198" i="6"/>
  <c r="T198" i="6"/>
  <c r="S198" i="6"/>
  <c r="R198" i="6"/>
  <c r="Q198" i="6"/>
  <c r="P198" i="6"/>
  <c r="O198" i="6"/>
  <c r="N198" i="6"/>
  <c r="M198" i="6"/>
  <c r="L198" i="6"/>
  <c r="K198" i="6"/>
  <c r="J198" i="6"/>
  <c r="I198" i="6"/>
  <c r="H198" i="6"/>
  <c r="G198" i="6"/>
  <c r="F198" i="6"/>
  <c r="AE197" i="6"/>
  <c r="AC197" i="6"/>
  <c r="AB197" i="6"/>
  <c r="AA197" i="6"/>
  <c r="Z197" i="6"/>
  <c r="Y197" i="6"/>
  <c r="X197" i="6"/>
  <c r="W197" i="6"/>
  <c r="V197" i="6"/>
  <c r="U197" i="6"/>
  <c r="T197" i="6"/>
  <c r="S197" i="6"/>
  <c r="R197" i="6"/>
  <c r="Q197" i="6"/>
  <c r="P197" i="6"/>
  <c r="O197" i="6"/>
  <c r="N197" i="6"/>
  <c r="M197" i="6"/>
  <c r="L197" i="6"/>
  <c r="K197" i="6"/>
  <c r="J197" i="6"/>
  <c r="I197" i="6"/>
  <c r="H197" i="6"/>
  <c r="G197" i="6"/>
  <c r="F197" i="6"/>
  <c r="AE196" i="6"/>
  <c r="AC196" i="6"/>
  <c r="AB196" i="6"/>
  <c r="AA196" i="6"/>
  <c r="Z196" i="6"/>
  <c r="Y196" i="6"/>
  <c r="X196" i="6"/>
  <c r="W196" i="6"/>
  <c r="V196" i="6"/>
  <c r="U196" i="6"/>
  <c r="T196" i="6"/>
  <c r="S196" i="6"/>
  <c r="R196" i="6"/>
  <c r="Q196" i="6"/>
  <c r="P196" i="6"/>
  <c r="O196" i="6"/>
  <c r="N196" i="6"/>
  <c r="M196" i="6"/>
  <c r="L196" i="6"/>
  <c r="K196" i="6"/>
  <c r="J196" i="6"/>
  <c r="I196" i="6"/>
  <c r="H196" i="6"/>
  <c r="G196" i="6"/>
  <c r="F196" i="6"/>
  <c r="AE195" i="6"/>
  <c r="AC195" i="6"/>
  <c r="AB195" i="6"/>
  <c r="AA195" i="6"/>
  <c r="Z195" i="6"/>
  <c r="Y195" i="6"/>
  <c r="X195" i="6"/>
  <c r="W195" i="6"/>
  <c r="V195" i="6"/>
  <c r="U195" i="6"/>
  <c r="T195" i="6"/>
  <c r="S195" i="6"/>
  <c r="R195" i="6"/>
  <c r="Q195" i="6"/>
  <c r="P195" i="6"/>
  <c r="O195" i="6"/>
  <c r="N195" i="6"/>
  <c r="M195" i="6"/>
  <c r="L195" i="6"/>
  <c r="K195" i="6"/>
  <c r="J195" i="6"/>
  <c r="I195" i="6"/>
  <c r="H195" i="6"/>
  <c r="G195" i="6"/>
  <c r="F195" i="6"/>
  <c r="AE194" i="6"/>
  <c r="AC194" i="6"/>
  <c r="AB194" i="6"/>
  <c r="AA194" i="6"/>
  <c r="Z194" i="6"/>
  <c r="Y194" i="6"/>
  <c r="X194" i="6"/>
  <c r="W194" i="6"/>
  <c r="V194" i="6"/>
  <c r="U194" i="6"/>
  <c r="T194" i="6"/>
  <c r="S194" i="6"/>
  <c r="R194" i="6"/>
  <c r="Q194" i="6"/>
  <c r="P194" i="6"/>
  <c r="O194" i="6"/>
  <c r="N194" i="6"/>
  <c r="M194" i="6"/>
  <c r="L194" i="6"/>
  <c r="K194" i="6"/>
  <c r="J194" i="6"/>
  <c r="I194" i="6"/>
  <c r="H194" i="6"/>
  <c r="G194" i="6"/>
  <c r="F194" i="6"/>
  <c r="AE193" i="6"/>
  <c r="AC193" i="6"/>
  <c r="AB193" i="6"/>
  <c r="AA193" i="6"/>
  <c r="Z193" i="6"/>
  <c r="Y193" i="6"/>
  <c r="X193" i="6"/>
  <c r="W193" i="6"/>
  <c r="V193" i="6"/>
  <c r="U193" i="6"/>
  <c r="T193" i="6"/>
  <c r="S193" i="6"/>
  <c r="R193" i="6"/>
  <c r="Q193" i="6"/>
  <c r="P193" i="6"/>
  <c r="O193" i="6"/>
  <c r="N193" i="6"/>
  <c r="M193" i="6"/>
  <c r="L193" i="6"/>
  <c r="K193" i="6"/>
  <c r="J193" i="6"/>
  <c r="I193" i="6"/>
  <c r="H193" i="6"/>
  <c r="G193" i="6"/>
  <c r="F193" i="6"/>
  <c r="AE192" i="6"/>
  <c r="AC192" i="6"/>
  <c r="AB192" i="6"/>
  <c r="AA192" i="6"/>
  <c r="Z192" i="6"/>
  <c r="Y192" i="6"/>
  <c r="X192" i="6"/>
  <c r="W192" i="6"/>
  <c r="V192" i="6"/>
  <c r="U192" i="6"/>
  <c r="T192" i="6"/>
  <c r="S192" i="6"/>
  <c r="R192" i="6"/>
  <c r="Q192" i="6"/>
  <c r="P192" i="6"/>
  <c r="O192" i="6"/>
  <c r="N192" i="6"/>
  <c r="M192" i="6"/>
  <c r="L192" i="6"/>
  <c r="K192" i="6"/>
  <c r="J192" i="6"/>
  <c r="I192" i="6"/>
  <c r="H192" i="6"/>
  <c r="G192" i="6"/>
  <c r="F192" i="6"/>
  <c r="AE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H191" i="6"/>
  <c r="G191" i="6"/>
  <c r="F191" i="6"/>
  <c r="AE190" i="6"/>
  <c r="AC190" i="6"/>
  <c r="AB190" i="6"/>
  <c r="AA190" i="6"/>
  <c r="Z190" i="6"/>
  <c r="Y190" i="6"/>
  <c r="X190" i="6"/>
  <c r="W190" i="6"/>
  <c r="V190" i="6"/>
  <c r="U190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H190" i="6"/>
  <c r="G190" i="6"/>
  <c r="F190" i="6"/>
  <c r="AE189" i="6"/>
  <c r="AC189" i="6"/>
  <c r="AB189" i="6"/>
  <c r="AA189" i="6"/>
  <c r="Z189" i="6"/>
  <c r="Y189" i="6"/>
  <c r="X189" i="6"/>
  <c r="W189" i="6"/>
  <c r="V189" i="6"/>
  <c r="U189" i="6"/>
  <c r="T189" i="6"/>
  <c r="S189" i="6"/>
  <c r="R189" i="6"/>
  <c r="Q189" i="6"/>
  <c r="P189" i="6"/>
  <c r="O189" i="6"/>
  <c r="N189" i="6"/>
  <c r="M189" i="6"/>
  <c r="L189" i="6"/>
  <c r="K189" i="6"/>
  <c r="J189" i="6"/>
  <c r="I189" i="6"/>
  <c r="H189" i="6"/>
  <c r="G189" i="6"/>
  <c r="F189" i="6"/>
  <c r="AE188" i="6"/>
  <c r="AC188" i="6"/>
  <c r="AB188" i="6"/>
  <c r="AA188" i="6"/>
  <c r="Z188" i="6"/>
  <c r="Y188" i="6"/>
  <c r="X188" i="6"/>
  <c r="W188" i="6"/>
  <c r="V188" i="6"/>
  <c r="U188" i="6"/>
  <c r="T188" i="6"/>
  <c r="S188" i="6"/>
  <c r="R188" i="6"/>
  <c r="Q188" i="6"/>
  <c r="P188" i="6"/>
  <c r="O188" i="6"/>
  <c r="N188" i="6"/>
  <c r="M188" i="6"/>
  <c r="L188" i="6"/>
  <c r="K188" i="6"/>
  <c r="J188" i="6"/>
  <c r="I188" i="6"/>
  <c r="H188" i="6"/>
  <c r="G188" i="6"/>
  <c r="F188" i="6"/>
  <c r="AE187" i="6"/>
  <c r="AC187" i="6"/>
  <c r="AB187" i="6"/>
  <c r="AA187" i="6"/>
  <c r="Z187" i="6"/>
  <c r="Y187" i="6"/>
  <c r="X187" i="6"/>
  <c r="W187" i="6"/>
  <c r="V187" i="6"/>
  <c r="U187" i="6"/>
  <c r="T187" i="6"/>
  <c r="S187" i="6"/>
  <c r="R187" i="6"/>
  <c r="Q187" i="6"/>
  <c r="P187" i="6"/>
  <c r="O187" i="6"/>
  <c r="N187" i="6"/>
  <c r="M187" i="6"/>
  <c r="L187" i="6"/>
  <c r="K187" i="6"/>
  <c r="J187" i="6"/>
  <c r="I187" i="6"/>
  <c r="H187" i="6"/>
  <c r="G187" i="6"/>
  <c r="F187" i="6"/>
  <c r="AE186" i="6"/>
  <c r="AC186" i="6"/>
  <c r="AB186" i="6"/>
  <c r="AA186" i="6"/>
  <c r="Z186" i="6"/>
  <c r="Y186" i="6"/>
  <c r="X186" i="6"/>
  <c r="W186" i="6"/>
  <c r="V186" i="6"/>
  <c r="U186" i="6"/>
  <c r="T186" i="6"/>
  <c r="S186" i="6"/>
  <c r="R186" i="6"/>
  <c r="Q186" i="6"/>
  <c r="P186" i="6"/>
  <c r="O186" i="6"/>
  <c r="N186" i="6"/>
  <c r="M186" i="6"/>
  <c r="L186" i="6"/>
  <c r="K186" i="6"/>
  <c r="J186" i="6"/>
  <c r="I186" i="6"/>
  <c r="H186" i="6"/>
  <c r="G186" i="6"/>
  <c r="F186" i="6"/>
  <c r="AE185" i="6"/>
  <c r="AC185" i="6"/>
  <c r="AB185" i="6"/>
  <c r="AA185" i="6"/>
  <c r="Z185" i="6"/>
  <c r="Y185" i="6"/>
  <c r="X185" i="6"/>
  <c r="W185" i="6"/>
  <c r="V185" i="6"/>
  <c r="U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H185" i="6"/>
  <c r="G185" i="6"/>
  <c r="F185" i="6"/>
  <c r="AE184" i="6"/>
  <c r="AC184" i="6"/>
  <c r="AB184" i="6"/>
  <c r="AA184" i="6"/>
  <c r="Z184" i="6"/>
  <c r="Y184" i="6"/>
  <c r="X184" i="6"/>
  <c r="W184" i="6"/>
  <c r="V184" i="6"/>
  <c r="U184" i="6"/>
  <c r="T184" i="6"/>
  <c r="S184" i="6"/>
  <c r="R184" i="6"/>
  <c r="Q184" i="6"/>
  <c r="P184" i="6"/>
  <c r="O184" i="6"/>
  <c r="N184" i="6"/>
  <c r="M184" i="6"/>
  <c r="L184" i="6"/>
  <c r="K184" i="6"/>
  <c r="J184" i="6"/>
  <c r="I184" i="6"/>
  <c r="H184" i="6"/>
  <c r="G184" i="6"/>
  <c r="F184" i="6"/>
  <c r="AE183" i="6"/>
  <c r="AC183" i="6"/>
  <c r="AB183" i="6"/>
  <c r="AA183" i="6"/>
  <c r="Z183" i="6"/>
  <c r="Y183" i="6"/>
  <c r="X183" i="6"/>
  <c r="W183" i="6"/>
  <c r="V183" i="6"/>
  <c r="U183" i="6"/>
  <c r="T183" i="6"/>
  <c r="S183" i="6"/>
  <c r="R183" i="6"/>
  <c r="Q183" i="6"/>
  <c r="P183" i="6"/>
  <c r="O183" i="6"/>
  <c r="N183" i="6"/>
  <c r="M183" i="6"/>
  <c r="L183" i="6"/>
  <c r="K183" i="6"/>
  <c r="J183" i="6"/>
  <c r="I183" i="6"/>
  <c r="H183" i="6"/>
  <c r="G183" i="6"/>
  <c r="F183" i="6"/>
  <c r="AE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H182" i="6"/>
  <c r="G182" i="6"/>
  <c r="F182" i="6"/>
  <c r="AE181" i="6"/>
  <c r="AC181" i="6"/>
  <c r="AB181" i="6"/>
  <c r="AA181" i="6"/>
  <c r="Z181" i="6"/>
  <c r="Y181" i="6"/>
  <c r="X181" i="6"/>
  <c r="W181" i="6"/>
  <c r="V181" i="6"/>
  <c r="U181" i="6"/>
  <c r="T181" i="6"/>
  <c r="S181" i="6"/>
  <c r="R181" i="6"/>
  <c r="Q181" i="6"/>
  <c r="P181" i="6"/>
  <c r="O181" i="6"/>
  <c r="N181" i="6"/>
  <c r="M181" i="6"/>
  <c r="L181" i="6"/>
  <c r="K181" i="6"/>
  <c r="J181" i="6"/>
  <c r="I181" i="6"/>
  <c r="H181" i="6"/>
  <c r="G181" i="6"/>
  <c r="F181" i="6"/>
  <c r="AE180" i="6"/>
  <c r="AC180" i="6"/>
  <c r="AB180" i="6"/>
  <c r="AA180" i="6"/>
  <c r="Z180" i="6"/>
  <c r="Y180" i="6"/>
  <c r="X180" i="6"/>
  <c r="W180" i="6"/>
  <c r="V180" i="6"/>
  <c r="U180" i="6"/>
  <c r="T180" i="6"/>
  <c r="S180" i="6"/>
  <c r="R180" i="6"/>
  <c r="Q180" i="6"/>
  <c r="P180" i="6"/>
  <c r="O180" i="6"/>
  <c r="N180" i="6"/>
  <c r="M180" i="6"/>
  <c r="L180" i="6"/>
  <c r="K180" i="6"/>
  <c r="J180" i="6"/>
  <c r="I180" i="6"/>
  <c r="H180" i="6"/>
  <c r="G180" i="6"/>
  <c r="F180" i="6"/>
  <c r="AE179" i="6"/>
  <c r="AC179" i="6"/>
  <c r="AB179" i="6"/>
  <c r="AA179" i="6"/>
  <c r="Z179" i="6"/>
  <c r="Y179" i="6"/>
  <c r="X179" i="6"/>
  <c r="W179" i="6"/>
  <c r="V179" i="6"/>
  <c r="U179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H179" i="6"/>
  <c r="G179" i="6"/>
  <c r="F179" i="6"/>
  <c r="AE178" i="6"/>
  <c r="AC178" i="6"/>
  <c r="AB178" i="6"/>
  <c r="AA178" i="6"/>
  <c r="Z178" i="6"/>
  <c r="Y178" i="6"/>
  <c r="X178" i="6"/>
  <c r="W178" i="6"/>
  <c r="V178" i="6"/>
  <c r="U178" i="6"/>
  <c r="T178" i="6"/>
  <c r="S178" i="6"/>
  <c r="R178" i="6"/>
  <c r="Q178" i="6"/>
  <c r="P178" i="6"/>
  <c r="O178" i="6"/>
  <c r="N178" i="6"/>
  <c r="M178" i="6"/>
  <c r="L178" i="6"/>
  <c r="K178" i="6"/>
  <c r="J178" i="6"/>
  <c r="I178" i="6"/>
  <c r="H178" i="6"/>
  <c r="G178" i="6"/>
  <c r="F178" i="6"/>
  <c r="AE177" i="6"/>
  <c r="AC177" i="6"/>
  <c r="AB177" i="6"/>
  <c r="AA177" i="6"/>
  <c r="Z177" i="6"/>
  <c r="Y177" i="6"/>
  <c r="X177" i="6"/>
  <c r="W177" i="6"/>
  <c r="V177" i="6"/>
  <c r="U177" i="6"/>
  <c r="T177" i="6"/>
  <c r="S177" i="6"/>
  <c r="R177" i="6"/>
  <c r="Q177" i="6"/>
  <c r="P177" i="6"/>
  <c r="O177" i="6"/>
  <c r="N177" i="6"/>
  <c r="M177" i="6"/>
  <c r="L177" i="6"/>
  <c r="K177" i="6"/>
  <c r="J177" i="6"/>
  <c r="I177" i="6"/>
  <c r="H177" i="6"/>
  <c r="G177" i="6"/>
  <c r="F177" i="6"/>
  <c r="AE176" i="6"/>
  <c r="AC176" i="6"/>
  <c r="AB176" i="6"/>
  <c r="AA176" i="6"/>
  <c r="Z176" i="6"/>
  <c r="Y176" i="6"/>
  <c r="X176" i="6"/>
  <c r="W176" i="6"/>
  <c r="V176" i="6"/>
  <c r="U176" i="6"/>
  <c r="T176" i="6"/>
  <c r="S176" i="6"/>
  <c r="R176" i="6"/>
  <c r="Q176" i="6"/>
  <c r="P176" i="6"/>
  <c r="O176" i="6"/>
  <c r="N176" i="6"/>
  <c r="M176" i="6"/>
  <c r="L176" i="6"/>
  <c r="K176" i="6"/>
  <c r="J176" i="6"/>
  <c r="I176" i="6"/>
  <c r="H176" i="6"/>
  <c r="G176" i="6"/>
  <c r="F176" i="6"/>
  <c r="AE175" i="6"/>
  <c r="AC175" i="6"/>
  <c r="AB175" i="6"/>
  <c r="AA175" i="6"/>
  <c r="Z175" i="6"/>
  <c r="Y175" i="6"/>
  <c r="X175" i="6"/>
  <c r="W175" i="6"/>
  <c r="V175" i="6"/>
  <c r="U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H175" i="6"/>
  <c r="G175" i="6"/>
  <c r="F175" i="6"/>
  <c r="AE174" i="6"/>
  <c r="AC174" i="6"/>
  <c r="AB174" i="6"/>
  <c r="AA174" i="6"/>
  <c r="Z174" i="6"/>
  <c r="Y174" i="6"/>
  <c r="X174" i="6"/>
  <c r="W174" i="6"/>
  <c r="V174" i="6"/>
  <c r="U174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H174" i="6"/>
  <c r="G174" i="6"/>
  <c r="F174" i="6"/>
  <c r="AE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H173" i="6"/>
  <c r="G173" i="6"/>
  <c r="F173" i="6"/>
  <c r="AE172" i="6"/>
  <c r="AC172" i="6"/>
  <c r="AB172" i="6"/>
  <c r="AA172" i="6"/>
  <c r="Z172" i="6"/>
  <c r="Y172" i="6"/>
  <c r="X172" i="6"/>
  <c r="W172" i="6"/>
  <c r="V172" i="6"/>
  <c r="U172" i="6"/>
  <c r="T172" i="6"/>
  <c r="S172" i="6"/>
  <c r="R172" i="6"/>
  <c r="Q172" i="6"/>
  <c r="P172" i="6"/>
  <c r="O172" i="6"/>
  <c r="N172" i="6"/>
  <c r="M172" i="6"/>
  <c r="L172" i="6"/>
  <c r="K172" i="6"/>
  <c r="J172" i="6"/>
  <c r="I172" i="6"/>
  <c r="H172" i="6"/>
  <c r="G172" i="6"/>
  <c r="F172" i="6"/>
  <c r="AE171" i="6"/>
  <c r="AC171" i="6"/>
  <c r="AB171" i="6"/>
  <c r="AA171" i="6"/>
  <c r="Z171" i="6"/>
  <c r="Y171" i="6"/>
  <c r="X171" i="6"/>
  <c r="W171" i="6"/>
  <c r="V171" i="6"/>
  <c r="U171" i="6"/>
  <c r="T171" i="6"/>
  <c r="S171" i="6"/>
  <c r="R171" i="6"/>
  <c r="Q171" i="6"/>
  <c r="P171" i="6"/>
  <c r="O171" i="6"/>
  <c r="N171" i="6"/>
  <c r="M171" i="6"/>
  <c r="L171" i="6"/>
  <c r="K171" i="6"/>
  <c r="J171" i="6"/>
  <c r="I171" i="6"/>
  <c r="H171" i="6"/>
  <c r="G171" i="6"/>
  <c r="F171" i="6"/>
  <c r="AE170" i="6"/>
  <c r="AC170" i="6"/>
  <c r="AB170" i="6"/>
  <c r="AA170" i="6"/>
  <c r="Z170" i="6"/>
  <c r="Y170" i="6"/>
  <c r="X170" i="6"/>
  <c r="W170" i="6"/>
  <c r="V170" i="6"/>
  <c r="U170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H170" i="6"/>
  <c r="G170" i="6"/>
  <c r="F170" i="6"/>
  <c r="AE169" i="6"/>
  <c r="AC169" i="6"/>
  <c r="AB169" i="6"/>
  <c r="AA169" i="6"/>
  <c r="Z169" i="6"/>
  <c r="Y169" i="6"/>
  <c r="X169" i="6"/>
  <c r="W169" i="6"/>
  <c r="V169" i="6"/>
  <c r="U169" i="6"/>
  <c r="T169" i="6"/>
  <c r="S169" i="6"/>
  <c r="R169" i="6"/>
  <c r="Q169" i="6"/>
  <c r="P169" i="6"/>
  <c r="O169" i="6"/>
  <c r="N169" i="6"/>
  <c r="M169" i="6"/>
  <c r="L169" i="6"/>
  <c r="K169" i="6"/>
  <c r="J169" i="6"/>
  <c r="I169" i="6"/>
  <c r="H169" i="6"/>
  <c r="G169" i="6"/>
  <c r="F169" i="6"/>
  <c r="AE168" i="6"/>
  <c r="AC168" i="6"/>
  <c r="AB168" i="6"/>
  <c r="AA168" i="6"/>
  <c r="Z168" i="6"/>
  <c r="Y168" i="6"/>
  <c r="X168" i="6"/>
  <c r="W168" i="6"/>
  <c r="V168" i="6"/>
  <c r="U168" i="6"/>
  <c r="T168" i="6"/>
  <c r="S168" i="6"/>
  <c r="R168" i="6"/>
  <c r="Q168" i="6"/>
  <c r="P168" i="6"/>
  <c r="O168" i="6"/>
  <c r="N168" i="6"/>
  <c r="M168" i="6"/>
  <c r="L168" i="6"/>
  <c r="K168" i="6"/>
  <c r="J168" i="6"/>
  <c r="I168" i="6"/>
  <c r="H168" i="6"/>
  <c r="G168" i="6"/>
  <c r="F168" i="6"/>
  <c r="AE167" i="6"/>
  <c r="AC167" i="6"/>
  <c r="AB167" i="6"/>
  <c r="AA167" i="6"/>
  <c r="Z167" i="6"/>
  <c r="Y167" i="6"/>
  <c r="X167" i="6"/>
  <c r="W167" i="6"/>
  <c r="V167" i="6"/>
  <c r="U167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H167" i="6"/>
  <c r="G167" i="6"/>
  <c r="F167" i="6"/>
  <c r="AE166" i="6"/>
  <c r="AC166" i="6"/>
  <c r="AB166" i="6"/>
  <c r="AA166" i="6"/>
  <c r="Z166" i="6"/>
  <c r="Y166" i="6"/>
  <c r="X166" i="6"/>
  <c r="W166" i="6"/>
  <c r="V166" i="6"/>
  <c r="U166" i="6"/>
  <c r="T166" i="6"/>
  <c r="S166" i="6"/>
  <c r="R166" i="6"/>
  <c r="Q166" i="6"/>
  <c r="P166" i="6"/>
  <c r="O166" i="6"/>
  <c r="N166" i="6"/>
  <c r="M166" i="6"/>
  <c r="L166" i="6"/>
  <c r="K166" i="6"/>
  <c r="J166" i="6"/>
  <c r="I166" i="6"/>
  <c r="H166" i="6"/>
  <c r="G166" i="6"/>
  <c r="F166" i="6"/>
  <c r="AE165" i="6"/>
  <c r="AC165" i="6"/>
  <c r="AB165" i="6"/>
  <c r="AA165" i="6"/>
  <c r="Z165" i="6"/>
  <c r="Y165" i="6"/>
  <c r="X165" i="6"/>
  <c r="W165" i="6"/>
  <c r="V165" i="6"/>
  <c r="U165" i="6"/>
  <c r="T165" i="6"/>
  <c r="S165" i="6"/>
  <c r="R165" i="6"/>
  <c r="Q165" i="6"/>
  <c r="P165" i="6"/>
  <c r="O165" i="6"/>
  <c r="N165" i="6"/>
  <c r="M165" i="6"/>
  <c r="L165" i="6"/>
  <c r="K165" i="6"/>
  <c r="J165" i="6"/>
  <c r="I165" i="6"/>
  <c r="H165" i="6"/>
  <c r="G165" i="6"/>
  <c r="F165" i="6"/>
  <c r="AE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H164" i="6"/>
  <c r="G164" i="6"/>
  <c r="F164" i="6"/>
  <c r="AE163" i="6"/>
  <c r="AC163" i="6"/>
  <c r="AB163" i="6"/>
  <c r="AA163" i="6"/>
  <c r="Z163" i="6"/>
  <c r="Y163" i="6"/>
  <c r="X163" i="6"/>
  <c r="W163" i="6"/>
  <c r="V163" i="6"/>
  <c r="U163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H163" i="6"/>
  <c r="G163" i="6"/>
  <c r="F163" i="6"/>
  <c r="AE162" i="6"/>
  <c r="AC162" i="6"/>
  <c r="AB162" i="6"/>
  <c r="AA162" i="6"/>
  <c r="Z162" i="6"/>
  <c r="Y162" i="6"/>
  <c r="X162" i="6"/>
  <c r="W162" i="6"/>
  <c r="V162" i="6"/>
  <c r="U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H162" i="6"/>
  <c r="G162" i="6"/>
  <c r="F162" i="6"/>
  <c r="AE161" i="6"/>
  <c r="AC161" i="6"/>
  <c r="AB161" i="6"/>
  <c r="AA161" i="6"/>
  <c r="Z161" i="6"/>
  <c r="Y161" i="6"/>
  <c r="X161" i="6"/>
  <c r="W161" i="6"/>
  <c r="V161" i="6"/>
  <c r="U161" i="6"/>
  <c r="T161" i="6"/>
  <c r="S161" i="6"/>
  <c r="R161" i="6"/>
  <c r="Q161" i="6"/>
  <c r="P161" i="6"/>
  <c r="O161" i="6"/>
  <c r="N161" i="6"/>
  <c r="M161" i="6"/>
  <c r="L161" i="6"/>
  <c r="K161" i="6"/>
  <c r="J161" i="6"/>
  <c r="I161" i="6"/>
  <c r="H161" i="6"/>
  <c r="G161" i="6"/>
  <c r="F161" i="6"/>
  <c r="AE160" i="6"/>
  <c r="AC160" i="6"/>
  <c r="AB160" i="6"/>
  <c r="AA160" i="6"/>
  <c r="Z160" i="6"/>
  <c r="Y160" i="6"/>
  <c r="X160" i="6"/>
  <c r="W160" i="6"/>
  <c r="V160" i="6"/>
  <c r="U160" i="6"/>
  <c r="T160" i="6"/>
  <c r="S160" i="6"/>
  <c r="R160" i="6"/>
  <c r="Q160" i="6"/>
  <c r="P160" i="6"/>
  <c r="O160" i="6"/>
  <c r="N160" i="6"/>
  <c r="M160" i="6"/>
  <c r="L160" i="6"/>
  <c r="K160" i="6"/>
  <c r="J160" i="6"/>
  <c r="I160" i="6"/>
  <c r="H160" i="6"/>
  <c r="G160" i="6"/>
  <c r="F160" i="6"/>
  <c r="AE159" i="6"/>
  <c r="AC159" i="6"/>
  <c r="AB159" i="6"/>
  <c r="AA159" i="6"/>
  <c r="Z159" i="6"/>
  <c r="Y159" i="6"/>
  <c r="X159" i="6"/>
  <c r="W159" i="6"/>
  <c r="V159" i="6"/>
  <c r="U159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H159" i="6"/>
  <c r="G159" i="6"/>
  <c r="F159" i="6"/>
  <c r="AE158" i="6"/>
  <c r="AC158" i="6"/>
  <c r="AB158" i="6"/>
  <c r="AA158" i="6"/>
  <c r="Z158" i="6"/>
  <c r="Y158" i="6"/>
  <c r="X158" i="6"/>
  <c r="W158" i="6"/>
  <c r="V158" i="6"/>
  <c r="U158" i="6"/>
  <c r="T158" i="6"/>
  <c r="S158" i="6"/>
  <c r="R158" i="6"/>
  <c r="Q158" i="6"/>
  <c r="P158" i="6"/>
  <c r="O158" i="6"/>
  <c r="N158" i="6"/>
  <c r="M158" i="6"/>
  <c r="L158" i="6"/>
  <c r="K158" i="6"/>
  <c r="J158" i="6"/>
  <c r="I158" i="6"/>
  <c r="H158" i="6"/>
  <c r="G158" i="6"/>
  <c r="F158" i="6"/>
  <c r="AE157" i="6"/>
  <c r="AC157" i="6"/>
  <c r="AB157" i="6"/>
  <c r="AA157" i="6"/>
  <c r="Z157" i="6"/>
  <c r="Y157" i="6"/>
  <c r="X157" i="6"/>
  <c r="W157" i="6"/>
  <c r="V157" i="6"/>
  <c r="U157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H157" i="6"/>
  <c r="G157" i="6"/>
  <c r="F157" i="6"/>
  <c r="AE156" i="6"/>
  <c r="AC156" i="6"/>
  <c r="AB156" i="6"/>
  <c r="AA156" i="6"/>
  <c r="Z156" i="6"/>
  <c r="Y156" i="6"/>
  <c r="X156" i="6"/>
  <c r="W156" i="6"/>
  <c r="V156" i="6"/>
  <c r="U156" i="6"/>
  <c r="T156" i="6"/>
  <c r="S156" i="6"/>
  <c r="R156" i="6"/>
  <c r="Q156" i="6"/>
  <c r="P156" i="6"/>
  <c r="O156" i="6"/>
  <c r="N156" i="6"/>
  <c r="M156" i="6"/>
  <c r="L156" i="6"/>
  <c r="K156" i="6"/>
  <c r="J156" i="6"/>
  <c r="I156" i="6"/>
  <c r="H156" i="6"/>
  <c r="G156" i="6"/>
  <c r="F156" i="6"/>
  <c r="AE155" i="6"/>
  <c r="AC155" i="6"/>
  <c r="AB155" i="6"/>
  <c r="AA155" i="6"/>
  <c r="Z155" i="6"/>
  <c r="Y155" i="6"/>
  <c r="X155" i="6"/>
  <c r="W155" i="6"/>
  <c r="V155" i="6"/>
  <c r="U155" i="6"/>
  <c r="T155" i="6"/>
  <c r="S155" i="6"/>
  <c r="R155" i="6"/>
  <c r="Q155" i="6"/>
  <c r="P155" i="6"/>
  <c r="O155" i="6"/>
  <c r="N155" i="6"/>
  <c r="M155" i="6"/>
  <c r="L155" i="6"/>
  <c r="K155" i="6"/>
  <c r="J155" i="6"/>
  <c r="I155" i="6"/>
  <c r="H155" i="6"/>
  <c r="G155" i="6"/>
  <c r="F155" i="6"/>
  <c r="AE154" i="6"/>
  <c r="AC154" i="6"/>
  <c r="AB154" i="6"/>
  <c r="AA154" i="6"/>
  <c r="Z154" i="6"/>
  <c r="Y154" i="6"/>
  <c r="X154" i="6"/>
  <c r="W154" i="6"/>
  <c r="V154" i="6"/>
  <c r="U154" i="6"/>
  <c r="T154" i="6"/>
  <c r="S154" i="6"/>
  <c r="R154" i="6"/>
  <c r="Q154" i="6"/>
  <c r="P154" i="6"/>
  <c r="O154" i="6"/>
  <c r="N154" i="6"/>
  <c r="M154" i="6"/>
  <c r="L154" i="6"/>
  <c r="K154" i="6"/>
  <c r="J154" i="6"/>
  <c r="I154" i="6"/>
  <c r="H154" i="6"/>
  <c r="G154" i="6"/>
  <c r="F154" i="6"/>
  <c r="AE153" i="6"/>
  <c r="AC153" i="6"/>
  <c r="AB153" i="6"/>
  <c r="AA153" i="6"/>
  <c r="Z153" i="6"/>
  <c r="Y153" i="6"/>
  <c r="X153" i="6"/>
  <c r="W153" i="6"/>
  <c r="V153" i="6"/>
  <c r="U153" i="6"/>
  <c r="T153" i="6"/>
  <c r="S153" i="6"/>
  <c r="R153" i="6"/>
  <c r="Q153" i="6"/>
  <c r="P153" i="6"/>
  <c r="O153" i="6"/>
  <c r="N153" i="6"/>
  <c r="M153" i="6"/>
  <c r="L153" i="6"/>
  <c r="K153" i="6"/>
  <c r="J153" i="6"/>
  <c r="I153" i="6"/>
  <c r="H153" i="6"/>
  <c r="G153" i="6"/>
  <c r="F153" i="6"/>
  <c r="AE152" i="6"/>
  <c r="AC152" i="6"/>
  <c r="AB152" i="6"/>
  <c r="AA152" i="6"/>
  <c r="Z152" i="6"/>
  <c r="Y152" i="6"/>
  <c r="X152" i="6"/>
  <c r="W152" i="6"/>
  <c r="V152" i="6"/>
  <c r="U152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H152" i="6"/>
  <c r="G152" i="6"/>
  <c r="F152" i="6"/>
  <c r="AE151" i="6"/>
  <c r="AC151" i="6"/>
  <c r="AB151" i="6"/>
  <c r="AA151" i="6"/>
  <c r="Z151" i="6"/>
  <c r="Y151" i="6"/>
  <c r="X151" i="6"/>
  <c r="W151" i="6"/>
  <c r="V151" i="6"/>
  <c r="U151" i="6"/>
  <c r="T151" i="6"/>
  <c r="S151" i="6"/>
  <c r="R151" i="6"/>
  <c r="Q151" i="6"/>
  <c r="P151" i="6"/>
  <c r="O151" i="6"/>
  <c r="N151" i="6"/>
  <c r="M151" i="6"/>
  <c r="L151" i="6"/>
  <c r="K151" i="6"/>
  <c r="J151" i="6"/>
  <c r="I151" i="6"/>
  <c r="H151" i="6"/>
  <c r="G151" i="6"/>
  <c r="F151" i="6"/>
  <c r="AE150" i="6"/>
  <c r="AC150" i="6"/>
  <c r="AB150" i="6"/>
  <c r="AA150" i="6"/>
  <c r="Z150" i="6"/>
  <c r="Y150" i="6"/>
  <c r="X150" i="6"/>
  <c r="W150" i="6"/>
  <c r="V150" i="6"/>
  <c r="U150" i="6"/>
  <c r="T150" i="6"/>
  <c r="S150" i="6"/>
  <c r="R150" i="6"/>
  <c r="Q150" i="6"/>
  <c r="P150" i="6"/>
  <c r="O150" i="6"/>
  <c r="N150" i="6"/>
  <c r="M150" i="6"/>
  <c r="L150" i="6"/>
  <c r="K150" i="6"/>
  <c r="J150" i="6"/>
  <c r="I150" i="6"/>
  <c r="H150" i="6"/>
  <c r="G150" i="6"/>
  <c r="F150" i="6"/>
  <c r="AE149" i="6"/>
  <c r="AC149" i="6"/>
  <c r="AB149" i="6"/>
  <c r="AA149" i="6"/>
  <c r="Z149" i="6"/>
  <c r="Y149" i="6"/>
  <c r="X149" i="6"/>
  <c r="W149" i="6"/>
  <c r="V149" i="6"/>
  <c r="U149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H149" i="6"/>
  <c r="G149" i="6"/>
  <c r="F149" i="6"/>
  <c r="AE148" i="6"/>
  <c r="AC148" i="6"/>
  <c r="AB148" i="6"/>
  <c r="AA148" i="6"/>
  <c r="Z148" i="6"/>
  <c r="Y148" i="6"/>
  <c r="X148" i="6"/>
  <c r="W148" i="6"/>
  <c r="V148" i="6"/>
  <c r="U148" i="6"/>
  <c r="T148" i="6"/>
  <c r="S148" i="6"/>
  <c r="R148" i="6"/>
  <c r="Q148" i="6"/>
  <c r="P148" i="6"/>
  <c r="O148" i="6"/>
  <c r="N148" i="6"/>
  <c r="M148" i="6"/>
  <c r="L148" i="6"/>
  <c r="K148" i="6"/>
  <c r="J148" i="6"/>
  <c r="I148" i="6"/>
  <c r="H148" i="6"/>
  <c r="G148" i="6"/>
  <c r="F148" i="6"/>
  <c r="AE147" i="6"/>
  <c r="AC147" i="6"/>
  <c r="AB147" i="6"/>
  <c r="AA147" i="6"/>
  <c r="Z147" i="6"/>
  <c r="Y147" i="6"/>
  <c r="X147" i="6"/>
  <c r="W147" i="6"/>
  <c r="V147" i="6"/>
  <c r="U147" i="6"/>
  <c r="T147" i="6"/>
  <c r="S147" i="6"/>
  <c r="R147" i="6"/>
  <c r="Q147" i="6"/>
  <c r="P147" i="6"/>
  <c r="O147" i="6"/>
  <c r="N147" i="6"/>
  <c r="M147" i="6"/>
  <c r="L147" i="6"/>
  <c r="K147" i="6"/>
  <c r="J147" i="6"/>
  <c r="I147" i="6"/>
  <c r="H147" i="6"/>
  <c r="G147" i="6"/>
  <c r="F147" i="6"/>
  <c r="AE146" i="6"/>
  <c r="AC146" i="6"/>
  <c r="AB146" i="6"/>
  <c r="AA146" i="6"/>
  <c r="Z146" i="6"/>
  <c r="Y146" i="6"/>
  <c r="X146" i="6"/>
  <c r="W146" i="6"/>
  <c r="V146" i="6"/>
  <c r="U146" i="6"/>
  <c r="T146" i="6"/>
  <c r="S146" i="6"/>
  <c r="R146" i="6"/>
  <c r="Q146" i="6"/>
  <c r="P146" i="6"/>
  <c r="O146" i="6"/>
  <c r="N146" i="6"/>
  <c r="M146" i="6"/>
  <c r="L146" i="6"/>
  <c r="K146" i="6"/>
  <c r="J146" i="6"/>
  <c r="I146" i="6"/>
  <c r="H146" i="6"/>
  <c r="G146" i="6"/>
  <c r="F146" i="6"/>
  <c r="AE145" i="6"/>
  <c r="AC145" i="6"/>
  <c r="AB145" i="6"/>
  <c r="AA145" i="6"/>
  <c r="Z145" i="6"/>
  <c r="Y145" i="6"/>
  <c r="X145" i="6"/>
  <c r="W145" i="6"/>
  <c r="V145" i="6"/>
  <c r="U145" i="6"/>
  <c r="T145" i="6"/>
  <c r="S145" i="6"/>
  <c r="R145" i="6"/>
  <c r="Q145" i="6"/>
  <c r="P145" i="6"/>
  <c r="O145" i="6"/>
  <c r="N145" i="6"/>
  <c r="M145" i="6"/>
  <c r="L145" i="6"/>
  <c r="K145" i="6"/>
  <c r="J145" i="6"/>
  <c r="I145" i="6"/>
  <c r="H145" i="6"/>
  <c r="G145" i="6"/>
  <c r="F145" i="6"/>
  <c r="AE144" i="6"/>
  <c r="AC144" i="6"/>
  <c r="AB144" i="6"/>
  <c r="AA144" i="6"/>
  <c r="Z144" i="6"/>
  <c r="Y144" i="6"/>
  <c r="X144" i="6"/>
  <c r="W144" i="6"/>
  <c r="V144" i="6"/>
  <c r="U144" i="6"/>
  <c r="T144" i="6"/>
  <c r="S144" i="6"/>
  <c r="R144" i="6"/>
  <c r="Q144" i="6"/>
  <c r="P144" i="6"/>
  <c r="O144" i="6"/>
  <c r="N144" i="6"/>
  <c r="M144" i="6"/>
  <c r="L144" i="6"/>
  <c r="K144" i="6"/>
  <c r="J144" i="6"/>
  <c r="I144" i="6"/>
  <c r="H144" i="6"/>
  <c r="G144" i="6"/>
  <c r="F144" i="6"/>
  <c r="AE143" i="6"/>
  <c r="AC143" i="6"/>
  <c r="AB143" i="6"/>
  <c r="AA143" i="6"/>
  <c r="Z143" i="6"/>
  <c r="Y143" i="6"/>
  <c r="X143" i="6"/>
  <c r="W143" i="6"/>
  <c r="V143" i="6"/>
  <c r="U143" i="6"/>
  <c r="T143" i="6"/>
  <c r="S143" i="6"/>
  <c r="R143" i="6"/>
  <c r="Q143" i="6"/>
  <c r="P143" i="6"/>
  <c r="O143" i="6"/>
  <c r="N143" i="6"/>
  <c r="M143" i="6"/>
  <c r="L143" i="6"/>
  <c r="K143" i="6"/>
  <c r="J143" i="6"/>
  <c r="I143" i="6"/>
  <c r="H143" i="6"/>
  <c r="G143" i="6"/>
  <c r="F143" i="6"/>
  <c r="AE142" i="6"/>
  <c r="AC142" i="6"/>
  <c r="AB142" i="6"/>
  <c r="AA142" i="6"/>
  <c r="Z142" i="6"/>
  <c r="Y142" i="6"/>
  <c r="X142" i="6"/>
  <c r="W142" i="6"/>
  <c r="V142" i="6"/>
  <c r="U142" i="6"/>
  <c r="T142" i="6"/>
  <c r="S142" i="6"/>
  <c r="R142" i="6"/>
  <c r="Q142" i="6"/>
  <c r="P142" i="6"/>
  <c r="O142" i="6"/>
  <c r="N142" i="6"/>
  <c r="M142" i="6"/>
  <c r="L142" i="6"/>
  <c r="K142" i="6"/>
  <c r="J142" i="6"/>
  <c r="I142" i="6"/>
  <c r="H142" i="6"/>
  <c r="G142" i="6"/>
  <c r="F142" i="6"/>
  <c r="AE141" i="6"/>
  <c r="AC141" i="6"/>
  <c r="AB141" i="6"/>
  <c r="AA141" i="6"/>
  <c r="Z141" i="6"/>
  <c r="Y141" i="6"/>
  <c r="X141" i="6"/>
  <c r="W141" i="6"/>
  <c r="V141" i="6"/>
  <c r="U141" i="6"/>
  <c r="T141" i="6"/>
  <c r="S141" i="6"/>
  <c r="R141" i="6"/>
  <c r="Q141" i="6"/>
  <c r="P141" i="6"/>
  <c r="O141" i="6"/>
  <c r="N141" i="6"/>
  <c r="M141" i="6"/>
  <c r="L141" i="6"/>
  <c r="K141" i="6"/>
  <c r="J141" i="6"/>
  <c r="I141" i="6"/>
  <c r="H141" i="6"/>
  <c r="G141" i="6"/>
  <c r="F141" i="6"/>
  <c r="AE140" i="6"/>
  <c r="AC140" i="6"/>
  <c r="AB140" i="6"/>
  <c r="AA140" i="6"/>
  <c r="Z140" i="6"/>
  <c r="Y140" i="6"/>
  <c r="X140" i="6"/>
  <c r="W140" i="6"/>
  <c r="V140" i="6"/>
  <c r="U140" i="6"/>
  <c r="T140" i="6"/>
  <c r="S140" i="6"/>
  <c r="R140" i="6"/>
  <c r="Q140" i="6"/>
  <c r="P140" i="6"/>
  <c r="O140" i="6"/>
  <c r="N140" i="6"/>
  <c r="M140" i="6"/>
  <c r="L140" i="6"/>
  <c r="K140" i="6"/>
  <c r="J140" i="6"/>
  <c r="I140" i="6"/>
  <c r="H140" i="6"/>
  <c r="G140" i="6"/>
  <c r="F140" i="6"/>
  <c r="AE139" i="6"/>
  <c r="AC139" i="6"/>
  <c r="AB139" i="6"/>
  <c r="AA139" i="6"/>
  <c r="Z139" i="6"/>
  <c r="Y139" i="6"/>
  <c r="X139" i="6"/>
  <c r="W139" i="6"/>
  <c r="V139" i="6"/>
  <c r="U139" i="6"/>
  <c r="T139" i="6"/>
  <c r="S139" i="6"/>
  <c r="R139" i="6"/>
  <c r="Q139" i="6"/>
  <c r="P139" i="6"/>
  <c r="O139" i="6"/>
  <c r="N139" i="6"/>
  <c r="M139" i="6"/>
  <c r="L139" i="6"/>
  <c r="K139" i="6"/>
  <c r="J139" i="6"/>
  <c r="I139" i="6"/>
  <c r="H139" i="6"/>
  <c r="G139" i="6"/>
  <c r="F139" i="6"/>
  <c r="AE138" i="6"/>
  <c r="AC138" i="6"/>
  <c r="AB138" i="6"/>
  <c r="AA138" i="6"/>
  <c r="Z138" i="6"/>
  <c r="Y138" i="6"/>
  <c r="X138" i="6"/>
  <c r="W138" i="6"/>
  <c r="V138" i="6"/>
  <c r="U138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H138" i="6"/>
  <c r="G138" i="6"/>
  <c r="F138" i="6"/>
  <c r="AE137" i="6"/>
  <c r="AC137" i="6"/>
  <c r="AB137" i="6"/>
  <c r="AA137" i="6"/>
  <c r="Z137" i="6"/>
  <c r="Y137" i="6"/>
  <c r="X137" i="6"/>
  <c r="W137" i="6"/>
  <c r="V137" i="6"/>
  <c r="U137" i="6"/>
  <c r="T137" i="6"/>
  <c r="S137" i="6"/>
  <c r="R137" i="6"/>
  <c r="Q137" i="6"/>
  <c r="P137" i="6"/>
  <c r="O137" i="6"/>
  <c r="N137" i="6"/>
  <c r="M137" i="6"/>
  <c r="L137" i="6"/>
  <c r="K137" i="6"/>
  <c r="J137" i="6"/>
  <c r="I137" i="6"/>
  <c r="H137" i="6"/>
  <c r="G137" i="6"/>
  <c r="F137" i="6"/>
  <c r="AE136" i="6"/>
  <c r="AC136" i="6"/>
  <c r="AB136" i="6"/>
  <c r="AA136" i="6"/>
  <c r="Z136" i="6"/>
  <c r="Y136" i="6"/>
  <c r="X136" i="6"/>
  <c r="W136" i="6"/>
  <c r="V136" i="6"/>
  <c r="U136" i="6"/>
  <c r="T136" i="6"/>
  <c r="S136" i="6"/>
  <c r="R136" i="6"/>
  <c r="Q136" i="6"/>
  <c r="P136" i="6"/>
  <c r="O136" i="6"/>
  <c r="N136" i="6"/>
  <c r="M136" i="6"/>
  <c r="L136" i="6"/>
  <c r="K136" i="6"/>
  <c r="J136" i="6"/>
  <c r="I136" i="6"/>
  <c r="H136" i="6"/>
  <c r="G136" i="6"/>
  <c r="F136" i="6"/>
  <c r="AE135" i="6"/>
  <c r="AC135" i="6"/>
  <c r="AB135" i="6"/>
  <c r="AA135" i="6"/>
  <c r="Z135" i="6"/>
  <c r="Y135" i="6"/>
  <c r="X135" i="6"/>
  <c r="W135" i="6"/>
  <c r="V135" i="6"/>
  <c r="U135" i="6"/>
  <c r="T135" i="6"/>
  <c r="S135" i="6"/>
  <c r="R135" i="6"/>
  <c r="Q135" i="6"/>
  <c r="P135" i="6"/>
  <c r="O135" i="6"/>
  <c r="N135" i="6"/>
  <c r="M135" i="6"/>
  <c r="L135" i="6"/>
  <c r="K135" i="6"/>
  <c r="J135" i="6"/>
  <c r="I135" i="6"/>
  <c r="H135" i="6"/>
  <c r="G135" i="6"/>
  <c r="F135" i="6"/>
  <c r="AE134" i="6"/>
  <c r="AC134" i="6"/>
  <c r="AB134" i="6"/>
  <c r="AA134" i="6"/>
  <c r="Z134" i="6"/>
  <c r="Y134" i="6"/>
  <c r="X134" i="6"/>
  <c r="W134" i="6"/>
  <c r="V134" i="6"/>
  <c r="U134" i="6"/>
  <c r="T134" i="6"/>
  <c r="S134" i="6"/>
  <c r="R134" i="6"/>
  <c r="Q134" i="6"/>
  <c r="P134" i="6"/>
  <c r="O134" i="6"/>
  <c r="N134" i="6"/>
  <c r="M134" i="6"/>
  <c r="L134" i="6"/>
  <c r="K134" i="6"/>
  <c r="J134" i="6"/>
  <c r="I134" i="6"/>
  <c r="H134" i="6"/>
  <c r="G134" i="6"/>
  <c r="F134" i="6"/>
  <c r="AE133" i="6"/>
  <c r="AC133" i="6"/>
  <c r="AB133" i="6"/>
  <c r="AA133" i="6"/>
  <c r="Z133" i="6"/>
  <c r="Y133" i="6"/>
  <c r="X133" i="6"/>
  <c r="W133" i="6"/>
  <c r="V133" i="6"/>
  <c r="U133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H133" i="6"/>
  <c r="G133" i="6"/>
  <c r="F133" i="6"/>
  <c r="AE132" i="6"/>
  <c r="AC132" i="6"/>
  <c r="AB132" i="6"/>
  <c r="AA132" i="6"/>
  <c r="Z132" i="6"/>
  <c r="Y132" i="6"/>
  <c r="X132" i="6"/>
  <c r="W132" i="6"/>
  <c r="V132" i="6"/>
  <c r="U132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H132" i="6"/>
  <c r="G132" i="6"/>
  <c r="F132" i="6"/>
  <c r="AE131" i="6"/>
  <c r="AC131" i="6"/>
  <c r="AB131" i="6"/>
  <c r="AA131" i="6"/>
  <c r="Z131" i="6"/>
  <c r="Y131" i="6"/>
  <c r="X131" i="6"/>
  <c r="W131" i="6"/>
  <c r="V131" i="6"/>
  <c r="U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H131" i="6"/>
  <c r="G131" i="6"/>
  <c r="F131" i="6"/>
  <c r="AE130" i="6"/>
  <c r="AC130" i="6"/>
  <c r="AB130" i="6"/>
  <c r="AA130" i="6"/>
  <c r="Z130" i="6"/>
  <c r="Y130" i="6"/>
  <c r="X130" i="6"/>
  <c r="W130" i="6"/>
  <c r="V130" i="6"/>
  <c r="U130" i="6"/>
  <c r="T130" i="6"/>
  <c r="S130" i="6"/>
  <c r="R130" i="6"/>
  <c r="Q130" i="6"/>
  <c r="P130" i="6"/>
  <c r="O130" i="6"/>
  <c r="N130" i="6"/>
  <c r="M130" i="6"/>
  <c r="L130" i="6"/>
  <c r="K130" i="6"/>
  <c r="J130" i="6"/>
  <c r="I130" i="6"/>
  <c r="H130" i="6"/>
  <c r="G130" i="6"/>
  <c r="F130" i="6"/>
  <c r="AE129" i="6"/>
  <c r="AC129" i="6"/>
  <c r="AB129" i="6"/>
  <c r="AA129" i="6"/>
  <c r="Z129" i="6"/>
  <c r="Y129" i="6"/>
  <c r="X129" i="6"/>
  <c r="W129" i="6"/>
  <c r="V129" i="6"/>
  <c r="U129" i="6"/>
  <c r="T129" i="6"/>
  <c r="S129" i="6"/>
  <c r="R129" i="6"/>
  <c r="Q129" i="6"/>
  <c r="P129" i="6"/>
  <c r="O129" i="6"/>
  <c r="N129" i="6"/>
  <c r="M129" i="6"/>
  <c r="L129" i="6"/>
  <c r="K129" i="6"/>
  <c r="J129" i="6"/>
  <c r="I129" i="6"/>
  <c r="H129" i="6"/>
  <c r="G129" i="6"/>
  <c r="F129" i="6"/>
  <c r="AE128" i="6"/>
  <c r="AC128" i="6"/>
  <c r="AB128" i="6"/>
  <c r="AA128" i="6"/>
  <c r="Z128" i="6"/>
  <c r="Y128" i="6"/>
  <c r="X128" i="6"/>
  <c r="W128" i="6"/>
  <c r="V128" i="6"/>
  <c r="U128" i="6"/>
  <c r="T128" i="6"/>
  <c r="S128" i="6"/>
  <c r="R128" i="6"/>
  <c r="Q128" i="6"/>
  <c r="P128" i="6"/>
  <c r="O128" i="6"/>
  <c r="N128" i="6"/>
  <c r="M128" i="6"/>
  <c r="L128" i="6"/>
  <c r="K128" i="6"/>
  <c r="J128" i="6"/>
  <c r="I128" i="6"/>
  <c r="H128" i="6"/>
  <c r="G128" i="6"/>
  <c r="F128" i="6"/>
  <c r="AE127" i="6"/>
  <c r="AC127" i="6"/>
  <c r="AB127" i="6"/>
  <c r="AA127" i="6"/>
  <c r="Z127" i="6"/>
  <c r="Y127" i="6"/>
  <c r="X127" i="6"/>
  <c r="W127" i="6"/>
  <c r="V127" i="6"/>
  <c r="U127" i="6"/>
  <c r="T127" i="6"/>
  <c r="S127" i="6"/>
  <c r="R127" i="6"/>
  <c r="Q127" i="6"/>
  <c r="P127" i="6"/>
  <c r="O127" i="6"/>
  <c r="N127" i="6"/>
  <c r="M127" i="6"/>
  <c r="L127" i="6"/>
  <c r="K127" i="6"/>
  <c r="J127" i="6"/>
  <c r="I127" i="6"/>
  <c r="H127" i="6"/>
  <c r="G127" i="6"/>
  <c r="F127" i="6"/>
  <c r="AE126" i="6"/>
  <c r="AC126" i="6"/>
  <c r="AB126" i="6"/>
  <c r="AA126" i="6"/>
  <c r="Z126" i="6"/>
  <c r="Y126" i="6"/>
  <c r="X126" i="6"/>
  <c r="W126" i="6"/>
  <c r="V126" i="6"/>
  <c r="U126" i="6"/>
  <c r="T126" i="6"/>
  <c r="S126" i="6"/>
  <c r="R126" i="6"/>
  <c r="Q126" i="6"/>
  <c r="P126" i="6"/>
  <c r="O126" i="6"/>
  <c r="N126" i="6"/>
  <c r="M126" i="6"/>
  <c r="L126" i="6"/>
  <c r="K126" i="6"/>
  <c r="J126" i="6"/>
  <c r="I126" i="6"/>
  <c r="H126" i="6"/>
  <c r="G126" i="6"/>
  <c r="F126" i="6"/>
  <c r="AE125" i="6"/>
  <c r="AC125" i="6"/>
  <c r="AB125" i="6"/>
  <c r="AA125" i="6"/>
  <c r="Z125" i="6"/>
  <c r="Y125" i="6"/>
  <c r="X125" i="6"/>
  <c r="W125" i="6"/>
  <c r="V125" i="6"/>
  <c r="U125" i="6"/>
  <c r="T125" i="6"/>
  <c r="S125" i="6"/>
  <c r="R125" i="6"/>
  <c r="Q125" i="6"/>
  <c r="P125" i="6"/>
  <c r="O125" i="6"/>
  <c r="N125" i="6"/>
  <c r="M125" i="6"/>
  <c r="L125" i="6"/>
  <c r="K125" i="6"/>
  <c r="J125" i="6"/>
  <c r="I125" i="6"/>
  <c r="H125" i="6"/>
  <c r="G125" i="6"/>
  <c r="F125" i="6"/>
  <c r="AE124" i="6"/>
  <c r="AC124" i="6"/>
  <c r="AB124" i="6"/>
  <c r="AA124" i="6"/>
  <c r="Z124" i="6"/>
  <c r="Y124" i="6"/>
  <c r="X124" i="6"/>
  <c r="W124" i="6"/>
  <c r="V124" i="6"/>
  <c r="U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H124" i="6"/>
  <c r="G124" i="6"/>
  <c r="F124" i="6"/>
  <c r="AE123" i="6"/>
  <c r="AC123" i="6"/>
  <c r="AB123" i="6"/>
  <c r="AA123" i="6"/>
  <c r="Z123" i="6"/>
  <c r="Y123" i="6"/>
  <c r="X123" i="6"/>
  <c r="W123" i="6"/>
  <c r="V123" i="6"/>
  <c r="U123" i="6"/>
  <c r="T123" i="6"/>
  <c r="S123" i="6"/>
  <c r="R123" i="6"/>
  <c r="Q123" i="6"/>
  <c r="P123" i="6"/>
  <c r="O123" i="6"/>
  <c r="N123" i="6"/>
  <c r="M123" i="6"/>
  <c r="L123" i="6"/>
  <c r="K123" i="6"/>
  <c r="J123" i="6"/>
  <c r="I123" i="6"/>
  <c r="H123" i="6"/>
  <c r="G123" i="6"/>
  <c r="F123" i="6"/>
  <c r="AE122" i="6"/>
  <c r="AC122" i="6"/>
  <c r="AB122" i="6"/>
  <c r="AA122" i="6"/>
  <c r="Z122" i="6"/>
  <c r="Y122" i="6"/>
  <c r="X122" i="6"/>
  <c r="W122" i="6"/>
  <c r="V122" i="6"/>
  <c r="U122" i="6"/>
  <c r="T122" i="6"/>
  <c r="S122" i="6"/>
  <c r="R122" i="6"/>
  <c r="Q122" i="6"/>
  <c r="P122" i="6"/>
  <c r="O122" i="6"/>
  <c r="N122" i="6"/>
  <c r="M122" i="6"/>
  <c r="L122" i="6"/>
  <c r="K122" i="6"/>
  <c r="J122" i="6"/>
  <c r="I122" i="6"/>
  <c r="H122" i="6"/>
  <c r="G122" i="6"/>
  <c r="F122" i="6"/>
  <c r="AE121" i="6"/>
  <c r="AC121" i="6"/>
  <c r="AB121" i="6"/>
  <c r="AA121" i="6"/>
  <c r="Z121" i="6"/>
  <c r="Y121" i="6"/>
  <c r="X121" i="6"/>
  <c r="W121" i="6"/>
  <c r="V121" i="6"/>
  <c r="U121" i="6"/>
  <c r="T121" i="6"/>
  <c r="S121" i="6"/>
  <c r="R121" i="6"/>
  <c r="Q121" i="6"/>
  <c r="P121" i="6"/>
  <c r="O121" i="6"/>
  <c r="N121" i="6"/>
  <c r="M121" i="6"/>
  <c r="L121" i="6"/>
  <c r="K121" i="6"/>
  <c r="J121" i="6"/>
  <c r="I121" i="6"/>
  <c r="H121" i="6"/>
  <c r="G121" i="6"/>
  <c r="F121" i="6"/>
  <c r="AE120" i="6"/>
  <c r="AC120" i="6"/>
  <c r="AB120" i="6"/>
  <c r="AA120" i="6"/>
  <c r="Z120" i="6"/>
  <c r="Y120" i="6"/>
  <c r="X120" i="6"/>
  <c r="W120" i="6"/>
  <c r="V120" i="6"/>
  <c r="U120" i="6"/>
  <c r="T120" i="6"/>
  <c r="S120" i="6"/>
  <c r="R120" i="6"/>
  <c r="Q120" i="6"/>
  <c r="P120" i="6"/>
  <c r="O120" i="6"/>
  <c r="N120" i="6"/>
  <c r="M120" i="6"/>
  <c r="L120" i="6"/>
  <c r="K120" i="6"/>
  <c r="J120" i="6"/>
  <c r="I120" i="6"/>
  <c r="H120" i="6"/>
  <c r="G120" i="6"/>
  <c r="F120" i="6"/>
  <c r="AE119" i="6"/>
  <c r="AC119" i="6"/>
  <c r="AB119" i="6"/>
  <c r="AA119" i="6"/>
  <c r="Z119" i="6"/>
  <c r="Y119" i="6"/>
  <c r="X119" i="6"/>
  <c r="W119" i="6"/>
  <c r="V119" i="6"/>
  <c r="U119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H119" i="6"/>
  <c r="G119" i="6"/>
  <c r="F119" i="6"/>
  <c r="AE118" i="6"/>
  <c r="AC118" i="6"/>
  <c r="AB118" i="6"/>
  <c r="AA118" i="6"/>
  <c r="Z118" i="6"/>
  <c r="Y118" i="6"/>
  <c r="X118" i="6"/>
  <c r="W118" i="6"/>
  <c r="V118" i="6"/>
  <c r="U118" i="6"/>
  <c r="T118" i="6"/>
  <c r="S118" i="6"/>
  <c r="R118" i="6"/>
  <c r="Q118" i="6"/>
  <c r="P118" i="6"/>
  <c r="O118" i="6"/>
  <c r="N118" i="6"/>
  <c r="M118" i="6"/>
  <c r="L118" i="6"/>
  <c r="K118" i="6"/>
  <c r="J118" i="6"/>
  <c r="I118" i="6"/>
  <c r="H118" i="6"/>
  <c r="G118" i="6"/>
  <c r="F118" i="6"/>
  <c r="AE117" i="6"/>
  <c r="AC117" i="6"/>
  <c r="AB117" i="6"/>
  <c r="AA117" i="6"/>
  <c r="Z117" i="6"/>
  <c r="Y117" i="6"/>
  <c r="X117" i="6"/>
  <c r="W117" i="6"/>
  <c r="V117" i="6"/>
  <c r="U117" i="6"/>
  <c r="T117" i="6"/>
  <c r="S117" i="6"/>
  <c r="R117" i="6"/>
  <c r="Q117" i="6"/>
  <c r="P117" i="6"/>
  <c r="O117" i="6"/>
  <c r="N117" i="6"/>
  <c r="M117" i="6"/>
  <c r="L117" i="6"/>
  <c r="K117" i="6"/>
  <c r="J117" i="6"/>
  <c r="I117" i="6"/>
  <c r="H117" i="6"/>
  <c r="G117" i="6"/>
  <c r="F117" i="6"/>
  <c r="AE116" i="6"/>
  <c r="AC116" i="6"/>
  <c r="AB116" i="6"/>
  <c r="AA116" i="6"/>
  <c r="Z116" i="6"/>
  <c r="Y116" i="6"/>
  <c r="X116" i="6"/>
  <c r="W116" i="6"/>
  <c r="V116" i="6"/>
  <c r="U116" i="6"/>
  <c r="T116" i="6"/>
  <c r="S116" i="6"/>
  <c r="R116" i="6"/>
  <c r="Q116" i="6"/>
  <c r="P116" i="6"/>
  <c r="O116" i="6"/>
  <c r="N116" i="6"/>
  <c r="M116" i="6"/>
  <c r="L116" i="6"/>
  <c r="K116" i="6"/>
  <c r="J116" i="6"/>
  <c r="I116" i="6"/>
  <c r="H116" i="6"/>
  <c r="G116" i="6"/>
  <c r="F116" i="6"/>
  <c r="AE115" i="6"/>
  <c r="AC115" i="6"/>
  <c r="AB115" i="6"/>
  <c r="AA115" i="6"/>
  <c r="Z115" i="6"/>
  <c r="Y115" i="6"/>
  <c r="X115" i="6"/>
  <c r="W115" i="6"/>
  <c r="V115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AE114" i="6"/>
  <c r="AC114" i="6"/>
  <c r="AB114" i="6"/>
  <c r="AA114" i="6"/>
  <c r="Z114" i="6"/>
  <c r="Y114" i="6"/>
  <c r="X114" i="6"/>
  <c r="W114" i="6"/>
  <c r="V114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AE113" i="6"/>
  <c r="AC113" i="6"/>
  <c r="AB113" i="6"/>
  <c r="AA113" i="6"/>
  <c r="Z113" i="6"/>
  <c r="Y113" i="6"/>
  <c r="X113" i="6"/>
  <c r="W113" i="6"/>
  <c r="V113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AE112" i="6"/>
  <c r="AC112" i="6"/>
  <c r="AB112" i="6"/>
  <c r="AA112" i="6"/>
  <c r="Z112" i="6"/>
  <c r="Y112" i="6"/>
  <c r="X112" i="6"/>
  <c r="W112" i="6"/>
  <c r="V112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AE111" i="6"/>
  <c r="AC111" i="6"/>
  <c r="AB111" i="6"/>
  <c r="AA111" i="6"/>
  <c r="Z111" i="6"/>
  <c r="Y111" i="6"/>
  <c r="X111" i="6"/>
  <c r="W111" i="6"/>
  <c r="V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AE110" i="6"/>
  <c r="AC110" i="6"/>
  <c r="AB110" i="6"/>
  <c r="AA110" i="6"/>
  <c r="Z110" i="6"/>
  <c r="Y110" i="6"/>
  <c r="X110" i="6"/>
  <c r="W110" i="6"/>
  <c r="V110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AE109" i="6"/>
  <c r="AC109" i="6"/>
  <c r="AB109" i="6"/>
  <c r="AA109" i="6"/>
  <c r="Z109" i="6"/>
  <c r="Y109" i="6"/>
  <c r="X109" i="6"/>
  <c r="W109" i="6"/>
  <c r="V109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AE108" i="6"/>
  <c r="AC108" i="6"/>
  <c r="AB108" i="6"/>
  <c r="AA108" i="6"/>
  <c r="Z108" i="6"/>
  <c r="Y108" i="6"/>
  <c r="X108" i="6"/>
  <c r="W108" i="6"/>
  <c r="V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AE107" i="6"/>
  <c r="AC107" i="6"/>
  <c r="AB107" i="6"/>
  <c r="AA107" i="6"/>
  <c r="Z107" i="6"/>
  <c r="Y107" i="6"/>
  <c r="X107" i="6"/>
  <c r="W107" i="6"/>
  <c r="V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AE106" i="6"/>
  <c r="AC106" i="6"/>
  <c r="AB106" i="6"/>
  <c r="AA106" i="6"/>
  <c r="Z106" i="6"/>
  <c r="Y106" i="6"/>
  <c r="X106" i="6"/>
  <c r="W106" i="6"/>
  <c r="V106" i="6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AE105" i="6"/>
  <c r="AC105" i="6"/>
  <c r="AB105" i="6"/>
  <c r="AA105" i="6"/>
  <c r="Z105" i="6"/>
  <c r="Y105" i="6"/>
  <c r="X105" i="6"/>
  <c r="W105" i="6"/>
  <c r="V105" i="6"/>
  <c r="U105" i="6"/>
  <c r="T105" i="6"/>
  <c r="S105" i="6"/>
  <c r="R105" i="6"/>
  <c r="Q105" i="6"/>
  <c r="P105" i="6"/>
  <c r="O105" i="6"/>
  <c r="N105" i="6"/>
  <c r="M105" i="6"/>
  <c r="L105" i="6"/>
  <c r="K105" i="6"/>
  <c r="J105" i="6"/>
  <c r="I105" i="6"/>
  <c r="H105" i="6"/>
  <c r="G105" i="6"/>
  <c r="F105" i="6"/>
  <c r="AE104" i="6"/>
  <c r="AC104" i="6"/>
  <c r="AB104" i="6"/>
  <c r="AA104" i="6"/>
  <c r="Z104" i="6"/>
  <c r="Y104" i="6"/>
  <c r="X104" i="6"/>
  <c r="W104" i="6"/>
  <c r="V104" i="6"/>
  <c r="U104" i="6"/>
  <c r="T104" i="6"/>
  <c r="S104" i="6"/>
  <c r="R104" i="6"/>
  <c r="Q104" i="6"/>
  <c r="P104" i="6"/>
  <c r="O104" i="6"/>
  <c r="N104" i="6"/>
  <c r="M104" i="6"/>
  <c r="L104" i="6"/>
  <c r="K104" i="6"/>
  <c r="J104" i="6"/>
  <c r="I104" i="6"/>
  <c r="H104" i="6"/>
  <c r="G104" i="6"/>
  <c r="F104" i="6"/>
  <c r="AE103" i="6"/>
  <c r="AC103" i="6"/>
  <c r="AB103" i="6"/>
  <c r="AA103" i="6"/>
  <c r="Z103" i="6"/>
  <c r="Y103" i="6"/>
  <c r="X103" i="6"/>
  <c r="W103" i="6"/>
  <c r="V103" i="6"/>
  <c r="U103" i="6"/>
  <c r="T103" i="6"/>
  <c r="S103" i="6"/>
  <c r="R103" i="6"/>
  <c r="Q103" i="6"/>
  <c r="P103" i="6"/>
  <c r="O103" i="6"/>
  <c r="N103" i="6"/>
  <c r="M103" i="6"/>
  <c r="L103" i="6"/>
  <c r="K103" i="6"/>
  <c r="J103" i="6"/>
  <c r="I103" i="6"/>
  <c r="H103" i="6"/>
  <c r="G103" i="6"/>
  <c r="F103" i="6"/>
  <c r="AE102" i="6"/>
  <c r="AC102" i="6"/>
  <c r="AB102" i="6"/>
  <c r="AA102" i="6"/>
  <c r="Z102" i="6"/>
  <c r="Y102" i="6"/>
  <c r="X102" i="6"/>
  <c r="W102" i="6"/>
  <c r="V102" i="6"/>
  <c r="U102" i="6"/>
  <c r="T102" i="6"/>
  <c r="S102" i="6"/>
  <c r="R102" i="6"/>
  <c r="Q102" i="6"/>
  <c r="P102" i="6"/>
  <c r="O102" i="6"/>
  <c r="N102" i="6"/>
  <c r="M102" i="6"/>
  <c r="L102" i="6"/>
  <c r="K102" i="6"/>
  <c r="J102" i="6"/>
  <c r="I102" i="6"/>
  <c r="H102" i="6"/>
  <c r="G102" i="6"/>
  <c r="F102" i="6"/>
  <c r="AE101" i="6"/>
  <c r="AC101" i="6"/>
  <c r="AB101" i="6"/>
  <c r="AA101" i="6"/>
  <c r="Z101" i="6"/>
  <c r="Y101" i="6"/>
  <c r="X101" i="6"/>
  <c r="W101" i="6"/>
  <c r="V101" i="6"/>
  <c r="U101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H101" i="6"/>
  <c r="G101" i="6"/>
  <c r="F101" i="6"/>
  <c r="AE100" i="6"/>
  <c r="AC100" i="6"/>
  <c r="AB100" i="6"/>
  <c r="AA100" i="6"/>
  <c r="Z100" i="6"/>
  <c r="Y100" i="6"/>
  <c r="X100" i="6"/>
  <c r="W100" i="6"/>
  <c r="V100" i="6"/>
  <c r="U100" i="6"/>
  <c r="T100" i="6"/>
  <c r="S100" i="6"/>
  <c r="R100" i="6"/>
  <c r="Q100" i="6"/>
  <c r="P100" i="6"/>
  <c r="O100" i="6"/>
  <c r="N100" i="6"/>
  <c r="M100" i="6"/>
  <c r="L100" i="6"/>
  <c r="K100" i="6"/>
  <c r="J100" i="6"/>
  <c r="I100" i="6"/>
  <c r="H100" i="6"/>
  <c r="G100" i="6"/>
  <c r="F100" i="6"/>
  <c r="AE99" i="6"/>
  <c r="AC99" i="6"/>
  <c r="AB99" i="6"/>
  <c r="AA99" i="6"/>
  <c r="Z99" i="6"/>
  <c r="Y99" i="6"/>
  <c r="X99" i="6"/>
  <c r="W99" i="6"/>
  <c r="V99" i="6"/>
  <c r="U99" i="6"/>
  <c r="T99" i="6"/>
  <c r="S99" i="6"/>
  <c r="R99" i="6"/>
  <c r="Q99" i="6"/>
  <c r="P99" i="6"/>
  <c r="O99" i="6"/>
  <c r="N99" i="6"/>
  <c r="M99" i="6"/>
  <c r="L99" i="6"/>
  <c r="K99" i="6"/>
  <c r="J99" i="6"/>
  <c r="I99" i="6"/>
  <c r="H99" i="6"/>
  <c r="G99" i="6"/>
  <c r="F99" i="6"/>
  <c r="AE98" i="6"/>
  <c r="AC98" i="6"/>
  <c r="AB98" i="6"/>
  <c r="AA98" i="6"/>
  <c r="Z98" i="6"/>
  <c r="Y98" i="6"/>
  <c r="X98" i="6"/>
  <c r="W98" i="6"/>
  <c r="V98" i="6"/>
  <c r="U98" i="6"/>
  <c r="T98" i="6"/>
  <c r="S98" i="6"/>
  <c r="R98" i="6"/>
  <c r="Q98" i="6"/>
  <c r="P98" i="6"/>
  <c r="O98" i="6"/>
  <c r="N98" i="6"/>
  <c r="M98" i="6"/>
  <c r="L98" i="6"/>
  <c r="K98" i="6"/>
  <c r="J98" i="6"/>
  <c r="I98" i="6"/>
  <c r="H98" i="6"/>
  <c r="G98" i="6"/>
  <c r="F98" i="6"/>
  <c r="AE97" i="6"/>
  <c r="AC97" i="6"/>
  <c r="AB97" i="6"/>
  <c r="AA97" i="6"/>
  <c r="Z97" i="6"/>
  <c r="Y97" i="6"/>
  <c r="X97" i="6"/>
  <c r="W97" i="6"/>
  <c r="V97" i="6"/>
  <c r="U97" i="6"/>
  <c r="T97" i="6"/>
  <c r="S97" i="6"/>
  <c r="R97" i="6"/>
  <c r="Q97" i="6"/>
  <c r="P97" i="6"/>
  <c r="O97" i="6"/>
  <c r="N97" i="6"/>
  <c r="M97" i="6"/>
  <c r="L97" i="6"/>
  <c r="K97" i="6"/>
  <c r="J97" i="6"/>
  <c r="I97" i="6"/>
  <c r="H97" i="6"/>
  <c r="G97" i="6"/>
  <c r="F97" i="6"/>
  <c r="AE96" i="6"/>
  <c r="AC96" i="6"/>
  <c r="AB96" i="6"/>
  <c r="AA96" i="6"/>
  <c r="Z96" i="6"/>
  <c r="Y96" i="6"/>
  <c r="X96" i="6"/>
  <c r="W96" i="6"/>
  <c r="V96" i="6"/>
  <c r="U96" i="6"/>
  <c r="T96" i="6"/>
  <c r="S96" i="6"/>
  <c r="R96" i="6"/>
  <c r="Q96" i="6"/>
  <c r="P96" i="6"/>
  <c r="O96" i="6"/>
  <c r="N96" i="6"/>
  <c r="M96" i="6"/>
  <c r="L96" i="6"/>
  <c r="K96" i="6"/>
  <c r="J96" i="6"/>
  <c r="I96" i="6"/>
  <c r="H96" i="6"/>
  <c r="G96" i="6"/>
  <c r="F96" i="6"/>
  <c r="AE95" i="6"/>
  <c r="AC95" i="6"/>
  <c r="AB95" i="6"/>
  <c r="AA95" i="6"/>
  <c r="Z95" i="6"/>
  <c r="Y95" i="6"/>
  <c r="X95" i="6"/>
  <c r="W95" i="6"/>
  <c r="V95" i="6"/>
  <c r="U95" i="6"/>
  <c r="T95" i="6"/>
  <c r="S95" i="6"/>
  <c r="R95" i="6"/>
  <c r="Q95" i="6"/>
  <c r="P95" i="6"/>
  <c r="O95" i="6"/>
  <c r="N95" i="6"/>
  <c r="M95" i="6"/>
  <c r="L95" i="6"/>
  <c r="K95" i="6"/>
  <c r="J95" i="6"/>
  <c r="I95" i="6"/>
  <c r="H95" i="6"/>
  <c r="G95" i="6"/>
  <c r="F95" i="6"/>
  <c r="AE94" i="6"/>
  <c r="AC94" i="6"/>
  <c r="AB94" i="6"/>
  <c r="AA94" i="6"/>
  <c r="Z94" i="6"/>
  <c r="Y94" i="6"/>
  <c r="X94" i="6"/>
  <c r="W94" i="6"/>
  <c r="V94" i="6"/>
  <c r="U94" i="6"/>
  <c r="T94" i="6"/>
  <c r="S94" i="6"/>
  <c r="R94" i="6"/>
  <c r="Q94" i="6"/>
  <c r="P94" i="6"/>
  <c r="O94" i="6"/>
  <c r="N94" i="6"/>
  <c r="M94" i="6"/>
  <c r="L94" i="6"/>
  <c r="K94" i="6"/>
  <c r="J94" i="6"/>
  <c r="I94" i="6"/>
  <c r="H94" i="6"/>
  <c r="G94" i="6"/>
  <c r="F94" i="6"/>
  <c r="AE93" i="6"/>
  <c r="AC93" i="6"/>
  <c r="AB93" i="6"/>
  <c r="AA93" i="6"/>
  <c r="Z93" i="6"/>
  <c r="Y93" i="6"/>
  <c r="X93" i="6"/>
  <c r="W93" i="6"/>
  <c r="V93" i="6"/>
  <c r="U93" i="6"/>
  <c r="T93" i="6"/>
  <c r="S93" i="6"/>
  <c r="R93" i="6"/>
  <c r="Q93" i="6"/>
  <c r="P93" i="6"/>
  <c r="O93" i="6"/>
  <c r="N93" i="6"/>
  <c r="M93" i="6"/>
  <c r="L93" i="6"/>
  <c r="K93" i="6"/>
  <c r="J93" i="6"/>
  <c r="I93" i="6"/>
  <c r="H93" i="6"/>
  <c r="G93" i="6"/>
  <c r="F93" i="6"/>
  <c r="AE92" i="6"/>
  <c r="AC92" i="6"/>
  <c r="AB92" i="6"/>
  <c r="AA92" i="6"/>
  <c r="Z92" i="6"/>
  <c r="Y92" i="6"/>
  <c r="X92" i="6"/>
  <c r="W92" i="6"/>
  <c r="V92" i="6"/>
  <c r="U92" i="6"/>
  <c r="T92" i="6"/>
  <c r="S92" i="6"/>
  <c r="R92" i="6"/>
  <c r="Q92" i="6"/>
  <c r="P92" i="6"/>
  <c r="O92" i="6"/>
  <c r="N92" i="6"/>
  <c r="M92" i="6"/>
  <c r="L92" i="6"/>
  <c r="K92" i="6"/>
  <c r="J92" i="6"/>
  <c r="I92" i="6"/>
  <c r="H92" i="6"/>
  <c r="G92" i="6"/>
  <c r="F92" i="6"/>
  <c r="AE91" i="6"/>
  <c r="AC91" i="6"/>
  <c r="AB91" i="6"/>
  <c r="AA91" i="6"/>
  <c r="Z91" i="6"/>
  <c r="Y91" i="6"/>
  <c r="X91" i="6"/>
  <c r="W91" i="6"/>
  <c r="V91" i="6"/>
  <c r="U91" i="6"/>
  <c r="T91" i="6"/>
  <c r="S91" i="6"/>
  <c r="R91" i="6"/>
  <c r="Q91" i="6"/>
  <c r="P91" i="6"/>
  <c r="O91" i="6"/>
  <c r="N91" i="6"/>
  <c r="M91" i="6"/>
  <c r="L91" i="6"/>
  <c r="K91" i="6"/>
  <c r="J91" i="6"/>
  <c r="I91" i="6"/>
  <c r="H91" i="6"/>
  <c r="G91" i="6"/>
  <c r="F91" i="6"/>
  <c r="AE90" i="6"/>
  <c r="AC90" i="6"/>
  <c r="AB90" i="6"/>
  <c r="AA90" i="6"/>
  <c r="Z90" i="6"/>
  <c r="Y90" i="6"/>
  <c r="X90" i="6"/>
  <c r="W90" i="6"/>
  <c r="V90" i="6"/>
  <c r="U90" i="6"/>
  <c r="T90" i="6"/>
  <c r="S90" i="6"/>
  <c r="R90" i="6"/>
  <c r="Q90" i="6"/>
  <c r="P90" i="6"/>
  <c r="O90" i="6"/>
  <c r="N90" i="6"/>
  <c r="M90" i="6"/>
  <c r="L90" i="6"/>
  <c r="K90" i="6"/>
  <c r="J90" i="6"/>
  <c r="I90" i="6"/>
  <c r="H90" i="6"/>
  <c r="G90" i="6"/>
  <c r="F90" i="6"/>
  <c r="AE89" i="6"/>
  <c r="AC89" i="6"/>
  <c r="AB89" i="6"/>
  <c r="AA89" i="6"/>
  <c r="Z89" i="6"/>
  <c r="Y89" i="6"/>
  <c r="X89" i="6"/>
  <c r="W89" i="6"/>
  <c r="V89" i="6"/>
  <c r="U89" i="6"/>
  <c r="T89" i="6"/>
  <c r="S89" i="6"/>
  <c r="R89" i="6"/>
  <c r="Q89" i="6"/>
  <c r="P89" i="6"/>
  <c r="O89" i="6"/>
  <c r="N89" i="6"/>
  <c r="M89" i="6"/>
  <c r="L89" i="6"/>
  <c r="K89" i="6"/>
  <c r="J89" i="6"/>
  <c r="I89" i="6"/>
  <c r="H89" i="6"/>
  <c r="G89" i="6"/>
  <c r="F89" i="6"/>
  <c r="AE88" i="6"/>
  <c r="AC88" i="6"/>
  <c r="AB88" i="6"/>
  <c r="AA88" i="6"/>
  <c r="Z88" i="6"/>
  <c r="Y88" i="6"/>
  <c r="X88" i="6"/>
  <c r="W88" i="6"/>
  <c r="V88" i="6"/>
  <c r="U88" i="6"/>
  <c r="T88" i="6"/>
  <c r="S88" i="6"/>
  <c r="R88" i="6"/>
  <c r="Q88" i="6"/>
  <c r="P88" i="6"/>
  <c r="O88" i="6"/>
  <c r="N88" i="6"/>
  <c r="M88" i="6"/>
  <c r="L88" i="6"/>
  <c r="K88" i="6"/>
  <c r="J88" i="6"/>
  <c r="I88" i="6"/>
  <c r="H88" i="6"/>
  <c r="G88" i="6"/>
  <c r="F88" i="6"/>
  <c r="AE87" i="6"/>
  <c r="AC87" i="6"/>
  <c r="AB87" i="6"/>
  <c r="AA87" i="6"/>
  <c r="Z87" i="6"/>
  <c r="Y87" i="6"/>
  <c r="X87" i="6"/>
  <c r="W87" i="6"/>
  <c r="V87" i="6"/>
  <c r="U87" i="6"/>
  <c r="T87" i="6"/>
  <c r="S87" i="6"/>
  <c r="R87" i="6"/>
  <c r="Q87" i="6"/>
  <c r="P87" i="6"/>
  <c r="O87" i="6"/>
  <c r="N87" i="6"/>
  <c r="M87" i="6"/>
  <c r="L87" i="6"/>
  <c r="K87" i="6"/>
  <c r="J87" i="6"/>
  <c r="I87" i="6"/>
  <c r="H87" i="6"/>
  <c r="G87" i="6"/>
  <c r="F87" i="6"/>
  <c r="AE86" i="6"/>
  <c r="AC86" i="6"/>
  <c r="AB86" i="6"/>
  <c r="AA86" i="6"/>
  <c r="Z86" i="6"/>
  <c r="Y86" i="6"/>
  <c r="X86" i="6"/>
  <c r="W86" i="6"/>
  <c r="V86" i="6"/>
  <c r="U86" i="6"/>
  <c r="T86" i="6"/>
  <c r="S86" i="6"/>
  <c r="R86" i="6"/>
  <c r="Q86" i="6"/>
  <c r="P86" i="6"/>
  <c r="O86" i="6"/>
  <c r="N86" i="6"/>
  <c r="M86" i="6"/>
  <c r="L86" i="6"/>
  <c r="K86" i="6"/>
  <c r="J86" i="6"/>
  <c r="I86" i="6"/>
  <c r="H86" i="6"/>
  <c r="G86" i="6"/>
  <c r="F86" i="6"/>
  <c r="AE85" i="6"/>
  <c r="AC85" i="6"/>
  <c r="AB85" i="6"/>
  <c r="AA85" i="6"/>
  <c r="Z85" i="6"/>
  <c r="Y85" i="6"/>
  <c r="X85" i="6"/>
  <c r="W85" i="6"/>
  <c r="V85" i="6"/>
  <c r="U85" i="6"/>
  <c r="T85" i="6"/>
  <c r="S85" i="6"/>
  <c r="R85" i="6"/>
  <c r="Q85" i="6"/>
  <c r="P85" i="6"/>
  <c r="O85" i="6"/>
  <c r="N85" i="6"/>
  <c r="M85" i="6"/>
  <c r="L85" i="6"/>
  <c r="K85" i="6"/>
  <c r="J85" i="6"/>
  <c r="I85" i="6"/>
  <c r="H85" i="6"/>
  <c r="G85" i="6"/>
  <c r="F85" i="6"/>
  <c r="AE84" i="6"/>
  <c r="AC84" i="6"/>
  <c r="AB84" i="6"/>
  <c r="AA84" i="6"/>
  <c r="Z84" i="6"/>
  <c r="Y84" i="6"/>
  <c r="X84" i="6"/>
  <c r="W84" i="6"/>
  <c r="V84" i="6"/>
  <c r="U84" i="6"/>
  <c r="T84" i="6"/>
  <c r="S84" i="6"/>
  <c r="R84" i="6"/>
  <c r="Q84" i="6"/>
  <c r="P84" i="6"/>
  <c r="O84" i="6"/>
  <c r="N84" i="6"/>
  <c r="M84" i="6"/>
  <c r="L84" i="6"/>
  <c r="K84" i="6"/>
  <c r="J84" i="6"/>
  <c r="I84" i="6"/>
  <c r="H84" i="6"/>
  <c r="G84" i="6"/>
  <c r="F84" i="6"/>
  <c r="AE83" i="6"/>
  <c r="AC83" i="6"/>
  <c r="AB83" i="6"/>
  <c r="AA83" i="6"/>
  <c r="Z83" i="6"/>
  <c r="Y83" i="6"/>
  <c r="X83" i="6"/>
  <c r="W83" i="6"/>
  <c r="V83" i="6"/>
  <c r="U83" i="6"/>
  <c r="T83" i="6"/>
  <c r="S83" i="6"/>
  <c r="R83" i="6"/>
  <c r="Q83" i="6"/>
  <c r="P83" i="6"/>
  <c r="O83" i="6"/>
  <c r="N83" i="6"/>
  <c r="M83" i="6"/>
  <c r="L83" i="6"/>
  <c r="K83" i="6"/>
  <c r="J83" i="6"/>
  <c r="I83" i="6"/>
  <c r="H83" i="6"/>
  <c r="G83" i="6"/>
  <c r="F83" i="6"/>
  <c r="AE82" i="6"/>
  <c r="AC82" i="6"/>
  <c r="AB82" i="6"/>
  <c r="AA82" i="6"/>
  <c r="Z82" i="6"/>
  <c r="Y82" i="6"/>
  <c r="X82" i="6"/>
  <c r="W82" i="6"/>
  <c r="V82" i="6"/>
  <c r="U82" i="6"/>
  <c r="T82" i="6"/>
  <c r="S82" i="6"/>
  <c r="R82" i="6"/>
  <c r="Q82" i="6"/>
  <c r="P82" i="6"/>
  <c r="O82" i="6"/>
  <c r="N82" i="6"/>
  <c r="M82" i="6"/>
  <c r="L82" i="6"/>
  <c r="K82" i="6"/>
  <c r="J82" i="6"/>
  <c r="I82" i="6"/>
  <c r="H82" i="6"/>
  <c r="G82" i="6"/>
  <c r="F82" i="6"/>
  <c r="AE81" i="6"/>
  <c r="AC81" i="6"/>
  <c r="AB81" i="6"/>
  <c r="AA81" i="6"/>
  <c r="Z81" i="6"/>
  <c r="Y81" i="6"/>
  <c r="X81" i="6"/>
  <c r="W81" i="6"/>
  <c r="V81" i="6"/>
  <c r="U81" i="6"/>
  <c r="T81" i="6"/>
  <c r="S81" i="6"/>
  <c r="R81" i="6"/>
  <c r="Q81" i="6"/>
  <c r="P81" i="6"/>
  <c r="O81" i="6"/>
  <c r="N81" i="6"/>
  <c r="M81" i="6"/>
  <c r="L81" i="6"/>
  <c r="K81" i="6"/>
  <c r="J81" i="6"/>
  <c r="I81" i="6"/>
  <c r="H81" i="6"/>
  <c r="G81" i="6"/>
  <c r="F81" i="6"/>
  <c r="AE80" i="6"/>
  <c r="AC80" i="6"/>
  <c r="AB80" i="6"/>
  <c r="AA80" i="6"/>
  <c r="Z80" i="6"/>
  <c r="Y80" i="6"/>
  <c r="X80" i="6"/>
  <c r="W80" i="6"/>
  <c r="V80" i="6"/>
  <c r="U80" i="6"/>
  <c r="T80" i="6"/>
  <c r="S80" i="6"/>
  <c r="R80" i="6"/>
  <c r="Q80" i="6"/>
  <c r="P80" i="6"/>
  <c r="O80" i="6"/>
  <c r="N80" i="6"/>
  <c r="M80" i="6"/>
  <c r="L80" i="6"/>
  <c r="K80" i="6"/>
  <c r="J80" i="6"/>
  <c r="I80" i="6"/>
  <c r="H80" i="6"/>
  <c r="G80" i="6"/>
  <c r="F80" i="6"/>
  <c r="AE79" i="6"/>
  <c r="AC79" i="6"/>
  <c r="AB79" i="6"/>
  <c r="AA79" i="6"/>
  <c r="Z79" i="6"/>
  <c r="Y79" i="6"/>
  <c r="X79" i="6"/>
  <c r="W79" i="6"/>
  <c r="V79" i="6"/>
  <c r="U79" i="6"/>
  <c r="T79" i="6"/>
  <c r="S79" i="6"/>
  <c r="R79" i="6"/>
  <c r="Q79" i="6"/>
  <c r="P79" i="6"/>
  <c r="O79" i="6"/>
  <c r="N79" i="6"/>
  <c r="M79" i="6"/>
  <c r="L79" i="6"/>
  <c r="K79" i="6"/>
  <c r="J79" i="6"/>
  <c r="I79" i="6"/>
  <c r="H79" i="6"/>
  <c r="G79" i="6"/>
  <c r="F79" i="6"/>
  <c r="AE78" i="6"/>
  <c r="AC78" i="6"/>
  <c r="AB78" i="6"/>
  <c r="AA78" i="6"/>
  <c r="Z78" i="6"/>
  <c r="Y78" i="6"/>
  <c r="X78" i="6"/>
  <c r="W78" i="6"/>
  <c r="V78" i="6"/>
  <c r="U78" i="6"/>
  <c r="T78" i="6"/>
  <c r="S78" i="6"/>
  <c r="R78" i="6"/>
  <c r="Q78" i="6"/>
  <c r="P78" i="6"/>
  <c r="O78" i="6"/>
  <c r="N78" i="6"/>
  <c r="M78" i="6"/>
  <c r="L78" i="6"/>
  <c r="K78" i="6"/>
  <c r="J78" i="6"/>
  <c r="I78" i="6"/>
  <c r="H78" i="6"/>
  <c r="G78" i="6"/>
  <c r="F78" i="6"/>
  <c r="AE77" i="6"/>
  <c r="AC77" i="6"/>
  <c r="AB77" i="6"/>
  <c r="AA77" i="6"/>
  <c r="Z77" i="6"/>
  <c r="Y77" i="6"/>
  <c r="X77" i="6"/>
  <c r="W77" i="6"/>
  <c r="V77" i="6"/>
  <c r="U77" i="6"/>
  <c r="T77" i="6"/>
  <c r="S77" i="6"/>
  <c r="R77" i="6"/>
  <c r="Q77" i="6"/>
  <c r="P77" i="6"/>
  <c r="O77" i="6"/>
  <c r="N77" i="6"/>
  <c r="M77" i="6"/>
  <c r="L77" i="6"/>
  <c r="K77" i="6"/>
  <c r="J77" i="6"/>
  <c r="I77" i="6"/>
  <c r="H77" i="6"/>
  <c r="G77" i="6"/>
  <c r="F77" i="6"/>
  <c r="AE76" i="6"/>
  <c r="AC76" i="6"/>
  <c r="AB76" i="6"/>
  <c r="AA76" i="6"/>
  <c r="Z76" i="6"/>
  <c r="Y76" i="6"/>
  <c r="X76" i="6"/>
  <c r="W76" i="6"/>
  <c r="V76" i="6"/>
  <c r="U76" i="6"/>
  <c r="T76" i="6"/>
  <c r="S76" i="6"/>
  <c r="R76" i="6"/>
  <c r="Q76" i="6"/>
  <c r="P76" i="6"/>
  <c r="O76" i="6"/>
  <c r="N76" i="6"/>
  <c r="M76" i="6"/>
  <c r="L76" i="6"/>
  <c r="K76" i="6"/>
  <c r="J76" i="6"/>
  <c r="I76" i="6"/>
  <c r="H76" i="6"/>
  <c r="G76" i="6"/>
  <c r="F76" i="6"/>
  <c r="AE75" i="6"/>
  <c r="AC75" i="6"/>
  <c r="AB75" i="6"/>
  <c r="AA75" i="6"/>
  <c r="Z75" i="6"/>
  <c r="Y75" i="6"/>
  <c r="X75" i="6"/>
  <c r="W75" i="6"/>
  <c r="V75" i="6"/>
  <c r="U75" i="6"/>
  <c r="T75" i="6"/>
  <c r="S75" i="6"/>
  <c r="R75" i="6"/>
  <c r="Q75" i="6"/>
  <c r="P75" i="6"/>
  <c r="O75" i="6"/>
  <c r="N75" i="6"/>
  <c r="M75" i="6"/>
  <c r="L75" i="6"/>
  <c r="K75" i="6"/>
  <c r="J75" i="6"/>
  <c r="I75" i="6"/>
  <c r="H75" i="6"/>
  <c r="G75" i="6"/>
  <c r="F75" i="6"/>
  <c r="AE74" i="6"/>
  <c r="AC74" i="6"/>
  <c r="AB74" i="6"/>
  <c r="AA74" i="6"/>
  <c r="Z74" i="6"/>
  <c r="Y74" i="6"/>
  <c r="X74" i="6"/>
  <c r="W74" i="6"/>
  <c r="V74" i="6"/>
  <c r="U74" i="6"/>
  <c r="T74" i="6"/>
  <c r="S74" i="6"/>
  <c r="R74" i="6"/>
  <c r="Q74" i="6"/>
  <c r="P74" i="6"/>
  <c r="O74" i="6"/>
  <c r="N74" i="6"/>
  <c r="M74" i="6"/>
  <c r="L74" i="6"/>
  <c r="K74" i="6"/>
  <c r="J74" i="6"/>
  <c r="I74" i="6"/>
  <c r="H74" i="6"/>
  <c r="G74" i="6"/>
  <c r="F74" i="6"/>
  <c r="AE73" i="6"/>
  <c r="AC73" i="6"/>
  <c r="AB73" i="6"/>
  <c r="AA73" i="6"/>
  <c r="Z73" i="6"/>
  <c r="Y73" i="6"/>
  <c r="X73" i="6"/>
  <c r="W73" i="6"/>
  <c r="V73" i="6"/>
  <c r="U73" i="6"/>
  <c r="T73" i="6"/>
  <c r="S73" i="6"/>
  <c r="R73" i="6"/>
  <c r="Q73" i="6"/>
  <c r="P73" i="6"/>
  <c r="O73" i="6"/>
  <c r="N73" i="6"/>
  <c r="M73" i="6"/>
  <c r="L73" i="6"/>
  <c r="K73" i="6"/>
  <c r="J73" i="6"/>
  <c r="I73" i="6"/>
  <c r="H73" i="6"/>
  <c r="G73" i="6"/>
  <c r="F73" i="6"/>
  <c r="AE72" i="6"/>
  <c r="AC72" i="6"/>
  <c r="AB72" i="6"/>
  <c r="AA72" i="6"/>
  <c r="Z72" i="6"/>
  <c r="Y72" i="6"/>
  <c r="X72" i="6"/>
  <c r="W72" i="6"/>
  <c r="V72" i="6"/>
  <c r="U72" i="6"/>
  <c r="T72" i="6"/>
  <c r="S72" i="6"/>
  <c r="R72" i="6"/>
  <c r="Q72" i="6"/>
  <c r="P72" i="6"/>
  <c r="O72" i="6"/>
  <c r="N72" i="6"/>
  <c r="M72" i="6"/>
  <c r="L72" i="6"/>
  <c r="K72" i="6"/>
  <c r="J72" i="6"/>
  <c r="I72" i="6"/>
  <c r="H72" i="6"/>
  <c r="G72" i="6"/>
  <c r="F72" i="6"/>
  <c r="AE71" i="6"/>
  <c r="AC71" i="6"/>
  <c r="AB71" i="6"/>
  <c r="AA71" i="6"/>
  <c r="Z71" i="6"/>
  <c r="Y71" i="6"/>
  <c r="X71" i="6"/>
  <c r="W71" i="6"/>
  <c r="V71" i="6"/>
  <c r="U71" i="6"/>
  <c r="T71" i="6"/>
  <c r="S71" i="6"/>
  <c r="R71" i="6"/>
  <c r="Q71" i="6"/>
  <c r="P71" i="6"/>
  <c r="O71" i="6"/>
  <c r="N71" i="6"/>
  <c r="M71" i="6"/>
  <c r="L71" i="6"/>
  <c r="K71" i="6"/>
  <c r="J71" i="6"/>
  <c r="I71" i="6"/>
  <c r="H71" i="6"/>
  <c r="G71" i="6"/>
  <c r="F71" i="6"/>
  <c r="AE70" i="6"/>
  <c r="AC70" i="6"/>
  <c r="AB70" i="6"/>
  <c r="AA70" i="6"/>
  <c r="Z70" i="6"/>
  <c r="Y70" i="6"/>
  <c r="X70" i="6"/>
  <c r="W70" i="6"/>
  <c r="V70" i="6"/>
  <c r="U70" i="6"/>
  <c r="T70" i="6"/>
  <c r="S70" i="6"/>
  <c r="R70" i="6"/>
  <c r="Q70" i="6"/>
  <c r="P70" i="6"/>
  <c r="O70" i="6"/>
  <c r="N70" i="6"/>
  <c r="M70" i="6"/>
  <c r="L70" i="6"/>
  <c r="K70" i="6"/>
  <c r="J70" i="6"/>
  <c r="I70" i="6"/>
  <c r="H70" i="6"/>
  <c r="G70" i="6"/>
  <c r="F70" i="6"/>
  <c r="AE69" i="6"/>
  <c r="AC69" i="6"/>
  <c r="AB69" i="6"/>
  <c r="AA69" i="6"/>
  <c r="Z69" i="6"/>
  <c r="Y69" i="6"/>
  <c r="X69" i="6"/>
  <c r="W69" i="6"/>
  <c r="V69" i="6"/>
  <c r="U69" i="6"/>
  <c r="T69" i="6"/>
  <c r="S69" i="6"/>
  <c r="R69" i="6"/>
  <c r="Q69" i="6"/>
  <c r="P69" i="6"/>
  <c r="O69" i="6"/>
  <c r="N69" i="6"/>
  <c r="M69" i="6"/>
  <c r="L69" i="6"/>
  <c r="K69" i="6"/>
  <c r="J69" i="6"/>
  <c r="I69" i="6"/>
  <c r="H69" i="6"/>
  <c r="G69" i="6"/>
  <c r="F69" i="6"/>
  <c r="AE68" i="6"/>
  <c r="AC68" i="6"/>
  <c r="AB68" i="6"/>
  <c r="AA68" i="6"/>
  <c r="Z68" i="6"/>
  <c r="Y68" i="6"/>
  <c r="X68" i="6"/>
  <c r="W68" i="6"/>
  <c r="V68" i="6"/>
  <c r="U68" i="6"/>
  <c r="T68" i="6"/>
  <c r="S68" i="6"/>
  <c r="R68" i="6"/>
  <c r="Q68" i="6"/>
  <c r="P68" i="6"/>
  <c r="O68" i="6"/>
  <c r="N68" i="6"/>
  <c r="M68" i="6"/>
  <c r="L68" i="6"/>
  <c r="K68" i="6"/>
  <c r="J68" i="6"/>
  <c r="I68" i="6"/>
  <c r="H68" i="6"/>
  <c r="G68" i="6"/>
  <c r="F68" i="6"/>
  <c r="AE67" i="6"/>
  <c r="AC67" i="6"/>
  <c r="AB67" i="6"/>
  <c r="AA67" i="6"/>
  <c r="Z67" i="6"/>
  <c r="Y67" i="6"/>
  <c r="X67" i="6"/>
  <c r="W67" i="6"/>
  <c r="V67" i="6"/>
  <c r="U67" i="6"/>
  <c r="T67" i="6"/>
  <c r="S67" i="6"/>
  <c r="R67" i="6"/>
  <c r="Q67" i="6"/>
  <c r="P67" i="6"/>
  <c r="O67" i="6"/>
  <c r="N67" i="6"/>
  <c r="M67" i="6"/>
  <c r="L67" i="6"/>
  <c r="K67" i="6"/>
  <c r="J67" i="6"/>
  <c r="I67" i="6"/>
  <c r="H67" i="6"/>
  <c r="G67" i="6"/>
  <c r="F67" i="6"/>
  <c r="AE66" i="6"/>
  <c r="AC66" i="6"/>
  <c r="AB66" i="6"/>
  <c r="AA66" i="6"/>
  <c r="Z66" i="6"/>
  <c r="Y66" i="6"/>
  <c r="X66" i="6"/>
  <c r="W66" i="6"/>
  <c r="V66" i="6"/>
  <c r="U66" i="6"/>
  <c r="T66" i="6"/>
  <c r="S66" i="6"/>
  <c r="R66" i="6"/>
  <c r="Q66" i="6"/>
  <c r="P66" i="6"/>
  <c r="O66" i="6"/>
  <c r="N66" i="6"/>
  <c r="M66" i="6"/>
  <c r="L66" i="6"/>
  <c r="K66" i="6"/>
  <c r="J66" i="6"/>
  <c r="I66" i="6"/>
  <c r="H66" i="6"/>
  <c r="G66" i="6"/>
  <c r="F66" i="6"/>
  <c r="AE65" i="6"/>
  <c r="AC65" i="6"/>
  <c r="AB65" i="6"/>
  <c r="AA65" i="6"/>
  <c r="Z65" i="6"/>
  <c r="Y65" i="6"/>
  <c r="X65" i="6"/>
  <c r="W65" i="6"/>
  <c r="V65" i="6"/>
  <c r="U65" i="6"/>
  <c r="T65" i="6"/>
  <c r="S65" i="6"/>
  <c r="R65" i="6"/>
  <c r="Q65" i="6"/>
  <c r="P65" i="6"/>
  <c r="O65" i="6"/>
  <c r="N65" i="6"/>
  <c r="M65" i="6"/>
  <c r="L65" i="6"/>
  <c r="K65" i="6"/>
  <c r="J65" i="6"/>
  <c r="I65" i="6"/>
  <c r="H65" i="6"/>
  <c r="G65" i="6"/>
  <c r="F65" i="6"/>
  <c r="AE64" i="6"/>
  <c r="AC64" i="6"/>
  <c r="AB64" i="6"/>
  <c r="AA64" i="6"/>
  <c r="Z64" i="6"/>
  <c r="Y64" i="6"/>
  <c r="X64" i="6"/>
  <c r="W64" i="6"/>
  <c r="V64" i="6"/>
  <c r="U64" i="6"/>
  <c r="T64" i="6"/>
  <c r="S64" i="6"/>
  <c r="R64" i="6"/>
  <c r="Q64" i="6"/>
  <c r="P64" i="6"/>
  <c r="O64" i="6"/>
  <c r="N64" i="6"/>
  <c r="M64" i="6"/>
  <c r="L64" i="6"/>
  <c r="K64" i="6"/>
  <c r="J64" i="6"/>
  <c r="I64" i="6"/>
  <c r="H64" i="6"/>
  <c r="G64" i="6"/>
  <c r="F64" i="6"/>
  <c r="AE63" i="6"/>
  <c r="AC63" i="6"/>
  <c r="AB63" i="6"/>
  <c r="AA63" i="6"/>
  <c r="Z63" i="6"/>
  <c r="Y63" i="6"/>
  <c r="X63" i="6"/>
  <c r="W63" i="6"/>
  <c r="V63" i="6"/>
  <c r="U63" i="6"/>
  <c r="T63" i="6"/>
  <c r="S63" i="6"/>
  <c r="R63" i="6"/>
  <c r="Q63" i="6"/>
  <c r="P63" i="6"/>
  <c r="O63" i="6"/>
  <c r="N63" i="6"/>
  <c r="M63" i="6"/>
  <c r="L63" i="6"/>
  <c r="K63" i="6"/>
  <c r="J63" i="6"/>
  <c r="I63" i="6"/>
  <c r="H63" i="6"/>
  <c r="G63" i="6"/>
  <c r="F63" i="6"/>
  <c r="AE62" i="6"/>
  <c r="AC62" i="6"/>
  <c r="AB62" i="6"/>
  <c r="AA62" i="6"/>
  <c r="Z62" i="6"/>
  <c r="Y62" i="6"/>
  <c r="X62" i="6"/>
  <c r="W62" i="6"/>
  <c r="V62" i="6"/>
  <c r="U62" i="6"/>
  <c r="T62" i="6"/>
  <c r="S62" i="6"/>
  <c r="R62" i="6"/>
  <c r="Q62" i="6"/>
  <c r="P62" i="6"/>
  <c r="O62" i="6"/>
  <c r="N62" i="6"/>
  <c r="M62" i="6"/>
  <c r="L62" i="6"/>
  <c r="K62" i="6"/>
  <c r="J62" i="6"/>
  <c r="I62" i="6"/>
  <c r="H62" i="6"/>
  <c r="G62" i="6"/>
  <c r="F62" i="6"/>
  <c r="AE61" i="6"/>
  <c r="AC61" i="6"/>
  <c r="AB61" i="6"/>
  <c r="AA61" i="6"/>
  <c r="Z61" i="6"/>
  <c r="Y61" i="6"/>
  <c r="X61" i="6"/>
  <c r="W61" i="6"/>
  <c r="V61" i="6"/>
  <c r="U61" i="6"/>
  <c r="T61" i="6"/>
  <c r="S61" i="6"/>
  <c r="R61" i="6"/>
  <c r="Q61" i="6"/>
  <c r="P61" i="6"/>
  <c r="O61" i="6"/>
  <c r="N61" i="6"/>
  <c r="M61" i="6"/>
  <c r="L61" i="6"/>
  <c r="K61" i="6"/>
  <c r="J61" i="6"/>
  <c r="I61" i="6"/>
  <c r="H61" i="6"/>
  <c r="G61" i="6"/>
  <c r="F61" i="6"/>
  <c r="AE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AE59" i="6"/>
  <c r="AC59" i="6"/>
  <c r="AB59" i="6"/>
  <c r="AA59" i="6"/>
  <c r="Z59" i="6"/>
  <c r="Y59" i="6"/>
  <c r="X59" i="6"/>
  <c r="W59" i="6"/>
  <c r="V59" i="6"/>
  <c r="U59" i="6"/>
  <c r="T59" i="6"/>
  <c r="S59" i="6"/>
  <c r="R59" i="6"/>
  <c r="Q59" i="6"/>
  <c r="P59" i="6"/>
  <c r="O59" i="6"/>
  <c r="N59" i="6"/>
  <c r="M59" i="6"/>
  <c r="L59" i="6"/>
  <c r="K59" i="6"/>
  <c r="J59" i="6"/>
  <c r="I59" i="6"/>
  <c r="H59" i="6"/>
  <c r="G59" i="6"/>
  <c r="F59" i="6"/>
  <c r="AE58" i="6"/>
  <c r="AC58" i="6"/>
  <c r="AB58" i="6"/>
  <c r="AA58" i="6"/>
  <c r="Z58" i="6"/>
  <c r="Y58" i="6"/>
  <c r="X58" i="6"/>
  <c r="W58" i="6"/>
  <c r="V58" i="6"/>
  <c r="U58" i="6"/>
  <c r="T58" i="6"/>
  <c r="S58" i="6"/>
  <c r="R58" i="6"/>
  <c r="Q58" i="6"/>
  <c r="P58" i="6"/>
  <c r="O58" i="6"/>
  <c r="N58" i="6"/>
  <c r="M58" i="6"/>
  <c r="L58" i="6"/>
  <c r="K58" i="6"/>
  <c r="J58" i="6"/>
  <c r="I58" i="6"/>
  <c r="H58" i="6"/>
  <c r="G58" i="6"/>
  <c r="F58" i="6"/>
  <c r="AE57" i="6"/>
  <c r="AC57" i="6"/>
  <c r="AB57" i="6"/>
  <c r="AA57" i="6"/>
  <c r="Z57" i="6"/>
  <c r="Y57" i="6"/>
  <c r="X57" i="6"/>
  <c r="W57" i="6"/>
  <c r="V57" i="6"/>
  <c r="U57" i="6"/>
  <c r="T57" i="6"/>
  <c r="S57" i="6"/>
  <c r="R57" i="6"/>
  <c r="Q57" i="6"/>
  <c r="P57" i="6"/>
  <c r="O57" i="6"/>
  <c r="N57" i="6"/>
  <c r="M57" i="6"/>
  <c r="L57" i="6"/>
  <c r="K57" i="6"/>
  <c r="J57" i="6"/>
  <c r="I57" i="6"/>
  <c r="H57" i="6"/>
  <c r="G57" i="6"/>
  <c r="F57" i="6"/>
  <c r="AE56" i="6"/>
  <c r="AC56" i="6"/>
  <c r="AB56" i="6"/>
  <c r="AA56" i="6"/>
  <c r="Z56" i="6"/>
  <c r="Y56" i="6"/>
  <c r="X56" i="6"/>
  <c r="W56" i="6"/>
  <c r="V56" i="6"/>
  <c r="U56" i="6"/>
  <c r="T56" i="6"/>
  <c r="S56" i="6"/>
  <c r="R56" i="6"/>
  <c r="Q56" i="6"/>
  <c r="P56" i="6"/>
  <c r="O56" i="6"/>
  <c r="N56" i="6"/>
  <c r="M56" i="6"/>
  <c r="L56" i="6"/>
  <c r="K56" i="6"/>
  <c r="J56" i="6"/>
  <c r="I56" i="6"/>
  <c r="H56" i="6"/>
  <c r="G56" i="6"/>
  <c r="F56" i="6"/>
  <c r="AE55" i="6"/>
  <c r="AC55" i="6"/>
  <c r="AB55" i="6"/>
  <c r="AA55" i="6"/>
  <c r="Z55" i="6"/>
  <c r="Y55" i="6"/>
  <c r="X55" i="6"/>
  <c r="W55" i="6"/>
  <c r="V55" i="6"/>
  <c r="U55" i="6"/>
  <c r="T55" i="6"/>
  <c r="S55" i="6"/>
  <c r="R55" i="6"/>
  <c r="Q55" i="6"/>
  <c r="P55" i="6"/>
  <c r="O55" i="6"/>
  <c r="N55" i="6"/>
  <c r="M55" i="6"/>
  <c r="L55" i="6"/>
  <c r="K55" i="6"/>
  <c r="J55" i="6"/>
  <c r="I55" i="6"/>
  <c r="H55" i="6"/>
  <c r="G55" i="6"/>
  <c r="F55" i="6"/>
  <c r="AE54" i="6"/>
  <c r="AC54" i="6"/>
  <c r="AB54" i="6"/>
  <c r="AA54" i="6"/>
  <c r="Z54" i="6"/>
  <c r="Y54" i="6"/>
  <c r="X54" i="6"/>
  <c r="W54" i="6"/>
  <c r="V54" i="6"/>
  <c r="U54" i="6"/>
  <c r="T54" i="6"/>
  <c r="S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AE53" i="6"/>
  <c r="AC53" i="6"/>
  <c r="AB53" i="6"/>
  <c r="AA53" i="6"/>
  <c r="Z53" i="6"/>
  <c r="Y53" i="6"/>
  <c r="X53" i="6"/>
  <c r="W53" i="6"/>
  <c r="V53" i="6"/>
  <c r="U53" i="6"/>
  <c r="T53" i="6"/>
  <c r="S53" i="6"/>
  <c r="R53" i="6"/>
  <c r="Q53" i="6"/>
  <c r="P53" i="6"/>
  <c r="O53" i="6"/>
  <c r="N53" i="6"/>
  <c r="M53" i="6"/>
  <c r="L53" i="6"/>
  <c r="K53" i="6"/>
  <c r="J53" i="6"/>
  <c r="I53" i="6"/>
  <c r="H53" i="6"/>
  <c r="G53" i="6"/>
  <c r="F53" i="6"/>
  <c r="AE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AE51" i="6"/>
  <c r="AC51" i="6"/>
  <c r="AB51" i="6"/>
  <c r="AA51" i="6"/>
  <c r="Z51" i="6"/>
  <c r="Y51" i="6"/>
  <c r="X51" i="6"/>
  <c r="W51" i="6"/>
  <c r="V51" i="6"/>
  <c r="U51" i="6"/>
  <c r="T51" i="6"/>
  <c r="S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AE50" i="6"/>
  <c r="AC50" i="6"/>
  <c r="AB50" i="6"/>
  <c r="AA50" i="6"/>
  <c r="Z50" i="6"/>
  <c r="Y50" i="6"/>
  <c r="X50" i="6"/>
  <c r="W50" i="6"/>
  <c r="V50" i="6"/>
  <c r="U50" i="6"/>
  <c r="T50" i="6"/>
  <c r="S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AE49" i="6"/>
  <c r="AC49" i="6"/>
  <c r="AB49" i="6"/>
  <c r="AA49" i="6"/>
  <c r="Z49" i="6"/>
  <c r="Y49" i="6"/>
  <c r="X49" i="6"/>
  <c r="W49" i="6"/>
  <c r="V49" i="6"/>
  <c r="U49" i="6"/>
  <c r="T49" i="6"/>
  <c r="S49" i="6"/>
  <c r="R49" i="6"/>
  <c r="Q49" i="6"/>
  <c r="P49" i="6"/>
  <c r="O49" i="6"/>
  <c r="N49" i="6"/>
  <c r="M49" i="6"/>
  <c r="L49" i="6"/>
  <c r="K49" i="6"/>
  <c r="J49" i="6"/>
  <c r="I49" i="6"/>
  <c r="H49" i="6"/>
  <c r="G49" i="6"/>
  <c r="F49" i="6"/>
  <c r="AE48" i="6"/>
  <c r="AC48" i="6"/>
  <c r="AB48" i="6"/>
  <c r="AA48" i="6"/>
  <c r="Z48" i="6"/>
  <c r="Y48" i="6"/>
  <c r="X48" i="6"/>
  <c r="W48" i="6"/>
  <c r="V48" i="6"/>
  <c r="U48" i="6"/>
  <c r="T48" i="6"/>
  <c r="S48" i="6"/>
  <c r="R48" i="6"/>
  <c r="Q48" i="6"/>
  <c r="P48" i="6"/>
  <c r="O48" i="6"/>
  <c r="N48" i="6"/>
  <c r="M48" i="6"/>
  <c r="L48" i="6"/>
  <c r="K48" i="6"/>
  <c r="J48" i="6"/>
  <c r="I48" i="6"/>
  <c r="H48" i="6"/>
  <c r="G48" i="6"/>
  <c r="F48" i="6"/>
  <c r="AE47" i="6"/>
  <c r="AC47" i="6"/>
  <c r="AB47" i="6"/>
  <c r="AA47" i="6"/>
  <c r="Z47" i="6"/>
  <c r="Y47" i="6"/>
  <c r="X47" i="6"/>
  <c r="W47" i="6"/>
  <c r="V47" i="6"/>
  <c r="U47" i="6"/>
  <c r="T47" i="6"/>
  <c r="S47" i="6"/>
  <c r="R47" i="6"/>
  <c r="Q47" i="6"/>
  <c r="P47" i="6"/>
  <c r="O47" i="6"/>
  <c r="N47" i="6"/>
  <c r="M47" i="6"/>
  <c r="L47" i="6"/>
  <c r="K47" i="6"/>
  <c r="J47" i="6"/>
  <c r="I47" i="6"/>
  <c r="H47" i="6"/>
  <c r="G47" i="6"/>
  <c r="F47" i="6"/>
  <c r="AE46" i="6"/>
  <c r="AC46" i="6"/>
  <c r="AB46" i="6"/>
  <c r="AA46" i="6"/>
  <c r="Z46" i="6"/>
  <c r="Y46" i="6"/>
  <c r="X46" i="6"/>
  <c r="W46" i="6"/>
  <c r="V46" i="6"/>
  <c r="U46" i="6"/>
  <c r="T46" i="6"/>
  <c r="S46" i="6"/>
  <c r="R46" i="6"/>
  <c r="Q46" i="6"/>
  <c r="P46" i="6"/>
  <c r="O46" i="6"/>
  <c r="N46" i="6"/>
  <c r="M46" i="6"/>
  <c r="L46" i="6"/>
  <c r="K46" i="6"/>
  <c r="J46" i="6"/>
  <c r="I46" i="6"/>
  <c r="H46" i="6"/>
  <c r="G46" i="6"/>
  <c r="F46" i="6"/>
  <c r="AE45" i="6"/>
  <c r="AC45" i="6"/>
  <c r="AB45" i="6"/>
  <c r="AA45" i="6"/>
  <c r="Z45" i="6"/>
  <c r="Y45" i="6"/>
  <c r="X45" i="6"/>
  <c r="W45" i="6"/>
  <c r="V45" i="6"/>
  <c r="U45" i="6"/>
  <c r="T45" i="6"/>
  <c r="S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AE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AE43" i="6"/>
  <c r="AC43" i="6"/>
  <c r="AB43" i="6"/>
  <c r="AA43" i="6"/>
  <c r="Z43" i="6"/>
  <c r="Y43" i="6"/>
  <c r="X43" i="6"/>
  <c r="W43" i="6"/>
  <c r="V43" i="6"/>
  <c r="U43" i="6"/>
  <c r="T43" i="6"/>
  <c r="S43" i="6"/>
  <c r="R43" i="6"/>
  <c r="Q43" i="6"/>
  <c r="P43" i="6"/>
  <c r="O43" i="6"/>
  <c r="N43" i="6"/>
  <c r="M43" i="6"/>
  <c r="L43" i="6"/>
  <c r="K43" i="6"/>
  <c r="J43" i="6"/>
  <c r="I43" i="6"/>
  <c r="H43" i="6"/>
  <c r="G43" i="6"/>
  <c r="F43" i="6"/>
  <c r="AE42" i="6"/>
  <c r="AC42" i="6"/>
  <c r="AB42" i="6"/>
  <c r="AA42" i="6"/>
  <c r="Z42" i="6"/>
  <c r="Y42" i="6"/>
  <c r="X42" i="6"/>
  <c r="W42" i="6"/>
  <c r="V42" i="6"/>
  <c r="U42" i="6"/>
  <c r="T42" i="6"/>
  <c r="S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AE41" i="6"/>
  <c r="AC41" i="6"/>
  <c r="AB41" i="6"/>
  <c r="AA41" i="6"/>
  <c r="Z41" i="6"/>
  <c r="Y41" i="6"/>
  <c r="X41" i="6"/>
  <c r="W41" i="6"/>
  <c r="V41" i="6"/>
  <c r="U41" i="6"/>
  <c r="T41" i="6"/>
  <c r="S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AE40" i="6"/>
  <c r="AC40" i="6"/>
  <c r="AB40" i="6"/>
  <c r="AA40" i="6"/>
  <c r="Z40" i="6"/>
  <c r="Y40" i="6"/>
  <c r="X40" i="6"/>
  <c r="W40" i="6"/>
  <c r="V40" i="6"/>
  <c r="U40" i="6"/>
  <c r="T40" i="6"/>
  <c r="S40" i="6"/>
  <c r="R40" i="6"/>
  <c r="Q40" i="6"/>
  <c r="P40" i="6"/>
  <c r="O40" i="6"/>
  <c r="N40" i="6"/>
  <c r="M40" i="6"/>
  <c r="L40" i="6"/>
  <c r="K40" i="6"/>
  <c r="J40" i="6"/>
  <c r="I40" i="6"/>
  <c r="H40" i="6"/>
  <c r="G40" i="6"/>
  <c r="F40" i="6"/>
  <c r="AE39" i="6"/>
  <c r="AC39" i="6"/>
  <c r="AB39" i="6"/>
  <c r="AA39" i="6"/>
  <c r="Z39" i="6"/>
  <c r="Y39" i="6"/>
  <c r="X39" i="6"/>
  <c r="W39" i="6"/>
  <c r="V39" i="6"/>
  <c r="U39" i="6"/>
  <c r="T39" i="6"/>
  <c r="S39" i="6"/>
  <c r="R39" i="6"/>
  <c r="Q39" i="6"/>
  <c r="P39" i="6"/>
  <c r="O39" i="6"/>
  <c r="N39" i="6"/>
  <c r="M39" i="6"/>
  <c r="L39" i="6"/>
  <c r="K39" i="6"/>
  <c r="J39" i="6"/>
  <c r="I39" i="6"/>
  <c r="H39" i="6"/>
  <c r="G39" i="6"/>
  <c r="F39" i="6"/>
  <c r="AE38" i="6"/>
  <c r="AC38" i="6"/>
  <c r="AB38" i="6"/>
  <c r="AA38" i="6"/>
  <c r="Z38" i="6"/>
  <c r="Y38" i="6"/>
  <c r="X38" i="6"/>
  <c r="W38" i="6"/>
  <c r="V38" i="6"/>
  <c r="U38" i="6"/>
  <c r="T38" i="6"/>
  <c r="S38" i="6"/>
  <c r="R38" i="6"/>
  <c r="Q38" i="6"/>
  <c r="P38" i="6"/>
  <c r="O38" i="6"/>
  <c r="N38" i="6"/>
  <c r="M38" i="6"/>
  <c r="L38" i="6"/>
  <c r="K38" i="6"/>
  <c r="J38" i="6"/>
  <c r="I38" i="6"/>
  <c r="H38" i="6"/>
  <c r="G38" i="6"/>
  <c r="F38" i="6"/>
  <c r="AE37" i="6"/>
  <c r="AC37" i="6"/>
  <c r="AB37" i="6"/>
  <c r="AA37" i="6"/>
  <c r="Z37" i="6"/>
  <c r="Y37" i="6"/>
  <c r="X37" i="6"/>
  <c r="W37" i="6"/>
  <c r="V37" i="6"/>
  <c r="U37" i="6"/>
  <c r="T37" i="6"/>
  <c r="S37" i="6"/>
  <c r="R37" i="6"/>
  <c r="Q37" i="6"/>
  <c r="P37" i="6"/>
  <c r="O37" i="6"/>
  <c r="N37" i="6"/>
  <c r="M37" i="6"/>
  <c r="L37" i="6"/>
  <c r="K37" i="6"/>
  <c r="J37" i="6"/>
  <c r="I37" i="6"/>
  <c r="H37" i="6"/>
  <c r="G37" i="6"/>
  <c r="F37" i="6"/>
  <c r="AE36" i="6"/>
  <c r="AC36" i="6"/>
  <c r="AB36" i="6"/>
  <c r="AA36" i="6"/>
  <c r="Z36" i="6"/>
  <c r="Y36" i="6"/>
  <c r="X36" i="6"/>
  <c r="W36" i="6"/>
  <c r="V36" i="6"/>
  <c r="U36" i="6"/>
  <c r="T36" i="6"/>
  <c r="S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AE35" i="6"/>
  <c r="AC35" i="6"/>
  <c r="AB35" i="6"/>
  <c r="AA35" i="6"/>
  <c r="Z35" i="6"/>
  <c r="Y35" i="6"/>
  <c r="X35" i="6"/>
  <c r="W35" i="6"/>
  <c r="V35" i="6"/>
  <c r="U35" i="6"/>
  <c r="T35" i="6"/>
  <c r="S35" i="6"/>
  <c r="R35" i="6"/>
  <c r="Q35" i="6"/>
  <c r="P35" i="6"/>
  <c r="O35" i="6"/>
  <c r="N35" i="6"/>
  <c r="M35" i="6"/>
  <c r="L35" i="6"/>
  <c r="K35" i="6"/>
  <c r="J35" i="6"/>
  <c r="I35" i="6"/>
  <c r="H35" i="6"/>
  <c r="G35" i="6"/>
  <c r="F35" i="6"/>
  <c r="AE34" i="6"/>
  <c r="AC34" i="6"/>
  <c r="AB34" i="6"/>
  <c r="AA34" i="6"/>
  <c r="Z34" i="6"/>
  <c r="Y34" i="6"/>
  <c r="X34" i="6"/>
  <c r="W34" i="6"/>
  <c r="V34" i="6"/>
  <c r="U34" i="6"/>
  <c r="T34" i="6"/>
  <c r="S34" i="6"/>
  <c r="R34" i="6"/>
  <c r="Q34" i="6"/>
  <c r="P34" i="6"/>
  <c r="O34" i="6"/>
  <c r="N34" i="6"/>
  <c r="M34" i="6"/>
  <c r="L34" i="6"/>
  <c r="K34" i="6"/>
  <c r="J34" i="6"/>
  <c r="I34" i="6"/>
  <c r="H34" i="6"/>
  <c r="G34" i="6"/>
  <c r="F34" i="6"/>
  <c r="AE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AE32" i="6"/>
  <c r="AC32" i="6"/>
  <c r="AB32" i="6"/>
  <c r="AA32" i="6"/>
  <c r="Z32" i="6"/>
  <c r="Y32" i="6"/>
  <c r="X32" i="6"/>
  <c r="W32" i="6"/>
  <c r="V32" i="6"/>
  <c r="U32" i="6"/>
  <c r="T32" i="6"/>
  <c r="S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AE31" i="6"/>
  <c r="AC31" i="6"/>
  <c r="AB31" i="6"/>
  <c r="AA31" i="6"/>
  <c r="Z31" i="6"/>
  <c r="Y31" i="6"/>
  <c r="X31" i="6"/>
  <c r="W31" i="6"/>
  <c r="V31" i="6"/>
  <c r="U31" i="6"/>
  <c r="T31" i="6"/>
  <c r="S31" i="6"/>
  <c r="R31" i="6"/>
  <c r="Q31" i="6"/>
  <c r="P31" i="6"/>
  <c r="O31" i="6"/>
  <c r="N31" i="6"/>
  <c r="M31" i="6"/>
  <c r="L31" i="6"/>
  <c r="K31" i="6"/>
  <c r="J31" i="6"/>
  <c r="I31" i="6"/>
  <c r="H31" i="6"/>
  <c r="G31" i="6"/>
  <c r="F31" i="6"/>
  <c r="AE30" i="6"/>
  <c r="AC30" i="6"/>
  <c r="AB30" i="6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AE29" i="6"/>
  <c r="AC29" i="6"/>
  <c r="AB29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AE28" i="6"/>
  <c r="AC28" i="6"/>
  <c r="AB28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AE27" i="6"/>
  <c r="AC27" i="6"/>
  <c r="AB27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AE26" i="6"/>
  <c r="AC26" i="6"/>
  <c r="AB26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AE25" i="6"/>
  <c r="AC25" i="6"/>
  <c r="AB25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AE24" i="6"/>
  <c r="AC24" i="6"/>
  <c r="AB24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AE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AE22" i="6"/>
  <c r="AC22" i="6"/>
  <c r="AB22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AE21" i="6"/>
  <c r="AC21" i="6"/>
  <c r="AB21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AE20" i="6"/>
  <c r="AC20" i="6"/>
  <c r="AB20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AE19" i="6"/>
  <c r="AC19" i="6"/>
  <c r="AB19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AE18" i="6"/>
  <c r="AC18" i="6"/>
  <c r="AB18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AE17" i="6"/>
  <c r="AC17" i="6"/>
  <c r="AB17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AE16" i="6"/>
  <c r="AC16" i="6"/>
  <c r="AB16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AE15" i="6"/>
  <c r="AC15" i="6"/>
  <c r="AB15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AE14" i="6"/>
  <c r="AC14" i="6"/>
  <c r="AB14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AE13" i="6"/>
  <c r="AC13" i="6"/>
  <c r="AB13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AE12" i="6"/>
  <c r="AC12" i="6"/>
  <c r="AB12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AE11" i="6"/>
  <c r="AC11" i="6"/>
  <c r="AB11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AE10" i="6"/>
  <c r="AC10" i="6"/>
  <c r="AB10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AE9" i="6"/>
  <c r="AC9" i="6"/>
  <c r="AB9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AE8" i="6"/>
  <c r="AC8" i="6"/>
  <c r="AB8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AE7" i="6"/>
  <c r="AC7" i="6"/>
  <c r="AB7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AE6" i="6"/>
  <c r="AC6" i="6"/>
  <c r="AB6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AE5" i="6"/>
  <c r="AC5" i="6"/>
  <c r="AB5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AE4" i="6"/>
  <c r="AC4" i="6"/>
  <c r="AB4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AE3" i="6"/>
  <c r="AC3" i="6"/>
  <c r="AB3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AE2" i="6"/>
  <c r="AC2" i="6"/>
  <c r="AB2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AE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AE365" i="5"/>
  <c r="AC365" i="5"/>
  <c r="AB365" i="5"/>
  <c r="AA365" i="5"/>
  <c r="Z365" i="5"/>
  <c r="Y365" i="5"/>
  <c r="X365" i="5"/>
  <c r="W365" i="5"/>
  <c r="V365" i="5"/>
  <c r="U365" i="5"/>
  <c r="T365" i="5"/>
  <c r="S365" i="5"/>
  <c r="R365" i="5"/>
  <c r="Q365" i="5"/>
  <c r="P365" i="5"/>
  <c r="O365" i="5"/>
  <c r="N365" i="5"/>
  <c r="M365" i="5"/>
  <c r="L365" i="5"/>
  <c r="K365" i="5"/>
  <c r="J365" i="5"/>
  <c r="I365" i="5"/>
  <c r="H365" i="5"/>
  <c r="G365" i="5"/>
  <c r="F365" i="5"/>
  <c r="AE364" i="5"/>
  <c r="AC364" i="5"/>
  <c r="AB364" i="5"/>
  <c r="AA364" i="5"/>
  <c r="Z364" i="5"/>
  <c r="Y364" i="5"/>
  <c r="X364" i="5"/>
  <c r="W364" i="5"/>
  <c r="V364" i="5"/>
  <c r="U364" i="5"/>
  <c r="T364" i="5"/>
  <c r="S364" i="5"/>
  <c r="R364" i="5"/>
  <c r="Q364" i="5"/>
  <c r="P364" i="5"/>
  <c r="O364" i="5"/>
  <c r="N364" i="5"/>
  <c r="M364" i="5"/>
  <c r="L364" i="5"/>
  <c r="K364" i="5"/>
  <c r="J364" i="5"/>
  <c r="I364" i="5"/>
  <c r="H364" i="5"/>
  <c r="G364" i="5"/>
  <c r="F364" i="5"/>
  <c r="AE363" i="5"/>
  <c r="AC363" i="5"/>
  <c r="AB363" i="5"/>
  <c r="AA363" i="5"/>
  <c r="Z363" i="5"/>
  <c r="Y363" i="5"/>
  <c r="X363" i="5"/>
  <c r="W363" i="5"/>
  <c r="V363" i="5"/>
  <c r="U363" i="5"/>
  <c r="T363" i="5"/>
  <c r="S363" i="5"/>
  <c r="R363" i="5"/>
  <c r="Q363" i="5"/>
  <c r="P363" i="5"/>
  <c r="O363" i="5"/>
  <c r="N363" i="5"/>
  <c r="M363" i="5"/>
  <c r="L363" i="5"/>
  <c r="K363" i="5"/>
  <c r="J363" i="5"/>
  <c r="I363" i="5"/>
  <c r="H363" i="5"/>
  <c r="G363" i="5"/>
  <c r="F363" i="5"/>
  <c r="AE362" i="5"/>
  <c r="AC362" i="5"/>
  <c r="AB362" i="5"/>
  <c r="AA362" i="5"/>
  <c r="Z362" i="5"/>
  <c r="Y362" i="5"/>
  <c r="X362" i="5"/>
  <c r="W362" i="5"/>
  <c r="V362" i="5"/>
  <c r="U362" i="5"/>
  <c r="T362" i="5"/>
  <c r="S362" i="5"/>
  <c r="R362" i="5"/>
  <c r="Q362" i="5"/>
  <c r="P362" i="5"/>
  <c r="O362" i="5"/>
  <c r="N362" i="5"/>
  <c r="M362" i="5"/>
  <c r="L362" i="5"/>
  <c r="K362" i="5"/>
  <c r="J362" i="5"/>
  <c r="I362" i="5"/>
  <c r="H362" i="5"/>
  <c r="G362" i="5"/>
  <c r="F362" i="5"/>
  <c r="AE361" i="5"/>
  <c r="AC361" i="5"/>
  <c r="AB361" i="5"/>
  <c r="AA361" i="5"/>
  <c r="Z361" i="5"/>
  <c r="Y361" i="5"/>
  <c r="X361" i="5"/>
  <c r="W361" i="5"/>
  <c r="V361" i="5"/>
  <c r="U361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H361" i="5"/>
  <c r="G361" i="5"/>
  <c r="F361" i="5"/>
  <c r="AE360" i="5"/>
  <c r="AC360" i="5"/>
  <c r="AB360" i="5"/>
  <c r="AA360" i="5"/>
  <c r="Z360" i="5"/>
  <c r="Y360" i="5"/>
  <c r="X360" i="5"/>
  <c r="W360" i="5"/>
  <c r="V360" i="5"/>
  <c r="U360" i="5"/>
  <c r="T360" i="5"/>
  <c r="S360" i="5"/>
  <c r="R360" i="5"/>
  <c r="Q360" i="5"/>
  <c r="P360" i="5"/>
  <c r="O360" i="5"/>
  <c r="N360" i="5"/>
  <c r="M360" i="5"/>
  <c r="L360" i="5"/>
  <c r="K360" i="5"/>
  <c r="J360" i="5"/>
  <c r="I360" i="5"/>
  <c r="H360" i="5"/>
  <c r="G360" i="5"/>
  <c r="F360" i="5"/>
  <c r="AE359" i="5"/>
  <c r="AC359" i="5"/>
  <c r="AB359" i="5"/>
  <c r="AA359" i="5"/>
  <c r="Z359" i="5"/>
  <c r="Y359" i="5"/>
  <c r="X359" i="5"/>
  <c r="W359" i="5"/>
  <c r="V359" i="5"/>
  <c r="U359" i="5"/>
  <c r="T359" i="5"/>
  <c r="S359" i="5"/>
  <c r="R359" i="5"/>
  <c r="Q359" i="5"/>
  <c r="P359" i="5"/>
  <c r="O359" i="5"/>
  <c r="N359" i="5"/>
  <c r="M359" i="5"/>
  <c r="L359" i="5"/>
  <c r="K359" i="5"/>
  <c r="J359" i="5"/>
  <c r="I359" i="5"/>
  <c r="H359" i="5"/>
  <c r="G359" i="5"/>
  <c r="F359" i="5"/>
  <c r="AE358" i="5"/>
  <c r="AC358" i="5"/>
  <c r="AB358" i="5"/>
  <c r="AA358" i="5"/>
  <c r="Z358" i="5"/>
  <c r="Y358" i="5"/>
  <c r="X358" i="5"/>
  <c r="W358" i="5"/>
  <c r="V358" i="5"/>
  <c r="U358" i="5"/>
  <c r="T358" i="5"/>
  <c r="S358" i="5"/>
  <c r="R358" i="5"/>
  <c r="Q358" i="5"/>
  <c r="P358" i="5"/>
  <c r="O358" i="5"/>
  <c r="N358" i="5"/>
  <c r="M358" i="5"/>
  <c r="L358" i="5"/>
  <c r="K358" i="5"/>
  <c r="J358" i="5"/>
  <c r="I358" i="5"/>
  <c r="H358" i="5"/>
  <c r="G358" i="5"/>
  <c r="F358" i="5"/>
  <c r="AE357" i="5"/>
  <c r="AC357" i="5"/>
  <c r="AB357" i="5"/>
  <c r="AA357" i="5"/>
  <c r="Z357" i="5"/>
  <c r="Y357" i="5"/>
  <c r="X357" i="5"/>
  <c r="W357" i="5"/>
  <c r="V357" i="5"/>
  <c r="U357" i="5"/>
  <c r="T357" i="5"/>
  <c r="S357" i="5"/>
  <c r="R357" i="5"/>
  <c r="Q357" i="5"/>
  <c r="P357" i="5"/>
  <c r="O357" i="5"/>
  <c r="N357" i="5"/>
  <c r="M357" i="5"/>
  <c r="L357" i="5"/>
  <c r="K357" i="5"/>
  <c r="J357" i="5"/>
  <c r="I357" i="5"/>
  <c r="H357" i="5"/>
  <c r="G357" i="5"/>
  <c r="F357" i="5"/>
  <c r="AE356" i="5"/>
  <c r="AC356" i="5"/>
  <c r="AB356" i="5"/>
  <c r="AA356" i="5"/>
  <c r="Z356" i="5"/>
  <c r="Y356" i="5"/>
  <c r="X356" i="5"/>
  <c r="W356" i="5"/>
  <c r="V356" i="5"/>
  <c r="U356" i="5"/>
  <c r="T356" i="5"/>
  <c r="S356" i="5"/>
  <c r="R356" i="5"/>
  <c r="Q356" i="5"/>
  <c r="P356" i="5"/>
  <c r="O356" i="5"/>
  <c r="N356" i="5"/>
  <c r="M356" i="5"/>
  <c r="L356" i="5"/>
  <c r="K356" i="5"/>
  <c r="J356" i="5"/>
  <c r="I356" i="5"/>
  <c r="H356" i="5"/>
  <c r="G356" i="5"/>
  <c r="F356" i="5"/>
  <c r="AE355" i="5"/>
  <c r="AC355" i="5"/>
  <c r="AB355" i="5"/>
  <c r="AA355" i="5"/>
  <c r="Z355" i="5"/>
  <c r="Y355" i="5"/>
  <c r="X355" i="5"/>
  <c r="W355" i="5"/>
  <c r="V355" i="5"/>
  <c r="U355" i="5"/>
  <c r="T355" i="5"/>
  <c r="S355" i="5"/>
  <c r="R355" i="5"/>
  <c r="Q355" i="5"/>
  <c r="P355" i="5"/>
  <c r="O355" i="5"/>
  <c r="N355" i="5"/>
  <c r="M355" i="5"/>
  <c r="L355" i="5"/>
  <c r="K355" i="5"/>
  <c r="J355" i="5"/>
  <c r="I355" i="5"/>
  <c r="H355" i="5"/>
  <c r="G355" i="5"/>
  <c r="F355" i="5"/>
  <c r="AE354" i="5"/>
  <c r="AC354" i="5"/>
  <c r="AB354" i="5"/>
  <c r="AA354" i="5"/>
  <c r="Z354" i="5"/>
  <c r="Y354" i="5"/>
  <c r="X354" i="5"/>
  <c r="W354" i="5"/>
  <c r="V354" i="5"/>
  <c r="U354" i="5"/>
  <c r="T354" i="5"/>
  <c r="S354" i="5"/>
  <c r="R354" i="5"/>
  <c r="Q354" i="5"/>
  <c r="P354" i="5"/>
  <c r="O354" i="5"/>
  <c r="N354" i="5"/>
  <c r="M354" i="5"/>
  <c r="L354" i="5"/>
  <c r="K354" i="5"/>
  <c r="J354" i="5"/>
  <c r="I354" i="5"/>
  <c r="H354" i="5"/>
  <c r="G354" i="5"/>
  <c r="F354" i="5"/>
  <c r="AE353" i="5"/>
  <c r="AC353" i="5"/>
  <c r="AB353" i="5"/>
  <c r="AA353" i="5"/>
  <c r="Z353" i="5"/>
  <c r="Y353" i="5"/>
  <c r="X353" i="5"/>
  <c r="W353" i="5"/>
  <c r="V353" i="5"/>
  <c r="U353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H353" i="5"/>
  <c r="G353" i="5"/>
  <c r="F353" i="5"/>
  <c r="AE352" i="5"/>
  <c r="AC352" i="5"/>
  <c r="AB352" i="5"/>
  <c r="AA352" i="5"/>
  <c r="Z352" i="5"/>
  <c r="Y352" i="5"/>
  <c r="X352" i="5"/>
  <c r="W352" i="5"/>
  <c r="V352" i="5"/>
  <c r="U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H352" i="5"/>
  <c r="G352" i="5"/>
  <c r="F352" i="5"/>
  <c r="AE351" i="5"/>
  <c r="AC351" i="5"/>
  <c r="AB351" i="5"/>
  <c r="AA351" i="5"/>
  <c r="Z351" i="5"/>
  <c r="Y351" i="5"/>
  <c r="X351" i="5"/>
  <c r="W351" i="5"/>
  <c r="V351" i="5"/>
  <c r="U351" i="5"/>
  <c r="T351" i="5"/>
  <c r="S351" i="5"/>
  <c r="R351" i="5"/>
  <c r="Q351" i="5"/>
  <c r="P351" i="5"/>
  <c r="O351" i="5"/>
  <c r="N351" i="5"/>
  <c r="M351" i="5"/>
  <c r="L351" i="5"/>
  <c r="K351" i="5"/>
  <c r="J351" i="5"/>
  <c r="I351" i="5"/>
  <c r="H351" i="5"/>
  <c r="G351" i="5"/>
  <c r="F351" i="5"/>
  <c r="AE350" i="5"/>
  <c r="AC350" i="5"/>
  <c r="AB350" i="5"/>
  <c r="AA350" i="5"/>
  <c r="Z350" i="5"/>
  <c r="Y350" i="5"/>
  <c r="X350" i="5"/>
  <c r="W350" i="5"/>
  <c r="V350" i="5"/>
  <c r="U350" i="5"/>
  <c r="T350" i="5"/>
  <c r="S350" i="5"/>
  <c r="R350" i="5"/>
  <c r="Q350" i="5"/>
  <c r="P350" i="5"/>
  <c r="O350" i="5"/>
  <c r="N350" i="5"/>
  <c r="M350" i="5"/>
  <c r="L350" i="5"/>
  <c r="K350" i="5"/>
  <c r="J350" i="5"/>
  <c r="I350" i="5"/>
  <c r="H350" i="5"/>
  <c r="G350" i="5"/>
  <c r="F350" i="5"/>
  <c r="AE349" i="5"/>
  <c r="AC349" i="5"/>
  <c r="AB349" i="5"/>
  <c r="AA349" i="5"/>
  <c r="Z349" i="5"/>
  <c r="Y349" i="5"/>
  <c r="X349" i="5"/>
  <c r="W349" i="5"/>
  <c r="V349" i="5"/>
  <c r="U349" i="5"/>
  <c r="T349" i="5"/>
  <c r="S349" i="5"/>
  <c r="R349" i="5"/>
  <c r="Q349" i="5"/>
  <c r="P349" i="5"/>
  <c r="O349" i="5"/>
  <c r="N349" i="5"/>
  <c r="M349" i="5"/>
  <c r="L349" i="5"/>
  <c r="K349" i="5"/>
  <c r="J349" i="5"/>
  <c r="I349" i="5"/>
  <c r="H349" i="5"/>
  <c r="G349" i="5"/>
  <c r="F349" i="5"/>
  <c r="AE348" i="5"/>
  <c r="AC348" i="5"/>
  <c r="AB348" i="5"/>
  <c r="AA348" i="5"/>
  <c r="Z348" i="5"/>
  <c r="Y348" i="5"/>
  <c r="X348" i="5"/>
  <c r="W348" i="5"/>
  <c r="V348" i="5"/>
  <c r="U348" i="5"/>
  <c r="T348" i="5"/>
  <c r="S348" i="5"/>
  <c r="R348" i="5"/>
  <c r="Q348" i="5"/>
  <c r="P348" i="5"/>
  <c r="O348" i="5"/>
  <c r="N348" i="5"/>
  <c r="M348" i="5"/>
  <c r="L348" i="5"/>
  <c r="K348" i="5"/>
  <c r="J348" i="5"/>
  <c r="I348" i="5"/>
  <c r="H348" i="5"/>
  <c r="G348" i="5"/>
  <c r="F348" i="5"/>
  <c r="AE347" i="5"/>
  <c r="AC347" i="5"/>
  <c r="AB347" i="5"/>
  <c r="AA347" i="5"/>
  <c r="Z347" i="5"/>
  <c r="Y347" i="5"/>
  <c r="X347" i="5"/>
  <c r="W347" i="5"/>
  <c r="V347" i="5"/>
  <c r="U347" i="5"/>
  <c r="T347" i="5"/>
  <c r="S347" i="5"/>
  <c r="R347" i="5"/>
  <c r="Q347" i="5"/>
  <c r="P347" i="5"/>
  <c r="O347" i="5"/>
  <c r="N347" i="5"/>
  <c r="M347" i="5"/>
  <c r="L347" i="5"/>
  <c r="K347" i="5"/>
  <c r="J347" i="5"/>
  <c r="I347" i="5"/>
  <c r="H347" i="5"/>
  <c r="G347" i="5"/>
  <c r="F347" i="5"/>
  <c r="AE346" i="5"/>
  <c r="AC346" i="5"/>
  <c r="AB346" i="5"/>
  <c r="AA346" i="5"/>
  <c r="Z346" i="5"/>
  <c r="Y346" i="5"/>
  <c r="X346" i="5"/>
  <c r="W346" i="5"/>
  <c r="V346" i="5"/>
  <c r="U346" i="5"/>
  <c r="T346" i="5"/>
  <c r="S346" i="5"/>
  <c r="R346" i="5"/>
  <c r="Q346" i="5"/>
  <c r="P346" i="5"/>
  <c r="O346" i="5"/>
  <c r="N346" i="5"/>
  <c r="M346" i="5"/>
  <c r="L346" i="5"/>
  <c r="K346" i="5"/>
  <c r="J346" i="5"/>
  <c r="I346" i="5"/>
  <c r="H346" i="5"/>
  <c r="G346" i="5"/>
  <c r="F346" i="5"/>
  <c r="AE345" i="5"/>
  <c r="AC345" i="5"/>
  <c r="AB345" i="5"/>
  <c r="AA345" i="5"/>
  <c r="Z345" i="5"/>
  <c r="Y345" i="5"/>
  <c r="X345" i="5"/>
  <c r="W345" i="5"/>
  <c r="V345" i="5"/>
  <c r="U345" i="5"/>
  <c r="T345" i="5"/>
  <c r="S345" i="5"/>
  <c r="R345" i="5"/>
  <c r="Q345" i="5"/>
  <c r="P345" i="5"/>
  <c r="O345" i="5"/>
  <c r="N345" i="5"/>
  <c r="M345" i="5"/>
  <c r="L345" i="5"/>
  <c r="K345" i="5"/>
  <c r="J345" i="5"/>
  <c r="I345" i="5"/>
  <c r="H345" i="5"/>
  <c r="G345" i="5"/>
  <c r="F345" i="5"/>
  <c r="AE344" i="5"/>
  <c r="AC344" i="5"/>
  <c r="AB344" i="5"/>
  <c r="AA344" i="5"/>
  <c r="Z344" i="5"/>
  <c r="Y344" i="5"/>
  <c r="X344" i="5"/>
  <c r="W344" i="5"/>
  <c r="V344" i="5"/>
  <c r="U344" i="5"/>
  <c r="T344" i="5"/>
  <c r="S344" i="5"/>
  <c r="R344" i="5"/>
  <c r="Q344" i="5"/>
  <c r="P344" i="5"/>
  <c r="O344" i="5"/>
  <c r="N344" i="5"/>
  <c r="M344" i="5"/>
  <c r="L344" i="5"/>
  <c r="K344" i="5"/>
  <c r="J344" i="5"/>
  <c r="I344" i="5"/>
  <c r="H344" i="5"/>
  <c r="G344" i="5"/>
  <c r="F344" i="5"/>
  <c r="AE343" i="5"/>
  <c r="AC343" i="5"/>
  <c r="AB343" i="5"/>
  <c r="AA343" i="5"/>
  <c r="Z343" i="5"/>
  <c r="Y343" i="5"/>
  <c r="X343" i="5"/>
  <c r="W343" i="5"/>
  <c r="V343" i="5"/>
  <c r="U343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H343" i="5"/>
  <c r="G343" i="5"/>
  <c r="F343" i="5"/>
  <c r="AE342" i="5"/>
  <c r="AC342" i="5"/>
  <c r="AB342" i="5"/>
  <c r="AA342" i="5"/>
  <c r="Z342" i="5"/>
  <c r="Y342" i="5"/>
  <c r="X342" i="5"/>
  <c r="W342" i="5"/>
  <c r="V342" i="5"/>
  <c r="U342" i="5"/>
  <c r="T342" i="5"/>
  <c r="S342" i="5"/>
  <c r="R342" i="5"/>
  <c r="Q342" i="5"/>
  <c r="P342" i="5"/>
  <c r="O342" i="5"/>
  <c r="N342" i="5"/>
  <c r="M342" i="5"/>
  <c r="L342" i="5"/>
  <c r="K342" i="5"/>
  <c r="J342" i="5"/>
  <c r="I342" i="5"/>
  <c r="H342" i="5"/>
  <c r="G342" i="5"/>
  <c r="F342" i="5"/>
  <c r="AE341" i="5"/>
  <c r="AC341" i="5"/>
  <c r="AB341" i="5"/>
  <c r="AA341" i="5"/>
  <c r="Z341" i="5"/>
  <c r="Y341" i="5"/>
  <c r="X341" i="5"/>
  <c r="W341" i="5"/>
  <c r="V341" i="5"/>
  <c r="U341" i="5"/>
  <c r="T341" i="5"/>
  <c r="S341" i="5"/>
  <c r="R341" i="5"/>
  <c r="Q341" i="5"/>
  <c r="P341" i="5"/>
  <c r="O341" i="5"/>
  <c r="N341" i="5"/>
  <c r="M341" i="5"/>
  <c r="L341" i="5"/>
  <c r="K341" i="5"/>
  <c r="J341" i="5"/>
  <c r="I341" i="5"/>
  <c r="H341" i="5"/>
  <c r="G341" i="5"/>
  <c r="F341" i="5"/>
  <c r="AE340" i="5"/>
  <c r="AC340" i="5"/>
  <c r="AB340" i="5"/>
  <c r="AA340" i="5"/>
  <c r="Z340" i="5"/>
  <c r="Y340" i="5"/>
  <c r="X340" i="5"/>
  <c r="W340" i="5"/>
  <c r="V340" i="5"/>
  <c r="U340" i="5"/>
  <c r="T340" i="5"/>
  <c r="S340" i="5"/>
  <c r="R340" i="5"/>
  <c r="Q340" i="5"/>
  <c r="P340" i="5"/>
  <c r="O340" i="5"/>
  <c r="N340" i="5"/>
  <c r="M340" i="5"/>
  <c r="L340" i="5"/>
  <c r="K340" i="5"/>
  <c r="J340" i="5"/>
  <c r="I340" i="5"/>
  <c r="H340" i="5"/>
  <c r="G340" i="5"/>
  <c r="F340" i="5"/>
  <c r="AE339" i="5"/>
  <c r="AC339" i="5"/>
  <c r="AB339" i="5"/>
  <c r="AA339" i="5"/>
  <c r="Z339" i="5"/>
  <c r="Y339" i="5"/>
  <c r="X339" i="5"/>
  <c r="W339" i="5"/>
  <c r="V339" i="5"/>
  <c r="U339" i="5"/>
  <c r="T339" i="5"/>
  <c r="S339" i="5"/>
  <c r="R339" i="5"/>
  <c r="Q339" i="5"/>
  <c r="P339" i="5"/>
  <c r="O339" i="5"/>
  <c r="N339" i="5"/>
  <c r="M339" i="5"/>
  <c r="L339" i="5"/>
  <c r="K339" i="5"/>
  <c r="J339" i="5"/>
  <c r="I339" i="5"/>
  <c r="H339" i="5"/>
  <c r="G339" i="5"/>
  <c r="F339" i="5"/>
  <c r="AE338" i="5"/>
  <c r="AC338" i="5"/>
  <c r="AB338" i="5"/>
  <c r="AA338" i="5"/>
  <c r="Z338" i="5"/>
  <c r="Y338" i="5"/>
  <c r="X338" i="5"/>
  <c r="W338" i="5"/>
  <c r="V338" i="5"/>
  <c r="U338" i="5"/>
  <c r="T338" i="5"/>
  <c r="S338" i="5"/>
  <c r="R338" i="5"/>
  <c r="Q338" i="5"/>
  <c r="P338" i="5"/>
  <c r="O338" i="5"/>
  <c r="N338" i="5"/>
  <c r="M338" i="5"/>
  <c r="L338" i="5"/>
  <c r="K338" i="5"/>
  <c r="J338" i="5"/>
  <c r="I338" i="5"/>
  <c r="H338" i="5"/>
  <c r="G338" i="5"/>
  <c r="F338" i="5"/>
  <c r="AE337" i="5"/>
  <c r="AC337" i="5"/>
  <c r="AB337" i="5"/>
  <c r="AA337" i="5"/>
  <c r="Z337" i="5"/>
  <c r="Y337" i="5"/>
  <c r="X337" i="5"/>
  <c r="W337" i="5"/>
  <c r="V337" i="5"/>
  <c r="U337" i="5"/>
  <c r="T337" i="5"/>
  <c r="S337" i="5"/>
  <c r="R337" i="5"/>
  <c r="Q337" i="5"/>
  <c r="P337" i="5"/>
  <c r="O337" i="5"/>
  <c r="N337" i="5"/>
  <c r="M337" i="5"/>
  <c r="L337" i="5"/>
  <c r="K337" i="5"/>
  <c r="J337" i="5"/>
  <c r="I337" i="5"/>
  <c r="H337" i="5"/>
  <c r="G337" i="5"/>
  <c r="F337" i="5"/>
  <c r="AE336" i="5"/>
  <c r="AC336" i="5"/>
  <c r="AB336" i="5"/>
  <c r="AA336" i="5"/>
  <c r="Z336" i="5"/>
  <c r="Y336" i="5"/>
  <c r="X336" i="5"/>
  <c r="W336" i="5"/>
  <c r="V336" i="5"/>
  <c r="U336" i="5"/>
  <c r="T336" i="5"/>
  <c r="S336" i="5"/>
  <c r="R336" i="5"/>
  <c r="Q336" i="5"/>
  <c r="P336" i="5"/>
  <c r="O336" i="5"/>
  <c r="N336" i="5"/>
  <c r="M336" i="5"/>
  <c r="L336" i="5"/>
  <c r="K336" i="5"/>
  <c r="J336" i="5"/>
  <c r="I336" i="5"/>
  <c r="H336" i="5"/>
  <c r="G336" i="5"/>
  <c r="F336" i="5"/>
  <c r="AE335" i="5"/>
  <c r="AC335" i="5"/>
  <c r="AB335" i="5"/>
  <c r="AA335" i="5"/>
  <c r="Z335" i="5"/>
  <c r="Y335" i="5"/>
  <c r="X335" i="5"/>
  <c r="W335" i="5"/>
  <c r="V335" i="5"/>
  <c r="U335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H335" i="5"/>
  <c r="G335" i="5"/>
  <c r="F335" i="5"/>
  <c r="AE334" i="5"/>
  <c r="AC334" i="5"/>
  <c r="AB334" i="5"/>
  <c r="AA334" i="5"/>
  <c r="Z334" i="5"/>
  <c r="Y334" i="5"/>
  <c r="X334" i="5"/>
  <c r="W334" i="5"/>
  <c r="V334" i="5"/>
  <c r="U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H334" i="5"/>
  <c r="G334" i="5"/>
  <c r="F334" i="5"/>
  <c r="AE333" i="5"/>
  <c r="AC333" i="5"/>
  <c r="AB333" i="5"/>
  <c r="AA333" i="5"/>
  <c r="Z333" i="5"/>
  <c r="Y333" i="5"/>
  <c r="X333" i="5"/>
  <c r="W333" i="5"/>
  <c r="V333" i="5"/>
  <c r="U333" i="5"/>
  <c r="T333" i="5"/>
  <c r="S333" i="5"/>
  <c r="R333" i="5"/>
  <c r="Q333" i="5"/>
  <c r="P333" i="5"/>
  <c r="O333" i="5"/>
  <c r="N333" i="5"/>
  <c r="M333" i="5"/>
  <c r="L333" i="5"/>
  <c r="K333" i="5"/>
  <c r="J333" i="5"/>
  <c r="I333" i="5"/>
  <c r="H333" i="5"/>
  <c r="G333" i="5"/>
  <c r="F333" i="5"/>
  <c r="AE332" i="5"/>
  <c r="AC332" i="5"/>
  <c r="AB332" i="5"/>
  <c r="AA332" i="5"/>
  <c r="Z332" i="5"/>
  <c r="Y332" i="5"/>
  <c r="X332" i="5"/>
  <c r="W332" i="5"/>
  <c r="V332" i="5"/>
  <c r="U332" i="5"/>
  <c r="T332" i="5"/>
  <c r="S332" i="5"/>
  <c r="R332" i="5"/>
  <c r="Q332" i="5"/>
  <c r="P332" i="5"/>
  <c r="O332" i="5"/>
  <c r="N332" i="5"/>
  <c r="M332" i="5"/>
  <c r="L332" i="5"/>
  <c r="K332" i="5"/>
  <c r="J332" i="5"/>
  <c r="I332" i="5"/>
  <c r="H332" i="5"/>
  <c r="G332" i="5"/>
  <c r="F332" i="5"/>
  <c r="AE331" i="5"/>
  <c r="AC331" i="5"/>
  <c r="AB331" i="5"/>
  <c r="AA331" i="5"/>
  <c r="Z331" i="5"/>
  <c r="Y331" i="5"/>
  <c r="X331" i="5"/>
  <c r="W331" i="5"/>
  <c r="V331" i="5"/>
  <c r="U331" i="5"/>
  <c r="T331" i="5"/>
  <c r="S331" i="5"/>
  <c r="R331" i="5"/>
  <c r="Q331" i="5"/>
  <c r="P331" i="5"/>
  <c r="O331" i="5"/>
  <c r="N331" i="5"/>
  <c r="M331" i="5"/>
  <c r="L331" i="5"/>
  <c r="K331" i="5"/>
  <c r="J331" i="5"/>
  <c r="I331" i="5"/>
  <c r="H331" i="5"/>
  <c r="G331" i="5"/>
  <c r="F331" i="5"/>
  <c r="AE330" i="5"/>
  <c r="AC330" i="5"/>
  <c r="AB330" i="5"/>
  <c r="AA330" i="5"/>
  <c r="Z330" i="5"/>
  <c r="Y330" i="5"/>
  <c r="X330" i="5"/>
  <c r="W330" i="5"/>
  <c r="V330" i="5"/>
  <c r="U330" i="5"/>
  <c r="T330" i="5"/>
  <c r="S330" i="5"/>
  <c r="R330" i="5"/>
  <c r="Q330" i="5"/>
  <c r="P330" i="5"/>
  <c r="O330" i="5"/>
  <c r="N330" i="5"/>
  <c r="M330" i="5"/>
  <c r="L330" i="5"/>
  <c r="K330" i="5"/>
  <c r="J330" i="5"/>
  <c r="I330" i="5"/>
  <c r="H330" i="5"/>
  <c r="G330" i="5"/>
  <c r="F330" i="5"/>
  <c r="AE329" i="5"/>
  <c r="AC329" i="5"/>
  <c r="AB329" i="5"/>
  <c r="AA329" i="5"/>
  <c r="Z329" i="5"/>
  <c r="Y329" i="5"/>
  <c r="X329" i="5"/>
  <c r="W329" i="5"/>
  <c r="V329" i="5"/>
  <c r="U329" i="5"/>
  <c r="T329" i="5"/>
  <c r="S329" i="5"/>
  <c r="R329" i="5"/>
  <c r="Q329" i="5"/>
  <c r="P329" i="5"/>
  <c r="O329" i="5"/>
  <c r="N329" i="5"/>
  <c r="M329" i="5"/>
  <c r="L329" i="5"/>
  <c r="K329" i="5"/>
  <c r="J329" i="5"/>
  <c r="I329" i="5"/>
  <c r="H329" i="5"/>
  <c r="G329" i="5"/>
  <c r="F329" i="5"/>
  <c r="AE328" i="5"/>
  <c r="AC328" i="5"/>
  <c r="AB328" i="5"/>
  <c r="AA328" i="5"/>
  <c r="Z328" i="5"/>
  <c r="Y328" i="5"/>
  <c r="X328" i="5"/>
  <c r="W328" i="5"/>
  <c r="V328" i="5"/>
  <c r="U328" i="5"/>
  <c r="T328" i="5"/>
  <c r="S328" i="5"/>
  <c r="R328" i="5"/>
  <c r="Q328" i="5"/>
  <c r="P328" i="5"/>
  <c r="O328" i="5"/>
  <c r="N328" i="5"/>
  <c r="M328" i="5"/>
  <c r="L328" i="5"/>
  <c r="K328" i="5"/>
  <c r="J328" i="5"/>
  <c r="I328" i="5"/>
  <c r="H328" i="5"/>
  <c r="G328" i="5"/>
  <c r="F328" i="5"/>
  <c r="AE327" i="5"/>
  <c r="AC327" i="5"/>
  <c r="AB327" i="5"/>
  <c r="AA327" i="5"/>
  <c r="Z327" i="5"/>
  <c r="Y327" i="5"/>
  <c r="X327" i="5"/>
  <c r="W327" i="5"/>
  <c r="V327" i="5"/>
  <c r="U327" i="5"/>
  <c r="T327" i="5"/>
  <c r="S327" i="5"/>
  <c r="R327" i="5"/>
  <c r="Q327" i="5"/>
  <c r="P327" i="5"/>
  <c r="O327" i="5"/>
  <c r="N327" i="5"/>
  <c r="M327" i="5"/>
  <c r="L327" i="5"/>
  <c r="K327" i="5"/>
  <c r="J327" i="5"/>
  <c r="I327" i="5"/>
  <c r="H327" i="5"/>
  <c r="G327" i="5"/>
  <c r="F327" i="5"/>
  <c r="AE326" i="5"/>
  <c r="AC326" i="5"/>
  <c r="AB326" i="5"/>
  <c r="AA326" i="5"/>
  <c r="Z326" i="5"/>
  <c r="Y326" i="5"/>
  <c r="X326" i="5"/>
  <c r="W326" i="5"/>
  <c r="V326" i="5"/>
  <c r="U326" i="5"/>
  <c r="T326" i="5"/>
  <c r="S326" i="5"/>
  <c r="R326" i="5"/>
  <c r="Q326" i="5"/>
  <c r="P326" i="5"/>
  <c r="O326" i="5"/>
  <c r="N326" i="5"/>
  <c r="M326" i="5"/>
  <c r="L326" i="5"/>
  <c r="K326" i="5"/>
  <c r="J326" i="5"/>
  <c r="I326" i="5"/>
  <c r="H326" i="5"/>
  <c r="G326" i="5"/>
  <c r="F326" i="5"/>
  <c r="AE325" i="5"/>
  <c r="AC325" i="5"/>
  <c r="AB325" i="5"/>
  <c r="AA325" i="5"/>
  <c r="Z325" i="5"/>
  <c r="Y325" i="5"/>
  <c r="X325" i="5"/>
  <c r="W325" i="5"/>
  <c r="V325" i="5"/>
  <c r="U325" i="5"/>
  <c r="T325" i="5"/>
  <c r="S325" i="5"/>
  <c r="R325" i="5"/>
  <c r="Q325" i="5"/>
  <c r="P325" i="5"/>
  <c r="O325" i="5"/>
  <c r="N325" i="5"/>
  <c r="M325" i="5"/>
  <c r="L325" i="5"/>
  <c r="K325" i="5"/>
  <c r="J325" i="5"/>
  <c r="I325" i="5"/>
  <c r="H325" i="5"/>
  <c r="G325" i="5"/>
  <c r="F325" i="5"/>
  <c r="AE324" i="5"/>
  <c r="AC324" i="5"/>
  <c r="AB324" i="5"/>
  <c r="AA324" i="5"/>
  <c r="Z324" i="5"/>
  <c r="Y324" i="5"/>
  <c r="X324" i="5"/>
  <c r="W324" i="5"/>
  <c r="V324" i="5"/>
  <c r="U324" i="5"/>
  <c r="T324" i="5"/>
  <c r="S324" i="5"/>
  <c r="R324" i="5"/>
  <c r="Q324" i="5"/>
  <c r="P324" i="5"/>
  <c r="O324" i="5"/>
  <c r="N324" i="5"/>
  <c r="M324" i="5"/>
  <c r="L324" i="5"/>
  <c r="K324" i="5"/>
  <c r="J324" i="5"/>
  <c r="I324" i="5"/>
  <c r="H324" i="5"/>
  <c r="G324" i="5"/>
  <c r="F324" i="5"/>
  <c r="AE323" i="5"/>
  <c r="AC323" i="5"/>
  <c r="AB323" i="5"/>
  <c r="AA323" i="5"/>
  <c r="Z323" i="5"/>
  <c r="Y323" i="5"/>
  <c r="X323" i="5"/>
  <c r="W323" i="5"/>
  <c r="V323" i="5"/>
  <c r="U323" i="5"/>
  <c r="T323" i="5"/>
  <c r="S323" i="5"/>
  <c r="R323" i="5"/>
  <c r="Q323" i="5"/>
  <c r="P323" i="5"/>
  <c r="O323" i="5"/>
  <c r="N323" i="5"/>
  <c r="M323" i="5"/>
  <c r="L323" i="5"/>
  <c r="K323" i="5"/>
  <c r="J323" i="5"/>
  <c r="I323" i="5"/>
  <c r="H323" i="5"/>
  <c r="G323" i="5"/>
  <c r="F323" i="5"/>
  <c r="AE322" i="5"/>
  <c r="AC322" i="5"/>
  <c r="AB322" i="5"/>
  <c r="AA322" i="5"/>
  <c r="Z322" i="5"/>
  <c r="Y322" i="5"/>
  <c r="X322" i="5"/>
  <c r="W322" i="5"/>
  <c r="V322" i="5"/>
  <c r="U322" i="5"/>
  <c r="T322" i="5"/>
  <c r="S322" i="5"/>
  <c r="R322" i="5"/>
  <c r="Q322" i="5"/>
  <c r="P322" i="5"/>
  <c r="O322" i="5"/>
  <c r="N322" i="5"/>
  <c r="M322" i="5"/>
  <c r="L322" i="5"/>
  <c r="K322" i="5"/>
  <c r="J322" i="5"/>
  <c r="I322" i="5"/>
  <c r="H322" i="5"/>
  <c r="G322" i="5"/>
  <c r="F322" i="5"/>
  <c r="AE321" i="5"/>
  <c r="AC321" i="5"/>
  <c r="AB321" i="5"/>
  <c r="AA321" i="5"/>
  <c r="Z321" i="5"/>
  <c r="Y321" i="5"/>
  <c r="X321" i="5"/>
  <c r="W321" i="5"/>
  <c r="V321" i="5"/>
  <c r="U321" i="5"/>
  <c r="T321" i="5"/>
  <c r="S321" i="5"/>
  <c r="R321" i="5"/>
  <c r="Q321" i="5"/>
  <c r="P321" i="5"/>
  <c r="O321" i="5"/>
  <c r="N321" i="5"/>
  <c r="M321" i="5"/>
  <c r="L321" i="5"/>
  <c r="K321" i="5"/>
  <c r="J321" i="5"/>
  <c r="I321" i="5"/>
  <c r="H321" i="5"/>
  <c r="G321" i="5"/>
  <c r="F321" i="5"/>
  <c r="AE320" i="5"/>
  <c r="AC320" i="5"/>
  <c r="AB320" i="5"/>
  <c r="AA320" i="5"/>
  <c r="Z320" i="5"/>
  <c r="Y320" i="5"/>
  <c r="X320" i="5"/>
  <c r="W320" i="5"/>
  <c r="V320" i="5"/>
  <c r="U320" i="5"/>
  <c r="T320" i="5"/>
  <c r="S320" i="5"/>
  <c r="R320" i="5"/>
  <c r="Q320" i="5"/>
  <c r="P320" i="5"/>
  <c r="O320" i="5"/>
  <c r="N320" i="5"/>
  <c r="M320" i="5"/>
  <c r="L320" i="5"/>
  <c r="K320" i="5"/>
  <c r="J320" i="5"/>
  <c r="I320" i="5"/>
  <c r="H320" i="5"/>
  <c r="G320" i="5"/>
  <c r="F320" i="5"/>
  <c r="AE319" i="5"/>
  <c r="AC319" i="5"/>
  <c r="AB319" i="5"/>
  <c r="AA319" i="5"/>
  <c r="Z319" i="5"/>
  <c r="Y319" i="5"/>
  <c r="X319" i="5"/>
  <c r="W319" i="5"/>
  <c r="V319" i="5"/>
  <c r="U319" i="5"/>
  <c r="T319" i="5"/>
  <c r="S319" i="5"/>
  <c r="R319" i="5"/>
  <c r="Q319" i="5"/>
  <c r="P319" i="5"/>
  <c r="O319" i="5"/>
  <c r="N319" i="5"/>
  <c r="M319" i="5"/>
  <c r="L319" i="5"/>
  <c r="K319" i="5"/>
  <c r="J319" i="5"/>
  <c r="I319" i="5"/>
  <c r="H319" i="5"/>
  <c r="G319" i="5"/>
  <c r="F319" i="5"/>
  <c r="AE318" i="5"/>
  <c r="AC318" i="5"/>
  <c r="AB318" i="5"/>
  <c r="AA318" i="5"/>
  <c r="Z318" i="5"/>
  <c r="Y318" i="5"/>
  <c r="X318" i="5"/>
  <c r="W318" i="5"/>
  <c r="V318" i="5"/>
  <c r="U318" i="5"/>
  <c r="T318" i="5"/>
  <c r="S318" i="5"/>
  <c r="R318" i="5"/>
  <c r="Q318" i="5"/>
  <c r="P318" i="5"/>
  <c r="O318" i="5"/>
  <c r="N318" i="5"/>
  <c r="M318" i="5"/>
  <c r="L318" i="5"/>
  <c r="K318" i="5"/>
  <c r="J318" i="5"/>
  <c r="I318" i="5"/>
  <c r="H318" i="5"/>
  <c r="G318" i="5"/>
  <c r="F318" i="5"/>
  <c r="AE317" i="5"/>
  <c r="AC317" i="5"/>
  <c r="AB317" i="5"/>
  <c r="AA317" i="5"/>
  <c r="Z317" i="5"/>
  <c r="Y317" i="5"/>
  <c r="X317" i="5"/>
  <c r="W317" i="5"/>
  <c r="V317" i="5"/>
  <c r="U317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H317" i="5"/>
  <c r="G317" i="5"/>
  <c r="F317" i="5"/>
  <c r="AE316" i="5"/>
  <c r="AC316" i="5"/>
  <c r="AB316" i="5"/>
  <c r="AA316" i="5"/>
  <c r="Z316" i="5"/>
  <c r="Y316" i="5"/>
  <c r="X316" i="5"/>
  <c r="W316" i="5"/>
  <c r="V316" i="5"/>
  <c r="U316" i="5"/>
  <c r="T316" i="5"/>
  <c r="S316" i="5"/>
  <c r="R316" i="5"/>
  <c r="Q316" i="5"/>
  <c r="P316" i="5"/>
  <c r="O316" i="5"/>
  <c r="N316" i="5"/>
  <c r="M316" i="5"/>
  <c r="L316" i="5"/>
  <c r="K316" i="5"/>
  <c r="J316" i="5"/>
  <c r="I316" i="5"/>
  <c r="H316" i="5"/>
  <c r="G316" i="5"/>
  <c r="F316" i="5"/>
  <c r="AE315" i="5"/>
  <c r="AC315" i="5"/>
  <c r="AB315" i="5"/>
  <c r="AA315" i="5"/>
  <c r="Z315" i="5"/>
  <c r="Y315" i="5"/>
  <c r="X315" i="5"/>
  <c r="W315" i="5"/>
  <c r="V315" i="5"/>
  <c r="U315" i="5"/>
  <c r="T315" i="5"/>
  <c r="S315" i="5"/>
  <c r="R315" i="5"/>
  <c r="Q315" i="5"/>
  <c r="P315" i="5"/>
  <c r="O315" i="5"/>
  <c r="N315" i="5"/>
  <c r="M315" i="5"/>
  <c r="L315" i="5"/>
  <c r="K315" i="5"/>
  <c r="J315" i="5"/>
  <c r="I315" i="5"/>
  <c r="H315" i="5"/>
  <c r="G315" i="5"/>
  <c r="F315" i="5"/>
  <c r="AE314" i="5"/>
  <c r="AC314" i="5"/>
  <c r="AB314" i="5"/>
  <c r="AA314" i="5"/>
  <c r="Z314" i="5"/>
  <c r="Y314" i="5"/>
  <c r="X314" i="5"/>
  <c r="W314" i="5"/>
  <c r="V314" i="5"/>
  <c r="U314" i="5"/>
  <c r="T314" i="5"/>
  <c r="S314" i="5"/>
  <c r="R314" i="5"/>
  <c r="Q314" i="5"/>
  <c r="P314" i="5"/>
  <c r="O314" i="5"/>
  <c r="N314" i="5"/>
  <c r="M314" i="5"/>
  <c r="L314" i="5"/>
  <c r="K314" i="5"/>
  <c r="J314" i="5"/>
  <c r="I314" i="5"/>
  <c r="H314" i="5"/>
  <c r="G314" i="5"/>
  <c r="F314" i="5"/>
  <c r="AE313" i="5"/>
  <c r="AC313" i="5"/>
  <c r="AB313" i="5"/>
  <c r="AA313" i="5"/>
  <c r="Z313" i="5"/>
  <c r="Y313" i="5"/>
  <c r="X313" i="5"/>
  <c r="W313" i="5"/>
  <c r="V313" i="5"/>
  <c r="U313" i="5"/>
  <c r="T313" i="5"/>
  <c r="S313" i="5"/>
  <c r="R313" i="5"/>
  <c r="Q313" i="5"/>
  <c r="P313" i="5"/>
  <c r="O313" i="5"/>
  <c r="N313" i="5"/>
  <c r="M313" i="5"/>
  <c r="L313" i="5"/>
  <c r="K313" i="5"/>
  <c r="J313" i="5"/>
  <c r="I313" i="5"/>
  <c r="H313" i="5"/>
  <c r="G313" i="5"/>
  <c r="F313" i="5"/>
  <c r="AE312" i="5"/>
  <c r="AC312" i="5"/>
  <c r="AB312" i="5"/>
  <c r="AA312" i="5"/>
  <c r="Z312" i="5"/>
  <c r="Y312" i="5"/>
  <c r="X312" i="5"/>
  <c r="W312" i="5"/>
  <c r="V312" i="5"/>
  <c r="U312" i="5"/>
  <c r="T312" i="5"/>
  <c r="S312" i="5"/>
  <c r="R312" i="5"/>
  <c r="Q312" i="5"/>
  <c r="P312" i="5"/>
  <c r="O312" i="5"/>
  <c r="N312" i="5"/>
  <c r="M312" i="5"/>
  <c r="L312" i="5"/>
  <c r="K312" i="5"/>
  <c r="J312" i="5"/>
  <c r="I312" i="5"/>
  <c r="H312" i="5"/>
  <c r="G312" i="5"/>
  <c r="F312" i="5"/>
  <c r="AE311" i="5"/>
  <c r="AC311" i="5"/>
  <c r="AB311" i="5"/>
  <c r="AA311" i="5"/>
  <c r="Z311" i="5"/>
  <c r="Y311" i="5"/>
  <c r="X311" i="5"/>
  <c r="W311" i="5"/>
  <c r="V311" i="5"/>
  <c r="U311" i="5"/>
  <c r="T311" i="5"/>
  <c r="S311" i="5"/>
  <c r="R311" i="5"/>
  <c r="Q311" i="5"/>
  <c r="P311" i="5"/>
  <c r="O311" i="5"/>
  <c r="N311" i="5"/>
  <c r="M311" i="5"/>
  <c r="L311" i="5"/>
  <c r="K311" i="5"/>
  <c r="J311" i="5"/>
  <c r="I311" i="5"/>
  <c r="H311" i="5"/>
  <c r="G311" i="5"/>
  <c r="F311" i="5"/>
  <c r="AE310" i="5"/>
  <c r="AC310" i="5"/>
  <c r="AB310" i="5"/>
  <c r="AA310" i="5"/>
  <c r="Z310" i="5"/>
  <c r="Y310" i="5"/>
  <c r="X310" i="5"/>
  <c r="W310" i="5"/>
  <c r="V310" i="5"/>
  <c r="U310" i="5"/>
  <c r="T310" i="5"/>
  <c r="S310" i="5"/>
  <c r="R310" i="5"/>
  <c r="Q310" i="5"/>
  <c r="P310" i="5"/>
  <c r="O310" i="5"/>
  <c r="N310" i="5"/>
  <c r="M310" i="5"/>
  <c r="L310" i="5"/>
  <c r="K310" i="5"/>
  <c r="J310" i="5"/>
  <c r="I310" i="5"/>
  <c r="H310" i="5"/>
  <c r="G310" i="5"/>
  <c r="F310" i="5"/>
  <c r="AE309" i="5"/>
  <c r="AC309" i="5"/>
  <c r="AB309" i="5"/>
  <c r="AA309" i="5"/>
  <c r="Z309" i="5"/>
  <c r="Y309" i="5"/>
  <c r="X309" i="5"/>
  <c r="W309" i="5"/>
  <c r="V309" i="5"/>
  <c r="U309" i="5"/>
  <c r="T309" i="5"/>
  <c r="S309" i="5"/>
  <c r="R309" i="5"/>
  <c r="Q309" i="5"/>
  <c r="P309" i="5"/>
  <c r="O309" i="5"/>
  <c r="N309" i="5"/>
  <c r="M309" i="5"/>
  <c r="L309" i="5"/>
  <c r="K309" i="5"/>
  <c r="J309" i="5"/>
  <c r="I309" i="5"/>
  <c r="H309" i="5"/>
  <c r="G309" i="5"/>
  <c r="F309" i="5"/>
  <c r="AE308" i="5"/>
  <c r="AC308" i="5"/>
  <c r="AB308" i="5"/>
  <c r="AA308" i="5"/>
  <c r="Z308" i="5"/>
  <c r="Y308" i="5"/>
  <c r="X308" i="5"/>
  <c r="W308" i="5"/>
  <c r="V308" i="5"/>
  <c r="U308" i="5"/>
  <c r="T308" i="5"/>
  <c r="S308" i="5"/>
  <c r="R308" i="5"/>
  <c r="Q308" i="5"/>
  <c r="P308" i="5"/>
  <c r="O308" i="5"/>
  <c r="N308" i="5"/>
  <c r="M308" i="5"/>
  <c r="L308" i="5"/>
  <c r="K308" i="5"/>
  <c r="J308" i="5"/>
  <c r="I308" i="5"/>
  <c r="H308" i="5"/>
  <c r="G308" i="5"/>
  <c r="F308" i="5"/>
  <c r="AE307" i="5"/>
  <c r="AC307" i="5"/>
  <c r="AB307" i="5"/>
  <c r="AA307" i="5"/>
  <c r="Z307" i="5"/>
  <c r="Y307" i="5"/>
  <c r="X307" i="5"/>
  <c r="W307" i="5"/>
  <c r="V307" i="5"/>
  <c r="U307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H307" i="5"/>
  <c r="G307" i="5"/>
  <c r="F307" i="5"/>
  <c r="AE306" i="5"/>
  <c r="AC306" i="5"/>
  <c r="AB306" i="5"/>
  <c r="AA306" i="5"/>
  <c r="Z306" i="5"/>
  <c r="Y306" i="5"/>
  <c r="X306" i="5"/>
  <c r="W306" i="5"/>
  <c r="V306" i="5"/>
  <c r="U306" i="5"/>
  <c r="T306" i="5"/>
  <c r="S306" i="5"/>
  <c r="R306" i="5"/>
  <c r="Q306" i="5"/>
  <c r="P306" i="5"/>
  <c r="O306" i="5"/>
  <c r="N306" i="5"/>
  <c r="M306" i="5"/>
  <c r="L306" i="5"/>
  <c r="K306" i="5"/>
  <c r="J306" i="5"/>
  <c r="I306" i="5"/>
  <c r="H306" i="5"/>
  <c r="G306" i="5"/>
  <c r="F306" i="5"/>
  <c r="AE305" i="5"/>
  <c r="AC305" i="5"/>
  <c r="AB305" i="5"/>
  <c r="AA305" i="5"/>
  <c r="Z305" i="5"/>
  <c r="Y305" i="5"/>
  <c r="X305" i="5"/>
  <c r="W305" i="5"/>
  <c r="V305" i="5"/>
  <c r="U305" i="5"/>
  <c r="T305" i="5"/>
  <c r="S305" i="5"/>
  <c r="R305" i="5"/>
  <c r="Q305" i="5"/>
  <c r="P305" i="5"/>
  <c r="O305" i="5"/>
  <c r="N305" i="5"/>
  <c r="M305" i="5"/>
  <c r="L305" i="5"/>
  <c r="K305" i="5"/>
  <c r="J305" i="5"/>
  <c r="I305" i="5"/>
  <c r="H305" i="5"/>
  <c r="G305" i="5"/>
  <c r="F305" i="5"/>
  <c r="AE304" i="5"/>
  <c r="AC304" i="5"/>
  <c r="AB304" i="5"/>
  <c r="AA304" i="5"/>
  <c r="Z304" i="5"/>
  <c r="Y304" i="5"/>
  <c r="X304" i="5"/>
  <c r="W304" i="5"/>
  <c r="V304" i="5"/>
  <c r="U304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H304" i="5"/>
  <c r="G304" i="5"/>
  <c r="F304" i="5"/>
  <c r="AE303" i="5"/>
  <c r="AC303" i="5"/>
  <c r="AB303" i="5"/>
  <c r="AA303" i="5"/>
  <c r="Z303" i="5"/>
  <c r="Y303" i="5"/>
  <c r="X303" i="5"/>
  <c r="W303" i="5"/>
  <c r="V303" i="5"/>
  <c r="U303" i="5"/>
  <c r="T303" i="5"/>
  <c r="S303" i="5"/>
  <c r="R303" i="5"/>
  <c r="Q303" i="5"/>
  <c r="P303" i="5"/>
  <c r="O303" i="5"/>
  <c r="N303" i="5"/>
  <c r="M303" i="5"/>
  <c r="L303" i="5"/>
  <c r="K303" i="5"/>
  <c r="J303" i="5"/>
  <c r="I303" i="5"/>
  <c r="H303" i="5"/>
  <c r="G303" i="5"/>
  <c r="F303" i="5"/>
  <c r="AE302" i="5"/>
  <c r="AC302" i="5"/>
  <c r="AB302" i="5"/>
  <c r="AA302" i="5"/>
  <c r="Z302" i="5"/>
  <c r="Y302" i="5"/>
  <c r="X302" i="5"/>
  <c r="W302" i="5"/>
  <c r="V302" i="5"/>
  <c r="U302" i="5"/>
  <c r="T302" i="5"/>
  <c r="S302" i="5"/>
  <c r="R302" i="5"/>
  <c r="Q302" i="5"/>
  <c r="P302" i="5"/>
  <c r="O302" i="5"/>
  <c r="N302" i="5"/>
  <c r="M302" i="5"/>
  <c r="L302" i="5"/>
  <c r="K302" i="5"/>
  <c r="J302" i="5"/>
  <c r="I302" i="5"/>
  <c r="H302" i="5"/>
  <c r="G302" i="5"/>
  <c r="F302" i="5"/>
  <c r="AE301" i="5"/>
  <c r="AC301" i="5"/>
  <c r="AB301" i="5"/>
  <c r="AA301" i="5"/>
  <c r="Z301" i="5"/>
  <c r="Y301" i="5"/>
  <c r="X301" i="5"/>
  <c r="W301" i="5"/>
  <c r="V301" i="5"/>
  <c r="U301" i="5"/>
  <c r="T301" i="5"/>
  <c r="S301" i="5"/>
  <c r="R301" i="5"/>
  <c r="Q301" i="5"/>
  <c r="P301" i="5"/>
  <c r="O301" i="5"/>
  <c r="N301" i="5"/>
  <c r="M301" i="5"/>
  <c r="L301" i="5"/>
  <c r="K301" i="5"/>
  <c r="J301" i="5"/>
  <c r="I301" i="5"/>
  <c r="H301" i="5"/>
  <c r="G301" i="5"/>
  <c r="F301" i="5"/>
  <c r="AE300" i="5"/>
  <c r="AC300" i="5"/>
  <c r="AB300" i="5"/>
  <c r="AA300" i="5"/>
  <c r="Z300" i="5"/>
  <c r="Y300" i="5"/>
  <c r="X300" i="5"/>
  <c r="W300" i="5"/>
  <c r="V300" i="5"/>
  <c r="U300" i="5"/>
  <c r="T300" i="5"/>
  <c r="S300" i="5"/>
  <c r="R300" i="5"/>
  <c r="Q300" i="5"/>
  <c r="P300" i="5"/>
  <c r="O300" i="5"/>
  <c r="N300" i="5"/>
  <c r="M300" i="5"/>
  <c r="L300" i="5"/>
  <c r="K300" i="5"/>
  <c r="J300" i="5"/>
  <c r="I300" i="5"/>
  <c r="H300" i="5"/>
  <c r="G300" i="5"/>
  <c r="F300" i="5"/>
  <c r="AE299" i="5"/>
  <c r="AC299" i="5"/>
  <c r="AB299" i="5"/>
  <c r="AA299" i="5"/>
  <c r="Z299" i="5"/>
  <c r="Y299" i="5"/>
  <c r="X299" i="5"/>
  <c r="W299" i="5"/>
  <c r="V299" i="5"/>
  <c r="U299" i="5"/>
  <c r="T299" i="5"/>
  <c r="S299" i="5"/>
  <c r="R299" i="5"/>
  <c r="Q299" i="5"/>
  <c r="P299" i="5"/>
  <c r="O299" i="5"/>
  <c r="N299" i="5"/>
  <c r="M299" i="5"/>
  <c r="L299" i="5"/>
  <c r="K299" i="5"/>
  <c r="J299" i="5"/>
  <c r="I299" i="5"/>
  <c r="H299" i="5"/>
  <c r="G299" i="5"/>
  <c r="F299" i="5"/>
  <c r="AE298" i="5"/>
  <c r="AC298" i="5"/>
  <c r="AB298" i="5"/>
  <c r="AA298" i="5"/>
  <c r="Z298" i="5"/>
  <c r="Y298" i="5"/>
  <c r="X298" i="5"/>
  <c r="W298" i="5"/>
  <c r="V298" i="5"/>
  <c r="U298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H298" i="5"/>
  <c r="G298" i="5"/>
  <c r="F298" i="5"/>
  <c r="AE297" i="5"/>
  <c r="AC297" i="5"/>
  <c r="AB297" i="5"/>
  <c r="AA297" i="5"/>
  <c r="Z297" i="5"/>
  <c r="Y297" i="5"/>
  <c r="X297" i="5"/>
  <c r="W297" i="5"/>
  <c r="V297" i="5"/>
  <c r="U297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H297" i="5"/>
  <c r="G297" i="5"/>
  <c r="F297" i="5"/>
  <c r="AE296" i="5"/>
  <c r="AC296" i="5"/>
  <c r="AB296" i="5"/>
  <c r="AA296" i="5"/>
  <c r="Z296" i="5"/>
  <c r="Y296" i="5"/>
  <c r="X296" i="5"/>
  <c r="W296" i="5"/>
  <c r="V296" i="5"/>
  <c r="U296" i="5"/>
  <c r="T296" i="5"/>
  <c r="S296" i="5"/>
  <c r="R296" i="5"/>
  <c r="Q296" i="5"/>
  <c r="P296" i="5"/>
  <c r="O296" i="5"/>
  <c r="N296" i="5"/>
  <c r="M296" i="5"/>
  <c r="L296" i="5"/>
  <c r="K296" i="5"/>
  <c r="J296" i="5"/>
  <c r="I296" i="5"/>
  <c r="H296" i="5"/>
  <c r="G296" i="5"/>
  <c r="F296" i="5"/>
  <c r="AE295" i="5"/>
  <c r="AC295" i="5"/>
  <c r="AB295" i="5"/>
  <c r="AA295" i="5"/>
  <c r="Z295" i="5"/>
  <c r="Y295" i="5"/>
  <c r="X295" i="5"/>
  <c r="W295" i="5"/>
  <c r="V295" i="5"/>
  <c r="U295" i="5"/>
  <c r="T295" i="5"/>
  <c r="S295" i="5"/>
  <c r="R295" i="5"/>
  <c r="Q295" i="5"/>
  <c r="P295" i="5"/>
  <c r="O295" i="5"/>
  <c r="N295" i="5"/>
  <c r="M295" i="5"/>
  <c r="L295" i="5"/>
  <c r="K295" i="5"/>
  <c r="J295" i="5"/>
  <c r="I295" i="5"/>
  <c r="H295" i="5"/>
  <c r="G295" i="5"/>
  <c r="F295" i="5"/>
  <c r="AE294" i="5"/>
  <c r="AC294" i="5"/>
  <c r="AB294" i="5"/>
  <c r="AA294" i="5"/>
  <c r="Z294" i="5"/>
  <c r="Y294" i="5"/>
  <c r="X294" i="5"/>
  <c r="W294" i="5"/>
  <c r="V294" i="5"/>
  <c r="U294" i="5"/>
  <c r="T294" i="5"/>
  <c r="S294" i="5"/>
  <c r="R294" i="5"/>
  <c r="Q294" i="5"/>
  <c r="P294" i="5"/>
  <c r="O294" i="5"/>
  <c r="N294" i="5"/>
  <c r="M294" i="5"/>
  <c r="L294" i="5"/>
  <c r="K294" i="5"/>
  <c r="J294" i="5"/>
  <c r="I294" i="5"/>
  <c r="H294" i="5"/>
  <c r="G294" i="5"/>
  <c r="F294" i="5"/>
  <c r="AE293" i="5"/>
  <c r="AC293" i="5"/>
  <c r="AB293" i="5"/>
  <c r="AA293" i="5"/>
  <c r="Z293" i="5"/>
  <c r="Y293" i="5"/>
  <c r="X293" i="5"/>
  <c r="W293" i="5"/>
  <c r="V293" i="5"/>
  <c r="U293" i="5"/>
  <c r="T293" i="5"/>
  <c r="S293" i="5"/>
  <c r="R293" i="5"/>
  <c r="Q293" i="5"/>
  <c r="P293" i="5"/>
  <c r="O293" i="5"/>
  <c r="N293" i="5"/>
  <c r="M293" i="5"/>
  <c r="L293" i="5"/>
  <c r="K293" i="5"/>
  <c r="J293" i="5"/>
  <c r="I293" i="5"/>
  <c r="H293" i="5"/>
  <c r="G293" i="5"/>
  <c r="F293" i="5"/>
  <c r="AE292" i="5"/>
  <c r="AC292" i="5"/>
  <c r="AB292" i="5"/>
  <c r="AA292" i="5"/>
  <c r="Z292" i="5"/>
  <c r="Y292" i="5"/>
  <c r="X292" i="5"/>
  <c r="W292" i="5"/>
  <c r="V292" i="5"/>
  <c r="U292" i="5"/>
  <c r="T292" i="5"/>
  <c r="S292" i="5"/>
  <c r="R292" i="5"/>
  <c r="Q292" i="5"/>
  <c r="P292" i="5"/>
  <c r="O292" i="5"/>
  <c r="N292" i="5"/>
  <c r="M292" i="5"/>
  <c r="L292" i="5"/>
  <c r="K292" i="5"/>
  <c r="J292" i="5"/>
  <c r="I292" i="5"/>
  <c r="H292" i="5"/>
  <c r="G292" i="5"/>
  <c r="F292" i="5"/>
  <c r="AE291" i="5"/>
  <c r="AC291" i="5"/>
  <c r="AB291" i="5"/>
  <c r="AA291" i="5"/>
  <c r="Z291" i="5"/>
  <c r="Y291" i="5"/>
  <c r="X291" i="5"/>
  <c r="W291" i="5"/>
  <c r="V291" i="5"/>
  <c r="U291" i="5"/>
  <c r="T291" i="5"/>
  <c r="S291" i="5"/>
  <c r="R291" i="5"/>
  <c r="Q291" i="5"/>
  <c r="P291" i="5"/>
  <c r="O291" i="5"/>
  <c r="N291" i="5"/>
  <c r="M291" i="5"/>
  <c r="L291" i="5"/>
  <c r="K291" i="5"/>
  <c r="J291" i="5"/>
  <c r="I291" i="5"/>
  <c r="H291" i="5"/>
  <c r="G291" i="5"/>
  <c r="F291" i="5"/>
  <c r="AE290" i="5"/>
  <c r="AC290" i="5"/>
  <c r="AB290" i="5"/>
  <c r="AA290" i="5"/>
  <c r="Z290" i="5"/>
  <c r="Y290" i="5"/>
  <c r="X290" i="5"/>
  <c r="W290" i="5"/>
  <c r="V290" i="5"/>
  <c r="U290" i="5"/>
  <c r="T290" i="5"/>
  <c r="S290" i="5"/>
  <c r="R290" i="5"/>
  <c r="Q290" i="5"/>
  <c r="P290" i="5"/>
  <c r="O290" i="5"/>
  <c r="N290" i="5"/>
  <c r="M290" i="5"/>
  <c r="L290" i="5"/>
  <c r="K290" i="5"/>
  <c r="J290" i="5"/>
  <c r="I290" i="5"/>
  <c r="H290" i="5"/>
  <c r="G290" i="5"/>
  <c r="F290" i="5"/>
  <c r="AE289" i="5"/>
  <c r="AC289" i="5"/>
  <c r="AB289" i="5"/>
  <c r="AA289" i="5"/>
  <c r="Z289" i="5"/>
  <c r="Y289" i="5"/>
  <c r="X289" i="5"/>
  <c r="W289" i="5"/>
  <c r="V289" i="5"/>
  <c r="U289" i="5"/>
  <c r="T289" i="5"/>
  <c r="S289" i="5"/>
  <c r="R289" i="5"/>
  <c r="Q289" i="5"/>
  <c r="P289" i="5"/>
  <c r="O289" i="5"/>
  <c r="N289" i="5"/>
  <c r="M289" i="5"/>
  <c r="L289" i="5"/>
  <c r="K289" i="5"/>
  <c r="J289" i="5"/>
  <c r="I289" i="5"/>
  <c r="H289" i="5"/>
  <c r="G289" i="5"/>
  <c r="F289" i="5"/>
  <c r="AE288" i="5"/>
  <c r="AC288" i="5"/>
  <c r="AB288" i="5"/>
  <c r="AA288" i="5"/>
  <c r="Z288" i="5"/>
  <c r="Y288" i="5"/>
  <c r="X288" i="5"/>
  <c r="W288" i="5"/>
  <c r="V288" i="5"/>
  <c r="U288" i="5"/>
  <c r="T288" i="5"/>
  <c r="S288" i="5"/>
  <c r="R288" i="5"/>
  <c r="Q288" i="5"/>
  <c r="P288" i="5"/>
  <c r="O288" i="5"/>
  <c r="N288" i="5"/>
  <c r="M288" i="5"/>
  <c r="L288" i="5"/>
  <c r="K288" i="5"/>
  <c r="J288" i="5"/>
  <c r="I288" i="5"/>
  <c r="H288" i="5"/>
  <c r="G288" i="5"/>
  <c r="F288" i="5"/>
  <c r="AE287" i="5"/>
  <c r="AC287" i="5"/>
  <c r="AB287" i="5"/>
  <c r="AA287" i="5"/>
  <c r="Z287" i="5"/>
  <c r="Y287" i="5"/>
  <c r="X287" i="5"/>
  <c r="W287" i="5"/>
  <c r="V287" i="5"/>
  <c r="U287" i="5"/>
  <c r="T287" i="5"/>
  <c r="S287" i="5"/>
  <c r="R287" i="5"/>
  <c r="Q287" i="5"/>
  <c r="P287" i="5"/>
  <c r="O287" i="5"/>
  <c r="N287" i="5"/>
  <c r="M287" i="5"/>
  <c r="L287" i="5"/>
  <c r="K287" i="5"/>
  <c r="J287" i="5"/>
  <c r="I287" i="5"/>
  <c r="H287" i="5"/>
  <c r="G287" i="5"/>
  <c r="F287" i="5"/>
  <c r="AE286" i="5"/>
  <c r="AC286" i="5"/>
  <c r="AB286" i="5"/>
  <c r="AA286" i="5"/>
  <c r="Z286" i="5"/>
  <c r="Y286" i="5"/>
  <c r="X286" i="5"/>
  <c r="W286" i="5"/>
  <c r="V286" i="5"/>
  <c r="U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H286" i="5"/>
  <c r="G286" i="5"/>
  <c r="F286" i="5"/>
  <c r="AE285" i="5"/>
  <c r="AC285" i="5"/>
  <c r="AB285" i="5"/>
  <c r="AA285" i="5"/>
  <c r="Z285" i="5"/>
  <c r="Y285" i="5"/>
  <c r="X285" i="5"/>
  <c r="W285" i="5"/>
  <c r="V285" i="5"/>
  <c r="U285" i="5"/>
  <c r="T285" i="5"/>
  <c r="S285" i="5"/>
  <c r="R285" i="5"/>
  <c r="Q285" i="5"/>
  <c r="P285" i="5"/>
  <c r="O285" i="5"/>
  <c r="N285" i="5"/>
  <c r="M285" i="5"/>
  <c r="L285" i="5"/>
  <c r="K285" i="5"/>
  <c r="J285" i="5"/>
  <c r="I285" i="5"/>
  <c r="H285" i="5"/>
  <c r="G285" i="5"/>
  <c r="F285" i="5"/>
  <c r="AE284" i="5"/>
  <c r="AC284" i="5"/>
  <c r="AB284" i="5"/>
  <c r="AA284" i="5"/>
  <c r="Z284" i="5"/>
  <c r="Y284" i="5"/>
  <c r="X284" i="5"/>
  <c r="W284" i="5"/>
  <c r="V284" i="5"/>
  <c r="U284" i="5"/>
  <c r="T284" i="5"/>
  <c r="S284" i="5"/>
  <c r="R284" i="5"/>
  <c r="Q284" i="5"/>
  <c r="P284" i="5"/>
  <c r="O284" i="5"/>
  <c r="N284" i="5"/>
  <c r="M284" i="5"/>
  <c r="L284" i="5"/>
  <c r="K284" i="5"/>
  <c r="J284" i="5"/>
  <c r="I284" i="5"/>
  <c r="H284" i="5"/>
  <c r="G284" i="5"/>
  <c r="F284" i="5"/>
  <c r="AE283" i="5"/>
  <c r="AC283" i="5"/>
  <c r="AB283" i="5"/>
  <c r="AA283" i="5"/>
  <c r="Z283" i="5"/>
  <c r="Y283" i="5"/>
  <c r="X283" i="5"/>
  <c r="W283" i="5"/>
  <c r="V283" i="5"/>
  <c r="U283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H283" i="5"/>
  <c r="G283" i="5"/>
  <c r="F283" i="5"/>
  <c r="AE282" i="5"/>
  <c r="AC282" i="5"/>
  <c r="AB282" i="5"/>
  <c r="AA282" i="5"/>
  <c r="Z282" i="5"/>
  <c r="Y282" i="5"/>
  <c r="X282" i="5"/>
  <c r="W282" i="5"/>
  <c r="V282" i="5"/>
  <c r="U282" i="5"/>
  <c r="T282" i="5"/>
  <c r="S282" i="5"/>
  <c r="R282" i="5"/>
  <c r="Q282" i="5"/>
  <c r="P282" i="5"/>
  <c r="O282" i="5"/>
  <c r="N282" i="5"/>
  <c r="M282" i="5"/>
  <c r="L282" i="5"/>
  <c r="K282" i="5"/>
  <c r="J282" i="5"/>
  <c r="I282" i="5"/>
  <c r="H282" i="5"/>
  <c r="G282" i="5"/>
  <c r="F282" i="5"/>
  <c r="AE281" i="5"/>
  <c r="AC281" i="5"/>
  <c r="AB281" i="5"/>
  <c r="AA281" i="5"/>
  <c r="Z281" i="5"/>
  <c r="Y281" i="5"/>
  <c r="X281" i="5"/>
  <c r="W281" i="5"/>
  <c r="V281" i="5"/>
  <c r="U281" i="5"/>
  <c r="T281" i="5"/>
  <c r="S281" i="5"/>
  <c r="R281" i="5"/>
  <c r="Q281" i="5"/>
  <c r="P281" i="5"/>
  <c r="O281" i="5"/>
  <c r="N281" i="5"/>
  <c r="M281" i="5"/>
  <c r="L281" i="5"/>
  <c r="K281" i="5"/>
  <c r="J281" i="5"/>
  <c r="I281" i="5"/>
  <c r="H281" i="5"/>
  <c r="G281" i="5"/>
  <c r="F281" i="5"/>
  <c r="AE280" i="5"/>
  <c r="AC280" i="5"/>
  <c r="AB280" i="5"/>
  <c r="AA280" i="5"/>
  <c r="Z280" i="5"/>
  <c r="Y280" i="5"/>
  <c r="X280" i="5"/>
  <c r="W280" i="5"/>
  <c r="V280" i="5"/>
  <c r="U280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H280" i="5"/>
  <c r="G280" i="5"/>
  <c r="F280" i="5"/>
  <c r="AE279" i="5"/>
  <c r="AC279" i="5"/>
  <c r="AB279" i="5"/>
  <c r="AA279" i="5"/>
  <c r="Z279" i="5"/>
  <c r="Y279" i="5"/>
  <c r="X279" i="5"/>
  <c r="W279" i="5"/>
  <c r="V279" i="5"/>
  <c r="U279" i="5"/>
  <c r="T279" i="5"/>
  <c r="S279" i="5"/>
  <c r="R279" i="5"/>
  <c r="Q279" i="5"/>
  <c r="P279" i="5"/>
  <c r="O279" i="5"/>
  <c r="N279" i="5"/>
  <c r="M279" i="5"/>
  <c r="L279" i="5"/>
  <c r="K279" i="5"/>
  <c r="J279" i="5"/>
  <c r="I279" i="5"/>
  <c r="H279" i="5"/>
  <c r="G279" i="5"/>
  <c r="F279" i="5"/>
  <c r="AE278" i="5"/>
  <c r="AC278" i="5"/>
  <c r="AB278" i="5"/>
  <c r="AA278" i="5"/>
  <c r="Z278" i="5"/>
  <c r="Y278" i="5"/>
  <c r="X278" i="5"/>
  <c r="W278" i="5"/>
  <c r="V278" i="5"/>
  <c r="U278" i="5"/>
  <c r="T278" i="5"/>
  <c r="S278" i="5"/>
  <c r="R278" i="5"/>
  <c r="Q278" i="5"/>
  <c r="P278" i="5"/>
  <c r="O278" i="5"/>
  <c r="N278" i="5"/>
  <c r="M278" i="5"/>
  <c r="L278" i="5"/>
  <c r="K278" i="5"/>
  <c r="J278" i="5"/>
  <c r="I278" i="5"/>
  <c r="H278" i="5"/>
  <c r="G278" i="5"/>
  <c r="F278" i="5"/>
  <c r="AE277" i="5"/>
  <c r="AC277" i="5"/>
  <c r="AB277" i="5"/>
  <c r="AA277" i="5"/>
  <c r="Z277" i="5"/>
  <c r="Y277" i="5"/>
  <c r="X277" i="5"/>
  <c r="W277" i="5"/>
  <c r="V277" i="5"/>
  <c r="U277" i="5"/>
  <c r="T277" i="5"/>
  <c r="S277" i="5"/>
  <c r="R277" i="5"/>
  <c r="Q277" i="5"/>
  <c r="P277" i="5"/>
  <c r="O277" i="5"/>
  <c r="N277" i="5"/>
  <c r="M277" i="5"/>
  <c r="L277" i="5"/>
  <c r="K277" i="5"/>
  <c r="J277" i="5"/>
  <c r="I277" i="5"/>
  <c r="H277" i="5"/>
  <c r="G277" i="5"/>
  <c r="F277" i="5"/>
  <c r="AE276" i="5"/>
  <c r="AC276" i="5"/>
  <c r="AB276" i="5"/>
  <c r="AA276" i="5"/>
  <c r="Z276" i="5"/>
  <c r="Y276" i="5"/>
  <c r="X276" i="5"/>
  <c r="W276" i="5"/>
  <c r="V276" i="5"/>
  <c r="U276" i="5"/>
  <c r="T276" i="5"/>
  <c r="S276" i="5"/>
  <c r="R276" i="5"/>
  <c r="Q276" i="5"/>
  <c r="P276" i="5"/>
  <c r="O276" i="5"/>
  <c r="N276" i="5"/>
  <c r="M276" i="5"/>
  <c r="L276" i="5"/>
  <c r="K276" i="5"/>
  <c r="J276" i="5"/>
  <c r="I276" i="5"/>
  <c r="H276" i="5"/>
  <c r="G276" i="5"/>
  <c r="F276" i="5"/>
  <c r="AE275" i="5"/>
  <c r="AC275" i="5"/>
  <c r="AB275" i="5"/>
  <c r="AA275" i="5"/>
  <c r="Z275" i="5"/>
  <c r="Y275" i="5"/>
  <c r="X275" i="5"/>
  <c r="W275" i="5"/>
  <c r="V275" i="5"/>
  <c r="U275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H275" i="5"/>
  <c r="G275" i="5"/>
  <c r="F275" i="5"/>
  <c r="AE274" i="5"/>
  <c r="AC274" i="5"/>
  <c r="AB274" i="5"/>
  <c r="AA274" i="5"/>
  <c r="Z274" i="5"/>
  <c r="Y274" i="5"/>
  <c r="X274" i="5"/>
  <c r="W274" i="5"/>
  <c r="V274" i="5"/>
  <c r="U274" i="5"/>
  <c r="T274" i="5"/>
  <c r="S274" i="5"/>
  <c r="R274" i="5"/>
  <c r="Q274" i="5"/>
  <c r="P274" i="5"/>
  <c r="O274" i="5"/>
  <c r="N274" i="5"/>
  <c r="M274" i="5"/>
  <c r="L274" i="5"/>
  <c r="K274" i="5"/>
  <c r="J274" i="5"/>
  <c r="I274" i="5"/>
  <c r="H274" i="5"/>
  <c r="G274" i="5"/>
  <c r="F274" i="5"/>
  <c r="AE273" i="5"/>
  <c r="AC273" i="5"/>
  <c r="AB273" i="5"/>
  <c r="AA273" i="5"/>
  <c r="Z273" i="5"/>
  <c r="Y273" i="5"/>
  <c r="X273" i="5"/>
  <c r="W273" i="5"/>
  <c r="V273" i="5"/>
  <c r="U273" i="5"/>
  <c r="T273" i="5"/>
  <c r="S273" i="5"/>
  <c r="R273" i="5"/>
  <c r="Q273" i="5"/>
  <c r="P273" i="5"/>
  <c r="O273" i="5"/>
  <c r="N273" i="5"/>
  <c r="M273" i="5"/>
  <c r="L273" i="5"/>
  <c r="K273" i="5"/>
  <c r="J273" i="5"/>
  <c r="I273" i="5"/>
  <c r="H273" i="5"/>
  <c r="G273" i="5"/>
  <c r="F273" i="5"/>
  <c r="AE272" i="5"/>
  <c r="AC272" i="5"/>
  <c r="AB272" i="5"/>
  <c r="AA272" i="5"/>
  <c r="Z272" i="5"/>
  <c r="Y272" i="5"/>
  <c r="X272" i="5"/>
  <c r="W272" i="5"/>
  <c r="V272" i="5"/>
  <c r="U272" i="5"/>
  <c r="T272" i="5"/>
  <c r="S272" i="5"/>
  <c r="R272" i="5"/>
  <c r="Q272" i="5"/>
  <c r="P272" i="5"/>
  <c r="O272" i="5"/>
  <c r="N272" i="5"/>
  <c r="M272" i="5"/>
  <c r="L272" i="5"/>
  <c r="K272" i="5"/>
  <c r="J272" i="5"/>
  <c r="I272" i="5"/>
  <c r="H272" i="5"/>
  <c r="G272" i="5"/>
  <c r="F272" i="5"/>
  <c r="AE271" i="5"/>
  <c r="AC271" i="5"/>
  <c r="AB271" i="5"/>
  <c r="AA271" i="5"/>
  <c r="Z271" i="5"/>
  <c r="Y271" i="5"/>
  <c r="X271" i="5"/>
  <c r="W271" i="5"/>
  <c r="V271" i="5"/>
  <c r="U271" i="5"/>
  <c r="T271" i="5"/>
  <c r="S271" i="5"/>
  <c r="R271" i="5"/>
  <c r="Q271" i="5"/>
  <c r="P271" i="5"/>
  <c r="O271" i="5"/>
  <c r="N271" i="5"/>
  <c r="M271" i="5"/>
  <c r="L271" i="5"/>
  <c r="K271" i="5"/>
  <c r="J271" i="5"/>
  <c r="I271" i="5"/>
  <c r="H271" i="5"/>
  <c r="G271" i="5"/>
  <c r="F271" i="5"/>
  <c r="AE270" i="5"/>
  <c r="AC270" i="5"/>
  <c r="AB270" i="5"/>
  <c r="AA270" i="5"/>
  <c r="Z270" i="5"/>
  <c r="Y270" i="5"/>
  <c r="X270" i="5"/>
  <c r="W270" i="5"/>
  <c r="V270" i="5"/>
  <c r="U270" i="5"/>
  <c r="T270" i="5"/>
  <c r="S270" i="5"/>
  <c r="R270" i="5"/>
  <c r="Q270" i="5"/>
  <c r="P270" i="5"/>
  <c r="O270" i="5"/>
  <c r="N270" i="5"/>
  <c r="M270" i="5"/>
  <c r="L270" i="5"/>
  <c r="K270" i="5"/>
  <c r="J270" i="5"/>
  <c r="I270" i="5"/>
  <c r="H270" i="5"/>
  <c r="G270" i="5"/>
  <c r="F270" i="5"/>
  <c r="AE269" i="5"/>
  <c r="AC269" i="5"/>
  <c r="AB269" i="5"/>
  <c r="AA269" i="5"/>
  <c r="Z269" i="5"/>
  <c r="Y269" i="5"/>
  <c r="X269" i="5"/>
  <c r="W269" i="5"/>
  <c r="V269" i="5"/>
  <c r="U269" i="5"/>
  <c r="T269" i="5"/>
  <c r="S269" i="5"/>
  <c r="R269" i="5"/>
  <c r="Q269" i="5"/>
  <c r="P269" i="5"/>
  <c r="O269" i="5"/>
  <c r="N269" i="5"/>
  <c r="M269" i="5"/>
  <c r="L269" i="5"/>
  <c r="K269" i="5"/>
  <c r="J269" i="5"/>
  <c r="I269" i="5"/>
  <c r="H269" i="5"/>
  <c r="G269" i="5"/>
  <c r="F269" i="5"/>
  <c r="AE268" i="5"/>
  <c r="AC268" i="5"/>
  <c r="AB268" i="5"/>
  <c r="AA268" i="5"/>
  <c r="Z268" i="5"/>
  <c r="Y268" i="5"/>
  <c r="X268" i="5"/>
  <c r="W268" i="5"/>
  <c r="V268" i="5"/>
  <c r="U268" i="5"/>
  <c r="T268" i="5"/>
  <c r="S268" i="5"/>
  <c r="R268" i="5"/>
  <c r="Q268" i="5"/>
  <c r="P268" i="5"/>
  <c r="O268" i="5"/>
  <c r="N268" i="5"/>
  <c r="M268" i="5"/>
  <c r="L268" i="5"/>
  <c r="K268" i="5"/>
  <c r="J268" i="5"/>
  <c r="I268" i="5"/>
  <c r="H268" i="5"/>
  <c r="G268" i="5"/>
  <c r="F268" i="5"/>
  <c r="AE267" i="5"/>
  <c r="AC267" i="5"/>
  <c r="AB267" i="5"/>
  <c r="AA267" i="5"/>
  <c r="Z267" i="5"/>
  <c r="Y267" i="5"/>
  <c r="X267" i="5"/>
  <c r="W267" i="5"/>
  <c r="V267" i="5"/>
  <c r="U267" i="5"/>
  <c r="T267" i="5"/>
  <c r="S267" i="5"/>
  <c r="R267" i="5"/>
  <c r="Q267" i="5"/>
  <c r="P267" i="5"/>
  <c r="O267" i="5"/>
  <c r="N267" i="5"/>
  <c r="M267" i="5"/>
  <c r="L267" i="5"/>
  <c r="K267" i="5"/>
  <c r="J267" i="5"/>
  <c r="I267" i="5"/>
  <c r="H267" i="5"/>
  <c r="G267" i="5"/>
  <c r="F267" i="5"/>
  <c r="AE266" i="5"/>
  <c r="AC266" i="5"/>
  <c r="AB266" i="5"/>
  <c r="AA266" i="5"/>
  <c r="Z266" i="5"/>
  <c r="Y266" i="5"/>
  <c r="X266" i="5"/>
  <c r="W266" i="5"/>
  <c r="V266" i="5"/>
  <c r="U266" i="5"/>
  <c r="T266" i="5"/>
  <c r="S266" i="5"/>
  <c r="R266" i="5"/>
  <c r="Q266" i="5"/>
  <c r="P266" i="5"/>
  <c r="O266" i="5"/>
  <c r="N266" i="5"/>
  <c r="M266" i="5"/>
  <c r="L266" i="5"/>
  <c r="K266" i="5"/>
  <c r="J266" i="5"/>
  <c r="I266" i="5"/>
  <c r="H266" i="5"/>
  <c r="G266" i="5"/>
  <c r="F266" i="5"/>
  <c r="AE265" i="5"/>
  <c r="AC265" i="5"/>
  <c r="AB265" i="5"/>
  <c r="AA265" i="5"/>
  <c r="Z265" i="5"/>
  <c r="Y265" i="5"/>
  <c r="X265" i="5"/>
  <c r="W265" i="5"/>
  <c r="V265" i="5"/>
  <c r="U265" i="5"/>
  <c r="T265" i="5"/>
  <c r="S265" i="5"/>
  <c r="R265" i="5"/>
  <c r="Q265" i="5"/>
  <c r="P265" i="5"/>
  <c r="O265" i="5"/>
  <c r="N265" i="5"/>
  <c r="M265" i="5"/>
  <c r="L265" i="5"/>
  <c r="K265" i="5"/>
  <c r="J265" i="5"/>
  <c r="I265" i="5"/>
  <c r="H265" i="5"/>
  <c r="G265" i="5"/>
  <c r="F265" i="5"/>
  <c r="AE264" i="5"/>
  <c r="AC264" i="5"/>
  <c r="AB264" i="5"/>
  <c r="AA264" i="5"/>
  <c r="Z264" i="5"/>
  <c r="Y264" i="5"/>
  <c r="X264" i="5"/>
  <c r="W264" i="5"/>
  <c r="V264" i="5"/>
  <c r="U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H264" i="5"/>
  <c r="G264" i="5"/>
  <c r="F264" i="5"/>
  <c r="AE263" i="5"/>
  <c r="AC263" i="5"/>
  <c r="AB263" i="5"/>
  <c r="AA263" i="5"/>
  <c r="Z263" i="5"/>
  <c r="Y263" i="5"/>
  <c r="X263" i="5"/>
  <c r="W263" i="5"/>
  <c r="V263" i="5"/>
  <c r="U263" i="5"/>
  <c r="T263" i="5"/>
  <c r="S263" i="5"/>
  <c r="R263" i="5"/>
  <c r="Q263" i="5"/>
  <c r="P263" i="5"/>
  <c r="O263" i="5"/>
  <c r="N263" i="5"/>
  <c r="M263" i="5"/>
  <c r="L263" i="5"/>
  <c r="K263" i="5"/>
  <c r="J263" i="5"/>
  <c r="I263" i="5"/>
  <c r="H263" i="5"/>
  <c r="G263" i="5"/>
  <c r="F263" i="5"/>
  <c r="AE262" i="5"/>
  <c r="AC262" i="5"/>
  <c r="AB262" i="5"/>
  <c r="AA262" i="5"/>
  <c r="Z262" i="5"/>
  <c r="Y262" i="5"/>
  <c r="X262" i="5"/>
  <c r="W262" i="5"/>
  <c r="V262" i="5"/>
  <c r="U262" i="5"/>
  <c r="T262" i="5"/>
  <c r="S262" i="5"/>
  <c r="R262" i="5"/>
  <c r="Q262" i="5"/>
  <c r="P262" i="5"/>
  <c r="O262" i="5"/>
  <c r="N262" i="5"/>
  <c r="M262" i="5"/>
  <c r="L262" i="5"/>
  <c r="K262" i="5"/>
  <c r="J262" i="5"/>
  <c r="I262" i="5"/>
  <c r="H262" i="5"/>
  <c r="G262" i="5"/>
  <c r="F262" i="5"/>
  <c r="AE261" i="5"/>
  <c r="AC261" i="5"/>
  <c r="AB261" i="5"/>
  <c r="AA261" i="5"/>
  <c r="Z261" i="5"/>
  <c r="Y261" i="5"/>
  <c r="X261" i="5"/>
  <c r="W261" i="5"/>
  <c r="V261" i="5"/>
  <c r="U261" i="5"/>
  <c r="T261" i="5"/>
  <c r="S261" i="5"/>
  <c r="R261" i="5"/>
  <c r="Q261" i="5"/>
  <c r="P261" i="5"/>
  <c r="O261" i="5"/>
  <c r="N261" i="5"/>
  <c r="M261" i="5"/>
  <c r="L261" i="5"/>
  <c r="K261" i="5"/>
  <c r="J261" i="5"/>
  <c r="I261" i="5"/>
  <c r="H261" i="5"/>
  <c r="G261" i="5"/>
  <c r="F261" i="5"/>
  <c r="AE260" i="5"/>
  <c r="AC260" i="5"/>
  <c r="AB260" i="5"/>
  <c r="AA260" i="5"/>
  <c r="Z260" i="5"/>
  <c r="Y260" i="5"/>
  <c r="X260" i="5"/>
  <c r="W260" i="5"/>
  <c r="V260" i="5"/>
  <c r="U260" i="5"/>
  <c r="T260" i="5"/>
  <c r="S260" i="5"/>
  <c r="R260" i="5"/>
  <c r="Q260" i="5"/>
  <c r="P260" i="5"/>
  <c r="O260" i="5"/>
  <c r="N260" i="5"/>
  <c r="M260" i="5"/>
  <c r="L260" i="5"/>
  <c r="K260" i="5"/>
  <c r="J260" i="5"/>
  <c r="I260" i="5"/>
  <c r="H260" i="5"/>
  <c r="G260" i="5"/>
  <c r="F260" i="5"/>
  <c r="AE259" i="5"/>
  <c r="AC259" i="5"/>
  <c r="AB259" i="5"/>
  <c r="AA259" i="5"/>
  <c r="Z259" i="5"/>
  <c r="Y259" i="5"/>
  <c r="X259" i="5"/>
  <c r="W259" i="5"/>
  <c r="V259" i="5"/>
  <c r="U259" i="5"/>
  <c r="T259" i="5"/>
  <c r="S259" i="5"/>
  <c r="R259" i="5"/>
  <c r="Q259" i="5"/>
  <c r="P259" i="5"/>
  <c r="O259" i="5"/>
  <c r="N259" i="5"/>
  <c r="M259" i="5"/>
  <c r="L259" i="5"/>
  <c r="K259" i="5"/>
  <c r="J259" i="5"/>
  <c r="I259" i="5"/>
  <c r="H259" i="5"/>
  <c r="G259" i="5"/>
  <c r="F259" i="5"/>
  <c r="AE258" i="5"/>
  <c r="AC258" i="5"/>
  <c r="AB258" i="5"/>
  <c r="AA258" i="5"/>
  <c r="Z258" i="5"/>
  <c r="Y258" i="5"/>
  <c r="X258" i="5"/>
  <c r="W258" i="5"/>
  <c r="V258" i="5"/>
  <c r="U258" i="5"/>
  <c r="T258" i="5"/>
  <c r="S258" i="5"/>
  <c r="R258" i="5"/>
  <c r="Q258" i="5"/>
  <c r="P258" i="5"/>
  <c r="O258" i="5"/>
  <c r="N258" i="5"/>
  <c r="M258" i="5"/>
  <c r="L258" i="5"/>
  <c r="K258" i="5"/>
  <c r="J258" i="5"/>
  <c r="I258" i="5"/>
  <c r="H258" i="5"/>
  <c r="G258" i="5"/>
  <c r="F258" i="5"/>
  <c r="AE257" i="5"/>
  <c r="AC257" i="5"/>
  <c r="AB257" i="5"/>
  <c r="AA257" i="5"/>
  <c r="Z257" i="5"/>
  <c r="Y257" i="5"/>
  <c r="X257" i="5"/>
  <c r="W257" i="5"/>
  <c r="V257" i="5"/>
  <c r="U257" i="5"/>
  <c r="T257" i="5"/>
  <c r="S257" i="5"/>
  <c r="R257" i="5"/>
  <c r="Q257" i="5"/>
  <c r="P257" i="5"/>
  <c r="O257" i="5"/>
  <c r="N257" i="5"/>
  <c r="M257" i="5"/>
  <c r="L257" i="5"/>
  <c r="K257" i="5"/>
  <c r="J257" i="5"/>
  <c r="I257" i="5"/>
  <c r="H257" i="5"/>
  <c r="G257" i="5"/>
  <c r="F257" i="5"/>
  <c r="AE256" i="5"/>
  <c r="AC256" i="5"/>
  <c r="AB256" i="5"/>
  <c r="AA256" i="5"/>
  <c r="Z256" i="5"/>
  <c r="Y256" i="5"/>
  <c r="X256" i="5"/>
  <c r="W256" i="5"/>
  <c r="V256" i="5"/>
  <c r="U256" i="5"/>
  <c r="T256" i="5"/>
  <c r="S256" i="5"/>
  <c r="R256" i="5"/>
  <c r="Q256" i="5"/>
  <c r="P256" i="5"/>
  <c r="O256" i="5"/>
  <c r="N256" i="5"/>
  <c r="M256" i="5"/>
  <c r="L256" i="5"/>
  <c r="K256" i="5"/>
  <c r="J256" i="5"/>
  <c r="I256" i="5"/>
  <c r="H256" i="5"/>
  <c r="G256" i="5"/>
  <c r="F256" i="5"/>
  <c r="AE255" i="5"/>
  <c r="AC255" i="5"/>
  <c r="AB255" i="5"/>
  <c r="AA255" i="5"/>
  <c r="Z255" i="5"/>
  <c r="Y255" i="5"/>
  <c r="X255" i="5"/>
  <c r="W255" i="5"/>
  <c r="V255" i="5"/>
  <c r="U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H255" i="5"/>
  <c r="G255" i="5"/>
  <c r="F255" i="5"/>
  <c r="AE254" i="5"/>
  <c r="AC254" i="5"/>
  <c r="AB254" i="5"/>
  <c r="AA254" i="5"/>
  <c r="Z254" i="5"/>
  <c r="Y254" i="5"/>
  <c r="X254" i="5"/>
  <c r="W254" i="5"/>
  <c r="V254" i="5"/>
  <c r="U254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H254" i="5"/>
  <c r="G254" i="5"/>
  <c r="F254" i="5"/>
  <c r="AE253" i="5"/>
  <c r="AC253" i="5"/>
  <c r="AB253" i="5"/>
  <c r="AA253" i="5"/>
  <c r="Z253" i="5"/>
  <c r="Y253" i="5"/>
  <c r="X253" i="5"/>
  <c r="W253" i="5"/>
  <c r="V253" i="5"/>
  <c r="U253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H253" i="5"/>
  <c r="G253" i="5"/>
  <c r="F253" i="5"/>
  <c r="AE252" i="5"/>
  <c r="AC252" i="5"/>
  <c r="AB252" i="5"/>
  <c r="AA252" i="5"/>
  <c r="Z252" i="5"/>
  <c r="Y252" i="5"/>
  <c r="X252" i="5"/>
  <c r="W252" i="5"/>
  <c r="V252" i="5"/>
  <c r="U252" i="5"/>
  <c r="T252" i="5"/>
  <c r="S252" i="5"/>
  <c r="R252" i="5"/>
  <c r="Q252" i="5"/>
  <c r="P252" i="5"/>
  <c r="O252" i="5"/>
  <c r="N252" i="5"/>
  <c r="M252" i="5"/>
  <c r="L252" i="5"/>
  <c r="K252" i="5"/>
  <c r="J252" i="5"/>
  <c r="I252" i="5"/>
  <c r="H252" i="5"/>
  <c r="G252" i="5"/>
  <c r="F252" i="5"/>
  <c r="AE251" i="5"/>
  <c r="AC251" i="5"/>
  <c r="AB251" i="5"/>
  <c r="AA251" i="5"/>
  <c r="Z251" i="5"/>
  <c r="Y251" i="5"/>
  <c r="X251" i="5"/>
  <c r="W251" i="5"/>
  <c r="V251" i="5"/>
  <c r="U251" i="5"/>
  <c r="T251" i="5"/>
  <c r="S251" i="5"/>
  <c r="R251" i="5"/>
  <c r="Q251" i="5"/>
  <c r="P251" i="5"/>
  <c r="O251" i="5"/>
  <c r="N251" i="5"/>
  <c r="M251" i="5"/>
  <c r="L251" i="5"/>
  <c r="K251" i="5"/>
  <c r="J251" i="5"/>
  <c r="I251" i="5"/>
  <c r="H251" i="5"/>
  <c r="G251" i="5"/>
  <c r="F251" i="5"/>
  <c r="AE250" i="5"/>
  <c r="AC250" i="5"/>
  <c r="AB250" i="5"/>
  <c r="AA250" i="5"/>
  <c r="Z250" i="5"/>
  <c r="Y250" i="5"/>
  <c r="X250" i="5"/>
  <c r="W250" i="5"/>
  <c r="V250" i="5"/>
  <c r="U250" i="5"/>
  <c r="T250" i="5"/>
  <c r="S250" i="5"/>
  <c r="R250" i="5"/>
  <c r="Q250" i="5"/>
  <c r="P250" i="5"/>
  <c r="O250" i="5"/>
  <c r="N250" i="5"/>
  <c r="M250" i="5"/>
  <c r="L250" i="5"/>
  <c r="K250" i="5"/>
  <c r="J250" i="5"/>
  <c r="I250" i="5"/>
  <c r="H250" i="5"/>
  <c r="G250" i="5"/>
  <c r="F250" i="5"/>
  <c r="AE249" i="5"/>
  <c r="AC249" i="5"/>
  <c r="AB249" i="5"/>
  <c r="AA249" i="5"/>
  <c r="Z249" i="5"/>
  <c r="Y249" i="5"/>
  <c r="X249" i="5"/>
  <c r="W249" i="5"/>
  <c r="V249" i="5"/>
  <c r="U249" i="5"/>
  <c r="T249" i="5"/>
  <c r="S249" i="5"/>
  <c r="R249" i="5"/>
  <c r="Q249" i="5"/>
  <c r="P249" i="5"/>
  <c r="O249" i="5"/>
  <c r="N249" i="5"/>
  <c r="M249" i="5"/>
  <c r="L249" i="5"/>
  <c r="K249" i="5"/>
  <c r="J249" i="5"/>
  <c r="I249" i="5"/>
  <c r="H249" i="5"/>
  <c r="G249" i="5"/>
  <c r="F249" i="5"/>
  <c r="AE248" i="5"/>
  <c r="AC248" i="5"/>
  <c r="AB248" i="5"/>
  <c r="AA248" i="5"/>
  <c r="Z248" i="5"/>
  <c r="Y248" i="5"/>
  <c r="X248" i="5"/>
  <c r="W248" i="5"/>
  <c r="V248" i="5"/>
  <c r="U248" i="5"/>
  <c r="T248" i="5"/>
  <c r="S248" i="5"/>
  <c r="R248" i="5"/>
  <c r="Q248" i="5"/>
  <c r="P248" i="5"/>
  <c r="O248" i="5"/>
  <c r="N248" i="5"/>
  <c r="M248" i="5"/>
  <c r="L248" i="5"/>
  <c r="K248" i="5"/>
  <c r="J248" i="5"/>
  <c r="I248" i="5"/>
  <c r="H248" i="5"/>
  <c r="G248" i="5"/>
  <c r="F248" i="5"/>
  <c r="AE247" i="5"/>
  <c r="AC247" i="5"/>
  <c r="AB247" i="5"/>
  <c r="AA247" i="5"/>
  <c r="Z247" i="5"/>
  <c r="Y247" i="5"/>
  <c r="X247" i="5"/>
  <c r="W247" i="5"/>
  <c r="V247" i="5"/>
  <c r="U247" i="5"/>
  <c r="T247" i="5"/>
  <c r="S247" i="5"/>
  <c r="R247" i="5"/>
  <c r="Q247" i="5"/>
  <c r="P247" i="5"/>
  <c r="O247" i="5"/>
  <c r="N247" i="5"/>
  <c r="M247" i="5"/>
  <c r="L247" i="5"/>
  <c r="K247" i="5"/>
  <c r="J247" i="5"/>
  <c r="I247" i="5"/>
  <c r="H247" i="5"/>
  <c r="G247" i="5"/>
  <c r="F247" i="5"/>
  <c r="AE246" i="5"/>
  <c r="AC246" i="5"/>
  <c r="AB246" i="5"/>
  <c r="AA246" i="5"/>
  <c r="Z246" i="5"/>
  <c r="Y246" i="5"/>
  <c r="X246" i="5"/>
  <c r="W246" i="5"/>
  <c r="V246" i="5"/>
  <c r="U246" i="5"/>
  <c r="T246" i="5"/>
  <c r="S246" i="5"/>
  <c r="R246" i="5"/>
  <c r="Q246" i="5"/>
  <c r="P246" i="5"/>
  <c r="O246" i="5"/>
  <c r="N246" i="5"/>
  <c r="M246" i="5"/>
  <c r="L246" i="5"/>
  <c r="K246" i="5"/>
  <c r="J246" i="5"/>
  <c r="I246" i="5"/>
  <c r="H246" i="5"/>
  <c r="G246" i="5"/>
  <c r="F246" i="5"/>
  <c r="AE245" i="5"/>
  <c r="AC245" i="5"/>
  <c r="AB245" i="5"/>
  <c r="AA245" i="5"/>
  <c r="Z245" i="5"/>
  <c r="Y245" i="5"/>
  <c r="X245" i="5"/>
  <c r="W245" i="5"/>
  <c r="V245" i="5"/>
  <c r="U245" i="5"/>
  <c r="T245" i="5"/>
  <c r="S245" i="5"/>
  <c r="R245" i="5"/>
  <c r="Q245" i="5"/>
  <c r="P245" i="5"/>
  <c r="O245" i="5"/>
  <c r="N245" i="5"/>
  <c r="M245" i="5"/>
  <c r="L245" i="5"/>
  <c r="K245" i="5"/>
  <c r="J245" i="5"/>
  <c r="I245" i="5"/>
  <c r="H245" i="5"/>
  <c r="G245" i="5"/>
  <c r="F245" i="5"/>
  <c r="AE244" i="5"/>
  <c r="AC244" i="5"/>
  <c r="AB244" i="5"/>
  <c r="AA244" i="5"/>
  <c r="Z244" i="5"/>
  <c r="Y244" i="5"/>
  <c r="X244" i="5"/>
  <c r="W244" i="5"/>
  <c r="V244" i="5"/>
  <c r="U244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H244" i="5"/>
  <c r="G244" i="5"/>
  <c r="F244" i="5"/>
  <c r="AE243" i="5"/>
  <c r="AC243" i="5"/>
  <c r="AB243" i="5"/>
  <c r="AA243" i="5"/>
  <c r="Z243" i="5"/>
  <c r="Y243" i="5"/>
  <c r="X243" i="5"/>
  <c r="W243" i="5"/>
  <c r="V243" i="5"/>
  <c r="U243" i="5"/>
  <c r="T243" i="5"/>
  <c r="S243" i="5"/>
  <c r="R243" i="5"/>
  <c r="Q243" i="5"/>
  <c r="P243" i="5"/>
  <c r="O243" i="5"/>
  <c r="N243" i="5"/>
  <c r="M243" i="5"/>
  <c r="L243" i="5"/>
  <c r="K243" i="5"/>
  <c r="J243" i="5"/>
  <c r="I243" i="5"/>
  <c r="H243" i="5"/>
  <c r="G243" i="5"/>
  <c r="F243" i="5"/>
  <c r="AE242" i="5"/>
  <c r="AC242" i="5"/>
  <c r="AB242" i="5"/>
  <c r="AA242" i="5"/>
  <c r="Z242" i="5"/>
  <c r="Y242" i="5"/>
  <c r="X242" i="5"/>
  <c r="W242" i="5"/>
  <c r="V242" i="5"/>
  <c r="U242" i="5"/>
  <c r="T242" i="5"/>
  <c r="S242" i="5"/>
  <c r="R242" i="5"/>
  <c r="Q242" i="5"/>
  <c r="P242" i="5"/>
  <c r="O242" i="5"/>
  <c r="N242" i="5"/>
  <c r="M242" i="5"/>
  <c r="L242" i="5"/>
  <c r="K242" i="5"/>
  <c r="J242" i="5"/>
  <c r="I242" i="5"/>
  <c r="H242" i="5"/>
  <c r="G242" i="5"/>
  <c r="F242" i="5"/>
  <c r="AE241" i="5"/>
  <c r="AC241" i="5"/>
  <c r="AB241" i="5"/>
  <c r="AA241" i="5"/>
  <c r="Z241" i="5"/>
  <c r="Y241" i="5"/>
  <c r="X241" i="5"/>
  <c r="W241" i="5"/>
  <c r="V241" i="5"/>
  <c r="U241" i="5"/>
  <c r="T241" i="5"/>
  <c r="S241" i="5"/>
  <c r="R241" i="5"/>
  <c r="Q241" i="5"/>
  <c r="P241" i="5"/>
  <c r="O241" i="5"/>
  <c r="N241" i="5"/>
  <c r="M241" i="5"/>
  <c r="L241" i="5"/>
  <c r="K241" i="5"/>
  <c r="J241" i="5"/>
  <c r="I241" i="5"/>
  <c r="H241" i="5"/>
  <c r="G241" i="5"/>
  <c r="F241" i="5"/>
  <c r="AE240" i="5"/>
  <c r="AC240" i="5"/>
  <c r="AB240" i="5"/>
  <c r="AA240" i="5"/>
  <c r="Z240" i="5"/>
  <c r="Y240" i="5"/>
  <c r="X240" i="5"/>
  <c r="W240" i="5"/>
  <c r="V240" i="5"/>
  <c r="U240" i="5"/>
  <c r="T240" i="5"/>
  <c r="S240" i="5"/>
  <c r="R240" i="5"/>
  <c r="Q240" i="5"/>
  <c r="P240" i="5"/>
  <c r="O240" i="5"/>
  <c r="N240" i="5"/>
  <c r="M240" i="5"/>
  <c r="L240" i="5"/>
  <c r="K240" i="5"/>
  <c r="J240" i="5"/>
  <c r="I240" i="5"/>
  <c r="H240" i="5"/>
  <c r="G240" i="5"/>
  <c r="F240" i="5"/>
  <c r="AE239" i="5"/>
  <c r="AC239" i="5"/>
  <c r="AB239" i="5"/>
  <c r="AA239" i="5"/>
  <c r="Z239" i="5"/>
  <c r="Y239" i="5"/>
  <c r="X239" i="5"/>
  <c r="W239" i="5"/>
  <c r="V239" i="5"/>
  <c r="U239" i="5"/>
  <c r="T239" i="5"/>
  <c r="S239" i="5"/>
  <c r="R239" i="5"/>
  <c r="Q239" i="5"/>
  <c r="P239" i="5"/>
  <c r="O239" i="5"/>
  <c r="N239" i="5"/>
  <c r="M239" i="5"/>
  <c r="L239" i="5"/>
  <c r="K239" i="5"/>
  <c r="J239" i="5"/>
  <c r="I239" i="5"/>
  <c r="H239" i="5"/>
  <c r="G239" i="5"/>
  <c r="F239" i="5"/>
  <c r="AE238" i="5"/>
  <c r="AC238" i="5"/>
  <c r="AB238" i="5"/>
  <c r="AA238" i="5"/>
  <c r="Z238" i="5"/>
  <c r="Y238" i="5"/>
  <c r="X238" i="5"/>
  <c r="W238" i="5"/>
  <c r="V238" i="5"/>
  <c r="U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H238" i="5"/>
  <c r="G238" i="5"/>
  <c r="F238" i="5"/>
  <c r="AE237" i="5"/>
  <c r="AC237" i="5"/>
  <c r="AB237" i="5"/>
  <c r="AA237" i="5"/>
  <c r="Z237" i="5"/>
  <c r="Y237" i="5"/>
  <c r="X237" i="5"/>
  <c r="W237" i="5"/>
  <c r="V237" i="5"/>
  <c r="U237" i="5"/>
  <c r="T237" i="5"/>
  <c r="S237" i="5"/>
  <c r="R237" i="5"/>
  <c r="Q237" i="5"/>
  <c r="P237" i="5"/>
  <c r="O237" i="5"/>
  <c r="N237" i="5"/>
  <c r="M237" i="5"/>
  <c r="L237" i="5"/>
  <c r="K237" i="5"/>
  <c r="J237" i="5"/>
  <c r="I237" i="5"/>
  <c r="H237" i="5"/>
  <c r="G237" i="5"/>
  <c r="F237" i="5"/>
  <c r="AE236" i="5"/>
  <c r="AC236" i="5"/>
  <c r="AB236" i="5"/>
  <c r="AA236" i="5"/>
  <c r="Z236" i="5"/>
  <c r="Y236" i="5"/>
  <c r="X236" i="5"/>
  <c r="W236" i="5"/>
  <c r="V236" i="5"/>
  <c r="U236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H236" i="5"/>
  <c r="G236" i="5"/>
  <c r="F236" i="5"/>
  <c r="AE235" i="5"/>
  <c r="AC235" i="5"/>
  <c r="AB235" i="5"/>
  <c r="AA235" i="5"/>
  <c r="Z235" i="5"/>
  <c r="Y235" i="5"/>
  <c r="X235" i="5"/>
  <c r="W235" i="5"/>
  <c r="V235" i="5"/>
  <c r="U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H235" i="5"/>
  <c r="G235" i="5"/>
  <c r="F235" i="5"/>
  <c r="AE234" i="5"/>
  <c r="AC234" i="5"/>
  <c r="AB234" i="5"/>
  <c r="AA234" i="5"/>
  <c r="Z234" i="5"/>
  <c r="Y234" i="5"/>
  <c r="X234" i="5"/>
  <c r="W234" i="5"/>
  <c r="V234" i="5"/>
  <c r="U234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H234" i="5"/>
  <c r="G234" i="5"/>
  <c r="F234" i="5"/>
  <c r="AE233" i="5"/>
  <c r="AC233" i="5"/>
  <c r="AB233" i="5"/>
  <c r="AA233" i="5"/>
  <c r="Z233" i="5"/>
  <c r="Y233" i="5"/>
  <c r="X233" i="5"/>
  <c r="W233" i="5"/>
  <c r="V233" i="5"/>
  <c r="U233" i="5"/>
  <c r="T233" i="5"/>
  <c r="S233" i="5"/>
  <c r="R233" i="5"/>
  <c r="Q233" i="5"/>
  <c r="P233" i="5"/>
  <c r="O233" i="5"/>
  <c r="N233" i="5"/>
  <c r="M233" i="5"/>
  <c r="L233" i="5"/>
  <c r="K233" i="5"/>
  <c r="J233" i="5"/>
  <c r="I233" i="5"/>
  <c r="H233" i="5"/>
  <c r="G233" i="5"/>
  <c r="F233" i="5"/>
  <c r="AE232" i="5"/>
  <c r="AC232" i="5"/>
  <c r="AB232" i="5"/>
  <c r="AA232" i="5"/>
  <c r="Z232" i="5"/>
  <c r="Y232" i="5"/>
  <c r="X232" i="5"/>
  <c r="W232" i="5"/>
  <c r="V232" i="5"/>
  <c r="U232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H232" i="5"/>
  <c r="G232" i="5"/>
  <c r="F232" i="5"/>
  <c r="AE231" i="5"/>
  <c r="AC231" i="5"/>
  <c r="AB231" i="5"/>
  <c r="AA231" i="5"/>
  <c r="Z231" i="5"/>
  <c r="Y231" i="5"/>
  <c r="X231" i="5"/>
  <c r="W231" i="5"/>
  <c r="V231" i="5"/>
  <c r="U231" i="5"/>
  <c r="T231" i="5"/>
  <c r="S231" i="5"/>
  <c r="R231" i="5"/>
  <c r="Q231" i="5"/>
  <c r="P231" i="5"/>
  <c r="O231" i="5"/>
  <c r="N231" i="5"/>
  <c r="M231" i="5"/>
  <c r="L231" i="5"/>
  <c r="K231" i="5"/>
  <c r="J231" i="5"/>
  <c r="I231" i="5"/>
  <c r="H231" i="5"/>
  <c r="G231" i="5"/>
  <c r="F231" i="5"/>
  <c r="AE230" i="5"/>
  <c r="AC230" i="5"/>
  <c r="AB230" i="5"/>
  <c r="AA230" i="5"/>
  <c r="Z230" i="5"/>
  <c r="Y230" i="5"/>
  <c r="X230" i="5"/>
  <c r="W230" i="5"/>
  <c r="V230" i="5"/>
  <c r="U230" i="5"/>
  <c r="T230" i="5"/>
  <c r="S230" i="5"/>
  <c r="R230" i="5"/>
  <c r="Q230" i="5"/>
  <c r="P230" i="5"/>
  <c r="O230" i="5"/>
  <c r="N230" i="5"/>
  <c r="M230" i="5"/>
  <c r="L230" i="5"/>
  <c r="K230" i="5"/>
  <c r="J230" i="5"/>
  <c r="I230" i="5"/>
  <c r="H230" i="5"/>
  <c r="G230" i="5"/>
  <c r="F230" i="5"/>
  <c r="AE229" i="5"/>
  <c r="AC229" i="5"/>
  <c r="AB229" i="5"/>
  <c r="AA229" i="5"/>
  <c r="Z229" i="5"/>
  <c r="Y229" i="5"/>
  <c r="X229" i="5"/>
  <c r="W229" i="5"/>
  <c r="V229" i="5"/>
  <c r="U229" i="5"/>
  <c r="T229" i="5"/>
  <c r="S229" i="5"/>
  <c r="R229" i="5"/>
  <c r="Q229" i="5"/>
  <c r="P229" i="5"/>
  <c r="O229" i="5"/>
  <c r="N229" i="5"/>
  <c r="M229" i="5"/>
  <c r="L229" i="5"/>
  <c r="K229" i="5"/>
  <c r="J229" i="5"/>
  <c r="I229" i="5"/>
  <c r="H229" i="5"/>
  <c r="G229" i="5"/>
  <c r="F229" i="5"/>
  <c r="AE228" i="5"/>
  <c r="AC228" i="5"/>
  <c r="AB228" i="5"/>
  <c r="AA228" i="5"/>
  <c r="Z228" i="5"/>
  <c r="Y228" i="5"/>
  <c r="X228" i="5"/>
  <c r="W228" i="5"/>
  <c r="V228" i="5"/>
  <c r="U228" i="5"/>
  <c r="T228" i="5"/>
  <c r="S228" i="5"/>
  <c r="R228" i="5"/>
  <c r="Q228" i="5"/>
  <c r="P228" i="5"/>
  <c r="O228" i="5"/>
  <c r="N228" i="5"/>
  <c r="M228" i="5"/>
  <c r="L228" i="5"/>
  <c r="K228" i="5"/>
  <c r="J228" i="5"/>
  <c r="I228" i="5"/>
  <c r="H228" i="5"/>
  <c r="G228" i="5"/>
  <c r="F228" i="5"/>
  <c r="AE227" i="5"/>
  <c r="AC227" i="5"/>
  <c r="AB227" i="5"/>
  <c r="AA227" i="5"/>
  <c r="Z227" i="5"/>
  <c r="Y227" i="5"/>
  <c r="X227" i="5"/>
  <c r="W227" i="5"/>
  <c r="V227" i="5"/>
  <c r="U227" i="5"/>
  <c r="T227" i="5"/>
  <c r="S227" i="5"/>
  <c r="R227" i="5"/>
  <c r="Q227" i="5"/>
  <c r="P227" i="5"/>
  <c r="O227" i="5"/>
  <c r="N227" i="5"/>
  <c r="M227" i="5"/>
  <c r="L227" i="5"/>
  <c r="K227" i="5"/>
  <c r="J227" i="5"/>
  <c r="I227" i="5"/>
  <c r="H227" i="5"/>
  <c r="G227" i="5"/>
  <c r="F227" i="5"/>
  <c r="AE226" i="5"/>
  <c r="AC226" i="5"/>
  <c r="AB226" i="5"/>
  <c r="AA226" i="5"/>
  <c r="Z226" i="5"/>
  <c r="Y226" i="5"/>
  <c r="X226" i="5"/>
  <c r="W226" i="5"/>
  <c r="V226" i="5"/>
  <c r="U226" i="5"/>
  <c r="T226" i="5"/>
  <c r="S226" i="5"/>
  <c r="R226" i="5"/>
  <c r="Q226" i="5"/>
  <c r="P226" i="5"/>
  <c r="O226" i="5"/>
  <c r="N226" i="5"/>
  <c r="M226" i="5"/>
  <c r="L226" i="5"/>
  <c r="K226" i="5"/>
  <c r="J226" i="5"/>
  <c r="I226" i="5"/>
  <c r="H226" i="5"/>
  <c r="G226" i="5"/>
  <c r="F226" i="5"/>
  <c r="AE225" i="5"/>
  <c r="AC225" i="5"/>
  <c r="AB225" i="5"/>
  <c r="AA225" i="5"/>
  <c r="Z225" i="5"/>
  <c r="Y225" i="5"/>
  <c r="X225" i="5"/>
  <c r="W225" i="5"/>
  <c r="V225" i="5"/>
  <c r="U225" i="5"/>
  <c r="T225" i="5"/>
  <c r="S225" i="5"/>
  <c r="R225" i="5"/>
  <c r="Q225" i="5"/>
  <c r="P225" i="5"/>
  <c r="O225" i="5"/>
  <c r="N225" i="5"/>
  <c r="M225" i="5"/>
  <c r="L225" i="5"/>
  <c r="K225" i="5"/>
  <c r="J225" i="5"/>
  <c r="I225" i="5"/>
  <c r="H225" i="5"/>
  <c r="G225" i="5"/>
  <c r="F225" i="5"/>
  <c r="AE224" i="5"/>
  <c r="AC224" i="5"/>
  <c r="AB224" i="5"/>
  <c r="AA224" i="5"/>
  <c r="Z224" i="5"/>
  <c r="Y224" i="5"/>
  <c r="X224" i="5"/>
  <c r="W224" i="5"/>
  <c r="V224" i="5"/>
  <c r="U224" i="5"/>
  <c r="T224" i="5"/>
  <c r="S224" i="5"/>
  <c r="R224" i="5"/>
  <c r="Q224" i="5"/>
  <c r="P224" i="5"/>
  <c r="O224" i="5"/>
  <c r="N224" i="5"/>
  <c r="M224" i="5"/>
  <c r="L224" i="5"/>
  <c r="K224" i="5"/>
  <c r="J224" i="5"/>
  <c r="I224" i="5"/>
  <c r="H224" i="5"/>
  <c r="G224" i="5"/>
  <c r="F224" i="5"/>
  <c r="AE223" i="5"/>
  <c r="AC223" i="5"/>
  <c r="AB223" i="5"/>
  <c r="AA223" i="5"/>
  <c r="Z223" i="5"/>
  <c r="Y223" i="5"/>
  <c r="X223" i="5"/>
  <c r="W223" i="5"/>
  <c r="V223" i="5"/>
  <c r="U223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H223" i="5"/>
  <c r="G223" i="5"/>
  <c r="F223" i="5"/>
  <c r="AE222" i="5"/>
  <c r="AC222" i="5"/>
  <c r="AB222" i="5"/>
  <c r="AA222" i="5"/>
  <c r="Z222" i="5"/>
  <c r="Y222" i="5"/>
  <c r="X222" i="5"/>
  <c r="W222" i="5"/>
  <c r="V222" i="5"/>
  <c r="U222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H222" i="5"/>
  <c r="G222" i="5"/>
  <c r="F222" i="5"/>
  <c r="AE221" i="5"/>
  <c r="AC221" i="5"/>
  <c r="AB221" i="5"/>
  <c r="AA221" i="5"/>
  <c r="Z221" i="5"/>
  <c r="Y221" i="5"/>
  <c r="X221" i="5"/>
  <c r="W221" i="5"/>
  <c r="V221" i="5"/>
  <c r="U221" i="5"/>
  <c r="T221" i="5"/>
  <c r="S221" i="5"/>
  <c r="R221" i="5"/>
  <c r="Q221" i="5"/>
  <c r="P221" i="5"/>
  <c r="O221" i="5"/>
  <c r="N221" i="5"/>
  <c r="M221" i="5"/>
  <c r="L221" i="5"/>
  <c r="K221" i="5"/>
  <c r="J221" i="5"/>
  <c r="I221" i="5"/>
  <c r="H221" i="5"/>
  <c r="G221" i="5"/>
  <c r="F221" i="5"/>
  <c r="AE220" i="5"/>
  <c r="AC220" i="5"/>
  <c r="AB220" i="5"/>
  <c r="AA220" i="5"/>
  <c r="Z220" i="5"/>
  <c r="Y220" i="5"/>
  <c r="X220" i="5"/>
  <c r="W220" i="5"/>
  <c r="V220" i="5"/>
  <c r="U220" i="5"/>
  <c r="T220" i="5"/>
  <c r="S220" i="5"/>
  <c r="R220" i="5"/>
  <c r="Q220" i="5"/>
  <c r="P220" i="5"/>
  <c r="O220" i="5"/>
  <c r="N220" i="5"/>
  <c r="M220" i="5"/>
  <c r="L220" i="5"/>
  <c r="K220" i="5"/>
  <c r="J220" i="5"/>
  <c r="I220" i="5"/>
  <c r="H220" i="5"/>
  <c r="G220" i="5"/>
  <c r="F220" i="5"/>
  <c r="AE219" i="5"/>
  <c r="AC219" i="5"/>
  <c r="AB219" i="5"/>
  <c r="AA219" i="5"/>
  <c r="Z219" i="5"/>
  <c r="Y219" i="5"/>
  <c r="X219" i="5"/>
  <c r="W219" i="5"/>
  <c r="V219" i="5"/>
  <c r="U219" i="5"/>
  <c r="T219" i="5"/>
  <c r="S219" i="5"/>
  <c r="R219" i="5"/>
  <c r="Q219" i="5"/>
  <c r="P219" i="5"/>
  <c r="O219" i="5"/>
  <c r="N219" i="5"/>
  <c r="M219" i="5"/>
  <c r="L219" i="5"/>
  <c r="K219" i="5"/>
  <c r="J219" i="5"/>
  <c r="I219" i="5"/>
  <c r="H219" i="5"/>
  <c r="G219" i="5"/>
  <c r="F219" i="5"/>
  <c r="AE218" i="5"/>
  <c r="AC218" i="5"/>
  <c r="AB218" i="5"/>
  <c r="AA218" i="5"/>
  <c r="Z218" i="5"/>
  <c r="Y218" i="5"/>
  <c r="X218" i="5"/>
  <c r="W218" i="5"/>
  <c r="V218" i="5"/>
  <c r="U218" i="5"/>
  <c r="T218" i="5"/>
  <c r="S218" i="5"/>
  <c r="R218" i="5"/>
  <c r="Q218" i="5"/>
  <c r="P218" i="5"/>
  <c r="O218" i="5"/>
  <c r="N218" i="5"/>
  <c r="M218" i="5"/>
  <c r="L218" i="5"/>
  <c r="K218" i="5"/>
  <c r="J218" i="5"/>
  <c r="I218" i="5"/>
  <c r="H218" i="5"/>
  <c r="G218" i="5"/>
  <c r="F218" i="5"/>
  <c r="AE217" i="5"/>
  <c r="AC217" i="5"/>
  <c r="AB217" i="5"/>
  <c r="AA217" i="5"/>
  <c r="Z217" i="5"/>
  <c r="Y217" i="5"/>
  <c r="X217" i="5"/>
  <c r="W217" i="5"/>
  <c r="V217" i="5"/>
  <c r="U217" i="5"/>
  <c r="T217" i="5"/>
  <c r="S217" i="5"/>
  <c r="R217" i="5"/>
  <c r="Q217" i="5"/>
  <c r="P217" i="5"/>
  <c r="O217" i="5"/>
  <c r="N217" i="5"/>
  <c r="M217" i="5"/>
  <c r="L217" i="5"/>
  <c r="K217" i="5"/>
  <c r="J217" i="5"/>
  <c r="I217" i="5"/>
  <c r="H217" i="5"/>
  <c r="G217" i="5"/>
  <c r="F217" i="5"/>
  <c r="AE216" i="5"/>
  <c r="AC216" i="5"/>
  <c r="AB216" i="5"/>
  <c r="AA216" i="5"/>
  <c r="Z216" i="5"/>
  <c r="Y216" i="5"/>
  <c r="X216" i="5"/>
  <c r="W216" i="5"/>
  <c r="V216" i="5"/>
  <c r="U216" i="5"/>
  <c r="T216" i="5"/>
  <c r="S216" i="5"/>
  <c r="R216" i="5"/>
  <c r="Q216" i="5"/>
  <c r="P216" i="5"/>
  <c r="O216" i="5"/>
  <c r="N216" i="5"/>
  <c r="M216" i="5"/>
  <c r="L216" i="5"/>
  <c r="K216" i="5"/>
  <c r="J216" i="5"/>
  <c r="I216" i="5"/>
  <c r="H216" i="5"/>
  <c r="G216" i="5"/>
  <c r="F216" i="5"/>
  <c r="AE215" i="5"/>
  <c r="AC215" i="5"/>
  <c r="AB215" i="5"/>
  <c r="AA215" i="5"/>
  <c r="Z215" i="5"/>
  <c r="Y215" i="5"/>
  <c r="X215" i="5"/>
  <c r="W215" i="5"/>
  <c r="V215" i="5"/>
  <c r="U215" i="5"/>
  <c r="T215" i="5"/>
  <c r="S215" i="5"/>
  <c r="R215" i="5"/>
  <c r="Q215" i="5"/>
  <c r="P215" i="5"/>
  <c r="O215" i="5"/>
  <c r="N215" i="5"/>
  <c r="M215" i="5"/>
  <c r="L215" i="5"/>
  <c r="K215" i="5"/>
  <c r="J215" i="5"/>
  <c r="I215" i="5"/>
  <c r="H215" i="5"/>
  <c r="G215" i="5"/>
  <c r="F215" i="5"/>
  <c r="AE214" i="5"/>
  <c r="AC214" i="5"/>
  <c r="AB214" i="5"/>
  <c r="AA214" i="5"/>
  <c r="Z214" i="5"/>
  <c r="Y214" i="5"/>
  <c r="X214" i="5"/>
  <c r="W214" i="5"/>
  <c r="V214" i="5"/>
  <c r="U214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H214" i="5"/>
  <c r="G214" i="5"/>
  <c r="F214" i="5"/>
  <c r="AE213" i="5"/>
  <c r="AC213" i="5"/>
  <c r="AB213" i="5"/>
  <c r="AA213" i="5"/>
  <c r="Z213" i="5"/>
  <c r="Y213" i="5"/>
  <c r="X213" i="5"/>
  <c r="W213" i="5"/>
  <c r="V213" i="5"/>
  <c r="U213" i="5"/>
  <c r="T213" i="5"/>
  <c r="S213" i="5"/>
  <c r="R213" i="5"/>
  <c r="Q213" i="5"/>
  <c r="P213" i="5"/>
  <c r="O213" i="5"/>
  <c r="N213" i="5"/>
  <c r="M213" i="5"/>
  <c r="L213" i="5"/>
  <c r="K213" i="5"/>
  <c r="J213" i="5"/>
  <c r="I213" i="5"/>
  <c r="H213" i="5"/>
  <c r="G213" i="5"/>
  <c r="F213" i="5"/>
  <c r="AE212" i="5"/>
  <c r="AC212" i="5"/>
  <c r="AB212" i="5"/>
  <c r="AA212" i="5"/>
  <c r="Z212" i="5"/>
  <c r="Y212" i="5"/>
  <c r="X212" i="5"/>
  <c r="W212" i="5"/>
  <c r="V212" i="5"/>
  <c r="U212" i="5"/>
  <c r="T212" i="5"/>
  <c r="S212" i="5"/>
  <c r="R212" i="5"/>
  <c r="Q212" i="5"/>
  <c r="P212" i="5"/>
  <c r="O212" i="5"/>
  <c r="N212" i="5"/>
  <c r="M212" i="5"/>
  <c r="L212" i="5"/>
  <c r="K212" i="5"/>
  <c r="J212" i="5"/>
  <c r="I212" i="5"/>
  <c r="H212" i="5"/>
  <c r="G212" i="5"/>
  <c r="F212" i="5"/>
  <c r="AE211" i="5"/>
  <c r="AC211" i="5"/>
  <c r="AB211" i="5"/>
  <c r="AA211" i="5"/>
  <c r="Z211" i="5"/>
  <c r="Y211" i="5"/>
  <c r="X211" i="5"/>
  <c r="W211" i="5"/>
  <c r="V211" i="5"/>
  <c r="U211" i="5"/>
  <c r="T211" i="5"/>
  <c r="S211" i="5"/>
  <c r="R211" i="5"/>
  <c r="Q211" i="5"/>
  <c r="P211" i="5"/>
  <c r="O211" i="5"/>
  <c r="N211" i="5"/>
  <c r="M211" i="5"/>
  <c r="L211" i="5"/>
  <c r="K211" i="5"/>
  <c r="J211" i="5"/>
  <c r="I211" i="5"/>
  <c r="H211" i="5"/>
  <c r="G211" i="5"/>
  <c r="F211" i="5"/>
  <c r="AE210" i="5"/>
  <c r="AC210" i="5"/>
  <c r="AB210" i="5"/>
  <c r="AA210" i="5"/>
  <c r="Z210" i="5"/>
  <c r="Y210" i="5"/>
  <c r="X210" i="5"/>
  <c r="W210" i="5"/>
  <c r="V210" i="5"/>
  <c r="U210" i="5"/>
  <c r="T210" i="5"/>
  <c r="S210" i="5"/>
  <c r="R210" i="5"/>
  <c r="Q210" i="5"/>
  <c r="P210" i="5"/>
  <c r="O210" i="5"/>
  <c r="N210" i="5"/>
  <c r="M210" i="5"/>
  <c r="L210" i="5"/>
  <c r="K210" i="5"/>
  <c r="J210" i="5"/>
  <c r="I210" i="5"/>
  <c r="H210" i="5"/>
  <c r="G210" i="5"/>
  <c r="F210" i="5"/>
  <c r="AE209" i="5"/>
  <c r="AC209" i="5"/>
  <c r="AB209" i="5"/>
  <c r="AA209" i="5"/>
  <c r="Z209" i="5"/>
  <c r="Y209" i="5"/>
  <c r="X209" i="5"/>
  <c r="W209" i="5"/>
  <c r="V209" i="5"/>
  <c r="U209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H209" i="5"/>
  <c r="G209" i="5"/>
  <c r="F209" i="5"/>
  <c r="AE208" i="5"/>
  <c r="AC208" i="5"/>
  <c r="AB208" i="5"/>
  <c r="AA208" i="5"/>
  <c r="Z208" i="5"/>
  <c r="Y208" i="5"/>
  <c r="X208" i="5"/>
  <c r="W208" i="5"/>
  <c r="V208" i="5"/>
  <c r="U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H208" i="5"/>
  <c r="G208" i="5"/>
  <c r="F208" i="5"/>
  <c r="AE207" i="5"/>
  <c r="AC207" i="5"/>
  <c r="AB207" i="5"/>
  <c r="AA207" i="5"/>
  <c r="Z207" i="5"/>
  <c r="Y207" i="5"/>
  <c r="X207" i="5"/>
  <c r="W207" i="5"/>
  <c r="V207" i="5"/>
  <c r="U207" i="5"/>
  <c r="T207" i="5"/>
  <c r="S207" i="5"/>
  <c r="R207" i="5"/>
  <c r="Q207" i="5"/>
  <c r="P207" i="5"/>
  <c r="O207" i="5"/>
  <c r="N207" i="5"/>
  <c r="M207" i="5"/>
  <c r="L207" i="5"/>
  <c r="K207" i="5"/>
  <c r="J207" i="5"/>
  <c r="I207" i="5"/>
  <c r="H207" i="5"/>
  <c r="G207" i="5"/>
  <c r="F207" i="5"/>
  <c r="AE206" i="5"/>
  <c r="AC206" i="5"/>
  <c r="AB206" i="5"/>
  <c r="AA206" i="5"/>
  <c r="Z206" i="5"/>
  <c r="Y206" i="5"/>
  <c r="X206" i="5"/>
  <c r="W206" i="5"/>
  <c r="V206" i="5"/>
  <c r="U206" i="5"/>
  <c r="T206" i="5"/>
  <c r="S206" i="5"/>
  <c r="R206" i="5"/>
  <c r="Q206" i="5"/>
  <c r="P206" i="5"/>
  <c r="O206" i="5"/>
  <c r="N206" i="5"/>
  <c r="M206" i="5"/>
  <c r="L206" i="5"/>
  <c r="K206" i="5"/>
  <c r="J206" i="5"/>
  <c r="I206" i="5"/>
  <c r="H206" i="5"/>
  <c r="G206" i="5"/>
  <c r="F206" i="5"/>
  <c r="AE205" i="5"/>
  <c r="AC205" i="5"/>
  <c r="AB205" i="5"/>
  <c r="AA205" i="5"/>
  <c r="Z205" i="5"/>
  <c r="Y205" i="5"/>
  <c r="X205" i="5"/>
  <c r="W205" i="5"/>
  <c r="V205" i="5"/>
  <c r="U205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H205" i="5"/>
  <c r="G205" i="5"/>
  <c r="F205" i="5"/>
  <c r="AE204" i="5"/>
  <c r="AC204" i="5"/>
  <c r="AB204" i="5"/>
  <c r="AA204" i="5"/>
  <c r="Z204" i="5"/>
  <c r="Y204" i="5"/>
  <c r="X204" i="5"/>
  <c r="W204" i="5"/>
  <c r="V204" i="5"/>
  <c r="U204" i="5"/>
  <c r="T204" i="5"/>
  <c r="S204" i="5"/>
  <c r="R204" i="5"/>
  <c r="Q204" i="5"/>
  <c r="P204" i="5"/>
  <c r="O204" i="5"/>
  <c r="N204" i="5"/>
  <c r="M204" i="5"/>
  <c r="L204" i="5"/>
  <c r="K204" i="5"/>
  <c r="J204" i="5"/>
  <c r="I204" i="5"/>
  <c r="H204" i="5"/>
  <c r="G204" i="5"/>
  <c r="F204" i="5"/>
  <c r="AE203" i="5"/>
  <c r="AC203" i="5"/>
  <c r="AB203" i="5"/>
  <c r="AA203" i="5"/>
  <c r="Z203" i="5"/>
  <c r="Y203" i="5"/>
  <c r="X203" i="5"/>
  <c r="W203" i="5"/>
  <c r="V203" i="5"/>
  <c r="U203" i="5"/>
  <c r="T203" i="5"/>
  <c r="S203" i="5"/>
  <c r="R203" i="5"/>
  <c r="Q203" i="5"/>
  <c r="P203" i="5"/>
  <c r="O203" i="5"/>
  <c r="N203" i="5"/>
  <c r="M203" i="5"/>
  <c r="L203" i="5"/>
  <c r="K203" i="5"/>
  <c r="J203" i="5"/>
  <c r="I203" i="5"/>
  <c r="H203" i="5"/>
  <c r="G203" i="5"/>
  <c r="F203" i="5"/>
  <c r="AE202" i="5"/>
  <c r="AC202" i="5"/>
  <c r="AB202" i="5"/>
  <c r="AA202" i="5"/>
  <c r="Z202" i="5"/>
  <c r="Y202" i="5"/>
  <c r="X202" i="5"/>
  <c r="W202" i="5"/>
  <c r="V202" i="5"/>
  <c r="U202" i="5"/>
  <c r="T202" i="5"/>
  <c r="S202" i="5"/>
  <c r="R202" i="5"/>
  <c r="Q202" i="5"/>
  <c r="P202" i="5"/>
  <c r="O202" i="5"/>
  <c r="N202" i="5"/>
  <c r="M202" i="5"/>
  <c r="L202" i="5"/>
  <c r="K202" i="5"/>
  <c r="J202" i="5"/>
  <c r="I202" i="5"/>
  <c r="H202" i="5"/>
  <c r="G202" i="5"/>
  <c r="F202" i="5"/>
  <c r="AE201" i="5"/>
  <c r="AC201" i="5"/>
  <c r="AB201" i="5"/>
  <c r="AA201" i="5"/>
  <c r="Z201" i="5"/>
  <c r="Y201" i="5"/>
  <c r="X201" i="5"/>
  <c r="W201" i="5"/>
  <c r="V201" i="5"/>
  <c r="U201" i="5"/>
  <c r="T201" i="5"/>
  <c r="S201" i="5"/>
  <c r="R201" i="5"/>
  <c r="Q201" i="5"/>
  <c r="P201" i="5"/>
  <c r="O201" i="5"/>
  <c r="N201" i="5"/>
  <c r="M201" i="5"/>
  <c r="L201" i="5"/>
  <c r="K201" i="5"/>
  <c r="J201" i="5"/>
  <c r="I201" i="5"/>
  <c r="H201" i="5"/>
  <c r="G201" i="5"/>
  <c r="F201" i="5"/>
  <c r="AE200" i="5"/>
  <c r="AC200" i="5"/>
  <c r="AB200" i="5"/>
  <c r="AA200" i="5"/>
  <c r="Z200" i="5"/>
  <c r="Y200" i="5"/>
  <c r="X200" i="5"/>
  <c r="W200" i="5"/>
  <c r="V200" i="5"/>
  <c r="U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H200" i="5"/>
  <c r="G200" i="5"/>
  <c r="F200" i="5"/>
  <c r="AE199" i="5"/>
  <c r="AC199" i="5"/>
  <c r="AB199" i="5"/>
  <c r="AA199" i="5"/>
  <c r="Z199" i="5"/>
  <c r="Y199" i="5"/>
  <c r="X199" i="5"/>
  <c r="W199" i="5"/>
  <c r="V199" i="5"/>
  <c r="U199" i="5"/>
  <c r="T199" i="5"/>
  <c r="S199" i="5"/>
  <c r="R199" i="5"/>
  <c r="Q199" i="5"/>
  <c r="P199" i="5"/>
  <c r="O199" i="5"/>
  <c r="N199" i="5"/>
  <c r="M199" i="5"/>
  <c r="L199" i="5"/>
  <c r="K199" i="5"/>
  <c r="J199" i="5"/>
  <c r="I199" i="5"/>
  <c r="H199" i="5"/>
  <c r="G199" i="5"/>
  <c r="F199" i="5"/>
  <c r="AE198" i="5"/>
  <c r="AC198" i="5"/>
  <c r="AB198" i="5"/>
  <c r="AA198" i="5"/>
  <c r="Z198" i="5"/>
  <c r="Y198" i="5"/>
  <c r="X198" i="5"/>
  <c r="W198" i="5"/>
  <c r="V198" i="5"/>
  <c r="U198" i="5"/>
  <c r="T198" i="5"/>
  <c r="S198" i="5"/>
  <c r="R198" i="5"/>
  <c r="Q198" i="5"/>
  <c r="P198" i="5"/>
  <c r="O198" i="5"/>
  <c r="N198" i="5"/>
  <c r="M198" i="5"/>
  <c r="L198" i="5"/>
  <c r="K198" i="5"/>
  <c r="J198" i="5"/>
  <c r="I198" i="5"/>
  <c r="H198" i="5"/>
  <c r="G198" i="5"/>
  <c r="F198" i="5"/>
  <c r="AE197" i="5"/>
  <c r="AC197" i="5"/>
  <c r="AB197" i="5"/>
  <c r="AA197" i="5"/>
  <c r="Z197" i="5"/>
  <c r="Y197" i="5"/>
  <c r="X197" i="5"/>
  <c r="W197" i="5"/>
  <c r="V197" i="5"/>
  <c r="U197" i="5"/>
  <c r="T197" i="5"/>
  <c r="S197" i="5"/>
  <c r="R197" i="5"/>
  <c r="Q197" i="5"/>
  <c r="P197" i="5"/>
  <c r="O197" i="5"/>
  <c r="N197" i="5"/>
  <c r="M197" i="5"/>
  <c r="L197" i="5"/>
  <c r="K197" i="5"/>
  <c r="J197" i="5"/>
  <c r="I197" i="5"/>
  <c r="H197" i="5"/>
  <c r="G197" i="5"/>
  <c r="F197" i="5"/>
  <c r="AE196" i="5"/>
  <c r="AC196" i="5"/>
  <c r="AB196" i="5"/>
  <c r="AA196" i="5"/>
  <c r="Z196" i="5"/>
  <c r="Y196" i="5"/>
  <c r="X196" i="5"/>
  <c r="W196" i="5"/>
  <c r="V196" i="5"/>
  <c r="U196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H196" i="5"/>
  <c r="G196" i="5"/>
  <c r="F196" i="5"/>
  <c r="AE195" i="5"/>
  <c r="AC195" i="5"/>
  <c r="AB195" i="5"/>
  <c r="AA195" i="5"/>
  <c r="Z195" i="5"/>
  <c r="Y195" i="5"/>
  <c r="X195" i="5"/>
  <c r="W195" i="5"/>
  <c r="V195" i="5"/>
  <c r="U195" i="5"/>
  <c r="T195" i="5"/>
  <c r="S195" i="5"/>
  <c r="R195" i="5"/>
  <c r="Q195" i="5"/>
  <c r="P195" i="5"/>
  <c r="O195" i="5"/>
  <c r="N195" i="5"/>
  <c r="M195" i="5"/>
  <c r="L195" i="5"/>
  <c r="K195" i="5"/>
  <c r="J195" i="5"/>
  <c r="I195" i="5"/>
  <c r="H195" i="5"/>
  <c r="G195" i="5"/>
  <c r="F195" i="5"/>
  <c r="AE194" i="5"/>
  <c r="AC194" i="5"/>
  <c r="AB194" i="5"/>
  <c r="AA194" i="5"/>
  <c r="Z194" i="5"/>
  <c r="Y194" i="5"/>
  <c r="X194" i="5"/>
  <c r="W194" i="5"/>
  <c r="V194" i="5"/>
  <c r="U194" i="5"/>
  <c r="T194" i="5"/>
  <c r="S194" i="5"/>
  <c r="R194" i="5"/>
  <c r="Q194" i="5"/>
  <c r="P194" i="5"/>
  <c r="O194" i="5"/>
  <c r="N194" i="5"/>
  <c r="M194" i="5"/>
  <c r="L194" i="5"/>
  <c r="K194" i="5"/>
  <c r="J194" i="5"/>
  <c r="I194" i="5"/>
  <c r="H194" i="5"/>
  <c r="G194" i="5"/>
  <c r="F194" i="5"/>
  <c r="AE193" i="5"/>
  <c r="AC193" i="5"/>
  <c r="AB193" i="5"/>
  <c r="AA193" i="5"/>
  <c r="Z193" i="5"/>
  <c r="Y193" i="5"/>
  <c r="X193" i="5"/>
  <c r="W193" i="5"/>
  <c r="V193" i="5"/>
  <c r="U193" i="5"/>
  <c r="T193" i="5"/>
  <c r="S193" i="5"/>
  <c r="R193" i="5"/>
  <c r="Q193" i="5"/>
  <c r="P193" i="5"/>
  <c r="O193" i="5"/>
  <c r="N193" i="5"/>
  <c r="M193" i="5"/>
  <c r="L193" i="5"/>
  <c r="K193" i="5"/>
  <c r="J193" i="5"/>
  <c r="I193" i="5"/>
  <c r="H193" i="5"/>
  <c r="G193" i="5"/>
  <c r="F193" i="5"/>
  <c r="AE192" i="5"/>
  <c r="AC192" i="5"/>
  <c r="AB192" i="5"/>
  <c r="AA192" i="5"/>
  <c r="Z192" i="5"/>
  <c r="Y192" i="5"/>
  <c r="X192" i="5"/>
  <c r="W192" i="5"/>
  <c r="V192" i="5"/>
  <c r="U192" i="5"/>
  <c r="T192" i="5"/>
  <c r="S192" i="5"/>
  <c r="R192" i="5"/>
  <c r="Q192" i="5"/>
  <c r="P192" i="5"/>
  <c r="O192" i="5"/>
  <c r="N192" i="5"/>
  <c r="M192" i="5"/>
  <c r="L192" i="5"/>
  <c r="K192" i="5"/>
  <c r="J192" i="5"/>
  <c r="I192" i="5"/>
  <c r="H192" i="5"/>
  <c r="G192" i="5"/>
  <c r="F192" i="5"/>
  <c r="AE191" i="5"/>
  <c r="AC191" i="5"/>
  <c r="AB191" i="5"/>
  <c r="AA191" i="5"/>
  <c r="Z191" i="5"/>
  <c r="Y191" i="5"/>
  <c r="X191" i="5"/>
  <c r="W191" i="5"/>
  <c r="V191" i="5"/>
  <c r="U191" i="5"/>
  <c r="T191" i="5"/>
  <c r="S191" i="5"/>
  <c r="R191" i="5"/>
  <c r="Q191" i="5"/>
  <c r="P191" i="5"/>
  <c r="O191" i="5"/>
  <c r="N191" i="5"/>
  <c r="M191" i="5"/>
  <c r="L191" i="5"/>
  <c r="K191" i="5"/>
  <c r="J191" i="5"/>
  <c r="I191" i="5"/>
  <c r="H191" i="5"/>
  <c r="G191" i="5"/>
  <c r="F191" i="5"/>
  <c r="AE190" i="5"/>
  <c r="AC190" i="5"/>
  <c r="AB190" i="5"/>
  <c r="AA190" i="5"/>
  <c r="Z190" i="5"/>
  <c r="Y190" i="5"/>
  <c r="X190" i="5"/>
  <c r="W190" i="5"/>
  <c r="V190" i="5"/>
  <c r="U190" i="5"/>
  <c r="T190" i="5"/>
  <c r="S190" i="5"/>
  <c r="R190" i="5"/>
  <c r="Q190" i="5"/>
  <c r="P190" i="5"/>
  <c r="O190" i="5"/>
  <c r="N190" i="5"/>
  <c r="M190" i="5"/>
  <c r="L190" i="5"/>
  <c r="K190" i="5"/>
  <c r="J190" i="5"/>
  <c r="I190" i="5"/>
  <c r="H190" i="5"/>
  <c r="G190" i="5"/>
  <c r="F190" i="5"/>
  <c r="AE189" i="5"/>
  <c r="AC189" i="5"/>
  <c r="AB189" i="5"/>
  <c r="AA189" i="5"/>
  <c r="Z189" i="5"/>
  <c r="Y189" i="5"/>
  <c r="X189" i="5"/>
  <c r="W189" i="5"/>
  <c r="V189" i="5"/>
  <c r="U189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H189" i="5"/>
  <c r="G189" i="5"/>
  <c r="F189" i="5"/>
  <c r="AE188" i="5"/>
  <c r="AC188" i="5"/>
  <c r="AB188" i="5"/>
  <c r="AA188" i="5"/>
  <c r="Z188" i="5"/>
  <c r="Y188" i="5"/>
  <c r="X188" i="5"/>
  <c r="W188" i="5"/>
  <c r="V188" i="5"/>
  <c r="U188" i="5"/>
  <c r="T188" i="5"/>
  <c r="S188" i="5"/>
  <c r="R188" i="5"/>
  <c r="Q188" i="5"/>
  <c r="P188" i="5"/>
  <c r="O188" i="5"/>
  <c r="N188" i="5"/>
  <c r="M188" i="5"/>
  <c r="L188" i="5"/>
  <c r="K188" i="5"/>
  <c r="J188" i="5"/>
  <c r="I188" i="5"/>
  <c r="H188" i="5"/>
  <c r="G188" i="5"/>
  <c r="F188" i="5"/>
  <c r="AE187" i="5"/>
  <c r="AC187" i="5"/>
  <c r="AB187" i="5"/>
  <c r="AA187" i="5"/>
  <c r="Z187" i="5"/>
  <c r="Y187" i="5"/>
  <c r="X187" i="5"/>
  <c r="W187" i="5"/>
  <c r="V187" i="5"/>
  <c r="U187" i="5"/>
  <c r="T187" i="5"/>
  <c r="S187" i="5"/>
  <c r="R187" i="5"/>
  <c r="Q187" i="5"/>
  <c r="P187" i="5"/>
  <c r="O187" i="5"/>
  <c r="N187" i="5"/>
  <c r="M187" i="5"/>
  <c r="L187" i="5"/>
  <c r="K187" i="5"/>
  <c r="J187" i="5"/>
  <c r="I187" i="5"/>
  <c r="H187" i="5"/>
  <c r="G187" i="5"/>
  <c r="F187" i="5"/>
  <c r="AE186" i="5"/>
  <c r="AC186" i="5"/>
  <c r="AB186" i="5"/>
  <c r="AA186" i="5"/>
  <c r="Z186" i="5"/>
  <c r="Y186" i="5"/>
  <c r="X186" i="5"/>
  <c r="W186" i="5"/>
  <c r="V186" i="5"/>
  <c r="U186" i="5"/>
  <c r="T186" i="5"/>
  <c r="S186" i="5"/>
  <c r="R186" i="5"/>
  <c r="Q186" i="5"/>
  <c r="P186" i="5"/>
  <c r="O186" i="5"/>
  <c r="N186" i="5"/>
  <c r="M186" i="5"/>
  <c r="L186" i="5"/>
  <c r="K186" i="5"/>
  <c r="J186" i="5"/>
  <c r="I186" i="5"/>
  <c r="H186" i="5"/>
  <c r="G186" i="5"/>
  <c r="F186" i="5"/>
  <c r="AE185" i="5"/>
  <c r="AC185" i="5"/>
  <c r="AB185" i="5"/>
  <c r="AA185" i="5"/>
  <c r="Z185" i="5"/>
  <c r="Y185" i="5"/>
  <c r="X185" i="5"/>
  <c r="W185" i="5"/>
  <c r="V185" i="5"/>
  <c r="U185" i="5"/>
  <c r="T185" i="5"/>
  <c r="S185" i="5"/>
  <c r="R185" i="5"/>
  <c r="Q185" i="5"/>
  <c r="P185" i="5"/>
  <c r="O185" i="5"/>
  <c r="N185" i="5"/>
  <c r="M185" i="5"/>
  <c r="L185" i="5"/>
  <c r="K185" i="5"/>
  <c r="J185" i="5"/>
  <c r="I185" i="5"/>
  <c r="H185" i="5"/>
  <c r="G185" i="5"/>
  <c r="F185" i="5"/>
  <c r="AE184" i="5"/>
  <c r="AC184" i="5"/>
  <c r="AB184" i="5"/>
  <c r="AA184" i="5"/>
  <c r="Z184" i="5"/>
  <c r="Y184" i="5"/>
  <c r="X184" i="5"/>
  <c r="W184" i="5"/>
  <c r="V184" i="5"/>
  <c r="U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H184" i="5"/>
  <c r="G184" i="5"/>
  <c r="F184" i="5"/>
  <c r="AE183" i="5"/>
  <c r="AC183" i="5"/>
  <c r="AB183" i="5"/>
  <c r="AA183" i="5"/>
  <c r="Z183" i="5"/>
  <c r="Y183" i="5"/>
  <c r="X183" i="5"/>
  <c r="W183" i="5"/>
  <c r="V183" i="5"/>
  <c r="U183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H183" i="5"/>
  <c r="G183" i="5"/>
  <c r="F183" i="5"/>
  <c r="AE182" i="5"/>
  <c r="AC182" i="5"/>
  <c r="AB182" i="5"/>
  <c r="AA182" i="5"/>
  <c r="Z182" i="5"/>
  <c r="Y182" i="5"/>
  <c r="X182" i="5"/>
  <c r="W182" i="5"/>
  <c r="V182" i="5"/>
  <c r="U182" i="5"/>
  <c r="T182" i="5"/>
  <c r="S182" i="5"/>
  <c r="R182" i="5"/>
  <c r="Q182" i="5"/>
  <c r="P182" i="5"/>
  <c r="O182" i="5"/>
  <c r="N182" i="5"/>
  <c r="M182" i="5"/>
  <c r="L182" i="5"/>
  <c r="K182" i="5"/>
  <c r="J182" i="5"/>
  <c r="I182" i="5"/>
  <c r="H182" i="5"/>
  <c r="G182" i="5"/>
  <c r="F182" i="5"/>
  <c r="AE181" i="5"/>
  <c r="AC181" i="5"/>
  <c r="AB181" i="5"/>
  <c r="AA181" i="5"/>
  <c r="Z181" i="5"/>
  <c r="Y181" i="5"/>
  <c r="X181" i="5"/>
  <c r="W181" i="5"/>
  <c r="V181" i="5"/>
  <c r="U181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H181" i="5"/>
  <c r="G181" i="5"/>
  <c r="F181" i="5"/>
  <c r="AE180" i="5"/>
  <c r="AC180" i="5"/>
  <c r="AB180" i="5"/>
  <c r="AA180" i="5"/>
  <c r="Z180" i="5"/>
  <c r="Y180" i="5"/>
  <c r="X180" i="5"/>
  <c r="W180" i="5"/>
  <c r="V180" i="5"/>
  <c r="U180" i="5"/>
  <c r="T180" i="5"/>
  <c r="S180" i="5"/>
  <c r="R180" i="5"/>
  <c r="Q180" i="5"/>
  <c r="P180" i="5"/>
  <c r="O180" i="5"/>
  <c r="N180" i="5"/>
  <c r="M180" i="5"/>
  <c r="L180" i="5"/>
  <c r="K180" i="5"/>
  <c r="J180" i="5"/>
  <c r="I180" i="5"/>
  <c r="H180" i="5"/>
  <c r="G180" i="5"/>
  <c r="F180" i="5"/>
  <c r="AE179" i="5"/>
  <c r="AC179" i="5"/>
  <c r="AB179" i="5"/>
  <c r="AA179" i="5"/>
  <c r="Z179" i="5"/>
  <c r="Y179" i="5"/>
  <c r="X179" i="5"/>
  <c r="W179" i="5"/>
  <c r="V179" i="5"/>
  <c r="U179" i="5"/>
  <c r="T179" i="5"/>
  <c r="S179" i="5"/>
  <c r="R179" i="5"/>
  <c r="Q179" i="5"/>
  <c r="P179" i="5"/>
  <c r="O179" i="5"/>
  <c r="N179" i="5"/>
  <c r="M179" i="5"/>
  <c r="L179" i="5"/>
  <c r="K179" i="5"/>
  <c r="J179" i="5"/>
  <c r="I179" i="5"/>
  <c r="H179" i="5"/>
  <c r="G179" i="5"/>
  <c r="F179" i="5"/>
  <c r="AE178" i="5"/>
  <c r="AC178" i="5"/>
  <c r="AB178" i="5"/>
  <c r="AA178" i="5"/>
  <c r="Z178" i="5"/>
  <c r="Y178" i="5"/>
  <c r="X178" i="5"/>
  <c r="W178" i="5"/>
  <c r="V178" i="5"/>
  <c r="U178" i="5"/>
  <c r="T178" i="5"/>
  <c r="S178" i="5"/>
  <c r="R178" i="5"/>
  <c r="Q178" i="5"/>
  <c r="P178" i="5"/>
  <c r="O178" i="5"/>
  <c r="N178" i="5"/>
  <c r="M178" i="5"/>
  <c r="L178" i="5"/>
  <c r="K178" i="5"/>
  <c r="J178" i="5"/>
  <c r="I178" i="5"/>
  <c r="H178" i="5"/>
  <c r="G178" i="5"/>
  <c r="F178" i="5"/>
  <c r="AE177" i="5"/>
  <c r="AC177" i="5"/>
  <c r="AB177" i="5"/>
  <c r="AA177" i="5"/>
  <c r="Z177" i="5"/>
  <c r="Y177" i="5"/>
  <c r="X177" i="5"/>
  <c r="W177" i="5"/>
  <c r="V177" i="5"/>
  <c r="U177" i="5"/>
  <c r="T177" i="5"/>
  <c r="S177" i="5"/>
  <c r="R177" i="5"/>
  <c r="Q177" i="5"/>
  <c r="P177" i="5"/>
  <c r="O177" i="5"/>
  <c r="N177" i="5"/>
  <c r="M177" i="5"/>
  <c r="L177" i="5"/>
  <c r="K177" i="5"/>
  <c r="J177" i="5"/>
  <c r="I177" i="5"/>
  <c r="H177" i="5"/>
  <c r="G177" i="5"/>
  <c r="F177" i="5"/>
  <c r="AE176" i="5"/>
  <c r="AC176" i="5"/>
  <c r="AB176" i="5"/>
  <c r="AA176" i="5"/>
  <c r="Z176" i="5"/>
  <c r="Y176" i="5"/>
  <c r="X176" i="5"/>
  <c r="W176" i="5"/>
  <c r="V176" i="5"/>
  <c r="U176" i="5"/>
  <c r="T176" i="5"/>
  <c r="S176" i="5"/>
  <c r="R176" i="5"/>
  <c r="Q176" i="5"/>
  <c r="P176" i="5"/>
  <c r="O176" i="5"/>
  <c r="N176" i="5"/>
  <c r="M176" i="5"/>
  <c r="L176" i="5"/>
  <c r="K176" i="5"/>
  <c r="J176" i="5"/>
  <c r="I176" i="5"/>
  <c r="H176" i="5"/>
  <c r="G176" i="5"/>
  <c r="F176" i="5"/>
  <c r="AE175" i="5"/>
  <c r="AC175" i="5"/>
  <c r="AB175" i="5"/>
  <c r="AA175" i="5"/>
  <c r="Z175" i="5"/>
  <c r="Y175" i="5"/>
  <c r="X175" i="5"/>
  <c r="W175" i="5"/>
  <c r="V175" i="5"/>
  <c r="U175" i="5"/>
  <c r="T175" i="5"/>
  <c r="S175" i="5"/>
  <c r="R175" i="5"/>
  <c r="Q175" i="5"/>
  <c r="P175" i="5"/>
  <c r="O175" i="5"/>
  <c r="N175" i="5"/>
  <c r="M175" i="5"/>
  <c r="L175" i="5"/>
  <c r="K175" i="5"/>
  <c r="J175" i="5"/>
  <c r="I175" i="5"/>
  <c r="H175" i="5"/>
  <c r="G175" i="5"/>
  <c r="F175" i="5"/>
  <c r="AE174" i="5"/>
  <c r="AC174" i="5"/>
  <c r="AB174" i="5"/>
  <c r="AA174" i="5"/>
  <c r="Z174" i="5"/>
  <c r="Y174" i="5"/>
  <c r="X174" i="5"/>
  <c r="W174" i="5"/>
  <c r="V174" i="5"/>
  <c r="U174" i="5"/>
  <c r="T174" i="5"/>
  <c r="S174" i="5"/>
  <c r="R174" i="5"/>
  <c r="Q174" i="5"/>
  <c r="P174" i="5"/>
  <c r="O174" i="5"/>
  <c r="N174" i="5"/>
  <c r="M174" i="5"/>
  <c r="L174" i="5"/>
  <c r="K174" i="5"/>
  <c r="J174" i="5"/>
  <c r="I174" i="5"/>
  <c r="H174" i="5"/>
  <c r="G174" i="5"/>
  <c r="F174" i="5"/>
  <c r="AE173" i="5"/>
  <c r="AC173" i="5"/>
  <c r="AB173" i="5"/>
  <c r="AA173" i="5"/>
  <c r="Z173" i="5"/>
  <c r="Y173" i="5"/>
  <c r="X173" i="5"/>
  <c r="W173" i="5"/>
  <c r="V173" i="5"/>
  <c r="U173" i="5"/>
  <c r="T173" i="5"/>
  <c r="S173" i="5"/>
  <c r="R173" i="5"/>
  <c r="Q173" i="5"/>
  <c r="P173" i="5"/>
  <c r="O173" i="5"/>
  <c r="N173" i="5"/>
  <c r="M173" i="5"/>
  <c r="L173" i="5"/>
  <c r="K173" i="5"/>
  <c r="J173" i="5"/>
  <c r="I173" i="5"/>
  <c r="H173" i="5"/>
  <c r="G173" i="5"/>
  <c r="F173" i="5"/>
  <c r="AE172" i="5"/>
  <c r="AC172" i="5"/>
  <c r="AB172" i="5"/>
  <c r="AA172" i="5"/>
  <c r="Z172" i="5"/>
  <c r="Y172" i="5"/>
  <c r="X172" i="5"/>
  <c r="W172" i="5"/>
  <c r="V172" i="5"/>
  <c r="U172" i="5"/>
  <c r="T172" i="5"/>
  <c r="S172" i="5"/>
  <c r="R172" i="5"/>
  <c r="Q172" i="5"/>
  <c r="P172" i="5"/>
  <c r="O172" i="5"/>
  <c r="N172" i="5"/>
  <c r="M172" i="5"/>
  <c r="L172" i="5"/>
  <c r="K172" i="5"/>
  <c r="J172" i="5"/>
  <c r="I172" i="5"/>
  <c r="H172" i="5"/>
  <c r="G172" i="5"/>
  <c r="F172" i="5"/>
  <c r="AE171" i="5"/>
  <c r="AC171" i="5"/>
  <c r="AB171" i="5"/>
  <c r="AA171" i="5"/>
  <c r="Z171" i="5"/>
  <c r="Y171" i="5"/>
  <c r="X171" i="5"/>
  <c r="W171" i="5"/>
  <c r="V171" i="5"/>
  <c r="U171" i="5"/>
  <c r="T171" i="5"/>
  <c r="S171" i="5"/>
  <c r="R171" i="5"/>
  <c r="Q171" i="5"/>
  <c r="P171" i="5"/>
  <c r="O171" i="5"/>
  <c r="N171" i="5"/>
  <c r="M171" i="5"/>
  <c r="L171" i="5"/>
  <c r="K171" i="5"/>
  <c r="J171" i="5"/>
  <c r="I171" i="5"/>
  <c r="H171" i="5"/>
  <c r="G171" i="5"/>
  <c r="F171" i="5"/>
  <c r="AE170" i="5"/>
  <c r="AC170" i="5"/>
  <c r="AB170" i="5"/>
  <c r="AA170" i="5"/>
  <c r="Z170" i="5"/>
  <c r="Y170" i="5"/>
  <c r="X170" i="5"/>
  <c r="W170" i="5"/>
  <c r="V170" i="5"/>
  <c r="U170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H170" i="5"/>
  <c r="G170" i="5"/>
  <c r="F170" i="5"/>
  <c r="AE169" i="5"/>
  <c r="AC169" i="5"/>
  <c r="AB169" i="5"/>
  <c r="AA169" i="5"/>
  <c r="Z169" i="5"/>
  <c r="Y169" i="5"/>
  <c r="X169" i="5"/>
  <c r="W169" i="5"/>
  <c r="V169" i="5"/>
  <c r="U169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H169" i="5"/>
  <c r="G169" i="5"/>
  <c r="F169" i="5"/>
  <c r="AE168" i="5"/>
  <c r="AC168" i="5"/>
  <c r="AB168" i="5"/>
  <c r="AA168" i="5"/>
  <c r="Z168" i="5"/>
  <c r="Y168" i="5"/>
  <c r="X168" i="5"/>
  <c r="W168" i="5"/>
  <c r="V168" i="5"/>
  <c r="U168" i="5"/>
  <c r="T168" i="5"/>
  <c r="S168" i="5"/>
  <c r="R168" i="5"/>
  <c r="Q168" i="5"/>
  <c r="P168" i="5"/>
  <c r="O168" i="5"/>
  <c r="N168" i="5"/>
  <c r="M168" i="5"/>
  <c r="L168" i="5"/>
  <c r="K168" i="5"/>
  <c r="J168" i="5"/>
  <c r="I168" i="5"/>
  <c r="H168" i="5"/>
  <c r="G168" i="5"/>
  <c r="F168" i="5"/>
  <c r="AE167" i="5"/>
  <c r="AC167" i="5"/>
  <c r="AB167" i="5"/>
  <c r="AA167" i="5"/>
  <c r="Z167" i="5"/>
  <c r="Y167" i="5"/>
  <c r="X167" i="5"/>
  <c r="W167" i="5"/>
  <c r="V167" i="5"/>
  <c r="U167" i="5"/>
  <c r="T167" i="5"/>
  <c r="S167" i="5"/>
  <c r="R167" i="5"/>
  <c r="Q167" i="5"/>
  <c r="P167" i="5"/>
  <c r="O167" i="5"/>
  <c r="N167" i="5"/>
  <c r="M167" i="5"/>
  <c r="L167" i="5"/>
  <c r="K167" i="5"/>
  <c r="J167" i="5"/>
  <c r="I167" i="5"/>
  <c r="H167" i="5"/>
  <c r="G167" i="5"/>
  <c r="F167" i="5"/>
  <c r="AE166" i="5"/>
  <c r="AC166" i="5"/>
  <c r="AB166" i="5"/>
  <c r="AA166" i="5"/>
  <c r="Z166" i="5"/>
  <c r="Y166" i="5"/>
  <c r="X166" i="5"/>
  <c r="W166" i="5"/>
  <c r="V166" i="5"/>
  <c r="U166" i="5"/>
  <c r="T166" i="5"/>
  <c r="S166" i="5"/>
  <c r="R166" i="5"/>
  <c r="Q166" i="5"/>
  <c r="P166" i="5"/>
  <c r="O166" i="5"/>
  <c r="N166" i="5"/>
  <c r="M166" i="5"/>
  <c r="L166" i="5"/>
  <c r="K166" i="5"/>
  <c r="J166" i="5"/>
  <c r="I166" i="5"/>
  <c r="H166" i="5"/>
  <c r="G166" i="5"/>
  <c r="F166" i="5"/>
  <c r="AE165" i="5"/>
  <c r="AC165" i="5"/>
  <c r="AB165" i="5"/>
  <c r="AA165" i="5"/>
  <c r="Z165" i="5"/>
  <c r="Y165" i="5"/>
  <c r="X165" i="5"/>
  <c r="W165" i="5"/>
  <c r="V165" i="5"/>
  <c r="U165" i="5"/>
  <c r="T165" i="5"/>
  <c r="S165" i="5"/>
  <c r="R165" i="5"/>
  <c r="Q165" i="5"/>
  <c r="P165" i="5"/>
  <c r="O165" i="5"/>
  <c r="N165" i="5"/>
  <c r="M165" i="5"/>
  <c r="L165" i="5"/>
  <c r="K165" i="5"/>
  <c r="J165" i="5"/>
  <c r="I165" i="5"/>
  <c r="H165" i="5"/>
  <c r="G165" i="5"/>
  <c r="F165" i="5"/>
  <c r="AE164" i="5"/>
  <c r="AC164" i="5"/>
  <c r="AB164" i="5"/>
  <c r="AA164" i="5"/>
  <c r="Z164" i="5"/>
  <c r="Y164" i="5"/>
  <c r="X164" i="5"/>
  <c r="W164" i="5"/>
  <c r="V164" i="5"/>
  <c r="U164" i="5"/>
  <c r="T164" i="5"/>
  <c r="S164" i="5"/>
  <c r="R164" i="5"/>
  <c r="Q164" i="5"/>
  <c r="P164" i="5"/>
  <c r="O164" i="5"/>
  <c r="N164" i="5"/>
  <c r="M164" i="5"/>
  <c r="L164" i="5"/>
  <c r="K164" i="5"/>
  <c r="J164" i="5"/>
  <c r="I164" i="5"/>
  <c r="H164" i="5"/>
  <c r="G164" i="5"/>
  <c r="F164" i="5"/>
  <c r="AE163" i="5"/>
  <c r="AC163" i="5"/>
  <c r="AB163" i="5"/>
  <c r="AA163" i="5"/>
  <c r="Z163" i="5"/>
  <c r="Y163" i="5"/>
  <c r="X163" i="5"/>
  <c r="W163" i="5"/>
  <c r="V163" i="5"/>
  <c r="U163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H163" i="5"/>
  <c r="G163" i="5"/>
  <c r="F163" i="5"/>
  <c r="AE162" i="5"/>
  <c r="AC162" i="5"/>
  <c r="AB162" i="5"/>
  <c r="AA162" i="5"/>
  <c r="Z162" i="5"/>
  <c r="Y162" i="5"/>
  <c r="X162" i="5"/>
  <c r="W162" i="5"/>
  <c r="V162" i="5"/>
  <c r="U162" i="5"/>
  <c r="T162" i="5"/>
  <c r="S162" i="5"/>
  <c r="R162" i="5"/>
  <c r="Q162" i="5"/>
  <c r="P162" i="5"/>
  <c r="O162" i="5"/>
  <c r="N162" i="5"/>
  <c r="M162" i="5"/>
  <c r="L162" i="5"/>
  <c r="K162" i="5"/>
  <c r="J162" i="5"/>
  <c r="I162" i="5"/>
  <c r="H162" i="5"/>
  <c r="G162" i="5"/>
  <c r="F162" i="5"/>
  <c r="AE161" i="5"/>
  <c r="AC161" i="5"/>
  <c r="AB161" i="5"/>
  <c r="AA161" i="5"/>
  <c r="Z161" i="5"/>
  <c r="Y161" i="5"/>
  <c r="X161" i="5"/>
  <c r="W161" i="5"/>
  <c r="V161" i="5"/>
  <c r="U161" i="5"/>
  <c r="T161" i="5"/>
  <c r="S161" i="5"/>
  <c r="R161" i="5"/>
  <c r="Q161" i="5"/>
  <c r="P161" i="5"/>
  <c r="O161" i="5"/>
  <c r="N161" i="5"/>
  <c r="M161" i="5"/>
  <c r="L161" i="5"/>
  <c r="K161" i="5"/>
  <c r="J161" i="5"/>
  <c r="I161" i="5"/>
  <c r="H161" i="5"/>
  <c r="G161" i="5"/>
  <c r="F161" i="5"/>
  <c r="AE160" i="5"/>
  <c r="AC160" i="5"/>
  <c r="AB160" i="5"/>
  <c r="AA160" i="5"/>
  <c r="Z160" i="5"/>
  <c r="Y160" i="5"/>
  <c r="X160" i="5"/>
  <c r="W160" i="5"/>
  <c r="V160" i="5"/>
  <c r="U160" i="5"/>
  <c r="T160" i="5"/>
  <c r="S160" i="5"/>
  <c r="R160" i="5"/>
  <c r="Q160" i="5"/>
  <c r="P160" i="5"/>
  <c r="O160" i="5"/>
  <c r="N160" i="5"/>
  <c r="M160" i="5"/>
  <c r="L160" i="5"/>
  <c r="K160" i="5"/>
  <c r="J160" i="5"/>
  <c r="I160" i="5"/>
  <c r="H160" i="5"/>
  <c r="G160" i="5"/>
  <c r="F160" i="5"/>
  <c r="AE159" i="5"/>
  <c r="AC159" i="5"/>
  <c r="AB159" i="5"/>
  <c r="AA159" i="5"/>
  <c r="Z159" i="5"/>
  <c r="Y159" i="5"/>
  <c r="X159" i="5"/>
  <c r="W159" i="5"/>
  <c r="V159" i="5"/>
  <c r="U159" i="5"/>
  <c r="T159" i="5"/>
  <c r="S159" i="5"/>
  <c r="R159" i="5"/>
  <c r="Q159" i="5"/>
  <c r="P159" i="5"/>
  <c r="O159" i="5"/>
  <c r="N159" i="5"/>
  <c r="M159" i="5"/>
  <c r="L159" i="5"/>
  <c r="K159" i="5"/>
  <c r="J159" i="5"/>
  <c r="I159" i="5"/>
  <c r="H159" i="5"/>
  <c r="G159" i="5"/>
  <c r="F159" i="5"/>
  <c r="AE158" i="5"/>
  <c r="AC158" i="5"/>
  <c r="AB158" i="5"/>
  <c r="AA158" i="5"/>
  <c r="Z158" i="5"/>
  <c r="Y158" i="5"/>
  <c r="X158" i="5"/>
  <c r="W158" i="5"/>
  <c r="V158" i="5"/>
  <c r="U158" i="5"/>
  <c r="T158" i="5"/>
  <c r="S158" i="5"/>
  <c r="R158" i="5"/>
  <c r="Q158" i="5"/>
  <c r="P158" i="5"/>
  <c r="O158" i="5"/>
  <c r="N158" i="5"/>
  <c r="M158" i="5"/>
  <c r="L158" i="5"/>
  <c r="K158" i="5"/>
  <c r="J158" i="5"/>
  <c r="I158" i="5"/>
  <c r="H158" i="5"/>
  <c r="G158" i="5"/>
  <c r="F158" i="5"/>
  <c r="AE157" i="5"/>
  <c r="AC157" i="5"/>
  <c r="AB157" i="5"/>
  <c r="AA157" i="5"/>
  <c r="Z157" i="5"/>
  <c r="Y157" i="5"/>
  <c r="X157" i="5"/>
  <c r="W157" i="5"/>
  <c r="V157" i="5"/>
  <c r="U157" i="5"/>
  <c r="T157" i="5"/>
  <c r="S157" i="5"/>
  <c r="R157" i="5"/>
  <c r="Q157" i="5"/>
  <c r="P157" i="5"/>
  <c r="O157" i="5"/>
  <c r="N157" i="5"/>
  <c r="M157" i="5"/>
  <c r="L157" i="5"/>
  <c r="K157" i="5"/>
  <c r="J157" i="5"/>
  <c r="I157" i="5"/>
  <c r="H157" i="5"/>
  <c r="G157" i="5"/>
  <c r="F157" i="5"/>
  <c r="AE156" i="5"/>
  <c r="AC156" i="5"/>
  <c r="AB156" i="5"/>
  <c r="AA156" i="5"/>
  <c r="Z156" i="5"/>
  <c r="Y156" i="5"/>
  <c r="X156" i="5"/>
  <c r="W156" i="5"/>
  <c r="V156" i="5"/>
  <c r="U156" i="5"/>
  <c r="T156" i="5"/>
  <c r="S156" i="5"/>
  <c r="R156" i="5"/>
  <c r="Q156" i="5"/>
  <c r="P156" i="5"/>
  <c r="O156" i="5"/>
  <c r="N156" i="5"/>
  <c r="M156" i="5"/>
  <c r="L156" i="5"/>
  <c r="K156" i="5"/>
  <c r="J156" i="5"/>
  <c r="I156" i="5"/>
  <c r="H156" i="5"/>
  <c r="G156" i="5"/>
  <c r="F156" i="5"/>
  <c r="AE155" i="5"/>
  <c r="AC155" i="5"/>
  <c r="AB155" i="5"/>
  <c r="AA155" i="5"/>
  <c r="Z155" i="5"/>
  <c r="Y155" i="5"/>
  <c r="X155" i="5"/>
  <c r="W155" i="5"/>
  <c r="V155" i="5"/>
  <c r="U155" i="5"/>
  <c r="T155" i="5"/>
  <c r="S155" i="5"/>
  <c r="R155" i="5"/>
  <c r="Q155" i="5"/>
  <c r="P155" i="5"/>
  <c r="O155" i="5"/>
  <c r="N155" i="5"/>
  <c r="M155" i="5"/>
  <c r="L155" i="5"/>
  <c r="K155" i="5"/>
  <c r="J155" i="5"/>
  <c r="I155" i="5"/>
  <c r="H155" i="5"/>
  <c r="G155" i="5"/>
  <c r="F155" i="5"/>
  <c r="AE154" i="5"/>
  <c r="AC154" i="5"/>
  <c r="AB154" i="5"/>
  <c r="AA154" i="5"/>
  <c r="Z154" i="5"/>
  <c r="Y154" i="5"/>
  <c r="X154" i="5"/>
  <c r="W154" i="5"/>
  <c r="V154" i="5"/>
  <c r="U154" i="5"/>
  <c r="T154" i="5"/>
  <c r="S154" i="5"/>
  <c r="R154" i="5"/>
  <c r="Q154" i="5"/>
  <c r="P154" i="5"/>
  <c r="O154" i="5"/>
  <c r="N154" i="5"/>
  <c r="M154" i="5"/>
  <c r="L154" i="5"/>
  <c r="K154" i="5"/>
  <c r="J154" i="5"/>
  <c r="I154" i="5"/>
  <c r="H154" i="5"/>
  <c r="G154" i="5"/>
  <c r="F154" i="5"/>
  <c r="AE153" i="5"/>
  <c r="AC153" i="5"/>
  <c r="AB153" i="5"/>
  <c r="AA153" i="5"/>
  <c r="Z153" i="5"/>
  <c r="Y153" i="5"/>
  <c r="X153" i="5"/>
  <c r="W153" i="5"/>
  <c r="V153" i="5"/>
  <c r="U153" i="5"/>
  <c r="T153" i="5"/>
  <c r="S153" i="5"/>
  <c r="R153" i="5"/>
  <c r="Q153" i="5"/>
  <c r="P153" i="5"/>
  <c r="O153" i="5"/>
  <c r="N153" i="5"/>
  <c r="M153" i="5"/>
  <c r="L153" i="5"/>
  <c r="K153" i="5"/>
  <c r="J153" i="5"/>
  <c r="I153" i="5"/>
  <c r="H153" i="5"/>
  <c r="G153" i="5"/>
  <c r="F153" i="5"/>
  <c r="AE152" i="5"/>
  <c r="AC152" i="5"/>
  <c r="AB152" i="5"/>
  <c r="AA152" i="5"/>
  <c r="Z152" i="5"/>
  <c r="Y152" i="5"/>
  <c r="X152" i="5"/>
  <c r="W152" i="5"/>
  <c r="V152" i="5"/>
  <c r="U152" i="5"/>
  <c r="T152" i="5"/>
  <c r="S152" i="5"/>
  <c r="R152" i="5"/>
  <c r="Q152" i="5"/>
  <c r="P152" i="5"/>
  <c r="O152" i="5"/>
  <c r="N152" i="5"/>
  <c r="M152" i="5"/>
  <c r="L152" i="5"/>
  <c r="K152" i="5"/>
  <c r="J152" i="5"/>
  <c r="I152" i="5"/>
  <c r="H152" i="5"/>
  <c r="G152" i="5"/>
  <c r="F152" i="5"/>
  <c r="AE151" i="5"/>
  <c r="AC151" i="5"/>
  <c r="AB151" i="5"/>
  <c r="AA151" i="5"/>
  <c r="Z151" i="5"/>
  <c r="Y151" i="5"/>
  <c r="X151" i="5"/>
  <c r="W151" i="5"/>
  <c r="V151" i="5"/>
  <c r="U151" i="5"/>
  <c r="T151" i="5"/>
  <c r="S151" i="5"/>
  <c r="R151" i="5"/>
  <c r="Q151" i="5"/>
  <c r="P151" i="5"/>
  <c r="O151" i="5"/>
  <c r="N151" i="5"/>
  <c r="M151" i="5"/>
  <c r="L151" i="5"/>
  <c r="K151" i="5"/>
  <c r="J151" i="5"/>
  <c r="I151" i="5"/>
  <c r="H151" i="5"/>
  <c r="G151" i="5"/>
  <c r="F151" i="5"/>
  <c r="AE150" i="5"/>
  <c r="AC150" i="5"/>
  <c r="AB150" i="5"/>
  <c r="AA150" i="5"/>
  <c r="Z150" i="5"/>
  <c r="Y150" i="5"/>
  <c r="X150" i="5"/>
  <c r="W150" i="5"/>
  <c r="V150" i="5"/>
  <c r="U150" i="5"/>
  <c r="T150" i="5"/>
  <c r="S150" i="5"/>
  <c r="R150" i="5"/>
  <c r="Q150" i="5"/>
  <c r="P150" i="5"/>
  <c r="O150" i="5"/>
  <c r="N150" i="5"/>
  <c r="M150" i="5"/>
  <c r="L150" i="5"/>
  <c r="K150" i="5"/>
  <c r="J150" i="5"/>
  <c r="I150" i="5"/>
  <c r="H150" i="5"/>
  <c r="G150" i="5"/>
  <c r="F150" i="5"/>
  <c r="AE149" i="5"/>
  <c r="AC149" i="5"/>
  <c r="AB149" i="5"/>
  <c r="AA149" i="5"/>
  <c r="Z149" i="5"/>
  <c r="Y149" i="5"/>
  <c r="X149" i="5"/>
  <c r="W149" i="5"/>
  <c r="V149" i="5"/>
  <c r="U149" i="5"/>
  <c r="T149" i="5"/>
  <c r="S149" i="5"/>
  <c r="R149" i="5"/>
  <c r="Q149" i="5"/>
  <c r="P149" i="5"/>
  <c r="O149" i="5"/>
  <c r="N149" i="5"/>
  <c r="M149" i="5"/>
  <c r="L149" i="5"/>
  <c r="K149" i="5"/>
  <c r="J149" i="5"/>
  <c r="I149" i="5"/>
  <c r="H149" i="5"/>
  <c r="G149" i="5"/>
  <c r="F149" i="5"/>
  <c r="AE148" i="5"/>
  <c r="AC148" i="5"/>
  <c r="AB148" i="5"/>
  <c r="AA148" i="5"/>
  <c r="Z148" i="5"/>
  <c r="Y148" i="5"/>
  <c r="X148" i="5"/>
  <c r="W148" i="5"/>
  <c r="V148" i="5"/>
  <c r="U148" i="5"/>
  <c r="T148" i="5"/>
  <c r="S148" i="5"/>
  <c r="R148" i="5"/>
  <c r="Q148" i="5"/>
  <c r="P148" i="5"/>
  <c r="O148" i="5"/>
  <c r="N148" i="5"/>
  <c r="M148" i="5"/>
  <c r="L148" i="5"/>
  <c r="K148" i="5"/>
  <c r="J148" i="5"/>
  <c r="I148" i="5"/>
  <c r="H148" i="5"/>
  <c r="G148" i="5"/>
  <c r="F148" i="5"/>
  <c r="AE147" i="5"/>
  <c r="AC147" i="5"/>
  <c r="AB147" i="5"/>
  <c r="AA147" i="5"/>
  <c r="Z147" i="5"/>
  <c r="Y147" i="5"/>
  <c r="X147" i="5"/>
  <c r="W147" i="5"/>
  <c r="V147" i="5"/>
  <c r="U147" i="5"/>
  <c r="T147" i="5"/>
  <c r="S147" i="5"/>
  <c r="R147" i="5"/>
  <c r="Q147" i="5"/>
  <c r="P147" i="5"/>
  <c r="O147" i="5"/>
  <c r="N147" i="5"/>
  <c r="M147" i="5"/>
  <c r="L147" i="5"/>
  <c r="K147" i="5"/>
  <c r="J147" i="5"/>
  <c r="I147" i="5"/>
  <c r="H147" i="5"/>
  <c r="G147" i="5"/>
  <c r="F147" i="5"/>
  <c r="AE146" i="5"/>
  <c r="AC146" i="5"/>
  <c r="AB146" i="5"/>
  <c r="AA146" i="5"/>
  <c r="Z146" i="5"/>
  <c r="Y146" i="5"/>
  <c r="X146" i="5"/>
  <c r="W146" i="5"/>
  <c r="V146" i="5"/>
  <c r="U146" i="5"/>
  <c r="T146" i="5"/>
  <c r="S146" i="5"/>
  <c r="R146" i="5"/>
  <c r="Q146" i="5"/>
  <c r="P146" i="5"/>
  <c r="O146" i="5"/>
  <c r="N146" i="5"/>
  <c r="M146" i="5"/>
  <c r="L146" i="5"/>
  <c r="K146" i="5"/>
  <c r="J146" i="5"/>
  <c r="I146" i="5"/>
  <c r="H146" i="5"/>
  <c r="G146" i="5"/>
  <c r="F146" i="5"/>
  <c r="AE145" i="5"/>
  <c r="AC145" i="5"/>
  <c r="AB145" i="5"/>
  <c r="AA145" i="5"/>
  <c r="Z145" i="5"/>
  <c r="Y145" i="5"/>
  <c r="X145" i="5"/>
  <c r="W145" i="5"/>
  <c r="V145" i="5"/>
  <c r="U145" i="5"/>
  <c r="T145" i="5"/>
  <c r="S145" i="5"/>
  <c r="R145" i="5"/>
  <c r="Q145" i="5"/>
  <c r="P145" i="5"/>
  <c r="O145" i="5"/>
  <c r="N145" i="5"/>
  <c r="M145" i="5"/>
  <c r="L145" i="5"/>
  <c r="K145" i="5"/>
  <c r="J145" i="5"/>
  <c r="I145" i="5"/>
  <c r="H145" i="5"/>
  <c r="G145" i="5"/>
  <c r="F145" i="5"/>
  <c r="AE144" i="5"/>
  <c r="AC144" i="5"/>
  <c r="AB144" i="5"/>
  <c r="AA144" i="5"/>
  <c r="Z144" i="5"/>
  <c r="Y144" i="5"/>
  <c r="X144" i="5"/>
  <c r="W144" i="5"/>
  <c r="V144" i="5"/>
  <c r="U144" i="5"/>
  <c r="T144" i="5"/>
  <c r="S144" i="5"/>
  <c r="R144" i="5"/>
  <c r="Q144" i="5"/>
  <c r="P144" i="5"/>
  <c r="O144" i="5"/>
  <c r="N144" i="5"/>
  <c r="M144" i="5"/>
  <c r="L144" i="5"/>
  <c r="K144" i="5"/>
  <c r="J144" i="5"/>
  <c r="I144" i="5"/>
  <c r="H144" i="5"/>
  <c r="G144" i="5"/>
  <c r="F144" i="5"/>
  <c r="AE143" i="5"/>
  <c r="AC143" i="5"/>
  <c r="AB143" i="5"/>
  <c r="AA143" i="5"/>
  <c r="Z143" i="5"/>
  <c r="Y143" i="5"/>
  <c r="X143" i="5"/>
  <c r="W143" i="5"/>
  <c r="V143" i="5"/>
  <c r="U143" i="5"/>
  <c r="T143" i="5"/>
  <c r="S143" i="5"/>
  <c r="R143" i="5"/>
  <c r="Q143" i="5"/>
  <c r="P143" i="5"/>
  <c r="O143" i="5"/>
  <c r="N143" i="5"/>
  <c r="M143" i="5"/>
  <c r="L143" i="5"/>
  <c r="K143" i="5"/>
  <c r="J143" i="5"/>
  <c r="I143" i="5"/>
  <c r="H143" i="5"/>
  <c r="G143" i="5"/>
  <c r="F143" i="5"/>
  <c r="AE142" i="5"/>
  <c r="AC142" i="5"/>
  <c r="AB142" i="5"/>
  <c r="AA142" i="5"/>
  <c r="Z142" i="5"/>
  <c r="Y142" i="5"/>
  <c r="X142" i="5"/>
  <c r="W142" i="5"/>
  <c r="V142" i="5"/>
  <c r="U142" i="5"/>
  <c r="T142" i="5"/>
  <c r="S142" i="5"/>
  <c r="R142" i="5"/>
  <c r="Q142" i="5"/>
  <c r="P142" i="5"/>
  <c r="O142" i="5"/>
  <c r="N142" i="5"/>
  <c r="M142" i="5"/>
  <c r="L142" i="5"/>
  <c r="K142" i="5"/>
  <c r="J142" i="5"/>
  <c r="I142" i="5"/>
  <c r="H142" i="5"/>
  <c r="G142" i="5"/>
  <c r="F142" i="5"/>
  <c r="AE141" i="5"/>
  <c r="AC141" i="5"/>
  <c r="AB141" i="5"/>
  <c r="AA141" i="5"/>
  <c r="Z141" i="5"/>
  <c r="Y141" i="5"/>
  <c r="X141" i="5"/>
  <c r="W141" i="5"/>
  <c r="V141" i="5"/>
  <c r="U141" i="5"/>
  <c r="T141" i="5"/>
  <c r="S141" i="5"/>
  <c r="R141" i="5"/>
  <c r="Q141" i="5"/>
  <c r="P141" i="5"/>
  <c r="O141" i="5"/>
  <c r="N141" i="5"/>
  <c r="M141" i="5"/>
  <c r="L141" i="5"/>
  <c r="K141" i="5"/>
  <c r="J141" i="5"/>
  <c r="I141" i="5"/>
  <c r="H141" i="5"/>
  <c r="G141" i="5"/>
  <c r="F141" i="5"/>
  <c r="AE140" i="5"/>
  <c r="AC140" i="5"/>
  <c r="AB140" i="5"/>
  <c r="AA140" i="5"/>
  <c r="Z140" i="5"/>
  <c r="Y140" i="5"/>
  <c r="X140" i="5"/>
  <c r="W140" i="5"/>
  <c r="V140" i="5"/>
  <c r="U140" i="5"/>
  <c r="T140" i="5"/>
  <c r="S140" i="5"/>
  <c r="R140" i="5"/>
  <c r="Q140" i="5"/>
  <c r="P140" i="5"/>
  <c r="O140" i="5"/>
  <c r="N140" i="5"/>
  <c r="M140" i="5"/>
  <c r="L140" i="5"/>
  <c r="K140" i="5"/>
  <c r="J140" i="5"/>
  <c r="I140" i="5"/>
  <c r="H140" i="5"/>
  <c r="G140" i="5"/>
  <c r="F140" i="5"/>
  <c r="AE139" i="5"/>
  <c r="AC139" i="5"/>
  <c r="AB139" i="5"/>
  <c r="AA139" i="5"/>
  <c r="Z139" i="5"/>
  <c r="Y139" i="5"/>
  <c r="X139" i="5"/>
  <c r="W139" i="5"/>
  <c r="V139" i="5"/>
  <c r="U139" i="5"/>
  <c r="T139" i="5"/>
  <c r="S139" i="5"/>
  <c r="R139" i="5"/>
  <c r="Q139" i="5"/>
  <c r="P139" i="5"/>
  <c r="O139" i="5"/>
  <c r="N139" i="5"/>
  <c r="M139" i="5"/>
  <c r="L139" i="5"/>
  <c r="K139" i="5"/>
  <c r="J139" i="5"/>
  <c r="I139" i="5"/>
  <c r="H139" i="5"/>
  <c r="G139" i="5"/>
  <c r="F139" i="5"/>
  <c r="AE138" i="5"/>
  <c r="AC138" i="5"/>
  <c r="AB138" i="5"/>
  <c r="AA138" i="5"/>
  <c r="Z138" i="5"/>
  <c r="Y138" i="5"/>
  <c r="X138" i="5"/>
  <c r="W138" i="5"/>
  <c r="V138" i="5"/>
  <c r="U138" i="5"/>
  <c r="T138" i="5"/>
  <c r="S138" i="5"/>
  <c r="R138" i="5"/>
  <c r="Q138" i="5"/>
  <c r="P138" i="5"/>
  <c r="O138" i="5"/>
  <c r="N138" i="5"/>
  <c r="M138" i="5"/>
  <c r="L138" i="5"/>
  <c r="K138" i="5"/>
  <c r="J138" i="5"/>
  <c r="I138" i="5"/>
  <c r="H138" i="5"/>
  <c r="G138" i="5"/>
  <c r="F138" i="5"/>
  <c r="AE137" i="5"/>
  <c r="AC137" i="5"/>
  <c r="AB137" i="5"/>
  <c r="AA137" i="5"/>
  <c r="Z137" i="5"/>
  <c r="Y137" i="5"/>
  <c r="X137" i="5"/>
  <c r="W137" i="5"/>
  <c r="V137" i="5"/>
  <c r="U137" i="5"/>
  <c r="T137" i="5"/>
  <c r="S137" i="5"/>
  <c r="R137" i="5"/>
  <c r="Q137" i="5"/>
  <c r="P137" i="5"/>
  <c r="O137" i="5"/>
  <c r="N137" i="5"/>
  <c r="M137" i="5"/>
  <c r="L137" i="5"/>
  <c r="K137" i="5"/>
  <c r="J137" i="5"/>
  <c r="I137" i="5"/>
  <c r="H137" i="5"/>
  <c r="G137" i="5"/>
  <c r="F137" i="5"/>
  <c r="AE136" i="5"/>
  <c r="AC136" i="5"/>
  <c r="AB136" i="5"/>
  <c r="AA136" i="5"/>
  <c r="Z136" i="5"/>
  <c r="Y136" i="5"/>
  <c r="X136" i="5"/>
  <c r="W136" i="5"/>
  <c r="V136" i="5"/>
  <c r="U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H136" i="5"/>
  <c r="G136" i="5"/>
  <c r="F136" i="5"/>
  <c r="AE135" i="5"/>
  <c r="AC135" i="5"/>
  <c r="AB135" i="5"/>
  <c r="AA135" i="5"/>
  <c r="Z135" i="5"/>
  <c r="Y135" i="5"/>
  <c r="X135" i="5"/>
  <c r="W135" i="5"/>
  <c r="V135" i="5"/>
  <c r="U135" i="5"/>
  <c r="T135" i="5"/>
  <c r="S135" i="5"/>
  <c r="R135" i="5"/>
  <c r="Q135" i="5"/>
  <c r="P135" i="5"/>
  <c r="O135" i="5"/>
  <c r="N135" i="5"/>
  <c r="M135" i="5"/>
  <c r="L135" i="5"/>
  <c r="K135" i="5"/>
  <c r="J135" i="5"/>
  <c r="I135" i="5"/>
  <c r="H135" i="5"/>
  <c r="G135" i="5"/>
  <c r="F135" i="5"/>
  <c r="AE134" i="5"/>
  <c r="AC134" i="5"/>
  <c r="AB134" i="5"/>
  <c r="AA134" i="5"/>
  <c r="Z134" i="5"/>
  <c r="Y134" i="5"/>
  <c r="X134" i="5"/>
  <c r="W134" i="5"/>
  <c r="V134" i="5"/>
  <c r="U134" i="5"/>
  <c r="T134" i="5"/>
  <c r="S134" i="5"/>
  <c r="R134" i="5"/>
  <c r="Q134" i="5"/>
  <c r="P134" i="5"/>
  <c r="O134" i="5"/>
  <c r="N134" i="5"/>
  <c r="M134" i="5"/>
  <c r="L134" i="5"/>
  <c r="K134" i="5"/>
  <c r="J134" i="5"/>
  <c r="I134" i="5"/>
  <c r="H134" i="5"/>
  <c r="G134" i="5"/>
  <c r="F134" i="5"/>
  <c r="AE133" i="5"/>
  <c r="AC133" i="5"/>
  <c r="AB133" i="5"/>
  <c r="AA133" i="5"/>
  <c r="Z133" i="5"/>
  <c r="Y133" i="5"/>
  <c r="X133" i="5"/>
  <c r="W133" i="5"/>
  <c r="V133" i="5"/>
  <c r="U133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H133" i="5"/>
  <c r="G133" i="5"/>
  <c r="F133" i="5"/>
  <c r="AE132" i="5"/>
  <c r="AC132" i="5"/>
  <c r="AB132" i="5"/>
  <c r="AA132" i="5"/>
  <c r="Z132" i="5"/>
  <c r="Y132" i="5"/>
  <c r="X132" i="5"/>
  <c r="W132" i="5"/>
  <c r="V132" i="5"/>
  <c r="U132" i="5"/>
  <c r="T132" i="5"/>
  <c r="S132" i="5"/>
  <c r="R132" i="5"/>
  <c r="Q132" i="5"/>
  <c r="P132" i="5"/>
  <c r="O132" i="5"/>
  <c r="N132" i="5"/>
  <c r="M132" i="5"/>
  <c r="L132" i="5"/>
  <c r="K132" i="5"/>
  <c r="J132" i="5"/>
  <c r="I132" i="5"/>
  <c r="H132" i="5"/>
  <c r="G132" i="5"/>
  <c r="F132" i="5"/>
  <c r="AE131" i="5"/>
  <c r="AC131" i="5"/>
  <c r="AB131" i="5"/>
  <c r="AA131" i="5"/>
  <c r="Z131" i="5"/>
  <c r="Y131" i="5"/>
  <c r="X131" i="5"/>
  <c r="W131" i="5"/>
  <c r="V131" i="5"/>
  <c r="U131" i="5"/>
  <c r="T131" i="5"/>
  <c r="S131" i="5"/>
  <c r="R131" i="5"/>
  <c r="Q131" i="5"/>
  <c r="P131" i="5"/>
  <c r="O131" i="5"/>
  <c r="N131" i="5"/>
  <c r="M131" i="5"/>
  <c r="L131" i="5"/>
  <c r="K131" i="5"/>
  <c r="J131" i="5"/>
  <c r="I131" i="5"/>
  <c r="H131" i="5"/>
  <c r="G131" i="5"/>
  <c r="F131" i="5"/>
  <c r="AE130" i="5"/>
  <c r="AC130" i="5"/>
  <c r="AB130" i="5"/>
  <c r="AA130" i="5"/>
  <c r="Z130" i="5"/>
  <c r="Y130" i="5"/>
  <c r="X130" i="5"/>
  <c r="W130" i="5"/>
  <c r="V130" i="5"/>
  <c r="U130" i="5"/>
  <c r="T130" i="5"/>
  <c r="S130" i="5"/>
  <c r="R130" i="5"/>
  <c r="Q130" i="5"/>
  <c r="P130" i="5"/>
  <c r="O130" i="5"/>
  <c r="N130" i="5"/>
  <c r="M130" i="5"/>
  <c r="L130" i="5"/>
  <c r="K130" i="5"/>
  <c r="J130" i="5"/>
  <c r="I130" i="5"/>
  <c r="H130" i="5"/>
  <c r="G130" i="5"/>
  <c r="F130" i="5"/>
  <c r="AE129" i="5"/>
  <c r="AC129" i="5"/>
  <c r="AB129" i="5"/>
  <c r="AA129" i="5"/>
  <c r="Z129" i="5"/>
  <c r="Y129" i="5"/>
  <c r="X129" i="5"/>
  <c r="W129" i="5"/>
  <c r="V129" i="5"/>
  <c r="U129" i="5"/>
  <c r="T129" i="5"/>
  <c r="S129" i="5"/>
  <c r="R129" i="5"/>
  <c r="Q129" i="5"/>
  <c r="P129" i="5"/>
  <c r="O129" i="5"/>
  <c r="N129" i="5"/>
  <c r="M129" i="5"/>
  <c r="L129" i="5"/>
  <c r="K129" i="5"/>
  <c r="J129" i="5"/>
  <c r="I129" i="5"/>
  <c r="H129" i="5"/>
  <c r="G129" i="5"/>
  <c r="F129" i="5"/>
  <c r="AE128" i="5"/>
  <c r="AC128" i="5"/>
  <c r="AB128" i="5"/>
  <c r="AA128" i="5"/>
  <c r="Z128" i="5"/>
  <c r="Y128" i="5"/>
  <c r="X128" i="5"/>
  <c r="W128" i="5"/>
  <c r="V128" i="5"/>
  <c r="U128" i="5"/>
  <c r="T128" i="5"/>
  <c r="S128" i="5"/>
  <c r="R128" i="5"/>
  <c r="Q128" i="5"/>
  <c r="P128" i="5"/>
  <c r="O128" i="5"/>
  <c r="N128" i="5"/>
  <c r="M128" i="5"/>
  <c r="L128" i="5"/>
  <c r="K128" i="5"/>
  <c r="J128" i="5"/>
  <c r="I128" i="5"/>
  <c r="H128" i="5"/>
  <c r="G128" i="5"/>
  <c r="F128" i="5"/>
  <c r="AE127" i="5"/>
  <c r="AC127" i="5"/>
  <c r="AB127" i="5"/>
  <c r="AA127" i="5"/>
  <c r="Z127" i="5"/>
  <c r="Y127" i="5"/>
  <c r="X127" i="5"/>
  <c r="W127" i="5"/>
  <c r="V127" i="5"/>
  <c r="U127" i="5"/>
  <c r="T127" i="5"/>
  <c r="S127" i="5"/>
  <c r="R127" i="5"/>
  <c r="Q127" i="5"/>
  <c r="P127" i="5"/>
  <c r="O127" i="5"/>
  <c r="N127" i="5"/>
  <c r="M127" i="5"/>
  <c r="L127" i="5"/>
  <c r="K127" i="5"/>
  <c r="J127" i="5"/>
  <c r="I127" i="5"/>
  <c r="H127" i="5"/>
  <c r="G127" i="5"/>
  <c r="F127" i="5"/>
  <c r="AE126" i="5"/>
  <c r="AC126" i="5"/>
  <c r="AB126" i="5"/>
  <c r="AA126" i="5"/>
  <c r="Z126" i="5"/>
  <c r="Y126" i="5"/>
  <c r="X126" i="5"/>
  <c r="W126" i="5"/>
  <c r="V126" i="5"/>
  <c r="U126" i="5"/>
  <c r="T126" i="5"/>
  <c r="S126" i="5"/>
  <c r="R126" i="5"/>
  <c r="Q126" i="5"/>
  <c r="P126" i="5"/>
  <c r="O126" i="5"/>
  <c r="N126" i="5"/>
  <c r="M126" i="5"/>
  <c r="L126" i="5"/>
  <c r="K126" i="5"/>
  <c r="J126" i="5"/>
  <c r="I126" i="5"/>
  <c r="H126" i="5"/>
  <c r="G126" i="5"/>
  <c r="F126" i="5"/>
  <c r="AE125" i="5"/>
  <c r="AC125" i="5"/>
  <c r="AB125" i="5"/>
  <c r="AA125" i="5"/>
  <c r="Z125" i="5"/>
  <c r="Y125" i="5"/>
  <c r="X125" i="5"/>
  <c r="W125" i="5"/>
  <c r="V125" i="5"/>
  <c r="U125" i="5"/>
  <c r="T125" i="5"/>
  <c r="S125" i="5"/>
  <c r="R125" i="5"/>
  <c r="Q125" i="5"/>
  <c r="P125" i="5"/>
  <c r="O125" i="5"/>
  <c r="N125" i="5"/>
  <c r="M125" i="5"/>
  <c r="L125" i="5"/>
  <c r="K125" i="5"/>
  <c r="J125" i="5"/>
  <c r="I125" i="5"/>
  <c r="H125" i="5"/>
  <c r="G125" i="5"/>
  <c r="F125" i="5"/>
  <c r="AE124" i="5"/>
  <c r="AC124" i="5"/>
  <c r="AB124" i="5"/>
  <c r="AA124" i="5"/>
  <c r="Z124" i="5"/>
  <c r="Y124" i="5"/>
  <c r="X124" i="5"/>
  <c r="W124" i="5"/>
  <c r="V124" i="5"/>
  <c r="U124" i="5"/>
  <c r="T124" i="5"/>
  <c r="S124" i="5"/>
  <c r="R124" i="5"/>
  <c r="Q124" i="5"/>
  <c r="P124" i="5"/>
  <c r="O124" i="5"/>
  <c r="N124" i="5"/>
  <c r="M124" i="5"/>
  <c r="L124" i="5"/>
  <c r="K124" i="5"/>
  <c r="J124" i="5"/>
  <c r="I124" i="5"/>
  <c r="H124" i="5"/>
  <c r="G124" i="5"/>
  <c r="F124" i="5"/>
  <c r="AE123" i="5"/>
  <c r="AC123" i="5"/>
  <c r="AB123" i="5"/>
  <c r="AA123" i="5"/>
  <c r="Z123" i="5"/>
  <c r="Y123" i="5"/>
  <c r="X123" i="5"/>
  <c r="W123" i="5"/>
  <c r="V123" i="5"/>
  <c r="U123" i="5"/>
  <c r="T123" i="5"/>
  <c r="S123" i="5"/>
  <c r="R123" i="5"/>
  <c r="Q123" i="5"/>
  <c r="P123" i="5"/>
  <c r="O123" i="5"/>
  <c r="N123" i="5"/>
  <c r="M123" i="5"/>
  <c r="L123" i="5"/>
  <c r="K123" i="5"/>
  <c r="J123" i="5"/>
  <c r="I123" i="5"/>
  <c r="H123" i="5"/>
  <c r="G123" i="5"/>
  <c r="F123" i="5"/>
  <c r="AE122" i="5"/>
  <c r="AC122" i="5"/>
  <c r="AB122" i="5"/>
  <c r="AA122" i="5"/>
  <c r="Z122" i="5"/>
  <c r="Y122" i="5"/>
  <c r="X122" i="5"/>
  <c r="W122" i="5"/>
  <c r="V122" i="5"/>
  <c r="U122" i="5"/>
  <c r="T122" i="5"/>
  <c r="S122" i="5"/>
  <c r="R122" i="5"/>
  <c r="Q122" i="5"/>
  <c r="P122" i="5"/>
  <c r="O122" i="5"/>
  <c r="N122" i="5"/>
  <c r="M122" i="5"/>
  <c r="L122" i="5"/>
  <c r="K122" i="5"/>
  <c r="J122" i="5"/>
  <c r="I122" i="5"/>
  <c r="H122" i="5"/>
  <c r="G122" i="5"/>
  <c r="F122" i="5"/>
  <c r="AE121" i="5"/>
  <c r="AC121" i="5"/>
  <c r="AB121" i="5"/>
  <c r="AA121" i="5"/>
  <c r="Z121" i="5"/>
  <c r="Y121" i="5"/>
  <c r="X121" i="5"/>
  <c r="W121" i="5"/>
  <c r="V121" i="5"/>
  <c r="U121" i="5"/>
  <c r="T121" i="5"/>
  <c r="S121" i="5"/>
  <c r="R121" i="5"/>
  <c r="Q121" i="5"/>
  <c r="P121" i="5"/>
  <c r="O121" i="5"/>
  <c r="N121" i="5"/>
  <c r="M121" i="5"/>
  <c r="L121" i="5"/>
  <c r="K121" i="5"/>
  <c r="J121" i="5"/>
  <c r="I121" i="5"/>
  <c r="H121" i="5"/>
  <c r="G121" i="5"/>
  <c r="F121" i="5"/>
  <c r="AE120" i="5"/>
  <c r="AC120" i="5"/>
  <c r="AB120" i="5"/>
  <c r="AA120" i="5"/>
  <c r="Z120" i="5"/>
  <c r="Y120" i="5"/>
  <c r="X120" i="5"/>
  <c r="W120" i="5"/>
  <c r="V120" i="5"/>
  <c r="U120" i="5"/>
  <c r="T120" i="5"/>
  <c r="S120" i="5"/>
  <c r="R120" i="5"/>
  <c r="Q120" i="5"/>
  <c r="P120" i="5"/>
  <c r="O120" i="5"/>
  <c r="N120" i="5"/>
  <c r="M120" i="5"/>
  <c r="L120" i="5"/>
  <c r="K120" i="5"/>
  <c r="J120" i="5"/>
  <c r="I120" i="5"/>
  <c r="H120" i="5"/>
  <c r="G120" i="5"/>
  <c r="F120" i="5"/>
  <c r="AE119" i="5"/>
  <c r="AC119" i="5"/>
  <c r="AB119" i="5"/>
  <c r="AA119" i="5"/>
  <c r="Z119" i="5"/>
  <c r="Y119" i="5"/>
  <c r="X119" i="5"/>
  <c r="W119" i="5"/>
  <c r="V119" i="5"/>
  <c r="U119" i="5"/>
  <c r="T119" i="5"/>
  <c r="S119" i="5"/>
  <c r="R119" i="5"/>
  <c r="Q119" i="5"/>
  <c r="P119" i="5"/>
  <c r="O119" i="5"/>
  <c r="N119" i="5"/>
  <c r="M119" i="5"/>
  <c r="L119" i="5"/>
  <c r="K119" i="5"/>
  <c r="J119" i="5"/>
  <c r="I119" i="5"/>
  <c r="H119" i="5"/>
  <c r="G119" i="5"/>
  <c r="F119" i="5"/>
  <c r="AE118" i="5"/>
  <c r="AC118" i="5"/>
  <c r="AB118" i="5"/>
  <c r="AA118" i="5"/>
  <c r="Z118" i="5"/>
  <c r="Y118" i="5"/>
  <c r="X118" i="5"/>
  <c r="W118" i="5"/>
  <c r="V118" i="5"/>
  <c r="U118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H118" i="5"/>
  <c r="G118" i="5"/>
  <c r="F118" i="5"/>
  <c r="AE117" i="5"/>
  <c r="AC117" i="5"/>
  <c r="AB117" i="5"/>
  <c r="AA117" i="5"/>
  <c r="Z117" i="5"/>
  <c r="Y117" i="5"/>
  <c r="X117" i="5"/>
  <c r="W117" i="5"/>
  <c r="V117" i="5"/>
  <c r="U117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H117" i="5"/>
  <c r="G117" i="5"/>
  <c r="F117" i="5"/>
  <c r="AE116" i="5"/>
  <c r="AC116" i="5"/>
  <c r="AB116" i="5"/>
  <c r="AA116" i="5"/>
  <c r="Z116" i="5"/>
  <c r="Y116" i="5"/>
  <c r="X116" i="5"/>
  <c r="W116" i="5"/>
  <c r="V116" i="5"/>
  <c r="U116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H116" i="5"/>
  <c r="G116" i="5"/>
  <c r="F116" i="5"/>
  <c r="AE115" i="5"/>
  <c r="AC115" i="5"/>
  <c r="AB115" i="5"/>
  <c r="AA115" i="5"/>
  <c r="Z115" i="5"/>
  <c r="Y115" i="5"/>
  <c r="X115" i="5"/>
  <c r="W115" i="5"/>
  <c r="V115" i="5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AE114" i="5"/>
  <c r="AC114" i="5"/>
  <c r="AB114" i="5"/>
  <c r="AA114" i="5"/>
  <c r="Z114" i="5"/>
  <c r="Y114" i="5"/>
  <c r="X114" i="5"/>
  <c r="W114" i="5"/>
  <c r="V114" i="5"/>
  <c r="U114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H114" i="5"/>
  <c r="G114" i="5"/>
  <c r="F114" i="5"/>
  <c r="AE113" i="5"/>
  <c r="AC113" i="5"/>
  <c r="AB113" i="5"/>
  <c r="AA113" i="5"/>
  <c r="Z113" i="5"/>
  <c r="Y113" i="5"/>
  <c r="X113" i="5"/>
  <c r="W113" i="5"/>
  <c r="V113" i="5"/>
  <c r="U113" i="5"/>
  <c r="T113" i="5"/>
  <c r="S113" i="5"/>
  <c r="R113" i="5"/>
  <c r="Q113" i="5"/>
  <c r="P113" i="5"/>
  <c r="O113" i="5"/>
  <c r="N113" i="5"/>
  <c r="M113" i="5"/>
  <c r="L113" i="5"/>
  <c r="K113" i="5"/>
  <c r="J113" i="5"/>
  <c r="I113" i="5"/>
  <c r="H113" i="5"/>
  <c r="G113" i="5"/>
  <c r="F113" i="5"/>
  <c r="AE112" i="5"/>
  <c r="AC112" i="5"/>
  <c r="AB112" i="5"/>
  <c r="AA112" i="5"/>
  <c r="Z112" i="5"/>
  <c r="Y112" i="5"/>
  <c r="X112" i="5"/>
  <c r="W112" i="5"/>
  <c r="V112" i="5"/>
  <c r="U112" i="5"/>
  <c r="T112" i="5"/>
  <c r="S112" i="5"/>
  <c r="R112" i="5"/>
  <c r="Q112" i="5"/>
  <c r="P112" i="5"/>
  <c r="O112" i="5"/>
  <c r="N112" i="5"/>
  <c r="M112" i="5"/>
  <c r="L112" i="5"/>
  <c r="K112" i="5"/>
  <c r="J112" i="5"/>
  <c r="I112" i="5"/>
  <c r="H112" i="5"/>
  <c r="G112" i="5"/>
  <c r="F112" i="5"/>
  <c r="AE111" i="5"/>
  <c r="AC111" i="5"/>
  <c r="AB111" i="5"/>
  <c r="AA111" i="5"/>
  <c r="Z111" i="5"/>
  <c r="Y111" i="5"/>
  <c r="X111" i="5"/>
  <c r="W111" i="5"/>
  <c r="V111" i="5"/>
  <c r="U111" i="5"/>
  <c r="T111" i="5"/>
  <c r="S111" i="5"/>
  <c r="R111" i="5"/>
  <c r="Q111" i="5"/>
  <c r="P111" i="5"/>
  <c r="O111" i="5"/>
  <c r="N111" i="5"/>
  <c r="M111" i="5"/>
  <c r="L111" i="5"/>
  <c r="K111" i="5"/>
  <c r="J111" i="5"/>
  <c r="I111" i="5"/>
  <c r="H111" i="5"/>
  <c r="G111" i="5"/>
  <c r="F111" i="5"/>
  <c r="AE110" i="5"/>
  <c r="AC110" i="5"/>
  <c r="AB110" i="5"/>
  <c r="AA110" i="5"/>
  <c r="Z110" i="5"/>
  <c r="Y110" i="5"/>
  <c r="X110" i="5"/>
  <c r="W110" i="5"/>
  <c r="V110" i="5"/>
  <c r="U110" i="5"/>
  <c r="T110" i="5"/>
  <c r="S110" i="5"/>
  <c r="R110" i="5"/>
  <c r="Q110" i="5"/>
  <c r="P110" i="5"/>
  <c r="O110" i="5"/>
  <c r="N110" i="5"/>
  <c r="M110" i="5"/>
  <c r="L110" i="5"/>
  <c r="K110" i="5"/>
  <c r="J110" i="5"/>
  <c r="I110" i="5"/>
  <c r="H110" i="5"/>
  <c r="G110" i="5"/>
  <c r="F110" i="5"/>
  <c r="AE109" i="5"/>
  <c r="AC109" i="5"/>
  <c r="AB109" i="5"/>
  <c r="AA109" i="5"/>
  <c r="Z109" i="5"/>
  <c r="Y109" i="5"/>
  <c r="X109" i="5"/>
  <c r="W109" i="5"/>
  <c r="V109" i="5"/>
  <c r="U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H109" i="5"/>
  <c r="G109" i="5"/>
  <c r="F109" i="5"/>
  <c r="AE108" i="5"/>
  <c r="AC108" i="5"/>
  <c r="AB108" i="5"/>
  <c r="AA108" i="5"/>
  <c r="Z108" i="5"/>
  <c r="Y108" i="5"/>
  <c r="X108" i="5"/>
  <c r="W108" i="5"/>
  <c r="V108" i="5"/>
  <c r="U108" i="5"/>
  <c r="T108" i="5"/>
  <c r="S108" i="5"/>
  <c r="R108" i="5"/>
  <c r="Q108" i="5"/>
  <c r="P108" i="5"/>
  <c r="O108" i="5"/>
  <c r="N108" i="5"/>
  <c r="M108" i="5"/>
  <c r="L108" i="5"/>
  <c r="K108" i="5"/>
  <c r="J108" i="5"/>
  <c r="I108" i="5"/>
  <c r="H108" i="5"/>
  <c r="G108" i="5"/>
  <c r="F108" i="5"/>
  <c r="AE107" i="5"/>
  <c r="AC107" i="5"/>
  <c r="AB107" i="5"/>
  <c r="AA107" i="5"/>
  <c r="Z107" i="5"/>
  <c r="Y107" i="5"/>
  <c r="X107" i="5"/>
  <c r="W107" i="5"/>
  <c r="V107" i="5"/>
  <c r="U107" i="5"/>
  <c r="T107" i="5"/>
  <c r="S107" i="5"/>
  <c r="R107" i="5"/>
  <c r="Q107" i="5"/>
  <c r="P107" i="5"/>
  <c r="O107" i="5"/>
  <c r="N107" i="5"/>
  <c r="M107" i="5"/>
  <c r="L107" i="5"/>
  <c r="K107" i="5"/>
  <c r="J107" i="5"/>
  <c r="I107" i="5"/>
  <c r="H107" i="5"/>
  <c r="G107" i="5"/>
  <c r="F107" i="5"/>
  <c r="AE106" i="5"/>
  <c r="AC106" i="5"/>
  <c r="AB106" i="5"/>
  <c r="AA106" i="5"/>
  <c r="Z106" i="5"/>
  <c r="Y106" i="5"/>
  <c r="X106" i="5"/>
  <c r="W106" i="5"/>
  <c r="V106" i="5"/>
  <c r="U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H106" i="5"/>
  <c r="G106" i="5"/>
  <c r="F106" i="5"/>
  <c r="AE105" i="5"/>
  <c r="AC105" i="5"/>
  <c r="AB105" i="5"/>
  <c r="AA105" i="5"/>
  <c r="Z105" i="5"/>
  <c r="Y105" i="5"/>
  <c r="X105" i="5"/>
  <c r="W105" i="5"/>
  <c r="V105" i="5"/>
  <c r="U105" i="5"/>
  <c r="T105" i="5"/>
  <c r="S105" i="5"/>
  <c r="R105" i="5"/>
  <c r="Q105" i="5"/>
  <c r="P105" i="5"/>
  <c r="O105" i="5"/>
  <c r="N105" i="5"/>
  <c r="M105" i="5"/>
  <c r="L105" i="5"/>
  <c r="K105" i="5"/>
  <c r="J105" i="5"/>
  <c r="I105" i="5"/>
  <c r="H105" i="5"/>
  <c r="G105" i="5"/>
  <c r="F105" i="5"/>
  <c r="AE104" i="5"/>
  <c r="AC104" i="5"/>
  <c r="AB104" i="5"/>
  <c r="AA104" i="5"/>
  <c r="Z104" i="5"/>
  <c r="Y104" i="5"/>
  <c r="X104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AE103" i="5"/>
  <c r="AC103" i="5"/>
  <c r="AB103" i="5"/>
  <c r="AA103" i="5"/>
  <c r="Z103" i="5"/>
  <c r="Y103" i="5"/>
  <c r="X103" i="5"/>
  <c r="W103" i="5"/>
  <c r="V103" i="5"/>
  <c r="U103" i="5"/>
  <c r="T103" i="5"/>
  <c r="S103" i="5"/>
  <c r="R103" i="5"/>
  <c r="Q103" i="5"/>
  <c r="P103" i="5"/>
  <c r="O103" i="5"/>
  <c r="N103" i="5"/>
  <c r="M103" i="5"/>
  <c r="L103" i="5"/>
  <c r="K103" i="5"/>
  <c r="J103" i="5"/>
  <c r="I103" i="5"/>
  <c r="H103" i="5"/>
  <c r="G103" i="5"/>
  <c r="F103" i="5"/>
  <c r="AE102" i="5"/>
  <c r="AC102" i="5"/>
  <c r="AB102" i="5"/>
  <c r="AA102" i="5"/>
  <c r="Z102" i="5"/>
  <c r="Y102" i="5"/>
  <c r="X102" i="5"/>
  <c r="W102" i="5"/>
  <c r="V102" i="5"/>
  <c r="U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H102" i="5"/>
  <c r="G102" i="5"/>
  <c r="F102" i="5"/>
  <c r="AE101" i="5"/>
  <c r="AC101" i="5"/>
  <c r="AB101" i="5"/>
  <c r="AA101" i="5"/>
  <c r="Z101" i="5"/>
  <c r="Y101" i="5"/>
  <c r="X101" i="5"/>
  <c r="W101" i="5"/>
  <c r="V101" i="5"/>
  <c r="U101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H101" i="5"/>
  <c r="G101" i="5"/>
  <c r="F101" i="5"/>
  <c r="AE100" i="5"/>
  <c r="AC100" i="5"/>
  <c r="AB100" i="5"/>
  <c r="AA100" i="5"/>
  <c r="Z100" i="5"/>
  <c r="Y100" i="5"/>
  <c r="X100" i="5"/>
  <c r="W100" i="5"/>
  <c r="V100" i="5"/>
  <c r="U100" i="5"/>
  <c r="T100" i="5"/>
  <c r="S100" i="5"/>
  <c r="R100" i="5"/>
  <c r="Q100" i="5"/>
  <c r="P100" i="5"/>
  <c r="O100" i="5"/>
  <c r="N100" i="5"/>
  <c r="M100" i="5"/>
  <c r="L100" i="5"/>
  <c r="K100" i="5"/>
  <c r="J100" i="5"/>
  <c r="I100" i="5"/>
  <c r="H100" i="5"/>
  <c r="G100" i="5"/>
  <c r="F100" i="5"/>
  <c r="AE99" i="5"/>
  <c r="AC99" i="5"/>
  <c r="AB99" i="5"/>
  <c r="AA99" i="5"/>
  <c r="Z99" i="5"/>
  <c r="Y99" i="5"/>
  <c r="X99" i="5"/>
  <c r="W99" i="5"/>
  <c r="V99" i="5"/>
  <c r="U99" i="5"/>
  <c r="T99" i="5"/>
  <c r="S99" i="5"/>
  <c r="R99" i="5"/>
  <c r="Q99" i="5"/>
  <c r="P99" i="5"/>
  <c r="O99" i="5"/>
  <c r="N99" i="5"/>
  <c r="M99" i="5"/>
  <c r="L99" i="5"/>
  <c r="K99" i="5"/>
  <c r="J99" i="5"/>
  <c r="I99" i="5"/>
  <c r="H99" i="5"/>
  <c r="G99" i="5"/>
  <c r="F99" i="5"/>
  <c r="AE98" i="5"/>
  <c r="AC98" i="5"/>
  <c r="AB98" i="5"/>
  <c r="AA98" i="5"/>
  <c r="Z98" i="5"/>
  <c r="Y98" i="5"/>
  <c r="X98" i="5"/>
  <c r="W98" i="5"/>
  <c r="V98" i="5"/>
  <c r="U98" i="5"/>
  <c r="T98" i="5"/>
  <c r="S98" i="5"/>
  <c r="R98" i="5"/>
  <c r="Q98" i="5"/>
  <c r="P98" i="5"/>
  <c r="O98" i="5"/>
  <c r="N98" i="5"/>
  <c r="M98" i="5"/>
  <c r="L98" i="5"/>
  <c r="K98" i="5"/>
  <c r="J98" i="5"/>
  <c r="I98" i="5"/>
  <c r="H98" i="5"/>
  <c r="G98" i="5"/>
  <c r="F98" i="5"/>
  <c r="AE97" i="5"/>
  <c r="AC97" i="5"/>
  <c r="AB97" i="5"/>
  <c r="AA97" i="5"/>
  <c r="Z97" i="5"/>
  <c r="Y97" i="5"/>
  <c r="X97" i="5"/>
  <c r="W97" i="5"/>
  <c r="V97" i="5"/>
  <c r="U97" i="5"/>
  <c r="T97" i="5"/>
  <c r="S97" i="5"/>
  <c r="R97" i="5"/>
  <c r="Q97" i="5"/>
  <c r="P97" i="5"/>
  <c r="O97" i="5"/>
  <c r="N97" i="5"/>
  <c r="M97" i="5"/>
  <c r="L97" i="5"/>
  <c r="K97" i="5"/>
  <c r="J97" i="5"/>
  <c r="I97" i="5"/>
  <c r="H97" i="5"/>
  <c r="G97" i="5"/>
  <c r="F97" i="5"/>
  <c r="AE96" i="5"/>
  <c r="AC96" i="5"/>
  <c r="AB96" i="5"/>
  <c r="AA96" i="5"/>
  <c r="Z96" i="5"/>
  <c r="Y96" i="5"/>
  <c r="X96" i="5"/>
  <c r="W96" i="5"/>
  <c r="V96" i="5"/>
  <c r="U96" i="5"/>
  <c r="T96" i="5"/>
  <c r="S96" i="5"/>
  <c r="R96" i="5"/>
  <c r="Q96" i="5"/>
  <c r="P96" i="5"/>
  <c r="O96" i="5"/>
  <c r="N96" i="5"/>
  <c r="M96" i="5"/>
  <c r="L96" i="5"/>
  <c r="K96" i="5"/>
  <c r="J96" i="5"/>
  <c r="I96" i="5"/>
  <c r="H96" i="5"/>
  <c r="G96" i="5"/>
  <c r="F96" i="5"/>
  <c r="AE95" i="5"/>
  <c r="AC95" i="5"/>
  <c r="AB95" i="5"/>
  <c r="AA95" i="5"/>
  <c r="Z95" i="5"/>
  <c r="Y95" i="5"/>
  <c r="X95" i="5"/>
  <c r="W95" i="5"/>
  <c r="V95" i="5"/>
  <c r="U95" i="5"/>
  <c r="T95" i="5"/>
  <c r="S95" i="5"/>
  <c r="R95" i="5"/>
  <c r="Q95" i="5"/>
  <c r="P95" i="5"/>
  <c r="O95" i="5"/>
  <c r="N95" i="5"/>
  <c r="M95" i="5"/>
  <c r="L95" i="5"/>
  <c r="K95" i="5"/>
  <c r="J95" i="5"/>
  <c r="I95" i="5"/>
  <c r="H95" i="5"/>
  <c r="G95" i="5"/>
  <c r="F95" i="5"/>
  <c r="AE94" i="5"/>
  <c r="AC94" i="5"/>
  <c r="AB94" i="5"/>
  <c r="AA94" i="5"/>
  <c r="Z94" i="5"/>
  <c r="Y94" i="5"/>
  <c r="X94" i="5"/>
  <c r="W94" i="5"/>
  <c r="V94" i="5"/>
  <c r="U94" i="5"/>
  <c r="T94" i="5"/>
  <c r="S94" i="5"/>
  <c r="R94" i="5"/>
  <c r="Q94" i="5"/>
  <c r="P94" i="5"/>
  <c r="O94" i="5"/>
  <c r="N94" i="5"/>
  <c r="M94" i="5"/>
  <c r="L94" i="5"/>
  <c r="K94" i="5"/>
  <c r="J94" i="5"/>
  <c r="I94" i="5"/>
  <c r="H94" i="5"/>
  <c r="G94" i="5"/>
  <c r="F94" i="5"/>
  <c r="AE93" i="5"/>
  <c r="AC93" i="5"/>
  <c r="AB93" i="5"/>
  <c r="AA93" i="5"/>
  <c r="Z93" i="5"/>
  <c r="Y93" i="5"/>
  <c r="X93" i="5"/>
  <c r="W93" i="5"/>
  <c r="V93" i="5"/>
  <c r="U93" i="5"/>
  <c r="T93" i="5"/>
  <c r="S93" i="5"/>
  <c r="R93" i="5"/>
  <c r="Q93" i="5"/>
  <c r="P93" i="5"/>
  <c r="O93" i="5"/>
  <c r="N93" i="5"/>
  <c r="M93" i="5"/>
  <c r="L93" i="5"/>
  <c r="K93" i="5"/>
  <c r="J93" i="5"/>
  <c r="I93" i="5"/>
  <c r="H93" i="5"/>
  <c r="G93" i="5"/>
  <c r="F93" i="5"/>
  <c r="AE92" i="5"/>
  <c r="AC92" i="5"/>
  <c r="AB92" i="5"/>
  <c r="AA92" i="5"/>
  <c r="Z92" i="5"/>
  <c r="Y92" i="5"/>
  <c r="X92" i="5"/>
  <c r="W92" i="5"/>
  <c r="V92" i="5"/>
  <c r="U92" i="5"/>
  <c r="T92" i="5"/>
  <c r="S92" i="5"/>
  <c r="R92" i="5"/>
  <c r="Q92" i="5"/>
  <c r="P92" i="5"/>
  <c r="O92" i="5"/>
  <c r="N92" i="5"/>
  <c r="M92" i="5"/>
  <c r="L92" i="5"/>
  <c r="K92" i="5"/>
  <c r="J92" i="5"/>
  <c r="I92" i="5"/>
  <c r="H92" i="5"/>
  <c r="G92" i="5"/>
  <c r="F92" i="5"/>
  <c r="AE91" i="5"/>
  <c r="AC91" i="5"/>
  <c r="AB91" i="5"/>
  <c r="AA91" i="5"/>
  <c r="Z91" i="5"/>
  <c r="Y91" i="5"/>
  <c r="X91" i="5"/>
  <c r="W91" i="5"/>
  <c r="V91" i="5"/>
  <c r="U91" i="5"/>
  <c r="T91" i="5"/>
  <c r="S91" i="5"/>
  <c r="R91" i="5"/>
  <c r="Q91" i="5"/>
  <c r="P91" i="5"/>
  <c r="O91" i="5"/>
  <c r="N91" i="5"/>
  <c r="M91" i="5"/>
  <c r="L91" i="5"/>
  <c r="K91" i="5"/>
  <c r="J91" i="5"/>
  <c r="I91" i="5"/>
  <c r="H91" i="5"/>
  <c r="G91" i="5"/>
  <c r="F91" i="5"/>
  <c r="AE90" i="5"/>
  <c r="AC90" i="5"/>
  <c r="AB90" i="5"/>
  <c r="AA90" i="5"/>
  <c r="Z90" i="5"/>
  <c r="Y90" i="5"/>
  <c r="X90" i="5"/>
  <c r="W90" i="5"/>
  <c r="V90" i="5"/>
  <c r="U90" i="5"/>
  <c r="T90" i="5"/>
  <c r="S90" i="5"/>
  <c r="R90" i="5"/>
  <c r="Q90" i="5"/>
  <c r="P90" i="5"/>
  <c r="O90" i="5"/>
  <c r="N90" i="5"/>
  <c r="M90" i="5"/>
  <c r="L90" i="5"/>
  <c r="K90" i="5"/>
  <c r="J90" i="5"/>
  <c r="I90" i="5"/>
  <c r="H90" i="5"/>
  <c r="G90" i="5"/>
  <c r="F90" i="5"/>
  <c r="AE89" i="5"/>
  <c r="AC89" i="5"/>
  <c r="AB89" i="5"/>
  <c r="AA89" i="5"/>
  <c r="Z89" i="5"/>
  <c r="Y89" i="5"/>
  <c r="X89" i="5"/>
  <c r="W89" i="5"/>
  <c r="V89" i="5"/>
  <c r="U89" i="5"/>
  <c r="T89" i="5"/>
  <c r="S89" i="5"/>
  <c r="R89" i="5"/>
  <c r="Q89" i="5"/>
  <c r="P89" i="5"/>
  <c r="O89" i="5"/>
  <c r="N89" i="5"/>
  <c r="M89" i="5"/>
  <c r="L89" i="5"/>
  <c r="K89" i="5"/>
  <c r="J89" i="5"/>
  <c r="I89" i="5"/>
  <c r="H89" i="5"/>
  <c r="G89" i="5"/>
  <c r="F89" i="5"/>
  <c r="AE88" i="5"/>
  <c r="AC88" i="5"/>
  <c r="AB88" i="5"/>
  <c r="AA88" i="5"/>
  <c r="Z88" i="5"/>
  <c r="Y88" i="5"/>
  <c r="X88" i="5"/>
  <c r="W88" i="5"/>
  <c r="V88" i="5"/>
  <c r="U88" i="5"/>
  <c r="T88" i="5"/>
  <c r="S88" i="5"/>
  <c r="R88" i="5"/>
  <c r="Q88" i="5"/>
  <c r="P88" i="5"/>
  <c r="O88" i="5"/>
  <c r="N88" i="5"/>
  <c r="M88" i="5"/>
  <c r="L88" i="5"/>
  <c r="K88" i="5"/>
  <c r="J88" i="5"/>
  <c r="I88" i="5"/>
  <c r="H88" i="5"/>
  <c r="G88" i="5"/>
  <c r="F88" i="5"/>
  <c r="AE87" i="5"/>
  <c r="AC87" i="5"/>
  <c r="AB87" i="5"/>
  <c r="AA87" i="5"/>
  <c r="Z87" i="5"/>
  <c r="Y87" i="5"/>
  <c r="X87" i="5"/>
  <c r="W87" i="5"/>
  <c r="V87" i="5"/>
  <c r="U87" i="5"/>
  <c r="T87" i="5"/>
  <c r="S87" i="5"/>
  <c r="R87" i="5"/>
  <c r="Q87" i="5"/>
  <c r="P87" i="5"/>
  <c r="O87" i="5"/>
  <c r="N87" i="5"/>
  <c r="M87" i="5"/>
  <c r="L87" i="5"/>
  <c r="K87" i="5"/>
  <c r="J87" i="5"/>
  <c r="I87" i="5"/>
  <c r="H87" i="5"/>
  <c r="G87" i="5"/>
  <c r="F87" i="5"/>
  <c r="AE86" i="5"/>
  <c r="AC86" i="5"/>
  <c r="AB86" i="5"/>
  <c r="AA86" i="5"/>
  <c r="Z86" i="5"/>
  <c r="Y86" i="5"/>
  <c r="X86" i="5"/>
  <c r="W86" i="5"/>
  <c r="V86" i="5"/>
  <c r="U86" i="5"/>
  <c r="T86" i="5"/>
  <c r="S86" i="5"/>
  <c r="R86" i="5"/>
  <c r="Q86" i="5"/>
  <c r="P86" i="5"/>
  <c r="O86" i="5"/>
  <c r="N86" i="5"/>
  <c r="M86" i="5"/>
  <c r="L86" i="5"/>
  <c r="K86" i="5"/>
  <c r="J86" i="5"/>
  <c r="I86" i="5"/>
  <c r="H86" i="5"/>
  <c r="G86" i="5"/>
  <c r="F86" i="5"/>
  <c r="AE85" i="5"/>
  <c r="AC85" i="5"/>
  <c r="AB85" i="5"/>
  <c r="AA85" i="5"/>
  <c r="Z85" i="5"/>
  <c r="Y85" i="5"/>
  <c r="X85" i="5"/>
  <c r="W85" i="5"/>
  <c r="V85" i="5"/>
  <c r="U85" i="5"/>
  <c r="T85" i="5"/>
  <c r="S85" i="5"/>
  <c r="R85" i="5"/>
  <c r="Q85" i="5"/>
  <c r="P85" i="5"/>
  <c r="O85" i="5"/>
  <c r="N85" i="5"/>
  <c r="M85" i="5"/>
  <c r="L85" i="5"/>
  <c r="K85" i="5"/>
  <c r="J85" i="5"/>
  <c r="I85" i="5"/>
  <c r="H85" i="5"/>
  <c r="G85" i="5"/>
  <c r="F85" i="5"/>
  <c r="AE84" i="5"/>
  <c r="AC84" i="5"/>
  <c r="AB84" i="5"/>
  <c r="AA84" i="5"/>
  <c r="Z84" i="5"/>
  <c r="Y84" i="5"/>
  <c r="X84" i="5"/>
  <c r="W84" i="5"/>
  <c r="V84" i="5"/>
  <c r="U84" i="5"/>
  <c r="T84" i="5"/>
  <c r="S84" i="5"/>
  <c r="R84" i="5"/>
  <c r="Q84" i="5"/>
  <c r="P84" i="5"/>
  <c r="O84" i="5"/>
  <c r="N84" i="5"/>
  <c r="M84" i="5"/>
  <c r="L84" i="5"/>
  <c r="K84" i="5"/>
  <c r="J84" i="5"/>
  <c r="I84" i="5"/>
  <c r="H84" i="5"/>
  <c r="G84" i="5"/>
  <c r="F84" i="5"/>
  <c r="AE83" i="5"/>
  <c r="AC83" i="5"/>
  <c r="AB83" i="5"/>
  <c r="AA83" i="5"/>
  <c r="Z83" i="5"/>
  <c r="Y83" i="5"/>
  <c r="X83" i="5"/>
  <c r="W83" i="5"/>
  <c r="V83" i="5"/>
  <c r="U83" i="5"/>
  <c r="T83" i="5"/>
  <c r="S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AE82" i="5"/>
  <c r="AC82" i="5"/>
  <c r="AB82" i="5"/>
  <c r="AA82" i="5"/>
  <c r="Z82" i="5"/>
  <c r="Y82" i="5"/>
  <c r="X82" i="5"/>
  <c r="W82" i="5"/>
  <c r="V82" i="5"/>
  <c r="U82" i="5"/>
  <c r="T82" i="5"/>
  <c r="S82" i="5"/>
  <c r="R82" i="5"/>
  <c r="Q82" i="5"/>
  <c r="P82" i="5"/>
  <c r="O82" i="5"/>
  <c r="N82" i="5"/>
  <c r="M82" i="5"/>
  <c r="L82" i="5"/>
  <c r="K82" i="5"/>
  <c r="J82" i="5"/>
  <c r="I82" i="5"/>
  <c r="H82" i="5"/>
  <c r="G82" i="5"/>
  <c r="F82" i="5"/>
  <c r="AE81" i="5"/>
  <c r="AC81" i="5"/>
  <c r="AB81" i="5"/>
  <c r="AA81" i="5"/>
  <c r="Z81" i="5"/>
  <c r="Y81" i="5"/>
  <c r="X81" i="5"/>
  <c r="W81" i="5"/>
  <c r="V81" i="5"/>
  <c r="U81" i="5"/>
  <c r="T81" i="5"/>
  <c r="S81" i="5"/>
  <c r="R81" i="5"/>
  <c r="Q81" i="5"/>
  <c r="P81" i="5"/>
  <c r="O81" i="5"/>
  <c r="N81" i="5"/>
  <c r="M81" i="5"/>
  <c r="L81" i="5"/>
  <c r="K81" i="5"/>
  <c r="J81" i="5"/>
  <c r="I81" i="5"/>
  <c r="H81" i="5"/>
  <c r="G81" i="5"/>
  <c r="F81" i="5"/>
  <c r="AE80" i="5"/>
  <c r="AC80" i="5"/>
  <c r="AB80" i="5"/>
  <c r="AA80" i="5"/>
  <c r="Z80" i="5"/>
  <c r="Y80" i="5"/>
  <c r="X80" i="5"/>
  <c r="W80" i="5"/>
  <c r="V80" i="5"/>
  <c r="U80" i="5"/>
  <c r="T80" i="5"/>
  <c r="S80" i="5"/>
  <c r="R80" i="5"/>
  <c r="Q80" i="5"/>
  <c r="P80" i="5"/>
  <c r="O80" i="5"/>
  <c r="N80" i="5"/>
  <c r="M80" i="5"/>
  <c r="L80" i="5"/>
  <c r="K80" i="5"/>
  <c r="J80" i="5"/>
  <c r="I80" i="5"/>
  <c r="H80" i="5"/>
  <c r="G80" i="5"/>
  <c r="F80" i="5"/>
  <c r="AE79" i="5"/>
  <c r="AC79" i="5"/>
  <c r="AB79" i="5"/>
  <c r="AA79" i="5"/>
  <c r="Z79" i="5"/>
  <c r="Y79" i="5"/>
  <c r="X79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AE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8" i="5"/>
  <c r="G78" i="5"/>
  <c r="F78" i="5"/>
  <c r="AE77" i="5"/>
  <c r="AC77" i="5"/>
  <c r="AB77" i="5"/>
  <c r="AA77" i="5"/>
  <c r="Z77" i="5"/>
  <c r="Y77" i="5"/>
  <c r="X77" i="5"/>
  <c r="W77" i="5"/>
  <c r="V77" i="5"/>
  <c r="U77" i="5"/>
  <c r="T77" i="5"/>
  <c r="S77" i="5"/>
  <c r="R77" i="5"/>
  <c r="Q77" i="5"/>
  <c r="P77" i="5"/>
  <c r="O77" i="5"/>
  <c r="N77" i="5"/>
  <c r="M77" i="5"/>
  <c r="L77" i="5"/>
  <c r="K77" i="5"/>
  <c r="J77" i="5"/>
  <c r="I77" i="5"/>
  <c r="H77" i="5"/>
  <c r="G77" i="5"/>
  <c r="F77" i="5"/>
  <c r="AE76" i="5"/>
  <c r="AC76" i="5"/>
  <c r="AB76" i="5"/>
  <c r="AA76" i="5"/>
  <c r="Z76" i="5"/>
  <c r="Y76" i="5"/>
  <c r="X76" i="5"/>
  <c r="W76" i="5"/>
  <c r="V76" i="5"/>
  <c r="U76" i="5"/>
  <c r="T76" i="5"/>
  <c r="S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AE75" i="5"/>
  <c r="AC75" i="5"/>
  <c r="AB75" i="5"/>
  <c r="AA75" i="5"/>
  <c r="Z75" i="5"/>
  <c r="Y75" i="5"/>
  <c r="X75" i="5"/>
  <c r="W75" i="5"/>
  <c r="V75" i="5"/>
  <c r="U75" i="5"/>
  <c r="T75" i="5"/>
  <c r="S75" i="5"/>
  <c r="R75" i="5"/>
  <c r="Q75" i="5"/>
  <c r="P75" i="5"/>
  <c r="O75" i="5"/>
  <c r="N75" i="5"/>
  <c r="M75" i="5"/>
  <c r="L75" i="5"/>
  <c r="K75" i="5"/>
  <c r="J75" i="5"/>
  <c r="I75" i="5"/>
  <c r="H75" i="5"/>
  <c r="G75" i="5"/>
  <c r="F75" i="5"/>
  <c r="AE74" i="5"/>
  <c r="AC74" i="5"/>
  <c r="AB74" i="5"/>
  <c r="AA74" i="5"/>
  <c r="Z74" i="5"/>
  <c r="Y74" i="5"/>
  <c r="X74" i="5"/>
  <c r="W74" i="5"/>
  <c r="V74" i="5"/>
  <c r="U74" i="5"/>
  <c r="T74" i="5"/>
  <c r="S74" i="5"/>
  <c r="R74" i="5"/>
  <c r="Q74" i="5"/>
  <c r="P74" i="5"/>
  <c r="O74" i="5"/>
  <c r="N74" i="5"/>
  <c r="M74" i="5"/>
  <c r="L74" i="5"/>
  <c r="K74" i="5"/>
  <c r="J74" i="5"/>
  <c r="I74" i="5"/>
  <c r="H74" i="5"/>
  <c r="G74" i="5"/>
  <c r="F74" i="5"/>
  <c r="AE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3" i="5"/>
  <c r="G73" i="5"/>
  <c r="F73" i="5"/>
  <c r="AE72" i="5"/>
  <c r="AC72" i="5"/>
  <c r="AB72" i="5"/>
  <c r="AA72" i="5"/>
  <c r="Z72" i="5"/>
  <c r="Y72" i="5"/>
  <c r="X72" i="5"/>
  <c r="W72" i="5"/>
  <c r="V72" i="5"/>
  <c r="U72" i="5"/>
  <c r="T72" i="5"/>
  <c r="S72" i="5"/>
  <c r="R72" i="5"/>
  <c r="Q72" i="5"/>
  <c r="P72" i="5"/>
  <c r="O72" i="5"/>
  <c r="N72" i="5"/>
  <c r="M72" i="5"/>
  <c r="L72" i="5"/>
  <c r="K72" i="5"/>
  <c r="J72" i="5"/>
  <c r="I72" i="5"/>
  <c r="H72" i="5"/>
  <c r="G72" i="5"/>
  <c r="F72" i="5"/>
  <c r="AE71" i="5"/>
  <c r="AC71" i="5"/>
  <c r="AB71" i="5"/>
  <c r="AA71" i="5"/>
  <c r="Z71" i="5"/>
  <c r="Y71" i="5"/>
  <c r="X71" i="5"/>
  <c r="W71" i="5"/>
  <c r="V71" i="5"/>
  <c r="U71" i="5"/>
  <c r="T71" i="5"/>
  <c r="S71" i="5"/>
  <c r="R71" i="5"/>
  <c r="Q71" i="5"/>
  <c r="P71" i="5"/>
  <c r="O71" i="5"/>
  <c r="N71" i="5"/>
  <c r="M71" i="5"/>
  <c r="L71" i="5"/>
  <c r="K71" i="5"/>
  <c r="J71" i="5"/>
  <c r="I71" i="5"/>
  <c r="H71" i="5"/>
  <c r="G71" i="5"/>
  <c r="F71" i="5"/>
  <c r="AE70" i="5"/>
  <c r="AC70" i="5"/>
  <c r="AB70" i="5"/>
  <c r="AA70" i="5"/>
  <c r="Z70" i="5"/>
  <c r="Y70" i="5"/>
  <c r="X70" i="5"/>
  <c r="W70" i="5"/>
  <c r="V70" i="5"/>
  <c r="U70" i="5"/>
  <c r="T70" i="5"/>
  <c r="S70" i="5"/>
  <c r="R70" i="5"/>
  <c r="Q70" i="5"/>
  <c r="P70" i="5"/>
  <c r="O70" i="5"/>
  <c r="N70" i="5"/>
  <c r="M70" i="5"/>
  <c r="L70" i="5"/>
  <c r="K70" i="5"/>
  <c r="J70" i="5"/>
  <c r="I70" i="5"/>
  <c r="H70" i="5"/>
  <c r="G70" i="5"/>
  <c r="F70" i="5"/>
  <c r="AE69" i="5"/>
  <c r="AC69" i="5"/>
  <c r="AB69" i="5"/>
  <c r="AA69" i="5"/>
  <c r="Z69" i="5"/>
  <c r="Y69" i="5"/>
  <c r="X69" i="5"/>
  <c r="W69" i="5"/>
  <c r="V69" i="5"/>
  <c r="U69" i="5"/>
  <c r="T69" i="5"/>
  <c r="S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AE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H68" i="5"/>
  <c r="G68" i="5"/>
  <c r="F68" i="5"/>
  <c r="AE67" i="5"/>
  <c r="AC67" i="5"/>
  <c r="AB67" i="5"/>
  <c r="AA67" i="5"/>
  <c r="Z67" i="5"/>
  <c r="Y67" i="5"/>
  <c r="X67" i="5"/>
  <c r="W67" i="5"/>
  <c r="V67" i="5"/>
  <c r="U67" i="5"/>
  <c r="T67" i="5"/>
  <c r="S67" i="5"/>
  <c r="R67" i="5"/>
  <c r="Q67" i="5"/>
  <c r="P67" i="5"/>
  <c r="O67" i="5"/>
  <c r="N67" i="5"/>
  <c r="M67" i="5"/>
  <c r="L67" i="5"/>
  <c r="K67" i="5"/>
  <c r="J67" i="5"/>
  <c r="I67" i="5"/>
  <c r="H67" i="5"/>
  <c r="G67" i="5"/>
  <c r="F67" i="5"/>
  <c r="AE66" i="5"/>
  <c r="AC66" i="5"/>
  <c r="AB66" i="5"/>
  <c r="AA66" i="5"/>
  <c r="Z66" i="5"/>
  <c r="Y66" i="5"/>
  <c r="X66" i="5"/>
  <c r="W66" i="5"/>
  <c r="V66" i="5"/>
  <c r="U66" i="5"/>
  <c r="T66" i="5"/>
  <c r="S66" i="5"/>
  <c r="R66" i="5"/>
  <c r="Q66" i="5"/>
  <c r="P66" i="5"/>
  <c r="O66" i="5"/>
  <c r="N66" i="5"/>
  <c r="M66" i="5"/>
  <c r="L66" i="5"/>
  <c r="K66" i="5"/>
  <c r="J66" i="5"/>
  <c r="I66" i="5"/>
  <c r="H66" i="5"/>
  <c r="G66" i="5"/>
  <c r="F66" i="5"/>
  <c r="AE65" i="5"/>
  <c r="AC65" i="5"/>
  <c r="AB65" i="5"/>
  <c r="AA65" i="5"/>
  <c r="Z65" i="5"/>
  <c r="Y65" i="5"/>
  <c r="X65" i="5"/>
  <c r="W65" i="5"/>
  <c r="V65" i="5"/>
  <c r="U65" i="5"/>
  <c r="T65" i="5"/>
  <c r="S65" i="5"/>
  <c r="R65" i="5"/>
  <c r="Q65" i="5"/>
  <c r="P65" i="5"/>
  <c r="O65" i="5"/>
  <c r="N65" i="5"/>
  <c r="M65" i="5"/>
  <c r="L65" i="5"/>
  <c r="K65" i="5"/>
  <c r="J65" i="5"/>
  <c r="I65" i="5"/>
  <c r="H65" i="5"/>
  <c r="G65" i="5"/>
  <c r="F65" i="5"/>
  <c r="AE64" i="5"/>
  <c r="AC64" i="5"/>
  <c r="AB64" i="5"/>
  <c r="AA64" i="5"/>
  <c r="Z64" i="5"/>
  <c r="Y64" i="5"/>
  <c r="X64" i="5"/>
  <c r="W64" i="5"/>
  <c r="V64" i="5"/>
  <c r="U64" i="5"/>
  <c r="T64" i="5"/>
  <c r="S64" i="5"/>
  <c r="R64" i="5"/>
  <c r="Q64" i="5"/>
  <c r="P64" i="5"/>
  <c r="O64" i="5"/>
  <c r="N64" i="5"/>
  <c r="M64" i="5"/>
  <c r="L64" i="5"/>
  <c r="K64" i="5"/>
  <c r="J64" i="5"/>
  <c r="I64" i="5"/>
  <c r="H64" i="5"/>
  <c r="G64" i="5"/>
  <c r="F64" i="5"/>
  <c r="AE63" i="5"/>
  <c r="AC63" i="5"/>
  <c r="AB63" i="5"/>
  <c r="AA63" i="5"/>
  <c r="Z63" i="5"/>
  <c r="Y63" i="5"/>
  <c r="X63" i="5"/>
  <c r="W63" i="5"/>
  <c r="V63" i="5"/>
  <c r="U63" i="5"/>
  <c r="T63" i="5"/>
  <c r="S63" i="5"/>
  <c r="R63" i="5"/>
  <c r="Q63" i="5"/>
  <c r="P63" i="5"/>
  <c r="O63" i="5"/>
  <c r="N63" i="5"/>
  <c r="M63" i="5"/>
  <c r="L63" i="5"/>
  <c r="K63" i="5"/>
  <c r="J63" i="5"/>
  <c r="I63" i="5"/>
  <c r="H63" i="5"/>
  <c r="G63" i="5"/>
  <c r="F63" i="5"/>
  <c r="AE62" i="5"/>
  <c r="AC62" i="5"/>
  <c r="AB62" i="5"/>
  <c r="AA62" i="5"/>
  <c r="Z62" i="5"/>
  <c r="Y62" i="5"/>
  <c r="X62" i="5"/>
  <c r="W62" i="5"/>
  <c r="V62" i="5"/>
  <c r="U62" i="5"/>
  <c r="T62" i="5"/>
  <c r="S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AE61" i="5"/>
  <c r="AC61" i="5"/>
  <c r="AB61" i="5"/>
  <c r="AA61" i="5"/>
  <c r="Z61" i="5"/>
  <c r="Y61" i="5"/>
  <c r="X61" i="5"/>
  <c r="W61" i="5"/>
  <c r="V61" i="5"/>
  <c r="U61" i="5"/>
  <c r="T61" i="5"/>
  <c r="S61" i="5"/>
  <c r="R61" i="5"/>
  <c r="Q61" i="5"/>
  <c r="P61" i="5"/>
  <c r="O61" i="5"/>
  <c r="N61" i="5"/>
  <c r="M61" i="5"/>
  <c r="L61" i="5"/>
  <c r="K61" i="5"/>
  <c r="J61" i="5"/>
  <c r="I61" i="5"/>
  <c r="H61" i="5"/>
  <c r="G61" i="5"/>
  <c r="F61" i="5"/>
  <c r="AE60" i="5"/>
  <c r="AC60" i="5"/>
  <c r="AB60" i="5"/>
  <c r="AA60" i="5"/>
  <c r="Z60" i="5"/>
  <c r="Y60" i="5"/>
  <c r="X60" i="5"/>
  <c r="W60" i="5"/>
  <c r="V60" i="5"/>
  <c r="U60" i="5"/>
  <c r="T60" i="5"/>
  <c r="S60" i="5"/>
  <c r="R60" i="5"/>
  <c r="Q60" i="5"/>
  <c r="P60" i="5"/>
  <c r="O60" i="5"/>
  <c r="N60" i="5"/>
  <c r="M60" i="5"/>
  <c r="L60" i="5"/>
  <c r="K60" i="5"/>
  <c r="J60" i="5"/>
  <c r="I60" i="5"/>
  <c r="H60" i="5"/>
  <c r="G60" i="5"/>
  <c r="F60" i="5"/>
  <c r="AE59" i="5"/>
  <c r="AC59" i="5"/>
  <c r="AB59" i="5"/>
  <c r="AA59" i="5"/>
  <c r="Z59" i="5"/>
  <c r="Y59" i="5"/>
  <c r="X59" i="5"/>
  <c r="W59" i="5"/>
  <c r="V59" i="5"/>
  <c r="U59" i="5"/>
  <c r="T59" i="5"/>
  <c r="S59" i="5"/>
  <c r="R59" i="5"/>
  <c r="Q59" i="5"/>
  <c r="P59" i="5"/>
  <c r="O59" i="5"/>
  <c r="N59" i="5"/>
  <c r="M59" i="5"/>
  <c r="L59" i="5"/>
  <c r="K59" i="5"/>
  <c r="J59" i="5"/>
  <c r="I59" i="5"/>
  <c r="H59" i="5"/>
  <c r="G59" i="5"/>
  <c r="F59" i="5"/>
  <c r="AE58" i="5"/>
  <c r="AC58" i="5"/>
  <c r="AB58" i="5"/>
  <c r="AA58" i="5"/>
  <c r="Z58" i="5"/>
  <c r="Y58" i="5"/>
  <c r="X58" i="5"/>
  <c r="W58" i="5"/>
  <c r="V58" i="5"/>
  <c r="U58" i="5"/>
  <c r="T58" i="5"/>
  <c r="S58" i="5"/>
  <c r="R58" i="5"/>
  <c r="Q58" i="5"/>
  <c r="P58" i="5"/>
  <c r="O58" i="5"/>
  <c r="N58" i="5"/>
  <c r="M58" i="5"/>
  <c r="L58" i="5"/>
  <c r="K58" i="5"/>
  <c r="J58" i="5"/>
  <c r="I58" i="5"/>
  <c r="H58" i="5"/>
  <c r="G58" i="5"/>
  <c r="F58" i="5"/>
  <c r="AE57" i="5"/>
  <c r="AC57" i="5"/>
  <c r="AB57" i="5"/>
  <c r="AA57" i="5"/>
  <c r="Z57" i="5"/>
  <c r="Y57" i="5"/>
  <c r="X57" i="5"/>
  <c r="W57" i="5"/>
  <c r="V57" i="5"/>
  <c r="U57" i="5"/>
  <c r="T57" i="5"/>
  <c r="S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AE56" i="5"/>
  <c r="AC56" i="5"/>
  <c r="AB56" i="5"/>
  <c r="AA56" i="5"/>
  <c r="Z56" i="5"/>
  <c r="Y56" i="5"/>
  <c r="X56" i="5"/>
  <c r="W56" i="5"/>
  <c r="V56" i="5"/>
  <c r="U56" i="5"/>
  <c r="T56" i="5"/>
  <c r="S56" i="5"/>
  <c r="R56" i="5"/>
  <c r="Q56" i="5"/>
  <c r="P56" i="5"/>
  <c r="O56" i="5"/>
  <c r="N56" i="5"/>
  <c r="M56" i="5"/>
  <c r="L56" i="5"/>
  <c r="K56" i="5"/>
  <c r="J56" i="5"/>
  <c r="I56" i="5"/>
  <c r="H56" i="5"/>
  <c r="G56" i="5"/>
  <c r="F56" i="5"/>
  <c r="AE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AE54" i="5"/>
  <c r="AC54" i="5"/>
  <c r="AB54" i="5"/>
  <c r="AA54" i="5"/>
  <c r="Z54" i="5"/>
  <c r="Y54" i="5"/>
  <c r="X54" i="5"/>
  <c r="W54" i="5"/>
  <c r="V54" i="5"/>
  <c r="U54" i="5"/>
  <c r="T54" i="5"/>
  <c r="S54" i="5"/>
  <c r="R54" i="5"/>
  <c r="Q54" i="5"/>
  <c r="P54" i="5"/>
  <c r="O54" i="5"/>
  <c r="N54" i="5"/>
  <c r="M54" i="5"/>
  <c r="L54" i="5"/>
  <c r="K54" i="5"/>
  <c r="J54" i="5"/>
  <c r="I54" i="5"/>
  <c r="H54" i="5"/>
  <c r="G54" i="5"/>
  <c r="F54" i="5"/>
  <c r="AE53" i="5"/>
  <c r="AC53" i="5"/>
  <c r="AB53" i="5"/>
  <c r="AA53" i="5"/>
  <c r="Z53" i="5"/>
  <c r="Y53" i="5"/>
  <c r="X53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AE52" i="5"/>
  <c r="AC52" i="5"/>
  <c r="AB52" i="5"/>
  <c r="AA52" i="5"/>
  <c r="Z52" i="5"/>
  <c r="Y52" i="5"/>
  <c r="X52" i="5"/>
  <c r="W52" i="5"/>
  <c r="V52" i="5"/>
  <c r="U52" i="5"/>
  <c r="T52" i="5"/>
  <c r="S52" i="5"/>
  <c r="R52" i="5"/>
  <c r="Q52" i="5"/>
  <c r="P52" i="5"/>
  <c r="O52" i="5"/>
  <c r="N52" i="5"/>
  <c r="M52" i="5"/>
  <c r="L52" i="5"/>
  <c r="K52" i="5"/>
  <c r="J52" i="5"/>
  <c r="I52" i="5"/>
  <c r="H52" i="5"/>
  <c r="G52" i="5"/>
  <c r="F52" i="5"/>
  <c r="AE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H51" i="5"/>
  <c r="G51" i="5"/>
  <c r="F51" i="5"/>
  <c r="AE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AE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H49" i="5"/>
  <c r="G49" i="5"/>
  <c r="F49" i="5"/>
  <c r="AE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H48" i="5"/>
  <c r="G48" i="5"/>
  <c r="F48" i="5"/>
  <c r="AE47" i="5"/>
  <c r="AC47" i="5"/>
  <c r="AB47" i="5"/>
  <c r="AA47" i="5"/>
  <c r="Z47" i="5"/>
  <c r="Y47" i="5"/>
  <c r="X47" i="5"/>
  <c r="W47" i="5"/>
  <c r="V47" i="5"/>
  <c r="U47" i="5"/>
  <c r="T47" i="5"/>
  <c r="S47" i="5"/>
  <c r="R47" i="5"/>
  <c r="Q47" i="5"/>
  <c r="P47" i="5"/>
  <c r="O47" i="5"/>
  <c r="N47" i="5"/>
  <c r="M47" i="5"/>
  <c r="L47" i="5"/>
  <c r="K47" i="5"/>
  <c r="J47" i="5"/>
  <c r="I47" i="5"/>
  <c r="H47" i="5"/>
  <c r="G47" i="5"/>
  <c r="F47" i="5"/>
  <c r="AE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H46" i="5"/>
  <c r="G46" i="5"/>
  <c r="F46" i="5"/>
  <c r="AE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H45" i="5"/>
  <c r="G45" i="5"/>
  <c r="F45" i="5"/>
  <c r="AE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AE43" i="5"/>
  <c r="AC43" i="5"/>
  <c r="AB43" i="5"/>
  <c r="AA43" i="5"/>
  <c r="Z43" i="5"/>
  <c r="Y43" i="5"/>
  <c r="X43" i="5"/>
  <c r="W43" i="5"/>
  <c r="V43" i="5"/>
  <c r="U43" i="5"/>
  <c r="T43" i="5"/>
  <c r="S43" i="5"/>
  <c r="R43" i="5"/>
  <c r="Q43" i="5"/>
  <c r="P43" i="5"/>
  <c r="O43" i="5"/>
  <c r="N43" i="5"/>
  <c r="M43" i="5"/>
  <c r="L43" i="5"/>
  <c r="K43" i="5"/>
  <c r="J43" i="5"/>
  <c r="I43" i="5"/>
  <c r="H43" i="5"/>
  <c r="G43" i="5"/>
  <c r="F43" i="5"/>
  <c r="AE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42" i="5"/>
  <c r="G42" i="5"/>
  <c r="F42" i="5"/>
  <c r="AE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H41" i="5"/>
  <c r="G41" i="5"/>
  <c r="F41" i="5"/>
  <c r="AE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H40" i="5"/>
  <c r="G40" i="5"/>
  <c r="F40" i="5"/>
  <c r="AE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H39" i="5"/>
  <c r="G39" i="5"/>
  <c r="F39" i="5"/>
  <c r="AE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38" i="5"/>
  <c r="G38" i="5"/>
  <c r="F38" i="5"/>
  <c r="AE37" i="5"/>
  <c r="AC37" i="5"/>
  <c r="AB37" i="5"/>
  <c r="AA37" i="5"/>
  <c r="Z37" i="5"/>
  <c r="Y37" i="5"/>
  <c r="X37" i="5"/>
  <c r="W37" i="5"/>
  <c r="V37" i="5"/>
  <c r="U37" i="5"/>
  <c r="T37" i="5"/>
  <c r="S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AE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H36" i="5"/>
  <c r="G36" i="5"/>
  <c r="F36" i="5"/>
  <c r="AE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H35" i="5"/>
  <c r="G35" i="5"/>
  <c r="F35" i="5"/>
  <c r="AE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H34" i="5"/>
  <c r="G34" i="5"/>
  <c r="F34" i="5"/>
  <c r="AE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3" i="5"/>
  <c r="G33" i="5"/>
  <c r="F33" i="5"/>
  <c r="AE32" i="5"/>
  <c r="AC32" i="5"/>
  <c r="AB32" i="5"/>
  <c r="AA32" i="5"/>
  <c r="Z32" i="5"/>
  <c r="Y32" i="5"/>
  <c r="X32" i="5"/>
  <c r="W32" i="5"/>
  <c r="V32" i="5"/>
  <c r="U32" i="5"/>
  <c r="T32" i="5"/>
  <c r="S32" i="5"/>
  <c r="R32" i="5"/>
  <c r="Q32" i="5"/>
  <c r="P32" i="5"/>
  <c r="O32" i="5"/>
  <c r="N32" i="5"/>
  <c r="M32" i="5"/>
  <c r="L32" i="5"/>
  <c r="K32" i="5"/>
  <c r="J32" i="5"/>
  <c r="I32" i="5"/>
  <c r="H32" i="5"/>
  <c r="G32" i="5"/>
  <c r="F32" i="5"/>
  <c r="AE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H31" i="5"/>
  <c r="G31" i="5"/>
  <c r="F31" i="5"/>
  <c r="AE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AE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AE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AE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AE26" i="5"/>
  <c r="AC26" i="5"/>
  <c r="AB26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AE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AE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AE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AE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AE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AE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AE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AE18" i="5"/>
  <c r="AC18" i="5"/>
  <c r="AB18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AE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AE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AE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AE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AE13" i="5"/>
  <c r="AC13" i="5"/>
  <c r="AB13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AE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AE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AE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AE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AE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AE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AE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AE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AE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AE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AE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AE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AE365" i="4"/>
  <c r="AC365" i="4"/>
  <c r="AB365" i="4"/>
  <c r="AA365" i="4"/>
  <c r="Z365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H365" i="4"/>
  <c r="G365" i="4"/>
  <c r="F365" i="4"/>
  <c r="AE364" i="4"/>
  <c r="AC364" i="4"/>
  <c r="AB364" i="4"/>
  <c r="AA364" i="4"/>
  <c r="Z364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M364" i="4"/>
  <c r="L364" i="4"/>
  <c r="K364" i="4"/>
  <c r="J364" i="4"/>
  <c r="I364" i="4"/>
  <c r="H364" i="4"/>
  <c r="G364" i="4"/>
  <c r="F364" i="4"/>
  <c r="AE363" i="4"/>
  <c r="AC363" i="4"/>
  <c r="AB363" i="4"/>
  <c r="AA363" i="4"/>
  <c r="Z363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H363" i="4"/>
  <c r="G363" i="4"/>
  <c r="F363" i="4"/>
  <c r="AE362" i="4"/>
  <c r="AC362" i="4"/>
  <c r="AB362" i="4"/>
  <c r="AA362" i="4"/>
  <c r="Z362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H362" i="4"/>
  <c r="G362" i="4"/>
  <c r="F362" i="4"/>
  <c r="AE361" i="4"/>
  <c r="AC361" i="4"/>
  <c r="AB361" i="4"/>
  <c r="AA361" i="4"/>
  <c r="Z361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M361" i="4"/>
  <c r="L361" i="4"/>
  <c r="K361" i="4"/>
  <c r="J361" i="4"/>
  <c r="I361" i="4"/>
  <c r="H361" i="4"/>
  <c r="G361" i="4"/>
  <c r="F361" i="4"/>
  <c r="AE360" i="4"/>
  <c r="AC360" i="4"/>
  <c r="AB360" i="4"/>
  <c r="AA360" i="4"/>
  <c r="Z360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H360" i="4"/>
  <c r="G360" i="4"/>
  <c r="F360" i="4"/>
  <c r="AE359" i="4"/>
  <c r="AC359" i="4"/>
  <c r="AB359" i="4"/>
  <c r="AA359" i="4"/>
  <c r="Z359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M359" i="4"/>
  <c r="L359" i="4"/>
  <c r="K359" i="4"/>
  <c r="J359" i="4"/>
  <c r="I359" i="4"/>
  <c r="H359" i="4"/>
  <c r="G359" i="4"/>
  <c r="F359" i="4"/>
  <c r="AE358" i="4"/>
  <c r="AC358" i="4"/>
  <c r="AB358" i="4"/>
  <c r="AA358" i="4"/>
  <c r="Z358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M358" i="4"/>
  <c r="L358" i="4"/>
  <c r="K358" i="4"/>
  <c r="J358" i="4"/>
  <c r="I358" i="4"/>
  <c r="H358" i="4"/>
  <c r="G358" i="4"/>
  <c r="F358" i="4"/>
  <c r="AE357" i="4"/>
  <c r="AC357" i="4"/>
  <c r="AB357" i="4"/>
  <c r="AA357" i="4"/>
  <c r="Z357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M357" i="4"/>
  <c r="L357" i="4"/>
  <c r="K357" i="4"/>
  <c r="J357" i="4"/>
  <c r="I357" i="4"/>
  <c r="H357" i="4"/>
  <c r="G357" i="4"/>
  <c r="F357" i="4"/>
  <c r="AE356" i="4"/>
  <c r="AC356" i="4"/>
  <c r="AB356" i="4"/>
  <c r="AA356" i="4"/>
  <c r="Z356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H356" i="4"/>
  <c r="G356" i="4"/>
  <c r="F356" i="4"/>
  <c r="AE355" i="4"/>
  <c r="AC355" i="4"/>
  <c r="AB355" i="4"/>
  <c r="AA355" i="4"/>
  <c r="Z355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M355" i="4"/>
  <c r="L355" i="4"/>
  <c r="K355" i="4"/>
  <c r="J355" i="4"/>
  <c r="I355" i="4"/>
  <c r="H355" i="4"/>
  <c r="G355" i="4"/>
  <c r="F355" i="4"/>
  <c r="AE354" i="4"/>
  <c r="AC354" i="4"/>
  <c r="AB354" i="4"/>
  <c r="AA354" i="4"/>
  <c r="Z354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H354" i="4"/>
  <c r="G354" i="4"/>
  <c r="F354" i="4"/>
  <c r="AE353" i="4"/>
  <c r="AC353" i="4"/>
  <c r="AB353" i="4"/>
  <c r="AA353" i="4"/>
  <c r="Z353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M353" i="4"/>
  <c r="L353" i="4"/>
  <c r="K353" i="4"/>
  <c r="J353" i="4"/>
  <c r="I353" i="4"/>
  <c r="H353" i="4"/>
  <c r="G353" i="4"/>
  <c r="F353" i="4"/>
  <c r="AE352" i="4"/>
  <c r="AC352" i="4"/>
  <c r="AB352" i="4"/>
  <c r="AA352" i="4"/>
  <c r="Z352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M352" i="4"/>
  <c r="L352" i="4"/>
  <c r="K352" i="4"/>
  <c r="J352" i="4"/>
  <c r="I352" i="4"/>
  <c r="H352" i="4"/>
  <c r="G352" i="4"/>
  <c r="F352" i="4"/>
  <c r="AE351" i="4"/>
  <c r="AC351" i="4"/>
  <c r="AB351" i="4"/>
  <c r="AA351" i="4"/>
  <c r="Z351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H351" i="4"/>
  <c r="G351" i="4"/>
  <c r="F351" i="4"/>
  <c r="AE350" i="4"/>
  <c r="AC350" i="4"/>
  <c r="AB350" i="4"/>
  <c r="AA350" i="4"/>
  <c r="Z350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M350" i="4"/>
  <c r="L350" i="4"/>
  <c r="K350" i="4"/>
  <c r="J350" i="4"/>
  <c r="I350" i="4"/>
  <c r="H350" i="4"/>
  <c r="G350" i="4"/>
  <c r="F350" i="4"/>
  <c r="AE349" i="4"/>
  <c r="AC349" i="4"/>
  <c r="AB349" i="4"/>
  <c r="AA349" i="4"/>
  <c r="Z349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M349" i="4"/>
  <c r="L349" i="4"/>
  <c r="K349" i="4"/>
  <c r="J349" i="4"/>
  <c r="I349" i="4"/>
  <c r="H349" i="4"/>
  <c r="G349" i="4"/>
  <c r="F349" i="4"/>
  <c r="AE348" i="4"/>
  <c r="AC348" i="4"/>
  <c r="AB348" i="4"/>
  <c r="AA348" i="4"/>
  <c r="Z348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M348" i="4"/>
  <c r="L348" i="4"/>
  <c r="K348" i="4"/>
  <c r="J348" i="4"/>
  <c r="I348" i="4"/>
  <c r="H348" i="4"/>
  <c r="G348" i="4"/>
  <c r="F348" i="4"/>
  <c r="AE347" i="4"/>
  <c r="AC347" i="4"/>
  <c r="AB347" i="4"/>
  <c r="AA347" i="4"/>
  <c r="Z347" i="4"/>
  <c r="Y347" i="4"/>
  <c r="X347" i="4"/>
  <c r="W347" i="4"/>
  <c r="V347" i="4"/>
  <c r="U347" i="4"/>
  <c r="T347" i="4"/>
  <c r="S347" i="4"/>
  <c r="R347" i="4"/>
  <c r="Q347" i="4"/>
  <c r="P347" i="4"/>
  <c r="O347" i="4"/>
  <c r="N347" i="4"/>
  <c r="M347" i="4"/>
  <c r="L347" i="4"/>
  <c r="K347" i="4"/>
  <c r="J347" i="4"/>
  <c r="I347" i="4"/>
  <c r="H347" i="4"/>
  <c r="G347" i="4"/>
  <c r="F347" i="4"/>
  <c r="AE346" i="4"/>
  <c r="AC346" i="4"/>
  <c r="AB346" i="4"/>
  <c r="AA346" i="4"/>
  <c r="Z346" i="4"/>
  <c r="Y346" i="4"/>
  <c r="X346" i="4"/>
  <c r="W346" i="4"/>
  <c r="V346" i="4"/>
  <c r="U346" i="4"/>
  <c r="T346" i="4"/>
  <c r="S346" i="4"/>
  <c r="R346" i="4"/>
  <c r="Q346" i="4"/>
  <c r="P346" i="4"/>
  <c r="O346" i="4"/>
  <c r="N346" i="4"/>
  <c r="M346" i="4"/>
  <c r="L346" i="4"/>
  <c r="K346" i="4"/>
  <c r="J346" i="4"/>
  <c r="I346" i="4"/>
  <c r="H346" i="4"/>
  <c r="G346" i="4"/>
  <c r="F346" i="4"/>
  <c r="AE345" i="4"/>
  <c r="AC345" i="4"/>
  <c r="AB345" i="4"/>
  <c r="AA345" i="4"/>
  <c r="Z345" i="4"/>
  <c r="Y345" i="4"/>
  <c r="X345" i="4"/>
  <c r="W345" i="4"/>
  <c r="V345" i="4"/>
  <c r="U345" i="4"/>
  <c r="T345" i="4"/>
  <c r="S345" i="4"/>
  <c r="R345" i="4"/>
  <c r="Q345" i="4"/>
  <c r="P345" i="4"/>
  <c r="O345" i="4"/>
  <c r="N345" i="4"/>
  <c r="M345" i="4"/>
  <c r="L345" i="4"/>
  <c r="K345" i="4"/>
  <c r="J345" i="4"/>
  <c r="I345" i="4"/>
  <c r="H345" i="4"/>
  <c r="G345" i="4"/>
  <c r="F345" i="4"/>
  <c r="AE344" i="4"/>
  <c r="AC344" i="4"/>
  <c r="AB344" i="4"/>
  <c r="AA344" i="4"/>
  <c r="Z344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M344" i="4"/>
  <c r="L344" i="4"/>
  <c r="K344" i="4"/>
  <c r="J344" i="4"/>
  <c r="I344" i="4"/>
  <c r="H344" i="4"/>
  <c r="G344" i="4"/>
  <c r="F344" i="4"/>
  <c r="AE343" i="4"/>
  <c r="AC343" i="4"/>
  <c r="AB343" i="4"/>
  <c r="AA343" i="4"/>
  <c r="Z343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M343" i="4"/>
  <c r="L343" i="4"/>
  <c r="K343" i="4"/>
  <c r="J343" i="4"/>
  <c r="I343" i="4"/>
  <c r="H343" i="4"/>
  <c r="G343" i="4"/>
  <c r="F343" i="4"/>
  <c r="AE342" i="4"/>
  <c r="AC342" i="4"/>
  <c r="AB342" i="4"/>
  <c r="AA342" i="4"/>
  <c r="Z342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H342" i="4"/>
  <c r="G342" i="4"/>
  <c r="F342" i="4"/>
  <c r="AE341" i="4"/>
  <c r="AC341" i="4"/>
  <c r="AB341" i="4"/>
  <c r="AA341" i="4"/>
  <c r="Z341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H341" i="4"/>
  <c r="G341" i="4"/>
  <c r="F341" i="4"/>
  <c r="AE340" i="4"/>
  <c r="AC340" i="4"/>
  <c r="AB340" i="4"/>
  <c r="AA340" i="4"/>
  <c r="Z340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M340" i="4"/>
  <c r="L340" i="4"/>
  <c r="K340" i="4"/>
  <c r="J340" i="4"/>
  <c r="I340" i="4"/>
  <c r="H340" i="4"/>
  <c r="G340" i="4"/>
  <c r="F340" i="4"/>
  <c r="AE339" i="4"/>
  <c r="AC339" i="4"/>
  <c r="AB339" i="4"/>
  <c r="AA339" i="4"/>
  <c r="Z339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M339" i="4"/>
  <c r="L339" i="4"/>
  <c r="K339" i="4"/>
  <c r="J339" i="4"/>
  <c r="I339" i="4"/>
  <c r="H339" i="4"/>
  <c r="G339" i="4"/>
  <c r="F339" i="4"/>
  <c r="AE338" i="4"/>
  <c r="AC338" i="4"/>
  <c r="AB338" i="4"/>
  <c r="AA338" i="4"/>
  <c r="Z338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M338" i="4"/>
  <c r="L338" i="4"/>
  <c r="K338" i="4"/>
  <c r="J338" i="4"/>
  <c r="I338" i="4"/>
  <c r="H338" i="4"/>
  <c r="G338" i="4"/>
  <c r="F338" i="4"/>
  <c r="AE337" i="4"/>
  <c r="AC337" i="4"/>
  <c r="AB337" i="4"/>
  <c r="AA337" i="4"/>
  <c r="Z337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M337" i="4"/>
  <c r="L337" i="4"/>
  <c r="K337" i="4"/>
  <c r="J337" i="4"/>
  <c r="I337" i="4"/>
  <c r="H337" i="4"/>
  <c r="G337" i="4"/>
  <c r="F337" i="4"/>
  <c r="AE336" i="4"/>
  <c r="AC336" i="4"/>
  <c r="AB336" i="4"/>
  <c r="AA336" i="4"/>
  <c r="Z336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M336" i="4"/>
  <c r="L336" i="4"/>
  <c r="K336" i="4"/>
  <c r="J336" i="4"/>
  <c r="I336" i="4"/>
  <c r="H336" i="4"/>
  <c r="G336" i="4"/>
  <c r="F336" i="4"/>
  <c r="AE335" i="4"/>
  <c r="AC335" i="4"/>
  <c r="AB335" i="4"/>
  <c r="AA335" i="4"/>
  <c r="Z335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M335" i="4"/>
  <c r="L335" i="4"/>
  <c r="K335" i="4"/>
  <c r="J335" i="4"/>
  <c r="I335" i="4"/>
  <c r="H335" i="4"/>
  <c r="G335" i="4"/>
  <c r="F335" i="4"/>
  <c r="AE334" i="4"/>
  <c r="AC334" i="4"/>
  <c r="AB334" i="4"/>
  <c r="AA334" i="4"/>
  <c r="Z334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M334" i="4"/>
  <c r="L334" i="4"/>
  <c r="K334" i="4"/>
  <c r="J334" i="4"/>
  <c r="I334" i="4"/>
  <c r="H334" i="4"/>
  <c r="G334" i="4"/>
  <c r="F334" i="4"/>
  <c r="AE333" i="4"/>
  <c r="AC333" i="4"/>
  <c r="AB333" i="4"/>
  <c r="AA333" i="4"/>
  <c r="Z333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M333" i="4"/>
  <c r="L333" i="4"/>
  <c r="K333" i="4"/>
  <c r="J333" i="4"/>
  <c r="I333" i="4"/>
  <c r="H333" i="4"/>
  <c r="G333" i="4"/>
  <c r="F333" i="4"/>
  <c r="AE332" i="4"/>
  <c r="AC332" i="4"/>
  <c r="AB332" i="4"/>
  <c r="AA332" i="4"/>
  <c r="Z332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M332" i="4"/>
  <c r="L332" i="4"/>
  <c r="K332" i="4"/>
  <c r="J332" i="4"/>
  <c r="I332" i="4"/>
  <c r="H332" i="4"/>
  <c r="G332" i="4"/>
  <c r="F332" i="4"/>
  <c r="AE331" i="4"/>
  <c r="AC331" i="4"/>
  <c r="AB331" i="4"/>
  <c r="AA331" i="4"/>
  <c r="Z331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H331" i="4"/>
  <c r="G331" i="4"/>
  <c r="F331" i="4"/>
  <c r="AE330" i="4"/>
  <c r="AC330" i="4"/>
  <c r="AB330" i="4"/>
  <c r="AA330" i="4"/>
  <c r="Z330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H330" i="4"/>
  <c r="G330" i="4"/>
  <c r="F330" i="4"/>
  <c r="AE329" i="4"/>
  <c r="AC329" i="4"/>
  <c r="AB329" i="4"/>
  <c r="AA329" i="4"/>
  <c r="Z329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M329" i="4"/>
  <c r="L329" i="4"/>
  <c r="K329" i="4"/>
  <c r="J329" i="4"/>
  <c r="I329" i="4"/>
  <c r="H329" i="4"/>
  <c r="G329" i="4"/>
  <c r="F329" i="4"/>
  <c r="AE328" i="4"/>
  <c r="AC328" i="4"/>
  <c r="AB328" i="4"/>
  <c r="AA328" i="4"/>
  <c r="Z328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M328" i="4"/>
  <c r="L328" i="4"/>
  <c r="K328" i="4"/>
  <c r="J328" i="4"/>
  <c r="I328" i="4"/>
  <c r="H328" i="4"/>
  <c r="G328" i="4"/>
  <c r="F328" i="4"/>
  <c r="AE327" i="4"/>
  <c r="AC327" i="4"/>
  <c r="AB327" i="4"/>
  <c r="AA327" i="4"/>
  <c r="Z327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M327" i="4"/>
  <c r="L327" i="4"/>
  <c r="K327" i="4"/>
  <c r="J327" i="4"/>
  <c r="I327" i="4"/>
  <c r="H327" i="4"/>
  <c r="G327" i="4"/>
  <c r="F327" i="4"/>
  <c r="AE326" i="4"/>
  <c r="AC326" i="4"/>
  <c r="AB326" i="4"/>
  <c r="AA326" i="4"/>
  <c r="Z326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M326" i="4"/>
  <c r="L326" i="4"/>
  <c r="K326" i="4"/>
  <c r="J326" i="4"/>
  <c r="I326" i="4"/>
  <c r="H326" i="4"/>
  <c r="G326" i="4"/>
  <c r="F326" i="4"/>
  <c r="AE325" i="4"/>
  <c r="AC325" i="4"/>
  <c r="AB325" i="4"/>
  <c r="AA325" i="4"/>
  <c r="Z325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H325" i="4"/>
  <c r="G325" i="4"/>
  <c r="F325" i="4"/>
  <c r="AE324" i="4"/>
  <c r="AC324" i="4"/>
  <c r="AB324" i="4"/>
  <c r="AA324" i="4"/>
  <c r="Z324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M324" i="4"/>
  <c r="L324" i="4"/>
  <c r="K324" i="4"/>
  <c r="J324" i="4"/>
  <c r="I324" i="4"/>
  <c r="H324" i="4"/>
  <c r="G324" i="4"/>
  <c r="F324" i="4"/>
  <c r="AE323" i="4"/>
  <c r="AC323" i="4"/>
  <c r="AB323" i="4"/>
  <c r="AA323" i="4"/>
  <c r="Z323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M323" i="4"/>
  <c r="L323" i="4"/>
  <c r="K323" i="4"/>
  <c r="J323" i="4"/>
  <c r="I323" i="4"/>
  <c r="H323" i="4"/>
  <c r="G323" i="4"/>
  <c r="F323" i="4"/>
  <c r="AE322" i="4"/>
  <c r="AC322" i="4"/>
  <c r="AB322" i="4"/>
  <c r="AA322" i="4"/>
  <c r="Z322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M322" i="4"/>
  <c r="L322" i="4"/>
  <c r="K322" i="4"/>
  <c r="J322" i="4"/>
  <c r="I322" i="4"/>
  <c r="H322" i="4"/>
  <c r="G322" i="4"/>
  <c r="F322" i="4"/>
  <c r="AE321" i="4"/>
  <c r="AC321" i="4"/>
  <c r="AB321" i="4"/>
  <c r="AA321" i="4"/>
  <c r="Z321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M321" i="4"/>
  <c r="L321" i="4"/>
  <c r="K321" i="4"/>
  <c r="J321" i="4"/>
  <c r="I321" i="4"/>
  <c r="H321" i="4"/>
  <c r="G321" i="4"/>
  <c r="F321" i="4"/>
  <c r="AE320" i="4"/>
  <c r="AC320" i="4"/>
  <c r="AB320" i="4"/>
  <c r="AA320" i="4"/>
  <c r="Z320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M320" i="4"/>
  <c r="L320" i="4"/>
  <c r="K320" i="4"/>
  <c r="J320" i="4"/>
  <c r="I320" i="4"/>
  <c r="H320" i="4"/>
  <c r="G320" i="4"/>
  <c r="F320" i="4"/>
  <c r="AE319" i="4"/>
  <c r="AC319" i="4"/>
  <c r="AB319" i="4"/>
  <c r="AA319" i="4"/>
  <c r="Z319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M319" i="4"/>
  <c r="L319" i="4"/>
  <c r="K319" i="4"/>
  <c r="J319" i="4"/>
  <c r="I319" i="4"/>
  <c r="H319" i="4"/>
  <c r="G319" i="4"/>
  <c r="F319" i="4"/>
  <c r="AE318" i="4"/>
  <c r="AC318" i="4"/>
  <c r="AB318" i="4"/>
  <c r="AA318" i="4"/>
  <c r="Z318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M318" i="4"/>
  <c r="L318" i="4"/>
  <c r="K318" i="4"/>
  <c r="J318" i="4"/>
  <c r="I318" i="4"/>
  <c r="H318" i="4"/>
  <c r="G318" i="4"/>
  <c r="F318" i="4"/>
  <c r="AE317" i="4"/>
  <c r="AC317" i="4"/>
  <c r="AB317" i="4"/>
  <c r="AA317" i="4"/>
  <c r="Z317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H317" i="4"/>
  <c r="G317" i="4"/>
  <c r="F317" i="4"/>
  <c r="AE316" i="4"/>
  <c r="AC316" i="4"/>
  <c r="AB316" i="4"/>
  <c r="AA316" i="4"/>
  <c r="Z316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M316" i="4"/>
  <c r="L316" i="4"/>
  <c r="K316" i="4"/>
  <c r="J316" i="4"/>
  <c r="I316" i="4"/>
  <c r="H316" i="4"/>
  <c r="G316" i="4"/>
  <c r="F316" i="4"/>
  <c r="AE315" i="4"/>
  <c r="AC315" i="4"/>
  <c r="AB315" i="4"/>
  <c r="AA315" i="4"/>
  <c r="Z315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M315" i="4"/>
  <c r="L315" i="4"/>
  <c r="K315" i="4"/>
  <c r="J315" i="4"/>
  <c r="I315" i="4"/>
  <c r="H315" i="4"/>
  <c r="G315" i="4"/>
  <c r="F315" i="4"/>
  <c r="AE314" i="4"/>
  <c r="AC314" i="4"/>
  <c r="AB314" i="4"/>
  <c r="AA314" i="4"/>
  <c r="Z314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M314" i="4"/>
  <c r="L314" i="4"/>
  <c r="K314" i="4"/>
  <c r="J314" i="4"/>
  <c r="I314" i="4"/>
  <c r="H314" i="4"/>
  <c r="G314" i="4"/>
  <c r="F314" i="4"/>
  <c r="AE313" i="4"/>
  <c r="AC313" i="4"/>
  <c r="AB313" i="4"/>
  <c r="AA313" i="4"/>
  <c r="Z313" i="4"/>
  <c r="Y313" i="4"/>
  <c r="X313" i="4"/>
  <c r="W313" i="4"/>
  <c r="V313" i="4"/>
  <c r="U313" i="4"/>
  <c r="T313" i="4"/>
  <c r="S313" i="4"/>
  <c r="R313" i="4"/>
  <c r="Q313" i="4"/>
  <c r="P313" i="4"/>
  <c r="O313" i="4"/>
  <c r="N313" i="4"/>
  <c r="M313" i="4"/>
  <c r="L313" i="4"/>
  <c r="K313" i="4"/>
  <c r="J313" i="4"/>
  <c r="I313" i="4"/>
  <c r="H313" i="4"/>
  <c r="G313" i="4"/>
  <c r="F313" i="4"/>
  <c r="AE312" i="4"/>
  <c r="AC312" i="4"/>
  <c r="AB312" i="4"/>
  <c r="AA312" i="4"/>
  <c r="Z312" i="4"/>
  <c r="Y312" i="4"/>
  <c r="X312" i="4"/>
  <c r="W312" i="4"/>
  <c r="V312" i="4"/>
  <c r="U312" i="4"/>
  <c r="T312" i="4"/>
  <c r="S312" i="4"/>
  <c r="R312" i="4"/>
  <c r="Q312" i="4"/>
  <c r="P312" i="4"/>
  <c r="O312" i="4"/>
  <c r="N312" i="4"/>
  <c r="M312" i="4"/>
  <c r="L312" i="4"/>
  <c r="K312" i="4"/>
  <c r="J312" i="4"/>
  <c r="I312" i="4"/>
  <c r="H312" i="4"/>
  <c r="G312" i="4"/>
  <c r="F312" i="4"/>
  <c r="AE311" i="4"/>
  <c r="AC311" i="4"/>
  <c r="AB311" i="4"/>
  <c r="AA311" i="4"/>
  <c r="Z311" i="4"/>
  <c r="Y311" i="4"/>
  <c r="X311" i="4"/>
  <c r="W311" i="4"/>
  <c r="V311" i="4"/>
  <c r="U311" i="4"/>
  <c r="T311" i="4"/>
  <c r="S311" i="4"/>
  <c r="R311" i="4"/>
  <c r="Q311" i="4"/>
  <c r="P311" i="4"/>
  <c r="O311" i="4"/>
  <c r="N311" i="4"/>
  <c r="M311" i="4"/>
  <c r="L311" i="4"/>
  <c r="K311" i="4"/>
  <c r="J311" i="4"/>
  <c r="I311" i="4"/>
  <c r="H311" i="4"/>
  <c r="G311" i="4"/>
  <c r="F311" i="4"/>
  <c r="AE310" i="4"/>
  <c r="AC310" i="4"/>
  <c r="AB310" i="4"/>
  <c r="AA310" i="4"/>
  <c r="Z310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M310" i="4"/>
  <c r="L310" i="4"/>
  <c r="K310" i="4"/>
  <c r="J310" i="4"/>
  <c r="I310" i="4"/>
  <c r="H310" i="4"/>
  <c r="G310" i="4"/>
  <c r="F310" i="4"/>
  <c r="AE309" i="4"/>
  <c r="AC309" i="4"/>
  <c r="AB309" i="4"/>
  <c r="AA309" i="4"/>
  <c r="Z309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H309" i="4"/>
  <c r="G309" i="4"/>
  <c r="F309" i="4"/>
  <c r="AE308" i="4"/>
  <c r="AC308" i="4"/>
  <c r="AB308" i="4"/>
  <c r="AA308" i="4"/>
  <c r="Z308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M308" i="4"/>
  <c r="L308" i="4"/>
  <c r="K308" i="4"/>
  <c r="J308" i="4"/>
  <c r="I308" i="4"/>
  <c r="H308" i="4"/>
  <c r="G308" i="4"/>
  <c r="F308" i="4"/>
  <c r="AE307" i="4"/>
  <c r="AC307" i="4"/>
  <c r="AB307" i="4"/>
  <c r="AA307" i="4"/>
  <c r="Z307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H307" i="4"/>
  <c r="G307" i="4"/>
  <c r="F307" i="4"/>
  <c r="AE306" i="4"/>
  <c r="AC306" i="4"/>
  <c r="AB306" i="4"/>
  <c r="AA306" i="4"/>
  <c r="Z306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H306" i="4"/>
  <c r="G306" i="4"/>
  <c r="F306" i="4"/>
  <c r="AE305" i="4"/>
  <c r="AC305" i="4"/>
  <c r="AB305" i="4"/>
  <c r="AA305" i="4"/>
  <c r="Z305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M305" i="4"/>
  <c r="L305" i="4"/>
  <c r="K305" i="4"/>
  <c r="J305" i="4"/>
  <c r="I305" i="4"/>
  <c r="H305" i="4"/>
  <c r="G305" i="4"/>
  <c r="F305" i="4"/>
  <c r="AE304" i="4"/>
  <c r="AC304" i="4"/>
  <c r="AB304" i="4"/>
  <c r="AA304" i="4"/>
  <c r="Z304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M304" i="4"/>
  <c r="L304" i="4"/>
  <c r="K304" i="4"/>
  <c r="J304" i="4"/>
  <c r="I304" i="4"/>
  <c r="H304" i="4"/>
  <c r="G304" i="4"/>
  <c r="F304" i="4"/>
  <c r="AE303" i="4"/>
  <c r="AC303" i="4"/>
  <c r="AB303" i="4"/>
  <c r="AA303" i="4"/>
  <c r="Z303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M303" i="4"/>
  <c r="L303" i="4"/>
  <c r="K303" i="4"/>
  <c r="J303" i="4"/>
  <c r="I303" i="4"/>
  <c r="H303" i="4"/>
  <c r="G303" i="4"/>
  <c r="F303" i="4"/>
  <c r="AE302" i="4"/>
  <c r="AC302" i="4"/>
  <c r="AB302" i="4"/>
  <c r="AA302" i="4"/>
  <c r="Z302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H302" i="4"/>
  <c r="G302" i="4"/>
  <c r="F302" i="4"/>
  <c r="AE301" i="4"/>
  <c r="AC301" i="4"/>
  <c r="AB301" i="4"/>
  <c r="AA301" i="4"/>
  <c r="Z301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M301" i="4"/>
  <c r="L301" i="4"/>
  <c r="K301" i="4"/>
  <c r="J301" i="4"/>
  <c r="I301" i="4"/>
  <c r="H301" i="4"/>
  <c r="G301" i="4"/>
  <c r="F301" i="4"/>
  <c r="AE300" i="4"/>
  <c r="AC300" i="4"/>
  <c r="AB300" i="4"/>
  <c r="AA300" i="4"/>
  <c r="Z300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H300" i="4"/>
  <c r="G300" i="4"/>
  <c r="F300" i="4"/>
  <c r="AE299" i="4"/>
  <c r="AC299" i="4"/>
  <c r="AB299" i="4"/>
  <c r="AA299" i="4"/>
  <c r="Z299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M299" i="4"/>
  <c r="L299" i="4"/>
  <c r="K299" i="4"/>
  <c r="J299" i="4"/>
  <c r="I299" i="4"/>
  <c r="H299" i="4"/>
  <c r="G299" i="4"/>
  <c r="F299" i="4"/>
  <c r="AE298" i="4"/>
  <c r="AC298" i="4"/>
  <c r="AB298" i="4"/>
  <c r="AA298" i="4"/>
  <c r="Z298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M298" i="4"/>
  <c r="L298" i="4"/>
  <c r="K298" i="4"/>
  <c r="J298" i="4"/>
  <c r="I298" i="4"/>
  <c r="H298" i="4"/>
  <c r="G298" i="4"/>
  <c r="F298" i="4"/>
  <c r="AE297" i="4"/>
  <c r="AC297" i="4"/>
  <c r="AB297" i="4"/>
  <c r="AA297" i="4"/>
  <c r="Z297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H297" i="4"/>
  <c r="G297" i="4"/>
  <c r="F297" i="4"/>
  <c r="AE296" i="4"/>
  <c r="AC296" i="4"/>
  <c r="AB296" i="4"/>
  <c r="AA296" i="4"/>
  <c r="Z296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M296" i="4"/>
  <c r="L296" i="4"/>
  <c r="K296" i="4"/>
  <c r="J296" i="4"/>
  <c r="I296" i="4"/>
  <c r="H296" i="4"/>
  <c r="G296" i="4"/>
  <c r="F296" i="4"/>
  <c r="AE295" i="4"/>
  <c r="AC295" i="4"/>
  <c r="AB295" i="4"/>
  <c r="AA295" i="4"/>
  <c r="Z295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M295" i="4"/>
  <c r="L295" i="4"/>
  <c r="K295" i="4"/>
  <c r="J295" i="4"/>
  <c r="I295" i="4"/>
  <c r="H295" i="4"/>
  <c r="G295" i="4"/>
  <c r="F295" i="4"/>
  <c r="AE294" i="4"/>
  <c r="AC294" i="4"/>
  <c r="AB294" i="4"/>
  <c r="AA294" i="4"/>
  <c r="Z294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M294" i="4"/>
  <c r="L294" i="4"/>
  <c r="K294" i="4"/>
  <c r="J294" i="4"/>
  <c r="I294" i="4"/>
  <c r="H294" i="4"/>
  <c r="G294" i="4"/>
  <c r="F294" i="4"/>
  <c r="AE293" i="4"/>
  <c r="AC293" i="4"/>
  <c r="AB293" i="4"/>
  <c r="AA293" i="4"/>
  <c r="Z293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M293" i="4"/>
  <c r="L293" i="4"/>
  <c r="K293" i="4"/>
  <c r="J293" i="4"/>
  <c r="I293" i="4"/>
  <c r="H293" i="4"/>
  <c r="G293" i="4"/>
  <c r="F293" i="4"/>
  <c r="AE292" i="4"/>
  <c r="AC292" i="4"/>
  <c r="AB292" i="4"/>
  <c r="AA292" i="4"/>
  <c r="Z292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M292" i="4"/>
  <c r="L292" i="4"/>
  <c r="K292" i="4"/>
  <c r="J292" i="4"/>
  <c r="I292" i="4"/>
  <c r="H292" i="4"/>
  <c r="G292" i="4"/>
  <c r="F292" i="4"/>
  <c r="AE291" i="4"/>
  <c r="AC291" i="4"/>
  <c r="AB291" i="4"/>
  <c r="AA291" i="4"/>
  <c r="Z291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M291" i="4"/>
  <c r="L291" i="4"/>
  <c r="K291" i="4"/>
  <c r="J291" i="4"/>
  <c r="I291" i="4"/>
  <c r="H291" i="4"/>
  <c r="G291" i="4"/>
  <c r="F291" i="4"/>
  <c r="AE290" i="4"/>
  <c r="AC290" i="4"/>
  <c r="AB290" i="4"/>
  <c r="AA290" i="4"/>
  <c r="Z290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M290" i="4"/>
  <c r="L290" i="4"/>
  <c r="K290" i="4"/>
  <c r="J290" i="4"/>
  <c r="I290" i="4"/>
  <c r="H290" i="4"/>
  <c r="G290" i="4"/>
  <c r="F290" i="4"/>
  <c r="AE289" i="4"/>
  <c r="AC289" i="4"/>
  <c r="AB289" i="4"/>
  <c r="AA289" i="4"/>
  <c r="Z289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M289" i="4"/>
  <c r="L289" i="4"/>
  <c r="K289" i="4"/>
  <c r="J289" i="4"/>
  <c r="I289" i="4"/>
  <c r="H289" i="4"/>
  <c r="G289" i="4"/>
  <c r="F289" i="4"/>
  <c r="AE288" i="4"/>
  <c r="AC288" i="4"/>
  <c r="AB288" i="4"/>
  <c r="AA288" i="4"/>
  <c r="Z288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H288" i="4"/>
  <c r="G288" i="4"/>
  <c r="F288" i="4"/>
  <c r="AE287" i="4"/>
  <c r="AC287" i="4"/>
  <c r="AB287" i="4"/>
  <c r="AA287" i="4"/>
  <c r="Z287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M287" i="4"/>
  <c r="L287" i="4"/>
  <c r="K287" i="4"/>
  <c r="J287" i="4"/>
  <c r="I287" i="4"/>
  <c r="H287" i="4"/>
  <c r="G287" i="4"/>
  <c r="F287" i="4"/>
  <c r="AE286" i="4"/>
  <c r="AC286" i="4"/>
  <c r="AB286" i="4"/>
  <c r="AA286" i="4"/>
  <c r="Z286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M286" i="4"/>
  <c r="L286" i="4"/>
  <c r="K286" i="4"/>
  <c r="J286" i="4"/>
  <c r="I286" i="4"/>
  <c r="H286" i="4"/>
  <c r="G286" i="4"/>
  <c r="F286" i="4"/>
  <c r="AE285" i="4"/>
  <c r="AC285" i="4"/>
  <c r="AB285" i="4"/>
  <c r="AA285" i="4"/>
  <c r="Z285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M285" i="4"/>
  <c r="L285" i="4"/>
  <c r="K285" i="4"/>
  <c r="J285" i="4"/>
  <c r="I285" i="4"/>
  <c r="H285" i="4"/>
  <c r="G285" i="4"/>
  <c r="F285" i="4"/>
  <c r="AE284" i="4"/>
  <c r="AC284" i="4"/>
  <c r="AB284" i="4"/>
  <c r="AA284" i="4"/>
  <c r="Z284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M284" i="4"/>
  <c r="L284" i="4"/>
  <c r="K284" i="4"/>
  <c r="J284" i="4"/>
  <c r="I284" i="4"/>
  <c r="H284" i="4"/>
  <c r="G284" i="4"/>
  <c r="F284" i="4"/>
  <c r="AE283" i="4"/>
  <c r="AC283" i="4"/>
  <c r="AB283" i="4"/>
  <c r="AA283" i="4"/>
  <c r="Z283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M283" i="4"/>
  <c r="L283" i="4"/>
  <c r="K283" i="4"/>
  <c r="J283" i="4"/>
  <c r="I283" i="4"/>
  <c r="H283" i="4"/>
  <c r="G283" i="4"/>
  <c r="F283" i="4"/>
  <c r="AE282" i="4"/>
  <c r="AC282" i="4"/>
  <c r="AB282" i="4"/>
  <c r="AA282" i="4"/>
  <c r="Z282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M282" i="4"/>
  <c r="L282" i="4"/>
  <c r="K282" i="4"/>
  <c r="J282" i="4"/>
  <c r="I282" i="4"/>
  <c r="H282" i="4"/>
  <c r="G282" i="4"/>
  <c r="F282" i="4"/>
  <c r="AE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AE280" i="4"/>
  <c r="AC280" i="4"/>
  <c r="AB280" i="4"/>
  <c r="AA280" i="4"/>
  <c r="Z280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M280" i="4"/>
  <c r="L280" i="4"/>
  <c r="K280" i="4"/>
  <c r="J280" i="4"/>
  <c r="I280" i="4"/>
  <c r="H280" i="4"/>
  <c r="G280" i="4"/>
  <c r="F280" i="4"/>
  <c r="AE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H279" i="4"/>
  <c r="G279" i="4"/>
  <c r="F279" i="4"/>
  <c r="AE278" i="4"/>
  <c r="AC278" i="4"/>
  <c r="AB278" i="4"/>
  <c r="AA278" i="4"/>
  <c r="Z278" i="4"/>
  <c r="Y278" i="4"/>
  <c r="X278" i="4"/>
  <c r="W278" i="4"/>
  <c r="V278" i="4"/>
  <c r="U278" i="4"/>
  <c r="T278" i="4"/>
  <c r="S278" i="4"/>
  <c r="R278" i="4"/>
  <c r="Q278" i="4"/>
  <c r="P278" i="4"/>
  <c r="O278" i="4"/>
  <c r="N278" i="4"/>
  <c r="M278" i="4"/>
  <c r="L278" i="4"/>
  <c r="K278" i="4"/>
  <c r="J278" i="4"/>
  <c r="I278" i="4"/>
  <c r="H278" i="4"/>
  <c r="G278" i="4"/>
  <c r="F278" i="4"/>
  <c r="AE277" i="4"/>
  <c r="AC277" i="4"/>
  <c r="AB277" i="4"/>
  <c r="AA277" i="4"/>
  <c r="Z277" i="4"/>
  <c r="Y277" i="4"/>
  <c r="X277" i="4"/>
  <c r="W277" i="4"/>
  <c r="V277" i="4"/>
  <c r="U277" i="4"/>
  <c r="T277" i="4"/>
  <c r="S277" i="4"/>
  <c r="R277" i="4"/>
  <c r="Q277" i="4"/>
  <c r="P277" i="4"/>
  <c r="O277" i="4"/>
  <c r="N277" i="4"/>
  <c r="M277" i="4"/>
  <c r="L277" i="4"/>
  <c r="K277" i="4"/>
  <c r="J277" i="4"/>
  <c r="I277" i="4"/>
  <c r="H277" i="4"/>
  <c r="G277" i="4"/>
  <c r="F277" i="4"/>
  <c r="AE276" i="4"/>
  <c r="AC276" i="4"/>
  <c r="AB276" i="4"/>
  <c r="AA276" i="4"/>
  <c r="Z276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H276" i="4"/>
  <c r="G276" i="4"/>
  <c r="F276" i="4"/>
  <c r="AE275" i="4"/>
  <c r="AC275" i="4"/>
  <c r="AB275" i="4"/>
  <c r="AA275" i="4"/>
  <c r="Z275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M275" i="4"/>
  <c r="L275" i="4"/>
  <c r="K275" i="4"/>
  <c r="J275" i="4"/>
  <c r="I275" i="4"/>
  <c r="H275" i="4"/>
  <c r="G275" i="4"/>
  <c r="F275" i="4"/>
  <c r="AE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H274" i="4"/>
  <c r="G274" i="4"/>
  <c r="F274" i="4"/>
  <c r="AE273" i="4"/>
  <c r="AC273" i="4"/>
  <c r="AB273" i="4"/>
  <c r="AA273" i="4"/>
  <c r="Z273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M273" i="4"/>
  <c r="L273" i="4"/>
  <c r="K273" i="4"/>
  <c r="J273" i="4"/>
  <c r="I273" i="4"/>
  <c r="H273" i="4"/>
  <c r="G273" i="4"/>
  <c r="F273" i="4"/>
  <c r="AE272" i="4"/>
  <c r="AC272" i="4"/>
  <c r="AB272" i="4"/>
  <c r="AA272" i="4"/>
  <c r="Z272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M272" i="4"/>
  <c r="L272" i="4"/>
  <c r="K272" i="4"/>
  <c r="J272" i="4"/>
  <c r="I272" i="4"/>
  <c r="H272" i="4"/>
  <c r="G272" i="4"/>
  <c r="F272" i="4"/>
  <c r="AE271" i="4"/>
  <c r="AC271" i="4"/>
  <c r="AB271" i="4"/>
  <c r="AA271" i="4"/>
  <c r="Z271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M271" i="4"/>
  <c r="L271" i="4"/>
  <c r="K271" i="4"/>
  <c r="J271" i="4"/>
  <c r="I271" i="4"/>
  <c r="H271" i="4"/>
  <c r="G271" i="4"/>
  <c r="F271" i="4"/>
  <c r="AE270" i="4"/>
  <c r="AC270" i="4"/>
  <c r="AB270" i="4"/>
  <c r="AA270" i="4"/>
  <c r="Z270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H270" i="4"/>
  <c r="G270" i="4"/>
  <c r="F270" i="4"/>
  <c r="AE269" i="4"/>
  <c r="AC269" i="4"/>
  <c r="AB269" i="4"/>
  <c r="AA269" i="4"/>
  <c r="Z269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M269" i="4"/>
  <c r="L269" i="4"/>
  <c r="K269" i="4"/>
  <c r="J269" i="4"/>
  <c r="I269" i="4"/>
  <c r="H269" i="4"/>
  <c r="G269" i="4"/>
  <c r="F269" i="4"/>
  <c r="AE268" i="4"/>
  <c r="AC268" i="4"/>
  <c r="AB268" i="4"/>
  <c r="AA268" i="4"/>
  <c r="Z268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M268" i="4"/>
  <c r="L268" i="4"/>
  <c r="K268" i="4"/>
  <c r="J268" i="4"/>
  <c r="I268" i="4"/>
  <c r="H268" i="4"/>
  <c r="G268" i="4"/>
  <c r="F268" i="4"/>
  <c r="AE267" i="4"/>
  <c r="AC267" i="4"/>
  <c r="AB267" i="4"/>
  <c r="AA267" i="4"/>
  <c r="Z267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M267" i="4"/>
  <c r="L267" i="4"/>
  <c r="K267" i="4"/>
  <c r="J267" i="4"/>
  <c r="I267" i="4"/>
  <c r="H267" i="4"/>
  <c r="G267" i="4"/>
  <c r="F267" i="4"/>
  <c r="AE266" i="4"/>
  <c r="AC266" i="4"/>
  <c r="AB266" i="4"/>
  <c r="AA266" i="4"/>
  <c r="Z266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H266" i="4"/>
  <c r="G266" i="4"/>
  <c r="F266" i="4"/>
  <c r="AE265" i="4"/>
  <c r="AC265" i="4"/>
  <c r="AB265" i="4"/>
  <c r="AA265" i="4"/>
  <c r="Z265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M265" i="4"/>
  <c r="L265" i="4"/>
  <c r="K265" i="4"/>
  <c r="J265" i="4"/>
  <c r="I265" i="4"/>
  <c r="H265" i="4"/>
  <c r="G265" i="4"/>
  <c r="F265" i="4"/>
  <c r="AE264" i="4"/>
  <c r="AC264" i="4"/>
  <c r="AB264" i="4"/>
  <c r="AA264" i="4"/>
  <c r="Z264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H264" i="4"/>
  <c r="G264" i="4"/>
  <c r="F264" i="4"/>
  <c r="AE263" i="4"/>
  <c r="AC263" i="4"/>
  <c r="AB263" i="4"/>
  <c r="AA263" i="4"/>
  <c r="Z263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M263" i="4"/>
  <c r="L263" i="4"/>
  <c r="K263" i="4"/>
  <c r="J263" i="4"/>
  <c r="I263" i="4"/>
  <c r="H263" i="4"/>
  <c r="G263" i="4"/>
  <c r="F263" i="4"/>
  <c r="AE262" i="4"/>
  <c r="AC262" i="4"/>
  <c r="AB262" i="4"/>
  <c r="AA262" i="4"/>
  <c r="Z262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H262" i="4"/>
  <c r="G262" i="4"/>
  <c r="F262" i="4"/>
  <c r="AE261" i="4"/>
  <c r="AC261" i="4"/>
  <c r="AB261" i="4"/>
  <c r="AA261" i="4"/>
  <c r="Z261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M261" i="4"/>
  <c r="L261" i="4"/>
  <c r="K261" i="4"/>
  <c r="J261" i="4"/>
  <c r="I261" i="4"/>
  <c r="H261" i="4"/>
  <c r="G261" i="4"/>
  <c r="F261" i="4"/>
  <c r="AE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H260" i="4"/>
  <c r="G260" i="4"/>
  <c r="F260" i="4"/>
  <c r="AE259" i="4"/>
  <c r="AC259" i="4"/>
  <c r="AB259" i="4"/>
  <c r="AA259" i="4"/>
  <c r="Z259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M259" i="4"/>
  <c r="L259" i="4"/>
  <c r="K259" i="4"/>
  <c r="J259" i="4"/>
  <c r="I259" i="4"/>
  <c r="H259" i="4"/>
  <c r="G259" i="4"/>
  <c r="F259" i="4"/>
  <c r="AE258" i="4"/>
  <c r="AC258" i="4"/>
  <c r="AB258" i="4"/>
  <c r="AA258" i="4"/>
  <c r="Z258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M258" i="4"/>
  <c r="L258" i="4"/>
  <c r="K258" i="4"/>
  <c r="J258" i="4"/>
  <c r="I258" i="4"/>
  <c r="H258" i="4"/>
  <c r="G258" i="4"/>
  <c r="F258" i="4"/>
  <c r="AE257" i="4"/>
  <c r="AC257" i="4"/>
  <c r="AB257" i="4"/>
  <c r="AA257" i="4"/>
  <c r="Z257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M257" i="4"/>
  <c r="L257" i="4"/>
  <c r="K257" i="4"/>
  <c r="J257" i="4"/>
  <c r="I257" i="4"/>
  <c r="H257" i="4"/>
  <c r="G257" i="4"/>
  <c r="F257" i="4"/>
  <c r="AE256" i="4"/>
  <c r="AC256" i="4"/>
  <c r="AB256" i="4"/>
  <c r="AA256" i="4"/>
  <c r="Z256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M256" i="4"/>
  <c r="L256" i="4"/>
  <c r="K256" i="4"/>
  <c r="J256" i="4"/>
  <c r="I256" i="4"/>
  <c r="H256" i="4"/>
  <c r="G256" i="4"/>
  <c r="F256" i="4"/>
  <c r="AE255" i="4"/>
  <c r="AC255" i="4"/>
  <c r="AB255" i="4"/>
  <c r="AA255" i="4"/>
  <c r="Z255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H255" i="4"/>
  <c r="G255" i="4"/>
  <c r="F255" i="4"/>
  <c r="AE254" i="4"/>
  <c r="AC254" i="4"/>
  <c r="AB254" i="4"/>
  <c r="AA254" i="4"/>
  <c r="Z254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H254" i="4"/>
  <c r="G254" i="4"/>
  <c r="F254" i="4"/>
  <c r="AE253" i="4"/>
  <c r="AC253" i="4"/>
  <c r="AB253" i="4"/>
  <c r="AA253" i="4"/>
  <c r="Z253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M253" i="4"/>
  <c r="L253" i="4"/>
  <c r="K253" i="4"/>
  <c r="J253" i="4"/>
  <c r="I253" i="4"/>
  <c r="H253" i="4"/>
  <c r="G253" i="4"/>
  <c r="F253" i="4"/>
  <c r="AE252" i="4"/>
  <c r="AC252" i="4"/>
  <c r="AB252" i="4"/>
  <c r="AA252" i="4"/>
  <c r="Z252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M252" i="4"/>
  <c r="L252" i="4"/>
  <c r="K252" i="4"/>
  <c r="J252" i="4"/>
  <c r="I252" i="4"/>
  <c r="H252" i="4"/>
  <c r="G252" i="4"/>
  <c r="F252" i="4"/>
  <c r="AE251" i="4"/>
  <c r="AC251" i="4"/>
  <c r="AB251" i="4"/>
  <c r="AA251" i="4"/>
  <c r="Z251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H251" i="4"/>
  <c r="G251" i="4"/>
  <c r="F251" i="4"/>
  <c r="AE250" i="4"/>
  <c r="AC250" i="4"/>
  <c r="AB250" i="4"/>
  <c r="AA250" i="4"/>
  <c r="Z250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M250" i="4"/>
  <c r="L250" i="4"/>
  <c r="K250" i="4"/>
  <c r="J250" i="4"/>
  <c r="I250" i="4"/>
  <c r="H250" i="4"/>
  <c r="G250" i="4"/>
  <c r="F250" i="4"/>
  <c r="AE249" i="4"/>
  <c r="AC249" i="4"/>
  <c r="AB249" i="4"/>
  <c r="AA249" i="4"/>
  <c r="Z249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M249" i="4"/>
  <c r="L249" i="4"/>
  <c r="K249" i="4"/>
  <c r="J249" i="4"/>
  <c r="I249" i="4"/>
  <c r="H249" i="4"/>
  <c r="G249" i="4"/>
  <c r="F249" i="4"/>
  <c r="AE248" i="4"/>
  <c r="AC248" i="4"/>
  <c r="AB248" i="4"/>
  <c r="AA248" i="4"/>
  <c r="Z248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M248" i="4"/>
  <c r="L248" i="4"/>
  <c r="K248" i="4"/>
  <c r="J248" i="4"/>
  <c r="I248" i="4"/>
  <c r="H248" i="4"/>
  <c r="G248" i="4"/>
  <c r="F248" i="4"/>
  <c r="AE247" i="4"/>
  <c r="AC247" i="4"/>
  <c r="AB247" i="4"/>
  <c r="AA247" i="4"/>
  <c r="Z247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H247" i="4"/>
  <c r="G247" i="4"/>
  <c r="F247" i="4"/>
  <c r="AE246" i="4"/>
  <c r="AC246" i="4"/>
  <c r="AB246" i="4"/>
  <c r="AA246" i="4"/>
  <c r="Z246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M246" i="4"/>
  <c r="L246" i="4"/>
  <c r="K246" i="4"/>
  <c r="J246" i="4"/>
  <c r="I246" i="4"/>
  <c r="H246" i="4"/>
  <c r="G246" i="4"/>
  <c r="F246" i="4"/>
  <c r="AE245" i="4"/>
  <c r="AC245" i="4"/>
  <c r="AB245" i="4"/>
  <c r="AA245" i="4"/>
  <c r="Z245" i="4"/>
  <c r="Y245" i="4"/>
  <c r="X245" i="4"/>
  <c r="W245" i="4"/>
  <c r="V245" i="4"/>
  <c r="U245" i="4"/>
  <c r="T245" i="4"/>
  <c r="S245" i="4"/>
  <c r="R245" i="4"/>
  <c r="Q245" i="4"/>
  <c r="P245" i="4"/>
  <c r="O245" i="4"/>
  <c r="N245" i="4"/>
  <c r="M245" i="4"/>
  <c r="L245" i="4"/>
  <c r="K245" i="4"/>
  <c r="J245" i="4"/>
  <c r="I245" i="4"/>
  <c r="H245" i="4"/>
  <c r="G245" i="4"/>
  <c r="F245" i="4"/>
  <c r="AE244" i="4"/>
  <c r="AC244" i="4"/>
  <c r="AB244" i="4"/>
  <c r="AA244" i="4"/>
  <c r="Z244" i="4"/>
  <c r="Y244" i="4"/>
  <c r="X244" i="4"/>
  <c r="W244" i="4"/>
  <c r="V244" i="4"/>
  <c r="U244" i="4"/>
  <c r="T244" i="4"/>
  <c r="S244" i="4"/>
  <c r="R244" i="4"/>
  <c r="Q244" i="4"/>
  <c r="P244" i="4"/>
  <c r="O244" i="4"/>
  <c r="N244" i="4"/>
  <c r="M244" i="4"/>
  <c r="L244" i="4"/>
  <c r="K244" i="4"/>
  <c r="J244" i="4"/>
  <c r="I244" i="4"/>
  <c r="H244" i="4"/>
  <c r="G244" i="4"/>
  <c r="F244" i="4"/>
  <c r="AE243" i="4"/>
  <c r="AC243" i="4"/>
  <c r="AB243" i="4"/>
  <c r="AA243" i="4"/>
  <c r="Z243" i="4"/>
  <c r="Y243" i="4"/>
  <c r="X243" i="4"/>
  <c r="W243" i="4"/>
  <c r="V243" i="4"/>
  <c r="U243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H243" i="4"/>
  <c r="G243" i="4"/>
  <c r="F243" i="4"/>
  <c r="AE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AE241" i="4"/>
  <c r="AC241" i="4"/>
  <c r="AB241" i="4"/>
  <c r="AA241" i="4"/>
  <c r="Z241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M241" i="4"/>
  <c r="L241" i="4"/>
  <c r="K241" i="4"/>
  <c r="J241" i="4"/>
  <c r="I241" i="4"/>
  <c r="H241" i="4"/>
  <c r="G241" i="4"/>
  <c r="F241" i="4"/>
  <c r="AE240" i="4"/>
  <c r="AC240" i="4"/>
  <c r="AB240" i="4"/>
  <c r="AA240" i="4"/>
  <c r="Z240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M240" i="4"/>
  <c r="L240" i="4"/>
  <c r="K240" i="4"/>
  <c r="J240" i="4"/>
  <c r="I240" i="4"/>
  <c r="H240" i="4"/>
  <c r="G240" i="4"/>
  <c r="F240" i="4"/>
  <c r="AE239" i="4"/>
  <c r="AC239" i="4"/>
  <c r="AB239" i="4"/>
  <c r="AA239" i="4"/>
  <c r="Z239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M239" i="4"/>
  <c r="L239" i="4"/>
  <c r="K239" i="4"/>
  <c r="J239" i="4"/>
  <c r="I239" i="4"/>
  <c r="H239" i="4"/>
  <c r="G239" i="4"/>
  <c r="F239" i="4"/>
  <c r="AE238" i="4"/>
  <c r="AC238" i="4"/>
  <c r="AB238" i="4"/>
  <c r="AA238" i="4"/>
  <c r="Z238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M238" i="4"/>
  <c r="L238" i="4"/>
  <c r="K238" i="4"/>
  <c r="J238" i="4"/>
  <c r="I238" i="4"/>
  <c r="H238" i="4"/>
  <c r="G238" i="4"/>
  <c r="F238" i="4"/>
  <c r="AE237" i="4"/>
  <c r="AC237" i="4"/>
  <c r="AB237" i="4"/>
  <c r="AA237" i="4"/>
  <c r="Z237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M237" i="4"/>
  <c r="L237" i="4"/>
  <c r="K237" i="4"/>
  <c r="J237" i="4"/>
  <c r="I237" i="4"/>
  <c r="H237" i="4"/>
  <c r="G237" i="4"/>
  <c r="F237" i="4"/>
  <c r="AE236" i="4"/>
  <c r="AC236" i="4"/>
  <c r="AB236" i="4"/>
  <c r="AA236" i="4"/>
  <c r="Z236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M236" i="4"/>
  <c r="L236" i="4"/>
  <c r="K236" i="4"/>
  <c r="J236" i="4"/>
  <c r="I236" i="4"/>
  <c r="H236" i="4"/>
  <c r="G236" i="4"/>
  <c r="F236" i="4"/>
  <c r="AE235" i="4"/>
  <c r="AC235" i="4"/>
  <c r="AB235" i="4"/>
  <c r="AA235" i="4"/>
  <c r="Z235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H235" i="4"/>
  <c r="G235" i="4"/>
  <c r="F235" i="4"/>
  <c r="AE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AE233" i="4"/>
  <c r="AC233" i="4"/>
  <c r="AB233" i="4"/>
  <c r="AA233" i="4"/>
  <c r="Z233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H233" i="4"/>
  <c r="G233" i="4"/>
  <c r="F233" i="4"/>
  <c r="AE232" i="4"/>
  <c r="AC232" i="4"/>
  <c r="AB232" i="4"/>
  <c r="AA232" i="4"/>
  <c r="Z232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M232" i="4"/>
  <c r="L232" i="4"/>
  <c r="K232" i="4"/>
  <c r="J232" i="4"/>
  <c r="I232" i="4"/>
  <c r="H232" i="4"/>
  <c r="G232" i="4"/>
  <c r="F232" i="4"/>
  <c r="AE231" i="4"/>
  <c r="AC231" i="4"/>
  <c r="AB231" i="4"/>
  <c r="AA231" i="4"/>
  <c r="Z231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M231" i="4"/>
  <c r="L231" i="4"/>
  <c r="K231" i="4"/>
  <c r="J231" i="4"/>
  <c r="I231" i="4"/>
  <c r="H231" i="4"/>
  <c r="G231" i="4"/>
  <c r="F231" i="4"/>
  <c r="AE230" i="4"/>
  <c r="AC230" i="4"/>
  <c r="AB230" i="4"/>
  <c r="AA230" i="4"/>
  <c r="Z230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M230" i="4"/>
  <c r="L230" i="4"/>
  <c r="K230" i="4"/>
  <c r="J230" i="4"/>
  <c r="I230" i="4"/>
  <c r="H230" i="4"/>
  <c r="G230" i="4"/>
  <c r="F230" i="4"/>
  <c r="AE229" i="4"/>
  <c r="AC229" i="4"/>
  <c r="AB229" i="4"/>
  <c r="AA229" i="4"/>
  <c r="Z229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M229" i="4"/>
  <c r="L229" i="4"/>
  <c r="K229" i="4"/>
  <c r="J229" i="4"/>
  <c r="I229" i="4"/>
  <c r="H229" i="4"/>
  <c r="G229" i="4"/>
  <c r="F229" i="4"/>
  <c r="AE228" i="4"/>
  <c r="AC228" i="4"/>
  <c r="AB228" i="4"/>
  <c r="AA228" i="4"/>
  <c r="Z228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M228" i="4"/>
  <c r="L228" i="4"/>
  <c r="K228" i="4"/>
  <c r="J228" i="4"/>
  <c r="I228" i="4"/>
  <c r="H228" i="4"/>
  <c r="G228" i="4"/>
  <c r="F228" i="4"/>
  <c r="AE227" i="4"/>
  <c r="AC227" i="4"/>
  <c r="AB227" i="4"/>
  <c r="AA227" i="4"/>
  <c r="Z227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M227" i="4"/>
  <c r="L227" i="4"/>
  <c r="K227" i="4"/>
  <c r="J227" i="4"/>
  <c r="I227" i="4"/>
  <c r="H227" i="4"/>
  <c r="G227" i="4"/>
  <c r="F227" i="4"/>
  <c r="AE226" i="4"/>
  <c r="AC226" i="4"/>
  <c r="AB226" i="4"/>
  <c r="AA226" i="4"/>
  <c r="Z226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H226" i="4"/>
  <c r="G226" i="4"/>
  <c r="F226" i="4"/>
  <c r="AE225" i="4"/>
  <c r="AC225" i="4"/>
  <c r="AB225" i="4"/>
  <c r="AA225" i="4"/>
  <c r="Z225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M225" i="4"/>
  <c r="L225" i="4"/>
  <c r="K225" i="4"/>
  <c r="J225" i="4"/>
  <c r="I225" i="4"/>
  <c r="H225" i="4"/>
  <c r="G225" i="4"/>
  <c r="F225" i="4"/>
  <c r="AE224" i="4"/>
  <c r="AC224" i="4"/>
  <c r="AB224" i="4"/>
  <c r="AA224" i="4"/>
  <c r="Z224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H224" i="4"/>
  <c r="G224" i="4"/>
  <c r="F224" i="4"/>
  <c r="AE223" i="4"/>
  <c r="AC223" i="4"/>
  <c r="AB223" i="4"/>
  <c r="AA223" i="4"/>
  <c r="Z223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M223" i="4"/>
  <c r="L223" i="4"/>
  <c r="K223" i="4"/>
  <c r="J223" i="4"/>
  <c r="I223" i="4"/>
  <c r="H223" i="4"/>
  <c r="G223" i="4"/>
  <c r="F223" i="4"/>
  <c r="AE222" i="4"/>
  <c r="AC222" i="4"/>
  <c r="AB222" i="4"/>
  <c r="AA222" i="4"/>
  <c r="Z222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M222" i="4"/>
  <c r="L222" i="4"/>
  <c r="K222" i="4"/>
  <c r="J222" i="4"/>
  <c r="I222" i="4"/>
  <c r="H222" i="4"/>
  <c r="G222" i="4"/>
  <c r="F222" i="4"/>
  <c r="AE221" i="4"/>
  <c r="AC221" i="4"/>
  <c r="AB221" i="4"/>
  <c r="AA221" i="4"/>
  <c r="Z221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M221" i="4"/>
  <c r="L221" i="4"/>
  <c r="K221" i="4"/>
  <c r="J221" i="4"/>
  <c r="I221" i="4"/>
  <c r="H221" i="4"/>
  <c r="G221" i="4"/>
  <c r="F221" i="4"/>
  <c r="AE220" i="4"/>
  <c r="AC220" i="4"/>
  <c r="AB220" i="4"/>
  <c r="AA220" i="4"/>
  <c r="Z220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M220" i="4"/>
  <c r="L220" i="4"/>
  <c r="K220" i="4"/>
  <c r="J220" i="4"/>
  <c r="I220" i="4"/>
  <c r="H220" i="4"/>
  <c r="G220" i="4"/>
  <c r="F220" i="4"/>
  <c r="AE219" i="4"/>
  <c r="AC219" i="4"/>
  <c r="AB219" i="4"/>
  <c r="AA219" i="4"/>
  <c r="Z219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H219" i="4"/>
  <c r="G219" i="4"/>
  <c r="F219" i="4"/>
  <c r="AE218" i="4"/>
  <c r="AC218" i="4"/>
  <c r="AB218" i="4"/>
  <c r="AA218" i="4"/>
  <c r="Z218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M218" i="4"/>
  <c r="L218" i="4"/>
  <c r="K218" i="4"/>
  <c r="J218" i="4"/>
  <c r="I218" i="4"/>
  <c r="H218" i="4"/>
  <c r="G218" i="4"/>
  <c r="F218" i="4"/>
  <c r="AE217" i="4"/>
  <c r="AC217" i="4"/>
  <c r="AB217" i="4"/>
  <c r="AA217" i="4"/>
  <c r="Z217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H217" i="4"/>
  <c r="G217" i="4"/>
  <c r="F217" i="4"/>
  <c r="AE216" i="4"/>
  <c r="AC216" i="4"/>
  <c r="AB216" i="4"/>
  <c r="AA216" i="4"/>
  <c r="Z216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M216" i="4"/>
  <c r="L216" i="4"/>
  <c r="K216" i="4"/>
  <c r="J216" i="4"/>
  <c r="I216" i="4"/>
  <c r="H216" i="4"/>
  <c r="G216" i="4"/>
  <c r="F216" i="4"/>
  <c r="AE215" i="4"/>
  <c r="AC215" i="4"/>
  <c r="AB215" i="4"/>
  <c r="AA215" i="4"/>
  <c r="Z215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M215" i="4"/>
  <c r="L215" i="4"/>
  <c r="K215" i="4"/>
  <c r="J215" i="4"/>
  <c r="I215" i="4"/>
  <c r="H215" i="4"/>
  <c r="G215" i="4"/>
  <c r="F215" i="4"/>
  <c r="AE214" i="4"/>
  <c r="AC214" i="4"/>
  <c r="AB214" i="4"/>
  <c r="AA214" i="4"/>
  <c r="Z214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M214" i="4"/>
  <c r="L214" i="4"/>
  <c r="K214" i="4"/>
  <c r="J214" i="4"/>
  <c r="I214" i="4"/>
  <c r="H214" i="4"/>
  <c r="G214" i="4"/>
  <c r="F214" i="4"/>
  <c r="AE213" i="4"/>
  <c r="AC213" i="4"/>
  <c r="AB213" i="4"/>
  <c r="AA213" i="4"/>
  <c r="Z213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M213" i="4"/>
  <c r="L213" i="4"/>
  <c r="K213" i="4"/>
  <c r="J213" i="4"/>
  <c r="I213" i="4"/>
  <c r="H213" i="4"/>
  <c r="G213" i="4"/>
  <c r="F213" i="4"/>
  <c r="AE212" i="4"/>
  <c r="AC212" i="4"/>
  <c r="AB212" i="4"/>
  <c r="AA212" i="4"/>
  <c r="Z212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M212" i="4"/>
  <c r="L212" i="4"/>
  <c r="K212" i="4"/>
  <c r="J212" i="4"/>
  <c r="I212" i="4"/>
  <c r="H212" i="4"/>
  <c r="G212" i="4"/>
  <c r="F212" i="4"/>
  <c r="AE211" i="4"/>
  <c r="AC211" i="4"/>
  <c r="AB211" i="4"/>
  <c r="AA211" i="4"/>
  <c r="Z211" i="4"/>
  <c r="Y211" i="4"/>
  <c r="X211" i="4"/>
  <c r="W211" i="4"/>
  <c r="V211" i="4"/>
  <c r="U211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H211" i="4"/>
  <c r="G211" i="4"/>
  <c r="F211" i="4"/>
  <c r="AE210" i="4"/>
  <c r="AC210" i="4"/>
  <c r="AB210" i="4"/>
  <c r="AA210" i="4"/>
  <c r="Z210" i="4"/>
  <c r="Y210" i="4"/>
  <c r="X210" i="4"/>
  <c r="W210" i="4"/>
  <c r="V210" i="4"/>
  <c r="U210" i="4"/>
  <c r="T210" i="4"/>
  <c r="S210" i="4"/>
  <c r="R210" i="4"/>
  <c r="Q210" i="4"/>
  <c r="P210" i="4"/>
  <c r="O210" i="4"/>
  <c r="N210" i="4"/>
  <c r="M210" i="4"/>
  <c r="L210" i="4"/>
  <c r="K210" i="4"/>
  <c r="J210" i="4"/>
  <c r="I210" i="4"/>
  <c r="H210" i="4"/>
  <c r="G210" i="4"/>
  <c r="F210" i="4"/>
  <c r="AE209" i="4"/>
  <c r="AC209" i="4"/>
  <c r="AB209" i="4"/>
  <c r="AA209" i="4"/>
  <c r="Z209" i="4"/>
  <c r="Y209" i="4"/>
  <c r="X209" i="4"/>
  <c r="W209" i="4"/>
  <c r="V209" i="4"/>
  <c r="U209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H209" i="4"/>
  <c r="G209" i="4"/>
  <c r="F209" i="4"/>
  <c r="AE208" i="4"/>
  <c r="AC208" i="4"/>
  <c r="AB208" i="4"/>
  <c r="AA208" i="4"/>
  <c r="Z208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M208" i="4"/>
  <c r="L208" i="4"/>
  <c r="K208" i="4"/>
  <c r="J208" i="4"/>
  <c r="I208" i="4"/>
  <c r="H208" i="4"/>
  <c r="G208" i="4"/>
  <c r="F208" i="4"/>
  <c r="AE207" i="4"/>
  <c r="AC207" i="4"/>
  <c r="AB207" i="4"/>
  <c r="AA207" i="4"/>
  <c r="Z207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M207" i="4"/>
  <c r="L207" i="4"/>
  <c r="K207" i="4"/>
  <c r="J207" i="4"/>
  <c r="I207" i="4"/>
  <c r="H207" i="4"/>
  <c r="G207" i="4"/>
  <c r="F207" i="4"/>
  <c r="AE206" i="4"/>
  <c r="AC206" i="4"/>
  <c r="AB206" i="4"/>
  <c r="AA206" i="4"/>
  <c r="Z206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M206" i="4"/>
  <c r="L206" i="4"/>
  <c r="K206" i="4"/>
  <c r="J206" i="4"/>
  <c r="I206" i="4"/>
  <c r="H206" i="4"/>
  <c r="G206" i="4"/>
  <c r="F206" i="4"/>
  <c r="AE205" i="4"/>
  <c r="AC205" i="4"/>
  <c r="AB205" i="4"/>
  <c r="AA205" i="4"/>
  <c r="Z205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H205" i="4"/>
  <c r="G205" i="4"/>
  <c r="F205" i="4"/>
  <c r="AE204" i="4"/>
  <c r="AC204" i="4"/>
  <c r="AB204" i="4"/>
  <c r="AA204" i="4"/>
  <c r="Z204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M204" i="4"/>
  <c r="L204" i="4"/>
  <c r="K204" i="4"/>
  <c r="J204" i="4"/>
  <c r="I204" i="4"/>
  <c r="H204" i="4"/>
  <c r="G204" i="4"/>
  <c r="F204" i="4"/>
  <c r="AE203" i="4"/>
  <c r="AC203" i="4"/>
  <c r="AB203" i="4"/>
  <c r="AA203" i="4"/>
  <c r="Z203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M203" i="4"/>
  <c r="L203" i="4"/>
  <c r="K203" i="4"/>
  <c r="J203" i="4"/>
  <c r="I203" i="4"/>
  <c r="H203" i="4"/>
  <c r="G203" i="4"/>
  <c r="F203" i="4"/>
  <c r="AE202" i="4"/>
  <c r="AC202" i="4"/>
  <c r="AB202" i="4"/>
  <c r="AA202" i="4"/>
  <c r="Z202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M202" i="4"/>
  <c r="L202" i="4"/>
  <c r="K202" i="4"/>
  <c r="J202" i="4"/>
  <c r="I202" i="4"/>
  <c r="H202" i="4"/>
  <c r="G202" i="4"/>
  <c r="F202" i="4"/>
  <c r="AE201" i="4"/>
  <c r="AC201" i="4"/>
  <c r="AB201" i="4"/>
  <c r="AA201" i="4"/>
  <c r="Z201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M201" i="4"/>
  <c r="L201" i="4"/>
  <c r="K201" i="4"/>
  <c r="J201" i="4"/>
  <c r="I201" i="4"/>
  <c r="H201" i="4"/>
  <c r="G201" i="4"/>
  <c r="F201" i="4"/>
  <c r="AE200" i="4"/>
  <c r="AC200" i="4"/>
  <c r="AB200" i="4"/>
  <c r="AA200" i="4"/>
  <c r="Z200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H200" i="4"/>
  <c r="G200" i="4"/>
  <c r="F200" i="4"/>
  <c r="AE199" i="4"/>
  <c r="AC199" i="4"/>
  <c r="AB199" i="4"/>
  <c r="AA199" i="4"/>
  <c r="Z199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H199" i="4"/>
  <c r="G199" i="4"/>
  <c r="F199" i="4"/>
  <c r="AE198" i="4"/>
  <c r="AC198" i="4"/>
  <c r="AB198" i="4"/>
  <c r="AA198" i="4"/>
  <c r="Z198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M198" i="4"/>
  <c r="L198" i="4"/>
  <c r="K198" i="4"/>
  <c r="J198" i="4"/>
  <c r="I198" i="4"/>
  <c r="H198" i="4"/>
  <c r="G198" i="4"/>
  <c r="F198" i="4"/>
  <c r="AE197" i="4"/>
  <c r="AC197" i="4"/>
  <c r="AB197" i="4"/>
  <c r="AA197" i="4"/>
  <c r="Z197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M197" i="4"/>
  <c r="L197" i="4"/>
  <c r="K197" i="4"/>
  <c r="J197" i="4"/>
  <c r="I197" i="4"/>
  <c r="H197" i="4"/>
  <c r="G197" i="4"/>
  <c r="F197" i="4"/>
  <c r="AE196" i="4"/>
  <c r="AC196" i="4"/>
  <c r="AB196" i="4"/>
  <c r="AA196" i="4"/>
  <c r="Z196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M196" i="4"/>
  <c r="L196" i="4"/>
  <c r="K196" i="4"/>
  <c r="J196" i="4"/>
  <c r="I196" i="4"/>
  <c r="H196" i="4"/>
  <c r="G196" i="4"/>
  <c r="F196" i="4"/>
  <c r="AE195" i="4"/>
  <c r="AC195" i="4"/>
  <c r="AB195" i="4"/>
  <c r="AA195" i="4"/>
  <c r="Z195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H195" i="4"/>
  <c r="G195" i="4"/>
  <c r="F195" i="4"/>
  <c r="AE194" i="4"/>
  <c r="AC194" i="4"/>
  <c r="AB194" i="4"/>
  <c r="AA194" i="4"/>
  <c r="Z194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M194" i="4"/>
  <c r="L194" i="4"/>
  <c r="K194" i="4"/>
  <c r="J194" i="4"/>
  <c r="I194" i="4"/>
  <c r="H194" i="4"/>
  <c r="G194" i="4"/>
  <c r="F194" i="4"/>
  <c r="AE193" i="4"/>
  <c r="AC193" i="4"/>
  <c r="AB193" i="4"/>
  <c r="AA193" i="4"/>
  <c r="Z193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H193" i="4"/>
  <c r="G193" i="4"/>
  <c r="F193" i="4"/>
  <c r="AE192" i="4"/>
  <c r="AC192" i="4"/>
  <c r="AB192" i="4"/>
  <c r="AA192" i="4"/>
  <c r="Z192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M192" i="4"/>
  <c r="L192" i="4"/>
  <c r="K192" i="4"/>
  <c r="J192" i="4"/>
  <c r="I192" i="4"/>
  <c r="H192" i="4"/>
  <c r="G192" i="4"/>
  <c r="F192" i="4"/>
  <c r="AE191" i="4"/>
  <c r="AC191" i="4"/>
  <c r="AB191" i="4"/>
  <c r="AA191" i="4"/>
  <c r="Z191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M191" i="4"/>
  <c r="L191" i="4"/>
  <c r="K191" i="4"/>
  <c r="J191" i="4"/>
  <c r="I191" i="4"/>
  <c r="H191" i="4"/>
  <c r="G191" i="4"/>
  <c r="F191" i="4"/>
  <c r="AE190" i="4"/>
  <c r="AC190" i="4"/>
  <c r="AB190" i="4"/>
  <c r="AA190" i="4"/>
  <c r="Z190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M190" i="4"/>
  <c r="L190" i="4"/>
  <c r="K190" i="4"/>
  <c r="J190" i="4"/>
  <c r="I190" i="4"/>
  <c r="H190" i="4"/>
  <c r="G190" i="4"/>
  <c r="F190" i="4"/>
  <c r="AE189" i="4"/>
  <c r="AC189" i="4"/>
  <c r="AB189" i="4"/>
  <c r="AA189" i="4"/>
  <c r="Z189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M189" i="4"/>
  <c r="L189" i="4"/>
  <c r="K189" i="4"/>
  <c r="J189" i="4"/>
  <c r="I189" i="4"/>
  <c r="H189" i="4"/>
  <c r="G189" i="4"/>
  <c r="F189" i="4"/>
  <c r="AE188" i="4"/>
  <c r="AC188" i="4"/>
  <c r="AB188" i="4"/>
  <c r="AA188" i="4"/>
  <c r="Z188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M188" i="4"/>
  <c r="L188" i="4"/>
  <c r="K188" i="4"/>
  <c r="J188" i="4"/>
  <c r="I188" i="4"/>
  <c r="H188" i="4"/>
  <c r="G188" i="4"/>
  <c r="F188" i="4"/>
  <c r="AE187" i="4"/>
  <c r="AC187" i="4"/>
  <c r="AB187" i="4"/>
  <c r="AA187" i="4"/>
  <c r="Z187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H187" i="4"/>
  <c r="G187" i="4"/>
  <c r="F187" i="4"/>
  <c r="AE186" i="4"/>
  <c r="AC186" i="4"/>
  <c r="AB186" i="4"/>
  <c r="AA186" i="4"/>
  <c r="Z186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M186" i="4"/>
  <c r="L186" i="4"/>
  <c r="K186" i="4"/>
  <c r="J186" i="4"/>
  <c r="I186" i="4"/>
  <c r="H186" i="4"/>
  <c r="G186" i="4"/>
  <c r="F186" i="4"/>
  <c r="AE185" i="4"/>
  <c r="AC185" i="4"/>
  <c r="AB185" i="4"/>
  <c r="AA185" i="4"/>
  <c r="Z185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H185" i="4"/>
  <c r="G185" i="4"/>
  <c r="F185" i="4"/>
  <c r="AE184" i="4"/>
  <c r="AC184" i="4"/>
  <c r="AB184" i="4"/>
  <c r="AA184" i="4"/>
  <c r="Z184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M184" i="4"/>
  <c r="L184" i="4"/>
  <c r="K184" i="4"/>
  <c r="J184" i="4"/>
  <c r="I184" i="4"/>
  <c r="H184" i="4"/>
  <c r="G184" i="4"/>
  <c r="F184" i="4"/>
  <c r="AE183" i="4"/>
  <c r="AC183" i="4"/>
  <c r="AB183" i="4"/>
  <c r="AA183" i="4"/>
  <c r="Z183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M183" i="4"/>
  <c r="L183" i="4"/>
  <c r="K183" i="4"/>
  <c r="J183" i="4"/>
  <c r="I183" i="4"/>
  <c r="H183" i="4"/>
  <c r="G183" i="4"/>
  <c r="F183" i="4"/>
  <c r="AE182" i="4"/>
  <c r="AC182" i="4"/>
  <c r="AB182" i="4"/>
  <c r="AA182" i="4"/>
  <c r="Z182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M182" i="4"/>
  <c r="L182" i="4"/>
  <c r="K182" i="4"/>
  <c r="J182" i="4"/>
  <c r="I182" i="4"/>
  <c r="H182" i="4"/>
  <c r="G182" i="4"/>
  <c r="F182" i="4"/>
  <c r="AE181" i="4"/>
  <c r="AC181" i="4"/>
  <c r="AB181" i="4"/>
  <c r="AA181" i="4"/>
  <c r="Z181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H181" i="4"/>
  <c r="G181" i="4"/>
  <c r="F181" i="4"/>
  <c r="AE180" i="4"/>
  <c r="AC180" i="4"/>
  <c r="AB180" i="4"/>
  <c r="AA180" i="4"/>
  <c r="Z180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AE179" i="4"/>
  <c r="AC179" i="4"/>
  <c r="AB179" i="4"/>
  <c r="AA179" i="4"/>
  <c r="Z179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M179" i="4"/>
  <c r="L179" i="4"/>
  <c r="K179" i="4"/>
  <c r="J179" i="4"/>
  <c r="I179" i="4"/>
  <c r="H179" i="4"/>
  <c r="G179" i="4"/>
  <c r="F179" i="4"/>
  <c r="AE178" i="4"/>
  <c r="AC178" i="4"/>
  <c r="AB178" i="4"/>
  <c r="AA178" i="4"/>
  <c r="Z178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AE177" i="4"/>
  <c r="AC177" i="4"/>
  <c r="AB177" i="4"/>
  <c r="AA177" i="4"/>
  <c r="Z177" i="4"/>
  <c r="Y177" i="4"/>
  <c r="X177" i="4"/>
  <c r="W177" i="4"/>
  <c r="V177" i="4"/>
  <c r="U177" i="4"/>
  <c r="T177" i="4"/>
  <c r="S177" i="4"/>
  <c r="R177" i="4"/>
  <c r="Q177" i="4"/>
  <c r="P177" i="4"/>
  <c r="O177" i="4"/>
  <c r="N177" i="4"/>
  <c r="M177" i="4"/>
  <c r="L177" i="4"/>
  <c r="K177" i="4"/>
  <c r="J177" i="4"/>
  <c r="I177" i="4"/>
  <c r="H177" i="4"/>
  <c r="G177" i="4"/>
  <c r="F177" i="4"/>
  <c r="AE176" i="4"/>
  <c r="AC176" i="4"/>
  <c r="AB176" i="4"/>
  <c r="AA176" i="4"/>
  <c r="Z176" i="4"/>
  <c r="Y176" i="4"/>
  <c r="X176" i="4"/>
  <c r="W176" i="4"/>
  <c r="V176" i="4"/>
  <c r="U176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H176" i="4"/>
  <c r="G176" i="4"/>
  <c r="F176" i="4"/>
  <c r="AE175" i="4"/>
  <c r="AC175" i="4"/>
  <c r="AB175" i="4"/>
  <c r="AA175" i="4"/>
  <c r="Z175" i="4"/>
  <c r="Y175" i="4"/>
  <c r="X175" i="4"/>
  <c r="W175" i="4"/>
  <c r="V175" i="4"/>
  <c r="U175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H175" i="4"/>
  <c r="G175" i="4"/>
  <c r="F175" i="4"/>
  <c r="AE174" i="4"/>
  <c r="AC174" i="4"/>
  <c r="AB174" i="4"/>
  <c r="AA174" i="4"/>
  <c r="Z174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H174" i="4"/>
  <c r="G174" i="4"/>
  <c r="F174" i="4"/>
  <c r="AE173" i="4"/>
  <c r="AC173" i="4"/>
  <c r="AB173" i="4"/>
  <c r="AA173" i="4"/>
  <c r="Z173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H173" i="4"/>
  <c r="G173" i="4"/>
  <c r="F173" i="4"/>
  <c r="AE172" i="4"/>
  <c r="AC172" i="4"/>
  <c r="AB172" i="4"/>
  <c r="AA172" i="4"/>
  <c r="Z172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H172" i="4"/>
  <c r="G172" i="4"/>
  <c r="F172" i="4"/>
  <c r="AE171" i="4"/>
  <c r="AC171" i="4"/>
  <c r="AB171" i="4"/>
  <c r="AA171" i="4"/>
  <c r="Z171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H171" i="4"/>
  <c r="G171" i="4"/>
  <c r="F171" i="4"/>
  <c r="AE170" i="4"/>
  <c r="AC170" i="4"/>
  <c r="AB170" i="4"/>
  <c r="AA170" i="4"/>
  <c r="Z170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H170" i="4"/>
  <c r="G170" i="4"/>
  <c r="F170" i="4"/>
  <c r="AE169" i="4"/>
  <c r="AC169" i="4"/>
  <c r="AB169" i="4"/>
  <c r="AA169" i="4"/>
  <c r="Z169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H169" i="4"/>
  <c r="G169" i="4"/>
  <c r="F169" i="4"/>
  <c r="AE168" i="4"/>
  <c r="AC168" i="4"/>
  <c r="AB168" i="4"/>
  <c r="AA168" i="4"/>
  <c r="Z168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H168" i="4"/>
  <c r="G168" i="4"/>
  <c r="F168" i="4"/>
  <c r="AE167" i="4"/>
  <c r="AC167" i="4"/>
  <c r="AB167" i="4"/>
  <c r="AA167" i="4"/>
  <c r="Z167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H167" i="4"/>
  <c r="G167" i="4"/>
  <c r="F167" i="4"/>
  <c r="AE166" i="4"/>
  <c r="AC166" i="4"/>
  <c r="AB166" i="4"/>
  <c r="AA166" i="4"/>
  <c r="Z166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H166" i="4"/>
  <c r="G166" i="4"/>
  <c r="F166" i="4"/>
  <c r="AE165" i="4"/>
  <c r="AC165" i="4"/>
  <c r="AB165" i="4"/>
  <c r="AA165" i="4"/>
  <c r="Z165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H165" i="4"/>
  <c r="G165" i="4"/>
  <c r="F165" i="4"/>
  <c r="AE164" i="4"/>
  <c r="AC164" i="4"/>
  <c r="AB164" i="4"/>
  <c r="AA164" i="4"/>
  <c r="Z164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H164" i="4"/>
  <c r="G164" i="4"/>
  <c r="F164" i="4"/>
  <c r="AE163" i="4"/>
  <c r="AC163" i="4"/>
  <c r="AB163" i="4"/>
  <c r="AA163" i="4"/>
  <c r="Z163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H163" i="4"/>
  <c r="G163" i="4"/>
  <c r="F163" i="4"/>
  <c r="AE162" i="4"/>
  <c r="AC162" i="4"/>
  <c r="AB162" i="4"/>
  <c r="AA162" i="4"/>
  <c r="Z162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H162" i="4"/>
  <c r="G162" i="4"/>
  <c r="F162" i="4"/>
  <c r="AE161" i="4"/>
  <c r="AC161" i="4"/>
  <c r="AB161" i="4"/>
  <c r="AA161" i="4"/>
  <c r="Z161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H161" i="4"/>
  <c r="G161" i="4"/>
  <c r="F161" i="4"/>
  <c r="AE160" i="4"/>
  <c r="AC160" i="4"/>
  <c r="AB160" i="4"/>
  <c r="AA160" i="4"/>
  <c r="Z160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H160" i="4"/>
  <c r="G160" i="4"/>
  <c r="F160" i="4"/>
  <c r="AE159" i="4"/>
  <c r="AC159" i="4"/>
  <c r="AB159" i="4"/>
  <c r="AA159" i="4"/>
  <c r="Z159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H159" i="4"/>
  <c r="G159" i="4"/>
  <c r="F159" i="4"/>
  <c r="AE158" i="4"/>
  <c r="AC158" i="4"/>
  <c r="AB158" i="4"/>
  <c r="AA158" i="4"/>
  <c r="Z158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H158" i="4"/>
  <c r="G158" i="4"/>
  <c r="F158" i="4"/>
  <c r="AE157" i="4"/>
  <c r="AC157" i="4"/>
  <c r="AB157" i="4"/>
  <c r="AA157" i="4"/>
  <c r="Z157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H157" i="4"/>
  <c r="G157" i="4"/>
  <c r="F157" i="4"/>
  <c r="AE156" i="4"/>
  <c r="AC156" i="4"/>
  <c r="AB156" i="4"/>
  <c r="AA156" i="4"/>
  <c r="Z156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H156" i="4"/>
  <c r="G156" i="4"/>
  <c r="F156" i="4"/>
  <c r="AE155" i="4"/>
  <c r="AC155" i="4"/>
  <c r="AB155" i="4"/>
  <c r="AA155" i="4"/>
  <c r="Z155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H155" i="4"/>
  <c r="G155" i="4"/>
  <c r="F155" i="4"/>
  <c r="AE154" i="4"/>
  <c r="AC154" i="4"/>
  <c r="AB154" i="4"/>
  <c r="AA154" i="4"/>
  <c r="Z154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H154" i="4"/>
  <c r="G154" i="4"/>
  <c r="F154" i="4"/>
  <c r="AE153" i="4"/>
  <c r="AC153" i="4"/>
  <c r="AB153" i="4"/>
  <c r="AA153" i="4"/>
  <c r="Z153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H153" i="4"/>
  <c r="G153" i="4"/>
  <c r="F153" i="4"/>
  <c r="AE152" i="4"/>
  <c r="AC152" i="4"/>
  <c r="AB152" i="4"/>
  <c r="AA152" i="4"/>
  <c r="Z152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H152" i="4"/>
  <c r="G152" i="4"/>
  <c r="F152" i="4"/>
  <c r="AE151" i="4"/>
  <c r="AC151" i="4"/>
  <c r="AB151" i="4"/>
  <c r="AA151" i="4"/>
  <c r="Z151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H151" i="4"/>
  <c r="G151" i="4"/>
  <c r="F151" i="4"/>
  <c r="AE150" i="4"/>
  <c r="AC150" i="4"/>
  <c r="AB150" i="4"/>
  <c r="AA150" i="4"/>
  <c r="Z150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H150" i="4"/>
  <c r="G150" i="4"/>
  <c r="F150" i="4"/>
  <c r="AE149" i="4"/>
  <c r="AC149" i="4"/>
  <c r="AB149" i="4"/>
  <c r="AA149" i="4"/>
  <c r="Z149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H149" i="4"/>
  <c r="G149" i="4"/>
  <c r="F149" i="4"/>
  <c r="AE148" i="4"/>
  <c r="AC148" i="4"/>
  <c r="AB148" i="4"/>
  <c r="AA148" i="4"/>
  <c r="Z148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H148" i="4"/>
  <c r="G148" i="4"/>
  <c r="F148" i="4"/>
  <c r="AE147" i="4"/>
  <c r="AC147" i="4"/>
  <c r="AB147" i="4"/>
  <c r="AA147" i="4"/>
  <c r="Z147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H147" i="4"/>
  <c r="G147" i="4"/>
  <c r="F147" i="4"/>
  <c r="AE146" i="4"/>
  <c r="AC146" i="4"/>
  <c r="AB146" i="4"/>
  <c r="AA146" i="4"/>
  <c r="Z146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H146" i="4"/>
  <c r="G146" i="4"/>
  <c r="F146" i="4"/>
  <c r="AE145" i="4"/>
  <c r="AC145" i="4"/>
  <c r="AB145" i="4"/>
  <c r="AA145" i="4"/>
  <c r="Z145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H145" i="4"/>
  <c r="G145" i="4"/>
  <c r="F145" i="4"/>
  <c r="AE144" i="4"/>
  <c r="AC144" i="4"/>
  <c r="AB144" i="4"/>
  <c r="AA144" i="4"/>
  <c r="Z144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H144" i="4"/>
  <c r="G144" i="4"/>
  <c r="F144" i="4"/>
  <c r="AE143" i="4"/>
  <c r="AC143" i="4"/>
  <c r="AB143" i="4"/>
  <c r="AA143" i="4"/>
  <c r="Z143" i="4"/>
  <c r="Y143" i="4"/>
  <c r="X143" i="4"/>
  <c r="W143" i="4"/>
  <c r="V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H143" i="4"/>
  <c r="G143" i="4"/>
  <c r="F143" i="4"/>
  <c r="AE142" i="4"/>
  <c r="AC142" i="4"/>
  <c r="AB142" i="4"/>
  <c r="AA142" i="4"/>
  <c r="Z142" i="4"/>
  <c r="Y142" i="4"/>
  <c r="X142" i="4"/>
  <c r="W142" i="4"/>
  <c r="V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H142" i="4"/>
  <c r="G142" i="4"/>
  <c r="F142" i="4"/>
  <c r="AE141" i="4"/>
  <c r="AC141" i="4"/>
  <c r="AB141" i="4"/>
  <c r="AA141" i="4"/>
  <c r="Z141" i="4"/>
  <c r="Y141" i="4"/>
  <c r="X141" i="4"/>
  <c r="W141" i="4"/>
  <c r="V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H141" i="4"/>
  <c r="G141" i="4"/>
  <c r="F141" i="4"/>
  <c r="AE140" i="4"/>
  <c r="AC140" i="4"/>
  <c r="AB140" i="4"/>
  <c r="AA140" i="4"/>
  <c r="Z140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H140" i="4"/>
  <c r="G140" i="4"/>
  <c r="F140" i="4"/>
  <c r="AE139" i="4"/>
  <c r="AC139" i="4"/>
  <c r="AB139" i="4"/>
  <c r="AA139" i="4"/>
  <c r="Z139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H139" i="4"/>
  <c r="G139" i="4"/>
  <c r="F139" i="4"/>
  <c r="AE138" i="4"/>
  <c r="AC138" i="4"/>
  <c r="AB138" i="4"/>
  <c r="AA138" i="4"/>
  <c r="Z138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H138" i="4"/>
  <c r="G138" i="4"/>
  <c r="F138" i="4"/>
  <c r="AE137" i="4"/>
  <c r="AC137" i="4"/>
  <c r="AB137" i="4"/>
  <c r="AA137" i="4"/>
  <c r="Z137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H137" i="4"/>
  <c r="G137" i="4"/>
  <c r="F137" i="4"/>
  <c r="AE136" i="4"/>
  <c r="AC136" i="4"/>
  <c r="AB136" i="4"/>
  <c r="AA136" i="4"/>
  <c r="Z136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H136" i="4"/>
  <c r="G136" i="4"/>
  <c r="F136" i="4"/>
  <c r="AE135" i="4"/>
  <c r="AC135" i="4"/>
  <c r="AB135" i="4"/>
  <c r="AA135" i="4"/>
  <c r="Z135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F135" i="4"/>
  <c r="AE134" i="4"/>
  <c r="AC134" i="4"/>
  <c r="AB134" i="4"/>
  <c r="AA134" i="4"/>
  <c r="Z134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H134" i="4"/>
  <c r="G134" i="4"/>
  <c r="F134" i="4"/>
  <c r="AE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G133" i="4"/>
  <c r="F133" i="4"/>
  <c r="AE132" i="4"/>
  <c r="AC132" i="4"/>
  <c r="AB132" i="4"/>
  <c r="AA132" i="4"/>
  <c r="Z132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H132" i="4"/>
  <c r="G132" i="4"/>
  <c r="F132" i="4"/>
  <c r="AE131" i="4"/>
  <c r="AC131" i="4"/>
  <c r="AB131" i="4"/>
  <c r="AA131" i="4"/>
  <c r="Z131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H131" i="4"/>
  <c r="G131" i="4"/>
  <c r="F131" i="4"/>
  <c r="AE130" i="4"/>
  <c r="AC130" i="4"/>
  <c r="AB130" i="4"/>
  <c r="AA130" i="4"/>
  <c r="Z130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H130" i="4"/>
  <c r="G130" i="4"/>
  <c r="F130" i="4"/>
  <c r="AE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G129" i="4"/>
  <c r="F129" i="4"/>
  <c r="AE128" i="4"/>
  <c r="AC128" i="4"/>
  <c r="AB128" i="4"/>
  <c r="AA128" i="4"/>
  <c r="Z128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H128" i="4"/>
  <c r="G128" i="4"/>
  <c r="F128" i="4"/>
  <c r="AE127" i="4"/>
  <c r="AC127" i="4"/>
  <c r="AB127" i="4"/>
  <c r="AA127" i="4"/>
  <c r="Z127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H127" i="4"/>
  <c r="G127" i="4"/>
  <c r="F127" i="4"/>
  <c r="AE126" i="4"/>
  <c r="AC126" i="4"/>
  <c r="AB126" i="4"/>
  <c r="AA126" i="4"/>
  <c r="Z126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AE125" i="4"/>
  <c r="AC125" i="4"/>
  <c r="AB125" i="4"/>
  <c r="AA125" i="4"/>
  <c r="Z125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H125" i="4"/>
  <c r="G125" i="4"/>
  <c r="F125" i="4"/>
  <c r="AE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H124" i="4"/>
  <c r="G124" i="4"/>
  <c r="F124" i="4"/>
  <c r="AE123" i="4"/>
  <c r="AC123" i="4"/>
  <c r="AB123" i="4"/>
  <c r="AA123" i="4"/>
  <c r="Z123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AE122" i="4"/>
  <c r="AC122" i="4"/>
  <c r="AB122" i="4"/>
  <c r="AA122" i="4"/>
  <c r="Z122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H122" i="4"/>
  <c r="G122" i="4"/>
  <c r="F122" i="4"/>
  <c r="AE121" i="4"/>
  <c r="AC121" i="4"/>
  <c r="AB121" i="4"/>
  <c r="AA121" i="4"/>
  <c r="Z121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AE120" i="4"/>
  <c r="AC120" i="4"/>
  <c r="AB120" i="4"/>
  <c r="AA120" i="4"/>
  <c r="Z120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AE119" i="4"/>
  <c r="AC119" i="4"/>
  <c r="AB119" i="4"/>
  <c r="AA119" i="4"/>
  <c r="Z119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AE118" i="4"/>
  <c r="AC118" i="4"/>
  <c r="AB118" i="4"/>
  <c r="AA118" i="4"/>
  <c r="Z118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H118" i="4"/>
  <c r="G118" i="4"/>
  <c r="F118" i="4"/>
  <c r="AE117" i="4"/>
  <c r="AC117" i="4"/>
  <c r="AB117" i="4"/>
  <c r="AA117" i="4"/>
  <c r="Z117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H117" i="4"/>
  <c r="G117" i="4"/>
  <c r="F117" i="4"/>
  <c r="AE116" i="4"/>
  <c r="AC116" i="4"/>
  <c r="AB116" i="4"/>
  <c r="AA116" i="4"/>
  <c r="Z116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H116" i="4"/>
  <c r="G116" i="4"/>
  <c r="F116" i="4"/>
  <c r="AE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H115" i="4"/>
  <c r="G115" i="4"/>
  <c r="F115" i="4"/>
  <c r="AE114" i="4"/>
  <c r="AC114" i="4"/>
  <c r="AB114" i="4"/>
  <c r="AA114" i="4"/>
  <c r="Z114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AE113" i="4"/>
  <c r="AC113" i="4"/>
  <c r="AB113" i="4"/>
  <c r="AA113" i="4"/>
  <c r="Z113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AE112" i="4"/>
  <c r="AC112" i="4"/>
  <c r="AB112" i="4"/>
  <c r="AA112" i="4"/>
  <c r="Z112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H112" i="4"/>
  <c r="G112" i="4"/>
  <c r="F112" i="4"/>
  <c r="AE111" i="4"/>
  <c r="AC111" i="4"/>
  <c r="AB111" i="4"/>
  <c r="AA111" i="4"/>
  <c r="Z111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AE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AE109" i="4"/>
  <c r="AC109" i="4"/>
  <c r="AB109" i="4"/>
  <c r="AA109" i="4"/>
  <c r="Z109" i="4"/>
  <c r="Y109" i="4"/>
  <c r="X109" i="4"/>
  <c r="W109" i="4"/>
  <c r="V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AE108" i="4"/>
  <c r="AC108" i="4"/>
  <c r="AB108" i="4"/>
  <c r="AA108" i="4"/>
  <c r="Z108" i="4"/>
  <c r="Y108" i="4"/>
  <c r="X108" i="4"/>
  <c r="W108" i="4"/>
  <c r="V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AE107" i="4"/>
  <c r="AC107" i="4"/>
  <c r="AB107" i="4"/>
  <c r="AA107" i="4"/>
  <c r="Z107" i="4"/>
  <c r="Y107" i="4"/>
  <c r="X107" i="4"/>
  <c r="W107" i="4"/>
  <c r="V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AE106" i="4"/>
  <c r="AC106" i="4"/>
  <c r="AB106" i="4"/>
  <c r="AA106" i="4"/>
  <c r="Z106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AE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H105" i="4"/>
  <c r="G105" i="4"/>
  <c r="F105" i="4"/>
  <c r="AE104" i="4"/>
  <c r="AC104" i="4"/>
  <c r="AB104" i="4"/>
  <c r="AA104" i="4"/>
  <c r="Z104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H104" i="4"/>
  <c r="G104" i="4"/>
  <c r="F104" i="4"/>
  <c r="AE103" i="4"/>
  <c r="AC103" i="4"/>
  <c r="AB103" i="4"/>
  <c r="AA103" i="4"/>
  <c r="Z103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H103" i="4"/>
  <c r="G103" i="4"/>
  <c r="F103" i="4"/>
  <c r="AE102" i="4"/>
  <c r="AC102" i="4"/>
  <c r="AB102" i="4"/>
  <c r="AA102" i="4"/>
  <c r="Z102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H102" i="4"/>
  <c r="G102" i="4"/>
  <c r="F102" i="4"/>
  <c r="AE101" i="4"/>
  <c r="AC101" i="4"/>
  <c r="AB101" i="4"/>
  <c r="AA101" i="4"/>
  <c r="Z101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H101" i="4"/>
  <c r="G101" i="4"/>
  <c r="F101" i="4"/>
  <c r="AE100" i="4"/>
  <c r="AC100" i="4"/>
  <c r="AB100" i="4"/>
  <c r="AA100" i="4"/>
  <c r="Z100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H100" i="4"/>
  <c r="G100" i="4"/>
  <c r="F100" i="4"/>
  <c r="AE99" i="4"/>
  <c r="AC99" i="4"/>
  <c r="AB99" i="4"/>
  <c r="AA99" i="4"/>
  <c r="Z99" i="4"/>
  <c r="Y99" i="4"/>
  <c r="X99" i="4"/>
  <c r="W99" i="4"/>
  <c r="V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H99" i="4"/>
  <c r="G99" i="4"/>
  <c r="F99" i="4"/>
  <c r="AE98" i="4"/>
  <c r="AC98" i="4"/>
  <c r="AB98" i="4"/>
  <c r="AA98" i="4"/>
  <c r="Z98" i="4"/>
  <c r="Y98" i="4"/>
  <c r="X98" i="4"/>
  <c r="W98" i="4"/>
  <c r="V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H98" i="4"/>
  <c r="G98" i="4"/>
  <c r="F98" i="4"/>
  <c r="AE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H97" i="4"/>
  <c r="G97" i="4"/>
  <c r="F97" i="4"/>
  <c r="AE96" i="4"/>
  <c r="AC96" i="4"/>
  <c r="AB96" i="4"/>
  <c r="AA96" i="4"/>
  <c r="Z96" i="4"/>
  <c r="Y96" i="4"/>
  <c r="X96" i="4"/>
  <c r="W96" i="4"/>
  <c r="V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H96" i="4"/>
  <c r="G96" i="4"/>
  <c r="F96" i="4"/>
  <c r="AE95" i="4"/>
  <c r="AC95" i="4"/>
  <c r="AB95" i="4"/>
  <c r="AA95" i="4"/>
  <c r="Z95" i="4"/>
  <c r="Y95" i="4"/>
  <c r="X95" i="4"/>
  <c r="W95" i="4"/>
  <c r="V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H95" i="4"/>
  <c r="G95" i="4"/>
  <c r="F95" i="4"/>
  <c r="AE94" i="4"/>
  <c r="AC94" i="4"/>
  <c r="AB94" i="4"/>
  <c r="AA94" i="4"/>
  <c r="Z94" i="4"/>
  <c r="Y94" i="4"/>
  <c r="X94" i="4"/>
  <c r="W94" i="4"/>
  <c r="V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H94" i="4"/>
  <c r="G94" i="4"/>
  <c r="F94" i="4"/>
  <c r="AE93" i="4"/>
  <c r="AC93" i="4"/>
  <c r="AB93" i="4"/>
  <c r="AA93" i="4"/>
  <c r="Z93" i="4"/>
  <c r="Y93" i="4"/>
  <c r="X93" i="4"/>
  <c r="W93" i="4"/>
  <c r="V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H93" i="4"/>
  <c r="G93" i="4"/>
  <c r="F93" i="4"/>
  <c r="AE92" i="4"/>
  <c r="AC92" i="4"/>
  <c r="AB92" i="4"/>
  <c r="AA92" i="4"/>
  <c r="Z92" i="4"/>
  <c r="Y92" i="4"/>
  <c r="X92" i="4"/>
  <c r="W92" i="4"/>
  <c r="V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H92" i="4"/>
  <c r="G92" i="4"/>
  <c r="F92" i="4"/>
  <c r="AE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H91" i="4"/>
  <c r="G91" i="4"/>
  <c r="F91" i="4"/>
  <c r="AE90" i="4"/>
  <c r="AC90" i="4"/>
  <c r="AB90" i="4"/>
  <c r="AA90" i="4"/>
  <c r="Z90" i="4"/>
  <c r="Y90" i="4"/>
  <c r="X90" i="4"/>
  <c r="W90" i="4"/>
  <c r="V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H90" i="4"/>
  <c r="G90" i="4"/>
  <c r="F90" i="4"/>
  <c r="AE89" i="4"/>
  <c r="AC89" i="4"/>
  <c r="AB89" i="4"/>
  <c r="AA89" i="4"/>
  <c r="Z89" i="4"/>
  <c r="Y89" i="4"/>
  <c r="X89" i="4"/>
  <c r="W89" i="4"/>
  <c r="V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H89" i="4"/>
  <c r="G89" i="4"/>
  <c r="F89" i="4"/>
  <c r="AE88" i="4"/>
  <c r="AC88" i="4"/>
  <c r="AB88" i="4"/>
  <c r="AA88" i="4"/>
  <c r="Z88" i="4"/>
  <c r="Y88" i="4"/>
  <c r="X88" i="4"/>
  <c r="W88" i="4"/>
  <c r="V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H88" i="4"/>
  <c r="G88" i="4"/>
  <c r="F88" i="4"/>
  <c r="AE87" i="4"/>
  <c r="AC87" i="4"/>
  <c r="AB87" i="4"/>
  <c r="AA87" i="4"/>
  <c r="Z87" i="4"/>
  <c r="Y87" i="4"/>
  <c r="X87" i="4"/>
  <c r="W87" i="4"/>
  <c r="V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H87" i="4"/>
  <c r="G87" i="4"/>
  <c r="F87" i="4"/>
  <c r="AE86" i="4"/>
  <c r="AC86" i="4"/>
  <c r="AB86" i="4"/>
  <c r="AA86" i="4"/>
  <c r="Z86" i="4"/>
  <c r="Y86" i="4"/>
  <c r="X86" i="4"/>
  <c r="W86" i="4"/>
  <c r="V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H86" i="4"/>
  <c r="G86" i="4"/>
  <c r="F86" i="4"/>
  <c r="AE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H85" i="4"/>
  <c r="G85" i="4"/>
  <c r="F85" i="4"/>
  <c r="AE84" i="4"/>
  <c r="AC84" i="4"/>
  <c r="AB84" i="4"/>
  <c r="AA84" i="4"/>
  <c r="Z84" i="4"/>
  <c r="Y84" i="4"/>
  <c r="X84" i="4"/>
  <c r="W84" i="4"/>
  <c r="V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H84" i="4"/>
  <c r="G84" i="4"/>
  <c r="F84" i="4"/>
  <c r="AE83" i="4"/>
  <c r="AC83" i="4"/>
  <c r="AB83" i="4"/>
  <c r="AA83" i="4"/>
  <c r="Z83" i="4"/>
  <c r="Y83" i="4"/>
  <c r="X83" i="4"/>
  <c r="W83" i="4"/>
  <c r="V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H83" i="4"/>
  <c r="G83" i="4"/>
  <c r="F83" i="4"/>
  <c r="AE82" i="4"/>
  <c r="AC82" i="4"/>
  <c r="AB82" i="4"/>
  <c r="AA82" i="4"/>
  <c r="Z82" i="4"/>
  <c r="Y82" i="4"/>
  <c r="X82" i="4"/>
  <c r="W82" i="4"/>
  <c r="V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H82" i="4"/>
  <c r="G82" i="4"/>
  <c r="F82" i="4"/>
  <c r="AE81" i="4"/>
  <c r="AC81" i="4"/>
  <c r="AB81" i="4"/>
  <c r="AA81" i="4"/>
  <c r="Z81" i="4"/>
  <c r="Y81" i="4"/>
  <c r="X81" i="4"/>
  <c r="W81" i="4"/>
  <c r="V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H81" i="4"/>
  <c r="G81" i="4"/>
  <c r="F81" i="4"/>
  <c r="AE80" i="4"/>
  <c r="AC80" i="4"/>
  <c r="AB80" i="4"/>
  <c r="AA80" i="4"/>
  <c r="Z80" i="4"/>
  <c r="Y80" i="4"/>
  <c r="X80" i="4"/>
  <c r="W80" i="4"/>
  <c r="V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H80" i="4"/>
  <c r="G80" i="4"/>
  <c r="F80" i="4"/>
  <c r="AE79" i="4"/>
  <c r="AC79" i="4"/>
  <c r="AB79" i="4"/>
  <c r="AA79" i="4"/>
  <c r="Z79" i="4"/>
  <c r="Y79" i="4"/>
  <c r="X79" i="4"/>
  <c r="W79" i="4"/>
  <c r="V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H79" i="4"/>
  <c r="G79" i="4"/>
  <c r="F79" i="4"/>
  <c r="AE78" i="4"/>
  <c r="AC78" i="4"/>
  <c r="AB78" i="4"/>
  <c r="AA78" i="4"/>
  <c r="Z78" i="4"/>
  <c r="Y78" i="4"/>
  <c r="X78" i="4"/>
  <c r="W78" i="4"/>
  <c r="V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H78" i="4"/>
  <c r="G78" i="4"/>
  <c r="F78" i="4"/>
  <c r="AE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H77" i="4"/>
  <c r="G77" i="4"/>
  <c r="F77" i="4"/>
  <c r="AE76" i="4"/>
  <c r="AC76" i="4"/>
  <c r="AB76" i="4"/>
  <c r="AA76" i="4"/>
  <c r="Z76" i="4"/>
  <c r="Y76" i="4"/>
  <c r="X76" i="4"/>
  <c r="W76" i="4"/>
  <c r="V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H76" i="4"/>
  <c r="G76" i="4"/>
  <c r="F76" i="4"/>
  <c r="AE75" i="4"/>
  <c r="AC75" i="4"/>
  <c r="AB75" i="4"/>
  <c r="AA75" i="4"/>
  <c r="Z75" i="4"/>
  <c r="Y75" i="4"/>
  <c r="X75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H75" i="4"/>
  <c r="G75" i="4"/>
  <c r="F75" i="4"/>
  <c r="AE74" i="4"/>
  <c r="AC74" i="4"/>
  <c r="AB74" i="4"/>
  <c r="AA74" i="4"/>
  <c r="Z74" i="4"/>
  <c r="Y74" i="4"/>
  <c r="X74" i="4"/>
  <c r="W74" i="4"/>
  <c r="V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H74" i="4"/>
  <c r="G74" i="4"/>
  <c r="F74" i="4"/>
  <c r="AE73" i="4"/>
  <c r="AC73" i="4"/>
  <c r="AB73" i="4"/>
  <c r="AA73" i="4"/>
  <c r="Z73" i="4"/>
  <c r="Y73" i="4"/>
  <c r="X73" i="4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H73" i="4"/>
  <c r="G73" i="4"/>
  <c r="F73" i="4"/>
  <c r="AE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H72" i="4"/>
  <c r="G72" i="4"/>
  <c r="F72" i="4"/>
  <c r="AE71" i="4"/>
  <c r="AC71" i="4"/>
  <c r="AB71" i="4"/>
  <c r="AA71" i="4"/>
  <c r="Z71" i="4"/>
  <c r="Y71" i="4"/>
  <c r="X71" i="4"/>
  <c r="W71" i="4"/>
  <c r="V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H71" i="4"/>
  <c r="G71" i="4"/>
  <c r="F71" i="4"/>
  <c r="AE70" i="4"/>
  <c r="AC70" i="4"/>
  <c r="AB70" i="4"/>
  <c r="AA70" i="4"/>
  <c r="Z70" i="4"/>
  <c r="Y70" i="4"/>
  <c r="X70" i="4"/>
  <c r="W70" i="4"/>
  <c r="V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H70" i="4"/>
  <c r="G70" i="4"/>
  <c r="F70" i="4"/>
  <c r="AE69" i="4"/>
  <c r="AC69" i="4"/>
  <c r="AB69" i="4"/>
  <c r="AA69" i="4"/>
  <c r="Z69" i="4"/>
  <c r="Y69" i="4"/>
  <c r="X69" i="4"/>
  <c r="W69" i="4"/>
  <c r="V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H69" i="4"/>
  <c r="G69" i="4"/>
  <c r="F69" i="4"/>
  <c r="AE68" i="4"/>
  <c r="AC68" i="4"/>
  <c r="AB68" i="4"/>
  <c r="AA68" i="4"/>
  <c r="Z68" i="4"/>
  <c r="Y68" i="4"/>
  <c r="X68" i="4"/>
  <c r="W68" i="4"/>
  <c r="V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H68" i="4"/>
  <c r="G68" i="4"/>
  <c r="F68" i="4"/>
  <c r="AE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H67" i="4"/>
  <c r="G67" i="4"/>
  <c r="F67" i="4"/>
  <c r="AE66" i="4"/>
  <c r="AC66" i="4"/>
  <c r="AB66" i="4"/>
  <c r="AA66" i="4"/>
  <c r="Z66" i="4"/>
  <c r="Y66" i="4"/>
  <c r="X66" i="4"/>
  <c r="W66" i="4"/>
  <c r="V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H66" i="4"/>
  <c r="G66" i="4"/>
  <c r="F66" i="4"/>
  <c r="AE65" i="4"/>
  <c r="AC65" i="4"/>
  <c r="AB65" i="4"/>
  <c r="AA65" i="4"/>
  <c r="Z65" i="4"/>
  <c r="Y65" i="4"/>
  <c r="X65" i="4"/>
  <c r="W65" i="4"/>
  <c r="V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H65" i="4"/>
  <c r="G65" i="4"/>
  <c r="F65" i="4"/>
  <c r="AE64" i="4"/>
  <c r="AC64" i="4"/>
  <c r="AB64" i="4"/>
  <c r="AA64" i="4"/>
  <c r="Z64" i="4"/>
  <c r="Y64" i="4"/>
  <c r="X64" i="4"/>
  <c r="W64" i="4"/>
  <c r="V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H64" i="4"/>
  <c r="G64" i="4"/>
  <c r="F64" i="4"/>
  <c r="AE63" i="4"/>
  <c r="AC63" i="4"/>
  <c r="AB63" i="4"/>
  <c r="AA63" i="4"/>
  <c r="Z63" i="4"/>
  <c r="Y63" i="4"/>
  <c r="X63" i="4"/>
  <c r="W63" i="4"/>
  <c r="V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H63" i="4"/>
  <c r="G63" i="4"/>
  <c r="F63" i="4"/>
  <c r="AE62" i="4"/>
  <c r="AC62" i="4"/>
  <c r="AB62" i="4"/>
  <c r="AA62" i="4"/>
  <c r="Z62" i="4"/>
  <c r="Y62" i="4"/>
  <c r="X62" i="4"/>
  <c r="W62" i="4"/>
  <c r="V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H62" i="4"/>
  <c r="G62" i="4"/>
  <c r="F62" i="4"/>
  <c r="AE61" i="4"/>
  <c r="AC61" i="4"/>
  <c r="AB61" i="4"/>
  <c r="AA61" i="4"/>
  <c r="Z61" i="4"/>
  <c r="Y61" i="4"/>
  <c r="X61" i="4"/>
  <c r="W61" i="4"/>
  <c r="V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H61" i="4"/>
  <c r="G61" i="4"/>
  <c r="F61" i="4"/>
  <c r="AE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H60" i="4"/>
  <c r="G60" i="4"/>
  <c r="F60" i="4"/>
  <c r="AE59" i="4"/>
  <c r="AC59" i="4"/>
  <c r="AB59" i="4"/>
  <c r="AA59" i="4"/>
  <c r="Z59" i="4"/>
  <c r="Y59" i="4"/>
  <c r="X59" i="4"/>
  <c r="W59" i="4"/>
  <c r="V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H59" i="4"/>
  <c r="G59" i="4"/>
  <c r="F59" i="4"/>
  <c r="AE58" i="4"/>
  <c r="AC58" i="4"/>
  <c r="AB58" i="4"/>
  <c r="AA58" i="4"/>
  <c r="Z58" i="4"/>
  <c r="Y58" i="4"/>
  <c r="X58" i="4"/>
  <c r="W58" i="4"/>
  <c r="V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H58" i="4"/>
  <c r="G58" i="4"/>
  <c r="F58" i="4"/>
  <c r="AE57" i="4"/>
  <c r="AC57" i="4"/>
  <c r="AB57" i="4"/>
  <c r="AA57" i="4"/>
  <c r="Z57" i="4"/>
  <c r="Y57" i="4"/>
  <c r="X57" i="4"/>
  <c r="W57" i="4"/>
  <c r="V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H57" i="4"/>
  <c r="G57" i="4"/>
  <c r="F57" i="4"/>
  <c r="AE56" i="4"/>
  <c r="AC56" i="4"/>
  <c r="AB56" i="4"/>
  <c r="AA56" i="4"/>
  <c r="Z56" i="4"/>
  <c r="Y56" i="4"/>
  <c r="X56" i="4"/>
  <c r="W56" i="4"/>
  <c r="V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H56" i="4"/>
  <c r="G56" i="4"/>
  <c r="F56" i="4"/>
  <c r="AE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H55" i="4"/>
  <c r="G55" i="4"/>
  <c r="F55" i="4"/>
  <c r="AE54" i="4"/>
  <c r="AC54" i="4"/>
  <c r="AB54" i="4"/>
  <c r="AA54" i="4"/>
  <c r="Z54" i="4"/>
  <c r="Y54" i="4"/>
  <c r="X54" i="4"/>
  <c r="W54" i="4"/>
  <c r="V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H54" i="4"/>
  <c r="G54" i="4"/>
  <c r="F54" i="4"/>
  <c r="AE53" i="4"/>
  <c r="AC53" i="4"/>
  <c r="AB53" i="4"/>
  <c r="AA53" i="4"/>
  <c r="Z53" i="4"/>
  <c r="Y53" i="4"/>
  <c r="X53" i="4"/>
  <c r="W53" i="4"/>
  <c r="V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H53" i="4"/>
  <c r="G53" i="4"/>
  <c r="F53" i="4"/>
  <c r="AE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AE51" i="4"/>
  <c r="AC51" i="4"/>
  <c r="AB51" i="4"/>
  <c r="AA51" i="4"/>
  <c r="Z51" i="4"/>
  <c r="Y51" i="4"/>
  <c r="X51" i="4"/>
  <c r="W51" i="4"/>
  <c r="V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H51" i="4"/>
  <c r="G51" i="4"/>
  <c r="F51" i="4"/>
  <c r="AE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AE49" i="4"/>
  <c r="AC49" i="4"/>
  <c r="AB49" i="4"/>
  <c r="AA49" i="4"/>
  <c r="Z49" i="4"/>
  <c r="Y49" i="4"/>
  <c r="X49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AE48" i="4"/>
  <c r="AC48" i="4"/>
  <c r="AB48" i="4"/>
  <c r="AA48" i="4"/>
  <c r="Z48" i="4"/>
  <c r="Y48" i="4"/>
  <c r="X48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AE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AE46" i="4"/>
  <c r="AC46" i="4"/>
  <c r="AB46" i="4"/>
  <c r="AA46" i="4"/>
  <c r="Z46" i="4"/>
  <c r="Y46" i="4"/>
  <c r="X46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AE45" i="4"/>
  <c r="AC45" i="4"/>
  <c r="AB45" i="4"/>
  <c r="AA45" i="4"/>
  <c r="Z45" i="4"/>
  <c r="Y45" i="4"/>
  <c r="X45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AE44" i="4"/>
  <c r="AC44" i="4"/>
  <c r="AB44" i="4"/>
  <c r="AA44" i="4"/>
  <c r="Z44" i="4"/>
  <c r="Y44" i="4"/>
  <c r="X44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AE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AE42" i="4"/>
  <c r="AC42" i="4"/>
  <c r="AB42" i="4"/>
  <c r="AA42" i="4"/>
  <c r="Z42" i="4"/>
  <c r="Y42" i="4"/>
  <c r="X42" i="4"/>
  <c r="W42" i="4"/>
  <c r="V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H42" i="4"/>
  <c r="G42" i="4"/>
  <c r="F42" i="4"/>
  <c r="AE41" i="4"/>
  <c r="AC41" i="4"/>
  <c r="AB41" i="4"/>
  <c r="AA41" i="4"/>
  <c r="Z41" i="4"/>
  <c r="Y41" i="4"/>
  <c r="X41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AE40" i="4"/>
  <c r="AC40" i="4"/>
  <c r="AB40" i="4"/>
  <c r="AA40" i="4"/>
  <c r="Z40" i="4"/>
  <c r="Y40" i="4"/>
  <c r="X40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AE39" i="4"/>
  <c r="AC39" i="4"/>
  <c r="AB39" i="4"/>
  <c r="AA39" i="4"/>
  <c r="Z39" i="4"/>
  <c r="Y39" i="4"/>
  <c r="X39" i="4"/>
  <c r="W39" i="4"/>
  <c r="V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H39" i="4"/>
  <c r="G39" i="4"/>
  <c r="F39" i="4"/>
  <c r="AE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AE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AE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AE35" i="4"/>
  <c r="AC35" i="4"/>
  <c r="AB35" i="4"/>
  <c r="AA35" i="4"/>
  <c r="Z35" i="4"/>
  <c r="Y35" i="4"/>
  <c r="X35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AE34" i="4"/>
  <c r="AC34" i="4"/>
  <c r="AB34" i="4"/>
  <c r="AA34" i="4"/>
  <c r="Z34" i="4"/>
  <c r="Y34" i="4"/>
  <c r="X34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AE33" i="4"/>
  <c r="AC33" i="4"/>
  <c r="AB33" i="4"/>
  <c r="AA33" i="4"/>
  <c r="Z33" i="4"/>
  <c r="Y33" i="4"/>
  <c r="X33" i="4"/>
  <c r="W33" i="4"/>
  <c r="V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H33" i="4"/>
  <c r="G33" i="4"/>
  <c r="F33" i="4"/>
  <c r="AE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AE31" i="4"/>
  <c r="AC31" i="4"/>
  <c r="AB31" i="4"/>
  <c r="AA31" i="4"/>
  <c r="Z31" i="4"/>
  <c r="Y31" i="4"/>
  <c r="X31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AE30" i="4"/>
  <c r="AC30" i="4"/>
  <c r="AB30" i="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AE29" i="4"/>
  <c r="AC29" i="4"/>
  <c r="AB29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AE28" i="4"/>
  <c r="AC28" i="4"/>
  <c r="AB28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AE27" i="4"/>
  <c r="AC27" i="4"/>
  <c r="AB27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AE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AE25" i="4"/>
  <c r="AC25" i="4"/>
  <c r="AB25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AE24" i="4"/>
  <c r="AC24" i="4"/>
  <c r="AB24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AE23" i="4"/>
  <c r="AC23" i="4"/>
  <c r="AB23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AE22" i="4"/>
  <c r="AC22" i="4"/>
  <c r="AB22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AE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AE20" i="4"/>
  <c r="AC20" i="4"/>
  <c r="AB20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AE19" i="4"/>
  <c r="AC19" i="4"/>
  <c r="AB19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AE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AE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AE16" i="4"/>
  <c r="AC16" i="4"/>
  <c r="AB16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AE15" i="4"/>
  <c r="AC15" i="4"/>
  <c r="AB15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AE14" i="4"/>
  <c r="AC14" i="4"/>
  <c r="AB14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AE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AE12" i="4"/>
  <c r="AC12" i="4"/>
  <c r="AB12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AE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AE10" i="4"/>
  <c r="AC10" i="4"/>
  <c r="AB10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AE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AE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AE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AE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AE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AE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AE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AE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AE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F2" i="8" l="1"/>
  <c r="F2" i="4"/>
  <c r="F2" i="7"/>
  <c r="F2" i="10"/>
  <c r="F2" i="11"/>
  <c r="F2" i="13"/>
  <c r="F2" i="15"/>
  <c r="F2" i="16"/>
  <c r="F2" i="17"/>
  <c r="F2" i="19"/>
  <c r="F2" i="6"/>
  <c r="F2" i="5"/>
  <c r="F2" i="9"/>
  <c r="F2" i="12"/>
  <c r="F2" i="14"/>
  <c r="F2" i="18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3742.5+(459-426.7)+(-9.543375+(-1.17045--1.088085))+0-0-0</f>
        <v>3765.1742600000002</v>
      </c>
      <c r="G1" s="3">
        <f>3515.2+(444.3-330.2)+(-5.378256+(-0.679779--0.505206))+0-0-0</f>
        <v>3623.7471709999995</v>
      </c>
      <c r="H1" s="3">
        <f>3466.8+(477.4-479.3)+(-1.768068+(-0.243474--0.244443))+0-0-0</f>
        <v>3463.1329009999999</v>
      </c>
      <c r="I1" s="3">
        <f>3427.6+(323.6-575.2)+(-8.74038+(-0.82518--1.46676))+0-0-0</f>
        <v>3167.9011999999998</v>
      </c>
      <c r="J1" s="3">
        <f>3402.4+(199.2-658)+(-1.735224+(-0.101592--0.33558))+0-0-0</f>
        <v>2942.0987639999998</v>
      </c>
      <c r="K1" s="3">
        <f>3280.7+(194.2-709.7)+(-8.365785+(-0.49521--1.809735))+0-0-0</f>
        <v>2758.1487399999996</v>
      </c>
      <c r="L1" s="3">
        <f>3066.2+(151.1-584)+(0+(0-0))+0-0-0</f>
        <v>2633.2999999999997</v>
      </c>
      <c r="M1" s="3">
        <f>3092.6+(201.8-751.1)+(0+(0-0))+0-0-0</f>
        <v>2543.3000000000002</v>
      </c>
      <c r="N1" s="3">
        <f>3554.8+(116.1-902.6)+(-5.438844+(-0.177633--1.380978))+0-0-0</f>
        <v>2764.0645010000003</v>
      </c>
      <c r="O1" s="3">
        <f>3681.2+(148.8-850.2)+(-1.877412+(-0.075888--0.433602))+0-0-0</f>
        <v>2978.2803019999997</v>
      </c>
      <c r="P1" s="3">
        <f>3682.5+(202.9-843.5)+(-5.634225+(-0.310437--1.290555))+0-0-0</f>
        <v>3037.2458930000003</v>
      </c>
      <c r="Q1" s="3">
        <f>3735.4+(209.5-822.7)+(-5.715162+(-0.320535--1.258731))+0-0-0</f>
        <v>3117.4230339999999</v>
      </c>
      <c r="R1" s="3">
        <f>3691.8+(204.8-792.5)+(-1.882818+(-0.104448--0.404175))+0-0-0</f>
        <v>3102.5169090000004</v>
      </c>
      <c r="S1" s="3">
        <f>3609.2+(154.2-741)+(3.681384+(0.157284-0.75582))+0-0-0</f>
        <v>3025.4828479999996</v>
      </c>
      <c r="T1" s="3">
        <f>3497.5+(143.3-616.9)+(-5.351175+(-0.219249--0.943857))+0-0-0</f>
        <v>3019.2734330000003</v>
      </c>
      <c r="U1" s="3">
        <f>3491.1+(147.2-667.2)+(-3.560922+(-0.150144--0.680544))+0-0-0</f>
        <v>2968.0694779999999</v>
      </c>
      <c r="V1" s="3">
        <f>3536.7+(151.8-783.1)+(-1.803717+(-0.077418--0.399381))+0-0-0</f>
        <v>2903.9182459999997</v>
      </c>
      <c r="W1" s="3">
        <f>3718+(101.9-752.4)+(0+(0-0))+0-0-0</f>
        <v>3067.5</v>
      </c>
      <c r="X1" s="3">
        <f>3954.3+(156.1-620.5)+(0+(0-0))+0-0-0</f>
        <v>3489.9</v>
      </c>
      <c r="Y1" s="3">
        <f>4018.4+(397-714.5)+(-2.049384+(-0.20247--0.364395))+0-0-0</f>
        <v>3699.0125410000001</v>
      </c>
      <c r="Z1" s="3">
        <f>3949.3+(491.1-768.8)+(2.014143+(0.250461-0.392088))+0-0-0</f>
        <v>3673.4725160000003</v>
      </c>
      <c r="AA1" s="3">
        <f>3958.2+(449.9-835.1)+(0+(0-0))+0-0-0</f>
        <v>3573</v>
      </c>
      <c r="AB1" s="3">
        <f>3910.4+(432.9-766.9)+(0+(0-0))+0-0-0</f>
        <v>3576.4</v>
      </c>
      <c r="AC1" s="3">
        <f>3727.5+(351.7-765.7)+(-1.901025+(-0.179367--0.390507))+0-0-0</f>
        <v>3311.8101150000002</v>
      </c>
      <c r="AD1">
        <v>3640</v>
      </c>
      <c r="AE1" s="3">
        <f>4061+(309.6-752.2)+(0+(0-0))+0-0-0</f>
        <v>3618.4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3086.9050575000001</v>
      </c>
      <c r="G2" s="3">
        <f>3379+(168-685)+(0+(0-0))+0-0-0</f>
        <v>2862</v>
      </c>
      <c r="H2" s="3">
        <f>3423.3+(165.8-680.7)+(-6.983532+(-0.338232--1.388628))+0-0-0</f>
        <v>2902.466864</v>
      </c>
      <c r="I2" s="3">
        <f>3441.4+(32.4-783.6)+(-3.510228+(-0.033048--0.799272))+0-0-0</f>
        <v>2687.4559959999997</v>
      </c>
      <c r="J2" s="3">
        <f>3426.8+(21.7-807.6)+(0+(0-0))+0-0-0</f>
        <v>2640.9</v>
      </c>
      <c r="K2" s="3">
        <f>3332.7+(41.6-724.7)+(-5.099031+(-0.063648--1.108791))+0-0-0</f>
        <v>2645.546112</v>
      </c>
      <c r="L2" s="3">
        <f>3319.8+(57.4-795.2)+(-3.386196+(-0.058548--0.811104))+0-0-0</f>
        <v>2579.36636</v>
      </c>
      <c r="M2" s="3">
        <f>3266.4+(43.3-780.2)+(-11.661048+(-0.154581--2.785314))+0-0-0</f>
        <v>2520.469685</v>
      </c>
      <c r="N2" s="3">
        <f>3344.1+(21.4-782.9)+(5.116473+(0.032742-1.197837))+0-0-0</f>
        <v>2586.5513780000001</v>
      </c>
      <c r="O2" s="3">
        <f>3424.3+(56.1-750.8)+(5.239179+(0.085833-1.148724))+0-0-0</f>
        <v>2733.7762880000005</v>
      </c>
      <c r="P2" s="3">
        <f>3464.9+(109.3-654.5)+(3.534198+(0.111486-0.66759))+0-0-0</f>
        <v>2922.6780939999999</v>
      </c>
      <c r="Q2" s="3">
        <f>3605.9+(124.6-660)+(-11.034054+(-0.381276--2.0196))+0-0-0</f>
        <v>3061.1042699999998</v>
      </c>
      <c r="R2" s="3">
        <f>3651.8+(132.4-688.9)+(-1.862418+(-0.067524--0.351339))+0-0-0</f>
        <v>3093.7213970000003</v>
      </c>
      <c r="S2" s="3">
        <f>3661.4+(117.7-699.1)+(3.734628+(0.120054-0.713082))+0-0-0</f>
        <v>3083.1415999999999</v>
      </c>
      <c r="T2" s="3">
        <f>3624.3+(114.5-674.7)+(-5.545179+(-0.175185--1.032291))+0-0-0</f>
        <v>3059.4119270000006</v>
      </c>
      <c r="U2" s="3">
        <f>3627.1+(92.2-684.4)+(0+(0-0))+0-0-0</f>
        <v>3034.9</v>
      </c>
      <c r="V2" s="3">
        <f>3600.4+(91.4-654.2)+(-5.508612+(-0.139842--1.000926))+0-0-0</f>
        <v>3032.9524719999999</v>
      </c>
      <c r="W2" s="3">
        <f>3446.3+(169.4-614.2)+(-7.030452+(-0.345576--1.252968))+0-0-0</f>
        <v>2995.3769400000001</v>
      </c>
      <c r="X2" s="3">
        <f>3506.6+(241.2-675.9)+(-7.153464+(-0.492048--1.378836))+0-0-0</f>
        <v>3065.6333239999999</v>
      </c>
      <c r="Y2" s="3">
        <f>4073+(211-781.8)+(-6.23169+(-0.32283--1.196154))+0-0-0</f>
        <v>3496.8416339999999</v>
      </c>
      <c r="Z2" s="3">
        <f>4110.8+(320-731.4)+(-10.48254+(-0.816--1.86507))+0-0-0</f>
        <v>3689.9665300000001</v>
      </c>
      <c r="AA2" s="3">
        <f>4063.1+(364.8-776.3)+(-2.072181+(-0.186048--0.395913))+0-0-0</f>
        <v>3649.7376839999997</v>
      </c>
      <c r="AB2" s="3">
        <f>3985.8+(374.8-773.2)+(-12.196548+(-1.146888--2.365992))+0-0-0</f>
        <v>3576.422556</v>
      </c>
      <c r="AC2" s="3">
        <f>3943.2+(299.2-812.4)+(-4.022064+(-0.305184--0.828648))+0-0-0</f>
        <v>3426.5014000000001</v>
      </c>
      <c r="AD2">
        <v>3700.8999999999996</v>
      </c>
      <c r="AE2" s="3">
        <f>4145+(315.9-760)+(0+(0-0))+0-0-0</f>
        <v>3700.9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3687.5+(241.4-713.9)+(-3.76125+(-0.246228--0.728178))+0-0-0</f>
        <v>3211.7206999999999</v>
      </c>
      <c r="G3" s="3">
        <f>3457.3+(157.2-655.3)+(0+(0-0))+0-0-0</f>
        <v>2959.2000000000003</v>
      </c>
      <c r="H3" s="3">
        <f>3403.4+(111.4-750.4)+(-6.942936+(-0.227256--1.530816))+0-0-0</f>
        <v>2758.760624</v>
      </c>
      <c r="I3" s="3">
        <f>3436.7+(94-836.2)+(0+(0-0))+0-0-0</f>
        <v>2694.5</v>
      </c>
      <c r="J3" s="3">
        <f>3364.2+(51.7-806.9)+(-8.57871+(-0.131835--2.057595))+0-0-0</f>
        <v>2602.3470499999999</v>
      </c>
      <c r="K3" s="3">
        <f>3421.2+(42.9-852.2)+(6.979248+(0.087516-1.738488))+0-0-0</f>
        <v>2617.2282759999998</v>
      </c>
      <c r="L3" s="3">
        <f>3378.1+(53.9-824.6)+(-5.168493+(-0.082467--1.261638))+0-0-0</f>
        <v>2603.4106779999997</v>
      </c>
      <c r="M3" s="3">
        <f>3313+(53.1-885.8)+(-1.68963+(-0.027081--0.451758))+0-0-0</f>
        <v>2479.0350470000003</v>
      </c>
      <c r="N3" s="3">
        <f>3302.5+(149.4-891.2)+(0+(0-0))+0-0-0</f>
        <v>2560.6999999999998</v>
      </c>
      <c r="O3" s="3">
        <f>3283.2+(141.9-663.1)+(-1.674432+(-0.072369--0.338181))+0-0-0</f>
        <v>2760.5913799999998</v>
      </c>
      <c r="P3" s="3">
        <f>3512.1+(151.1-657)+(0+(0-0))+0-0-0</f>
        <v>3006.2</v>
      </c>
      <c r="Q3" s="3">
        <f>3529.3+(277.9-625)+(0+(0-0))+0-0-0</f>
        <v>3182.2000000000003</v>
      </c>
      <c r="R3" s="3">
        <f>3515.6+(339.7-585.4)+(-3.585912+(-0.346494--0.597108))+0-0-0</f>
        <v>3266.5647020000001</v>
      </c>
      <c r="S3" s="3">
        <f>3456+(367.9-578.5)+(0+(0-0))+0-0-0</f>
        <v>3245.4</v>
      </c>
      <c r="T3" s="3">
        <f>3417.1+(307.3-542)+(1.742721+(0.156723-0.27642))+0-0-0</f>
        <v>3184.0230240000001</v>
      </c>
      <c r="U3" s="3">
        <f>3391.2+(300.2-543.7)+(-3.459024+(-0.306204--0.554574))+0-0-0</f>
        <v>3144.4893459999998</v>
      </c>
      <c r="V3" s="3">
        <f>3276.1+(407.5-592.3)+(1.670811+(0.207825-0.302073))+0-0-0</f>
        <v>3092.8765630000003</v>
      </c>
      <c r="W3" s="3">
        <f>3266.1+(429.9-603.3)+(-1.665711+(-0.219249--0.307683))+0-0-0</f>
        <v>3091.122723</v>
      </c>
      <c r="X3" s="3">
        <f>3279.9+(486.1-656.7)+(1.672749+(0.247911-0.334917))+0-0-0</f>
        <v>3110.8857430000003</v>
      </c>
      <c r="Y3" s="3">
        <f>3751.5+(389.1-638.5)+(1.913265+(0.198441-0.325635))+0-0-0</f>
        <v>3503.8860709999999</v>
      </c>
      <c r="Z3" s="3">
        <f>4017.5+(502.6-805)+(-2.048925+(-0.256326--0.41055))+0-0-0</f>
        <v>3713.2052989999997</v>
      </c>
      <c r="AA3" s="3">
        <f>3976.5+(435.9-807.8)+(0+(0-0))+0-0-0</f>
        <v>3604.6</v>
      </c>
      <c r="AB3" s="3">
        <f>3948.2+(323.7-751.7)+(2.013582+(0.165087-0.383367))+0-0-0</f>
        <v>3521.9953019999998</v>
      </c>
      <c r="AC3" s="3">
        <f>3878.9+(283.7-660.3)+(-1.978239+(-0.144687--0.336753))+0-0-0</f>
        <v>3500.5138270000002</v>
      </c>
      <c r="AD3">
        <v>3715.8999999999996</v>
      </c>
      <c r="AE3" s="3">
        <f>4023+(497.2-804.3)+(0+(0-0))+0-0-0</f>
        <v>3715.9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3795+(179-773.5)+(-1.93545+(-0.09129--0.394485))+0-0-0</f>
        <v>3198.867745</v>
      </c>
      <c r="G4" s="3">
        <f>3562.2+(136.5-791.9)+(-5.450166+(-0.208845--1.211607))+13.8-0-0</f>
        <v>2916.1525959999999</v>
      </c>
      <c r="H4" s="3">
        <f>3511.6+(114.5-884.2)+(-3.581832+(-0.11679--0.901884))+0-0-0</f>
        <v>2739.1032619999996</v>
      </c>
      <c r="I4" s="3">
        <f>3463.9+(105.6-902.5)+(3.533178+(0.107712-0.92055))+0-0-0</f>
        <v>2669.7203399999999</v>
      </c>
      <c r="J4" s="3">
        <f>3375.8+(112-894.3)+(-3.443316+(-0.11424--0.912186))+0-0-0</f>
        <v>2590.8546299999998</v>
      </c>
      <c r="K4" s="3">
        <f>3413.4+(118.2-912.9)+(5.222502+(0.180846-1.396737))+0-0-0</f>
        <v>2622.7066110000001</v>
      </c>
      <c r="L4" s="3">
        <f>3379.3+(111.2-861)+(-8.617215+(-0.28356--2.19555))+0-0-0</f>
        <v>2622.7947749999998</v>
      </c>
      <c r="M4" s="3">
        <f>3376.4+(80.5-928.5)+(3.443928+(0.08211-0.94707))+0-0-0</f>
        <v>2530.9789679999999</v>
      </c>
      <c r="N4" s="3">
        <f>3475.8+(54.9-1015.3)+(0+(0-0))+0-0-0</f>
        <v>2515.4</v>
      </c>
      <c r="O4" s="3">
        <f>3821.5+(62.9-1149.8)+(1.948965+(0.032079-0.586398))+0-0-0</f>
        <v>2735.9946460000006</v>
      </c>
      <c r="P4" s="3">
        <f>3817+(55.9-899.1)+(-1.94667+(-0.028509--0.458541))+0-0-0</f>
        <v>2972.2833620000001</v>
      </c>
      <c r="Q4" s="3">
        <f>3662+(100.3-719.6)+(-3.73524+(-0.102306--0.733992))+0-0-0</f>
        <v>3039.596446</v>
      </c>
      <c r="R4" s="3">
        <f>3580.2+(188.7-585.7)+(-1.825902+(-0.096237--0.298707))+0-0-0</f>
        <v>3181.576568</v>
      </c>
      <c r="S4" s="3">
        <f>3477.2+(198.7-622.1)+(-5.320116+(-0.304011--0.951813))+0-0-0</f>
        <v>3049.1276859999998</v>
      </c>
      <c r="T4" s="3">
        <f>3532.2+(133.6-566)+(-9.00711+(-0.34068--1.4433))+0-0-0</f>
        <v>3091.8955099999998</v>
      </c>
      <c r="U4" s="3">
        <f>3497.4+(120.1-620.1)+(7.134696+(0.245004-1.265004))+0-0-0</f>
        <v>3003.5146960000002</v>
      </c>
      <c r="V4" s="3">
        <f>3464.4+(139.1-617.9)+(1.766844+(0.070941-0.315129))+0-0-0</f>
        <v>2987.1226560000005</v>
      </c>
      <c r="W4" s="3">
        <f>3503.1+(137.4-592.2)+(-3.573162+(-0.140148--0.604044))+0-0-0</f>
        <v>3045.1907339999998</v>
      </c>
      <c r="X4" s="3">
        <f>3556.1+(181.2-642.9)+(-3.627222+(-0.184824--0.655758))+0-0-0</f>
        <v>3091.243712</v>
      </c>
      <c r="Y4" s="3">
        <f>3844.7+(460.9-828.8)+(1.960797+(0.235059-0.422688))+0-0-0</f>
        <v>3478.5731679999999</v>
      </c>
      <c r="Z4" s="3">
        <f>3890.3+(733.7-938)+(0+(0-0))+0-0-0</f>
        <v>3686</v>
      </c>
      <c r="AA4" s="3">
        <f>3857.7+(635-851.6)+(-3.934854+(-0.6477--0.868632))+0-0-0</f>
        <v>3637.386078</v>
      </c>
      <c r="AB4" s="3">
        <f>3823.1+(508.5-785.7)+(1.949781+(0.259335-0.400707))+0-0-0</f>
        <v>3547.7084089999998</v>
      </c>
      <c r="AC4" s="3">
        <f>3782.4+(385.8-714.3)+(1.929024+(0.196758-0.364293))+0-0-0</f>
        <v>3455.6614890000001</v>
      </c>
      <c r="AD4">
        <v>3676.7</v>
      </c>
      <c r="AE4" s="3">
        <f>3887+(741-951.3)+(0+(0-0))+0-0-0</f>
        <v>3676.7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3726.4+(125.1-660.6)+(-5.701392+(-0.191403--1.010718))+0-0-0</f>
        <v>3186.0179229999999</v>
      </c>
      <c r="G5" s="3">
        <f>3440.7+(145.4-673.3)+(-3.509514+(-0.148308--0.686766))+0-0-0</f>
        <v>2909.8289439999999</v>
      </c>
      <c r="H5" s="3">
        <f>3401.4+(130.2-794)+(0+(0-0))+0-0-0</f>
        <v>2737.6000000000004</v>
      </c>
      <c r="I5" s="3">
        <f>3404.2+(132.2-877.2)+(0+(0-0))+0-0-0</f>
        <v>2659.2</v>
      </c>
      <c r="J5" s="3">
        <f>3413.8+(137.8-940.7)+(1.741038+(0.070278-0.479757))+0-0-0</f>
        <v>2612.2315590000003</v>
      </c>
      <c r="K5" s="3">
        <f>3490.8+(132.1-1033.1)+(0+(0-0))+0-0-0</f>
        <v>2589.8000000000002</v>
      </c>
      <c r="L5" s="3">
        <f>3547.1+(159.2-1080.4)+(5.427063+(0.243576-1.653012))+0-0-0</f>
        <v>2629.9176269999998</v>
      </c>
      <c r="M5" s="3">
        <f>3439.5+(102.7-1056)+(-7.01658+(-0.209508--2.15424))+0-0-0</f>
        <v>2481.1281519999998</v>
      </c>
      <c r="N5" s="3">
        <f>3579.4+(66.3-1079.2)+(1.825494+(0.033813-0.550392))+0-0-0</f>
        <v>2567.8089150000001</v>
      </c>
      <c r="O5" s="3">
        <f>3682+(49.1-1004.5)+(-5.63346+(-0.075123--1.536885))+0-0-0</f>
        <v>2722.4283019999998</v>
      </c>
      <c r="P5" s="3">
        <f>3752.5+(40.1-893)+(0+(0-0))+0-0-0</f>
        <v>2899.6</v>
      </c>
      <c r="Q5" s="3">
        <f>3719.6+(95.6-779)+(1.896996+(0.048756-0.39729))+0-0-0</f>
        <v>3037.748462</v>
      </c>
      <c r="R5" s="3">
        <f>3713.8+(95.9-757.1)+(-5.682114+(-0.146727--1.158363))+0-0-0</f>
        <v>3047.9295220000004</v>
      </c>
      <c r="S5" s="3">
        <f>3615.1+(123.5-654)+(-3.687402+(-0.12597--0.66708))+0-0-0</f>
        <v>3081.453708</v>
      </c>
      <c r="T5" s="3">
        <f>3586.8+(125.2-671.1)+(-9.14634+(-0.31926--1.711305))+0-0-0</f>
        <v>3033.1457049999999</v>
      </c>
      <c r="U5" s="3">
        <f>3729.6+(121.5-839.1)+(-5.706288+(-0.185895--1.283823))+0-0-0</f>
        <v>3007.3916399999998</v>
      </c>
      <c r="V5" s="3">
        <f>3658.2+(123.6-767.6)+(0+(0-0))+0-0-0</f>
        <v>3014.2</v>
      </c>
      <c r="W5" s="3">
        <f>3666.7+(131-722.7)+(-1.870017+(-0.06681--0.368577))+0-0-0</f>
        <v>3073.4317500000002</v>
      </c>
      <c r="X5" s="3">
        <f>3680.9+(143.4-594.3)+(0+(0-0))+0-0-0</f>
        <v>3230</v>
      </c>
      <c r="Y5" s="3">
        <f>3847.5+(599-831.3)+(0+(0-0))+0-0-0</f>
        <v>3615.2</v>
      </c>
      <c r="Z5" s="3">
        <f>3908.2+(904.4-1101.3)+(-3.986364+(-0.922488--1.123326))+0-0-0</f>
        <v>3707.5144739999996</v>
      </c>
      <c r="AA5" s="3">
        <f>3879.9+(805.3-1061.7)+(-1.978749+(-0.410703--0.541467))+0-0-0</f>
        <v>3621.6520150000001</v>
      </c>
      <c r="AB5" s="3">
        <f>3837.2+(656.3-952.9)+(0+(0-0))+0-0-0</f>
        <v>3540.6</v>
      </c>
      <c r="AC5" s="3">
        <f>3739.6+(544.4-823.1)+(-3.814392+(-0.555288--0.839562))+0-0-0</f>
        <v>3457.3698819999995</v>
      </c>
      <c r="AD5">
        <v>3687.5999999999995</v>
      </c>
      <c r="AE5" s="3">
        <f>3885+(915.4-1112.8)+(0+(0-0))+0-0-0</f>
        <v>3687.6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3590.6+(316.9-705.6)+(-3.662412+(-0.323238--0.719712))+0-0-0</f>
        <v>3198.6340619999996</v>
      </c>
      <c r="G6" s="3">
        <f>3288.2+(265.8-615.2)+(-3.353964+(-0.271116--0.627504))+0-0-0</f>
        <v>2935.8024239999995</v>
      </c>
      <c r="H6" s="3">
        <f>3234.1+(188.1-654.7)+(0+(0-0))+0-0-0</f>
        <v>2767.5</v>
      </c>
      <c r="I6" s="3">
        <f>3234+(164.1-752.5)+(0+(0-0))+0-0-0</f>
        <v>2645.6</v>
      </c>
      <c r="J6" s="3">
        <f>3248.6+(156.6-725.4)+(3.313572+(0.159732-0.739908))+0-0-0</f>
        <v>2682.5333960000003</v>
      </c>
      <c r="K6" s="3">
        <f>3226.2+(156.8-711.6)+(-6.581448+(-0.319872--1.451664))+0-0-0</f>
        <v>2665.9503439999999</v>
      </c>
      <c r="L6" s="3">
        <f>3338.3+(154.2-793.4)+(-1.702533+(-0.078642--0.404634))+0-0-0</f>
        <v>2697.7234590000003</v>
      </c>
      <c r="M6" s="3">
        <f>3369.6+(165.5-751.2)+(-3.436992+(-0.16881--0.766224))+0-0-0</f>
        <v>2781.0604219999996</v>
      </c>
      <c r="N6" s="3">
        <f>3463.7+(164.1-656.7)+(5.299461+(0.251073-1.004751))+0-0-0</f>
        <v>2975.6457829999999</v>
      </c>
      <c r="O6" s="3">
        <f>3642.4+(210.1-602.8)+(-1.857624+(-0.107151--0.307428))+0-0-0</f>
        <v>3248.0426530000004</v>
      </c>
      <c r="P6" s="3">
        <f>3686.1+(421.1-633.4)+(-3.759822+(-0.429522--0.646068))+0-0-0</f>
        <v>3470.2567240000003</v>
      </c>
      <c r="Q6" s="3">
        <f>3798.9+(469.4-629.6)+(-1.937439+(-0.239394--0.321096))+0-0-0</f>
        <v>3636.844263</v>
      </c>
      <c r="R6" s="3">
        <f>3921.5+(428.9-586.2)+(-1.999965+(-0.218739--0.298962))+0-0-0</f>
        <v>3762.2802579999998</v>
      </c>
      <c r="S6" s="3">
        <f>3849.4+(365.3-475.4)+(-5.889582+(-0.558909--0.727362))+0-0-0</f>
        <v>3733.5788710000002</v>
      </c>
      <c r="T6" s="3">
        <f>3809+(332.6-425.3)+(-7.77036+(-0.678504--0.867612))+0-0-0</f>
        <v>3708.7187480000002</v>
      </c>
      <c r="U6" s="3">
        <f>3813.1+(267.1-470)+(-7.778724+(-0.544884--0.9588))+0-0-0</f>
        <v>3602.835192</v>
      </c>
      <c r="V6" s="3">
        <f>3816.9+(205.7-503.8)+(-5.839857+(-0.314721--0.770814))+0-0-0</f>
        <v>3513.416236</v>
      </c>
      <c r="W6" s="3">
        <f>3762.1+(198.8-572.7)+(-5.756013+(-0.304164--0.876231))+0-0-0</f>
        <v>3383.0160539999997</v>
      </c>
      <c r="X6" s="3">
        <f>3798.4+(208.9-577.7)+(-5.811552+(-0.319617--0.883881))+0-0-0</f>
        <v>3424.3527119999999</v>
      </c>
      <c r="Y6" s="3">
        <f>4006.6+(432-628)+(0+(0-0))+0-0-0</f>
        <v>3810.6</v>
      </c>
      <c r="Z6" s="3">
        <f>4140.5+(695.9-832.3)+(-6.334965+(-1.064727--1.273419))+0-0-0</f>
        <v>3997.9737270000001</v>
      </c>
      <c r="AA6" s="3">
        <f>4005.4+(784.4-901.2)+(-6.128262+(-1.200132--1.378836))+0-0-0</f>
        <v>3882.6504420000001</v>
      </c>
      <c r="AB6" s="3">
        <f>3968.5+(600.2-849.1)+(-2.023935+(-0.306102--0.433041))+0-0-0</f>
        <v>3717.703004</v>
      </c>
      <c r="AC6" s="3">
        <f>3936.7+(426.4-755)+(-4.015434+(-0.434928--0.7701))+0-0-0</f>
        <v>3604.4197380000001</v>
      </c>
      <c r="AD6">
        <v>3946.7</v>
      </c>
      <c r="AE6" s="3">
        <f>4140+(704.5-897.8)+(0+(0-0))+0-0-0</f>
        <v>3946.7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3848.8+(299.6-673.5)+(0+(0-0))+0-0-0</f>
        <v>3474.9</v>
      </c>
      <c r="G7" s="3">
        <f>3617.8+(213.9-669)+(0+(0-0))+0-0-0</f>
        <v>3162.7000000000003</v>
      </c>
      <c r="H7" s="3">
        <f>3541.1+(168.8-775.7)+(-5.417883+(-0.258264--1.186821))+0-0-0</f>
        <v>2929.7106739999999</v>
      </c>
      <c r="I7" s="3">
        <f>3535.6+(206-814.3)+(1.803156+(0.10506-0.415293))+0-0-0</f>
        <v>2928.792923</v>
      </c>
      <c r="J7" s="3">
        <f>3527.7+(179-852.8)+(0+(0-0))+0-0-0</f>
        <v>2853.8999999999996</v>
      </c>
      <c r="K7" s="3">
        <f>3579.8+(173.8-870.4)+(3.651396+(0.177276-0.887808))+0-0-0</f>
        <v>2886.1408640000004</v>
      </c>
      <c r="L7" s="3">
        <f>3563.1+(235.6-931.8)+(-3.634362+(-0.240312--0.950436))+0-0-0</f>
        <v>2863.975762</v>
      </c>
      <c r="M7" s="3">
        <f>3618.6+(245-988.9)+(0+(0-0))+0-0-0</f>
        <v>2874.7</v>
      </c>
      <c r="N7" s="3">
        <f>3788.5+(234.5-843.1)+(0+(0-0))+0-0-0</f>
        <v>3179.9</v>
      </c>
      <c r="O7" s="3">
        <f>3859.4+(211.6-605.3)+(0+(0-0))+0-0-0</f>
        <v>3465.7000000000003</v>
      </c>
      <c r="P7" s="3">
        <f>3719.6+(447.9-551)+(3.793992+(0.456858-0.56202))+0-0-0</f>
        <v>3620.1888300000001</v>
      </c>
      <c r="Q7" s="3">
        <f>3717.5+(600.3-588.1)+(-7.5837+(-1.224612--1.199724))+0-0-0</f>
        <v>3722.0914119999998</v>
      </c>
      <c r="R7" s="3">
        <f>3707.2+(572.3-559.3)+(-7.562688+(-1.167492--1.140972))+0-0-0</f>
        <v>3712.6107919999999</v>
      </c>
      <c r="S7" s="3">
        <f>3697.7+(469.8-516.5)+(-1.885827+(-0.239598--0.263415))+0-0-0</f>
        <v>3649.1379900000002</v>
      </c>
      <c r="T7" s="3">
        <f>3694.1+(371.4-470.1)+(3.767982+(0.378828-0.479502))+0-0-0</f>
        <v>3599.0673079999997</v>
      </c>
      <c r="U7" s="3">
        <f>3678.4+(335.1-482.9)+(-3.751968+(-0.341802--0.492558))+0-0-0</f>
        <v>3526.9987880000003</v>
      </c>
      <c r="V7" s="3">
        <f>3672+(307-534.8)+(-5.61816+(-0.46971--0.818244))+0-0-0</f>
        <v>3438.930374</v>
      </c>
      <c r="W7" s="3">
        <f>3680.7+(256.3-488.3)+(3.754314+(0.261426-0.498066))+0-0-0</f>
        <v>3452.217674</v>
      </c>
      <c r="X7" s="3">
        <f>3705.7+(331.4-493.9)+(-1.889907+(-0.169014--0.251889))+0-0-0</f>
        <v>3541.3929679999997</v>
      </c>
      <c r="Y7" s="3">
        <f>3794.5+(783.2-655.2)+(5.805585+(1.198296-1.002456))+0-0-0</f>
        <v>3928.5014249999999</v>
      </c>
      <c r="Z7" s="3">
        <f>3899.2+(1003.6-848)+(1.988592+(0.511836-0.43248))+0-0-0</f>
        <v>4056.8679479999996</v>
      </c>
      <c r="AA7" s="3">
        <f>3846.4+(886.9-821.1)+(0+(0-0))+0-0-0</f>
        <v>3912.2</v>
      </c>
      <c r="AB7" s="3">
        <f>3808.2+(661.1-708.2)+(0+(0-0))+0-0-0</f>
        <v>3761.1</v>
      </c>
      <c r="AC7" s="3">
        <f>3820.3+(436.5-622.3)+(1.948353+(0.222615-0.317373))+0-0-0</f>
        <v>3636.353595</v>
      </c>
      <c r="AD7">
        <v>3969.5999999999995</v>
      </c>
      <c r="AE7" s="3">
        <f>3884+(1030.4-944.8)+(0+(0-0))+0-0-0</f>
        <v>3969.6000000000004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3771.2+(254.2-621.9)+(-11.539872+(-0.777852--1.903014))+0-0-0</f>
        <v>3393.08529</v>
      </c>
      <c r="G8" s="3">
        <f>3562.5+(258.2-717.1)+(-5.450625+(-0.395046--1.097163))+0-0-0</f>
        <v>3098.8514919999998</v>
      </c>
      <c r="H8" s="3">
        <f>3436.2+(342.4-835.2)+(-1.752462+(-0.174624--0.425952))+0-0-0</f>
        <v>2941.8988659999995</v>
      </c>
      <c r="I8" s="3">
        <f>3383.5+(327.3-853.4)+(-8.627925+(-0.834615--2.17617))+0-0-0</f>
        <v>2850.1136300000003</v>
      </c>
      <c r="J8" s="3">
        <f>3404.4+(302.4-907.7)+(0+(0-0))+0-0-0</f>
        <v>2799.1</v>
      </c>
      <c r="K8" s="3">
        <f>3419.9+(311.2-905.4)+(5.232447+(0.476136-1.385262))+0-0-0</f>
        <v>2830.0233209999997</v>
      </c>
      <c r="L8" s="3">
        <f>3418.6+(351.6-929.6)+(3.486972+(0.358632-0.948192))+0-0-0</f>
        <v>2843.4974119999997</v>
      </c>
      <c r="M8" s="3">
        <f>3497.9+(416.2-1028.7)+(-5.351787+(-0.636786--1.573911))+0-0-0</f>
        <v>2880.985338</v>
      </c>
      <c r="N8" s="3">
        <f>3659.5+(509.9-1025.1)+(-1.866345+(-0.260049--0.522801))+0-0-0</f>
        <v>3142.6964070000004</v>
      </c>
      <c r="O8" s="3">
        <f>3636.3+(391.1-629.5)+(-3.709026+(-0.398922--0.64209))+0-0-0</f>
        <v>3394.4341420000001</v>
      </c>
      <c r="P8" s="3">
        <f>3664.3+(359.2-381.9)+(-3.737586+(-0.366384--0.389538))+0-0-0</f>
        <v>3637.8855680000001</v>
      </c>
      <c r="Q8" s="3">
        <f>3754.5+(361.2-438.7)+(-1.914795+(-0.184212--0.223737))+0-0-0</f>
        <v>3675.12473</v>
      </c>
      <c r="R8" s="3">
        <f>3737.8+(384.9-404.7)+(-3.812556+(-0.392598--0.412794))+0-0-0</f>
        <v>3714.2076400000001</v>
      </c>
      <c r="S8" s="3">
        <f>3842.8+(278.4-423)+(-3.919656+(-0.283968--0.43146))+0-0-0</f>
        <v>3694.4278360000003</v>
      </c>
      <c r="T8" s="3">
        <f>3860.8+(237.1-448.5)+(-7.876032+(-0.483684--0.91494))+0-0-0</f>
        <v>3641.9552240000003</v>
      </c>
      <c r="U8" s="3">
        <f>3852.8+(226.6-495.8)+(-1.964928+(-0.115566--0.252858))+0-0-0</f>
        <v>3581.7723640000004</v>
      </c>
      <c r="V8" s="3">
        <f>3837.8+(199.8-539.7)+(-7.829112+(-0.407592--1.100988))+0-0-0</f>
        <v>3490.7642840000003</v>
      </c>
      <c r="W8" s="3">
        <f>3843.5+(219.5-578)+(-7.84074+(-0.44778--1.17912))+0-0-0</f>
        <v>3477.8906000000002</v>
      </c>
      <c r="X8" s="3">
        <f>3857.1+(232.8-531.8)+(1.967121+(0.118728-0.271218))+0-0-0</f>
        <v>3559.9146310000001</v>
      </c>
      <c r="Y8" s="3">
        <f>4007.8+(527.5-553.5)+(2.043978+(0.269025-0.282285))+0-0-0</f>
        <v>3983.8307180000002</v>
      </c>
      <c r="Z8" s="3">
        <f>4087.9+(803.7-794.3)+(-2.084829+(-0.409887--0.405093))+0-0-0</f>
        <v>4095.2103770000003</v>
      </c>
      <c r="AA8" s="3">
        <f>4028.2+(730.5-791)+(-8.217528+(-1.49022--1.61364))+0-0-0</f>
        <v>3959.605892</v>
      </c>
      <c r="AB8" s="3">
        <f>3955.5+(565-714.2)+(-4.03461+(-0.5763--0.728484))+0-0-0</f>
        <v>3802.4175740000001</v>
      </c>
      <c r="AC8" s="3">
        <f>3921.2+(429.7-656.7)+(-1.999812+(-0.219147--0.334917))+0-0-0</f>
        <v>3692.3159579999997</v>
      </c>
      <c r="AD8">
        <v>3991.4999999999995</v>
      </c>
      <c r="AE8" s="3">
        <f>4079+(769.4-856.9)+(0+(0-0))+0-0-0</f>
        <v>3991.5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3922.5+(154.7-729)+(-4.00095+(-0.157794--0.74358))+0-0-0</f>
        <v>3344.7848359999998</v>
      </c>
      <c r="G9" s="3">
        <f>3912.3+(276.1-1077.4)+(-9.976365+(-0.704055--2.74737))+0-0-0</f>
        <v>3103.0669499999999</v>
      </c>
      <c r="H9" s="3">
        <f>3829.2+(384.3-1249.9)+(0+(0-0))+0-0-0</f>
        <v>2963.5999999999995</v>
      </c>
      <c r="I9" s="3">
        <f>3664.8+(386.9-1156.6)+(-7.476192+(-0.789276--2.359464))+0-0-0</f>
        <v>2889.1939960000004</v>
      </c>
      <c r="J9" s="3">
        <f>3618.8+(316.6-1124.2)+(-3.691176+(-0.322932--1.146684))+0-0-0</f>
        <v>2808.3325760000002</v>
      </c>
      <c r="K9" s="3">
        <f>3620.3+(265.2-1066.7)+(-1.846353+(-0.135252--0.544017))+0-0-0</f>
        <v>2817.3624120000004</v>
      </c>
      <c r="L9" s="3">
        <f>3614.5+(328.7-1079.6)+(0+(0-0))+0-0-0</f>
        <v>2863.6000000000004</v>
      </c>
      <c r="M9" s="3">
        <f>3614.7+(311.3-1009.6)+(-7.373988+(-0.635052--2.059584))+0-0-0</f>
        <v>2910.4505439999998</v>
      </c>
      <c r="N9" s="3">
        <f>3864.9+(297.4-1027.5)+(1.971099+(0.151674-0.524025))+0-0-0</f>
        <v>3136.3987480000001</v>
      </c>
      <c r="O9" s="3">
        <f>4007+(204.4-808.2)+(0+(0-0))+0-0-0</f>
        <v>3403.2</v>
      </c>
      <c r="P9" s="3">
        <f>3984.4+(157.5-561.6)+(-4.064088+(-0.16065--0.572832))+0-0-0</f>
        <v>3576.6480940000001</v>
      </c>
      <c r="Q9" s="3">
        <f>4021.5+(225.5-507.8)+(-2.050965+(-0.115005--0.258978))+0-0-0</f>
        <v>3737.2930079999996</v>
      </c>
      <c r="R9" s="3">
        <f>3994.9+(260-480.3)+(-12.224394+(-0.7956--1.469718))+0-0-0</f>
        <v>3763.049724</v>
      </c>
      <c r="S9" s="3">
        <f>4003.3+(215.2-519.4)+(-6.125049+(-0.329256--0.794682))+0-0-0</f>
        <v>3693.4403770000004</v>
      </c>
      <c r="T9" s="3">
        <f>3956.1+(233.3-559.9)+(-6.052833+(-0.356949--0.856647))+0-0-0</f>
        <v>3623.9468649999999</v>
      </c>
      <c r="U9" s="3">
        <f>3967.6+(208.8-614.9)+(-6.070428+(-0.319464--0.940797))+0-0-0</f>
        <v>3556.0509050000001</v>
      </c>
      <c r="V9" s="3">
        <f>4023.6+(181.9-650.2)+(-4.104072+(-0.185538--0.663204))+0-0-0</f>
        <v>3551.6735939999999</v>
      </c>
      <c r="W9" s="3">
        <f>4008.3+(183.9-662.5)+(-6.132699+(-0.281367--1.013625))+0-0-0</f>
        <v>3524.2995590000005</v>
      </c>
      <c r="X9" s="3">
        <f>4025.4+(194.7-713.5)+(-8.211816+(-0.397188--1.45554))+0-0-0</f>
        <v>3499.4465360000004</v>
      </c>
      <c r="Y9" s="3">
        <f>4263.2+(355.9-803.8)+(2.174232+(0.181509-0.409938))+0-0-0</f>
        <v>3817.2458029999998</v>
      </c>
      <c r="Z9" s="3">
        <f>4443.1+(478.1-892.8)+(0+(0-0))+0-0-0</f>
        <v>4028.4000000000005</v>
      </c>
      <c r="AA9" s="3">
        <f>4277.1+(482.6-828.4)+(-10.906605+(-1.23063--2.11242))+0-0-0</f>
        <v>3921.275185</v>
      </c>
      <c r="AB9" s="3">
        <f>4068+(383.1-717.6)+(-8.29872+(-0.781524--1.463904))+0-0-0</f>
        <v>3725.88366</v>
      </c>
      <c r="AC9" s="3">
        <f>4028.6+(312.7-662.3)+(-6.163758+(-0.478431--1.013319))+0-0-0</f>
        <v>3673.37113</v>
      </c>
      <c r="AD9">
        <v>4013.1</v>
      </c>
      <c r="AE9" s="3">
        <f>4430+(468.5-885.4)+(0+(0-0))+0-0-0</f>
        <v>4013.1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4039.6+(153.9-814.8)+(-4.120392+(-0.156978--0.831096))+0-0-0</f>
        <v>3375.2537259999999</v>
      </c>
      <c r="G10" s="3">
        <f>3874.8+(231.7-933.9)+(-9.88074+(-0.590835--2.381445))+0-0-0</f>
        <v>3164.5098700000003</v>
      </c>
      <c r="H10" s="3">
        <f>3563.2+(228.4-816.2)+(-1.817232+(-0.116484--0.416262))+0-0-0</f>
        <v>2973.8825459999998</v>
      </c>
      <c r="I10" s="3">
        <f>3476.9+(236.8-839.6)+(-7.092876+(-0.483072--1.712784))+0-0-0</f>
        <v>2868.2368360000005</v>
      </c>
      <c r="J10" s="3">
        <f>3493.1+(269.2-920.2)+(0+(0-0))+0-0-0</f>
        <v>2842.1</v>
      </c>
      <c r="K10" s="3">
        <f>3485.9+(295.3-952.8)+(-1.777809+(-0.150603--0.485928))+0-0-0</f>
        <v>2826.9575159999999</v>
      </c>
      <c r="L10" s="3">
        <f>3478.6+(328.9-969.7)+(-3.548172+(-0.335478--0.989094))+0-0-0</f>
        <v>2834.9054439999995</v>
      </c>
      <c r="M10" s="3">
        <f>3546.1+(353.5-996.3)+(1.808511+(0.180285-0.508113))+0-0-0</f>
        <v>2904.7806830000004</v>
      </c>
      <c r="N10" s="3">
        <f>3773.2+(228.4-881.6)+(0+(0-0))+0-0-0</f>
        <v>3120</v>
      </c>
      <c r="O10" s="3">
        <f>3873.1+(172.5-668.7)+(0+(0-0))+0-0-0</f>
        <v>3376.8999999999996</v>
      </c>
      <c r="P10" s="3">
        <f>3850.7+(349.3-586.8)+(1.963857+(0.178143-0.299268))+0-0-0</f>
        <v>3615.0427319999999</v>
      </c>
      <c r="Q10" s="3">
        <f>3804.4+(540.3-598.4)+(-5.820732+(-0.826659--0.915552))+0-0-0</f>
        <v>3740.5681610000001</v>
      </c>
      <c r="R10" s="3">
        <f>3795.8+(484.5-572.3)+(-7.743432+(-0.98838--1.167492))+0-0-0</f>
        <v>3700.43568</v>
      </c>
      <c r="S10" s="3">
        <f>3840.6+(344.6-524)+(0+(0-0))+0-0-0</f>
        <v>3661.2</v>
      </c>
      <c r="T10" s="3">
        <f>3837.3+(289.6-486.1)+(-1.957023+(-0.147696--0.247911))+0-0-0</f>
        <v>3638.9431920000002</v>
      </c>
      <c r="U10" s="3">
        <f>3825+(225-512.7)+(-3.9015+(-0.2295--0.522954))+0-0-0</f>
        <v>3533.6919540000004</v>
      </c>
      <c r="V10" s="3">
        <f>3829.7+(215-529.1)+(0+(0-0))+0-0-0</f>
        <v>3515.6</v>
      </c>
      <c r="W10" s="3">
        <f>3829.6+(224-589.8)+(-3.906192+(-0.22848--0.601596))+0-0-0</f>
        <v>3460.266924</v>
      </c>
      <c r="X10" s="3">
        <f>3889.3+(249.2-614.5)+(-9.917715+(-0.63546--1.566975))+0-0-0</f>
        <v>3515.0138000000002</v>
      </c>
      <c r="Y10" s="3">
        <f>4197+(211-556.5)+(4.28094+(0.21522-0.56763))+0-0-0</f>
        <v>3855.4285300000001</v>
      </c>
      <c r="Z10" s="3">
        <f>4320.6+(430.6-707.8)+(-8.814024+(-0.878424--1.443912))+0-0-0</f>
        <v>4035.1514640000005</v>
      </c>
      <c r="AA10" s="3">
        <f>4297+(334.8-669.3)+(2.19147+(0.170748-0.341343))+0-0-0</f>
        <v>3964.5208750000002</v>
      </c>
      <c r="AB10" s="3">
        <f>4151.5+(277.2-633.3)+(-8.46906+(-0.565488--1.291932))+0-0-0</f>
        <v>3787.6573840000001</v>
      </c>
      <c r="AC10" s="3">
        <f>4063.4+(258.1-607.2)+(-2.072334+(-0.131631--0.309672))+0-0-0</f>
        <v>3712.4057070000003</v>
      </c>
      <c r="AD10">
        <v>3903.2999999999997</v>
      </c>
      <c r="AE10" s="3">
        <f>4298+(358.4-753.1)+(0+(0-0))+0-0-0</f>
        <v>3903.3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4009.9+(179.3-771.3)+(-2.045049+(-0.091443--0.393363))+0-0-0</f>
        <v>3416.1568710000001</v>
      </c>
      <c r="G11" s="3">
        <f>3950.3+(255.5-1032.3)+(-6.043959+(-0.390915--1.579419))+0-0-0</f>
        <v>3168.6445450000001</v>
      </c>
      <c r="H11" s="3">
        <f>3958.5+(325.3-1285.3)+(-2.018835+(-0.165903--0.655503))+0-0-0</f>
        <v>2996.970765</v>
      </c>
      <c r="I11" s="3">
        <f>3952.7+(334.1-1374.2)+(-8.063508+(-0.681564--2.803368))+0-0-0</f>
        <v>2906.6582960000001</v>
      </c>
      <c r="J11" s="3">
        <f>3937+(317.8-1399.8)+(-12.04722+(-0.972468--4.283388))+0-0-0</f>
        <v>2846.2637</v>
      </c>
      <c r="K11" s="3">
        <f>3971.7+(316.9-1393.6)+(-2.025567+(-0.161619--0.710736))+0-0-0</f>
        <v>2893.5235499999999</v>
      </c>
      <c r="L11" s="3">
        <f>3966.3+(308.1-1425.1)+(-6.068439+(-0.471393--2.180403))+0-0-0</f>
        <v>2844.9405710000001</v>
      </c>
      <c r="M11" s="3">
        <f>3942.2+(337.3-1414.8)+(-2.010522+(-0.172023--0.721548))+0-0-0</f>
        <v>2863.2390029999997</v>
      </c>
      <c r="N11" s="3">
        <f>3985.8+(324.4-1199.2)+(2.032758+(0.165444-0.611592))+0-0-0</f>
        <v>3112.5866099999998</v>
      </c>
      <c r="O11" s="3">
        <f>3945.4+(251.9-932)+(6.036462+(0.385407-1.42596))+0-0-0</f>
        <v>3270.2959090000004</v>
      </c>
      <c r="P11" s="3">
        <f>3798.5+(224.7-545.1)+(-1.937235+(-0.114597--0.278001))+0-0-0</f>
        <v>3476.3261689999999</v>
      </c>
      <c r="Q11" s="3">
        <f>3782+(313-533.2)+(5.78646+(0.47889-0.815796))+0-0-0</f>
        <v>3567.249554</v>
      </c>
      <c r="R11" s="3">
        <f>3772.4+(342-529.6)+(0+(0-0))+0-0-0</f>
        <v>3584.8</v>
      </c>
      <c r="S11" s="3">
        <f>3752.3+(304.5-540.5)+(-3.827346+(-0.31059--0.55131))+0-0-0</f>
        <v>3512.7133740000004</v>
      </c>
      <c r="T11" s="3">
        <f>3821.4+(332.6-668.1)+(-7.795656+(-0.678504--1.362924))+0-0-0</f>
        <v>3478.7887639999999</v>
      </c>
      <c r="U11" s="3">
        <f>3842.7+(457.8-857.4)+(1.959777+(0.233478-0.437274))+0-0-0</f>
        <v>3444.8559809999997</v>
      </c>
      <c r="V11" s="3">
        <f>3808.9+(353.1-776.2)+(-9.712695+(-0.900405--1.97931))+0-0-0</f>
        <v>3377.1662100000003</v>
      </c>
      <c r="W11" s="3">
        <f>3839.3+(354-804.9)+(-5.874129+(-0.54162--1.231497))+0-0-0</f>
        <v>3383.2157480000001</v>
      </c>
      <c r="X11" s="3">
        <f>3860.8+(304.4-737.8)+(-7.876032+(-0.620976--1.505112))+0-0-0</f>
        <v>3420.4081040000001</v>
      </c>
      <c r="Y11" s="3">
        <f>4026+(409.4-660.9)+(4.10652+(0.417588-0.674118))+0-0-0</f>
        <v>3778.3499900000002</v>
      </c>
      <c r="Z11" s="3">
        <f>4102.7+(722.8-888.1)+(-8.369508+(-1.474512--1.811724))+0-0-0</f>
        <v>3929.3677039999998</v>
      </c>
      <c r="AA11" s="3">
        <f>4066.4+(600.6-836.6)+(-8.295456+(-1.225224--1.706664))+0-0-0</f>
        <v>3822.5859840000003</v>
      </c>
      <c r="AB11" s="3">
        <f>3960.9+(464-735.9)+(-10.100295+(-1.1832--1.876545))+0-0-0</f>
        <v>3679.5930499999999</v>
      </c>
      <c r="AC11" s="3">
        <f>3900.3+(326.4-595.8)+(1.989153+(0.166464-0.303858))+0-0-0</f>
        <v>3632.7517590000002</v>
      </c>
      <c r="AD11">
        <v>3944.0000000000005</v>
      </c>
      <c r="AE11" s="3">
        <f>4086+(696.6-838.6)+(0+(0-0))+0-0-0</f>
        <v>3944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3623.6+(314.3-545.6)+(0+(0-0))+0-0-0</f>
        <v>3392.2999999999997</v>
      </c>
      <c r="G12" s="3">
        <f>3597.5+(354.6-803.7)+(-5.504175+(-0.542538--1.229661))+0-0-0</f>
        <v>3143.5829480000002</v>
      </c>
      <c r="H12" s="3">
        <f>3578.1+(467.5-1075.7)+(-10.948986+(-1.43055--3.291642))+0-0-0</f>
        <v>2960.8121059999999</v>
      </c>
      <c r="I12" s="3">
        <f>3602.4+(468.5-1204.7)+(-7.348896+(-0.95574--2.457588))+0-0-0</f>
        <v>2860.3529519999997</v>
      </c>
      <c r="J12" s="3">
        <f>3614.7+(394.9-1156.4)+(-1.843497+(-0.201399--0.589764))+0-0-0</f>
        <v>2851.7448679999998</v>
      </c>
      <c r="K12" s="3">
        <f>3604.6+(331.6-1114)+(-1.838346+(-0.169116--0.56814))+0-0-0</f>
        <v>2820.7606779999996</v>
      </c>
      <c r="L12" s="3">
        <f>3573.9+(391-1194.9)+(-10.936134+(-1.19646--3.656394))+0-0-0</f>
        <v>2761.5237999999999</v>
      </c>
      <c r="M12" s="3">
        <f>3591.6+(333.6-1273.1)+(-3.663432+(-0.340272--1.298562))+0-0-0</f>
        <v>2649.3948580000001</v>
      </c>
      <c r="N12" s="3">
        <f>3605.6+(346.3-1139.8)+(1.838856+(0.176613-0.581298))+0-0-0</f>
        <v>2813.5341709999998</v>
      </c>
      <c r="O12" s="3">
        <f>3558.4+(326.2-948)+(-5.444352+(-0.499086--1.45044))+0-0-0</f>
        <v>2932.1070020000002</v>
      </c>
      <c r="P12" s="3">
        <f>3631.7+(322-797.5)+(-5.556501+(-0.49266--1.220175))+0-0-0</f>
        <v>3151.3710139999998</v>
      </c>
      <c r="Q12" s="3">
        <f>3703.9+(268.9-698.8)+(-7.555956+(-0.548556--1.425552))+0-0-0</f>
        <v>3267.3210399999998</v>
      </c>
      <c r="R12" s="3">
        <f>3686.7+(300.8-672.9)+(-5.640651+(-0.460224--1.029537))+0-0-0</f>
        <v>3309.5286619999997</v>
      </c>
      <c r="S12" s="3">
        <f>3675.9+(327-732.3)+(-1.874709+(-0.16677--0.373473))+0-0-0</f>
        <v>3268.9319940000005</v>
      </c>
      <c r="T12" s="3">
        <f>3676.7+(424.5-899)+(0+(0-0))+0-0-0</f>
        <v>3202.2</v>
      </c>
      <c r="U12" s="3">
        <f>3712.9+(563.3-1035.9)+(-5.680737+(-0.861849--1.584927))+0-0-0</f>
        <v>3235.342341</v>
      </c>
      <c r="V12" s="3">
        <f>3678.5+(423.6-922.8)+(-7.50414+(-0.864144--1.882512))+0-0-0</f>
        <v>3172.8142280000002</v>
      </c>
      <c r="W12" s="3">
        <f>3695.5+(422.3-891.7)+(3.76941+(0.430746-0.909534))+0-0-0</f>
        <v>3229.3906219999999</v>
      </c>
      <c r="X12" s="3">
        <f>3667.4+(382.2-757.3)+(-9.35187+(-0.97461--1.931115))+0-0-0</f>
        <v>3283.9046350000003</v>
      </c>
      <c r="Y12" s="3">
        <f>3957.5+(232-550.9)+(0+(0-0))+0-0-0</f>
        <v>3638.6</v>
      </c>
      <c r="Z12" s="3">
        <f>4083.3+(343-523.9)+(0+(0-0))+0-0-0</f>
        <v>3902.4</v>
      </c>
      <c r="AA12" s="3">
        <f>4037.6+(315.2-532.4)+(-10.29588+(-0.80376--1.35762))+0-0-0</f>
        <v>3810.65798</v>
      </c>
      <c r="AB12" s="3">
        <f>3992+(291.2-524.7)+(-8.14368+(-0.594048--1.070388))+0-0-0</f>
        <v>3750.83266</v>
      </c>
      <c r="AC12" s="3">
        <f>3918.2+(410-656.7)+(-5.994846+(-0.6273--1.004751))+0-0-0</f>
        <v>3665.8826049999998</v>
      </c>
      <c r="AD12">
        <v>3879.4999999999995</v>
      </c>
      <c r="AE12" s="3">
        <f>4083+(349.4-552.9)+(0+(0-0))+0-0-0</f>
        <v>3879.5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3717.3+(440.3-702)+(-3.791646+(-0.449106--0.71604))+0-0-0</f>
        <v>3452.0752880000005</v>
      </c>
      <c r="G13" s="3">
        <f>3514.8+(286.8-688.4)+(-7.170192+(-0.585072--1.404336))+0-0-0</f>
        <v>3106.8490720000004</v>
      </c>
      <c r="H13" s="3">
        <f>3318.8+(243-691.8)+(-8.46294+(-0.61965--1.76409))+0-0-0</f>
        <v>2862.6815000000001</v>
      </c>
      <c r="I13" s="3">
        <f>3266.7+(246.6-782.1)+(3.332034+(0.251532-0.797742))+0-0-0</f>
        <v>2733.9858239999999</v>
      </c>
      <c r="J13" s="3">
        <f>3247+(237.3-771.8)+(-3.31194+(-0.242046--0.787236))+0-0-0</f>
        <v>2709.7332500000002</v>
      </c>
      <c r="K13" s="3">
        <f>3268.9+(236.8-791.2)+(1.667139+(0.120768-0.403512))+0-0-0</f>
        <v>2715.884395</v>
      </c>
      <c r="L13" s="3">
        <f>3224.6+(249-828.2)+(-11.511822+(-0.88893--2.956674))+0-0-0</f>
        <v>2635.9559219999996</v>
      </c>
      <c r="M13" s="3">
        <f>3253+(263.1-883.1)+(-1.65903+(-0.134181--0.450381))+0-0-0</f>
        <v>2631.65717</v>
      </c>
      <c r="N13" s="3">
        <f>3265.2+(300.6-874.1)+(1.665252+(0.153306-0.445791))+0-0-0</f>
        <v>2693.0727669999997</v>
      </c>
      <c r="O13" s="3">
        <f>3286.1+(464.2-1064.2)+(-5.027733+(-0.710226--1.628226))+0-0-0</f>
        <v>2681.9902670000001</v>
      </c>
      <c r="P13" s="3">
        <f>3373.1+(514.8-1066.4)+(3.440562+(0.525096-1.087728))+0-0-0</f>
        <v>2824.3779300000001</v>
      </c>
      <c r="Q13" s="3">
        <f>3358.4+(419.3-930.3)+(-3.425568+(-0.427686--0.948906))+0-0-0</f>
        <v>2844.4956520000001</v>
      </c>
      <c r="R13" s="3">
        <f>3348.9+(366.8-911.3)+(-3.415878+(-0.374136--0.929526))+0-0-0</f>
        <v>2801.5395120000003</v>
      </c>
      <c r="S13" s="3">
        <f>3327.2+(370.4-919.4)+(0+(0-0))+0-0-0</f>
        <v>2778.2</v>
      </c>
      <c r="T13" s="3">
        <f>3310.2+(413.4-1007.8)+(-1.688202+(-0.210834--0.513978))+0-0-0</f>
        <v>2714.4149419999999</v>
      </c>
      <c r="U13" s="3">
        <f>3328.4+(430.5-1027.5)+(-3.394968+(-0.43911--1.04805))+0-0-0</f>
        <v>2728.6139720000001</v>
      </c>
      <c r="V13" s="3">
        <f>3398.5+(402.3-1022.7)+(-3.46647+(-0.410346--1.043154))+0-0-0</f>
        <v>2775.2663379999999</v>
      </c>
      <c r="W13" s="3">
        <f>3404.7+(453.8-1033.3)+(-1.736397+(-0.231438--0.526983))+0-0-0</f>
        <v>2823.7591479999996</v>
      </c>
      <c r="X13" s="3">
        <f>3490.5+(396-896.3)+(-8.900775+(-1.0098--2.285565))+0-0-0</f>
        <v>2982.5749899999996</v>
      </c>
      <c r="Y13" s="3">
        <f>3772+(226.3-639.1)+(-3.84744+(-0.230826--0.651882))+0-0-0</f>
        <v>3355.7736159999999</v>
      </c>
      <c r="Z13" s="3">
        <f>3980.9+(238-443.8)+(-2.030259+(-0.12138--0.226338))+0-0-0</f>
        <v>3773.1746989999997</v>
      </c>
      <c r="AA13" s="3">
        <f>3889.5+(331.2-424)+(-1.983645+(-0.168912--0.21624))+0-0-0</f>
        <v>3794.7636829999997</v>
      </c>
      <c r="AB13" s="3">
        <f>3811.6+(375.5-504.4)+(-5.831748+(-0.574515--0.771732))+0-0-0</f>
        <v>3677.0654689999997</v>
      </c>
      <c r="AC13" s="3">
        <f>3667.3+(586.2-667.7)+(-3.740646+(-0.597924--0.681054))+0-0-0</f>
        <v>3582.142484</v>
      </c>
      <c r="AD13">
        <v>3818.5</v>
      </c>
      <c r="AE13" s="3">
        <f>3920+(316.5-418)+(0+(0-0))+0-0-0</f>
        <v>3818.5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3228.7+(772.2-971.3)+(-6.586548+(-1.575288--1.981452))+0-0-0</f>
        <v>3023.4196160000001</v>
      </c>
      <c r="G14" s="3">
        <f>3189.8+(775.9-1179.3)+(1.626798+(0.395709-0.601443))+0-0-0</f>
        <v>2787.8210640000002</v>
      </c>
      <c r="H14" s="3">
        <f>3188.6+(660.9-1208)+(-3.252372+(-0.674118--1.23216))+0-0-0</f>
        <v>2638.8056700000002</v>
      </c>
      <c r="I14" s="3">
        <f>3217+(558.5-1195.8)+(-3.28134+(-0.56967--1.219716))+0-0-0</f>
        <v>2577.068706</v>
      </c>
      <c r="J14" s="3">
        <f>3216+(598.1-1177)+(0+(0-0))+0-0-0</f>
        <v>2637.1</v>
      </c>
      <c r="K14" s="3">
        <f>3251.7+(682.8-1241.9)+(0+(0-0))+0-0-0</f>
        <v>2692.5999999999995</v>
      </c>
      <c r="L14" s="3">
        <f>3631.9+(532.9-1239.9)+(-7.409076+(-1.087116--2.529396))+0-0-0</f>
        <v>2918.9332039999999</v>
      </c>
      <c r="M14" s="3">
        <f>3710.7+(531.2-1086.8)+(-1.892457+(-0.270912--0.554268))+0-0-0</f>
        <v>3153.4908989999999</v>
      </c>
      <c r="N14" s="3">
        <f>4010.4+(633.1-1085)+(0+(0-0))+0-0-0</f>
        <v>3558.5</v>
      </c>
      <c r="O14" s="3">
        <f>4112.2+(597.7-773.9)+(0+(0-0))+0-0-0</f>
        <v>3936</v>
      </c>
      <c r="P14" s="3">
        <f>4074+(614.4-506.8)+(-2.07774+(-0.313344--0.258468))+0-0-0</f>
        <v>4179.4673840000005</v>
      </c>
      <c r="Q14" s="3">
        <f>4189.3+(690.9-545.8)+(-6.409629+(-1.057077--0.835074))+0-0-0</f>
        <v>4327.7683680000009</v>
      </c>
      <c r="R14" s="3">
        <f>4253+(716.3-537.5)+(-6.50709+(-1.095939--0.822375))+0-0-0</f>
        <v>4425.019346</v>
      </c>
      <c r="S14" s="3">
        <f>4200.2+(712.8-596.9)+(-8.568408+(-1.454112--1.217676))+0-0-0</f>
        <v>4307.2951559999992</v>
      </c>
      <c r="T14" s="3">
        <f>4176.1+(739-599.3)+(-6.389433+(-1.13067--0.916929))+0-0-0</f>
        <v>4309.1968260000003</v>
      </c>
      <c r="U14" s="3">
        <f>4170.8+(679.5-673.5)+(-8.508432+(-1.38618--1.37394))+2.6-0-0</f>
        <v>4170.8793280000009</v>
      </c>
      <c r="V14" s="3">
        <f>4171.1+(699.8-766.9)+(-12.763566+(-2.141388--2.346714))+0-0-0</f>
        <v>4091.4417600000002</v>
      </c>
      <c r="W14" s="3">
        <f>4273.9+(639.4-898.1)+(-10.898445+(-1.63047--2.290155))+0-0-0</f>
        <v>4004.9612399999996</v>
      </c>
      <c r="X14" s="3">
        <f>4311.6+(607.3-850.3)+(-6.596748+(-0.929169--1.300959))+0-0-0</f>
        <v>4062.3750420000006</v>
      </c>
      <c r="Y14" s="3">
        <f>4427.5+(492.5-557.8)+(0+(0-0))+0-0-0</f>
        <v>4362.2</v>
      </c>
      <c r="Z14" s="3">
        <f>4657.7+(582.9-618.3)+(-9.501708+(-1.189116--1.261332))+0-0-0</f>
        <v>4612.870508</v>
      </c>
      <c r="AA14" s="3">
        <f>4635.7+(548-663.3)+(-9.456828+(-1.11792--1.353132))+0-0-0</f>
        <v>4511.1783839999998</v>
      </c>
      <c r="AB14" s="3">
        <f>4558.9+(487.7-773.4)+(-6.975117+(-0.746181--1.183302))+0-0-0</f>
        <v>4266.6620039999998</v>
      </c>
      <c r="AC14" s="3">
        <f>4470.1+(479.4-965.3)+(-9.119004+(-0.977976--1.969212))+0-0-0</f>
        <v>3976.0722320000004</v>
      </c>
      <c r="AD14">
        <v>4591.5</v>
      </c>
      <c r="AE14" s="3">
        <f>4649+(578.8-636.3)+(0+(0-0))+0-0-0</f>
        <v>4591.5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4531.1+(314.9-1279.2)+(-11.554305+(-0.802995--3.26196))+0-0-0</f>
        <v>3557.7046600000003</v>
      </c>
      <c r="G15" s="3">
        <f>4482.7+(332.5-1525.8)+(-11.430885+(-0.847875--3.89079))+0-0-0</f>
        <v>3281.0120299999994</v>
      </c>
      <c r="H15" s="3">
        <f>4385.7+(184-1421.2)+(-6.710121+(-0.28152--2.174436))+0-0-0</f>
        <v>3143.6827950000002</v>
      </c>
      <c r="I15" s="3">
        <f>4188.3+(114.3-1292.7)+(-6.408099+(-0.174879--1.977831))+0-0-0</f>
        <v>3005.2948529999999</v>
      </c>
      <c r="J15" s="3">
        <f>4195.5+(107-1313.6)+(-4.27941+(-0.10914--1.339872))+0-0-0</f>
        <v>2985.851322</v>
      </c>
      <c r="K15" s="3">
        <f>4206.1+(99.4-1227.7)+(4.290222+(0.101388-1.252254))+0-0-0</f>
        <v>3080.9393560000003</v>
      </c>
      <c r="L15" s="3">
        <f>4317.2+(51.2-1164.4)+(-4.403544+(-0.052224--1.187688))+0-0-0</f>
        <v>3200.7319200000002</v>
      </c>
      <c r="M15" s="3">
        <f>4461.9+(63.6-1046.9)+(0+(0-0))+0-0-0</f>
        <v>3478.5999999999995</v>
      </c>
      <c r="N15" s="3">
        <f>4518.5+(163.1-765.9)+(-2.304435+(-0.083181--0.390609))+0-0-0</f>
        <v>3913.7029929999999</v>
      </c>
      <c r="O15" s="3">
        <f>4644.9+(275.6-655.9)+(4.737798+(0.281112-0.669018))+0-0-0</f>
        <v>4268.9498919999996</v>
      </c>
      <c r="P15" s="3">
        <f>4773.5+(376.4-643)+(-2.434485+(-0.191964--0.32793))+0-0-0</f>
        <v>4504.6014809999997</v>
      </c>
      <c r="Q15" s="3">
        <f>4886.6+(444.5-640.1)+(-2.492166+(-0.226695--0.326451))+0-0-0</f>
        <v>4688.6075899999996</v>
      </c>
      <c r="R15" s="3">
        <f>4874.1+(425.3-659.8)+(-2.485791+(-0.216903--0.336498))+0-0-0</f>
        <v>4637.2338040000004</v>
      </c>
      <c r="S15" s="3">
        <f>4895.1+(269.1-673.9)+(-12.482505+(-0.686205--1.718445))+0-0-0</f>
        <v>4478.8497349999998</v>
      </c>
      <c r="T15" s="3">
        <f>4899.7+(239.8-619.4)+(-9.995388+(-0.489192--1.263576))+0-0-0</f>
        <v>4510.8789959999995</v>
      </c>
      <c r="U15" s="3">
        <f>4904.9+(260.9-698)+(-5.002998+(-0.266118--0.71196))+0-0-0</f>
        <v>4463.2428439999994</v>
      </c>
      <c r="V15" s="3">
        <f>4937.8+(217.3-792.9)+(-7.554834+(-0.332469--1.213137))+0-0-0</f>
        <v>4355.5258340000009</v>
      </c>
      <c r="W15" s="3">
        <f>4992.4+(243.9-883.7)+(2.546124+(0.124389-0.450687))+0-0-0</f>
        <v>4354.819825999999</v>
      </c>
      <c r="X15" s="3">
        <f>5091.7+(168.5-759.6)+(-7.790301+(-0.257805--1.162188))+0-0-0</f>
        <v>4493.7140819999995</v>
      </c>
      <c r="Y15" s="3">
        <f>5195.6+(399.9-818.5)+(-5.299512+(-0.407898--0.83487))+0-0-0</f>
        <v>4772.1274599999997</v>
      </c>
      <c r="Z15" s="3">
        <f>5183+(508.6-909.1)+(-10.57332+(-1.037544--1.854564))+0-0-0</f>
        <v>4772.7437</v>
      </c>
      <c r="AA15" s="3">
        <f>5061.5+(397.9-806.2)+(-2.581365+(-0.202929--0.411162))+0-0-0</f>
        <v>4650.8268680000001</v>
      </c>
      <c r="AB15" s="3">
        <f>4980.8+(144.6-767.7)+(-12.70104+(-0.36873--1.957635))+0-0-0</f>
        <v>4346.5878649999995</v>
      </c>
      <c r="AC15" s="3">
        <f>4991.5+(132.1-1065.5)+(-2.545665+(-0.067371--0.543405))+0-0-0</f>
        <v>4056.0303690000001</v>
      </c>
      <c r="AD15">
        <v>4795</v>
      </c>
      <c r="AE15" s="3">
        <f>5225+(519.7-949.7)+(0+(0-0))+0-0-0</f>
        <v>4795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4793.2+(174.4-1306.4)+(-7.333596+(-0.266832--1.998792))+0-0-0</f>
        <v>3655.5983639999999</v>
      </c>
      <c r="G16" s="3">
        <f>4481.5+(202-1345)+(0+(0-0))+0-0-0</f>
        <v>3338.5</v>
      </c>
      <c r="H16" s="3">
        <f>4469.1+(210.6-1511.4)+(2.279241+(0.107406-0.770814))+0-0-0</f>
        <v>3169.915833</v>
      </c>
      <c r="I16" s="3">
        <f>4467.3+(227.3-1592.2)+(0+(0-0))+0-0-0</f>
        <v>3102.4</v>
      </c>
      <c r="J16" s="3">
        <f>4396.4+(201.1-1464.4)+(-13.452984+(-0.615366--4.481064))+0-0-0</f>
        <v>3123.5127139999995</v>
      </c>
      <c r="K16" s="3">
        <f>4455.3+(185.7-1498.5)+(4.544406+(0.189414-1.52847))+0-0-0</f>
        <v>3145.7053500000002</v>
      </c>
      <c r="L16" s="3">
        <f>4511.9+(160.3-1329.7)+(-2.301069+(-0.081753--0.678147))+0-0-0</f>
        <v>3340.7953249999996</v>
      </c>
      <c r="M16" s="3">
        <f>4629+(141.5-1181.5)+(-4.72158+(-0.14433--1.20513))+0-0-0</f>
        <v>3585.3392199999998</v>
      </c>
      <c r="N16" s="3">
        <f>4736.4+(127.9-778.3)+(-2.415564+(-0.065229--0.396933))+0-0-0</f>
        <v>4083.9161399999994</v>
      </c>
      <c r="O16" s="3">
        <f>4751.7+(385.4-696.2)+(2.423367+(0.196554-0.355062))+0-0-0</f>
        <v>4443.1648589999995</v>
      </c>
      <c r="P16" s="3">
        <f>4733+(650.2-699.6)+(2.41383+(0.331602-0.356796))+0-0-0</f>
        <v>4685.988636</v>
      </c>
      <c r="Q16" s="3">
        <f>4755.8+(758.3-708.8)+(0+(0-0))+0-0-0</f>
        <v>4805.3</v>
      </c>
      <c r="R16" s="3">
        <f>4790.7+(638.5-646.7)+(-4.886514+(-0.65127--0.659634))+0-0-0</f>
        <v>4777.6218500000004</v>
      </c>
      <c r="S16" s="3">
        <f>4799.3+(393.7-560.5)+(-4.895286+(-0.401574--0.57171))+0-0-0</f>
        <v>4627.7748499999998</v>
      </c>
      <c r="T16" s="3">
        <f>4851.3+(342-537.5)+(-4.948326+(-0.34884--0.54825))+0-0-0</f>
        <v>4651.0510840000006</v>
      </c>
      <c r="U16" s="3">
        <f>4900+(291.3-540.1)+(2.499+(0.148563-0.275451))+0-0-0</f>
        <v>4653.5721119999998</v>
      </c>
      <c r="V16" s="3">
        <f>4983.3+(244.6-567.1)+(-2.541483+(-0.124746--0.289221))+0-0-0</f>
        <v>4658.4229919999998</v>
      </c>
      <c r="W16" s="3">
        <f>5002.6+(242.6-597.4)+(-7.653978+(-0.371178--0.914022))+0-0-0</f>
        <v>4640.6888660000004</v>
      </c>
      <c r="X16" s="3">
        <f>5129+(201.9-635.4)+(-5.23158+(-0.205938--0.648108))+0-0-0</f>
        <v>4690.7105899999997</v>
      </c>
      <c r="Y16" s="3">
        <f>5361.4+(334.7-817.5)+(-2.734314+(-0.170697--0.416925))+0-0-0</f>
        <v>4876.1119139999992</v>
      </c>
      <c r="Z16" s="3">
        <f>5320.5+(492.5-923.4)+(-13.567275+(-1.255875--2.35467))+0-0-0</f>
        <v>4877.1315200000008</v>
      </c>
      <c r="AA16" s="3">
        <f>5238.7+(319.4-868.8)+(-8.015211+(-0.488682--1.329264))+0-0-0</f>
        <v>4682.1253710000001</v>
      </c>
      <c r="AB16" s="3">
        <f>5128.1+(142-860.6)+(-7.845993+(-0.21726--1.316718))+0-0-0</f>
        <v>4402.7534649999998</v>
      </c>
      <c r="AC16" s="3">
        <f>4985.4+(72.9-984.7)+(-12.71277+(-0.185895--2.510985))+0-0-0</f>
        <v>4063.2123199999996</v>
      </c>
      <c r="AD16">
        <v>4932.2999999999993</v>
      </c>
      <c r="AE16" s="3">
        <f>5376+(467.9-911.6)+(0+(0-0))+0-0-0</f>
        <v>4932.3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4992.3+(70.5-1304.9)+(-5.092146+(-0.07191--1.330998))+0-0-0</f>
        <v>3754.0669419999999</v>
      </c>
      <c r="G17" s="3">
        <f>4923.9+(168.7-1681.5)+(-20.089512+(-0.688296--6.86052))+0-0-0</f>
        <v>3397.1827119999994</v>
      </c>
      <c r="H17" s="3">
        <f>4697.8+(214.8-1747.1)+(-7.187634+(-0.328644--2.673063))+0-0-0</f>
        <v>3160.6567850000001</v>
      </c>
      <c r="I17" s="3">
        <f>4687.1+(207.5-1822.1)+(-4.780842+(-0.21165--1.858542))+0-0-0</f>
        <v>3069.3660500000005</v>
      </c>
      <c r="J17" s="3">
        <f>4680+(129.2-1699.7)+(-11.934+(-0.32946--4.334235))+0-0-0</f>
        <v>3101.5707750000001</v>
      </c>
      <c r="K17" s="3">
        <f>4661.5+(128.6-1637.4)+(2.377365+(0.065586-0.835074))+0-0-0</f>
        <v>3154.3078769999997</v>
      </c>
      <c r="L17" s="3">
        <f>4733.5+(115.2-1533)+(-4.82817+(-0.117504--1.56366))+0-0-0</f>
        <v>3312.317986</v>
      </c>
      <c r="M17" s="3">
        <f>4916.6+(128.1-1508.6)+(-5.014932+(-0.130662--1.538772))+8.4-0-0</f>
        <v>3540.8931780000003</v>
      </c>
      <c r="N17" s="3">
        <f>5242.2+(143.8-1346.5)+(-5.347044+(-0.146676--1.37343))+0-0-0</f>
        <v>4035.3797100000002</v>
      </c>
      <c r="O17" s="3">
        <f>5234.9+(203.6-1017.5)+(-2.669799+(-0.103836--0.518925))+0-0-0</f>
        <v>4418.7452899999998</v>
      </c>
      <c r="P17" s="3">
        <f>5277.2+(321.5-902.7)+(0+(0-0))+0-0-0</f>
        <v>4696</v>
      </c>
      <c r="Q17" s="3">
        <f>5246.9+(413.4-785.3)+(-2.675919+(-0.210834--0.400503))+0-0-0</f>
        <v>4872.5137500000001</v>
      </c>
      <c r="R17" s="3">
        <f>5299.1+(328.8-676.7)+(-2.702541+(-0.167688--0.345117))+0-0-0</f>
        <v>4948.6748880000005</v>
      </c>
      <c r="S17" s="3">
        <f>5218.3+(345.1-781.8)+(-7.983999+(-0.528003--1.196154))+0-0-0</f>
        <v>4774.2841520000002</v>
      </c>
      <c r="T17" s="3">
        <f>5219.1+(391.5-833.1)+(-2.661741+(-0.199665--0.424881))+0-0-0</f>
        <v>4775.0634749999999</v>
      </c>
      <c r="U17" s="3">
        <f>5159.7+(370.6-833.8)+(-18.420129+(-1.323042--2.976666))+0-0-0</f>
        <v>4679.7334950000004</v>
      </c>
      <c r="V17" s="3">
        <f>5220.9+(356.2-1006.8)+(-7.987977+(-0.544986--1.540404))+0-0-0</f>
        <v>4563.307440999999</v>
      </c>
      <c r="W17" s="3">
        <f>5127.5+(353.3-974.5)+(-15.69015+(-1.081098--2.98197))+0-0-0</f>
        <v>4492.510722</v>
      </c>
      <c r="X17" s="3">
        <f>5190.2+(336.1-1030.4)+(-7.941006+(-0.514233--1.576512))+0-0-0</f>
        <v>4489.0212729999994</v>
      </c>
      <c r="Y17" s="3">
        <f>5479.7+(251.8-986.5)+(-5.589294+(-0.256836--1.00623))+0-0-0</f>
        <v>4740.1601000000001</v>
      </c>
      <c r="Z17" s="3">
        <f>5557.5+(322.9-1017.9)+(-11.3373+(-0.658716--2.076516))+0-0-0</f>
        <v>4852.5805</v>
      </c>
      <c r="AA17" s="3">
        <f>5536.3+(357.6-1129.5)+(-11.294052+(-0.729504--2.30418))+0-0-0</f>
        <v>4754.6806240000005</v>
      </c>
      <c r="AB17" s="3">
        <f>5255.3+(300-1130.1)+(-5.360406+(-0.306--1.152702))+0-0-0</f>
        <v>4420.6862960000008</v>
      </c>
      <c r="AC17" s="3">
        <f>5070.8+(245-1199.3)+(-5.172216+(-0.2499--1.223286))+0-0-0</f>
        <v>4112.3011699999997</v>
      </c>
      <c r="AD17">
        <v>4867.5</v>
      </c>
      <c r="AE17" s="3">
        <f>5520+(344.8-997.3)+(0+(0-0))+0-0-0</f>
        <v>4867.5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4837.3+(236.4-1403)+(-12.335115+(-0.60282--3.57765))+0-0-0</f>
        <v>3661.3397150000001</v>
      </c>
      <c r="G18" s="3">
        <f>4795.3+(236.3-1673.7)+(-7.336809+(-0.361539--2.560761))+0-0-0</f>
        <v>3352.7624129999999</v>
      </c>
      <c r="H18" s="3">
        <f>4727.5+(205.1-1725)+(0+(0-0))+0-0-0</f>
        <v>3207.6</v>
      </c>
      <c r="I18" s="3">
        <f>4676.3+(194.6-1761.9)+(-7.154739+(-0.297738--2.695707))+0-0-0</f>
        <v>3104.24323</v>
      </c>
      <c r="J18" s="3">
        <f>4666.3+(189.9-1778.5)+(-14.278878+(-0.581094--5.44221))+0-0-0</f>
        <v>3068.2822380000002</v>
      </c>
      <c r="K18" s="3">
        <f>4692+(183.3-1715.1)+(-4.78584+(-0.186966--1.749402))+0-0-0</f>
        <v>3156.976596</v>
      </c>
      <c r="L18" s="3">
        <f>4675.6+(169.9-1572.3)+(-9.538224+(-0.346596--3.207492))+0-0-0</f>
        <v>3266.5226720000005</v>
      </c>
      <c r="M18" s="3">
        <f>4741+(191.9-1519.9)+(0+(0-0))+0-0-0</f>
        <v>3413</v>
      </c>
      <c r="N18" s="3">
        <f>4995.4+(261.5-1314.7)+(-5.095308+(-0.26673--1.340994))+0-0-0</f>
        <v>3938.1789559999997</v>
      </c>
      <c r="O18" s="3">
        <f>5134.5+(283.9-1151.1)+(0+(0-0))+0-0-0</f>
        <v>4267.3</v>
      </c>
      <c r="P18" s="3">
        <f>5078.9+(412-1031.5)+(2.590239+(0.21012-0.526065))+0-0-0</f>
        <v>4461.6742939999995</v>
      </c>
      <c r="Q18" s="3">
        <f>5142.7+(416.1-965.7)+(-7.868331+(-0.636633--1.477521))+0-0-0</f>
        <v>4586.0725569999995</v>
      </c>
      <c r="R18" s="3">
        <f>5181+(371.7-1003.8)+(-5.28462+(-0.379134--1.023876))+0-0-0</f>
        <v>4544.2601219999997</v>
      </c>
      <c r="S18" s="3">
        <f>5140.1+(391.9-1259.1)+(-5.242902+(-0.399738--1.284282))+0-0-0</f>
        <v>4268.5416420000001</v>
      </c>
      <c r="T18" s="3">
        <f>5129.8+(337.1-1172.9)+(0+(0-0))+0-0-0</f>
        <v>4294</v>
      </c>
      <c r="U18" s="3">
        <f>5101.2+(331.1-1258.5)+(-10.406448+(-0.675444--2.56734))+0-0-0</f>
        <v>4165.2854480000005</v>
      </c>
      <c r="V18" s="3">
        <f>4987.9+(331.1-1200.5)+(-5.087658+(-0.337722--1.22451))+0-0-0</f>
        <v>4114.2991300000003</v>
      </c>
      <c r="W18" s="3">
        <f>4929.7+(290.6-1196.4)+(-7.542441+(-0.444618--1.830492))+0-0-0</f>
        <v>4017.7434329999996</v>
      </c>
      <c r="X18" s="3">
        <f>4917+(243.7-1158.4)+(-10.03068+(-0.497148--2.363136))+0-0-0</f>
        <v>3994.1353080000004</v>
      </c>
      <c r="Y18" s="3">
        <f>5030.9+(190.4-883.3)+(-2.565759+(-0.097104--0.450483))+0-0-0</f>
        <v>4335.7876200000001</v>
      </c>
      <c r="Z18" s="3">
        <f>5149.4+(354.5-881.4)+(2.626194+(0.180795-0.449514))+0-0-0</f>
        <v>4624.8574749999998</v>
      </c>
      <c r="AA18" s="3">
        <f>5109.6+(328.7-977.3)+(-10.423584+(-0.670548--1.993692))+0-0-0</f>
        <v>4451.8995599999998</v>
      </c>
      <c r="AB18" s="3">
        <f>5060.3+(384.8-1121.8)+(-10.323012+(-0.784992--2.288472))+0-0-0</f>
        <v>4314.4804679999997</v>
      </c>
      <c r="AC18" s="3">
        <f>4934.8+(478.1-1348.4)+(-5.033496+(-0.487662--1.375368))+0-0-0</f>
        <v>4060.35421</v>
      </c>
      <c r="AD18">
        <v>4630.1000000000004</v>
      </c>
      <c r="AE18" s="3">
        <f>5125+(415.5-910.4)+(0+(0-0))+0-0-0</f>
        <v>4630.1000000000004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4838.4+(552.1-1488.5)+(-4.935168+(-0.563142--1.51827))+0-0-0</f>
        <v>3898.0199599999996</v>
      </c>
      <c r="G19" s="3">
        <f>4704.7+(450-1603.2)+(-2.399397+(-0.2295--0.817632))+0-0-0</f>
        <v>3549.6887350000002</v>
      </c>
      <c r="H19" s="3">
        <f>4730.4+(451.2-1883.7)+(-7.237512+(-0.690336--2.882061))+0-0-0</f>
        <v>3292.8542129999996</v>
      </c>
      <c r="I19" s="3">
        <f>4653.9+(385.3-1869.7)+(0+(0-0))+0-0-0</f>
        <v>3169.4999999999995</v>
      </c>
      <c r="J19" s="3">
        <f>4609.3+(354.4-1868.2)+(-7.052229+(-0.542232--2.858346))+0-0-0</f>
        <v>3090.7638849999998</v>
      </c>
      <c r="K19" s="3">
        <f>4638.9+(364.7-1905.8)+(2.365839+(0.185997-0.971958))+0-0-0</f>
        <v>3099.3798779999997</v>
      </c>
      <c r="L19" s="3">
        <f>4461.3+(411.5-1856.5)+(-6.825789+(-0.629595--2.840445))+0-0-0</f>
        <v>3011.6850610000001</v>
      </c>
      <c r="M19" s="3">
        <f>4292.9+(411.7-1783)+(-8.757516+(-0.839868--3.63732))+0-0-0</f>
        <v>2915.6399359999996</v>
      </c>
      <c r="N19" s="3">
        <f>4389.7+(390.3-1593.6)+(-11.193735+(-0.995265--4.06368))+0-0-0</f>
        <v>3178.2746799999995</v>
      </c>
      <c r="O19" s="3">
        <f>4479.7+(308.8-1420.4)+(-2.284647+(-0.157488--0.724404))+0-0-0</f>
        <v>3366.3822689999993</v>
      </c>
      <c r="P19" s="3">
        <f>4615.6+(366.6-1248)+(-4.707912+(-0.373932--1.27296))+0-0-0</f>
        <v>3730.3911160000002</v>
      </c>
      <c r="Q19" s="3">
        <f>4625.4+(498.4-1268.7)+(-2.358954+(-0.254184--0.647037))+0-0-0</f>
        <v>3853.1338989999995</v>
      </c>
      <c r="R19" s="3">
        <f>4570.1+(490.6-1311.6)+(-6.992253+(-0.750618--2.006748))+0-0-0</f>
        <v>3743.3638770000002</v>
      </c>
      <c r="S19" s="3">
        <f>4598.4+(491.5-1247.9)+(-14.071104+(-1.50399--3.818574))+0-0-0</f>
        <v>3830.2434799999996</v>
      </c>
      <c r="T19" s="3">
        <f>4593.6+(399.5-1409.9)+(-4.685472+(-0.40749--1.438098))+0-0-0</f>
        <v>3579.5451360000002</v>
      </c>
      <c r="U19" s="3">
        <f>4572.6+(424.5-1452.7)+(-13.992156+(-1.29897--4.445262))+0-0-0</f>
        <v>3533.5541360000007</v>
      </c>
      <c r="V19" s="3">
        <f>4376.2+(432.8-1314.1)+(-6.695586+(-0.662184--2.010573))+0-0-0</f>
        <v>3489.5528029999996</v>
      </c>
      <c r="W19" s="3">
        <f>4345.4+(397.1-1204.1)+(-2.216154+(-0.202521--0.614091))+0-0-0</f>
        <v>3536.5954159999997</v>
      </c>
      <c r="X19" s="3">
        <f>4378.1+(357.5-1018.5)+(0+(0-0))+0-0-0</f>
        <v>3717.1000000000004</v>
      </c>
      <c r="Y19" s="3">
        <f>4502.7+(261.7-632.8)+(-2.296377+(-0.133467--0.322728))+0-0-0</f>
        <v>4129.4928839999993</v>
      </c>
      <c r="Z19" s="3">
        <f>4760.8+(358.4-772.3)+(-7.284024+(-0.548352--1.181619))+0-0-0</f>
        <v>4340.2492430000002</v>
      </c>
      <c r="AA19" s="3">
        <f>4746.3+(325.1-730.5)+(-2.420613+(-0.165801--0.372555))+0-0-0</f>
        <v>4338.6861410000001</v>
      </c>
      <c r="AB19" s="3">
        <f>4730.1+(265.6-846.9)+(-9.649404+(-0.541824--1.727676))+0-0-0</f>
        <v>4140.336448</v>
      </c>
      <c r="AC19" s="3">
        <f>4708.8+(254.5-1129.9)+(-2.401488+(-0.129795--0.576249))+0-0-0</f>
        <v>3831.444966</v>
      </c>
      <c r="AD19">
        <v>4308.5</v>
      </c>
      <c r="AE19" s="3">
        <f>4759+(364.6-815.1)+(0+(0-0))+0-0-0</f>
        <v>4308.5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4596.1+(331.4-1402.1)+(-11.720055+(-0.84507--3.575355))+0-0-0</f>
        <v>3516.4102300000004</v>
      </c>
      <c r="G20" s="3">
        <f>4128.4+(252.8-1194)+(-6.316452+(-0.386784--1.82682))+0-0-0</f>
        <v>3182.3235839999998</v>
      </c>
      <c r="H20" s="3">
        <f>3888.5+(201.4-1097)+(3.96627+(0.205428-1.11894))+0-0-0</f>
        <v>2995.9527579999999</v>
      </c>
      <c r="I20" s="3">
        <f>3952.9+(194.8-1231.3)+(0+(0-0))+0-0-0</f>
        <v>2916.4</v>
      </c>
      <c r="J20" s="3">
        <f>3964.8+(158.4-1221.2)+(-4.044096+(-0.161568--1.245624))+0-0-0</f>
        <v>2899.0399600000001</v>
      </c>
      <c r="K20" s="3">
        <f>4265.4+(162.9-1443.2)+(-6.526062+(-0.249237--2.208096))+0-0-0</f>
        <v>2980.5327969999994</v>
      </c>
      <c r="L20" s="3">
        <f>4489.7+(283.4-1583)+(-9.158988+(-0.578136--3.22932))+0-0-0</f>
        <v>3183.5921960000001</v>
      </c>
      <c r="M20" s="3">
        <f>4624.8+(325.2-1364.3)+(0+(0-0))+0-0-0</f>
        <v>3585.7000000000003</v>
      </c>
      <c r="N20" s="3">
        <f>4709.3+(522.5-1143.2)+(0+(0-0))+0-0-0</f>
        <v>4088.6000000000004</v>
      </c>
      <c r="O20" s="3">
        <f>4702.4+(497.2-731.4)+(0+(0-0))+0-0-0</f>
        <v>4468.2</v>
      </c>
      <c r="P20" s="3">
        <f>4710.1+(623.6-590)+(0+(0-0))+0-0-0</f>
        <v>4743.7000000000007</v>
      </c>
      <c r="Q20" s="3">
        <f>4709.7+(706.7-534.8)+(-9.607788+(-1.441668--1.090992))+0-0-0</f>
        <v>4871.6415360000001</v>
      </c>
      <c r="R20" s="3">
        <f>4710.5+(699.4-537.9)+(-2.402355+(-0.356694--0.274329))+0-0-0</f>
        <v>4869.5152799999996</v>
      </c>
      <c r="S20" s="3">
        <f>4661.7+(580.8-724.1)+(-4.754934+(-0.592416--0.738582))+19.8-0-0</f>
        <v>4533.5912319999998</v>
      </c>
      <c r="T20" s="3">
        <f>4677+(643.9-826.7)+(-4.77054+(-0.656778--0.843234))+0-0-0</f>
        <v>4489.6159159999997</v>
      </c>
      <c r="U20" s="3">
        <f>4699.1+(672-838.1)+(0+(0-0))+0-0-0</f>
        <v>4533</v>
      </c>
      <c r="V20" s="3">
        <f>4684.9+(654.7-848.7)+(-2.389299+(-0.333897--0.432837))+0-0-0</f>
        <v>4488.609641</v>
      </c>
      <c r="W20" s="3">
        <f>4703.6+(606.9-891.1)+(-14.393016+(-1.857114--2.726766))+0-0-0</f>
        <v>4405.8766360000009</v>
      </c>
      <c r="X20" s="3">
        <f>4707.6+(457.1-785.2)+(-9.603504+(-0.932484--1.601808))+0-0-0</f>
        <v>4370.5658199999998</v>
      </c>
      <c r="Y20" s="3">
        <f>4831.9+(395.7-698.1)+(4.928538+(0.403614-0.712062))+0-0-0</f>
        <v>4534.1200900000003</v>
      </c>
      <c r="Z20" s="3">
        <f>4893.2+(731.5-732.2)+(0+(0-0))+0-0-0</f>
        <v>4892.5</v>
      </c>
      <c r="AA20" s="3">
        <f>4847.9+(660.8-730.8)+(-12.362145+(-1.68504--1.86354))+0-0-0</f>
        <v>4765.7163549999996</v>
      </c>
      <c r="AB20" s="3">
        <f>4901.7+(522.2-882.2)+(-2.499867+(-0.266322--0.449922))+0-0-0</f>
        <v>4539.3837329999997</v>
      </c>
      <c r="AC20" s="3">
        <f>4625.6+(649.7-1075.5)+(-4.718112+(-0.662694--1.09701))+0-0-0</f>
        <v>4195.5162040000005</v>
      </c>
      <c r="AD20">
        <v>4883.2</v>
      </c>
      <c r="AE20" s="3">
        <f>4890+(740.9-747.7)+(0+(0-0))+0-0-0</f>
        <v>4883.2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4439.4+(835.9-1543.8)+(-4.528188+(-0.852618--1.574676))+0-0-0</f>
        <v>3727.6938699999996</v>
      </c>
      <c r="G21" s="3">
        <f>4296.4+(721.9-1623)+(0+(0-0))+0-0-0</f>
        <v>3395.2999999999997</v>
      </c>
      <c r="H21" s="3">
        <f>4244.1+(397.8-1405.3)+(-8.657964+(-0.811512--2.866812))+0-0-0</f>
        <v>3229.9973360000004</v>
      </c>
      <c r="I21" s="3">
        <f>4248.6+(349.3-1445.4)+(-8.667144+(-0.712572--2.948616))+0-0-0</f>
        <v>3146.0689000000002</v>
      </c>
      <c r="J21" s="3">
        <f>4184.1+(392.1-1447)+(-6.401673+(-0.599913--2.21391))+0-0-0</f>
        <v>3124.4123240000004</v>
      </c>
      <c r="K21" s="3">
        <f>4265.8+(355.4-1432)+(-6.526674+(-0.543762--2.19096))+0-0-0</f>
        <v>3184.3205240000002</v>
      </c>
      <c r="L21" s="3">
        <f>4270.3+(378.5-1301)+(-2.177853+(-0.193035--0.66351))+0-0-0</f>
        <v>3346.0926220000001</v>
      </c>
      <c r="M21" s="3">
        <f>4449.9+(335.8-1133.5)+(0+(0-0))+0-0-0</f>
        <v>3652.2</v>
      </c>
      <c r="N21" s="3">
        <f>4538.5+(605.6-1015.1)+(-2.314635+(-0.308856--0.517701))+0-0-0</f>
        <v>4126.8942100000004</v>
      </c>
      <c r="O21" s="3">
        <f>4474.8+(653.6-654.1)+(-4.564296+(-0.666672--0.667182))+0-0-0</f>
        <v>4469.7362140000005</v>
      </c>
      <c r="P21" s="3">
        <f>4465.1+(649.9-420.2)+(-2.277201+(-0.331449--0.214302))+0-0-0</f>
        <v>4692.4056520000004</v>
      </c>
      <c r="Q21" s="3">
        <f>4442.7+(756.3-422.9)+(0+(0-0))+0-0-0</f>
        <v>4776.0999999999995</v>
      </c>
      <c r="R21" s="3">
        <f>4440.9+(775.8-437)+(0+(0-0))+0-0-0</f>
        <v>4779.7</v>
      </c>
      <c r="S21" s="3">
        <f>4402+(709.1-424.7)+(-4.49004+(-0.723282--0.433194))+0-0-0</f>
        <v>4681.6198719999993</v>
      </c>
      <c r="T21" s="3">
        <f>4419.8+(731.9-408.6)+(0+(0-0))+0-0-0</f>
        <v>4743.1000000000004</v>
      </c>
      <c r="U21" s="3">
        <f>4429.8+(706.8-486.8)+(0+(0-0))+0-0-0</f>
        <v>4649.8</v>
      </c>
      <c r="V21" s="3">
        <f>4416.1+(718.7-547.9)+(-6.756633+(-1.099611--0.838287))+0-0-0</f>
        <v>4579.8820430000005</v>
      </c>
      <c r="W21" s="3">
        <f>4443.3+(664.4-657.1)+(-6.798249+(-1.016532--1.005363))+0-0-0</f>
        <v>4443.7905820000005</v>
      </c>
      <c r="X21" s="3">
        <f>4543.5+(642.2-801.5)+(-9.26874+(-1.310088--1.63506))+0-0-0</f>
        <v>4375.2562319999997</v>
      </c>
      <c r="Y21" s="3">
        <f>4706.7+(481.8-595.9)+(0+(0-0))+0-0-0</f>
        <v>4592.5999999999995</v>
      </c>
      <c r="Z21" s="3">
        <f>4665.9+(917.4-616.4)+(-9.518436+(-1.871496--1.257456))+0-0-0</f>
        <v>4956.7675239999999</v>
      </c>
      <c r="AA21" s="3">
        <f>4629.9+(764.4-576.3)+(-7.083747+(-1.169532--0.881739))+0-0-0</f>
        <v>4810.6284599999999</v>
      </c>
      <c r="AB21" s="3">
        <f>4603.7+(558-586.3)+(-7.043661+(-0.85374--0.897039))+0-0-0</f>
        <v>4568.3996379999999</v>
      </c>
      <c r="AC21" s="3">
        <f>4584.2+(518.4-876.9)+(-7.013826+(-0.793152--1.341657))+0-0-0</f>
        <v>4219.2346790000001</v>
      </c>
      <c r="AD21">
        <v>4959.3999999999996</v>
      </c>
      <c r="AE21" s="3">
        <f>4674+(951.5-666.1)+(0+(0-0))+0-0-0</f>
        <v>4959.3999999999996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4272.6+(691.5-1215.3)+(-4.358052+(-0.70533--1.239606))+0-0-0</f>
        <v>3744.976224</v>
      </c>
      <c r="G22" s="3">
        <f>4132+(782.6-1477.5)+(0+(0-0))+0-0-0</f>
        <v>3437.1</v>
      </c>
      <c r="H22" s="3">
        <f>4119.5+(732.4-1585.4)+(-6.302835+(-1.120572--2.425662))+0-0-0</f>
        <v>3261.5022549999999</v>
      </c>
      <c r="I22" s="3">
        <f>4115+(574.7-1485.9)+(-4.1973+(-0.586194--1.515618))+0-0-0</f>
        <v>3200.5321240000003</v>
      </c>
      <c r="J22" s="3">
        <f>3942.6+(557.5-1314)+(2.010726+(0.284325-0.67014))+0-0-0</f>
        <v>3187.7249109999998</v>
      </c>
      <c r="K22" s="3">
        <f>3906.2+(473.3-1135.9)+(-3.984324+(-0.482766--1.158618))+0-0-0</f>
        <v>3240.2915279999993</v>
      </c>
      <c r="L22" s="3">
        <f>3905.1+(489.2-1019.6)+(-5.974803+(-0.748476--1.559988))+0-0-0</f>
        <v>3369.536709</v>
      </c>
      <c r="M22" s="3">
        <f>4176.1+(578.6-1056.8)+(0+(0-0))+0-0-0</f>
        <v>3697.9000000000005</v>
      </c>
      <c r="N22" s="3">
        <f>4380.3+(771.5-939.4)+(8.935812+(1.57386-1.916376))+0-0-0</f>
        <v>4220.9932960000006</v>
      </c>
      <c r="O22" s="3">
        <f>4321+(856.4-620.2)+(2.20371+(0.436764-0.316302))+0-0-0</f>
        <v>4559.5241719999995</v>
      </c>
      <c r="P22" s="3">
        <f>4388.8+(925.9-517.6)+(0+(0-0))+0-0-0</f>
        <v>4797.1000000000004</v>
      </c>
      <c r="Q22" s="3">
        <f>4396.3+(1025.8-501.2)+(0+(0-0))+0-0-0</f>
        <v>4920.8999999999996</v>
      </c>
      <c r="R22" s="3">
        <f>4462.5+(909.8-532.5)+(-9.1035+(-1.855992--1.0863))+0-0-0</f>
        <v>4829.9268080000002</v>
      </c>
      <c r="S22" s="3">
        <f>4536.3+(802.1-609.9)+(-4.627026+(-0.818142--0.622098))+0-0-0</f>
        <v>4723.6769299999996</v>
      </c>
      <c r="T22" s="3">
        <f>4634+(838.4-686.9)+(0+(0-0))+0-0-0</f>
        <v>4785.5</v>
      </c>
      <c r="U22" s="3">
        <f>4682.6+(872.3-825.7)+(-4.776252+(-0.889746--0.842214))+0-0-0</f>
        <v>4724.3762160000006</v>
      </c>
      <c r="V22" s="3">
        <f>4717.1+(880.5-944.2)+(-4.811442+(-0.89811--0.963084))+0-0-0</f>
        <v>4648.6535320000003</v>
      </c>
      <c r="W22" s="3">
        <f>4725.2+(838.7-988.1)+(0+(0-0))+0-0-0</f>
        <v>4575.8</v>
      </c>
      <c r="X22" s="3">
        <f>4701.5+(856.1-828.4)+(-2.397765+(-0.436611--0.422484))+0-0-0</f>
        <v>4726.7881079999997</v>
      </c>
      <c r="Y22" s="3">
        <f>4810.7+(624.7-620.7)+(-2.453457+(-0.318597--0.316557))+0-0-0</f>
        <v>4812.2445029999999</v>
      </c>
      <c r="Z22" s="3">
        <f>4865.3+(727.7-652.3)+(-9.925212+(-1.484508--1.330692))+0-0-0</f>
        <v>4930.6209720000006</v>
      </c>
      <c r="AA22" s="3">
        <f>4775.1+(718.3-712.1)+(-9.741204+(-1.465332--1.452684))+0-0-0</f>
        <v>4771.5461480000004</v>
      </c>
      <c r="AB22" s="3">
        <f>4636.6+(692.9-751.1)+(-7.093998+(-1.060137--1.149183))+0-0-0</f>
        <v>4571.3950480000003</v>
      </c>
      <c r="AC22" s="3">
        <f>4414.5+(617.2-879.9)+(-9.00558+(-1.259088--1.794996))+0-0-0</f>
        <v>4143.330328</v>
      </c>
      <c r="AD22">
        <v>4896.8999999999996</v>
      </c>
      <c r="AE22" s="3">
        <f>4841+(724.9-669)+(0+(0-0))+0-0-0</f>
        <v>4896.8999999999996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4379.5+(720.1-1369.1)+(-6.700635+(-1.101753--2.094723))+0-0-0</f>
        <v>3724.7923350000001</v>
      </c>
      <c r="G23" s="3">
        <f>4310.7+(837.5-1703.8)+(-10.992285+(-2.135625--4.34469))+0-0-0</f>
        <v>3435.6167799999998</v>
      </c>
      <c r="H23" s="3">
        <f>4202.1+(811.6-1690.3)+(-2.143071+(-0.413916--0.862053))+0-0-0</f>
        <v>3321.7050660000004</v>
      </c>
      <c r="I23" s="3">
        <f>4206.4+(645.9-1618)+(-8.581056+(-1.317636--3.30072))+0-0-0</f>
        <v>3227.7020279999997</v>
      </c>
      <c r="J23" s="3">
        <f>4221.9+(517-1541.5)+(-8.612676+(-1.05468--3.14466))+0-0-0</f>
        <v>3190.8773039999996</v>
      </c>
      <c r="K23" s="3">
        <f>4257.7+(506.1-1497.8)+(2.171427+(0.258111-0.763878))+0-0-0</f>
        <v>3267.6656600000001</v>
      </c>
      <c r="L23" s="3">
        <f>4276.1+(509.8-1393.6)+(-8.723244+(-1.039992--2.842944))+0-0-0</f>
        <v>3385.3797080000004</v>
      </c>
      <c r="M23" s="3">
        <f>4502.4+(555.1-1323.4)+(-4.592448+(-0.566202--1.349868))+0-0-0</f>
        <v>3730.2912179999994</v>
      </c>
      <c r="N23" s="3">
        <f>4755.3+(744.7-1252.7)+(0+(0-0))+0-0-0</f>
        <v>4247.3</v>
      </c>
      <c r="O23" s="3">
        <f>4904.7+(838-1090.3)+(2.501397+(0.42738-0.556053))+0-0-0</f>
        <v>4654.7727239999995</v>
      </c>
      <c r="P23" s="3">
        <f>4965.2+(779.9-897.3)+(2.532252+(0.397749-0.457623))+0-0-0</f>
        <v>4850.2723780000006</v>
      </c>
      <c r="Q23" s="3">
        <f>4998.8+(787.9-819.6)+(-2.549388+(-0.401829--0.417996))+0-0-0</f>
        <v>4964.5667790000007</v>
      </c>
      <c r="R23" s="3">
        <f>5001.4+(837.2-921.4)+(-2.550714+(-0.426972--0.469914))+0-0-0</f>
        <v>4914.6922279999999</v>
      </c>
      <c r="S23" s="3">
        <f>4943+(845.1-1024.7)+(-12.60465+(-2.155005--2.612985))+0-0-0</f>
        <v>4751.2533299999996</v>
      </c>
      <c r="T23" s="3">
        <f>4947.7+(887.8-1016)+(-5.046654+(-0.905556--1.03632))+0-0-0</f>
        <v>4814.5841099999998</v>
      </c>
      <c r="U23" s="3">
        <f>4938.7+(842.8-1064.7)+(-5.037474+(-0.859656--1.085994))+0-0-0</f>
        <v>4711.988863999999</v>
      </c>
      <c r="V23" s="3">
        <f>4932.9+(867.4-1172.3)+(0+(0-0))+0-0-0</f>
        <v>4628</v>
      </c>
      <c r="W23" s="3">
        <f>4907.4+(808.7-1175.2)+(-12.51387+(-2.062185--2.99676))+0-0-0</f>
        <v>4529.3207050000001</v>
      </c>
      <c r="X23" s="3">
        <f>4852+(748.2-1083.8)+(-9.89808+(-1.526328--2.210952))+0-0-0</f>
        <v>4507.1865439999992</v>
      </c>
      <c r="Y23" s="3">
        <f>5002.6+(636.8-836.8)+(2.551326+(0.324768-0.426768))+0-0-0</f>
        <v>4805.0493260000003</v>
      </c>
      <c r="Z23" s="3">
        <f>5070.5+(566.4-658.3)+(-7.757865+(-0.866592--1.007199))+0-0-0</f>
        <v>4970.9827420000001</v>
      </c>
      <c r="AA23" s="3">
        <f>5030.3+(596.3-868.8)+(-12.827265+(-1.520565--2.21544))+0-0-0</f>
        <v>4745.6676100000004</v>
      </c>
      <c r="AB23" s="3">
        <f>4999.7+(716.5-1197)+(-12.749235+(-1.827075--3.05235))+0-0-0</f>
        <v>4507.6760399999994</v>
      </c>
      <c r="AC23" s="3">
        <f>4990.8+(807.9-1518)+(-5.090616+(-0.824058--1.54836))+0-0-0</f>
        <v>4276.3336859999999</v>
      </c>
      <c r="AD23">
        <v>4942.5</v>
      </c>
      <c r="AE23" s="3">
        <f>5070+(558.7-686.2)+(0+(0-0))+0-0-0</f>
        <v>4942.5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4778.9+(706.5-1518.2)+(0+(0-0))+0-0-0</f>
        <v>3967.2</v>
      </c>
      <c r="G24" s="3">
        <f>4417.2+(493.7-1439.2)+(4.505544+(0.503574-1.467984))+0-0-0</f>
        <v>3475.2411339999999</v>
      </c>
      <c r="H24" s="3">
        <f>4312+(478.3-1682.2)+(-6.59736+(-0.731799--2.573766))+0-0-0</f>
        <v>3103.344607</v>
      </c>
      <c r="I24" s="3">
        <f>4324.6+(511.6-1604.2)+(-4.411092+(-0.521832--1.636284))+0-0-0</f>
        <v>3228.7033600000004</v>
      </c>
      <c r="J24" s="3">
        <f>4305.1+(461.3-1548.9)+(-8.782404+(-0.941052--3.159756))+0-0-0</f>
        <v>3210.9362999999998</v>
      </c>
      <c r="K24" s="3">
        <f>4285.8+(462.4-1487.4)+(0+(0-0))+0-0-0</f>
        <v>3260.8</v>
      </c>
      <c r="L24" s="3">
        <f>4294.5+(431.4-1304.3)+(-2.190195+(-0.220014--0.665193))+0-0-0</f>
        <v>3419.8549840000001</v>
      </c>
      <c r="M24" s="3">
        <f>4505.8+(472.2-1281.6)+(0+(0-0))+0-0-0</f>
        <v>3696.4000000000005</v>
      </c>
      <c r="N24" s="3">
        <f>4967.1+(653.4-1310)+(-2.533221+(-0.333234--0.6681))+0-0-0</f>
        <v>4308.3016449999996</v>
      </c>
      <c r="O24" s="3">
        <f>5004.4+(818.6-1125.9)+(-2.552244+(-0.417486--0.574209))+0-0-0</f>
        <v>4694.7044789999991</v>
      </c>
      <c r="P24" s="3">
        <f>5014.6+(774.8-917.6)+(-5.114892+(-0.790296--0.935952))+0-0-0</f>
        <v>4866.8307640000003</v>
      </c>
      <c r="Q24" s="3">
        <f>5024.5+(691.9-712)+(-5.12499+(-0.705738--0.72624))+0-0-0</f>
        <v>4999.2955119999997</v>
      </c>
      <c r="R24" s="3">
        <f>5014.1+(658.6-726.5)+(-5.114382+(-0.671772--0.74103))+0-0-0</f>
        <v>4941.1548760000005</v>
      </c>
      <c r="S24" s="3">
        <f>4996.9+(776.4-1034.1)+(-5.096838+(-0.791928--1.054782))+0-0-0</f>
        <v>4734.3660159999999</v>
      </c>
      <c r="T24" s="3">
        <f>4983.3+(894.6-1082.1)+(0+(0-0))+0-0-0</f>
        <v>4795.8</v>
      </c>
      <c r="U24" s="3">
        <f>4863+(962.1-1066.3)+(-4.96026+(-0.981342--1.087626))+0-0-0</f>
        <v>4753.9460239999999</v>
      </c>
      <c r="V24" s="3">
        <f>4812+(871.7-1035.4)+(7.36236+(1.333701-1.584162))+0-0-0</f>
        <v>4655.4118990000006</v>
      </c>
      <c r="W24" s="3">
        <f>4803.4+(750.3-984.7)+(-9.798936+(-1.530612--2.008788))+0-0-0</f>
        <v>4559.6792400000004</v>
      </c>
      <c r="X24" s="3">
        <f>4866.4+(648.1-988.5)+(2.481864+(0.330531-0.504135))+0-0-0</f>
        <v>4528.3082599999998</v>
      </c>
      <c r="Y24" s="3">
        <f>5011+(542.9-810.8)+(2.55561+(0.276879-0.413508))+0-0-0</f>
        <v>4745.5189810000002</v>
      </c>
      <c r="Z24" s="3">
        <f>5265.8+(472.8-750.3)+(-10.742232+(-0.964512--1.530612))+0-0-0</f>
        <v>4978.1238680000006</v>
      </c>
      <c r="AA24" s="3">
        <f>5193.5+(464.9-831.3)+(-15.89211+(-1.422594--2.543778))+0-0-0</f>
        <v>4812.3290740000002</v>
      </c>
      <c r="AB24" s="3">
        <f>4999.2+(637.1-1053.4)+(-10.198368+(-1.299684--2.148936))+0-0-0</f>
        <v>4573.5508839999993</v>
      </c>
      <c r="AC24" s="3">
        <f>4802.2+(655.8-1159)+(-9.796488+(-1.337832--2.36436))+0-0-0</f>
        <v>4290.2300400000004</v>
      </c>
      <c r="AD24">
        <v>5004.2</v>
      </c>
      <c r="AE24" s="3">
        <f>5246+(484.2-726)+(0+(0-0))+0-0-0</f>
        <v>5004.2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4653.1+(633.2-1314.1)+(-2.373081+(-0.322932--0.670191))+0-0-0</f>
        <v>3970.1741780000007</v>
      </c>
      <c r="G25" s="3">
        <f>4596.9+(534.9-1649)+(-9.377676+(-1.091196--3.36396))+0-0-0</f>
        <v>3475.6950879999999</v>
      </c>
      <c r="H25" s="3">
        <f>4562.8+(467.6-1786.6)+(-4.654056+(-0.476952--1.822332))+0-0-0</f>
        <v>3240.4913240000001</v>
      </c>
      <c r="I25" s="3">
        <f>4595.5+(459.5-1840.9)+(2.343705+(0.234345-0.938859))+0-0-0</f>
        <v>3215.7391910000001</v>
      </c>
      <c r="J25" s="3">
        <f>4520.3+(497.7-1828.6)+(4.610706+(0.507654-1.865172))+0-0-0</f>
        <v>3192.6531880000007</v>
      </c>
      <c r="K25" s="3">
        <f>4591.3+(513.4-1856.1)+(-2.341563+(-0.261834--0.946611))+0-0-0</f>
        <v>3246.9432140000004</v>
      </c>
      <c r="L25" s="3">
        <f>4579.1+(518.9-1741.9)+(-7.006023+(-0.793917--2.665107))+0-0-0</f>
        <v>3350.9651670000003</v>
      </c>
      <c r="M25" s="3">
        <f>4691.2+(541.4-1650.3)+(0+(0-0))+0-0-0</f>
        <v>3582.2999999999997</v>
      </c>
      <c r="N25" s="3">
        <f>4951.3+(744.9-1599.8)+(0+(0-0))+0-0-0</f>
        <v>4096.4000000000005</v>
      </c>
      <c r="O25" s="3">
        <f>5072.6+(787.8-1455.9)+(-2.587026+(-0.401778--0.742509))+0-0-0</f>
        <v>4402.2537050000001</v>
      </c>
      <c r="P25" s="3">
        <f>5169.4+(905.4-1310.8)+(7.909182+(1.385262-2.005524))+0-0-0</f>
        <v>4771.28892</v>
      </c>
      <c r="Q25" s="3">
        <f>5142.2+(826.7-1116.9)+(-15.735132+(-2.529702--3.417714))+0-0-0</f>
        <v>4837.1528799999996</v>
      </c>
      <c r="R25" s="3">
        <f>5148.9+(714.1-1125.6)+(-13.129695+(-1.820955--2.87028))+0-0-0</f>
        <v>4725.31963</v>
      </c>
      <c r="S25" s="3">
        <f>5167.8+(699.6-1326.6)+(-2.635578+(-0.356796--0.676566))+0-0-0</f>
        <v>4538.4841919999999</v>
      </c>
      <c r="T25" s="3">
        <f>5178.6+(545.2-1288.6)+(2.641086+(0.278052-0.657186))+0-0-0</f>
        <v>4437.4619520000006</v>
      </c>
      <c r="U25" s="3">
        <f>5180.8+(516.2-1313.2)+(-2.642208+(-0.263262--0.669732))+0-0-0</f>
        <v>4381.5642619999999</v>
      </c>
      <c r="V25" s="3">
        <f>5139.2+(526.1-1327.4)+(-10.483968+(-1.073244--2.707896))+0-0-0</f>
        <v>4329.0506839999998</v>
      </c>
      <c r="W25" s="3">
        <f>5108.4+(570.4-1474.9)+(-7.815852+(-0.872712--2.256597))+0-0-0</f>
        <v>4197.4680329999992</v>
      </c>
      <c r="X25" s="3">
        <f>5020.5+(560.4-1387)+(-5.12091+(-0.571608--1.41474))+0-0-0</f>
        <v>4189.622222</v>
      </c>
      <c r="Y25" s="3">
        <f>5036.9+(479.2-1127.7)+(-10.275276+(-0.977568--2.300508))+0-0-0</f>
        <v>4379.4476639999993</v>
      </c>
      <c r="Z25" s="3">
        <f>5458.3+(513.9-1215.7)+(-13.918665+(-1.310445--3.100035))+0-0-0</f>
        <v>4744.3709250000002</v>
      </c>
      <c r="AA25" s="3">
        <f>5489.5+(603.7-1405.6)+(-8.398935+(-0.923661--2.150568))+0-0-0</f>
        <v>4680.4279720000004</v>
      </c>
      <c r="AB25" s="3">
        <f>5356.3+(532.4-1450.7)+(-5.463426+(-0.543048--1.479714))+0-0-0</f>
        <v>4433.4732400000003</v>
      </c>
      <c r="AC25" s="3">
        <f>5156.4+(508.2-1514.9)+(-2.629764+(-0.259182--0.772599))+0-0-0</f>
        <v>4147.5836529999997</v>
      </c>
      <c r="AD25">
        <v>4714.1000000000004</v>
      </c>
      <c r="AE25" s="3">
        <f>5515+(481.1-1282)+(0+(0-0))+0-0-0</f>
        <v>4714.1000000000004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5020+(544.9-1741.2)+(-2.5602+(-0.277899--0.888012))+0-0-0</f>
        <v>3821.7499129999997</v>
      </c>
      <c r="G26" s="3">
        <f>4813.2+(388.2-1678)+(-4.909464+(-0.395964--1.71156))+0-0-0</f>
        <v>3519.8061319999997</v>
      </c>
      <c r="H26" s="3">
        <f>4664.5+(260.7-1651.9)+(-7.136685+(-0.398871--2.527407))+0-0-0</f>
        <v>3268.2918510000004</v>
      </c>
      <c r="I26" s="3">
        <f>4516.2+(263-1602.7)+(0+(0-0))+0-0-0</f>
        <v>3176.5</v>
      </c>
      <c r="J26" s="3">
        <f>4488.2+(226.3-1558)+(0+(0-0))+0-0-0</f>
        <v>3156.5</v>
      </c>
      <c r="K26" s="3">
        <f>4476.7+(148.8-1533.8)+(-4.566234+(-0.151776--1.564476))+0-0-0</f>
        <v>3088.5464659999998</v>
      </c>
      <c r="L26" s="3">
        <f>4373.5+(236.7-1527.4)+(-17.84388+(-0.965736--6.231792))+0-0-0</f>
        <v>3070.2221760000002</v>
      </c>
      <c r="M26" s="3">
        <f>4102.5+(179.1-1267.6)+(-4.18455+(-0.182682--1.292952))+0-0-0</f>
        <v>3010.9257200000002</v>
      </c>
      <c r="N26" s="3">
        <f>4147.1+(142.8-1196.1)+(8.460084+(0.291312-2.440044))+0-0-0</f>
        <v>3100.1113520000004</v>
      </c>
      <c r="O26" s="3">
        <f>4314.5+(146.5-1013.2)+(-6.601185+(-0.224145--1.550196))+0-0-0</f>
        <v>3442.5248660000002</v>
      </c>
      <c r="P26" s="3">
        <f>4429.5+(162.7-864.4)+(4.51809+(0.165954-0.881688))+0-0-0</f>
        <v>3731.6023560000003</v>
      </c>
      <c r="Q26" s="3">
        <f>4629.9+(176.5-904.8)+(-7.083747+(-0.270045--1.384344))+0-0-0</f>
        <v>3895.6305519999996</v>
      </c>
      <c r="R26" s="3">
        <f>4599.1+(296.9-1020.5)+(-16.418787+(-1.059933--3.643185))+0-0-0</f>
        <v>3861.6644650000003</v>
      </c>
      <c r="S26" s="3">
        <f>4550.5+(367.3-1054.4)+(0+(0-0))+0-0-0</f>
        <v>3863.3999999999996</v>
      </c>
      <c r="T26" s="3">
        <f>4503.8+(306.5-1035.5)+(-4.593876+(-0.31263--1.05621))+0-0-0</f>
        <v>3770.9497040000001</v>
      </c>
      <c r="U26" s="3">
        <f>4350.8+(366.6-1003.2)+(-2.218908+(-0.186966--0.511632))+0-0-0</f>
        <v>3712.3057580000004</v>
      </c>
      <c r="V26" s="3">
        <f>4406+(409.5-1115.9)+(-8.98824+(-0.83538--2.276436))+0-0-0</f>
        <v>3692.0528159999999</v>
      </c>
      <c r="W26" s="3">
        <f>4407.3+(433.4-1116.4)+(-2.247723+(-0.221034--0.569364))+0-0-0</f>
        <v>3722.400607</v>
      </c>
      <c r="X26" s="3">
        <f>4332.7+(383.3-1025.2)+(2.209677+(0.195483-0.522852))+0-0-0</f>
        <v>3692.6823079999999</v>
      </c>
      <c r="Y26" s="3">
        <f>4687.8+(417.9-1118.5)+(-9.563112+(-0.852516--2.28174))+0-0-0</f>
        <v>3979.0661120000004</v>
      </c>
      <c r="Z26" s="3">
        <f>5069.4+(517.8-1106.2)+(-2.585394+(-0.264078--0.564162))+0-0-0</f>
        <v>4478.7146899999998</v>
      </c>
      <c r="AA26" s="3">
        <f>5038.6+(520-1056.6)+(-10.278744+(-1.0608--2.155464))+0-0-0</f>
        <v>4492.81592</v>
      </c>
      <c r="AB26" s="3">
        <f>4890.2+(354.2-819.5)+(-4.988004+(-0.361284--0.83589))+0-0-0</f>
        <v>4420.3866019999996</v>
      </c>
      <c r="AC26" s="3">
        <f>4693.9+(278.6-881.3)+(-9.575556+(-0.568344--1.797852))+0-0-0</f>
        <v>4082.8539519999999</v>
      </c>
      <c r="AD26">
        <v>4355.1000000000004</v>
      </c>
      <c r="AE26" s="3">
        <f>5081+(521.8-1247.7)+(0+(0-0))+0-0-0</f>
        <v>4355.1000000000004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4565+(153.1-1121.4)+(0+(0-0))+0-0-0</f>
        <v>3596.7</v>
      </c>
      <c r="G27" s="3">
        <f>4337.2+(205.7-1275.2)+(-11.05986+(-0.524535--3.25176))+0-0-0</f>
        <v>3259.3673649999996</v>
      </c>
      <c r="H27" s="3">
        <f>4319.7+(275.8-1531.7)+(-2.203047+(-0.140658--0.781167))+0-0-0</f>
        <v>3062.2374619999996</v>
      </c>
      <c r="I27" s="3">
        <f>4364+(301.3-1669.3)+(2.22564+(0.153663-0.851343))+0-0-0</f>
        <v>2997.5279599999999</v>
      </c>
      <c r="J27" s="3">
        <f>4393.6+(320.4-1677.4)+(-2.240736+(-0.163404--0.855474))+0-0-0</f>
        <v>3035.0513340000002</v>
      </c>
      <c r="K27" s="3">
        <f>4413.1+(330.6-1621.1)+(2.250681+(0.168606-0.826761))+0.7-0-0</f>
        <v>3124.8925260000001</v>
      </c>
      <c r="L27" s="3">
        <f>4351.2+(387.4-1463.7)+(-11.09556+(-0.98787--3.732435))+2.2-0-0</f>
        <v>3268.7490049999997</v>
      </c>
      <c r="M27" s="3">
        <f>4511.4+(555.6-1323.4)+(4.601628+(0.566712-1.349868))+0-0-0</f>
        <v>3747.4184719999994</v>
      </c>
      <c r="N27" s="3">
        <f>4556.3+(742.1-1045)+(0+(0-0))+0-0-0</f>
        <v>4253.4000000000005</v>
      </c>
      <c r="O27" s="3">
        <f>4626.2+(1013.5-1038.2)+(0+(0-0))+0-0-0</f>
        <v>4601.5</v>
      </c>
      <c r="P27" s="3">
        <f>4755.4+(1169.7-1099.8)+(4.850508+(1.193094-1.121796))+0-0-0</f>
        <v>4830.2218059999996</v>
      </c>
      <c r="Q27" s="3">
        <f>4837+(1063.2-912.5)+(-4.93374+(-1.084464--0.93075))+0-0-0</f>
        <v>4982.6125459999994</v>
      </c>
      <c r="R27" s="3">
        <f>4938.1+(991.8-947.5)+(-2.518431+(-0.505818--0.483225))+0-0-0</f>
        <v>4979.8589760000004</v>
      </c>
      <c r="S27" s="3">
        <f>4917+(1041.1-1148.1)+(0+(0-0))+0-0-0</f>
        <v>4810</v>
      </c>
      <c r="T27" s="3">
        <f>4895+(1138.3-1170.5)+(-2.49645+(-0.580533--0.596955))+0-0-0</f>
        <v>4860.3199720000002</v>
      </c>
      <c r="U27" s="3">
        <f>4875.5+(1177.1-1264.2)+(-7.459515+(-1.800963--1.934226))+0-0-0</f>
        <v>4781.0737479999998</v>
      </c>
      <c r="V27" s="3">
        <f>4929+(1013.6-1246.7)+(-2.51379+(-0.516936--0.635817))+0-0-0</f>
        <v>4693.505091</v>
      </c>
      <c r="W27" s="3">
        <f>4882.4+(1095.3-1422.9)+(-9.960096+(-2.234412--2.902716))+0-0-0</f>
        <v>4545.5082079999993</v>
      </c>
      <c r="X27" s="3">
        <f>4887.2+(1248.4-1647.7)+(-12.46236+(-3.18342--4.201635))+0-0-0</f>
        <v>4476.4558549999992</v>
      </c>
      <c r="Y27" s="3">
        <f>4996.9+(1016.5-1361.8)+(-2.548419+(-0.518415--0.694518))+0-0-0</f>
        <v>4649.2276839999995</v>
      </c>
      <c r="Z27" s="3">
        <f>5106.6+(910.7-988.5)+(-10.417464+(-1.857828--2.01654))+0-0-0</f>
        <v>5018.5412480000005</v>
      </c>
      <c r="AA27" s="3">
        <f>5085.1+(913.5-1086.2)+(-7.780203+(-1.397655--1.661886))+0-0-0</f>
        <v>4904.8840280000004</v>
      </c>
      <c r="AB27" s="3">
        <f>4974.7+(746.7-1070.2)+(-12.685485+(-1.904085--2.72901))+0-0-0</f>
        <v>4639.3394399999997</v>
      </c>
      <c r="AC27" s="3">
        <f>4788.7+(483.3-935.5)+(-9.768948+(-0.985932--1.90842))+0-0-0</f>
        <v>4327.6535400000002</v>
      </c>
      <c r="AD27">
        <v>5044.6000000000004</v>
      </c>
      <c r="AE27" s="3">
        <f>5113+(871.6-940)+(0+(0-0))+0-0-0</f>
        <v>5044.6000000000004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4767.5+(572.2-1439.1)+(-7.294275+(-0.875466--2.201823))+0-0-0</f>
        <v>3894.6320820000005</v>
      </c>
      <c r="G28" s="3">
        <f>4593.5+(655.2-1696.2)+(-4.68537+(-0.668304--1.730124))+0-0-0</f>
        <v>3548.8764500000002</v>
      </c>
      <c r="H28" s="3">
        <f>4384.6+(656.5-1670.4)+(-8.944584+(-1.33926--3.407616))+0-0-0</f>
        <v>3363.8237720000002</v>
      </c>
      <c r="I28" s="3">
        <f>4367.6+(513.8-1606.2)+(-4.454952+(-0.524076--1.638324))+0-0-0</f>
        <v>3271.8592960000001</v>
      </c>
      <c r="J28" s="3">
        <f>4358+(409.8-1519.8)+(-8.89032+(-0.835992--3.100392))+0-0-0</f>
        <v>3241.37408</v>
      </c>
      <c r="K28" s="3">
        <f>4390.3+(465.9-1572)+(0+(0-0))+0-0-0</f>
        <v>3284.2000000000003</v>
      </c>
      <c r="L28" s="3">
        <f>4415.8+(474.8-1466.7)+(-15.764406+(-1.695036--5.236119))+0-0-0</f>
        <v>3411.6766769999999</v>
      </c>
      <c r="M28" s="3">
        <f>4639.7+(514.9-1415)+(0+(0-0))+0-0-0</f>
        <v>3739.6</v>
      </c>
      <c r="N28" s="3">
        <f>4816+(578.5-1127.6)+(4.91232+(0.59007-1.150152))+0-0-0</f>
        <v>4271.252238</v>
      </c>
      <c r="O28" s="3">
        <f>4883.3+(758-1035.3)+(-4.980966+(-0.77316--1.056006))+0-0-0</f>
        <v>4601.30188</v>
      </c>
      <c r="P28" s="3">
        <f>4832.3+(807.9-801.6)+(2.464473+(0.412029-0.408816))+0-0-0</f>
        <v>4841.0676860000003</v>
      </c>
      <c r="Q28" s="3">
        <f>4901.8+(799.3-680.3)+(0+(0-0))+0-0-0</f>
        <v>5020.8</v>
      </c>
      <c r="R28" s="3">
        <f>4892.5+(749.4-686.9)+(-12.475875+(-1.91097--1.751595))+0-0-0</f>
        <v>4942.3647499999997</v>
      </c>
      <c r="S28" s="3">
        <f>4934+(702.7-852.4)+(-10.06536+(-1.433508--1.738896))+0-0-0</f>
        <v>4774.5400280000003</v>
      </c>
      <c r="T28" s="3">
        <f>4996.6+(737.7-880)+(5.096532+(0.752454-0.8976))+0-0-0</f>
        <v>4859.2513859999999</v>
      </c>
      <c r="U28" s="3">
        <f>5034.1+(781.9-1016.7)+(-10.269564+(-1.595076--2.074068))+0-0-0</f>
        <v>4789.5094280000003</v>
      </c>
      <c r="V28" s="3">
        <f>4975+(891.5-1153.3)+(-10.149+(-1.81866--2.352732))+0-0-0</f>
        <v>4703.5850719999999</v>
      </c>
      <c r="W28" s="3">
        <f>4985+(900.9-1292.3)+(-15.2541+(-2.756754--3.954438))+0-0-0</f>
        <v>4579.543584</v>
      </c>
      <c r="X28" s="3">
        <f>4981.5+(765.4-1266.1)+(-10.16226+(-1.561416--2.582844))+0-0-0</f>
        <v>4471.6591680000001</v>
      </c>
      <c r="Y28" s="3">
        <f>5135.2+(645.8-1161.1)+(2.618952+(0.329358-0.592161))+0-0-0</f>
        <v>4622.2561489999998</v>
      </c>
      <c r="Z28" s="3">
        <f>5179.9+(598.6-887.7)+(-13.208745+(-1.52643--2.263635))+0-0-0</f>
        <v>4878.3284599999997</v>
      </c>
      <c r="AA28" s="3">
        <f>5130.6+(720-984.7)+(-13.08303+(-1.836--2.510985))+0-0-0</f>
        <v>4853.4919550000004</v>
      </c>
      <c r="AB28" s="3">
        <f>4996.8+(918.7-1264.1)+(-17.838576+(-3.279759--4.512837))+0-0-0</f>
        <v>4634.7945020000006</v>
      </c>
      <c r="AC28" s="3">
        <f>4836.4+(968.4-1513.8)+(-12.33282+(-2.46942--3.86019))+0-0-0</f>
        <v>4280.0579500000003</v>
      </c>
      <c r="AD28">
        <v>4997.7000000000007</v>
      </c>
      <c r="AE28" s="3">
        <f>5305+(620.1-927.4)+(0+(0-0))+0-0-0</f>
        <v>4997.7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4506.2+(897.6-1683.3)+(-6.894486+(-1.373328--2.575449))+0-0-0</f>
        <v>3714.8076350000001</v>
      </c>
      <c r="G29" s="3">
        <f>4431+(522.1-1447.4)+(-15.81867+(-1.863897--5.167218))+0-0-0</f>
        <v>3493.184651</v>
      </c>
      <c r="H29" s="3">
        <f>4444.4+(571.6-1693.2)+(-6.799932+(-0.874548--2.590596))+0-0-0</f>
        <v>3317.7161159999996</v>
      </c>
      <c r="I29" s="3">
        <f>4258.4+(650.8-1669.4)+(0+(0-0))+0-0-0</f>
        <v>3239.7999999999993</v>
      </c>
      <c r="J29" s="3">
        <f>4202+(636.3-1617.9)+(-8.57208+(-1.298052--3.300516))+0-0-0</f>
        <v>3213.8303839999994</v>
      </c>
      <c r="K29" s="3">
        <f>4194.7+(648.1-1563.9)+(-4.278594+(-0.661062--1.595178))+0-0-0</f>
        <v>3275.5555219999997</v>
      </c>
      <c r="L29" s="3">
        <f>4158.7+(578.7-1342.5)+(-8.483748+(-1.180548--2.7387))+0-0-0</f>
        <v>3387.9744039999996</v>
      </c>
      <c r="M29" s="3">
        <f>4567.2+(617.1-1287.8)+(2.329272+(0.314721-0.656778))+0-0-0</f>
        <v>3898.4872150000001</v>
      </c>
      <c r="N29" s="3">
        <f>4767.5+(794.9-1234.6)+(2.431425+(0.405399-0.629646))+0-0-0</f>
        <v>4330.0071779999998</v>
      </c>
      <c r="O29" s="3">
        <f>4769.8+(1208.4-1307.9)+(-7.297794+(-1.848852--2.001087))+0-0-0</f>
        <v>4663.1544410000006</v>
      </c>
      <c r="P29" s="3">
        <f>4947.7+(1317.3-1323.1)+(-10.093308+(-2.687292--2.699124))+0-0-0</f>
        <v>4931.8185239999993</v>
      </c>
      <c r="Q29" s="3">
        <f>4967+(1106.5-1030.7)+(-2.53317+(-0.564315--0.525657))+0-0-0</f>
        <v>5040.2281720000001</v>
      </c>
      <c r="R29" s="3">
        <f>4969.8+(1098.8-1068.1)+(2.534598+(0.560388-0.544731))+0-0-0</f>
        <v>5003.0502550000001</v>
      </c>
      <c r="S29" s="3">
        <f>4956.5+(1152.9-1272.8)+(-2.527815+(-0.587979--0.649128))+0-0-0</f>
        <v>4834.1333340000001</v>
      </c>
      <c r="T29" s="3">
        <f>4965.3+(1196.4-1265.4)+(-5.064606+(-1.220328--1.290708))+0-0-0</f>
        <v>4891.3057740000004</v>
      </c>
      <c r="U29" s="3">
        <f>4991.3+(1221.5-1332.6)+(-7.636689+(-1.868895--2.038878))+0-0-0</f>
        <v>4872.7332940000006</v>
      </c>
      <c r="V29" s="3">
        <f>4970.9+(1097.6-1287.5)+(-10.140636+(-2.239104--2.6265))+0-0-0</f>
        <v>4771.24676</v>
      </c>
      <c r="W29" s="3">
        <f>4821.8+(991.2-1151.1)+(-4.918236+(-1.011024--1.174122))+0-0-0</f>
        <v>4657.1448620000001</v>
      </c>
      <c r="X29" s="3">
        <f>4736.5+(849.5-1016.8)+(-12.078075+(-2.166225--2.59284))+0-0-0</f>
        <v>4557.5485399999998</v>
      </c>
      <c r="Y29" s="3">
        <f>4910.4+(714.3-951)+(-5.008608+(-0.728586--0.97002))+0-0-0</f>
        <v>4668.9328260000002</v>
      </c>
      <c r="Z29" s="3">
        <f>5200.6+(776.9-928.4)+(-5.304612+(-0.792438--0.946968))+0-0-0</f>
        <v>5043.9499180000003</v>
      </c>
      <c r="AA29" s="3">
        <f>5170.3+(873.9-1089.3)+(-7.910559+(-1.337067--1.666629))+0-0-0</f>
        <v>4947.3190030000005</v>
      </c>
      <c r="AB29" s="3">
        <f>5140.6+(996.3-1461.6)+(-13.10853+(-2.540565--3.72708))+0-0-0</f>
        <v>4663.3779850000001</v>
      </c>
      <c r="AC29" s="3">
        <f>5118.5+(1090.7-1824.4)+(-5.22087+(-1.112514--1.860888))+0-0-0</f>
        <v>4380.3275039999999</v>
      </c>
      <c r="AD29">
        <v>5060.3999999999996</v>
      </c>
      <c r="AE29" s="3">
        <f>5211+(800.2-950.8)+(0+(0-0))+0-0-0</f>
        <v>5060.3999999999996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4989.5+(1100.1-2133.8)+(-12.723225+(-2.805255--5.44119))+0-0-0</f>
        <v>3945.7127099999998</v>
      </c>
      <c r="G30" s="3">
        <f>4899.6+(1050-2321.1)+(-4.997592+(-1.071--2.367522))+0-0-0</f>
        <v>3624.7989300000004</v>
      </c>
      <c r="H30" s="3">
        <f>4507.9+(993.2-2097.9)+(-4.598058+(-1.013064--2.139858))+0-0-0</f>
        <v>3399.728736</v>
      </c>
      <c r="I30" s="3">
        <f>4386+(842.3-1937.4)+(-8.94744+(-1.718292--3.952296))+0-0-0</f>
        <v>3284.1865639999996</v>
      </c>
      <c r="J30" s="3">
        <f>4392.2+(557.7-1687.1)+(-11.20011+(-1.422135--4.302105))+0-0-0</f>
        <v>3254.4798600000004</v>
      </c>
      <c r="K30" s="3">
        <f>4441.6+(509.1-1563.1)+(-2.265216+(-0.259641--0.797181))+0-0-0</f>
        <v>3385.8723240000004</v>
      </c>
      <c r="L30" s="3">
        <f>4407.4+(520.6-1538.7)+(0+(0-0))+0-0-0</f>
        <v>3389.2999999999997</v>
      </c>
      <c r="M30" s="3">
        <f>4535.8+(596.9-1328)+(0+(0-0))+0-0-0</f>
        <v>3804.7000000000003</v>
      </c>
      <c r="N30" s="3">
        <f>4873.9+(954.1-1486.2)+(-7.457067+(-1.459773--2.273886))+0-0-0</f>
        <v>4335.1570459999994</v>
      </c>
      <c r="O30" s="3">
        <f>4944.5+(1141.3-1350)+(-5.04339+(-1.164126--1.377))+0-0-0</f>
        <v>4730.9694840000002</v>
      </c>
      <c r="P30" s="3">
        <f>5009.5+(1212.7-1256.7)+(-2.554845+(-0.618477--0.640917))+0-0-0</f>
        <v>4962.9675950000001</v>
      </c>
      <c r="Q30" s="3">
        <f>5088+(1206-1203.9)+(-7.78464+(-1.84518--1.841967))+0-0-0</f>
        <v>5082.3121470000006</v>
      </c>
      <c r="R30" s="3">
        <f>5179.1+(1246.5-1345.7)+(2.641341+(0.635715-0.686307))+0-0-0</f>
        <v>5082.4907490000005</v>
      </c>
      <c r="S30" s="3">
        <f>5123+(1327.4-1558.1)+(-13.06365+(-3.38487--3.973155))+0-0-0</f>
        <v>4879.8246349999999</v>
      </c>
      <c r="T30" s="3">
        <f>5073.8+(1402.9-1537.6)+(-2.587638+(-0.715479--0.784176))+0-0-0</f>
        <v>4936.5810590000001</v>
      </c>
      <c r="U30" s="3">
        <f>5069.8+(1328.6-1520.6)+(0+(0-0))+0-0-0</f>
        <v>4877.8</v>
      </c>
      <c r="V30" s="3">
        <f>5021.2+(1407.1-1600.1)+(-10.243248+(-2.870484--3.264204))+0-0-0</f>
        <v>4818.3504720000001</v>
      </c>
      <c r="W30" s="3">
        <f>5041.3+(1200.4-1537)+(0+(0-0))+0-0-0</f>
        <v>4704.7000000000007</v>
      </c>
      <c r="X30" s="3">
        <f>4951.3+(1182-1514.7)+(-12.625815+(-3.0141--3.862485))+0-0-0</f>
        <v>4606.8225700000003</v>
      </c>
      <c r="Y30" s="3">
        <f>5010.1+(1048.7-1321.2)+(-2.555151+(-0.534837--0.673812))+0-0-0</f>
        <v>4735.1838240000006</v>
      </c>
      <c r="Z30" s="3">
        <f>5258.8+(1031.6-1192.6)+(-5.363976+(-1.052232--1.216452))+0-0-0</f>
        <v>5092.6002440000002</v>
      </c>
      <c r="AA30" s="3">
        <f>5158.4+(1159.2-1230.6)+(-5.261568+(-1.182384--1.255212))+0-0-0</f>
        <v>5081.8112600000004</v>
      </c>
      <c r="AB30" s="3">
        <f>5020.1+(1193.7-1433.4)+(-12.801255+(-3.043935--3.65517))+0-0-0</f>
        <v>4768.2099800000005</v>
      </c>
      <c r="AC30" s="3">
        <f>4888+(1100.9-1599.8)+(0+(0-0))+0-0-0</f>
        <v>4389.1000000000004</v>
      </c>
      <c r="AD30">
        <v>5077.5999999999995</v>
      </c>
      <c r="AE30" s="3">
        <f>5245.9+(1019.9-1188.2)+(0+(0-0))+0-0-0</f>
        <v>5077.5999999999995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4756.6+(1133.8-2028.5)+(-2.425866+(-0.578238--1.034535))+0-0-0</f>
        <v>3859.9304310000007</v>
      </c>
      <c r="G31" s="3">
        <f>4615.7+(1016.9-2101.5)+(-11.770035+(-2.593095--5.358825))+0-0-0</f>
        <v>3522.095695</v>
      </c>
      <c r="H31" s="3">
        <f>4596.5+(801.8-2064.2)+(-2.344215+(-0.408918--1.052742))+0-0-0</f>
        <v>3332.3996090000005</v>
      </c>
      <c r="I31" s="3">
        <f>4606.3+(684.4-1970.4)+(-2.349213+(-0.349044--1.004904))+0-0-0</f>
        <v>3318.6066470000001</v>
      </c>
      <c r="J31" s="3">
        <f>4446.3+(485-1600.8)+(-4.535226+(-0.4947--1.632816))+0-0-0</f>
        <v>3327.1028900000001</v>
      </c>
      <c r="K31" s="3">
        <f>4429.2+(438-1487.8)+(0+(0-0))+0-0-0</f>
        <v>3379.3999999999996</v>
      </c>
      <c r="L31" s="3">
        <f>4360.4+(402.7-1258.5)+(-11.11902+(-1.026885--3.209175))+0-0-0</f>
        <v>3495.6632699999996</v>
      </c>
      <c r="M31" s="3">
        <f>4425.2+(515.9-1151.7)+(-4.513704+(-0.526218--1.174734))+0-0-0</f>
        <v>3785.5348119999994</v>
      </c>
      <c r="N31" s="3">
        <f>4728.5+(858.2-1228.4)+(4.82307+(0.875364-1.252968))+0-0-0</f>
        <v>4362.7454660000003</v>
      </c>
      <c r="O31" s="3">
        <f>4844.4+(1048.2-1148.4)+(-4.941288+(-1.069164--1.171368))+0-0-0</f>
        <v>4739.3609159999996</v>
      </c>
      <c r="P31" s="3">
        <f>4949.5+(1185.9-1198.6)+(-2.524245+(-0.604809--0.611286))+0-0-0</f>
        <v>4934.2822320000005</v>
      </c>
      <c r="Q31" s="3">
        <f>5117.7+(1185.4-1166.3)+(-2.610027+(-0.604554--0.594813))+0-0-0</f>
        <v>5134.1802320000006</v>
      </c>
      <c r="R31" s="3">
        <f>5222.4+(1153.9-1232.5)+(-7.990272+(-1.765467--1.885725))+0-0-0</f>
        <v>5135.9299859999992</v>
      </c>
      <c r="S31" s="3">
        <f>5216.9+(1124.3-1351.9)+(0+(0-0))+0-0-0</f>
        <v>4989.2999999999993</v>
      </c>
      <c r="T31" s="3">
        <f>5157.6+(1192.1-1409)+(0+(0-0))+0-0-0</f>
        <v>4940.7000000000007</v>
      </c>
      <c r="U31" s="3">
        <f>5241.8+(1269-1541.2)+(-5.346636+(-1.29438--1.572024))+0-0-0</f>
        <v>4964.5310079999999</v>
      </c>
      <c r="V31" s="3">
        <f>5286.5+(1323.6-1621.8)+(0+(0-0))+0-0-0</f>
        <v>4988.3</v>
      </c>
      <c r="W31" s="3">
        <f>5264+(1285-1685.9)+(-16.10784+(-3.9321--5.158854))+0-0-0</f>
        <v>4848.218914</v>
      </c>
      <c r="X31" s="3">
        <f>5166+(1317.1-1628.6)+(-21.07728+(-5.373768--6.644688))+0-0-0</f>
        <v>4834.6936400000004</v>
      </c>
      <c r="Y31" s="3">
        <f>5309+(989.3-1279.6)+(-10.83036+(-2.018172--2.610384))+0-0-0</f>
        <v>5008.4618519999995</v>
      </c>
      <c r="Z31" s="3">
        <f>5504+(975.1-1164.2)+(-19.64928+(-3.481107--4.156194))+0-0-0</f>
        <v>5295.9258069999996</v>
      </c>
      <c r="AA31" s="3">
        <f>5134+(843.8-886)+(-5.23668+(-0.860676--0.90372))+0-0-0</f>
        <v>5086.6063640000002</v>
      </c>
      <c r="AB31" s="3">
        <f>4804+(990.5-981.9)+(-12.2502+(-2.525775--2.503845))+0-0-0</f>
        <v>4800.3278700000001</v>
      </c>
      <c r="AC31" s="3">
        <f>4603+(844.9-988.6)+(0+(0-0))+0-0-0</f>
        <v>4459.3</v>
      </c>
      <c r="AD31">
        <v>5082.8</v>
      </c>
      <c r="AE31" s="3">
        <f>5435+(862.3-1214.5)+(0+(0-0))+0-0-0</f>
        <v>5082.8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4421.5+(772.5-1338.1)+(0+(0-0))+0-0-0</f>
        <v>3855.9</v>
      </c>
      <c r="G32" s="3">
        <f>4401.5+(816.6-1602.4)+(4.48953+(0.832932-1.634448))+0-0-0</f>
        <v>3619.3880139999997</v>
      </c>
      <c r="H32" s="3">
        <f>4369.3+(760.8-1742.8)+(-4.456686+(-0.776016--1.777656))+0-0-0</f>
        <v>3383.8449540000001</v>
      </c>
      <c r="I32" s="3">
        <f>4287.4+(545.1-1557.9)+(-8.746296+(-1.112004--3.178116))+0-0-0</f>
        <v>3267.9198159999996</v>
      </c>
      <c r="J32" s="3">
        <f>4336.4+(411.8-1547.5)+(6.634692+(0.630054-2.367675))+0-0-0</f>
        <v>3205.5970709999997</v>
      </c>
      <c r="K32" s="3">
        <f>4316.4+(367.6-1426.2)+(2.201364+(0.187476-0.727362))+0-0-0</f>
        <v>3259.4614779999997</v>
      </c>
      <c r="L32" s="3">
        <f>4135.7+(356.3-1155.8)+(-4.218414+(-0.363426--1.178916))+0-0-0</f>
        <v>3332.7970759999998</v>
      </c>
      <c r="M32" s="3">
        <f>4198.7+(384.8-1013.2)+(4.282674+(0.392496-1.033464))+0-0-0</f>
        <v>3573.9417059999996</v>
      </c>
      <c r="N32" s="3">
        <f>4427.8+(398.6-677.8)+(2.258178+(0.203286-0.345678))+0-0-0</f>
        <v>4150.7157860000007</v>
      </c>
      <c r="O32" s="3">
        <f>4470.6+(591-496.3)+(4.560012+(0.60282-0.506226))+0-0-0</f>
        <v>4569.9566059999997</v>
      </c>
      <c r="P32" s="3">
        <f>4596.2+(777.5-622.2)+(0+(0-0))+0-0-0</f>
        <v>4751.5</v>
      </c>
      <c r="Q32" s="3">
        <f>4723.1+(783.8-633)+(9.635124+(1.598952-1.29132))+0-0-0</f>
        <v>4883.8427560000009</v>
      </c>
      <c r="R32" s="3">
        <f>4790.1+(618.2-610.2)+(0+(0-0))+0-0-0</f>
        <v>4798.1000000000004</v>
      </c>
      <c r="S32" s="3">
        <f>4891.1+(392.5-675.6)+(-4.988922+(-0.40035--0.689112))+0-0-0</f>
        <v>4603.2998399999997</v>
      </c>
      <c r="T32" s="3">
        <f>4907.3+(383.9-773.9)+(7.508169+(0.587367-1.184067))+0-0-0</f>
        <v>4524.2114689999999</v>
      </c>
      <c r="U32" s="3">
        <f>4772.7+(666.9-1039.8)+(-12.170385+(-1.700595--2.65149))+0-0-0</f>
        <v>4388.5805099999998</v>
      </c>
      <c r="V32" s="3">
        <f>4787.1+(698.3-1008.1)+(0+(0-0))+0-0-0</f>
        <v>4477.3</v>
      </c>
      <c r="W32" s="3">
        <f>4577+(622.9-797.8)+(-16.33989+(-2.223753--2.848146))+0-0-0</f>
        <v>4386.3845030000002</v>
      </c>
      <c r="X32" s="3">
        <f>4548.9+(433.6-641.6)+(-9.279756+(-0.884544--1.308864))+0-0-0</f>
        <v>4332.0445639999998</v>
      </c>
      <c r="Y32" s="3">
        <f>4580.6+(487-595.9)+(-4.672212+(-0.49674--0.607818))+0-0-0</f>
        <v>4467.1388660000011</v>
      </c>
      <c r="Z32" s="3">
        <f>4811.6+(725.2-749.4)+(-12.26958+(-1.84926--1.91097))+0-0-0</f>
        <v>4775.1921300000004</v>
      </c>
      <c r="AA32" s="3">
        <f>4760.7+(745.1-889)+(-16.995699+(-2.660007--3.17373))+0-0-0</f>
        <v>4600.3180240000002</v>
      </c>
      <c r="AB32" s="3">
        <f>4696+(786.5-1089.4)+(-9.57984+(-1.60446--2.222376))+0-0-0</f>
        <v>4384.1380760000002</v>
      </c>
      <c r="AC32" s="3">
        <f>4602.5+(861.9-1350.2)+(-4.69455+(-0.879138--1.377204))+0-0-0</f>
        <v>4110.0035159999998</v>
      </c>
      <c r="AD32">
        <v>4857</v>
      </c>
      <c r="AE32" s="3">
        <f>4879+(786.2-808.2)+(0+(0-0))+0-0-0</f>
        <v>4857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4343.5+(1062.3-1608.6)+(-11.075925+(-2.708865--4.10193))+0-0-0</f>
        <v>3787.5171399999999</v>
      </c>
      <c r="G33" s="3">
        <f>4211.8+(1077.8-1763)+(-10.74009+(-2.74839--4.49565))+0-0-0</f>
        <v>3517.6071700000002</v>
      </c>
      <c r="H33" s="3">
        <f>4222.9+(907.1-1830.8)+(-6.461037+(-1.387863--2.801124))+0-0-0</f>
        <v>3294.1522239999999</v>
      </c>
      <c r="I33" s="3">
        <f>4212.4+(734.4-1715.2)+(-2.148324+(-0.374544--0.874752))+0-0-0</f>
        <v>3229.9518839999996</v>
      </c>
      <c r="J33" s="3">
        <f>4267.3+(602.1-1731.2)+(-4.352646+(-0.614142--1.765824))+0-0-0</f>
        <v>3134.9990360000002</v>
      </c>
      <c r="K33" s="3">
        <f>4339.9+(577.9-1772.9)+(-4.426698+(-0.589458--1.808358))+0-0-0</f>
        <v>3141.6922019999997</v>
      </c>
      <c r="L33" s="3">
        <f>4229.8+(578.3-1745.4)+(-10.78599+(-1.474665--4.45077))+0-0-0</f>
        <v>3054.8901149999997</v>
      </c>
      <c r="M33" s="3">
        <f>4083.4+(643.4-1835.4)+(0+(0-0))+0-0-0</f>
        <v>2891.4</v>
      </c>
      <c r="N33" s="3">
        <f>4217.9+(721.1-1685.2)+(-6.453387+(-1.103283--2.578356))+0-0-0</f>
        <v>3248.8216859999998</v>
      </c>
      <c r="O33" s="3">
        <f>4234+(660.9-1417.9)+(-2.15934+(-0.337059--0.723129))+0-0-0</f>
        <v>3475.2267299999999</v>
      </c>
      <c r="P33" s="3">
        <f>4379.1+(705.2-1323.5)+(-4.466682+(-0.719304--1.34997))+0-0-0</f>
        <v>3756.963984</v>
      </c>
      <c r="Q33" s="3">
        <f>4502.8+(758.1-1269.5)+(0+(0-0))+0-0-0</f>
        <v>3991.4</v>
      </c>
      <c r="R33" s="3">
        <f>4586+(603.7-1213)+(-2.33886+(-0.307887--0.61863))+0-0-0</f>
        <v>3974.671883</v>
      </c>
      <c r="S33" s="3">
        <f>4608.6+(599.2-1344.6)+(-9.401544+(-1.222368--2.742984))+0-0-0</f>
        <v>3855.3190720000007</v>
      </c>
      <c r="T33" s="3">
        <f>4662.1+(658.8-1519.4)+(-2.377671+(-0.335988--0.774894))+0-0-0</f>
        <v>3799.5612350000001</v>
      </c>
      <c r="U33" s="3">
        <f>4641.9+(746.3-1563)+(-7.102107+(-1.141839--2.39139))+0-0-0</f>
        <v>3819.347444</v>
      </c>
      <c r="V33" s="3">
        <f>4409.8+(693.8-1286.5)+(-11.24499+(-1.76919--3.280575))+0-0-0</f>
        <v>3807.3663950000005</v>
      </c>
      <c r="W33" s="3">
        <f>4459.3+(540.8-1139.2)+(-6.822729+(-0.827424--1.742976))+0-0-0</f>
        <v>3854.992823</v>
      </c>
      <c r="X33" s="3">
        <f>4504.5+(477.7-931.2)+(-9.18918+(-0.974508--1.899648))+0-0-0</f>
        <v>4042.73596</v>
      </c>
      <c r="Y33" s="3">
        <f>4851.7+(530.8-1214.5)+(0+(0-0))+0-0-0</f>
        <v>4168</v>
      </c>
      <c r="Z33" s="3">
        <f>5218.3+(707.4-1439.8)+(-10.645332+(-1.443096--2.937192))+0-0-0</f>
        <v>4476.7487640000008</v>
      </c>
      <c r="AA33" s="3">
        <f>5065+(770.7-1328.7)+(0+(0-0))+0-0-0</f>
        <v>4507</v>
      </c>
      <c r="AB33" s="3">
        <f>4722.8+(740.3-1094.8)+(-2.408628+(-0.377553--0.558348))+0-0-0</f>
        <v>4366.0721670000003</v>
      </c>
      <c r="AC33" s="3">
        <f>4479.2+(635.8-1130.4)+(-11.42196+(-1.62129--2.88252))+0-0-0</f>
        <v>3974.4392699999994</v>
      </c>
      <c r="AD33">
        <v>4496.4000000000005</v>
      </c>
      <c r="AE33" s="3">
        <f>5300+(673.1-1476.7)+(0+(0-0))+0-0-0</f>
        <v>4496.3999999999996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4279.4+(642.9-1427.7)+(-2.182494+(-0.327879--0.728127))+0-0-0</f>
        <v>3492.8177539999992</v>
      </c>
      <c r="G34" s="3">
        <f>4265.8+(655.1-1647.5)+(-6.526674+(-1.002303--2.520675))+0-0-0</f>
        <v>3268.3916979999999</v>
      </c>
      <c r="H34" s="3">
        <f>4340.5+(593.5-1784)+(-2.213655+(-0.302685--0.90984))+0-0-0</f>
        <v>3148.3935000000001</v>
      </c>
      <c r="I34" s="3">
        <f>4341.3+(525.5-1788.3)+(-4.428126+(-0.53601--1.824066))+0-0-0</f>
        <v>3075.3599300000001</v>
      </c>
      <c r="J34" s="3">
        <f>4336.2+(431.9-1699.4)+(-6.634386+(-0.660807--2.600082))+0-0-0</f>
        <v>3064.0048889999998</v>
      </c>
      <c r="K34" s="3">
        <f>4351.7+(393.5-1567.1)+(-2.219367+(-0.200685--0.799221))+0-0-0</f>
        <v>3176.4791689999997</v>
      </c>
      <c r="L34" s="3">
        <f>4340.4+(305.9-1295.1)+(-6.640812+(-0.468027--1.981503))+0-0-0</f>
        <v>3346.0726639999998</v>
      </c>
      <c r="M34" s="3">
        <f>4563.6+(402.6-1256.7)+(6.982308+(0.615978-1.922751))+0-0-0</f>
        <v>3715.1755350000003</v>
      </c>
      <c r="N34" s="3">
        <f>4999.2+(856.5-1524.3)+(2.549592+(0.436815-0.777393))+0-0-0</f>
        <v>4333.6090139999997</v>
      </c>
      <c r="O34" s="3">
        <f>5149.2+(1053-1454.3)+(0+(0-0))+0-0-0</f>
        <v>4747.8999999999996</v>
      </c>
      <c r="P34" s="3">
        <f>5195+(1024.9-1377.8)+(-2.64945+(-0.522699--0.702678))+0-0-0</f>
        <v>4839.630529</v>
      </c>
      <c r="Q34" s="3">
        <f>5325.3+(1250.8-1446.8)+(2.715903+(0.637908-0.737868))+0-0-0</f>
        <v>5131.915943</v>
      </c>
      <c r="R34" s="3">
        <f>5328.7+(1272.2-1516.9)+(-2.717637+(-0.648822--0.773619))+0-0-0</f>
        <v>5081.4071599999997</v>
      </c>
      <c r="S34" s="3">
        <f>5308.3+(1333.8-1641.6)+(0+(0-0))+0-0-0</f>
        <v>5000.5</v>
      </c>
      <c r="T34" s="3">
        <f>5292.7+(1400.5-1587.4)+(0+(0-0))+0-0-0</f>
        <v>5105.7999999999993</v>
      </c>
      <c r="U34" s="3">
        <f>5259.4+(1403.8-1639.7)+(-10.729176+(-2.863752--3.344988))+0-0-0</f>
        <v>5013.2520599999998</v>
      </c>
      <c r="V34" s="3">
        <f>5252.3+(1484.4-1774)+(-10.714692+(-3.028176--3.61896))+0-0-0</f>
        <v>4952.5760920000012</v>
      </c>
      <c r="W34" s="3">
        <f>5247.1+(1466.6-1835.1)+(-10.704084+(-2.991864--3.743604))+0-0-0</f>
        <v>4868.6476560000001</v>
      </c>
      <c r="X34" s="3">
        <f>5264.5+(1441.6-1948.1)+(-8.054685+(-2.205648--2.980593))+0-0-0</f>
        <v>4750.7202600000001</v>
      </c>
      <c r="Y34" s="3">
        <f>5449.6+(1406-1964.2)+(0+(0-0))+0-0-0</f>
        <v>4891.4000000000005</v>
      </c>
      <c r="Z34" s="3">
        <f>5641.3+(1293.7-1810.9)+(-14.385315+(-3.298935--4.617795))+0-0-0</f>
        <v>5111.0335450000002</v>
      </c>
      <c r="AA34" s="3">
        <f>5542.8+(1411.5-1987.1)+(-14.13414+(-3.599325--5.067105))+0-0-0</f>
        <v>4954.5336400000006</v>
      </c>
      <c r="AB34" s="3">
        <f>5466.1+(1433.5-2226.6)+(-5.575422+(-1.46217--2.271132))+0-0-0</f>
        <v>4668.2335400000002</v>
      </c>
      <c r="AC34" s="3">
        <f>5426.5+(1441.7-2487.2)+(-5.53503+(-1.470534--2.536944))+0-0-0</f>
        <v>4376.5313800000004</v>
      </c>
      <c r="AD34">
        <v>5129.8</v>
      </c>
      <c r="AE34" s="3">
        <f>5650.7+(1344.9-1865.8)+(0+(0-0))+0-0-0</f>
        <v>5129.8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5221.4+(1258.9-2498.5)+(-5.325828+(-1.284078--2.54847))+0-0-0</f>
        <v>3977.7385639999998</v>
      </c>
      <c r="G35" s="3">
        <f>5099.6+(901.1-2391.7)+(-5.201592+(-0.919122--2.439534))+0-0-0</f>
        <v>3605.3188200000004</v>
      </c>
      <c r="H35" s="3">
        <f>5032.3+(726.8-2340.4)+(-5.132946+(-0.741336--2.387208))+0-0-0</f>
        <v>3415.2129259999997</v>
      </c>
      <c r="I35" s="3">
        <f>4918.2+(646.3-2248.9)+(-7.524846+(-0.988839--3.440817))+0-0-0</f>
        <v>3310.5271319999993</v>
      </c>
      <c r="J35" s="3">
        <f>4912.5+(609.1-2217.2)+(-12.526875+(-1.553205--5.65386))+0-0-0</f>
        <v>3295.9737800000003</v>
      </c>
      <c r="K35" s="3">
        <f>4935.9+(603.5-2166.6)+(-12.586545+(-1.538925--5.52483))+0-0-0</f>
        <v>3364.1993599999996</v>
      </c>
      <c r="L35" s="3">
        <f>4885.1+(564.6-1913.9)+(-14.948406+(-1.727676--5.856534))+0-0-0</f>
        <v>3524.9804520000002</v>
      </c>
      <c r="M35" s="3">
        <f>4889.2+(639.3-1635.1)+(0+(0-0))+0-0-0</f>
        <v>3893.3999999999996</v>
      </c>
      <c r="N35" s="3">
        <f>5090.8+(939.3-1493)+(0+(0-0))+0-0-0</f>
        <v>4537.1000000000004</v>
      </c>
      <c r="O35" s="3">
        <f>5162.3+(961.1-1364.4)+(0+(0-0))+0-0-0</f>
        <v>4759</v>
      </c>
      <c r="P35" s="3">
        <f>5327.1+(928.1-1209.9)+(0+(0-0))+0-0-0</f>
        <v>5045.3</v>
      </c>
      <c r="Q35" s="3">
        <f>5370.2+(898.1-1135)+(-8.216406+(-1.374093--1.73655))+0-0-0</f>
        <v>5125.4460509999999</v>
      </c>
      <c r="R35" s="3">
        <f>5260.4+(1011.2-1119.7)+(-13.41402+(-2.57856--2.855235))+0-0-0</f>
        <v>5138.7626549999995</v>
      </c>
      <c r="S35" s="3">
        <f>5120+(1137.5-1285.6)+(2.6112+(0.580125-0.655656))+0-0-0</f>
        <v>4974.4356689999995</v>
      </c>
      <c r="T35" s="3">
        <f>5131.8+(1275.5-1310.8)+(-7.851654+(-1.951515--2.005524))+0-0-0</f>
        <v>5088.7023550000004</v>
      </c>
      <c r="U35" s="3">
        <f>5077.3+(1302.6-1334.3)+(-10.357692+(-2.657304--2.721972))+0-0-0</f>
        <v>5035.3069760000008</v>
      </c>
      <c r="V35" s="3">
        <f>5069.9+(1156.8-1210.5)+(-12.928245+(-2.94984--3.086775))+0-0-0</f>
        <v>5003.4086900000002</v>
      </c>
      <c r="W35" s="3">
        <f>4981.9+(972.4-1037.7)+(-10.163076+(-1.983696--2.116908))+0-0-0</f>
        <v>4906.5701359999994</v>
      </c>
      <c r="X35" s="3">
        <f>4607.6+(810.3-606.5)+(-9.399504+(-1.653012--1.23726))+0-0-0</f>
        <v>4801.5847440000007</v>
      </c>
      <c r="Y35" s="3">
        <f>4551.5+(704.9-489.8)+(-9.28506+(-1.437996--0.999192))+0-0-0</f>
        <v>4756.8761360000008</v>
      </c>
      <c r="Z35" s="3">
        <f>4973.2+(700.9-536.8)+(-7.608996+(-1.072377--0.821304))+0-0-0</f>
        <v>5129.4399309999999</v>
      </c>
      <c r="AA35" s="3">
        <f>4873.9+(673.5-539.2)+(-12.428445+(-1.717425--1.37496))+0-0-0</f>
        <v>4995.4290899999996</v>
      </c>
      <c r="AB35" s="3">
        <f>4809.9+(793.6-1001.7)+(-17.171343+(-2.833152--3.576069))+0-0-0</f>
        <v>4585.3715739999989</v>
      </c>
      <c r="AC35" s="3">
        <f>4856.1+(947.9-1415.1)+(-4.953222+(-0.966858--1.443402))+0-0-0</f>
        <v>4384.4233220000006</v>
      </c>
      <c r="AD35">
        <v>5154.0999999999995</v>
      </c>
      <c r="AE35" s="3">
        <f>4979+(701.7-526.6)+(0+(0-0))+0-0-0</f>
        <v>5154.1000000000004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4741.7+(827.2-1681.3)+(-2.418267+(-0.421872--0.857463))+0-0-0</f>
        <v>3885.6173239999998</v>
      </c>
      <c r="G36" s="3">
        <f>4505.1+(638.5-1631.3)+(-6.892803+(-0.976905--2.495889))+0-0-0</f>
        <v>3506.9261810000003</v>
      </c>
      <c r="H36" s="3">
        <f>4432.2+(626-1704.4)+(-9.041688+(-1.27704--3.476976))+0-0-0</f>
        <v>3346.9582479999999</v>
      </c>
      <c r="I36" s="3">
        <f>4449.1+(615.6-1812.8)+(6.807123+(0.941868-2.773584))+0-0-0</f>
        <v>3256.8754070000005</v>
      </c>
      <c r="J36" s="3">
        <f>4430.8+(616.8-1784.2)+(-4.519416+(-0.629136--1.819884))+0-0-0</f>
        <v>3260.071332</v>
      </c>
      <c r="K36" s="3">
        <f>4332.9+(516.5-1512.6)+(-6.629337+(-0.790245--2.314278))+0-0-0</f>
        <v>3331.6946959999996</v>
      </c>
      <c r="L36" s="3">
        <f>4273.2+(482.6-1349.6)+(-6.537996+(-0.738378--2.064888))+0-0-0</f>
        <v>3400.9885139999997</v>
      </c>
      <c r="M36" s="3">
        <f>4518.5+(441.3-1117.1)+(-2.304435+(-0.225063--0.569721))+0-0-0</f>
        <v>3840.7402229999998</v>
      </c>
      <c r="N36" s="3">
        <f>4949.5+(589.8-1079.2)+(-2.524245+(-0.300798--0.550392))+0-0-0</f>
        <v>4457.8253490000006</v>
      </c>
      <c r="O36" s="3">
        <f>5066.2+(653.3-944)+(-5.167524+(-0.666366--0.96288))+0-0-0</f>
        <v>4770.6289900000002</v>
      </c>
      <c r="P36" s="3">
        <f>5306.3+(640.4-904)+(-5.412426+(-0.653208--0.92208))+0-0-0</f>
        <v>5037.5564459999996</v>
      </c>
      <c r="Q36" s="3">
        <f>5284.7+(631.8-822.5)+(-8.085591+(-0.966654--1.258425))+0-0-0</f>
        <v>5086.2061800000001</v>
      </c>
      <c r="R36" s="3">
        <f>5334+(713-922.1)+(-13.6017+(-1.81815--2.351355))+0-0-0</f>
        <v>5111.8315049999992</v>
      </c>
      <c r="S36" s="3">
        <f>5349.1+(686.2-1078.7)+(-5.456082+(-0.699924--1.100274))+0-0-0</f>
        <v>4951.5442680000006</v>
      </c>
      <c r="T36" s="3">
        <f>5327.3+(727.2-1027.3)+(-5.433846+(-0.741744--1.047846))+0-0-0</f>
        <v>5022.0722560000004</v>
      </c>
      <c r="U36" s="3">
        <f>5338+(728.2-1067.7)+(-10.88952+(-1.485528--2.178108))+3.3-0-0</f>
        <v>4991.6030600000004</v>
      </c>
      <c r="V36" s="3">
        <f>5395.7+(458.3-966.9)+(-8.255421+(-0.701199--1.479357))+0-0-0</f>
        <v>4879.6227369999997</v>
      </c>
      <c r="W36" s="3">
        <f>5151.7+(332.5-835.4)+(-5.254734+(-0.33915--0.852108))+0-0-0</f>
        <v>4644.0582240000003</v>
      </c>
      <c r="X36" s="3">
        <f>5003.7+(315.2-746.1)+(-10.207548+(-0.643008--1.522044))+0-0-0</f>
        <v>4563.4714880000001</v>
      </c>
      <c r="Y36" s="3">
        <f>5119.9+(321.9-694.5)+(-5.222298+(-0.328338--0.70839))+0-0-0</f>
        <v>4742.4577539999991</v>
      </c>
      <c r="Z36" s="3">
        <f>5983.7+(224.5-1151.1)+(-6.103374+(-0.22899--1.174122))+0-0-0</f>
        <v>5051.9417579999999</v>
      </c>
      <c r="AA36" s="3">
        <f>5888.2+(183-1147.5)+(-15.01491+(-0.46665--2.926125))+0-0-0</f>
        <v>4911.1445649999996</v>
      </c>
      <c r="AB36" s="3">
        <f>5575.9+(187.4-1078.9)+(-8.531127+(-0.286722--1.650717))+0-0-0</f>
        <v>4677.2328680000001</v>
      </c>
      <c r="AC36" s="3">
        <f>4978.3+(283.3-966.4)+(-2.538933+(-0.144483--0.492864))+0-0-0</f>
        <v>4293.0094480000007</v>
      </c>
      <c r="AD36">
        <v>5056.1000000000004</v>
      </c>
      <c r="AE36" s="3">
        <f>6051+(189.6-1184.5)+(0+(0-0))+0-0-0</f>
        <v>5056.1000000000004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4742+(362.4-1322.8)+(-4.83684+(-0.369648--1.349256))+0-0-0</f>
        <v>3777.7427680000001</v>
      </c>
      <c r="G37" s="3">
        <f>4656.6+(364.1-1489.3)+(-9.499464+(-0.742764--3.038172))+0-0-0</f>
        <v>3524.1959440000005</v>
      </c>
      <c r="H37" s="3">
        <f>4599.2+(285.7-1595.4)+(0+(0-0))+0-0-0</f>
        <v>3289.5</v>
      </c>
      <c r="I37" s="3">
        <f>4578.4+(309.1-1656.3)+(-9.339936+(-0.630564--3.378852))+0-0-0</f>
        <v>3224.6083519999997</v>
      </c>
      <c r="J37" s="3">
        <f>4618.7+(338.5-1722.4)+(2.355537+(0.172635-0.878424))+0-0-0</f>
        <v>3236.4497479999995</v>
      </c>
      <c r="K37" s="3">
        <f>4612.9+(324.9-1643.9)+(0+(0-0))+0-0-0</f>
        <v>3293.8999999999996</v>
      </c>
      <c r="L37" s="3">
        <f>4542.8+(309.7-1498.1)+(-6.950484+(-0.473841--2.292093))+0-0-0</f>
        <v>3349.2677680000006</v>
      </c>
      <c r="M37" s="3">
        <f>4858.7+(304.7-1404.2)+(0+(0-0))+0-0-0</f>
        <v>3759.2</v>
      </c>
      <c r="N37" s="3">
        <f>5071.4+(579.8-1438.2)+(-5.172828+(-0.591396--1.466964))+0-0-0</f>
        <v>4208.7027399999997</v>
      </c>
      <c r="O37" s="3">
        <f>5264.3+(728.1-1241.8)+(5.369586+(0.742662-1.266636))+0-0-0</f>
        <v>4755.4456120000004</v>
      </c>
      <c r="P37" s="3">
        <f>5179.5+(679.9-932.5)+(-5.28309+(-0.693498--0.95115))+0-0-0</f>
        <v>4921.874562</v>
      </c>
      <c r="Q37" s="3">
        <f>5159.7+(846.4-948.9)+(-2.631447+(-0.431664--0.483939))+0-0-0</f>
        <v>5054.6208280000001</v>
      </c>
      <c r="R37" s="3">
        <f>5311.1+(1047.3-1215.5)+(-2.708661+(-0.534123--0.619905))+0-0-0</f>
        <v>5140.277121000001</v>
      </c>
      <c r="S37" s="3">
        <f>5293.6+(964.5-1308.3)+(-2.699736+(-0.491895--0.667233))+0-0-0</f>
        <v>4947.2756020000006</v>
      </c>
      <c r="T37" s="3">
        <f>5303.2+(1005.4-1263.5)+(5.409264+(1.025508-1.28877))+0-0-0</f>
        <v>5050.2460019999999</v>
      </c>
      <c r="U37" s="3">
        <f>5189.5+(1019.3-1249.1)+(5.29329+(1.039686-1.274082))+0-0-0</f>
        <v>4964.7588939999996</v>
      </c>
      <c r="V37" s="3">
        <f>5078.6+(946.9-1128.9)+(-10.360344+(-1.931676--2.302956))+0-0-0</f>
        <v>4886.610936</v>
      </c>
      <c r="W37" s="3">
        <f>5107.7+(834.6-1141.8)+(-7.814781+(-1.276938--1.746954))+0-0-0</f>
        <v>4793.1552350000002</v>
      </c>
      <c r="X37" s="3">
        <f>5062+(720.7-868.3)+(-12.9081+(-1.837785--2.214165))+0-0-0</f>
        <v>4901.8682799999997</v>
      </c>
      <c r="Y37" s="3">
        <f>5054.9+(620.8-912.4)+(-2.577999+(-0.316608--0.465324))+0-0-0</f>
        <v>4760.8707169999989</v>
      </c>
      <c r="Z37" s="3">
        <f>5470.7+(528.8-802.4)+(-2.790057+(-0.269688--0.409224))+0-0-0</f>
        <v>5194.4494789999999</v>
      </c>
      <c r="AA37" s="3">
        <f>5341.2+(557.7-954.1)+(-13.62006+(-1.422135--2.432955))+0-0-0</f>
        <v>4932.1907600000004</v>
      </c>
      <c r="AB37" s="3">
        <f>5201.5+(546.8-1160)+(-5.30553+(-0.557736--1.1832))+0-0-0</f>
        <v>4583.6199340000003</v>
      </c>
      <c r="AC37" s="3">
        <f>4915.4+(535.8-1174.4)+(-10.027416+(-1.093032--2.395776))+0-0-0</f>
        <v>4268.075327999999</v>
      </c>
      <c r="AD37">
        <v>5069.2</v>
      </c>
      <c r="AE37" s="3">
        <f>5513+(533.9-864.7)+(0+(0-0))+0-0-0</f>
        <v>5182.2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4740.4+(482.7-1415.2)+(-4.835208+(-0.492354--1.443504))+0-0-0</f>
        <v>3804.0159419999995</v>
      </c>
      <c r="G38" s="3">
        <f>4530.3+(354.3-1438.8)+(-11.552265+(-0.903465--3.66894))+0-0-0</f>
        <v>3437.0132100000001</v>
      </c>
      <c r="H38" s="3">
        <f>4512.6+(445.6-1673.2)+(-6.904278+(-0.681768--2.559996))+0-0-0</f>
        <v>3279.9739500000005</v>
      </c>
      <c r="I38" s="3">
        <f>4390.1+(488.8-1666.6)+(-4.477902+(-0.498576--1.699932))+0-0-0</f>
        <v>3209.0234540000001</v>
      </c>
      <c r="J38" s="3">
        <f>4279.8+(495.5-1597.3)+(-2.182698+(-0.252705--0.814623))+0-0-0</f>
        <v>3176.3792199999998</v>
      </c>
      <c r="K38" s="3">
        <f>4274.7+(473.2-1539.5)+(-4.360194+(-0.482664--1.57029))+0-0-0</f>
        <v>3205.1274319999998</v>
      </c>
      <c r="L38" s="3">
        <f>4291.3+(424.5-1397.4)+(-10.942815+(-1.082475--3.56337))+0-0-0</f>
        <v>3309.9380799999999</v>
      </c>
      <c r="M38" s="3">
        <f>4485.9+(487.9-1315.8)+(-2.287809+(-0.248829--0.671058))+0-0-0</f>
        <v>3656.1344199999994</v>
      </c>
      <c r="N38" s="3">
        <f>4945.8+(864.4-1643.6)+(-7.567074+(-1.322532--2.514708))+0-0-0</f>
        <v>4160.2251020000003</v>
      </c>
      <c r="O38" s="3">
        <f>5053.1+(833.5-1373.1)+(-2.577081+(-0.425085--0.700281))+0-0-0</f>
        <v>4511.1981150000001</v>
      </c>
      <c r="P38" s="3">
        <f>5020.8+(707.7-967.7)+(-2.560608+(-0.360927--0.493527))+0-0-0</f>
        <v>4758.3719920000003</v>
      </c>
      <c r="Q38" s="3">
        <f>4977.3+(792-860.3)+(-12.692115+(-2.0196--2.193765))+0-0-0</f>
        <v>4896.4820499999996</v>
      </c>
      <c r="R38" s="3">
        <f>5107.2+(917.8-1077.7)+(-5.209344+(-0.936156--1.099254))+0-0-0</f>
        <v>4942.2537539999994</v>
      </c>
      <c r="S38" s="3">
        <f>5115.8+(938.5-1284.5)+(-2.609058+(-0.478635--0.655095))+0-0-0</f>
        <v>4767.3674019999999</v>
      </c>
      <c r="T38" s="3">
        <f>5142.4+(1061.2-1335.5)+(-2.622624+(-0.541212--0.681105))+0-0-0</f>
        <v>4865.6172689999994</v>
      </c>
      <c r="U38" s="3">
        <f>5116.2+(1058.8-1357.4)+(-13.04631+(-2.69994--3.46137))+0-0-0</f>
        <v>4805.3151199999993</v>
      </c>
      <c r="V38" s="3">
        <f>5076.1+(1045.7-1429)+(-2.588811+(-0.533307--0.72879))+0-0-0</f>
        <v>4690.4066720000001</v>
      </c>
      <c r="W38" s="3">
        <f>5103.6+(972.2-1478)+(-13.01418+(-2.47911--3.7689))+0-0-0</f>
        <v>4586.0756099999999</v>
      </c>
      <c r="X38" s="3">
        <f>4959.6+(773.9-1241)+(-7.588188+(-1.184067--1.89873))+0-0-0</f>
        <v>4485.626475</v>
      </c>
      <c r="Y38" s="3">
        <f>5069.5+(643.9-1168.3)+(-10.34178+(-1.313556--2.383332))+0-0-0</f>
        <v>4535.827996</v>
      </c>
      <c r="Z38" s="3">
        <f>5310.4+(588.2-964)+(-5.416608+(-0.599964--0.98328))+0-0-0</f>
        <v>4929.5667079999994</v>
      </c>
      <c r="AA38" s="3">
        <f>5296.7+(488.9-936.6)+(-10.805268+(-0.997356--1.910664))+0-0-0</f>
        <v>4839.1080400000001</v>
      </c>
      <c r="AB38" s="3">
        <f>5212.4+(467.6-1121.6)+(-13.29162+(-1.19238--2.86008))+0-0-0</f>
        <v>4546.7760799999996</v>
      </c>
      <c r="AC38" s="3">
        <f>5077.6+(305.5-1118.2)+(-7.768728+(-0.467415--1.710846))+0-0-0</f>
        <v>4258.3747030000004</v>
      </c>
      <c r="AD38">
        <v>4956.7</v>
      </c>
      <c r="AE38" s="3">
        <f>5337+(548.3-928.6)+(0+(0-0))+0-0-0</f>
        <v>4956.7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5024.8+(359.7-1537.4)+(-10.250592+(-0.733788--3.136296))+0-0-0</f>
        <v>3839.2519160000002</v>
      </c>
      <c r="G39" s="3">
        <f>4868.2+(482.5-1859.2)+(-17.379474+(-1.722525--6.637344))+0-0-0</f>
        <v>3479.0353449999998</v>
      </c>
      <c r="H39" s="3">
        <f>4751.6+(579.8-2035.5)+(-19.386528+(-2.365584--8.30484))+0-0-0</f>
        <v>3282.4527280000007</v>
      </c>
      <c r="I39" s="3">
        <f>4713.4+(333.1-1836.1)+(2.403834+(0.169881-0.936411))+0-0-0</f>
        <v>3212.0373039999995</v>
      </c>
      <c r="J39" s="3">
        <f>4552.9+(295.3-1742.7)+(-9.287916+(-0.602412--3.555108))+0-0-0</f>
        <v>3099.1647799999996</v>
      </c>
      <c r="K39" s="3">
        <f>4386.6+(343.1-1560.6)+(-4.474332+(-0.349962--1.591812))+0-0-0</f>
        <v>3165.8675180000005</v>
      </c>
      <c r="L39" s="3">
        <f>4306.8+(371.9-1417.1)+(-4.392936+(-0.379338--1.445442))+0-0-0</f>
        <v>3258.2731680000002</v>
      </c>
      <c r="M39" s="3">
        <f>4568.6+(359.6-1367.4)+(-2.329986+(-0.183396--0.697374))+0-0-0</f>
        <v>3558.9839920000004</v>
      </c>
      <c r="N39" s="3">
        <f>5144.2+(517.6-1610.9)+(-5.247084+(-0.527952--1.643118))+0-0-0</f>
        <v>4046.7680819999996</v>
      </c>
      <c r="O39" s="3">
        <f>5131.8+(774-1453.2)+(-2.617218+(-0.39474--0.741132))+0-0-0</f>
        <v>4450.3291740000004</v>
      </c>
      <c r="P39" s="3">
        <f>5045.3+(781-1104.4)+(-7.719309+(-1.19493--1.689732))+0-0-0</f>
        <v>4714.6754929999997</v>
      </c>
      <c r="Q39" s="3">
        <f>5052.3+(812.1-992.6)+(0+(0-0))+0-0-0</f>
        <v>4871.8</v>
      </c>
      <c r="R39" s="3">
        <f>5050.4+(797.9-1029.1)+(-15.454224+(-2.441574--3.149046))+0-0-0</f>
        <v>4804.4532479999998</v>
      </c>
      <c r="S39" s="3">
        <f>5199.2+(686.7-1277.1)+(2.651592+(0.350217-0.651321))+0-0-0</f>
        <v>4611.1504880000002</v>
      </c>
      <c r="T39" s="3">
        <f>5184.1+(792.5-1442.7)+(0+(0-0))+0-0-0</f>
        <v>4533.9000000000005</v>
      </c>
      <c r="U39" s="3">
        <f>5072.5+(675.5-1337.5)+(-7.760925+(-1.033515--2.046375))+0-0-0</f>
        <v>4403.7519350000002</v>
      </c>
      <c r="V39" s="3">
        <f>4850.7+(616.2-1160.4)+(-7.421571+(-0.942786--1.775412))+0-0-0</f>
        <v>4299.9110549999996</v>
      </c>
      <c r="W39" s="3">
        <f>4666.2+(645.5-1075.6)+(-7.139286+(-0.987615--1.645668))+0-0-0</f>
        <v>4229.6187669999999</v>
      </c>
      <c r="X39" s="3">
        <f>4566+(481.6-850)+(-13.97196+(-1.473696--2.601))+0-0-0</f>
        <v>4184.7553440000002</v>
      </c>
      <c r="Y39" s="3">
        <f>4776+(361.9-847.2)+(-9.74304+(-0.738276--1.728288))+0-0-0</f>
        <v>4281.9469719999997</v>
      </c>
      <c r="Z39" s="3">
        <f>5437.7+(452.7-1151.5)+(-11.092908+(-0.923508--2.34906))+0-0-0</f>
        <v>4729.2326439999997</v>
      </c>
      <c r="AA39" s="3">
        <f>5484.1+(518.3-1310.4)+(-8.390673+(-0.792999--2.004912))+0-0-0</f>
        <v>4684.8212400000002</v>
      </c>
      <c r="AB39" s="3">
        <f>5378.3+(557.1-1445.6)+(-10.971732+(-1.136484--2.949024))+0-0-0</f>
        <v>4480.6408080000001</v>
      </c>
      <c r="AC39" s="3">
        <f>4960.1+(522.8-1241.5)+(-7.588953+(-0.799884--1.899495))+0-0-0</f>
        <v>4234.9106580000007</v>
      </c>
      <c r="AD39">
        <v>4817.0999999999995</v>
      </c>
      <c r="AE39" s="3">
        <f>5532+(422.4-1137.3)+(0+(0-0))+0-0-0</f>
        <v>4817.1000000000004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4705.9+(453.2-1328.2)+(-4.800018+(-0.462264--1.354764))+0-0-0</f>
        <v>3826.9924819999997</v>
      </c>
      <c r="G40" s="3">
        <f>4585.1+(355.1-1501.8)+(-11.692005+(-0.905505--3.82959))+0-0-0</f>
        <v>3429.6320800000008</v>
      </c>
      <c r="H40" s="3">
        <f>4529+(384.6-1637.8)+(-6.92937+(-0.588438--2.505834))+0-0-0</f>
        <v>3270.7880260000002</v>
      </c>
      <c r="I40" s="3">
        <f>4414.9+(327.5-1584.4)+(-2.251599+(-0.167025--0.808044))+0-0-0</f>
        <v>3156.3894199999995</v>
      </c>
      <c r="J40" s="3">
        <f>4275.2+(324.3-1470.2)+(-13.082112+(-0.992358--4.498812))+0-0-0</f>
        <v>3119.7243419999995</v>
      </c>
      <c r="K40" s="3">
        <f>4236.4+(353.1-1485.9)+(-8.642256+(-0.720324--3.031236))+0-0-0</f>
        <v>3097.2686559999993</v>
      </c>
      <c r="L40" s="3">
        <f>3948+(427.3-1446.2)+(-6.04044+(-0.653769--2.212686))+0-0-0</f>
        <v>2924.618477</v>
      </c>
      <c r="M40" s="3">
        <f>3704.4+(444.4-1281.7)+(-1.889244+(-0.226644--0.653667))+0-0-0</f>
        <v>2865.6377789999997</v>
      </c>
      <c r="N40" s="3">
        <f>3918.2+(578.7-1277.1)+(-3.996564+(-0.590274--1.302642))+0-0-0</f>
        <v>3216.5158040000001</v>
      </c>
      <c r="O40" s="3">
        <f>4166.4+(736.7-1573.4)+(0+(0-0))+0-0-0</f>
        <v>3329.7</v>
      </c>
      <c r="P40" s="3">
        <f>4369.2+(712.6-1334.7)+(-6.684876+(-1.090278--2.042091))+0-0-0</f>
        <v>3741.3669369999998</v>
      </c>
      <c r="Q40" s="3">
        <f>4384.7+(892-1353.5)+(-6.708591+(-1.36476--2.070855))+0-0-0</f>
        <v>3917.1975039999998</v>
      </c>
      <c r="R40" s="3">
        <f>4379+(900.5-1355.6)+(-4.46658+(-0.91851--1.382712))+0-0-0</f>
        <v>3919.897622</v>
      </c>
      <c r="S40" s="3">
        <f>4366.6+(982.4-1499.9)+(-8.907864+(-2.004096--3.059796))+0-0-0</f>
        <v>3841.2478360000005</v>
      </c>
      <c r="T40" s="3">
        <f>4464.3+(1227.3-1925.8)+(-4.553586+(-1.251846--1.964316))+0-0-0</f>
        <v>3761.9588840000001</v>
      </c>
      <c r="U40" s="3">
        <f>4512.9+(1227.4-2033.9)+(-6.904737+(-1.877922--3.111867))+0-0-0</f>
        <v>3700.7292079999997</v>
      </c>
      <c r="V40" s="3">
        <f>4493.6+(1157.2-1972.5)+(-4.583472+(-1.180344--2.01195))+0-0-0</f>
        <v>3674.5481340000001</v>
      </c>
      <c r="W40" s="3">
        <f>4496.9+(976.9-1760.2)+(-11.467095+(-2.491095--4.48851))+0-0-0</f>
        <v>3704.1303199999993</v>
      </c>
      <c r="X40" s="3">
        <f>4509.2+(894.8-1639.4)+(-9.198768+(-1.825392--3.344376))+0-0-0</f>
        <v>3756.9202159999995</v>
      </c>
      <c r="Y40" s="3">
        <f>4749.1+(826.2-1663.4)+(-7.266123+(-1.264086--2.545002))+0-0-0</f>
        <v>3905.9147930000004</v>
      </c>
      <c r="Z40" s="3">
        <f>5017.7+(552.6-1155.3)+(-10.236108+(-1.127304--2.356812))+0-0-0</f>
        <v>4405.9934000000003</v>
      </c>
      <c r="AA40" s="3">
        <f>4980.1+(604.6-1172.5)+(-5.079702+(-0.616692--1.19595))+0-0-0</f>
        <v>4407.6995560000005</v>
      </c>
      <c r="AB40" s="3">
        <f>4857.1+(680.4-1279.6)+(-7.431363+(-1.041012--1.957788))+0-0-0</f>
        <v>4251.3854130000009</v>
      </c>
      <c r="AC40" s="3">
        <f>4664.2+(534.9-1211.5)+(-2.378742+(-0.272799--0.617865))+0-0-0</f>
        <v>3985.5663239999999</v>
      </c>
      <c r="AD40">
        <v>4475.5</v>
      </c>
      <c r="AE40" s="3">
        <f>5039+(493-1056.5)+(0+(0-0))+0-0-0</f>
        <v>4475.5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4660.5+(526.5-1609.6)+(-4.75371+(-0.53703--1.641792))+0-0-0</f>
        <v>3573.7510520000001</v>
      </c>
      <c r="G41" s="3">
        <f>4694.5+(574.8-2022.7)+(-9.57678+(-1.172592--4.126308))+0-0-0</f>
        <v>3239.976936</v>
      </c>
      <c r="H41" s="3">
        <f>4661.1+(561.9-2115.2)+(-7.131483+(-0.859707--3.236256))+0-0-0</f>
        <v>3103.0450660000006</v>
      </c>
      <c r="I41" s="3">
        <f>4582.1+(551.6-2118.7)+(-2.336871+(-0.281316--1.080537))+0-0-0</f>
        <v>3013.4623500000002</v>
      </c>
      <c r="J41" s="3">
        <f>4547+(549.7-2087.5)+(-16.23279+(-1.962429--7.452375))+0-0-0</f>
        <v>2998.4571559999999</v>
      </c>
      <c r="K41" s="3">
        <f>4509.4+(472.8-1866)+(-13.798764+(-1.446768--5.70996))+0-0-0</f>
        <v>3106.664428</v>
      </c>
      <c r="L41" s="3">
        <f>4476.7+(411-1680.9)+(-9.132468+(-0.83844--3.429036))+0-0-0</f>
        <v>3200.2581279999999</v>
      </c>
      <c r="M41" s="3">
        <f>4637.7+(555.2-1517.8)+(-2.365227+(-0.283152--0.774078))+0-0-0</f>
        <v>3673.2256990000001</v>
      </c>
      <c r="N41" s="3">
        <f>5136.2+(828.3-1685.1)+(-5.238924+(-0.844866--1.718802))+0-0-0</f>
        <v>4275.0350119999994</v>
      </c>
      <c r="O41" s="3">
        <f>5243.1+(942.9-1480.8)+(-8.021943+(-1.442637--2.265624))+0-0-0</f>
        <v>4698.0010440000005</v>
      </c>
      <c r="P41" s="3">
        <f>5025.3+(900.8-984)+(-2.562903+(-0.459408--0.50184))+0-0-0</f>
        <v>4939.5795290000005</v>
      </c>
      <c r="Q41" s="3">
        <f>4818.8+(870.8-518.7)+(0+(0-0))+0-0-0</f>
        <v>5170.8999999999996</v>
      </c>
      <c r="R41" s="3">
        <f>4722.4+(835.4-486.8)+(-2.408424+(-0.426054--0.248268))+0-0-0</f>
        <v>5068.4137899999996</v>
      </c>
      <c r="S41" s="3">
        <f>4755.2+(844.8-693.6)+(-2.425152+(-0.430848--0.353736))+0-0-0</f>
        <v>4903.8977359999999</v>
      </c>
      <c r="T41" s="3">
        <f>4890.2+(874.2-778.4)+(-7.482006+(-1.337526--1.190952))+0-0-0</f>
        <v>4978.3714200000004</v>
      </c>
      <c r="U41" s="3">
        <f>5224.1+(920.7-1173.7)+(-7.992873+(-1.408671--1.795761))+0-0-0</f>
        <v>4963.4942170000004</v>
      </c>
      <c r="V41" s="3">
        <f>5245+(1021.1-1231.2)+(-5.3499+(-1.041522--1.255824))+0-0-0</f>
        <v>5029.7644019999998</v>
      </c>
      <c r="W41" s="3">
        <f>5195.6+(1089.4-1456.3)+(-7.949268+(-1.666782--2.228139))+12.2-0-0</f>
        <v>4833.5120890000007</v>
      </c>
      <c r="X41" s="3">
        <f>5204.9+(1047.3-1464.9)+(-10.617996+(-2.136492--2.988396))+7.1-0-0</f>
        <v>4784.6339079999998</v>
      </c>
      <c r="Y41" s="3">
        <f>5452.6+(779.6-1371)+(-2.780826+(-0.397596--0.69921))+0-0-0</f>
        <v>4858.7207880000005</v>
      </c>
      <c r="Z41" s="3">
        <f>5640.1+(476.3-1115.6)+(-17.258706+(-1.457478--3.413736))+0-0-0</f>
        <v>4985.4975519999998</v>
      </c>
      <c r="AA41" s="3">
        <f>5633.8+(644.6-1388.6)+(-11.492952+(-1.314984--2.832744))+0-0-0</f>
        <v>4879.8248080000003</v>
      </c>
      <c r="AB41" s="3">
        <f>5493.2+(731.6-1660.5)+(-14.00766+(-1.86558--4.234275))+0-0-0</f>
        <v>4552.6610350000001</v>
      </c>
      <c r="AC41" s="3">
        <f>5413.5+(715.5-1751)+(-11.04354+(-1.45962--3.57204))+0-0-0</f>
        <v>4369.0688799999998</v>
      </c>
      <c r="AD41">
        <v>4938.1000000000004</v>
      </c>
      <c r="AE41" s="3">
        <f>5652+(637-1350.9)+(0+(0-0))+0-0-0</f>
        <v>4938.1000000000004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5118.1+(475-1789.8)+(-7.830693+(-0.72675--2.738394))+0-0-0</f>
        <v>3797.480951</v>
      </c>
      <c r="G42" s="3">
        <f>4853.2+(553.5-1808.9)+(-14.850792+(-1.69371--5.535234))+0-0-0</f>
        <v>3586.7907319999999</v>
      </c>
      <c r="H42" s="3">
        <f>4724+(511.7-1912)+(-9.63696+(-1.043868--3.90048))+0-0-0</f>
        <v>3316.919652</v>
      </c>
      <c r="I42" s="3">
        <f>4588+(507.3-1843.1)+(2.33988+(0.258723-0.939981))+0-0-0</f>
        <v>3253.8586219999997</v>
      </c>
      <c r="J42" s="3">
        <f>4464.1+(438.9-1663.9)+(2.276691+(0.223839-0.848589))+0-0-0</f>
        <v>3240.7519410000004</v>
      </c>
      <c r="K42" s="3">
        <f>4460+(482.1-1640.3)+(0+(0-0))+0-0-0</f>
        <v>3301.8</v>
      </c>
      <c r="L42" s="3">
        <f>4278.8+(450.9-1277.9)+(-10.91094+(-1.149795--3.258645))+0-0-0</f>
        <v>3442.99791</v>
      </c>
      <c r="M42" s="3">
        <f>4559.5+(431.7-1334.7)+(-6.976035+(-0.660501--2.042091))+0-0-0</f>
        <v>3650.9055549999998</v>
      </c>
      <c r="N42" s="3">
        <f>5220.8+(476.2-1393.6)+(-10.650432+(-0.971448--2.842944))+0-0-0</f>
        <v>4294.6210640000008</v>
      </c>
      <c r="O42" s="3">
        <f>5493.2+(591.2-1344.4)+(0+(0-0))+0-0-0</f>
        <v>4740</v>
      </c>
      <c r="P42" s="3">
        <f>5505+(684.9-1145.5)+(-5.6151+(-0.698598--1.16841))+0-0-0</f>
        <v>5039.2547119999999</v>
      </c>
      <c r="Q42" s="3">
        <f>5445.9+(675.1-1024.1)+(-8.332227+(-1.032903--1.566873))+0-0-0</f>
        <v>5089.1017429999993</v>
      </c>
      <c r="R42" s="3">
        <f>5397.9+(759.2-1103.7)+(-16.517574+(-2.323152--3.377322))+0-0-0</f>
        <v>5037.9365959999996</v>
      </c>
      <c r="S42" s="3">
        <f>5408.4+(762.7-1254.7)+(-11.033136+(-1.555908--2.559588))+0-0-0</f>
        <v>4906.3705439999994</v>
      </c>
      <c r="T42" s="3">
        <f>5387.7+(941.5-1686.1)+(-16.486362+(-2.88099--5.159466))+0-0-0</f>
        <v>4628.8921140000002</v>
      </c>
      <c r="U42" s="3">
        <f>5461+(1004.6-2031.7)+(-11.14044+(-2.049384--4.144668))+0-0-0</f>
        <v>4424.8548439999995</v>
      </c>
      <c r="V42" s="3">
        <f>5306.9+(1011.6-1731)+(-13.532595+(-2.57958--4.41405))+20.5-0-0</f>
        <v>4596.3018750000001</v>
      </c>
      <c r="W42" s="3">
        <f>5096.1+(1033.7-1536.4)+(-10.396044+(-2.108748--3.134256))+2.3-0-0</f>
        <v>4586.3294640000004</v>
      </c>
      <c r="X42" s="3">
        <f>4992.1+(1015.7-1327.6)+(-17.821797+(-3.626049--4.739532))+0-0-0</f>
        <v>4663.4916860000003</v>
      </c>
      <c r="Y42" s="3">
        <f>5194.7+(788.3-1378.1)+(0+(0-0))+0-0-0</f>
        <v>4604.8999999999996</v>
      </c>
      <c r="Z42" s="3">
        <f>5486.8+(607.1-1305.5)+(-13.99134+(-1.548105--3.329025))+0-0-0</f>
        <v>4776.1895800000002</v>
      </c>
      <c r="AA42" s="3">
        <f>5515.1+(649.8-1434.7)+(-11.250804+(-1.325592--2.926788))+0-0-0</f>
        <v>4720.550392000001</v>
      </c>
      <c r="AB42" s="3">
        <f>5317.9+(734.3-1620.3)+(-5.424258+(-0.748986--1.652706))+0-0-0</f>
        <v>4427.3794619999999</v>
      </c>
      <c r="AC42" s="3">
        <f>5112.6+(867.5-1856.9)+(-5.214852+(-0.88485--1.894038))+0-0-0</f>
        <v>4118.9943360000007</v>
      </c>
      <c r="AD42">
        <v>4853.9000000000005</v>
      </c>
      <c r="AE42" s="3">
        <f>5599+(636.1-1381.2)+(0+(0-0))+0-0-0</f>
        <v>4853.8999999999996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4949.3+(749.6-1974.7)+(-15.144858+(-2.293776--6.042582))+0-0-0</f>
        <v>3712.8039480000002</v>
      </c>
      <c r="G43" s="3">
        <f>4738.6+(556.7-1887.2)+(-9.666744+(-1.135668--3.849888))+0-0-0</f>
        <v>3401.1474760000006</v>
      </c>
      <c r="H43" s="3">
        <f>4356.6+(656.8-1829.3)+(-4.443732+(-0.669936--1.865886))+0-0-0</f>
        <v>3180.8522180000004</v>
      </c>
      <c r="I43" s="3">
        <f>4345.4+(660.4-1857.2)+(-6.648462+(-1.010412--2.841516))+0-0-0</f>
        <v>3143.7826419999997</v>
      </c>
      <c r="J43" s="3">
        <f>4353.3+(676.2-1882.4)+(-2.220183+(-0.344862--0.960024))+0-0-0</f>
        <v>3145.4949790000005</v>
      </c>
      <c r="K43" s="3">
        <f>4345.2+(724.3-1866.8)+(-8.864208+(-1.477572--3.808272))+0-0-0</f>
        <v>3196.1664919999998</v>
      </c>
      <c r="L43" s="3">
        <f>4293.3+(561.5-1633.5)+(-13.137498+(-1.71819--4.99851))+0-0-0</f>
        <v>3211.442822</v>
      </c>
      <c r="M43" s="3">
        <f>4417.7+(519.1-1268.5)+(-4.506054+(-0.529482--1.29387))+0-0-0</f>
        <v>3664.5583339999998</v>
      </c>
      <c r="N43" s="3">
        <f>5007.1+(640.5-1370)+(-7.660863+(-0.979965--2.0961))+0-0-0</f>
        <v>4271.0552720000005</v>
      </c>
      <c r="O43" s="3">
        <f>5274.6+(691.6-1355.7)+(-8.070138+(-1.058148--2.074221))+0-0-0</f>
        <v>4603.4459349999997</v>
      </c>
      <c r="P43" s="3">
        <f>5375.8+(770.1-1160.1)+(-10.966632+(-1.571004--2.366604))+0-0-0</f>
        <v>4975.628968</v>
      </c>
      <c r="Q43" s="3">
        <f>5335.7+(800.4-1058.3)+(-8.163621+(-1.224612--1.619199))+0-0-0</f>
        <v>5070.0309660000003</v>
      </c>
      <c r="R43" s="3">
        <f>5240.3+(841.8-977.3)+(-13.362765+(-2.14659--2.492115))+0-0-0</f>
        <v>5091.7827600000001</v>
      </c>
      <c r="S43" s="3">
        <f>5098.5+(1007.1-1204.1)+(-2.600235+(-0.513621--0.614091))+0-0-0</f>
        <v>4899.0002350000004</v>
      </c>
      <c r="T43" s="3">
        <f>5018.7+(1058.8-1070.6)+(-7.678611+(-1.619964--1.638018))+0-0-0</f>
        <v>4999.2394429999995</v>
      </c>
      <c r="U43" s="3">
        <f>5064.2+(1098.7-1215.7)+(-12.91371+(-2.801685--3.100035))+0-0-0</f>
        <v>4934.58464</v>
      </c>
      <c r="V43" s="3">
        <f>5094.3+(1110.7-1325.7)+(-12.990465+(-2.832285--3.380535))+0-0-0</f>
        <v>4866.8577850000001</v>
      </c>
      <c r="W43" s="3">
        <f>5105.8+(989-1320.1)+(-10.415832+(-2.01756--2.693004))+0-0-0</f>
        <v>4764.9596120000006</v>
      </c>
      <c r="X43" s="3">
        <f>4951.3+(953.6-1251.7)+(-12.625815+(-2.43168--3.191835))+0-0-0</f>
        <v>4641.3343399999994</v>
      </c>
      <c r="Y43" s="3">
        <f>5000.9+(650.9-1110.2)+(2.550459+(0.331959-0.566202))+0-0-0</f>
        <v>4543.9162159999996</v>
      </c>
      <c r="Z43" s="3">
        <f>5330.9+(857.2-1177.8)+(-5.437518+(-0.874344--1.201356))+0-0-0</f>
        <v>5005.1894939999993</v>
      </c>
      <c r="AA43" s="3">
        <f>5355.2+(779.6-1193.3)+(-16.386912+(-2.385576--3.651498))+0-0-0</f>
        <v>4926.3790099999997</v>
      </c>
      <c r="AB43" s="3">
        <f>5280+(795.3-1351.8)+(-18.8496+(-2.839221--4.825926))+0-0-0</f>
        <v>4706.6371049999998</v>
      </c>
      <c r="AC43" s="3">
        <f>5204+(861.4-1591.9)+(-7.96212+(-1.317942--2.435607))+0-0-0</f>
        <v>4466.6555449999996</v>
      </c>
      <c r="AD43">
        <v>5060.1000000000004</v>
      </c>
      <c r="AE43" s="3">
        <f>5372+(843.3-1155.2)+(0+(0-0))+0-0-0</f>
        <v>5060.1000000000004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4897.7+(592.2-1656.5)+(0+(0-0))+0-0-0</f>
        <v>3833.3999999999996</v>
      </c>
      <c r="G44" s="3">
        <f>4654.3+(481.6-1640.4)+(0+(0-0))+0-0-0</f>
        <v>3495.5</v>
      </c>
      <c r="H44" s="3">
        <f>4662.4+(454.9-1785.8)+(0+(0-0))+0-0-0</f>
        <v>3331.4999999999995</v>
      </c>
      <c r="I44" s="3">
        <f>4601.2+(476.7-1840.7)+(0+(0-0))+0-0-0</f>
        <v>3237.2</v>
      </c>
      <c r="J44" s="3">
        <f>4590.1+(477.4-1819.4)+(-7.022853+(-0.730422--2.783682))+0-0-0</f>
        <v>3243.1304070000006</v>
      </c>
      <c r="K44" s="3">
        <f>4622.4+(513.9-1849.7)+(-4.714848+(-0.524178--1.886694))+0-0-0</f>
        <v>3283.2476679999995</v>
      </c>
      <c r="L44" s="3">
        <f>4426.9+(530.8-1528.6)+(4.515438+(0.541416-1.559172))+0-0-0</f>
        <v>3432.5976819999996</v>
      </c>
      <c r="M44" s="3">
        <f>4449.7+(483.3-1158.5)+(4.538694+(0.492966-1.18167))+0-0-0</f>
        <v>3778.3499900000002</v>
      </c>
      <c r="N44" s="3">
        <f>4919.2+(641.6-1201.8)+(-2.508792+(-0.327216--0.612918))+0-0-0</f>
        <v>4356.7769099999996</v>
      </c>
      <c r="O44" s="3">
        <f>5019.7+(815.9-1024.6)+(0+(0-0))+0-0-0</f>
        <v>4811</v>
      </c>
      <c r="P44" s="3">
        <f>5159.4+(817-971.3)+(0+(0-0))+0-0-0</f>
        <v>5005.0999999999995</v>
      </c>
      <c r="Q44" s="3">
        <f>5158.8+(959.8-970.9)+(-10.523952+(-1.957992--1.980636))+0-0-0</f>
        <v>5137.1986919999999</v>
      </c>
      <c r="R44" s="3">
        <f>5138.4+(1122.2-1220.4)+(-2.620584+(-0.572322--0.622404))+0-0-0</f>
        <v>5037.6294980000002</v>
      </c>
      <c r="S44" s="3">
        <f>5125.1+(1152.5-1369.6)+(0+(0-0))+0-0-0</f>
        <v>4908</v>
      </c>
      <c r="T44" s="3">
        <f>5133.3+(1236.2-1336.5)+(-2.617983+(-0.630462--0.681615))+0-0-0</f>
        <v>5030.4331700000002</v>
      </c>
      <c r="U44" s="3">
        <f>5095.8+(1217.1-1363.2)+(-18.192006+(-4.345047--4.866624))+0-0-0</f>
        <v>4932.029571</v>
      </c>
      <c r="V44" s="3">
        <f>5118.6+(1180.4-1373.2)+(-15.662916+(-3.612024--4.201992))+0-0-0</f>
        <v>4910.7270520000002</v>
      </c>
      <c r="W44" s="3">
        <f>4957.4+(1113.1-1211.1)+(-17.697918+(-3.973767--4.323627))+0-0-0</f>
        <v>4842.0519420000001</v>
      </c>
      <c r="X44" s="3">
        <f>4745.4+(1001.7-999.3)+(-12.10077+(-2.554335--2.548215))+38.9-0-0</f>
        <v>4774.5931099999989</v>
      </c>
      <c r="Y44" s="3">
        <f>4805.6+(859.1-878.9)+(-12.25428+(-2.190705--2.241195))+53-0-0</f>
        <v>4826.5962100000006</v>
      </c>
      <c r="Z44" s="3">
        <f>5165.4+(765.5-863.9)+(-10.537416+(-1.56162--1.762356))+1.6-0-0</f>
        <v>5058.26332</v>
      </c>
      <c r="AA44" s="3">
        <f>4989.7+(674.1-705.7)+(-10.178988+(-1.375164--1.439628))+0-0-0</f>
        <v>4947.9854759999998</v>
      </c>
      <c r="AB44" s="3">
        <f>4799.7+(647.9-871.8)+(2.447847+(0.330429-0.444618))+0-0-0</f>
        <v>4578.1336579999997</v>
      </c>
      <c r="AC44" s="3">
        <f>4769.1+(735.6-1234.4)+(-4.864482+(-0.750312--1.259088))+0-0-0</f>
        <v>4265.9442939999999</v>
      </c>
      <c r="AD44">
        <v>4945.7</v>
      </c>
      <c r="AE44" s="3">
        <f>5286+(708.5-1048.8)+(0+(0-0))+0-0-0</f>
        <v>4945.7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4513.4+(700.2-1404.2)+(0+(0-0))+0-0-0</f>
        <v>3809.3999999999996</v>
      </c>
      <c r="G45" s="3">
        <f>4414.6+(657-1477.4)+(-4.502892+(-0.67014--1.506948))+0-0-0</f>
        <v>3590.5339160000003</v>
      </c>
      <c r="H45" s="3">
        <f>4440.9+(645.6-1594.3)+(0+(0-0))+0-0-0</f>
        <v>3492.2</v>
      </c>
      <c r="I45" s="3">
        <f>4414.9+(697.6-1738.8)+(-6.754797+(-1.067328--2.660364))+0-0-0</f>
        <v>3368.538239</v>
      </c>
      <c r="J45" s="3">
        <f>4348.3+(806.4-1771.7)+(4.435266+(0.822528-1.807134))+0-0-0</f>
        <v>3386.45066</v>
      </c>
      <c r="K45" s="3">
        <f>4338.5+(732.3-1680)+(-8.85054+(-1.493892--3.4272))+0-0-0</f>
        <v>3383.8827680000004</v>
      </c>
      <c r="L45" s="3">
        <f>4060.5+(799.8-1477.9)+(-2.070855+(-0.407898--0.753729))+0-0-0</f>
        <v>3380.6749759999998</v>
      </c>
      <c r="M45" s="3">
        <f>4123.5+(765-1189)+(-2.102985+(-0.39015--0.60639))+0-0-0</f>
        <v>3697.6132550000002</v>
      </c>
      <c r="N45" s="3">
        <f>4516.6+(906.2-1030.9)+(-2.303466+(-0.462162--0.525759))+0-0-0</f>
        <v>4389.6601310000005</v>
      </c>
      <c r="O45" s="3">
        <f>4815.1+(849.3-947.2)+(-4.911402+(-0.866286--0.966144))+0-0-0</f>
        <v>4712.3884560000006</v>
      </c>
      <c r="P45" s="3">
        <f>5023.6+(798.3-827.7)+(-7.686108+(-1.221399--1.266381))+0-0-0</f>
        <v>4986.5588740000003</v>
      </c>
      <c r="Q45" s="3">
        <f>5199.9+(701.7-773.5)+(0+(0-0))+0-0-0</f>
        <v>5128.0999999999995</v>
      </c>
      <c r="R45" s="3">
        <f>5218.5+(758.6-877.6)+(-13.307175+(-1.93443--2.23788))+0-0-0</f>
        <v>5086.4962750000004</v>
      </c>
      <c r="S45" s="3">
        <f>5217.8+(809.3-1155.4)+(0+(0-0))+0-0-0</f>
        <v>4871.7</v>
      </c>
      <c r="T45" s="3">
        <f>5200.5+(1149-1360.7)+(-10.60902+(-2.34396--2.775828))+0-0-0</f>
        <v>4978.622848</v>
      </c>
      <c r="U45" s="3">
        <f>5050.3+(1288.7-1392.5)+(-12.878265+(-3.286185--3.550875))+0-0-0</f>
        <v>4933.8864249999997</v>
      </c>
      <c r="V45" s="3">
        <f>4963.3+(1343.9-1424.5)+(-7.593849+(-2.056167--2.179485))+0-0-0</f>
        <v>4875.2294690000008</v>
      </c>
      <c r="W45" s="3">
        <f>4874.2+(1204.5-1289.9)+(-7.457526+(-1.842885--1.973547))+0-0-0</f>
        <v>4781.4731359999996</v>
      </c>
      <c r="X45" s="3">
        <f>4729.3+(1079.6-1122.9)+(-12.059715+(-2.75298--2.863395))+0-0-0</f>
        <v>4674.0506999999998</v>
      </c>
      <c r="Y45" s="3">
        <f>4761.5+(842.7-1021.1)+(-7.285095+(-1.289331--1.562283))+0-0-0</f>
        <v>4576.0878570000004</v>
      </c>
      <c r="Z45" s="3">
        <f>5004.4+(726.1-751.1)+(-2.552244+(-0.370311--0.383061))+0-0-0</f>
        <v>4976.860506</v>
      </c>
      <c r="AA45" s="3">
        <f>5077.3+(694.4-884.7)+(-10.357692+(-1.416576--1.804788))+0-0-0</f>
        <v>4877.0305200000003</v>
      </c>
      <c r="AB45" s="3">
        <f>4892.8+(700.7-972.9)+(-12.47664+(-1.786785--2.480895))+0-0-0</f>
        <v>4608.81747</v>
      </c>
      <c r="AC45" s="3">
        <f>4791.1+(774.2-1259.9)+(-7.330383+(-1.184526--1.927647))+0-0-0</f>
        <v>4298.8127380000005</v>
      </c>
      <c r="AD45">
        <v>4959.3</v>
      </c>
      <c r="AE45" s="3">
        <f>5071+(661.1-772.8)+(0+(0-0))+0-0-0</f>
        <v>4959.3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4732+(759.8-1673.9)+(-9.65328+(-1.549992--3.414756))+0-0-0</f>
        <v>3810.1114839999996</v>
      </c>
      <c r="G46" s="3">
        <f>4749+(744.4-1990.8)+(-2.42199+(-0.379644--1.015308))+0-0-0</f>
        <v>3500.813674</v>
      </c>
      <c r="H46" s="3">
        <f>4703.1+(731.6-2027.6)+(-2.398581+(-0.373116--1.034076))+0-0-0</f>
        <v>3405.3623790000001</v>
      </c>
      <c r="I46" s="3">
        <f>4579+(542.8-1858.1)+(-2.33529+(-0.276828--0.947631))+0-0-0</f>
        <v>3262.0355129999998</v>
      </c>
      <c r="J46" s="3">
        <f>4518.2+(548.7-1810.6)+(-9.217128+(-1.119348--3.693624))+0-0-0</f>
        <v>3249.6571480000002</v>
      </c>
      <c r="K46" s="3">
        <f>4331+(616.1-1650.8)+(-17.67048+(-2.513688--6.735264))+0-0-0</f>
        <v>3282.8510960000003</v>
      </c>
      <c r="L46" s="3">
        <f>4005.3+(663.7-1318.5)+(-6.128109+(-1.015461--2.017305))+0-0-0</f>
        <v>3345.3737350000001</v>
      </c>
      <c r="M46" s="3">
        <f>4136.7+(578-1002.3)+(0+(0-0))+0-0-0</f>
        <v>3712.3999999999996</v>
      </c>
      <c r="N46" s="3">
        <f>4443.2+(505.7-780.9)+(0+(0-0))+0-0-0</f>
        <v>4168</v>
      </c>
      <c r="O46" s="3">
        <f>4896.5+(475.5-714.4)+(2.497215+(0.242505-0.364344))+0-0-0</f>
        <v>4659.9753760000003</v>
      </c>
      <c r="P46" s="3">
        <f>4945.2+(477.3-527.5)+(-7.566156+(-0.730269--0.807075))+0-0-0</f>
        <v>4887.5106500000002</v>
      </c>
      <c r="Q46" s="3">
        <f>5045.7+(484.6-552.9)+(-7.719921+(-0.741438--0.845937))+0-0-0</f>
        <v>4969.7845779999998</v>
      </c>
      <c r="R46" s="3">
        <f>5027.5+(580.5-681.3)+(-7.692075+(-0.888165--1.042389))+0-0-0</f>
        <v>4919.1621489999998</v>
      </c>
      <c r="S46" s="3">
        <f>5009.4+(548.2-860.6)+(-5.109588+(-0.559164--0.877812))+0-0-0</f>
        <v>4692.2090600000001</v>
      </c>
      <c r="T46" s="3">
        <f>4967.5+(624.6-917.8)+(2.533425+(0.318546-0.468078))+0-0-0</f>
        <v>4676.6838930000004</v>
      </c>
      <c r="U46" s="3">
        <f>4999.8+(552.4-954.3)+(-7.649694+(-0.845172--1.460079))+0-0-0</f>
        <v>4590.8652130000009</v>
      </c>
      <c r="V46" s="3">
        <f>4962.3+(536.6-1014.4)+(-10.123092+(-1.094664--2.069376))+0-0-0</f>
        <v>4475.3516200000004</v>
      </c>
      <c r="W46" s="3">
        <f>4952.9+(571.7-1146.6)+(-7.577937+(-0.874701--1.754298))+0-0-0</f>
        <v>4371.3016600000001</v>
      </c>
      <c r="X46" s="3">
        <f>4839+(529-1109)+(-9.87156+(-1.07916--2.26236))+0-0-0</f>
        <v>4250.3116399999999</v>
      </c>
      <c r="Y46" s="3">
        <f>4862.5+(512.7-1041)+(-2.479875+(-0.261477--0.53091))+0-0-0</f>
        <v>4331.9895580000002</v>
      </c>
      <c r="Z46" s="3">
        <f>5272+(608.6-1136.3)+(-13.4436+(-1.55193--2.897565))+0-0-0</f>
        <v>4732.2020350000003</v>
      </c>
      <c r="AA46" s="3">
        <f>5327.2+(721.1-1358.4)+(-8.150616+(-1.103283--2.078352))+0-0-0</f>
        <v>4682.7244529999998</v>
      </c>
      <c r="AB46" s="3">
        <f>5142.4+(777.7-1458.4)+(-7.867872+(-1.189881--2.231352))+0-0-0</f>
        <v>4454.8735989999996</v>
      </c>
      <c r="AC46" s="3">
        <f>5058.5+(745.3-1567.6)+(-5.15967+(-0.760206--1.598952))+0-0-0</f>
        <v>4231.8790760000002</v>
      </c>
      <c r="AD46">
        <v>4659.8999999999996</v>
      </c>
      <c r="AE46" s="3">
        <f>5322+(785.3-1447.4)+(0+(0-0))+0-0-0</f>
        <v>4659.8999999999996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4920.6+(797.4-1821.3)+(-7.528518+(-1.220022--2.786589))+0-0-0</f>
        <v>3890.738049</v>
      </c>
      <c r="G47" s="3">
        <f>4824.4+(709.2-1980.1)+(-7.381332+(-1.085076--3.029553))+0-0-0</f>
        <v>3548.0631450000001</v>
      </c>
      <c r="H47" s="3">
        <f>4799.9+(782.7-2233.1)+(0+(0-0))+0-0-0</f>
        <v>3349.5</v>
      </c>
      <c r="I47" s="3">
        <f>4777.3+(807.8-2250.6)+(-12.182115+(-2.05989--5.73903))+0-0-0</f>
        <v>3325.9970250000001</v>
      </c>
      <c r="J47" s="3">
        <f>4621.8+(624.7-2111.7)+(4.714236+(0.637194-2.153934))+0-0-0</f>
        <v>3137.997496</v>
      </c>
      <c r="K47" s="3">
        <f>4372.1+(693.3-1858.2)+(-8.919084+(-1.414332--3.790728))+0-0-0</f>
        <v>3200.6573120000003</v>
      </c>
      <c r="L47" s="3">
        <f>3941.9+(505.1-1413.8)+(2.010369+(0.257601-0.721038))+0-0-0</f>
        <v>3034.7469320000005</v>
      </c>
      <c r="M47" s="3">
        <f>3876.7+(489.1-1324.8)+(0+(0-0))+0-0-0</f>
        <v>3041</v>
      </c>
      <c r="N47" s="3">
        <f>4012.2+(479.4-1244)+(-2.046222+(-0.244494--0.63444))+0-0-0</f>
        <v>3245.9437239999997</v>
      </c>
      <c r="O47" s="3">
        <f>4197.7+(603.4-1250.9)+(0+(0-0))+0-0-0</f>
        <v>3550.2</v>
      </c>
      <c r="P47" s="3">
        <f>4631.9+(652.3-1448.5)+(-2.362269+(-0.332673--0.738735))+0-0-0</f>
        <v>3833.7437929999996</v>
      </c>
      <c r="Q47" s="3">
        <f>4890+(658.7-1592.5)+(2.4939+(0.335937-0.812175))+0-0-0</f>
        <v>3958.217662</v>
      </c>
      <c r="R47" s="3">
        <f>4839+(634.1-1600.9)+(-4.93578+(-0.646782--1.632918))+0-0-0</f>
        <v>3868.250356</v>
      </c>
      <c r="S47" s="3">
        <f>4746.7+(730.4-1798.6)+(-4.841634+(-0.745008--1.834572))+0-0-0</f>
        <v>3674.74793</v>
      </c>
      <c r="T47" s="3">
        <f>4734.4+(948.4-2011.2)+(-7.243632+(-1.451052--3.077136))+0-0-0</f>
        <v>3665.9824519999993</v>
      </c>
      <c r="U47" s="3">
        <f>4711.8+(1026.6-2113.7)+(-9.612072+(-2.094264--4.311948))+0-0-0</f>
        <v>3617.3056120000001</v>
      </c>
      <c r="V47" s="3">
        <f>4911+(1002.8-2270.4)+(-12.52305+(-2.55714--5.78952))+0-0-0</f>
        <v>3634.1093299999998</v>
      </c>
      <c r="W47" s="3">
        <f>4955.8+(991.1-2298)+(-10.109832+(-2.021844--4.68792))+0-0-0</f>
        <v>3641.456244</v>
      </c>
      <c r="X47" s="3">
        <f>4811.5+(890.3-2018)+(-12.269325+(-2.270265--5.1459))+0-0-0</f>
        <v>3674.4063100000003</v>
      </c>
      <c r="Y47" s="3">
        <f>4806.6+(734.2-1836.6)+(-9.805464+(-1.497768--3.746664))+0-0-0</f>
        <v>3696.6434320000008</v>
      </c>
      <c r="Z47" s="3">
        <f>5127.5+(673.9-2019.1)+(-13.075125+(-1.718445--5.148705))+0-0-0</f>
        <v>3772.655135</v>
      </c>
      <c r="AA47" s="3">
        <f>5571.2+(729.8-2137.1)+(-14.20656+(-1.86099--5.449605))+0-0-0</f>
        <v>4153.2820549999997</v>
      </c>
      <c r="AB47" s="3">
        <f>5365.8+(838.7-2268.9)+(-5.473116+(-0.855474--2.314278))+0-0-0</f>
        <v>3931.5856880000006</v>
      </c>
      <c r="AC47" s="3">
        <f>5292.3+(952.2-2446.5)+(-8.097219+(-1.456866--3.743145))+0-0-0</f>
        <v>3792.1890600000002</v>
      </c>
      <c r="AD47">
        <v>4282.5</v>
      </c>
      <c r="AE47" s="3">
        <f>5698+(687.4-2102.9)+(0+(0-0))+0-0-0</f>
        <v>4282.5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5224.6+(1118.9-2751.2)+(-10.658184+(-2.282556--5.612448))+0-0-0</f>
        <v>3584.9717080000005</v>
      </c>
      <c r="G48" s="3">
        <f>4840+(1057.9-2671.6)+(-12.342+(-2.697645--6.81258))+0-0-0</f>
        <v>3218.0729350000001</v>
      </c>
      <c r="H48" s="3">
        <f>4694+(871.6-2525.1)+(-9.57576+(-1.778064--5.151204))+0-0-0</f>
        <v>3034.29738</v>
      </c>
      <c r="I48" s="3">
        <f>4526.2+(730.1-2409.2)+(-6.925086+(-1.117053--3.686076))+0-0-0</f>
        <v>2842.7439369999997</v>
      </c>
      <c r="J48" s="3">
        <f>4536.6+(663.3-2345)+(-9.254664+(-1.353132--4.7838))+0-0-0</f>
        <v>2849.0760040000005</v>
      </c>
      <c r="K48" s="3">
        <f>4393.8+(572.9-2154.1)+(-6.722514+(-0.876537--3.295773))+0-0-0</f>
        <v>2808.2967220000005</v>
      </c>
      <c r="L48" s="3">
        <f>4332.2+(503.6-1956.5)+(-11.04711+(-1.28418--4.989075))+0-0-0</f>
        <v>2871.9577849999996</v>
      </c>
      <c r="M48" s="3">
        <f>4037.4+(529.8-1649.1)+(4.118148+(0.540396-1.682082))+0-0-0</f>
        <v>2921.0764620000004</v>
      </c>
      <c r="N48" s="3">
        <f>4368.1+(449.4-1638.6)+(-2.227731+(-0.229194--0.835686))+0-0-0</f>
        <v>3177.2787610000005</v>
      </c>
      <c r="O48" s="3">
        <f>4969.2+(384.8-1842.4)+(-5.068584+(-0.392496--1.879248))+0-0-0</f>
        <v>3508.0181679999996</v>
      </c>
      <c r="P48" s="3">
        <f>5217.4+(355.9-1802.1)+(-10.643496+(-0.726036--3.676284))+0-0-0</f>
        <v>3763.5067519999998</v>
      </c>
      <c r="Q48" s="3">
        <f>5319.6+(381.6-1768.9)+(-8.138988+(-0.583848--2.706417))+0-0-0</f>
        <v>3926.2835810000001</v>
      </c>
      <c r="R48" s="3">
        <f>5333.7+(474.9-1879.5)+(-10.880748+(-0.968796--3.83418))+0-0-0</f>
        <v>3921.084636</v>
      </c>
      <c r="S48" s="3">
        <f>5361.2+(543.8-1951.7)+(-13.67106+(-1.38669--4.976835))+0-0-0</f>
        <v>3943.2190849999997</v>
      </c>
      <c r="T48" s="3">
        <f>5269.8+(484.1-1896.3)+(-5.375196+(-0.493782--1.934226))+0-0-0</f>
        <v>3853.6652480000002</v>
      </c>
      <c r="U48" s="3">
        <f>5212.6+(439.7-1808.4)+(-10.633704+(-0.896988--3.689136))+0-0-0</f>
        <v>3836.0584440000007</v>
      </c>
      <c r="V48" s="3">
        <f>5112+(417.4-1695.5)+(0+(0-0))+0-0-0</f>
        <v>3833.9</v>
      </c>
      <c r="W48" s="3">
        <f>5102.6+(404-1688.7)+(-7.806978+(-0.61812--2.583711))+0-0-0</f>
        <v>3812.0586130000006</v>
      </c>
      <c r="X48" s="3">
        <f>5030.6+(321.8-1509.8)+(-10.262424+(-0.656472--3.079992))+0-0-0</f>
        <v>3834.7610960000002</v>
      </c>
      <c r="Y48" s="3">
        <f>5175.7+(289-1540.6)+(-10.558428+(-0.58956--3.142824))+0-0-0</f>
        <v>3916.0948359999998</v>
      </c>
      <c r="Z48" s="3">
        <f>5502.3+(577.8-1610.3)+(-8.418519+(-0.884034--2.463759))+0-0-0</f>
        <v>4462.9612059999999</v>
      </c>
      <c r="AA48" s="3">
        <f>5523.8+(630.6-1759.3)+(-11.268552+(-1.286424--3.588972))+0-0-0</f>
        <v>4386.1339960000005</v>
      </c>
      <c r="AB48" s="3">
        <f>5452.4+(831.1-1984)+(-5.561448+(-0.847722--2.02368))+0-0-0</f>
        <v>4295.1145100000003</v>
      </c>
      <c r="AC48" s="3">
        <f>5291.3+(837.1-2136.3)+(-10.794252+(-1.707684--4.358052))+0-0-0</f>
        <v>3983.9561159999998</v>
      </c>
      <c r="AD48">
        <v>4562.2999999999993</v>
      </c>
      <c r="AE48" s="3">
        <f>5613+(531.2-1581.9)+(0+(0-0))+0-0-0</f>
        <v>4562.3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4964.3+(837.7-2150.2)+(0+(0-0))+0-0-0</f>
        <v>3651.8</v>
      </c>
      <c r="G49" s="3">
        <f>4802.4+(695.2-2227)+(-2.449224+(-0.354552--1.13577))+0-0-0</f>
        <v>3268.9319939999996</v>
      </c>
      <c r="H49" s="3">
        <f>4791.2+(571.8-2218.1)+(-17.104584+(-2.041326--7.918617))+0-0-0</f>
        <v>3133.6727069999997</v>
      </c>
      <c r="I49" s="3">
        <f>4487.3+(587.9-1945.7)+(-6.865569+(-0.899487--2.976921))+0-0-0</f>
        <v>3124.7118650000002</v>
      </c>
      <c r="J49" s="3">
        <f>4291.6+(536.3-1793.8)+(0+(0-0))+0-0-0</f>
        <v>3034.1000000000004</v>
      </c>
      <c r="K49" s="3">
        <f>4275.1+(595.9-1763.6)+(-2.180301+(-0.303909--0.899436))+0-0-0</f>
        <v>3105.8152260000006</v>
      </c>
      <c r="L49" s="3">
        <f>4261.8+(578.8-1597.6)+(-2.173518+(-0.295188--0.814776))+0-0-0</f>
        <v>3241.3460700000001</v>
      </c>
      <c r="M49" s="3">
        <f>4689+(647.7-1606.1)+(2.39139+(0.330327-0.819111))+0-0-0</f>
        <v>3732.5026060000005</v>
      </c>
      <c r="N49" s="3">
        <f>5180.9+(950.1-1720.1)+(5.284518+(0.969102-1.754502))+0-0-0</f>
        <v>4415.3991179999994</v>
      </c>
      <c r="O49" s="3">
        <f>5366.7+(1132.1-1676.3)+(0+(0-0))+0-0-0</f>
        <v>4822.5</v>
      </c>
      <c r="P49" s="3">
        <f>5375.6+(1233.2-1508)+(0+(0-0))+0-0-0</f>
        <v>5100.8</v>
      </c>
      <c r="Q49" s="3">
        <f>5471.6+(1229.8-1421.2)+(2.790516+(0.627198-0.724812))+0-0-0</f>
        <v>5282.8929020000005</v>
      </c>
      <c r="R49" s="3">
        <f>5481+(1292.2-1506.6)+(5.59062+(1.318044-1.536732))+0-0-0</f>
        <v>5271.9719320000004</v>
      </c>
      <c r="S49" s="3">
        <f>5422.7+(1264.7-1600.5)+(-2.765577+(-0.644997--0.816255))+0-0-0</f>
        <v>5084.3056809999998</v>
      </c>
      <c r="T49" s="3">
        <f>5427.9+(1331.2-1579.7)+(0+(0-0))+0-0-0</f>
        <v>5179.3999999999996</v>
      </c>
      <c r="U49" s="3">
        <f>5427.6+(1434.6-1701.1)+(0+(0-0))+0-0-0</f>
        <v>5161.1000000000004</v>
      </c>
      <c r="V49" s="3">
        <f>5431.2+(1473.7-1813.5)+(-11.079648+(-3.006348--3.69954))+0-0-0</f>
        <v>5081.0135439999995</v>
      </c>
      <c r="W49" s="3">
        <f>5513.6+(1464.3-1956.3)+(-11.247744+(-2.987172--3.990852))+0-0-0</f>
        <v>5011.3559359999999</v>
      </c>
      <c r="X49" s="3">
        <f>5469.5+(1257.1-1760.8)+(-22.31556+(-5.128968--7.184064))+0-0-0</f>
        <v>4945.5395360000002</v>
      </c>
      <c r="Y49" s="3">
        <f>5295.6+(945.7-1463)+(-13.50378+(-2.411535--3.73065))+0-0-0</f>
        <v>4766.1153350000004</v>
      </c>
      <c r="Z49" s="3">
        <f>5670.6+(1054.1-1648.5)+(-8.676018+(-1.612773--2.522205))+0-0-0</f>
        <v>5068.433414000001</v>
      </c>
      <c r="AA49" s="3">
        <f>5682.9+(1058.4-1720)+(-17.389674+(-3.238704--5.2632))+0-0-0</f>
        <v>5005.9348219999993</v>
      </c>
      <c r="AB49" s="3">
        <f>5443.6+(1014.9-1734.1)+(-5.552472+(-1.035198--1.768782))+0-0-0</f>
        <v>4719.5811120000008</v>
      </c>
      <c r="AC49" s="3">
        <f>5328.6+(1134.8-2083.5)+(-5.435172+(-1.157496--2.12517))+0-0-0</f>
        <v>4375.4325020000006</v>
      </c>
      <c r="AD49">
        <v>5077.2999999999993</v>
      </c>
      <c r="AE49" s="3">
        <f>5669+(1038.4-1630.1)+(0+(0-0))+0-0-0</f>
        <v>5077.3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4907.9+(1061.8-2087.8)+(-12.515145+(-2.70759--5.32389))+0-0-0</f>
        <v>3872.0011549999995</v>
      </c>
      <c r="G50" s="3">
        <f>4736+(657.7-1857.6)+(-4.83072+(-0.670854--1.894752))+0-0-0</f>
        <v>3532.4931780000002</v>
      </c>
      <c r="H50" s="3">
        <f>4666.3+(602.7-1919.1)+(-4.759626+(-0.614754--1.957482))+0-0-0</f>
        <v>3346.4831020000006</v>
      </c>
      <c r="I50" s="3">
        <f>4659.6+(645.1-2042.7)+(0+(0-0))+0-0-0</f>
        <v>3262.0000000000005</v>
      </c>
      <c r="J50" s="3">
        <f>4513+(695.7-1957.2)+(4.60326+(0.709614-1.996344))+0-0-0</f>
        <v>3254.8165300000001</v>
      </c>
      <c r="K50" s="3">
        <f>4289+(715.6-1717.9)+(-10.93695+(-1.82478--4.380645))+0-0-0</f>
        <v>3278.3189149999998</v>
      </c>
      <c r="L50" s="3">
        <f>4253.5+(710-1549.1)+(-10.846425+(-1.8105--3.950205))+0-0-0</f>
        <v>3405.69328</v>
      </c>
      <c r="M50" s="3">
        <f>4489+(809.4-1492.6)+(0+(0-0))+0-0-0</f>
        <v>3805.8</v>
      </c>
      <c r="N50" s="3">
        <f>4777.1+(1157.7-1580.7)+(-4.872642+(-1.180854--1.612314))+0-0-0</f>
        <v>4349.6588180000008</v>
      </c>
      <c r="O50" s="3">
        <f>4956.4+(1288.1-1490.7)+(-10.111056+(-2.627724--3.041028))+0-0-0</f>
        <v>4744.1022479999992</v>
      </c>
      <c r="P50" s="3">
        <f>5228.6+(1200.1-1422.7)+(-2.666586+(-0.612051--0.725577))+0-0-0</f>
        <v>5003.4469399999998</v>
      </c>
      <c r="Q50" s="3">
        <f>5373.5+(1154.1-1378.4)+(0+(0-0))+0-0-0</f>
        <v>5149.2</v>
      </c>
      <c r="R50" s="3">
        <f>5297.3+(1221.6-1380.7)+(-10.806492+(-2.492064--2.816628))+0-0-0</f>
        <v>5127.7180719999997</v>
      </c>
      <c r="S50" s="3">
        <f>5394.3+(1321.1-1775.1)+(-16.506558+(-4.042566--5.431806))+0-0-0</f>
        <v>4925.1826820000006</v>
      </c>
      <c r="T50" s="3">
        <f>5499.5+(1445.7-1929.6)+(-11.21898+(-2.949228--3.936384))+0-0-0</f>
        <v>5005.3681759999999</v>
      </c>
      <c r="U50" s="3">
        <f>5464.8+(1413.9-1916)+(0+(0-0))+0-0-0</f>
        <v>4962.7000000000007</v>
      </c>
      <c r="V50" s="3">
        <f>5396+(1357.8-1840.9)+(-13.7598+(-3.46239--4.694295))+0-0-0</f>
        <v>4900.3721049999995</v>
      </c>
      <c r="W50" s="3">
        <f>5317.9+(1191.1-1709.7)+(-13.560645+(-3.037305--4.359735))+0-0-0</f>
        <v>4787.061784999999</v>
      </c>
      <c r="X50" s="3">
        <f>5094.4+(963.7-1401.5)+(-10.392576+(-1.965948--2.85906))+3.5-0-0</f>
        <v>4650.600535999999</v>
      </c>
      <c r="Y50" s="3">
        <f>4918.3+(857.4-1221.5)+(-2.508333+(-0.437274--0.622965))+0-0-0</f>
        <v>4551.8773579999997</v>
      </c>
      <c r="Z50" s="3">
        <f>5396+(958.1-1356.8)+(-2.75196+(-0.488631--0.691968))+0-0-0</f>
        <v>4994.7513770000005</v>
      </c>
      <c r="AA50" s="3">
        <f>5500.2+(718.4-1226.7)+(-2.805102+(-0.366384--0.625617))+0-0-0</f>
        <v>4989.3541310000001</v>
      </c>
      <c r="AB50" s="3">
        <f>5447.6+(784.4-1528.4)+(-2.778276+(-0.400044--0.779484))+0-0-0</f>
        <v>4701.2011640000001</v>
      </c>
      <c r="AC50" s="3">
        <f>5392.5+(971.1-1971.6)+(-13.750875+(-2.476305--5.02758))+0-0-0</f>
        <v>4380.8004000000001</v>
      </c>
      <c r="AD50">
        <v>5080.2</v>
      </c>
      <c r="AE50" s="3">
        <f>5552+(909.7-1381.5)+(0+(0-0))+0-0-0</f>
        <v>5080.2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5159.6+(990.6-2247.2)+(-5.262792+(-1.010412--2.292144))+0-0-0</f>
        <v>3899.0189400000004</v>
      </c>
      <c r="G51" s="3">
        <f>4844.9+(959.8-2247.9)+(-9.883596+(-1.957992--4.585716))+0-0-0</f>
        <v>3549.5441279999991</v>
      </c>
      <c r="H51" s="3">
        <f>4777.5+(789.4-2198.9)+(0+(0-0))+0-0-0</f>
        <v>3368</v>
      </c>
      <c r="I51" s="3">
        <f>4692.5+(733.2-2142.8)+(-11.965875+(-1.86966--5.46414))+0-0-0</f>
        <v>3274.5286049999995</v>
      </c>
      <c r="J51" s="3">
        <f>4641.5+(659.7-2034.2)+(-11.835825+(-1.682235--5.18721))+0-0-0</f>
        <v>3258.6691500000002</v>
      </c>
      <c r="K51" s="3">
        <f>4727.9+(722.1-2152.6)+(-4.822458+(-0.736542--2.195652))+0-0-0</f>
        <v>3294.0366519999998</v>
      </c>
      <c r="L51" s="3">
        <f>4422.4+(614.3-1697.3)+(-15.787968+(-2.193051--6.059361))+0-0-0</f>
        <v>3327.4783419999994</v>
      </c>
      <c r="M51" s="3">
        <f>4845+(646.6-1629.4)+(7.41285+(0.989298-2.492982))+0-0-0</f>
        <v>3868.1091659999997</v>
      </c>
      <c r="N51" s="3">
        <f>5139.2+(948.2-1669.6)+(5.241984+(0.967164-1.702992))+0-0-0</f>
        <v>4422.3061560000006</v>
      </c>
      <c r="O51" s="3">
        <f>5085.2+(1145.4-1391)+(-5.186904+(-1.168308--1.41882))+0-0-0</f>
        <v>4834.6636080000007</v>
      </c>
      <c r="P51" s="3">
        <f>5048.1+(1211.1-1219.8)+(-7.723593+(-1.852983--1.866294))+0-0-0</f>
        <v>5031.6897180000005</v>
      </c>
      <c r="Q51" s="3">
        <f>5108.8+(1165.4-1046.5)+(2.605488+(0.594354-0.533715))+0-0-0</f>
        <v>5230.3661270000011</v>
      </c>
      <c r="R51" s="3">
        <f>5048.6+(1202.1-1097.7)+(-5.149572+(-1.226142--1.119654))+0-0-0</f>
        <v>5147.7439400000003</v>
      </c>
      <c r="S51" s="3">
        <f>5049.4+(1452.6-1506.2)+(-5.150388+(-1.481652--1.536324))+0-0-0</f>
        <v>4990.7042839999995</v>
      </c>
      <c r="T51" s="3">
        <f>5026.1+(1666.1-1554.3)+(-5.126622+(-1.699422--1.585386))+0-0-0</f>
        <v>5132.6593420000008</v>
      </c>
      <c r="U51" s="3">
        <f>5018.4+(1710.2-1669.4)+(-12.79692+(-4.36101--4.25697))+0-0-0</f>
        <v>5046.2990399999999</v>
      </c>
      <c r="V51" s="3">
        <f>5121.6+(1731.3-1807.2)+(-5.224032+(-1.765926--1.843344))+0-0-0</f>
        <v>5040.5533860000005</v>
      </c>
      <c r="W51" s="3">
        <f>5107.6+(1557.7-1716.3)+(-18.234132+(-5.560989--6.127191))+0-0-0</f>
        <v>4931.3320700000004</v>
      </c>
      <c r="X51" s="3">
        <f>4980.3+(1407.6-1593.2)+(-17.779671+(-5.025132--5.687724))+0-0-0</f>
        <v>4777.5829210000002</v>
      </c>
      <c r="Y51" s="3">
        <f>4892.7+(1149.2-1308.1)+(-4.990554+(-1.172184--1.334262))+0-0-0</f>
        <v>4728.9715240000005</v>
      </c>
      <c r="Z51" s="3">
        <f>5195.1+(1080.8-1208.8)+(-7.948503+(-1.653624--1.849464))+0-0-0</f>
        <v>5059.3473370000002</v>
      </c>
      <c r="AA51" s="3">
        <f>5269.2+(1194.8-1417.8)+(-13.43646+(-3.04674--3.61539))+0-0-0</f>
        <v>5033.3321900000001</v>
      </c>
      <c r="AB51" s="3">
        <f>5196.8+(1157.1-1582)+(0+(0-0))+0-0-0</f>
        <v>4771.8999999999996</v>
      </c>
      <c r="AC51" s="3">
        <f>5055.4+(1220-1854)+(-15.469524+(-3.7332--5.67324))+0-0-0</f>
        <v>4407.870516</v>
      </c>
      <c r="AD51">
        <v>5096.5</v>
      </c>
      <c r="AE51" s="3">
        <f>5270+(1250.9-1424.4)+(0+(0-0))+0-0-0</f>
        <v>5096.5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4881.5+(1227.4-2117)+(0+(0-0))+0-0-0</f>
        <v>3991.9</v>
      </c>
      <c r="G52" s="3">
        <f>4691.1+(1065.2-2120.2)+(-9.569844+(-2.173008--4.325208))+0-0-0</f>
        <v>3628.6823560000003</v>
      </c>
      <c r="H52" s="3">
        <f>4626.4+(890.3-2098)+(-7.078392+(-1.362159--3.20994))+0-0-0</f>
        <v>3413.4693889999999</v>
      </c>
      <c r="I52" s="3">
        <f>4614.6+(877.7-2142.8)+(-4.706892+(-0.895254--2.185656))+0-0-0</f>
        <v>3346.0835099999999</v>
      </c>
      <c r="J52" s="3">
        <f>4522.1+(781.3-1987.3)+(-9.225084+(-1.593852--4.054092))+0-0-0</f>
        <v>3309.3351560000006</v>
      </c>
      <c r="K52" s="3">
        <f>4377.4+(729.7-1742)+(-11.16237+(-1.860735--4.4421))+0-0-0</f>
        <v>3356.5189949999994</v>
      </c>
      <c r="L52" s="3">
        <f>4105.6+(717.1-1361.5)+(-4.187712+(-0.731442--1.38873))+0-0-0</f>
        <v>3457.6695760000002</v>
      </c>
      <c r="M52" s="3">
        <f>4577.3+(740-1435)+(-14.006538+(-2.2644--4.3911))+0-0-0</f>
        <v>3870.4201620000003</v>
      </c>
      <c r="N52" s="3">
        <f>4966.1+(847.5-1317.9)+(5.065422+(0.86445-1.344258))+0-0-0</f>
        <v>4500.2856140000004</v>
      </c>
      <c r="O52" s="3">
        <f>5016.7+(1070.2-1162.4)+(0+(0-0))+0-0-0</f>
        <v>4924.5</v>
      </c>
      <c r="P52" s="3">
        <f>4980.1+(1142.3-904)+(-5.079702+(-1.165146--0.92208))+0-0-0</f>
        <v>5213.0772320000005</v>
      </c>
      <c r="Q52" s="3">
        <f>4992.9+(1182.9-918.5)+(-5.092758+(-1.206558--0.93687))+0-0-0</f>
        <v>5251.9375539999992</v>
      </c>
      <c r="R52" s="3">
        <f>4968.7+(1261.5-950.1)+(-5.068074+(-1.28673--0.969102))+0-0-0</f>
        <v>5274.7142979999999</v>
      </c>
      <c r="S52" s="3">
        <f>5003.8+(1313.1-1263)+(0+(0-0))+0-0-0</f>
        <v>5053.8999999999996</v>
      </c>
      <c r="T52" s="3">
        <f>5021.6+(1657.6-1496.6)+(2.561016+(0.845376-0.763266))+0-0-0</f>
        <v>5185.2431260000003</v>
      </c>
      <c r="U52" s="3">
        <f>5010.5+(1728.9-1564.5)+(-2.555355+(-0.881739--0.797895))+0-0-0</f>
        <v>5172.2608009999994</v>
      </c>
      <c r="V52" s="3">
        <f>4994.6+(1717.8-1617.2)+(-12.73623+(-4.38039--4.12386))+0-0-0</f>
        <v>5082.2072400000006</v>
      </c>
      <c r="W52" s="3">
        <f>5167.4+(1696.3-1763.2)+(-18.447618+(-6.055791--6.294624))+0-0-0</f>
        <v>5082.2912150000002</v>
      </c>
      <c r="X52" s="3">
        <f>5028.7+(1560.5-1828.6)+(-10.258548+(-3.18342--3.730344))+0-0-0</f>
        <v>4750.8883760000008</v>
      </c>
      <c r="Y52" s="3">
        <f>5131.9+(1419.3-1704.8)+(-13.086345+(-3.619215--4.34724))+0-0-0</f>
        <v>4834.0416799999994</v>
      </c>
      <c r="Z52" s="3">
        <f>5230.7+(1396.5-1402)+(-8.002971+(-2.136645--2.14506))+0-0-0</f>
        <v>5217.2054440000002</v>
      </c>
      <c r="AA52" s="3">
        <f>5264.9+(1473.8-1640.3)+(0+(0-0))+0-0-0</f>
        <v>5098.3999999999996</v>
      </c>
      <c r="AB52" s="3">
        <f>5164.5+(1561.1-1829.1)+(-2.633895+(-0.796161--0.932841))+0-0-0</f>
        <v>4894.0027849999997</v>
      </c>
      <c r="AC52" s="3">
        <f>4949.6+(1629.3-2015.3)+(-2.524296+(-0.830943--1.027803))+0-0-0</f>
        <v>4561.2725640000008</v>
      </c>
      <c r="AD52">
        <v>5136.2000000000007</v>
      </c>
      <c r="AE52" s="3">
        <f>5186+(1483.6-1533.4)+(0+(0-0))+0-0-0</f>
        <v>5136.2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4788.6+(1176.2-1913.3)+(-2.442186+(-0.599862--0.975783))+0-0-0</f>
        <v>4049.4337350000005</v>
      </c>
      <c r="G53" s="3">
        <f>4397.8+(1015.9-1776.4)+(-6.728634+(-1.554327--2.717892))+0-0-0</f>
        <v>3631.734931</v>
      </c>
      <c r="H53" s="3">
        <f>4191+(825.8-1532.9)+(-10.68705+(-2.10579--3.908895))+0-0-0</f>
        <v>3475.0160549999996</v>
      </c>
      <c r="I53" s="3">
        <f>4145.3+(827.2-1612.5)+(-10.570515+(-2.10936--4.111875))+0-0-0</f>
        <v>3351.4319999999998</v>
      </c>
      <c r="J53" s="3">
        <f>4157.5+(809.5-1618.5)+(2.120325+(0.412845-0.825435))+0-0-0</f>
        <v>3350.207735</v>
      </c>
      <c r="K53" s="3">
        <f>4155.1+(786.5-1605.5)+(-2.119101+(-0.401115--0.818805))+0-0-0</f>
        <v>3334.3985890000004</v>
      </c>
      <c r="L53" s="3">
        <f>4132.4+(733.9-1533.5)+(-8.430096+(-1.497156--3.12834))+0-0-0</f>
        <v>3326.0010879999995</v>
      </c>
      <c r="M53" s="3">
        <f>4339.7+(731.1-1334.1)+(4.426494+(0.745722-1.360782))+0-0-0</f>
        <v>3740.511434</v>
      </c>
      <c r="N53" s="3">
        <f>4772.5+(852.1-1285.1)+(4.86795+(0.869142-1.310802))+0-0-0</f>
        <v>4343.9262900000003</v>
      </c>
      <c r="O53" s="3">
        <f>5239+(678.6-1131.6)+(2.67189+(0.346086-0.577116))+0-0-0</f>
        <v>4788.4408599999997</v>
      </c>
      <c r="P53" s="3">
        <f>5384.1+(784.8-1096.2)+(-2.745891+(-0.400248--0.559062))+0-0-0</f>
        <v>5070.1129230000006</v>
      </c>
      <c r="Q53" s="3">
        <f>5376.2+(911.6-1031.2)+(-8.225586+(-1.394748--1.577736))+0-0-0</f>
        <v>5248.5574019999995</v>
      </c>
      <c r="R53" s="3">
        <f>5433.3+(925.3-1144.7)+(-5.541966+(-0.943806--1.167594))+0-0-0</f>
        <v>5208.5818219999992</v>
      </c>
      <c r="S53" s="3">
        <f>5421.7+(923.2-1334.3)+(-5.530134+(-0.941664--1.360986))+0-0-0</f>
        <v>5005.4891880000005</v>
      </c>
      <c r="T53" s="3">
        <f>5481.5+(1175-1713.2)+(-2.795565+(-0.59925--0.873732))+0-0-0</f>
        <v>4940.7789170000005</v>
      </c>
      <c r="U53" s="3">
        <f>5523.3+(1163.3-1856)+(-14.084415+(-2.966415--4.7328))+0-0-0</f>
        <v>4818.28197</v>
      </c>
      <c r="V53" s="3">
        <f>5532.9+(1155.1-1941.4)+(-2.821779+(-0.589101--0.990114))+0-0-0</f>
        <v>4744.1792339999993</v>
      </c>
      <c r="W53" s="3">
        <f>5230.5+(1120.4-1665.4)+(-18.672885+(-3.999828--5.945478))+0-0-0</f>
        <v>4668.7727649999997</v>
      </c>
      <c r="X53" s="3">
        <f>4743.2+(1100.1-1274.5)+(-9.676128+(-2.244204--2.59998))+0-0-0</f>
        <v>4559.4796479999995</v>
      </c>
      <c r="Y53" s="3">
        <f>4454.3+(1105.6-1361.1)+(-9.086772+(-2.255424--2.776644))+0-0-0</f>
        <v>4190.2344480000002</v>
      </c>
      <c r="Z53" s="3">
        <f>4665.7+(1036.7-1200.4)+(-7.138521+(-1.586151--1.836612))+0-0-0</f>
        <v>4495.1119399999998</v>
      </c>
      <c r="AA53" s="3">
        <f>5195.1+(1092.9-1319.9)+(-10.598004+(-2.229516--2.692596))+0-0-0</f>
        <v>4957.9650760000004</v>
      </c>
      <c r="AB53" s="3">
        <f>5011.5+(1102.3-1376.4)+(-5.11173+(-1.124346--1.403928))+0-0-0</f>
        <v>4732.5678519999992</v>
      </c>
      <c r="AC53" s="3">
        <f>4959.9+(1102.7-1568.1)+(-10.118196+(-2.249508--3.198924))+0-0-0</f>
        <v>4485.33122</v>
      </c>
      <c r="AD53">
        <v>4994.7</v>
      </c>
      <c r="AE53" s="3">
        <f>5194+(1119.5-1318.8)+(0+(0-0))+0-0-0</f>
        <v>4994.7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4537.9+(1089.7-1590.6)+(-6.942987+(-1.667241--2.433618))+0-0-0</f>
        <v>4030.82339</v>
      </c>
      <c r="G54" s="3">
        <f>4418.8+(1013.7-1635.4)+(-6.760764+(-1.550961--2.502162))+0-0-0</f>
        <v>3791.2904370000006</v>
      </c>
      <c r="H54" s="3">
        <f>4439.5+(985-1891.9)+(-9.05658+(-2.0094--3.859476))+0-0-0</f>
        <v>3525.3934959999997</v>
      </c>
      <c r="I54" s="3">
        <f>4302.5+(887.7-1800.6)+(0+(0-0))+0-0-0</f>
        <v>3389.6000000000004</v>
      </c>
      <c r="J54" s="3">
        <f>4216.1+(839.3-1726.7)+(-4.300422+(-0.856086--1.761234))+0-0-0</f>
        <v>3325.3047260000003</v>
      </c>
      <c r="K54" s="3">
        <f>4119.4+(606.1-1465.4)+(0+(0-0))+0-0-0</f>
        <v>3260.0999999999995</v>
      </c>
      <c r="L54" s="3">
        <f>3927.7+(494.9-1325.4)+(-10.015635+(-1.261995--3.37977))+0-0-0</f>
        <v>3089.3021399999998</v>
      </c>
      <c r="M54" s="3">
        <f>4069+(496.6-1448)+(4.15038+(0.506532-1.47696))+0-0-0</f>
        <v>3120.7799519999999</v>
      </c>
      <c r="N54" s="3">
        <f>4341.8+(631.9-1593.8)+(2.214318+(0.322269-0.812838))+0-0-0</f>
        <v>3381.6237490000003</v>
      </c>
      <c r="O54" s="3">
        <f>4551.3+(895.6-1761.8)+(-4.642326+(-0.913512--1.797036))+0-0-0</f>
        <v>3681.3411980000005</v>
      </c>
      <c r="P54" s="3">
        <f>4817.5+(841.6-1636.2)+(-2.456925+(-0.429216--0.834462))+0-0-0</f>
        <v>4020.8483209999999</v>
      </c>
      <c r="Q54" s="3">
        <f>4922+(902.7-1577.9)+(5.02044+(0.920754-1.609458))+0-0-0</f>
        <v>4251.1317360000003</v>
      </c>
      <c r="R54" s="3">
        <f>4927.3+(975.3-1597.3)+(10.051692+(1.989612-3.258492))+0-0-0</f>
        <v>4314.0828120000006</v>
      </c>
      <c r="S54" s="3">
        <f>4916.7+(986.5-1652.7)+(-2.507517+(-0.503115--0.842877))+0-0-0</f>
        <v>4248.3322449999996</v>
      </c>
      <c r="T54" s="3">
        <f>4921.6+(947.7-1686.7)+(-12.55008+(-2.416635--4.301085))+0-0-0</f>
        <v>4171.9343699999999</v>
      </c>
      <c r="U54" s="3">
        <f>4917.9+(1005.2-1828.2)+(-10.032516+(-2.050608--3.729528))+0-0-0</f>
        <v>4086.5464039999997</v>
      </c>
      <c r="V54" s="3">
        <f>4811.9+(1061.5-1794)+(-7.362207+(-1.624095--2.74482))+0-0-0</f>
        <v>4073.1585179999997</v>
      </c>
      <c r="W54" s="3">
        <f>4671.9+(937.5-1517.4)+(-14.296014+(-2.86875--4.643244))+0-0-0</f>
        <v>4079.4784799999998</v>
      </c>
      <c r="X54" s="3">
        <f>4637.7+(757.4-1218.2)+(-11.826135+(-1.93137--3.10641))+0-0-0</f>
        <v>4166.2489049999995</v>
      </c>
      <c r="Y54" s="3">
        <f>4590.7+(574.4-930.7)+(0+(0-0))+0-0-0</f>
        <v>4234.3999999999996</v>
      </c>
      <c r="Z54" s="3">
        <f>4870.8+(617-816.6)+(-9.936432+(-1.25868--1.665864))+0-0-0</f>
        <v>4661.670752</v>
      </c>
      <c r="AA54" s="3">
        <f>4927.4+(682.6-906.7)+(-7.538922+(-1.044378--1.387251))+0-0-0</f>
        <v>4696.1039509999991</v>
      </c>
      <c r="AB54" s="3">
        <f>4839+(868-1129.7)+(0+(0-0))+0-0-0</f>
        <v>4577.3</v>
      </c>
      <c r="AC54" s="3">
        <f>4787.7+(941.8-1393.1)+(-4.883454+(-0.960636--1.420962))+0-0-0</f>
        <v>4331.9768719999993</v>
      </c>
      <c r="AD54">
        <v>4725.4000000000005</v>
      </c>
      <c r="AE54" s="3">
        <f>4929+(548.6-752.2)+(0+(0-0))+0-0-0</f>
        <v>4725.3999999999996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4743.3+(935.9-1762.8)+(-7.257249+(-1.431927--2.697084))+0-0-0</f>
        <v>3910.4079080000001</v>
      </c>
      <c r="G55" s="3">
        <f>4433.4+(824.5-1721.1)+(-11.30517+(-2.102475--4.388805))+0-0-0</f>
        <v>3527.7811599999995</v>
      </c>
      <c r="H55" s="3">
        <f>4389.8+(745.4-1800.4)+(2.238798+(0.380154-0.918204))+0-0-0</f>
        <v>3336.5007480000004</v>
      </c>
      <c r="I55" s="3">
        <f>4371.4+(737.4-1868)+(-8.917656+(-1.504296--3.81072))+0-0-0</f>
        <v>3234.1887679999995</v>
      </c>
      <c r="J55" s="3">
        <f>4381+(753-1913.4)+(-6.70293+(-1.15209--2.927502))+0-0-0</f>
        <v>3215.6724819999999</v>
      </c>
      <c r="K55" s="3">
        <f>4407.6+(747-1888.9)+(-8.991504+(-1.52388--3.853356))+0-0-0</f>
        <v>3259.0379720000001</v>
      </c>
      <c r="L55" s="3">
        <f>4310.2+(559.6-1489.2)+(-10.99101+(-1.42698--3.79746))+0-0-0</f>
        <v>3371.9794699999998</v>
      </c>
      <c r="M55" s="3">
        <f>4370.5+(700.3-1222.3)+(0+(0-0))+0-0-0</f>
        <v>3848.5</v>
      </c>
      <c r="N55" s="3">
        <f>4973+(766.4-1185.3)+(-12.68115+(-1.95432--3.022515))+0-0-0</f>
        <v>4542.4870450000008</v>
      </c>
      <c r="O55" s="3">
        <f>5118.3+(940.6-1073.5)+(-7.830999+(-1.439118--1.642455))+0-0-0</f>
        <v>4977.7723380000007</v>
      </c>
      <c r="P55" s="3">
        <f>5100+(1031.5-868.3)+(-5.202+(-1.05213--0.885666))+0-0-0</f>
        <v>5257.8315359999997</v>
      </c>
      <c r="Q55" s="3">
        <f>5190.2+(1039.3-697.1)+(0+(0-0))+0-0-0</f>
        <v>5532.4</v>
      </c>
      <c r="R55" s="3">
        <f>5162.9+(1189.1-833.2)+(-7.899237+(-1.819323--1.274796))+0-0-0</f>
        <v>5510.3562359999996</v>
      </c>
      <c r="S55" s="3">
        <f>5116.2+(1194.4-980.8)+(-10.437048+(-2.436576--2.000832))+0-0-0</f>
        <v>5318.9272080000001</v>
      </c>
      <c r="T55" s="3">
        <f>5184.1+(1213.8-957.1)+(-10.575564+(-2.476152--1.952484))+0-0-0</f>
        <v>5429.7007680000006</v>
      </c>
      <c r="U55" s="3">
        <f>5241.6+(1267.7-1122.8)+(-2.673216+(-0.646527--0.572628))+0-0-0</f>
        <v>5383.7528849999999</v>
      </c>
      <c r="V55" s="3">
        <f>5085.6+(1097.9-866.8)+(0+(0-0))+0-0-0</f>
        <v>5316.7000000000007</v>
      </c>
      <c r="W55" s="3">
        <f>5015.5+(1118.3-893.1)+(-15.34743+(-3.421998--2.732886))+0-0-0</f>
        <v>5224.663458</v>
      </c>
      <c r="X55" s="3">
        <f>4891.1+(973.5-726.9)+(-22.450149+(-4.468365--3.336471))+0-0-0</f>
        <v>5114.1179570000004</v>
      </c>
      <c r="Y55" s="3">
        <f>4897+(1007.2-894.1)+(-4.99494+(-1.027344--0.911982))+0-0-0</f>
        <v>5004.9896980000003</v>
      </c>
      <c r="Z55" s="3">
        <f>5160.6+(966.6-850.9)+(-7.895718+(-1.478898--1.301877))+0-0-0</f>
        <v>5268.227261</v>
      </c>
      <c r="AA55" s="3">
        <f>5172.9+(905.9-869.8)+(-7.914537+(-1.386027--1.330794))+0-0-0</f>
        <v>5201.0302300000003</v>
      </c>
      <c r="AB55" s="3">
        <f>4980.1+(862.1-924.2)+(-2.539851+(-0.439671--0.471342))+0-0-0</f>
        <v>4915.4918200000002</v>
      </c>
      <c r="AC55" s="3">
        <f>4932.3+(871-1168.7)+(-5.030946+(-0.88842--1.192074))+0-0-0</f>
        <v>4629.8727080000008</v>
      </c>
      <c r="AD55">
        <v>5246.5</v>
      </c>
      <c r="AE55" s="3">
        <f>5227+(886.1-866.6)+(0+(0-0))+0-0-0</f>
        <v>5246.5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4675.6+(693.5-1271.1)+(-4.769112+(-0.70737--1.296522))+0-0-0</f>
        <v>4093.8200400000001</v>
      </c>
      <c r="G56" s="3">
        <f>4491.7+(652-1410.3)+(-13.744602+(-1.99512--4.315518))+0-0-0</f>
        <v>3721.9757959999997</v>
      </c>
      <c r="H56" s="3">
        <f>4404.9+(564.2-1421.8)+(-6.739497+(-0.863226--2.175354))+0-0-0</f>
        <v>3541.8726309999997</v>
      </c>
      <c r="I56" s="3">
        <f>4390.6+(609.8-1541.8)+(-4.478412+(-0.621996--1.572636))+0-0-0</f>
        <v>3455.0722280000005</v>
      </c>
      <c r="J56" s="3">
        <f>4381.1+(591.4-1532.2)+(-8.937444+(-1.206456--3.125688))+0-0-0</f>
        <v>3433.2817880000002</v>
      </c>
      <c r="K56" s="3">
        <f>4308+(607.3-1445.9)+(-15.37956+(-2.168061--5.161863))+0-0-0</f>
        <v>3457.0142419999997</v>
      </c>
      <c r="L56" s="3">
        <f>4010.6+(676.8-1120.3)+(-4.090812+(-0.690336--1.142706))+0-0-0</f>
        <v>3563.461558</v>
      </c>
      <c r="M56" s="3">
        <f>4107.7+(723.1-794.4)+(2.094927+(0.368781-0.405144))+0-0-0</f>
        <v>4038.4585639999996</v>
      </c>
      <c r="N56" s="3">
        <f>4833.5+(773.9-952.3)+(4.93017+(0.789378-0.971346))+0-0-0</f>
        <v>4659.8482020000001</v>
      </c>
      <c r="O56" s="3">
        <f>4977.3+(895.7-815.3)+(7.615269+(1.370421-1.247409))+0-0-0</f>
        <v>5065.4382810000006</v>
      </c>
      <c r="P56" s="3">
        <f>5001.4+(921.7-649.9)+(2.550714+(0.470067-0.331449))+0-0-0</f>
        <v>5275.8893319999997</v>
      </c>
      <c r="Q56" s="3">
        <f>5182.1+(1061-768.2)+(-7.928613+(-1.62333--1.175346))+0-0-0</f>
        <v>5466.5234030000001</v>
      </c>
      <c r="R56" s="3">
        <f>5209+(1055.3-870.6)+(7.96977+(1.614609-1.332018))+0-0-0</f>
        <v>5401.9523609999997</v>
      </c>
      <c r="S56" s="3">
        <f>5296.3+(1149.3-1182.7)+(-5.402226+(-1.172286--1.206354))+0-0-0</f>
        <v>5257.5318419999994</v>
      </c>
      <c r="T56" s="3">
        <f>5314.3+(1215.3-1187.9)+(-2.710293+(-0.619803--0.605829))+0-0-0</f>
        <v>5338.9757330000002</v>
      </c>
      <c r="U56" s="3">
        <f>5239.7+(1274.1-1278.5)+(-10.688988+(-2.599164--2.60814))+0-0-0</f>
        <v>5224.6199879999995</v>
      </c>
      <c r="V56" s="3">
        <f>5249.6+(1278.4-1361.1)+(-5.354592+(-1.303968--1.388322))+0-0-0</f>
        <v>5161.6297620000005</v>
      </c>
      <c r="W56" s="3">
        <f>5126.1+(1169.2-1244.9)+(-15.685866+(-3.577752--3.809394))+0-0-0</f>
        <v>5034.9457760000005</v>
      </c>
      <c r="X56" s="3">
        <f>4847.8+(947.2-904.6)+(-9.889512+(-1.932288--1.845384))+0-0-0</f>
        <v>4880.4235840000001</v>
      </c>
      <c r="Y56" s="3">
        <f>4890.2+(909.7-980)+(-2.494002+(-0.463947--0.4998))+0-0-0</f>
        <v>4817.4418509999996</v>
      </c>
      <c r="Z56" s="3">
        <f>5089.2+(1141.7-1074.6)+(-5.190984+(-1.164534--1.096092))+0-0-0</f>
        <v>5151.0405740000006</v>
      </c>
      <c r="AA56" s="3">
        <f>5059.8+(992.9-910.2)+(-7.741494+(-1.519137--1.392606))+0-0-0</f>
        <v>5134.6319750000002</v>
      </c>
      <c r="AB56" s="3">
        <f>5012+(925.4-1084.9)+(0+(0-0))+0-0-0</f>
        <v>4852.5</v>
      </c>
      <c r="AC56" s="3">
        <f>4829.8+(936.3-1251)+(-7.389594+(-1.432539--1.91403))+0-0-0</f>
        <v>4508.1918970000006</v>
      </c>
      <c r="AD56">
        <v>5262.5</v>
      </c>
      <c r="AE56" s="3">
        <f>5083+(1146.7-967.2)+(0+(0-0))+0-0-0</f>
        <v>5262.5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4675.8+(998.6-1645.1)+(-11.92329+(-2.54643--4.195005))+0-0-0</f>
        <v>4019.0252850000002</v>
      </c>
      <c r="G57" s="3">
        <f>4442.5+(698.5-1477.5)+(-11.328375+(-1.781175--3.767625))+0-0-0</f>
        <v>3654.1580749999998</v>
      </c>
      <c r="H57" s="3">
        <f>4420.7+(640.8-1592.6)+(-11.272785+(-1.63404--4.06113))+0-0-0</f>
        <v>3460.0543049999997</v>
      </c>
      <c r="I57" s="3">
        <f>4364.6+(712-1683.8)+(-4.451892+(-0.72624--1.717476))+0-0-0</f>
        <v>3389.339344</v>
      </c>
      <c r="J57" s="3">
        <f>4132.8+(739-1503.4)+(-2.107728+(-0.37689--0.766734))+0-0-0</f>
        <v>3366.682116</v>
      </c>
      <c r="K57" s="3">
        <f>4102+(768-1480.8)+(-6.27606+(-1.17504--2.265624))+0-0-0</f>
        <v>3384.0145239999997</v>
      </c>
      <c r="L57" s="3">
        <f>4198.7+(632.6-1310.4)+(-4.282674+(-0.645252--1.336608))+0-0-0</f>
        <v>3517.3086819999999</v>
      </c>
      <c r="M57" s="3">
        <f>4249.4+(579.5-945.2)+(0+(0-0))+0-0-0</f>
        <v>3883.7</v>
      </c>
      <c r="N57" s="3">
        <f>4784.4+(525.1-751.2)+(4.880088+(0.535602-0.766224))+0-0-0</f>
        <v>4562.9494659999991</v>
      </c>
      <c r="O57" s="3">
        <f>5169.5+(631.8-769.4)+(0+(0-0))+0-0-0</f>
        <v>5031.8999999999996</v>
      </c>
      <c r="P57" s="3">
        <f>5180.7+(928.2-847.2)+(0+(0-0))+0-0-0</f>
        <v>5261.7</v>
      </c>
      <c r="Q57" s="3">
        <f>5254.4+(882.9-627.8)+(2.679744+(0.450279-0.320178))+0-0-0</f>
        <v>5512.3098449999998</v>
      </c>
      <c r="R57" s="3">
        <f>5222.9+(895.5-615.9)+(-7.991037+(-1.370115--0.942327))+0-0-0</f>
        <v>5494.0811750000003</v>
      </c>
      <c r="S57" s="3">
        <f>5246.8+(993.4-920.2)+(-2.675868+(-0.506634--0.469302))+0-0-0</f>
        <v>5317.2867999999999</v>
      </c>
      <c r="T57" s="3">
        <f>5260.6+(1018.3-852.3)+(-16.097436+(-3.115998--2.608038))+0-0-0</f>
        <v>5409.9946040000004</v>
      </c>
      <c r="U57" s="3">
        <f>5325.2+(1066.7-1036.4)+(-16.295112+(-3.264102--3.171384))+0-0-0</f>
        <v>5339.1121700000003</v>
      </c>
      <c r="V57" s="3">
        <f>5420.1+(1051.1-1201.6)+(-19.349757+(-3.752427--4.289712))+0-0-0</f>
        <v>5250.7875280000007</v>
      </c>
      <c r="W57" s="3">
        <f>5311.8+(895.3-1126.9)+(-21.672144+(-3.652824--4.597752))+0-0-0</f>
        <v>5059.4727839999996</v>
      </c>
      <c r="X57" s="3">
        <f>5370.2+(841.8-1188.3)+(-19.171614+(-3.005226--4.242231))+0-0-0</f>
        <v>5005.7653909999999</v>
      </c>
      <c r="Y57" s="3">
        <f>5435.8+(725.1-1224.9)+(-11.089032+(-1.479204--2.498796))+0-0-0</f>
        <v>4925.9305599999998</v>
      </c>
      <c r="Z57" s="3">
        <f>5592.1+(682.5-1070.7)+(-17.111826+(-2.08845--3.276342))+0-0-0</f>
        <v>5187.9760660000002</v>
      </c>
      <c r="AA57" s="3">
        <f>5679.6+(701.5-1277.1)+(-11.586384+(-1.43106--2.605284))+0-0-0</f>
        <v>5093.5878400000001</v>
      </c>
      <c r="AB57" s="3">
        <f>5691.2+(682.5-1506.7)+(-11.610048+(-1.3923--3.073668))+0-0-0</f>
        <v>4857.07132</v>
      </c>
      <c r="AC57" s="3">
        <f>5491.1+(684.2-1693)+(-8.401383+(-1.046826--2.59029))+0-0-0</f>
        <v>4475.4420810000001</v>
      </c>
      <c r="AD57">
        <v>5123.1000000000004</v>
      </c>
      <c r="AE57" s="3">
        <f>5670+(736.1-1273)+(0+(0-0))+0-0-0</f>
        <v>5133.1000000000004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5135.2+(725.5-1818.1)+(-5.237904+(-0.74001--1.854462))+0-0-0</f>
        <v>4038.4765480000001</v>
      </c>
      <c r="G58" s="3">
        <f>4940+(534.4-1764.3)+(-10.0776+(-1.090176--3.599172))+0-0-0</f>
        <v>3702.5313959999999</v>
      </c>
      <c r="H58" s="3">
        <f>4472.5+(549.1-1518.9)+(-4.56195+(-0.560082--1.549278))+0-0-0</f>
        <v>3499.127246</v>
      </c>
      <c r="I58" s="3">
        <f>4371.6+(614.5-1579.5)+(-8.918064+(-1.25358--3.22218))+0-0-0</f>
        <v>3399.6505360000006</v>
      </c>
      <c r="J58" s="3">
        <f>4259.2+(576.6-1454.1)+(-6.516576+(-0.882198--2.224773))+0-0-0</f>
        <v>3376.525999</v>
      </c>
      <c r="K58" s="3">
        <f>4210.7+(595.5-1398.6)+(-12.884742+(-1.82223--4.279716))+0-0-0</f>
        <v>3397.172744</v>
      </c>
      <c r="L58" s="3">
        <f>4165+(408.8-1102.6)+(-10.62075+(-1.04244--2.81163))+0-0-0</f>
        <v>3462.3484399999998</v>
      </c>
      <c r="M58" s="3">
        <f>4626.8+(427.3-1103.1)+(-2.359668+(-0.217923--0.562581))+0-0-0</f>
        <v>3948.9849899999999</v>
      </c>
      <c r="N58" s="3">
        <f>5392.8+(504.6-1348.2)+(0+(0-0))+0-0-0</f>
        <v>4549.2</v>
      </c>
      <c r="O58" s="3">
        <f>5535.1+(585.8-1130.8)+(-2.822901+(-0.298758--0.576708))+0-0-0</f>
        <v>4987.5550490000005</v>
      </c>
      <c r="P58" s="3">
        <f>5554+(678.7-1005.5)+(2.83254+(0.346137-0.512805))+0-0-0</f>
        <v>5229.8658719999994</v>
      </c>
      <c r="Q58" s="3">
        <f>5490.6+(752.6-803.9)+(5.600412+(0.767652-0.819978))+0-0-0</f>
        <v>5444.848086</v>
      </c>
      <c r="R58" s="3">
        <f>5466.7+(802.1-802.7)+(-5.576034+(-0.818142--0.818754))+0-0-0</f>
        <v>5460.5245779999996</v>
      </c>
      <c r="S58" s="3">
        <f>5440.5+(869.6-1017.4)+(-13.873275+(-2.21748--2.59437))+0-0-0</f>
        <v>5279.2036149999994</v>
      </c>
      <c r="T58" s="3">
        <f>5420.7+(997.4-1059.9)+(0+(0-0))+0-0-0</f>
        <v>5358.2</v>
      </c>
      <c r="U58" s="3">
        <f>5576.8+(952.5-1199.7)+(-8.532504+(-1.457325--1.835541))+0-0-0</f>
        <v>5321.4457120000006</v>
      </c>
      <c r="V58" s="3">
        <f>5633.4+(913.3-1333.2)+(-5.746068+(-0.931566--1.359864))+0-0-0</f>
        <v>5208.1822300000003</v>
      </c>
      <c r="W58" s="3">
        <f>5514.1+(869.2-1344.1)+(-16.873146+(-2.659752--4.112946))+0-0-0</f>
        <v>5023.7800480000005</v>
      </c>
      <c r="X58" s="3">
        <f>5475.9+(817.7-1215.4)+(-16.756254+(-2.502162--3.719124))+0-0-0</f>
        <v>5062.6607079999994</v>
      </c>
      <c r="Y58" s="3">
        <f>5446.9+(753.3-1190.6)+(-8.333757+(-1.152549--1.821618))+0-0-0</f>
        <v>5001.9353119999996</v>
      </c>
      <c r="Z58" s="3">
        <f>5703.5+(689.9-1182.6)+(-11.63514+(-1.407396--2.412504))+0-0-0</f>
        <v>5200.1699680000002</v>
      </c>
      <c r="AA58" s="3">
        <f>5808.3+(782.6-1486.2)+(-14.811165+(-1.99563--3.78981))+0-0-0</f>
        <v>5091.6830149999996</v>
      </c>
      <c r="AB58" s="3">
        <f>5704.6+(952.7-1845.2)+(0+(0-0))+0-0-0</f>
        <v>4812.1000000000004</v>
      </c>
      <c r="AC58" s="3">
        <f>5623.5+(877.2-1953.8)+(-11.47194+(-1.789488--3.985752))+0-0-0</f>
        <v>4537.6243239999994</v>
      </c>
      <c r="AD58">
        <v>5195</v>
      </c>
      <c r="AE58" s="3">
        <f>5807+(756.7-1368.7)+(0+(0-0))+0-0-0</f>
        <v>5195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5205.8+(814.9-1979.5)+(-10.619832+(-1.662396--4.03818))+0-0-0</f>
        <v>4032.9559520000003</v>
      </c>
      <c r="G59" s="3">
        <f>5082.2+(484-1899.4)+(-5.183844+(-0.49368--1.937388))+0-0-0</f>
        <v>3663.0598639999998</v>
      </c>
      <c r="H59" s="3">
        <f>4630.7+(417.8-1577.8)+(-2.361657+(-0.213078--0.804678))+0-0-0</f>
        <v>3468.9299429999996</v>
      </c>
      <c r="I59" s="3">
        <f>4569.1+(451.6-1640.4)+(-4.660482+(-0.460632--1.673208))+0-0-0</f>
        <v>3376.8520940000003</v>
      </c>
      <c r="J59" s="3">
        <f>4400+(432.6-1477.8)+(0+(0-0))+0-0-0</f>
        <v>3354.8</v>
      </c>
      <c r="K59" s="3">
        <f>4393.5+(524.9-1545.7)+(-8.96274+(-1.070796--3.153228))+0-0-0</f>
        <v>3365.819692</v>
      </c>
      <c r="L59" s="3">
        <f>4358.9+(503.5-1414.1)+(-11.115195+(-1.283925--3.605955))+0-0-0</f>
        <v>3439.5068349999997</v>
      </c>
      <c r="M59" s="3">
        <f>4737.4+(494.8-1299)+(0+(0-0))+0-0-0</f>
        <v>3933.2</v>
      </c>
      <c r="N59" s="3">
        <f>5264.8+(576.7-1279.3)+(-2.685048+(-0.294117--0.652443))+0-0-0</f>
        <v>4559.8732780000009</v>
      </c>
      <c r="O59" s="3">
        <f>5309+(695.9-1077.3)+(-2.70759+(-0.354909--0.549423))+0-0-0</f>
        <v>4925.0869240000002</v>
      </c>
      <c r="P59" s="3">
        <f>5363.3+(846.8-958.4)+(-5.470566+(-0.863736--0.977568))+0-0-0</f>
        <v>5246.3432659999999</v>
      </c>
      <c r="Q59" s="3">
        <f>5440.6+(928.3-890.9)+(2.774706+(0.473433-0.454359))+0-0-0</f>
        <v>5480.79378</v>
      </c>
      <c r="R59" s="3">
        <f>5386.1+(916.5-796.1)+(-2.746911+(-0.467415--0.406011))+0-0-0</f>
        <v>5503.6916849999998</v>
      </c>
      <c r="S59" s="3">
        <f>5400.5+(993.1-1061.6)+(2.754255+(0.506481-0.541416))+0-0-0</f>
        <v>5334.7193200000002</v>
      </c>
      <c r="T59" s="3">
        <f>5483.5+(1069.2-1093.5)+(-2.796585+(-0.545292--0.557685))+0-0-0</f>
        <v>5456.4158079999997</v>
      </c>
      <c r="U59" s="3">
        <f>5434.7+(1137-1151.8)+(-13.858485+(-2.89935--2.93709))+0-0-0</f>
        <v>5406.0792549999996</v>
      </c>
      <c r="V59" s="3">
        <f>5446.5+(1093.5-1195.6)+(-11.11086+(-2.23074--2.439024))+11.9-0-0</f>
        <v>5345.3974239999989</v>
      </c>
      <c r="W59" s="3">
        <f>5445.3+(1178-1382)+(-13.885515+(-3.0039--3.5241))+23-0-0</f>
        <v>5250.9346850000002</v>
      </c>
      <c r="X59" s="3">
        <f>5466.7+(1147.6-1487.5)+(-19.516119+(-4.096932--5.310375))+23-0-0</f>
        <v>5131.497323999999</v>
      </c>
      <c r="Y59" s="3">
        <f>5549.9+(1054.5-1546.2)+(-5.660898+(-1.07559--1.577124))+6.9-0-0</f>
        <v>5059.9406359999994</v>
      </c>
      <c r="Z59" s="3">
        <f>5744.9+(965-1466.1)+(-5.859798+(-0.9843--1.495422))+0-0-0</f>
        <v>5238.4513239999997</v>
      </c>
      <c r="AA59" s="3">
        <f>5787.9+(1061.1-1625.9)+(-11.807316+(-2.164644--3.316836))+0-0-0</f>
        <v>5212.4448759999996</v>
      </c>
      <c r="AB59" s="3">
        <f>5663.9+(1096.5-1827.5)+(-14.442945+(-2.796075--4.660125))+0-0-0</f>
        <v>4920.321105</v>
      </c>
      <c r="AC59" s="3">
        <f>5615.7+(964.3-1964.2)+(-2.864007+(-0.491793--1.001742))+0-0-0</f>
        <v>4613.4459419999994</v>
      </c>
      <c r="AD59">
        <v>5309.4</v>
      </c>
      <c r="AE59" s="3">
        <f>5803+(983.4-1477)+(0+(0-0))+0-0-0</f>
        <v>5309.4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5098.6+(762.6-1708.7)+(-13.00143+(-1.94463--4.357185))+0-0-0</f>
        <v>4141.9111249999996</v>
      </c>
      <c r="G60" s="3">
        <f>4717.5+(599.3-1548.2)+(-2.405925+(-0.305643--0.789582))+0-0-0</f>
        <v>3766.6780140000001</v>
      </c>
      <c r="H60" s="3">
        <f>4552.9+(561.6-1540.5)+(-9.287916+(-1.145664--3.14262))+0-0-0</f>
        <v>3566.7090399999997</v>
      </c>
      <c r="I60" s="3">
        <f>4534.3+(509.7-1576.8)+(-11.562465+(-1.299735--4.02084))+0-0-0</f>
        <v>3458.3586400000004</v>
      </c>
      <c r="J60" s="3">
        <f>4541.4+(459.1-1549.3)+(-6.948342+(-0.702423--2.370429))+0-0-0</f>
        <v>3445.919664</v>
      </c>
      <c r="K60" s="3">
        <f>4580.3+(483.6-1613.1)+(-7.007859+(-0.739908--2.468043))+0-0-0</f>
        <v>3445.5202760000002</v>
      </c>
      <c r="L60" s="3">
        <f>4508.1+(469.3-1557.9)+(-2.299131+(-0.239343--0.794529))+0-0-0</f>
        <v>3417.7560549999998</v>
      </c>
      <c r="M60" s="3">
        <f>4954.6+(593.4-1641.6)+(-2.526846+(-0.302634--0.837216))+0-0-0</f>
        <v>3904.4077360000006</v>
      </c>
      <c r="N60" s="3">
        <f>5292.3+(680.8-1497.9)+(2.699073+(0.347208-0.763929))+0-0-0</f>
        <v>4477.482352</v>
      </c>
      <c r="O60" s="3">
        <f>5595.5+(679.6-1300.2)+(-8.561115+(-1.039788--1.989306))+0-0-0</f>
        <v>4967.2884029999996</v>
      </c>
      <c r="P60" s="3">
        <f>5594+(619.4-899.1)+(-5.70588+(-0.631788--0.917082))+0-0-0</f>
        <v>5308.879414</v>
      </c>
      <c r="Q60" s="3">
        <f>5555.4+(615-670.1)+(-5.666508+(-0.6273--0.683502))+0-0-0</f>
        <v>5494.6896939999997</v>
      </c>
      <c r="R60" s="3">
        <f>5560.7+(800.2-874.7)+(2.835957+(0.408102-0.446097))+0-0-0</f>
        <v>5488.9979619999995</v>
      </c>
      <c r="S60" s="3">
        <f>5636.6+(899.8-1281.9)+(-2.874666+(-0.458898--0.653769))+0-0-0</f>
        <v>5251.820205</v>
      </c>
      <c r="T60" s="3">
        <f>5532.4+(1004.7-1320.9)+(2.821524+(0.512397-0.673659))+0-0-0</f>
        <v>5218.8602620000001</v>
      </c>
      <c r="U60" s="3">
        <f>5357.8+(1088.5-1382.7)+(-8.197434+(-1.665405--2.115531))+0-0-0</f>
        <v>5055.8526920000004</v>
      </c>
      <c r="V60" s="3">
        <f>5490.9+(1119.6-1634.6)+(-2.800359+(-0.570996--0.833646))+0-0-0</f>
        <v>4973.3622909999995</v>
      </c>
      <c r="W60" s="3">
        <f>5433.7+(1067.2-1611.8)+(-13.855935+(-2.72136--4.11009))+0-0-0</f>
        <v>4876.6327950000004</v>
      </c>
      <c r="X60" s="3">
        <f>5292.8+(871.5-1294.8)+(-13.49664+(-2.222325--3.30174))+0-0-0</f>
        <v>4857.0827749999999</v>
      </c>
      <c r="Y60" s="3">
        <f>5210.5+(818.5-1166.2)+(-7.972065+(-1.252305--1.784286))+0-0-0</f>
        <v>4855.3599160000003</v>
      </c>
      <c r="Z60" s="3">
        <f>5518.7+(652.1-1165.4)+(-8.443611+(-0.997713--1.783062))+0-0-0</f>
        <v>4997.7417379999997</v>
      </c>
      <c r="AA60" s="3">
        <f>5657.2+(581.1-1737.2)+(-14.42586+(-1.481805--4.42986))+0-0-0</f>
        <v>4489.6221949999999</v>
      </c>
      <c r="AB60" s="3">
        <f>5564.5+(628-1686.9)+(-5.67579+(-0.64056--1.720638))+0-0-0</f>
        <v>4501.0042880000001</v>
      </c>
      <c r="AC60" s="3">
        <f>5484+(728.9-1823.6)+(0+(0-0))+0-0-0</f>
        <v>4389.3</v>
      </c>
      <c r="AD60">
        <v>4949.1000000000004</v>
      </c>
      <c r="AE60" s="3">
        <f>5692+(620.7-1363.6)+(0+(0-0))+0-0-0</f>
        <v>4949.1000000000004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5329.5+(792.4-2061.2)+(0+(0-0))+0-0-0</f>
        <v>4060.7000000000003</v>
      </c>
      <c r="G61" s="3">
        <f>5085+(749.2-2092.8)+(-10.3734+(-1.528368--4.269312))+0-0-0</f>
        <v>3733.7675439999998</v>
      </c>
      <c r="H61" s="3">
        <f>4865.9+(649.6-1998.7)+(0+(0-0))+0-0-0</f>
        <v>3516.7999999999997</v>
      </c>
      <c r="I61" s="3">
        <f>4578.4+(629.3-1827.1)+(-2.334984+(-0.320943--0.931821))+0-0-0</f>
        <v>3378.8758939999993</v>
      </c>
      <c r="J61" s="3">
        <f>4508.2+(568.2-1732.9)+(0+(0-0))+0-0-0</f>
        <v>3343.5</v>
      </c>
      <c r="K61" s="3">
        <f>4466.4+(580.2-1770.5)+(-9.111456+(-1.183608--3.61182))+0-0-0</f>
        <v>3269.4167559999996</v>
      </c>
      <c r="L61" s="3">
        <f>4234.1+(714.4-1832.3)+(-19.434519+(-3.279096--8.410257))+0-0-0</f>
        <v>3101.8966420000002</v>
      </c>
      <c r="M61" s="3">
        <f>4356.9+(698-1908.1)+(2.222019+(0.35598-0.973131))+0-0-0</f>
        <v>3148.4048679999996</v>
      </c>
      <c r="N61" s="3">
        <f>4538.5+(664-1784.5)+(-4.62927+(-0.67728--1.82019))+0-0-0</f>
        <v>3414.5136400000001</v>
      </c>
      <c r="O61" s="3">
        <f>4821.2+(643-1667)+(0+(0-0))+0-0-0</f>
        <v>3797.2</v>
      </c>
      <c r="P61" s="3">
        <f>4961.5+(785.2-1574.2)+(-2.530365+(-0.400452--0.802842))+0-0-0</f>
        <v>4170.3720249999997</v>
      </c>
      <c r="Q61" s="3">
        <f>4938.4+(863.9-1395.6)+(5.037168+(0.881178-1.423512))+0-0-0</f>
        <v>4411.1948339999999</v>
      </c>
      <c r="R61" s="3">
        <f>4971.5+(854.3-1457.7)+(-7.606395+(-1.307079--2.230281))+0-0-0</f>
        <v>4361.4168070000005</v>
      </c>
      <c r="S61" s="3">
        <f>5076.9+(950-1742.7)+(0+(0-0))+0-0-0</f>
        <v>4284.2</v>
      </c>
      <c r="T61" s="3">
        <f>5046.4+(1238.8-2102.9)+(-7.720992+(-1.895364--3.217437))+0-0-0</f>
        <v>4175.9010809999991</v>
      </c>
      <c r="U61" s="3">
        <f>4933.9+(1199.7-2039.3)+(-2.516289+(-0.611847--1.040043))+0-0-0</f>
        <v>4092.2119069999999</v>
      </c>
      <c r="V61" s="3">
        <f>4889.7+(1265.7-2064.2)+(2.493747+(0.645507-1.052742))+0-0-0</f>
        <v>4093.2865119999997</v>
      </c>
      <c r="W61" s="3">
        <f>4886.7+(1198-1940.8)+(-12.461085+(-3.0549--4.94904))+0-0-0</f>
        <v>4133.3330550000001</v>
      </c>
      <c r="X61" s="3">
        <f>4790.7+(1056.2-1695.5)+(-14.659542+(-3.231972--5.18823))+0-0-0</f>
        <v>4138.6967159999995</v>
      </c>
      <c r="Y61" s="3">
        <f>4640+(1029.7-1522.3)+(-7.0992+(-1.575441--2.329119))+0-0-0</f>
        <v>4141.054478</v>
      </c>
      <c r="Z61" s="3">
        <f>5154.3+(948.5-1512)+(2.628693+(0.483735-0.77112))+0-0-0</f>
        <v>4593.1413080000002</v>
      </c>
      <c r="AA61" s="3">
        <f>5257.4+(1011.3-1456)+(0+(0-0))+0-0-0</f>
        <v>4812.7</v>
      </c>
      <c r="AB61" s="3">
        <f>5241.3+(1047.7-1584)+(0+(0-0))+0-0-0</f>
        <v>4705</v>
      </c>
      <c r="AC61" s="3">
        <f>5226.8+(1159.1-1945.5)+(-7.997004+(-1.773423--2.976615))+0-0-0</f>
        <v>4433.6061879999997</v>
      </c>
      <c r="AD61">
        <v>4912.7999999999993</v>
      </c>
      <c r="AE61" s="3">
        <f>5272+(1007.4-1366.6)+(0+(0-0))+0-0-0</f>
        <v>4912.8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4716.2+(1311.9-1913.3)+(-2.405262+(-0.669069--0.975783))+0-0-0</f>
        <v>4112.7014520000002</v>
      </c>
      <c r="G62" s="3">
        <f>4531.2+(1107.6-1926.8)+(-4.621824+(-1.129752--1.965336))+0-0-0</f>
        <v>3708.2137600000001</v>
      </c>
      <c r="H62" s="3">
        <f>4516.9+(819-1853.1)+(-6.910857+(-1.25307--2.835243))+0-0-0</f>
        <v>3477.4713159999997</v>
      </c>
      <c r="I62" s="3">
        <f>4475.5+(818.5-1918)+(-4.56501+(-0.83487--1.95636))+0-0-0</f>
        <v>3372.5564800000002</v>
      </c>
      <c r="J62" s="3">
        <f>4478.1+(806.5-1964.6)+(-6.851493+(-1.233945--3.005838))+0-0-0</f>
        <v>3314.9204000000004</v>
      </c>
      <c r="K62" s="3">
        <f>4432.8+(861.6-1945.5)+(-11.30364+(-2.19708--4.961025))+0-0-0</f>
        <v>3340.3603050000002</v>
      </c>
      <c r="L62" s="3">
        <f>4364+(623.1-1586.9)+(-2.22564+(-0.317781--0.809319))+0-0-0</f>
        <v>3398.4658979999999</v>
      </c>
      <c r="M62" s="3">
        <f>4656.6+(783-1464.8)+(-2.374866+(-0.39933--0.747048))+0-0-0</f>
        <v>3972.7728520000001</v>
      </c>
      <c r="N62" s="3">
        <f>5088.9+(1077.2-1442)+(-2.595339+(-0.549372--0.73542))+0-0-0</f>
        <v>4721.6907089999995</v>
      </c>
      <c r="O62" s="3">
        <f>5215.4+(1204.3-1148.6)+(0+(0-0))+0-0-0</f>
        <v>5271.0999999999995</v>
      </c>
      <c r="P62" s="3">
        <f>5458.2+(1216.2-1007.2)+(-2.783682+(-0.620262--0.513672))+0-0-0</f>
        <v>5664.3097280000002</v>
      </c>
      <c r="Q62" s="3">
        <f>5574.6+(1330.7-1015)+(0+(0-0))+0-0-0</f>
        <v>5890.3</v>
      </c>
      <c r="R62" s="3">
        <f>5659.3+(1439.2-1321.2)+(2.886243+(0.733992-0.673812))+0-0-0</f>
        <v>5780.2464230000005</v>
      </c>
      <c r="S62" s="3">
        <f>5902+(1518.4-1714.3)+(-6.02004+(-1.548768--1.748586))+0-0-0</f>
        <v>5700.2797780000001</v>
      </c>
      <c r="T62" s="3">
        <f>5936.9+(1591.2-1741.3)+(3.027819+(0.811512-0.888063))+0-0-0</f>
        <v>5789.7512679999991</v>
      </c>
      <c r="U62" s="3">
        <f>5919.1+(1674.4-1850.5)+(-3.018741+(-0.853944--0.943755))+0-0-0</f>
        <v>5740.07107</v>
      </c>
      <c r="V62" s="3">
        <f>5890.2+(1625.4-1896.6)+(-12.016008+(-3.315816--3.869064))+0-0-0</f>
        <v>5607.5372399999997</v>
      </c>
      <c r="W62" s="3">
        <f>5810.1+(1612.6-1769.1)+(-17.778906+(-4.934556--5.413446))+0-0-0</f>
        <v>5636.2999840000002</v>
      </c>
      <c r="X62" s="3">
        <f>5365.4+(1145.6-1186.9)+(-8.209062+(-1.752768--1.815957))+0-0-0</f>
        <v>5315.9541269999991</v>
      </c>
      <c r="Y62" s="3">
        <f>5291.5+(926.3-1108.7)+(-2.698665+(-0.472413--0.565437))+0-0-0</f>
        <v>5106.4943590000003</v>
      </c>
      <c r="Z62" s="3">
        <f>5576.9+(951-1178.2)+(-2.844219+(-0.48501--0.600882))+0-0-0</f>
        <v>5346.9716529999996</v>
      </c>
      <c r="AA62" s="3">
        <f>5768.9+(1259.9-1422.3)+(-8.826417+(-1.927647--2.176119))+0-0-0</f>
        <v>5597.922055</v>
      </c>
      <c r="AB62" s="3">
        <f>5604.7+(1192.7-1561.1)+(-8.575191+(-1.824831--2.388483))+0-0-0</f>
        <v>5228.2884610000001</v>
      </c>
      <c r="AC62" s="3">
        <f>5547.4+(1296.9-1935.2)+(-11.316696+(-2.645676--3.947808))+0-0-0</f>
        <v>4899.0854359999994</v>
      </c>
      <c r="AD62">
        <v>5726</v>
      </c>
      <c r="AE62" s="3">
        <f>5804+(1255-1333)+(0+(0-0))+0-0-0</f>
        <v>5726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5106.8+(1384.2-1950.5)+(-10.417872+(-2.823768--3.97902))+0-0-0</f>
        <v>4531.2373799999996</v>
      </c>
      <c r="G63" s="3">
        <f>4742.7+(1029.8-1730.3)+(-12.093885+(-2.62599--4.412265))+0-0-0</f>
        <v>4031.89239</v>
      </c>
      <c r="H63" s="3">
        <f>4713.3+(882.4-1804.8)+(-4.807566+(-0.900048--1.840896))+0-0-0</f>
        <v>3787.0332819999999</v>
      </c>
      <c r="I63" s="3">
        <f>4704.7+(866.5-1885.1)+(-9.597588+(-1.76766--3.845604))+0-0-0</f>
        <v>3678.5803559999999</v>
      </c>
      <c r="J63" s="3">
        <f>4676.2+(860.1-1907.6)+(-16.694034+(-3.070557--6.810132))+0-0-0</f>
        <v>3615.7455409999998</v>
      </c>
      <c r="K63" s="3">
        <f>4630.3+(885.8-1841.9)+(-16.530171+(-3.162306--6.575583))+0-0-0</f>
        <v>3661.083106</v>
      </c>
      <c r="L63" s="3">
        <f>4528.5+(816.2-1601.1)+(-6.928605+(-1.248786--2.449683))+0-0-0</f>
        <v>3737.8722920000005</v>
      </c>
      <c r="M63" s="3">
        <f>4653.4+(870-1337.6)+(4.746468+(0.8874-1.364352))+0-0-0</f>
        <v>4190.0695159999996</v>
      </c>
      <c r="N63" s="3">
        <f>5110.1+(958.5-1152.4)+(2.606151+(0.488835-0.587724))+0-0-0</f>
        <v>4918.7072620000008</v>
      </c>
      <c r="O63" s="3">
        <f>5485.4+(1152-1265.3)+(-2.797554+(-0.58752--0.645303))+0-0-0</f>
        <v>5369.3602289999999</v>
      </c>
      <c r="P63" s="3">
        <f>5532.3+(1269.8-1025.6)+(-2.821473+(-0.647598--0.523056))+0-0-0</f>
        <v>5773.5539849999996</v>
      </c>
      <c r="Q63" s="3">
        <f>5551.9+(1291.6-900.5)+(-8.494407+(-1.976148--1.377765))+0-0-0</f>
        <v>5933.9072100000003</v>
      </c>
      <c r="R63" s="3">
        <f>5590.5+(1457.2-1091.3)+(0+(0-0))+0-0-0</f>
        <v>5956.4</v>
      </c>
      <c r="S63" s="3">
        <f>5571.9+(1416.5-1195.7)+(-2.841669+(-0.722415--0.609807))+0-0-0</f>
        <v>5789.745723</v>
      </c>
      <c r="T63" s="3">
        <f>5542.1+(1512.5-1166.8)+(0+(0-0))+0-0-0</f>
        <v>5887.8</v>
      </c>
      <c r="U63" s="3">
        <f>5551.2+(1579.7-1245.9)+(-11.324448+(-3.222588--2.541636))+0-0-0</f>
        <v>5872.9946</v>
      </c>
      <c r="V63" s="3">
        <f>5581.7+(1481.1-1435.7)+(-8.540001+(-2.266083--2.196621))+0-0-0</f>
        <v>5618.4905369999997</v>
      </c>
      <c r="W63" s="3">
        <f>5656.7+(1543.1-1585.2)+(-8.654751+(-2.360943--2.425356))+0-0-0</f>
        <v>5606.0096619999995</v>
      </c>
      <c r="X63" s="3">
        <f>5631.6+(1372.2-1479.4)+(-25.849044+(-6.298398--6.790446))+0-0-0</f>
        <v>5499.0430040000001</v>
      </c>
      <c r="Y63" s="3">
        <f>5228.1+(1122.9-1224.8)+(-10.665324+(-2.290716--2.498592))+0-0-0</f>
        <v>5115.7425520000006</v>
      </c>
      <c r="Z63" s="3">
        <f>5671.2+(1173.1-1366.8)+(-8.676936+(-1.794843--2.091204))+0-0-0</f>
        <v>5469.1194249999999</v>
      </c>
      <c r="AA63" s="3">
        <f>5887.6+(1238.6-1530.5)+(-18.016056+(-3.790116--4.68333))+0-0-0</f>
        <v>5578.577158000001</v>
      </c>
      <c r="AB63" s="3">
        <f>5676.3+(1347.6-1628.6)+(-11.579652+(-2.749104--3.322344))+0-0-0</f>
        <v>5384.2935880000005</v>
      </c>
      <c r="AC63" s="3">
        <f>5545.3+(1254.2-1692)+(-2.828103+(-0.639642--0.86292))+0-0-0</f>
        <v>5104.8951749999997</v>
      </c>
      <c r="AD63">
        <v>5534.4</v>
      </c>
      <c r="AE63" s="3">
        <f>5932+(1173.8-1571.4)+(0+(0-0))+0-0-0</f>
        <v>5534.4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5044.8+(1010.8-1635.4)+(-12.86424+(-2.57754--4.17027))+0-0-0</f>
        <v>4408.9284900000002</v>
      </c>
      <c r="G64" s="3">
        <f>4777.5+(810-1535.7)+(-2.436525+(-0.4131--0.783207))+0-0-0</f>
        <v>4049.7335820000003</v>
      </c>
      <c r="H64" s="3">
        <f>4485.1+(763.4-1428.2)+(4.574802+(0.778668-1.456764))+0-0-0</f>
        <v>3824.1967060000002</v>
      </c>
      <c r="I64" s="3">
        <f>4413.2+(663.2-1350.2)+(-6.752196+(-1.014696--2.065806))+0-0-0</f>
        <v>3720.4989139999998</v>
      </c>
      <c r="J64" s="3">
        <f>4405.9+(664.7-1378.6)+(-8.988036+(-1.355988--2.812344))+0-0-0</f>
        <v>3684.4683199999999</v>
      </c>
      <c r="K64" s="3">
        <f>4343.1+(706.6-1365.4)+(-17.719848+(-2.882928--5.570832))+0-0-0</f>
        <v>3669.2680560000003</v>
      </c>
      <c r="L64" s="3">
        <f>4247.4+(691.5-1236.8)+(-15.163218+(-2.468655--4.415376))+0-0-0</f>
        <v>3688.8835029999996</v>
      </c>
      <c r="M64" s="3">
        <f>4585.5+(675.5-1071.6)+(0+(0-0))+0-0-0</f>
        <v>4189.3999999999996</v>
      </c>
      <c r="N64" s="3">
        <f>5151.7+(853-1052)+(-10.509468+(-1.74012--2.14608))+0-0-0</f>
        <v>4942.5964919999997</v>
      </c>
      <c r="O64" s="3">
        <f>5360.8+(1130.4-1043.5)+(5.468016+(1.153008-1.06437))+0-0-0</f>
        <v>5453.2566540000007</v>
      </c>
      <c r="P64" s="3">
        <f>5375+(1206-770.4)+(2.74125+(0.61506-0.392904))+0-0-0</f>
        <v>5813.5634060000002</v>
      </c>
      <c r="Q64" s="3">
        <f>5292.3+(1203.5-440)+(-2.699073+(-0.613785--0.2244))+0-0-0</f>
        <v>6052.711542</v>
      </c>
      <c r="R64" s="3">
        <f>5473.8+(1373.5-742.9)+(0+(0-0))+0-0-0</f>
        <v>6104.4000000000005</v>
      </c>
      <c r="S64" s="3">
        <f>5656.6+(1525.5-1268)+(-8.654598+(-2.334015--1.94004))+0-0-0</f>
        <v>5905.0514270000003</v>
      </c>
      <c r="T64" s="3">
        <f>5619.5+(1648.6-1249.7)+(-2.865945+(-0.840786--0.637347))+0-0-0</f>
        <v>6015.3306159999993</v>
      </c>
      <c r="U64" s="3">
        <f>5675+(1744.1-1412.7)+(2.89425+(0.889491-0.720477))+0-0-0</f>
        <v>6009.463264</v>
      </c>
      <c r="V64" s="3">
        <f>5667.5+(1641.4-1343)+(-8.671275+(-2.511342--2.05479))+0-0-0</f>
        <v>5956.7721729999994</v>
      </c>
      <c r="W64" s="3">
        <f>5631.4+(1732.2-1593.9)+(-11.488056+(-3.533688--3.251556))+0-0-0</f>
        <v>5757.9298119999994</v>
      </c>
      <c r="X64" s="3">
        <f>5152.2+(1521.5-1160.2)+(-15.765732+(-4.65579--3.550212))+0-0-0</f>
        <v>5496.6286899999996</v>
      </c>
      <c r="Y64" s="3">
        <f>4973.8+(1122.5-864.7)+(0+(0-0))+0-0-0</f>
        <v>5231.6000000000004</v>
      </c>
      <c r="Z64" s="3">
        <f>5283.3+(1161.3-966.5)+(-5.388966+(-1.184526--0.98583))+0-0-0</f>
        <v>5472.5123380000005</v>
      </c>
      <c r="AA64" s="3">
        <f>5464.6+(1275.5-1150.5)+(-5.573892+(-1.30101--1.17351))+0-0-0</f>
        <v>5583.8986080000004</v>
      </c>
      <c r="AB64" s="3">
        <f>5417.4+(1169-1237)+(-8.288622+(-1.78857--1.89261))+0-0-0</f>
        <v>5341.2154179999998</v>
      </c>
      <c r="AC64" s="3">
        <f>5291.5+(871.2-1146)+(-13.493325+(-2.22156--2.9223))+0-0-0</f>
        <v>5003.9074149999997</v>
      </c>
      <c r="AD64">
        <v>5696.7</v>
      </c>
      <c r="AE64" s="3">
        <f>5468+(1277.7-1049)+(0+(0-0))+0-0-0</f>
        <v>5696.7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5142.4+(756.8-1384.9)+(-13.11312+(-1.92984--3.531495))+0-0-0</f>
        <v>4502.7885349999997</v>
      </c>
      <c r="G65" s="3">
        <f>4639.2+(523.6-1065.2)+(-11.82996+(-1.33518--2.71626))+0-0-0</f>
        <v>4087.1511199999995</v>
      </c>
      <c r="H65" s="3">
        <f>4603.4+(477.1-1236.7)+(-4.695468+(-0.486642--1.261434))+0-0-0</f>
        <v>3839.8793239999995</v>
      </c>
      <c r="I65" s="3">
        <f>4593.2+(477.2-1395.6)+(-9.370128+(-0.973488--2.847024))+0-0-0</f>
        <v>3667.3034080000002</v>
      </c>
      <c r="J65" s="3">
        <f>4583.8+(482.8-1432.2)+(-11.68869+(-1.23114--3.65211))+0-0-0</f>
        <v>3625.1322800000003</v>
      </c>
      <c r="K65" s="3">
        <f>4580.1+(478.5-1397.3)+(-7.007553+(-0.732105--2.137869))+0-0-0</f>
        <v>3655.6982110000004</v>
      </c>
      <c r="L65" s="3">
        <f>4420.5+(405.7-1124.6)+(-6.763365+(-0.620721--1.720638))+0-0-0</f>
        <v>3695.9365520000006</v>
      </c>
      <c r="M65" s="3">
        <f>4524.7+(435.5-821.3)+(6.922791+(0.666315-1.256589))+0-0-0</f>
        <v>4145.2325169999995</v>
      </c>
      <c r="N65" s="3">
        <f>4926.4+(501.2-639.1)+(-10.049856+(-1.022448--1.303764))+0-0-0</f>
        <v>4778.73146</v>
      </c>
      <c r="O65" s="3">
        <f>5174.3+(852.9-687.9)+(-7.916679+(-1.304937--1.052487))+0-0-0</f>
        <v>5331.1308710000003</v>
      </c>
      <c r="P65" s="3">
        <f>5312+(998.3-744.3)+(-2.70912+(-0.509133--0.379593))+0-0-0</f>
        <v>5563.1613399999997</v>
      </c>
      <c r="Q65" s="3">
        <f>5379.7+(1113.8-708.7)+(0+(0-0))+0-0-0</f>
        <v>5784.7999999999993</v>
      </c>
      <c r="R65" s="3">
        <f>5290+(1169.6-687.1)+(-8.0937+(-1.789488--1.051263))+0-0-0</f>
        <v>5763.6680749999996</v>
      </c>
      <c r="S65" s="3">
        <f>5366.3+(1216.2-924.7)+(-5.473626+(-1.240524--0.943194))+0-0-0</f>
        <v>5652.0290439999999</v>
      </c>
      <c r="T65" s="3">
        <f>5325.2+(1266.6-842.8)+(-2.715852+(-0.645966--0.429828))+0-0-0</f>
        <v>5746.06801</v>
      </c>
      <c r="U65" s="3">
        <f>5304.9+(1297.9-864.2)+(-13.527495+(-3.309645--2.20371))+0-0-0</f>
        <v>5723.9665699999996</v>
      </c>
      <c r="V65" s="3">
        <f>5244.3+(1210.4-781.5)+(-18.722151+(-4.321128--2.789955))+0-0-0</f>
        <v>5652.9466760000005</v>
      </c>
      <c r="W65" s="3">
        <f>5209.2+(1045.5-729.9)+(-18.596844+(-3.732435--2.605743))+0-0-0</f>
        <v>5505.0764639999998</v>
      </c>
      <c r="X65" s="3">
        <f>5198+(916-798.2)+(-21.20784+(-3.73728--3.256656))+0-0-0</f>
        <v>5294.1115360000003</v>
      </c>
      <c r="Y65" s="3">
        <f>5064.4+(870.2-980)+(-12.91422+(-2.21901--2.499))+0-0-0</f>
        <v>4941.9657699999998</v>
      </c>
      <c r="Z65" s="3">
        <f>5294.6+(854.4-899)+(-2.700246+(-0.435744--0.45849))+0-0-0</f>
        <v>5247.3225000000002</v>
      </c>
      <c r="AA65" s="3">
        <f>5451.6+(874.7-1000)+(-13.90158+(-2.230485--2.55))+0-0-0</f>
        <v>5312.7179350000006</v>
      </c>
      <c r="AB65" s="3">
        <f>5267+(913.8-1155.8)+(-10.74468+(-1.864152--2.357832))+0-0-0</f>
        <v>5014.7489999999998</v>
      </c>
      <c r="AC65" s="3">
        <f>5145.7+(1017.3-1316.6)+(-10.497228+(-2.075292--2.685864))+0-0-0</f>
        <v>4836.513344</v>
      </c>
      <c r="AD65">
        <v>5310.8</v>
      </c>
      <c r="AE65" s="3">
        <f>5448+(875.3-1012.5)+(0+(0-0))+0-0-0</f>
        <v>5310.8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4596.5+(961.2-1244.1)+(0+(0-0))+0-0-0</f>
        <v>4313.6000000000004</v>
      </c>
      <c r="G66" s="3">
        <f>4566.4+(861.8-1508.2)+(-6.986592+(-1.318554--2.307546))+0-0-0</f>
        <v>3914.0023999999994</v>
      </c>
      <c r="H66" s="3">
        <f>4584.3+(797-1619.2)+(-4.675986+(-0.81294--1.651584))+0-0-0</f>
        <v>3758.2626580000006</v>
      </c>
      <c r="I66" s="3">
        <f>4592+(609.5-1610.3)+(-2.34192+(-0.310845--0.821253))+0-0-0</f>
        <v>3589.3684879999996</v>
      </c>
      <c r="J66" s="3">
        <f>4547.2+(595.9-1578.9)+(-11.59536+(-1.519545--4.026195))+0-0-0</f>
        <v>3555.1112899999998</v>
      </c>
      <c r="K66" s="3">
        <f>4350.7+(671.1-1485.6)+(-11.094285+(-1.711305--3.78828))+0-0-0</f>
        <v>3527.1826899999996</v>
      </c>
      <c r="L66" s="3">
        <f>4137+(639.6-1162.2)+(-2.10987+(-0.326196--0.592722))+0-0-0</f>
        <v>3612.5566560000002</v>
      </c>
      <c r="M66" s="3">
        <f>4386.9+(613.4-983.6)+(2.237319+(0.312834-0.501636))+0-0-0</f>
        <v>4018.748517</v>
      </c>
      <c r="N66" s="3">
        <f>5057+(672.6-1017.8)+(2.57907+(0.343026-0.519078))+0-0-0</f>
        <v>4714.2030180000002</v>
      </c>
      <c r="O66" s="3">
        <f>5354.1+(770.5-949.4)+(-2.730591+(-0.392955--0.484194))+0-0-0</f>
        <v>5172.5606480000006</v>
      </c>
      <c r="P66" s="3">
        <f>5402.4+(897.4-833.7)+(2.755224+(0.457674-0.425187))+0-0-0</f>
        <v>5468.8877109999994</v>
      </c>
      <c r="Q66" s="3">
        <f>5396+(934.8-649.9)+(-2.75196+(-0.476748--0.331449))+0-0-0</f>
        <v>5678.0027409999993</v>
      </c>
      <c r="R66" s="3">
        <f>5486+(923.8-659.3)+(-2.79786+(-0.471138--0.336243))+0-0-0</f>
        <v>5747.5672450000002</v>
      </c>
      <c r="S66" s="3">
        <f>5461+(1101-1020.5)+(-5.57022+(-1.12302--1.04091))+0-0-0</f>
        <v>5535.8476700000001</v>
      </c>
      <c r="T66" s="3">
        <f>5558.2+(1179.1-1056.3)+(0+(0-0))+0-0-0</f>
        <v>5681</v>
      </c>
      <c r="U66" s="3">
        <f>5601.9+(1158.4-1076.2)+(-17.141814+(-3.544704--3.293172))+0-0-0</f>
        <v>5666.7066539999996</v>
      </c>
      <c r="V66" s="3">
        <f>5499.9+(1172-1190.9)+(-14.024745+(-2.9886--3.036795))+0-0-0</f>
        <v>5467.0234499999997</v>
      </c>
      <c r="W66" s="3">
        <f>5330.5+(952.2-884.4)+(-16.31133+(-2.913732--2.706264))+0-0-0</f>
        <v>5381.7812020000001</v>
      </c>
      <c r="X66" s="3">
        <f>5196.9+(613.2-593.9)+(-13.252095+(-1.56366--1.514445))+0-0-0</f>
        <v>5202.89869</v>
      </c>
      <c r="Y66" s="3">
        <f>5115.7+(505.5-639.7)+(-2.609007+(-0.257805--0.326247))+0-0-0</f>
        <v>4978.9594349999998</v>
      </c>
      <c r="Z66" s="3">
        <f>5502.2+(441.2-685.2)+(-5.612244+(-0.450024--0.698904))+0-0-0</f>
        <v>5252.836636</v>
      </c>
      <c r="AA66" s="3">
        <f>5835.5+(432.5-821.7)+(-11.90442+(-0.8823--1.676268))+0-0-0</f>
        <v>5435.1895480000003</v>
      </c>
      <c r="AB66" s="3">
        <f>5490.5+(457.9-995.2)+(-14.000775+(-1.167645--2.53776))+0-0-0</f>
        <v>4940.56934</v>
      </c>
      <c r="AC66" s="3">
        <f>5322.3+(547.4-1366.5)+(-8.143119+(-0.837522--2.090745))+0-0-0</f>
        <v>4496.3101040000001</v>
      </c>
      <c r="AD66">
        <v>5326.5</v>
      </c>
      <c r="AE66" s="3">
        <f>5784+(474.3-931.8)+(0+(0-0))+0-0-0</f>
        <v>5326.5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5258.5+(626.8-1694.4)+(-13.409175+(-1.59834--4.32072))+0-0-0</f>
        <v>4180.213205</v>
      </c>
      <c r="G67" s="3">
        <f>4997.3+(638.5-1793.2)+(-10.194492+(-1.30254--3.658128))+0-0-0</f>
        <v>3834.7610960000002</v>
      </c>
      <c r="H67" s="3">
        <f>4917.3+(673.1-1940.6)+(-7.523469+(-1.029843--2.969118))+0-0-0</f>
        <v>3644.2158060000002</v>
      </c>
      <c r="I67" s="3">
        <f>4877.6+(619-1977.2)+(-9.950304+(-1.26276--4.033488))+0-0-0</f>
        <v>3512.2204240000005</v>
      </c>
      <c r="J67" s="3">
        <f>4841.2+(507.1-1889.4)+(2.469012+(0.258621-0.963594))+0-0-0</f>
        <v>3460.6640389999998</v>
      </c>
      <c r="K67" s="3">
        <f>4680.7+(540.3-1776.1)+(-11.935785+(-1.377765--4.529055))+0-0-0</f>
        <v>3436.1155049999998</v>
      </c>
      <c r="L67" s="3">
        <f>4355.8+(583.9-1485.5)+(-6.664374+(-0.893367--2.272815))+0-0-0</f>
        <v>3448.9150740000005</v>
      </c>
      <c r="M67" s="3">
        <f>4593.4+(581.9-1314.3)+(11.71317+(1.483845-3.351465))+0-0-0</f>
        <v>3870.8455499999995</v>
      </c>
      <c r="N67" s="3">
        <f>5209.9+(641.2-1382.1)+(-2.657049+(-0.327012--0.704871))+0-0-0</f>
        <v>4466.7208099999998</v>
      </c>
      <c r="O67" s="3">
        <f>5562.4+(788.5-1397.1)+(5.673648+(0.80427-1.425042))+0-0-0</f>
        <v>4958.852875999999</v>
      </c>
      <c r="P67" s="3">
        <f>5647.1+(785.9-1131.5)+(-2.880021+(-0.400809--0.577065))+0-0-0</f>
        <v>5298.7962349999998</v>
      </c>
      <c r="Q67" s="3">
        <f>5648.8+(797.8-957.2)+(5.761776+(0.813756-0.976344))+0-0-0</f>
        <v>5494.9991879999998</v>
      </c>
      <c r="R67" s="3">
        <f>5651.8+(756.2-910.6)+(-5.764836+(-0.771324--0.928812))+0-0-0</f>
        <v>5491.792652000001</v>
      </c>
      <c r="S67" s="3">
        <f>5638.3+(806.3-1166.2)+(-14.377665+(-2.056065--2.97381))+0-0-0</f>
        <v>5264.9400799999994</v>
      </c>
      <c r="T67" s="3">
        <f>5605.1+(909.3-1257.1)+(-14.293005+(-2.318715--3.205605))+0-0-0</f>
        <v>5243.8938850000004</v>
      </c>
      <c r="U67" s="3">
        <f>5578.3+(942.9-1384.3)+(-8.534799+(-1.442637--2.117979))+0-0-0</f>
        <v>5129.040543000001</v>
      </c>
      <c r="V67" s="3">
        <f>5498.5+(879.3-1310.4)+(-5.60847+(-0.896886--1.336608))+0-0-0</f>
        <v>5062.2312519999996</v>
      </c>
      <c r="W67" s="3">
        <f>5488.6+(855.5-1350)+(-5.598372+(-0.87261--1.377))+17.6-0-0</f>
        <v>5006.6060180000004</v>
      </c>
      <c r="X67" s="3">
        <f>5285.2+(829.1-1272.8)+(-16.172712+(-2.537046--3.894768))+44.3-0-0</f>
        <v>4870.9850100000003</v>
      </c>
      <c r="Y67" s="3">
        <f>5171.9+(714.8-1134.1)+(-5.275338+(-0.729096--1.156782))+1.5-0-0</f>
        <v>4749.2523479999991</v>
      </c>
      <c r="Z67" s="3">
        <f>5342.9+(615.6-886.4)+(-5.449758+(-0.627912--0.904128))+0-0-0</f>
        <v>5066.926457999999</v>
      </c>
      <c r="AA67" s="3">
        <f>5512.3+(687.6-1017.8)+(-11.245092+(-1.402704--2.076312))+0-0-0</f>
        <v>5171.5285160000003</v>
      </c>
      <c r="AB67" s="3">
        <f>5524.5+(793.4-1339.2)+(-14.087475+(-2.02317--3.41496))+0-0-0</f>
        <v>4966.0043150000001</v>
      </c>
      <c r="AC67" s="3">
        <f>5416.6+(684.1-1383.7)+(0+(0-0))+0-0-0</f>
        <v>4717</v>
      </c>
      <c r="AD67">
        <v>5157.6000000000004</v>
      </c>
      <c r="AE67" s="3">
        <f>5542+(701-1085.4)+(0+(0-0))+0-0-0</f>
        <v>5157.6000000000004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5141.5+(749.6-1570.1)+(-10.48866+(-1.529184--3.203004))+0-0-0</f>
        <v>4312.18516</v>
      </c>
      <c r="G68" s="3">
        <f>4869+(760.9-1730.3)+(-4.96638+(-0.776118--1.764906))+0-0-0</f>
        <v>3895.6224079999997</v>
      </c>
      <c r="H68" s="3">
        <f>4830.1+(577.5-1731.5)+(-7.390053+(-0.883575--2.649195))+0-0-0</f>
        <v>3670.4755670000004</v>
      </c>
      <c r="I68" s="3">
        <f>4804.3+(441.8-1727.2)+(0+(0-0))+0-0-0</f>
        <v>3518.9</v>
      </c>
      <c r="J68" s="3">
        <f>4759.7+(357.3-1693)+(2.427447+(0.182223-0.86343))+0-0-0</f>
        <v>3425.7462399999999</v>
      </c>
      <c r="K68" s="3">
        <f>4599.3+(441.3-1679.5)+(-9.382572+(-0.900252--3.42618))+0-0-0</f>
        <v>3354.2433560000004</v>
      </c>
      <c r="L68" s="3">
        <f>4296.7+(549.1-1646)+(-4.382634+(-0.560082--1.67892))+0-0-0</f>
        <v>3196.5362039999995</v>
      </c>
      <c r="M68" s="3">
        <f>4271.2+(476.7-1506.8)+(-4.356624+(-0.486234--1.536936))+0-0-0</f>
        <v>3237.7940779999999</v>
      </c>
      <c r="N68" s="3">
        <f>4301.2+(555.2-1415.5)+(-6.580836+(-0.849456--2.165715))+0-0-0</f>
        <v>3435.6354229999997</v>
      </c>
      <c r="O68" s="3">
        <f>4576.6+(549-1368.6)+(-4.668132+(-0.55998--1.395972))+0-0-0</f>
        <v>3753.1678600000005</v>
      </c>
      <c r="P68" s="3">
        <f>4766.6+(795.1-1407.7)+(-7.292898+(-1.216503--2.153781))+0-0-0</f>
        <v>4147.6443799999997</v>
      </c>
      <c r="Q68" s="3">
        <f>4982.9+(1108.1-1650.8)+(-7.623837+(-1.695393--2.525724))+0-0-0</f>
        <v>4433.4064939999998</v>
      </c>
      <c r="R68" s="3">
        <f>5220.3+(1120.1-1786.2)+(-2.662353+(-0.571251--0.910962))+0-0-0</f>
        <v>4551.8773579999997</v>
      </c>
      <c r="S68" s="3">
        <f>5404.3+(1068.1-1913.4)+(-2.756193+(-0.544731--0.975834))+0-0-0</f>
        <v>4556.6749099999997</v>
      </c>
      <c r="T68" s="3">
        <f>5277.6+(1159.2-1907.8)+(-10.766304+(-2.364768--3.891912))+0-0-0</f>
        <v>4519.7608399999999</v>
      </c>
      <c r="U68" s="3">
        <f>5244.6+(1094-1887.1)+(-2.674746+(-0.55794--0.962421))+0-0-0</f>
        <v>4449.2297349999999</v>
      </c>
      <c r="V68" s="3">
        <f>5208+(1005.9-1796.4)+(-2.65608+(-0.513009--0.916164))+0-0-0</f>
        <v>4415.2470750000002</v>
      </c>
      <c r="W68" s="3">
        <f>5128.6+(905.7-1595.1)+(-10.462344+(-1.847628--3.254004))+0-0-0</f>
        <v>4430.1440320000011</v>
      </c>
      <c r="X68" s="3">
        <f>4910.2+(764.8-1249.6)+(-12.52101+(-1.95024--3.18648))+0-0-0</f>
        <v>4414.1152299999994</v>
      </c>
      <c r="Y68" s="3">
        <f>4888.8+(651.3-1098.7)+(-7.479864+(-0.996489--1.681011))+0-0-0</f>
        <v>4434.6046579999993</v>
      </c>
      <c r="Z68" s="3">
        <f>5246.4+(667.7-1044.8)+(-8.026992+(-1.021581--1.598544))+0-0-0</f>
        <v>4861.8499709999996</v>
      </c>
      <c r="AA68" s="3">
        <f>5633.2+(697.8-1314.9)+(-8.618796+(-1.067634--2.011797))+0-0-0</f>
        <v>5008.4253669999998</v>
      </c>
      <c r="AB68" s="3">
        <f>5584.7+(898.2-1560.7)+(-11.392788+(-1.832328--3.183828))+0-0-0</f>
        <v>4912.1587119999995</v>
      </c>
      <c r="AC68" s="3">
        <f>5570.6+(1158.4-2095.2)+(-8.523018+(-1.772352--3.205656))+0-0-0</f>
        <v>4626.7102860000014</v>
      </c>
      <c r="AD68">
        <v>4964</v>
      </c>
      <c r="AE68" s="3">
        <f>5602+(806-1444)+(0+(0-0))+0-0-0</f>
        <v>4964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5266+(1059.3-2146.2)+(-10.74264+(-2.160972--4.378248))+0-0-0</f>
        <v>4170.5746360000003</v>
      </c>
      <c r="G69" s="3">
        <f>4957.5+(675.3-1892)+(-10.1133+(-1.377612--3.85968))+0-0-0</f>
        <v>3733.168768</v>
      </c>
      <c r="H69" s="3">
        <f>4867.2+(575.4-1926.8)+(-4.964544+(-0.586908--1.965336))+0-0-0</f>
        <v>3512.2138839999998</v>
      </c>
      <c r="I69" s="3">
        <f>4647.2+(571-1812)+(-2.370072+(-0.29121--0.92412))+0-0-0</f>
        <v>3404.4628379999999</v>
      </c>
      <c r="J69" s="3">
        <f>4642.3+(577.8-1833.7)+(-4.735146+(-0.589356--1.870374))+0-0-0</f>
        <v>3382.9458720000002</v>
      </c>
      <c r="K69" s="3">
        <f>4598+(567.7-1780.7)+(-11.7249+(-1.447635--4.540785))+0-0-0</f>
        <v>3376.36825</v>
      </c>
      <c r="L69" s="3">
        <f>4479.6+(503.1-1527.7)+(0+(0-0))+0-0-0</f>
        <v>3455.0000000000005</v>
      </c>
      <c r="M69" s="3">
        <f>4958.8+(489.2-1432.4)+(-5.057976+(-0.498984--1.461048))+0-0-0</f>
        <v>4011.5040880000001</v>
      </c>
      <c r="N69" s="3">
        <f>5325.5+(532.7-1142.7)+(-10.86402+(-1.086708--2.331108))+0-0-0</f>
        <v>4705.8803799999996</v>
      </c>
      <c r="O69" s="3">
        <f>5690.1+(623.4-1058.7)+(-2.901951+(-0.317934--0.539937))+0-0-0</f>
        <v>5252.1200520000002</v>
      </c>
      <c r="P69" s="3">
        <f>5905.2+(646.7-920.2)+(0+(0-0))+0-0-0</f>
        <v>5631.7</v>
      </c>
      <c r="Q69" s="3">
        <f>5927.4+(671.8-647.7)+(6.045948+(0.685236-0.660654))+0-0-0</f>
        <v>5957.57053</v>
      </c>
      <c r="R69" s="3">
        <f>5843.8+(725.9-537.8)+(-2.980338+(-0.370209--0.274278))+0-0-0</f>
        <v>6028.8237310000004</v>
      </c>
      <c r="S69" s="3">
        <f>5862.4+(847.5-815.5)+(0+(0-0))+0-0-0</f>
        <v>5894.4</v>
      </c>
      <c r="T69" s="3">
        <f>5887.2+(952.5-841.6)+(-3.002472+(-0.485775--0.429216))+0-0-0</f>
        <v>5995.0409689999997</v>
      </c>
      <c r="U69" s="3">
        <f>5860.3+(1023.8-908.4)+(-14.943765+(-2.61069--2.31642))+0-0-0</f>
        <v>5960.4619649999995</v>
      </c>
      <c r="V69" s="3">
        <f>5834.6+(1056.2-982.5)+(-8.926938+(-1.615986--1.503225))+0-0-0</f>
        <v>5899.2603010000003</v>
      </c>
      <c r="W69" s="3">
        <f>5822.4+(1021.5-1089.4)+(-20.785968+(-3.646755--3.889158))+0-0-0</f>
        <v>5733.9564350000001</v>
      </c>
      <c r="X69" s="3">
        <f>5682.6+(834.5-983.5)+(-20.286882+(-2.979165--3.511095))+0-0-0</f>
        <v>5513.8450480000001</v>
      </c>
      <c r="Y69" s="3">
        <f>5487.1+(756.9-970.8)+(-2.798421+(-0.386019--0.495108))+0-0-0</f>
        <v>5270.5106680000008</v>
      </c>
      <c r="Z69" s="3">
        <f>5799.5+(880.5-1102.9)+(-5.91549+(-0.89811--1.124958))+0-0-0</f>
        <v>5571.4113580000003</v>
      </c>
      <c r="AA69" s="3">
        <f>6056.3+(884.2-1223.2)+(-18.532278+(-2.705652--3.742992))+0-0-0</f>
        <v>5699.8050620000004</v>
      </c>
      <c r="AB69" s="3">
        <f>6064.3+(996.6-1600)+(-12.371172+(-2.033064--3.264))+0-0-0</f>
        <v>5449.7597640000004</v>
      </c>
      <c r="AC69" s="3">
        <f>5754.5+(1039-1644)+(-17.60877+(-3.17934--5.03064))+0-0-0</f>
        <v>5133.7425300000004</v>
      </c>
      <c r="AD69">
        <v>5678</v>
      </c>
      <c r="AE69" s="3">
        <f>6048+(889-1259)+(0+(0-0))+0-0-0</f>
        <v>5678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5516.1+(946.2-1839.2)+(-5.626422+(-0.965124--1.875984))+0-0-0</f>
        <v>4618.384438</v>
      </c>
      <c r="G70" s="3">
        <f>5463+(641.9-1877.8)+(-13.93065+(-1.636845--4.78839))+0-0-0</f>
        <v>4216.3208950000007</v>
      </c>
      <c r="H70" s="3">
        <f>5310.2+(601.2-1991.8)+(-10.832808+(-1.226448--4.063272))+0-0-0</f>
        <v>3911.6040159999998</v>
      </c>
      <c r="I70" s="3">
        <f>5101.6+(677.4-1993.2)+(-7.805448+(-1.036422--3.049596))+0-0-0</f>
        <v>3780.0077260000003</v>
      </c>
      <c r="J70" s="3">
        <f>5093.1+(653.1-2011.1)+(-7.792443+(-0.999243--3.076983))+0-0-0</f>
        <v>3729.3852970000003</v>
      </c>
      <c r="K70" s="3">
        <f>4976.8+(689.3-1938.3)+(-10.152672+(-1.406172--3.954132))+0-0-0</f>
        <v>3720.1952880000003</v>
      </c>
      <c r="L70" s="3">
        <f>4686.7+(584.8-1550)+(-7.170651+(-0.894744--2.3715))+0-0-0</f>
        <v>3715.8061050000001</v>
      </c>
      <c r="M70" s="3">
        <f>4996.8+(512.1-1265.1)+(-2.548368+(-0.261171--0.645201))+0-0-0</f>
        <v>4241.6356620000006</v>
      </c>
      <c r="N70" s="3">
        <f>5549.2+(508.3-1045.7)+(0+(0-0))+0-0-0</f>
        <v>5011.7999999999993</v>
      </c>
      <c r="O70" s="3">
        <f>5884.8+(488.7-900.1)+(3.001248+(0.249237-0.459051))+0-0-0</f>
        <v>5476.1914340000003</v>
      </c>
      <c r="P70" s="3">
        <f>6000.4+(443.9-610.7)+(3.060204+(0.226389-0.311457))+0-0-0</f>
        <v>5836.5751359999995</v>
      </c>
      <c r="Q70" s="3">
        <f>6009.5+(515.8-392.3)+(3.064845+(0.263058-0.200073))+0-0-0</f>
        <v>6136.1278300000004</v>
      </c>
      <c r="R70" s="3">
        <f>5941.2+(557.9-334.7)+(0+(0-0))+0-0-0</f>
        <v>6164.4</v>
      </c>
      <c r="S70" s="3">
        <f>6123.6+(730.8-814.8)+(0+(0-0))+0-0-0</f>
        <v>6039.6</v>
      </c>
      <c r="T70" s="3">
        <f>6100+(992.3-830.6)+(-9.333+(-1.518219--1.270818))+0-0-0</f>
        <v>6252.1195989999997</v>
      </c>
      <c r="U70" s="3">
        <f>6026+(1065.1-914.1)+(6.14652+(1.086402-0.932382))+0-0-0</f>
        <v>6183.3005400000002</v>
      </c>
      <c r="V70" s="3">
        <f>6114.2+(1077.5-984.2)+(-6.236484+(-1.09905--1.003884))+0-0-0</f>
        <v>6201.1683499999999</v>
      </c>
      <c r="W70" s="3">
        <f>6107.6+(975-1079.6)+(-21.804132+(-3.48075--3.854172))+0-0-0</f>
        <v>5981.5692900000004</v>
      </c>
      <c r="X70" s="3">
        <f>6008.4+(834.5-1135.3)+(-15.32142+(-2.127975--2.895015))+0-0-0</f>
        <v>5693.0456199999999</v>
      </c>
      <c r="Y70" s="3">
        <f>5937.8+(636.4-1131.1)+(-9.084834+(-0.973692--1.730583))+0-0-0</f>
        <v>5434.7720570000001</v>
      </c>
      <c r="Z70" s="3">
        <f>5968.3+(767.2-955.4)+(-6.087666+(-0.782544--0.974508))+0-0-0</f>
        <v>5774.2042980000006</v>
      </c>
      <c r="AA70" s="3">
        <f>5793.5+(994.2-848.9)+(-14.773425+(-2.53521--2.164695))+0-0-0</f>
        <v>5923.6560600000003</v>
      </c>
      <c r="AB70" s="3">
        <f>5809.7+(1190.2-1386)+(-11.851788+(-2.428008--2.82744))+0-0-0</f>
        <v>5602.4476439999999</v>
      </c>
      <c r="AC70" s="3">
        <f>5708.3+(1207.8-1605.5)+(-11.644932+(-2.463912--3.27522))+0-0-0</f>
        <v>5299.7663760000005</v>
      </c>
      <c r="AD70">
        <v>5903.5</v>
      </c>
      <c r="AE70" s="3">
        <f>5760+(967.2-823.7)+(0+(0-0))+0-0-0</f>
        <v>5903.5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5372.8+(1158.8-1757)+(-5.480256+(-1.181976--1.79214))+0-0-0</f>
        <v>4769.7299080000003</v>
      </c>
      <c r="G71" s="3">
        <f>4962.5+(882.2-1533.7)+(-10.1235+(-1.799688--3.128748))+0-0-0</f>
        <v>4302.2055600000003</v>
      </c>
      <c r="H71" s="3">
        <f>4863+(598.6-1385.2)+(-9.92052+(-1.221144--2.825808))+0-0-0</f>
        <v>4068.0841439999999</v>
      </c>
      <c r="I71" s="3">
        <f>4765.3+(565.4-1380.9)+(-7.290909+(-0.865062--2.112777))+0-0-0</f>
        <v>3943.7568060000003</v>
      </c>
      <c r="J71" s="3">
        <f>4786.3+(566-1459.4)+(-2.441013+(-0.28866--0.744294))+0-0-0</f>
        <v>3890.9146209999999</v>
      </c>
      <c r="K71" s="3">
        <f>4790.8+(599.7-1547.3)+(-7.329924+(-0.917541--2.367369))+0-0-0</f>
        <v>3837.3199040000004</v>
      </c>
      <c r="L71" s="3">
        <f>4628.1+(538.5-1315.7)+(-4.720662+(-0.54927--1.342014))+0-0-0</f>
        <v>3846.9720820000007</v>
      </c>
      <c r="M71" s="3">
        <f>4993.9+(626.4-1188.2)+(0+(0-0))+0-0-0</f>
        <v>4432.0999999999995</v>
      </c>
      <c r="N71" s="3">
        <f>5415.5+(837.5-1016.7)+(5.52381+(0.85425-1.037034))+0-0-0</f>
        <v>5241.6410260000002</v>
      </c>
      <c r="O71" s="3">
        <f>5733.6+(931.4-858)+(2.924136+(0.475014-0.43758))+0-0-0</f>
        <v>5809.9615700000004</v>
      </c>
      <c r="P71" s="3">
        <f>5893.3+(825.3-528.2)+(3.005583+(0.420903-0.269382))+0-0-0</f>
        <v>6193.5571039999995</v>
      </c>
      <c r="Q71" s="3">
        <f>5955+(952-496.6)+(6.0741+(0.97104-0.506532))+0-0-0</f>
        <v>6416.9386079999995</v>
      </c>
      <c r="R71" s="3">
        <f>5972.4+(1113.7-635)+(3.045924+(0.567987-0.32385))+0-0-0</f>
        <v>6454.3900609999992</v>
      </c>
      <c r="S71" s="3">
        <f>6115.5+(1260.2-1001.5)+(-3.118905+(-0.642702--0.510765))+0-0-0</f>
        <v>6370.9491579999994</v>
      </c>
      <c r="T71" s="3">
        <f>6133.1+(1358.5-970.2)+(-3.127881+(-0.692835--0.494802))+0-0-0</f>
        <v>6518.0740860000005</v>
      </c>
      <c r="U71" s="3">
        <f>6085.2+(1216.7-836.2)+(-9.310356+(-1.861551--1.279386))+34-0-0</f>
        <v>6489.8074790000001</v>
      </c>
      <c r="V71" s="3">
        <f>6027.9+(1208.4-880)+(-6.148458+(-1.232568--0.8976))+22.7-0-0</f>
        <v>6372.5165739999993</v>
      </c>
      <c r="W71" s="3">
        <f>6012.8+(1202.8-992.5)+(-18.399168+(-3.680568--3.03705))+0-0-0</f>
        <v>6204.0573140000006</v>
      </c>
      <c r="X71" s="3">
        <f>5901.2+(1320.3-1356.3)+(-18.057672+(-4.040118--4.150278))+0-0-0</f>
        <v>5847.2524880000001</v>
      </c>
      <c r="Y71" s="3">
        <f>5630.5+(1147.7-1374)+(-11.48622+(-2.341308--2.80296))+0-0-0</f>
        <v>5393.175432</v>
      </c>
      <c r="Z71" s="3">
        <f>5994.3+(975.1-1191.8)+(-6.114186+(-0.994602--1.215636))+0-0-0</f>
        <v>5771.7068480000007</v>
      </c>
      <c r="AA71" s="3">
        <f>6212.3+(976.3-1247.3)+(-19.009638+(-2.987478--3.816738))+0-0-0</f>
        <v>5923.1196220000002</v>
      </c>
      <c r="AB71" s="3">
        <f>6156.8+(1211.5-1714.8)+(-12.559872+(-2.47146--3.498192))+0-0-0</f>
        <v>5641.9668600000005</v>
      </c>
      <c r="AC71" s="3">
        <f>6087.2+(1138.5-1894.9)+(-3.104472+(-0.580635--0.966399))+0-0-0</f>
        <v>5328.0812919999989</v>
      </c>
      <c r="AD71">
        <v>5914.9</v>
      </c>
      <c r="AE71" s="3">
        <f>6223+(984.5-1292.6)+(0+(0-0))+0-0-0</f>
        <v>5914.9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5639.7+(1108.2-2020.1)+(-5.752494+(-1.130364--2.060502))+0-0-0</f>
        <v>4722.9776440000005</v>
      </c>
      <c r="G72" s="3">
        <f>5345.1+(857.2-1921.2)+(-10.904004+(-1.748688--3.919248))+8.6-0-0</f>
        <v>4280.9665560000003</v>
      </c>
      <c r="H72" s="3">
        <f>5273.5+(755-1921.2)+(-10.75794+(-1.5402--3.919248))+0-0-0</f>
        <v>4098.9211080000005</v>
      </c>
      <c r="I72" s="3">
        <f>4959.4+(797.4-1748.8)+(-10.117176+(-1.626696--3.567552))+0-0-0</f>
        <v>3999.8236799999995</v>
      </c>
      <c r="J72" s="3">
        <f>4919.8+(762.3-1718)+(-2.509098+(-0.388773--0.87618))+0-0-0</f>
        <v>3962.0783090000004</v>
      </c>
      <c r="K72" s="3">
        <f>4854.7+(771.2-1682.1)+(-19.807176+(-3.146496--6.862968))+0-0-0</f>
        <v>3927.709296</v>
      </c>
      <c r="L72" s="3">
        <f>4830+(670.9-1540.4)+(-4.9266+(-0.684318--1.571208))+0-0-0</f>
        <v>3956.46029</v>
      </c>
      <c r="M72" s="3">
        <f>4930.1+(710.4-1111.9)+(-5.028702+(-0.724608--1.134138))+0-0-0</f>
        <v>4523.9808280000007</v>
      </c>
      <c r="N72" s="3">
        <f>5230+(1020.6-999.6)+(0+(0-0))+0-0-0</f>
        <v>5251</v>
      </c>
      <c r="O72" s="3">
        <f>5759.8+(1316.3-1097.6)+(-5.874996+(-1.342626--1.119552))+0-0-0</f>
        <v>5972.40193</v>
      </c>
      <c r="P72" s="3">
        <f>6058.8+(1284.4-950.6)+(-9.269964+(-1.965132--1.454418))+0-0-0</f>
        <v>6382.8193220000003</v>
      </c>
      <c r="Q72" s="3">
        <f>6051.5+(1319.8-897.8)+(-12.34506+(-2.692392--1.831512))+0-0-0</f>
        <v>6460.2940600000002</v>
      </c>
      <c r="R72" s="3">
        <f>6205.6+(1393.7-834.3)+(-6.329712+(-1.421574--0.850986))+0-0-0</f>
        <v>6758.0996999999998</v>
      </c>
      <c r="S72" s="3">
        <f>6251.2+(1502.9-1186.5)+(-6.376224+(-1.532958--1.21023))+23.8-0-0</f>
        <v>6584.7010480000008</v>
      </c>
      <c r="T72" s="3">
        <f>6253.3+(1674.8-1224.5)+(3.189183+(0.854148-0.624495))+0-0-0</f>
        <v>6707.0188360000002</v>
      </c>
      <c r="U72" s="3">
        <f>6343.8+(1681.7-1335.4)+(-6.470676+(-1.715334--1.362108))+0-0-0</f>
        <v>6683.2760980000003</v>
      </c>
      <c r="V72" s="3">
        <f>6351.6+(1687.8-1418.6)+(-22.675212+(-6.025446--5.064402))+0-0-0</f>
        <v>6597.1637440000004</v>
      </c>
      <c r="W72" s="3">
        <f>6276.6+(1511.8-1367.3)+(-6.402132+(-1.542036--1.394646))+0-0-0</f>
        <v>6414.5504780000001</v>
      </c>
      <c r="X72" s="3">
        <f>6063.6+(1198.6-1202.8)+(-15.46218+(-3.05643--3.06714))+0-0-0</f>
        <v>6043.9485300000006</v>
      </c>
      <c r="Y72" s="3">
        <f>6049.6+(1053.2-1377.4)+(0+(0-0))+0-0-0</f>
        <v>5725.4000000000005</v>
      </c>
      <c r="Z72" s="3">
        <f>6202.3+(1003.1-1226)+(0+(0-0))+0-0-0</f>
        <v>5979.4000000000005</v>
      </c>
      <c r="AA72" s="3">
        <f>6353.6+(1011.1-1220.4)+(-12.961344+(-2.062644--2.489616))+0-0-0</f>
        <v>6131.7656280000001</v>
      </c>
      <c r="AB72" s="3">
        <f>6279.5+(1240.5-1608.6)+(0+(0-0))+0-0-0</f>
        <v>5911.4</v>
      </c>
      <c r="AC72" s="3">
        <f>6102.2+(1283.9-1779.8)+(-12.448488+(-2.619156--3.630792))+0-0-0</f>
        <v>5594.8631480000004</v>
      </c>
      <c r="AD72">
        <v>6132.5</v>
      </c>
      <c r="AE72" s="3">
        <f>6341+(995-1203.5)+(0+(0-0))+0-0-0</f>
        <v>6132.5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5798.5+(1076.2-1830.9)+(-11.82894+(-2.195448--3.735036))+0-0-0</f>
        <v>5033.5106480000004</v>
      </c>
      <c r="G73" s="3">
        <f>5762.2+(740.1-1886.3)+(-14.69361+(-1.887255--4.810065))+0-0-0</f>
        <v>4604.2291999999998</v>
      </c>
      <c r="H73" s="3">
        <f>5737.4+(628.3-1991.8)+(-2.926074+(-0.320433--1.015818))+0-0-0</f>
        <v>4371.6693109999997</v>
      </c>
      <c r="I73" s="3">
        <f>5660.3+(687.5-2092.7)+(0+(0-0))+0-0-0</f>
        <v>4255.1000000000004</v>
      </c>
      <c r="J73" s="3">
        <f>5605.5+(681.5-2081.3)+(-5.71761+(-0.69513--2.122926))+0-0-0</f>
        <v>4201.4101860000001</v>
      </c>
      <c r="K73" s="3">
        <f>5223.3+(765.6-1856.2)+(-13.319415+(-1.95228--4.73331))+0-0-0</f>
        <v>4122.1616150000009</v>
      </c>
      <c r="L73" s="3">
        <f>4975.7+(609.2-1459)+(5.075214+(0.621384-1.48818))+0-0-0</f>
        <v>4130.1084179999998</v>
      </c>
      <c r="M73" s="3">
        <f>5260.4+(660.6-1248.6)+(-2.682804+(-0.336906--0.636786))+0-0-0</f>
        <v>4670.0170760000001</v>
      </c>
      <c r="N73" s="3">
        <f>5754.8+(802-1101.3)+(8.804844+(1.22706-1.684989))+0-0-0</f>
        <v>5463.8469150000001</v>
      </c>
      <c r="O73" s="3">
        <f>6091.3+(1218.7-1258.1)+(-3.106563+(-0.621537--0.641631))+0-0-0</f>
        <v>6048.8135310000007</v>
      </c>
      <c r="P73" s="3">
        <f>6340+(1043-921.5)+(0+(0-0))+0-0-0</f>
        <v>6461.5</v>
      </c>
      <c r="Q73" s="3">
        <f>6370.9+(1045.3-690.2)+(0+(0-0))+0-0-0</f>
        <v>6726</v>
      </c>
      <c r="R73" s="3">
        <f>6416.6+(1148.2-752.1)+(3.272466+(0.585582-0.383571))+0-0-0</f>
        <v>6816.1744770000005</v>
      </c>
      <c r="S73" s="3">
        <f>6510.1+(1229-1072)+(-13.280604+(-2.50716--2.18688))+0-0-0</f>
        <v>6653.499116</v>
      </c>
      <c r="T73" s="3">
        <f>6512.4+(1314.3-1037.2)+(-13.285296+(-2.681172--2.115888))+0-0-0</f>
        <v>6775.6494199999997</v>
      </c>
      <c r="U73" s="3">
        <f>6483.3+(1423.8-1146)+(-6.612966+(-1.452276--1.16892))+0-0-0</f>
        <v>6754.2036780000008</v>
      </c>
      <c r="V73" s="3">
        <f>6412.2+(1408.5-1146.2)+(-13.080888+(-2.87334--2.338248))+0-0-0</f>
        <v>6660.8840200000004</v>
      </c>
      <c r="W73" s="3">
        <f>6331.7+(1483.9-1421.7)+(-16.145835+(-3.783945--3.625335))+39.8-0-0</f>
        <v>6417.3955550000001</v>
      </c>
      <c r="X73" s="3">
        <f>6112.9+(1544.4-1554)+(-31.17579+(-7.87644--7.9254))+37.2-0-0</f>
        <v>6109.3731699999989</v>
      </c>
      <c r="Y73" s="3">
        <f>5907.7+(1164.4-1249.1)+(-9.038781+(-1.781532--1.911123))+0-0-0</f>
        <v>5814.0908099999997</v>
      </c>
      <c r="Z73" s="3">
        <f>6494.7+(951.4-1506.7)+(3.312297+(0.485214-0.768417))+0-0-0</f>
        <v>5942.4290940000001</v>
      </c>
      <c r="AA73" s="3">
        <f>6805.5+(1168.8-1773.2)+(-13.88322+(-2.384352--3.617328))+0-0-0</f>
        <v>6188.449756</v>
      </c>
      <c r="AB73" s="3">
        <f>6693.3+(1185.1-1872.5)+(-6.827166+(-1.208802--1.90995))+0-0-0</f>
        <v>5999.7739819999997</v>
      </c>
      <c r="AC73" s="3">
        <f>6525.6+(1314.3-2122.5)+(-16.64028+(-3.351465--5.412375))+0-0-0</f>
        <v>5702.8206300000002</v>
      </c>
      <c r="AD73">
        <v>6178.2999999999993</v>
      </c>
      <c r="AE73" s="3">
        <f>6774+(1234.9-1830.6)+(0+(0-0))+0-0-0</f>
        <v>6178.3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6189.8+(1091.3-2005)+(-15.78399+(-2.782815--5.11275))+0-0-0</f>
        <v>5262.6459450000002</v>
      </c>
      <c r="G74" s="3">
        <f>5633.9+(766.9-1671.3)+(-14.366445+(-1.955595--4.261815))+0-0-0</f>
        <v>4717.4397749999998</v>
      </c>
      <c r="H74" s="3">
        <f>5435.7+(755-1766.1)+(2.772207+(0.38505-0.900711))+0-0-0</f>
        <v>4426.856546</v>
      </c>
      <c r="I74" s="3">
        <f>5471+(740.3-1813.1)+(-2.79021+(-0.377553--0.924681))+0-0-0</f>
        <v>4395.9569179999999</v>
      </c>
      <c r="J74" s="3">
        <f>5377.8+(635.4-1706.2)+(-19.198746+(-2.268378--6.091134))+0-0-0</f>
        <v>4291.6240100000005</v>
      </c>
      <c r="K74" s="3">
        <f>5227+(618-1667.7)+(-23.99193+(-2.83662--7.654743))+0-0-0</f>
        <v>4158.1261930000001</v>
      </c>
      <c r="L74" s="3">
        <f>5206+(646.7-1710.6)+(-13.2753+(-1.649085--4.36203))+0-0-0</f>
        <v>4131.5376450000003</v>
      </c>
      <c r="M74" s="3">
        <f>5474.3+(483-1412.6)+(8.375679+(0.73899-2.161278))+0-0-0</f>
        <v>4551.6533910000007</v>
      </c>
      <c r="N74" s="3">
        <f>6002.8+(432.8-1250)+(9.184284+(0.662184-1.9125))+0-0-0</f>
        <v>5193.5339680000006</v>
      </c>
      <c r="O74" s="3">
        <f>6329.2+(498.3-1041)+(12.911568+(1.016532-2.12364))+0-0-0</f>
        <v>5798.3044600000003</v>
      </c>
      <c r="P74" s="3">
        <f>6486.3+(468.6-904)+(9.924039+(0.716958-1.38312))+0-0-0</f>
        <v>6060.1578770000006</v>
      </c>
      <c r="Q74" s="3">
        <f>6848.1+(437.6-1015.8)+(0+(0-0))+0-0-0</f>
        <v>6269.9000000000005</v>
      </c>
      <c r="R74" s="3">
        <f>7008.9+(685.3-1404.8)+(-3.574539+(-0.349503--0.716448))+0-0-0</f>
        <v>6286.1924059999992</v>
      </c>
      <c r="S74" s="3">
        <f>7014.5+(860.7-1651.6)+(-17.886975+(-2.194785--4.21158))+0-0-0</f>
        <v>6207.7298200000005</v>
      </c>
      <c r="T74" s="3">
        <f>6949.3+(937.4-1708.1)+(-21.264858+(-2.868444--5.226786))+0-0-0</f>
        <v>6159.6934840000004</v>
      </c>
      <c r="U74" s="3">
        <f>6898.8+(779.5-1662.8)+(-10.555164+(-1.192635--2.544084))+0-0-0</f>
        <v>6006.2962850000004</v>
      </c>
      <c r="V74" s="3">
        <f>6818.4+(680.5-1572.3)+(0+(0-0))+0-0-0</f>
        <v>5926.5999999999995</v>
      </c>
      <c r="W74" s="3">
        <f>6417+(514.4-1198)+(6.54534+(0.524688-1.22196))+0-0-0</f>
        <v>5739.2480679999999</v>
      </c>
      <c r="X74" s="3">
        <f>5979+(534.1-1024.4)+(-9.14787+(-0.817173--1.567332))+0-0-0</f>
        <v>5480.3022890000002</v>
      </c>
      <c r="Y74" s="3">
        <f>5714.4+(608.8-1198.6)+(2.914344+(0.310488-0.611286))+0-0-0</f>
        <v>5127.213545999999</v>
      </c>
      <c r="Z74" s="3">
        <f>6086.9+(759.3-1460.2)+(-9.312957+(-1.161729--2.234106))+0-0-0</f>
        <v>5377.7594200000003</v>
      </c>
      <c r="AA74" s="3">
        <f>6376.9+(774.1-1543.1)+(-6.504438+(-0.789582--1.573962))+0-0-0</f>
        <v>5602.1799419999998</v>
      </c>
      <c r="AB74" s="3">
        <f>6284.3+(851.9-1704.9)+(-9.614979+(-1.303407--2.608497))+0-0-0</f>
        <v>5422.9901110000001</v>
      </c>
      <c r="AC74" s="3">
        <f>6089+(807.1-1712)+(0+(0-0))+0-0-0</f>
        <v>5184.1000000000004</v>
      </c>
      <c r="AD74">
        <v>5597.2000000000007</v>
      </c>
      <c r="AE74" s="3">
        <f>6396+(825.3-1624.1)+(0+(0-0))+0-0-0</f>
        <v>5597.2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5860.7+(783.9-1816.4)+(-5.977914+(-0.799578--1.852728))+0-0-0</f>
        <v>4823.2752359999995</v>
      </c>
      <c r="G75" s="3">
        <f>5600.9+(679.7-1824.4)+(-11.425836+(-1.386588--3.721776))+0-0-0</f>
        <v>4447.1093519999995</v>
      </c>
      <c r="H75" s="3">
        <f>5575.8+(543.5-1910.8)+(-11.374632+(-1.10874--3.898032))+0-0-0</f>
        <v>4199.9146600000004</v>
      </c>
      <c r="I75" s="3">
        <f>5514+(521-1993)+(2.81214+(0.26571-1.01643))+0-0-0</f>
        <v>4044.06142</v>
      </c>
      <c r="J75" s="3">
        <f>5494.8+(570.9-2096.7)+(-5.604696+(-0.582318--2.138634))+0-0-0</f>
        <v>3964.9516200000003</v>
      </c>
      <c r="K75" s="3">
        <f>5440.5+(674-2302.2)+(-5.54931+(-0.68748--2.348244))+0-0-0</f>
        <v>3808.411454</v>
      </c>
      <c r="L75" s="3">
        <f>5147.4+(625.3-2094.3)+(-13.12587+(-1.594515--5.340465))+0-0-0</f>
        <v>3669.0200799999998</v>
      </c>
      <c r="M75" s="3">
        <f>5070.5+(527.4-1895.6)+(0+(0-0))+0-0-0</f>
        <v>3702.3</v>
      </c>
      <c r="N75" s="3">
        <f>5085+(631-1861.3)+(7.78005+(0.96543-2.847789))+0-0-0</f>
        <v>3860.5976909999999</v>
      </c>
      <c r="O75" s="3">
        <f>5273+(837.9-1839.2)+(8.06769+(1.281987-2.813976))+0-0-0</f>
        <v>4278.2357009999996</v>
      </c>
      <c r="P75" s="3">
        <f>5231.6+(1159.8-1710.6)+(13.34058+(2.95749-4.36203))+0-0-0</f>
        <v>4692.7360399999998</v>
      </c>
      <c r="Q75" s="3">
        <f>5157.8+(1249.5-1490.2)+(7.891434+(1.911735-2.280006))+0-0-0</f>
        <v>4924.6231630000002</v>
      </c>
      <c r="R75" s="3">
        <f>5089.4+(1216.1-1292.6)+(-5.191188+(-1.240422--1.318452))+0-0-0</f>
        <v>5007.7868419999995</v>
      </c>
      <c r="S75" s="3">
        <f>5002.1+(1207.4-1198.2)+(-2.551071+(-0.615774--0.611082))+0-0-0</f>
        <v>5008.7442369999999</v>
      </c>
      <c r="T75" s="3">
        <f>4937.7+(1207.4-1211)+(0+(0-0))+0-0-0</f>
        <v>4934.1000000000004</v>
      </c>
      <c r="U75" s="3">
        <f>4903.9+(1229.6-1292.4)+(0+(0-0))+0-0-0</f>
        <v>4841.0999999999995</v>
      </c>
      <c r="V75" s="3">
        <f>4872.9+(1253.4-1319.8)+(-7.455537+(-1.917702--2.019294))+0-0-0</f>
        <v>4799.1460550000002</v>
      </c>
      <c r="W75" s="3">
        <f>4955.7+(1299.2-1506.1)+(-12.637035+(-3.31296--3.840555))+0-0-0</f>
        <v>4736.69056</v>
      </c>
      <c r="X75" s="3">
        <f>4910.6+(1100.8-1369.5)+(-12.52203+(-2.80704--3.492225))+0-0-0</f>
        <v>4630.0631550000007</v>
      </c>
      <c r="Y75" s="3">
        <f>4928.1+(846.9-1205.5)+(-5.026662+(-0.863838--1.22961))+0-0-0</f>
        <v>4564.8391099999999</v>
      </c>
      <c r="Z75" s="3">
        <f>5354.8+(633.4-1088.9)+(-5.461896+(-0.646068--1.110678))+0-0-0</f>
        <v>4894.3027140000004</v>
      </c>
      <c r="AA75" s="3">
        <f>5605.6+(610.4-1087.7)+(-11.435424+(-1.245216--2.218908))+0-0-0</f>
        <v>5117.8382680000004</v>
      </c>
      <c r="AB75" s="3">
        <f>5606.7+(685.8-1274.1)+(-11.437668+(-1.399032--2.599164))+0-0-0</f>
        <v>5008.162464</v>
      </c>
      <c r="AC75" s="3">
        <f>5487.2+(905.6-1704.6)+(-5.596944+(-0.923712--1.738692))+0-0-0</f>
        <v>4683.418036</v>
      </c>
      <c r="AD75">
        <v>5149.6000000000004</v>
      </c>
      <c r="AE75" s="3">
        <f>5644+(575.8-1070.2)+(0+(0-0))+0-0-0</f>
        <v>5149.6000000000004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5445.9+(1118-2100.2)+(-11.109636+(-2.28072--4.284408))+0-0-0</f>
        <v>4454.5940519999995</v>
      </c>
      <c r="G76" s="3">
        <f>5378.9+(756.1-1996.2)+(0+(0-0))+0-0-0</f>
        <v>4138.7999999999993</v>
      </c>
      <c r="H76" s="3">
        <f>5394.6+(670.9-2179)+(-8.253738+(-1.026477--3.33387))+0-0-0</f>
        <v>3880.5536550000006</v>
      </c>
      <c r="I76" s="3">
        <f>5359+(646.6-2176.6)+(-5.46618+(-0.659532--2.220132))+0-0-0</f>
        <v>3825.0944199999999</v>
      </c>
      <c r="J76" s="3">
        <f>5310.2+(584.8-2198.1)+(2.708202+(0.298248-1.121031))+0-0-0</f>
        <v>3698.7854189999998</v>
      </c>
      <c r="K76" s="3">
        <f>5066.7+(579.5-2037.7)+(-15.504102+(-1.77327--6.235362))+0-0-0</f>
        <v>3597.4579899999999</v>
      </c>
      <c r="L76" s="3">
        <f>4694.9+(602.3-1948.8)+(-7.183197+(-0.921519--2.981664))+0-0-0</f>
        <v>3343.2769479999997</v>
      </c>
      <c r="M76" s="3">
        <f>4620.3+(610.9-1829.4)+(4.712706+(0.623118-1.865988))+0-0-0</f>
        <v>3405.2698360000004</v>
      </c>
      <c r="N76" s="3">
        <f>4667+(673.6-1781.8)+(-11.90085+(-1.71768--4.54359))+0-0-0</f>
        <v>3549.7250600000002</v>
      </c>
      <c r="O76" s="3">
        <f>5016.4+(709.8-1833)+(-2.558364+(-0.361998--0.93483))+0-0-0</f>
        <v>3891.2144679999997</v>
      </c>
      <c r="P76" s="3">
        <f>5223.1+(880.8-1864.7)+(0+(0-0))+0-0-0</f>
        <v>4239.2000000000007</v>
      </c>
      <c r="Q76" s="3">
        <f>5343.6+(1114.2-1958.9)+(2.725236+(0.568242-0.999039))+0-0-0</f>
        <v>4501.1944390000008</v>
      </c>
      <c r="R76" s="3">
        <f>5395+(1259.6-1987.9)+(0+(0-0))+0-0-0</f>
        <v>4666.7</v>
      </c>
      <c r="S76" s="3">
        <f>5430.3+(1297.9-2044.9)+(-2.769453+(-0.661929--1.042899))+0-0-0</f>
        <v>4680.9115170000005</v>
      </c>
      <c r="T76" s="3">
        <f>5321.2+(1317.3-1935.9)+(-13.56906+(-3.359115--4.936545))+0-0-0</f>
        <v>4690.608369999999</v>
      </c>
      <c r="U76" s="3">
        <f>5354.9+(1297.4-1951.1)+(-5.461998+(-1.323348--1.990122))+0-0-0</f>
        <v>4696.4047759999994</v>
      </c>
      <c r="V76" s="3">
        <f>5270.4+(1171.4-1712.9)+(-13.43952+(-2.98707--4.367895))+0-0-0</f>
        <v>4716.8413049999999</v>
      </c>
      <c r="W76" s="3">
        <f>5198.2+(1122.4-1568.7)+(-10.604328+(-2.289696--3.200148))+0-0-0</f>
        <v>4742.2061239999994</v>
      </c>
      <c r="X76" s="3">
        <f>5185.1+(1140-1622)+(-15.866406+(-3.4884--4.96332))+0-0-0</f>
        <v>4688.7085139999999</v>
      </c>
      <c r="Y76" s="3">
        <f>5082.9+(1074.6-1564.2)+(-7.776837+(-1.644138--2.393226))+0-0-0</f>
        <v>4586.2722509999994</v>
      </c>
      <c r="Z76" s="3">
        <f>5305.7+(964.6-1306.8)+(-5.411814+(-0.983892--1.332936))+0-0-0</f>
        <v>4958.4372300000005</v>
      </c>
      <c r="AA76" s="3">
        <f>5545+(810.5-1279.1)+(-11.3118+(-1.65342--2.609364))+0-0-0</f>
        <v>5066.0441439999995</v>
      </c>
      <c r="AB76" s="3">
        <f>5561.7+(844.1-1389.3)+(-8.509401+(-1.291473--2.125629))+0-0-0</f>
        <v>5008.8247549999996</v>
      </c>
      <c r="AC76" s="3">
        <f>5406.3+(929.7-1554.8)+(-8.271639+(-1.422441--2.378844))+0-0-0</f>
        <v>4773.8847640000004</v>
      </c>
      <c r="AD76">
        <v>5064</v>
      </c>
      <c r="AE76" s="3">
        <f>5550+(792.9-1278.9)+(0+(0-0))+0-0-0</f>
        <v>5064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5269.8+(922.5-1724.4)+(-10.750392+(-1.8819--3.517776))+0-0-0</f>
        <v>4458.785484</v>
      </c>
      <c r="G77" s="3">
        <f>4940.2+(700.8-1554.2)+(2.519502+(0.357408-0.792642))+0-0-0</f>
        <v>4088.8842679999998</v>
      </c>
      <c r="H77" s="3">
        <f>4822.7+(757.7-1718.1)+(-4.919154+(-0.772854--1.752462))+0-0-0</f>
        <v>3858.3604540000001</v>
      </c>
      <c r="I77" s="3">
        <f>4749.5+(780.2-1761.2)+(0+(0-0))+0-0-0</f>
        <v>3768.5</v>
      </c>
      <c r="J77" s="3">
        <f>4771+(843.9-1920.1)+(7.29963+(1.291167-2.937753))+0-0-0</f>
        <v>3700.4530440000003</v>
      </c>
      <c r="K77" s="3">
        <f>4655+(800.7-1837.9)+(-14.2443+(-2.450142--5.623974))+0-0-0</f>
        <v>3606.7295320000003</v>
      </c>
      <c r="L77" s="3">
        <f>4512.9+(626.7-1706.7)+(-4.603158+(-0.639234--1.740834))+0-0-0</f>
        <v>3429.3984419999997</v>
      </c>
      <c r="M77" s="3">
        <f>4566.7+(516.4-1610.3)+(2.329017+(0.263364-0.821253))+0-0-0</f>
        <v>3474.5711279999996</v>
      </c>
      <c r="N77" s="3">
        <f>4967.2+(533.9-1705.4)+(0+(0-0))+0-0-0</f>
        <v>3795.7</v>
      </c>
      <c r="O77" s="3">
        <f>5279.6+(827.6-1948.9)+(-5.385192+(-0.844152--1.987878))+0-0-0</f>
        <v>4154.0585339999998</v>
      </c>
      <c r="P77" s="3">
        <f>5333.1+(1137-1921.8)+(0+(0-0))+0-0-0</f>
        <v>4548.3</v>
      </c>
      <c r="Q77" s="3">
        <f>5432.1+(1201.2-1759.2)+(2.770371+(0.612612-0.897192))+0-0-0</f>
        <v>4876.5857910000004</v>
      </c>
      <c r="R77" s="3">
        <f>5610.2+(1147.8-1772.5)+(5.722404+(1.170756-1.80795))+0-0-0</f>
        <v>4990.5852100000002</v>
      </c>
      <c r="S77" s="3">
        <f>5705+(1122.7-1848.2)+(-2.90955+(-0.572577--0.942582))+0-0-0</f>
        <v>4976.9604550000004</v>
      </c>
      <c r="T77" s="3">
        <f>5686.9+(1122.5-1835.3)+(2.900319+(0.572475-0.936003))+0-0-0</f>
        <v>4976.6367909999999</v>
      </c>
      <c r="U77" s="3">
        <f>5653.7+(1111.7-1805.6)+(-5.766774+(-1.133934--1.841712))+0-0-0</f>
        <v>4954.7410040000004</v>
      </c>
      <c r="V77" s="3">
        <f>5631.9+(1115-1783)+(-5.744538+(-1.1373--1.81866))+0-0-0</f>
        <v>4958.8368219999993</v>
      </c>
      <c r="W77" s="3">
        <f>5548.9+(1166.8-1767.1)+(-14.149695+(-2.97534--4.506105))+0-0-0</f>
        <v>4935.9810699999998</v>
      </c>
      <c r="X77" s="3">
        <f>5448.5+(1096.8-1621.7)+(-19.451145+(-3.915576--5.789469))+0-0-0</f>
        <v>4906.0227480000003</v>
      </c>
      <c r="Y77" s="3">
        <f>5214.1+(1009.1-1444)+(-5.318382+(-1.029282--1.47288))+0-0-0</f>
        <v>4774.3252160000011</v>
      </c>
      <c r="Z77" s="3">
        <f>5489.7+(854.6-1262.8)+(2.799747+(0.435846-0.644028))+0-0-0</f>
        <v>5084.0915649999997</v>
      </c>
      <c r="AA77" s="3">
        <f>5959.2+(693.6-1258.3)+(-9.117576+(-1.061208--1.925199))+0-0-0</f>
        <v>5386.2464149999996</v>
      </c>
      <c r="AB77" s="3">
        <f>5907.8+(847.7-1447.1)+(-12.051912+(-1.729308--2.952084))+0-0-0</f>
        <v>5297.5708640000003</v>
      </c>
      <c r="AC77" s="3">
        <f>5889.8+(1062.2-1863.4)+(-15.01899+(-2.70861--4.75167))+0-0-0</f>
        <v>5075.6240700000008</v>
      </c>
      <c r="AD77">
        <v>5407.1</v>
      </c>
      <c r="AE77" s="3">
        <f>6013+(775.1-1381)+(0+(0-0))+0-0-0</f>
        <v>5407.1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5744.4+(1039.1-2106.3)+(-8.788932+(-1.589823--3.222639))+0-0-0</f>
        <v>4670.0438839999988</v>
      </c>
      <c r="G78" s="3">
        <f>5496.3+(743.5-1992)+(-5.606226+(-0.75837--2.03184))+0-0-0</f>
        <v>4243.4672440000004</v>
      </c>
      <c r="H78" s="3">
        <f>5279.4+(693.7-1964.5)+(-5.384988+(-0.707574--2.00379))+0-0-0</f>
        <v>4004.5112279999994</v>
      </c>
      <c r="I78" s="3">
        <f>4970.5+(807.7-1884.8)+(2.534955+(0.411927-0.961248))+0-0-0</f>
        <v>3895.3856340000002</v>
      </c>
      <c r="J78" s="3">
        <f>4840.8+(712.2-1693.6)+(-12.34404+(-1.81611--4.31868))+0-0-0</f>
        <v>3849.5585300000007</v>
      </c>
      <c r="K78" s="3">
        <f>4797.8+(683.9-1679.6)+(-17.128146+(-2.441523--5.996172))+0-0-0</f>
        <v>3788.5265030000005</v>
      </c>
      <c r="L78" s="3">
        <f>4777.4+(604.6-1623.6)+(4.872948+(0.616692-1.656072))+0-0-0</f>
        <v>3762.2335679999997</v>
      </c>
      <c r="M78" s="3">
        <f>5102.4+(648.3-1388.3)+(0+(0-0))+0-0-0</f>
        <v>4362.3999999999996</v>
      </c>
      <c r="N78" s="3">
        <f>5787.5+(905.3-1607.8)+(0+(0-0))+0-0-0</f>
        <v>5085</v>
      </c>
      <c r="O78" s="3">
        <f>5965.9+(1069.8-1438.5)+(3.042609+(0.545598-0.733635))+0-0-0</f>
        <v>5600.054572</v>
      </c>
      <c r="P78" s="3">
        <f>6058.2+(948-1005.9)+(6.179364+(0.96696-1.026018))+0-0-0</f>
        <v>6006.420306</v>
      </c>
      <c r="Q78" s="3">
        <f>6141.4+(817.1-611.6)+(3.132114+(0.416721-0.311916))+0-0-0</f>
        <v>6350.1369189999996</v>
      </c>
      <c r="R78" s="3">
        <f>6487.8+(928.7-813.1)+(3.308778+(0.473637-0.414681))+0-0-0</f>
        <v>6606.7677340000009</v>
      </c>
      <c r="S78" s="3">
        <f>6576.7+(960.6-1044.9)+(-6.708234+(-0.979812--1.065798))+0-0-0</f>
        <v>6485.777752</v>
      </c>
      <c r="T78" s="3">
        <f>6520+(1067-983.8)+(-3.3252+(-0.54417--0.501738))+0-0-0</f>
        <v>6599.8323679999994</v>
      </c>
      <c r="U78" s="3">
        <f>6472.1+(1141.1-1010.3)+(-13.203084+(-2.327844--2.061012))+0-0-0</f>
        <v>6589.4300840000005</v>
      </c>
      <c r="V78" s="3">
        <f>6446.3+(1172.4-1069.7)+(-23.013291+(-4.185468--3.818829))+0-0-0</f>
        <v>6525.6200699999999</v>
      </c>
      <c r="W78" s="3">
        <f>6435.4+(1083.1-1104.6)+(-9.846162+(-1.657143--1.690038))+0-0-0</f>
        <v>6404.0867329999992</v>
      </c>
      <c r="X78" s="3">
        <f>6375.1+(1143.4-1378.3)+(-16.256505+(-2.91567--3.514665))+0-0-0</f>
        <v>6124.5424900000007</v>
      </c>
      <c r="Y78" s="3">
        <f>5976.9+(916.7-1110.2)+(-9.144657+(-1.402551--1.698606))+0-0-0</f>
        <v>5774.5513979999996</v>
      </c>
      <c r="Z78" s="3">
        <f>6340.4+(921.2-1257.3)+(-6.467208+(-0.939624--1.282446))+0-0-0</f>
        <v>5998.1756139999989</v>
      </c>
      <c r="AA78" s="3">
        <f>6504.2+(880.9-1178.3)+(-13.268568+(-1.797036--2.403732))+0-0-0</f>
        <v>6194.1381280000005</v>
      </c>
      <c r="AB78" s="3">
        <f>6448.1+(1130.4-1570.1)+(-13.154124+(-2.306016--3.203004))+0-0-0</f>
        <v>5996.1428640000004</v>
      </c>
      <c r="AC78" s="3">
        <f>6373.8+(1349-2049.5)+(-9.751914+(-2.06397--3.135735))+0-0-0</f>
        <v>5664.6198510000004</v>
      </c>
      <c r="AD78">
        <v>6194.8</v>
      </c>
      <c r="AE78" s="3">
        <f>6469+(816.5-1090.7)+(0+(0-0))+0-0-0</f>
        <v>6194.8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5958.8+(1344.8-2149.6)+(-15.19494+(-3.42924--5.48148))+0-0-0</f>
        <v>5140.8572999999997</v>
      </c>
      <c r="G79" s="3">
        <f>5686.5+(1100.5-2053.5)+(-11.60046+(-2.24502--4.18914))+0-0-0</f>
        <v>4723.8436600000005</v>
      </c>
      <c r="H79" s="3">
        <f>5507.2+(852.3-1905.2)+(-5.617344+(-0.869346--1.943304))+0-0-0</f>
        <v>4449.756613999999</v>
      </c>
      <c r="I79" s="3">
        <f>5367.8+(687.4-1766.7)+(-13.68789+(-1.75287--4.505085))+0-0-0</f>
        <v>4277.5643250000003</v>
      </c>
      <c r="J79" s="3">
        <f>5206.6+(627-1601.3)+(-13.27683+(-1.59885--4.083315))+0-0-0</f>
        <v>4221.5076349999999</v>
      </c>
      <c r="K79" s="3">
        <f>5053+(702.3-1609.9)+(-12.88515+(-1.790865--4.105245))+0-0-0</f>
        <v>4134.8292299999994</v>
      </c>
      <c r="L79" s="3">
        <f>4894.8+(532.6-1311.4)+(2.496348+(0.271626-0.668814))+0-0-0</f>
        <v>4118.0991599999998</v>
      </c>
      <c r="M79" s="3">
        <f>5159.5+(518-1001.2)+(0+(0-0))+0-0-0</f>
        <v>4676.3</v>
      </c>
      <c r="N79" s="3">
        <f>5694.5+(856.3-1122.8)+(-5.80839+(-0.873426--1.145256))+0-0-0</f>
        <v>5422.4634400000004</v>
      </c>
      <c r="O79" s="3">
        <f>6549.9+(860.9-1358)+(-6.680898+(-0.878118--1.38516))+0-0-0</f>
        <v>6046.6261439999989</v>
      </c>
      <c r="P79" s="3">
        <f>6988.2+(761.4-1289.1)+(-10.691946+(-1.164942--1.972323))+0-0-0</f>
        <v>6450.6154349999997</v>
      </c>
      <c r="Q79" s="3">
        <f>7021.7+(975.4-1250.7)+(3.581067+(0.497454-0.637857))+0-0-0</f>
        <v>6749.8406639999994</v>
      </c>
      <c r="R79" s="3">
        <f>6997.6+(1077.5-1193.6)+(7.137552+(1.09905-1.217472))+0-0-0</f>
        <v>6888.5191299999997</v>
      </c>
      <c r="S79" s="3">
        <f>6964.3+(1104.8-1283.2)+(-7.103586+(-1.126896--1.308864))+0-0-0</f>
        <v>6778.9783819999993</v>
      </c>
      <c r="T79" s="3">
        <f>6952.5+(1106.7-1149.8)+(-3.545775+(-0.564417--0.586398))+0-0-0</f>
        <v>6905.8762059999999</v>
      </c>
      <c r="U79" s="3">
        <f>6948.3+(891-1000.5)+(-3.543633+(-0.45441--0.510255))+0-0-0</f>
        <v>6835.3122119999998</v>
      </c>
      <c r="V79" s="3">
        <f>6947.1+(930.4-1110)+(-7.086042+(-0.949008--1.1322))+0-0-0</f>
        <v>6760.5971499999996</v>
      </c>
      <c r="W79" s="3">
        <f>6976.3+(1007-1401.9)+(-10.673739+(-1.54071--2.144907))+0-0-0</f>
        <v>6571.3304579999995</v>
      </c>
      <c r="X79" s="3">
        <f>6902.1+(942.5-1558.2)+(-17.600355+(-2.403375--3.97341))+0-0-0</f>
        <v>6270.3696800000007</v>
      </c>
      <c r="Y79" s="3">
        <f>6577.9+(682.1-1335.3)+(-13.418916+(-1.391484--2.724012))+0-0-0</f>
        <v>5912.6136120000001</v>
      </c>
      <c r="Z79" s="3">
        <f>6807.1+(569.7-1233.8)+(0+(0-0))+0-0-0</f>
        <v>6143</v>
      </c>
      <c r="AA79" s="3">
        <f>7288.5+(745.6-1652.4)+(-7.43427+(-0.760512--1.685448))+0-0-0</f>
        <v>6375.1906659999995</v>
      </c>
      <c r="AB79" s="3">
        <f>7128.6+(818.5-1815)+(-10.906758+(-1.252305--2.77695))+0-0-0</f>
        <v>6122.7178870000007</v>
      </c>
      <c r="AC79" s="3">
        <f>6788.2+(948.7-1914.3)+(-3.461982+(-0.483837--0.976293))+0-0-0</f>
        <v>5819.6304740000005</v>
      </c>
      <c r="AD79">
        <v>6414.1</v>
      </c>
      <c r="AE79" s="3">
        <f>7262+(705-1552.9)+(0+(0-0))+0-0-0</f>
        <v>6414.1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6413.3+(973.8-2139.9)+(-3.270783+(-0.496638--1.091349))+0-0-0</f>
        <v>5244.5239279999996</v>
      </c>
      <c r="G80" s="3">
        <f>5961.5+(859.6-2054.3)+(-6.08073+(-0.876792--2.095386))+0-0-0</f>
        <v>4761.9378639999995</v>
      </c>
      <c r="H80" s="3">
        <f>5914+(629.9-2018.7)+(-6.03228+(-0.642498--2.059074))+0-0-0</f>
        <v>4520.584296</v>
      </c>
      <c r="I80" s="3">
        <f>5621.5+(565.6-1803.8)+(-17.20179+(-1.730736--5.519628))+0-0-0</f>
        <v>4369.8871020000006</v>
      </c>
      <c r="J80" s="3">
        <f>5611.1+(477.4-1807)+(2.861661+(0.243474-0.92157))+29-0-0</f>
        <v>4312.6835650000003</v>
      </c>
      <c r="K80" s="3">
        <f>5389.9+(550-1771.3)+(-5.497698+(-0.561--1.806726))+60-0-0</f>
        <v>4224.3480279999994</v>
      </c>
      <c r="L80" s="3">
        <f>5286.5+(435.9-1544.7)+(-5.39223+(-0.444618--1.575594))+54-0-0</f>
        <v>4227.4387459999998</v>
      </c>
      <c r="M80" s="3">
        <f>5483.9+(489.5-1228.7)+(5.593578+(0.49929-1.253274))+0-0-0</f>
        <v>4749.5395939999999</v>
      </c>
      <c r="N80" s="3">
        <f>5992.6+(616.9-1093.2)+(9.168678+(0.943857-1.672596))+0-0-0</f>
        <v>5524.739939</v>
      </c>
      <c r="O80" s="3">
        <f>6666.5+(772.7-1333.6)+(3.399915+(0.394077-0.680136))+0-0-0</f>
        <v>6108.7138560000003</v>
      </c>
      <c r="P80" s="3">
        <f>6992.3+(885.8-1367.6)+(3.566073+(0.451758-0.697476))+0-0-0</f>
        <v>6513.8203549999998</v>
      </c>
      <c r="Q80" s="3">
        <f>6987.3+(788.7-1017.1)+(0+(0-0))+0-0-0</f>
        <v>6758.9000000000005</v>
      </c>
      <c r="R80" s="3">
        <f>6942.5+(748.6-865.4)+(3.540675+(0.381786-0.441354))+0-0-0</f>
        <v>6829.1811069999994</v>
      </c>
      <c r="S80" s="3">
        <f>6877+(763.7-977)+(-10.52181+(-1.168461--1.49481))+0-0-0</f>
        <v>6653.5045389999996</v>
      </c>
      <c r="T80" s="3">
        <f>6713+(913.8-885.4)+(6.84726+(0.932076-0.903108))+0-0-0</f>
        <v>6748.2762279999997</v>
      </c>
      <c r="U80" s="3">
        <f>6704.6+(913.8-887.6)+(-13.677384+(-1.864152--1.810704))+0-0-0</f>
        <v>6717.069168</v>
      </c>
      <c r="V80" s="3">
        <f>6673.4+(971.9-1037.1)+(-10.210302+(-1.487007--1.586763))+0-0-0</f>
        <v>6598.0894539999999</v>
      </c>
      <c r="W80" s="3">
        <f>6679.7+(1076.7-1326.5)+(-6.813294+(-1.098234--1.35303))+0-0-0</f>
        <v>6423.3415019999993</v>
      </c>
      <c r="X80" s="3">
        <f>6615.3+(976.3-1485.8)+(-26.990424+(-3.983304--6.062064))+0-0-0</f>
        <v>6080.888336</v>
      </c>
      <c r="Y80" s="3">
        <f>6025.9+(772.9-1033.4)+(-6.146418+(-0.788358--1.054068))+0-0-0</f>
        <v>5759.519292</v>
      </c>
      <c r="Z80" s="3">
        <f>6449.6+(634.1-1065.5)+(-13.157184+(-1.293564--2.17362))+0-0-0</f>
        <v>6005.922872000001</v>
      </c>
      <c r="AA80" s="3">
        <f>7039.6+(551.4-1316.9)+(-17.95098+(-1.40607--3.358095))+0-0-0</f>
        <v>6258.1010450000003</v>
      </c>
      <c r="AB80" s="3">
        <f>6742.4+(733.6-1441.1)+(-13.754496+(-1.496544--2.939844))+0-0-0</f>
        <v>6022.588804</v>
      </c>
      <c r="AC80" s="3">
        <f>6382.6+(828.7-1548.9)+(-13.020504+(-1.690548--3.159756))+0-0-0</f>
        <v>5650.8487040000009</v>
      </c>
      <c r="AD80">
        <v>6217.2999999999993</v>
      </c>
      <c r="AE80" s="3">
        <f>7035+(560.9-1378.6)+(0+(0-0))+0-0-0</f>
        <v>6217.3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6001.4+(731.6-1580.4)+(0+(0-0))+0-0-0</f>
        <v>5152.5999999999995</v>
      </c>
      <c r="G81" s="3">
        <f>5748.1+(530.6-1558.4)+(-2.931531+(-0.270606--0.794784))+0-0-0</f>
        <v>4717.8926470000006</v>
      </c>
      <c r="H81" s="3">
        <f>5771.5+(605.9-1905.3)+(2.943465+(0.309009-0.971703))+0-0-0</f>
        <v>4474.3807710000001</v>
      </c>
      <c r="I81" s="3">
        <f>5706.1+(625.8-1980.5)+(-2.910111+(-0.319158--1.010055))+0-0-0</f>
        <v>4349.1807860000008</v>
      </c>
      <c r="J81" s="3">
        <f>5639.8+(646.5-1992.7)+(-2.876298+(-0.329715--1.016277))+0-0-0</f>
        <v>4291.4102640000001</v>
      </c>
      <c r="K81" s="3">
        <f>5512.1+(591.4-1884.7)+(-14.055855+(-1.50807--4.805985))+0-0-0</f>
        <v>4208.0420599999998</v>
      </c>
      <c r="L81" s="3">
        <f>5357.7+(402.2-1638)+(-5.464854+(-0.410244--1.67076))+0-0-0</f>
        <v>4117.6956620000001</v>
      </c>
      <c r="M81" s="3">
        <f>5845.7+(332.5-1639.3)+(5.962614+(0.33915-1.672086))+0-0-0</f>
        <v>4543.5296779999999</v>
      </c>
      <c r="N81" s="3">
        <f>6147.2+(697.3-1606.4)+(9.405216+(1.066869-2.457792))+0-0-0</f>
        <v>5246.1142929999996</v>
      </c>
      <c r="O81" s="3">
        <f>6539.4+(748.9-1445.6)+(0+(0-0))+0-0-0</f>
        <v>5842.7</v>
      </c>
      <c r="P81" s="3">
        <f>6529.6+(713.3-1041.7)+(0+(0-0))+0-0-0</f>
        <v>6201.2000000000007</v>
      </c>
      <c r="Q81" s="3">
        <f>6521.7+(622.1-647.7)+(6.652134+(0.634542-0.660654))+0-0-0</f>
        <v>6502.7260219999998</v>
      </c>
      <c r="R81" s="3">
        <f>6517.5+(729.7-697.3)+(-3.323925+(-0.372147--0.355623))+0-0-0</f>
        <v>6546.5595509999994</v>
      </c>
      <c r="S81" s="3">
        <f>6475.4+(982.4-1083.7)+(-13.209816+(-2.004096--2.210748))+0-0-0</f>
        <v>6361.0968359999997</v>
      </c>
      <c r="T81" s="3">
        <f>6506.5+(1204.3-1382.2)+(-13.27326+(-2.456772--2.819688))+0-0-0</f>
        <v>6315.6896560000005</v>
      </c>
      <c r="U81" s="3">
        <f>6484.9+(1335.7-1660.5)+(-3.307299+(-0.681207--0.846855))+0-0-0</f>
        <v>6156.9583489999995</v>
      </c>
      <c r="V81" s="3">
        <f>6380.4+(1347.2-1742.1)+(-16.27002+(-3.43536--4.442355))+0-0-0</f>
        <v>5970.2369749999998</v>
      </c>
      <c r="W81" s="3">
        <f>6365.8+(1367.1-1987.6)+(-6.493116+(-1.394442--2.027352))+0-0-0</f>
        <v>5739.4397939999999</v>
      </c>
      <c r="X81" s="3">
        <f>6159.9+(1270.2-1883.2)+(-18.849294+(-3.886812--5.762592))+0-0-0</f>
        <v>5529.9264859999994</v>
      </c>
      <c r="Y81" s="3">
        <f>5561.1+(1150.1-1304.3)+(-2.836161+(-0.586551--0.665193))+0-0-0</f>
        <v>5404.1424810000008</v>
      </c>
      <c r="Z81" s="3">
        <f>5805.3+(1125.1-1285.5)+(-8.882109+(-1.721403--1.966815))+0-0-0</f>
        <v>5636.2633029999997</v>
      </c>
      <c r="AA81" s="3">
        <f>6276.5+(1063.9-1625.1)+(-9.603045+(-1.627767--2.486403))+0-0-0</f>
        <v>5706.5555910000003</v>
      </c>
      <c r="AB81" s="3">
        <f>6178+(822-1520.2)+(-18.90468+(-2.51532--4.651812))+0-0-0</f>
        <v>5463.0318120000002</v>
      </c>
      <c r="AC81" s="3">
        <f>5674.1+(1045.8-1545.8)+(-5.787582+(-1.066716--1.576716))+0-0-0</f>
        <v>5168.8224180000007</v>
      </c>
      <c r="AD81">
        <v>5713.2000000000007</v>
      </c>
      <c r="AE81" s="3">
        <f>6245+(1072.8-1604.6)+(0+(0-0))+0-0-0</f>
        <v>5713.2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5585.7+(1052.4-1800.5)+(-11.394828+(-2.146896--3.67302))+0-0-0</f>
        <v>4827.7312959999999</v>
      </c>
      <c r="G82" s="3">
        <f>5368.4+(671.6-1561.1)+(-13.68942+(-1.71258--3.980805))+0-0-0</f>
        <v>4467.4788049999997</v>
      </c>
      <c r="H82" s="3">
        <f>5183.2+(464.8-1418.2)+(-5.286864+(-0.474096--1.446564))+0-0-0</f>
        <v>4225.4856039999995</v>
      </c>
      <c r="I82" s="3">
        <f>5121.4+(326.9-1388.4)+(-2.611914+(-0.166719--0.708084))+0-0-0</f>
        <v>4057.8294509999996</v>
      </c>
      <c r="J82" s="3">
        <f>5136.7+(423.2-1578.6)+(-5.239434+(-0.431664--1.610172))+0-0-0</f>
        <v>3977.2390740000001</v>
      </c>
      <c r="K82" s="3">
        <f>5140.6+(516.3-1810)+(-13.10853+(-1.316565--4.6155))+0-0-0</f>
        <v>3837.0904050000004</v>
      </c>
      <c r="L82" s="3">
        <f>4787.2+(639.9-1816)+(0+(0-0))+0-0-0</f>
        <v>3611.1</v>
      </c>
      <c r="M82" s="3">
        <f>4739.8+(664-1754.8)+(2.417298+(0.33864-0.894948))+0-0-0</f>
        <v>3650.8609900000001</v>
      </c>
      <c r="N82" s="3">
        <f>4983.4+(548.5-1634.9)+(-2.541534+(-0.279735--0.833799))+0-0-0</f>
        <v>3895.0125299999995</v>
      </c>
      <c r="O82" s="3">
        <f>5316.6+(622.4-1668.9)+(-2.711466+(-0.317424--0.851139))+0-0-0</f>
        <v>4267.9222490000002</v>
      </c>
      <c r="P82" s="3">
        <f>5697.7+(770.7-1801.4)+(-2.905827+(-0.393057--0.918714))+0-0-0</f>
        <v>4664.6198299999996</v>
      </c>
      <c r="Q82" s="3">
        <f>5782.1+(849-1657.8)+(2.948871+(0.43299-0.845478))+0-0-0</f>
        <v>4975.8363829999998</v>
      </c>
      <c r="R82" s="3">
        <f>5849.9+(913.8-1625.3)+(-2.983449+(-0.466038--0.828903))+0-0-0</f>
        <v>5135.7794159999994</v>
      </c>
      <c r="S82" s="3">
        <f>6121.3+(920.8-1846.6)+(-6.243726+(-0.939216--1.883532))+0-0-0</f>
        <v>5190.2005900000004</v>
      </c>
      <c r="T82" s="3">
        <f>6150.1+(894.6-1885.4)+(-12.546204+(-1.824984--3.846216))+0-0-0</f>
        <v>5148.775028</v>
      </c>
      <c r="U82" s="3">
        <f>6041+(932.1-1895)+(-9.24273+(-1.426113--2.89935))+0-0-0</f>
        <v>5070.3305070000006</v>
      </c>
      <c r="V82" s="3">
        <f>5824.9+(898.2-1633.4)+(-8.912097+(-1.374246--2.499102))+0-0-0</f>
        <v>5081.9127589999998</v>
      </c>
      <c r="W82" s="3">
        <f>5530.7+(627.1-1123.1)+(-14.103285+(-1.599105--2.863905))+0-0-0</f>
        <v>5021.8615149999996</v>
      </c>
      <c r="X82" s="3">
        <f>5480+(782.5-1270.5)+(-13.974+(-1.995375--3.239775))+0-0-0</f>
        <v>4979.2704000000003</v>
      </c>
      <c r="Y82" s="3">
        <f>5525.1+(780.6-1440.4)+(-5.635602+(-0.796212--1.469208))+0-0-0</f>
        <v>4860.3373940000001</v>
      </c>
      <c r="Z82" s="3">
        <f>5940.5+(711.5-1481.2)+(3.029655+(0.362865-0.755412))+0-0-0</f>
        <v>5173.4371080000001</v>
      </c>
      <c r="AA82" s="3">
        <f>6099.8+(807.7-1471.1)+(-12.443592+(-1.647708--3.001044))+0-0-0</f>
        <v>5425.3097440000001</v>
      </c>
      <c r="AB82" s="3">
        <f>6219.9+(1079.3-1948.1)+(-6.344298+(-1.100886--1.987062))+0-0-0</f>
        <v>5345.6418779999995</v>
      </c>
      <c r="AC82" s="3">
        <f>6199.1+(1115.1-2146.4)+(-6.323082+(-1.137402--2.189328))+0-0-0</f>
        <v>5162.5288440000004</v>
      </c>
      <c r="AD82">
        <v>5443.5</v>
      </c>
      <c r="AE82" s="3">
        <f>6068+(840.1-1480.6)+(0+(0-0))+0-0-0</f>
        <v>5427.5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5726.2+(772.4-2003.1)+(-5.840724+(-0.787848--2.043162))+0-0-0</f>
        <v>4490.9145900000003</v>
      </c>
      <c r="G83" s="3">
        <f>5315.9+(549.2-1675.6)+(-13.555545+(-1.40046--4.27278))+0-0-0</f>
        <v>4178.8167750000002</v>
      </c>
      <c r="H83" s="3">
        <f>4904.4+(543.7-1508.7)+(-12.50622+(-1.386435--3.847185))+0-0-0</f>
        <v>3929.3545299999996</v>
      </c>
      <c r="I83" s="3">
        <f>4893.7+(568.3-1651.9)+(2.495787+(0.289833-0.842469))+0-0-0</f>
        <v>3812.0431509999994</v>
      </c>
      <c r="J83" s="3">
        <f>4909+(623-1768.3)+(0+(0-0))+0-0-0</f>
        <v>3763.7</v>
      </c>
      <c r="K83" s="3">
        <f>4872.7+(719.3-1873.9)+(-14.910462+(-2.201058--5.734134))+0-0-0</f>
        <v>3706.7226139999993</v>
      </c>
      <c r="L83" s="3">
        <f>5104.1+(738-1949.3)+(7.809273+(1.12914-2.982429))+0-0-0</f>
        <v>3898.7559840000004</v>
      </c>
      <c r="M83" s="3">
        <f>5156+(789-1449.1)+(-7.88868+(-1.20717--2.217123))+0-0-0</f>
        <v>4489.0212729999994</v>
      </c>
      <c r="N83" s="3">
        <f>5692.8+(941.1-1346.8)+(5.806656+(0.959922-1.373736))+0-0-0</f>
        <v>5292.4928420000006</v>
      </c>
      <c r="O83" s="3">
        <f>6250.1+(854.4-1318.5)+(6.375102+(0.871488-1.34487))+0-0-0</f>
        <v>5791.9017199999998</v>
      </c>
      <c r="P83" s="3">
        <f>6542.7+(908-1260)+(10.010331+(1.38924-1.9278))+0-0-0</f>
        <v>6200.1717710000003</v>
      </c>
      <c r="Q83" s="3">
        <f>6669.5+(863.6-1046.6)+(0+(0-0))+0-0-0</f>
        <v>6486.5</v>
      </c>
      <c r="R83" s="3">
        <f>6691+(1014.2-1042.9)+(3.41241+(0.517242-0.531879))+0-0-0</f>
        <v>6665.6977729999999</v>
      </c>
      <c r="S83" s="3">
        <f>6545.8+(1069-1134.6)+(-3.338358+(-0.54519--0.578646))+0-0-0</f>
        <v>6476.8950980000009</v>
      </c>
      <c r="T83" s="3">
        <f>6598.2+(1094.2-1026.2)+(-3.365082+(-0.558042--0.523362))+0-0-0</f>
        <v>6662.8002379999998</v>
      </c>
      <c r="U83" s="3">
        <f>6658.8+(1196.7-1171.8)+(-6.791976+(-1.220634--1.195236))+0-0-0</f>
        <v>6676.8826260000005</v>
      </c>
      <c r="V83" s="3">
        <f>6586.9+(1157-1125.9)+(-6.718638+(-1.18014--1.148418))+0-0-0</f>
        <v>6611.24964</v>
      </c>
      <c r="W83" s="3">
        <f>6557.9+(1186.8-1234.3)+(-13.378116+(-2.421072--2.517972))+0-0-0</f>
        <v>6497.1187839999993</v>
      </c>
      <c r="X83" s="3">
        <f>6395.2+(1107.6-1031.9)+(-16.30776+(-2.82438--2.631345))+0-0-0</f>
        <v>6454.3992049999997</v>
      </c>
      <c r="Y83" s="3">
        <f>5810.2+(911.7-795)+(-8.889606+(-1.394901--1.21635))+0-0-0</f>
        <v>5917.8318429999999</v>
      </c>
      <c r="Z83" s="3">
        <f>5963+(875.2-647.9)+(-9.12339+(-1.339056--0.991287))+0-0-0</f>
        <v>6180.8288410000005</v>
      </c>
      <c r="AA83" s="3">
        <f>6364.5+(880.5-909.5)+(-9.737685+(-1.347165--1.391535))+0-0-0</f>
        <v>6325.8066849999996</v>
      </c>
      <c r="AB83" s="3">
        <f>6303.1+(885-1290.9)+(-3.214581+(-0.45135--0.658359))+0-0-0</f>
        <v>5894.1924280000003</v>
      </c>
      <c r="AC83" s="3">
        <f>6105.6+(954.2-1526.4)+(-6.227712+(-0.973284--1.556928))+0-0-0</f>
        <v>5527.7559320000009</v>
      </c>
      <c r="AD83">
        <v>6145.3</v>
      </c>
      <c r="AE83" s="3">
        <f>6363+(783.2-1000.9)+(0+(0-0))+0-0-0</f>
        <v>6145.3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5867+(714-1537.5)+(-2.99217+(-0.36414--0.784125))+0-0-0</f>
        <v>5040.927815</v>
      </c>
      <c r="G84" s="3">
        <f>5666.8+(648.9-1692.8)+(-8.670204+(-0.992817--2.589984))+0-0-0</f>
        <v>4615.8269629999995</v>
      </c>
      <c r="H84" s="3">
        <f>5316.9+(632.1-1583.6)+(-2.711619+(-0.322371--0.807636))+0-0-0</f>
        <v>4363.1736459999993</v>
      </c>
      <c r="I84" s="3">
        <f>5164.7+(710.6-1641.5)+(-7.901991+(-1.087218--2.511495))+0-0-0</f>
        <v>4227.3222860000005</v>
      </c>
      <c r="J84" s="3">
        <f>5154.5+(713.9-1704)+(-10.51518+(-1.456356--3.47616))+0-0-0</f>
        <v>4155.9046239999998</v>
      </c>
      <c r="K84" s="3">
        <f>5049.9+(714.4-1697.6)+(-23.179041+(-3.279096--7.791984))+0-0-0</f>
        <v>4048.0338469999997</v>
      </c>
      <c r="L84" s="3">
        <f>5047.4+(628.3-1672.2)+(-20.593392+(-2.563464--6.822576))+0-0-0</f>
        <v>3987.1657199999995</v>
      </c>
      <c r="M84" s="3">
        <f>5506.7+(455.8-1425.2)+(-5.616834+(-0.464916--1.453704))+0-0-0</f>
        <v>4532.6719539999995</v>
      </c>
      <c r="N84" s="3">
        <f>6066.5+(586.1-1300.6)+(-12.37566+(-1.195644--2.653224))+0-0-0</f>
        <v>5341.0819199999996</v>
      </c>
      <c r="O84" s="3">
        <f>6419.3+(720.8-1291.8)+(-9.821529+(-1.102824--1.976454))+0-0-0</f>
        <v>5839.3521010000004</v>
      </c>
      <c r="P84" s="3">
        <f>6561.4+(830.6-1170.7)+(-6.692628+(-0.847212--1.194114))+0-0-0</f>
        <v>6214.9542739999997</v>
      </c>
      <c r="Q84" s="3">
        <f>6683.4+(860.2-1153.1)+(-3.408534+(-0.438702--0.588081))+0-0-0</f>
        <v>6387.2408450000003</v>
      </c>
      <c r="R84" s="3">
        <f>6714.9+(834.5-1071.1)+(-10.273797+(-1.276785--1.638783))+0-0-0</f>
        <v>6468.3882009999988</v>
      </c>
      <c r="S84" s="3">
        <f>6697.8+(906.1-1295.4)+(-10.247634+(-1.386333--1.981962))+0-0-0</f>
        <v>6298.8479950000001</v>
      </c>
      <c r="T84" s="3">
        <f>6724+(962.5-1224)+(3.42924+(0.490875-0.62424))+0-0-0</f>
        <v>6465.7958749999998</v>
      </c>
      <c r="U84" s="3">
        <f>6705.2+(1020.4-1286)+(-17.09826+(-2.60202--3.2793))+0-0-0</f>
        <v>6423.1790199999996</v>
      </c>
      <c r="V84" s="3">
        <f>6720.9+(984.2-1313.2)+(0+(0-0))+0-0-0</f>
        <v>6391.9</v>
      </c>
      <c r="W84" s="3">
        <f>6216.8+(946.7-901)+(-6.341136+(-0.965634--0.91902))+0-0-0</f>
        <v>6256.1122500000001</v>
      </c>
      <c r="X84" s="3">
        <f>5645.8+(771.6-426.8)+(-8.638074+(-1.180548--0.653004))+0-0-0</f>
        <v>5981.4343820000004</v>
      </c>
      <c r="Y84" s="3">
        <f>5526+(763.4-574.8)+(-2.81826+(-0.389334--0.293148))+0-0-0</f>
        <v>5711.6855540000006</v>
      </c>
      <c r="Z84" s="3">
        <f>5780.7+(751.9-570.7)+(-2.948157+(-0.383469--0.291057))+0-0-0</f>
        <v>5958.8594309999999</v>
      </c>
      <c r="AA84" s="3">
        <f>6018.7+(705.7-517)+(-12.278148+(-1.439628--1.05468))+0-0-0</f>
        <v>6194.7369039999994</v>
      </c>
      <c r="AB84" s="3">
        <f>5857.3+(679.9-569.5)+(-2.987223+(-0.346749--0.290445))+0-0-0</f>
        <v>5964.656473</v>
      </c>
      <c r="AC84" s="3">
        <f>5721.4+(741.8-876.2)+(2.917914+(0.378318-0.446862))+0-0-0</f>
        <v>5589.8493699999999</v>
      </c>
      <c r="AD84">
        <v>6096.8</v>
      </c>
      <c r="AE84" s="3">
        <f>6000+(690-593.2)+(0+(0-0))+0-0-0</f>
        <v>6096.8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5665.5+(692-1284.9)+(-11.55762+(-1.41168--2.621196))+0-0-0</f>
        <v>5062.2518960000007</v>
      </c>
      <c r="G85" s="3">
        <f>5383+(322.3-1081.2)+(-5.49066+(-0.328746--1.102824))+0-0-0</f>
        <v>4619.3834180000003</v>
      </c>
      <c r="H85" s="3">
        <f>5200.9+(365.8-1189.7)+(-10.609836+(-0.746232--2.426988))+0-0-0</f>
        <v>4368.0709200000001</v>
      </c>
      <c r="I85" s="3">
        <f>5100.4+(441.2-1312.9)+(-13.00602+(-1.12506--3.347895))+0-0-0</f>
        <v>4217.9168149999996</v>
      </c>
      <c r="J85" s="3">
        <f>5026.1+(432.1-1326.7)+(5.126622+(0.440742-1.353234))+0-0-0</f>
        <v>4135.7141300000003</v>
      </c>
      <c r="K85" s="3">
        <f>4855.6+(372.4-1183.2)+(-12.38178+(-0.94962--3.01716))+0-0-0</f>
        <v>4034.48576</v>
      </c>
      <c r="L85" s="3">
        <f>4812.9+(312.2-1092.4)+(-12.272895+(-0.79611--2.78562))+0-0-0</f>
        <v>4022.4166149999996</v>
      </c>
      <c r="M85" s="3">
        <f>5033.5+(282.3-757.6)+(5.13417+(0.287946-0.772752))+0-0-0</f>
        <v>4562.8493639999997</v>
      </c>
      <c r="N85" s="3">
        <f>5753.5+(438.1-822.5)+(0+(0-0))+0-0-0</f>
        <v>5369.1</v>
      </c>
      <c r="O85" s="3">
        <f>6192.3+(558.5-879.2)+(3.158073+(0.284835-0.448392))+0-0-0</f>
        <v>5874.5945160000001</v>
      </c>
      <c r="P85" s="3">
        <f>6336.7+(702.8-681)+(-6.463434+(-0.716856--0.69462))+0-0-0</f>
        <v>6352.01433</v>
      </c>
      <c r="Q85" s="3">
        <f>6410.5+(667.9-687.6)+(3.269355+(0.340629-0.350676))+0-0-0</f>
        <v>6394.0593079999999</v>
      </c>
      <c r="R85" s="3">
        <f>6404.4+(695.9-573.3)+(-6.532488+(-0.709818--0.584766))+0-0-0</f>
        <v>6520.3424599999998</v>
      </c>
      <c r="S85" s="3">
        <f>6389+(819.8-844.2)+(-3.25839+(-0.418098--0.430542))+0-0-0</f>
        <v>6361.3540540000004</v>
      </c>
      <c r="T85" s="3">
        <f>6331.9+(927.3-768.7)+(0+(0-0))+0-0-0</f>
        <v>6490.5</v>
      </c>
      <c r="U85" s="3">
        <f>6272.4+(896.8-707.2)+(-9.596772+(-1.372104--1.082016))+0-0-0</f>
        <v>6452.1131400000004</v>
      </c>
      <c r="V85" s="3">
        <f>6279+(978.4-854.2)+(0+(0-0))+0-0-0</f>
        <v>6403.2</v>
      </c>
      <c r="W85" s="3">
        <f>6234.2+(1104.8-1072)+(-6.358884+(-1.126896--1.09344))+0-0-0</f>
        <v>6260.6076599999997</v>
      </c>
      <c r="X85" s="3">
        <f>5816.4+(1027-842.8)+(-11.865456+(-2.09508--1.719312))+0-0-0</f>
        <v>5988.3587759999991</v>
      </c>
      <c r="Y85" s="3">
        <f>5519.9+(896.1-740.4)+(-5.630298+(-0.914022--0.755208))+0-0-0</f>
        <v>5669.8108879999991</v>
      </c>
      <c r="Z85" s="3">
        <f>5771.3+(773.2-619.8)+(-2.943363+(-0.394332--0.316098))+0-0-0</f>
        <v>5921.6784030000008</v>
      </c>
      <c r="AA85" s="3">
        <f>5938.9+(700.9-598.2)+(-9.086517+(-1.072377--0.915246))+0-0-0</f>
        <v>6032.3563519999998</v>
      </c>
      <c r="AB85" s="3">
        <f>5793.2+(748.6-703)+(-14.77266+(-1.90893--1.79265))+0-0-0</f>
        <v>5823.9110600000004</v>
      </c>
      <c r="AC85" s="3">
        <f>5660.4+(785.4-913.7)+(-5.773608+(-0.801108--0.931974))+0-0-0</f>
        <v>5526.4572579999995</v>
      </c>
      <c r="AD85">
        <v>6080.4000000000005</v>
      </c>
      <c r="AE85" s="3">
        <f>5894+(790.8-638.4)+(0+(0-0))+0-0-0</f>
        <v>6046.4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5554+(676.1-1124.1)+(-8.49762+(-1.034433--1.719873))+0-0-0</f>
        <v>5098.1878200000001</v>
      </c>
      <c r="G86" s="3">
        <f>5034.9+(590.5-1028.7)+(-12.838995+(-1.505775--2.623185))+0-0-0</f>
        <v>4584.9784149999996</v>
      </c>
      <c r="H86" s="3">
        <f>5024.6+(600.1-1230.1)+(-2.562546+(-0.306051--0.627351))+0-0-0</f>
        <v>4392.3587540000008</v>
      </c>
      <c r="I86" s="3">
        <f>4899.5+(617.4-1274.5)+(-9.99498+(-1.259496--2.59998))+0-0-0</f>
        <v>4233.7455039999995</v>
      </c>
      <c r="J86" s="3">
        <f>4721.7+(590.5-1286.9)+(-12.040335+(-1.505775--3.281595))+0-0-0</f>
        <v>4015.0354849999999</v>
      </c>
      <c r="K86" s="3">
        <f>4795.5+(620.3-1348.2)+(-19.56564+(-2.530824--5.500656))+0-0-0</f>
        <v>4051.0041919999999</v>
      </c>
      <c r="L86" s="3">
        <f>4812.3+(478.2-1209.4)+(-7.362819+(-0.731646--1.850382))+0-0-0</f>
        <v>4074.8559170000003</v>
      </c>
      <c r="M86" s="3">
        <f>5028.4+(454.8-926.6)+(2.564484+(0.231948-0.472566))+0-0-0</f>
        <v>4558.9238659999992</v>
      </c>
      <c r="N86" s="3">
        <f>5463.7+(473.8-611.2)+(2.786487+(0.241638-0.311712))+0-0-0</f>
        <v>5329.0164130000003</v>
      </c>
      <c r="O86" s="3">
        <f>5786.6+(469.6-502.8)+(2.951166+(0.239496-0.256428))+0-0-0</f>
        <v>5756.3342340000008</v>
      </c>
      <c r="P86" s="3">
        <f>5952.1+(558.2-416.9)+(3.035571+(0.284682-0.212619))+0-0-0</f>
        <v>6096.5076340000005</v>
      </c>
      <c r="Q86" s="3">
        <f>6159.9+(735.2-414.5)+(3.141549+(0.374952-0.211395))+0-0-0</f>
        <v>6483.9051059999993</v>
      </c>
      <c r="R86" s="3">
        <f>6305.5+(674.9-339.6)+(3.215805+(0.344199-0.173196))+0-0-0</f>
        <v>6644.1868080000004</v>
      </c>
      <c r="S86" s="3">
        <f>6335.5+(625.8-473.2)+(-6.46221+(-0.638316--0.482664))+0-0-0</f>
        <v>6481.4821380000003</v>
      </c>
      <c r="T86" s="3">
        <f>6420.6+(719.6-513.9)+(-3.274506+(-0.366996--0.262089))+0-0-0</f>
        <v>6622.9205870000005</v>
      </c>
      <c r="U86" s="3">
        <f>6384.9+(773-547.5)+(-13.025196+(-1.57692--1.1169))+0-0-0</f>
        <v>6596.9147839999996</v>
      </c>
      <c r="V86" s="3">
        <f>6350.3+(828.1-627)+(0+(0-0))+0-0-0</f>
        <v>6551.4000000000005</v>
      </c>
      <c r="W86" s="3">
        <f>6341.8+(856.5-810.1)+(-19.405908+(-2.62089--2.478906))+0-0-0</f>
        <v>6368.6521080000002</v>
      </c>
      <c r="X86" s="3">
        <f>6223.9+(939.5-994.9)+(-22.219323+(-3.354015--3.551793))+0-0-0</f>
        <v>6146.4784550000004</v>
      </c>
      <c r="Y86" s="3">
        <f>5719.5+(656.5-614.1)+(-14.584725+(-1.674075--1.565955))+0-0-0</f>
        <v>5747.2071550000001</v>
      </c>
      <c r="Z86" s="3">
        <f>6040.3+(692.6-785.3)+(0+(0-0))+0-0-0</f>
        <v>5947.6</v>
      </c>
      <c r="AA86" s="3">
        <f>6388.6+(551.2-758.6)+(-19.549116+(-1.686672--2.321316))+0-0-0</f>
        <v>6162.2855280000003</v>
      </c>
      <c r="AB86" s="3">
        <f>6007.9+(658.5-749.9)+(-6.128058+(-0.67167--0.764898))+0-0-0</f>
        <v>5910.4651700000004</v>
      </c>
      <c r="AC86" s="3">
        <f>5760+(784.3-993.7)+(2.9376+(0.399993-0.506787))+0-0-0</f>
        <v>5553.4308060000003</v>
      </c>
      <c r="AD86">
        <v>6123.6</v>
      </c>
      <c r="AE86" s="3">
        <f>6362+(537.8-776.2)+(0+(0-0))+0-0-0</f>
        <v>6123.6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5577.9+(867.8-1348.5)+(-14.223645+(-2.21289--3.438675))+0-0-0</f>
        <v>5084.2021399999994</v>
      </c>
      <c r="G87" s="3">
        <f>5214.8+(766-1365.4)+(-7.978644+(-1.17198--2.089062))+0-0-0</f>
        <v>4608.3384379999998</v>
      </c>
      <c r="H87" s="3">
        <f>5136.2+(707.2-1424.3)+(-5.238924+(-0.721344--1.452786))+0-0-0</f>
        <v>4414.5925180000004</v>
      </c>
      <c r="I87" s="3">
        <f>5125.7+(667.8-1418.4)+(-10.456428+(-1.362312--2.893536))+0-0-0</f>
        <v>4366.1747959999993</v>
      </c>
      <c r="J87" s="3">
        <f>4871.8+(655.6-1353.8)+(2.484618+(0.334356-0.690438))+0-0-0</f>
        <v>4175.7285360000005</v>
      </c>
      <c r="K87" s="3">
        <f>4789.8+(662.3-1356.8)+(-2.442798+(-0.337773--0.691968))+0-0-0</f>
        <v>4093.211397</v>
      </c>
      <c r="L87" s="3">
        <f>4742.4+(527.3-1168.7)+(2.418624+(0.268923-0.596037))+0-0-0</f>
        <v>4103.0915100000002</v>
      </c>
      <c r="M87" s="3">
        <f>5049.7+(543.1-1007.8)+(2.575347+(0.276981-0.513978))+0-0-0</f>
        <v>4587.33835</v>
      </c>
      <c r="N87" s="3">
        <f>5595+(598.3-856.7)+(-2.85345+(-0.305133--0.436917))+0-0-0</f>
        <v>5333.878334</v>
      </c>
      <c r="O87" s="3">
        <f>6052+(632.8-739.2)+(-3.08652+(-0.322728--0.376992))+0-0-0</f>
        <v>5942.5677439999999</v>
      </c>
      <c r="P87" s="3">
        <f>6066.9+(671.7-478.9)+(-3.094119+(-0.342567--0.244239))+0-0-0</f>
        <v>6256.5075529999995</v>
      </c>
      <c r="Q87" s="3">
        <f>6270+(733.6-455.8)+(-9.5931+(-1.122408--0.697374))+0-0-0</f>
        <v>6537.7818660000003</v>
      </c>
      <c r="R87" s="3">
        <f>6362.3+(676.3-449.8)+(-3.244773+(-0.344913--0.229398))+0-0-0</f>
        <v>6585.4397120000003</v>
      </c>
      <c r="S87" s="3">
        <f>6473.7+(554.9-509.6)+(-6.603174+(-0.565998--0.519792))+0-0-0</f>
        <v>6512.3506200000002</v>
      </c>
      <c r="T87" s="3">
        <f>6389.9+(713.2-563.5)+(-9.776547+(-1.091196--0.862155))+0-0-0</f>
        <v>6529.5944119999995</v>
      </c>
      <c r="U87" s="3">
        <f>6481.4+(755.2-601.1)+(-16.52757+(-1.92576--1.532805))+0-0-0</f>
        <v>6618.5794749999995</v>
      </c>
      <c r="V87" s="3">
        <f>6376.5+(702.9-548.3)+(-13.00806+(-1.433916--1.118532))+0-0-0</f>
        <v>6517.7765560000007</v>
      </c>
      <c r="W87" s="3">
        <f>6056.1+(716.4-476.7)+(-9.265833+(-1.096092--0.729351))+0-0-0</f>
        <v>6286.167426</v>
      </c>
      <c r="X87" s="3">
        <f>5998.6+(633.5-625.8)+(-18.355716+(-1.93851--1.914948))+0-0-0</f>
        <v>5987.9207219999998</v>
      </c>
      <c r="Y87" s="3">
        <f>5738.5+(635.1-711)+(-8.779905+(-0.971703--1.08783))+0-0-0</f>
        <v>5653.9362220000003</v>
      </c>
      <c r="Z87" s="3">
        <f>5909.4+(497-653.6)+(-3.013794+(-0.25347--0.333336))+0-0-0</f>
        <v>5749.8660719999989</v>
      </c>
      <c r="AA87" s="3">
        <f>6322.9+(365.1-689.2)+(-9.674037+(-0.558603--1.054476))+0-0-0</f>
        <v>5989.6218359999993</v>
      </c>
      <c r="AB87" s="3">
        <f>6260+(357.4-847.7)+(-6.3852+(-0.364548--0.864654))+0-0-0</f>
        <v>5763.8149059999996</v>
      </c>
      <c r="AC87" s="3">
        <f>6278.7+(428.4-1176.1)+(-6.404274+(-0.436968--1.199622))+0-0-0</f>
        <v>5525.3583799999997</v>
      </c>
      <c r="AD87">
        <v>5949.4000000000005</v>
      </c>
      <c r="AE87" s="3">
        <f>6344+(381.3-775.9)+(0+(0-0))+0-0-0</f>
        <v>5949.4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6231.2+(443.4-1544)+(-9.533736+(-0.678402--2.36232))+0-0-0</f>
        <v>5122.7501820000007</v>
      </c>
      <c r="G88" s="3">
        <f>5965.4+(445.2-1719.3)+(-6.084708+(-0.454104--1.753686))+0-0-0</f>
        <v>4686.5148739999995</v>
      </c>
      <c r="H88" s="3">
        <f>5868.3+(282.6-1757.3)+(-14.964165+(-0.72063--4.481115))+0-0-0</f>
        <v>4382.3963200000007</v>
      </c>
      <c r="I88" s="3">
        <f>5914.4+(142.1-1831.6)+(0+(0-0))+0-0-0</f>
        <v>4224.8999999999996</v>
      </c>
      <c r="J88" s="3">
        <f>5835.1+(147-1825)+(-17.855406+(-0.44982--5.5845))+0-0-0</f>
        <v>4144.3792740000008</v>
      </c>
      <c r="K88" s="3">
        <f>5619.5+(192.2-1819.8)+(-14.329725+(-0.49011--4.64049))+0-0-0</f>
        <v>3981.7206550000001</v>
      </c>
      <c r="L88" s="3">
        <f>5309.3+(234.8-1730.4)+(-8.123229+(-0.359244--2.647512))+0-0-0</f>
        <v>3807.8650389999998</v>
      </c>
      <c r="M88" s="3">
        <f>5195.8+(210.5-1536.3)+(-7.949574+(-0.322065--2.350539))+0-0-0</f>
        <v>3864.0789</v>
      </c>
      <c r="N88" s="3">
        <f>5525.3+(237.7-1503.8)+(-5.635806+(-0.242454--1.533876))+0-0-0</f>
        <v>4254.8556160000007</v>
      </c>
      <c r="O88" s="3">
        <f>5791+(361.4-1482.4)+(-11.81364+(-0.737256--3.024096))+0-0-0</f>
        <v>4660.4732000000004</v>
      </c>
      <c r="P88" s="3">
        <f>5964.8+(380-1270.9)+(3.042048+(0.1938-0.648159))+0-0-0</f>
        <v>5076.4876889999996</v>
      </c>
      <c r="Q88" s="3">
        <f>6146.4+(307.5-988.2)+(-6.269328+(-0.31365--1.007964))+0-0-0</f>
        <v>5460.1249859999998</v>
      </c>
      <c r="R88" s="3">
        <f>6059.3+(335.1-845.2)+(-3.090243+(-0.170901--0.431052))+0-0-0</f>
        <v>5546.3699079999997</v>
      </c>
      <c r="S88" s="3">
        <f>6070.1+(351.2-898.7)+(-9.287253+(-0.537336--1.375011))+0-0-0</f>
        <v>5514.1504220000006</v>
      </c>
      <c r="T88" s="3">
        <f>6090.2+(371.3-924.3)+(-6.212004+(-0.378726--0.942786))+0-0-0</f>
        <v>5531.5520559999995</v>
      </c>
      <c r="U88" s="3">
        <f>6098.6+(358.1-988.9)+(-9.330858+(-0.547893--1.513017))+0-0-0</f>
        <v>5459.4342660000002</v>
      </c>
      <c r="V88" s="3">
        <f>6078.7+(423.2-1076.5)+(-9.300411+(-0.647496--1.647045))+0-0-0</f>
        <v>5417.0991379999996</v>
      </c>
      <c r="W88" s="3">
        <f>6072.8+(518.6-1218.2)+(-9.291384+(-0.793458--1.863846))+0-0-0</f>
        <v>5364.9790039999998</v>
      </c>
      <c r="X88" s="3">
        <f>6024.1+(601.4-1358.3)+(-18.433746+(-1.840284--4.156398))+0-0-0</f>
        <v>5251.0823680000003</v>
      </c>
      <c r="Y88" s="3">
        <f>5823.2+(602.3-1332.6)+(-8.909496+(-0.921519--2.038878))+0-0-0</f>
        <v>5085.1078629999993</v>
      </c>
      <c r="Z88" s="3">
        <f>6068.9+(418.2-1203.3)+(6.190278+(0.426564-1.227366))+0-0-0</f>
        <v>5289.1894759999996</v>
      </c>
      <c r="AA88" s="3">
        <f>6322.3+(260.7-1040.6)+(-19.346238+(-0.797742--3.184236))+0-0-0</f>
        <v>5525.4402560000008</v>
      </c>
      <c r="AB88" s="3">
        <f>6116.2+(326.6-1050.2)+(-6.238524+(-0.333132--1.071204))+0-0-0</f>
        <v>5387.0995479999992</v>
      </c>
      <c r="AC88" s="3">
        <f>6031.4+(429.8-1235.4)+(-6.152028+(-0.438396--1.260108))+0-0-0</f>
        <v>5220.4696839999997</v>
      </c>
      <c r="AD88">
        <v>5535.8</v>
      </c>
      <c r="AE88" s="3">
        <f>6318+(258.8-1041)+(0+(0-0))+0-0-0</f>
        <v>5535.8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5875.9+(311.3-1348.5)+(5.993418+(0.317526-1.37547))+0-0-0</f>
        <v>4843.6354739999997</v>
      </c>
      <c r="G89" s="3">
        <f>5902.9+(265.9-1664.1)+(-12.041916+(-0.542436--3.394764))+0-0-0</f>
        <v>4495.5104119999996</v>
      </c>
      <c r="H89" s="3">
        <f>5746.3+(233.1-1748.2)+(0+(0-0))+0-0-0</f>
        <v>4231.2</v>
      </c>
      <c r="I89" s="3">
        <f>5741.2+(189.6-1827.7)+(-5.856024+(-0.193392--1.864254))+0-0-0</f>
        <v>4098.9148379999997</v>
      </c>
      <c r="J89" s="3">
        <f>5641.5+(181.7-1893.1)+(0+(0-0))+0-0-0</f>
        <v>3930.1000000000004</v>
      </c>
      <c r="K89" s="3">
        <f>5583.8+(203.9-2038.5)+(-17.086428+(-0.623934--6.23781))+0-0-0</f>
        <v>3737.7274480000001</v>
      </c>
      <c r="L89" s="3">
        <f>5502.8+(242-2063.3)+(-14.03214+(-0.6171--5.261415))+0-0-0</f>
        <v>3672.1121750000002</v>
      </c>
      <c r="M89" s="3">
        <f>5430.9+(182.2-1896.2)+(-5.539518+(-0.185844--1.934124))+0-0-0</f>
        <v>3713.1087619999998</v>
      </c>
      <c r="N89" s="3">
        <f>5474.6+(145.2-1700.2)+(2.792046+(0.074052-0.867102))+0-0-0</f>
        <v>3921.5989960000002</v>
      </c>
      <c r="O89" s="3">
        <f>5902.6+(116.6-1819.9)+(-12.041304+(-0.237864--3.712596))+0-0-0</f>
        <v>4190.7334280000005</v>
      </c>
      <c r="P89" s="3">
        <f>6264.5+(152.4-1673.2)+(3.194895+(0.077724-0.853332))+0-0-0</f>
        <v>4746.1192869999995</v>
      </c>
      <c r="Q89" s="3">
        <f>6232.3+(144.9-1327.2)+(0+(0-0))+0-0-0</f>
        <v>5050</v>
      </c>
      <c r="R89" s="3">
        <f>6204+(153.4-1206)+(0+(0-0))+0-0-0</f>
        <v>5151.3999999999996</v>
      </c>
      <c r="S89" s="3">
        <f>6171.9+(212.2-1176.5)+(-3.147669+(-0.108222--0.600015))+0-0-0</f>
        <v>5204.9441239999996</v>
      </c>
      <c r="T89" s="3">
        <f>6143.2+(250-1191.7)+(3.133032+(0.1275-0.607767))+0-0-0</f>
        <v>5204.1527649999998</v>
      </c>
      <c r="U89" s="3">
        <f>6081.2+(250.7-1221.7)+(-3.101412+(-0.127857--0.623067))+0-0-0</f>
        <v>5107.5937979999999</v>
      </c>
      <c r="V89" s="3">
        <f>6059.5+(268.3-1203.2)+(-12.36138+(-0.547332--2.454528))+0-0-0</f>
        <v>5114.1458160000002</v>
      </c>
      <c r="W89" s="3">
        <f>6049.6+(310.7-1210.3)+(-3.085296+(-0.158457--0.617253))+0-0-0</f>
        <v>5147.3734999999997</v>
      </c>
      <c r="X89" s="3">
        <f>6031.1+(266.4-1190)+(-18.455166+(-0.815184--3.6414))+0-0-0</f>
        <v>5091.8710499999997</v>
      </c>
      <c r="Y89" s="3">
        <f>5941.6+(239.9-1178.1)+(-9.090648+(-0.367047--1.802493))+0-0-0</f>
        <v>4995.7447980000006</v>
      </c>
      <c r="Z89" s="3">
        <f>6373.5+(240.3-1334.3)+(19.50291+(0.735318-4.082958))+0-0-0</f>
        <v>5295.6552700000002</v>
      </c>
      <c r="AA89" s="3">
        <f>6952.9+(256.3-1575.3)+(-3.545979+(-0.130713--0.803403))+0-0-0</f>
        <v>5631.0267109999995</v>
      </c>
      <c r="AB89" s="3">
        <f>6960.2+(335.8-1674)+(-7.099404+(-0.342516--1.70748))+0-0-0</f>
        <v>5616.2655599999998</v>
      </c>
      <c r="AC89" s="3">
        <f>6750.3+(483.7-1792.6)+(-6.885306+(-0.493374--1.828452))+0-0-0</f>
        <v>5435.8497720000005</v>
      </c>
      <c r="AD89">
        <v>5712.3</v>
      </c>
      <c r="AE89" s="3">
        <f>7083+(261.6-1632.3)+(0+(0-0))+0-0-0</f>
        <v>5712.3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6262.7+(408.7-1563.1)+(-15.969885+(-1.042185--3.985905))+0-0-0</f>
        <v>5095.273835</v>
      </c>
      <c r="G90" s="3">
        <f>5928+(231.4-1558.5)+(-18.13968+(-0.708084--4.76901))+0-0-0</f>
        <v>4586.8212459999995</v>
      </c>
      <c r="H90" s="3">
        <f>5755.3+(168.2-1553.9)+(-11.740812+(-0.343128--3.169956))+0-0-0</f>
        <v>4360.6860160000006</v>
      </c>
      <c r="I90" s="3">
        <f>5563.3+(167.3-1503.2)+(-5.674566+(-0.170646--1.533264))+0-0-0</f>
        <v>4223.0880520000001</v>
      </c>
      <c r="J90" s="3">
        <f>5447.9+(161.9-1463.5)+(-13.892145+(-0.412845--3.731925))+0-0-0</f>
        <v>4135.7269349999997</v>
      </c>
      <c r="K90" s="3">
        <f>5339.4+(187.4-1433.3)+(-5.446188+(-0.191148--1.461966))+0-0-0</f>
        <v>4089.3246300000001</v>
      </c>
      <c r="L90" s="3">
        <f>5311.9+(171.5-1358.9)+(-2.709069+(-0.087465--0.693039))+0-0-0</f>
        <v>4122.3965049999997</v>
      </c>
      <c r="M90" s="3">
        <f>5954+(157.5-1323.9)+(3.03654+(0.080325-0.675189))+0-0-0</f>
        <v>4790.0416760000007</v>
      </c>
      <c r="N90" s="3">
        <f>6467.4+(243.3-1142.5)+(6.596748+(0.248166-1.16535))+0-0-0</f>
        <v>5573.8795639999998</v>
      </c>
      <c r="O90" s="3">
        <f>6714.3+(507.4-912.4)+(6.848586+(0.517548-0.930648))+0-0-0</f>
        <v>6315.7354860000005</v>
      </c>
      <c r="P90" s="3">
        <f>6778.4+(535.8-595.6)+(-6.913968+(-0.546516--0.607512))+0-0-0</f>
        <v>6711.7470279999998</v>
      </c>
      <c r="Q90" s="3">
        <f>6849.5+(642.9-564.6)+(6.98649+(0.655758-0.575892))+0-0-0</f>
        <v>6934.8663560000005</v>
      </c>
      <c r="R90" s="3">
        <f>6520.2+(941.2-545)+(0+(0-0))+42-0-0</f>
        <v>6958.4</v>
      </c>
      <c r="S90" s="3">
        <f>6708.1+(861.8-630.6)+(6.842262+(0.879036-0.643212))+9.6-0-0</f>
        <v>6955.978086000001</v>
      </c>
      <c r="T90" s="3">
        <f>6738.9+(1006.9-685.2)+(-6.873678+(-1.027038--0.698904))+0-0-0</f>
        <v>7053.3981879999992</v>
      </c>
      <c r="U90" s="3">
        <f>6814+(1111.8-778.8)+(-6.95028+(-1.134036--0.794376))+0-0-0</f>
        <v>7139.7100600000003</v>
      </c>
      <c r="V90" s="3">
        <f>6892.4+(968.3-879.7)+(-14.060496+(-1.975332--1.794588))+0-0-0</f>
        <v>6966.7587599999997</v>
      </c>
      <c r="W90" s="3">
        <f>6948.5+(971.1-1025.5)+(-21.26241+(-2.971566--3.13803))+0-0-0</f>
        <v>6873.004054</v>
      </c>
      <c r="X90" s="3">
        <f>6983.8+(978.4-1419.9)+(-21.370428+(-2.993904--4.344894))+0-0-0</f>
        <v>6522.2805619999999</v>
      </c>
      <c r="Y90" s="3">
        <f>6661.3+(668.3-1157.3)+(-10.191789+(-1.022499--1.770669))+0-0-0</f>
        <v>6162.8563810000005</v>
      </c>
      <c r="Z90" s="3">
        <f>6769.9+(509.8-958)+(0+(0-0))+0-0-0</f>
        <v>6321.7</v>
      </c>
      <c r="AA90" s="3">
        <f>7213.5+(606.6-1248.5)+(-11.036655+(-0.928098--1.910205))+0-0-0</f>
        <v>6561.5454520000003</v>
      </c>
      <c r="AB90" s="3">
        <f>7180+(691.1-1503.4)+(-18.309+(-1.762305--3.83367))+0-0-0</f>
        <v>6351.4623649999994</v>
      </c>
      <c r="AC90" s="3">
        <f>6987+(964-1881.3)+(0+(0-0))+0-0-0</f>
        <v>6069.7</v>
      </c>
      <c r="AD90">
        <v>6532.8</v>
      </c>
      <c r="AE90" s="3">
        <f>7161+(654.1-1282.3)+(0+(0-0))+0-0-0</f>
        <v>6532.8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6613.3+(979-2036.3)+(-3.372783+(-0.49929--1.038513))+0-0-0</f>
        <v>5553.16644</v>
      </c>
      <c r="G91" s="3">
        <f>6268.5+(922.6-2086.2)+(-6.39387+(-0.941052--2.127924))+0-0-0</f>
        <v>5099.693002</v>
      </c>
      <c r="H91" s="3">
        <f>6021.7+(480.9-1680.9)+(-12.284268+(-0.981036--3.429036))+0-0-0</f>
        <v>4811.8637319999998</v>
      </c>
      <c r="I91" s="3">
        <f>5798.7+(439.8-1573.3)+(0+(0-0))+0-0-0</f>
        <v>4665.2</v>
      </c>
      <c r="J91" s="3">
        <f>5725.2+(394.3-1527.2)+(-11.679408+(-0.804372--3.115488))+0-0-0</f>
        <v>4582.9317079999992</v>
      </c>
      <c r="K91" s="3">
        <f>5651.7+(478.7-1654.6)+(-17.294202+(-1.464822--5.063076))+0-0-0</f>
        <v>4462.1040520000006</v>
      </c>
      <c r="L91" s="3">
        <f>5457.9+(431.3-1495.2)+(-19.484703+(-1.539741--5.337864))+0-0-0</f>
        <v>4378.3134200000004</v>
      </c>
      <c r="M91" s="3">
        <f>5928.7+(573.9-1562.3)+(3.023637+(0.292689-0.796773))+0-0-0</f>
        <v>4942.8195530000003</v>
      </c>
      <c r="N91" s="3">
        <f>6477.8+(731.2-1444.6)+(9.911034+(1.118736-2.210238))+0-0-0</f>
        <v>5773.219532000001</v>
      </c>
      <c r="O91" s="3">
        <f>6674.1+(731.5-1045.1)+(3.403791+(0.373065-0.533001))+0-0-0</f>
        <v>6363.7438549999997</v>
      </c>
      <c r="P91" s="3">
        <f>6798.5+(767-732.4)+(0+(0-0))+0-0-0</f>
        <v>6833.1</v>
      </c>
      <c r="Q91" s="3">
        <f>6762.8+(847-511.7)+(6.898056+(0.86394-0.521934))+0-0-0</f>
        <v>7105.3400620000002</v>
      </c>
      <c r="R91" s="3">
        <f>6926.1+(924.6-718.3)+(0+(0-0))+0-0-0</f>
        <v>7132.4000000000005</v>
      </c>
      <c r="S91" s="3">
        <f>7004.9+(1051.7-1014.7)+(0+(0-0))+0-0-0</f>
        <v>7041.9</v>
      </c>
      <c r="T91" s="3">
        <f>6949.9+(1060.5-827.5)+(0+(0-0))+0-0-0</f>
        <v>7182.9</v>
      </c>
      <c r="U91" s="3">
        <f>6927+(1077.6-820.9)+(-7.06554+(-1.099152--0.837318))+0-0-0</f>
        <v>7176.3726259999994</v>
      </c>
      <c r="V91" s="3">
        <f>6888.3+(1112.5-863.1)+(-3.513033+(-0.567375--0.440181))+0-0-0</f>
        <v>7134.059773</v>
      </c>
      <c r="W91" s="3">
        <f>6852.6+(1209.8-1116.8)+(0+(0-0))+0-0-0</f>
        <v>6945.6</v>
      </c>
      <c r="X91" s="3">
        <f>6819.6+(1286.2-1482.7)+(-3.477996+(-0.655962--0.756177))+0-0-0</f>
        <v>6619.7222190000002</v>
      </c>
      <c r="Y91" s="3">
        <f>6490.9+(878.5-1112.7)+(0+(0-0))+0-0-0</f>
        <v>6256.7</v>
      </c>
      <c r="Z91" s="3">
        <f>6892.9+(590.9-1083.6)+(-7.030758+(-0.602718--1.105272))+0-0-0</f>
        <v>6393.6717959999996</v>
      </c>
      <c r="AA91" s="3">
        <f>7195.6+(597.4-1141.2)+(-11.009268+(-0.914022--1.746036))+0-0-0</f>
        <v>6641.622746</v>
      </c>
      <c r="AB91" s="3">
        <f>7163.6+(708.6-1432.3)+(-7.306872+(-0.722772--1.460946))+0-0-0</f>
        <v>6433.3313020000005</v>
      </c>
      <c r="AC91" s="3">
        <f>7108.9+(823-1810.6)+(-7.251078+(-0.83946--1.846812))+0-0-0</f>
        <v>6115.0562739999996</v>
      </c>
      <c r="AD91">
        <v>6666</v>
      </c>
      <c r="AE91" s="3">
        <f>7212+(635.4-1181.4)+(0+(0-0))+0-0-0</f>
        <v>6666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6794.8+(906.4-2119.7)+(-20.792088+(-2.773584--6.486282))+0-0-0</f>
        <v>5564.4206100000001</v>
      </c>
      <c r="G92" s="3">
        <f>6187.7+(527-1569.7)+(-12.622908+(-1.07508--3.202188))+0-0-0</f>
        <v>5134.5042000000003</v>
      </c>
      <c r="H92" s="3">
        <f>5947.1+(309.1-1388.6)+(-9.099063+(-0.472923--2.124558))+0-0-0</f>
        <v>4860.152572</v>
      </c>
      <c r="I92" s="3">
        <f>5678.1+(249-1200)+(5.791662+(0.25398-1.224))+0-0-0</f>
        <v>4731.9216420000002</v>
      </c>
      <c r="J92" s="3">
        <f>5535.5+(262.8-1123.9)+(-11.29242+(-0.536112--2.292756))+0-0-0</f>
        <v>4664.8642239999999</v>
      </c>
      <c r="K92" s="3">
        <f>5486.8+(285.9-1209.7)+(-13.99134+(-0.729045--3.084735))+0-0-0</f>
        <v>4551.3643499999998</v>
      </c>
      <c r="L92" s="3">
        <f>5561.3+(283.3-1280.1)+(-5.672526+(-0.288966--1.305702))+0-0-0</f>
        <v>4559.8442100000002</v>
      </c>
      <c r="M92" s="3">
        <f>5660.7+(347.6-953.6)+(14.434785+(0.88638-2.43168))+0-0-0</f>
        <v>5067.5894849999995</v>
      </c>
      <c r="N92" s="3">
        <f>6474+(510.5-1081.7)+(3.30174+(0.260355-0.551667))+0-0-0</f>
        <v>5905.8104279999998</v>
      </c>
      <c r="O92" s="3">
        <f>6700.2+(850.2-1058.7)+(-3.417102+(-0.433602--0.539937))+0-0-0</f>
        <v>6488.3892329999999</v>
      </c>
      <c r="P92" s="3">
        <f>6869+(968.1-947.5)+(10.50957+(1.481193-1.449675))+0-0-0</f>
        <v>6900.1410880000003</v>
      </c>
      <c r="Q92" s="3">
        <f>6816.6+(1050.4-709.2)+(13.905864+(2.142816-1.446768))+0-0-0</f>
        <v>7172.4019120000003</v>
      </c>
      <c r="R92" s="3">
        <f>6798+(1052.9-605.3)+(3.46698+(0.536979-0.308703))+0-0-0</f>
        <v>7249.2952560000003</v>
      </c>
      <c r="S92" s="3">
        <f>6808.6+(1186.1-859.5)+(3.472386+(0.604911-0.438345))+0-0-0</f>
        <v>7138.838952000001</v>
      </c>
      <c r="T92" s="3">
        <f>6814.9+(1184.3-739.7)+(6.951198+(1.207986-0.754494))+27.8-0-0</f>
        <v>7294.7046900000005</v>
      </c>
      <c r="U92" s="3">
        <f>6771.1+(1197.5-722)+(0+(0-0))+12.3-0-0</f>
        <v>7258.9000000000005</v>
      </c>
      <c r="V92" s="3">
        <f>6700.2+(1138.9-639.3)+(3.417102+(0.580839-0.326043))+0-0-0</f>
        <v>7203.4718979999998</v>
      </c>
      <c r="W92" s="3">
        <f>6654.9+(1236.8-878)+(-10.181997+(-1.892304--1.34334))+0-0-0</f>
        <v>7002.9690389999996</v>
      </c>
      <c r="X92" s="3">
        <f>6679.1+(1237.5-1221.1)+(-13.625364+(-2.5245--2.491044))+0-0-0</f>
        <v>6681.8411800000003</v>
      </c>
      <c r="Y92" s="3">
        <f>6169.9+(1144.5-986.6)+(-15.733245+(-2.918475--2.51583))+0-0-0</f>
        <v>6311.6641099999997</v>
      </c>
      <c r="Z92" s="3">
        <f>6524.2+(1008.5-1165.2)+(0+(0-0))+0-0-0</f>
        <v>6367.5</v>
      </c>
      <c r="AA92" s="3">
        <f>7012.6+(938.1-1205.4)+(-3.576426+(-0.478431--0.614754))+0-0-0</f>
        <v>6741.8598970000003</v>
      </c>
      <c r="AB92" s="3">
        <f>6894.1+(1034.1-1445.1)+(-7.031982+(-1.054782--1.474002))+0-0-0</f>
        <v>6476.4872380000006</v>
      </c>
      <c r="AC92" s="3">
        <f>6724.4+(968.5-1530.4)+(-6.858888+(-0.98787--1.561008))+0-0-0</f>
        <v>6156.21425</v>
      </c>
      <c r="AD92">
        <v>6672.1</v>
      </c>
      <c r="AE92" s="3">
        <f>6992+(956.7-1276.6)+(0+(0-0))+0-0-0</f>
        <v>6672.1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6598.6+(832.4-1734.2)+(-6.730572+(-0.849048--1.768884))+0-0-0</f>
        <v>5690.9892639999998</v>
      </c>
      <c r="G93" s="3">
        <f>6328.9+(741.7-1858)+(0+(0-0))+0-0-0</f>
        <v>5212.5999999999995</v>
      </c>
      <c r="H93" s="3">
        <f>6182.3+(559.5-1787.6)+(-9.458919+(-0.856035--2.735028))+0-0-0</f>
        <v>4946.6200740000004</v>
      </c>
      <c r="I93" s="3">
        <f>5885.3+(548.8-1647.4)+(-6.003006+(-0.559776--1.680348))+0-0-0</f>
        <v>4781.8175659999997</v>
      </c>
      <c r="J93" s="3">
        <f>5475+(440.4-1221.5)+(-13.96125+(-1.12302--3.114825))+0-0-0</f>
        <v>4681.9305549999999</v>
      </c>
      <c r="K93" s="3">
        <f>5302.7+(443.3-1179.4)+(-13.521885+(-1.130415--3.00747))+0-0-0</f>
        <v>4554.9551699999993</v>
      </c>
      <c r="L93" s="3">
        <f>5328.3+(458.3-1299.8)+(0+(0-0))+0-0-0</f>
        <v>4486.8</v>
      </c>
      <c r="M93" s="3">
        <f>5802.1+(803.4-1601.4)+(2.959071+(0.409734-0.816714))+0-0-0</f>
        <v>5006.6520909999999</v>
      </c>
      <c r="N93" s="3">
        <f>6432.2+(938.9-1567)+(-6.560844+(-0.957678--1.59834))+0-0-0</f>
        <v>5798.1798179999996</v>
      </c>
      <c r="O93" s="3">
        <f>6585.2+(980.6-1129.6)+(-6.716904+(-1.000212--1.152192))+0-0-0</f>
        <v>6429.6350759999996</v>
      </c>
      <c r="P93" s="3">
        <f>6898.2+(969.6-998.4)+(3.518082+(0.494496-0.509184))+0-0-0</f>
        <v>6872.9033939999999</v>
      </c>
      <c r="Q93" s="3">
        <f>6958.5+(984-750)+(0+(0-0))+0-0-0</f>
        <v>7192.5</v>
      </c>
      <c r="R93" s="3">
        <f>6982.4+(1031.3-676.4)+(-7.122048+(-1.051926--0.689928))+0-0-0</f>
        <v>7329.8159539999997</v>
      </c>
      <c r="S93" s="3">
        <f>6878.7+(1102.2-758.3)+(-3.508137+(-0.562122--0.386733))+0-0-0</f>
        <v>7218.9164740000006</v>
      </c>
      <c r="T93" s="3">
        <f>6816+(1121.1-585.6)+(0+(0-0))+0-0-0</f>
        <v>7351.5</v>
      </c>
      <c r="U93" s="3">
        <f>6772.2+(1188.3-585.9)+(-3.453822+(-0.606033--0.298809))+0-0-0</f>
        <v>7370.8389539999998</v>
      </c>
      <c r="V93" s="3">
        <f>6722.4+(1310.4-704.6)+(-3.428424+(-0.668304--0.359346))+0-0-0</f>
        <v>7324.4626179999996</v>
      </c>
      <c r="W93" s="3">
        <f>6621.6+(1409.7-906.6)+(-6.754032+(-1.437894--0.924732))+0-0-0</f>
        <v>7117.4328060000007</v>
      </c>
      <c r="X93" s="3">
        <f>6479.5+(1492.8-1200.3)+(-9.913635+(-2.283984--1.836459))+0-0-0</f>
        <v>6761.6388399999996</v>
      </c>
      <c r="Y93" s="3">
        <f>6121.7+(1191.6-947.6)+(-24.976536+(-4.861728--3.866208))+0-0-0</f>
        <v>6339.7279440000002</v>
      </c>
      <c r="Z93" s="3">
        <f>6326.8+(1059.7-943.5)+(6.453336+(1.080894-0.96237))+0-0-0</f>
        <v>6449.57186</v>
      </c>
      <c r="AA93" s="3">
        <f>6814.7+(1096.5-1220.9)+(-3.475497+(-0.559215--0.622659))+0-0-0</f>
        <v>6686.8879469999993</v>
      </c>
      <c r="AB93" s="3">
        <f>6688.1+(1144.2-1367.5)+(-3.410931+(-0.583542--0.697425))+0-0-0</f>
        <v>6461.5029519999998</v>
      </c>
      <c r="AC93" s="3">
        <f>6411.7+(1174.4-1476.2)+(-13.079868+(-2.395776--3.011448))+0-0-0</f>
        <v>6097.4358039999997</v>
      </c>
      <c r="AD93">
        <v>6644.4</v>
      </c>
      <c r="AE93" s="3">
        <f>6844+(1152.9-1352.5)+(0+(0-0))+0-0-0</f>
        <v>6644.4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6104.3+(786.2-1325.5)+(-15.565965+(-2.00481--3.380025))+0-0-0</f>
        <v>5550.8092500000002</v>
      </c>
      <c r="G94" s="3">
        <f>5855.5+(557.8-1314.1)+(-11.94522+(-1.137912--2.680764))+0-0-0</f>
        <v>5088.7976319999998</v>
      </c>
      <c r="H94" s="3">
        <f>5489.2+(640.5-1311.4)+(-13.99746+(-1.633275--3.34407))+0-0-0</f>
        <v>4806.0133349999996</v>
      </c>
      <c r="I94" s="3">
        <f>5460.7+(722.6-1519.3)+(-11.139828+(-1.474104--3.099372))+0-0-0</f>
        <v>4654.4854400000004</v>
      </c>
      <c r="J94" s="3">
        <f>5249.7+(503.1-1166.4)+(-2.677347+(-0.256581--0.594864))+0-0-0</f>
        <v>4584.0609359999999</v>
      </c>
      <c r="K94" s="3">
        <f>5162.3+(430.8-1119.8)+(-10.531092+(-0.878832--2.284392))+0-0-0</f>
        <v>4464.1744680000002</v>
      </c>
      <c r="L94" s="3">
        <f>4889.2+(436.2-915.9)+(-4.986984+(-0.444924--0.934218))+0-0-0</f>
        <v>4405.0023099999999</v>
      </c>
      <c r="M94" s="3">
        <f>5346.6+(575-1010.2)+(2.726766+(0.29325-0.515202))+0-0-0</f>
        <v>4913.9048140000004</v>
      </c>
      <c r="N94" s="3">
        <f>6245.3+(747.2-1311.7)+(-3.185103+(-0.381072--0.668967))+0-0-0</f>
        <v>5677.9027919999999</v>
      </c>
      <c r="O94" s="3">
        <f>6627+(945.3-1341.2)+(0+(0-0))+0-0-0</f>
        <v>6231.1</v>
      </c>
      <c r="P94" s="3">
        <f>6690.8+(1143.6-1145.1)+(0+(0-0))+0-0-0</f>
        <v>6689.3</v>
      </c>
      <c r="Q94" s="3">
        <f>6697.8+(1127.7-871.7)+(0+(0-0))+0-0-0</f>
        <v>6953.8</v>
      </c>
      <c r="R94" s="3">
        <f>6677.8+(1129.7-714.6)+(0+(0-0))+0-0-0</f>
        <v>7092.9000000000005</v>
      </c>
      <c r="S94" s="3">
        <f>6645.2+(1295.8-946.1)+(-6.778104+(-1.321716--0.965022))+0-0-0</f>
        <v>6987.7652019999996</v>
      </c>
      <c r="T94" s="3">
        <f>6667.4+(1390.6-883.2)+(3.400374+(0.709206-0.450432))+0-0-0</f>
        <v>7178.459147999999</v>
      </c>
      <c r="U94" s="3">
        <f>6653.9+(1411.4-895.1)+(-3.393489+(-0.719814--0.456501))+0-0-0</f>
        <v>7166.5431979999994</v>
      </c>
      <c r="V94" s="3">
        <f>6653+(1415.6-923.7)+(-6.78606+(-1.443912--0.942174))+0-0-0</f>
        <v>7137.6122019999993</v>
      </c>
      <c r="W94" s="3">
        <f>6612.4+(1561.9-1214.4)+(-6.744648+(-1.593138--1.238688))+0-0-0</f>
        <v>6952.800902</v>
      </c>
      <c r="X94" s="3">
        <f>6612+(1615.6-1605.9)+(-23.60484+(-5.767692--5.733063))+0-0-0</f>
        <v>6598.0605310000001</v>
      </c>
      <c r="Y94" s="3">
        <f>6677.6+(1085.4-1519.8)+(-6.811152+(-1.107108--1.550196))+0-0-0</f>
        <v>6236.8319360000005</v>
      </c>
      <c r="Z94" s="3">
        <f>6999.3+(889-1529.8)+(-7.139286+(-0.90678--1.560396))+0-0-0</f>
        <v>6352.01433</v>
      </c>
      <c r="AA94" s="3">
        <f>7118.1+(843.1-1431)+(-21.781386+(-2.579886--4.37886))+0-0-0</f>
        <v>6510.2175880000004</v>
      </c>
      <c r="AB94" s="3">
        <f>6968.1+(1045.4-1715.3)+(-7.107462+(-1.066308--1.749606))+0-0-0</f>
        <v>6291.7758360000007</v>
      </c>
      <c r="AC94" s="3">
        <f>6712.7+(814.8-1595.6)+(0+(0-0))+0-0-0</f>
        <v>5931.9</v>
      </c>
      <c r="AD94">
        <v>6497.7999999999993</v>
      </c>
      <c r="AE94" s="3">
        <f>7104+(884.9-1491.1)+(0+(0-0))+0-0-0</f>
        <v>6497.8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6573.7+(852.3-1981.7)+(-3.352587+(-0.434673--1.010667))+0-0-0</f>
        <v>5441.5234069999997</v>
      </c>
      <c r="G95" s="3">
        <f>6353.7+(615.9-1963.4)+(-3.240387+(-0.314109--1.001334))+0-0-0</f>
        <v>5003.6468379999997</v>
      </c>
      <c r="H95" s="3">
        <f>6207.9+(546.6-1999.9)+(-3.166029+(-0.278766--1.019949))+0-0-0</f>
        <v>4752.1751539999996</v>
      </c>
      <c r="I95" s="3">
        <f>5993.6+(531.1-1895.4)+(-6.113472+(-0.541722--1.933308))+0-0-0</f>
        <v>4624.5781139999999</v>
      </c>
      <c r="J95" s="3">
        <f>5626.1+(532.3-1604.4)+(5.738622+(0.542946-1.636488))+0-0-0</f>
        <v>4558.6450800000002</v>
      </c>
      <c r="K95" s="3">
        <f>5508.5+(512.4-1571)+(-16.85601+(-1.567944--4.80726))+0-0-0</f>
        <v>4436.2833059999994</v>
      </c>
      <c r="L95" s="3">
        <f>5527+(312.2-1479.7)+(-8.45631+(-0.477666--2.263941))+0-0-0</f>
        <v>4352.8299649999999</v>
      </c>
      <c r="M95" s="3">
        <f>5676.4+(336.1-1324.9)+(5.789928+(0.342822-1.351398))+0-0-0</f>
        <v>4692.3813519999994</v>
      </c>
      <c r="N95" s="3">
        <f>5987.3+(476.3-1212.9)+(9.160569+(0.728739-1.855737))+0-0-0</f>
        <v>5258.7335709999998</v>
      </c>
      <c r="O95" s="3">
        <f>6493.5+(748.4-1418.8)+(9.935055+(1.145052-2.170764))+0-0-0</f>
        <v>5832.0093430000006</v>
      </c>
      <c r="P95" s="3">
        <f>6711+(806.1-1224.7)+(0+(0-0))+0-0-0</f>
        <v>6292.4</v>
      </c>
      <c r="Q95" s="3">
        <f>6736.2+(840.6-1030.1)+(-3.435462+(-0.428706--0.525351))+0-0-0</f>
        <v>6543.361183</v>
      </c>
      <c r="R95" s="3">
        <f>6709.3+(946.5-1035.6)+(0+(0-0))+0-0-0</f>
        <v>6620.2000000000007</v>
      </c>
      <c r="S95" s="3">
        <f>6633.3+(1043.1-1183.4)+(-23.680881+(-3.723867--4.224738))+0-0-0</f>
        <v>6469.81999</v>
      </c>
      <c r="T95" s="3">
        <f>6602.2+(1139-1264.1)+(-6.734244+(-1.16178--1.289382))+0-0-0</f>
        <v>6470.4933580000006</v>
      </c>
      <c r="U95" s="3">
        <f>6549.1+(1199.7-1375.8)+(-10.020123+(-1.835541--2.104974))+0-0-0</f>
        <v>6363.2493100000002</v>
      </c>
      <c r="V95" s="3">
        <f>6526.3+(1216.2-1455.4)+(-6.656826+(-1.240524--1.484508))+0-0-0</f>
        <v>6280.6871580000006</v>
      </c>
      <c r="W95" s="3">
        <f>6459.8+(1100.8-1362.6)+(-13.177992+(-2.245632--2.779704))+0-0-0</f>
        <v>6185.3560799999996</v>
      </c>
      <c r="X95" s="3">
        <f>6262.5+(1074.2-1348.8)+(-19.16325+(-3.287052--4.127328))+0-0-0</f>
        <v>5969.5770259999999</v>
      </c>
      <c r="Y95" s="3">
        <f>6138.2+(894.3-1308.2)+(-18.782892+(-2.736558--4.003092))+0-0-0</f>
        <v>5706.7836419999994</v>
      </c>
      <c r="Z95" s="3">
        <f>6434.5+(756-1442.1)+(0+(0-0))+0-0-0</f>
        <v>5748.4</v>
      </c>
      <c r="AA95" s="3">
        <f>6777.3+(923.3-1863.2)+(-24.194961+(-3.296181--6.651624))+0-0-0</f>
        <v>5816.5604819999999</v>
      </c>
      <c r="AB95" s="3">
        <f>6527.7+(858.8-1727.6)+(-9.987381+(-1.313964--2.643228))+0-0-0</f>
        <v>5650.2418829999997</v>
      </c>
      <c r="AC95" s="3">
        <f>6334+(850.2-1762.6)+(-3.23034+(-0.433602--0.898926))+0-0-0</f>
        <v>5418.8349840000001</v>
      </c>
      <c r="AD95">
        <v>5791.2999999999993</v>
      </c>
      <c r="AE95" s="3">
        <f>6796+(1009.4-2014.1)+(0+(0-0))+0-0-0</f>
        <v>5791.3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6029+(894.3-2042.8)+(0+(0-0))+0-0-0</f>
        <v>4880.5</v>
      </c>
      <c r="G96" s="3">
        <f>5593.2+(837.1-1832.9)+(-5.705064+(-0.853842--1.869558))+0-0-0</f>
        <v>4592.7106519999998</v>
      </c>
      <c r="H96" s="3">
        <f>5408.2+(616.4-1753.7)+(-2.758182+(-0.314364--0.894387))+0-0-0</f>
        <v>4268.7218409999996</v>
      </c>
      <c r="I96" s="3">
        <f>5300+(589.3-1704.7)+(-10.812+(-1.202172--3.477588))+0-0-0</f>
        <v>4176.063416</v>
      </c>
      <c r="J96" s="3">
        <f>5241.1+(684-1810.5)+(5.345922+(0.69768-1.84671))+0-0-0</f>
        <v>4118.7968920000003</v>
      </c>
      <c r="K96" s="3">
        <f>5224.6+(660.3-1900.5)+(-7.993638+(-1.010259--2.907765))+0-0-0</f>
        <v>3978.3038680000004</v>
      </c>
      <c r="L96" s="3">
        <f>5149.5+(560.1-1951.1)+(-5.25249+(-0.571302--1.990122))+0-0-0</f>
        <v>3754.66633</v>
      </c>
      <c r="M96" s="3">
        <f>5152.3+(566.3-1957.4)+(7.883019+(0.866439-2.994822))+0-0-0</f>
        <v>3766.9546359999999</v>
      </c>
      <c r="N96" s="3">
        <f>5354.7+(477.1-1877.3)+(0+(0-0))+0-0-0</f>
        <v>3954.5</v>
      </c>
      <c r="O96" s="3">
        <f>5481.4+(728.8-1941)+(-5.591028+(-0.743376--1.97982))+0-0-0</f>
        <v>4264.8454160000001</v>
      </c>
      <c r="P96" s="3">
        <f>5522.7+(956.8-1805.7)+(5.633154+(0.975936-1.841814))+0-0-0</f>
        <v>4678.5672759999989</v>
      </c>
      <c r="Q96" s="3">
        <f>5583.9+(900.1-1493.3)+(2.847789+(0.459051-0.761583))+0-0-0</f>
        <v>4993.2452569999996</v>
      </c>
      <c r="R96" s="3">
        <f>5932.2+(984-1757.9)+(3.025422+(0.50184-0.896529))+0-0-0</f>
        <v>5160.9307329999992</v>
      </c>
      <c r="S96" s="3">
        <f>5957.9+(983.3-1714.6)+(-3.038529+(-0.501483--0.874446))+0-0-0</f>
        <v>5223.9344339999998</v>
      </c>
      <c r="T96" s="3">
        <f>6072.3+(998.6-1828.5)+(0+(0-0))+0-0-0</f>
        <v>5242.4000000000005</v>
      </c>
      <c r="U96" s="3">
        <f>6109.8+(776.9-1689.4)+(-6.231996+(-0.792438--1.723188))+0-0-0</f>
        <v>5191.9987540000002</v>
      </c>
      <c r="V96" s="3">
        <f>6125.2+(763.6-1704.9)+(6.247704+(0.778872-1.738998))+0-0-0</f>
        <v>5189.187578</v>
      </c>
      <c r="W96" s="3">
        <f>6145.2+(895.3-1852.8)+(-3.134052+(-0.456603--0.944928))+0-0-0</f>
        <v>5185.0542729999997</v>
      </c>
      <c r="X96" s="3">
        <f>6042.5+(904.5-1864.5)+(-6.16335+(-0.92259--1.90179))+0-0-0</f>
        <v>5077.31585</v>
      </c>
      <c r="Y96" s="3">
        <f>5690.4+(618.3-1274.6)+(-5.804208+(-0.630666--1.300092))+0-0-0</f>
        <v>5028.9652179999994</v>
      </c>
      <c r="Z96" s="3">
        <f>5816.7+(775.8-1378.2)+(-5.933034+(-0.791316--1.405764))+0-0-0</f>
        <v>5208.9814139999989</v>
      </c>
      <c r="AA96" s="3">
        <f>6198.2+(993.7-1748.8)+(-18.966492+(-3.040722--5.351328))+0-0-0</f>
        <v>5426.4441140000008</v>
      </c>
      <c r="AB96" s="3">
        <f>6254.4+(971.2-1825.8)+(-6.379488+(-0.990624--1.862316))+0-0-0</f>
        <v>5394.2922039999994</v>
      </c>
      <c r="AC96" s="3">
        <f>6227.3+(952.3-1969.9)+(-3.175923+(-0.485673--1.004649))+0-0-0</f>
        <v>5207.0430529999994</v>
      </c>
      <c r="AD96">
        <v>5355.6</v>
      </c>
      <c r="AE96" s="3">
        <f>6266+(955.7-1866.1)+(0+(0-0))+0-0-0</f>
        <v>5355.6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6127.9+(915.3-2243.1)+(-15.626145+(-2.334015--5.719905))+0-0-0</f>
        <v>4787.8597449999997</v>
      </c>
      <c r="G97" s="3">
        <f>5830.3+(660.7-2128)+(-11.893812+(-1.347828--4.34112))+0-0-0</f>
        <v>4354.0994799999999</v>
      </c>
      <c r="H97" s="3">
        <f>5722.7+(620.6-2225.3)+(-2.918577+(-0.316506--1.134903))+0-0-0</f>
        <v>4115.8998199999996</v>
      </c>
      <c r="I97" s="3">
        <f>5370.3+(649.7-2039)+(-8.216559+(-0.994041--3.11967))+0-0-0</f>
        <v>3974.9090700000002</v>
      </c>
      <c r="J97" s="3">
        <f>5357.1+(676-2089)+(-5.464242+(-0.68952--2.13078))+0-0-0</f>
        <v>3940.0770180000004</v>
      </c>
      <c r="K97" s="3">
        <f>5199.6+(616.9-1916.4)+(-15.910776+(-1.887714--5.864184))+0-0-0</f>
        <v>3888.1656940000003</v>
      </c>
      <c r="L97" s="3">
        <f>5135.7+(506.7-1702.4)+(-10.476828+(-1.033668--3.472896))+0-0-0</f>
        <v>3931.9623999999999</v>
      </c>
      <c r="M97" s="3">
        <f>5433+(637.3-1629.9)+(0+(0-0))+0-0-0</f>
        <v>4440.3999999999996</v>
      </c>
      <c r="N97" s="3">
        <f>6096.5+(947.6-1811.8)+(-9.327645+(-1.449828--2.772054))+0-0-0</f>
        <v>5224.2945810000001</v>
      </c>
      <c r="O97" s="3">
        <f>6481.1+(1227.2-1988.5)+(6.610722+(1.251744-2.02827))+0-0-0</f>
        <v>5725.634196</v>
      </c>
      <c r="P97" s="3">
        <f>6839.6+(1167.1-1817.4)+(-3.488196+(-0.595221--0.926874))+0-0-0</f>
        <v>6186.1434570000001</v>
      </c>
      <c r="Q97" s="3">
        <f>6856.8+(1238-1595.6)+(-3.496968+(-0.63138--0.813756))+0-0-0</f>
        <v>6495.885408000001</v>
      </c>
      <c r="R97" s="3">
        <f>6860+(1436-1662.2)+(3.4986+(0.73236-0.847722))+0-0-0</f>
        <v>6637.1832380000005</v>
      </c>
      <c r="S97" s="3">
        <f>6828.8+(1574.9-1815.2)+(-3.482688+(-0.803199--0.925752))+0-0-0</f>
        <v>6585.1398650000001</v>
      </c>
      <c r="T97" s="3">
        <f>6789.6+(1549.9-1589.5)+(-6.925392+(-1.580898--1.62129))+0-0-0</f>
        <v>6743.1149999999998</v>
      </c>
      <c r="U97" s="3">
        <f>6822.8+(1580.5-1637.3)+(-10.438884+(-2.418165--2.505069))+0-0-0</f>
        <v>6755.6480199999996</v>
      </c>
      <c r="V97" s="3">
        <f>6792.7+(1575.6-1631.8)+(-17.321385+(-4.01778--4.16109))+0-0-0</f>
        <v>6719.3219250000002</v>
      </c>
      <c r="W97" s="3">
        <f>6812.1+(1510.6-1683.8)+(-24.319197+(-5.392842--6.011166))+0-0-0</f>
        <v>6615.1991270000008</v>
      </c>
      <c r="X97" s="3">
        <f>6696.4+(1475.7-1842.5)+(-20.490984+(-4.515642--5.63805))+0-0-0</f>
        <v>6310.2314239999996</v>
      </c>
      <c r="Y97" s="3">
        <f>6507.3+(1104.4-1645.5)+(-13.274892+(-2.252976--3.35682))+0-0-0</f>
        <v>5954.0289520000006</v>
      </c>
      <c r="Z97" s="3">
        <f>7027.8+(1102-1974.2)+(0+(0-0))+0-0-0</f>
        <v>6155.6</v>
      </c>
      <c r="AA97" s="3">
        <f>7539.9+(1273.4-2399.3)+(-7.690698+(-1.298868--2.447286))+0-0-0</f>
        <v>6407.4577200000003</v>
      </c>
      <c r="AB97" s="3">
        <f>7321.9+(1356.5-2486.3)+(-11.202507+(-2.075445--3.804039))+0-0-0</f>
        <v>6182.6260869999996</v>
      </c>
      <c r="AC97" s="3">
        <f>7162.4+(1327-2596.5)+(-3.652824+(-0.67677--1.324215))+0-0-0</f>
        <v>5889.8946209999995</v>
      </c>
      <c r="AD97">
        <v>6448</v>
      </c>
      <c r="AE97" s="3">
        <f>7598.5+(1278.5-2429)+(0+(0-0))+0-0-0</f>
        <v>6448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6604.9+(1160.5-2512.6)+(-10.105497+(-1.775565--3.844278))+0-0-0</f>
        <v>5244.7632159999994</v>
      </c>
      <c r="G98" s="3">
        <f>5969.7+(1237.8-2448.7)+(-9.133641+(-1.893834--3.746511))+0-0-0</f>
        <v>4751.5190360000006</v>
      </c>
      <c r="H98" s="3">
        <f>5865.3+(998.7-2126.6)+(-5.982606+(-1.018674--2.169132))+0-0-0</f>
        <v>4732.5678520000001</v>
      </c>
      <c r="I98" s="3">
        <f>5770.2+(755.3-2019.4)+(8.828406+(1.155609-3.089682))+0-0-0</f>
        <v>4512.9943329999996</v>
      </c>
      <c r="J98" s="3">
        <f>5755.6+(762.1-2053.2)+(0+(0-0))+0-0-0</f>
        <v>4464.5</v>
      </c>
      <c r="K98" s="3">
        <f>5649.5+(795.8-2095.2)+(-5.76249+(-0.811716--2.137104))+0-0-0</f>
        <v>4345.6628980000005</v>
      </c>
      <c r="L98" s="3">
        <f>5356.6+(802.1-1826.5)+(-10.927464+(-1.636284--3.72606))+0-0-0</f>
        <v>4323.3623120000011</v>
      </c>
      <c r="M98" s="3">
        <f>5511+(949.7-1661.4)+(16.86366+(2.906082-5.083884))+0-0-0</f>
        <v>4813.985858</v>
      </c>
      <c r="N98" s="3">
        <f>5979.9+(1085.8-1508.7)+(-12.198996+(-2.215032--3.077748))+0-0-0</f>
        <v>5545.6637199999996</v>
      </c>
      <c r="O98" s="3">
        <f>6636.8+(1222-1733)+(-3.384768+(-0.62322--0.88383))+0-0-0</f>
        <v>6122.6758420000006</v>
      </c>
      <c r="P98" s="3">
        <f>7068.8+(1246.6-1671.4)+(-3.605088+(-0.635766--0.852414))+0-0-0</f>
        <v>6640.6115600000003</v>
      </c>
      <c r="Q98" s="3">
        <f>7198.2+(1240.6-1478.7)+(-3.671082+(-0.632706--0.754137))+0-0-0</f>
        <v>6956.5503489999992</v>
      </c>
      <c r="R98" s="3">
        <f>7108.7+(1258-1353.1)+(0+(0-0))+0-0-0</f>
        <v>7013.6</v>
      </c>
      <c r="S98" s="3">
        <f>7013.9+(1285.3-1327.2)+(-7.154178+(-1.311006--1.353744))+0-0-0</f>
        <v>6964.8885600000003</v>
      </c>
      <c r="T98" s="3">
        <f>6916.2+(1314.3-1125.7)+(-14.109048+(-2.681172--2.296428))+0-0-0</f>
        <v>7090.3062079999991</v>
      </c>
      <c r="U98" s="3">
        <f>6904.1+(1290.6-1115.1)+(-10.563273+(-1.974618--1.706103))+0-0-0</f>
        <v>7068.7682119999999</v>
      </c>
      <c r="V98" s="3">
        <f>6940.7+(1302.3-1223.4)+(-3.539757+(-0.664173--0.623934))+0-0-0</f>
        <v>7016.0200039999991</v>
      </c>
      <c r="W98" s="3">
        <f>6943.9+(1346.4-1479)+(-3.541389+(-0.686664--0.75429))+0-0-0</f>
        <v>6807.8262369999993</v>
      </c>
      <c r="X98" s="3">
        <f>6941+(1348.8-1773.4)+(-21.23946+(-4.127328--5.426604))+0-0-0</f>
        <v>6496.4598159999996</v>
      </c>
      <c r="Y98" s="3">
        <f>6497.5+(1063.6-1401.3)+(-9.941175+(-1.627308--2.143989))+0-0-0</f>
        <v>6150.3755060000003</v>
      </c>
      <c r="Z98" s="3">
        <f>6785.1+(980.4-1477.3)+(-10.381203+(-1.500012--2.260269))+0-0-0</f>
        <v>6278.5790540000007</v>
      </c>
      <c r="AA98" s="3">
        <f>7251.6+(927.2-1655.1)+(-3.698316+(-0.472872--0.844101))+0-0-0</f>
        <v>6520.3729130000011</v>
      </c>
      <c r="AB98" s="3">
        <f>7221.7+(1087.7-1955)+(-14.732268+(-2.218908--3.9882))+0-0-0</f>
        <v>6341.4370239999998</v>
      </c>
      <c r="AC98" s="3">
        <f>7073.2+(1246.4-2213.2)+(-7.214664+(-1.271328--2.257464))+0-0-0</f>
        <v>6100.171472</v>
      </c>
      <c r="AD98">
        <v>6540.2</v>
      </c>
      <c r="AE98" s="3">
        <f>7284+(900.9-1644.7)+(0+(0-0))+0-0-0</f>
        <v>6540.2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6797.4+(930.7-2065.6)+(-10.400022+(-1.423971--3.160368))+0-0-0</f>
        <v>5653.8363749999999</v>
      </c>
      <c r="G99" s="3">
        <f>6621.3+(644.2-2108.3)+(-13.507452+(-1.314168--4.300932))+0-0-0</f>
        <v>5146.6793120000002</v>
      </c>
      <c r="H99" s="3">
        <f>6576.1+(497.9-2170.9)+(-13.415244+(-1.015716--4.428636))+0-0-0</f>
        <v>4893.0976760000003</v>
      </c>
      <c r="I99" s="3">
        <f>6422.7+(267.9-1970.8)+(-16.377885+(-0.683145--5.02554))+0-0-0</f>
        <v>4707.7645099999991</v>
      </c>
      <c r="J99" s="3">
        <f>6214.2+(263.2-1822.4)+(-19.015452+(-0.805392--5.576544))+0-0-0</f>
        <v>4640.7556999999997</v>
      </c>
      <c r="K99" s="3">
        <f>6075.7+(282.4-1867.5)+(-15.493035+(-0.72012--4.762125))+0-0-0</f>
        <v>4479.1489700000002</v>
      </c>
      <c r="L99" s="3">
        <f>5904.8+(274.6-1696.7)+(-3.011448+(-0.140046--0.865317))+0-0-0</f>
        <v>4480.4138230000008</v>
      </c>
      <c r="M99" s="3">
        <f>6316.7+(256.1-1568.1)+(-3.221517+(-0.130611--0.799731))+0-0-0</f>
        <v>5002.1476029999994</v>
      </c>
      <c r="N99" s="3">
        <f>6699.2+(539.4-1496.2)+(3.416592+(0.275094-0.763062))+0-0-0</f>
        <v>5745.3286239999998</v>
      </c>
      <c r="O99" s="3">
        <f>6992.6+(916.7-1569)+(-3.566226+(-0.467517--0.80019))+0-0-0</f>
        <v>6337.0664470000002</v>
      </c>
      <c r="P99" s="3">
        <f>7260.1+(970.2-1364.7)+(-3.702651+(-0.494802--0.695997))+0-0-0</f>
        <v>6862.0985440000004</v>
      </c>
      <c r="Q99" s="3">
        <f>7242.8+(1041.7-1185.7)+(0+(0-0))+0-0-0</f>
        <v>7098.8</v>
      </c>
      <c r="R99" s="3">
        <f>7202.8+(1065.9-1118.7)+(0+(0-0))+0-0-0</f>
        <v>7150</v>
      </c>
      <c r="S99" s="3">
        <f>7155.9+(1053-1051.4)+(-7.299018+(-1.07406--1.072428))+0-0-0</f>
        <v>7150.1993499999999</v>
      </c>
      <c r="T99" s="3">
        <f>7141+(1103.9-959.7)+(-3.64191+(-0.562989--0.489447))+0-0-0</f>
        <v>7281.4845479999994</v>
      </c>
      <c r="U99" s="3">
        <f>7097.8+(1116-940.3)+(3.619878+(0.56916-0.479553))+0-0-0</f>
        <v>7277.2094850000003</v>
      </c>
      <c r="V99" s="3">
        <f>7057.9+(1114.9-958.7)+(-3.599529+(-0.568599--0.488937))+0-0-0</f>
        <v>7210.4208089999993</v>
      </c>
      <c r="W99" s="3">
        <f>6932.9+(1156.7-1185)+(-24.750453+(-4.129419--4.23045))+0-0-0</f>
        <v>6879.950577999999</v>
      </c>
      <c r="X99" s="3">
        <f>6925.8+(1267.9-1441.7)+(-21.192948+(-3.879774--4.411602))+0-0-0</f>
        <v>6731.3388800000002</v>
      </c>
      <c r="Y99" s="3">
        <f>6603.5+(991.7-1304.8)+(-3.367785+(-0.505767--0.665448))+0-0-0</f>
        <v>6287.1918959999994</v>
      </c>
      <c r="Z99" s="3">
        <f>6951.8+(937.5-1410.9)+(3.545418+(0.478125-0.719559))+0-0-0</f>
        <v>6481.7039839999998</v>
      </c>
      <c r="AA99" s="3">
        <f>7266.3+(927-1472.9)+(-14.823252+(-1.89108--3.004716))+0-0-0</f>
        <v>6706.6903839999995</v>
      </c>
      <c r="AB99" s="3">
        <f>7275.8+(1101.9-1892.5)+(-3.710658+(-0.561969--0.965175))+0-0-0</f>
        <v>6481.8925480000007</v>
      </c>
      <c r="AC99" s="3">
        <f>7234.3+(1213.4-2227.1)+(0+(0-0))+0-0-0</f>
        <v>6220.6</v>
      </c>
      <c r="AD99">
        <v>6740.4</v>
      </c>
      <c r="AE99" s="3">
        <f>7196.5+(932-1438.6)+(0+(0-0))+0-0-0</f>
        <v>6689.9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7195.3+(891.6-2308.9)+(-18.348015+(-2.27358--5.887695))+0-0-0</f>
        <v>5763.2660999999998</v>
      </c>
      <c r="G100" s="3">
        <f>6603.5+(486.4-1841.9)+(-13.47114+(-0.992256--3.757476))+0-0-0</f>
        <v>5237.2940799999997</v>
      </c>
      <c r="H100" s="3">
        <f>6335.5+(357.9-1754.9)+(-6.46221+(-0.365058--1.789998))+0-0-0</f>
        <v>4933.4627300000002</v>
      </c>
      <c r="I100" s="3">
        <f>6182.4+(361.4-1752.2)+(-9.459072+(-0.552942--2.680866))+0-0-0</f>
        <v>4784.2688519999992</v>
      </c>
      <c r="J100" s="3">
        <f>6048.4+(389.9-1779.6)+(-15.42342+(-0.994245--4.53798))+0-0-0</f>
        <v>4646.8203149999999</v>
      </c>
      <c r="K100" s="3">
        <f>5798.5+(416-1579.2)+(-14.786175+(-1.0608--4.02696))+0-0-0</f>
        <v>4623.4799849999999</v>
      </c>
      <c r="L100" s="3">
        <f>5509.8+(376.4-1376.2)+(2.809998+(0.191964-0.701862))+0-0-0</f>
        <v>4512.3001000000004</v>
      </c>
      <c r="M100" s="3">
        <f>5753+(696.4-1415.8)+(-8.80209+(-1.065492--2.166174))+0-0-0</f>
        <v>5025.8985920000005</v>
      </c>
      <c r="N100" s="3">
        <f>6438.5+(810.8-1417)+(3.283635+(0.413508-0.72267))+0-0-0</f>
        <v>5835.2744730000004</v>
      </c>
      <c r="O100" s="3">
        <f>7021.8+(877.5-1475.2)+(0+(0-0))+0-0-0</f>
        <v>6424.1</v>
      </c>
      <c r="P100" s="3">
        <f>7100.5+(1099.5-1261)+(-3.621255+(-0.560745--0.64311))+0-0-0</f>
        <v>6935.4611100000002</v>
      </c>
      <c r="Q100" s="3">
        <f>7082.6+(1132.6-992.9)+(7.224252+(1.155252-1.012758))+0-0-0</f>
        <v>7229.6667459999999</v>
      </c>
      <c r="R100" s="3">
        <f>7091.4+(1188.4-953)+(7.233228+(1.212168-0.97206))+0-0-0</f>
        <v>7334.2733359999993</v>
      </c>
      <c r="S100" s="3">
        <f>7008+(1293.7-1010.2)+(0+(0-0))+0-0-0</f>
        <v>7291.5</v>
      </c>
      <c r="T100" s="3">
        <f>6997.8+(1381.8-1021.3)+(-3.568878+(-0.704718--0.520863))+0-0-0</f>
        <v>7354.5472669999999</v>
      </c>
      <c r="U100" s="3">
        <f>6932.5+(1513.4-1054.5)+(-3.535575+(-0.771834--0.537795))+0-0-0</f>
        <v>7387.6303859999998</v>
      </c>
      <c r="V100" s="3">
        <f>6922.5+(1520.8-1087.4)+(-10.591425+(-2.326824--1.663722))+0-0-0</f>
        <v>7344.6454729999996</v>
      </c>
      <c r="W100" s="3">
        <f>6949.3+(1581.5-1369.3)+(7.088286+(1.61313-1.396686))+0-0-0</f>
        <v>7168.8047299999998</v>
      </c>
      <c r="X100" s="3">
        <f>6889+(1686.7-1734.9)+(-14.05356+(-3.440868--3.539196))+0-0-0</f>
        <v>6826.8447679999999</v>
      </c>
      <c r="Y100" s="3">
        <f>6766.5+(904.4-1220.2)+(-6.90183+(-0.922488--1.244604))+0-0-0</f>
        <v>6444.1202859999994</v>
      </c>
      <c r="Z100" s="3">
        <f>6965.4+(979.2-1377.6)+(0+(0-0))+0-0-0</f>
        <v>6567</v>
      </c>
      <c r="AA100" s="3">
        <f>7326+(1246.7-1677.7)+(-3.73626+(-0.635817--0.855627))+0-0-0</f>
        <v>6891.4835499999999</v>
      </c>
      <c r="AB100" s="3">
        <f>7367.9+(1384.3-2054.5)+(-11.272887+(-2.117979--3.143385))+0-0-0</f>
        <v>6687.4525189999995</v>
      </c>
      <c r="AC100" s="3">
        <f>7297.2+(1269.7-2156.6)+(0+(0-0))+0-0-0</f>
        <v>6410.3</v>
      </c>
      <c r="AD100">
        <v>6875.5</v>
      </c>
      <c r="AE100" s="3">
        <f>7296+(1239.9-1660.4)+(0+(0-0))+0-0-0</f>
        <v>6875.5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7041.6+(988.8-2220)+(-10.773648+(-1.512864--3.3966))+0-0-0</f>
        <v>5801.5100880000009</v>
      </c>
      <c r="G101" s="3">
        <f>6419.6+(826.4-1934.3)+(0+(0-0))+0-0-0</f>
        <v>5311.7000000000007</v>
      </c>
      <c r="H101" s="3">
        <f>6356.4+(579.6-1897.8)+(-16.20882+(-1.47798--4.83939))+0-0-0</f>
        <v>5025.3525899999995</v>
      </c>
      <c r="I101" s="3">
        <f>6266.1+(485-1873.1)+(-9.587133+(-0.74205--2.865843))+0-0-0</f>
        <v>4870.5366599999998</v>
      </c>
      <c r="J101" s="3">
        <f>6171.5+(508-1885.7)+(-9.442395+(-0.77724--2.885121))+0-0-0</f>
        <v>4786.4654860000001</v>
      </c>
      <c r="K101" s="3">
        <f>5870.7+(574.9-1775.5)+(-17.964342+(-1.759194--5.43303))+0-0-0</f>
        <v>4655.8094940000001</v>
      </c>
      <c r="L101" s="3">
        <f>5644.8+(585.6-1649.1)+(-5.757696+(-0.597312--1.682082))+0-0-0</f>
        <v>4576.627074</v>
      </c>
      <c r="M101" s="3">
        <f>6026.2+(710.2-1611.3)+(3.073362+(0.362202-0.821763))+0-0-0</f>
        <v>5127.7138010000008</v>
      </c>
      <c r="N101" s="3">
        <f>6455.6+(773.1-1312.9)+(6.584712+(0.788562-1.339158))+0-0-0</f>
        <v>5921.834116</v>
      </c>
      <c r="O101" s="3">
        <f>7136.1+(952.4-1540.3)+(-10.918233+(-1.457172--2.356659))+0-0-0</f>
        <v>6538.181254000001</v>
      </c>
      <c r="P101" s="3">
        <f>7302.3+(1218.7-1546.5)+(0+(0-0))+0-0-0</f>
        <v>6974.5</v>
      </c>
      <c r="Q101" s="3">
        <f>7256+(1376.5-1373.2)+(3.70056+(0.702015-0.700332))+0-0-0</f>
        <v>7263.0022429999999</v>
      </c>
      <c r="R101" s="3">
        <f>7146.7+(1350.4-1130.8)+(-3.644817+(-0.688704--0.576708))+0-0-0</f>
        <v>7362.5431870000002</v>
      </c>
      <c r="S101" s="3">
        <f>7074.6+(1410.6-1198.2)+(-14.432184+(-2.877624--2.444328))+0-0-0</f>
        <v>7272.1345199999996</v>
      </c>
      <c r="T101" s="3">
        <f>7047+(1478.2-1093.3)+(3.59397+(0.753882-0.557583))+0-0-0</f>
        <v>7435.6902689999997</v>
      </c>
      <c r="U101" s="3">
        <f>6883.1+(1491.9-1023.5)+(-17.551905+(-3.804345--2.609925))+0-0-0</f>
        <v>7332.7536749999999</v>
      </c>
      <c r="V101" s="3">
        <f>6899.6+(1586.7-1165.1)+(0+(0-0))+0-0-0</f>
        <v>7321.2000000000007</v>
      </c>
      <c r="W101" s="3">
        <f>6861.3+(1664.7-1416.8)+(-10.497789+(-2.546991--2.167704))+0-0-0</f>
        <v>7098.322924000001</v>
      </c>
      <c r="X101" s="3">
        <f>6849+(1610.5-1702.6)+(-13.97196+(-3.28542--3.473304))+0-0-0</f>
        <v>6743.1159239999997</v>
      </c>
      <c r="Y101" s="3">
        <f>6522.2+(1276.7-1440.9)+(-6.652644+(-1.302234--1.469718))+0-0-0</f>
        <v>6351.5148399999998</v>
      </c>
      <c r="Z101" s="3">
        <f>6691.6+(1198.4-1425.5)+(-13.650864+(-2.444736--2.90802))+0-0-0</f>
        <v>6451.3124200000002</v>
      </c>
      <c r="AA101" s="3">
        <f>7159+(1218.7-1670.6)+(-10.95327+(-1.864611--2.556018))+0-0-0</f>
        <v>6696.8381370000006</v>
      </c>
      <c r="AB101" s="3">
        <f>7075.2+(1123.3-1716.4)+(-10.825056+(-1.718649--2.626092))+0-0-0</f>
        <v>6472.1823869999998</v>
      </c>
      <c r="AC101" s="3">
        <f>7161.8+(1058.8-2001.3)+(7.305036+(1.079976-2.041326))+0-0-0</f>
        <v>6225.6436860000003</v>
      </c>
      <c r="AD101">
        <v>6617.3</v>
      </c>
      <c r="AE101" s="3">
        <f>7124+(1111.5-1618.2)+(0+(0-0))+0-0-0</f>
        <v>6617.3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6965.7+(929.6-2086.7)+(-3.552507+(-0.474096--1.064217))+0-0-0</f>
        <v>5805.6376140000002</v>
      </c>
      <c r="G102" s="3">
        <f>6510.4+(795-1876.1)+(-6.640608+(-0.8109--1.913622))+0-0-0</f>
        <v>5423.7621139999992</v>
      </c>
      <c r="H102" s="3">
        <f>6387.3+(557.3-1843.1)+(-6.515046+(-0.568446--1.879962))+0-0-0</f>
        <v>5096.2964700000002</v>
      </c>
      <c r="I102" s="3">
        <f>6207.4+(621.1-1937.1)+(3.165774+(0.316761-0.987921))+0-0-0</f>
        <v>4893.8946139999998</v>
      </c>
      <c r="J102" s="3">
        <f>5976.9+(534.8-1712)+(-9.144657+(-0.818244--2.61936))+0-0-0</f>
        <v>4792.3564589999996</v>
      </c>
      <c r="K102" s="3">
        <f>5670+(564.8-1617.8)+(-14.4585+(-1.44024--4.12539))+0-0-0</f>
        <v>4605.2266499999996</v>
      </c>
      <c r="L102" s="3">
        <f>5396.3+(513.6-1533.1)+(-16.512678+(-1.571616--4.691286))+0-0-0</f>
        <v>4363.4069920000002</v>
      </c>
      <c r="M102" s="3">
        <f>5437.6+(488.6-1491.6)+(-2.773176+(-0.249186--0.760716))+0-0-0</f>
        <v>4432.3383540000004</v>
      </c>
      <c r="N102" s="3">
        <f>5653.8+(575.4-1417.2)+(-2.883438+(-0.293454--0.722772))+0-0-0</f>
        <v>4809.5458799999997</v>
      </c>
      <c r="O102" s="3">
        <f>6193.1+(602-1507.3)+(0+(0-0))+0-0-0</f>
        <v>5287.8</v>
      </c>
      <c r="P102" s="3">
        <f>6357.9+(775.2-1395.4)+(0+(0-0))+0-0-0</f>
        <v>5737.7</v>
      </c>
      <c r="Q102" s="3">
        <f>6403.4+(843.7-1199.8)+(-9.797202+(-1.290861--1.835694))+0-0-0</f>
        <v>6038.0476309999995</v>
      </c>
      <c r="R102" s="3">
        <f>6321+(905.8-1102.8)+(-3.22371+(-0.461958--0.562428))+0-0-0</f>
        <v>6120.8767600000001</v>
      </c>
      <c r="S102" s="3">
        <f>6271.5+(944.9-1169.6)+(-15.992325+(-2.409495--2.98248))+0-0-0</f>
        <v>6031.3806599999998</v>
      </c>
      <c r="T102" s="3">
        <f>6268.5+(949.7-1204.7)+(3.196935+(0.484347-0.614397))+0-0-0</f>
        <v>6016.5668850000002</v>
      </c>
      <c r="U102" s="3">
        <f>6240.2+(833.6-1138.1)+(3.182502+(0.425136-0.580431))+0-0-0</f>
        <v>5938.7272069999999</v>
      </c>
      <c r="V102" s="3">
        <f>6228.2+(892.2-1211.5)+(-6.352764+(-0.910044--1.23573))+0-0-0</f>
        <v>5902.8729219999996</v>
      </c>
      <c r="W102" s="3">
        <f>6191+(925.7-1265.6)+(-9.47223+(-1.416321--1.936368))+0-0-0</f>
        <v>5842.147817</v>
      </c>
      <c r="X102" s="3">
        <f>6113.4+(882.9-1259.7)+(-12.471336+(-1.801116--2.569788))+0-0-0</f>
        <v>5724.8973359999991</v>
      </c>
      <c r="Y102" s="3">
        <f>5830.4+(662.2-947.5)+(-8.920512+(-1.013166--1.449675))+0-0-0</f>
        <v>5536.6159969999999</v>
      </c>
      <c r="Z102" s="3">
        <f>6084.2+(498.6-861.4)+(3.102942+(0.254286-0.439314))+0-0-0</f>
        <v>5724.3179139999993</v>
      </c>
      <c r="AA102" s="3">
        <f>6723.2+(391.2-1139.4)+(-10.286496+(-0.598536--1.743282))+0-0-0</f>
        <v>5965.8582500000002</v>
      </c>
      <c r="AB102" s="3">
        <f>6648.2+(547.1-1371.9)+(-6.781164+(-0.558042--1.399338))+0-0-0</f>
        <v>5817.4601319999992</v>
      </c>
      <c r="AC102" s="3">
        <f>6544.3+(701.9-1580.3)+(6.675186+(0.715938-1.611906))+0-0-0</f>
        <v>5671.6792180000002</v>
      </c>
      <c r="AD102">
        <v>5958.5</v>
      </c>
      <c r="AE102" s="3">
        <f>6812+(408.3-1261.8)+(0+(0-0))+0-0-0</f>
        <v>5958.5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6386.2+(746.8-1723.1)+(-6.513924+(-0.761736--1.757562))+0-0-0</f>
        <v>5404.3819020000001</v>
      </c>
      <c r="G103" s="3">
        <f>6404.1+(759.5-2058)+(-3.266091+(-0.387345--1.04958))+0-0-0</f>
        <v>5102.9961440000006</v>
      </c>
      <c r="H103" s="3">
        <f>6236.5+(592.5-2007.1)+(-12.72246+(-1.2087--4.094484))+0-0-0</f>
        <v>4812.0633239999997</v>
      </c>
      <c r="I103" s="3">
        <f>5969+(380.6-1715.1)+(-15.22095+(-0.97053--4.373505))+0-0-0</f>
        <v>4622.6820250000001</v>
      </c>
      <c r="J103" s="3">
        <f>5881.9+(193.9-1573)+(5.999538+(0.197778-1.60446))+0-0-0</f>
        <v>4507.3928559999995</v>
      </c>
      <c r="K103" s="3">
        <f>5594.6+(243.4-1499.7)+(-14.26623+(-0.62067--3.824235))+0-0-0</f>
        <v>4327.2373349999998</v>
      </c>
      <c r="L103" s="3">
        <f>5442.7+(291.2-1673.4)+(-2.775777+(-0.148512--0.853434))+0-0-0</f>
        <v>4058.4291450000001</v>
      </c>
      <c r="M103" s="3">
        <f>5423.1+(235-1583.3)+(-5.531562+(-0.2397--1.614966))+0-0-0</f>
        <v>4070.6437040000001</v>
      </c>
      <c r="N103" s="3">
        <f>5463.3+(284.6-1426.4)+(-5.572566+(-0.290292--1.454928))+0-0-0</f>
        <v>4317.0920699999997</v>
      </c>
      <c r="O103" s="3">
        <f>5580.7+(199.8-1082.9)+(2.846157+(0.101898-0.552279))+0-0-0</f>
        <v>4699.9957759999998</v>
      </c>
      <c r="P103" s="3">
        <f>6041.6+(318.2-1244.5)+(-6.162432+(-0.324564--1.26939))+0-0-0</f>
        <v>5110.082394</v>
      </c>
      <c r="Q103" s="3">
        <f>6171.3+(556.4-1290.6)+(0+(0-0))+0-0-0</f>
        <v>5437.1</v>
      </c>
      <c r="R103" s="3">
        <f>6132.1+(613.8-1201.7)+(9.382113+(0.939114-1.838601))+0-0-0</f>
        <v>5552.6826260000007</v>
      </c>
      <c r="S103" s="3">
        <f>6045+(595.2-1053.2)+(0+(0-0))+0-0-0</f>
        <v>5587</v>
      </c>
      <c r="T103" s="3">
        <f>6025.8+(610.1-1059.6)+(3.073158+(0.311151-0.540396))+0-0-0</f>
        <v>5579.1439129999999</v>
      </c>
      <c r="U103" s="3">
        <f>5995.8+(585.7-1045.4)+(-18.347148+(-1.792242--3.198924))+0-0-0</f>
        <v>5519.1595340000003</v>
      </c>
      <c r="V103" s="3">
        <f>6012.3+(590.4-1113.2)+(9.198819+(0.903312-1.703196))+0-0-0</f>
        <v>5497.8989350000002</v>
      </c>
      <c r="W103" s="3">
        <f>5980.6+(674-1147.4)+(-15.25053+(-1.7187--2.92587))+0-0-0</f>
        <v>5493.1566400000011</v>
      </c>
      <c r="X103" s="3">
        <f>5861.1+(747.7-1121)+(-14.945805+(-1.906635--2.85855))+0-0-0</f>
        <v>5473.8061100000004</v>
      </c>
      <c r="Y103" s="3">
        <f>5624.1+(519.6-709.9)+(-5.736582+(-0.529992--0.724098))+0-0-0</f>
        <v>5428.2575240000006</v>
      </c>
      <c r="Z103" s="3">
        <f>6275.5+(583.5-1020.1)+(-6.40101+(-0.59517--1.040502))+0-0-0</f>
        <v>5832.9443219999994</v>
      </c>
      <c r="AA103" s="3">
        <f>6736.9+(522.3-1141.4)+(-13.743276+(-1.065492--2.328456))+0-0-0</f>
        <v>6105.3196879999996</v>
      </c>
      <c r="AB103" s="3">
        <f>6760.4+(526.8-1235.2)+(-6.895608+(-0.537336--1.259904))+0-0-0</f>
        <v>6045.8269600000003</v>
      </c>
      <c r="AC103" s="3">
        <f>6712.3+(580.3-1418.3)+(-10.269819+(-0.887859--2.169999))+0-0-0</f>
        <v>5865.3123210000003</v>
      </c>
      <c r="AD103">
        <v>6000.0999999999995</v>
      </c>
      <c r="AE103" s="3">
        <f>6690+(477.4-1167.3)+(0+(0-0))+0-0-0</f>
        <v>6000.1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6672.1+(628.8-1874.7)+(-3.402771+(-0.320688--0.956097))+0-0-0</f>
        <v>5423.4326380000011</v>
      </c>
      <c r="G104" s="3">
        <f>6681.9+(542.5-2179.1)+(-6.815538+(-0.55335--2.222682))+0-0-0</f>
        <v>5040.1537939999989</v>
      </c>
      <c r="H104" s="3">
        <f>6475+(350.6-2023.1)+(6.6045+(0.357612-2.063562))+0-0-0</f>
        <v>4807.3985499999999</v>
      </c>
      <c r="I104" s="3">
        <f>6204.7+(280.4-1848)+(-3.164397+(-0.143004--0.94248))+0-0-0</f>
        <v>4634.735079</v>
      </c>
      <c r="J104" s="3">
        <f>6116.9+(308.2-1843.2)+(-9.358857+(-0.471546--2.820096))+0-0-0</f>
        <v>4574.8896930000001</v>
      </c>
      <c r="K104" s="3">
        <f>5956+(349.2-1797)+(-24.30048+(-1.424736--7.33176))+0-0-0</f>
        <v>4489.806544</v>
      </c>
      <c r="L104" s="3">
        <f>5783.7+(402.7-1902.3)+(-11.798748+(-0.821508--3.880692))+0-0-0</f>
        <v>4275.3604359999999</v>
      </c>
      <c r="M104" s="3">
        <f>6421.8+(451.4-1646.9)+(9.825354+(0.690642-2.519757))+0-0-0</f>
        <v>5234.2962390000002</v>
      </c>
      <c r="N104" s="3">
        <f>6550.9+(789.8-1490.5)+(3.340959+(0.402798-0.760155))+0-0-0</f>
        <v>5853.1836020000001</v>
      </c>
      <c r="O104" s="3">
        <f>6970.5+(924.6-1377.1)+(3.554955+(0.471546-0.702321))+0-0-0</f>
        <v>6521.3241799999996</v>
      </c>
      <c r="P104" s="3">
        <f>7112+(1070.3-1189.1)+(-7.25424+(-1.091706--1.212882))+0-0-0</f>
        <v>6986.0669360000002</v>
      </c>
      <c r="Q104" s="3">
        <f>7098.8+(989.7-778.3)+(-3.620388+(-0.504747--0.396933))+0-0-0</f>
        <v>7306.4717980000005</v>
      </c>
      <c r="R104" s="3">
        <f>7039.1+(1169.9-777.5)+(-7.179882+(-1.193298--0.79305))+0-0-0</f>
        <v>7423.9198699999997</v>
      </c>
      <c r="S104" s="3">
        <f>6987+(1291.5-894.3)+(-3.56337+(-0.658665--0.456093))+0-0-0</f>
        <v>7380.4340579999998</v>
      </c>
      <c r="T104" s="3">
        <f>6961.3+(1346.7-809.8)+(-10.650789+(-2.060451--1.238994))+0-0-0</f>
        <v>7486.7277540000005</v>
      </c>
      <c r="U104" s="3">
        <f>6955.2+(1428.3-884.1)+(0+(0-0))+0-0-0</f>
        <v>7499.4</v>
      </c>
      <c r="V104" s="3">
        <f>6850.7+(1478.7-889)+(-6.987714+(-1.508274--0.90678))+0-0-0</f>
        <v>7432.8107919999993</v>
      </c>
      <c r="W104" s="3">
        <f>6746.7+(1548.4-1048.1)+(-17.204085+(-3.94842--2.672655))+0-0-0</f>
        <v>7228.5201500000003</v>
      </c>
      <c r="X104" s="3">
        <f>6758.2+(1483-1339)+(-17.23341+(-3.78165--3.41445))+0-0-0</f>
        <v>6884.5993899999994</v>
      </c>
      <c r="Y104" s="3">
        <f>6861.4+(887.1-1249.5)+(-20.995884+(-2.714526--3.82347))+0-0-0</f>
        <v>6479.1130599999997</v>
      </c>
      <c r="Z104" s="3">
        <f>7096.4+(908.8-1348.2)+(7.238328+(0.926976-1.375164))+13-0-0</f>
        <v>6676.7901400000001</v>
      </c>
      <c r="AA104" s="3">
        <f>7202.6+(1042.9-1336.6)+(-11.019978+(-1.595637--2.044998))+1.9-0-0</f>
        <v>6900.2293829999999</v>
      </c>
      <c r="AB104" s="3">
        <f>7216.4+(1150.4-1647.7)+(-7.360728+(-1.173408--1.680654))+0-0-0</f>
        <v>6712.246517999999</v>
      </c>
      <c r="AC104" s="3">
        <f>7153.7+(1104.6-1800.7)+(3.648387+(0.563346-0.918357))+0-0-0</f>
        <v>6460.8933759999991</v>
      </c>
      <c r="AD104">
        <v>6748.0999999999995</v>
      </c>
      <c r="AE104" s="3">
        <f>7207+(1104.3-1549.2)+(0+(0-0))+0-0-0</f>
        <v>6762.1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6964+(1031.4-2081.8)+(0+(0-0))+0-0-0</f>
        <v>5913.6</v>
      </c>
      <c r="G105" s="3">
        <f>6722.7+(580.6-1835.1)+(-3.428577+(-0.296106--0.935901))+0-0-0</f>
        <v>5465.4112180000002</v>
      </c>
      <c r="H105" s="3">
        <f>6587.6+(569.7-1960.5)+(-10.079028+(-0.871641--2.999565))+0-0-0</f>
        <v>5188.8488960000004</v>
      </c>
      <c r="I105" s="3">
        <f>6502.9+(517.5-1970.4)+(-9.949437+(-0.791775--3.014712))+0-0-0</f>
        <v>5042.2735000000002</v>
      </c>
      <c r="J105" s="3">
        <f>6285+(466.7-1780.1)+(-16.02675+(-1.190085--4.539255))+0-0-0</f>
        <v>4958.9224200000008</v>
      </c>
      <c r="K105" s="3">
        <f>6032.1+(590.5-1763.6)+(-15.381855+(-1.505775--4.49718))+0-0-0</f>
        <v>4846.6095500000001</v>
      </c>
      <c r="L105" s="3">
        <f>5677.3+(571.1-1457.9)+(-5.790846+(-0.582522--1.487058))+0-0-0</f>
        <v>4785.6136900000001</v>
      </c>
      <c r="M105" s="3">
        <f>6155+(516.5-1378.4)+(-3.13905+(-0.263415--0.702984))+0-0-0</f>
        <v>5290.4005190000007</v>
      </c>
      <c r="N105" s="3">
        <f>6643.4+(737.1-1276.9)+(3.388134+(0.375921-0.651219))+0-0-0</f>
        <v>6106.7128359999997</v>
      </c>
      <c r="O105" s="3">
        <f>6986.4+(1194.4-1515.6)+(0+(0-0))+0-0-0</f>
        <v>6665.2</v>
      </c>
      <c r="P105" s="3">
        <f>7073.9+(1279.8-1267.2)+(7.215378+(1.305396-1.292544))+0-0-0</f>
        <v>7093.7282299999997</v>
      </c>
      <c r="Q105" s="3">
        <f>7123.9+(1317.7-1073.5)+(-3.633189+(-0.672027--0.547485))+0-0-0</f>
        <v>7364.3422689999998</v>
      </c>
      <c r="R105" s="3">
        <f>7077.6+(1308.9-896.2)+(-7.219152+(-1.335078--0.914124))+0-0-0</f>
        <v>7482.6598940000003</v>
      </c>
      <c r="S105" s="3">
        <f>6999.4+(1407-996.2)+(-7.139388+(-1.43514--1.016124))+0-0-0</f>
        <v>7402.6415959999995</v>
      </c>
      <c r="T105" s="3">
        <f>6978.3+(1424.1-858.6)+(0+(0-0))+0-0-0</f>
        <v>7543.8</v>
      </c>
      <c r="U105" s="3">
        <f>6894.2+(1420.6-798.4)+(0+(0-0))+0-0-0</f>
        <v>7516.4</v>
      </c>
      <c r="V105" s="3">
        <f>6805.5+(1400.4-746.7)+(3.470805+(0.714204-0.380817))+0-0-0</f>
        <v>7463.0041919999994</v>
      </c>
      <c r="W105" s="3">
        <f>6744.1+(1490.1-967)+(-13.757964+(-3.039804--1.97268))+0-0-0</f>
        <v>7252.3749120000011</v>
      </c>
      <c r="X105" s="3">
        <f>6742.9+(1623.9-1420.3)+(-24.072153+(-5.797323--5.070471))+0-0-0</f>
        <v>6921.7009950000001</v>
      </c>
      <c r="Y105" s="3">
        <f>6537.7+(878.7-861)+(-16.671135+(-2.240685--2.19555))+0-0-0</f>
        <v>6538.6837299999997</v>
      </c>
      <c r="Z105" s="3">
        <f>6884.6+(1103.2-1277.1)+(-3.511146+(-0.562632--0.651321))+0-0-0</f>
        <v>6707.2775430000011</v>
      </c>
      <c r="AA105" s="3">
        <f>7271.4+(1024.6-1331.9)+(-14.833656+(-2.090184--2.717076))+0-0-0</f>
        <v>6949.8932359999999</v>
      </c>
      <c r="AB105" s="3">
        <f>7314.1+(976.2-1525.2)+(-11.190573+(-1.493586--2.333556))+0-0-0</f>
        <v>6754.7493970000005</v>
      </c>
      <c r="AC105" s="3">
        <f>7206+(989.3-1725.5)+(3.67506+(0.504543-0.880005))+0-0-0</f>
        <v>6473.0995979999998</v>
      </c>
      <c r="AD105">
        <v>6917.9</v>
      </c>
      <c r="AE105" s="3">
        <f>7279+(962.5-1323.6)+(0+(0-0))+0-0-0</f>
        <v>6917.9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7060.6+(833.5-1974)+(0+(0-0))+0-0-0</f>
        <v>5920.1</v>
      </c>
      <c r="G106" s="3">
        <f>6899.2+(677.5-2123.8)+(-14.074368+(-1.3821--4.332552))+0-0-0</f>
        <v>5441.7760840000001</v>
      </c>
      <c r="H106" s="3">
        <f>6640.3+(558.2-2009.4)+(3.386553+(0.284682-1.024794))+0-0-0</f>
        <v>5191.7464410000002</v>
      </c>
      <c r="I106" s="3">
        <f>6507.4+(439.3-1965.4)+(-13.275096+(-0.896172--4.009416))+0-0-0</f>
        <v>4971.1381479999991</v>
      </c>
      <c r="J106" s="3">
        <f>6331.9+(457-1829.4)+(0+(0-0))+0-0-0</f>
        <v>4959.5</v>
      </c>
      <c r="K106" s="3">
        <f>6168.6+(472-1804.2)+(-15.72993+(-1.2036--4.60071))+0-0-0</f>
        <v>4824.0671800000009</v>
      </c>
      <c r="L106" s="3">
        <f>5592.8+(452.3-1279.8)+(-14.26164+(-1.153365--3.26349))+0-0-0</f>
        <v>4753.1484850000006</v>
      </c>
      <c r="M106" s="3">
        <f>5856.8+(488.4-1167.4)+(0+(0-0))+0-0-0</f>
        <v>5177.8</v>
      </c>
      <c r="N106" s="3">
        <f>6458.9+(536.7-965.2)+(9.882117+(0.821151-1.476756))+0-0-0</f>
        <v>6039.6265119999998</v>
      </c>
      <c r="O106" s="3">
        <f>6836.8+(721.9-1077.4)+(6.973536+(0.736338-1.098948))+0-0-0</f>
        <v>6487.9109260000005</v>
      </c>
      <c r="P106" s="3">
        <f>7036.1+(1127.8-1196.4)+(10.765233+(1.725534-1.830492))+0-0-0</f>
        <v>6978.1602750000002</v>
      </c>
      <c r="Q106" s="3">
        <f>7079.3+(1064.6-820.7)+(10.831329+(1.628838-1.255671))+0-0-0</f>
        <v>7334.4044960000001</v>
      </c>
      <c r="R106" s="3">
        <f>7039.5+(1148.1-741.3)+(-3.590145+(-0.585531--0.378063))+0-0-0</f>
        <v>7442.5023870000005</v>
      </c>
      <c r="S106" s="3">
        <f>6976+(1156.3-810.7)+(-14.23104+(-2.358852--1.653828))+0-0-0</f>
        <v>7306.6639359999999</v>
      </c>
      <c r="T106" s="3">
        <f>7006.1+(1138.3-650.6)+(10.719333+(1.741599-0.995418))+0-0-0</f>
        <v>7505.2655140000006</v>
      </c>
      <c r="U106" s="3">
        <f>6937.7+(1120.1-573.4)+(-7.076454+(-1.142502--0.584868))+0-0-0</f>
        <v>7476.7659119999998</v>
      </c>
      <c r="V106" s="3">
        <f>6846.7+(1230.8-794)+(-13.967268+(-2.510832--1.61976))+0-0-0</f>
        <v>7268.6416600000002</v>
      </c>
      <c r="W106" s="3">
        <f>6965.9+(1315.9-1068.6)+(-14.210436+(-2.684436--2.179944))+16.2-0-0</f>
        <v>7214.6850719999993</v>
      </c>
      <c r="X106" s="3">
        <f>6858.2+(1426.9-1429.2)+(-13.990728+(-2.910876--2.915568))+0-0-0</f>
        <v>6841.9139639999994</v>
      </c>
      <c r="Y106" s="3">
        <f>6762.6+(1029.6-1343.1)+(-13.795704+(-2.100384--2.739924))+0-0-0</f>
        <v>6435.9438360000004</v>
      </c>
      <c r="Z106" s="3">
        <f>7102.4+(1046.5-1527.5)+(-3.622224+(-0.533715--0.779025))+0-0-0</f>
        <v>6618.0230859999992</v>
      </c>
      <c r="AA106" s="3">
        <f>7349.1+(1038-1474.6)+(-11.244123+(-1.58814--2.256138))+0-0-0</f>
        <v>6901.9238750000004</v>
      </c>
      <c r="AB106" s="3">
        <f>7326.9+(1148.9-1863.9)+(-14.946876+(-2.343756--3.802356))+0-0-0</f>
        <v>6598.4117239999996</v>
      </c>
      <c r="AC106" s="3">
        <f>7229+(1224.4-2171.7)+(0+(0-0))+0-0-0</f>
        <v>6281.7000000000007</v>
      </c>
      <c r="AD106">
        <v>6811.9</v>
      </c>
      <c r="AE106" s="3">
        <f>7273+(1042-1503.1)+(0+(0-0))+0-0-0</f>
        <v>6811.9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6988.8+(956.1-2082.5)+(-10.692864+(-1.462833--3.186225))+0-0-0</f>
        <v>5853.4305279999999</v>
      </c>
      <c r="G107" s="3">
        <f>6600.6+(818.7-1884.9)+(-23.564142+(-2.922759--6.729093))+0-0-0</f>
        <v>5514.6421920000003</v>
      </c>
      <c r="H107" s="3">
        <f>6218.3+(659.5-1683.1)+(-19.027998+(-2.01807--5.150286))+0-0-0</f>
        <v>5178.8042180000011</v>
      </c>
      <c r="I107" s="3">
        <f>6047.1+(646.2-1756.7)+(-15.420105+(-1.64781--4.479585))+0-0-0</f>
        <v>4924.0116700000008</v>
      </c>
      <c r="J107" s="3">
        <f>5894.9+(723.5-1711.3)+(9.019197+(1.106955-2.618289))+0-0-0</f>
        <v>4914.6078629999993</v>
      </c>
      <c r="K107" s="3">
        <f>5765.1+(754.7-1700.4)+(-8.820603+(-1.154691--2.601612))+0-0-0</f>
        <v>4812.0263180000002</v>
      </c>
      <c r="L107" s="3">
        <f>5702.5+(732.1-1584)+(-11.6331+(-1.493484--3.23136))+0-0-0</f>
        <v>4840.7047760000005</v>
      </c>
      <c r="M107" s="3">
        <f>5972.2+(647.9-1426.1)+(0+(0-0))+0-0-0</f>
        <v>5194</v>
      </c>
      <c r="N107" s="3">
        <f>6501.1+(942.5-1561.1)+(-9.946683+(-1.442025--2.388483))+0-0-0</f>
        <v>5873.4997750000002</v>
      </c>
      <c r="O107" s="3">
        <f>6792.2+(1057.6-1281.6)+(3.464022+(0.539376-0.653616))+0-0-0</f>
        <v>6571.5497820000001</v>
      </c>
      <c r="P107" s="3">
        <f>6887.4+(1145.4-1095.5)+(0+(0-0))+0-0-0</f>
        <v>6937.2999999999993</v>
      </c>
      <c r="Q107" s="3">
        <f>6997.7+(1415-1142.9)+(-7.137654+(-1.4433--1.165758))+0-0-0</f>
        <v>7262.3848039999993</v>
      </c>
      <c r="R107" s="3">
        <f>7157.5+(1371.2-1107.6)+(0+(0-0))+0-0-0</f>
        <v>7421.1</v>
      </c>
      <c r="S107" s="3">
        <f>7099.6+(1343.3-1106.2)+(-7.241592+(-1.370166--1.128324))+0-0-0</f>
        <v>7329.216566000001</v>
      </c>
      <c r="T107" s="3">
        <f>7038+(1335.9-882.1)+(-7.17876+(-1.362618--0.899742))+0-0-0</f>
        <v>7484.1583639999999</v>
      </c>
      <c r="U107" s="3">
        <f>6941.2+(1323.5-779.1)+(-10.620036+(-2.024955--1.192023))+0-0-0</f>
        <v>7474.1470319999999</v>
      </c>
      <c r="V107" s="3">
        <f>6857.8+(1397.9-822.7)+(-3.497478+(-0.712929--0.419577))+0-0-0</f>
        <v>7429.2091700000001</v>
      </c>
      <c r="W107" s="3">
        <f>6801.4+(1433.6-1019)+(-10.406142+(-2.193408--1.55907))+0-0-0</f>
        <v>7204.9595200000003</v>
      </c>
      <c r="X107" s="3">
        <f>6743.3+(1284.2-1128)+(-17.195415+(-3.27471--2.8764))+0-0-0</f>
        <v>6881.9062750000003</v>
      </c>
      <c r="Y107" s="3">
        <f>6413.4+(1044.2-956.5)+(-9.812502+(-1.597626--1.463445))+0-0-0</f>
        <v>6491.1533169999993</v>
      </c>
      <c r="Z107" s="3">
        <f>6698.4+(992-1014.9)+(-6.832368+(-1.01184--1.035198))+0-0-0</f>
        <v>6668.6909900000001</v>
      </c>
      <c r="AA107" s="3">
        <f>7246.7+(907.2-1269.6)+(-7.391634+(-0.925344--1.294992))+0-0-0</f>
        <v>6877.2780140000004</v>
      </c>
      <c r="AB107" s="3">
        <f>7210.6+(970.3-1533.9)+(-14.709624+(-1.979412--3.129156))+0-0-0</f>
        <v>6633.4401200000002</v>
      </c>
      <c r="AC107" s="3">
        <f>7149.1+(878-1680.4)+(-7.292082+(-0.89556--1.714008))+0-0-0</f>
        <v>6340.2263660000008</v>
      </c>
      <c r="AD107">
        <v>6845.3</v>
      </c>
      <c r="AE107" s="3">
        <f>7266+(901.3-1322)+(0+(0-0))+0-0-0</f>
        <v>6845.3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7117.3+(875-2151.9)+(-10.889469+(-1.33875--3.292407))+0-0-0</f>
        <v>5831.4641879999999</v>
      </c>
      <c r="G108" s="3">
        <f>6656.8+(756.2-2022.3)+(-10.184904+(-1.156986--3.094119))+0-0-0</f>
        <v>5382.4522290000004</v>
      </c>
      <c r="H108" s="3">
        <f>6039.5+(885.4-1841)+(0+(0-0))+0-0-0</f>
        <v>5083.8999999999996</v>
      </c>
      <c r="I108" s="3">
        <f>5958.9+(643.5-1653.2)+(-12.156156+(-1.31274--3.372528))+0-0-0</f>
        <v>4939.1036319999994</v>
      </c>
      <c r="J108" s="3">
        <f>5956.2+(471.9-1555.4)+(-12.150648+(-0.962676--3.173016))+0-0-0</f>
        <v>4862.7596919999996</v>
      </c>
      <c r="K108" s="3">
        <f>5782.2+(419.3-1422.5)+(-11.795688+(-0.855372--2.9019))+0-0-0</f>
        <v>4769.2508399999997</v>
      </c>
      <c r="L108" s="3">
        <f>5652.3+(418.1-1381.4)+(-11.530692+(-0.852924--2.818056))+0-0-0</f>
        <v>4679.43444</v>
      </c>
      <c r="M108" s="3">
        <f>5879.2+(449.5-1094.3)+(8.995176+(0.687735-1.674279))+0-0-0</f>
        <v>5242.4086319999997</v>
      </c>
      <c r="N108" s="3">
        <f>6350.7+(524-887.6)+(6.477714+(0.53448-0.905352))+0-0-0</f>
        <v>5993.2068419999996</v>
      </c>
      <c r="O108" s="3">
        <f>6910.7+(691.3-866.9)+(0+(0-0))+0-0-0</f>
        <v>6735.0999999999995</v>
      </c>
      <c r="P108" s="3">
        <f>7109.6+(741.7-744.3)+(3.625896+(0.378267-0.379593))+0-0-0</f>
        <v>7110.6245699999999</v>
      </c>
      <c r="Q108" s="3">
        <f>7080.2+(929.6-688.9)+(0+(0-0))+0-0-0</f>
        <v>7320.9</v>
      </c>
      <c r="R108" s="3">
        <f>7128.8+(1145.7-854.6)+(3.635688+(0.584307-0.435846))+0-0-0</f>
        <v>7423.6841490000006</v>
      </c>
      <c r="S108" s="3">
        <f>7133.7+(1143-927.3)+(7.276374+(1.16586-0.945846))+0-0-0</f>
        <v>7356.8963879999992</v>
      </c>
      <c r="T108" s="3">
        <f>7071.5+(1110.2-714.2)+(-7.21293+(-1.132404--0.728484))+0-0-0</f>
        <v>7459.8831499999997</v>
      </c>
      <c r="U108" s="3">
        <f>7026.7+(1203.2-763)+(7.167234+(1.227264-0.77826))+0-0-0</f>
        <v>7474.5162379999992</v>
      </c>
      <c r="V108" s="3">
        <f>6975.3+(1235-826.6)+(-17.787015+(-3.14925--2.10783))+0-0-0</f>
        <v>7364.8715649999995</v>
      </c>
      <c r="W108" s="3">
        <f>6944.3+(1341.3-1020.6)+(-21.249558+(-4.104378--3.123036))+0-0-0</f>
        <v>7242.7691000000004</v>
      </c>
      <c r="X108" s="3">
        <f>6907+(1362.6-1324.6)+(-21.13542+(-4.169556--4.053276))+0-0-0</f>
        <v>6923.7483000000002</v>
      </c>
      <c r="Y108" s="3">
        <f>6488.7+(957.3-867.6)+(-6.618474+(-0.976446--0.884952))+0-0-0</f>
        <v>6571.6900319999995</v>
      </c>
      <c r="Z108" s="3">
        <f>6723.3+(833.8-866.5)+(-10.286649+(-1.275714--1.325745))+0-0-0</f>
        <v>6680.3633820000005</v>
      </c>
      <c r="AA108" s="3">
        <f>7346.5+(907.6-1354.3)+(-18.733575+(-2.31438--3.453465))+12.9-0-0</f>
        <v>6895.1055099999994</v>
      </c>
      <c r="AB108" s="3">
        <f>7164.8+(971-1467.9)+(-7.308096+(-0.99042--1.497258))+0-0-0</f>
        <v>6661.0987419999992</v>
      </c>
      <c r="AC108" s="3">
        <f>7020.6+(1007.6-1666.4)+(14.322024+(2.055504-3.399456))+0-0-0</f>
        <v>6374.7780720000001</v>
      </c>
      <c r="AD108">
        <v>6714.5999999999995</v>
      </c>
      <c r="AE108" s="3">
        <f>7311+(946.9-1543.3)+(0+(0-0))+0-0-0</f>
        <v>6714.6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6817.2+(952.6-1933.2)+(-6.953544+(-0.971652--1.971864))+0-0-0</f>
        <v>5830.6466679999994</v>
      </c>
      <c r="G109" s="3">
        <f>6528.4+(828.1-1915.1)+(0+(0-0))+0-0-0</f>
        <v>5441.4</v>
      </c>
      <c r="H109" s="3">
        <f>6304.7+(754.1-1965.7)+(-6.430794+(-0.769182--2.005014))+0-0-0</f>
        <v>5087.9050380000008</v>
      </c>
      <c r="I109" s="3">
        <f>6357+(565.6-1983.1)+(0+(0-0))+0-0-0</f>
        <v>4939.5</v>
      </c>
      <c r="J109" s="3">
        <f>6348.6+(527.7-2013.2)+(0+(0-0))+0-0-0</f>
        <v>4863.1000000000004</v>
      </c>
      <c r="K109" s="3">
        <f>6155.1+(611.4-2011)+(-15.695505+(-1.55907--5.12805))+0-0-0</f>
        <v>4743.3734750000003</v>
      </c>
      <c r="L109" s="3">
        <f>5791.3+(655.9-1810.3)+(-5.907126+(-0.669018--1.846506))+0-0-0</f>
        <v>4632.1703619999998</v>
      </c>
      <c r="M109" s="3">
        <f>6048.3+(562.2-1524.1)+(6.169266+(0.573444-1.554582))+0-0-0</f>
        <v>5091.5881280000003</v>
      </c>
      <c r="N109" s="3">
        <f>6592.2+(810.3-1616.7)+(3.362022+(0.413253-0.824517))+0-0-0</f>
        <v>5788.7507579999992</v>
      </c>
      <c r="O109" s="3">
        <f>6998.7+(1113.3-1717.3)+(7.138674+(1.135566-1.751646))+0-0-0</f>
        <v>6401.2225939999998</v>
      </c>
      <c r="P109" s="3">
        <f>7140.3+(1116.1-1382.9)+(3.641553+(0.569211-0.705279))+0-0-0</f>
        <v>6877.0054849999997</v>
      </c>
      <c r="Q109" s="3">
        <f>7120.4+(1148.5-1098.9)+(7.262808+(1.17147-1.120878))+0-0-0</f>
        <v>7177.3134</v>
      </c>
      <c r="R109" s="3">
        <f>7062.7+(1029.4-852.1)+(0+(0-0))+0-0-0</f>
        <v>7240</v>
      </c>
      <c r="S109" s="3">
        <f>6962.9+(1010.1-874.4)+(0+(0-0))+0-0-0</f>
        <v>7098.5999999999995</v>
      </c>
      <c r="T109" s="3">
        <f>6818.6+(953.8-715.5)+(-3.477486+(-0.486438--0.364905))+0-0-0</f>
        <v>7053.3009810000003</v>
      </c>
      <c r="U109" s="3">
        <f>6789.2+(958.6-826.3)+(-6.924984+(-0.977772--0.842826))+0-0-0</f>
        <v>6914.4400699999997</v>
      </c>
      <c r="V109" s="3">
        <f>6559.4+(934.6-696.3)+(0+(0-0))+0-0-0</f>
        <v>6797.7</v>
      </c>
      <c r="W109" s="3">
        <f>6675.1+(1150-1148.7)+(-6.808602+(-1.173--1.171674))+0-0-0</f>
        <v>6669.5900720000009</v>
      </c>
      <c r="X109" s="3">
        <f>6785.5+(1329-1612.5)+(0+(0-0))+0-0-0</f>
        <v>6502</v>
      </c>
      <c r="Y109" s="3">
        <f>6586.9+(1113.4-1442.9)+(-16.796595+(-2.83917--3.679395))+0-0-0</f>
        <v>6241.4436299999998</v>
      </c>
      <c r="Z109" s="3">
        <f>6834.4+(1092.1-1583.8)+(3.485544+(0.556971-0.807738))+0-0-0</f>
        <v>6345.9347769999995</v>
      </c>
      <c r="AA109" s="3">
        <f>7179.9+(1084.5-1639.1)+(-7.323498+(-1.10619--1.671882))+0-0-0</f>
        <v>6618.5421939999997</v>
      </c>
      <c r="AB109" s="3">
        <f>7222.5+(1135.3-1913.8)+(0+(0-0))+0-0-0</f>
        <v>6444</v>
      </c>
      <c r="AC109" s="3">
        <f>7158.3+(1175.7-2083.5)+(-7.301466+(-1.199214--2.12517))+0-0-0</f>
        <v>6244.1244900000002</v>
      </c>
      <c r="AD109">
        <v>6547.2999999999993</v>
      </c>
      <c r="AE109" s="3">
        <f>7171+(1083.4-1707.1)+(0+(0-0))+0-0-0</f>
        <v>6547.3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7001.5+(1090-2213.1)+(-14.28306+(-2.2236--4.514724))+0-0-0</f>
        <v>5866.4080639999993</v>
      </c>
      <c r="G110" s="3">
        <f>6882+(822.7-2204.8)+(-10.52946+(-1.258731--3.373344))+0-0-0</f>
        <v>5491.4851529999996</v>
      </c>
      <c r="H110" s="3">
        <f>6615.4+(722.5-2117.8)+(-10.121562+(-1.105425--3.240234))+0-0-0</f>
        <v>5212.1132469999993</v>
      </c>
      <c r="I110" s="3">
        <f>6451.9+(712.5-2148.8)+(-16.452345+(-1.816875--5.47944))+0-0-0</f>
        <v>5002.8102199999994</v>
      </c>
      <c r="J110" s="3">
        <f>6319.2+(546.2-1986)+(-3.222792+(-0.278562--1.01286))+0-0-0</f>
        <v>4876.9115059999995</v>
      </c>
      <c r="K110" s="3">
        <f>6246.7+(456.6-1999.5)+(-9.557451+(-0.698598--3.059235))+0-0-0</f>
        <v>4696.6031859999994</v>
      </c>
      <c r="L110" s="3">
        <f>5585.7+(411.1-1590.6)+(-11.394828+(-0.838644--3.244824))+0-0-0</f>
        <v>4397.2113520000003</v>
      </c>
      <c r="M110" s="3">
        <f>5551.6+(352.7-1472.1)+(-5.662632+(-0.359754--1.501542))+0-0-0</f>
        <v>4427.6791560000011</v>
      </c>
      <c r="N110" s="3">
        <f>5644+(561.8-1545.9)+(2.87844+(0.286518-0.788409))+0-0-0</f>
        <v>4662.2765489999992</v>
      </c>
      <c r="O110" s="3">
        <f>6040.5+(632-1629.4)+(0+(0-0))+0-0-0</f>
        <v>5043.1000000000004</v>
      </c>
      <c r="P110" s="3">
        <f>6609.2+(641.7-1751.7)+(6.741384+(0.654534-1.786734))+0-0-0</f>
        <v>5504.8091839999997</v>
      </c>
      <c r="Q110" s="3">
        <f>6806.2+(686.1-1620)+(6.942324+(0.699822-1.6524))+0-0-0</f>
        <v>5878.2897460000004</v>
      </c>
      <c r="R110" s="3">
        <f>6735.7+(855.3-1603.6)+(3.435207+(0.436203-0.817836))+0-0-0</f>
        <v>5990.4535739999992</v>
      </c>
      <c r="S110" s="3">
        <f>6744.8+(948.3-1676.3)+(0+(0-0))+0-0-0</f>
        <v>6016.8</v>
      </c>
      <c r="T110" s="3">
        <f>6753+(966.4-1715.2)+(-6.88806+(-0.985728--1.749504))+0-0-0</f>
        <v>5998.0757159999994</v>
      </c>
      <c r="U110" s="3">
        <f>6662.1+(940.1-1686.2)+(-10.193013+(-1.438353--2.579886))+0-0-0</f>
        <v>5906.9485199999999</v>
      </c>
      <c r="V110" s="3">
        <f>6583.9+(1061.9-1757.1)+(0+(0-0))+0-0-0</f>
        <v>5888.7</v>
      </c>
      <c r="W110" s="3">
        <f>6560.9+(1171.6-1785.1)+(-3.346059+(-0.597516--0.910401))+0-0-0</f>
        <v>5944.3668259999995</v>
      </c>
      <c r="X110" s="3">
        <f>6505.9+(1239.7-1874.6)+(-16.590045+(-3.161235--4.78023))+0-0-0</f>
        <v>5856.0289499999999</v>
      </c>
      <c r="Y110" s="3">
        <f>6557.3+(957-1742.9)+(-13.376892+(-1.95228--3.555516))+0-0-0</f>
        <v>5759.6263439999993</v>
      </c>
      <c r="Z110" s="3">
        <f>6904.4+(994.7-1894.3)+(3.521244+(0.507297-0.966093))+0-0-0</f>
        <v>6007.8624479999989</v>
      </c>
      <c r="AA110" s="3">
        <f>7078.4+(1082.6-1891.9)+(-18.04992+(-2.76063--4.824345))+0-0-0</f>
        <v>6253.1137949999993</v>
      </c>
      <c r="AB110" s="3">
        <f>7047.7+(1092-1868.5)+(-14.377308+(-2.22768--3.81174))+0-0-0</f>
        <v>6258.4067519999999</v>
      </c>
      <c r="AC110" s="3">
        <f>6892.3+(1148.4-1941.8)+(-3.515073+(-0.585684--0.990318))+0-0-0</f>
        <v>6095.7895610000005</v>
      </c>
      <c r="AD110">
        <v>6335</v>
      </c>
      <c r="AE110" s="3">
        <f>7143+(1120.1-1928.1)+(0+(0-0))+0-0-0</f>
        <v>6335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6826.1+(1003.6-2096.3)+(0+(0-0))+0-0-0</f>
        <v>5733.4</v>
      </c>
      <c r="G111" s="3">
        <f>6560+(746.5-1944.2)+(-13.3824+(-1.52286--3.966168))+0-0-0</f>
        <v>5351.3609080000006</v>
      </c>
      <c r="H111" s="3">
        <f>6322.4+(449.4-1686.3)+(6.448848+(0.458388-1.720026))+0-0-0</f>
        <v>5090.6872100000001</v>
      </c>
      <c r="I111" s="3">
        <f>6275.5+(376.9-1715.2)+(-3.200505+(-0.192219--0.874752))+0-0-0</f>
        <v>4934.6820280000002</v>
      </c>
      <c r="J111" s="3">
        <f>6231.4+(280.3-1639.8)+(-9.534042+(-0.428859--2.508894))+0-0-0</f>
        <v>4864.4459929999994</v>
      </c>
      <c r="K111" s="3">
        <f>6221+(287.4-1735.9)+(-12.69084+(-0.586296--3.541236))+0-0-0</f>
        <v>4762.7641000000003</v>
      </c>
      <c r="L111" s="3">
        <f>5886.1+(325.8-1508.9)+(-6.003822+(-0.332316--1.539078))+0-0-0</f>
        <v>4698.2029400000001</v>
      </c>
      <c r="M111" s="3">
        <f>6153.6+(446.3-1322.5)+(-9.415008+(-0.682839--2.023425))+0-0-0</f>
        <v>5269.3255780000009</v>
      </c>
      <c r="N111" s="3">
        <f>6619.8+(933.4-1432.8)+(0+(0-0))+0-0-0</f>
        <v>6120.4000000000005</v>
      </c>
      <c r="O111" s="3">
        <f>6994.5+(1299.8-1545.7)+(3.567195+(0.662898-0.788307))+0-0-0</f>
        <v>6752.0417860000007</v>
      </c>
      <c r="P111" s="3">
        <f>6972.9+(1301.7-1102.1)+(7.112358+(1.327734-1.124142))+0-0-0</f>
        <v>7179.8159500000002</v>
      </c>
      <c r="Q111" s="3">
        <f>7063.1+(1130.3-733.4)+(0+(0-0))+0-0-0</f>
        <v>7460</v>
      </c>
      <c r="R111" s="3">
        <f>7186.3+(976.2-597.2)+(-3.665013+(-0.497862--0.304572))+0-0-0</f>
        <v>7561.4416970000002</v>
      </c>
      <c r="S111" s="3">
        <f>7202.3+(825.1-542.3)+(-3.673173+(-0.420801--0.276573))+0-0-0</f>
        <v>7481.2825990000001</v>
      </c>
      <c r="T111" s="3">
        <f>7199.1+(887.5-431.3)+(-3.671541+(-0.452625--0.219963))+0-0-0</f>
        <v>7651.3957970000001</v>
      </c>
      <c r="U111" s="3">
        <f>7185.9+(948.8-518.5)+(-10.994427+(-1.451664--0.793305))+0-0-0</f>
        <v>7604.5472140000002</v>
      </c>
      <c r="V111" s="3">
        <f>7176.4+(936-537.5)+(0+(0-0))+0-0-0</f>
        <v>7574.9</v>
      </c>
      <c r="W111" s="3">
        <f>7167.9+(1098.8-866.8)+(-10.966887+(-1.681164--1.326204))+0-0-0</f>
        <v>7388.5781529999995</v>
      </c>
      <c r="X111" s="3">
        <f>7165+(1313-1418.4)+(-21.9249+(-4.01778--4.340304))+0-0-0</f>
        <v>7037.9976240000005</v>
      </c>
      <c r="Y111" s="3">
        <f>7048.5+(878.6-1252.8)+(-7.18947+(-0.896172--1.277856))+0-0-0</f>
        <v>6667.4922139999999</v>
      </c>
      <c r="Z111" s="3">
        <f>7181.1+(818.4-1225.3)+(3.662361+(0.417384-0.624903))+0-0-0</f>
        <v>6777.6548420000008</v>
      </c>
      <c r="AA111" s="3">
        <f>7393.3+(929.5-1305.9)+(-3.770583+(-0.474045--0.666009))+0-0-0</f>
        <v>7013.3213809999997</v>
      </c>
      <c r="AB111" s="3">
        <f>7361.8+(879.1-1424.6)+(-3.754518+(-0.448341--0.726546))+0-0-0</f>
        <v>6812.8236870000001</v>
      </c>
      <c r="AC111" s="3">
        <f>7210.3+(870.6-1585.4)+(3.677253+(0.444006-0.808554))+0-0-0</f>
        <v>6498.8127050000003</v>
      </c>
      <c r="AD111">
        <v>6910</v>
      </c>
      <c r="AE111" s="3">
        <f>7384+(945.9-1419.9)+(0+(0-0))+0-0-0</f>
        <v>6910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6952.8+(893.1-1883.7)+(3.545928+(0.455481-0.960687))+0-0-0</f>
        <v>5965.2407219999996</v>
      </c>
      <c r="G112" s="3">
        <f>6797.4+(849.9-2121.1)+(0+(0-0))+0-0-0</f>
        <v>5526.2</v>
      </c>
      <c r="H112" s="3">
        <f>6684.5+(645.7-2080.1)+(3.409095+(0.329307-1.060851))+0-0-0</f>
        <v>5252.7775510000001</v>
      </c>
      <c r="I112" s="3">
        <f>6661.5+(564.7-2172.9)+(-6.79473+(-0.575994--2.216358))+0-0-0</f>
        <v>5048.1456340000004</v>
      </c>
      <c r="J112" s="3">
        <f>6483.4+(525.4-2021.3)+(-6.613068+(-0.535908--2.061726))+0-0-0</f>
        <v>4982.4127500000004</v>
      </c>
      <c r="K112" s="3">
        <f>6204.9+(574.8-1932.9)+(-15.822495+(-1.46574--4.928895))+0-0-0</f>
        <v>4834.4406599999993</v>
      </c>
      <c r="L112" s="3">
        <f>5944.2+(713.6-1941)+(-9.094626+(-1.091808--2.96973))+0-0-0</f>
        <v>4709.5832959999989</v>
      </c>
      <c r="M112" s="3">
        <f>6073.1+(758.7-1641.8)+(3.097281+(0.386937-0.837318))+0-0-0</f>
        <v>5192.6468999999997</v>
      </c>
      <c r="N112" s="3">
        <f>6596.3+(833.8-1457.3)+(0+(0-0))+0-0-0</f>
        <v>5972.8</v>
      </c>
      <c r="O112" s="3">
        <f>7065.9+(1096.5-1611.2)+(-7.207218+(-1.11843--1.643424))+0-0-0</f>
        <v>6544.5177759999997</v>
      </c>
      <c r="P112" s="3">
        <f>7219.9+(1133.8-1275.2)+(0+(0-0))+0-0-0</f>
        <v>7078.5</v>
      </c>
      <c r="Q112" s="3">
        <f>7207.9+(1060.4-971)+(-7.352058+(-1.081608--0.99042))+0-0-0</f>
        <v>7289.8567539999995</v>
      </c>
      <c r="R112" s="3">
        <f>7220.9+(928.7-724)+(-3.682659+(-0.473637--0.36924))+0-0-0</f>
        <v>7421.8129439999993</v>
      </c>
      <c r="S112" s="3">
        <f>7219.5+(821.7-709.6)+(-3.681945+(-0.419067--0.361896))+0-0-0</f>
        <v>7327.8608840000006</v>
      </c>
      <c r="T112" s="3">
        <f>7144.7+(743.6-405.2)+(-10.931391+(-1.137708--0.619956))+0-0-0</f>
        <v>7471.6508569999996</v>
      </c>
      <c r="U112" s="3">
        <f>7070.1+(773.4-387)+(0+(0-0))+0-0-0</f>
        <v>7456.5</v>
      </c>
      <c r="V112" s="3">
        <f>7068.2+(781-418.7)+(-3.604782+(-0.39831--0.213537))+0-0-0</f>
        <v>7426.7104449999997</v>
      </c>
      <c r="W112" s="3">
        <f>7034.3+(816.1-596.3)+(-17.937465+(-2.081055--1.520565))+0-0-0</f>
        <v>7235.6020450000005</v>
      </c>
      <c r="X112" s="3">
        <f>6999.2+(953.8-1055.6)+(-24.987144+(-3.405066--3.768492))+0-0-0</f>
        <v>6872.7762819999998</v>
      </c>
      <c r="Y112" s="3">
        <f>6828.1+(971.8-1353.1)+(3.482331+(0.495618-0.690081))+0-0-0</f>
        <v>6450.0878680000005</v>
      </c>
      <c r="Z112" s="3">
        <f>7166.3+(1002.2-1581.7)+(7.309626+(1.022244-1.613334))+0-0-0</f>
        <v>6593.5185360000005</v>
      </c>
      <c r="AA112" s="3">
        <f>7390.4+(957.8-1476.7)+(-18.84552+(-2.44239--3.765585))+0-0-0</f>
        <v>6853.9776750000001</v>
      </c>
      <c r="AB112" s="3">
        <f>7270.3+(890.4-1503.3)+(-11.123559+(-1.362312--2.300049))+0-0-0</f>
        <v>6647.2141780000002</v>
      </c>
      <c r="AC112" s="3">
        <f>7091.9+(789.5-1506.8)+(-3.616869+(-0.402645--0.768468))+0-0-0</f>
        <v>6371.3489539999991</v>
      </c>
      <c r="AD112">
        <v>6887.0999999999995</v>
      </c>
      <c r="AE112" s="3">
        <f>7437+(936.4-1486.3)+(0+(0-0))+0-0-0</f>
        <v>6887.1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6835.8+(766.2-1698.2)+(-10.458774+(-1.172286--2.598246))+0-0-0</f>
        <v>5894.767186</v>
      </c>
      <c r="G113" s="3">
        <f>6388.2+(749-1728.8)+(-16.28991+(-1.90995--4.40844))+0-0-0</f>
        <v>5394.6085800000001</v>
      </c>
      <c r="H113" s="3">
        <f>6081.7+(605.6-1554.3)+(-3.101667+(-0.308856--0.792693))+0-0-0</f>
        <v>5130.3821699999999</v>
      </c>
      <c r="I113" s="3">
        <f>6025.2+(574.9-1612.7)+(-9.218556+(-0.879597--2.467431))+0-0-0</f>
        <v>4979.7692779999998</v>
      </c>
      <c r="J113" s="3">
        <f>6051.3+(512.3-1665.7)+(-3.086163+(-0.261273--0.849507))+0-0-0</f>
        <v>4895.4020709999995</v>
      </c>
      <c r="K113" s="3">
        <f>5931.1+(467.1-1594.8)+(-30.24861+(-2.38221--8.13348))+0-0-0</f>
        <v>4778.9026600000007</v>
      </c>
      <c r="L113" s="3">
        <f>5656.3+(693.9-1677.6)+(-17.308278+(-2.123334--5.133456))+0-0-0</f>
        <v>4658.3018440000005</v>
      </c>
      <c r="M113" s="3">
        <f>6099.4+(816.7-1624.1)+(6.221388+(0.833034-1.656582))+0-0-0</f>
        <v>5297.3978399999996</v>
      </c>
      <c r="N113" s="3">
        <f>6595.9+(989.3-1492.1)+(6.727818+(1.009086-1.521942))+0-0-0</f>
        <v>6099.3149619999995</v>
      </c>
      <c r="O113" s="3">
        <f>6842.7+(1168.9-1386.9)+(-6.979554+(-1.192278--1.414638))+0-0-0</f>
        <v>6617.942806</v>
      </c>
      <c r="P113" s="3">
        <f>7084.3+(1178-1181)+(3.612993+(0.60078-0.60231))+0-0-0</f>
        <v>7084.9114630000004</v>
      </c>
      <c r="Q113" s="3">
        <f>7121+(1173-1044.6)+(3.63171+(0.59823-0.532746))+0-0-0</f>
        <v>7253.0971939999999</v>
      </c>
      <c r="R113" s="3">
        <f>7079.8+(1199.2-947.8)+(0+(0-0))+0-0-0</f>
        <v>7331.2000000000007</v>
      </c>
      <c r="S113" s="3">
        <f>7188.8+(1229.9-1078.4)+(3.666288+(0.627249-0.549984))+0-0-0</f>
        <v>7344.0435530000004</v>
      </c>
      <c r="T113" s="3">
        <f>7200.4+(1269.6-982.2)+(7.344408+(1.294992-1.001844))+0-0-0</f>
        <v>7495.4375559999989</v>
      </c>
      <c r="U113" s="3">
        <f>7168.9+(1277-966.8)+(-10.968417+(-1.95381--1.479204))+0-0-0</f>
        <v>7467.6569769999996</v>
      </c>
      <c r="V113" s="3">
        <f>7128.7+(1273.2-983.3)+(-3.635637+(-0.649332--0.501483))+0-0-0</f>
        <v>7414.8165140000001</v>
      </c>
      <c r="W113" s="3">
        <f>7103.8+(1398.4-1260.4)+(-14.491752+(-2.852736--2.571216))+0-0-0</f>
        <v>7227.0267279999998</v>
      </c>
      <c r="X113" s="3">
        <f>7033.2+(1353.8-1478.5)+(-14.347728+(-2.761752--3.01614))+0-0-0</f>
        <v>6894.4066599999996</v>
      </c>
      <c r="Y113" s="3">
        <f>6809.3+(1177.8-1496.5)+(-10.418229+(-1.802034--2.289645))+0-0-0</f>
        <v>6480.669382</v>
      </c>
      <c r="Z113" s="3">
        <f>7003.4+(1258.3-1616.4)+(3.571734+(0.641733-0.824364))+0-0-0</f>
        <v>6648.6891029999997</v>
      </c>
      <c r="AA113" s="3">
        <f>7422+(1285.5-1810.8)+(-11.35566+(-1.966815--2.770524))+0-0-0</f>
        <v>6886.1480489999994</v>
      </c>
      <c r="AB113" s="3">
        <f>7416.9+(1218.3-1943.9)+(-3.782619+(-0.621333--0.991389))+0-0-0</f>
        <v>6687.8874369999994</v>
      </c>
      <c r="AC113" s="3">
        <f>7224.1+(1108.9-1910.3)+(-7.368582+(-1.131078--1.948506))+0-0-0</f>
        <v>6416.148846000001</v>
      </c>
      <c r="AD113">
        <v>6755.9000000000005</v>
      </c>
      <c r="AE113" s="3">
        <f>7373+(1310.2-1927.3)+(0+(0-0))+0-0-0</f>
        <v>6755.9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6823.1+(1012.6-1905.8)+(-6.959562+(-1.032852--1.943916))+0-0-0</f>
        <v>5923.8515020000004</v>
      </c>
      <c r="G114" s="3">
        <f>6469.2+(786.5-1646)+(-19.795752+(-2.40669--5.03676))+0-0-0</f>
        <v>5592.534318</v>
      </c>
      <c r="H114" s="3">
        <f>6146.7+(685.8-1734.4)+(-3.134817+(-0.349758--0.884544))+0-0-0</f>
        <v>5095.4999689999995</v>
      </c>
      <c r="I114" s="3">
        <f>5951.2+(597.2-1604.2)+(-12.140448+(-1.218288--3.272568))+0-0-0</f>
        <v>4934.113832</v>
      </c>
      <c r="J114" s="3">
        <f>6020.8+(611.4-1775.7)+(3.070608+(0.311814-0.905607))+0-0-0</f>
        <v>4858.976815</v>
      </c>
      <c r="K114" s="3">
        <f>5944.8+(713.2-1895)+(-3.031848+(-0.363732--0.96645))+0-0-0</f>
        <v>4760.5708699999996</v>
      </c>
      <c r="L114" s="3">
        <f>5441+(653.9-1443.2)+(-13.87455+(-1.667445--3.68016))+0-0-0</f>
        <v>4639.8381650000001</v>
      </c>
      <c r="M114" s="3">
        <f>5762.6+(671.4-1317.6)+(0+(0-0))+0-0-0</f>
        <v>5116.4000000000005</v>
      </c>
      <c r="N114" s="3">
        <f>6371.8+(941.4-1468.8)+(0+(0-0))+0-0-0</f>
        <v>5844.4000000000005</v>
      </c>
      <c r="O114" s="3">
        <f>7088.7+(1232.7-1602.9)+(3.615237+(0.628677-0.817479))+0-0-0</f>
        <v>6721.9264350000003</v>
      </c>
      <c r="P114" s="3">
        <f>7135.7+(1500.7-1611.8)+(-3.639207+(-0.765357--0.822018))+0-0-0</f>
        <v>7021.0174540000007</v>
      </c>
      <c r="Q114" s="3">
        <f>7168.5+(1524.2-1415.2)+(7.31187+(1.554684-1.443504))+0-0-0</f>
        <v>7284.9230500000003</v>
      </c>
      <c r="R114" s="3">
        <f>7200.8+(1548-1345.4)+(14.689632+(3.15792-2.744616))+0-0-0</f>
        <v>7418.5029359999999</v>
      </c>
      <c r="S114" s="3">
        <f>7152.3+(1531.8-1354.3)+(-3.647673+(-0.781218--0.690693))+0-0-0</f>
        <v>7326.0618020000002</v>
      </c>
      <c r="T114" s="3">
        <f>7175.4+(1464.5-1139.8)+(-3.659454+(-0.746895--0.581298))+0-0-0</f>
        <v>7496.2749489999997</v>
      </c>
      <c r="U114" s="3">
        <f>7136.9+(1414.6-1063.9)+(-7.279638+(-1.442892--1.085178))+0-0-0</f>
        <v>7479.9626479999997</v>
      </c>
      <c r="V114" s="3">
        <f>7116.1+(1320.9-1002.4)+(-7.258422+(-1.347318--1.022448))+0-0-0</f>
        <v>7427.0167080000001</v>
      </c>
      <c r="W114" s="3">
        <f>7097.4+(1427.6-1259.2)+(-10.859022+(-2.184228--1.926576))+0-0-0</f>
        <v>7254.6833259999994</v>
      </c>
      <c r="X114" s="3">
        <f>6970.2+(1384.3-1428.4)+(-21.328812+(-4.235958--4.370904))+0-0-0</f>
        <v>6904.9061339999998</v>
      </c>
      <c r="Y114" s="3">
        <f>6780.4+(1108.5-1307.4)+(-6.916008+(-1.13067--1.333548))+0-0-0</f>
        <v>6574.7868699999999</v>
      </c>
      <c r="Z114" s="3">
        <f>7030+(1145-1525.2)+(10.7559+(1.75185-2.333556))+0-0-0</f>
        <v>6659.9741940000004</v>
      </c>
      <c r="AA114" s="3">
        <f>7457.3+(1103-1701.4)+(-11.409669+(-1.68759--2.603142))+0-0-0</f>
        <v>6848.4058829999994</v>
      </c>
      <c r="AB114" s="3">
        <f>7538.2+(1087.9-1991)+(7.688964+(1.109658-2.03082))+0-0-0</f>
        <v>6641.8678020000007</v>
      </c>
      <c r="AC114" s="3">
        <f>7470.4+(1068.1-2188.9)+(-15.239616+(-2.178924--4.465356))+0-0-0</f>
        <v>6336.6468159999995</v>
      </c>
      <c r="AD114">
        <v>6807.7</v>
      </c>
      <c r="AE114" s="3">
        <f>7466+(1103.9-1762.2)+(0+(0-0))+0-0-0</f>
        <v>6807.7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7149.5+(899.3-2261.3)+(0+(0-0))+0-0-0</f>
        <v>5787.5</v>
      </c>
      <c r="G115" s="3">
        <f>6749.3+(685.1-2079.6)+(0+(0-0))+0-0-0</f>
        <v>5354.8</v>
      </c>
      <c r="H115" s="3">
        <f>6741.8+(547.4-2182.2)+(-10.314954+(-0.837522--3.338766))+0-0-0</f>
        <v>5099.1862899999996</v>
      </c>
      <c r="I115" s="3">
        <f>6728+(439-2205.2)+(-13.72512+(-0.89556--4.498608))+0-0-0</f>
        <v>4951.6779280000001</v>
      </c>
      <c r="J115" s="3">
        <f>6505.8+(325.9-1934.8)+(-9.953874+(-0.498627--2.960244))+0-0-0</f>
        <v>4889.4077429999998</v>
      </c>
      <c r="K115" s="3">
        <f>6011.5+(548.4-1763.6)+(-21.461055+(-1.957788--6.296052))+0-0-0</f>
        <v>4779.1772090000004</v>
      </c>
      <c r="L115" s="3">
        <f>6074.3+(631.6-1995)+(-21.685251+(-2.254812--7.12215))+0-0-0</f>
        <v>4694.0820869999998</v>
      </c>
      <c r="M115" s="3">
        <f>6196.7+(715.6-1744.7)+(6.320634+(0.729912-1.779594))+0-0-0</f>
        <v>5172.8709520000002</v>
      </c>
      <c r="N115" s="3">
        <f>6267.1+(1124.3-1554.4)+(9.588663+(1.720179-2.378232))+0-0-0</f>
        <v>5845.9306100000003</v>
      </c>
      <c r="O115" s="3">
        <f>6824.7+(1072.2-1357.4)+(0+(0-0))+0-0-0</f>
        <v>6539.5</v>
      </c>
      <c r="P115" s="3">
        <f>7005.4+(1247-1239.7)+(0+(0-0))+0-0-0</f>
        <v>7012.7</v>
      </c>
      <c r="Q115" s="3">
        <f>7129.2+(1444.2-1298.1)+(-10.907676+(-2.209626--1.986093))+0-0-0</f>
        <v>7264.1687910000001</v>
      </c>
      <c r="R115" s="3">
        <f>7165.7+(1491.2-1221.7)+(-10.963521+(-2.281536--1.869201))+0-0-0</f>
        <v>7423.8241440000002</v>
      </c>
      <c r="S115" s="3">
        <f>7135.5+(1415.9-1216.4)+(-7.27821+(-1.444218--1.240728))+0-0-0</f>
        <v>7327.5182999999997</v>
      </c>
      <c r="T115" s="3">
        <f>7063.9+(1422.3-1000)+(-14.410356+(-2.901492--2.04))+0-0-0</f>
        <v>7470.9281519999995</v>
      </c>
      <c r="U115" s="3">
        <f>6999.5+(1395.5-927.5)+(-17.848725+(-3.558525--2.365125))+0-0-0</f>
        <v>7448.4578750000001</v>
      </c>
      <c r="V115" s="3">
        <f>6940.7+(1432.5-992.4)+(-21.238542+(-4.38345--3.036744))+0-0-0</f>
        <v>7358.2147519999999</v>
      </c>
      <c r="W115" s="3">
        <f>6927.1+(1642.5-1365.1)+(-21.196926+(-5.02605--4.177206))+0-0-0</f>
        <v>7182.4542300000003</v>
      </c>
      <c r="X115" s="3">
        <f>6855.1+(1780.9-1740.5)+(-20.976606+(-5.449554--5.32593))+0-0-0</f>
        <v>6874.39977</v>
      </c>
      <c r="Y115" s="3">
        <f>6453.6+(1356.9-1317.4)+(-16.45668+(-3.460095--3.35937))+0-0-0</f>
        <v>6476.5425950000008</v>
      </c>
      <c r="Z115" s="3">
        <f>6903.4+(1328.9-1594.3)+(0+(0-0))+0-0-0</f>
        <v>6638</v>
      </c>
      <c r="AA115" s="3">
        <f>7379.9+(1360.1-1831.4)+(-18.818745+(-3.468255--4.67007))+0-0-0</f>
        <v>6890.9830699999993</v>
      </c>
      <c r="AB115" s="3">
        <f>7308.5+(1336.6-1977.7)+(-29.81868+(-5.453328--8.069016))+0-0-0</f>
        <v>6640.1970079999992</v>
      </c>
      <c r="AC115" s="3">
        <f>7139.2+(1284.6-2016.7)+(-3.640992+(-0.655146--1.028517))+0-0-0</f>
        <v>6403.8323789999995</v>
      </c>
      <c r="AD115">
        <v>6824.3</v>
      </c>
      <c r="AE115" s="3">
        <f>7350+(1350.1-1875.8)+(0+(0-0))+0-0-0</f>
        <v>6824.3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6785.4+(1204.8-2069.5)+(0+(0-0))+0-0-0</f>
        <v>5920.7</v>
      </c>
      <c r="G116" s="3">
        <f>6716.6+(973.9-2234.6)+(3.425466+(0.496689-1.139646))+0-0-0</f>
        <v>5458.6825090000002</v>
      </c>
      <c r="H116" s="3">
        <f>6608.4+(522.3-2020.6)+(-3.370284+(-0.266373--1.030506))+0-0-0</f>
        <v>5107.4938489999995</v>
      </c>
      <c r="I116" s="3">
        <f>6447.8+(398.7-1854)+(-3.288378+(-0.203337--0.94554))+0-0-0</f>
        <v>4989.9538249999996</v>
      </c>
      <c r="J116" s="3">
        <f>6251.4+(413.5-1755.7)+(-9.564642+(-0.632655--2.686221))+0-0-0</f>
        <v>4901.688924</v>
      </c>
      <c r="K116" s="3">
        <f>5770.4+(466.3-1585.2)+(-14.71452+(-1.189065--4.04226))+0-0-0</f>
        <v>4639.6386750000001</v>
      </c>
      <c r="L116" s="3">
        <f>5838.5+(535.1-1677.3)+(-5.95527+(-0.545802--1.710846))+0-0-0</f>
        <v>4691.5097740000001</v>
      </c>
      <c r="M116" s="3">
        <f>5942.5+(608.9-1500.3)+(3.030675+(0.310539-0.765153))+0-0-0</f>
        <v>5053.6760610000001</v>
      </c>
      <c r="N116" s="3">
        <f>6404.2+(719.4-1323.3)+(3.266142+(0.366894-0.674883))+0-0-0</f>
        <v>5803.2581529999998</v>
      </c>
      <c r="O116" s="3">
        <f>6900.7+(1069.1-1605.9)+(-7.038714+(-1.090482--1.638018))+0-0-0</f>
        <v>6357.4088219999994</v>
      </c>
      <c r="P116" s="3">
        <f>7051.6+(1160.3-1461)+(0+(0-0))+0-0-0</f>
        <v>6750.9000000000005</v>
      </c>
      <c r="Q116" s="3">
        <f>7114.9+(1399.4-1476.5)+(7.257198+(1.427388-1.50603))+0-0-0</f>
        <v>7044.9785559999991</v>
      </c>
      <c r="R116" s="3">
        <f>7120.7+(1427.6-1424.9)+(0+(0-0))+0-0-0</f>
        <v>7123.4</v>
      </c>
      <c r="S116" s="3">
        <f>7064.4+(1426.1-1520.7)+(-14.411376+(-2.909244--3.102228))+0-0-0</f>
        <v>6955.5816079999995</v>
      </c>
      <c r="T116" s="3">
        <f>7070.2+(1407-1527.7)+(-14.423208+(-2.87028--3.116508))+0-0-0</f>
        <v>6935.3230199999998</v>
      </c>
      <c r="U116" s="3">
        <f>7020.1+(1481-1667.1)+(-17.901255+(-3.77655--4.251105))+0-0-0</f>
        <v>6816.5733</v>
      </c>
      <c r="V116" s="3">
        <f>6979.3+(1568.7-1802.3)+(-14.237772+(-3.200148--3.676692))+0-0-0</f>
        <v>6731.9387720000004</v>
      </c>
      <c r="W116" s="3">
        <f>6854.6+(1751.9-1972.6)+(-17.47923+(-4.467345--5.03013))+0-0-0</f>
        <v>6616.9835550000007</v>
      </c>
      <c r="X116" s="3">
        <f>6823.9+(1608.3-2000.8)+(-27.841512+(-6.561864--8.163264))+0-0-0</f>
        <v>6405.1598879999992</v>
      </c>
      <c r="Y116" s="3">
        <f>6638.7+(1038.5-1536.9)+(-20.314422+(-3.17781--4.702914))+0-0-0</f>
        <v>6121.5106819999992</v>
      </c>
      <c r="Z116" s="3">
        <f>6951.9+(1141.6-1799.5)+(-3.545469+(-0.582216--0.917745))+0-0-0</f>
        <v>6290.7900600000003</v>
      </c>
      <c r="AA116" s="3">
        <f>7199.3+(1022.1-1711.2)+(-22.029858+(-3.127626--5.236272))+0-0-0</f>
        <v>6490.2787879999996</v>
      </c>
      <c r="AB116" s="3">
        <f>7238.7+(1097.9-2003.2)+(-14.766948+(-2.239716--4.086528))+0-0-0</f>
        <v>6320.4798639999999</v>
      </c>
      <c r="AC116" s="3">
        <f>7215.7+(1000.8-2100.2)+(3.680007+(0.510408-1.071102))+0-0-0</f>
        <v>6119.4193130000003</v>
      </c>
      <c r="AD116">
        <v>6424.9000000000005</v>
      </c>
      <c r="AE116" s="3">
        <f>7204+(1110.7-1889.8)+(0+(0-0))+0-0-0</f>
        <v>6424.9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7093.8+(1023.8-2337.9)+(3.617838+(0.522138-1.192329))+0-0-0</f>
        <v>5782.6476469999998</v>
      </c>
      <c r="G117" s="3">
        <f>6778.6+(1053-2348.9)+(-6.914172+(-1.07406--2.395878))+0-0-0</f>
        <v>5477.1076460000004</v>
      </c>
      <c r="H117" s="3">
        <f>6573.9+(858.5-2247.4)+(-10.058067+(-1.313505--3.438522))+0-0-0</f>
        <v>5177.0669500000004</v>
      </c>
      <c r="I117" s="3">
        <f>6477.9+(642.3-2225.5)+(-3.303729+(-0.327573--1.135005))+0-0-0</f>
        <v>4892.2037030000001</v>
      </c>
      <c r="J117" s="3">
        <f>6570.8+(587.4-2314.2)+(3.351108+(0.299574-1.180242))+0-0-0</f>
        <v>4846.4704400000001</v>
      </c>
      <c r="K117" s="3">
        <f>6258.4+(633.2-2281.2)+(-22.342488+(-2.260524--8.143884))+0-0-0</f>
        <v>4593.9408719999992</v>
      </c>
      <c r="L117" s="3">
        <f>5855.8+(591.2-2052)+(-8.959374+(-0.904536--3.13956))+0-0-0</f>
        <v>4388.2756499999996</v>
      </c>
      <c r="M117" s="3">
        <f>5716.5+(540.7-1967.6)+(-11.66166+(-1.103028--4.013904))+0-0-0</f>
        <v>4280.8492160000005</v>
      </c>
      <c r="N117" s="3">
        <f>5730.6+(584-1825.8)+(-5.845212+(-0.59568--1.862316))+0-0-0</f>
        <v>4484.2214240000003</v>
      </c>
      <c r="O117" s="3">
        <f>6016.2+(755.4-1825.1)+(0+(0-0))+0-0-0</f>
        <v>4946.5</v>
      </c>
      <c r="P117" s="3">
        <f>6289+(973.7-1988.3)+(9.62217+(1.489761-3.042099))+0-0-0</f>
        <v>5282.4698319999998</v>
      </c>
      <c r="Q117" s="3">
        <f>6435.9+(974.6-1885.7)+(6.564618+(0.994092-1.923414))+0-0-0</f>
        <v>5530.4352959999997</v>
      </c>
      <c r="R117" s="3">
        <f>6700.1+(915.5-1944.8)+(-3.417051+(-0.466905--0.991848))+0-0-0</f>
        <v>5667.9078920000002</v>
      </c>
      <c r="S117" s="3">
        <f>6692.4+(974.5-1972.9)+(6.826248+(0.99399-2.012358))+0-0-0</f>
        <v>5699.8078800000003</v>
      </c>
      <c r="T117" s="3">
        <f>6682.6+(878.8-1941.3)+(0+(0-0))+0-0-0</f>
        <v>5620.1</v>
      </c>
      <c r="U117" s="3">
        <f>6824.1+(795.8-2073.8)+(-6.960582+(-0.811716--2.115276))+0-0-0</f>
        <v>5540.442978</v>
      </c>
      <c r="V117" s="3">
        <f>6802.7+(852.8-2115.7)+(-13.877508+(-1.739712--4.316028))+0-0-0</f>
        <v>5528.4988080000003</v>
      </c>
      <c r="W117" s="3">
        <f>6813.8+(887.3-2150.7)+(-3.475038+(-0.452523--1.096857))+0-0-0</f>
        <v>5547.5692960000006</v>
      </c>
      <c r="X117" s="3">
        <f>6738.7+(910-2145)+(-3.436737+(-0.4641--1.09395))+0-0-0</f>
        <v>5500.8931130000001</v>
      </c>
      <c r="Y117" s="3">
        <f>6438.5+(830.1-1847.9)+(-13.13454+(-1.693404--3.769716))+0-0-0</f>
        <v>5409.6417719999999</v>
      </c>
      <c r="Z117" s="3">
        <f>6770.7+(785.2-1840.6)+(-6.906114+(-0.800904--1.877412))+0-0-0</f>
        <v>5709.4703939999999</v>
      </c>
      <c r="AA117" s="3">
        <f>7203.2+(775.7-1952.5)+(-11.020896+(-1.186821--2.987325))+0-0-0</f>
        <v>6017.1796079999995</v>
      </c>
      <c r="AB117" s="3">
        <f>7154.4+(749.5-1941.5)+(-21.892464+(-2.29347--5.94099))+0-0-0</f>
        <v>5944.1550559999996</v>
      </c>
      <c r="AC117" s="3">
        <f>6937.3+(808.7-1961)+(10.614069+(1.237311-3.00033))+0-0-0</f>
        <v>5793.8510500000002</v>
      </c>
      <c r="AD117">
        <v>6033.1</v>
      </c>
      <c r="AE117" s="3">
        <f>7187+(744.5-1898.4)+(0+(0-0))+0-0-0</f>
        <v>6033.1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6896.7+(696.9-2089.1)+(-7.034634+(-0.710838--2.130882))+0-0-0</f>
        <v>5498.8854099999999</v>
      </c>
      <c r="G118" s="3">
        <f>6737.8+(600.6-2243.2)+(-24.053946+(-2.144142--8.008224))+0-0-0</f>
        <v>5077.0101360000008</v>
      </c>
      <c r="H118" s="3">
        <f>6413.3+(556.5-2145.9)+(0+(0-0))+0-0-0</f>
        <v>4823.8999999999996</v>
      </c>
      <c r="I118" s="3">
        <f>6196+(453.5-2087.2)+(-3.15996+(-0.231285--1.064472))+0-0-0</f>
        <v>4559.9732270000004</v>
      </c>
      <c r="J118" s="3">
        <f>6045.6+(427.2-1945.8)+(0+(0-0))+0-0-0</f>
        <v>4527</v>
      </c>
      <c r="K118" s="3">
        <f>5826+(441.9-1872.7)+(2.97126+(0.225369-0.955077))+0-0-0</f>
        <v>4397.4415520000002</v>
      </c>
      <c r="L118" s="3">
        <f>5443.5+(549.7-1660.8)+(-11.10474+(-1.121388--3.388032))+0-0-0</f>
        <v>4323.5619039999992</v>
      </c>
      <c r="M118" s="3">
        <f>5738.3+(566.4-1573.5)+(0+(0-0))+0-0-0</f>
        <v>4731.2</v>
      </c>
      <c r="N118" s="3">
        <f>6373.9+(810.8-1760.1)+(-3.250689+(-0.413508--0.897651))+0-0-0</f>
        <v>5421.8334539999996</v>
      </c>
      <c r="O118" s="3">
        <f>6788.8+(820.3-1637.2)+(0+(0-0))+0-0-0</f>
        <v>5971.9</v>
      </c>
      <c r="P118" s="3">
        <f>6875.4+(1099.4-1576.5)+(0+(0-0))+0-0-0</f>
        <v>6398.2999999999993</v>
      </c>
      <c r="Q118" s="3">
        <f>6857.6+(1195.7-1384.9)+(3.497376+(0.609807-0.706299))+0-0-0</f>
        <v>6671.8008840000002</v>
      </c>
      <c r="R118" s="3">
        <f>6881.9+(1156.9-1289.7)+(0+(0-0))+0-0-0</f>
        <v>6749.0999999999995</v>
      </c>
      <c r="S118" s="3">
        <f>6844.7+(947.8-1142.9)+(0+(0-0))+0-0-0</f>
        <v>6649.5999999999995</v>
      </c>
      <c r="T118" s="3">
        <f>6884.6+(924.9-1081.6)+(-7.022292+(-0.943398--1.103232))+0-0-0</f>
        <v>6721.0375420000009</v>
      </c>
      <c r="U118" s="3">
        <f>6906+(948.4-1165.6)+(-7.04412+(-0.967368--1.188912))+0-0-0</f>
        <v>6681.9774240000006</v>
      </c>
      <c r="V118" s="3">
        <f>6926.7+(959.8-1294.8)+(0+(0-0))+0-0-0</f>
        <v>6591.7</v>
      </c>
      <c r="W118" s="3">
        <f>6913.2+(1090.7-1588.5)+(-3.525732+(-0.556257--0.810135))+0-0-0</f>
        <v>6412.128146</v>
      </c>
      <c r="X118" s="3">
        <f>6809.6+(1160.8-1861.5)+(-6.945792+(-1.184016--1.89873))+0-0-0</f>
        <v>6102.6689220000007</v>
      </c>
      <c r="Y118" s="3">
        <f>6605.1+(1027.6-1743.1)+(-3.368601+(-0.524076--0.888981))+0-0-0</f>
        <v>5886.5963040000006</v>
      </c>
      <c r="Z118" s="3">
        <f>6884.2+(932.2-1799.2)+(3.510942+(0.475422-0.917592))+0-0-0</f>
        <v>6020.2687719999994</v>
      </c>
      <c r="AA118" s="3">
        <f>7141.2+(1049.9-2020.5)+(-21.852072+(-3.212694--6.18273))+0-0-0</f>
        <v>6151.7179640000004</v>
      </c>
      <c r="AB118" s="3">
        <f>6910.3+(1098.2-2006.9)+(-10.572759+(-1.680246--3.070557))+0-0-0</f>
        <v>5992.4175520000008</v>
      </c>
      <c r="AC118" s="3">
        <f>6777.4+(1135.8-2088.4)+(-6.912948+(-1.158516--2.130168))+0-0-0</f>
        <v>5818.8587039999993</v>
      </c>
      <c r="AD118">
        <v>6142.2</v>
      </c>
      <c r="AE118" s="3">
        <f>7113+(1074.2-2045)+(0+(0-0))+0-0-0</f>
        <v>6142.2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6649.9+(889.8-2059.2)+(-6.782898+(-0.907596--2.100384))+0-0-0</f>
        <v>5474.9098899999999</v>
      </c>
      <c r="G119" s="3">
        <f>6387+(787.2-1998)+(-13.02948+(-1.605888--4.07592))+0-0-0</f>
        <v>5165.6405519999998</v>
      </c>
      <c r="H119" s="3">
        <f>6034.4+(572.5-1715.7)+(-9.232632+(-0.875925--2.625021))+0-0-0</f>
        <v>4883.7164640000001</v>
      </c>
      <c r="I119" s="3">
        <f>5875.6+(563.4-1730.7)+(-5.993112+(-0.574668--1.765314))+0-0-0</f>
        <v>4703.4975340000001</v>
      </c>
      <c r="J119" s="3">
        <f>5840.1+(663.2-1884.8)+(-14.892255+(-1.69116--4.80624))+0-0-0</f>
        <v>4606.7228249999998</v>
      </c>
      <c r="K119" s="3">
        <f>5561.1+(650.1-1726.9)+(-14.180805+(-1.657755--4.403595))+0-0-0</f>
        <v>4472.8650349999998</v>
      </c>
      <c r="L119" s="3">
        <f>5126.2+(600.3-1496.3)+(-15.686172+(-1.836918--4.578678))+0-0-0</f>
        <v>4217.255588</v>
      </c>
      <c r="M119" s="3">
        <f>5091.8+(538.1-1427.4)+(-2.596818+(-0.274431--0.727974))+0-0-0</f>
        <v>4200.3567249999996</v>
      </c>
      <c r="N119" s="3">
        <f>5601.2+(514.3-1640.5)+(-2.856612+(-0.262293--0.836655))+0-0-0</f>
        <v>4472.7177499999998</v>
      </c>
      <c r="O119" s="3">
        <f>5884.1+(497.8-1618.2)+(-3.000891+(-0.253878--0.825282))+0-0-0</f>
        <v>4761.2705130000004</v>
      </c>
      <c r="P119" s="3">
        <f>6283.9+(660.7-1772)+(0+(0-0))+0-0-0</f>
        <v>5172.5999999999995</v>
      </c>
      <c r="Q119" s="3">
        <f>6501.5+(761.9-1893)+(-3.315765+(-0.388569--0.96543))+0-0-0</f>
        <v>5367.6610959999998</v>
      </c>
      <c r="R119" s="3">
        <f>6517.6+(778.8-1775.9)+(-9.971928+(-1.191564--2.717127))+0-0-0</f>
        <v>5512.0536350000002</v>
      </c>
      <c r="S119" s="3">
        <f>6527.5+(654.4-1630.8)+(-6.65805+(-0.667488--1.663416))+0-0-0</f>
        <v>5545.4378780000006</v>
      </c>
      <c r="T119" s="3">
        <f>6504.7+(536.4-1477)+(-6.634794+(-0.547128--1.50654))+0-0-0</f>
        <v>5558.4246179999991</v>
      </c>
      <c r="U119" s="3">
        <f>6473.4+(529.5-1489.6)+(-3.301434+(-0.270045--0.759696))+0-0-0</f>
        <v>5510.4882169999992</v>
      </c>
      <c r="V119" s="3">
        <f>6435.9+(623.9-1580.6)+(-13.129236+(-1.272756--3.224424))+0-0-0</f>
        <v>5468.0224319999998</v>
      </c>
      <c r="W119" s="3">
        <f>6511.8+(816.5-1843.5)+(-19.926108+(-2.49849--5.64111))+0-0-0</f>
        <v>5468.0165120000001</v>
      </c>
      <c r="X119" s="3">
        <f>6431.7+(999.4-1993.5)+(-13.120668+(-2.038776--4.06674))+0-0-0</f>
        <v>5426.5072959999998</v>
      </c>
      <c r="Y119" s="3">
        <f>6187.2+(714-1525.1)+(-3.155472+(-0.36414--0.777801))+0-0-0</f>
        <v>5373.3581890000005</v>
      </c>
      <c r="Z119" s="3">
        <f>6640+(771-1752.5)+(-3.3864+(-0.39321--0.893775))+0-0-0</f>
        <v>5655.614165</v>
      </c>
      <c r="AA119" s="3">
        <f>6910.4+(661.6-1648.9)+(-14.097216+(-1.349664--3.363756))+0-0-0</f>
        <v>5911.0168759999997</v>
      </c>
      <c r="AB119" s="3">
        <f>6951.6+(748.8-1857.6)+(-14.181264+(-1.527552--3.789504))+0-0-0</f>
        <v>5830.8806880000002</v>
      </c>
      <c r="AC119" s="3">
        <f>6892.9+(877.8-2066.1)+(-10.546137+(-1.343034--3.161133))+0-0-0</f>
        <v>5695.8719619999993</v>
      </c>
      <c r="AD119">
        <v>5919.5999999999995</v>
      </c>
      <c r="AE119" s="3">
        <f>6950+(647.9-1678.3)+(0+(0-0))+0-0-0</f>
        <v>5919.6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6655.4+(1016.5-2324.2)+(-16.97127+(-2.592075--5.92671))+0-0-0</f>
        <v>5334.063365</v>
      </c>
      <c r="G120" s="3">
        <f>6394.9+(904-2315.7)+(-22.829793+(-3.22728--8.267049))+0-0-0</f>
        <v>4965.4099759999999</v>
      </c>
      <c r="H120" s="3">
        <f>6272.5+(681-2215.8)+(0+(0-0))+0-0-0</f>
        <v>4737.7</v>
      </c>
      <c r="I120" s="3">
        <f>6215.3+(537.2-2163.8)+(-28.528227+(-2.465748--9.931842))+0-0-0</f>
        <v>4567.6378669999995</v>
      </c>
      <c r="J120" s="3">
        <f>6107.2+(512-2097)+(-6.229344+(-0.52224--2.13894))+0-0-0</f>
        <v>4517.587356</v>
      </c>
      <c r="K120" s="3">
        <f>6001+(479.3-2010.8)+(-27.54459+(-2.199987--9.229572))+0-0-0</f>
        <v>4448.9849949999998</v>
      </c>
      <c r="L120" s="3">
        <f>5830.3+(589.8-2018.8)+(-23.787624+(-2.406384--8.236704))+0-0-0</f>
        <v>4383.3426960000006</v>
      </c>
      <c r="M120" s="3">
        <f>6071.1+(599-1750.3)+(3.096261+(0.30549-0.892653))+0-0-0</f>
        <v>4922.3090980000006</v>
      </c>
      <c r="N120" s="3">
        <f>6801.5+(761.9-1915)+(0+(0-0))+0-0-0</f>
        <v>5648.4</v>
      </c>
      <c r="O120" s="3">
        <f>7134.5+(1071.2-1971.9)+(0+(0-0))+0-0-0</f>
        <v>6233.8</v>
      </c>
      <c r="P120" s="3">
        <f>7128.5+(1264.8-1713.1)+(3.635535+(0.645048-0.873681))+0-0-0</f>
        <v>6683.6069019999995</v>
      </c>
      <c r="Q120" s="3">
        <f>7108.7+(1173.4-1299.7)+(3.625437+(0.598434-0.662847))+0-0-0</f>
        <v>6985.9610239999993</v>
      </c>
      <c r="R120" s="3">
        <f>7097.1+(1146.2-1150.8)+(0+(0-0))+0-0-0</f>
        <v>7092.5</v>
      </c>
      <c r="S120" s="3">
        <f>7117.7+(1119-1234)+(-3.630027+(-0.57069--0.62934))+0-0-0</f>
        <v>6999.1286229999996</v>
      </c>
      <c r="T120" s="3">
        <f>7112.2+(1025.5-989.7)+(-3.627222+(-0.523005--0.504747))+0-0-0</f>
        <v>7144.3545199999999</v>
      </c>
      <c r="U120" s="3">
        <f>7029.9+(1008.7-1040.4)+(-7.170498+(-1.028874--1.061208))+0-0-0</f>
        <v>6991.0618359999999</v>
      </c>
      <c r="V120" s="3">
        <f>7194.4+(1075.4-1201.3)+(3.669144+(0.548454-0.612663))+0-0-0</f>
        <v>7072.1049350000003</v>
      </c>
      <c r="W120" s="3">
        <f>7161.3+(1259-1538.5)+(-3.652263+(-0.64209--0.784635))+0-0-0</f>
        <v>6878.2902819999999</v>
      </c>
      <c r="X120" s="3">
        <f>7064.2+(1277.5-1827.6)+(-18.01371+(-3.257625--4.66038))+0-0-0</f>
        <v>6497.4890450000003</v>
      </c>
      <c r="Y120" s="3">
        <f>6958.9+(857.7-1613.7)+(-17.745195+(-2.187135--4.114935))+0-0-0</f>
        <v>6187.0826049999996</v>
      </c>
      <c r="Z120" s="3">
        <f>7280.5+(927.8-1844)+(7.42611+(0.946356-1.88088))+0-0-0</f>
        <v>6370.7915860000003</v>
      </c>
      <c r="AA120" s="3">
        <f>7405+(1095.9-1911.9)+(-7.5531+(-1.117818--1.950138))+0-0-0</f>
        <v>6582.2792200000004</v>
      </c>
      <c r="AB120" s="3">
        <f>7328.7+(1109.6-2022.1)+(-3.737637+(-0.565896--1.031271))+0-0-0</f>
        <v>6412.9277379999994</v>
      </c>
      <c r="AC120" s="3">
        <f>7165.7+(1028.8-2039.5)+(0+(0-0))+0-0-0</f>
        <v>6155</v>
      </c>
      <c r="AD120">
        <v>6590.5</v>
      </c>
      <c r="AE120" s="3">
        <f>7400+(1072.6-1882.1)+(0+(0-0))+0-0-0</f>
        <v>6590.5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6854+(837.8-2009.3)+(-20.97324+(-2.563668--6.148458))+0-0-0</f>
        <v>5665.1115499999996</v>
      </c>
      <c r="G121" s="3">
        <f>6429.4+(636.3-1841.4)+(-3.278994+(-0.324513--0.939114))+0-0-0</f>
        <v>5221.6356069999993</v>
      </c>
      <c r="H121" s="3">
        <f>6347.8+(479.4-1875.7)+(-6.474756+(-0.488988--1.913214))+0-0-0</f>
        <v>4946.4494699999996</v>
      </c>
      <c r="I121" s="3">
        <f>6389.1+(424.7-2013.1)+(-9.775323+(-0.649791--3.080043))+0-0-0</f>
        <v>4793.354929000001</v>
      </c>
      <c r="J121" s="3">
        <f>6242.2+(415.9-1927.2)+(-15.91761+(-1.060545--4.91436))+0-0-0</f>
        <v>4718.8362049999996</v>
      </c>
      <c r="K121" s="3">
        <f>5878.7+(441.6-1676.1)+(-11.992548+(-0.900864--3.419244))+0-0-0</f>
        <v>4634.7258320000001</v>
      </c>
      <c r="L121" s="3">
        <f>5741.7+(468.7-1690.6)+(-8.784801+(-0.717111--2.586618))+0-0-0</f>
        <v>4512.8847059999998</v>
      </c>
      <c r="M121" s="3">
        <f>6031.3+(526.9-1599)+(-3.075963+(-0.268719--0.81549))+0-0-0</f>
        <v>4956.6708080000008</v>
      </c>
      <c r="N121" s="3">
        <f>6590.2+(694.6-1455.8)+(6.722004+(0.708492-1.484916))+0-0-0</f>
        <v>5834.9455799999996</v>
      </c>
      <c r="O121" s="3">
        <f>6853.1+(851.6-1379.7)+(0+(0-0))+0-0-0</f>
        <v>6325</v>
      </c>
      <c r="P121" s="3">
        <f>7115.6+(1256.5-1594.5)+(7.257912+(1.28163-1.62639))+0-0-0</f>
        <v>6784.5131520000004</v>
      </c>
      <c r="Q121" s="3">
        <f>7236.7+(1199.8-1390)+(7.381434+(1.223796-1.4178))+0-0-0</f>
        <v>7053.6874299999999</v>
      </c>
      <c r="R121" s="3">
        <f>7240.6+(1079.3-1175.8)+(0+(0-0))+0-0-0</f>
        <v>7144.1</v>
      </c>
      <c r="S121" s="3">
        <f>7194.5+(948.6-1100.9)+(-7.33839+(-0.967572--1.122918))+0-0-0</f>
        <v>7035.0169559999995</v>
      </c>
      <c r="T121" s="3">
        <f>7129.4+(950.7-892.6)+(3.635994+(0.484857-0.455226))+0-0-0</f>
        <v>7191.1656249999996</v>
      </c>
      <c r="U121" s="3">
        <f>6992.3+(952.3-740)+(-10.698219+(-1.457019--1.1322))+0-0-0</f>
        <v>7193.5769620000001</v>
      </c>
      <c r="V121" s="3">
        <f>7014.7+(1010.8-867.8)+(-14.309988+(-2.062032--1.770312))+0-0-0</f>
        <v>7143.0982919999997</v>
      </c>
      <c r="W121" s="3">
        <f>7147.9+(1110.7-1283.8)+(0+(0-0))+0-0-0</f>
        <v>6974.7999999999993</v>
      </c>
      <c r="X121" s="3">
        <f>7152.8+(1262.7-1738.7)+(-7.295856+(-1.287954--1.773474))+0-0-0</f>
        <v>6669.9896640000006</v>
      </c>
      <c r="Y121" s="3">
        <f>6818.2+(946.2-1448.9)+(-10.431846+(-1.447686--2.216817))+0-0-0</f>
        <v>6305.8372849999996</v>
      </c>
      <c r="Z121" s="3">
        <f>7095.2+(1048.9-1644.1)+(0+(0-0))+0-0-0</f>
        <v>6500</v>
      </c>
      <c r="AA121" s="3">
        <f>7394+(1137.9-1796.6)+(0+(0-0))+0-0-0</f>
        <v>6735.3</v>
      </c>
      <c r="AB121" s="3">
        <f>7370.4+(1069.2-1918.4)+(-15.035616+(-2.181168--3.913536))+0-0-0</f>
        <v>6507.8967519999997</v>
      </c>
      <c r="AC121" s="3">
        <f>7327.9+(1079.3-2135)+(0+(0-0))+0-0-0</f>
        <v>6272.2</v>
      </c>
      <c r="AD121">
        <v>6693.5</v>
      </c>
      <c r="AE121" s="3">
        <f>7386+(1130.6-1823.1)+(0+(0-0))+0-0-0</f>
        <v>6693.5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7144.2+(701.9-2085.3)+(-10.930626+(-1.073907--3.190509))+0-0-0</f>
        <v>5751.985975999999</v>
      </c>
      <c r="G122" s="3">
        <f>6664.7+(600.9-1944.2)+(-6.797994+(-0.612918--1.983084))+0-0-0</f>
        <v>5315.9721719999998</v>
      </c>
      <c r="H122" s="3">
        <f>6600.4+(517.2-2087.6)+(-13.464816+(-1.055088--4.258704))+0-0-0</f>
        <v>5019.7388000000001</v>
      </c>
      <c r="I122" s="3">
        <f>6521.6+(453.5-2091.4)+(-9.978048+(-0.693855--3.199842))+0-0-0</f>
        <v>4876.2279390000003</v>
      </c>
      <c r="J122" s="3">
        <f>6483.2+(336.7-2034.9)+(-13.225728+(-0.686868--4.151196))+0-0-0</f>
        <v>4775.2385999999997</v>
      </c>
      <c r="K122" s="3">
        <f>6299.7+(394.5-1988.8)+(-12.851388+(-0.80478--4.057152))+0-0-0</f>
        <v>4695.8009839999995</v>
      </c>
      <c r="L122" s="3">
        <f>5714.9+(561.7-1679.1)+(-20.402193+(-2.005269--5.994387))+0-0-0</f>
        <v>4581.0869249999996</v>
      </c>
      <c r="M122" s="3">
        <f>5980.5+(474.6-1384.5)+(0+(0-0))+0-0-0</f>
        <v>5070.6000000000004</v>
      </c>
      <c r="N122" s="3">
        <f>6690.5+(522.6-1444)+(0+(0-0))+0-0-0</f>
        <v>5769.1</v>
      </c>
      <c r="O122" s="3">
        <f>7076.7+(845.3-1466.2)+(0+(0-0))+0-0-0</f>
        <v>6455.7999999999993</v>
      </c>
      <c r="P122" s="3">
        <f>7238.3+(953.1-1357.8)+(7.383066+(0.972162-1.384956))+0-0-0</f>
        <v>6840.5702719999999</v>
      </c>
      <c r="Q122" s="3">
        <f>7257.8+(1188.1-1299.9)+(3.701478+(0.605931-0.662949))+0-0-0</f>
        <v>7149.6444600000004</v>
      </c>
      <c r="R122" s="3">
        <f>7269.4+(1141.3-1191.3)+(7.414788+(1.164126-1.215126))+0-0-0</f>
        <v>7226.7637879999993</v>
      </c>
      <c r="S122" s="3">
        <f>7238.4+(1009-1092.4)+(-3.691584+(-0.51459--0.557124))+0-0-0</f>
        <v>7151.35095</v>
      </c>
      <c r="T122" s="3">
        <f>7094.1+(901.4-659.9)+(3.617991+(0.459714-0.336549))+0-0-0</f>
        <v>7339.3411560000004</v>
      </c>
      <c r="U122" s="3">
        <f>7104.5+(1049.7-835.4)+(-18.116475+(-2.676735--2.13027))+0-0-0</f>
        <v>7300.13706</v>
      </c>
      <c r="V122" s="3">
        <f>7133.3+(1264.7-1121.3)+(-14.551932+(-2.579988--2.287452))+0-0-0</f>
        <v>7261.8555320000005</v>
      </c>
      <c r="W122" s="3">
        <f>6971.4+(1411.8-1335.3)+(-28.443312+(-5.760144--5.448024))+0-0-0</f>
        <v>7019.1445679999997</v>
      </c>
      <c r="X122" s="3">
        <f>6931.8+(1214.7-1428.1)+(-24.746526+(-4.336479--5.098317))+0-0-0</f>
        <v>6694.415312000001</v>
      </c>
      <c r="Y122" s="3">
        <f>6630.1+(835.6-1170.5)+(-6.762702+(-0.852312--1.19391))+0-0-0</f>
        <v>6288.7788960000007</v>
      </c>
      <c r="Z122" s="3">
        <f>7058.2+(861.4-1458.3)+(-3.599682+(-0.439314--0.743733))+0-0-0</f>
        <v>6458.0047370000002</v>
      </c>
      <c r="AA122" s="3">
        <f>7301+(833.9-1479.8)+(-14.89404+(-1.701156--3.018792))+0-0-0</f>
        <v>6641.523596</v>
      </c>
      <c r="AB122" s="3">
        <f>7295.6+(811.7-1752.2)+(-18.60378+(-2.069835--4.46811))+0-0-0</f>
        <v>6338.8944950000005</v>
      </c>
      <c r="AC122" s="3">
        <f>7153.7+(668-1713.8)+(3.648387+(0.34068-0.874038))+0-0-0</f>
        <v>6111.0150289999992</v>
      </c>
      <c r="AD122">
        <v>6647.3</v>
      </c>
      <c r="AE122" s="3">
        <f>7295+(836.1-1483.8)+(0+(0-0))+0-0-0</f>
        <v>6647.3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7070.9+(614.6-1990.4)+(-3.606159+(-0.313446--1.015104))+0-0-0</f>
        <v>5692.1954989999995</v>
      </c>
      <c r="G123" s="3">
        <f>6963+(473.3-2075.7)+(-7.10226+(-0.482766--2.117214))+0-0-0</f>
        <v>5355.1321880000005</v>
      </c>
      <c r="H123" s="3">
        <f>6893.9+(469-2267.3)+(-3.515889+(-0.23919--1.156323))+0-0-0</f>
        <v>5093.0012439999991</v>
      </c>
      <c r="I123" s="3">
        <f>6736.5+(313.5-2125.1)+(-20.61369+(-0.95931--6.502806))+0-0-0</f>
        <v>4909.8298059999997</v>
      </c>
      <c r="J123" s="3">
        <f>6532.1+(266.5-1915.8)+(-16.656855+(-0.679575--4.88529))+0-0-0</f>
        <v>4870.3488600000001</v>
      </c>
      <c r="K123" s="3">
        <f>6322.1+(207.5-1835.8)+(-22.569897+(-0.740775--6.553806))+0-0-0</f>
        <v>4677.0431340000005</v>
      </c>
      <c r="L123" s="3">
        <f>6024.7+(348.3-1830.3)+(-21.508179+(-1.243431--6.534171))+0-0-0</f>
        <v>4526.4825609999998</v>
      </c>
      <c r="M123" s="3">
        <f>6215.1+(468.2-1814)+(-3.169701+(-0.238782--0.92514))+0-0-0</f>
        <v>4866.8166570000003</v>
      </c>
      <c r="N123" s="3">
        <f>6753.1+(460.2-1778.6)+(6.888162+(0.469404-1.814172))+0-0-0</f>
        <v>5440.243394000001</v>
      </c>
      <c r="O123" s="3">
        <f>7070.6+(538.2-1593.7)+(7.212012+(0.548964-1.625574))+0-0-0</f>
        <v>6021.2354020000002</v>
      </c>
      <c r="P123" s="3">
        <f>7121.3+(937.4-1511.5)+(7.263726+(0.956148-1.54173))+0-0-0</f>
        <v>6553.8781440000002</v>
      </c>
      <c r="Q123" s="3">
        <f>7112+(652.4-928.5)+(0+(0-0))+0-0-0</f>
        <v>6835.9</v>
      </c>
      <c r="R123" s="3">
        <f>7213.9+(444.3-795.4)+(-11.037267+(-0.679779--1.216962))+0-0-0</f>
        <v>6852.299915999999</v>
      </c>
      <c r="S123" s="3">
        <f>7196.1+(357.1-854.1)+(-18.350055+(-0.910605--2.177955))+0-0-0</f>
        <v>6682.0172950000006</v>
      </c>
      <c r="T123" s="3">
        <f>7189.9+(516.9-1096.1)+(0+(0-0))+0-0-0</f>
        <v>6610.7</v>
      </c>
      <c r="U123" s="3">
        <f>7149.5+(656.5-1325.7)+(-14.58498+(-1.33926--2.704428))+0-0-0</f>
        <v>6467.0801879999999</v>
      </c>
      <c r="V123" s="3">
        <f>7159.4+(912.5-1619.6)+(-7.302588+(-0.93075--1.651992))+0-0-0</f>
        <v>6445.7186539999993</v>
      </c>
      <c r="W123" s="3">
        <f>7146.1+(1161.5-1961.7)+(-10.933533+(-1.777095--3.001401))+0-0-0</f>
        <v>6336.1907730000003</v>
      </c>
      <c r="X123" s="3">
        <f>7059.8+(1118.5-2067.2)+(-18.00249+(-2.852175--5.27136))+0-0-0</f>
        <v>6095.5166950000003</v>
      </c>
      <c r="Y123" s="3">
        <f>6434.2+(1004.6-1661.7)+(-6.562884+(-1.024692--1.694934))+0-0-0</f>
        <v>5771.2073579999997</v>
      </c>
      <c r="Z123" s="3">
        <f>7077.9+(673.1-1737.8)+(0+(0-0))+0-0-0</f>
        <v>6013.2</v>
      </c>
      <c r="AA123" s="3">
        <f>7423.5+(808.2-2053.9)+(-18.929925+(-2.06091--5.237445))+0-0-0</f>
        <v>6162.0466100000003</v>
      </c>
      <c r="AB123" s="3">
        <f>7336.4+(715.6-2042.9)+(-3.741564+(-0.364956--1.041879))+0-0-0</f>
        <v>6006.0353589999995</v>
      </c>
      <c r="AC123" s="3">
        <f>7261.5+(707.9-2135.1)+(-3.703365+(-0.361029--1.088901))+0-0-0</f>
        <v>5831.3245070000003</v>
      </c>
      <c r="AD123">
        <v>6108</v>
      </c>
      <c r="AE123" s="3">
        <f>7335+(848.3-2075.3)+(0+(0-0))+0-0-0</f>
        <v>6108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7083.8+(695.6-2356)+(-3.612738+(-0.354756--1.20156))+0-0-0</f>
        <v>5420.6340659999996</v>
      </c>
      <c r="G124" s="3">
        <f>6996.8+(230.3-2097.2)+(7.136736+(0.234906-2.139144))+0-0-0</f>
        <v>5135.1324980000009</v>
      </c>
      <c r="H124" s="3">
        <f>6694.2+(90.9-1899.9)+(6.828084+(0.092718-1.937898))+0-0-0</f>
        <v>4890.1829040000002</v>
      </c>
      <c r="I124" s="3">
        <f>6518.9+(96-1961)+(3.324639+(0.04896-1.00011))+0-0-0</f>
        <v>4656.2734889999992</v>
      </c>
      <c r="J124" s="3">
        <f>6542.5+(156.2-2158.3)+(10.010025+(0.238986-3.302199))+0-0-0</f>
        <v>4547.3468119999998</v>
      </c>
      <c r="K124" s="3">
        <f>6367.6+(289.1-2258.9)+(-6.494952+(-0.294882--2.304078))+0-0-0</f>
        <v>4393.3142440000001</v>
      </c>
      <c r="L124" s="3">
        <f>5794.4+(223.3-1889.3)+(5.910288+(0.227766-1.927086))+0-0-0</f>
        <v>4132.610968</v>
      </c>
      <c r="M124" s="3">
        <f>5550.8+(194.9-1657.2)+(-2.830908+(-0.099399--0.845172))+0-0-0</f>
        <v>4086.4148650000002</v>
      </c>
      <c r="N124" s="3">
        <f>5662.9+(242.4-1547.7)+(8.664237+(0.370872-2.367981))+0-0-0</f>
        <v>4364.2671279999995</v>
      </c>
      <c r="O124" s="3">
        <f>5794.3+(478.5-1581.7)+(2.955093+(0.244035-0.806667))+0-0-0</f>
        <v>4693.4924610000007</v>
      </c>
      <c r="P124" s="3">
        <f>6208.8+(655.4-1776.3)+(9.499464+(1.002762-2.717739))+0-0-0</f>
        <v>5095.6844869999995</v>
      </c>
      <c r="Q124" s="3">
        <f>6441.2+(534.4-1550.2)+(6.570024+(0.545088-1.581204))+0-0-0</f>
        <v>5430.933908</v>
      </c>
      <c r="R124" s="3">
        <f>6536.5+(634.7-1692.4)+(-3.333615+(-0.323697--0.863124))+0-0-0</f>
        <v>5476.0058120000003</v>
      </c>
      <c r="S124" s="3">
        <f>6721.4+(493.3-1641)+(-3.427914+(-0.251583--0.83691))+0-0-0</f>
        <v>5570.8574129999997</v>
      </c>
      <c r="T124" s="3">
        <f>6716.3+(462.8-1594)+(-10.275939+(-0.708084--2.43882))+0-0-0</f>
        <v>5576.5547970000007</v>
      </c>
      <c r="U124" s="3">
        <f>6703.8+(525.9-1722.3)+(3.418938+(0.268209-0.878373))+0-0-0</f>
        <v>5510.2087739999997</v>
      </c>
      <c r="V124" s="3">
        <f>6639.7+(534.7-1685.3)+(-3.386247+(-0.272697--0.859503))+0-0-0</f>
        <v>5486.3005590000002</v>
      </c>
      <c r="W124" s="3">
        <f>6617.3+(640.1-1794.3)+(-16.874115+(-1.632255--4.575465))+0-0-0</f>
        <v>5449.1690950000002</v>
      </c>
      <c r="X124" s="3">
        <f>6547.6+(628.8-1773.6)+(-10.017828+(-0.962064--2.713608))+0-0-0</f>
        <v>5394.5337159999999</v>
      </c>
      <c r="Y124" s="3">
        <f>6076.5+(557.6-1280.3)+(-21.693105+(-1.990632--4.570671))+0-0-0</f>
        <v>5334.6869340000003</v>
      </c>
      <c r="Z124" s="3">
        <f>6524.9+(494.4-1318.8)+(9.983097+(0.756432-2.017764))+0-0-0</f>
        <v>5709.2217650000002</v>
      </c>
      <c r="AA124" s="3">
        <f>6720.2+(303.8-1049.2)+(-10.281906+(-0.464814--1.605276))+0-0-0</f>
        <v>5965.6585559999994</v>
      </c>
      <c r="AB124" s="3">
        <f>6700.3+(347.7-1172.2)+(-6.834306+(-0.354654--1.195644))+0-0-0</f>
        <v>5869.8066840000001</v>
      </c>
      <c r="AC124" s="3">
        <f>6549.6+(414.4-1224)+(3.340296+(0.211344-0.62424))+0-0-0</f>
        <v>5742.9273999999996</v>
      </c>
      <c r="AD124">
        <v>6091.5</v>
      </c>
      <c r="AE124" s="3">
        <f>6745+(310.9-964.4)+(0+(0-0))+0-0-0</f>
        <v>6091.5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6472.2+(354-1406.3)+(-6.601644+(-0.36108--1.434426))+0-0-0</f>
        <v>5414.3717019999995</v>
      </c>
      <c r="G125" s="3">
        <f>6465.7+(200.9-1605.4)+(-6.595014+(-0.204918--1.637508))+0-0-0</f>
        <v>5056.0375759999997</v>
      </c>
      <c r="H125" s="3">
        <f>6464.2+(157.8-1769.3)+(-9.890226+(-0.241434--2.707029))+0-0-0</f>
        <v>4845.275369</v>
      </c>
      <c r="I125" s="3">
        <f>6331.7+(164.7-1725.1)+(-9.687501+(-0.251991--2.639403))+0-0-0</f>
        <v>4763.9999109999999</v>
      </c>
      <c r="J125" s="3">
        <f>6320.7+(132.1-1762.1)+(-12.894228+(-0.269484--3.594684))+0-0-0</f>
        <v>4681.1309719999999</v>
      </c>
      <c r="K125" s="3">
        <f>6097.6+(224.4-1774)+(-12.439104+(-0.457776--3.61896))+0-0-0</f>
        <v>4538.7220799999996</v>
      </c>
      <c r="L125" s="3">
        <f>5608.2+(264.9-1438.5)+(-2.860182+(-0.135099--0.733635))+0-0-0</f>
        <v>4432.3383540000004</v>
      </c>
      <c r="M125" s="3">
        <f>5720.3+(428.9-1256.2)+(0+(0-0))+0-0-0</f>
        <v>4893</v>
      </c>
      <c r="N125" s="3">
        <f>6371.6+(460.2-1180.3)+(6.499032+(0.469404-1.203906))+0-0-0</f>
        <v>5657.2645300000004</v>
      </c>
      <c r="O125" s="3">
        <f>6753+(636.3-1107.6)+(-3.44403+(-0.324513--0.564876))+0-0-0</f>
        <v>6278.496333</v>
      </c>
      <c r="P125" s="3">
        <f>7083.2+(729-1043.7)+(-3.612432+(-0.37179--0.532287))+0-0-0</f>
        <v>6765.048065</v>
      </c>
      <c r="Q125" s="3">
        <f>7210.8+(682.7-863.6)+(11.032524+(1.044531-1.321308))+0-0-0</f>
        <v>7040.6557470000007</v>
      </c>
      <c r="R125" s="3">
        <f>7274.8+(687.5-760.3)+(3.710148+(0.350625-0.387753))+0-0-0</f>
        <v>7205.6730200000002</v>
      </c>
      <c r="S125" s="3">
        <f>7208.7+(819.2-884.4)+(0+(0-0))+0-0-0</f>
        <v>7143.5</v>
      </c>
      <c r="T125" s="3">
        <f>7180.3+(765.8-669)+(-7.323906+(-0.781116--0.68238))+0-0-0</f>
        <v>7269.6773579999999</v>
      </c>
      <c r="U125" s="3">
        <f>7157.3+(787.5-733.7)+(-10.950669+(-1.204875--1.122561))+0-0-0</f>
        <v>7200.0670170000003</v>
      </c>
      <c r="V125" s="3">
        <f>7128+(880.4-870.2)+(-14.54112+(-1.796016--1.775208))+0-0-0</f>
        <v>7123.6380719999997</v>
      </c>
      <c r="W125" s="3">
        <f>7078.2+(1117.1-1248.3)+(-10.829646+(-1.709163--1.909899))+0-0-0</f>
        <v>6936.3710899999996</v>
      </c>
      <c r="X125" s="3">
        <f>6906.5+(988.4-1205)+(-21.13389+(-3.024504--3.6873))+9.1-0-0</f>
        <v>6678.5289059999996</v>
      </c>
      <c r="Y125" s="3">
        <f>6517.3+(754-1094)+(-3.323823+(-0.38454--0.55794))+0-0-0</f>
        <v>6174.1495770000001</v>
      </c>
      <c r="Z125" s="3">
        <f>6930.9+(579-1251.2)+(-7.069518+(-0.59058--1.276224))+0-0-0</f>
        <v>6252.3161259999997</v>
      </c>
      <c r="AA125" s="3">
        <f>7419.9+(509.8-1483.2)+(0+(0-0))+0-0-0</f>
        <v>6446.5</v>
      </c>
      <c r="AB125" s="3">
        <f>7184.9+(568.5-1534)+(-10.992897+(-0.869805--2.34702))+0-0-0</f>
        <v>6209.8843179999994</v>
      </c>
      <c r="AC125" s="3">
        <f>6940.1+(646.3-1659.1)+(0+(0-0))+0-0-0</f>
        <v>5927.3</v>
      </c>
      <c r="AD125">
        <v>6399</v>
      </c>
      <c r="AE125" s="3">
        <f>7407+(512.8-1520.8)+(0+(0-0))+0-0-0</f>
        <v>6399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6881.3+(661.5-1949)+(-7.018926+(-0.67473--1.98798))+0-0-0</f>
        <v>5588.0943240000006</v>
      </c>
      <c r="G126" s="3">
        <f>6615.5+(343.9-1740.1)+(-16.869525+(-0.876945--4.437255))+0-0-0</f>
        <v>5205.990785</v>
      </c>
      <c r="H126" s="3">
        <f>6221+(328.2-1609)+(-6.34542+(-0.334764--1.64118))+0-0-0</f>
        <v>4935.1609959999996</v>
      </c>
      <c r="I126" s="3">
        <f>6045.1+(297.4-1622.2)+(-12.332004+(-0.606696--3.309288))+0-0-0</f>
        <v>4710.670588</v>
      </c>
      <c r="J126" s="3">
        <f>5984.5+(323.1-1580.1)+(-9.156285+(-0.494343--2.417553))+0-0-0</f>
        <v>4720.2669249999999</v>
      </c>
      <c r="K126" s="3">
        <f>5797.4+(397.5-1585.4)+(-5.913348+(-0.40545--1.617108))+0-0-0</f>
        <v>4604.7983100000001</v>
      </c>
      <c r="L126" s="3">
        <f>5517.6+(496.8-1422.5)+(-14.06988+(-1.26684--3.627375))+0-0-0</f>
        <v>4580.1906550000003</v>
      </c>
      <c r="M126" s="3">
        <f>5773.8+(508.2-1282.7)+(8.833914+(0.777546-1.962531))+0-0-0</f>
        <v>5006.9489290000001</v>
      </c>
      <c r="N126" s="3">
        <f>6244.9+(668.2-1175.7)+(0+(0-0))+0-0-0</f>
        <v>5737.4</v>
      </c>
      <c r="O126" s="3">
        <f>6702.8+(897.9-1251.9)+(3.418428+(0.457929-0.638469))+0-0-0</f>
        <v>6352.0378879999998</v>
      </c>
      <c r="P126" s="3">
        <f>7033.4+(1091-1271.6)+(3.587034+(0.55641-0.648516))+0-0-0</f>
        <v>6856.2949279999993</v>
      </c>
      <c r="Q126" s="3">
        <f>7139.8+(1087.4-1088.9)+(10.923894+(1.663722-1.666017))+0-0-0</f>
        <v>7149.2215990000004</v>
      </c>
      <c r="R126" s="3">
        <f>7167.5+(1011.7-965.1)+(0+(0-0))+0-0-0</f>
        <v>7214.1</v>
      </c>
      <c r="S126" s="3">
        <f>7092.4+(890.1-856.5)+(0+(0-0))+0-0-0</f>
        <v>7126</v>
      </c>
      <c r="T126" s="3">
        <f>7048.4+(838.7-865)+(10.784052+(1.283211-1.32345))+0-0-0</f>
        <v>7032.8438129999995</v>
      </c>
      <c r="U126" s="3">
        <f>7037.9+(862.3-910.4)+(-7.178658+(-0.879546--0.928608))+0-0-0</f>
        <v>6982.6704039999995</v>
      </c>
      <c r="V126" s="3">
        <f>6961.2+(870-972)+(-14.200848+(-1.7748--1.98288))+0-0-0</f>
        <v>6845.2072319999997</v>
      </c>
      <c r="W126" s="3">
        <f>6944.5+(1069.3-1171.4)+(-21.25017+(-3.272058--3.584484))+0-0-0</f>
        <v>6821.4622559999998</v>
      </c>
      <c r="X126" s="3">
        <f>6940.2+(977.1-1360)+(-21.237012+(-2.989926--4.1616))+0-0-0</f>
        <v>6537.2346619999998</v>
      </c>
      <c r="Y126" s="3">
        <f>6600.3+(490.8-978.1)+(-6.732306+(-0.500616--0.997662))+0-0-0</f>
        <v>6106.7647399999996</v>
      </c>
      <c r="Z126" s="3">
        <f>6930.3+(515.7-933.8)+(0+(0-0))+0-0-0</f>
        <v>6512.2000000000007</v>
      </c>
      <c r="AA126" s="3">
        <f>7225+(666.1-1255.5)+(-22.1085+(-2.038266--3.84183))+0-0-0</f>
        <v>6615.2950639999999</v>
      </c>
      <c r="AB126" s="3">
        <f>7206+(436.8-1253.6)+(-3.67506+(-0.222768--0.639336))+0-0-0</f>
        <v>6385.9415079999999</v>
      </c>
      <c r="AC126" s="3">
        <f>6978.5+(307.4-1163.3)+(-3.559035+(-0.156774--0.593283))+0-0-0</f>
        <v>6119.4774740000003</v>
      </c>
      <c r="AD126">
        <v>6433.5999999999995</v>
      </c>
      <c r="AE126" s="3">
        <f>7242+(645.4-1453.8)+(0+(0-0))+0-0-0</f>
        <v>6433.6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6851.5+(439.6-1650)+(-10.482795+(-0.672588--2.5245))+0-0-0</f>
        <v>5632.4691170000006</v>
      </c>
      <c r="G127" s="3">
        <f>6188.4+(305.6-1261.9)+(-9.468252+(-0.467568--1.930707))+0-0-0</f>
        <v>5224.0948869999993</v>
      </c>
      <c r="H127" s="3">
        <f>5912+(249.5-1172.4)+(-6.03024+(-0.25449--1.195848))+0-0-0</f>
        <v>4984.0111180000004</v>
      </c>
      <c r="I127" s="3">
        <f>5747.9+(240.1-1135.4)+(-5.862858+(-0.244902--1.158108))+0-0-0</f>
        <v>4847.6503479999992</v>
      </c>
      <c r="J127" s="3">
        <f>5699+(260.3-1168.9)+(5.81298+(0.265506-1.192278))+0-0-0</f>
        <v>4795.2862079999995</v>
      </c>
      <c r="K127" s="3">
        <f>5616.8+(300.7-1169.5)+(2.864568+(0.153357-0.596445))+0-0-0</f>
        <v>4750.42148</v>
      </c>
      <c r="L127" s="3">
        <f>5384.7+(348-1041.1)+(-2.746197+(-0.17748--0.530961))+0-0-0</f>
        <v>4689.2072840000001</v>
      </c>
      <c r="M127" s="3">
        <f>5447+(568.9-891.6)+(-2.77797+(-0.290139--0.454716))+0-0-0</f>
        <v>5121.6866070000005</v>
      </c>
      <c r="N127" s="3">
        <f>6068.8+(902.8-1110.3)+(0+(0-0))+0-0-0</f>
        <v>5861.3</v>
      </c>
      <c r="O127" s="3">
        <f>6751.2+(1028.8-1216.3)+(-6.886224+(-1.049376--1.240626))+0-0-0</f>
        <v>6557.0050259999998</v>
      </c>
      <c r="P127" s="3">
        <f>6853+(956.1-934)+(-3.49503+(-0.487611--0.47634))+0-0-0</f>
        <v>6871.593699</v>
      </c>
      <c r="Q127" s="3">
        <f>7025.9+(949.4-787.4)+(0+(0-0))+0-0-0</f>
        <v>7187.9</v>
      </c>
      <c r="R127" s="3">
        <f>7063.3+(758.5-513.4)+(-14.409132+(-1.54734--1.047336))+0-0-0</f>
        <v>7293.4908640000003</v>
      </c>
      <c r="S127" s="3">
        <f>7079.8+(696.1-574.7)+(-10.832094+(-1.065033--0.879291))+0-0-0</f>
        <v>7190.1821639999998</v>
      </c>
      <c r="T127" s="3">
        <f>7123.3+(558.8-336.8)+(3.632883+(0.284988-0.171768))+0-0-0</f>
        <v>7349.0461030000006</v>
      </c>
      <c r="U127" s="3">
        <f>7063.7+(605.8-337.1)+(-7.204974+(-0.617916--0.343842))+0-0-0</f>
        <v>7324.9209519999995</v>
      </c>
      <c r="V127" s="3">
        <f>7036.9+(611-378.1)+(7.177638+(0.62322-0.385662))+0-0-0</f>
        <v>7277.2151959999992</v>
      </c>
      <c r="W127" s="3">
        <f>6997.3+(696.1-614.8)+(-14.274492+(-1.420044--1.254192))+0-0-0</f>
        <v>7064.1596560000007</v>
      </c>
      <c r="X127" s="3">
        <f>7004.5+(928.2-1171.9)+(-10.716885+(-1.420146--1.793007))+0-0-0</f>
        <v>6750.4559760000002</v>
      </c>
      <c r="Y127" s="3">
        <f>6726.7+(784.2-1106.7)+(-6.861234+(-0.799884--1.128834))+0-0-0</f>
        <v>6397.6677159999999</v>
      </c>
      <c r="Z127" s="3">
        <f>7157.3+(786.3-1314.1)+(0+(0-0))+0-0-0</f>
        <v>6629.5</v>
      </c>
      <c r="AA127" s="3">
        <f>7333.4+(675.9-1211.2)+(-7.480068+(-0.689418--1.235424))+0-0-0</f>
        <v>6791.1659379999992</v>
      </c>
      <c r="AB127" s="3">
        <f>7325.5+(723.3-1457.3)+(-7.47201+(-0.737766--1.486446))+0-0-0</f>
        <v>6584.7766700000002</v>
      </c>
      <c r="AC127" s="3">
        <f>7298.5+(689.5-1641.4)+(-3.722235+(-0.351645--0.837114))+0-0-0</f>
        <v>6343.3632340000004</v>
      </c>
      <c r="AD127">
        <v>6768.4</v>
      </c>
      <c r="AE127" s="3">
        <f>7351+(716.7-1299.3)+(0+(0-0))+0-0-0</f>
        <v>6768.4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7181.8+(587.5-1898.6)+(0+(0-0))+0-0-0</f>
        <v>5870.7000000000007</v>
      </c>
      <c r="G128" s="3">
        <f>6771.6+(476.6-1840.7)+(3.453516+(0.243066-0.938757))+0-0-0</f>
        <v>5410.2578249999997</v>
      </c>
      <c r="H128" s="3">
        <f>6465.4+(303.6-1634.6)+(-13.189416+(-0.619344--3.334584))+0-0-0</f>
        <v>5123.9258239999999</v>
      </c>
      <c r="I128" s="3">
        <f>6300+(313.3-1635.7)+(6.426+(0.319566-1.668414))+0-0-0</f>
        <v>4982.6771520000002</v>
      </c>
      <c r="J128" s="3">
        <f>6274.1+(347.6-1729.5)+(-12.799164+(-0.709104--3.52818))+0-0-0</f>
        <v>4882.2199120000005</v>
      </c>
      <c r="K128" s="3">
        <f>6245.2+(491-1908.4)+(-9.555156+(-0.75123--2.919852))+0-0-0</f>
        <v>4820.4134659999991</v>
      </c>
      <c r="L128" s="3">
        <f>5833.9+(532.7-1627.1)+(-14.876445+(-1.358385--4.149105))+0-0-0</f>
        <v>4727.4142750000001</v>
      </c>
      <c r="M128" s="3">
        <f>5863.4+(574.2-1285.6)+(0+(0-0))+0-0-0</f>
        <v>5152</v>
      </c>
      <c r="N128" s="3">
        <f>6490.2+(896.6-1452.7)+(16.55001+(2.28633-3.704385))+0-0-0</f>
        <v>5949.2319549999993</v>
      </c>
      <c r="O128" s="3">
        <f>7120.1+(878.2-1419.7)+(0+(0-0))+0-0-0</f>
        <v>6578.6</v>
      </c>
      <c r="P128" s="3">
        <f>7108.7+(994.8-1103.9)+(10.876311+(1.522044-1.688967))+0-0-0</f>
        <v>7010.3093879999997</v>
      </c>
      <c r="Q128" s="3">
        <f>7073.4+(913.7-734.4)+(10.822302+(1.397961-1.123632))+0-0-0</f>
        <v>7263.7966310000002</v>
      </c>
      <c r="R128" s="3">
        <f>7166.3+(667.4-467.9)+(7.309626+(0.680748-0.477258))+0-0-0</f>
        <v>7373.3131160000003</v>
      </c>
      <c r="S128" s="3">
        <f>7140.5+(602.8-440.7)+(-3.641655+(-0.307428--0.224757))+0-0-0</f>
        <v>7298.8756740000008</v>
      </c>
      <c r="T128" s="3">
        <f>7145.8+(699.4-418.1)+(3.644358+(0.356694-0.213231))+0-0-0</f>
        <v>7430.8878210000003</v>
      </c>
      <c r="U128" s="3">
        <f>7082.1+(708.9-368.3)+(0+(0-0))+0-0-0</f>
        <v>7422.7000000000007</v>
      </c>
      <c r="V128" s="3">
        <f>6999.8+(741.3-367.8)+(-17.84949+(-1.890315--0.93789))+0-0-0</f>
        <v>7354.4980850000002</v>
      </c>
      <c r="W128" s="3">
        <f>6992.6+(892.8-726.5)+(-17.83113+(-2.27664--1.852575))+0-0-0</f>
        <v>7140.6448050000008</v>
      </c>
      <c r="X128" s="3">
        <f>6979.1+(1006.9-1137.5)+(-10.678023+(-1.540557--1.740375))+0-0-0</f>
        <v>6838.0217949999997</v>
      </c>
      <c r="Y128" s="3">
        <f>6661.7+(640.2-778.2)+(3.397467+(0.326502-0.396882))+0-0-0</f>
        <v>6527.0270869999995</v>
      </c>
      <c r="Z128" s="3">
        <f>7011.4+(685.9-913.2)+(0+(0-0))+0-0-0</f>
        <v>6784.0999999999995</v>
      </c>
      <c r="AA128" s="3">
        <f>7180.2+(436-667.4)+(-7.323804+(-0.44472--0.680748))+0-0-0</f>
        <v>6941.7122239999999</v>
      </c>
      <c r="AB128" s="3">
        <f>7126.7+(456.9-901.6)+(-10.903851+(-0.699057--1.379448))+0-0-0</f>
        <v>6671.7765399999998</v>
      </c>
      <c r="AC128" s="3">
        <f>7075.5+(509.4-1129.9)+(-3.608505+(-0.259794--0.576249))+0-0-0</f>
        <v>6451.70795</v>
      </c>
      <c r="AD128">
        <v>6852.6</v>
      </c>
      <c r="AE128" s="3">
        <f>7158+(410.8-716.2)+(0+(0-0))+0-0-0</f>
        <v>6852.6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7013.8+(461.9-1443.7)+(-10.731114+(-0.706707--2.208861))+0-0-0</f>
        <v>6022.7710399999996</v>
      </c>
      <c r="G129" s="3">
        <f>6677.7+(313.5-1451.2)+(0+(0-0))+0-0-0</f>
        <v>5540</v>
      </c>
      <c r="H129" s="3">
        <f>6512.2+(424.7-1681.5)+(-6.642444+(-0.433194--1.71513))+0-0-0</f>
        <v>5250.0394919999999</v>
      </c>
      <c r="I129" s="3">
        <f>6272.6+(430.7-1618.2)+(6.398052+(0.439314-1.650564))+0-0-0</f>
        <v>5090.2868020000005</v>
      </c>
      <c r="J129" s="3">
        <f>6254.5+(543-1803.8)+(0+(0-0))+0-0-0</f>
        <v>4993.7</v>
      </c>
      <c r="K129" s="3">
        <f>6214.1+(748.5-2011)+(-9.507573+(-1.145205--3.07683))+0-0-0</f>
        <v>4944.0240520000007</v>
      </c>
      <c r="L129" s="3">
        <f>5913.7+(648.2-1687.3)+(-9.047961+(-0.991746--2.581569))+0-0-0</f>
        <v>4867.1418620000004</v>
      </c>
      <c r="M129" s="3">
        <f>6141.9+(793.9-1654.6)+(9.397107+(1.214667-2.531538))+0-0-0</f>
        <v>5289.2802359999996</v>
      </c>
      <c r="N129" s="3">
        <f>6667.8+(850.4-1487.7)+(3.400578+(0.433704-0.758727))+0-0-0</f>
        <v>6033.5755550000003</v>
      </c>
      <c r="O129" s="3">
        <f>7062.5+(1034.2-1497)+(-3.601875+(-0.527442--0.76347))+0-0-0</f>
        <v>6596.3341529999998</v>
      </c>
      <c r="P129" s="3">
        <f>7163.1+(1046-1144.4)+(7.306362+(1.06692-1.167288))+0-0-0</f>
        <v>7071.9059940000006</v>
      </c>
      <c r="Q129" s="3">
        <f>7235.1+(1027.6-890.7)+(18.449505+(2.62038-2.271285))+0-0-0</f>
        <v>7390.7986000000001</v>
      </c>
      <c r="R129" s="3">
        <f>7263.5+(942.8-753.8)+(-3.704385+(-0.480828--0.384438))+0-0-0</f>
        <v>7448.6992250000003</v>
      </c>
      <c r="S129" s="3">
        <f>7235+(849.1-753.3)+(3.68985+(0.433041-0.384183))+0-0-0</f>
        <v>7334.538708</v>
      </c>
      <c r="T129" s="3">
        <f>7168.5+(820.2-552.5)+(0+(0-0))+0-0-0</f>
        <v>7436.2</v>
      </c>
      <c r="U129" s="3">
        <f>7127+(774.1-483.6)+(-3.63477+(-0.394791--0.246636))+0-0-0</f>
        <v>7413.7170749999996</v>
      </c>
      <c r="V129" s="3">
        <f>7066.7+(818.3-567.5)+(-7.208034+(-0.834666--0.57885))+0-0-0</f>
        <v>7310.0361499999999</v>
      </c>
      <c r="W129" s="3">
        <f>6970.9+(951.1-814.6)+(-10.665477+(-1.455183--1.246338))+0-0-0</f>
        <v>7096.525678</v>
      </c>
      <c r="X129" s="3">
        <f>6848.8+(816.4-857.3)+(-24.450216+(-2.914548--3.060561))+0-0-0</f>
        <v>6783.5957970000009</v>
      </c>
      <c r="Y129" s="3">
        <f>6528.2+(416-498.5)+(-3.329382+(-0.21216--0.254235))+0-0-0</f>
        <v>6442.4126930000002</v>
      </c>
      <c r="Z129" s="3">
        <f>6813.8+(534.1-752.3)+(-10.425114+(-0.817173--1.151019))+0-0-0</f>
        <v>6585.5087320000002</v>
      </c>
      <c r="AA129" s="3">
        <f>7188.4+(620.4-1063.1)+(-25.662588+(-2.214828--3.795267))+0-0-0</f>
        <v>6721.617851</v>
      </c>
      <c r="AB129" s="3">
        <f>7145.9+(512.3-1157.6)+(-10.933227+(-0.783819--1.771128))+0-0-0</f>
        <v>6490.6540819999991</v>
      </c>
      <c r="AC129" s="3">
        <f>7109.5+(569.6-1423.1)+(-7.25169+(-0.580992--1.451562))+0-0-0</f>
        <v>6249.61888</v>
      </c>
      <c r="AD129">
        <v>6758</v>
      </c>
      <c r="AE129" s="3">
        <f>7221+(626.3-1083.3)+(0+(0-0))+0-0-0</f>
        <v>6764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7082.1+(527.2-1842.1)+(-3.611871+(-0.268872--0.939471))+0-0-0</f>
        <v>5764.2587280000007</v>
      </c>
      <c r="G130" s="3">
        <f>7082+(576.3-2345.1)+(-10.83546+(-0.881739--3.588003))+0-0-0</f>
        <v>5305.070804</v>
      </c>
      <c r="H130" s="3">
        <f>6945.5+(481.7-2352.1)+(-7.08441+(-0.491334--2.399142))+0-0-0</f>
        <v>5069.9233980000008</v>
      </c>
      <c r="I130" s="3">
        <f>6619.6+(346.1-2040.1)+(6.751992+(0.353022-2.080902))+0-0-0</f>
        <v>4930.6241120000004</v>
      </c>
      <c r="J130" s="3">
        <f>5868.5+(23.7-1072.4)+(-5.98587+(-0.024174--1.093848))+0-0-0</f>
        <v>4814.8838040000001</v>
      </c>
      <c r="K130" s="3">
        <f>5792.7+(44-1110.4)+(2.954277+(0.02244-0.566304))+0-0-0</f>
        <v>4728.7104129999989</v>
      </c>
      <c r="L130" s="3">
        <f>5668.6+(102.3-1208.9)+(-17.345916+(-0.313038--3.699234))+0-0-0</f>
        <v>4548.0402800000002</v>
      </c>
      <c r="M130" s="3">
        <f>5746.8+(68.9-938.3)+(0+(0-0))+0-0-0</f>
        <v>4877.4000000000005</v>
      </c>
      <c r="N130" s="3">
        <f>5855.4+(369.4-726.4)+(0+(0-0))+0-0-0</f>
        <v>5498.4</v>
      </c>
      <c r="O130" s="3">
        <f>6296.9+(368.7-625.2)+(-3.211419+(-0.188037--0.318852))+0-0-0</f>
        <v>6037.3193959999999</v>
      </c>
      <c r="P130" s="3">
        <f>6852.6+(320.2-711.5)+(-3.494826+(-0.163302--0.362865))+0-0-0</f>
        <v>6458.0047370000002</v>
      </c>
      <c r="Q130" s="3">
        <f>7138.5+(366-761.1)+(-7.28127+(-0.37332--0.776322))+0-0-0</f>
        <v>6736.5217319999992</v>
      </c>
      <c r="R130" s="3">
        <f>7179.6+(277.5-693)+(-14.646384+(-0.5661--1.41372))+0-0-0</f>
        <v>6750.3012360000002</v>
      </c>
      <c r="S130" s="3">
        <f>7108.9+(244.5-721.1)+(-18.127695+(-0.623475--1.838805))+0-0-0</f>
        <v>6615.3876349999991</v>
      </c>
      <c r="T130" s="3">
        <f>6934.6+(280.4-635.1)+(-10.609938+(-0.429012--0.971703))+0-0-0</f>
        <v>6569.8327530000006</v>
      </c>
      <c r="U130" s="3">
        <f>6828.5+(292.4-630.9)+(0+(0-0))+0-0-0</f>
        <v>6490</v>
      </c>
      <c r="V130" s="3">
        <f>6735.4+(317.8-635.3)+(-3.435054+(-0.162078--0.324003))+0-0-0</f>
        <v>6414.6268709999995</v>
      </c>
      <c r="W130" s="3">
        <f>6413.4+(531.4-580.9)+(-26.166672+(-2.168112--2.370072))+0-0-0</f>
        <v>6337.9352879999997</v>
      </c>
      <c r="X130" s="3">
        <f>5822.5+(799.7-514.6)+(-17.81685+(-2.447082--1.574676))+0-0-0</f>
        <v>6088.9107440000007</v>
      </c>
      <c r="Y130" s="3">
        <f>5585.7+(907.6-607.8)+(-14.243535+(-2.31438--1.54989))+0-0-0</f>
        <v>5870.4919749999999</v>
      </c>
      <c r="Z130" s="3">
        <f>5979.6+(712.9-523.1)+(3.049596+(0.363579-0.266781))+0-0-0</f>
        <v>6172.5463940000009</v>
      </c>
      <c r="AA130" s="3">
        <f>6255.2+(758.7-637.6)+(-15.95076+(-1.934685--1.62588))+0-0-0</f>
        <v>6360.0404349999999</v>
      </c>
      <c r="AB130" s="3">
        <f>6201.7+(678.5-730.7)+(-15.814335+(-1.730175--1.863285))+0-0-0</f>
        <v>6133.8187749999997</v>
      </c>
      <c r="AC130" s="3">
        <f>6134.7+(550.6-802.3)+(-3.128697+(-0.280806--0.409173))+0-0-0</f>
        <v>5879.9996700000002</v>
      </c>
      <c r="AD130">
        <v>6259.9</v>
      </c>
      <c r="AE130" s="3">
        <f>6195+(727.7-662.8)+(0+(0-0))+0-0-0</f>
        <v>6259.9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5878.4+(562.3-906.2)+(-2.997984+(-0.286773--0.462162))+0-0-0</f>
        <v>5531.6774050000004</v>
      </c>
      <c r="G131" s="3">
        <f>5757.8+(398.4-965.7)+(-5.872956+(-0.406368--0.985014))+0-0-0</f>
        <v>5185.2056899999998</v>
      </c>
      <c r="H131" s="3">
        <f>5653.2+(533.6-1253.3)+(0+(0-0))+0-0-0</f>
        <v>4933.5</v>
      </c>
      <c r="I131" s="3">
        <f>5532.3+(506.1-1298.9)+(-11.285892+(-1.032444--2.649756))+0-0-0</f>
        <v>4729.8314200000004</v>
      </c>
      <c r="J131" s="3">
        <f>5503.6+(282.5-1164)+(-14.03418+(-0.720375--2.9682))+0-0-0</f>
        <v>4610.3136450000002</v>
      </c>
      <c r="K131" s="3">
        <f>5444.1+(172.3-1133.1)+(-13.882455+(-0.439365--2.889405))+0-0-0</f>
        <v>4471.867585</v>
      </c>
      <c r="L131" s="3">
        <f>5155.7+(146.3-1120.5)+(-13.147035+(-0.373065--2.857275))+0-0-0</f>
        <v>4170.8371749999997</v>
      </c>
      <c r="M131" s="3">
        <f>5064.1+(216.1-1147.5)+(-7.748073+(-0.330633--1.755675))+0-0-0</f>
        <v>4126.3769690000008</v>
      </c>
      <c r="N131" s="3">
        <f>5288.5+(244.3-1201.4)+(-5.39427+(-0.249186--1.225428))+0-0-0</f>
        <v>4326.9819719999996</v>
      </c>
      <c r="O131" s="3">
        <f>5454.4+(257.5-1021.7)+(-2.781744+(-0.131325--0.521067))+0-0-0</f>
        <v>4687.8079980000002</v>
      </c>
      <c r="P131" s="3">
        <f>5499.2+(459-965.4)+(2.804592+(0.23409-0.492354))+0-0-0</f>
        <v>4995.3463280000005</v>
      </c>
      <c r="Q131" s="3">
        <f>5869.2+(474.5-1009.4)+(0+(0-0))+0-0-0</f>
        <v>5334.3</v>
      </c>
      <c r="R131" s="3">
        <f>6032.3+(407.6-954.1)+(3.076473+(0.207876-0.486591))+0-0-0</f>
        <v>5488.5977579999999</v>
      </c>
      <c r="S131" s="3">
        <f>6028.6+(420.2-920.5)+(9.223758+(0.642906-1.408365))+0-0-0</f>
        <v>5536.7582990000001</v>
      </c>
      <c r="T131" s="3">
        <f>5986.3+(428.2-867.8)+(-3.053013+(-0.218382--0.442578))+0-0-0</f>
        <v>5543.8711830000002</v>
      </c>
      <c r="U131" s="3">
        <f>5952.6+(378.5-833.6)+(-12.143304+(-0.77214--1.700544))+0-0-0</f>
        <v>5486.2851000000001</v>
      </c>
      <c r="V131" s="3">
        <f>5959.6+(342.3-809.2)+(-3.039396+(-0.174573--0.412692))+0-0-0</f>
        <v>5489.8987230000012</v>
      </c>
      <c r="W131" s="3">
        <f>5905.4+(423.2-837.8)+(-15.05877+(-1.07916--2.13639))+0-0-0</f>
        <v>5476.7984599999991</v>
      </c>
      <c r="X131" s="3">
        <f>5701.4+(598.4-861.6)+(-5.815428+(-0.610368--0.878832))+0-0-0</f>
        <v>5432.6530359999997</v>
      </c>
      <c r="Y131" s="3">
        <f>5357.6+(689.1-633)+(-10.929504+(-1.405764--1.29132))+0-0-0</f>
        <v>5402.6560520000003</v>
      </c>
      <c r="Z131" s="3">
        <f>5747.4+(437.2-439.1)+(-11.724696+(-0.891888--0.895764))+0-0-0</f>
        <v>5733.7791800000005</v>
      </c>
      <c r="AA131" s="3">
        <f>6413.5+(441.4-883.1)+(-9.812655+(-0.675342--1.351143))+0-0-0</f>
        <v>5962.6631459999999</v>
      </c>
      <c r="AB131" s="3">
        <f>6439+(537.9-1094.7)+(-9.85167+(-0.822987--1.674891))+0-0-0</f>
        <v>5873.2002339999999</v>
      </c>
      <c r="AC131" s="3">
        <f>6401+(605-1301.5)+(0+(0-0))+0-0-0</f>
        <v>5704.5</v>
      </c>
      <c r="AD131">
        <v>5901</v>
      </c>
      <c r="AE131" s="3">
        <f>6447+(492.7-1038.7)+(0+(0-0))+0-0-0</f>
        <v>5901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6349.4+(654.4-1636.6)+(-12.952776+(-1.334976--3.338664))+0-0-0</f>
        <v>5356.2509119999995</v>
      </c>
      <c r="G132" s="3">
        <f>6139.1+(625.5-1745.1)+(-9.392823+(-0.957015--2.670003))+0-0-0</f>
        <v>5011.8201650000001</v>
      </c>
      <c r="H132" s="3">
        <f>5850.3+(555-1638.5)+(0+(0-0))+0-0-0</f>
        <v>4766.8</v>
      </c>
      <c r="I132" s="3">
        <f>5738.9+(528-1638.9)+(-11.707356+(-1.07712--3.343356))+0-0-0</f>
        <v>4618.5588799999996</v>
      </c>
      <c r="J132" s="3">
        <f>5552.9+(446.6-1449.6)+(-11.327916+(-0.911064--2.957184))+0-0-0</f>
        <v>4540.6182039999994</v>
      </c>
      <c r="K132" s="3">
        <f>5495+(585.9-1601.5)+(-14.01225+(-1.494045--4.083825))+0-0-0</f>
        <v>4467.9775299999992</v>
      </c>
      <c r="L132" s="3">
        <f>5407.9+(773.5-1787.1)+(-13.790145+(-1.972425--4.557105))+0-0-0</f>
        <v>4383.0945349999993</v>
      </c>
      <c r="M132" s="3">
        <f>5736.7+(772-1605.8)+(8.777151+(1.18116-2.456874))+0-0-0</f>
        <v>4910.4014369999995</v>
      </c>
      <c r="N132" s="3">
        <f>6468.1+(857.3-1578.6)+(-3.298731+(-0.437223--0.805086))+0-0-0</f>
        <v>5743.8691319999998</v>
      </c>
      <c r="O132" s="3">
        <f>6798.4+(963.3-1489.7)+(0+(0-0))+0-0-0</f>
        <v>6272</v>
      </c>
      <c r="P132" s="3">
        <f>7116+(985.7-1352.4)+(7.25832+(1.005414-1.379448))+0-0-0</f>
        <v>6756.1842860000006</v>
      </c>
      <c r="Q132" s="3">
        <f>7112.6+(869.2-931.7)+(7.254852+(0.886584-0.950334))+0-0-0</f>
        <v>7057.2911020000001</v>
      </c>
      <c r="R132" s="3">
        <f>7209.1+(877.1-914)+(7.353282+(0.894642-0.93228))+0-0-0</f>
        <v>7179.515644000001</v>
      </c>
      <c r="S132" s="3">
        <f>7285.4+(957.3-1134.4)+(-3.715554+(-0.488223--0.578544))+0-0-0</f>
        <v>7104.6747669999995</v>
      </c>
      <c r="T132" s="3">
        <f>7237.1+(946.5-943.7)+(-7.381842+(-0.96543--0.962574))+0-0-0</f>
        <v>7232.5153020000007</v>
      </c>
      <c r="U132" s="3">
        <f>7286.7+(923.6-988.1)+(11.148651+(1.413108-1.511793))+0-0-0</f>
        <v>7233.2499659999994</v>
      </c>
      <c r="V132" s="3">
        <f>7287.4+(856.7-977.7)+(0+(0-0))+0-0-0</f>
        <v>7166.4</v>
      </c>
      <c r="W132" s="3">
        <f>7266.5+(892.8-1170.2)+(3.705915+(0.455328-0.596802))+0-0-0</f>
        <v>6992.6644410000008</v>
      </c>
      <c r="X132" s="3">
        <f>7083.6+(785.4-1207.3)+(-10.837908+(-1.201662--1.847169))+0-0-0</f>
        <v>6651.5075990000005</v>
      </c>
      <c r="Y132" s="3">
        <f>6819.2+(746.9-1255.8)+(-6.955584+(-0.761838--1.280916))+0-0-0</f>
        <v>6303.8634940000002</v>
      </c>
      <c r="Z132" s="3">
        <f>6999.4+(788.5-1202.5)+(3.569694+(0.402135-0.613275))+0-0-0</f>
        <v>6588.758554</v>
      </c>
      <c r="AA132" s="3">
        <f>7196.2+(562.1-1011.7)+(-7.340124+(-0.573342--1.031934))+0-0-0</f>
        <v>6739.7184679999991</v>
      </c>
      <c r="AB132" s="3">
        <f>7179.3+(574.5-1282.6)+(-7.322886+(-0.58599--1.308252))+0-0-0</f>
        <v>6464.599376000001</v>
      </c>
      <c r="AC132" s="3">
        <f>7153.9+(680.6-1615.1)+(7.296978+(0.694212-1.647402))+0-0-0</f>
        <v>6225.7437879999998</v>
      </c>
      <c r="AD132">
        <v>6740.6</v>
      </c>
      <c r="AE132" s="3">
        <f>7201+(558.8-1019.2)+(0+(0-0))+0-0-0</f>
        <v>6740.6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7026+(502.5-1777.7)+(-17.9163+(-1.281375--4.533135))+0-0-0</f>
        <v>5736.1354600000004</v>
      </c>
      <c r="G133" s="3">
        <f>6987.9+(416.6-2094.6)+(-10.691487+(-0.637398--3.204738))+0-0-0</f>
        <v>5301.7758529999992</v>
      </c>
      <c r="H133" s="3">
        <f>6641.6+(485.1-2103.7)+(-16.93608+(-1.237005--5.364435))+0-0-0</f>
        <v>5010.1913500000001</v>
      </c>
      <c r="I133" s="3">
        <f>6532.7+(545.1-2194.9)+(-13.326708+(-1.112004--4.477596))+0-0-0</f>
        <v>4872.9388839999992</v>
      </c>
      <c r="J133" s="3">
        <f>6477.7+(460.9-2124.6)+(-9.910881+(-0.705177--3.250638))+0-0-0</f>
        <v>4806.6345799999999</v>
      </c>
      <c r="K133" s="3">
        <f>6397.8+(396.2-2092.9)+(-9.788634+(-0.606186--3.202137))+0-0-0</f>
        <v>4693.9073170000001</v>
      </c>
      <c r="L133" s="3">
        <f>5672.8+(381.9-1439.2)+(-5.786256+(-0.389538--1.467984))+0-0-0</f>
        <v>4610.7921900000001</v>
      </c>
      <c r="M133" s="3">
        <f>5906.6+(646.4-1506.7)+(6.024732+(0.659328-1.536834))+0-0-0</f>
        <v>5051.4472260000002</v>
      </c>
      <c r="N133" s="3">
        <f>6504+(780.6-1489.8)+(-13.26816+(-1.592424--3.039192))+0-0-0</f>
        <v>5782.9786080000003</v>
      </c>
      <c r="O133" s="3">
        <f>7035.3+(1039.4-1524.1)+(3.588003+(0.530094-0.777291))+0-0-0</f>
        <v>6553.9408060000005</v>
      </c>
      <c r="P133" s="3">
        <f>7275.4+(1303.9-1556.1)+(7.420908+(1.329978-1.587222))+0-0-0</f>
        <v>7030.3636639999995</v>
      </c>
      <c r="Q133" s="3">
        <f>7247.8+(1265.1-1248.2)+(11.089134+(1.935603-1.909746))+0-0-0</f>
        <v>7275.8149910000002</v>
      </c>
      <c r="R133" s="3">
        <f>7238.6+(984-934.4)+(3.691686+(0.50184-0.476544))+0-0-0</f>
        <v>7291.9169820000006</v>
      </c>
      <c r="S133" s="3">
        <f>7238.4+(786.8-779.3)+(-3.691584+(-0.401268--0.397443))+0-0-0</f>
        <v>7242.2045909999997</v>
      </c>
      <c r="T133" s="3">
        <f>7258+(666.5-501)+(0+(0-0))+0-0-0</f>
        <v>7423.5</v>
      </c>
      <c r="U133" s="3">
        <f>7210.1+(555.7-364.6)+(-11.031453+(-0.850221--0.557838))+0-0-0</f>
        <v>7389.8761640000012</v>
      </c>
      <c r="V133" s="3">
        <f>7173.9+(497.2-293.9)+(-7.317378+(-0.507144--0.299778))+0-0-0</f>
        <v>7369.6752559999995</v>
      </c>
      <c r="W133" s="3">
        <f>7155.4+(537.8-522.6)+(-3.649254+(-0.274278--0.266526))+0-0-0</f>
        <v>7166.9429939999991</v>
      </c>
      <c r="X133" s="3">
        <f>7142.7+(699-1021.2)+(-7.285554+(-0.71298--1.041624))+0-0-0</f>
        <v>6813.5430900000001</v>
      </c>
      <c r="Y133" s="3">
        <f>7084.3+(601.1-1229.5)+(7.225986+(0.613122-1.25409))+0-0-0</f>
        <v>6462.4850180000003</v>
      </c>
      <c r="Z133" s="3">
        <f>7329.2+(808.5-1381.6)+(-3.737892+(-0.412335--0.704616))+0-0-0</f>
        <v>6752.6543890000003</v>
      </c>
      <c r="AA133" s="3">
        <f>7447.3+(587.9-1150.9)+(-18.990615+(-1.499145--2.934795))+0-0-0</f>
        <v>6866.7450349999999</v>
      </c>
      <c r="AB133" s="3">
        <f>7475.7+(479.3-1307.5)+(3.812607+(0.244443-0.666825))+0-0-0</f>
        <v>6650.8902250000001</v>
      </c>
      <c r="AC133" s="3">
        <f>7392.1+(470.9-1518.1)+(-3.769971+(-0.240159--0.774231))+0-0-0</f>
        <v>6341.6641010000003</v>
      </c>
      <c r="AD133">
        <v>6911.4</v>
      </c>
      <c r="AE133" s="3">
        <f>7436+(682.7-1207.3)+(0+(0-0))+0-0-0</f>
        <v>6911.4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7362.7+(466.3-1977)+(-18.774885+(-1.189065--5.04135))+0-0-0</f>
        <v>5837.0774000000001</v>
      </c>
      <c r="G134" s="3">
        <f>7204.8+(215.4-2017.9)+(-14.697792+(-0.439416--4.116516))+0-0-0</f>
        <v>5391.2793080000001</v>
      </c>
      <c r="H134" s="3">
        <f>6933.8+(211.4-2018.4)+(-24.753666+(-0.754698--7.205688))+0-0-0</f>
        <v>5108.4973239999999</v>
      </c>
      <c r="I134" s="3">
        <f>6907+(148.6-2034.7)+(-3.52257+(-0.075786--1.037697))+0-0-0</f>
        <v>5018.3393409999999</v>
      </c>
      <c r="J134" s="3">
        <f>6766.5+(175.7-1892.9)+(-3.450915+(-0.089607--0.965379))+0-0-0</f>
        <v>5046.7248570000002</v>
      </c>
      <c r="K134" s="3">
        <f>6401+(162.6-1771.5)+(-3.26451+(-0.082926--0.903465))+0-0-0</f>
        <v>4789.6560290000007</v>
      </c>
      <c r="L134" s="3">
        <f>5976.6+(349.7-1678.8)+(-6.096132+(-0.356694--1.712376))+0-0-0</f>
        <v>4642.7595499999998</v>
      </c>
      <c r="M134" s="3">
        <f>6203.5+(247.7-1387.2)+(9.491355+(0.378981-2.122416))+0-0-0</f>
        <v>5071.7479199999998</v>
      </c>
      <c r="N134" s="3">
        <f>6918.4+(342.6-1476.7)+(-3.528384+(-0.174726--0.753117))+0-0-0</f>
        <v>5781.3500069999991</v>
      </c>
      <c r="O134" s="3">
        <f>7101.4+(829.7-1519.9)+(10.865142+(1.269441-2.325447))+0-0-0</f>
        <v>6421.0091359999997</v>
      </c>
      <c r="P134" s="3">
        <f>7023.8+(809.2-989.1)+(7.164276+(0.825384-1.008882))+0-0-0</f>
        <v>6850.8807780000006</v>
      </c>
      <c r="Q134" s="3">
        <f>6996.6+(749.4-628.5)+(7.136532+(0.764388-0.64107))+0-0-0</f>
        <v>7124.7598500000004</v>
      </c>
      <c r="R134" s="3">
        <f>7178.2+(790.5-572.5)+(0+(0-0))+0-0-0</f>
        <v>7396.2</v>
      </c>
      <c r="S134" s="3">
        <f>7276.2+(585.3-445.1)+(-3.710862+(-0.298503--0.227001))+0-0-0</f>
        <v>7412.6176359999999</v>
      </c>
      <c r="T134" s="3">
        <f>7222.9+(654.7-344.4)+(-7.367358+(-0.667794--0.351288))+0-0-0</f>
        <v>7525.5161360000002</v>
      </c>
      <c r="U134" s="3">
        <f>7193.2+(639.5-421.2)+(-14.674128+(-1.30458--0.859248))+0-0-0</f>
        <v>7396.3805400000001</v>
      </c>
      <c r="V134" s="3">
        <f>7188.7+(623.6-515.3)+(-3.666237+(-0.318036--0.262803))+0-0-0</f>
        <v>7293.2785299999996</v>
      </c>
      <c r="W134" s="3">
        <f>7177.1+(653.6-777)+(-7.320642+(-0.666672--0.79254))+0-0-0</f>
        <v>7046.5052260000011</v>
      </c>
      <c r="X134" s="3">
        <f>7124.6+(856.3-1238.2)+(-10.900638+(-1.310139--1.894446))+0-0-0</f>
        <v>6732.3836690000007</v>
      </c>
      <c r="Y134" s="3">
        <f>6987.6+(693-1142.4)+(7.127352+(0.70686-1.165248))+0-0-0</f>
        <v>6544.8689640000011</v>
      </c>
      <c r="Z134" s="3">
        <f>7324.7+(782.8-1059.7)+(3.735597+(0.399228-0.540447))+0-0-0</f>
        <v>7051.3943779999991</v>
      </c>
      <c r="AA134" s="3">
        <f>7412.6+(635.5-927.1)+(-3.780426+(-0.324105--0.472821))+0-0-0</f>
        <v>7117.3682900000003</v>
      </c>
      <c r="AB134" s="3">
        <f>7418.2+(594.8-1104.8)+(-7.566564+(-0.606696--1.126896))+0-0-0</f>
        <v>6901.153636</v>
      </c>
      <c r="AC134" s="3">
        <f>7385.3+(501.4-1255.5)+(3.766503+(0.255714-0.640305))+0-0-0</f>
        <v>6634.5819119999996</v>
      </c>
      <c r="AD134">
        <v>7006.0999999999995</v>
      </c>
      <c r="AE134" s="3">
        <f>7372+(523.2-889.1)+(0+(0-0))+0-0-0</f>
        <v>7006.1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7230.8+(471.5-1535.6)+(3.687708+(0.240465-0.783156))+0-0-0</f>
        <v>6169.8450170000006</v>
      </c>
      <c r="G135" s="3">
        <f>7152.5+(500.8-2005)+(-14.5911+(-1.021632--4.0902))+0-0-0</f>
        <v>5636.7774680000002</v>
      </c>
      <c r="H135" s="3">
        <f>7096.9+(528.8-2256.1)+(-3.619419+(-0.269688--1.150611))+0-0-0</f>
        <v>5366.8615039999995</v>
      </c>
      <c r="I135" s="3">
        <f>6995.7+(390.4-2086.9)+(10.703421+(0.597312-3.192957))+0-0-0</f>
        <v>5307.3077759999996</v>
      </c>
      <c r="J135" s="3">
        <f>6946.2+(478.1-2069)+(-3.542562+(-0.243831--1.05519))+0-0-0</f>
        <v>5352.568796999999</v>
      </c>
      <c r="K135" s="3">
        <f>6680.5+(436.1-2150.7)+(0+(0-0))+0-0-0</f>
        <v>4965.8999999999996</v>
      </c>
      <c r="L135" s="3">
        <f>6439.6+(519.5-2157.4)+(-6.568392+(-0.52989--2.200548))+0-0-0</f>
        <v>4796.8022660000006</v>
      </c>
      <c r="M135" s="3">
        <f>6534.7+(513.6-1901.7)+(0+(0-0))+0-0-0</f>
        <v>5146.6000000000004</v>
      </c>
      <c r="N135" s="3">
        <f>6955.5+(751.2-1844.3)+(3.547305+(0.383112-0.940593))+0-0-0</f>
        <v>5865.3898239999999</v>
      </c>
      <c r="O135" s="3">
        <f>7150.7+(1099.1-1742.7)+(14.587428+(2.242164-3.555108))+0-0-0</f>
        <v>6520.374483999999</v>
      </c>
      <c r="P135" s="3">
        <f>7137.1+(1137.4-1315.9)+(7.279842+(1.160148-1.342218))+0-0-0</f>
        <v>6965.6977720000004</v>
      </c>
      <c r="Q135" s="3">
        <f>7095.6+(1051.1-937.9)+(7.237512+(1.072122-0.956658))+0-0-0</f>
        <v>7216.1529760000003</v>
      </c>
      <c r="R135" s="3">
        <f>7103.3+(897.2-666.1)+(-10.868049+(-1.372716--1.019133))+0-0-0</f>
        <v>7323.1783680000008</v>
      </c>
      <c r="S135" s="3">
        <f>7106.6+(694.9-457.9)+(-7.248732+(-0.708798--0.467058))+0-0-0</f>
        <v>7336.109528</v>
      </c>
      <c r="T135" s="3">
        <f>7083.5+(682.2-355.2)+(0+(0-0))+0-0-0</f>
        <v>7410.5</v>
      </c>
      <c r="U135" s="3">
        <f>7045.4+(664.3-388.1)+(-7.186308+(-0.677586--0.395862))+0-0-0</f>
        <v>7314.1319679999997</v>
      </c>
      <c r="V135" s="3">
        <f>7090.9+(563.4-448.4)+(10.849077+(0.862002-0.686052))+0-0-0</f>
        <v>7216.9250269999993</v>
      </c>
      <c r="W135" s="3">
        <f>7097.1+(636.5-691.6)+(-10.858563+(-0.973845--1.058148))+0-0-0</f>
        <v>7031.2257399999999</v>
      </c>
      <c r="X135" s="3">
        <f>7051+(808.3-1087.3)+(-14.38404+(-1.648932--2.218092))+0-0-0</f>
        <v>6758.1851200000001</v>
      </c>
      <c r="Y135" s="3">
        <f>7039.5+(967.1-1404.4)+(3.590145+(0.493221-0.716244))+0-0-0</f>
        <v>6605.5671219999995</v>
      </c>
      <c r="Z135" s="3">
        <f>7303.9+(751.4-1027.6)+(3.724989+(0.383214-0.524076))+0-0-0</f>
        <v>7031.2841269999999</v>
      </c>
      <c r="AA135" s="3">
        <f>7397.8+(680.3-1033.3)+(-18.86439+(-1.734765--2.634915))+0-0-0</f>
        <v>7026.8357599999999</v>
      </c>
      <c r="AB135" s="3">
        <f>7412.9+(688.9-1232.1)+(-7.561158+(-0.702678--1.256742))+0-0-0</f>
        <v>6862.6929060000002</v>
      </c>
      <c r="AC135" s="3">
        <f>7361.6+(761.1-1461.6)+(-3.754416+(-0.388161--0.745416))+0-0-0</f>
        <v>6657.7028390000005</v>
      </c>
      <c r="AD135">
        <v>7038.9</v>
      </c>
      <c r="AE135" s="3">
        <f>7391+(633.4-985.5)+(0+(0-0))+0-0-0</f>
        <v>7038.9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7292.2+(636.2-1765.8)+(-3.719022+(-0.324462--0.900558))+0-0-0</f>
        <v>6159.4570739999999</v>
      </c>
      <c r="G136" s="3">
        <f>7003.1+(588.3-1968)+(-17.857905+(-1.500165--5.0184))+0-0-0</f>
        <v>5609.0603300000002</v>
      </c>
      <c r="H136" s="3">
        <f>6763.1+(462.2-1910.8)+(-6.898362+(-0.471444--1.949016))+0-0-0</f>
        <v>5309.0792099999999</v>
      </c>
      <c r="I136" s="3">
        <f>6781.4+(511.6-2076.3)+(3.458514+(0.260916-1.058913))+0-0-0</f>
        <v>5219.3605169999992</v>
      </c>
      <c r="J136" s="3">
        <f>6716.4+(567.1-1970.8)+(-3.425364+(-0.289221--1.005108))+0-0-0</f>
        <v>5309.9905229999995</v>
      </c>
      <c r="K136" s="3">
        <f>6456.7+(538.7-1997.6)+(-3.292917+(-0.274737--1.018776))+0-0-0</f>
        <v>4995.2511220000006</v>
      </c>
      <c r="L136" s="3">
        <f>6177.4+(423.2-1754.6)+(-9.451422+(-0.647496--2.684538))+0-0-0</f>
        <v>4838.5856199999998</v>
      </c>
      <c r="M136" s="3">
        <f>6222.6+(402.3-1431.8)+(3.173526+(0.205173-0.730218))+0-0-0</f>
        <v>5195.7484810000005</v>
      </c>
      <c r="N136" s="3">
        <f>7044.2+(823.3-1808.2)+(0+(0-0))+0-0-0</f>
        <v>6059.2999999999993</v>
      </c>
      <c r="O136" s="3">
        <f>7168.9+(978.5-1579.5)+(10.968417+(1.497105-2.416635))+0-0-0</f>
        <v>6577.9488869999996</v>
      </c>
      <c r="P136" s="3">
        <f>7123+(959.3-1097.4)+(7.26546+(0.978486-1.119348))+0-0-0</f>
        <v>6992.024598</v>
      </c>
      <c r="Q136" s="3">
        <f>7096.5+(936-854.3)+(10.857645+(1.43208-1.307079))+0-0-0</f>
        <v>7189.1826460000002</v>
      </c>
      <c r="R136" s="3">
        <f>7249.1+(704.3-500.9)+(-3.697041+(-0.359193--0.255459))+0-0-0</f>
        <v>7448.6992250000003</v>
      </c>
      <c r="S136" s="3">
        <f>7215.5+(588.3-464.5)+(-3.679905+(-0.300033--0.236895))+0-0-0</f>
        <v>7335.5569569999998</v>
      </c>
      <c r="T136" s="3">
        <f>7158.6+(696.5-392.1)+(3.650886+(0.355215-0.199971))+0-0-0</f>
        <v>7466.8061299999999</v>
      </c>
      <c r="U136" s="3">
        <f>7140+(626-390.7)+(3.6414+(0.31926-0.199257))+0-0-0</f>
        <v>7379.0614030000006</v>
      </c>
      <c r="V136" s="3">
        <f>7124.1+(575.1-435.7)+(-3.633291+(-0.293301--0.222207))+0-0-0</f>
        <v>7259.795615</v>
      </c>
      <c r="W136" s="3">
        <f>7104.6+(661.2-663.7)+(-10.870038+(-1.011636--1.015461))+0-0-0</f>
        <v>7091.2337870000001</v>
      </c>
      <c r="X136" s="3">
        <f>7119.7+(886.3-1194.3)+(-3.631047+(-0.452013--0.609093))+0-0-0</f>
        <v>6808.2260329999999</v>
      </c>
      <c r="Y136" s="3">
        <f>7165+(899.7-1439.9)+(-7.3083+(-0.917694--1.468698))+0-0-0</f>
        <v>6618.0427040000004</v>
      </c>
      <c r="Z136" s="3">
        <f>7359+(791.9-1154.9)+(-7.50618+(-0.807738--1.177998))+0-0-0</f>
        <v>6988.8640800000003</v>
      </c>
      <c r="AA136" s="3">
        <f>7428.3+(697.9-1086.3)+(-11.365299+(-1.067787--1.662039))+0-0-0</f>
        <v>7029.1289530000004</v>
      </c>
      <c r="AB136" s="3">
        <f>7427.8+(852.6-1417.6)+(3.788178+(0.434826-0.722976))+0-0-0</f>
        <v>6866.3000280000006</v>
      </c>
      <c r="AC136" s="3">
        <f>7344.2+(890.5-1544.7)+(-3.745542+(-0.454155--0.787797))+0-0-0</f>
        <v>6686.5880999999999</v>
      </c>
      <c r="AD136">
        <v>7047.5</v>
      </c>
      <c r="AE136" s="3">
        <f>7377+(641-970.5)+(0+(0-0))+0-0-0</f>
        <v>7047.5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7269.6+(725-1829.7)+(0+(0-0))+0-0-0</f>
        <v>6164.9000000000005</v>
      </c>
      <c r="G137" s="3">
        <f>7020.3+(668.8-2031.8)+(-3.580353+(-0.341088--1.036218))+0-0-0</f>
        <v>5654.414777</v>
      </c>
      <c r="H137" s="3">
        <f>6710.2+(469.5-1886)+(-6.844404+(-0.47889--1.92372))+0-0-0</f>
        <v>5288.3004259999998</v>
      </c>
      <c r="I137" s="3">
        <f>6627.4+(297.1-1646.3)+(-6.759948+(-0.303042--1.679226))+0-0-0</f>
        <v>5272.8162359999997</v>
      </c>
      <c r="J137" s="3">
        <f>6747.1+(459.4-1884.2)+(-13.764084+(-0.937176--3.843768))+0-0-0</f>
        <v>5311.4425080000001</v>
      </c>
      <c r="K137" s="3">
        <f>6413.2+(532.4-1926.7)+(-13.082928+(-1.086096--3.930468))+0-0-0</f>
        <v>5008.6614439999994</v>
      </c>
      <c r="L137" s="3">
        <f>5971.3+(492.8-1643.3)+(-12.181452+(-1.005312--3.352332))+0-0-0</f>
        <v>4810.9655680000005</v>
      </c>
      <c r="M137" s="3">
        <f>6080.4+(504.4-1463.8)+(15.50502+(1.28622-3.73269))+0-0-0</f>
        <v>5134.0585499999997</v>
      </c>
      <c r="N137" s="3">
        <f>6732.3+(693.9-1666.1)+(6.866946+(0.707778-1.699422))+0-0-0</f>
        <v>5765.9753020000007</v>
      </c>
      <c r="O137" s="3">
        <f>6884.5+(974.2-1512.6)+(7.02219+(0.993684-1.542852))+0-0-0</f>
        <v>6352.5730220000005</v>
      </c>
      <c r="P137" s="3">
        <f>6884.6+(911.6-1018.5)+(10.533438+(1.394748-1.558305))+0-0-0</f>
        <v>6788.0698810000004</v>
      </c>
      <c r="Q137" s="3">
        <f>6939.3+(835.6-740.7)+(14.156172+(1.704624-1.511028))+0-0-0</f>
        <v>7048.5497679999999</v>
      </c>
      <c r="R137" s="3">
        <f>6959.9+(732.8-561.9)+(7.099098+(0.747456-0.573138))+0-0-0</f>
        <v>7138.0734159999993</v>
      </c>
      <c r="S137" s="3">
        <f>6895.2+(605-471.8)+(-3.516552+(-0.30855--0.240618))+0-0-0</f>
        <v>7024.8155159999997</v>
      </c>
      <c r="T137" s="3">
        <f>6901.2+(571.9-454.5)+(-3.519612+(-0.291669--0.231795))+0-0-0</f>
        <v>7015.0205139999998</v>
      </c>
      <c r="U137" s="3">
        <f>6849.8+(552.9-513.3)+(-13.973592+(-1.127916--1.047132))+0-0-0</f>
        <v>6875.3456240000005</v>
      </c>
      <c r="V137" s="3">
        <f>6807.5+(675.8-661.3)+(3.471825+(0.344658-0.337263))+0-0-0</f>
        <v>6825.4792200000002</v>
      </c>
      <c r="W137" s="3">
        <f>6757+(892.7-894)+(-10.33821+(-1.365831--1.36782))+0-0-0</f>
        <v>6745.3637790000002</v>
      </c>
      <c r="X137" s="3">
        <f>6747.6+(1121.9-1321.2)+(-6.882552+(-1.144338--1.347624))+0-0-0</f>
        <v>6541.6207340000001</v>
      </c>
      <c r="Y137" s="3">
        <f>6688.4+(1079.6-1382.7)+(0+(0-0))+0-0-0</f>
        <v>6385.2999999999993</v>
      </c>
      <c r="Z137" s="3">
        <f>7147+(823.2-1239)+(-7.28994+(-0.839664--1.26378))+0-0-0</f>
        <v>6724.3341759999994</v>
      </c>
      <c r="AA137" s="3">
        <f>7241+(751.6-1280)+(-18.46455+(-1.91658--3.264))+0-0-0</f>
        <v>6695.4828700000007</v>
      </c>
      <c r="AB137" s="3">
        <f>7259.7+(805.4-1502.2)+(-7.404894+(-0.821508--1.532244))+0-0-0</f>
        <v>6556.2058419999994</v>
      </c>
      <c r="AC137" s="3">
        <f>7225.5+(897.1-1720.6)+(-7.37001+(-0.915042--1.755012))+0-0-0</f>
        <v>6395.4699600000004</v>
      </c>
      <c r="AD137">
        <v>6720.1</v>
      </c>
      <c r="AE137" s="3">
        <f>7176+(738.2-1194.1)+(0+(0-0))+0-0-0</f>
        <v>6720.1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7128.2+(742.4-1808.6)+(-3.635382+(-0.378624--0.922386))+0-0-0</f>
        <v>6058.9083799999999</v>
      </c>
      <c r="G138" s="3">
        <f>7040.7+(569-1947.8)+(-7.181514+(-0.58038--1.986756))+0-0-0</f>
        <v>5656.1248619999997</v>
      </c>
      <c r="H138" s="3">
        <f>6979+(386.5-2049.8)+(-21.35574+(-1.18269--6.272388))+0-0-0</f>
        <v>5299.4339579999996</v>
      </c>
      <c r="I138" s="3">
        <f>6900.5+(270.7-1995.4)+(7.03851+(0.276114-2.035308))+0-0-0</f>
        <v>5181.0793160000003</v>
      </c>
      <c r="J138" s="3">
        <f>6951+(365.2-2069.6)+(-3.54501+(-0.186252--1.055496))+0-0-0</f>
        <v>5243.9242340000001</v>
      </c>
      <c r="K138" s="3">
        <f>6666.6+(307.9-2196.6)+(-3.399966+(-0.157029--1.120266))+0-0-0</f>
        <v>4775.4632710000005</v>
      </c>
      <c r="L138" s="3">
        <f>6209+(227.7-1856.4)+(-12.66636+(-0.464508--3.787056))+0-0-0</f>
        <v>4570.9561880000001</v>
      </c>
      <c r="M138" s="3">
        <f>5883+(261.1-1677.5)+(-12.00132+(-0.532644--3.4221))+0-0-0</f>
        <v>4457.4881359999999</v>
      </c>
      <c r="N138" s="3">
        <f>5911.5+(257.8-1570.9)+(0+(0-0))+0-0-0</f>
        <v>4598.3999999999996</v>
      </c>
      <c r="O138" s="3">
        <f>6287+(317.6-1683)+(0+(0-0))+0-0-0</f>
        <v>4921.6000000000004</v>
      </c>
      <c r="P138" s="3">
        <f>6398.7+(520.6-1587.3)+(-6.526674+(-0.531012--1.619046))+0-0-0</f>
        <v>5326.5613599999997</v>
      </c>
      <c r="Q138" s="3">
        <f>6648.7+(638.8-1673.5)+(6.781674+(0.651576-1.70697))+0-0-0</f>
        <v>5619.7262799999999</v>
      </c>
      <c r="R138" s="3">
        <f>6742.9+(800.8-1723)+(-6.877758+(-0.816816--1.75746))+0-0-0</f>
        <v>5814.7628859999995</v>
      </c>
      <c r="S138" s="3">
        <f>6784.6+(806.1-1619.9)+(3.460146+(0.411111-0.826149))+0-0-0</f>
        <v>5973.8451080000004</v>
      </c>
      <c r="T138" s="3">
        <f>6693+(812-1459.3)+(-3.41343+(-0.41412--0.744243))+0-0-0</f>
        <v>6042.6166929999999</v>
      </c>
      <c r="U138" s="3">
        <f>6647.8+(826.9-1460.4)+(-3.390378+(-0.421719--0.744804))+0-0-0</f>
        <v>6011.2327070000001</v>
      </c>
      <c r="V138" s="3">
        <f>6539.4+(879-1513.1)+(0+(0-0))+0-0-0</f>
        <v>5905.2999999999993</v>
      </c>
      <c r="W138" s="3">
        <f>6567.1+(1009.2-1749.9)+(-13.396884+(-2.058768--3.569796))+0-0-0</f>
        <v>5814.5141440000007</v>
      </c>
      <c r="X138" s="3">
        <f>6443.2+(931.2-1567.7)+(-6.572064+(-0.949824--1.599054))+0-0-0</f>
        <v>5800.7771659999999</v>
      </c>
      <c r="Y138" s="3">
        <f>6401.6+(824.3-1366.8)+(-6.529632+(-0.840786--1.394136))+0-0-0</f>
        <v>5853.1237180000007</v>
      </c>
      <c r="Z138" s="3">
        <f>6801.3+(1009.2-1514.1)+(-6.937326+(-1.029384--1.544382))+0-0-0</f>
        <v>6289.9776720000009</v>
      </c>
      <c r="AA138" s="3">
        <f>7050.9+(907.4-1622.7)+(-10.787877+(-1.388322--2.482731))+0-0-0</f>
        <v>6325.9065319999991</v>
      </c>
      <c r="AB138" s="3">
        <f>7087.6+(827.6-1594)+(-7.229352+(-0.844152--1.62588))+0-0-0</f>
        <v>6314.7523760000004</v>
      </c>
      <c r="AC138" s="3">
        <f>6999.1+(830.6-1582.5)+(3.569541+(0.423606-0.807075))+0-0-0</f>
        <v>6250.3860720000011</v>
      </c>
      <c r="AD138">
        <v>6222.7000000000007</v>
      </c>
      <c r="AE138" s="3">
        <f>7039+(895.6-1711.9)+(0+(0-0))+0-0-0</f>
        <v>6222.7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6817+(765.1-1730.9)+(0+(0-0))+0-0-0</f>
        <v>5851.2</v>
      </c>
      <c r="G139" s="3">
        <f>6634.9+(678-1857.6)+(-3.383799+(-0.34578--0.947376))+0-0-0</f>
        <v>5452.5177969999995</v>
      </c>
      <c r="H139" s="3">
        <f>6643.2+(559.6-2017)+(-3.388032+(-0.285396--1.02867))+0-0-0</f>
        <v>5183.1552419999989</v>
      </c>
      <c r="I139" s="3">
        <f>6566.9+(472.7-1976.9)+(-6.698238+(-0.482154--2.016438))+0-0-0</f>
        <v>5057.5360460000002</v>
      </c>
      <c r="J139" s="3">
        <f>6597.1+(464.3-1911.1)+(-10.093563+(-0.710379--2.923983))+0-0-0</f>
        <v>5142.4200410000003</v>
      </c>
      <c r="K139" s="3">
        <f>6402.7+(320.1-1809.2)+(-9.796131+(-0.489753--2.768076))+0-0-0</f>
        <v>4906.0821920000008</v>
      </c>
      <c r="L139" s="3">
        <f>5913.1+(273.8-1371.1)+(-3.015681+(-0.139638--0.699261))+0-0-0</f>
        <v>4813.3439420000004</v>
      </c>
      <c r="M139" s="3">
        <f>6041.6+(425.8-1218.2)+(6.162432+(0.434316-1.242564))+0-0-0</f>
        <v>5254.5541840000005</v>
      </c>
      <c r="N139" s="3">
        <f>6338+(717.7-1091.4)+(9.69714+(1.098081-1.669842))+0-0-0</f>
        <v>5973.4253790000002</v>
      </c>
      <c r="O139" s="3">
        <f>6998.8+(910.3-1270.8)+(3.569388+(0.464253-0.648108))+0-0-0</f>
        <v>6641.6855329999999</v>
      </c>
      <c r="P139" s="3">
        <f>7068.6+(1086.3-1045)+(0+(0-0))+0-0-0</f>
        <v>7109.9000000000005</v>
      </c>
      <c r="Q139" s="3">
        <f>7058.9+(1196.7-894.7)+(3.600039+(0.610317-0.456297))+0-0-0</f>
        <v>7364.6540589999995</v>
      </c>
      <c r="R139" s="3">
        <f>7088.2+(1429.1-877.3)+(3.614982+(0.728841-0.447423))+0-0-0</f>
        <v>7643.8963999999996</v>
      </c>
      <c r="S139" s="3">
        <f>7066.4+(1278.7-831.3)+(-3.603864+(-0.652137--0.423963))+0-0-0</f>
        <v>7509.9679619999997</v>
      </c>
      <c r="T139" s="3">
        <f>7024.6+(1214.6-576.9)+(3.582546+(0.619446-0.294219))+0-0-0</f>
        <v>7666.2077730000001</v>
      </c>
      <c r="U139" s="3">
        <f>6954.3+(1335.7-756.7)+(-10.640079+(-2.043621--1.157751))+0-0-0</f>
        <v>7521.7740510000003</v>
      </c>
      <c r="V139" s="3">
        <f>6926+(1467.9-1017.6)+(-3.53226+(-0.748629--0.518976))+0-0-0</f>
        <v>7372.5380869999999</v>
      </c>
      <c r="W139" s="3">
        <f>6855.8+(1594.3-1260.7)+(-13.985832+(-3.252372--2.571828))+0-0-0</f>
        <v>7174.7336239999995</v>
      </c>
      <c r="X139" s="3">
        <f>6725.9+(1549.9-1496.7)+(0+(0-0))+0-0-0</f>
        <v>6779.0999999999995</v>
      </c>
      <c r="Y139" s="3">
        <f>6822+(1397-1497.3)+(10.43766+(2.13741-2.290869))+0-0-0</f>
        <v>6731.9842010000002</v>
      </c>
      <c r="Z139" s="3">
        <f>7222.1+(1338.4-1426.4)+(3.683271+(0.682584-0.727464))+0-0-0</f>
        <v>7137.7383910000008</v>
      </c>
      <c r="AA139" s="3">
        <f>7263.7+(1328.2-1447.3)+(-11.113461+(-2.032146--2.214369))+0-0-0</f>
        <v>7133.6687620000002</v>
      </c>
      <c r="AB139" s="3">
        <f>7291.9+(1365.7-1719.2)+(11.156607+(2.089521-2.630376))+0-0-0</f>
        <v>6949.0157519999993</v>
      </c>
      <c r="AC139" s="3">
        <f>7170.1+(1222.4-1666.4)+(-3.656751+(-0.623424--0.849864))+0-0-0</f>
        <v>6722.6696890000003</v>
      </c>
      <c r="AD139">
        <v>7180.4000000000005</v>
      </c>
      <c r="AE139" s="3">
        <f>7267+(1314.6-1401.2)+(0+(0-0))+0-0-0</f>
        <v>7180.4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7138.7+(869-1861)+(3.640737+(0.44319-0.94911))+0-0-0</f>
        <v>6149.8348169999999</v>
      </c>
      <c r="G140" s="3">
        <f>6904.5+(756.6-1962.1)+(0+(0-0))+0-0-0</f>
        <v>5699</v>
      </c>
      <c r="H140" s="3">
        <f>6513.3+(751.6-1856.7)+(9.965349+(1.149948-2.840751))+0-0-0</f>
        <v>5416.4745460000004</v>
      </c>
      <c r="I140" s="3">
        <f>6379.7+(755.5-1825.8)+(0+(0-0))+0-0-0</f>
        <v>5309.4</v>
      </c>
      <c r="J140" s="3">
        <f>6343.8+(757.1-1712.8)+(3.235338+(0.386121-0.873528))+0-0-0</f>
        <v>5390.8479310000002</v>
      </c>
      <c r="K140" s="3">
        <f>6006.2+(704.9-1597.7)+(-3.063162+(-0.359499--0.814827))+0-0-0</f>
        <v>5110.7921659999993</v>
      </c>
      <c r="L140" s="3">
        <f>5763.6+(617.6-1403.7)+(-20.576052+(-2.204832--5.011209))+0-0-0</f>
        <v>4959.7303250000004</v>
      </c>
      <c r="M140" s="3">
        <f>5864.7+(669.7-1217.3)+(2.990997+(0.341547-0.620823))+0-0-0</f>
        <v>5319.811721</v>
      </c>
      <c r="N140" s="3">
        <f>6434.3+(801-1149.5)+(6.562986+(0.81702-1.17249))+0-0-0</f>
        <v>6092.0075160000006</v>
      </c>
      <c r="O140" s="3">
        <f>7064.6+(1159.3-1537.2)+(3.602946+(0.591243-0.783972))+0-0-0</f>
        <v>6690.1102170000004</v>
      </c>
      <c r="P140" s="3">
        <f>7192.6+(1668.5-1735.4)+(7.336452+(1.70187-1.770108))+0-0-0</f>
        <v>7132.9682140000004</v>
      </c>
      <c r="Q140" s="3">
        <f>7145+(1974-1698.7)+(-3.64395+(-1.00674--0.866337))+0-0-0</f>
        <v>7416.5156470000002</v>
      </c>
      <c r="R140" s="3">
        <f>7146.5+(1938.4-1515.2)+(0+(0-0))+0-0-0</f>
        <v>7569.7</v>
      </c>
      <c r="S140" s="3">
        <f>7096.4+(1926.8-1546.4)+(-18.09582+(-4.91334--3.94332))+0-0-0</f>
        <v>7457.7341599999991</v>
      </c>
      <c r="T140" s="3">
        <f>7017.8+(1891.1-1331.2)+(-7.158156+(-1.928922--1.357824))+0-0-0</f>
        <v>7569.970746</v>
      </c>
      <c r="U140" s="3">
        <f>6952.1+(1910.8-1386.4)+(-3.545571+(-0.974508--0.707064))+0-0-0</f>
        <v>7472.6869850000003</v>
      </c>
      <c r="V140" s="3">
        <f>6898.8+(1872.4-1437.9)+(10.555164+(2.864772-2.199987))+0-0-0</f>
        <v>7344.5199490000005</v>
      </c>
      <c r="W140" s="3">
        <f>6847+(2018.4-1724.9)+(-3.49197+(-1.029384--0.879699))+0-0-0</f>
        <v>7136.8583449999996</v>
      </c>
      <c r="X140" s="3">
        <f>5094.1+(2296.8-550.5)+(-10.391964+(-4.685472--1.12302))+20-0-0</f>
        <v>6846.445584000001</v>
      </c>
      <c r="Y140" s="3">
        <f>5065.9+(2321.8-596.4)+(-7.750827+(-3.552354--0.912492))+0-0-0</f>
        <v>6780.9093109999994</v>
      </c>
      <c r="Z140" s="3">
        <f>5820.1+(1968-624.9)+(-2.968251+(-1.00368--0.318699))+0-0-0</f>
        <v>7159.5467680000011</v>
      </c>
      <c r="AA140" s="3">
        <f>6608.1+(1789.2-1191.7)+(-13.480524+(-3.649968--2.431068))+0-0-0</f>
        <v>7190.900576</v>
      </c>
      <c r="AB140" s="3">
        <f>6761.1+(1526.1-1334.1)+(-6.896322+(-1.556622--1.360782))+0-0-0</f>
        <v>6946.0078380000004</v>
      </c>
      <c r="AC140" s="3">
        <f>6783+(1488.2-1499.8)+(0+(0-0))+0-0-0</f>
        <v>6771.4</v>
      </c>
      <c r="AD140">
        <v>7237.4000000000005</v>
      </c>
      <c r="AE140" s="3">
        <f>6273+(1867.3-902.9)+(0+(0-0))+0-0-0</f>
        <v>7237.4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6744.6+(1266.7-1714.3)+(-20.638476+(-3.876102--5.245758))+0-0-0</f>
        <v>6277.7311799999998</v>
      </c>
      <c r="G141" s="3">
        <f>6609.9+(1105.3-1955.5)+(-16.855245+(-2.818515--4.986525))+0-0-0</f>
        <v>5745.0127649999995</v>
      </c>
      <c r="H141" s="3">
        <f>6259.5+(1043.5-1858.7)+(-3.192345+(-0.532185--0.947937))+0-0-0</f>
        <v>5441.5234070000006</v>
      </c>
      <c r="I141" s="3">
        <f>6149.9+(1082.6-1931.6)+(3.136449+(0.552126-0.985116))+0-0-0</f>
        <v>5303.6034589999999</v>
      </c>
      <c r="J141" s="3">
        <f>6181.3+(1143.4-1933)+(-6.304926+(-1.166268--1.97166))+0-0-0</f>
        <v>5386.2004660000011</v>
      </c>
      <c r="K141" s="3">
        <f>5760.6+(1009.2-1650)+(-8.813718+(-1.544076--2.5245))+0-0-0</f>
        <v>5111.9667060000002</v>
      </c>
      <c r="L141" s="3">
        <f>5525.6+(939.9-1474)+(-16.908336+(-2.876094--4.51044))+0-0-0</f>
        <v>4976.2260100000003</v>
      </c>
      <c r="M141" s="3">
        <f>5601.8+(910.4-1188.3)+(-5.713836+(-0.928608--1.212066))+0-0-0</f>
        <v>5318.4696220000005</v>
      </c>
      <c r="N141" s="3">
        <f>6487.7+(910-1402.4)+(6.617454+(0.9282-1.430448))+0-0-0</f>
        <v>6001.4152059999997</v>
      </c>
      <c r="O141" s="3">
        <f>6874.1+(1476-1695.4)+(-10.517373+(-2.25828--2.593962))+0-0-0</f>
        <v>6644.518309000001</v>
      </c>
      <c r="P141" s="3">
        <f>6857+(1756.8-1540.6)+(3.49707+(0.895968-0.785706))+0-0-0</f>
        <v>7076.8073319999994</v>
      </c>
      <c r="Q141" s="3">
        <f>6861.6+(1826.9-1249.2)+(0+(0-0))+0-0-0</f>
        <v>7439.3</v>
      </c>
      <c r="R141" s="3">
        <f>6947+(1799.7-1147.3)+(-3.54297+(-0.917847--0.585123))+0-0-0</f>
        <v>7595.5243059999993</v>
      </c>
      <c r="S141" s="3">
        <f>6925.6+(1843.2-1185.1)+(-7.064112+(-1.880064--1.208802))+0-0-0</f>
        <v>7575.9646260000009</v>
      </c>
      <c r="T141" s="3">
        <f>6917.4+(1941.2-1147.1)+(3.527874+(0.990012-0.585021))+0-0-0</f>
        <v>7715.4328649999998</v>
      </c>
      <c r="U141" s="3">
        <f>6916.3+(1926.5-1289.1)+(-10.581939+(-2.947545--1.972323))+0-0-0</f>
        <v>7542.142839000001</v>
      </c>
      <c r="V141" s="3">
        <f>6933.7+(1904.5-1404)+(-17.680935+(-4.856475--3.5802))+0-0-0</f>
        <v>7415.2427900000002</v>
      </c>
      <c r="W141" s="3">
        <f>6895.1+(1844.8-1474.4)+(-14.066004+(-3.763392--3.007776))+0-0-0</f>
        <v>7250.6783800000003</v>
      </c>
      <c r="X141" s="3">
        <f>6824.9+(1713.1-1595.8)+(-20.884194+(-5.242086--4.883148))+0-0-0</f>
        <v>6920.9568680000002</v>
      </c>
      <c r="Y141" s="3">
        <f>6727.7+(1393.7-1308)+(-6.862254+(-1.421574--1.33416))+0-0-0</f>
        <v>6806.4503319999994</v>
      </c>
      <c r="Z141" s="3">
        <f>7022.6+(1586.3-1484.2)+(0+(0-0))+0-0-0</f>
        <v>7124.7000000000007</v>
      </c>
      <c r="AA141" s="3">
        <f>7148.7+(1560.4-1676.1)+(-25.520859+(-5.570628--5.983677))+0-0-0</f>
        <v>7007.8921899999996</v>
      </c>
      <c r="AB141" s="3">
        <f>7096+(1430.4-1686.1)+(-10.85688+(-2.188512--2.579733))+0-0-0</f>
        <v>6829.8343409999998</v>
      </c>
      <c r="AC141" s="3">
        <f>7053.1+(1473-1982.3)+(-7.194162+(-1.50246--2.021946))+0-0-0</f>
        <v>6537.1253240000005</v>
      </c>
      <c r="AD141">
        <v>7098.7000000000007</v>
      </c>
      <c r="AE141" s="3">
        <f>7164+(1734.7-1800)+(0+(0-0))+0-0-0</f>
        <v>7098.7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6940.2+(1331.5-2154.7)+(-7.079004+(-1.35813--2.197794))+0-0-0</f>
        <v>6110.7606599999999</v>
      </c>
      <c r="G142" s="3">
        <f>6443.9+(1299.3-2131.5)+(-3.286389+(-0.662643--1.087065))+0-0-0</f>
        <v>5608.838033</v>
      </c>
      <c r="H142" s="3">
        <f>6206.8+(1279.3-2177.7)+(0+(0-0))+0-0-0</f>
        <v>5308.4000000000005</v>
      </c>
      <c r="I142" s="3">
        <f>6079.9+(1120.2-2010.9)+(-9.302247+(-1.713906--3.076677))+0-0-0</f>
        <v>5181.2605240000003</v>
      </c>
      <c r="J142" s="3">
        <f>6122.4+(1037-1902.5)+(9.367272+(1.58661-2.910825))+0-0-0</f>
        <v>5264.9430569999995</v>
      </c>
      <c r="K142" s="3">
        <f>5865.5+(989.1-1868.8)+(-11.96562+(-2.017764--3.812352))+0-0-0</f>
        <v>4975.628968</v>
      </c>
      <c r="L142" s="3">
        <f>5594.8+(1090.6-1787.4)+(-8.560044+(-1.668618--2.734722))+0-0-0</f>
        <v>4890.5060599999997</v>
      </c>
      <c r="M142" s="3">
        <f>5751.7+(1292.8-1788.9)+(2.933367+(0.659328-0.912339))+0-0-0</f>
        <v>5258.2803559999993</v>
      </c>
      <c r="N142" s="3">
        <f>6429.6+(1450.7-1949.2)+(3.279096+(0.739857-0.994092))+0-0-0</f>
        <v>5934.1248610000002</v>
      </c>
      <c r="O142" s="3">
        <f>6954.9+(1621-2033.9)+(7.093998+(1.65342-2.074578))+0-0-0</f>
        <v>6548.6728400000002</v>
      </c>
      <c r="P142" s="3">
        <f>7071.9+(1887.3-2004.6)+(0+(0-0))+0-0-0</f>
        <v>6954.5999999999995</v>
      </c>
      <c r="Q142" s="3">
        <f>7074.2+(2124-1986.1)+(7.215684+(2.16648-2.025822))+0-0-0</f>
        <v>7219.4563420000004</v>
      </c>
      <c r="R142" s="3">
        <f>7085.5+(2107.2-1770.5)+(3.613605+(1.074672-0.902955))+0-0-0</f>
        <v>7425.9853219999995</v>
      </c>
      <c r="S142" s="3">
        <f>7006.7+(2112.2-1854.7)+(-10.720251+(-3.231666--2.837691))+0-0-0</f>
        <v>7253.0857740000001</v>
      </c>
      <c r="T142" s="3">
        <f>6920.1+(2131.7-1739.4)+(0+(0-0))+0-0-0</f>
        <v>7312.4</v>
      </c>
      <c r="U142" s="3">
        <f>6836.2+(2394.9-1835.7)+(-10.459386+(-3.664197--2.808621))+0-0-0</f>
        <v>7384.0850379999993</v>
      </c>
      <c r="V142" s="3">
        <f>6748.7+(2431.2-1915.4)+(-17.209185+(-6.19956--4.88427))+0-0-0</f>
        <v>7245.9755249999998</v>
      </c>
      <c r="W142" s="3">
        <f>6730.8+(2255-1930.8)+(-10.298124+(-3.45015--2.954124))+0-0-0</f>
        <v>7044.2058500000003</v>
      </c>
      <c r="X142" s="3">
        <f>6651.2+(2055.9-1891)+(-6.784224+(-2.097018--1.92882))+0-0-0</f>
        <v>6809.1475780000001</v>
      </c>
      <c r="Y142" s="3">
        <f>6586.2+(1722.6-1634.6)+(6.717924+(1.757052-1.667292))+0-0-0</f>
        <v>6681.0076840000002</v>
      </c>
      <c r="Z142" s="3">
        <f>7086.9+(1900.2-1973.7)+(-14.457276+(-3.876408--4.026348))+0-0-0</f>
        <v>6999.0926639999998</v>
      </c>
      <c r="AA142" s="3">
        <f>7111.7+(1825.7-1983)+(-18.134835+(-4.655535--5.05665))+0-0-0</f>
        <v>6936.6662799999995</v>
      </c>
      <c r="AB142" s="3">
        <f>6913.3+(1851.2-2031.4)+(-7.051566+(-1.888224--2.072028))+0-0-0</f>
        <v>6726.2322380000005</v>
      </c>
      <c r="AC142" s="3">
        <f>6733.6+(1754.7-1978.1)+(-6.868272+(-1.789794--2.017662))+0-0-0</f>
        <v>6503.559596000001</v>
      </c>
      <c r="AD142">
        <v>7010.4999999999991</v>
      </c>
      <c r="AE142" s="3">
        <f>7181+(1865.3-2035.8)+(0+(0-0))+0-0-0</f>
        <v>7010.5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6644.2+(1466.8-2052.4)+(-16.94271+(-3.74034--5.23362))+0-0-0</f>
        <v>6043.1505699999998</v>
      </c>
      <c r="G143" s="3">
        <f>6348.9+(1290-2022.3)+(-16.189695+(-3.2895--5.156865))+0-0-0</f>
        <v>5602.2776699999995</v>
      </c>
      <c r="H143" s="3">
        <f>5850.6+(1385.3-1916.6)+(-14.91903+(-3.532515--4.88733))+0-0-0</f>
        <v>5305.7357849999999</v>
      </c>
      <c r="I143" s="3">
        <f>5569.3+(1294.3-1684.8)+(-5.680686+(-1.320186--1.718496))+0-0-0</f>
        <v>5173.5176240000001</v>
      </c>
      <c r="J143" s="3">
        <f>5650.9+(1310.4-1700.3)+(-8.645877+(-2.004912--2.601459))+0-0-0</f>
        <v>5252.9506700000002</v>
      </c>
      <c r="K143" s="3">
        <f>5539.9+(1032.3-1547.6)+(-2.825349+(-0.526473--0.789276))+0-0-0</f>
        <v>5022.0374539999993</v>
      </c>
      <c r="L143" s="3">
        <f>5388.5+(940.5-1454.9)+(-16.48881+(-2.87793--4.451994))+0-0-0</f>
        <v>4859.185254</v>
      </c>
      <c r="M143" s="3">
        <f>5689.8+(1051.6-1527.4)+(0+(0-0))+0-0-0</f>
        <v>5214</v>
      </c>
      <c r="N143" s="3">
        <f>6353.1+(1415.1-1873.2)+(0+(0-0))+0-0-0</f>
        <v>5895</v>
      </c>
      <c r="O143" s="3">
        <f>6597.6+(1635.1-1787.2)+(0+(0-0))+0-0-0</f>
        <v>6445.5</v>
      </c>
      <c r="P143" s="3">
        <f>6786.7+(1793.8-1733.6)+(-3.461217+(-0.914838--0.884136))+0-0-0</f>
        <v>6843.4080809999996</v>
      </c>
      <c r="Q143" s="3">
        <f>6870.6+(2038.4-1874)+(14.016024+(4.158336-3.82296))+0-0-0</f>
        <v>7049.3513999999996</v>
      </c>
      <c r="R143" s="3">
        <f>7028.4+(2136.4-1818.8)+(-14.337936+(-4.358256--3.710352))+0-0-0</f>
        <v>7331.0141599999997</v>
      </c>
      <c r="S143" s="3">
        <f>7062.1+(2245-2029.7)+(-18.008355+(-5.72475--5.175735))+0-0-0</f>
        <v>7258.8426300000001</v>
      </c>
      <c r="T143" s="3">
        <f>7022.3+(2275.9-1925.9)+(-3.581373+(-1.160709--0.982209))+0-0-0</f>
        <v>7368.5401270000002</v>
      </c>
      <c r="U143" s="3">
        <f>6946.1+(2301.6-1967.9)+(-7.085022+(-2.347632--2.007258))+0-0-0</f>
        <v>7272.3746040000005</v>
      </c>
      <c r="V143" s="3">
        <f>6936.3+(2206.6-2003.6)+(-3.537513+(-1.125366--1.021836))+0-0-0</f>
        <v>7135.6589570000006</v>
      </c>
      <c r="W143" s="3">
        <f>6913.9+(2031.5-2010.2)+(-7.052178+(-2.07213--2.050404))+0-0-0</f>
        <v>6928.126096</v>
      </c>
      <c r="X143" s="3">
        <f>6703.1+(1854.1-1883)+(-10.255743+(-2.836773--2.88099))+0-0-0</f>
        <v>6663.9884740000007</v>
      </c>
      <c r="Y143" s="3">
        <f>6618.9+(1612.8-1680.8)+(-6.751278+(-1.645056--1.714416))+0-0-0</f>
        <v>6544.2180819999994</v>
      </c>
      <c r="Z143" s="3">
        <f>7145.1+(1776.6-2017.7)+(-14.576004+(-3.624264--4.116108))+0-0-0</f>
        <v>6889.9158399999997</v>
      </c>
      <c r="AA143" s="3">
        <f>7196+(1651.4-2014.9)+(-18.3498+(-4.21107--5.137995))+0-0-0</f>
        <v>6815.0771249999998</v>
      </c>
      <c r="AB143" s="3">
        <f>7102.9+(1536.2-1999.6)+(-10.867437+(-2.350386--3.059388))+0-0-0</f>
        <v>6629.3415649999997</v>
      </c>
      <c r="AC143" s="3">
        <f>7018.4+(1361.8-1994.9)+(-7.158768+(-1.389036--2.034798))+0-0-0</f>
        <v>6378.7869939999991</v>
      </c>
      <c r="AD143">
        <v>6922.9</v>
      </c>
      <c r="AE143" s="3">
        <f>7255+(1684.4-2016.5)+(0+(0-0))+0-0-0</f>
        <v>6922.9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6542+(1501.5-2095)+(-16.6821+(-3.828825--5.34225))+0-0-0</f>
        <v>5933.3313250000001</v>
      </c>
      <c r="G144" s="3">
        <f>5746+(1361.6-1604.8)+(-5.86092+(-1.388832--1.636896))+0-0-0</f>
        <v>5497.1871440000004</v>
      </c>
      <c r="H144" s="3">
        <f>5463.4+(1256.6-1535.2)+(-2.786334+(-0.640866--0.782952))+0-0-0</f>
        <v>5182.1557519999997</v>
      </c>
      <c r="I144" s="3">
        <f>5465.4+(1064-1501.8)+(0+(0-0))+0-0-0</f>
        <v>5027.5999999999995</v>
      </c>
      <c r="J144" s="3">
        <f>5486.1+(968.9-1362.1)+(8.393733+(1.482417-2.084013))+0-0-0</f>
        <v>5100.6921370000009</v>
      </c>
      <c r="K144" s="3">
        <f>5423.3+(1020.3-1597.9)+(-19.361181+(-3.642471--5.704503))+0-0-0</f>
        <v>4828.4008509999994</v>
      </c>
      <c r="L144" s="3">
        <f>5402.4+(1095.4-1821.6)+(-16.531344+(-3.351924--5.574096))+0-0-0</f>
        <v>4661.8908279999996</v>
      </c>
      <c r="M144" s="3">
        <f>5463.9+(1281.5-1866.3)+(-2.786589+(-0.653565--0.951813))+0-0-0</f>
        <v>4876.6116589999992</v>
      </c>
      <c r="N144" s="3">
        <f>5699.5+(1625.7-1888.7)+(8.720235+(2.487321-2.889711))+0-0-0</f>
        <v>5444.8178449999996</v>
      </c>
      <c r="O144" s="3">
        <f>6202.8+(1771-1942.4)+(-6.326856+(-1.80642--1.981248))+0-0-0</f>
        <v>6025.2479719999992</v>
      </c>
      <c r="P144" s="3">
        <f>6642.9+(1918.3-2075.8)+(3.387879+(0.978333-1.058658))+0-0-0</f>
        <v>6488.7075539999996</v>
      </c>
      <c r="Q144" s="3">
        <f>6851.4+(1917.3-2012.8)+(-6.988428+(-1.955646--2.053056))+0-0-0</f>
        <v>6749.0089819999994</v>
      </c>
      <c r="R144" s="3">
        <f>6889.4+(1972.5-2015.2)+(-3.513594+(-1.005975--1.027752))+0-0-0</f>
        <v>6843.2081829999997</v>
      </c>
      <c r="S144" s="3">
        <f>6821.8+(2021.9-2106.8)+(-6.958236+(-2.062338--2.148936))+0-0-0</f>
        <v>6730.028362</v>
      </c>
      <c r="T144" s="3">
        <f>6759.8+(1974.7-2029.3)+(3.447498+(1.007097-1.034943))+0-0-0</f>
        <v>6708.6196520000003</v>
      </c>
      <c r="U144" s="3">
        <f>6650.7+(1925.8-2014.9)+(-6.783714+(-1.964316--2.055198))+0-0-0</f>
        <v>6554.9071679999997</v>
      </c>
      <c r="V144" s="3">
        <f>6601.3+(1850-2024.8)+(0+(0-0))+0-0-0</f>
        <v>6426.5</v>
      </c>
      <c r="W144" s="3">
        <f>6600.5+(1806.8-2063.5)+(-3.366255+(-0.921468--1.052385))+0-0-0</f>
        <v>6340.5646619999998</v>
      </c>
      <c r="X144" s="3">
        <f>6250.1+(1753-1827.1)+(-22.312857+(-6.25821--6.522747))+0-0-0</f>
        <v>6153.9516800000001</v>
      </c>
      <c r="Y144" s="3">
        <f>6343.6+(1471-1749.1)+(-6.470472+(-1.50042--1.784082))+0-0-0</f>
        <v>6059.3131899999998</v>
      </c>
      <c r="Z144" s="3">
        <f>7042+(1634.8-2237.9)+(-21.54852+(-5.002488--6.847974))+0-0-0</f>
        <v>6419.1969659999995</v>
      </c>
      <c r="AA144" s="3">
        <f>7131.3+(1577.5-2289.3)+(-3.636963+(-0.804525--1.167543))+0-0-0</f>
        <v>6416.2260550000001</v>
      </c>
      <c r="AB144" s="3">
        <f>7089.4+(1467.5-2307.9)+(0+(0-0))+0-0-0</f>
        <v>6249</v>
      </c>
      <c r="AC144" s="3">
        <f>6926.7+(1365.5-2196.8)+(0+(0-0))+0-0-0</f>
        <v>6095.4</v>
      </c>
      <c r="AD144">
        <v>6300.9</v>
      </c>
      <c r="AE144" s="3">
        <f>7066+(1660.5-2425.6)+(0+(0-0))+0-0-0</f>
        <v>6300.9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6770.9+(1284.8-2244.8)+(3.453159+(0.655248-1.144848))+0-0-0</f>
        <v>5813.8635589999994</v>
      </c>
      <c r="G145" s="3">
        <f>6447.6+(1077-2088.1)+(-3.288276+(-0.54927--1.064931))+0-0-0</f>
        <v>5433.7273850000001</v>
      </c>
      <c r="H145" s="3">
        <f>6231.4+(1025.5-2139)+(3.178014+(0.523005-1.09089))+0-0-0</f>
        <v>5120.5101289999993</v>
      </c>
      <c r="I145" s="3">
        <f>6014.6+(826.3-1887.7)+(-3.067446+(-0.421413--0.962727))+0-0-0</f>
        <v>4950.6738680000008</v>
      </c>
      <c r="J145" s="3">
        <f>5951.7+(717.4-1726.7)+(6.070734+(0.731748-1.761234))+0-0-0</f>
        <v>4947.4412480000001</v>
      </c>
      <c r="K145" s="3">
        <f>5655+(857.8-1899.9)+(-14.42025+(-2.18739--4.844745))+0-0-0</f>
        <v>4601.1371049999998</v>
      </c>
      <c r="L145" s="3">
        <f>5246.3+(848.6-1820.4)+(-5.351226+(-0.865572--1.856808))+0-0-0</f>
        <v>4270.1400100000001</v>
      </c>
      <c r="M145" s="3">
        <f>5277.2+(771.1-1874.5)+(2.691372+(0.393261-0.955995))+0-0-0</f>
        <v>4175.9286379999994</v>
      </c>
      <c r="N145" s="3">
        <f>5267.3+(782.2-1721.9)+(-2.686323+(-0.398922--0.878169))+0-0-0</f>
        <v>4325.3929240000007</v>
      </c>
      <c r="O145" s="3">
        <f>5693.8+(804.9-1904.2)+(2.903838+(0.410499-0.971142))+0-0-0</f>
        <v>4596.8431950000004</v>
      </c>
      <c r="P145" s="3">
        <f>5803.4+(957.9-1832.7)+(11.838936+(1.954116-3.738708))+0-0-0</f>
        <v>4938.6543439999996</v>
      </c>
      <c r="Q145" s="3">
        <f>5830.1+(1199.8-1755.1)+(8.920053+(1.835694-2.685303))+0-0-0</f>
        <v>5282.8704440000001</v>
      </c>
      <c r="R145" s="3">
        <f>6095.7+(1347-1924)+(-6.217614+(-1.37394--1.96248))+0-0-0</f>
        <v>5513.0709259999994</v>
      </c>
      <c r="S145" s="3">
        <f>6135.4+(1438.4-1925.8)+(-3.129054+(-0.733584--0.982158))+0-0-0</f>
        <v>5645.1195200000002</v>
      </c>
      <c r="T145" s="3">
        <f>6120.3+(1456.1-1883.5)+(6.242706+(1.485222-1.92117))+0-0-0</f>
        <v>5698.7067579999994</v>
      </c>
      <c r="U145" s="3">
        <f>6194.7+(1404.3-1919.8)+(-6.318594+(-1.432386--1.958196))+0-0-0</f>
        <v>5673.4072159999996</v>
      </c>
      <c r="V145" s="3">
        <f>6128.9+(1447.4-1947.3)+(-6.251478+(-1.476348--1.986246))+0-0-0</f>
        <v>5623.2584200000001</v>
      </c>
      <c r="W145" s="3">
        <f>6102.5+(1480.3-1956.9)+(-6.22455+(-1.509906--1.996038))+0-0-0</f>
        <v>5620.1615819999997</v>
      </c>
      <c r="X145" s="3">
        <f>5906.8+(1337.8-1641.9)+(-15.06234+(-3.41139--4.186845))+0-0-0</f>
        <v>5588.4131149999994</v>
      </c>
      <c r="Y145" s="3">
        <f>5858.5+(1101.5-1262.2)+(0+(0-0))+0-0-0</f>
        <v>5697.8</v>
      </c>
      <c r="Z145" s="3">
        <f>6396.7+(1099-1384.4)+(3.262317+(0.56049-0.706044))+0-0-0</f>
        <v>6114.4167629999993</v>
      </c>
      <c r="AA145" s="3">
        <f>6601.5+(1303.8-1776.3)+(-13.46706+(-2.659752--3.623652))+0-0-0</f>
        <v>6116.4968399999998</v>
      </c>
      <c r="AB145" s="3">
        <f>6695.6+(1341.1-1942.8)+(-10.244268+(-2.051883--2.972484))+0-0-0</f>
        <v>6084.5763330000009</v>
      </c>
      <c r="AC145" s="3">
        <f>6708.9+(1321.3-2076)+(6.843078+(1.347726-2.11752))+0-0-0</f>
        <v>5960.2732839999999</v>
      </c>
      <c r="AD145">
        <v>6130.5</v>
      </c>
      <c r="AE145" s="3">
        <f>6566+(1259.9-1695.4)+(0+(0-0))+0-0-0</f>
        <v>6130.5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6506.3+(1208.7-2063)+(3.318213+(0.616437-1.05213))+0-0-0</f>
        <v>5654.8825200000001</v>
      </c>
      <c r="G146" s="3">
        <f>6430.6+(915-2096.1)+(-6.559212+(-0.9333--2.138022))+0-0-0</f>
        <v>5244.1455100000003</v>
      </c>
      <c r="H146" s="3">
        <f>6201.7+(590.4-1839.3)+(-6.325734+(-0.602208--1.876086))+0-0-0</f>
        <v>4947.7481439999992</v>
      </c>
      <c r="I146" s="3">
        <f>6097.3+(507.3-1787.4)+(3.109623+(0.258723-0.911574))+0-0-0</f>
        <v>4819.6567719999994</v>
      </c>
      <c r="J146" s="3">
        <f>6179.4+(662.2-1905.6)+(-3.151494+(-0.337722--0.971856))+0-0-0</f>
        <v>4933.4826400000002</v>
      </c>
      <c r="K146" s="3">
        <f>5972.6+(633.8-1885.2)+(-15.23013+(-1.61619--4.80726))+0-0-0</f>
        <v>4709.1609400000007</v>
      </c>
      <c r="L146" s="3">
        <f>5843.4+(750.8-1967.3)+(-5.960268+(-0.765816--2.006646))+0-0-0</f>
        <v>4622.1805619999996</v>
      </c>
      <c r="M146" s="3">
        <f>6013.6+(758.3-1749.5)+(6.133872+(0.773466-1.78449))+0-0-0</f>
        <v>5027.5228480000005</v>
      </c>
      <c r="N146" s="3">
        <f>6583.4+(815.7-1750)+(16.78767+(2.080035-4.4625))+0-0-0</f>
        <v>5663.5052049999995</v>
      </c>
      <c r="O146" s="3">
        <f>6958.7+(976-1576)+(3.548937+(0.49776-0.80376))+0-0-0</f>
        <v>6361.9429369999998</v>
      </c>
      <c r="P146" s="3">
        <f>7016.8+(1292.5-1498.3)+(3.578568+(0.659175-0.764133))+0-0-0</f>
        <v>6814.47361</v>
      </c>
      <c r="Q146" s="3">
        <f>7036.3+(1488.4-1491.3)+(0+(0-0))+0-0-0</f>
        <v>7033.4000000000005</v>
      </c>
      <c r="R146" s="3">
        <f>7124+(1715.3-1541.6)+(10.89972+(2.624409-2.358648))+0-0-0</f>
        <v>7308.8654809999998</v>
      </c>
      <c r="S146" s="3">
        <f>7080.6+(1687.1-1503.5)+(-3.611106+(-0.860421--0.766785))+0-0-0</f>
        <v>7260.4952580000008</v>
      </c>
      <c r="T146" s="3">
        <f>7024.6+(1675.3-1309.1)+(0+(0-0))+0-0-0</f>
        <v>7390.8</v>
      </c>
      <c r="U146" s="3">
        <f>6999.2+(1693.8-1382.6)+(-14.278368+(-3.455352--2.820504))+0-0-0</f>
        <v>7295.4867839999997</v>
      </c>
      <c r="V146" s="3">
        <f>6980.2+(1803.9-1617.8)+(-7.119804+(-1.839978--1.650156))+0-0-0</f>
        <v>7158.990374</v>
      </c>
      <c r="W146" s="3">
        <f>6989.3+(1757.6-1784.6)+(-17.822715+(-4.48188--4.55073))+0-0-0</f>
        <v>6944.5461350000005</v>
      </c>
      <c r="X146" s="3">
        <f>6767.8+(1534.3-1605.2)+(-27.612624+(-6.259944--6.549216))+0-0-0</f>
        <v>6669.5766479999993</v>
      </c>
      <c r="Y146" s="3">
        <f>6747.9+(1228.7-1328)+(-3.441429+(-0.626637--0.67728))+0-0-0</f>
        <v>6645.2092139999995</v>
      </c>
      <c r="Z146" s="3">
        <f>7146.6+(1335.5-1513.5)+(7.289532+(1.36221-1.54377))+0-0-0</f>
        <v>6975.7079720000002</v>
      </c>
      <c r="AA146" s="3">
        <f>7167.5+(1325-1624.9)+(-7.31085+(-1.3515--1.657398))+0-0-0</f>
        <v>6860.5950480000001</v>
      </c>
      <c r="AB146" s="3">
        <f>7126.9+(1360-1819)+(-7.269438+(-1.3872--1.85538))+0-0-0</f>
        <v>6661.0987419999992</v>
      </c>
      <c r="AC146" s="3">
        <f>7106.4+(1396.2-2000.8)+(-7.248528+(-1.424124--2.040816))+0-0-0</f>
        <v>6495.1681639999997</v>
      </c>
      <c r="AD146">
        <v>6905.1</v>
      </c>
      <c r="AE146" s="3">
        <f>7155+(1336-1585.9)+(0+(0-0))+0-0-0</f>
        <v>6905.1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6912.2+(1232.4-2073.3)+(-3.525222+(-0.628524--1.057383))+0-0-0</f>
        <v>6068.2036369999996</v>
      </c>
      <c r="G147" s="3">
        <f>6582.7+(982.1-1927.4)+(-10.071531+(-1.502613--2.948922))+0-0-0</f>
        <v>5628.774778</v>
      </c>
      <c r="H147" s="3">
        <f>6413.8+(753.6-1863.8)+(3.271038+(0.384336-0.950538))+0-0-0</f>
        <v>5306.3048360000003</v>
      </c>
      <c r="I147" s="3">
        <f>6236.2+(540.4-1624.5)+(-6.360924+(-0.551208--1.65699))+0-0-0</f>
        <v>5146.8448580000004</v>
      </c>
      <c r="J147" s="3">
        <f>6176.2+(501.2-1456.9)+(-12.599448+(-1.022448--2.972076))+0-0-0</f>
        <v>5209.8501800000004</v>
      </c>
      <c r="K147" s="3">
        <f>5864.3+(417.2-1325)+(-11.963172+(-0.851088--2.703))+0-0-0</f>
        <v>4946.3887400000003</v>
      </c>
      <c r="L147" s="3">
        <f>5763.1+(408.1-1359.4)+(-8.817543+(-0.624393--2.079882))+0-0-0</f>
        <v>4804.437946</v>
      </c>
      <c r="M147" s="3">
        <f>5713.8+(525-1116.6)+(2.914038+(0.26775-0.569466))+0-0-0</f>
        <v>5124.8123220000007</v>
      </c>
      <c r="N147" s="3">
        <f>6481.4+(906.9-1550.7)+(0+(0-0))+0-0-0</f>
        <v>5837.5999999999995</v>
      </c>
      <c r="O147" s="3">
        <f>6867.6+(1017.3-1423.6)+(7.004952+(1.037646-1.452072))+0-0-0</f>
        <v>6467.8905260000001</v>
      </c>
      <c r="P147" s="3">
        <f>7080.1+(1400.3-1566.8)+(10.832553+(2.142459-2.397204))+0-0-0</f>
        <v>6924.1778080000004</v>
      </c>
      <c r="Q147" s="3">
        <f>7030.5+(1605.6-1387.3)+(7.17111+(1.637712-1.415046))+0-0-0</f>
        <v>7256.1937760000001</v>
      </c>
      <c r="R147" s="3">
        <f>7057.1+(1512.4-1174.9)+(14.396484+(3.085296-2.396796))+0-0-0</f>
        <v>7409.6849840000004</v>
      </c>
      <c r="S147" s="3">
        <f>7014.7+(1552.7-1221.4)+(0+(0-0))+0-0-0</f>
        <v>7346</v>
      </c>
      <c r="T147" s="3">
        <f>6926.3+(1519.5-963.2)+(-7.064826+(-1.54989--0.982464))+0-0-0</f>
        <v>7474.967748</v>
      </c>
      <c r="U147" s="3">
        <f>6886.4+(1573.2-1077.3)+(3.512064+(0.802332-0.549423))+0-0-0</f>
        <v>7386.0649729999996</v>
      </c>
      <c r="V147" s="3">
        <f>6791.4+(1634-1175.6)+(-3.463614+(-0.83334--0.599556))+0-0-0</f>
        <v>7246.102601999999</v>
      </c>
      <c r="W147" s="3">
        <f>6732.7+(1777.8-1481.3)+(-6.867354+(-1.813356--1.510926))+0-0-0</f>
        <v>7022.0302160000001</v>
      </c>
      <c r="X147" s="3">
        <f>6640.9+(1806.1-1684.7)+(-20.321154+(-5.526666--5.155182))+0-0-0</f>
        <v>6741.6073619999988</v>
      </c>
      <c r="Y147" s="3">
        <f>6628.8+(1379.4-1348.2)+(0+(0-0))+0-0-0</f>
        <v>6660</v>
      </c>
      <c r="Z147" s="3">
        <f>7218+(1480.9-1707.5)+(-7.36236+(-1.510518--1.74165))+0-0-0</f>
        <v>6984.2687719999994</v>
      </c>
      <c r="AA147" s="3">
        <f>7269.6+(1492.4-1820.4)+(-18.53748+(-3.80562--4.64202))+0-0-0</f>
        <v>6923.8989200000005</v>
      </c>
      <c r="AB147" s="3">
        <f>7239.6+(1464.2-1946.7)+(3.692196+(0.746742-0.992817))+0-0-0</f>
        <v>6760.5461210000003</v>
      </c>
      <c r="AC147" s="3">
        <f>7231.4+(1396.7-2046.3)+(-14.752056+(-2.849268--4.174452))+0-0-0</f>
        <v>6568.3731279999993</v>
      </c>
      <c r="AD147">
        <v>6913.1</v>
      </c>
      <c r="AE147" s="3">
        <f>7202+(1471.5-1760.4)+(0+(0-0))+0-0-0</f>
        <v>6913.1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7109.2+(1223.4-2152.9)+(-10.877076+(-1.871802--3.293937))+0-0-0</f>
        <v>6170.2450589999999</v>
      </c>
      <c r="G148" s="3">
        <f>6717.1+(1082.1-2049)+(-13.702884+(-2.207484--4.17996))+0-0-0</f>
        <v>5738.4695920000004</v>
      </c>
      <c r="H148" s="3">
        <f>6381+(778.8-1776.6)+(-9.76293+(-1.191564--2.718198))+0-0-0</f>
        <v>5374.9637039999998</v>
      </c>
      <c r="I148" s="3">
        <f>6332+(563.2-1675.9)+(-3.22932+(-0.287232--0.854709))+0-0-0</f>
        <v>5216.6381570000003</v>
      </c>
      <c r="J148" s="3">
        <f>6331.1+(556.8-1597.1)+(-12.915444+(-1.135872--3.258084))+0-0-0</f>
        <v>5280.0067680000002</v>
      </c>
      <c r="K148" s="3">
        <f>6110.4+(643.2-1701.8)+(-12.465216+(-1.312128--3.471672))+0-0-0</f>
        <v>5041.4943279999989</v>
      </c>
      <c r="L148" s="3">
        <f>5711.1+(536.3-1364.2)+(-17.475966+(-1.641078--4.174452))+0-0-0</f>
        <v>4868.2574080000004</v>
      </c>
      <c r="M148" s="3">
        <f>5829.7+(536.6-1082)+(-5.946294+(-0.547332--1.10364))+0-0-0</f>
        <v>5278.910014</v>
      </c>
      <c r="N148" s="3">
        <f>6259+(690.5-1131.4)+(12.76836+(1.40862-2.308056))+0-0-0</f>
        <v>5829.9689240000007</v>
      </c>
      <c r="O148" s="3">
        <f>6711.1+(1185.4-1292.3)+(0+(0-0))+0-0-0</f>
        <v>6604.2000000000007</v>
      </c>
      <c r="P148" s="3">
        <f>6904.3+(1543.5-1435.1)+(-7.042386+(-1.57437--1.463802))+0-0-0</f>
        <v>7005.5470460000006</v>
      </c>
      <c r="Q148" s="3">
        <f>7041.3+(1777.7-1498.5)+(0+(0-0))+0-0-0</f>
        <v>7320.5</v>
      </c>
      <c r="R148" s="3">
        <f>7071.6+(1608.8-1212.4)+(3.606516+(0.820488-0.618324))+0-0-0</f>
        <v>7471.8086800000001</v>
      </c>
      <c r="S148" s="3">
        <f>7080.7+(1461.4-1124.6)+(-7.222314+(-1.490628--1.147092))+0-0-0</f>
        <v>7409.93415</v>
      </c>
      <c r="T148" s="3">
        <f>7023.9+(1334.4-822.1)+(-10.746567+(-2.041632--1.257813))+0-0-0</f>
        <v>7524.6696139999995</v>
      </c>
      <c r="U148" s="3">
        <f>6999.7+(1440.9-995.7)+(-14.279388+(-2.939436--2.031228))+0-0-0</f>
        <v>7429.7124039999999</v>
      </c>
      <c r="V148" s="3">
        <f>6957.3+(1473.8-1117.4)+(-14.192892+(-3.006552--2.279496))+0-0-0</f>
        <v>7298.7800520000001</v>
      </c>
      <c r="W148" s="3">
        <f>6953+(1567.9-1409.3)+(-3.54603+(-0.799629--0.718743))+0-0-0</f>
        <v>7107.9730840000002</v>
      </c>
      <c r="X148" s="3">
        <f>6907.4+(1565.1-1620)+(-7.045548+(-1.596402--1.6524))+0-0-0</f>
        <v>6845.5104499999998</v>
      </c>
      <c r="Y148" s="3">
        <f>6756.7+(1213.9-1264.5)+(6.891834+(1.238178-1.28979))+0-0-0</f>
        <v>6712.9402220000002</v>
      </c>
      <c r="Z148" s="3">
        <f>7121.4+(1349.8-1437.3)+(0+(0-0))+0-0-0</f>
        <v>7033.9</v>
      </c>
      <c r="AA148" s="3">
        <f>7263.7+(1341.7-1663.5)+(-7.408974+(-1.368534--1.69677))+0-0-0</f>
        <v>6934.819262</v>
      </c>
      <c r="AB148" s="3">
        <f>7246.5+(1392.7-1840.9)+(-14.78286+(-2.841108--3.755436))+0-0-0</f>
        <v>6784.4314679999998</v>
      </c>
      <c r="AC148" s="3">
        <f>7171.7+(1442.4-1984.3)+(-7.315134+(-1.471248--2.023986))+0-0-0</f>
        <v>6623.0376040000001</v>
      </c>
      <c r="AD148">
        <v>6833.4000000000005</v>
      </c>
      <c r="AE148" s="3">
        <f>7200+(1353.2-1719.8)+(0+(0-0))+0-0-0</f>
        <v>6833.4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7076.5+(1196.4-2043.1)+(-7.21803+(-1.220328--2.083962))+0-0-0</f>
        <v>6223.4456040000005</v>
      </c>
      <c r="G149" s="3">
        <f>7075.1+(828.8-2144.3)+(-10.824903+(-1.268064--3.280779))+0-0-0</f>
        <v>5750.7878120000005</v>
      </c>
      <c r="H149" s="3">
        <f>6853+(646.6-2022.1)+(-13.98012+(-1.319064--4.125084))+0-0-0</f>
        <v>5466.3258999999998</v>
      </c>
      <c r="I149" s="3">
        <f>6681.7+(394.5-1846)+(-6.815334+(-0.40239--1.88292))+0-0-0</f>
        <v>5224.8651959999997</v>
      </c>
      <c r="J149" s="3">
        <f>6650.7+(374.3-1754.3)+(0+(0-0))+0-0-0</f>
        <v>5270.7</v>
      </c>
      <c r="K149" s="3">
        <f>6403.3+(400.8-1730.5)+(-16.328415+(-1.02204--4.412775))+0-0-0</f>
        <v>5060.6623200000004</v>
      </c>
      <c r="L149" s="3">
        <f>6099.5+(441-1634.1)+(-6.22149+(-0.44982--1.666782))+0-0-0</f>
        <v>4901.3954719999992</v>
      </c>
      <c r="M149" s="3">
        <f>6179.9+(484.1-1468.9)+(6.303498+(0.493782-1.498278))+0-0-0</f>
        <v>5200.3990019999992</v>
      </c>
      <c r="N149" s="3">
        <f>7070.7+(543.4-1753.8)+(3.606057+(0.277134-0.894438))+0-0-0</f>
        <v>5863.2887529999989</v>
      </c>
      <c r="O149" s="3">
        <f>7331.1+(870-1745.7)+(7.477722+(0.8874-1.780614))+0-0-0</f>
        <v>6461.9845080000005</v>
      </c>
      <c r="P149" s="3">
        <f>7282.1+(1338.6-1726.3)+(-7.427742+(-1.365372--1.760826))+0-0-0</f>
        <v>6887.3677120000002</v>
      </c>
      <c r="Q149" s="3">
        <f>7215.2+(1365.9-1403.2)+(3.679752+(0.696609-0.715632))+0-0-0</f>
        <v>7181.5607289999998</v>
      </c>
      <c r="R149" s="3">
        <f>7223.6+(1198.7-1121.9)+(-7.368072+(-1.222674--1.144338))+0-0-0</f>
        <v>7292.9535920000008</v>
      </c>
      <c r="S149" s="3">
        <f>7165.3+(1146.5-1074.1)+(-7.308606+(-1.16943--1.095582))+0-0-0</f>
        <v>7230.3175460000011</v>
      </c>
      <c r="T149" s="3">
        <f>7125.9+(1042.1-822.7)+(3.634209+(0.531471-0.419577))+0-0-0</f>
        <v>7349.0461029999997</v>
      </c>
      <c r="U149" s="3">
        <f>7098.1+(1076-923.8)+(0+(0-0))+0-0-0</f>
        <v>7250.3</v>
      </c>
      <c r="V149" s="3">
        <f>7061.5+(1188.7-1174.2)+(-7.20273+(-1.212474--1.197684))+0-0-0</f>
        <v>7068.7824799999999</v>
      </c>
      <c r="W149" s="3">
        <f>7051.1+(1460-1637.1)+(-7.192122+(-1.4892--1.669842))+0-0-0</f>
        <v>6866.9885199999999</v>
      </c>
      <c r="X149" s="3">
        <f>6976.7+(1311.4-1675.8)+(-10.674351+(-2.006442--2.563974))+0-0-0</f>
        <v>6602.1831810000003</v>
      </c>
      <c r="Y149" s="3">
        <f>6879.5+(1070.4-1427.3)+(-7.01709+(-1.091808--1.455846))+0-0-0</f>
        <v>6515.9469480000007</v>
      </c>
      <c r="Z149" s="3">
        <f>7301.9+(1257.2-1729.6)+(-3.723969+(-0.641172--0.882096))+0-0-0</f>
        <v>6826.0169550000001</v>
      </c>
      <c r="AA149" s="3">
        <f>7317.9+(1234.2-1771.7)+(-18.660645+(-3.14721--4.517835))+0-0-0</f>
        <v>6763.1099799999993</v>
      </c>
      <c r="AB149" s="3">
        <f>7132.1+(1281.1-1781.9)+(-7.274742+(-1.306722--1.817538))+0-0-0</f>
        <v>6624.5360740000006</v>
      </c>
      <c r="AC149" s="3">
        <f>7046+(1181.2-1739.2)+(0+(0-0))+0-0-0</f>
        <v>6488</v>
      </c>
      <c r="AD149">
        <v>6820.2000000000007</v>
      </c>
      <c r="AE149" s="3">
        <f>7314+(1215.6-1709.4)+(0+(0-0))+0-0-0</f>
        <v>6820.2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6947.2+(1121.3-2002.5)+(-17.71536+(-2.859315--5.106375))+0-0-0</f>
        <v>6050.5316999999995</v>
      </c>
      <c r="G150" s="3">
        <f>6672.2+(1007-2075.7)+(-13.611288+(-2.05428--4.234428))+0-0-0</f>
        <v>5592.0688600000003</v>
      </c>
      <c r="H150" s="3">
        <f>6542.3+(706.6-1947.6)+(-10.009719+(-1.081098--2.979828))+0-0-0</f>
        <v>5293.1890110000004</v>
      </c>
      <c r="I150" s="3">
        <f>6596.9+(388.4-1878.1)+(-3.364419+(-0.198084--0.957831))+0-0-0</f>
        <v>5104.5953279999994</v>
      </c>
      <c r="J150" s="3">
        <f>6550.3+(344.3-1726.3)+(0+(0-0))+0-0-0</f>
        <v>5168.3</v>
      </c>
      <c r="K150" s="3">
        <f>6163.9+(419.4-1597.9)+(-18.861534+(-1.283364--4.889574))+0-0-0</f>
        <v>4970.1446759999999</v>
      </c>
      <c r="L150" s="3">
        <f>5941.4+(496.2-1608.3)+(-6.060228+(-0.506124--1.640466))+0-0-0</f>
        <v>4824.3741139999993</v>
      </c>
      <c r="M150" s="3">
        <f>6078+(685.9-1638.9)+(9.29934+(1.049427-2.507517))+0-0-0</f>
        <v>5132.8412500000004</v>
      </c>
      <c r="N150" s="3">
        <f>6528.3+(820.7-1575.7)+(3.329433+(0.418557-0.803607))+0-0-0</f>
        <v>5776.2443830000002</v>
      </c>
      <c r="O150" s="3">
        <f>6985.4+(1183.1-1789.4)+(-3.562554+(-0.603381--0.912594))+0-0-0</f>
        <v>6375.8466589999998</v>
      </c>
      <c r="P150" s="3">
        <f>7119+(1451.9-1713.8)+(-3.63069+(-0.740469--0.874038))+0-0-0</f>
        <v>6853.602879</v>
      </c>
      <c r="Q150" s="3">
        <f>7076.4+(1469.8-1428.1)+(-7.217928+(-1.499196--1.456662))+0-0-0</f>
        <v>7110.8395379999993</v>
      </c>
      <c r="R150" s="3">
        <f>7078+(1486.7-1277.9)+(3.60978+(0.758217-0.651729))+0-0-0</f>
        <v>7290.5162680000003</v>
      </c>
      <c r="S150" s="3">
        <f>7032.2+(1375.8-1197.3)+(-10.759266+(-2.104974--1.831869))+0-0-0</f>
        <v>7199.6676289999996</v>
      </c>
      <c r="T150" s="3">
        <f>7038.6+(1320.8-1085.4)+(0+(0-0))+0-0-0</f>
        <v>7274</v>
      </c>
      <c r="U150" s="3">
        <f>7017.5+(1307.7-1146.1)+(7.15785+(1.333854-1.169022))+0-0-0</f>
        <v>7186.4226820000003</v>
      </c>
      <c r="V150" s="3">
        <f>6945+(1414.2-1330.2)+(0+(0-0))+0-0-0</f>
        <v>7029</v>
      </c>
      <c r="W150" s="3">
        <f>6929.6+(1463-1560.3)+(-10.602288+(-2.23839--2.387259))+0-0-0</f>
        <v>6821.8465809999998</v>
      </c>
      <c r="X150" s="3">
        <f>6927.9+(1490.4-1767.5)+(-14.132916+(-3.040416--3.6057))+0-0-0</f>
        <v>6637.232367999999</v>
      </c>
      <c r="Y150" s="3">
        <f>6829.8+(1256.8-1571.8)+(3.483198+(0.640968-0.801618))+0-0-0</f>
        <v>6518.1225480000003</v>
      </c>
      <c r="Z150" s="3">
        <f>7271+(1333.5-1747)+(11.12463+(2.040255-2.67291))+0-0-0</f>
        <v>6867.9919749999999</v>
      </c>
      <c r="AA150" s="3">
        <f>7281.3+(1252.5-1775.4)+(-11.140389+(-1.916325--2.716362))+0-0-0</f>
        <v>6748.0596479999995</v>
      </c>
      <c r="AB150" s="3">
        <f>7228.9+(1328.7-1961.7)+(-3.686739+(-0.677637--1.000467))+0-0-0</f>
        <v>6592.5360909999999</v>
      </c>
      <c r="AC150" s="3">
        <f>6999.9+(1280.7-1849.4)+(0+(0-0))+0-0-0</f>
        <v>6431.2</v>
      </c>
      <c r="AD150">
        <v>6690.2000000000007</v>
      </c>
      <c r="AE150" s="3">
        <f>7249+(1346.7-1905.5)+(0+(0-0))+0-0-0</f>
        <v>6690.2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6913.7+(1156.9-2000.3)+(-7.051974+(-1.180038--2.040306))+0-0-0</f>
        <v>6064.1082940000006</v>
      </c>
      <c r="G151" s="3">
        <f>6609.3+(864.6-1885.6)+(0+(0-0))+0-0-0</f>
        <v>5588.3</v>
      </c>
      <c r="H151" s="3">
        <f>6587.8+(765.2-2052.1)+(3.359778+(0.390252-1.046571))+0-0-0</f>
        <v>5303.6034590000008</v>
      </c>
      <c r="I151" s="3">
        <f>6490.7+(634.4-2026.1)+(-3.310257+(-0.323544--1.033311))+0-0-0</f>
        <v>5096.3995100000002</v>
      </c>
      <c r="J151" s="3">
        <f>6466.6+(654.5-2022.2)+(9.893898+(1.001385-3.093966))+0-0-0</f>
        <v>5106.7013170000009</v>
      </c>
      <c r="K151" s="3">
        <f>6261.2+(626.8-1972.9)+(-19.159272+(-1.918008--6.037074))+0-0-0</f>
        <v>4900.0597939999998</v>
      </c>
      <c r="L151" s="3">
        <f>5917.1+(588.3-1791.9)+(-15.088605+(-1.500165--4.569345))+0-0-0</f>
        <v>4701.4805749999996</v>
      </c>
      <c r="M151" s="3">
        <f>6075.8+(579.6-1754)+(3.098658+(0.295596-0.89454))+0-0-0</f>
        <v>4903.8997139999992</v>
      </c>
      <c r="N151" s="3">
        <f>6575.8+(551.3-1658.3)+(3.353658+(0.281163-0.845733))+0-0-0</f>
        <v>5471.5890880000006</v>
      </c>
      <c r="O151" s="3">
        <f>7105+(847-1898.9)+(7.2471+(0.86394-1.936878))+0-0-0</f>
        <v>6059.2741620000006</v>
      </c>
      <c r="P151" s="3">
        <f>7064.5+(1272.4-1866.2)+(7.20579+(1.297848-1.903524))+0-0-0</f>
        <v>6477.3001139999997</v>
      </c>
      <c r="Q151" s="3">
        <f>7043.2+(1481.7-1810.5)+(10.776096+(2.267001-2.770065))+0-0-0</f>
        <v>6724.6730319999997</v>
      </c>
      <c r="R151" s="3">
        <f>7042.9+(1419.3-1638.3)+(-3.591879+(-0.723843--0.835533))+0-0-0</f>
        <v>6820.4198109999998</v>
      </c>
      <c r="S151" s="3">
        <f>6958.6+(1397.3-1673.4)+(-14.195544+(-2.850492--3.413736))+0-0-0</f>
        <v>6668.8676999999998</v>
      </c>
      <c r="T151" s="3">
        <f>7001.2+(1459.9-1816.8)+(-7.141224+(-1.489098--1.853136))+0-0-0</f>
        <v>6637.5228139999999</v>
      </c>
      <c r="U151" s="3">
        <f>7046.6+(1417.1-1938.6)+(-10.781298+(-2.168163--2.966058))+0-0-0</f>
        <v>6515.1165970000002</v>
      </c>
      <c r="V151" s="3">
        <f>6967.5+(1408.5-1968.3)+(-10.660275+(-2.155005--3.011499))+0-0-0</f>
        <v>6397.8962190000002</v>
      </c>
      <c r="W151" s="3">
        <f>6913.6+(1506.5-2125)+(-14.103744+(-3.07326--4.335))+0-0-0</f>
        <v>6282.2579960000003</v>
      </c>
      <c r="X151" s="3">
        <f>6777.1+(1402.3-2067.4)+(-10.368963+(-2.145519--3.163122))+0-0-0</f>
        <v>6102.6486400000003</v>
      </c>
      <c r="Y151" s="3">
        <f>6526.3+(1189.9-1627.6)+(-3.328413+(-0.606849--0.830076))+0-0-0</f>
        <v>6085.4948140000006</v>
      </c>
      <c r="Z151" s="3">
        <f>7000.6+(1389-1987)+(-7.140612+(-1.41678--2.02674))+0-0-0</f>
        <v>6396.069348</v>
      </c>
      <c r="AA151" s="3">
        <f>7057.8+(1131.2-1865.2)+(-10.798434+(-1.730736--2.853756))+0-0-0</f>
        <v>6314.1245859999999</v>
      </c>
      <c r="AB151" s="3">
        <f>7031.2+(1084.2-1984.5)+(-3.585912+(-0.552942--1.012095))+0-0-0</f>
        <v>6127.7732409999999</v>
      </c>
      <c r="AC151" s="3">
        <f>6961.8+(1081-2044)+(-3.550518+(-0.55131--1.04244))+0-0-0</f>
        <v>5995.7406120000005</v>
      </c>
      <c r="AD151">
        <v>6380.5</v>
      </c>
      <c r="AE151" s="3">
        <f>7083+(1327.5-2030)+(0+(0-0))+0-0-0</f>
        <v>6380.5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6993.7+(937.8-2219.3)+(-7.133574+(-0.956556--2.263686))+0-0-0</f>
        <v>5706.3735559999996</v>
      </c>
      <c r="G152" s="3">
        <f>6807.3+(780.2-2197)+(-6.943446+(-0.795804--2.24094))+0-0-0</f>
        <v>5385.0016900000001</v>
      </c>
      <c r="H152" s="3">
        <f>6574.1+(733.5-2218.2)+(-13.411164+(-1.49634--4.525128))+0-0-0</f>
        <v>5079.017624000001</v>
      </c>
      <c r="I152" s="3">
        <f>6585.9+(626.8-2311.7)+(-3.358809+(-0.319668--1.178967))+0-0-0</f>
        <v>4898.5004900000004</v>
      </c>
      <c r="J152" s="3">
        <f>6494.1+(586.2-2156)+(-9.935973+(-0.896886--3.29868))+0-0-0</f>
        <v>4916.765821</v>
      </c>
      <c r="K152" s="3">
        <f>6210.1+(649.2-2217.4)+(-6.334302+(-0.662184--2.261748))+0-0-0</f>
        <v>4637.1652620000004</v>
      </c>
      <c r="L152" s="3">
        <f>5735.5+(439.4-1877.4)+(-23.40084+(-1.792752--7.659792))+0-0-0</f>
        <v>4279.9661999999998</v>
      </c>
      <c r="M152" s="3">
        <f>5497.7+(317-1679.2)+(0+(0-0))+0-0-0</f>
        <v>4135.5</v>
      </c>
      <c r="N152" s="3">
        <f>5613.9+(397.4-1731.1)+(5.726178+(0.405348-1.765722))+0-0-0</f>
        <v>4284.5658039999998</v>
      </c>
      <c r="O152" s="3">
        <f>5729.7+(452.4-1627.8)+(-5.844294+(-0.461448--1.660356))+0-0-0</f>
        <v>4549.6546139999991</v>
      </c>
      <c r="P152" s="3">
        <f>6229.2+(471.5-1756.8)+(0+(0-0))+0-0-0</f>
        <v>4943.8999999999996</v>
      </c>
      <c r="Q152" s="3">
        <f>6489+(710.3-1901.7)+(3.30939+(0.362253-0.969867))+0-0-0</f>
        <v>5300.3017760000002</v>
      </c>
      <c r="R152" s="3">
        <f>6654.8+(713.1-1897.5)+(13.575792+(1.454724-3.8709))+0-0-0</f>
        <v>5481.5596159999996</v>
      </c>
      <c r="S152" s="3">
        <f>6625.4+(594.1-1641.3)+(0+(0-0))+0-0-0</f>
        <v>5578.2</v>
      </c>
      <c r="T152" s="3">
        <f>6540.4+(611.1-1513.2)+(-3.335604+(-0.311661--0.771732))+0-0-0</f>
        <v>5635.4244669999989</v>
      </c>
      <c r="U152" s="3">
        <f>6581.8+(682.6-1654.2)+(-3.356718+(-0.348126--0.843642))+0-0-0</f>
        <v>5607.3387979999998</v>
      </c>
      <c r="V152" s="3">
        <f>6577.5+(885.2-1905.7)+(-13.4181+(-1.805808--3.887628))+0-0-0</f>
        <v>5545.6637199999996</v>
      </c>
      <c r="W152" s="3">
        <f>6469.8+(1040.2-1969.2)+(-6.599196+(-1.061004--2.008584))+0-0-0</f>
        <v>5535.1483840000001</v>
      </c>
      <c r="X152" s="3">
        <f>6193.4+(1108.6-1773)+(-9.475902+(-1.696158--2.71269))+0-0-0</f>
        <v>5520.5406300000004</v>
      </c>
      <c r="Y152" s="3">
        <f>6144.1+(853-1331.6)+(3.133491+(0.43503-0.679116))+0-0-0</f>
        <v>5668.3894049999999</v>
      </c>
      <c r="Z152" s="3">
        <f>6792.2+(899.2-1664.6)+(-6.928044+(-0.917184--1.697892))+0-0-0</f>
        <v>6020.6526640000002</v>
      </c>
      <c r="AA152" s="3">
        <f>6955.6+(883.4-1819.8)+(-14.189424+(-1.802136--3.712392))+0-0-0</f>
        <v>6006.9208320000007</v>
      </c>
      <c r="AB152" s="3">
        <f>6996.4+(841.1-1897.2)+(0+(0-0))+0-0-0</f>
        <v>5940.2999999999993</v>
      </c>
      <c r="AC152" s="3">
        <f>6913.3+(701.1-1849)+(3.525783+(0.357561-0.94299))+0-0-0</f>
        <v>5768.3403539999999</v>
      </c>
      <c r="AD152">
        <v>6026.6</v>
      </c>
      <c r="AE152" s="3">
        <f>6902+(905.5-1780.9)+(0+(0-0))+0-0-0</f>
        <v>6026.6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6901.7+(742-2173.2)+(10.559601+(1.13526-3.324996))+0-0-0</f>
        <v>5478.8698649999997</v>
      </c>
      <c r="G153" s="3">
        <f>6855+(734.1-2389.8)+(-10.48815+(-1.123173--3.656394))+0-0-0</f>
        <v>5191.3450709999988</v>
      </c>
      <c r="H153" s="3">
        <f>6617.7+(524.1-2176.4)+(-3.375027+(-0.267291--1.109964))+0-0-0</f>
        <v>4962.8676459999997</v>
      </c>
      <c r="I153" s="3">
        <f>6514.3+(479.6-2172.5)+(13.289172+(0.978384-4.4319))+0-0-0</f>
        <v>4831.2356559999998</v>
      </c>
      <c r="J153" s="3">
        <f>6488.4+(498.3-2146.5)+(0+(0-0))+0-0-0</f>
        <v>4840.2</v>
      </c>
      <c r="K153" s="3">
        <f>6122+(507.9-2052.9)+(-12.48888+(-1.036116--4.187916))+0-0-0</f>
        <v>4567.6629199999998</v>
      </c>
      <c r="L153" s="3">
        <f>5567.1+(414.8-1566.1)+(-11.356884+(-0.846192--3.194844))+0-0-0</f>
        <v>4406.791768</v>
      </c>
      <c r="M153" s="3">
        <f>5588.1+(291.9-1271.1)+(-2.849931+(-0.148869--0.648261))+0-0-0</f>
        <v>4606.5494610000005</v>
      </c>
      <c r="N153" s="3">
        <f>5833.8+(969.4-1625.7)+(-5.950476+(-0.988788--1.658214))+0-0-0</f>
        <v>5172.2189500000004</v>
      </c>
      <c r="O153" s="3">
        <f>6208.6+(1328.3-1640.4)+(3.166386+(0.677433-0.836604))+0-0-0</f>
        <v>5899.5072149999996</v>
      </c>
      <c r="P153" s="3">
        <f>6794.9+(1507.5-1874.8)+(6.930798+(1.53765-1.912296))+0-0-0</f>
        <v>6434.1561519999996</v>
      </c>
      <c r="Q153" s="3">
        <f>6974.8+(1527.6-1695)+(-3.557148+(-0.779076--0.86445))+0-0-0</f>
        <v>6803.928226</v>
      </c>
      <c r="R153" s="3">
        <f>6995.4+(1571.7-1589.8)+(0+(0-0))+0-0-0</f>
        <v>6977.2999999999993</v>
      </c>
      <c r="S153" s="3">
        <f>6955.3+(1635.6-1601)+(-10.641609+(-2.502468--2.44953))+0-0-0</f>
        <v>6979.2054529999996</v>
      </c>
      <c r="T153" s="3">
        <f>6905.4+(1660-1419.6)+(3.521754+(0.8466-0.723996))+0-0-0</f>
        <v>7149.4443579999988</v>
      </c>
      <c r="U153" s="3">
        <f>6794.7+(1629.9-1331.8)+(6.930594+(1.662498-1.358436))+0-0-0</f>
        <v>7100.0346559999998</v>
      </c>
      <c r="V153" s="3">
        <f>6619+(1712.5-1372)+(-13.50276+(-3.4935--2.79888))+0-0-0</f>
        <v>6945.3026200000004</v>
      </c>
      <c r="W153" s="3">
        <f>6655.8+(1823.3-1723.7)+(-6.788916+(-1.859766--1.758174))+0-0-0</f>
        <v>6748.5094919999992</v>
      </c>
      <c r="X153" s="3">
        <f>6716.5+(1850.1-2055.9)+(-23.977905+(-6.604857--7.339563))+0-0-0</f>
        <v>6487.4568010000003</v>
      </c>
      <c r="Y153" s="3">
        <f>6988.4+(1447.1-1947.8)+(-3.564084+(-0.738021--0.993378))+0-0-0</f>
        <v>6484.3912730000002</v>
      </c>
      <c r="Z153" s="3">
        <f>7319.7+(1585.7-2070.2)+(0+(0-0))+0-0-0</f>
        <v>6835.2</v>
      </c>
      <c r="AA153" s="3">
        <f>7276.7+(1620.8-2146.2)+(-14.844468+(-3.306432--4.378248))+0-0-0</f>
        <v>6737.5273480000005</v>
      </c>
      <c r="AB153" s="3">
        <f>7116.7+(1559.7-2143.1)+(0+(0-0))+0-0-0</f>
        <v>6533.3</v>
      </c>
      <c r="AC153" s="3">
        <f>7054.7+(1460.1-2246.5)+(-10.793691+(-2.233953--3.437145))+0-0-0</f>
        <v>6258.7095009999994</v>
      </c>
      <c r="AD153">
        <v>6763.6</v>
      </c>
      <c r="AE153" s="3">
        <f>7313+(1603.5-2152.9)+(0+(0-0))+0-0-0</f>
        <v>6763.6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7053.1+(1113.3-2330.5)+(10.791243+(1.703349-3.565665))+0-0-0</f>
        <v>5844.8289270000005</v>
      </c>
      <c r="G154" s="3">
        <f>6791.1+(800.8-2197)+(3.463461+(0.408408-1.12047))+0-0-0</f>
        <v>5397.6513990000003</v>
      </c>
      <c r="H154" s="3">
        <f>6533.1+(668.6-2098.2)+(-9.995643+(-1.022958--3.210246))+0-0-0</f>
        <v>5095.6916449999999</v>
      </c>
      <c r="I154" s="3">
        <f>6243.9+(745-2032)+(3.184389+(0.37995-1.03632))+0-0-0</f>
        <v>4959.4280189999999</v>
      </c>
      <c r="J154" s="3">
        <f>6195.5+(764.8-1953.5)+(0+(0-0))+0-0-0</f>
        <v>5006.8</v>
      </c>
      <c r="K154" s="3">
        <f>6077.6+(560.3-1781.1)+(-12.398304+(-1.143012--3.633444))+0-0-0</f>
        <v>4846.8921280000004</v>
      </c>
      <c r="L154" s="3">
        <f>5636.4+(376.7-1329.4)+(-17.247384+(-1.152702--4.067964))+0-0-0</f>
        <v>4669.367878</v>
      </c>
      <c r="M154" s="3">
        <f>5849.9+(343.5-1274.5)+(2.983449+(0.175185-0.649995))+0-0-0</f>
        <v>4921.4086389999993</v>
      </c>
      <c r="N154" s="3">
        <f>6502.3+(724.8-1702.9)+(3.316173+(0.369648-0.868479))+0-0-0</f>
        <v>5527.0173420000001</v>
      </c>
      <c r="O154" s="3">
        <f>7028.7+(954.4-1898.4)+(3.584637+(0.486744-0.968184))+0-0-0</f>
        <v>6087.8031970000002</v>
      </c>
      <c r="P154" s="3">
        <f>7289.2+(1435.9-2187.1)+(14.869968+(2.929236-4.461684))+0-0-0</f>
        <v>6551.33752</v>
      </c>
      <c r="Q154" s="3">
        <f>7236+(1498.4-1911.7)+(3.69036+(0.764184-0.974967))+0-0-0</f>
        <v>6826.1795769999999</v>
      </c>
      <c r="R154" s="3">
        <f>7289.6+(1668.8-1928.9)+(7.435392+(1.702176-1.967478))+0-0-0</f>
        <v>7036.6700899999996</v>
      </c>
      <c r="S154" s="3">
        <f>7247.3+(1798.7-2056.7)+(-7.392246+(-1.834674--2.097834))+0-0-0</f>
        <v>6982.1709140000003</v>
      </c>
      <c r="T154" s="3">
        <f>7298.7+(1814.7-2016.7)+(-7.444674+(-1.850994--2.057034))+0-0-0</f>
        <v>7089.4613659999995</v>
      </c>
      <c r="U154" s="3">
        <f>7263+(1794.4-2088.4)+(-14.81652+(-3.660576--4.260336))+0-0-0</f>
        <v>6954.7832399999998</v>
      </c>
      <c r="V154" s="3">
        <f>7232.6+(1674.5-2086.2)+(-14.754504+(-3.41598--4.255848))+0-0-0</f>
        <v>6806.9853640000001</v>
      </c>
      <c r="W154" s="3">
        <f>7211.4+(1485.4-2101)+(-25.744698+(-5.302878--7.50057))+0-0-0</f>
        <v>6572.2529939999995</v>
      </c>
      <c r="X154" s="3">
        <f>6956.5+(1196.3-1819.5)+(-21.28689+(-3.660678--5.56767))+0-0-0</f>
        <v>6313.920102</v>
      </c>
      <c r="Y154" s="3">
        <f>6940+(1098.4-1690)+(3.5394+(0.560184-0.8619))+0-0-0</f>
        <v>6351.6376839999994</v>
      </c>
      <c r="Z154" s="3">
        <f>7370.5+(1069.1-1882.2)+(-3.758955+(-0.545241--0.959922))+0-0-0</f>
        <v>6554.0557259999996</v>
      </c>
      <c r="AA154" s="3">
        <f>7337.3+(1034.2-1888)+(-26.194161+(-3.692094--6.74016))+0-0-0</f>
        <v>6460.3539049999999</v>
      </c>
      <c r="AB154" s="3">
        <f>6987.3+(915.9-1684.4)+(-17.817615+(-2.335545--4.29522))+0-0-0</f>
        <v>6202.9420600000003</v>
      </c>
      <c r="AC154" s="3">
        <f>6791.6+(738.7-1621.8)+(3.463716+(0.376737-0.827118))+0-0-0</f>
        <v>5911.5133349999996</v>
      </c>
      <c r="AD154">
        <v>6549.6</v>
      </c>
      <c r="AE154" s="3">
        <f>7395+(1111.7-1957.1)+(0+(0-0))+0-0-0</f>
        <v>6549.6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6575.8+(773.3-1733.7)+(-3.353658+(-0.394383--0.884187))+0-0-0</f>
        <v>5612.5361459999995</v>
      </c>
      <c r="G155" s="3">
        <f>6465.6+(823.3-1973.8)+(-9.892368+(-1.259649--3.019914))+0-0-0</f>
        <v>5306.9678970000004</v>
      </c>
      <c r="H155" s="3">
        <f>6472.3+(715.8-2096.9)+(-6.601746+(-0.730116--2.138838))+0-0-0</f>
        <v>5086.0069759999997</v>
      </c>
      <c r="I155" s="3">
        <f>6325.8+(681.8-2038.2)+(9.678474+(1.043154-3.118446))+0-0-0</f>
        <v>4977.0031819999995</v>
      </c>
      <c r="J155" s="3">
        <f>6327.6+(735.2-2029.9)+(3.227076+(0.374952-1.035249))+0-0-0</f>
        <v>5035.4667790000003</v>
      </c>
      <c r="K155" s="3">
        <f>6014.8+(583.1-1909.9)+(-9.202644+(-0.892143--2.922147))+0-0-0</f>
        <v>4680.8273600000002</v>
      </c>
      <c r="L155" s="3">
        <f>5463.5+(597.1-1722.7)+(-22.29108+(-2.436168--7.028616))+0-0-0</f>
        <v>4320.201368</v>
      </c>
      <c r="M155" s="3">
        <f>5333.7+(468.9-1686.7)+(0+(0-0))+0-0-0</f>
        <v>4115.8999999999996</v>
      </c>
      <c r="N155" s="3">
        <f>5389.2+(342.7-1559.1)+(10.993968+(0.699108-3.180564))+0-0-0</f>
        <v>4181.3125120000004</v>
      </c>
      <c r="O155" s="3">
        <f>5771.3+(372.1-1800.9)+(11.773452+(0.759084-3.673836))+0-0-0</f>
        <v>4351.3586999999998</v>
      </c>
      <c r="P155" s="3">
        <f>5873.6+(614.4-1926.2)+(0+(0-0))+0-0-0</f>
        <v>4561.8</v>
      </c>
      <c r="Q155" s="3">
        <f>6041.3+(676.3-1870.5)+(3.081063+(0.344913-0.953955))+0-0-0</f>
        <v>4849.5720209999999</v>
      </c>
      <c r="R155" s="3">
        <f>6268.9+(911.2-2090.6)+(0+(0-0))+0-0-0</f>
        <v>5089.5</v>
      </c>
      <c r="S155" s="3">
        <f>6322.8+(1088.1-2067.1)+(-9.673884+(-1.664793--3.162663))+0-0-0</f>
        <v>5335.6239860000005</v>
      </c>
      <c r="T155" s="3">
        <f>6359+(1158.9-2071.4)+(3.24309+(0.591039-1.056414))+0-0-0</f>
        <v>5449.2777150000002</v>
      </c>
      <c r="U155" s="3">
        <f>6313.5+(1129.6-1960.5)+(-6.43977+(-1.152192--1.99971))+0-0-0</f>
        <v>5477.007748</v>
      </c>
      <c r="V155" s="3">
        <f>6228.9+(1113.4-1877)+(3.176739+(0.567834-0.95727))+0-0-0</f>
        <v>5468.0873029999993</v>
      </c>
      <c r="W155" s="3">
        <f>6237.7+(1004.3-1812.5)+(-12.724908+(-2.048772--3.6975))+0-0-0</f>
        <v>5418.42382</v>
      </c>
      <c r="X155" s="3">
        <f>6135.5+(869.7-1573.3)+(-3.129105+(-0.443547--0.802383))+0-0-0</f>
        <v>5429.129731</v>
      </c>
      <c r="Y155" s="3">
        <f>6333.3+(773-1451.2)+(-3.229983+(-0.39423--0.740112))+0-0-0</f>
        <v>5652.2158990000007</v>
      </c>
      <c r="Z155" s="3">
        <f>7001.4+(891.9-1804.7)+(-14.282856+(-1.819476--3.681588))+0-0-0</f>
        <v>6076.1792559999994</v>
      </c>
      <c r="AA155" s="3">
        <f>6964.3+(981.4-1869.4)+(-7.103586+(-1.001028--1.906788))+0-0-0</f>
        <v>6070.1021740000006</v>
      </c>
      <c r="AB155" s="3">
        <f>6871.9+(1141.6-1980.7)+(0+(0-0))+0-0-0</f>
        <v>6032.7999999999993</v>
      </c>
      <c r="AC155" s="3">
        <f>6859.4+(1287.4-2141)+(-13.993176+(-2.626296--4.36764))+0-0-0</f>
        <v>5993.5481679999994</v>
      </c>
      <c r="AD155">
        <v>6155.6</v>
      </c>
      <c r="AE155" s="3">
        <f>7082+(940.3-1866.7)+(0+(0-0))+0-0-0</f>
        <v>6155.6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6823+(1287.4-2349.8)+(-13.91892+(-2.626296--4.793592))+0-0-0</f>
        <v>5748.8483759999999</v>
      </c>
      <c r="G156" s="3">
        <f>6590.9+(986.1-2235)+(-13.445436+(-2.011644--4.5594))+0-0-0</f>
        <v>5331.10232</v>
      </c>
      <c r="H156" s="3">
        <f>6334.7+(604.3-1938.4)+(-3.230697+(-0.308193--0.988584))+0-0-0</f>
        <v>4998.0496939999994</v>
      </c>
      <c r="I156" s="3">
        <f>6377.1+(275.6-1815.8)+(6.504642+(0.281112-1.852116))+0-0-0</f>
        <v>4841.833638000001</v>
      </c>
      <c r="J156" s="3">
        <f>6396.9+(255.8-1732.1)+(6.524838+(0.260916-1.766742))+0-0-0</f>
        <v>4925.6190119999992</v>
      </c>
      <c r="K156" s="3">
        <f>6227.3+(328.9-1775.4)+(-9.527769+(-0.503217--2.716362))+0-0-0</f>
        <v>4773.4853760000005</v>
      </c>
      <c r="L156" s="3">
        <f>6076.1+(363.6-1777.1)+(0+(0-0))+0-0-0</f>
        <v>4662.6000000000004</v>
      </c>
      <c r="M156" s="3">
        <f>6269.1+(465.8-1722.8)+(0+(0-0))+0-0-0</f>
        <v>5012.1000000000004</v>
      </c>
      <c r="N156" s="3">
        <f>6847.7+(887-2039.7)+(10.476981+(1.35711-3.120741))+0-0-0</f>
        <v>5703.71335</v>
      </c>
      <c r="O156" s="3">
        <f>7218.6+(1367.2-2273.2)+(7.362972+(1.394544-2.318664))+0-0-0</f>
        <v>6319.0388520000006</v>
      </c>
      <c r="P156" s="3">
        <f>7252.1+(1565.5-2044.9)+(14.794284+(3.19362-4.171596))+0-0-0</f>
        <v>6786.5163080000011</v>
      </c>
      <c r="Q156" s="3">
        <f>7312.4+(1768.3-1977.1)+(7.458648+(1.803666-2.016642))+0-0-0</f>
        <v>7110.8456719999995</v>
      </c>
      <c r="R156" s="3">
        <f>7352.3+(1895.7-1941.1)+(11.249019+(2.900421-2.969883))+0-0-0</f>
        <v>7318.0795570000009</v>
      </c>
      <c r="S156" s="3">
        <f>7308.5+(2033.9-2079.4)+(0+(0-0))+0-0-0</f>
        <v>7263</v>
      </c>
      <c r="T156" s="3">
        <f>7263.2+(2070.8-1918.3)+(0+(0-0))+0-0-0</f>
        <v>7415.7</v>
      </c>
      <c r="U156" s="3">
        <f>7194+(2074.3-1926.9)+(-22.01364+(-6.347358--5.896314))+0-0-0</f>
        <v>7318.9353160000001</v>
      </c>
      <c r="V156" s="3">
        <f>7175.9+(1935.3-1931.5)+(-10.979127+(-2.961009--2.955195))+0-0-0</f>
        <v>7168.7150590000001</v>
      </c>
      <c r="W156" s="3">
        <f>7131.1+(1869.1-2029.7)+(-7.273722+(-1.906482--2.070294))+0-0-0</f>
        <v>6963.3900899999999</v>
      </c>
      <c r="X156" s="3">
        <f>7065.1+(1683.3-2074.9)+(-10.809603+(-2.575449--3.174597))+0-0-0</f>
        <v>6663.2895449999996</v>
      </c>
      <c r="Y156" s="3">
        <f>7179+(1552.9-2076.1)+(7.32258+(1.583958-2.117622))+0-0-0</f>
        <v>6662.5889160000006</v>
      </c>
      <c r="Z156" s="3">
        <f>7431.7+(1658.2-2173.4)+(-7.580334+(-1.691364--2.216868))+0-0-0</f>
        <v>6909.44517</v>
      </c>
      <c r="AA156" s="3">
        <f>7412.8+(1608-2193.4)+(-11.341584+(-2.46024--3.355902))+0-0-0</f>
        <v>6816.9540779999998</v>
      </c>
      <c r="AB156" s="3">
        <f>7204.4+(1628.9-2255.6)+(-11.022732+(-2.492217--3.451068))+0-0-0</f>
        <v>6567.6361189999998</v>
      </c>
      <c r="AC156" s="3">
        <f>7156.9+(1410.5-2313.2)+(-7.300038+(-1.43871--2.359464))+0-0-0</f>
        <v>6247.8207160000002</v>
      </c>
      <c r="AD156">
        <v>6912.0999999999995</v>
      </c>
      <c r="AE156" s="3">
        <f>7434+(1597.9-2119.8)+(0+(0-0))+0-0-0</f>
        <v>6912.1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6944.1+(1377.8-2489.4)+(-3.541491+(-0.702678--1.269594))+0-0-0</f>
        <v>5829.5254249999998</v>
      </c>
      <c r="G157" s="3">
        <f>6639.8+(1243.2-2370.9)+(-10.158894+(-1.902096--3.627477))+0-0-0</f>
        <v>5503.6664870000004</v>
      </c>
      <c r="H157" s="3">
        <f>6395.8+(1113.7-2251.8)+(-6.523716+(-1.135974--2.296836))+0-0-0</f>
        <v>5252.3371459999998</v>
      </c>
      <c r="I157" s="3">
        <f>6363.4+(1073.2-2280.6)+(-16.22667+(-2.73666--5.81553))+0-0-0</f>
        <v>5142.8522000000003</v>
      </c>
      <c r="J157" s="3">
        <f>6422+(1107.3-2371.2)+(3.27522+(0.564723-1.209312))+0-0-0</f>
        <v>5160.7306310000004</v>
      </c>
      <c r="K157" s="3">
        <f>6292.8+(942.3-2301.2)+(-16.04664+(-2.402865--5.86806))+0-0-0</f>
        <v>4921.3185550000007</v>
      </c>
      <c r="L157" s="3">
        <f>6057+(720.9-2038.5)+(-9.26721+(-1.102977--3.118905))+0-0-0</f>
        <v>4732.1487179999995</v>
      </c>
      <c r="M157" s="3">
        <f>5908.9+(838.9-1872.1)+(-6.027078+(-0.855678--1.909542))+0-0-0</f>
        <v>4870.7267860000002</v>
      </c>
      <c r="N157" s="3">
        <f>6478.5+(1006.7-2093.3)+(6.60807+(1.026834-2.135166))+0-0-0</f>
        <v>5397.3997380000001</v>
      </c>
      <c r="O157" s="3">
        <f>7204.8+(1104.7-2269.8)+(7.348896+(1.126794-2.315196))+0-0-0</f>
        <v>6045.8604939999996</v>
      </c>
      <c r="P157" s="3">
        <f>7363.7+(1557.9-2330.1)+(3.755487+(0.794529-1.188351))+0-0-0</f>
        <v>6594.8616650000004</v>
      </c>
      <c r="Q157" s="3">
        <f>7342.6+(1713.2-2142.8)+(-7.489452+(-1.747464--2.185656))+0-0-0</f>
        <v>6905.9487399999998</v>
      </c>
      <c r="R157" s="3">
        <f>7367.3+(1899.7-2152.1)+(-3.757323+(-0.968847--1.097571))+0-0-0</f>
        <v>7111.2714010000009</v>
      </c>
      <c r="S157" s="3">
        <f>7291.6+(2017.2-2204.1)+(-18.59358+(-5.14386--5.620455))+0-0-0</f>
        <v>7086.5830150000011</v>
      </c>
      <c r="T157" s="3">
        <f>7284.5+(2146-2164)+(-18.575475+(-5.4723--5.5182))+0-0-0</f>
        <v>7247.9704250000004</v>
      </c>
      <c r="U157" s="3">
        <f>7267.5+(2076.1-2148.2)+(-11.119275+(-3.176433--3.286746))+0-0-0</f>
        <v>7184.3910379999998</v>
      </c>
      <c r="V157" s="3">
        <f>7260.8+(1904.2-2112.9)+(-11.109024+(-2.913426--3.232737))+0-0-0</f>
        <v>7041.3102870000002</v>
      </c>
      <c r="W157" s="3">
        <f>7263.1+(1746.5-2164.8)+(-7.408362+(-1.78143--2.208096))+0-0-0</f>
        <v>6837.8183040000004</v>
      </c>
      <c r="X157" s="3">
        <f>7250.6+(1574.6-2238.1)+(-18.48903+(-4.01523--5.707155))+0-0-0</f>
        <v>6570.3028950000007</v>
      </c>
      <c r="Y157" s="3">
        <f>7296.3+(1355.4-2032.5)+(-3.721113+(-0.691254--1.036575))+0-0-0</f>
        <v>6615.8242080000009</v>
      </c>
      <c r="Z157" s="3">
        <f>7686.7+(1508.9-2375.6)+(0+(0-0))+0-0-0</f>
        <v>6820</v>
      </c>
      <c r="AA157" s="3">
        <f>7513+(1466.7-2257.7)+(-15.32652+(-2.992068--4.605708))+0-0-0</f>
        <v>6708.28712</v>
      </c>
      <c r="AB157" s="3">
        <f>7469.4+(1341.9-2311.1)+(3.809394+(0.684369-1.178661))+0-0-0</f>
        <v>6503.5151019999994</v>
      </c>
      <c r="AC157" s="3">
        <f>7396.6+(1224.3-2366)+(-15.089064+(-2.497572--4.82664))+0-0-0</f>
        <v>6242.1400040000008</v>
      </c>
      <c r="AD157">
        <v>6756</v>
      </c>
      <c r="AE157" s="3">
        <f>7603+(1519.9-2366.9)+(0+(0-0))+0-0-0</f>
        <v>6756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7125.4+(1085.7-2425.7)+(-3.633954+(-0.553707--1.237107))+0-0-0</f>
        <v>5782.4494459999996</v>
      </c>
      <c r="G158" s="3">
        <f>6909.6+(780.1-2352.7)+(0+(0-0))+0-0-0</f>
        <v>5337</v>
      </c>
      <c r="H158" s="3">
        <f>6576.9+(641.7-2194.3)+(0+(0-0))+0-0-0</f>
        <v>5024.2999999999993</v>
      </c>
      <c r="I158" s="3">
        <f>6395.5+(665-2212.9)+(9.785115+(1.01745-3.385737))+0-0-0</f>
        <v>4855.0168280000007</v>
      </c>
      <c r="J158" s="3">
        <f>6371.6+(641.7-2116.5)+(-3.249516+(-0.327267--1.079415))+0-0-0</f>
        <v>4894.3026319999999</v>
      </c>
      <c r="K158" s="3">
        <f>6257.9+(628.2-2113.9)+(-15.957645+(-1.60191--5.390445))+0-0-0</f>
        <v>4760.03089</v>
      </c>
      <c r="L158" s="3">
        <f>5935.7+(521.7-1852.8)+(-12.108828+(-1.064268--3.779712))+0-0-0</f>
        <v>4595.2066160000004</v>
      </c>
      <c r="M158" s="3">
        <f>5929.8+(560.3-1735.6)+(6.048396+(0.571506-1.770312))+0-0-0</f>
        <v>4759.3495899999998</v>
      </c>
      <c r="N158" s="3">
        <f>6351.4+(889.1-1959.7)+(0+(0-0))+0-0-0</f>
        <v>5280.7999999999993</v>
      </c>
      <c r="O158" s="3">
        <f>7150.3+(1197.9-2571.7)+(3.646653+(0.610929-1.311567))+0-0-0</f>
        <v>5779.4460150000004</v>
      </c>
      <c r="P158" s="3">
        <f>7152.9+(1289.2-2261.7)+(14.591916+(2.629968-4.613868))+0-0-0</f>
        <v>6193.0080159999998</v>
      </c>
      <c r="Q158" s="3">
        <f>7192.5+(1652.9-2366.8)+(-18.340875+(-4.214895--6.03534))+0-0-0</f>
        <v>6462.0795700000008</v>
      </c>
      <c r="R158" s="3">
        <f>7234.7+(1750.4-2343.1)+(7.379394+(1.785408-2.389962))+0-0-0</f>
        <v>6648.77484</v>
      </c>
      <c r="S158" s="3">
        <f>7129.1+(1783.4-2319.6)+(-10.907523+(-2.728602--3.548988))+0-0-0</f>
        <v>6582.8128630000001</v>
      </c>
      <c r="T158" s="3">
        <f>7050.4+(1865.2-2316.8)+(3.595704+(0.951252-1.181568))+0-0-0</f>
        <v>6602.1653879999994</v>
      </c>
      <c r="U158" s="3">
        <f>6976+(1790-2271.5)+(0+(0-0))+0-0-0</f>
        <v>6494.5</v>
      </c>
      <c r="V158" s="3">
        <f>6922.8+(1656.9-2199.1)+(-17.65314+(-4.225095--5.607705))+0-0-0</f>
        <v>6364.3294700000006</v>
      </c>
      <c r="W158" s="3">
        <f>6804.6+(1431.5-1992.4)+(-10.411038+(-2.190195--3.048372))+0-0-0</f>
        <v>6234.1471390000006</v>
      </c>
      <c r="X158" s="3">
        <f>6672.2+(1245.6-1830.1)+(-10.208466+(-1.905768--2.800053))+0-0-0</f>
        <v>6078.3858190000001</v>
      </c>
      <c r="Y158" s="3">
        <f>6791.1+(1082.3-1893.2)+(6.926922+(1.103946-1.931064))+0-0-0</f>
        <v>5986.2998040000011</v>
      </c>
      <c r="Z158" s="3">
        <f>7196.5+(1064.1-2435.1)+(-25.691505+(-3.798837--8.693307))+0-0-0</f>
        <v>5804.7029650000004</v>
      </c>
      <c r="AA158" s="3">
        <f>7205.2+(1086.3-2407.6)+(-11.023956+(-1.662039--3.683628))+0-0-0</f>
        <v>5874.8976329999996</v>
      </c>
      <c r="AB158" s="3">
        <f>6930.7+(1080.4-2182.6)+(3.534657+(0.551004-1.113126))+0-0-0</f>
        <v>5831.4725349999999</v>
      </c>
      <c r="AC158" s="3">
        <f>6871.4+(1008.8-2164.2)+(-17.52207+(-2.57244--5.51871))+0-0-0</f>
        <v>5701.4242000000004</v>
      </c>
      <c r="AD158">
        <v>5837.9</v>
      </c>
      <c r="AE158" s="3">
        <f>7227+(1080.9-2470)+(0+(0-0))+0-0-0</f>
        <v>5837.9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6843.8+(923-2306.2)+(-17.45169+(-2.35365--5.88081))+0-0-0</f>
        <v>5446.6754700000001</v>
      </c>
      <c r="G159" s="3">
        <f>6509.5+(848.7-2244.1)+(-16.599225+(-2.164185--5.722455))+0-0-0</f>
        <v>5101.059045</v>
      </c>
      <c r="H159" s="3">
        <f>6285+(530.3-2018.3)+(6.4107+(0.540906-2.058666))+0-0-0</f>
        <v>4801.8929399999997</v>
      </c>
      <c r="I159" s="3">
        <f>6200.4+(363.9-1955.8)+(-9.486612+(-0.556767--2.992374))+0-0-0</f>
        <v>4601.4489949999997</v>
      </c>
      <c r="J159" s="3">
        <f>6234.1+(360.1-1968.3)+(0+(0-0))+0-0-0</f>
        <v>4625.9000000000005</v>
      </c>
      <c r="K159" s="3">
        <f>6188.5+(413.6-2146.3)+(-15.780675+(-1.05468--5.473065))+0-0-0</f>
        <v>4444.4377099999992</v>
      </c>
      <c r="L159" s="3">
        <f>5735.3+(361-1963)+(-20.475021+(-1.28877--7.00791))+0-0-0</f>
        <v>4118.5441190000001</v>
      </c>
      <c r="M159" s="3">
        <f>5483.5+(476.6-2018.1)+(2.796585+(0.243066-1.029231))+0-0-0</f>
        <v>3944.0104200000001</v>
      </c>
      <c r="N159" s="3">
        <f>5503.2+(396.1-1885.4)+(2.806632+(0.202011-0.961554))+0-0-0</f>
        <v>4015.9470889999998</v>
      </c>
      <c r="O159" s="3">
        <f>5953.8+(331.6-2048.4)+(-6.072876+(-0.338232--2.089368))+0-0-0</f>
        <v>4232.6782599999997</v>
      </c>
      <c r="P159" s="3">
        <f>6162.7+(439.3-2045.4)+(6.285954+(0.448086-2.086308))+0-0-0</f>
        <v>4561.2477319999998</v>
      </c>
      <c r="Q159" s="3">
        <f>6195.9+(669.9-1958.1)+(12.639636+(1.366596-3.994524))+0-0-0</f>
        <v>4917.7117079999998</v>
      </c>
      <c r="R159" s="3">
        <f>6288.9+(1060.3-2180.4)+(-9.622017+(-1.622259--3.336012))+0-0-0</f>
        <v>5160.8917359999996</v>
      </c>
      <c r="S159" s="3">
        <f>6270.8+(1261.2-2208)+(-6.396216+(-1.286424--2.25216))+0-0-0</f>
        <v>5318.56952</v>
      </c>
      <c r="T159" s="3">
        <f>6151+(1325.4-2075)+(3.13701+(0.675954-1.05825))+0-0-0</f>
        <v>5404.1547139999993</v>
      </c>
      <c r="U159" s="3">
        <f>6069.1+(1332.8-1998.5)+(0+(0-0))+0-0-0</f>
        <v>5403.4000000000005</v>
      </c>
      <c r="V159" s="3">
        <f>6060+(1395.5-2071.5)+(0+(0-0))+0-0-0</f>
        <v>5384</v>
      </c>
      <c r="W159" s="3">
        <f>6068.3+(1402.4-2005.5)+(0+(0-0))+0-0-0</f>
        <v>5465.2000000000007</v>
      </c>
      <c r="X159" s="3">
        <f>5876.2+(1275.3-1745.4)+(-8.990586+(-1.951209--2.670462))+0-0-0</f>
        <v>5397.8286669999998</v>
      </c>
      <c r="Y159" s="3">
        <f>6082.5+(1067.4-1560.7)+(9.306225+(1.633122-2.387871))+0-0-0</f>
        <v>5597.7514759999995</v>
      </c>
      <c r="Z159" s="3">
        <f>6739.3+(1190.7-2024.4)+(-6.874086+(-1.214514--2.064888))+0-0-0</f>
        <v>5899.5762880000002</v>
      </c>
      <c r="AA159" s="3">
        <f>6689.8+(1236.1-2140.5)+(-3.411798+(-0.630411--1.091655))+0-0-0</f>
        <v>5782.4494459999996</v>
      </c>
      <c r="AB159" s="3">
        <f>6566.1+(1228.6-2128.4)+(-6.697422+(-1.253172--2.170968))+0-0-0</f>
        <v>5660.5203740000006</v>
      </c>
      <c r="AC159" s="3">
        <f>6564.7+(1265.8-2310)+(3.347997+(0.645558-1.1781))+0-0-0</f>
        <v>5523.3154549999999</v>
      </c>
      <c r="AD159">
        <v>6135.1</v>
      </c>
      <c r="AE159" s="3">
        <f>6830+(1225.1-2068)+(0+(0-0))+0-0-0</f>
        <v>5987.1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6261.1+(1213.5-2273.3)+(-3.193161+(-0.618885--1.159383))+0-0-0</f>
        <v>5198.6473370000003</v>
      </c>
      <c r="G160" s="3">
        <f>5909.7+(1158.5-2289.6)+(-18.083682+(-3.54501--7.006176))+0-0-0</f>
        <v>4763.977484</v>
      </c>
      <c r="H160" s="3">
        <f>5878.4+(868.6-2280.4)+(-11.991936+(-1.771944--4.652016))+0-0-0</f>
        <v>4457.488135999999</v>
      </c>
      <c r="I160" s="3">
        <f>5885.8+(639.4-2184.7)+(3.001758+(0.326094-1.114197))+0-0-0</f>
        <v>4342.7136549999996</v>
      </c>
      <c r="J160" s="3">
        <f>5707.4+(387.2-1701.1)+(5.821548+(0.394944-1.735122))+0-0-0</f>
        <v>4397.9813700000004</v>
      </c>
      <c r="K160" s="3">
        <f>5508.1+(468.6-1651.4)+(-2.809131+(-0.238986--0.842214))+0-0-0</f>
        <v>4323.0940970000001</v>
      </c>
      <c r="L160" s="3">
        <f>5190.2+(508.5-1451.5)+(-13.23501+(-1.296675--3.701325))+0-0-0</f>
        <v>4236.3696399999999</v>
      </c>
      <c r="M160" s="3">
        <f>5303+(539-1257.5)+(-5.40906+(-0.54978--1.28265))+0-0-0</f>
        <v>4579.8238099999999</v>
      </c>
      <c r="N160" s="3">
        <f>6144.3+(863-1759.9)+(-6.267186+(-0.88026--1.795098))+0-0-0</f>
        <v>5242.0476519999993</v>
      </c>
      <c r="O160" s="3">
        <f>6526.3+(1209.4-1969.6)+(6.656826+(1.233588-2.008992))+0-0-0</f>
        <v>5771.9814220000007</v>
      </c>
      <c r="P160" s="3">
        <f>6704.7+(1341-1895.1)+(3.419397+(0.68391-0.966501))+0-0-0</f>
        <v>6153.7368060000008</v>
      </c>
      <c r="Q160" s="3">
        <f>6819.5+(1316.4-1706.5)+(6.95589+(1.342728-1.74063))+0-0-0</f>
        <v>6435.9579879999992</v>
      </c>
      <c r="R160" s="3">
        <f>6976.6+(1373.4-1717.6)+(-3.558066+(-0.700434--0.875976))+0-0-0</f>
        <v>6629.0174760000009</v>
      </c>
      <c r="S160" s="3">
        <f>7026.7+(1472.8-1874.7)+(-10.750851+(-2.253384--2.868291))+0-0-0</f>
        <v>6614.6640559999996</v>
      </c>
      <c r="T160" s="3">
        <f>7092.1+(1533.5-1830.4)+(-3.616971+(-0.782085--0.933504))+0-0-0</f>
        <v>6791.7344480000011</v>
      </c>
      <c r="U160" s="3">
        <f>7072.6+(1587.8-1935.3)+(-7.214052+(-1.619556--1.974006))+0-0-0</f>
        <v>6718.2403979999999</v>
      </c>
      <c r="V160" s="3">
        <f>7030.2+(1595-2029.6)+(-21.512412+(-4.8807--6.210576))+0-0-0</f>
        <v>6575.4174640000001</v>
      </c>
      <c r="W160" s="3">
        <f>7076.2+(1490-2155.4)+(-7.217724+(-1.5198--2.198508))+0-0-0</f>
        <v>6404.2609839999996</v>
      </c>
      <c r="X160" s="3">
        <f>6882.7+(1281.8-1992.3)+(-10.530531+(-1.961154--3.048219))+0-0-0</f>
        <v>6162.7565340000001</v>
      </c>
      <c r="Y160" s="3">
        <f>6902.4+(1196.9-1896.2)+(0+(0-0))+0-0-0</f>
        <v>6203.0999999999995</v>
      </c>
      <c r="Z160" s="3">
        <f>7265.8+(1357.7-2247.9)+(-7.411116+(-1.384854--2.292858))+0-0-0</f>
        <v>6369.096888</v>
      </c>
      <c r="AA160" s="3">
        <f>7217.8+(1307.2-2293)+(-18.40539+(-3.33336--5.84715))+0-0-0</f>
        <v>6216.1084000000001</v>
      </c>
      <c r="AB160" s="3">
        <f>6973.4+(1165.7-2121.2)+(-10.669302+(-1.783521--3.245436))+0-0-0</f>
        <v>6008.6926129999993</v>
      </c>
      <c r="AC160" s="3">
        <f>6788.2+(889.5-1976.8)+(3.461982+(0.453645-1.008168))+0-0-0</f>
        <v>5703.8074589999997</v>
      </c>
      <c r="AD160">
        <v>6385.7</v>
      </c>
      <c r="AE160" s="3">
        <f>7262+(1342-2218.3)+(0+(0-0))+0-0-0</f>
        <v>6385.7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6585.3+(838.3-2116.8)+(-6.717006+(-0.855066--2.159136))+0-0-0</f>
        <v>5301.3870640000005</v>
      </c>
      <c r="G161" s="3">
        <f>6317+(525-1987.6)+(-6.44334+(-0.5355--2.027352))+0-0-0</f>
        <v>4849.4485119999999</v>
      </c>
      <c r="H161" s="3">
        <f>6065.2+(489.6-2002.9)+(-12.373008+(-0.998784--4.085916))+0-0-0</f>
        <v>4542.6141239999997</v>
      </c>
      <c r="I161" s="3">
        <f>5873.7+(474.3-2021.1)+(2.995587+(0.241893-1.030761))+0-0-0</f>
        <v>4329.1067189999994</v>
      </c>
      <c r="J161" s="3">
        <f>5878.2+(386.4-1902.3)+(5.995764+(0.394128-1.940346))+0-0-0</f>
        <v>4366.7495459999991</v>
      </c>
      <c r="K161" s="3">
        <f>5707.8+(429.7-1874.6)+(-14.55489+(-1.095735--4.78023))+0-0-0</f>
        <v>4252.0296050000006</v>
      </c>
      <c r="L161" s="3">
        <f>5485.5+(429.6-1813.3)+(-11.19042+(-0.876384--3.699132))+0-0-0</f>
        <v>4093.4323280000003</v>
      </c>
      <c r="M161" s="3">
        <f>5749.7+(464.3-1907.4)+(2.932347+(0.236793-0.972774))+0-0-0</f>
        <v>4308.7963659999996</v>
      </c>
      <c r="N161" s="3">
        <f>6097.8+(670.7-1972.6)+(3.109878+(0.342057-1.006026))+0-0-0</f>
        <v>4798.3459090000006</v>
      </c>
      <c r="O161" s="3">
        <f>6504.6+(782.1-2022.7)+(-6.634692+(-0.797742--2.063154))+0-0-0</f>
        <v>5258.6307200000001</v>
      </c>
      <c r="P161" s="3">
        <f>6777+(1116.4-2294.4)+(3.45627+(0.569364-1.170144))+0-0-0</f>
        <v>5601.8554899999999</v>
      </c>
      <c r="Q161" s="3">
        <f>6967.6+(1414.7-2460.9)+(-3.553476+(-0.721497--1.255059))+0-0-0</f>
        <v>5918.3800860000001</v>
      </c>
      <c r="R161" s="3">
        <f>7150.2+(1559.3-2614)+(3.646602+(0.795243-1.33314))+0-0-0</f>
        <v>6098.6087049999996</v>
      </c>
      <c r="S161" s="3">
        <f>7087.4+(1565.2-2630.7)+(-14.458296+(-3.193008--5.366628))+0-0-0</f>
        <v>6009.6153239999994</v>
      </c>
      <c r="T161" s="3">
        <f>7044.3+(1621.9-2511.7)+(-10.777779+(-2.481507--3.842901))+0-0-0</f>
        <v>6145.0836149999996</v>
      </c>
      <c r="U161" s="3">
        <f>7030.4+(1577.4-2554.2)+(-7.171008+(-1.608948--2.605284))+0-0-0</f>
        <v>6047.4253280000003</v>
      </c>
      <c r="V161" s="3">
        <f>6918.6+(1440.7-2499.2)+(-7.056972+(-1.469514--2.549184))+0-0-0</f>
        <v>5854.1226980000001</v>
      </c>
      <c r="W161" s="3">
        <f>6778.7+(1320-2378.4)+(-17.285685+(-3.366--6.06492))+0-0-0</f>
        <v>5705.7132349999993</v>
      </c>
      <c r="X161" s="3">
        <f>6698+(892.4-2033.4)+(-20.49588+(-2.730744--6.222204))+0-0-0</f>
        <v>5539.9955799999998</v>
      </c>
      <c r="Y161" s="3">
        <f>7014.2+(801.4-2151.5)+(0+(0-0))+0-0-0</f>
        <v>5664.1</v>
      </c>
      <c r="Z161" s="3">
        <f>7342.7+(1073.7-2568.9)+(-14.979108+(-2.190348--5.240556))+0-0-0</f>
        <v>5835.5711000000001</v>
      </c>
      <c r="AA161" s="3">
        <f>7122.8+(1178.3-2551.4)+(-18.16314+(-3.004665--6.50607))+0-0-0</f>
        <v>5735.0382650000001</v>
      </c>
      <c r="AB161" s="3">
        <f>6939.8+(837.9-2220)+(-14.157192+(-1.709316--4.5288))+0-0-0</f>
        <v>5546.3622920000007</v>
      </c>
      <c r="AC161" s="3">
        <f>6812.3+(798.2-2303.5)+(-10.422819+(-1.221246--3.524355))+0-0-0</f>
        <v>5298.8802900000001</v>
      </c>
      <c r="AD161">
        <v>5734.0999999999995</v>
      </c>
      <c r="AE161" s="3">
        <f>7152+(1137.8-2555.7)+(0+(0-0))+0-0-0</f>
        <v>5734.1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6397.3+(853.2-2535.5)+(-3.262623+(-0.435132--1.293105))+0-0-0</f>
        <v>4712.5953499999996</v>
      </c>
      <c r="G162" s="3">
        <f>5996.5+(628.8-2299.7)+(0+(0-0))+0-0-0</f>
        <v>4325.6000000000004</v>
      </c>
      <c r="H162" s="3">
        <f>5603.9+(464.8-1966.9)+(0+(0-0))+0-0-0</f>
        <v>4101.7999999999993</v>
      </c>
      <c r="I162" s="3">
        <f>5469.1+(341.6-1805.2)+(-8.367723+(-0.522648--2.761956))+0-0-0</f>
        <v>3999.3715850000003</v>
      </c>
      <c r="J162" s="3">
        <f>5532.1+(342.5-1838.3)+(2.821371+(0.174675-0.937533))+0-0-0</f>
        <v>4038.3585130000001</v>
      </c>
      <c r="K162" s="3">
        <f>5506.9+(486.3-2065.7)+(-2.808519+(-0.248013--1.053507))+0-0-0</f>
        <v>3925.496975</v>
      </c>
      <c r="L162" s="3">
        <f>5407.9+(594.9-2204.7)+(-11.032116+(-1.213596--4.497588))+0-0-0</f>
        <v>3790.3518759999997</v>
      </c>
      <c r="M162" s="3">
        <f>5369.4+(492.2-1880.7)+(-10.953576+(-1.004088--3.836628))+0-0-0</f>
        <v>3972.7789639999996</v>
      </c>
      <c r="N162" s="3">
        <f>5983.2+(705.4-2321)+(6.102864+(0.719508-2.36742))+0-0-0</f>
        <v>4372.0549520000004</v>
      </c>
      <c r="O162" s="3">
        <f>6435.4+(909.8-2628)+(3.282054+(0.463998-1.34028))+0-0-0</f>
        <v>4719.6057719999999</v>
      </c>
      <c r="P162" s="3">
        <f>6625.8+(1017.9-2648.8)+(0+(0-0))+0-0-0</f>
        <v>4994.8999999999996</v>
      </c>
      <c r="Q162" s="3">
        <f>6817.3+(1176.9-2820.7)+(-3.476823+(-0.600219--1.438557))+0-0-0</f>
        <v>5170.8615149999996</v>
      </c>
      <c r="R162" s="3">
        <f>6671.1+(1192.6-2630.6)+(-13.609044+(-2.432904--5.366424))+0-0-0</f>
        <v>5222.4244760000001</v>
      </c>
      <c r="S162" s="3">
        <f>6183.8+(1206.5-2325)+(-22.076166+(-4.307205--8.30025))+0-0-0</f>
        <v>5047.2168790000005</v>
      </c>
      <c r="T162" s="3">
        <f>6307.4+(1269.8-2480.9)+(-16.08387+(-3.23799--6.326295))+0-0-0</f>
        <v>5083.3044349999991</v>
      </c>
      <c r="U162" s="3">
        <f>6298.4+(1310.9-2627.1)+(-9.636552+(-2.005677--4.019463))+0-0-0</f>
        <v>4974.5772339999994</v>
      </c>
      <c r="V162" s="3">
        <f>6237.7+(1226.4-2594.9)+(-9.543681+(-1.876392--3.970197))+0-0-0</f>
        <v>4861.7501240000001</v>
      </c>
      <c r="W162" s="3">
        <f>6026.7+(994.6-2290.1)+(-9.220851+(-1.521738--3.503853))+0-0-0</f>
        <v>4723.9612639999996</v>
      </c>
      <c r="X162" s="3">
        <f>5850.4+(914-2135.5)+(2.983704+(0.46614-1.089105))+0-0-0</f>
        <v>4631.2607389999994</v>
      </c>
      <c r="Y162" s="3">
        <f>6139.5+(946.1-2244.5)+(-6.26229+(-0.965022--2.28939))+0-0-0</f>
        <v>4836.1620780000003</v>
      </c>
      <c r="Z162" s="3">
        <f>6676.3+(1037.9-2634.9)+(-20.429478+(-3.175974--8.062794))+0-0-0</f>
        <v>5063.7573419999999</v>
      </c>
      <c r="AA162" s="3">
        <f>6643.8+(696-2336.2)+(-13.553352+(-1.41984--4.765848))+0-0-0</f>
        <v>4993.392656</v>
      </c>
      <c r="AB162" s="3">
        <f>6473.5+(600.6-2241.2)+(3.301485+(0.306306-1.143012))+0-0-0</f>
        <v>4835.3647789999995</v>
      </c>
      <c r="AC162" s="3">
        <f>6374.1+(578.2-2276.5)+(-6.501582+(-0.589764--2.32203))+0-0-0</f>
        <v>4671.0306840000003</v>
      </c>
      <c r="AD162">
        <v>5060.5</v>
      </c>
      <c r="AE162" s="3">
        <f>6714+(835.9-2489.4)+(0+(0-0))+0-0-0</f>
        <v>5060.5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6353.2+(784.3-2741.2)+(0+(0-0))+0-0-0</f>
        <v>4396.3</v>
      </c>
      <c r="G163" s="3">
        <f>5779.2+(618.7-2419.9)+(0+(0-0))+0-0-0</f>
        <v>3978</v>
      </c>
      <c r="H163" s="3">
        <f>5359.7+(478.3-2159.5)+(8.200341+(0.731799-3.304035))+0-0-0</f>
        <v>3684.1281049999998</v>
      </c>
      <c r="I163" s="3">
        <f>5252.4+(451.9-2147.6)+(0+(0-0))+0-0-0</f>
        <v>3556.7</v>
      </c>
      <c r="J163" s="3">
        <f>5234.3+(374.3-1955.7)+(0+(0-0))+0-0-0</f>
        <v>3652.9</v>
      </c>
      <c r="K163" s="3">
        <f>5151.8+(482.9-2014.1)+(-18.391926+(-1.723953--7.190337))+0-0-0</f>
        <v>3607.6744580000004</v>
      </c>
      <c r="L163" s="3">
        <f>5143.6+(616.2-2256.4)+(-18.362652+(-2.199834--8.055348))+0-0-0</f>
        <v>3490.8928620000006</v>
      </c>
      <c r="M163" s="3">
        <f>5201+(605.9-2100.1)+(0+(0-0))+0-0-0</f>
        <v>3706.8</v>
      </c>
      <c r="N163" s="3">
        <f>5468.8+(576.1-1843.9)+(5.578176+(0.587622-1.880778))+0-0-0</f>
        <v>4205.2850200000003</v>
      </c>
      <c r="O163" s="3">
        <f>6113.9+(572.6-2046.1)+(6.236178+(0.584052-2.087022))+0-0-0</f>
        <v>4645.1332079999993</v>
      </c>
      <c r="P163" s="3">
        <f>6242.6+(787.1-2065.2)+(3.183726+(0.401421-1.053252))+0-0-0</f>
        <v>4967.0318950000001</v>
      </c>
      <c r="Q163" s="3">
        <f>6473.7+(938.7-2176.2)+(3.301587+(0.478737-1.109862))+0-0-0</f>
        <v>5238.8704619999999</v>
      </c>
      <c r="R163" s="3">
        <f>6540.9+(947.4-2276.9)+(-10.007577+(-1.449522--3.483657))+0-0-0</f>
        <v>5203.4265579999992</v>
      </c>
      <c r="S163" s="3">
        <f>6475.9+(1079.5-2488.5)+(-13.210836+(-2.20218--5.07654))+0-0-0</f>
        <v>5056.5635239999992</v>
      </c>
      <c r="T163" s="3">
        <f>6453.9+(1114.9-2435.1)+(-3.291489+(-0.568599--1.241901))+0-0-0</f>
        <v>5131.0818129999998</v>
      </c>
      <c r="U163" s="3">
        <f>6357.6+(1141.9-2435.5)+(3.242376+(0.582369-1.242105))+0-0-0</f>
        <v>5066.5826399999996</v>
      </c>
      <c r="V163" s="3">
        <f>6252.9+(1143.3-2446.6)+(-9.566937+(-1.749249--3.743298))+0-0-0</f>
        <v>4942.0271119999998</v>
      </c>
      <c r="W163" s="3">
        <f>5990.1+(1013-2192.6)+(-18.329706+(-3.09978--6.709356))+0-0-0</f>
        <v>4795.7798700000003</v>
      </c>
      <c r="X163" s="3">
        <f>5771.2+(850.8-1941.2)+(-17.659872+(-2.603448--5.940072))+0-0-0</f>
        <v>4666.4767519999996</v>
      </c>
      <c r="Y163" s="3">
        <f>5926.6+(672.5-1689.9)+(-9.067698+(-1.028925--2.585547))+0-0-0</f>
        <v>4901.688924000001</v>
      </c>
      <c r="Z163" s="3">
        <f>6498.1+(591.6-1961.4)+(-16.570155+(-1.50858--5.00157))+0-0-0</f>
        <v>5115.2228350000005</v>
      </c>
      <c r="AA163" s="3">
        <f>6462.9+(596.2-1983.3)+(-26.368632+(-2.432496--8.091864))+0-0-0</f>
        <v>5055.0907359999992</v>
      </c>
      <c r="AB163" s="3">
        <f>6285.1+(556-1964.7)+(0+(0-0))+0-0-0</f>
        <v>4876.4000000000005</v>
      </c>
      <c r="AC163" s="3">
        <f>6223.7+(631.3-2172.8)+(3.174087+(0.321963-1.108128))+0-0-0</f>
        <v>4684.5879219999997</v>
      </c>
      <c r="AD163">
        <v>5080.3</v>
      </c>
      <c r="AE163" s="3">
        <f>6548+(645.8-2113.5)+(0+(0-0))+0-0-0</f>
        <v>5080.3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6148.4+(701.3-2465.2)+(0+(0-0))+0-0-0</f>
        <v>4384.5</v>
      </c>
      <c r="G164" s="3">
        <f>5856.8+(413.3-2290.8)+(-2.986968+(-0.210783--1.168308))+0-0-0</f>
        <v>3977.2705570000003</v>
      </c>
      <c r="H164" s="3">
        <f>5648.5+(345.4-2329.9)+(-5.76147+(-0.352308--2.376498))+0-0-0</f>
        <v>3660.2627200000002</v>
      </c>
      <c r="I164" s="3">
        <f>5588.2+(391.8-2507.7)+(2.849982+(0.199818-1.278927))+0-0-0</f>
        <v>3474.0708730000001</v>
      </c>
      <c r="J164" s="3">
        <f>5553.3+(274.8-2442.3)+(0+(0-0))+0-0-0</f>
        <v>3385.8</v>
      </c>
      <c r="K164" s="3">
        <f>5122.8+(297.4-2062.4)+(0+(0-0))+0-0-0</f>
        <v>3357.8</v>
      </c>
      <c r="L164" s="3">
        <f>4737.7+(346.6-1863.6)+(-16.913589+(-1.237362--6.653052))+0-0-0</f>
        <v>3209.2021009999999</v>
      </c>
      <c r="M164" s="3">
        <f>4645.7+(442.4-1999.1)+(-7.107921+(-0.676872--3.058623))+0-0-0</f>
        <v>3084.2738300000001</v>
      </c>
      <c r="N164" s="3">
        <f>4793.1+(383.6-1990.8)+(7.333443+(0.586908-3.045924))+0-0-0</f>
        <v>3190.7744270000007</v>
      </c>
      <c r="O164" s="3">
        <f>5117.6+(283.5-1925)+(5.219952+(0.28917-1.9635))+0-0-0</f>
        <v>3479.6456220000005</v>
      </c>
      <c r="P164" s="3">
        <f>5375.7+(333.3-1992.8)+(-2.741607+(-0.169983--1.016328))+0-0-0</f>
        <v>3714.3047379999998</v>
      </c>
      <c r="Q164" s="3">
        <f>5519.9+(328.8-1964.3)+(0+(0-0))+0-0-0</f>
        <v>3884.3999999999996</v>
      </c>
      <c r="R164" s="3">
        <f>5593+(305.8-1939.7)+(-2.85243+(-0.155958--0.989247))+0-0-0</f>
        <v>3957.0808589999997</v>
      </c>
      <c r="S164" s="3">
        <f>5581+(296.3-1931.2)+(0+(0-0))+0-0-0</f>
        <v>3946.1</v>
      </c>
      <c r="T164" s="3">
        <f>5708.5+(289.5-2062.8)+(-14.556675+(-0.738225--5.26014))+0-0-0</f>
        <v>3925.1652399999998</v>
      </c>
      <c r="U164" s="3">
        <f>5696.7+(258.4-2070.6)+(-14.526585+(-0.65892--5.28003))+0-0-0</f>
        <v>3874.594525</v>
      </c>
      <c r="V164" s="3">
        <f>5742.3+(286.8-2152.2)+(0+(0-0))+0-0-0</f>
        <v>3876.9000000000005</v>
      </c>
      <c r="W164" s="3">
        <f>5578.2+(196.6-1866.6)+(-17.069292+(-0.601596--5.711796))+0-0-0</f>
        <v>3896.2409079999998</v>
      </c>
      <c r="X164" s="3">
        <f>5751.7+(268.3-2077.6)+(-8.800101+(-0.410499--3.178728))+0-0-0</f>
        <v>3936.3681279999996</v>
      </c>
      <c r="Y164" s="3">
        <f>5873.3+(267.2-2000.6)+(-2.995383+(-0.136272--1.020306))+0-0-0</f>
        <v>4137.7886510000008</v>
      </c>
      <c r="Z164" s="3">
        <f>6124.8+(486-2084.2)+(-15.61824+(-1.2393--5.31471))+0-0-0</f>
        <v>4515.05717</v>
      </c>
      <c r="AA164" s="3">
        <f>6115.3+(586.3-2229.2)+(-15.594015+(-1.495065--5.68446))+0-0-0</f>
        <v>4460.9953800000003</v>
      </c>
      <c r="AB164" s="3">
        <f>6037.9+(677-2387.1)+(-12.317316+(-1.38108--4.869684))+0-0-0</f>
        <v>4318.9712879999988</v>
      </c>
      <c r="AC164" s="3">
        <f>5856.7+(673.6-2365)+(0+(0-0))+0-0-0</f>
        <v>4165.2999999999993</v>
      </c>
      <c r="AD164">
        <v>4485.7</v>
      </c>
      <c r="AE164" s="3">
        <f>6147+(532.9-2194.2)+(0+(0-0))+0-0-0</f>
        <v>4485.7000000000007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5575.6+(561.3-2251)+(-2.843556+(-0.286263--1.14801))+0-0-0</f>
        <v>3883.9181910000007</v>
      </c>
      <c r="G165" s="3">
        <f>5424.6+(405.9-2230.9)+(-8.299638+(-0.621027--3.413277))+0-0-0</f>
        <v>3594.0926120000004</v>
      </c>
      <c r="H165" s="3">
        <f>5428.7+(297.9-2353.6)+(-2.768637+(-0.151929--1.200336))+0-0-0</f>
        <v>3371.2797700000001</v>
      </c>
      <c r="I165" s="3">
        <f>5065.2+(319.6-2139.4)+(-5.166504+(-0.325992--2.182188))+0-0-0</f>
        <v>3242.0896919999996</v>
      </c>
      <c r="J165" s="3">
        <f>4652.6+(282.2-1753.1)+(-2.372826+(-0.143922--0.894081))+0-0-0</f>
        <v>3180.0773330000006</v>
      </c>
      <c r="K165" s="3">
        <f>4551.8+(271.4-1641.6)+(-9.285672+(-0.553656--3.348864))+0-0-0</f>
        <v>3175.1095360000004</v>
      </c>
      <c r="L165" s="3">
        <f>4514.1+(387.6-1786.9)+(-16.115337+(-1.383732--6.379233))+0-0-0</f>
        <v>3103.6801640000003</v>
      </c>
      <c r="M165" s="3">
        <f>4584+(350.6-1791.7)+(-4.67568+(-0.357612--1.827534))+0-0-0</f>
        <v>3139.694242</v>
      </c>
      <c r="N165" s="3">
        <f>4693.8+(355.1-1655.7)+(0+(0-0))+0-0-0</f>
        <v>3393.2000000000003</v>
      </c>
      <c r="O165" s="3">
        <f>5003+(316.9-1606)+(2.55153+(0.161619-0.81906))+0-0-0</f>
        <v>3715.794089</v>
      </c>
      <c r="P165" s="3">
        <f>5335.9+(336.7-1567.9)+(-2.721309+(-0.171717--0.799629))+0-0-0</f>
        <v>4102.6066030000002</v>
      </c>
      <c r="Q165" s="3">
        <f>5487+(481.2-1672.3)+(-8.39511+(-0.736236--2.558619))+0-0-0</f>
        <v>4289.3272729999999</v>
      </c>
      <c r="R165" s="3">
        <f>5596.4+(605.5-1784.2)+(-2.854164+(-0.308805--0.909942))+0-0-0</f>
        <v>4415.4469730000001</v>
      </c>
      <c r="S165" s="3">
        <f>5561.4+(697.6-1892)+(-5.672628+(-0.711552--1.92984))+0-0-0</f>
        <v>4362.5456599999998</v>
      </c>
      <c r="T165" s="3">
        <f>5570+(703.5-1879.3)+(-2.8407+(-0.358785--0.958443))+0-0-0</f>
        <v>4391.9589580000002</v>
      </c>
      <c r="U165" s="3">
        <f>5563.2+(669.5-1862.6)+(-11.348928+(-1.36578--3.799704))+0-0-0</f>
        <v>4361.184996</v>
      </c>
      <c r="V165" s="3">
        <f>5389.1+(683.8-1749.8)+(8.245323+(1.046214-2.677194))+0-0-0</f>
        <v>4329.7143430000006</v>
      </c>
      <c r="W165" s="3">
        <f>5337.3+(650.4-1651)+(-10.888092+(-1.326816--3.36804))+0-0-0</f>
        <v>4327.8531320000002</v>
      </c>
      <c r="X165" s="3">
        <f>5157.1+(649.5-1542.2)+(-5.260242+(-0.66249--1.573044))+0-0-0</f>
        <v>4260.0503120000003</v>
      </c>
      <c r="Y165" s="3">
        <f>5331.2+(502-1407.3)+(0+(0-0))+0-0-0</f>
        <v>4425.8999999999996</v>
      </c>
      <c r="Z165" s="3">
        <f>5996.9+(407.3-1615.1)+(-9.175257+(-0.623169--2.471103))+0-0-0</f>
        <v>4781.772676999999</v>
      </c>
      <c r="AA165" s="3">
        <f>6004+(524.7-1800)+(-15.3102+(-1.337985--4.59))+0-0-0</f>
        <v>4716.641815</v>
      </c>
      <c r="AB165" s="3">
        <f>5828.2+(589.2-1866.6)+(-8.917146+(-0.901476--2.855898))+0-0-0</f>
        <v>4543.8372760000002</v>
      </c>
      <c r="AC165" s="3">
        <f>5715.3+(610.9-1957.6)+(2.914803+(0.311559-0.998376))+0-0-0</f>
        <v>4370.8279860000002</v>
      </c>
      <c r="AD165">
        <v>4755.3999999999996</v>
      </c>
      <c r="AE165" s="3">
        <f>6029+(481.9-1755.5)+(0+(0-0))+0-0-0</f>
        <v>4755.3999999999996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5562.2+(588.1-2066.1)+(5.673444+(0.599862-2.107422))+0-0-0</f>
        <v>4088.3658839999998</v>
      </c>
      <c r="G166" s="3">
        <f>5232+(505.1-1953.6)+(-8.00496+(-0.772803--2.989008))+0-0-0</f>
        <v>3777.711245</v>
      </c>
      <c r="H166" s="3">
        <f>5241.6+(384.4-2086.8)+(-5.346432+(-0.392088--2.128536))+0-0-0</f>
        <v>3535.5900160000001</v>
      </c>
      <c r="I166" s="3">
        <f>5110.8+(394-2114.7)+(-13.03254+(-1.0047--5.392485))+0-0-0</f>
        <v>3381.4552450000006</v>
      </c>
      <c r="J166" s="3">
        <f>5063.4+(382.7-2138.8)+(-12.91167+(-0.975885--5.45394))+0-0-0</f>
        <v>3298.8663849999994</v>
      </c>
      <c r="K166" s="3">
        <f>5028.8+(499.1-2279.7)+(7.694064+(0.763623-3.487941))+0-0-0</f>
        <v>3253.1697460000005</v>
      </c>
      <c r="L166" s="3">
        <f>4818.5+(509.7-2170.4)+(-14.74461+(-1.559682--6.641424))+0-0-0</f>
        <v>3148.1371320000003</v>
      </c>
      <c r="M166" s="3">
        <f>4360.2+(539.7-1825.6)+(2.223702+(0.275247-0.931056))+0-0-0</f>
        <v>3075.8678930000001</v>
      </c>
      <c r="N166" s="3">
        <f>4376.8+(507-1648)+(6.696504+(0.77571-2.52144))+0-0-0</f>
        <v>3240.7507740000001</v>
      </c>
      <c r="O166" s="3">
        <f>4595.7+(507.8-1568.1)+(0+(0-0))+0-0-0</f>
        <v>3535.3999999999996</v>
      </c>
      <c r="P166" s="3">
        <f>4906.6+(541.8-1724.9)+(7.507098+(0.828954-2.639097))+0-0-0</f>
        <v>3729.1969549999999</v>
      </c>
      <c r="Q166" s="3">
        <f>5202.5+(492.8-1616.3)+(5.30655+(0.502656-1.648626))+0-0-0</f>
        <v>4083.1605800000002</v>
      </c>
      <c r="R166" s="3">
        <f>5239.1+(408-1437.9)+(-10.687764+(-0.83232--2.933316))+0-0-0</f>
        <v>4200.6132320000006</v>
      </c>
      <c r="S166" s="3">
        <f>5191.9+(504.5-1559)+(0+(0-0))+0-0-0</f>
        <v>4137.3999999999996</v>
      </c>
      <c r="T166" s="3">
        <f>5355.1+(497.8-1613.7)+(2.731101+(0.253878-0.822987))+0-0-0</f>
        <v>4241.361992000001</v>
      </c>
      <c r="U166" s="3">
        <f>5329.7+(514.6-1649.3)+(-8.154441+(-0.787338--2.523429))+0-0-0</f>
        <v>4188.5816500000001</v>
      </c>
      <c r="V166" s="3">
        <f>5357.2+(512.9-1684.9)+(-10.928688+(-1.046316--3.437196))+0-0-0</f>
        <v>4176.6621919999998</v>
      </c>
      <c r="W166" s="3">
        <f>5375.4+(532.9-1686.1)+(-8.224362+(-0.815337--2.579733))+0-0-0</f>
        <v>4215.7400339999995</v>
      </c>
      <c r="X166" s="3">
        <f>5126.3+(427-1304.9)+(-13.072065+(-1.08885--3.327495))+0-0-0</f>
        <v>4237.5665799999997</v>
      </c>
      <c r="Y166" s="3">
        <f>5379.2+(257.5-1150.7)+(0+(0-0))+0-0-0</f>
        <v>4486</v>
      </c>
      <c r="Z166" s="3">
        <f>5925.9+(246.2-1259.8)+(-9.066627+(-0.376686--1.927494))+0-0-0</f>
        <v>4904.7841809999991</v>
      </c>
      <c r="AA166" s="3">
        <f>5927.9+(408-1482.6)+(-9.069687+(-0.62424--2.268378))+0-0-0</f>
        <v>4845.8744509999997</v>
      </c>
      <c r="AB166" s="3">
        <f>5807.3+(480.1-1545.7)+(-5.923446+(-0.489702--1.576614))+0-0-0</f>
        <v>4736.8634660000007</v>
      </c>
      <c r="AC166" s="3">
        <f>5684.8+(470.5-1637)+(-14.49624+(-1.199775--4.17435))+0-0-0</f>
        <v>4506.778335</v>
      </c>
      <c r="AD166">
        <v>4862.4000000000005</v>
      </c>
      <c r="AE166" s="3">
        <f>6009+(344.6-1491.2)+(0+(0-0))+0-0-0</f>
        <v>4862.3999999999996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5542.4+(538.4-1892.7)+(-11.306496+(-1.098336--3.861108))+0-0-0</f>
        <v>4179.5562759999993</v>
      </c>
      <c r="G167" s="3">
        <f>5413.2+(505.9-2079.8)+(-13.80366+(-1.290045--5.30349))+0-0-0</f>
        <v>3829.5097849999997</v>
      </c>
      <c r="H167" s="3">
        <f>5438.8+(299.4-2105)+(-11.095152+(-0.610776--4.2942))+0-0-0</f>
        <v>3625.7882720000002</v>
      </c>
      <c r="I167" s="3">
        <f>5438.1+(326.7-2258.4)+(-2.773431+(-0.166617--1.151784))+0-0-0</f>
        <v>3504.6117360000007</v>
      </c>
      <c r="J167" s="3">
        <f>5377.9+(330.4-2237.3)+(0+(0-0))+0-0-0</f>
        <v>3470.9999999999995</v>
      </c>
      <c r="K167" s="3">
        <f>5405.4+(224.7-2111.2)+(8.270262+(0.343791-3.230136))+0-0-0</f>
        <v>3524.2839169999997</v>
      </c>
      <c r="L167" s="3">
        <f>5340.9+(179.9-1888.7)+(-16.343154+(-0.550494--5.779422))+0-0-0</f>
        <v>3620.9857739999993</v>
      </c>
      <c r="M167" s="3">
        <f>5414.9+(215.9-1662.1)+(5.523198+(0.220218-1.695342))+0-0-0</f>
        <v>3972.7480739999996</v>
      </c>
      <c r="N167" s="3">
        <f>5772.7+(353.2-1437.2)+(8.832231+(0.540396-2.198916))+0-0-0</f>
        <v>4695.8737110000002</v>
      </c>
      <c r="O167" s="3">
        <f>6188.9+(409.4-1447.6)+(3.156339+(0.208794-0.738276))+0-0-0</f>
        <v>5153.326857</v>
      </c>
      <c r="P167" s="3">
        <f>6501+(652.5-1589.8)+(3.31551+(0.332775-0.810798))+0-0-0</f>
        <v>5566.5374869999996</v>
      </c>
      <c r="Q167" s="3">
        <f>6616.6+(1072.9-1807.6)+(0+(0-0))+0-0-0</f>
        <v>5881.9000000000005</v>
      </c>
      <c r="R167" s="3">
        <f>6812.1+(1286.1-2080.5)+(0+(0-0))+0-0-0</f>
        <v>6017.7000000000007</v>
      </c>
      <c r="S167" s="3">
        <f>6754.7+(1497.1-2334.8)+(-10.334691+(-2.290563--3.572244))+0-0-0</f>
        <v>5907.9469900000004</v>
      </c>
      <c r="T167" s="3">
        <f>6731.9+(1571.3-2251.8)+(3.433269+(0.801363-1.148418))+0-0-0</f>
        <v>6054.4862139999996</v>
      </c>
      <c r="U167" s="3">
        <f>6690.2+(1528.2-2188.5)+(-10.236006+(-2.338146--3.348405))+0-0-0</f>
        <v>6020.6742529999992</v>
      </c>
      <c r="V167" s="3">
        <f>6683.5+(1309.4-2040.6)+(-13.63434+(-2.671176--4.162824))+0-0-0</f>
        <v>5940.1573079999998</v>
      </c>
      <c r="W167" s="3">
        <f>6328+(1123.1-1680)+(-16.1364+(-2.863905--4.284))+0-0-0</f>
        <v>5756.3836950000004</v>
      </c>
      <c r="X167" s="3">
        <f>5996.9+(868.6-1335.5)+(-21.408933+(-3.100902--4.767735))+0-0-0</f>
        <v>5510.2578999999996</v>
      </c>
      <c r="Y167" s="3">
        <f>5882.9+(559.7-1052.9)+(-6.000558+(-0.570894--1.073958))+0-0-0</f>
        <v>5384.2025059999996</v>
      </c>
      <c r="Z167" s="3">
        <f>6237.2+(763.2-1310)+(-3.180972+(-0.389232--0.6681))+0-0-0</f>
        <v>5687.4978959999999</v>
      </c>
      <c r="AA167" s="3">
        <f>6122.6+(940.6-1562.6)+(-21.857682+(-3.357942--5.578482))+0-0-0</f>
        <v>5480.9628580000008</v>
      </c>
      <c r="AB167" s="3">
        <f>6046.5+(944.9-1735.3)+(-6.16743+(-0.963798--1.770006))+0-0-0</f>
        <v>5250.7387779999999</v>
      </c>
      <c r="AC167" s="3">
        <f>5968.7+(850-1797.6)+(-6.088074+(-0.867--1.833552))+0-0-0</f>
        <v>5015.978478</v>
      </c>
      <c r="AD167">
        <v>5781.7999999999993</v>
      </c>
      <c r="AE167" s="3">
        <f>6379+(835.9-1433.1)+(0+(0-0))+0-0-0</f>
        <v>5781.8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5943+(802.6-2163)+(-6.06186+(-0.818652--2.20626))+0-0-0</f>
        <v>4577.9257480000006</v>
      </c>
      <c r="G168" s="3">
        <f>5561.6+(597.5-2025.8)+(0+(0-0))+0-0-0</f>
        <v>4133.3</v>
      </c>
      <c r="H168" s="3">
        <f>5450.7+(409.9-1947.2)+(-2.779857+(-0.209049--0.993072))+0-0-0</f>
        <v>3911.4041659999998</v>
      </c>
      <c r="I168" s="3">
        <f>5377.3+(409-2004.7)+(-8.227269+(-0.62577--3.067191))+0-0-0</f>
        <v>3775.8141520000004</v>
      </c>
      <c r="J168" s="3">
        <f>5374.1+(426.8-2027)+(-5.481582+(-0.435336--2.06754))+0-0-0</f>
        <v>3770.0506220000007</v>
      </c>
      <c r="K168" s="3">
        <f>5301.8+(456-2018.3)+(-5.407836+(-0.46512--2.058666))+0-0-0</f>
        <v>3735.6857100000002</v>
      </c>
      <c r="L168" s="3">
        <f>5186.1+(370.4-1749.7)+(-10.579644+(-0.755616--3.569388))+0-0-0</f>
        <v>3799.0341280000002</v>
      </c>
      <c r="M168" s="3">
        <f>5379.9+(349.2-1543)+(5.487498+(0.356184-1.57386))+0-0-0</f>
        <v>4190.3698219999997</v>
      </c>
      <c r="N168" s="3">
        <f>5917+(625.1-1560.5)+(6.03534+(0.637602-1.59171))+0-0-0</f>
        <v>4986.6812320000008</v>
      </c>
      <c r="O168" s="3">
        <f>6157.3+(868.6-1556.9)+(0+(0-0))+0-0-0</f>
        <v>5469</v>
      </c>
      <c r="P168" s="3">
        <f>6309.1+(1037.9-1516.4)+(-6.435282+(-1.058658--1.546728))+0-0-0</f>
        <v>5824.6527880000003</v>
      </c>
      <c r="Q168" s="3">
        <f>6467.1+(1261.7-1602.6)+(3.298221+(0.643467-0.817326))+0-0-0</f>
        <v>6129.3243620000003</v>
      </c>
      <c r="R168" s="3">
        <f>6616.4+(1316-1654.3)+(-3.374364+(-0.67116--0.843693))+0-0-0</f>
        <v>6274.8981689999991</v>
      </c>
      <c r="S168" s="3">
        <f>6568.1+(1339-1762.3)+(-6.699462+(-1.36578--1.797546))+0-0-0</f>
        <v>6138.5323040000003</v>
      </c>
      <c r="T168" s="3">
        <f>6547.4+(1385.1-1620.2)+(3.339174+(0.706401-0.826302))+0-0-0</f>
        <v>6315.519272999999</v>
      </c>
      <c r="U168" s="3">
        <f>6475.1+(1312.1-1477.8)+(-6.604602+(-1.338342--1.507356))+0-0-0</f>
        <v>6302.9644120000003</v>
      </c>
      <c r="V168" s="3">
        <f>6448.3+(1196.2-1580.5)+(-3.288633+(-0.610062--0.806055))+0-0-0</f>
        <v>6060.9073600000002</v>
      </c>
      <c r="W168" s="3">
        <f>6456.1+(1164.6-1732.7)+(-9.877833+(-1.781838--2.651031))+0-0-0</f>
        <v>5878.99136</v>
      </c>
      <c r="X168" s="3">
        <f>6433.2+(821.7-1582)+(-9.842796+(-1.257201--2.42046))+0-0-0</f>
        <v>5664.2204629999997</v>
      </c>
      <c r="Y168" s="3">
        <f>6296.4+(639-1272.5)+(-6.422328+(-0.65178--1.29795))+0-0-0</f>
        <v>5657.123842</v>
      </c>
      <c r="Z168" s="3">
        <f>6791.5+(676.4-1487.7)+(-3.463665+(-0.344964--0.758727))+0-0-0</f>
        <v>5977.1500980000001</v>
      </c>
      <c r="AA168" s="3">
        <f>6707.3+(736.9-1605.6)+(-13.682892+(-1.503276--3.275424))+0-0-0</f>
        <v>5826.6892560000006</v>
      </c>
      <c r="AB168" s="3">
        <f>6580+(790.2-1834.5)+(-20.1348+(-2.418012--5.61357))+0-0-0</f>
        <v>5518.7607579999994</v>
      </c>
      <c r="AC168" s="3">
        <f>6466.4+(692.2-1908.8)+(-3.297864+(-0.353022--0.973488))+0-0-0</f>
        <v>5247.1226019999995</v>
      </c>
      <c r="AD168">
        <v>5829.2</v>
      </c>
      <c r="AE168" s="3">
        <f>6758+(787.4-1716.2)+(0+(0-0))+0-0-0</f>
        <v>5829.2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6295.3+(627.5-2080.8)+(-3.210603+(-0.320025--1.061208))+0-0-0</f>
        <v>4839.5305799999996</v>
      </c>
      <c r="G169" s="3">
        <f>6157.2+(585.9-2292.8)+(-9.420516+(-0.896427--3.507984))+0-0-0</f>
        <v>4443.4910409999993</v>
      </c>
      <c r="H169" s="3">
        <f>5599.2+(240.8-1565.4)+(-2.855592+(-0.122808--0.798354))+0-0-0</f>
        <v>4272.4199539999991</v>
      </c>
      <c r="I169" s="3">
        <f>5359.4+(214.6-1460.9)+(-5.466588+(-0.218892--1.490118))+0-0-0</f>
        <v>4108.9046379999991</v>
      </c>
      <c r="J169" s="3">
        <f>5371.1+(215.9-1546.1)+(8.217783+(0.330327-2.365533))+0-0-0</f>
        <v>4047.0825770000006</v>
      </c>
      <c r="K169" s="3">
        <f>5384.6+(189.8-1514.4)+(0+(0-0))+0-0-0</f>
        <v>4060</v>
      </c>
      <c r="L169" s="3">
        <f>5162.9+(178.2-1283.6)+(-15.798474+(-0.545292--3.927816))+0-0-0</f>
        <v>4045.0840499999999</v>
      </c>
      <c r="M169" s="3">
        <f>5133+(347.3-1153.2)+(2.61783+(0.177123-0.588132))+0-0-0</f>
        <v>4329.3068210000001</v>
      </c>
      <c r="N169" s="3">
        <f>5709.4+(695.4-1437.1)+(-2.911794+(-0.354654--0.732921))+0-0-0</f>
        <v>4965.1664730000002</v>
      </c>
      <c r="O169" s="3">
        <f>6431.9+(1196.2-2015.3)+(3.280269+(0.610062-1.027803))+0-0-0</f>
        <v>5615.6625279999989</v>
      </c>
      <c r="P169" s="3">
        <f>6552.8+(1201.9-1718.4)+(3.341928+(0.612969-0.876384))+0-0-0</f>
        <v>6039.3785130000006</v>
      </c>
      <c r="Q169" s="3">
        <f>6577.3+(1212.5-1433)+(10.063269+(1.855125-2.19249))+0-0-0</f>
        <v>6366.5259040000001</v>
      </c>
      <c r="R169" s="3">
        <f>6646.9+(1264.2-1435.9)+(-10.169757+(-1.934226--2.196927))+0-0-0</f>
        <v>6465.2929439999998</v>
      </c>
      <c r="S169" s="3">
        <f>6691.3+(1420.7-1616.2)+(0+(0-0))+0-0-0</f>
        <v>6495.8</v>
      </c>
      <c r="T169" s="3">
        <f>6657.1+(1464.1-1595.5)+(-3.395121+(-0.746691--0.813705))+0-0-0</f>
        <v>6522.3718930000005</v>
      </c>
      <c r="U169" s="3">
        <f>6657.4+(1390.1-1612.6)+(6.790548+(1.417902-1.644852))+0-0-0</f>
        <v>6441.4635979999994</v>
      </c>
      <c r="V169" s="3">
        <f>6639.7+(1369.3-1614.1)+(0+(0-0))+0-0-0</f>
        <v>6394.9</v>
      </c>
      <c r="W169" s="3">
        <f>6582.3+(1369-1647.3)+(-13.427892+(-2.79276--3.360492))+0-0-0</f>
        <v>6291.1398399999998</v>
      </c>
      <c r="X169" s="3">
        <f>6274.8+(1077.9-1459.6)+(-9.600444+(-1.649187--2.233188))+0-0-0</f>
        <v>5884.0835569999999</v>
      </c>
      <c r="Y169" s="3">
        <f>6406+(937.7-1424.6)+(3.26706+(0.478227-0.726546))+0-0-0</f>
        <v>5922.1187410000002</v>
      </c>
      <c r="Z169" s="3">
        <f>6886.7+(1007.4-1658.3)+(-7.024434+(-1.027548--1.691466))+0-0-0</f>
        <v>6229.4394840000004</v>
      </c>
      <c r="AA169" s="3">
        <f>6719.6+(1013.9-1630.1)+(-17.13498+(-2.585445--4.156755))+0-0-0</f>
        <v>6087.836330000001</v>
      </c>
      <c r="AB169" s="3">
        <f>6530.6+(1071-1696.3)+(-9.991818+(-1.63863--2.595339))+0-0-0</f>
        <v>5896.2648909999998</v>
      </c>
      <c r="AC169" s="3">
        <f>6351+(919.3-1820.5)+(-6.47802+(-0.937686--1.85691))+0-0-0</f>
        <v>5444.2412039999999</v>
      </c>
      <c r="AD169">
        <v>6032.7000000000007</v>
      </c>
      <c r="AE169" s="3">
        <f>6779+(991.8-1738.1)+(0+(0-0))+0-0-0</f>
        <v>6032.7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6046+(744.2-1886.4)+(-9.25038+(-1.138626--2.886192))+0-0-0</f>
        <v>4896.2971859999998</v>
      </c>
      <c r="G170" s="3">
        <f>5651+(514.8-1713.3)+(-8.64603+(-0.787644--2.621349))+0-0-0</f>
        <v>4445.6876750000001</v>
      </c>
      <c r="H170" s="3">
        <f>5455.4+(301.3-1527.4)+(-5.564508+(-0.307326--1.557948))+0-0-0</f>
        <v>4224.9861139999994</v>
      </c>
      <c r="I170" s="3">
        <f>5385.9+(282.8-1563.7)+(-8.240427+(-0.432684--2.392461))+0-0-0</f>
        <v>4098.7193500000003</v>
      </c>
      <c r="J170" s="3">
        <f>5315.1+(360.8-1633.6)+(2.710701+(0.184008-0.833136))+0-0-0</f>
        <v>4044.3615730000001</v>
      </c>
      <c r="K170" s="3">
        <f>5295.5+(330.3-1619)+(5.40141+(0.336906-1.65138))+0-0-0</f>
        <v>4010.8869360000003</v>
      </c>
      <c r="L170" s="3">
        <f>5246.8+(427.9-1649.6)+(-2.675868+(-0.218229--0.841296))+0-0-0</f>
        <v>4023.0471990000005</v>
      </c>
      <c r="M170" s="3">
        <f>5261.6+(331.5-1248.4)+(-5.366832+(-0.33813--1.273368))+0-0-0</f>
        <v>4340.2684060000011</v>
      </c>
      <c r="N170" s="3">
        <f>5730.1+(700.2-1402.9)+(-5.844702+(-0.714204--1.430958))+0-0-0</f>
        <v>5022.2720520000003</v>
      </c>
      <c r="O170" s="3">
        <f>6195+(757.1-1429)+(3.15945+(0.386121-0.72879))+0-0-0</f>
        <v>5525.9167810000008</v>
      </c>
      <c r="P170" s="3">
        <f>6554.3+(893.6-1455.2)+(6.685386+(0.911472-1.484304))+0-0-0</f>
        <v>5998.8125540000001</v>
      </c>
      <c r="Q170" s="3">
        <f>6658.6+(1014.2-1427.4)+(0+(0-0))+0-0-0</f>
        <v>6245.4000000000005</v>
      </c>
      <c r="R170" s="3">
        <f>6717.4+(1276-1593.3)+(3.425874+(0.65076-0.812583))+0-0-0</f>
        <v>6403.3640509999996</v>
      </c>
      <c r="S170" s="3">
        <f>6816.1+(1364.2-1881)+(-13.904844+(-2.782968--3.83724))+0-0-0</f>
        <v>6286.4494279999999</v>
      </c>
      <c r="T170" s="3">
        <f>6863.7+(1403.6-1856.7)+(3.500487+(0.715836-0.946917))+0-0-0</f>
        <v>6413.8694059999998</v>
      </c>
      <c r="U170" s="3">
        <f>6834.9+(1414.5-1857.8)+(-10.457397+(-2.164185--2.842434))+0-0-0</f>
        <v>6381.8208519999998</v>
      </c>
      <c r="V170" s="3">
        <f>6800.1+(1424.2-1898.6)+(-3.468051+(-0.726342--0.968286))+0-0-0</f>
        <v>6322.4738930000003</v>
      </c>
      <c r="W170" s="3">
        <f>6293.3+(968.6-1207.3)+(-9.628749+(-1.481958--1.847169))+0-0-0</f>
        <v>6045.3364620000002</v>
      </c>
      <c r="X170" s="3">
        <f>6057.1+(932.7-1169.1)+(-6.178242+(-0.951354--1.192482))+0-0-0</f>
        <v>5814.7628860000004</v>
      </c>
      <c r="Y170" s="3">
        <f>6243.9+(796.9-1273.7)+(0+(0-0))+0-0-0</f>
        <v>5767.0999999999995</v>
      </c>
      <c r="Z170" s="3">
        <f>6896.1+(862.7-1685.1)+(0+(0-0))+0-0-0</f>
        <v>6073.7000000000007</v>
      </c>
      <c r="AA170" s="3">
        <f>6847.6+(1007-1899.6)+(-17.46138+(-2.56785--4.84398))+0-0-0</f>
        <v>5939.8147499999995</v>
      </c>
      <c r="AB170" s="3">
        <f>6647.5+(1062.3-2050.4)+(-16.951125+(-2.708865--5.22852))+0-0-0</f>
        <v>5644.9685299999992</v>
      </c>
      <c r="AC170" s="3">
        <f>6393.5+(808.3-1899.8)+(-9.782055+(-1.236699--2.906694))+0-0-0</f>
        <v>5293.8879399999996</v>
      </c>
      <c r="AD170">
        <v>6030</v>
      </c>
      <c r="AE170" s="3">
        <f>6919+(932.3-1821.3)+(0+(0-0))+0-0-0</f>
        <v>6030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6192.3+(846-2172.5)+(-12.632292+(-1.72584--4.4319))+0-0-0</f>
        <v>4855.8737680000004</v>
      </c>
      <c r="G171" s="3">
        <f>5953.1+(750.1-2238)+(-9.108243+(-1.147653--3.42414))+0-0-0</f>
        <v>4458.3682440000011</v>
      </c>
      <c r="H171" s="3">
        <f>5653.6+(607.3-2029.8)+(-2.883336+(-0.309723--1.035198))+0-0-0</f>
        <v>4228.9421390000007</v>
      </c>
      <c r="I171" s="3">
        <f>5544.8+(544-2030.4)+(-11.311392+(-1.10976--4.142016))+0-0-0</f>
        <v>4050.120864</v>
      </c>
      <c r="J171" s="3">
        <f>5450.5+(584-2028.4)+(-5.55951+(-0.59568--2.068968))+0-0-0</f>
        <v>4002.013778</v>
      </c>
      <c r="K171" s="3">
        <f>5482.7+(621-2099.4)+(2.796177+(0.31671-1.070694))+0-0-0</f>
        <v>4006.342193</v>
      </c>
      <c r="L171" s="3">
        <f>5271+(587.4-1828.2)+(-18.81747+(-2.097018--6.526674))+0-0-0</f>
        <v>4015.8121859999997</v>
      </c>
      <c r="M171" s="3">
        <f>5180.1+(606.7-1433.3)+(5.283702+(0.618834-1.461966))+0-0-0</f>
        <v>4357.9405699999998</v>
      </c>
      <c r="N171" s="3">
        <f>5953.6+(586-1556.1)+(-3.036336+(-0.29886--0.793611))+0-0-0</f>
        <v>4980.9584150000001</v>
      </c>
      <c r="O171" s="3">
        <f>6511.4+(645.1-1647.6)+(0+(0-0))+0-0-0</f>
        <v>5508.9</v>
      </c>
      <c r="P171" s="3">
        <f>6589.2+(653-1338.6)+(-3.360492+(-0.33303--0.682686))+0-0-0</f>
        <v>5900.589164</v>
      </c>
      <c r="Q171" s="3">
        <f>6717.1+(879.3-1370.8)+(-3.425721+(-0.448443--0.699108))+0-0-0</f>
        <v>6222.4249440000003</v>
      </c>
      <c r="R171" s="3">
        <f>6734.7+(1091.7-1476.5)+(-3.434697+(-0.556767--0.753015))+0-0-0</f>
        <v>6346.6615509999992</v>
      </c>
      <c r="S171" s="3">
        <f>6687.2+(1230.3-1666.1)+(-10.231416+(-1.882359--2.549133))+0-0-0</f>
        <v>6241.8353579999994</v>
      </c>
      <c r="T171" s="3">
        <f>6654.9+(1282.6-1588.6)+(-10.181997+(-1.962378--2.430558))+0-0-0</f>
        <v>6339.1861829999998</v>
      </c>
      <c r="U171" s="3">
        <f>6638+(1315.9-1604.1)+(-16.9269+(-3.355545--4.090455))+0-0-0</f>
        <v>6333.6080099999999</v>
      </c>
      <c r="V171" s="3">
        <f>6567.4+(1327.9-1699.6)+(-13.397496+(-2.708916--3.467184))+0-0-0</f>
        <v>6183.0607719999998</v>
      </c>
      <c r="W171" s="3">
        <f>6506.9+(1330.9-1816.6)+(-19.911114+(-4.072554--5.558796))+0-0-0</f>
        <v>6002.7751280000002</v>
      </c>
      <c r="X171" s="3">
        <f>6085+(1296.9-1667.9)+(-21.72345+(-4.629933--5.954403))+0-0-0</f>
        <v>5693.6010200000001</v>
      </c>
      <c r="Y171" s="3">
        <f>6293.2+(811.5-1380)+(-3.209532+(-0.413865--0.7038))+0-0-0</f>
        <v>5721.7804029999998</v>
      </c>
      <c r="Z171" s="3">
        <f>6675.2+(770.4-1455.8)+(-13.617408+(-1.571616--2.969832))+0-0-0</f>
        <v>5977.5808080000006</v>
      </c>
      <c r="AA171" s="3">
        <f>6559+(810.4-1523.3)+(-20.07054+(-2.479824--4.661298))+0-0-0</f>
        <v>5828.2109340000006</v>
      </c>
      <c r="AB171" s="3">
        <f>6421.2+(746.4-1616.4)+(-16.37406+(-1.90332--4.12182))+0-0-0</f>
        <v>5537.0444399999997</v>
      </c>
      <c r="AC171" s="3">
        <f>6322.7+(532.3-1617.5)+(-6.449154+(-0.542946--1.64985))+0-0-0</f>
        <v>5232.1577500000003</v>
      </c>
      <c r="AD171">
        <v>5899.7000000000007</v>
      </c>
      <c r="AE171" s="3">
        <f>6684+(818.6-1602.9)+(0+(0-0))+0-0-0</f>
        <v>5899.7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6084.5+(762.4-2007.2)+(-6.20619+(-0.777648--2.047344))+0-0-0</f>
        <v>4834.7635060000002</v>
      </c>
      <c r="G172" s="3">
        <f>5838.4+(685.5-2108.1)+(-8.932752+(-1.048815--3.225393))+0-0-0</f>
        <v>4409.0438259999992</v>
      </c>
      <c r="H172" s="3">
        <f>5335.1+(539-1704.5)+(-2.720901+(-0.27489--0.869295))+0-0-0</f>
        <v>4167.4735040000005</v>
      </c>
      <c r="I172" s="3">
        <f>5177.6+(315.9-1475.9)+(-5.281152+(-0.322218--1.505418))+0-0-0</f>
        <v>4013.5020480000003</v>
      </c>
      <c r="J172" s="3">
        <f>5189.3+(319.3-1567.1)+(2.646543+(0.162843-0.799221))+0-0-0</f>
        <v>3943.5101650000001</v>
      </c>
      <c r="K172" s="3">
        <f>5147.8+(308.3-1486.8)+(-13.12689+(-0.786165--3.79134))+0-0-0</f>
        <v>3959.178285</v>
      </c>
      <c r="L172" s="3">
        <f>5089.7+(341.3-1478.4)+(-10.382988+(-0.696252--3.015936))+0-0-0</f>
        <v>3944.5366959999997</v>
      </c>
      <c r="M172" s="3">
        <f>5292+(315.5-1398.3)+(-2.69892+(-0.160905--0.713133))+0-0-0</f>
        <v>4207.0533079999996</v>
      </c>
      <c r="N172" s="3">
        <f>5542.2+(491.8-1252.1)+(2.826522+(0.250818-0.638571))+0-0-0</f>
        <v>4784.338769</v>
      </c>
      <c r="O172" s="3">
        <f>5632.1+(570.6-913.1)+(5.744742+(0.582012-0.931362))+0-0-0</f>
        <v>5294.9953920000007</v>
      </c>
      <c r="P172" s="3">
        <f>6021.1+(650.1-954.6)+(3.070761+(0.331551-0.486846))+0-0-0</f>
        <v>5719.5154660000007</v>
      </c>
      <c r="Q172" s="3">
        <f>6133.5+(767.5-950.4)+(6.25617+(0.78285-0.969408))+0-0-0</f>
        <v>5956.6696120000006</v>
      </c>
      <c r="R172" s="3">
        <f>6107.3+(802-892.3)+(0+(0-0))+0-0-0</f>
        <v>6017</v>
      </c>
      <c r="S172" s="3">
        <f>6029+(881.3-1068.1)+(-15.37395+(-2.247315--2.723655))+0-0-0</f>
        <v>5827.3023899999998</v>
      </c>
      <c r="T172" s="3">
        <f>6006.3+(949.2-1168.4)+(6.126426+(0.968184-1.191768))+0-0-0</f>
        <v>5793.0028420000008</v>
      </c>
      <c r="U172" s="3">
        <f>6029.8+(1016.9-1324.8)+(-6.150396+(-1.037238--1.351296))+0-0-0</f>
        <v>5716.0636620000005</v>
      </c>
      <c r="V172" s="3">
        <f>6028.4+(1178.8-1620.5)+(-21.521388+(-4.208316--5.785185))+0-0-0</f>
        <v>5566.7554810000001</v>
      </c>
      <c r="W172" s="3">
        <f>5832.4+(1089.4-1447.9)+(-14.87262+(-2.77797--3.692145))+0-0-0</f>
        <v>5459.9415549999994</v>
      </c>
      <c r="X172" s="3">
        <f>5474.1+(894.5-1079.3)+(-8.375373+(-1.368585--1.651329))+0-0-0</f>
        <v>5281.2073710000004</v>
      </c>
      <c r="Y172" s="3">
        <f>5807.3+(499.8-871.6)+(-2.961723+(-0.254898--0.444516))+0-0-0</f>
        <v>5432.727895</v>
      </c>
      <c r="Z172" s="3">
        <f>6326.3+(480.4-1098.1)+(-16.132065+(-1.22502--2.800155))+0-0-0</f>
        <v>5694.0430700000006</v>
      </c>
      <c r="AA172" s="3">
        <f>6169.3+(517.5-1118.9)+(-9.439029+(-0.791775--1.711917))+0-0-0</f>
        <v>5559.3811129999995</v>
      </c>
      <c r="AB172" s="3">
        <f>5861.3+(578.7-1099.8)+(-14.946315+(-1.475685--2.80449))+0-0-0</f>
        <v>5326.5824900000007</v>
      </c>
      <c r="AC172" s="3">
        <f>5666.2+(698-1308.1)+(0+(0-0))+0-0-0</f>
        <v>5056.1000000000004</v>
      </c>
      <c r="AD172">
        <v>5696.7000000000007</v>
      </c>
      <c r="AE172" s="3">
        <f>6371+(520.3-1194.6)+(0+(0-0))+0-0-0</f>
        <v>5696.7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5622.7+(596.8-1488.2)+(2.867577+(0.304368-0.758982))+0-0-0</f>
        <v>4733.712962999999</v>
      </c>
      <c r="G173" s="3">
        <f>5422.6+(550.5-1596.1)+(-8.296578+(-0.842265--2.442033))+0-0-0</f>
        <v>4370.3031899999996</v>
      </c>
      <c r="H173" s="3">
        <f>5117.2+(526.1-1498.8)+(7.829316+(0.804933-2.293164))+0-0-0</f>
        <v>4150.841085</v>
      </c>
      <c r="I173" s="3">
        <f>5069+(489.4-1609.5)+(-5.17038+(-0.499188--1.64169))+0-0-0</f>
        <v>3944.8721220000002</v>
      </c>
      <c r="J173" s="3">
        <f>4988.3+(340.1-1439)+(2.544033+(0.173451-0.73389))+0-0-0</f>
        <v>3891.3835939999999</v>
      </c>
      <c r="K173" s="3">
        <f>4997.4+(251.6-1438.4)+(-5.097348+(-0.256632--1.467168))+0-0-0</f>
        <v>3806.7131879999993</v>
      </c>
      <c r="L173" s="3">
        <f>4827.1+(367.5-1501.9)+(-4.923642+(-0.37485--1.531938))+0-0-0</f>
        <v>3688.9334460000005</v>
      </c>
      <c r="M173" s="3">
        <f>4746.4+(342.2-1524.6)+(-4.841328+(-0.349044--1.555092))+0-0-0</f>
        <v>3560.36472</v>
      </c>
      <c r="N173" s="3">
        <f>4819.4+(375.5-1447.4)+(-9.831576+(-0.76602--2.952696))+0-0-0</f>
        <v>3739.8550999999998</v>
      </c>
      <c r="O173" s="3">
        <f>4968.9+(515.8-1375.8)+(7.602417+(0.789174-2.104974))+0-0-0</f>
        <v>4115.1866169999994</v>
      </c>
      <c r="P173" s="3">
        <f>5111.1+(656.5-1285.6)+(-7.819983+(-1.004445--1.966968))+0-0-0</f>
        <v>4475.1425399999998</v>
      </c>
      <c r="Q173" s="3">
        <f>5249.5+(638.7-1141.6)+(-2.677245+(-0.325737--0.582216))+0-0-0</f>
        <v>4744.1792340000002</v>
      </c>
      <c r="R173" s="3">
        <f>5449.5+(574.1-1127.6)+(-11.11698+(-1.171164--2.300304))+0-0-0</f>
        <v>4886.0121600000002</v>
      </c>
      <c r="S173" s="3">
        <f>5502.7+(610.4-1214.9)+(0+(0-0))+0-0-0</f>
        <v>4898.2</v>
      </c>
      <c r="T173" s="3">
        <f>5562.6+(610.9-1289.9)+(-5.673852+(-0.623118--1.315698))+0-0-0</f>
        <v>4878.6187280000004</v>
      </c>
      <c r="U173" s="3">
        <f>5536.1+(632.1-1358.5)+(-5.646822+(-0.644742--1.38567))+0-0-0</f>
        <v>4804.7941060000003</v>
      </c>
      <c r="V173" s="3">
        <f>5470.4+(689.8-1374.9)+(-5.579808+(-0.703596--1.402398))+0-0-0</f>
        <v>4780.4189939999997</v>
      </c>
      <c r="W173" s="3">
        <f>5481.7+(604.1-1291.9)+(-11.182668+(-1.232364--2.635476))+0-0-0</f>
        <v>4784.1204439999992</v>
      </c>
      <c r="X173" s="3">
        <f>5413.2+(556.1-1186)+(-8.282196+(-0.850833--1.81458))+0-0-0</f>
        <v>4775.9815509999999</v>
      </c>
      <c r="Y173" s="3">
        <f>5571.3+(423.8-952.1)+(-2.841363+(-0.216138--0.485571))+0-0-0</f>
        <v>5040.4280699999999</v>
      </c>
      <c r="Z173" s="3">
        <f>5865.5+(297.8-793.4)+(-11.96562+(-0.607512--1.618536))+0-0-0</f>
        <v>5358.9454040000001</v>
      </c>
      <c r="AA173" s="3">
        <f>5741.5+(346.1-820.3)+(-20.497155+(-1.235577--2.928471))+0-0-0</f>
        <v>5248.495739</v>
      </c>
      <c r="AB173" s="3">
        <f>5514.6+(320.9-693.3)+(5.624892+(0.327318-0.707166))+0-0-0</f>
        <v>5147.445044000001</v>
      </c>
      <c r="AC173" s="3">
        <f>5319.8+(397.7-752.6)+(-2.713098+(-0.202827--0.383826))+0-0-0</f>
        <v>4962.3679010000005</v>
      </c>
      <c r="AD173">
        <v>5361.2</v>
      </c>
      <c r="AE173" s="3">
        <f>5917.5+(297-853.3)+(0+(0-0))+0-0-0</f>
        <v>5361.2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5085.3+(413.1-968.9)+(0+(0-0))+0-0-0</f>
        <v>4529.5</v>
      </c>
      <c r="G174" s="3">
        <f>5086.6+(405.6-1319.1)+(-2.594166+(-0.206856--0.672741))+0-0-0</f>
        <v>4170.9717190000001</v>
      </c>
      <c r="H174" s="3">
        <f>5089.3+(243.5-1389.9)+(0+(0-0))+0-0-0</f>
        <v>3942.9</v>
      </c>
      <c r="I174" s="3">
        <f>5100.6+(119.5-1386.5)+(-10.405224+(-0.24378--2.82846))+0-0-0</f>
        <v>3825.7794560000002</v>
      </c>
      <c r="J174" s="3">
        <f>5084.3+(124-1439)+(-15.557958+(-0.37944--4.40334))+0-0-0</f>
        <v>3757.765942</v>
      </c>
      <c r="K174" s="3">
        <f>5010.1+(152-1379)+(-5.110302+(-0.15504--1.40658))+0-0-0</f>
        <v>3779.2412380000005</v>
      </c>
      <c r="L174" s="3">
        <f>4959.6+(176.5-1276.4)+(-12.64698+(-0.450075--3.25482))+0-0-0</f>
        <v>3849.8577650000002</v>
      </c>
      <c r="M174" s="3">
        <f>5051.1+(274.9-1070.9)+(-2.576061+(-0.140199--0.546159))+0-0-0</f>
        <v>4252.9298990000007</v>
      </c>
      <c r="N174" s="3">
        <f>5483.9+(464.4-956.2)+(0+(0-0))+0-0-0</f>
        <v>4992.0999999999995</v>
      </c>
      <c r="O174" s="3">
        <f>5903.7+(687.3-966)+(-3.010887+(-0.350523--0.49266))+0-0-0</f>
        <v>5622.1312500000004</v>
      </c>
      <c r="P174" s="3">
        <f>6235.5+(1032-1168.6)+(12.72042+(2.10528-2.383944))+0-0-0</f>
        <v>6111.3417559999998</v>
      </c>
      <c r="Q174" s="3">
        <f>6393.1+(1209.8-1225.7)+(3.260481+(0.616998-0.625107))+0-0-0</f>
        <v>6380.4523720000007</v>
      </c>
      <c r="R174" s="3">
        <f>6493.5+(1201.3-1205.1)+(-6.62337+(-1.225326--1.229202))+0-0-0</f>
        <v>6483.0805060000002</v>
      </c>
      <c r="S174" s="3">
        <f>6593.7+(1326.2-1515.8)+(-13.451148+(-2.705448--3.092232))+0-0-0</f>
        <v>6391.0356360000005</v>
      </c>
      <c r="T174" s="3">
        <f>6603.6+(1386.6-1444.9)+(-3.367836+(-0.707166--0.736899))+0-0-0</f>
        <v>6541.9618970000001</v>
      </c>
      <c r="U174" s="3">
        <f>6624.7+(1426.5-1526.4)+(-3.378597+(-0.727515--0.778464))+0-0-0</f>
        <v>6521.4723519999989</v>
      </c>
      <c r="V174" s="3">
        <f>6657+(1483.7-1663.6)+(-10.18521+(-2.270061--2.545308))+0-0-0</f>
        <v>6467.1900370000003</v>
      </c>
      <c r="W174" s="3">
        <f>6648.5+(1395.7-1774)+(-16.953675+(-3.559035--4.5237))+0-0-0</f>
        <v>6254.2109899999996</v>
      </c>
      <c r="X174" s="3">
        <f>6241+(1154.1-1423.4)+(-9.54873+(-1.765773--2.177802))+0-0-0</f>
        <v>5962.5632989999995</v>
      </c>
      <c r="Y174" s="3">
        <f>6361.7+(1047.8-1418.6)+(0+(0-0))+0-0-0</f>
        <v>5990.9</v>
      </c>
      <c r="Z174" s="3">
        <f>6977.3+(1208-1958.1)+(-17.792115+(-3.0804--4.993155))+0-0-0</f>
        <v>6211.3206400000008</v>
      </c>
      <c r="AA174" s="3">
        <f>6738.5+(1188.1-1867)+(-17.183175+(-3.029655--4.76085))+0-0-0</f>
        <v>6044.1480200000005</v>
      </c>
      <c r="AB174" s="3">
        <f>6465.4+(1044.2-1746.9)+(-13.189416+(-2.130168--3.563676))+0-0-0</f>
        <v>5750.9440919999997</v>
      </c>
      <c r="AC174" s="3">
        <f>6317.7+(944.7-1817.9)+(0+(0-0))+0-0-0</f>
        <v>5444.5</v>
      </c>
      <c r="AD174">
        <v>6200</v>
      </c>
      <c r="AE174" s="3">
        <f>6999+(1236-2035)+(0+(0-0))+0-0-0</f>
        <v>6200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5877+(795-1734.8)+(-14.98635+(-2.02725--4.42374))+0-0-0</f>
        <v>4924.6101399999998</v>
      </c>
      <c r="G175" s="3">
        <f>5809.6+(757.2-2026.9)+(-11.851584+(-1.544688--4.134876))+0-0-0</f>
        <v>4530.6386040000007</v>
      </c>
      <c r="H175" s="3">
        <f>5605.8+(621-1944.5)+(-5.717916+(-0.63342--1.98339))+0-0-0</f>
        <v>4277.9320539999999</v>
      </c>
      <c r="I175" s="3">
        <f>5476.1+(472.8-1814.5)+(-13.964055+(-1.20564--4.626975))+0-0-0</f>
        <v>4123.8572800000002</v>
      </c>
      <c r="J175" s="3">
        <f>5450+(394.7-1804.7)+(8.3385+(0.603891-2.761191))+0-0-0</f>
        <v>4046.1812</v>
      </c>
      <c r="K175" s="3">
        <f>5386+(423.8-1762.3)+(8.24058+(0.648414-2.696319))+0-0-0</f>
        <v>4053.6926749999998</v>
      </c>
      <c r="L175" s="3">
        <f>5316.8+(460.1-1715.4)+(-5.423136+(-0.469302--1.749708))+0-0-0</f>
        <v>4057.35727</v>
      </c>
      <c r="M175" s="3">
        <f>5408.3+(473.8-1483.5)+(2.758233+(0.241638-0.756585))+0-0-0</f>
        <v>4400.8432860000003</v>
      </c>
      <c r="N175" s="3">
        <f>5840.5+(598.8-1301.5)+(-2.978655+(-0.305388--0.663765))+0-0-0</f>
        <v>5135.1797219999999</v>
      </c>
      <c r="O175" s="3">
        <f>5940.6+(973.1-1196.2)+(0+(0-0))+0-0-0</f>
        <v>5717.5</v>
      </c>
      <c r="P175" s="3">
        <f>6364.5+(1140.1-1363.8)+(3.245895+(0.581451-0.695538))+0-0-0</f>
        <v>6143.9318080000003</v>
      </c>
      <c r="Q175" s="3">
        <f>6633.8+(1275.3-1421.4)+(3.383238+(0.650403-0.724914))+0-0-0</f>
        <v>6491.0087269999995</v>
      </c>
      <c r="R175" s="3">
        <f>6681.3+(1397.8-1520.3)+(-3.407463+(-0.712878--0.775353))+0-0-0</f>
        <v>6555.4550120000004</v>
      </c>
      <c r="S175" s="3">
        <f>6712.1+(1537.9-1773.6)+(-20.539026+(-4.705974--5.427216))+0-0-0</f>
        <v>6456.5822160000007</v>
      </c>
      <c r="T175" s="3">
        <f>6746.4+(1688-1864.4)+(0+(0-0))+0-0-0</f>
        <v>6570</v>
      </c>
      <c r="U175" s="3">
        <f>6689.8+(1649-1775.9)+(-13.647192+(-3.36396--3.622836))+0-0-0</f>
        <v>6549.5116840000001</v>
      </c>
      <c r="V175" s="3">
        <f>6432.7+(1591.9-1597.3)+(0+(0-0))+0-0-0</f>
        <v>6427.3</v>
      </c>
      <c r="W175" s="3">
        <f>6289.7+(1406.4-1475.2)+(-9.623241+(-2.151792--2.257056))+0-0-0</f>
        <v>6211.3820229999992</v>
      </c>
      <c r="X175" s="3">
        <f>6023.9+(1114.1-1197.2)+(0+(0-0))+0-0-0</f>
        <v>5940.7999999999993</v>
      </c>
      <c r="Y175" s="3">
        <f>6043.5+(902.7-905.7)+(-3.082185+(-0.460377--0.461907))+0-0-0</f>
        <v>6037.4193450000002</v>
      </c>
      <c r="Z175" s="3">
        <f>6332.4+(908.9-1005.4)+(-16.14762+(-2.317695--2.56377))+0-0-0</f>
        <v>6219.9984549999999</v>
      </c>
      <c r="AA175" s="3">
        <f>6194.8+(1058.2-1200.4)+(-18.956088+(-3.238092--3.673224))+0-0-0</f>
        <v>6034.0790440000001</v>
      </c>
      <c r="AB175" s="3">
        <f>5936.8+(1158.7-1374.3)+(-9.083304+(-1.772811--2.102679))+0-0-0</f>
        <v>5712.4465640000008</v>
      </c>
      <c r="AC175" s="3">
        <f>5912.8+(1211.4-1676.4)+(-9.046584+(-1.853442--2.564892))+0-0-0</f>
        <v>5439.4648660000003</v>
      </c>
      <c r="AD175">
        <v>6185.4</v>
      </c>
      <c r="AE175" s="3">
        <f>6290+(881.7-986.3)+(0+(0-0))+0-0-0</f>
        <v>6185.4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5668.4+(895.9-1643.1)+(-11.563536+(-1.827636--3.351924))+0-0-0</f>
        <v>4911.1607519999998</v>
      </c>
      <c r="G176" s="3">
        <f>5598.3+(719-1741.8)+(0+(0-0))+0-0-0</f>
        <v>4575.5</v>
      </c>
      <c r="H176" s="3">
        <f>5427.2+(665.8-1758.7)+(0+(0-0))+0-0-0</f>
        <v>4334.2999999999993</v>
      </c>
      <c r="I176" s="3">
        <f>5128.4+(675.8-1653.5)+(-2.615484+(-0.344658--0.843285))+0-0-0</f>
        <v>4148.5831429999998</v>
      </c>
      <c r="J176" s="3">
        <f>5130.8+(594.1-1655.3)+(-10.466832+(-1.211964--3.376812))+0-0-0</f>
        <v>4061.2980160000002</v>
      </c>
      <c r="K176" s="3">
        <f>5203.9+(512.3-1658.8)+(2.653989+(0.261273-0.845988))+0-0-0</f>
        <v>4059.4692739999996</v>
      </c>
      <c r="L176" s="3">
        <f>5061+(478.7-1435.7)+(-12.90555+(-1.220685--3.661035))+0-0-0</f>
        <v>4093.5347999999999</v>
      </c>
      <c r="M176" s="3">
        <f>5038.8+(451-1036.8)+(-2.569788+(-0.23001--0.528768))+0-0-0</f>
        <v>4450.7289700000001</v>
      </c>
      <c r="N176" s="3">
        <f>5382.7+(818.6-1065.6)+(5.490354+(0.834972-1.086912))+0-0-0</f>
        <v>5140.9384140000002</v>
      </c>
      <c r="O176" s="3">
        <f>5983.1+(911.6-1173.6)+(-9.154143+(-1.394748--1.795608))+0-0-0</f>
        <v>5712.3467170000004</v>
      </c>
      <c r="P176" s="3">
        <f>6247.6+(1116.6-1242.9)+(-3.186276+(-0.569466--0.633879))+0-0-0</f>
        <v>6118.1781369999999</v>
      </c>
      <c r="Q176" s="3">
        <f>6476.5+(1384.6-1460.9)+(0+(0-0))+0-0-0</f>
        <v>6400.2</v>
      </c>
      <c r="R176" s="3">
        <f>6517.6+(1455.3-1490.8)+(0+(0-0))+0-0-0</f>
        <v>6482.1</v>
      </c>
      <c r="S176" s="3">
        <f>6450.6+(1526.7-1651.3)+(-9.869418+(-2.335851--2.526489))+0-0-0</f>
        <v>6316.3212199999998</v>
      </c>
      <c r="T176" s="3">
        <f>6402.3+(1614.9-1516.5)+(-6.530346+(-1.647198--1.54683))+0-0-0</f>
        <v>6494.0692860000008</v>
      </c>
      <c r="U176" s="3">
        <f>6380.5+(1618.4-1541.1)+(-3.254055+(-0.825384--0.785961))+0-0-0</f>
        <v>6454.5065220000006</v>
      </c>
      <c r="V176" s="3">
        <f>6315.3+(1458.1-1403)+(-12.883212+(-2.974524--2.86212))+0-0-0</f>
        <v>6357.4043839999995</v>
      </c>
      <c r="W176" s="3">
        <f>6101.4+(1214.6-1154.2)+(-18.670284+(-3.716676--3.531852))+0-0-0</f>
        <v>6142.9448919999995</v>
      </c>
      <c r="X176" s="3">
        <f>6009.3+(976.1-1140.7)+(-12.258972+(-1.991244--2.327028))+0-0-0</f>
        <v>5832.7768120000001</v>
      </c>
      <c r="Y176" s="3">
        <f>6198.9+(947.1-1208.9)+(-6.322878+(-0.966042--1.233078))+0-0-0</f>
        <v>5931.0441579999997</v>
      </c>
      <c r="Z176" s="3">
        <f>6538.2+(1131.9-1542.3)+(-10.003446+(-1.731807--2.359719))+0-0-0</f>
        <v>6118.4244660000004</v>
      </c>
      <c r="AA176" s="3">
        <f>6463.3+(967-1538)+(-9.888849+(-1.47951--2.35314))+0-0-0</f>
        <v>5883.2847810000003</v>
      </c>
      <c r="AB176" s="3">
        <f>6107+(662.8-1166.7)+(-6.22914+(-0.676056--1.190034))+0-0-0</f>
        <v>5597.3848379999999</v>
      </c>
      <c r="AC176" s="3">
        <f>5866.4+(630.2-1163.2)+(-2.991864+(-0.321402--0.593232))+0-0-0</f>
        <v>5330.6799659999997</v>
      </c>
      <c r="AD176">
        <v>6075.4000000000005</v>
      </c>
      <c r="AE176" s="3">
        <f>6521+(1148.6-1594.2)+(0+(0-0))+0-0-0</f>
        <v>6075.4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5705.6+(710-1525.5)+(-8.729568+(-1.0863--2.334015))+0-0-0</f>
        <v>4882.6181470000001</v>
      </c>
      <c r="G177" s="3">
        <f>5503.5+(818.7-1874.3)+(-8.420355+(-1.252611--2.867679))+0-0-0</f>
        <v>4441.0947129999995</v>
      </c>
      <c r="H177" s="3">
        <f>5297.3+(735.8-1805.9)+(-10.806492+(-1.501032--3.684036))+0-0-0</f>
        <v>4218.5765119999996</v>
      </c>
      <c r="I177" s="3">
        <f>5282.4+(648.7-1857.6)+(-2.694024+(-0.330837--0.947376))+0-0-0</f>
        <v>4071.4225150000002</v>
      </c>
      <c r="J177" s="3">
        <f>5270.7+(678.2-1923.3)+(2.688057+(0.345882-0.980883))+0-0-0</f>
        <v>4027.6530560000001</v>
      </c>
      <c r="K177" s="3">
        <f>5249.3+(622.5-1859.2)+(-2.677143+(-0.317475--0.948192))+0-0-0</f>
        <v>4010.5535740000005</v>
      </c>
      <c r="L177" s="3">
        <f>5208.8+(507.4-1665.9)+(-2.656488+(-0.258774--0.849609))+0-0-0</f>
        <v>4048.2343470000001</v>
      </c>
      <c r="M177" s="3">
        <f>5207.9+(620.1-1435.5)+(2.656029+(0.316251-0.732105))+0-0-0</f>
        <v>4394.7401749999999</v>
      </c>
      <c r="N177" s="3">
        <f>5336.5+(970.6-1234.5)+(-10.88646+(-1.980024--2.51838))+0-0-0</f>
        <v>5062.2518960000007</v>
      </c>
      <c r="O177" s="3">
        <f>5597.9+(1072.9-1062.6)+(0+(0-0))+0-0-0</f>
        <v>5608.2</v>
      </c>
      <c r="P177" s="3">
        <f>6073.8+(1216-1281.8)+(6.195276+(1.24032-1.307436))+0-0-0</f>
        <v>6014.1281600000002</v>
      </c>
      <c r="Q177" s="3">
        <f>6218.3+(1286.6-1196.6)+(6.342666+(1.312332-1.220532))+0-0-0</f>
        <v>6314.7344659999999</v>
      </c>
      <c r="R177" s="3">
        <f>6319.3+(1419-1278.4)+(0+(0-0))+0-0-0</f>
        <v>6459.9</v>
      </c>
      <c r="S177" s="3">
        <f>6271.2+(1570-1428.2)+(0+(0-0))+0-0-0</f>
        <v>6413</v>
      </c>
      <c r="T177" s="3">
        <f>6301.3+(1424-1461.8)+(0+(0-0))+0-0-0</f>
        <v>6263.5</v>
      </c>
      <c r="U177" s="3">
        <f>6281.9+(1630-1475.9)+(0+(0-0))+0-0-0</f>
        <v>6436</v>
      </c>
      <c r="V177" s="3">
        <f>6141.4+(1633-1544.1)+(0+(0-0))+0-0-0</f>
        <v>6230.2999999999993</v>
      </c>
      <c r="W177" s="3">
        <f>6247.1+(1419-1387.3)+(0+(0-0))+0-0-0</f>
        <v>6278.8</v>
      </c>
      <c r="X177" s="3">
        <f>6206.5+(943-1168)+(-15.826575+(-2.40465--2.9784))+0-0-0</f>
        <v>5966.2471750000004</v>
      </c>
      <c r="Y177" s="3">
        <f>6221.2+(1020-1472.7)+(-6.345624+(-1.0404--1.502154))+0-0-0</f>
        <v>5762.6161300000003</v>
      </c>
      <c r="Z177" s="3">
        <f>6591.5+(1085-1447.3)+(-16.808325+(-2.76675--3.690615))+0-0-0</f>
        <v>6213.3155399999996</v>
      </c>
      <c r="AA177" s="3">
        <f>6628.1+(939-1559.1)+(-20.281986+(-2.87334--4.770846))+0-0-0</f>
        <v>5989.6155200000003</v>
      </c>
      <c r="AB177" s="3">
        <f>6407.5+(852-1739.2)+(-13.0713+(-1.73808--3.547968))+0-0-0</f>
        <v>5509.0385880000003</v>
      </c>
      <c r="AC177" s="3">
        <f>6214.5+(780-1726)+(-3.169395+(-0.3978--0.88026))+0-0-0</f>
        <v>5265.8130650000003</v>
      </c>
      <c r="AD177">
        <v>6083.3</v>
      </c>
      <c r="AE177" s="3">
        <f>6584+(1202.6-1703.3)+(0+(0-0))+0-0-0</f>
        <v>6083.3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5857.7+(679.3-1690.9)+(0+(0-0))+0-0-0</f>
        <v>4846.0999999999995</v>
      </c>
      <c r="G178" s="3">
        <f>5670.3+(699.2-1929.9)+(0+(0-0))+0-0-0</f>
        <v>4439.6000000000004</v>
      </c>
      <c r="H178" s="3">
        <f>5599.5+(608.8-1988.9)+(0+(0-0))+0-0-0</f>
        <v>4219.3999999999996</v>
      </c>
      <c r="I178" s="3">
        <f>5318.1+(577.3-1922)+(0+(0-0))+0-0-0</f>
        <v>3973.4000000000005</v>
      </c>
      <c r="J178" s="3">
        <f>5223+(610.5-1971.2)+(0+(0-0))+0-0-0</f>
        <v>3862.3</v>
      </c>
      <c r="K178" s="3">
        <f>5092.2+(574-1740.1)+(0+(0-0))+0-0-0</f>
        <v>3926.1</v>
      </c>
      <c r="L178" s="3">
        <f>5112.4+(589.3-1658.9)+(0+(0-0))+0-0-0</f>
        <v>4042.7999999999993</v>
      </c>
      <c r="M178" s="3">
        <f>5132.1+(699.5-1415.6)+(2.617371+(0.356745-0.721956))+0-0-0</f>
        <v>4418.25216</v>
      </c>
      <c r="N178" s="3">
        <f>5629.3+(1242.7-1832.3)+(-5.741886+(-1.267554--1.868946))+0-0-0</f>
        <v>5034.5595060000005</v>
      </c>
      <c r="O178" s="3">
        <f>6177.5+(1537-2117.3)+(3.150525+(0.78387-1.079823))+0-0-0</f>
        <v>5600.054572</v>
      </c>
      <c r="P178" s="3">
        <f>6316.6+(1720.1-2114.2)+(9.664398+(2.631753-3.234726))+0-0-0</f>
        <v>5931.5614249999999</v>
      </c>
      <c r="Q178" s="3">
        <f>6398.9+(1694.5-1880.2)+(3.263439+(0.864195-0.958902))+0-0-0</f>
        <v>6216.3687319999999</v>
      </c>
      <c r="R178" s="3">
        <f>6531.4+(1707.1-1913)+(6.662028+(1.741242-1.95126))+0-0-0</f>
        <v>6331.95201</v>
      </c>
      <c r="S178" s="3">
        <f>6478.1+(1869.3-2137.4)+(-3.303831+(-0.953343--1.090074))+0-0-0</f>
        <v>6206.8329000000003</v>
      </c>
      <c r="T178" s="3">
        <f>6486.3+(1884.6-2060.4)+(-3.308013+(-0.961146--1.050804))+0-0-0</f>
        <v>6307.281645</v>
      </c>
      <c r="U178" s="3">
        <f>6486.9+(1928.6-2111.2)+(-3.308319+(-0.983586--1.076712))+0-0-0</f>
        <v>6301.0848069999993</v>
      </c>
      <c r="V178" s="3">
        <f>6445.5+(1875.1-2090.9)+(-16.436025+(-4.781505--5.331795))+0-0-0</f>
        <v>6213.814265</v>
      </c>
      <c r="W178" s="3">
        <f>6420.2+(1699.3-2043)+(-19.645812+(-5.199858--6.25158))+0-0-0</f>
        <v>6057.9059100000004</v>
      </c>
      <c r="X178" s="3">
        <f>6191.4+(1043.1-1475.3)+(-15.78807+(-2.659905--3.762015))+0-0-0</f>
        <v>5744.51404</v>
      </c>
      <c r="Y178" s="3">
        <f>6459.7+(902.4-1458.7)+(-6.588894+(-0.920448--1.487874))+0-0-0</f>
        <v>5897.3785319999997</v>
      </c>
      <c r="Z178" s="3">
        <f>6773.8+(1095.3-1892.6)+(-20.727828+(-3.351618--5.791356))+0-0-0</f>
        <v>5958.21191</v>
      </c>
      <c r="AA178" s="3">
        <f>6641.1+(1128.4-1920)+(-16.934805+(-2.87742--4.896))+0-0-0</f>
        <v>5834.5837750000001</v>
      </c>
      <c r="AB178" s="3">
        <f>6486.4+(942.7-1888.5)+(-9.924192+(-1.442331--2.889405))+0-0-0</f>
        <v>5532.1228819999997</v>
      </c>
      <c r="AC178" s="3">
        <f>6481.6+(798.6-2090.2)+(-3.305616+(-0.407286--1.066002))+0-0-0</f>
        <v>5187.3531000000003</v>
      </c>
      <c r="AD178">
        <v>6060.2999999999993</v>
      </c>
      <c r="AE178" s="3">
        <f>6766+(1152.9-1858.6)+(0+(0-0))+0-0-0</f>
        <v>6060.3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6225.4+(567.7-2020.8)+(0+(0-0))+0-0-0</f>
        <v>4772.2999999999993</v>
      </c>
      <c r="G179" s="3">
        <f>6042.4+(588.5-2190.4)+(-3.081624+(-0.300135--1.117104))+0-0-0</f>
        <v>4438.2353450000001</v>
      </c>
      <c r="H179" s="3">
        <f>5915.7+(663-2372.8)+(9.051021+(1.01439-3.630384))+0-0-0</f>
        <v>4212.3350270000001</v>
      </c>
      <c r="I179" s="3">
        <f>5558.1+(632.6-2200.9)+(-5.669262+(-0.645252--2.244918))+0-0-0</f>
        <v>3985.7304040000004</v>
      </c>
      <c r="J179" s="3">
        <f>5322.4+(537.7-1932.6)+(-8.143272+(-0.822681--2.956878))+0-0-0</f>
        <v>3921.4909250000001</v>
      </c>
      <c r="K179" s="3">
        <f>5181.7+(543-1795.6)+(-2.642667+(-0.27693--0.915756))+0-0-0</f>
        <v>3927.0961589999997</v>
      </c>
      <c r="L179" s="3">
        <f>5083.6+(488.7-1599.4)+(-12.96318+(-1.246185--4.07847))+0-0-0</f>
        <v>3962.7691050000008</v>
      </c>
      <c r="M179" s="3">
        <f>5143.8+(415.9-1374.5)+(0+(0-0))+0-0-0</f>
        <v>4185.2</v>
      </c>
      <c r="N179" s="3">
        <f>5386.6+(884.9-1632.6)+(0+(0-0))+0-0-0</f>
        <v>4638.9000000000005</v>
      </c>
      <c r="O179" s="3">
        <f>6190.3+(1011-1976.1)+(0+(0-0))+0-0-0</f>
        <v>5225.2000000000007</v>
      </c>
      <c r="P179" s="3">
        <f>6236.9+(937.3-1582.5)+(12.723276+(1.912092-3.2283))+0-0-0</f>
        <v>5603.1070680000003</v>
      </c>
      <c r="Q179" s="3">
        <f>6319.4+(958.7-1383.7)+(0+(0-0))+0-0-0</f>
        <v>5894.4</v>
      </c>
      <c r="R179" s="3">
        <f>6429.9+(894.9-1363.8)+(-6.558498+(-0.912798--1.391076))+0-0-0</f>
        <v>5954.9197800000002</v>
      </c>
      <c r="S179" s="3">
        <f>6428.7+(1176.8-1819.2)+(-13.114548+(-2.400672--3.711168))+0-0-0</f>
        <v>5774.4959479999989</v>
      </c>
      <c r="T179" s="3">
        <f>6506.2+(1382-2123.9)+(-3.318162+(-0.70482--1.083189))+0-0-0</f>
        <v>5761.3602069999997</v>
      </c>
      <c r="U179" s="3">
        <f>6513.9+(1352-2208.4)+(-9.966267+(-2.06856--3.378852))+0-0-0</f>
        <v>5648.8440250000003</v>
      </c>
      <c r="V179" s="3">
        <f>6491.5+(1320.7-2237.6)+(-3.310665+(-0.673557--1.141176))+0-0-0</f>
        <v>5571.7569540000004</v>
      </c>
      <c r="W179" s="3">
        <f>6180.9+(1087.8-1764.9)+(-15.761295+(-2.77389--4.500495))+0-0-0</f>
        <v>5489.7653099999989</v>
      </c>
      <c r="X179" s="3">
        <f>5923.7+(915.4-1511)+(0+(0-0))+0-0-0</f>
        <v>5328.0999999999995</v>
      </c>
      <c r="Y179" s="3">
        <f>6262.3+(796.4-1549.2)+(0+(0-0))+0-0-0</f>
        <v>5509.5</v>
      </c>
      <c r="Z179" s="3">
        <f>6656.4+(716.3-1704.4)+(-10.184292+(-1.095939--2.607732))+0-0-0</f>
        <v>5659.627500999999</v>
      </c>
      <c r="AA179" s="3">
        <f>6347.2+(819.1-1601.3)+(-16.18536+(-2.088705--4.083315))+0-0-0</f>
        <v>5550.8092500000002</v>
      </c>
      <c r="AB179" s="3">
        <f>5952+(824.7-1558.4)+(-15.1776+(-2.102985--3.97392))+0-0-0</f>
        <v>5204.9933350000001</v>
      </c>
      <c r="AC179" s="3">
        <f>5961.8+(935.9-1831.3)+(-9.121554+(-1.431927--2.801889))+0-0-0</f>
        <v>5058.6484080000009</v>
      </c>
      <c r="AD179">
        <v>5677</v>
      </c>
      <c r="AE179" s="3">
        <f>6615+(769.4-1706.4)+(0+(0-0))+0-0-0</f>
        <v>5678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5939.5+(927.9-2149.7)+(-9.087435+(-1.419687--3.289041))+0-0-0</f>
        <v>4710.4819190000007</v>
      </c>
      <c r="G180" s="3">
        <f>5520.4+(661.7-1839.8)+(-2.815404+(-0.337467--0.938298))+0-0-0</f>
        <v>4340.0854269999991</v>
      </c>
      <c r="H180" s="3">
        <f>5382.7+(549.2-1947.1)+(-13.725885+(-1.40046--4.965105))+0-0-0</f>
        <v>3974.6387600000003</v>
      </c>
      <c r="I180" s="3">
        <f>5396+(437.4-1976.5)+(0+(0-0))+0-0-0</f>
        <v>3856.9</v>
      </c>
      <c r="J180" s="3">
        <f>5243.8+(491.3-1920.2)+(0+(0-0))+0-0-0</f>
        <v>3814.9</v>
      </c>
      <c r="K180" s="3">
        <f>5235.8+(461.2-1960.1)+(8.010774+(0.705636-2.998953))+0-0-0</f>
        <v>3742.6174570000007</v>
      </c>
      <c r="L180" s="3">
        <f>5146.5+(458.1-1963.8)+(7.874145+(0.700893-3.004614))+0-0-0</f>
        <v>3646.3704240000002</v>
      </c>
      <c r="M180" s="3">
        <f>5033.4+(377.3-1920.5)+(-12.83517+(-0.962115--4.897275))+0-0-0</f>
        <v>3481.29999</v>
      </c>
      <c r="N180" s="3">
        <f>5163.9+(393.5-1885.5)+(0+(0-0))+0-0-0</f>
        <v>3671.8999999999996</v>
      </c>
      <c r="O180" s="3">
        <f>5551.7+(430.5-2061.8)+(-8.494101+(-0.658665--3.154554))+0-0-0</f>
        <v>3914.4017879999997</v>
      </c>
      <c r="P180" s="3">
        <f>5692.8+(429.1-1797.9)+(-5.806656+(-0.437682--1.833858))+0-0-0</f>
        <v>4319.5895200000004</v>
      </c>
      <c r="Q180" s="3">
        <f>5883.4+(492.8-1761.5)+(-6.001068+(-0.502656--1.79673))+0-0-0</f>
        <v>4609.9930059999997</v>
      </c>
      <c r="R180" s="3">
        <f>5895.4+(565.3-1722.4)+(-6.013308+(-0.576606--1.756848))+0-0-0</f>
        <v>4733.4669339999991</v>
      </c>
      <c r="S180" s="3">
        <f>5879.6+(658.5-1773.9)+(-5.997192+(-0.67167--1.809378))+0-0-0</f>
        <v>4759.3405160000011</v>
      </c>
      <c r="T180" s="3">
        <f>5910.9+(771.2-1961.2)+(3.014559+(0.393312-1.000212))+0-0-0</f>
        <v>4723.3076590000001</v>
      </c>
      <c r="U180" s="3">
        <f>5940.7+(786.2-2028.1)+(0+(0-0))+0-0-0</f>
        <v>4698.8</v>
      </c>
      <c r="V180" s="3">
        <f>5894.3+(756.2-1995.7)+(-15.030465+(-1.92831--5.089035))+0-0-0</f>
        <v>4642.9302600000001</v>
      </c>
      <c r="W180" s="3">
        <f>5849.6+(639.7-1836.4)+(-5.966592+(-0.652494--1.873128))+0-0-0</f>
        <v>4648.1540420000001</v>
      </c>
      <c r="X180" s="3">
        <f>5673+(404.8-1374.7)+(-8.67969+(-0.619344--2.103291))+0-0-0</f>
        <v>4695.9042570000001</v>
      </c>
      <c r="Y180" s="3">
        <f>5871+(534.8-1341)+(0+(0-0))+0-0-0</f>
        <v>5064.8</v>
      </c>
      <c r="Z180" s="3">
        <f>6365.9+(670.7-1749.2)+(-9.739827+(-1.026171--2.676276))+0-0-0</f>
        <v>5279.3102779999999</v>
      </c>
      <c r="AA180" s="3">
        <f>6279.1+(666.4-1822.7)+(-16.011705+(-1.69932--4.647885))+0-0-0</f>
        <v>5109.73686</v>
      </c>
      <c r="AB180" s="3">
        <f>6006.3+(672.4-1654.1)+(-12.252852+(-1.371696--3.374364))+0-0-0</f>
        <v>5014.3498159999999</v>
      </c>
      <c r="AC180" s="3">
        <f>5894.5+(607.4-1750.9)+(-6.01239+(-0.619548--1.785918))+0-0-0</f>
        <v>4746.15398</v>
      </c>
      <c r="AD180">
        <v>5262.6</v>
      </c>
      <c r="AE180" s="3">
        <f>6389+(716.1-1842.5)+(0+(0-0))+0-0-0</f>
        <v>5262.6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5794.2+(424.8-1817.5)+(-11.820168+(-0.866592--3.7077))+0-0-0</f>
        <v>4392.5209400000003</v>
      </c>
      <c r="G181" s="3">
        <f>5793.8+(362.8-2093.8)+(0+(0-0))+0-0-0</f>
        <v>4062.8</v>
      </c>
      <c r="H181" s="3">
        <f>5609.3+(338.9-2085.8)+(-8.582229+(-0.518517--3.191274))+0-0-0</f>
        <v>3856.4905280000003</v>
      </c>
      <c r="I181" s="3">
        <f>5306.6+(339.4-1905.2)+(-5.412732+(-0.346188--1.943304))+0-0-0</f>
        <v>3736.9843840000003</v>
      </c>
      <c r="J181" s="3">
        <f>5276.5+(408.8-2011.1)+(-2.691015+(-0.208488--1.025661))+0-0-0</f>
        <v>3672.3261579999999</v>
      </c>
      <c r="K181" s="3">
        <f>5216.4+(414.2-1950.2)+(-13.30182+(-1.05621--4.97301))+0-0-0</f>
        <v>3671.0149799999995</v>
      </c>
      <c r="L181" s="3">
        <f>5142.9+(349.4-1685.4)+(-18.360153+(-1.247358--6.016878))+0-0-0</f>
        <v>3793.3093669999998</v>
      </c>
      <c r="M181" s="3">
        <f>4956.5+(449.4-1239.5)+(7.583445+(0.687582-1.896435))+0-0-0</f>
        <v>4172.7745919999998</v>
      </c>
      <c r="N181" s="3">
        <f>5465.8+(686.5-1202)+(-5.575116+(-0.70023--1.22604))+0-0-0</f>
        <v>4945.2506940000003</v>
      </c>
      <c r="O181" s="3">
        <f>5856.3+(884.6-1284.4)+(-2.986713+(-0.451146--0.655044))+0-0-0</f>
        <v>5453.7171850000004</v>
      </c>
      <c r="P181" s="3">
        <f>6328.2+(862.1-1346.5)+(0+(0-0))+0-0-0</f>
        <v>5843.8</v>
      </c>
      <c r="Q181" s="3">
        <f>6498+(964.5-1320.6)+(3.31398+(0.491895-0.673506))+0-0-0</f>
        <v>6145.0323689999996</v>
      </c>
      <c r="R181" s="3">
        <f>6456.6+(944.8-1216.3)+(-6.585732+(-0.963696--1.240626))+0-0-0</f>
        <v>6178.7911980000008</v>
      </c>
      <c r="S181" s="3">
        <f>6476.3+(1071.6-1546)+(3.302913+(0.546516-0.78846))+0-0-0</f>
        <v>6004.9609689999997</v>
      </c>
      <c r="T181" s="3">
        <f>6448.3+(1128.9-1400.3)+(3.288633+(0.575739-0.714153))+0-0-0</f>
        <v>6180.0502190000007</v>
      </c>
      <c r="U181" s="3">
        <f>6439.4+(1145.6-1491.4)+(-3.284094+(-0.584256--0.760614))+0-0-0</f>
        <v>6090.4922639999995</v>
      </c>
      <c r="V181" s="3">
        <f>6400.7+(1114.3-1512.8)+(-9.793071+(-1.704879--2.314584))+0-0-0</f>
        <v>5993.0166339999996</v>
      </c>
      <c r="W181" s="3">
        <f>6405.8+(1006-1597.2)+(-13.067832+(-2.05224--3.258288))+0-0-0</f>
        <v>5802.7382160000006</v>
      </c>
      <c r="X181" s="3">
        <f>6391.5+(665.9-1327.8)+(-6.51933+(-0.679218--1.354356))+0-0-0</f>
        <v>5723.7558080000008</v>
      </c>
      <c r="Y181" s="3">
        <f>6568.8+(700.7-1339.9)+(-3.350088+(-0.357357--0.683349))+0-0-0</f>
        <v>5926.5759040000003</v>
      </c>
      <c r="Z181" s="3">
        <f>6790.7+(764.7-1528.7)+(-6.926514+(-0.779994--1.559274))+0-0-0</f>
        <v>6020.5527659999998</v>
      </c>
      <c r="AA181" s="3">
        <f>6668.9+(850.6-1726.5)+(-20.406834+(-2.602836--5.28309))+0-0-0</f>
        <v>5775.2734200000004</v>
      </c>
      <c r="AB181" s="3">
        <f>6469.3+(797.1-1727.7)+(3.299343+(0.406521-0.881127))+0-0-0</f>
        <v>5541.5247369999997</v>
      </c>
      <c r="AC181" s="3">
        <f>6135.2+(648.4-1666.9)+(3.128952+(0.330684-0.850119))+0-0-0</f>
        <v>5119.3095169999997</v>
      </c>
      <c r="AD181">
        <v>5967.7999999999993</v>
      </c>
      <c r="AE181" s="3">
        <f>6725+(771.4-1528.6)+(0+(0-0))+0-0-0</f>
        <v>5967.8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5974.2+(546.1-1902.8)+(-3.046842+(-0.278511--0.970428))+0-0-0</f>
        <v>4615.1450750000004</v>
      </c>
      <c r="G182" s="3">
        <f>5559.8+(403.6-1688.8)+(2.835498+(0.205836-0.861288))+0-0-0</f>
        <v>4276.7800460000008</v>
      </c>
      <c r="H182" s="3">
        <f>5366.8+(452.4-1775.2)+(10.948272+(0.922896-3.621408))+0-0-0</f>
        <v>4052.2497600000002</v>
      </c>
      <c r="I182" s="3">
        <f>5250.9+(475.4-1798.3)+(-8.033877+(-0.727362--2.751399))+0-0-0</f>
        <v>3921.9901599999994</v>
      </c>
      <c r="J182" s="3">
        <f>5353.4+(457.2-1948.2)+(10.920936+(0.932688-3.974328))+0-0-0</f>
        <v>3870.2792959999997</v>
      </c>
      <c r="K182" s="3">
        <f>5309.9+(388-1810.7)+(5.416098+(0.39576-1.846914))+0-0-0</f>
        <v>3891.1649439999997</v>
      </c>
      <c r="L182" s="3">
        <f>5220.4+(423.1-1676.1)+(-5.324808+(-0.431562--1.709622))+0-0-0</f>
        <v>3963.3532519999994</v>
      </c>
      <c r="M182" s="3">
        <f>5294.9+(422.9-1442.5)+(2.700399+(0.215679-0.735675))+0-0-0</f>
        <v>4277.4804029999996</v>
      </c>
      <c r="N182" s="3">
        <f>5796.2+(747.8-1581.4)+(-2.956062+(-0.381378--0.806514))+0-0-0</f>
        <v>4960.0690739999991</v>
      </c>
      <c r="O182" s="3">
        <f>6023.9+(915.5-1499.7)+(3.072189+(0.466905-0.764847))+0-0-0</f>
        <v>5442.4742470000001</v>
      </c>
      <c r="P182" s="3">
        <f>6114.7+(829.4-1201.7)+(0+(0-0))+0-0-0</f>
        <v>5742.4</v>
      </c>
      <c r="Q182" s="3">
        <f>6297.2+(784.5-1072)+(9.634716+(1.200285-1.64016))+0-0-0</f>
        <v>6018.8948410000003</v>
      </c>
      <c r="R182" s="3">
        <f>6313.7+(843.4-1031.7)+(3.219987+(0.430134-0.526167))+0-0-0</f>
        <v>6128.5239539999993</v>
      </c>
      <c r="S182" s="3">
        <f>6275.1+(1008.1-1267.6)+(-3.200301+(-0.514131--0.646476))+0-0-0</f>
        <v>6012.5320440000005</v>
      </c>
      <c r="T182" s="3">
        <f>6259.5+(1071.5-1196.6)+(3.192345+(0.546465-0.610266))+0-0-0</f>
        <v>6137.5285439999998</v>
      </c>
      <c r="U182" s="3">
        <f>6223.3+(1076.9-1158.4)+(-9.521649+(-1.647657--1.772352))+0-0-0</f>
        <v>6132.4030460000004</v>
      </c>
      <c r="V182" s="3">
        <f>6209.8+(1140.5-1311.8)+(-12.667992+(-2.32662--2.676072))+0-0-0</f>
        <v>6026.1814599999998</v>
      </c>
      <c r="W182" s="3">
        <f>6151.9+(1046.5-1373.9)+(-18.824814+(-3.20229--4.204134))+0-0-0</f>
        <v>5806.6770299999998</v>
      </c>
      <c r="X182" s="3">
        <f>6061.2+(637.3-1111.6)+(3.091212+(0.325023-0.566916))+0-0-0</f>
        <v>5589.7493189999996</v>
      </c>
      <c r="Y182" s="3">
        <f>6382.1+(720.5-1276.3)+(3.254871+(0.367455-0.650913))+0-0-0</f>
        <v>5829.2714130000004</v>
      </c>
      <c r="Z182" s="3">
        <f>6617.8+(805.3-1485.9)+(0+(0-0))+0-0-0</f>
        <v>5937.2</v>
      </c>
      <c r="AA182" s="3">
        <f>6424.7+(904.5-1601.1)+(-16.382985+(-2.306475--4.082805))+0-0-0</f>
        <v>5713.4933450000008</v>
      </c>
      <c r="AB182" s="3">
        <f>6143.8+(875.9-1641.2)+(-15.66669+(-2.233545--4.18506))+0-0-0</f>
        <v>5364.7848249999997</v>
      </c>
      <c r="AC182" s="3">
        <f>5866.3+(642.7-1497.4)+(5.983626+(0.655554-1.527348))+0-0-0</f>
        <v>5016.711832</v>
      </c>
      <c r="AD182">
        <v>5874</v>
      </c>
      <c r="AE182" s="3">
        <f>6577+(821-1524)+(0+(0-0))+0-0-0</f>
        <v>5874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5723.9+(622.5-1804.5)+(-5.838378+(-0.63495--1.84059))+0-0-0</f>
        <v>4537.2672619999994</v>
      </c>
      <c r="G183" s="3">
        <f>5537.3+(444.2-1771)+(-11.296092+(-0.906168--3.61284))+0-0-0</f>
        <v>4201.9105799999998</v>
      </c>
      <c r="H183" s="3">
        <f>5267.4+(518.2-1817)+(-2.686374+(-0.264282--0.92667))+0-0-0</f>
        <v>3966.5760139999993</v>
      </c>
      <c r="I183" s="3">
        <f>5199.3+(523.4-1876)+(-10.606572+(-1.067736--3.82704))+0-0-0</f>
        <v>3838.8527320000003</v>
      </c>
      <c r="J183" s="3">
        <f>5232.1+(454.3-1881.9)+(13.341855+(1.158465-4.798845))+0-0-0</f>
        <v>3814.2014749999998</v>
      </c>
      <c r="K183" s="3">
        <f>5215.6+(424.8-1821.3)+(7.979868+(0.649944-2.786589))+0-0-0</f>
        <v>3824.9432230000002</v>
      </c>
      <c r="L183" s="3">
        <f>5131.3+(360.7-1593)+(-10.467852+(-0.735828--3.24972))+0-0-0</f>
        <v>3891.0460400000002</v>
      </c>
      <c r="M183" s="3">
        <f>5201.9+(234.8-1183.6)+(0+(0-0))+0-0-0</f>
        <v>4253.0999999999995</v>
      </c>
      <c r="N183" s="3">
        <f>5666.2+(501-1264.1)+(2.889762+(0.25551-0.644691))+0-0-0</f>
        <v>4905.6005810000006</v>
      </c>
      <c r="O183" s="3">
        <f>5834.4+(744.1-1060.5)+(2.975544+(0.379491-0.540855))+0-0-0</f>
        <v>5520.8141800000003</v>
      </c>
      <c r="P183" s="3">
        <f>6198.4+(698.9-1017)+(3.161184+(0.356439-0.51867))+0-0-0</f>
        <v>5883.2989529999995</v>
      </c>
      <c r="Q183" s="3">
        <f>6399.6+(748.7-1082.7)+(6.527592+(0.763674-1.104354))+0-0-0</f>
        <v>6071.7869120000005</v>
      </c>
      <c r="R183" s="3">
        <f>6506.1+(785.9-1221)+(-3.318111+(-0.400809--0.62271))+0-0-0</f>
        <v>6067.9037900000003</v>
      </c>
      <c r="S183" s="3">
        <f>6508.5+(891.9-1479.9)+(-9.958005+(-1.364607--2.264247))+0-0-0</f>
        <v>5911.4416350000001</v>
      </c>
      <c r="T183" s="3">
        <f>6593.6+(969.1-1512.8)+(0+(0-0))+0-0-0</f>
        <v>6049.9000000000005</v>
      </c>
      <c r="U183" s="3">
        <f>6621.7+(920.3-1498.6)+(-13.508268+(-1.877412--3.057144))+0-0-0</f>
        <v>6031.0714639999997</v>
      </c>
      <c r="V183" s="3">
        <f>6561.9+(958.3-1547.2)+(-6.693138+(-0.977466--1.578144))+0-0-0</f>
        <v>5966.9075400000002</v>
      </c>
      <c r="W183" s="3">
        <f>6291.4+(749.2-1224.8)+(-12.834456+(-1.528368--2.498592))+0-0-0</f>
        <v>5803.9357679999994</v>
      </c>
      <c r="X183" s="3">
        <f>5964.3+(616.4-1015.9)+(-3.041793+(-0.314364--0.518109))+0-0-0</f>
        <v>5561.9619520000006</v>
      </c>
      <c r="Y183" s="3">
        <f>6405.3+(592.4-1239.2)+(3.266703+(0.302124-0.631992))+0-0-0</f>
        <v>5761.4368350000004</v>
      </c>
      <c r="Z183" s="3">
        <f>6728.1+(690.2-1569.8)+(-13.725324+(-1.408008--3.202392))+0-0-0</f>
        <v>5836.5690599999998</v>
      </c>
      <c r="AA183" s="3">
        <f>6516.4+(754.1-1620.3)+(-13.293456+(-1.538364--3.305412))+0-0-0</f>
        <v>5638.6735920000001</v>
      </c>
      <c r="AB183" s="3">
        <f>6186.5+(672-1556.3)+(-12.62046+(-1.37088--3.174852))+0-0-0</f>
        <v>5291.3835119999994</v>
      </c>
      <c r="AC183" s="3">
        <f>5925+(636.6-1500)+(0+(0-0))+0-0-0</f>
        <v>5061.6000000000004</v>
      </c>
      <c r="AD183">
        <v>5806.0999999999995</v>
      </c>
      <c r="AE183" s="3">
        <f>6728+(685.4-1607.3)+(0+(0-0))+0-0-0</f>
        <v>5806.1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5702.8+(636-2062.2)+(-11.633712+(-1.29744--4.206888))+0-0-0</f>
        <v>4267.875736</v>
      </c>
      <c r="G184" s="3">
        <f>5459+(618.4-2239.9)+(-8.35227+(-0.946152--3.427047))+0-0-0</f>
        <v>3831.6286249999998</v>
      </c>
      <c r="H184" s="3">
        <f>5253.1+(358.1-1888.2)+(-8.037243+(-0.547893--2.888946))+0-0-0</f>
        <v>3717.3038100000003</v>
      </c>
      <c r="I184" s="3">
        <f>5047+(246.9-1547.9)+(5.14794+(0.251838-1.578858))+0-0-0</f>
        <v>3749.8209200000001</v>
      </c>
      <c r="J184" s="3">
        <f>5084.8+(274.2-1660.3)+(12.96624+(0.69921-4.233765))+0-0-0</f>
        <v>3708.1316850000003</v>
      </c>
      <c r="K184" s="3">
        <f>5062.5+(212.6-1521.9)+(0+(0-0))+0-0-0</f>
        <v>3753.2</v>
      </c>
      <c r="L184" s="3">
        <f>5073.8+(232.6-1468.8)+(-2.587638+(-0.118626--0.749088))+0-0-0</f>
        <v>3835.6428240000005</v>
      </c>
      <c r="M184" s="3">
        <f>5089.8+(253.6-1163.4)+(-2.595798+(-0.129336--0.593334))+0-0-0</f>
        <v>4177.8681999999999</v>
      </c>
      <c r="N184" s="3">
        <f>5587.8+(534.4-1244.9)+(0+(0-0))+0-0-0</f>
        <v>4877.3</v>
      </c>
      <c r="O184" s="3">
        <f>5954.5+(821.7-1385.8)+(9.110385+(1.257201-2.120274))+3.9-0-0</f>
        <v>5402.5473119999997</v>
      </c>
      <c r="P184" s="3">
        <f>5945.5+(972.3-1153.4)+(6.06441+(0.991746-1.176468))+4.8-0-0</f>
        <v>5775.0796879999998</v>
      </c>
      <c r="Q184" s="3">
        <f>6314+(1048.8-1333.4)+(9.66042+(1.604664-2.040102))+0-0-0</f>
        <v>6038.6249819999994</v>
      </c>
      <c r="R184" s="3">
        <f>6709.8+(1070.9-1696.5)+(0+(0-0))+0-0-0</f>
        <v>6084.2000000000007</v>
      </c>
      <c r="S184" s="3">
        <f>6854.7+(1167.5-2085.3)+(-3.495897+(-0.595425--1.063503))+0-0-0</f>
        <v>5933.8721809999997</v>
      </c>
      <c r="T184" s="3">
        <f>6905.6+(1284-2119.7)+(3.521856+(0.65484-1.081047))+0-0-0</f>
        <v>6072.9956490000004</v>
      </c>
      <c r="U184" s="3">
        <f>6885.7+(1319.6-2153.8)+(7.023414+(1.345992-2.196876))+0-0-0</f>
        <v>6057.6725299999998</v>
      </c>
      <c r="V184" s="3">
        <f>6840.4+(1157.9-2088.5)+(-17.44302+(-2.952645--5.325675))+0-0-0</f>
        <v>5894.7300099999993</v>
      </c>
      <c r="W184" s="3">
        <f>6762.9+(1087.7-1966.6)+(-6.898158+(-1.109454--2.005932))+0-0-0</f>
        <v>5877.9983199999997</v>
      </c>
      <c r="X184" s="3">
        <f>6303.6+(851.2-1489.7)+(0+(0-0))+0-0-0</f>
        <v>5665.1</v>
      </c>
      <c r="Y184" s="3">
        <f>6834.6+(653-1688.6)+(0+(0-0))+0-0-0</f>
        <v>5799</v>
      </c>
      <c r="Z184" s="3">
        <f>7273.3+(688.3-2089.9)+(-7.418766+(-0.702066--2.131698))+0-0-0</f>
        <v>5865.7108659999994</v>
      </c>
      <c r="AA184" s="3">
        <f>6724+(750.3-1769.3)+(-17.1462+(-1.913265--4.511715))+0-0-0</f>
        <v>5690.4522500000003</v>
      </c>
      <c r="AB184" s="3">
        <f>6351.3+(587.2-1526.5)+(-16.195815+(-1.49736--3.892575))+0-0-0</f>
        <v>5398.1994000000004</v>
      </c>
      <c r="AC184" s="3">
        <f>6116.9+(627.8-1699)+(-3.119619+(-0.320178--0.86649))+0-0-0</f>
        <v>5043.1266930000002</v>
      </c>
      <c r="AD184">
        <v>5817.4</v>
      </c>
      <c r="AE184" s="3">
        <f>7264+(699.8-2146.4)+(0+(0-0))+0-0-0</f>
        <v>5817.4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5810.4+(660.3-1887.3)+(-20.743128+(-2.357271--6.737661))+0-0-0</f>
        <v>4567.0372619999998</v>
      </c>
      <c r="G185" s="3">
        <f>5548.4+(525.4-1855.7)+(-22.637472+(-2.143632--7.571256))+0-0-0</f>
        <v>4200.890151999999</v>
      </c>
      <c r="H185" s="3">
        <f>5505.4+(441.9-1993.8)+(-16.846524+(-1.352214--6.101028))+0-0-0</f>
        <v>3941.4022899999995</v>
      </c>
      <c r="I185" s="3">
        <f>5440.3+(182.7-1788.3)+(2.774553+(0.093177-0.912033))+0-0-0</f>
        <v>3836.6556970000001</v>
      </c>
      <c r="J185" s="3">
        <f>5159.5+(186.2-1550)+(2.631345+(0.094962-0.7905))+0-0-0</f>
        <v>3797.6358069999997</v>
      </c>
      <c r="K185" s="3">
        <f>4967.4+(233.7-1337.6)+(5.066748+(0.238374-1.364352))+0-0-0</f>
        <v>3867.4407700000002</v>
      </c>
      <c r="L185" s="3">
        <f>4914.3+(191.5-1141.7)+(-10.025172+(-0.39066--2.329068))+0-0-0</f>
        <v>3956.0132360000002</v>
      </c>
      <c r="M185" s="3">
        <f>4924.4+(227.2-884)+(5.022888+(0.231744-0.90168))+0-0-0</f>
        <v>4271.9529519999996</v>
      </c>
      <c r="N185" s="3">
        <f>5626.1+(507.4-1202.4)+(-11.477244+(-1.035096--2.452896))+0-0-0</f>
        <v>4921.0405559999999</v>
      </c>
      <c r="O185" s="3">
        <f>6116.9+(616.5-1226.9)+(-3.119619+(-0.314415--0.625719))+0-0-0</f>
        <v>5503.6916849999998</v>
      </c>
      <c r="P185" s="3">
        <f>6074.9+(770.4-1106.2)+(-6.196398+(-0.785808--1.128324))+0-0-0</f>
        <v>5733.2461179999991</v>
      </c>
      <c r="Q185" s="3">
        <f>6187.6+(1086.5-1263.1)+(6.311352+(1.10823-1.288362))+0-0-0</f>
        <v>6017.1312200000002</v>
      </c>
      <c r="R185" s="3">
        <f>6180.9+(1210.4-1304.7)+(-6.304518+(-1.234608--1.330794))+0-0-0</f>
        <v>6080.3916679999993</v>
      </c>
      <c r="S185" s="3">
        <f>6153.2+(1357.2-1627.2)+(-6.276264+(-1.384344--1.659744))+0-0-0</f>
        <v>5877.1991360000002</v>
      </c>
      <c r="T185" s="3">
        <f>6158.9+(1454.5-1608.9)+(-6.282078+(-1.48359--1.641078))+0-0-0</f>
        <v>5998.3754099999996</v>
      </c>
      <c r="U185" s="3">
        <f>6185+(1378.5-1621.4)+(-12.6174+(-2.81214--3.307656))+0-0-0</f>
        <v>5929.9781160000002</v>
      </c>
      <c r="V185" s="3">
        <f>6189.1+(1334.3-1663.3)+(-12.625764+(-2.721972--3.393132))+0-0-0</f>
        <v>5848.1453960000008</v>
      </c>
      <c r="W185" s="3">
        <f>6197.1+(1143.6-1556.9)+(-15.802605+(-2.91618--3.970095))+0-0-0</f>
        <v>5769.0513099999998</v>
      </c>
      <c r="X185" s="3">
        <f>6230.6+(951.1-1470.4)+(-9.532818+(-1.455183--2.249712))+0-0-0</f>
        <v>5702.5617110000003</v>
      </c>
      <c r="Y185" s="3">
        <f>6368.4+(1018.3-1593.9)+(-12.991536+(-2.077332--3.251556))+0-0-0</f>
        <v>5780.9826879999991</v>
      </c>
      <c r="Z185" s="3">
        <f>6565.3+(868.2-1637.5)+(-13.393212+(-1.771128--3.3405))+0-0-0</f>
        <v>5784.17616</v>
      </c>
      <c r="AA185" s="3">
        <f>6247.6+(641.1-1392.5)+(-25.490208+(-2.615688--5.6814))+0-0-0</f>
        <v>5473.7755040000011</v>
      </c>
      <c r="AB185" s="3">
        <f>6012.7+(627.3-1459.1)+(-15.332385+(-1.599615--3.720705))+0-0-0</f>
        <v>5167.6887049999996</v>
      </c>
      <c r="AC185" s="3">
        <f>5787.4+(507.5-1374.2)+(-5.903148+(-0.51765--1.401684))+0-0-0</f>
        <v>4915.6808860000001</v>
      </c>
      <c r="AD185">
        <v>5678.2000000000007</v>
      </c>
      <c r="AE185" s="3">
        <f>6596+(920.6-1838.4)+(0+(0-0))+0-0-0</f>
        <v>5678.2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5626.2+(485.2-1943.6)+(-5.738724+(-0.494904--1.982472))+0-0-0</f>
        <v>4163.5488439999999</v>
      </c>
      <c r="G186" s="3">
        <f>5337.7+(503.7-1885.7)+(8.166681+(0.770661-2.885121))+0-0-0</f>
        <v>3961.7522209999997</v>
      </c>
      <c r="H186" s="3">
        <f>5277.9+(488.2-1955.8)+(8.075187+(0.746946-2.992374))+0-0-0</f>
        <v>3816.1297589999999</v>
      </c>
      <c r="I186" s="3">
        <f>5232.7+(382.3-1866.5)+(5.337354+(0.389946-1.90383))+0-0-0</f>
        <v>3752.3234699999998</v>
      </c>
      <c r="J186" s="3">
        <f>5210.4+(428.2-1943.2)+(13.28652+(1.09191-4.95516))+0-0-0</f>
        <v>3704.8232699999994</v>
      </c>
      <c r="K186" s="3">
        <f>5119.8+(391.5-1798.7)+(-13.05549+(-0.998325--4.586685))+0-0-0</f>
        <v>3703.1328700000004</v>
      </c>
      <c r="L186" s="3">
        <f>5129.5+(289.3-1691.4)+(2.616045+(0.147543-0.862614))+0-0-0</f>
        <v>3729.3009739999998</v>
      </c>
      <c r="M186" s="3">
        <f>5665.3+(385-1773.3)+(-2.889303+(-0.19635--0.904383))+0-0-0</f>
        <v>4274.81873</v>
      </c>
      <c r="N186" s="3">
        <f>5921.2+(753-1750.6)+(-6.039624+(-0.76806--1.785612))+0-0-0</f>
        <v>4918.5779280000006</v>
      </c>
      <c r="O186" s="3">
        <f>6134.2+(987.4-1825.5)+(0+(0-0))+0-0-0</f>
        <v>5296.0999999999995</v>
      </c>
      <c r="P186" s="3">
        <f>6151.1+(1016-1599.2)+(-3.137061+(-0.51816--0.815592))+0-0-0</f>
        <v>5565.0603710000005</v>
      </c>
      <c r="Q186" s="3">
        <f>6173.8+(950.3-1402.7)+(-12.594552+(-1.938612--2.861508))+0-0-0</f>
        <v>5709.7283439999992</v>
      </c>
      <c r="R186" s="3">
        <f>6307.1+(1026-1716)+(-16.083105+(-2.6163--4.3758))+0-0-0</f>
        <v>5602.7763950000008</v>
      </c>
      <c r="S186" s="3">
        <f>6234.1+(1214.2-1939.3)+(-12.717564+(-2.476968--3.956172))+0-0-0</f>
        <v>5497.7616399999997</v>
      </c>
      <c r="T186" s="3">
        <f>6259.5+(1286.3-2145.6)+(0+(0-0))+0-0-0</f>
        <v>5400.2</v>
      </c>
      <c r="U186" s="3">
        <f>6188.4+(1088.2-2014.5)+(-12.624336+(-2.219928--4.10958))+0-0-0</f>
        <v>5251.3653159999994</v>
      </c>
      <c r="V186" s="3">
        <f>6247.7+(894-1967.5)+(-15.931635+(-2.2797--5.017125))+0-0-0</f>
        <v>5161.0057900000002</v>
      </c>
      <c r="W186" s="3">
        <f>6214.7+(729.4-1759.1)+(-6.338994+(-0.743988--1.794282))+0-0-0</f>
        <v>5179.7112999999999</v>
      </c>
      <c r="X186" s="3">
        <f>6432.7+(611.7-1644.8)+(-13.122708+(-1.247868--3.355392))+0-0-0</f>
        <v>5388.5848160000005</v>
      </c>
      <c r="Y186" s="3">
        <f>6621+(768.2-1894.7)+(-20.26026+(-2.350692--5.797782))+0-0-0</f>
        <v>5477.6868299999996</v>
      </c>
      <c r="Z186" s="3">
        <f>6401.7+(759.8-1786.2)+(-16.324335+(-1.93749--4.55481))+0-0-0</f>
        <v>5361.5929849999993</v>
      </c>
      <c r="AA186" s="3">
        <f>6203.2+(748.7-1779.5)+(-12.654528+(-1.527348--3.63018))+0-0-0</f>
        <v>5161.8483039999992</v>
      </c>
      <c r="AB186" s="3">
        <f>6199+(637.7-1930.1)+(-9.48447+(-0.975681--2.953053))+0-0-0</f>
        <v>4899.0929020000003</v>
      </c>
      <c r="AC186" s="3">
        <f>6167.4+(425.1-1948)+(-15.72687+(-1.084005--4.9674))+0-0-0</f>
        <v>4632.6565250000003</v>
      </c>
      <c r="AD186">
        <v>5384.6</v>
      </c>
      <c r="AE186" s="3">
        <f>6558+(752.2-1925.6)+(0+(0-0))+0-0-0</f>
        <v>5384.6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5927.3+(416.2-2196.8)+(-6.045846+(-0.424524--2.240736))+0-0-0</f>
        <v>4142.4703659999996</v>
      </c>
      <c r="G187" s="3">
        <f>5775+(447-2306)+(2.94525+(0.22797-1.17606))+0-0-0</f>
        <v>3917.9971599999999</v>
      </c>
      <c r="H187" s="3">
        <f>5519.9+(359.7-2042.4)+(5.630298+(0.366894-2.083248))+0-0-0</f>
        <v>3841.1139439999997</v>
      </c>
      <c r="I187" s="3">
        <f>5342.1+(215.4-1829.2)+(0+(0-0))+0-0-0</f>
        <v>3728.3</v>
      </c>
      <c r="J187" s="3">
        <f>5090.4+(141.9-1555.1)+(-7.788312+(-0.217107--2.379303))+0-0-0</f>
        <v>3671.5738839999999</v>
      </c>
      <c r="K187" s="3">
        <f>4907.9+(133.2-1472.7)+(-15.018174+(-0.407592--4.506462))+0-0-0</f>
        <v>3557.4806959999996</v>
      </c>
      <c r="L187" s="3">
        <f>4733.5+(185.7-1613.8)+(2.414085+(0.094707-0.823038))+0-0-0</f>
        <v>3307.0857540000002</v>
      </c>
      <c r="M187" s="3">
        <f>4799.8+(188.7-1530.5)+(9.791592+(0.384948-3.12222))+0-0-0</f>
        <v>3465.0543200000002</v>
      </c>
      <c r="N187" s="3">
        <f>5078.7+(327.1-1666.1)+(0+(0-0))+0-0-0</f>
        <v>3739.7</v>
      </c>
      <c r="O187" s="3">
        <f>5622.4+(324.8-1963.9)+(5.734848+(0.331296-2.003178))+0-0-0</f>
        <v>3987.3629659999992</v>
      </c>
      <c r="P187" s="3">
        <f>5934+(248.3-1925.9)+(0+(0-0))+0-0-0</f>
        <v>4256.3999999999996</v>
      </c>
      <c r="Q187" s="3">
        <f>5936+(270.9-1727.4)+(-6.05472+(-0.276318--1.761948))+0-0-0</f>
        <v>4474.93091</v>
      </c>
      <c r="R187" s="3">
        <f>5938.1+(344.3-1861.6)+(3.028431+(0.175593-0.949416))+0-0-0</f>
        <v>4423.0546080000004</v>
      </c>
      <c r="S187" s="3">
        <f>5929+(373.6-1906)+(-6.04758+(-0.381072--1.94412))+0-0-0</f>
        <v>4392.115468</v>
      </c>
      <c r="T187" s="3">
        <f>5915.8+(335.9-1809.4)+(-9.051174+(-0.513927--2.768382))+0-0-0</f>
        <v>4435.5032810000002</v>
      </c>
      <c r="U187" s="3">
        <f>5877.3+(313.8-1780)+(-11.989692+(-0.640152--3.6312))+0-0-0</f>
        <v>4402.1013560000001</v>
      </c>
      <c r="V187" s="3">
        <f>5633.9+(262.2-1647.4)+(-8.619867+(-0.401166--2.520522))+0-0-0</f>
        <v>4242.1994889999996</v>
      </c>
      <c r="W187" s="3">
        <f>5629.3+(146.4-1426.3)+(0+(0-0))+0-0-0</f>
        <v>4349.4000000000005</v>
      </c>
      <c r="X187" s="3">
        <f>5839.9+(251.7-1367.1)+(0+(0-0))+0-0-0</f>
        <v>4724.5</v>
      </c>
      <c r="Y187" s="3">
        <f>6027.9+(314-1625.2)+(-3.074229+(-0.16014--0.828852))+0-0-0</f>
        <v>4714.2944829999997</v>
      </c>
      <c r="Z187" s="3">
        <f>5957.8+(364.9-1693.2)+(-9.115434+(-0.558297--2.590596))+0-0-0</f>
        <v>4622.4168650000001</v>
      </c>
      <c r="AA187" s="3">
        <f>5878.3+(411.9-1780.2)+(-5.995866+(-0.420138--1.815804))+0-0-0</f>
        <v>4505.3998000000001</v>
      </c>
      <c r="AB187" s="3">
        <f>5912.3+(361-1862.6)+(3.015273+(0.18411-0.949926))+0-0-0</f>
        <v>4412.9494570000006</v>
      </c>
      <c r="AC187" s="3">
        <f>5887.6+(405.1-2087.2)+(-3.002676+(-0.206601--1.064472))+0-0-0</f>
        <v>4203.3551950000001</v>
      </c>
      <c r="AD187">
        <v>4858.2000000000007</v>
      </c>
      <c r="AE187" s="3">
        <f>6238+(329.8-1709.6)+(0+(0-0))+0-0-0</f>
        <v>4858.2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5951.1+(369.8-2392.6)+(0+(0-0))+0-0-0</f>
        <v>3928.3</v>
      </c>
      <c r="G188" s="3">
        <f>5672.9+(268.7-2248.5)+(2.893179+(0.137037-1.146735))+0-0-0</f>
        <v>3694.9834809999993</v>
      </c>
      <c r="H188" s="3">
        <f>5463.6+(172.3-2061.3)+(5.572872+(0.175746-2.102526))+0-0-0</f>
        <v>3578.2460920000003</v>
      </c>
      <c r="I188" s="3">
        <f>5304.1+(103.7-2001.8)+(2.705091+(0.052887-1.020918))+0-0-0</f>
        <v>3407.7370600000004</v>
      </c>
      <c r="J188" s="3">
        <f>5257.5+(41.5-1905.2)+(-5.36265+(-0.04233--1.943304))+0-0-0</f>
        <v>3390.3383240000003</v>
      </c>
      <c r="K188" s="3">
        <f>5126.3+(49.1-1842.1)+(-13.072065+(-0.125205--4.697355))+0-0-0</f>
        <v>3324.8000850000003</v>
      </c>
      <c r="L188" s="3">
        <f>5013.6+(39.6-1833)+(0+(0-0))+0-0-0</f>
        <v>3220.2000000000003</v>
      </c>
      <c r="M188" s="3">
        <f>5244.2+(60-1902.3)+(0+(0-0))+0-0-0</f>
        <v>3401.8999999999996</v>
      </c>
      <c r="N188" s="3">
        <f>5768.9+(126.5-2107.7)+(-2.942139+(-0.064515--1.074927))+0-0-0</f>
        <v>3785.7682729999997</v>
      </c>
      <c r="O188" s="3">
        <f>5830.9+(378.9-1692.8)+(0+(0-0))+0-0-0</f>
        <v>4517</v>
      </c>
      <c r="P188" s="3">
        <f>6024.9+(295.9-1848.9)+(3.072699+(0.150909-0.942939))+0-0-0</f>
        <v>4474.1806689999994</v>
      </c>
      <c r="Q188" s="3">
        <f>6385.5+(397.1-2060.7)+(-9.769815+(-0.607563--3.152871))+0-0-0</f>
        <v>4714.6754929999997</v>
      </c>
      <c r="R188" s="3">
        <f>6476.8+(553.4-2201.4)+(0+(0-0))+0-0-0</f>
        <v>4828.8</v>
      </c>
      <c r="S188" s="3">
        <f>6440.4+(773.3-2464.9)+(3.284604+(0.394383-1.257099))+0-0-0</f>
        <v>4751.2218879999991</v>
      </c>
      <c r="T188" s="3">
        <f>6442.4+(791.6-2518.7)+(0+(0-0))+0-0-0</f>
        <v>4715.2999999999993</v>
      </c>
      <c r="U188" s="3">
        <f>6454.7+(772-2566.4)+(-6.583794+(-0.78744--2.617728))+0-0-0</f>
        <v>4655.5464939999993</v>
      </c>
      <c r="V188" s="3">
        <f>6384.4+(429.6-2176.2)+(-9.768132+(-0.657288--3.329586))+0-0-0</f>
        <v>4630.7041659999995</v>
      </c>
      <c r="W188" s="3">
        <f>6370.6+(204.6-1818.8)+(-6.498012+(-0.208692--1.855176))+0-0-0</f>
        <v>4751.5484720000004</v>
      </c>
      <c r="X188" s="3">
        <f>6549.5+(143.8-1493.8)+(0+(0-0))+0-0-0</f>
        <v>5199.5</v>
      </c>
      <c r="Y188" s="3">
        <f>6681.8+(159.8-1543.3)+(-3.407718+(-0.081498--0.787083))+0-0-0</f>
        <v>5295.5978670000004</v>
      </c>
      <c r="Z188" s="3">
        <f>6604.9+(208.5-1556.7)+(-13.473996+(-0.42534--3.175668))+0-0-0</f>
        <v>5245.9763320000002</v>
      </c>
      <c r="AA188" s="3">
        <f>6472.4+(304.2-1639.7)+(3.300924+(0.155142-0.836247))+0-0-0</f>
        <v>5139.5198189999992</v>
      </c>
      <c r="AB188" s="3">
        <f>6443.4+(454.1-2010.3)+(-9.858402+(-0.694773--3.075759))+0-0-0</f>
        <v>4879.7225840000001</v>
      </c>
      <c r="AC188" s="3">
        <f>6355.1+(482.2-2401)+(-3.241101+(-0.245922--1.22451))+0-0-0</f>
        <v>4434.0374870000005</v>
      </c>
      <c r="AD188">
        <v>5317.2</v>
      </c>
      <c r="AE188" s="3">
        <f>6659+(189.2-1531)+(0+(0-0))+0-0-0</f>
        <v>5317.2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5892.6+(306-2059.4)+(-3.005226+(-0.15606--1.050294))+0-0-0</f>
        <v>4137.0890080000008</v>
      </c>
      <c r="G189" s="3">
        <f>5672.4+(168.8-1966.1)+(-8.678772+(-0.258264--3.008133))+0-0-0</f>
        <v>3869.1710969999995</v>
      </c>
      <c r="H189" s="3">
        <f>5415.5+(200.1-1878.4)+(2.761905+(0.102051-0.957984))+0-0-0</f>
        <v>3739.1059719999998</v>
      </c>
      <c r="I189" s="3">
        <f>5324.5+(198.4-1871.1)+(-2.715495+(-0.101184--0.954261))+0-0-0</f>
        <v>3649.937582</v>
      </c>
      <c r="J189" s="3">
        <f>5218.8+(171-1742.2)+(-2.661588+(-0.08721--0.888522))+0-0-0</f>
        <v>3645.7397240000005</v>
      </c>
      <c r="K189" s="3">
        <f>5148.2+(170.2-1641.1)+(-10.502328+(-0.347208--3.347844))+0-0-0</f>
        <v>3669.7983080000004</v>
      </c>
      <c r="L189" s="3">
        <f>4985.3+(148.5-1310.2)+(-5.085006+(-0.15147--1.336404))+0-0-0</f>
        <v>3819.6999280000005</v>
      </c>
      <c r="M189" s="3">
        <f>5452.1+(144.7-1203.1)+(5.561142+(0.147594-1.227162))+0-0-0</f>
        <v>4398.1815740000011</v>
      </c>
      <c r="N189" s="3">
        <f>6191.7+(389.7-1491.1)+(0+(0-0))+0-0-0</f>
        <v>5090.3</v>
      </c>
      <c r="O189" s="3">
        <f>6420.2+(611.9-1359.2)+(3.274302+(0.312069-0.693192))+0-0-0</f>
        <v>5675.7931789999993</v>
      </c>
      <c r="P189" s="3">
        <f>6635.5+(628.1-1438.8)+(-3.384105+(-0.320331--0.733788))+0-0-0</f>
        <v>5821.8293519999997</v>
      </c>
      <c r="Q189" s="3">
        <f>6953.7+(617.7-1563.1)+(3.546387+(0.315027-0.797181))+0-0-0</f>
        <v>6011.3642330000002</v>
      </c>
      <c r="R189" s="3">
        <f>7036+(759.3-1876.9)+(-7.17672+(-0.774486--1.914438))+0-0-0</f>
        <v>5912.3632319999997</v>
      </c>
      <c r="S189" s="3">
        <f>6995.3+(881.2-2002.4)+(7.135206+(0.898824-2.042448))+0-0-0</f>
        <v>5880.091582</v>
      </c>
      <c r="T189" s="3">
        <f>7258.9+(1001.2-2253.5)+(-3.702039+(-0.510612--1.149285))+0-0-0</f>
        <v>6003.5366339999991</v>
      </c>
      <c r="U189" s="3">
        <f>7176.7+(1011.1-2245.5)+(-14.640468+(-2.062644--4.58082))+0-0-0</f>
        <v>5930.1777079999993</v>
      </c>
      <c r="V189" s="3">
        <f>7012.7+(979.1-2102.5)+(-7.152954+(-0.998682--2.14455))+0-0-0</f>
        <v>5883.2929139999997</v>
      </c>
      <c r="W189" s="3">
        <f>6930.5+(539.5-1637)+(3.534555+(0.275145-0.83487))+0-0-0</f>
        <v>5835.9748300000001</v>
      </c>
      <c r="X189" s="3">
        <f>7301.2+(549.6-1802.2)+(-3.723612+(-0.280296--0.919122))+0-0-0</f>
        <v>6045.515214</v>
      </c>
      <c r="Y189" s="3">
        <f>7452.1+(563-1994)+(-19.002855+(-1.43565--5.0847))+0-0-0</f>
        <v>6005.7461950000006</v>
      </c>
      <c r="Z189" s="3">
        <f>7303.7+(485.1-1948.7)+(-7.449774+(-0.494802--1.987674))+0-0-0</f>
        <v>5834.1430980000005</v>
      </c>
      <c r="AA189" s="3">
        <f>6981.6+(555.6-2025.3)+(-3.560616+(-0.283356--1.032903))+0-0-0</f>
        <v>5509.0889310000002</v>
      </c>
      <c r="AB189" s="3">
        <f>6535.5+(563.1-1921.1)+(-9.999315+(-0.861543--2.939283))+0-0-0</f>
        <v>5169.5784249999997</v>
      </c>
      <c r="AC189" s="3">
        <f>5926.3+(408.2-1584)+(-15.112065+(-1.04091--4.0392))+0-0-0</f>
        <v>4738.3862250000002</v>
      </c>
      <c r="AD189">
        <v>6059.5</v>
      </c>
      <c r="AE189" s="3">
        <f>7501+(547.7-1989.2)+(0+(0-0))+0-0-0</f>
        <v>6059.5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5874+(278.4-1847.3)+(-14.9787+(-0.70992--4.710615))+0-0-0</f>
        <v>4294.1219950000004</v>
      </c>
      <c r="G190" s="3">
        <f>5500.7+(265.5-1756.9)+(11.221428+(0.54162-3.584076))+0-0-0</f>
        <v>4017.4789719999999</v>
      </c>
      <c r="H190" s="3">
        <f>5369.8+(228.3-1782.8)+(-5.477196+(-0.232866--1.818456))+0-0-0</f>
        <v>3811.408394</v>
      </c>
      <c r="I190" s="3">
        <f>5149.3+(167.7-1583)+(-5.252286+(-0.171054--1.61466))+0-0-0</f>
        <v>3730.1913199999999</v>
      </c>
      <c r="J190" s="3">
        <f>5096.6+(112-1523)+(-5.198532+(-0.11424--1.55346))+0-0-0</f>
        <v>3681.8406880000002</v>
      </c>
      <c r="K190" s="3">
        <f>5041.8+(114.7-1448.3)+(-12.85659+(-0.292485--3.693165))+0-0-0</f>
        <v>3698.7440900000001</v>
      </c>
      <c r="L190" s="3">
        <f>5044.3+(74.1-1294.2)+(-7.717779+(-0.113373--1.980126))+0-0-0</f>
        <v>3818.348974</v>
      </c>
      <c r="M190" s="3">
        <f>5099.2+(291.2-1041.3)+(2.600592+(0.148512-0.531063))+0-0-0</f>
        <v>4351.3180410000004</v>
      </c>
      <c r="N190" s="3">
        <f>5765.3+(572.6-1257.8)+(0+(0-0))+0-0-0</f>
        <v>5080.1000000000004</v>
      </c>
      <c r="O190" s="3">
        <f>6166.1+(685.9-1303)+(3.144711+(0.349809-0.66453))+0-0-0</f>
        <v>5551.8299900000002</v>
      </c>
      <c r="P190" s="3">
        <f>6524.6+(874.1-1501.9)+(6.655092+(0.891582-1.531938))+0-0-0</f>
        <v>5902.8147360000003</v>
      </c>
      <c r="Q190" s="3">
        <f>6752.6+(993.9-1716.7)+(0+(0-0))+0-0-0</f>
        <v>6029.8</v>
      </c>
      <c r="R190" s="3">
        <f>6935.4+(1233.7-2116.1)+(-10.611162+(-1.887561--3.237633))+0-0-0</f>
        <v>6043.73891</v>
      </c>
      <c r="S190" s="3">
        <f>6890.4+(1350.8-2258.3)+(-14.056416+(-2.755632--4.606932))+0-0-0</f>
        <v>5970.6948839999995</v>
      </c>
      <c r="T190" s="3">
        <f>6872.5+(1430.3-2215.7)+(-17.524875+(-3.647265--5.650035))+0-0-0</f>
        <v>6071.5778950000004</v>
      </c>
      <c r="U190" s="3">
        <f>6788.8+(1343.5-2090.2)+(-24.236016+(-4.796295--7.462014))+0-0-0</f>
        <v>6020.5297030000002</v>
      </c>
      <c r="V190" s="3">
        <f>6412.4+(1154.6-1609.2)+(-22.892268+(-4.121922--5.744844))+0-0-0</f>
        <v>5936.5306539999992</v>
      </c>
      <c r="W190" s="3">
        <f>6075.1+(866.5-806.8)+(-12.393204+(-1.76766--1.645872))+0-0-0</f>
        <v>6122.2850079999998</v>
      </c>
      <c r="X190" s="3">
        <f>6362.4+(831.5-1113.9)+(-12.979296+(-1.69626--2.272356))+0-0-0</f>
        <v>6067.5968000000003</v>
      </c>
      <c r="Y190" s="3">
        <f>7069.3+(847.8-1887.9)+(-14.421372+(-1.729512--3.851316))+0-0-0</f>
        <v>6016.9004319999995</v>
      </c>
      <c r="Z190" s="3">
        <f>6554.6+(413.4-1130.2)+(0+(0-0))+0-0-0</f>
        <v>5837.8</v>
      </c>
      <c r="AA190" s="3">
        <f>6373.5+(550.7-1434)+(-16.252425+(-1.404285--3.6567))+0-0-0</f>
        <v>5476.1999900000001</v>
      </c>
      <c r="AB190" s="3">
        <f>6164+(322.8-1343.2)+(-15.7182+(-0.82314--3.42516))+0-0-0</f>
        <v>5130.4838200000004</v>
      </c>
      <c r="AC190" s="3">
        <f>5923.2+(319.8-1548.8)+(-15.10416+(-0.81549--3.94944))+0-0-0</f>
        <v>4682.2297899999994</v>
      </c>
      <c r="AD190">
        <v>5951.6</v>
      </c>
      <c r="AE190" s="3">
        <f>7130+(841.3-2019.7)+(0+(0-0))+0-0-0</f>
        <v>5951.6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5888.6+(420.6-2065.3)+(-12.012744+(-0.858024--4.213212))+0-0-0</f>
        <v>4235.2424439999995</v>
      </c>
      <c r="G191" s="3">
        <f>5747.3+(318.5-2111.5)+(0+(0-0))+0-0-0</f>
        <v>3954.3</v>
      </c>
      <c r="H191" s="3">
        <f>5482.2+(285.3-2012.5)+(0+(0-0))+0-0-0</f>
        <v>3755</v>
      </c>
      <c r="I191" s="3">
        <f>5454.2+(266-2055)+(0+(0-0))+0-0-0</f>
        <v>3665.2</v>
      </c>
      <c r="J191" s="3">
        <f>5322+(294.5-1965)+(-5.42844+(-0.30039--2.0043))+0-0-0</f>
        <v>3647.77547</v>
      </c>
      <c r="K191" s="3">
        <f>5214.8+(230.3-1761.9)+(-2.659548+(-0.117453--0.898569))+0-0-0</f>
        <v>3681.3215679999998</v>
      </c>
      <c r="L191" s="3">
        <f>5068.3+(120.6-1388.4)+(-5.169666+(-0.123012--1.416168))+0-0-0</f>
        <v>3796.6234899999999</v>
      </c>
      <c r="M191" s="3">
        <f>5439.2+(202.8-1159.2)+(8.321976+(0.310284-1.773576))+0-0-0</f>
        <v>4489.6586839999991</v>
      </c>
      <c r="N191" s="3">
        <f>5868.3+(765.4-1658.3)+(5.985666+(0.780708-1.691466))+0-0-0</f>
        <v>4980.4749080000001</v>
      </c>
      <c r="O191" s="3">
        <f>6224.9+(970.9-1716.8)+(0+(0-0))+0-0-0</f>
        <v>5479</v>
      </c>
      <c r="P191" s="3">
        <f>6445.9+(952.9-1638.2)+(-16.437045+(-2.429895--4.17741))+0-0-0</f>
        <v>5745.9104699999998</v>
      </c>
      <c r="Q191" s="3">
        <f>6522.3+(1258.1-1831.9)+(3.326373+(0.641631-0.934269))+0-0-0</f>
        <v>5951.533735</v>
      </c>
      <c r="R191" s="3">
        <f>6523.6+(1426.2-2090.4)+(6.654072+(1.454724-2.132208))+0-0-0</f>
        <v>5865.376588000001</v>
      </c>
      <c r="S191" s="3">
        <f>6527.5+(1524.1-2191.5)+(13.3161+(3.109164-4.47066))+0-0-0</f>
        <v>5872.0546039999999</v>
      </c>
      <c r="T191" s="3">
        <f>6513.8+(1579.7-2017.2)+(-9.966114+(-2.416941--3.086316))+0-0-0</f>
        <v>6067.0032609999998</v>
      </c>
      <c r="U191" s="3">
        <f>6346.9+(1508.1-1932.3)+(-16.184595+(-3.845655--4.927365))+0-0-0</f>
        <v>5907.5971149999996</v>
      </c>
      <c r="V191" s="3">
        <f>6100.3+(1205.1-1460.2)+(-15.555765+(-3.073005--3.72351))+0-0-0</f>
        <v>5830.2947399999994</v>
      </c>
      <c r="W191" s="3">
        <f>5937.6+(528-737.7)+(-9.084528+(-0.80784--1.128681))+0-0-0</f>
        <v>5719.1363130000009</v>
      </c>
      <c r="X191" s="3">
        <f>6294.1+(628.5-955.5)+(9.629973+(0.961605-1.461915))+0-0-0</f>
        <v>5976.2296630000001</v>
      </c>
      <c r="Y191" s="3">
        <f>6601.1+(858-1577.1)+(-16.832805+(-2.1879--4.021605))+0-0-0</f>
        <v>5867.0009</v>
      </c>
      <c r="Z191" s="3">
        <f>6279.2+(748.7-1385.3)+(-6.404784+(-0.763674--1.413006))+0-0-0</f>
        <v>5636.844548</v>
      </c>
      <c r="AA191" s="3">
        <f>6064.7+(652.1-1362.4)+(-9.278991+(-0.997713--2.084472))+0-0-0</f>
        <v>5346.2077679999993</v>
      </c>
      <c r="AB191" s="3">
        <f>6029.3+(642.9-1643.4)+(-12.299772+(-1.311516--3.352536))+0-0-0</f>
        <v>5018.5412480000005</v>
      </c>
      <c r="AC191" s="3">
        <f>5897.4+(542.3-1852.2)+(-15.03837+(-1.382865--4.72311))+0-0-0</f>
        <v>4575.8018750000001</v>
      </c>
      <c r="AD191">
        <v>6034</v>
      </c>
      <c r="AE191" s="3">
        <f>6613+(805.7-1384.7)+(0+(0-0))+0-0-0</f>
        <v>6034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5517.3+(578.3-1974.7)+(-11.255292+(-1.179732--4.028388))+0-0-0</f>
        <v>4112.4933639999999</v>
      </c>
      <c r="G192" s="3">
        <f>5455.7+(477.5-2087.2)+(-2.782407+(-0.243525--1.064472))+0-0-0</f>
        <v>3844.03854</v>
      </c>
      <c r="H192" s="3">
        <f>5363.6+(266.5-1938.8)+(-10.941744+(-0.54366--3.955152))+0-0-0</f>
        <v>3683.7697480000002</v>
      </c>
      <c r="I192" s="3">
        <f>5206.6+(311.6-1903.5)+(2.655366+(0.158916-0.970785))+0-0-0</f>
        <v>3616.5434970000001</v>
      </c>
      <c r="J192" s="3">
        <f>5105.7+(254.2-1755.1)+(-5.207814+(-0.259284--1.790202))+0-0-0</f>
        <v>3601.1231040000002</v>
      </c>
      <c r="K192" s="3">
        <f>4923.7+(326.2-1619.5)+(-12.555435+(-0.83181--4.129725))+0-0-0</f>
        <v>3621.1424799999995</v>
      </c>
      <c r="L192" s="3">
        <f>4966.8+(265.6-1514.3)+(-2.533068+(-0.135456--0.772293))+0-0-0</f>
        <v>3716.2037690000002</v>
      </c>
      <c r="M192" s="3">
        <f>5606+(440.7-1804.6)+(2.85906+(0.224757-0.920346))+0-0-0</f>
        <v>4244.2634710000002</v>
      </c>
      <c r="N192" s="3">
        <f>6065.4+(664.1-1829.4)+(6.186708+(0.677382-1.865988))+0-0-0</f>
        <v>4905.098101999999</v>
      </c>
      <c r="O192" s="3">
        <f>6408.1+(969.5-2023.2)+(9.804393+(1.483335-3.095496))+0-0-0</f>
        <v>5362.5922320000009</v>
      </c>
      <c r="P192" s="3">
        <f>6609.5+(1013.6-2038.8)+(0+(0-0))+0-0-0</f>
        <v>5584.3</v>
      </c>
      <c r="Q192" s="3">
        <f>6817.7+(1202.1-2254.2)+(3.477027+(0.613071-1.149642))+0-0-0</f>
        <v>5768.5404560000006</v>
      </c>
      <c r="R192" s="3">
        <f>6886.4+(1259.8-2428.9)+(-10.536192+(-1.927494--3.716217))+0-0-0</f>
        <v>5708.5525309999994</v>
      </c>
      <c r="S192" s="3">
        <f>6887+(1343.2-2580.6)+(3.51237+(0.685032-1.316106))+0-0-0</f>
        <v>5652.4812959999999</v>
      </c>
      <c r="T192" s="3">
        <f>6826.6+(1376.4-2460.1)+(-13.926264+(-2.807856--5.018604))+0-0-0</f>
        <v>5731.1844840000003</v>
      </c>
      <c r="U192" s="3">
        <f>6715.4+(1312.1-2298.6)+(-17.12427+(-3.345855--5.86143))+0-0-0</f>
        <v>5714.2913049999997</v>
      </c>
      <c r="V192" s="3">
        <f>6636.1+(1104.8-2091.6)+(-6.768822+(-1.126896--2.133432))+0-0-0</f>
        <v>5643.5377140000001</v>
      </c>
      <c r="W192" s="3">
        <f>6548.9+(676.2-1612.9)+(0+(0-0))+0-0-0</f>
        <v>5612.2</v>
      </c>
      <c r="X192" s="3">
        <f>7068.4+(690.9-1858.5)+(-7.209768+(-0.704718--1.89567))+0-0-0</f>
        <v>5894.7811839999995</v>
      </c>
      <c r="Y192" s="3">
        <f>7218.5+(932.6-2379.9)+(-11.044305+(-1.426878--3.641247))+0-0-0</f>
        <v>5762.3700639999997</v>
      </c>
      <c r="Z192" s="3">
        <f>6793.7+(785.2-2051.3)+(-10.394361+(-1.201356--3.138489))+0-0-0</f>
        <v>5519.1427719999992</v>
      </c>
      <c r="AA192" s="3">
        <f>6579.9+(744.8-2071.6)+(-6.711498+(-0.759696--2.113032))+0-0-0</f>
        <v>5247.741837999999</v>
      </c>
      <c r="AB192" s="3">
        <f>6375.9+(632.9-2089.5)+(-3.251709+(-0.322779--1.065645))+0-0-0</f>
        <v>4916.7911569999997</v>
      </c>
      <c r="AC192" s="3">
        <f>6035+(578.6-2099.4)+(-3.07785+(-0.295086--1.070694))+0-0-0</f>
        <v>4511.8977580000001</v>
      </c>
      <c r="AD192">
        <v>5766.4</v>
      </c>
      <c r="AE192" s="3">
        <f>7193+(1018.9-2445.5)+(0+(0-0))+0-0-0</f>
        <v>5766.4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5916.2+(411.3-2251.9)+(-12.069048+(-0.839052--4.593876))+0-0-0</f>
        <v>4067.2857759999993</v>
      </c>
      <c r="G193" s="3">
        <f>5575.4+(283.7-2061.8)+(-14.21727+(-0.723435--5.25759))+0-0-0</f>
        <v>3787.6168849999995</v>
      </c>
      <c r="H193" s="3">
        <f>5542.6+(294.5-2216.9)+(-5.653452+(-0.30039--2.261238))+0-0-0</f>
        <v>3616.5073960000004</v>
      </c>
      <c r="I193" s="3">
        <f>5275.1+(212.4-1927.1)+(-10.761204+(-0.433296--3.931284))+0-0-0</f>
        <v>3553.1367840000007</v>
      </c>
      <c r="J193" s="3">
        <f>4982.8+(136-1588.3)+(12.70614+(0.3468-4.050165))+0-0-0</f>
        <v>3539.5027749999999</v>
      </c>
      <c r="K193" s="3">
        <f>4986.4+(149.1-1602.6)+(-5.086128+(-0.152082--1.634652))+0-0-0</f>
        <v>3529.2964419999998</v>
      </c>
      <c r="L193" s="3">
        <f>5125.9+(231-1824.3)+(10.456836+(0.47124-3.721572))+0-0-0</f>
        <v>3539.8065039999997</v>
      </c>
      <c r="M193" s="3">
        <f>5423.8+(210.9-1658.7)+(8.298414+(0.322677-2.537811))+0-0-0</f>
        <v>3982.0832799999998</v>
      </c>
      <c r="N193" s="3">
        <f>5981.7+(668.9-2036.4)+(-6.101334+(-0.682278--2.077128))+0-0-0</f>
        <v>4609.4935159999995</v>
      </c>
      <c r="O193" s="3">
        <f>6279.9+(860.8-2017.2)+(3.202749+(0.439008-1.028772))+0-0-0</f>
        <v>5126.1129849999998</v>
      </c>
      <c r="P193" s="3">
        <f>6488.1+(1029-2125.2)+(6.617862+(1.04958-2.167704))+0-0-0</f>
        <v>5397.399738000001</v>
      </c>
      <c r="Q193" s="3">
        <f>6662+(1237.8-2371.5)+(0+(0-0))+0-0-0</f>
        <v>5528.3</v>
      </c>
      <c r="R193" s="3">
        <f>6537+(1221.6-2305.8)+(-16.66935+(-3.11508--5.87979))+0-0-0</f>
        <v>5438.8953599999995</v>
      </c>
      <c r="S193" s="3">
        <f>6296.2+(1228.3-2237.7)+(-12.844248+(-2.505732--4.564908))+0-0-0</f>
        <v>5276.0149280000005</v>
      </c>
      <c r="T193" s="3">
        <f>6274.6+(1146.2-2177.2)+(-16.00023+(-2.92281--5.55186))+0-0-0</f>
        <v>5230.2288200000003</v>
      </c>
      <c r="U193" s="3">
        <f>6259.4+(1026.8-2209.6)+(-12.769176+(-2.094672--4.507584))+0-0-0</f>
        <v>5066.2437359999994</v>
      </c>
      <c r="V193" s="3">
        <f>6076+(826.1-1915.1)+(-12.39504+(-1.685244--3.906804))+0-0-0</f>
        <v>4976.8265199999996</v>
      </c>
      <c r="W193" s="3">
        <f>6121.2+(604.2-1711.8)+(-6.243624+(-0.616284--1.746036))+0-0-0</f>
        <v>5008.4861280000005</v>
      </c>
      <c r="X193" s="3">
        <f>6629.4+(844.6-2079.7)+(6.761988+(0.861492-2.121294))+0-0-0</f>
        <v>5399.802185999999</v>
      </c>
      <c r="Y193" s="3">
        <f>6936.8+(883.3-2426)+(-10.613304+(-1.351449--3.71178))+0-0-0</f>
        <v>5385.8470270000007</v>
      </c>
      <c r="Z193" s="3">
        <f>6789.2+(798.1-2341.3)+(-10.387476+(-1.221093--3.582189))+0-0-0</f>
        <v>5237.9736199999998</v>
      </c>
      <c r="AA193" s="3">
        <f>6642.4+(712.4-2331.2)+(-10.162872+(-1.089972--3.566736))+0-0-0</f>
        <v>5015.9138920000005</v>
      </c>
      <c r="AB193" s="3">
        <f>6260.6+(514.8-1975.8)+(-3.192906+(-0.262548--1.007658))+0-0-0</f>
        <v>4797.152204</v>
      </c>
      <c r="AC193" s="3">
        <f>6017.8+(512.9-2081.1)+(-6.138156+(-0.523158--2.122722))+0-0-0</f>
        <v>4445.0614080000005</v>
      </c>
      <c r="AD193">
        <v>5363.7</v>
      </c>
      <c r="AE193" s="3">
        <f>6937+(944.9-2518.2)+(0+(0-0))+0-0-0</f>
        <v>5363.7000000000007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5935.2+(495-2315.3)+(6.053904+(0.5049-2.361606))+0-0-0</f>
        <v>4119.0971979999995</v>
      </c>
      <c r="G194" s="3">
        <f>5691.1+(468.2-2326.8)+(2.902461+(0.238782-1.186668))+0-0-0</f>
        <v>3834.4545750000002</v>
      </c>
      <c r="H194" s="3">
        <f>5446+(265.2-2082.8)+(5.55492+(0.270504-2.124456))+0-0-0</f>
        <v>3632.1009679999997</v>
      </c>
      <c r="I194" s="3">
        <f>5348.9+(208.3-2043.9)+(-2.727939+(-0.106233--1.042389))+0-0-0</f>
        <v>3511.5082169999991</v>
      </c>
      <c r="J194" s="3">
        <f>5211.1+(50.4-1782.4)+(2.657661+(0.025704-0.909024))+0-0-0</f>
        <v>3480.8743410000002</v>
      </c>
      <c r="K194" s="3">
        <f>4962.3+(61.1-1676.5)+(-12.653865+(-0.155805--4.275075))+0-0-0</f>
        <v>3338.365405</v>
      </c>
      <c r="L194" s="3">
        <f>4750.4+(107.2-1632.8)+(4.845408+(0.109344-1.665456))+0-0-0</f>
        <v>3228.0892959999996</v>
      </c>
      <c r="M194" s="3">
        <f>4848.8+(176.8-1844.3)+(0+(0-0))+0-0-0</f>
        <v>3181.3</v>
      </c>
      <c r="N194" s="3">
        <f>4993.4+(396.9-1974.2)+(-7.639902+(-0.607257--3.020526))+0-0-0</f>
        <v>3410.8733669999992</v>
      </c>
      <c r="O194" s="3">
        <f>5342.3+(456.7-1938.8)+(8.173719+(0.698751-2.966364))+0-0-0</f>
        <v>3866.1061060000002</v>
      </c>
      <c r="P194" s="3">
        <f>5696.6+(442.9-1928.7)+(-5.810532+(-0.451758--1.967274))+0-0-0</f>
        <v>4206.5049840000001</v>
      </c>
      <c r="Q194" s="3">
        <f>5834.6+(693.9-2140.4)+(0+(0-0))+0-0-0</f>
        <v>4388.1000000000004</v>
      </c>
      <c r="R194" s="3">
        <f>5891.2+(825.2-2314.4)+(0+(0-0))+0-0-0</f>
        <v>4402</v>
      </c>
      <c r="S194" s="3">
        <f>5859.6+(846.7-2354.7)+(-5.976792+(-0.863634--2.401794))+0-0-0</f>
        <v>4347.161368</v>
      </c>
      <c r="T194" s="3">
        <f>5835.5+(863.1-2430.3)+(-11.90442+(-1.760724--4.957812))+0-0-0</f>
        <v>4259.5926679999993</v>
      </c>
      <c r="U194" s="3">
        <f>5673.3+(641.9-2130.8)+(-17.360298+(-1.964214--6.520248))+0-0-0</f>
        <v>4171.5957359999993</v>
      </c>
      <c r="V194" s="3">
        <f>5398.7+(273.4-1453.8)+(-11.013348+(-0.557736--2.965752))+0-0-0</f>
        <v>4209.6946679999992</v>
      </c>
      <c r="W194" s="3">
        <f>5395.5+(169.7-1176.2)+(5.50341+(0.173094-1.199724))+0-0-0</f>
        <v>4393.47678</v>
      </c>
      <c r="X194" s="3">
        <f>5965.5+(413-1498.1)+(3.042405+(0.21063-0.764031))+0-0-0</f>
        <v>4882.8890039999997</v>
      </c>
      <c r="Y194" s="3">
        <f>6139.3+(494.2-1667.9)+(-6.262086+(-0.504084--1.701258))+0-0-0</f>
        <v>4960.5350880000005</v>
      </c>
      <c r="Z194" s="3">
        <f>6162.9+(585.8-1855)+(-6.286158+(-0.597516--1.8921))+0-0-0</f>
        <v>4888.7084260000001</v>
      </c>
      <c r="AA194" s="3">
        <f>6102+(693.6-2098.4)+(-3.11202+(-0.353736--1.070184))+0-0-0</f>
        <v>4694.8044279999995</v>
      </c>
      <c r="AB194" s="3">
        <f>5913.5+(742.4-2116.8)+(-9.047655+(-1.135872--3.238704))+0-0-0</f>
        <v>4532.1551770000005</v>
      </c>
      <c r="AC194" s="3">
        <f>5821.6+(776-2407.2)+(-8.907048+(-1.18728--3.683016))+0-0-0</f>
        <v>4183.9886880000004</v>
      </c>
      <c r="AD194">
        <v>4883.8</v>
      </c>
      <c r="AE194" s="3">
        <f>6228+(579.5-1880.7)+(0+(0-0))+0-0-0</f>
        <v>4926.8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5304.5+(614.5-2129.1)+(-24.347655+(-2.820555--9.772569))+0-0-0</f>
        <v>3772.504359</v>
      </c>
      <c r="G195" s="3">
        <f>5031.9+(573.1-2097.3)+(-5.132538+(-0.584562--2.139246))+0-0-0</f>
        <v>3504.1221459999992</v>
      </c>
      <c r="H195" s="3">
        <f>4882.3+(371.3-1882)+(-14.939838+(-1.136178--5.75892))+0-0-0</f>
        <v>3361.2829040000001</v>
      </c>
      <c r="I195" s="3">
        <f>4801.9+(224.2-1738.1)+(-7.346907+(-0.343026--2.659293))+0-0-0</f>
        <v>3282.9693600000001</v>
      </c>
      <c r="J195" s="3">
        <f>4811+(81.7-1590.4)+(0+(0-0))+0-0-0</f>
        <v>3302.3</v>
      </c>
      <c r="K195" s="3">
        <f>4879.9+(88.8-1598.5)+(-7.466247+(-0.135864--2.445705))+0-0-0</f>
        <v>3365.0435939999998</v>
      </c>
      <c r="L195" s="3">
        <f>4904.9+(98.7-1468.4)+(2.501499+(0.050337-0.748884))+0-0-0</f>
        <v>3537.0029519999998</v>
      </c>
      <c r="M195" s="3">
        <f>5412.5+(396.4-1645.6)+(0+(0-0))+0-0-0</f>
        <v>4163.3</v>
      </c>
      <c r="N195" s="3">
        <f>5975.7+(837.7-1964.3)+(6.095214+(0.854454-2.003586))+0-0-0</f>
        <v>4854.0460820000008</v>
      </c>
      <c r="O195" s="3">
        <f>6245.6+(924.5-1861.6)+(12.741024+(1.88598-3.797664))+0-0-0</f>
        <v>5319.3293400000002</v>
      </c>
      <c r="P195" s="3">
        <f>6198.1+(889.7-1461.2)+(6.322062+(0.907494-1.490424))+0-0-0</f>
        <v>5632.3391320000001</v>
      </c>
      <c r="Q195" s="3">
        <f>6195.2+(904.6-1276.1)+(3.159552+(0.461346-0.650811))+0-0-0</f>
        <v>5826.6700869999995</v>
      </c>
      <c r="R195" s="3">
        <f>6198.4+(976.2-1589.3)+(-3.161184+(-0.497862--0.810543))+0-0-0</f>
        <v>5582.4514969999991</v>
      </c>
      <c r="S195" s="3">
        <f>6404.6+(1085.9-1995.6)+(13.065384+(2.215236-4.071024))+0-0-0</f>
        <v>5506.1095960000002</v>
      </c>
      <c r="T195" s="3">
        <f>6456+(1076.1-1942.2)+(-3.29256+(-0.548811--0.990522))+0-0-0</f>
        <v>5587.0491509999993</v>
      </c>
      <c r="U195" s="3">
        <f>6432.4+(1052.4-1967.9)+(-13.122096+(-2.146896--4.014516))+0-0-0</f>
        <v>5505.6455239999996</v>
      </c>
      <c r="V195" s="3">
        <f>6447.8+(1241.2-2071.3)+(-13.153512+(-2.532048--4.225452))+0-0-0</f>
        <v>5606.2398919999996</v>
      </c>
      <c r="W195" s="3">
        <f>6448.6+(835.6-1677.9)+(-9.866358+(-1.278468--2.567187))+0-0-0</f>
        <v>5597.7223610000001</v>
      </c>
      <c r="X195" s="3">
        <f>6646+(912.5-1677.5)+(0+(0-0))+0-0-0</f>
        <v>5881</v>
      </c>
      <c r="Y195" s="3">
        <f>6728+(1120.3-2090.3)+(-17.1564+(-2.856765--5.330265))+0-0-0</f>
        <v>5743.3171000000002</v>
      </c>
      <c r="Z195" s="3">
        <f>6687.8+(1176.8-2271.1)+(-6.821556+(-1.200336--2.316522))+0-0-0</f>
        <v>5587.7946300000003</v>
      </c>
      <c r="AA195" s="3">
        <f>6651.6+(1177.1-2502.9)+(-13.569264+(-2.401284--5.105916))+0-0-0</f>
        <v>5314.9353680000004</v>
      </c>
      <c r="AB195" s="3">
        <f>6616.4+(984.8-2611.7)+(-6.748728+(-1.004496--2.663934))+0-0-0</f>
        <v>4984.4107100000001</v>
      </c>
      <c r="AC195" s="3">
        <f>6410.1+(700.2-2567.8)+(-19.614906+(-2.142612--7.857468))+0-0-0</f>
        <v>4528.5999499999998</v>
      </c>
      <c r="AD195">
        <v>5885.7000000000007</v>
      </c>
      <c r="AE195" s="3">
        <f>6713+(976.6-1803.9)+(0+(0-0))+0-0-0</f>
        <v>5885.7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5441+(558.2-2255.3)+(-13.87455+(-1.42341--5.751015))+0-0-0</f>
        <v>3734.3530549999996</v>
      </c>
      <c r="G196" s="3">
        <f>5237.9+(358.5-1826.9)+(0+(0-0))+0-0-0</f>
        <v>3769.4999999999995</v>
      </c>
      <c r="H196" s="3">
        <f>5159.5+(269-1799.9)+(-7.894035+(-0.41157--2.753847))+0-0-0</f>
        <v>3623.0482419999998</v>
      </c>
      <c r="I196" s="3">
        <f>4977.4+(210.4-1637.2)+(-7.615422+(-0.321912--2.504916))+0-0-0</f>
        <v>3545.1675819999996</v>
      </c>
      <c r="J196" s="3">
        <f>4942.4+(160.9-1587.7)+(-7.561872+(-0.246177--2.429181))+0-0-0</f>
        <v>3510.2211319999997</v>
      </c>
      <c r="K196" s="3">
        <f>4894.8+(115.1-1462.9)+(-4.992696+(-0.117402--1.492158))+0-0-0</f>
        <v>3543.3820599999999</v>
      </c>
      <c r="L196" s="3">
        <f>4861.5+(87.7-1297.7)+(0+(0-0))+0-0-0</f>
        <v>3651.5</v>
      </c>
      <c r="M196" s="3">
        <f>5103.3+(221.2-1147)+(7.808049+(0.338436-1.75491))+0-0-0</f>
        <v>4183.8915749999996</v>
      </c>
      <c r="N196" s="3">
        <f>5730.6+(625.2-1485.9)+(5.845212+(0.637704-1.515618))+0-0-0</f>
        <v>4874.8672980000001</v>
      </c>
      <c r="O196" s="3">
        <f>6166.4+(846.4-1683.4)+(-6.289728+(-0.863328--1.717068))+0-0-0</f>
        <v>5323.9640119999995</v>
      </c>
      <c r="P196" s="3">
        <f>6425.4+(1017.1-1846.8)+(-3.276954+(-0.518721--0.941868))+0-0-0</f>
        <v>5592.8461929999994</v>
      </c>
      <c r="Q196" s="3">
        <f>6523.2+(1077-1863.2)+(6.653664+(1.09854-1.900464))+0-0-0</f>
        <v>5742.8517400000001</v>
      </c>
      <c r="R196" s="3">
        <f>6515+(1120.2-1973.4)+(-3.32265+(-0.571302--1.006434))+0-0-0</f>
        <v>5658.9124819999997</v>
      </c>
      <c r="S196" s="3">
        <f>6487+(1204.9-2154.7)+(0+(0-0))+0-0-0</f>
        <v>5537.2000000000007</v>
      </c>
      <c r="T196" s="3">
        <f>6418+(1222-2024.3)+(-16.3659+(-3.1161--5.161965))+0-0-0</f>
        <v>5601.3799650000001</v>
      </c>
      <c r="U196" s="3">
        <f>6369.5+(1164.8-2049.8)+(-12.99378+(-2.376192--4.181592))+0-0-0</f>
        <v>5473.3116200000004</v>
      </c>
      <c r="V196" s="3">
        <f>6213.1+(1019.7-1807.8)+(-15.843405+(-2.600235--4.60989))+0-0-0</f>
        <v>5411.1662500000002</v>
      </c>
      <c r="W196" s="3">
        <f>6111.6+(771.3-1497)+(-6.233832+(-0.786726--1.52694))+0-0-0</f>
        <v>5380.4063820000001</v>
      </c>
      <c r="X196" s="3">
        <f>6545.9+(591-1464.9)+(-10.015227+(-0.90423--2.241297))+0-0-0</f>
        <v>5663.3218399999996</v>
      </c>
      <c r="Y196" s="3">
        <f>6732.9+(708.4-1896.8)+(-10.301337+(-1.083852--2.902104))+0-0-0</f>
        <v>5536.0169150000002</v>
      </c>
      <c r="Z196" s="3">
        <f>6237+(825.8-1666.1)+(-12.72348+(-1.684632--3.398844))+0-0-0</f>
        <v>5385.690732</v>
      </c>
      <c r="AA196" s="3">
        <f>5767.5+(899.1-1551.7)+(-8.824275+(-1.375623--2.374101))+0-0-0</f>
        <v>5107.0742029999992</v>
      </c>
      <c r="AB196" s="3">
        <f>5758.4+(710.3-1630.6)+(-5.873568+(-0.724506--1.663212))+0-0-0</f>
        <v>4833.1651379999994</v>
      </c>
      <c r="AC196" s="3">
        <f>5569.9+(724.5-1856.4)+(-14.203245+(-1.847475--4.73382))+0-0-0</f>
        <v>4426.6831000000002</v>
      </c>
      <c r="AD196">
        <v>5513.2999999999993</v>
      </c>
      <c r="AE196" s="3">
        <f>6793+(721.4-2001.1)+(0+(0-0))+0-0-0</f>
        <v>5513.3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5108.2+(854.1-2005.6)+(2.605182+(0.435591-1.022856))+0-0-0</f>
        <v>3958.7179169999999</v>
      </c>
      <c r="G197" s="3">
        <f>4927.6+(737.3-1980.2)+(-12.56538+(-1.880115--5.04951))+0-0-0</f>
        <v>3675.3040150000002</v>
      </c>
      <c r="H197" s="3">
        <f>4904.5+(569.3-1948.1)+(-2.501295+(-0.290343--0.993531))+0-0-0</f>
        <v>3523.9018929999997</v>
      </c>
      <c r="I197" s="3">
        <f>4748.7+(407.1-1712.4)+(-2.421837+(-0.207621--0.873324))+0-0-0</f>
        <v>3441.6438659999994</v>
      </c>
      <c r="J197" s="3">
        <f>4752.5+(283.9-1584.5)+(-12.118875+(-0.723945--4.040475))+0-0-0</f>
        <v>3443.097655</v>
      </c>
      <c r="K197" s="3">
        <f>4810.2+(249.4-1563.4)+(-9.812808+(-0.508776--3.189336))+0-0-0</f>
        <v>3489.0677519999999</v>
      </c>
      <c r="L197" s="3">
        <f>4742.2+(182.7-1314.7)+(-2.418522+(-0.093177--0.670497))+0-0-0</f>
        <v>3608.3587979999998</v>
      </c>
      <c r="M197" s="3">
        <f>5096.1+(509.2-1485)+(2.599011+(0.259692-0.75735))+0-0-0</f>
        <v>4122.4013530000002</v>
      </c>
      <c r="N197" s="3">
        <f>5482.1+(981.1-1696.4)+(5.591742+(1.000722-1.730328))+0-0-0</f>
        <v>4771.6621359999999</v>
      </c>
      <c r="O197" s="3">
        <f>5966.3+(1061.8-1852.5)+(6.085626+(1.083036-1.88955))+0-0-0</f>
        <v>5180.8791120000005</v>
      </c>
      <c r="P197" s="3">
        <f>6122.6+(1145.2-1840)+(-3.122526+(-0.584052--0.9384))+0-0-0</f>
        <v>5425.0318219999999</v>
      </c>
      <c r="Q197" s="3">
        <f>6157.7+(1136.8-1704.2)+(-9.421281+(-1.739304--2.607426))+0-0-0</f>
        <v>5581.7468409999992</v>
      </c>
      <c r="R197" s="3">
        <f>6141.9+(1135.4-1789.6)+(-12.529476+(-2.316216--3.650784))+0-0-0</f>
        <v>5476.5050919999994</v>
      </c>
      <c r="S197" s="3">
        <f>6155.9+(1285.4-2038.2)+(-6.279018+(-1.311108--2.078964))+0-0-0</f>
        <v>5397.5888379999997</v>
      </c>
      <c r="T197" s="3">
        <f>6179.9+(1319-1993.1)+(-12.606996+(-2.69076--4.065924))+0-0-0</f>
        <v>5494.5681679999989</v>
      </c>
      <c r="U197" s="3">
        <f>6088.4+(1252.8-1862)+(-15.52542+(-3.19464--4.7481))+0-0-0</f>
        <v>5465.22804</v>
      </c>
      <c r="V197" s="3">
        <f>5792.5+(868.5-1220)+(-11.8167+(-1.77174--2.4888))+0-0-0</f>
        <v>5429.9003599999996</v>
      </c>
      <c r="W197" s="3">
        <f>5638+(418.2-634.3)+(5.75076+(0.426564-0.646986))+0-0-0</f>
        <v>5427.4303379999992</v>
      </c>
      <c r="X197" s="3">
        <f>6043.9+(527.1-883.4)+(-9.247167+(-0.806463--1.351602))+0-0-0</f>
        <v>5678.8979719999998</v>
      </c>
      <c r="Y197" s="3">
        <f>6095.6+(505.9-995.9)+(-6.217512+(-0.516018--1.015818))+0-0-0</f>
        <v>5599.8822880000007</v>
      </c>
      <c r="Z197" s="3">
        <f>5888.7+(427.1-914.4)+(-3.003237+(-0.217821--0.466344))+0-0-0</f>
        <v>5398.6452859999999</v>
      </c>
      <c r="AA197" s="3">
        <f>5871.9+(607.9-1377.5)+(2.994669+(0.310029-0.702525))+0-0-0</f>
        <v>5104.9021729999995</v>
      </c>
      <c r="AB197" s="3">
        <f>5852.9+(779.3-1812.4)+(-8.954937+(-1.192329--2.772972))+0-0-0</f>
        <v>4812.4257059999991</v>
      </c>
      <c r="AC197" s="3">
        <f>5748+(656.1-1994.2)+(-8.79444+(-1.003833--3.051126))+0-0-0</f>
        <v>4403.1528529999996</v>
      </c>
      <c r="AD197">
        <v>5789.8</v>
      </c>
      <c r="AE197" s="3">
        <f>6223+(600-1033.2)+(0+(0-0))+0-0-0</f>
        <v>5789.8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5481.6+(476.2-2000.7)+(-11.182464+(-0.971448--4.081428))+0-0-0</f>
        <v>3949.0275160000006</v>
      </c>
      <c r="G198" s="3">
        <f>5294.3+(267.3-1909.5)+(-5.400186+(-0.272646--1.94769))+0-0-0</f>
        <v>3648.3748580000006</v>
      </c>
      <c r="H198" s="3">
        <f>5311.6+(158.1-1968.9)+(-2.708916+(-0.080631--1.004139))+0-0-0</f>
        <v>3499.014592</v>
      </c>
      <c r="I198" s="3">
        <f>5233.7+(205.1-1984)+(-5.338374+(-0.209202--2.02368))+0-0-0</f>
        <v>3451.2761039999996</v>
      </c>
      <c r="J198" s="3">
        <f>5066.4+(213.5-1807.4)+(0+(0-0))+0-0-0</f>
        <v>3472.4999999999995</v>
      </c>
      <c r="K198" s="3">
        <f>4917.2+(230.6-1622.3)+(-10.031088+(-0.470424--3.309492))+0-0-0</f>
        <v>3518.30798</v>
      </c>
      <c r="L198" s="3">
        <f>4806.1+(239.7-1447.7)+(-2.451111+(-0.122247--0.738327))+0-0-0</f>
        <v>3596.2649690000003</v>
      </c>
      <c r="M198" s="3">
        <f>5167.5+(511.8-1527.2)+(0+(0-0))+0-0-0</f>
        <v>4152.1000000000004</v>
      </c>
      <c r="N198" s="3">
        <f>5673.3+(805-1814.8)+(2.893383+(0.41055-0.925548))+0-0-0</f>
        <v>4665.878385</v>
      </c>
      <c r="O198" s="3">
        <f>5980.4+(998.5-1992.4)+(0+(0-0))+0-0-0</f>
        <v>4986.5</v>
      </c>
      <c r="P198" s="3">
        <f>6217+(998.3-1966.7)+(-6.34134+(-1.018266--2.006034))+0-0-0</f>
        <v>5243.2464280000004</v>
      </c>
      <c r="Q198" s="3">
        <f>6239.4+(972.2-1781.1)+(-3.182094+(-0.495822--0.908361))+0-0-0</f>
        <v>5427.7304450000001</v>
      </c>
      <c r="R198" s="3">
        <f>6314.1+(1102.9-2041.9)+(-9.660573+(-1.687437--3.124107))+0-0-0</f>
        <v>5366.8760970000003</v>
      </c>
      <c r="S198" s="3">
        <f>6403.5+(1214-2365.3)+(-6.53157+(-1.23828--2.412606))+0-0-0</f>
        <v>5246.842756</v>
      </c>
      <c r="T198" s="3">
        <f>6396.5+(1253.4-2324.1)+(-6.52443+(-1.278468--2.370582))+0-0-0</f>
        <v>5320.3676839999998</v>
      </c>
      <c r="U198" s="3">
        <f>6077+(1117.7-2027.6)+(0+(0-0))+0-0-0</f>
        <v>5167.1000000000004</v>
      </c>
      <c r="V198" s="3">
        <f>5818.9+(767.1-1592.6)+(-5.935278+(-0.782442--1.624452))+0-0-0</f>
        <v>4988.306732</v>
      </c>
      <c r="W198" s="3">
        <f>5819.2+(491.9-1253.7)+(-8.903376+(-0.752607--1.918161))+0-0-0</f>
        <v>5049.6621779999996</v>
      </c>
      <c r="X198" s="3">
        <f>6173.8+(571.6-1387)+(-9.445914+(-0.874548--2.12211))+0-0-0</f>
        <v>5350.2016480000002</v>
      </c>
      <c r="Y198" s="3">
        <f>6253.2+(730.1-1715.7)+(-15.94566+(-1.861755--4.375035))+0-0-0</f>
        <v>5254.1676199999993</v>
      </c>
      <c r="Z198" s="3">
        <f>5949.1+(573.4-1375.8)+(0+(0-0))+0-0-0</f>
        <v>5146.7000000000007</v>
      </c>
      <c r="AA198" s="3">
        <f>5598.5+(500.7-1265.6)+(-5.71047+(-0.510714--1.290912))+0-0-0</f>
        <v>4828.6697280000008</v>
      </c>
      <c r="AB198" s="3">
        <f>5463.3+(337-1325.4)+(-13.931415+(-0.85935--3.37977))+0-0-0</f>
        <v>4463.4890049999995</v>
      </c>
      <c r="AC198" s="3">
        <f>5263.1+(338.9-1496.1)+(0+(0-0))+0-0-0</f>
        <v>4105.9000000000005</v>
      </c>
      <c r="AD198">
        <v>5495.4000000000005</v>
      </c>
      <c r="AE198" s="3">
        <f>6385+(656.6-1546.2)+(0+(0-0))+0-0-0</f>
        <v>5495.4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5113+(401-1695.6)+(-2.60763+(-0.20451--0.864756))+0-0-0</f>
        <v>3816.452616</v>
      </c>
      <c r="G199" s="3">
        <f>5019.9+(482.9-1963.2)+(-2.560149+(-0.246279--1.001232))+0-0-0</f>
        <v>3537.7948039999997</v>
      </c>
      <c r="H199" s="3">
        <f>5078.1+(242.5-1962.6)+(5.179662+(0.24735-2.001852))+0-0-0</f>
        <v>3361.4251600000002</v>
      </c>
      <c r="I199" s="3">
        <f>4990.7+(118.2-1779)+(-2.545257+(-0.060282--0.90729))+0-0-0</f>
        <v>3328.2017509999996</v>
      </c>
      <c r="J199" s="3">
        <f>4845.3+(132.3-1612.7)+(-7.413309+(-0.202419--2.467431))+0-0-0</f>
        <v>3359.7517029999999</v>
      </c>
      <c r="K199" s="3">
        <f>4777.1+(128.8-1488.8)+(-7.308963+(-0.197064--2.277864))+0-0-0</f>
        <v>3411.8718370000001</v>
      </c>
      <c r="L199" s="3">
        <f>4721.4+(210.9-1319.2)+(0+(0-0))+0-0-0</f>
        <v>3613.0999999999995</v>
      </c>
      <c r="M199" s="3">
        <f>4924.2+(437.8-1335.7)+(0+(0-0))+0-0-0</f>
        <v>4026.2999999999997</v>
      </c>
      <c r="N199" s="3">
        <f>5456+(715.7-1488.5)+(2.78256+(0.365007-0.759135))+0-0-0</f>
        <v>4685.5884319999996</v>
      </c>
      <c r="O199" s="3">
        <f>5537.1+(809.3-1350.6)+(-8.471763+(-1.238229--2.066418))+0-0-0</f>
        <v>4988.1564260000005</v>
      </c>
      <c r="P199" s="3">
        <f>5676.7+(896.7-1371.4)+(-2.895117+(-0.457317--0.699414))+0-0-0</f>
        <v>5199.3469800000003</v>
      </c>
      <c r="Q199" s="3">
        <f>6034.4+(1040.9-1750.3)+(-6.155088+(-1.061718--1.785306))+0-0-0</f>
        <v>5319.5685000000003</v>
      </c>
      <c r="R199" s="3">
        <f>5996+(1169.3-1878.2)+(-21.40572+(-4.174401--6.705174))+0-0-0</f>
        <v>5268.2250530000001</v>
      </c>
      <c r="S199" s="3">
        <f>5958.5+(1274.9-2081.1)+(-6.07767+(-1.300398--2.122722))+0-0-0</f>
        <v>5147.0446540000003</v>
      </c>
      <c r="T199" s="3">
        <f>5953.7+(1291.2-2005.3)+(-12.145548+(-2.634048--4.090812))+0-0-0</f>
        <v>5228.9112160000004</v>
      </c>
      <c r="U199" s="3">
        <f>5875.1+(1121.7-1849.8)+(-2.996301+(-0.572067--0.943398))+0-0-0</f>
        <v>5144.3750300000002</v>
      </c>
      <c r="V199" s="3">
        <f>5866.4+(999.9-1738.4)+(-8.975592+(-1.529847--2.659752))+0-0-0</f>
        <v>5120.0543129999996</v>
      </c>
      <c r="W199" s="3">
        <f>5989.5+(793.6-1598.6)+(3.054645+(0.404736-0.815286))+0-0-0</f>
        <v>5187.1440949999997</v>
      </c>
      <c r="X199" s="3">
        <f>6462.1+(812.2-1786.9)+(-6.591342+(-0.828444--1.822638))+0-0-0</f>
        <v>5481.8028520000007</v>
      </c>
      <c r="Y199" s="3">
        <f>6402.6+(771.9-1796)+(-9.795978+(-1.181007--2.74788))+0-0-0</f>
        <v>5370.2708949999997</v>
      </c>
      <c r="Z199" s="3">
        <f>6164.6+(800.6-1760.7)+(-3.143946+(-0.408306--0.897957))+0-0-0</f>
        <v>5201.8457049999997</v>
      </c>
      <c r="AA199" s="3">
        <f>5933.2+(883.8-1869.4)+(-9.077796+(-1.352214--2.860182))+0-0-0</f>
        <v>4940.0301719999998</v>
      </c>
      <c r="AB199" s="3">
        <f>5541.6+(876.6-1769.1)+(-11.304864+(-1.788264--3.608964))+0-0-0</f>
        <v>4639.6158359999999</v>
      </c>
      <c r="AC199" s="3">
        <f>5213.6+(634.2-1594.6)+(-5.317872+(-0.646884--1.626492))+0-0-0</f>
        <v>4248.8617360000007</v>
      </c>
      <c r="AD199">
        <v>5429</v>
      </c>
      <c r="AE199" s="3">
        <f>6510+(805.7-1886.7)+(0+(0-0))+0-0-0</f>
        <v>5429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4878.2+(520.6-1582.4)+(-9.951528+(-1.062024--3.228096))+0-0-0</f>
        <v>3808.6145439999996</v>
      </c>
      <c r="G200" s="3">
        <f>4850.6+(471.6-1743.5)+(-12.36903+(-1.20258--4.445925))+0-0-0</f>
        <v>3569.5743150000003</v>
      </c>
      <c r="H200" s="3">
        <f>4779.7+(486.8-1830.6)+(-12.188235+(-1.24134--4.66803))+0-0-0</f>
        <v>3427.1384549999998</v>
      </c>
      <c r="I200" s="3">
        <f>4660+(447.6-1799.2)+(-9.5064+(-0.913104--3.670368))+0-0-0</f>
        <v>3301.6508640000002</v>
      </c>
      <c r="J200" s="3">
        <f>4689.1+(420.3-1794)+(7.174323+(0.643059-2.74482))+0-0-0</f>
        <v>3320.4725620000004</v>
      </c>
      <c r="K200" s="3">
        <f>4474.3+(496.6-1624.9)+(-11.409465+(-1.26633--4.143495))+0-0-0</f>
        <v>3337.4677000000001</v>
      </c>
      <c r="L200" s="3">
        <f>4299.8+(585-1465.4)+(-2.192898+(-0.29835--0.747354))+0-0-0</f>
        <v>3417.6561059999999</v>
      </c>
      <c r="M200" s="3">
        <f>4555.3+(763.5-1490.1)+(2.323203+(0.389385-0.759951))+0-0-0</f>
        <v>3830.6526370000001</v>
      </c>
      <c r="N200" s="3">
        <f>4964.9+(1250.6-1785.2)+(2.532099+(0.637806-0.910452))+0-0-0</f>
        <v>4432.5594529999989</v>
      </c>
      <c r="O200" s="3">
        <f>5045.3+(1524.9-1706.9)+(0+(0-0))+0-0-0</f>
        <v>4863.3</v>
      </c>
      <c r="P200" s="3">
        <f>5099.5+(1489.7-1534.8)+(0+(0-0))+0-0-0</f>
        <v>5054.3999999999996</v>
      </c>
      <c r="Q200" s="3">
        <f>5092.5+(1425.9-1328.7)+(-7.791525+(-2.181627--2.032911))+0-0-0</f>
        <v>5181.7597589999996</v>
      </c>
      <c r="R200" s="3">
        <f>5013.2+(1420.7-1384.3)+(-2.556732+(-0.724557--0.705993))+0-0-0</f>
        <v>5047.0247040000004</v>
      </c>
      <c r="S200" s="3">
        <f>5002.9+(1445.4-1587)+(5.102958+(1.474308-1.61874))+0-0-0</f>
        <v>4866.2585259999996</v>
      </c>
      <c r="T200" s="3">
        <f>5071.8+(1422.3-1665.4)+(-5.173236+(-1.450746--1.698708))+0-0-0</f>
        <v>4823.7747259999996</v>
      </c>
      <c r="U200" s="3">
        <f>5117.3+(1215.1-1596)+(-13.049115+(-3.098505--4.0698))+0-0-0</f>
        <v>4724.3221799999992</v>
      </c>
      <c r="V200" s="3">
        <f>5146.6+(1069.4-1570)+(-13.12383+(-2.72697--4.0035))+0-0-0</f>
        <v>4634.1526999999996</v>
      </c>
      <c r="W200" s="3">
        <f>5233.9+(926.8-1384.6)+(-2.669289+(-0.472668--0.706146))+0-0-0</f>
        <v>4773.6641889999992</v>
      </c>
      <c r="X200" s="3">
        <f>5570.9+(935.7-1383.9)+(-2.841159+(-0.477207--0.705789))+0-0-0</f>
        <v>5120.0874229999999</v>
      </c>
      <c r="Y200" s="3">
        <f>5598.7+(863.1-1417.6)+(-19.987359+(-3.081267--5.060832))+0-0-0</f>
        <v>5026.1922059999997</v>
      </c>
      <c r="Z200" s="3">
        <f>5522.1+(692.5-1331.5)+(-11.265084+(-1.4127--2.71626))+0-0-0</f>
        <v>4873.1384760000001</v>
      </c>
      <c r="AA200" s="3">
        <f>5448+(621-1430.1)+(-13.8924+(-1.58355--3.646755))+0-0-0</f>
        <v>4627.0708049999994</v>
      </c>
      <c r="AB200" s="3">
        <f>5378.3+(602.8-1569.9)+(-8.228799+(-0.922284--2.401947))+0-0-0</f>
        <v>4404.4508639999995</v>
      </c>
      <c r="AC200" s="3">
        <f>5229+(507.7-1591)+(-8.00037+(-0.776781--2.43423))+0-0-0</f>
        <v>4139.3570789999994</v>
      </c>
      <c r="AD200">
        <v>5051.5</v>
      </c>
      <c r="AE200" s="3">
        <f>5609+(958.6-1516.1)+(0+(0-0))+0-0-0</f>
        <v>5051.5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5039+(223.4-1541)+(5.13978+(0.227868-1.57182))+0-0-0</f>
        <v>3725.1958279999999</v>
      </c>
      <c r="G201" s="3">
        <f>5022.9+(149-1716.1)+(0+(0-0))+0-0-0</f>
        <v>3455.7999999999997</v>
      </c>
      <c r="H201" s="3">
        <f>4762.6+(154.8-1608.9)+(-4.857852+(-0.157896--1.641078))+0-0-0</f>
        <v>3305.1253299999998</v>
      </c>
      <c r="I201" s="3">
        <f>4658.3+(161.4-1612.5)+(2.375733+(0.082314-0.822375))+0-0-0</f>
        <v>3208.8356720000002</v>
      </c>
      <c r="J201" s="3">
        <f>4630+(135.9-1595.6)+(2.3613+(0.069309-0.813756))+0-0-0</f>
        <v>3171.9168530000002</v>
      </c>
      <c r="K201" s="3">
        <f>4584.3+(156.7-1600)+(-2.337993+(-0.079917--0.816))+0-0-0</f>
        <v>3139.3980900000001</v>
      </c>
      <c r="L201" s="3">
        <f>4295.6+(154.4-1470.6)+(0+(0-0))+0-0-0</f>
        <v>2979.4000000000005</v>
      </c>
      <c r="M201" s="3">
        <f>4251.8+(169.2-1392.8)+(0+(0-0))+0-0-0</f>
        <v>3028.2000000000003</v>
      </c>
      <c r="N201" s="3">
        <f>4435.1+(323.5-1399.1)+(-13.571406+(-0.98991--4.281246))+0-0-0</f>
        <v>3349.2199300000007</v>
      </c>
      <c r="O201" s="3">
        <f>4362.9+(375-1119.4)+(-2.225079+(-0.19125--0.570894))+0-0-0</f>
        <v>3616.6545649999994</v>
      </c>
      <c r="P201" s="3">
        <f>4558.7+(428.9-1110.4)+(-4.649874+(-0.437478--1.132608))+0-0-0</f>
        <v>3873.2452559999997</v>
      </c>
      <c r="Q201" s="3">
        <f>4820.9+(438.3-1229.8)+(-4.917318+(-0.447066--1.254396))+0-0-0</f>
        <v>4025.2900119999995</v>
      </c>
      <c r="R201" s="3">
        <f>4984.8+(452.4-1395.3)+(-10.168992+(-0.922896--2.846412))+0-0-0</f>
        <v>4033.654524</v>
      </c>
      <c r="S201" s="3">
        <f>5024.2+(510.1-1536.6)+(-5.124684+(-0.520302--1.567332))+0-0-0</f>
        <v>3993.6223459999997</v>
      </c>
      <c r="T201" s="3">
        <f>5014.7+(554-1628.9)+(-5.114994+(-0.56508--1.661478))+0-0-0</f>
        <v>3935.7814039999998</v>
      </c>
      <c r="U201" s="3">
        <f>4883+(488.1-1483.5)+(-14.94198+(-1.493586--4.53951))+0-0-0</f>
        <v>3875.7039439999999</v>
      </c>
      <c r="V201" s="3">
        <f>4816.8+(441.4-1382.6)+(-9.826272+(-0.900456--2.820504))+0-0-0</f>
        <v>3867.6937760000005</v>
      </c>
      <c r="W201" s="3">
        <f>4910.4+(321.6-1078.2)+(-7.512912+(-0.492048--1.649646))+0-0-0</f>
        <v>4147.4446859999989</v>
      </c>
      <c r="X201" s="3">
        <f>5590.9+(361.2-1369)+(-17.108154+(-1.105272--4.18914))+0-0-0</f>
        <v>4569.0757139999996</v>
      </c>
      <c r="Y201" s="3">
        <f>5538.4+(323.4-1213.6)+(-14.12292+(-0.82467--3.09468))+0-0-0</f>
        <v>4636.3470900000002</v>
      </c>
      <c r="Z201" s="3">
        <f>5387.5+(401.1-1173.2)+(-10.9905+(-0.818244--2.393328))+0-0-0</f>
        <v>4605.9845839999998</v>
      </c>
      <c r="AA201" s="3">
        <f>5282.5+(449.4-1281)+(-10.7763+(-0.916776--2.61324))+0-0-0</f>
        <v>4441.8201639999997</v>
      </c>
      <c r="AB201" s="3">
        <f>5268+(579.9-1526.7)+(0+(0-0))+0-0-0</f>
        <v>4321.2</v>
      </c>
      <c r="AC201" s="3">
        <f>5172.2+(417-1663.2)+(-13.18911+(-1.06335--4.24116))+0-0-0</f>
        <v>3915.9886999999999</v>
      </c>
      <c r="AD201">
        <v>4545.1000000000004</v>
      </c>
      <c r="AE201" s="3">
        <f>5662+(391.7-1508.6)+(0+(0-0))+0-0-0</f>
        <v>4545.1000000000004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4927.9+(223.4-1611.7)+(-10.052916+(-0.455736--3.287868))+0-0-0</f>
        <v>3532.3792159999994</v>
      </c>
      <c r="G202" s="3">
        <f>4783+(287.4-1805.5)+(-9.75732+(-0.586296--3.68322))+0-0-0</f>
        <v>3258.2396039999999</v>
      </c>
      <c r="H202" s="3">
        <f>4632.9+(215.2-1727.4)+(-2.362779+(-0.109752--0.880974))+0-0-0</f>
        <v>3119.1084429999996</v>
      </c>
      <c r="I202" s="3">
        <f>4445.8+(147.3-1514.8)+(-4.534716+(-0.150246--1.545096))+0-0-0</f>
        <v>3075.1601340000002</v>
      </c>
      <c r="J202" s="3">
        <f>4456.8+(129-1507.2)+(0+(0-0))+0-0-0</f>
        <v>3078.6000000000004</v>
      </c>
      <c r="K202" s="3">
        <f>4452.5+(140-1421.5)+(2.270775+(0.0714-0.724965))+0-0-0</f>
        <v>3172.6172099999999</v>
      </c>
      <c r="L202" s="3">
        <f>4286+(134.4-1060.5)+(2.18586+(0.068544-0.540855))+52.6-0-0</f>
        <v>3414.2135490000001</v>
      </c>
      <c r="M202" s="3">
        <f>4516.4+(349.8-977.1)+(-2.303364+(-0.178398--0.498321))+28.4-0-0</f>
        <v>3915.5165589999997</v>
      </c>
      <c r="N202" s="3">
        <f>4920.5+(556-958.6)+(-2.509455+(-0.28356--0.488886))+0-0-0</f>
        <v>4515.5958709999995</v>
      </c>
      <c r="O202" s="3">
        <f>5230.8+(673.2-1026.3)+(-5.335416+(-0.686664--1.046826))+0-0-0</f>
        <v>4872.7247460000008</v>
      </c>
      <c r="P202" s="3">
        <f>5408.3+(746.1-1022)+(0+(0-0))+0-0-0</f>
        <v>5132.4000000000005</v>
      </c>
      <c r="Q202" s="3">
        <f>5439.1+(808.3-956.8)+(-8.321823+(-1.236699--1.463904))+0-0-0</f>
        <v>5282.5053820000003</v>
      </c>
      <c r="R202" s="3">
        <f>5480.1+(906.6-1211.8)+(-13.974255+(-2.31183--3.09009))+0-0-0</f>
        <v>5161.7040050000005</v>
      </c>
      <c r="S202" s="3">
        <f>5546.4+(1006.7-1478.1)+(-8.485992+(-1.540251--2.261493))+0-0-0</f>
        <v>5067.2352499999997</v>
      </c>
      <c r="T202" s="3">
        <f>5590.9+(1093.7-1464.4)+(0+(0-0))+0-0-0</f>
        <v>5220.2</v>
      </c>
      <c r="U202" s="3">
        <f>5523.3+(1057.7-1407.9)+(-5.633766+(-1.078854--1.436058))+0-0-0</f>
        <v>5167.8234380000004</v>
      </c>
      <c r="V202" s="3">
        <f>5427.8+(874.2-1195.9)+(-8.304534+(-1.337526--1.829727))+0-0-0</f>
        <v>5098.2876670000005</v>
      </c>
      <c r="W202" s="3">
        <f>5611.1+(751-1153.8)+(-2.861661+(-0.38301--0.588438))+0-0-0</f>
        <v>5205.6437670000005</v>
      </c>
      <c r="X202" s="3">
        <f>6168.6+(752.7-1437.1)+(-15.72993+(-1.919385--3.664605))+0-0-0</f>
        <v>5470.215290000001</v>
      </c>
      <c r="Y202" s="3">
        <f>5986.2+(731.6-1368.5)+(-12.211848+(-1.492464--2.79174))+0-0-0</f>
        <v>5338.387428</v>
      </c>
      <c r="Z202" s="3">
        <f>5758.2+(785.4-1358.5)+(-2.936682+(-0.400554--0.692835))+0-0-0</f>
        <v>5182.4555989999999</v>
      </c>
      <c r="AA202" s="3">
        <f>5716.5+(835.8-1637.3)+(-14.577075+(-2.13129--4.175115))+0-0-0</f>
        <v>4902.4667499999996</v>
      </c>
      <c r="AB202" s="3">
        <f>5638.7+(761.6-1715.1)+(-11.502948+(-1.553664--3.498804))+0-0-0</f>
        <v>4675.6421920000003</v>
      </c>
      <c r="AC202" s="3">
        <f>5586.2+(839.5-2152.3)+(-14.24481+(-2.140725--5.488365))+0-0-0</f>
        <v>4262.5028299999994</v>
      </c>
      <c r="AD202">
        <v>5561.6</v>
      </c>
      <c r="AE202" s="3">
        <f>6249+(776.1-1463.5)+(0+(0-0))+0-0-0</f>
        <v>5561.6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5214.6+(631.9-2037)+(-2.659446+(-0.322269--1.03887))+0-0-0</f>
        <v>3807.5571550000004</v>
      </c>
      <c r="G203" s="3">
        <f>5118+(332.1-1953.2)+(-13.0509+(-0.846855--4.98066))+0-0-0</f>
        <v>3487.9829050000003</v>
      </c>
      <c r="H203" s="3">
        <f>4987.5+(210-1811)+(-2.543625+(-0.1071--0.92361))+0-0-0</f>
        <v>3384.7728849999999</v>
      </c>
      <c r="I203" s="3">
        <f>4710.1+(241.2-1637)+(-2.402151+(-0.123012--0.83487))+0-0-0</f>
        <v>3312.6097070000001</v>
      </c>
      <c r="J203" s="3">
        <f>4697.4+(230.2-1613.6)+(-4.791348+(-0.234804--1.645872))+0-0-0</f>
        <v>3310.6197200000001</v>
      </c>
      <c r="K203" s="3">
        <f>4690+(232.5-1551.1)+(-7.1757+(-0.355725--2.373183))+0-0-0</f>
        <v>3366.2417580000001</v>
      </c>
      <c r="L203" s="3">
        <f>4714.9+(237.8-1480.8)+(-2.404599+(-0.121278--0.755208))+0-0-0</f>
        <v>3470.1293309999996</v>
      </c>
      <c r="M203" s="3">
        <f>5171.3+(511.2-1573.5)+(-2.637363+(-0.260712--0.802485))+0-0-0</f>
        <v>4106.9044100000001</v>
      </c>
      <c r="N203" s="3">
        <f>5519.1+(650.6-1569.5)+(5.629482+(0.663612-1.60089))+0-0-0</f>
        <v>4604.8922040000007</v>
      </c>
      <c r="O203" s="3">
        <f>5547.7+(721.7-1307.4)+(-5.658654+(-0.736134--1.333548))+0-0-0</f>
        <v>4956.93876</v>
      </c>
      <c r="P203" s="3">
        <f>5567.4+(978.3-1330.9)+(-2.839374+(-0.498933--0.678759))+0-0-0</f>
        <v>5212.1404519999996</v>
      </c>
      <c r="Q203" s="3">
        <f>5669+(1031.1-1351)+(-5.78238+(-1.051722--1.37802))+0-0-0</f>
        <v>5343.6439180000007</v>
      </c>
      <c r="R203" s="3">
        <f>5658.5+(1080.9-1524.4)+(-8.657505+(-1.653777--2.332332))+0-0-0</f>
        <v>5207.0210500000003</v>
      </c>
      <c r="S203" s="3">
        <f>5539.9+(1187-1624.2)+(-11.301396+(-2.42148--3.313368))+0-0-0</f>
        <v>5092.2904920000001</v>
      </c>
      <c r="T203" s="3">
        <f>5534+(1227.5-1565.2)+(-2.82234+(-0.626025--0.798252))+0-0-0</f>
        <v>5193.6498870000005</v>
      </c>
      <c r="U203" s="3">
        <f>5427.7+(1160.6-1434.8)+(-13.840635+(-2.95953--3.65874))+0-0-0</f>
        <v>5140.3585750000002</v>
      </c>
      <c r="V203" s="3">
        <f>5113+(834.9-883.7)+(-7.82289+(-1.277397--1.352061))+0-0-0</f>
        <v>5056.4517740000001</v>
      </c>
      <c r="W203" s="3">
        <f>5093+(668.4-523.4)+(2.59743+(0.340884-0.266934))+0-0-0</f>
        <v>5240.6713799999998</v>
      </c>
      <c r="X203" s="3">
        <f>5749.8+(767.6-1036.8)+(-5.864796+(-0.782952--1.057536))+0-0-0</f>
        <v>5475.0097880000003</v>
      </c>
      <c r="Y203" s="3">
        <f>5701.8+(655.4-1018.9)+(-11.631672+(-1.337016--2.078556))+0-0-0</f>
        <v>5327.4098679999997</v>
      </c>
      <c r="Z203" s="3">
        <f>5542+(631-1048)+(-11.30568+(-1.28724--2.13792))+0-0-0</f>
        <v>5114.5450000000001</v>
      </c>
      <c r="AA203" s="3">
        <f>5515.1+(553.1-1167.9)+(-5.625402+(-0.564162--1.191258))+0-0-0</f>
        <v>4895.3016939999998</v>
      </c>
      <c r="AB203" s="3">
        <f>5341.8+(555.6-1235.7)+(-5.448636+(-0.566712--1.260414))+0-0-0</f>
        <v>4656.9450660000002</v>
      </c>
      <c r="AC203" s="3">
        <f>5196.2+(201.1-1216.6)+(-13.25031+(-0.512805--3.10233))+0-0-0</f>
        <v>4170.0392149999998</v>
      </c>
      <c r="AD203">
        <v>5520.7</v>
      </c>
      <c r="AE203" s="3">
        <f>5793+(814.4-1086.7)+(0+(0-0))+0-0-0</f>
        <v>5520.7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4936.1+(173.9-1325.3)+(-5.034822+(-0.177378--1.351806))+0-0-0</f>
        <v>3780.8396060000009</v>
      </c>
      <c r="G204" s="3">
        <f>4750.5+(217.9-1479.8)+(-7.268265+(-0.333387--2.264094))+0-0-0</f>
        <v>3483.2624420000002</v>
      </c>
      <c r="H204" s="3">
        <f>4644.9+(217.4-1517)+(0+(0-0))+0-0-0</f>
        <v>3345.2999999999997</v>
      </c>
      <c r="I204" s="3">
        <f>4501.9+(173.2-1378.6)+(0+(0-0))+0-0-0</f>
        <v>3296.5</v>
      </c>
      <c r="J204" s="3">
        <f>4467.6+(177.4-1331)+(-6.835428+(-0.271422--2.03643))+0-0-0</f>
        <v>3308.9295800000004</v>
      </c>
      <c r="K204" s="3">
        <f>4490.2+(204-1333)+(2.290002+(0.10404-0.67983))+0-0-0</f>
        <v>3362.9142119999997</v>
      </c>
      <c r="L204" s="3">
        <f>4515.1+(173.2-1127.5)+(0+(0-0))+0-0-0</f>
        <v>3560.8</v>
      </c>
      <c r="M204" s="3">
        <f>4632.9+(456.7-1071.7)+(-4.725558+(-0.465834--1.093134))+0-0-0</f>
        <v>4013.8017419999996</v>
      </c>
      <c r="N204" s="3">
        <f>4853.8+(800.9-1001.5)+(7.426314+(1.225377-1.532295))+0-0-0</f>
        <v>4660.3193959999999</v>
      </c>
      <c r="O204" s="3">
        <f>5056.9+(817.2-930.5)+(-7.737057+(-1.250316--1.423665))+0-0-0</f>
        <v>4936.0362919999998</v>
      </c>
      <c r="P204" s="3">
        <f>5172.7+(763.2-837)+(-10.552308+(-1.556928--1.70748))+0-0-0</f>
        <v>5088.4982439999994</v>
      </c>
      <c r="Q204" s="3">
        <f>5342.8+(790.4-859.2)+(-10.899312+(-1.612416--1.752768))+0-0-0</f>
        <v>5263.2410399999999</v>
      </c>
      <c r="R204" s="3">
        <f>5332.7+(979.8-1096.4)+(-13.598385+(-2.49849--2.79582))+0-0-0</f>
        <v>5202.7989449999995</v>
      </c>
      <c r="S204" s="3">
        <f>5368.3+(1036.5-1331.1)+(2.737833+(0.528615-0.678861))+0-0-0</f>
        <v>5076.2875870000007</v>
      </c>
      <c r="T204" s="3">
        <f>5327+(894.3-1141)+(-10.86708+(-1.824372--2.32764))+0-0-0</f>
        <v>5069.9361880000006</v>
      </c>
      <c r="U204" s="3">
        <f>5313.4+(801-1070.4)+(-13.54917+(-2.04255--2.72952))+0-0-0</f>
        <v>5031.1378000000004</v>
      </c>
      <c r="V204" s="3">
        <f>5204.8+(596.7-722.6)+(-7.963344+(-0.912951--1.105578))+0-0-0</f>
        <v>5071.1292830000002</v>
      </c>
      <c r="W204" s="3">
        <f>5386.8+(527-679.2)+(5.494536+(0.53754-0.692784))+0-0-0</f>
        <v>5239.939292</v>
      </c>
      <c r="X204" s="3">
        <f>5850.1+(578.9-918.6)+(-14.917755+(-1.476195--2.34243))+0-0-0</f>
        <v>5496.3484800000006</v>
      </c>
      <c r="Y204" s="3">
        <f>5684.4+(559.5-848.5)+(-5.798088+(-0.57069--0.86547))+0-0-0</f>
        <v>5389.8966919999993</v>
      </c>
      <c r="Z204" s="3">
        <f>5589.3+(548.2-915.1)+(-8.551629+(-0.838746--1.400103))+0-0-0</f>
        <v>5214.4097280000005</v>
      </c>
      <c r="AA204" s="3">
        <f>5401.7+(535.3-1019.7)+(-11.019468+(-1.092012--2.080188))+0-0-0</f>
        <v>4907.2687079999996</v>
      </c>
      <c r="AB204" s="3">
        <f>5268+(413.7-1113.8)+(0+(0-0))+0-0-0</f>
        <v>4567.8999999999996</v>
      </c>
      <c r="AC204" s="3">
        <f>4997.6+(383.6-1172.6)+(-10.195104+(-0.782544--2.392104))+0-0-0</f>
        <v>4200.0144560000008</v>
      </c>
      <c r="AD204">
        <v>5449</v>
      </c>
      <c r="AE204" s="3">
        <f>5880+(658.6-1089.6)+(0+(0-0))+0-0-0</f>
        <v>5449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4862.2+(395.3-1483.9)+(0+(0-0))+0-0-0</f>
        <v>3773.5999999999995</v>
      </c>
      <c r="G205" s="3">
        <f>4730.4+(411.9-1611.3)+(-7.237512+(-0.630207--2.465289))+0-0-0</f>
        <v>3525.5975699999995</v>
      </c>
      <c r="H205" s="3">
        <f>4201.1+(351.9-1223.2)+(4.285122+(0.358938-1.247664))+0-0-0</f>
        <v>3333.1963960000003</v>
      </c>
      <c r="I205" s="3">
        <f>4124.5+(345.8-1223.6)+(-6.310485+(-0.529074--1.872108))+0-0-0</f>
        <v>3241.7325489999998</v>
      </c>
      <c r="J205" s="3">
        <f>4181.8+(373.3-1291.7)+(0+(0-0))+0-0-0</f>
        <v>3263.4</v>
      </c>
      <c r="K205" s="3">
        <f>4152.7+(332.2-1157.6)+(-6.353631+(-0.508266--1.771128))+0-0-0</f>
        <v>3322.2092310000003</v>
      </c>
      <c r="L205" s="3">
        <f>4159.3+(316.9-1003.8)+(-4.242486+(-0.323238--1.023876))+0-0-0</f>
        <v>3468.8581520000002</v>
      </c>
      <c r="M205" s="3">
        <f>4618.6+(415.5-1016.8)+(4.710972+(0.42381-1.037136))+0-0-0</f>
        <v>4021.3976460000003</v>
      </c>
      <c r="N205" s="3">
        <f>5006.2+(708.2-1124.2)+(-2.553162+(-0.361182--0.573342))+0-0-0</f>
        <v>4587.8589979999997</v>
      </c>
      <c r="O205" s="3">
        <f>5169.8+(943.8-1082.3)+(0+(0-0))+0-0-0</f>
        <v>5031.3</v>
      </c>
      <c r="P205" s="3">
        <f>5377.5+(1028.8-1168.3)+(-2.742525+(-0.524688--0.595833))+0-0-0</f>
        <v>5235.3286200000002</v>
      </c>
      <c r="Q205" s="3">
        <f>5408.9+(1123.9-1214.1)+(-8.275617+(-1.719567--1.857573))+0-0-0</f>
        <v>5310.5623889999997</v>
      </c>
      <c r="R205" s="3">
        <f>5380.6+(1148.5-1319.9)+(-10.976424+(-2.34294--2.692596))+0-0-0</f>
        <v>5198.5732320000006</v>
      </c>
      <c r="S205" s="3">
        <f>5365.4+(1198.9-1466.4)+(-5.472708+(-1.222878--1.495728))+0-0-0</f>
        <v>5092.7001419999997</v>
      </c>
      <c r="T205" s="3">
        <f>5490+(1193-1480.2)+(-5.5998+(-1.21686--1.509804))+0-0-0</f>
        <v>5197.493144</v>
      </c>
      <c r="U205" s="3">
        <f>5327.2+(1131.2-1223.2)+(-10.867488+(-2.307648--2.495328))+0-0-0</f>
        <v>5224.520192</v>
      </c>
      <c r="V205" s="3">
        <f>5016+(967.1-878.2)+(-7.67448+(-1.479663--1.343646))+0-0-0</f>
        <v>5097.0895029999992</v>
      </c>
      <c r="W205" s="3">
        <f>5140.4+(683.3-608.9)+(0+(0-0))+0-0-0</f>
        <v>5214.7999999999993</v>
      </c>
      <c r="X205" s="3">
        <f>5798.9+(557.3-868.4)+(-8.872317+(-0.852669--1.328652))+0-0-0</f>
        <v>5479.4036659999992</v>
      </c>
      <c r="Y205" s="3">
        <f>5899.8+(716.6-1252)+(-6.017796+(-0.730932--1.27704))+0-0-0</f>
        <v>5358.9283120000009</v>
      </c>
      <c r="Z205" s="3">
        <f>5771.9+(740.6-1322.6)+(-11.774676+(-1.510824--2.698104))+0-0-0</f>
        <v>5179.3126039999997</v>
      </c>
      <c r="AA205" s="3">
        <f>5427.7+(652.2-1191.2)+(-8.304381+(-0.997866--1.822536))+0-0-0</f>
        <v>4881.2202889999999</v>
      </c>
      <c r="AB205" s="3">
        <f>5255.3+(340.2-989.4)+(-13.401015+(-0.86751--2.52297))+0-0-0</f>
        <v>4594.3544449999999</v>
      </c>
      <c r="AC205" s="3">
        <f>5018.6+(366.1-1110.1)+(-12.79743+(-0.933555--2.830755))+0-0-0</f>
        <v>4263.6997700000002</v>
      </c>
      <c r="AD205">
        <v>5475.0999999999995</v>
      </c>
      <c r="AE205" s="3">
        <f>5863+(625.2-1013.1)+(0+(0-0))+0-0-0</f>
        <v>5475.1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4935.8+(545.6-1684.8)+(-10.069032+(-1.113024--3.436992))+0-0-0</f>
        <v>3788.8549360000002</v>
      </c>
      <c r="G206" s="3">
        <f>4825.8+(534.1-1877.1)+(-7.383474+(-0.817173--2.871963))+0-0-0</f>
        <v>3477.4713160000001</v>
      </c>
      <c r="H206" s="3">
        <f>4772.7+(408.5-1833.3)+(-7.302231+(-0.625005--2.804949))+0-0-0</f>
        <v>3342.7777129999995</v>
      </c>
      <c r="I206" s="3">
        <f>4748.8+(391.7-1824.3)+(-7.265664+(-0.599301--2.791179))+0-0-0</f>
        <v>3311.1262140000003</v>
      </c>
      <c r="J206" s="3">
        <f>4789.9+(404.2-1924.3)+(4.885698+(0.412284-1.962786))+0-0-0</f>
        <v>3273.1351959999997</v>
      </c>
      <c r="K206" s="3">
        <f>4761+(277.1-1701.9)+(-4.85622+(-0.282642--1.735938))+0-0-0</f>
        <v>3332.7970759999998</v>
      </c>
      <c r="L206" s="3">
        <f>4752.2+(224.5-1517)+(-4.847244+(-0.22899--1.54734))+0-0-0</f>
        <v>3456.1711059999998</v>
      </c>
      <c r="M206" s="3">
        <f>4986.3+(614.5-1600.2)+(2.543013+(0.313395-0.816102))+0-0-0</f>
        <v>4002.6403060000002</v>
      </c>
      <c r="N206" s="3">
        <f>5185.6+(858.2-1476.6)+(0+(0-0))+0-0-0</f>
        <v>4567.2000000000007</v>
      </c>
      <c r="O206" s="3">
        <f>5486.5+(960.5-1520.4)+(-2.798115+(-0.489855--0.775404))+0-0-0</f>
        <v>4924.087434</v>
      </c>
      <c r="P206" s="3">
        <f>5546.9+(999.2-1399.3)+(-5.657838+(-1.019184--1.427286))+0-0-0</f>
        <v>5141.5502639999995</v>
      </c>
      <c r="Q206" s="3">
        <f>5627.6+(1043.7-1375.1)+(-5.740152+(-1.064574--1.402602))+0-0-0</f>
        <v>5290.7978760000005</v>
      </c>
      <c r="R206" s="3">
        <f>5635.7+(1028.7-1446.5)+(-14.371035+(-2.623185--3.688575))+0-0-0</f>
        <v>5204.5943549999993</v>
      </c>
      <c r="S206" s="3">
        <f>5684.9+(1095.3-1669.7)+(-2.899299+(-0.558603--0.851547))+0-0-0</f>
        <v>5107.8936450000001</v>
      </c>
      <c r="T206" s="3">
        <f>5699.9+(1147.1-1698.4)+(-8.720847+(-1.755063--2.598552))+0-0-0</f>
        <v>5140.7226419999997</v>
      </c>
      <c r="U206" s="3">
        <f>5608.6+(899.7-1403.4)+(-11.441544+(-1.835388--2.862936))+0-0-0</f>
        <v>5094.4860040000003</v>
      </c>
      <c r="V206" s="3">
        <f>5396.8+(675.8-996.2)+(-8.257104+(-1.033974--1.524186))+0-0-0</f>
        <v>5068.633108</v>
      </c>
      <c r="W206" s="3">
        <f>5483.4+(600.1-849.3)+(-2.796534+(-0.306051--0.433143))+0-0-0</f>
        <v>5231.5305579999995</v>
      </c>
      <c r="X206" s="3">
        <f>5850.7+(691.7-1068.8)+(0+(0-0))+0-0-0</f>
        <v>5473.6</v>
      </c>
      <c r="Y206" s="3">
        <f>5682.8+(740.2-1088.9)+(-14.49114+(-1.88751--2.776695))+0-0-0</f>
        <v>5320.4980450000003</v>
      </c>
      <c r="Z206" s="3">
        <f>5458.7+(610-963.2)+(-2.783937+(-0.3111--0.491232))+0-0-0</f>
        <v>5102.8961950000003</v>
      </c>
      <c r="AA206" s="3">
        <f>5350.6+(599.6-1063.4)+(-10.915224+(-1.223184--2.169336))+0-0-0</f>
        <v>4876.8309280000003</v>
      </c>
      <c r="AB206" s="3">
        <f>5180.4+(594.2-1159.4)+(-7.926012+(-0.909126--1.773882))+0-0-0</f>
        <v>4608.1387439999999</v>
      </c>
      <c r="AC206" s="3">
        <f>5053+(488.9-1314.9)+(-12.88515+(-1.246695--3.352995))+0-0-0</f>
        <v>4216.2211500000003</v>
      </c>
      <c r="AD206">
        <v>5455.4</v>
      </c>
      <c r="AE206" s="3">
        <f>5884+(705.4-1134)+(0+(0-0))+0-0-0</f>
        <v>5455.4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5006.8+(401.1-1624.9)+(0+(0-0))+0-0-0</f>
        <v>3783</v>
      </c>
      <c r="G207" s="3">
        <f>4952.8+(311-1746)+(0+(0-0))+0-0-0</f>
        <v>3517.8</v>
      </c>
      <c r="H207" s="3">
        <f>4850.9+(322.3-1838.2)+(2.473959+(0.164373-0.937482))+0-0-0</f>
        <v>3336.7008499999997</v>
      </c>
      <c r="I207" s="3">
        <f>4817.5+(315.1-1862.1)+(-4.91385+(-0.321402--1.899342))+0-0-0</f>
        <v>3267.1640900000002</v>
      </c>
      <c r="J207" s="3">
        <f>4835.5+(290.7-1879.1)+(0+(0-0))+0-0-0</f>
        <v>3247.1000000000004</v>
      </c>
      <c r="K207" s="3">
        <f>4786.6+(238.2-1732.8)+(-12.20583+(-0.60741--4.41864))+0-0-0</f>
        <v>3283.6054000000004</v>
      </c>
      <c r="L207" s="3">
        <f>4818+(208.6-1699.7)+(-4.91436+(-0.212772--1.733694))+0-0-0</f>
        <v>3323.5065619999996</v>
      </c>
      <c r="M207" s="3">
        <f>5025.8+(335.5-1554.3)+(7.689474+(0.513315-2.378079))+0-0-0</f>
        <v>3812.8247099999999</v>
      </c>
      <c r="N207" s="3">
        <f>5403.8+(267.5-1451.4)+(0+(0-0))+0-0-0</f>
        <v>4219.8999999999996</v>
      </c>
      <c r="O207" s="3">
        <f>5528.9+(587.1-1384.4)+(-5.639478+(-0.598842--1.412088))+0-0-0</f>
        <v>4726.7737679999991</v>
      </c>
      <c r="P207" s="3">
        <f>5671.4+(775.7-1428.7)+(5.784828+(0.791214-1.457274))+0-0-0</f>
        <v>5023.5187679999999</v>
      </c>
      <c r="Q207" s="3">
        <f>5931.3+(841.2-1574.2)+(-9.074889+(-1.287036--2.408526))+0-0-0</f>
        <v>5190.3466010000002</v>
      </c>
      <c r="R207" s="3">
        <f>5872.7+(851.3-1649.4)+(-2.995077+(-0.434163--0.841194))+0-0-0</f>
        <v>5072.0119539999996</v>
      </c>
      <c r="S207" s="3">
        <f>5773.4+(964-1854.5)+(5.888868+(0.98328-1.89159))+0-0-0</f>
        <v>4887.8805579999998</v>
      </c>
      <c r="T207" s="3">
        <f>5759+(963.4-1868.4)+(2.93709+(0.491334-0.952884))+0-0-0</f>
        <v>4856.4755400000004</v>
      </c>
      <c r="U207" s="3">
        <f>5620.3+(887.4-1745.8)+(-14.331765+(-2.26287--4.45179))+0-0-0</f>
        <v>4749.7571550000002</v>
      </c>
      <c r="V207" s="3">
        <f>5465.2+(705.2-1456.9)+(-2.787252+(-0.359652--0.743019))+0-0-0</f>
        <v>4711.0961150000003</v>
      </c>
      <c r="W207" s="3">
        <f>5629.6+(428.8-1136.1)+(0+(0-0))+0-0-0</f>
        <v>4922.3</v>
      </c>
      <c r="X207" s="3">
        <f>5991.4+(446.6-1249.8)+(-9.166842+(-0.683298--1.912194))+0-0-0</f>
        <v>5180.2620539999998</v>
      </c>
      <c r="Y207" s="3">
        <f>5894.5+(533.3-1325.6)+(-12.02478+(-1.087932--2.704224))+0-0-0</f>
        <v>5091.7915119999998</v>
      </c>
      <c r="Z207" s="3">
        <f>5661.6+(508.2-1219.5)+(-14.43708+(-1.29591--3.109725))+0-0-0</f>
        <v>4937.676735</v>
      </c>
      <c r="AA207" s="3">
        <f>5624.6+(584-1466.2)+(-5.737092+(-0.59568--1.495524))+0-0-0</f>
        <v>4737.5627520000007</v>
      </c>
      <c r="AB207" s="3">
        <f>5557.4+(700.9-1730.9)+(-2.834274+(-0.357459--0.882759))+0-0-0</f>
        <v>4525.0910260000001</v>
      </c>
      <c r="AC207" s="3">
        <f>5382.3+(702-1855.7)+(-2.744973+(-0.35802--0.946407))+0-0-0</f>
        <v>4226.4434140000003</v>
      </c>
      <c r="AD207">
        <v>5202</v>
      </c>
      <c r="AE207" s="3">
        <f>6012.8+(411-1221.8)+(0+(0-0))+0-0-0</f>
        <v>5202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5000.5+(692.3-1931)+(0+(0-0))+0-0-0</f>
        <v>3761.8</v>
      </c>
      <c r="G208" s="3">
        <f>4883.9+(647.2-2086.4)+(0+(0-0))+0-0-0</f>
        <v>3444.7</v>
      </c>
      <c r="H208" s="3">
        <f>4839.4+(547.6-2128.6)+(2.468094+(0.279276-1.085586))+0-0-0</f>
        <v>3260.0617839999995</v>
      </c>
      <c r="I208" s="3">
        <f>4671+(498.8-1993.9)+(0+(0-0))+0-0-0</f>
        <v>3175.8999999999996</v>
      </c>
      <c r="J208" s="3">
        <f>4572+(399.1-1856.5)+(4.66344+(0.407082-1.89363))+0-0-0</f>
        <v>3117.7768919999999</v>
      </c>
      <c r="K208" s="3">
        <f>4467.1+(346-1689.3)+(-4.556442+(-0.35292--1.723086))+0-0-0</f>
        <v>3120.6137240000003</v>
      </c>
      <c r="L208" s="3">
        <f>4203.3+(417.9-1645.9)+(-4.287366+(-0.426258--1.678818))+0-0-0</f>
        <v>2972.2651940000001</v>
      </c>
      <c r="M208" s="3">
        <f>4357.3+(556.8-1824.6)+(6.666669+(0.851904-2.791638))+0-0-0</f>
        <v>3094.2269350000001</v>
      </c>
      <c r="N208" s="3">
        <f>4457.4+(756.2-1927.5)+(2.273274+(0.385662-0.983025))+0-0-0</f>
        <v>3287.7759109999993</v>
      </c>
      <c r="O208" s="3">
        <f>4435.9+(775.6-1571.3)+(-4.524618+(-0.791112--1.602726))+0-0-0</f>
        <v>3636.4869959999996</v>
      </c>
      <c r="P208" s="3">
        <f>4805.2+(788.2-1652)+(0+(0-0))+0-0-0</f>
        <v>3941.3999999999996</v>
      </c>
      <c r="Q208" s="3">
        <f>4832.7+(792.3-1519.6)+(-12.323385+(-2.020365--3.87498))+0-0-0</f>
        <v>4094.9312299999997</v>
      </c>
      <c r="R208" s="3">
        <f>4783+(842.4-1548.3)+(-7.31799+(-1.288872--2.368899))+0-0-0</f>
        <v>4070.8620369999999</v>
      </c>
      <c r="S208" s="3">
        <f>4839.5+(970.5-1779.7)+(4.93629+(0.98991-1.815294))+0-0-0</f>
        <v>4034.4109060000001</v>
      </c>
      <c r="T208" s="3">
        <f>4977.3+(1042.2-2009.3)+(-15.230538+(-3.189132--6.148458))+0-0-0</f>
        <v>3997.9287880000002</v>
      </c>
      <c r="U208" s="3">
        <f>5004.6+(760.6-1835.2)+(0+(0-0))+0-0-0</f>
        <v>3930.0000000000005</v>
      </c>
      <c r="V208" s="3">
        <f>5001.9+(630.2-1552.7)+(0+(0-0))+0-0-0</f>
        <v>4079.3999999999996</v>
      </c>
      <c r="W208" s="3">
        <f>5146.8+(584.7-1352.6)+(2.624868+(0.298197-0.689826))+0-0-0</f>
        <v>4381.1332390000007</v>
      </c>
      <c r="X208" s="3">
        <f>5417.9+(773.9-1475.8)+(-8.289387+(-1.184067--2.257974))+0-0-0</f>
        <v>4708.7845200000002</v>
      </c>
      <c r="Y208" s="3">
        <f>5457.1+(815.4-1565.9)+(-8.349363+(-1.247562--2.395827))+0-0-0</f>
        <v>4699.3989020000008</v>
      </c>
      <c r="Z208" s="3">
        <f>5486.6+(953.1-1789.1)+(2.798166+(0.486081-0.912441))+0-0-0</f>
        <v>4652.9718060000005</v>
      </c>
      <c r="AA208" s="3">
        <f>5417.1+(1065.1-2010.4)+(0+(0-0))+0-0-0</f>
        <v>4471.8</v>
      </c>
      <c r="AB208" s="3">
        <f>5220.1+(1135.6-1987.3)+(-7.986753+(-1.737468--3.040569))+0-0-0</f>
        <v>4361.7163480000008</v>
      </c>
      <c r="AC208" s="3">
        <f>5154.1+(991-2204.7)+(-13.142955+(-2.52705--5.621985))+0-0-0</f>
        <v>3930.3519800000004</v>
      </c>
      <c r="AD208">
        <v>4674.0999999999995</v>
      </c>
      <c r="AE208" s="3">
        <f>5403+(754.9-1483.8)+(0+(0-0))+0-0-0</f>
        <v>4674.1000000000004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4823.8+(708.1-1972.8)+(-12.30069+(-1.805655--5.03064))+0-0-0</f>
        <v>3550.0242950000002</v>
      </c>
      <c r="G209" s="3">
        <f>4610.8+(641.8-2004.3)+(-9.406032+(-1.309272--4.088772))+0-0-0</f>
        <v>3241.673468</v>
      </c>
      <c r="H209" s="3">
        <f>4543+(586.8-2005.1)+(-6.95079+(-0.897804--3.067803))+0-0-0</f>
        <v>3119.9192089999997</v>
      </c>
      <c r="I209" s="3">
        <f>4556.9+(653.1-2154.9)+(0+(0-0))+0-0-0</f>
        <v>3055.0999999999995</v>
      </c>
      <c r="J209" s="3">
        <f>4536.8+(606.9-2085.5)+(-6.941304+(-0.928557--3.190815))+0-0-0</f>
        <v>3053.5209540000001</v>
      </c>
      <c r="K209" s="3">
        <f>4498.7+(381.2-1731.5)+(-6.883011+(-0.583236--2.649195))+0-0-0</f>
        <v>3143.5829479999998</v>
      </c>
      <c r="L209" s="3">
        <f>4581.3+(288.8-1552.1)+(0+(0-0))+0-0-0</f>
        <v>3318</v>
      </c>
      <c r="M209" s="3">
        <f>4868.9+(559.7-1481.5)+(2.483139+(0.285447-0.755565))+0-0-0</f>
        <v>3949.1130209999997</v>
      </c>
      <c r="N209" s="3">
        <f>5242.4+(771-1465.2)+(2.673624+(0.39321-0.747252))+0-0-0</f>
        <v>4550.5195819999999</v>
      </c>
      <c r="O209" s="3">
        <f>5480.9+(814.5-1356.3)+(5.590518+(0.83079-1.383426))+0-0-0</f>
        <v>4944.1378819999991</v>
      </c>
      <c r="P209" s="3">
        <f>5445.3+(853-1100.6)+(-2.777103+(-0.43503--0.561306))+0-0-0</f>
        <v>5195.0491730000003</v>
      </c>
      <c r="Q209" s="3">
        <f>5477.6+(830.8-941.2)+(-5.587152+(-0.847416--0.960024))+0-0-0</f>
        <v>5361.725456000001</v>
      </c>
      <c r="R209" s="3">
        <f>5495+(872.6-1097.3)+(0+(0-0))+0-0-0</f>
        <v>5270.3</v>
      </c>
      <c r="S209" s="3">
        <f>5468.7+(914.4-1202.3)+(-2.789037+(-0.466344--0.613173))+0-0-0</f>
        <v>5178.157792</v>
      </c>
      <c r="T209" s="3">
        <f>5482+(938.1-1150.6)+(0+(0-0))+0-0-0</f>
        <v>5269.5</v>
      </c>
      <c r="U209" s="3">
        <f>5518+(920.7-1190.3)+(-8.44254+(-1.408671--1.821159))+0-0-0</f>
        <v>5240.3699479999996</v>
      </c>
      <c r="V209" s="3">
        <f>5461.7+(821.8-1153)+(-8.356401+(-1.257354--1.76409))+0-0-0</f>
        <v>5122.6503350000003</v>
      </c>
      <c r="W209" s="3">
        <f>5539.2+(401.8-605.1)+(0+(0-0))+0-0-0</f>
        <v>5335.9</v>
      </c>
      <c r="X209" s="3">
        <f>5791.2+(467.3-607.8)+(-11.814048+(-0.953292--1.239912))+0-0-0</f>
        <v>5639.1725719999995</v>
      </c>
      <c r="Y209" s="3">
        <f>5833.2+(630.8-991.3)+(0+(0-0))+0-0-0</f>
        <v>5472.7</v>
      </c>
      <c r="Z209" s="3">
        <f>5735+(782.8-1223.2)+(-11.6994+(-1.596912--2.495328))+0-0-0</f>
        <v>5283.7990159999999</v>
      </c>
      <c r="AA209" s="3">
        <f>5691.1+(895.2-1536.5)+(-2.902461+(-0.456552--0.783615))+0-0-0</f>
        <v>5047.2246020000002</v>
      </c>
      <c r="AB209" s="3">
        <f>5661.5+(823.4-1765.6)+(-14.436825+(-2.09967--4.50228))+0-0-0</f>
        <v>4707.2657850000005</v>
      </c>
      <c r="AC209" s="3">
        <f>5665+(645.4-2024.9)+(-2.88915+(-0.329154--1.032699))+0-0-0</f>
        <v>4283.3143950000003</v>
      </c>
      <c r="AD209">
        <v>5658.9</v>
      </c>
      <c r="AE209" s="3">
        <f>5808+(541.5-690.6)+(0+(0-0))+0-0-0</f>
        <v>5658.9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5475.4+(490-2224.8)+(-13.96227+(-1.2495--5.67324))+0-0-0</f>
        <v>3731.0614699999996</v>
      </c>
      <c r="G210" s="3">
        <f>5182.4+(324.2-2033.6)+(-2.643024+(-0.165342--1.037136))+0-0-0</f>
        <v>3471.2287700000002</v>
      </c>
      <c r="H210" s="3">
        <f>5057.8+(281.7-1993.5)+(-7.738434+(-0.431001--3.050055))+0-0-0</f>
        <v>3340.8806199999999</v>
      </c>
      <c r="I210" s="3">
        <f>4962.1+(268.6-1945.1)+(-2.530671+(-0.136986--0.992001))+0-0-0</f>
        <v>3283.9243440000005</v>
      </c>
      <c r="J210" s="3">
        <f>4926.3+(248-1896)+(0+(0-0))+0-0-0</f>
        <v>3278.3</v>
      </c>
      <c r="K210" s="3">
        <f>4953.9+(248.2-1826.8)+(-7.579467+(-0.379746--2.795004))+0-0-0</f>
        <v>3370.1357909999997</v>
      </c>
      <c r="L210" s="3">
        <f>4900.1+(272.8-1690.7)+(0+(0-0))+0-0-0</f>
        <v>3482.2000000000003</v>
      </c>
      <c r="M210" s="3">
        <f>5128.2+(385.4-1490.8)+(2.615382+(0.196554-0.760308))+0-0-0</f>
        <v>4024.8516279999999</v>
      </c>
      <c r="N210" s="3">
        <f>5468.5+(744.8-1690.2)+(2.788935+(0.379848-0.862002))+0-0-0</f>
        <v>4525.4067810000006</v>
      </c>
      <c r="O210" s="3">
        <f>5612.1+(868.7-1495.8)+(0+(0-0))+0-0-0</f>
        <v>4985</v>
      </c>
      <c r="P210" s="3">
        <f>5640.3+(911.9-1296.4)+(-2.876553+(-0.465069--0.661164))+0-0-0</f>
        <v>5253.1195420000004</v>
      </c>
      <c r="Q210" s="3">
        <f>5732.5+(1020.3-1276.5)+(5.84715+(1.040706-1.30203))+0-0-0</f>
        <v>5481.8858260000006</v>
      </c>
      <c r="R210" s="3">
        <f>5651.2+(1028.9-1351.8)+(-14.41056+(-2.623695--3.44709))+0-0-0</f>
        <v>5314.7128350000003</v>
      </c>
      <c r="S210" s="3">
        <f>5793.5+(1167.5-1725.7)+(0+(0-0))+0-0-0</f>
        <v>5235.3</v>
      </c>
      <c r="T210" s="3">
        <f>5800.9+(1163.4-1682.6)+(-5.916918+(-1.186668--1.716252))+0-0-0</f>
        <v>5276.3126659999998</v>
      </c>
      <c r="U210" s="3">
        <f>5781.6+(1145.2-1649.2)+(-14.74308+(-2.92026--4.20546))+0-0-0</f>
        <v>5264.1421200000004</v>
      </c>
      <c r="V210" s="3">
        <f>5627.1+(987.4-1390.4)+(-14.349105+(-2.51787--3.54552))+0-0-0</f>
        <v>5210.7785450000001</v>
      </c>
      <c r="W210" s="3">
        <f>5641.6+(656.5-854.9)+(5.754432+(0.66963-0.871998))+0-0-0</f>
        <v>5448.7520640000012</v>
      </c>
      <c r="X210" s="3">
        <f>5919.1+(569.7-837.9)+(-6.037482+(-0.581094--0.854658))+0-0-0</f>
        <v>5645.1360820000009</v>
      </c>
      <c r="Y210" s="3">
        <f>5897.4+(724.3-1099.7)+(0+(0-0))+0-0-0</f>
        <v>5522</v>
      </c>
      <c r="Z210" s="3">
        <f>5819.8+(822.7-1338.8)+(-2.968098+(-0.419577--0.682788))+0-0-0</f>
        <v>5300.9951130000009</v>
      </c>
      <c r="AA210" s="3">
        <f>5802.9+(975.1-1762.4)+(-11.837916+(-1.989204--3.595296))+0-0-0</f>
        <v>5005.368175999999</v>
      </c>
      <c r="AB210" s="3">
        <f>5801.7+(1051.3-2173.8)+(-11.835468+(-2.144652--4.434552))+0-0-0</f>
        <v>4669.6544320000003</v>
      </c>
      <c r="AC210" s="3">
        <f>5629.2+(936.3-2279.8)+(-17.225352+(-2.865078--6.976188))+0-0-0</f>
        <v>4272.5857580000002</v>
      </c>
      <c r="AD210">
        <v>5644.5999999999995</v>
      </c>
      <c r="AE210" s="3">
        <f>5959+(582.9-897.3)+(0+(0-0))+0-0-0</f>
        <v>5644.6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5200.3+(615.9-2047.2)+(-13.260765+(-1.570545--5.22036))+0-0-0</f>
        <v>3759.3890500000002</v>
      </c>
      <c r="G211" s="3">
        <f>5009.5+(438.5-1895.5)+(7.664535+(0.670905-2.900115))+0-0-0</f>
        <v>3557.9353249999999</v>
      </c>
      <c r="H211" s="3">
        <f>4871.7+(405.6-1874.1)+(-12.422835+(-1.03428--4.778955))+0-0-0</f>
        <v>3394.5218399999999</v>
      </c>
      <c r="I211" s="3">
        <f>4578.7+(439.4-1629.7)+(-7.005411+(-0.672282--2.493441))+0-0-0</f>
        <v>3383.2157479999996</v>
      </c>
      <c r="J211" s="3">
        <f>4517.2+(465-1682.3)+(-2.303772+(-0.23715--0.857973))+0-0-0</f>
        <v>3298.2170509999996</v>
      </c>
      <c r="K211" s="3">
        <f>4525.1+(373.2-1516.9)+(2.307801+(0.190332-0.773619))+0-0-0</f>
        <v>3383.1245140000005</v>
      </c>
      <c r="L211" s="3">
        <f>4523.9+(360.5-1372.1)+(0+(0-0))+0-0-0</f>
        <v>3512.2999999999997</v>
      </c>
      <c r="M211" s="3">
        <f>4879.3+(527.8-1379.2)+(2.488443+(0.269178-0.703392))+0-0-0</f>
        <v>4029.9542289999999</v>
      </c>
      <c r="N211" s="3">
        <f>5340+(731.6-1417.1)+(2.7234+(0.373116-0.722721))+0-0-0</f>
        <v>4656.8737950000004</v>
      </c>
      <c r="O211" s="3">
        <f>5508.7+(954.2-1398.7)+(-8.428311+(-1.459926--2.140011))+0-0-0</f>
        <v>5056.4517740000001</v>
      </c>
      <c r="P211" s="3">
        <f>5645+(1108.1-1445.1)+(5.7579+(1.130262-1.474002))+0-0-0</f>
        <v>5313.4141600000003</v>
      </c>
      <c r="Q211" s="3">
        <f>5662.9+(1203.8-1429.7)+(0+(0-0))+0-0-0</f>
        <v>5437</v>
      </c>
      <c r="R211" s="3">
        <f>5604.9+(1252.5-1488.5)+(-2.858499+(-0.638775--0.759135))+0-0-0</f>
        <v>5366.1618609999996</v>
      </c>
      <c r="S211" s="3">
        <f>5578.3+(1302.4-1638.3)+(-2.844933+(-0.664224--0.835533))+0-0-0</f>
        <v>5239.7263760000005</v>
      </c>
      <c r="T211" s="3">
        <f>5607.5+(1348.3-1582)+(2.859825+(0.687633-0.80682))+0-0-0</f>
        <v>5376.5406380000004</v>
      </c>
      <c r="U211" s="3">
        <f>5563.7+(1361.8-1579.3)+(0+(0-0))+0-0-0</f>
        <v>5346.2</v>
      </c>
      <c r="V211" s="3">
        <f>5538.9+(1156.9-1373.8)+(-11.299356+(-2.360076--2.802552))+0-0-0</f>
        <v>5311.1431199999997</v>
      </c>
      <c r="W211" s="3">
        <f>5644.2+(684.7-825.7)+(8.635626+(1.047591-1.263321))+0-0-0</f>
        <v>5511.6198960000002</v>
      </c>
      <c r="X211" s="3">
        <f>5890.3+(686-913.1)+(-18.024318+(-2.09916--2.794086))+0-0-0</f>
        <v>5645.8706080000002</v>
      </c>
      <c r="Y211" s="3">
        <f>5915.5+(857.4-1295.1)+(3.016905+(0.437274-0.660501))+0-0-0</f>
        <v>5480.5936780000002</v>
      </c>
      <c r="Z211" s="3">
        <f>5841.9+(1031.5-1545.5)+(-2.979369+(-0.526065--0.788205))+0-0-0</f>
        <v>5325.1827709999998</v>
      </c>
      <c r="AA211" s="3">
        <f>5828.9+(1022.1-1854.4)+(-8.918217+(-1.563813--2.837232))+0-0-0</f>
        <v>4988.9552019999992</v>
      </c>
      <c r="AB211" s="3">
        <f>5617.2+(743.6-1645.1)+(-11.459088+(-1.516944--3.356004))+0-0-0</f>
        <v>4706.0799719999995</v>
      </c>
      <c r="AC211" s="3">
        <f>5382.1+(695-1756)+(-5.489742+(-0.7089--1.79112))+0-0-0</f>
        <v>4316.6924779999999</v>
      </c>
      <c r="AD211">
        <v>5655.8</v>
      </c>
      <c r="AE211" s="3">
        <f>5873+(719.6-936.8)+(0+(0-0))+0-0-0</f>
        <v>5655.8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5024.3+(602-1720.1)+(-12.811965+(-1.5351--4.386255))+0-0-0</f>
        <v>3896.2391900000002</v>
      </c>
      <c r="G212" s="3">
        <f>4816.1+(509.4-1714.1)+(-2.456211+(-0.259794--0.874191))+0-0-0</f>
        <v>3609.5581860000007</v>
      </c>
      <c r="H212" s="3">
        <f>4737.1+(541.7-1816.8)+(4.831842+(0.552534-1.853136))+0-0-0</f>
        <v>3465.5312400000003</v>
      </c>
      <c r="I212" s="3">
        <f>4636.1+(510.6-1789.5)+(-9.457644+(-1.041624--3.65058))+0-0-0</f>
        <v>3350.3513120000002</v>
      </c>
      <c r="J212" s="3">
        <f>4560.4+(466.2-1675.7)+(2.325804+(0.237762-0.854607))+0-0-0</f>
        <v>3352.6089589999997</v>
      </c>
      <c r="K212" s="3">
        <f>4541.1+(409-1521.8)+(-4.631922+(-0.41718--1.552236))+0-0-0</f>
        <v>3424.8031340000002</v>
      </c>
      <c r="L212" s="3">
        <f>4444.5+(360.6-1268.5)+(-6.800085+(-0.551718--1.940805))+0-0-0</f>
        <v>3531.1890020000001</v>
      </c>
      <c r="M212" s="3">
        <f>4688.4+(514.2-1135.2)+(4.782168+(0.524484-1.157904))+0-0-0</f>
        <v>4071.5487479999997</v>
      </c>
      <c r="N212" s="3">
        <f>5172+(749.6-1218.8)+(0+(0-0))+0-0-0</f>
        <v>4702.8</v>
      </c>
      <c r="O212" s="3">
        <f>5410.1+(977.2-1289.3)+(-2.759151+(-0.498372--0.657543))+0-0-0</f>
        <v>5095.40002</v>
      </c>
      <c r="P212" s="3">
        <f>5680.7+(1246.6-1577.3)+(2.897157+(0.635766-0.804423))+0-0-0</f>
        <v>5352.7285000000002</v>
      </c>
      <c r="Q212" s="3">
        <f>5604.3+(1155.2-1326.8)+(-14.290965+(-2.94576--3.38334))+0-0-0</f>
        <v>5418.8466150000004</v>
      </c>
      <c r="R212" s="3">
        <f>5634.4+(1215.2-1330.8)+(-2.873544+(-0.619752--0.678708))+0-0-0</f>
        <v>5515.9854119999991</v>
      </c>
      <c r="S212" s="3">
        <f>5647.4+(1225.2-1361.8)+(0+(0-0))+0-0-0</f>
        <v>5510.7999999999993</v>
      </c>
      <c r="T212" s="3">
        <f>5765.5+(1309-1718.5)+(-8.821215+(-2.00277--2.629305))+0-0-0</f>
        <v>5347.8053200000004</v>
      </c>
      <c r="U212" s="3">
        <f>5752.7+(1279-1716.5)+(0+(0-0))+0-0-0</f>
        <v>5315.2</v>
      </c>
      <c r="V212" s="3">
        <f>5749+(1084.7-1573.8)+(-17.59194+(-3.319182--4.815828))+0-0-0</f>
        <v>5243.8047059999999</v>
      </c>
      <c r="W212" s="3">
        <f>5670.7+(768-958.6)+(5.784114+(0.78336-0.977772))+0-0-0</f>
        <v>5485.6897019999997</v>
      </c>
      <c r="X212" s="3">
        <f>5966.9+(713.3-1029.9)+(-18.258714+(-2.182698--3.151494))+0-0-0</f>
        <v>5633.0100819999989</v>
      </c>
      <c r="Y212" s="3">
        <f>5800.3+(804-1175)+(-8.874459+(-1.23012--1.79775))+0-0-0</f>
        <v>5420.9931710000001</v>
      </c>
      <c r="Z212" s="3">
        <f>5659.5+(843.7-1209)+(-14.431725+(-2.151435--3.08295))+0-0-0</f>
        <v>5280.6997899999997</v>
      </c>
      <c r="AA212" s="3">
        <f>5401+(723.1-1194)+(-11.01804+(-1.475124--2.43576))+0-0-0</f>
        <v>4920.0425960000002</v>
      </c>
      <c r="AB212" s="3">
        <f>5211.6+(457.1-1007.7)+(-2.657916+(-0.233121--0.513927))+0-0-0</f>
        <v>4658.6228899999996</v>
      </c>
      <c r="AC212" s="3">
        <f>4920.9+(477.6-1086.1)+(-2.509659+(-0.243576--0.553911))+0-0-0</f>
        <v>4310.2006759999995</v>
      </c>
      <c r="AD212">
        <v>5656.2999999999993</v>
      </c>
      <c r="AE212" s="3">
        <f>5980+(749.4-1073.1)+(0+(0-0))+0-0-0</f>
        <v>5656.3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4762.2+(620.6-1504.1)+(-7.286166+(-0.949518--2.301273))+0-0-0</f>
        <v>3872.7655889999996</v>
      </c>
      <c r="G213" s="3">
        <f>4769.1+(537-1777.4)+(4.864482+(0.54774-1.812948))+0-0-0</f>
        <v>3532.2992740000004</v>
      </c>
      <c r="H213" s="3">
        <f>4602.1+(465-1679)+(-2.347071+(-0.23715--0.85629))+0-0-0</f>
        <v>3386.3720690000005</v>
      </c>
      <c r="I213" s="3">
        <f>4544.8+(443.6-1653.8)+(6.953544+(0.678708-2.530314))+0-0-0</f>
        <v>3339.7019380000002</v>
      </c>
      <c r="J213" s="3">
        <f>4540+(366-1595.1)+(2.3154+(0.18666-0.813501))+0-0-0</f>
        <v>3312.5885590000003</v>
      </c>
      <c r="K213" s="3">
        <f>4507.8+(271.9-1403.6)+(-9.195912+(-0.554676--2.863344))+0-0-0</f>
        <v>3369.2127560000004</v>
      </c>
      <c r="L213" s="3">
        <f>4515.1+(245.7-1256.1)+(-9.210804+(-0.501228--2.562444))+0-0-0</f>
        <v>3497.5504120000005</v>
      </c>
      <c r="M213" s="3">
        <f>4796.2+(423.3-1221.1)+(2.446062+(0.215883-0.622761))+0-0-0</f>
        <v>4000.4391839999998</v>
      </c>
      <c r="N213" s="3">
        <f>5123.8+(773.3-1262.5)+(0+(0-0))+0-0-0</f>
        <v>4634.6000000000004</v>
      </c>
      <c r="O213" s="3">
        <f>5244.3+(823.4-1141.7)+(-5.349186+(-0.839868--1.164534))+0-0-0</f>
        <v>4920.9754800000001</v>
      </c>
      <c r="P213" s="3">
        <f>5550.8+(920.3-1120.1)+(-5.661816+(-0.938706--1.142502))+0-0-0</f>
        <v>5345.54198</v>
      </c>
      <c r="Q213" s="3">
        <f>5538.2+(939.8-1061)+(-11.297928+(-1.917192--2.16444))+0-0-0</f>
        <v>5405.9493199999997</v>
      </c>
      <c r="R213" s="3">
        <f>5493.2+(957-1149.4)+(-8.404596+(-1.46421--1.758582))+0-0-0</f>
        <v>5292.6897759999993</v>
      </c>
      <c r="S213" s="3">
        <f>5497.4+(1033.6-1319)+(-5.607348+(-1.054272--1.34538))+0-0-0</f>
        <v>5206.6837599999999</v>
      </c>
      <c r="T213" s="3">
        <f>5618+(1041.7-1423.4)+(0+(0-0))+0-0-0</f>
        <v>5236.3</v>
      </c>
      <c r="U213" s="3">
        <f>5638+(1065.5-1484.1)+(-5.75076+(-1.08681--1.513782))+0-0-0</f>
        <v>5214.0762119999999</v>
      </c>
      <c r="V213" s="3">
        <f>5360.1+(784.3-951.2)+(0+(0-0))+0-0-0</f>
        <v>5193.2000000000007</v>
      </c>
      <c r="W213" s="3">
        <f>5609.3+(581.9-719.7)+(-2.860743+(-0.296769--0.367047))+0-0-0</f>
        <v>5468.709535</v>
      </c>
      <c r="X213" s="3">
        <f>5930.3+(586.6-950.2)+(-15.122265+(-1.49583--2.42301))+0-0-0</f>
        <v>5552.5049149999995</v>
      </c>
      <c r="Y213" s="3">
        <f>5795.7+(421.2-874)+(-8.867421+(-0.644436--1.33722))+0-0-0</f>
        <v>5334.7253629999996</v>
      </c>
      <c r="Z213" s="3">
        <f>5531.3+(480.3-756.5)+(-8.462889+(-0.734859--1.157445))+0-0-0</f>
        <v>5247.0596970000006</v>
      </c>
      <c r="AA213" s="3">
        <f>5441.2+(595.1-1023.7)+(-8.325036+(-0.910503--1.566261))+0-0-0</f>
        <v>5004.9307219999992</v>
      </c>
      <c r="AB213" s="3">
        <f>5403.2+(449.5-1125.5)+(0+(0-0))+0-0-0</f>
        <v>4727.2</v>
      </c>
      <c r="AC213" s="3">
        <f>5334.2+(450.2-1335.4)+(-10.881768+(-0.918408--2.724216))+0-0-0</f>
        <v>4439.9240399999999</v>
      </c>
      <c r="AD213">
        <v>5606.8</v>
      </c>
      <c r="AE213" s="3">
        <f>5966+(649.1-1008.3)+(0+(0-0))+0-0-0</f>
        <v>5606.8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5277.7+(295.7-1667.5)+(-8.074881+(-0.452421--2.551275))+0-0-0</f>
        <v>3899.9239729999995</v>
      </c>
      <c r="G214" s="3">
        <f>5163.3+(266.3-1832.9)+(-2.633283+(-0.135813--0.934779))+0-0-0</f>
        <v>3594.865683</v>
      </c>
      <c r="H214" s="3">
        <f>4881.7+(261.3-1723)+(-14.938002+(-0.799578--5.27238))+0-0-0</f>
        <v>3409.5347999999999</v>
      </c>
      <c r="I214" s="3">
        <f>4576.1+(217.6-1460.2)+(-7.001433+(-0.332928--2.234106))+0-0-0</f>
        <v>3328.3997450000002</v>
      </c>
      <c r="J214" s="3">
        <f>4566.1+(215.1-1473.1)+(0+(0-0))+0-0-0</f>
        <v>3308.1000000000004</v>
      </c>
      <c r="K214" s="3">
        <f>4567.5+(170.5-1401.6)+(-2.329425+(-0.086955--0.714816))+0-0-0</f>
        <v>3334.6984360000001</v>
      </c>
      <c r="L214" s="3">
        <f>4551.5+(154.2-1298.3)+(-6.963795+(-0.235926--1.986399))+0-0-0</f>
        <v>3402.186678</v>
      </c>
      <c r="M214" s="3">
        <f>4697.6+(297.1-1168)+(2.395776+(0.151521-0.59568))+0-0-0</f>
        <v>3828.6516170000004</v>
      </c>
      <c r="N214" s="3">
        <f>4910.5+(559.4-1111)+(7.513065+(0.855882-1.69983))+0-0-0</f>
        <v>4365.569117</v>
      </c>
      <c r="O214" s="3">
        <f>5137+(680.2-950.8)+(0+(0-0))+0-0-0</f>
        <v>4866.3999999999996</v>
      </c>
      <c r="P214" s="3">
        <f>5161+(596.6-748.6)+(5.26422+(0.608532-0.763572))+0-0-0</f>
        <v>5014.1091800000004</v>
      </c>
      <c r="Q214" s="3">
        <f>5131.5+(646-647.7)+(-2.617065+(-0.32946--0.330327))+0-0-0</f>
        <v>5127.1838020000005</v>
      </c>
      <c r="R214" s="3">
        <f>5094.6+(585.9-688)+(-7.794738+(-0.896427--1.05264))+0-0-0</f>
        <v>4984.8614749999997</v>
      </c>
      <c r="S214" s="3">
        <f>5148.4+(676.1-985.8)+(-15.754104+(-2.068866--3.016548))+0-0-0</f>
        <v>4823.8935780000002</v>
      </c>
      <c r="T214" s="3">
        <f>5212.6+(683.4-1103.6)+(-5.316852+(-0.697068--1.125672))+0-0-0</f>
        <v>4787.5117520000003</v>
      </c>
      <c r="U214" s="3">
        <f>5227.4+(631.2-1245.4)+(-7.997922+(-0.965736--1.905462))+0-0-0</f>
        <v>4606.1418039999999</v>
      </c>
      <c r="V214" s="3">
        <f>5181+(528.5-1147)+(-7.92693+(-0.808605--1.75491))+0-0-0</f>
        <v>4555.5193749999999</v>
      </c>
      <c r="W214" s="3">
        <f>5380.5+(549.5-1075.4)+(-8.232165+(-0.840735--1.645362))+0-0-0</f>
        <v>4847.1724620000005</v>
      </c>
      <c r="X214" s="3">
        <f>5719.2+(599.4-1250.4)+(-17.500752+(-1.834164--3.826224))+0-0-0</f>
        <v>5052.6913079999995</v>
      </c>
      <c r="Y214" s="3">
        <f>5596.1+(623.3-1263.5)+(-8.562033+(-0.953649--1.933155))+0-0-0</f>
        <v>4948.317473000001</v>
      </c>
      <c r="Z214" s="3">
        <f>5272.4+(379.3-891.2)+(-2.688924+(-0.193443--0.454512))+0-0-0</f>
        <v>4758.0721450000001</v>
      </c>
      <c r="AA214" s="3">
        <f>5062.5+(319.1-788.6)+(-5.16375+(-0.325482--0.804372))+0-0-0</f>
        <v>4588.3151399999997</v>
      </c>
      <c r="AB214" s="3">
        <f>5069.7+(275.4-928.8)+(-7.756641+(-0.421362--1.421064))+0-0-0</f>
        <v>4409.5430610000003</v>
      </c>
      <c r="AC214" s="3">
        <f>4861.4+(315.4-1082.6)+(-12.39657+(-0.80427--2.76063))+0-0-0</f>
        <v>4083.7597899999996</v>
      </c>
      <c r="AD214">
        <v>5034.1000000000004</v>
      </c>
      <c r="AE214" s="3">
        <f>5768+(619.8-1353.7)+(0+(0-0))+0-0-0</f>
        <v>5034.1000000000004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4667.6+(527.2-1444.5)+(-7.141428+(-0.806616--2.210085))+0-0-0</f>
        <v>3744.5620410000001</v>
      </c>
      <c r="G215" s="3">
        <f>4281.9+(710.5-1545.2)+(-8.735076+(-1.44942--3.152208))+0-0-0</f>
        <v>3440.1677119999999</v>
      </c>
      <c r="H215" s="3">
        <f>4139.4+(645.6-1558.1)+(-10.55547+(-1.64628--3.973155))+0-0-0</f>
        <v>3218.6714049999996</v>
      </c>
      <c r="I215" s="3">
        <f>4051.2+(587.7-1486.3)+(-8.264448+(-1.198908--3.032052))+0-0-0</f>
        <v>3146.1686959999997</v>
      </c>
      <c r="J215" s="3">
        <f>4044+(534.8-1481)+(-2.06244+(-0.272748--0.75531))+0-0-0</f>
        <v>3096.2201220000002</v>
      </c>
      <c r="K215" s="3">
        <f>3983.4+(526.1-1401.3)+(-2.031534+(-0.268311--0.714663))+0-0-0</f>
        <v>3106.6148180000005</v>
      </c>
      <c r="L215" s="3">
        <f>3926.1+(536.3-1477.7)+(0+(0-0))+0-0-0</f>
        <v>2984.7</v>
      </c>
      <c r="M215" s="3">
        <f>3997.5+(450.9-1479.7)+(-2.038725+(-0.229959--0.754647))+0-0-0</f>
        <v>2967.1859629999999</v>
      </c>
      <c r="N215" s="3">
        <f>4296.9+(526.8-1584.4)+(-4.382838+(-0.537336--1.616088))+0-0-0</f>
        <v>3235.9959139999992</v>
      </c>
      <c r="O215" s="3">
        <f>4350.5+(595.1-1500.7)+(-4.43751+(-0.607002--1.530714))+0-0-0</f>
        <v>3441.3862020000001</v>
      </c>
      <c r="P215" s="3">
        <f>4404.6+(555.3-1229.8)+(-6.739038+(-0.849609--1.881594))+0-0-0</f>
        <v>3724.3929470000003</v>
      </c>
      <c r="Q215" s="3">
        <f>4496.8+(532-1144.3)+(0+(0-0))+0-0-0</f>
        <v>3884.5</v>
      </c>
      <c r="R215" s="3">
        <f>4425+(537-1086.3)+(-9.027+(-1.09548--2.216052))+0-0-0</f>
        <v>3867.793572</v>
      </c>
      <c r="S215" s="3">
        <f>4375.2+(546.3-1114)+(-8.925408+(-1.114452--2.27256))+0-0-0</f>
        <v>3799.7327</v>
      </c>
      <c r="T215" s="3">
        <f>4366+(510.4-1143.8)+(-4.45332+(-0.520608--1.166676))+0-0-0</f>
        <v>3728.7927479999998</v>
      </c>
      <c r="U215" s="3">
        <f>4353.6+(475-1171.5)+(-2.220336+(-0.24225--0.597465))+0-0-0</f>
        <v>3655.2348790000005</v>
      </c>
      <c r="V215" s="3">
        <f>4353+(520.2-1089.9)+(0+(0-0))+0-0-0</f>
        <v>3783.3</v>
      </c>
      <c r="W215" s="3">
        <f>4596.3+(716.5-1193.1)+(-7.032339+(-1.096245--1.825443))+0-0-0</f>
        <v>4113.3968590000004</v>
      </c>
      <c r="X215" s="3">
        <f>4933.1+(687.4-1107.6)+(-10.063524+(-1.402296--2.259504))+0-0-0</f>
        <v>4503.6936840000008</v>
      </c>
      <c r="Y215" s="3">
        <f>4913.5+(687.5-1086)+(-7.517655+(-1.051875--1.66158))+0-0-0</f>
        <v>4508.0920500000002</v>
      </c>
      <c r="Z215" s="3">
        <f>4818.9+(710-1062.9)+(-12.288195+(-1.8105--2.710395))+0-0-0</f>
        <v>4454.6117000000004</v>
      </c>
      <c r="AA215" s="3">
        <f>4510.2+(517.1-817.8)+(-9.200808+(-1.054884--1.668312))+0-0-0</f>
        <v>4200.9126200000001</v>
      </c>
      <c r="AB215" s="3">
        <f>4376.1+(436.2-684.4)+(-11.159055+(-1.11231--1.74522))+0-0-0</f>
        <v>4117.3738550000007</v>
      </c>
      <c r="AC215" s="3">
        <f>4178.6+(382.1-784.4)+(-10.65543+(-0.974355--2.00022))+0-0-0</f>
        <v>3766.670435</v>
      </c>
      <c r="AD215">
        <v>4631</v>
      </c>
      <c r="AE215" s="3">
        <f>4921+(746-1036)+(0+(0-0))+0-0-0</f>
        <v>4631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4081+(450-1137.4)+(-4.16262+(-0.459--1.160148))+0-0-0</f>
        <v>3390.138528</v>
      </c>
      <c r="G216" s="3">
        <f>4036.2+(465.5-1378.6)+(-4.116924+(-0.47481--1.406172))+0-0-0</f>
        <v>3119.9144379999998</v>
      </c>
      <c r="H216" s="3">
        <f>3919.7+(416.3-1383.6)+(-7.996188+(-0.849252--2.822544))+0-0-0</f>
        <v>2946.3771039999997</v>
      </c>
      <c r="I216" s="3">
        <f>3859.3+(377.3-1305.9)+(-3.936486+(-0.384846--1.332018))+0-0-0</f>
        <v>2927.7106859999999</v>
      </c>
      <c r="J216" s="3">
        <f>3895.8+(315.2-1302.2)+(3.973716+(0.321504-1.328244))+0-0-0</f>
        <v>2911.7669760000003</v>
      </c>
      <c r="K216" s="3">
        <f>3944.1+(342.3-1247.1)+(10.057455+(0.872865-3.180105))+0-0-0</f>
        <v>3047.0502150000002</v>
      </c>
      <c r="L216" s="3">
        <f>4039.9+(430.4-1143.6)+(-2.060349+(-0.219504--0.583236))+0-0-0</f>
        <v>3325.0033830000002</v>
      </c>
      <c r="M216" s="3">
        <f>4279.6+(572.9-1158.4)+(0+(0-0))+0-0-0</f>
        <v>3694.1000000000004</v>
      </c>
      <c r="N216" s="3">
        <f>4398.1+(806.7-890.7)+(-2.243031+(-0.411417--0.454257))+0-0-0</f>
        <v>4311.8998090000005</v>
      </c>
      <c r="O216" s="3">
        <f>4646+(798.5-767.1)+(-9.47784+(-1.62894--1.564884))+0-0-0</f>
        <v>4667.8581039999999</v>
      </c>
      <c r="P216" s="3">
        <f>4870.5+(778.3-724.2)+(-2.483955+(-0.396933--0.369342))+0-0-0</f>
        <v>4922.0884540000006</v>
      </c>
      <c r="Q216" s="3">
        <f>4812.5+(884.8-666)+(-7.363125+(-1.353744--1.01898))+0-0-0</f>
        <v>5023.6021110000001</v>
      </c>
      <c r="R216" s="3">
        <f>4758.1+(852.3-685.7)+(-12.133155+(-2.173365--1.748535))+0-0-0</f>
        <v>4912.1420150000004</v>
      </c>
      <c r="S216" s="3">
        <f>4758.1+(771.5-683.8)+(-2.426631+(-0.393465--0.348738))+0-0-0</f>
        <v>4843.3286420000004</v>
      </c>
      <c r="T216" s="3">
        <f>4782.5+(772.1-605.2)+(0+(0-0))+0-0-0</f>
        <v>4949.3999999999996</v>
      </c>
      <c r="U216" s="3">
        <f>4772.3+(752-590.6)+(-2.433873+(-0.38352--0.301206))+0-0-0</f>
        <v>4931.1838129999996</v>
      </c>
      <c r="V216" s="3">
        <f>4798.5+(699.6-576.2)+(4.89447+(0.713592-0.587724))+0-0-0</f>
        <v>4926.9203379999999</v>
      </c>
      <c r="W216" s="3">
        <f>4866.5+(969.4-616.1)+(4.96383+(0.988788-0.628422))+0-0-0</f>
        <v>5225.1241959999998</v>
      </c>
      <c r="X216" s="3">
        <f>4945+(1288.5-790)+(-10.0878+(-2.62854--1.6116))+0-0-0</f>
        <v>5432.3952600000002</v>
      </c>
      <c r="Y216" s="3">
        <f>4924.1+(1135.9-756.5)+(-10.045164+(-2.317236--1.54326))+0-0-0</f>
        <v>5292.6808600000004</v>
      </c>
      <c r="Z216" s="3">
        <f>4890.1+(955.3-718.5)+(-9.975804+(-1.948812--1.46574))+0-0-0</f>
        <v>5116.4411240000009</v>
      </c>
      <c r="AA216" s="3">
        <f>4823+(793.7-749.5)+(-4.91946+(-0.809574--0.76449))+0-0-0</f>
        <v>4862.2354559999994</v>
      </c>
      <c r="AB216" s="3">
        <f>4690.8+(693.9-809.9)+(-11.96154+(-1.769445--2.065245))+0-0-0</f>
        <v>4563.1342599999998</v>
      </c>
      <c r="AC216" s="3">
        <f>4492+(408-758.9)+(-2.29092+(-0.20808--0.387039))+0-0-0</f>
        <v>4138.9880390000008</v>
      </c>
      <c r="AD216">
        <v>5464.7</v>
      </c>
      <c r="AE216" s="3">
        <f>4925+(1302-762.3)+(0+(0-0))+0-0-0</f>
        <v>5464.7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4469+(455.9-1199.6)+(-4.55838+(-0.465018--1.223592))+0-0-0</f>
        <v>3721.5001940000002</v>
      </c>
      <c r="G217" s="3">
        <f>4238+(393-1171.2)+(-4.32276+(-0.40086--1.194624))+0-0-0</f>
        <v>3456.2710040000002</v>
      </c>
      <c r="H217" s="3">
        <f>4034.1+(362.3-1069.7)+(0+(0-0))+0-0-0</f>
        <v>3326.7</v>
      </c>
      <c r="I217" s="3">
        <f>4066.3+(308.5-1109.1)+(4.147626+(0.31467-1.131282))+0-0-0</f>
        <v>3269.0310140000001</v>
      </c>
      <c r="J217" s="3">
        <f>4037.6+(276.9-1031.9)+(2.059176+(0.141219-0.526269))+0-0-0</f>
        <v>3284.2741259999998</v>
      </c>
      <c r="K217" s="3">
        <f>4059.2+(355.2-1074.7)+(0+(0-0))+0-0-0</f>
        <v>3339.7</v>
      </c>
      <c r="L217" s="3">
        <f>4073.8+(358.2-977.1)+(8.310552+(0.730728-1.993284))+0-0-0</f>
        <v>3461.9479959999999</v>
      </c>
      <c r="M217" s="3">
        <f>4177.2+(429-733.7)+(4.260744+(0.43758-0.748374))+0-0-0</f>
        <v>3876.4499500000002</v>
      </c>
      <c r="N217" s="3">
        <f>4515.9+(808.7-856.2)+(-2.303109+(-0.412437--0.436662))+0-0-0</f>
        <v>4466.1211159999993</v>
      </c>
      <c r="O217" s="3">
        <f>4822.3+(916.8-918.1)+(2.459373+(0.467568-0.468231))+0-0-0</f>
        <v>4823.4587099999999</v>
      </c>
      <c r="P217" s="3">
        <f>4839.9+(913.2-736)+(-7.405047+(-1.397196--1.12608))+0-0-0</f>
        <v>5009.4238369999994</v>
      </c>
      <c r="Q217" s="3">
        <f>4869.1+(913.6-682.4)+(-2.483241+(-0.465936--0.348024))+0-0-0</f>
        <v>5097.6988470000006</v>
      </c>
      <c r="R217" s="3">
        <f>4689.9+(965.5-610.3)+(-11.959245+(-2.462025--1.556265))+0-0-0</f>
        <v>5032.2349949999998</v>
      </c>
      <c r="S217" s="3">
        <f>4693.8+(899.2-688.8)+(-2.393838+(-0.458592--0.351288))+0-0-0</f>
        <v>4901.6988580000007</v>
      </c>
      <c r="T217" s="3">
        <f>4700.8+(889.2-586.6)+(0+(0-0))+0-0-0</f>
        <v>5003.4000000000005</v>
      </c>
      <c r="U217" s="3">
        <f>4570.8+(942.9-541.2)+(-13.986648+(-2.885274--1.656072))+0-0-0</f>
        <v>4957.2841500000004</v>
      </c>
      <c r="V217" s="3">
        <f>4482.2+(982.1-535.8)+(-2.285922+(-0.500871--0.273258))+0-0-0</f>
        <v>4925.986465</v>
      </c>
      <c r="W217" s="3">
        <f>4728.9+(1177.9-651.5)+(0+(0-0))+0-0-0</f>
        <v>5255.2999999999993</v>
      </c>
      <c r="X217" s="3">
        <f>4995.9+(1158.4-788.9)+(-15.287454+(-3.544704--2.414034))+0-0-0</f>
        <v>5348.9818759999998</v>
      </c>
      <c r="Y217" s="3">
        <f>4960.6+(1185.8-869.8)+(-5.059812+(-1.209516--0.887196))+0-0-0</f>
        <v>5271.2178680000006</v>
      </c>
      <c r="Z217" s="3">
        <f>4916.9+(1024.9-814.2)+(-10.030476+(-2.090796--1.660968))+0-0-0</f>
        <v>5117.1396959999993</v>
      </c>
      <c r="AA217" s="3">
        <f>4844.5+(773.4-747.6)+(-7.412085+(-1.183302--1.143828))+0-0-0</f>
        <v>4862.8484410000001</v>
      </c>
      <c r="AB217" s="3">
        <f>4706.4+(651.4-771)+(-9.601056+(-1.328856--1.57284))+0-0-0</f>
        <v>4577.4429279999995</v>
      </c>
      <c r="AC217" s="3">
        <f>4462.5+(582.5-729.1)+(-9.1035+(-1.1883--1.487364))+0-0-0</f>
        <v>4307.0955639999993</v>
      </c>
      <c r="AD217">
        <v>5427.3</v>
      </c>
      <c r="AE217" s="3">
        <f>5084+(1115.7-772.4)+(0+(0-0))+0-0-0</f>
        <v>5427.3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4130.9+(363.8-716.7)+(-4.213518+(-0.371076--0.731034))+0-0-0</f>
        <v>3774.1464399999995</v>
      </c>
      <c r="G218" s="3">
        <f>3807.2+(430.9-746.6)+(0+(0-0))+0-0-0</f>
        <v>3491.5</v>
      </c>
      <c r="H218" s="3">
        <f>3740.5+(472.6-862.7)+(0+(0-0))+0-0-0</f>
        <v>3350.4</v>
      </c>
      <c r="I218" s="3">
        <f>3713.6+(468.6-882.5)+(0+(0-0))+0-0-0</f>
        <v>3299.7</v>
      </c>
      <c r="J218" s="3">
        <f>3538.9+(522.1-757)+(1.804839+(0.266271-0.38607))+0-0-0</f>
        <v>3305.6850399999998</v>
      </c>
      <c r="K218" s="3">
        <f>3523.8+(504.1-669.6)+(-5.391414+(-0.771273--1.024488))+0-0-0</f>
        <v>3353.1618010000002</v>
      </c>
      <c r="L218" s="3">
        <f>3728.7+(436.5-666.7)+(1.901637+(0.222615-0.340017))+0-0-0</f>
        <v>3500.2842350000001</v>
      </c>
      <c r="M218" s="3">
        <f>4149.4+(512.1-696.9)+(2.116194+(0.261171-0.355419))+0-0-0</f>
        <v>3966.6219459999993</v>
      </c>
      <c r="N218" s="3">
        <f>4381+(833.1-719.1)+(-2.23431+(-0.424881--0.366741))+0-0-0</f>
        <v>4492.7075500000001</v>
      </c>
      <c r="O218" s="3">
        <f>4382.9+(1046.1-602.4)+(2.235279+(0.533511-0.307224))+0-0-0</f>
        <v>4829.0615659999994</v>
      </c>
      <c r="P218" s="3">
        <f>4391.7+(1122.4-496.8)+(0+(0-0))+0-0-0</f>
        <v>5017.3</v>
      </c>
      <c r="Q218" s="3">
        <f>4381.2+(1249-486.9)+(-2.234412+(-0.63699--0.248319))+0-0-0</f>
        <v>5140.6769169999998</v>
      </c>
      <c r="R218" s="3">
        <f>4335.6+(1178.2-478.9)+(-11.05578+(-3.00441--1.221195))+0-0-0</f>
        <v>5022.0610050000005</v>
      </c>
      <c r="S218" s="3">
        <f>4341.5+(1048.1-520.8)+(-13.28499+(-3.207186--1.593648))+0-0-0</f>
        <v>4853.9014720000005</v>
      </c>
      <c r="T218" s="3">
        <f>4327+(1161.8-469.8)+(0+(0-0))+0-0-0</f>
        <v>5019</v>
      </c>
      <c r="U218" s="3">
        <f>4467.6+(1051.2-521.9)+(-6.835428+(-1.608336--0.798507))+0-0-0</f>
        <v>4989.2547430000004</v>
      </c>
      <c r="V218" s="3">
        <f>4437.6+(1077-521.5)+(-2.263176+(-0.54927--0.265965))+0-0-0</f>
        <v>4990.5535190000001</v>
      </c>
      <c r="W218" s="3">
        <f>4499.5+(1261.2-456.5)+(0+(0-0))+0-0-0</f>
        <v>5304.2</v>
      </c>
      <c r="X218" s="3">
        <f>4557.5+(1441.2-493.3)+(-6.972975+(-2.205036--0.754749))+0-0-0</f>
        <v>5496.9767379999994</v>
      </c>
      <c r="Y218" s="3">
        <f>4274.6+(1590.5-527.6)+(-6.540138+(-2.433465--0.807228))+0-0-0</f>
        <v>5329.3336250000002</v>
      </c>
      <c r="Z218" s="3">
        <f>4139.8+(1522.5-514.9)+(-6.333894+(-2.329425--0.787797))+0-0-0</f>
        <v>5139.5244780000003</v>
      </c>
      <c r="AA218" s="3">
        <f>4161.8+(1248.8-531.5)+(-4.245036+(-1.273776--0.54213))+0-0-0</f>
        <v>4874.1233179999999</v>
      </c>
      <c r="AB218" s="3">
        <f>4117.7+(1043.9-533.6)+(-10.500135+(-2.661945--1.36068))+0-0-0</f>
        <v>4616.1985999999997</v>
      </c>
      <c r="AC218" s="3">
        <f>3903.7+(839.2-516.8)+(-3.981774+(-0.855984--0.527136))+0-0-0</f>
        <v>4221.7893780000004</v>
      </c>
      <c r="AD218">
        <v>5511.0999999999995</v>
      </c>
      <c r="AE218" s="3">
        <f>4644+(1380.9-513.8)+(0+(0-0))+0-0-0</f>
        <v>5511.1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3572.6+(695.6-483.2)+(-1.822026+(-0.354756--0.246432))+0-0-0</f>
        <v>3783.0696499999999</v>
      </c>
      <c r="G219" s="3">
        <f>3427.6+(542.7-452.2)+(-6.992304+(-1.107108--0.922488))+0-0-0</f>
        <v>3510.923076</v>
      </c>
      <c r="H219" s="3">
        <f>3366.3+(519.3-529.7)+(-8.584065+(-1.324215--1.350735))+0-0-0</f>
        <v>3347.342455</v>
      </c>
      <c r="I219" s="3">
        <f>3353+(471.5-537.7)+(-3.42006+(-0.48093--0.548454))+0-0-0</f>
        <v>3283.4474640000003</v>
      </c>
      <c r="J219" s="3">
        <f>3357.3+(459.6-515.4)+(1.712223+(0.234396-0.262854))+0-0-0</f>
        <v>3303.1837650000002</v>
      </c>
      <c r="K219" s="3">
        <f>3356.2+(532.8-513.7)+(1.711662+(0.271728-0.261987))+0-0-0</f>
        <v>3377.0214029999997</v>
      </c>
      <c r="L219" s="3">
        <f>3455.5+(599.8-551.7)+(5.286915+(0.917694-0.844101))+0-0-0</f>
        <v>3508.9605080000001</v>
      </c>
      <c r="M219" s="3">
        <f>3646.5+(817.2-568.8)+(-1.859715+(-0.416772--0.290088))+0-0-0</f>
        <v>3892.9136010000002</v>
      </c>
      <c r="N219" s="3">
        <f>4021.7+(1079.6-521.8)+(4.102134+(1.101192-0.532236))+0-0-0</f>
        <v>4584.1710899999998</v>
      </c>
      <c r="O219" s="3">
        <f>3994.8+(1154.8-423.2)+(-4.074696+(-1.177896--0.431664))+0-0-0</f>
        <v>4721.5790719999995</v>
      </c>
      <c r="P219" s="3">
        <f>4033+(1325.8-396.3)+(-8.22732+(-2.704632--0.808452))+0-0-0</f>
        <v>4952.3765000000003</v>
      </c>
      <c r="Q219" s="3">
        <f>4054.9+(1408.9-378.5)+(-4.135998+(-1.437078--0.38607))+0-0-0</f>
        <v>5080.1129940000001</v>
      </c>
      <c r="R219" s="3">
        <f>4076.8+(1289.8-362.9)+(-8.316672+(-2.631192--0.740316))+0-0-0</f>
        <v>4993.4924519999995</v>
      </c>
      <c r="S219" s="3">
        <f>4125.7+(1174.4-347.2)+(-2.104107+(-0.598944--0.177072))+0-0-0</f>
        <v>4950.3740209999996</v>
      </c>
      <c r="T219" s="3">
        <f>4205.2+(1204.6-357.2)+(6.433956+(1.843038-0.546516))+0-0-0</f>
        <v>5060.3304779999999</v>
      </c>
      <c r="U219" s="3">
        <f>4219.7+(1198.7-360.7)+(-10.760235+(-3.056685--0.919785))+0-0-0</f>
        <v>5044.8028649999997</v>
      </c>
      <c r="V219" s="3">
        <f>4276.1+(1243.2-433.6)+(-2.180811+(-0.634032--0.221136))+0-0-0</f>
        <v>5083.1062930000007</v>
      </c>
      <c r="W219" s="3">
        <f>4407.8+(1478.8-465.4)+(-2.247978+(-0.754188--0.237354))+0-0-0</f>
        <v>5418.4351879999995</v>
      </c>
      <c r="X219" s="3">
        <f>4579.2+(1468.3-503)+(-11.67696+(-3.744165--1.28265))+0-0-0</f>
        <v>5530.3615250000003</v>
      </c>
      <c r="Y219" s="3">
        <f>4561.1+(1364.9-531.5)+(-2.326161+(-0.696099--0.271065))+0-0-0</f>
        <v>5391.7488050000002</v>
      </c>
      <c r="Z219" s="3">
        <f>4501.1+(1292.6-589.1)+(-4.591122+(-1.318452--0.600882))+0-0-0</f>
        <v>5199.2913080000008</v>
      </c>
      <c r="AA219" s="3">
        <f>4420.6+(1304.6-740.8)+(-9.018024+(-2.661384--1.511232))+0-0-0</f>
        <v>4974.2318240000004</v>
      </c>
      <c r="AB219" s="3">
        <f>4321.3+(1275.7-912.8)+(-6.611589+(-1.951821--1.396584))+0-0-0</f>
        <v>4677.0331740000011</v>
      </c>
      <c r="AC219" s="3">
        <f>4098+(1108.3-916.8)+(-8.35992+(-2.260932--1.870272))+0-0-0</f>
        <v>4280.7494200000001</v>
      </c>
      <c r="AD219">
        <v>5602.8</v>
      </c>
      <c r="AE219" s="3">
        <f>4532+(1620-549.2)+(0+(0-0))+0-0-0</f>
        <v>5602.8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3727.9+(726.8-807.7)+(-9.506145+(-1.85334--2.059635))+0-0-0</f>
        <v>3637.7001500000001</v>
      </c>
      <c r="G220" s="3">
        <f>3726.7+(510.4-868.5)+(-1.900617+(-0.260304--0.442935))+0-0-0</f>
        <v>3366.8820139999998</v>
      </c>
      <c r="H220" s="3">
        <f>3659.9+(557.4-985.2)+(-1.866549+(-0.284274--0.502452))+0-0-0</f>
        <v>3230.4516289999997</v>
      </c>
      <c r="I220" s="3">
        <f>3656.5+(551-1027.6)+(-3.72963+(-0.56202--1.048152))+0-0-0</f>
        <v>3176.6565020000003</v>
      </c>
      <c r="J220" s="3">
        <f>3641.5+(490.2-931.6)+(-1.857165+(-0.250002--0.475116))+0-0-0</f>
        <v>3198.4679489999999</v>
      </c>
      <c r="K220" s="3">
        <f>3687.3+(622.1-1016.4)+(-1.880523+(-0.317271--0.518364))+0-0-0</f>
        <v>3291.3205699999999</v>
      </c>
      <c r="L220" s="3">
        <f>3927+(685-1009.1)+(-4.00554+(-0.6987--1.029282))+0-0-0</f>
        <v>3599.225042</v>
      </c>
      <c r="M220" s="3">
        <f>4220.7+(870.3-1052.4)+(0+(0-0))+0-0-0</f>
        <v>4038.5999999999995</v>
      </c>
      <c r="N220" s="3">
        <f>4394.7+(1041.4-865.6)+(-4.482594+(-1.062228--0.882912))+0-0-0</f>
        <v>4565.8380900000002</v>
      </c>
      <c r="O220" s="3">
        <f>4424.5+(1127.2-625.4)+(4.51299+(1.149744-0.637908))+0-0-0</f>
        <v>4931.324826</v>
      </c>
      <c r="P220" s="3">
        <f>4311.2+(1346-542.1)+(-8.794848+(-2.74584--1.105884))+0-0-0</f>
        <v>5104.665195999999</v>
      </c>
      <c r="Q220" s="3">
        <f>4324.3+(1438.3-525.9)+(-2.205393+(-0.733533--0.268209))+0-0-0</f>
        <v>5234.0292829999999</v>
      </c>
      <c r="R220" s="3">
        <f>4281.7+(1385.7-546.2)+(-4.367334+(-1.413414--0.557124))+0-0-0</f>
        <v>5115.9763759999996</v>
      </c>
      <c r="S220" s="3">
        <f>4244.3+(1290.4-558.5)+(-6.493779+(-1.974312--0.854505))+0-0-0</f>
        <v>4968.5864140000003</v>
      </c>
      <c r="T220" s="3">
        <f>4299.4+(1369-575.6)+(0+(0-0))+0-0-0</f>
        <v>5092.7999999999993</v>
      </c>
      <c r="U220" s="3">
        <f>4331.2+(1412.6-670.4)+(2.208912+(0.720426-0.341904))+0-0-0</f>
        <v>5075.9874339999997</v>
      </c>
      <c r="V220" s="3">
        <f>4372.7+(1390.7-634)+(-4.460154+(-1.418514--0.64668))+0-0-0</f>
        <v>5124.1680120000001</v>
      </c>
      <c r="W220" s="3">
        <f>4448.5+(1613.9-511.7)+(0+(0-0))+0-0-0</f>
        <v>5550.7</v>
      </c>
      <c r="X220" s="3">
        <f>4679.7+(1312.8-459.8)+(-7.159941+(-2.008584--0.703494))+0-0-0</f>
        <v>5524.2349690000001</v>
      </c>
      <c r="Y220" s="3">
        <f>4666.1+(1198.5-496.9)+(-4.759422+(-1.22247--0.506838))+0-0-0</f>
        <v>5362.2249460000003</v>
      </c>
      <c r="Z220" s="3">
        <f>4665.4+(1158.7-655)+(-4.758708+(-1.181874--0.6681))+0-0-0</f>
        <v>5163.8275179999991</v>
      </c>
      <c r="AA220" s="3">
        <f>4571.6+(1262-865.2)+(-4.663032+(-1.28724--0.882504))+0-0-0</f>
        <v>4963.3322320000007</v>
      </c>
      <c r="AB220" s="3">
        <f>4429+(1251.1-967.7)+(0+(0-0))+0-0-0</f>
        <v>4712.3999999999996</v>
      </c>
      <c r="AC220" s="3">
        <f>4301.5+(1236.8-1199.5)+(-6.581295+(-1.892304--1.835235))+0-0-0</f>
        <v>4332.1616359999998</v>
      </c>
      <c r="AD220">
        <v>5646.2</v>
      </c>
      <c r="AE220" s="3">
        <f>4478+(1702.7-534.5)+(0+(0-0))+0-0-0</f>
        <v>5646.2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4032.9+(1104.4-1242.3)+(-4.113558+(-1.126488--1.267146))+0-0-0</f>
        <v>3891.0270999999998</v>
      </c>
      <c r="G221" s="3">
        <f>3860+(956-1192.4)+(-1.9686+(-0.48756--0.608124))+0-0-0</f>
        <v>3621.751964</v>
      </c>
      <c r="H221" s="3">
        <f>3839+(732.7-1093.1)+(5.87367+(1.121031-1.672443))+0-0-0</f>
        <v>3483.9222580000005</v>
      </c>
      <c r="I221" s="3">
        <f>3865.4+(585.5-1056.1)+(-7.885416+(-1.19442--2.154444))+0-0-0</f>
        <v>3387.8746080000001</v>
      </c>
      <c r="J221" s="3">
        <f>3923.7+(506.3-1076.6)+(4.002174+(0.516426-1.098132))+0-0-0</f>
        <v>3356.8204679999994</v>
      </c>
      <c r="K221" s="3">
        <f>3911.3+(432-955.3)+(-5.984289+(-0.66096--1.461609))+0-0-0</f>
        <v>3382.8163599999998</v>
      </c>
      <c r="L221" s="3">
        <f>3888.6+(467.6-915.4)+(-3.966372+(-0.476952--0.933708))+0-0-0</f>
        <v>3437.2903840000004</v>
      </c>
      <c r="M221" s="3">
        <f>3922.6+(676.2-822.3)+(2.000526+(0.344862-0.419373))+0-0-0</f>
        <v>3778.426015</v>
      </c>
      <c r="N221" s="3">
        <f>4081.6+(892.6-692.7)+(6.244848+(1.365678-1.059831))+0-0-0</f>
        <v>4288.0506949999999</v>
      </c>
      <c r="O221" s="3">
        <f>4182.9+(1101.9-558.1)+(2.133279+(0.561969-0.284631))+0-0-0</f>
        <v>4729.1106169999994</v>
      </c>
      <c r="P221" s="3">
        <f>4290.7+(1265.3-480.6)+(2.188257+(0.645303-0.245106))+0-0-0</f>
        <v>5077.9884539999994</v>
      </c>
      <c r="Q221" s="3">
        <f>4471.1+(1248.8-502.8)+(-11.401305+(-3.18444--1.28214))+0-0-0</f>
        <v>5203.7963950000003</v>
      </c>
      <c r="R221" s="3">
        <f>4498.8+(1105.9-516.8)+(-9.177552+(-2.256036--1.054272))+0-0-0</f>
        <v>5077.520684000001</v>
      </c>
      <c r="S221" s="3">
        <f>4457.4+(1031.5-591.5)+(-11.36637+(-2.630325--1.508325))+0-0-0</f>
        <v>4884.9116299999996</v>
      </c>
      <c r="T221" s="3">
        <f>4444.3+(1174.6-694.5)+(-2.266593+(-0.599046--0.354195))+0-0-0</f>
        <v>4921.8885559999999</v>
      </c>
      <c r="U221" s="3">
        <f>4341+(1138.7-686.5)+(-6.64173+(-1.742211--1.050345))+0-0-0</f>
        <v>4785.8664039999994</v>
      </c>
      <c r="V221" s="3">
        <f>4460.8+(976.1-654)+(-2.275008+(-0.497811--0.33354))+0-0-0</f>
        <v>4780.4607210000004</v>
      </c>
      <c r="W221" s="3">
        <f>4730.8+(1003.3-611)+(0+(0-0))+0-0-0</f>
        <v>5123.1000000000004</v>
      </c>
      <c r="X221" s="3">
        <f>4802.2+(971-611.1)+(-2.449122+(-0.49521--0.311661))+0-0-0</f>
        <v>5159.4673289999992</v>
      </c>
      <c r="Y221" s="3">
        <f>4598.5+(1024.9-585.2)+(2.345235+(0.522699-0.298452))+0-0-0</f>
        <v>5040.7694819999997</v>
      </c>
      <c r="Z221" s="3">
        <f>4431.9+(924.1-476.9)+(-6.780807+(-1.413873--0.729657))+0-0-0</f>
        <v>4871.6349769999997</v>
      </c>
      <c r="AA221" s="3">
        <f>4404.5+(771.5-484.6)+(-2.246295+(-0.393465--0.247146))+0-0-0</f>
        <v>4689.0073859999993</v>
      </c>
      <c r="AB221" s="3">
        <f>4507.2+(621.2-641.5)+(-4.597344+(-0.633624--0.65433))+0-0-0</f>
        <v>4482.3233620000001</v>
      </c>
      <c r="AC221" s="3">
        <f>4300.4+(515.6-611.8)+(-4.386408+(-0.525912--0.624036))+0-0-0</f>
        <v>4199.9117159999996</v>
      </c>
      <c r="AD221">
        <v>5134.2</v>
      </c>
      <c r="AE221" s="3">
        <f>4858+(883.2-607)+(0+(0-0))+0-0-0</f>
        <v>5134.2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4073.6+(486.9-724.9)+(-4.155072+(-0.496638--0.739398))+0-0-0</f>
        <v>3831.687688</v>
      </c>
      <c r="G222" s="3">
        <f>3870.6+(425.6-743)+(3.948012+(0.434112-0.75786))+0-0-0</f>
        <v>3556.8242639999999</v>
      </c>
      <c r="H222" s="3">
        <f>3729.9+(474.8-846.9)+(0+(0-0))+0-0-0</f>
        <v>3357.8</v>
      </c>
      <c r="I222" s="3">
        <f>3700.6+(439.2-889.4)+(-3.774612+(-0.447984--0.907188))+0-0-0</f>
        <v>3247.0845920000002</v>
      </c>
      <c r="J222" s="3">
        <f>3726.6+(407.3-903.6)+(11.403396+(1.246338-2.765016))+0-0-0</f>
        <v>3240.1847179999995</v>
      </c>
      <c r="K222" s="3">
        <f>3564.8+(449.3-791.5)+(0+(0-0))+0-0-0</f>
        <v>3222.6000000000004</v>
      </c>
      <c r="L222" s="3">
        <f>3322.4+(448.4-625.7)+(-1.694424+(-0.228684--0.319107))+0-0-0</f>
        <v>3143.4959989999998</v>
      </c>
      <c r="M222" s="3">
        <f>3389.8+(434.8-684.2)+(-1.728798+(-0.221748--0.348942))+0-0-0</f>
        <v>3138.7983960000001</v>
      </c>
      <c r="N222" s="3">
        <f>3540+(442.1-670.8)+(5.4162+(0.676413-1.026324))+0-0-0</f>
        <v>3316.3662890000001</v>
      </c>
      <c r="O222" s="3">
        <f>3617.4+(476.5-477.8)+(1.844874+(0.243015-0.243678))+0-0-0</f>
        <v>3617.944211</v>
      </c>
      <c r="P222" s="3">
        <f>3632.9+(756.2-421.5)+(0+(0-0))+0-0-0</f>
        <v>3967.6000000000004</v>
      </c>
      <c r="Q222" s="3">
        <f>3691.5+(835.1-314.2)+(-5.647995+(-1.277703--0.480726))+0-0-0</f>
        <v>4205.9550279999994</v>
      </c>
      <c r="R222" s="3">
        <f>3765.7+(720.8-293.5)+(-3.841014+(-0.735216--0.29937))+0-0-0</f>
        <v>4188.7231400000001</v>
      </c>
      <c r="S222" s="3">
        <f>3797+(617.1-274.6)+(-7.74588+(-1.258884--0.560184))+0-0-0</f>
        <v>4131.0554199999997</v>
      </c>
      <c r="T222" s="3">
        <f>3855.3+(501.3-281.3)+(-5.898609+(-0.766989--0.430389))+0-0-0</f>
        <v>4069.0647910000002</v>
      </c>
      <c r="U222" s="3">
        <f>3952.8+(377.5-347.1)+(0+(0-0))+0-0-0</f>
        <v>3983.2000000000003</v>
      </c>
      <c r="V222" s="3">
        <f>4120.8+(341.1-380)+(2.101608+(0.173961-0.1938))+0-0-0</f>
        <v>4083.981769</v>
      </c>
      <c r="W222" s="3">
        <f>4315.4+(499.2-331.9)+(0+(0-0))+0-0-0</f>
        <v>4482.7</v>
      </c>
      <c r="X222" s="3">
        <f>4379.4+(576-304.2)+(-11.16747+(-1.4688--0.77571))+0-0-0</f>
        <v>4639.3394399999997</v>
      </c>
      <c r="Y222" s="3">
        <f>4209+(618.4-202.6)+(-10.73295+(-1.57692--0.51663))+0-0-0</f>
        <v>4613.0067600000002</v>
      </c>
      <c r="Z222" s="3">
        <f>4058.1+(704-170.2)+(-8.278524+(-1.43616--0.347208))+0-0-0</f>
        <v>4582.5325239999993</v>
      </c>
      <c r="AA222" s="3">
        <f>3964+(594.6-170.1)+(0+(0-0))+0-0-0</f>
        <v>4388.5</v>
      </c>
      <c r="AB222" s="3">
        <f>4020.8+(484.6-228.7)+(-8.202432+(-0.988584--0.466548))+0-0-0</f>
        <v>4267.9755319999995</v>
      </c>
      <c r="AC222" s="3">
        <f>3929+(356-338.5)+(-10.01895+(-0.9078--0.863175))+0-0-0</f>
        <v>3936.4364249999999</v>
      </c>
      <c r="AD222">
        <v>4555.5</v>
      </c>
      <c r="AE222" s="3">
        <f>4358+(502.6-305.1)+(0+(0-0))+0-0-0</f>
        <v>4555.5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3841.3+(569.2-921.7)+(-7.836252+(-1.161168--1.880268))+0-0-0</f>
        <v>3481.6828480000004</v>
      </c>
      <c r="G223" s="3">
        <f>3660.1+(468.1-832.6)+(-1.866651+(-0.238731--0.424626))+0-0-0</f>
        <v>3293.9192439999997</v>
      </c>
      <c r="H223" s="3">
        <f>3537.6+(433.2-830.5)+(1.804176+(0.220932-0.423555))+0-0-0</f>
        <v>3141.9015529999997</v>
      </c>
      <c r="I223" s="3">
        <f>3429.3+(361.5-677.5)+(-5.246829+(-0.553095--1.036575))+0-0-0</f>
        <v>3108.5366510000003</v>
      </c>
      <c r="J223" s="3">
        <f>3413.9+(342.5-638.5)+(-1.741089+(-0.174675--0.325635))+0-0-0</f>
        <v>3116.3098709999999</v>
      </c>
      <c r="K223" s="3">
        <f>3556.4+(330.7-697.4)+(0+(0-0))+0-0-0</f>
        <v>3189.7000000000003</v>
      </c>
      <c r="L223" s="3">
        <f>3658.9+(246.5-506.8)+(0+(0-0))+0-0-0</f>
        <v>3398.6</v>
      </c>
      <c r="M223" s="3">
        <f>3873.6+(532-596)+(5.926608+(0.81396-0.91188))+0-0-0</f>
        <v>3815.428688</v>
      </c>
      <c r="N223" s="3">
        <f>4183.9+(679.3-462.4)+(4.267578+(0.692886-0.471648))+0-0-0</f>
        <v>4405.2888159999993</v>
      </c>
      <c r="O223" s="3">
        <f>4315.1+(972.7-372.8)+(2.200701+(0.496077-0.190128))+0-0-0</f>
        <v>4917.5066500000003</v>
      </c>
      <c r="P223" s="3">
        <f>4417.3+(1174.7-405.7)+(4.505646+(1.198194-0.413814))+0-0-0</f>
        <v>5191.5900259999999</v>
      </c>
      <c r="Q223" s="3">
        <f>4488.1+(1366.8-393.8)+(2.288931+(0.697068-0.200838))+0-0-0</f>
        <v>5463.8851610000002</v>
      </c>
      <c r="R223" s="3">
        <f>4448.5+(1284.8-337.4)+(-6.806205+(-1.965744--0.516222))+0-0-0</f>
        <v>5387.6442729999999</v>
      </c>
      <c r="S223" s="3">
        <f>4312.4+(1263.3-308.8)+(-2.199324+(-0.644283--0.157488))+0-0-0</f>
        <v>5264.2138809999997</v>
      </c>
      <c r="T223" s="3">
        <f>4345.2+(1257.9-313.5)+(0+(0-0))+0-0-0</f>
        <v>5289.6</v>
      </c>
      <c r="U223" s="3">
        <f>4355.7+(1243.7-312.3)+(-6.664221+(-1.902861--0.477819))+0-0-0</f>
        <v>5279.0107370000005</v>
      </c>
      <c r="V223" s="3">
        <f>4356+(1312.9-370.7)+(6.66468+(2.008737-0.567171))+0-0-0</f>
        <v>5306.3062460000001</v>
      </c>
      <c r="W223" s="3">
        <f>4466.6+(1546.2-448.3)+(4.555932+(1.577124-0.457266))+0-0-0</f>
        <v>5570.1757900000002</v>
      </c>
      <c r="X223" s="3">
        <f>4661.5+(1344.7-443.8)+(-7.132095+(-2.057391--0.679014))+0-0-0</f>
        <v>5553.8895279999997</v>
      </c>
      <c r="Y223" s="3">
        <f>4635.8+(1161.7-408.9)+(-2.364258+(-0.592467--0.208539))+0-0-0</f>
        <v>5385.8518140000006</v>
      </c>
      <c r="Z223" s="3">
        <f>4519+(1158.5-400.5)+(-4.60938+(-1.18167--0.40851))+0-0-0</f>
        <v>5271.6174600000004</v>
      </c>
      <c r="AA223" s="3">
        <f>4217.8+(1156.6-354)+(-6.453234+(-1.769598--0.54162))+0-0-0</f>
        <v>5012.7187879999992</v>
      </c>
      <c r="AB223" s="3">
        <f>3905.1+(1164.6-284.1)+(-7.966404+(-2.375784--0.579564))+0-0-0</f>
        <v>4775.8373759999995</v>
      </c>
      <c r="AC223" s="3">
        <f>3846.6+(877.1-384.7)+(-5.885298+(-1.341963--0.588591))+0-0-0</f>
        <v>4332.3613299999997</v>
      </c>
      <c r="AD223">
        <v>5585.9</v>
      </c>
      <c r="AE223" s="3">
        <f>4624+(1482.5-520.6)+(0+(0-0))+0-0-0</f>
        <v>5585.9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3687.8+(636-495.7)+(-1.880778+(-0.32436--0.252807))+0-0-0</f>
        <v>3826.1476690000004</v>
      </c>
      <c r="G224" s="3">
        <f>3532+(493-362.1)+(-5.40396+(-0.75429--0.554013))+0-0-0</f>
        <v>3657.2957630000001</v>
      </c>
      <c r="H224" s="3">
        <f>3546.6+(369.8-476.4)+(3.617532+(0.377196-0.485928))+0.9-0-0</f>
        <v>3444.4088000000002</v>
      </c>
      <c r="I224" s="3">
        <f>3508+(379.8-465)+(3.57816+(0.387396-0.4743))+14-0-0</f>
        <v>3440.291256</v>
      </c>
      <c r="J224" s="3">
        <f>3349.2+(424.6-339.8)+(1.708092+(0.216546-0.173298))+0.9-0-0</f>
        <v>3436.6513399999999</v>
      </c>
      <c r="K224" s="3">
        <f>3327.4+(437.7-288.1)+(0+(0-0))+0-0-0</f>
        <v>3477</v>
      </c>
      <c r="L224" s="3">
        <f>3332.9+(578.1-269.9)+(0+(0-0))+0-0-0</f>
        <v>3641.1000000000004</v>
      </c>
      <c r="M224" s="3">
        <f>3669.6+(725.4-324.8)+(7.485984+(1.479816-0.662592))+0-0-0</f>
        <v>4078.5032079999996</v>
      </c>
      <c r="N224" s="3">
        <f>4084.9+(987-397.7)+(2.083299+(0.50337-0.202827))+0-0-0</f>
        <v>4676.583842</v>
      </c>
      <c r="O224" s="3">
        <f>4204.6+(1135.3-375.4)+(-2.144346+(-0.579003--0.191454))+0-0-0</f>
        <v>4961.9681049999999</v>
      </c>
      <c r="P224" s="3">
        <f>4304.7+(1454.9-421.2)+(4.390794+(1.483998-0.429624))+0-0-0</f>
        <v>5343.8451679999998</v>
      </c>
      <c r="Q224" s="3">
        <f>4254.3+(1639.5-393)+(0+(0-0))+0-0-0</f>
        <v>5500.8</v>
      </c>
      <c r="R224" s="3">
        <f>4166.1+(1555.9-366.5)+(-10.623555+(-3.967545--0.934575))+0-0-0</f>
        <v>5341.8434749999997</v>
      </c>
      <c r="S224" s="3">
        <f>4148.6+(1486.6-332.1)+(0+(0-0))+0-0-0</f>
        <v>5303.1</v>
      </c>
      <c r="T224" s="3">
        <f>4141.6+(1546.3-306.2)+(2.112216+(0.788613-0.156162))+0-0-0</f>
        <v>5384.4446670000007</v>
      </c>
      <c r="U224" s="3">
        <f>4051.3+(1570.5-295.3)+(-4.132326+(-1.60191--0.301206))+0-0-0</f>
        <v>5321.0669699999999</v>
      </c>
      <c r="V224" s="3">
        <f>4111.4+(1440.2-295)+(6.290442+(2.203506-0.45135))+0-0-0</f>
        <v>5264.6425979999995</v>
      </c>
      <c r="W224" s="3">
        <f>4385.3+(1620.6-460.6)+(4.473006+(1.653012-0.469812))+0-0-0</f>
        <v>5550.9562059999998</v>
      </c>
      <c r="X224" s="3">
        <f>4717.6+(1266.7-479)+(-7.217928+(-1.938051--0.73287))+0-0-0</f>
        <v>5496.8768909999999</v>
      </c>
      <c r="Y224" s="3">
        <f>4607.4+(1239.5-364.4)+(-9.399096+(-2.52858--0.743376))+0-0-0</f>
        <v>5471.3157000000001</v>
      </c>
      <c r="Z224" s="3">
        <f>4532.7+(1045.6-362.4)+(-6.935031+(-1.599768--0.554472))+0-0-0</f>
        <v>5207.9196729999994</v>
      </c>
      <c r="AA224" s="3">
        <f>4390.8+(904.7-345.1)+(-8.957232+(-1.845588--0.704004))+0-0-0</f>
        <v>4940.3011840000008</v>
      </c>
      <c r="AB224" s="3">
        <f>4290.9+(841.4-391.9)+(-10.941795+(-2.14557--0.999345))+0-0-0</f>
        <v>4728.3119799999995</v>
      </c>
      <c r="AC224" s="3">
        <f>4070.1+(647.4-364.3)+(-6.227253+(-0.990522--0.557379))+0-0-0</f>
        <v>4346.5396039999996</v>
      </c>
      <c r="AD224">
        <v>5681.9</v>
      </c>
      <c r="AE224" s="3">
        <f>4717+(1430.4-465.5)+(0+(0-0))+0-0-0</f>
        <v>5681.9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3888.6+(386.1-444.5)+(-11.899116+(-1.181466--1.36017))+0-0-0</f>
        <v>3818.4795879999997</v>
      </c>
      <c r="G225" s="3">
        <f>3790.4+(318.4-542.7)+(-5.799312+(-0.487152--0.830331))+0-0-0</f>
        <v>3560.6438669999998</v>
      </c>
      <c r="H225" s="3">
        <f>3706.8+(379.1-647.4)+(-5.671404+(-0.580023--0.990522))+0-0-0</f>
        <v>3433.2390949999999</v>
      </c>
      <c r="I225" s="3">
        <f>3678.9+(332.3-539.3)+(-3.752478+(-0.338946--0.550086))+0-0-0</f>
        <v>3468.3586620000001</v>
      </c>
      <c r="J225" s="3">
        <f>3613.8+(316-460.5)+(9.21519+(0.8058-1.174275))+0-0-0</f>
        <v>3478.1467150000003</v>
      </c>
      <c r="K225" s="3">
        <f>3597.9+(363.8-360.6)+(1.834929+(0.185538-0.183906))+0-0-0</f>
        <v>3602.936561</v>
      </c>
      <c r="L225" s="3">
        <f>3552.1+(445.9-415.4)+(-1.811571+(-0.227409--0.211854))+0-0-0</f>
        <v>3580.7728739999998</v>
      </c>
      <c r="M225" s="3">
        <f>3921.8+(682.1-507.2)+(4.000236+(0.695742-0.517344))+0-0-0</f>
        <v>4100.8786339999997</v>
      </c>
      <c r="N225" s="3">
        <f>4205.6+(959.2-458)+(2.144856+(0.489192-0.23358))+0-0-0</f>
        <v>4709.200468</v>
      </c>
      <c r="O225" s="3">
        <f>4248.1+(1268.2-442.6)+(6.499593+(1.940346-0.677178))+0-0-0</f>
        <v>5081.4627610000007</v>
      </c>
      <c r="P225" s="3">
        <f>4368.7+(1369.5-467.9)+(6.684111+(2.095335-0.715887))+0-0-0</f>
        <v>5278.3635590000004</v>
      </c>
      <c r="Q225" s="3">
        <f>4517.8+(1411.9-459.5)+(-11.52039+(-3.600345--1.171725))+0-0-0</f>
        <v>5456.2509900000005</v>
      </c>
      <c r="R225" s="3">
        <f>4530.7+(1365.7-604.3)+(-9.242628+(-2.786028--1.232772))+0-0-0</f>
        <v>5281.3041160000002</v>
      </c>
      <c r="S225" s="3">
        <f>4488.4+(1136.6-453.2)+(-9.156336+(-2.318664--0.924528))+0-0-0</f>
        <v>5161.2495279999994</v>
      </c>
      <c r="T225" s="3">
        <f>4435.1+(1144.6-359.6)+(2.261901+(0.583746-0.183396))+0-0-0</f>
        <v>5222.7622510000001</v>
      </c>
      <c r="U225" s="3">
        <f>4320.7+(1131-287.1)+(-13.221342+(-3.46086--0.878526))+0-0-0</f>
        <v>5148.796323999999</v>
      </c>
      <c r="V225" s="3">
        <f>4289+(1063.1-276.3)+(6.56217+(1.626543-0.422739))+0-0-0</f>
        <v>5083.5659740000001</v>
      </c>
      <c r="W225" s="3">
        <f>4460.7+(1385.9-309)+(9.099828+(2.827236-0.63036))+0-0-0</f>
        <v>5548.8967040000007</v>
      </c>
      <c r="X225" s="3">
        <f>4505.4+(1498.3-364.7)+(-11.48877+(-3.820665--0.929985))+0-0-0</f>
        <v>5624.6205499999996</v>
      </c>
      <c r="Y225" s="3">
        <f>4492.4+(1404.9-413.3)+(-11.45562+(-3.582495--1.053915))+0-0-0</f>
        <v>5470.0158000000001</v>
      </c>
      <c r="Z225" s="3">
        <f>4493.5+(1329.6-518.9)+(-9.16674+(-2.712384--1.058556))+0-0-0</f>
        <v>5293.3794319999997</v>
      </c>
      <c r="AA225" s="3">
        <f>4460.1+(1109.6-516)+(-11.373255+(-2.82948--1.3158))+0-0-0</f>
        <v>5040.8130650000003</v>
      </c>
      <c r="AB225" s="3">
        <f>4347.5+(991.7-516.7)+(4.43445+(1.011534-0.527034))+0-0-0</f>
        <v>4827.4189500000002</v>
      </c>
      <c r="AC225" s="3">
        <f>4184.1+(910.4-599.5)+(-8.535564+(-1.857216--1.22298))+0-0-0</f>
        <v>4485.8302000000003</v>
      </c>
      <c r="AD225">
        <v>5654.7</v>
      </c>
      <c r="AE225" s="3">
        <f>4473+(1598.5-416.8)+(0+(0-0))+0-0-0</f>
        <v>5654.7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3819.6+(801.2-554.8)+(-7.791984+(-1.634448--1.131792))+0-0-0</f>
        <v>4057.7053599999999</v>
      </c>
      <c r="G226" s="3">
        <f>3744.9+(519.9-513.3)+(-7.639596+(-1.060596--1.047132))+0-0-0</f>
        <v>3743.8469399999999</v>
      </c>
      <c r="H226" s="3">
        <f>3515.7+(491.2-418.6)+(0+(0-0))+0-0-0</f>
        <v>3588.2999999999997</v>
      </c>
      <c r="I226" s="3">
        <f>3545.6+(412.4-445.2)+(-7.233024+(-0.841296--0.908208))+0-0-0</f>
        <v>3505.6338879999998</v>
      </c>
      <c r="J226" s="3">
        <f>3647.5+(351.1-508.6)+(5.580675+(0.537183-0.778158))+0-0-0</f>
        <v>3495.3397</v>
      </c>
      <c r="K226" s="3">
        <f>3697.9+(327.1-484)+(1.885929+(0.166821-0.24684))+0-0-0</f>
        <v>3542.80591</v>
      </c>
      <c r="L226" s="3">
        <f>3730.1+(455.9-479.1)+(-3.804702+(-0.465018--0.488682))+10.6-0-0</f>
        <v>3713.7189619999995</v>
      </c>
      <c r="M226" s="3">
        <f>4169+(553-619.2)+(4.25238+(0.56406-0.631584))+0-0-0</f>
        <v>4106.984856</v>
      </c>
      <c r="N226" s="3">
        <f>4326.8+(833.6-508)+(4.413336+(0.850272-0.51816))+0-0-0</f>
        <v>4657.1454480000002</v>
      </c>
      <c r="O226" s="3">
        <f>4411.1+(1044.3-431.5)+(6.748983+(1.597779-0.660195))+0-0-0</f>
        <v>5031.5865670000003</v>
      </c>
      <c r="P226" s="3">
        <f>4461.8+(1057.3-312.7)+(-11.37759+(-2.696115--0.797385))+0-0-0</f>
        <v>5193.1236799999997</v>
      </c>
      <c r="Q226" s="3">
        <f>4534.3+(1047.5-276.1)+(-6.937479+(-1.602675--0.422433))+0-0-0</f>
        <v>5297.5822790000002</v>
      </c>
      <c r="R226" s="3">
        <f>4468.4+(1013.7-267.5)+(-9.115536+(-2.067948--0.5457))+0-0-0</f>
        <v>5203.9622159999999</v>
      </c>
      <c r="S226" s="3">
        <f>4398.5+(986.1-285.8)+(4.48647+(1.005822-0.291516))+0-0-0</f>
        <v>5104.0007759999999</v>
      </c>
      <c r="T226" s="3">
        <f>4336.4+(1118.9-299.6)+(-6.634692+(-1.711917--0.458388))+0-0-0</f>
        <v>5147.8117789999997</v>
      </c>
      <c r="U226" s="3">
        <f>4329.2+(1101.5-281.4)+(-6.623676+(-1.685295--0.430542))+0-0-0</f>
        <v>5141.4215709999999</v>
      </c>
      <c r="V226" s="3">
        <f>4311.1+(1173.9-331.5)+(2.198661+(0.598689-0.169065))+0-0-0</f>
        <v>5156.1282849999998</v>
      </c>
      <c r="W226" s="3">
        <f>4552.6+(1309.2-307.1)+(2.321826+(0.667692-0.156621))+0-0-0</f>
        <v>5557.532897000001</v>
      </c>
      <c r="X226" s="3">
        <f>4774.9+(1231.6-356.1)+(-7.305597+(-1.884348--0.544833))+0-0-0</f>
        <v>5641.7548879999995</v>
      </c>
      <c r="Y226" s="3">
        <f>4824.9+(1008.4-344.9)+(-12.303495+(-2.57142--0.879495))+0-0-0</f>
        <v>5474.4045799999994</v>
      </c>
      <c r="Z226" s="3">
        <f>4802.8+(869.7-356)+(-2.449428+(-0.443547--0.18156))+0-0-0</f>
        <v>5313.7885850000002</v>
      </c>
      <c r="AA226" s="3">
        <f>4807.9+(739.3-455.5)+(-7.356087+(-1.131129--0.696915))+0-0-0</f>
        <v>5083.9096989999998</v>
      </c>
      <c r="AB226" s="3">
        <f>4642.8+(694.5-512)+(-7.103484+(-1.062585--0.78336))+0-0-0</f>
        <v>4817.9172909999998</v>
      </c>
      <c r="AC226" s="3">
        <f>4463.7+(680.3-642.4)+(-11.382435+(-1.734765--1.63812))+0-0-0</f>
        <v>4490.1209199999994</v>
      </c>
      <c r="AD226">
        <v>5629.7</v>
      </c>
      <c r="AE226" s="3">
        <f>4858+(1142.7-371)+(0+(0-0))+0-0-0</f>
        <v>5629.7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4251.5+(492.7-680.5)+(-4.33653+(-0.502554--0.69411))+0-0-0</f>
        <v>4059.555026</v>
      </c>
      <c r="G227" s="3">
        <f>4152.7+(381.9-781)+(-2.117877+(-0.194769--0.39831))+0-0-0</f>
        <v>3751.6856640000001</v>
      </c>
      <c r="H227" s="3">
        <f>4194.6+(319-907.9)+(-2.139246+(-0.16269--0.463029))+0-0-0</f>
        <v>3603.8610930000004</v>
      </c>
      <c r="I227" s="3">
        <f>4210+(250.3-919)+(-2.1471+(-0.127653--0.46869))+0-0-0</f>
        <v>3539.4939370000002</v>
      </c>
      <c r="J227" s="3">
        <f>4249.5+(195.3-918.8)+(-2.167245+(-0.099603--0.468588))+0-0-0</f>
        <v>3524.20174</v>
      </c>
      <c r="K227" s="3">
        <f>4266.8+(160.6-848.4)+(4.352136+(0.163812-0.865368))+0-0-0</f>
        <v>3582.65058</v>
      </c>
      <c r="L227" s="3">
        <f>4245.9+(166.2-708.2)+(2.165409+(0.084762-0.361182))+0-0-0</f>
        <v>3705.7889889999997</v>
      </c>
      <c r="M227" s="3">
        <f>4440.8+(446.8-685.8)+(6.794424+(0.683604-1.049274))+0-0-0</f>
        <v>4208.2287539999998</v>
      </c>
      <c r="N227" s="3">
        <f>4569.6+(843.2-657.9)+(0+(0-0))+0-0-0</f>
        <v>4754.9000000000005</v>
      </c>
      <c r="O227" s="3">
        <f>4563.2+(1046-576.3)+(0+(0-0))+0-0-0</f>
        <v>5032.8999999999996</v>
      </c>
      <c r="P227" s="3">
        <f>4671.9+(1224.9-617)+(0+(0-0))+0-0-0</f>
        <v>5279.7999999999993</v>
      </c>
      <c r="Q227" s="3">
        <f>4647.2+(1330.5-551.4)+(0+(0-0))+0-0-0</f>
        <v>5426.3</v>
      </c>
      <c r="R227" s="3">
        <f>4629.9+(1248.7-528.7)+(-4.722498+(-1.273674--0.539274))+0-0-0</f>
        <v>5344.4431019999993</v>
      </c>
      <c r="S227" s="3">
        <f>4639.9+(1159.9-563.6)+(-2.366349+(-0.591549--0.287436))+0-0-0</f>
        <v>5233.5295379999998</v>
      </c>
      <c r="T227" s="3">
        <f>4666.6+(1183.7-542)+(-2.379966+(-0.603687--0.27642))+0-0-0</f>
        <v>5305.5927670000001</v>
      </c>
      <c r="U227" s="3">
        <f>4697.1+(1116.7-526)+(-7.186563+(-1.708551--0.80478))+0-0-0</f>
        <v>5279.7096659999997</v>
      </c>
      <c r="V227" s="3">
        <f>4742.1+(1077.8-500.3)+(-2.418471+(-0.549678--0.255153))+0-0-0</f>
        <v>5316.8870040000002</v>
      </c>
      <c r="W227" s="3">
        <f>5095+(1100.2-576)+(0+(0-0))+0-0-0</f>
        <v>5619.2</v>
      </c>
      <c r="X227" s="3">
        <f>5330.2+(947.8-635.3)+(-10.873608+(-1.933512--1.296012))+0-0-0</f>
        <v>5631.1888920000001</v>
      </c>
      <c r="Y227" s="3">
        <f>5287+(791.7-597.9)+(-5.39274+(-0.807534--0.609858))+0-0-0</f>
        <v>5475.2095840000002</v>
      </c>
      <c r="Z227" s="3">
        <f>5230.1+(713.6-626.7)+(0+(0-0))+0-0-0</f>
        <v>5317</v>
      </c>
      <c r="AA227" s="3">
        <f>4988.3+(705.9-622.3)+(-7.632099+(-1.080027--0.952119))+0-0-0</f>
        <v>5064.1399930000007</v>
      </c>
      <c r="AB227" s="3">
        <f>4889+(578.4-618)+(-7.48017+(-0.884952--0.94554))+0-0-0</f>
        <v>4841.9804179999992</v>
      </c>
      <c r="AC227" s="3">
        <f>4706.9+(469.6-655.8)+(-7.201557+(-0.718488--1.003374))+0-0-0</f>
        <v>4513.7833289999999</v>
      </c>
      <c r="AD227">
        <v>5711.6</v>
      </c>
      <c r="AE227" s="3">
        <f>5301+(1134.8-724.2)+(0+(0-0))+0-0-0</f>
        <v>5711.6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4430.6+(292.2-621.5)+(0+(0-0))+0-0-0</f>
        <v>4101.3</v>
      </c>
      <c r="G228" s="3">
        <f>4336.3+(169.4-744.4)+(-4.423026+(-0.172788--0.759288))+0-0-0</f>
        <v>3757.4634740000001</v>
      </c>
      <c r="H228" s="3">
        <f>4346+(134.8-880.5)+(-11.0823+(-0.34374--2.245275))+0-0-0</f>
        <v>3591.1192350000001</v>
      </c>
      <c r="I228" s="3">
        <f>4360.5+(129.3-986.8)+(0+(0-0))+0-0-0</f>
        <v>3503</v>
      </c>
      <c r="J228" s="3">
        <f>4358.9+(112.8-991.6)+(0+(0-0))+0-0-0</f>
        <v>3480.0999999999995</v>
      </c>
      <c r="K228" s="3">
        <f>4411.9+(90.4-970.9)+(2.250069+(0.046104-0.495159))+0-0-0</f>
        <v>3533.2010139999998</v>
      </c>
      <c r="L228" s="3">
        <f>4536.7+(125.8-1126.2)+(-6.941151+(-0.192474--1.723086))+0-0-0</f>
        <v>3530.8894609999998</v>
      </c>
      <c r="M228" s="3">
        <f>4622.2+(241.1-976.8)+(-2.357322+(-0.122961--0.498168))+0-0-0</f>
        <v>3884.5178850000002</v>
      </c>
      <c r="N228" s="3">
        <f>4747.8+(442.2-766.2)+(2.421378+(0.225522-0.390762))+0-0-0</f>
        <v>4426.0561379999999</v>
      </c>
      <c r="O228" s="3">
        <f>4747.3+(568-561.4)+(2.421123+(0.28968-0.286314))+0-0-0</f>
        <v>4756.3244890000005</v>
      </c>
      <c r="P228" s="3">
        <f>4827.7+(669.4-586)+(2.462127+(0.341394-0.29886))+0-0-0</f>
        <v>4913.6046609999994</v>
      </c>
      <c r="Q228" s="3">
        <f>4752.6+(771.3-586.7)+(0+(0-0))+0-0-0</f>
        <v>4937.2000000000007</v>
      </c>
      <c r="R228" s="3">
        <f>4720.1+(692-576.3)+(-2.407251+(-0.35292--0.293913))+0-0-0</f>
        <v>4833.3337419999998</v>
      </c>
      <c r="S228" s="3">
        <f>4705.9+(583.4-529.7)+(-7.200027+(-0.892602--0.810441))+0-0-0</f>
        <v>4752.3178119999993</v>
      </c>
      <c r="T228" s="3">
        <f>4712.7+(557.8-508.3)+(4.806954+(0.568956-0.518466))+0-0-0</f>
        <v>4767.057444</v>
      </c>
      <c r="U228" s="3">
        <f>4711.4+(525.1-572.1)+(-4.805628+(-0.535602--0.583542))+0-0-0</f>
        <v>4659.6423119999999</v>
      </c>
      <c r="V228" s="3">
        <f>4736.4+(539.5-596.5)+(0+(0-0))+0-0-0</f>
        <v>4679.3999999999996</v>
      </c>
      <c r="W228" s="3">
        <f>4942.7+(808.7-647.4)+(5.041554+(0.824874-0.660348))+0-0-0</f>
        <v>5109.2060799999999</v>
      </c>
      <c r="X228" s="3">
        <f>5011.2+(878.2-668.9)+(0+(0-0))+0-0-0</f>
        <v>5220.5</v>
      </c>
      <c r="Y228" s="3">
        <f>4926.8+(812.2-630.1)+(-15.076008+(-2.485332--1.928106))+0-0-0</f>
        <v>5093.2667660000006</v>
      </c>
      <c r="Z228" s="3">
        <f>4950.3+(644.2-611.9)+(-5.049306+(-0.657084--0.624138))+0-0-0</f>
        <v>4977.5177480000002</v>
      </c>
      <c r="AA228" s="3">
        <f>4890.4+(496.6-603.4)+(-7.482312+(-0.759798--0.923202))+0-0-0</f>
        <v>4776.2810919999993</v>
      </c>
      <c r="AB228" s="3">
        <f>4839.1+(356.8-616.3)+(-7.403823+(-0.545904--0.942939))+0-0-0</f>
        <v>4572.5932120000007</v>
      </c>
      <c r="AC228" s="3">
        <f>4783.1+(263.4-738.9)+(-12.196905+(-0.67167--1.884195))+0-0-0</f>
        <v>4296.6156200000005</v>
      </c>
      <c r="AD228">
        <v>5212.7</v>
      </c>
      <c r="AE228" s="3">
        <f>4999+(891.4-677.7)+(0+(0-0))+0-0-0</f>
        <v>5212.7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4277.6+(177.6-506)+(0+(0-0))+0-0-0</f>
        <v>3949.2000000000003</v>
      </c>
      <c r="G229" s="3">
        <f>4000.3+(229.2-573.1)+(-2.040153+(-0.116892--0.292281))+0-0-0</f>
        <v>3654.5352360000002</v>
      </c>
      <c r="H229" s="3">
        <f>3952.8+(168.4-663.4)+(0+(0-0))+0-0-0</f>
        <v>3457.8</v>
      </c>
      <c r="I229" s="3">
        <f>3882.5+(131.8-644)+(0+(0-0))+0-0-0</f>
        <v>3370.3</v>
      </c>
      <c r="J229" s="3">
        <f>3873.8+(107.5-636.8)+(1.975638+(0.054825-0.324768))+0-0-0</f>
        <v>3346.2056950000001</v>
      </c>
      <c r="K229" s="3">
        <f>3858.3+(96.9-631.9)+(-3.935466+(-0.098838--0.644538))+0-0-0</f>
        <v>3319.9102340000004</v>
      </c>
      <c r="L229" s="3">
        <f>3747.9+(175.2-675.5)+(-5.734287+(-0.268056--1.033515))+0-0-0</f>
        <v>3242.6311719999999</v>
      </c>
      <c r="M229" s="3">
        <f>3630.9+(207.3-659.9)+(-1.851759+(-0.105723--0.336549))+0-0-0</f>
        <v>3176.679067</v>
      </c>
      <c r="N229" s="3">
        <f>3769.9+(272.5-642.1)+(1.922649+(0.138975-0.327471))+0-0-0</f>
        <v>3402.0341530000001</v>
      </c>
      <c r="O229" s="3">
        <f>3913+(312.9-617.2)+(0+(0-0))+0-0-0</f>
        <v>3608.7</v>
      </c>
      <c r="P229" s="3">
        <f>4122.4+(477.8-680.7)+(-4.204848+(-0.487356--0.694314))+0-0-0</f>
        <v>3915.5021099999994</v>
      </c>
      <c r="Q229" s="3">
        <f>4037.9+(631.4-646)+(-6.177987+(-0.966042--0.98838))+0-0-0</f>
        <v>4017.1443510000004</v>
      </c>
      <c r="R229" s="3">
        <f>3823.7+(751.3-612.2)+(-5.850261+(-1.149489--0.936666))+0-0-0</f>
        <v>3956.7369159999998</v>
      </c>
      <c r="S229" s="3">
        <f>3823+(673.9-522.9)+(-5.84919+(-1.031067--0.800037))+0-0-0</f>
        <v>3967.9197800000002</v>
      </c>
      <c r="T229" s="3">
        <f>3829.9+(650.6-561.9)+(-3.906498+(-0.663612--0.573138))+0-0-0</f>
        <v>3914.6030280000004</v>
      </c>
      <c r="U229" s="3">
        <f>3857.2+(643.9-644.3)+(-1.967172+(-0.328389--0.328593))+0-0-0</f>
        <v>3854.8330319999995</v>
      </c>
      <c r="V229" s="3">
        <f>3971.5+(589.2-610.7)+(6.076395+(0.901476-0.934371))+0-0-0</f>
        <v>3956.0435000000002</v>
      </c>
      <c r="W229" s="3">
        <f>4354.8+(751.4-616.1)+(6.662844+(1.149642-0.942633))+0-0-0</f>
        <v>4496.9698530000005</v>
      </c>
      <c r="X229" s="3">
        <f>4614+(779-671.1)+(2.35314+(0.39729-0.342261))+0-0-0</f>
        <v>4724.3081689999999</v>
      </c>
      <c r="Y229" s="3">
        <f>4504.7+(861.3-634.2)+(0+(0-0))+0-0-0</f>
        <v>4731.7999999999993</v>
      </c>
      <c r="Z229" s="3">
        <f>4496.6+(884.5-676.7)+(4.586532+(0.90219-0.690234))+0-0-0</f>
        <v>4709.1984880000009</v>
      </c>
      <c r="AA229" s="3">
        <f>4556.9+(756.4-705.9)+(0+(0-0))+0-0-0</f>
        <v>4607.3999999999996</v>
      </c>
      <c r="AB229" s="3">
        <f>4628.6+(598.3-773.8)+(-4.721172+(-0.610266--0.789276))+0-0-0</f>
        <v>4448.5578380000006</v>
      </c>
      <c r="AC229" s="3">
        <f>4544.1+(582.6-1029.3)+(-6.952473+(-0.891378--1.574829))+0-0-0</f>
        <v>4091.1309780000006</v>
      </c>
      <c r="AD229">
        <v>4725.7000000000007</v>
      </c>
      <c r="AE229" s="3">
        <f>4586+(808.1-668.4)+(0+(0-0))+0-0-0</f>
        <v>4725.7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4243.7+(522.1-1024.1)+(0+(0-0))+0-0-0</f>
        <v>3741.7</v>
      </c>
      <c r="G230" s="3">
        <f>4133.5+(441-1111.2)+(4.21617+(0.44982-1.133424))+0-0-0</f>
        <v>3466.832566</v>
      </c>
      <c r="H230" s="3">
        <f>4037.3+(279.4-1001.9)+(0+(0-0))+0-0-0</f>
        <v>3314.8</v>
      </c>
      <c r="I230" s="3">
        <f>3996.3+(251-1001)+(-4.076226+(-0.25602--1.02102))+0-0-0</f>
        <v>3242.9887740000004</v>
      </c>
      <c r="J230" s="3">
        <f>3880.7+(218.4-832.6)+(0+(0-0))+0-0-0</f>
        <v>3266.5</v>
      </c>
      <c r="K230" s="3">
        <f>3930+(210.2-776.5)+(2.0043+(0.107202-0.396015))+0-0-0</f>
        <v>3365.4154869999998</v>
      </c>
      <c r="L230" s="3">
        <f>4141.2+(384-908.8)+(-4.224024+(-0.39168--0.926976))+0-0-0</f>
        <v>3612.7112719999996</v>
      </c>
      <c r="M230" s="3">
        <f>4299.7+(690.6-954.8)+(2.192847+(0.352206-0.486948))+0-0-0</f>
        <v>4037.5581050000001</v>
      </c>
      <c r="N230" s="3">
        <f>4734.4+(756.6-842.3)+(7.243632+(1.157598-1.288719))+0-0-0</f>
        <v>4655.8125110000001</v>
      </c>
      <c r="O230" s="3">
        <f>5107.7+(707.4-866.7)+(-2.604927+(-0.360774--0.442017))+0-0-0</f>
        <v>4945.8763159999999</v>
      </c>
      <c r="P230" s="3">
        <f>5110.6+(650.5-628.1)+(7.819218+(0.995265-0.960993))+0.1-0-0</f>
        <v>5140.9534900000008</v>
      </c>
      <c r="Q230" s="3">
        <f>5094.4+(820.6-615.1)+(0+(0-0))+0-0-0</f>
        <v>5299.9</v>
      </c>
      <c r="R230" s="3">
        <f>5083.4+(842.9-739)+(2.592534+(0.429879-0.37689))+0-0-0</f>
        <v>5189.9455229999994</v>
      </c>
      <c r="S230" s="3">
        <f>5084.9+(1088.8-1096.1)+(5.186598+(1.110576-1.118022))+0-0-0</f>
        <v>5082.7791519999992</v>
      </c>
      <c r="T230" s="3">
        <f>5164.1+(1163.3-1230.4)+(5.267382+(1.186566-1.255008))+0-0-0</f>
        <v>5102.1989400000002</v>
      </c>
      <c r="U230" s="3">
        <f>5248.8+(1127.5-1284.2)+(-2.676888+(-0.575025--0.654942))+0-0-0</f>
        <v>5089.5030290000004</v>
      </c>
      <c r="V230" s="3">
        <f>5351.7+(1002.7-1151.9)+(0+(0-0))+0-0-0</f>
        <v>5202.5</v>
      </c>
      <c r="W230" s="3">
        <f>5578.7+(932.7-889.9)+(5.690274+(0.951354-0.907698))+0-0-0</f>
        <v>5627.2339300000003</v>
      </c>
      <c r="X230" s="3">
        <f>5842+(891.3-1074.9)+(0+(0-0))+0-0-0</f>
        <v>5658.4</v>
      </c>
      <c r="Y230" s="3">
        <f>5748.4+(959.9-1237.3)+(0+(0-0))+0-0-0</f>
        <v>5471</v>
      </c>
      <c r="Z230" s="3">
        <f>5743.1+(947.1-1297.2)+(-8.786943+(-1.449063--1.984716))+0-0-0</f>
        <v>5384.7487099999998</v>
      </c>
      <c r="AA230" s="3">
        <f>5677.4+(1038.1-1613.2)+(-8.686422+(-1.588293--2.468196))+0-0-0</f>
        <v>5094.4934809999995</v>
      </c>
      <c r="AB230" s="3">
        <f>5585.1+(1029-1816.1)+(-11.393604+(-2.09916--3.704844))+0-0-0</f>
        <v>4788.2120800000002</v>
      </c>
      <c r="AC230" s="3">
        <f>5269.5+(1150-1880.7)+(-13.437225+(-2.9325--4.795785))+0-0-0</f>
        <v>4527.22606</v>
      </c>
      <c r="AD230">
        <v>5745.4</v>
      </c>
      <c r="AE230" s="3">
        <f>5730+(952.2-936.8)+(0+(0-0))+0-0-0</f>
        <v>5745.4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5051.1+(843.8-1777.1)+(-5.152122+(-0.860676--1.812642))+0-0-0</f>
        <v>4113.5998440000003</v>
      </c>
      <c r="G231" s="3">
        <f>4992.5+(391.6-1581.5)+(-12.730875+(-0.99858--4.032825))+0-0-0</f>
        <v>3792.90337</v>
      </c>
      <c r="H231" s="3">
        <f>4598+(225-1180.1)+(2.34498+(0.11475-0.601851))+0-0-0</f>
        <v>3644.7578790000002</v>
      </c>
      <c r="I231" s="3">
        <f>4522.5+(246.1-1203.1)+(-6.919425+(-0.376533--1.840743))+0-0-0</f>
        <v>3560.044785</v>
      </c>
      <c r="J231" s="3">
        <f>4494.1+(271.6-1208.7)+(6.875973+(0.415548-1.849311))+0-0-0</f>
        <v>3562.4422100000006</v>
      </c>
      <c r="K231" s="3">
        <f>4542.9+(299.5-1165.6)+(-9.267516+(-0.61098--2.377824))+0-0-0</f>
        <v>3669.2993279999996</v>
      </c>
      <c r="L231" s="3">
        <f>4611.8+(398.7-1209.2)+(-9.408072+(-0.813348--2.466768))+0-0-0</f>
        <v>3793.5453480000001</v>
      </c>
      <c r="M231" s="3">
        <f>4833.5+(661.1-1286.3)+(-9.86034+(-1.348644--2.624052))+0-0-0</f>
        <v>4199.7150680000004</v>
      </c>
      <c r="N231" s="3">
        <f>5077.5+(902.7-1241)+(-10.3581+(-1.841508--2.53164))+0-0-0</f>
        <v>4729.5320320000001</v>
      </c>
      <c r="O231" s="3">
        <f>5196.7+(894.5-943.5)+(-10.601268+(-1.82478--1.92474))+0-0-0</f>
        <v>5137.1986919999999</v>
      </c>
      <c r="P231" s="3">
        <f>5271.4+(991.5-892.4)+(0+(0-0))+0-0-0</f>
        <v>5370.5</v>
      </c>
      <c r="Q231" s="3">
        <f>5247.6+(937.6-635)+(-5.352552+(-0.956352--0.6477))+0-0-0</f>
        <v>5544.5387960000007</v>
      </c>
      <c r="R231" s="3">
        <f>5100.1+(962.5-588.5)+(-5.202102+(-0.98175--0.60027))+0-0-0</f>
        <v>5468.5164180000002</v>
      </c>
      <c r="S231" s="3">
        <f>5147.1+(972.5-750.6)+(-5.250042+(-0.99195--0.765612))+0-0-0</f>
        <v>5363.5236199999999</v>
      </c>
      <c r="T231" s="3">
        <f>5230.8+(966.7-827.1)+(-2.667708+(-0.493017--0.421821))+0-0-0</f>
        <v>5367.6610960000007</v>
      </c>
      <c r="U231" s="3">
        <f>5280.2+(881.5-847.9)+(-2.692902+(-0.449565--0.432429))+0-0-0</f>
        <v>5311.089962</v>
      </c>
      <c r="V231" s="3">
        <f>5002.1+(844.6-485.7)+(5.102142+(0.861492-0.495414))+0-0-0</f>
        <v>5366.4682199999997</v>
      </c>
      <c r="W231" s="3">
        <f>5284.6+(838.8-533.3)+(-5.390292+(-0.855576--0.543966))+0-0-0</f>
        <v>5584.3980980000006</v>
      </c>
      <c r="X231" s="3">
        <f>5454.5+(763.6-688.5)+(-8.345385+(-1.168308--1.053405))+0-0-0</f>
        <v>5521.1397120000001</v>
      </c>
      <c r="Y231" s="3">
        <f>5089.4+(833.9-595.6)+(-5.191188+(-0.850578--0.607512))+0-0-0</f>
        <v>5322.265746</v>
      </c>
      <c r="Z231" s="3">
        <f>4907+(809.7-588.7)+(-2.50257+(-0.412947--0.300237))+0-0-0</f>
        <v>5125.38472</v>
      </c>
      <c r="AA231" s="3">
        <f>4836.1+(699.2-630.5)+(-7.399233+(-1.069776--0.964665))+0-0-0</f>
        <v>4897.2956560000002</v>
      </c>
      <c r="AB231" s="3">
        <f>4685.4+(695.9-692.8)+(-4.779108+(-0.709818--0.706656))+0-0-0</f>
        <v>4683.7177300000003</v>
      </c>
      <c r="AC231" s="3">
        <f>4559+(452.4-566.7)+(-9.30036+(-0.922896--1.156068))+0-0-0</f>
        <v>4435.6328119999998</v>
      </c>
      <c r="AD231">
        <v>5665.0999999999995</v>
      </c>
      <c r="AE231" s="3">
        <f>5556+(774.7-665.6)+(0+(0-0))+0-0-0</f>
        <v>5665.1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4545.2+(340.3-714)+(-2.318052+(-0.173553--0.36414))+0-0-0</f>
        <v>4169.3725350000004</v>
      </c>
      <c r="G232" s="3">
        <f>4265.2+(287.5-722.2)+(2.175252+(0.146625-0.368322))+0-0-0</f>
        <v>3832.4535550000001</v>
      </c>
      <c r="H232" s="3">
        <f>4157.1+(276.7-848.8)+(0+(0-0))+0-0-0</f>
        <v>3585.0000000000005</v>
      </c>
      <c r="I232" s="3">
        <f>4101.7+(211.3-807.9)+(-4.183734+(-0.215526--0.824058))+0-0-0</f>
        <v>3501.5247979999999</v>
      </c>
      <c r="J232" s="3">
        <f>4138.3+(193.1-850)+(2.110533+(0.098481-0.4335))+0-0-0</f>
        <v>3483.175514</v>
      </c>
      <c r="K232" s="3">
        <f>4160.1+(160.4-852.1)+(-4.243302+(-0.163608--0.869142))+0-0-0</f>
        <v>3464.8622320000004</v>
      </c>
      <c r="L232" s="3">
        <f>3920.1+(219-823.4)+(1.999251+(0.11169-0.419934))+0-0-0</f>
        <v>3317.3910069999997</v>
      </c>
      <c r="M232" s="3">
        <f>3891.9+(541.8-1064.1)+(-1.984869+(-0.276318--0.542691))+0-0-0</f>
        <v>3367.8815040000004</v>
      </c>
      <c r="N232" s="3">
        <f>4089.1+(630.9-1110.6)+(4.170882+(0.643518-1.132812))+0-0-0</f>
        <v>3613.081588</v>
      </c>
      <c r="O232" s="3">
        <f>4393.9+(626.5-1118.3)+(-2.240889+(-0.319515--0.570333))+0-0-0</f>
        <v>3900.1099289999993</v>
      </c>
      <c r="P232" s="3">
        <f>4429.2+(664.1-1036)+(-11.29446+(-1.693455--2.6418))+0-0-0</f>
        <v>4046.9538849999999</v>
      </c>
      <c r="Q232" s="3">
        <f>4432.6+(667.6-907.3)+(-4.521252+(-0.680952--0.925446))+0-0-0</f>
        <v>4188.6232420000006</v>
      </c>
      <c r="R232" s="3">
        <f>4302.1+(717-834.9)+(-8.776284+(-1.46268--1.703196))+0-0-0</f>
        <v>4175.664232000001</v>
      </c>
      <c r="S232" s="3">
        <f>4158.2+(769.5-802.9)+(-8.482728+(-1.56978--1.637916))+0-0-0</f>
        <v>4116.3854080000001</v>
      </c>
      <c r="T232" s="3">
        <f>4130.4+(800.1-829.2)+(-2.106504+(-0.408051--0.422892))+0-0-0</f>
        <v>4099.2083369999991</v>
      </c>
      <c r="U232" s="3">
        <f>4208.8+(644.1-753.9)+(0+(0-0))+0-0-0</f>
        <v>4099</v>
      </c>
      <c r="V232" s="3">
        <f>4410.2+(453.7-689.1)+(-6.747606+(-0.694161--1.054323))+0-0-0</f>
        <v>4168.4125560000002</v>
      </c>
      <c r="W232" s="3">
        <f>4743.9+(470.2-693.2)+(-2.419389+(-0.239802--0.353532))+0-0-0</f>
        <v>4518.594341</v>
      </c>
      <c r="X232" s="3">
        <f>4805.3+(565-715.2)+(-9.802812+(-1.1526--1.459008))+0-0-0</f>
        <v>4645.6035959999999</v>
      </c>
      <c r="Y232" s="3">
        <f>4636.8+(776.9-692.1)+(-7.094304+(-1.188657--1.058913))+0-0-0</f>
        <v>4714.3759520000003</v>
      </c>
      <c r="Z232" s="3">
        <f>4621.4+(770.9-637.5)+(-7.070742+(-1.179477--0.975375))+0-0-0</f>
        <v>4747.5251559999997</v>
      </c>
      <c r="AA232" s="3">
        <f>4550.8+(738.5-597.2)+(-11.60454+(-1.883175--1.52286))+0-0-0</f>
        <v>4680.1351450000002</v>
      </c>
      <c r="AB232" s="3">
        <f>4451.8+(656.4-606.8)+(-4.540836+(-0.669528--0.618936))+0-0-0</f>
        <v>4496.8085720000008</v>
      </c>
      <c r="AC232" s="3">
        <f>4446+(442.6-684.2)+(-11.3373+(-1.12863--1.74471))+0-0-0</f>
        <v>4193.6787799999993</v>
      </c>
      <c r="AD232">
        <v>4626</v>
      </c>
      <c r="AE232" s="3">
        <f>4871+(548.3-793.3)+(0+(0-0))+0-0-0</f>
        <v>4626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4366.8+(361.5-932.7)+(-4.454136+(-0.36873--0.951354))+0-0-0</f>
        <v>3791.7284880000002</v>
      </c>
      <c r="G233" s="3">
        <f>4176.3+(429.4-1100.9)+(0+(0-0))+0-0-0</f>
        <v>3504.8</v>
      </c>
      <c r="H233" s="3">
        <f>4010.4+(423.5-1065.8)+(-4.090608+(-0.43197--1.087116))+0-0-0</f>
        <v>3364.6645380000004</v>
      </c>
      <c r="I233" s="3">
        <f>3913.4+(274.9-879.4)+(-9.97917+(-0.700995--2.24247))+0-0-0</f>
        <v>3300.462305</v>
      </c>
      <c r="J233" s="3">
        <f>3786.5+(266.7-754.2)+(1.931115+(0.136017-0.384642))+0-0-0</f>
        <v>3300.6824900000001</v>
      </c>
      <c r="K233" s="3">
        <f>3907.2+(316.6-826.2)+(0+(0-0))+0-0-0</f>
        <v>3397.6</v>
      </c>
      <c r="L233" s="3">
        <f>4178.6+(580.7-1119.6)+(4.262172+(0.592314-1.141992))+0-0-0</f>
        <v>3643.4124940000006</v>
      </c>
      <c r="M233" s="3">
        <f>4302.8+(780-1012.8)+(4.388856+(0.7956-1.033056))+0-0-0</f>
        <v>4074.1514000000002</v>
      </c>
      <c r="N233" s="3">
        <f>4498.6+(802.7-660.6)+(0+(0-0))+0-0-0</f>
        <v>4640.7000000000007</v>
      </c>
      <c r="O233" s="3">
        <f>4477.1+(1001.6-429.1)+(4.566642+(1.021632-0.437682))+0-0-0</f>
        <v>5054.7505920000003</v>
      </c>
      <c r="P233" s="3">
        <f>4653.8+(1188.7-488.9)+(2.373438+(0.606237-0.249339))+0-0-0</f>
        <v>5356.330336</v>
      </c>
      <c r="Q233" s="3">
        <f>4722.7+(1320.9-482.4)+(2.408577+(0.673659-0.246024))+0-0-0</f>
        <v>5564.036212</v>
      </c>
      <c r="R233" s="3">
        <f>4696.1+(1195.7-492.3)+(-9.580044+(-2.439228--1.004292))+0-0-0</f>
        <v>5388.4850200000001</v>
      </c>
      <c r="S233" s="3">
        <f>4763+(992.3-481.4)+(-9.71652+(-2.024292--0.982056))+0-0-0</f>
        <v>5263.1412439999995</v>
      </c>
      <c r="T233" s="3">
        <f>4762.1+(1005.3-423.7)+(-7.286013+(-1.538109--0.648261))+0-0-0</f>
        <v>5335.524139000001</v>
      </c>
      <c r="U233" s="3">
        <f>4827.1+(973.4-391)+(-2.461821+(-0.496434--0.19941))+0-0-0</f>
        <v>5406.7411549999997</v>
      </c>
      <c r="V233" s="3">
        <f>4928.2+(884-357.3)+(2.513382+(0.45084-0.182223))+0-0-0</f>
        <v>5457.6819989999995</v>
      </c>
      <c r="W233" s="3">
        <f>5065.7+(1170.8-583.8)+(-5.167014+(-1.194216--0.595476))+0-0-0</f>
        <v>5646.9342459999998</v>
      </c>
      <c r="X233" s="3">
        <f>5174.4+(1057.3-604.9)+(-15.833664+(-3.235338--1.850994))+0-0-0</f>
        <v>5609.5819919999994</v>
      </c>
      <c r="Y233" s="3">
        <f>4967.2+(974.6-499.6)+(-7.599816+(-1.491138--0.764388))+0-0-0</f>
        <v>5433.8734340000001</v>
      </c>
      <c r="Z233" s="3">
        <f>4800.7+(972-430)+(-2.448357+(-0.49572--0.2193))+0-0-0</f>
        <v>5339.9752229999995</v>
      </c>
      <c r="AA233" s="3">
        <f>4674.6+(814.6-387.8)+(-11.92023+(-2.07723--0.98889))+0-0-0</f>
        <v>5088.3914300000006</v>
      </c>
      <c r="AB233" s="3">
        <f>4622.7+(652.5-435.3)+(-7.072731+(-0.998325--0.666009))+0-0-0</f>
        <v>4832.4949529999994</v>
      </c>
      <c r="AC233" s="3">
        <f>4478.4+(509.5-507)+(-4.567968+(-0.51969--0.51714))+0-0-0</f>
        <v>4476.3294819999992</v>
      </c>
      <c r="AD233">
        <v>5697.9</v>
      </c>
      <c r="AE233" s="3">
        <f>5136+(1243-681.1)+(0+(0-0))+0-0-0</f>
        <v>5697.9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4111.7+(382.6-437.8)+(-2.096967+(-0.195126--0.223278))+0-0-0</f>
        <v>4054.4311849999999</v>
      </c>
      <c r="G234" s="3">
        <f>4025.7+(338-600.5)+(-10.265535+(-0.8619--1.531275))+0-0-0</f>
        <v>3753.6038399999998</v>
      </c>
      <c r="H234" s="3">
        <f>3886.9+(338.3-616.5)+(-1.982319+(-0.172533--0.314415))+0-0-0</f>
        <v>3606.8595630000004</v>
      </c>
      <c r="I234" s="3">
        <f>3841.2+(324.9-616.5)+(-7.836048+(-0.662796--1.25766))+0-0-0</f>
        <v>3542.3588159999999</v>
      </c>
      <c r="J234" s="3">
        <f>3836+(346.3-670)+(-1.95636+(-0.176613--0.3417))+0-0-0</f>
        <v>3510.5087270000004</v>
      </c>
      <c r="K234" s="3">
        <f>3843.3+(432.9-710.3)+(-1.960083+(-0.220779--0.362253))+0-0-0</f>
        <v>3564.0813910000002</v>
      </c>
      <c r="L234" s="3">
        <f>3793.3+(527.9-607.1)+(-1.934583+(-0.269229--0.309621))+0-0-0</f>
        <v>3712.2058090000005</v>
      </c>
      <c r="M234" s="3">
        <f>3994.6+(664.1-607.1)+(0+(0-0))+0-0-0</f>
        <v>4051.6</v>
      </c>
      <c r="N234" s="3">
        <f>4489.9+(765.6-552)+(-2.289849+(-0.390456--0.28152))+0-0-0</f>
        <v>4701.1012149999997</v>
      </c>
      <c r="O234" s="3">
        <f>4717.3+(791.8-460)+(-4.811646+(-0.807636--0.4692))+0-0-0</f>
        <v>5043.9499180000003</v>
      </c>
      <c r="P234" s="3">
        <f>4709.1+(1018.6-427.7)+(0+(0-0))+0-0-0</f>
        <v>5300</v>
      </c>
      <c r="Q234" s="3">
        <f>4605.9+(1277.6-380.9)+(-2.349009+(-0.651576--0.194259))+0-0-0</f>
        <v>5499.7936739999996</v>
      </c>
      <c r="R234" s="3">
        <f>4683.6+(1208.3-435)+(-2.388636+(-0.616233--0.22185))+0-0-0</f>
        <v>5454.1169810000001</v>
      </c>
      <c r="S234" s="3">
        <f>4680.5+(1054.6-393.5)+(-7.161165+(-1.613538--0.602055))+0-0-0</f>
        <v>5333.4273520000006</v>
      </c>
      <c r="T234" s="3">
        <f>4635.3+(1070.1-353.7)+(2.364003+(0.545751-0.180387))+0-0-0</f>
        <v>5354.4293669999997</v>
      </c>
      <c r="U234" s="3">
        <f>4634.3+(994.4-326)+(-4.726986+(-1.014288--0.33252))+0-0-0</f>
        <v>5297.2912459999998</v>
      </c>
      <c r="V234" s="3">
        <f>4675.2+(996.1-375.5)+(0+(0-0))+0-0-0</f>
        <v>5295.8</v>
      </c>
      <c r="W234" s="3">
        <f>5102+(1072.1-523.8)+(-5.20404+(-1.093542--0.534276))+0-0-0</f>
        <v>5644.5366940000004</v>
      </c>
      <c r="X234" s="3">
        <f>5300.4+(865.1-487.7)+(-8.109612+(-1.323603--0.746181))+0-0-0</f>
        <v>5669.1129659999997</v>
      </c>
      <c r="Y234" s="3">
        <f>5171.7+(775.5-441.9)+(-10.550268+(-1.58202--0.901476))+0-0-0</f>
        <v>5494.0691880000004</v>
      </c>
      <c r="Z234" s="3">
        <f>5148.2+(631-460.1)+(-2.625582+(-0.32181--0.234651))+0-0-0</f>
        <v>5316.3872589999992</v>
      </c>
      <c r="AA234" s="3">
        <f>4957+(756.5-590.2)+(-7.58421+(-1.157445--0.903006))+0-0-0</f>
        <v>5115.4613509999999</v>
      </c>
      <c r="AB234" s="3">
        <f>4797.8+(533.2-439.2)+(0+(0-0))+0-0-0</f>
        <v>4891.8</v>
      </c>
      <c r="AC234" s="3">
        <f>4520.7+(467.5-414)+(-11.527785+(-1.192125--1.0557))+0-0-0</f>
        <v>4562.5357899999999</v>
      </c>
      <c r="AD234">
        <v>5754.5</v>
      </c>
      <c r="AE234" s="3">
        <f>5208+(1131.8-585.3)+(0+(0-0))+0-0-0</f>
        <v>5754.5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4145.6+(378.5-388.4)+(0+(0-0))+0-0-0</f>
        <v>4135.7000000000007</v>
      </c>
      <c r="G235" s="3">
        <f>3814.1+(365.3-392.7)+(0+(0-0))+0-0-0</f>
        <v>3786.7</v>
      </c>
      <c r="H235" s="3">
        <f>3725.7+(286.7-392.8)+(-1.900107+(-0.146217--0.200328))+0-0-0</f>
        <v>3617.7540039999999</v>
      </c>
      <c r="I235" s="3">
        <f>3701.4+(251.6-422.8)+(0+(0-0))+0-0-0</f>
        <v>3530.2000000000003</v>
      </c>
      <c r="J235" s="3">
        <f>3779.5+(176.6-446)+(1.927545+(0.090066-0.22746))+0-0-0</f>
        <v>3511.8901510000001</v>
      </c>
      <c r="K235" s="3">
        <f>3818.8+(187.3-445.8)+(9.73794+(0.477615-1.13679))+0-0-0</f>
        <v>3569.3787650000004</v>
      </c>
      <c r="L235" s="3">
        <f>3766.1+(285.5-409.8)+(-5.762133+(-0.436815--0.626994))+0-0-0</f>
        <v>3636.2280459999997</v>
      </c>
      <c r="M235" s="3">
        <f>3996.4+(363.1-409.1)+(6.114492+(0.555543-0.625923))+0-0-0</f>
        <v>3956.4441120000001</v>
      </c>
      <c r="N235" s="3">
        <f>4322.5+(520.6-379.8)+(8.8179+(1.062024-0.774792))+0-0-0</f>
        <v>4472.4051319999999</v>
      </c>
      <c r="O235" s="3">
        <f>4492.6+(676.2-272.6)+(-2.291226+(-0.344862--0.139026))+0-0-0</f>
        <v>4893.7029380000004</v>
      </c>
      <c r="P235" s="3">
        <f>4593.2+(833-203.6)+(-2.342532+(-0.42483--0.103836))+0-0-0</f>
        <v>5219.9364739999992</v>
      </c>
      <c r="Q235" s="3">
        <f>4570.6+(938-175.1)+(0+(0-0))+0-0-0</f>
        <v>5333.5</v>
      </c>
      <c r="R235" s="3">
        <f>4496.5+(868.4-218.7)+(-11.466075+(-2.21442--0.557685))+0-0-0</f>
        <v>5133.07719</v>
      </c>
      <c r="S235" s="3">
        <f>4348+(880-283.1)+(-6.65244+(-1.3464--0.433143))+0-0-0</f>
        <v>4937.3343029999996</v>
      </c>
      <c r="T235" s="3">
        <f>4298.4+(913.7-306.3)+(6.576552+(1.397961-0.468639))+0-0-0</f>
        <v>4913.3058739999997</v>
      </c>
      <c r="U235" s="3">
        <f>4280.2+(914.8-362.1)+(-4.365804+(-0.933096--0.369342))+0-0-0</f>
        <v>4827.9704419999998</v>
      </c>
      <c r="V235" s="3">
        <f>4420+(795.5-347.8)+(-2.2542+(-0.405705--0.177378))+0-0-0</f>
        <v>4865.2174729999997</v>
      </c>
      <c r="W235" s="3">
        <f>4886.3+(757.1-358.7)+(4.984026+(0.772242-0.365874))+0-0-0</f>
        <v>5290.0903939999998</v>
      </c>
      <c r="X235" s="3">
        <f>4905.8+(703.9-325.3)+(-2.501958+(-0.358989--0.165903))+0-0-0</f>
        <v>5281.7049560000005</v>
      </c>
      <c r="Y235" s="3">
        <f>4840.4+(655.2-304.2)+(0+(0-0))+0-0-0</f>
        <v>5191.3999999999996</v>
      </c>
      <c r="Z235" s="3">
        <f>4801.5+(606.5-317)+(-9.79506+(-1.23726--0.64668))+0-0-0</f>
        <v>5080.6143599999996</v>
      </c>
      <c r="AA235" s="3">
        <f>4790.4+(628.3-514.5)+(-4.886208+(-0.640866--0.52479))+0-0-0</f>
        <v>4899.1977159999997</v>
      </c>
      <c r="AB235" s="3">
        <f>4641.3+(688-621.5)+(-7.101189+(-1.05264--0.950895))+0-0-0</f>
        <v>4700.5970660000003</v>
      </c>
      <c r="AC235" s="3">
        <f>4414.1+(514.8-499.9)+(-2.251191+(-0.262548--0.254949))+0-0-0</f>
        <v>4426.7412100000001</v>
      </c>
      <c r="AD235">
        <v>5356.5</v>
      </c>
      <c r="AE235" s="3">
        <f>4927+(838.5-409)+(0+(0-0))+0-0-0</f>
        <v>5356.5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4177.9+(374.8-483.4)+(-4.261458+(-0.382296--0.493068))+0-0-0</f>
        <v>4065.1493139999998</v>
      </c>
      <c r="G236" s="3">
        <f>3998.4+(293.3-527)+(0+(0-0))+0-0-0</f>
        <v>3764.7000000000003</v>
      </c>
      <c r="H236" s="3">
        <f>3774.9+(361.6-566.6)+(7.700796+(0.737664-1.155864))+0-0-0</f>
        <v>3577.1825960000001</v>
      </c>
      <c r="I236" s="3">
        <f>3603.3+(347.8-484.6)+(7.350732+(0.709512-0.988584))+0-0-0</f>
        <v>3473.5716600000001</v>
      </c>
      <c r="J236" s="3">
        <f>3618.2+(301.5-516.1)+(0+(0-0))+0-0-0</f>
        <v>3403.6</v>
      </c>
      <c r="K236" s="3">
        <f>3673.4+(271.5-544.8)+(5.620302+(0.415395-0.833544))+0-0-0</f>
        <v>3405.3021530000005</v>
      </c>
      <c r="L236" s="3">
        <f>3677.2+(241.5-610.1)+(0+(0-0))+0-0-0</f>
        <v>3308.6</v>
      </c>
      <c r="M236" s="3">
        <f>3770.2+(327.5-856)+(1.922802+(0.167025-0.43656))+0-0-0</f>
        <v>3243.353267</v>
      </c>
      <c r="N236" s="3">
        <f>4046.1+(418.3-987.7)+(2.063511+(0.213333-0.503727))+0-0-0</f>
        <v>3478.473117</v>
      </c>
      <c r="O236" s="3">
        <f>4021+(385-639.2)+(6.15213+(0.58905-0.977976))+0-0-0</f>
        <v>3772.563204</v>
      </c>
      <c r="P236" s="3">
        <f>4011.2+(517.2-498.2)+(-4.091424+(-0.527544--0.508164))+0-0-0</f>
        <v>4026.0891959999999</v>
      </c>
      <c r="Q236" s="3">
        <f>3987.6+(615.8-419.4)+(4.067352+(0.628116-0.427788))+0-0-0</f>
        <v>4188.2676799999999</v>
      </c>
      <c r="R236" s="3">
        <f>3912.4+(603.1-344.1)+(-7.981296+(-1.230324--0.701964))+0-0-0</f>
        <v>4162.8903439999995</v>
      </c>
      <c r="S236" s="3">
        <f>3978.6+(498.6-352.4)+(0+(0-0))+0-0-0</f>
        <v>4124.8</v>
      </c>
      <c r="T236" s="3">
        <f>3959.8+(524.6-411.5)+(-8.077992+(-1.070184--0.83946))+0-0-0</f>
        <v>4064.5912840000001</v>
      </c>
      <c r="U236" s="3">
        <f>4005.6+(500.5-367.3)+(-2.042856+(-0.255255--0.187323))+0-0-0</f>
        <v>4136.6892120000002</v>
      </c>
      <c r="V236" s="3">
        <f>4148.8+(350.5-348.1)+(-2.115888+(-0.178755--0.177531))+0-0-0</f>
        <v>4149.0828879999999</v>
      </c>
      <c r="W236" s="3">
        <f>4438+(808.5-597)+(2.26338+(0.412335-0.30447))+0-0-0</f>
        <v>4651.8712450000003</v>
      </c>
      <c r="X236" s="3">
        <f>4441.3+(1054.7-659.8)+(-4.530126+(-1.075794--0.672996))+0-0-0</f>
        <v>4831.267076000001</v>
      </c>
      <c r="Y236" s="3">
        <f>4339.6+(1094.5-593.9)+(-2.213196+(-0.558195--0.302889))+0-0-0</f>
        <v>4837.731498000001</v>
      </c>
      <c r="Z236" s="3">
        <f>4282.2+(1042.5-519.5)+(-6.551766+(-1.595025--0.794835))+0-0-0</f>
        <v>4797.8480439999994</v>
      </c>
      <c r="AA236" s="3">
        <f>4176.8+(936.1-418.6)+(-2.130168+(-0.477411--0.213486))+0-0-0</f>
        <v>4691.9059070000003</v>
      </c>
      <c r="AB236" s="3">
        <f>4118.6+(882.5-472.9)+(-6.301458+(-1.350225--0.723537))+0-0-0</f>
        <v>4521.2718540000005</v>
      </c>
      <c r="AC236" s="3">
        <f>4075.1+(574.6-453.3)+(-4.156602+(-0.586092--0.462366))+0-0-0</f>
        <v>4192.1196719999998</v>
      </c>
      <c r="AD236">
        <v>4767.2000000000007</v>
      </c>
      <c r="AE236" s="3">
        <f>4478+(1000.6-711.4)+(0+(0-0))+0-0-0</f>
        <v>4767.2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3779.8+(437.2-565.3)+(3.855396+(0.445944-0.576606))+0-0-0</f>
        <v>3655.4247340000002</v>
      </c>
      <c r="G237" s="3">
        <f>3658.1+(349.9-664.4)+(0+(0-0))+0-0-0</f>
        <v>3343.6</v>
      </c>
      <c r="H237" s="3">
        <f>3555.1+(376.2-741.6)+(-3.626202+(-0.383724--0.756432))+0-0-0</f>
        <v>3186.4465059999998</v>
      </c>
      <c r="I237" s="3">
        <f>3512.2+(324.3-622.5)+(-5.373666+(-0.496179--0.952425))+0-0-0</f>
        <v>3209.0825799999998</v>
      </c>
      <c r="J237" s="3">
        <f>3401.6+(305.9-528.2)+(-3.469632+(-0.312018--0.538764))+0-0-0</f>
        <v>3176.0571139999997</v>
      </c>
      <c r="K237" s="3">
        <f>3486.7+(392.7-568.3)+(1.778217+(0.200277-0.289833))+0-0-0</f>
        <v>3312.788661</v>
      </c>
      <c r="L237" s="3">
        <f>3655.3+(705.7-737.8)+(1.864203+(0.359907-0.376278))+0-0-0</f>
        <v>3625.0478320000002</v>
      </c>
      <c r="M237" s="3">
        <f>4034.6+(837.4-805)+(0+(0-0))+0-0-0</f>
        <v>4067</v>
      </c>
      <c r="N237" s="3">
        <f>4227.3+(1004.9-605)+(6.467769+(1.537497-0.92565))+0-0-0</f>
        <v>4634.2796159999998</v>
      </c>
      <c r="O237" s="3">
        <f>4209+(1374.9-557.3)+(2.14659+(0.701199-0.284223))+0-0-0</f>
        <v>5029.1635660000002</v>
      </c>
      <c r="P237" s="3">
        <f>4262.8+(1423.1-388.2)+(-4.348056+(-1.451562--0.395964))+0-0-0</f>
        <v>5292.2963460000001</v>
      </c>
      <c r="Q237" s="3">
        <f>4346.3+(1534-407.5)+(-6.649839+(-2.34702--0.623475))+0-0-0</f>
        <v>5464.4266159999997</v>
      </c>
      <c r="R237" s="3">
        <f>4167.8+(1546.9-352.1)+(-2.125578+(-0.788919--0.179571))+0-0-0</f>
        <v>5359.8650740000003</v>
      </c>
      <c r="S237" s="3">
        <f>4159+(1439.3-327.7)+(-4.24218+(-1.468086--0.334254))+0-0-0</f>
        <v>5265.2239880000006</v>
      </c>
      <c r="T237" s="3">
        <f>4182.9+(1517.6-289.9)+(0+(0-0))+0-0-0</f>
        <v>5410.5999999999995</v>
      </c>
      <c r="U237" s="3">
        <f>4176.2+(1570.2-264.5)+(4.259724+(1.601604-0.26979))+0-0-0</f>
        <v>5487.4915379999993</v>
      </c>
      <c r="V237" s="3">
        <f>4228.7+(1499-297.4)+(4.313274+(1.52898-0.303348))+0-0-0</f>
        <v>5435.838905999999</v>
      </c>
      <c r="W237" s="3">
        <f>4453.3+(1754-437)+(4.542366+(1.78908-0.44574))+0-0-0</f>
        <v>5776.1857060000002</v>
      </c>
      <c r="X237" s="3">
        <f>4693.4+(1429-397.5)+(-11.96817+(-3.64395--1.013625))+0-0-0</f>
        <v>5710.3015049999995</v>
      </c>
      <c r="Y237" s="3">
        <f>4749.7+(1231.4-458.3)+(-4.844694+(-1.256028--0.467466))+0-0-0</f>
        <v>5517.1667440000001</v>
      </c>
      <c r="Z237" s="3">
        <f>4708.9+(1093.8-449.6)+(-14.409234+(-3.347028--1.375776))+0-0-0</f>
        <v>5336.7195139999994</v>
      </c>
      <c r="AA237" s="3">
        <f>4477.9+(1139.9-522.8)+(-4.567458+(-1.162698--0.533256))+0-0-0</f>
        <v>5089.8031000000001</v>
      </c>
      <c r="AB237" s="3">
        <f>4276.5+(1067.1-501.3)+(-6.543045+(-1.632663--0.766989))+0-0-0</f>
        <v>4834.8912810000002</v>
      </c>
      <c r="AC237" s="3">
        <f>4051.6+(965.1-523.9)+(-4.132632+(-0.984402--0.534378))+0-0-0</f>
        <v>4488.2173440000006</v>
      </c>
      <c r="AD237">
        <v>5832.4</v>
      </c>
      <c r="AE237" s="3">
        <f>4515+(1846.7-529.3)+(0+(0-0))+0-0-0</f>
        <v>5832.4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3771+(710.6-431.8)+(0+(0-0))+0-0-0</f>
        <v>4049.8</v>
      </c>
      <c r="G238" s="3">
        <f>3626.3+(566.4-425.2)+(-3.698826+(-0.577728--0.433704))+0-0-0</f>
        <v>3763.65715</v>
      </c>
      <c r="H238" s="3">
        <f>3532.3+(490.1-403.1)+(-3.602946+(-0.499902--0.411162))+0-0-0</f>
        <v>3615.6083140000001</v>
      </c>
      <c r="I238" s="3">
        <f>3526.2+(485.9-460.6)+(3.596724+(0.495618-0.469812))+0-0-0</f>
        <v>3555.1225300000001</v>
      </c>
      <c r="J238" s="3">
        <f>3528.2+(469.1-459.3)+(1.799382+(0.239241-0.234243))+0-0-0</f>
        <v>3539.80438</v>
      </c>
      <c r="K238" s="3">
        <f>3601.2+(445.6-453.6)+(3.673224+(0.454512-0.462672))+0-0-0</f>
        <v>3596.8650639999996</v>
      </c>
      <c r="L238" s="3">
        <f>3936+(663.1-446.3)+(6.02208+(1.014543-0.682839))+0-0-0</f>
        <v>4159.1537840000001</v>
      </c>
      <c r="M238" s="3">
        <f>4207.5+(959.4-443.9)+(4.29165+(0.978588-0.452778))+0-0-0</f>
        <v>4727.8174600000002</v>
      </c>
      <c r="N238" s="3">
        <f>4271.8+(1329.7-492.2)+(2.178618+(0.678147-0.251022))+0-0-0</f>
        <v>5111.9057430000003</v>
      </c>
      <c r="O238" s="3">
        <f>4434.5+(1265.6-467.3)+(0+(0-0))+0-0-0</f>
        <v>5232.8</v>
      </c>
      <c r="P238" s="3">
        <f>4625+(1276.3-546)+(-2.35875+(-0.650913--0.27846))+0-0-0</f>
        <v>5352.5687969999999</v>
      </c>
      <c r="Q238" s="3">
        <f>4669.7+(1355.9-578.9)+(-7.144641+(-2.074527--0.885717))+0-0-0</f>
        <v>5438.3665489999994</v>
      </c>
      <c r="R238" s="3">
        <f>4677.7+(1293-516.6)+(0+(0-0))+0-0-0</f>
        <v>5454.0999999999995</v>
      </c>
      <c r="S238" s="3">
        <f>4619+(1301.2-471.4)+(2.35569+(0.663612-0.240414))+0-0-0</f>
        <v>5451.578888</v>
      </c>
      <c r="T238" s="3">
        <f>4367.7+(1404.5-426)+(4.455054+(1.43259-0.43452))+0-0-0</f>
        <v>5351.6531239999995</v>
      </c>
      <c r="U238" s="3">
        <f>4423.3+(1346.2-467.7)+(2.255883+(0.686562-0.238527))+0-0-0</f>
        <v>5304.5039180000003</v>
      </c>
      <c r="V238" s="3">
        <f>4549.7+(1245.2-469.1)+(6.961041+(1.905156-0.717723))+0-0-0</f>
        <v>5333.9484739999998</v>
      </c>
      <c r="W238" s="3">
        <f>4757.3+(1487.3-510.2)+(0+(0-0))+0-0-0</f>
        <v>5734.4</v>
      </c>
      <c r="X238" s="3">
        <f>4839.8+(1429.4-450.3)+(-4.936596+(-1.457988--0.459306))+0-0-0</f>
        <v>5812.9647220000006</v>
      </c>
      <c r="Y238" s="3">
        <f>4805.7+(1345.2-442.8)+(-2.450907+(-0.686052--0.225828))+0-0-0</f>
        <v>5705.1888690000005</v>
      </c>
      <c r="Z238" s="3">
        <f>4779.1+(1249-400.4)+(-2.437341+(-0.63699--0.204204))+0-0-0</f>
        <v>5624.8298730000006</v>
      </c>
      <c r="AA238" s="3">
        <f>4594.5+(1234-434.5)+(-4.68639+(-1.25868--0.44319))+0-0-0</f>
        <v>5388.4981200000002</v>
      </c>
      <c r="AB238" s="3">
        <f>4401.8+(1241.4-435.2)+(0+(0-0))+0-0-0</f>
        <v>5208</v>
      </c>
      <c r="AC238" s="3">
        <f>4264.3+(1132.1-494.4)+(4.349586+(1.154742-0.504288))+0-0-0</f>
        <v>4907.0000399999999</v>
      </c>
      <c r="AD238">
        <v>5852.4</v>
      </c>
      <c r="AE238" s="3">
        <f>4873+(1566.7-587.3)+(0+(0-0))+0-0-0</f>
        <v>5852.4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4121+(963.4-556.6)+(-2.10171+(-0.491334--0.283866))+0-0-0</f>
        <v>4525.4908219999998</v>
      </c>
      <c r="G239" s="3">
        <f>3924.7+(912.8-566.9)+(-2.001597+(-0.465528--0.289119))+0-0-0</f>
        <v>4268.4219939999994</v>
      </c>
      <c r="H239" s="3">
        <f>3718.5+(809.8-487.7)+(-7.58574+(-1.651992--0.994908))+0-0-0</f>
        <v>4032.357176</v>
      </c>
      <c r="I239" s="3">
        <f>3627.9+(767.2-472.2)+(9.251145+(1.95636-1.20411))+0-0-0</f>
        <v>3932.9033950000003</v>
      </c>
      <c r="J239" s="3">
        <f>3556.6+(815.5-445.9)+(0+(0-0))+0-0-0</f>
        <v>3926.2</v>
      </c>
      <c r="K239" s="3">
        <f>3613.1+(884.5-445.9)+(-7.370724+(-1.80438--0.909636))+0-0-0</f>
        <v>4043.4345319999998</v>
      </c>
      <c r="L239" s="3">
        <f>3720.2+(1135.1-576.1)+(3.794604+(1.157802-0.587622))+0-0-0</f>
        <v>4283.5647840000001</v>
      </c>
      <c r="M239" s="3">
        <f>4282.6+(1340.6-871.8)+(6.552378+(2.051118-1.333854))+0-0-0</f>
        <v>4758.6696420000007</v>
      </c>
      <c r="N239" s="3">
        <f>4584.2+(1323-715.8)+(4.675884+(1.34946-0.730116))+0-0-0</f>
        <v>5196.6952279999996</v>
      </c>
      <c r="O239" s="3">
        <f>4536.7+(1500.4-638.6)+(6.941151+(2.295612-0.977058))+0-0-0</f>
        <v>5406.7597050000004</v>
      </c>
      <c r="P239" s="3">
        <f>4489.4+(1624.7-694.6)+(2.289594+(0.828597-0.354246))+0-0-0</f>
        <v>5422.2639449999997</v>
      </c>
      <c r="Q239" s="3">
        <f>4552.5+(1516.7-587.1)+(-11.608875+(-3.867585--1.497105))+0-0-0</f>
        <v>5468.120645</v>
      </c>
      <c r="R239" s="3">
        <f>4565.2+(1416.4-608)+(-11.64126+(-3.61182--1.5504))+0-0-0</f>
        <v>5359.89732</v>
      </c>
      <c r="S239" s="3">
        <f>4595.1+(1260.9-587.2)+(-2.343501+(-0.643059--0.299472))+0-0-0</f>
        <v>5266.1129120000005</v>
      </c>
      <c r="T239" s="3">
        <f>4587.6+(1305.1-568.9)+(2.339676+(0.665601-0.290139))+0-0-0</f>
        <v>5326.5151379999998</v>
      </c>
      <c r="U239" s="3">
        <f>4585.9+(1271.9-592.9)+(0+(0-0))+0-0-0</f>
        <v>5264.9</v>
      </c>
      <c r="V239" s="3">
        <f>4641.2+(1173.4-537.5)+(-2.367012+(-0.598434--0.274125))+0-0-0</f>
        <v>5274.4086790000001</v>
      </c>
      <c r="W239" s="3">
        <f>4857.8+(1226-586.4)+(0+(0-0))+0-0-0</f>
        <v>5497.4000000000005</v>
      </c>
      <c r="X239" s="3">
        <f>4857.2+(1238.6-557.9)+(-7.431516+(-1.895058--0.853587))+0-0-0</f>
        <v>5529.4270129999995</v>
      </c>
      <c r="Y239" s="3">
        <f>4789.8+(1197.9-563.9)+(-7.328394+(-1.832787--0.862767))+0-0-0</f>
        <v>5415.5015860000003</v>
      </c>
      <c r="Z239" s="3">
        <f>4599.2+(1144.3-553.3)+(-7.036776+(-1.750779--0.846549))+0-0-0</f>
        <v>5182.2589939999998</v>
      </c>
      <c r="AA239" s="3">
        <f>4328.8+(1196.8-565.7)+(-4.415376+(-1.220736--0.577014))+0-0-0</f>
        <v>4954.8409019999999</v>
      </c>
      <c r="AB239" s="3">
        <f>4296.6+(1126.6-612.1)+(-6.573798+(-1.723698--0.936513))+0-0-0</f>
        <v>4803.7390170000008</v>
      </c>
      <c r="AC239" s="3">
        <f>4263+(986.1-606.3)+(-2.17413+(-0.502911--0.309213))+0-0-0</f>
        <v>4640.4321719999998</v>
      </c>
      <c r="AD239">
        <v>5531.2</v>
      </c>
      <c r="AE239" s="3">
        <f>4880+(1322.2-671)+(0+(0-0))+0-0-0</f>
        <v>5531.2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4233.1+(889.8-689.8)+(2.158881+(0.453798-0.351798))+0-0-0</f>
        <v>4435.3608810000005</v>
      </c>
      <c r="G240" s="3">
        <f>3971.6+(634.9-511.4)+(2.025516+(0.323799-0.260814))+0-0-0</f>
        <v>4097.1885009999996</v>
      </c>
      <c r="H240" s="3">
        <f>3675.4+(572.3-453.6)+(0+(0-0))+0-0-0</f>
        <v>3794.1</v>
      </c>
      <c r="I240" s="3">
        <f>3551.4+(568.2-475.4)+(0+(0-0))+0-0-0</f>
        <v>3644.2000000000003</v>
      </c>
      <c r="J240" s="3">
        <f>3490.2+(566.9-449.4)+(1.780002+(0.289119-0.229194))+0-0-0</f>
        <v>3609.5399269999998</v>
      </c>
      <c r="K240" s="3">
        <f>3560.4+(568.1-480.7)+(3.631608+(0.579462-0.490314))+0-0-0</f>
        <v>3651.5207560000003</v>
      </c>
      <c r="L240" s="3">
        <f>3502+(684.2-539.2)+(-3.57204+(-0.697884--0.549984))+0-0-0</f>
        <v>3643.28006</v>
      </c>
      <c r="M240" s="3">
        <f>3548.8+(749.9-625.6)+(-1.809888+(-0.382449--0.319056))+0-0-0</f>
        <v>3671.2267190000002</v>
      </c>
      <c r="N240" s="3">
        <f>4032.1+(913.4-916)+(0+(0-0))+0-0-0</f>
        <v>4029.5</v>
      </c>
      <c r="O240" s="3">
        <f>4074+(892.2-694.1)+(2.07774+(0.455022-0.353991))+0-0-0</f>
        <v>4274.2787710000002</v>
      </c>
      <c r="P240" s="3">
        <f>4127.4+(932.6-558.6)+(6.314922+(1.426878-0.854658))+0-0-0</f>
        <v>4508.2871419999992</v>
      </c>
      <c r="Q240" s="3">
        <f>4135.4+(990.8-519.8)+(4.218108+(1.010616-0.530196))+0-0-0</f>
        <v>4611.0985279999995</v>
      </c>
      <c r="R240" s="3">
        <f>4072.1+(1002.7-519.5)+(-12.460626+(-3.068262--1.58967))+0-0-0</f>
        <v>4541.3607819999997</v>
      </c>
      <c r="S240" s="3">
        <f>4018.2+(1050.1-545.2)+(-8.197128+(-2.142204--1.112208))+0-0-0</f>
        <v>4513.8728759999995</v>
      </c>
      <c r="T240" s="3">
        <f>4004.7+(1138-596.1)+(0+(0-0))+0-0-0</f>
        <v>4546.5999999999995</v>
      </c>
      <c r="U240" s="3">
        <f>4087.2+(1038.1-599.8)+(2.084472+(0.529431-0.305898))+0-0-0</f>
        <v>4527.8080049999999</v>
      </c>
      <c r="V240" s="3">
        <f>4192.6+(832.6-471.8)+(-2.138226+(-0.424626--0.240618))+0-0-0</f>
        <v>4551.0777660000003</v>
      </c>
      <c r="W240" s="3">
        <f>4430.5+(951.7-505.3)+(0+(0-0))+0-0-0</f>
        <v>4876.8999999999996</v>
      </c>
      <c r="X240" s="3">
        <f>4431.6+(979.1-442.9)+(-6.780348+(-1.498023--0.677637))+0-0-0</f>
        <v>4960.1992660000005</v>
      </c>
      <c r="Y240" s="3">
        <f>4419.6+(985.8-430.8)+(0+(0-0))+0-0-0</f>
        <v>4974.6000000000004</v>
      </c>
      <c r="Z240" s="3">
        <f>4412.5+(1054.3-481.2)+(-4.50075+(-1.075386--0.490824))+0-0-0</f>
        <v>4980.5146880000002</v>
      </c>
      <c r="AA240" s="3">
        <f>4358.7+(966.4-449.6)+(-4.445874+(-0.985728--0.458592))+0-0-0</f>
        <v>4870.5269900000003</v>
      </c>
      <c r="AB240" s="3">
        <f>4333.1+(927.1-554.2)+(-6.629643+(-1.418463--0.847926))+0-0-0</f>
        <v>4698.7998200000002</v>
      </c>
      <c r="AC240" s="3">
        <f>4303.7+(985.5-758.5)+(-6.584661+(-1.507815--1.160505))+0-0-0</f>
        <v>4523.7680289999998</v>
      </c>
      <c r="AD240">
        <v>4970.4000000000005</v>
      </c>
      <c r="AE240" s="3">
        <f>4468+(1052.3-549.9)+(0+(0-0))+0-0-0</f>
        <v>4970.3999999999996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3877.9+(775.4-707.9)+(-5.933187+(-1.186362--1.083087))+0-0-0</f>
        <v>3939.3635380000001</v>
      </c>
      <c r="G241" s="3">
        <f>3734.2+(543.2-740.3)+(-3.808884+(-0.554064--0.755106))+0-0-0</f>
        <v>3533.492158</v>
      </c>
      <c r="H241" s="3">
        <f>3746.5+(449-853.7)+(3.82143+(0.45798-0.870774))+0-0-0</f>
        <v>3345.2086360000003</v>
      </c>
      <c r="I241" s="3">
        <f>3826.8+(499.6-970)+(0+(0-0))+0-0-0</f>
        <v>3356.4</v>
      </c>
      <c r="J241" s="3">
        <f>3780.6+(505.2-876.8)+(-3.856212+(-0.515304--0.894336))+0-0-0</f>
        <v>3405.5228200000001</v>
      </c>
      <c r="K241" s="3">
        <f>3796.5+(412.2-762.2)+(-3.87243+(-0.420444--0.777444))+0-0-0</f>
        <v>3442.9845700000001</v>
      </c>
      <c r="L241" s="3">
        <f>3841.6+(695.8-937.6)+(-1.959216+(-0.354858--0.478176))+0-0-0</f>
        <v>3597.9641019999999</v>
      </c>
      <c r="M241" s="3">
        <f>4033.9+(858.7-848.9)+(0+(0-0))+0-0-0</f>
        <v>4043.7000000000003</v>
      </c>
      <c r="N241" s="3">
        <f>4168.8+(999.5-509.6)+(0+(0-0))+0-0-0</f>
        <v>4658.7</v>
      </c>
      <c r="O241" s="3">
        <f>4227.2+(1239.1-478.4)+(6.467616+(1.895823-0.731952))+0-0-0</f>
        <v>4995.5314869999993</v>
      </c>
      <c r="P241" s="3">
        <f>4313.7+(1422-530)+(-6.599961+(-2.17566--0.8109))+0-0-0</f>
        <v>5197.7352789999995</v>
      </c>
      <c r="Q241" s="3">
        <f>4391.9+(1373.2-529.7)+(-2.239869+(-0.700332--0.270147))+0-0-0</f>
        <v>5232.7299459999995</v>
      </c>
      <c r="R241" s="3">
        <f>4422.2+(1273.3-495.9)+(-6.765966+(-1.948149--0.758727))+0-0-0</f>
        <v>5191.6446119999991</v>
      </c>
      <c r="S241" s="3">
        <f>4397.9+(1254.2-429.3)+(-6.728787+(-1.918926--0.656829))+0-0-0</f>
        <v>5214.8091159999994</v>
      </c>
      <c r="T241" s="3">
        <f>4362.2+(1298.9-390.6)+(0+(0-0))+0-0-0</f>
        <v>5270.5</v>
      </c>
      <c r="U241" s="3">
        <f>4460.7+(1266.5-383.7)+(-2.274957+(-0.645915--0.195687))+0-0-0</f>
        <v>5340.7748149999998</v>
      </c>
      <c r="V241" s="3">
        <f>4595.3+(1192.4-367.7)+(-2.343603+(-0.608124--0.187527))+0-0-0</f>
        <v>5417.2358000000004</v>
      </c>
      <c r="W241" s="3">
        <f>4823.8+(1350.3-475.2)+(0+(0-0))+0-0-0</f>
        <v>5698.9</v>
      </c>
      <c r="X241" s="3">
        <f>4871.4+(1118.6-369.1)+(-7.453242+(-1.711458--0.564723))+0-0-0</f>
        <v>5612.3000229999998</v>
      </c>
      <c r="Y241" s="3">
        <f>4869.5+(978.2-401)+(-12.417225+(-2.49441--1.02255))+0-0-0</f>
        <v>5432.810915</v>
      </c>
      <c r="Z241" s="3">
        <f>4877.1+(913.1-496.1)+(-9.949284+(-1.862724--1.012044))+0-0-0</f>
        <v>5283.3000360000005</v>
      </c>
      <c r="AA241" s="3">
        <f>4614+(1005.2-608.4)+(-4.70628+(-1.025304--0.620568))+0-0-0</f>
        <v>5005.6889840000003</v>
      </c>
      <c r="AB241" s="3">
        <f>4534.7+(984.8-708.9)+(-11.563485+(-2.51124--1.807695))+0-0-0</f>
        <v>4798.3329699999995</v>
      </c>
      <c r="AC241" s="3">
        <f>4396.7+(826.7-711.4)+(-2.242317+(-0.421617--0.362814))+0-0-0</f>
        <v>4509.6988799999999</v>
      </c>
      <c r="AD241">
        <v>5726.7</v>
      </c>
      <c r="AE241" s="3">
        <f>4847+(1378.7-499)+(0+(0-0))+0-0-0</f>
        <v>5726.7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4075.1+(732.9-679.6)+(-8.313204+(-1.495116--1.386384))+0-0-0</f>
        <v>4119.9780639999999</v>
      </c>
      <c r="G242" s="3">
        <f>3801.5+(660.2-637.9)+(-7.75506+(-1.346808--1.301316))+0-0-0</f>
        <v>3815.999448</v>
      </c>
      <c r="H242" s="3">
        <f>3585.8+(547.9-534.6)+(0+(0-0))+0-0-0</f>
        <v>3599.1000000000004</v>
      </c>
      <c r="I242" s="3">
        <f>3433.6+(548.9-487.6)+(-5.253408+(-0.839817--0.746028))+0-0-0</f>
        <v>3489.5528029999996</v>
      </c>
      <c r="J242" s="3">
        <f>3504.1+(580.2-565.1)+(1.787091+(0.295902-0.288201))+0-0-0</f>
        <v>3520.994792</v>
      </c>
      <c r="K242" s="3">
        <f>3669.8+(650.3-698.2)+(-1.871598+(-0.331653--0.356082))+0-0-0</f>
        <v>3620.052831</v>
      </c>
      <c r="L242" s="3">
        <f>3852.3+(764.9-854.5)+(-9.823365+(-1.950495--2.178975))+0-0-0</f>
        <v>3753.1051150000003</v>
      </c>
      <c r="M242" s="3">
        <f>3936.1+(816.9-768)+(2.007411+(0.416619-0.39168))+0-0-0</f>
        <v>3987.03235</v>
      </c>
      <c r="N242" s="3">
        <f>4215.5+(944.4-732.8)+(2.149905+(0.481644-0.373728))+0-0-0</f>
        <v>4429.3578210000005</v>
      </c>
      <c r="O242" s="3">
        <f>4263.2+(1060-498.2)+(-4.348464+(-1.0812--0.508164))+0-0-0</f>
        <v>4820.0784999999996</v>
      </c>
      <c r="P242" s="3">
        <f>4303.5+(1220.7-430.1)+(2.194785+(0.622557-0.219351))+0-0-0</f>
        <v>5096.697991</v>
      </c>
      <c r="Q242" s="3">
        <f>4168.1+(1312.5-381.1)+(-8.502924+(-2.6775--0.777444))+0-0-0</f>
        <v>5089.0970200000002</v>
      </c>
      <c r="R242" s="3">
        <f>4101.4+(1330-386.2)+(-16.733712+(-5.4264--1.575696))+0-0-0</f>
        <v>5024.6155840000001</v>
      </c>
      <c r="S242" s="3">
        <f>4087.1+(1228.2-376.8)+(-2.084421+(-0.626382--0.192168))+0-0-0</f>
        <v>4935.9813649999996</v>
      </c>
      <c r="T242" s="3">
        <f>4201.1+(977.5-335.3)+(0+(0-0))+0-0-0</f>
        <v>4843.3</v>
      </c>
      <c r="U242" s="3">
        <f>4008.5+(1006.5-280.5)+(-8.17734+(-2.05326--0.57222))+0-0-0</f>
        <v>4724.8416200000001</v>
      </c>
      <c r="V242" s="3">
        <f>3806.6+(1027.3-203.2)+(1.941366+(0.523923-0.103632))+0-0-0</f>
        <v>4633.0616570000002</v>
      </c>
      <c r="W242" s="3">
        <f>3949.4+(1230.2-282.9)+(0+(0-0))+0-0-0</f>
        <v>4896.7</v>
      </c>
      <c r="X242" s="3">
        <f>3943.8+(1388.5-263)+(-10.05669+(-3.540675--0.67065))+0-0-0</f>
        <v>5056.3732850000006</v>
      </c>
      <c r="Y242" s="3">
        <f>3958.6+(1377.2-233.4)+(0+(0-0))+0-0-0</f>
        <v>5102.3999999999996</v>
      </c>
      <c r="Z242" s="3">
        <f>3936.8+(1284.1-234.4)+(-8.031072+(-2.619564--0.478176))+0-0-0</f>
        <v>4976.3275400000002</v>
      </c>
      <c r="AA242" s="3">
        <f>3879.6+(1168.5-271.3)+(-1.978596+(-0.595935--0.138363))+0-0-0</f>
        <v>4774.363832</v>
      </c>
      <c r="AB242" s="3">
        <f>3844.9+(1055.1-286.7)+(-5.882697+(-1.614303--0.438651))+0-0-0</f>
        <v>4606.2416510000003</v>
      </c>
      <c r="AC242" s="3">
        <f>3723.1+(970.4-346.2)+(-15.190248+(-3.959232--1.412496))+0-0-0</f>
        <v>4329.5630160000001</v>
      </c>
      <c r="AD242">
        <v>4893.7</v>
      </c>
      <c r="AE242" s="3">
        <f>3949+(1267-322.3)+(0+(0-0))+0-0-0</f>
        <v>4893.7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3567.6+(791.6-350.6)+(-9.09738+(-2.01858--0.89403))+0-0-0</f>
        <v>3998.3780699999998</v>
      </c>
      <c r="G243" s="3">
        <f>3199.7+(775.3-256.6)+(1.631847+(0.395403-0.130866))+0-0-0</f>
        <v>3720.2963839999998</v>
      </c>
      <c r="H243" s="3">
        <f>3070.3+(714.8-253.5)+(-6.263412+(-1.458192--0.51714))+0-0-0</f>
        <v>3524.3955360000004</v>
      </c>
      <c r="I243" s="3">
        <f>2905.5+(640-206)+(0+(0-0))+0-0-0</f>
        <v>3339.5</v>
      </c>
      <c r="J243" s="3">
        <f>2890.7+(634-196.1)+(-2.948514+(-0.64668--0.200022))+0-0-0</f>
        <v>3325.2048279999999</v>
      </c>
      <c r="K243" s="3">
        <f>2921.1+(610.3-192.3)+(2.979522+(0.622506-0.196146))+0-0-0</f>
        <v>3342.5058819999999</v>
      </c>
      <c r="L243" s="3">
        <f>2923.1+(609.5-229.4)+(-2.981562+(-0.62169--0.233988))+0-0-0</f>
        <v>3299.8307359999999</v>
      </c>
      <c r="M243" s="3">
        <f>2945.9+(539.2-266.9)+(-3.004818+(-0.549984--0.272238))+0-0-0</f>
        <v>3214.9174360000002</v>
      </c>
      <c r="N243" s="3">
        <f>3080.5+(769.8-372.3)+(-1.571055+(-0.392598--0.189873))+0-0-0</f>
        <v>3476.22622</v>
      </c>
      <c r="O243" s="3">
        <f>3210.4+(1021.2-400.4)+(-3.274608+(-1.041624--0.408408))+0-0-0</f>
        <v>3827.2921760000004</v>
      </c>
      <c r="P243" s="3">
        <f>3280.6+(1016.2-320.2)+(-5.019318+(-1.554786--0.489906))+0-0-0</f>
        <v>3970.5158019999999</v>
      </c>
      <c r="Q243" s="3">
        <f>3353.6+(1034.6-330.6)+(-3.420672+(-1.055292--0.337212))+0-0-0</f>
        <v>4053.4612480000001</v>
      </c>
      <c r="R243" s="3">
        <f>3327.9+(1082.3-333.8)+(-5.091687+(-1.655919--0.510714))+0-0-0</f>
        <v>4070.1631080000002</v>
      </c>
      <c r="S243" s="3">
        <f>3308.6+(1084.1-370.9)+(-5.062158+(-1.658673--0.567477))+0-0-0</f>
        <v>4015.6466459999997</v>
      </c>
      <c r="T243" s="3">
        <f>3314.1+(1035.1-360.9)+(-6.760764+(-2.111604--0.736236))+0-0-0</f>
        <v>3980.1638679999996</v>
      </c>
      <c r="U243" s="3">
        <f>3392.2+(937.4-336.1)+(0+(0-0))+0-0-0</f>
        <v>3993.5</v>
      </c>
      <c r="V243" s="3">
        <f>3533.6+(830.9-289.5)+(0+(0-0))+0-0-0</f>
        <v>4075</v>
      </c>
      <c r="W243" s="3">
        <f>3851.2+(931.2-325.2)+(1.964112+(0.474912-0.165852))+0-0-0</f>
        <v>4459.473172</v>
      </c>
      <c r="X243" s="3">
        <f>3927.8+(1145.2-342.2)+(0+(0-0))+0-0-0</f>
        <v>4730.8</v>
      </c>
      <c r="Y243" s="3">
        <f>3930.8+(1161.7-316.5)+(2.004708+(0.592467-0.161415))+0-0-0</f>
        <v>4778.4357600000003</v>
      </c>
      <c r="Z243" s="3">
        <f>3911.7+(1183.6-306.4)+(-3.989934+(-1.207272--0.312528))+0-0-0</f>
        <v>4784.0153219999993</v>
      </c>
      <c r="AA243" s="3">
        <f>3806.5+(1224.4-298.5)+(-3.88263+(-1.248888--0.30447))+0-0-0</f>
        <v>4727.5729519999995</v>
      </c>
      <c r="AB243" s="3">
        <f>3741.4+(1208.9-359.1)+(-7.632456+(-2.466156--0.732564))+0-0-0</f>
        <v>4581.833952</v>
      </c>
      <c r="AC243" s="3">
        <f>3637.6+(1038.8-327.4)+(-7.420704+(-2.119152--0.667896))+0-0-0</f>
        <v>4340.1280399999996</v>
      </c>
      <c r="AD243">
        <v>4732.2</v>
      </c>
      <c r="AE243" s="3">
        <f>3901+(1138.3-307.1)+(0+(0-0))+0-0-0</f>
        <v>4732.2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3419.1+(868.7-286.3)+(0+(0-0))+0-0-0</f>
        <v>4001.5</v>
      </c>
      <c r="G244" s="3">
        <f>3239.5+(771-290)+(-8.260725+(-1.96605--0.7395))+0-0-0</f>
        <v>3711.012725</v>
      </c>
      <c r="H244" s="3">
        <f>3075.7+(693-249.2)+(4.705821+(1.06029-0.381276))+0-0-0</f>
        <v>3524.8848349999998</v>
      </c>
      <c r="I244" s="3">
        <f>3106.1+(705.4-319.1)+(-3.168222+(-0.719508--0.325482))+0-0-0</f>
        <v>3488.8377519999995</v>
      </c>
      <c r="J244" s="3">
        <f>3112.2+(672-312.9)+(7.93611+(1.7136-0.797895))+0-0-0</f>
        <v>3480.1518149999997</v>
      </c>
      <c r="K244" s="3">
        <f>3128.3+(737.8-291.1)+(1.595433+(0.376278-0.148461))+0-0-0</f>
        <v>3576.8232499999999</v>
      </c>
      <c r="L244" s="3">
        <f>3281.1+(916.8-366.6)+(-5.020083+(-1.402704--0.560898))+0-0-0</f>
        <v>3825.4381109999999</v>
      </c>
      <c r="M244" s="3">
        <f>3688.9+(1268-580.8)+(1.881339+(0.64668-0.296208))+0-0-0</f>
        <v>4378.331811</v>
      </c>
      <c r="N244" s="3">
        <f>3793.2+(1276.3-305.8)+(1.934532+(0.650913-0.155958))+0-0-0</f>
        <v>4766.1294870000002</v>
      </c>
      <c r="O244" s="3">
        <f>3773.4+(1408.2-292.9)+(-7.697736+(-2.872728--0.597516))+0-0-0</f>
        <v>4878.7270520000011</v>
      </c>
      <c r="P244" s="3">
        <f>3794.3+(1524.5-327.4)+(-1.935093+(-0.777495--0.166974))+0-0-0</f>
        <v>4988.854386</v>
      </c>
      <c r="Q244" s="3">
        <f>3784.5+(1629.8-337.7)+(1.930095+(0.831198-0.172227))+0-0-0</f>
        <v>5079.1890659999999</v>
      </c>
      <c r="R244" s="3">
        <f>3776.4+(1578.4-325.3)+(-5.777892+(-2.414952--0.497709))+0-0-0</f>
        <v>5021.8048650000001</v>
      </c>
      <c r="S244" s="3">
        <f>3778.1+(1550.7-317.7)+(-5.780493+(-2.372571--0.486081))+0-0-0</f>
        <v>5003.4330170000003</v>
      </c>
      <c r="T244" s="3">
        <f>3810.2+(1657.9-264.5)+(-1.943202+(-0.845529--0.134895))+0-0-0</f>
        <v>5200.946164</v>
      </c>
      <c r="U244" s="3">
        <f>3807.8+(1699-266.9)+(-5.825934+(-2.59947--0.408357))+0-0-0</f>
        <v>5231.8829529999994</v>
      </c>
      <c r="V244" s="3">
        <f>3863+(1721.3-262.2)+(-1.97013+(-0.877863--0.133722))+0-0-0</f>
        <v>5319.3857290000005</v>
      </c>
      <c r="W244" s="3">
        <f>3999.9+(1815.3-324.2)+(2.039949+(0.925803-0.165342))+0-0-0</f>
        <v>5493.8004099999998</v>
      </c>
      <c r="X244" s="3">
        <f>4120.6+(1678.1-320.1)+(-8.406024+(-3.423324--0.653004))+0-0-0</f>
        <v>5467.4236559999999</v>
      </c>
      <c r="Y244" s="3">
        <f>4107.7+(1524.8-305.2)+(0+(0-0))+0-0-0</f>
        <v>5327.2999999999993</v>
      </c>
      <c r="Z244" s="3">
        <f>4114.2+(1479.4-320.1)+(-2.098242+(-0.754494--0.163251))+0-0-0</f>
        <v>5270.8105150000001</v>
      </c>
      <c r="AA244" s="3">
        <f>3972.3+(1359.3-261.4)+(-12.155238+(-4.159458--0.799884))+0-0-0</f>
        <v>5054.6851880000004</v>
      </c>
      <c r="AB244" s="3">
        <f>3791.9+(1343.5-260.8)+(-3.867738+(-1.37037--0.266016))+0-0-0</f>
        <v>4869.6279080000004</v>
      </c>
      <c r="AC244" s="3">
        <f>3728.1+(1035.5-281)+(-13.309317+(-3.696735--1.00317))+0-0-0</f>
        <v>4466.5971180000006</v>
      </c>
      <c r="AD244">
        <v>5728.7</v>
      </c>
      <c r="AE244" s="3">
        <f>4231+(2032.5-401.8)+(0+(0-0))+0-0-0</f>
        <v>5861.7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3491.4+(763.4-275.7)+(-5.341842+(-1.168002--0.421821))+0-0-0</f>
        <v>3973.0119770000001</v>
      </c>
      <c r="G245" s="3">
        <f>3193.1+(768.1-247.8)+(-3.256962+(-0.783462--0.252756))+0-0-0</f>
        <v>3709.6123319999997</v>
      </c>
      <c r="H245" s="3">
        <f>3085+(788.2-247.8)+(0+(0-0))+0-0-0</f>
        <v>3625.4</v>
      </c>
      <c r="I245" s="3">
        <f>3116.2+(686.4-253.4)+(0+(0-0))+0-0-0</f>
        <v>3549.2</v>
      </c>
      <c r="J245" s="3">
        <f>3147.6+(615.9-275.3)+(3.210552+(0.628218-0.280806))+0-0-0</f>
        <v>3491.7579639999999</v>
      </c>
      <c r="K245" s="3">
        <f>3257.4+(595.4-270.6)+(3.322548+(0.607308-0.276012))+0-0-0</f>
        <v>3585.8538439999998</v>
      </c>
      <c r="L245" s="3">
        <f>3369.6+(598-284.4)+(5.155488+(0.91494-0.435132))+0-0-0</f>
        <v>3688.8352959999997</v>
      </c>
      <c r="M245" s="3">
        <f>3772.9+(804.5-261.5)+(5.772537+(1.230885-0.400095))+0-0-0</f>
        <v>4322.5033269999994</v>
      </c>
      <c r="N245" s="3">
        <f>3787.9+(1296.1-258.6)+(-1.931829+(-0.661011--0.131886))+0-0-0</f>
        <v>4822.9390459999995</v>
      </c>
      <c r="O245" s="3">
        <f>3852.4+(1603.7-281)+(-1.964724+(-0.817887--0.14331))+0-0-0</f>
        <v>5172.4606990000002</v>
      </c>
      <c r="P245" s="3">
        <f>3939.9+(1809-292.9)+(-2.009349+(-0.92259--0.149379))+0-0-0</f>
        <v>5453.2174400000004</v>
      </c>
      <c r="Q245" s="3">
        <f>3963.7+(2123.4-295.8)+(-6.064461+(-3.248802--0.452574))+0-0-0</f>
        <v>5782.4393110000001</v>
      </c>
      <c r="R245" s="3">
        <f>4001+(1920.8-291.1)+(-6.12153+(-2.938824--0.445383))+0-0-0</f>
        <v>5622.0850289999998</v>
      </c>
      <c r="S245" s="3">
        <f>4223.2+(1642.8-313.8)+(-8.615328+(-3.351312--0.640152))+0-0-0</f>
        <v>5540.8735120000001</v>
      </c>
      <c r="T245" s="3">
        <f>4293.8+(1590.2-335)+(-2.189838+(-0.811002--0.17085))+0-0-0</f>
        <v>5546.1700099999998</v>
      </c>
      <c r="U245" s="3">
        <f>4313.9+(1503.9-305.9)+(6.600267+(2.300967-0.468027))+0-0-0</f>
        <v>5520.3332069999997</v>
      </c>
      <c r="V245" s="3">
        <f>4101.9+(1775.6-279.5)+(-10.459845+(-4.52778--0.712725))+0-0-0</f>
        <v>5583.7250999999997</v>
      </c>
      <c r="W245" s="3">
        <f>4329+(1796.4-341)+(2.20779+(0.916164-0.17391))+0-0-0</f>
        <v>5787.3500439999998</v>
      </c>
      <c r="X245" s="3">
        <f>4433.6+(1646.7-401.4)+(-13.566816+(-5.038902--1.228284))+0-0-0</f>
        <v>5661.5225660000006</v>
      </c>
      <c r="Y245" s="3">
        <f>4376.3+(1567.4-436.4)+(-4.463826+(-1.598748--0.445128))+0-0-0</f>
        <v>5501.682554</v>
      </c>
      <c r="Z245" s="3">
        <f>4114.6+(1633.7-423.3)+(-8.393784+(-3.332748--0.863532))+0-0-0</f>
        <v>5314.1369999999997</v>
      </c>
      <c r="AA245" s="3">
        <f>3685.7+(1768.5-383.7)+(-9.398535+(-4.509675--0.978435))+0-0-0</f>
        <v>5057.5702250000004</v>
      </c>
      <c r="AB245" s="3">
        <f>3753.5+(1477.1-395.1)+(-5.742855+(-2.259963--0.604503))+0-0-0</f>
        <v>4828.1016849999996</v>
      </c>
      <c r="AC245" s="3">
        <f>3514.1+(1327.9-371.3)+(-3.584382+(-1.354458--0.378726))+0-0-0</f>
        <v>4466.1398859999999</v>
      </c>
      <c r="AD245">
        <v>5779.8</v>
      </c>
      <c r="AE245" s="3">
        <f>4346+(1769.7-335.9)+(0+(0-0))+0-0-0</f>
        <v>5779.8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3500.5+(921.5-421.6)+(3.57051+(0.93993-0.430032))+0-0-0</f>
        <v>4004.4804079999999</v>
      </c>
      <c r="G246" s="3">
        <f>3394.5+(742.4-410.3)+(-3.46239+(-0.757248--0.418506))+0-0-0</f>
        <v>3722.7988679999999</v>
      </c>
      <c r="H246" s="3">
        <f>3248.4+(726.6-391.6)+(1.656684+(0.370566-0.199716))+0-0-0</f>
        <v>3585.2275340000001</v>
      </c>
      <c r="I246" s="3">
        <f>3266.8+(628-390.9)+(1.666068+(0.32028-0.199359))+0-0-0</f>
        <v>3505.6869890000003</v>
      </c>
      <c r="J246" s="3">
        <f>3314.1+(577-401.7)+(-3.380382+(-0.58854--0.409734))+0-0-0</f>
        <v>3485.8408119999999</v>
      </c>
      <c r="K246" s="3">
        <f>3369+(660.3-481.5)+(3.43638+(0.673506-0.49113))+0-0-0</f>
        <v>3551.418756</v>
      </c>
      <c r="L246" s="3">
        <f>3467.5+(800.7-523.5)+(-3.53685+(-0.816714--0.53397))+0-0-0</f>
        <v>3740.8804059999998</v>
      </c>
      <c r="M246" s="3">
        <f>3829.6+(852.5-543.1)+(-1.953096+(-0.434775--0.276981))+0-0-0</f>
        <v>4136.8891100000001</v>
      </c>
      <c r="N246" s="3">
        <f>3892.3+(1114-349.9)+(0+(0-0))+0-0-0</f>
        <v>4656.4000000000005</v>
      </c>
      <c r="O246" s="3">
        <f>3847.4+(1386.3-320)+(1.962174+(0.707013-0.1632))+0-0-0</f>
        <v>4916.2059869999994</v>
      </c>
      <c r="P246" s="3">
        <f>4023.6+(1461.5-248.8)+(-4.104072+(-1.49073--0.253776))+0-0-0</f>
        <v>5230.9589740000001</v>
      </c>
      <c r="Q246" s="3">
        <f>4003.7+(1588.3-216.2)+(-10.209435+(-4.050165--0.55131))+0-0-0</f>
        <v>5362.0917099999997</v>
      </c>
      <c r="R246" s="3">
        <f>3957.6+(1529.1-213.8)+(-6.055128+(-2.339523--0.327114))+0-0-0</f>
        <v>5264.8324629999997</v>
      </c>
      <c r="S246" s="3">
        <f>3866.7+(1503.6-192.2)+(-3.944034+(-1.533672--0.196044))+0-0-0</f>
        <v>5172.8183379999991</v>
      </c>
      <c r="T246" s="3">
        <f>3795.1+(1668.9-196.6)+(5.806503+(2.553417-0.300798))+0-0-0</f>
        <v>5275.4591219999993</v>
      </c>
      <c r="U246" s="3">
        <f>3861.4+(1604.3-206.6)+(1.969314+(0.818193-0.105366))+0-0-0</f>
        <v>5261.7821410000006</v>
      </c>
      <c r="V246" s="3">
        <f>4066+(1545.6-200.6)+(0+(0-0))+0-0-0</f>
        <v>5411</v>
      </c>
      <c r="W246" s="3">
        <f>4343.8+(1574.5-280.2)+(0+(0-0))+0-0-0</f>
        <v>5638.1</v>
      </c>
      <c r="X246" s="3">
        <f>4379.3+(1428.4-240.1)+(-6.700329+(-2.185452--0.367353))+0-0-0</f>
        <v>5559.0815720000001</v>
      </c>
      <c r="Y246" s="3">
        <f>4371.8+(1248.1-211.9)+(-11.14809+(-3.182655--0.540345))+0-0-0</f>
        <v>5394.2096000000001</v>
      </c>
      <c r="Z246" s="3">
        <f>4344.3+(1123-212.8)+(0+(0-0))+0-0-0</f>
        <v>5254.5</v>
      </c>
      <c r="AA246" s="3">
        <f>4258+(1042.9-253.1)+(-10.8579+(-2.659395--0.645405))+0-0-0</f>
        <v>5034.9281099999998</v>
      </c>
      <c r="AB246" s="3">
        <f>4119.5+(968.4-268.2)+(-8.40378+(-1.975536--0.547128))+0-0-0</f>
        <v>4809.8678119999995</v>
      </c>
      <c r="AC246" s="3">
        <f>3891.8+(868-305.8)+(-7.939272+(-1.77072--0.623832))+0-0-0</f>
        <v>4444.9138400000002</v>
      </c>
      <c r="AD246">
        <v>5667.3</v>
      </c>
      <c r="AE246" s="3">
        <f>4354+(1678.1-364.8)+(0+(0-0))+0-0-0</f>
        <v>5667.3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3547.8+(925.3-468.2)+(-5.428134+(-1.415709--0.716346))+0-0-0</f>
        <v>3998.7725030000001</v>
      </c>
      <c r="G247" s="3">
        <f>3482.3+(694.6-460.5)+(0+(0-0))+0-0-0</f>
        <v>3716.4</v>
      </c>
      <c r="H247" s="3">
        <f>3295+(713.7-450)+(0+(0-0))+0-0-0</f>
        <v>3558.7</v>
      </c>
      <c r="I247" s="3">
        <f>3210.4+(754.6-486.1)+(0+(0-0))+0-0-0</f>
        <v>3478.9</v>
      </c>
      <c r="J247" s="3">
        <f>3206.2+(719.4-468)+(6.540648+(1.467576-0.95472))+0-0-0</f>
        <v>3464.6535039999999</v>
      </c>
      <c r="K247" s="3">
        <f>3273.7+(683.8-438.2)+(6.678348+(1.394952-0.893928))+0-0-0</f>
        <v>3526.4793719999998</v>
      </c>
      <c r="L247" s="3">
        <f>3385.6+(921-566.8)+(3.453312+(0.93942-0.578136))+0-0-0</f>
        <v>3743.6145960000003</v>
      </c>
      <c r="M247" s="3">
        <f>3686.5+(1004.2-555.7)+(0+(0-0))+0-0-0</f>
        <v>4135</v>
      </c>
      <c r="N247" s="3">
        <f>4022.8+(1068.4-436)+(2.051628+(0.544884-0.22236))+0-0-0</f>
        <v>4657.574152000001</v>
      </c>
      <c r="O247" s="3">
        <f>4035.7+(1387.7-421)+(4.116414+(1.415454-0.42942))+0-0-0</f>
        <v>5007.5024479999993</v>
      </c>
      <c r="P247" s="3">
        <f>3948.4+(1610.4-311.4)+(-2.013684+(-0.821304--0.158814))+0-0-0</f>
        <v>5244.7238259999995</v>
      </c>
      <c r="Q247" s="3">
        <f>3932.5+(1759.1-315)+(-12.03345+(-5.382846--0.9639))+0-0-0</f>
        <v>5360.1476040000007</v>
      </c>
      <c r="R247" s="3">
        <f>3974.1+(1642.7-324.6)+(-8.107164+(-3.351108--0.662184))+0-0-0</f>
        <v>5281.4039119999998</v>
      </c>
      <c r="S247" s="3">
        <f>3793.2+(1642.8-253.1)+(-1.934532+(-0.837828--0.129081))+0-0-0</f>
        <v>5180.2567209999997</v>
      </c>
      <c r="T247" s="3">
        <f>3858.2+(1679.2-221.2)+(0+(0-0))+0-0-0</f>
        <v>5316.2</v>
      </c>
      <c r="U247" s="3">
        <f>3808.1+(1708.3-202.2)+(1.942131+(0.871233-0.103122))+0-0-0</f>
        <v>5316.9102419999999</v>
      </c>
      <c r="V247" s="3">
        <f>3924.1+(1680.7-177.3)+(2.001291+(0.857157-0.090423))+0-0-0</f>
        <v>5430.2680250000003</v>
      </c>
      <c r="W247" s="3">
        <f>4097.9+(1866.2-254.7)+(-2.089929+(-0.951762--0.129897))+0-0-0</f>
        <v>5706.488206</v>
      </c>
      <c r="X247" s="3">
        <f>4227.5+(1675.6-252.4)+(0+(0-0))+0-0-0</f>
        <v>5650.7</v>
      </c>
      <c r="Y247" s="3">
        <f>4207.9+(1508.4-245.2)+(-8.584116+(-3.077136--0.500208))+0-0-0</f>
        <v>5459.9389559999991</v>
      </c>
      <c r="Z247" s="3">
        <f>4109.3+(1435.9-224)+(-2.095743+(-0.732309--0.11424))+0-0-0</f>
        <v>5318.4861880000008</v>
      </c>
      <c r="AA247" s="3">
        <f>3892.3+(1454.2-213.2)+(-7.940292+(-2.966568--0.434928))+0-0-0</f>
        <v>5122.8280679999998</v>
      </c>
      <c r="AB247" s="3">
        <f>3836.4+(1140.1-268)+(-5.869692+(-1.744353--0.41004))+0-0-0</f>
        <v>4701.2959950000004</v>
      </c>
      <c r="AC247" s="3">
        <f>3834.2+(1063.7-302.4)+(-5.866326+(-1.627461--0.462672))+0-0-0</f>
        <v>4588.4688850000002</v>
      </c>
      <c r="AD247">
        <v>5796.8</v>
      </c>
      <c r="AE247" s="3">
        <f>4225+(1828.7-256.9)+(0+(0-0))+0-0-0</f>
        <v>5796.8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3614.3+(663.7-316.5)+(-3.686586+(-0.676974--0.32283))+0-0-0</f>
        <v>3957.4592699999998</v>
      </c>
      <c r="G248" s="3">
        <f>3356.6+(619.5-292.9)+(-3.423732+(-0.63189--0.298758))+0-0-0</f>
        <v>3679.4431359999999</v>
      </c>
      <c r="H248" s="3">
        <f>3262.3+(591.5-301.6)+(-3.327546+(-0.60333--0.307632))+0-0-0</f>
        <v>3548.5767560000004</v>
      </c>
      <c r="I248" s="3">
        <f>3289.7+(541.7-312.4)+(-1.677747+(-0.276267--0.159324))+0-0-0</f>
        <v>3517.2053099999998</v>
      </c>
      <c r="J248" s="3">
        <f>3246.6+(563.7-307.8)+(3.311532+(0.574974-0.313956))+0-0-0</f>
        <v>3506.0725499999999</v>
      </c>
      <c r="K248" s="3">
        <f>3256.2+(627.5-310.5)+(3.321324+(0.64005-0.31671))+0-0-0</f>
        <v>3576.8446639999997</v>
      </c>
      <c r="L248" s="3">
        <f>3247.1+(798.7-249.6)+(-1.656021+(-0.407337--0.127296))+0-0-0</f>
        <v>3794.2639379999996</v>
      </c>
      <c r="M248" s="3">
        <f>3465.2+(947.2-263.8)+(0+(0-0))+0-0-0</f>
        <v>4148.6000000000004</v>
      </c>
      <c r="N248" s="3">
        <f>3863.7+(1174.4-289.4)+(-1.970487+(-0.598944--0.147594))+0-0-0</f>
        <v>4746.2781629999999</v>
      </c>
      <c r="O248" s="3">
        <f>3899.8+(1531.9-336.4)+(1.988898+(0.781269-0.171564))+0-0-0</f>
        <v>5097.8986030000005</v>
      </c>
      <c r="P248" s="3">
        <f>3724.4+(1878.1-368.2)+(-1.899444+(-0.957831--0.187782))+0-0-0</f>
        <v>5231.6305069999999</v>
      </c>
      <c r="Q248" s="3">
        <f>3571.1+(2163.1-395.8)+(-7.285044+(-4.412724--0.807432))+0-0-0</f>
        <v>5327.5096639999992</v>
      </c>
      <c r="R248" s="3">
        <f>3562.6+(2048.4-346.2)+(-9.08463+(-5.22342--0.88281))+0-0-0</f>
        <v>5251.3747600000006</v>
      </c>
      <c r="S248" s="3">
        <f>3561+(1920.5-309.1)+(-7.26444+(-3.91782--0.630564))+0-0-0</f>
        <v>5161.8483039999992</v>
      </c>
      <c r="T248" s="3">
        <f>3608.1+(1928.4-296.5)+(-5.520393+(-2.950452--0.453645))+0-0-0</f>
        <v>5231.9827999999998</v>
      </c>
      <c r="U248" s="3">
        <f>3552.3+(1981.9-334.9)+(-3.623346+(-2.021538--0.341598))+0-0-0</f>
        <v>5193.9967139999999</v>
      </c>
      <c r="V248" s="3">
        <f>3829.3+(1760.9-327.2)+(-3.905886+(-1.796118--0.333744))+0-0-0</f>
        <v>5257.6317399999998</v>
      </c>
      <c r="W248" s="3">
        <f>4265.9+(1899.1-481)+(2.175609+(0.968541-0.24531))+0-0-0</f>
        <v>5686.8988399999998</v>
      </c>
      <c r="X248" s="3">
        <f>4340.1+(1714.2-417.1)+(-13.280706+(-5.245452--1.276326))+0-0-0</f>
        <v>5619.9501680000003</v>
      </c>
      <c r="Y248" s="3">
        <f>4334.2+(1523.4-402.5)+(-15.473094+(-5.438538--1.436925))+0-0-0</f>
        <v>5435.6252930000001</v>
      </c>
      <c r="Z248" s="3">
        <f>4329.1+(1347.5-396.5)+(-6.623523+(-2.061675--0.606645))+0-0-0</f>
        <v>5272.0214470000001</v>
      </c>
      <c r="AA248" s="3">
        <f>4184.8+(1287.7-427.1)+(-4.268496+(-1.313454--0.435642))+0-0-0</f>
        <v>5040.2536920000002</v>
      </c>
      <c r="AB248" s="3">
        <f>4092.5+(1235.4-508.3)+(-6.261525+(-1.890162--0.777699))+0-0-0</f>
        <v>4812.2260120000001</v>
      </c>
      <c r="AC248" s="3">
        <f>3764+(1196.3-491.4)+(-1.91964+(-0.610113--0.250614))+0-0-0</f>
        <v>4466.6208609999994</v>
      </c>
      <c r="AD248">
        <v>5648.9</v>
      </c>
      <c r="AE248" s="3">
        <f>4368+(1683.9-403)+(0+(0-0))+0-0-0</f>
        <v>5648.9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3657.8+(846.6-423.4)+(-5.596434+(-1.295298--0.647802))+0-0-0</f>
        <v>4074.7560699999999</v>
      </c>
      <c r="G249" s="3">
        <f>3379.5+(701.9-327.8)+(-3.44709+(-0.715938--0.334356))+0-0-0</f>
        <v>3749.7713279999998</v>
      </c>
      <c r="H249" s="3">
        <f>3245.4+(671.9-324.4)+(-6.620616+(-1.370676--0.661776))+0-0-0</f>
        <v>3585.5704840000003</v>
      </c>
      <c r="I249" s="3">
        <f>3137+(634.3-279.3)+(3.19974+(0.646986-0.284886))+0-0-0</f>
        <v>3495.5618399999998</v>
      </c>
      <c r="J249" s="3">
        <f>3174.7+(558.9-269.1)+(-6.476388+(-1.140156--0.548964))+0-0-0</f>
        <v>3457.4324200000001</v>
      </c>
      <c r="K249" s="3">
        <f>3192.7+(579.9-241.1)+(-4.884831+(-0.887247--0.368883))+0-0-0</f>
        <v>3526.0968050000001</v>
      </c>
      <c r="L249" s="3">
        <f>3359.9+(634.7-341.4)+(0+(0-0))+0-0-0</f>
        <v>3653.2000000000003</v>
      </c>
      <c r="M249" s="3">
        <f>3588.3+(698.2-339.7)+(0+(0-0))+0-0-0</f>
        <v>3946.8</v>
      </c>
      <c r="N249" s="3">
        <f>4152.6+(674-369.4)+(4.235652+(0.68748-0.376788))+0-0-0</f>
        <v>4461.746344000001</v>
      </c>
      <c r="O249" s="3">
        <f>4177.6+(992.9-314.9)+(-2.130576+(-0.506379--0.160599))+0-0-0</f>
        <v>4853.1236440000002</v>
      </c>
      <c r="P249" s="3">
        <f>4226.4+(1245-366.1)+(-2.155464+(-0.63495--0.186711))+0-0-0</f>
        <v>5102.6962969999995</v>
      </c>
      <c r="Q249" s="3">
        <f>4216.2+(1403.1-408.9)+(-6.450786+(-2.146743--0.625617))+0-0-0</f>
        <v>5202.4280879999997</v>
      </c>
      <c r="R249" s="3">
        <f>4232.5+(1241.6-408.1)+(-8.6343+(-2.532864--0.832524))+0-0-0</f>
        <v>5055.66536</v>
      </c>
      <c r="S249" s="3">
        <f>4243+(930.8-377.5)+(4.32786+(0.949416-0.38505))+34.3-0-0</f>
        <v>4835.4922260000003</v>
      </c>
      <c r="T249" s="3">
        <f>4244.7+(1247.1-684.1)+(-2.164797+(-0.636021--0.348891))+0-0-0</f>
        <v>4805.2480729999997</v>
      </c>
      <c r="U249" s="3">
        <f>3973.8+(1501.8-665.4)+(-2.026638+(-0.765918--0.339354))+0-0-0</f>
        <v>4807.7467980000001</v>
      </c>
      <c r="V249" s="3">
        <f>4085.7+(1200.9-623.2)+(-2.083707+(-0.612459--0.317832))+0-0-0</f>
        <v>4661.0216659999996</v>
      </c>
      <c r="W249" s="3">
        <f>4520+(1184.4-432.7)+(2.3052+(0.604044-0.220677))+0-0-0</f>
        <v>5274.388567</v>
      </c>
      <c r="X249" s="3">
        <f>4784.6+(882-345.1)+(-14.640876+(-2.69892--1.056006))+0-0-0</f>
        <v>5305.2162099999996</v>
      </c>
      <c r="Y249" s="3">
        <f>4792.1+(831-317.9)+(-7.331913+(-1.27143--0.486387))+0-0-0</f>
        <v>5297.0830440000009</v>
      </c>
      <c r="Z249" s="3">
        <f>4629.2+(777-286.2)+(-9.443568+(-1.58508--0.583848))+0-0-0</f>
        <v>5109.5551999999998</v>
      </c>
      <c r="AA249" s="3">
        <f>4512.8+(721.5-336.1)+(-4.603056+(-0.73593--0.342822))+0-0-0</f>
        <v>4893.2038359999997</v>
      </c>
      <c r="AB249" s="3">
        <f>4370.4+(658.8-391.5)+(-6.686712+(-1.007964--0.598995))+0-0-0</f>
        <v>4630.604319</v>
      </c>
      <c r="AC249" s="3">
        <f>4161.5+(611.9-405.3)+(-12.73419+(-1.872414--1.240218))+0-0-0</f>
        <v>4354.7336140000007</v>
      </c>
      <c r="AD249">
        <v>5381.4000000000005</v>
      </c>
      <c r="AE249" s="3">
        <f>4640+(1134.6-393.2)+(0+(0-0))+0-0-0</f>
        <v>5381.4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3803+(621.4-382.4)+(3.87906+(0.633828-0.390048))+0-0-0</f>
        <v>4046.12284</v>
      </c>
      <c r="G250" s="3">
        <f>3755.8+(448.4-427.6)+(-5.746374+(-0.686052--0.654228))+0-0-0</f>
        <v>3770.8218020000004</v>
      </c>
      <c r="H250" s="3">
        <f>3537.5+(495.3-461.4)+(-5.412375+(-0.757809--0.705942))+0-0-0</f>
        <v>3565.9357580000001</v>
      </c>
      <c r="I250" s="3">
        <f>3376.5+(476.3-412.3)+(-3.44403+(-0.485826--0.420546))+0-0-0</f>
        <v>3436.9906900000001</v>
      </c>
      <c r="J250" s="3">
        <f>3339.1+(420.8-368.7)+(-5.108823+(-0.643824--0.564111))+0-0-0</f>
        <v>3386.0114639999997</v>
      </c>
      <c r="K250" s="3">
        <f>3372.4+(417.5-397.3)+(-3.439848+(-0.42585--0.405246))+0-0-0</f>
        <v>3389.1395480000001</v>
      </c>
      <c r="L250" s="3">
        <f>3482.7+(632.5-757.9)+(-12.433239+(-2.258025--2.705703))+0-0-0</f>
        <v>3345.3144389999998</v>
      </c>
      <c r="M250" s="3">
        <f>3432.9+(586.6-746)+(-3.501558+(-0.598332--0.76092))+0-0-0</f>
        <v>3270.1610300000002</v>
      </c>
      <c r="N250" s="3">
        <f>3613.3+(749-918.4)+(1.842783+(0.38199-0.468384))+0-0-0</f>
        <v>3445.6563890000002</v>
      </c>
      <c r="O250" s="3">
        <f>3788.2+(803.5-825.9)+(-9.65991+(-2.048925--2.106045))+0-0-0</f>
        <v>3756.1972099999998</v>
      </c>
      <c r="P250" s="3">
        <f>3925+(796.7-646.6)+(-6.00525+(-1.218951--0.989298))+0-0-0</f>
        <v>4068.8650969999999</v>
      </c>
      <c r="Q250" s="3">
        <f>4012.9+(837.3-602.2)+(-4.093158+(-0.854046--0.614244))+0-0-0</f>
        <v>4243.6670400000003</v>
      </c>
      <c r="R250" s="3">
        <f>3889.6+(873.2-455.7)+(-7.934784+(-1.781328--0.929628))+0-0-0</f>
        <v>4298.3135160000002</v>
      </c>
      <c r="S250" s="3">
        <f>3909.3+(750.8-423.1)+(-5.981229+(-1.148724--0.647343))+0-0-0</f>
        <v>4230.51739</v>
      </c>
      <c r="T250" s="3">
        <f>3895.5+(645.1-387.3)+(0+(0-0))+0-0-0</f>
        <v>4153.3</v>
      </c>
      <c r="U250" s="3">
        <f>3918.9+(657.7-465.7)+(-1.998639+(-0.335427--0.237507))+0-0-0</f>
        <v>4108.8034410000009</v>
      </c>
      <c r="V250" s="3">
        <f>4031.5+(641.5-499.5)+(4.11213+(0.65433-0.50949))+0-0-0</f>
        <v>4177.7569700000004</v>
      </c>
      <c r="W250" s="3">
        <f>4365.2+(819.1-669.8)+(6.678756+(1.253223-1.024794))+0-0-0</f>
        <v>4521.407185</v>
      </c>
      <c r="X250" s="3">
        <f>4478.6+(771.2-652.7)+(-4.568172+(-0.786624--0.665754))+0-0-0</f>
        <v>4592.4109580000004</v>
      </c>
      <c r="Y250" s="3">
        <f>4497.2+(745.1-670.9)+(-4.587144+(-0.760002--0.684318))+0-0-0</f>
        <v>4566.7371719999992</v>
      </c>
      <c r="Z250" s="3">
        <f>4417.9+(834.6-686.6)+(-4.506258+(-0.851292--0.700332))+0-0-0</f>
        <v>4561.2427819999994</v>
      </c>
      <c r="AA250" s="3">
        <f>4334.7+(896.4-638.9)+(-6.632091+(-1.371492--0.977517))+0-0-0</f>
        <v>4585.1739339999995</v>
      </c>
      <c r="AB250" s="3">
        <f>4259.3+(820.7-659)+(-2.172243+(-0.418557--0.33609))+0-0-0</f>
        <v>4418.7452899999998</v>
      </c>
      <c r="AC250" s="3">
        <f>4143.8+(694.8-662.9)+(-6.340014+(-1.063044--1.014237))+0-0-0</f>
        <v>4169.3111790000003</v>
      </c>
      <c r="AD250">
        <v>4749.2</v>
      </c>
      <c r="AE250" s="3">
        <f>4613+(789.5-653.3)+(0+(0-0))+0-0-0</f>
        <v>4749.2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4040.3+(664.8-893.7)+(-2.060553+(-0.339048--0.455787))+0-0-0</f>
        <v>3809.4561859999999</v>
      </c>
      <c r="G251" s="3">
        <f>3929.9+(691.4-1104.7)+(0+(0-0))+0-0-0</f>
        <v>3516.6</v>
      </c>
      <c r="H251" s="3">
        <f>3693.4+(673.7-982)+(3.767268+(0.687174-1.00164))+0-0-0</f>
        <v>3388.5528020000002</v>
      </c>
      <c r="I251" s="3">
        <f>3635.5+(681.3-1014.9)+(9.270525+(1.737315-2.587995))+0-0-0</f>
        <v>3310.319845</v>
      </c>
      <c r="J251" s="3">
        <f>3609.9+(612-867.8)+(-1.841049+(-0.31212--0.442578))+0-0-0</f>
        <v>3352.3894090000003</v>
      </c>
      <c r="K251" s="3">
        <f>3825+(660.6-1058.1)+(7.803+(1.347624-2.158524))+0-0-0</f>
        <v>3434.4920999999999</v>
      </c>
      <c r="L251" s="3">
        <f>4020.5+(808.2-1110.9)+(6.151365+(1.236546-1.699677))+0-0-0</f>
        <v>3723.4882340000004</v>
      </c>
      <c r="M251" s="3">
        <f>4310.2+(880-1057.6)+(-4.396404+(-0.8976--1.078752))+0-0-0</f>
        <v>4128.3847480000004</v>
      </c>
      <c r="N251" s="3">
        <f>4520.6+(1062.3-878.1)+(4.611012+(1.083546-0.895662))+0-0-0</f>
        <v>4709.5988960000004</v>
      </c>
      <c r="O251" s="3">
        <f>4575.9+(1117.9-512)+(-7.001127+(-1.710387--0.78336))+0-0-0</f>
        <v>5173.8718459999991</v>
      </c>
      <c r="P251" s="3">
        <f>4636.3+(1371.3-494.3)+(4.729026+(1.398726-0.504186))+0-0-0</f>
        <v>5518.9235660000004</v>
      </c>
      <c r="Q251" s="3">
        <f>4510.9+(1646.8-455.6)+(0+(0-0))+0-0-0</f>
        <v>5702.0999999999995</v>
      </c>
      <c r="R251" s="3">
        <f>4520.2+(1645.4-432.7)+(-6.915906+(-2.517462--0.662031))+0-0-0</f>
        <v>5724.1286629999995</v>
      </c>
      <c r="S251" s="3">
        <f>4545.5+(1494-387)+(-2.318205+(-0.76194--0.19737))+0-0-0</f>
        <v>5649.617225</v>
      </c>
      <c r="T251" s="3">
        <f>4574+(1425-349.2)+(-2.33274+(-0.72675--0.178092))+0-0-0</f>
        <v>5646.9186019999997</v>
      </c>
      <c r="U251" s="3">
        <f>4617.9+(1385-382.1)+(-7.065387+(-2.11905--0.584613))+0-0-0</f>
        <v>5612.2001759999994</v>
      </c>
      <c r="V251" s="3">
        <f>4823.1+(1313.8-426.4)+(4.919562+(1.340076-0.434928))+0-0-0</f>
        <v>5716.3247099999999</v>
      </c>
      <c r="W251" s="3">
        <f>4992.7+(1551.7-582.4)+(2.546277+(0.791367-0.297024))+0-0-0</f>
        <v>5965.0406199999998</v>
      </c>
      <c r="X251" s="3">
        <f>4794.2+(1475.1-479.2)+(-7.335126+(-2.256903--0.733176))+0-0-0</f>
        <v>5781.2411469999997</v>
      </c>
      <c r="Y251" s="3">
        <f>4766.9+(1271.5-375.4)+(-2.431119+(-0.648465--0.191454))+0-0-0</f>
        <v>5660.1118699999997</v>
      </c>
      <c r="Z251" s="3">
        <f>4738.7+(1125.7-387.1)+(-4.833474+(-1.148214--0.394842))+0-0-0</f>
        <v>5471.713154</v>
      </c>
      <c r="AA251" s="3">
        <f>4692.2+(1046.2-497.8)+(-4.786044+(-1.067124--0.507756))+0-0-0</f>
        <v>5235.2545880000007</v>
      </c>
      <c r="AB251" s="3">
        <f>4637.7+(1002.7-639.9)+(-2.365227+(-0.511377--0.326349))+0-0-0</f>
        <v>4997.9497449999999</v>
      </c>
      <c r="AC251" s="3">
        <f>4490.8+(950.8-807.9)+(-2.290308+(-0.484908--0.412029))+0-0-0</f>
        <v>4631.3368129999999</v>
      </c>
      <c r="AD251">
        <v>5933.5999999999995</v>
      </c>
      <c r="AE251" s="3">
        <f>5012+(1496.9-575.3)+(0+(0-0))+0-0-0</f>
        <v>5933.6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4387.8+(708.3-933.1)+(-4.475556+(-0.722466--0.951762))+0-0-0</f>
        <v>4158.7537400000001</v>
      </c>
      <c r="G252" s="3">
        <f>3998.6+(666.3-806.5)+(-4.078572+(-0.679626--0.82263))+0-0-0</f>
        <v>3854.4644319999998</v>
      </c>
      <c r="H252" s="3">
        <f>3823.6+(726.6-848.3)+(3.900072+(0.741132-0.865266))+0-0-0</f>
        <v>3705.6759380000003</v>
      </c>
      <c r="I252" s="3">
        <f>3766.2+(756-886.8)+(5.762286+(1.15668-1.356804))+0-0-0</f>
        <v>3640.9621619999998</v>
      </c>
      <c r="J252" s="3">
        <f>3766.7+(701.7-868.4)+(9.605085+(1.789335-2.21442))+0-0-0</f>
        <v>3609.18</v>
      </c>
      <c r="K252" s="3">
        <f>3839.3+(651.5-923.5)+(5.874129+(0.996795-1.412955))+0-0-0</f>
        <v>3572.7579690000002</v>
      </c>
      <c r="L252" s="3">
        <f>4065.3+(793.9-912.7)+(-8.293212+(-1.619556--1.861908))+0-0-0</f>
        <v>3938.4491400000002</v>
      </c>
      <c r="M252" s="3">
        <f>4249.4+(857.3-825)+(-2.167194+(-0.437223--0.42075))+0-0-0</f>
        <v>4279.5163329999996</v>
      </c>
      <c r="N252" s="3">
        <f>4584.8+(872.6-556.7)+(4.676496+(0.890052-0.567834))+0-0-0</f>
        <v>4905.6987140000001</v>
      </c>
      <c r="O252" s="3">
        <f>4717.9+(953.7-364.2)+(0+(0-0))+0-0-0</f>
        <v>5307.4</v>
      </c>
      <c r="P252" s="3">
        <f>4729.5+(1067.9-326.5)+(2.412045+(0.544629-0.166515))+0-0-0</f>
        <v>5473.6901589999998</v>
      </c>
      <c r="Q252" s="3">
        <f>4733.8+(1229.8-335.8)+(-4.828476+(-1.254396--0.342516))+0-0-0</f>
        <v>5622.0596439999999</v>
      </c>
      <c r="R252" s="3">
        <f>4668.6+(1137.4-306.3)+(-14.285916+(-3.480444--0.937278))+0-0-0</f>
        <v>5482.8709180000005</v>
      </c>
      <c r="S252" s="3">
        <f>4669.1+(1015-281.9)+(-11.906205+(-2.58825--0.718845))+0-0-0</f>
        <v>5388.424390000001</v>
      </c>
      <c r="T252" s="3">
        <f>4666.7+(1052.4-256)+(-4.760034+(-1.073448--0.26112))+0-0-0</f>
        <v>5457.5276380000005</v>
      </c>
      <c r="U252" s="3">
        <f>4714.4+(996.9-303.8)+(4.808688+(1.016838-0.309876))+0-0-0</f>
        <v>5413.0156500000003</v>
      </c>
      <c r="V252" s="3">
        <f>4813.4+(1004.9-332.9)+(4.909668+(1.024998-0.339558))+0-0-0</f>
        <v>5490.9951080000001</v>
      </c>
      <c r="W252" s="3">
        <f>5050.4+(1462-609.5)+(7.727112+(2.23686-0.932535))+0-0-0</f>
        <v>5911.9314369999993</v>
      </c>
      <c r="X252" s="3">
        <f>5074.2+(1328.4-534.4)+(-7.763526+(-2.032452--0.817632))+0-0-0</f>
        <v>5859.2216539999999</v>
      </c>
      <c r="Y252" s="3">
        <f>5079.5+(1151.7-567.4)+(-5.18109+(-1.174734--0.578748))+0-0-0</f>
        <v>5658.0229239999999</v>
      </c>
      <c r="Z252" s="3">
        <f>5081+(1017-594.8)+(-2.59131+(-0.51867--0.303348))+0-0-0</f>
        <v>5500.393368</v>
      </c>
      <c r="AA252" s="3">
        <f>4897.9+(960-610)+(-4.995858+(-0.9792--0.6222))+0-0-0</f>
        <v>5242.5471419999994</v>
      </c>
      <c r="AB252" s="3">
        <f>4824.6+(959.9-784)+(-14.763276+(-2.937294--2.39904))+0-0-0</f>
        <v>4985.1984700000003</v>
      </c>
      <c r="AC252" s="3">
        <f>4652.6+(1048.8-1050.9)+(-11.86413+(-2.67444--2.679795))+0-0-0</f>
        <v>4638.6412250000003</v>
      </c>
      <c r="AD252">
        <v>5980.5</v>
      </c>
      <c r="AE252" s="3">
        <f>5085+(1554.2-658.7)+(0+(0-0))+0-0-0</f>
        <v>5980.5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4395.1+(787.7-925.9)+(-2.241501+(-0.401727--0.472209))+0-0-0</f>
        <v>4254.7289810000002</v>
      </c>
      <c r="G253" s="3">
        <f>4141.3+(665.8-859.4)+(-8.448252+(-1.358232--1.753176))+0-0-0</f>
        <v>3939.6466920000003</v>
      </c>
      <c r="H253" s="3">
        <f>4018.7+(682.8-901.4)+(6.148611+(1.044684-1.379142))+0-0-0</f>
        <v>3805.9141529999997</v>
      </c>
      <c r="I253" s="3">
        <f>3953.3+(615.2-873.5)+(-6.048549+(-0.941256--1.336455))+0-0-0</f>
        <v>3689.34665</v>
      </c>
      <c r="J253" s="3">
        <f>3895.9+(530.9-803)+(7.947636+(1.083036-1.63812))+0-0-0</f>
        <v>3631.192552</v>
      </c>
      <c r="K253" s="3">
        <f>4154.6+(602.9-1018.7)+(2.118846+(0.307479-0.519537))+0-0-0</f>
        <v>3740.706788</v>
      </c>
      <c r="L253" s="3">
        <f>4469.7+(739.4-1190.8)+(-2.279547+(-0.377094--0.607308))+0-0-0</f>
        <v>4016.2506669999998</v>
      </c>
      <c r="M253" s="3">
        <f>4680.2+(857.1-1136.2)+(-2.386902+(-0.437121--0.579462))+0-0-0</f>
        <v>4398.855438999999</v>
      </c>
      <c r="N253" s="3">
        <f>4822.8+(764.6-707.4)+(-2.459628+(-0.389946--0.360774))+0-0-0</f>
        <v>4877.5111999999999</v>
      </c>
      <c r="O253" s="3">
        <f>4833.2+(837.5-414)+(-2.464932+(-0.427125--0.21114))+0-0-0</f>
        <v>5254.0190830000001</v>
      </c>
      <c r="P253" s="3">
        <f>4812+(978.9-343)+(-2.45412+(-0.499239--0.17493))+0-0-0</f>
        <v>5445.1215709999997</v>
      </c>
      <c r="Q253" s="3">
        <f>4860.5+(1091.2-339.1)+(-7.436565+(-1.669536--0.518823))+0-0-0</f>
        <v>5604.0127220000004</v>
      </c>
      <c r="R253" s="3">
        <f>4919.4+(899.2-316.6)+(-7.526682+(-1.375776--0.484398))+0-0-0</f>
        <v>5493.58194</v>
      </c>
      <c r="S253" s="3">
        <f>4752.3+(961.9-314.3)+(-2.423673+(-0.490569--0.160293))+0-0-0</f>
        <v>5397.1460509999997</v>
      </c>
      <c r="T253" s="3">
        <f>4605.3+(1128.4-264.5)+(7.046109+(1.726452-0.404685))+0-0-0</f>
        <v>5477.567876000001</v>
      </c>
      <c r="U253" s="3">
        <f>4532.6+(1153.8-239.4)+(0+(0-0))+0-0-0</f>
        <v>5447</v>
      </c>
      <c r="V253" s="3">
        <f>4641.5+(1148-200.7)+(-9.46866+(-2.34192--0.409428))+0-0-0</f>
        <v>5577.3988479999998</v>
      </c>
      <c r="W253" s="3">
        <f>4923.6+(1367.5-330.6)+(2.511036+(0.697425-0.168606))+0-0-0</f>
        <v>5963.539855</v>
      </c>
      <c r="X253" s="3">
        <f>4929.1+(1225.4-266.5)+(-7.541523+(-1.874862--0.407745))+0-0-0</f>
        <v>5878.99136</v>
      </c>
      <c r="Y253" s="3">
        <f>4858.3+(1079.9-261.1)+(0+(0-0))+0-0-0</f>
        <v>5677.1</v>
      </c>
      <c r="Z253" s="3">
        <f>4861.9+(949.8-329.6)+(0+(0-0))+0-0-0</f>
        <v>5482.0999999999995</v>
      </c>
      <c r="AA253" s="3">
        <f>4742.7+(825.6-357.2)+(-9.675108+(-1.684224--0.728688))+0-0-0</f>
        <v>5200.4693559999996</v>
      </c>
      <c r="AB253" s="3">
        <f>4686.4+(783.2-472)+(-16.730448+(-2.796024--1.68504))+0-0-0</f>
        <v>4979.7585679999993</v>
      </c>
      <c r="AC253" s="3">
        <f>4439.8+(777.3-545.9)+(-11.32149+(-1.982115--1.392045))+0-0-0</f>
        <v>4659.2884400000003</v>
      </c>
      <c r="AD253">
        <v>5986.5</v>
      </c>
      <c r="AE253" s="3">
        <f>4981+(1381.1-375.6)+(0+(0-0))+0-0-0</f>
        <v>5986.5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4033.7+(616.8-418)+(-14.400309+(-2.201976--1.49226))+0-0-0</f>
        <v>4217.389975</v>
      </c>
      <c r="G254" s="3">
        <f>3952.6+(361.3-391)+(-8.063304+(-0.737052--0.79764))+0-0-0</f>
        <v>3914.8972840000001</v>
      </c>
      <c r="H254" s="3">
        <f>3834.6+(338.4-432.6)+(0+(0-0))+0-0-0</f>
        <v>3740.3999999999996</v>
      </c>
      <c r="I254" s="3">
        <f>3791.4+(529.3-659.3)+(-3.867228+(-0.539886--0.672486))+0-0-0</f>
        <v>3657.6653719999999</v>
      </c>
      <c r="J254" s="3">
        <f>3673.4+(515.5-550.8)+(0+(0-0))+0-0-0</f>
        <v>3638.1000000000004</v>
      </c>
      <c r="K254" s="3">
        <f>3707.5+(539.4-546.4)+(5.672475+(0.825282-0.835992))+0-0-0</f>
        <v>3706.1617649999998</v>
      </c>
      <c r="L254" s="3">
        <f>4165.3+(698.9-925.7)+(-8.497212+(-1.425756--1.888428))+0-0-0</f>
        <v>3930.4654599999999</v>
      </c>
      <c r="M254" s="3">
        <f>4550.8+(730.7-968.5)+(-2.320908+(-0.372657--0.493935))+0-0-0</f>
        <v>4310.8003699999999</v>
      </c>
      <c r="N254" s="3">
        <f>4699.2+(865-701.6)+(0+(0-0))+0-0-0</f>
        <v>4862.5999999999995</v>
      </c>
      <c r="O254" s="3">
        <f>4702.7+(1016-444.7)+(-2.398377+(-0.51816--0.226797))+0-0-0</f>
        <v>5271.3102600000002</v>
      </c>
      <c r="P254" s="3">
        <f>4805.3+(1078.6-441.2)+(-9.802812+(-2.200344--0.900048))+0-0-0</f>
        <v>5431.5968919999996</v>
      </c>
      <c r="Q254" s="3">
        <f>4918.8+(1060.7-406.6)+(-12.54294+(-2.704785--1.03683))+0-0-0</f>
        <v>5558.6891050000004</v>
      </c>
      <c r="R254" s="3">
        <f>4945.1+(968.7-444.7)+(-12.610005+(-2.470185--1.133985))+0-0-0</f>
        <v>5455.1537950000002</v>
      </c>
      <c r="S254" s="3">
        <f>4842.2+(907.7-400.2)+(-7.408566+(-1.388781--0.612306))+0-0-0</f>
        <v>5341.5149590000001</v>
      </c>
      <c r="T254" s="3">
        <f>4840.7+(956.8-387.5)+(-7.406271+(-1.463904--0.592875))+0-0-0</f>
        <v>5401.7227000000003</v>
      </c>
      <c r="U254" s="3">
        <f>4841.8+(914.1-368.7)+(-4.938636+(-0.932382--0.376074))+0-0-0</f>
        <v>5381.7050560000007</v>
      </c>
      <c r="V254" s="3">
        <f>4963+(842.5-354.9)+(0+(0-0))+0-0-0</f>
        <v>5450.6</v>
      </c>
      <c r="W254" s="3">
        <f>5613.8+(887.7-600)+(11.452152+(1.810908-1.224))+0-0-0</f>
        <v>5913.5390600000001</v>
      </c>
      <c r="X254" s="3">
        <f>5700.2+(737.7-608)+(-8.721306+(-1.128681--0.93024))+0-0-0</f>
        <v>5820.9802529999997</v>
      </c>
      <c r="Y254" s="3">
        <f>5629.7+(623.4-601)+(-17.226882+(-1.907604--1.83906))+0-0-0</f>
        <v>5634.8045739999998</v>
      </c>
      <c r="Z254" s="3">
        <f>5454.9+(642.2-660.2)+(-8.345997+(-0.982566--1.010106))+0-0-0</f>
        <v>5428.5815429999993</v>
      </c>
      <c r="AA254" s="3">
        <f>5169.1+(752.2-720.4)+(-7.908723+(-1.150866--1.102212))+0-0-0</f>
        <v>5192.9426230000008</v>
      </c>
      <c r="AB254" s="3">
        <f>5041.8+(532.7-578.4)+(-2.571318+(-0.271677--0.294984))+0-0-0</f>
        <v>4993.5519890000005</v>
      </c>
      <c r="AC254" s="3">
        <f>4973.3+(675.9-1007.4)+(-12.681915+(-1.723545--2.56887))+0-0-0</f>
        <v>4629.9634100000003</v>
      </c>
      <c r="AD254">
        <v>5935.2999999999993</v>
      </c>
      <c r="AE254" s="3">
        <f>5744+(909.9-718.6)+(0+(0-0))+0-0-0</f>
        <v>5935.3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4642.8+(307.2-743)+(-9.471312+(-0.626688--1.51572))+0-0-0</f>
        <v>4198.4177200000004</v>
      </c>
      <c r="G255" s="3">
        <f>4461.8+(332.9-898.4)+(2.275518+(0.169779-0.458184))+0-0-0</f>
        <v>3898.2871130000003</v>
      </c>
      <c r="H255" s="3">
        <f>4147.9+(448.9-871.6)+(4.230858+(0.457878-0.889032))+0-0-0</f>
        <v>3728.9997039999998</v>
      </c>
      <c r="I255" s="3">
        <f>4116.1+(448.1-901.7)+(-6.297633+(-0.685593--1.379601))+0-0-0</f>
        <v>3656.8963750000003</v>
      </c>
      <c r="J255" s="3">
        <f>4132.9+(417.6-900.3)+(-2.107779+(-0.212976--0.459153))+0-0-0</f>
        <v>3648.3383979999999</v>
      </c>
      <c r="K255" s="3">
        <f>4251+(473.9-1005.4)+(8.67204+(0.966756-2.051016))+0-0-0</f>
        <v>3727.0877799999998</v>
      </c>
      <c r="L255" s="3">
        <f>4418.5+(456.4-925.2)+(0+(0-0))+0-0-0</f>
        <v>3949.7</v>
      </c>
      <c r="M255" s="3">
        <f>4844.1+(779-1267.7)+(-2.470491+(-0.39729--0.646527))+0-0-0</f>
        <v>4353.1787460000005</v>
      </c>
      <c r="N255" s="3">
        <f>5034.1+(833.5-926.3)+(0+(0-0))+0-0-0</f>
        <v>4941.3</v>
      </c>
      <c r="O255" s="3">
        <f>5254.3+(701.9-663.3)+(0+(0-0))+0-0-0</f>
        <v>5292.9000000000005</v>
      </c>
      <c r="P255" s="3">
        <f>5334.4+(744.5-555)+(-2.720544+(-0.379695--0.28305))+0-0-0</f>
        <v>5521.0828109999993</v>
      </c>
      <c r="Q255" s="3">
        <f>5348.2+(715.1-411.4)+(-2.727582+(-0.364701--0.209814))+0-0-0</f>
        <v>5649.0175309999995</v>
      </c>
      <c r="R255" s="3">
        <f>5325.6+(717-488.5)+(0+(0-0))+0-0-0</f>
        <v>5554.1</v>
      </c>
      <c r="S255" s="3">
        <f>5311+(681.3-566.9)+(0+(0-0))+0-0-0</f>
        <v>5425.4</v>
      </c>
      <c r="T255" s="3">
        <f>5331+(752.3-623)+(5.43762+(0.767346-0.63546))+0-0-0</f>
        <v>5465.869506</v>
      </c>
      <c r="U255" s="3">
        <f>5306.8+(699-556.7)+(-5.412936+(-0.71298--0.567834))+0-0-0</f>
        <v>5443.5419180000008</v>
      </c>
      <c r="V255" s="3">
        <f>5377.4+(742.9-588.6)+(0+(0-0))+0-0-0</f>
        <v>5531.7</v>
      </c>
      <c r="W255" s="3">
        <f>5662.1+(694.4-418.9)+(0+(0-0))+0-0-0</f>
        <v>5937.6</v>
      </c>
      <c r="X255" s="3">
        <f>5694.4+(661.6-494.7)+(-8.712432+(-1.012248--0.756891))+0-0-0</f>
        <v>5852.332210999999</v>
      </c>
      <c r="Y255" s="3">
        <f>5506.2+(445.5-323.5)+(-11.232648+(-0.90882--0.65994))+0-0-0</f>
        <v>5616.7184719999996</v>
      </c>
      <c r="Z255" s="3">
        <f>5398.8+(437.8-432.2)+(-5.506776+(-0.446556--0.440844))+0-0-0</f>
        <v>5398.8875120000002</v>
      </c>
      <c r="AA255" s="3">
        <f>5137+(589.9-614.7)+(-7.85961+(-0.902547--0.940491))+0-0-0</f>
        <v>5104.378334</v>
      </c>
      <c r="AB255" s="3">
        <f>5112.3+(695-882)+(-10.429092+(-1.4178--1.79928))+0-0-0</f>
        <v>4915.2523879999999</v>
      </c>
      <c r="AC255" s="3">
        <f>5027.4+(727.2-1110)+(-10.255896+(-1.483488--2.2644))+0-0-0</f>
        <v>4635.1250159999991</v>
      </c>
      <c r="AD255">
        <v>5962.3</v>
      </c>
      <c r="AE255" s="3">
        <f>5721+(695.1-453.8)+(0+(0-0))+0-0-0</f>
        <v>5962.3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4555.5+(601.8-921)+(-6.969915+(-0.920754--1.40913))+0-0-0</f>
        <v>4229.8184609999998</v>
      </c>
      <c r="G256" s="3">
        <f>4308+(459.6-853.1)+(-17.57664+(-1.875168--3.480648))+0-0-0</f>
        <v>3898.5288399999999</v>
      </c>
      <c r="H256" s="3">
        <f>3944.4+(480.9-690.9)+(-14.081508+(-1.716813--2.466513))+0-0-0</f>
        <v>3721.0681920000002</v>
      </c>
      <c r="I256" s="3">
        <f>3889.1+(436.6-671.6)+(-7.933764+(-0.890664--1.370064))+0-0-0</f>
        <v>3646.6456359999997</v>
      </c>
      <c r="J256" s="3">
        <f>3997.2+(435.2-793.3)+(-2.038572+(-0.221952--0.404583))+0-0-0</f>
        <v>3637.2440590000001</v>
      </c>
      <c r="K256" s="3">
        <f>4106.9+(351.2-759.2)+(0+(0-0))+0-0-0</f>
        <v>3698.8999999999996</v>
      </c>
      <c r="L256" s="3">
        <f>4356+(289.9-803.4)+(-4.44312+(-0.295698--0.819468))+0-0-0</f>
        <v>3838.5806499999999</v>
      </c>
      <c r="M256" s="3">
        <f>4440+(376.8-695.7)+(2.2644+(0.192168-0.354807))+0-0-0</f>
        <v>4123.2017610000003</v>
      </c>
      <c r="N256" s="3">
        <f>5000.3+(777.9-1121.3)+(5.100306+(0.793458-1.143726))+0-0-0</f>
        <v>4661.6500380000007</v>
      </c>
      <c r="O256" s="3">
        <f>5114.9+(703.3-704.7)+(-2.608599+(-0.358683--0.359397))+0-0-0</f>
        <v>5110.8921149999996</v>
      </c>
      <c r="P256" s="3">
        <f>5113.9+(823.8-550.4)+(0+(0-0))+0-0-0</f>
        <v>5387.2999999999993</v>
      </c>
      <c r="Q256" s="3">
        <f>5103.6+(984.6-558.5)+(-7.808508+(-1.506438--0.854505))+0-0-0</f>
        <v>5521.2395590000006</v>
      </c>
      <c r="R256" s="3">
        <f>5073.6+(907.8-550.1)+(-15.525216+(-2.777868--1.683306))+0-0-0</f>
        <v>5414.680222</v>
      </c>
      <c r="S256" s="3">
        <f>5073.5+(907.9-703.9)+(-12.937425+(-2.315145--1.794945))+0-0-0</f>
        <v>5264.042375</v>
      </c>
      <c r="T256" s="3">
        <f>5011.9+(853.2-696.1)+(2.556069+(0.435132-0.355011))+0-0-0</f>
        <v>5171.6361900000002</v>
      </c>
      <c r="U256" s="3">
        <f>4974.8+(617.2-627)+(-7.611444+(-0.944316--0.95931))+0-0-0</f>
        <v>4957.40355</v>
      </c>
      <c r="V256" s="3">
        <f>5064.7+(587.7-585.5)+(0+(0-0))+0-0-0</f>
        <v>5066.8999999999996</v>
      </c>
      <c r="W256" s="3">
        <f>5359.7+(702.7-598.2)+(-2.733447+(-0.358377--0.305082))+0-0-0</f>
        <v>5461.4132579999996</v>
      </c>
      <c r="X256" s="3">
        <f>5407.6+(629-564.6)+(5.515752+(0.64158-0.575892))+0-0-0</f>
        <v>5477.5814399999999</v>
      </c>
      <c r="Y256" s="3">
        <f>5376.2+(658.7-698.8)+(-10.967448+(-1.343748--1.425552))+0-0-0</f>
        <v>5325.2143560000004</v>
      </c>
      <c r="Z256" s="3">
        <f>5278.8+(772.8-883.6)+(-10.768752+(-1.576512--1.802544))+0-0-0</f>
        <v>5157.4572799999996</v>
      </c>
      <c r="AA256" s="3">
        <f>4835.1+(805.9-746.3)+(2.465901+(0.411009-0.380613))+0-0-0</f>
        <v>4897.1962970000004</v>
      </c>
      <c r="AB256" s="3">
        <f>4669.6+(853.3-816.8)+(-2.381496+(-0.435183--0.416568))+0-0-0</f>
        <v>4703.6998890000004</v>
      </c>
      <c r="AC256" s="3">
        <f>4468.8+(835.6-777.6)+(-6.837264+(-1.278468--1.189728))+0-0-0</f>
        <v>4519.8739960000003</v>
      </c>
      <c r="AD256">
        <v>5507.4</v>
      </c>
      <c r="AE256" s="3">
        <f>5435+(679.5-607.1)+(0+(0-0))+0-0-0</f>
        <v>5507.4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4230.5+(664.7-709.5)+(-10.787775+(-1.694985--1.809225))+0-0-0</f>
        <v>4175.0264649999999</v>
      </c>
      <c r="G257" s="3">
        <f>3966.4+(674.6-784.1)+(-4.045728+(-0.688092--0.799782))+0-0-0</f>
        <v>3852.9659620000002</v>
      </c>
      <c r="H257" s="3">
        <f>3865.9+(541.7-741.2)+(-3.943218+(-0.552534--0.756024))+0-0-0</f>
        <v>3662.6602720000001</v>
      </c>
      <c r="I257" s="3">
        <f>3784.5+(496.6-731.7)+(-1.930095+(-0.253266--0.373167))+0-0-0</f>
        <v>3547.589806</v>
      </c>
      <c r="J257" s="3">
        <f>3799+(549.1-843)+(-1.93749+(-0.280041--0.42993))+0-0-0</f>
        <v>3503.3123989999999</v>
      </c>
      <c r="K257" s="3">
        <f>3848.6+(498.4-857.4)+(7.851144+(1.016736-1.749096))+0-0-0</f>
        <v>3496.7187839999997</v>
      </c>
      <c r="L257" s="3">
        <f>3811+(486.9-791.7)+(-3.88722+(-0.496638--0.807534))+0-0-0</f>
        <v>3502.6236759999997</v>
      </c>
      <c r="M257" s="3">
        <f>3632.2+(662.3-864.8)+(0+(0-0))+0-0-0</f>
        <v>3429.7</v>
      </c>
      <c r="N257" s="3">
        <f>3966.2+(697-1073.2)+(0+(0-0))+0-0-0</f>
        <v>3590</v>
      </c>
      <c r="O257" s="3">
        <f>4183.2+(773.5-1072.1)+(-2.133432+(-0.394485--0.546771))+0-0-0</f>
        <v>3882.6188539999998</v>
      </c>
      <c r="P257" s="3">
        <f>4256.1+(766.7-851.6)+(-6.511833+(-1.173051--1.302948))+0-0-0</f>
        <v>4164.818064000001</v>
      </c>
      <c r="Q257" s="3">
        <f>4306.4+(760.7-725.1)+(-8.785056+(-1.551828--1.479204))+0-0-0</f>
        <v>4333.1423199999999</v>
      </c>
      <c r="R257" s="3">
        <f>4282.2+(772.9-707.4)+(-10.91961+(-1.970895--1.80387))+0-0-0</f>
        <v>4336.6133650000002</v>
      </c>
      <c r="S257" s="3">
        <f>4154+(827.4-734.7)+(-4.23708+(-0.843948--0.749394))+0-0-0</f>
        <v>4242.3683659999997</v>
      </c>
      <c r="T257" s="3">
        <f>4154.4+(867.9-831.9)+(0+(0-0))+0-0-0</f>
        <v>4190.3999999999996</v>
      </c>
      <c r="U257" s="3">
        <f>4143+(864.1-867.8)+(6.33879+(1.322073-1.327734))+0-0-0</f>
        <v>4145.6331289999998</v>
      </c>
      <c r="V257" s="3">
        <f>4242.3+(680.5-663.5)+(0+(0-0))+0-0-0</f>
        <v>4259.3</v>
      </c>
      <c r="W257" s="3">
        <f>4608.5+(778.7-537.4)+(-4.70067+(-0.794274--0.548148))+0-0-0</f>
        <v>4844.853204</v>
      </c>
      <c r="X257" s="3">
        <f>4623.8+(782.3-463.1)+(-2.358138+(-0.398973--0.236181))+0-0-0</f>
        <v>4940.4790700000003</v>
      </c>
      <c r="Y257" s="3">
        <f>4560.6+(803-454)+(-6.977718+(-1.22859--0.69462))+0-0-0</f>
        <v>4902.0883120000008</v>
      </c>
      <c r="Z257" s="3">
        <f>4547.1+(727-478.8)+(-4.638042+(-0.74154--0.488376))+0-0-0</f>
        <v>4790.4087939999999</v>
      </c>
      <c r="AA257" s="3">
        <f>4544+(633.1-521.8)+(2.31744+(0.322881-0.266118))+0-0-0</f>
        <v>4657.6742030000005</v>
      </c>
      <c r="AB257" s="3">
        <f>4585.9+(677.3-754.1)+(4.677618+(0.690846-0.769182))+0-0-0</f>
        <v>4513.6992819999996</v>
      </c>
      <c r="AC257" s="3">
        <f>4521.3+(750.7-970.5)+(0+(0-0))+0-0-0</f>
        <v>4301.5</v>
      </c>
      <c r="AD257">
        <v>4897.6000000000004</v>
      </c>
      <c r="AE257" s="3">
        <f>4616+(758.8-477.2)+(0+(0-0))+0-0-0</f>
        <v>4897.6000000000004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4291+(722.6-1043.9)+(-4.37682+(-0.737052--1.064778))+0-0-0</f>
        <v>3965.6509059999998</v>
      </c>
      <c r="G258" s="3">
        <f>3998.6+(541.9-901.3)+(-2.039286+(-0.276369--0.459663))+0-0-0</f>
        <v>3637.344008</v>
      </c>
      <c r="H258" s="3">
        <f>3830.7+(454.5-819.3)+(-3.907314+(-0.46359--0.835686))+0-0-0</f>
        <v>3462.3647819999996</v>
      </c>
      <c r="I258" s="3">
        <f>3807.5+(430.7-837.1)+(-1.941825+(-0.219657--0.426921))+0-0-0</f>
        <v>3399.3654389999997</v>
      </c>
      <c r="J258" s="3">
        <f>3763.1+(326.1-671.1)+(1.919181+(0.166311-0.342261))+0-0-0</f>
        <v>3419.8432309999998</v>
      </c>
      <c r="K258" s="3">
        <f>3844.1+(403.4-744.1)+(-1.960491+(-0.205734--0.379491))+0-0-0</f>
        <v>3501.6132659999998</v>
      </c>
      <c r="L258" s="3">
        <f>4013.1+(709.6-942.5)+(-2.046681+(-0.361896--0.480675))+0-0-0</f>
        <v>3778.2720979999999</v>
      </c>
      <c r="M258" s="3">
        <f>4218.2+(844.1-870)+(-6.453846+(-1.291473--1.3311))+0-0-0</f>
        <v>4185.885781</v>
      </c>
      <c r="N258" s="3">
        <f>4480.1+(958.3-692)+(-2.284851+(-0.488733--0.35292))+0-0-0</f>
        <v>4743.9793360000003</v>
      </c>
      <c r="O258" s="3">
        <f>4527.5+(1026.8-442.1)+(-4.61805+(-1.047336--0.450942))+0-0-0</f>
        <v>5106.9855559999996</v>
      </c>
      <c r="P258" s="3">
        <f>4539.5+(1267.4-469.8)+(-2.315145+(-0.646374--0.239598))+0-0-0</f>
        <v>5334.3780790000001</v>
      </c>
      <c r="Q258" s="3">
        <f>4549.5+(1419.3-468.4)+(-2.320245+(-0.723843--0.238884))+0-0-0</f>
        <v>5497.5947959999994</v>
      </c>
      <c r="R258" s="3">
        <f>4578.2+(1265.3-449.1)+(-9.339528+(-2.581212--0.916164))+0-0-0</f>
        <v>5383.3954239999994</v>
      </c>
      <c r="S258" s="3">
        <f>4590.5+(1081.5-405.7)+(-2.341155+(-0.551565--0.206907))+0-0-0</f>
        <v>5263.6141870000001</v>
      </c>
      <c r="T258" s="3">
        <f>4568.8+(1126.6-355.3)+(-9.320352+(-2.298264--0.724812))+0-0-0</f>
        <v>5329.2061960000001</v>
      </c>
      <c r="U258" s="3">
        <f>4504.4+(1129.6-331.2)+(0+(0-0))+0-0-0</f>
        <v>5302.7999999999993</v>
      </c>
      <c r="V258" s="3">
        <f>4574.8+(1101.2-285.5)+(-2.333148+(-0.561612--0.145605))+0-0-0</f>
        <v>5387.7508449999996</v>
      </c>
      <c r="W258" s="3">
        <f>4758.8+(1494.8-431.8)+(-4.853976+(-1.524696--0.440436))+0-0-0</f>
        <v>5815.8617640000002</v>
      </c>
      <c r="X258" s="3">
        <f>4709.8+(1392.4-370.6)+(-9.607992+(-2.840496--0.756024))+0-0-0</f>
        <v>5719.9075360000006</v>
      </c>
      <c r="Y258" s="3">
        <f>4669.2+(1262.3-409)+(-11.90646+(-3.218865--1.04295))+0-0-0</f>
        <v>5508.417625</v>
      </c>
      <c r="Z258" s="3">
        <f>4655.1+(1067-419.7)+(-7.122303+(-1.63251--0.642141))+0-0-0</f>
        <v>5294.2873280000003</v>
      </c>
      <c r="AA258" s="3">
        <f>4531.4+(878.6-395.9)+(-4.622028+(-0.896172--0.403818))+0-0-0</f>
        <v>5008.9856179999997</v>
      </c>
      <c r="AB258" s="3">
        <f>4320.8+(912.1-418.8)+(-2.203608+(-0.465171--0.213588))+0-0-0</f>
        <v>4811.6448090000004</v>
      </c>
      <c r="AC258" s="3">
        <f>4128.9+(795.6-377.6)+(0+(0-0))+0-0-0</f>
        <v>4546.8999999999996</v>
      </c>
      <c r="AD258">
        <v>5862.8</v>
      </c>
      <c r="AE258" s="3">
        <f>4775+(1542.5-454.7)+(0+(0-0))+0-0-0</f>
        <v>5862.8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4093.1+(626-530)+(-4.174962+(-0.63852--0.5406))+0-0-0</f>
        <v>4184.8271180000002</v>
      </c>
      <c r="G259" s="3">
        <f>3895.7+(519.1-514.9)+(-7.947228+(-1.058964--1.050396))+0-0-0</f>
        <v>3891.9442039999994</v>
      </c>
      <c r="H259" s="3">
        <f>3604.4+(455.8-356.1)+(-1.838244+(-0.232458--0.181611))+0-0-0</f>
        <v>3702.2109089999999</v>
      </c>
      <c r="I259" s="3">
        <f>3662.3+(392.3-434.5)+(-3.735546+(-0.400146--0.44319))+0-0-0</f>
        <v>3616.4074980000005</v>
      </c>
      <c r="J259" s="3">
        <f>3700+(350.9-426.3)+(-3.774+(-0.357918--0.434826))+0-0-0</f>
        <v>3620.902908</v>
      </c>
      <c r="K259" s="3">
        <f>3836.8+(390.2-543.6)+(7.827072+(0.796008-1.108944))+0-0-0</f>
        <v>3690.9141359999999</v>
      </c>
      <c r="L259" s="3">
        <f>4078+(458.8-643.3)+(-8.31912+(-0.935952--1.312332))+0-0-0</f>
        <v>3885.55726</v>
      </c>
      <c r="M259" s="3">
        <f>4303.4+(417.9-500.7)+(-4.389468+(-0.426258--0.510714))+0-0-0</f>
        <v>4216.2949879999996</v>
      </c>
      <c r="N259" s="3">
        <f>4526.1+(844.9-625.9)+(-2.308311+(-0.430899--0.319209))+0-0-0</f>
        <v>4742.679999</v>
      </c>
      <c r="O259" s="3">
        <f>4517.4+(976.6-392.3)+(0+(0-0))+0-0-0</f>
        <v>5101.7</v>
      </c>
      <c r="P259" s="3">
        <f>4501.3+(1230.1-378.1)+(-11.478315+(-3.136755--0.964155))+0-0-0</f>
        <v>5339.649085</v>
      </c>
      <c r="Q259" s="3">
        <f>4499.6+(1268-311.8)+(-4.589592+(-1.29336--0.318036))+0-0-0</f>
        <v>5450.2350839999999</v>
      </c>
      <c r="R259" s="3">
        <f>4453.7+(1190.3-294.4)+(-18.171096+(-4.856424--1.201152))+0-0-0</f>
        <v>5327.7736319999995</v>
      </c>
      <c r="S259" s="3">
        <f>4421.3+(1047.4-255.7)+(-4.509726+(-1.068348--0.260814))+0-0-0</f>
        <v>5207.6827400000002</v>
      </c>
      <c r="T259" s="3">
        <f>4424.9+(1051.4-250.9)+(-6.770097+(-1.608642--0.383877))+0-0-0</f>
        <v>5217.4051380000001</v>
      </c>
      <c r="U259" s="3">
        <f>4423.8+(977.9-286.3)+(-6.768414+(-1.496187--0.438039))+0-0-0</f>
        <v>5107.5734379999994</v>
      </c>
      <c r="V259" s="3">
        <f>4515.2+(924.6-349.1)+(6.908256+(1.414638-0.534123))+0-0-0</f>
        <v>5098.4887710000003</v>
      </c>
      <c r="W259" s="3">
        <f>4777.8+(1127.6-506.9)+(-2.436678+(-0.575076--0.258519))+0-0-0</f>
        <v>5395.7467649999999</v>
      </c>
      <c r="X259" s="3">
        <f>4604.5+(1110.6-446.2)+(-16.438065+(-3.964842--1.592934))+0-0-0</f>
        <v>5250.0900269999993</v>
      </c>
      <c r="Y259" s="3">
        <f>4558.2+(1048.1-581)+(-4.649364+(-1.069062--0.59262))+0-0-0</f>
        <v>5020.1741939999993</v>
      </c>
      <c r="Z259" s="3">
        <f>4499.9+(914.8-610)+(-9.179796+(-1.866192--1.2444))+0-0-0</f>
        <v>4794.8984119999996</v>
      </c>
      <c r="AA259" s="3">
        <f>4237+(864.1-550.7)+(-6.48261+(-1.322073--0.842571))+0-0-0</f>
        <v>4543.4378879999995</v>
      </c>
      <c r="AB259" s="3">
        <f>4064.8+(884.3-576.5)+(-4.146096+(-0.901986--0.58803))+0-0-0</f>
        <v>4368.139948</v>
      </c>
      <c r="AC259" s="3">
        <f>4018+(714.7-498.6)+(-6.14754+(-1.093491--0.762858))+0-0-0</f>
        <v>4227.6218269999999</v>
      </c>
      <c r="AD259">
        <v>5428.2</v>
      </c>
      <c r="AE259" s="3">
        <f>4816+(1176.9-564.7)+(0+(0-0))+0-0-0</f>
        <v>5428.2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3698.1+(697.3-410.5)+(1.886031+(0.355623-0.209355))+0-0-0</f>
        <v>3986.9322989999996</v>
      </c>
      <c r="G260" s="3">
        <f>3482.8+(573.8-348.1)+(3.552456+(0.585276-0.355062))+0-0-0</f>
        <v>3712.2826700000001</v>
      </c>
      <c r="H260" s="3">
        <f>3403.2+(459.8-354.5)+(0+(0-0))+0-0-0</f>
        <v>3508.5</v>
      </c>
      <c r="I260" s="3">
        <f>3239.5+(531.8-384.3)+(6.60858+(1.084872-0.783972))+0-0-0</f>
        <v>3393.9094799999998</v>
      </c>
      <c r="J260" s="3">
        <f>3213+(499.3-373.4)+(-3.27726+(-0.509286--0.380868))+0-0-0</f>
        <v>3335.494322</v>
      </c>
      <c r="K260" s="3">
        <f>3287.9+(415.9-376.5)+(3.353658+(0.424218-0.38403))+0-0-0</f>
        <v>3330.6938460000001</v>
      </c>
      <c r="L260" s="3">
        <f>3396.3+(269.3-373.9)+(-8.660565+(-0.686715--0.953445))+0-0-0</f>
        <v>3283.3061650000004</v>
      </c>
      <c r="M260" s="3">
        <f>3283.6+(290.9-455.7)+(-1.674636+(-0.148359--0.232407))+0-0-0</f>
        <v>3117.2094119999997</v>
      </c>
      <c r="N260" s="3">
        <f>3281.5+(412-508.7)+(3.34713+(0.42024-0.518874))+0-0-0</f>
        <v>3188.0484960000003</v>
      </c>
      <c r="O260" s="3">
        <f>3432.7+(481.8-558.4)+(-7.002708+(-0.982872--1.139136))+0-0-0</f>
        <v>3349.2535560000001</v>
      </c>
      <c r="P260" s="3">
        <f>3560.4+(561.9-616.5)+(-1.815804+(-0.286569--0.314415))+0-0-0</f>
        <v>3504.0120420000003</v>
      </c>
      <c r="Q260" s="3">
        <f>3331.1+(571.7-389.3)+(-10.193166+(-1.749402--1.191258))+0-0-0</f>
        <v>3502.7486899999999</v>
      </c>
      <c r="R260" s="3">
        <f>3181.8+(609.2-360.9)+(0+(0-0))+0-0-0</f>
        <v>3430.1000000000004</v>
      </c>
      <c r="S260" s="3">
        <f>3116+(630.4-351.8)+(0+(0-0))+0-0-0</f>
        <v>3394.6</v>
      </c>
      <c r="T260" s="3">
        <f>3059.2+(657.5-325.1)+(-7.80096+(-1.676625--0.829005))+0-0-0</f>
        <v>3382.9514199999999</v>
      </c>
      <c r="U260" s="3">
        <f>3068.2+(674.7-358.7)+(4.694346+(1.032291-0.548811))+0-0-0</f>
        <v>3389.3778259999999</v>
      </c>
      <c r="V260" s="3">
        <f>3203.6+(635.3-339.1)+(-1.633836+(-0.324003--0.172941))+0-0-0</f>
        <v>3498.0151019999998</v>
      </c>
      <c r="W260" s="3">
        <f>3740.7+(678.5-375.5)+(0+(0-0))+0-0-0</f>
        <v>4043.7</v>
      </c>
      <c r="X260" s="3">
        <f>3796.8+(638.6-328.9)+(-13.554576+(-2.279802--1.174173))+0-0-0</f>
        <v>4091.8397949999999</v>
      </c>
      <c r="Y260" s="3">
        <f>3801.8+(569.9-312.7)+(-7.755672+(-1.162596--0.637908))+0-0-0</f>
        <v>4050.7196399999998</v>
      </c>
      <c r="Z260" s="3">
        <f>3801.6+(457.5-281.7)+(-5.816448+(-0.699975--0.431001))+0-0-0</f>
        <v>3971.314578</v>
      </c>
      <c r="AA260" s="3">
        <f>3676.8+(541-337.1)+(0+(0-0))+0-0-0</f>
        <v>3880.7000000000003</v>
      </c>
      <c r="AB260" s="3">
        <f>3568.2+(688.5-415.5)+(-3.639564+(-0.70227--0.42381))+0-0-0</f>
        <v>3837.2819759999998</v>
      </c>
      <c r="AC260" s="3">
        <f>3468+(656.7-353.6)+(-10.61208+(-2.009502--1.082016))+0-0-0</f>
        <v>3759.560434</v>
      </c>
      <c r="AD260">
        <v>4107.0999999999995</v>
      </c>
      <c r="AE260" s="3">
        <f>3881+(642.9-416.8)+(0+(0-0))+0-0-0</f>
        <v>4107.1000000000004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3023.4+(747.8-182.5)+(-4.625802+(-1.144134--0.279225))+0-0-0</f>
        <v>3583.2092889999999</v>
      </c>
      <c r="G261" s="3">
        <f>2854.9+(663.7-172.6)+(-2.911998+(-0.676974--0.176052))+0-0-0</f>
        <v>3342.5870799999998</v>
      </c>
      <c r="H261" s="3">
        <f>2761.8+(590.6-181.2)+(-5.634072+(-1.204824--0.369648))+0-0-0</f>
        <v>3164.7307520000004</v>
      </c>
      <c r="I261" s="3">
        <f>2777+(494.2-197.4)+(0+(0-0))+0-0-0</f>
        <v>3073.8</v>
      </c>
      <c r="J261" s="3">
        <f>2781.3+(521.6-269.3)+(1.418463+(0.266016-0.137343))+0-0-0</f>
        <v>3035.1471360000005</v>
      </c>
      <c r="K261" s="3">
        <f>2776.3+(514.4-251.2)+(-4.247739+(-0.787032--0.384336))+0-0-0</f>
        <v>3034.849565</v>
      </c>
      <c r="L261" s="3">
        <f>2825.8+(571.4-401.5)+(-2.882316+(-0.582828--0.40953))+0-0-0</f>
        <v>2992.6443860000004</v>
      </c>
      <c r="M261" s="3">
        <f>2837.1+(557.8-485.1)+(-4.340763+(-0.853434--0.742203))+0-0-0</f>
        <v>2905.3480059999997</v>
      </c>
      <c r="N261" s="3">
        <f>2843.7+(551.9-498.2)+(-1.450287+(-0.281469--0.254082))+0-0-0</f>
        <v>2895.9223259999994</v>
      </c>
      <c r="O261" s="3">
        <f>2825.8+(631.5-434.5)+(0+(0-0))+0-0-0</f>
        <v>3022.8</v>
      </c>
      <c r="P261" s="3">
        <f>2740.4+(700.3-369.8)+(-8.385624+(-2.142918--1.131588))+0-0-0</f>
        <v>3061.5030460000003</v>
      </c>
      <c r="Q261" s="3">
        <f>2740.8+(623.1-426.3)+(-1.397808+(-0.317781--0.217413))+0-0-0</f>
        <v>2936.1018240000003</v>
      </c>
      <c r="R261" s="3">
        <f>2764.6+(634-348)+(1.409946+(0.32334-0.17748))+0-0-0</f>
        <v>3052.1558059999998</v>
      </c>
      <c r="S261" s="3">
        <f>2778.6+(656-332)+(4.251258+(1.00368-0.50796))+0-0-0</f>
        <v>3107.346978</v>
      </c>
      <c r="T261" s="3">
        <f>2805.6+(719-361)+(-1.430856+(-0.36669--0.18411))+0-0-0</f>
        <v>3161.9865639999998</v>
      </c>
      <c r="U261" s="3">
        <f>2915.6+(640-251)+(-1.486956+(-0.3264--0.12801))+0-0-0</f>
        <v>3302.9146539999997</v>
      </c>
      <c r="V261" s="3">
        <f>2991.6+(524-93)+(-3.051432+(-0.53448--0.09486))+0-0-0</f>
        <v>3419.1089480000001</v>
      </c>
      <c r="W261" s="3">
        <f>3446.6+(750-221)+(0+(0-0))+0-0-0</f>
        <v>3975.6</v>
      </c>
      <c r="X261" s="3">
        <f>3576.4+(687.9-244.4)+(-9.11982+(-1.754145--0.62322))+0-0-0</f>
        <v>4009.6492550000003</v>
      </c>
      <c r="Y261" s="3">
        <f>3618.5+(665.5-223.8)+(0+(0-0))+0-0-0</f>
        <v>4060.2</v>
      </c>
      <c r="Z261" s="3">
        <f>3610.1+(650.3-214.4)+(0+(0-0))+0-0-0</f>
        <v>4046</v>
      </c>
      <c r="AA261" s="3">
        <f>3526+(570.8-213.9)+(-1.79826+(-0.291108--0.109089))+0-0-0</f>
        <v>3880.9197210000002</v>
      </c>
      <c r="AB261" s="3">
        <f>3571.5+(635.6-278.3)+(-1.821465+(-0.324156--0.141933))+0-0-0</f>
        <v>3926.7963120000004</v>
      </c>
      <c r="AC261" s="3">
        <f>3629.1+(464.3-284.3)+(0+(0-0))+0-0-0</f>
        <v>3809.1</v>
      </c>
      <c r="AD261">
        <v>3865.5000000000005</v>
      </c>
      <c r="AE261" s="3">
        <f>3653+(612.6-400.1)+(0+(0-0))+0-0-0</f>
        <v>3865.5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3396.4+(391.8-260)+(-8.66082+(-0.99909--0.663))+0-0-0</f>
        <v>3519.2030900000004</v>
      </c>
      <c r="G262" s="3">
        <f>3221.4+(501.5-353.2)+(-4.928742+(-0.767295--0.540396))+0-0-0</f>
        <v>3364.5443590000004</v>
      </c>
      <c r="H262" s="3">
        <f>3160.1+(494.7-402)+(-1.611651+(-0.252297--0.20502))+0-0-0</f>
        <v>3251.1410719999999</v>
      </c>
      <c r="I262" s="3">
        <f>3106.3+(311-322)+(-6.336852+(-0.63444--0.65688))+0-0-0</f>
        <v>3088.985588</v>
      </c>
      <c r="J262" s="3">
        <f>3046.9+(282.3-254)+(-1.553919+(-0.143973--0.12954))+0-0-0</f>
        <v>3073.6316480000005</v>
      </c>
      <c r="K262" s="3">
        <f>3080.3+(281.7-236.3)+(4.712859+(0.431001-0.361539))+0-0-0</f>
        <v>3130.4823210000004</v>
      </c>
      <c r="L262" s="3">
        <f>3416.8+(291-339.1)+(-5.227704+(-0.44523--0.518823))+0-0-0</f>
        <v>3363.5458890000004</v>
      </c>
      <c r="M262" s="3">
        <f>3700.3+(258.7-291.1)+(3.774306+(0.263874-0.296922))+0-0-0</f>
        <v>3671.6412580000001</v>
      </c>
      <c r="N262" s="3">
        <f>3887.7+(591.5-229.4)+(-1.982727+(-0.301665--0.116994))+0-0-0</f>
        <v>4247.6326020000006</v>
      </c>
      <c r="O262" s="3">
        <f>3966.8+(844.1-201.6)+(2.023068+(0.430491-0.102816))+0-0-0</f>
        <v>4611.6507430000001</v>
      </c>
      <c r="P262" s="3">
        <f>4199.9+(1102.7-185.9)+(0+(0-0))+0-0-0</f>
        <v>5116.7</v>
      </c>
      <c r="Q262" s="3">
        <f>4142.3+(1341.5-209.8)+(-2.112573+(-0.684165--0.106998))+0-0-0</f>
        <v>5271.3102600000002</v>
      </c>
      <c r="R262" s="3">
        <f>4096.6+(1176.5-180.9)+(-12.535596+(-3.60009--0.553554))+0-0-0</f>
        <v>5076.6178680000012</v>
      </c>
      <c r="S262" s="3">
        <f>4256.7+(955.3-183.3)+(-8.683668+(-1.948812--0.373932))+0-0-0</f>
        <v>5018.441452</v>
      </c>
      <c r="T262" s="3">
        <f>4365.7+(941.6-304.8)+(-6.679521+(-1.440648--0.466344))+0-0-0</f>
        <v>4994.8461749999997</v>
      </c>
      <c r="U262" s="3">
        <f>4465.5+(779-304)+(-6.832215+(-1.19187--0.46512))+0-0-0</f>
        <v>4932.9410349999998</v>
      </c>
      <c r="V262" s="3">
        <f>4557.8+(708.1-300.3)+(0+(0-0))+0-0-0</f>
        <v>4965.6000000000004</v>
      </c>
      <c r="W262" s="3">
        <f>4517.5+(1127.4-401.5)+(2.303925+(0.574974-0.204765))+0-0-0</f>
        <v>5246.0741339999995</v>
      </c>
      <c r="X262" s="3">
        <f>4658.6+(1200.9-408.5)+(-14.255316+(-3.674754--1.25001))+0-0-0</f>
        <v>5434.3199400000003</v>
      </c>
      <c r="Y262" s="3">
        <f>4603.8+(976.3-301.1)+(-7.043814+(-1.493739--0.460683))+0-0-0</f>
        <v>5270.9231300000001</v>
      </c>
      <c r="Z262" s="3">
        <f>4585.6+(799.8-280.5)+(-2.338656+(-0.407898--0.143055))+0-0-0</f>
        <v>5102.2965010000007</v>
      </c>
      <c r="AA262" s="3">
        <f>4510.9+(677-309.3)+(2.300559+(0.34527-0.157743))+0-0-0</f>
        <v>4881.0880859999997</v>
      </c>
      <c r="AB262" s="3">
        <f>4449.4+(689.5-306.8)+(-6.807582+(-1.054935--0.469404))+0-0-0</f>
        <v>4824.7068869999994</v>
      </c>
      <c r="AC262" s="3">
        <f>4110.1+(670.8-328.6)+(-12.576906+(-2.052648--1.005516))+0-0-0</f>
        <v>4438.6759620000003</v>
      </c>
      <c r="AD262">
        <v>5523.1</v>
      </c>
      <c r="AE262" s="3">
        <f>4769+(1241-486.9)+(0+(0-0))+0-0-0</f>
        <v>5523.1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3728.1+(635.9-330.1)+(-9.506655+(-1.621545--0.841755))+0-0-0</f>
        <v>4023.6135549999995</v>
      </c>
      <c r="G263" s="3">
        <f>3537.8+(500.6-300.4)+(-10.825668+(-1.531836--0.919224))+0-0-0</f>
        <v>3726.5617200000002</v>
      </c>
      <c r="H263" s="3">
        <f>3429.3+(466.1-323.3)+(5.246829+(0.713133-0.494649))+0-0-0</f>
        <v>3577.5653130000005</v>
      </c>
      <c r="I263" s="3">
        <f>3413.1+(430-331.4)+(0+(0-0))+0-0-0</f>
        <v>3511.7</v>
      </c>
      <c r="J263" s="3">
        <f>3436.3+(420.6-349.3)+(5.257539+(0.643518-0.534429))+0-0-0</f>
        <v>3512.9666280000006</v>
      </c>
      <c r="K263" s="3">
        <f>3590+(339.5-376.4)+(-5.4927+(-0.519435--0.575892))+0-0-0</f>
        <v>3547.6637569999998</v>
      </c>
      <c r="L263" s="3">
        <f>3653.9+(433.9-406.4)+(-1.863489+(-0.221289--0.207264))+0-0-0</f>
        <v>3679.5224860000003</v>
      </c>
      <c r="M263" s="3">
        <f>3968+(541.2-591.6)+(-4.04736+(-0.552024--0.603432))+0-0-0</f>
        <v>3913.6040479999997</v>
      </c>
      <c r="N263" s="3">
        <f>4289.1+(625.8-536)+(4.374882+(0.638316-0.54672))+0-0-0</f>
        <v>4383.3664780000008</v>
      </c>
      <c r="O263" s="3">
        <f>4286.2+(925.9-452.8)+(2.185962+(0.472209-0.230928))+0-0-0</f>
        <v>4761.7272430000003</v>
      </c>
      <c r="P263" s="3">
        <f>4245.2+(1225.4-448)+(6.495156+(1.874862-0.68544))+0-0-0</f>
        <v>5030.2845780000007</v>
      </c>
      <c r="Q263" s="3">
        <f>4159.2+(1433.4-431.7)+(-2.121192+(-0.731034--0.220167))+0-0-0</f>
        <v>5158.2679410000001</v>
      </c>
      <c r="R263" s="3">
        <f>4227.5+(1227.5-422.5)+(-6.468075+(-1.878075--0.646425))+0-0-0</f>
        <v>5024.8002749999996</v>
      </c>
      <c r="S263" s="3">
        <f>4196.5+(981.7-404)+(-10.701075+(-2.503335--1.0302))+0-0-0</f>
        <v>4762.0257899999997</v>
      </c>
      <c r="T263" s="3">
        <f>4122+(1015.2-364.5)+(-6.30666+(-1.553256--0.557685))+0-0-0</f>
        <v>4765.3977690000002</v>
      </c>
      <c r="U263" s="3">
        <f>4153.4+(921.1-375.4)+(-8.472936+(-1.879044--0.765816))+0-0-0</f>
        <v>4689.5138359999992</v>
      </c>
      <c r="V263" s="3">
        <f>4274.1+(895.8-386.4)+(-6.539373+(-1.370574--0.591192))+0-0-0</f>
        <v>4776.1812449999998</v>
      </c>
      <c r="W263" s="3">
        <f>4618.9+(1139.3-534.4)+(2.355639+(0.581043-0.272544))+0-0-0</f>
        <v>5226.4641379999994</v>
      </c>
      <c r="X263" s="3">
        <f>4560.5+(1237.9-576.3)+(0+(0-0))+0-0-0</f>
        <v>5222.1000000000004</v>
      </c>
      <c r="Y263" s="3">
        <f>4488.5+(1154-533.7)+(-11.445675+(-2.9427--1.360935))+0-0-0</f>
        <v>5095.7725600000003</v>
      </c>
      <c r="Z263" s="3">
        <f>4491.8+(1068.5-602.4)+(-9.163272+(-2.17974--1.228896))+0-0-0</f>
        <v>4947.7858840000008</v>
      </c>
      <c r="AA263" s="3">
        <f>4416.9+(932.8-573.1)+(-6.757857+(-1.427184--0.876843))+0-0-0</f>
        <v>4769.2918019999997</v>
      </c>
      <c r="AB263" s="3">
        <f>4171.2+(1071.8-603.4)+(-6.381936+(-1.639854--0.923202))+0-0-0</f>
        <v>4632.5014119999996</v>
      </c>
      <c r="AC263" s="3">
        <f>3747+(1163.4-502.1)+(-3.82194+(-1.186668--0.512142))+0-0-0</f>
        <v>4403.8035340000006</v>
      </c>
      <c r="AD263">
        <v>5274.3</v>
      </c>
      <c r="AE263" s="3">
        <f>4624+(1257.3-607)+(0+(0-0))+0-0-0</f>
        <v>5274.3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3671.5+(853.7-432.3)+(-5.617395+(-1.306161--0.661419))+0-0-0</f>
        <v>4086.6378629999999</v>
      </c>
      <c r="G264" s="3">
        <f>3625+(548.2-390.2)+(-3.6975+(-0.559164--0.398004))+0-0-0</f>
        <v>3779.1413400000001</v>
      </c>
      <c r="H264" s="3">
        <f>3488+(526.3-440.4)+(0+(0-0))+0-0-0</f>
        <v>3573.9</v>
      </c>
      <c r="I264" s="3">
        <f>3465.4+(450.8-454.3)+(1.767354+(0.229908-0.231693))+0-0-0</f>
        <v>3463.6655690000002</v>
      </c>
      <c r="J264" s="3">
        <f>3434.7+(402.4-422.2)+(-1.751697+(-0.205224--0.215322))+0-0-0</f>
        <v>3413.1584009999997</v>
      </c>
      <c r="K264" s="3">
        <f>3370+(424.9-387.3)+(8.5935+(1.083495-0.987615))+0-0-0</f>
        <v>3416.2893799999997</v>
      </c>
      <c r="L264" s="3">
        <f>3316.8+(465.9-375)+(-8.45784+(-1.188045--0.95625))+0-0-0</f>
        <v>3399.0103650000001</v>
      </c>
      <c r="M264" s="3">
        <f>3332.9+(417.3-428.8)+(-5.099337+(-0.638469--0.656064))+0-0-0</f>
        <v>3316.3182580000002</v>
      </c>
      <c r="N264" s="3">
        <f>3603.4+(360.6-464.9)+(3.675468+(0.367812-0.474198))+0-0-0</f>
        <v>3502.6690820000003</v>
      </c>
      <c r="O264" s="3">
        <f>3821.2+(379.3-501)+(3.897624+(0.386886-0.51102))+0-0-0</f>
        <v>3703.27349</v>
      </c>
      <c r="P264" s="3">
        <f>3995.3+(560.8-555.4)+(-4.075206+(-0.572016--0.566508))+0-0-0</f>
        <v>3996.6192860000001</v>
      </c>
      <c r="Q264" s="3">
        <f>4019.2+(613.9-463.1)+(-4.099584+(-0.626178--0.472362))+0-0-0</f>
        <v>4165.7466000000004</v>
      </c>
      <c r="R264" s="3">
        <f>3952.7+(692.7-433.4)+(-8.063508+(-1.413108--0.884136))+0-0-0</f>
        <v>4203.4075199999997</v>
      </c>
      <c r="S264" s="3">
        <f>3886.5+(712-439.8)+(-7.92846+(-1.45248--0.897192))+0-0-0</f>
        <v>4150.2162520000002</v>
      </c>
      <c r="T264" s="3">
        <f>3913+(795.5-617.7)+(-1.99563+(-0.405705--0.315027))+0-0-0</f>
        <v>4088.7136920000003</v>
      </c>
      <c r="U264" s="3">
        <f>3906.2+(714.2-565.2)+(-5.976486+(-1.092726--0.864756))+0-0-0</f>
        <v>4048.9955439999999</v>
      </c>
      <c r="V264" s="3">
        <f>4118.6+(496.9-397.1)+(-2.100486+(-0.253419--0.202521))+0-0-0</f>
        <v>4216.2486160000008</v>
      </c>
      <c r="W264" s="3">
        <f>4316.3+(991.4-499.4)+(-6.603939+(-1.516842--0.764082))+0-0-0</f>
        <v>4800.9433010000002</v>
      </c>
      <c r="X264" s="3">
        <f>4317+(1082.7-501.5)+(-2.20167+(-0.552177--0.255765))+0-0-0</f>
        <v>4895.7019179999998</v>
      </c>
      <c r="Y264" s="3">
        <f>4299.6+(1100.2-508.7)+(-2.192796+(-0.561102--0.259437))+0-0-0</f>
        <v>4888.6055390000001</v>
      </c>
      <c r="Z264" s="3">
        <f>4248.2+(1063.4-491.7)+(-4.333164+(-1.084668--0.501534))+0-0-0</f>
        <v>4814.9837019999995</v>
      </c>
      <c r="AA264" s="3">
        <f>4162.9+(981.1-434.1)+(-6.369237+(-1.501083--0.664173))+0-0-0</f>
        <v>4702.6938529999998</v>
      </c>
      <c r="AB264" s="3">
        <f>4126.3+(852.4-460.2)+(-6.313239+(-1.304172--0.704106))+0-0-0</f>
        <v>4511.586695</v>
      </c>
      <c r="AC264" s="3">
        <f>4025.5+(637.3-454.2)+(-12.31803+(-1.950138--1.389852))+0-0-0</f>
        <v>4195.7216840000001</v>
      </c>
      <c r="AD264">
        <v>4886.5</v>
      </c>
      <c r="AE264" s="3">
        <f>4316+(1061-490.5)+(0+(0-0))+0-0-0</f>
        <v>4886.5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3665.2+(496.8-358.9)+(-9.34626+(-1.26684--0.915195))+0-0-0</f>
        <v>3793.4020949999999</v>
      </c>
      <c r="G265" s="3">
        <f>3522.6+(426.9-407.2)+(-7.186104+(-0.870876--0.830688))+0-0-0</f>
        <v>3535.0737079999999</v>
      </c>
      <c r="H265" s="3">
        <f>3435.6+(622.8-660.1)+(0+(0-0))+0-0-0</f>
        <v>3398.2999999999997</v>
      </c>
      <c r="I265" s="3">
        <f>3426.8+(640.7-717.3)+(-1.747668+(-0.326757--0.365823))+0-0-0</f>
        <v>3348.4913980000001</v>
      </c>
      <c r="J265" s="3">
        <f>3334.5+(661.1-631.9)+(1.700595+(0.337161-0.322269))+0-0-0</f>
        <v>3365.4154869999998</v>
      </c>
      <c r="K265" s="3">
        <f>3451+(684.3-670.4)+(1.76001+(0.348993-0.341904))+0-0-0</f>
        <v>3466.6670990000002</v>
      </c>
      <c r="L265" s="3">
        <f>3822.6+(618.9-697.7)+(0+(0-0))+0-0-0</f>
        <v>3743.7999999999997</v>
      </c>
      <c r="M265" s="3">
        <f>4072.8+(759.6-686.4)+(6.231384+(1.162188-1.050192))+0-0-0</f>
        <v>4152.3433800000003</v>
      </c>
      <c r="N265" s="3">
        <f>4223.4+(816.6-269.5)+(4.307868+(0.832932-0.27489))+0-0-0</f>
        <v>4775.3659100000004</v>
      </c>
      <c r="O265" s="3">
        <f>4380.2+(1127.3-334.9)+(0+(0-0))+0-0-0</f>
        <v>5172.5999999999995</v>
      </c>
      <c r="P265" s="3">
        <f>4406.8+(1389.3-387.6)+(-6.742404+(-2.125629--0.593028))+0-0-0</f>
        <v>5400.2249949999996</v>
      </c>
      <c r="Q265" s="3">
        <f>4432.3+(1533.5-398)+(-4.520946+(-1.56417--0.40596))+0-0-0</f>
        <v>5562.120844</v>
      </c>
      <c r="R265" s="3">
        <f>4360.6+(1489.3-367.7)+(-11.11953+(-3.797715--0.937635))+0-0-0</f>
        <v>5468.2203900000004</v>
      </c>
      <c r="S265" s="3">
        <f>4325.6+(1336-407.7)+(0+(0-0))+0-0-0</f>
        <v>5253.9000000000005</v>
      </c>
      <c r="T265" s="3">
        <f>4308.8+(1559.4-389.9)+(-4.394976+(-1.590588--0.397698))+0-0-0</f>
        <v>5472.7121340000003</v>
      </c>
      <c r="U265" s="3">
        <f>4293.9+(1550-381.2)+(0+(0-0))+0-0-0</f>
        <v>5462.7</v>
      </c>
      <c r="V265" s="3">
        <f>4464.1+(1472.3-334.1)+(-2.276691+(-0.750873--0.170391))+0-0-0</f>
        <v>5599.4428269999999</v>
      </c>
      <c r="W265" s="3">
        <f>4696.4+(1658.6-434.2)+(4.790328+(1.691772-0.442884))+0-0-0</f>
        <v>5926.8392159999994</v>
      </c>
      <c r="X265" s="3">
        <f>4685.8+(1593.2-455.8)+(-7.169274+(-2.437596--0.697374))+0-0-0</f>
        <v>5814.2905040000005</v>
      </c>
      <c r="Y265" s="3">
        <f>4652.6+(1381.4-427.2)+(-2.372826+(-0.704514--0.217872))+0-0-0</f>
        <v>5603.9405320000005</v>
      </c>
      <c r="Z265" s="3">
        <f>4658.5+(1233.5-426.4)+(-2.375835+(-0.629085--0.217464))+0-0-0</f>
        <v>5462.8125440000003</v>
      </c>
      <c r="AA265" s="3">
        <f>4551.3+(1123.2-458.2)+(0+(0-0))+0-0-0</f>
        <v>5216.3</v>
      </c>
      <c r="AB265" s="3">
        <f>4505.3+(937.6-479.3)+(0+(0-0))+0-0-0</f>
        <v>4963.6000000000004</v>
      </c>
      <c r="AC265" s="3">
        <f>4193.5+(864.1-470.1)+(0+(0-0))+0-0-0</f>
        <v>4587.5</v>
      </c>
      <c r="AD265">
        <v>5862.1</v>
      </c>
      <c r="AE265" s="3">
        <f>4736+(1606.6-480.5)+(0+(0-0))+0-0-0</f>
        <v>5862.1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3986.1+(652.3-460.9)+(-6.098733+(-0.998019--0.705177))+0-0-0</f>
        <v>4171.1084250000004</v>
      </c>
      <c r="G266" s="3">
        <f>3764.8+(499.8-372.7)+(-9.60024+(-1.27449--0.950385))+0-0-0</f>
        <v>3881.9756550000002</v>
      </c>
      <c r="H266" s="3">
        <f>3606.4+(474.7-371.9)+(0+(0-0))+0-0-0</f>
        <v>3709.2000000000003</v>
      </c>
      <c r="I266" s="3">
        <f>3546.5+(440.5-371.4)+(0+(0-0))+0-0-0</f>
        <v>3615.6</v>
      </c>
      <c r="J266" s="3">
        <f>3463+(472-344.1)+(-3.53226+(-0.48144--0.350982))+0-0-0</f>
        <v>3587.2372820000001</v>
      </c>
      <c r="K266" s="3">
        <f>3670+(344.1-309.2)+(5.6151+(0.526473-0.473076))+0-0-0</f>
        <v>3710.5684970000002</v>
      </c>
      <c r="L266" s="3">
        <f>3742.8+(476.5-322.8)+(3.817656+(0.48603-0.329256))+0-0-0</f>
        <v>3900.4744300000002</v>
      </c>
      <c r="M266" s="3">
        <f>3993.4+(655.4-352)+(8.146536+(1.337016-0.71808))+0-0-0</f>
        <v>4305.5654720000002</v>
      </c>
      <c r="N266" s="3">
        <f>4368.5+(751-302.5)+(-4.45587+(-0.76602--0.30855))+0-0-0</f>
        <v>4812.0866599999999</v>
      </c>
      <c r="O266" s="3">
        <f>4407.6+(1084.4-309.9)+(2.247876+(0.553044-0.158049))+0-0-0</f>
        <v>5184.7428710000004</v>
      </c>
      <c r="P266" s="3">
        <f>4457.6+(1300.8-340.6)+(2.273376+(0.663408-0.173706))+0-0-0</f>
        <v>5420.5630780000001</v>
      </c>
      <c r="Q266" s="3">
        <f>4413.1+(1464.9-361.4)+(-9.002724+(-2.988396--0.737256))+4-0-0</f>
        <v>5509.3461360000001</v>
      </c>
      <c r="R266" s="3">
        <f>4393.7+(1420.2-367.4)+(-6.722361+(-2.172906--0.562122))+0-0-0</f>
        <v>5438.1668550000004</v>
      </c>
      <c r="S266" s="3">
        <f>4378+(1361.6-411.5)+(-4.46556+(-1.388832--0.41973))+0-0-0</f>
        <v>5322.6653380000007</v>
      </c>
      <c r="T266" s="3">
        <f>4396.4+(1391-400.9)+(4.484328+(1.41882-0.408918))+0-0-0</f>
        <v>5391.9942300000002</v>
      </c>
      <c r="U266" s="3">
        <f>4380.9+(1279.9-315.6)+(-4.468518+(-1.305498--0.321912))+0-0-0</f>
        <v>5339.7478959999999</v>
      </c>
      <c r="V266" s="3">
        <f>4461.1+(1232.1-282.3)+(4.550322+(1.256742-0.287946))+0-0-0</f>
        <v>5416.4191180000007</v>
      </c>
      <c r="W266" s="3">
        <f>4675.5+(1582.4-398.7)+(4.76901+(1.614048-0.406674))+0-0-0</f>
        <v>5865.1763839999994</v>
      </c>
      <c r="X266" s="3">
        <f>4658.2+(1605.9-439.3)+(-9.502728+(-3.276036--0.896172))+0-0-0</f>
        <v>5812.9174080000003</v>
      </c>
      <c r="Y266" s="3">
        <f>4594.5+(1410.9-382.3)+(-14.05917+(-4.317354--1.169838))+0-0-0</f>
        <v>5605.8933139999999</v>
      </c>
      <c r="Z266" s="3">
        <f>4571.6+(1335.8-434.9)+(-6.994548+(-2.043774--0.665397))+0-0-0</f>
        <v>5464.1270750000003</v>
      </c>
      <c r="AA266" s="3">
        <f>4535.8+(1194.1-470.8)+(-4.626516+(-1.217982--0.480216))+0-0-0</f>
        <v>5253.7357180000008</v>
      </c>
      <c r="AB266" s="3">
        <f>4499.9+(1002.2-471.9)+(-13.769694+(-3.066732--1.444014))+0-0-0</f>
        <v>5014.8075879999997</v>
      </c>
      <c r="AC266" s="3">
        <f>4220.7+(865.3-542.1)+(-6.457671+(-1.323909--0.829413))+0-0-0</f>
        <v>4536.9478329999993</v>
      </c>
      <c r="AD266">
        <v>5901.4000000000005</v>
      </c>
      <c r="AE266" s="3">
        <f>4687+(1686.6-472.2)+(0+(0-0))+0-0-0</f>
        <v>5901.4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3968.3+(630.1-469.7)+(-6.071499+(-0.964053--0.718641))+0-0-0</f>
        <v>4122.3830889999999</v>
      </c>
      <c r="G267" s="3">
        <f>4012.4+(473-642.3)+(8.185296+(0.96492-1.310292))+0-0-0</f>
        <v>3850.9399240000002</v>
      </c>
      <c r="H267" s="3">
        <f>3928.4+(287.9-516.3)+(6.010452+(0.440487-0.789939))+0-0-0</f>
        <v>3705.6610000000001</v>
      </c>
      <c r="I267" s="3">
        <f>3862.3+(255.2-493.2)+(1.969773+(0.130152-0.251532))+0-0-0</f>
        <v>3626.1483930000004</v>
      </c>
      <c r="J267" s="3">
        <f>3795.2+(269.3-425)+(-9.67776+(-0.686715--1.08375))+0-0-0</f>
        <v>3630.2192749999999</v>
      </c>
      <c r="K267" s="3">
        <f>3918.5+(351.3-572.1)+(1.998435+(0.179163-0.291771))+0-0-0</f>
        <v>3699.5858269999999</v>
      </c>
      <c r="L267" s="3">
        <f>4171.3+(610.8-845.7)+(-4.254726+(-0.623016--0.862614))+0-0-0</f>
        <v>3932.3848720000001</v>
      </c>
      <c r="M267" s="3">
        <f>4414+(630.8-719)+(2.25114+(0.321708-0.36669))+0-0-0</f>
        <v>4328.0061580000001</v>
      </c>
      <c r="N267" s="3">
        <f>4524.1+(673.4-337.1)+(0+(0-0))+0-0-0</f>
        <v>4860.4000000000005</v>
      </c>
      <c r="O267" s="3">
        <f>4472.2+(1051.1-312.8)+(2.280822+(0.536061-0.159528))+0-0-0</f>
        <v>5213.1573550000003</v>
      </c>
      <c r="P267" s="3">
        <f>4477.5+(1223.7-323.6)+(-2.283525+(-0.624087--0.165036))+0-0-0</f>
        <v>5374.8574240000007</v>
      </c>
      <c r="Q267" s="3">
        <f>4479.5+(1381.6-320.7)+(-6.853635+(-2.113848--0.490671))+0-0-0</f>
        <v>5531.9231879999998</v>
      </c>
      <c r="R267" s="3">
        <f>4454.4+(1320.5-341.7)+(-4.543488+(-1.34691--0.348534))+0-0-0</f>
        <v>5427.658136</v>
      </c>
      <c r="S267" s="3">
        <f>4456+(1172.4-331.5)+(-9.09024+(-2.391696--0.67626))+0-0-0</f>
        <v>5286.0943239999997</v>
      </c>
      <c r="T267" s="3">
        <f>4466.3+(1318.9-398.8)+(-4.555626+(-1.345278--0.406776))+0-0-0</f>
        <v>5380.9058720000003</v>
      </c>
      <c r="U267" s="3">
        <f>4444.3+(1347.4-413.5)+(-6.799779+(-2.061522--0.632655))+0-0-0</f>
        <v>5369.9713540000012</v>
      </c>
      <c r="V267" s="3">
        <f>4584.7+(1209.4-327.6)+(-4.676394+(-1.233588--0.334152))+0-0-0</f>
        <v>5460.9241700000002</v>
      </c>
      <c r="W267" s="3">
        <f>4790.9+(1513.6-421.4)+(-2.443359+(-0.771936--0.214914))+0-0-0</f>
        <v>5880.0996189999996</v>
      </c>
      <c r="X267" s="3">
        <f>4731.2+(1529.2-431.3)+(-12.06456+(-3.89946--1.099815))+0-0-0</f>
        <v>5814.2357950000005</v>
      </c>
      <c r="Y267" s="3">
        <f>4676.7+(1362.7-395.1)+(-4.770234+(-1.389954--0.403002))+0-0-0</f>
        <v>5638.5428140000004</v>
      </c>
      <c r="Z267" s="3">
        <f>4646+(1354.7-472.8)+(-9.47784+(-2.763588--0.964512))+0-0-0</f>
        <v>5516.6230839999998</v>
      </c>
      <c r="AA267" s="3">
        <f>4602.5+(1258.3-577.4)+(-4.69455+(-1.283466--0.588948))+0-0-0</f>
        <v>5278.0109319999992</v>
      </c>
      <c r="AB267" s="3">
        <f>4419.1+(1104.1-524)+(-13.522446+(-3.378546--1.60344))+0-0-0</f>
        <v>4983.9024480000007</v>
      </c>
      <c r="AC267" s="3">
        <f>4341.2+(889.9-562)+(-6.642036+(-1.361547--0.85986))+0-0-0</f>
        <v>4661.9562769999993</v>
      </c>
      <c r="AD267">
        <v>5921.9000000000005</v>
      </c>
      <c r="AE267" s="3">
        <f>4775+(1611.8-464.9)+(0+(0-0))+0-0-0</f>
        <v>5921.9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4092.4+(557.1-462.3)+(-2.087124+(-0.284121--0.235773))+0-0-0</f>
        <v>4185.0645279999999</v>
      </c>
      <c r="G268" s="3">
        <f>3851.3+(441.2-391.4)+(-1.964163+(-0.225012--0.199614))+0-0-0</f>
        <v>3899.1104390000005</v>
      </c>
      <c r="H268" s="3">
        <f>3691.8+(383.6-379.1)+(1.882818+(0.195636-0.193341))+0-0-0</f>
        <v>3698.185113</v>
      </c>
      <c r="I268" s="3">
        <f>3644.9+(349.8-371.7)+(5.576697+(0.535194-0.568701))+0-0-0</f>
        <v>3628.5431899999999</v>
      </c>
      <c r="J268" s="3">
        <f>3594.8+(455.9-413.3)+(-1.833348+(-0.232509--0.210783))+0-0-0</f>
        <v>3635.544926</v>
      </c>
      <c r="K268" s="3">
        <f>3632.2+(470.9-404.2)+(7.409688+(0.960636-0.824568))+0-0-0</f>
        <v>3706.4457559999996</v>
      </c>
      <c r="L268" s="3">
        <f>3929.1+(632.8-638.8)+(0+(0-0))+0-0-0</f>
        <v>3923.1</v>
      </c>
      <c r="M268" s="3">
        <f>4282.5+(656.7-604.1)+(2.184075+(0.334917-0.308091))+0-0-0</f>
        <v>4337.3109010000007</v>
      </c>
      <c r="N268" s="3">
        <f>4466.7+(842.4-454.3)+(2.278017+(0.429624-0.231693))+0-0-0</f>
        <v>4857.2759480000004</v>
      </c>
      <c r="O268" s="3">
        <f>4451.5+(1184.8-436.7)+(4.54053+(1.208496-0.445434))+0-0-0</f>
        <v>5204.9035920000006</v>
      </c>
      <c r="P268" s="3">
        <f>4430.7+(1396.1-433.6)+(-2.259657+(-0.712011--0.221136))+0-0-0</f>
        <v>5390.4494679999998</v>
      </c>
      <c r="Q268" s="3">
        <f>4490+(1505.2-455.5)+(-6.8697+(-2.302956--0.696915))+0-0-0</f>
        <v>5531.2242589999996</v>
      </c>
      <c r="R268" s="3">
        <f>4461.8+(1432.2-436.1)+(-9.102072+(-2.921688--0.889644))+0-0-0</f>
        <v>5446.7658840000004</v>
      </c>
      <c r="S268" s="3">
        <f>4479.5+(1214.2-352.4)+(-2.284545+(-0.619242--0.179724))+0-0-0</f>
        <v>5338.5759370000005</v>
      </c>
      <c r="T268" s="3">
        <f>4490.4+(1240.1-332.2)+(4.580208+(1.264902-0.338844))+0-0-0</f>
        <v>5403.8062659999996</v>
      </c>
      <c r="U268" s="3">
        <f>4480.9+(1236.2-330.8)+(0+(0-0))+0-0-0</f>
        <v>5386.2999999999993</v>
      </c>
      <c r="V268" s="3">
        <f>4544.5+(1233.6-282.2)+(4.63539+(1.258272-0.287844))+0-0-0</f>
        <v>5501.5058179999996</v>
      </c>
      <c r="W268" s="3">
        <f>4794.6+(1542-406.6)+(7.335738+(2.35926-0.622098))+0-0-0</f>
        <v>5939.0729000000001</v>
      </c>
      <c r="X268" s="3">
        <f>4754.3+(1443.5-326.4)+(0+(0-0))+0-0-0</f>
        <v>5871.4</v>
      </c>
      <c r="Y268" s="3">
        <f>4641.5+(1356.4-310.4)+(-11.835825+(-3.45882--0.79152))+0-0-0</f>
        <v>5672.9968749999998</v>
      </c>
      <c r="Z268" s="3">
        <f>4559.6+(1285.1-383.8)+(-4.650792+(-1.310802--0.391476))+0-0-0</f>
        <v>5455.3298820000009</v>
      </c>
      <c r="AA268" s="3">
        <f>4501.4+(1144.4-419.5)+(-4.591428+(-1.167288--0.42789))+0-0-0</f>
        <v>5220.9691739999989</v>
      </c>
      <c r="AB268" s="3">
        <f>4308.6+(1303.5-634.1)+(0+(0-0))+0-0-0</f>
        <v>4978</v>
      </c>
      <c r="AC268" s="3">
        <f>4222.4+(1010.6-628.9)+(-6.460272+(-1.546218--0.962217))+0-0-0</f>
        <v>4597.055726999999</v>
      </c>
      <c r="AD268">
        <v>5916</v>
      </c>
      <c r="AE268" s="3">
        <f>4831+(1413.5-328.5)+(0+(0-0))+0-0-0</f>
        <v>5916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4131.8+(539-532.7)+(-4.214436+(-0.54978--0.543354))+0-0-0</f>
        <v>4133.8791380000002</v>
      </c>
      <c r="G269" s="3">
        <f>3866.5+(496.4-513.1)+(-3.94383+(-0.506328--0.523362))+0-0-0</f>
        <v>3845.873204</v>
      </c>
      <c r="H269" s="3">
        <f>3841.1+(413-562.1)+(-1.958961+(-0.21063--0.286671))+0-0-0</f>
        <v>3690.11708</v>
      </c>
      <c r="I269" s="3">
        <f>3834.3+(344-552.2)+(-1.955493+(-0.17544--0.281622))+0-0-0</f>
        <v>3624.2506890000004</v>
      </c>
      <c r="J269" s="3">
        <f>3859.9+(319.5-562.1)+(13.779843+(1.140615-2.006697))+0-0-0</f>
        <v>3630.213761</v>
      </c>
      <c r="K269" s="3">
        <f>3843.9+(393.2-540.7)+(3.920778+(0.401064-0.551514))+0-0-0</f>
        <v>3700.1703280000002</v>
      </c>
      <c r="L269" s="3">
        <f>4280.8+(662.1-947.2)+(-2.183208+(-0.337671--0.483072))+0-0-0</f>
        <v>3993.6621930000001</v>
      </c>
      <c r="M269" s="3">
        <f>4506.5+(856-989.2)+(-4.59663+(-0.87312--1.008984))+0-0-0</f>
        <v>4368.839234</v>
      </c>
      <c r="N269" s="3">
        <f>4511.6+(923.9-532.3)+(-2.300916+(-0.471189--0.271473))+0-0-0</f>
        <v>4900.6993680000005</v>
      </c>
      <c r="O269" s="3">
        <f>4521.8+(1250.9-510.9)+(-2.306118+(-0.637959--0.260559))+0-0-0</f>
        <v>5259.1164820000004</v>
      </c>
      <c r="P269" s="3">
        <f>4521.5+(1337.5-373.5)+(0+(0-0))+0-0-0</f>
        <v>5485.5</v>
      </c>
      <c r="Q269" s="3">
        <f>4285.7+(1666.4-346.8)+(-4.371414+(-1.699728--0.353736))+0-0-0</f>
        <v>5599.5825940000004</v>
      </c>
      <c r="R269" s="3">
        <f>4234.3+(1585.2-321.1)+(-6.478479+(-2.425356--0.491283))+0-0-0</f>
        <v>5489.9874479999999</v>
      </c>
      <c r="S269" s="3">
        <f>4284.2+(1337.7-262.6)+(-6.554826+(-2.046681--0.401778))+0-0-0</f>
        <v>5351.1002709999993</v>
      </c>
      <c r="T269" s="3">
        <f>4390+(1327.7-296.5)+(6.7167+(2.031381-0.453645))+0-0-0</f>
        <v>5429.494436</v>
      </c>
      <c r="U269" s="3">
        <f>4321.1+(1332.9-264.1)+(0+(0-0))+0-0-0</f>
        <v>5389.9000000000005</v>
      </c>
      <c r="V269" s="3">
        <f>4384.6+(1295.7-196.4)+(-2.236146+(-0.660807--0.100164))+0-0-0</f>
        <v>5481.1032110000006</v>
      </c>
      <c r="W269" s="3">
        <f>4573.5+(1688.5-328.5)+(4.66497+(1.72227-0.33507))+0-0-0</f>
        <v>5939.5521699999999</v>
      </c>
      <c r="X269" s="3">
        <f>4579.8+(1624.4-320.6)+(-9.342792+(-3.313776--0.654024))+0-0-0</f>
        <v>5871.5974560000004</v>
      </c>
      <c r="Y269" s="3">
        <f>4325.5+(1632.3-266.2)+(-13.23603+(-4.994838--0.814572))+0-0-0</f>
        <v>5674.183704</v>
      </c>
      <c r="Z269" s="3">
        <f>4425.5+(1348.8-278.2)+(-2.257005+(-0.687888--0.141882))+0-0-0</f>
        <v>5493.2969890000004</v>
      </c>
      <c r="AA269" s="3">
        <f>4394.9+(1196.1-332.6)+(-8.965596+(-2.440044--0.678504))+0-0-0</f>
        <v>5247.6728639999992</v>
      </c>
      <c r="AB269" s="3">
        <f>4374+(999.3-382.3)+(-8.92296+(-2.038572--0.779892))+0-0-0</f>
        <v>4980.8183600000002</v>
      </c>
      <c r="AC269" s="3">
        <f>4072.7+(963.6-422.2)+(-8.308308+(-1.965744--0.861288))+0-0-0</f>
        <v>4604.6872360000007</v>
      </c>
      <c r="AD269">
        <v>5998.2</v>
      </c>
      <c r="AE269" s="3">
        <f>4624+(1765.2-391)+(0+(0-0))+0-0-0</f>
        <v>5998.2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3832.8+(729.6-397.2)+(-9.77364+(-1.86048--1.01286))+0-0-0</f>
        <v>4154.5787399999999</v>
      </c>
      <c r="G270" s="3">
        <f>3825.7+(564.2-522.9)+(-1.951107+(-0.287742--0.266679))+0-0-0</f>
        <v>3865.02783</v>
      </c>
      <c r="H270" s="3">
        <f>3676.9+(529.9-492.8)+(-5.625657+(-0.810747--0.753984))+0-0-0</f>
        <v>3708.3175799999999</v>
      </c>
      <c r="I270" s="3">
        <f>3563.6+(543.1-473.3)+(5.452308+(0.830943-0.724149))+0-0-0</f>
        <v>3638.9591020000003</v>
      </c>
      <c r="J270" s="3">
        <f>3589.4+(605.5-557.5)+(1.830594+(0.308805-0.284325))+0-0-0</f>
        <v>3639.2550740000001</v>
      </c>
      <c r="K270" s="3">
        <f>3794.7+(694.4-811)+(5.805891+(1.062432-1.24083))+0-0-0</f>
        <v>3683.7274929999999</v>
      </c>
      <c r="L270" s="3">
        <f>3872+(1087.4-1122.2)+(1.97472+(0.554574-0.572322))+0-0-0</f>
        <v>3839.1569719999998</v>
      </c>
      <c r="M270" s="3">
        <f>4030.5+(1164.1-1071.1)+(2.055555+(0.593691-0.546261))+0-0-0</f>
        <v>4125.6029850000004</v>
      </c>
      <c r="N270" s="3">
        <f>4462.3+(1052.1-857.5)+(2.275773+(0.536571-0.437325))+0-0-0</f>
        <v>4659.2750189999997</v>
      </c>
      <c r="O270" s="3">
        <f>4532.3+(1011.4-456)+(-2.311473+(-0.515814--0.23256))+0-0-0</f>
        <v>5085.1052730000001</v>
      </c>
      <c r="P270" s="3">
        <f>4605.9+(1177.3-421.5)+(-4.698018+(-1.200846--0.42993))+0-0-0</f>
        <v>5356.2310659999994</v>
      </c>
      <c r="Q270" s="3">
        <f>4600.3+(1292.1-390.4)+(-9.384612+(-2.635884--0.796416))+0-0-0</f>
        <v>5490.77592</v>
      </c>
      <c r="R270" s="3">
        <f>4566.8+(1231.3-410.8)+(-13.974408+(-3.767778--1.257048))+0-0-0</f>
        <v>5370.8148620000002</v>
      </c>
      <c r="S270" s="3">
        <f>4530.2+(1087.4-447.6)+(0+(0-0))+0-0-0</f>
        <v>5170</v>
      </c>
      <c r="T270" s="3">
        <f>4508.5+(1045.6-449.6)+(-9.19734+(-2.133024--0.917184))+0-0-0</f>
        <v>5094.0868200000004</v>
      </c>
      <c r="U270" s="3">
        <f>4439.1+(1025.2-449.2)+(0+(0-0))+0-0-0</f>
        <v>5015.1000000000004</v>
      </c>
      <c r="V270" s="3">
        <f>4355.4+(1075.6-308.8)+(0+(0-0))+0-0-0</f>
        <v>5122.2</v>
      </c>
      <c r="W270" s="3">
        <f>4534.4+(1449.3-428.4)+(0+(0-0))+0-0-0</f>
        <v>5555.2999999999993</v>
      </c>
      <c r="X270" s="3">
        <f>4571.3+(1316.7-366.3)+(-9.325452+(-2.686068--0.747252))+0-0-0</f>
        <v>5510.4357320000008</v>
      </c>
      <c r="Y270" s="3">
        <f>4605.8+(1121.8-351.6)+(-7.046874+(-1.716354--0.537948))+0-0-0</f>
        <v>5367.7747200000003</v>
      </c>
      <c r="Z270" s="3">
        <f>4483.2+(1087.2-331)+(-2.286432+(-0.554472--0.16881))+0-0-0</f>
        <v>5236.7279060000001</v>
      </c>
      <c r="AA270" s="3">
        <f>4380.3+(990.5-350.8)+(-8.935812+(-2.02062--0.715632))+0-0-0</f>
        <v>5009.7592000000004</v>
      </c>
      <c r="AB270" s="3">
        <f>4292+(813.9-301.5)+(-10.9446+(-2.075445--0.768825))+0-0-0</f>
        <v>4792.1487799999995</v>
      </c>
      <c r="AC270" s="3">
        <f>4080.7+(856.6-441.9)+(-10.405785+(-2.18433--1.126845))+0-0-0</f>
        <v>4483.9367299999994</v>
      </c>
      <c r="AD270">
        <v>5580.0999999999995</v>
      </c>
      <c r="AE270" s="3">
        <f>4569+(1487.2-476.1)+(0+(0-0))+0-0-0</f>
        <v>5580.1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3956.8+(719-532.9)+(-4.035936+(-0.73338--0.543558))+0-0-0</f>
        <v>4138.674242000001</v>
      </c>
      <c r="G271" s="3">
        <f>3878.3+(716.1-755.4)+(-7.911732+(-1.460844--1.541016))+0-0-0</f>
        <v>3831.1684399999999</v>
      </c>
      <c r="H271" s="3">
        <f>3655.8+(770-784.9)+(-1.864458+(-0.3927--0.400299))+0-0-0</f>
        <v>3639.0431410000001</v>
      </c>
      <c r="I271" s="3">
        <f>3610.2+(656.1-739.2)+(-3.682404+(-0.669222--0.753984))+0-0-0</f>
        <v>3523.5023579999997</v>
      </c>
      <c r="J271" s="3">
        <f>3638.1+(682.9-835.5)+(1.855431+(0.348279-0.426105))+0-0-0</f>
        <v>3487.2776050000002</v>
      </c>
      <c r="K271" s="3">
        <f>3622.4+(615.9-754.8)+(0+(0-0))+0-0-0</f>
        <v>3483.5</v>
      </c>
      <c r="L271" s="3">
        <f>3629.8+(597.3-743.4)+(-1.851198+(-0.304623--0.379134))+0-0-0</f>
        <v>3481.9233130000002</v>
      </c>
      <c r="M271" s="3">
        <f>3453.6+(637.9-689.2)+(-12.329352+(-2.277303--2.460444))+0-0-0</f>
        <v>3390.1537889999995</v>
      </c>
      <c r="N271" s="3">
        <f>3574.2+(561.9-605.7)+(3.645684+(0.573138-0.617814))+0-0-0</f>
        <v>3534.0010079999997</v>
      </c>
      <c r="O271" s="3">
        <f>3824.3+(439.4-452.8)+(0+(0-0))+0-0-0</f>
        <v>3810.9</v>
      </c>
      <c r="P271" s="3">
        <f>3856.5+(532.2-276.7)+(-7.86726+(-1.085688--0.564468))+0-0-0</f>
        <v>4103.6115200000004</v>
      </c>
      <c r="Q271" s="3">
        <f>4019.9+(565.2-274.5)+(-4.100298+(-0.576504--0.27999))+0-0-0</f>
        <v>4306.2031880000004</v>
      </c>
      <c r="R271" s="3">
        <f>3878.2+(719.2-266.3)+(-9.88941+(-1.83396--0.679065))+0-0-0</f>
        <v>4320.0556949999991</v>
      </c>
      <c r="S271" s="3">
        <f>3785.2+(730.3-227.5)+(-5.791356+(-1.117359--0.348075))+0-0-0</f>
        <v>4281.4393600000003</v>
      </c>
      <c r="T271" s="3">
        <f>3792.8+(750.2-276.9)+(-3.868656+(-0.765204--0.282438))+0-0-0</f>
        <v>4261.7485780000006</v>
      </c>
      <c r="U271" s="3">
        <f>3815.6+(695.1-300)+(1.945956+(0.354501-0.153))+0-0-0</f>
        <v>4212.8474569999998</v>
      </c>
      <c r="V271" s="3">
        <f>3985.3+(634.3-260.4)+(4.065006+(0.646986-0.265608))+0-0-0</f>
        <v>4363.6463839999997</v>
      </c>
      <c r="W271" s="3">
        <f>4288.3+(956.1-403.1)+(0+(0-0))+0-0-0</f>
        <v>4841.3</v>
      </c>
      <c r="X271" s="3">
        <f>4230+(1052.9-359.5)+(-10.7865+(-2.684895--0.916725))+0-0-0</f>
        <v>4910.8453299999992</v>
      </c>
      <c r="Y271" s="3">
        <f>4023.8+(1308.3-427.8)+(2.052138+(0.667233-0.218178))+0-0-0</f>
        <v>4906.8011930000002</v>
      </c>
      <c r="Z271" s="3">
        <f>3963.7+(1326.5-438.6)+(-4.042974+(-1.35303--0.447372))+0-0-0</f>
        <v>4846.6513679999998</v>
      </c>
      <c r="AA271" s="3">
        <f>3885.9+(1292.9-434.5)+(-9.909045+(-3.296895--1.107975))+0-0-0</f>
        <v>4732.2020350000003</v>
      </c>
      <c r="AB271" s="3">
        <f>3772.8+(1385.6-561.7)+(-5.772384+(-2.119968--0.859401))+0-0-0</f>
        <v>4589.6670489999997</v>
      </c>
      <c r="AC271" s="3">
        <f>3678.8+(1096.5-493.4)+(-9.38094+(-2.796075--1.25817))+0-0-0</f>
        <v>4270.9811550000004</v>
      </c>
      <c r="AD271">
        <v>4840.7</v>
      </c>
      <c r="AE271" s="3">
        <f>4278+(1032.3-469.6)+(0+(0-0))+0-0-0</f>
        <v>4840.7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3619.2+(840.1-602.9)+(0+(0-0))+0-0-0</f>
        <v>3856.3999999999996</v>
      </c>
      <c r="G272" s="3">
        <f>3452.5+(734.5-619.4)+(-7.0431+(-1.49838--1.263576))+0-0-0</f>
        <v>3560.3220959999999</v>
      </c>
      <c r="H272" s="3">
        <f>3409.9+(744.3-723.9)+(-8.695245+(-1.897965--1.845945))+0-0-0</f>
        <v>3421.5527350000002</v>
      </c>
      <c r="I272" s="3">
        <f>3326.4+(806.3-781.1)+(5.089392+(1.233639-1.195083))+0-0-0</f>
        <v>3356.7279479999997</v>
      </c>
      <c r="J272" s="3">
        <f>3305.2+(764-698.2)+(0+(0-0))+0-0-0</f>
        <v>3371</v>
      </c>
      <c r="K272" s="3">
        <f>3422.5+(772.3-723.3)+(5.236425+(1.181619-1.106649))+0-0-0</f>
        <v>3476.8113950000002</v>
      </c>
      <c r="L272" s="3">
        <f>3793.4+(973.7-986.4)+(-1.934634+(-0.496587--0.503064))+0-0-0</f>
        <v>3778.7718430000004</v>
      </c>
      <c r="M272" s="3">
        <f>3932.8+(985.3-671.9)+(2.005728+(0.502503-0.342669))+0-0-0</f>
        <v>4248.365562</v>
      </c>
      <c r="N272" s="3">
        <f>4020.2+(1185.3-370.9)+(-2.050302+(-0.604503--0.189159))+0-0-0</f>
        <v>4832.1343539999998</v>
      </c>
      <c r="O272" s="3">
        <f>4051+(1568.1-383.6)+(-6.19803+(-2.399193--0.586908))+0-0-0</f>
        <v>5227.4896849999996</v>
      </c>
      <c r="P272" s="3">
        <f>4058.8+(1878.1-445.8)+(-6.209964+(-2.873493--0.682074))+0-0-0</f>
        <v>5482.698617</v>
      </c>
      <c r="Q272" s="3">
        <f>3938.6+(2118.1-422.2)+(-6.026058+(-3.240693--0.645966))+0-0-0</f>
        <v>5625.8792149999999</v>
      </c>
      <c r="R272" s="3">
        <f>3966.6+(2003.7-427.8)+(-6.068898+(-3.065661--0.654534))+0-0-0</f>
        <v>5534.0199750000002</v>
      </c>
      <c r="S272" s="3">
        <f>3978.6+(1939.1-514.7)+(-4.058172+(-1.977882--0.524994))+0-0-0</f>
        <v>5397.4889400000002</v>
      </c>
      <c r="T272" s="3">
        <f>3974.7+(1915-435.3)+(-8.108388+(-3.9066--0.888012))+0-0-0</f>
        <v>5443.2730240000001</v>
      </c>
      <c r="U272" s="3">
        <f>4016.6+(1740.3-322)+(-2.048466+(-0.887553--0.16422))+0-0-0</f>
        <v>5432.1282009999995</v>
      </c>
      <c r="V272" s="3">
        <f>4035.8+(1816.7-325.4)+(-2.058258+(-0.926517--0.165954))+0-0-0</f>
        <v>5524.2811790000005</v>
      </c>
      <c r="W272" s="3">
        <f>4165+(2339.3-561.3)+(-2.12415+(-1.193043--0.286263))+0-0-0</f>
        <v>5939.9690700000001</v>
      </c>
      <c r="X272" s="3">
        <f>4262.6+(2158.9-523.4)+(-8.695704+(-4.404156--1.067736))+0-0-0</f>
        <v>5886.0678760000001</v>
      </c>
      <c r="Y272" s="3">
        <f>4199.1+(1967.7-499.1)+(-10.707705+(-5.017635--1.272705))+0-0-0</f>
        <v>5653.2473650000011</v>
      </c>
      <c r="Z272" s="3">
        <f>4114.1+(1855-481.5)+(-10.490955+(-4.73025--1.227825))+0-0-0</f>
        <v>5473.6066200000005</v>
      </c>
      <c r="AA272" s="3">
        <f>4075.1+(1603.6-452.1)+(-6.234903+(-2.453508--0.691713))+0-0-0</f>
        <v>5218.6033020000004</v>
      </c>
      <c r="AB272" s="3">
        <f>4070.4+(1418.7-508.1)+(-10.37952+(-3.617685--1.295655))+0-0-0</f>
        <v>4968.2984500000002</v>
      </c>
      <c r="AC272" s="3">
        <f>3821.9+(1243.8-488.5)+(-9.745845+(-3.17169--1.245675))+0-0-0</f>
        <v>4565.5281399999994</v>
      </c>
      <c r="AD272">
        <v>6070.3</v>
      </c>
      <c r="AE272" s="3">
        <f>4261+(2430.1-620.8)+(0+(0-0))+0-0-0</f>
        <v>6070.3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3815.6+(960.4-614)+(0+(0-0))+0-0-0</f>
        <v>4162</v>
      </c>
      <c r="G273" s="3">
        <f>3707.7+(648.2-485.3)+(0+(0-0))+0-0-0</f>
        <v>3870.6</v>
      </c>
      <c r="H273" s="3">
        <f>3702.1+(661.4-652.7)+(0+(0-0))+0-0-0</f>
        <v>3710.7999999999997</v>
      </c>
      <c r="I273" s="3">
        <f>3671.6+(680.3-701.3)+(0+(0-0))+0-0-0</f>
        <v>3650.6</v>
      </c>
      <c r="J273" s="3">
        <f>3602.2+(684.8-637.9)+(0+(0-0))+0-0-0</f>
        <v>3649.1</v>
      </c>
      <c r="K273" s="3">
        <f>3684+(677.8-646.8)+(0+(0-0))+0-0-0</f>
        <v>3715</v>
      </c>
      <c r="L273" s="3">
        <f>3782.3+(839.3-650.2)+(0+(0-0))+0-0-0</f>
        <v>3971.4</v>
      </c>
      <c r="M273" s="3">
        <f>3979+(1103-696.3)+(0+(0-0))+0-0-0</f>
        <v>4385.7</v>
      </c>
      <c r="N273" s="3">
        <f>4054.7+(1231.2-368.6)+(0+(0-0))+0-0-0</f>
        <v>4917.3</v>
      </c>
      <c r="O273" s="3">
        <f>3998.8+(1510.6-333.6)+(-4.078776+(-1.540812--0.340272))+0-0-0</f>
        <v>5170.5206840000001</v>
      </c>
      <c r="P273" s="3">
        <f>4030.7+(1787.7-330.3)+(-6.166971+(-2.735181--0.505359))+0-0-0</f>
        <v>5479.7032070000005</v>
      </c>
      <c r="Q273" s="3">
        <f>4014.4+(1856.7-323.7)+(-6.142032+(-2.840751--0.495261))+0-0-0</f>
        <v>5538.9124779999993</v>
      </c>
      <c r="R273" s="3">
        <f>4150.7+(1667.1-327.6)+(-8.467428+(-3.400884--0.668304))+0-0-0</f>
        <v>5478.999992</v>
      </c>
      <c r="S273" s="3">
        <f>4026.3+(1670.5-351.3)+(-10.267065+(-4.259775--0.895815))+0-0-0</f>
        <v>5331.8689750000003</v>
      </c>
      <c r="T273" s="3">
        <f>3882.8+(1879.6-349.6)+(0+(0-0))+0-0-0</f>
        <v>5412.8</v>
      </c>
      <c r="U273" s="3">
        <f>3893.7+(1775.9-328.1)+(-9.928935+(-4.528545--0.836655))+0-0-0</f>
        <v>5327.879175</v>
      </c>
      <c r="V273" s="3">
        <f>4072.8+(1614.8-254.5)+(-2.077128+(-0.823548--0.129795))+0-0-0</f>
        <v>5430.329119</v>
      </c>
      <c r="W273" s="3">
        <f>4294.1+(1930.8-348.1)+(2.189991+(0.984708-0.177531))+0-0-0</f>
        <v>5879.7971680000001</v>
      </c>
      <c r="X273" s="3">
        <f>4231.6+(1892.3-276.8)+(-4.316232+(-1.930146--0.282336))+0-0-0</f>
        <v>5841.1359580000008</v>
      </c>
      <c r="Y273" s="3">
        <f>4123.2+(1907.3-359.4)+(-4.205664+(-1.945446--0.366588))+0-0-0</f>
        <v>5665.3154780000004</v>
      </c>
      <c r="Z273" s="3">
        <f>4087.3+(1815.4-418.4)+(-8.338092+(-3.703416--0.853536))+0-0-0</f>
        <v>5473.1120280000005</v>
      </c>
      <c r="AA273" s="3">
        <f>4048.5+(1644.1-471.2)+(-8.25894+(-3.353964--0.961248))+0-0-0</f>
        <v>5210.7483439999996</v>
      </c>
      <c r="AB273" s="3">
        <f>4043.9+(1444.8-498.6)+(-6.187167+(-2.210544--0.762858))+0-0-0</f>
        <v>4982.4651470000008</v>
      </c>
      <c r="AC273" s="3">
        <f>3884.9+(1315.9-608.5)+(-7.925196+(-2.684436--1.24134))+0-0-0</f>
        <v>4582.9317080000001</v>
      </c>
      <c r="AD273">
        <v>5933.9000000000005</v>
      </c>
      <c r="AE273" s="3">
        <f>4311+(2019.1-396.2)+(0+(0-0))+0-0-0</f>
        <v>5933.9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3701+(942-509)+(-5.66253+(-1.44126--0.77877))+0-0-0</f>
        <v>4127.6749799999998</v>
      </c>
      <c r="G274" s="3">
        <f>3640.2+(687.2-473.4)+(-9.28251+(-1.75236--1.20717))+0-0-0</f>
        <v>3844.1723000000002</v>
      </c>
      <c r="H274" s="3">
        <f>3542.3+(688-530.4)+(-1.806573+(-0.35088--0.270504))+0-0-0</f>
        <v>3698.0130509999999</v>
      </c>
      <c r="I274" s="3">
        <f>3439.3+(693.3-508.7)+(0+(0-0))+0-0-0</f>
        <v>3623.9</v>
      </c>
      <c r="J274" s="3">
        <f>3437.7+(693.9-520.6)+(1.753227+(0.353889-0.265506))+0-0-0</f>
        <v>3612.8416099999999</v>
      </c>
      <c r="K274" s="3">
        <f>3568.7+(669-548)+(7.280148+(1.36476-1.11792))+0-0-0</f>
        <v>3697.2269879999999</v>
      </c>
      <c r="L274" s="3">
        <f>3875.5+(677.9-598.7)+(5.929515+(1.037187-0.916011))+0-0-0</f>
        <v>3960.7506909999997</v>
      </c>
      <c r="M274" s="3">
        <f>3927.9+(936.1-521.2)+(0+(0-0))+0-0-0</f>
        <v>4342.8</v>
      </c>
      <c r="N274" s="3">
        <f>3957.7+(1337.4-415.4)+(-2.018427+(-0.682074--0.211854))+0-0-0</f>
        <v>4877.2113529999997</v>
      </c>
      <c r="O274" s="3">
        <f>4058.4+(1595.3-411.2)+(-4.139568+(-1.627206--0.419424))+0-0-0</f>
        <v>5237.15265</v>
      </c>
      <c r="P274" s="3">
        <f>4029.3+(1810.1-422.1)+(-4.109886+(-1.846302--0.430542))+0-0-0</f>
        <v>5411.7743540000001</v>
      </c>
      <c r="Q274" s="3">
        <f>4072.3+(1906.4-411.7)+(-8.307492+(-3.889056--0.839868))+0-0-0</f>
        <v>5555.6433200000001</v>
      </c>
      <c r="R274" s="3">
        <f>4047.1+(1874.3-461.2)+(-6.192063+(-2.867679--0.705636))+0-0-0</f>
        <v>5451.845894</v>
      </c>
      <c r="S274" s="3">
        <f>4027.6+(1804.7-511.6)+(-4.108152+(-1.840794--0.521832))+0-0-0</f>
        <v>5315.2728859999997</v>
      </c>
      <c r="T274" s="3">
        <f>4017.6+(1837.9-454)+(-4.097952+(-1.874658--0.46308))+0-0-0</f>
        <v>5395.9904699999997</v>
      </c>
      <c r="U274" s="3">
        <f>4035+(1686.5-343.2)+(-2.05785+(-0.860115--0.175032))+0-0-0</f>
        <v>5375.5570669999997</v>
      </c>
      <c r="V274" s="3">
        <f>4148.3+(1612.3-285.5)+(-2.115633+(-0.822273--0.145605))+0-0-0</f>
        <v>5472.307699</v>
      </c>
      <c r="W274" s="3">
        <f>4341.5+(1933.9-371.7)+(4.42833+(1.972578-0.379134))+0-0-0</f>
        <v>5909.7217739999996</v>
      </c>
      <c r="X274" s="3">
        <f>4350.4+(1849.6-349.7)+(0+(0-0))+0-0-0</f>
        <v>5850.2999999999993</v>
      </c>
      <c r="Y274" s="3">
        <f>4233.8+(1762.2-328.5)+(-12.955428+(-5.392332--1.00521))+0-0-0</f>
        <v>5650.1574499999997</v>
      </c>
      <c r="Z274" s="3">
        <f>4257.2+(1666.4-406.5)+(0+(0-0))+0-0-0</f>
        <v>5517.1</v>
      </c>
      <c r="AA274" s="3">
        <f>4094.6+(1595.3-460.7)+(-6.264738+(-2.440809--0.704871))+0-0-0</f>
        <v>5221.1993240000002</v>
      </c>
      <c r="AB274" s="3">
        <f>3914.3+(1694.8-609)+(-7.985172+(-3.457392--1.24236))+0-0-0</f>
        <v>4989.8997960000006</v>
      </c>
      <c r="AC274" s="3">
        <f>3762.7+(1411.4-553.4)+(-9.594885+(-3.59907--1.41117))+0-0-0</f>
        <v>4608.9172149999995</v>
      </c>
      <c r="AD274">
        <v>5845.1</v>
      </c>
      <c r="AE274" s="3">
        <f>4333+(1878-365.9)+(0+(0-0))+0-0-0</f>
        <v>5845.1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3804.8+(899.1-506.7)+(-7.761792+(-1.834164--1.033668))+0-0-0</f>
        <v>4188.6377119999997</v>
      </c>
      <c r="G275" s="3">
        <f>3808.7+(580.3-489.9)+(-3.884874+(-0.591906--0.499698))+0-0-0</f>
        <v>3895.122918</v>
      </c>
      <c r="H275" s="3">
        <f>3537+(557.8-429.5)+(-1.80387+(-0.284478--0.219045))+0-0-0</f>
        <v>3663.4306970000002</v>
      </c>
      <c r="I275" s="3">
        <f>3374+(634.6-388.6)+(1.72074+(0.323646-0.198186))+0-0-0</f>
        <v>3621.8462</v>
      </c>
      <c r="J275" s="3">
        <f>3547+(460.1-388.4)+(-10.85382+(-1.407906--1.188504))+0-0-0</f>
        <v>3607.6267779999998</v>
      </c>
      <c r="K275" s="3">
        <f>3659.6+(439.5-406.6)+(7.465584+(0.89658-0.829464))+0-0-0</f>
        <v>3700.0327000000002</v>
      </c>
      <c r="L275" s="3">
        <f>3964.2+(551.4-575.4)+(4.043484+(0.562428-0.586908))+0-0-0</f>
        <v>3944.219004</v>
      </c>
      <c r="M275" s="3">
        <f>4108.5+(660.1-415.1)+(-10.476675+(-1.683255--1.058505))+0-0-0</f>
        <v>4342.3985750000002</v>
      </c>
      <c r="N275" s="3">
        <f>4226.5+(967.6-326.1)+(2.155515+(0.493476-0.166311))+0-0-0</f>
        <v>4870.4826800000001</v>
      </c>
      <c r="O275" s="3">
        <f>4271.7+(1424.3-446)+(-4.357134+(-1.452786--0.45492))+0-0-0</f>
        <v>5244.6450000000004</v>
      </c>
      <c r="P275" s="3">
        <f>4330.2+(1592.6-454.5)+(2.208402+(0.812226-0.231795))+0-0-0</f>
        <v>5471.0888329999989</v>
      </c>
      <c r="Q275" s="3">
        <f>4339+(1722-452.6)+(-2.21289+(-0.87822--0.230826))+0-0-0</f>
        <v>5605.5397159999993</v>
      </c>
      <c r="R275" s="3">
        <f>4312.2+(1633-445.4)+(-10.99611+(-4.16415--1.13577))+0-0-0</f>
        <v>5485.7755099999995</v>
      </c>
      <c r="S275" s="3">
        <f>4313.3+(1489.6-444.4)+(-6.599349+(-2.279088--0.679932))+0-0-0</f>
        <v>5350.3014949999997</v>
      </c>
      <c r="T275" s="3">
        <f>4316.1+(1542.4-442.3)+(-2.201211+(-0.786624--0.225573))+0-0-0</f>
        <v>5413.4377380000005</v>
      </c>
      <c r="U275" s="3">
        <f>4338.3+(1452.2-391.8)+(8.850132+(2.962488-0.799272))+0-0-0</f>
        <v>5409.7133480000011</v>
      </c>
      <c r="V275" s="3">
        <f>4403.8+(1411.6-326.5)+(-4.491876+(-1.439832--0.33303))+0-0-0</f>
        <v>5483.3013219999993</v>
      </c>
      <c r="W275" s="3">
        <f>4555.7+(1803.3-440.6)+(2.323407+(0.919683-0.224706))+0-0-0</f>
        <v>5921.4183839999996</v>
      </c>
      <c r="X275" s="3">
        <f>4560.5+(1723.3-395.2)+(-9.30342+(-3.515532--0.806208))+0-0-0</f>
        <v>5876.5872560000007</v>
      </c>
      <c r="Y275" s="3">
        <f>4499.7+(1636.8-416.3)+(-9.179388+(-3.339072--0.849252))+0-0-0</f>
        <v>5708.5307919999996</v>
      </c>
      <c r="Z275" s="3">
        <f>4333.6+(1698.1-445.5)+(-6.630408+(-2.598093--0.681615))+0-0-0</f>
        <v>5577.6531140000006</v>
      </c>
      <c r="AA275" s="3">
        <f>4185.3+(1566.6-406.1)+(-6.403509+(-2.396898--0.621333))+0-0-0</f>
        <v>5337.6209260000005</v>
      </c>
      <c r="AB275" s="3">
        <f>4157.6+(1362.2-456.9)+(-6.361128+(-2.084166--0.699057))+0-0-0</f>
        <v>5055.1537630000003</v>
      </c>
      <c r="AC275" s="3">
        <f>4064.8+(966.1-390.2)+(-10.36524+(-2.463555--0.99501))+0-0-0</f>
        <v>4628.8662150000009</v>
      </c>
      <c r="AD275">
        <v>6033.8</v>
      </c>
      <c r="AE275" s="3">
        <f>4568+(1950.1-484.3)+(0+(0-0))+0-0-0</f>
        <v>6033.8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3979.2+(523.1-305.9)+(-6.088176+(-0.800343--0.468027))+0-0-0</f>
        <v>4189.9795079999994</v>
      </c>
      <c r="G276" s="3">
        <f>3724.8+(482.6-290)+(-3.799296+(-0.492252--0.2958))+0-0-0</f>
        <v>3913.4042520000003</v>
      </c>
      <c r="H276" s="3">
        <f>3701.1+(417.6-333)+(-3.775122+(-0.425952--0.33966))+0-0-0</f>
        <v>3781.8385859999999</v>
      </c>
      <c r="I276" s="3">
        <f>3656.4+(387.7-385.9)+(1.864764+(0.197727-0.196809))+0-0-0</f>
        <v>3660.0656820000004</v>
      </c>
      <c r="J276" s="3">
        <f>3568.9+(427.2-340.1)+(1.820139+(0.217872-0.173451))+0-0-0</f>
        <v>3657.86456</v>
      </c>
      <c r="K276" s="3">
        <f>3572.4+(468.6-323.8)+(1.821924+(0.238986-0.165138))+0-0-0</f>
        <v>3719.0957720000001</v>
      </c>
      <c r="L276" s="3">
        <f>3684.8+(600-300.9)+(1.879248+(0.306-0.153459))+0-0-0</f>
        <v>3985.9317890000002</v>
      </c>
      <c r="M276" s="3">
        <f>4165.8+(629-359.3)+(-4.249116+(-0.64158--0.366486))+0-0-0</f>
        <v>4430.9757900000004</v>
      </c>
      <c r="N276" s="3">
        <f>4232.8+(956.3-287.5)+(6.476184+(1.463139-0.439875))+0-0-0</f>
        <v>4909.0994479999999</v>
      </c>
      <c r="O276" s="3">
        <f>4190.3+(1453.4-356.1)+(-10.685265+(-3.70617--0.908055))+0-0-0</f>
        <v>5274.1166200000007</v>
      </c>
      <c r="P276" s="3">
        <f>4237.2+(1629.5-386.8)+(-2.160972+(-0.831045--0.197268))+0-0-0</f>
        <v>5477.105251</v>
      </c>
      <c r="Q276" s="3">
        <f>4174.8+(1815-396.7)+(-6.387444+(-2.77695--0.606951))+0-0-0</f>
        <v>5584.5425570000007</v>
      </c>
      <c r="R276" s="3">
        <f>4136.4+(1820.3-456.9)+(-4.219128+(-1.856706--0.466038))+0-0-0</f>
        <v>5494.1902039999995</v>
      </c>
      <c r="S276" s="3">
        <f>4123.8+(1693.7-428)+(-4.206276+(-1.727574--0.43656))+0-0-0</f>
        <v>5384.0027099999998</v>
      </c>
      <c r="T276" s="3">
        <f>4185.8+(1634.4-379.5)+(-6.404274+(-2.500632--0.580635))+0-0-0</f>
        <v>5432.3757290000003</v>
      </c>
      <c r="U276" s="3">
        <f>4251.3+(1507-384.2)+(-10.840815+(-3.84285--0.97971))+0-0-0</f>
        <v>5360.3960450000004</v>
      </c>
      <c r="V276" s="3">
        <f>4391.4+(1350.2-338.1)+(4.479228+(1.377204-0.344862))+0-0-0</f>
        <v>5409.0115699999997</v>
      </c>
      <c r="W276" s="3">
        <f>4513.7+(1776.3-512.6)+(-6.905961+(-2.717739--0.784278))+0-0-0</f>
        <v>5768.5605779999996</v>
      </c>
      <c r="X276" s="3">
        <f>4583.6+(1605.9-537.1)+(-9.350544+(-3.276036--1.095684))+0-0-0</f>
        <v>5640.8691040000003</v>
      </c>
      <c r="Y276" s="3">
        <f>4513.8+(1443.5-571.3)+(4.604076+(1.47237-0.582726))+0-0-0</f>
        <v>5391.4937200000004</v>
      </c>
      <c r="Z276" s="3">
        <f>4324.9+(1380.9-593.1)+(-8.822796+(-2.817036--1.209924))+0-0-0</f>
        <v>5102.2700919999997</v>
      </c>
      <c r="AA276" s="3">
        <f>4265.2+(1148.6-582.8)+(-8.701008+(-2.343144--1.188912))+0-0-0</f>
        <v>4821.1447600000001</v>
      </c>
      <c r="AB276" s="3">
        <f>4094.8+(1189.3-589.7)+(2.088348+(0.606543-0.300747))+0-0-0</f>
        <v>4696.7941439999995</v>
      </c>
      <c r="AC276" s="3">
        <f>4077.3+(976-526.4)+(-2.079423+(-0.49776--0.268464))+0-0-0</f>
        <v>4524.5912810000009</v>
      </c>
      <c r="AD276">
        <v>5665.2</v>
      </c>
      <c r="AE276" s="3">
        <f>4553+(1654.9-542.7)+(0+(0-0))+0-0-0</f>
        <v>5665.2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4025.1+(729.5-499.5)+(-2.052801+(-0.372045--0.254745))+0-0-0</f>
        <v>4252.9298990000007</v>
      </c>
      <c r="G277" s="3">
        <f>4001.1+(471.1-499.4)+(-2.040561+(-0.240261--0.254694))+0-0-0</f>
        <v>3970.7738720000002</v>
      </c>
      <c r="H277" s="3">
        <f>3924+(545.8-718)+(0+(0-0))+0-0-0</f>
        <v>3751.8</v>
      </c>
      <c r="I277" s="3">
        <f>3852.5+(536.9-747.1)+(-1.964775+(-0.273819--0.381021))+0-0-0</f>
        <v>3640.4424270000004</v>
      </c>
      <c r="J277" s="3">
        <f>3841.1+(497.2-730.4)+(1.958961+(0.253572-0.372504))+0-0-0</f>
        <v>3609.740029</v>
      </c>
      <c r="K277" s="3">
        <f>3954+(556.5-854.6)+(0+(0-0))+0-0-0</f>
        <v>3655.9</v>
      </c>
      <c r="L277" s="3">
        <f>3992+(754.8-948.3)+(2.03592+(0.384948-0.483633))+0-0-0</f>
        <v>3800.4372349999999</v>
      </c>
      <c r="M277" s="3">
        <f>4085.4+(902.4-885.3)+(0+(0-0))+0-0-0</f>
        <v>4102.5</v>
      </c>
      <c r="N277" s="3">
        <f>4373.3+(813.9-625.5)+(-4.460766+(-0.830178--0.63801))+0-0-0</f>
        <v>4557.0470660000001</v>
      </c>
      <c r="O277" s="3">
        <f>4395.8+(1116.7-561.8)+(2.241858+(0.569517-0.286518))+0-0-0</f>
        <v>4953.2248570000011</v>
      </c>
      <c r="P277" s="3">
        <f>4372.1+(1433.5-573.2)+(6.689313+(2.193255-0.876996))+0-0-0</f>
        <v>5240.4055720000006</v>
      </c>
      <c r="Q277" s="3">
        <f>4362.8+(1579.1-568.1)+(-2.225028+(-0.805341--0.289731))+0-0-0</f>
        <v>5371.059362</v>
      </c>
      <c r="R277" s="3">
        <f>4326.1+(1499.6-564.5)+(-11.031555+(-3.82398--1.439475))+0-0-0</f>
        <v>5247.7839400000012</v>
      </c>
      <c r="S277" s="3">
        <f>4322.6+(1264.2-548.5)+(-8.818104+(-2.578968--1.11894))+0-0-0</f>
        <v>5028.0218679999998</v>
      </c>
      <c r="T277" s="3">
        <f>4340.3+(1119.2-478.9)+(-2.213553+(-0.570792--0.244239))+0-0-0</f>
        <v>4978.059894</v>
      </c>
      <c r="U277" s="3">
        <f>4314.1+(1054-514.6)+(-11.000955+(-2.6877--1.31223))+0-0-0</f>
        <v>4841.1235749999996</v>
      </c>
      <c r="V277" s="3">
        <f>4441.3+(1021.1-537.9)+(6.795189+(1.562283-0.822987))+0-0-0</f>
        <v>4932.0344850000001</v>
      </c>
      <c r="W277" s="3">
        <f>4489.1+(1532-632.4)+(0+(0-0))+0-0-0</f>
        <v>5388.7000000000007</v>
      </c>
      <c r="X277" s="3">
        <f>4453.1+(1568.8-604)+(-11.355405+(-4.00044--1.5402))+0-0-0</f>
        <v>5404.0843550000009</v>
      </c>
      <c r="Y277" s="3">
        <f>4359.8+(1523-566.2)+(-11.11749+(-3.88365--1.44381))+0-0-0</f>
        <v>5303.0426700000007</v>
      </c>
      <c r="Z277" s="3">
        <f>4161.9+(1595.2-577.4)+(-6.367707+(-2.440656--0.883422))+0-0-0</f>
        <v>5171.7750589999996</v>
      </c>
      <c r="AA277" s="3">
        <f>4010.3+(1538.2-592.4)+(-2.045253+(-0.784482--0.302124))+0-0-0</f>
        <v>4953.5723889999999</v>
      </c>
      <c r="AB277" s="3">
        <f>4003.2+(1378.2-657.1)+(-6.124896+(-2.108646--1.005363))+0-0-0</f>
        <v>4717.0718210000005</v>
      </c>
      <c r="AC277" s="3">
        <f>4031.3+(1034.2-627.8)+(-4.111926+(-1.054884--0.640356))+0-0-0</f>
        <v>4433.1735460000009</v>
      </c>
      <c r="AD277">
        <v>5442.4</v>
      </c>
      <c r="AE277" s="3">
        <f>4458+(1686.7-702.3)+(0+(0-0))+0-0-0</f>
        <v>5442.4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3759.8+(881.3-558.8)+(0+(0-0))+0-0-0</f>
        <v>4082.3</v>
      </c>
      <c r="G278" s="3">
        <f>3688.7+(528.3-438.1)+(-9.406185+(-1.347165--1.117155))+0-0-0</f>
        <v>3769.2638049999996</v>
      </c>
      <c r="H278" s="3">
        <f>3560.9+(511.1-450.9)+(-7.264236+(-1.042644--0.919836))+0-0-0</f>
        <v>3613.7129560000003</v>
      </c>
      <c r="I278" s="3">
        <f>3507.5+(525.4-515)+(1.788825+(0.267954-0.26265))+0-0-0</f>
        <v>3519.694129</v>
      </c>
      <c r="J278" s="3">
        <f>3502.9+(454.6-486.9)+(1.786479+(0.231846-0.248319))+0-0-0</f>
        <v>3472.3700060000006</v>
      </c>
      <c r="K278" s="3">
        <f>3499.3+(346.4-378.4)+(0+(0-0))+0-0-0</f>
        <v>3467.3</v>
      </c>
      <c r="L278" s="3">
        <f>3537.3+(394.1-450.9)+(-1.804023+(-0.200991--0.229959))+0-0-0</f>
        <v>3478.7249449999999</v>
      </c>
      <c r="M278" s="3">
        <f>3585.7+(466.2-633.3)+(3.657414+(0.475524-0.645966))+0-0-0</f>
        <v>3422.0869720000001</v>
      </c>
      <c r="N278" s="3">
        <f>3768.6+(639-881.8)+(3.843972+(0.65178-0.899436))+0-0-0</f>
        <v>3529.3963160000003</v>
      </c>
      <c r="O278" s="3">
        <f>3914.7+(780.6-898.8)+(0+(0-0))+0-0-0</f>
        <v>3796.5</v>
      </c>
      <c r="P278" s="3">
        <f>3878.7+(942.4-645.5)+(-3.956274+(-0.961248--0.65841))+0-0-0</f>
        <v>4171.3408879999997</v>
      </c>
      <c r="Q278" s="3">
        <f>3889.5+(1110.1-574)+(3.96729+(1.132302-0.58548))+0-0-0</f>
        <v>4430.1141120000002</v>
      </c>
      <c r="R278" s="3">
        <f>3869.7+(1128.8-552.7)+(-5.920641+(-1.727064--0.845631))+0-0-0</f>
        <v>4438.9979259999991</v>
      </c>
      <c r="S278" s="3">
        <f>3860.4+(1068.7-563.8)+(-9.84402+(-2.725185--1.43769))+0-0-0</f>
        <v>4354.1684850000001</v>
      </c>
      <c r="T278" s="3">
        <f>4016+(1034.6-767.7)+(-6.14448+(-1.582938--1.174581))+0-0-0</f>
        <v>4276.3471629999995</v>
      </c>
      <c r="U278" s="3">
        <f>4046.2+(1007.5-831.2)+(-8.254248+(-2.0553--1.695648))+0-0-0</f>
        <v>4213.8860999999997</v>
      </c>
      <c r="V278" s="3">
        <f>4245+(820.4-692.2)+(-2.16495+(-0.418404--0.353022))+0-0-0</f>
        <v>4370.9696679999997</v>
      </c>
      <c r="W278" s="3">
        <f>4440.2+(1021.2-630.9)+(2.264502+(0.520812-0.321759))+0-0-0</f>
        <v>4832.9635550000003</v>
      </c>
      <c r="X278" s="3">
        <f>4443.9+(1030.5-542.5)+(-9.065556+(-2.10222--1.1067))+0-0-0</f>
        <v>4921.8389239999997</v>
      </c>
      <c r="Y278" s="3">
        <f>4419.4+(1027.5-536.6)+(6.761682+(1.572075-0.820998))+0-0-0</f>
        <v>4917.8127589999995</v>
      </c>
      <c r="Z278" s="3">
        <f>4327.4+(1062-532.4)+(-2.206974+(-0.54162--0.271524))+0-0-0</f>
        <v>4854.5229300000001</v>
      </c>
      <c r="AA278" s="3">
        <f>4199.7+(1094.2-543.7)+(-6.425541+(-1.674126--0.831861))+0-0-0</f>
        <v>4742.932194</v>
      </c>
      <c r="AB278" s="3">
        <f>4193.3+(1021.6-618.3)+(-4.277166+(-1.042032--0.630666))+0-0-0</f>
        <v>4591.9114680000002</v>
      </c>
      <c r="AC278" s="3">
        <f>3823.1+(957.1-512)+(-5.849343+(-1.464363--0.78336))+0-0-0</f>
        <v>4261.6696540000003</v>
      </c>
      <c r="AD278">
        <v>4910.4000000000005</v>
      </c>
      <c r="AE278" s="3">
        <f>4446+(1078.1-613.7)+(0+(0-0))+0-0-0</f>
        <v>4910.3999999999996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3662.4+(771.1-572.1)+(-9.33912+(-1.966305--1.458855))+0-0-0</f>
        <v>3851.5534299999999</v>
      </c>
      <c r="G279" s="3">
        <f>3733.5+(759.5-913.1)+(-5.712255+(-1.162035--1.397043))+0-0-0</f>
        <v>3574.4227530000003</v>
      </c>
      <c r="H279" s="3">
        <f>3561.5+(779.9-913.5)+(-9.081825+(-1.988745--2.329425))+0-0-0</f>
        <v>3419.1588550000001</v>
      </c>
      <c r="I279" s="3">
        <f>3443.8+(674.3-766.5)+(-3.512676+(-0.687786--0.78183))+0-0-0</f>
        <v>3348.1813680000005</v>
      </c>
      <c r="J279" s="3">
        <f>3521+(679.1-847.4)+(0+(0-0))+0-0-0</f>
        <v>3352.7</v>
      </c>
      <c r="K279" s="3">
        <f>3618.3+(622.9-773.2)+(-3.690666+(-0.635358--0.788664))+0-0-0</f>
        <v>3464.4626400000002</v>
      </c>
      <c r="L279" s="3">
        <f>4122.9+(796.2-1132.6)+(2.102679+(0.406062-0.577626))+0-0-0</f>
        <v>3788.4311149999999</v>
      </c>
      <c r="M279" s="3">
        <f>4220.6+(1063-1012.1)+(4.305012+(1.08426-1.032342))+0-0-0</f>
        <v>4275.8569299999999</v>
      </c>
      <c r="N279" s="3">
        <f>4239.7+(1469.8-869.8)+(2.162247+(0.749598-0.443598))+0-0-0</f>
        <v>4842.1682469999996</v>
      </c>
      <c r="O279" s="3">
        <f>4294.8+(1550.4-625.8)+(8.761392+(3.162816-1.276632))+0-0-0</f>
        <v>5230.0475760000008</v>
      </c>
      <c r="P279" s="3">
        <f>4268.8+(1687.3-450.1)+(2.177088+(0.860523-0.229551))+0-0-0</f>
        <v>5508.8080600000003</v>
      </c>
      <c r="Q279" s="3">
        <f>4279.4+(1768.5-429.5)+(2.182494+(0.901935-0.219045))+0-0-0</f>
        <v>5621.2653839999994</v>
      </c>
      <c r="R279" s="3">
        <f>4221.1+(1693.2-396.6)+(-10.763805+(-4.31766--1.01133))+0-0-0</f>
        <v>5503.6298650000008</v>
      </c>
      <c r="S279" s="3">
        <f>4238.9+(1635.4-513.6)+(2.161839+(0.834054-0.261936))+0-0-0</f>
        <v>5363.4339570000002</v>
      </c>
      <c r="T279" s="3">
        <f>4232.8+(1683.1-507.2)+(4.317456+(1.716762-0.517344))+0-0-0</f>
        <v>5414.2168739999997</v>
      </c>
      <c r="U279" s="3">
        <f>4231+(1617.4-476.4)+(0+(0-0))+0-0-0</f>
        <v>5372</v>
      </c>
      <c r="V279" s="3">
        <f>4449.2+(1381.1-391.8)+(-4.538184+(-1.408722--0.399636))+0-0-0</f>
        <v>5432.95273</v>
      </c>
      <c r="W279" s="3">
        <f>4870+(1549.6-551.1)+(0+(0-0))+0-0-0</f>
        <v>5868.5</v>
      </c>
      <c r="X279" s="3">
        <f>4897.5+(1532.7-583.1)+(-4.99545+(-1.563354--0.594762))+0-0-0</f>
        <v>5841.1359580000008</v>
      </c>
      <c r="Y279" s="3">
        <f>4848.8+(1375.1-556.6)+(-9.891552+(-2.805204--1.135464))+0-0-0</f>
        <v>5655.7387079999999</v>
      </c>
      <c r="Z279" s="3">
        <f>4738.7+(1263.3-501)+(-2.416737+(-0.644283--0.25551))+0-0-0</f>
        <v>5498.1944899999999</v>
      </c>
      <c r="AA279" s="3">
        <f>4633.7+(1152-521.9)+(-4.726374+(-1.17504--0.532338))+0-0-0</f>
        <v>5258.4309240000002</v>
      </c>
      <c r="AB279" s="3">
        <f>4554.8+(1057.7-647.7)+(-2.322948+(-0.539427--0.330327))+0-0-0</f>
        <v>4962.2679520000002</v>
      </c>
      <c r="AC279" s="3">
        <f>4203.2+(850.1-461.9)+(-2.143632+(-0.433551--0.235569))+0-0-0</f>
        <v>4589.0583859999997</v>
      </c>
      <c r="AD279">
        <v>5921.5</v>
      </c>
      <c r="AE279" s="3">
        <f>4887+(1662.2-627.7)+(0+(0-0))+0-0-0</f>
        <v>5921.5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4011.4+(661-549.7)+(-4.091628+(-0.67422--0.560694))+0-0-0</f>
        <v>4118.4948459999996</v>
      </c>
      <c r="G280" s="3">
        <f>4010.7+(515.1-678.3)+(-2.045457+(-0.262701--0.345933))+0-0-0</f>
        <v>3845.5377749999998</v>
      </c>
      <c r="H280" s="3">
        <f>3996.5+(403.2-706.4)+(-6.114645+(-0.616896--1.080792))+0-0-0</f>
        <v>3687.6492510000003</v>
      </c>
      <c r="I280" s="3">
        <f>3996.2+(426.2-798.1)+(-6.114186+(-0.652086--1.221093))+0-0-0</f>
        <v>3618.7548209999995</v>
      </c>
      <c r="J280" s="3">
        <f>4081.8+(450.4-909)+(0+(0-0))+0-0-0</f>
        <v>3623.2000000000003</v>
      </c>
      <c r="K280" s="3">
        <f>4141.2+(454-893.6)+(0+(0-0))+0-0-0</f>
        <v>3701.6</v>
      </c>
      <c r="L280" s="3">
        <f>4432.3+(837.5-1314.3)+(0+(0-0))+0-0-0</f>
        <v>3955.5</v>
      </c>
      <c r="M280" s="3">
        <f>4529.6+(963.3-1131.5)+(4.620192+(0.982566-1.15413))+0-0-0</f>
        <v>4365.8486280000006</v>
      </c>
      <c r="N280" s="3">
        <f>4562.8+(974.8-642.9)+(4.654056+(0.994296-0.655758))+0-0-0</f>
        <v>4899.6925940000001</v>
      </c>
      <c r="O280" s="3">
        <f>4557.2+(1136.6-407.2)+(-2.324172+(-0.579666--0.207672))+0-0-0</f>
        <v>5283.9038339999997</v>
      </c>
      <c r="P280" s="3">
        <f>4581.7+(1374.1-476.7)+(0+(0-0))+0-0-0</f>
        <v>5479.0999999999995</v>
      </c>
      <c r="Q280" s="3">
        <f>4611.9+(1500.5-492.2)+(-7.056207+(-2.295765--0.753066))+0-0-0</f>
        <v>5611.6010939999996</v>
      </c>
      <c r="R280" s="3">
        <f>4597.8+(1388.9-468.9)+(-4.689756+(-1.416678--0.478278))+0-0-0</f>
        <v>5512.1718440000004</v>
      </c>
      <c r="S280" s="3">
        <f>4587.9+(1215.5-428.2)+(-7.019487+(-1.859715--0.655146))+0-0-0</f>
        <v>5366.9759439999998</v>
      </c>
      <c r="T280" s="3">
        <f>4557.9+(1245.7-361.9)+(0+(0-0))+0-0-0</f>
        <v>5441.7</v>
      </c>
      <c r="U280" s="3">
        <f>4318.7+(1446.6-332.8)+(6.607611+(2.213298-0.509184))+0-0-0</f>
        <v>5440.8117249999996</v>
      </c>
      <c r="V280" s="3">
        <f>4435.2+(1459.2-320.3)+(4.523904+(1.488384-0.326706))+0-0-0</f>
        <v>5579.7855820000004</v>
      </c>
      <c r="W280" s="3">
        <f>4647.6+(1835.5-509)+(7.110828+(2.808315-0.77877))+0-0-0</f>
        <v>5983.2403730000005</v>
      </c>
      <c r="X280" s="3">
        <f>4744.6+(1710.1-579.1)+(-4.839492+(-1.744302--0.590682))+0-0-0</f>
        <v>5869.6068880000003</v>
      </c>
      <c r="Y280" s="3">
        <f>4694+(1526.8-547.3)+(-11.9697+(-3.89334--1.395615))+0-0-0</f>
        <v>5659.0325750000002</v>
      </c>
      <c r="Z280" s="3">
        <f>4650.5+(1405.9-561.8)+(2.371755+(0.717009-0.286518))+0-0-0</f>
        <v>5497.4022460000006</v>
      </c>
      <c r="AA280" s="3">
        <f>4620.6+(1205.8-591.9)+(-7.069518+(-1.844874--0.905607))+0-0-0</f>
        <v>5226.491215</v>
      </c>
      <c r="AB280" s="3">
        <f>4635+(999.4-633.7)+(-9.4554+(-2.038776--1.292748))+0-0-0</f>
        <v>4990.4985719999995</v>
      </c>
      <c r="AC280" s="3">
        <f>4472.7+(806.7-626.9)+(-9.124308+(-1.645668--1.278876))+0-0-0</f>
        <v>4643.0088999999998</v>
      </c>
      <c r="AD280">
        <v>5978.5</v>
      </c>
      <c r="AE280" s="3">
        <f>4694+(1882.7-598.2)+(0+(0-0))+0-0-0</f>
        <v>5978.5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4266.1+(761.5-855.2)+(-8.702844+(-1.55346--1.744608))+0-0-0</f>
        <v>4163.888304000001</v>
      </c>
      <c r="G281" s="3">
        <f>4050.7+(519-697)+(-4.131714+(-0.52938--0.71094))+0-0-0</f>
        <v>3868.7498459999997</v>
      </c>
      <c r="H281" s="3">
        <f>3974.5+(481.5-731.2)+(-2.026995+(-0.245565--0.372912))+0-0-0</f>
        <v>3722.9003520000001</v>
      </c>
      <c r="I281" s="3">
        <f>3837.1+(505.3-699.9)+(5.870763+(0.773109-1.070847))+0-0-0</f>
        <v>3648.0730250000001</v>
      </c>
      <c r="J281" s="3">
        <f>3825.5+(503.7-682.9)+(0+(0-0))+0-0-0</f>
        <v>3646.3</v>
      </c>
      <c r="K281" s="3">
        <f>3850.5+(522.8-656.5)+(11.78253+(1.599768-2.00889))+0-0-0</f>
        <v>3728.1734080000001</v>
      </c>
      <c r="L281" s="3">
        <f>3975.4+(547.3-552.4)+(0+(0-0))+0-0-0</f>
        <v>3970.3</v>
      </c>
      <c r="M281" s="3">
        <f>4334.8+(705-655.8)+(4.421496+(0.7191-0.668916))+0-0-0</f>
        <v>4388.4716799999997</v>
      </c>
      <c r="N281" s="3">
        <f>4641.9+(708.3-435.1)+(0+(0-0))+0-0-0</f>
        <v>4915.0999999999995</v>
      </c>
      <c r="O281" s="3">
        <f>4734.8+(895.1-496.7)+(4.829496+(0.913002-0.506634))+0-0-0</f>
        <v>5138.435864</v>
      </c>
      <c r="P281" s="3">
        <f>4634.2+(1231.5-373.6)+(7.090326+(1.884195-0.571608))+0-0-0</f>
        <v>5500.5029129999994</v>
      </c>
      <c r="Q281" s="3">
        <f>3908.6+(1909.9-261.1)+(-1.993386+(-0.974049--0.133161))+33.3-0-0</f>
        <v>5587.865726</v>
      </c>
      <c r="R281" s="3">
        <f>3928.6+(1700.4-251.8)+(-10.01793+(-4.33602--0.64209))+16.7-0-0</f>
        <v>5380.1881399999993</v>
      </c>
      <c r="S281" s="3">
        <f>4290.8+(1273.1-254.2)+(-6.564924+(-1.947843--0.388926))+0-0-0</f>
        <v>5301.5761590000002</v>
      </c>
      <c r="T281" s="3">
        <f>4229.5+(1399.9-272.8)+(2.157045+(0.713949-0.139128))+0-0-0</f>
        <v>5359.3318660000004</v>
      </c>
      <c r="U281" s="3">
        <f>4333.2+(1296.7-275.1)+(-2.209932+(-0.661317--0.140301))+0-0-0</f>
        <v>5352.0690519999998</v>
      </c>
      <c r="V281" s="3">
        <f>4490.5+(1323-340.9)+(-4.58031+(-1.34946--0.347718))+0-0-0</f>
        <v>5467.0179480000006</v>
      </c>
      <c r="W281" s="3">
        <f>4725.9+(1635.4-486.2)+(4.820418+(1.668108-0.495924))+9.8-0-0</f>
        <v>5890.8926019999999</v>
      </c>
      <c r="X281" s="3">
        <f>4696.9+(1625.6-453.8)+(-11.977095+(-4.14528--1.15719))+0-0-0</f>
        <v>5853.7348149999998</v>
      </c>
      <c r="Y281" s="3">
        <f>4708.3+(1466.6-507.2)+(-2.401233+(-0.747966--0.258672))+0-0-0</f>
        <v>5664.8094730000003</v>
      </c>
      <c r="Z281" s="3">
        <f>4707.6+(1292.6-493.1)+(-2.400876+(-0.659226--0.251481))+0-0-0</f>
        <v>5504.2913790000002</v>
      </c>
      <c r="AA281" s="3">
        <f>4609.7+(1098.1-491.2)+(-4.701894+(-1.120062--0.501024))+0-0-0</f>
        <v>5211.2790679999998</v>
      </c>
      <c r="AB281" s="3">
        <f>4368.9+(1178.8-543.3)+(-11.140695+(-3.00594--1.385415))+0-0-0</f>
        <v>4991.6387799999993</v>
      </c>
      <c r="AC281" s="3">
        <f>4084.7+(1004.5-449.5)+(-4.166394+(-1.02459--0.45849))+0-0-0</f>
        <v>4634.967506</v>
      </c>
      <c r="AD281">
        <v>5965.3</v>
      </c>
      <c r="AE281" s="3">
        <f>4714+(1804-552.7)+(0+(0-0))+0-0-0</f>
        <v>5965.3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4055.3+(622.6-507.9)+(-8.272812+(-1.270104--1.036116))+0-0-0</f>
        <v>4161.4931999999999</v>
      </c>
      <c r="G282" s="3">
        <f>4073.4+(518.8-711.7)+(-4.154868+(-0.529176--0.725934))+0-0-0</f>
        <v>3876.54189</v>
      </c>
      <c r="H282" s="3">
        <f>4095.5+(533.8-910.9)+(-8.35482+(-1.088952--1.858236))+0-0-0</f>
        <v>3710.814464</v>
      </c>
      <c r="I282" s="3">
        <f>4075.1+(495.2-915.1)+(-8.313204+(-1.010208--1.866804))+0-0-0</f>
        <v>3647.7433919999999</v>
      </c>
      <c r="J282" s="3">
        <f>4123.2+(472.6-944.6)+(-4.205664+(-0.482052--0.963492))+0-0-0</f>
        <v>3647.4757759999998</v>
      </c>
      <c r="K282" s="3">
        <f>4136.9+(383.8-790.8)+(0+(0-0))+0-0-0</f>
        <v>3729.8999999999996</v>
      </c>
      <c r="L282" s="3">
        <f>4487.2+(446.7-952.7)+(-2.288472+(-0.227817--0.485877))+0-0-0</f>
        <v>3979.1695879999997</v>
      </c>
      <c r="M282" s="3">
        <f>4662.5+(628-862.2)+(2.377875+(0.32028-0.439722))+0-0-0</f>
        <v>4430.5584330000002</v>
      </c>
      <c r="N282" s="3">
        <f>4808.6+(954.8-786)+(4.904772+(0.973896-0.80172))+0-0-0</f>
        <v>4982.4769480000004</v>
      </c>
      <c r="O282" s="3">
        <f>4864.6+(1005.7-498.2)+(4.961892+(1.025814-0.508164))+0-0-0</f>
        <v>5377.5795420000004</v>
      </c>
      <c r="P282" s="3">
        <f>4845.4+(1243.1-418.3)+(2.471154+(0.633981-0.213333))+0-0-0</f>
        <v>5673.0918019999999</v>
      </c>
      <c r="Q282" s="3">
        <f>4818.9+(1393.5-397.2)+(0+(0-0))+0-0-0</f>
        <v>5815.2</v>
      </c>
      <c r="R282" s="3">
        <f>4682.2+(1498.5-346.9)+(-11.93961+(-3.821175--0.884595))+0-0-0</f>
        <v>5818.9238099999993</v>
      </c>
      <c r="S282" s="3">
        <f>4643.3+(1355-295.2)+(-16.576581+(-4.83735--1.053864))+0-0-0</f>
        <v>5682.7399330000007</v>
      </c>
      <c r="T282" s="3">
        <f>4691.3+(1293.8-277)+(0+(0-0))+0-0-0</f>
        <v>5708.1</v>
      </c>
      <c r="U282" s="3">
        <f>4813.1+(1110.3-288.5)+(7.364043+(1.698759-0.441405))+0-0-0</f>
        <v>5643.5213970000004</v>
      </c>
      <c r="V282" s="3">
        <f>4887.3+(1031.3-276.1)+(-4.985046+(-1.051926--0.281622))+0-0-0</f>
        <v>5636.7446499999996</v>
      </c>
      <c r="W282" s="3">
        <f>5056.2+(1371.7-465.6)+(7.735986+(2.098701-0.712368))+0-0-0</f>
        <v>5971.4223190000002</v>
      </c>
      <c r="X282" s="3">
        <f>5051.7+(1411-537.7)+(-12.881835+(-3.59805--1.371135))+0-0-0</f>
        <v>5909.8912499999997</v>
      </c>
      <c r="Y282" s="3">
        <f>4904.7+(1378.5-542.6)+(-12.506985+(-3.515175--1.38363))+0-0-0</f>
        <v>5725.9614699999993</v>
      </c>
      <c r="Z282" s="3">
        <f>4891.2+(1202.5-536.3)+(-9.978048+(-2.4531--1.094052))+0-0-0</f>
        <v>5546.0629039999994</v>
      </c>
      <c r="AA282" s="3">
        <f>4711.3+(1108.6-548.5)+(-9.611052+(-2.261544--1.11894))+0-0-0</f>
        <v>5260.6463439999998</v>
      </c>
      <c r="AB282" s="3">
        <f>4575.7+(1095.3-626.6)+(-4.667214+(-1.117206--0.639132))+0-0-0</f>
        <v>5039.2547119999999</v>
      </c>
      <c r="AC282" s="3">
        <f>4430.5+(912.9-670.2)+(-18.07644+(-3.724632--2.734416))+0-0-0</f>
        <v>4654.1333439999999</v>
      </c>
      <c r="AD282">
        <v>6058.6</v>
      </c>
      <c r="AE282" s="3">
        <f>5141+(1463.6-546)+(0+(0-0))+0-0-0</f>
        <v>6058.6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4311.1+(514.9-609.5)+(-4.397322+(-0.525198--0.62169))+0-0-0</f>
        <v>4212.1991699999999</v>
      </c>
      <c r="G283" s="3">
        <f>4270+(298.3-640.1)+(2.1777+(0.152133-0.326451))+0-0-0</f>
        <v>3930.2033819999997</v>
      </c>
      <c r="H283" s="3">
        <f>4246.9+(236-704.1)+(2.165919+(0.12036-0.359091))+0-0-0</f>
        <v>3780.7271879999998</v>
      </c>
      <c r="I283" s="3">
        <f>4190.3+(254.4-736.8)+(-2.137053+(-0.129744--0.375768))+0-0-0</f>
        <v>3706.0089710000002</v>
      </c>
      <c r="J283" s="3">
        <f>4102.8+(248-645.8)+(-10.46214+(-0.6324--1.64679))+0-0-0</f>
        <v>3695.5522500000002</v>
      </c>
      <c r="K283" s="3">
        <f>4125.5+(277.7-628.5)+(-2.104005+(-0.141627--0.320535))+0-0-0</f>
        <v>3772.774903</v>
      </c>
      <c r="L283" s="3">
        <f>4342.5+(628.4-952.7)+(-2.214675+(-0.320484--0.485877))+0-0-0</f>
        <v>4016.1507179999999</v>
      </c>
      <c r="M283" s="3">
        <f>4647+(738-960.2)+(2.36997+(0.37638-0.489702))+0-0-0</f>
        <v>4427.0566479999998</v>
      </c>
      <c r="N283" s="3">
        <f>4897.1+(701.5-651.2)+(-2.497521+(-0.357765--0.332112))+0-0-0</f>
        <v>4944.8768260000006</v>
      </c>
      <c r="O283" s="3">
        <f>4921.5+(807.2-413.5)+(2.509965+(0.411672-0.210885))+0-0-0</f>
        <v>5317.9107519999998</v>
      </c>
      <c r="P283" s="3">
        <f>4873.7+(1008.1-364.7)+(-2.485587+(-0.514131--0.185997))+0-0-0</f>
        <v>5514.2862789999999</v>
      </c>
      <c r="Q283" s="3">
        <f>4804.7+(1189.4-341.6)+(-4.900794+(-1.213188--0.348432))+0-0-0</f>
        <v>5646.7344499999999</v>
      </c>
      <c r="R283" s="3">
        <f>4642.9+(1287.2-354.3)+(-7.103637+(-1.969416--0.542079))+0-0-0</f>
        <v>5567.269025999999</v>
      </c>
      <c r="S283" s="3">
        <f>4615.1+(1217.6-411.8)+(-2.353701+(-0.620976--0.210018))+0-0-0</f>
        <v>5418.1353410000002</v>
      </c>
      <c r="T283" s="3">
        <f>4656+(1215.1-410.7)+(-4.74912+(-1.239402--0.418914))+0-0-0</f>
        <v>5454.8303919999998</v>
      </c>
      <c r="U283" s="3">
        <f>4766.5+(1024.9-380.6)+(-2.430915+(-0.522699--0.194106))+0-0-0</f>
        <v>5408.0404920000001</v>
      </c>
      <c r="V283" s="3">
        <f>4862.3+(959.6-356.7)+(0+(0-0))+0-0-0</f>
        <v>5465.2000000000007</v>
      </c>
      <c r="W283" s="3">
        <f>5083.9+(1374.7-563.5)+(5.185578+(1.402194-0.57477))+0-0-0</f>
        <v>5901.1130019999991</v>
      </c>
      <c r="X283" s="3">
        <f>5118.9+(1398-625.8)+(-13.053195+(-3.5649--1.59579))+0-0-0</f>
        <v>5876.077694999999</v>
      </c>
      <c r="Y283" s="3">
        <f>4995.8+(1268.7-579.6)+(-12.73929+(-3.235185--1.47798))+0-0-0</f>
        <v>5670.4035050000002</v>
      </c>
      <c r="Z283" s="3">
        <f>4932.1+(1109.5-526)+(-10.061484+(-2.26338--1.07304))+0-0-0</f>
        <v>5504.3481760000004</v>
      </c>
      <c r="AA283" s="3">
        <f>4902.4+(887.6-513.8)+(-7.500672+(-1.358028--0.786114))+0-0-0</f>
        <v>5268.1274139999996</v>
      </c>
      <c r="AB283" s="3">
        <f>4817.5+(886.8-680.7)+(-7.370775+(-1.356804--1.041471))+0-0-0</f>
        <v>5015.9138920000005</v>
      </c>
      <c r="AC283" s="3">
        <f>4793.9+(636.1-735)+(-12.224445+(-1.622055--1.87425))+0-0-0</f>
        <v>4683.0277500000002</v>
      </c>
      <c r="AD283">
        <v>5944.7</v>
      </c>
      <c r="AE283" s="3">
        <f>5097+(1552.3-704.6)+(0+(0-0))+0-0-0</f>
        <v>5944.7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4741.9+(401.8-915.1)+(-7.255107+(-0.614754--1.400103))+0-0-0</f>
        <v>4222.1302419999993</v>
      </c>
      <c r="G284" s="3">
        <f>4300.9+(372.4-750.9)+(-13.160754+(-1.139544--2.297754))+0-0-0</f>
        <v>3910.3974559999997</v>
      </c>
      <c r="H284" s="3">
        <f>4235.8+(414.3-903.1)+(-4.320516+(-0.422586--0.921162))+0-0-0</f>
        <v>3743.1780600000002</v>
      </c>
      <c r="I284" s="3">
        <f>4177.4+(425.7-937.4)+(-6.391422+(-0.651321--1.434222))+0-0-0</f>
        <v>3660.0914789999997</v>
      </c>
      <c r="J284" s="3">
        <f>4068.1+(418.4-843.4)+(4.149462+(0.426768-0.860268))+0-0-0</f>
        <v>3646.8159620000001</v>
      </c>
      <c r="K284" s="3">
        <f>4013.6+(415.2-729.2)+(-2.046936+(-0.211752--0.371892))+0-0-0</f>
        <v>3697.7132040000001</v>
      </c>
      <c r="L284" s="3">
        <f>4082.6+(490.7-704.3)+(2.082126+(0.250257-0.359193))+0-0-0</f>
        <v>3870.9731900000002</v>
      </c>
      <c r="M284" s="3">
        <f>4213.8+(703-748.7)+(-4.298076+(-0.71706--0.763674))+0-0-0</f>
        <v>4163.8485380000002</v>
      </c>
      <c r="N284" s="3">
        <f>4719.7+(737.5-793.7)+(0+(0-0))+0-0-0</f>
        <v>4663.5</v>
      </c>
      <c r="O284" s="3">
        <f>4865.6+(780.6-541.8)+(2.481456+(0.398106-0.276318))+0-0-0</f>
        <v>5107.0032440000004</v>
      </c>
      <c r="P284" s="3">
        <f>4827.2+(1052.7-523.4)+(-2.461872+(-0.536877--0.266934))+0-0-0</f>
        <v>5353.7681849999999</v>
      </c>
      <c r="Q284" s="3">
        <f>4771.3+(1281.3-549.7)+(-12.166815+(-3.267315--1.401735))+0-0-0</f>
        <v>5488.8676049999995</v>
      </c>
      <c r="R284" s="3">
        <f>4768.9+(1153.5-560.4)+(-4.864278+(-1.17657--0.571608))+0-0-0</f>
        <v>5356.5307599999996</v>
      </c>
      <c r="S284" s="3">
        <f>4770.3+(975.4-603.5)+(-2.432853+(-0.497454--0.307785))+0-0-0</f>
        <v>5139.5774780000002</v>
      </c>
      <c r="T284" s="3">
        <f>4762.3+(962.1-677.3)+(-4.857546+(-0.981342--0.690846))+0-0-0</f>
        <v>5041.9519580000006</v>
      </c>
      <c r="U284" s="3">
        <f>4750.5+(935.1-741.1)+(-9.69102+(-1.907604--1.511844))+0-0-0</f>
        <v>4934.4132200000004</v>
      </c>
      <c r="V284" s="3">
        <f>4806.7+(796.3-609.8)+(2.451417+(0.406113-0.310998))+0-0-0</f>
        <v>4995.7465320000001</v>
      </c>
      <c r="W284" s="3">
        <f>4918.6+(1174.4-664.7)+(5.016972+(1.197888-0.677994))+0-0-0</f>
        <v>5433.8368660000006</v>
      </c>
      <c r="X284" s="3">
        <f>4918.7+(1242.2-684.8)+(-10.034148+(-2.534088--1.396992))+0-0-0</f>
        <v>5464.9287560000002</v>
      </c>
      <c r="Y284" s="3">
        <f>4747.8+(1289.4-683.8)+(-9.685512+(-2.630376--1.394952))+0-0-0</f>
        <v>5342.4790640000001</v>
      </c>
      <c r="Z284" s="3">
        <f>4695.8+(1166.4-647.9)+(0+(0-0))+0-0-0</f>
        <v>5214.3</v>
      </c>
      <c r="AA284" s="3">
        <f>4660.6+(1009.3-663.1)+(-9.507624+(-2.058972--1.352724))+0-0-0</f>
        <v>4996.5861279999999</v>
      </c>
      <c r="AB284" s="3">
        <f>4654.1+(985-800.2)+(-4.747182+(-1.0047--0.816204))+0-0-0</f>
        <v>4833.9643220000007</v>
      </c>
      <c r="AC284" s="3">
        <f>4601.2+(709.9-762.1)+(-4.693224+(-0.724098--0.777342))+0-0-0</f>
        <v>4544.3600200000001</v>
      </c>
      <c r="AD284">
        <v>5486.1</v>
      </c>
      <c r="AE284" s="3">
        <f>4951+(1184.6-649.5)+(0+(0-0))+0-0-0</f>
        <v>5486.1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4592.9+(622.8-1033.9)+(-7.027137+(-0.952884--1.581867))+0-0-0</f>
        <v>4175.4018459999988</v>
      </c>
      <c r="G285" s="3">
        <f>4304.3+(381.3-849.4)+(2.195193+(0.194463-0.433194))+0-0-0</f>
        <v>3838.1564620000004</v>
      </c>
      <c r="H285" s="3">
        <f>4127.5+(281.2-764.8)+(-6.315075+(-0.430236--1.170144))+0-0-0</f>
        <v>3638.3248330000001</v>
      </c>
      <c r="I285" s="3">
        <f>4112.1+(296.6-878.4)+(-8.388684+(-0.605064--1.791936))+0-0-0</f>
        <v>3523.0981880000004</v>
      </c>
      <c r="J285" s="3">
        <f>4114.5+(319.5-943.7)+(-8.39358+(-0.65178--1.925148))+0-0-0</f>
        <v>3483.1797880000004</v>
      </c>
      <c r="K285" s="3">
        <f>4186.2+(320.2-1015.9)+(2.134962+(0.163302-0.518109))+0-0-0</f>
        <v>3492.2801549999999</v>
      </c>
      <c r="L285" s="3">
        <f>4444.9+(301.1-1242.8)+(-6.800697+(-0.460683--1.901484))+0-0-0</f>
        <v>3497.8401039999999</v>
      </c>
      <c r="M285" s="3">
        <f>4499.9+(342.9-1405.7)+(-16.064643+(-1.224153--5.018349))+0-0-0</f>
        <v>3424.8295529999996</v>
      </c>
      <c r="N285" s="3">
        <f>4446.8+(292.4-1197.7)+(2.267868+(0.149124-0.610827))+0-0-0</f>
        <v>3543.306165</v>
      </c>
      <c r="O285" s="3">
        <f>4441.9+(134.7-740.9)+(0+(0-0))+0-0-0</f>
        <v>3835.7</v>
      </c>
      <c r="P285" s="3">
        <f>4378.6+(330.3-575.1)+(4.466172+(0.336906-0.586602))+0-0-0</f>
        <v>4138.0164759999998</v>
      </c>
      <c r="Q285" s="3">
        <f>4422.1+(434.9-548.3)+(-6.765813+(-0.665397--0.838899))+0-0-0</f>
        <v>4302.1076890000004</v>
      </c>
      <c r="R285" s="3">
        <f>4527.9+(421.9-628)+(0+(0-0))+0-0-0</f>
        <v>4321.7999999999993</v>
      </c>
      <c r="S285" s="3">
        <f>4536.2+(388-666.6)+(-6.940386+(-0.59364--1.019898))+0-0-0</f>
        <v>4251.0858719999997</v>
      </c>
      <c r="T285" s="3">
        <f>4413.3+(366.1-597.7)+(0+(0-0))+0-0-0</f>
        <v>4181.7</v>
      </c>
      <c r="U285" s="3">
        <f>4383.2+(291.2-536.8)+(2.235432+(0.148512-0.273768))+0-0-0</f>
        <v>4139.7101759999996</v>
      </c>
      <c r="V285" s="3">
        <f>4498.3+(366.2-605.7)+(-2.294133+(-0.186762--0.308907))+0-0-0</f>
        <v>4256.6280120000001</v>
      </c>
      <c r="W285" s="3">
        <f>4846.4+(698.6-740.1)+(4.943328+(0.712572-0.754902))+0-0-0</f>
        <v>4809.8009979999997</v>
      </c>
      <c r="X285" s="3">
        <f>4939.2+(815.7-765.8)+(-2.518992+(-0.416007--0.390558))+0-0-0</f>
        <v>4986.5555590000004</v>
      </c>
      <c r="Y285" s="3">
        <f>4886.9+(798.4-726.4)+(-2.492319+(-0.407184--0.370464))+0-0-0</f>
        <v>4956.3709609999996</v>
      </c>
      <c r="Z285" s="3">
        <f>4748.5+(843.2-687.1)+(-2.421735+(-0.430032--0.350421))+0-0-0</f>
        <v>4902.0986540000004</v>
      </c>
      <c r="AA285" s="3">
        <f>4766.8+(704-675)+(0+(0-0))+0-0-0</f>
        <v>4795.8</v>
      </c>
      <c r="AB285" s="3">
        <f>4745.8+(602.3-726.3)+(-9.681432+(-1.228692--1.481652))+0-0-0</f>
        <v>4612.3715280000006</v>
      </c>
      <c r="AC285" s="3">
        <f>4609.2+(580.3-878.5)+(-7.052076+(-0.887859--1.344105))+0-0-0</f>
        <v>4304.4041699999998</v>
      </c>
      <c r="AD285">
        <v>4950.2000000000007</v>
      </c>
      <c r="AE285" s="3">
        <f>4914+(807.1-770.9)+(0+(0-0))+0-0-0</f>
        <v>4950.2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4472.2+(380.7-954.5)+(-4.561644+(-0.388314--0.97359))+0-0-0</f>
        <v>3894.4236319999995</v>
      </c>
      <c r="G286" s="3">
        <f>4108.4+(226-713.3)+(-8.381136+(-0.46104--1.455132))+0-0-0</f>
        <v>3613.7129559999994</v>
      </c>
      <c r="H286" s="3">
        <f>3980+(244-754.1)+(0+(0-0))+0-0-0</f>
        <v>3469.9</v>
      </c>
      <c r="I286" s="3">
        <f>3883.3+(179.1-644.5)+(1.980483+(0.091341-0.328695))+0-0-0</f>
        <v>3419.643129</v>
      </c>
      <c r="J286" s="3">
        <f>3854.4+(211.1-644.6)+(-1.965744+(-0.107661--0.328746))+0-0-0</f>
        <v>3419.1553410000001</v>
      </c>
      <c r="K286" s="3">
        <f>4083.9+(247.4-819.6)+(0+(0-0))+0-0-0</f>
        <v>3511.7</v>
      </c>
      <c r="L286" s="3">
        <f>4489.9+(194.7-881.5)+(-2.289849+(-0.099297--0.449565))+0-0-0</f>
        <v>3801.1604189999994</v>
      </c>
      <c r="M286" s="3">
        <f>4759.9+(331.9-816.3)+(7.282647+(0.507807-1.248939))+0-0-0</f>
        <v>4282.0415149999999</v>
      </c>
      <c r="N286" s="3">
        <f>4781.4+(650.3-568.2)+(-2.438514+(-0.331653--0.289782))+0-0-0</f>
        <v>4861.0196150000002</v>
      </c>
      <c r="O286" s="3">
        <f>4810.9+(958.8-476)+(4.907118+(0.977976-0.48552))+0-0-0</f>
        <v>5299.0995739999998</v>
      </c>
      <c r="P286" s="3">
        <f>4776.8+(1229.7-459.5)+(2.436168+(0.627147-0.234345))+0-0-0</f>
        <v>5549.8289699999996</v>
      </c>
      <c r="Q286" s="3">
        <f>4747.4+(1391.1-402.3)+(-4.842348+(-1.418922--0.410346))+0-0-0</f>
        <v>5730.3490759999995</v>
      </c>
      <c r="R286" s="3">
        <f>4632.3+(1356.4-340.3)+(-4.724946+(-1.383528--0.347106))+0-0-0</f>
        <v>5642.6386320000001</v>
      </c>
      <c r="S286" s="3">
        <f>4603.2+(1182.1-300.6)+(-2.347632+(-0.602871--0.153306))+0-0-0</f>
        <v>5481.9028029999999</v>
      </c>
      <c r="T286" s="3">
        <f>4489.4+(1319-273.8)+(-2.289594+(-0.67269--0.139638))+0-0-0</f>
        <v>5531.7773539999998</v>
      </c>
      <c r="U286" s="3">
        <f>4568.3+(1243.1-314)+(-4.659666+(-1.267962--0.32028))+0-0-0</f>
        <v>5491.7926520000001</v>
      </c>
      <c r="V286" s="3">
        <f>4687.2+(1230.5-349.5)+(-2.390472+(-0.627555--0.178245))+0-0-0</f>
        <v>5565.3602179999998</v>
      </c>
      <c r="W286" s="3">
        <f>4956.7+(1576.5-578)+(-2.527917+(-0.804015--0.29478))+0-0-0</f>
        <v>5952.1628479999999</v>
      </c>
      <c r="X286" s="3">
        <f>5020.4+(1491.3-587)+(-7.681212+(-2.281689--0.89811))+0-0-0</f>
        <v>5915.635209</v>
      </c>
      <c r="Y286" s="3">
        <f>4965.2+(1324.1-565.6)+(-2.532252+(-0.675291--0.288456))+0-0-0</f>
        <v>5720.7809129999996</v>
      </c>
      <c r="Z286" s="3">
        <f>4891.5+(1165.3-519.1)+(-7.483995+(-1.782909--0.794223))+0-0-0</f>
        <v>5529.2273189999996</v>
      </c>
      <c r="AA286" s="3">
        <f>4872.3+(875.7-456.5)+(-9.939492+(-1.786428--0.93126))+0-0-0</f>
        <v>5280.7053400000004</v>
      </c>
      <c r="AB286" s="3">
        <f>4757.3+(848.1-551.6)+(-7.278669+(-1.297593--0.843948))+0-0-0</f>
        <v>5046.0676860000003</v>
      </c>
      <c r="AC286" s="3">
        <f>4398.7+(915.4-621.4)+(-8.973348+(-1.867416--1.267656))+0-0-0</f>
        <v>4683.1268920000002</v>
      </c>
      <c r="AD286">
        <v>6033.9000000000005</v>
      </c>
      <c r="AE286" s="3">
        <f>4989+(1684.6-639.7)+(0+(0-0))+0-0-0</f>
        <v>6033.9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4267.9+(653-705.7)+(-8.706516+(-1.33212--1.439628))+0-0-0</f>
        <v>4206.6009919999997</v>
      </c>
      <c r="G287" s="3">
        <f>4225.9+(359.8-670.3)+(4.310418+(0.366996-0.683706))+0-0-0</f>
        <v>3919.3937079999996</v>
      </c>
      <c r="H287" s="3">
        <f>4155+(300.6-691.7)+(-8.4762+(-0.613224--1.411068))+0-0-0</f>
        <v>3756.2216440000002</v>
      </c>
      <c r="I287" s="3">
        <f>4103+(281.5-671.6)+(0+(0-0))+0-0-0</f>
        <v>3712.9</v>
      </c>
      <c r="J287" s="3">
        <f>4056+(334-690.4)+(0+(0-0))+0-0-0</f>
        <v>3699.6</v>
      </c>
      <c r="K287" s="3">
        <f>4039.9+(313.3-601.5)+(0+(0-0))+0-0-0</f>
        <v>3751.7000000000003</v>
      </c>
      <c r="L287" s="3">
        <f>4240.6+(313.3-563.4)+(0+(0-0))+0-0-0</f>
        <v>3990.5000000000005</v>
      </c>
      <c r="M287" s="3">
        <f>4560+(325-726.9)+(-2.3256+(-0.16575--0.370719))+0-0-0</f>
        <v>4155.9793690000006</v>
      </c>
      <c r="N287" s="3">
        <f>4641.7+(345.8-493.6)+(-9.469068+(-0.705432--1.006944))+0-0-0</f>
        <v>4484.7324439999993</v>
      </c>
      <c r="O287" s="3">
        <f>4740.8+(909.5-300.6)+(-7.253424+(-1.391535--0.459918))+0-0-0</f>
        <v>5341.5149590000001</v>
      </c>
      <c r="P287" s="3">
        <f>4800.2+(1157.5-300.4)+(-2.448102+(-0.590325--0.153204))+0-0-0</f>
        <v>5654.414777</v>
      </c>
      <c r="Q287" s="3">
        <f>4775.8+(1397.1-284)+(-9.742632+(-2.850084--0.57936))+0-0-0</f>
        <v>5876.8866439999993</v>
      </c>
      <c r="R287" s="3">
        <f>4782.6+(1327.9-265.8)+(-12.19563+(-3.386145--0.67779))+0-0-0</f>
        <v>5829.7960150000008</v>
      </c>
      <c r="S287" s="3">
        <f>4732.1+(1141.8-238.3)+(2.413371+(0.582318-0.121533))+0-0-0</f>
        <v>5638.4741560000002</v>
      </c>
      <c r="T287" s="3">
        <f>4733.7+(1188.8-245.3)+(2.414187+(0.606288-0.125103))+0-0-0</f>
        <v>5680.0953719999998</v>
      </c>
      <c r="U287" s="3">
        <f>4729.7+(1191.1-258)+(0+(0-0))+0-0-0</f>
        <v>5662.7999999999993</v>
      </c>
      <c r="V287" s="3">
        <f>4749.1+(1193.8-264.9)+(-9.688164+(-2.435352--0.540396))+0-0-0</f>
        <v>5666.4168799999998</v>
      </c>
      <c r="W287" s="3">
        <f>4991+(1423.8-439)+(0+(0-0))+0-0-0</f>
        <v>5975.8</v>
      </c>
      <c r="X287" s="3">
        <f>4944.4+(1502.3-512.5)+(-10.086576+(-3.064692--1.0455))+0-0-0</f>
        <v>5922.0942319999995</v>
      </c>
      <c r="Y287" s="3">
        <f>4745.4+(1522.3-516)+(-9.680616+(-3.105492--1.05264))+0-0-0</f>
        <v>5739.9665319999995</v>
      </c>
      <c r="Z287" s="3">
        <f>4729.7+(1368.2-526.5)+(-9.648588+(-2.791128--1.07406))+0-0-0</f>
        <v>5560.0343439999997</v>
      </c>
      <c r="AA287" s="3">
        <f>4625.2+(1186.1-518.4)+(-7.076556+(-1.814733--0.793152))+0-0-0</f>
        <v>5284.8018629999997</v>
      </c>
      <c r="AB287" s="3">
        <f>4463.7+(1103.8-517.7)+(-9.105948+(-2.251752--1.056108))+0-0-0</f>
        <v>5039.4984079999995</v>
      </c>
      <c r="AC287" s="3">
        <f>4337.8+(829-484.3)+(-6.636834+(-1.26837--0.740979))+0-0-0</f>
        <v>4675.3357749999996</v>
      </c>
      <c r="AD287">
        <v>6048.9</v>
      </c>
      <c r="AE287" s="3">
        <f>5017+(1546.4-514.5)+(0+(0-0))+0-0-0</f>
        <v>6048.9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4238.6+(404.9-405.8)+(-4.323372+(-0.412998--0.413916))+0-0-0</f>
        <v>4233.3775460000006</v>
      </c>
      <c r="G288" s="3">
        <f>3671.6+(474.9-236.7)+(-1.872516+(-0.242199--0.120717))+0-0-0</f>
        <v>3907.8060019999998</v>
      </c>
      <c r="H288" s="3">
        <f>3631.9+(426.6-308.3)+(-1.852269+(-0.217566--0.157233))+0-0-0</f>
        <v>3748.2873980000004</v>
      </c>
      <c r="I288" s="3">
        <f>3633.1+(373.8-318.9)+(1.852881+(0.190638-0.162639))+0-0-0</f>
        <v>3689.8808800000002</v>
      </c>
      <c r="J288" s="3">
        <f>3586.1+(403.1-303.4)+(-7.315644+(-0.822324--0.618936))+0-0-0</f>
        <v>3678.280968</v>
      </c>
      <c r="K288" s="3">
        <f>3512.1+(511.6-276.5)+(1.791171+(0.260916-0.141015))+0-0-0</f>
        <v>3749.1110719999997</v>
      </c>
      <c r="L288" s="3">
        <f>3811.5+(642-519.4)+(-5.831595+(-0.98226--0.794682))+6.5-0-0</f>
        <v>3934.5808269999998</v>
      </c>
      <c r="M288" s="3">
        <f>4077.6+(720-583.7)+(-2.079576+(-0.3672--0.297687))+130-0-0</f>
        <v>4341.7509110000001</v>
      </c>
      <c r="N288" s="3">
        <f>4279.7+(869-302.8)+(0+(0-0))+97.5-0-0</f>
        <v>4943.3999999999996</v>
      </c>
      <c r="O288" s="3">
        <f>4514.3+(1040.6-213.2)+(0+(0-0))+0-0-0</f>
        <v>5341.7</v>
      </c>
      <c r="P288" s="3">
        <f>4566.8+(1340.1-229.5)+(2.329068+(0.683451-0.117045))+0-0-0</f>
        <v>5680.2954739999996</v>
      </c>
      <c r="Q288" s="3">
        <f>4658.5+(1465.8-234.5)+(-7.127505+(-2.242674--0.358785))+0-0-0</f>
        <v>5880.7886060000001</v>
      </c>
      <c r="R288" s="3">
        <f>4546.6+(1477.6-225.8)+(-13.912596+(-4.521456--0.690948))+0-0-0</f>
        <v>5780.6568960000004</v>
      </c>
      <c r="S288" s="3">
        <f>4520.1+(1345.9-215.6)+(-9.221004+(-2.745636--0.439824))+0-0-0</f>
        <v>5638.8731840000009</v>
      </c>
      <c r="T288" s="3">
        <f>4609.1+(1268.4-200.7)+(-2.350641+(-0.646884--0.102357))+0-0-0</f>
        <v>5673.9048320000002</v>
      </c>
      <c r="U288" s="3">
        <f>4610.4+(1231-207.4)+(-2.351304+(-0.62781--0.105774))+0-0-0</f>
        <v>5631.1266599999999</v>
      </c>
      <c r="V288" s="3">
        <f>4671+(1279.4-211.9)+(-4.76442+(-1.304988--0.216138))+0-0-0</f>
        <v>5732.6467300000004</v>
      </c>
      <c r="W288" s="3">
        <f>4896.4+(1483.4-381.5)+(-7.491492+(-2.269602--0.583695))+0-0-0</f>
        <v>5989.1226009999991</v>
      </c>
      <c r="X288" s="3">
        <f>4900.1+(1372.2-348)+(-9.996204+(-2.799288--0.70992))+0-0-0</f>
        <v>5912.2144280000002</v>
      </c>
      <c r="Y288" s="3">
        <f>4738.9+(1300.8-320.4)+(-12.084195+(-3.31704--0.81702))+0-0-0</f>
        <v>5704.7157849999994</v>
      </c>
      <c r="Z288" s="3">
        <f>4693.8+(1111.5-263)+(-4.787676+(-1.13373--0.26826))+0-0-0</f>
        <v>5536.6468540000005</v>
      </c>
      <c r="AA288" s="3">
        <f>4636.7+(919.1-272.5)+(-14.188302+(-2.812446--0.83385))+0-0-0</f>
        <v>5267.1331019999998</v>
      </c>
      <c r="AB288" s="3">
        <f>4522.1+(864.4-350.6)+(-9.225084+(-1.763376--0.715224))+0-0-0</f>
        <v>5025.6267640000005</v>
      </c>
      <c r="AC288" s="3">
        <f>4114.7+(840.8-270)+(-4.196994+(-0.857616--0.2754))+0-0-0</f>
        <v>4680.7207900000003</v>
      </c>
      <c r="AD288">
        <v>5954.3</v>
      </c>
      <c r="AE288" s="3">
        <f>4905+(1403-353.7)+(0+(0-0))+0-0-0</f>
        <v>5954.3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4146.5+(413.4-317.6)+(-10.573575+(-1.05417--0.80988))+0-0-0</f>
        <v>4231.4821350000002</v>
      </c>
      <c r="G289" s="3">
        <f>3952.4+(300.2-330.4)+(0+(0-0))+0-0-0</f>
        <v>3922.2000000000003</v>
      </c>
      <c r="H289" s="3">
        <f>3908.4+(255.5-388.9)+(-3.986568+(-0.26061--0.396678))+0-0-0</f>
        <v>3771.1495</v>
      </c>
      <c r="I289" s="3">
        <f>3763.5+(288.6-352)+(3.83877+(0.294372-0.35904))+0-0-0</f>
        <v>3703.8741019999998</v>
      </c>
      <c r="J289" s="3">
        <f>3743+(289.3-363.2)+(1.90893+(0.147543-0.185232))+0-0-0</f>
        <v>3670.9712409999997</v>
      </c>
      <c r="K289" s="3">
        <f>3751.2+(321.1-328.7)+(3.826224+(0.327522-0.335274))+0-0-0</f>
        <v>3747.4184719999998</v>
      </c>
      <c r="L289" s="3">
        <f>4056.9+(392.1-477.6)+(8.276076+(0.799884-0.974304))+0-0-0</f>
        <v>3979.5016559999999</v>
      </c>
      <c r="M289" s="3">
        <f>4405.8+(585.6-595.8)+(-2.246958+(-0.298656--0.303858))+0-0-0</f>
        <v>4393.358244</v>
      </c>
      <c r="N289" s="3">
        <f>4676.4+(716.4-481.4)+(2.384964+(0.365364-0.245514))+0-0-0</f>
        <v>4913.9048139999995</v>
      </c>
      <c r="O289" s="3">
        <f>4647.6+(964.3-309.1)+(0+(0-0))+0-0-0</f>
        <v>5302.8</v>
      </c>
      <c r="P289" s="3">
        <f>4646.4+(1211.5-344)+(0+(0-0))+0.4-0-0</f>
        <v>5514.2999999999993</v>
      </c>
      <c r="Q289" s="3">
        <f>4648.1+(1356.6-370.5)+(-9.482124+(-2.767464--0.75582))+0-0-0</f>
        <v>5622.7062320000005</v>
      </c>
      <c r="R289" s="3">
        <f>4721.8+(1191.4-352.7)+(-7.224354+(-1.822842--0.539631))+0-0-0</f>
        <v>5551.9924350000001</v>
      </c>
      <c r="S289" s="3">
        <f>4766+(1009.8-352)+(-7.29198+(-1.544994--0.53856))+0-0-0</f>
        <v>5415.5015860000003</v>
      </c>
      <c r="T289" s="3">
        <f>4821.2+(959.1-342.2)+(2.458812+(0.489141-0.174522))+0-0-0</f>
        <v>5440.873431</v>
      </c>
      <c r="U289" s="3">
        <f>4736.6+(1072.3-341.4)+(-2.415666+(-0.546873--0.174114))+0-0-0</f>
        <v>5464.7115750000003</v>
      </c>
      <c r="V289" s="3">
        <f>4742.3+(1076.1-245.1)+(-7.255719+(-1.646433--0.375003))+0-0-0</f>
        <v>5564.7728510000006</v>
      </c>
      <c r="W289" s="3">
        <f>4889.3+(1420.1-391.1)+(0+(0-0))+0-0-0</f>
        <v>5918.3</v>
      </c>
      <c r="X289" s="3">
        <f>4896.7+(1434.8-394.4)+(-7.491951+(-2.195244--0.603432))+0-0-0</f>
        <v>5928.0162370000007</v>
      </c>
      <c r="Y289" s="3">
        <f>4762.3+(1324-325.6)+(-7.286319+(-2.02572--0.498168))+0-0-0</f>
        <v>5751.8861289999995</v>
      </c>
      <c r="Z289" s="3">
        <f>4668.9+(1207.1-312.2)+(-11.905695+(-3.078105--0.79611))+0-0-0</f>
        <v>5549.6123099999995</v>
      </c>
      <c r="AA289" s="3">
        <f>4650.9+(1015.8-371.7)+(-2.371959+(-0.518058--0.189567))+0-0-0</f>
        <v>5292.2995499999997</v>
      </c>
      <c r="AB289" s="3">
        <f>4630.1+(905.4-466.3)+(-7.084053+(-1.385262--0.713439))+0-0-0</f>
        <v>5061.4441240000006</v>
      </c>
      <c r="AC289" s="3">
        <f>4582+(481.6-433.4)+(-9.34728+(-0.982464--0.884136))+0-0-0</f>
        <v>4620.7543919999998</v>
      </c>
      <c r="AD289">
        <v>6022.4000000000005</v>
      </c>
      <c r="AE289" s="3">
        <f>4854+(1705.3-536.9)+(0+(0-0))+0-0-0</f>
        <v>6022.4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4277.1+(274-360)+(-8.725284+(-0.55896--0.7344))+0-0-0</f>
        <v>4182.5501560000002</v>
      </c>
      <c r="G290" s="3">
        <f>3984.4+(291.8-406.4)+(-2.032044+(-0.148818--0.207264))+0-0-0</f>
        <v>3867.8264020000001</v>
      </c>
      <c r="H290" s="3">
        <f>3868.7+(318-461.6)+(-3.946074+(-0.32436--0.470832))+0-0-0</f>
        <v>3721.3003979999999</v>
      </c>
      <c r="I290" s="3">
        <f>3793.7+(342.9-515.3)+(3.869574+(0.349758-0.525606))+0-0-0</f>
        <v>3624.9937259999997</v>
      </c>
      <c r="J290" s="3">
        <f>3743.8+(373.4-481.6)+(0+(0-0))+0-0-0</f>
        <v>3635.6000000000004</v>
      </c>
      <c r="K290" s="3">
        <f>3782.2+(494.1-567)+(3.857844+(0.503982-0.57834))+0-0-0</f>
        <v>3713.0834859999995</v>
      </c>
      <c r="L290" s="3">
        <f>4083.6+(661.7-783.4)+(4.165272+(0.674934-0.799068))+0-0-0</f>
        <v>3965.9411380000001</v>
      </c>
      <c r="M290" s="3">
        <f>4271.3+(671.4-570.5)+(4.356726+(0.684828-0.58191))+0-0-0</f>
        <v>4376.6596439999994</v>
      </c>
      <c r="N290" s="3">
        <f>4601.1+(730.2-408.4)+(0+(0-0))+0-0-0</f>
        <v>4922.9000000000005</v>
      </c>
      <c r="O290" s="3">
        <f>4569.4+(955.6-260.4)+(0+(0-0))+0-0-0</f>
        <v>5264.5999999999995</v>
      </c>
      <c r="P290" s="3">
        <f>4548.2+(1264.6-259.8)+(2.319582+(0.644946-0.132498))+0-0-0</f>
        <v>5555.8320299999996</v>
      </c>
      <c r="Q290" s="3">
        <f>4538.6+(1403.9-272.9)+(-2.314686+(-0.715989--0.139179))+0-0-0</f>
        <v>5666.7085040000002</v>
      </c>
      <c r="R290" s="3">
        <f>4520.3+(1339.9-276.6)+(-9.221412+(-2.733396--0.564264))+0-0-0</f>
        <v>5572.2094560000005</v>
      </c>
      <c r="S290" s="3">
        <f>4551.3+(1240.8-346.3)+(-2.321163+(-0.632808--0.176613))+0-0-0</f>
        <v>5443.0226419999999</v>
      </c>
      <c r="T290" s="3">
        <f>4560+(1268.2-331.6)+(0+(0-0))+0-0-0</f>
        <v>5496.6</v>
      </c>
      <c r="U290" s="3">
        <f>4541.5+(1210-344.6)+(-4.63233+(-1.2342--0.351492))+0-0-0</f>
        <v>5401.3849620000001</v>
      </c>
      <c r="V290" s="3">
        <f>4575.2+(1133-302.4)+(2.333352+(0.57783-0.154224))+0-0-0</f>
        <v>5408.5569580000001</v>
      </c>
      <c r="W290" s="3">
        <f>4771.4+(1252.5-385.7)+(4.866828+(1.27755-0.393414))+0-0-0</f>
        <v>5643.9509639999997</v>
      </c>
      <c r="X290" s="3">
        <f>4767.5+(1534.8-395.5)+(-2.431425+(-0.782748--0.201705))+0-0-0</f>
        <v>5903.7875320000003</v>
      </c>
      <c r="Y290" s="3">
        <f>4660.8+(1384.1-338.6)+(-9.508032+(-2.823564--0.690744))+0-0-0</f>
        <v>5694.6591479999997</v>
      </c>
      <c r="Z290" s="3">
        <f>4549.6+(1283-319.4)+(-6.960888+(-1.96299--0.488682))+0-0-0</f>
        <v>5504.7648040000004</v>
      </c>
      <c r="AA290" s="3">
        <f>4434.3+(1216.2-390.7)+(-6.784479+(-1.860786--0.597771))+0-0-0</f>
        <v>5251.7525059999998</v>
      </c>
      <c r="AB290" s="3">
        <f>4339.8+(1205.9-507)+(-6.639894+(-1.845027--0.77571))+0-0-0</f>
        <v>5030.9907890000004</v>
      </c>
      <c r="AC290" s="3">
        <f>4178.3+(877.9-389.3)+(-12.785598+(-2.686374--1.191258))+0-0-0</f>
        <v>4652.6192860000001</v>
      </c>
      <c r="AD290">
        <v>5914.6</v>
      </c>
      <c r="AE290" s="3">
        <f>4781+(1538.6-405)+(0+(0-0))+0-0-0</f>
        <v>5914.6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4059.5+(484.3-300)+(-4.14069+(-0.493986--0.306))+0-0-0</f>
        <v>4239.4713240000001</v>
      </c>
      <c r="G291" s="3">
        <f>4027.5+(285.6-389.7)+(-6.162075+(-0.436968--0.596241))+0-0-0</f>
        <v>3917.3971980000001</v>
      </c>
      <c r="H291" s="3">
        <f>3977.4+(193-428.3)+(-2.028474+(-0.09843--0.218433))+0-0-0</f>
        <v>3740.1915289999997</v>
      </c>
      <c r="I291" s="3">
        <f>3788.4+(262.5-403)+(9.66042+(0.669375-1.02765))+0-0-0</f>
        <v>3657.2021450000002</v>
      </c>
      <c r="J291" s="3">
        <f>3770.2+(278.3-408.6)+(7.691208+(0.567732-0.833544))+0-0-0</f>
        <v>3647.3253959999997</v>
      </c>
      <c r="K291" s="3">
        <f>3612.1+(403.1-348.5)+(7.368684+(0.822324-0.71094))+0-0-0</f>
        <v>3674.1800679999997</v>
      </c>
      <c r="L291" s="3">
        <f>3701.4+(504.9-367.7)+(13.213998+(1.802493-1.312689))+0-0-0</f>
        <v>3852.3038019999999</v>
      </c>
      <c r="M291" s="3">
        <f>3977.1+(617.7-426.9)+(-6.084963+(-0.945081--0.653157))+0-0-0</f>
        <v>4161.5231129999993</v>
      </c>
      <c r="N291" s="3">
        <f>4087.9+(812.7-229.3)+(6.254487+(1.243431-0.350829))+0-0-0</f>
        <v>4678.4470890000002</v>
      </c>
      <c r="O291" s="3">
        <f>4135.5+(1251.1-247.3)+(4.21821+(1.276122-0.252246))+0-0-0</f>
        <v>5144.5420860000004</v>
      </c>
      <c r="P291" s="3">
        <f>4096.9+(1526.9-238.1)+(4.178838+(1.557438-0.242862))+0-0-0</f>
        <v>5391.1934139999994</v>
      </c>
      <c r="Q291" s="3">
        <f>4131.3+(1590.4-232.9)+(0+(0-0))+0-0-0</f>
        <v>5488.8</v>
      </c>
      <c r="R291" s="3">
        <f>4158.9+(1423.6-201.5)+(-6.363117+(-2.178108--0.308295))+0-0-0</f>
        <v>5372.7670699999999</v>
      </c>
      <c r="S291" s="3">
        <f>4206+(1124.1-186.3)+(0+(0-0))+0-0-0</f>
        <v>5143.8</v>
      </c>
      <c r="T291" s="3">
        <f>4258.7+(1008.6-176.1)+(-2.171937+(-0.514386--0.089811))+0-0-0</f>
        <v>5088.6034879999997</v>
      </c>
      <c r="U291" s="3">
        <f>4310+(867.6-197.6)+(4.3962+(0.884952-0.201552))+0-0-0</f>
        <v>4985.0796</v>
      </c>
      <c r="V291" s="3">
        <f>4291.8+(896.9-193.5)+(2.188818+(0.457419-0.098685))+0-0-0</f>
        <v>4997.7475519999998</v>
      </c>
      <c r="W291" s="3">
        <f>4452.1+(1299.7-340.6)+(6.811713+(1.988541-0.521118))+0-0-0</f>
        <v>5419.4791360000008</v>
      </c>
      <c r="X291" s="3">
        <f>4539.7+(1333.1-356.3)+(-11.576235+(-3.399405--0.908565))+0-0-0</f>
        <v>5502.4329250000001</v>
      </c>
      <c r="Y291" s="3">
        <f>4479.9+(1180.5-281.3)+(-4.569498+(-1.20411--0.286926))+0-0-0</f>
        <v>5373.6133179999997</v>
      </c>
      <c r="Z291" s="3">
        <f>4388.6+(1110.7-249.9)+(-15.667302+(-3.965199--0.892143))+0-0-0</f>
        <v>5230.6596420000005</v>
      </c>
      <c r="AA291" s="3">
        <f>4421.3+(800.1-227.2)+(-13.529178+(-2.448306--0.695232))+0-0-0</f>
        <v>4978.9177480000008</v>
      </c>
      <c r="AB291" s="3">
        <f>4433.2+(818.7-402.2)+(-2.260932+(-0.417537--0.205122))+0-0-0</f>
        <v>4847.2266529999997</v>
      </c>
      <c r="AC291" s="3">
        <f>4427.4+(669.7-536.4)+(2.257974+(0.341547-0.273564))+0-0-0</f>
        <v>4563.0259569999998</v>
      </c>
      <c r="AD291">
        <v>5506.7999999999993</v>
      </c>
      <c r="AE291" s="3">
        <f>4529+(1398.4-420.6)+(0+(0-0))+0-0-0</f>
        <v>5506.8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4430.9+(560.7-788.6)+(-11.298795+(-1.429785--2.01093))+0-0-0</f>
        <v>4192.2823500000004</v>
      </c>
      <c r="G292" s="3">
        <f>4347.7+(441.3-911.9)+(0+(0-0))+0-0-0</f>
        <v>3877.1</v>
      </c>
      <c r="H292" s="3">
        <f>4190.3+(253.7-790.5)+(-2.137053+(-0.129387--0.403155))+0-0-0</f>
        <v>3651.6367150000001</v>
      </c>
      <c r="I292" s="3">
        <f>4206.9+(221-878.9)+(4.291038+(0.22542-0.896478))+0-0-0</f>
        <v>3552.6199799999995</v>
      </c>
      <c r="J292" s="3">
        <f>4182.2+(221.1-890.3)+(-4.265844+(-0.225522--0.908106))+0-0-0</f>
        <v>3509.4167400000001</v>
      </c>
      <c r="K292" s="3">
        <f>4201.3+(245.5-947.6)+(6.427989+(0.375615-1.449828))+0-0-0</f>
        <v>3504.5537760000002</v>
      </c>
      <c r="L292" s="3">
        <f>4294+(219.7-988.7)+(0+(0-0))+0-0-0</f>
        <v>3525</v>
      </c>
      <c r="M292" s="3">
        <f>4340.2+(244.1-1162.8)+(-2.213502+(-0.124491--0.593028))+0-0-0</f>
        <v>3419.7550350000001</v>
      </c>
      <c r="N292" s="3">
        <f>4339.1+(358-1151)+(2.212941+(0.18258-0.58701))+0-0-0</f>
        <v>3547.9085110000005</v>
      </c>
      <c r="O292" s="3">
        <f>4324.4+(469.5-956.8)+(6.616332+(0.718335-1.463904))+0-0-0</f>
        <v>3842.9707629999994</v>
      </c>
      <c r="P292" s="3">
        <f>4385.6+(490.9-711.5)+(0+(0-0))+0-0-0</f>
        <v>4165</v>
      </c>
      <c r="Q292" s="3">
        <f>4298.1+(567-523.9)+(-6.576093+(-0.86751--0.801567))+0-0-0</f>
        <v>4334.5579640000005</v>
      </c>
      <c r="R292" s="3">
        <f>4289.2+(612.6-549.2)+(-10.93746+(-1.56213--1.40046))+0-0-0</f>
        <v>4341.5008699999998</v>
      </c>
      <c r="S292" s="3">
        <f>4254.5+(582.8-556.4)+(-6.509385+(-0.891684--0.851292))+0-0-0</f>
        <v>4274.3502229999995</v>
      </c>
      <c r="T292" s="3">
        <f>4102.2+(563.7-458.8)+(-6.276366+(-0.862461--0.701964))+0-0-0</f>
        <v>4200.6631369999996</v>
      </c>
      <c r="U292" s="3">
        <f>4047.3+(596.2-499)+(6.192369+(0.912186-0.76347))+0-0-0</f>
        <v>4150.841085</v>
      </c>
      <c r="V292" s="3">
        <f>4142.4+(575.3-468.2)+(0+(0-0))+0-0-0</f>
        <v>4249.5</v>
      </c>
      <c r="W292" s="3">
        <f>4185.7+(1075.2-470.4)+(-4.269414+(-1.096704--0.479808))+0-0-0</f>
        <v>4785.6136900000001</v>
      </c>
      <c r="X292" s="3">
        <f>4161.4+(1139-323)+(-4.244628+(-1.16178--0.32946))+0-0-0</f>
        <v>4972.3230519999997</v>
      </c>
      <c r="Y292" s="3">
        <f>4105.8+(1166.6-307.1)+(-4.187916+(-1.189932--0.313242))+0-0-0</f>
        <v>4960.2353940000003</v>
      </c>
      <c r="Z292" s="3">
        <f>4107.7+(1095.9-284.1)+(-4.189854+(-1.117818--0.289782))+0-0-0</f>
        <v>4914.4821099999999</v>
      </c>
      <c r="AA292" s="3">
        <f>4283+(853.1-317.7)+(-2.18433+(-0.435081--0.162027))+0-0-0</f>
        <v>4815.9426159999994</v>
      </c>
      <c r="AB292" s="3">
        <f>4281.9+(732.3-381.3)+(-4.367538+(-0.746946--0.388926))+0-0-0</f>
        <v>4628.1744419999995</v>
      </c>
      <c r="AC292" s="3">
        <f>4185.1+(702.5-564.2)+(-8.537604+(-1.4331--1.150968))+0-0-0</f>
        <v>4314.5802640000002</v>
      </c>
      <c r="AD292">
        <v>4943.9000000000005</v>
      </c>
      <c r="AE292" s="3">
        <f>4176+(1095.3-327.4)+(0+(0-0))+0-0-0</f>
        <v>4943.8999999999996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3676+(552.4-515.7)+(-9.3738+(-1.40862--1.315035))+0-0-0</f>
        <v>3703.2326149999999</v>
      </c>
      <c r="G293" s="3">
        <f>3504.8+(415.5-472.4)+(0+(0-0))+0-0-0</f>
        <v>3447.9</v>
      </c>
      <c r="H293" s="3">
        <f>3450.7+(413.4-552.3)+(3.519714+(0.421668-0.563346))+0-0-0</f>
        <v>3315.1780359999998</v>
      </c>
      <c r="I293" s="3">
        <f>3508.3+(262.9-519.8)+(-1.789233+(-0.134079--0.265098))+0-0-0</f>
        <v>3249.741786</v>
      </c>
      <c r="J293" s="3">
        <f>3590+(191.8-544)+(3.6618+(0.195636-0.55488))+0-0-0</f>
        <v>3241.1025560000003</v>
      </c>
      <c r="K293" s="3">
        <f>3891.1+(226.9-604.1)+(-5.953383+(-0.347157--0.924273))+0-0-0</f>
        <v>3508.5237329999995</v>
      </c>
      <c r="L293" s="3">
        <f>3876.7+(503.1-561.6)+(-3.954234+(-0.513162--0.572832))+0-0-0</f>
        <v>3814.3054359999996</v>
      </c>
      <c r="M293" s="3">
        <f>4022.7+(698.5-399.3)+(-2.051577+(-0.356235--0.203643))+0-0-0</f>
        <v>4319.695831</v>
      </c>
      <c r="N293" s="3">
        <f>4066.6+(1039.6-194.9)+(2.073966+(0.530196-0.099399))+0-0-0</f>
        <v>4913.8047630000001</v>
      </c>
      <c r="O293" s="3">
        <f>3974.7+(1647.4-270.3)+(0+(0-0))+0-0-0</f>
        <v>5351.8</v>
      </c>
      <c r="P293" s="3">
        <f>3960+(1839.1-209.9)+(2.0196+(0.937941-0.107049))+0-0-0</f>
        <v>5592.0504919999994</v>
      </c>
      <c r="Q293" s="3">
        <f>3976.7+(1975-214.2)+(-6.084351+(-3.02175--0.327726))+0-0-0</f>
        <v>5728.7216250000001</v>
      </c>
      <c r="R293" s="3">
        <f>4204.2+(1622.7-211.9)+(-4.288284+(-1.655154--0.216138))+0-0-0</f>
        <v>5609.2727000000004</v>
      </c>
      <c r="S293" s="3">
        <f>4266.3+(1386.4-200.4)+(-4.351626+(-1.414128--0.204408))+0-0-0</f>
        <v>5446.7386539999998</v>
      </c>
      <c r="T293" s="3">
        <f>4318.7+(1383.7-188.3)+(4.405074+(1.411374-0.192066))+0-0-0</f>
        <v>5519.7243820000003</v>
      </c>
      <c r="U293" s="3">
        <f>4389.8+(1247.3-187.6)+(-4.477596+(-1.272246--0.191352))+0-0-0</f>
        <v>5443.9415099999997</v>
      </c>
      <c r="V293" s="3">
        <f>4498.4+(1176.8-173.7)+(0+(0-0))+0-0-0</f>
        <v>5501.5</v>
      </c>
      <c r="W293" s="3">
        <f>4783.2+(1391.9-293.1)+(4.878864+(1.419738-0.298962))+0-0-0</f>
        <v>5887.99964</v>
      </c>
      <c r="X293" s="3">
        <f>4800.4+(1420.3-279.5)+(-7.344612+(-2.173059--0.427635))+0-0-0</f>
        <v>5932.1099640000002</v>
      </c>
      <c r="Y293" s="3">
        <f>4769.6+(1228.5-243.1)+(-2.432496+(-0.626535--0.123981))+0-0-0</f>
        <v>5752.06495</v>
      </c>
      <c r="Z293" s="3">
        <f>4728.9+(978.5-198.2)+(-9.646956+(-1.99614--0.404328))+0-0-0</f>
        <v>5497.9612319999997</v>
      </c>
      <c r="AA293" s="3">
        <f>4733.1+(813.9-243.8)+(-4.827762+(-0.830178--0.248676))+0-0-0</f>
        <v>5297.7907360000008</v>
      </c>
      <c r="AB293" s="3">
        <f>4746.6+(796.9-509.6)+(-2.420766+(-0.406419--0.259896))+0-0-0</f>
        <v>5031.3327110000009</v>
      </c>
      <c r="AC293" s="3">
        <f>4609.5+(759.2-714.8)+(-7.052535+(-1.161576--1.093644))+0-0-0</f>
        <v>4646.7795329999999</v>
      </c>
      <c r="AD293">
        <v>5998.1</v>
      </c>
      <c r="AE293" s="3">
        <f>4831+(1507.1-340)+(0+(0-0))+0-0-0</f>
        <v>5998.1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4301.1+(473.1-535.6)+(-8.774244+(-0.965124--1.092624))+0-0-0</f>
        <v>4229.9532560000007</v>
      </c>
      <c r="G294" s="3">
        <f>3873.9+(500.6-466.2)+(-5.927067+(-0.765918--0.713286))+0-0-0</f>
        <v>3902.3203010000002</v>
      </c>
      <c r="H294" s="3">
        <f>3729.7+(586.5-561.2)+(-1.902147+(-0.299115--0.286212))+0-0-0</f>
        <v>3753.0849499999999</v>
      </c>
      <c r="I294" s="3">
        <f>3665+(507.8-510)+(-5.60745+(-0.776934--0.7803))+0-0-0</f>
        <v>3657.1959160000001</v>
      </c>
      <c r="J294" s="3">
        <f>3704.9+(578.9-630.9)+(0+(0-0))+0-0-0</f>
        <v>3652.9</v>
      </c>
      <c r="K294" s="3">
        <f>3882+(495.7-648.7)+(-5.93946+(-0.758421--0.992511))+0-0-0</f>
        <v>3723.2946299999999</v>
      </c>
      <c r="L294" s="3">
        <f>4352+(470-863)+(0+(0-0))+0-0-0</f>
        <v>3959</v>
      </c>
      <c r="M294" s="3">
        <f>4479+(671-720)+(0+(0-0))+0-0-0</f>
        <v>4430</v>
      </c>
      <c r="N294" s="3">
        <f>4618+(908-381)+(0+(0-0))+0-0-0</f>
        <v>5145</v>
      </c>
      <c r="O294" s="3">
        <f>4635+(972-349)+(0+(0-0))+0-0-0</f>
        <v>5258</v>
      </c>
      <c r="P294" s="3">
        <f>4473+(1323-414)+(0+(0-0))+0-0-0</f>
        <v>5382</v>
      </c>
      <c r="Q294" s="3">
        <f>4579+(1316-403)+(0+(0-0))+0-0-0</f>
        <v>5492</v>
      </c>
      <c r="R294" s="3">
        <f>4570+(1238-393)+(0+(0-0))+0-0-0</f>
        <v>5415</v>
      </c>
      <c r="S294" s="3">
        <f>4484+(1161-370)+(0+(0-0))+0-0-0</f>
        <v>5275</v>
      </c>
      <c r="T294" s="3">
        <f>4482+(1091-347)+(-6.85746+(-1.66923--0.53091))+0-0-0</f>
        <v>5218.0042199999998</v>
      </c>
      <c r="U294" s="3">
        <f>4622.7+(1051.6-346)+(0+(0-0))+0-0-0</f>
        <v>5328.2999999999993</v>
      </c>
      <c r="V294" s="3">
        <f>4773.5+(1155.3-312.2)+(4.86897+(1.178406-0.318444))+0-0-0</f>
        <v>5622.3289320000003</v>
      </c>
      <c r="W294" s="3">
        <f>5047.4+(1086.5-407.6)+(5.148348+(1.10823-0.415752))+0-0-0</f>
        <v>5732.1408259999989</v>
      </c>
      <c r="X294" s="3">
        <f>4996.1+(1162.4-410.5)+(-5.096022+(-1.185648--0.41871))+0-0-0</f>
        <v>5742.1370399999996</v>
      </c>
      <c r="Y294" s="3">
        <f>5005+(1005.9-411.2)+(-2.55255+(-0.513009--0.209712))+0-0-0</f>
        <v>5596.844153</v>
      </c>
      <c r="Z294" s="3">
        <f>5042.2+(801.2-394.8)+(-2.571522+(-0.408612--0.201348))+0-0-0</f>
        <v>5445.8212139999996</v>
      </c>
      <c r="AA294" s="3">
        <f>5034.8+(868.6-685.8)+(0+(0-0))+0-0-0</f>
        <v>5217.6000000000004</v>
      </c>
      <c r="AB294" s="3">
        <f>5043+(872.4-856.1)+(0+(0-0))+0-0-0</f>
        <v>5059.3</v>
      </c>
      <c r="AC294" s="3">
        <f>4759.8+(721.6-813.1)+(-7.282494+(-1.104048--1.244043))+0-0-0</f>
        <v>4661.1575010000006</v>
      </c>
      <c r="AD294">
        <v>6010.1</v>
      </c>
      <c r="AE294" s="3">
        <f>4981+(1330.5-431.4)+(0+(0-0))+0-0-0</f>
        <v>5880.1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4595.4+(572.4-935.5)+(-4.687308+(-0.583848--0.95421))+0-0-0</f>
        <v>4227.9830539999994</v>
      </c>
      <c r="G295" s="3">
        <f>4422.6+(488.1-998.2)+(-13.533156+(-1.493586--3.054492))+0-0-0</f>
        <v>3900.5277500000007</v>
      </c>
      <c r="H295" s="3">
        <f>4321.5+(461.5-1034.7)+(0+(0-0))+0-0-0</f>
        <v>3748.3</v>
      </c>
      <c r="I295" s="3">
        <f>4248.7+(486.4-1051.4)+(-4.333674+(-0.496128--1.072428))+0-0-0</f>
        <v>3679.942626</v>
      </c>
      <c r="J295" s="3">
        <f>4236+(450-1010.5)+(-2.16036+(-0.2295--0.515355))+0-0-0</f>
        <v>3673.6254949999998</v>
      </c>
      <c r="K295" s="3">
        <f>4268.7+(331.6-847)+(6.531111+(0.507348-1.29591))+0-0-0</f>
        <v>3759.0425489999998</v>
      </c>
      <c r="L295" s="3">
        <f>4613+(507.1-1111.6)+(-2.35263+(-0.258621--0.566916))+0-0-0</f>
        <v>4006.455665</v>
      </c>
      <c r="M295" s="3">
        <f>4896.6+(689.7-1167.6)+(-4.994532+(-0.703494--1.190952))+0-0-0</f>
        <v>4414.1929260000006</v>
      </c>
      <c r="N295" s="3">
        <f>5008.8+(847.1-851)+(-7.663464+(-1.296063--1.30203))+0-0-0</f>
        <v>4997.2425030000004</v>
      </c>
      <c r="O295" s="3">
        <f>5008.1+(879.9-507.5)+(-2.554131+(-0.448749--0.258825))+0-0-0</f>
        <v>5377.7559449999999</v>
      </c>
      <c r="P295" s="3">
        <f>5106.9+(950.7-464.4)+(-5.209038+(-0.969714--0.473688))+0-0-0</f>
        <v>5587.4949360000001</v>
      </c>
      <c r="Q295" s="3">
        <f>5087.6+(998.2-346.7)+(-5.189352+(-1.018164--0.353634))+0-0-0</f>
        <v>5733.246118</v>
      </c>
      <c r="R295" s="3">
        <f>5061.1+(899.1-355)+(-10.324644+(-1.834164--0.7242))+0-0-0</f>
        <v>5593.7653920000012</v>
      </c>
      <c r="S295" s="3">
        <f>5077+(769.8-417.7)+(-7.76781+(-1.177794--0.639081))+0-0-0</f>
        <v>5420.7934770000002</v>
      </c>
      <c r="T295" s="3">
        <f>5063.9+(770.7-360.6)+(-2.582589+(-0.393057--0.183906))+0-0-0</f>
        <v>5471.2082600000003</v>
      </c>
      <c r="U295" s="3">
        <f>5054.3+(677.2-298.6)+(-2.577693+(-0.345372--0.152286))+0-0-0</f>
        <v>5430.1292210000001</v>
      </c>
      <c r="V295" s="3">
        <f>5090.7+(720.9-339.3)+(0+(0-0))+0-0-0</f>
        <v>5472.3</v>
      </c>
      <c r="W295" s="3">
        <f>5265.3+(1093.6-497.5)+(-2.685303+(-0.557736--0.253725))+0-0-0</f>
        <v>5858.4106859999993</v>
      </c>
      <c r="X295" s="3">
        <f>5302.6+(1107.8-489.6)+(-8.112978+(-1.694934--0.749088))+0-0-0</f>
        <v>5911.7411760000005</v>
      </c>
      <c r="Y295" s="3">
        <f>5139.9+(1107.9-491)+(-10.485396+(-2.260116--1.00164))+0-0-0</f>
        <v>5745.0561279999993</v>
      </c>
      <c r="Z295" s="3">
        <f>5140.1+(884.7-442)+(-7.864353+(-1.353591--0.67626))+0-0-0</f>
        <v>5574.2583160000004</v>
      </c>
      <c r="AA295" s="3">
        <f>5066.7+(716-454.5)+(-15.504102+(-2.19096--1.39077))+0-0-0</f>
        <v>5311.895708</v>
      </c>
      <c r="AB295" s="3">
        <f>4981.9+(753.4-691.6)+(-5.081538+(-0.768468--0.705432))+0-0-0</f>
        <v>5038.5554259999999</v>
      </c>
      <c r="AC295" s="3">
        <f>4712.5+(689.1-686.3)+(-2.403375+(-0.351441--0.350013))+0-0-0</f>
        <v>4712.8951969999998</v>
      </c>
      <c r="AD295">
        <v>5987.7999999999993</v>
      </c>
      <c r="AE295" s="3">
        <f>5191+(1274.9-612.1)+(0+(0-0))+0-0-0</f>
        <v>5853.8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4668.4+(695.1-1113.5)+(-2.380884+(-0.354501--0.567885))+0-0-0</f>
        <v>4247.8325000000004</v>
      </c>
      <c r="G296" s="3">
        <f>4564.3+(495.8-1117.9)+(-11.638965+(-1.26429--2.850645))+0-0-0</f>
        <v>3932.1473899999996</v>
      </c>
      <c r="H296" s="3">
        <f>4437.1+(348.3-1014.8)+(-2.262921+(-0.177633--0.517548))+0-0-0</f>
        <v>3768.6769940000004</v>
      </c>
      <c r="I296" s="3">
        <f>4404.8+(361.4-1072.1)+(0+(0-0))+0-0-0</f>
        <v>3694.1000000000004</v>
      </c>
      <c r="J296" s="3">
        <f>4415.1+(377.8-1106.3)+(2.251701+(0.192678-0.564213))+0-0-0</f>
        <v>3688.4801660000003</v>
      </c>
      <c r="K296" s="3">
        <f>4508.2+(370.1-1142.4)+(4.598364+(0.377502-1.165248))+0-0-0</f>
        <v>3739.7106179999996</v>
      </c>
      <c r="L296" s="3">
        <f>4744.8+(522.7-1290.3)+(-2.419848+(-0.266577--0.658053))+0-0-0</f>
        <v>3975.1716280000001</v>
      </c>
      <c r="M296" s="3">
        <f>4900.1+(687.9-1182.2)+(0+(0-0))+0-0-0</f>
        <v>4405.8</v>
      </c>
      <c r="N296" s="3">
        <f>4911.7+(951.4-901.3)+(0+(0-0))+0-0-0</f>
        <v>4961.8</v>
      </c>
      <c r="O296" s="3">
        <f>4889.4+(974.9-510)+(0+(0-0))+0-0-0</f>
        <v>5354.2999999999993</v>
      </c>
      <c r="P296" s="3">
        <f>4846.1+(1088-437.7)+(-4.943022+(-1.10976--0.446454))+0-0-0</f>
        <v>5490.7936720000007</v>
      </c>
      <c r="Q296" s="3">
        <f>4848.5+(1233.5-403.7)+(-4.94547+(-1.25817--0.411774))+0-0-0</f>
        <v>5672.5081340000006</v>
      </c>
      <c r="R296" s="3">
        <f>4821+(1218.4-459.2)+(-12.29355+(-3.10692--1.17096))+0-0-0</f>
        <v>5565.9704899999997</v>
      </c>
      <c r="S296" s="3">
        <f>4838.6+(1084.9-500.6)+(2.467686+(0.553299-0.255306))+0-0-0</f>
        <v>5425.6656790000006</v>
      </c>
      <c r="T296" s="3">
        <f>4826.3+(1124.3-459.6)+(2.461413+(0.573393-0.234396))+0-0-0</f>
        <v>5493.8004099999998</v>
      </c>
      <c r="U296" s="3">
        <f>4852.8+(1002.4-450.9)+(0+(0-0))+0-0-0</f>
        <v>5404.3</v>
      </c>
      <c r="V296" s="3">
        <f>4892.1+(885.5-370)+(-7.484913+(-1.354815--0.5661))+0-0-0</f>
        <v>5399.3263720000004</v>
      </c>
      <c r="W296" s="3">
        <f>5087.4+(1094.7-382.1)+(-5.189148+(-1.116594--0.389742))+0-0-0</f>
        <v>5794.0839999999998</v>
      </c>
      <c r="X296" s="3">
        <f>5138.9+(995.2-292.9)+(-7.862517+(-1.522656--0.448137))+0-0-0</f>
        <v>5832.2629639999996</v>
      </c>
      <c r="Y296" s="3">
        <f>5013.7+(913.8-311.8)+(-12.784935+(-2.33019--0.79509))+0-0-0</f>
        <v>5601.3799650000001</v>
      </c>
      <c r="Z296" s="3">
        <f>4955.1+(967.7-457.9)+(-2.527101+(-0.493527--0.233529))+0-0-0</f>
        <v>5462.1129010000004</v>
      </c>
      <c r="AA296" s="3">
        <f>4904.7+(986-531.7)+(-10.005588+(-2.01144--1.084668))+0-0-0</f>
        <v>5348.0676400000002</v>
      </c>
      <c r="AB296" s="3">
        <f>4836+(847.8-562)+(-12.3318+(-2.16189--1.4331))+0-0-0</f>
        <v>5108.7394100000001</v>
      </c>
      <c r="AC296" s="3">
        <f>4634.3+(669-530.4)+(-16.544451+(-2.38833--1.893528))+0-0-0</f>
        <v>4755.8607470000006</v>
      </c>
      <c r="AD296">
        <v>5902.8</v>
      </c>
      <c r="AE296" s="3">
        <f>5142+(1179.8-419)+(0+(0-0))+0-0-0</f>
        <v>5902.8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4534.9+(424.8-766.4)+(-4.625598+(-0.433296--0.781728))+0-0-0</f>
        <v>4189.0228339999994</v>
      </c>
      <c r="G297" s="3">
        <f>4475.8+(422.7-1015.6)+(-9.130632+(-0.862308--2.071824))+0-0-0</f>
        <v>3874.9788840000001</v>
      </c>
      <c r="H297" s="3">
        <f>4380.5+(283.4-943)+(-2.234055+(-0.144534--0.48093))+0-0-0</f>
        <v>3719.0023409999999</v>
      </c>
      <c r="I297" s="3">
        <f>4336.7+(246.3-935.2)+(-6.635151+(-0.376839--1.430856))+0-0-0</f>
        <v>3642.2188659999997</v>
      </c>
      <c r="J297" s="3">
        <f>4302.7+(277.6-961.6)+(0+(0-0))+0-0-0</f>
        <v>3618.7</v>
      </c>
      <c r="K297" s="3">
        <f>4420.4+(334.8-1065)+(0+(0-0))+0-0-0</f>
        <v>3690.2</v>
      </c>
      <c r="L297" s="3">
        <f>4791.8+(581.8-1414.1)+(0+(0-0))+0-0-0</f>
        <v>3959.5</v>
      </c>
      <c r="M297" s="3">
        <f>4787.4+(786.4-1183.5)+(2.441574+(0.401064-0.603585))+0-0-0</f>
        <v>4392.5390529999995</v>
      </c>
      <c r="N297" s="3">
        <f>4870+(855.9-789.6)+(4.9674+(0.873018-0.805392))+0-0-0</f>
        <v>4941.3350259999997</v>
      </c>
      <c r="O297" s="3">
        <f>4864.7+(946.7-518.3)+(7.442991+(1.448451-0.792999))+0-0-0</f>
        <v>5301.1984430000002</v>
      </c>
      <c r="P297" s="3">
        <f>4886.7+(1052.6-400.2)+(4.984434+(1.073652-0.408204))+0-0-0</f>
        <v>5544.7498819999992</v>
      </c>
      <c r="Q297" s="3">
        <f>4857.8+(1192.7-373.5)+(-4.954956+(-1.216554--0.38097))+0-0-0</f>
        <v>5671.20946</v>
      </c>
      <c r="R297" s="3">
        <f>4852.6+(1144.2-408.3)+(-14.848956+(-3.501252--1.249398))+0-0-0</f>
        <v>5571.3991900000001</v>
      </c>
      <c r="S297" s="3">
        <f>4888.4+(1178-633.5)+(2.493084+(0.60078-0.323085))+0-0-0</f>
        <v>5435.670779</v>
      </c>
      <c r="T297" s="3">
        <f>4879.2+(1133.7-533.3)+(2.488392+(0.578187-0.271983))+0-0-0</f>
        <v>5482.3945960000001</v>
      </c>
      <c r="U297" s="3">
        <f>4801.5+(1146.8-544.3)+(2.448765+(0.584868-0.277593))+0-0-0</f>
        <v>5406.7560400000002</v>
      </c>
      <c r="V297" s="3">
        <f>4834.4+(1085-467)+(-2.465544+(-0.55335--0.23817))+0-0-0</f>
        <v>5449.6192759999994</v>
      </c>
      <c r="W297" s="3">
        <f>4977.6+(1344.4-475.1)+(-2.538576+(-0.685644--0.242301))+0-0-0</f>
        <v>5843.9180810000007</v>
      </c>
      <c r="X297" s="3">
        <f>5048+(1292.7-471.1)+(-5.14896+(-1.318554--0.480522))+0-0-0</f>
        <v>5863.6130080000003</v>
      </c>
      <c r="Y297" s="3">
        <f>5104.7+(1072.8-486.5)+(-2.603397+(-0.547128--0.248115))+0-0-0</f>
        <v>5688.0975900000003</v>
      </c>
      <c r="Z297" s="3">
        <f>5104.9+(973-575.7)+(-2.603499+(-0.49623--0.293607))+0-0-0</f>
        <v>5499.3938779999999</v>
      </c>
      <c r="AA297" s="3">
        <f>5025+(994.2-774.2)+(-10.251+(-2.028168--1.579368))+0-0-0</f>
        <v>5234.3001999999997</v>
      </c>
      <c r="AB297" s="3">
        <f>4978.1+(978.9-923.8)+(2.538831+(0.499239-0.471138))+0-0-0</f>
        <v>5035.7669320000005</v>
      </c>
      <c r="AC297" s="3">
        <f>4919.9+(931.4-1176)+(-12.545745+(-2.37507--2.9988))+0-0-0</f>
        <v>4663.3779849999992</v>
      </c>
      <c r="AD297">
        <v>5979.3</v>
      </c>
      <c r="AE297" s="3">
        <f>5006+(1524.2-550.9)+(0+(0-0))+0-0-0</f>
        <v>5979.3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4654.3+(750.2-1166.9)+(-4.747386+(-0.765204--1.190238))+0-0-0</f>
        <v>4233.2776480000002</v>
      </c>
      <c r="G298" s="3">
        <f>4307.6+(750.8-1068.6)+(2.196876+(0.382908-0.544986))+0-0-0</f>
        <v>3991.8347980000003</v>
      </c>
      <c r="H298" s="3">
        <f>4181.7+(693.2-1035.8)+(0+(0-0))+0-0-0</f>
        <v>3839.1</v>
      </c>
      <c r="I298" s="3">
        <f>4177.8+(542-968.4)+(2.130678+(0.27642-0.493884))+0-0-0</f>
        <v>3753.3132140000002</v>
      </c>
      <c r="J298" s="3">
        <f>4065.9+(439.6-773.9)+(-10.368045+(-1.12098--1.973445))+0-0-0</f>
        <v>3722.0844200000001</v>
      </c>
      <c r="K298" s="3">
        <f>4034+(440.3-784)+(4.11468+(0.449106-0.79968))+0-0-0</f>
        <v>3694.0641060000003</v>
      </c>
      <c r="L298" s="3">
        <f>4341.8+(632-1143.5)+(0+(0-0))+0-0-0</f>
        <v>3830.3</v>
      </c>
      <c r="M298" s="3">
        <f>4526+(756.6-1106.4)+(-2.30826+(-0.385866--0.564264))+0-0-0</f>
        <v>4174.070138</v>
      </c>
      <c r="N298" s="3">
        <f>4643.9+(907.5-901.8)+(4.736778+(0.92565-0.919836))+0-0-0</f>
        <v>4654.3425919999991</v>
      </c>
      <c r="O298" s="3">
        <f>4589.4+(1086.1-561.7)+(7.021782+(1.661733-0.859401))+0-0-0</f>
        <v>5121.6241139999993</v>
      </c>
      <c r="P298" s="3">
        <f>4598.8+(1303.7-546.8)+(0+(0-0))+0-0-0</f>
        <v>5355.7000000000007</v>
      </c>
      <c r="Q298" s="3">
        <f>4758.6+(1307.3-592)+(-4.853772+(-1.333446--0.60384))+0-0-0</f>
        <v>5468.3166220000003</v>
      </c>
      <c r="R298" s="3">
        <f>4834.1+(1181.3-682.1)+(-7.396173+(-1.807389--1.043613))+0-0-0</f>
        <v>5325.1400510000003</v>
      </c>
      <c r="S298" s="3">
        <f>4811.2+(1017-746)+(-12.26856+(-2.59335--1.9023))+0-0-0</f>
        <v>5069.2403899999999</v>
      </c>
      <c r="T298" s="3">
        <f>4810+(1013.2-846.6)+(-14.7186+(-3.100392--2.590596))+0-0-0</f>
        <v>4961.3716039999999</v>
      </c>
      <c r="U298" s="3">
        <f>4769.2+(960.4-848.8)+(-9.729168+(-1.959216--1.731552))+0-0-0</f>
        <v>4870.8431680000003</v>
      </c>
      <c r="V298" s="3">
        <f>4818.3+(812.5-799.2)+(-2.457333+(-0.414375--0.407592))+0-0-0</f>
        <v>4829.1358840000003</v>
      </c>
      <c r="W298" s="3">
        <f>5037.5+(792.5-585)+(-5.13825+(-0.80835--0.5967))+0-0-0</f>
        <v>5239.6500999999998</v>
      </c>
      <c r="X298" s="3">
        <f>5037.9+(941.7-583.9)+(-7.707987+(-1.440801--0.893367))+0-0-0</f>
        <v>5387.444579</v>
      </c>
      <c r="Y298" s="3">
        <f>4971.4+(864.3-541.9)+(0+(0-0))+0-0-0</f>
        <v>5293.7999999999993</v>
      </c>
      <c r="Z298" s="3">
        <f>4854+(835.3-503.7)+(-2.47554+(-0.426003--0.256887))+0-0-0</f>
        <v>5182.955344</v>
      </c>
      <c r="AA298" s="3">
        <f>4858.9+(652.4-524.3)+(-4.956078+(-0.665448--0.534786))+0-0-0</f>
        <v>4981.9132600000003</v>
      </c>
      <c r="AB298" s="3">
        <f>4885.9+(561-653.3)+(-7.475427+(-0.85833--0.999549))+0-0-0</f>
        <v>4786.2657919999992</v>
      </c>
      <c r="AC298" s="3">
        <f>4718.2+(498.1-684.5)+(-12.03141+(-1.270155--1.745475))+0-0-0</f>
        <v>4520.2439100000001</v>
      </c>
      <c r="AD298">
        <v>5402.1</v>
      </c>
      <c r="AE298" s="3">
        <f>5057+(910-564.9)+(0+(0-0))+0-0-0</f>
        <v>5402.1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4580.2+(516.2-920.4)+(-2.335902+(-0.263262--0.469404))+0-0-0</f>
        <v>4173.8702400000002</v>
      </c>
      <c r="G299" s="3">
        <f>4567.5+(557.4-1282.1)+(-2.329425+(-0.284274--0.653871))+0-0-0</f>
        <v>3840.8401720000002</v>
      </c>
      <c r="H299" s="3">
        <f>4407.3+(546.8-1318.3)+(-2.247723+(-0.278868--0.672333))+0-0-0</f>
        <v>3633.9457420000003</v>
      </c>
      <c r="I299" s="3">
        <f>4385.3+(420.4-1298.2)+(4.473006+(0.428808-1.324164))+0-0-0</f>
        <v>3511.0776500000002</v>
      </c>
      <c r="J299" s="3">
        <f>4423.7+(344.5-1298.6)+(-4.512174+(-0.35139--1.324572))+0-0-0</f>
        <v>3466.0610080000001</v>
      </c>
      <c r="K299" s="3">
        <f>4445.8+(314.1-1307.6)+(-2.267358+(-0.160191--0.666876))+0-0-0</f>
        <v>3450.539327</v>
      </c>
      <c r="L299" s="3">
        <f>4498.4+(337-1357.9)+(2.294184+(0.17187-0.692529))+0-0-0</f>
        <v>3479.2735249999996</v>
      </c>
      <c r="M299" s="3">
        <f>4330.3+(366.4-1257.9)+(-4.416906+(-0.373728--1.283058))+0-0-0</f>
        <v>3435.2924240000002</v>
      </c>
      <c r="N299" s="3">
        <f>4371.8+(608-1396.4)+(0+(0-0))+0-0-0</f>
        <v>3583.4</v>
      </c>
      <c r="O299" s="3">
        <f>4470.6+(641-1233.7)+(-4.560012+(-0.65382--1.258374))+0-0-0</f>
        <v>3873.9445420000006</v>
      </c>
      <c r="P299" s="3">
        <f>4467.7+(692.4-983.2)+(-2.278527+(-0.353124--0.501432))+0-0-0</f>
        <v>4174.769781</v>
      </c>
      <c r="Q299" s="3">
        <f>4484.4+(666.1-833.4)+(-4.574088+(-0.679422--0.850068))+0-0-0</f>
        <v>4312.6965579999996</v>
      </c>
      <c r="R299" s="3">
        <f>4493+(764.1-893.1)+(2.29143+(0.389691-0.455481))+0-0-0</f>
        <v>4366.2256399999997</v>
      </c>
      <c r="S299" s="3">
        <f>4431.2+(690.7-854.5)+(-9.039648+(-1.409028--1.74318))+0-0-0</f>
        <v>4258.6945040000001</v>
      </c>
      <c r="T299" s="3">
        <f>4432.3+(691.9-921.1)+(-2.260473+(-0.352869--0.469761))+0-0-0</f>
        <v>4200.9564190000001</v>
      </c>
      <c r="U299" s="3">
        <f>4437.7+(628.4-936.8)+(0+(0-0))+0-0-0</f>
        <v>4129.3</v>
      </c>
      <c r="V299" s="3">
        <f>4397.9+(573.9-838.5)+(-6.728787+(-0.878067--1.282905))+0-0-0</f>
        <v>4126.9760509999996</v>
      </c>
      <c r="W299" s="3">
        <f>4817.1+(480.2-691.5)+(-9.826884+(-0.979608--1.41066))+0-0-0</f>
        <v>4596.404168</v>
      </c>
      <c r="X299" s="3">
        <f>4972.9+(498-665.3)+(-12.680895+(-1.2699--1.696515))+0-0-0</f>
        <v>4793.3457199999993</v>
      </c>
      <c r="Y299" s="3">
        <f>4879.4+(404.4-554.5)+(-2.488494+(-0.206244--0.282795))+0-0-0</f>
        <v>4726.8880569999992</v>
      </c>
      <c r="Z299" s="3">
        <f>4871.8+(397.9-566.1)+(-9.938472+(-0.811716--1.154844))+0-0-0</f>
        <v>4694.0046560000001</v>
      </c>
      <c r="AA299" s="3">
        <f>4824.2+(360.3-628.7)+(-7.381026+(-0.551259--0.961911))+0-0-0</f>
        <v>4548.8296259999997</v>
      </c>
      <c r="AB299" s="3">
        <f>4822.9+(362.6-746.6)+(-4.919358+(-0.369852--0.761532))+0-0-0</f>
        <v>4434.3723219999993</v>
      </c>
      <c r="AC299" s="3">
        <f>4784.1+(274.5-834.2)+(-7.319673+(-0.419985--1.276326))+0-0-0</f>
        <v>4217.9366680000003</v>
      </c>
      <c r="AD299">
        <v>4773.8</v>
      </c>
      <c r="AE299" s="3">
        <f>4979+(559.5-764.7)+(0+(0-0))+0-0-0</f>
        <v>4773.8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4658.2+(374.4-1101.5)+(-2.375682+(-0.190944--0.561765))+0-0-0</f>
        <v>3929.095139</v>
      </c>
      <c r="G300" s="3">
        <f>4530.5+(399-1344.2)+(-2.310555+(-0.20349--0.685542))+0-0-0</f>
        <v>3583.471497</v>
      </c>
      <c r="H300" s="3">
        <f>4292.4+(429.9-1301.5)+(-4.378248+(-0.438498--1.32753))+0-0-0</f>
        <v>3417.3107839999998</v>
      </c>
      <c r="I300" s="3">
        <f>4217.9+(479.9-1364.1)+(0+(0-0))+0-0-0</f>
        <v>3333.7</v>
      </c>
      <c r="J300" s="3">
        <f>4161.8+(414.8-1269.1)+(-6.367554+(-0.634644--1.941723))+0-0-0</f>
        <v>3302.4395249999998</v>
      </c>
      <c r="K300" s="3">
        <f>4154.3+(391.7-1230.7)+(0+(0-0))+0-0-0</f>
        <v>3315.3</v>
      </c>
      <c r="L300" s="3">
        <f>4188.8+(396.2-1244.3)+(4.272576+(0.404124-1.269186))+0-0-0</f>
        <v>3344.1075140000003</v>
      </c>
      <c r="M300" s="3">
        <f>4190+(429-1371.6)+(-2.1369+(-0.21879--0.699516))+0-0-0</f>
        <v>3245.7438259999999</v>
      </c>
      <c r="N300" s="3">
        <f>4308+(401.9-1335.2)+(6.59124+(0.614907-2.042856))+0-0-0</f>
        <v>3379.8632909999997</v>
      </c>
      <c r="O300" s="3">
        <f>4414.6+(287.1-1086.3)+(0+(0-0))+0-0-0</f>
        <v>3615.4000000000005</v>
      </c>
      <c r="P300" s="3">
        <f>4423.4+(356.5-917.8)+(-2.255934+(-0.181815--0.468078))+0-0-0</f>
        <v>3860.1303289999996</v>
      </c>
      <c r="Q300" s="3">
        <f>4377.9+(446.2-838.4)+(-2.232729+(-0.227562--0.427584))+0-0-0</f>
        <v>3983.667293</v>
      </c>
      <c r="R300" s="3">
        <f>4266.6+(468-741.9)+(-8.703864+(-0.95472--1.513476))+0-0-0</f>
        <v>3984.5548920000001</v>
      </c>
      <c r="S300" s="3">
        <f>4272.1+(453-785.7)+(2.178771+(0.23103-0.400707))+0-0-0</f>
        <v>3941.4090940000006</v>
      </c>
      <c r="T300" s="3">
        <f>4305+(366.8-748.3)+(-6.58665+(-0.561204--1.144899))+0-0-0</f>
        <v>3917.4970450000001</v>
      </c>
      <c r="U300" s="3">
        <f>4385.2+(192.7-674)+(-2.236452+(-0.098277--0.34374))+0-0-0</f>
        <v>3901.9090109999997</v>
      </c>
      <c r="V300" s="3">
        <f>4413.9+(209.6-623.6)+(-4.502178+(-0.213792--0.636072))+0-0-0</f>
        <v>3995.8201019999997</v>
      </c>
      <c r="W300" s="3">
        <f>4730.1+(324.1-538)+(4.824702+(0.330582-0.54876))+0-0-0</f>
        <v>4520.8065240000005</v>
      </c>
      <c r="X300" s="3">
        <f>4944.6+(393.2-498.1)+(-10.086984+(-0.802128--1.016124))+0-0-0</f>
        <v>4829.8270120000007</v>
      </c>
      <c r="Y300" s="3">
        <f>4840.8+(487.9-478)+(-9.875232+(-0.995316--0.97512))+0-0-0</f>
        <v>4840.804572</v>
      </c>
      <c r="Z300" s="3">
        <f>4786.3+(509-477.6)+(0+(0-0))+0-0-0</f>
        <v>4817.7</v>
      </c>
      <c r="AA300" s="3">
        <f>4775.3+(419.2-457.4)+(-2.435403+(-0.213792--0.233274))+0-0-0</f>
        <v>4734.6840790000006</v>
      </c>
      <c r="AB300" s="3">
        <f>4767.6+(398.3-556.4)+(-2.431476+(-0.203133--0.283764))+0-0-0</f>
        <v>4607.1491550000001</v>
      </c>
      <c r="AC300" s="3">
        <f>4645.9+(286.7-648.2)+(-9.477636+(-0.584868--1.322328))+0-0-0</f>
        <v>4275.6598239999994</v>
      </c>
      <c r="AD300">
        <v>4785.3</v>
      </c>
      <c r="AE300" s="3">
        <f>4912+(402.6-529.3)+(0+(0-0))+0-0-0</f>
        <v>4785.3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4326.8+(368.4-861.7)+(-8.826672+(-0.751536--1.757868))+0-0-0</f>
        <v>3825.6796599999998</v>
      </c>
      <c r="G301" s="3">
        <f>4193.2+(350.7-982.7)+(-6.415596+(-0.536571--1.503531))+0-0-0</f>
        <v>3555.7513639999997</v>
      </c>
      <c r="H301" s="3">
        <f>4127+(400.9-1101.5)+(-2.10477+(-0.204459--0.561765))+0-0-0</f>
        <v>3424.6525360000001</v>
      </c>
      <c r="I301" s="3">
        <f>4097.5+(388.8-1112.3)+(-8.3589+(-0.793152--2.269092))+0-0-0</f>
        <v>3367.1170400000001</v>
      </c>
      <c r="J301" s="3">
        <f>4091+(380.2-1097.5)+(-6.25923+(-0.581706--1.679175))+0-0-0</f>
        <v>3368.538239</v>
      </c>
      <c r="K301" s="3">
        <f>4119.8+(366.1-1006.9)+(2.101098+(0.186711-0.513519))+0-0-0</f>
        <v>3480.7742899999998</v>
      </c>
      <c r="L301" s="3">
        <f>4318.2+(282.5-825.2)+(-4.404564+(-0.28815--0.841704))+0-0-0</f>
        <v>3771.6489900000001</v>
      </c>
      <c r="M301" s="3">
        <f>4534.7+(465.7-722.3)+(2.312697+(0.237507-0.368373))+0-0-0</f>
        <v>4280.2818309999993</v>
      </c>
      <c r="N301" s="3">
        <f>4645.2+(697.5-480.7)+(0+(0-0))+0-0-0</f>
        <v>4862</v>
      </c>
      <c r="O301" s="3">
        <f>4730.4+(939-352.5)+(2.412504+(0.47889-0.179775))+0-0-0</f>
        <v>5319.6116189999993</v>
      </c>
      <c r="P301" s="3">
        <f>4742.8+(1198-378.2)+(0+(0-0))+0-0-0</f>
        <v>5562.6</v>
      </c>
      <c r="Q301" s="3">
        <f>4839.8+(1306.8-385.1)+(-9.873192+(-2.665872--0.785604))+0-0-0</f>
        <v>5749.7465400000001</v>
      </c>
      <c r="R301" s="3">
        <f>4811.5+(1174.3-352.2)+(-9.81546+(-2.395572--0.718488))+0-0-0</f>
        <v>5622.1074560000006</v>
      </c>
      <c r="S301" s="3">
        <f>4719.5+(1129.8-378.9)+(-9.62778+(-2.304792--0.772956))+0-0-0</f>
        <v>5459.2403839999997</v>
      </c>
      <c r="T301" s="3">
        <f>4703.9+(1192.9-382)+(2.398989+(0.608379-0.19482))+0-0-0</f>
        <v>5517.6125479999992</v>
      </c>
      <c r="U301" s="3">
        <f>4696.4+(1160.5-389.8)+(-2.395164+(-0.591855--0.198798))+0-0-0</f>
        <v>5464.3117789999997</v>
      </c>
      <c r="V301" s="3">
        <f>4816.4+(992.4-317.7)+(-2.456364+(-0.506124--0.162027))+0-0-0</f>
        <v>5488.2995389999996</v>
      </c>
      <c r="W301" s="3">
        <f>5170.1+(1060.2-400.1)+(7.910253+(1.622106-0.612153))+0-0-0</f>
        <v>5839.1202060000005</v>
      </c>
      <c r="X301" s="3">
        <f>5297.9+(1147.8-487.4)+(0+(0-0))+0-0-0</f>
        <v>5958.2999999999993</v>
      </c>
      <c r="Y301" s="3">
        <f>5273.6+(939.8-445.1)+(-8.068608+(-1.437894--0.681003))+0-0-0</f>
        <v>5759.4745010000006</v>
      </c>
      <c r="Z301" s="3">
        <f>5365.2+(736.3-503.6)+(2.736252+(0.375513-0.256836))+0-0-0</f>
        <v>5600.7549289999997</v>
      </c>
      <c r="AA301" s="3">
        <f>5314.2+(640.8-635.3)+(-10.840968+(-1.307232--1.296012))+0-0-0</f>
        <v>5308.847812</v>
      </c>
      <c r="AB301" s="3">
        <f>5060.2+(547.1-544.7)+(-2.580702+(-0.279021--0.277797))+0-0-0</f>
        <v>5060.0180739999996</v>
      </c>
      <c r="AC301" s="3">
        <f>4757.2+(462.9-525.2)+(-12.13086+(-1.180395--1.33926))+0-0-0</f>
        <v>4682.9280049999998</v>
      </c>
      <c r="AD301">
        <v>5965</v>
      </c>
      <c r="AE301" s="3">
        <f>5219+(1188.8-442.8)+(0+(0-0))+0-0-0</f>
        <v>5965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4591.6+(314.1-674.6)+(0+(0-0))+0-0-0</f>
        <v>4231.1000000000004</v>
      </c>
      <c r="G302" s="3">
        <f>4518.9+(325.3-897.1)+(-4.609278+(-0.331806--0.915042))+0-0-0</f>
        <v>3943.0739579999995</v>
      </c>
      <c r="H302" s="3">
        <f>4260.2+(340.5-809)+(-2.172702+(-0.173655--0.41259))+0-0-0</f>
        <v>3789.7662329999998</v>
      </c>
      <c r="I302" s="3">
        <f>4266.4+(407.7-974.9)+(6.527592+(0.623781-1.491597))+0-0-0</f>
        <v>3704.8597759999998</v>
      </c>
      <c r="J302" s="3">
        <f>4279.4+(421.5-1017)+(-2.182494+(-0.214965--0.51867))+0-0-0</f>
        <v>3682.0212109999998</v>
      </c>
      <c r="K302" s="3">
        <f>4434.2+(460-1130.6)+(0+(0-0))+0-0-0</f>
        <v>3763.6</v>
      </c>
      <c r="L302" s="3">
        <f>4735.1+(621.7-1332.3)+(2.414901+(0.317067-0.679473))+0-0-0</f>
        <v>4026.5524950000004</v>
      </c>
      <c r="M302" s="3">
        <f>4882.5+(664.4-1106.1)+(-2.490075+(-0.338844--0.564111))+0-0-0</f>
        <v>4438.5351920000003</v>
      </c>
      <c r="N302" s="3">
        <f>5044.3+(568.7-663.5)+(0+(0-0))+0-0-0</f>
        <v>4949.5</v>
      </c>
      <c r="O302" s="3">
        <f>4986+(875.3-466.9)+(-2.54286+(-0.446403--0.238119))+0-0-0</f>
        <v>5391.6488559999998</v>
      </c>
      <c r="P302" s="3">
        <f>4914.2+(1099.7-440.6)+(-7.518726+(-1.682541--0.674118))+0-0-0</f>
        <v>5564.7728510000006</v>
      </c>
      <c r="Q302" s="3">
        <f>4802.1+(1301.3-428.5)+(-9.796284+(-2.654652--0.87414))+0-0-0</f>
        <v>5663.3232040000003</v>
      </c>
      <c r="R302" s="3">
        <f>4828.7+(1171.2-399.7)+(-4.925274+(-1.194624--0.407694))+0-0-0</f>
        <v>5594.4877959999994</v>
      </c>
      <c r="S302" s="3">
        <f>4908.9+(941.9-394.8)+(0+(0-0))+0-0-0</f>
        <v>5456</v>
      </c>
      <c r="T302" s="3">
        <f>4954+(958.7-375.1)+(-2.52654+(-0.488937--0.191301))+0-0-0</f>
        <v>5534.7758240000003</v>
      </c>
      <c r="U302" s="3">
        <f>4995+(907.1-406.9)+(2.54745+(0.462621-0.207519))+0-0-0</f>
        <v>5498.0025519999999</v>
      </c>
      <c r="V302" s="3">
        <f>5018.6+(861.3-383.5)+(2.559486+(0.439263-0.195585))+0-0-0</f>
        <v>5499.2031640000005</v>
      </c>
      <c r="W302" s="3">
        <f>5152.5+(1100-455.9)+(2.627775+(0.561-0.232509))+0-0-0</f>
        <v>5799.5562660000005</v>
      </c>
      <c r="X302" s="3">
        <f>5185.3+(1268.5-513.1)+(-10.578012+(-2.58774--1.046724))+0-0-0</f>
        <v>5928.5809719999997</v>
      </c>
      <c r="Y302" s="3">
        <f>5130.1+(1126.9-472.2)+(-2.616351+(-0.574719--0.240822))+0-0-0</f>
        <v>5781.8497520000001</v>
      </c>
      <c r="Z302" s="3">
        <f>5114+(1004.2-457.7)+(-7.82442+(-1.536426--0.700281))+0-0-0</f>
        <v>5651.8394349999999</v>
      </c>
      <c r="AA302" s="3">
        <f>5093.4+(805.9-495.1)+(-7.792902+(-1.233027--0.757503))+0-0-0</f>
        <v>5395.9315740000002</v>
      </c>
      <c r="AB302" s="3">
        <f>5089.2+(693.8-626.7)+(-7.786476+(-1.061514--0.958851))+0-0-0</f>
        <v>5148.4108609999994</v>
      </c>
      <c r="AC302" s="3">
        <f>5046.8+(562.6-805.6)+(-7.721604+(-0.860778--1.232568))+0-0-0</f>
        <v>4796.450186</v>
      </c>
      <c r="AD302">
        <v>5937.4</v>
      </c>
      <c r="AE302" s="3">
        <f>5188+(1250-500.6)+(0+(0-0))+0-0-0</f>
        <v>5937.4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4830.3+(369.6-919.6)+(-7.390359+(-0.565488--1.406988))+0-0-0</f>
        <v>4273.7511409999997</v>
      </c>
      <c r="G303" s="3">
        <f>4662.5+(391.8-1106.2)+(-4.75575+(-0.399636--1.128324))+0-0-0</f>
        <v>3944.0729379999998</v>
      </c>
      <c r="H303" s="3">
        <f>4518+(415.7-1150.2)+(2.30418+(0.212007-0.586602))+0-0-0</f>
        <v>3785.4295849999999</v>
      </c>
      <c r="I303" s="3">
        <f>4382.4+(388.2-1064.5)+(-6.705072+(-0.593946--1.628685))+0-0-0</f>
        <v>3700.4296669999994</v>
      </c>
      <c r="J303" s="3">
        <f>4337.4+(379.6-1028.5)+(4.424148+(0.387192-1.04907))+0-0-0</f>
        <v>3692.2622699999997</v>
      </c>
      <c r="K303" s="3">
        <f>4582.2+(427.3-1247.5)+(7.010766+(0.653769-1.908675))+0-0-0</f>
        <v>3767.7558600000002</v>
      </c>
      <c r="L303" s="3">
        <f>4843.5+(434.8-1251.6)+(4.94037+(0.443496-1.276632))+0-0-0</f>
        <v>4030.8072339999999</v>
      </c>
      <c r="M303" s="3">
        <f>4841.5+(595.5-1092.5)+(0+(0-0))+0-0-0</f>
        <v>4344.5</v>
      </c>
      <c r="N303" s="3">
        <f>4948.7+(711.4-663.4)+(0+(0-0))+0-0-0</f>
        <v>4996.7</v>
      </c>
      <c r="O303" s="3">
        <f>4932.5+(944-519.7)+(-2.515575+(-0.48144--0.265047))+0-0-0</f>
        <v>5354.0680320000001</v>
      </c>
      <c r="P303" s="3">
        <f>4890+(1152.4-466.6)+(-4.9878+(-1.175448--0.475932))+0-0-0</f>
        <v>5570.1126840000006</v>
      </c>
      <c r="Q303" s="3">
        <f>4866.7+(1327.8-492.7)+(-2.482017+(-0.677178--0.251277))+0-0-0</f>
        <v>5698.8920819999994</v>
      </c>
      <c r="R303" s="3">
        <f>4853.5+(1326.9-562.3)+(-7.425855+(-2.030157--0.860319))+0-0-0</f>
        <v>5609.5043070000002</v>
      </c>
      <c r="S303" s="3">
        <f>4827.3+(1146.1-499.9)+(-2.461923+(-0.584511--0.254949))+5.7-0-0</f>
        <v>5476.4085150000001</v>
      </c>
      <c r="T303" s="3">
        <f>4851.1+(1100.6-436.9)+(-2.474061+(-0.561306--0.222819))+2.8-0-0</f>
        <v>5514.7874520000005</v>
      </c>
      <c r="U303" s="3">
        <f>4880.7+(1019-415.3)+(-4.978314+(-1.03938--0.423606))+0-0-0</f>
        <v>5478.8059119999998</v>
      </c>
      <c r="V303" s="3">
        <f>4991.1+(895.9-414.6)+(5.090922+(0.913818-0.422892))+0-0-0</f>
        <v>5477.9818480000004</v>
      </c>
      <c r="W303" s="3">
        <f>5098.4+(1158.7-442.1)+(2.600184+(0.590937-0.225471))+0-0-0</f>
        <v>5817.9656500000001</v>
      </c>
      <c r="X303" s="3">
        <f>5217.4+(1254.5-524.6)+(-5.321748+(-1.27959--0.535092))+0-0-0</f>
        <v>5941.233753999999</v>
      </c>
      <c r="Y303" s="3">
        <f>5126.5+(1121-475.4)+(-10.45806+(-2.28684--0.969816))+0-0-0</f>
        <v>5760.3249160000005</v>
      </c>
      <c r="Z303" s="3">
        <f>5121.6+(907.6-446)+(-7.836048+(-1.388628--0.68238))+0-0-0</f>
        <v>5574.6577040000011</v>
      </c>
      <c r="AA303" s="3">
        <f>5064.4+(709.9-494.1)+(-5.165688+(-0.724098--0.503982))+9.3-0-0</f>
        <v>5284.1141960000004</v>
      </c>
      <c r="AB303" s="3">
        <f>4999.8+(573.8-547.7)+(-7.649694+(-0.877914--0.837981))+0-0-0</f>
        <v>5018.2103729999999</v>
      </c>
      <c r="AC303" s="3">
        <f>4657.7+(487.3-447.7)+(-9.501708+(-0.994092--0.913308))+0-0-0</f>
        <v>4687.7175080000006</v>
      </c>
      <c r="AD303">
        <v>5876.5</v>
      </c>
      <c r="AE303" s="3">
        <f>5214+(1178.9-516.4)+(0+(0-0))+0-0-0</f>
        <v>5876.5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4296.3+(327.4-745)+(-6.573339+(-0.500922--1.13985))+0-0-0</f>
        <v>3872.7655890000001</v>
      </c>
      <c r="G304" s="3">
        <f>4166.5+(307.3-931.2)+(-2.124915+(-0.156723--0.474912))+0-0-0</f>
        <v>3540.7932740000001</v>
      </c>
      <c r="H304" s="3">
        <f>3950.7+(399.1-932.4)+(4.029714+(0.407082-0.951048))+0-0-0</f>
        <v>3420.8857479999997</v>
      </c>
      <c r="I304" s="3">
        <f>3885+(336.1-828.6)+(3.9627+(0.342822-0.845172))+0-0-0</f>
        <v>3395.9603499999998</v>
      </c>
      <c r="J304" s="3">
        <f>3862.2+(307.7-771.1)+(-3.939444+(-0.313854--0.786522))+0-0-0</f>
        <v>3395.3332239999995</v>
      </c>
      <c r="K304" s="3">
        <f>3871+(254.6-653.4)+(-1.97421+(-0.129846--0.333234))+0-0-0</f>
        <v>3470.4291779999999</v>
      </c>
      <c r="L304" s="3">
        <f>4381.4+(207.5-626.8)+(-6.703542+(-0.317475--0.959004))+0-0-0</f>
        <v>3956.0379869999992</v>
      </c>
      <c r="M304" s="3">
        <f>4761.2+(374.6-786)+(-7.284636+(-0.573138--1.20258))+0-0-0</f>
        <v>4343.1448060000002</v>
      </c>
      <c r="N304" s="3">
        <f>4953.8+(574.7-676.5)+(2.526438+(0.293097-0.345015))+1.7-0-0</f>
        <v>4856.1745199999996</v>
      </c>
      <c r="O304" s="3">
        <f>5045+(762.5-579.3)+(-5.1459+(-0.77775--0.590886))+0-0-0</f>
        <v>5222.867236</v>
      </c>
      <c r="P304" s="3">
        <f>5056.2+(904.2-533.3)+(2.578662+(0.461142-0.271983))+0-0-0</f>
        <v>5429.8678210000007</v>
      </c>
      <c r="Q304" s="3">
        <f>5065.8+(1012.8-536.2)+(-5.167116+(-1.033056--0.546924))+0-0-0</f>
        <v>5536.746752</v>
      </c>
      <c r="R304" s="3">
        <f>5008.7+(943.6-502.9)+(-2.554437+(-0.481236--0.256479))+0-0-0</f>
        <v>5446.6208059999999</v>
      </c>
      <c r="S304" s="3">
        <f>4984.8+(869.9-558.6)+(-2.542248+(-0.443649--0.284886))+0-0-0</f>
        <v>5293.3989890000003</v>
      </c>
      <c r="T304" s="3">
        <f>4981.6+(988.1-484.9)+(-2.540616+(-0.503931--0.247299))+0-0-0</f>
        <v>5482.0027520000003</v>
      </c>
      <c r="U304" s="3">
        <f>5000.1+(939.3-476.6)+(0+(0-0))+0-0-0</f>
        <v>5462.8</v>
      </c>
      <c r="V304" s="3">
        <f>5074.9+(907.3-411.3)+(0+(0-0))+0-0-0</f>
        <v>5570.9</v>
      </c>
      <c r="W304" s="3">
        <f>5219.9+(964-346.3)+(2.662149+(0.49164-0.176613))+0-0-0</f>
        <v>5840.5771759999998</v>
      </c>
      <c r="X304" s="3">
        <f>5360.5+(945.8-403.1)+(-10.93542+(-1.929432--0.822324))+0-0-0</f>
        <v>5891.1574719999999</v>
      </c>
      <c r="Y304" s="3">
        <f>5383.8+(767.8-425.5)+(-10.982952+(-1.566312--0.86802))+0-0-0</f>
        <v>5714.418756</v>
      </c>
      <c r="Z304" s="3">
        <f>5251.1+(662.7-366.8)+(0+(0-0))+0-0-0</f>
        <v>5547</v>
      </c>
      <c r="AA304" s="3">
        <f>5124.6+(509.5-360.1)+(-15.681276+(-1.55907--1.101906))+0-0-0</f>
        <v>5257.8615600000003</v>
      </c>
      <c r="AB304" s="3">
        <f>5066.9+(480.3-485.3)+(-7.752357+(-0.734859--0.742509))+0-0-0</f>
        <v>5054.1552929999998</v>
      </c>
      <c r="AC304" s="3">
        <f>4879.2+(373.8-534.6)+(-19.907136+(-1.525104--2.181168))+0-0-0</f>
        <v>4699.1489279999996</v>
      </c>
      <c r="AD304">
        <v>5906</v>
      </c>
      <c r="AE304" s="3">
        <f>5328+(980.1-402.1)+(0+(0-0))+0-0-0</f>
        <v>5906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4888+(324.2-929.8)+(-9.97152+(-0.661368--1.896792))+0-0-0</f>
        <v>4273.663904</v>
      </c>
      <c r="G305" s="3">
        <f>4765.3+(211.8-1017.7)+(-9.721212+(-0.432072--2.076108))+0-0-0</f>
        <v>3951.3228240000003</v>
      </c>
      <c r="H305" s="3">
        <f>4575.3+(253.2-1068.5)+(-14.000418+(-0.774792--3.26961))+0-0-0</f>
        <v>3748.4944</v>
      </c>
      <c r="I305" s="3">
        <f>4447.6+(280.6-1070.4)+(0+(0-0))+0-0-0</f>
        <v>3657.8</v>
      </c>
      <c r="J305" s="3">
        <f>4517.2+(269.6-1160.6)+(4.607544+(0.274992-1.183812))+0-0-0</f>
        <v>3629.8987239999997</v>
      </c>
      <c r="K305" s="3">
        <f>4575.3+(215.1-1101.5)+(0+(0-0))+0-0-0</f>
        <v>3688.9</v>
      </c>
      <c r="L305" s="3">
        <f>4876.6+(194.7-1204.6)+(-2.487066+(-0.099297--0.614346))+0-0-0</f>
        <v>3864.7279830000007</v>
      </c>
      <c r="M305" s="3">
        <f>5020.6+(239.4-1086.4)+(0+(0-0))+0-0-0</f>
        <v>4173.6000000000004</v>
      </c>
      <c r="N305" s="3">
        <f>5016.7+(456.9-795.1)+(5.117034+(0.466038-0.811002))+0-0-0</f>
        <v>4683.27207</v>
      </c>
      <c r="O305" s="3">
        <f>5087.1+(491.9-463.8)+(5.188842+(0.501738-0.473076))+0-0-0</f>
        <v>5120.4175040000009</v>
      </c>
      <c r="P305" s="3">
        <f>5116.2+(716.7-428.7)+(7.827786+(1.096551-0.655911))+0-0-0</f>
        <v>5412.4684259999995</v>
      </c>
      <c r="Q305" s="3">
        <f>5119.9+(829.3-447.2)+(2.611149+(0.422943-0.228072))+0-0-0</f>
        <v>5504.80602</v>
      </c>
      <c r="R305" s="3">
        <f>4931.5+(854.2-403.2)+(-10.06026+(-1.742568--0.822528))+0-0-0</f>
        <v>5371.5196999999998</v>
      </c>
      <c r="S305" s="3">
        <f>4854.4+(661-347.9)+(-4.951488+(-0.67422--0.354858))+0-0-0</f>
        <v>5162.2291500000001</v>
      </c>
      <c r="T305" s="3">
        <f>4849.1+(626-367.3)+(0+(0-0))+0-0-0</f>
        <v>5107.8</v>
      </c>
      <c r="U305" s="3">
        <f>4837.1+(629.2-485.6)+(0+(0-0))+0-0-0</f>
        <v>4980.7000000000007</v>
      </c>
      <c r="V305" s="3">
        <f>4834.8+(582.7-457.3)+(-7.397244+(-0.891531--0.699669))+0-0-0</f>
        <v>4952.6108939999995</v>
      </c>
      <c r="W305" s="3">
        <f>5057+(567.5-333.1)+(7.73721+(0.868275-0.509643))+0-0-0</f>
        <v>5299.4958419999994</v>
      </c>
      <c r="X305" s="3">
        <f>5150+(647.2-326.3)+(-5.253+(-0.660144--0.332826))+0-0-0</f>
        <v>5465.3196819999994</v>
      </c>
      <c r="Y305" s="3">
        <f>5041.7+(586.6-266.2)+(-10.285068+(-1.196664--0.543048))+0-0-0</f>
        <v>5351.1613159999997</v>
      </c>
      <c r="Z305" s="3">
        <f>5042+(472.1-302)+(-12.8571+(-1.203855--0.7701))+0-0-0</f>
        <v>5198.8091450000002</v>
      </c>
      <c r="AA305" s="3">
        <f>5016+(539.3-591.7)+(-7.67448+(-0.825129--0.905301))+0-0-0</f>
        <v>4956.0056920000006</v>
      </c>
      <c r="AB305" s="3">
        <f>5122.8+(481.7-774.5)+(-2.612628+(-0.245667--0.394995))+0-0-0</f>
        <v>4827.5366999999997</v>
      </c>
      <c r="AC305" s="3">
        <f>5054.5+(453.5-922.3)+(-5.15559+(-0.46257--0.940746))+0-0-0</f>
        <v>4581.022586</v>
      </c>
      <c r="AD305">
        <v>5453.3</v>
      </c>
      <c r="AE305" s="3">
        <f>5153+(662-361.7)+(0+(0-0))+0-0-0</f>
        <v>5453.3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4760+(302.3-877.2)+(-4.8552+(-0.308346--0.894744))+0-0-0</f>
        <v>4180.8311980000008</v>
      </c>
      <c r="G306" s="3">
        <f>4459.1+(126-742.7)+(0+(0-0))+0-0-0</f>
        <v>3842.4000000000005</v>
      </c>
      <c r="H306" s="3">
        <f>4389.1+(134.7-902)+(2.238441+(0.068697-0.46002))+0-0-0</f>
        <v>3623.6471180000003</v>
      </c>
      <c r="I306" s="3">
        <f>4390.6+(147.4-1020.8)+(4.478412+(0.150348-1.041216))+0-0-0</f>
        <v>3520.7875440000003</v>
      </c>
      <c r="J306" s="3">
        <f>4350.6+(147.7-1018.8)+(0+(0-0))+0-0-0</f>
        <v>3479.5000000000005</v>
      </c>
      <c r="K306" s="3">
        <f>4361.6+(149.2-1021.3)+(0+(0-0))+0-0-0</f>
        <v>3489.5000000000005</v>
      </c>
      <c r="L306" s="3">
        <f>4533.4+(230.2-1139.1)+(0+(0-0))+0-0-0</f>
        <v>3624.5</v>
      </c>
      <c r="M306" s="3">
        <f>4425.9+(235.2-1187.7)+(-6.771627+(-0.359856--1.817181))+0-0-0</f>
        <v>3468.0856979999994</v>
      </c>
      <c r="N306" s="3">
        <f>4452.7+(278.7-1103.1)+(4.541754+(0.284274-1.125162))+0-0-0</f>
        <v>3632.0008660000003</v>
      </c>
      <c r="O306" s="3">
        <f>4450.5+(351.8-862.9)+(-2.269755+(-0.179418--0.440079))+0-0-0</f>
        <v>3937.3909060000001</v>
      </c>
      <c r="P306" s="3">
        <f>4441.2+(470.4-650.6)+(-2.265012+(-0.239904--0.331806))+0-0-0</f>
        <v>4258.8268900000003</v>
      </c>
      <c r="Q306" s="3">
        <f>4486+(552-587.3)+(-2.28786+(-0.28152--0.299523))+0-0-0</f>
        <v>4448.4301429999996</v>
      </c>
      <c r="R306" s="3">
        <f>4530.3+(573.3-656.8)+(-6.931359+(-0.877149--1.004904))+0-0-0</f>
        <v>4439.9963960000005</v>
      </c>
      <c r="S306" s="3">
        <f>4519.5+(559.3-747.8)+(-9.21978+(-1.140972--1.525512))+0-0-0</f>
        <v>4322.1647599999997</v>
      </c>
      <c r="T306" s="3">
        <f>4485.6+(517.4-697.1)+(-6.862968+(-0.791622--1.066563))+0-0-0</f>
        <v>4299.3119730000008</v>
      </c>
      <c r="U306" s="3">
        <f>4414.5+(409.7-634.3)+(0+(0-0))+0-0-0</f>
        <v>4189.8999999999996</v>
      </c>
      <c r="V306" s="3">
        <f>4417.1+(430.9-590.3)+(0+(0-0))+0-0-0</f>
        <v>4257.7000000000007</v>
      </c>
      <c r="W306" s="3">
        <f>4654.4+(575.1-530.8)+(-2.373744+(-0.293301--0.270708))+0-0-0</f>
        <v>4696.3036629999997</v>
      </c>
      <c r="X306" s="3">
        <f>4763+(774.1-549.2)+(0+(0-0))+0-0-0</f>
        <v>4987.8999999999996</v>
      </c>
      <c r="Y306" s="3">
        <f>4624.9+(874.1-528.7)+(-9.434796+(-1.783164--1.078548))+0-0-0</f>
        <v>4960.1605879999988</v>
      </c>
      <c r="Z306" s="3">
        <f>4619.2+(790.2-493.8)+(-4.711584+(-0.806004--0.503676))+0-0-0</f>
        <v>4910.5860879999991</v>
      </c>
      <c r="AA306" s="3">
        <f>4645.9+(643.2-468)+(-2.369409+(-0.328032--0.23868))+0-0-0</f>
        <v>4818.6412389999996</v>
      </c>
      <c r="AB306" s="3">
        <f>4595.3+(603.5-545)+(-11.718015+(-1.538925--1.38975))+0-0-0</f>
        <v>4641.9328100000002</v>
      </c>
      <c r="AC306" s="3">
        <f>4472.4+(332.2-472.6)+(-9.123696+(-0.677688--0.964104))+0-0-0</f>
        <v>4323.1627200000003</v>
      </c>
      <c r="AD306">
        <v>5027.7000000000007</v>
      </c>
      <c r="AE306" s="3">
        <f>4714+(838.6-524.9)+(0+(0-0))+0-0-0</f>
        <v>5027.7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4401.6+(171.6-632.3)+(-4.489632+(-0.175032--0.644946))+0-0-0</f>
        <v>3936.8802820000005</v>
      </c>
      <c r="G307" s="3">
        <f>4181.6+(206.4-751.8)+(-2.132616+(-0.105264--0.383418))+0-0-0</f>
        <v>3634.3455380000005</v>
      </c>
      <c r="H307" s="3">
        <f>4036.6+(202.7-737.7)+(-8.234664+(-0.413508--1.504908))+0-0-0</f>
        <v>3494.4567360000001</v>
      </c>
      <c r="I307" s="3">
        <f>4029.2+(231-804.4)+(2.054892+(0.11781-0.410244))+0-0-0</f>
        <v>3457.5624579999999</v>
      </c>
      <c r="J307" s="3">
        <f>3871.4+(231.9-679.4)+(3.948828+(0.236538-0.692988))+0-0-0</f>
        <v>3427.392378</v>
      </c>
      <c r="K307" s="3">
        <f>3838.7+(291.1-614.1)+(3.915474+(0.296922-0.626382))+0-0-0</f>
        <v>3519.2860139999998</v>
      </c>
      <c r="L307" s="3">
        <f>4076.1+(286.1-626.8)+(4.157622+(0.291822-0.639336))+0-0-0</f>
        <v>3739.2101080000002</v>
      </c>
      <c r="M307" s="3">
        <f>4398+(375.7-647.6)+(-4.48596+(-0.383214--0.660552))+0-0-0</f>
        <v>4121.8913780000003</v>
      </c>
      <c r="N307" s="3">
        <f>4422.8+(468.9-357.4)+(9.022512+(0.956556-0.729096))+0-0-0</f>
        <v>4543.5499719999998</v>
      </c>
      <c r="O307" s="3">
        <f>4416.6+(894.5-323.7)+(4.504932+(0.91239-0.330174))+0-0-0</f>
        <v>4992.4871480000002</v>
      </c>
      <c r="P307" s="3">
        <f>4353.4+(1278.7-305)+(-6.660702+(-1.956411--0.46665))+0-0-0</f>
        <v>5318.9495369999995</v>
      </c>
      <c r="Q307" s="3">
        <f>4476.5+(1351.8-288.4)+(-4.56603+(-1.378836--0.294168))+0-0-0</f>
        <v>5534.2493019999993</v>
      </c>
      <c r="R307" s="3">
        <f>4564.7+(1244.1-348.7)+(-6.983991+(-1.903473--0.533511))+0-0-0</f>
        <v>5451.7460469999996</v>
      </c>
      <c r="S307" s="3">
        <f>4669+(980.3-313.5)+(2.38119+(0.499953-0.159885))+0-0-0</f>
        <v>5338.5212579999998</v>
      </c>
      <c r="T307" s="3">
        <f>4682.1+(972.7-282.9)+(-7.163613+(-1.488231--0.432837))+0-0-0</f>
        <v>5363.6809930000009</v>
      </c>
      <c r="U307" s="3">
        <f>4641.7+(958.6-280.5)+(-2.367267+(-0.488886--0.143055))+0-0-0</f>
        <v>5317.086902</v>
      </c>
      <c r="V307" s="3">
        <f>4631+(834.8-249.2)+(-4.72362+(-0.851496--0.254184))+0-0-0</f>
        <v>5211.2790680000007</v>
      </c>
      <c r="W307" s="3">
        <f>4813.4+(964.7-256.4)+(7.364502+(1.475991-0.392292))+0-0-0</f>
        <v>5530.148201</v>
      </c>
      <c r="X307" s="3">
        <f>4909.8+(1082.5-349.1)+(0+(0-0))+0-0-0</f>
        <v>5643.2</v>
      </c>
      <c r="Y307" s="3">
        <f>4705.1+(1079-331)+(-7.198803+(-1.65087--0.50643))+0-0-0</f>
        <v>5444.7567570000001</v>
      </c>
      <c r="Z307" s="3">
        <f>4629.5+(1003.9-349.5)+(-7.083135+(-1.535967--0.534735))+0-0-0</f>
        <v>5275.8156329999993</v>
      </c>
      <c r="AA307" s="3">
        <f>4619.7+(805-385.6)+(-11.780235+(-2.05275--0.98328))+0-0-0</f>
        <v>5026.2502949999998</v>
      </c>
      <c r="AB307" s="3">
        <f>4585.6+(664.3-419.8)+(-11.69328+(-1.693965--1.07049))+0-0-0</f>
        <v>4817.7832450000005</v>
      </c>
      <c r="AC307" s="3">
        <f>4168.6+(676.5-353.2)+(-2.125986+(-0.345015--0.180132))+0-0-0</f>
        <v>4489.6091310000002</v>
      </c>
      <c r="AD307">
        <v>5711.7999999999993</v>
      </c>
      <c r="AE307" s="3">
        <f>4906+(1146.4-340.6)+(0+(0-0))+0-0-0</f>
        <v>5711.8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3937.3+(541.9-362.5)+(0+(0-0))+0-0-0</f>
        <v>4116.7</v>
      </c>
      <c r="G308" s="3">
        <f>3790.6+(354.2-350.2)+(-1.933206+(-0.180642--0.178602))+0-0-0</f>
        <v>3792.6647539999999</v>
      </c>
      <c r="H308" s="3">
        <f>3836+(279.7-484.6)+(0+(0-0))+0-0-0</f>
        <v>3631.1</v>
      </c>
      <c r="I308" s="3">
        <f>3848.2+(329.9-640.2)+(0+(0-0))+0-0-0</f>
        <v>3537.8999999999996</v>
      </c>
      <c r="J308" s="3">
        <f>3683.3+(271.6-465.5)+(3.756966+(0.277032-0.47481))+0-0-0</f>
        <v>3492.9591880000003</v>
      </c>
      <c r="K308" s="3">
        <f>3640.9+(247.5-407.9)+(1.856859+(0.126225-0.208029))+0-0-0</f>
        <v>3482.2750550000001</v>
      </c>
      <c r="L308" s="3">
        <f>3646.4+(298.6-448)+(0+(0-0))+0-0-0</f>
        <v>3497</v>
      </c>
      <c r="M308" s="3">
        <f>3578.2+(316.4-533.6)+(-3.649764+(-0.322728--0.544272))+0-0-0</f>
        <v>3357.5717800000002</v>
      </c>
      <c r="N308" s="3">
        <f>3622.5+(270.7-450.1)+(3.69495+(0.276114-0.459102))+0-0-0</f>
        <v>3446.6119619999999</v>
      </c>
      <c r="O308" s="3">
        <f>3625.1+(306.6-348.3)+(-5.546403+(-0.469098--0.532899))+0-0-0</f>
        <v>3577.917398</v>
      </c>
      <c r="P308" s="3">
        <f>3862.4+(380.3-379.6)+(-5.909472+(-0.581859--0.580788))+0-0-0</f>
        <v>3857.1894569999999</v>
      </c>
      <c r="Q308" s="3">
        <f>3952.2+(422.2-378.9)+(-10.07811+(-1.07661--0.966195))+0-0-0</f>
        <v>3985.311475</v>
      </c>
      <c r="R308" s="3">
        <f>3915.9+(460.3-308.8)+(-3.994218+(-0.469506--0.314976))+0-0-0</f>
        <v>4063.251252</v>
      </c>
      <c r="S308" s="3">
        <f>3917+(383.4-294)+(-1.99767+(-0.195534--0.14994))+0-0-0</f>
        <v>4004.3567360000002</v>
      </c>
      <c r="T308" s="3">
        <f>3930.7+(362.1-278.7)+(-2.004657+(-0.184671--0.142137))+0-0-0</f>
        <v>4012.0528089999998</v>
      </c>
      <c r="U308" s="3">
        <f>3915.4+(348.2-274.9)+(-7.987416+(-0.710328--0.560796))+0-0-0</f>
        <v>3980.5630520000004</v>
      </c>
      <c r="V308" s="3">
        <f>3958.2+(453.1-330.1)+(-2.018682+(-0.231081--0.168351))+0-0-0</f>
        <v>4079.1185879999998</v>
      </c>
      <c r="W308" s="3">
        <f>4282.3+(601.1-456.7)+(0+(0-0))+0-0-0</f>
        <v>4426.7</v>
      </c>
      <c r="X308" s="3">
        <f>4531.8+(691.2-391.4)+(2.311218+(0.352512-0.199614))+0-0-0</f>
        <v>4834.0641160000005</v>
      </c>
      <c r="Y308" s="3">
        <f>4450+(769.4-371.7)+(-4.539+(-0.784788--0.379134))+0-0-0</f>
        <v>4842.7553459999999</v>
      </c>
      <c r="Z308" s="3">
        <f>4399.4+(788.2-391.4)+(-4.487388+(-0.803964--0.399228))+0-0-0</f>
        <v>4791.3078759999999</v>
      </c>
      <c r="AA308" s="3">
        <f>4208.8+(907.4-392.3)+(-6.439464+(-1.388322--0.600219))+0-0-0</f>
        <v>4716.6724329999997</v>
      </c>
      <c r="AB308" s="3">
        <f>4182.6+(835.6-429.2)+(-6.399378+(-1.278468--0.656676))+0-0-0</f>
        <v>4581.97883</v>
      </c>
      <c r="AC308" s="3">
        <f>4089.6+(575.4-381.8)+(-10.42848+(-1.46727--0.97359))+0-0-0</f>
        <v>4272.2778399999997</v>
      </c>
      <c r="AD308">
        <v>4925</v>
      </c>
      <c r="AE308" s="3">
        <f>4547+(746.3-368.3)+(0+(0-0))+0-0-0</f>
        <v>4925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3979.6+(699.7-792.1)+(-10.14798+(-1.784235--2.019855))+0-0-0</f>
        <v>3877.28764</v>
      </c>
      <c r="G309" s="3">
        <f>3634.7+(490.2-510.5)+(-7.414788+(-1.000008--1.04142))+0-0-0</f>
        <v>3607.0266239999996</v>
      </c>
      <c r="H309" s="3">
        <f>3376.9+(395.9-381.1)+(1.722219+(0.201909-0.194361))+0-0-0</f>
        <v>3393.4297669999996</v>
      </c>
      <c r="I309" s="3">
        <f>3373.5+(437.6-456.6)+(3.44097+(0.446352-0.465732))+0-0-0</f>
        <v>3357.9215899999999</v>
      </c>
      <c r="J309" s="3">
        <f>3373+(516.2-496)+(1.72023+(0.263262-0.25296))+0-0-0</f>
        <v>3394.9305319999999</v>
      </c>
      <c r="K309" s="3">
        <f>3735.8+(385.9-647.8)+(1.905258+(0.196809-0.330378))+0-0-0</f>
        <v>3475.6716890000002</v>
      </c>
      <c r="L309" s="3">
        <f>4310.6+(437.1-1023.3)+(2.198406+(0.222921-0.521883))+0-0-0</f>
        <v>3726.2994440000007</v>
      </c>
      <c r="M309" s="3">
        <f>4433+(576.5-850.9)+(2.26083+(0.294015-0.433959))+0-0-0</f>
        <v>4160.7208860000001</v>
      </c>
      <c r="N309" s="3">
        <f>4414.1+(603.1-349.8)+(-2.251191+(-0.307581--0.178398))+0-0-0</f>
        <v>4665.0196260000002</v>
      </c>
      <c r="O309" s="3">
        <f>4429.4+(925.3-285.7)+(6.776982+(1.415709-0.437121))+0-0-0</f>
        <v>5076.7555700000003</v>
      </c>
      <c r="P309" s="3">
        <f>4303+(1342.8-279.2)+(4.38906+(1.369656-0.284784))+0-0-0</f>
        <v>5372.0739320000002</v>
      </c>
      <c r="Q309" s="3">
        <f>4218.8+(1636.2-281.7)+(4.303176+(1.668924-0.287334))+0-0-0</f>
        <v>5578.9847660000005</v>
      </c>
      <c r="R309" s="3">
        <f>4218.3+(1582.9-290.3)+(-6.453999+(-2.421837--0.444159))+0-0-0</f>
        <v>5502.468323000001</v>
      </c>
      <c r="S309" s="3">
        <f>4255.8+(1344.7-261.1)+(-8.681832+(-2.743188--0.532644))+0-0-0</f>
        <v>5328.5076239999999</v>
      </c>
      <c r="T309" s="3">
        <f>4267.1+(1353.6-240.6)+(-2.176221+(-0.690336--0.122706))+0-0-0</f>
        <v>5377.3561490000002</v>
      </c>
      <c r="U309" s="3">
        <f>4256.8+(1253.9-199)+(-6.512904+(-1.918467--0.30447))+0-0-0</f>
        <v>5303.5730990000011</v>
      </c>
      <c r="V309" s="3">
        <f>4308.6+(1175.2-187.4)+(-4.394772+(-1.198704--0.191148))+0-0-0</f>
        <v>5290.9976720000004</v>
      </c>
      <c r="W309" s="3">
        <f>4624.6+(1162-202.7)+(0+(0-0))+0-0-0</f>
        <v>5583.9000000000005</v>
      </c>
      <c r="X309" s="3">
        <f>4702+(1308.9-260.3)+(-9.59208+(-2.670156--0.531012))+0-0-0</f>
        <v>5738.8687760000003</v>
      </c>
      <c r="Y309" s="3">
        <f>4622.6+(1203.1-252)+(-11.78763+(-3.067905--0.6426))+0-0-0</f>
        <v>5559.4870650000012</v>
      </c>
      <c r="Z309" s="3">
        <f>4603.8+(1041.2-243.1)+(-4.695876+(-1.062024--0.247962))+0-0-0</f>
        <v>5396.3900620000004</v>
      </c>
      <c r="AA309" s="3">
        <f>4614.3+(775.5-245.6)+(-2.353293+(-0.395505--0.125256))+0-0-0</f>
        <v>5141.5764579999995</v>
      </c>
      <c r="AB309" s="3">
        <f>4580.7+(745.4-318.1)+(-11.680785+(-1.90077--0.811155))+0-0-0</f>
        <v>4995.2295999999997</v>
      </c>
      <c r="AC309" s="3">
        <f>4347.1+(676.1-373)+(-4.434042+(-0.689622--0.38046))+0-0-0</f>
        <v>4645.4567960000004</v>
      </c>
      <c r="AD309">
        <v>5737.2</v>
      </c>
      <c r="AE309" s="3">
        <f>4680+(1305.9-248.7)+(0+(0-0))+0-0-0</f>
        <v>5737.2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4158.5+(599.2-609.8)+(-10.604175+(-1.52796--1.55499))+0-0-0</f>
        <v>4137.3228549999994</v>
      </c>
      <c r="G310" s="3">
        <f>4012.5+(567.4-718.7)+(-4.09275+(-0.578748--0.733074))+0-0-0</f>
        <v>3857.2615759999999</v>
      </c>
      <c r="H310" s="3">
        <f>4007.9+(545.4-881.9)+(-10.220145+(-1.39077--2.248845))+0-0-0</f>
        <v>3662.03793</v>
      </c>
      <c r="I310" s="3">
        <f>3883.6+(502.5-807.8)+(0+(0-0))+0-0-0</f>
        <v>3578.3</v>
      </c>
      <c r="J310" s="3">
        <f>3889.9+(493.3-847)+(1.983849+(0.251583-0.43197))+0-0-0</f>
        <v>3538.0034620000001</v>
      </c>
      <c r="K310" s="3">
        <f>3931.3+(470-873.7)+(-2.004963+(-0.2397--0.445587))+0-0-0</f>
        <v>3525.8009240000006</v>
      </c>
      <c r="L310" s="3">
        <f>3983.1+(531.6-929.5)+(-6.094143+(-0.813348--1.422135))+0-0-0</f>
        <v>3579.7146439999997</v>
      </c>
      <c r="M310" s="3">
        <f>3929.4+(510.6-870.7)+(-4.007988+(-0.520812--0.888114))+0-0-0</f>
        <v>3565.659314</v>
      </c>
      <c r="N310" s="3">
        <f>4014.7+(477.6-720.5)+(-2.047497+(-0.243576--0.367455))+0-0-0</f>
        <v>3769.8763819999999</v>
      </c>
      <c r="O310" s="3">
        <f>4062.5+(459-373.6)+(-2.071875+(-0.23409--0.190536))+0-0-0</f>
        <v>4145.7845709999992</v>
      </c>
      <c r="P310" s="3">
        <f>4090.8+(591.5-269.8)+(0+(0-0))+0-0-0</f>
        <v>4412.5</v>
      </c>
      <c r="Q310" s="3">
        <f>4149.6+(740-288.4)+(-2.116296+(-0.3774--0.147084))+0-0-0</f>
        <v>4598.8533880000005</v>
      </c>
      <c r="R310" s="3">
        <f>4210.6+(715.3-285.3)+(-4.294812+(-0.729606--0.291006))+0-0-0</f>
        <v>4635.8665880000008</v>
      </c>
      <c r="S310" s="3">
        <f>4229+(556.1-283)+(-8.62716+(-1.134444--0.57732))+0-0-0</f>
        <v>4492.9157160000004</v>
      </c>
      <c r="T310" s="3">
        <f>4178+(587.9-281.3)+(-4.26156+(-0.599658--0.286926))+0-0-0</f>
        <v>4480.0257080000001</v>
      </c>
      <c r="U310" s="3">
        <f>4143.2+(581.5-309.5)+(2.113032+(0.296565-0.157845))+0-0-0</f>
        <v>4417.4517519999999</v>
      </c>
      <c r="V310" s="3">
        <f>4246+(483.3-311.1)+(0+(0-0))+0-0-0</f>
        <v>4418.2</v>
      </c>
      <c r="W310" s="3">
        <f>4543.6+(515.6-301.5)+(11.58618+(1.31478-0.768825))+0-0-0</f>
        <v>4769.8321350000006</v>
      </c>
      <c r="X310" s="3">
        <f>4675.3+(788.7-333.5)+(-7.153209+(-1.206711--0.510255))+0-0-0</f>
        <v>5122.6503350000003</v>
      </c>
      <c r="Y310" s="3">
        <f>4572.3+(842.4-300.8)+(-9.327492+(-1.718496--0.613632))+0-0-0</f>
        <v>5103.4676439999994</v>
      </c>
      <c r="Z310" s="3">
        <f>4584.9+(790.3-317.4)+(-2.338299+(-0.403053--0.161874))+0-0-0</f>
        <v>5055.2205219999996</v>
      </c>
      <c r="AA310" s="3">
        <f>4602.5+(806.1-483.5)+(2.347275+(0.411111-0.246585))+0-0-0</f>
        <v>4927.611801</v>
      </c>
      <c r="AB310" s="3">
        <f>4582.5+(763.5-569.7)+(-4.67415+(-0.77877--0.581094))+0-0-0</f>
        <v>4771.4281740000006</v>
      </c>
      <c r="AC310" s="3">
        <f>4506.8+(774.4-825.2)+(-9.193872+(-1.579776--1.683408))+0-0-0</f>
        <v>4446.9097599999996</v>
      </c>
      <c r="AD310">
        <v>5109.5</v>
      </c>
      <c r="AE310" s="3">
        <f>4675+(773.6-339.1)+(0+(0-0))+0-0-0</f>
        <v>5109.5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4304.2+(644.1-936.3)+(0+(0-0))+0-0-0</f>
        <v>4012</v>
      </c>
      <c r="G311" s="3">
        <f>4079.7+(384.4-739.5)+(-4.161294+(-0.392088--0.75429))+0-0-0</f>
        <v>3720.8009079999997</v>
      </c>
      <c r="H311" s="3">
        <f>3887+(305.9-625.7)+(-1.98237+(-0.156009--0.319107))+0-0-0</f>
        <v>3565.3807279999996</v>
      </c>
      <c r="I311" s="3">
        <f>3843.7+(336.2-703.6)+(1.960287+(0.171462-0.358836))+0-0-0</f>
        <v>3478.0729129999995</v>
      </c>
      <c r="J311" s="3">
        <f>3825.7+(324-684.2)+(1.951107+(0.16524-0.348942))+0-0-0</f>
        <v>3467.2674050000001</v>
      </c>
      <c r="K311" s="3">
        <f>3896.4+(375.3-731.7)+(3.974328+(0.382806-0.746334))+0-0-0</f>
        <v>3543.6107999999999</v>
      </c>
      <c r="L311" s="3">
        <f>4367.8+(418.5-1022.6)+(2.227578+(0.213435-0.521526))+0-0-0</f>
        <v>3765.6194870000004</v>
      </c>
      <c r="M311" s="3">
        <f>4658.6+(509.3-909)+(0+(0-0))+0-0-0</f>
        <v>4258.9000000000005</v>
      </c>
      <c r="N311" s="3">
        <f>4666.1+(464.7-339.8)+(4.759422+(0.473994-0.346596))+0-0-0</f>
        <v>4795.8868199999997</v>
      </c>
      <c r="O311" s="3">
        <f>4587.3+(859.5-235.7)+(4.679046+(0.87669-0.240414))+0-0-0</f>
        <v>5216.4153220000007</v>
      </c>
      <c r="P311" s="3">
        <f>4652.8+(1069.1-225.1)+(0+(0-0))+0-0-0</f>
        <v>5496.8</v>
      </c>
      <c r="Q311" s="3">
        <f>4729.3+(1072.7-224.4)+(2.411943+(0.547077-0.114444))+0-0-0</f>
        <v>5580.4445760000008</v>
      </c>
      <c r="R311" s="3">
        <f>4728.7+(1013.7-290.2)+(-7.234911+(-1.550961--0.444006))+0-0-0</f>
        <v>5443.8581340000001</v>
      </c>
      <c r="S311" s="3">
        <f>4791+(811.5-298.3)+(0+(0-0))+0-0-0</f>
        <v>5304.2</v>
      </c>
      <c r="T311" s="3">
        <f>4827.4+(720.1-308.2)+(4.923948+(0.734502-0.314364))+0-0-0</f>
        <v>5244.6440859999993</v>
      </c>
      <c r="U311" s="3">
        <f>4962+(621.5-302.5)+(-2.53062+(-0.316965--0.154275))+0-0-0</f>
        <v>5278.3066900000003</v>
      </c>
      <c r="V311" s="3">
        <f>5053.7+(641.8-377.5)+(0+(0-0))+0-0-0</f>
        <v>5318</v>
      </c>
      <c r="W311" s="3">
        <f>4847.4+(1049.7-260.3)+(2.472174+(0.535347-0.132753))+0-0-0</f>
        <v>5639.6747679999989</v>
      </c>
      <c r="X311" s="3">
        <f>5003.9+(966.6-275.2)+(-5.103978+(-0.985932--0.280704))+0-0-0</f>
        <v>5689.4907939999994</v>
      </c>
      <c r="Y311" s="3">
        <f>5156.2+(677.5-293.6)+(-5.259324+(-0.69105--0.299472))+0-0-0</f>
        <v>5534.4490979999991</v>
      </c>
      <c r="Z311" s="3">
        <f>5173.3+(646.4-474.5)+(-5.276766+(-0.659328--0.48399))+0-0-0</f>
        <v>5339.7478959999999</v>
      </c>
      <c r="AA311" s="3">
        <f>5167.2+(768.7-858.7)+(-5.270544+(-0.784074--0.875874))+0-0-0</f>
        <v>5072.021256</v>
      </c>
      <c r="AB311" s="3">
        <f>5157.8+(766.6-979.4)+(-2.630478+(-0.390966--0.499494))+0-0-0</f>
        <v>4942.4780499999997</v>
      </c>
      <c r="AC311" s="3">
        <f>4963+(766.4-1117.9)+(-10.12452+(-1.563456--2.280516))+0-0-0</f>
        <v>4602.0925399999996</v>
      </c>
      <c r="AD311">
        <v>5872.3</v>
      </c>
      <c r="AE311" s="3">
        <f>5095+(981.7-204.4)+(0+(0-0))+0-0-0</f>
        <v>5872.3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4835.8+(764.9-1335.7)+(0+(0-0))+0-0-0</f>
        <v>4265</v>
      </c>
      <c r="G312" s="3">
        <f>4462.2+(640.2-1099.3)+(-2.275722+(-0.326502--0.560643))+0-0-0</f>
        <v>4001.058419</v>
      </c>
      <c r="H312" s="3">
        <f>4350.5+(620-1165.3)+(0+(0-0))+0-0-0</f>
        <v>3805.2</v>
      </c>
      <c r="I312" s="3">
        <f>4403.3+(440.8-1150.1)+(6.737049+(0.674424-1.759653))+0-0-0</f>
        <v>3699.65182</v>
      </c>
      <c r="J312" s="3">
        <f>4332.6+(411.2-1056.5)+(0+(0-0))+0-0-0</f>
        <v>3687.3</v>
      </c>
      <c r="K312" s="3">
        <f>4207.6+(455.4-960.3)+(12.875256+(1.393524-2.938518))+0-0-0</f>
        <v>3714.0302620000002</v>
      </c>
      <c r="L312" s="3">
        <f>4400.8+(695.7-1193.5)+(2.244408+(0.354807-0.608685))+0-0-0</f>
        <v>3904.99053</v>
      </c>
      <c r="M312" s="3">
        <f>4621.3+(829.6-1279.7)+(4.713726+(0.846192-1.305294))+0-0-0</f>
        <v>4175.454624</v>
      </c>
      <c r="N312" s="3">
        <f>4769.1+(946-1106)+(9.728964+(1.92984-2.25624))+0-0-0</f>
        <v>4618.5025640000003</v>
      </c>
      <c r="O312" s="3">
        <f>4861.7+(843.4-629)+(9.917868+(1.720536-1.28316))+0-0-0</f>
        <v>5086.4552439999998</v>
      </c>
      <c r="P312" s="3">
        <f>4823.3+(825.3-309.8)+(2.459883+(0.420903-0.157998))+0-0-0</f>
        <v>5341.5227880000002</v>
      </c>
      <c r="Q312" s="3">
        <f>4814+(932.7-271.7)+(0+(0-0))+0-0-0</f>
        <v>5475</v>
      </c>
      <c r="R312" s="3">
        <f>4756.3+(915.2-349.8)+(-12.128565+(-2.33376--0.89199))+43.2-0-0</f>
        <v>5351.3296650000002</v>
      </c>
      <c r="S312" s="3">
        <f>4711.5+(1035.1-621.5)+(-4.80573+(-1.055802--0.63393))+4.9-0-0</f>
        <v>5124.7723980000001</v>
      </c>
      <c r="T312" s="3">
        <f>4727.1+(1111.4-730.3)+(4.821642+(1.133628-0.744906))+0-0-0</f>
        <v>5113.4103640000003</v>
      </c>
      <c r="U312" s="3">
        <f>4711.9+(1119.8-855)+(0+(0-0))+0-0-0</f>
        <v>4976.7</v>
      </c>
      <c r="V312" s="3">
        <f>4735.8+(1050.9-826.4)+(4.830516+(1.071918-0.842928))+0-0-0</f>
        <v>4965.3595059999998</v>
      </c>
      <c r="W312" s="3">
        <f>4879.5+(698.5-356)+(7.465635+(1.068705-0.54468))+0-0-0</f>
        <v>5229.9896600000002</v>
      </c>
      <c r="X312" s="3">
        <f>4941.3+(772.6-249.7)+(-2.520063+(-0.394026--0.127347))+0-0-0</f>
        <v>5461.4132580000005</v>
      </c>
      <c r="Y312" s="3">
        <f>4926+(714.5-249.2)+(-5.02452+(-0.72879--0.254184))+0-0-0</f>
        <v>5385.8008740000005</v>
      </c>
      <c r="Z312" s="3">
        <f>4868.2+(779.5-376.5)+(-4.965564+(-0.79509--0.38403))+0-0-0</f>
        <v>5265.8233759999994</v>
      </c>
      <c r="AA312" s="3">
        <f>4855.7+(935.1-744.9)+(-2.476407+(-0.476901--0.379899))+0-0-0</f>
        <v>5043.326591</v>
      </c>
      <c r="AB312" s="3">
        <f>4806.5+(898.3-849.8)+(-19.61052+(-3.665064--3.467184))+0-0-0</f>
        <v>4835.1916000000001</v>
      </c>
      <c r="AC312" s="3">
        <f>4784.2+(876.2-1064.5)+(-7.319826+(-1.340586--1.628685))+0-0-0</f>
        <v>4588.868273</v>
      </c>
      <c r="AD312">
        <v>5458.3</v>
      </c>
      <c r="AE312" s="3">
        <f>4928+(788.5-258.2)+(0+(0-0))+0-0-0</f>
        <v>5458.3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4498.7+(922.5-1171.7)+(2.294337+(0.470475-0.597567))+0-0-0</f>
        <v>4251.6672449999996</v>
      </c>
      <c r="G313" s="3">
        <f>4363.3+(947.3-1399.4)+(-2.225283+(-0.483123--0.713694))+0-0-0</f>
        <v>3909.2052879999997</v>
      </c>
      <c r="H313" s="3">
        <f>4254.9+(707-1264.9)+(0+(0-0))+0-0-0</f>
        <v>3696.9999999999995</v>
      </c>
      <c r="I313" s="3">
        <f>4252+(644.6-1320.6)+(4.33704+(0.657492-1.347012))+0-0-0</f>
        <v>3579.64752</v>
      </c>
      <c r="J313" s="3">
        <f>4227.4+(560.5-1256.8)+(-8.623896+(-1.14342--2.563872))+0-0-0</f>
        <v>3523.8965559999992</v>
      </c>
      <c r="K313" s="3">
        <f>4234+(537.4-1249.7)+(-6.47802+(-0.822222--1.912041))+0-0-0</f>
        <v>3516.3117989999996</v>
      </c>
      <c r="L313" s="3">
        <f>4089.2+(605.1-1158.8)+(-16.683936+(-2.468808--4.727904))+0-0-0</f>
        <v>3521.0751599999999</v>
      </c>
      <c r="M313" s="3">
        <f>3944.2+(700-1201.6)+(-2.011542+(-0.357--0.612816))+0-0-0</f>
        <v>3440.844274</v>
      </c>
      <c r="N313" s="3">
        <f>4080.6+(904.7-1396.8)+(0+(0-0))+0-0-0</f>
        <v>3588.5</v>
      </c>
      <c r="O313" s="3">
        <f>4230.7+(1184.4-1521.1)+(-4.315314+(-1.208088--1.551522))+0-0-0</f>
        <v>3890.0281199999999</v>
      </c>
      <c r="P313" s="3">
        <f>4261.4+(1135.5-1170.3)+(0+(0-0))+0-0-0</f>
        <v>4226.5999999999995</v>
      </c>
      <c r="Q313" s="3">
        <f>4294.1+(1067.4-936.2)+(-4.379982+(-1.088748--0.954924))+0-0-0</f>
        <v>4420.7861940000003</v>
      </c>
      <c r="R313" s="3">
        <f>4320.1+(1049.7-961.9)+(-8.813004+(-2.141388--1.962276))+0-0-0</f>
        <v>4398.9078840000002</v>
      </c>
      <c r="S313" s="3">
        <f>4254.1+(1042.1-987.6)+(-4.339182+(-1.062942--1.007352))+0-0-0</f>
        <v>4304.2052280000007</v>
      </c>
      <c r="T313" s="3">
        <f>4109.7+(1036.6-914.6)+(-8.383788+(-2.114664--1.865784))+0-0-0</f>
        <v>4223.0673319999996</v>
      </c>
      <c r="U313" s="3">
        <f>4083.9+(1050.3-979.3)+(-2.082789+(-0.535653--0.499443))+0-0-0</f>
        <v>4152.7810009999994</v>
      </c>
      <c r="V313" s="3">
        <f>4162.6+(909.8-862.8)+(-6.368778+(-1.391994--1.320084))+0-0-0</f>
        <v>4203.1593120000007</v>
      </c>
      <c r="W313" s="3">
        <f>4431.6+(725.9-544)+(2.260116+(0.370209-0.27744))+0-0-0</f>
        <v>4615.8528850000002</v>
      </c>
      <c r="X313" s="3">
        <f>4526.1+(753.6-302.3)+(-4.616622+(-0.768672--0.308346))+0-0-0</f>
        <v>4972.3230520000006</v>
      </c>
      <c r="Y313" s="3">
        <f>4436.7+(841-285.2)+(0+(0-0))+0-0-0</f>
        <v>4992.5</v>
      </c>
      <c r="Z313" s="3">
        <f>4385.7+(854.2-286.1)+(-4.473414+(-0.871284--0.291822))+0-0-0</f>
        <v>4948.7471240000004</v>
      </c>
      <c r="AA313" s="3">
        <f>4411.5+(850.6-403.5)+(-4.49973+(-0.867612--0.41157))+0-0-0</f>
        <v>4853.6442280000001</v>
      </c>
      <c r="AB313" s="3">
        <f>4491.1+(823.8-630.9)+(-2.290461+(-0.420138--0.321759))+0-0-0</f>
        <v>4681.6111600000004</v>
      </c>
      <c r="AC313" s="3">
        <f>4512.6+(649.3-790.6)+(-9.205704+(-1.324572--1.612824))+0-0-0</f>
        <v>4362.3825480000005</v>
      </c>
      <c r="AD313">
        <v>4733.6000000000004</v>
      </c>
      <c r="AE313" s="3">
        <f>4512+(732.5-310.9)+(0+(0-0))+0-0-0</f>
        <v>4933.6000000000004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4506.6+(588-1141.1)+(-11.49183+(-1.4994--2.909805))+0-0-0</f>
        <v>3943.4185750000006</v>
      </c>
      <c r="G314" s="3">
        <f>4330.5+(415.2-1102)+(-4.41711+(-0.423504--1.12404))+0-0-0</f>
        <v>3639.9834259999998</v>
      </c>
      <c r="H314" s="3">
        <f>4146.2+(372.5-1026.8)+(-8.458248+(-0.7599--2.094672))+0-0-0</f>
        <v>3484.7765239999994</v>
      </c>
      <c r="I314" s="3">
        <f>4029+(352.4-968.5)+(-6.16437+(-0.539172--1.481805))+0-0-0</f>
        <v>3407.6782630000002</v>
      </c>
      <c r="J314" s="3">
        <f>4039.9+(368.8-1016.1)+(4.120698+(0.376176-1.036422))+0-0-0</f>
        <v>3396.0604520000002</v>
      </c>
      <c r="K314" s="3">
        <f>4249.5+(283.3-1036.2)+(-4.33449+(-0.288966--1.056924))+0-0-0</f>
        <v>3493.0334680000001</v>
      </c>
      <c r="L314" s="3">
        <f>4423+(480-1088)+(2.25573+(0.2448-0.55488))+0-0-0</f>
        <v>3816.9456500000001</v>
      </c>
      <c r="M314" s="3">
        <f>4700.2+(671.6-1053.3)+(2.397102+(0.342516-0.537183))+0-0-0</f>
        <v>4320.7024350000002</v>
      </c>
      <c r="N314" s="3">
        <f>4742.6+(799.7-656.6)+(4.837452+(0.815694-0.669732))+0-0-0</f>
        <v>4890.683414000001</v>
      </c>
      <c r="O314" s="3">
        <f>4702.5+(836.7-231.6)+(-2.398275+(-0.426717--0.118116))+0-0-0</f>
        <v>5304.8931240000002</v>
      </c>
      <c r="P314" s="3">
        <f>4652.2+(1110.4-201.2)+(-4.745244+(-1.132608--0.205224))+0-0-0</f>
        <v>5555.7273719999994</v>
      </c>
      <c r="Q314" s="3">
        <f>4601.4+(1313.5-205.3)+(-4.693428+(-1.33977--0.209406))+0-0-0</f>
        <v>5703.7762079999993</v>
      </c>
      <c r="R314" s="3">
        <f>4564.3+(1240.8-196.5)+(-13.966758+(-3.796848--0.60129))+0-0-0</f>
        <v>5591.4376840000004</v>
      </c>
      <c r="S314" s="3">
        <f>4579.7+(1048-199.3)+(-7.006941+(-1.60344--0.304929))+0-0-0</f>
        <v>5420.094548</v>
      </c>
      <c r="T314" s="3">
        <f>4535.2+(1149.2-195.4)+(-2.312952+(-0.586092--0.099654))+0-0-0</f>
        <v>5486.2006099999999</v>
      </c>
      <c r="U314" s="3">
        <f>4566.4+(1086-216.4)+(-6.986592+(-1.66158--0.331092))+0-0-0</f>
        <v>5427.6829200000002</v>
      </c>
      <c r="V314" s="3">
        <f>4634+(1000.6-200.1)+(2.36334+(0.510306-0.102051))+0-0-0</f>
        <v>5437.2715950000002</v>
      </c>
      <c r="W314" s="3">
        <f>4852.1+(1099.8-237.7)+(-2.474571+(-0.560898--0.121227))+0-0-0</f>
        <v>5711.2857580000009</v>
      </c>
      <c r="X314" s="3">
        <f>4845.3+(1273.9-264.7)+(4.942206+(1.299378-0.269994))+0-0-0</f>
        <v>5860.4715900000001</v>
      </c>
      <c r="Y314" s="3">
        <f>4775.4+(1176.4-253.8)+(-12.17727+(-2.99982--0.64719))+0-0-0</f>
        <v>5683.4700999999995</v>
      </c>
      <c r="Z314" s="3">
        <f>4696.6+(1120.3-236.5)+(-7.185798+(-1.714059--0.361845))+0-0-0</f>
        <v>5571.8619880000006</v>
      </c>
      <c r="AA314" s="3">
        <f>4626.1+(942-229.3)+(-16.515177+(-3.36294--0.818601))+0-0-0</f>
        <v>5319.7404839999999</v>
      </c>
      <c r="AB314" s="3">
        <f>4653.4+(705.1-249.6)+(-9.492936+(-1.438404--0.509184))+0-0-0</f>
        <v>5098.477844</v>
      </c>
      <c r="AC314" s="3">
        <f>4528.7+(509.9-334.2)+(-11.548185+(-1.300245--0.85221))+0-0-0</f>
        <v>4692.4037799999996</v>
      </c>
      <c r="AD314">
        <v>5874.4</v>
      </c>
      <c r="AE314" s="3">
        <f>4818+(1324.4-268)+(0+(0-0))+0-0-0</f>
        <v>5874.4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4252.8+(377.5-402.9)+(0+(0-0))+0-0-0</f>
        <v>4227.4000000000005</v>
      </c>
      <c r="G315" s="3">
        <f>4078.7+(317.1-467.4)+(-10.400685+(-0.808605--1.19187))+0-0-0</f>
        <v>3918.3825799999995</v>
      </c>
      <c r="H315" s="3">
        <f>3900.3+(352.5-480.9)+(-5.967459+(-0.539325--0.735777))+0-0-0</f>
        <v>3766.1289930000003</v>
      </c>
      <c r="I315" s="3">
        <f>3743.4+(311.8-374.3)+(-7.636536+(-0.636072--0.763572))+0-0-0</f>
        <v>3673.3909640000002</v>
      </c>
      <c r="J315" s="3">
        <f>3793.1+(431.3-559.9)+(5.803443+(0.659889-0.856647))+0-0-0</f>
        <v>3670.1066850000002</v>
      </c>
      <c r="K315" s="3">
        <f>3887.6+(436.5-575.1)+(-1.982676+(-0.222615--0.293301))+0-0-0</f>
        <v>3747.0880099999999</v>
      </c>
      <c r="L315" s="3">
        <f>4137.7+(532.1-660.2)+(0+(0-0))+0-0-0</f>
        <v>4009.6</v>
      </c>
      <c r="M315" s="3">
        <f>4442.3+(654.2-668.4)+(2.265573+(0.333642-0.340884))+0-0-0</f>
        <v>4430.3583310000004</v>
      </c>
      <c r="N315" s="3">
        <f>4461+(888.4-393.8)+(-6.82533+(-1.359252--0.602514))+0-0-0</f>
        <v>4948.0179320000007</v>
      </c>
      <c r="O315" s="3">
        <f>4494.8+(1046-266.6)+(-2.292348+(-0.53346--0.135966))+0-0-0</f>
        <v>5271.510158</v>
      </c>
      <c r="P315" s="3">
        <f>4562.9+(1303.6-276.2)+(-9.308316+(-2.659344--0.563448))+0-0-0</f>
        <v>5578.8957879999989</v>
      </c>
      <c r="Q315" s="3">
        <f>4611.8+(1347.9-278.7)+(-7.056054+(-2.062287--0.426411))+0-0-0</f>
        <v>5672.30807</v>
      </c>
      <c r="R315" s="3">
        <f>4589.5+(1268.6-262.6)+(-16.384515+(-4.528902--0.937482))+0-0-0</f>
        <v>5575.5240649999996</v>
      </c>
      <c r="S315" s="3">
        <f>4639.9+(1091.6-294.5)+(-7.099047+(-1.670148--0.450585))+0-0-0</f>
        <v>5428.6813899999997</v>
      </c>
      <c r="T315" s="3">
        <f>4588.7+(1207.4-291)+(-2.340237+(-0.615774--0.14841))+0-0-0</f>
        <v>5502.2923989999999</v>
      </c>
      <c r="U315" s="3">
        <f>4613+(1085.2-237.6)+(2.35263+(0.553452-0.121176))+0-0-0</f>
        <v>5463.3849060000002</v>
      </c>
      <c r="V315" s="3">
        <f>4622.8+(1090.4-271.6)+(-4.715256+(-1.112208--0.277032))+0-0-0</f>
        <v>5436.0495680000004</v>
      </c>
      <c r="W315" s="3">
        <f>4782.6+(1157.9-250)+(0+(0-0))+0-0-0</f>
        <v>5690.5</v>
      </c>
      <c r="X315" s="3">
        <f>4851+(1397.2-272.4)+(-2.47401+(-0.712572--0.138924))+0-0-0</f>
        <v>5972.7523419999998</v>
      </c>
      <c r="Y315" s="3">
        <f>4785.6+(1182.5-275.7)+(-7.321968+(-1.809225--0.421821))+0-0-0</f>
        <v>5683.6906280000003</v>
      </c>
      <c r="Z315" s="3">
        <f>4773.5+(942.6-253.6)+(-12.172425+(-2.40363--0.64668))+0-0-0</f>
        <v>5448.5706250000003</v>
      </c>
      <c r="AA315" s="3">
        <f>4683.8+(883.4-280)+(-9.554952+(-1.802136--0.5712))+0-0-0</f>
        <v>5276.4141119999995</v>
      </c>
      <c r="AB315" s="3">
        <f>4676.2+(753-357.9)+(-11.92431+(-1.92015--0.912645))+0-0-0</f>
        <v>5058.3681850000003</v>
      </c>
      <c r="AC315" s="3">
        <f>4456.7+(791.2-623.8)+(-9.091668+(-1.614048--1.272552))+0-0-0</f>
        <v>4614.6668360000003</v>
      </c>
      <c r="AD315">
        <v>5956.8</v>
      </c>
      <c r="AE315" s="3">
        <f>4853+(1375.7-271.9)+(0+(0-0))+0-0-0</f>
        <v>5956.8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4328.4+(492.9-760.2)+(-8.829936+(-1.005516--1.550808))+0-0-0</f>
        <v>4052.8153559999996</v>
      </c>
      <c r="G316" s="3">
        <f>4187+(617.3-917)+(-10.67685+(-1.574115--2.33835))+0-0-0</f>
        <v>3877.387385</v>
      </c>
      <c r="H316" s="3">
        <f>4095.9+(683.3-1060.5)+(-6.266727+(-1.045449--1.622565))+0-0-0</f>
        <v>3713.010389</v>
      </c>
      <c r="I316" s="3">
        <f>3878.1+(740.8-969.8)+(-1.977831+(-0.377808--0.494598))+0-0-0</f>
        <v>3647.2389589999998</v>
      </c>
      <c r="J316" s="3">
        <f>3744.7+(654.5-724)+(-7.639188+(-1.33518--1.47696))+0-0-0</f>
        <v>3667.7025919999996</v>
      </c>
      <c r="K316" s="3">
        <f>3972.3+(663.6-916.6)+(0+(0-0))+0-0-0</f>
        <v>3719.3</v>
      </c>
      <c r="L316" s="3">
        <f>4390.3+(738.6-1093.5)+(-4.478106+(-0.753372--1.11537))+0-0-0</f>
        <v>4031.2838919999999</v>
      </c>
      <c r="M316" s="3">
        <f>4550.7+(959.1-1075.3)+(6.962571+(1.467423-1.645209))+0-0-0</f>
        <v>4441.2847849999998</v>
      </c>
      <c r="N316" s="3">
        <f>4585.3+(1192.4-782.7)+(0+(0-0))+0-0-0</f>
        <v>4995</v>
      </c>
      <c r="O316" s="3">
        <f>4676.4+(1081.9-395.2)+(0+(0-0))+0-0-0</f>
        <v>5363.0999999999995</v>
      </c>
      <c r="P316" s="3">
        <f>4694.9+(1193.7-336.1)+(-7.183197+(-1.826361--0.514233))+0-0-0</f>
        <v>5544.0046750000001</v>
      </c>
      <c r="Q316" s="3">
        <f>4731.9+(1305.3-338.3)+(-4.826538+(-1.331406--0.345066))+0-0-0</f>
        <v>5693.0871219999999</v>
      </c>
      <c r="R316" s="3">
        <f>4706.6+(1244.7-329.2)+(-9.601464+(-2.539188--0.671568))+0-0-0</f>
        <v>5610.6309160000001</v>
      </c>
      <c r="S316" s="3">
        <f>4688.1+(1240-468.4)+(-11.954655+(-3.162--1.19442))+0-0-0</f>
        <v>5445.7777650000007</v>
      </c>
      <c r="T316" s="3">
        <f>4707.4+(1282.4-464.7)+(4.801548+(1.308048-0.473994))+0-0-0</f>
        <v>5530.7356019999997</v>
      </c>
      <c r="U316" s="3">
        <f>4612.2+(1306.4-423.5)+(0+(0-0))+0-0-0</f>
        <v>5495.1</v>
      </c>
      <c r="V316" s="3">
        <f>4607.2+(1213-350.6)+(-4.699344+(-1.23726--0.357612))+0-0-0</f>
        <v>5464.0210079999997</v>
      </c>
      <c r="W316" s="3">
        <f>4755.5+(1178.4-222.8)+(4.85061+(1.201968-0.227256))+0-0-0</f>
        <v>5716.9253220000001</v>
      </c>
      <c r="X316" s="3">
        <f>4825.5+(1358.9-251.1)+(-9.84402+(-2.772156--0.512244))+0-0-0</f>
        <v>5921.1960680000002</v>
      </c>
      <c r="Y316" s="3">
        <f>4822.7+(1205.9-271.7)+(-9.838308+(-2.460036--0.554268))+0-0-0</f>
        <v>5745.1559239999997</v>
      </c>
      <c r="Z316" s="3">
        <f>4733.1+(1164.1-302.3)+(-4.827762+(-1.187382--0.308346))+0-0-0</f>
        <v>5589.1932020000004</v>
      </c>
      <c r="AA316" s="3">
        <f>4602.1+(1067.2-323.9)+(-4.694142+(-1.088544--0.330378))+0-0-0</f>
        <v>5339.9476920000006</v>
      </c>
      <c r="AB316" s="3">
        <f>4531+(946.1-403.9)+(-6.93243+(-1.447533--0.617967))+0-0-0</f>
        <v>5065.4380039999996</v>
      </c>
      <c r="AC316" s="3">
        <f>4302.2+(793.8-363.4)+(-10.97061+(-2.02419--0.92667))+0-0-0</f>
        <v>4720.5318699999998</v>
      </c>
      <c r="AD316">
        <v>5930.9</v>
      </c>
      <c r="AE316" s="3">
        <f>4805+(1379.4-253.5)+(0+(0-0))+0-0-0</f>
        <v>5930.9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4165.8+(560-467.5)+(-8.498232+(-1.1424--0.9537))+0-0-0</f>
        <v>4249.6130680000006</v>
      </c>
      <c r="G317" s="3">
        <f>4162.7+(629.4-841.5)+(-6.368931+(-0.962982--1.287495))+0-0-0</f>
        <v>3944.555582</v>
      </c>
      <c r="H317" s="3">
        <f>4118.7+(497.6-843)+(-10.502685+(-1.26888--2.14965))+0-0-0</f>
        <v>3763.6780849999996</v>
      </c>
      <c r="I317" s="3">
        <f>4067.8+(549.1-931.2)+(-2.074578+(-0.280041--0.474912))+0-0-0</f>
        <v>3683.8202930000002</v>
      </c>
      <c r="J317" s="3">
        <f>4044.2+(560-921.5)+(0+(0-0))+0-0-0</f>
        <v>3682.7</v>
      </c>
      <c r="K317" s="3">
        <f>4113.9+(638.6-995.9)+(-2.098089+(-0.325686--0.507909))+0-0-0</f>
        <v>3754.6841339999996</v>
      </c>
      <c r="L317" s="3">
        <f>4428.7+(1040.2-1461.8)+(-4.517274+(-1.061004--1.491036))+0-0-0</f>
        <v>4003.0127579999998</v>
      </c>
      <c r="M317" s="3">
        <f>4585.4+(1162.5-1287.7)+(4.677108+(1.18575-1.313454))+0-0-0</f>
        <v>4464.7494040000001</v>
      </c>
      <c r="N317" s="3">
        <f>4638.5+(1277-875.7)+(4.73127+(1.30254-0.893214))+0-0-0</f>
        <v>5044.9405960000004</v>
      </c>
      <c r="O317" s="3">
        <f>4518.5+(1306.8-384.7)+(4.60887+(1.332936-0.392394))+0-0-0</f>
        <v>5446.1494120000007</v>
      </c>
      <c r="P317" s="3">
        <f>4469.4+(1445.8-202.5)+(0+(0-0))+0-0-0</f>
        <v>5712.7</v>
      </c>
      <c r="Q317" s="3">
        <f>4320.1+(1790.7-186.7)+(2.203251+(0.913257-0.095217))+0-0-0</f>
        <v>5927.1212910000004</v>
      </c>
      <c r="R317" s="3">
        <f>4098.3+(1978.6-176.3)+(-6.270399+(-3.027258--0.269739))+0-0-0</f>
        <v>5891.5720820000006</v>
      </c>
      <c r="S317" s="3">
        <f>4191.5+(1774.2-195)+(-4.27533+(-1.809684--0.1989))+0-0-0</f>
        <v>5764.8138859999999</v>
      </c>
      <c r="T317" s="3">
        <f>4228.1+(1795.6-190.6)+(2.156331+(0.915756-0.097206))+0-0-0</f>
        <v>5836.0748810000005</v>
      </c>
      <c r="U317" s="3">
        <f>4473.3+(1624.2-277.8)+(-11.406915+(-4.14171--0.70839))+0-0-0</f>
        <v>5804.8597650000011</v>
      </c>
      <c r="V317" s="3">
        <f>4688+(1519.5-439.3)+(0+(0-0))+0-0-0</f>
        <v>5768.2</v>
      </c>
      <c r="W317" s="3">
        <f>4800.6+(1443.9-204)+(-4.896612+(-1.472778--0.20808))+0-0-0</f>
        <v>6034.3386899999996</v>
      </c>
      <c r="X317" s="3">
        <f>4947.9+(1288-223.3)+(-2.523429+(-0.65688--0.113883))+30-0-0</f>
        <v>6039.5335739999991</v>
      </c>
      <c r="Y317" s="3">
        <f>4861.6+(1214-205.3)+(-7.438248+(-1.85742--0.314109))+0-0-0</f>
        <v>5861.3184410000003</v>
      </c>
      <c r="Z317" s="3">
        <f>4831.5+(1181.4-364)+(-9.85626+(-2.410056--0.74256))+0-0-0</f>
        <v>5637.376244</v>
      </c>
      <c r="AA317" s="3">
        <f>4808.9+(1200.2-611.4)+(-9.810156+(-2.448408--1.247256))+0-0-0</f>
        <v>5386.6886919999997</v>
      </c>
      <c r="AB317" s="3">
        <f>4680.4+(1050.6-568)+(-7.161012+(-1.607418--0.86904))+0-0-0</f>
        <v>5155.1006100000004</v>
      </c>
      <c r="AC317" s="3">
        <f>4529.2+(766.2-530.6)+(-6.929676+(-1.172286--0.811818))+0-0-0</f>
        <v>4757.5098560000006</v>
      </c>
      <c r="AD317">
        <v>6001.7</v>
      </c>
      <c r="AE317" s="3">
        <f>4939+(1286.3-223.6)+(0+(0-0))+0-0-0</f>
        <v>6001.7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4361.1+(674.4-783.1)+(0+(0-0))+0-0-0</f>
        <v>4252.4000000000005</v>
      </c>
      <c r="G318" s="3">
        <f>4238.3+(590.2-849.5)+(0+(0-0))+0-0-0</f>
        <v>3979</v>
      </c>
      <c r="H318" s="3">
        <f>4157.6+(516.8-870)+(2.120376+(0.263568-0.4437))+0-0-0</f>
        <v>3806.3402440000004</v>
      </c>
      <c r="I318" s="3">
        <f>4111.6+(588.5-986.2)+(0+(0-0))+0-0-0</f>
        <v>3713.9000000000005</v>
      </c>
      <c r="J318" s="3">
        <f>4114.4+(591.8-975.1)+(0+(0-0))+0-0-0</f>
        <v>3731.0999999999995</v>
      </c>
      <c r="K318" s="3">
        <f>4146.8+(598.2-969.8)+(4.229736+(0.610164-0.989196))+0-0-0</f>
        <v>3779.0507040000002</v>
      </c>
      <c r="L318" s="3">
        <f>4169.9+(701.2-808.5)+(-4.253298+(-0.715224--0.82467))+0-0-0</f>
        <v>4058.4561479999993</v>
      </c>
      <c r="M318" s="3">
        <f>4404.9+(740.3-684.3)+(0+(0-0))+0-0-0</f>
        <v>4460.8999999999996</v>
      </c>
      <c r="N318" s="3">
        <f>4652.4+(941.4-511.5)+(7.118172+(1.440342-0.782595))+0-0-0</f>
        <v>5090.075918999999</v>
      </c>
      <c r="O318" s="3">
        <f>4669.7+(995.7-241.3)+(-2.381547+(-0.507807--0.123063))+0-0-0</f>
        <v>5421.3337090000005</v>
      </c>
      <c r="P318" s="3">
        <f>4654.6+(1318.4-214)+(4.747692+(1.344768-0.21828))+0-0-0</f>
        <v>5764.8741799999998</v>
      </c>
      <c r="Q318" s="3">
        <f>4740.5+(1338.9-198)+(-9.67062+(-2.731356--0.40392))+0-0-0</f>
        <v>5869.4019439999993</v>
      </c>
      <c r="R318" s="3">
        <f>4774.8+(1204.6-240.4)+(-9.740592+(-2.457384--0.490416))+0-0-0</f>
        <v>5727.2924400000002</v>
      </c>
      <c r="S318" s="3">
        <f>4693+(1204.1-293.7)+(-4.78686+(-1.228182--0.299574))+0-0-0</f>
        <v>5597.6845319999993</v>
      </c>
      <c r="T318" s="3">
        <f>4663.4+(1351.2-335.2)+(-4.756668+(-1.378224--0.341904))+0-0-0</f>
        <v>5673.6070119999995</v>
      </c>
      <c r="U318" s="3">
        <f>4667.6+(1340.2-335.4)+(0+(0-0))+0-0-0</f>
        <v>5672.4000000000005</v>
      </c>
      <c r="V318" s="3">
        <f>4660.4+(1349-340)+(-4.753608+(-1.37598--0.3468))+0-0-0</f>
        <v>5663.6172119999992</v>
      </c>
      <c r="W318" s="3">
        <f>4839.8+(1230.2-431.7)+(0+(0-0))+0-0-0</f>
        <v>5638.3</v>
      </c>
      <c r="X318" s="3">
        <f>4839.6+(1227.2-397.9)+(-7.404588+(-1.877616--0.608787))+0-0-0</f>
        <v>5660.2265830000006</v>
      </c>
      <c r="Y318" s="3">
        <f>4727.1+(1164.1-469.2)+(-2.410821+(-0.593691--0.239292))+0-0-0</f>
        <v>5419.2347799999998</v>
      </c>
      <c r="Z318" s="3">
        <f>4691+(1118.4-486)+(-4.78482+(-1.140768--0.49572))+0-0-0</f>
        <v>5317.9701319999995</v>
      </c>
      <c r="AA318" s="3">
        <f>4543.5+(1054.5-351.2)+(-4.63437+(-1.07559--0.358224))+0-0-0</f>
        <v>5241.4482640000006</v>
      </c>
      <c r="AB318" s="3">
        <f>4496.7+(981.2-505.6)+(-4.586634+(-1.000824--0.515712))+0-0-0</f>
        <v>4967.2282540000006</v>
      </c>
      <c r="AC318" s="3">
        <f>4308.5+(760.8-480.6)+(-6.592005+(-1.164024--0.735318))+0-0-0</f>
        <v>4581.6792889999997</v>
      </c>
      <c r="AD318">
        <v>6010.7</v>
      </c>
      <c r="AE318" s="3">
        <f>4854+(1343.2-186.5)+(0+(0-0))+0-0-0</f>
        <v>6010.7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4053.5+(490.7-323.2)+(-8.26914+(-1.001028--0.659328))+0-0-0</f>
        <v>4212.3891599999997</v>
      </c>
      <c r="G319" s="3">
        <f>3864.2+(418.3-299.1)+(-9.85371+(-1.066665--0.762705))+0-0-0</f>
        <v>3973.2423299999996</v>
      </c>
      <c r="H319" s="3">
        <f>3796.3+(442.2-461.7)+(-1.936113+(-0.225522--0.235467))+0-0-0</f>
        <v>3774.8738320000002</v>
      </c>
      <c r="I319" s="3">
        <f>3697.7+(538.6-470.2)+(0+(0-0))+0-0-0</f>
        <v>3766.1</v>
      </c>
      <c r="J319" s="3">
        <f>3541.2+(538.2-410.7)+(0+(0-0))+0-0-0</f>
        <v>3668.7</v>
      </c>
      <c r="K319" s="3">
        <f>3676.3+(540.1-521.2)+(-1.874913+(-0.275451--0.265812))+0-0-0</f>
        <v>3693.3154480000003</v>
      </c>
      <c r="L319" s="3">
        <f>3847.1+(725.5-714.8)+(-3.924042+(-0.74001--0.729096))+0-0-0</f>
        <v>3853.8650440000001</v>
      </c>
      <c r="M319" s="3">
        <f>3975.1+(703.4-562.3)+(-4.054602+(-0.717468--0.573546))+0-0-0</f>
        <v>4112.0014759999995</v>
      </c>
      <c r="N319" s="3">
        <f>4265.8+(822-468.1)+(0+(0-0))+0-0-0</f>
        <v>4619.7</v>
      </c>
      <c r="O319" s="3">
        <f>4401.1+(1030.1-250.6)+(0+(0-0))+0-0-0</f>
        <v>5180.6000000000004</v>
      </c>
      <c r="P319" s="3">
        <f>4348.9+(1369.3-229.8)+(2.217939+(0.698343-0.117198))+0-0-0</f>
        <v>5491.1990839999999</v>
      </c>
      <c r="Q319" s="3">
        <f>4322.1+(1504.5-208.6)+(-11.021355+(-3.836475--0.53193))+0-0-0</f>
        <v>5603.6741000000002</v>
      </c>
      <c r="R319" s="3">
        <f>4366.8+(1388.9-216.9)+(-11.13534+(-3.541695--0.553095))+0-0-0</f>
        <v>5524.6760599999998</v>
      </c>
      <c r="S319" s="3">
        <f>4329.8+(1289.3-237.6)+(-8.832792+(-2.630172--0.484704))+0-0-0</f>
        <v>5370.5217400000001</v>
      </c>
      <c r="T319" s="3">
        <f>4369.5+(1150-209.3)+(-4.45689+(-1.173--0.213486))+0-0-0</f>
        <v>5304.7835960000002</v>
      </c>
      <c r="U319" s="3">
        <f>4379.4+(1056.7-198.5)+(-6.700482+(-1.616751--0.303705))+0-0-0</f>
        <v>5229.586471999999</v>
      </c>
      <c r="V319" s="3">
        <f>4451.2+(993-268.3)+(2.270112+(0.50643-0.136833))+0-0-0</f>
        <v>5178.5397089999997</v>
      </c>
      <c r="W319" s="3">
        <f>4703.7+(876.1-266.8)+(2.398887+(0.446811-0.136068))+0-0-0</f>
        <v>5315.7096300000003</v>
      </c>
      <c r="X319" s="3">
        <f>4764.1+(963-235)+(-4.859382+(-0.98226--0.2397))+0-0-0</f>
        <v>5486.4980580000001</v>
      </c>
      <c r="Y319" s="3">
        <f>4600.5+(1037.5-250.1)+(-7.038765+(-1.587375--0.382653))+0-0-0</f>
        <v>5379.6565129999999</v>
      </c>
      <c r="Z319" s="3">
        <f>4379.8+(1060.4-224.4)+(0+(0-0))+0-0-0</f>
        <v>5215.8</v>
      </c>
      <c r="AA319" s="3">
        <f>4349.6+(1088.2-354.1)+(-2.218296+(-0.554982--0.180591))+0-0-0</f>
        <v>5081.1073130000004</v>
      </c>
      <c r="AB319" s="3">
        <f>4286.1+(1142.7-483.8)+(2.185911+(0.582777-0.246738))+0-0-0</f>
        <v>4947.5219500000003</v>
      </c>
      <c r="AC319" s="3">
        <f>4254.7+(1105.2-601.5)+(-10.849485+(-2.81826--1.533825))+0-0-0</f>
        <v>4746.2660799999994</v>
      </c>
      <c r="AD319">
        <v>5523.2</v>
      </c>
      <c r="AE319" s="3">
        <f>4808+(947.4-188.2)+(0+(0-0))+0-0-0</f>
        <v>5567.2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4101.4+(1146.4-981.8)+(0+(0-0))+0-0-0</f>
        <v>4266</v>
      </c>
      <c r="G320" s="3">
        <f>3786.8+(993.5-899.9)+(3.862536+(1.01337-0.917898))+0-0-0</f>
        <v>3884.3580080000002</v>
      </c>
      <c r="H320" s="3">
        <f>3784.4+(932-1033.9)+(-1.930044+(-0.47532--0.527289))+0-0-0</f>
        <v>3680.6219249999999</v>
      </c>
      <c r="I320" s="3">
        <f>3650.2+(875.5-929.2)+(-3.723204+(-0.89301--0.947784))+0-0-0</f>
        <v>3592.8315699999998</v>
      </c>
      <c r="J320" s="3">
        <f>3595.4+(843.2-919.7)+(3.667308+(0.860064-0.938094))+0-0-0</f>
        <v>3522.489278</v>
      </c>
      <c r="K320" s="3">
        <f>3638.8+(772.7-925)+(1.855788+(0.394077-0.47175))+0-0-0</f>
        <v>3488.2781150000001</v>
      </c>
      <c r="L320" s="3">
        <f>3797.9+(799.2-1075.9)+(-15.495432+(-3.260736--4.389672))+0-0-0</f>
        <v>3506.8335039999997</v>
      </c>
      <c r="M320" s="3">
        <f>3568.2+(782-898.9)+(0+(0-0))+0-0-0</f>
        <v>3451.2999999999997</v>
      </c>
      <c r="N320" s="3">
        <f>3534.4+(790.7-689.6)+(-1.802544+(-0.403257--0.351696))+0-0-0</f>
        <v>3633.6458950000001</v>
      </c>
      <c r="O320" s="3">
        <f>3871.5+(759-775.5)+(1.974465+(0.38709-0.395505))+0-0-0</f>
        <v>3856.96605</v>
      </c>
      <c r="P320" s="3">
        <f>4063+(886.3-683)+(0+(0-0))+0-0-0</f>
        <v>4266.3</v>
      </c>
      <c r="Q320" s="3">
        <f>4015.7+(821.6-527.1)+(0+(0-0))+0-0-0</f>
        <v>4310.2</v>
      </c>
      <c r="R320" s="3">
        <f>4022.1+(873.7-436.1)+(-4.102542+(-0.891174--0.444822))+0-0-0</f>
        <v>4455.1511060000003</v>
      </c>
      <c r="S320" s="3">
        <f>4089.9+(419.9-282.4)+(-4.171698+(-0.428298--0.288048))+13.1-0-0</f>
        <v>4236.1880520000004</v>
      </c>
      <c r="T320" s="3">
        <f>4301.3+(347.8-516.4)+(-8.774652+(-0.709512--1.053456))+0-0-0</f>
        <v>4124.269292</v>
      </c>
      <c r="U320" s="3">
        <f>4226.4+(353-542.6)+(-2.155464+(-0.18003--0.276726))+0-0-0</f>
        <v>4034.7412319999999</v>
      </c>
      <c r="V320" s="3">
        <f>4267.2+(372.9-546.5)+(4.352544+(0.380358-0.55743))+0-0-0</f>
        <v>4097.7754720000003</v>
      </c>
      <c r="W320" s="3">
        <f>4419.1+(603.2-536.8)+(0+(0-0))+0-0-0</f>
        <v>4485.5</v>
      </c>
      <c r="X320" s="3">
        <f>4632.2+(711.9-441.1)+(-2.362422+(-0.363069--0.224961))+0-0-0</f>
        <v>4900.4994699999997</v>
      </c>
      <c r="Y320" s="3">
        <f>4477.1+(755.8-259.3)+(-2.283321+(-0.385458--0.132243))+0-0-0</f>
        <v>4971.0634640000007</v>
      </c>
      <c r="Z320" s="3">
        <f>4404.2+(684.5-236.2)+(0+(0-0))+0-0-0</f>
        <v>4852.5</v>
      </c>
      <c r="AA320" s="3">
        <f>4367.4+(652.4-286.7)+(-4.454748+(-0.665448--0.292434))+0-0-0</f>
        <v>4728.2722379999996</v>
      </c>
      <c r="AB320" s="3">
        <f>4333.5+(806.5-515.4)+(-2.210085+(-0.411315--0.262854))+0-0-0</f>
        <v>4622.241454</v>
      </c>
      <c r="AC320" s="3">
        <f>4103.4+(741.5-530.4)+(-2.092734+(-0.378165--0.270504))+0-0-0</f>
        <v>4312.2996050000002</v>
      </c>
      <c r="AD320">
        <v>5083.2</v>
      </c>
      <c r="AE320" s="3">
        <f>4645+(735.5-297.3)+(0+(0-0))+0-0-0</f>
        <v>5083.2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4009.2+(549.9-561.1)+(-6.134076+(-0.841347--0.858483))+0-0-0</f>
        <v>3991.8830600000001</v>
      </c>
      <c r="G321" s="3">
        <f>3885.2+(436.5-691.7)+(5.944356+(0.667845-1.058301))+0-0-0</f>
        <v>3635.5538999999999</v>
      </c>
      <c r="H321" s="3">
        <f>3863.3+(492-808.8)+(-5.910849+(-0.75276--1.237464))+0-0-0</f>
        <v>3541.0738550000001</v>
      </c>
      <c r="I321" s="3">
        <f>3811.2+(505.4-840.1)+(7.774848+(1.031016-1.713804))+0-0-0</f>
        <v>3483.5920599999999</v>
      </c>
      <c r="J321" s="3">
        <f>3753.3+(502.4-803.3)+(-1.914183+(-0.256224--0.409683))+0-0-0</f>
        <v>3450.6392759999999</v>
      </c>
      <c r="K321" s="3">
        <f>3787.2+(607-876.3)+(-5.794416+(-0.92871--1.340739))+0-0-0</f>
        <v>3512.5176129999995</v>
      </c>
      <c r="L321" s="3">
        <f>4005.7+(785-935.4)+(-2.042907+(-0.40035--0.477054))+0-0-0</f>
        <v>3853.3337969999998</v>
      </c>
      <c r="M321" s="3">
        <f>4091.9+(971.3-693.5)+(-2.086869+(-0.495363--0.353685))+0-0-0</f>
        <v>4367.4714530000001</v>
      </c>
      <c r="N321" s="3">
        <f>4468.9+(1004.2-517.2)+(0+(0-0))+0-0-0</f>
        <v>4955.8999999999996</v>
      </c>
      <c r="O321" s="3">
        <f>4475.5+(1082.1-151)+(4.56501+(1.103742-0.15402))+0-0-0</f>
        <v>5412.114732</v>
      </c>
      <c r="P321" s="3">
        <f>4451.6+(1375.9-122.1)+(0+(0-0))+0-0-0</f>
        <v>5705.4000000000005</v>
      </c>
      <c r="Q321" s="3">
        <f>4438.6+(1480.2-120)+(0+(0-0))+0-0-0</f>
        <v>5798.8</v>
      </c>
      <c r="R321" s="3">
        <f>4435.3+(1476.9-120.2)+(0+(0-0))+0-0-0</f>
        <v>5792</v>
      </c>
      <c r="S321" s="3">
        <f>4426+(1382.3-115.9)+(-4.51452+(-1.409946--0.118218))+0-0-0</f>
        <v>5686.5937519999998</v>
      </c>
      <c r="T321" s="3">
        <f>4511+(1402.8-128.2)+(-4.60122+(-1.430856--0.130764))+0-0-0</f>
        <v>5779.6986880000004</v>
      </c>
      <c r="U321" s="3">
        <f>4573+(1298-172.5)+(2.33223+(0.66198-0.087975))+0-0-0</f>
        <v>5701.4062350000004</v>
      </c>
      <c r="V321" s="3">
        <f>4547.5+(1237-141.2)+(-2.319225+(-0.63087--0.072012))+0-0-0</f>
        <v>5640.4219170000006</v>
      </c>
      <c r="W321" s="3">
        <f>4617.6+(1301.2-124.4)+(0+(0-0))+0-0-0</f>
        <v>5794.4000000000005</v>
      </c>
      <c r="X321" s="3">
        <f>4686.3+(1477.7-124)+(-7.170039+(-2.260881--0.18972))+0-0-0</f>
        <v>6030.7587999999996</v>
      </c>
      <c r="Y321" s="3">
        <f>4653.5+(1365.4-128.7)+(-4.74657+(-1.392708--0.131274))+0-0-0</f>
        <v>5884.1919959999996</v>
      </c>
      <c r="Z321" s="3">
        <f>4637.9+(1262.8-162.8)+(-9.461316+(-2.576112--0.332112))+0-0-0</f>
        <v>5726.1946840000001</v>
      </c>
      <c r="AA321" s="3">
        <f>4644.4+(980.6-204.4)+(2.368644+(0.500106-0.104244))+0-0-0</f>
        <v>5423.3645059999999</v>
      </c>
      <c r="AB321" s="3">
        <f>4644.9+(846.5-295.9)+(2.368899+(0.431715-0.150909))+0-0-0</f>
        <v>5198.1497049999998</v>
      </c>
      <c r="AC321" s="3">
        <f>4516.2+(746-444.1)+(-6.909786+(-1.14138--0.679473))+0-0-0</f>
        <v>4810.7283069999994</v>
      </c>
      <c r="AD321">
        <v>5985.9</v>
      </c>
      <c r="AE321" s="3">
        <f>4695+(1455.5-164.6)+(0+(0-0))+0-0-0</f>
        <v>5985.9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4020.8+(829.9-546.3)+(-4.101216+(-0.846498--0.557226))+0-0-0</f>
        <v>4300.0095120000005</v>
      </c>
      <c r="G322" s="3">
        <f>3795.2+(842.6-631.4)+(-5.806656+(-1.289178--0.966042))+0-0-0</f>
        <v>4000.2702079999995</v>
      </c>
      <c r="H322" s="3">
        <f>3733.2+(894.8-798.6)+(0+(0-0))+0-0-0</f>
        <v>3829.3999999999996</v>
      </c>
      <c r="I322" s="3">
        <f>3699.1+(852.2-793)+(0+(0-0))+0-0-0</f>
        <v>3758.3</v>
      </c>
      <c r="J322" s="3">
        <f>3543.7+(785.7-576.6)+(-1.807287+(-0.400707--0.294066))+0-0-0</f>
        <v>3750.8860719999998</v>
      </c>
      <c r="K322" s="3">
        <f>3690+(815.7-709.4)+(1.8819+(0.416007-0.361794))+0-0-0</f>
        <v>3798.2361130000004</v>
      </c>
      <c r="L322" s="3">
        <f>3940.6+(808.9-709.6)+(0+(0-0))+0-0-0</f>
        <v>4039.8999999999996</v>
      </c>
      <c r="M322" s="3">
        <f>4191.4+(1095.6-833)+(-4.275228+(-1.117512--0.84966))+0-0-0</f>
        <v>4449.4569199999996</v>
      </c>
      <c r="N322" s="3">
        <f>4249.8+(1115.6-390.6)+(4.334796+(1.137912-0.398412))+0-0-0</f>
        <v>4979.874296</v>
      </c>
      <c r="O322" s="3">
        <f>4451.5+(1148.8-213.8)+(-2.270265+(-0.585888--0.109038))+0-0-0</f>
        <v>5383.7528849999999</v>
      </c>
      <c r="P322" s="3">
        <f>4433.7+(1500.8-243.3)+(-2.261187+(-0.765408--0.124083))+0-0-0</f>
        <v>5688.2974880000002</v>
      </c>
      <c r="Q322" s="3">
        <f>4448+(1652-227.2)+(-9.07392+(-3.37008--0.463488))+0-0-0</f>
        <v>5860.8194880000001</v>
      </c>
      <c r="R322" s="3">
        <f>4435.9+(1566.6-163.7)+(-11.311545+(-3.99483--0.417435))+0-0-0</f>
        <v>5823.9110599999995</v>
      </c>
      <c r="S322" s="3">
        <f>4465.7+(1392.6-157.2)+(0+(0-0))+0-0-0</f>
        <v>5701.0999999999995</v>
      </c>
      <c r="T322" s="3">
        <f>4486.5+(1448.7-115.2)+(0+(0-0))+0-0-0</f>
        <v>5820</v>
      </c>
      <c r="U322" s="3">
        <f>4502.3+(1352.9-142.7)+(2.296173+(0.689979-0.072777))+0-0-0</f>
        <v>5715.4133750000001</v>
      </c>
      <c r="V322" s="3">
        <f>4495.5+(1312.4-138.2)+(-9.17082+(-2.677296--0.281928))+0-0-0</f>
        <v>5658.133812</v>
      </c>
      <c r="W322" s="3">
        <f>4655.1+(1305.6-138.7)+(0+(0-0))+0-0-0</f>
        <v>5822</v>
      </c>
      <c r="X322" s="3">
        <f>4786.9+(1437.1-156.3)+(-4.882638+(-1.465842--0.159426))+0-0-0</f>
        <v>6061.5109459999994</v>
      </c>
      <c r="Y322" s="3">
        <f>4685.4+(1364.3-153.3)+(-11.94777+(-3.478965--0.390915))+0-0-0</f>
        <v>5881.3641799999996</v>
      </c>
      <c r="Z322" s="3">
        <f>4696.9+(1165.6-155)+(-7.186257+(-1.783368--0.23715))+0-0-0</f>
        <v>5698.7675250000002</v>
      </c>
      <c r="AA322" s="3">
        <f>4664.5+(980.5-232.8)+(-2.378895+(-0.500055--0.118728))+0-0-0</f>
        <v>5409.4397779999999</v>
      </c>
      <c r="AB322" s="3">
        <f>4652.7+(882-348.4)+(-4.745754+(-0.89964--0.355368))+0-0-0</f>
        <v>5181.0099740000005</v>
      </c>
      <c r="AC322" s="3">
        <f>4615+(728.8-545.5)+(-4.7073+(-0.743376--0.55641))+0-0-0</f>
        <v>4793.4057339999999</v>
      </c>
      <c r="AD322">
        <v>6041.8</v>
      </c>
      <c r="AE322" s="3">
        <f>4770+(1435.6-163.8)+(0+(0-0))+0-0-0</f>
        <v>6041.8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4083.6+(664.1-724.8)+(-10.41318+(-1.693455--1.84824))+0-0-0</f>
        <v>4012.6416050000003</v>
      </c>
      <c r="G323" s="3">
        <f>4094.4+(462-657.1)+(-4.176288+(-0.47124--0.670242))+0-0-0</f>
        <v>3895.3227140000004</v>
      </c>
      <c r="H323" s="3">
        <f>3953.7+(547.9-776.9)+(-6.049161+(-0.838287--1.188657))+0-0-0</f>
        <v>3719.001209</v>
      </c>
      <c r="I323" s="3">
        <f>3971.2+(642.7-989.5)+(4.050624+(0.655554-1.00929))+0-0-0</f>
        <v>3628.0968879999996</v>
      </c>
      <c r="J323" s="3">
        <f>3945.6+(605-927.7)+(-6.036768+(-0.92565--1.419381))+0-0-0</f>
        <v>3617.3569629999997</v>
      </c>
      <c r="K323" s="3">
        <f>3992+(696.8-1029.7)+(2.03592+(0.355368-0.525147))+0-0-0</f>
        <v>3660.9661409999999</v>
      </c>
      <c r="L323" s="3">
        <f>4297+(949.5-1221.2)+(-4.38294+(-0.96849--1.245624))+0-0-0</f>
        <v>4021.1941940000002</v>
      </c>
      <c r="M323" s="3">
        <f>4410.7+(999.7-990.3)+(-6.748371+(-1.529541--1.515159))+0-0-0</f>
        <v>4413.3372470000004</v>
      </c>
      <c r="N323" s="3">
        <f>4544.1+(1175.8-722.8)+(6.952473+(1.798974-1.105884))+0-0-0</f>
        <v>5004.7455630000004</v>
      </c>
      <c r="O323" s="3">
        <f>4470.6+(1244.7-244.8)+(2.280006+(0.634797-0.124848))+0-0-0</f>
        <v>5473.2899550000002</v>
      </c>
      <c r="P323" s="3">
        <f>4306.5+(1561.1-159.9)+(2.196315+(0.796161-0.081549))+0-0-0</f>
        <v>5710.6109269999997</v>
      </c>
      <c r="Q323" s="3">
        <f>4296.7+(1678.1-143.5)+(-2.191317+(-0.855831--0.073185))+0-0-0</f>
        <v>5828.3260369999989</v>
      </c>
      <c r="R323" s="3">
        <f>4356.7+(1624.2-152.3)+(0+(0-0))+0-0-0</f>
        <v>5828.6</v>
      </c>
      <c r="S323" s="3">
        <f>4375.7+(1556-223.2)+(-6.694821+(-2.38068--0.341496))+0-0-0</f>
        <v>5699.7659949999997</v>
      </c>
      <c r="T323" s="3">
        <f>4414.6+(1773.9-446.6)+(-2.251446+(-0.904689--0.227766))+0-0-0</f>
        <v>5738.9716310000003</v>
      </c>
      <c r="U323" s="3">
        <f>4492.1+(1685.4-544.2)+(-4.581942+(-1.719108--0.555084))+0-0-0</f>
        <v>5627.5540339999998</v>
      </c>
      <c r="V323" s="3">
        <f>4553.9+(1583.9-526.4)+(4.644978+(1.615578-0.536928))+0-0-0</f>
        <v>5617.1236279999994</v>
      </c>
      <c r="W323" s="3">
        <f>4643.1+(1323.4-191.1)+(7.103943+(2.024802-0.292383))+0-0-0</f>
        <v>5784.2363620000006</v>
      </c>
      <c r="X323" s="3">
        <f>4691+(1545.4-157)+(0+(0-0))+0-0-0</f>
        <v>6079.4</v>
      </c>
      <c r="Y323" s="3">
        <f>4646.5+(1388.5-154.9)+(-7.109145+(-2.124405--0.236997))+0-0-0</f>
        <v>5871.1034470000004</v>
      </c>
      <c r="Z323" s="3">
        <f>4491.5+(1411.4-147.3)+(-2.290665+(-0.719814--0.075123))+0-0-0</f>
        <v>5752.6646440000004</v>
      </c>
      <c r="AA323" s="3">
        <f>4430.6+(1167.4-146.1)+(-2.259606+(-0.595374--0.074511))+0-0-0</f>
        <v>5449.1195310000003</v>
      </c>
      <c r="AB323" s="3">
        <f>4408.6+(973.5-172.2)+(-6.745158+(-1.489455--0.263466))+0-0-0</f>
        <v>5201.9288530000003</v>
      </c>
      <c r="AC323" s="3">
        <f>4251.1+(822.4-233.1)+(-6.504183+(-1.258272--0.356643))+0-0-0</f>
        <v>4832.9941880000006</v>
      </c>
      <c r="AD323">
        <v>6107.1</v>
      </c>
      <c r="AE323" s="3">
        <f>4692+(1571.3-156.2)+(0+(0-0))+0-0-0</f>
        <v>6107.1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4027.4+(862.8-569.8)+(0+(0-0))+0-0-0</f>
        <v>4320.3999999999996</v>
      </c>
      <c r="G324" s="3">
        <f>3937+(895.6-855.7)+(-2.00787+(-0.456756--0.436407))+0-0-0</f>
        <v>3974.8717810000003</v>
      </c>
      <c r="H324" s="3">
        <f>3872.3+(900.1-1023.1)+(5.924619+(1.377153-1.565343))+0-0-0</f>
        <v>3755.0364290000002</v>
      </c>
      <c r="I324" s="3">
        <f>3846.3+(785.5-964.4)+(-5.884839+(-1.201815--1.475532))+0-0-0</f>
        <v>3661.7888780000003</v>
      </c>
      <c r="J324" s="3">
        <f>3859.9+(828.2-1037.1)+(1.968549+(0.422382-0.528921))+0-0-0</f>
        <v>3652.8620099999998</v>
      </c>
      <c r="K324" s="3">
        <f>3905.2+(993.1-1195.1)+(1.991652+(0.506481-0.609501))+0-0-0</f>
        <v>3705.088632</v>
      </c>
      <c r="L324" s="3">
        <f>4088.8+(1306-1471.3)+(-6.255864+(-1.99818--2.251089))+0-0-0</f>
        <v>3917.4970450000001</v>
      </c>
      <c r="M324" s="3">
        <f>4194.4+(1403-1254.1)+(2.139144+(0.71553-0.639591))+0-0-0</f>
        <v>4345.5150829999993</v>
      </c>
      <c r="N324" s="3">
        <f>4428.6+(1354.7-828.4)+(4.517172+(1.381794-0.844968))+0-0-0</f>
        <v>4959.9539980000009</v>
      </c>
      <c r="O324" s="3">
        <f>4392.2+(1279.3-280.3)+(4.480044+(1.304886-0.285906))+0-0-0</f>
        <v>5396.6990239999996</v>
      </c>
      <c r="P324" s="3">
        <f>4366.8+(1480-170.2)+(-2.227068+(-0.7548--0.086802))+0-0-0</f>
        <v>5673.7049340000003</v>
      </c>
      <c r="Q324" s="3">
        <f>4364.6+(1600.2-166.3)+(-4.451892+(-1.632204--0.169626))+0-0-0</f>
        <v>5792.5855300000003</v>
      </c>
      <c r="R324" s="3">
        <f>4362.7+(1547.3-178.3)+(-11.124885+(-3.945615--0.454665))+0-0-0</f>
        <v>5717.0841650000002</v>
      </c>
      <c r="S324" s="3">
        <f>4394.4+(1355.3-184.8)+(0+(0-0))+0-0-0</f>
        <v>5564.9</v>
      </c>
      <c r="T324" s="3">
        <f>4406.3+(1409.2-188.1)+(2.247213+(0.718692-0.095931))+0-0-0</f>
        <v>5630.2699740000007</v>
      </c>
      <c r="U324" s="3">
        <f>4386.1+(1424.8-190.2)+(-2.236911+(-0.726648--0.097002))+0-0-0</f>
        <v>5617.8334430000004</v>
      </c>
      <c r="V324" s="3">
        <f>4431.8+(1449.5-182.3)+(4.520436+(1.47849-0.185946))+0-0-0</f>
        <v>5704.8129799999997</v>
      </c>
      <c r="W324" s="3">
        <f>4495.9+(1587.6-160)+(4.585818+(1.619352-0.1632))+0-0-0</f>
        <v>5929.5419700000002</v>
      </c>
      <c r="X324" s="3">
        <f>4572.1+(1677.8-162.3)+(2.331771+(0.855678-0.082773))+0-0-0</f>
        <v>6090.7046760000003</v>
      </c>
      <c r="Y324" s="3">
        <f>4537+(1561.6-162.4)+(-9.25548+(-3.185664--0.331296))+0-0-0</f>
        <v>5924.0901519999998</v>
      </c>
      <c r="Z324" s="3">
        <f>4489+(1413.6-160.4)+(-11.44695+(-3.60468--0.40902))+0-0-0</f>
        <v>5727.5573899999999</v>
      </c>
      <c r="AA324" s="3">
        <f>4487.9+(1083.4-169.5)+(-2.288829+(-0.552534--0.086445))+0-0-0</f>
        <v>5399.0450819999996</v>
      </c>
      <c r="AB324" s="3">
        <f>4451.4+(953.2-223.9)+(0+(0-0))+0-0-0</f>
        <v>5180.7</v>
      </c>
      <c r="AC324" s="3">
        <f>4365.3+(1003.3-606.9)+(-4.452606+(-1.023366--0.619038))+0-0-0</f>
        <v>4756.8430659999995</v>
      </c>
      <c r="AD324">
        <v>6100.7</v>
      </c>
      <c r="AE324" s="3">
        <f>4579+(1691.3-169.6)+(0+(0-0))+0-0-0</f>
        <v>6100.7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4126.6+(912.1-662.6)+(0+(0-0))+0-0-0</f>
        <v>4376.1000000000004</v>
      </c>
      <c r="G325" s="3">
        <f>4048.4+(776.7-781.4)+(0+(0-0))+0-0-0</f>
        <v>4043.7000000000003</v>
      </c>
      <c r="H325" s="3">
        <f>3990.2+(802.8-904.6)+(0+(0-0))+0-0-0</f>
        <v>3888.3999999999996</v>
      </c>
      <c r="I325" s="3">
        <f>3975.7+(688.3-839.6)+(-6.082821+(-1.053099--1.284588))+0-0-0</f>
        <v>3818.5486679999995</v>
      </c>
      <c r="J325" s="3">
        <f>3994.8+(676.6-850.8)+(4.074696+(0.690132-0.867816))+0-0-0</f>
        <v>3824.4970120000003</v>
      </c>
      <c r="K325" s="3">
        <f>4083.6+(592.9-782.7)+(4.165272+(0.604758-0.798354))+0-0-0</f>
        <v>3897.7716759999998</v>
      </c>
      <c r="L325" s="3">
        <f>4174.1+(857.4-920.9)+(0+(0-0))+0-0-0</f>
        <v>4110.6000000000004</v>
      </c>
      <c r="M325" s="3">
        <f>4262.8+(1088.4-769.4)+(0+(0-0))+0-0-0</f>
        <v>4581.8</v>
      </c>
      <c r="N325" s="3">
        <f>4349.4+(1051-299.2)+(-2.218194+(-0.53601--0.152592))+0-0-0</f>
        <v>5098.5983879999994</v>
      </c>
      <c r="O325" s="3">
        <f>4399.2+(1368.5-158)+(-2.243592+(-0.697935--0.08058))+0-0-0</f>
        <v>5606.8390529999997</v>
      </c>
      <c r="P325" s="3">
        <f>4526.3+(1544.1-172.1)+(-2.308413+(-0.787491--0.087771))+0-0-0</f>
        <v>5895.2918669999999</v>
      </c>
      <c r="Q325" s="3">
        <f>4518.7+(1714.9-165.4)+(-4.609074+(-1.749198--0.168708))+0-0-0</f>
        <v>6062.0104359999996</v>
      </c>
      <c r="R325" s="3">
        <f>4491.9+(1675.5-169.2)+(-6.872607+(-2.563515--0.258876))+0-0-0</f>
        <v>5989.0227539999996</v>
      </c>
      <c r="S325" s="3">
        <f>4464.4+(1564.3-164.2)+(-6.830532+(-2.393379--0.251226))+0-0-0</f>
        <v>5855.5273150000003</v>
      </c>
      <c r="T325" s="3">
        <f>4341.2+(1719.8-158.4)+(0+(0-0))+0-0-0</f>
        <v>5902.5999999999995</v>
      </c>
      <c r="U325" s="3">
        <f>4464.5+(1504.9-166.7)+(4.55379+(1.534998-0.170034))+0-0-0</f>
        <v>5808.6187540000001</v>
      </c>
      <c r="V325" s="3">
        <f>4521.6+(1377.4-172.3)+(2.306016+(0.702474-0.087873))+0-0-0</f>
        <v>5729.6206170000005</v>
      </c>
      <c r="W325" s="3">
        <f>4643.9+(1356.3-156)+(4.736778+(1.383426-0.15912))+0-0-0</f>
        <v>5850.1610839999994</v>
      </c>
      <c r="X325" s="3">
        <f>4770.1+(1415.7-167.1)+(-12.163755+(-3.610035--0.426105))+0-0-0</f>
        <v>6003.352315000001</v>
      </c>
      <c r="Y325" s="3">
        <f>4673+(1333.5-155.3)+(-7.14969+(-2.040255--0.237609))+0-0-0</f>
        <v>5842.2476639999995</v>
      </c>
      <c r="Z325" s="3">
        <f>4607.7+(1278.8-201)+(-2.349927+(-0.652188--0.10251))+0-0-0</f>
        <v>5682.6003950000004</v>
      </c>
      <c r="AA325" s="3">
        <f>4628.1+(1028.7-237.4)+(2.360331+(0.524637-0.121074))+0-0-0</f>
        <v>5422.1638940000003</v>
      </c>
      <c r="AB325" s="3">
        <f>4660.6+(831.4-293.5)+(2.376906+(0.424014-0.149685))+0-0-0</f>
        <v>5201.1512350000003</v>
      </c>
      <c r="AC325" s="3">
        <f>4543.7+(759.3-475.9)+(0+(0-0))+0-0-0</f>
        <v>4827.0999999999995</v>
      </c>
      <c r="AD325">
        <v>6004.5</v>
      </c>
      <c r="AE325" s="3">
        <f>4792+(1386.4-173.9)+(0+(0-0))+0-0-0</f>
        <v>6004.5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4223.1+(824.2-905.4)+(-10.768905+(-2.10171--2.30877))+0-0-0</f>
        <v>4131.3381550000004</v>
      </c>
      <c r="G326" s="3">
        <f>4126.8+(700.9-875.5)+(-4.209336+(-0.714918--0.89301))+0-0-0</f>
        <v>3948.1687560000005</v>
      </c>
      <c r="H326" s="3">
        <f>3909.1+(660.3-884.3)+(-11.961846+(-2.020518--2.705958))+0-0-0</f>
        <v>3673.823594</v>
      </c>
      <c r="I326" s="3">
        <f>3747.8+(538-681.2)+(3.822756+(0.54876-0.694824))+0-0-0</f>
        <v>3608.2766920000004</v>
      </c>
      <c r="J326" s="3">
        <f>3763.1+(535.2-731.5)+(-1.919181+(-0.272952--0.373065))+0-0-0</f>
        <v>3564.9809320000004</v>
      </c>
      <c r="K326" s="3">
        <f>4013.4+(523.4-934)+(6.140502+(0.800802-1.42902))+0-0-0</f>
        <v>3608.3122840000001</v>
      </c>
      <c r="L326" s="3">
        <f>4365.5+(628.9-1080.8)+(4.45281+(0.641478-1.102416))+0-0-0</f>
        <v>3917.591872</v>
      </c>
      <c r="M326" s="3">
        <f>4374.3+(704.1-914)+(4.461786+(0.718182-0.93228))+0-0-0</f>
        <v>4168.6476880000009</v>
      </c>
      <c r="N326" s="3">
        <f>4543.9+(686.3-500.7)+(2.317389+(0.350013-0.255357))+0-0-0</f>
        <v>4731.912045</v>
      </c>
      <c r="O326" s="3">
        <f>4702.3+(730.6-237.8)+(2.398173+(0.372606-0.121278))+0-0-0</f>
        <v>5197.7495010000002</v>
      </c>
      <c r="P326" s="3">
        <f>4697.8+(1028.8-229.4)+(2.395878+(0.524688-0.116994))+0-0-0</f>
        <v>5500.0035719999996</v>
      </c>
      <c r="Q326" s="3">
        <f>4658.8+(1182.2-219.8)+(0+(0-0))+0-0-0</f>
        <v>5621.2000000000007</v>
      </c>
      <c r="R326" s="3">
        <f>4627.4+(1072-226.8)+(-7.079922+(-1.64016--0.347004))+0-0-0</f>
        <v>5464.2269219999998</v>
      </c>
      <c r="S326" s="3">
        <f>4630.2+(830.9-245.9)+(0+(0-0))+0-0-0</f>
        <v>5215.2</v>
      </c>
      <c r="T326" s="3">
        <f>4651.1+(844.8-354)+(0+(0-0))+0-0-0</f>
        <v>5141.9000000000005</v>
      </c>
      <c r="U326" s="3">
        <f>4619.1+(884.7-491.5)+(-4.711482+(-0.902394--0.50133))+0-0-0</f>
        <v>5007.1874539999999</v>
      </c>
      <c r="V326" s="3">
        <f>4586+(868.3-523.7)+(-4.67772+(-0.885666--0.534174))+0-0-0</f>
        <v>4925.570788</v>
      </c>
      <c r="W326" s="3">
        <f>4666.9+(703.8-248.3)+(-2.380119+(-0.358938--0.126633))+0-0-0</f>
        <v>5119.7875759999997</v>
      </c>
      <c r="X326" s="3">
        <f>4768.2+(911.7-243.9)+(-4.863564+(-0.929934--0.248778))+0-0-0</f>
        <v>5430.4552800000001</v>
      </c>
      <c r="Y326" s="3">
        <f>4722+(906.4-257.7)+(-9.63288+(-1.849056--0.525708))+0-0-0</f>
        <v>5359.7437719999998</v>
      </c>
      <c r="Z326" s="3">
        <f>4556.7+(944-250.3)+(-11.619585+(-2.4072--0.638265))+0-0-0</f>
        <v>5237.0114799999992</v>
      </c>
      <c r="AA326" s="3">
        <f>4414.7+(921.7-285.1)+(-2.251497+(-0.470067--0.145401))+0-0-0</f>
        <v>5048.7238370000005</v>
      </c>
      <c r="AB326" s="3">
        <f>4410.5+(843.9-404)+(2.249355+(0.430389-0.20604))+0-0-0</f>
        <v>4852.8737039999996</v>
      </c>
      <c r="AC326" s="3">
        <f>4372.9+(852.8-633.6)+(-2.230179+(-0.434928--0.323136))+0-0-0</f>
        <v>4589.7580289999996</v>
      </c>
      <c r="AD326">
        <v>5436.5</v>
      </c>
      <c r="AE326" s="3">
        <f>4764+(927.3-254.8)+(0+(0-0))+0-0-0</f>
        <v>5436.5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3858.5+(733.4-822)+(-5.903505+(-1.122102--1.25766))+0-0-0</f>
        <v>3764.1320530000003</v>
      </c>
      <c r="G327" s="3">
        <f>3724+(681.1-919.5)+(1.89924+(0.347361-0.468945))+0-0-0</f>
        <v>3487.3776560000001</v>
      </c>
      <c r="H327" s="3">
        <f>3642.3+(682.2-928.1)+(-3.715146+(-0.695844--0.946662))+0-0-0</f>
        <v>3392.9356720000001</v>
      </c>
      <c r="I327" s="3">
        <f>3620.4+(634.8-930.1)+(1.846404+(0.323748-0.474351))+0-0-0</f>
        <v>3326.7958009999998</v>
      </c>
      <c r="J327" s="3">
        <f>3756.7+(601-1026.9)+(-3.831834+(-0.61302--1.047438))+0-0-0</f>
        <v>3327.4025839999999</v>
      </c>
      <c r="K327" s="3">
        <f>3814.4+(663.7-1112)+(3.890688+(0.676974-1.13424))+0-0-0</f>
        <v>3369.5334220000004</v>
      </c>
      <c r="L327" s="3">
        <f>4030.9+(690.9-1270.5)+(-2.055759+(-0.352359--0.647955))+0-0-0</f>
        <v>3449.5398370000003</v>
      </c>
      <c r="M327" s="3">
        <f>3971+(721.9-1323.1)+(0+(0-0))+0-0-0</f>
        <v>3369.8</v>
      </c>
      <c r="N327" s="3">
        <f>4196+(651.9-1285.4)+(4.27992+(0.664938-1.311108))+0-0-0</f>
        <v>3566.13375</v>
      </c>
      <c r="O327" s="3">
        <f>4367.1+(466-923)+(0+(0-0))+0-0-0</f>
        <v>3910.1000000000004</v>
      </c>
      <c r="P327" s="3">
        <f>4388.3+(512.8-632.1)+(0+(0-0))+0-0-0</f>
        <v>4269</v>
      </c>
      <c r="Q327" s="3">
        <f>4370.2+(485.3-361.9)+(6.686406+(0.742509-0.553707))+0-0-0</f>
        <v>4500.4752079999998</v>
      </c>
      <c r="R327" s="3">
        <f>4391.6+(460.5-331.6)+(-8.958864+(-0.93942--0.676464))+0-0-0</f>
        <v>4511.2781800000002</v>
      </c>
      <c r="S327" s="3">
        <f>4478.8+(340.1-334.5)+(-2.284188+(-0.173451--0.170595))+0-0-0</f>
        <v>4482.1129560000008</v>
      </c>
      <c r="T327" s="3">
        <f>4325.3+(365.1-306.2)+(0+(0-0))+0-0-0</f>
        <v>4384.2</v>
      </c>
      <c r="U327" s="3">
        <f>4217.9+(496.3-428)+(-6.453387+(-0.759339--0.65484))+0-0-0</f>
        <v>4279.6421140000002</v>
      </c>
      <c r="V327" s="3">
        <f>4306.7+(742.1-741.8)+(-2.196417+(-0.378471--0.378318))+0-0-0</f>
        <v>4304.8034299999999</v>
      </c>
      <c r="W327" s="3">
        <f>4464.6+(783.9-689.8)+(-4.553892+(-0.799578--0.703596))+0-0-0</f>
        <v>4554.050126000001</v>
      </c>
      <c r="X327" s="3">
        <f>4779.6+(669.5-544.1)+(-2.437596+(-0.341445--0.277491))+0-0-0</f>
        <v>4902.49845</v>
      </c>
      <c r="Y327" s="3">
        <f>4638.8+(666-435.5)+(-7.097364+(-1.01898--0.666315))+0-0-0</f>
        <v>4861.8499710000006</v>
      </c>
      <c r="Z327" s="3">
        <f>4263.7+(933.2-398.3)+(-4.348974+(-0.951864--0.406266))+0-0-0</f>
        <v>4793.7054280000002</v>
      </c>
      <c r="AA327" s="3">
        <f>4208.8+(918-418.6)+(-8.585952+(-1.87272--0.853944))+0-0-0</f>
        <v>4698.5952719999996</v>
      </c>
      <c r="AB327" s="3">
        <f>4128.2+(889.8-479.6)+(-2.105382+(-0.453798--0.244596))+0-0-0</f>
        <v>4536.0854159999999</v>
      </c>
      <c r="AC327" s="3">
        <f>3973.6+(754.7-360.5)+(4.053072+(0.769794-0.36771))+0-0-0</f>
        <v>4372.2551560000002</v>
      </c>
      <c r="AD327">
        <v>4894.5</v>
      </c>
      <c r="AE327" s="3">
        <f>4784+(690.4-579.9)+(0+(0-0))+0-0-0</f>
        <v>4894.5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3889.8+(491.7-406.8)+(-7.935192+(-1.003068--0.829872))+0-0-0</f>
        <v>3966.5916120000002</v>
      </c>
      <c r="G328" s="3">
        <f>3815.8+(366-555)+(-3.892116+(-0.37332--0.5661))+0-0-0</f>
        <v>3623.1006640000001</v>
      </c>
      <c r="H328" s="3">
        <f>3697.3+(408.4-684.3)+(-7.542492+(-0.833136--1.395972))+0-0-0</f>
        <v>3414.4203440000001</v>
      </c>
      <c r="I328" s="3">
        <f>3689.3+(407.6-767.6)+(1.881543+(0.207876-0.391476))+0-0-0</f>
        <v>3330.9979430000003</v>
      </c>
      <c r="J328" s="3">
        <f>3679+(338.1-747.1)+(-5.62887+(-0.517293--1.143063))+0-0-0</f>
        <v>3264.9969000000001</v>
      </c>
      <c r="K328" s="3">
        <f>3713+(343.5-755.5)+(1.89363+(0.175185-0.385305))+0-0-0</f>
        <v>3302.6835099999998</v>
      </c>
      <c r="L328" s="3">
        <f>3884.2+(426-984.8)+(1.980942+(0.21726-0.502248))+0-0-0</f>
        <v>3327.0959539999994</v>
      </c>
      <c r="M328" s="3">
        <f>4015.4+(424.8-1134.2)+(-6.143562+(-0.649944--1.735326))+0-0-0</f>
        <v>3300.94182</v>
      </c>
      <c r="N328" s="3">
        <f>4247.2+(688.7-1385.9)+(-2.166072+(-0.351237--0.706809))+0-0-0</f>
        <v>3548.1895</v>
      </c>
      <c r="O328" s="3">
        <f>4605.7+(574.5-1315.2)+(0+(0-0))+0-0-0</f>
        <v>3865</v>
      </c>
      <c r="P328" s="3">
        <f>4615.9+(518.8-951.1)+(-4.708218+(-0.529176--0.970122))+0-0-0</f>
        <v>4179.3327279999994</v>
      </c>
      <c r="Q328" s="3">
        <f>4693.6+(461.5-764.1)+(-7.181208+(-0.706095--1.169073))+0-0-0</f>
        <v>4384.2817699999996</v>
      </c>
      <c r="R328" s="3">
        <f>4709.4+(463.9-772.3)+(-7.205382+(-0.709767--1.181619))+0-0-0</f>
        <v>4394.2664699999996</v>
      </c>
      <c r="S328" s="3">
        <f>4696.9+(495.1-769.9)+(-9.581676+(-1.010004--1.570596))+0-0-0</f>
        <v>4413.0789159999995</v>
      </c>
      <c r="T328" s="3">
        <f>4496.8+(508.6-764.8)+(-2.293368+(-0.259386--0.390048))+0-0-0</f>
        <v>4238.4372940000003</v>
      </c>
      <c r="U328" s="3">
        <f>4683.2+(503.8-787.7)+(0+(0-0))+0-0-0</f>
        <v>4399.3</v>
      </c>
      <c r="V328" s="3">
        <f>4498.5+(464.1-641.9)+(-2.294235+(-0.236691--0.327369))+0-0-0</f>
        <v>4318.496443</v>
      </c>
      <c r="W328" s="3">
        <f>4892.4+(350.4-546)+(0+(0-0))+0-0-0</f>
        <v>4696.7999999999993</v>
      </c>
      <c r="X328" s="3">
        <f>5051+(596.6-706)+(-5.15202+(-0.608532--0.72012))+0-0-0</f>
        <v>4936.5595680000006</v>
      </c>
      <c r="Y328" s="3">
        <f>5058.6+(702.7-669.2)+(-2.579886+(-0.358377--0.341292))+0-0-0</f>
        <v>5089.5030290000004</v>
      </c>
      <c r="Z328" s="3">
        <f>4790.2+(841.9-587.7)+(-4.886004+(-0.858738--0.599454))+0-0-0</f>
        <v>5039.2547119999999</v>
      </c>
      <c r="AA328" s="3">
        <f>4549.4+(874.3-509.6)+(0+(0-0))+0-0-0</f>
        <v>4914.0999999999995</v>
      </c>
      <c r="AB328" s="3">
        <f>4371.7+(886.5-517.7)+(-2.229567+(-0.452115--0.264027))+0-0-0</f>
        <v>4738.0823449999998</v>
      </c>
      <c r="AC328" s="3">
        <f>4118.4+(740.7-450.3)+(-10.50192+(-1.888785--1.148265))+0-0-0</f>
        <v>4397.5575599999993</v>
      </c>
      <c r="AD328">
        <v>5093.5</v>
      </c>
      <c r="AE328" s="3">
        <f>5047+(725.6-679.1)+(0+(0-0))+0-0-0</f>
        <v>5093.5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4134.1+(311-472.1)+(-6.325173+(-0.47583--0.722313))+0-0-0</f>
        <v>3966.9213100000006</v>
      </c>
      <c r="G329" s="3">
        <f>4127.3+(367.8-814.3)+(-6.314769+(-0.562734--1.245879))+0-0-0</f>
        <v>3675.1683760000001</v>
      </c>
      <c r="H329" s="3">
        <f>4117+(313-893.1)+(-8.39868+(-0.63852--1.821924))+0-0-0</f>
        <v>3529.6847240000002</v>
      </c>
      <c r="I329" s="3">
        <f>3929.5+(368.2-832.4)+(-2.004045+(-0.187782--0.424524))+0-0-0</f>
        <v>3463.5326970000001</v>
      </c>
      <c r="J329" s="3">
        <f>3927.2+(413.8-877)+(6.008616+(0.633114-1.34181))+0-0-0</f>
        <v>3469.2999199999999</v>
      </c>
      <c r="K329" s="3">
        <f>3978.5+(368.1-797.4)+(2.029035+(0.187731-0.406674))+0-0-0</f>
        <v>3551.010092</v>
      </c>
      <c r="L329" s="3">
        <f>4272.3+(594.7-1049.4)+(2.178873+(0.303297-0.535194))+0-0-0</f>
        <v>3819.5469760000005</v>
      </c>
      <c r="M329" s="3">
        <f>4506.1+(792.9-1028.8)+(0+(0-0))+0-0-0</f>
        <v>4270.2000000000007</v>
      </c>
      <c r="N329" s="3">
        <f>4748.5+(1003.2-885.6)+(4.84347+(1.023264-0.903312))+0-0-0</f>
        <v>4871.0634220000002</v>
      </c>
      <c r="O329" s="3">
        <f>4921.9+(948.1-550.8)+(2.510169+(0.483531-0.280908))+0-0-0</f>
        <v>5321.9127920000001</v>
      </c>
      <c r="P329" s="3">
        <f>4991.7+(953.2-339.8)+(2.545767+(0.486132-0.173298))+0-0-0</f>
        <v>5607.9586010000003</v>
      </c>
      <c r="Q329" s="3">
        <f>4915.7+(1068.6-251.4)+(-5.014014+(-1.089972--0.256428))+0-0-0</f>
        <v>5727.0524419999992</v>
      </c>
      <c r="R329" s="3">
        <f>4918.6+(1038.6-286.2)+(-12.54243+(-2.64843--0.72981))+0-0-0</f>
        <v>5656.5389500000001</v>
      </c>
      <c r="S329" s="3">
        <f>4755.4+(1023.3-259.4)+(-4.850508+(-1.043766--0.264588))+0-0-0</f>
        <v>5513.6703139999991</v>
      </c>
      <c r="T329" s="3">
        <f>4601.2+(1221.5-245.4)+(-7.039836+(-1.868895--0.375462))+0-0-0</f>
        <v>5568.7667310000006</v>
      </c>
      <c r="U329" s="3">
        <f>4613.2+(1186.8-275)+(-2.352732+(-0.605268--0.14025))+0-0-0</f>
        <v>5522.1822499999998</v>
      </c>
      <c r="V329" s="3">
        <f>4582.5+(1158.7-258.8)+(2.337075+(0.590937-0.131988))+0-0-0</f>
        <v>5485.1960239999999</v>
      </c>
      <c r="W329" s="3">
        <f>4613.2+(1262-259)+(0+(0-0))+0-0-0</f>
        <v>5616.2</v>
      </c>
      <c r="X329" s="3">
        <f>5042.1+(1150.1-268.8)+(-2.571471+(-0.586551--0.137088))+0-0-0</f>
        <v>5920.3790660000004</v>
      </c>
      <c r="Y329" s="3">
        <f>5065.7+(1072.6-334.6)+(0+(0-0))+0-0-0</f>
        <v>5803.7</v>
      </c>
      <c r="Z329" s="3">
        <f>4840.5+(1204.8-392)+(-12.343275+(-3.07224--0.9996))+0-0-0</f>
        <v>5638.8840850000006</v>
      </c>
      <c r="AA329" s="3">
        <f>4775.2+(1089.1-476.4)+(0+(0-0))+0-0-0</f>
        <v>5387.9</v>
      </c>
      <c r="AB329" s="3">
        <f>4638.8+(1195.9-670.8)+(-11.82894+(-3.049545--1.71054))+0-0-0</f>
        <v>5150.7320550000004</v>
      </c>
      <c r="AC329" s="3">
        <f>4159+(1160.1-551.6)+(-10.60545+(-2.958255--1.40658))+0-0-0</f>
        <v>4755.3428750000003</v>
      </c>
      <c r="AD329">
        <v>5894.5</v>
      </c>
      <c r="AE329" s="3">
        <f>5212+(986.9-304.4)+(0+(0-0))+0-0-0</f>
        <v>5894.5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4092.5+(571.9-412.9)+(-4.17435+(-0.583338--0.421158))+0-0-0</f>
        <v>4247.1634700000004</v>
      </c>
      <c r="G330" s="3">
        <f>4054.6+(302.7-405.7)+(8.271384+(0.617508-0.827628))+0-0-0</f>
        <v>3959.6612639999998</v>
      </c>
      <c r="H330" s="3">
        <f>4031.7+(313.5-559.6)+(6.168501+(0.479655-0.856188))+0-0-0</f>
        <v>3791.3919679999999</v>
      </c>
      <c r="I330" s="3">
        <f>3999.4+(339.7-614.3)+(-8.158776+(-0.692988--1.253172))+0-0-0</f>
        <v>3717.2014080000004</v>
      </c>
      <c r="J330" s="3">
        <f>4022.6+(344.4-652.7)+(4.103052+(0.351288-0.665754))+0-0-0</f>
        <v>3718.0885859999999</v>
      </c>
      <c r="K330" s="3">
        <f>4021.5+(486.1-741.3)+(0+(0-0))+0-0-0</f>
        <v>3766.3</v>
      </c>
      <c r="L330" s="3">
        <f>4338.8+(619.3-958.9)+(2.212788+(0.315843-0.489039))+0-0-0</f>
        <v>4001.2395920000004</v>
      </c>
      <c r="M330" s="3">
        <f>4596.4+(771.5-949.9)+(-4.688328+(-0.78693--0.968898))+0-0-0</f>
        <v>4413.4936399999997</v>
      </c>
      <c r="N330" s="3">
        <f>4772.2+(839.5-606.3)+(-2.433822+(-0.428145--0.309213))+0-0-0</f>
        <v>5002.8472459999994</v>
      </c>
      <c r="O330" s="3">
        <f>4777.5+(874.3-253.1)+(-2.436525+(-0.445893--0.129081))+0-0-0</f>
        <v>5395.9466629999997</v>
      </c>
      <c r="P330" s="3">
        <f>4771.9+(1091.7-208)+(-7.301007+(-1.670301--0.31824))+0-0-0</f>
        <v>5646.9469319999998</v>
      </c>
      <c r="Q330" s="3">
        <f>4866.8+(1140.6-229.5)+(-2.482068+(-0.581706--0.117045))+0-0-0</f>
        <v>5774.9532709999994</v>
      </c>
      <c r="R330" s="3">
        <f>4769.2+(1165.7-256.8)+(-7.296876+(-1.783521--0.392904))+0-0-0</f>
        <v>5669.412507</v>
      </c>
      <c r="S330" s="3">
        <f>4399.9+(1343.8-211.4)+(0+(0-0))+0-0-0</f>
        <v>5532.2999999999993</v>
      </c>
      <c r="T330" s="3">
        <f>4310+(1439.1-183.9)+(-2.1981+(-0.733941--0.093789))+0-0-0</f>
        <v>5562.3617480000003</v>
      </c>
      <c r="U330" s="3">
        <f>4364+(1339.2-183.7)+(-2.22564+(-0.682992--0.093687))+0-0-0</f>
        <v>5516.6850549999999</v>
      </c>
      <c r="V330" s="3">
        <f>4670+(1001.1-217.9)+(4.7634+(1.021122-0.222258))+0-0-0</f>
        <v>5458.762264</v>
      </c>
      <c r="W330" s="3">
        <f>4729.8+(1059.2-198.2)+(-2.412198+(-0.540192--0.101082))+0-0-0</f>
        <v>5587.9486919999999</v>
      </c>
      <c r="X330" s="3">
        <f>4814.1+(1321.6-203.8)+(-2.455191+(-0.674016--0.103938))+0-0-0</f>
        <v>5928.8747310000008</v>
      </c>
      <c r="Y330" s="3">
        <f>4775+(1353.8-305.3)+(-9.741+(-2.761752--0.622812))+0-0-0</f>
        <v>5811.6200600000002</v>
      </c>
      <c r="Z330" s="3">
        <f>4740.1+(1307.6-374.8)+(-2.417451+(-0.666876--0.191148))+0-0-0</f>
        <v>5670.0068210000009</v>
      </c>
      <c r="AA330" s="3">
        <f>4561.6+(1245.1-414.7)+(9.305664+(2.540004-0.845988))+0-0-0</f>
        <v>5402.9996799999999</v>
      </c>
      <c r="AB330" s="3">
        <f>4431.8+(1210.7-476.5)+(-4.520436+(-1.234914--0.48603))+0-0-0</f>
        <v>5160.7306799999997</v>
      </c>
      <c r="AC330" s="3">
        <f>4372.1+(894.1-467.2)+(-8.919084+(-1.823964--0.953088))+0-0-0</f>
        <v>4789.2100399999999</v>
      </c>
      <c r="AD330">
        <v>5943.7</v>
      </c>
      <c r="AE330" s="3">
        <f>4754+(1424.4-234.7)+(0+(0-0))+0-0-0</f>
        <v>5943.7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4372.9+(325.1-412.3)+(-6.690537+(-0.497403--0.630819))+0-0-0</f>
        <v>4279.142879</v>
      </c>
      <c r="G331" s="3">
        <f>4224.4+(278.5-543.9)+(-4.308888+(-0.28407--0.554778))+0-0-0</f>
        <v>3954.9618199999995</v>
      </c>
      <c r="H331" s="3">
        <f>3872.1+(345.2-438.9)+(1.974771+(0.176052-0.223839))+0-0-0</f>
        <v>3780.3269840000003</v>
      </c>
      <c r="I331" s="3">
        <f>3849.9+(361-500.8)+(0+(0-0))+0-0-0</f>
        <v>3710.1</v>
      </c>
      <c r="J331" s="3">
        <f>3825+(350.9-486.9)+(1.95075+(0.178959-0.248319))+0-0-0</f>
        <v>3690.88139</v>
      </c>
      <c r="K331" s="3">
        <f>4043.9+(364.7-668.5)+(10.311945+(0.929985-1.704675))+0-0-0</f>
        <v>3749.6372550000001</v>
      </c>
      <c r="L331" s="3">
        <f>4303.9+(521.2-857.1)+(-2.194989+(-0.265812--0.437121))+0-0-0</f>
        <v>3965.9763199999998</v>
      </c>
      <c r="M331" s="3">
        <f>4489.1+(852.4-972.5)+(0+(0-0))+0-0-0</f>
        <v>4369</v>
      </c>
      <c r="N331" s="3">
        <f>4779.3+(865.9-680.8)+(0+(0-0))+0-0-0</f>
        <v>4964.4000000000005</v>
      </c>
      <c r="O331" s="3">
        <f>4859.8+(882.9-394.6)+(2.478498+(0.450279-0.201246))+0-0-0</f>
        <v>5350.8275310000008</v>
      </c>
      <c r="P331" s="3">
        <f>4916.3+(1002.5-335.1)+(-5.014626+(-1.02255--0.341802))+0-0-0</f>
        <v>5578.0046259999999</v>
      </c>
      <c r="Q331" s="3">
        <f>4904.3+(1125.7-327.9)+(-7.503579+(-1.722321--0.501687))+0-0-0</f>
        <v>5693.3757869999999</v>
      </c>
      <c r="R331" s="3">
        <f>4920+(1035.2-342.3)+(-5.0184+(-1.055904--0.349146))+0-0-0</f>
        <v>5607.1748419999994</v>
      </c>
      <c r="S331" s="3">
        <f>4964.2+(898.6-374.7)+(7.595226+(1.374858-0.573291))+0-0-0</f>
        <v>5496.4967930000003</v>
      </c>
      <c r="T331" s="3">
        <f>4942.7+(934.1-367.1)+(-5.041554+(-0.952782--0.374442))+0-0-0</f>
        <v>5504.0801059999994</v>
      </c>
      <c r="U331" s="3">
        <f>4977+(885.3-380.5)+(2.53827+(0.451503-0.194055))+0-0-0</f>
        <v>5484.5957180000005</v>
      </c>
      <c r="V331" s="3">
        <f>4986.6+(775.4-325.2)+(2.543166+(0.395454-0.165852))+0-0-0</f>
        <v>5439.572768</v>
      </c>
      <c r="W331" s="3">
        <f>5053.9+(775.7-281.5)+(2.577489+(0.395607-0.143565))+0-0-0</f>
        <v>5550.9295309999998</v>
      </c>
      <c r="X331" s="3">
        <f>5117.2+(1120.3-383.8)+(0+(0-0))+0-0-0</f>
        <v>5853.7</v>
      </c>
      <c r="Y331" s="3">
        <f>5142.9+(1122.2-463.5)+(-13.114395+(-2.86161--1.181925))+0-0-0</f>
        <v>5786.8059199999998</v>
      </c>
      <c r="Z331" s="3">
        <f>4729.7+(1427.1-512.9)+(-2.412147+(-0.727821--0.261579))+0-0-0</f>
        <v>5641.0216109999992</v>
      </c>
      <c r="AA331" s="3">
        <f>4630.4+(1235.4-490.4)+(-7.084512+(-1.890162--0.750312))+0-0-0</f>
        <v>5367.1756379999997</v>
      </c>
      <c r="AB331" s="3">
        <f>4675.8+(1273.6-815.1)+(-2.384658+(-0.649536--0.415701))+0-0-0</f>
        <v>5131.6815070000002</v>
      </c>
      <c r="AC331" s="3">
        <f>4604.9+(763.7-625)+(-11.742495+(-1.947435--1.59375))+0-0-0</f>
        <v>4731.5038199999999</v>
      </c>
      <c r="AD331">
        <v>5830.2</v>
      </c>
      <c r="AE331" s="3">
        <f>5123+(1119.5-412.3)+(0+(0-0))+0-0-0</f>
        <v>5830.2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4465.9+(310.9-518.1)+(-9.110436+(-0.634236--1.056924))+0-0-0</f>
        <v>4250.0122519999995</v>
      </c>
      <c r="G332" s="3">
        <f>4423.8+(176.9-673.5)+(0+(0-0))+0-0-0</f>
        <v>3927.2000000000003</v>
      </c>
      <c r="H332" s="3">
        <f>4421.7+(237.2-901.4)+(-2.255067+(-0.120972--0.459714))+0-0-0</f>
        <v>3755.5836749999999</v>
      </c>
      <c r="I332" s="3">
        <f>4252.3+(320.1-885.3)+(4.337346+(0.326502-0.903006))+0-0-0</f>
        <v>3690.8608420000005</v>
      </c>
      <c r="J332" s="3">
        <f>4184.7+(304.8-823.2)+(-4.268394+(-0.310896--0.839664))+0-0-0</f>
        <v>3662.5603739999997</v>
      </c>
      <c r="K332" s="3">
        <f>4204.7+(398.3-878.5)+(2.144397+(0.203133-0.448035))+0-0-0</f>
        <v>3726.3994950000001</v>
      </c>
      <c r="L332" s="3">
        <f>4415.9+(413.4-886.4)+(0+(0-0))+0-0-0</f>
        <v>3942.8999999999996</v>
      </c>
      <c r="M332" s="3">
        <f>4623.1+(645.5-916.9)+(2.357781+(0.329205-0.467619))+0-0-0</f>
        <v>4353.9193670000004</v>
      </c>
      <c r="N332" s="3">
        <f>4681.9+(871.9-638.7)+(7.163307+(1.334007-0.977211))+0-0-0</f>
        <v>4922.6201029999993</v>
      </c>
      <c r="O332" s="3">
        <f>4702.6+(947.4-314.3)+(7.194978+(1.449522-0.480879))+0-0-0</f>
        <v>5343.8636210000004</v>
      </c>
      <c r="P332" s="3">
        <f>4768.8+(1021.8-245)+(9.728352+(2.084472-0.4998))+0-0-0</f>
        <v>5556.9130240000004</v>
      </c>
      <c r="Q332" s="3">
        <f>4753.6+(1204.2-274.2)+(-4.848672+(-1.228284--0.279684))+0-0-0</f>
        <v>5677.8027280000006</v>
      </c>
      <c r="R332" s="3">
        <f>4813.7+(1121-283.7)+(-12.274935+(-2.85855--0.723435))+0-0-0</f>
        <v>5636.5899499999996</v>
      </c>
      <c r="S332" s="3">
        <f>4823.9+(972.1-290.9)+(2.460189+(0.495771-0.148359))+0-0-0</f>
        <v>5507.9076009999999</v>
      </c>
      <c r="T332" s="3">
        <f>4810.3+(997.2-261)+(0+(0-0))+0-0-0</f>
        <v>5546.5</v>
      </c>
      <c r="U332" s="3">
        <f>4851.8+(942.7-244.8)+(4.948836+(0.961554-0.249696))+0-0-0</f>
        <v>5555.3606940000009</v>
      </c>
      <c r="V332" s="3">
        <f>4888.7+(907-194.5)+(-4.986474+(-0.92514--0.19839))+0-0-0</f>
        <v>5595.4867759999997</v>
      </c>
      <c r="W332" s="3">
        <f>5035+(914.1-207.2)+(-5.1357+(-0.932382--0.211344))+0-0-0</f>
        <v>5736.0432619999992</v>
      </c>
      <c r="X332" s="3">
        <f>5134.8+(1015.8-274.3)+(-7.856244+(-1.554174--0.419679))+0-0-0</f>
        <v>5867.3092610000003</v>
      </c>
      <c r="Y332" s="3">
        <f>5012.9+(1025.7-283.2)+(-10.226316+(-2.092428--0.577728))+0-0-0</f>
        <v>5743.6589839999997</v>
      </c>
      <c r="Z332" s="3">
        <f>4843.1+(1097.2-313.8)+(-7.409943+(-1.678716--0.480114))+0-0-0</f>
        <v>5617.891455</v>
      </c>
      <c r="AA332" s="3">
        <f>4825.5+(880.9-349.1)+(-7.383015+(-1.347777--0.534123))+0-0-0</f>
        <v>5349.1033310000003</v>
      </c>
      <c r="AB332" s="3">
        <f>4746.2+(797.5-428.6)+(-4.841124+(-0.81345--0.437172))+0-0-0</f>
        <v>5109.8825979999992</v>
      </c>
      <c r="AC332" s="3">
        <f>4523.2+(731.1-513.5)+(-4.613664+(-0.745722--0.52377))+0-0-0</f>
        <v>4735.9643839999999</v>
      </c>
      <c r="AD332">
        <v>5842.2</v>
      </c>
      <c r="AE332" s="3">
        <f>5121+(1009-287.8)+(0+(0-0))+0-0-0</f>
        <v>5842.2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4373.2+(398.8-455.5)+(-11.15166+(-1.01694--1.161525))+0-0-0</f>
        <v>4305.4929249999996</v>
      </c>
      <c r="G333" s="3">
        <f>4310.3+(300.8-627.1)+(-6.594759+(-0.460224--0.959463))+0-0-0</f>
        <v>3977.9044800000001</v>
      </c>
      <c r="H333" s="3">
        <f>4155.6+(322-680.7)+(-6.358068+(-0.49266--1.041471))+0-0-0</f>
        <v>3791.0907430000007</v>
      </c>
      <c r="I333" s="3">
        <f>4124.5+(336.5-740.8)+(-8.41398+(-0.68646--1.511232))+0-0-0</f>
        <v>3712.6107919999999</v>
      </c>
      <c r="J333" s="3">
        <f>4093.5+(333.3-745.7)+(4.17537+(0.339966-0.760614))+0-0-0</f>
        <v>3684.854722</v>
      </c>
      <c r="K333" s="3">
        <f>4192.8+(452.3-922.8)+(2.138328+(0.230673-0.470628))+0-0-0</f>
        <v>3724.1983730000002</v>
      </c>
      <c r="L333" s="3">
        <f>4228.8+(570.7-914)+(-2.156688+(-0.291057--0.46614))+0-0-0</f>
        <v>3883.5183950000001</v>
      </c>
      <c r="M333" s="3">
        <f>4582.1+(703.1-1064.5)+(0+(0-0))+0-0-0</f>
        <v>4220.7000000000007</v>
      </c>
      <c r="N333" s="3">
        <f>4712.2+(652.3-641.5)+(2.403222+(0.332673-0.327165))+0-0-0</f>
        <v>4725.4087300000001</v>
      </c>
      <c r="O333" s="3">
        <f>4724.9+(898.6-415.9)+(-2.409699+(-0.458286--0.212109))+0-0-0</f>
        <v>5204.9441239999996</v>
      </c>
      <c r="P333" s="3">
        <f>4749.7+(1226.2-413.3)+(0+(0-0))+0-0-0</f>
        <v>5562.6</v>
      </c>
      <c r="Q333" s="3">
        <f>4776.4+(1413.9-401.2)+(-4.871928+(-1.442178--0.409224))+0-0-0</f>
        <v>5783.1951179999996</v>
      </c>
      <c r="R333" s="3">
        <f>4779.8+(1302.8-396.8)+(-9.750792+(-2.657712--0.809472))+0-0-0</f>
        <v>5674.2009680000001</v>
      </c>
      <c r="S333" s="3">
        <f>4779.7+(976.4-353.1)+(-9.750588+(-1.991856--0.720324))+0-0-0</f>
        <v>5391.9778800000004</v>
      </c>
      <c r="T333" s="3">
        <f>4818.6+(862.4-378.6)+(-4.914972+(-0.879648--0.386172))+0-0-0</f>
        <v>5296.9915520000004</v>
      </c>
      <c r="U333" s="3">
        <f>4784.6+(780-381.5)+(-9.760584+(-1.5912--0.77826))+0-0-0</f>
        <v>5172.526476</v>
      </c>
      <c r="V333" s="3">
        <f>4807.7+(706.7-329.1)+(-2.451927+(-0.360417--0.167841))+0-0-0</f>
        <v>5182.6554969999997</v>
      </c>
      <c r="W333" s="3">
        <f>4861.9+(758.6-340.7)+(-7.438707+(-1.160658--0.521271))+0-0-0</f>
        <v>5271.7219059999989</v>
      </c>
      <c r="X333" s="3">
        <f>5021.2+(909.1-401.3)+(-5.121624+(-0.927282--0.409326))+0-0-0</f>
        <v>5523.36042</v>
      </c>
      <c r="Y333" s="3">
        <f>4693.4+(1177.6-416.2)+(-4.787268+(-1.201152--0.424524))+0-0-0</f>
        <v>5449.2361039999996</v>
      </c>
      <c r="Z333" s="3">
        <f>4403.1+(1291.2-384.1)+(-6.736743+(-1.975536--0.587673))+0-0-0</f>
        <v>5302.0753940000004</v>
      </c>
      <c r="AA333" s="3">
        <f>4357.5+(1062.3-315.9)+(-4.44465+(-1.083546--0.322218))+0-0-0</f>
        <v>5098.6940219999997</v>
      </c>
      <c r="AB333" s="3">
        <f>4333.3+(960.3-397.9)+(-6.629949+(-1.469259--0.608787))+0-0-0</f>
        <v>4888.2095789999994</v>
      </c>
      <c r="AC333" s="3">
        <f>4311.4+(941.1-632.9)+(0+(0-0))+0-0-0</f>
        <v>4619.5999999999995</v>
      </c>
      <c r="AD333">
        <v>5517.7</v>
      </c>
      <c r="AE333" s="3">
        <f>5038+(902.9-423.2)+(0+(0-0))+0-0-0</f>
        <v>5517.7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4250.6+(494.6-502.1)+(-4.335612+(-0.504492--0.512142))+0-0-0</f>
        <v>4238.7720380000001</v>
      </c>
      <c r="G334" s="3">
        <f>4001.9+(322.3-396.9)+(-2.040969+(-0.164373--0.202419))+0-0-0</f>
        <v>3925.2970770000002</v>
      </c>
      <c r="H334" s="3">
        <f>3954.5+(303.2-556.3)+(0+(0-0))+0-0-0</f>
        <v>3701.4</v>
      </c>
      <c r="I334" s="3">
        <f>3943.2+(305.3-665.4)+(-4.022064+(-0.311406--0.678708))+0-0-0</f>
        <v>3579.4452379999998</v>
      </c>
      <c r="J334" s="3">
        <f>3945+(284.5-703.2)+(10.05975+(0.725475-1.79316))+0-0-0</f>
        <v>3535.2920650000001</v>
      </c>
      <c r="K334" s="3">
        <f>3936.6+(224.9-628.2)+(2.007666+(0.114699-0.320382))+0-0-0</f>
        <v>3535.1019829999996</v>
      </c>
      <c r="L334" s="3">
        <f>3930.3+(207.2-621.4)+(-4.008906+(-0.211344--0.633828))+0-0-0</f>
        <v>3512.5135780000005</v>
      </c>
      <c r="M334" s="3">
        <f>3935+(232.8-735.7)+(2.00685+(0.118728-0.375207))+0-0-0</f>
        <v>3433.850371</v>
      </c>
      <c r="N334" s="3">
        <f>4237+(204.9-824.4)+(0+(0-0))+0-0-0</f>
        <v>3617.5</v>
      </c>
      <c r="O334" s="3">
        <f>4306.5+(154.6-541.2)+(-2.196315+(-0.078846--0.276012))+0-0-0</f>
        <v>3917.9008509999999</v>
      </c>
      <c r="P334" s="3">
        <f>4340.6+(283.9-384)+(-2.213706+(-0.144789--0.19584))+0-0-0</f>
        <v>4238.3373449999999</v>
      </c>
      <c r="Q334" s="3">
        <f>4326.6+(500.5-400.7)+(-8.826264+(-1.02102--0.817428))+0-0-0</f>
        <v>4417.3701440000004</v>
      </c>
      <c r="R334" s="3">
        <f>3991.5+(815.3-282.6)+(-6.106995+(-1.247409--0.432378))+0-0-0</f>
        <v>4517.2779739999996</v>
      </c>
      <c r="S334" s="3">
        <f>3973.2+(679.4-278.3)+(-6.078996+(-1.039482--0.425799))+0-0-0</f>
        <v>4367.6073210000004</v>
      </c>
      <c r="T334" s="3">
        <f>4004.5+(579.9-272)+(-8.16918+(-1.182996--0.55488))+0-0-0</f>
        <v>4303.6027039999999</v>
      </c>
      <c r="U334" s="3">
        <f>4026.3+(504.2-284.6)+(-2.053413+(-0.257142--0.145146))+0-0-0</f>
        <v>4243.7345910000004</v>
      </c>
      <c r="V334" s="3">
        <f>4042+(502.6-309.4)+(-2.06142+(-0.256326--0.157794))+0-0-0</f>
        <v>4233.0400479999998</v>
      </c>
      <c r="W334" s="3">
        <f>4131.1+(580-302.2)+(-4.213722+(-0.5916--0.308244))+0-0-0</f>
        <v>4404.4029220000002</v>
      </c>
      <c r="X334" s="3">
        <f>4773.9+(525.5-355.9)+(0+(0-0))+0-0-0</f>
        <v>4943.5</v>
      </c>
      <c r="Y334" s="3">
        <f>4715.4+(670.8-351.1)+(2.404854+(0.342108-0.179061))+0-0-0</f>
        <v>5037.6679009999998</v>
      </c>
      <c r="Z334" s="3">
        <f>4464.7+(794-298.5)+(-4.553994+(-0.80988--0.30447))+0-0-0</f>
        <v>4955.1405960000002</v>
      </c>
      <c r="AA334" s="3">
        <f>4362+(810.1-295.9)+(-11.1231+(-2.065755--0.754545))+0-0-0</f>
        <v>4863.7656900000002</v>
      </c>
      <c r="AB334" s="3">
        <f>4315.1+(869.4-476.1)+(-4.401402+(-0.886788--0.485622))+0-0-0</f>
        <v>4703.5974320000005</v>
      </c>
      <c r="AC334" s="3">
        <f>4169.6+(700.7-468.6)+(-8.505984+(-1.429428--0.955944))+0-0-0</f>
        <v>4392.7205320000003</v>
      </c>
      <c r="AD334">
        <v>4992.7</v>
      </c>
      <c r="AE334" s="3">
        <f>4807+(534.3-348.6)+(0+(0-0))+0-0-0</f>
        <v>4992.7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3990.5+(372.2-365.3)+(-10.175775+(-0.94911--0.931515))+0-0-0</f>
        <v>3987.2066300000001</v>
      </c>
      <c r="G335" s="3">
        <f>3806.5+(286.4-421.2)+(-9.706575+(-0.73032--1.07406))+0-0-0</f>
        <v>3662.3371649999999</v>
      </c>
      <c r="H335" s="3">
        <f>3661.9+(344.4-510.5)+(-7.470276+(-0.702576--1.04142))+0-0-0</f>
        <v>3488.6685680000001</v>
      </c>
      <c r="I335" s="3">
        <f>3557.1+(300.1-428.1)+(-7.256484+(-0.612204--0.873324))+0-0-0</f>
        <v>3422.104636</v>
      </c>
      <c r="J335" s="3">
        <f>3553.4+(266.5-410)+(1.812234+(0.135915-0.2091))+0-0-0</f>
        <v>3411.6390489999999</v>
      </c>
      <c r="K335" s="3">
        <f>3580.6+(317-394.2)+(7.304424+(0.64668-0.804168))+0-0-0</f>
        <v>3510.5469360000002</v>
      </c>
      <c r="L335" s="3">
        <f>3874.3+(325.3-402.4)+(-9.879465+(-0.829515--1.02612))+0-0-0</f>
        <v>3787.5171400000004</v>
      </c>
      <c r="M335" s="3">
        <f>3998.1+(545-271.8)+(4.078062+(0.5559-0.277236))+0-0-0</f>
        <v>4275.6567260000002</v>
      </c>
      <c r="N335" s="3">
        <f>4094.5+(996.5-208.8)+(0+(0-0))+0-0-0</f>
        <v>4882.2</v>
      </c>
      <c r="O335" s="3">
        <f>4312.5+(1212-244.1)+(-2.199375+(-0.61812--0.124491))+0-0-0</f>
        <v>5277.7069959999999</v>
      </c>
      <c r="P335" s="3">
        <f>4403.2+(1358.7-241.7)+(-11.22816+(-3.464685--0.616335))+0-0-0</f>
        <v>5506.1234899999999</v>
      </c>
      <c r="Q335" s="3">
        <f>4514.5+(1383.7-225.8)+(4.60479+(1.411374-0.230316))+0-0-0</f>
        <v>5678.1858480000001</v>
      </c>
      <c r="R335" s="3">
        <f>4522.6+(1303.9-217.5)+(-11.53263+(-3.324945--0.554625))+0-0-0</f>
        <v>5594.6970499999998</v>
      </c>
      <c r="S335" s="3">
        <f>4418.8+(1275.2-208.4)+(-11.26794+(-3.25176--0.53142))+0-0-0</f>
        <v>5471.6117200000008</v>
      </c>
      <c r="T335" s="3">
        <f>4395+(1312.2-196.6)+(-2.24145+(-0.669222--0.100266))+0-0-0</f>
        <v>5507.7895940000008</v>
      </c>
      <c r="U335" s="3">
        <f>4418.2+(1372.6-213.3)+(0+(0-0))+0-0-0</f>
        <v>5577.5</v>
      </c>
      <c r="V335" s="3">
        <f>4485.8+(1366.8-217.4)+(-4.575516+(-1.394136--0.221748))+0-0-0</f>
        <v>5629.452096</v>
      </c>
      <c r="W335" s="3">
        <f>4649.5+(1319.2-208.9)+(2.371245+(0.672792-0.106539))+0-0-0</f>
        <v>5762.7374980000004</v>
      </c>
      <c r="X335" s="3">
        <f>4999.5+(1176-237.5)+(-2.549745+(-0.59976--0.121125))+0-0-0</f>
        <v>5934.9716200000003</v>
      </c>
      <c r="Y335" s="3">
        <f>4951.3+(1172-298.4)+(-2.525163+(-0.59772--0.152184))+0-0-0</f>
        <v>5821.9293010000001</v>
      </c>
      <c r="Z335" s="3">
        <f>4701.2+(1335.1-387.7)+(-9.590448+(-2.723604--0.790908))+0-0-0</f>
        <v>5637.0768559999997</v>
      </c>
      <c r="AA335" s="3">
        <f>4673.6+(1060.2-330.3)+(2.383536+(0.540702-0.168453))+0-0-0</f>
        <v>5406.2557850000003</v>
      </c>
      <c r="AB335" s="3">
        <f>4626.1+(894.5-388.1)+(-9.437244+(-1.82478--0.791724))+0-0-0</f>
        <v>5122.0297</v>
      </c>
      <c r="AC335" s="3">
        <f>4480.4+(569-329.3)+(-11.42502+(-1.45095--0.839715))+0-0-0</f>
        <v>4708.0637449999995</v>
      </c>
      <c r="AD335">
        <v>5918.9</v>
      </c>
      <c r="AE335" s="3">
        <f>5016+(1204.2-258.3)+(0+(0-0))+0-0-0</f>
        <v>5961.9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4254.4+(378.2-410.4)+(-6.509232+(-0.578646--0.627912))+0-0-0</f>
        <v>4215.7400339999995</v>
      </c>
      <c r="G336" s="3">
        <f>3877.3+(410.2-376.7)+(-7.909692+(-0.836808--0.768468))+0-0-0</f>
        <v>3902.8219680000002</v>
      </c>
      <c r="H336" s="3">
        <f>3736.1+(471.6-459.9)+(3.810822+(0.481032-0.469098))+0-0-0</f>
        <v>3751.6227560000002</v>
      </c>
      <c r="I336" s="3">
        <f>3716+(370.3-399.3)+(-5.68548+(-0.566559--0.610929))+0-0-0</f>
        <v>3681.35889</v>
      </c>
      <c r="J336" s="3">
        <f>3728.4+(317.7-447.9)+(-1.901484+(-0.162027--0.228429))+0-0-0</f>
        <v>3596.3649180000002</v>
      </c>
      <c r="K336" s="3">
        <f>3870.5+(366.2-541.4)+(3.94791+(0.373524-0.552228))+0-0-0</f>
        <v>3699.0692060000001</v>
      </c>
      <c r="L336" s="3">
        <f>4268.7+(391.6-713.1)+(2.177037+(0.199716-0.363681))+0-0-0</f>
        <v>3949.213072</v>
      </c>
      <c r="M336" s="3">
        <f>4721.8+(441.6-700.8)+(2.408118+(0.225216-0.357408))+0-0-0</f>
        <v>4464.8759260000006</v>
      </c>
      <c r="N336" s="3">
        <f>4832.9+(558-368.4)+(-2.464779+(-0.28458--0.187884))+0-0-0</f>
        <v>5019.9385249999996</v>
      </c>
      <c r="O336" s="3">
        <f>4850.6+(876.9-312.7)+(-2.473806+(-0.447219--0.159477))+0-0-0</f>
        <v>5412.0384519999998</v>
      </c>
      <c r="P336" s="3">
        <f>4852.6+(954.6-232.4)+(2.474826+(0.486846-0.118524))+0-0-0</f>
        <v>5577.6431480000001</v>
      </c>
      <c r="Q336" s="3">
        <f>4826.9+(1098.6-225.8)+(-4.923438+(-1.120572--0.230316))+0-0-0</f>
        <v>5693.8863059999994</v>
      </c>
      <c r="R336" s="3">
        <f>4578.5+(1261.8-198)+(-9.34014+(-2.574072--0.40392))+0-0-0</f>
        <v>5630.7897080000002</v>
      </c>
      <c r="S336" s="3">
        <f>4503.9+(1217.4-216.1)+(-6.890967+(-1.862622--0.330633))+0-0-0</f>
        <v>5496.7770439999995</v>
      </c>
      <c r="T336" s="3">
        <f>4386.4+(1400.6-203.3)+(2.237064+(0.714306-0.103683))+0-0-0</f>
        <v>5586.5476870000002</v>
      </c>
      <c r="U336" s="3">
        <f>4353.4+(1364.4-188.1)+(-8.880936+(-2.783376--0.383724))+0-0-0</f>
        <v>5518.4194120000002</v>
      </c>
      <c r="V336" s="3">
        <f>4369.6+(1321.5-189)+(0+(0-0))+0-0-0</f>
        <v>5502.1</v>
      </c>
      <c r="W336" s="3">
        <f>4423.2+(1355.1-184)+(-2.255832+(-0.691101--0.09384))+0-0-0</f>
        <v>5591.4469069999996</v>
      </c>
      <c r="X336" s="3">
        <f>4787.2+(1395.7-241)+(-2.441472+(-0.711807--0.12291))+0-0-0</f>
        <v>5938.8696309999996</v>
      </c>
      <c r="Y336" s="3">
        <f>4713.6+(1390.6-244.1)+(-7.211808+(-2.127618--0.373473))+0-0-0</f>
        <v>5851.1340470000005</v>
      </c>
      <c r="Z336" s="3">
        <f>4554.2+(1388.5-249.4)+(-11.61321+(-3.540675--0.63597))+0-0-0</f>
        <v>5678.7820849999989</v>
      </c>
      <c r="AA336" s="3">
        <f>4514.2+(1186.5-295.2)+(2.302242+(0.605115-0.150552))+0-0-0</f>
        <v>5408.256805</v>
      </c>
      <c r="AB336" s="3">
        <f>4388.7+(1193.6-435.1)+(-8.952948+(-2.434944--0.887604))+0-0-0</f>
        <v>5136.6997119999996</v>
      </c>
      <c r="AC336" s="3">
        <f>4358.2+(866.4-455)+(-8.890728+(-1.767456--0.9282))+0-0-0</f>
        <v>4759.8700159999999</v>
      </c>
      <c r="AD336">
        <v>5895.8</v>
      </c>
      <c r="AE336" s="3">
        <f>4775+(1371.7-250.9)+(0+(0-0))+0-0-0</f>
        <v>5895.8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4344.4+(415-465.4)+(-8.862576+(-0.8466--0.949416))+0-0-0</f>
        <v>4285.2402400000001</v>
      </c>
      <c r="G337" s="3">
        <f>4273.5+(284.1-629)+(-6.538455+(-0.434673--0.96237))+0-0-0</f>
        <v>3922.589242</v>
      </c>
      <c r="H337" s="3">
        <f>4063.6+(268.9-575.5)+(-4.144872+(-0.274278--0.58701))+0-0-0</f>
        <v>3753.16786</v>
      </c>
      <c r="I337" s="3">
        <f>4000.9+(263-531.1)+(-4.080918+(-0.26826--0.541722))+0-0-0</f>
        <v>3728.9925440000002</v>
      </c>
      <c r="J337" s="3">
        <f>4015.2+(275.8-585.1)+(4.095504+(0.281316-0.596802))+0-0-0</f>
        <v>3709.6800179999996</v>
      </c>
      <c r="K337" s="3">
        <f>4180.8+(291.7-716.4)+(6.396624+(0.446301-1.096092))+0-0-0</f>
        <v>3761.8468330000005</v>
      </c>
      <c r="L337" s="3">
        <f>4471.8+(564.3-1081.3)+(4.561236+(0.575586-1.102926))+0-0-0</f>
        <v>3958.8338960000001</v>
      </c>
      <c r="M337" s="3">
        <f>4692.9+(603.8-916)+(-2.393379+(-0.307938--0.46716))+0-0-0</f>
        <v>4378.4658429999999</v>
      </c>
      <c r="N337" s="3">
        <f>4803.5+(708.7-521.2)+(7.349355+(1.084311-0.797436))+0-0-0</f>
        <v>4998.6362300000001</v>
      </c>
      <c r="O337" s="3">
        <f>4779.4+(921.1-328.7)+(4.874988+(0.939522-0.335274))+0-0-0</f>
        <v>5377.2792359999994</v>
      </c>
      <c r="P337" s="3">
        <f>4759.3+(1179-342.8)+(4.854486+(1.20258-0.349656))+0-0-0</f>
        <v>5601.20741</v>
      </c>
      <c r="Q337" s="3">
        <f>4726.7+(1326.7-315.3)+(-2.410617+(-0.676617--0.160803))+0-0-0</f>
        <v>5735.1735690000005</v>
      </c>
      <c r="R337" s="3">
        <f>4707.7+(1251-297.7)+(-7.202781+(-1.91403--0.455481))+0-0-0</f>
        <v>5652.3386700000001</v>
      </c>
      <c r="S337" s="3">
        <f>4534.7+(1342.8-353.1)+(2.312697+(0.684828-0.180081))+0-0-0</f>
        <v>5527.2174439999999</v>
      </c>
      <c r="T337" s="3">
        <f>4510.8+(1427.5-344.5)+(-2.300508+(-0.728025--0.175695))+0-0-0</f>
        <v>5590.9471620000004</v>
      </c>
      <c r="U337" s="3">
        <f>4490.5+(1421.2-348.1)+(-9.16062+(-2.899248--0.710124))+0-0-0</f>
        <v>5552.2502560000003</v>
      </c>
      <c r="V337" s="3">
        <f>4618.6+(1344.8-388.5)+(2.355486+(0.685848-0.198135))+0-0-0</f>
        <v>5577.7431990000005</v>
      </c>
      <c r="W337" s="3">
        <f>4689.1+(1250.8-363.8)+(0+(0-0))+0-0-0</f>
        <v>5576.1</v>
      </c>
      <c r="X337" s="3">
        <f>4912+(1450.6-411.2)+(-5.01024+(-1.479612--0.419424))+0-0-0</f>
        <v>5945.3295719999996</v>
      </c>
      <c r="Y337" s="3">
        <f>5069.2+(1357.6-533.7)+(-18.097044+(-4.846632--1.905309))+0-0-0</f>
        <v>5872.0616329999993</v>
      </c>
      <c r="Z337" s="3">
        <f>5044.1+(1151.2-485.3)+(-10.289964+(-2.348448--0.990012))+0-0-0</f>
        <v>5698.3516</v>
      </c>
      <c r="AA337" s="3">
        <f>4949.8+(928.5-404.3)+(-15.146388+(-2.84121--1.237158))+0-0-0</f>
        <v>5457.2495600000002</v>
      </c>
      <c r="AB337" s="3">
        <f>4634.5+(1120.9-547.1)+(-4.72719+(-1.143318--0.558042))+0-0-0</f>
        <v>5202.9875339999999</v>
      </c>
      <c r="AC337" s="3">
        <f>4097.9+(1091.4-475.2)+(-8.359716+(-2.226456--0.969408))+0-0-0</f>
        <v>4704.4832359999991</v>
      </c>
      <c r="AD337">
        <v>5873.0999999999995</v>
      </c>
      <c r="AE337" s="3">
        <f>5011+(1327.9-465.8)+(0+(0-0))+0-0-0</f>
        <v>5873.1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3912.9+(650.7-399.9)+(-5.986737+(-0.995571--0.611847))+0-0-0</f>
        <v>4157.3295389999994</v>
      </c>
      <c r="G338" s="3">
        <f>3937.3+(515.2-516.7)+(-2.008023+(-0.262752--0.263517))+0-0-0</f>
        <v>3933.7927420000001</v>
      </c>
      <c r="H338" s="3">
        <f>3926.3+(484.1-566.7)+(-10.012065+(-1.234455--1.445085))+0-0-0</f>
        <v>3833.8985650000004</v>
      </c>
      <c r="I338" s="3">
        <f>3936.2+(367.1-530.6)+(-4.014924+(-0.374442--0.541212))+0-0-0</f>
        <v>3768.851846</v>
      </c>
      <c r="J338" s="3">
        <f>3956.9+(325.6-533.4)+(-8.072076+(-0.664224--1.088136))+0-0-0</f>
        <v>3741.4518360000002</v>
      </c>
      <c r="K338" s="3">
        <f>4016.2+(360.3-611.9)+(0+(0-0))+0-0-0</f>
        <v>3764.6</v>
      </c>
      <c r="L338" s="3">
        <f>4352.8+(606.4-923.7)+(-8.879712+(-1.237056--1.884348))+0-0-0</f>
        <v>4027.2675800000002</v>
      </c>
      <c r="M338" s="3">
        <f>4363.8+(903.4-711.2)+(-2.225538+(-0.460734--0.362712))+0-0-0</f>
        <v>4553.6764400000002</v>
      </c>
      <c r="N338" s="3">
        <f>4706.3+(941.1-621.4)+(9.600852+(1.919844-1.267656))+0-0-0</f>
        <v>5036.2530399999996</v>
      </c>
      <c r="O338" s="3">
        <f>4972.9+(840.9-365)+(2.536179+(0.428859-0.18615))+0-0-0</f>
        <v>5451.5788879999991</v>
      </c>
      <c r="P338" s="3">
        <f>4948.1+(1042.3-279.1)+(0+(0-0))+0-0-0</f>
        <v>5711.3</v>
      </c>
      <c r="Q338" s="3">
        <f>4881.2+(1161.4-260.6)+(-9.957648+(-2.369256--0.531624))+0-0-0</f>
        <v>5770.2047199999997</v>
      </c>
      <c r="R338" s="3">
        <f>4913.7+(1033.3-258.3)+(-12.529935+(-2.634915--0.658665))+0-0-0</f>
        <v>5674.1938149999996</v>
      </c>
      <c r="S338" s="3">
        <f>4953.3+(856-269.5)+(-7.578549+(-1.30968--0.412335))+0-0-0</f>
        <v>5531.324106</v>
      </c>
      <c r="T338" s="3">
        <f>4879.2+(986.4-273)+(-7.465176+(-1.509192--0.41769))+0-0-0</f>
        <v>5584.0433219999995</v>
      </c>
      <c r="U338" s="3">
        <f>4792.8+(1037.1-306.5)+(-7.332984+(-1.586763--0.468945))+0-0-0</f>
        <v>5514.9491979999993</v>
      </c>
      <c r="V338" s="3">
        <f>4830.3+(974.8-294.5)+(4.926906+(0.994296-0.30039))+0-0-0</f>
        <v>5516.2208120000005</v>
      </c>
      <c r="W338" s="3">
        <f>4846.4+(919.5-231.5)+(2.471664+(0.468945-0.118065))+0-0-0</f>
        <v>5537.2225439999993</v>
      </c>
      <c r="X338" s="3">
        <f>4970+(1362.7-380.3)+(0+(0-0))+0-0-0</f>
        <v>5952.4</v>
      </c>
      <c r="Y338" s="3">
        <f>5007+(1361.9-487.9)+(-12.76785+(-3.472845--1.244145))+0-0-0</f>
        <v>5866.0034500000002</v>
      </c>
      <c r="Z338" s="3">
        <f>4844.6+(1338.1-471)+(0+(0-0))+0-0-0</f>
        <v>5711.7000000000007</v>
      </c>
      <c r="AA338" s="3">
        <f>4894.6+(988.9-423)+(-7.488738+(-1.513017--0.64719))+0-0-0</f>
        <v>5452.1454350000004</v>
      </c>
      <c r="AB338" s="3">
        <f>4920+(716.1-484.4)+(-7.5276+(-1.095633--0.741132))+0-0-0</f>
        <v>5143.8178989999997</v>
      </c>
      <c r="AC338" s="3">
        <f>4921.1+(424.5-550.3)+(-5.019522+(-0.43299--0.561306))+0-0-0</f>
        <v>4790.4087939999999</v>
      </c>
      <c r="AD338">
        <v>6027.2</v>
      </c>
      <c r="AE338" s="3">
        <f>5026+(1476.5-475.3)+(0+(0-0))+0-0-0</f>
        <v>6027.2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4766.5+(146.2-602.1)+(-7.292745+(-0.223686--0.921213))+0-0-0</f>
        <v>4304.004782</v>
      </c>
      <c r="G339" s="3">
        <f>4365.8+(209.2-573)+(0+(0-0))+0-0-0</f>
        <v>4002</v>
      </c>
      <c r="H339" s="3">
        <f>4012.6+(244.8-421.6)+(-6.139278+(-0.374544--0.645048))+0-0-0</f>
        <v>3829.9312259999997</v>
      </c>
      <c r="I339" s="3">
        <f>3941.4+(248-438.2)+(2.010114+(0.12648-0.223482))+0-0-0</f>
        <v>3753.1131120000005</v>
      </c>
      <c r="J339" s="3">
        <f>3960.9+(234.4-432.7)+(-2.020059+(-0.119544--0.220677))+0-0-0</f>
        <v>3760.6810740000001</v>
      </c>
      <c r="K339" s="3">
        <f>3989.3+(245-429.8)+(6.103629+(0.37485-0.657594))+0-0-0</f>
        <v>3810.3208850000001</v>
      </c>
      <c r="L339" s="3">
        <f>4347.6+(226.1-536.8)+(-2.217276+(-0.115311--0.273768))+0-0-0</f>
        <v>4034.8411810000007</v>
      </c>
      <c r="M339" s="3">
        <f>4706+(433.9-705.2)+(2.40006+(0.221289-0.359652))+0-0-0</f>
        <v>4436.9616969999997</v>
      </c>
      <c r="N339" s="3">
        <f>4988.1+(719-648.8)+(-2.543931+(-0.36669--0.330888))+0-0-0</f>
        <v>5055.7202670000006</v>
      </c>
      <c r="O339" s="3">
        <f>5004.5+(792.3-333.8)+(-2.552295+(-0.404073--0.170238))+0-0-0</f>
        <v>5460.2138699999996</v>
      </c>
      <c r="P339" s="3">
        <f>5042.4+(942-280.6)+(0+(0-0))+0-0-0</f>
        <v>5703.7999999999993</v>
      </c>
      <c r="Q339" s="3">
        <f>4974.8+(1118.3-276.8)+(-5.074296+(-1.140666--0.282336))+0-0-0</f>
        <v>5810.3673740000004</v>
      </c>
      <c r="R339" s="3">
        <f>4614.2+(1428.4-296.1)+(-9.412968+(-2.913936--0.604044))+0-0-0</f>
        <v>5734.7771400000001</v>
      </c>
      <c r="S339" s="3">
        <f>4570.7+(1353.7-332.9)+(-6.993171+(-2.071161--0.509337))+0-0-0</f>
        <v>5582.9450049999996</v>
      </c>
      <c r="T339" s="3">
        <f>4563.3+(1376.6-294.2)+(-9.309132+(-2.808264--0.600168))+0-0-0</f>
        <v>5634.1827720000001</v>
      </c>
      <c r="U339" s="3">
        <f>4494.3+(1391.1-298.8)+(-6.876279+(-2.128383--0.457164))+0-0-0</f>
        <v>5578.0525020000005</v>
      </c>
      <c r="V339" s="3">
        <f>4523.7+(1305.6-295)+(-4.614174+(-1.331712--0.3009))+0-0-0</f>
        <v>5528.655013999999</v>
      </c>
      <c r="W339" s="3">
        <f>4571.7+(1283.8-256.5)+(-4.663134+(-1.309476--0.26163))+0-0-0</f>
        <v>5593.2890200000002</v>
      </c>
      <c r="X339" s="3">
        <f>4959.8+(1426-401.8)+(-7.588494+(-2.18178--0.614754))+0-0-0</f>
        <v>5974.8444799999997</v>
      </c>
      <c r="Y339" s="3">
        <f>5107.3+(1263.2-460.1)+(-5.209446+(-1.288464--0.469302))+0-0-0</f>
        <v>5904.3713920000009</v>
      </c>
      <c r="Z339" s="3">
        <f>4835.5+(1372.3-454.8)+(-14.79663+(-4.199238--1.391688))+0-0-0</f>
        <v>5735.3958199999997</v>
      </c>
      <c r="AA339" s="3">
        <f>4785.3+(1123.5-435.7)+(-4.881006+(-1.14597--0.444414))+0-0-0</f>
        <v>5467.5174380000008</v>
      </c>
      <c r="AB339" s="3">
        <f>4674.4+(966-450.8)+(-11.91972+(-2.4633--1.14954))+0-0-0</f>
        <v>5176.3665199999996</v>
      </c>
      <c r="AC339" s="3">
        <f>4451.7+(776.8-438.3)+(-9.081468+(-1.584672--0.894132))+0-0-0</f>
        <v>4780.4279919999999</v>
      </c>
      <c r="AD339">
        <v>6021.6</v>
      </c>
      <c r="AE339" s="3">
        <f>5136+(1380.1-494.5)+(0+(0-0))+0-0-0</f>
        <v>6021.6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4329.1+(477.8-475.9)+(-4.415682+(-0.487356--0.485418))+0-0-0</f>
        <v>4326.5823799999998</v>
      </c>
      <c r="G340" s="3">
        <f>4332.6+(231.7-542.1)+(0+(0-0))+0-0-0</f>
        <v>4022.2000000000003</v>
      </c>
      <c r="H340" s="3">
        <f>4228.6+(169.7-556.9)+(-2.156586+(-0.086547--0.284019))+0-0-0</f>
        <v>3839.4408860000003</v>
      </c>
      <c r="I340" s="3">
        <f>4098.2+(229.4-583)+(8.360328+(0.467976-1.18932))+0-0-0</f>
        <v>3752.2389840000001</v>
      </c>
      <c r="J340" s="3">
        <f>4086+(204-567.6)+(6.25158+(0.31212-0.868428))+0-0-0</f>
        <v>3728.095272</v>
      </c>
      <c r="K340" s="3">
        <f>4210.8+(174-608.6)+(10.73754+(0.4437-1.55193))+0-0-0</f>
        <v>3785.8293100000001</v>
      </c>
      <c r="L340" s="3">
        <f>4406.9+(314.9-836.6)+(-2.247519+(-0.160599--0.426666))+0-0-0</f>
        <v>3883.2185479999998</v>
      </c>
      <c r="M340" s="3">
        <f>4606.8+(339.7-735.2)+(0+(0-0))+0-0-0</f>
        <v>4211.3</v>
      </c>
      <c r="N340" s="3">
        <f>4673.8+(493.9-370.3)+(9.534552+(1.007556-0.755412))+0-0-0</f>
        <v>4807.1866960000007</v>
      </c>
      <c r="O340" s="3">
        <f>4674.9+(907.2-344.6)+(4.768398+(0.925344-0.351492))+0-0-0</f>
        <v>5242.8422499999997</v>
      </c>
      <c r="P340" s="3">
        <f>4756.6+(1054.7-304.2)+(0+(0-0))+0-0-0</f>
        <v>5507.1</v>
      </c>
      <c r="Q340" s="3">
        <f>4790.2+(1140.1-270.9)+(7.329006+(1.744353-0.414477))+0-0-0</f>
        <v>5668.0588819999994</v>
      </c>
      <c r="R340" s="3">
        <f>4741.8+(1050.9-281.5)+(-14.509908+(-3.215754--0.86139))+0-0-0</f>
        <v>5494.3357280000009</v>
      </c>
      <c r="S340" s="3">
        <f>4724.7+(833.4-296.8)+(-14.457582+(-2.550204--0.908208))+0-0-0</f>
        <v>5245.200421999999</v>
      </c>
      <c r="T340" s="3">
        <f>4729.6+(803.4-327.9)+(-4.824192+(-0.819468--0.334458))+0-0-0</f>
        <v>5199.790798</v>
      </c>
      <c r="U340" s="3">
        <f>4525.9+(811.7-341.6)+(-11.541045+(-2.069835--0.87108))+0-0-0</f>
        <v>4983.2601999999997</v>
      </c>
      <c r="V340" s="3">
        <f>4603.5+(755.1-315.3)+(-4.69557+(-0.770202--0.321606))+0-0-0</f>
        <v>5038.1558340000001</v>
      </c>
      <c r="W340" s="3">
        <f>4635.7+(653-215.7)+(0+(0-0))+0-0-0</f>
        <v>5073</v>
      </c>
      <c r="X340" s="3">
        <f>4856.6+(930-256.1)+(0+(0-0))+0-0-0</f>
        <v>5530.5</v>
      </c>
      <c r="Y340" s="3">
        <f>4727.3+(1132.4-325.3)+(-4.821846+(-1.155048--0.331806))+0-0-0</f>
        <v>5528.7549120000003</v>
      </c>
      <c r="Z340" s="3">
        <f>4535.1+(1219.2-371.3)+(-9.251604+(-2.487168--0.757452))+0-0-0</f>
        <v>5372.0186800000001</v>
      </c>
      <c r="AA340" s="3">
        <f>4416+(1252.7-425.7)+(0+(0-0))+0-0-0</f>
        <v>5243</v>
      </c>
      <c r="AB340" s="3">
        <f>4301.4+(1109.5-459.9)+(-8.774856+(-2.26338--0.938196))+0-0-0</f>
        <v>4940.8999599999997</v>
      </c>
      <c r="AC340" s="3">
        <f>4289.1+(947.1-556.2)+(-4.374882+(-0.966042--0.567324))+0-0-0</f>
        <v>4675.2263999999996</v>
      </c>
      <c r="AD340">
        <v>5511.5</v>
      </c>
      <c r="AE340" s="3">
        <f>4812+(985.3-285.8)+(0+(0-0))+0-0-0</f>
        <v>5511.5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4233.3+(572.9-526.4)+(-4.317966+(-0.584358--0.536928))+0-0-0</f>
        <v>4275.434604</v>
      </c>
      <c r="G341" s="3">
        <f>4166.1+(363.9-567)+(-2.124711+(-0.185589--0.28917))+0-0-0</f>
        <v>3960.9788700000004</v>
      </c>
      <c r="H341" s="3">
        <f>4198.9+(153.4-613.5)+(6.424317+(0.234702-0.938655))+0-0-0</f>
        <v>3744.5203639999995</v>
      </c>
      <c r="I341" s="3">
        <f>4117.8+(190.7-670.4)+(-6.300234+(-0.291771--1.025712))+0-0-0</f>
        <v>3632.5337070000005</v>
      </c>
      <c r="J341" s="3">
        <f>4102.1+(194.6-704.7)+(-2.092071+(-0.099246--0.359397))+0-0-0</f>
        <v>3590.1680800000004</v>
      </c>
      <c r="K341" s="3">
        <f>4115.2+(211-725.7)+(0+(0-0))+0-0-0</f>
        <v>3600.5</v>
      </c>
      <c r="L341" s="3">
        <f>4094.1+(229.2-755.3)+(-8.351964+(-0.467568--1.540812))+0-0-0</f>
        <v>3560.7212800000002</v>
      </c>
      <c r="M341" s="3">
        <f>3971.8+(260.7-697)+(-2.025618+(-0.132957--0.35547))+0-0-0</f>
        <v>3533.696895</v>
      </c>
      <c r="N341" s="3">
        <f>3997.9+(284.5-525.1)+(-2.038929+(-0.145095--0.267801))+0-0-0</f>
        <v>3755.383777</v>
      </c>
      <c r="O341" s="3">
        <f>4063.7+(409.1-400.6)+(0+(0-0))+0-0-0</f>
        <v>4072.2</v>
      </c>
      <c r="P341" s="3">
        <f>4034.1+(686.5-313.7)+(2.057391+(0.350115-0.159987))+0-0-0</f>
        <v>4409.1475189999992</v>
      </c>
      <c r="Q341" s="3">
        <f>4047.4+(764.9-244.7)+(-8.256696+(-1.560396--0.499188))+0-0-0</f>
        <v>4558.2820959999999</v>
      </c>
      <c r="R341" s="3">
        <f>4088.1+(699.8-246.4)+(-6.254793+(-1.070694--0.376992))+0-0-0</f>
        <v>4534.5515050000004</v>
      </c>
      <c r="S341" s="3">
        <f>3964.6+(709.3-245.4)+(-6.065838+(-1.085229--0.375462))+0-0-0</f>
        <v>4421.7243950000002</v>
      </c>
      <c r="T341" s="3">
        <f>3955.7+(688-272.5)+(-6.052221+(-1.05264--0.416925))+0-0-0</f>
        <v>4364.5120639999996</v>
      </c>
      <c r="U341" s="3">
        <f>3894.9+(664.4-258.9)+(-3.972798+(-0.677688--0.264078))+0-0-0</f>
        <v>4296.0135919999993</v>
      </c>
      <c r="V341" s="3">
        <f>4049.4+(618.7-362.5)+(0+(0-0))+0-0-0</f>
        <v>4305.6000000000004</v>
      </c>
      <c r="W341" s="3">
        <f>4223+(544.6-258.4)+(-4.30746+(-0.555492--0.263568))+0-0-0</f>
        <v>4504.6006159999997</v>
      </c>
      <c r="X341" s="3">
        <f>4486.7+(810-293.6)+(0+(0-0))+0-0-0</f>
        <v>5003.0999999999995</v>
      </c>
      <c r="Y341" s="3">
        <f>4490.9+(925.2-305.9)+(0+(0-0))+0-0-0</f>
        <v>5110.2</v>
      </c>
      <c r="Z341" s="3">
        <f>4457.6+(863.1-246.1)+(-2.273376+(-0.440181--0.125511))+0-0-0</f>
        <v>5072.0119540000005</v>
      </c>
      <c r="AA341" s="3">
        <f>4434.2+(719.4-207.3)+(0+(0-0))+0-0-0</f>
        <v>4946.2999999999993</v>
      </c>
      <c r="AB341" s="3">
        <f>4297+(671.4-266.7)+(-10.95735+(-1.71207--0.680085))+0-0-0</f>
        <v>4689.7106649999996</v>
      </c>
      <c r="AC341" s="3">
        <f>4309+(552.9-385.9)+(-8.79036+(-1.127916--0.787236))+0-0-0</f>
        <v>4466.8689599999998</v>
      </c>
      <c r="AD341">
        <v>5098.8999999999996</v>
      </c>
      <c r="AE341" s="3">
        <f>4485+(925-311.1)+(0+(0-0))+0-0-0</f>
        <v>5098.8999999999996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4281.2+(426.2-631.2)+(0+(0-0))+0-0-0</f>
        <v>4076.2</v>
      </c>
      <c r="G342" s="3">
        <f>4144.4+(210.4-642.1)+(2.113644+(0.107304-0.327471))+0-0-0</f>
        <v>3714.5934769999999</v>
      </c>
      <c r="H342" s="3">
        <f>4068+(133.6-642.5)+(0+(0-0))+0-0-0</f>
        <v>3559.1</v>
      </c>
      <c r="I342" s="3">
        <f>3981.5+(131.4-626.6)+(-2.030565+(-0.067014--0.319566))+0-0-0</f>
        <v>3484.5219870000001</v>
      </c>
      <c r="J342" s="3">
        <f>3974.9+(133.3-618.5)+(-2.027199+(-0.067983--0.315435))+0-0-0</f>
        <v>3487.9202530000002</v>
      </c>
      <c r="K342" s="3">
        <f>3994.1+(158.4-571.9)+(8.147964+(0.323136-1.166676))+0-0-0</f>
        <v>3587.9044239999998</v>
      </c>
      <c r="L342" s="3">
        <f>4039.2+(406-596.7)+(4.119984+(0.41412-0.608634))+0-0-0</f>
        <v>3852.4254700000001</v>
      </c>
      <c r="M342" s="3">
        <f>4382.8+(625.2-692.5)+(2.235228+(0.318852-0.353175))+0-0-0</f>
        <v>4317.7009049999997</v>
      </c>
      <c r="N342" s="3">
        <f>4618+(810.2-451.2)+(0+(0-0))+0-0-0</f>
        <v>4977</v>
      </c>
      <c r="O342" s="3">
        <f>4703.8+(1025.8-288.2)+(0+(0-0))+0-0-0</f>
        <v>5441.4</v>
      </c>
      <c r="P342" s="3">
        <f>4694.5+(1231.3-216.2)+(2.394195+(0.627963-0.110262))+0-0-0</f>
        <v>5712.511896</v>
      </c>
      <c r="Q342" s="3">
        <f>4665.8+(1447.1-216.9)+(-7.138674+(-2.214063--0.331857))+0-0-0</f>
        <v>5886.97912</v>
      </c>
      <c r="R342" s="3">
        <f>4690+(1355.5-223.5)+(-7.1757+(-2.073915--0.341955))+0-0-0</f>
        <v>5813.0923400000001</v>
      </c>
      <c r="S342" s="3">
        <f>4688.4+(1215.6-236.3)+(-4.782168+(-1.239912--0.241026))+0-0-0</f>
        <v>5661.9189459999998</v>
      </c>
      <c r="T342" s="3">
        <f>4642.8+(1329.5-205.6)+(2.367828+(0.678045-0.104856))+0-0-0</f>
        <v>5769.6410170000008</v>
      </c>
      <c r="U342" s="3">
        <f>4690.6+(1294.9-221.6)+(0+(0-0))+0-0-0</f>
        <v>5763.9000000000005</v>
      </c>
      <c r="V342" s="3">
        <f>4702.7+(1261.8-205.9)+(-2.398377+(-0.643518--0.105009))+0-0-0</f>
        <v>5755.663113999999</v>
      </c>
      <c r="W342" s="3">
        <f>4766.1+(1239.4-182.3)+(0+(0-0))+0-0-0</f>
        <v>5823.2000000000007</v>
      </c>
      <c r="X342" s="3">
        <f>4843.3+(1394.5-218)+(0+(0-0))+0-0-0</f>
        <v>6019.8</v>
      </c>
      <c r="Y342" s="3">
        <f>4809.1+(1364.4-265.7)+(-9.810564+(-2.783376--0.542028))+0-0-0</f>
        <v>5895.7480880000003</v>
      </c>
      <c r="Z342" s="3">
        <f>4723.1+(1510.1-472.1)+(2.408781+(0.770151-0.240771))+0-0-0</f>
        <v>5764.0381610000004</v>
      </c>
      <c r="AA342" s="3">
        <f>4680.1+(1279.2-503.6)+(-7.160553+(-1.957176--0.770508))+0-0-0</f>
        <v>5447.3527790000007</v>
      </c>
      <c r="AB342" s="3">
        <f>4641.5+(1091.3-523.8)+(-16.570155+(-3.895941--1.869966))+0-0-0</f>
        <v>5190.4038700000001</v>
      </c>
      <c r="AC342" s="3">
        <f>4605.8+(822.4-621)+(-14.093748+(-2.516544--1.90026))+0-0-0</f>
        <v>4792.4899679999999</v>
      </c>
      <c r="AD342">
        <v>6030.3</v>
      </c>
      <c r="AE342" s="3">
        <f>4832+(1436.6-238.3)+(0+(0-0))+0-0-0</f>
        <v>6030.3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4504.4+(771.2-979)+(0+(0-0))+0-0-0</f>
        <v>4296.5999999999995</v>
      </c>
      <c r="G343" s="3">
        <f>4320.3+(257.2-575.4)+(-8.813412+(-0.524688--1.173816))+0-0-0</f>
        <v>3993.9357160000004</v>
      </c>
      <c r="H343" s="3">
        <f>4189.8+(210.6-547.5)+(2.136798+(0.107406-0.279225))+0-0-0</f>
        <v>3854.8649789999999</v>
      </c>
      <c r="I343" s="3">
        <f>4046.9+(221-491.2)+(-6.191757+(-0.33813--0.751536))+0-0-0</f>
        <v>3770.9216490000003</v>
      </c>
      <c r="J343" s="3">
        <f>4014.7+(244.9-494.5)+(6.142491+(0.374697-0.756585))+0-0-0</f>
        <v>3770.8606030000001</v>
      </c>
      <c r="K343" s="3">
        <f>4014.2+(287.2-464.1)+(8.188968+(0.585888-0.946764))+0-0-0</f>
        <v>3845.1280919999999</v>
      </c>
      <c r="L343" s="3">
        <f>4087.3+(435.2-495.2)+(0+(0-0))+0-0-0</f>
        <v>4027.3</v>
      </c>
      <c r="M343" s="3">
        <f>4508.1+(532.8-541.6)+(-2.299131+(-0.271728--0.276216))+0-0-0</f>
        <v>4497.005357</v>
      </c>
      <c r="N343" s="3">
        <f>4683.1+(842.2-408.3)+(-4.776762+(-0.859044--0.416466))+0-0-0</f>
        <v>5111.7806600000004</v>
      </c>
      <c r="O343" s="3">
        <f>4654+(1167.1-460.2)+(-4.74708+(-1.190442--0.469404))+0-0-0</f>
        <v>5355.4318819999999</v>
      </c>
      <c r="P343" s="3">
        <f>4632.5+(1468-375.9)+(-11.812875+(-3.7434--0.958545))+0-0-0</f>
        <v>5710.00227</v>
      </c>
      <c r="Q343" s="3">
        <f>4620.3+(1609.3-368)+(0+(0-0))+0-0-0</f>
        <v>5861.6</v>
      </c>
      <c r="R343" s="3">
        <f>4496.5+(1657.9-331.5)+(-2.293215+(-0.845529--0.169065))+0-0-0</f>
        <v>5819.9303209999998</v>
      </c>
      <c r="S343" s="3">
        <f>4443.4+(1472.5-278.6)+(-4.532268+(-1.50195--0.284172))+0-0-0</f>
        <v>5631.5499539999992</v>
      </c>
      <c r="T343" s="3">
        <f>4397.8+(1562.3-280.4)+(0+(0-0))+0-0-0</f>
        <v>5679.7000000000007</v>
      </c>
      <c r="U343" s="3">
        <f>4393.3+(1503.2-277.8)+(-2.240583+(-0.766632--0.141678))+0-0-0</f>
        <v>5615.8344630000011</v>
      </c>
      <c r="V343" s="3">
        <f>4403.8+(1394.3-254.2)+(-6.737814+(-2.133279--0.388926))+0-0-0</f>
        <v>5535.4178329999995</v>
      </c>
      <c r="W343" s="3">
        <f>4444.6+(1325.3-227.9)+(-4.533492+(-1.351806--0.232458))+0-0-0</f>
        <v>5536.3471600000003</v>
      </c>
      <c r="X343" s="3">
        <f>4849.8+(1354.1-291.5)+(-7.420194+(-2.071773--0.445995))+0-0-0</f>
        <v>5903.3540279999997</v>
      </c>
      <c r="Y343" s="3">
        <f>4851.8+(1423.7-382.5)+(-4.948836+(-1.452174--0.39015))+0-0-0</f>
        <v>5886.9891399999997</v>
      </c>
      <c r="Z343" s="3">
        <f>4748.1+(1486.8-505.6)+(0+(0-0))+0-0-0</f>
        <v>5729.3</v>
      </c>
      <c r="AA343" s="3">
        <f>4582.4+(1370.7-485.2)+(-4.674048+(-1.398114--0.494904))+0-0-0</f>
        <v>5462.3227419999994</v>
      </c>
      <c r="AB343" s="3">
        <f>4503.1+(1294.5-585.8)+(-11.482905+(-3.300975--1.49379))+0-0-0</f>
        <v>5198.5099099999998</v>
      </c>
      <c r="AC343" s="3">
        <f>4417.6+(1023.9-572.1)+(-4.505952+(-1.044378--0.583542))+0-0-0</f>
        <v>4864.4332120000008</v>
      </c>
      <c r="AD343">
        <v>5915.6</v>
      </c>
      <c r="AE343" s="3">
        <f>4876+(1415.3-375.7)+(0+(0-0))+0-0-0</f>
        <v>5915.6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4205.4+(699.5-584)+(-6.434262+(-1.070235--0.89352))+0-0-0</f>
        <v>4314.2890229999994</v>
      </c>
      <c r="G344" s="3">
        <f>4203.5+(577.2-790.1)+(-2.143785+(-0.294372--0.402951))+0-0-0</f>
        <v>3988.5647939999999</v>
      </c>
      <c r="H344" s="3">
        <f>3960.6+(561.6-684.4)+(4.039812+(0.572832-0.698088))+0-0-0</f>
        <v>3841.7145560000004</v>
      </c>
      <c r="I344" s="3">
        <f>3937.9+(566.1-758.9)+(0+(0-0))+0-0-0</f>
        <v>3745.1000000000004</v>
      </c>
      <c r="J344" s="3">
        <f>3921.7+(585.4-775.4)+(-4.000134+(-0.597108--0.790908))+0-0-0</f>
        <v>3727.8936659999999</v>
      </c>
      <c r="K344" s="3">
        <f>3972.8+(688.1-857.9)+(-2.026128+(-0.350931--0.437529))+0-0-0</f>
        <v>3801.0604699999999</v>
      </c>
      <c r="L344" s="3">
        <f>4226.8+(846.6-1068.8)+(-10.77834+(-2.15883--2.72544))+0-0-0</f>
        <v>3994.3882700000004</v>
      </c>
      <c r="M344" s="3">
        <f>4434+(1026.8-1030.1)+(4.52268+(1.047336-1.050702))+0-0-0</f>
        <v>4435.2193139999999</v>
      </c>
      <c r="N344" s="3">
        <f>4655.6+(1240.2-851.1)+(7.123068+(1.897506-1.302183))+0-0-0</f>
        <v>5052.4183910000011</v>
      </c>
      <c r="O344" s="3">
        <f>4613.9+(1172.1-374.5)+(-11.765445+(-2.988855--0.954975))+0-0-0</f>
        <v>5397.700675</v>
      </c>
      <c r="P344" s="3">
        <f>4635.9+(1345.7-341.7)+(4.728618+(1.372614-0.348534))+0-0-0</f>
        <v>5645.6526979999999</v>
      </c>
      <c r="Q344" s="3">
        <f>4604.9+(1476.3-334.3)+(-4.696998+(-1.505826--0.340986))+0-0-0</f>
        <v>5741.0381619999998</v>
      </c>
      <c r="R344" s="3">
        <f>4541.5+(1417.5-309.9)+(-2.316165+(-0.722925--0.158049))+0-0-0</f>
        <v>5646.2189590000007</v>
      </c>
      <c r="S344" s="3">
        <f>4366.1+(1469-348.6)+(-4.453422+(-1.49838--0.355572))+0-0-0</f>
        <v>5480.9037699999999</v>
      </c>
      <c r="T344" s="3">
        <f>4319.7+(1566.4-331.7)+(-2.203047+(-0.798864--0.169167))+0-0-0</f>
        <v>5551.5672559999994</v>
      </c>
      <c r="U344" s="3">
        <f>4265.6+(1538.8-339.3)+(-8.701824+(-3.139152--0.692172))+0-0-0</f>
        <v>5453.951196</v>
      </c>
      <c r="V344" s="3">
        <f>4278.7+(1545.3-373.5)+(-2.182137+(-0.788103--0.190485))+0-0-0</f>
        <v>5447.7202450000004</v>
      </c>
      <c r="W344" s="3">
        <f>4356+(1461-311.7)+(-8.88624+(-2.98044--0.635868))+0-0-0</f>
        <v>5494.0691880000004</v>
      </c>
      <c r="X344" s="3">
        <f>4684.9+(1508.7-313.4)+(-2.389299+(-0.769437--0.159834))+0-0-0</f>
        <v>5877.2010979999995</v>
      </c>
      <c r="Y344" s="3">
        <f>4654.2+(1649.9-452)+(-11.86821+(-4.207245--1.1526))+0-0-0</f>
        <v>5837.1771450000006</v>
      </c>
      <c r="Z344" s="3">
        <f>4584.4+(1637.8-536.4)+(-7.014132+(-2.505834--0.820692))+0-0-0</f>
        <v>5677.1007259999997</v>
      </c>
      <c r="AA344" s="3">
        <f>4582.3+(1440.9-589.5)+(-2.336973+(-0.734859--0.300645))+0-0-0</f>
        <v>5430.9288130000004</v>
      </c>
      <c r="AB344" s="3">
        <f>4612+(1285.5-700.3)+(-2.35212+(-0.655605--0.357153))+0-0-0</f>
        <v>5194.5494280000003</v>
      </c>
      <c r="AC344" s="3">
        <f>4586.4+(1246.8-1034)+(0+(0-0))+0-0-0</f>
        <v>4799.2</v>
      </c>
      <c r="AD344">
        <v>5936.5</v>
      </c>
      <c r="AE344" s="3">
        <f>4685+(1651.7-400.2)+(0+(0-0))+0-0-0</f>
        <v>5936.5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4436.5+(864.1-1002.3)+(-11.313075+(-2.203455--2.555865))+0-0-0</f>
        <v>4287.3393350000006</v>
      </c>
      <c r="G345" s="3">
        <f>4264.4+(617.9-919.3)+(-6.524532+(-0.945387--1.406529))+0-0-0</f>
        <v>3956.9366099999997</v>
      </c>
      <c r="H345" s="3">
        <f>4180.8+(679.8-1056.8)+(-4.264416+(-0.693396--1.077936))+0-0-0</f>
        <v>3799.9201240000002</v>
      </c>
      <c r="I345" s="3">
        <f>4135.6+(663.4-1068.5)+(-6.327468+(-1.015002--1.634805))+0-0-0</f>
        <v>3724.7923350000005</v>
      </c>
      <c r="J345" s="3">
        <f>4157.5+(558.3-999.5)+(4.24065+(0.569466-1.01949))+0-0-0</f>
        <v>3720.0906260000002</v>
      </c>
      <c r="K345" s="3">
        <f>4162.8+(662.7-1029.7)+(2.123028+(0.337977-0.525147))+0-0-0</f>
        <v>3797.735858</v>
      </c>
      <c r="L345" s="3">
        <f>4279.9+(1095.9-1395.7)+(2.182749+(0.558909-0.711807))+0-0-0</f>
        <v>3982.1298509999992</v>
      </c>
      <c r="M345" s="3">
        <f>4398.3+(1239-1221.3)+(2.243133+(0.63189-0.622863))+0-0-0</f>
        <v>4418.25216</v>
      </c>
      <c r="N345" s="3">
        <f>4556.5+(1297.2-831.2)+(4.64763+(1.323144-0.847824))+0-0-0</f>
        <v>5027.6229499999999</v>
      </c>
      <c r="O345" s="3">
        <f>4612.7+(1359.7-590.7)+(4.704954+(1.386894-0.602514))+0-0-0</f>
        <v>5387.1893339999997</v>
      </c>
      <c r="P345" s="3">
        <f>4563.6+(1457.4-462.6)+(-6.982308+(-2.229822--0.707778))+0-0-0</f>
        <v>5549.8956480000006</v>
      </c>
      <c r="Q345" s="3">
        <f>4544.8+(1606.4-469)+(-4.635696+(-1.638528--0.47838))+0-0-0</f>
        <v>5676.4041560000005</v>
      </c>
      <c r="R345" s="3">
        <f>4516.7+(1485.3-404.5)+(-11.517585+(-3.787515--1.031475))+0-0-0</f>
        <v>5583.2263750000002</v>
      </c>
      <c r="S345" s="3">
        <f>4460.4+(1457.7-492.1)+(4.549608+(1.486854-0.501942))+0-0-0</f>
        <v>5431.5345200000002</v>
      </c>
      <c r="T345" s="3">
        <f>4437.2+(1527.5-509.4)+(-4.525944+(-1.55805--0.519588))+0-0-0</f>
        <v>5449.7355939999998</v>
      </c>
      <c r="U345" s="3">
        <f>4476.4+(1467.5-531.4)+(9.131856+(2.9937-1.084056))+0-0-0</f>
        <v>5423.5415000000003</v>
      </c>
      <c r="V345" s="3">
        <f>4491.4+(1347-458.8)+(-4.581228+(-1.37394--0.467976))+0-0-0</f>
        <v>5374.1128079999999</v>
      </c>
      <c r="W345" s="3">
        <f>4540.3+(1322.4-443.2)+(2.315553+(0.674424-0.226032))+0-0-0</f>
        <v>5422.2639449999997</v>
      </c>
      <c r="X345" s="3">
        <f>4677.8+(1567.4-465.8)+(4.771356+(1.598748-0.475116))+0-0-0</f>
        <v>5785.2949880000006</v>
      </c>
      <c r="Y345" s="3">
        <f>4689.7+(1639-555.8)+(2.391747+(0.83589-0.283458))+0-0-0</f>
        <v>5775.8441789999997</v>
      </c>
      <c r="Z345" s="3">
        <f>4514.5+(1669.2-541.9)+(-4.60479+(-1.702584--0.552738))+0-0-0</f>
        <v>5636.0453640000005</v>
      </c>
      <c r="AA345" s="3">
        <f>4396.6+(1522.4-510.5)+(-4.484532+(-1.552848--0.52071))+0-0-0</f>
        <v>5402.98333</v>
      </c>
      <c r="AB345" s="3">
        <f>4362.9+(1315.2-542)+(-6.675237+(-2.012256--0.82926))+0-0-0</f>
        <v>5128.2417669999995</v>
      </c>
      <c r="AC345" s="3">
        <f>4288+(987-498)+(-6.56064+(-1.51011--0.76194))+0-0-0</f>
        <v>4769.6911899999996</v>
      </c>
      <c r="AD345">
        <v>5862.1</v>
      </c>
      <c r="AE345" s="3">
        <f>4699+(1696-532.9)+(0+(0-0))+0-0-0</f>
        <v>5862.1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4095.5+(711.6-548.1)+(0+(0-0))+0-0-0</f>
        <v>4259</v>
      </c>
      <c r="G346" s="3">
        <f>3912.3+(588.6-575.7)+(-7.981092+(-1.200744--1.174428))+0-0-0</f>
        <v>3917.1925920000003</v>
      </c>
      <c r="H346" s="3">
        <f>3900+(571.8-707.9)+(-5.967+(-0.874854--1.083087))+0-0-0</f>
        <v>3758.1412330000003</v>
      </c>
      <c r="I346" s="3">
        <f>3906.3+(555.7-771.5)+(-3.984426+(-0.566814--0.78693))+0-0-0</f>
        <v>3686.73569</v>
      </c>
      <c r="J346" s="3">
        <f>3911.3+(486.1-732.4)+(1.994763+(0.247911-0.373524))+0-0-0</f>
        <v>3666.86915</v>
      </c>
      <c r="K346" s="3">
        <f>3910.1+(532.2-711.8)+(1.994151+(0.271422-0.363018))+0-0-0</f>
        <v>3732.4025550000001</v>
      </c>
      <c r="L346" s="3">
        <f>4113+(704.9-903.3)+(2.09763+(0.359499-0.460683))+0-0-0</f>
        <v>3916.596446</v>
      </c>
      <c r="M346" s="3">
        <f>4325.9+(912.1-894.5)+(0+(0-0))+0-0-0</f>
        <v>4343.5</v>
      </c>
      <c r="N346" s="3">
        <f>4433.6+(998.5-513.3)+(2.261136+(0.509235-0.261783))+0-0-0</f>
        <v>4921.3085879999999</v>
      </c>
      <c r="O346" s="3">
        <f>4416.7+(1249.5-381.2)+(0+(0-0))+0-0-0</f>
        <v>5285</v>
      </c>
      <c r="P346" s="3">
        <f>4382.9+(1474.7-354)+(-8.941116+(-3.008388--0.72216))+0-0-0</f>
        <v>5492.3726559999996</v>
      </c>
      <c r="Q346" s="3">
        <f>4344.5+(1645.9-380.2)+(0+(0-0))+0-0-0</f>
        <v>5610.2</v>
      </c>
      <c r="R346" s="3">
        <f>4283.9+(1550.5-356.4)+(-4.369578+(-1.58151--0.363528))+0-0-0</f>
        <v>5472.4124400000001</v>
      </c>
      <c r="S346" s="3">
        <f>4242.2+(1478.3-365.6)+(-2.163522+(-0.753933--0.186456))+0-0-0</f>
        <v>5352.1690009999993</v>
      </c>
      <c r="T346" s="3">
        <f>4247.4+(1543.1-321.2)+(2.166174+(0.786981-0.163812))+0-0-0</f>
        <v>5472.0893429999996</v>
      </c>
      <c r="U346" s="3">
        <f>4261.7+(1505-322.3)+(-10.867335+(-3.83775--0.821865))+0-0-0</f>
        <v>5430.5167799999999</v>
      </c>
      <c r="V346" s="3">
        <f>4311+(1445.3-332.1)+(0+(0-0))+0-0-0</f>
        <v>5424.2</v>
      </c>
      <c r="W346" s="3">
        <f>4434.9+(1375-340.4)+(-9.047196+(-2.805--0.694416))+0-0-0</f>
        <v>5458.3422200000005</v>
      </c>
      <c r="X346" s="3">
        <f>4568+(1615.8-388.2)+(-4.65936+(-1.648116--0.395964))+0-0-0</f>
        <v>5789.6884880000007</v>
      </c>
      <c r="Y346" s="3">
        <f>4565.8+(1660.9-473.8)+(-13.971348+(-5.082354--1.449828))+0-0-0</f>
        <v>5735.2961260000002</v>
      </c>
      <c r="Z346" s="3">
        <f>4502.3+(1637.8-530.7)+(-6.888519+(-2.505834--0.811971))+0-0-0</f>
        <v>5600.817618</v>
      </c>
      <c r="AA346" s="3">
        <f>4472.1+(1416.9-530.9)+(-4.561542+(-1.445238--0.541518))+0-0-0</f>
        <v>5352.6347380000007</v>
      </c>
      <c r="AB346" s="3">
        <f>4451.4+(1279.8-608.9)+(-6.810642+(-1.958094--0.931617))+0-0-0</f>
        <v>5114.4628809999995</v>
      </c>
      <c r="AC346" s="3">
        <f>4390.3+(1091-765.2)+(-11.195265+(-2.78205--1.95126))+0-0-0</f>
        <v>4704.0739450000001</v>
      </c>
      <c r="AD346">
        <v>5829.4</v>
      </c>
      <c r="AE346" s="3">
        <f>4577+(1715.2-462.8)+(0+(0-0))+0-0-0</f>
        <v>5829.4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4266.8+(914.6-921.3)+(-8.704272+(-1.865784--1.879452))+0-0-0</f>
        <v>4251.409396</v>
      </c>
      <c r="G347" s="3">
        <f>4173.5+(603.8-866.2)+(6.385455+(0.923814-1.325286))+0-0-0</f>
        <v>3917.083983</v>
      </c>
      <c r="H347" s="3">
        <f>4116.4+(521.1-896.8)+(-10.49682+(-1.328805--2.28684))+0-0-0</f>
        <v>3731.1612149999996</v>
      </c>
      <c r="I347" s="3">
        <f>4079.3+(627.9-1059.9)+(4.160886+(0.640458-1.081098))+0-0-0</f>
        <v>3651.020246</v>
      </c>
      <c r="J347" s="3">
        <f>4087.7+(521.7-987.4)+(-8.338908+(-1.064268--2.014296))+0-0-0</f>
        <v>3614.61112</v>
      </c>
      <c r="K347" s="3">
        <f>4156.7+(543.1-1010.4)+(-4.239834+(-0.553962--1.030608))+0-0-0</f>
        <v>3685.6368119999997</v>
      </c>
      <c r="L347" s="3">
        <f>4145.8+(859.1-1204)+(-8.457432+(-1.752564--2.45616))+0-0-0</f>
        <v>3793.1461640000002</v>
      </c>
      <c r="M347" s="3">
        <f>4342.1+(898.2-1104)+(13.286826+(2.748492-3.37824))+0-0-0</f>
        <v>4148.9570780000004</v>
      </c>
      <c r="N347" s="3">
        <f>4482.5+(858.7-631.5)+(9.1443+(1.751748-1.28826))+0-0-0</f>
        <v>4719.3077880000001</v>
      </c>
      <c r="O347" s="3">
        <f>4445.1+(1202.9-531.8)+(-2.267001+(-0.613479--0.271218))+0-0-0</f>
        <v>5113.5907380000008</v>
      </c>
      <c r="P347" s="3">
        <f>4469.1+(1523.7-652.1)+(4.558482+(1.554174-0.665142))+0-0-0</f>
        <v>5346.1475140000011</v>
      </c>
      <c r="Q347" s="3">
        <f>4452.9+(1620-626.8)+(0+(0-0))+0-0-0</f>
        <v>5446.0999999999995</v>
      </c>
      <c r="R347" s="3">
        <f>4428.9+(1433.1-514.4)+(-13.552434+(-4.385286--1.574064))+0-0-0</f>
        <v>5331.236343999999</v>
      </c>
      <c r="S347" s="3">
        <f>4427.2+(1286-531.1)+(-13.547232+(-3.93516--1.625166))+0-0-0</f>
        <v>5166.2427739999994</v>
      </c>
      <c r="T347" s="3">
        <f>4488.6+(1187.3-539.8)+(9.156744+(2.422092-1.101192))+0-0-0</f>
        <v>5146.577644</v>
      </c>
      <c r="U347" s="3">
        <f>4399+(1071.5-430.5)+(2.24349+(0.546465-0.219555))+0-0-0</f>
        <v>5042.5703999999996</v>
      </c>
      <c r="V347" s="3">
        <f>4417.7+(1054.9-424.1)+(-2.253027+(-0.537999--0.216291))+0-0-0</f>
        <v>5045.9252649999999</v>
      </c>
      <c r="W347" s="3">
        <f>4536.8+(1017.6-473.1)+(-4.627536+(-1.037952--0.482562))+0-0-0</f>
        <v>5076.1170739999998</v>
      </c>
      <c r="X347" s="3">
        <f>4781.3+(1100.2-470.4)+(-2.438463+(-0.561102--0.239904))+0-0-0</f>
        <v>5408.3403390000003</v>
      </c>
      <c r="Y347" s="3">
        <f>4791.9+(1140.9-531.1)+(-7.331607+(-1.745577--0.812583))+0-0-0</f>
        <v>5393.435399</v>
      </c>
      <c r="Z347" s="3">
        <f>4734.5+(1101.9-537.2)+(-9.65838+(-2.247876--1.095888))+0-0-0</f>
        <v>5288.3896319999994</v>
      </c>
      <c r="AA347" s="3">
        <f>4739.3+(1037.3-665.8)+(0+(0-0))+0-0-0</f>
        <v>5110.8</v>
      </c>
      <c r="AB347" s="3">
        <f>4745.3+(992.5-843.3)+(-12.100515+(-2.530875--2.150415))+0-0-0</f>
        <v>4882.0190249999996</v>
      </c>
      <c r="AC347" s="3">
        <f>4739.8+(1022.6-1161.4)+(0+(0-0))+0-0-0</f>
        <v>4601</v>
      </c>
      <c r="AD347">
        <v>5460.9</v>
      </c>
      <c r="AE347" s="3">
        <f>4781+(1208.9-529)+(0+(0-0))+0-0-0</f>
        <v>5460.9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4637.1+(644.5-1137.2)+(-9.459684+(-1.31478--2.319888))+0-0-0</f>
        <v>4135.9454240000005</v>
      </c>
      <c r="G348" s="3">
        <f>4433.8+(286.8-848.3)+(0+(0-0))+0-0-0</f>
        <v>3872.3</v>
      </c>
      <c r="H348" s="3">
        <f>4403.2+(327.3-1084.3)+(2.245632+(0.166923-0.552993))+0-0-0</f>
        <v>3648.0595619999999</v>
      </c>
      <c r="I348" s="3">
        <f>4389.8+(307.2-1160.4)+(-4.477596+(-0.313344--1.183608))+0-0-0</f>
        <v>3532.9926680000003</v>
      </c>
      <c r="J348" s="3">
        <f>4285.7+(228.6-962.2)+(-10.928535+(-0.58293--2.45361))+0-0-0</f>
        <v>3543.0421449999999</v>
      </c>
      <c r="K348" s="3">
        <f>4220.7+(263.8-951.6)+(4.305114+(0.269076-0.970632))+0-0-0</f>
        <v>3536.5035579999994</v>
      </c>
      <c r="L348" s="3">
        <f>4207.7+(359.8-1108.2)+(2.145927+(0.183498-0.565182))+0-0-0</f>
        <v>3461.0642429999998</v>
      </c>
      <c r="M348" s="3">
        <f>4234.5+(416.7-1217.2)+(0+(0-0))+0-0-0</f>
        <v>3434</v>
      </c>
      <c r="N348" s="3">
        <f>4440.6+(727.2-1436.5)+(2.264706+(0.370872-0.732615))+0-0-0</f>
        <v>3733.2029630000002</v>
      </c>
      <c r="O348" s="3">
        <f>4548.9+(940-1401.5)+(4.639878+(0.9588-1.42953))+0-0-0</f>
        <v>4091.5691479999996</v>
      </c>
      <c r="P348" s="3">
        <f>4598.4+(1025.7-1242.6)+(-2.345184+(-0.523107--0.633726))+0-0-0</f>
        <v>4379.2654350000003</v>
      </c>
      <c r="Q348" s="3">
        <f>4584.6+(1049.7-1103.3)+(-2.338146+(-0.535347--0.562683))+0-0-0</f>
        <v>4528.6891900000001</v>
      </c>
      <c r="R348" s="3">
        <f>4552.7+(1069.9-1100.1)+(0+(0-0))+0-0-0</f>
        <v>4522.5</v>
      </c>
      <c r="S348" s="3">
        <f>4537.3+(993.7-1081.8)+(0+(0-0))+0-0-0</f>
        <v>4449.2000000000007</v>
      </c>
      <c r="T348" s="3">
        <f>4467.6+(957.4-1058.1)+(0+(0-0))+0-0-0</f>
        <v>4366.9000000000005</v>
      </c>
      <c r="U348" s="3">
        <f>4394.7+(896.8-988.3)+(0+(0-0))+0-0-0</f>
        <v>4303.2</v>
      </c>
      <c r="V348" s="3">
        <f>4364.6+(845.5-906.5)+(0+(0-0))+0-0-0</f>
        <v>4303.6000000000004</v>
      </c>
      <c r="W348" s="3">
        <f>4439+(821.1-747.7)+(0+(0-0))+0-0-0</f>
        <v>4512.3999999999996</v>
      </c>
      <c r="X348" s="3">
        <f>4701.2+(1152.6-814.2)+(0+(0-0))+0-0-0</f>
        <v>5039.5999999999995</v>
      </c>
      <c r="Y348" s="3">
        <f>4726.2+(1321.4-866.7)+(0+(0-0))+0-0-0</f>
        <v>5180.8999999999996</v>
      </c>
      <c r="Z348" s="3">
        <f>4631.6+(1350.2-813.1)+(0+(0-0))+0-0-0</f>
        <v>5168.7000000000007</v>
      </c>
      <c r="AA348" s="3">
        <f>4595.3+(1058.8-740.5)+(0+(0-0))+0-0-0</f>
        <v>4913.6000000000004</v>
      </c>
      <c r="AB348" s="3">
        <f>4510.8+(981.7-723.3)+(0+(0-0))+0-0-0</f>
        <v>4769.2000000000007</v>
      </c>
      <c r="AC348" s="3">
        <f>4249+(916.3-722)+(0+(0-0))+0-0-0</f>
        <v>4443.3</v>
      </c>
      <c r="AD348">
        <v>5048.2000000000007</v>
      </c>
      <c r="AE348" s="3">
        <f>4735+(1169.1-855.9)+(0+(0-0))+0-0-0</f>
        <v>5048.2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4208.6+(823.8-1011.3)+(0+(0-0))+0-0-0</f>
        <v>4021.1000000000004</v>
      </c>
      <c r="G349" s="3">
        <f>4119.1+(744.8-1191.5)+(0+(0-0))+0-0-0</f>
        <v>3672.4000000000005</v>
      </c>
      <c r="H349" s="3">
        <f>4087+(716.1-1296.2)+(0+(0-0))+0-0-0</f>
        <v>3506.9</v>
      </c>
      <c r="I349" s="3">
        <f>4053.5+(491.9-1180.3)+(0+(0-0))+0-0-0</f>
        <v>3365.1</v>
      </c>
      <c r="J349" s="3">
        <f>3959.9+(489.2-1067.2)+(0+(0-0))+0-0-0</f>
        <v>3381.9</v>
      </c>
      <c r="K349" s="3">
        <f>3975.8+(482-977.5)+(0+(0-0))+0-0-0</f>
        <v>3480.3</v>
      </c>
      <c r="L349" s="3">
        <f>4184.4+(625.7-1120.1)+(10.67022+(1.595535-2.856255))+0-0-0</f>
        <v>3699.4095000000002</v>
      </c>
      <c r="M349" s="3">
        <f>4556.6+(936.6-1287.1)+(9.295464+(1.910664-2.625684))+0-0-0</f>
        <v>4214.6804440000005</v>
      </c>
      <c r="N349" s="3">
        <f>5073.8+(1061.9-1247.7)+(0+(0-0))+0-0-0</f>
        <v>4888</v>
      </c>
      <c r="O349" s="3">
        <f>5234.2+(969.7-840.7)+(2.669442+(0.494547-0.428757))+0-0-0</f>
        <v>5365.9352319999998</v>
      </c>
      <c r="P349" s="3">
        <f>5309.9+(1058.5-684.1)+(2.708049+(0.539835-0.348891))+0-0-0</f>
        <v>5687.1989929999991</v>
      </c>
      <c r="Q349" s="3">
        <f>5335.8+(1125.4-595.5)+(-8.163774+(-1.721862--0.911115))+0-0-0</f>
        <v>5856.7254790000006</v>
      </c>
      <c r="R349" s="3">
        <f>5359.4+(1031.2-576.5)+(0+(0-0))+0-0-0</f>
        <v>5814.0999999999995</v>
      </c>
      <c r="S349" s="3">
        <f>5400.7+(952.3-703.3)+(-5.508714+(-0.971346--0.717366))+0-0-0</f>
        <v>5643.9373059999998</v>
      </c>
      <c r="T349" s="3">
        <f>5453+(957.2-702.2)+(0+(0-0))+0-0-0</f>
        <v>5708</v>
      </c>
      <c r="U349" s="3">
        <f>5445.1+(1006.6-803.2)+(-8.331003+(-1.540098--1.228896))+0-0-0</f>
        <v>5639.8577949999999</v>
      </c>
      <c r="V349" s="3">
        <f>5454.8+(950.3-807.6)+(2.781948+(0.484653-0.411876))+0-0-0</f>
        <v>5600.3547250000001</v>
      </c>
      <c r="W349" s="3">
        <f>5429+(822.7-702.4)+(-5.53758+(-0.839154--0.716448))+0-0-0</f>
        <v>5543.6397139999999</v>
      </c>
      <c r="X349" s="3">
        <f>5616.7+(979.2-696.6)+(0+(0-0))+0-0-0</f>
        <v>5899.3</v>
      </c>
      <c r="Y349" s="3">
        <f>5618.5+(1149.9-877.9)+(-8.596305+(-1.759347--1.343187))+0-0-0</f>
        <v>5881.4875350000002</v>
      </c>
      <c r="Z349" s="3">
        <f>5398.6+(1273-907.1)+(-8.259858+(-1.94769--1.387863))+0-0-0</f>
        <v>5755.6803149999996</v>
      </c>
      <c r="AA349" s="3">
        <f>5174.3+(1104.8-813.3)+(-2.638893+(-0.563448--0.414783))+0-0-0</f>
        <v>5463.0124420000002</v>
      </c>
      <c r="AB349" s="3">
        <f>5208.7+(798.6-792.1)+(-10.625748+(-1.629144--1.615884))+0-0-0</f>
        <v>5204.5609919999997</v>
      </c>
      <c r="AC349" s="3">
        <f>4999.1+(677.6-855.7)+(-12.747705+(-1.72788--2.182035))+0-0-0</f>
        <v>4808.7064499999997</v>
      </c>
      <c r="AD349">
        <v>5897.9000000000005</v>
      </c>
      <c r="AE349" s="3">
        <f>5645+(1060.8-807.9)+(0+(0-0))+0-0-0</f>
        <v>5897.9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4613.4+(681.9-983.8)+(-11.76417+(-1.738845--2.50869))+0-0-0</f>
        <v>4300.5056750000003</v>
      </c>
      <c r="G350" s="3">
        <f>4228+(595.1-840.3)+(-10.7814+(-1.517505--2.142765))+0-0-0</f>
        <v>3972.6438600000001</v>
      </c>
      <c r="H350" s="3">
        <f>4196.3+(615.2-987.2)+(-10.700565+(-1.56876--2.51736))+0-0-0</f>
        <v>3814.5480350000003</v>
      </c>
      <c r="I350" s="3">
        <f>4161.8+(502.7-924)+(-2.122518+(-0.256377--0.47124))+0-0-0</f>
        <v>3738.592345</v>
      </c>
      <c r="J350" s="3">
        <f>4102.5+(498.6-856.7)+(-10.461375+(-1.27143--2.184585))+0-0-0</f>
        <v>3734.85178</v>
      </c>
      <c r="K350" s="3">
        <f>4150.6+(562.1-907.6)+(2.116806+(0.286671-0.462876))+0-0-0</f>
        <v>3807.0406010000002</v>
      </c>
      <c r="L350" s="3">
        <f>4143.8+(690.8-841.3)+(-6.340014+(-1.056924--1.287189))+0-0-0</f>
        <v>3987.190251</v>
      </c>
      <c r="M350" s="3">
        <f>4471.4+(877.2-922.5)+(-4.560828+(-0.894744--0.94095))+0-0-0</f>
        <v>4421.5853779999998</v>
      </c>
      <c r="N350" s="3">
        <f>4945.8+(1025-869.4)+(2.522358+(0.52275-0.443394))+0-0-0</f>
        <v>5104.0017140000009</v>
      </c>
      <c r="O350" s="3">
        <f>5025.3+(1180.7-731.8)+(5.125806+(1.204314-0.746436))+0-0-0</f>
        <v>5479.7836840000009</v>
      </c>
      <c r="P350" s="3">
        <f>4988.3+(1383.8-670.9)+(-2.544033+(-0.705738--0.342159))+0-0-0</f>
        <v>5698.2923879999998</v>
      </c>
      <c r="Q350" s="3">
        <f>4961+(1529.8-653.8)+(-5.06022+(-1.560396--0.666876))+0-0-0</f>
        <v>5831.0462600000001</v>
      </c>
      <c r="R350" s="3">
        <f>4954.5+(1416.7-624.2)+(-2.526795+(-0.722517--0.318342))+0-0-0</f>
        <v>5744.0690299999997</v>
      </c>
      <c r="S350" s="3">
        <f>4866.5+(1373.4-644.3)+(4.96383+(1.400868-0.657186))+0-0-0</f>
        <v>5601.3075120000003</v>
      </c>
      <c r="T350" s="3">
        <f>4852.7+(1380.4-585.3)+(2.474877+(0.704004-0.298503))+0-0-0</f>
        <v>5650.680378</v>
      </c>
      <c r="U350" s="3">
        <f>4786.3+(1353.3-556.7)+(2.441013+(0.690183-0.283917))+0-0-0</f>
        <v>5585.7472789999993</v>
      </c>
      <c r="V350" s="3">
        <f>4734.8+(1365.3-557.2)+(-2.414748+(-0.696303--0.284172))+0-0-0</f>
        <v>5540.0731209999994</v>
      </c>
      <c r="W350" s="3">
        <f>4873.8+(1206.4-534.9)+(7.456914+(1.845792-0.818397))+0-0-0</f>
        <v>5553.7843090000006</v>
      </c>
      <c r="X350" s="3">
        <f>5089.1+(1409-591.9)+(0+(0-0))+0-0-0</f>
        <v>5906.2000000000007</v>
      </c>
      <c r="Y350" s="3">
        <f>5091.6+(1466.1-641.5)+(-7.790148+(-2.243133--0.981495))+0-0-0</f>
        <v>5907.1482140000007</v>
      </c>
      <c r="Z350" s="3">
        <f>5010.8+(1415.5-658.8)+(-5.111016+(-1.44381--0.671976))+0-0-0</f>
        <v>5761.61715</v>
      </c>
      <c r="AA350" s="3">
        <f>4930.3+(1293.1-699.2)+(-12.572265+(-3.297405--1.78296))+0-0-0</f>
        <v>5510.1132900000002</v>
      </c>
      <c r="AB350" s="3">
        <f>4909.2+(1144.5-850.1)+(-7.511076+(-1.751085--1.300653))+0-0-0</f>
        <v>5195.6384919999991</v>
      </c>
      <c r="AC350" s="3">
        <f>4858.4+(931.2-1002.3)+(-9.911136+(-1.899648--2.044692))+0-0-0</f>
        <v>4777.5339079999994</v>
      </c>
      <c r="AD350">
        <v>5979.6</v>
      </c>
      <c r="AE350" s="3">
        <f>5071+(1564.5-655.9)+(0+(0-0))+0-0-0</f>
        <v>5979.6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4442.5+(834.8-976.7)+(2.265675+(0.425748-0.498117))+0-0-0</f>
        <v>4302.7933060000005</v>
      </c>
      <c r="G351" s="3">
        <f>4185.9+(621.8-859.3)+(-4.269618+(-0.634236--0.876486))+0-0-0</f>
        <v>3944.3726319999996</v>
      </c>
      <c r="H351" s="3">
        <f>3972.2+(642.6-813.1)+(-2.025822+(-0.327726--0.414681))+0-0-0</f>
        <v>3799.761133</v>
      </c>
      <c r="I351" s="3">
        <f>3986.9+(644.6-902.7)+(2.033319+(0.328746-0.460377))+0-0-0</f>
        <v>3730.7016880000001</v>
      </c>
      <c r="J351" s="3">
        <f>3994.1+(633.8-898.6)+(-4.073982+(-0.646476--0.916572))+0-0-0</f>
        <v>3725.4961139999996</v>
      </c>
      <c r="K351" s="3">
        <f>4042.8+(635.5-880.4)+(0+(0-0))+0-0-0</f>
        <v>3797.9</v>
      </c>
      <c r="L351" s="3">
        <f>4263.9+(687.7-974)+(-4.349178+(-0.701454--0.99348))+0-0-0</f>
        <v>3973.5428479999996</v>
      </c>
      <c r="M351" s="3">
        <f>4547.9+(710.6-837.2)+(2.319429+(0.362406-0.426972))+0-0-0</f>
        <v>4423.5548629999994</v>
      </c>
      <c r="N351" s="3">
        <f>4745.9+(1041.5-796.8)+(4.840818+(1.06233-0.812736))+0-0-0</f>
        <v>4995.690411999999</v>
      </c>
      <c r="O351" s="3">
        <f>4879.2+(1262.1-805.6)+(2.488392+(0.643671-0.410856))+0-0-0</f>
        <v>5338.4212069999994</v>
      </c>
      <c r="P351" s="3">
        <f>4903.5+(1345.4-742.8)+(-7.502355+(-2.058462--1.136484))+0-0-0</f>
        <v>5497.6756670000004</v>
      </c>
      <c r="Q351" s="3">
        <f>4860.3+(1555.1-696.7)+(-9.915012+(-3.172404--1.421268))+0-0-0</f>
        <v>5707.0338519999996</v>
      </c>
      <c r="R351" s="3">
        <f>4848+(1573.7-744)+(-7.41744+(-2.407761--1.13832))+0-0-0</f>
        <v>5669.0131190000002</v>
      </c>
      <c r="S351" s="3">
        <f>4818.8+(1431.6-706.8)+(-12.28794+(-3.65058--1.80234))+0-0-0</f>
        <v>5529.4638199999999</v>
      </c>
      <c r="T351" s="3">
        <f>4840+(1443.3-669.9)+(2.4684+(0.736083-0.341649))+0-0-0</f>
        <v>5616.2628339999992</v>
      </c>
      <c r="U351" s="3">
        <f>4822.6+(1453.1-683.2)+(-9.838104+(-2.964324--1.393728))+0-0-0</f>
        <v>5581.0913</v>
      </c>
      <c r="V351" s="3">
        <f>4839.2+(1354.6-613.8)+(0+(0-0))+0-0-0</f>
        <v>5580</v>
      </c>
      <c r="W351" s="3">
        <f>4906.9+(1243.4-583.4)+(2.502519+(0.634134-0.297534))+0-0-0</f>
        <v>5569.7391189999998</v>
      </c>
      <c r="X351" s="3">
        <f>5084.7+(1467.8-654.6)+(5.186394+(1.497156-0.667692))+0-0-0</f>
        <v>5903.9158579999994</v>
      </c>
      <c r="Y351" s="3">
        <f>5066.5+(1626.7-776.2)+(0+(0-0))+0-0-0</f>
        <v>5917</v>
      </c>
      <c r="Z351" s="3">
        <f>5020+(1523.6-766.5)+(2.5602+(0.777036-0.390915))+0-0-0</f>
        <v>5780.0463210000007</v>
      </c>
      <c r="AA351" s="3">
        <f>4994.9+(1297.5-773.7)+(-5.094798+(-1.32345--0.789174))+0-0-0</f>
        <v>5513.0709259999994</v>
      </c>
      <c r="AB351" s="3">
        <f>5021.9+(1137.6-925.9)+(-2.561169+(-0.580176--0.472209))+0-0-0</f>
        <v>5230.930863999999</v>
      </c>
      <c r="AC351" s="3">
        <f>4980.2+(1064.2-1195.2)+(-10.159608+(-2.170968--2.438208))+0-0-0</f>
        <v>4839.307632</v>
      </c>
      <c r="AD351">
        <v>5925.5</v>
      </c>
      <c r="AE351" s="3">
        <f>5069+(1619.7-763.2)+(0+(0-0))+0-0-0</f>
        <v>5925.5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4554.7+(943.5-1151.7)+(-2.322897+(-0.481185--0.587367))+0-0-0</f>
        <v>4344.2832850000004</v>
      </c>
      <c r="G352" s="3">
        <f>4330.7+(773.4-1080.2)+(0+(0-0))+0-0-0</f>
        <v>4023.8999999999996</v>
      </c>
      <c r="H352" s="3">
        <f>4164+(609.6-905.6)+(-2.12364+(-0.310896--0.461856))+0-0-0</f>
        <v>3866.0273200000001</v>
      </c>
      <c r="I352" s="3">
        <f>4136.7+(630.6-962.2)+(0+(0-0))+0-0-0</f>
        <v>3805.1</v>
      </c>
      <c r="J352" s="3">
        <f>4142.5+(596.1-952.4)+(4.22535+(0.608022-0.971448))+0-0-0</f>
        <v>3790.0619239999996</v>
      </c>
      <c r="K352" s="3">
        <f>4221.5+(676.8-1047)+(-2.152965+(-0.345168--0.53397))+0-0-0</f>
        <v>3849.3358370000001</v>
      </c>
      <c r="L352" s="3">
        <f>4349.6+(955.5-1302.6)+(-2.218296+(-0.487305--0.664326))+0-0-0</f>
        <v>4000.4587250000004</v>
      </c>
      <c r="M352" s="3">
        <f>4695.5+(1067.3-1318.5)+(4.78941+(1.088646-1.34487))+0-0-0</f>
        <v>4448.8331859999998</v>
      </c>
      <c r="N352" s="3">
        <f>5024.7+(1207.9-1177.4)+(5.125194+(1.232058-1.200948))+0-0-0</f>
        <v>5060.3563039999999</v>
      </c>
      <c r="O352" s="3">
        <f>5044.5+(1467.7-1038.8)+(5.14539+(1.497054-1.059576))+0-0-0</f>
        <v>5478.9828680000001</v>
      </c>
      <c r="P352" s="3">
        <f>4983.5+(1697.9-979.6)+(7.624755+(2.597787-1.498788))+0-0-0</f>
        <v>5710.5237539999998</v>
      </c>
      <c r="Q352" s="3">
        <f>4848.4+(1952.2-934.5)+(-7.418052+(-2.986866--1.429785))+0-0-0</f>
        <v>5857.1248669999995</v>
      </c>
      <c r="R352" s="3">
        <f>4884.2+(1767.7-900.9)+(-9.963768+(-3.606108--1.837836))+0-0-0</f>
        <v>5739.2679600000001</v>
      </c>
      <c r="S352" s="3">
        <f>4885.8+(1548.6-863.9)+(-12.45879+(-3.94893--2.202945))+0-0-0</f>
        <v>5556.2952249999998</v>
      </c>
      <c r="T352" s="3">
        <f>4960.5+(1516.3-853.1)+(7.589565+(2.319939-1.305243))+0-0-0</f>
        <v>5632.3042610000002</v>
      </c>
      <c r="U352" s="3">
        <f>4954.6+(1464.6-862.2)+(7.580538+(2.240838-1.319166))+0-0-0</f>
        <v>5565.5022099999996</v>
      </c>
      <c r="V352" s="3">
        <f>4918.7+(1426.4-833.2)+(-2.508537+(-0.727464--0.424932))+0-0-0</f>
        <v>5509.0889309999993</v>
      </c>
      <c r="W352" s="3">
        <f>4923.1+(1227.7-746.7)+(-2.510781+(-0.626127--0.380817))+0-0-0</f>
        <v>5401.3439090000002</v>
      </c>
      <c r="X352" s="3">
        <f>5107.4+(1476.3-724.6)+(0+(0-0))+0-0-0</f>
        <v>5859.0999999999995</v>
      </c>
      <c r="Y352" s="3">
        <f>5162.7+(1496.2-735.7)+(-7.898931+(-2.289186--1.125621))+0-0-0</f>
        <v>5914.1375040000003</v>
      </c>
      <c r="Z352" s="3">
        <f>5081.7+(1375-720.8)+(-5.183334+(-1.4025--0.735216))+0-0-0</f>
        <v>5730.0493819999992</v>
      </c>
      <c r="AA352" s="3">
        <f>5072.3+(1193.1-744.3)+(-5.173746+(-1.216962--0.759186))+0-0-0</f>
        <v>5515.4684780000007</v>
      </c>
      <c r="AB352" s="3">
        <f>5046.7+(996.9-797.5)+(-10.295268+(-2.033676--1.6269))+0-0-0</f>
        <v>5235.3979559999998</v>
      </c>
      <c r="AC352" s="3">
        <f>4997+(960.5-1106.3)+(-7.64541+(-1.469565--1.692639))+0-0-0</f>
        <v>4843.7776640000002</v>
      </c>
      <c r="AD352">
        <v>5893</v>
      </c>
      <c r="AE352" s="3">
        <f>5183+(1444.3-734.3)+(0+(0-0))+0-0-0</f>
        <v>5893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4777.8+(813.8-1228.4)+(-17.056746+(-2.905266--4.385388))+0-0-0</f>
        <v>4347.6233759999996</v>
      </c>
      <c r="G353" s="3">
        <f>4703.8+(847.4-1526.5)+(-4.797876+(-0.864348--1.55703))+0-0-0</f>
        <v>4020.5948060000001</v>
      </c>
      <c r="H353" s="3">
        <f>4625.4+(970.4-1742.1)+(-9.435816+(-1.979616--3.553884))+0-0-0</f>
        <v>3845.838452</v>
      </c>
      <c r="I353" s="3">
        <f>4670.1+(922.5-1816)+(2.381751+(0.470475-0.92616))+0-0-0</f>
        <v>3778.5260660000004</v>
      </c>
      <c r="J353" s="3">
        <f>4657.9+(895-1781.6)+(0+(0-0))+0-0-0</f>
        <v>3771.2999999999997</v>
      </c>
      <c r="K353" s="3">
        <f>4644.6+(988.3-1795.6)+(-4.737492+(-1.008066--1.831512))+0-0-0</f>
        <v>3833.3859540000003</v>
      </c>
      <c r="L353" s="3">
        <f>4650.5+(1096-1753.1)+(2.371755+(0.55896-0.894081))+0-0-0</f>
        <v>3995.4366340000001</v>
      </c>
      <c r="M353" s="3">
        <f>4814.5+(1199.2-1567.9)+(4.91079+(1.223184-1.599258))+0-0-0</f>
        <v>4450.3347160000003</v>
      </c>
      <c r="N353" s="3">
        <f>4998.1+(1170.4-1103.8)+(5.098062+(1.193808-1.125876))+0-0-0</f>
        <v>5069.8659940000007</v>
      </c>
      <c r="O353" s="3">
        <f>5007.9+(1306.5-856.5)+(0+(0-0))+0-0-0</f>
        <v>5457.9</v>
      </c>
      <c r="P353" s="3">
        <f>4969.6+(1514.3-799.5)+(-5.068992+(-1.544586--0.81549))+0-0-0</f>
        <v>5678.601912000001</v>
      </c>
      <c r="Q353" s="3">
        <f>4927.5+(1530-712.4)+(-12.565125+(-3.9015--1.81662))+0-0-0</f>
        <v>5730.4499949999999</v>
      </c>
      <c r="R353" s="3">
        <f>4922+(1431.6-704.3)+(-7.53066+(-2.190348--1.077579))+0-0-0</f>
        <v>5640.6565710000004</v>
      </c>
      <c r="S353" s="3">
        <f>4824.2+(1367.3-706.2)+(-9.841368+(-2.789292--1.440648))+0-0-0</f>
        <v>5474.1099879999992</v>
      </c>
      <c r="T353" s="3">
        <f>4695+(1416.7-618)+(-2.39445+(-0.722517--0.31518))+0-0-0</f>
        <v>5490.8982129999995</v>
      </c>
      <c r="U353" s="3">
        <f>4700.9+(1461.8-668.7)+(0+(0-0))+0-0-0</f>
        <v>5494</v>
      </c>
      <c r="V353" s="3">
        <f>4791+(1332.2-676.9)+(7.33023+(2.038266-1.035657))+0-0-0</f>
        <v>5454.6328389999999</v>
      </c>
      <c r="W353" s="3">
        <f>4815.4+(1073-426.6)+(-7.367562+(-1.64169--0.652698))+0-0-0</f>
        <v>5453.4434459999993</v>
      </c>
      <c r="X353" s="3">
        <f>5047.6+(1093.6-323.4)+(5.148552+(1.115472-0.329868))+0-0-0</f>
        <v>5823.7341560000004</v>
      </c>
      <c r="Y353" s="3">
        <f>5106.1+(1055-303.9)+(-7.812333+(-1.61415--0.464967))+0-0-0</f>
        <v>5848.2384840000004</v>
      </c>
      <c r="Z353" s="3">
        <f>5009.6+(1044-343.4)+(-10.219584+(-2.12976--0.700536))+0-0-0</f>
        <v>5698.5511920000008</v>
      </c>
      <c r="AA353" s="3">
        <f>4968.1+(1182.2-644.3)+(-7.601193+(-1.808766--0.985779))+0-0-0</f>
        <v>5497.57582</v>
      </c>
      <c r="AB353" s="3">
        <f>4834+(1228.9-819.7)+(-12.3267+(-3.133695--2.090235))+0-0-0</f>
        <v>5229.8298399999994</v>
      </c>
      <c r="AC353" s="3">
        <f>4766.7+(1189.3-1135.2)+(-2.431017+(-0.606543--0.578952))+0-0-0</f>
        <v>4818.3413919999994</v>
      </c>
      <c r="AD353">
        <v>5831.8</v>
      </c>
      <c r="AE353" s="3">
        <f>5066+(1090.3-324.5)+(0+(0-0))+0-0-0</f>
        <v>5831.8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4559.2+(1151.4-1372)+(-11.62596+(-2.93607--3.4986))+0-0-0</f>
        <v>4327.5365700000002</v>
      </c>
      <c r="G354" s="3">
        <f>4420.3+(854-1279.8)+(-11.271765+(-2.1777--3.26349))+0-0-0</f>
        <v>3984.3140250000001</v>
      </c>
      <c r="H354" s="3">
        <f>4311.4+(557.4-1052)+(-6.596442+(-0.852822--1.60956))+0-0-0</f>
        <v>3810.9602959999997</v>
      </c>
      <c r="I354" s="3">
        <f>4228.4+(563.6-1058.7)+(6.469452+(0.862308-1.619811))+0-0-0</f>
        <v>3739.0119489999997</v>
      </c>
      <c r="J354" s="3">
        <f>4147.4+(552.6-999)+(8.460696+(1.127304-2.03796))+0-0-0</f>
        <v>3708.5500399999996</v>
      </c>
      <c r="K354" s="3">
        <f>4151.8+(606.8-1009.3)+(10.58709+(1.54734-2.573715))+0-0-0</f>
        <v>3758.8607150000003</v>
      </c>
      <c r="L354" s="3">
        <f>4397.7+(780.7-1355.6)+(-4.485654+(-0.796314--1.382712))+0-0-0</f>
        <v>3818.900744</v>
      </c>
      <c r="M354" s="3">
        <f>4605.8+(1051.3-1466)+(4.697916+(1.072326-1.49532))+0-0-0</f>
        <v>4195.374922</v>
      </c>
      <c r="N354" s="3">
        <f>4668+(1100.1-966.6)+(2.38068+(0.561051-0.492966))+0-0-0</f>
        <v>4803.9487650000001</v>
      </c>
      <c r="O354" s="3">
        <f>4720.4+(1147-660.1)+(4.814808+(1.16994-0.673302))+0-0-0</f>
        <v>5212.611445999999</v>
      </c>
      <c r="P354" s="3">
        <f>4805.8+(1215.8-565.2)+(-4.901916+(-1.240116--0.576504))+0-0-0</f>
        <v>5450.8344719999996</v>
      </c>
      <c r="Q354" s="3">
        <f>4737.6+(1335-512.1)+(-7.248528+(-2.04255--0.783513))+0-0-0</f>
        <v>5551.9924350000001</v>
      </c>
      <c r="R354" s="3">
        <f>4726.5+(1200.5-496.7)+(-9.64206+(-2.44902--1.013268))+0-0-0</f>
        <v>5419.2221879999997</v>
      </c>
      <c r="S354" s="3">
        <f>4735.9+(1148.1-683.1)+(4.830618+(1.171062-0.696762))+0-0-0</f>
        <v>5206.2049179999995</v>
      </c>
      <c r="T354" s="3">
        <f>4698.6+(1112.7-649.1)+(4.792572+(1.134954-0.662082))+0-0-0</f>
        <v>5167.4654440000004</v>
      </c>
      <c r="U354" s="3">
        <f>4671.7+(1081.8-685.6)+(-4.765134+(-1.103436--0.699312))+0-0-0</f>
        <v>5062.7307419999997</v>
      </c>
      <c r="V354" s="3">
        <f>4676+(1018.9-700.2)+(-7.15428+(-1.558917--1.071306))+0-0-0</f>
        <v>4987.0581089999996</v>
      </c>
      <c r="W354" s="3">
        <f>4695.1+(933.1-645.2)+(-11.972505+(-2.379405--1.64526))+0-0-0</f>
        <v>4970.2933499999999</v>
      </c>
      <c r="X354" s="3">
        <f>4872.3+(1142.8-656.9)+(2.484873+(0.582828-0.335019))+0-0-0</f>
        <v>5360.9326819999997</v>
      </c>
      <c r="Y354" s="3">
        <f>4972+(1176.9-680.3)+(-15.21432+(-3.601314--2.081718))+0-0-0</f>
        <v>5451.8660840000002</v>
      </c>
      <c r="Z354" s="3">
        <f>4970.2+(1298.9-908)+(0+(0-0))+0-0-0</f>
        <v>5361.1</v>
      </c>
      <c r="AA354" s="3">
        <f>5008.4+(1492.6-1292.1)+(-7.662852+(-2.283678--1.976913))+0-0-0</f>
        <v>5200.9303829999999</v>
      </c>
      <c r="AB354" s="3">
        <f>4992.4+(1440.2-1427.1)+(-10.184496+(-2.938008--2.911284))+0-0-0</f>
        <v>4995.2887799999999</v>
      </c>
      <c r="AC354" s="3">
        <f>4974.4+(1095.4-1379.2)+(-2.536944+(-0.558654--0.703392))+0-0-0</f>
        <v>4688.207793999999</v>
      </c>
      <c r="AD354">
        <v>5491.9000000000005</v>
      </c>
      <c r="AE354" s="3">
        <f>4928+(1188.6-624.7)+(0+(0-0))+0-0-0</f>
        <v>5491.9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4818.2+(1145.6-1690.9)+(-7.371846+(-1.752768--2.587077))+0-0-0</f>
        <v>4266.3624629999995</v>
      </c>
      <c r="G355" s="3">
        <f>4572.4+(1040.3-1705.2)+(-9.327696+(-2.122212--3.478608))+0-0-0</f>
        <v>3899.5286999999994</v>
      </c>
      <c r="H355" s="3">
        <f>4429.6+(762.3-1511)+(-2.259096+(-0.388773--0.77061))+0-0-0</f>
        <v>3679.0227410000007</v>
      </c>
      <c r="I355" s="3">
        <f>4369.9+(639.4-1427.6)+(-6.685947+(-0.978282--2.184228))+0-0-0</f>
        <v>3576.2199989999999</v>
      </c>
      <c r="J355" s="3">
        <f>4314.8+(592.7-1374.4)+(2.200548+(0.302277-0.700944))+0-0-0</f>
        <v>3534.9018810000002</v>
      </c>
      <c r="K355" s="3">
        <f>4299.1+(594.5-1350.4)+(0+(0-0))+0-0-0</f>
        <v>3543.2000000000003</v>
      </c>
      <c r="L355" s="3">
        <f>4258.2+(723.2-1525.8)+(-8.686728+(-1.475328--3.112632))+0-0-0</f>
        <v>3448.5505760000001</v>
      </c>
      <c r="M355" s="3">
        <f>4302.2+(876.1-1686.3)+(2.194122+(0.446811-0.860013))+0-0-0</f>
        <v>3493.7809200000002</v>
      </c>
      <c r="N355" s="3">
        <f>4400.7+(967.1-1575)+(4.488714+(0.986442-1.6065))+0-0-0</f>
        <v>3796.6686559999998</v>
      </c>
      <c r="O355" s="3">
        <f>4453.1+(1109-1431.6)+(-2.271081+(-0.56559--0.730116))+0-0-0</f>
        <v>4128.3934449999997</v>
      </c>
      <c r="P355" s="3">
        <f>4486.7+(1086.2-1115.7)+(2.288217+(0.553962-0.569007))+0-0-0</f>
        <v>4459.473172</v>
      </c>
      <c r="Q355" s="3">
        <f>4508.7+(1048.5-953.2)+(-6.898311+(-1.604205--1.458396))+0-0-0</f>
        <v>4596.9558800000004</v>
      </c>
      <c r="R355" s="3">
        <f>4541.6+(1037.9-976.6)+(-13.897296+(-3.175974--2.988396))+0-0-0</f>
        <v>4588.8151260000004</v>
      </c>
      <c r="S355" s="3">
        <f>4552.7+(1114.2-1200)+(-2.321877+(-0.568242--0.612))+0-0-0</f>
        <v>4464.621881</v>
      </c>
      <c r="T355" s="3">
        <f>4528.4+(1119.3-1250.6)+(0+(0-0))+0-0-0</f>
        <v>4397.0999999999995</v>
      </c>
      <c r="U355" s="3">
        <f>4516.3+(1193.8-1393.6)+(-2.303313+(-0.608838--0.710736))+0-0-0</f>
        <v>4314.2985849999995</v>
      </c>
      <c r="V355" s="3">
        <f>4512.6+(1121.3-1314.8)+(-4.602852+(-1.143726--1.341096))+0-0-0</f>
        <v>4314.6945180000002</v>
      </c>
      <c r="W355" s="3">
        <f>4526.8+(865.7-961.3)+(-9.234672+(-1.766028--1.961052))+0-0-0</f>
        <v>4422.1603520000008</v>
      </c>
      <c r="X355" s="3">
        <f>4674.4+(782.3-585.1)+(2.383944+(0.398973-0.298401))+0-0-0</f>
        <v>4874.0845159999999</v>
      </c>
      <c r="Y355" s="3">
        <f>4631.6+(1181.1-741.5)+(-7.086348+(-1.807083--1.134495))+0-0-0</f>
        <v>5063.4410640000006</v>
      </c>
      <c r="Z355" s="3">
        <f>4476.8+(1359.3-748.5)+(4.566336+(1.386486-0.76347))+0-0-0</f>
        <v>5092.7893520000007</v>
      </c>
      <c r="AA355" s="3">
        <f>4485.3+(1216.7-733)+(-9.150012+(-2.482068--1.49532))+0-0-0</f>
        <v>4958.8632399999997</v>
      </c>
      <c r="AB355" s="3">
        <f>4497.7+(1030.1-701.8)+(-2.293827+(-0.525351--0.357918))+0-0-0</f>
        <v>4823.53874</v>
      </c>
      <c r="AC355" s="3">
        <f>4454.2+(718.9-685)+(-6.814926+(-1.099917--1.04805))+0-0-0</f>
        <v>4481.2332069999993</v>
      </c>
      <c r="AD355">
        <v>5095.3</v>
      </c>
      <c r="AE355" s="3">
        <f>4754+(1072.7-731.4)+(0+(0-0))+0-0-0</f>
        <v>5095.3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4304.2+(533.3-810.2)+(-4.390284+(-0.543966--0.826404))+0-0-0</f>
        <v>4023.1921539999998</v>
      </c>
      <c r="G356" s="3">
        <f>4324.5+(608.6-1238)+(-4.41099+(-0.620772--1.26276))+0-0-0</f>
        <v>3691.3309979999999</v>
      </c>
      <c r="H356" s="3">
        <f>4342+(781.3-1590.6)+(4.42884+(0.796926-1.622412))+0-0-0</f>
        <v>3536.3033539999997</v>
      </c>
      <c r="I356" s="3">
        <f>4339+(747.8-1618)+(-6.63867+(-1.144134--2.47554))+0-0-0</f>
        <v>3463.4927360000001</v>
      </c>
      <c r="J356" s="3">
        <f>4352+(707.1-1586.3)+(-4.43904+(-0.721242--1.618026))+0-0-0</f>
        <v>3469.257744</v>
      </c>
      <c r="K356" s="3">
        <f>4475.2+(791.8-1702)+(0+(0-0))+0-0-0</f>
        <v>3565</v>
      </c>
      <c r="L356" s="3">
        <f>4514.7+(1012.5-1769.7)+(0+(0-0))+0-0-0</f>
        <v>3757.5</v>
      </c>
      <c r="M356" s="3">
        <f>4636.9+(1221.6-1594.9)+(4.729638+(1.246032-1.626798))+0-0-0</f>
        <v>4267.948871999999</v>
      </c>
      <c r="N356" s="3">
        <f>4851.2+(1218.4-1190.7)+(0+(0-0))+0-0-0</f>
        <v>4878.8999999999996</v>
      </c>
      <c r="O356" s="3">
        <f>4850+(1307-856.6)+(2.4735+(0.66657-0.436866))+0-0-0</f>
        <v>5303.103204</v>
      </c>
      <c r="P356" s="3">
        <f>4807.6+(1451-723.8)+(0+(0-0))+0-0-0</f>
        <v>5534.8</v>
      </c>
      <c r="Q356" s="3">
        <f>4798.8+(1548.1-683.6)+(0+(0-0))+0-0-0</f>
        <v>5663.3</v>
      </c>
      <c r="R356" s="3">
        <f>4834.5+(1410.3-652.8)+(-12.327975+(-3.596265--1.66464))+0-0-0</f>
        <v>5577.7403999999997</v>
      </c>
      <c r="S356" s="3">
        <f>4951.7+(1272.7-752.7)+(-2.525367+(-0.649077--0.383877))+0-0-0</f>
        <v>5468.9094329999998</v>
      </c>
      <c r="T356" s="3">
        <f>5036.8+(1300.7-778)+(0+(0-0))+0-0-0</f>
        <v>5559.5</v>
      </c>
      <c r="U356" s="3">
        <f>5074.9+(1254.9-809.4)+(-2.588199+(-0.639999--0.412794))+0-0-0</f>
        <v>5517.5845959999997</v>
      </c>
      <c r="V356" s="3">
        <f>5115.5+(1198.4-845.5)+(-5.21781+(-1.222368--0.86241))+0-0-0</f>
        <v>5462.8222319999995</v>
      </c>
      <c r="W356" s="3">
        <f>5149.3+(983-693.8)+(-7.878429+(-1.50399--1.061514))+0-0-0</f>
        <v>5430.1790950000004</v>
      </c>
      <c r="X356" s="3">
        <f>5343.8+(1117.3-679.9)+(0+(0-0))+0-0-0</f>
        <v>5781.2</v>
      </c>
      <c r="Y356" s="3">
        <f>5361.6+(1246.9-785.2)+(-8.203248+(-1.907757--1.201356))+0-0-0</f>
        <v>5814.390351</v>
      </c>
      <c r="Z356" s="3">
        <f>5290.4+(1169.7-782.3)+(-13.49052+(-2.982735--1.994865))+0-0-0</f>
        <v>5663.3216099999991</v>
      </c>
      <c r="AA356" s="3">
        <f>5331.4+(1059.5-916.5)+(-10.876056+(-2.16138--1.86966))+0-0-0</f>
        <v>5463.2322239999994</v>
      </c>
      <c r="AB356" s="3">
        <f>5170.1+(1035.9-1002.2)+(-2.636751+(-0.528309--0.511122))+0-0-0</f>
        <v>5201.1460619999998</v>
      </c>
      <c r="AC356" s="3">
        <f>5017.5+(869-1126.6)+(-10.2357+(-1.77276--2.298264))+0-0-0</f>
        <v>4750.1898039999996</v>
      </c>
      <c r="AD356">
        <v>5846.9</v>
      </c>
      <c r="AE356" s="3">
        <f>5357+(1253.4-763.5)+(0+(0-0))+0-0-0</f>
        <v>5846.9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4775.6+(715.7-1203.6)+(-4.871112+(-0.730014--1.227672))+0-0-0</f>
        <v>4283.3265460000011</v>
      </c>
      <c r="G357" s="3">
        <f>4749.6+(596.2-1388.2)+(-4.844592+(-0.608124--1.415964))+0-0-0</f>
        <v>3953.5632480000004</v>
      </c>
      <c r="H357" s="3">
        <f>4705.5+(411.2-1301.9)+(-9.59922+(-0.838848--2.655876))+0-0-0</f>
        <v>3807.0178080000001</v>
      </c>
      <c r="I357" s="3">
        <f>4598+(372.6-1235.2)+(0+(0-0))+0-0-0</f>
        <v>3735.4</v>
      </c>
      <c r="J357" s="3">
        <f>4585.2+(333.5-1205.5)+(-4.676904+(-0.34017--1.22961))+0-0-0</f>
        <v>3709.4125359999998</v>
      </c>
      <c r="K357" s="3">
        <f>4583.3+(399.7-1213.3)+(2.337483+(0.203847-0.618783))+0-0-0</f>
        <v>3771.6225470000004</v>
      </c>
      <c r="L357" s="3">
        <f>4587.9+(497.8-1152.3)+(-2.339829+(-0.253878--0.587673))+0-0-0</f>
        <v>3931.3939659999996</v>
      </c>
      <c r="M357" s="3">
        <f>4754.9+(790.8-1105.3)+(0+(0-0))+0-0-0</f>
        <v>4440.3999999999996</v>
      </c>
      <c r="N357" s="3">
        <f>4913.3+(1023.6-929.2)+(2.505783+(0.522036-0.473892))+0-0-0</f>
        <v>5010.2539269999997</v>
      </c>
      <c r="O357" s="3">
        <f>4886.6+(1274.3-729.5)+(-2.492166+(-0.649893--0.372045))+0-0-0</f>
        <v>5428.6299860000008</v>
      </c>
      <c r="P357" s="3">
        <f>4871.4+(1431.3-687)+(-2.484414+(-0.729963--0.35037))+0-0-0</f>
        <v>5612.8359929999997</v>
      </c>
      <c r="Q357" s="3">
        <f>4863.2+(1526.4-678.8)+(2.480232+(0.778464-0.346188))+0-0-0</f>
        <v>5713.7125080000005</v>
      </c>
      <c r="R357" s="3">
        <f>4804.5+(1519.2-607.8)+(-12.251475+(-3.87396--1.54989))+0-0-0</f>
        <v>5701.3244549999999</v>
      </c>
      <c r="S357" s="3">
        <f>4649.7+(1422-520.5)+(-9.485388+(-2.90088--1.06182))+0-0-0</f>
        <v>5539.8755519999995</v>
      </c>
      <c r="T357" s="3">
        <f>4478.5+(1693.5-576.1)+(2.284035+(0.863685-0.293811))+0-0-0</f>
        <v>5598.753909</v>
      </c>
      <c r="U357" s="3">
        <f>4473.3+(1748.9-687.4)+(-4.562766+(-1.783878--0.701148))+0-0-0</f>
        <v>5529.1545040000001</v>
      </c>
      <c r="V357" s="3">
        <f>4532.8+(1484.5-514.4)+(-11.55864+(-3.785475--1.31172))+0-0-0</f>
        <v>5488.8676050000004</v>
      </c>
      <c r="W357" s="3">
        <f>4587.6+(1291.3-410.6)+(-9.358704+(-2.634252--0.837624))+0-0-0</f>
        <v>5457.1446679999999</v>
      </c>
      <c r="X357" s="3">
        <f>4838.7+(1396.5-411.6)+(-2.467737+(-0.712215--0.209916))+0-0-0</f>
        <v>5820.6299639999997</v>
      </c>
      <c r="Y357" s="3">
        <f>4991.2+(1376.6-468.7)+(-7.636536+(-2.106198--0.717111))+0-0-0</f>
        <v>5890.074376999999</v>
      </c>
      <c r="Z357" s="3">
        <f>4774.5+(1503.3-506.4)+(-7.304985+(-2.300049--0.774792))+0-0-0</f>
        <v>5762.5697579999996</v>
      </c>
      <c r="AA357" s="3">
        <f>4661.2+(1539.8-655)+(-4.754424+(-1.570596--0.6681))+0-0-0</f>
        <v>5540.3430799999996</v>
      </c>
      <c r="AB357" s="3">
        <f>4648.5+(1250.1-662.8)+(-7.112205+(-1.912653--1.014084))+0-0-0</f>
        <v>5227.7892259999999</v>
      </c>
      <c r="AC357" s="3">
        <f>4433.8+(1023.6-640.6)+(-2.261238+(-0.522036--0.326706))+0-0-0</f>
        <v>4814.3434320000006</v>
      </c>
      <c r="AD357">
        <v>5899</v>
      </c>
      <c r="AE357" s="3">
        <f>4980+(1377.2-458.2)+(0+(0-0))+0-0-0</f>
        <v>5899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4262.9+(831.2-787.8)+(-6.522237+(-1.271736--1.205334))+0-0-0</f>
        <v>4299.7113609999997</v>
      </c>
      <c r="G358" s="3">
        <f>4139.4+(712.7-865.3)+(-4.222188+(-0.726954--0.882606))+0-0-0</f>
        <v>3982.7334639999999</v>
      </c>
      <c r="H358" s="3">
        <f>3990.9+(635.5-812.1)+(-6.106077+(-0.972315--1.242513))+0-0-0</f>
        <v>3808.464121</v>
      </c>
      <c r="I358" s="3">
        <f>3969.2+(607.5-832.5)+(-4.048584+(-0.61965--0.84915))+0-0-0</f>
        <v>3740.3809159999996</v>
      </c>
      <c r="J358" s="3">
        <f>4020.9+(572.8-857.7)+(4.101318+(0.584256-0.874854))+0-0-0</f>
        <v>3739.8107199999999</v>
      </c>
      <c r="K358" s="3">
        <f>4117.1+(528.8-846.2)+(0+(0-0))+0-0-0</f>
        <v>3799.7000000000003</v>
      </c>
      <c r="L358" s="3">
        <f>4128.6+(768-965.2)+(2.105586+(0.39168-0.492252))+0-0-0</f>
        <v>3933.4050140000004</v>
      </c>
      <c r="M358" s="3">
        <f>4202.3+(1059.1-866)+(4.286346+(1.080282-0.88332))+0-0-0</f>
        <v>4399.8833079999995</v>
      </c>
      <c r="N358" s="3">
        <f>4767.4+(1038-777.7)+(4.862748+(1.05876-0.793254))+0-0-0</f>
        <v>5032.828254</v>
      </c>
      <c r="O358" s="3">
        <f>4824.9+(1345.2-729.8)+(2.460699+(0.686052-0.372198))+0-0-0</f>
        <v>5443.0745529999995</v>
      </c>
      <c r="P358" s="3">
        <f>4805+(1469-606.1)+(0+(0-0))+0-0-0</f>
        <v>5667.9</v>
      </c>
      <c r="Q358" s="3">
        <f>4619.3+(1719.7-556.6)+(0+(0-0))+0-0-0</f>
        <v>5782.4</v>
      </c>
      <c r="R358" s="3">
        <f>4613.7+(1727.8-575.4)+(-9.411948+(-3.524712--1.173816))+0-0-0</f>
        <v>5754.3371560000005</v>
      </c>
      <c r="S358" s="3">
        <f>4648.5+(1605.9-563.4)+(-2.370735+(-0.819009--0.287334))+0-0-0</f>
        <v>5688.0975900000003</v>
      </c>
      <c r="T358" s="3">
        <f>4670.1+(1692.1-535.9)+(0+(0-0))+0-0-0</f>
        <v>5826.3</v>
      </c>
      <c r="U358" s="3">
        <f>4685.2+(1678.8-539.5)+(-4.778904+(-1.712376--0.55029))+0-0-0</f>
        <v>5818.5590099999999</v>
      </c>
      <c r="V358" s="3">
        <f>4743.3+(1602.3-535.2)+(2.419083+(0.817173-0.272952))+0-0-0</f>
        <v>5813.3633039999995</v>
      </c>
      <c r="W358" s="3">
        <f>4866.6+(1484.2-558.7)+(2.481966+(0.756942-0.284937))+0-0-0</f>
        <v>5795.0539710000003</v>
      </c>
      <c r="X358" s="3">
        <f>5172.6+(1458.4-612.4)+(2.638026+(0.743784-0.312324))+0-0-0</f>
        <v>6021.6694860000007</v>
      </c>
      <c r="Y358" s="3">
        <f>5409.6+(1364.4-775.5)+(-2.758896+(-0.695844--0.395505))+0-0-0</f>
        <v>5995.4407650000003</v>
      </c>
      <c r="Z358" s="3">
        <f>5266.8+(1263.9-745.4)+(2.686068+(0.644589-0.380154))+0-0-0</f>
        <v>5788.2505030000002</v>
      </c>
      <c r="AA358" s="3">
        <f>5115.5+(1210.5-800.2)+(-2.608905+(-0.617355--0.408102))+0-0-0</f>
        <v>5522.9818420000001</v>
      </c>
      <c r="AB358" s="3">
        <f>4700.7+(1351.2-779.2)+(-19.178856+(-5.512896--3.179136))+0-0-0</f>
        <v>5251.1873839999998</v>
      </c>
      <c r="AC358" s="3">
        <f>4288.7+(1320.3-732.9)+(-13.123422+(-4.040118--2.242674))+0-0-0</f>
        <v>4861.1791339999991</v>
      </c>
      <c r="AD358">
        <v>5942</v>
      </c>
      <c r="AE358" s="3">
        <f>5165+(1508.1-731.1)+(0+(0-0))+0-0-0</f>
        <v>5942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3995+(1155-795.5)+(-6.11235+(-1.76715--1.217115))+0-0-0</f>
        <v>4347.8376150000004</v>
      </c>
      <c r="G359" s="3">
        <f>3874.9+(936.9-777.7)+(-1.976199+(-0.477819--0.396627))+0-0-0</f>
        <v>4032.0426090000001</v>
      </c>
      <c r="H359" s="3">
        <f>3686.4+(818.2-661.5)+(0+(0-0))+0-0-0</f>
        <v>3843.1000000000004</v>
      </c>
      <c r="I359" s="3">
        <f>3699.7+(709.6-657.9)+(1.886847+(0.361896-0.335529))+0-0-0</f>
        <v>3753.3132139999998</v>
      </c>
      <c r="J359" s="3">
        <f>3645.7+(651.2-564.5)+(0+(0-0))+0-0-0</f>
        <v>3732.3999999999996</v>
      </c>
      <c r="K359" s="3">
        <f>3658.1+(813.1-683.3)+(1.865631+(0.414681-0.348483))+0-0-0</f>
        <v>3789.8318290000002</v>
      </c>
      <c r="L359" s="3">
        <f>3664.2+(1030.5-743.9)+(-7.474968+(-2.10222--1.517556))+0-0-0</f>
        <v>3942.7403679999998</v>
      </c>
      <c r="M359" s="3">
        <f>3767.5+(1206.6-548.4)+(5.764275+(1.846098-0.839052))+0-0-0</f>
        <v>4432.471321</v>
      </c>
      <c r="N359" s="3">
        <f>4220.1+(1465.4-623.3)+(4.304502+(1.494708-0.635766))+0-0-0</f>
        <v>5067.3634440000005</v>
      </c>
      <c r="O359" s="3">
        <f>4286.5+(1732.7-555.8)+(8.74446+(3.534708-1.133832))+0-0-0</f>
        <v>5474.5453359999992</v>
      </c>
      <c r="P359" s="3">
        <f>4341.7+(1771.4-420.4)+(0+(0-0))+0-0-0</f>
        <v>5692.7</v>
      </c>
      <c r="Q359" s="3">
        <f>4388+(1817.9-421.4)+(-2.23788+(-0.927129--0.214914))+0-0-0</f>
        <v>5781.5499049999999</v>
      </c>
      <c r="R359" s="3">
        <f>4387.8+(1648.9-513.7)+(0+(0-0))+0-0-0</f>
        <v>5523</v>
      </c>
      <c r="S359" s="3">
        <f>4424+(1425.7-467.1)+(0+(0-0))+0-0-0</f>
        <v>5382.6</v>
      </c>
      <c r="T359" s="3">
        <f>4392.2+(1428.7-495.9)+(0+(0-0))+0-0-0</f>
        <v>5325</v>
      </c>
      <c r="U359" s="3">
        <f>4289.9+(1563.5-458.6)+(-6.563547+(-2.392155--0.701658))+0-0-0</f>
        <v>5386.545955999999</v>
      </c>
      <c r="V359" s="3">
        <f>4216.6+(1524.5-521.5)+(8.601864+(3.10998-1.06386))+0-0-0</f>
        <v>5230.2479840000005</v>
      </c>
      <c r="W359" s="3">
        <f>4282.8+(1343.6-415.2)+(-2.184228+(-0.685236--0.211752))+0-0-0</f>
        <v>5208.5422879999996</v>
      </c>
      <c r="X359" s="3">
        <f>4517.8+(1395-433.9)+(0+(0-0))+0-0-0</f>
        <v>5478.9000000000005</v>
      </c>
      <c r="Y359" s="3">
        <f>4554.8+(1457.3-555.9)+(-6.968844+(-2.229669--0.850527))+0-0-0</f>
        <v>5447.8520140000001</v>
      </c>
      <c r="Z359" s="3">
        <f>4490.6+(1374.2-547)+(-2.290206+(-0.700842--0.27897))+0-0-0</f>
        <v>5315.0879220000006</v>
      </c>
      <c r="AA359" s="3">
        <f>4446.2+(1312.6-613.8)+(-2.267562+(-0.669426--0.313038))+0-0-0</f>
        <v>5142.3760499999999</v>
      </c>
      <c r="AB359" s="3">
        <f>4411.2+(1272-712.5)+(-11.24856+(-3.2436--1.816875))+0-0-0</f>
        <v>4958.0247149999996</v>
      </c>
      <c r="AC359" s="3">
        <f>4316.5+(1155.9-773.3)+(-11.007075+(-2.947545--1.971915))+0-0-0</f>
        <v>4687.117295</v>
      </c>
      <c r="AD359">
        <v>5570.5</v>
      </c>
      <c r="AE359" s="3">
        <f>4549+(1540.8-519.3)+(0+(0-0))+0-0-0</f>
        <v>5570.5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4165.1+(954.2-870.5)+(-4.248402+(-0.973284--0.88791))+0-0-0</f>
        <v>4244.4662239999998</v>
      </c>
      <c r="G360" s="3">
        <f>3865.4+(935.6-869.3)+(-1.971354+(-0.477156--0.443343))+0-0-0</f>
        <v>3929.6948330000005</v>
      </c>
      <c r="H360" s="3">
        <f>3658.4+(911.5-826.5)+(0+(0-0))+0-0-0</f>
        <v>3743.4</v>
      </c>
      <c r="I360" s="3">
        <f>3578.7+(817-725.2)+(3.650274+(0.83334-0.739704))+0-0-0</f>
        <v>3674.2439100000001</v>
      </c>
      <c r="J360" s="3">
        <f>3576.6+(800.8-725.5)+(9.12033+(2.04204-1.850025))+0-0-0</f>
        <v>3661.2123449999995</v>
      </c>
      <c r="K360" s="3">
        <f>3552+(828.3-666.3)+(9.0576+(2.112165-1.699065))+0-0-0</f>
        <v>3723.4706999999999</v>
      </c>
      <c r="L360" s="3">
        <f>3585.4+(982.9-733.4)+(1.828554+(0.501279-0.374034))+0-0-0</f>
        <v>3836.8557989999999</v>
      </c>
      <c r="M360" s="3">
        <f>3866.3+(1105.8-681.7)+(0+(0-0))+0-0-0</f>
        <v>4290.3999999999996</v>
      </c>
      <c r="N360" s="3">
        <f>3964.6+(1423.3-526.1)+(0+(0-0))+0-0-0</f>
        <v>4861.8</v>
      </c>
      <c r="O360" s="3">
        <f>4072.3+(1560.9-491.4)+(4.153746+(1.592118-0.501228))+0-0-0</f>
        <v>5147.0446360000005</v>
      </c>
      <c r="P360" s="3">
        <f>4127.6+(1892.3-448.4)+(-2.105076+(-0.965073--0.228684))+0-0-0</f>
        <v>5568.6585349999996</v>
      </c>
      <c r="Q360" s="3">
        <f>4202+(1932.5-468)+(-4.28604+(-1.97115--0.47736))+0-0-0</f>
        <v>5660.7201699999996</v>
      </c>
      <c r="R360" s="3">
        <f>4247.9+(1793-437.2)+(-4.332858+(-1.82886--0.445944))+0-0-0</f>
        <v>5597.9842259999996</v>
      </c>
      <c r="S360" s="3">
        <f>4262.7+(1627.9-474.6)+(-2.173977+(-0.830229--0.242046))+0-0-0</f>
        <v>5413.2378399999998</v>
      </c>
      <c r="T360" s="3">
        <f>4240.5+(1500.4-423.9)+(-8.65062+(-3.060816--0.864756))+0-0-0</f>
        <v>5306.1533200000003</v>
      </c>
      <c r="U360" s="3">
        <f>4251.5+(1476.8-479.1)+(0+(0-0))+0-0-0</f>
        <v>5249.2</v>
      </c>
      <c r="V360" s="3">
        <f>4259.3+(1465.9-388.5)+(-4.344486+(-1.495218--0.39627))+0-0-0</f>
        <v>5331.2565660000009</v>
      </c>
      <c r="W360" s="3">
        <f>4363.8+(1315.5-382.7)+(-2.225538+(-0.670905--0.195177))+0-0-0</f>
        <v>5293.8987340000003</v>
      </c>
      <c r="X360" s="3">
        <f>5092.6+(1413.2-752.1)+(-2.597226+(-0.720732--0.383571))+0-0-0</f>
        <v>5750.7656130000005</v>
      </c>
      <c r="Y360" s="3">
        <f>4685.3+(1480.7-545)+(-4.779006+(-1.510314--0.5559))+0-0-0</f>
        <v>5615.2665800000004</v>
      </c>
      <c r="Z360" s="3">
        <f>4433.5+(1603.7-544.3)+(-11.305425+(-4.089435--1.387965))+0-0-0</f>
        <v>5478.8931049999992</v>
      </c>
      <c r="AA360" s="3">
        <f>4278.8+(1544.7-528.6)+(-4.364376+(-1.575594--0.539172))+0-0-0</f>
        <v>5289.4992020000009</v>
      </c>
      <c r="AB360" s="3">
        <f>4117.6+(1503.6-548.8)+(-6.299928+(-2.300508--0.839664))+0-0-0</f>
        <v>5064.6392280000009</v>
      </c>
      <c r="AC360" s="3">
        <f>3943.3+(1516.6-721.1)+(-6.033249+(-2.320398--1.103283))+0-0-0</f>
        <v>4731.5496359999997</v>
      </c>
      <c r="AD360">
        <v>5608.2</v>
      </c>
      <c r="AE360" s="3">
        <f>4697+(1453.8-542.6)+(0+(0-0))+0-0-0</f>
        <v>5608.2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3797.3+(1304.3-828.2)+(-3.873246+(-1.330386--0.844764))+0-0-0</f>
        <v>4269.0411319999994</v>
      </c>
      <c r="G361" s="3">
        <f>3760.7+(1034.8-912.3)+(1.917957+(0.527748-0.465273))+0-0-0</f>
        <v>3885.1804319999997</v>
      </c>
      <c r="H361" s="3">
        <f>3672.6+(927-888.2)+(-5.619078+(-1.41831--1.358946))+0-0-0</f>
        <v>3705.7215579999997</v>
      </c>
      <c r="I361" s="3">
        <f>3616+(836.9-837.4)+(-3.68832+(-0.853638--0.854148))+0-0-0</f>
        <v>3611.8121900000001</v>
      </c>
      <c r="J361" s="3">
        <f>3621.9+(762.7-796.2)+(-5.541507+(-1.166931--1.218186))+0-0-0</f>
        <v>3582.909748</v>
      </c>
      <c r="K361" s="3">
        <f>3700.6+(812.5-898.5)+(5.661918+(1.243125-1.374705))+0-0-0</f>
        <v>3620.1303379999999</v>
      </c>
      <c r="L361" s="3">
        <f>3777.5+(1245.3-1355.9)+(-3.85305+(-1.270206--1.383018))+0-0-0</f>
        <v>3663.1597619999998</v>
      </c>
      <c r="M361" s="3">
        <f>3951.6+(1429.9-1396.1)+(0+(0-0))+0-0-0</f>
        <v>3985.4</v>
      </c>
      <c r="N361" s="3">
        <f>4047.1+(1389-949.9)+(4.128042+(1.41678-0.968898))+0-0-0</f>
        <v>4490.7759239999996</v>
      </c>
      <c r="O361" s="3">
        <f>4164.4+(1598.2-858.7)+(6.371532+(2.445246-1.313811))+0-0-0</f>
        <v>4911.402967</v>
      </c>
      <c r="P361" s="3">
        <f>4152.3+(1776.2-784.6)+(0+(0-0))+0-0-0</f>
        <v>5143.9000000000005</v>
      </c>
      <c r="Q361" s="3">
        <f>4144.5+(1850.5-755.5)+(-2.113695+(-0.943755--0.385305))+0-0-0</f>
        <v>5236.8278550000005</v>
      </c>
      <c r="R361" s="3">
        <f>4147.2+(1716.1-734)+(-16.920576+(-7.001688--2.99472))+0-0-0</f>
        <v>5108.3724559999991</v>
      </c>
      <c r="S361" s="3">
        <f>4191.8+(1487.8-693.4)+(-8.551272+(-3.035112--1.414536))+0-0-0</f>
        <v>4976.0281519999999</v>
      </c>
      <c r="T361" s="3">
        <f>4293.3+(1403.7-755.6)+(2.189583+(0.715887-0.385356))+0-0-0</f>
        <v>4943.9201140000005</v>
      </c>
      <c r="U361" s="3">
        <f>4381.7+(1323.2-879.4)+(-13.408002+(-4.048992--2.690964))+0-0-0</f>
        <v>4810.7339700000002</v>
      </c>
      <c r="V361" s="3">
        <f>4539.7+(1210.4-999.6)+(-13.891482+(-3.703824--3.058776))+0-0-0</f>
        <v>4735.9634699999997</v>
      </c>
      <c r="W361" s="3">
        <f>4546.2+(1078.5-900.4)+(-6.955686+(-1.650105--1.377612))+0-0-0</f>
        <v>4717.0718210000005</v>
      </c>
      <c r="X361" s="3">
        <f>4779.1+(1054.5-613.9)+(-2.437341+(-0.537795--0.313089))+0-0-0</f>
        <v>5217.0379530000009</v>
      </c>
      <c r="Y361" s="3">
        <f>4955.3+(1060.7-706.4)+(-10.108812+(-2.163828--1.441056))+0-0-0</f>
        <v>5298.7684160000008</v>
      </c>
      <c r="Z361" s="3">
        <f>4971.7+(1045-845.1)+(2.535567+(0.53295-0.431001))+0-0-0</f>
        <v>5174.2375159999992</v>
      </c>
      <c r="AA361" s="3">
        <f>4935.2+(1087-990.9)+(-7.550856+(-1.66311--1.516077))+0-0-0</f>
        <v>5023.6021110000001</v>
      </c>
      <c r="AB361" s="3">
        <f>4894+(1274.1-1349.7)+(-2.49594+(-0.649791--0.688347))+0-0-0</f>
        <v>4815.9426159999994</v>
      </c>
      <c r="AC361" s="3">
        <f>4814.6+(1285-1577.5)+(-17.188122+(-4.58745--5.631675))+0-0-0</f>
        <v>4505.9561030000004</v>
      </c>
      <c r="AD361">
        <v>5275.1</v>
      </c>
      <c r="AE361" s="3">
        <f>4998+(1174-896.9)+(0+(0-0))+0-0-0</f>
        <v>5275.1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4741.2+(1082.5-1726.3)+(-4.836024+(-1.10415--1.760826))+0-0-0</f>
        <v>4093.2206519999995</v>
      </c>
      <c r="G362" s="3">
        <f>4278.5+(933.7-1467.1)+(-8.72814+(-1.904748--2.992884))+0-0-0</f>
        <v>3737.4599960000005</v>
      </c>
      <c r="H362" s="3">
        <f>4013.4+(749.5-1231)+(-6.140502+(-1.146735--1.88343))+0-0-0</f>
        <v>3526.4961929999999</v>
      </c>
      <c r="I362" s="3">
        <f>3984.9+(571.3-1143.7)+(-8.129196+(-1.165452--2.333148))+0-0-0</f>
        <v>3405.5385000000001</v>
      </c>
      <c r="J362" s="3">
        <f>3957.4+(615.1-1222.4)+(6.054822+(0.941103-1.870272))+0-0-0</f>
        <v>3355.225653</v>
      </c>
      <c r="K362" s="3">
        <f>4059.5+(634.9-1329.5)+(8.28138+(1.295196-2.71218))+0-0-0</f>
        <v>3371.764396</v>
      </c>
      <c r="L362" s="3">
        <f>4185.5+(689.8-1595.9)+(-2.134605+(-0.351798--0.813909))+0-0-0</f>
        <v>3277.7275059999997</v>
      </c>
      <c r="M362" s="3">
        <f>4278.7+(776.1-1681)+(-2.182137+(-0.395811--0.85731))+0-0-0</f>
        <v>3372.0793619999999</v>
      </c>
      <c r="N362" s="3">
        <f>4564.9+(832.8-1705.9)+(-6.984297+(-1.274184--2.610027))+0-0-0</f>
        <v>3686.1515459999991</v>
      </c>
      <c r="O362" s="3">
        <f>4618.3+(1064.6-1647.9)+(0+(0-0))+0-0-0</f>
        <v>4035</v>
      </c>
      <c r="P362" s="3">
        <f>4662+(1187.1-1499.3)+(9.51048+(2.421684-3.058572))+0-0-0</f>
        <v>4358.6735920000001</v>
      </c>
      <c r="Q362" s="3">
        <f>4630+(1211.5-1415.7)+(-2.3613+(-0.617865--0.722007))+0-0-0</f>
        <v>4423.5428419999998</v>
      </c>
      <c r="R362" s="3">
        <f>4687.7+(1216.1-1454.7)+(-11.953635+(-3.101055--3.709485))+0-0-0</f>
        <v>4437.7547949999998</v>
      </c>
      <c r="S362" s="3">
        <f>4675.3+(1238.1-1543.2)+(-2.384403+(-0.631431--0.787032))+0-0-0</f>
        <v>4367.9711980000002</v>
      </c>
      <c r="T362" s="3">
        <f>4635.8+(1272.1-1596.2)+(-11.82129+(-3.243855--4.07031))+0-0-0</f>
        <v>4300.7051649999994</v>
      </c>
      <c r="U362" s="3">
        <f>4710.5+(1254.6-1708.3)+(-2.402355+(-0.639846--0.871233))+0-0-0</f>
        <v>4254.6290319999998</v>
      </c>
      <c r="V362" s="3">
        <f>4772.1+(1194.2-1784.4)+(-2.433771+(-0.609042--0.910044))+23.1-0-0</f>
        <v>4202.8672310000011</v>
      </c>
      <c r="W362" s="3">
        <f>4840.8+(1131.6-1721.8)+(2.468808+(0.577116-0.878118))+12-0-0</f>
        <v>4264.7678060000007</v>
      </c>
      <c r="X362" s="3">
        <f>5053.7+(1040.6-1381.1)+(0+(0-0))+6-0-0</f>
        <v>4719.2</v>
      </c>
      <c r="Y362" s="3">
        <f>5010+(935.8-1031.9)+(-12.7755+(-2.38629--2.631345))+0-0-0</f>
        <v>4901.3695549999993</v>
      </c>
      <c r="Z362" s="3">
        <f>4822.2+(1037.8-963.6)+(0+(0-0))+0-0-0</f>
        <v>4896.3999999999996</v>
      </c>
      <c r="AA362" s="3">
        <f>4784.9+(915.3-880.2)+(-14.641794+(-2.800818--2.693412))+0-0-0</f>
        <v>4805.2507999999998</v>
      </c>
      <c r="AB362" s="3">
        <f>4829+(699.5-870.5)+(-2.46279+(-0.356745--0.443955))+0-0-0</f>
        <v>4655.6244200000001</v>
      </c>
      <c r="AC362" s="3">
        <f>4816.3+(408.4-864.8)+(-9.825252+(-0.833136--1.764192))+0-0-0</f>
        <v>4351.0058040000004</v>
      </c>
      <c r="AD362">
        <v>4885</v>
      </c>
      <c r="AE362" s="3">
        <f>5015+(1008.1-1138.1)+(0+(0-0))+0-0-0</f>
        <v>4885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4660.1+(410.7-1176.8)+(-4.753302+(-0.418914--1.200336))+0-0-0</f>
        <v>3890.0281200000004</v>
      </c>
      <c r="G363" s="3">
        <f>4544.7+(482.4-1443.1)+(-4.635594+(-0.492048--1.471962))+0-0-0</f>
        <v>3580.3443200000002</v>
      </c>
      <c r="H363" s="3">
        <f>4442+(464.7-1523.1)+(0+(0-0))+0-0-0</f>
        <v>3383.6000000000004</v>
      </c>
      <c r="I363" s="3">
        <f>4348.9+(410.3-1455.6)+(-6.653817+(-0.627759--2.227068))+0-0-0</f>
        <v>3298.5454919999993</v>
      </c>
      <c r="J363" s="3">
        <f>4233.7+(449.1-1394.1)+(2.159187+(0.229041-0.710991))+0-0-0</f>
        <v>3290.3772369999997</v>
      </c>
      <c r="K363" s="3">
        <f>4256.4+(682.8-1604.9)+(6.512292+(1.044684-2.455497))+0-0-0</f>
        <v>3339.4014789999992</v>
      </c>
      <c r="L363" s="3">
        <f>4252.7+(864.1-1737.8)+(-10.844385+(-2.203455--4.43139))+0-0-0</f>
        <v>3370.38355</v>
      </c>
      <c r="M363" s="3">
        <f>4529.6+(986.6-1736)+(-9.240384+(-2.012664--3.54144))+0-0-0</f>
        <v>3772.4883920000002</v>
      </c>
      <c r="N363" s="3">
        <f>4914.3+(1274.5-1924.8)+(0+(0-0))+0-0-0</f>
        <v>4264</v>
      </c>
      <c r="O363" s="3">
        <f>5119.9+(1243.2-1721.2)+(2.611149+(0.634032-0.877812))+0-0-0</f>
        <v>4644.2673689999992</v>
      </c>
      <c r="P363" s="3">
        <f>5169.6+(1177.2-1455.1)+(0+(0-0))+0-0-0</f>
        <v>4891.7000000000007</v>
      </c>
      <c r="Q363" s="3">
        <f>5210.3+(1103.3-1286.2)+(0+(0-0))+0-0-0</f>
        <v>5027.3999999999996</v>
      </c>
      <c r="R363" s="3">
        <f>5204.7+(1138.1-1476.7)+(-10.617588+(-2.321724--3.012468))+0-0-0</f>
        <v>4856.1731559999998</v>
      </c>
      <c r="S363" s="3">
        <f>5104.9+(1057.3-1268)+(-7.810497+(-1.617669--1.94004))+0-0-0</f>
        <v>4886.7118739999996</v>
      </c>
      <c r="T363" s="3">
        <f>5054.5+(1074.3-1325.5)+(-2.577795+(-0.547893--0.676005))+0-0-0</f>
        <v>4800.8503170000004</v>
      </c>
      <c r="U363" s="3">
        <f>5050.7+(1070-1330)+(0+(0-0))+0-0-0</f>
        <v>4790.7</v>
      </c>
      <c r="V363" s="3">
        <f>5074.8+(1055.5-1357.5)+(-7.764444+(-1.614915--2.076975))+0-0-0</f>
        <v>4765.4976160000006</v>
      </c>
      <c r="W363" s="3">
        <f>5121.2+(871.8-1204.2)+(0+(0-0))+0-0-0</f>
        <v>4788.7999999999993</v>
      </c>
      <c r="X363" s="3">
        <f>5583.7+(870.2-1364.7)+(-2.847687+(-0.443802--0.695997))+0-0-0</f>
        <v>5086.6045079999994</v>
      </c>
      <c r="Y363" s="3">
        <f>5642.6+(920.5-1354.4)+(-8.633178+(-1.408365--2.072232))+0-0-0</f>
        <v>5200.7306890000009</v>
      </c>
      <c r="Z363" s="3">
        <f>5564.5+(989.3-1571.6)+(-8.513685+(-1.513629--2.404548))+0-0-0</f>
        <v>4974.5772339999994</v>
      </c>
      <c r="AA363" s="3">
        <f>5552.8+(636.6-1214.3)+(-5.663856+(-0.649332--1.238586))+0-0-0</f>
        <v>4970.0253980000007</v>
      </c>
      <c r="AB363" s="3">
        <f>5497.2+(448.7-1200.5)+(-14.01786+(-1.144185--3.061275))+0-0-0</f>
        <v>4733.2992299999996</v>
      </c>
      <c r="AC363" s="3">
        <f>5366.7+(245.3-1187)+(-8.211051+(-0.375309--1.81611))+0-0-0</f>
        <v>4418.2297500000004</v>
      </c>
      <c r="AD363">
        <v>5192.9000000000005</v>
      </c>
      <c r="AE363" s="3">
        <f>5605+(914.6-1326.7)+(0+(0-0))+0-0-0</f>
        <v>5192.8999999999996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4923.7+(420.3-1413.4)+(-12.555435+(-1.071765--3.60417))+0-0-0</f>
        <v>3920.5769699999996</v>
      </c>
      <c r="G364" s="3">
        <f>4624.9+(512.5-1529.1)+(-11.793495+(-1.306875--3.899205))+0-0-0</f>
        <v>3599.0988349999998</v>
      </c>
      <c r="H364" s="3">
        <f>4504+(422.8-1479.7)+(-2.29704+(-0.215628--0.754647))+0-0-0</f>
        <v>3445.3419789999998</v>
      </c>
      <c r="I364" s="3">
        <f>4324.2+(513.7-1446.6)+(-6.616026+(-0.785961--2.213298))+0-0-0</f>
        <v>3386.1113110000001</v>
      </c>
      <c r="J364" s="3">
        <f>4309.3+(413.6-1368.3)+(-6.593229+(-0.632808--2.093499))+0-0-0</f>
        <v>3349.4674620000005</v>
      </c>
      <c r="K364" s="3">
        <f>4313.5+(270.4-1197.8)+(-6.599655+(-0.413712--1.832634))+0-0-0</f>
        <v>3380.9192669999998</v>
      </c>
      <c r="L364" s="3">
        <f>4388.6+(365-1401.5)+(-4.476372+(-0.3723--1.42953))+0-0-0</f>
        <v>3348.6808580000002</v>
      </c>
      <c r="M364" s="3">
        <f>4578.3+(338.1-1308.4)+(2.334933+(0.172431-0.667284))+0-0-0</f>
        <v>3609.8400799999999</v>
      </c>
      <c r="N364" s="3">
        <f>4740.7+(339.6-1246)+(2.417757+(0.173196-0.63546))+0-0-0</f>
        <v>3836.2554929999997</v>
      </c>
      <c r="O364" s="3">
        <f>5310.6+(627-1542.5)+(0+(0-0))+0-0-0</f>
        <v>4395.1000000000004</v>
      </c>
      <c r="P364" s="3">
        <f>5288.7+(737.2-1393.9)+(-8.091711+(-1.127916--2.132667))+0-0-0</f>
        <v>4624.9130400000004</v>
      </c>
      <c r="Q364" s="3">
        <f>5161.4+(728.8-1158.3)+(0+(0-0))+0-0-0</f>
        <v>4731.8999999999996</v>
      </c>
      <c r="R364" s="3">
        <f>5075.1+(665.4-1169.3)+(-5.176602+(-0.678708--1.192686))+0-0-0</f>
        <v>4566.5373760000011</v>
      </c>
      <c r="S364" s="3">
        <f>5013.4+(765.5-1302.9)+(-5.113668+(-0.78081--1.328958))+0-0-0</f>
        <v>4471.4344799999999</v>
      </c>
      <c r="T364" s="3">
        <f>4929.2+(737.2-1271.5)+(0+(0-0))+0-0-0</f>
        <v>4394.8999999999996</v>
      </c>
      <c r="U364" s="3">
        <f>4928.3+(579.7-1136.5)+(-2.513433+(-0.295647--0.579615))+0-0-0</f>
        <v>4369.2705349999997</v>
      </c>
      <c r="V364" s="3">
        <f>4905.6+(585.5-1088.7)+(-2.501856+(-0.298605--0.555237))+0-0-0</f>
        <v>4400.1547760000003</v>
      </c>
      <c r="W364" s="3">
        <f>4897.3+(489.8-1004.1)+(-4.995246+(-0.499596--1.024182))+0-0-0</f>
        <v>4378.52934</v>
      </c>
      <c r="X364" s="3">
        <f>5219.8+(274.8-671.6)+(-2.662098+(-0.140148--0.342516))+0-0-0</f>
        <v>4820.5402700000004</v>
      </c>
      <c r="Y364" s="3">
        <f>5393.4+(575.9-903.5)+(-13.75317+(-1.468545--2.303925))+0-0-0</f>
        <v>5052.8822099999988</v>
      </c>
      <c r="Z364" s="3">
        <f>5286.8+(687.6-948.3)+(-16.177608+(-2.104056--2.901798))+0-0-0</f>
        <v>5010.7201340000001</v>
      </c>
      <c r="AA364" s="3">
        <f>5243.9+(745.2-1100.7)+(-5.348778+(-0.760104--1.122714))+0-0-0</f>
        <v>4883.4138319999993</v>
      </c>
      <c r="AB364" s="3">
        <f>5096.6+(682.9-1066.3)+(-10.397064+(-1.393116--2.175252))+0-0-0</f>
        <v>4703.5850720000008</v>
      </c>
      <c r="AC364" s="3">
        <f>4980.5+(203.8-804.7)+(-5.08011+(-0.207876--0.820794))+0-0-0</f>
        <v>4375.1328080000003</v>
      </c>
      <c r="AD364">
        <v>4884.8</v>
      </c>
      <c r="AE364" s="3">
        <f>5379+(590-1084.2)+(0+(0-0))+0-0-0</f>
        <v>4884.8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4700.1+(119.3-932.1)+(2.397051+(0.060843-0.475371))+0-0-0</f>
        <v>3889.2825230000003</v>
      </c>
      <c r="G365" s="3">
        <f>4556.1+(179-1211.2)+(-11.618055+(-0.45645--3.08856))+0-0-0</f>
        <v>3514.9140550000006</v>
      </c>
      <c r="H365" s="3">
        <f>4513.7+(175.6-1362.5)+(-2.301987+(-0.089556--0.694875))+0-0-0</f>
        <v>3325.1033319999997</v>
      </c>
      <c r="I365" s="3">
        <f>4471+(152.1-1405.5)+(-4.56042+(-0.155142--1.43361))+0-0-0</f>
        <v>3214.3180480000001</v>
      </c>
      <c r="J365" s="3">
        <f>4196.8+(152.6-1204)+(6.421104+(0.233478-1.84212))+0-0-0</f>
        <v>3150.212462</v>
      </c>
      <c r="K365" s="3">
        <f>4181.7+(213.5-1253.5)+(2.132667+(0.108885-0.639285))+0-0-0</f>
        <v>3143.302267</v>
      </c>
      <c r="L365" s="3">
        <f>4144.5+(454-1554.2)+(-8.45478+(-0.92616--3.170568))+0-0-0</f>
        <v>3038.0896280000002</v>
      </c>
      <c r="M365" s="3">
        <f>4164.9+(469.6-1529.7)+(2.124099+(0.239496-0.780147))+0-0-0</f>
        <v>3106.3834479999996</v>
      </c>
      <c r="N365" s="3">
        <f>4362.2+(332.1-1323.5)+(4.449444+(0.338742-1.34997))+0-0-0</f>
        <v>3374.2382159999997</v>
      </c>
      <c r="O365" s="3">
        <f>4797.3+(296.8-1394.5)+(-2.446623+(-0.151368--0.711195))+0-0-0</f>
        <v>3697.7132040000006</v>
      </c>
      <c r="P365" s="3">
        <f>5053.7+(293.8-1387.1)+(-10.309548+(-0.599352--2.829684))+0-0-0</f>
        <v>3952.3207839999995</v>
      </c>
      <c r="Q365" s="3">
        <f>5254.3+(337.4-1536.2)+(-2.679693+(-0.172074--0.783462))+0-0-0</f>
        <v>4053.4316950000002</v>
      </c>
      <c r="R365" s="3">
        <f>5134.3+(284.2-1379.9)+(-15.710958+(-0.869652--4.222494))+0-0-0</f>
        <v>4026.2418840000005</v>
      </c>
      <c r="S365" s="3">
        <f>5041+(283.1-1359.6)+(2.57091+(0.144381-0.693396))+0-0-0</f>
        <v>3966.5218949999999</v>
      </c>
      <c r="T365" s="3">
        <f>4964+(282.3-1318)+(-2.53164+(-0.143973--0.67218))+0-0-0</f>
        <v>3926.2965670000003</v>
      </c>
      <c r="U365" s="3">
        <f>4646.1+(221.9-986.8)+(-2.369511+(-0.113169--0.503268))+0-0-0</f>
        <v>3879.2205880000001</v>
      </c>
      <c r="V365" s="3">
        <f>4621.8+(188.5-926.8)+(0+(0-0))+0-0-0</f>
        <v>3883.5</v>
      </c>
      <c r="W365" s="3">
        <f>4712.2+(120-888.5)+(-9.612888+(-0.2448--1.81254))+0-0-0</f>
        <v>3935.6548519999997</v>
      </c>
      <c r="X365" s="3">
        <f>5137.8+(49-804)+(-7.860834+(-0.07497--1.23012))+0-0-0</f>
        <v>4376.0943160000006</v>
      </c>
      <c r="Y365" s="3">
        <f>5301.1+(146.1-818.3)+(-8.110683+(-0.223533--1.251999))+0-0-0</f>
        <v>4621.8177830000004</v>
      </c>
      <c r="Z365" s="3">
        <f>5209.7+(181.8-797)+(-13.284735+(-0.46359--2.03235))+0-0-0</f>
        <v>4582.7840249999999</v>
      </c>
      <c r="AA365" s="3">
        <f>5187.9+(231.3-889.8)+(-10.583316+(-0.471852--1.815192))+0-0-0</f>
        <v>4520.1600239999998</v>
      </c>
      <c r="AB365" s="3">
        <f>5080.6+(223.6-857.2)+(-10.364424+(-0.456144--1.748688))+0-0-0</f>
        <v>4437.9281199999996</v>
      </c>
      <c r="AC365" s="3">
        <f>4833.4+(183.6-749.6)+(-7.395102+(-0.280908--1.146888))+0-0-0</f>
        <v>4260.8708779999997</v>
      </c>
      <c r="AD365">
        <v>4600.1000000000004</v>
      </c>
      <c r="AE365" s="3">
        <f>5311+(115.3-826.2)+(0+(0-0))+0-0-0</f>
        <v>4600.1000000000004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1268.4+(326.9-575)+(-3.23442+(-0.833595--1.46625))+0-0-0</f>
        <v>1017.6982350000001</v>
      </c>
      <c r="G1" s="3">
        <f>1124.9+(350.8-527.8)+(-1.721097+(-0.536724--0.807534))+0-0-0</f>
        <v>946.44971300000009</v>
      </c>
      <c r="H1" s="3">
        <f>754+(437.7-278)+(-0.38454+(-0.223227--0.14178))+0-0-0</f>
        <v>913.234013</v>
      </c>
      <c r="I1" s="3">
        <f>699.5+(407.6-262.3)+(-1.783725+(-1.03938--0.668865))+0-0-0</f>
        <v>842.64576</v>
      </c>
      <c r="J1" s="3">
        <f>699.8+(384.4-292.4)+(-0.356898+(-0.196044--0.149124))+0-0-0</f>
        <v>791.39618199999995</v>
      </c>
      <c r="K1" s="3">
        <f>700+(387-309.3)+(-1.785+(-0.98685--0.788715))+0-0-0</f>
        <v>775.7168650000001</v>
      </c>
      <c r="L1" s="3">
        <f>681.9+(369.9-310.4)+(0+(0-0))+0-0-0</f>
        <v>741.4</v>
      </c>
      <c r="M1" s="3">
        <f>676.2+(378.4-303.4)+(0+(0-0))+0-0-0</f>
        <v>751.2</v>
      </c>
      <c r="N1" s="3">
        <f>748.1+(348.2-303.4)+(-1.144593+(-0.532746--0.464202))+0-0-0</f>
        <v>791.68686300000013</v>
      </c>
      <c r="O1" s="3">
        <f>777.6+(355.7-306.6)+(-0.396576+(-0.181407--0.156366))+0-0-0</f>
        <v>826.27838300000008</v>
      </c>
      <c r="P1" s="3">
        <f>777+(348.1-299.4)+(-1.18881+(-0.532593--0.458082))+0-0-0</f>
        <v>824.43667900000003</v>
      </c>
      <c r="Q1" s="3">
        <f>852.9+(333-374.2)+(-1.304937+(-0.50949--0.572526))+0-0-0</f>
        <v>810.45809900000006</v>
      </c>
      <c r="R1" s="3">
        <f>876.9+(314.7-387.3)+(-0.447219+(-0.160497--0.197523))+0-0-0</f>
        <v>803.88980699999991</v>
      </c>
      <c r="S1" s="3">
        <f>876.9+(347.3-424.3)+(0.894438+(0.354246-0.432786))+0-0-0</f>
        <v>800.71589799999992</v>
      </c>
      <c r="T1" s="3">
        <f>876.9+(361.5-436.3)+(-1.341657+(-0.553095--0.667539))+0-0-0</f>
        <v>800.8727869999999</v>
      </c>
      <c r="U1" s="3">
        <f>876.8+(353-423.2)+(-0.894336+(-0.36006--0.431664))+0-0-0</f>
        <v>805.77726799999994</v>
      </c>
      <c r="V1" s="3">
        <f>876.9+(351.8-407.3)+(-0.447219+(-0.179418--0.207723))+0-0-0</f>
        <v>820.981086</v>
      </c>
      <c r="W1" s="3">
        <f>879.7+(377.2-410.5)+(0+(0-0))+0-0-0</f>
        <v>846.40000000000009</v>
      </c>
      <c r="X1" s="3">
        <f>1137.1+(384-499.3)+(0+(0-0))+0-0-0</f>
        <v>1021.8</v>
      </c>
      <c r="Y1" s="3">
        <f>1286.3+(353.1-562.8)+(-0.656013+(-0.180081--0.287028))+0-0-0</f>
        <v>1076.0509339999999</v>
      </c>
      <c r="Z1" s="3">
        <f>1285.7+(356.6-592.8)+(0.655707+(0.181866-0.302328))+0-0-0</f>
        <v>1050.035245</v>
      </c>
      <c r="AA1" s="3">
        <f>1279.7+(341.5-593.9)+(0+(0-0))+0-0-0</f>
        <v>1027.3000000000002</v>
      </c>
      <c r="AB1" s="3">
        <f>1159.2+(358.3-530.6)+(0+(0-0))+0-0-0</f>
        <v>986.90000000000009</v>
      </c>
      <c r="AC1" s="3">
        <f>977.7+(387-436.6)+(-0.498627+(-0.19737--0.222666))+0-0-0</f>
        <v>927.62666899999999</v>
      </c>
      <c r="AD1">
        <v>1062.9000000000001</v>
      </c>
      <c r="AE1" s="3">
        <f>1286+(349.5-572.6)+(0+(0-0))+0-0-0</f>
        <v>1062.9000000000001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848.8133345</v>
      </c>
      <c r="G2" s="3">
        <f>695+(368-293)+(0+(0-0))+0-0-0</f>
        <v>770</v>
      </c>
      <c r="H2" s="3">
        <f>695.7+(366-291.6)+(-1.419228+(-0.74664--0.594864))+0-0-0</f>
        <v>768.52899600000001</v>
      </c>
      <c r="I2" s="3">
        <f>695.6+(385.7-325.2)+(-0.709512+(-0.393414--0.331704))+0-0-0</f>
        <v>755.32877800000006</v>
      </c>
      <c r="J2" s="3">
        <f>696.2+(379.1-329.5)+(0+(0-0))+0-0-0</f>
        <v>745.80000000000007</v>
      </c>
      <c r="K2" s="3">
        <f>695.5+(381.1-331.8)+(-1.064115+(-0.583083--0.507654))+0-0-0</f>
        <v>743.66045599999995</v>
      </c>
      <c r="L2" s="3">
        <f>696.2+(386.8-340.6)+(-0.710124+(-0.394536--0.347412))+0-0-0</f>
        <v>741.64275200000009</v>
      </c>
      <c r="M2" s="3">
        <f>694+(363.5-354.2)+(-2.47758+(-1.297695--1.264494))+0-0-0</f>
        <v>700.789219</v>
      </c>
      <c r="N2" s="3">
        <f>663.9+(373.3-329.7)+(1.015767+(0.571149-0.504441))+0-0-0</f>
        <v>708.58247500000004</v>
      </c>
      <c r="O2" s="3">
        <f>664.4+(367.9-274.8)+(1.016532+(0.562887-0.420444))+0-0-0</f>
        <v>758.65897500000005</v>
      </c>
      <c r="P2" s="3">
        <f>664.4+(395.8-259.9)+(0.677688+(0.403716-0.265098))+0-0-0</f>
        <v>801.11630600000001</v>
      </c>
      <c r="Q2" s="3">
        <f>664.8+(402.2-255.3)+(-2.034288+(-1.230732--0.781218))+0-0-0</f>
        <v>809.21619799999996</v>
      </c>
      <c r="R2" s="3">
        <f>664.2+(413.8-270)+(-0.338742+(-0.211038--0.1377))+0-0-0</f>
        <v>807.58792000000005</v>
      </c>
      <c r="S2" s="3">
        <f>664.6+(408.6-272.5)+(0.677892+(0.416772-0.27795))+0-0-0</f>
        <v>801.51671400000009</v>
      </c>
      <c r="T2" s="3">
        <f>664.6+(404.3-279.4)+(-1.016838+(-0.618579--0.427482))+0-0-0</f>
        <v>788.29206499999998</v>
      </c>
      <c r="U2" s="3">
        <f>665.1+(408.1-295.4)+(0+(0-0))+0-0-0</f>
        <v>777.80000000000007</v>
      </c>
      <c r="V2" s="3">
        <f>664.7+(401.9-288.3)+(-1.016991+(-0.614907--0.441099))+0-0-0</f>
        <v>777.10920099999998</v>
      </c>
      <c r="W2" s="3">
        <f>664.7+(400.7-271.6)+(-1.355988+(-0.817428--0.554064))+0-0-0</f>
        <v>792.18064799999991</v>
      </c>
      <c r="X2" s="3">
        <f>700.5+(394.1-264.1)+(-1.42902+(-0.803964--0.538764))+0-0-0</f>
        <v>828.80578000000003</v>
      </c>
      <c r="Y2" s="3">
        <f>983.2+(434.3-401.3)+(-1.504296+(-0.664479--0.613989))+0-0-0</f>
        <v>1014.645214</v>
      </c>
      <c r="Z2" s="3">
        <f>1283.6+(362.9-560.9)+(-3.27318+(-0.925395--1.430295))+0-0-0</f>
        <v>1082.8317199999999</v>
      </c>
      <c r="AA2" s="3">
        <f>1286.3+(375.2-596.3)+(-0.656013+(-0.191352--0.304113))+0-0-0</f>
        <v>1064.6567480000001</v>
      </c>
      <c r="AB2" s="3">
        <f>1285.8+(354.9-605.4)+(-3.934548+(-1.085994--1.852524))+0-0-0</f>
        <v>1032.1319819999999</v>
      </c>
      <c r="AC2" s="3">
        <f>1284.8+(332.7-611.9)+(-1.310496+(-0.339354--0.624138))+0-0-0</f>
        <v>1004.5742879999999</v>
      </c>
      <c r="AD2">
        <v>1105</v>
      </c>
      <c r="AE2" s="3">
        <f>1285+(382-562)+(0+(0-0))+0-0-0</f>
        <v>1105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1166.1+(349.1-568.5)+(-1.189422+(-0.356082--0.57987))+0-0-0</f>
        <v>945.73436599999991</v>
      </c>
      <c r="G3" s="3">
        <f>936.2+(359.1-440.6)+(0+(0-0))+0-0-0</f>
        <v>854.7</v>
      </c>
      <c r="H3" s="3">
        <f>770.7+(385.2-351.2)+(-1.572228+(-0.785808--0.716448))+0-0-0</f>
        <v>803.05841200000009</v>
      </c>
      <c r="I3" s="3">
        <f>698.2+(391.9-322.2)+(0+(0-0))+0-0-0</f>
        <v>767.90000000000009</v>
      </c>
      <c r="J3" s="3">
        <f>698.4+(381.6-322.7)+(-1.78092+(-0.97308--0.822885))+0-0-0</f>
        <v>755.36888499999998</v>
      </c>
      <c r="K3" s="3">
        <f>698.4+(368.6-308.8)+(1.424736+(0.751944-0.629952))+0-0-0</f>
        <v>759.74672800000008</v>
      </c>
      <c r="L3" s="3">
        <f>698.2+(373.8-307.7)+(-1.068246+(-0.571914--0.470781))+0-0-0</f>
        <v>763.13062100000002</v>
      </c>
      <c r="M3" s="3">
        <f>698.4+(362.2-337.5)+(-0.356184+(-0.184722--0.172125))+0-0-0</f>
        <v>722.7312189999999</v>
      </c>
      <c r="N3" s="3">
        <f>698.3+(362.9-325.2)+(0+(0-0))+0-0-0</f>
        <v>736</v>
      </c>
      <c r="O3" s="3">
        <f>698.7+(405-308.3)+(-0.356337+(-0.20655--0.157233))+0-0-0</f>
        <v>794.99434600000006</v>
      </c>
      <c r="P3" s="3">
        <f>698.6+(419.3-276)+(0+(0-0))+0-0-0</f>
        <v>841.90000000000009</v>
      </c>
      <c r="Q3" s="3">
        <f>698.6+(425.1-263.4)+(0+(0-0))+0-0-0</f>
        <v>860.30000000000007</v>
      </c>
      <c r="R3" s="3">
        <f>698.3+(437.8-275.1)+(-0.712266+(-0.446556--0.280602))+0-0-0</f>
        <v>860.12177999999994</v>
      </c>
      <c r="S3" s="3">
        <f>698.3+(413.7-262.4)+(0+(0-0))+0-0-0</f>
        <v>849.59999999999991</v>
      </c>
      <c r="T3" s="3">
        <f>698.3+(420.4-278.5)+(0.356133+(0.214404-0.142035))+0-0-0</f>
        <v>840.62850199999991</v>
      </c>
      <c r="U3" s="3">
        <f>698.7+(420.8-288.4)+(-0.712674+(-0.429216--0.294168))+0-0-0</f>
        <v>830.25227800000016</v>
      </c>
      <c r="V3" s="3">
        <f>698.2+(429.7-286.4)+(0.356082+(0.219147-0.146064))+0-0-0</f>
        <v>841.92916500000001</v>
      </c>
      <c r="W3" s="3">
        <f>698.3+(455.8-285)+(-0.356133+(-0.232458--0.14535))+0-0-0</f>
        <v>868.65675899999997</v>
      </c>
      <c r="X3" s="3">
        <f>736.9+(465.2-295.6)+(0.375819+(0.237252-0.150756))+0-0-0</f>
        <v>906.96231499999999</v>
      </c>
      <c r="Y3" s="3">
        <f>1175.6+(422.1-510.6)+(0.599556+(0.215271-0.260406))+0-0-0</f>
        <v>1087.654421</v>
      </c>
      <c r="Z3" s="3">
        <f>1244.4+(418.5-538.6)+(-0.634644+(-0.213435--0.274686))+0-0-0</f>
        <v>1123.7266070000003</v>
      </c>
      <c r="AA3" s="3">
        <f>1179+(408.5-498.2)+(0+(0-0))+0-0-0</f>
        <v>1089.3</v>
      </c>
      <c r="AB3" s="3">
        <f>1149.3+(392.7-477.4)+(0.586143+(0.200277-0.243474))+0-0-0</f>
        <v>1065.1429459999999</v>
      </c>
      <c r="AC3" s="3">
        <f>1071.8+(392.3-444.2)+(-0.546618+(-0.200073--0.226542))+0-0-0</f>
        <v>1019.379851</v>
      </c>
      <c r="AD3">
        <v>1107.7</v>
      </c>
      <c r="AE3" s="3">
        <f>1230+(440-562.3)+(0+(0-0))+0-0-0</f>
        <v>1107.7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703.1+(536.9-280.3)+(-0.358581+(-0.273819--0.142953))+0-0-0</f>
        <v>959.210553</v>
      </c>
      <c r="G4" s="3">
        <f>548.1+(559.1-226.7)+(-0.838593+(-0.855423--0.346851))+0-0-0</f>
        <v>879.15283499999998</v>
      </c>
      <c r="H4" s="3">
        <f>467.9+(556.9-210)+(-0.477258+(-0.568038--0.2142))+0-0-0</f>
        <v>813.96890399999995</v>
      </c>
      <c r="I4" s="3">
        <f>464.3+(515.8-203.4)+(0.473586+(0.526116-0.207468))+0-0-0</f>
        <v>777.49223400000005</v>
      </c>
      <c r="J4" s="3">
        <f>464.3+(489.8-195.5)+(-0.473586+(-0.499596--0.19941))+0-0-0</f>
        <v>757.82622800000001</v>
      </c>
      <c r="K4" s="3">
        <f>493.2+(484.8-225.6)+(0.754596+(0.741744-0.345168))+0-0-0</f>
        <v>753.55117200000007</v>
      </c>
      <c r="L4" s="3">
        <f>551.5+(441.9-233.3)+(-1.406325+(-1.126845--0.594915))+0-0-0</f>
        <v>758.16174499999988</v>
      </c>
      <c r="M4" s="3">
        <f>551.2+(446.2-276.6)+(0.562224+(0.455124-0.282132))+0-0-0</f>
        <v>721.53521599999999</v>
      </c>
      <c r="N4" s="3">
        <f>647+(406.7-305.5)+(0+(0-0))+0-0-0</f>
        <v>748.2</v>
      </c>
      <c r="O4" s="3">
        <f>812.3+(396.9-386.1)+(0.414273+(0.202419-0.196911))+0-0-0</f>
        <v>823.51978099999985</v>
      </c>
      <c r="P4" s="3">
        <f>838.8+(411.8-368)+(-0.427788+(-0.210018--0.18768))+0-0-0</f>
        <v>882.14987399999995</v>
      </c>
      <c r="Q4" s="3">
        <f>839+(427.1-358.6)+(-0.85578+(-0.435642--0.365772))+0-0-0</f>
        <v>906.57434999999998</v>
      </c>
      <c r="R4" s="3">
        <f>811.9+(422.4-337.4)+(-0.414069+(-0.215424--0.172074))+0-0-0</f>
        <v>896.44258100000002</v>
      </c>
      <c r="S4" s="3">
        <f>737.9+(423.2-294.9)+(-1.128987+(-0.647496--0.451197))+0-0-0</f>
        <v>864.87471400000004</v>
      </c>
      <c r="T4" s="3">
        <f>737.8+(401-298.7)+(-1.88139+(-1.02255--0.761685))+0-0-0</f>
        <v>837.95774499999993</v>
      </c>
      <c r="U4" s="3">
        <f>668+(411.8-251.4)+(1.36272+(0.840072-0.512856))+0-0-0</f>
        <v>830.08993599999997</v>
      </c>
      <c r="V4" s="3">
        <f>646.3+(408.4-225.2)+(0.329613+(0.208284-0.114852))+0-0-0</f>
        <v>829.923045</v>
      </c>
      <c r="W4" s="3">
        <f>646.2+(425-221.3)+(-0.659124+(-0.4335--0.225726))+0-0-0</f>
        <v>849.0331020000001</v>
      </c>
      <c r="X4" s="3">
        <f>673.5+(450.7-220.3)+(-0.68697+(-0.459714--0.224706))+0-0-0</f>
        <v>902.97802200000001</v>
      </c>
      <c r="Y4" s="3">
        <f>844.7+(529.3-307.9)+(0.430797+(0.269943-0.157029))+0-0-0</f>
        <v>1066.6437109999999</v>
      </c>
      <c r="Z4" s="3">
        <f>854.6+(528.6-284.5)+(0+(0-0))+0-0-0</f>
        <v>1098.7</v>
      </c>
      <c r="AA4" s="3">
        <f>853.8+(499.2-286)+(-0.870876+(-0.509184--0.29172))+0-0-0</f>
        <v>1065.91166</v>
      </c>
      <c r="AB4" s="3">
        <f>854.2+(473.3-281.5)+(0.435642+(0.241383-0.143565))+0-0-0</f>
        <v>1046.5334600000001</v>
      </c>
      <c r="AC4" s="3">
        <f>842.7+(465.7-297.2)+(0.429777+(0.237507-0.151572))+0-0-0</f>
        <v>1011.7157120000001</v>
      </c>
      <c r="AD4">
        <v>1091</v>
      </c>
      <c r="AE4" s="3">
        <f>860+(512.1-281.1)+(0+(0-0))+0-0-0</f>
        <v>1091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818+(404.2-287.4)+(-1.25154+(-0.618426--0.439722))+0-0-0</f>
        <v>933.36975599999994</v>
      </c>
      <c r="G5" s="3">
        <f>698.8+(399.1-243)+(-0.712776+(-0.407082--0.24786))+0-0-0</f>
        <v>854.02800200000001</v>
      </c>
      <c r="H5" s="3">
        <f>614.1+(402.9-227.5)+(0+(0-0))+0-0-0</f>
        <v>789.5</v>
      </c>
      <c r="I5" s="3">
        <f>486+(433.7-175.3)+(0+(0-0))+0-0-0</f>
        <v>744.4</v>
      </c>
      <c r="J5" s="3">
        <f>461.3+(431-164)+(0.235263+(0.21981-0.08364))+0-0-0</f>
        <v>728.67143299999998</v>
      </c>
      <c r="K5" s="3">
        <f>469+(415.9-157)+(0+(0-0))+0-0-0</f>
        <v>727.9</v>
      </c>
      <c r="L5" s="3">
        <f>569.4+(393.5-237.9)+(0.871182+(0.602055-0.363987))+0-0-0</f>
        <v>726.10924999999997</v>
      </c>
      <c r="M5" s="3">
        <f>569.6+(349.9-238.2)+(-1.161984+(-0.713796--0.485928))+0-0-0</f>
        <v>679.91014799999994</v>
      </c>
      <c r="N5" s="3">
        <f>569.9+(352.1-222.9)+(0.290649+(0.179571-0.113679))+0-0-0</f>
        <v>699.45654100000002</v>
      </c>
      <c r="O5" s="3">
        <f>570.1+(382.4-200.4)+(-0.872253+(-0.585072--0.306612))+0-0-0</f>
        <v>750.94928700000003</v>
      </c>
      <c r="P5" s="3">
        <f>622+(397.3-220.8)+(0+(0-0))+0-0-0</f>
        <v>798.5</v>
      </c>
      <c r="Q5" s="3">
        <f>666.9+(401.8-252.6)+(0.340119+(0.204918-0.128826))+0-0-0</f>
        <v>816.516211</v>
      </c>
      <c r="R5" s="3">
        <f>771.3+(394.1-332)+(-1.180089+(-0.602973--0.50796))+0-0-0</f>
        <v>832.12489800000003</v>
      </c>
      <c r="S5" s="3">
        <f>772.5+(376.6-328.9)+(-0.78795+(-0.384132--0.335478))+0-0-0</f>
        <v>819.36339600000008</v>
      </c>
      <c r="T5" s="3">
        <f>772.4+(380.5-342.8)+(-1.96962+(-0.970275--0.87414))+0-0-0</f>
        <v>808.03424499999994</v>
      </c>
      <c r="U5" s="3">
        <f>772.3+(371.8-350.3)+(-1.181619+(-0.568854--0.535959))+0-0-0</f>
        <v>792.58548599999995</v>
      </c>
      <c r="V5" s="3">
        <f>772.6+(362.1-335.7)+(0+(0-0))+0-0-0</f>
        <v>799</v>
      </c>
      <c r="W5" s="3">
        <f>772.5+(377.7-334.2)+(-0.393975+(-0.192627--0.170442))+0-0-0</f>
        <v>815.58384000000001</v>
      </c>
      <c r="X5" s="3">
        <f>773.1+(387.2-311.8)+(0+(0-0))+0-0-0</f>
        <v>848.5</v>
      </c>
      <c r="Y5" s="3">
        <f>827.3+(513.3-315.4)+(0+(0-0))+0-0-0</f>
        <v>1025.1999999999998</v>
      </c>
      <c r="Z5" s="3">
        <f>854+(561.1-304.6)+(-0.87108+(-0.572322--0.310692))+0-0-0</f>
        <v>1109.3672899999999</v>
      </c>
      <c r="AA5" s="3">
        <f>854+(532.5-301.3)+(-0.43554+(-0.271575--0.153663))+0-0-0</f>
        <v>1084.6465479999999</v>
      </c>
      <c r="AB5" s="3">
        <f>850.9+(496.6-284.8)+(0+(0-0))+0-0-0</f>
        <v>1062.7</v>
      </c>
      <c r="AC5" s="3">
        <f>821.2+(466.2-271.5)+(-0.837624+(-0.475524--0.27693))+0-0-0</f>
        <v>1014.8637820000001</v>
      </c>
      <c r="AD5">
        <v>1106.3000000000002</v>
      </c>
      <c r="AE5" s="3">
        <f>860+(559.2-312.9)+(0+(0-0))+0-0-0</f>
        <v>1106.3000000000002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717.1+(440.9-242.3)+(-0.731442+(-0.449718--0.247146))+0-0-0</f>
        <v>914.765986</v>
      </c>
      <c r="G6" s="3">
        <f>614.6+(433-228)+(-0.626892+(-0.44166--0.23256))+0-0-0</f>
        <v>818.76400799999999</v>
      </c>
      <c r="H6" s="3">
        <f>548.3+(436.4-226.1)+(0+(0-0))+0-0-0</f>
        <v>758.59999999999991</v>
      </c>
      <c r="I6" s="3">
        <f>548.6+(412.5-229.9)+(0+(0-0))+0-0-0</f>
        <v>731.2</v>
      </c>
      <c r="J6" s="3">
        <f>548.2+(406-227.1)+(0.559164+(0.41412-0.231642))+0-0-0</f>
        <v>727.84164199999998</v>
      </c>
      <c r="K6" s="3">
        <f>548.6+(413.7-232.1)+(-1.119144+(-0.843948--0.473484))+0-0-0</f>
        <v>728.71039200000007</v>
      </c>
      <c r="L6" s="3">
        <f>602.5+(404.9-264.5)+(-0.307275+(-0.206499--0.134895))+0-0-0</f>
        <v>742.52112099999999</v>
      </c>
      <c r="M6" s="3">
        <f>649+(378-283.7)+(-0.66198+(-0.38556--0.289374))+0-0-0</f>
        <v>742.54183399999999</v>
      </c>
      <c r="N6" s="3">
        <f>660+(379.3-250.9)+(1.0098+(0.580329-0.383877))+0-0-0</f>
        <v>789.60625199999993</v>
      </c>
      <c r="O6" s="3">
        <f>812.9+(377.3-325.7)+(-0.414579+(-0.192423--0.166107))+0-0-0</f>
        <v>864.05910500000005</v>
      </c>
      <c r="P6" s="3">
        <f>848.8+(384.1-312)+(-0.865776+(-0.391782--0.31824))+0-0-0</f>
        <v>919.96068200000002</v>
      </c>
      <c r="Q6" s="3">
        <f>849.1+(394.2-289.9)+(-0.433041+(-0.201042--0.147849))+0-0-0</f>
        <v>952.91376600000012</v>
      </c>
      <c r="R6" s="3">
        <f>848.9+(411.6-293.5)+(-0.432939+(-0.209916--0.149685))+0-0-0</f>
        <v>966.50683000000004</v>
      </c>
      <c r="S6" s="3">
        <f>849.1+(407.2-320.3)+(-1.299123+(-0.623016--0.490059))+0-0-0</f>
        <v>934.56791999999996</v>
      </c>
      <c r="T6" s="3">
        <f>848.9+(413.5-358.7)+(-1.731756+(-0.84354--0.731748))+0-0-0</f>
        <v>901.85645199999999</v>
      </c>
      <c r="U6" s="3">
        <f>848.7+(395.2-364.8)+(-1.731348+(-0.806208--0.744192))+0-0-0</f>
        <v>877.30663600000003</v>
      </c>
      <c r="V6" s="3">
        <f>846.9+(373.3-341.6)+(-1.295757+(-0.571149--0.522648))+0-0-0</f>
        <v>877.25574199999994</v>
      </c>
      <c r="W6" s="3">
        <f>844.3+(378.8-325.7)+(-1.291779+(-0.579564--0.498321))+0-0-0</f>
        <v>896.02697799999999</v>
      </c>
      <c r="X6" s="3">
        <f>844.3+(388.8-309.9)+(-1.291779+(-0.594864--0.474147))+0-0-0</f>
        <v>921.78750400000001</v>
      </c>
      <c r="Y6" s="3">
        <f>856.6+(476.9-245.7)+(0+(0-0))+0-0-0</f>
        <v>1087.8</v>
      </c>
      <c r="Z6" s="3">
        <f>857+(497.8-191.9)+(-1.31121+(-0.761634--0.293607))+0-0-0</f>
        <v>1161.1207630000001</v>
      </c>
      <c r="AA6" s="3">
        <f>856.1+(482.9-213.2)+(-1.309833+(-0.738837--0.326196))+0-0-0</f>
        <v>1124.077526</v>
      </c>
      <c r="AB6" s="3">
        <f>846.3+(456.1-220.9)+(-0.431613+(-0.232611--0.112659))+0-0-0</f>
        <v>1080.948435</v>
      </c>
      <c r="AC6" s="3">
        <f>843.7+(453.7-249.9)+(-0.860574+(-0.462774--0.254898))+0-0-0</f>
        <v>1046.43155</v>
      </c>
      <c r="AD6">
        <v>1157.3999999999999</v>
      </c>
      <c r="AE6" s="3">
        <f>860+(495.8-198.4)+(0+(0-0))+0-0-0</f>
        <v>1157.4000000000001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843.6+(399.3-277)+(0+(0-0))+0-0-0</f>
        <v>965.90000000000009</v>
      </c>
      <c r="G7" s="3">
        <f>693.7+(411.3-220.2)+(0+(0-0))+0-0-0</f>
        <v>884.80000000000007</v>
      </c>
      <c r="H7" s="3">
        <f>631.8+(436.5-249.7)+(-0.966654+(-0.667845--0.382041))+0-0-0</f>
        <v>817.34754199999986</v>
      </c>
      <c r="I7" s="3">
        <f>527.8+(466.1-219.2)+(0.269178+(0.237711-0.111792))+0-0-0</f>
        <v>775.09509700000001</v>
      </c>
      <c r="J7" s="3">
        <f>461.2+(475.3-180.1)+(0+(0-0))+0-0-0</f>
        <v>756.40000000000009</v>
      </c>
      <c r="K7" s="3">
        <f>461+(468.8-169.8)+(0.47022+(0.478176-0.173196))+0-0-0</f>
        <v>760.77520000000004</v>
      </c>
      <c r="L7" s="3">
        <f>460.8+(506.3-208.7)+(-0.470016+(-0.516426--0.212874))+0-0-0</f>
        <v>757.62643200000014</v>
      </c>
      <c r="M7" s="3">
        <f>462.4+(485.6-215.2)+(0+(0-0))+0-0-0</f>
        <v>732.8</v>
      </c>
      <c r="N7" s="3">
        <f>620.2+(443.1-265.5)+(0+(0-0))+0-0-0</f>
        <v>797.80000000000007</v>
      </c>
      <c r="O7" s="3">
        <f>824.3+(370.5-326)+(0+(0-0))+0-0-0</f>
        <v>868.8</v>
      </c>
      <c r="P7" s="3">
        <f>835.1+(388.5-303.3)+(0.851802+(0.39627-0.309366))+0-0-0</f>
        <v>921.23870599999998</v>
      </c>
      <c r="Q7" s="3">
        <f>837+(402.3-305.7)+(-1.70748+(-0.820692--0.623628))+0-0-0</f>
        <v>931.69545600000004</v>
      </c>
      <c r="R7" s="3">
        <f>837.1+(392.5-307.6)+(-1.707684+(-0.8007--0.627504))+0-0-0</f>
        <v>920.11911999999995</v>
      </c>
      <c r="S7" s="3">
        <f>837.1+(382.4-326.2)+(-0.426921+(-0.195024--0.166362))+0-0-0</f>
        <v>892.84441699999991</v>
      </c>
      <c r="T7" s="3">
        <f>837.2+(348.9-326.9)+(0.853944+(0.355878-0.333438))+0-0-0</f>
        <v>860.07638400000008</v>
      </c>
      <c r="U7" s="3">
        <f>837.3+(343.1-338.2)+(-0.854046+(-0.349962--0.344964))+0-0-0</f>
        <v>841.34095600000001</v>
      </c>
      <c r="V7" s="3">
        <f>837.3+(352.2-340.1)+(-1.281069+(-0.538866--0.520353))+0-0-0</f>
        <v>848.10041799999988</v>
      </c>
      <c r="W7" s="3">
        <f>837.2+(355.1-335.8)+(0.853944+(0.362202-0.342516))+0-0-0</f>
        <v>857.37363000000005</v>
      </c>
      <c r="X7" s="3">
        <f>837.2+(367.8-337.1)+(-0.426972+(-0.187578--0.171921))+0-0-0</f>
        <v>867.45737100000008</v>
      </c>
      <c r="Y7" s="3">
        <f>854.3+(462.4-273.7)+(1.307079+(0.707472-0.418761))+0-0-0</f>
        <v>1044.5957900000001</v>
      </c>
      <c r="Z7" s="3">
        <f>856.9+(463.2-179.6)+(0.437019+(0.236232-0.091596))+0-0-0</f>
        <v>1141.081655</v>
      </c>
      <c r="AA7" s="3">
        <f>856.1+(440.3-199.7)+(0+(0-0))+0-0-0</f>
        <v>1096.7</v>
      </c>
      <c r="AB7" s="3">
        <f>856.4+(450.2-246.9)+(0+(0-0))+0-0-0</f>
        <v>1059.7</v>
      </c>
      <c r="AC7" s="3">
        <f>855.6+(448.5-278.5)+(0.436356+(0.228735-0.142035))+0-0-0</f>
        <v>1026.1230559999999</v>
      </c>
      <c r="AD7">
        <v>1175.6000000000001</v>
      </c>
      <c r="AE7" s="3">
        <f>860+(508.9-193.3)+(0+(0-0))+0-0-0</f>
        <v>1175.5999999999999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845.1+(458.9-336.2)+(-2.586006+(-1.404234--1.028772))+0-0-0</f>
        <v>964.83853199999999</v>
      </c>
      <c r="G8" s="3">
        <f>695.5+(459.3-286.6)+(-1.064115+(-0.702729--0.438498))+0-0-0</f>
        <v>866.87165400000004</v>
      </c>
      <c r="H8" s="3">
        <f>649+(476.6-310.8)+(-0.33099+(-0.243066--0.158508))+0-0-0</f>
        <v>814.38445200000001</v>
      </c>
      <c r="I8" s="3">
        <f>547.2+(505.1-266.4)+(-1.39536+(-1.288005--0.67932))+0-0-0</f>
        <v>783.89595500000007</v>
      </c>
      <c r="J8" s="3">
        <f>468.4+(507.9-216.5)+(0+(0-0))+0-0-0</f>
        <v>759.8</v>
      </c>
      <c r="K8" s="3">
        <f>498.8+(496.6-231)+(0.763164+(0.759798-0.35343))+0-0-0</f>
        <v>765.56953200000009</v>
      </c>
      <c r="L8" s="3">
        <f>542.5+(495.3-271)+(0.55335+(0.505206-0.27642))+0-0-0</f>
        <v>767.58213599999999</v>
      </c>
      <c r="M8" s="3">
        <f>610.3+(465.1-329.2)+(-0.933759+(-0.711603--0.503676))+0-0-0</f>
        <v>745.058314</v>
      </c>
      <c r="N8" s="3">
        <f>903.3+(420.3-514.8)+(-0.460683+(-0.214353--0.262548))+0-0-0</f>
        <v>808.3875119999999</v>
      </c>
      <c r="O8" s="3">
        <f>1024.1+(337.6-484.2)+(-1.044582+(-0.344352--0.493884))+0-0-0</f>
        <v>876.60495000000003</v>
      </c>
      <c r="P8" s="3">
        <f>925.5+(353.5-349.3)+(-0.94401+(-0.36057--0.356286))+0-0-0</f>
        <v>928.75170600000001</v>
      </c>
      <c r="Q8" s="3">
        <f>841+(374.8-282.2)+(-0.42891+(-0.191148--0.143922))+0-0-0</f>
        <v>933.12386400000003</v>
      </c>
      <c r="R8" s="3">
        <f>841.2+(381.6-291.7)+(-0.858024+(-0.389232--0.297534))+0-0-0</f>
        <v>930.15027800000018</v>
      </c>
      <c r="S8" s="3">
        <f>840.8+(360.4-299.9)+(-0.857616+(-0.367608--0.305898))+0-0-0</f>
        <v>900.380674</v>
      </c>
      <c r="T8" s="3">
        <f>841.2+(366.1-324.8)+(-1.716048+(-0.746844--0.662592))+0-0-0</f>
        <v>880.69970000000001</v>
      </c>
      <c r="U8" s="3">
        <f>841.1+(384-354.5)+(-0.428961+(-0.19584--0.180795))+0-0-0</f>
        <v>870.15599400000008</v>
      </c>
      <c r="V8" s="3">
        <f>841.2+(381.7-351.9)+(-1.716048+(-0.778668--0.717876))+0-0-0</f>
        <v>869.22316000000001</v>
      </c>
      <c r="W8" s="3">
        <f>840.9+(353.1-325.2)+(-1.715436+(-0.720324--0.663408))+0-0-0</f>
        <v>867.027648</v>
      </c>
      <c r="X8" s="3">
        <f>841+(368.7-328.6)+(0.42891+(0.188037-0.167586))+0-0-0</f>
        <v>881.54936099999986</v>
      </c>
      <c r="Y8" s="3">
        <f>851.6+(435.3-244.7)+(0.434316+(0.222003-0.124797))+0-0-0</f>
        <v>1042.731522</v>
      </c>
      <c r="Z8" s="3">
        <f>855.5+(482.1-192.8)+(-0.436305+(-0.245871--0.098328))+0-0-0</f>
        <v>1144.216152</v>
      </c>
      <c r="AA8" s="3">
        <f>855.4+(462.1-201.4)+(-1.745016+(-0.942684--0.410856))+0-0-0</f>
        <v>1113.8231559999999</v>
      </c>
      <c r="AB8" s="3">
        <f>855.2+(436.8-218.9)+(-0.872304+(-0.445536--0.223278))+0-0-0</f>
        <v>1072.0054380000001</v>
      </c>
      <c r="AC8" s="3">
        <f>855.1+(410.1-239.4)+(-0.436101+(-0.209151--0.122094))+0-0-0</f>
        <v>1025.276842</v>
      </c>
      <c r="AD8">
        <v>1166.1999999999998</v>
      </c>
      <c r="AE8" s="3">
        <f>857+(510.1-200.9)+(0+(0-0))+0-0-0</f>
        <v>1166.2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813.4+(429.4-283.7)+(-0.829668+(-0.437988--0.289374))+0-0-0</f>
        <v>958.12171799999987</v>
      </c>
      <c r="G9" s="3">
        <f>753.8+(459.3-333.4)+(-1.92219+(-1.171215--0.85017))+0-0-0</f>
        <v>877.45676500000002</v>
      </c>
      <c r="H9" s="3">
        <f>693.7+(467.8-350.8)+(0+(0-0))+0-0-0</f>
        <v>810.7</v>
      </c>
      <c r="I9" s="3">
        <f>584.2+(487.9-294.5)+(-1.191768+(-0.995316--0.60078))+0-0-0</f>
        <v>776.01369599999998</v>
      </c>
      <c r="J9" s="3">
        <f>555.5+(474.5-261)+(-0.56661+(-0.48399--0.26622))+0-0-0</f>
        <v>768.21561999999994</v>
      </c>
      <c r="K9" s="3">
        <f>555.9+(452.3-229.9)+(-0.283509+(-0.230673--0.117249))+0-0-0</f>
        <v>777.90306699999996</v>
      </c>
      <c r="L9" s="3">
        <f>588.5+(464.2-280)+(0+(0-0))+0-0-0</f>
        <v>772.7</v>
      </c>
      <c r="M9" s="3">
        <f>678.7+(380.3-297.8)+(-1.384548+(-0.775812--0.607512))+0-0-0</f>
        <v>759.64715200000001</v>
      </c>
      <c r="N9" s="3">
        <f>840.7+(297.7-323.2)+(0.428757+(0.151827-0.164832))+0-0-0</f>
        <v>815.61575200000004</v>
      </c>
      <c r="O9" s="3">
        <f>840.8+(329.3-292.4)+(0+(0-0))+0-0-0</f>
        <v>877.7</v>
      </c>
      <c r="P9" s="3">
        <f>841+(346.1-258.9)+(-0.85782+(-0.353022--0.264078))+0-0-0</f>
        <v>927.25323600000002</v>
      </c>
      <c r="Q9" s="3">
        <f>841.1+(359.9-242.9)+(-0.428961+(-0.183549--0.123879))+0-0-0</f>
        <v>957.61136899999997</v>
      </c>
      <c r="R9" s="3">
        <f>840.9+(357.8-249.2)+(-2.573154+(-1.094868--0.762552))+0-0-0</f>
        <v>946.59452999999996</v>
      </c>
      <c r="S9" s="3">
        <f>841.1+(357.3-270.6)+(-1.286883+(-0.546669--0.414018))+0-0-0</f>
        <v>926.38046599999996</v>
      </c>
      <c r="T9" s="3">
        <f>840.9+(331.2-268.3)+(-1.286577+(-0.506736--0.410499))+0-0-0</f>
        <v>902.4171859999999</v>
      </c>
      <c r="U9" s="3">
        <f>841+(339.9-285.2)+(-1.28673+(-0.520047--0.436356))+0-0-0</f>
        <v>894.32957900000008</v>
      </c>
      <c r="V9" s="3">
        <f>840.7+(321.9-260.4)+(-0.857514+(-0.328338--0.265608))+0-0-0</f>
        <v>901.27975600000002</v>
      </c>
      <c r="W9" s="3">
        <f>841+(296.5-220.6)+(-1.28673+(-0.453645--0.337518))+0-0-0</f>
        <v>915.49714299999994</v>
      </c>
      <c r="X9" s="3">
        <f>841.1+(344.5-223)+(-1.715844+(-0.70278--0.45492))+0-0-0</f>
        <v>960.63629600000002</v>
      </c>
      <c r="Y9" s="3">
        <f>852.2+(482.5-216.3)+(0.434622+(0.246075-0.110313))+0-0-0</f>
        <v>1118.9703840000002</v>
      </c>
      <c r="Z9" s="3">
        <f>855.7+(485.6-186.5)+(0+(0-0))+0-0-0</f>
        <v>1154.8000000000002</v>
      </c>
      <c r="AA9" s="3">
        <f>855.2+(453.3-199.9)+(-2.18076+(-1.155915--0.509745))+0-0-0</f>
        <v>1105.7730700000002</v>
      </c>
      <c r="AB9" s="3">
        <f>855.1+(441.9-226.6)+(-1.744404+(-0.901476--0.462264))+0-0-0</f>
        <v>1068.2163840000001</v>
      </c>
      <c r="AC9" s="3">
        <f>855.1+(434.9-253.1)+(-1.308303+(-0.665397--0.387243))+0-0-0</f>
        <v>1035.313543</v>
      </c>
      <c r="AD9">
        <v>1182.5999999999999</v>
      </c>
      <c r="AE9" s="3">
        <f>860+(508.6-186)+(0+(0-0))+0-0-0</f>
        <v>1182.5999999999999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767.9+(450.6-257.6)+(-0.783258+(-0.459612--0.262752))+0-0-0</f>
        <v>959.91988200000003</v>
      </c>
      <c r="G10" s="3">
        <f>763.7+(432-311.5)+(-1.947435+(-1.1016--0.794325))+0-0-0</f>
        <v>881.94529</v>
      </c>
      <c r="H10" s="3">
        <f>653.4+(429.9-251.5)+(-0.333234+(-0.219249--0.128265))+0-0-0</f>
        <v>831.37578199999996</v>
      </c>
      <c r="I10" s="3">
        <f>633.3+(412.6-238.9)+(-1.291932+(-0.841704--0.487356))+0-0-0</f>
        <v>805.35371999999995</v>
      </c>
      <c r="J10" s="3">
        <f>633.3+(408.5-256.4)+(0+(0-0))+0-0-0</f>
        <v>785.4</v>
      </c>
      <c r="K10" s="3">
        <f>633.3+(419-263.4)+(-0.322983+(-0.21369--0.134334))+0-0-0</f>
        <v>788.49766099999999</v>
      </c>
      <c r="L10" s="3">
        <f>633.4+(439.5-287.2)+(-0.646068+(-0.44829--0.292944))+0-0-0</f>
        <v>784.89858600000002</v>
      </c>
      <c r="M10" s="3">
        <f>649.3+(433.9-307.2)+(0.331143+(0.221289-0.156672))+0-0-0</f>
        <v>776.39576</v>
      </c>
      <c r="N10" s="3">
        <f>773.9+(375.4-303.6)+(0+(0-0))+0-0-0</f>
        <v>845.69999999999993</v>
      </c>
      <c r="O10" s="3">
        <f>843.8+(367.4-301)+(0+(0-0))+0-0-0</f>
        <v>910.19999999999993</v>
      </c>
      <c r="P10" s="3">
        <f>843.3+(406.7-286.7)+(0.430083+(0.207417-0.146217))+0-0-0</f>
        <v>963.79128299999991</v>
      </c>
      <c r="Q10" s="3">
        <f>843.4+(425.5-280)+(-1.290402+(-0.651015--0.4284))+0-0-0</f>
        <v>987.38698299999999</v>
      </c>
      <c r="R10" s="3">
        <f>842.9+(423-278.3)+(-1.719516+(-0.86292--0.567732))+0-0-0</f>
        <v>985.58529599999986</v>
      </c>
      <c r="S10" s="3">
        <f>843.3+(400.4-287.7)+(0+(0-0))+0-0-0</f>
        <v>956</v>
      </c>
      <c r="T10" s="3">
        <f>843.1+(381.8-297.3)+(-0.429981+(-0.194718--0.151623))+0-0-0</f>
        <v>927.12692400000003</v>
      </c>
      <c r="U10" s="3">
        <f>843.2+(360-303.5)+(-0.860064+(-0.3672--0.30957))+0-0-0</f>
        <v>898.78230600000006</v>
      </c>
      <c r="V10" s="3">
        <f>843.2+(359.6-306.5)+(0+(0-0))+0-0-0</f>
        <v>896.30000000000007</v>
      </c>
      <c r="W10" s="3">
        <f>843.5+(377.5-317.5)+(-0.86037+(-0.38505--0.32385))+0-0-0</f>
        <v>902.57843000000003</v>
      </c>
      <c r="X10" s="3">
        <f>843.3+(368.3-281.9)+(-2.150415+(-0.939165--0.718845))+0-0-0</f>
        <v>927.32926500000008</v>
      </c>
      <c r="Y10" s="3">
        <f>851+(433.5-213.2)+(0.86802+(0.44217-0.217464))+0-0-0</f>
        <v>1072.392726</v>
      </c>
      <c r="Z10" s="3">
        <f>855.7+(457-168.5)+(-1.745628+(-0.93228--0.34374))+0-0-0</f>
        <v>1141.865832</v>
      </c>
      <c r="AA10" s="3">
        <f>855.7+(460.4-201.2)+(0.436407+(0.234804-0.102612))+0-0-0</f>
        <v>1115.468599</v>
      </c>
      <c r="AB10" s="3">
        <f>855.4+(450.2-227.6)+(-1.745016+(-0.918408--0.464304))+0-0-0</f>
        <v>1075.80088</v>
      </c>
      <c r="AC10" s="3">
        <f>855.4+(445.8-256.8)+(-0.436254+(-0.227358--0.130968))+0-0-0</f>
        <v>1043.8673560000002</v>
      </c>
      <c r="AD10">
        <v>1170.2</v>
      </c>
      <c r="AE10" s="3">
        <f>855+(484.9-169.7)+(0+(0-0))+0-0-0</f>
        <v>1170.2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805+(457.5-289.9)+(-0.41055+(-0.233325--0.147849))+0-0-0</f>
        <v>972.10397399999999</v>
      </c>
      <c r="G11" s="3">
        <f>745+(457.4-316.6)+(-1.13985+(-0.699822--0.484398))+0-0-0</f>
        <v>884.44472599999995</v>
      </c>
      <c r="H11" s="3">
        <f>745.3+(449-365.5)+(-0.380103+(-0.22899--0.186405))+0-0-0</f>
        <v>828.37731199999996</v>
      </c>
      <c r="I11" s="3">
        <f>745.4+(433.5-380.2)+(-1.520616+(-0.88434--0.775608))+0-0-0</f>
        <v>797.070652</v>
      </c>
      <c r="J11" s="3">
        <f>745.1+(408.7-367.8)+(-2.280006+(-1.250622--1.125468))+0-0-0</f>
        <v>783.59483999999998</v>
      </c>
      <c r="K11" s="3">
        <f>745+(406.2-364.2)+(-0.37995+(-0.207162--0.185742))+0-0-0</f>
        <v>786.59862999999996</v>
      </c>
      <c r="L11" s="3">
        <f>735+(408.6-360)+(-1.12455+(-0.625158--0.5508))+0-0-0</f>
        <v>782.40109200000006</v>
      </c>
      <c r="M11" s="3">
        <f>731.4+(403.8-379.2)+(-0.373014+(-0.205938--0.193392))+0-0-0</f>
        <v>755.61443999999995</v>
      </c>
      <c r="N11" s="3">
        <f>735.7+(423.5-346.8)+(0.375207+(0.215985-0.176868))+0-0-0</f>
        <v>812.81432400000006</v>
      </c>
      <c r="O11" s="3">
        <f>753+(442.5-318.2)+(1.15209+(0.677025-0.486846))+0-0-0</f>
        <v>878.64226899999994</v>
      </c>
      <c r="P11" s="3">
        <f>839.5+(396.2-309)+(-0.428145+(-0.202062--0.15759))+0-0-0</f>
        <v>926.22738300000003</v>
      </c>
      <c r="Q11" s="3">
        <f>850+(410.3-318.3)+(1.3005+(0.627759-0.486999))+0-0-0</f>
        <v>943.44126000000006</v>
      </c>
      <c r="R11" s="3">
        <f>850+(408-331.6)+(0+(0-0))+0-0-0</f>
        <v>926.4</v>
      </c>
      <c r="S11" s="3">
        <f>849.9+(396.7-358.6)+(-0.866898+(-0.404634--0.365772))+0-0-0</f>
        <v>887.09424000000001</v>
      </c>
      <c r="T11" s="3">
        <f>849.9+(406.5-394.8)+(-1.733796+(-0.82926--0.805392))+0-0-0</f>
        <v>859.84233599999993</v>
      </c>
      <c r="U11" s="3">
        <f>850.1+(431.4-449.5)+(0.433551+(0.220014-0.229245))+0-0-0</f>
        <v>832.42431999999997</v>
      </c>
      <c r="V11" s="3">
        <f>849.8+(385.2-407)+(-2.16699+(-0.98226--1.03785))+0-0-0</f>
        <v>825.8886</v>
      </c>
      <c r="W11" s="3">
        <f>849.9+(382.1-393.5)+(-1.300347+(-0.584613--0.602055))+0-0-0</f>
        <v>837.21709499999997</v>
      </c>
      <c r="X11" s="3">
        <f>850.1+(367.5-361.9)+(-1.734204+(-0.7497--0.738276))+0-0-0</f>
        <v>853.95437200000003</v>
      </c>
      <c r="Y11" s="3">
        <f>852.1+(370.4-199.6)+(0.869142+(0.377808-0.203592))+0-0-0</f>
        <v>1023.943358</v>
      </c>
      <c r="Z11" s="3">
        <f>852.3+(417.7-150.7)+(-1.738692+(-0.852108--0.307428))+0-0-0</f>
        <v>1117.0166279999999</v>
      </c>
      <c r="AA11" s="3">
        <f>852.2+(406.8-175)+(-1.738488+(-0.829872--0.357))+0-0-0</f>
        <v>1081.78864</v>
      </c>
      <c r="AB11" s="3">
        <f>852.2+(424.4-232.2)+(-2.17311+(-1.08222--0.59211))+0-0-0</f>
        <v>1041.7367800000002</v>
      </c>
      <c r="AC11" s="3">
        <f>852.2+(429.4-276.6)+(0.434622+(0.218994-0.141066))+0-0-0</f>
        <v>1005.51255</v>
      </c>
      <c r="AD11">
        <v>1135.1999999999998</v>
      </c>
      <c r="AE11" s="3">
        <f>851+(441.6-157.4)+(0+(0-0))+0-0-0</f>
        <v>1135.2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852.3+(419.7-317.7)+(0+(0-0))+0-0-0</f>
        <v>954.3</v>
      </c>
      <c r="G12" s="3">
        <f>852+(423.7-396)+(-1.30356+(-0.648261--0.60588))+0-0-0</f>
        <v>878.35405900000001</v>
      </c>
      <c r="H12" s="3">
        <f>852.4+(426.3-456.5)+(-2.608344+(-1.304478--1.39689))+0-0-0</f>
        <v>819.68406800000002</v>
      </c>
      <c r="I12" s="3">
        <f>852.4+(396.8-457.6)+(-1.738896+(-0.809472--0.933504))+0-0-0</f>
        <v>789.9851359999999</v>
      </c>
      <c r="J12" s="3">
        <f>852.4+(350.9-427.8)+(-0.434724+(-0.178959--0.218178))+0-0-0</f>
        <v>775.10449500000004</v>
      </c>
      <c r="K12" s="3">
        <f>852.5+(340.6-415.2)+(-0.434775+(-0.173706--0.211752))+0-0-0</f>
        <v>777.50327100000004</v>
      </c>
      <c r="L12" s="3">
        <f>852.5+(355.9-449.4)+(-2.60865+(-1.089054--1.375164))+0-0-0</f>
        <v>756.67746</v>
      </c>
      <c r="M12" s="3">
        <f>852.3+(311.3-438.2)+(-0.869346+(-0.317526--0.446964))+0-0-0</f>
        <v>724.66009199999996</v>
      </c>
      <c r="N12" s="3">
        <f>852.6+(318.9-435.8)+(0.434826+(0.162639-0.222258))+0-0-0</f>
        <v>736.07520700000009</v>
      </c>
      <c r="O12" s="3">
        <f>852.4+(344.6-416.8)+(-1.304172+(-0.527238--0.637704))+0-0-0</f>
        <v>779.00629400000003</v>
      </c>
      <c r="P12" s="3">
        <f>852.8+(377.2-401.2)+(-1.304784+(-0.577116--0.613836))+0-0-0</f>
        <v>827.53193599999997</v>
      </c>
      <c r="Q12" s="3">
        <f>852.4+(377.7-368.5)+(-1.738896+(-0.770508--0.75174))+0-0-0</f>
        <v>859.84233599999993</v>
      </c>
      <c r="R12" s="3">
        <f>852.8+(402.3-376.5)+(-1.304784+(-0.615519--0.576045))+0-0-0</f>
        <v>877.25574199999994</v>
      </c>
      <c r="S12" s="3">
        <f>852.9+(397.2-389)+(-0.434979+(-0.202572--0.19839))+0-0-0</f>
        <v>860.6608389999999</v>
      </c>
      <c r="T12" s="3">
        <f>853.1+(422.7-430.4)+(0+(0-0))+0-0-0</f>
        <v>845.40000000000009</v>
      </c>
      <c r="U12" s="3">
        <f>852.7+(473.1-493.4)+(-1.304631+(-0.723843--0.754902))+0-0-0</f>
        <v>831.12642800000015</v>
      </c>
      <c r="V12" s="3">
        <f>852.9+(407.7-426.8)+(-1.739916+(-0.831708--0.870672))+0-0-0</f>
        <v>832.09904799999993</v>
      </c>
      <c r="W12" s="3">
        <f>853+(416.7-414.4)+(0.87006+(0.425034-0.422688))+0-0-0</f>
        <v>856.17240599999991</v>
      </c>
      <c r="X12" s="3">
        <f>852.8+(421-387.1)+(-2.17464+(-1.07355--0.987105))+0-0-0</f>
        <v>884.43891499999995</v>
      </c>
      <c r="Y12" s="3">
        <f>858.4+(455.7-271.3)+(0+(0-0))+0-0-0</f>
        <v>1042.8</v>
      </c>
      <c r="Z12" s="3">
        <f>858.1+(477.2-235.7)+(0+(0-0))+0-0-0</f>
        <v>1099.5999999999999</v>
      </c>
      <c r="AA12" s="3">
        <f>857.9+(487.9-265.5)+(-2.187645+(-1.244145--0.677025))+0-0-0</f>
        <v>1077.545235</v>
      </c>
      <c r="AB12" s="3">
        <f>857.9+(497.8-325.9)+(-1.750116+(-1.015512--0.664836))+0-0-0</f>
        <v>1027.699208</v>
      </c>
      <c r="AC12" s="3">
        <f>857.5+(504.4-372.6)+(-1.311975+(-0.771732--0.570078))+0-0-0</f>
        <v>987.78637099999992</v>
      </c>
      <c r="AD12">
        <v>1107.0999999999999</v>
      </c>
      <c r="AE12" s="3">
        <f>860+(476.8-229.7)+(0+(0-0))+0-0-0</f>
        <v>1107.0999999999999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854+(447.6-404.2)+(-0.87108+(-0.456552--0.412284))+0-0-0</f>
        <v>896.4846520000001</v>
      </c>
      <c r="G13" s="3">
        <f>795.4+(372.9-346.1)+(-1.622616+(-0.760716--0.706044))+0-0-0</f>
        <v>820.52271199999996</v>
      </c>
      <c r="H13" s="3">
        <f>612.2+(401.9-243)+(-1.56111+(-1.024845--0.61965))+0-0-0</f>
        <v>769.13369499999999</v>
      </c>
      <c r="I13" s="3">
        <f>471.1+(448.4-182.4)+(0.480522+(0.457368-0.186048))+0-0-0</f>
        <v>737.85184200000003</v>
      </c>
      <c r="J13" s="3">
        <f>469.4+(431.2-169.9)+(-0.478788+(-0.439824--0.173298))+0-0-0</f>
        <v>729.95468599999992</v>
      </c>
      <c r="K13" s="3">
        <f>469.7+(413-160.5)+(0.239547+(0.21063-0.081855))+0-0-0</f>
        <v>722.56832200000008</v>
      </c>
      <c r="L13" s="3">
        <f>469.8+(424.1-185.4)+(-1.677186+(-1.514037--0.661878))+0-0-0</f>
        <v>705.97065499999997</v>
      </c>
      <c r="M13" s="3">
        <f>469.7+(399.6-212.8)+(-0.239547+(-0.203796--0.108528))+0-0-0</f>
        <v>656.16518499999995</v>
      </c>
      <c r="N13" s="3">
        <f>470+(424.2-229.8)+(0.2397+(0.216342-0.117198))+0-0-0</f>
        <v>664.73884399999997</v>
      </c>
      <c r="O13" s="3">
        <f>526.1+(459.5-320.2)+(-0.804933+(-0.703035--0.489906))+0-0-0</f>
        <v>664.3819380000001</v>
      </c>
      <c r="P13" s="3">
        <f>556.5+(453.5-359.8)+(0.56763+(0.46257-0.366996))+0-0-0</f>
        <v>650.863204</v>
      </c>
      <c r="Q13" s="3">
        <f>556.8+(402.7-321.7)+(-0.567936+(-0.410754--0.328134))+0-0-0</f>
        <v>637.1494439999999</v>
      </c>
      <c r="R13" s="3">
        <f>556.9+(365.3-289.9)+(-0.568038+(-0.372606--0.295698))+0-0-0</f>
        <v>631.65505399999995</v>
      </c>
      <c r="S13" s="3">
        <f>556.9+(355.2-295.8)+(0+(0-0))+0-0-0</f>
        <v>616.29999999999995</v>
      </c>
      <c r="T13" s="3">
        <f>556.5+(371.9-322)+(-0.283815+(-0.189669--0.16422))+0-0-0</f>
        <v>606.09073599999999</v>
      </c>
      <c r="U13" s="3">
        <f>557+(377.3-327.3)+(-0.56814+(-0.384846--0.333846))+0-0-0</f>
        <v>606.38085999999998</v>
      </c>
      <c r="V13" s="3">
        <f>556.4+(382-316.6)+(-0.567528+(-0.38964--0.322932))+0-0-0</f>
        <v>621.16576399999997</v>
      </c>
      <c r="W13" s="3">
        <f>625.9+(405.6-363)+(-0.319209+(-0.206856--0.18513))+0-0-0</f>
        <v>668.15906500000006</v>
      </c>
      <c r="X13" s="3">
        <f>762.1+(358.8-373.3)+(-1.943355+(-0.91494--0.951915))+0-0-0</f>
        <v>745.69362000000001</v>
      </c>
      <c r="Y13" s="3">
        <f>843.2+(375.9-287.9)+(-0.860064+(-0.383418--0.293658))+0-0-0</f>
        <v>930.25017600000001</v>
      </c>
      <c r="Z13" s="3">
        <f>855.7+(451.1-284)+(-0.436407+(-0.230061--0.14484))+0-0-0</f>
        <v>1022.2783720000001</v>
      </c>
      <c r="AA13" s="3">
        <f>855.3+(482.2-321.7)+(-0.436203+(-0.245922--0.164067))+0-0-0</f>
        <v>1015.281942</v>
      </c>
      <c r="AB13" s="3">
        <f>855.8+(480.6-364.8)+(-1.309374+(-0.735318--0.558144))+0-0-0</f>
        <v>970.11345199999994</v>
      </c>
      <c r="AC13" s="3">
        <f>855.7+(514.1-461.3)+(-0.872814+(-0.524382--0.470526))+0-0-0</f>
        <v>907.57333000000006</v>
      </c>
      <c r="AD13">
        <v>1036.3</v>
      </c>
      <c r="AE13" s="3">
        <f>860+(499.3-323)+(0+(0-0))+0-0-0</f>
        <v>1036.3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855.4+(539.2-557.6)+(-1.745016+(-1.099968--1.137504))+0-0-0</f>
        <v>835.29251999999997</v>
      </c>
      <c r="G14" s="3">
        <f>855.6+(482.3-565.6)+(0.436356+(0.245973-0.288456))+0-0-0</f>
        <v>772.69387299999994</v>
      </c>
      <c r="H14" s="3">
        <f>810.1+(427.9-494.8)+(-0.826302+(-0.436458--0.504696))+0-0-0</f>
        <v>742.44193600000006</v>
      </c>
      <c r="I14" s="3">
        <f>759.4+(392.1-419.9)+(-0.774588+(-0.399942--0.428298))+0-0-0</f>
        <v>730.85376800000006</v>
      </c>
      <c r="J14" s="3">
        <f>843.6+(389.1-503.8)+(0+(0-0))+0-0-0</f>
        <v>728.90000000000009</v>
      </c>
      <c r="K14" s="3">
        <f>994+(360.7-610.3)+(0+(0-0))+0-0-0</f>
        <v>744.40000000000009</v>
      </c>
      <c r="L14" s="3">
        <f>1027.4+(306.8-557.4)+(-2.095896+(-0.625872--1.137096))+0-0-0</f>
        <v>775.21532800000023</v>
      </c>
      <c r="M14" s="3">
        <f>1123.3+(296.9-603.3)+(-0.572883+(-0.151419--0.307683))+0-0-0</f>
        <v>816.48338100000001</v>
      </c>
      <c r="N14" s="3">
        <f>1277.1+(325.6-698.9)+(0+(0-0))+0-0-0</f>
        <v>903.8</v>
      </c>
      <c r="O14" s="3">
        <f>1284.1+(366.3-670.3)+(0+(0-0))+0-0-0</f>
        <v>980.09999999999991</v>
      </c>
      <c r="P14" s="3">
        <f>1283.8+(399.7-654.6)+(-0.654738+(-0.203847--0.333846))+0-0-0</f>
        <v>1028.3752609999999</v>
      </c>
      <c r="Q14" s="3">
        <f>1282.4+(423.6-657.4)+(-1.962072+(-0.648108--1.005822))+0-0-0</f>
        <v>1046.9956420000001</v>
      </c>
      <c r="R14" s="3">
        <f>1303.3+(435.2-690.3)+(-1.994049+(-0.665856--1.056159))+0-0-0</f>
        <v>1046.596254</v>
      </c>
      <c r="S14" s="3">
        <f>1330.7+(415.9-731.9)+(-2.714628+(-0.848436--1.493076))+0-0-0</f>
        <v>1012.6300120000001</v>
      </c>
      <c r="T14" s="3">
        <f>1333.4+(402.9-756.2)+(-2.040102+(-0.616437--1.156986))+0-0-0</f>
        <v>978.60044700000003</v>
      </c>
      <c r="U14" s="3">
        <f>1356.1+(367.6-759.1)+(-2.766444+(-0.749904--1.548564))+0-0-0</f>
        <v>962.63221599999986</v>
      </c>
      <c r="V14" s="3">
        <f>1355.9+(385.3-771.8)+(-4.149054+(-1.179018--2.361708))+0-0-0</f>
        <v>966.43363600000009</v>
      </c>
      <c r="W14" s="3">
        <f>1372.8+(362.8-734.5)+(-3.50064+(-0.92514--1.872975))+0-0-0</f>
        <v>998.54719499999987</v>
      </c>
      <c r="X14" s="3">
        <f>1416.8+(353.4-722.6)+(-2.167704+(-0.540702--1.105578))+0-0-0</f>
        <v>1045.9971719999999</v>
      </c>
      <c r="Y14" s="3">
        <f>1490.9+(312.6-623.3)+(0+(0-0))+0-0-0</f>
        <v>1180.2000000000003</v>
      </c>
      <c r="Z14" s="3">
        <f>1501.4+(321.1-603.6)+(-3.062856+(-0.655044--1.231344))+0-0-0</f>
        <v>1216.413444</v>
      </c>
      <c r="AA14" s="3">
        <f>1501.4+(353.4-687.9)+(-3.062856+(-0.720936--1.403316))+0-0-0</f>
        <v>1164.519524</v>
      </c>
      <c r="AB14" s="3">
        <f>1497.4+(304.6-691.8)+(-2.291022+(-0.466038--1.058454))+0-0-0</f>
        <v>1108.5013940000003</v>
      </c>
      <c r="AC14" s="3">
        <f>1446.1+(287.2-692.6)+(-2.950044+(-0.585888--1.412904))+0-0-0</f>
        <v>1038.5769719999998</v>
      </c>
      <c r="AD14">
        <v>1226.7</v>
      </c>
      <c r="AE14" s="3">
        <f>1505+(311.9-590.2)+(0+(0-0))+0-0-0</f>
        <v>1226.6999999999998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1193.4+(316.2-557.1)+(-3.04317+(-0.80631--1.420605))+0-0-0</f>
        <v>950.07112500000005</v>
      </c>
      <c r="G15" s="3">
        <f>1012.8+(322.3-447.3)+(-2.58264+(-0.821865--1.140615))+0-0-0</f>
        <v>885.53611000000001</v>
      </c>
      <c r="H15" s="3">
        <f>726.6+(392.4-275.8)+(-1.111698+(-0.600372--0.421974))+0-0-0</f>
        <v>841.9099040000001</v>
      </c>
      <c r="I15" s="3">
        <f>677.1+(370.5-224.3)+(-1.035963+(-0.566865--0.343179))+0-0-0</f>
        <v>822.04035099999999</v>
      </c>
      <c r="J15" s="3">
        <f>676.4+(368.8-227.9)+(-0.689928+(-0.376176--0.232458))+0-0-0</f>
        <v>816.46635399999991</v>
      </c>
      <c r="K15" s="3">
        <f>676.3+(347.4-206.4)+(0.689826+(0.354348-0.210528))+0-0-0</f>
        <v>818.133646</v>
      </c>
      <c r="L15" s="3">
        <f>676.3+(263.5-115.2)+(-0.689826+(-0.26877--0.117504))+0-0-0</f>
        <v>823.75890799999991</v>
      </c>
      <c r="M15" s="3">
        <f>730.6+(306.4-181.2)+(0+(0-0))+0-0-0</f>
        <v>855.8</v>
      </c>
      <c r="N15" s="3">
        <f>858.3+(272.9-203.7)+(-0.437733+(-0.139179--0.103887))+0-0-0</f>
        <v>927.02697499999999</v>
      </c>
      <c r="O15" s="3">
        <f>967.4+(249.9-233.8)+(0.986748+(0.254898-0.238476))+0-0-0</f>
        <v>984.50316999999995</v>
      </c>
      <c r="P15" s="3">
        <f>1057.3+(222.1-244.4)+(-0.539223+(-0.113271--0.124644))+0-0-0</f>
        <v>1034.4721500000001</v>
      </c>
      <c r="Q15" s="3">
        <f>1057.3+(223.1-236.4)+(-0.539223+(-0.113781--0.120564))+0-0-0</f>
        <v>1043.46756</v>
      </c>
      <c r="R15" s="3">
        <f>1056.9+(214.7-235.8)+(-0.539019+(-0.109497--0.120258))+0-0-0</f>
        <v>1035.2717420000001</v>
      </c>
      <c r="S15" s="3">
        <f>1057+(198.1-253.2)+(-2.69535+(-0.505155--0.64566))+0-0-0</f>
        <v>999.34515499999998</v>
      </c>
      <c r="T15" s="3">
        <f>1056.5+(232.4-320.3)+(-2.15526+(-0.474096--0.653412))+0-0-0</f>
        <v>966.624056</v>
      </c>
      <c r="U15" s="3">
        <f>1056.6+(221.9-334.6)+(-1.077732+(-0.226338--0.341292))+0-0-0</f>
        <v>942.93722199999991</v>
      </c>
      <c r="V15" s="3">
        <f>1057+(224.3-319.1)+(-1.61721+(-0.343179--0.488223))+0-0-0</f>
        <v>960.72783400000003</v>
      </c>
      <c r="W15" s="3">
        <f>1056.1+(253.4-330.7)+(0.538611+(0.129234-0.168657))+0-0-0</f>
        <v>979.29918799999996</v>
      </c>
      <c r="X15" s="3">
        <f>1056.3+(250.5-282.6)+(-1.616139+(-0.383265--0.432378))+0-0-0</f>
        <v>1022.6329739999998</v>
      </c>
      <c r="Y15" s="3">
        <f>1057.4+(248.5-140.5)+(-1.078548+(-0.25347--0.14331))+0-0-0</f>
        <v>1164.2112920000002</v>
      </c>
      <c r="Z15" s="3">
        <f>1068.2+(256.6-118.2)+(-2.179128+(-0.523464--0.241128))+0-0-0</f>
        <v>1204.1385360000002</v>
      </c>
      <c r="AA15" s="3">
        <f>1069.6+(249.3-158.3)+(-0.545496+(-0.127143--0.080733))+0-0-0</f>
        <v>1160.0080939999998</v>
      </c>
      <c r="AB15" s="3">
        <f>1070+(251.9-218)+(-2.7285+(-0.642345--0.5559))+0-0-0</f>
        <v>1101.085055</v>
      </c>
      <c r="AC15" s="3">
        <f>1058.3+(219-250.6)+(-0.539733+(-0.11169--0.127806))+0-0-0</f>
        <v>1026.176383</v>
      </c>
      <c r="AD15">
        <v>1221.6999999999998</v>
      </c>
      <c r="AE15" s="3">
        <f>1067+(285.1-130.4)+(0+(0-0))+0-0-0</f>
        <v>1221.7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1029.4+(173.4-277.8)+(-1.574982+(-0.265302--0.425034))+0-0-0</f>
        <v>923.5847500000001</v>
      </c>
      <c r="G16" s="3">
        <f>890.5+(193.7-220.6)+(0+(0-0))+0-0-0</f>
        <v>863.6</v>
      </c>
      <c r="H16" s="3">
        <f>840.9+(195.4-200.3)+(0.428859+(0.099654-0.102153))+0-0-0</f>
        <v>836.42636000000005</v>
      </c>
      <c r="I16" s="3">
        <f>840.9+(202.9-232.9)+(0+(0-0))+0-0-0</f>
        <v>810.9</v>
      </c>
      <c r="J16" s="3">
        <f>840.4+(186.9-219)+(-2.571624+(-0.571914--0.67014))+0-0-0</f>
        <v>805.82660199999998</v>
      </c>
      <c r="K16" s="3">
        <f>840.6+(172.8-199.2)+(0.857412+(0.176256-0.203184))+0-0-0</f>
        <v>815.030484</v>
      </c>
      <c r="L16" s="3">
        <f>840.4+(166.5-181.6)+(-0.428604+(-0.084915--0.092616))+0-0-0</f>
        <v>824.879097</v>
      </c>
      <c r="M16" s="3">
        <f>938.2+(142.8-239.5)+(-0.956964+(-0.145656--0.24429))+0-0-0</f>
        <v>840.64166999999998</v>
      </c>
      <c r="N16" s="3">
        <f>1052.5+(137.9-265.6)+(-0.536775+(-0.070329--0.135456))+0-0-0</f>
        <v>924.328352</v>
      </c>
      <c r="O16" s="3">
        <f>1053.9+(161.4-243)+(0.537489+(0.082314-0.12393))+0-0-0</f>
        <v>972.79587300000003</v>
      </c>
      <c r="P16" s="3">
        <f>1054.2+(174.3-239.8)+(0.537642+(0.088893-0.122298))+0-0-0</f>
        <v>989.20423700000003</v>
      </c>
      <c r="Q16" s="3">
        <f>1053.8+(167-225.8)+(0+(0-0))+0-0-0</f>
        <v>995</v>
      </c>
      <c r="R16" s="3">
        <f>1053.2+(166.4-206.7)+(-1.074264+(-0.169728--0.210834))+0-0-0</f>
        <v>1011.8668420000001</v>
      </c>
      <c r="S16" s="3">
        <f>1052.8+(158.7-229.1)+(-1.073856+(-0.161874--0.233682))+0-0-0</f>
        <v>981.39795200000003</v>
      </c>
      <c r="T16" s="3">
        <f>1052.3+(173.1-263.6)+(-1.073346+(-0.176562--0.268872))+0-0-0</f>
        <v>960.81896399999994</v>
      </c>
      <c r="U16" s="3">
        <f>1051.7+(176.2-280.1)+(0.536367+(0.089862-0.142851))+0-0-0</f>
        <v>948.28337799999997</v>
      </c>
      <c r="V16" s="3">
        <f>1052.3+(175.2-265.8)+(-0.536673+(-0.089352--0.135558))+0-0-0</f>
        <v>961.20953299999996</v>
      </c>
      <c r="W16" s="3">
        <f>1080.6+(167-263.3)+(-1.653318+(-0.25551--0.402849))+0-0-0</f>
        <v>982.79402099999993</v>
      </c>
      <c r="X16" s="3">
        <f>1180.8+(152.1-298.6)+(-1.204416+(-0.155142--0.304572))+0-0-0</f>
        <v>1033.2450139999999</v>
      </c>
      <c r="Y16" s="3">
        <f>1203.8+(218.9-245)+(-0.613938+(-0.111639--0.12495))+0-0-0</f>
        <v>1177.099373</v>
      </c>
      <c r="Z16" s="3">
        <f>1193.6+(255.6-238.3)+(-3.04368+(-0.65178--0.607665))+0-0-0</f>
        <v>1207.8122049999999</v>
      </c>
      <c r="AA16" s="3">
        <f>1096.5+(229-169.8)+(-1.677645+(-0.35037--0.259794))+0-0-0</f>
        <v>1153.931779</v>
      </c>
      <c r="AB16" s="3">
        <f>1078.7+(200.7-188.1)+(-1.650411+(-0.307071--0.287793))+0-0-0</f>
        <v>1089.6303109999999</v>
      </c>
      <c r="AC16" s="3">
        <f>1015.5+(196.6-189.3)+(-2.589525+(-0.50133--0.482715))+0-0-0</f>
        <v>1020.1918599999999</v>
      </c>
      <c r="AD16">
        <v>1228.2</v>
      </c>
      <c r="AE16" s="3">
        <f>1209+(260.9-241.7)+(0+(0-0))+0-0-0</f>
        <v>1228.2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915.5+(225-199.2)+(-0.93381+(-0.2295--0.203184))+0-0-0</f>
        <v>940.33987400000001</v>
      </c>
      <c r="G17" s="3">
        <f>1034.3+(169.9-333.3)+(-4.219944+(-0.693192--1.359864))+0-0-0</f>
        <v>867.34672799999998</v>
      </c>
      <c r="H17" s="3">
        <f>1071.7+(144.5-372.7)+(-1.639701+(-0.221085--0.570231))+0-0-0</f>
        <v>842.20944499999996</v>
      </c>
      <c r="I17" s="3">
        <f>1071.2+(126.5-371.2)+(-1.092624+(-0.12903--0.378624))+0-0-0</f>
        <v>825.65697</v>
      </c>
      <c r="J17" s="3">
        <f>1075.1+(105.8-356.1)+(-2.741505+(-0.26979--0.908055))+0-0-0</f>
        <v>822.69675999999993</v>
      </c>
      <c r="K17" s="3">
        <f>1075.2+(110-343.4)+(0.548352+(0.0561-0.175134))+0-0-0</f>
        <v>842.22931800000003</v>
      </c>
      <c r="L17" s="3">
        <f>1100.4+(102.9-355.3)+(-1.122408+(-0.104958--0.362406))+0-0-0</f>
        <v>847.13504000000012</v>
      </c>
      <c r="M17" s="3">
        <f>1121.4+(93.8-361.1)+(-1.143828+(-0.095676--0.368322))+0-0-0</f>
        <v>853.22881800000016</v>
      </c>
      <c r="N17" s="3">
        <f>1299.6+(91.7-453.8)+(-1.325592+(-0.093534--0.462876))+0-0-0</f>
        <v>936.54374999999993</v>
      </c>
      <c r="O17" s="3">
        <f>1490+(56.2-545.3)+(-0.7599+(-0.028662--0.278103))+0-0-0</f>
        <v>1000.3895410000001</v>
      </c>
      <c r="P17" s="3">
        <f>1570.9+(44.1-587.6)+(0+(0-0))+0-0-0</f>
        <v>1027.4000000000001</v>
      </c>
      <c r="Q17" s="3">
        <f>1646.6+(46.5-655.5)+(-0.839766+(-0.023715--0.334305))+0-0-0</f>
        <v>1037.0708239999999</v>
      </c>
      <c r="R17" s="3">
        <f>1644.8+(37-667.8)+(-0.838848+(-0.01887--0.340578))+0-0-0</f>
        <v>1013.48286</v>
      </c>
      <c r="S17" s="3">
        <f>1647+(28.1-691.6)+(-2.51991+(-0.042993--1.058148))+0-0-0</f>
        <v>981.99524499999995</v>
      </c>
      <c r="T17" s="3">
        <f>1649.2+(30.5-700.5)+(-0.841092+(-0.015555--0.357255))+0-0-0</f>
        <v>978.7006080000001</v>
      </c>
      <c r="U17" s="3">
        <f>1650.9+(31.4-710.8)+(-5.893713+(-0.112098--2.537556))+0-0-0</f>
        <v>968.03174500000011</v>
      </c>
      <c r="V17" s="3">
        <f>1650.4+(8.9-677.9)+(-2.525112+(-0.013617--1.037187))+0-0-0</f>
        <v>979.89845800000012</v>
      </c>
      <c r="W17" s="3">
        <f>1654.2+(13.5-669.1)+(-5.061852+(-0.04131--2.047446))+0-0-0</f>
        <v>995.54428400000006</v>
      </c>
      <c r="X17" s="3">
        <f>1665.3+(17.5-674.8)+(-2.547909+(-0.026775--1.032444))+0-0-0</f>
        <v>1006.45776</v>
      </c>
      <c r="Y17" s="3">
        <f>1854.3+(46.6-755.3)+(-1.891386+(-0.047532--0.770406))+0-0-0</f>
        <v>1144.4314879999999</v>
      </c>
      <c r="Z17" s="3">
        <f>1869.4+(94.2-722.7)+(-3.813576+(-0.192168--1.474308))+0-0-0</f>
        <v>1238.3685640000001</v>
      </c>
      <c r="AA17" s="3">
        <f>1795.7+(52-657.4)+(-3.663228+(-0.10608--1.341096))+0-0-0</f>
        <v>1187.8717880000002</v>
      </c>
      <c r="AB17" s="3">
        <f>1612.2+(58.3-561.2)+(-1.644444+(-0.059466--0.572424))+0-0-0</f>
        <v>1108.168514</v>
      </c>
      <c r="AC17" s="3">
        <f>1567.9+(47.3-572.3)+(-1.599258+(-0.048246--0.583746))+0-0-0</f>
        <v>1041.8362420000001</v>
      </c>
      <c r="AD17">
        <v>1248.5</v>
      </c>
      <c r="AE17" s="3">
        <f>1869+(108.8-729.3)+(0+(0-0))+0-0-0</f>
        <v>1248.5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1448.2+(54.1-515)+(-3.69291+(-0.137955--1.31325))+0-0-0</f>
        <v>984.78238500000009</v>
      </c>
      <c r="G18" s="3">
        <f>1373.9+(48.7-500.5)+(-2.102067+(-0.074511--0.765765))+0-0-0</f>
        <v>920.68918700000017</v>
      </c>
      <c r="H18" s="3">
        <f>1303.4+(58.3-477)+(0+(0-0))+0-0-0</f>
        <v>884.7</v>
      </c>
      <c r="I18" s="3">
        <f>1305.9+(50-486.7)+(-1.998027+(-0.0765--0.744651))+0-0-0</f>
        <v>867.87012400000003</v>
      </c>
      <c r="J18" s="3">
        <f>1308.5+(52-491.3)+(-4.00401+(-0.15912--1.503378))+0-0-0</f>
        <v>866.54024800000002</v>
      </c>
      <c r="K18" s="3">
        <f>1308.2+(57.3-490.2)+(-1.334364+(-0.058446--0.500004))+0-0-0</f>
        <v>874.40719400000012</v>
      </c>
      <c r="L18" s="3">
        <f>1308.2+(60.3-481.8)+(-2.668728+(-0.123012--0.982872))+0-0-0</f>
        <v>884.89113200000008</v>
      </c>
      <c r="M18" s="3">
        <f>1386.8+(59.2-516.4)+(0+(0-0))+0-0-0</f>
        <v>929.59999999999991</v>
      </c>
      <c r="N18" s="3">
        <f>1508.1+(32.4-559.4)+(-1.538262+(-0.033048--0.570588))+0-0-0</f>
        <v>980.09927799999991</v>
      </c>
      <c r="O18" s="3">
        <f>1608.2+(29-594.4)+(0+(0-0))+0-0-0</f>
        <v>1042.8000000000002</v>
      </c>
      <c r="P18" s="3">
        <f>1684.3+(29.1-631.7)+(0.858993+(0.014841-0.322167))+0-0-0</f>
        <v>1082.2516669999998</v>
      </c>
      <c r="Q18" s="3">
        <f>1686.4+(19.5-618.7)+(-2.580192+(-0.029835--0.946611))+0-0-0</f>
        <v>1085.5365839999999</v>
      </c>
      <c r="R18" s="3">
        <f>1685.5+(24.5-633.2)+(-1.71921+(-0.02499--0.645864))+0-0-0</f>
        <v>1075.7016639999999</v>
      </c>
      <c r="S18" s="3">
        <f>1612.1+(21.1-607.4)+(-1.644342+(-0.021522--0.619548))+0-0-0</f>
        <v>1024.753684</v>
      </c>
      <c r="T18" s="3">
        <f>1475.4+(33.7-531.5)+(0+(0-0))+0-0-0</f>
        <v>977.60000000000014</v>
      </c>
      <c r="U18" s="3">
        <f>1471+(35.5-553.2)+(-3.00084+(-0.07242--1.128528))+0-0-0</f>
        <v>951.35526799999991</v>
      </c>
      <c r="V18" s="3">
        <f>1475.9+(34.4-547.3)+(-1.505418+(-0.035088--0.558246))+0-0-0</f>
        <v>962.01774000000012</v>
      </c>
      <c r="W18" s="3">
        <f>1472.5+(35.2-531.9)+(-2.252925+(-0.053856--0.813807))+0-0-0</f>
        <v>974.30702599999995</v>
      </c>
      <c r="X18" s="3">
        <f>1470+(66.7-543.2)+(-2.9988+(-0.136068--1.108128))+0-0-0</f>
        <v>991.47325999999998</v>
      </c>
      <c r="Y18" s="3">
        <f>1612.3+(112.3-559.6)+(-0.822273+(-0.057273--0.285396))+0-0-0</f>
        <v>1164.4058500000001</v>
      </c>
      <c r="Z18" s="3">
        <f>1717.6+(105.2-581.8)+(0.875976+(0.053652-0.296718))+0-0-0</f>
        <v>1241.63291</v>
      </c>
      <c r="AA18" s="3">
        <f>1714.6+(80.9-610.8)+(-3.497784+(-0.165036--1.246032))+0-0-0</f>
        <v>1182.2832119999998</v>
      </c>
      <c r="AB18" s="3">
        <f>1712+(58.6-641.9)+(-3.49248+(-0.119544--1.309476))+0-0-0</f>
        <v>1126.3974520000002</v>
      </c>
      <c r="AC18" s="3">
        <f>1695.3+(74.7-702.9)+(-1.729206+(-0.076194--0.716958))+0-0-0</f>
        <v>1066.0115579999999</v>
      </c>
      <c r="AD18">
        <v>1240.9000000000001</v>
      </c>
      <c r="AE18" s="3">
        <f>1719+(107.7-585.8)+(0+(0-0))+0-0-0</f>
        <v>1240.9000000000001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1623+(80.2-682)+(-1.65546+(-0.081804--0.69564))+0-0-0</f>
        <v>1020.1583760000001</v>
      </c>
      <c r="G19" s="3">
        <f>1353+(137.2-531.3)+(-0.69003+(-0.069972--0.270963))+0-0-0</f>
        <v>958.41096100000004</v>
      </c>
      <c r="H19" s="3">
        <f>1241+(164.2-507.9)+(-1.89873+(-0.251226--0.777087))+0-0-0</f>
        <v>895.92713099999992</v>
      </c>
      <c r="I19" s="3">
        <f>1243+(122.3-495.2)+(0+(0-0))+0-0-0</f>
        <v>870.1</v>
      </c>
      <c r="J19" s="3">
        <f>1243+(106-490.3)+(-1.90179+(-0.16218--0.750159))+0-0-0</f>
        <v>857.38618900000006</v>
      </c>
      <c r="K19" s="3">
        <f>1243+(108.8-496.3)+(0.63393+(0.055488-0.253113))+0-0-0</f>
        <v>855.93630499999995</v>
      </c>
      <c r="L19" s="3">
        <f>1236+(115.4-527.5)+(-1.89108+(-0.176562--0.807075))+0-0-0</f>
        <v>822.63943299999994</v>
      </c>
      <c r="M19" s="3">
        <f>1255.3+(81-538.3)+(-2.560812+(-0.16524--1.098132))+0-0-0</f>
        <v>796.37207999999998</v>
      </c>
      <c r="N19" s="3">
        <f>1191.4+(62.5-453.7)+(-3.03807+(-0.159375--1.156935))+0-0-0</f>
        <v>798.15949000000001</v>
      </c>
      <c r="O19" s="3">
        <f>1174+(58.8-365.4)+(-0.59874+(-0.029988--0.186354))+0-0-0</f>
        <v>866.95762600000012</v>
      </c>
      <c r="P19" s="3">
        <f>1236+(50.9-374)+(-1.26072+(-0.051918--0.38148))+0-0-0</f>
        <v>911.968842</v>
      </c>
      <c r="Q19" s="3">
        <f>1259+(40.4-363.4)+(-0.64209+(-0.020604--0.185334))+0-0-0</f>
        <v>935.52264000000002</v>
      </c>
      <c r="R19" s="3">
        <f>1259+(17.8-359.7)+(-1.92627+(-0.027234--0.550341))+0-0-0</f>
        <v>915.69683700000007</v>
      </c>
      <c r="S19" s="3">
        <f>1259+(13.8-382)+(-3.85254+(-0.042228--1.16892))+0-0-0</f>
        <v>888.07415199999991</v>
      </c>
      <c r="T19" s="3">
        <f>1259.7+(20.9-409.3)+(-1.284894+(-0.021318--0.417486))+0-0-0</f>
        <v>870.41127399999993</v>
      </c>
      <c r="U19" s="3">
        <f>1259.8+(13.1-417.5)+(-3.854988+(-0.040086--1.27755))+0-0-0</f>
        <v>852.78247599999997</v>
      </c>
      <c r="V19" s="3">
        <f>1209.6+(74.2-436.1)+(-1.850688+(-0.113526--0.667233))+0-0-0</f>
        <v>846.40301899999986</v>
      </c>
      <c r="W19" s="3">
        <f>1180.7+(108-432.6)+(-0.602157+(-0.05508--0.220626))+0-0-0</f>
        <v>855.66338900000005</v>
      </c>
      <c r="X19" s="3">
        <f>1183.8+(102.7-403.1)+(0+(0-0))+0-0-0</f>
        <v>883.39999999999986</v>
      </c>
      <c r="Y19" s="3">
        <f>1249.6+(116.2-334.8)+(-0.637296+(-0.059262--0.170748))+0-0-0</f>
        <v>1030.4741899999999</v>
      </c>
      <c r="Z19" s="3">
        <f>1278.1+(138.3-268.4)+(-1.955493+(-0.211599--0.410652))+0-0-0</f>
        <v>1146.2435599999999</v>
      </c>
      <c r="AA19" s="3">
        <f>1277+(141.3-298.8)+(-0.65127+(-0.072063--0.152388))+0-0-0</f>
        <v>1118.9290550000001</v>
      </c>
      <c r="AB19" s="3">
        <f>1271.6+(159.1-350.4)+(-2.594064+(-0.324564--0.714816))+0-0-0</f>
        <v>1078.096188</v>
      </c>
      <c r="AC19" s="3">
        <f>1164+(192.9-373.7)+(-0.59364+(-0.098379--0.190587))+0-0-0</f>
        <v>982.69856800000002</v>
      </c>
      <c r="AD19">
        <v>1168.8</v>
      </c>
      <c r="AE19" s="3">
        <f>1280+(162.6-273.8)+(0+(0-0))+0-0-0</f>
        <v>1168.8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1126+(215.1-423.7)+(-2.8713+(-0.548505--1.080435))+0-0-0</f>
        <v>915.06062999999995</v>
      </c>
      <c r="G20" s="3">
        <f>918+(237.9-312.8)+(-1.40454+(-0.363987--0.478584))+0-0-0</f>
        <v>841.81005700000003</v>
      </c>
      <c r="H20" s="3">
        <f>875+(222.7-279.5)+(0.8925+(0.227154-0.28509))+0-0-0</f>
        <v>819.03456400000005</v>
      </c>
      <c r="I20" s="3">
        <f>870+(210.9-285.6)+(0+(0-0))+0-0-0</f>
        <v>795.3</v>
      </c>
      <c r="J20" s="3">
        <f>880+(196.3-276.6)+(-0.8976+(-0.200226--0.282132))+0-0-0</f>
        <v>798.88430600000004</v>
      </c>
      <c r="K20" s="3">
        <f>985+(149.7-321.1)+(-1.50705+(-0.229041--0.491283))+0-0-0</f>
        <v>812.35519199999987</v>
      </c>
      <c r="L20" s="3">
        <f>1062+(165.7-410.6)+(-2.16648+(-0.338028--0.837624))+0-0-0</f>
        <v>815.43311599999993</v>
      </c>
      <c r="M20" s="3">
        <f>1120+(178.8-443.7)+(0+(0-0))+0-0-0</f>
        <v>855.1</v>
      </c>
      <c r="N20" s="3">
        <f>1388.4+(191.9-632.8)+(0+(0-0))+0-0-0</f>
        <v>947.50000000000011</v>
      </c>
      <c r="O20" s="3">
        <f>1495.6+(117.6-617)+(0+(0-0))+0-0-0</f>
        <v>996.19999999999993</v>
      </c>
      <c r="P20" s="3">
        <f>1651.7+(78-700.6)+(0+(0-0))+0-0-0</f>
        <v>1029.0999999999999</v>
      </c>
      <c r="Q20" s="3">
        <f>1656.3+(48.2-669.2)+(-3.378852+(-0.098328--1.365168))+0-0-0</f>
        <v>1033.1879879999999</v>
      </c>
      <c r="R20" s="3">
        <f>1644+(86.9-705.8)+(-0.83844+(-0.044319--0.359958))+0-0-0</f>
        <v>1024.5771989999998</v>
      </c>
      <c r="S20" s="3">
        <f>1638+(98-732.7)+(-1.67076+(-0.09996--0.747354))+0-0-0</f>
        <v>1002.2766339999999</v>
      </c>
      <c r="T20" s="3">
        <f>1639+(126.6-785.2)+(-1.67178+(-0.129132--0.800904))+0-0-0</f>
        <v>979.399992</v>
      </c>
      <c r="U20" s="3">
        <f>1638+(117.8-799)+(0+(0-0))+0-0-0</f>
        <v>956.8</v>
      </c>
      <c r="V20" s="3">
        <f>1637+(99.5-774.1)+(-0.83487+(-0.050745--0.394791))+0-0-0</f>
        <v>961.909176</v>
      </c>
      <c r="W20" s="3">
        <f>1639+(88.8-754)+(-5.01534+(-0.271728--2.30724))+0-0-0</f>
        <v>970.82017199999996</v>
      </c>
      <c r="X20" s="3">
        <f>1643+(19.5-671.5)+(-3.35172+(-0.03978--1.36986))+0-0-0</f>
        <v>988.97835999999995</v>
      </c>
      <c r="Y20" s="3">
        <f>1641+(51.8-579.9)+(1.67382+(0.052836-0.591498))+0-0-0</f>
        <v>1114.0351580000001</v>
      </c>
      <c r="Z20" s="3">
        <f>1669+(80.2-536.1)+(0+(0-0))+0-0-0</f>
        <v>1213.0999999999999</v>
      </c>
      <c r="AA20" s="3">
        <f>1677+(86.2-589.6)+(-4.27635+(-0.21981--1.50348))+0-0-0</f>
        <v>1170.6073199999998</v>
      </c>
      <c r="AB20" s="3">
        <f>1664+(124.8-689.5)+(-0.84864+(-0.063648--0.351645))+0-0-0</f>
        <v>1098.7393569999999</v>
      </c>
      <c r="AC20" s="3">
        <f>1661+(159.3-781.5)+(-1.69422+(-0.162486--0.79713))+0-0-0</f>
        <v>1037.7404239999998</v>
      </c>
      <c r="AD20">
        <v>1265.6999999999998</v>
      </c>
      <c r="AE20" s="3">
        <f>1688+(111.6-533.9)+(0+(0-0))+0-0-0</f>
        <v>1265.7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1666+(197.8-900.7)+(-1.69932+(-0.201756--0.918714))+0-0-0</f>
        <v>962.11763799999994</v>
      </c>
      <c r="G21" s="3">
        <f>1534+(187.7-807)+(0+(0-0))+0-0-0</f>
        <v>914.7</v>
      </c>
      <c r="H21" s="3">
        <f>1274.9+(133.9-547.2)+(-2.600796+(-0.273156--1.116288))+0-0-0</f>
        <v>859.84233600000005</v>
      </c>
      <c r="I21" s="3">
        <f>1189+(141.4-488.9)+(-2.42556+(-0.288456--0.997356))+0-0-0</f>
        <v>839.78333999999995</v>
      </c>
      <c r="J21" s="3">
        <f>1192+(144.4-518.7)+(-1.82376+(-0.220932--0.793611))+0-0-0</f>
        <v>816.44891899999993</v>
      </c>
      <c r="K21" s="3">
        <f>1194+(138.6-495)+(-1.82682+(-0.212058--0.75735))+0-0-0</f>
        <v>836.31847200000004</v>
      </c>
      <c r="L21" s="3">
        <f>1194+(146.8-515.4)+(-0.60894+(-0.074868--0.262854))+0-0-0</f>
        <v>824.97904600000004</v>
      </c>
      <c r="M21" s="3">
        <f>1229+(127.3-494.4)+(0+(0-0))+0-0-0</f>
        <v>861.90000000000009</v>
      </c>
      <c r="N21" s="3">
        <f>1387+(166.9-620.3)+(-0.70737+(-0.085119--0.316353))+0-0-0</f>
        <v>933.12386400000003</v>
      </c>
      <c r="O21" s="3">
        <f>1506.8+(150.3-666.1)+(-1.536936+(-0.153306--0.679422))+0-0-0</f>
        <v>989.98918000000003</v>
      </c>
      <c r="P21" s="3">
        <f>1508.7+(85.6-575)+(-0.769437+(-0.043656--0.29325))+0-0-0</f>
        <v>1018.780157</v>
      </c>
      <c r="Q21" s="3">
        <f>1582.7+(96.3-641.2)+(0+(0-0))+0-0-0</f>
        <v>1037.8</v>
      </c>
      <c r="R21" s="3">
        <f>1603+(101-676.9)+(0+(0-0))+0-0-0</f>
        <v>1027.0999999999999</v>
      </c>
      <c r="S21" s="3">
        <f>1604+(97.8-708.1)+(-1.63608+(-0.099756--0.722262))+0-0-0</f>
        <v>992.68642599999998</v>
      </c>
      <c r="T21" s="3">
        <f>1613+(94.5-739.9)+(0+(0-0))+0-0-0</f>
        <v>967.6</v>
      </c>
      <c r="U21" s="3">
        <f>1658+(76-774.9)+(0+(0-0))+0-0-0</f>
        <v>959.1</v>
      </c>
      <c r="V21" s="3">
        <f>1715.2+(57.9-797.6)+(-2.624256+(-0.088587--1.220328))+0-0-0</f>
        <v>974.00748499999997</v>
      </c>
      <c r="W21" s="3">
        <f>1671.3+(68-752.5)+(-2.557089+(-0.10404--1.151325))+0-0-0</f>
        <v>985.29019599999992</v>
      </c>
      <c r="X21" s="3">
        <f>1660+(54.8-736.3)+(-3.3864+(-0.111792--1.502052))+0-0-0</f>
        <v>976.50386000000003</v>
      </c>
      <c r="Y21" s="3">
        <f>1681+(43.4-609.4)+(0+(0-0))+0-0-0</f>
        <v>1115</v>
      </c>
      <c r="Z21" s="3">
        <f>1687+(80.5-524.5)+(-3.44148+(-0.16422--1.06998))+0-0-0</f>
        <v>1240.4642799999999</v>
      </c>
      <c r="AA21" s="3">
        <f>1685+(88.7-569.8)+(-2.57805+(-0.135711--0.871794))+0-0-0</f>
        <v>1202.058033</v>
      </c>
      <c r="AB21" s="3">
        <f>1686+(104.3-648.7)+(-2.57958+(-0.159579--0.992511))+0-0-0</f>
        <v>1139.8533519999999</v>
      </c>
      <c r="AC21" s="3">
        <f>1681+(102.7-725.6)+(-2.57193+(-0.157131--1.110168))+0-0-0</f>
        <v>1056.4811069999998</v>
      </c>
      <c r="AD21">
        <v>1278.4000000000001</v>
      </c>
      <c r="AE21" s="3">
        <f>1692+(113.4-527)+(0+(0-0))+0-0-0</f>
        <v>1278.4000000000001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1690.3+(144.8-826.8)+(-1.724106+(-0.147696--0.843336))+0-0-0</f>
        <v>1007.271534</v>
      </c>
      <c r="G22" s="3">
        <f>1640.4+(173.1-877.7)+(0+(0-0))+0-0-0</f>
        <v>935.80000000000007</v>
      </c>
      <c r="H22" s="3">
        <f>1480.8+(200-786.6)+(-2.265624+(-0.306--1.203498))+0-0-0</f>
        <v>892.83187399999997</v>
      </c>
      <c r="I22" s="3">
        <f>1300.9+(191.3-629.6)+(-1.326918+(-0.195126--0.642192))+0-0-0</f>
        <v>861.72014800000011</v>
      </c>
      <c r="J22" s="3">
        <f>1298.3+(188.3-621.6)+(0.662133+(0.096033-0.317016))+0-0-0</f>
        <v>865.44114999999999</v>
      </c>
      <c r="K22" s="3">
        <f>1297.9+(156.8-572.7)+(-1.323858+(-0.159936--0.584154))+0-0-0</f>
        <v>881.10036000000002</v>
      </c>
      <c r="L22" s="3">
        <f>1299+(162.6-590)+(-1.98747+(-0.248778--0.9027))+0-0-0</f>
        <v>870.26645200000007</v>
      </c>
      <c r="M22" s="3">
        <f>1361.6+(204.2-675.7)+(0+(0-0))+0-0-0</f>
        <v>890.09999999999991</v>
      </c>
      <c r="N22" s="3">
        <f>1609.1+(222.7-859.3)+(3.282564+(0.454308-1.752972))+0-0-0</f>
        <v>974.48389999999995</v>
      </c>
      <c r="O22" s="3">
        <f>1673.8+(247.8-899.2)+(0.853638+(0.126378-0.458592))+0-0-0</f>
        <v>1022.9214239999999</v>
      </c>
      <c r="P22" s="3">
        <f>1677.2+(258.6-881.3)+(0+(0-0))+0-0-0</f>
        <v>1054.5</v>
      </c>
      <c r="Q22" s="3">
        <f>1684+(250.7-862.5)+(0+(0-0))+0-0-0</f>
        <v>1072.2</v>
      </c>
      <c r="R22" s="3">
        <f>1675+(230.7-846.7)+(-3.417+(-0.470628--1.727268))+0-0-0</f>
        <v>1056.8396399999999</v>
      </c>
      <c r="S22" s="3">
        <f>1674+(224.4-864)+(-1.70748+(-0.228888--0.88128))+0-0-0</f>
        <v>1033.344912</v>
      </c>
      <c r="T22" s="3">
        <f>1674+(241.9-906.7)+(0+(0-0))+0-0-0</f>
        <v>1009.1999999999999</v>
      </c>
      <c r="U22" s="3">
        <f>1676+(253.6-943.3)+(-1.70952+(-0.258672--0.962166))+0-0-0</f>
        <v>985.29397400000005</v>
      </c>
      <c r="V22" s="3">
        <f>1681+(252.1-944.6)+(-1.71462+(-0.257142--0.963492))+0-0-0</f>
        <v>987.49172999999996</v>
      </c>
      <c r="W22" s="3">
        <f>1670+(235.9-922)+(0+(0-0))+0-0-0</f>
        <v>983.9</v>
      </c>
      <c r="X22" s="3">
        <f>1676+(199.6-857.6)+(-0.85476+(-0.101796--0.437376))+0-0-0</f>
        <v>1017.48082</v>
      </c>
      <c r="Y22" s="3">
        <f>1697+(139.9-683.7)+(-0.86547+(-0.071349--0.348687))+0-0-0</f>
        <v>1152.6118679999997</v>
      </c>
      <c r="Z22" s="3">
        <f>1697+(162.8-596.3)+(-3.46188+(-0.332112--1.216452))+0-0-0</f>
        <v>1260.92246</v>
      </c>
      <c r="AA22" s="3">
        <f>1700+(196.8-668)+(-3.468+(-0.401472--1.36272))+0-0-0</f>
        <v>1226.2932479999999</v>
      </c>
      <c r="AB22" s="3">
        <f>1636+(248.8-746.2)+(-2.50308+(-0.380664--1.141686))+0-0-0</f>
        <v>1136.8579419999999</v>
      </c>
      <c r="AC22" s="3">
        <f>1525+(238.2-684.8)+(-3.111+(-0.485928--1.396992))+0-0-0</f>
        <v>1076.2000640000001</v>
      </c>
      <c r="AD22">
        <v>1274.8999999999999</v>
      </c>
      <c r="AE22" s="3">
        <f>1703+(154.1-582.2)+(0+(0-0))+0-0-0</f>
        <v>1274.9000000000001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1508+(225.6-773.1)+(-2.30724+(-0.345168--1.182843))+0-0-0</f>
        <v>959.03043500000001</v>
      </c>
      <c r="G23" s="3">
        <f>1513+(247.7-853.4)+(-3.85815+(-0.631635--2.17617))+0-0-0</f>
        <v>904.98638499999993</v>
      </c>
      <c r="H23" s="3">
        <f>1526+(257.4-812.4)+(-0.77826+(-0.131274--0.414324))+0-0-0</f>
        <v>970.50478999999996</v>
      </c>
      <c r="I23" s="3">
        <f>1289+(231.3-680.4)+(-2.62956+(-0.471852--1.388016))+0-0-0</f>
        <v>838.1866040000001</v>
      </c>
      <c r="J23" s="3">
        <f>1194+(210.6-563.6)+(-2.43576+(-0.429624--1.149744))+0-0-0</f>
        <v>839.28435999999999</v>
      </c>
      <c r="K23" s="3">
        <f>1193+(211.3-557.5)+(0.60843+(0.107763-0.284325))+0-0-0</f>
        <v>847.23186799999996</v>
      </c>
      <c r="L23" s="3">
        <f>1233+(216.1-566.5)+(-2.51532+(-0.440844--1.15566))+0-0-0</f>
        <v>880.79949599999998</v>
      </c>
      <c r="M23" s="3">
        <f>1362+(210.8-630.6)+(-1.38924+(-0.215016--0.643212))+0-0-0</f>
        <v>941.23895600000003</v>
      </c>
      <c r="N23" s="3">
        <f>1550+(231.2-817.1)+(0+(0-0))+0-0-0</f>
        <v>964.09999999999991</v>
      </c>
      <c r="O23" s="3">
        <f>1688+(231.6-908.5)+(0.86088+(0.118116-0.463335))+0-0-0</f>
        <v>1011.615661</v>
      </c>
      <c r="P23" s="3">
        <f>1679+(209.8-871.5)+(0.85629+(0.106998-0.444465))+0-0-0</f>
        <v>1017.818823</v>
      </c>
      <c r="Q23" s="3">
        <f>1696+(210.1-866.2)+(-0.86496+(-0.107151--0.441762))+0-0-0</f>
        <v>1039.3696510000002</v>
      </c>
      <c r="R23" s="3">
        <f>1701+(248.3-902.3)+(-0.86751+(-0.126633--0.460173))+0-0-0</f>
        <v>1046.46603</v>
      </c>
      <c r="S23" s="3">
        <f>1701+(245.6-923.2)+(-4.33755+(-0.62628--2.35416))+0-0-0</f>
        <v>1020.7903299999999</v>
      </c>
      <c r="T23" s="3">
        <f>1701+(250.3-951.4)+(-1.73502+(-0.255306--0.970428))+0-0-0</f>
        <v>998.88010200000008</v>
      </c>
      <c r="U23" s="3">
        <f>1701+(227.2-937.6)+(-1.73502+(-0.231744--0.956352))+0-0-0</f>
        <v>989.58958799999994</v>
      </c>
      <c r="V23" s="3">
        <f>1701+(236.6-938.1)+(0+(0-0))+0-0-0</f>
        <v>999.5</v>
      </c>
      <c r="W23" s="3">
        <f>1701+(205.8-900.1)+(-4.33755+(-0.52479--2.295255))+0-0-0</f>
        <v>1004.132915</v>
      </c>
      <c r="X23" s="3">
        <f>1701+(168.1-851.3)+(-3.47004+(-0.342924--1.736652))+0-0-0</f>
        <v>1015.723688</v>
      </c>
      <c r="Y23" s="3">
        <f>1701+(167.6-758.5)+(0.86751+(0.085476-0.386835))+0-0-0</f>
        <v>1110.6661509999999</v>
      </c>
      <c r="Z23" s="3">
        <f>1701+(174.7-623)+(-2.60253+(-0.267291--0.95319))+0-0-0</f>
        <v>1250.783369</v>
      </c>
      <c r="AA23" s="3">
        <f>1701+(196.6-689.1)+(-4.33755+(-0.50133--1.757205))+0-0-0</f>
        <v>1205.4183250000001</v>
      </c>
      <c r="AB23" s="3">
        <f>1701+(224.8-782.3)+(-4.33755+(-0.57324--1.994865))+0-0-0</f>
        <v>1140.584075</v>
      </c>
      <c r="AC23" s="3">
        <f>1701+(224.9-856.8)+(-1.73502+(-0.229398--0.873936))+0-0-0</f>
        <v>1068.0095179999998</v>
      </c>
      <c r="AD23">
        <v>1288.5999999999999</v>
      </c>
      <c r="AE23" s="3">
        <f>1710+(199.2-620.6)+(0+(0-0))+0-0-0</f>
        <v>1288.5999999999999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1605+(183.8-804.6)+(0+(0-0))+0-0-0</f>
        <v>984.2</v>
      </c>
      <c r="G24" s="3">
        <f>1189+(245-539.3)+(1.21278+(0.2499-0.550086))+0-0-0</f>
        <v>895.61259400000006</v>
      </c>
      <c r="H24" s="3">
        <f>1099+(266.5-499.4)+(-1.68147+(-0.407745--0.764082))+0-0-0</f>
        <v>864.77486699999997</v>
      </c>
      <c r="I24" s="3">
        <f>1106+(265.8-528)+(-1.12812+(-0.271116--0.53856))+0-0-0</f>
        <v>842.93932399999994</v>
      </c>
      <c r="J24" s="3">
        <f>1102+(233-505.5)+(-2.24808+(-0.47532--1.03122))+0-0-0</f>
        <v>827.80781999999999</v>
      </c>
      <c r="K24" s="3">
        <f>1101+(229.8-505.3)+(0+(0-0))+0-0-0</f>
        <v>825.5</v>
      </c>
      <c r="L24" s="3">
        <f>1100+(223.2-481.9)+(-0.561+(-0.113832--0.245769))+0-0-0</f>
        <v>840.87093699999991</v>
      </c>
      <c r="M24" s="3">
        <f>1198+(220.9-545)+(0+(0-0))+0-0-0</f>
        <v>873.9</v>
      </c>
      <c r="N24" s="3">
        <f>1452+(239.1-723.2)+(-0.74052+(-0.121941--0.368832))+0-0-0</f>
        <v>967.40637099999992</v>
      </c>
      <c r="O24" s="3">
        <f>1661+(240-889.7)+(-0.84711+(-0.1224--0.453747))+0-0-0</f>
        <v>1010.784237</v>
      </c>
      <c r="P24" s="3">
        <f>1666+(238.5-862.9)+(-1.69932+(-0.24327--0.880158))+0-0-0</f>
        <v>1040.537568</v>
      </c>
      <c r="Q24" s="3">
        <f>1664+(201.2-812.4)+(-1.69728+(-0.205224--0.828648))+0-0-0</f>
        <v>1051.726144</v>
      </c>
      <c r="R24" s="3">
        <f>1663+(189.9-793.3)+(-1.69626+(-0.193698--0.809166))+0-0-0</f>
        <v>1058.5192079999999</v>
      </c>
      <c r="S24" s="3">
        <f>1672+(190.7-908.5)+(-1.70544+(-0.194514--0.92667))+0-0-0</f>
        <v>953.22671600000001</v>
      </c>
      <c r="T24" s="3">
        <f>1671+(230.3-965.6)+(0+(0-0))+0-0-0</f>
        <v>935.7</v>
      </c>
      <c r="U24" s="3">
        <f>1618+(244.2-913.1)+(-1.65036+(-0.249084--0.931362))+0-0-0</f>
        <v>948.13191799999993</v>
      </c>
      <c r="V24" s="3">
        <f>1570+(226.9-820.9)+(2.4021+(0.347157-1.255977))+0-0-0</f>
        <v>977.49328000000003</v>
      </c>
      <c r="W24" s="3">
        <f>1580+(176.1-745)+(-3.2232+(-0.359244--1.5198))+0-0-0</f>
        <v>1009.037356</v>
      </c>
      <c r="X24" s="3">
        <f>1581.9+(142.1-677.4)+(0.806769+(0.072471-0.345474))+0-0-0</f>
        <v>1047.1337660000002</v>
      </c>
      <c r="Y24" s="3">
        <f>1585.5+(167.4-580.1)+(0.808605+(0.085374-0.295851))+0-0-0</f>
        <v>1173.398128</v>
      </c>
      <c r="Z24" s="3">
        <f>1587+(190.3-501.9)+(-3.23748+(-0.388212--1.023876))+0-0-0</f>
        <v>1272.798184</v>
      </c>
      <c r="AA24" s="3">
        <f>1587+(214.6-580)+(-4.85622+(-0.656676--1.7748))+0-0-0</f>
        <v>1217.8619039999999</v>
      </c>
      <c r="AB24" s="3">
        <f>1586.7+(259.5-695.3)+(-3.236868+(-0.52938--1.418412))+0-0-0</f>
        <v>1148.5521640000002</v>
      </c>
      <c r="AC24" s="3">
        <f>1574+(231.8-731)+(-3.21096+(-0.472872--1.49124))+0-0-0</f>
        <v>1072.6074079999999</v>
      </c>
      <c r="AD24">
        <v>1282.8</v>
      </c>
      <c r="AE24" s="3">
        <f>1598+(176.6-491.8)+(0+(0-0))+0-0-0</f>
        <v>1282.8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1427.6+(227.3-688.1)+(-0.728076+(-0.115923--0.350931))+0-0-0</f>
        <v>966.30693199999996</v>
      </c>
      <c r="G25" s="3">
        <f>1258.9+(225.7-587.5)+(-2.568156+(-0.460428--1.1985))+0-0-0</f>
        <v>895.26991600000008</v>
      </c>
      <c r="H25" s="3">
        <f>1119.8+(252.8-504.9)+(-1.142196+(-0.257856--0.514998))+0-0-0</f>
        <v>866.81494600000008</v>
      </c>
      <c r="I25" s="3">
        <f>1118.6+(238-508.4)+(0.570486+(0.12138-0.259284))+0-0-0</f>
        <v>848.63258199999996</v>
      </c>
      <c r="J25" s="3">
        <f>1119+(251.7-525.6)+(1.14138+(0.256734-0.536112))+0-0-0</f>
        <v>845.96200199999987</v>
      </c>
      <c r="K25" s="3">
        <f>1128.3+(254.6-535.2)+(-0.575433+(-0.129846--0.272952))+0-0-0</f>
        <v>847.26767299999995</v>
      </c>
      <c r="L25" s="3">
        <f>1216.5+(208.4-565.9)+(-1.861245+(-0.318852--0.865827))+0-0-0</f>
        <v>857.68573000000004</v>
      </c>
      <c r="M25" s="3">
        <f>1266.1+(212.7-599.7)+(0+(0-0))+0-0-0</f>
        <v>879.09999999999991</v>
      </c>
      <c r="N25" s="3">
        <f>1549.7+(227.7-802.2)+(0+(0-0))+0-0-0</f>
        <v>975.2</v>
      </c>
      <c r="O25" s="3">
        <f>1722.6+(194.1-862.4)+(-0.878526+(-0.098991--0.439824))+0-0-0</f>
        <v>1053.762307</v>
      </c>
      <c r="P25" s="3">
        <f>1781.1+(182.4-886.9)+(2.725083+(0.279072-1.356957))+0-0-0</f>
        <v>1078.2471979999998</v>
      </c>
      <c r="Q25" s="3">
        <f>1766.5+(145-819.7)+(-5.40549+(-0.4437--2.508282))+0-0-0</f>
        <v>1088.4590920000001</v>
      </c>
      <c r="R25" s="3">
        <f>1794.8+(95.5-791.1)+(-4.57674+(-0.243525--2.017305))+0-0-0</f>
        <v>1096.3970399999998</v>
      </c>
      <c r="S25" s="3">
        <f>1840.1+(31.8-810.7)+(-0.938451+(-0.016218--0.413457))+0-0-0</f>
        <v>1060.6587879999997</v>
      </c>
      <c r="T25" s="3">
        <f>1762.6+(1.4-728.3)+(0.898926+(0.000714-0.371433))+0-0-0</f>
        <v>1036.2282069999999</v>
      </c>
      <c r="U25" s="3">
        <f>1688.1+(1.7-674.6)+(-0.860931+(-0.000867--0.344046))+0-0-0</f>
        <v>1014.682248</v>
      </c>
      <c r="V25" s="3">
        <f>1752.5+(1.5-741.7)+(-3.5751+(-0.00306--1.513068))+0-0-0</f>
        <v>1010.2349079999999</v>
      </c>
      <c r="W25" s="3">
        <f>1720.1+(3.1-708.3)+(-2.631753+(-0.004743--1.083699))+0-0-0</f>
        <v>1013.3472029999999</v>
      </c>
      <c r="X25" s="3">
        <f>1686.8+(13.5-690.5)+(-1.720536+(-0.01377--0.70431))+0-0-0</f>
        <v>1008.770004</v>
      </c>
      <c r="Y25" s="3">
        <f>1700.1+(31-631)+(-3.468204+(-0.06324--1.28724))+0-0-0</f>
        <v>1097.8557959999998</v>
      </c>
      <c r="Z25" s="3">
        <f>1711+(118.9-614.7)+(-4.36305+(-0.303195--1.567485))+0-0-0</f>
        <v>1212.1012399999997</v>
      </c>
      <c r="AA25" s="3">
        <f>1710.3+(128.4-676.1)+(-2.616759+(-0.196452--1.034433))+0-0-0</f>
        <v>1160.8212219999998</v>
      </c>
      <c r="AB25" s="3">
        <f>1681.5+(119.3-682.6)+(-1.71513+(-0.121686--0.696252))+0-0-0</f>
        <v>1117.0594359999998</v>
      </c>
      <c r="AC25" s="3">
        <f>1496.6+(172.6-627.2)+(-0.763266+(-0.088026--0.319872))+0-0-0</f>
        <v>1041.46858</v>
      </c>
      <c r="AD25">
        <v>1239.2</v>
      </c>
      <c r="AE25" s="3">
        <f>1715+(122.5-598.3)+(0+(0-0))+0-0-0</f>
        <v>1239.2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1279.8+(257.5-549.3)+(-0.652698+(-0.131325--0.280143))+0-0-0</f>
        <v>987.49612000000002</v>
      </c>
      <c r="G26" s="3">
        <f>1113+(241.1-418.6)+(-1.13526+(-0.245922--0.426972))+0-0-0</f>
        <v>934.54579000000001</v>
      </c>
      <c r="H26" s="3">
        <f>915.2+(266-293.1)+(-1.400256+(-0.40698--0.448443))+0-0-0</f>
        <v>886.74120700000003</v>
      </c>
      <c r="I26" s="3">
        <f>891.1+(264.3-291)+(0+(0-0))+0-0-0</f>
        <v>864.40000000000009</v>
      </c>
      <c r="J26" s="3">
        <f>890.9+(240.6-279.4)+(0+(0-0))+0-0-0</f>
        <v>852.1</v>
      </c>
      <c r="K26" s="3">
        <f>890.5+(230.1-269.5)+(-0.90831+(-0.234702--0.27489))+0-0-0</f>
        <v>850.23187800000005</v>
      </c>
      <c r="L26" s="3">
        <f>891.4+(230.9-328.4)+(-3.636912+(-0.942072--1.339872))+0-0-0</f>
        <v>790.660888</v>
      </c>
      <c r="M26" s="3">
        <f>889+(199.7-312.9)+(-0.90678+(-0.203694--0.319158))+0-0-0</f>
        <v>775.0086839999999</v>
      </c>
      <c r="N26" s="3">
        <f>885.7+(207.3-270.3)+(1.806828+(0.422892-0.551412))+0-0-0</f>
        <v>824.37830800000006</v>
      </c>
      <c r="O26" s="3">
        <f>968.2+(185.3-285.8)+(-1.481346+(-0.283509--0.437274))+0-0-0</f>
        <v>866.37241900000004</v>
      </c>
      <c r="P26" s="3">
        <f>979+(195.9-269.6)+(0.99858+(0.199818-0.274992))+0-0-0</f>
        <v>906.22340599999995</v>
      </c>
      <c r="Q26" s="3">
        <f>981.8+(211.9-278.2)+(-1.502154+(-0.324207--0.425646))+0-0-0</f>
        <v>914.09928500000001</v>
      </c>
      <c r="R26" s="3">
        <f>1218.3+(107.8-433.6)+(-4.349331+(-0.384846--1.547952))+0-0-0</f>
        <v>889.31377499999996</v>
      </c>
      <c r="S26" s="3">
        <f>1289.2+(69.2-494.3)+(0+(0-0))+0-0-0</f>
        <v>864.1</v>
      </c>
      <c r="T26" s="3">
        <f>1198.5+(85.4-432.9)+(-1.22247+(-0.087108--0.441558))+0-0-0</f>
        <v>850.13198</v>
      </c>
      <c r="U26" s="3">
        <f>1203.4+(93.1-469.4)+(-0.613734+(-0.047481--0.239394))+0-0-0</f>
        <v>826.67817900000011</v>
      </c>
      <c r="V26" s="3">
        <f>1209.1+(132.6-505.5)+(-2.466564+(-0.270504--1.03122))+0-0-0</f>
        <v>834.49415199999999</v>
      </c>
      <c r="W26" s="3">
        <f>1210.3+(151.5-512)+(-0.617253+(-0.077265--0.26112))+0-0-0</f>
        <v>849.36660199999994</v>
      </c>
      <c r="X26" s="3">
        <f>1214.1+(138.1-485.2)+(0.619191+(0.070431-0.247452))+0-0-0</f>
        <v>867.44216999999992</v>
      </c>
      <c r="Y26" s="3">
        <f>1470.2+(97.4-566.6)+(-2.999208+(-0.198696--1.155864))+0-0-0</f>
        <v>998.95795999999996</v>
      </c>
      <c r="Z26" s="3">
        <f>1514.6+(173.6-525.6)+(-0.772446+(-0.088536--0.268056))+0-0-0</f>
        <v>1162.0070739999999</v>
      </c>
      <c r="AA26" s="3">
        <f>1517.2+(174.8-550.1)+(-3.095088+(-0.356592--1.122204))+0-0-0</f>
        <v>1139.570524</v>
      </c>
      <c r="AB26" s="3">
        <f>1492.5+(100.6-473.1)+(-1.52235+(-0.102612--0.482562))+0-0-0</f>
        <v>1118.8576</v>
      </c>
      <c r="AC26" s="3">
        <f>1389.1+(78.2-423.6)+(-2.833764+(-0.159528--0.864144))+0-0-0</f>
        <v>1041.5708519999998</v>
      </c>
      <c r="AD26">
        <v>1238.5</v>
      </c>
      <c r="AE26" s="3">
        <f>1512+(226.2-499.7)+(0+(0-0))+0-0-0</f>
        <v>1238.5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1119.2+(143.7-314.2)+(0+(0-0))+0-0-0</f>
        <v>948.7</v>
      </c>
      <c r="G27" s="3">
        <f>1106.9+(145-355.1)+(-2.822595+(-0.36975--0.905505))+0-0-0</f>
        <v>894.51316000000008</v>
      </c>
      <c r="H27" s="3">
        <f>1112.3+(150.3-398.4)+(-0.567273+(-0.076653--0.203184))+0-0-0</f>
        <v>863.75925800000005</v>
      </c>
      <c r="I27" s="3">
        <f>1117.1+(144.1-415.2)+(0.569721+(0.073491-0.211752))+0-0-0</f>
        <v>846.4314599999999</v>
      </c>
      <c r="J27" s="3">
        <f>1116.9+(146.7-422.8)+(-0.569619+(-0.074817--0.215628))+0-0-0</f>
        <v>840.37119200000006</v>
      </c>
      <c r="K27" s="3">
        <f>1128.7+(152.9-429.9)+(0.575637+(0.077979-0.219249))+0-0-0</f>
        <v>852.134367</v>
      </c>
      <c r="L27" s="3">
        <f>1219.1+(132.4-496.6)+(-3.108705+(-0.33762--1.26633))+0-0-0</f>
        <v>852.7200049999999</v>
      </c>
      <c r="M27" s="3">
        <f>1369.1+(163-646.9)+(1.396482+(0.16626-0.659838))+0-0-0</f>
        <v>886.10290399999997</v>
      </c>
      <c r="N27" s="3">
        <f>1693.8+(143.2-866)+(0+(0-0))+0-0-0</f>
        <v>971</v>
      </c>
      <c r="O27" s="3">
        <f>1929+(138.9-1037.9)+(0+(0-0))+0-0-0</f>
        <v>1030</v>
      </c>
      <c r="P27" s="3">
        <f>2037+(144.1-1112.3)+(2.07774+(0.146982-1.134546))+0-0-0</f>
        <v>1069.8901760000001</v>
      </c>
      <c r="Q27" s="3">
        <f>2033.3+(127.4-1065.6)+(-2.073966+(-0.129948--1.086912))+0-0-0</f>
        <v>1093.982998</v>
      </c>
      <c r="R27" s="3">
        <f>2032.6+(126.5-1068.1)+(-1.036626+(-0.064515--0.544731))+0-0-0</f>
        <v>1090.4435900000001</v>
      </c>
      <c r="S27" s="3">
        <f>2030.8+(159-1131.8)+(0+(0-0))+0-0-0</f>
        <v>1058</v>
      </c>
      <c r="T27" s="3">
        <f>2028.2+(192.5-1175.8)+(-1.034382+(-0.098175--0.599658))+0-0-0</f>
        <v>1044.367101</v>
      </c>
      <c r="U27" s="3">
        <f>2026.3+(195.5-1198.5)+(-3.100239+(-0.299115--1.833705))+0-0-0</f>
        <v>1021.7343509999999</v>
      </c>
      <c r="V27" s="3">
        <f>2033.9+(111.5-1116.3)+(-1.037289+(-0.056865--0.569313))+0-0-0</f>
        <v>1028.5751590000002</v>
      </c>
      <c r="W27" s="3">
        <f>2122.7+(108.8-1187.3)+(-4.330308+(-0.221952--2.422092))+0-0-0</f>
        <v>1042.0698319999999</v>
      </c>
      <c r="X27" s="3">
        <f>2265+(116.7-1327.2)+(-5.77575+(-0.297585--3.38436))+0-0-0</f>
        <v>1051.811025</v>
      </c>
      <c r="Y27" s="3">
        <f>2276.2+(39.3-1163.3)+(-1.160862+(-0.020043--0.593283))+0-0-0</f>
        <v>1151.6123779999998</v>
      </c>
      <c r="Z27" s="3">
        <f>2285.5+(38.9-1018.7)+(-4.66242+(-0.079356--2.078148))+0-0-0</f>
        <v>1303.0363719999998</v>
      </c>
      <c r="AA27" s="3">
        <f>2285.1+(37.2-1043.2)+(-3.496203+(-0.056916--1.596096))+0-0-0</f>
        <v>1277.142977</v>
      </c>
      <c r="AB27" s="3">
        <f>2274.3+(1.8-1074.7)+(-5.799465+(-0.00459--2.740485))+0-0-0</f>
        <v>1198.3364300000001</v>
      </c>
      <c r="AC27" s="3">
        <f>2009.9+(15.5-914.1)+(-4.100196+(-0.03162--1.864764))+0-0-0</f>
        <v>1109.0329480000003</v>
      </c>
      <c r="AD27">
        <v>1320.6999999999998</v>
      </c>
      <c r="AE27" s="3">
        <f>2285+(38.6-1002.9)+(0+(0-0))+0-0-0</f>
        <v>1320.7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1910.2+(17.5-900.1)+(-2.922606+(-0.026775--1.377153))+0-0-0</f>
        <v>1026.0277719999999</v>
      </c>
      <c r="G28" s="3">
        <f>1909.5+(24.5-962.9)+(-1.94769+(-0.02499--0.982158))+0-0-0</f>
        <v>970.10947799999997</v>
      </c>
      <c r="H28" s="3">
        <f>1833.8+(20.7-926.2)+(-3.740952+(-0.042228--1.889448))+0-0-0</f>
        <v>926.40626799999995</v>
      </c>
      <c r="I28" s="3">
        <f>1662.9+(31.8-790.7)+(-1.696158+(-0.032436--0.806514))+0-0-0</f>
        <v>903.07791999999995</v>
      </c>
      <c r="J28" s="3">
        <f>1601.7+(38.3-734.5)+(-3.267468+(-0.078132--1.49838))+0-0-0</f>
        <v>903.65278000000001</v>
      </c>
      <c r="K28" s="3">
        <f>1603+(38.1-729.2)+(0+(0-0))+0-0-0</f>
        <v>911.9</v>
      </c>
      <c r="L28" s="3">
        <f>1602.6+(36.9-740.2)+(-5.721282+(-0.131733--2.642514))+0-0-0</f>
        <v>896.08949899999982</v>
      </c>
      <c r="M28" s="3">
        <f>1724.9+(30.1-824.1)+(0+(0-0))+0-0-0</f>
        <v>930.90000000000009</v>
      </c>
      <c r="N28" s="3">
        <f>1858.2+(13-866.3)+(1.895364+(0.01326-0.883626))+0-0-0</f>
        <v>1005.9249980000001</v>
      </c>
      <c r="O28" s="3">
        <f>2134.6+(0-1066.4)+(-2.177292+(0--1.087728))+0-0-0</f>
        <v>1067.1104359999997</v>
      </c>
      <c r="P28" s="3">
        <f>2261.4+(5.8-1165.1)+(1.153314+(0.002958-0.594201))+0-0-0</f>
        <v>1102.6620710000002</v>
      </c>
      <c r="Q28" s="3">
        <f>2172.2+(13.7-1059)+(0+(0-0))+0-0-0</f>
        <v>1126.8999999999999</v>
      </c>
      <c r="R28" s="3">
        <f>2171.5+(27.9-1059.1)+(-5.537325+(-0.071145--2.700705))+0-0-0</f>
        <v>1137.3922350000003</v>
      </c>
      <c r="S28" s="3">
        <f>2105.3+(14.8-1027.9)+(-4.294812+(-0.030192--2.096916))+0-0-0</f>
        <v>1089.971912</v>
      </c>
      <c r="T28" s="3">
        <f>2070.4+(30.6-1026.2)+(2.111808+(0.031212-1.046724))+0-0-0</f>
        <v>1075.8962960000001</v>
      </c>
      <c r="U28" s="3">
        <f>2167.4+(20.9-1126.1)+(-4.421496+(-0.042636--2.297244))+0-0-0</f>
        <v>1060.0331120000003</v>
      </c>
      <c r="V28" s="3">
        <f>2263.9+(14-1208.8)+(-4.618356+(-0.02856--2.465952))+0-0-0</f>
        <v>1066.9190360000002</v>
      </c>
      <c r="W28" s="3">
        <f>2260.4+(14-1198.2)+(-6.916824+(-0.04284--3.666492))+0-0-0</f>
        <v>1072.9068280000001</v>
      </c>
      <c r="X28" s="3">
        <f>2183.5+(15-1112.5)+(-4.45434+(-0.0306--2.2695))+0-0-0</f>
        <v>1083.7845600000001</v>
      </c>
      <c r="Y28" s="3">
        <f>2194.7+(20-1031.1)+(1.119297+(0.0102-0.525861))+0-0-0</f>
        <v>1184.203636</v>
      </c>
      <c r="Z28" s="3">
        <f>2251.9+(26.6-936.6)+(-5.742345+(-0.06783--2.38833))+0-0-0</f>
        <v>1338.478155</v>
      </c>
      <c r="AA28" s="3">
        <f>2287.1+(20-998.2)+(-5.832105+(-0.051--2.54541))+0-0-0</f>
        <v>1305.5623049999999</v>
      </c>
      <c r="AB28" s="3">
        <f>2287.2+(77.5-1152.4)+(-8.165304+(-0.276675--4.114068))+0-0-0</f>
        <v>1207.9720889999996</v>
      </c>
      <c r="AC28" s="3">
        <f>2163.4+(107.8-1159.1)+(-5.51667+(-0.27489--2.955705))+0-0-0</f>
        <v>1109.2641450000001</v>
      </c>
      <c r="AD28">
        <v>1362.3</v>
      </c>
      <c r="AE28" s="3">
        <f>2295+(23-955.7)+(0+(0-0))+0-0-0</f>
        <v>1362.3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1866.2+(147.1-1015.4)+(-2.855286+(-0.225063--1.553562))+0-0-0</f>
        <v>996.37321300000008</v>
      </c>
      <c r="G29" s="3">
        <f>1505.2+(112.2-694.8)+(-5.373564+(-0.400554--2.480436))+0-0-0</f>
        <v>919.30631800000015</v>
      </c>
      <c r="H29" s="3">
        <f>1486.9+(121.7-717.6)+(-2.274957+(-0.186201--1.097928))+0-0-0</f>
        <v>889.63677000000007</v>
      </c>
      <c r="I29" s="3">
        <f>1487+(148.8-753.5)+(0+(0-0))+0-0-0</f>
        <v>882.3</v>
      </c>
      <c r="J29" s="3">
        <f>1486.5+(143-748.5)+(-3.03246+(-0.29172--1.52694))+0-0-0</f>
        <v>879.20276000000001</v>
      </c>
      <c r="K29" s="3">
        <f>1487.6+(151.7-753.8)+(-1.517352+(-0.154734--0.768876))+0-0-0</f>
        <v>884.59679000000006</v>
      </c>
      <c r="L29" s="3">
        <f>1487.5+(113-723.7)+(-3.0345+(-0.23052--1.476348))+0-0-0</f>
        <v>875.01132799999993</v>
      </c>
      <c r="M29" s="3">
        <f>1639.1+(87.1-808.9)+(0.835941+(0.044421-0.412539))+0-0-0</f>
        <v>917.76782299999991</v>
      </c>
      <c r="N29" s="3">
        <f>1892.1+(62.4-948.9)+(0.964971+(0.031824-0.483939))+0-0-0</f>
        <v>1006.112856</v>
      </c>
      <c r="O29" s="3">
        <f>2303.6+(67.9-1288.6)+(-3.524508+(-0.103887--1.971558))+0-0-0</f>
        <v>1081.2431630000001</v>
      </c>
      <c r="P29" s="3">
        <f>2393.3+(50-1277.2)+(-4.882332+(-0.102--2.605488))+0-0-0</f>
        <v>1163.7211560000001</v>
      </c>
      <c r="Q29" s="3">
        <f>2263.3+(42.5-1199.9)+(-1.154283+(-0.021675--0.611949))+0-0-0</f>
        <v>1105.3359910000001</v>
      </c>
      <c r="R29" s="3">
        <f>2262.2+(56.8-1203.2)+(1.153722+(0.028968-0.613632))+0-0-0</f>
        <v>1116.3690579999998</v>
      </c>
      <c r="S29" s="3">
        <f>2260.8+(76.9-1242)+(-1.153008+(-0.039219--0.63342))+0-0-0</f>
        <v>1095.1411930000004</v>
      </c>
      <c r="T29" s="3">
        <f>2258.1+(85.3-1277.7)+(-2.303262+(-0.087006--1.303254))+0-0-0</f>
        <v>1064.6129859999999</v>
      </c>
      <c r="U29" s="3">
        <f>2331+(52.2-1329.2)+(-3.56643+(-0.079866--2.033676))+0-0-0</f>
        <v>1052.3873799999999</v>
      </c>
      <c r="V29" s="3">
        <f>2259.2+(27.8-1238)+(-4.608768+(-0.056712--2.52552))+0-0-0</f>
        <v>1046.8600399999998</v>
      </c>
      <c r="W29" s="3">
        <f>2221.6+(1.7-1157.5)+(-2.266032+(-0.001734--1.18065))+0-0-0</f>
        <v>1064.712884</v>
      </c>
      <c r="X29" s="3">
        <f>2167.2+(0-1071.3)+(-5.52636+(0--2.731815))+0-0-0</f>
        <v>1093.1054549999999</v>
      </c>
      <c r="Y29" s="3">
        <f>2185.8+(9.8-993.1)+(-2.229516+(-0.009996--1.012962))+0-0-0</f>
        <v>1201.2734499999999</v>
      </c>
      <c r="Z29" s="3">
        <f>2274.4+(1-970.7)+(-2.319888+(-0.00102--0.990114))+0-0-0</f>
        <v>1303.3692060000001</v>
      </c>
      <c r="AA29" s="3">
        <f>2292.2+(32.4-1057.4)+(-3.507066+(-0.049572--1.617822))+0-0-0</f>
        <v>1265.2611839999997</v>
      </c>
      <c r="AB29" s="3">
        <f>2293+(61.4-1153.8)+(-5.84715+(-0.15657--2.94219))+0-0-0</f>
        <v>1197.5384700000002</v>
      </c>
      <c r="AC29" s="3">
        <f>2251.9+(90-1224.3)+(-2.296938+(-0.0918--1.248786))+0-0-0</f>
        <v>1116.4600480000001</v>
      </c>
      <c r="AD29">
        <v>1322.4</v>
      </c>
      <c r="AE29" s="3">
        <f>2296+(21-994.6)+(0+(0-0))+0-0-0</f>
        <v>1322.4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2058.9+(138.4-1181.5)+(-5.250195+(-0.35292--3.012825))+0-0-0</f>
        <v>1013.2097100000002</v>
      </c>
      <c r="G30" s="3">
        <f>1864+(171.2-1082)+(-1.90128+(-0.174624--1.10364))+0-0-0</f>
        <v>952.22773600000005</v>
      </c>
      <c r="H30" s="3">
        <f>1689.3+(205.6-985.9)+(-1.723086+(-0.209712--1.005618))+0-0-0</f>
        <v>908.07281999999998</v>
      </c>
      <c r="I30" s="3">
        <f>1494.9+(212.5-834.8)+(-3.049596+(-0.4335--1.702992))+0-0-0</f>
        <v>870.81989600000009</v>
      </c>
      <c r="J30" s="3">
        <f>1442.8+(101.9-674)+(-3.67914+(-0.259845--1.7187))+0-0-0</f>
        <v>868.47971499999994</v>
      </c>
      <c r="K30" s="3">
        <f>1442.6+(85.6-645.4)+(-0.735726+(-0.043656--0.329154))+0-0-0</f>
        <v>882.34977199999992</v>
      </c>
      <c r="L30" s="3">
        <f>1443.5+(92.3-647.4)+(0+(0-0))+0-0-0</f>
        <v>888.4</v>
      </c>
      <c r="M30" s="3">
        <f>1561.2+(94.1-733.2)+(0+(0-0))+0-0-0</f>
        <v>922.1</v>
      </c>
      <c r="N30" s="3">
        <f>1936.8+(126.6-1062.2)+(-2.963304+(-0.193698--1.625166))+0-0-0</f>
        <v>999.66816399999993</v>
      </c>
      <c r="O30" s="3">
        <f>2154.8+(124.4-1232.5)+(-2.197896+(-0.126888--1.25715))+0-0-0</f>
        <v>1045.6323660000003</v>
      </c>
      <c r="P30" s="3">
        <f>2251.8+(129.5-1290.8)+(-1.148418+(-0.066045--0.658308))+0-0-0</f>
        <v>1089.9438450000002</v>
      </c>
      <c r="Q30" s="3">
        <f>2249.5+(127.6-1282.2)+(-3.441735+(-0.195228--1.961766))+0-0-0</f>
        <v>1093.2248029999998</v>
      </c>
      <c r="R30" s="3">
        <f>2245.8+(135.5-1300.7)+(1.145358+(0.069105-0.663357))+0-0-0</f>
        <v>1081.151106</v>
      </c>
      <c r="S30" s="3">
        <f>2245.1+(143.7-1329.5)+(-5.725005+(-0.366435--3.390225))+0-0-0</f>
        <v>1056.5987849999999</v>
      </c>
      <c r="T30" s="3">
        <f>2230.7+(177.4-1367.7)+(-1.137657+(-0.090474--0.697527))+0-0-0</f>
        <v>1039.8693959999998</v>
      </c>
      <c r="U30" s="3">
        <f>2157.1+(185.3-1317.1)+(0+(0-0))+0-0-0</f>
        <v>1025.3</v>
      </c>
      <c r="V30" s="3">
        <f>2221.4+(169.2-1365.6)+(-4.531656+(-0.345168--2.785824))+0-0-0</f>
        <v>1022.9090000000002</v>
      </c>
      <c r="W30" s="3">
        <f>2153.4+(115.2-1224.8)+(0+(0-0))+0-0-0</f>
        <v>1043.8000000000002</v>
      </c>
      <c r="X30" s="3">
        <f>2148.1+(110.7-1212.4)+(-5.477655+(-0.282285--3.09162))+0-0-0</f>
        <v>1043.7316799999999</v>
      </c>
      <c r="Y30" s="3">
        <f>2168.2+(103.3-1123.8)+(-1.105782+(-0.052683--0.573138))+0-0-0</f>
        <v>1147.1146729999998</v>
      </c>
      <c r="Z30" s="3">
        <f>2252+(120.2-1081.5)+(-2.29704+(-0.122604--1.10313))+0-0-0</f>
        <v>1289.3834859999999</v>
      </c>
      <c r="AA30" s="3">
        <f>2273.7+(115.8-1131)+(-2.319174+(-0.118116--1.15362))+0-0-0</f>
        <v>1257.2163299999997</v>
      </c>
      <c r="AB30" s="3">
        <f>2220.5+(139.4-1174.4)+(-5.662275+(-0.35547--2.99472))+0-0-0</f>
        <v>1182.476975</v>
      </c>
      <c r="AC30" s="3">
        <f>2035.5+(139.6-1086.9)+(0+(0-0))+0-0-0</f>
        <v>1088.1999999999998</v>
      </c>
      <c r="AD30">
        <v>1308</v>
      </c>
      <c r="AE30" s="3">
        <f>2279+(118-1089)+(0+(0-0))+0-0-0</f>
        <v>1308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1876.5+(186-1063.3)+(-0.957015+(-0.09486--0.542283))+0-0-0</f>
        <v>998.69040800000005</v>
      </c>
      <c r="G31" s="3">
        <f>1612.3+(222.1-904.7)+(-4.111365+(-0.566355--2.306985))+0-0-0</f>
        <v>927.32926499999996</v>
      </c>
      <c r="H31" s="3">
        <f>1478.7+(171.1-738.7)+(-0.754137+(-0.087261--0.376737))+0-0-0</f>
        <v>910.63533900000004</v>
      </c>
      <c r="I31" s="3">
        <f>1435.6+(130.3-670.2)+(-0.732156+(-0.066453--0.341802))+0-0-0</f>
        <v>895.24319299999979</v>
      </c>
      <c r="J31" s="3">
        <f>1392.5+(68.9-569.3)+(-1.42035+(-0.070278--0.580686))+0-0-0</f>
        <v>891.19005800000002</v>
      </c>
      <c r="K31" s="3">
        <f>1394.1+(55.4-546.7)+(0+(0-0))+0-0-0</f>
        <v>902.79999999999984</v>
      </c>
      <c r="L31" s="3">
        <f>1394.7+(54.7-558)+(-3.556485+(-0.139485--1.4229))+0-0-0</f>
        <v>889.12693000000013</v>
      </c>
      <c r="M31" s="3">
        <f>1506.1+(68-638.7)+(-1.536222+(-0.06936--0.651474))+0-0-0</f>
        <v>934.44589199999984</v>
      </c>
      <c r="N31" s="3">
        <f>1863.6+(81.4-917.6)+(1.900872+(0.083028-0.935952))+0-0-0</f>
        <v>1028.4479479999998</v>
      </c>
      <c r="O31" s="3">
        <f>2016.4+(70.8-1019.1)+(-2.056728+(-0.072216--1.039482))+0-0-0</f>
        <v>1067.010538</v>
      </c>
      <c r="P31" s="3">
        <f>2238.4+(64.2-1184.6)+(-1.141584+(-0.032742--0.604146))+0-0-0</f>
        <v>1117.4298200000003</v>
      </c>
      <c r="Q31" s="3">
        <f>2366+(51.9-1270.7)+(-1.20666+(-0.026469--0.648057))+0-0-0</f>
        <v>1146.614928</v>
      </c>
      <c r="R31" s="3">
        <f>2419.7+(39.2-1309.5)+(-3.702141+(-0.059976--2.003535))+0-0-0</f>
        <v>1147.6414179999999</v>
      </c>
      <c r="S31" s="3">
        <f>2443+(34.1-1359.4)+(0+(0-0))+0-0-0</f>
        <v>1117.6999999999998</v>
      </c>
      <c r="T31" s="3">
        <f>2444.3+(37.7-1376.6)+(0+(0-0))+0-0-0</f>
        <v>1105.4000000000003</v>
      </c>
      <c r="U31" s="3">
        <f>2462.3+(36.1-1405.9)+(-2.511546+(-0.036822--1.434018))+0-0-0</f>
        <v>1091.3856499999999</v>
      </c>
      <c r="V31" s="3">
        <f>2416.6+(51.4-1373.1)+(0+(0-0))+0-0-0</f>
        <v>1094.9000000000001</v>
      </c>
      <c r="W31" s="3">
        <f>2418.3+(43.1-1359)+(-7.399998+(-0.131886--4.15854))+0-0-0</f>
        <v>1099.026656</v>
      </c>
      <c r="X31" s="3">
        <f>2427.2+(57.2-1362.5)+(-9.902976+(-0.233376--5.559))+0-0-0</f>
        <v>1117.3226479999998</v>
      </c>
      <c r="Y31" s="3">
        <f>2359.2+(58.7-1208)+(-4.812768+(-0.119748--2.46432))+0-0-0</f>
        <v>1207.4318039999998</v>
      </c>
      <c r="Z31" s="3">
        <f>2378.2+(40.6-1091.8)+(-8.490174+(-0.144942--3.897726))+0-0-0</f>
        <v>1322.2626099999998</v>
      </c>
      <c r="AA31" s="3">
        <f>2211.6+(55.1-981)+(-2.255832+(-0.056202--1.00062))+0-0-0</f>
        <v>1284.3885859999998</v>
      </c>
      <c r="AB31" s="3">
        <f>2086.1+(82.5-957.5)+(-5.319555+(-0.210375--2.441625))+0-0-0</f>
        <v>1208.0116949999999</v>
      </c>
      <c r="AC31" s="3">
        <f>1749.1+(118.7-755.8)+(0+(0-0))+0-0-0</f>
        <v>1112</v>
      </c>
      <c r="AD31">
        <v>1352.5</v>
      </c>
      <c r="AE31" s="3">
        <f>2392+(58-1097.5)+(0+(0-0))+0-0-0</f>
        <v>1352.5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1580+(152.9-690.7)+(0+(0-0))+0-0-0</f>
        <v>1042.1999999999998</v>
      </c>
      <c r="G32" s="3">
        <f>1409+(223.5-655.2)+(1.43718+(0.22797-0.668304))+0-0-0</f>
        <v>978.29684599999996</v>
      </c>
      <c r="H32" s="3">
        <f>1340.3+(213.5-616.8)+(-1.367106+(-0.21777--0.629136))+0-0-0</f>
        <v>936.04426000000001</v>
      </c>
      <c r="I32" s="3">
        <f>1244.4+(166.6-499.2)+(-2.538576+(-0.339864--1.018368))+0-0-0</f>
        <v>909.93992800000012</v>
      </c>
      <c r="J32" s="3">
        <f>1191.6+(141.6-423.9)+(1.823148+(0.216648-0.648567))+0-0-0</f>
        <v>910.69122899999991</v>
      </c>
      <c r="K32" s="3">
        <f>1192.9+(129.1-406.9)+(0.608379+(0.065841-0.207519))+0-0-0</f>
        <v>915.56670100000008</v>
      </c>
      <c r="L32" s="3">
        <f>1192.9+(120.5-419.1)+(-1.216758+(-0.12291--0.427482))+0-0-0</f>
        <v>893.38781400000005</v>
      </c>
      <c r="M32" s="3">
        <f>1191.9+(144.5-419.1)+(1.215738+(0.14739-0.427482))+0-0-0</f>
        <v>918.23564600000009</v>
      </c>
      <c r="N32" s="3">
        <f>1189.9+(194.1-383.4)+(0.606849+(0.098991-0.195534))+0-0-0</f>
        <v>1001.1103060000002</v>
      </c>
      <c r="O32" s="3">
        <f>1188.6+(192.8-329.8)+(1.212372+(0.196656-0.336396))+0-0-0</f>
        <v>1052.672632</v>
      </c>
      <c r="P32" s="3">
        <f>1214.6+(190.1-321.8)+(0+(0-0))+0-0-0</f>
        <v>1082.8999999999999</v>
      </c>
      <c r="Q32" s="3">
        <f>1230+(188.9-318.3)+(2.5092+(0.385356-0.649332))+0-0-0</f>
        <v>1102.8452239999999</v>
      </c>
      <c r="R32" s="3">
        <f>1271.3+(183.3-340.4)+(0+(0-0))+0-0-0</f>
        <v>1114.2</v>
      </c>
      <c r="S32" s="3">
        <f>1271.1+(172.2-357.5)+(-1.296522+(-0.175644--0.36465))+0-0-0</f>
        <v>1084.6924839999999</v>
      </c>
      <c r="T32" s="3">
        <f>1345.8+(148.2-434.1)+(2.059074+(0.226746-0.664173))+0-0-0</f>
        <v>1061.5216469999998</v>
      </c>
      <c r="U32" s="3">
        <f>1679.4+(106.4-740.6)+(-4.28247+(-0.27132--1.88853))+0-0-0</f>
        <v>1042.5347400000001</v>
      </c>
      <c r="V32" s="3">
        <f>1709.3+(107.3-760)+(0+(0-0))+0-0-0</f>
        <v>1056.5999999999999</v>
      </c>
      <c r="W32" s="3">
        <f>1763.2+(81.4-776.1)+(-6.294624+(-0.290598--2.770677))+0-0-0</f>
        <v>1064.685455</v>
      </c>
      <c r="X32" s="3">
        <f>1729.5+(94-735.9)+(-3.52818+(-0.19176--1.501236))+0-0-0</f>
        <v>1085.381296</v>
      </c>
      <c r="Y32" s="3">
        <f>1803.1+(219.8-825.3)+(-1.839162+(-0.224196--0.841806))+0-0-0</f>
        <v>1196.3784479999999</v>
      </c>
      <c r="Z32" s="3">
        <f>2184.7+(190.9-1044.5)+(-5.570985+(-0.486795--2.663475))+0-0-0</f>
        <v>1327.7056949999999</v>
      </c>
      <c r="AA32" s="3">
        <f>2197.2+(199.5-1161.6)+(-7.844004+(-0.712215--4.146912))+0-0-0</f>
        <v>1230.690693</v>
      </c>
      <c r="AB32" s="3">
        <f>2150.9+(230.9-1194.1)+(-4.387836+(-0.471036--2.435964))+0-0-0</f>
        <v>1185.2770920000003</v>
      </c>
      <c r="AC32" s="3">
        <f>1897.5+(260.9-1081.7)+(-1.93545+(-0.266118--1.103334))+0-0-0</f>
        <v>1075.6017659999998</v>
      </c>
      <c r="AD32">
        <v>1334.8000000000002</v>
      </c>
      <c r="AE32" s="3">
        <f>2200+(186.9-1052.1)+(0+(0-0))+0-0-0</f>
        <v>1334.8000000000002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1884.6+(287.9-1161.6)+(-4.80573+(-0.734145--2.96208))+0-0-0</f>
        <v>1008.3222049999999</v>
      </c>
      <c r="G33" s="3">
        <f>1656+(356.9-1058.3)+(-4.2228+(-0.910095--2.698665))+0-0-0</f>
        <v>952.16577000000007</v>
      </c>
      <c r="H33" s="3">
        <f>1417.1+(374.3-870.5)+(-2.168163+(-0.572679--1.331865))+0-0-0</f>
        <v>919.49102299999981</v>
      </c>
      <c r="I33" s="3">
        <f>1410.8+(304.9-806.9)+(-0.719508+(-0.155499--0.411519))+0-0-0</f>
        <v>908.33651199999997</v>
      </c>
      <c r="J33" s="3">
        <f>1411.4+(267.7-774.4)+(-1.439628+(-0.273054--0.789888))+0-0-0</f>
        <v>903.77720600000009</v>
      </c>
      <c r="K33" s="3">
        <f>1412.2+(275.7-793.2)+(-1.440444+(-0.281214--0.809064))+0-0-0</f>
        <v>893.78740600000003</v>
      </c>
      <c r="L33" s="3">
        <f>1411+(273.5-829.4)+(-3.59805+(-0.697425--2.11497))+0-0-0</f>
        <v>852.91949499999998</v>
      </c>
      <c r="M33" s="3">
        <f>1435.2+(275.6-874.8)+(0+(0-0))+0-0-0</f>
        <v>836.00000000000011</v>
      </c>
      <c r="N33" s="3">
        <f>1514.5+(287.1-919.5)+(-2.317185+(-0.439263--1.406835))+0-0-0</f>
        <v>880.75038700000005</v>
      </c>
      <c r="O33" s="3">
        <f>1586.9+(280.3-926.2)+(-0.809319+(-0.142953--0.472362))+0-0-0</f>
        <v>940.52008999999998</v>
      </c>
      <c r="P33" s="3">
        <f>1620.2+(245.1-861.1)+(-1.652604+(-0.250002--0.878322))+0-0-0</f>
        <v>1003.1757160000001</v>
      </c>
      <c r="Q33" s="3">
        <f>1643.3+(257.5-872.9)+(0+(0-0))+0-0-0</f>
        <v>1027.9000000000001</v>
      </c>
      <c r="R33" s="3">
        <f>1566.3+(259.7-821.4)+(-0.798813+(-0.132447--0.418914))+0-0-0</f>
        <v>1004.0876539999999</v>
      </c>
      <c r="S33" s="3">
        <f>1565.9+(253-837.8)+(-3.194436+(-0.51612--1.709112))+0-0-0</f>
        <v>979.09855600000014</v>
      </c>
      <c r="T33" s="3">
        <f>1566+(233.4-841.6)+(-0.79866+(-0.119034--0.429216))+0-0-0</f>
        <v>957.31152199999997</v>
      </c>
      <c r="U33" s="3">
        <f>1567+(262.5-883.1)+(-2.39751+(-0.401625--1.351143))+0-0-0</f>
        <v>944.95200799999998</v>
      </c>
      <c r="V33" s="3">
        <f>1567.3+(271.5-883.7)+(-3.996615+(-0.692325--2.253435))+0-0-0</f>
        <v>952.66449499999987</v>
      </c>
      <c r="W33" s="3">
        <f>1567+(257.1-850)+(-2.39751+(-0.393363--1.3005))+0-0-0</f>
        <v>972.60962700000005</v>
      </c>
      <c r="X33" s="3">
        <f>1568.1+(247.8-806.5)+(-3.198924+(-0.505512--1.64526))+0-0-0</f>
        <v>1007.3408239999999</v>
      </c>
      <c r="Y33" s="3">
        <f>1845.9+(232.2-959.3)+(0+(0-0))+0-0-0</f>
        <v>1118.8000000000002</v>
      </c>
      <c r="Z33" s="3">
        <f>2155.3+(207.9-1131.4)+(-4.396812+(-0.424116--2.308056))+0-0-0</f>
        <v>1229.2871280000002</v>
      </c>
      <c r="AA33" s="3">
        <f>2073.6+(244.6-1116.6)+(0+(0-0))+0-0-0</f>
        <v>1201.5999999999999</v>
      </c>
      <c r="AB33" s="3">
        <f>1894.1+(271.8-1023.1)+(-0.965991+(-0.138618--0.521781))+0-0-0</f>
        <v>1142.2171719999999</v>
      </c>
      <c r="AC33" s="3">
        <f>1783.7+(263.4-968.4)+(-4.548435+(-0.67167--2.46942))+0-0-0</f>
        <v>1075.9493150000001</v>
      </c>
      <c r="AD33">
        <v>1242.6000000000001</v>
      </c>
      <c r="AE33" s="3">
        <f>2161+(203.3-1121.7)+(0+(0-0))+0-0-0</f>
        <v>1242.5999999999999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1494+(271.3-786.2)+(-0.76194+(-0.138363--0.400962))+0-0-0</f>
        <v>978.60065899999995</v>
      </c>
      <c r="G34" s="3">
        <f>1356.6+(277.5-723.2)+(-2.075598+(-0.424575--1.106496))+0-0-0</f>
        <v>909.50632299999984</v>
      </c>
      <c r="H34" s="3">
        <f>1357+(254.6-736.2)+(-0.69207+(-0.129846--0.375462))+0-0-0</f>
        <v>874.95354599999996</v>
      </c>
      <c r="I34" s="3">
        <f>1356.3+(226.8-709.6)+(-1.383426+(-0.231336--0.723792))+0-0-0</f>
        <v>872.60902999999996</v>
      </c>
      <c r="J34" s="3">
        <f>1356.4+(211.1-699)+(-2.075292+(-0.322983--1.06947))+0-0-0</f>
        <v>867.17119500000013</v>
      </c>
      <c r="K34" s="3">
        <f>1356.6+(212.4-685.7)+(-0.691866+(-0.108324--0.349707))+0-0-0</f>
        <v>882.84951699999988</v>
      </c>
      <c r="L34" s="3">
        <f>1355.8+(218.4-679.3)+(-2.074374+(-0.334152--1.039329))+0-0-0</f>
        <v>893.53080299999999</v>
      </c>
      <c r="M34" s="3">
        <f>1455.5+(206.6-723.6)+(2.226915+(0.316098-1.107108))+0-0-0</f>
        <v>939.93590500000005</v>
      </c>
      <c r="N34" s="3">
        <f>1785.6+(213.4-969)+(0.910656+(0.108834-0.49419))+0-0-0</f>
        <v>1030.5253</v>
      </c>
      <c r="O34" s="3">
        <f>2077.4+(209.4-1184.9)+(0+(0-0))+0-0-0</f>
        <v>1101.9000000000001</v>
      </c>
      <c r="P34" s="3">
        <f>2092.5+(173.7-1138.1)+(-1.067175+(-0.088587--0.580431))+0-0-0</f>
        <v>1127.5246690000001</v>
      </c>
      <c r="Q34" s="3">
        <f>2153.8+(218.6-1245.9)+(1.098438+(0.111486-0.635409))+0-0-0</f>
        <v>1127.074515</v>
      </c>
      <c r="R34" s="3">
        <f>2088.4+(229.8-1204.2)+(-1.065084+(-0.117198--0.614142))+0-0-0</f>
        <v>1113.4318599999999</v>
      </c>
      <c r="S34" s="3">
        <f>2085.6+(237.7-1238.2)+(0+(0-0))+0-0-0</f>
        <v>1085.0999999999999</v>
      </c>
      <c r="T34" s="3">
        <f>2085.8+(240.6-1265.7)+(0+(0-0))+0-0-0</f>
        <v>1060.7</v>
      </c>
      <c r="U34" s="3">
        <f>2085.8+(217.3-1262.5)+(-4.255032+(-0.443292--2.5755))+0-0-0</f>
        <v>1038.4771760000001</v>
      </c>
      <c r="V34" s="3">
        <f>2170.5+(226.9-1363)+(-4.42782+(-0.462876--2.78052))+0-0-0</f>
        <v>1032.2898240000002</v>
      </c>
      <c r="W34" s="3">
        <f>2284.2+(190.6-1428.9)+(-4.659768+(-0.388824--2.914956))+0-0-0</f>
        <v>1043.7663639999996</v>
      </c>
      <c r="X34" s="3">
        <f>2334.4+(210.7-1489.3)+(-3.571632+(-0.322371--2.278629))+0-0-0</f>
        <v>1054.1846260000002</v>
      </c>
      <c r="Y34" s="3">
        <f>2467.5+(167.7-1487.1)+(0+(0-0))+0-0-0</f>
        <v>1148.1000000000001</v>
      </c>
      <c r="Z34" s="3">
        <f>2570.5+(131.9-1405.1)+(-6.554775+(-0.336345--3.583005))+0-0-0</f>
        <v>1293.9918850000001</v>
      </c>
      <c r="AA34" s="3">
        <f>2589.6+(165.8-1490.7)+(-6.60348+(-0.42279--3.801285))+0-0-0</f>
        <v>1261.4750149999998</v>
      </c>
      <c r="AB34" s="3">
        <f>2588.7+(200-1587.5)+(-2.640474+(-0.204--1.61925))+0-0-0</f>
        <v>1199.9747759999998</v>
      </c>
      <c r="AC34" s="3">
        <f>2410.5+(258.6-1549.6)+(-2.45871+(-0.263772--1.580592))+0-0-0</f>
        <v>1118.3581099999999</v>
      </c>
      <c r="AD34">
        <v>1309.6999999999998</v>
      </c>
      <c r="AE34" s="3">
        <f>2592+(137.6-1419.9)+(0+(0-0))+0-0-0</f>
        <v>1309.6999999999998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2058.8+(287.7-1308.1)+(-2.099976+(-0.293454--1.334262))+0-0-0</f>
        <v>1037.3408320000003</v>
      </c>
      <c r="G35" s="3">
        <f>1696.3+(239.5-974.7)+(-1.730226+(-0.24429--0.994194))+0-0-0</f>
        <v>960.11967799999991</v>
      </c>
      <c r="H35" s="3">
        <f>1420.1+(253.6-758.7)+(-1.448502+(-0.258672--0.773874))+0-0-0</f>
        <v>914.06669999999986</v>
      </c>
      <c r="I35" s="3">
        <f>1371.4+(225.9-693.2)+(-2.098242+(-0.345627--1.060596))+0-0-0</f>
        <v>902.71672699999999</v>
      </c>
      <c r="J35" s="3">
        <f>1356.5+(206.5-659.6)+(-3.459075+(-0.526575--1.68198))+0-0-0</f>
        <v>901.09632999999997</v>
      </c>
      <c r="K35" s="3">
        <f>1355.9+(218-661.5)+(-3.457545+(-0.5559--1.686825))+0-0-0</f>
        <v>910.07338000000004</v>
      </c>
      <c r="L35" s="3">
        <f>1358.9+(215-661.3)+(-4.158234+(-0.6579--2.023578))+0-0-0</f>
        <v>909.80744400000015</v>
      </c>
      <c r="M35" s="3">
        <f>1428.8+(234.6-715.6)+(0+(0-0))+0-0-0</f>
        <v>947.8</v>
      </c>
      <c r="N35" s="3">
        <f>1633.8+(239.5-835.2)+(0+(0-0))+0-0-0</f>
        <v>1038.0999999999999</v>
      </c>
      <c r="O35" s="3">
        <f>1822.8+(233.7-961.5)+(0+(0-0))+0-0-0</f>
        <v>1095</v>
      </c>
      <c r="P35" s="3">
        <f>1868.5+(219.9-917)+(0+(0-0))+0-0-0</f>
        <v>1171.4000000000001</v>
      </c>
      <c r="Q35" s="3">
        <f>2069.2+(236-1044.6)+(-3.165876+(-0.36108--1.598238))+0-0-0</f>
        <v>1258.671282</v>
      </c>
      <c r="R35" s="3">
        <f>2007.8+(240.1-1047.5)+(-5.11989+(-0.612255--2.671125))+0-0-0</f>
        <v>1197.33898</v>
      </c>
      <c r="S35" s="3">
        <f>2001.7+(226-1097.1)+(1.020867+(0.11526-0.559521))+0-0-0</f>
        <v>1131.1766060000002</v>
      </c>
      <c r="T35" s="3">
        <f>2113.9+(226.8-1220.6)+(-3.234267+(-0.347004--1.867518))+0-0-0</f>
        <v>1118.3862470000001</v>
      </c>
      <c r="U35" s="3">
        <f>2114.4+(219.2-1222.3)+(-4.313376+(-0.447168--2.493492))+0-0-0</f>
        <v>1109.0329480000003</v>
      </c>
      <c r="V35" s="3">
        <f>2119.5+(194.4-1188.3)+(-5.404725+(-0.49572--3.030165))+0-0-0</f>
        <v>1122.7297199999998</v>
      </c>
      <c r="W35" s="3">
        <f>2218.2+(154.5-1232)+(-4.525128+(-0.31518--2.51328))+0-0-0</f>
        <v>1138.3729719999999</v>
      </c>
      <c r="X35" s="3">
        <f>2125.8+(152.9-1092.6)+(-4.336632+(-0.311916--2.228904))+0-0-0</f>
        <v>1183.6803560000003</v>
      </c>
      <c r="Y35" s="3">
        <f>2116.4+(144.4-987.6)+(-4.317456+(-0.294576--2.014704))+0-0-0</f>
        <v>1270.602672</v>
      </c>
      <c r="Z35" s="3">
        <f>2143+(144-929.1)+(-3.27879+(-0.22032--1.421523))+0-0-0</f>
        <v>1355.8224130000001</v>
      </c>
      <c r="AA35" s="3">
        <f>2118+(145.4-958.9)+(-5.4009+(-0.37077--2.445195))+0-0-0</f>
        <v>1301.1735249999999</v>
      </c>
      <c r="AB35" s="3">
        <f>2043.8+(165.2-984.9)+(-7.296366+(-0.589764--3.516093))+0-0-0</f>
        <v>1219.729963</v>
      </c>
      <c r="AC35" s="3">
        <f>2042.7+(183.8-1084.5)+(-2.083554+(-0.187476--1.10619))+0-0-0</f>
        <v>1140.8351600000001</v>
      </c>
      <c r="AD35">
        <v>1377.2000000000003</v>
      </c>
      <c r="AE35" s="3">
        <f>2156+(139.8-918.6)+(0+(0-0))+0-0-0</f>
        <v>1377.2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1782.9+(201.8-946.1)+(-0.909279+(-0.102918--0.482511))+0-0-0</f>
        <v>1038.0703140000001</v>
      </c>
      <c r="G36" s="3">
        <f>1538.9+(217.7-777.5)+(-2.354517+(-0.333081--1.189575))+0-0-0</f>
        <v>977.60197700000015</v>
      </c>
      <c r="H36" s="3">
        <f>1368+(218.1-659.9)+(-2.79072+(-0.444924--1.346196))+0-0-0</f>
        <v>924.31055200000003</v>
      </c>
      <c r="I36" s="3">
        <f>1367+(215.2-670.4)+(2.09151+(0.329256-1.025712))+0-0-0</f>
        <v>913.19505399999991</v>
      </c>
      <c r="J36" s="3">
        <f>1367.5+(201.9-657.7)+(-1.39485+(-0.205938--0.670854))+0-0-0</f>
        <v>910.77006599999993</v>
      </c>
      <c r="K36" s="3">
        <f>1367.9+(195.9-650)+(-2.092887+(-0.299727--0.9945))+0-0-0</f>
        <v>912.4018860000001</v>
      </c>
      <c r="L36" s="3">
        <f>1367.5+(220.2-677.2)+(-2.092275+(-0.336906--1.036116))+0-0-0</f>
        <v>909.10693500000002</v>
      </c>
      <c r="M36" s="3">
        <f>1379.8+(233.2-665)+(-0.703698+(-0.118932--0.33915))+0-0-0</f>
        <v>947.51652000000001</v>
      </c>
      <c r="N36" s="3">
        <f>1467.6+(208.4-664.5)+(-0.748476+(-0.106284--0.338895))+0-0-0</f>
        <v>1010.9841349999999</v>
      </c>
      <c r="O36" s="3">
        <f>1507.4+(214.9-664.5)+(-1.537548+(-0.219198--0.67779))+0-0-0</f>
        <v>1056.7210440000001</v>
      </c>
      <c r="P36" s="3">
        <f>1562.5+(219.3-687.3)+(-1.59375+(-0.223686--0.701046))+0-0-0</f>
        <v>1093.3836100000001</v>
      </c>
      <c r="Q36" s="3">
        <f>1562.2+(202.7-656.6)+(-2.390166+(-0.310131--1.004598))+0-0-0</f>
        <v>1106.6043009999999</v>
      </c>
      <c r="R36" s="3">
        <f>1631.5+(164.3-683.5)+(-4.160325+(-0.418965--1.742925))+0-0-0</f>
        <v>1109.4636350000001</v>
      </c>
      <c r="S36" s="3">
        <f>1564.2+(146.3-623.4)+(-1.595484+(-0.149226--0.635868))+0-0-0</f>
        <v>1085.991158</v>
      </c>
      <c r="T36" s="3">
        <f>1562.5+(132.3-636.9)+(-1.59375+(-0.134946--0.649638))+0-0-0</f>
        <v>1056.8209420000001</v>
      </c>
      <c r="U36" s="3">
        <f>1563+(109.1-636.3)+(-3.18852+(-0.222564--1.298052))+0-0-0</f>
        <v>1033.6869680000002</v>
      </c>
      <c r="V36" s="3">
        <f>1562.7+(94.8-612.1)+(-2.390931+(-0.145044--0.936513))+0-0-0</f>
        <v>1043.8005380000002</v>
      </c>
      <c r="W36" s="3">
        <f>1562.9+(129.3-624.4)+(-1.594158+(-0.131886--0.636888))+0-0-0</f>
        <v>1066.7108440000002</v>
      </c>
      <c r="X36" s="3">
        <f>1563.1+(128.3-600.5)+(-3.188724+(-0.261732--1.22502))+0-0-0</f>
        <v>1088.6745639999999</v>
      </c>
      <c r="Y36" s="3">
        <f>1563.3+(184.7-581.6)+(-1.594566+(-0.188394--0.593232))+0-0-0</f>
        <v>1165.2102719999998</v>
      </c>
      <c r="Z36" s="3">
        <f>1563.4+(238-530.4)+(-1.594668+(-0.24276--0.541008))+0-0-0</f>
        <v>1269.7035800000001</v>
      </c>
      <c r="AA36" s="3">
        <f>1477.2+(209.6-464.6)+(-3.76686+(-0.53448--1.18473))+0-0-0</f>
        <v>1219.08339</v>
      </c>
      <c r="AB36" s="3">
        <f>1364.3+(204.6-414.8)+(-2.087379+(-0.313038--0.634644))+0-0-0</f>
        <v>1152.3342269999998</v>
      </c>
      <c r="AC36" s="3">
        <f>1364.6+(177.8-468.7)+(-0.695946+(-0.090678--0.239037))+0-0-0</f>
        <v>1073.1524129999998</v>
      </c>
      <c r="AD36">
        <v>1288.3000000000002</v>
      </c>
      <c r="AE36" s="3">
        <f>1559+(254.7-525.4)+(0+(0-0))+0-0-0</f>
        <v>1288.3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1366+(167.2-522)+(-1.39332+(-0.170544--0.53244))+0-0-0</f>
        <v>1010.168576</v>
      </c>
      <c r="G37" s="3">
        <f>1366.2+(151.2-561.7)+(-2.787048+(-0.308448--1.145868))+0-0-0</f>
        <v>953.75037200000008</v>
      </c>
      <c r="H37" s="3">
        <f>1366.4+(143.9-586.6)+(0+(0-0))+0-0-0</f>
        <v>923.7</v>
      </c>
      <c r="I37" s="3">
        <f>1366.2+(149.3-604)+(-2.787048+(-0.304572--1.23216))+0-0-0</f>
        <v>909.64053999999999</v>
      </c>
      <c r="J37" s="3">
        <f>1366+(127.7-593.5)+(0.69666+(0.065127-0.302685))+0-0-0</f>
        <v>900.65910200000008</v>
      </c>
      <c r="K37" s="3">
        <f>1365.9+(127.7-587)+(0+(0-0))+0-0-0</f>
        <v>906.60000000000014</v>
      </c>
      <c r="L37" s="3">
        <f>1366.1+(152.7-612.6)+(-2.090133+(-0.233631--0.937278))+0-0-0</f>
        <v>904.81351399999983</v>
      </c>
      <c r="M37" s="3">
        <f>1417.1+(183.7-649.4)+(0+(0-0))+0-0-0</f>
        <v>951.39999999999986</v>
      </c>
      <c r="N37" s="3">
        <f>1633.5+(159.6-754.4)+(-1.66617+(-0.162792--0.769488))+0-0-0</f>
        <v>1037.6405260000001</v>
      </c>
      <c r="O37" s="3">
        <f>1780+(143.8-841.3)+(1.8156+(0.146676-0.858126))+0-0-0</f>
        <v>1083.6041499999999</v>
      </c>
      <c r="P37" s="3">
        <f>1782.3+(141.4-800.8)+(-1.817946+(-0.144228--0.816816))+0-0-0</f>
        <v>1121.7546420000001</v>
      </c>
      <c r="Q37" s="3">
        <f>1867.5+(145.8-888.9)+(-0.952425+(-0.074358--0.453339))+0-0-0</f>
        <v>1123.826556</v>
      </c>
      <c r="R37" s="3">
        <f>2106+(152.7-1108.9)+(-1.07406+(-0.077877--0.565539))+0-0-0</f>
        <v>1149.213602</v>
      </c>
      <c r="S37" s="3">
        <f>2008.8+(153.9-1036.4)+(-1.024488+(-0.078489--0.528564))+0-0-0</f>
        <v>1125.7255869999997</v>
      </c>
      <c r="T37" s="3">
        <f>2003.4+(155.4-1067.5)+(2.043468+(0.158508-1.08885))+0-0-0</f>
        <v>1092.4131260000001</v>
      </c>
      <c r="U37" s="3">
        <f>2003.1+(139.9-1068.9)+(2.043162+(0.142698-1.090278))+0-0-0</f>
        <v>1075.1955819999998</v>
      </c>
      <c r="V37" s="3">
        <f>2004.2+(129.4-1054.4)+(-4.088568+(-0.263976--2.150976))+0-0-0</f>
        <v>1076.9984319999999</v>
      </c>
      <c r="W37" s="3">
        <f>2004.2+(141.2-1032.4)+(-3.066426+(-0.216036--1.579572))+0-0-0</f>
        <v>1111.29711</v>
      </c>
      <c r="X37" s="3">
        <f>2016.3+(127.3-980.6)+(-5.141565+(-0.324615--2.50053))+0-0-0</f>
        <v>1160.0343499999999</v>
      </c>
      <c r="Y37" s="3">
        <f>2097.2+(99.1-970.1)+(-1.069572+(-0.050541--0.494751))+0-0-0</f>
        <v>1225.5746379999998</v>
      </c>
      <c r="Z37" s="3">
        <f>2156+(127.8-965.2)+(-1.09956+(-0.065178--0.492252))+0-0-0</f>
        <v>1317.927514</v>
      </c>
      <c r="AA37" s="3">
        <f>2155.7+(107.2-986.2)+(-5.497035+(-0.27336--2.51481))+0-0-0</f>
        <v>1273.4444149999997</v>
      </c>
      <c r="AB37" s="3">
        <f>1982.8+(140.8-913.9)+(-2.022456+(-0.143616--0.932178))+0-0-0</f>
        <v>1208.4661060000001</v>
      </c>
      <c r="AC37" s="3">
        <f>1836.7+(146.6-863.4)+(-3.746868+(-0.299064--1.761336))+0-0-0</f>
        <v>1117.6154040000001</v>
      </c>
      <c r="AD37">
        <v>1312.6999999999998</v>
      </c>
      <c r="AE37" s="3">
        <f>2157+(123.1-967.4)+(0+(0-0))+0-0-0</f>
        <v>1312.7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1666.9+(143.4-787.5)+(-1.700238+(-0.146268--0.80325))+0-0-0</f>
        <v>1021.756744</v>
      </c>
      <c r="G38" s="3">
        <f>1373.6+(187.5-610.3)+(-3.50268+(-0.478125--1.556265))+0-0-0</f>
        <v>948.37545999999998</v>
      </c>
      <c r="H38" s="3">
        <f>1372.7+(175.8-631.3)+(-2.100231+(-0.268974--0.965889))+0-0-0</f>
        <v>915.79668400000003</v>
      </c>
      <c r="I38" s="3">
        <f>1369+(176.9-644.2)+(-1.39638+(-0.180438--0.657084))+0-0-0</f>
        <v>900.78026599999998</v>
      </c>
      <c r="J38" s="3">
        <f>1367.6+(150.6-627.8)+(-0.697476+(-0.076806--0.320178))+0-0-0</f>
        <v>889.94589599999995</v>
      </c>
      <c r="K38" s="3">
        <f>1367.8+(137.6-605.5)+(-1.395156+(-0.140352--0.61761))+0-0-0</f>
        <v>898.98210199999994</v>
      </c>
      <c r="L38" s="3">
        <f>1368+(162.3-628.1)+(-3.4884+(-0.413865--1.601655))+0-0-0</f>
        <v>899.89939000000004</v>
      </c>
      <c r="M38" s="3">
        <f>1478.9+(169.3-697.7)+(-0.754239+(-0.086343--0.355827))+0-0-0</f>
        <v>950.01524500000005</v>
      </c>
      <c r="N38" s="3">
        <f>1830+(136.2-930.1)+(-2.7999+(-0.208386--1.423053))+0-0-0</f>
        <v>1034.5147669999999</v>
      </c>
      <c r="O38" s="3">
        <f>1889+(132-936.7)+(-0.96339+(-0.06732--0.477717))+0-0-0</f>
        <v>1083.7470069999999</v>
      </c>
      <c r="P38" s="3">
        <f>1888.5+(127.4-908.6)+(-0.963135+(-0.064974--0.463386))+0-0-0</f>
        <v>1106.735277</v>
      </c>
      <c r="Q38" s="3">
        <f>1888.6+(132.4-905.7)+(-4.81593+(-0.33762--2.309535))+0-0-0</f>
        <v>1112.4559849999998</v>
      </c>
      <c r="R38" s="3">
        <f>1905.6+(161.5-924.8)+(-1.943712+(-0.16473--0.943296))+0-0-0</f>
        <v>1141.1348539999999</v>
      </c>
      <c r="S38" s="3">
        <f>1892.6+(159.5-941.1)+(-0.965226+(-0.081345--0.479961))+0-0-0</f>
        <v>1110.4333899999999</v>
      </c>
      <c r="T38" s="3">
        <f>1938.6+(151.3-997.7)+(-0.988686+(-0.077163--0.508827))+0-0-0</f>
        <v>1091.6429779999999</v>
      </c>
      <c r="U38" s="3">
        <f>1982.6+(145.1-1045.4)+(-5.05563+(-0.370005--2.66577))+0-0-0</f>
        <v>1079.5401349999997</v>
      </c>
      <c r="V38" s="3">
        <f>1988.6+(184.3-1077.1)+(-1.014186+(-0.093993--0.549321))+0-0-0</f>
        <v>1095.2411419999999</v>
      </c>
      <c r="W38" s="3">
        <f>1987.6+(157.6-1025.1)+(-5.06838+(-0.40188--2.614005))+0-0-0</f>
        <v>1117.243745</v>
      </c>
      <c r="X38" s="3">
        <f>1988.6+(181.5-1016.7)+(-3.042558+(-0.277695--1.555551))+0-0-0</f>
        <v>1151.6352979999999</v>
      </c>
      <c r="Y38" s="3">
        <f>2091.6+(161.6-1019.8)+(-4.266864+(-0.329664--2.080392))+0-0-0</f>
        <v>1230.8838640000001</v>
      </c>
      <c r="Z38" s="3">
        <f>2153.6+(133.4-961)+(-2.196672+(-0.136068--0.98022))+0-0-0</f>
        <v>1324.6474800000001</v>
      </c>
      <c r="AA38" s="3">
        <f>2012.6+(137.4-895)+(-4.105704+(-0.280296--1.8258))+0-0-0</f>
        <v>1252.4398000000001</v>
      </c>
      <c r="AB38" s="3">
        <f>1704.6+(221.3-745.2)+(-4.34673+(-0.564315--1.90026))+0-0-0</f>
        <v>1177.6892149999999</v>
      </c>
      <c r="AC38" s="3">
        <f>1528.6+(269.6-676.6)+(-2.338758+(-0.412488--1.035198))+0-0-0</f>
        <v>1119.8839519999999</v>
      </c>
      <c r="AD38">
        <v>1314.3000000000002</v>
      </c>
      <c r="AE38" s="3">
        <f>2147+(125.9-958.6)+(0+(0-0))+0-0-0</f>
        <v>1314.3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1516.6+(244.6-740.3)+(-3.093864+(-0.498984--1.510212))+0-0-0</f>
        <v>1018.817364</v>
      </c>
      <c r="G39" s="3">
        <f>1525.1+(209-771)+(-5.444607+(-0.74613--2.75247))+0-0-0</f>
        <v>959.66173299999991</v>
      </c>
      <c r="H39" s="3">
        <f>1505.6+(192.4-787.4)+(-6.142848+(-0.784992--3.212592))+0-0-0</f>
        <v>906.88475199999993</v>
      </c>
      <c r="I39" s="3">
        <f>1360.2+(211.3-676.3)+(0.693702+(0.107763-0.344913))+0-0-0</f>
        <v>895.65655200000003</v>
      </c>
      <c r="J39" s="3">
        <f>1352.6+(167.3-635.4)+(-2.759304+(-0.341292--1.296216))+0-0-0</f>
        <v>882.69561999999996</v>
      </c>
      <c r="K39" s="3">
        <f>1355.1+(169.9-628.8)+(-1.382202+(-0.173298--0.641376))+0-0-0</f>
        <v>895.28587599999992</v>
      </c>
      <c r="L39" s="3">
        <f>1335.6+(185.4-673.2)+(-1.362312+(-0.189108--0.686664))+0-0-0</f>
        <v>846.93524399999978</v>
      </c>
      <c r="M39" s="3">
        <f>1348.2+(191.9-653)+(-0.687582+(-0.097869--0.33303))+0-0-0</f>
        <v>886.64757900000006</v>
      </c>
      <c r="N39" s="3">
        <f>1675.6+(168.1-928.9)+(-1.709112+(-0.171462--0.947478))+0-0-0</f>
        <v>913.86690399999998</v>
      </c>
      <c r="O39" s="3">
        <f>1858.6+(183.5-1129.5)+(-0.947886+(-0.093585--0.576045))+0-0-0</f>
        <v>912.13457399999993</v>
      </c>
      <c r="P39" s="3">
        <f>2023.6+(179.3-1185.7)+(-3.096108+(-0.274329--1.814121))+0-0-0</f>
        <v>1015.6436839999998</v>
      </c>
      <c r="Q39" s="3">
        <f>2106.6+(195.2-1195.2)+(0+(0-0))+0-0-0</f>
        <v>1106.5999999999999</v>
      </c>
      <c r="R39" s="3">
        <f>2084.6+(195.3-1179.5)+(-6.378876+(-0.597618--3.60927))+0-0-0</f>
        <v>1097.0327759999998</v>
      </c>
      <c r="S39" s="3">
        <f>1942.6+(193.1-1079.6)+(0.990726+(0.098481-0.550596))+0-0-0</f>
        <v>1056.6386109999999</v>
      </c>
      <c r="T39" s="3">
        <f>1924.6+(193.3-1088)+(0+(0-0))+0-0-0</f>
        <v>1029.8999999999999</v>
      </c>
      <c r="U39" s="3">
        <f>1750.6+(202.4-952.6)+(-2.678418+(-0.309672--1.457478))+0-0-0</f>
        <v>998.86938799999984</v>
      </c>
      <c r="V39" s="3">
        <f>1700.6+(203.8-887.8)+(-2.601918+(-0.311814--1.358334))+0-0-0</f>
        <v>1015.0446019999999</v>
      </c>
      <c r="W39" s="3">
        <f>1740.7+(184.6-907.4)+(-2.663271+(-0.282438--1.388322))+0-0-0</f>
        <v>1016.3426130000001</v>
      </c>
      <c r="X39" s="3">
        <f>1742.6+(156.8-871.9)+(-5.332356+(-0.479808--2.668014))+0-0-0</f>
        <v>1024.3558499999999</v>
      </c>
      <c r="Y39" s="3">
        <f>1799.4+(163.7-864.8)+(-3.670776+(-0.333948--1.764192))+0-0-0</f>
        <v>1096.0594680000002</v>
      </c>
      <c r="Z39" s="3">
        <f>2108.1+(132.3-973.4)+(-4.300524+(-0.269892--1.985736))+0-0-0</f>
        <v>1264.4153200000001</v>
      </c>
      <c r="AA39" s="3">
        <f>2135.6+(115.6-1014.8)+(-3.267468+(-0.176868--1.552644))+0-0-0</f>
        <v>1234.5083080000002</v>
      </c>
      <c r="AB39" s="3">
        <f>1985.2+(160.3-967)+(-4.049808+(-0.327012--1.97268))+0-0-0</f>
        <v>1176.0958599999999</v>
      </c>
      <c r="AC39" s="3">
        <f>1805.1+(212.7-922.7)+(-2.761803+(-0.325431--1.411731))+0-0-0</f>
        <v>1093.424497</v>
      </c>
      <c r="AD39">
        <v>1295.0999999999999</v>
      </c>
      <c r="AE39" s="3">
        <f>2139+(147.1-991)+(0+(0-0))+0-0-0</f>
        <v>1295.0999999999999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1612+(234.4-827.1)+(-1.64424+(-0.239088--0.843642))+0-0-0</f>
        <v>1018.260314</v>
      </c>
      <c r="G40" s="3">
        <f>1419.8+(275-726.4)+(-3.62049+(-0.70125--1.85232))+0-0-0</f>
        <v>965.93057999999996</v>
      </c>
      <c r="H40" s="3">
        <f>1362.5+(262.2-702.9)+(-2.084625+(-0.401166--1.075437))+0-0-0</f>
        <v>920.38964599999997</v>
      </c>
      <c r="I40" s="3">
        <f>1367.1+(267.9-734.6)+(-0.697221+(-0.136629--0.374646))+0-0-0</f>
        <v>899.94079599999986</v>
      </c>
      <c r="J40" s="3">
        <f>1368.8+(259.4-733.4)+(-4.188528+(-0.793764--2.244204))+0-0-0</f>
        <v>892.06191200000001</v>
      </c>
      <c r="K40" s="3">
        <f>1369+(262.4-744.7)+(-2.79276+(-0.535296--1.519188))+0-0-0</f>
        <v>884.89113199999997</v>
      </c>
      <c r="L40" s="3">
        <f>1369.1+(245.4-801.4)+(-2.094723+(-0.375462--1.226142))+0-0-0</f>
        <v>811.85595699999988</v>
      </c>
      <c r="M40" s="3">
        <f>1369.1+(265.3-826.8)+(-0.698241+(-0.135303--0.421668))+0-0-0</f>
        <v>807.1881239999999</v>
      </c>
      <c r="N40" s="3">
        <f>1364.3+(256-783.1)+(-1.391586+(-0.26112--0.798762))+0-0-0</f>
        <v>836.34605599999998</v>
      </c>
      <c r="O40" s="3">
        <f>1525.4+(277.2-909.9)+(0+(0-0))+0-0-0</f>
        <v>892.7</v>
      </c>
      <c r="P40" s="3">
        <f>1686+(266.2-1023.6)+(-2.57958+(-0.407286--1.566108))+0-0-0</f>
        <v>927.17924199999993</v>
      </c>
      <c r="Q40" s="3">
        <f>1866.5+(267.3-1191.5)+(-2.855745+(-0.408969--1.822995))+0-0-0</f>
        <v>940.85828099999992</v>
      </c>
      <c r="R40" s="3">
        <f>1811.7+(269-1140.7)+(-1.847934+(-0.27438--1.163514))+0-0-0</f>
        <v>939.0412</v>
      </c>
      <c r="S40" s="3">
        <f>1891.6+(261.2-1229.3)+(-3.858864+(-0.532848--2.507772))+0-0-0</f>
        <v>921.61605999999995</v>
      </c>
      <c r="T40" s="3">
        <f>2123.2+(250.6-1455.4)+(-2.165664+(-0.255612--1.484508))+0-0-0</f>
        <v>917.46323199999961</v>
      </c>
      <c r="U40" s="3">
        <f>2133.1+(240.4-1452.2)+(-3.263643+(-0.367812--2.221866))+0-0-0</f>
        <v>919.89041099999997</v>
      </c>
      <c r="V40" s="3">
        <f>2176+(230.2-1475)+(-2.21952+(-0.234804--1.5045))+0-0-0</f>
        <v>930.25017600000001</v>
      </c>
      <c r="W40" s="3">
        <f>2112.6+(220.9-1392.7)+(-5.38713+(-0.563295--3.551385))+0-0-0</f>
        <v>938.40095999999994</v>
      </c>
      <c r="X40" s="3">
        <f>2111.8+(185.8-1348.9)+(-4.308072+(-0.379032--2.751756))+0-0-0</f>
        <v>946.76465200000007</v>
      </c>
      <c r="Y40" s="3">
        <f>2129.6+(184.6-1284.4)+(-3.258288+(-0.282438--1.965132))+0-0-0</f>
        <v>1028.2244059999998</v>
      </c>
      <c r="Z40" s="3">
        <f>2141.5+(181.2-1113.2)+(-4.36866+(-0.369648--2.270928))+0-0-0</f>
        <v>1207.03262</v>
      </c>
      <c r="AA40" s="3">
        <f>2143.6+(187.6-1133.7)+(-2.186472+(-0.191352--1.156374))+0-0-0</f>
        <v>1196.27855</v>
      </c>
      <c r="AB40" s="3">
        <f>2049.2+(236.2-1128.4)+(-3.135276+(-0.361386--1.726452))+0-0-0</f>
        <v>1155.2297899999999</v>
      </c>
      <c r="AC40" s="3">
        <f>1684.1+(243.5-865.7)+(-0.858891+(-0.124185--0.441507))+0-0-0</f>
        <v>1061.3584309999999</v>
      </c>
      <c r="AD40">
        <v>1232.0999999999999</v>
      </c>
      <c r="AE40" s="3">
        <f>2135+(182-1084.9)+(0+(0-0))+0-0-0</f>
        <v>1232.0999999999999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1479.6+(285-782.1)+(-1.509192+(-0.2907--0.797742))+0-0-0</f>
        <v>981.49784999999986</v>
      </c>
      <c r="G41" s="3">
        <f>1352.3+(295.2-720.4)+(-2.758692+(-0.602208--1.469616))+0-0-0</f>
        <v>925.20871599999987</v>
      </c>
      <c r="H41" s="3">
        <f>1354.1+(271-734.8)+(-2.071773+(-0.41463--1.124244))+0-0-0</f>
        <v>888.93784099999993</v>
      </c>
      <c r="I41" s="3">
        <f>1355.7+(261.5-741.9)+(-0.691407+(-0.133365--0.378369))+0-0-0</f>
        <v>874.85359700000004</v>
      </c>
      <c r="J41" s="3">
        <f>1355.2+(255.8-734.4)+(-4.838064+(-0.913206--2.621808))+0-0-0</f>
        <v>873.47053800000015</v>
      </c>
      <c r="K41" s="3">
        <f>1354.2+(266.8-737.6)+(-4.143852+(-0.816408--2.257056))+0-0-0</f>
        <v>880.69679600000006</v>
      </c>
      <c r="L41" s="3">
        <f>1354.6+(269.1-749.2)+(-2.763384+(-0.548964--1.528368))+0-0-0</f>
        <v>872.71601999999984</v>
      </c>
      <c r="M41" s="3">
        <f>1493.9+(276.5-836.6)+(-0.761889+(-0.141015--0.426666))+0-0-0</f>
        <v>933.3237620000001</v>
      </c>
      <c r="N41" s="3">
        <f>1777.5+(284.9-1040.5)+(-1.81305+(-0.290598--1.06131))+0-0-0</f>
        <v>1020.857662</v>
      </c>
      <c r="O41" s="3">
        <f>2099.1+(267.2-1272.8)+(-3.211623+(-0.408816--1.947384))+0-0-0</f>
        <v>1091.826945</v>
      </c>
      <c r="P41" s="3">
        <f>2113.7+(282.9-1263.3)+(-1.077987+(-0.144279--0.644283))+0-0-0</f>
        <v>1132.7220169999998</v>
      </c>
      <c r="Q41" s="3">
        <f>2083.5+(311.6-1282.9)+(0+(0-0))+0-0-0</f>
        <v>1112.1999999999998</v>
      </c>
      <c r="R41" s="3">
        <f>2111.6+(325-1289.6)+(-1.076916+(-0.16575--0.657696))+0-0-0</f>
        <v>1146.4150299999999</v>
      </c>
      <c r="S41" s="3">
        <f>2111.2+(321-1307.1)+(-1.076712+(-0.16371--0.666621))+0-0-0</f>
        <v>1124.5261989999999</v>
      </c>
      <c r="T41" s="3">
        <f>2111.5+(325-1335.8)+(-3.230595+(-0.49725--2.043774))+0-0-0</f>
        <v>1099.0159290000001</v>
      </c>
      <c r="U41" s="3">
        <f>2140.6+(301.3-1359.1)+(-3.275118+(-0.460989--2.079423))+0-0-0</f>
        <v>1081.1433159999999</v>
      </c>
      <c r="V41" s="3">
        <f>2191.2+(293-1416.4)+(-2.235024+(-0.29886--1.444728))+0-0-0</f>
        <v>1066.7108439999997</v>
      </c>
      <c r="W41" s="3">
        <f>2111.7+(268.9-1309.2)+(-3.230901+(-0.411417--2.003076))+0-0-0</f>
        <v>1069.7607579999997</v>
      </c>
      <c r="X41" s="3">
        <f>2112.6+(247.2-1281.1)+(-4.309704+(-0.504288--2.613444))+0-0-0</f>
        <v>1076.499452</v>
      </c>
      <c r="Y41" s="3">
        <f>2118.8+(228.9-1191.3)+(-1.080588+(-0.116739--0.607563))+0-0-0</f>
        <v>1155.810236</v>
      </c>
      <c r="Z41" s="3">
        <f>2141.7+(179.8-1005.9)+(-6.553602+(-0.550188--3.078054))+0-0-0</f>
        <v>1311.5742639999999</v>
      </c>
      <c r="AA41" s="3">
        <f>2141.3+(189.3-1042.3)+(-4.368252+(-0.386172--2.126292))+0-0-0</f>
        <v>1285.6718680000001</v>
      </c>
      <c r="AB41" s="3">
        <f>2141.2+(232.1-1142.4)+(-5.46006+(-0.591855--2.91312))+0-0-0</f>
        <v>1227.7612049999996</v>
      </c>
      <c r="AC41" s="3">
        <f>1936.1+(280.4-1077.9)+(-3.949644+(-0.572016--2.198916))+0-0-0</f>
        <v>1136.2772559999999</v>
      </c>
      <c r="AD41">
        <v>1303.5000000000002</v>
      </c>
      <c r="AE41" s="3">
        <f>2144+(186.3-1027.8)+(0+(0-0))+0-0-0</f>
        <v>1302.5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1386.7+(307.4-684.4)+(-2.121651+(-0.470322--1.047132))+0-0-0</f>
        <v>1008.155159</v>
      </c>
      <c r="G42" s="3">
        <f>1350.8+(298.2-687.6)+(-4.133448+(-0.912492--2.104056))+0-0-0</f>
        <v>958.4581159999999</v>
      </c>
      <c r="H42" s="3">
        <f>1351.8+(291.6-709)+(-2.757672+(-0.594864--1.44636))+0-0-0</f>
        <v>932.49382400000002</v>
      </c>
      <c r="I42" s="3">
        <f>1351.1+(284.8-707.3)+(0.689061+(0.145248-0.360723))+0-0-0</f>
        <v>929.07358599999986</v>
      </c>
      <c r="J42" s="3">
        <f>1347.4+(295.5-730.1)+(0.687174+(0.150705-0.372351))+0-0-0</f>
        <v>913.26552800000002</v>
      </c>
      <c r="K42" s="3">
        <f>1348.2+(299.4-734.3)+(0+(0-0))+0-0-0</f>
        <v>913.30000000000007</v>
      </c>
      <c r="L42" s="3">
        <f>1351+(290.7-755.2)+(-3.44505+(-0.741285--1.92576))+0-0-0</f>
        <v>884.23942499999998</v>
      </c>
      <c r="M42" s="3">
        <f>1468.6+(287.6-822.1)+(-2.246958+(-0.440028--1.257813))+0-0-0</f>
        <v>932.67082699999992</v>
      </c>
      <c r="N42" s="3">
        <f>1598+(272.6-859.6)+(-3.25992+(-0.556104--1.753584))+0-0-0</f>
        <v>1008.93756</v>
      </c>
      <c r="O42" s="3">
        <f>1917.2+(278.1-1109.8)+(0+(0-0))+0-0-0</f>
        <v>1085.5</v>
      </c>
      <c r="P42" s="3">
        <f>2121.4+(266.3-1262.7)+(-2.163828+(-0.271626--1.287954))+0-0-0</f>
        <v>1123.8525</v>
      </c>
      <c r="Q42" s="3">
        <f>2124.4+(267.9-1255.5)+(-3.250332+(-0.409887--1.920915))+0-0-0</f>
        <v>1135.0606960000002</v>
      </c>
      <c r="R42" s="3">
        <f>2177.4+(281.1-1259.2)+(-6.662844+(-0.860166--3.853152))+0-0-0</f>
        <v>1195.6301420000002</v>
      </c>
      <c r="S42" s="3">
        <f>2110.2+(295.2-1255.5)+(-4.304808+(-0.602208--2.56122))+0-0-0</f>
        <v>1147.5542039999998</v>
      </c>
      <c r="T42" s="3">
        <f>2112.3+(274.5-1364.8)+(-6.463638+(-0.83997--4.176288))+0-0-0</f>
        <v>1018.8726800000002</v>
      </c>
      <c r="U42" s="3">
        <f>2113.1+(257.3-1369.8)+(-4.310724+(-0.524892--2.794392))+0-0-0</f>
        <v>998.55877599999985</v>
      </c>
      <c r="V42" s="3">
        <f>2166.8+(267.5-1369.5)+(-5.52534+(-0.682125--3.492225))+0-0-0</f>
        <v>1062.0847600000002</v>
      </c>
      <c r="W42" s="3">
        <f>2170.5+(254.1-1336)+(-4.42782+(-0.518364--2.72544))+0-0-0</f>
        <v>1086.3792559999999</v>
      </c>
      <c r="X42" s="3">
        <f>2176.4+(242.2-1304.3)+(-7.769748+(-0.864654--4.656351))+0-0-0</f>
        <v>1110.3219490000001</v>
      </c>
      <c r="Y42" s="3">
        <f>2159.3+(226.2-1199.2)+(0+(0-0))+0-0-0</f>
        <v>1186.3000000000002</v>
      </c>
      <c r="Z42" s="3">
        <f>2138.4+(201-1034.7)+(-5.45292+(-0.51255--2.638485))+0-0-0</f>
        <v>1301.3730150000001</v>
      </c>
      <c r="AA42" s="3">
        <f>2134+(207.5-1070.6)+(-4.35336+(-0.4233--2.184024))+0-0-0</f>
        <v>1268.307364</v>
      </c>
      <c r="AB42" s="3">
        <f>2047.2+(255.7-1104.8)+(-2.088144+(-0.260814--1.126896))+0-0-0</f>
        <v>1196.8779380000001</v>
      </c>
      <c r="AC42" s="3">
        <f>1998.8+(279.1-1169)+(-2.038776+(-0.284682--1.19238))+0-0-0</f>
        <v>1107.7689220000002</v>
      </c>
      <c r="AD42">
        <v>1294.5</v>
      </c>
      <c r="AE42" s="3">
        <f>2138+(190.5-1034)+(0+(0-0))+0-0-0</f>
        <v>1294.5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1758.5+(262.3-1002.2)+(-5.38101+(-0.802638--3.066732))+0-0-0</f>
        <v>1015.483084</v>
      </c>
      <c r="G43" s="3">
        <f>1395.6+(288-732.4)+(-2.847024+(-0.58752--1.494096))+0-0-0</f>
        <v>949.25955199999999</v>
      </c>
      <c r="H43" s="3">
        <f>1357.6+(308.1-742.3)+(-1.384752+(-0.314262--0.757146))+0-0-0</f>
        <v>922.45813199999998</v>
      </c>
      <c r="I43" s="3">
        <f>1357.4+(302-749.4)+(-2.076822+(-0.46206--1.146582))+0-0-0</f>
        <v>908.60770000000014</v>
      </c>
      <c r="J43" s="3">
        <f>1360.8+(306.2-758.3)+(-0.694008+(-0.156162--0.386733))+0-0-0</f>
        <v>908.23656300000005</v>
      </c>
      <c r="K43" s="3">
        <f>1364.9+(313.2-766.2)+(-2.784396+(-0.638928--1.563048))+0-0-0</f>
        <v>910.03972400000009</v>
      </c>
      <c r="L43" s="3">
        <f>1364.1+(291.3-755.2)+(-4.174146+(-0.891378--2.310912))+0-0-0</f>
        <v>897.44538799999987</v>
      </c>
      <c r="M43" s="3">
        <f>1360.5+(299.8-706.8)+(-1.38771+(-0.305796--0.720936))+0-0-0</f>
        <v>952.52742999999998</v>
      </c>
      <c r="N43" s="3">
        <f>1460.7+(313-750.1)+(-2.234871+(-0.47889--1.147653))+0-0-0</f>
        <v>1022.033892</v>
      </c>
      <c r="O43" s="3">
        <f>1603.8+(320.9-837.6)+(-2.453814+(-0.490977--1.281528))+0-0-0</f>
        <v>1085.436737</v>
      </c>
      <c r="P43" s="3">
        <f>1750.9+(321.4-951)+(-3.571836+(-0.655656--1.94004))+0-0-0</f>
        <v>1119.0125480000002</v>
      </c>
      <c r="Q43" s="3">
        <f>1851+(320.5-1038.4)+(-2.83203+(-0.490365--1.588752))+0-0-0</f>
        <v>1131.3663569999999</v>
      </c>
      <c r="R43" s="3">
        <f>2008.5+(319.3-1195.7)+(-5.121675+(-0.814215--3.049035))+0-0-0</f>
        <v>1129.2131449999999</v>
      </c>
      <c r="S43" s="3">
        <f>2091.3+(279.3-1256.7)+(-1.066563+(-0.142443--0.640917))+0-0-0</f>
        <v>1113.331911</v>
      </c>
      <c r="T43" s="3">
        <f>2020.2+(289.6-1216.6)+(-3.090906+(-0.443088--1.861398))+0-0-0</f>
        <v>1091.5274040000002</v>
      </c>
      <c r="U43" s="3">
        <f>2013.8+(292.9-1231.5)+(-5.13519+(-0.746895--3.140325))+0-0-0</f>
        <v>1072.4582399999997</v>
      </c>
      <c r="V43" s="3">
        <f>2017+(293-1238.2)+(-5.14335+(-0.74715--3.15741))+0-0-0</f>
        <v>1069.06691</v>
      </c>
      <c r="W43" s="3">
        <f>2018.6+(276.2-1225.5)+(-4.117944+(-0.563448--2.50002))+0-0-0</f>
        <v>1067.1186279999999</v>
      </c>
      <c r="X43" s="3">
        <f>1982.9+(273.1-1173.4)+(-5.056395+(-0.696405--2.99217))+0-0-0</f>
        <v>1079.8393699999999</v>
      </c>
      <c r="Y43" s="3">
        <f>1934.2+(249.7-1031.2)+(0.986442+(0.127347-0.525912))+0-0-0</f>
        <v>1153.287877</v>
      </c>
      <c r="Z43" s="3">
        <f>2144.4+(254.7-1080.1)+(-2.187288+(-0.259794--1.101702))+0-0-0</f>
        <v>1317.6546200000003</v>
      </c>
      <c r="AA43" s="3">
        <f>2056+(272-1034.7)+(-6.29136+(-0.83232--3.166182))+0-0-0</f>
        <v>1289.342502</v>
      </c>
      <c r="AB43" s="3">
        <f>1914+(301.8-995.7)+(-6.83298+(-1.077426--3.554649))+0-0-0</f>
        <v>1215.7442429999999</v>
      </c>
      <c r="AC43" s="3">
        <f>1783.6+(304.5-961.3)+(-2.728908+(-0.465885--1.470789))+0-0-0</f>
        <v>1125.075996</v>
      </c>
      <c r="AD43">
        <v>1328.5</v>
      </c>
      <c r="AE43" s="3">
        <f>2154+(243.5-1069)+(0+(0-0))+0-0-0</f>
        <v>1328.5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1530+(291-744.1)+(0+(0-0))+0-0-0</f>
        <v>1076.9000000000001</v>
      </c>
      <c r="G44" s="3">
        <f>1480+(270.8-718)+(0+(0-0))+0-0-0</f>
        <v>1032.8</v>
      </c>
      <c r="H44" s="3">
        <f>1380+(268.4-699.7)+(0+(0-0))+0-0-0</f>
        <v>948.69999999999993</v>
      </c>
      <c r="I44" s="3">
        <f>1360+(269.5-710)+(0+(0-0))+0-0-0</f>
        <v>919.5</v>
      </c>
      <c r="J44" s="3">
        <f>1352.1+(273.9-714.9)+(-2.068713+(-0.419067--1.093797))+0-0-0</f>
        <v>909.70601699999986</v>
      </c>
      <c r="K44" s="3">
        <f>1352.8+(276.2-719.1)+(-1.379856+(-0.281724--0.733482))+0-0-0</f>
        <v>908.97190199999989</v>
      </c>
      <c r="L44" s="3">
        <f>1352.3+(264.8-727.5)+(1.379346+(0.270096-0.74205))+0-0-0</f>
        <v>890.50739199999987</v>
      </c>
      <c r="M44" s="3">
        <f>1421.5+(266.4-738)+(1.44993+(0.271728-0.75276))+0-0-0</f>
        <v>950.86889799999994</v>
      </c>
      <c r="N44" s="3">
        <f>1573.7+(282.9-824.8)+(-0.802587+(-0.144279--0.420648))+0-0-0</f>
        <v>1031.2737820000002</v>
      </c>
      <c r="O44" s="3">
        <f>1651+(308.1-868.4)+(0+(0-0))+0-0-0</f>
        <v>1090.7</v>
      </c>
      <c r="P44" s="3">
        <f>1778.5+(298.5-970.6)+(0+(0-0))+0-0-0</f>
        <v>1106.4000000000001</v>
      </c>
      <c r="Q44" s="3">
        <f>1950.7+(305.2-1103.8)+(-3.979428+(-0.622608--2.251752))+0-0-0</f>
        <v>1149.749716</v>
      </c>
      <c r="R44" s="3">
        <f>2063.4+(317.4-1207.9)+(-1.052334+(-0.161874--0.616029))+0-0-0</f>
        <v>1172.301821</v>
      </c>
      <c r="S44" s="3">
        <f>2107.4+(318.9-1279.4)+(0+(0-0))+0-0-0</f>
        <v>1146.9000000000001</v>
      </c>
      <c r="T44" s="3">
        <f>2107.8+(318.1-1297.5)+(-1.074978+(-0.162231--0.661725))+0-0-0</f>
        <v>1127.8245160000001</v>
      </c>
      <c r="U44" s="3">
        <f>2108.3+(313.8-1318.6)+(-7.526631+(-1.120266--4.707402))+0-0-0</f>
        <v>1099.5605050000001</v>
      </c>
      <c r="V44" s="3">
        <f>2106.7+(309.7-1311.8)+(-6.446502+(-0.947682--4.014108))+0-0-0</f>
        <v>1101.219924</v>
      </c>
      <c r="W44" s="3">
        <f>2104.8+(314.9-1316.2)+(-7.514136+(-1.124193--4.698834))+0-0-0</f>
        <v>1099.5605049999999</v>
      </c>
      <c r="X44" s="3">
        <f>2036.6+(314.2-1237.5)+(-5.19333+(-0.80121--3.155625))+0-0-0</f>
        <v>1110.4610849999999</v>
      </c>
      <c r="Y44" s="3">
        <f>2019.9+(299.7-1143)+(-5.150745+(-0.764235--2.91465))+0-0-0</f>
        <v>1173.5996700000001</v>
      </c>
      <c r="Z44" s="3">
        <f>2134.5+(278.2-1087.7)+(-4.35438+(-0.567528--2.218908))+0-0-0</f>
        <v>1322.297</v>
      </c>
      <c r="AA44" s="3">
        <f>1964.9+(312.9-987.6)+(-4.008396+(-0.638316--2.014704))+0-0-0</f>
        <v>1287.567992</v>
      </c>
      <c r="AB44" s="3">
        <f>1843.3+(310.7-938.2)+(0.940083+(0.158457-0.478482))+0-0-0</f>
        <v>1216.4200579999999</v>
      </c>
      <c r="AC44" s="3">
        <f>1728.2+(312.1-915.1)+(-1.762764+(-0.318342--0.933402))+0-0-0</f>
        <v>1124.0522960000001</v>
      </c>
      <c r="AD44">
        <v>1328.6000000000001</v>
      </c>
      <c r="AE44" s="3">
        <f>2147+(275.8-1094.2)+(0+(0-0))+0-0-0</f>
        <v>1328.6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1550.7+(312-822.3)+(0+(0-0))+0-0-0</f>
        <v>1040.4000000000001</v>
      </c>
      <c r="G45" s="3">
        <f>1389.2+(306.2-726.5)+(-1.416984+(-0.312324--0.74103))+0-0-0</f>
        <v>967.91172200000005</v>
      </c>
      <c r="H45" s="3">
        <f>1348.2+(310.4-722.2)+(0+(0-0))+0-0-0</f>
        <v>936.4</v>
      </c>
      <c r="I45" s="3">
        <f>1419.8+(308-809.8)+(-2.172294+(-0.47124--1.238994))+0-0-0</f>
        <v>916.59546</v>
      </c>
      <c r="J45" s="3">
        <f>1498.8+(287.1-875.8)+(1.528776+(0.292842-0.893316))+0-0-0</f>
        <v>911.02830200000005</v>
      </c>
      <c r="K45" s="3">
        <f>1499.7+(291.5-876.3)+(-3.059388+(-0.59466--1.787652))+0-0-0</f>
        <v>913.03360400000008</v>
      </c>
      <c r="L45" s="3">
        <f>1499.2+(282.3-891.4)+(-0.764592+(-0.143973--0.454614))+0-0-0</f>
        <v>889.64604900000018</v>
      </c>
      <c r="M45" s="3">
        <f>1576.9+(282.7-925.9)+(-0.804219+(-0.144177--0.472209))+0-0-0</f>
        <v>933.22381300000006</v>
      </c>
      <c r="N45" s="3">
        <f>1707.2+(311.6-998.9)+(-0.870672+(-0.158916--0.509439))+0-0-0</f>
        <v>1019.3798510000001</v>
      </c>
      <c r="O45" s="3">
        <f>1791.4+(297.3-1001.8)+(-1.827228+(-0.303246--1.021836))+0-0-0</f>
        <v>1085.7913620000002</v>
      </c>
      <c r="P45" s="3">
        <f>1889.2+(280.8-1039.8)+(-2.890476+(-0.429624--1.590894))+6.4-0-0</f>
        <v>1134.8707940000002</v>
      </c>
      <c r="Q45" s="3">
        <f>1817.9+(288.9-955.4)+(0+(0-0))+0-0-0</f>
        <v>1151.4000000000001</v>
      </c>
      <c r="R45" s="3">
        <f>1750.2+(298.7-915.4)+(-4.46301+(-0.761685--2.33427))+0-0-0</f>
        <v>1130.6095749999999</v>
      </c>
      <c r="S45" s="3">
        <f>1750.6+(302.2-963.8)+(0+(0-0))+0-0-0</f>
        <v>1089</v>
      </c>
      <c r="T45" s="3">
        <f>1981+(317.1-1223.6)+(-4.04124+(-0.646884--2.496144))+0-0-0</f>
        <v>1072.3080199999999</v>
      </c>
      <c r="U45" s="3">
        <f>2089.2+(307.6-1335.1)+(-5.32746+(-0.78438--3.404505))+0-0-0</f>
        <v>1058.9926649999998</v>
      </c>
      <c r="V45" s="3">
        <f>2089.8+(312.9-1347.9)+(-3.197394+(-0.478737--2.062287))+0-0-0</f>
        <v>1053.1861560000002</v>
      </c>
      <c r="W45" s="3">
        <f>2091.6+(296.1-1323.3)+(-3.200148+(-0.453033--2.024649))+0-0-0</f>
        <v>1062.7714680000001</v>
      </c>
      <c r="X45" s="3">
        <f>2078.8+(290.6-1295.5)+(-5.30094+(-0.74103--3.303525))+0-0-0</f>
        <v>1071.1615550000001</v>
      </c>
      <c r="Y45" s="3">
        <f>1946.4+(301.6-1130.2)+(-2.977992+(-0.461448--1.729206))+0-0-0</f>
        <v>1116.0897660000003</v>
      </c>
      <c r="Z45" s="3">
        <f>1947.9+(323.7-973.4)+(-0.993429+(-0.165087--0.496434))+0-0-0</f>
        <v>1297.537918</v>
      </c>
      <c r="AA45" s="3">
        <f>1948.5+(318.3-973.4)+(-3.97494+(-0.649332--1.985736))+0-0-0</f>
        <v>1290.7614640000002</v>
      </c>
      <c r="AB45" s="3">
        <f>1847.3+(310-933.1)+(-4.710615+(-0.7905--2.379405))+0-0-0</f>
        <v>1221.0782899999999</v>
      </c>
      <c r="AC45" s="3">
        <f>1748.4+(303.2-912.5)+(-2.675052+(-0.463896--1.396125))+0-0-0</f>
        <v>1137.3571770000001</v>
      </c>
      <c r="AD45">
        <v>1310.2</v>
      </c>
      <c r="AE45" s="3">
        <f>1946+(315.4-951.2)+(0+(0-0))+0-0-0</f>
        <v>1310.1999999999998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1576.4+(294.3-827.2)+(-3.215856+(-0.600372--1.687488))+0-0-0</f>
        <v>1041.3712599999999</v>
      </c>
      <c r="G46" s="3">
        <f>1349+(352.9-737.9)+(-0.68799+(-0.179979--0.376329))+0-0-0</f>
        <v>963.50836000000004</v>
      </c>
      <c r="H46" s="3">
        <f>1307.8+(360.8-738.6)+(-0.666978+(-0.184008--0.376686))+0-0-0</f>
        <v>929.52570000000003</v>
      </c>
      <c r="I46" s="3">
        <f>1122.6+(351.1-575.4)+(-0.572526+(-0.179061--0.293454))+0-0-0</f>
        <v>897.84186699999998</v>
      </c>
      <c r="J46" s="3">
        <f>1159.9+(326.7-590.2)+(-2.366196+(-0.666468--1.204008))+0-0-0</f>
        <v>894.57134400000007</v>
      </c>
      <c r="K46" s="3">
        <f>1309.5+(291.9-695.8)+(-5.34276+(-1.190952--2.838864))+0-0-0</f>
        <v>901.90515200000004</v>
      </c>
      <c r="L46" s="3">
        <f>1364.5+(247.1-759.8)+(-2.087685+(-0.378063--1.162494))+0-0-0</f>
        <v>850.49674600000003</v>
      </c>
      <c r="M46" s="3">
        <f>1445.5+(236.8-771.6)+(0+(0-0))+0-0-0</f>
        <v>910.7</v>
      </c>
      <c r="N46" s="3">
        <f>1493.2+(247.6-732.2)+(0+(0-0))+0-0-0</f>
        <v>1008.6</v>
      </c>
      <c r="O46" s="3">
        <f>1488.6+(257.1-680.2)+(0.759186+(0.131121-0.346902))+0-0-0</f>
        <v>1066.0434049999999</v>
      </c>
      <c r="P46" s="3">
        <f>1485.2+(255.5-653.1)+(-2.272356+(-0.390915--0.999243))+0-0-0</f>
        <v>1085.935972</v>
      </c>
      <c r="Q46" s="3">
        <f>1502.5+(298.6-674.6)+(-2.298825+(-0.456858--1.032138))+0-0-0</f>
        <v>1124.7764549999999</v>
      </c>
      <c r="R46" s="3">
        <f>1578+(298.1-749.8)+(-2.41434+(-0.456093--1.147194))+0-0-0</f>
        <v>1124.5767610000003</v>
      </c>
      <c r="S46" s="3">
        <f>1577.2+(282.8-770.2)+(-1.608744+(-0.288456--0.785604))+0-0-0</f>
        <v>1088.688404</v>
      </c>
      <c r="T46" s="3">
        <f>1575+(278.7-784)+(0.80325+(0.142137-0.39984))+0-0-0</f>
        <v>1070.245547</v>
      </c>
      <c r="U46" s="3">
        <f>1574.9+(273.5-782)+(-2.409597+(-0.418455--1.19646))+0-0-0</f>
        <v>1064.7684080000001</v>
      </c>
      <c r="V46" s="3">
        <f>1574.5+(268.4-772.6)+(-3.21198+(-0.547536--1.576104))+0-0-0</f>
        <v>1068.1165879999999</v>
      </c>
      <c r="W46" s="3">
        <f>1576.5+(283-781.4)+(-2.412045+(-0.43299--1.195542))+0-0-0</f>
        <v>1076.450507</v>
      </c>
      <c r="X46" s="3">
        <f>1578.6+(265.6-777)+(-3.220344+(-0.541824--1.58508))+0-0-0</f>
        <v>1065.0229119999999</v>
      </c>
      <c r="Y46" s="3">
        <f>1627.2+(255.1-787.6)+(-0.829872+(-0.130101--0.401676))+0-0-0</f>
        <v>1094.141703</v>
      </c>
      <c r="Z46" s="3">
        <f>2025.6+(269-991.3)+(-5.16528+(-0.68595--2.527815))+0-0-0</f>
        <v>1299.9765849999999</v>
      </c>
      <c r="AA46" s="3">
        <f>2125.7+(267.1-1092.1)+(-3.252321+(-0.408663--1.670913))+0-0-0</f>
        <v>1298.7099289999999</v>
      </c>
      <c r="AB46" s="3">
        <f>2018.5+(267.1-1049.5)+(-3.088305+(-0.408663--1.605735))+0-0-0</f>
        <v>1234.2087669999999</v>
      </c>
      <c r="AC46" s="3">
        <f>1745.2+(285.9-895.6)+(-1.780104+(-0.291618--0.913512))+0-0-0</f>
        <v>1134.3417899999999</v>
      </c>
      <c r="AD46">
        <v>1342.8000000000002</v>
      </c>
      <c r="AE46" s="3">
        <f>2133+(278.4-1068.6)+(0+(0-0))+0-0-0</f>
        <v>1342.8000000000002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1658.4+(292.9-890)+(-2.537352+(-0.448137--1.3617))+0-0-0</f>
        <v>1059.6762110000002</v>
      </c>
      <c r="G47" s="3">
        <f>1453.2+(295.9-762.7)+(-2.223396+(-0.452727--1.166931))+0-0-0</f>
        <v>984.89080799999999</v>
      </c>
      <c r="H47" s="3">
        <f>1452.9+(321.2-835.8)+(0+(0-0))+0-0-0</f>
        <v>938.30000000000018</v>
      </c>
      <c r="I47" s="3">
        <f>1451.2+(348.3-883.8)+(-3.70056+(-0.888165--2.25369))+0-0-0</f>
        <v>913.3649650000001</v>
      </c>
      <c r="J47" s="3">
        <f>1283.4+(320.6-706.4)+(1.309068+(0.327012-0.720528))+0-0-0</f>
        <v>898.51555200000018</v>
      </c>
      <c r="K47" s="3">
        <f>1233.3+(346.2-694.2)+(-2.515932+(-0.706248--1.416168))+0-0-0</f>
        <v>883.49398799999994</v>
      </c>
      <c r="L47" s="3">
        <f>1116.4+(278.7-582.4)+(0.569364+(0.142137-0.297024))+0-0-0</f>
        <v>813.11447700000008</v>
      </c>
      <c r="M47" s="3">
        <f>1114.7+(285.4-577.6)+(0+(0-0))+0-0-0</f>
        <v>822.5</v>
      </c>
      <c r="N47" s="3">
        <f>1231.8+(253.3-613.9)+(-0.628218+(-0.129183--0.313089))+0-0-0</f>
        <v>870.75568800000008</v>
      </c>
      <c r="O47" s="3">
        <f>1526.1+(229.9-806.6)+(0+(0-0))+0-0-0</f>
        <v>949.39999999999986</v>
      </c>
      <c r="P47" s="3">
        <f>1769.4+(211.2-978)+(-0.902394+(-0.107712--0.49878))+0-0-0</f>
        <v>1002.0886740000001</v>
      </c>
      <c r="Q47" s="3">
        <f>1691.3+(233.7-900.9)+(0.862563+(0.119187-0.459459))+0-0-0</f>
        <v>1024.6222909999999</v>
      </c>
      <c r="R47" s="3">
        <f>1678+(234.5-879.5)+(-1.71156+(-0.23919--0.89709))+0-0-0</f>
        <v>1031.94634</v>
      </c>
      <c r="S47" s="3">
        <f>1763.1+(211.2-960.4)+(-1.798362+(-0.215424--0.979608))+0-0-0</f>
        <v>1012.8658219999999</v>
      </c>
      <c r="T47" s="3">
        <f>1895.9+(208-1108.6)+(-2.900727+(-0.31824--1.696158))+0-0-0</f>
        <v>993.77719100000013</v>
      </c>
      <c r="U47" s="3">
        <f>1904.8+(246.7-1159.6)+(-3.885792+(-0.503268--2.365584))+0-0-0</f>
        <v>989.87652400000013</v>
      </c>
      <c r="V47" s="3">
        <f>1904.8+(241.1-1152.1)+(-4.85724+(-0.614805--2.937855))+0-0-0</f>
        <v>991.2658100000001</v>
      </c>
      <c r="W47" s="3">
        <f>1896.5+(235-1139.9)+(-3.86886+(-0.4794--2.325396))+0-0-0</f>
        <v>989.57713599999988</v>
      </c>
      <c r="X47" s="3">
        <f>1890.6+(202.5-1091.8)+(-4.82103+(-0.516375--2.78409))+0-0-0</f>
        <v>998.74668499999996</v>
      </c>
      <c r="Y47" s="3">
        <f>1915.6+(187.1-1038.6)+(-3.907824+(-0.381684--2.118744))+0-0-0</f>
        <v>1061.9292359999999</v>
      </c>
      <c r="Z47" s="3">
        <f>2106.6+(208.6-1057.2)+(-5.37183+(-0.53193--2.69586))+0-0-0</f>
        <v>1254.7920999999999</v>
      </c>
      <c r="AA47" s="3">
        <f>2134.1+(224-1094)+(-5.441955+(-0.5712--2.7897))+0-0-0</f>
        <v>1260.8765449999999</v>
      </c>
      <c r="AB47" s="3">
        <f>2131.1+(218.4-1127.8)+(-2.173722+(-0.222768--1.150356))+0-0-0</f>
        <v>1220.4538659999998</v>
      </c>
      <c r="AC47" s="3">
        <f>2109.2+(239.7-1199.3)+(-3.227076+(-0.366741--1.834929))+0-0-0</f>
        <v>1147.8411119999998</v>
      </c>
      <c r="AD47">
        <v>1288.8000000000002</v>
      </c>
      <c r="AE47" s="3">
        <f>2137+(242.9-1091.1)+(0+(0-0))+0-0-0</f>
        <v>1288.8000000000002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2076.8+(257.8-1276.9)+(-4.236672+(-0.525912--2.604876))+0-0-0</f>
        <v>1055.5422920000001</v>
      </c>
      <c r="G48" s="3">
        <f>1951+(249.6-1216.6)+(-4.97505+(-0.63648--3.10233))+0-0-0</f>
        <v>981.49080000000015</v>
      </c>
      <c r="H48" s="3">
        <f>1696.9+(242.8-1013.9)+(-3.461676+(-0.495312--2.068356))+0-0-0</f>
        <v>923.91136800000015</v>
      </c>
      <c r="I48" s="3">
        <f>1468.6+(270.7-847.3)+(-2.246958+(-0.414171--1.296369))+0-0-0</f>
        <v>890.63523999999995</v>
      </c>
      <c r="J48" s="3">
        <f>1394.6+(269.3-782.9)+(-2.844984+(-0.549372--1.597116))+0-0-0</f>
        <v>879.20276000000001</v>
      </c>
      <c r="K48" s="3">
        <f>1353.5+(247.6-728.6)+(-2.070855+(-0.378828--1.114758))+0-0-0</f>
        <v>871.165075</v>
      </c>
      <c r="L48" s="3">
        <f>1353.8+(226.3-745.3)+(-3.45219+(-0.577065--1.900515))+0-0-0</f>
        <v>832.67125999999996</v>
      </c>
      <c r="M48" s="3">
        <f>1353.3+(228.9-737.1)+(1.380366+(0.233478-0.751842))+0-0-0</f>
        <v>845.96200199999987</v>
      </c>
      <c r="N48" s="3">
        <f>1352.8+(235.6-681.6)+(-0.689928+(-0.120156--0.347616))+0-0-0</f>
        <v>906.33753200000001</v>
      </c>
      <c r="O48" s="3">
        <f>1351.7+(253.3-639.2)+(-1.378734+(-0.258366--0.651984))+0-0-0</f>
        <v>964.81488400000001</v>
      </c>
      <c r="P48" s="3">
        <f>1350.5+(270.3-625.3)+(-2.75502+(-0.551412--1.275612))+0-0-0</f>
        <v>993.46918000000005</v>
      </c>
      <c r="Q48" s="3">
        <f>1387.5+(266.3-640.6)+(-2.122875+(-0.407439--0.980118))+0-0-0</f>
        <v>1011.649804</v>
      </c>
      <c r="R48" s="3">
        <f>1459.1+(236.8-689.2)+(-2.976564+(-0.483072--1.405968))+0-0-0</f>
        <v>1004.6463319999998</v>
      </c>
      <c r="S48" s="3">
        <f>1457.6+(257.2-733.4)+(-3.71688+(-0.65586--1.87017))+2.4-0-0</f>
        <v>981.29742999999985</v>
      </c>
      <c r="T48" s="3">
        <f>1418.7+(248.6-700.1)+(-1.447074+(-0.253572--0.714102))+0-0-0</f>
        <v>966.21345600000006</v>
      </c>
      <c r="U48" s="3">
        <f>1351.9+(258.3-648.1)+(-2.757876+(-0.526932--1.322124))+0-0-0</f>
        <v>960.13731600000017</v>
      </c>
      <c r="V48" s="3">
        <f>1351.5+(258.2-644)+(0+(0-0))+0-0-0</f>
        <v>965.7</v>
      </c>
      <c r="W48" s="3">
        <f>1352.7+(260.4-647.4)+(-2.069631+(-0.398412--0.990522))+0-0-0</f>
        <v>964.22247900000002</v>
      </c>
      <c r="X48" s="3">
        <f>1353.1+(260.2-636.3)+(-2.760324+(-0.530808--1.298052))+0-0-0</f>
        <v>975.00692000000004</v>
      </c>
      <c r="Y48" s="3">
        <f>1475.2+(251.5-673.3)+(-3.009408+(-0.51306--1.373532))+0-0-0</f>
        <v>1051.251064</v>
      </c>
      <c r="Z48" s="3">
        <f>2102.5+(175.5-1031.5)+(-3.216825+(-0.268515--1.578195))+0-0-0</f>
        <v>1244.5928550000001</v>
      </c>
      <c r="AA48" s="3">
        <f>2137.5+(187.4-1079.5)+(-4.3605+(-0.382296--2.20218))+0-0-0</f>
        <v>1242.8593840000001</v>
      </c>
      <c r="AB48" s="3">
        <f>2113.7+(220.6-1154.1)+(-2.155974+(-0.225012--1.177182))+0-0-0</f>
        <v>1178.9961959999998</v>
      </c>
      <c r="AC48" s="3">
        <f>1983.3+(220.3-1111.8)+(-4.045932+(-0.449412--2.268072))+0-0-0</f>
        <v>1089.5727279999999</v>
      </c>
      <c r="AD48">
        <v>1296.4999999999998</v>
      </c>
      <c r="AE48" s="3">
        <f>2144.6+(192.2-1040.3)+(0+(0-0))+0-0-0</f>
        <v>1296.5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1743.8+(253.7-1001.8)+(0+(0-0))+0-0-0</f>
        <v>995.7</v>
      </c>
      <c r="G49" s="3">
        <f>1586.7+(232.7-874.6)+(-0.809217+(-0.118677--0.446046))+0-0-0</f>
        <v>944.31815199999994</v>
      </c>
      <c r="H49" s="3">
        <f>1353.1+(254.4-708.8)+(-4.830567+(-0.908208--2.530416))+0-0-0</f>
        <v>895.49164099999996</v>
      </c>
      <c r="I49" s="3">
        <f>1351+(253.4-718.6)+(-2.06703+(-0.387702--1.099458))+0-0-0</f>
        <v>884.44472599999995</v>
      </c>
      <c r="J49" s="3">
        <f>1350.3+(227.4-693.8)+(0+(0-0))+0-0-0</f>
        <v>883.9</v>
      </c>
      <c r="K49" s="3">
        <f>1350.2+(263.1-731.2)+(-0.688602+(-0.134181--0.372912))+0-0-0</f>
        <v>881.65012899999999</v>
      </c>
      <c r="L49" s="3">
        <f>1350+(250.9-730.6)+(-0.6885+(-0.127959--0.372606))+0-0-0</f>
        <v>869.85614699999996</v>
      </c>
      <c r="M49" s="3">
        <f>1437.7+(270.6-783.9)+(0.733227+(0.138006-0.399789))+0-0-0</f>
        <v>924.87144400000011</v>
      </c>
      <c r="N49" s="3">
        <f>1814.4+(281.5-1077.9)+(1.850688+(0.28713-1.099458))+0-0-0</f>
        <v>1019.03836</v>
      </c>
      <c r="O49" s="3">
        <f>1935.8+(373.8-1215)+(0+(0-0))+0-0-0</f>
        <v>1094.5999999999999</v>
      </c>
      <c r="P49" s="3">
        <f>2114.5+(345.6-1327.3)+(0+(0-0))+0-0-0</f>
        <v>1132.8000000000002</v>
      </c>
      <c r="Q49" s="3">
        <f>2171.4+(328-1346.2)+(1.107414+(0.16728-0.686562))+0-0-0</f>
        <v>1153.7881320000001</v>
      </c>
      <c r="R49" s="3">
        <f>2208+(334.6-1390.8)+(2.25216+(0.341292-1.418616))+0-0-0</f>
        <v>1152.9748360000001</v>
      </c>
      <c r="S49" s="3">
        <f>2133.4+(334.7-1344.3)+(-1.088034+(-0.170697--0.685593))+0-0-0</f>
        <v>1123.2268620000002</v>
      </c>
      <c r="T49" s="3">
        <f>2098+(348.2-1342.5)+(0+(0-0))+0-0-0</f>
        <v>1103.7</v>
      </c>
      <c r="U49" s="3">
        <f>2098.5+(356.8-1375.3)+(0+(0-0))+0-0-0</f>
        <v>1080</v>
      </c>
      <c r="V49" s="3">
        <f>2099.7+(372.1-1393.3)+(-4.283388+(-0.759084--2.842332))+0-0-0</f>
        <v>1076.2998600000001</v>
      </c>
      <c r="W49" s="3">
        <f>2099.9+(383.2-1387.6)+(-4.283796+(-0.781728--2.830704))+0-0-0</f>
        <v>1093.2651800000003</v>
      </c>
      <c r="X49" s="3">
        <f>2069.8+(330-1285.3)+(-8.444784+(-1.3464--5.244024))+0-0-0</f>
        <v>1109.9528400000002</v>
      </c>
      <c r="Y49" s="3">
        <f>2060.4+(241.8-1111.7)+(-5.25402+(-0.61659--2.834835))+0-0-0</f>
        <v>1187.4642249999999</v>
      </c>
      <c r="Z49" s="3">
        <f>2127.9+(319.7-1137.9)+(-3.255687+(-0.489141--1.740987))+0-0-0</f>
        <v>1307.6961590000001</v>
      </c>
      <c r="AA49" s="3">
        <f>2139.6+(292.6-1141.1)+(-6.547176+(-0.895356--3.491766))+0-0-0</f>
        <v>1287.149234</v>
      </c>
      <c r="AB49" s="3">
        <f>2138.3+(269-1187)+(-2.181066+(-0.27438--1.21074))+0-0-0</f>
        <v>1219.0552940000002</v>
      </c>
      <c r="AC49" s="3">
        <f>2139+(272.1-1277.5)+(-2.18178+(-0.277542--1.30305))+0-0-0</f>
        <v>1132.443728</v>
      </c>
      <c r="AD49">
        <v>1337.7</v>
      </c>
      <c r="AE49" s="3">
        <f>2143+(315-1120.3)+(0+(0-0))+0-0-0</f>
        <v>1337.7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1962.8+(260.8-1169.3)+(-5.00514+(-0.66504--2.981715))+0-0-0</f>
        <v>1051.611535</v>
      </c>
      <c r="G50" s="3">
        <f>1566.2+(265.1-843.1)+(-1.597524+(-0.270402--0.859962))+0-0-0</f>
        <v>987.19203600000003</v>
      </c>
      <c r="H50" s="3">
        <f>1407.1+(285.1-742.3)+(-1.435242+(-0.290802--0.757146))+0-0-0</f>
        <v>948.93110200000001</v>
      </c>
      <c r="I50" s="3">
        <f>1404+(292.8-768.3)+(0+(0-0))+0-0-0</f>
        <v>928.5</v>
      </c>
      <c r="J50" s="3">
        <f>1404.2+(309.2-789.5)+(1.432284+(0.315384-0.80529))+0-0-0</f>
        <v>924.84237800000005</v>
      </c>
      <c r="K50" s="3">
        <f>1405.4+(310.8-802.6)+(-3.58377+(-0.79254--2.04663))+0-0-0</f>
        <v>911.27032000000008</v>
      </c>
      <c r="L50" s="3">
        <f>1405.1+(305.8-801.8)+(-3.583005+(-0.77979--2.04459))+0-0-0</f>
        <v>906.78179499999987</v>
      </c>
      <c r="M50" s="3">
        <f>1530.2+(320.8-891.6)+(0+(0-0))+0-0-0</f>
        <v>959.40000000000009</v>
      </c>
      <c r="N50" s="3">
        <f>1785.9+(410.1-1151.3)+(-1.821618+(-0.418302--1.174326))+0-0-0</f>
        <v>1043.6344060000004</v>
      </c>
      <c r="O50" s="3">
        <f>2063.2+(370.4-1309)+(-4.208928+(-0.755616--2.67036))+0-0-0</f>
        <v>1122.3058159999998</v>
      </c>
      <c r="P50" s="3">
        <f>2107.6+(335.4-1297.5)+(-1.074876+(-0.171054--0.661725))+0-0-0</f>
        <v>1144.9157949999999</v>
      </c>
      <c r="Q50" s="3">
        <f>2111.4+(339.8-1273)+(0+(0-0))+0-0-0</f>
        <v>1178.2</v>
      </c>
      <c r="R50" s="3">
        <f>2196.2+(330.2-1346)+(-4.480248+(-0.673608--2.74584))+0-0-0</f>
        <v>1177.9919839999998</v>
      </c>
      <c r="S50" s="3">
        <f>2244.9+(319.3-1434.3)+(-6.869394+(-0.977058--4.388958))+0-0-0</f>
        <v>1126.4425060000001</v>
      </c>
      <c r="T50" s="3">
        <f>2262.6+(340.7-1505.9)+(-4.615704+(-0.695028--3.072036))+0-0-0</f>
        <v>1095.161304</v>
      </c>
      <c r="U50" s="3">
        <f>2146.5+(360.9-1436.4)+(0+(0-0))+0-0-0</f>
        <v>1071</v>
      </c>
      <c r="V50" s="3">
        <f>2146.6+(337.1-1406.5)+(-5.47383+(-0.859605--3.586575))+0-0-0</f>
        <v>1074.4531399999998</v>
      </c>
      <c r="W50" s="3">
        <f>2145.6+(263.4-1317.9)+(-5.47128+(-0.67167--3.360645))+0-0-0</f>
        <v>1088.317695</v>
      </c>
      <c r="X50" s="3">
        <f>2145.1+(229.5-1261.9)+(-4.376004+(-0.46818--2.574276))+0-0-0</f>
        <v>1110.4300919999998</v>
      </c>
      <c r="Y50" s="3">
        <f>2154.4+(201.7-1207.8)+(-1.098744+(-0.102867--0.615978))+0-0-0</f>
        <v>1147.7143670000003</v>
      </c>
      <c r="Z50" s="3">
        <f>2153.6+(294-1165.9)+(-1.098336+(-0.14994--0.594609))+0-0-0</f>
        <v>1281.0463329999998</v>
      </c>
      <c r="AA50" s="3">
        <f>2028.9+(235.9-996.7)+(-1.034739+(-0.120309--0.508317))+0-0-0</f>
        <v>1267.4532689999999</v>
      </c>
      <c r="AB50" s="3">
        <f>1964.5+(266.4-1031.1)+(-1.001895+(-0.135864--0.525861))+0-0-0</f>
        <v>1199.1881020000001</v>
      </c>
      <c r="AC50" s="3">
        <f>1966.4+(297.6-1150.5)+(-5.01432+(-0.75888--2.933775))+0-0-0</f>
        <v>1110.6605750000001</v>
      </c>
      <c r="AD50">
        <v>1299.3999999999999</v>
      </c>
      <c r="AE50" s="3">
        <f>2147.5+(298.2-1146.3)+(0+(0-0))+0-0-0</f>
        <v>1299.4000000000001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1798+(309.7-1098.3)+(-1.83396+(-0.315894--1.120266))+0-0-0</f>
        <v>1008.3704120000001</v>
      </c>
      <c r="G51" s="3">
        <f>1670.5+(317.7-1043.1)+(-3.40782+(-0.648108--2.127924))+0-0-0</f>
        <v>943.17199600000015</v>
      </c>
      <c r="H51" s="3">
        <f>1393+(353-833.1)+(0+(0-0))+0-0-0</f>
        <v>912.9</v>
      </c>
      <c r="I51" s="3">
        <f>1359.3+(339-799.4)+(-3.466215+(-0.86445--2.03847))+0-0-0</f>
        <v>896.60780499999998</v>
      </c>
      <c r="J51" s="3">
        <f>1359.8+(299.5-761.9)+(-3.46749+(-0.763725--1.942845))+0-0-0</f>
        <v>895.11162999999999</v>
      </c>
      <c r="K51" s="3">
        <f>1359.3+(332.1-799.1)+(-1.386486+(-0.338742--0.815082))+0-0-0</f>
        <v>891.3898539999999</v>
      </c>
      <c r="L51" s="3">
        <f>1359.5+(258.5-736.8)+(-4.853415+(-0.922845--2.630376))+0-0-0</f>
        <v>878.05411600000002</v>
      </c>
      <c r="M51" s="3">
        <f>1418.4+(281.9-773.3)+(2.170152+(0.431307-1.183149))+0-0-0</f>
        <v>928.41831000000013</v>
      </c>
      <c r="N51" s="3">
        <f>1804.3+(315.7-1095.7)+(1.840386+(0.322014-1.117614))+0-0-0</f>
        <v>1025.3447859999999</v>
      </c>
      <c r="O51" s="3">
        <f>2106.7+(298.6-1305.3)+(-2.148834+(-0.304572--1.331406))+0-0-0</f>
        <v>1098.8779999999999</v>
      </c>
      <c r="P51" s="3">
        <f>2089.3+(295.2-1255.9)+(-3.196629+(-0.451656--1.921527))+0-0-0</f>
        <v>1126.8732420000001</v>
      </c>
      <c r="Q51" s="3">
        <f>2063+(291.3-1216.6)+(1.05213+(0.148563-0.620466))+0-0-0</f>
        <v>1138.280227</v>
      </c>
      <c r="R51" s="3">
        <f>2051+(304.5-1230.9)+(-2.09202+(-0.31059--1.255518))+0-0-0</f>
        <v>1123.452908</v>
      </c>
      <c r="S51" s="3">
        <f>2072.9+(365.2-1347.3)+(-2.114358+(-0.372504--1.374246))+0-0-0</f>
        <v>1089.6873840000003</v>
      </c>
      <c r="T51" s="3">
        <f>2253.7+(350-1527)+(-2.298774+(-0.357--1.55754))+0-0-0</f>
        <v>1075.6017659999998</v>
      </c>
      <c r="U51" s="3">
        <f>2333.4+(334-1601.7)+(-5.95017+(-0.8517--4.084335))+0-0-0</f>
        <v>1062.982465</v>
      </c>
      <c r="V51" s="3">
        <f>2361.7+(324.7-1622.3)+(-2.408934+(-0.331194--1.654746))+0-0-0</f>
        <v>1063.0146179999999</v>
      </c>
      <c r="W51" s="3">
        <f>2260+(288.3-1476.5)+(-8.0682+(-1.029231--5.271105))+0-0-0</f>
        <v>1067.9736739999998</v>
      </c>
      <c r="X51" s="3">
        <f>2260.1+(255-1432)+(-8.068557+(-0.91035--5.11224))+0-0-0</f>
        <v>1079.2333329999999</v>
      </c>
      <c r="Y51" s="3">
        <f>2181.6+(254.4-1305.3)+(-2.225232+(-0.259488--1.331406))+0-0-0</f>
        <v>1129.5466860000001</v>
      </c>
      <c r="Z51" s="3">
        <f>2229.2+(251.7-1202.2)+(-3.410676+(-0.385101--1.839366))+0-0-0</f>
        <v>1276.7435889999999</v>
      </c>
      <c r="AA51" s="3">
        <f>2287.5+(261.1-1275.9)+(-5.833125+(-0.665805--3.253545))+0-0-0</f>
        <v>1269.4546149999999</v>
      </c>
      <c r="AB51" s="3">
        <f>2217.8+(277.7-1290.4)+(0+(0-0))+0-0-0</f>
        <v>1205.1000000000001</v>
      </c>
      <c r="AC51" s="3">
        <f>2158.8+(279.6-1311.9)+(-6.605928+(-0.855576--4.014414))+0-0-0</f>
        <v>1123.0529100000001</v>
      </c>
      <c r="AD51">
        <v>1306.8999999999999</v>
      </c>
      <c r="AE51" s="3">
        <f>2295.6+(323-1311.7)+(0+(0-0))+0-0-0</f>
        <v>1306.8999999999999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2017.1+(313.4-1275.4)+(0+(0-0))+0-0-0</f>
        <v>1055.0999999999999</v>
      </c>
      <c r="G52" s="3">
        <f>1708.2+(360.4-1083.2)+(-3.484728+(-0.735216--2.209728))+0-0-0</f>
        <v>983.38978399999996</v>
      </c>
      <c r="H52" s="3">
        <f>1403.5+(397.6-867.8)+(-2.147355+(-0.608328--1.327734))+0-0-0</f>
        <v>931.87205100000006</v>
      </c>
      <c r="I52" s="3">
        <f>1408.9+(378.8-872.2)+(-1.437078+(-0.386376--0.889644))+0-0-0</f>
        <v>914.56619000000001</v>
      </c>
      <c r="J52" s="3">
        <f>1408.2+(342.3-848.8)+(-2.872728+(-0.698292--1.731552))+0-0-0</f>
        <v>899.86053200000003</v>
      </c>
      <c r="K52" s="3">
        <f>1406.6+(313.5-821.7)+(-3.58683+(-0.799425--2.095335))+0-0-0</f>
        <v>896.10907999999984</v>
      </c>
      <c r="L52" s="3">
        <f>1406.6+(279.9-816.1)+(-1.434732+(-0.285498--0.832422))+0-0-0</f>
        <v>869.51219199999991</v>
      </c>
      <c r="M52" s="3">
        <f>1538.7+(264.3-870.5)+(-4.708422+(-0.808758--2.66373))+0-0-0</f>
        <v>929.64655000000005</v>
      </c>
      <c r="N52" s="3">
        <f>1670.9+(279.4-923.4)+(1.704318+(0.284988-0.941868))+0-0-0</f>
        <v>1027.9474380000001</v>
      </c>
      <c r="O52" s="3">
        <f>1951.9+(274.7-1132.5)+(0+(0-0))+0-0-0</f>
        <v>1094.1000000000001</v>
      </c>
      <c r="P52" s="3">
        <f>2066.6+(288.3-1215.1)+(-2.107932+(-0.294066--1.239402))+0-0-0</f>
        <v>1138.6374040000001</v>
      </c>
      <c r="Q52" s="3">
        <f>2101.3+(300.1-1247.4)+(-2.143326+(-0.306102--1.272348))+0-0-0</f>
        <v>1152.8229200000001</v>
      </c>
      <c r="R52" s="3">
        <f>2115.1+(324.2-1295.7)+(-2.157402+(-0.330684--1.321614))+0-0-0</f>
        <v>1142.4335279999998</v>
      </c>
      <c r="S52" s="3">
        <f>2100.1+(322.5-1305)+(0+(0-0))+0-0-0</f>
        <v>1117.5999999999999</v>
      </c>
      <c r="T52" s="3">
        <f>2164.3+(353.9-1427.2)+(1.103793+(0.180489-0.727872))+0-0-0</f>
        <v>1091.5564099999999</v>
      </c>
      <c r="U52" s="3">
        <f>2243+(328.8-1510)+(-1.14393+(-0.167688--0.7701))+0-0-0</f>
        <v>1061.258482</v>
      </c>
      <c r="V52" s="3">
        <f>2378.6+(284.4-1592.4)+(-6.06543+(-0.72522--4.06062))+0-0-0</f>
        <v>1067.86997</v>
      </c>
      <c r="W52" s="3">
        <f>2387+(300.2-1602.6)+(-8.52159+(-1.071714--5.721282))+0-0-0</f>
        <v>1080.7279780000001</v>
      </c>
      <c r="X52" s="3">
        <f>2307.8+(302-1517.9)+(-4.707912+(-0.61608--3.096516))+0-0-0</f>
        <v>1089.6725240000001</v>
      </c>
      <c r="Y52" s="3">
        <f>2322.9+(275.1-1453.2)+(-5.923395+(-0.701505--3.70566))+0-0-0</f>
        <v>1141.8807600000002</v>
      </c>
      <c r="Z52" s="3">
        <f>2367.7+(300-1395.4)+(-3.622581+(-0.459--2.134962))+0-0-0</f>
        <v>1270.3533809999997</v>
      </c>
      <c r="AA52" s="3">
        <f>2411.7+(313.5-1424.7)+(0+(0-0))+0-0-0</f>
        <v>1300.4999999999998</v>
      </c>
      <c r="AB52" s="3">
        <f>2283.5+(375.4-1425.2)+(-1.164585+(-0.191454--0.726852))+0-0-0</f>
        <v>1233.0708129999998</v>
      </c>
      <c r="AC52" s="3">
        <f>2156.7+(415.7-1427.6)+(-1.099917+(-0.212007--0.728076))+0-0-0</f>
        <v>1144.216152</v>
      </c>
      <c r="AD52">
        <v>1318.4</v>
      </c>
      <c r="AE52" s="3">
        <f>2435.9+(314-1431.5)+(0+(0-0))+0-0-0</f>
        <v>1318.4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1759.5+(355.2-1083.6)+(-0.897345+(-0.181152--0.552636))+0-0-0</f>
        <v>1030.5741390000001</v>
      </c>
      <c r="G53" s="3">
        <f>1550.6+(318.6-905.3)+(-2.372418+(-0.487458--1.385109))+0-0-0</f>
        <v>962.42523299999993</v>
      </c>
      <c r="H53" s="3">
        <f>1392.6+(306.3-766)+(-3.55113+(-0.781065--1.9533))+0-0-0</f>
        <v>930.52110499999981</v>
      </c>
      <c r="I53" s="3">
        <f>1358.8+(330.3-785.8)+(-3.46494+(-0.842265--2.00379))+0-0-0</f>
        <v>900.99658499999998</v>
      </c>
      <c r="J53" s="3">
        <f>1345.4+(315.5-761.6)+(0.686154+(0.160905-0.388416))+0-0-0</f>
        <v>899.75864300000012</v>
      </c>
      <c r="K53" s="3">
        <f>1313.6+(327.4-751.3)+(-0.669936+(-0.166974--0.383163))+0-0-0</f>
        <v>889.24625299999991</v>
      </c>
      <c r="L53" s="3">
        <f>1308.2+(293.1-733.6)+(-2.668728+(-0.597924--1.496544))+0-0-0</f>
        <v>865.929892</v>
      </c>
      <c r="M53" s="3">
        <f>1367.9+(291.6-746.6)+(1.395258+(0.297432-0.761532))+0-0-0</f>
        <v>913.83115800000007</v>
      </c>
      <c r="N53" s="3">
        <f>1552.1+(296.4-836.3)+(1.583142+(0.302328-0.853026))+0-0-0</f>
        <v>1013.232444</v>
      </c>
      <c r="O53" s="3">
        <f>1552.4+(193.9-632.6)+(0.791724+(0.098889-0.322626))+0-0-0</f>
        <v>1114.2679869999999</v>
      </c>
      <c r="P53" s="3">
        <f>1601.1+(244.4-743.4)+(-0.816561+(-0.124644--0.379134))+0-0-0</f>
        <v>1101.5379289999998</v>
      </c>
      <c r="Q53" s="3">
        <f>1645.7+(271.5-804.1)+(-2.517921+(-0.415395--1.230273))+0-0-0</f>
        <v>1111.3969569999999</v>
      </c>
      <c r="R53" s="3">
        <f>1643.6+(286.1-820.7)+(-1.676472+(-0.291822--0.837114))+0-0-0</f>
        <v>1107.8688199999999</v>
      </c>
      <c r="S53" s="3">
        <f>1663.9+(268.6-855.2)+(-1.697178+(-0.273972--0.872304))+0-0-0</f>
        <v>1076.2011540000001</v>
      </c>
      <c r="T53" s="3">
        <f>1832.2+(285.5-1057.4)+(-0.934422+(-0.145605--0.539274))+0-0-0</f>
        <v>1059.759247</v>
      </c>
      <c r="U53" s="3">
        <f>1842.7+(279-1073.9)+(-4.698885+(-0.71145--2.738445))+0-0-0</f>
        <v>1045.1281099999999</v>
      </c>
      <c r="V53" s="3">
        <f>1843+(278.7-1084.2)+(-0.93993+(-0.142137--0.552942))+0-0-0</f>
        <v>1036.970875</v>
      </c>
      <c r="W53" s="3">
        <f>1843.7+(280.4-1083.5)+(-6.582009+(-1.001028--3.868095))+0-0-0</f>
        <v>1036.8850579999998</v>
      </c>
      <c r="X53" s="3">
        <f>1843.7+(293.8-1097.7)+(-3.761148+(-0.599352--2.239308))+0-0-0</f>
        <v>1037.6788079999999</v>
      </c>
      <c r="Y53" s="3">
        <f>1915.5+(285.8-1128.1)+(-3.90762+(-0.583032--2.301324))+0-0-0</f>
        <v>1071.0106720000001</v>
      </c>
      <c r="Z53" s="3">
        <f>2128.6+(251.1-1110.2)+(-3.256758+(-0.384183--1.698606))+0-0-0</f>
        <v>1267.557665</v>
      </c>
      <c r="AA53" s="3">
        <f>2130.7+(273.6-1135.3)+(-4.346628+(-0.558144--2.316012))+0-0-0</f>
        <v>1266.4112399999999</v>
      </c>
      <c r="AB53" s="3">
        <f>2130.1+(270.1-1192.2)+(-2.172702+(-0.275502--1.216044))+0-0-0</f>
        <v>1206.76784</v>
      </c>
      <c r="AC53" s="3">
        <f>2112.9+(274.9-1242.8)+(-4.310316+(-0.560796--2.535312))+0-0-0</f>
        <v>1142.6641999999999</v>
      </c>
      <c r="AD53">
        <v>1304</v>
      </c>
      <c r="AE53" s="3">
        <f>2129+(303-1128)+(0+(0-0))+0-0-0</f>
        <v>1304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1937.5+(290.1-1153.6)+(-2.964375+(-0.443853--1.765008))+0-0-0</f>
        <v>1072.3567800000001</v>
      </c>
      <c r="G54" s="3">
        <f>1764.9+(298.6-1056.6)+(-2.700297+(-0.456858--1.616598))+0-0-0</f>
        <v>1005.3594430000002</v>
      </c>
      <c r="H54" s="3">
        <f>1665.6+(310.4-1018.5)+(-3.397824+(-0.633216--2.07774))+0-0-0</f>
        <v>955.54669999999987</v>
      </c>
      <c r="I54" s="3">
        <f>1545.8+(304.4-920.4)+(0+(0-0))+0-0-0</f>
        <v>929.8</v>
      </c>
      <c r="J54" s="3">
        <f>1466.2+(299.3-850)+(-1.495524+(-0.305286--0.867))+0-0-0</f>
        <v>914.56619000000001</v>
      </c>
      <c r="K54" s="3">
        <f>1272.9+(289.2-676.1)+(0+(0-0))+0-0-0</f>
        <v>886</v>
      </c>
      <c r="L54" s="3">
        <f>1243.6+(265.4-681.8)+(-3.17118+(-0.67677--1.73859))+0-0-0</f>
        <v>825.09063999999989</v>
      </c>
      <c r="M54" s="3">
        <f>1250.1+(264.8-690.1)+(1.275102+(0.270096-0.703902))+0-0-0</f>
        <v>825.64129600000001</v>
      </c>
      <c r="N54" s="3">
        <f>1392.9+(253.8-771.8)+(0.710379+(0.129438-0.393618))+0-0-0</f>
        <v>875.34619900000007</v>
      </c>
      <c r="O54" s="3">
        <f>1669.3+(270.4-1003.8)+(-1.702686+(-0.275808--1.023876))+0-0-0</f>
        <v>934.945382</v>
      </c>
      <c r="P54" s="3">
        <f>1753.4+(266.7-1045.6)+(-0.894234+(-0.136017--0.533256))+0-0-0</f>
        <v>974.00300500000026</v>
      </c>
      <c r="Q54" s="3">
        <f>1791.3+(282-1067.7)+(1.827126+(0.28764-1.089054))+0-0-0</f>
        <v>1006.6257119999999</v>
      </c>
      <c r="R54" s="3">
        <f>1849.4+(285.9-1135.2)+(3.772776+(0.583236-2.315808))+0-0-0</f>
        <v>1002.140204</v>
      </c>
      <c r="S54" s="3">
        <f>1857.8+(257.5-1131.9)+(-0.947478+(-0.131325--0.577269))+0-0-0</f>
        <v>982.89846599999987</v>
      </c>
      <c r="T54" s="3">
        <f>1853.2+(256.4-1141.7)+(-4.72566+(-0.65382--2.911335))+0-0-0</f>
        <v>965.43185499999993</v>
      </c>
      <c r="U54" s="3">
        <f>1854.1+(257.6-1149.6)+(-3.782364+(-0.525504--2.345184))+0-0-0</f>
        <v>960.13731600000006</v>
      </c>
      <c r="V54" s="3">
        <f>1864.3+(260-1156.1)+(-2.852379+(-0.3978--1.768833))+0-0-0</f>
        <v>966.71865400000002</v>
      </c>
      <c r="W54" s="3">
        <f>1873.3+(264.9-1153.4)+(-5.732298+(-0.810594--3.529404))+0-0-0</f>
        <v>981.78651199999979</v>
      </c>
      <c r="X54" s="3">
        <f>1866.5+(199.8-1073.5)+(-4.759575+(-0.50949--2.737425))+0-0-0</f>
        <v>990.26835999999992</v>
      </c>
      <c r="Y54" s="3">
        <f>1793.5+(198.2-961.8)+(0+(0-0))+0-0-0</f>
        <v>1029.9000000000001</v>
      </c>
      <c r="Z54" s="3">
        <f>2040.8+(211.3-1040.3)+(-4.163232+(-0.431052--2.122212))+0-0-0</f>
        <v>1209.3279279999999</v>
      </c>
      <c r="AA54" s="3">
        <f>2119.9+(228.7-1117.2)+(-3.243447+(-0.349911--1.709316))+0-0-0</f>
        <v>1229.5159580000002</v>
      </c>
      <c r="AB54" s="3">
        <f>2130.2+(275.8-1211.7)+(0+(0-0))+0-0-0</f>
        <v>1194.2999999999997</v>
      </c>
      <c r="AC54" s="3">
        <f>2097.4+(232.3-1217.1)+(-2.139348+(-0.236946--1.241442))+0-0-0</f>
        <v>1111.4651480000002</v>
      </c>
      <c r="AD54">
        <v>1290.6999999999998</v>
      </c>
      <c r="AE54" s="3">
        <f>2137+(202.6-1048.9)+(0+(0-0))+0-0-0</f>
        <v>1290.6999999999998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1857+(266.9-1111.1)+(-2.84121+(-0.408357--1.699983))+0-0-0</f>
        <v>1011.2504160000001</v>
      </c>
      <c r="G55" s="3">
        <f>1518+(303.8-886.6)+(-3.8709+(-0.77469--2.26083))+0-0-0</f>
        <v>932.81524000000002</v>
      </c>
      <c r="H55" s="3">
        <f>1338.9+(327.9-770.2)+(0.682839+(0.167229-0.392802))+0-0-0</f>
        <v>897.05726600000003</v>
      </c>
      <c r="I55" s="3">
        <f>1339.7+(310.8-768.6)+(-2.732988+(-0.634032--1.567944))+0-0-0</f>
        <v>880.10092400000008</v>
      </c>
      <c r="J55" s="3">
        <f>1340.1+(312.7-772.4)+(-2.050353+(-0.478431--1.181772))+0-0-0</f>
        <v>879.05298799999991</v>
      </c>
      <c r="K55" s="3">
        <f>1342.4+(320-781.5)+(-2.738496+(-0.6528--1.59426))+0-0-0</f>
        <v>879.10296400000004</v>
      </c>
      <c r="L55" s="3">
        <f>1343.7+(303.6-769.1)+(-3.426435+(-0.77418--1.961205))+0-0-0</f>
        <v>875.96059000000002</v>
      </c>
      <c r="M55" s="3">
        <f>1452.5+(297.9-814.2)+(0+(0-0))+0-0-0</f>
        <v>936.19999999999993</v>
      </c>
      <c r="N55" s="3">
        <f>1647+(288.5-897.3)+(-4.19985+(-0.735675--2.288115))+0-0-0</f>
        <v>1035.55259</v>
      </c>
      <c r="O55" s="3">
        <f>1882.8+(300.4-1074.4)+(-2.880684+(-0.459612--1.643832))+0-0-0</f>
        <v>1107.1035359999996</v>
      </c>
      <c r="P55" s="3">
        <f>2088.7+(317.7-1256.1)+(-2.130474+(-0.324054--1.281222))+0-0-0</f>
        <v>1149.126694</v>
      </c>
      <c r="Q55" s="3">
        <f>2113.2+(318.9-1261)+(0+(0-0))+0-0-0</f>
        <v>1171.0999999999999</v>
      </c>
      <c r="R55" s="3">
        <f>2151.6+(304.7-1287.9)+(-3.291948+(-0.466191--1.970487))+0-0-0</f>
        <v>1166.6123479999999</v>
      </c>
      <c r="S55" s="3">
        <f>2103.8+(318.5-1286.5)+(-4.291752+(-0.64974--2.62446))+0-0-0</f>
        <v>1133.4829680000003</v>
      </c>
      <c r="T55" s="3">
        <f>2014.8+(302-1202)+(-4.110192+(-0.61608--2.45208))+0-0-0</f>
        <v>1112.5258079999999</v>
      </c>
      <c r="U55" s="3">
        <f>2015.5+(316.1-1235.5)+(-1.027905+(-0.161211--0.630105))+0-0-0</f>
        <v>1095.5409889999999</v>
      </c>
      <c r="V55" s="3">
        <f>2018.6+(313.7-1235)+(0+(0-0))+0-0-0</f>
        <v>1097.3</v>
      </c>
      <c r="W55" s="3">
        <f>2020.5+(304.3-1211.6)+(-6.18273+(-0.931158--3.707496))+0-0-0</f>
        <v>1109.7936079999999</v>
      </c>
      <c r="X55" s="3">
        <f>2021.5+(280.7-1167.1)+(-9.278685+(-1.288413--5.356989))+0-0-0</f>
        <v>1129.889891</v>
      </c>
      <c r="Y55" s="3">
        <f>2024.9+(282.2-1106.1)+(-2.065398+(-0.287844--1.128222))+0-0-0</f>
        <v>1199.7749800000001</v>
      </c>
      <c r="Z55" s="3">
        <f>2050.7+(268.7-1001.1)+(-3.137571+(-0.411111--1.531683))+0-0-0</f>
        <v>1316.2830009999998</v>
      </c>
      <c r="AA55" s="3">
        <f>2026.1+(292-1019.5)+(-3.099933+(-0.44676--1.559835))+0-0-0</f>
        <v>1296.6131419999999</v>
      </c>
      <c r="AB55" s="3">
        <f>1916+(302.1-1007.5)+(-0.97716+(-0.154071--0.513825))+0-0-0</f>
        <v>1209.9825939999998</v>
      </c>
      <c r="AC55" s="3">
        <f>1805.1+(309-987.4)+(-1.841202+(-0.31518--1.007148))+0-0-0</f>
        <v>1125.5507659999998</v>
      </c>
      <c r="AD55">
        <v>1327.1</v>
      </c>
      <c r="AE55" s="3">
        <f>2027+(285.6-985.5)+(0+(0-0))+0-0-0</f>
        <v>1327.1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1398.9+(331.9-705.9)+(-1.426878+(-0.338538--0.720018))+0-0-0</f>
        <v>1023.8546020000001</v>
      </c>
      <c r="G56" s="3">
        <f>1344.6+(336.5-710)+(-4.114476+(-1.02969--2.1726))+0-0-0</f>
        <v>968.12843399999986</v>
      </c>
      <c r="H56" s="3">
        <f>1344.3+(309.4-710.6)+(-2.056779+(-0.473382--1.087218))+0-0-0</f>
        <v>941.6570569999999</v>
      </c>
      <c r="I56" s="3">
        <f>1317.6+(302.7-699.4)+(-1.343952+(-0.308754--0.713388))+0-0-0</f>
        <v>919.96068199999991</v>
      </c>
      <c r="J56" s="3">
        <f>1297.9+(298.6-681.4)+(-2.647716+(-0.609144--1.390056))+0-0-0</f>
        <v>913.23319600000013</v>
      </c>
      <c r="K56" s="3">
        <f>1297.4+(310.9-696.9)+(-4.631718+(-1.109913--2.487933))+0-0-0</f>
        <v>908.14630200000011</v>
      </c>
      <c r="L56" s="3">
        <f>1298.5+(301.2-727.1)+(-1.32447+(-0.307224--0.741642))+0-0-0</f>
        <v>871.70994799999994</v>
      </c>
      <c r="M56" s="3">
        <f>1500.6+(285-840.9)+(0.765306+(0.14535-0.428859))+0-0-0</f>
        <v>945.18179699999996</v>
      </c>
      <c r="N56" s="3">
        <f>1712+(301.1-978.1)+(1.74624+(0.307122-0.997662))+0-0-0</f>
        <v>1036.0556999999999</v>
      </c>
      <c r="O56" s="3">
        <f>1928.1+(290.7-1112.2)+(2.949993+(0.444771-1.701666))+0-0-0</f>
        <v>1108.2930979999999</v>
      </c>
      <c r="P56" s="3">
        <f>2098.8+(283.2-1228.3)+(1.070388+(0.144432-0.626433))+0-0-0</f>
        <v>1154.2883870000003</v>
      </c>
      <c r="Q56" s="3">
        <f>2169.5+(309.1-1309.9)+(-3.319335+(-0.472923--2.004147))+0-0-0</f>
        <v>1166.9118889999997</v>
      </c>
      <c r="R56" s="3">
        <f>2102.3+(193.2-1152.9)+(3.216519+(0.295596-1.763937))+0-0-0</f>
        <v>1144.3481780000002</v>
      </c>
      <c r="S56" s="3">
        <f>2102.7+(120.2-1107.8)+(-2.144754+(-0.122604--1.129956))+0-0-0</f>
        <v>1113.9625979999998</v>
      </c>
      <c r="T56" s="3">
        <f>2102.5+(118.8-1136.5)+(-1.072275+(-0.060588--0.579615))+0-0-0</f>
        <v>1084.246752</v>
      </c>
      <c r="U56" s="3">
        <f>2136.8+(116.5-1183.1)+(-4.359072+(-0.23766--2.413524))+0-0-0</f>
        <v>1068.0167920000004</v>
      </c>
      <c r="V56" s="3">
        <f>2120.6+(111.2-1165.6)+(-2.163012+(-0.113424--1.188912))+0-0-0</f>
        <v>1065.112476</v>
      </c>
      <c r="W56" s="3">
        <f>2022.3+(256.9-1195.6)+(-6.188238+(-0.786114--3.658536))+0-0-0</f>
        <v>1080.2841839999999</v>
      </c>
      <c r="X56" s="3">
        <f>1846.9+(269.4-1039.7)+(-3.767676+(-0.549576--2.120988))+0-0-0</f>
        <v>1074.403736</v>
      </c>
      <c r="Y56" s="3">
        <f>1821.4+(276.6-997.7)+(-0.928914+(-0.141066--0.508827))+0-0-0</f>
        <v>1099.7388470000001</v>
      </c>
      <c r="Z56" s="3">
        <f>2070.2+(270.3-1068)+(-2.111604+(-0.275706--1.08936))+0-0-0</f>
        <v>1271.2020499999999</v>
      </c>
      <c r="AA56" s="3">
        <f>2041.8+(261.9-1025.9)+(-3.123954+(-0.400707--1.569627))+0-0-0</f>
        <v>1275.8449659999997</v>
      </c>
      <c r="AB56" s="3">
        <f>1958.3+(303-1065.8)+(0+(0-0))+0-0-0</f>
        <v>1195.5</v>
      </c>
      <c r="AC56" s="3">
        <f>1894.7+(292.3-1071.5)+(-2.898891+(-0.447219--1.639395))+0-0-0</f>
        <v>1113.793285</v>
      </c>
      <c r="AD56">
        <v>1322.3</v>
      </c>
      <c r="AE56" s="3">
        <f>2124.6+(289.9-1092.2)+(0+(0-0))+0-0-0</f>
        <v>1322.2999999999997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1758.3+(320.1-1063)+(-4.483665+(-0.816255--2.71065))+0-0-0</f>
        <v>1012.8107299999999</v>
      </c>
      <c r="G57" s="3">
        <f>1413.7+(298.4-759.8)+(-3.604935+(-0.76092--1.93749))+0-0-0</f>
        <v>949.87163500000008</v>
      </c>
      <c r="H57" s="3">
        <f>1346.8+(307.2-731.3)+(-3.43434+(-0.78336--1.864815))+0-0-0</f>
        <v>920.34711500000003</v>
      </c>
      <c r="I57" s="3">
        <f>1346.2+(332.2-775.2)+(-1.373124+(-0.338844--0.790704))+0-0-0</f>
        <v>902.27873600000009</v>
      </c>
      <c r="J57" s="3">
        <f>1345.9+(330-777.1)+(-0.686409+(-0.1683--0.396321))+0-0-0</f>
        <v>898.34161200000005</v>
      </c>
      <c r="K57" s="3">
        <f>1345.5+(340.5-791.6)+(-2.058615+(-0.520965--1.211148))+0-0-0</f>
        <v>893.03156799999999</v>
      </c>
      <c r="L57" s="3">
        <f>1345.7+(275.2-753.8)+(-1.372614+(-0.280704--0.768876))+0-0-0</f>
        <v>866.2155580000001</v>
      </c>
      <c r="M57" s="3">
        <f>1394.7+(268.8-737.5)+(0+(0-0))+0-0-0</f>
        <v>926</v>
      </c>
      <c r="N57" s="3">
        <f>1447.1+(278-708.4)+(1.476042+(0.28356-0.722568))+0-0-0</f>
        <v>1017.7370339999999</v>
      </c>
      <c r="O57" s="3">
        <f>1521.9+(296.6-741)+(0+(0-0))+0-0-0</f>
        <v>1077.5</v>
      </c>
      <c r="P57" s="3">
        <f>1814.1+(295.8-1007.8)+(0+(0-0))+0-0-0</f>
        <v>1102.0999999999999</v>
      </c>
      <c r="Q57" s="3">
        <f>1814.7+(276.8-967.7)+(0.925497+(0.141168-0.493527))+0-0-0</f>
        <v>1124.3731379999999</v>
      </c>
      <c r="R57" s="3">
        <f>1852+(265.6-990.5)+(-2.83356+(-0.406368--1.515465))+0-0-0</f>
        <v>1125.3755369999999</v>
      </c>
      <c r="S57" s="3">
        <f>1863.4+(261.2-1035.1)+(-0.950334+(-0.133212--0.527901))+0-0-0</f>
        <v>1088.9443550000003</v>
      </c>
      <c r="T57" s="3">
        <f>1857.8+(268.2-1045)+(-5.684868+(-0.820692--3.1977))+0-0-0</f>
        <v>1077.6921400000001</v>
      </c>
      <c r="U57" s="3">
        <f>1862.3+(263-1050)+(-5.698638+(-0.80478--3.213))+0-0-0</f>
        <v>1072.0095819999999</v>
      </c>
      <c r="V57" s="3">
        <f>1863.1+(262-1063.1)+(-6.651267+(-0.93534--3.795267))+0-0-0</f>
        <v>1058.20866</v>
      </c>
      <c r="W57" s="3">
        <f>1863.4+(263.4-1050.9)+(-7.602672+(-1.074672--4.287672))+0-0-0</f>
        <v>1071.5103280000001</v>
      </c>
      <c r="X57" s="3">
        <f>1865.7+(268.8-1068.6)+(-6.660549+(-0.959616--3.814902))+0-0-0</f>
        <v>1062.0947370000001</v>
      </c>
      <c r="Y57" s="3">
        <f>1860.3+(244.5-990.2)+(-3.795012+(-0.49878--2.020008))+0-0-0</f>
        <v>1112.3262159999999</v>
      </c>
      <c r="Z57" s="3">
        <f>1950.7+(207.9-902.8)+(-5.969142+(-0.636174--2.762568))+0-0-0</f>
        <v>1251.9572520000002</v>
      </c>
      <c r="AA57" s="3">
        <f>1922.1+(211.3-884.4)+(-3.921084+(-0.431052--1.804176))+0-0-0</f>
        <v>1246.4520399999999</v>
      </c>
      <c r="AB57" s="3">
        <f>1825+(268.1-905.7)+(-3.723+(-0.546924--1.847628))+0-0-0</f>
        <v>1184.9777040000001</v>
      </c>
      <c r="AC57" s="3">
        <f>1809.8+(289.6-989.6)+(-2.768994+(-0.443088--1.514088))+0-0-0</f>
        <v>1108.1020059999998</v>
      </c>
      <c r="AD57">
        <v>1274.9000000000001</v>
      </c>
      <c r="AE57" s="3">
        <f>1963+(222.4-910.5)+(0+(0-0))+0-0-0</f>
        <v>1274.9000000000001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1700.7+(264.7-948.5)+(-1.734714+(-0.269994--0.96747))+0-0-0</f>
        <v>1015.8627620000001</v>
      </c>
      <c r="G58" s="3">
        <f>1409.1+(283.6-740.1)+(-2.874564+(-0.578544--1.509804))+0-0-0</f>
        <v>950.6566959999999</v>
      </c>
      <c r="H58" s="3">
        <f>1343.5+(278.5-707.3)+(-1.37037+(-0.28407--0.721446))+0-0-0</f>
        <v>913.76700600000004</v>
      </c>
      <c r="I58" s="3">
        <f>1350.8+(279.1-733.7)+(-2.755632+(-0.569364--1.496748))+0-0-0</f>
        <v>894.3717519999999</v>
      </c>
      <c r="J58" s="3">
        <f>1351.5+(263.5-724.4)+(-2.067795+(-0.403155--1.108332))+0-0-0</f>
        <v>889.23738200000003</v>
      </c>
      <c r="K58" s="3">
        <f>1351.1+(279.2-747.9)+(-4.134366+(-0.854352--2.288574))+0-0-0</f>
        <v>879.69985599999984</v>
      </c>
      <c r="L58" s="3">
        <f>1350.1+(268-756.1)+(-3.442755+(-0.6834--1.928055))+0-0-0</f>
        <v>859.80189999999993</v>
      </c>
      <c r="M58" s="3">
        <f>1349.7+(261.5-682.6)+(-0.688347+(-0.133365--0.348126))+0-0-0</f>
        <v>928.12641400000007</v>
      </c>
      <c r="N58" s="3">
        <f>1444.2+(260.7-665.5)+(0+(0-0))+0-0-0</f>
        <v>1039.4000000000001</v>
      </c>
      <c r="O58" s="3">
        <f>1634.2+(279.9-787.8)+(-0.833442+(-0.142749--0.401778))+0-0-0</f>
        <v>1125.7255870000001</v>
      </c>
      <c r="P58" s="3">
        <f>1802.2+(274.4-932.9)+(0.919122+(0.139944-0.475779))+0-0-0</f>
        <v>1144.283287</v>
      </c>
      <c r="Q58" s="3">
        <f>1947.2+(265.4-1050.6)+(1.986144+(0.270708-1.071612))+0-0-0</f>
        <v>1163.18524</v>
      </c>
      <c r="R58" s="3">
        <f>1971.5+(285.2-1094.5)+(-2.01093+(-0.290904--1.11639))+0-0-0</f>
        <v>1161.0145560000001</v>
      </c>
      <c r="S58" s="3">
        <f>1966.8+(291-1118.5)+(-5.01534+(-0.74205--2.852175))+0-0-0</f>
        <v>1136.394785</v>
      </c>
      <c r="T58" s="3">
        <f>1968+(301.5-1154.3)+(0+(0-0))+0-0-0</f>
        <v>1115.2</v>
      </c>
      <c r="U58" s="3">
        <f>1968.7+(291.5-1156.6)+(-3.012111+(-0.445995--1.769598))+0-0-0</f>
        <v>1101.9114920000002</v>
      </c>
      <c r="V58" s="3">
        <f>1968.7+(278.2-1145.7)+(-2.008074+(-0.283764--1.168614))+0-0-0</f>
        <v>1100.0767760000001</v>
      </c>
      <c r="W58" s="3">
        <f>1968.2+(295.6-1169.7)+(-6.022692+(-0.904536--3.579282))+0-0-0</f>
        <v>1090.7520539999998</v>
      </c>
      <c r="X58" s="3">
        <f>1967.9+(275.3-1145)+(-6.021774+(-0.842418--3.5037))+0-0-0</f>
        <v>1094.839508</v>
      </c>
      <c r="Y58" s="3">
        <f>1991.7+(266.8-1110.5)+(-3.047301+(-0.408204--1.699065))+0-0-0</f>
        <v>1146.2435599999999</v>
      </c>
      <c r="Z58" s="3">
        <f>2229.5+(236.3-1159.6)+(-4.54818+(-0.482052--2.365584))+0-0-0</f>
        <v>1303.5353520000001</v>
      </c>
      <c r="AA58" s="3">
        <f>2285.3+(232-1217.8)+(-5.827515+(-0.5916--3.10539))+0-0-0</f>
        <v>1296.1862750000003</v>
      </c>
      <c r="AB58" s="3">
        <f>2285.2+(276.8-1328.2)+(0+(0-0))+0-0-0</f>
        <v>1233.7999999999997</v>
      </c>
      <c r="AC58" s="3">
        <f>2083.2+(292.3-1224.1)+(-4.249728+(-0.596292--2.497164))+0-0-0</f>
        <v>1149.0511439999998</v>
      </c>
      <c r="AD58">
        <v>1313.5</v>
      </c>
      <c r="AE58" s="3">
        <f>2281+(224-1191.5)+(0+(0-0))+0-0-0</f>
        <v>1313.5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1769+(293.3-1022.9)+(-3.60876+(-0.598332--2.086716))+0-0-0</f>
        <v>1037.279624</v>
      </c>
      <c r="G59" s="3">
        <f>1363.3+(275-683.2)+(-1.390566+(-0.2805--0.696864))+0-0-0</f>
        <v>954.12579799999992</v>
      </c>
      <c r="H59" s="3">
        <f>1306.5+(266.3-656.9)+(-0.666315+(-0.135813--0.335019))+0-0-0</f>
        <v>915.43289100000004</v>
      </c>
      <c r="I59" s="3">
        <f>1292.6+(276.5-665.7)+(-1.318452+(-0.28203--0.679014))+0-0-0</f>
        <v>902.47853199999986</v>
      </c>
      <c r="J59" s="3">
        <f>1291.4+(273.2-665.4)+(0+(0-0))+0-0-0</f>
        <v>899.2</v>
      </c>
      <c r="K59" s="3">
        <f>1291.3+(281-689.2)+(-2.634252+(-0.57324--1.405968))+0-0-0</f>
        <v>881.29847599999994</v>
      </c>
      <c r="L59" s="3">
        <f>1292+(284.9-715)+(-3.2946+(-0.726495--1.82325))+0-0-0</f>
        <v>859.70215499999995</v>
      </c>
      <c r="M59" s="3">
        <f>1352.7+(265.4-696.1)+(0+(0-0))+0-0-0</f>
        <v>922</v>
      </c>
      <c r="N59" s="3">
        <f>1569.5+(276.2-817.5)+(-0.800445+(-0.140862--0.416925))+0-0-0</f>
        <v>1027.675618</v>
      </c>
      <c r="O59" s="3">
        <f>1851.1+(293.6-1016)+(-0.944061+(-0.149736--0.51816))+0-0-0</f>
        <v>1128.1243629999999</v>
      </c>
      <c r="P59" s="3">
        <f>1972.5+(295.1-1103.4)+(-2.01195+(-0.301002--1.125468))+0-0-0</f>
        <v>1163.0125159999998</v>
      </c>
      <c r="Q59" s="3">
        <f>2001.8+(302.4-1123.2)+(1.020918+(0.154224-0.572832))+0-0-0</f>
        <v>1181.60231</v>
      </c>
      <c r="R59" s="3">
        <f>2003.8+(294.1-1118.8)+(-1.021938+(-0.149991--0.570588))+0-0-0</f>
        <v>1178.4986589999999</v>
      </c>
      <c r="S59" s="3">
        <f>2004.4+(303.9-1163.9)+(1.022244+(0.154989-0.593589))+0-0-0</f>
        <v>1144.9836440000001</v>
      </c>
      <c r="T59" s="3">
        <f>2004.1+(302.6-1187.7)+(-1.022091+(-0.154326--0.605727))+0-0-0</f>
        <v>1118.42931</v>
      </c>
      <c r="U59" s="3">
        <f>2003.2+(287.6-1196.1)+(-5.10816+(-0.73338--3.050055))+0-0-0</f>
        <v>1091.9085150000003</v>
      </c>
      <c r="V59" s="3">
        <f>2001.9+(294.3-1204.4)+(-4.083876+(-0.600372--2.456976))+0-0-0</f>
        <v>1089.5727279999999</v>
      </c>
      <c r="W59" s="3">
        <f>2002.5+(306-1230.9)+(-5.106375+(-0.7803--3.138795))+0-0-0</f>
        <v>1074.85212</v>
      </c>
      <c r="X59" s="3">
        <f>2003.9+(270.9-1190.8)+(-7.153923+(-0.967113--4.251156))+0-0-0</f>
        <v>1080.13012</v>
      </c>
      <c r="Y59" s="3">
        <f>2034+(239.1-1152.5)+(-2.07468+(-0.243882--1.17555))+0-0-0</f>
        <v>1119.4569879999999</v>
      </c>
      <c r="Z59" s="3">
        <f>2239.5+(193.8-1158.6)+(-2.28429+(-0.197676--1.181772))+0-0-0</f>
        <v>1273.3998060000001</v>
      </c>
      <c r="AA59" s="3">
        <f>2290.3+(195.2-1209.7)+(-4.672212+(-0.398208--2.467788))+0-0-0</f>
        <v>1273.1973680000001</v>
      </c>
      <c r="AB59" s="3">
        <f>2245.8+(269.7-1296.2)+(-5.72679+(-0.687735--3.30531))+0-0-0</f>
        <v>1216.1907850000002</v>
      </c>
      <c r="AC59" s="3">
        <f>1959.5+(302.5-1131.3)+(-0.999345+(-0.154275--0.576963))+0-0-0</f>
        <v>1130.123343</v>
      </c>
      <c r="AD59">
        <v>1310.7</v>
      </c>
      <c r="AE59" s="3">
        <f>2285+(202-1176.3)+(0+(0-0))+0-0-0</f>
        <v>1310.7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1737.3+(296-986.4)+(-4.430115+(-0.7548--2.51532))+0-0-0</f>
        <v>1044.230405</v>
      </c>
      <c r="G60" s="3">
        <f>1431+(300.2-769.9)+(-0.72981+(-0.153102--0.392649))+0-0-0</f>
        <v>960.80973699999993</v>
      </c>
      <c r="H60" s="3">
        <f>1324+(289.4-695.4)+(-2.70096+(-0.590376--1.418616))+0-0-0</f>
        <v>916.12728000000004</v>
      </c>
      <c r="I60" s="3">
        <f>1314.8+(304.4-719.5)+(-3.35274+(-0.77622--1.834725))+0-0-0</f>
        <v>897.40576499999997</v>
      </c>
      <c r="J60" s="3">
        <f>1314.1+(295.7-711.6)+(-2.010573+(-0.452421--1.088748))+0-0-0</f>
        <v>896.82575399999985</v>
      </c>
      <c r="K60" s="3">
        <f>1314.3+(294.2-712.5)+(-2.010879+(-0.450126--1.090125))+0-0-0</f>
        <v>894.62911999999994</v>
      </c>
      <c r="L60" s="3">
        <f>1314.5+(272.1-718.9)+(-0.670395+(-0.138771--0.366639))+0-0-0</f>
        <v>867.257473</v>
      </c>
      <c r="M60" s="3">
        <f>1382.6+(261.7-727.7)+(-0.705126+(-0.133467--0.371127))+0-0-0</f>
        <v>916.13253399999996</v>
      </c>
      <c r="N60" s="3">
        <f>1485.8+(302-781.7)+(0.757758+(0.15402-0.398667))+0-0-0</f>
        <v>1006.6131109999999</v>
      </c>
      <c r="O60" s="3">
        <f>1622.3+(304-848.9)+(-2.482119+(-0.46512--1.298817))+0-0-0</f>
        <v>1075.7515780000001</v>
      </c>
      <c r="P60" s="3">
        <f>1639.2+(310.5-842.3)+(-1.671984+(-0.31671--0.859146))+0-0-0</f>
        <v>1106.270452</v>
      </c>
      <c r="Q60" s="3">
        <f>1649.3+(319.1-847.1)+(-1.682286+(-0.325482--0.864042))+0-0-0</f>
        <v>1120.1562739999999</v>
      </c>
      <c r="R60" s="3">
        <f>1743.6+(319.3-938.8)+(0.889236+(0.162843-0.478788))+0-0-0</f>
        <v>1124.6732909999998</v>
      </c>
      <c r="S60" s="3">
        <f>1744.1+(316.1-978.7)+(-0.889491+(-0.161211--0.499137))+0-0-0</f>
        <v>1080.948435</v>
      </c>
      <c r="T60" s="3">
        <f>1744.1+(313.3-1004.1)+(0.889491+(0.159783-0.512091))+0-0-0</f>
        <v>1053.8371829999999</v>
      </c>
      <c r="U60" s="3">
        <f>1745+(320.9-1029.7)+(-2.66985+(-0.490977--1.575441))+0-0-0</f>
        <v>1034.6146139999998</v>
      </c>
      <c r="V60" s="3">
        <f>1743.7+(314.6-1026.2)+(-0.889287+(-0.160446--0.523362))+0-0-0</f>
        <v>1031.573629</v>
      </c>
      <c r="W60" s="3">
        <f>1744.1+(314.5-1026.1)+(-4.447455+(-0.801975--2.616555))+0-0-0</f>
        <v>1029.867125</v>
      </c>
      <c r="X60" s="3">
        <f>1742.6+(281.1-999.2)+(-4.44363+(-0.716805--2.54796))+0-0-0</f>
        <v>1021.887525</v>
      </c>
      <c r="Y60" s="3">
        <f>1742.4+(266.8-945.1)+(-2.665872+(-0.408204--1.446003))+0-0-0</f>
        <v>1062.4719270000001</v>
      </c>
      <c r="Z60" s="3">
        <f>1742.9+(272-778.7)+(-2.666637+(-0.41616--1.191411))+0-0-0</f>
        <v>1234.308614</v>
      </c>
      <c r="AA60" s="3">
        <f>1747.4+(253.4-764)+(-4.45587+(-0.64617--1.9482))+0-0-0</f>
        <v>1233.6461600000002</v>
      </c>
      <c r="AB60" s="3">
        <f>1604.8+(291.6-741.5)+(-1.636896+(-0.297432--0.75633))+0-0-0</f>
        <v>1153.7220020000002</v>
      </c>
      <c r="AC60" s="3">
        <f>1551.6+(308.5-777.3)+(0+(0-0))+0-0-0</f>
        <v>1082.8</v>
      </c>
      <c r="AD60">
        <v>1280.5999999999999</v>
      </c>
      <c r="AE60" s="3">
        <f>1738+(282.2-739.6)+(0+(0-0))+0-0-0</f>
        <v>1280.5999999999999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1547.1+(286.3-852)+(0+(0-0))+0-0-0</f>
        <v>981.39999999999986</v>
      </c>
      <c r="G61" s="3">
        <f>1538.8+(309.5-927.6)+(-3.139152+(-0.63138--1.892304))+0-0-0</f>
        <v>918.8217719999999</v>
      </c>
      <c r="H61" s="3">
        <f>1339.4+(302.5-765.3)+(0+(0-0))+0-0-0</f>
        <v>876.60000000000014</v>
      </c>
      <c r="I61" s="3">
        <f>1328.6+(300.6-761.8)+(-0.677586+(-0.153306--0.388518))+0-0-0</f>
        <v>866.957626</v>
      </c>
      <c r="J61" s="3">
        <f>1330.4+(284.9-751.4)+(0+(0-0))+0-0-0</f>
        <v>863.90000000000009</v>
      </c>
      <c r="K61" s="3">
        <f>1332.9+(280.4-769.2)+(-2.719116+(-0.572016--1.569168))+0-0-0</f>
        <v>842.37803600000007</v>
      </c>
      <c r="L61" s="3">
        <f>1333.8+(266.9-811.1)+(-6.122142+(-1.225071--3.722949))+0-0-0</f>
        <v>785.97573599999987</v>
      </c>
      <c r="M61" s="3">
        <f>1333.1+(282.5-810.2)+(0.679881+(0.144075-0.413202))+0-0-0</f>
        <v>805.81075399999986</v>
      </c>
      <c r="N61" s="3">
        <f>1384.7+(264.6-807)+(-1.412394+(-0.269892--0.82314))+0-0-0</f>
        <v>841.44085400000006</v>
      </c>
      <c r="O61" s="3">
        <f>1482.9+(266.9-843.9)+(0+(0-0))+0-0-0</f>
        <v>905.90000000000009</v>
      </c>
      <c r="P61" s="3">
        <f>1552.3+(292.8-888.9)+(-0.791673+(-0.149328--0.453339))+0-0-0</f>
        <v>955.71233800000005</v>
      </c>
      <c r="Q61" s="3">
        <f>1667.6+(296.2-971.3)+(1.700952+(0.302124-0.990726))+0-0-0</f>
        <v>993.51234999999997</v>
      </c>
      <c r="R61" s="3">
        <f>1728.8+(299.6-1034.8)+(-2.645064+(-0.458388--1.583244))+0-0-0</f>
        <v>992.079792</v>
      </c>
      <c r="S61" s="3">
        <f>1802.2+(291.6-1109.2)+(0+(0-0))+0-0-0</f>
        <v>984.6</v>
      </c>
      <c r="T61" s="3">
        <f>2095.2+(258.4-1368.2)+(-3.205656+(-0.395352--2.093346))+0-0-0</f>
        <v>983.89233799999965</v>
      </c>
      <c r="U61" s="3">
        <f>2100.3+(236.1-1360.7)+(-1.071153+(-0.120411--0.693957))+0-0-0</f>
        <v>975.20239300000003</v>
      </c>
      <c r="V61" s="3">
        <f>2099.9+(234-1359.3)+(1.070949+(0.11934-0.693243))+0-0-0</f>
        <v>975.09704600000009</v>
      </c>
      <c r="W61" s="3">
        <f>2100.3+(231.8-1342.3)+(-5.355765+(-0.59109--3.422865))+0-0-0</f>
        <v>987.27601000000016</v>
      </c>
      <c r="X61" s="3">
        <f>2100.9+(202.5-1296.2)+(-6.428754+(-0.61965--3.966372))+0-0-0</f>
        <v>1004.117968</v>
      </c>
      <c r="Y61" s="3">
        <f>2101+(185.5-1245.2)+(-3.21453+(-0.283815--1.905156))+0-0-0</f>
        <v>1039.706811</v>
      </c>
      <c r="Z61" s="3">
        <f>2130.8+(236.8-1150)+(1.086708+(0.120768-0.5865))+0-0-0</f>
        <v>1218.2209760000001</v>
      </c>
      <c r="AA61" s="3">
        <f>2133.7+(260.7-1163.8)+(0+(0-0))+0-0-0</f>
        <v>1230.5999999999999</v>
      </c>
      <c r="AB61" s="3">
        <f>2119+(281.5-1197.7)+(0+(0-0))+0-0-0</f>
        <v>1202.8</v>
      </c>
      <c r="AC61" s="3">
        <f>2112.3+(297.4-1279.1)+(-3.231819+(-0.455022--1.957023))+0-0-0</f>
        <v>1128.8701820000003</v>
      </c>
      <c r="AD61">
        <v>1244.5999999999999</v>
      </c>
      <c r="AE61" s="3">
        <f>2139+(249.6-1144)+(0+(0-0))+0-0-0</f>
        <v>1244.5999999999999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1977.3+(318.6-1287.8)+(-1.008423+(-0.162486--0.656778))+0-0-0</f>
        <v>1007.585869</v>
      </c>
      <c r="G62" s="3">
        <f>1672.2+(312.2-1058.2)+(-1.705644+(-0.318444--1.079364))+0-0-0</f>
        <v>925.25527600000009</v>
      </c>
      <c r="H62" s="3">
        <f>1353.2+(314.5-781.3)+(-2.070396+(-0.481185--1.195389))+0-0-0</f>
        <v>885.04380800000013</v>
      </c>
      <c r="I62" s="3">
        <f>1347+(323.5-812.2)+(-1.37394+(-0.32997--0.828444))+0-0-0</f>
        <v>857.42453399999999</v>
      </c>
      <c r="J62" s="3">
        <f>1346.6+(324.7-810.5)+(-2.060298+(-0.496791--1.240065))+0-0-0</f>
        <v>859.48297600000001</v>
      </c>
      <c r="K62" s="3">
        <f>1346.5+(348.1-838.6)+(-3.433575+(-0.887655--2.13843))+0-0-0</f>
        <v>853.81719999999996</v>
      </c>
      <c r="L62" s="3">
        <f>1345+(277.1-771.4)+(-0.68595+(-0.141321--0.393414))+0-0-0</f>
        <v>850.26614300000006</v>
      </c>
      <c r="M62" s="3">
        <f>1506.5+(268.5-854)+(-0.768315+(-0.136935--0.43554))+0-0-0</f>
        <v>920.53029000000004</v>
      </c>
      <c r="N62" s="3">
        <f>1851.4+(299-1124.8)+(-0.944214+(-0.15249--0.573648))+0-0-0</f>
        <v>1025.0769440000001</v>
      </c>
      <c r="O62" s="3">
        <f>2186.4+(253.8-1335.3)+(0+(0-0))+0-0-0</f>
        <v>1104.9000000000001</v>
      </c>
      <c r="P62" s="3">
        <f>2244.1+(245.7-1349.4)+(-1.144491+(-0.125307--0.688194))+0-0-0</f>
        <v>1139.8183959999999</v>
      </c>
      <c r="Q62" s="3">
        <f>2245+(247-1321.8)+(0+(0-0))+0-0-0</f>
        <v>1170.2</v>
      </c>
      <c r="R62" s="3">
        <f>2243.4+(287.8-1368.2)+(1.144134+(0.146778-0.697782))+0-0-0</f>
        <v>1163.59313</v>
      </c>
      <c r="S62" s="3">
        <f>2243+(302.3-1415.9)+(-2.28786+(-0.308346--1.444218))+0-0-0</f>
        <v>1128.2480119999998</v>
      </c>
      <c r="T62" s="3">
        <f>2241.7+(318-1448.6)+(1.143267+(0.16218-0.738786))+0-0-0</f>
        <v>1111.666661</v>
      </c>
      <c r="U62" s="3">
        <f>2301.3+(334.2-1535.8)+(-1.173663+(-0.170442--0.783258))+0-0-0</f>
        <v>1099.1391530000003</v>
      </c>
      <c r="V62" s="3">
        <f>2274+(366.3-1502.8)+(-4.63896+(-0.747252--3.065712))+0-0-0</f>
        <v>1135.1795</v>
      </c>
      <c r="W62" s="3">
        <f>2191+(333.6-1431)+(-6.70446+(-1.020816--4.37886))+0-0-0</f>
        <v>1090.2535839999998</v>
      </c>
      <c r="X62" s="3">
        <f>2071.4+(225.5-1195.1)+(-3.169242+(-0.345015--1.828503))+0-0-0</f>
        <v>1100.1142460000001</v>
      </c>
      <c r="Y62" s="3">
        <f>2071.8+(187.5-1138.2)+(-1.056618+(-0.095625--0.580482))+0-0-0</f>
        <v>1120.5282390000002</v>
      </c>
      <c r="Z62" s="3">
        <f>2105.9+(181-1020.4)+(-1.074009+(-0.09231--0.520404))+0-0-0</f>
        <v>1265.8540849999999</v>
      </c>
      <c r="AA62" s="3">
        <f>2276.8+(270.2-1253.8)+(-3.483504+(-0.413406--1.918314))+0-0-0</f>
        <v>1291.2214040000003</v>
      </c>
      <c r="AB62" s="3">
        <f>2178+(284.7-1235.3)+(-3.33234+(-0.435591--1.890009))+0-0-0</f>
        <v>1225.5220780000002</v>
      </c>
      <c r="AC62" s="3">
        <f>2159.6+(313.8-1330.5)+(-4.405584+(-0.640152--2.71422))+0-0-0</f>
        <v>1140.5684839999999</v>
      </c>
      <c r="AD62">
        <v>1319</v>
      </c>
      <c r="AE62" s="3">
        <f>2280+(271-1232)+(0+(0-0))+0-0-0</f>
        <v>1319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1864.2+(420.7-1266.3)+(-3.802968+(-0.858228--2.583252))+0-0-0</f>
        <v>1016.5220560000001</v>
      </c>
      <c r="G63" s="3">
        <f>1504.9+(412.7-966.2)+(-3.837495+(-1.052385--2.46381))+0-0-0</f>
        <v>948.97393000000011</v>
      </c>
      <c r="H63" s="3">
        <f>1409+(386.1-875.1)+(-1.43718+(-0.393822--0.892602))+0-0-0</f>
        <v>919.0616</v>
      </c>
      <c r="I63" s="3">
        <f>1409.4+(365.1-871.4)+(-2.875176+(-0.744804--1.777656))+0-0-0</f>
        <v>901.25767600000017</v>
      </c>
      <c r="J63" s="3">
        <f>1409.6+(365.2-872.3)+(-5.032272+(-1.303764--3.114111))+0-0-0</f>
        <v>899.27807499999994</v>
      </c>
      <c r="K63" s="3">
        <f>1412.2+(365.1-888.6)+(-5.041554+(-1.303407--3.172302))+0-0-0</f>
        <v>885.52734100000009</v>
      </c>
      <c r="L63" s="3">
        <f>1411.8+(324.3-869.7)+(-2.160054+(-0.496179--1.330641))+0-0-0</f>
        <v>865.07440799999983</v>
      </c>
      <c r="M63" s="3">
        <f>1524.4+(315.1-919)+(1.554888+(0.321402-0.93738))+0-0-0</f>
        <v>921.43891000000008</v>
      </c>
      <c r="N63" s="3">
        <f>1666.6+(333.4-993.6)+(0.849966+(0.170034-0.506736))+0-0-0</f>
        <v>1006.9132639999999</v>
      </c>
      <c r="O63" s="3">
        <f>1957.8+(332-1223.7)+(-0.998478+(-0.16932--0.624087))+0-0-0</f>
        <v>1065.5562889999999</v>
      </c>
      <c r="P63" s="3">
        <f>2101.7+(322.4-1312.3)+(-1.071867+(-0.164424--0.669273))+0-0-0</f>
        <v>1111.2329819999998</v>
      </c>
      <c r="Q63" s="3">
        <f>2237.3+(289.2-1358.4)+(-3.423069+(-0.442476--2.078352))+0-0-0</f>
        <v>1166.3128070000002</v>
      </c>
      <c r="R63" s="3">
        <f>2243.2+(322.3-1402.9)+(0+(0-0))+0-0-0</f>
        <v>1162.5999999999997</v>
      </c>
      <c r="S63" s="3">
        <f>2242.1+(279.7-1374.7)+(-1.143471+(-0.142647--0.701097))+0-0-0</f>
        <v>1146.5149789999998</v>
      </c>
      <c r="T63" s="3">
        <f>2242+(295.5-1408.9)+(0+(0-0))+0-0-0</f>
        <v>1128.5999999999999</v>
      </c>
      <c r="U63" s="3">
        <f>2305.5+(301.4-1479.4)+(-4.70322+(-0.614856--3.017976))+0-0-0</f>
        <v>1125.1999000000001</v>
      </c>
      <c r="V63" s="3">
        <f>2241.6+(294.5-1403.7)+(-3.429648+(-0.450585--2.147661))+0-0-0</f>
        <v>1130.667428</v>
      </c>
      <c r="W63" s="3">
        <f>2243+(331.8-1444.3)+(-3.43179+(-0.507654--2.209779))+0-0-0</f>
        <v>1128.7703349999999</v>
      </c>
      <c r="X63" s="3">
        <f>2221.3+(292-1381.2)+(-10.195767+(-1.34028--6.339708))+0-0-0</f>
        <v>1126.9036610000001</v>
      </c>
      <c r="Y63" s="3">
        <f>2163.3+(207.9-1210.6)+(-4.413132+(-0.424116--2.469624))+0-0-0</f>
        <v>1158.2323760000004</v>
      </c>
      <c r="Z63" s="3">
        <f>2175.1+(249.3-1119.9)+(-3.327903+(-0.381429--1.713447))+0-0-0</f>
        <v>1302.5041149999997</v>
      </c>
      <c r="AA63" s="3">
        <f>2276.1+(225.4-1183.7)+(-6.964866+(-0.689724--3.622122))+0-0-0</f>
        <v>1313.7675319999996</v>
      </c>
      <c r="AB63" s="3">
        <f>2276.3+(265.3-1290.5)+(-4.643652+(-0.541212--2.63262))+0-0-0</f>
        <v>1248.5477560000002</v>
      </c>
      <c r="AC63" s="3">
        <f>2060.5+(295.8-1193.3)+(-1.050855+(-0.150858--0.608583))+0-0-0</f>
        <v>1162.40687</v>
      </c>
      <c r="AD63">
        <v>1324.6000000000001</v>
      </c>
      <c r="AE63" s="3">
        <f>2273+(216.4-1164.8)+(0+(0-0))+0-0-0</f>
        <v>1324.6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1626+(313.5-912.9)+(-4.1463+(-0.799425--2.327895))+0-0-0</f>
        <v>1023.9821699999999</v>
      </c>
      <c r="G64" s="3">
        <f>1405.4+(283.8-723.3)+(-0.716754+(-0.144738--0.368883))+0-0-0</f>
        <v>965.40739100000008</v>
      </c>
      <c r="H64" s="3">
        <f>1399.8+(250.1-722.8)+(1.427796+(0.255102-0.737256))+0-0-0</f>
        <v>928.04564200000004</v>
      </c>
      <c r="I64" s="3">
        <f>1401+(237.5-724.1)+(-2.14353+(-0.363375--1.107873))+0-0-0</f>
        <v>913.00096799999994</v>
      </c>
      <c r="J64" s="3">
        <f>1404.2+(235.2-719.5)+(-2.864568+(-0.479808--1.46778))+0-0-0</f>
        <v>918.02340400000014</v>
      </c>
      <c r="K64" s="3">
        <f>1405.4+(247.9-750.3)+(-5.734032+(-1.011432--3.061224))+0-0-0</f>
        <v>899.31576000000007</v>
      </c>
      <c r="L64" s="3">
        <f>1404.6+(232.7-766.6)+(-5.014422+(-0.830739--2.736762))+0-0-0</f>
        <v>867.59160099999986</v>
      </c>
      <c r="M64" s="3">
        <f>1478.9+(232.2-781.7)+(0+(0-0))+0-0-0</f>
        <v>929.40000000000009</v>
      </c>
      <c r="N64" s="3">
        <f>1799.3+(226.9-989.6)+(-3.670572+(-0.462876--2.018784))+0-0-0</f>
        <v>1034.485336</v>
      </c>
      <c r="O64" s="3">
        <f>2060.8+(243.1-1210.2)+(2.102016+(0.247962-1.234404))+0-0-0</f>
        <v>1094.8155740000002</v>
      </c>
      <c r="P64" s="3">
        <f>2240.2+(216.7-1299.1)+(1.142502+(0.110517-0.662541))+0-0-0</f>
        <v>1158.390478</v>
      </c>
      <c r="Q64" s="3">
        <f>2240.1+(205.5-1290.5)+(-1.142451+(-0.104805--0.658155))+0-0-0</f>
        <v>1154.5108989999999</v>
      </c>
      <c r="R64" s="3">
        <f>2240.4+(221.6-1315.5)+(0+(0-0))+0-0-0</f>
        <v>1146.5</v>
      </c>
      <c r="S64" s="3">
        <f>2342.3+(255.1-1469.1)+(-3.583719+(-0.390303--2.247723))+0-0-0</f>
        <v>1126.5737010000003</v>
      </c>
      <c r="T64" s="3">
        <f>2382.6+(249.7-1538.4)+(-1.215126+(-0.127347--0.784584))+0-0-0</f>
        <v>1093.3421109999999</v>
      </c>
      <c r="U64" s="3">
        <f>2382.3+(272.4-1579.2)+(1.214973+(0.138924-0.805392))+0-0-0</f>
        <v>1076.048505</v>
      </c>
      <c r="V64" s="3">
        <f>2348.9+(277.6-1542.4)+(-3.593817+(-0.424728--2.359872))+0-0-0</f>
        <v>1082.441327</v>
      </c>
      <c r="W64" s="3">
        <f>2353.2+(317.8-1592)+(-4.800528+(-0.648312--3.24768))+0-0-0</f>
        <v>1076.7988399999997</v>
      </c>
      <c r="X64" s="3">
        <f>2166.2+(298.1-1380.9)+(-6.628572+(-0.912186--4.225554))+0-0-0</f>
        <v>1080.0847959999996</v>
      </c>
      <c r="Y64" s="3">
        <f>2070.4+(225-1174.6)+(0+(0-0))+0-0-0</f>
        <v>1120.8000000000002</v>
      </c>
      <c r="Z64" s="3">
        <f>2203.4+(209.1-1144.5)+(-2.247468+(-0.213282--1.16739))+0-0-0</f>
        <v>1266.7066400000001</v>
      </c>
      <c r="AA64" s="3">
        <f>2258.4+(232.8-1228.7)+(-2.303568+(-0.237456--1.253274))+0-0-0</f>
        <v>1261.21225</v>
      </c>
      <c r="AB64" s="3">
        <f>2049+(300.5-1143.8)+(-3.13497+(-0.459765--1.750014))+0-0-0</f>
        <v>1203.8552790000001</v>
      </c>
      <c r="AC64" s="3">
        <f>1846+(307.9-1025.6)+(-4.7073+(-0.785145--2.61528))+0-0-0</f>
        <v>1125.4228350000001</v>
      </c>
      <c r="AD64">
        <v>1262.3000000000002</v>
      </c>
      <c r="AE64" s="3">
        <f>2276+(222.3-1236)+(0+(0-0))+0-0-0</f>
        <v>1262.3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1470.3+(327.3-779.4)+(-3.749265+(-0.834615--1.98747))+0-0-0</f>
        <v>1015.6035900000001</v>
      </c>
      <c r="G65" s="3">
        <f>1194.1+(332.1-596.5)+(-3.044955+(-0.846855--1.521075))+0-0-0</f>
        <v>927.32926499999996</v>
      </c>
      <c r="H65" s="3">
        <f>1179.4+(316.1-611.4)+(-1.202988+(-0.322422--0.623628))+0-0-0</f>
        <v>883.19821800000011</v>
      </c>
      <c r="I65" s="3">
        <f>1179.3+(299.5-616)+(-2.405772+(-0.61098--1.25664))+0-0-0</f>
        <v>861.03988799999991</v>
      </c>
      <c r="J65" s="3">
        <f>1179.3+(290.2-607.9)+(-3.007215+(-0.74001--1.550145))+0-0-0</f>
        <v>859.40291999999988</v>
      </c>
      <c r="K65" s="3">
        <f>1120+(299.3-580.1)+(-1.7136+(-0.457929--0.887553))+0-0-0</f>
        <v>837.91602399999999</v>
      </c>
      <c r="L65" s="3">
        <f>985.4+(304.6-491.6)+(-1.507662+(-0.466038--0.752148))+0-0-0</f>
        <v>797.178448</v>
      </c>
      <c r="M65" s="3">
        <f>1162.3+(291.8-553.2)+(1.778319+(0.446454-0.846396))+0-0-0</f>
        <v>902.27837699999986</v>
      </c>
      <c r="N65" s="3">
        <f>1549.3+(313.2-722.5)+(-3.160572+(-0.638928--1.4739))+0-0-0</f>
        <v>1137.6744000000001</v>
      </c>
      <c r="O65" s="3">
        <f>1776.2+(313-953.5)+(-2.717586+(-0.47889--1.458855))+0-0-0</f>
        <v>1133.9623790000001</v>
      </c>
      <c r="P65" s="3">
        <f>1776.6+(320.4-1014.9)+(-0.906066+(-0.163404--0.517599))+0-0-0</f>
        <v>1081.548129</v>
      </c>
      <c r="Q65" s="3">
        <f>1862.6+(324.6-1069)+(0+(0-0))+0-0-0</f>
        <v>1118.1999999999998</v>
      </c>
      <c r="R65" s="3">
        <f>1961.2+(323-1174.9)+(-3.000636+(-0.49419--1.797597))+0-0-0</f>
        <v>1107.6027709999998</v>
      </c>
      <c r="S65" s="3">
        <f>1986.8+(313.2-1222.7)+(-2.026536+(-0.319464--1.247154))+0-0-0</f>
        <v>1076.2011539999999</v>
      </c>
      <c r="T65" s="3">
        <f>1988.9+(304.3-1245.9)+(-1.014339+(-0.155193--0.635409))+0-0-0</f>
        <v>1046.765877</v>
      </c>
      <c r="U65" s="3">
        <f>2004.7+(312.3-1281.9)+(-5.111985+(-0.796365--3.268845))+0-0-0</f>
        <v>1032.4604949999998</v>
      </c>
      <c r="V65" s="3">
        <f>1973+(313.7-1245.5)+(-7.04361+(-1.119909--4.446435))+0-0-0</f>
        <v>1037.4829159999999</v>
      </c>
      <c r="W65" s="3">
        <f>1771+(327.9-1051.9)+(-6.32247+(-1.170603--3.755283))+0-0-0</f>
        <v>1043.2622100000001</v>
      </c>
      <c r="X65" s="3">
        <f>1707.5+(300.6-978.8)+(-6.9666+(-1.226448--3.993504))+0-0-0</f>
        <v>1025.1004560000001</v>
      </c>
      <c r="Y65" s="3">
        <f>1875.6+(266.6-1083.9)+(-4.78278+(-0.67983--2.763945))+0-0-0</f>
        <v>1055.6013349999998</v>
      </c>
      <c r="Z65" s="3">
        <f>1951.5+(278-1012.6)+(-0.995265+(-0.14178--0.516426))+0-0-0</f>
        <v>1216.2793810000001</v>
      </c>
      <c r="AA65" s="3">
        <f>1956.4+(308.1-1023.8)+(-4.98882+(-0.785655--2.61069))+0-0-0</f>
        <v>1237.5362150000003</v>
      </c>
      <c r="AB65" s="3">
        <f>1895.1+(327-1040)+(-3.866004+(-0.66708--2.1216))+0-0-0</f>
        <v>1179.6885159999999</v>
      </c>
      <c r="AC65" s="3">
        <f>1854.4+(349.5-1082)+(-3.782976+(-0.71298--2.20728))+0-0-0</f>
        <v>1119.6113240000002</v>
      </c>
      <c r="AD65">
        <v>1237.3999999999999</v>
      </c>
      <c r="AE65" s="3">
        <f>1953+(313.7-1029.3)+(0+(0-0))+0-0-0</f>
        <v>1237.4000000000001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1662.2+(334.2-981.5)+(0+(0-0))+0-0-0</f>
        <v>1014.9000000000001</v>
      </c>
      <c r="G66" s="3">
        <f>1441.1+(347.5-852.6)+(-2.204883+(-0.531675--1.304478))+0-0-0</f>
        <v>934.56791999999984</v>
      </c>
      <c r="H66" s="3">
        <f>1355.2+(338.9-803.7)+(-1.382304+(-0.345678--0.819774))+0-0-0</f>
        <v>889.49179200000003</v>
      </c>
      <c r="I66" s="3">
        <f>1355.4+(309.4-774.2)+(-0.691254+(-0.157794--0.394842))+0-0-0</f>
        <v>890.14579400000002</v>
      </c>
      <c r="J66" s="3">
        <f>1355.4+(308.7-774.6)+(-3.45627+(-0.787185--1.97523))+0-0-0</f>
        <v>887.23177499999997</v>
      </c>
      <c r="K66" s="3">
        <f>1355.5+(301.4-783.3)+(-3.456525+(-0.76857--1.997415))+0-0-0</f>
        <v>871.37232000000006</v>
      </c>
      <c r="L66" s="3">
        <f>1333.9+(291.9-787.9)+(-0.680289+(-0.148869--0.401829))+0-0-0</f>
        <v>837.4726710000001</v>
      </c>
      <c r="M66" s="3">
        <f>1380.3+(295.3-776.1)+(0.703953+(0.150603-0.395811))+0-0-0</f>
        <v>899.95874500000002</v>
      </c>
      <c r="N66" s="3">
        <f>1669.2+(257-918.7)+(0.851292+(0.13107-0.468537))+0-0-0</f>
        <v>1008.013825</v>
      </c>
      <c r="O66" s="3">
        <f>1853.3+(276.9-1048.2)+(-0.945183+(-0.141219--0.534582))+0-0-0</f>
        <v>1081.4481800000001</v>
      </c>
      <c r="P66" s="3">
        <f>2009.4+(302.7-1171.1)+(1.024794+(0.154377-0.597261))+0-0-0</f>
        <v>1141.5819100000003</v>
      </c>
      <c r="Q66" s="3">
        <f>2084+(308.1-1226.4)+(-1.06284+(-0.157131--0.625464))+0-0-0</f>
        <v>1165.1054929999998</v>
      </c>
      <c r="R66" s="3">
        <f>2084.2+(289.4-1217.9)+(-1.062942+(-0.147594--0.621129))+0-0-0</f>
        <v>1155.1105929999999</v>
      </c>
      <c r="S66" s="3">
        <f>2083.7+(301.2-1249.8)+(-2.125374+(-0.307224--1.274796))+0-0-0</f>
        <v>1133.942198</v>
      </c>
      <c r="T66" s="3">
        <f>2084.2+(297.5-1274.1)+(0+(0-0))+0-0-0</f>
        <v>1107.5999999999999</v>
      </c>
      <c r="U66" s="3">
        <f>2084+(289.8-1282)+(-6.37704+(-0.886788--3.92292))+0-0-0</f>
        <v>1088.4590920000001</v>
      </c>
      <c r="V66" s="3">
        <f>2162.3+(286.1-1348.1)+(-5.513865+(-0.729555--3.437655))+0-0-0</f>
        <v>1097.4942350000001</v>
      </c>
      <c r="W66" s="3">
        <f>1931.6+(276.7-1120.1)+(-5.910696+(-0.846702--3.427506))+0-0-0</f>
        <v>1084.8701080000001</v>
      </c>
      <c r="X66" s="3">
        <f>1509.2+(297-753)+(-3.84846+(-0.75735--1.92015))+0-0-0</f>
        <v>1050.5143399999999</v>
      </c>
      <c r="Y66" s="3">
        <f>1478+(286.6-702.2)+(-0.75378+(-0.146166--0.358122))+0-0-0</f>
        <v>1061.8581760000002</v>
      </c>
      <c r="Z66" s="3">
        <f>1479+(346.7-601.8)+(-1.50858+(-0.353634--0.613836))+0-0-0</f>
        <v>1222.6516220000001</v>
      </c>
      <c r="AA66" s="3">
        <f>1570.5+(347.3-650.2)+(-3.20382+(-0.708492--1.326408))+0-0-0</f>
        <v>1265.0140959999999</v>
      </c>
      <c r="AB66" s="3">
        <f>1577+(331.1-707.6)+(-4.02135+(-0.844305--1.80438))+0-0-0</f>
        <v>1197.438725</v>
      </c>
      <c r="AC66" s="3">
        <f>1576.4+(294.9-748.4)+(-2.411892+(-0.451197--1.145052))+0-0-0</f>
        <v>1121.181963</v>
      </c>
      <c r="AD66">
        <v>1290.0999999999999</v>
      </c>
      <c r="AE66" s="3">
        <f>1476+(389.7-575.6)+(0+(0-0))+0-0-0</f>
        <v>1290.0999999999999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1576.5+(203.8-784.3)+(-4.020075+(-0.51969--1.999965))+0-0-0</f>
        <v>993.46019999999999</v>
      </c>
      <c r="G67" s="3">
        <f>1575.7+(249.7-862.7)+(-3.214428+(-0.509388--1.759908))+0-0-0</f>
        <v>960.7360920000001</v>
      </c>
      <c r="H67" s="3">
        <f>1574.9+(251.1-892.2)+(-2.409597+(-0.384183--1.365066))+0-0-0</f>
        <v>932.37128600000005</v>
      </c>
      <c r="I67" s="3">
        <f>1526.6+(243.4-856.9)+(-3.114264+(-0.496536--1.748076))+0-0-0</f>
        <v>911.23727599999995</v>
      </c>
      <c r="J67" s="3">
        <f>1371.5+(232-712.4)+(0.699465+(0.11832-0.363324))+0-0-0</f>
        <v>891.55446100000006</v>
      </c>
      <c r="K67" s="3">
        <f>1337.3+(253.9-724.8)+(-3.410115+(-0.647445--1.84824))+0-0-0</f>
        <v>864.19067999999993</v>
      </c>
      <c r="L67" s="3">
        <f>1330.2+(227.1-742.5)+(-2.035206+(-0.347463--1.136025))+0-0-0</f>
        <v>813.55335600000012</v>
      </c>
      <c r="M67" s="3">
        <f>1461.5+(213.3-784.6)+(3.726825+(0.543915-2.00073))+0-0-0</f>
        <v>892.47001</v>
      </c>
      <c r="N67" s="3">
        <f>1680.9+(230.1-900)+(-0.857259+(-0.117351--0.459))+0-0-0</f>
        <v>1010.4843900000001</v>
      </c>
      <c r="O67" s="3">
        <f>1911.5+(251.9-1066.4)+(1.94973+(0.256938-1.087728))+0-0-0</f>
        <v>1098.1189400000001</v>
      </c>
      <c r="P67" s="3">
        <f>2101.7+(245.1-1198.2)+(-1.071867+(-0.125001--0.611082))+0-0-0</f>
        <v>1148.0142139999998</v>
      </c>
      <c r="Q67" s="3">
        <f>2101.3+(266-1190.2)+(2.143326+(0.27132-1.214004))+0-0-0</f>
        <v>1178.3006420000002</v>
      </c>
      <c r="R67" s="3">
        <f>2099.5+(269.1-1170.7)+(-2.14149+(-0.274482--1.194114))+0-0-0</f>
        <v>1196.678142</v>
      </c>
      <c r="S67" s="3">
        <f>2102.8+(255-1191.3)+(-5.36214+(-0.65025--3.037815))+0-0-0</f>
        <v>1163.5254250000003</v>
      </c>
      <c r="T67" s="3">
        <f>2103.4+(257.6-1228.7)+(-5.36367+(-0.65688--3.133185))+0-0-0</f>
        <v>1129.4126350000001</v>
      </c>
      <c r="U67" s="3">
        <f>2049.9+(255.6-1200.8)+(-3.136347+(-0.391068--1.837224))+0-0-0</f>
        <v>1103.0098090000004</v>
      </c>
      <c r="V67" s="3">
        <f>2020.5+(244.6-1148.5)+(-2.06091+(-0.249492--1.17147))+0-0-0</f>
        <v>1115.4610679999998</v>
      </c>
      <c r="W67" s="3">
        <f>2020.9+(258.2-1153.9)+(-2.061318+(-0.263364--1.176978))+0-0-0</f>
        <v>1124.0522960000001</v>
      </c>
      <c r="X67" s="3">
        <f>2022.3+(255.8-1168.5)+(-6.188238+(-0.782748--3.57561))+0-0-0</f>
        <v>1106.204624</v>
      </c>
      <c r="Y67" s="3">
        <f>2022.8+(243.4-1148)+(-2.063256+(-0.248268--1.17096))+0-0-0</f>
        <v>1117.0594359999998</v>
      </c>
      <c r="Z67" s="3">
        <f>2099.9+(265.9-1071.3)+(-2.141898+(-0.271218--1.092726))+0-0-0</f>
        <v>1293.1796099999999</v>
      </c>
      <c r="AA67" s="3">
        <f>2132.6+(266.7-1065.6)+(-4.350504+(-0.544068--2.173824))+0-0-0</f>
        <v>1330.9792520000001</v>
      </c>
      <c r="AB67" s="3">
        <f>2062+(266.1-1060.8)+(-5.2581+(-0.678555--2.70504))+0-0-0</f>
        <v>1264.0683850000003</v>
      </c>
      <c r="AC67" s="3">
        <f>1926.8+(264.3-994.6)+(0+(0-0))+0-0-0</f>
        <v>1196.5</v>
      </c>
      <c r="AD67">
        <v>1327.4</v>
      </c>
      <c r="AE67" s="3">
        <f>2136+(261.4-1070)+(0+(0-0))+0-0-0</f>
        <v>1327.4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1793.9+(255.9-960.7)+(-3.659556+(-0.522036--1.959828))+0-0-0</f>
        <v>1086.878236</v>
      </c>
      <c r="G68" s="3">
        <f>1696.9+(247.6-940.7)+(-1.730838+(-0.252552--0.959514))+0-0-0</f>
        <v>1002.7761240000001</v>
      </c>
      <c r="H68" s="3">
        <f>1388.5+(273.4-721.6)+(-2.124405+(-0.418302--1.104048))+0-0-0</f>
        <v>938.86134099999992</v>
      </c>
      <c r="I68" s="3">
        <f>1336.8+(254.2-675.7)+(0+(0-0))+0-0-0</f>
        <v>915.3</v>
      </c>
      <c r="J68" s="3">
        <f>1300.7+(262.5-652.5)+(0.663357+(0.133875-0.332775))+0-0-0</f>
        <v>911.16445700000008</v>
      </c>
      <c r="K68" s="3">
        <f>1291.7+(264.4-679.1)+(-2.635068+(-0.539376--1.385364))+0-0-0</f>
        <v>875.21091999999999</v>
      </c>
      <c r="L68" s="3">
        <f>1288.2+(254.8-737.1)+(-1.313964+(-0.259896--0.751842))+0-0-0</f>
        <v>805.07798200000013</v>
      </c>
      <c r="M68" s="3">
        <f>1284.2+(247.7-705.7)+(-1.309884+(-0.252654--0.719814))+0-0-0</f>
        <v>825.35727600000007</v>
      </c>
      <c r="N68" s="3">
        <f>1313.7+(261.7-694)+(-2.009961+(-0.400401--1.06182))+0-0-0</f>
        <v>880.05145800000014</v>
      </c>
      <c r="O68" s="3">
        <f>1454.5+(263.1-764.8)+(-1.48359+(-0.268362--0.780096))+0-0-0</f>
        <v>951.82814400000007</v>
      </c>
      <c r="P68" s="3">
        <f>1736.8+(266.1-995.3)+(-2.657304+(-0.407133--1.522809))+0-0-0</f>
        <v>1006.0583720000001</v>
      </c>
      <c r="Q68" s="3">
        <f>2049.7+(277.9-1261.4)+(-3.136041+(-0.425187--1.929942))+0-0-0</f>
        <v>1064.5687139999998</v>
      </c>
      <c r="R68" s="3">
        <f>2061.6+(258.8-1254.5)+(-1.051416+(-0.131988--0.639795))+0-0-0</f>
        <v>1065.3563909999998</v>
      </c>
      <c r="S68" s="3">
        <f>2061.6+(249.2-1254.8)+(-1.051416+(-0.127092--0.639948))+0-0-0</f>
        <v>1055.46144</v>
      </c>
      <c r="T68" s="3">
        <f>2061.4+(263.9-1288.4)+(-4.205256+(-0.538356--2.628336))+0-0-0</f>
        <v>1034.7847240000001</v>
      </c>
      <c r="U68" s="3">
        <f>2012.6+(257.9-1246.9)+(-1.026426+(-0.131529--0.635919))+0-0-0</f>
        <v>1023.0779639999998</v>
      </c>
      <c r="V68" s="3">
        <f>1961.6+(259.4-1199.9)+(-1.000416+(-0.132294--0.611949))+0-0-0</f>
        <v>1020.5792389999998</v>
      </c>
      <c r="W68" s="3">
        <f>1953.6+(235.1-1159.1)+(-3.985344+(-0.479604--2.364564))+0-0-0</f>
        <v>1027.4996159999998</v>
      </c>
      <c r="X68" s="3">
        <f>1866.5+(234-1065.3)+(-4.759575+(-0.5967--2.716515))+0-0-0</f>
        <v>1032.56024</v>
      </c>
      <c r="Y68" s="3">
        <f>1887.3+(201.7-1017.7)+(-2.887569+(-0.308601--1.557081))+0-0-0</f>
        <v>1069.6609109999999</v>
      </c>
      <c r="Z68" s="3">
        <f>2121.7+(174.8-1043.9)+(-3.246201+(-0.267444--1.597167))+0-0-0</f>
        <v>1250.6835219999996</v>
      </c>
      <c r="AA68" s="3">
        <f>2129.1+(172.4-1036.2)+(-3.257523+(-0.263772--1.585386))+0-0-0</f>
        <v>1263.3640909999997</v>
      </c>
      <c r="AB68" s="3">
        <f>2125.1+(240.9-1129.8)+(-4.335204+(-0.491436--2.304792))+0-0-0</f>
        <v>1233.6781519999997</v>
      </c>
      <c r="AC68" s="3">
        <f>2116.6+(313.9-1283.9)+(-3.238398+(-0.480267--1.964367))+0-0-0</f>
        <v>1144.8457019999998</v>
      </c>
      <c r="AD68">
        <v>1253.8</v>
      </c>
      <c r="AE68" s="3">
        <f>2137+(187-1070.2)+(0+(0-0))+0-0-0</f>
        <v>1253.8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1913.5+(297.4-1157.5)+(-3.90354+(-0.606696--2.3613))+0-0-0</f>
        <v>1051.251064</v>
      </c>
      <c r="G69" s="3">
        <f>1463.6+(276.3-792.9)+(-2.985744+(-0.563652--1.617516))+0-0-0</f>
        <v>945.06812000000002</v>
      </c>
      <c r="H69" s="3">
        <f>1338.6+(276.1-711.4)+(-1.365372+(-0.281622--0.725628))+0-0-0</f>
        <v>902.37863399999992</v>
      </c>
      <c r="I69" s="3">
        <f>1337.2+(240.7-695.9)+(-0.681972+(-0.122757--0.354909))+0-0-0</f>
        <v>881.55017999999995</v>
      </c>
      <c r="J69" s="3">
        <f>1338.2+(233.8-701.7)+(-1.364964+(-0.238476--0.715734))+0-0-0</f>
        <v>869.41229399999997</v>
      </c>
      <c r="K69" s="3">
        <f>1338.4+(243.1-720.3)+(-3.41292+(-0.619905--1.836765))+0-0-0</f>
        <v>859.00394000000017</v>
      </c>
      <c r="L69" s="3">
        <f>1337.8+(241.1-733)+(0+(0-0))+0-0-0</f>
        <v>845.9</v>
      </c>
      <c r="M69" s="3">
        <f>1487.1+(265.5-822.6)+(-1.516842+(-0.27081--0.839052))+0-0-0</f>
        <v>929.05139999999983</v>
      </c>
      <c r="N69" s="3">
        <f>1558.7+(277.1-815.3)+(-3.179748+(-0.565284--1.663212))+0-0-0</f>
        <v>1018.4181800000001</v>
      </c>
      <c r="O69" s="3">
        <f>1616.3+(283.2-793.8)+(-0.824313+(-0.144432--0.404838))+0-0-0</f>
        <v>1105.1360930000001</v>
      </c>
      <c r="P69" s="3">
        <f>1685.6+(284.3-809.2)+(0+(0-0))+0-0-0</f>
        <v>1160.6999999999998</v>
      </c>
      <c r="Q69" s="3">
        <f>1678.7+(299.1-819.1)+(1.712274+(0.305082-0.835482))+0-0-0</f>
        <v>1159.8818740000002</v>
      </c>
      <c r="R69" s="3">
        <f>1676.6+(327.8-842.2)+(-0.855066+(-0.167178--0.429522))+0-0-0</f>
        <v>1161.6072779999997</v>
      </c>
      <c r="S69" s="3">
        <f>1675.7+(363.8-914.2)+(0+(0-0))+0-0-0</f>
        <v>1125.3</v>
      </c>
      <c r="T69" s="3">
        <f>1674.7+(376.1-956.3)+(-0.854097+(-0.191811--0.487713))+0-0-0</f>
        <v>1093.9418049999999</v>
      </c>
      <c r="U69" s="3">
        <f>1675.9+(391.8-985.2)+(-4.273545+(-0.99909--2.51226))+0-0-0</f>
        <v>1079.7396249999999</v>
      </c>
      <c r="V69" s="3">
        <f>1676.5+(393.9-991.5)+(-2.565045+(-0.602667--1.516995))+0-0-0</f>
        <v>1077.2492830000001</v>
      </c>
      <c r="W69" s="3">
        <f>1680.1+(376.5-965.1)+(-5.997957+(-1.344105--3.445407))+0-0-0</f>
        <v>1087.603345</v>
      </c>
      <c r="X69" s="3">
        <f>1679.8+(279.3-872)+(-5.996886+(-0.997101--3.11304))+0-0-0</f>
        <v>1083.2190529999998</v>
      </c>
      <c r="Y69" s="3">
        <f>1718.5+(260.3-891.3)+(-0.876435+(-0.132753--0.454563))+0-0-0</f>
        <v>1086.945375</v>
      </c>
      <c r="Z69" s="3">
        <f>2105.5+(236.6-1080.4)+(-2.14761+(-0.241332--1.102008))+0-0-0</f>
        <v>1260.4130659999998</v>
      </c>
      <c r="AA69" s="3">
        <f>2127.1+(245-1072.7)+(-6.508926+(-0.7497--3.282462))+0-0-0</f>
        <v>1295.4238359999999</v>
      </c>
      <c r="AB69" s="3">
        <f>2131.7+(277-1165.7)+(-4.348668+(-0.56508--2.378028))+0-0-0</f>
        <v>1240.4642799999997</v>
      </c>
      <c r="AC69" s="3">
        <f>2030.3+(277.2-1142)+(-6.212718+(-0.848232--3.49452))+0-0-0</f>
        <v>1161.9335699999999</v>
      </c>
      <c r="AD69">
        <v>1323.6999999999998</v>
      </c>
      <c r="AE69" s="3">
        <f>2119+(271.2-1066.5)+(0+(0-0))+0-0-0</f>
        <v>1323.7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1814.4+(280.2-1034.2)+(-1.850688+(-0.285804--1.054884))+0-0-0</f>
        <v>1059.3183920000001</v>
      </c>
      <c r="G70" s="3">
        <f>1448.6+(279.7-754.3)+(-3.69393+(-0.713235--1.923465))+0-0-0</f>
        <v>971.5163</v>
      </c>
      <c r="H70" s="3">
        <f>1335.6+(301.2-716.5)+(-2.724624+(-0.614448--1.46166))+0-0-0</f>
        <v>918.42258799999991</v>
      </c>
      <c r="I70" s="3">
        <f>1334.5+(323.7-758.7)+(-2.041785+(-0.495261--1.160811))+0-0-0</f>
        <v>898.12376500000005</v>
      </c>
      <c r="J70" s="3">
        <f>1333.5+(297.7-741.3)+(-2.040255+(-0.455481--1.134189))+0-0-0</f>
        <v>888.53845300000012</v>
      </c>
      <c r="K70" s="3">
        <f>1333.2+(308.6-776.8)+(-2.719728+(-0.629544--1.584672))+0-0-0</f>
        <v>863.23540000000014</v>
      </c>
      <c r="L70" s="3">
        <f>1333.8+(252-750.4)+(-2.040714+(-0.38556--1.148112))+0-0-0</f>
        <v>834.12183800000003</v>
      </c>
      <c r="M70" s="3">
        <f>1462.9+(246.6-789.3)+(-0.746079+(-0.125766--0.402543))+0-0-0</f>
        <v>919.73069800000019</v>
      </c>
      <c r="N70" s="3">
        <f>1593.3+(257.8-828)+(0+(0-0))+0-0-0</f>
        <v>1023.0999999999999</v>
      </c>
      <c r="O70" s="3">
        <f>1654.7+(279.7-828.3)+(0.843897+(0.142647-0.422433))+0-0-0</f>
        <v>1106.664111</v>
      </c>
      <c r="P70" s="3">
        <f>1693.1+(288.9-826.6)+(0.863481+(0.147339-0.421566))+0-0-0</f>
        <v>1155.9892539999998</v>
      </c>
      <c r="Q70" s="3">
        <f>1691.7+(297.5-801.8)+(0.862767+(0.151725-0.408918))+0-0-0</f>
        <v>1188.005574</v>
      </c>
      <c r="R70" s="3">
        <f>1696.9+(286.5-789)+(0+(0-0))+0-0-0</f>
        <v>1194.4000000000001</v>
      </c>
      <c r="S70" s="3">
        <f>1794.5+(289-912.7)+(0+(0-0))+0-0-0</f>
        <v>1170.8</v>
      </c>
      <c r="T70" s="3">
        <f>1883.1+(295.4-1033.8)+(-2.881143+(-0.451962--1.581714))+0-0-0</f>
        <v>1142.9486089999998</v>
      </c>
      <c r="U70" s="3">
        <f>1889.4+(293.3-1049.3)+(1.927188+(0.299166-1.070286))+0-0-0</f>
        <v>1134.5560680000001</v>
      </c>
      <c r="V70" s="3">
        <f>1968.3+(302.5-1132.8)+(-2.007666+(-0.30855--1.155456))+0-0-0</f>
        <v>1136.83924</v>
      </c>
      <c r="W70" s="3">
        <f>1839.1+(306.4-992.9)+(-6.565587+(-1.093848--3.544653))+0-0-0</f>
        <v>1148.4852179999998</v>
      </c>
      <c r="X70" s="3">
        <f>1745.4+(286.6-893.7)+(-4.45077+(-0.73083--2.278935))+0-0-0</f>
        <v>1135.3973350000001</v>
      </c>
      <c r="Y70" s="3">
        <f>1745.7+(242.1-859.5)+(-2.670921+(-0.370413--1.315035))+0-0-0</f>
        <v>1126.5737010000003</v>
      </c>
      <c r="Z70" s="3">
        <f>2051.8+(245.9-989.5)+(-2.092836+(-0.250818--1.00929))+0-0-0</f>
        <v>1306.8656360000002</v>
      </c>
      <c r="AA70" s="3">
        <f>2127.2+(321.1-1080.3)+(-5.42436+(-0.818805--2.754765))+0-0-0</f>
        <v>1364.5116</v>
      </c>
      <c r="AB70" s="3">
        <f>2124.2+(373.4-1200.1)+(-4.333368+(-0.761736--2.448204))+0-0-0</f>
        <v>1294.8531</v>
      </c>
      <c r="AC70" s="3">
        <f>2114.6+(317.8-1212.4)+(-4.313784+(-0.648312--2.473296))+0-0-0</f>
        <v>1217.5111999999997</v>
      </c>
      <c r="AD70">
        <v>1380.1</v>
      </c>
      <c r="AE70" s="3">
        <f>2125+(323.2-1068.1)+(0+(0-0))+0-0-0</f>
        <v>1380.1000000000001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1917.2+(336.1-1139.7)+(-1.955544+(-0.342822--1.162494))+0-0-0</f>
        <v>1112.4641279999998</v>
      </c>
      <c r="G71" s="3">
        <f>1589.6+(321.8-883.1)+(-3.242784+(-0.656472--1.801524))+0-0-0</f>
        <v>1026.202268</v>
      </c>
      <c r="H71" s="3">
        <f>1345.9+(290.5-659.7)+(-2.745636+(-0.59262--1.345788))+0-0-0</f>
        <v>974.70753200000001</v>
      </c>
      <c r="I71" s="3">
        <f>1346.8+(288.6-675.6)+(-2.060604+(-0.441558--1.033668))+0-0-0</f>
        <v>958.33150599999999</v>
      </c>
      <c r="J71" s="3">
        <f>1347.1+(283.9-676.7)+(-0.687021+(-0.144789--0.345117))+0-0-0</f>
        <v>953.8133069999999</v>
      </c>
      <c r="K71" s="3">
        <f>1347+(278.2-707)+(-2.06091+(-0.425646--1.08171))+0-0-0</f>
        <v>916.79515400000003</v>
      </c>
      <c r="L71" s="3">
        <f>1348.3+(289.3-736.8)+(-1.375266+(-0.295086--0.751536))+0-0-0</f>
        <v>899.88118399999996</v>
      </c>
      <c r="M71" s="3">
        <f>1572.3+(273.1-862.1)+(0+(0-0))+0-0-0</f>
        <v>983.3</v>
      </c>
      <c r="N71" s="3">
        <f>1948.4+(278.5-1108.4)+(1.987368+(0.28407-1.130568))+0-0-0</f>
        <v>1119.6408699999999</v>
      </c>
      <c r="O71" s="3">
        <f>2104.7+(296.2-1192.5)+(1.073397+(0.151062-0.608175))+0-0-0</f>
        <v>1209.0162839999998</v>
      </c>
      <c r="P71" s="3">
        <f>2104.2+(287.9-1129.3)+(1.073142+(0.146829-0.575943))+0-0-0</f>
        <v>1263.4440279999997</v>
      </c>
      <c r="Q71" s="3">
        <f>2151.1+(295.1-1183.8)+(2.194122+(0.301002-1.207476))+0-0-0</f>
        <v>1263.6876480000001</v>
      </c>
      <c r="R71" s="3">
        <f>2283.9+(303-1281.7)+(1.164789+(0.15453-0.653667))+0-0-0</f>
        <v>1305.865652</v>
      </c>
      <c r="S71" s="3">
        <f>2338.5+(296.1-1368.8)+(-1.192635+(-0.151011--0.698088))+0-0-0</f>
        <v>1265.1544420000002</v>
      </c>
      <c r="T71" s="3">
        <f>2328.8+(306.9-1399.9)+(-1.187688+(-0.156519--0.713949))+0-0-0</f>
        <v>1235.1697420000003</v>
      </c>
      <c r="U71" s="3">
        <f>2242.2+(305.1-1323.9)+(-3.430566+(-0.466803--2.025567))+0-0-0</f>
        <v>1221.5281979999997</v>
      </c>
      <c r="V71" s="3">
        <f>2239.7+(316.4-1316.5)+(-2.284494+(-0.322728--1.34283))+0-0-0</f>
        <v>1238.3356079999999</v>
      </c>
      <c r="W71" s="3">
        <f>2240.6+(330.4-1343.1)+(-6.856236+(-1.011024--4.109886))+0-0-0</f>
        <v>1224.1426260000001</v>
      </c>
      <c r="X71" s="3">
        <f>2243.1+(314-1350.3)+(-6.863886+(-0.96084--4.131918))+0-0-0</f>
        <v>1203.1071919999999</v>
      </c>
      <c r="Y71" s="3">
        <f>2168.5+(268-1223.3)+(-4.42374+(-0.54672--2.495532))+0-0-0</f>
        <v>1210.725072</v>
      </c>
      <c r="Z71" s="3">
        <f>2187.2+(226.9-1081)+(-2.230944+(-0.231438--1.10262))+0-0-0</f>
        <v>1331.7402379999999</v>
      </c>
      <c r="AA71" s="3">
        <f>2281.1+(220.1-1159)+(-6.980166+(-0.673506--3.54654))+0-0-0</f>
        <v>1338.0928679999997</v>
      </c>
      <c r="AB71" s="3">
        <f>2244.8+(335.6-1316.3)+(-4.579392+(-0.684624--2.685252))+0-0-0</f>
        <v>1261.5212360000003</v>
      </c>
      <c r="AC71" s="3">
        <f>2059.2+(334.2-1211.5)+(-1.050192+(-0.170442--0.617865))+0-0-0</f>
        <v>1181.2972309999998</v>
      </c>
      <c r="AD71">
        <v>1349.4</v>
      </c>
      <c r="AE71" s="3">
        <f>2278+(222.4-1151)+(0+(0-0))+0-0-0</f>
        <v>1349.4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1922.4+(289.9-1159.9)+(-1.960848+(-0.295698--1.183098))+0-0-0</f>
        <v>1051.326552</v>
      </c>
      <c r="G72" s="3">
        <f>1510.7+(313.7-873.5)+(-3.081828+(-0.639948--1.78194))+0-0-0</f>
        <v>948.96016400000008</v>
      </c>
      <c r="H72" s="3">
        <f>1341.5+(334.9-764.8)+(-2.73666+(-0.683196--1.560192))+0-0-0</f>
        <v>909.74033600000007</v>
      </c>
      <c r="I72" s="3">
        <f>1336.7+(359.8-807.8)+(-2.726868+(-0.733992--1.647912))+0-0-0</f>
        <v>886.88705200000004</v>
      </c>
      <c r="J72" s="3">
        <f>1333.5+(329.8-778.3)+(-0.680085+(-0.168198--0.396933))+0-0-0</f>
        <v>884.54864999999995</v>
      </c>
      <c r="K72" s="3">
        <f>1334.4+(324.7-788.7)+(-5.444352+(-1.324776--3.217896))+0-0-0</f>
        <v>866.84876800000006</v>
      </c>
      <c r="L72" s="3">
        <f>1334.5+(251.2-733.3)+(-1.36119+(-0.256224--0.747966))+0-0-0</f>
        <v>851.53055200000006</v>
      </c>
      <c r="M72" s="3">
        <f>1551.8+(256.3-870.9)+(-1.582836+(-0.261426--0.888318))+0-0-0</f>
        <v>936.244056</v>
      </c>
      <c r="N72" s="3">
        <f>1958.7+(244.1-1144.9)+(0+(0-0))+0-0-0</f>
        <v>1057.9000000000001</v>
      </c>
      <c r="O72" s="3">
        <f>2172.3+(339.7-1380.8)+(-2.215746+(-0.346494--1.408416))+0-0-0</f>
        <v>1130.0461760000003</v>
      </c>
      <c r="P72" s="3">
        <f>2115.7+(373.4-1322.7)+(-3.237021+(-0.571302--2.023731))+0-0-0</f>
        <v>1164.6154079999997</v>
      </c>
      <c r="Q72" s="3">
        <f>2186.1+(371.1-1357.1)+(-4.459644+(-0.757044--2.768484))+0-0-0</f>
        <v>1197.6517959999999</v>
      </c>
      <c r="R72" s="3">
        <f>2184.5+(383.9-1362.5)+(-2.22819+(-0.391578--1.38975))+0-0-0</f>
        <v>1204.6699820000001</v>
      </c>
      <c r="S72" s="3">
        <f>2235.7+(391.7-1437.2)+(-2.280414+(-0.399534--1.465944))+0-0-0</f>
        <v>1188.9859959999999</v>
      </c>
      <c r="T72" s="3">
        <f>2380.8+(383.4-1584.4)+(1.214208+(0.195534-0.808044))+0-0-0</f>
        <v>1180.4016980000001</v>
      </c>
      <c r="U72" s="3">
        <f>2378.8+(380.4-1595.5)+(-2.426376+(-0.388008--1.62741))+0-0-0</f>
        <v>1162.5130260000003</v>
      </c>
      <c r="V72" s="3">
        <f>2354+(425.5-1612.2)+(-8.40378+(-1.519035--5.755554))+0-0-0</f>
        <v>1163.1327389999999</v>
      </c>
      <c r="W72" s="3">
        <f>2248.6+(404.8-1481.4)+(-2.293572+(-0.412896--1.511028))+0-0-0</f>
        <v>1170.8045599999998</v>
      </c>
      <c r="X72" s="3">
        <f>2145.7+(303.2-1291.5)+(-5.471535+(-0.77316--3.293325))+0-0-0</f>
        <v>1154.4486299999999</v>
      </c>
      <c r="Y72" s="3">
        <f>2110.9+(201.8-1152)+(0+(0-0))+0-0-0</f>
        <v>1160.7</v>
      </c>
      <c r="Z72" s="3">
        <f>2137.7+(265-1090.1)+(0+(0-0))+0-0-0</f>
        <v>1312.6</v>
      </c>
      <c r="AA72" s="3">
        <f>2141.5+(344.4-1126.9)+(-4.36866+(-0.702576--2.298876))+0-0-0</f>
        <v>1356.2276400000001</v>
      </c>
      <c r="AB72" s="3">
        <f>2141.6+(433-1272.6)+(0+(0-0))+0-0-0</f>
        <v>1302</v>
      </c>
      <c r="AC72" s="3">
        <f>2054.1+(421.2-1263.6)+(-4.190364+(-0.859248--2.577744))+0-0-0</f>
        <v>1209.228132</v>
      </c>
      <c r="AD72">
        <v>1307.9000000000001</v>
      </c>
      <c r="AE72" s="3">
        <f>2144+(339.5-1175.6)+(0+(0-0))+0-0-0</f>
        <v>1307.9000000000001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1701.2+(460.7-1022.3)+(-3.470448+(-0.939828--2.085492))+0-0-0</f>
        <v>1137.2752160000002</v>
      </c>
      <c r="G73" s="3">
        <f>1370.1+(401.1-716.7)+(-3.493755+(-1.022805--1.827585))+0-0-0</f>
        <v>1051.811025</v>
      </c>
      <c r="H73" s="3">
        <f>1336.9+(348.2-669)+(-0.681819+(-0.177582--0.34119))+0-0-0</f>
        <v>1015.5817890000002</v>
      </c>
      <c r="I73" s="3">
        <f>1335+(363.8-704)+(0+(0-0))+0-0-0</f>
        <v>994.8</v>
      </c>
      <c r="J73" s="3">
        <f>1336.3+(348.3-700.9)+(-1.363026+(-0.355266--0.714918))+0-0-0</f>
        <v>982.69662600000004</v>
      </c>
      <c r="K73" s="3">
        <f>1337.2+(377.2-756.5)+(-3.40986+(-0.96186--1.929075))+0-0-0</f>
        <v>955.45735500000012</v>
      </c>
      <c r="L73" s="3">
        <f>1336+(328.1-735.8)+(1.36272+(0.334662-0.750516))+0-0-0</f>
        <v>929.24686600000007</v>
      </c>
      <c r="M73" s="3">
        <f>1423.7+(352.7-780.9)+(-0.726087+(-0.179877--0.398259))+0-0-0</f>
        <v>994.99229500000001</v>
      </c>
      <c r="N73" s="3">
        <f>1589.5+(396.4-879.4)+(2.431935+(0.606492-1.345482))+0-0-0</f>
        <v>1108.192945</v>
      </c>
      <c r="O73" s="3">
        <f>1988.9+(462.1-1254.6)+(-1.014339+(-0.235671--0.639846))+0-0-0</f>
        <v>1195.7898360000002</v>
      </c>
      <c r="P73" s="3">
        <f>2097+(367.7-1213.3)+(0+(0-0))+0-0-0</f>
        <v>1251.4000000000001</v>
      </c>
      <c r="Q73" s="3">
        <f>2208.9+(339.4-1262.1)+(0+(0-0))+0-0-0</f>
        <v>1286.2000000000003</v>
      </c>
      <c r="R73" s="3">
        <f>2242.1+(385.7-1304.4)+(1.143471+(0.196707-0.665244))+0-0-0</f>
        <v>1324.0749339999998</v>
      </c>
      <c r="S73" s="3">
        <f>2243+(398.4-1324)+(-4.57572+(-0.812736--2.70096))+0-0-0</f>
        <v>1314.7125040000001</v>
      </c>
      <c r="T73" s="3">
        <f>2234.5+(405.3-1348.7)+(-4.55838+(-0.826812--2.751348))+0-0-0</f>
        <v>1288.466156</v>
      </c>
      <c r="U73" s="3">
        <f>2189.9+(421.2-1370.6)+(-2.233698+(-0.429624--1.398012))+0-0-0</f>
        <v>1239.2346900000002</v>
      </c>
      <c r="V73" s="3">
        <f>2240.7+(403.3-1388.9)+(-4.571028+(-0.822732--2.833356))+0-0-0</f>
        <v>1252.5395959999996</v>
      </c>
      <c r="W73" s="3">
        <f>2240.2+(434.4-1421.4)+(-5.71251+(-1.10772--3.62457))+0-0-0</f>
        <v>1250.0043399999997</v>
      </c>
      <c r="X73" s="3">
        <f>2243+(434.9-1455)+(-11.4393+(-2.21799--7.4205))+0-0-0</f>
        <v>1216.6632100000002</v>
      </c>
      <c r="Y73" s="3">
        <f>2173.9+(297.7-1243.2)+(-3.326067+(-0.455481--1.902096))+0-0-0</f>
        <v>1226.5205480000002</v>
      </c>
      <c r="Z73" s="3">
        <f>2176.5+(274.5-1079.8)+(1.110015+(0.139995-0.550698))+0-0-0</f>
        <v>1371.899312</v>
      </c>
      <c r="AA73" s="3">
        <f>2275.2+(405.2-1238.2)+(-4.641408+(-0.826608--2.525928))+0-0-0</f>
        <v>1439.2579119999998</v>
      </c>
      <c r="AB73" s="3">
        <f>2042.7+(484.6-1165.7)+(-2.083554+(-0.494292--1.189014))+0-0-0</f>
        <v>1360.2111679999998</v>
      </c>
      <c r="AC73" s="3">
        <f>1975.8+(530.6-1227.2)+(-5.03829+(-1.35303--3.12936))+0-0-0</f>
        <v>1275.9380399999998</v>
      </c>
      <c r="AD73">
        <v>1443.6</v>
      </c>
      <c r="AE73" s="3">
        <f>2286+(405.5-1247.9)+(0+(0-0))+0-0-0</f>
        <v>1443.6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1797.7+(470.5-1077.4)+(-4.584135+(-1.199775--2.74737))+0-0-0</f>
        <v>1187.7634599999999</v>
      </c>
      <c r="G74" s="3">
        <f>1407.1+(423.7-742.3)+(-3.588105+(-1.080435--1.892865))+0-0-0</f>
        <v>1085.7243249999999</v>
      </c>
      <c r="H74" s="3">
        <f>1282+(462.3-714)+(0.65382+(0.235773-0.36414))+0-0-0</f>
        <v>1030.8254529999999</v>
      </c>
      <c r="I74" s="3">
        <f>1281.3+(439.7-710.2)+(-0.653463+(-0.224247--0.362202))+0-0-0</f>
        <v>1010.284492</v>
      </c>
      <c r="J74" s="3">
        <f>1281.4+(380.9-657.1)+(-4.574598+(-1.359813--2.345847))+0-0-0</f>
        <v>1001.611436</v>
      </c>
      <c r="K74" s="3">
        <f>1282.5+(370.4-678.2)+(-5.886675+(-1.700136--3.112938))+0-0-0</f>
        <v>970.22612699999991</v>
      </c>
      <c r="L74" s="3">
        <f>1283.4+(350.1-706.8)+(-3.27267+(-0.892755--1.80234))+0-0-0</f>
        <v>924.3369150000002</v>
      </c>
      <c r="M74" s="3">
        <f>1285.1+(331.1-611)+(1.966203+(0.506583-0.93483))+0-0-0</f>
        <v>1006.7379559999999</v>
      </c>
      <c r="N74" s="3">
        <f>1289.8+(374.3-557.2)+(1.973394+(0.572679-0.852516))+0-0-0</f>
        <v>1108.5935569999999</v>
      </c>
      <c r="O74" s="3">
        <f>1290+(460.8-560.3)+(2.6316+(0.940032-1.143012))+0-0-0</f>
        <v>1192.9286199999999</v>
      </c>
      <c r="P74" s="3">
        <f>1401.2+(426.9-567.6)+(2.143836+(0.653157-0.868428))+0-0-0</f>
        <v>1262.4285649999999</v>
      </c>
      <c r="Q74" s="3">
        <f>1487+(394.8-567.9)+(0+(0-0))+0-0-0</f>
        <v>1313.9</v>
      </c>
      <c r="R74" s="3">
        <f>1727.5+(343.4-745.4)+(-0.881025+(-0.175134--0.380154))+0-0-0</f>
        <v>1324.823995</v>
      </c>
      <c r="S74" s="3">
        <f>1761.2+(354.2-826)+(-4.49106+(-0.90321--2.1063))+0-0-0</f>
        <v>1286.11203</v>
      </c>
      <c r="T74" s="3">
        <f>1760.6+(364.4-874.1)+(-5.387436+(-1.115064--2.674746))+0-0-0</f>
        <v>1247.072246</v>
      </c>
      <c r="U74" s="3">
        <f>1761.1+(295.9-820)+(-2.694483+(-0.452727--1.2546))+0-0-0</f>
        <v>1235.1073899999999</v>
      </c>
      <c r="V74" s="3">
        <f>1762.3+(269-796.3)+(0+(0-0))+0-0-0</f>
        <v>1235</v>
      </c>
      <c r="W74" s="3">
        <f>1761.9+(207.6-735.7)+(1.797138+(0.211752-0.750414))+0-0-0</f>
        <v>1235.0584760000002</v>
      </c>
      <c r="X74" s="3">
        <f>1762.7+(218.6-782.4)+(-2.696931+(-0.334458--1.197072))+0-0-0</f>
        <v>1197.065683</v>
      </c>
      <c r="Y74" s="3">
        <f>1764.9+(243.1-807.1)+(0.900099+(0.123981-0.411621))+0-0-0</f>
        <v>1201.512459</v>
      </c>
      <c r="Z74" s="3">
        <f>2070.4+(244.7-946.7)+(-3.167712+(-0.374391--1.448451))+0-0-0</f>
        <v>1366.3063480000001</v>
      </c>
      <c r="AA74" s="3">
        <f>2133.1+(242.4-975.2)+(-2.175762+(-0.247248--0.994704))+0-0-0</f>
        <v>1398.8716939999997</v>
      </c>
      <c r="AB74" s="3">
        <f>2067.5+(303.2-1045.4)+(-3.163275+(-0.463896--1.599462))+0-0-0</f>
        <v>1323.272291</v>
      </c>
      <c r="AC74" s="3">
        <f>1913.4+(310.7-990.8)+(0+(0-0))+0-0-0</f>
        <v>1233.3000000000002</v>
      </c>
      <c r="AD74">
        <v>1399.1000000000001</v>
      </c>
      <c r="AE74" s="3">
        <f>2132+(276.3-1009.2)+(0+(0-0))+0-0-0</f>
        <v>1399.1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1854.2+(287.7-945.8)+(-1.891284+(-0.293454--0.964716))+0-0-0</f>
        <v>1194.8799780000002</v>
      </c>
      <c r="G75" s="3">
        <f>1667.5+(301.8-850.9)+(-3.4017+(-0.615672--1.735836))+0-0-0</f>
        <v>1116.1184640000001</v>
      </c>
      <c r="H75" s="3">
        <f>1413.7+(328.3-681.3)+(-2.883948+(-0.669732--1.389852))+0-0-0</f>
        <v>1058.5361720000001</v>
      </c>
      <c r="I75" s="3">
        <f>1309.7+(321.4-603)+(0.667947+(0.163914-0.30753))+0-0-0</f>
        <v>1028.624331</v>
      </c>
      <c r="J75" s="3">
        <f>1312.3+(315.6-621.1)+(-1.338546+(-0.321912--0.633522))+0-0-0</f>
        <v>1005.773064</v>
      </c>
      <c r="K75" s="3">
        <f>1312.9+(355.8-700)+(-1.339158+(-0.362916--0.714))+0-0-0</f>
        <v>967.71192600000006</v>
      </c>
      <c r="L75" s="3">
        <f>1313.1+(309.7-713.7)+(-3.348405+(-0.789735--1.819935))+0-0-0</f>
        <v>906.78179499999987</v>
      </c>
      <c r="M75" s="3">
        <f>1312.9+(292.5-689)+(0+(0-0))+0-0-0</f>
        <v>916.40000000000009</v>
      </c>
      <c r="N75" s="3">
        <f>1442.4+(289.2-762.8)+(2.206872+(0.442476-1.167084))+0-0-0</f>
        <v>970.28226400000017</v>
      </c>
      <c r="O75" s="3">
        <f>1753.9+(284-989.7)+(2.683467+(0.43452-1.514241))+0-0-0</f>
        <v>1049.803746</v>
      </c>
      <c r="P75" s="3">
        <f>2035.1+(307.9-1222.9)+(5.189505+(0.785145-3.118395))+0-0-0</f>
        <v>1122.9562549999998</v>
      </c>
      <c r="Q75" s="3">
        <f>2224.6+(275.8-1338.5)+(3.403638+(0.421974-2.047905))+0-0-0</f>
        <v>1163.6777069999998</v>
      </c>
      <c r="R75" s="3">
        <f>2230.9+(274.4-1340.9)+(-2.275518+(-0.279888--1.367718))+0-0-0</f>
        <v>1163.2123120000001</v>
      </c>
      <c r="S75" s="3">
        <f>2231.7+(282.8-1367.4)+(-1.138167+(-0.144228--0.697374))+0-0-0</f>
        <v>1146.5149789999996</v>
      </c>
      <c r="T75" s="3">
        <f>2233.5+(291.4-1392.2)+(0+(0-0))+0-0-0</f>
        <v>1132.6999999999998</v>
      </c>
      <c r="U75" s="3">
        <f>2233.6+(297.1-1413.6)+(0+(0-0))+0-0-0</f>
        <v>1117.0999999999999</v>
      </c>
      <c r="V75" s="3">
        <f>2235.9+(297.4-1422.5)+(-3.420927+(-0.455022--2.176425))+0-0-0</f>
        <v>1109.1004760000001</v>
      </c>
      <c r="W75" s="3">
        <f>2238.4+(297.6-1424.6)+(-5.70792+(-0.75888--3.63273))+0-0-0</f>
        <v>1108.56593</v>
      </c>
      <c r="X75" s="3">
        <f>2162.6+(264.2-1317.7)+(-5.51463+(-0.67371--3.360135))+0-0-0</f>
        <v>1106.2717949999999</v>
      </c>
      <c r="Y75" s="3">
        <f>2110.7+(197.6-1186.6)+(-2.152914+(-0.201552--1.210332))+0-0-0</f>
        <v>1120.5558659999999</v>
      </c>
      <c r="Z75" s="3">
        <f>2128.2+(216.1-1058.3)+(-2.170764+(-0.220422--1.079466))+0-0-0</f>
        <v>1284.6882800000001</v>
      </c>
      <c r="AA75" s="3">
        <f>2139.7+(216.3-1008.9)+(-4.364988+(-0.441252--2.058156))+0-0-0</f>
        <v>1344.3519159999998</v>
      </c>
      <c r="AB75" s="3">
        <f>2128.4+(267.5-1063.9)+(-4.341936+(-0.5457--2.170356))+0-0-0</f>
        <v>1329.2827199999999</v>
      </c>
      <c r="AC75" s="3">
        <f>2021.1+(300.5-1069)+(-2.061522+(-0.30651--1.09038))+0-0-0</f>
        <v>1251.3223479999999</v>
      </c>
      <c r="AD75">
        <v>1354.1999999999998</v>
      </c>
      <c r="AE75" s="3">
        <f>2139+(222.6-1007.4)+(0+(0-0))+0-0-0</f>
        <v>1354.2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2012.8+(330.5-1166.8)+(-4.106112+(-0.67422--2.380272))+0-0-0</f>
        <v>1174.0999400000001</v>
      </c>
      <c r="G76" s="3">
        <f>1669.3+(325.1-895.3)+(0+(0-0))+0-0-0</f>
        <v>1099.0999999999999</v>
      </c>
      <c r="H76" s="3">
        <f>1572.7+(330.8-858.5)+(-2.406231+(-0.506124--1.313505))+0-0-0</f>
        <v>1043.4011499999999</v>
      </c>
      <c r="I76" s="3">
        <f>1524.3+(319.9-837.5)+(-1.554786+(-0.326298--0.85425))+0-0-0</f>
        <v>1005.6731659999999</v>
      </c>
      <c r="J76" s="3">
        <f>1405.6+(300.9-724.4)+(0.716856+(0.153459-0.369444))+0-0-0</f>
        <v>982.60087099999987</v>
      </c>
      <c r="K76" s="3">
        <f>1341.2+(290.4-695)+(-4.104072+(-0.888624--2.1267))+0-0-0</f>
        <v>933.73400400000003</v>
      </c>
      <c r="L76" s="3">
        <f>1342.1+(269.3-734.1)+(-2.053413+(-0.412029--1.123173))+0-0-0</f>
        <v>875.95773099999997</v>
      </c>
      <c r="M76" s="3">
        <f>1340.3+(295.6-736.4)+(1.367106+(0.301512-0.751128))+0-0-0</f>
        <v>900.41749000000004</v>
      </c>
      <c r="N76" s="3">
        <f>1397.8+(331.6-761.3)+(-3.56439+(-0.84558--1.941315))+0-0-0</f>
        <v>965.63134500000001</v>
      </c>
      <c r="O76" s="3">
        <f>1465+(366.8-790.5)+(-0.74715+(-0.187068--0.403155))+0-0-0</f>
        <v>1040.7689370000001</v>
      </c>
      <c r="P76" s="3">
        <f>1669.9+(389-942.9)+(0+(0-0))+0-0-0</f>
        <v>1116</v>
      </c>
      <c r="Q76" s="3">
        <f>1988.9+(362.4-1181.9)+(1.014339+(0.184824-0.602769))+0-0-0</f>
        <v>1169.996394</v>
      </c>
      <c r="R76" s="3">
        <f>2113+(331.4-1271.2)+(0+(0-0))+0-0-0</f>
        <v>1173.1999999999998</v>
      </c>
      <c r="S76" s="3">
        <f>2112.1+(325.1-1268)+(-1.077171+(-0.165801--0.64668))+0-0-0</f>
        <v>1168.6037079999999</v>
      </c>
      <c r="T76" s="3">
        <f>2113.4+(319-1268.2)+(-5.38917+(-0.81345--3.23391))+0-0-0</f>
        <v>1161.2312899999999</v>
      </c>
      <c r="U76" s="3">
        <f>2110.8+(321.6-1278.9)+(-2.153016+(-0.328032--1.304478))+0-0-0</f>
        <v>1152.3234299999999</v>
      </c>
      <c r="V76" s="3">
        <f>2086.6+(296.5-1219.3)+(-5.32083+(-0.756075--3.109215))+0-0-0</f>
        <v>1160.83231</v>
      </c>
      <c r="W76" s="3">
        <f>2078+(277.7-1204)+(-4.23912+(-0.566508--2.45616))+0-0-0</f>
        <v>1149.3505320000002</v>
      </c>
      <c r="X76" s="3">
        <f>2094.7+(253.1-1211.2)+(-6.409782+(-0.774486--3.706272))+0-0-0</f>
        <v>1133.1220039999998</v>
      </c>
      <c r="Y76" s="3">
        <f>2105.3+(215-1189.4)+(-3.221109+(-0.32895--1.819782))+0-0-0</f>
        <v>1129.1697230000002</v>
      </c>
      <c r="Z76" s="3">
        <f>2132.3+(226.3-1079.4)+(-2.174946+(-0.230826--1.100988))+0-0-0</f>
        <v>1277.8952160000001</v>
      </c>
      <c r="AA76" s="3">
        <f>2139.4+(219.4-994)+(-4.364376+(-0.447576--2.02776))+0-0-0</f>
        <v>1362.0158080000001</v>
      </c>
      <c r="AB76" s="3">
        <f>2100+(256.9-1028.9)+(-3.213+(-0.393057--1.574217))+0-0-0</f>
        <v>1325.9681599999999</v>
      </c>
      <c r="AC76" s="3">
        <f>2016+(303.2-1071.9)+(-3.08448+(-0.463896--1.640007))+0-0-0</f>
        <v>1245.391631</v>
      </c>
      <c r="AD76">
        <v>1386.7</v>
      </c>
      <c r="AE76" s="3">
        <f>2139.5+(234.4-987.2)+(0+(0-0))+0-0-0</f>
        <v>1386.6999999999998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1791+(348.8-999.5)+(-3.65364+(-0.711552--2.03898))+0-0-0</f>
        <v>1137.973788</v>
      </c>
      <c r="G77" s="3">
        <f>1372.9+(370.2-702.2)+(0.700179+(0.188802-0.358122))+0-0-0</f>
        <v>1041.4308590000001</v>
      </c>
      <c r="H77" s="3">
        <f>1339.2+(377.2-726.2)+(-1.365984+(-0.384744--0.740724))+0-0-0</f>
        <v>989.18999600000006</v>
      </c>
      <c r="I77" s="3">
        <f>1342.1+(367.9-747.8)+(0+(0-0))+0-0-0</f>
        <v>962.19999999999993</v>
      </c>
      <c r="J77" s="3">
        <f>1342.6+(399.3-794.7)+(2.054178+(0.610929-1.215891))+0-0-0</f>
        <v>948.6492159999998</v>
      </c>
      <c r="K77" s="3">
        <f>1342.5+(356.8-782.4)+(-4.10805+(-1.091808--2.394144))+0-0-0</f>
        <v>914.09428600000012</v>
      </c>
      <c r="L77" s="3">
        <f>1342.8+(261.5-730.5)+(-1.369656+(-0.26673--0.74511))+0-0-0</f>
        <v>872.90872400000001</v>
      </c>
      <c r="M77" s="3">
        <f>1341+(259.8-695.2)+(0.68391+(0.132498-0.354552))+0-0-0</f>
        <v>906.06185599999992</v>
      </c>
      <c r="N77" s="3">
        <f>1466+(240.3-720.4)+(0+(0-0))+0-0-0</f>
        <v>985.90000000000009</v>
      </c>
      <c r="O77" s="3">
        <f>1806+(251.8-978.2)+(-1.84212+(-0.256836--0.997764))+0-0-0</f>
        <v>1078.4988079999998</v>
      </c>
      <c r="P77" s="3">
        <f>2053.9+(318.4-1209.9)+(0+(0-0))+0-0-0</f>
        <v>1162.4000000000001</v>
      </c>
      <c r="Q77" s="3">
        <f>2106.2+(314.9-1231.1)+(1.074162+(0.160599-0.627861))+0-0-0</f>
        <v>1190.6069</v>
      </c>
      <c r="R77" s="3">
        <f>2105.6+(282.8-1177.6)+(2.147712+(0.288456-1.201152))+0-0-0</f>
        <v>1212.035016</v>
      </c>
      <c r="S77" s="3">
        <f>2105.4+(251.2-1151)+(-1.073754+(-0.128112--0.58701))+0-0-0</f>
        <v>1204.9851440000002</v>
      </c>
      <c r="T77" s="3">
        <f>2102.8+(242.2-1137.7)+(1.072428+(0.123522-0.580227))+0-0-0</f>
        <v>1207.9157230000001</v>
      </c>
      <c r="U77" s="3">
        <f>2091.2+(232-1126.1)+(-2.133024+(-0.23664--1.148622))+0-0-0</f>
        <v>1195.878958</v>
      </c>
      <c r="V77" s="3">
        <f>2102.7+(256.7-1152.2)+(-2.144754+(-0.261834--1.175244))+0-0-0</f>
        <v>1205.9686559999998</v>
      </c>
      <c r="W77" s="3">
        <f>2104.2+(301.2-1197.9)+(-5.36571+(-0.76806--3.054645))+0-0-0</f>
        <v>1204.4208749999998</v>
      </c>
      <c r="X77" s="3">
        <f>2103.9+(260.3-1176.5)+(-7.510923+(-0.929271--4.200105))+0-0-0</f>
        <v>1183.4599110000001</v>
      </c>
      <c r="Y77" s="3">
        <f>2108+(241.8-1167.4)+(-2.15016+(-0.246636--1.190748))+0-0-0</f>
        <v>1181.1939519999999</v>
      </c>
      <c r="Z77" s="3">
        <f>2136.3+(212.3-1035.1)+(1.089513+(0.108273-0.527901))+0-0-0</f>
        <v>1314.1698850000002</v>
      </c>
      <c r="AA77" s="3">
        <f>2135.5+(198.5-925.6)+(-3.267315+(-0.303705--1.416168))+0-0-0</f>
        <v>1406.2451480000002</v>
      </c>
      <c r="AB77" s="3">
        <f>2135.6+(245-1011.8)+(-4.356624+(-0.4998--2.064072))+0-0-0</f>
        <v>1366.007648</v>
      </c>
      <c r="AC77" s="3">
        <f>2110+(311.7-1139.5)+(-5.3805+(-0.794835--2.905725))+0-0-0</f>
        <v>1278.93039</v>
      </c>
      <c r="AD77">
        <v>1408.1000000000001</v>
      </c>
      <c r="AE77" s="3">
        <f>2132+(221.3-945.2)+(0+(0-0))+0-0-0</f>
        <v>1408.1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1924.1+(323.6-1065.7)+(-2.943873+(-0.495108--1.630521))+0-0-0</f>
        <v>1180.19154</v>
      </c>
      <c r="G78" s="3">
        <f>1430.6+(365.6-728.5)+(-1.459212+(-0.372912--0.74307))+0-0-0</f>
        <v>1066.6109459999998</v>
      </c>
      <c r="H78" s="3">
        <f>1354.6+(348.7-682.2)+(-1.381692+(-0.355674--0.695844))+0-0-0</f>
        <v>1020.0584779999999</v>
      </c>
      <c r="I78" s="3">
        <f>1357.6+(391.7-759.6)+(0.692376+(0.199767-0.387396))+0-0-0</f>
        <v>990.20474699999977</v>
      </c>
      <c r="J78" s="3">
        <f>1357.4+(337.7-712.2)+(-3.46137+(-0.861135--1.81611))+0-0-0</f>
        <v>980.39360500000009</v>
      </c>
      <c r="K78" s="3">
        <f>1357.4+(315.2-710.7)+(-4.845918+(-1.125264--2.537199))+0-0-0</f>
        <v>958.46601700000008</v>
      </c>
      <c r="L78" s="3">
        <f>1357.6+(262.7-696.1)+(1.384752+(0.267954-0.710022))+0-0-0</f>
        <v>925.1426839999998</v>
      </c>
      <c r="M78" s="3">
        <f>1580+(274.1-838.5)+(0+(0-0))+0-0-0</f>
        <v>1015.6</v>
      </c>
      <c r="N78" s="3">
        <f>1966.1+(254.2-1068.2)+(0+(0-0))+0-0-0</f>
        <v>1152.0999999999999</v>
      </c>
      <c r="O78" s="3">
        <f>2098.2+(303.2-1156.6)+(1.070082+(0.154632-0.589866))+0-0-0</f>
        <v>1245.4348479999999</v>
      </c>
      <c r="P78" s="3">
        <f>2096+(292.8-1069.1)+(2.13792+(0.298656-1.090482))+0-0-0</f>
        <v>1321.046094</v>
      </c>
      <c r="Q78" s="3">
        <f>2095.1+(301.1-1044.2)+(1.068501+(0.153561-0.532542))+0-0-0</f>
        <v>1352.6895199999999</v>
      </c>
      <c r="R78" s="3">
        <f>2093.5+(297.6-1028.1)+(1.067685+(0.151776-0.524331))+0-0-0</f>
        <v>1363.6951300000001</v>
      </c>
      <c r="S78" s="3">
        <f>2090.7+(313.7-1043.9)+(-2.132514+(-0.319974--1.064778))+0-0-0</f>
        <v>1359.1122899999998</v>
      </c>
      <c r="T78" s="3">
        <f>2090.8+(328.6-1072)+(-1.066308+(-0.167586--0.54672))+0-0-0</f>
        <v>1346.7128260000002</v>
      </c>
      <c r="U78" s="3">
        <f>2094.2+(351.7-1122.4)+(-4.272168+(-0.717468--2.289696))+0-0-0</f>
        <v>1320.8000599999998</v>
      </c>
      <c r="V78" s="3">
        <f>2096.2+(363.1-1140.5)+(-7.483434+(-1.296267--4.071585))+0-0-0</f>
        <v>1314.0918839999997</v>
      </c>
      <c r="W78" s="3">
        <f>2097.3+(363.7-1132.1)+(-3.208869+(-0.556461--1.732113))+0-0-0</f>
        <v>1326.8667830000004</v>
      </c>
      <c r="X78" s="3">
        <f>2102.4+(370.2-1183.7)+(-5.36112+(-0.94401--3.018435))+0-0-0</f>
        <v>1285.6133050000001</v>
      </c>
      <c r="Y78" s="3">
        <f>2101.6+(267.4-1083.6)+(-3.215448+(-0.409122--1.657908))+0-0-0</f>
        <v>1283.433338</v>
      </c>
      <c r="Z78" s="3">
        <f>2102.6+(273.6-1014)+(-2.144652+(-0.279072--1.03428))+0-0-0</f>
        <v>1360.8105559999999</v>
      </c>
      <c r="AA78" s="3">
        <f>2133.9+(320.5-980)+(-4.353156+(-0.65382--1.9992))+0-0-0</f>
        <v>1471.3922240000002</v>
      </c>
      <c r="AB78" s="3">
        <f>2136.4+(414.1-1135.3)+(-4.358256+(-0.844764--2.316012))+0-0-0</f>
        <v>1412.3129920000003</v>
      </c>
      <c r="AC78" s="3">
        <f>2135.9+(465.6-1257.8)+(-3.267927+(-0.712368--1.924434))+0-0-0</f>
        <v>1341.6441390000002</v>
      </c>
      <c r="AD78">
        <v>1486.3999999999999</v>
      </c>
      <c r="AE78" s="3">
        <f>2137+(296.7-947.3)+(0+(0-0))+0-0-0</f>
        <v>1486.4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1955+(444.5-1203.9)+(-4.98525+(-1.133475--3.069945))+0-0-0</f>
        <v>1192.5512199999998</v>
      </c>
      <c r="G79" s="3">
        <f>1708+(394-986.4)+(-3.48432+(-0.80376--2.012256))+0-0-0</f>
        <v>1113.3241759999999</v>
      </c>
      <c r="H79" s="3">
        <f>1430+(391-749.8)+(-1.4586+(-0.39882--0.764796))+0-0-0</f>
        <v>1070.1073760000002</v>
      </c>
      <c r="I79" s="3">
        <f>1326+(343.7-633.3)+(-3.3813+(-0.876435--1.614915))+0-0-0</f>
        <v>1033.7571800000001</v>
      </c>
      <c r="J79" s="3">
        <f>1330+(347.6-646.5)+(-3.3915+(-0.88638--1.648575))+0-0-0</f>
        <v>1028.470695</v>
      </c>
      <c r="K79" s="3">
        <f>1328+(345.4-675.5)+(-3.3864+(-0.88077--1.722525))+0-0-0</f>
        <v>995.35535500000003</v>
      </c>
      <c r="L79" s="3">
        <f>1336+(310.1-676.1)+(0.68136+(0.158151-0.344811))+0-0-0</f>
        <v>970.49469999999997</v>
      </c>
      <c r="M79" s="3">
        <f>1558+(290.3-707.2)+(0+(0-0))+0-0-0</f>
        <v>1141.0999999999999</v>
      </c>
      <c r="N79" s="3">
        <f>1821+(326.5-970)+(-1.85742+(-0.33303--0.9894))+0-0-0</f>
        <v>1176.2989500000001</v>
      </c>
      <c r="O79" s="3">
        <f>1898+(328.7-975.1)+(-1.93596+(-0.335274--0.994602))+0-0-0</f>
        <v>1250.3233679999998</v>
      </c>
      <c r="P79" s="3">
        <f>1956.7+(283.9-925.8)+(-2.993751+(-0.434367--1.416474))+0-0-0</f>
        <v>1312.7883560000002</v>
      </c>
      <c r="Q79" s="3">
        <f>2288.9+(253.1-1178.4)+(1.167339+(0.129081-0.600984))+0-0-0</f>
        <v>1364.2954359999999</v>
      </c>
      <c r="R79" s="3">
        <f>2461.2+(215.3-1274.1)+(2.510424+(0.219606-1.299582))+0-0-0</f>
        <v>1403.8304479999999</v>
      </c>
      <c r="S79" s="3">
        <f>2479.9+(200.2-1289.5)+(-2.529498+(-0.204204--1.31529))+0-0-0</f>
        <v>1389.1815880000001</v>
      </c>
      <c r="T79" s="3">
        <f>2408+(201.1-1227.1)+(-1.22808+(-0.102561--0.625821))+0-0-0</f>
        <v>1381.2951800000001</v>
      </c>
      <c r="U79" s="3">
        <f>2063+(225.5-956.2)+(-1.05213+(-0.115005--0.487662))+0-0-0</f>
        <v>1331.620527</v>
      </c>
      <c r="V79" s="3">
        <f>2064.8+(250.6-993.6)+(-2.106096+(-0.255612--1.013472))+0-0-0</f>
        <v>1320.4517640000001</v>
      </c>
      <c r="W79" s="3">
        <f>2044.2+(299.2-1048)+(-3.127626+(-0.457776--1.60344))+0-0-0</f>
        <v>1293.418038</v>
      </c>
      <c r="X79" s="3">
        <f>2007.6+(276.9-1020.3)+(-5.11938+(-0.706095--2.601765))+0-0-0</f>
        <v>1260.9762899999998</v>
      </c>
      <c r="Y79" s="3">
        <f>1876.4+(269.6-895.1)+(-3.827856+(-0.549984--1.826004))+0-0-0</f>
        <v>1248.348164</v>
      </c>
      <c r="Z79" s="3">
        <f>1889.3+(278-793.1)+(0+(0-0))+0-0-0</f>
        <v>1374.1999999999998</v>
      </c>
      <c r="AA79" s="3">
        <f>2130.6+(252.1-930.7)+(-2.173212+(-0.257142--0.949314))+0-0-0</f>
        <v>1450.5189600000001</v>
      </c>
      <c r="AB79" s="3">
        <f>1996.3+(345.9-938.2)+(-3.054339+(-0.529227--1.435446))+0-0-0</f>
        <v>1401.8518799999999</v>
      </c>
      <c r="AC79" s="3">
        <f>1878.3+(411.6-973.7)+(-0.957933+(-0.209916--0.496587))+0-0-0</f>
        <v>1315.5287379999997</v>
      </c>
      <c r="AD79">
        <v>1456.8000000000002</v>
      </c>
      <c r="AE79" s="3">
        <f>2129+(230.9-903.1)+(0+(0-0))+0-0-0</f>
        <v>1456.8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1625+(443.7-867.3)+(-0.82875+(-0.226287--0.442323))+0-0-0</f>
        <v>1200.787286</v>
      </c>
      <c r="G80" s="3">
        <f>1350.3+(453.7-692.9)+(-1.377306+(-0.462774--0.706758))+0-0-0</f>
        <v>1109.966678</v>
      </c>
      <c r="H80" s="3">
        <f>1190.6+(456-584.6)+(-1.214412+(-0.46512--0.596292))+0-0-0</f>
        <v>1060.9167600000001</v>
      </c>
      <c r="I80" s="3">
        <f>1139.2+(433.8-539.4)+(-3.485952+(-1.327428--1.650564))+0-0-0</f>
        <v>1030.4371840000001</v>
      </c>
      <c r="J80" s="3">
        <f>1141.9+(376.6-495.9)+(0.582369+(0.192066-0.252909))+0-0-0</f>
        <v>1023.1215260000001</v>
      </c>
      <c r="K80" s="3">
        <f>1142.2+(388.8-552.4)+(-1.165044+(-0.396576--0.563448))+0-0-0</f>
        <v>977.60182800000018</v>
      </c>
      <c r="L80" s="3">
        <f>1140.3+(302-498.4)+(-1.163106+(-0.30804--0.508368))+0-0-0</f>
        <v>942.93722200000002</v>
      </c>
      <c r="M80" s="3">
        <f>1369.4+(288.2-625.1)+(1.396788+(0.293964-0.637602))+0-0-0</f>
        <v>1033.55315</v>
      </c>
      <c r="N80" s="3">
        <f>1585.5+(296.6-744.6)+(2.425815+(0.453798-1.139238))+0-0-0</f>
        <v>1139.2403750000001</v>
      </c>
      <c r="O80" s="3">
        <f>1841+(295.8-915.6)+(0.93891+(0.150858-0.466956))+0-0-0</f>
        <v>1221.8228120000001</v>
      </c>
      <c r="P80" s="3">
        <f>2085.9+(258.3-1057.9)+(1.063809+(0.131733-0.539529))+0-0-0</f>
        <v>1286.956013</v>
      </c>
      <c r="Q80" s="3">
        <f>2088.9+(242.2-1006.6)+(0+(0-0))+0-0-0</f>
        <v>1324.5</v>
      </c>
      <c r="R80" s="3">
        <f>2082.6+(230.2-966.4)+(1.062126+(0.117402-0.492864))+0-0-0</f>
        <v>1347.0866639999999</v>
      </c>
      <c r="S80" s="3">
        <f>2083.2+(227.7-965)+(-3.187296+(-0.348381--1.47645))+0-0-0</f>
        <v>1343.8407729999999</v>
      </c>
      <c r="T80" s="3">
        <f>2080.6+(236.9-992.8)+(2.122212+(0.241638-1.012656))+0-0-0</f>
        <v>1326.0511939999999</v>
      </c>
      <c r="U80" s="3">
        <f>2074.2+(231.9-1001.4)+(-4.231368+(-0.473076--2.042856))+0-0-0</f>
        <v>1302.0384119999999</v>
      </c>
      <c r="V80" s="3">
        <f>2077.2+(240.9-1019.7)+(-3.178116+(-0.368577--1.560141))+0-0-0</f>
        <v>1296.4134479999996</v>
      </c>
      <c r="W80" s="3">
        <f>2083.1+(286.7-1092.9)+(-2.124762+(-0.292434--1.114758))+0-0-0</f>
        <v>1275.5975619999999</v>
      </c>
      <c r="X80" s="3">
        <f>1971.4+(291.7-1014.7)+(-8.043312+(-1.190136--4.139976))+0-0-0</f>
        <v>1243.3065280000001</v>
      </c>
      <c r="Y80" s="3">
        <f>1714.7+(301.7-793.6)+(-1.748994+(-0.307734--0.809472))+0-0-0</f>
        <v>1221.5527439999998</v>
      </c>
      <c r="Z80" s="3">
        <f>1798.5+(230-669)+(-3.66894+(-0.4692--1.36476))+0-0-0</f>
        <v>1356.7266199999999</v>
      </c>
      <c r="AA80" s="3">
        <f>1848.5+(241.6-659.6)+(-4.713675+(-0.61608--1.68198))+0-0-0</f>
        <v>1426.8522250000001</v>
      </c>
      <c r="AB80" s="3">
        <f>1820.5+(350.5-794.7)+(-3.71382+(-0.71502--1.621188))+0-0-0</f>
        <v>1373.492348</v>
      </c>
      <c r="AC80" s="3">
        <f>1707.8+(412.6-827.2)+(-3.483912+(-0.841704--1.687488))+0-0-0</f>
        <v>1290.5618719999998</v>
      </c>
      <c r="AD80">
        <v>1439.6000000000001</v>
      </c>
      <c r="AE80" s="3">
        <f>1848+(268.4-676.8)+(0+(0-0))+0-0-0</f>
        <v>1439.6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1409.7+(436.3-649.4)+(0+(0-0))+0-0-0</f>
        <v>1196.6000000000001</v>
      </c>
      <c r="G81" s="3">
        <f>1109.7+(466.4-469.6)+(-0.565947+(-0.237864--0.239496))+0-0-0</f>
        <v>1105.9356849999999</v>
      </c>
      <c r="H81" s="3">
        <f>1107.3+(481.7-537.7)+(0.564723+(0.245667-0.274227))+0-0-0</f>
        <v>1051.8361629999999</v>
      </c>
      <c r="I81" s="3">
        <f>1107.9+(487.2-570.5)+(-0.565029+(-0.248472--0.290955))+0-0-0</f>
        <v>1024.0774540000002</v>
      </c>
      <c r="J81" s="3">
        <f>1110.2+(478.8-580.9)+(-0.566202+(-0.244188--0.296259))+0-0-0</f>
        <v>1007.5858690000001</v>
      </c>
      <c r="K81" s="3">
        <f>1112.8+(431.7-566.7)+(-2.83764+(-1.100835--1.445085))+0-0-0</f>
        <v>975.30660999999998</v>
      </c>
      <c r="L81" s="3">
        <f>1111+(310.8-485.1)+(-1.13322+(-0.317016--0.494802))+0-0-0</f>
        <v>935.74456600000008</v>
      </c>
      <c r="M81" s="3">
        <f>1241.4+(300.1-529.6)+(1.266228+(0.306102-0.540192))+0-0-0</f>
        <v>1012.9321380000001</v>
      </c>
      <c r="N81" s="3">
        <f>1604.9+(326.7-801.5)+(2.455497+(0.499851-1.226295))+0-0-0</f>
        <v>1131.8290530000002</v>
      </c>
      <c r="O81" s="3">
        <f>1653.7+(379.2-827.6)+(0+(0-0))+0-0-0</f>
        <v>1205.3</v>
      </c>
      <c r="P81" s="3">
        <f>1644.8+(368.2-774.2)+(0+(0-0))+0-0-0</f>
        <v>1238.8</v>
      </c>
      <c r="Q81" s="3">
        <f>1646.3+(308.5-680.3)+(1.679226+(0.31467-0.693906))+0-0-0</f>
        <v>1275.79999</v>
      </c>
      <c r="R81" s="3">
        <f>1770+(300.8-778.4)+(-0.9027+(-0.153408--0.396984))+0-0-0</f>
        <v>1291.7408760000001</v>
      </c>
      <c r="S81" s="3">
        <f>1859.6+(351.7-961.1)+(-3.793584+(-0.717468--1.960644))+0-0-0</f>
        <v>1247.6495919999998</v>
      </c>
      <c r="T81" s="3">
        <f>1933.2+(390.3-1112)+(-3.943728+(-0.796212--2.26848))+0-0-0</f>
        <v>1209.02854</v>
      </c>
      <c r="U81" s="3">
        <f>1931.2+(437.5-1198.4)+(-0.984912+(-0.223125--0.611184))+0-0-0</f>
        <v>1169.7031469999999</v>
      </c>
      <c r="V81" s="3">
        <f>1929.8+(449-1207.5)+(-4.92099+(-1.14495--3.079125))+0-0-0</f>
        <v>1168.313185</v>
      </c>
      <c r="W81" s="3">
        <f>1928.8+(454-1224.9)+(-1.967376+(-0.46308--1.249398))+0-0-0</f>
        <v>1156.718942</v>
      </c>
      <c r="X81" s="3">
        <f>1941.3+(403.1-1180.3)+(-5.940378+(-1.233486--3.611718))+0-0-0</f>
        <v>1160.5378539999999</v>
      </c>
      <c r="Y81" s="3">
        <f>1946.3+(360.9-1115.1)+(-0.992613+(-0.184059--0.568701))+0-0-0</f>
        <v>1191.492029</v>
      </c>
      <c r="Z81" s="3">
        <f>1967.2+(371.8-1060.1)+(-3.009816+(-0.568854--1.621953))+0-0-0</f>
        <v>1276.9432830000001</v>
      </c>
      <c r="AA81" s="3">
        <f>1985.3+(387.8-1077.7)+(-3.037509+(-0.593334--1.648881))+0-0-0</f>
        <v>1293.4180379999998</v>
      </c>
      <c r="AB81" s="3">
        <f>1718.5+(404.8-867)+(-5.25861+(-1.238688--2.65302))+0-0-0</f>
        <v>1252.4557219999999</v>
      </c>
      <c r="AC81" s="3">
        <f>1688+(475.2-973.9)+(-1.72176+(-0.484704--0.993378))+0-0-0</f>
        <v>1188.086914</v>
      </c>
      <c r="AD81">
        <v>1320.2999999999997</v>
      </c>
      <c r="AE81" s="3">
        <f>1985+(427.2-1091.9)+(0+(0-0))+0-0-0</f>
        <v>1320.3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1588+(481.8-936.4)+(-3.23952+(-0.982872--1.910256))+0-0-0</f>
        <v>1131.0878640000001</v>
      </c>
      <c r="G82" s="3">
        <f>1149.3+(469.5-559.8)+(-2.930715+(-1.197225--1.42749))+0-0-0</f>
        <v>1056.29955</v>
      </c>
      <c r="H82" s="3">
        <f>1110.4+(397.1-490.5)+(-1.132608+(-0.405042--0.50031))+0-0-0</f>
        <v>1015.9626600000001</v>
      </c>
      <c r="I82" s="3">
        <f>1111.6+(340.8-456.4)+(-0.566916+(-0.173808--0.232764))+0-0-0</f>
        <v>995.49203999999997</v>
      </c>
      <c r="J82" s="3">
        <f>1112.4+(362.4-501.8)+(-1.134648+(-0.369648--0.511836))+0-0-0</f>
        <v>972.00753999999995</v>
      </c>
      <c r="K82" s="3">
        <f>1112.1+(373.6-559)+(-2.835855+(-0.95268--1.42545))+0-0-0</f>
        <v>924.33691499999998</v>
      </c>
      <c r="L82" s="3">
        <f>1110.7+(392.1-646.8)+(0+(0-0))+0-0-0</f>
        <v>856.00000000000011</v>
      </c>
      <c r="M82" s="3">
        <f>1109+(417.9-656.6)+(0.56559+(0.213129-0.334866))+0-0-0</f>
        <v>870.74385299999994</v>
      </c>
      <c r="N82" s="3">
        <f>1195.9+(366.1-638.7)+(-0.609909+(-0.186711--0.325737))+0-0-0</f>
        <v>922.82911700000011</v>
      </c>
      <c r="O82" s="3">
        <f>1474.9+(324.5-793)+(-0.752199+(-0.165495--0.40443))+0-0-0</f>
        <v>1005.886736</v>
      </c>
      <c r="P82" s="3">
        <f>1668.4+(320.8-916.2)+(-0.850884+(-0.163608--0.467262))+0-0-0</f>
        <v>1072.4527700000001</v>
      </c>
      <c r="Q82" s="3">
        <f>1678.4+(354.5-918.5)+(0.855984+(0.180795-0.468435))+0-0-0</f>
        <v>1114.9683440000001</v>
      </c>
      <c r="R82" s="3">
        <f>1635.6+(408.2-911.6)+(-0.834156+(-0.208182--0.464916))+0-0-0</f>
        <v>1131.6225779999997</v>
      </c>
      <c r="S82" s="3">
        <f>1609.4+(409-882.9)+(-1.641588+(-0.41718--0.900558))+0-0-0</f>
        <v>1134.3417899999999</v>
      </c>
      <c r="T82" s="3">
        <f>1597.4+(386.6-861.8)+(-3.258696+(-0.788664--1.758072))+0-0-0</f>
        <v>1119.9107120000003</v>
      </c>
      <c r="U82" s="3">
        <f>1509.9+(438.1-854.3)+(-2.310147+(-0.670293--1.307079))+0-0-0</f>
        <v>1092.0266390000002</v>
      </c>
      <c r="V82" s="3">
        <f>1464+(434.5-822)+(-2.23992+(-0.664785--1.25766))+0-0-0</f>
        <v>1074.8529550000001</v>
      </c>
      <c r="W82" s="3">
        <f>1422.2+(331.8-667.9)+(-3.62661+(-0.84609--1.703145))+0-0-0</f>
        <v>1083.3304450000001</v>
      </c>
      <c r="X82" s="3">
        <f>1591.1+(317.4-819.9)+(-4.057305+(-0.80937--2.090745))+0-0-0</f>
        <v>1085.8240699999999</v>
      </c>
      <c r="Y82" s="3">
        <f>1635.6+(298.9-845)+(-1.668312+(-0.304878--0.8619))+0-0-0</f>
        <v>1088.3887099999999</v>
      </c>
      <c r="Z82" s="3">
        <f>1783.2+(271-824.8)+(0.909432+(0.13821-0.420648))+0-0-0</f>
        <v>1230.0269940000001</v>
      </c>
      <c r="AA82" s="3">
        <f>1977.5+(291.7-932.2)+(-4.0341+(-0.595068--1.901688))+0-0-0</f>
        <v>1334.27252</v>
      </c>
      <c r="AB82" s="3">
        <f>2041.4+(401.8-1124.2)+(-2.082228+(-0.409836--1.146684))+0-0-0</f>
        <v>1317.65462</v>
      </c>
      <c r="AC82" s="3">
        <f>1873.4+(458.2-1090.1)+(-1.910868+(-0.467364--1.111902))+0-0-0</f>
        <v>1240.2336700000003</v>
      </c>
      <c r="AD82">
        <v>1345</v>
      </c>
      <c r="AE82" s="3">
        <f>1973+(306-934)+(0+(0-0))+0-0-0</f>
        <v>1345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1457.3+(424.4-763.3)+(-1.486446+(-0.432888--0.778566))+0-0-0</f>
        <v>1117.2592320000001</v>
      </c>
      <c r="G83" s="3">
        <f>1413.8+(291.9-648.1)+(-3.60519+(-0.744345--1.652655))+0-0-0</f>
        <v>1054.9031199999999</v>
      </c>
      <c r="H83" s="3">
        <f>1341.7+(306.6-644.5)+(-3.421335+(-0.78183--1.643475))+0-0-0</f>
        <v>1001.24031</v>
      </c>
      <c r="I83" s="3">
        <f>1339.3+(298.6-662.5)+(0.683043+(0.152286-0.337875))+0-0-0</f>
        <v>975.89745399999993</v>
      </c>
      <c r="J83" s="3">
        <f>1339.8+(317.8-700.2)+(0+(0-0))+0-0-0</f>
        <v>957.39999999999986</v>
      </c>
      <c r="K83" s="3">
        <f>1344.9+(337.3-765.2)+(-4.115394+(-1.032138--2.341512))+0-0-0</f>
        <v>914.19398000000001</v>
      </c>
      <c r="L83" s="3">
        <f>1358.5+(324.2-797.2)+(2.078505+(0.496026-1.219716))+0-0-0</f>
        <v>886.85481500000003</v>
      </c>
      <c r="M83" s="3">
        <f>1552.6+(322.1-891.2)+(-2.375478+(-0.492813--1.363536))+0-0-0</f>
        <v>981.99524499999984</v>
      </c>
      <c r="N83" s="3">
        <f>1756.5+(361.5-1000.3)+(1.79163+(0.36873-1.020306))+0-0-0</f>
        <v>1118.840054</v>
      </c>
      <c r="O83" s="3">
        <f>1981.5+(267.2-1007.1)+(2.02113+(0.272544-1.027242))+0-0-0</f>
        <v>1242.8664319999998</v>
      </c>
      <c r="P83" s="3">
        <f>2265.5+(255.8-1200.1)+(3.466215+(0.391374-1.836153))+0-0-0</f>
        <v>1323.221436</v>
      </c>
      <c r="Q83" s="3">
        <f>2351.1+(275.3-1254.6)+(0+(0-0))+0-0-0</f>
        <v>1371.8</v>
      </c>
      <c r="R83" s="3">
        <f>2357.3+(270.2-1238)+(1.202223+(0.137802-0.63138))+0-0-0</f>
        <v>1390.2086450000002</v>
      </c>
      <c r="S83" s="3">
        <f>2354.4+(277.4-1237.4)+(-1.200744+(-0.141474--0.631074))+0-0-0</f>
        <v>1393.688856</v>
      </c>
      <c r="T83" s="3">
        <f>2351.4+(272.2-1232.2)+(-1.199214+(-0.138822--0.628422))+0-0-0</f>
        <v>1390.690386</v>
      </c>
      <c r="U83" s="3">
        <f>2359.5+(295.8-1312.1)+(-2.40669+(-0.301716--1.338342))+0-0-0</f>
        <v>1341.8299360000001</v>
      </c>
      <c r="V83" s="3">
        <f>2348.1+(282.5-1230.6)+(-2.395062+(-0.28815--1.255212))+0-0-0</f>
        <v>1398.5719999999999</v>
      </c>
      <c r="W83" s="3">
        <f>2284.8+(299.2-1170.5)+(-4.660992+(-0.610368--2.38782))+0-0-0</f>
        <v>1410.6164600000002</v>
      </c>
      <c r="X83" s="3">
        <f>2121.1+(338.2-1072.1)+(-5.408805+(-0.86241--2.733855))+0-0-0</f>
        <v>1383.66264</v>
      </c>
      <c r="Y83" s="3">
        <f>2088.7+(230.5-1000.8)+(-3.195711+(-0.352665--1.531224))+0-0-0</f>
        <v>1316.382848</v>
      </c>
      <c r="Z83" s="3">
        <f>2111+(213.7-896.1)+(-3.22983+(-0.326961--1.371033))+0-0-0</f>
        <v>1426.4142419999998</v>
      </c>
      <c r="AA83" s="3">
        <f>2134.7+(309.6-916.1)+(-3.266091+(-0.473688--1.401633))+0-0-0</f>
        <v>1525.8618539999998</v>
      </c>
      <c r="AB83" s="3">
        <f>2056.9+(391.9-981.6)+(-1.049019+(-0.199869--0.500616))+0-0-0</f>
        <v>1466.451728</v>
      </c>
      <c r="AC83" s="3">
        <f>1987.1+(409.8-1010.2)+(-2.026842+(-0.417996--1.030404))+0-0-0</f>
        <v>1385.2855659999998</v>
      </c>
      <c r="AD83">
        <v>1545.7</v>
      </c>
      <c r="AE83" s="3">
        <f>2132+(369.9-956.2)+(0+(0-0))+0-0-0</f>
        <v>1545.6999999999998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1697.7+(398.9-810.3)+(-0.865827+(-0.203439--0.413253))+0-0-0</f>
        <v>1285.6439870000002</v>
      </c>
      <c r="G84" s="3">
        <f>1462.9+(421.8-703.5)+(-2.238237+(-0.645354--1.076355))+0-0-0</f>
        <v>1179.3927639999999</v>
      </c>
      <c r="H84" s="3">
        <f>1330.5+(429.2-643.1)+(-0.678555+(-0.218892--0.327981))+0-0-0</f>
        <v>1116.030534</v>
      </c>
      <c r="I84" s="3">
        <f>1331.5+(441.9-692.4)+(-2.037195+(-0.676107--1.059372))+0-0-0</f>
        <v>1079.3460700000001</v>
      </c>
      <c r="J84" s="3">
        <f>1333.3+(429.1-703)+(-2.719932+(-0.875364--1.43412))+0-0-0</f>
        <v>1057.238824</v>
      </c>
      <c r="K84" s="3">
        <f>1338.3+(398.8-728.9)+(-6.142797+(-1.830492--3.345651))+0-0-0</f>
        <v>1003.572362</v>
      </c>
      <c r="L84" s="3">
        <f>1338.5+(332-701.6)+(-5.46108+(-1.35456--2.862528))+0-0-0</f>
        <v>964.94688799999994</v>
      </c>
      <c r="M84" s="3">
        <f>1406.3+(282.9-624)+(-1.434426+(-0.288558--0.63648))+0-0-0</f>
        <v>1064.1134959999997</v>
      </c>
      <c r="N84" s="3">
        <f>1684.3+(295.8-784.8)+(-3.435972+(-0.603432--1.600992))+0-0-0</f>
        <v>1192.861588</v>
      </c>
      <c r="O84" s="3">
        <f>1930.9+(312.8-948.1)+(-2.954277+(-0.478584--1.450593))+0-0-0</f>
        <v>1293.6177320000002</v>
      </c>
      <c r="P84" s="3">
        <f>2105.1+(345.6-1055.3)+(-2.147202+(-0.352512--1.076406))+0-0-0</f>
        <v>1393.9766920000002</v>
      </c>
      <c r="Q84" s="3">
        <f>2198.9+(343.6-1106.7)+(-1.121439+(-0.175236--0.564417))+0-0-0</f>
        <v>1435.0677420000002</v>
      </c>
      <c r="R84" s="3">
        <f>2200.6+(338.6-1052.3)+(-3.366918+(-0.518058--1.610019))+0-0-0</f>
        <v>1484.625043</v>
      </c>
      <c r="S84" s="3">
        <f>2199.6+(372.7-1066.1)+(-3.365388+(-0.570231--1.631133))+0-0-0</f>
        <v>1503.895514</v>
      </c>
      <c r="T84" s="3">
        <f>2198.5+(390.5-1057.5)+(1.121235+(0.199155-0.539325))+0-0-0</f>
        <v>1532.2810649999999</v>
      </c>
      <c r="U84" s="3">
        <f>2199.4+(364.4-1045.7)+(-5.60847+(-0.92922--2.666535))+0-0-0</f>
        <v>1514.2288449999999</v>
      </c>
      <c r="V84" s="3">
        <f>2199.1+(343.9-1028)+(0+(0-0))+0-0-0</f>
        <v>1515</v>
      </c>
      <c r="W84" s="3">
        <f>2199.5+(309.6-1019.7)+(-2.24349+(-0.315792--1.040094))+0-0-0</f>
        <v>1487.8808120000001</v>
      </c>
      <c r="X84" s="3">
        <f>2067.6+(237.3-865.3)+(-3.163428+(-0.363069--1.323909))+0-0-0</f>
        <v>1437.3974119999998</v>
      </c>
      <c r="Y84" s="3">
        <f>1994+(246.3-847.1)+(-1.01694+(-0.125613--0.432021))+0-0-0</f>
        <v>1392.489468</v>
      </c>
      <c r="Z84" s="3">
        <f>2032+(283.3-811.4)+(-1.03632+(-0.144483--0.413814))+0-0-0</f>
        <v>1503.1330110000001</v>
      </c>
      <c r="AA84" s="3">
        <f>2123+(296.9-792.7)+(-4.33092+(-0.605676--1.617108))+0-0-0</f>
        <v>1623.8805119999997</v>
      </c>
      <c r="AB84" s="3">
        <f>2083.4+(270.6-759.9)+(-1.062534+(-0.138006--0.387549))+0-0-0</f>
        <v>1593.2870090000001</v>
      </c>
      <c r="AC84" s="3">
        <f>1866.5+(387.2-757.8)+(0.951915+(0.197472-0.386478))+0-0-0</f>
        <v>1496.6629090000001</v>
      </c>
      <c r="AD84">
        <v>1639.2</v>
      </c>
      <c r="AE84" s="3">
        <f>2136+(304-800.8)+(0+(0-0))+0-0-0</f>
        <v>1639.2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1682.6+(396.3-688.7)+(-3.432504+(-0.808452--1.404948))+0-0-0</f>
        <v>1387.3639919999998</v>
      </c>
      <c r="G85" s="3">
        <f>1184.3+(443-345.8)+(-1.207986+(-0.45186--0.352716))+0-0-0</f>
        <v>1280.1928700000001</v>
      </c>
      <c r="H85" s="3">
        <f>1129.7+(445.3-359.7)+(-2.304588+(-0.908412--0.733788))+0-0-0</f>
        <v>1212.8207880000002</v>
      </c>
      <c r="I85" s="3">
        <f>1130+(449.4-412.3)+(-2.8815+(-1.14597--1.051365))+0-0-0</f>
        <v>1164.1238949999999</v>
      </c>
      <c r="J85" s="3">
        <f>1129.6+(418.4-411.6)+(1.152192+(0.426768-0.419832))+0-0-0</f>
        <v>1137.5591279999999</v>
      </c>
      <c r="K85" s="3">
        <f>1129.6+(384.9-417)+(-2.88048+(-0.981495--1.06335))+0-0-0</f>
        <v>1094.7013750000001</v>
      </c>
      <c r="L85" s="3">
        <f>1130.4+(314.1-394.8)+(-2.88252+(-0.800955--1.00674))+0-0-0</f>
        <v>1047.023265</v>
      </c>
      <c r="M85" s="3">
        <f>1276.9+(318.7-461.2)+(1.302438+(0.325074-0.470424))+0-0-0</f>
        <v>1135.557088</v>
      </c>
      <c r="N85" s="3">
        <f>1646.1+(249.6-632.2)+(0+(0-0))+0-0-0</f>
        <v>1263.5</v>
      </c>
      <c r="O85" s="3">
        <f>1983.2+(206.5-809.1)+(1.011432+(0.105315-0.412641))+0-0-0</f>
        <v>1381.3041059999998</v>
      </c>
      <c r="P85" s="3">
        <f>2186.8+(192.9-927.1)+(-2.230536+(-0.196758--0.945642))+0-0-0</f>
        <v>1451.1183480000002</v>
      </c>
      <c r="Q85" s="3">
        <f>2345.7+(191.1-1033.1)+(1.196307+(0.097461-0.526881))+0-0-0</f>
        <v>1504.4668869999998</v>
      </c>
      <c r="R85" s="3">
        <f>2352.5+(216.5-1016.6)+(-2.39955+(-0.22083--1.036932))+0-0-0</f>
        <v>1550.816552</v>
      </c>
      <c r="S85" s="3">
        <f>2353.9+(266.1-1076.4)+(-1.200489+(-0.135711--0.548964))+0-0-0</f>
        <v>1542.812764</v>
      </c>
      <c r="T85" s="3">
        <f>2355.2+(291.3-1139.5)+(0+(0-0))+0-0-0</f>
        <v>1506.9999999999998</v>
      </c>
      <c r="U85" s="3">
        <f>2355.6+(217.4-1113.2)+(-3.604068+(-0.332622--1.703196))+0-0-0</f>
        <v>1457.5665059999997</v>
      </c>
      <c r="V85" s="3">
        <f>2283.8+(234.9-1073.7)+(0+(0-0))+0-0-0</f>
        <v>1445</v>
      </c>
      <c r="W85" s="3">
        <f>2285.5+(275.5-1148.7)+(-2.33121+(-0.28101--1.171674))+0-0-0</f>
        <v>1410.8594539999999</v>
      </c>
      <c r="X85" s="3">
        <f>2065.5+(335.1-1039.9)+(-4.21362+(-0.683604--2.121396))+0-0-0</f>
        <v>1357.9241719999998</v>
      </c>
      <c r="Y85" s="3">
        <f>2050.8+(273.5-992.9)+(-2.091816+(-0.27897--1.012758))+0-0-0</f>
        <v>1330.041972</v>
      </c>
      <c r="Z85" s="3">
        <f>2121.5+(240.5-907.9)+(-1.081965+(-0.122655--0.463029))+0-0-0</f>
        <v>1453.3584089999999</v>
      </c>
      <c r="AA85" s="3">
        <f>2136.5+(307-860.5)+(-3.268845+(-0.46971--1.316565))+0-0-0</f>
        <v>1580.5780099999999</v>
      </c>
      <c r="AB85" s="3">
        <f>2057.4+(383.4-899.4)+(-5.24637+(-0.97767--2.29347))+0-0-0</f>
        <v>1537.4694300000001</v>
      </c>
      <c r="AC85" s="3">
        <f>1874.8+(421.2-842.9)+(-1.912296+(-0.429624--0.859758))+0-0-0</f>
        <v>1451.6178379999999</v>
      </c>
      <c r="AD85">
        <v>1568.7</v>
      </c>
      <c r="AE85" s="3">
        <f>2134+(370.5-935.8)+(0+(0-0))+0-0-0</f>
        <v>1568.7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1595.7+(421.8-681.7)+(-2.441421+(-0.645354--1.043001))+0-0-0</f>
        <v>1333.756226</v>
      </c>
      <c r="G86" s="3">
        <f>1350.4+(443.6-550.4)+(-3.44352+(-1.13118--1.40352))+0-0-0</f>
        <v>1240.4288200000001</v>
      </c>
      <c r="H86" s="3">
        <f>1334.1+(443.2-591.7)+(-0.680391+(-0.226032--0.301767))+0-0-0</f>
        <v>1184.9953439999999</v>
      </c>
      <c r="I86" s="3">
        <f>1334.3+(421.7-607)+(-2.721972+(-0.860268--1.23828))+0-0-0</f>
        <v>1146.6560400000001</v>
      </c>
      <c r="J86" s="3">
        <f>1335+(388.3-606.9)+(-3.40425+(-0.990165--1.547595))+0-0-0</f>
        <v>1113.5531800000001</v>
      </c>
      <c r="K86" s="3">
        <f>1335.1+(388.9-657.6)+(-5.447208+(-1.586712--2.683008))+0-0-0</f>
        <v>1062.0490879999998</v>
      </c>
      <c r="L86" s="3">
        <f>1334.8+(277.2-586.8)+(-2.042244+(-0.424116--0.897804))+0-0-0</f>
        <v>1023.6314440000001</v>
      </c>
      <c r="M86" s="3">
        <f>1484.5+(255.8-629.4)+(0.757095+(0.130458-0.320994))+0-0-0</f>
        <v>1111.4665590000002</v>
      </c>
      <c r="N86" s="3">
        <f>1632.7+(291.2-683.9)+(0.832677+(0.148512-0.348789))+0-0-0</f>
        <v>1240.6324</v>
      </c>
      <c r="O86" s="3">
        <f>1805.5+(313.9-769.7)+(0.920805+(0.160089-0.392547))+0-0-0</f>
        <v>1350.3883469999998</v>
      </c>
      <c r="P86" s="3">
        <f>1962.3+(268.9-827.7)+(1.000773+(0.137139-0.422127))+0-0-0</f>
        <v>1404.2157850000001</v>
      </c>
      <c r="Q86" s="3">
        <f>2221.4+(233.8-978.8)+(1.132914+(0.119238-0.499188))+0-0-0</f>
        <v>1477.1529640000001</v>
      </c>
      <c r="R86" s="3">
        <f>2236.8+(244.1-950.9)+(1.140768+(0.124491-0.484959))+0-0-0</f>
        <v>1530.7803000000001</v>
      </c>
      <c r="S86" s="3">
        <f>2238.1+(240.8-921.8)+(-2.282862+(-0.245616--0.940236))+0-0-0</f>
        <v>1555.5117579999999</v>
      </c>
      <c r="T86" s="3">
        <f>2237.5+(258.7-955.5)+(-1.141125+(-0.131937--0.487305))+0-0-0</f>
        <v>1539.9142429999999</v>
      </c>
      <c r="U86" s="3">
        <f>2237.8+(225.4-944.1)+(-4.565112+(-0.459816--1.925964))+0-0-0</f>
        <v>1516.0010360000001</v>
      </c>
      <c r="V86" s="3">
        <f>2236+(247.9-978.5)+(0+(0-0))+0-0-0</f>
        <v>1505.4</v>
      </c>
      <c r="W86" s="3">
        <f>2235.9+(263.7-1023.1)+(-6.841854+(-0.806922--3.130686))+0-0-0</f>
        <v>1471.98191</v>
      </c>
      <c r="X86" s="3">
        <f>2176.8+(292.6-1066.1)+(-7.771176+(-1.044582--3.805977))+0-0-0</f>
        <v>1398.2902190000002</v>
      </c>
      <c r="Y86" s="3">
        <f>1868.5+(263.9-805.9)+(-4.764675+(-0.672945--2.055045))+0-0-0</f>
        <v>1323.1174249999999</v>
      </c>
      <c r="Z86" s="3">
        <f>2079.6+(236.2-864.1)+(0+(0-0))+0-0-0</f>
        <v>1451.6999999999998</v>
      </c>
      <c r="AA86" s="3">
        <f>2134.1+(256.7-818.1)+(-6.530346+(-0.785502--2.503386))+0-0-0</f>
        <v>1567.8875379999997</v>
      </c>
      <c r="AB86" s="3">
        <f>2114.8+(319.4-885.7)+(-2.157096+(-0.325788--0.903414))+0-0-0</f>
        <v>1546.9205300000001</v>
      </c>
      <c r="AC86" s="3">
        <f>2006.9+(381.3-913.6)+(1.023519+(0.194463-0.465936))+0-0-0</f>
        <v>1475.3520460000002</v>
      </c>
      <c r="AD86">
        <v>1626.4</v>
      </c>
      <c r="AE86" s="3">
        <f>2147+(296.9-817.5)+(0+(0-0))+0-0-0</f>
        <v>1626.4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2003.2+(373.2-978.9)+(-5.10816+(-0.95166--2.496195))+0-0-0</f>
        <v>1393.936375</v>
      </c>
      <c r="G87" s="3">
        <f>1788.7+(355-841.7)+(-2.736711+(-0.54315--1.287801))+0-0-0</f>
        <v>1300.00794</v>
      </c>
      <c r="H87" s="3">
        <f>1526.2+(408-711.9)+(-1.556724+(-0.41616--0.726138))+0-0-0</f>
        <v>1221.0532540000002</v>
      </c>
      <c r="I87" s="3">
        <f>1418.4+(425.7-655.5)+(-2.893536+(-0.868428--1.33722))+0-0-0</f>
        <v>1186.1752560000002</v>
      </c>
      <c r="J87" s="3">
        <f>1328.1+(441.8-620.1)+(0.677331+(0.225318-0.316251))+0-0-0</f>
        <v>1150.3863979999999</v>
      </c>
      <c r="K87" s="3">
        <f>1328.7+(405.9-647.5)+(-0.677637+(-0.207009--0.330225))+0-0-0</f>
        <v>1086.5455789999999</v>
      </c>
      <c r="L87" s="3">
        <f>1330.1+(322.4-615.5)+(0.678351+(0.164424-0.313905))+0-0-0</f>
        <v>1037.5288700000001</v>
      </c>
      <c r="M87" s="3">
        <f>1496.1+(315.3-687.3)+(0.763011+(0.160803-0.350523))+0-0-0</f>
        <v>1124.6732909999998</v>
      </c>
      <c r="N87" s="3">
        <f>1812.5+(283.2-823)+(-0.924375+(-0.144432--0.41973))+0-0-0</f>
        <v>1272.050923</v>
      </c>
      <c r="O87" s="3">
        <f>2009.4+(248.4-871.1)+(-1.024794+(-0.126684--0.444261))+0-0-0</f>
        <v>1385.9927830000001</v>
      </c>
      <c r="P87" s="3">
        <f>2093.8+(238.7-869.3)+(-1.067838+(-0.121737--0.443343))+0-0-0</f>
        <v>1462.4537680000003</v>
      </c>
      <c r="Q87" s="3">
        <f>2085.1+(230.3-798.7)+(-3.190203+(-0.352359--1.222011))+0-0-0</f>
        <v>1514.3794489999998</v>
      </c>
      <c r="R87" s="3">
        <f>2094+(227.8-758.8)+(-1.06794+(-0.116178--0.386988))+0-0-0</f>
        <v>1562.2028700000001</v>
      </c>
      <c r="S87" s="3">
        <f>2095.3+(221.5-745.3)+(-2.137206+(-0.22593--0.760206))+0-0-0</f>
        <v>1569.8970700000002</v>
      </c>
      <c r="T87" s="3">
        <f>2096+(234.5-767.8)+(-3.20688+(-0.358785--1.174734))+0-0-0</f>
        <v>1560.3090690000001</v>
      </c>
      <c r="U87" s="3">
        <f>2096.9+(242.5-796.8)+(-5.347095+(-0.618375--2.03184))+0-0-0</f>
        <v>1538.6663700000001</v>
      </c>
      <c r="V87" s="3">
        <f>2096.9+(207.5-795.4)+(-4.277676+(-0.4233--1.622616))+0-0-0</f>
        <v>1505.92164</v>
      </c>
      <c r="W87" s="3">
        <f>2096.4+(203.2-839.3)+(-3.207492+(-0.310896--1.284129))+0-0-0</f>
        <v>1458.0657410000001</v>
      </c>
      <c r="X87" s="3">
        <f>2097.7+(213.5-891.1)+(-6.418962+(-0.65331--2.726766))+0-0-0</f>
        <v>1415.754494</v>
      </c>
      <c r="Y87" s="3">
        <f>2102.8+(215.1-943.4)+(-3.217284+(-0.329103--1.443402))+0-0-0</f>
        <v>1372.3970150000002</v>
      </c>
      <c r="Z87" s="3">
        <f>2137.9+(178.7-833.7)+(-1.090329+(-0.091137--0.425187))+0-0-0</f>
        <v>1482.1437210000001</v>
      </c>
      <c r="AA87" s="3">
        <f>2136.8+(162.7-708)+(-3.269304+(-0.248931--1.08324))+0-0-0</f>
        <v>1589.0650050000002</v>
      </c>
      <c r="AB87" s="3">
        <f>2134.8+(198.2-768.1)+(-2.177496+(-0.202164--0.783462))+0-0-0</f>
        <v>1563.3038020000001</v>
      </c>
      <c r="AC87" s="3">
        <f>2102.3+(245.2-837.4)+(-2.144346+(-0.250104--0.854148))+0-0-0</f>
        <v>1508.559698</v>
      </c>
      <c r="AD87">
        <v>1615.4</v>
      </c>
      <c r="AE87" s="3">
        <f>2138+(186-708.6)+(0+(0-0))+0-0-0</f>
        <v>1615.4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2037.8+(275.7-843.8)+(-3.117834+(-0.421821--1.291014))+0-0-0</f>
        <v>1467.4513590000001</v>
      </c>
      <c r="G88" s="3">
        <f>1760.6+(296.6-698.3)+(-1.795812+(-0.302532--0.712266))+0-0-0</f>
        <v>1357.5139220000001</v>
      </c>
      <c r="H88" s="3">
        <f>1442.4+(328.8-502)+(-3.67812+(-0.83844--1.2801))+0-0-0</f>
        <v>1265.96354</v>
      </c>
      <c r="I88" s="3">
        <f>1137.1+(364.9-297.5)+(0+(0-0))+0-0-0</f>
        <v>1204.5</v>
      </c>
      <c r="J88" s="3">
        <f>1136+(371.6-335.6)+(-3.47616+(-1.137096--1.026936))+0-0-0</f>
        <v>1168.4136800000001</v>
      </c>
      <c r="K88" s="3">
        <f>1135.7+(351.8-391.7)+(-2.896035+(-0.89709--0.998835))+0-0-0</f>
        <v>1093.0057100000001</v>
      </c>
      <c r="L88" s="3">
        <f>1135.4+(328.5-438.1)+(-1.737162+(-0.502605--0.670293))+0-0-0</f>
        <v>1024.2305260000003</v>
      </c>
      <c r="M88" s="3">
        <f>1182.3+(342.8-450.8)+(-1.808919+(-0.524484--0.689724))+0-0-0</f>
        <v>1072.6563209999999</v>
      </c>
      <c r="N88" s="3">
        <f>1434.3+(286.1-563.7)+(-1.462986+(-0.291822--0.574974))+0-0-0</f>
        <v>1155.5201659999998</v>
      </c>
      <c r="O88" s="3">
        <f>1752+(264-738.4)+(-3.57408+(-0.53856--1.506336))+0-0-0</f>
        <v>1274.993696</v>
      </c>
      <c r="P88" s="3">
        <f>1896+(279.8-809.4)+(0.96696+(0.142698-0.412794))+0-0-0</f>
        <v>1367.0968640000001</v>
      </c>
      <c r="Q88" s="3">
        <f>1895.7+(300.6-782.4)+(-1.933614+(-0.306612--0.798048))+0-0-0</f>
        <v>1412.4578220000001</v>
      </c>
      <c r="R88" s="3">
        <f>1894.9+(306.6-733.9)+(-0.966399+(-0.156366--0.374289))+0-0-0</f>
        <v>1466.8515240000002</v>
      </c>
      <c r="S88" s="3">
        <f>1896.8+(301.9-698.2)+(-2.902104+(-0.461907--1.068246))+0-0-0</f>
        <v>1498.2042349999999</v>
      </c>
      <c r="T88" s="3">
        <f>1893.8+(297.2-665.4)+(-1.931676+(-0.303144--0.678708))+0-0-0</f>
        <v>1524.0438879999999</v>
      </c>
      <c r="U88" s="3">
        <f>1895.8+(304.2-671.6)+(-2.900574+(-0.465426--1.027548))+0-0-0</f>
        <v>1526.0615479999999</v>
      </c>
      <c r="V88" s="3">
        <f>1896.9+(280.6-676.3)+(-2.902257+(-0.429318--1.034739))+0-0-0</f>
        <v>1498.9031640000003</v>
      </c>
      <c r="W88" s="3">
        <f>1897.2+(265.4-699.7)+(-2.902716+(-0.406062--1.070541))+0-0-0</f>
        <v>1460.6617630000001</v>
      </c>
      <c r="X88" s="3">
        <f>1898.1+(259.2-759.3)+(-5.808186+(-0.793152--2.323458))+0-0-0</f>
        <v>1393.7221199999999</v>
      </c>
      <c r="Y88" s="3">
        <f>1898.1+(247.2-803.2)+(-2.904093+(-0.378216--1.228896))+0-0-0</f>
        <v>1340.0465869999998</v>
      </c>
      <c r="Z88" s="3">
        <f>1911+(252.3-717)+(1.94922+(0.257346-0.73134))+0-0-0</f>
        <v>1447.775226</v>
      </c>
      <c r="AA88" s="3">
        <f>1935.7+(276.5-624.9)+(-5.923242+(-0.84609--1.912194))+0-0-0</f>
        <v>1582.4428620000001</v>
      </c>
      <c r="AB88" s="3">
        <f>1937.8+(262-633.9)+(-1.976556+(-0.26724--0.646578))+0-0-0</f>
        <v>1564.302782</v>
      </c>
      <c r="AC88" s="3">
        <f>1911.8+(291.6-689.5)+(-1.950036+(-0.297432--0.70329))+0-0-0</f>
        <v>1512.355822</v>
      </c>
      <c r="AD88">
        <v>1598.2</v>
      </c>
      <c r="AE88" s="3">
        <f>1936+(276.5-614.3)+(0+(0-0))+0-0-0</f>
        <v>1598.2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1613.1+(327.2-499)+(1.645362+(0.333744-0.50898))+0-0-0</f>
        <v>1442.7701259999999</v>
      </c>
      <c r="G89" s="3">
        <f>1297.5+(406-360.1)+(-2.6469+(-0.82824--0.734604))+0-0-0</f>
        <v>1340.6594640000001</v>
      </c>
      <c r="H89" s="3">
        <f>1104.4+(447-257.1)+(0+(0-0))+0-0-0</f>
        <v>1294.3000000000002</v>
      </c>
      <c r="I89" s="3">
        <f>912.9+(469.6-163.9)+(-0.931158+(-0.478992--0.167178))+0-0-0</f>
        <v>1217.3570279999999</v>
      </c>
      <c r="J89" s="3">
        <f>912.3+(440.5-177.7)+(0+(0-0))+0-0-0</f>
        <v>1175.0999999999999</v>
      </c>
      <c r="K89" s="3">
        <f>912+(423.3-227.7)+(-2.79072+(-1.295298--0.696762))+0-0-0</f>
        <v>1104.210744</v>
      </c>
      <c r="L89" s="3">
        <f>912.3+(387.9-291.5)+(-2.326365+(-0.989145--0.743325))+0-0-0</f>
        <v>1006.1278149999999</v>
      </c>
      <c r="M89" s="3">
        <f>911.2+(396.1-268.6)+(-0.929424+(-0.404022--0.273972))+0-0-0</f>
        <v>1037.6405260000001</v>
      </c>
      <c r="N89" s="3">
        <f>910.7+(409.9-227.7)+(0.464457+(0.209049-0.116127))+0-0-0</f>
        <v>1093.4573790000002</v>
      </c>
      <c r="O89" s="3">
        <f>1091.4+(349.6-264.6)+(-2.226456+(-0.713184--0.539784))+0-0-0</f>
        <v>1174.0001440000001</v>
      </c>
      <c r="P89" s="3">
        <f>1261.3+(312.7-319.2)+(0.643263+(0.159477-0.162792))+0-0-0</f>
        <v>1255.439948</v>
      </c>
      <c r="Q89" s="3">
        <f>1280.1+(363.9-327.6)+(0+(0-0))+0-0-0</f>
        <v>1316.3999999999999</v>
      </c>
      <c r="R89" s="3">
        <f>1279.8+(382.5-321.7)+(0+(0-0))+0-0-0</f>
        <v>1340.6</v>
      </c>
      <c r="S89" s="3">
        <f>1400.8+(373.4-384.7)+(-0.714408+(-0.190434--0.196197))+0-0-0</f>
        <v>1388.7913550000001</v>
      </c>
      <c r="T89" s="3">
        <f>1471.5+(366.9-419.6)+(0.750465+(0.187119-0.213996))+0-0-0</f>
        <v>1419.523588</v>
      </c>
      <c r="U89" s="3">
        <f>1472.1+(375.5-427.8)+(-0.750771+(-0.191505--0.218178))+0-0-0</f>
        <v>1419.075902</v>
      </c>
      <c r="V89" s="3">
        <f>1472.1+(374.4-429.1)+(-3.003084+(-0.763776--0.875364))+0-0-0</f>
        <v>1414.5085039999999</v>
      </c>
      <c r="W89" s="3">
        <f>1466.6+(369.6-457)+(-0.747966+(-0.188496--0.23307))+0-0-0</f>
        <v>1378.4966079999999</v>
      </c>
      <c r="X89" s="3">
        <f>1340.9+(327.5-352.7)+(-4.103154+(-1.00215--1.079262))+0-0-0</f>
        <v>1311.6739580000001</v>
      </c>
      <c r="Y89" s="3">
        <f>1475.5+(242.2-458.5)+(-2.257515+(-0.370566--0.701505))+0-0-0</f>
        <v>1257.273424</v>
      </c>
      <c r="Z89" s="3">
        <f>1504+(252.8-400.1)+(4.60224+(0.773568-1.224306))+0-0-0</f>
        <v>1360.851502</v>
      </c>
      <c r="AA89" s="3">
        <f>1507.8+(343.1-357.2)+(-0.768978+(-0.174981--0.182172))+0-0-0</f>
        <v>1492.9382130000001</v>
      </c>
      <c r="AB89" s="3">
        <f>1494.5+(412.4-405.3)+(-1.52439+(-0.420648--0.413406))+0-0-0</f>
        <v>1500.068368</v>
      </c>
      <c r="AC89" s="3">
        <f>1485.9+(460-472.8)+(-1.515618+(-0.4692--0.482256))+0-0-0</f>
        <v>1471.5974380000002</v>
      </c>
      <c r="AD89">
        <v>1517.1999999999998</v>
      </c>
      <c r="AE89" s="3">
        <f>1508+(370.3-361.1)+(0+(0-0))+0-0-0</f>
        <v>1517.2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1380.1+(439-402.3)+(-3.519255+(-1.11945--1.025865))+0-0-0</f>
        <v>1413.1871599999999</v>
      </c>
      <c r="G90" s="3">
        <f>1013+(457.6-143.7)+(-3.09978+(-1.400256--0.439722))+0-0-0</f>
        <v>1322.839686</v>
      </c>
      <c r="H90" s="3">
        <f>906.3+(446.6-102.6)+(-1.848852+(-0.911064--0.209304))+0-0-0</f>
        <v>1247.749388</v>
      </c>
      <c r="I90" s="3">
        <f>905.7+(441.9-136.3)+(-0.923814+(-0.450738--0.139026))+0-0-0</f>
        <v>1210.064474</v>
      </c>
      <c r="J90" s="3">
        <f>905.9+(424-147.2)+(-2.310045+(-1.0812--0.37536))+0-0-0</f>
        <v>1179.684115</v>
      </c>
      <c r="K90" s="3">
        <f>905.1+(420.7-215.1)+(-0.923202+(-0.429114--0.219402))+0-0-0</f>
        <v>1109.567086</v>
      </c>
      <c r="L90" s="3">
        <f>908.7+(370.3-214.1)+(-0.463437+(-0.188853--0.109191))+0-0-0</f>
        <v>1064.3569010000001</v>
      </c>
      <c r="M90" s="3">
        <f>1003.2+(444.7-284.2)+(0.511632+(0.226797-0.144942))+0-0-0</f>
        <v>1164.2934870000001</v>
      </c>
      <c r="N90" s="3">
        <f>1335+(470.6-492.7)+(1.3617+(0.480012-0.502554))+0-0-0</f>
        <v>1314.2391580000001</v>
      </c>
      <c r="O90" s="3">
        <f>1693.6+(472.2-730.4)+(1.727472+(0.481644-0.745008))+0-0-0</f>
        <v>1436.8641079999998</v>
      </c>
      <c r="P90" s="3">
        <f>1704.6+(501-662.6)+(-1.738692+(-0.51102--0.675852))+0-0-0</f>
        <v>1541.42614</v>
      </c>
      <c r="Q90" s="3">
        <f>1704.5+(498.4-625.6)+(1.73859+(0.508368-0.638112))+0-0-0</f>
        <v>1578.908846</v>
      </c>
      <c r="R90" s="3">
        <f>1752.2+(548-671.6)+(0+(0-0))+0-0-0</f>
        <v>1628.6</v>
      </c>
      <c r="S90" s="3">
        <f>1818.9+(551.7-704.1)+(1.855278+(0.562734-0.718182))+0-0-0</f>
        <v>1668.19983</v>
      </c>
      <c r="T90" s="3">
        <f>1887.5+(537.7-733.1)+(-1.92525+(-0.548454--0.747762))+0-0-0</f>
        <v>1690.3740579999999</v>
      </c>
      <c r="U90" s="3">
        <f>1916.2+(512.4-759.3)+(-1.954524+(-0.522648--0.774486))+0-0-0</f>
        <v>1667.5973140000001</v>
      </c>
      <c r="V90" s="3">
        <f>1919.4+(386.5-677.5)+(-3.915576+(-0.78846--1.3821))+0-0-0</f>
        <v>1625.078064</v>
      </c>
      <c r="W90" s="3">
        <f>1832.8+(342.6-657.6)+(-5.608368+(-1.048356--2.012256))+0-0-0</f>
        <v>1513.155532</v>
      </c>
      <c r="X90" s="3">
        <f>1733.3+(418.7-683.8)+(-5.303898+(-1.281222--2.092428))+0-0-0</f>
        <v>1463.707308</v>
      </c>
      <c r="Y90" s="3">
        <f>1774.6+(358.9-704.1)+(-2.715138+(-0.549117--1.077273))+0-0-0</f>
        <v>1427.2130179999999</v>
      </c>
      <c r="Z90" s="3">
        <f>1942.2+(253-654.7)+(0+(0-0))+0-0-0</f>
        <v>1540.5</v>
      </c>
      <c r="AA90" s="3">
        <f>2131+(294.3-755.7)+(-3.26043+(-0.450279--1.156221))+0-0-0</f>
        <v>1667.0455119999999</v>
      </c>
      <c r="AB90" s="3">
        <f>2117.6+(334.3-796.5)+(-5.39988+(-0.852465--2.031075))+0-0-0</f>
        <v>1651.1787299999999</v>
      </c>
      <c r="AC90" s="3">
        <f>2115+(442-957.5)+(0+(0-0))+0-0-0</f>
        <v>1599.5</v>
      </c>
      <c r="AD90">
        <v>1687.5</v>
      </c>
      <c r="AE90" s="3">
        <f>2128+(331.4-771.9)+(0+(0-0))+0-0-0</f>
        <v>1687.5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2041.9+(451-949.8)+(-1.041369+(-0.23001--0.484398))+0-0-0</f>
        <v>1542.3130190000002</v>
      </c>
      <c r="G91" s="3">
        <f>1801.1+(479-847.8)+(-1.837122+(-0.48858--0.864756))+0-0-0</f>
        <v>1430.839054</v>
      </c>
      <c r="H91" s="3">
        <f>1387.9+(431.2-464.4)+(-2.831316+(-0.879648--0.947376))+0-0-0</f>
        <v>1351.936412</v>
      </c>
      <c r="I91" s="3">
        <f>1338.2+(403.6-437)+(0+(0-0))+0-0-0</f>
        <v>1304.8000000000002</v>
      </c>
      <c r="J91" s="3">
        <f>1338.9+(348.1-422.4)+(-2.731356+(-0.710124--0.861696))+0-0-0</f>
        <v>1262.0202160000001</v>
      </c>
      <c r="K91" s="3">
        <f>1338.1+(364.5-499.6)+(-4.094586+(-1.11537--1.528776))+0-0-0</f>
        <v>1199.31882</v>
      </c>
      <c r="L91" s="3">
        <f>1332.3+(302.9-498.5)+(-4.756311+(-1.081353--1.779645))+0-0-0</f>
        <v>1132.6419809999998</v>
      </c>
      <c r="M91" s="3">
        <f>1550.5+(325.1-661.6)+(0.790755+(0.165801-0.337416))+0-0-0</f>
        <v>1214.61914</v>
      </c>
      <c r="N91" s="3">
        <f>1853+(342.8-857.5)+(2.83509+(0.524484-1.311975))+0-0-0</f>
        <v>1340.3475989999999</v>
      </c>
      <c r="O91" s="3">
        <f>1941+(375.3-870.3)+(0.98991+(0.191403-0.443853))+0-0-0</f>
        <v>1446.7374600000001</v>
      </c>
      <c r="P91" s="3">
        <f>2040.7+(384.9-891.6)+(0+(0-0))+0-0-0</f>
        <v>1534</v>
      </c>
      <c r="Q91" s="3">
        <f>2081.2+(395.5-870.9)+(2.122824+(0.40341-0.888318))+0-0-0</f>
        <v>1607.4379159999996</v>
      </c>
      <c r="R91" s="3">
        <f>2096.6+(431-883.4)+(0+(0-0))+0-0-0</f>
        <v>1644.1999999999998</v>
      </c>
      <c r="S91" s="3">
        <f>2094.5+(479.9-911.9)+(0+(0-0))+0-0-0</f>
        <v>1662.5</v>
      </c>
      <c r="T91" s="3">
        <f>2097.9+(459.5-890.8)+(0+(0-0))+0-0-0</f>
        <v>1666.6000000000001</v>
      </c>
      <c r="U91" s="3">
        <f>2097.7+(445.1-897)+(-2.139654+(-0.454002--0.91494))+0-0-0</f>
        <v>1644.1212839999998</v>
      </c>
      <c r="V91" s="3">
        <f>2097.9+(445.1-936)+(-1.069929+(-0.227001--0.47736))+0-0-0</f>
        <v>1606.1804299999999</v>
      </c>
      <c r="W91" s="3">
        <f>2098.9+(456.4-996.7)+(0+(0-0))+0-0-0</f>
        <v>1558.6</v>
      </c>
      <c r="X91" s="3">
        <f>2093.7+(470.9-1075.1)+(-1.067787+(-0.240159--0.548301))+0-0-0</f>
        <v>1488.7403549999999</v>
      </c>
      <c r="Y91" s="3">
        <f>2092.9+(314.9-951.9)+(0+(0-0))+0-0-0</f>
        <v>1455.9</v>
      </c>
      <c r="Z91" s="3">
        <f>2120+(222.9-756.5)+(-2.1624+(-0.227358--0.77163))+0-0-0</f>
        <v>1584.781872</v>
      </c>
      <c r="AA91" s="3">
        <f>2300.5+(192.1-796.2)+(-3.519765+(-0.293913--1.218186))+0-0-0</f>
        <v>1693.8045080000002</v>
      </c>
      <c r="AB91" s="3">
        <f>2359.4+(218.4-889.8)+(-2.406588+(-0.222768--0.907596))+0-0-0</f>
        <v>1686.2782400000001</v>
      </c>
      <c r="AC91" s="3">
        <f>2243.2+(313-915.9)+(-2.288064+(-0.31926--0.934218))+0-0-0</f>
        <v>1638.6268939999998</v>
      </c>
      <c r="AD91">
        <v>1703.9999999999998</v>
      </c>
      <c r="AE91" s="3">
        <f>2403+(181.2-880.2)+(0+(0-0))+0-0-0</f>
        <v>1704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2126.2+(345.1-923.5)+(-6.506172+(-1.056006--2.82591))+0-0-0</f>
        <v>1543.0637319999996</v>
      </c>
      <c r="G92" s="3">
        <f>1573.8+(330.5-463.4)+(-3.210552+(-0.67422--0.945336))+0-0-0</f>
        <v>1437.9605640000002</v>
      </c>
      <c r="H92" s="3">
        <f>1347+(368.4-351.4)+(-2.06091+(-0.563652--0.537642))+0-0-0</f>
        <v>1361.91308</v>
      </c>
      <c r="I92" s="3">
        <f>1320.5+(347.2-353.1)+(1.34691+(0.354144-0.360162))+0-0-0</f>
        <v>1315.9408919999998</v>
      </c>
      <c r="J92" s="3">
        <f>1326.2+(348.1-388.4)+(-2.705448+(-0.710124--0.792336))+0-0-0</f>
        <v>1283.2767640000002</v>
      </c>
      <c r="K92" s="3">
        <f>1328+(332.5-438.6)+(-3.3864+(-0.847875--1.11843))+0-0-0</f>
        <v>1218.7841550000001</v>
      </c>
      <c r="L92" s="3">
        <f>1327.1+(311.9-496.3)+(-1.353642+(-0.318138--0.506226))+0-0-0</f>
        <v>1141.5344459999999</v>
      </c>
      <c r="M92" s="3">
        <f>1346.4+(337.3-469.3)+(3.43332+(0.860115-1.196715))+0-0-0</f>
        <v>1217.4967200000001</v>
      </c>
      <c r="N92" s="3">
        <f>1515.4+(393.7-559.8)+(0.772854+(0.200787-0.285498))+0-0-0</f>
        <v>1349.9881430000003</v>
      </c>
      <c r="O92" s="3">
        <f>1853.7+(427.2-814.3)+(-0.945387+(-0.217872--0.415293))+0-0-0</f>
        <v>1465.8520340000002</v>
      </c>
      <c r="P92" s="3">
        <f>2098.5+(396-924.2)+(3.210705+(0.60588-1.414026))+0-0-0</f>
        <v>1572.7025590000001</v>
      </c>
      <c r="Q92" s="3">
        <f>2227+(407.8-995.7)+(4.54308+(0.831912-2.031228))+0-0-0</f>
        <v>1642.4437639999999</v>
      </c>
      <c r="R92" s="3">
        <f>2231.1+(402.2-924.6)+(1.137861+(0.205122-0.471546))+0-0-0</f>
        <v>1709.5714369999998</v>
      </c>
      <c r="S92" s="3">
        <f>2344.6+(414.1-985.5)+(1.195746+(0.211191-0.502605))+0-0-0</f>
        <v>1774.1043319999999</v>
      </c>
      <c r="T92" s="3">
        <f>2358.4+(394.1-935)+(2.405568+(0.401982-0.9537))+0-0-0</f>
        <v>1819.35385</v>
      </c>
      <c r="U92" s="3">
        <f>2348.5+(383.6-931.4)+(0+(0-0))+0-0-0</f>
        <v>1800.7</v>
      </c>
      <c r="V92" s="3">
        <f>2269.6+(390-907.2)+(1.157496+(0.1989-0.462672))+0-0-0</f>
        <v>1753.2937239999999</v>
      </c>
      <c r="W92" s="3">
        <f>2255.2+(397-984.2)+(-3.450456+(-0.60741--1.505826))+0-0-0</f>
        <v>1665.4479599999997</v>
      </c>
      <c r="X92" s="3">
        <f>2254.8+(421.7-1095.5)+(-4.599792+(-0.860268--2.23482))+0-0-0</f>
        <v>1577.7747600000002</v>
      </c>
      <c r="Y92" s="3">
        <f>2187.5+(444.2-1117.8)+(-5.578125+(-1.13271--2.85039))+0-0-0</f>
        <v>1510.0395550000001</v>
      </c>
      <c r="Z92" s="3">
        <f>2279.8+(359-1025.8)+(0+(0-0))+0-0-0</f>
        <v>1613.0000000000002</v>
      </c>
      <c r="AA92" s="3">
        <f>2405.1+(352.3-983.4)+(-1.226601+(-0.179673--0.501534))+0-0-0</f>
        <v>1773.0952600000001</v>
      </c>
      <c r="AB92" s="3">
        <f>2404.7+(411.3-1048.1)+(-2.452794+(-0.419526--1.069062))+0-0-0</f>
        <v>1766.0967419999999</v>
      </c>
      <c r="AC92" s="3">
        <f>2212+(458.8-952.6)+(-2.25624+(-0.467976--0.971652))+0-0-0</f>
        <v>1716.4474360000002</v>
      </c>
      <c r="AD92">
        <v>1750.4</v>
      </c>
      <c r="AE92" s="3">
        <f>2397+(349-995.6)+(0+(0-0))+0-0-0</f>
        <v>1750.4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1910.9+(498.7-784.1)+(-1.949118+(-0.508674--0.799782))+0-0-0</f>
        <v>1623.8419899999999</v>
      </c>
      <c r="G93" s="3">
        <f>1558.4+(544.2-585.7)+(0+(0-0))+0-0-0</f>
        <v>1516.9</v>
      </c>
      <c r="H93" s="3">
        <f>1329.4+(527.5-435.5)+(-2.033982+(-0.807075--0.666315))+0-0-0</f>
        <v>1419.2252580000002</v>
      </c>
      <c r="I93" s="3">
        <f>1329.6+(490.3-458.5)+(-1.356192+(-0.500106--0.46767))+0-0-0</f>
        <v>1360.0113719999999</v>
      </c>
      <c r="J93" s="3">
        <f>1329.5+(414-417.1)+(-3.390225+(-1.0557--1.063605))+0-0-0</f>
        <v>1323.0176800000002</v>
      </c>
      <c r="K93" s="3">
        <f>1328.9+(369.4-457.4)+(-3.388695+(-0.94197--1.16637))+0-0-0</f>
        <v>1237.7357050000001</v>
      </c>
      <c r="L93" s="3">
        <f>1334.8+(326.3-507.7)+(0+(0-0))+0-0-0</f>
        <v>1153.4000000000001</v>
      </c>
      <c r="M93" s="3">
        <f>1611.7+(416.1-779)+(0.821967+(0.212211-0.39729))+0-0-0</f>
        <v>1249.4368880000002</v>
      </c>
      <c r="N93" s="3">
        <f>1967.2+(422.9-986.8)+(-2.006544+(-0.431358--1.006536))+0-0-0</f>
        <v>1401.8686340000002</v>
      </c>
      <c r="O93" s="3">
        <f>2203.1+(374.2-1051.9)+(-2.247162+(-0.381684--1.072938))+0-0-0</f>
        <v>1523.8440919999998</v>
      </c>
      <c r="P93" s="3">
        <f>2169.9+(401-963.9)+(1.106649+(0.20451-0.491589))+0-0-0</f>
        <v>1607.8195700000001</v>
      </c>
      <c r="Q93" s="3">
        <f>2166.5+(427.3-932.8)+(0+(0-0))+0-0-0</f>
        <v>1661</v>
      </c>
      <c r="R93" s="3">
        <f>2185.6+(441-893.6)+(-2.229312+(-0.44982--0.911472))+0-0-0</f>
        <v>1731.23234</v>
      </c>
      <c r="S93" s="3">
        <f>2200.2+(462.4-886.1)+(-1.122102+(-0.235824--0.451911))+0-0-0</f>
        <v>1775.5939849999997</v>
      </c>
      <c r="T93" s="3">
        <f>2199.6+(450-898.2)+(0+(0-0))+0-0-0</f>
        <v>1751.3999999999999</v>
      </c>
      <c r="U93" s="3">
        <f>2198.7+(450-915.5)+(-1.121337+(-0.2295--0.466905))+0-0-0</f>
        <v>1732.3160679999999</v>
      </c>
      <c r="V93" s="3">
        <f>2198.4+(444.3-972.3)+(-1.121184+(-0.226593--0.495873))+0-0-0</f>
        <v>1669.548096</v>
      </c>
      <c r="W93" s="3">
        <f>2201.9+(462.8-1070.9)+(-2.245938+(-0.472056--1.092318))+0-0-0</f>
        <v>1592.1743239999998</v>
      </c>
      <c r="X93" s="3">
        <f>2289.3+(452.2-1217.3)+(-3.502629+(-0.691866--1.862469))+0-0-0</f>
        <v>1521.8679740000002</v>
      </c>
      <c r="Y93" s="3">
        <f>2411.6+(285.8-1192.8)+(-9.839328+(-1.166064--4.866624))+0-0-0</f>
        <v>1498.4612319999999</v>
      </c>
      <c r="Z93" s="3">
        <f>2526.1+(236.6-1124.2)+(2.576622+(0.241332-1.146684))+0-0-0</f>
        <v>1640.17127</v>
      </c>
      <c r="AA93" s="3">
        <f>2540.8+(367.4-1137.4)+(-1.295808+(-0.187374--0.580074))+0-0-0</f>
        <v>1769.8968920000002</v>
      </c>
      <c r="AB93" s="3">
        <f>2533.3+(382.3-1153.8)+(-1.291983+(-0.194973--0.588438))+0-0-0</f>
        <v>1760.9014820000002</v>
      </c>
      <c r="AC93" s="3">
        <f>2408.2+(411.4-1116.6)+(-4.912728+(-0.839256--2.277864))+0-0-0</f>
        <v>1699.5258799999999</v>
      </c>
      <c r="AD93">
        <v>1773.4</v>
      </c>
      <c r="AE93" s="3">
        <f>2536+(392.3-1154.9)+(0+(0-0))+0-0-0</f>
        <v>1773.3999999999999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2094.8+(366-836.2)+(-5.34174+(-0.9333--2.13231))+0-0-0</f>
        <v>1620.4572700000001</v>
      </c>
      <c r="G94" s="3">
        <f>1802.9+(311-586.5)+(-3.677916+(-0.63444--1.19646))+0-0-0</f>
        <v>1524.2841040000001</v>
      </c>
      <c r="H94" s="3">
        <f>1612.7+(382-552.7)+(-4.112385+(-0.9741--1.409385))+0-0-0</f>
        <v>1438.3228999999999</v>
      </c>
      <c r="I94" s="3">
        <f>1613.7+(386.9-621.1)+(-3.291948+(-0.789276--1.267044))+0-0-0</f>
        <v>1376.6858199999999</v>
      </c>
      <c r="J94" s="3">
        <f>1613.7+(284.4-560.3)+(-0.822987+(-0.145044--0.285753))+0-0-0</f>
        <v>1337.1177220000002</v>
      </c>
      <c r="K94" s="3">
        <f>1560.5+(269.4-574.2)+(-3.18342+(-0.549576--1.171368))+0-0-0</f>
        <v>1253.1383719999999</v>
      </c>
      <c r="L94" s="3">
        <f>1447.9+(269-548)+(-1.476858+(-0.27438--0.55896))+0-0-0</f>
        <v>1167.7077220000001</v>
      </c>
      <c r="M94" s="3">
        <f>1617.2+(277.1-652.4)+(0.824772+(0.141321-0.332724))+0-0-0</f>
        <v>1242.533369</v>
      </c>
      <c r="N94" s="3">
        <f>1898+(296.9-818.4)+(-0.96798+(-0.151419--0.417384))+0-0-0</f>
        <v>1375.7979849999999</v>
      </c>
      <c r="O94" s="3">
        <f>2183.8+(269-954.5)+(0+(0-0))+0-0-0</f>
        <v>1498.3000000000002</v>
      </c>
      <c r="P94" s="3">
        <f>2354.6+(237-971.1)+(0+(0-0))+0-0-0</f>
        <v>1620.5</v>
      </c>
      <c r="Q94" s="3">
        <f>2354.1+(209.5-940.8)+(0+(0-0))+0-0-0</f>
        <v>1622.8</v>
      </c>
      <c r="R94" s="3">
        <f>2352.9+(195.8-880.9)+(0+(0-0))+0-0-0</f>
        <v>1667.8000000000002</v>
      </c>
      <c r="S94" s="3">
        <f>2351.6+(241.8-924.9)+(-2.398632+(-0.246636--0.943398))+0-0-0</f>
        <v>1666.7981299999999</v>
      </c>
      <c r="T94" s="3">
        <f>2351.5+(237.7-935.2)+(1.199265+(0.121227-0.476952))+0-0-0</f>
        <v>1654.8435400000001</v>
      </c>
      <c r="U94" s="3">
        <f>2353.6+(224.6-960.8)+(-1.200336+(-0.114546--0.490008))+0-0-0</f>
        <v>1616.5751260000002</v>
      </c>
      <c r="V94" s="3">
        <f>2355.1+(253.2-1031.9)+(-2.402202+(-0.258264--1.052538))+0-0-0</f>
        <v>1574.792072</v>
      </c>
      <c r="W94" s="3">
        <f>2359.7+(368.9-1213.9)+(-2.406894+(-0.376278--1.238178))+0-0-0</f>
        <v>1513.1550059999997</v>
      </c>
      <c r="X94" s="3">
        <f>2361.2+(437.5-1350.2)+(-8.429484+(-1.561875--4.820214))+0-0-0</f>
        <v>1443.3288549999997</v>
      </c>
      <c r="Y94" s="3">
        <f>2200.6+(329.1-1104.7)+(-2.244612+(-0.335682--1.126794))+0-0-0</f>
        <v>1423.5464999999999</v>
      </c>
      <c r="Z94" s="3">
        <f>2204.7+(242.5-928.7)+(-2.248794+(-0.24735--0.947274))+0-0-0</f>
        <v>1516.9511299999997</v>
      </c>
      <c r="AA94" s="3">
        <f>2259.6+(283.8-911.3)+(-6.914376+(-0.868428--2.788578))+0-0-0</f>
        <v>1627.1057739999999</v>
      </c>
      <c r="AB94" s="3">
        <f>2224.5+(398-1027.5)+(-2.26899+(-0.40596--1.04805))+0-0-0</f>
        <v>1593.3731</v>
      </c>
      <c r="AC94" s="3">
        <f>2025+(341.3-819.5)+(0+(0-0))+0-0-0</f>
        <v>1546.8</v>
      </c>
      <c r="AD94">
        <v>1630.3999999999999</v>
      </c>
      <c r="AE94" s="3">
        <f>2256+(309.1-934.7)+(0+(0-0))+0-0-0</f>
        <v>1630.4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1950.6+(381-842.7)+(-0.994806+(-0.19431--0.429777))+0-0-0</f>
        <v>1488.1406609999999</v>
      </c>
      <c r="G95" s="3">
        <f>1594.7+(398.8-613.8)+(-0.813297+(-0.203388--0.313038))+0-0-0</f>
        <v>1378.996353</v>
      </c>
      <c r="H95" s="3">
        <f>1344.8+(441.5-490.1)+(-0.685848+(-0.225165--0.249951))+0-0-0</f>
        <v>1295.5389379999999</v>
      </c>
      <c r="I95" s="3">
        <f>1334.6+(425-518.9)+(-1.361292+(-0.4335--0.529278))+0-0-0</f>
        <v>1239.4344859999999</v>
      </c>
      <c r="J95" s="3">
        <f>1333.8+(416-536.7)+(1.360476+(0.42432-0.547434))+0-0-0</f>
        <v>1214.337362</v>
      </c>
      <c r="K95" s="3">
        <f>1332.9+(373.1-559.1)+(-4.078674+(-1.141686--1.710846))+0-0-0</f>
        <v>1143.390486</v>
      </c>
      <c r="L95" s="3">
        <f>1335+(305.4-551.9)+(-2.04255+(-0.467262--0.844407))+0-0-0</f>
        <v>1086.834595</v>
      </c>
      <c r="M95" s="3">
        <f>1366.8+(277.6-523.2)+(1.394136+(0.283152-0.533664))+0-0-0</f>
        <v>1122.3436239999999</v>
      </c>
      <c r="N95" s="3">
        <f>1558+(255.9-610.2)+(2.38374+(0.391527-0.933606))+0-0-0</f>
        <v>1205.5416609999997</v>
      </c>
      <c r="O95" s="3">
        <f>1771.5+(292.5-783.9)+(2.710395+(0.447525-1.199367))+0-0-0</f>
        <v>1282.0585529999998</v>
      </c>
      <c r="P95" s="3">
        <f>1892.5+(267.6-838.3)+(0+(0-0))+0-0-0</f>
        <v>1321.8000000000002</v>
      </c>
      <c r="Q95" s="3">
        <f>2017.3+(250.7-912.3)+(-1.028823+(-0.127857--0.465273))+0-0-0</f>
        <v>1355.008593</v>
      </c>
      <c r="R95" s="3">
        <f>2065.6+(252.1-953)+(0+(0-0))+0-0-0</f>
        <v>1364.6999999999998</v>
      </c>
      <c r="S95" s="3">
        <f>2080.8+(255.1-1008)+(-7.428456+(-0.910707--3.59856))+0-0-0</f>
        <v>1323.1593970000001</v>
      </c>
      <c r="T95" s="3">
        <f>2065.4+(265.1-1037.1)+(-2.106708+(-0.270402--1.057842))+0-0-0</f>
        <v>1292.0807320000001</v>
      </c>
      <c r="U95" s="3">
        <f>2060.9+(265.9-1068.3)+(-3.153177+(-0.406827--1.634499))+0-0-0</f>
        <v>1256.5744950000001</v>
      </c>
      <c r="V95" s="3">
        <f>2041.2+(290.3-1091.4)+(-2.082024+(-0.296106--1.113228))+0-0-0</f>
        <v>1238.835098</v>
      </c>
      <c r="W95" s="3">
        <f>1997.7+(299.8-1075)+(-4.075308+(-0.611592--2.193))+0-0-0</f>
        <v>1220.0061000000001</v>
      </c>
      <c r="X95" s="3">
        <f>1986.4+(305-1076.7)+(-6.078384+(-0.9333--3.294702))+0-0-0</f>
        <v>1210.9830180000001</v>
      </c>
      <c r="Y95" s="3">
        <f>1990.7+(253.7-993.3)+(-6.091542+(-0.776322--3.039498))+0-0-0</f>
        <v>1247.2716340000002</v>
      </c>
      <c r="Z95" s="3">
        <f>2077+(222.5-949.1)+(0+(0-0))+0-0-0</f>
        <v>1350.4</v>
      </c>
      <c r="AA95" s="3">
        <f>2125.4+(241-986.1)+(-7.587678+(-0.86037--3.520377))+0-0-0</f>
        <v>1375.3723290000003</v>
      </c>
      <c r="AB95" s="3">
        <f>1960+(288.1-940.8)+(-2.9988+(-0.440793--1.439424))+0-0-0</f>
        <v>1305.2998310000003</v>
      </c>
      <c r="AC95" s="3">
        <f>1806.1+(358.4-925.5)+(-0.921111+(-0.182784--0.472005))+0-0-0</f>
        <v>1238.3681099999999</v>
      </c>
      <c r="AD95">
        <v>1374.2999999999997</v>
      </c>
      <c r="AE95" s="3">
        <f>2123+(279.2-1027.9)+(0+(0-0))+0-0-0</f>
        <v>1374.3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1781.3+(339.1-954.8)+(0+(0-0))+0-0-0</f>
        <v>1165.5999999999999</v>
      </c>
      <c r="G96" s="3">
        <f>1497.1+(380.7-788.3)+(-1.527042+(-0.388314--0.804066))+0-0-0</f>
        <v>1088.3887099999999</v>
      </c>
      <c r="H96" s="3">
        <f>1337.2+(352.2-646.2)+(-0.681972+(-0.179622--0.329562))+0-0-0</f>
        <v>1042.667968</v>
      </c>
      <c r="I96" s="3">
        <f>1333.5+(324.8-651.7)+(-2.72034+(-0.662592--1.329468))+0-0-0</f>
        <v>1004.5465359999999</v>
      </c>
      <c r="J96" s="3">
        <f>1335+(359.1-705.3)+(1.3617+(0.366282-0.719406))+0-0-0</f>
        <v>989.80857600000002</v>
      </c>
      <c r="K96" s="3">
        <f>1333.7+(313.9-705.4)+(-2.040561+(-0.480267--1.079262))+0-0-0</f>
        <v>940.75843400000008</v>
      </c>
      <c r="L96" s="3">
        <f>1333.2+(270.6-704)+(-1.359864+(-0.276012--0.71808))+0-0-0</f>
        <v>898.88220400000012</v>
      </c>
      <c r="M96" s="3">
        <f>1333.2+(252.5-701.1)+(2.039796+(0.386325-1.072683))+0-0-0</f>
        <v>885.95343800000001</v>
      </c>
      <c r="N96" s="3">
        <f>1338.9+(261.6-674.8)+(0+(0-0))+0-0-0</f>
        <v>925.70000000000016</v>
      </c>
      <c r="O96" s="3">
        <f>1608.8+(269.2-886.9)+(-1.640976+(-0.274584--0.904638))+0-0-0</f>
        <v>990.08907799999986</v>
      </c>
      <c r="P96" s="3">
        <f>1762.1+(287.3-1004.5)+(1.797342+(0.293046-1.02459))+0-0-0</f>
        <v>1045.9657979999999</v>
      </c>
      <c r="Q96" s="3">
        <f>1762.4+(205.2-906)+(0.898824+(0.104652-0.46206))+0-0-0</f>
        <v>1062.1414160000002</v>
      </c>
      <c r="R96" s="3">
        <f>1838.3+(144.1-927.6)+(0.937533+(0.073491-0.473076))+0-0-0</f>
        <v>1055.3379479999999</v>
      </c>
      <c r="S96" s="3">
        <f>1840.1+(132.2-938.9)+(-0.938451+(-0.067422--0.478839))+0-0-0</f>
        <v>1032.8729659999999</v>
      </c>
      <c r="T96" s="3">
        <f>1836.6+(137.1-974.2)+(0+(0-0))+0-0-0</f>
        <v>999.49999999999989</v>
      </c>
      <c r="U96" s="3">
        <f>1745.8+(104.7-868.4)+(-1.780716+(-0.106794--0.885768))+0-0-0</f>
        <v>981.09825799999999</v>
      </c>
      <c r="V96" s="3">
        <f>1747.6+(93.2-861.4)+(1.782552+(0.095064-0.878628))+0-0-0</f>
        <v>980.39898800000003</v>
      </c>
      <c r="W96" s="3">
        <f>1741.2+(199.5-957.9)+(-0.888012+(-0.101745--0.488529))+0-0-0</f>
        <v>982.2987720000001</v>
      </c>
      <c r="X96" s="3">
        <f>1740.7+(231.8-967.4)+(-1.775514+(-0.236436--0.986748))+0-0-0</f>
        <v>1004.0747980000001</v>
      </c>
      <c r="Y96" s="3">
        <f>1741.6+(216.4-909.3)+(-1.776432+(-0.220728--0.927486))+0-0-0</f>
        <v>1047.6303259999997</v>
      </c>
      <c r="Z96" s="3">
        <f>2000.3+(210.2-1038.6)+(-2.040306+(-0.214404--1.059372))+0-0-0</f>
        <v>1170.7046620000001</v>
      </c>
      <c r="AA96" s="3">
        <f>2125.9+(225.5-1155.9)+(-6.505254+(-0.69003--3.537054))+0-0-0</f>
        <v>1191.84177</v>
      </c>
      <c r="AB96" s="3">
        <f>2110.8+(255.1-1166.2)+(-2.153016+(-0.260202--1.189524))+0-0-0</f>
        <v>1198.4763060000002</v>
      </c>
      <c r="AC96" s="3">
        <f>1975+(289.7-1136.9)+(-1.00725+(-0.147747--0.579819))+0-0-0</f>
        <v>1127.2248219999999</v>
      </c>
      <c r="AD96">
        <v>1176.1999999999998</v>
      </c>
      <c r="AE96" s="3">
        <f>2122+(228.2-1174)+(0+(0-0))+0-0-0</f>
        <v>1176.2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1822.4+(263.1-1061.2)+(-4.64712+(-0.670905--2.70606))+0-0-0</f>
        <v>1021.6880350000001</v>
      </c>
      <c r="G97" s="3">
        <f>1487.5+(286.1-831.5)+(-3.0345+(-0.583644--1.69626))+0-0-0</f>
        <v>940.17811600000005</v>
      </c>
      <c r="H97" s="3">
        <f>1339.3+(286.1-729.4)+(-0.683043+(-0.145911--0.371994))+0-0-0</f>
        <v>895.54304000000002</v>
      </c>
      <c r="I97" s="3">
        <f>1344.1+(299.4-761.8)+(-2.056473+(-0.458082--1.165554))+0-0-0</f>
        <v>880.35099899999989</v>
      </c>
      <c r="J97" s="3">
        <f>1345.7+(293.7-767.5)+(-1.372614+(-0.299574--0.78285))+0-0-0</f>
        <v>871.01066200000014</v>
      </c>
      <c r="K97" s="3">
        <f>1345.1+(307.3-797.7)+(-4.116006+(-0.940338--2.440962))+0-0-0</f>
        <v>852.08461799999986</v>
      </c>
      <c r="L97" s="3">
        <f>1345.2+(273.3-793)+(-2.744208+(-0.557532--1.61772))+0-0-0</f>
        <v>823.81597999999997</v>
      </c>
      <c r="M97" s="3">
        <f>1524.5+(276-876.8)+(0+(0-0))+0-0-0</f>
        <v>923.7</v>
      </c>
      <c r="N97" s="3">
        <f>1885.9+(275.8-1120.3)+(-2.885427+(-0.421974--1.714059))+0-0-0</f>
        <v>1039.8066580000002</v>
      </c>
      <c r="O97" s="3">
        <f>2319.1+(271-1418)+(2.365482+(0.27642-1.44636))+0-0-0</f>
        <v>1173.2955419999998</v>
      </c>
      <c r="P97" s="3">
        <f>2383.7+(267.8-1453.7)+(-1.215687+(-0.136578--0.741387))+0-0-0</f>
        <v>1197.1891219999998</v>
      </c>
      <c r="Q97" s="3">
        <f>2549.2+(281.8-1613.1)+(-1.300092+(-0.143718--0.822681))+0-0-0</f>
        <v>1217.2788709999998</v>
      </c>
      <c r="R97" s="3">
        <f>2655.8+(259.7-1658.7)+(1.354458+(0.132447-0.845937))+0-0-0</f>
        <v>1257.4409680000001</v>
      </c>
      <c r="S97" s="3">
        <f>2655.9+(245.6-1661.2)+(-1.354509+(-0.125256--0.847212))+0-0-0</f>
        <v>1239.667447</v>
      </c>
      <c r="T97" s="3">
        <f>2654.8+(262-1687.1)+(-2.707896+(-0.26724--1.720842))+0-0-0</f>
        <v>1228.4457060000002</v>
      </c>
      <c r="U97" s="3">
        <f>2651+(255.8-1693.2)+(-4.05603+(-0.391374--2.590596))+0-0-0</f>
        <v>1211.7431919999999</v>
      </c>
      <c r="V97" s="3">
        <f>2629.3+(259.2-1662.9)+(-6.704715+(-0.66096--4.240395))+0-0-0</f>
        <v>1222.4747200000002</v>
      </c>
      <c r="W97" s="3">
        <f>2563.5+(271.7-1614.7)+(-9.151695+(-0.969969--5.764479))+0-0-0</f>
        <v>1216.1428149999999</v>
      </c>
      <c r="X97" s="3">
        <f>2494.2+(266.7-1570.1)+(-7.632252+(-0.816102--4.804506))+0-0-0</f>
        <v>1187.156152</v>
      </c>
      <c r="Y97" s="3">
        <f>2283+(235.5-1347.7)+(-4.65732+(-0.48042--2.749308))+0-0-0</f>
        <v>1168.411568</v>
      </c>
      <c r="Z97" s="3">
        <f>2349.6+(242.1-1312.4)+(0+(0-0))+0-0-0</f>
        <v>1279.2999999999997</v>
      </c>
      <c r="AA97" s="3">
        <f>2542.5+(238.4-1403.3)+(-2.59335+(-0.243168--1.431366))+0-0-0</f>
        <v>1376.1948480000001</v>
      </c>
      <c r="AB97" s="3">
        <f>2508.4+(276-1450.6)+(-3.837852+(-0.42228--2.219418))+0-0-0</f>
        <v>1331.7592860000002</v>
      </c>
      <c r="AC97" s="3">
        <f>2353.2+(280.6-1393.1)+(-1.200132+(-0.143106--0.710481))+0-0-0</f>
        <v>1240.0672429999997</v>
      </c>
      <c r="AD97">
        <v>1384.2999999999997</v>
      </c>
      <c r="AE97" s="3">
        <f>2541+(249.2-1405.9)+(0+(0-0))+0-0-0</f>
        <v>1384.3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2131.7+(266-1257.7)+(-3.261501+(-0.40698--1.924281))+0-0-0</f>
        <v>1138.2557999999997</v>
      </c>
      <c r="G98" s="3">
        <f>2017.8+(294.1-1269.3)+(-3.087234+(-0.449973--1.942029))+0-0-0</f>
        <v>1041.0048219999999</v>
      </c>
      <c r="H98" s="3">
        <f>1837.3+(264.5-1094.1)+(-1.874046+(-0.26979--1.115982))+0-0-0</f>
        <v>1006.672146</v>
      </c>
      <c r="I98" s="3">
        <f>1672.4+(261.5-924.3)+(2.558772+(0.400095-1.414179))+0-0-0</f>
        <v>1011.1446880000001</v>
      </c>
      <c r="J98" s="3">
        <f>1675.7+(258.2-926.5)+(0+(0-0))+0-0-0</f>
        <v>1007.4000000000001</v>
      </c>
      <c r="K98" s="3">
        <f>1677.7+(262.6-971.4)+(-1.711254+(-0.267852--0.990828))+0-0-0</f>
        <v>967.91172200000005</v>
      </c>
      <c r="L98" s="3">
        <f>1677.8+(251-997.5)+(-3.422712+(-0.51204--2.0349))+0-0-0</f>
        <v>929.40014799999994</v>
      </c>
      <c r="M98" s="3">
        <f>1914.7+(258.6-1145.6)+(5.858982+(0.791316-3.505536))+0-0-0</f>
        <v>1030.8447620000002</v>
      </c>
      <c r="N98" s="3">
        <f>2159.4+(268.9-1270.6)+(-4.405176+(-0.548556--2.592024))+0-0-0</f>
        <v>1155.3382920000004</v>
      </c>
      <c r="O98" s="3">
        <f>2440.5+(260.3-1432.3)+(-1.244655+(-0.132753--0.730473))+0-0-0</f>
        <v>1267.853065</v>
      </c>
      <c r="P98" s="3">
        <f>2636.2+(256.1-1562.5)+(-1.344462+(-0.130611--0.796875))+0-0-0</f>
        <v>1329.1218019999997</v>
      </c>
      <c r="Q98" s="3">
        <f>2669.9+(268.3-1543.8)+(-1.361649+(-0.136833--0.787338))+0-0-0</f>
        <v>1393.688856</v>
      </c>
      <c r="R98" s="3">
        <f>2664.5+(271.1-1510.2)+(0+(0-0))+0-0-0</f>
        <v>1425.4</v>
      </c>
      <c r="S98" s="3">
        <f>2662.1+(273.1-1504.5)+(-2.715342+(-0.278562--1.53459))+0-0-0</f>
        <v>1429.2406859999999</v>
      </c>
      <c r="T98" s="3">
        <f>2660.1+(275.4-1508.4)+(-5.426604+(-0.561816--3.077136))+0-0-0</f>
        <v>1424.1887159999999</v>
      </c>
      <c r="U98" s="3">
        <f>2655.9+(253.3-1492.1)+(-4.063527+(-0.387549--2.282913))+0-0-0</f>
        <v>1414.9318370000001</v>
      </c>
      <c r="V98" s="3">
        <f>2650.4+(225.7-1468.1)+(-1.351704+(-0.115107--0.748731))+0-0-0</f>
        <v>1407.2819200000001</v>
      </c>
      <c r="W98" s="3">
        <f>2653.1+(227.3-1494.8)+(-1.353081+(-0.115923--0.762348))+0-0-0</f>
        <v>1384.8933439999998</v>
      </c>
      <c r="X98" s="3">
        <f>2639.2+(193.6-1495.8)+(-8.075952+(-0.592416--4.577148))+0-0-0</f>
        <v>1332.9087799999998</v>
      </c>
      <c r="Y98" s="3">
        <f>2374+(184.2-1259.6)+(-3.63222+(-0.281826--1.927188))+0-0-0</f>
        <v>1296.6131420000002</v>
      </c>
      <c r="Z98" s="3">
        <f>2553.5+(164.8-1305.1)+(-3.906855+(-0.252144--1.996803))+0-0-0</f>
        <v>1411.0378040000001</v>
      </c>
      <c r="AA98" s="3">
        <f>2706.1+(153.1-1333.1)+(-1.380111+(-0.078081--0.679881))+0-0-0</f>
        <v>1525.3216889999999</v>
      </c>
      <c r="AB98" s="3">
        <f>2716.6+(179.8-1408.9)+(-5.541864+(-0.366792--2.874156))+0-0-0</f>
        <v>1484.4654999999998</v>
      </c>
      <c r="AC98" s="3">
        <f>2684.4+(197-1462.5)+(-2.738088+(-0.20094--1.49175))+0-0-0</f>
        <v>1417.452722</v>
      </c>
      <c r="AD98">
        <v>1537.6999999999998</v>
      </c>
      <c r="AE98" s="3">
        <f>2709+(148.6-1319.9)+(0+(0-0))+0-0-0</f>
        <v>1537.6999999999998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2166+(208.9-1067.1)+(-3.31398+(-0.319617--1.632663))+0-0-0</f>
        <v>1305.7990660000003</v>
      </c>
      <c r="G99" s="3">
        <f>1725.2+(230.6-768.4)+(-3.519408+(-0.470424--1.567536))+0-0-0</f>
        <v>1184.9777040000001</v>
      </c>
      <c r="H99" s="3">
        <f>1544.3+(213.6-651.8)+(-3.150372+(-0.435744--1.329672))+0-0-0</f>
        <v>1103.8435559999998</v>
      </c>
      <c r="I99" s="3">
        <f>1345.1+(209.7-479.2)+(-3.430005+(-0.534735--1.22196))+0-0-0</f>
        <v>1072.8572199999999</v>
      </c>
      <c r="J99" s="3">
        <f>1336.9+(208.9-475.2)+(-4.090914+(-0.639234--1.454112))+0-0-0</f>
        <v>1067.3239640000002</v>
      </c>
      <c r="K99" s="3">
        <f>1337.5+(211-523.2)+(-3.410625+(-0.53805--1.33416))+0-0-0</f>
        <v>1022.685485</v>
      </c>
      <c r="L99" s="3">
        <f>1336.6+(200-563.9)+(-0.681666+(-0.102--0.287589))+0-0-0</f>
        <v>972.20392299999992</v>
      </c>
      <c r="M99" s="3">
        <f>1473.3+(183.4-611.5)+(-0.751383+(-0.093534--0.311865))+0-0-0</f>
        <v>1044.6669479999998</v>
      </c>
      <c r="N99" s="3">
        <f>1815.5+(178-818.3)+(0.925905+(0.09078-0.417333))+0-0-0</f>
        <v>1175.799352</v>
      </c>
      <c r="O99" s="3">
        <f>2364.1+(161.7-1216.8)+(-1.205691+(-0.082467--0.620568))+0-0-0</f>
        <v>1308.33241</v>
      </c>
      <c r="P99" s="3">
        <f>2562.2+(132.8-1302.8)+(-1.306722+(-0.067728--0.664428))+0-0-0</f>
        <v>1391.4899779999998</v>
      </c>
      <c r="Q99" s="3">
        <f>2666.1+(121.6-1336.1)+(0+(0-0))+0-0-0</f>
        <v>1451.6</v>
      </c>
      <c r="R99" s="3">
        <f>2660.5+(99-1253.4)+(0+(0-0))+0-0-0</f>
        <v>1506.1</v>
      </c>
      <c r="S99" s="3">
        <f>2656.4+(94.9-1203.1)+(-2.709528+(-0.096798--1.227162))+0-0-0</f>
        <v>1546.6208360000003</v>
      </c>
      <c r="T99" s="3">
        <f>2652.7+(96.9-1183)+(-1.352877+(-0.049419--0.60333))+0-0-0</f>
        <v>1565.8010339999998</v>
      </c>
      <c r="U99" s="3">
        <f>2648.5+(95.2-1194.4)+(1.350735+(0.048552-0.609144))+0-0-0</f>
        <v>1550.0901429999999</v>
      </c>
      <c r="V99" s="3">
        <f>2649.1+(90.4-1196)+(-1.351041+(-0.046104--0.60996))+0-0-0</f>
        <v>1542.7128150000001</v>
      </c>
      <c r="W99" s="3">
        <f>2651.7+(78.5-1229.7)+(-9.466569+(-0.280245--4.390029))+0-0-0</f>
        <v>1495.1432149999998</v>
      </c>
      <c r="X99" s="3">
        <f>2636.8+(88.4-1296.2)+(-8.068608+(-0.270504--3.966372))+0-0-0</f>
        <v>1424.6272600000002</v>
      </c>
      <c r="Y99" s="3">
        <f>2422.2+(93.1-1144.8)+(-1.235322+(-0.047481--0.583848))+0-0-0</f>
        <v>1369.8010449999997</v>
      </c>
      <c r="Z99" s="3">
        <f>2582.8+(73.4-1189.5)+(1.317228+(0.037434-0.606645))+0-0-0</f>
        <v>1467.4480170000002</v>
      </c>
      <c r="AA99" s="3">
        <f>2707.8+(64.1-1154.9)+(-5.523912+(-0.130764--2.355996))+0-0-0</f>
        <v>1613.7013199999999</v>
      </c>
      <c r="AB99" s="3">
        <f>2710.1+(106.9-1218.5)+(-1.382151+(-0.054519--0.621435))+0-0-0</f>
        <v>1597.684765</v>
      </c>
      <c r="AC99" s="3">
        <f>2678+(190.6-1337.2)+(0+(0-0))+0-0-0</f>
        <v>1531.3999999999999</v>
      </c>
      <c r="AD99">
        <v>1624.9</v>
      </c>
      <c r="AE99" s="3">
        <f>2705+(84-1164.1)+(0+(0-0))+0-0-0</f>
        <v>1624.9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2405.3+(232.6-1167.3)+(-6.133515+(-0.59313--2.976615))+0-0-0</f>
        <v>1466.8499700000004</v>
      </c>
      <c r="G100" s="3">
        <f>1914.1+(264.7-820.6)+(-3.904764+(-0.539988--1.674024))+0-0-0</f>
        <v>1355.4292719999999</v>
      </c>
      <c r="H100" s="3">
        <f>1686.4+(271.2-680)+(-1.720128+(-0.276624--0.6936))+0-0-0</f>
        <v>1276.2968480000002</v>
      </c>
      <c r="I100" s="3">
        <f>1588.1+(270.5-621.6)+(-2.429793+(-0.413865--0.951048))+0-0-0</f>
        <v>1235.1073899999999</v>
      </c>
      <c r="J100" s="3">
        <f>1591.3+(255.4-641.5)+(-4.057815+(-0.65127--1.635825))+0-0-0</f>
        <v>1202.1267399999999</v>
      </c>
      <c r="K100" s="3">
        <f>1555+(257.1-669)+(-3.96525+(-0.655605--1.70595))+0-0-0</f>
        <v>1140.1850949999998</v>
      </c>
      <c r="L100" s="3">
        <f>1506.6+(267.8-721.4)+(0.768366+(0.136578-0.367914))+0-0-0</f>
        <v>1053.53703</v>
      </c>
      <c r="M100" s="3">
        <f>1811.7+(248.2-942.5)+(-2.771901+(-0.379746--1.442025))+0-0-0</f>
        <v>1115.690378</v>
      </c>
      <c r="N100" s="3">
        <f>2171.4+(224.9-1103)+(1.107414+(0.114699-0.56253))+0-0-0</f>
        <v>1293.9595830000003</v>
      </c>
      <c r="O100" s="3">
        <f>2332.8+(217.3-1137.5)+(0+(0-0))+0-0-0</f>
        <v>1412.6000000000001</v>
      </c>
      <c r="P100" s="3">
        <f>2451.4+(273.2-1217)+(-1.250214+(-0.139332--0.62067))+0-0-0</f>
        <v>1506.831124</v>
      </c>
      <c r="Q100" s="3">
        <f>2491.4+(253.9-1167.8)+(2.541228+(0.258978-1.191156))+0-0-0</f>
        <v>1579.10905</v>
      </c>
      <c r="R100" s="3">
        <f>2486.6+(300.9-1146.8)+(2.536332+(0.306918-1.169736))+0-0-0</f>
        <v>1642.3735139999999</v>
      </c>
      <c r="S100" s="3">
        <f>2497.8+(331.7-1145.1)+(0+(0-0))+0-0-0</f>
        <v>1684.4000000000003</v>
      </c>
      <c r="T100" s="3">
        <f>2491.7+(366.5-1164.3)+(-1.270767+(-0.186915--0.593793))+0-0-0</f>
        <v>1693.0361109999999</v>
      </c>
      <c r="U100" s="3">
        <f>2492.5+(380.7-1203.4)+(-1.271175+(-0.194157--0.613734))+0-0-0</f>
        <v>1668.948402</v>
      </c>
      <c r="V100" s="3">
        <f>2498+(357.2-1220.6)+(-3.82194+(-0.546516--1.867518))+0-0-0</f>
        <v>1632.0990620000002</v>
      </c>
      <c r="W100" s="3">
        <f>2500.5+(371.6-1298.3)+(2.55051+(0.379032-1.324266))+0-0-0</f>
        <v>1575.4052760000002</v>
      </c>
      <c r="X100" s="3">
        <f>2501.5+(383.4-1392.5)+(-5.10306+(-0.782136--2.8407))+0-0-0</f>
        <v>1489.3555040000001</v>
      </c>
      <c r="Y100" s="3">
        <f>2274.5+(175.9-990.6)+(-2.31999+(-0.179418--1.010412))+0-0-0</f>
        <v>1458.3110039999999</v>
      </c>
      <c r="Z100" s="3">
        <f>2355.2+(167.5-961.8)+(0+(0-0))+0-0-0</f>
        <v>1560.8999999999999</v>
      </c>
      <c r="AA100" s="3">
        <f>2563.9+(238.2-1081.2)+(-1.307589+(-0.121482--0.551412))+0-0-0</f>
        <v>1720.0223410000001</v>
      </c>
      <c r="AB100" s="3">
        <f>2539.8+(342.4-1171.4)+(-3.885894+(-0.523872--1.792242))+0-0-0</f>
        <v>1708.1824760000002</v>
      </c>
      <c r="AC100" s="3">
        <f>2355.8+(369.2-1058)+(0+(0-0))+0-0-0</f>
        <v>1667.0000000000002</v>
      </c>
      <c r="AD100">
        <v>1703</v>
      </c>
      <c r="AE100" s="3">
        <f>2565+(223.5-1085.5)+(0+(0-0))+0-0-0</f>
        <v>1703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2237.7+(380.5-1037.5)+(-3.423681+(-0.582165--1.587375))+0-0-0</f>
        <v>1578.2815289999999</v>
      </c>
      <c r="G101" s="3">
        <f>1841+(415.7-802.5)+(0+(0-0))+0-0-0</f>
        <v>1454.2</v>
      </c>
      <c r="H101" s="3">
        <f>1555.7+(396.6-582.2)+(-3.967035+(-1.01133--1.48461))+0-0-0</f>
        <v>1366.6062449999999</v>
      </c>
      <c r="I101" s="3">
        <f>1517.6+(358.2-561.6)+(-2.321928+(-0.548046--0.859248))+0-0-0</f>
        <v>1312.1892739999998</v>
      </c>
      <c r="J101" s="3">
        <f>1518.4+(343.2-593.7)+(-2.323152+(-0.525096--0.908361))+0-0-0</f>
        <v>1265.9601130000001</v>
      </c>
      <c r="K101" s="3">
        <f>1459.5+(362.1-642.7)+(-4.46607+(-1.108026--1.966662))+0-0-0</f>
        <v>1175.2925660000001</v>
      </c>
      <c r="L101" s="3">
        <f>1436.5+(310.5-656.5)+(-1.46523+(-0.31671--0.66963))+0-0-0</f>
        <v>1089.38769</v>
      </c>
      <c r="M101" s="3">
        <f>1547.6+(371.3-752.5)+(0.789276+(0.189363-0.383775))+0-0-0</f>
        <v>1166.9948639999998</v>
      </c>
      <c r="N101" s="3">
        <f>1909.2+(320.9-906.7)+(1.947384+(0.327318-0.924834))+0-0-0</f>
        <v>1324.7498680000001</v>
      </c>
      <c r="O101" s="3">
        <f>2185.3+(330.3-1063.3)+(-3.343509+(-0.505359--1.626849))+0-0-0</f>
        <v>1450.0779810000001</v>
      </c>
      <c r="P101" s="3">
        <f>2340.4+(331.5-1144.7)+(0+(0-0))+0-0-0</f>
        <v>1527.2</v>
      </c>
      <c r="Q101" s="3">
        <f>2396.9+(321-1135.6)+(1.222419+(0.16371-0.579156))+0-0-0</f>
        <v>1583.1069730000002</v>
      </c>
      <c r="R101" s="3">
        <f>2385+(320.6-1076.4)+(-1.21635+(-0.163506--0.548964))+0-0-0</f>
        <v>1628.3691079999999</v>
      </c>
      <c r="S101" s="3">
        <f>2513.4+(318-1137.4)+(-5.127336+(-0.64872--2.320296))+0-0-0</f>
        <v>1690.5442399999999</v>
      </c>
      <c r="T101" s="3">
        <f>2536.6+(327.3-1147.9)+(1.293666+(0.166923-0.585429))+0-0-0</f>
        <v>1716.8751599999998</v>
      </c>
      <c r="U101" s="3">
        <f>2542.9+(305.3-1152.1)+(-6.484395+(-0.778515--2.937855))+0-0-0</f>
        <v>1691.7749450000001</v>
      </c>
      <c r="V101" s="3">
        <f>2542.2+(323.4-1216.6)+(0+(0-0))+0-0-0</f>
        <v>1649</v>
      </c>
      <c r="W101" s="3">
        <f>2537.8+(342.2-1293.6)+(-3.882834+(-0.523566--1.979208))+0-0-0</f>
        <v>1583.9728080000002</v>
      </c>
      <c r="X101" s="3">
        <f>2498.7+(327.7-1320.4)+(-5.097348+(-0.668508--2.693616))+0-0-0</f>
        <v>1502.9277599999998</v>
      </c>
      <c r="Y101" s="3">
        <f>2329.9+(256.2-1149.6)+(-2.376498+(-0.261324--1.172592))+0-0-0</f>
        <v>1435.0347700000002</v>
      </c>
      <c r="Z101" s="3">
        <f>2444.7+(251.1-1063.6)+(-4.987188+(-0.512244--2.169744))+0-0-0</f>
        <v>1628.8703119999998</v>
      </c>
      <c r="AA101" s="3">
        <f>2521.7+(245.5-1044.7)+(-3.858201+(-0.375615--1.598391))+0-0-0</f>
        <v>1719.8645749999998</v>
      </c>
      <c r="AB101" s="3">
        <f>2425.6+(318.8-1038.7)+(-3.711168+(-0.487764--1.589211))+0-0-0</f>
        <v>1703.0902789999998</v>
      </c>
      <c r="AC101" s="3">
        <f>2319.7+(381.1-1039)+(2.366094+(0.388722-1.05978))+0-0-0</f>
        <v>1663.4950359999998</v>
      </c>
      <c r="AD101">
        <v>1727.7</v>
      </c>
      <c r="AE101" s="3">
        <f>2498+(248.4-1018.7)+(0+(0-0))+0-0-0</f>
        <v>1727.6999999999998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2095.6+(385.3-907.3)+(-1.068756+(-0.196503--0.462723))+0-0-0</f>
        <v>1572.797464</v>
      </c>
      <c r="G102" s="3">
        <f>1739.2+(413.9-678.6)+(-1.773984+(-0.422178--0.692172))+0-0-0</f>
        <v>1472.9960100000001</v>
      </c>
      <c r="H102" s="3">
        <f>1357.6+(437.2-410.9)+(-1.384752+(-0.445944--0.419118))+0-0-0</f>
        <v>1382.4884219999999</v>
      </c>
      <c r="I102" s="3">
        <f>1347.6+(463.8-480.4)+(0.687276+(0.236538-0.245004))+0-0-0</f>
        <v>1331.6788100000001</v>
      </c>
      <c r="J102" s="3">
        <f>1346.4+(385.7-443.5)+(-2.059992+(-0.590121--0.678555))+0-0-0</f>
        <v>1286.6284420000002</v>
      </c>
      <c r="K102" s="3">
        <f>1310.4+(366.5-471.9)+(-3.34152+(-0.934575--1.203345))+0-0-0</f>
        <v>1201.92725</v>
      </c>
      <c r="L102" s="3">
        <f>1261.5+(325.3-467.5)+(-3.86019+(-0.995418--1.43055))+0-0-0</f>
        <v>1115.8749419999999</v>
      </c>
      <c r="M102" s="3">
        <f>1334.7+(285-472.1)+(-0.680697+(-0.14535--0.240771))+0-0-0</f>
        <v>1147.0147239999999</v>
      </c>
      <c r="N102" s="3">
        <f>1634.3+(224.4-610.9)+(-0.833493+(-0.114444--0.311559))+0-0-0</f>
        <v>1247.163622</v>
      </c>
      <c r="O102" s="3">
        <f>1857.7+(214.7-720.1)+(0+(0-0))+0-0-0</f>
        <v>1352.3</v>
      </c>
      <c r="P102" s="3">
        <f>2035+(256.3-874.1)+(0+(0-0))+0-0-0</f>
        <v>1417.2</v>
      </c>
      <c r="Q102" s="3">
        <f>2035.8+(295.1-862.6)+(-3.114774+(-0.451503--1.319778))+0-0-0</f>
        <v>1466.0535009999999</v>
      </c>
      <c r="R102" s="3">
        <f>2136+(286.7-903)+(-1.08936+(-0.146217--0.46053))+0-0-0</f>
        <v>1518.924953</v>
      </c>
      <c r="S102" s="3">
        <f>2186.5+(276.9-879.3)+(-5.575575+(-0.706095--2.242215))+0-0-0</f>
        <v>1580.0605449999998</v>
      </c>
      <c r="T102" s="3">
        <f>2182.4+(284.4-832.2)+(1.113024+(0.145044-0.424422))+0-0-0</f>
        <v>1635.433646</v>
      </c>
      <c r="U102" s="3">
        <f>2180.9+(266.2-809.4)+(1.112259+(0.135762-0.412794))+0-0-0</f>
        <v>1638.5352270000001</v>
      </c>
      <c r="V102" s="3">
        <f>2181.4+(289.7-862)+(-2.225028+(-0.295494--0.87924))+0-0-0</f>
        <v>1607.4587180000001</v>
      </c>
      <c r="W102" s="3">
        <f>2135.1+(307.2-883.4)+(-3.266703+(-0.470016--1.351602))+0-0-0</f>
        <v>1556.5148829999998</v>
      </c>
      <c r="X102" s="3">
        <f>2076.4+(314.4-921.3)+(-4.235856+(-0.641376--1.879452))+0-0-0</f>
        <v>1466.5022200000001</v>
      </c>
      <c r="Y102" s="3">
        <f>2052.4+(200.3-834.9)+(-3.140172+(-0.306459--1.277397))+0-0-0</f>
        <v>1415.6307660000002</v>
      </c>
      <c r="Z102" s="3">
        <f>2073.6+(136.8-692.9)+(1.057536+(0.069768-0.353379))+0-0-0</f>
        <v>1518.273925</v>
      </c>
      <c r="AA102" s="3">
        <f>2084.8+(209.7-618.2)+(-3.189744+(-0.320841--0.945846))+0-0-0</f>
        <v>1673.7352610000003</v>
      </c>
      <c r="AB102" s="3">
        <f>2085.6+(298.9-710.6)+(-2.127312+(-0.304878--0.724812))+0-0-0</f>
        <v>1672.1926219999998</v>
      </c>
      <c r="AC102" s="3">
        <f>2064.3+(372-795.9)+(2.105586+(0.37944-0.811818))+0-0-0</f>
        <v>1642.073208</v>
      </c>
      <c r="AD102">
        <v>1710.1000000000001</v>
      </c>
      <c r="AE102" s="3">
        <f>2081+(256.3-627.2)+(0+(0-0))+0-0-0</f>
        <v>1710.1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2021.4+(431.7-828.8)+(-2.061828+(-0.440334--0.845376))+0-0-0</f>
        <v>1622.6432140000002</v>
      </c>
      <c r="G103" s="3">
        <f>1953.5+(439.9-838.3)+(-0.996285+(-0.224349--0.427533))+0-0-0</f>
        <v>1554.3068989999999</v>
      </c>
      <c r="H103" s="3">
        <f>1612.9+(479.7-635)+(-3.290316+(-0.978588--1.2954))+0-0-0</f>
        <v>1454.6264960000001</v>
      </c>
      <c r="I103" s="3">
        <f>1260.9+(481.3-367.6)+(-3.215295+(-1.227315--0.93738))+0-0-0</f>
        <v>1371.0947700000002</v>
      </c>
      <c r="J103" s="3">
        <f>1259.3+(345.8-271.4)+(1.284486+(0.352716-0.276828))+0-0-0</f>
        <v>1335.0603740000001</v>
      </c>
      <c r="K103" s="3">
        <f>1260+(354.6-365.9)+(-3.213+(-0.90423--0.933045))+0-0-0</f>
        <v>1245.515815</v>
      </c>
      <c r="L103" s="3">
        <f>1178.5+(348.4-396.4)+(-0.601035+(-0.177684--0.202164))+0-0-0</f>
        <v>1129.9234449999999</v>
      </c>
      <c r="M103" s="3">
        <f>1176+(326.6-390.1)+(-1.19952+(-0.333132--0.397902))+0-0-0</f>
        <v>1111.3652500000001</v>
      </c>
      <c r="N103" s="3">
        <f>1241.9+(336.3-432.5)+(-1.266738+(-0.343026--0.44115))+0-0-0</f>
        <v>1144.5313860000001</v>
      </c>
      <c r="O103" s="3">
        <f>1296.6+(308.7-391.2)+(0.661266+(0.157437-0.199512))+0-0-0</f>
        <v>1214.7191909999999</v>
      </c>
      <c r="P103" s="3">
        <f>1559.2+(257.1-515.9)+(-1.590384+(-0.262242--0.526218))+0-0-0</f>
        <v>1299.0735920000002</v>
      </c>
      <c r="Q103" s="3">
        <f>1792.2+(280.1-696.2)+(0+(0-0))+0-0-0</f>
        <v>1376.1</v>
      </c>
      <c r="R103" s="3">
        <f>1811+(310.2-711.1)+(2.77083+(0.474606-1.087983))+0-0-0</f>
        <v>1412.2574529999999</v>
      </c>
      <c r="S103" s="3">
        <f>1913.5+(269-716.5)+(0+(0-0))+0-0-0</f>
        <v>1466</v>
      </c>
      <c r="T103" s="3">
        <f>1964.2+(258.6-730.8)+(1.001742+(0.131886-0.372708))+0-0-0</f>
        <v>1492.7609199999999</v>
      </c>
      <c r="U103" s="3">
        <f>1963.4+(241.3-721.7)+(-6.008004+(-0.738378--2.208402))+0-0-0</f>
        <v>1478.4620199999999</v>
      </c>
      <c r="V103" s="3">
        <f>1964.1+(224.6-746.2)+(3.005073+(0.343638-1.141686))+0-0-0</f>
        <v>1444.7070249999999</v>
      </c>
      <c r="W103" s="3">
        <f>1964.5+(238.7-827.5)+(-5.009475+(-0.608685--2.110125))+0-0-0</f>
        <v>1372.191965</v>
      </c>
      <c r="X103" s="3">
        <f>1965.1+(229.2-882.7)+(-5.011005+(-0.58446--2.250885))+0-0-0</f>
        <v>1308.25542</v>
      </c>
      <c r="Y103" s="3">
        <f>1967.4+(122.7-781.7)+(-2.006748+(-0.125154--0.797334))+0-0-0</f>
        <v>1307.0654320000001</v>
      </c>
      <c r="Z103" s="3">
        <f>2050.6+(124.8-743.2)+(-2.091612+(-0.127296--0.758064))+0-0-0</f>
        <v>1430.7391559999999</v>
      </c>
      <c r="AA103" s="3">
        <f>2085.5+(167-690.9)+(-4.25442+(-0.34068--1.409436))+0-0-0</f>
        <v>1558.4143359999998</v>
      </c>
      <c r="AB103" s="3">
        <f>2075.8+(194-690.2)+(-2.117316+(-0.19788--0.704004))+0-0-0</f>
        <v>1577.9888080000001</v>
      </c>
      <c r="AC103" s="3">
        <f>1989.2+(290.4-699.1)+(-3.043476+(-0.444312--1.069623))+0-0-0</f>
        <v>1578.081835</v>
      </c>
      <c r="AD103">
        <v>1594.8</v>
      </c>
      <c r="AE103" s="3">
        <f>2086+(181.1-672.3)+(0+(0-0))+0-0-0</f>
        <v>1594.8000000000002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1919.1+(352.3-707.8)+(-0.978741+(-0.179673--0.360978))+0-0-0</f>
        <v>1562.8025639999998</v>
      </c>
      <c r="G104" s="3">
        <f>1736.7+(355.3-612.7)+(-1.771434+(-0.362406--0.624954))+0-0-0</f>
        <v>1477.7911139999999</v>
      </c>
      <c r="H104" s="3">
        <f>1429.4+(394.4-429.5)+(1.457988+(0.402288-0.43809))+0-0-0</f>
        <v>1395.7221860000002</v>
      </c>
      <c r="I104" s="3">
        <f>1332.6+(387.2-373.4)+(-0.679626+(-0.197472--0.190434))+0-0-0</f>
        <v>1345.7133359999998</v>
      </c>
      <c r="J104" s="3">
        <f>1325.2+(355.8-386)+(-2.027556+(-0.544374--0.59058))+0-0-0</f>
        <v>1293.01865</v>
      </c>
      <c r="K104" s="3">
        <f>1324.9+(323.4-422.3)+(-5.405592+(-1.319472--1.722984))+0-0-0</f>
        <v>1220.99792</v>
      </c>
      <c r="L104" s="3">
        <f>1324+(296.5-483.2)+(-2.70096+(-0.60486--0.985728))+0-0-0</f>
        <v>1134.979908</v>
      </c>
      <c r="M104" s="3">
        <f>1402.2+(317.2-533.4)+(2.145366+(0.485316-0.816102))+0-0-0</f>
        <v>1187.81458</v>
      </c>
      <c r="N104" s="3">
        <f>1915.6+(279.9-882.2)+(0.976956+(0.142749-0.449922))+0-0-0</f>
        <v>1313.9697829999998</v>
      </c>
      <c r="O104" s="3">
        <f>2324.1+(205.8-1098.8)+(1.185291+(0.104958-0.560388))+0-0-0</f>
        <v>1431.8298609999999</v>
      </c>
      <c r="P104" s="3">
        <f>2474.4+(241.4-1205.4)+(-2.523888+(-0.246228--1.229508))+0-0-0</f>
        <v>1508.8593920000001</v>
      </c>
      <c r="Q104" s="3">
        <f>2491.7+(198.3-1116.3)+(-1.270767+(-0.101133--0.569313))+0-0-0</f>
        <v>1572.8974129999999</v>
      </c>
      <c r="R104" s="3">
        <f>2579+(212.5-1139.9)+(-2.63058+(-0.21675--1.162698))+0-0-0</f>
        <v>1649.9153679999999</v>
      </c>
      <c r="S104" s="3">
        <f>2663+(208.5-1182.4)+(-1.35813+(-0.106335--0.603024))+0-0-0</f>
        <v>1688.2385589999999</v>
      </c>
      <c r="T104" s="3">
        <f>2662.9+(232.5-1173.3)+(-4.074237+(-0.355725--1.795149))+0-0-0</f>
        <v>1719.4651870000002</v>
      </c>
      <c r="U104" s="3">
        <f>2658+(275.9-1221.7)+(0+(0-0))+0-0-0</f>
        <v>1712.1999999999998</v>
      </c>
      <c r="V104" s="3">
        <f>2656.1+(289.1-1261.5)+(-2.709222+(-0.294882--1.28673))+0-0-0</f>
        <v>1681.9826259999998</v>
      </c>
      <c r="W104" s="3">
        <f>2593.8+(312.1-1286.1)+(-6.61419+(-0.795855--3.279555))+0-0-0</f>
        <v>1615.6695100000002</v>
      </c>
      <c r="X104" s="3">
        <f>2421.5+(320.7-1200.3)+(-6.174825+(-0.817785--3.060765))+0-0-0</f>
        <v>1537.968155</v>
      </c>
      <c r="Y104" s="3">
        <f>2279+(159.6-947.9)+(-6.97374+(-0.488376--2.900574))+0-0-0</f>
        <v>1486.1384580000001</v>
      </c>
      <c r="Z104" s="3">
        <f>2323.1+(155.7-892.6)+(2.369562+(0.158814-0.910452))+0-0-0</f>
        <v>1587.8179239999997</v>
      </c>
      <c r="AA104" s="3">
        <f>2424.1+(233.1-915.5)+(-3.708873+(-0.356643--1.400715))+0-0-0</f>
        <v>1739.0351989999999</v>
      </c>
      <c r="AB104" s="3">
        <f>2403.8+(300.3-962.6)+(-2.451876+(-0.306306--0.981852))+0-0-0</f>
        <v>1739.7236700000003</v>
      </c>
      <c r="AC104" s="3">
        <f>2226.5+(398.9-944.1)+(1.135515+(0.203439-0.481491))+0-0-0</f>
        <v>1682.157463</v>
      </c>
      <c r="AD104">
        <v>1759</v>
      </c>
      <c r="AE104" s="3">
        <f>2423+(267.4-931.4)+(0+(0-0))+0-0-0</f>
        <v>1759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2157.5+(398.5-961.3)+(0+(0-0))+0-0-0</f>
        <v>1594.7</v>
      </c>
      <c r="G105" s="3">
        <f>1703.9+(347-553.5)+(-0.868989+(-0.17697--0.282285))+0-0-0</f>
        <v>1496.6363260000001</v>
      </c>
      <c r="H105" s="3">
        <f>1540.1+(366.5-481.6)+(-2.356353+(-0.560745--0.736848))+0-0-0</f>
        <v>1422.8197500000001</v>
      </c>
      <c r="I105" s="3">
        <f>1326.4+(411.1-372)+(-2.029392+(-0.628983--0.56916))+0-0-0</f>
        <v>1363.410785</v>
      </c>
      <c r="J105" s="3">
        <f>1326.3+(361.8-360.9)+(-3.382065+(-0.92259--0.920295))+0-0-0</f>
        <v>1323.81564</v>
      </c>
      <c r="K105" s="3">
        <f>1325.6+(421.9-502.2)+(-3.38028+(-1.075845--1.28061))+0-0-0</f>
        <v>1242.124485</v>
      </c>
      <c r="L105" s="3">
        <f>1325.8+(390.2-554.1)+(-1.352316+(-0.398004--0.565182))+0-0-0</f>
        <v>1160.7148619999998</v>
      </c>
      <c r="M105" s="3">
        <f>1473.2+(342.5-587.2)+(-0.751332+(-0.174675--0.299472))+0-0-0</f>
        <v>1227.8734649999999</v>
      </c>
      <c r="N105" s="3">
        <f>1822.2+(360.3-807.2)+(0.929322+(0.183753-0.411672))+0-0-0</f>
        <v>1376.001403</v>
      </c>
      <c r="O105" s="3">
        <f>2306.3+(340.1-1188.3)+(0+(0-0))+0-0-0</f>
        <v>1458.1000000000004</v>
      </c>
      <c r="P105" s="3">
        <f>2415.4+(363.3-1201.9)+(2.463708+(0.370566-1.225938))+0-0-0</f>
        <v>1578.408336</v>
      </c>
      <c r="Q105" s="3">
        <f>2512.2+(329.3-1210.1)+(-1.281222+(-0.167943--0.617151))+0-0-0</f>
        <v>1630.5679859999998</v>
      </c>
      <c r="R105" s="3">
        <f>2521.3+(335.9-1185.3)+(-2.571726+(-0.342618--1.209006))+0-0-0</f>
        <v>1670.1946620000001</v>
      </c>
      <c r="S105" s="3">
        <f>2525.6+(353.7-1176.5)+(-2.576112+(-0.360774--1.20003))+0-0-0</f>
        <v>1701.063144</v>
      </c>
      <c r="T105" s="3">
        <f>2524+(339-1149)+(0+(0-0))+0-0-0</f>
        <v>1714</v>
      </c>
      <c r="U105" s="3">
        <f>2514.3+(305.9-1151.8)+(0+(0-0))+0-0-0</f>
        <v>1668.4</v>
      </c>
      <c r="V105" s="3">
        <f>2523.3+(259.5-1144.6)+(1.286883+(0.132345-0.583746))+0-0-0</f>
        <v>1639.0354820000002</v>
      </c>
      <c r="W105" s="3">
        <f>2529.1+(271.4-1205.5)+(-5.159364+(-0.553656--2.45922))+0-0-0</f>
        <v>1591.7462</v>
      </c>
      <c r="X105" s="3">
        <f>2480.8+(331.1-1290.1)+(-8.856456+(-1.182027--4.605657))+0-0-0</f>
        <v>1516.3671740000002</v>
      </c>
      <c r="Y105" s="3">
        <f>2227.6+(203.8-951)+(-5.68038+(-0.51969--2.42505))+0-0-0</f>
        <v>1476.6249799999998</v>
      </c>
      <c r="Z105" s="3">
        <f>2375.8+(233.7-1019.1)+(-1.211658+(-0.119187--0.519741))+0-0-0</f>
        <v>1589.5888960000002</v>
      </c>
      <c r="AA105" s="3">
        <f>2264.8+(351.9-887.9)+(-4.620192+(-0.717876--1.811316))+0-0-0</f>
        <v>1725.2732480000002</v>
      </c>
      <c r="AB105" s="3">
        <f>2200.6+(365.4-840.7)+(-3.366918+(-0.559062--1.286271))+0-0-0</f>
        <v>1722.6602909999997</v>
      </c>
      <c r="AC105" s="3">
        <f>2183.3+(399.3-905.8)+(1.113483+(0.203643-0.461958))+0-0-0</f>
        <v>1677.6551680000002</v>
      </c>
      <c r="AD105">
        <v>1751.6</v>
      </c>
      <c r="AE105" s="3">
        <f>2201+(361-810.4)+(0+(0-0))+0-0-0</f>
        <v>1751.6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1913+(437.4-780.9)+(0+(0-0))+0-0-0</f>
        <v>1569.5</v>
      </c>
      <c r="G106" s="3">
        <f>1703.8+(432.2-664.3)+(-3.475752+(-0.881688--1.355172))+0-0-0</f>
        <v>1468.6977320000001</v>
      </c>
      <c r="H106" s="3">
        <f>1326.4+(479.2-511.9)+(0.676464+(0.244392-0.261069))+0-0-0</f>
        <v>1294.3597870000001</v>
      </c>
      <c r="I106" s="3">
        <f>1318.8+(439-429)+(-2.690352+(-0.89556--0.87516))+0-0-0</f>
        <v>1326.089248</v>
      </c>
      <c r="J106" s="3">
        <f>1319.2+(430.4-446.4)+(0+(0-0))+0-0-0</f>
        <v>1303.2</v>
      </c>
      <c r="K106" s="3">
        <f>1318.8+(407.2-478.3)+(-3.36294+(-1.03836--1.219665))+0-0-0</f>
        <v>1244.5183649999999</v>
      </c>
      <c r="L106" s="3">
        <f>1319.2+(333.3-500.1)+(-3.36396+(-0.849915--1.275255))+0-0-0</f>
        <v>1149.4613800000002</v>
      </c>
      <c r="M106" s="3">
        <f>1424.4+(366.9-535.4)+(0+(0-0))+0-0-0</f>
        <v>1255.9000000000001</v>
      </c>
      <c r="N106" s="3">
        <f>1481.7+(376.4-561.3)+(2.267001+(0.575892-0.858789))+0-0-0</f>
        <v>1298.7841040000001</v>
      </c>
      <c r="O106" s="3">
        <f>1894.4+(355.3-680.2)+(1.932288+(0.362406-0.693804))+0-0-0</f>
        <v>1571.1008899999999</v>
      </c>
      <c r="P106" s="3">
        <f>2355.3+(301.5-1039.3)+(3.603609+(0.461295-1.590129))+0-0-0</f>
        <v>1619.9747750000001</v>
      </c>
      <c r="Q106" s="3">
        <f>2358.5+(294.5-1007.1)+(3.608505+(0.450585-1.540863))+0-0-0</f>
        <v>1648.4182270000001</v>
      </c>
      <c r="R106" s="3">
        <f>2358+(342.1-1038.5)+(-1.20258+(-0.174471--0.529635))+0-0-0</f>
        <v>1660.7525839999998</v>
      </c>
      <c r="S106" s="3">
        <f>2358.8+(350.2-992.2)+(-4.811952+(-0.714408--2.024088))+0-0-0</f>
        <v>1713.2977280000002</v>
      </c>
      <c r="T106" s="3">
        <f>2383.9+(331.2-979.8)+(3.647367+(0.506736-1.499094))+0-0-0</f>
        <v>1737.9550090000002</v>
      </c>
      <c r="U106" s="3">
        <f>2391.7+(287.1-967.1)+(-2.439534+(-0.292842--0.986442))+0-0-0</f>
        <v>1709.9540659999998</v>
      </c>
      <c r="V106" s="3">
        <f>2393.2+(321.3-1038.6)+(-4.882128+(-0.655452--2.118744))+0-0-0</f>
        <v>1672.4811639999998</v>
      </c>
      <c r="W106" s="3">
        <f>2394.7+(341.5-1107.8)+(-4.885188+(-0.69666--2.259912))+0-0-0</f>
        <v>1625.0780639999998</v>
      </c>
      <c r="X106" s="3">
        <f>2397.5+(369.5-1207.1)+(-4.8909+(-0.75378--2.462484))+0-0-0</f>
        <v>1556.7178040000001</v>
      </c>
      <c r="Y106" s="3">
        <f>2322.4+(243.3-1058.7)+(-4.737696+(-0.496332--2.159748))+0-0-0</f>
        <v>1503.92572</v>
      </c>
      <c r="Z106" s="3">
        <f>2311.5+(256.1-971.4)+(-1.178865+(-0.130611--0.495414))+0-0-0</f>
        <v>1595.3859380000001</v>
      </c>
      <c r="AA106" s="3">
        <f>2428.6+(264.4-930.6)+(-3.715758+(-0.404532--1.423818))+0-0-0</f>
        <v>1759.7035279999998</v>
      </c>
      <c r="AB106" s="3">
        <f>2431.4+(347.8-1025)+(-4.960056+(-0.709512--2.091))+0-0-0</f>
        <v>1750.6214320000001</v>
      </c>
      <c r="AC106" s="3">
        <f>2427.8+(361.8-1083.8)+(0+(0-0))+0-0-0</f>
        <v>1705.8000000000002</v>
      </c>
      <c r="AD106">
        <v>1783.5000000000002</v>
      </c>
      <c r="AE106" s="3">
        <f>2417+(285.3-918.8)+(0+(0-0))+0-0-0</f>
        <v>1783.5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2058.9+(427.3-854.6)+(-3.150117+(-0.653769--1.307538))+0-0-0</f>
        <v>1629.1036520000002</v>
      </c>
      <c r="G107" s="3">
        <f>1945.4+(387.3-798.7)+(-6.945078+(-1.382661--2.851359))+0-0-0</f>
        <v>1528.5236199999999</v>
      </c>
      <c r="H107" s="3">
        <f>1731.3+(340.4-627.4)+(-5.297778+(-1.041624--1.919844))+0-0-0</f>
        <v>1439.8804419999999</v>
      </c>
      <c r="I107" s="3">
        <f>1691.2+(337-641.7)+(-4.31256+(-0.85935--1.636335))+0-0-0</f>
        <v>1382.9644249999999</v>
      </c>
      <c r="J107" s="3">
        <f>1690.9+(342.2-707.7)+(2.587077+(0.523566-1.082781))+0-0-0</f>
        <v>1327.427862</v>
      </c>
      <c r="K107" s="3">
        <f>1691.6+(333.3-784.5)+(-2.588148+(-0.509949--1.200285))+0-0-0</f>
        <v>1238.5021879999999</v>
      </c>
      <c r="L107" s="3">
        <f>1691.5+(265.6-808.8)+(-3.45066+(-0.541824--1.649952))+0-0-0</f>
        <v>1145.9574680000003</v>
      </c>
      <c r="M107" s="3">
        <f>1786.1+(224.5-772.2)+(0+(0-0))+0-0-0</f>
        <v>1238.3999999999999</v>
      </c>
      <c r="N107" s="3">
        <f>2104.6+(291.6-1032.4)+(-3.220038+(-0.446148--1.579572))+0-0-0</f>
        <v>1361.7133859999997</v>
      </c>
      <c r="O107" s="3">
        <f>2235.7+(300.6-1066.5)+(1.140207+(0.153306-0.543915))+0-0-0</f>
        <v>1470.5495979999998</v>
      </c>
      <c r="P107" s="3">
        <f>2307.7+(325.8-1066.6)+(0+(0-0))+0-0-0</f>
        <v>1566.8999999999999</v>
      </c>
      <c r="Q107" s="3">
        <f>2467.3+(340.9-1190.1)+(-2.516646+(-0.347718--1.213902))+0-0-0</f>
        <v>1616.4495380000003</v>
      </c>
      <c r="R107" s="3">
        <f>2517.9+(322.2-1138)+(0+(0-0))+0-0-0</f>
        <v>1702.1000000000001</v>
      </c>
      <c r="S107" s="3">
        <f>2517+(338.8-1094.2)+(-2.56734+(-0.345576--1.116084))+0-0-0</f>
        <v>1759.8031679999999</v>
      </c>
      <c r="T107" s="3">
        <f>2516.9+(329.8-1034.3)+(-2.567238+(-0.336396--1.054986))+0-0-0</f>
        <v>1810.5513520000002</v>
      </c>
      <c r="U107" s="3">
        <f>2479.9+(312-999.1)+(-3.794247+(-0.47736--1.528623))+0-0-0</f>
        <v>1790.0570160000002</v>
      </c>
      <c r="V107" s="3">
        <f>2513.5+(314.8-1068.5)+(-1.281885+(-0.160548--0.544935))+0-0-0</f>
        <v>1758.9025019999999</v>
      </c>
      <c r="W107" s="3">
        <f>2493.9+(316.3-1128)+(-3.815667+(-0.483939--1.72584))+0-0-0</f>
        <v>1679.6262340000001</v>
      </c>
      <c r="X107" s="3">
        <f>2418.2+(292.3-1132.5)+(-6.16641+(-0.745365--2.887875))+0-0-0</f>
        <v>1573.9760999999999</v>
      </c>
      <c r="Y107" s="3">
        <f>2396.7+(197.3-1078.8)+(-3.666951+(-0.301869--1.650564))+0-0-0</f>
        <v>1512.8817439999998</v>
      </c>
      <c r="Z107" s="3">
        <f>2424.5+(191.2-1006.3)+(-2.47299+(-0.195024--1.026426))+0-0-0</f>
        <v>1607.7584120000001</v>
      </c>
      <c r="AA107" s="3">
        <f>2430.3+(290.7-945.7)+(-2.478906+(-0.296514--0.964614))+0-0-0</f>
        <v>1773.4891940000002</v>
      </c>
      <c r="AB107" s="3">
        <f>2432.8+(337.3-984)+(-4.962912+(-0.688092--2.00736))+0-0-0</f>
        <v>1782.4563560000001</v>
      </c>
      <c r="AC107" s="3">
        <f>2413.4+(306-957.2)+(-2.461668+(-0.31212--0.976344))+0-0-0</f>
        <v>1760.402556</v>
      </c>
      <c r="AD107">
        <v>1831.4</v>
      </c>
      <c r="AE107" s="3">
        <f>2439+(326.8-934.4)+(0+(0-0))+0-0-0</f>
        <v>1831.4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2305.5+(364.7-945.9)+(-3.527415+(-0.557991--1.447227))+0-0-0</f>
        <v>1721.6618209999999</v>
      </c>
      <c r="G108" s="3">
        <f>1990.3+(393.6-765.2)+(-3.045159+(-0.602208--1.170756))+0-0-0</f>
        <v>1616.2233889999998</v>
      </c>
      <c r="H108" s="3">
        <f>1887+(431.3-794.9)+(0+(0-0))+0-0-0</f>
        <v>1523.4</v>
      </c>
      <c r="I108" s="3">
        <f>1702.8+(392.8-642.1)+(-3.473712+(-0.801312--1.309884))+0-0-0</f>
        <v>1450.53486</v>
      </c>
      <c r="J108" s="3">
        <f>1568+(352.3-525.5)+(-3.19872+(-0.718692--1.07202))+0-0-0</f>
        <v>1391.954608</v>
      </c>
      <c r="K108" s="3">
        <f>1486.2+(335.4-510)+(-3.031848+(-0.684216--1.0404))+0-0-0</f>
        <v>1308.9243359999998</v>
      </c>
      <c r="L108" s="3">
        <f>1486.4+(269.1-557.5)+(-3.032256+(-0.548964--1.1373))+0-0-0</f>
        <v>1195.5560800000001</v>
      </c>
      <c r="M108" s="3">
        <f>1558.7+(242.3-530.3)+(2.384811+(0.370719-0.811359))+0-0-0</f>
        <v>1272.6441710000001</v>
      </c>
      <c r="N108" s="3">
        <f>1815.6+(203.5-612.1)+(1.851912+(0.20757-0.624342))+0-0-0</f>
        <v>1408.43514</v>
      </c>
      <c r="O108" s="3">
        <f>2199.5+(191.5-849.6)+(0+(0-0))+0-0-0</f>
        <v>1541.4</v>
      </c>
      <c r="P108" s="3">
        <f>2377.5+(201.3-817.7)+(1.212525+(0.102663-0.417027))+0-0-0</f>
        <v>1761.998161</v>
      </c>
      <c r="Q108" s="3">
        <f>2512.2+(190.6-875.5)+(0+(0-0))+0-0-0</f>
        <v>1827.2999999999997</v>
      </c>
      <c r="R108" s="3">
        <f>2513.1+(322.6-1053.4)+(1.281681+(0.164526-0.537234))+0-0-0</f>
        <v>1783.2089729999998</v>
      </c>
      <c r="S108" s="3">
        <f>2510.6+(354.5-1005.2)+(2.560812+(0.36159-1.025304))+0-0-0</f>
        <v>1861.7970979999998</v>
      </c>
      <c r="T108" s="3">
        <f>2514.4+(314.8-944.9)+(-2.564688+(-0.321096--0.963798))+0-0-0</f>
        <v>1882.3780140000001</v>
      </c>
      <c r="U108" s="3">
        <f>2515.5+(309.3-993.4)+(2.56581+(0.315486-1.013268))+0-0-0</f>
        <v>1833.2680280000002</v>
      </c>
      <c r="V108" s="3">
        <f>2521.4+(306.3-1054.2)+(-6.42957+(-0.781065--2.68821))+0-0-0</f>
        <v>1768.9775749999999</v>
      </c>
      <c r="W108" s="3">
        <f>2523.5+(315.2-1159.7)+(-7.72191+(-0.964512--3.548682))+0-0-0</f>
        <v>1673.8622600000001</v>
      </c>
      <c r="X108" s="3">
        <f>2419.2+(348.8-1190.8)+(-7.402752+(-1.067328--3.643848))+0-0-0</f>
        <v>1572.3737679999999</v>
      </c>
      <c r="Y108" s="3">
        <f>2241.1+(267-973.3)+(-2.285922+(-0.27234--0.992766))+0-0-0</f>
        <v>1533.234504</v>
      </c>
      <c r="Z108" s="3">
        <f>2267.2+(240.5-853.7)+(-3.468816+(-0.367965--1.306161))+0-0-0</f>
        <v>1651.4693799999998</v>
      </c>
      <c r="AA108" s="3">
        <f>2387.7+(328.9-904.3)+(-6.088635+(-0.838695--2.305965))+0-0-0</f>
        <v>1807.6786349999998</v>
      </c>
      <c r="AB108" s="3">
        <f>2432.5+(405.3-1014.9)+(-2.48115+(-0.413406--1.035198))+0-0-0</f>
        <v>1821.0406420000002</v>
      </c>
      <c r="AC108" s="3">
        <f>2352.4+(470.3-1042.1)+(4.798896+(0.959412-2.125884))+0-0-0</f>
        <v>1784.232424</v>
      </c>
      <c r="AD108">
        <v>1808.9999999999998</v>
      </c>
      <c r="AE108" s="3">
        <f>2430+(324.7-945.7)+(0+(0-0))+0-0-0</f>
        <v>1809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2194.6+(492.6-993.6)+(-2.238492+(-0.502452--1.013472))+0-0-0</f>
        <v>1691.8725279999999</v>
      </c>
      <c r="G109" s="3">
        <f>2008.5+(453.4-866.4)+(0+(0-0))+0-0-0</f>
        <v>1595.5</v>
      </c>
      <c r="H109" s="3">
        <f>1788.8+(481.3-766.4)+(-1.824576+(-0.490926--0.781728))+0-0-0</f>
        <v>1502.1662260000001</v>
      </c>
      <c r="I109" s="3">
        <f>1539.5+(480.1-590.9)+(0+(0-0))+0-0-0</f>
        <v>1428.7</v>
      </c>
      <c r="J109" s="3">
        <f>1533.5+(422.1-583.2)+(0+(0-0))+0-0-0</f>
        <v>1372.4</v>
      </c>
      <c r="K109" s="3">
        <f>1541+(418.4-677)+(-3.92955+(-1.06692--1.72635))+0-0-0</f>
        <v>1279.1298800000002</v>
      </c>
      <c r="L109" s="3">
        <f>1541.2+(358-733.9)+(-1.572024+(-0.36516--0.748578))+0-0-0</f>
        <v>1164.1113940000002</v>
      </c>
      <c r="M109" s="3">
        <f>1667.3+(296.9-718.6)+(1.700646+(0.302838-0.732972))+0-0-0</f>
        <v>1246.870512</v>
      </c>
      <c r="N109" s="3">
        <f>2134+(296.1-1032.9)+(1.08834+(0.151011-0.526779))+0-0-0</f>
        <v>1397.9125719999997</v>
      </c>
      <c r="O109" s="3">
        <f>2389.9+(349.7-1206.3)+(2.437698+(0.356694-1.230426))+0-0-0</f>
        <v>1534.8639660000001</v>
      </c>
      <c r="P109" s="3">
        <f>2407.8+(373.1-1157)+(1.227978+(0.190281-0.59007))+0-0-0</f>
        <v>1624.7281890000002</v>
      </c>
      <c r="Q109" s="3">
        <f>2404.2+(400.8-1114.7)+(2.452284+(0.408816-1.136994))+0-0-0</f>
        <v>1692.0241059999996</v>
      </c>
      <c r="R109" s="3">
        <f>2455.3+(382.8-1020.4)+(0+(0-0))+0-0-0</f>
        <v>1817.7000000000003</v>
      </c>
      <c r="S109" s="3">
        <f>2475.5+(404.2-954.3)+(0+(0-0))+0-0-0</f>
        <v>1925.4</v>
      </c>
      <c r="T109" s="3">
        <f>2472+(392-874.4)+(-1.26072+(-0.19992--0.445944))+0-0-0</f>
        <v>1988.585304</v>
      </c>
      <c r="U109" s="3">
        <f>2470.1+(389.3-891)+(-2.519502+(-0.397086--0.90882))+0-0-0</f>
        <v>1966.3922319999999</v>
      </c>
      <c r="V109" s="3">
        <f>2457.9+(309.6-843.4)+(0+(0-0))+0-0-0</f>
        <v>1924.1000000000001</v>
      </c>
      <c r="W109" s="3">
        <f>2496.5+(344.4-993.1)+(-2.54643+(-0.351288--1.012962))+0-0-0</f>
        <v>1845.915244</v>
      </c>
      <c r="X109" s="3">
        <f>2429+(403.6-1129)+(0+(0-0))+0-0-0</f>
        <v>1703.6</v>
      </c>
      <c r="Y109" s="3">
        <f>2403.1+(284.7-1089.7)+(-6.127905+(-0.725985--2.778735))+0-0-0</f>
        <v>1594.0248449999999</v>
      </c>
      <c r="Z109" s="3">
        <f>2411.5+(284.6-1026.8)+(1.229865+(0.145146-0.523668))+0-0-0</f>
        <v>1670.1513430000002</v>
      </c>
      <c r="AA109" s="3">
        <f>2550.6+(331-1046.7)+(-2.601612+(-0.33762--1.067634))+0-0-0</f>
        <v>1833.0284019999999</v>
      </c>
      <c r="AB109" s="3">
        <f>2554.2+(377.1-1080.3)+(0+(0-0))+0-0-0</f>
        <v>1851</v>
      </c>
      <c r="AC109" s="3">
        <f>2543.3+(423.1-1127.2)+(-2.594166+(-0.431562--1.149744))+0-0-0</f>
        <v>1837.3240160000003</v>
      </c>
      <c r="AD109">
        <v>1866.1999999999998</v>
      </c>
      <c r="AE109" s="3">
        <f>2550+(372.2-1056)+(0+(0-0))+0-0-0</f>
        <v>1866.2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2389.8+(469.8-1032.4)+(-4.875192+(-0.958392--2.106096))+0-0-0</f>
        <v>1823.4725120000001</v>
      </c>
      <c r="G110" s="3">
        <f>2183.2+(415.3-851.2)+(-3.340296+(-0.635409--1.302336))+0-0-0</f>
        <v>1744.6266309999996</v>
      </c>
      <c r="H110" s="3">
        <f>2080.5+(367.7-795.8)+(-3.183165+(-0.562581--1.217574))+0-0-0</f>
        <v>1649.8718280000001</v>
      </c>
      <c r="I110" s="3">
        <f>1952.8+(381.8-770.9)+(-4.97964+(-0.97359--1.965795))+0-0-0</f>
        <v>1559.712565</v>
      </c>
      <c r="J110" s="3">
        <f>1664.7+(392.1-578.4)+(-0.848997+(-0.199971--0.294984))+0-0-0</f>
        <v>1477.6460160000001</v>
      </c>
      <c r="K110" s="3">
        <f>1401.7+(434-478.7)+(-2.144601+(-0.66402--0.732411))+0-0-0</f>
        <v>1354.9237900000001</v>
      </c>
      <c r="L110" s="3">
        <f>1401+(340.5-526.4)+(-2.85804+(-0.69462--1.073856))+0-0-0</f>
        <v>1212.6211959999998</v>
      </c>
      <c r="M110" s="3">
        <f>1409.6+(299.4-499.9)+(-1.437792+(-0.305388--0.509898))+0-0-0</f>
        <v>1207.866718</v>
      </c>
      <c r="N110" s="3">
        <f>1704.1+(279.7-701.7)+(0.869091+(0.142647-0.357867))+0-0-0</f>
        <v>1282.7538709999999</v>
      </c>
      <c r="O110" s="3">
        <f>1936.4+(244.5-791.8)+(0+(0-0))+0-0-0</f>
        <v>1389.1000000000001</v>
      </c>
      <c r="P110" s="3">
        <f>2010.4+(276.7-775)+(2.050608+(0.282234-0.7905))+0-0-0</f>
        <v>1513.6423420000001</v>
      </c>
      <c r="Q110" s="3">
        <f>2146.2+(288.6-821.2)+(2.189124+(0.294372-0.837624))+0-0-0</f>
        <v>1615.245872</v>
      </c>
      <c r="R110" s="3">
        <f>2346.5+(315.1-941.2)+(1.196715+(0.160701-0.480012))+0-0-0</f>
        <v>1721.2774040000002</v>
      </c>
      <c r="S110" s="3">
        <f>2499.4+(310.5-951.3)+(0+(0-0))+0-0-0</f>
        <v>1858.6000000000001</v>
      </c>
      <c r="T110" s="3">
        <f>2498.6+(307.4-878.6)+(-2.548572+(-0.313548--0.896172))+0-0-0</f>
        <v>1925.4340519999998</v>
      </c>
      <c r="U110" s="3">
        <f>2495.8+(314.4-857.4)+(-3.818574+(-0.481032--1.311822))+0-0-0</f>
        <v>1949.8122160000003</v>
      </c>
      <c r="V110" s="3">
        <f>2494.4+(361.2-930.2)+(0+(0-0))+0-0-0</f>
        <v>1925.4</v>
      </c>
      <c r="W110" s="3">
        <f>2459.8+(370.9-1000.7)+(-1.254498+(-0.189159--0.510357))+0-0-0</f>
        <v>1829.0667000000001</v>
      </c>
      <c r="X110" s="3">
        <f>2420.8+(364.1-1099.9)+(-6.17304+(-0.928455--2.804745))+0-0-0</f>
        <v>1680.70325</v>
      </c>
      <c r="Y110" s="3">
        <f>2302.3+(254-963.9)+(-4.696692+(-0.51816--1.966356))+0-0-0</f>
        <v>1589.1515040000002</v>
      </c>
      <c r="Z110" s="3">
        <f>2329.5+(314.3-958)+(1.188045+(0.160293-0.48858))+0-0-0</f>
        <v>1686.659758</v>
      </c>
      <c r="AA110" s="3">
        <f>2525+(349.2-967.7)+(-6.43875+(-0.89046--2.467635))+0-0-0</f>
        <v>1901.6384250000001</v>
      </c>
      <c r="AB110" s="3">
        <f>2551.5+(393.5-967.2)+(-5.20506+(-0.80274--1.973088))+0-0-0</f>
        <v>1973.7652880000001</v>
      </c>
      <c r="AC110" s="3">
        <f>2538.5+(435.2-975)+(-1.294635+(-0.221952--0.49725))+0-0-0</f>
        <v>1997.6806630000001</v>
      </c>
      <c r="AD110">
        <v>1949.9</v>
      </c>
      <c r="AE110" s="3">
        <f>2553+(380.4-983.5)+(0+(0-0))+0-0-0</f>
        <v>1949.9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2358+(456.6-892.8)+(0+(0-0))+0-0-0</f>
        <v>1921.8000000000002</v>
      </c>
      <c r="G111" s="3">
        <f>2134.4+(430.5-709.7)+(-4.354176+(-0.87822--1.447788))+0-0-0</f>
        <v>1851.4153920000001</v>
      </c>
      <c r="H111" s="3">
        <f>1601.8+(500.6-375.6)+(1.633836+(0.510612-0.383112))+0-0-0</f>
        <v>1728.561336</v>
      </c>
      <c r="I111" s="3">
        <f>1386.9+(529.8-287)+(-0.707319+(-0.270198--0.14637))+0-0-0</f>
        <v>1628.8688529999999</v>
      </c>
      <c r="J111" s="3">
        <f>1338.8+(473.9-245.2)+(-2.048364+(-0.725067--0.375156))+0-0-0</f>
        <v>1565.101725</v>
      </c>
      <c r="K111" s="3">
        <f>1340.2+(415.1-310.3)+(-2.734008+(-0.846804--0.633012))+0-0-0</f>
        <v>1442.0522000000001</v>
      </c>
      <c r="L111" s="3">
        <f>1340.9+(338.7-378.4)+(-1.367718+(-0.345474--0.385968))+0-0-0</f>
        <v>1299.8727760000002</v>
      </c>
      <c r="M111" s="3">
        <f>1575.2+(303.7-482.3)+(-2.410056+(-0.464661--0.737919))+0-0-0</f>
        <v>1394.4632019999999</v>
      </c>
      <c r="N111" s="3">
        <f>2121.3+(320.5-866.1)+(0+(0-0))+0-0-0</f>
        <v>1575.7000000000003</v>
      </c>
      <c r="O111" s="3">
        <f>2374.8+(354.5-1024.4)+(1.211148+(0.180795-0.522444))+0-0-0</f>
        <v>1705.769499</v>
      </c>
      <c r="P111" s="3">
        <f>2425.4+(392.5-989.9)+(2.473908+(0.40035-1.009698))+0-0-0</f>
        <v>1829.86456</v>
      </c>
      <c r="Q111" s="3">
        <f>2516.3+(344.1-917.5)+(0+(0-0))+0-0-0</f>
        <v>1942.9</v>
      </c>
      <c r="R111" s="3">
        <f>2513.1+(394.8-795.9)+(-1.281681+(-0.201348--0.405909))+0-0-0</f>
        <v>2110.9228800000001</v>
      </c>
      <c r="S111" s="3">
        <f>2509.8+(410.1-639.6)+(-1.279998+(-0.209151--0.326196))+0-0-0</f>
        <v>2279.1370470000002</v>
      </c>
      <c r="T111" s="3">
        <f>2506.8+(457.4-609.4)+(-1.278468+(-0.233274--0.310794))+0-0-0</f>
        <v>2353.599052</v>
      </c>
      <c r="U111" s="3">
        <f>2505.3+(454.1-644.2)+(-3.833109+(-0.694773--0.985626))+0-0-0</f>
        <v>2311.6577440000001</v>
      </c>
      <c r="V111" s="3">
        <f>2506.9+(422.6-677)+(0+(0-0))+0-0-0</f>
        <v>2252.5</v>
      </c>
      <c r="W111" s="3">
        <f>2509.4+(427.7-817.3)+(-3.839382+(-0.654381--1.250469))+0-0-0</f>
        <v>2116.5567060000003</v>
      </c>
      <c r="X111" s="3">
        <f>2516+(413.9-994.1)+(-7.69896+(-1.266534--3.041946))+0-0-0</f>
        <v>1929.876452</v>
      </c>
      <c r="Y111" s="3">
        <f>2368.6+(276.5-861.5)+(-2.415972+(-0.28203--0.87873))+0-0-0</f>
        <v>1781.780728</v>
      </c>
      <c r="Z111" s="3">
        <f>2336.9+(307.6-810.9)+(1.191819+(0.156876-0.413559))+0-0-0</f>
        <v>1834.5351360000002</v>
      </c>
      <c r="AA111" s="3">
        <f>2468.4+(404.7-817.3)+(-1.258884+(-0.206397--0.416823))+0-0-0</f>
        <v>2054.751542</v>
      </c>
      <c r="AB111" s="3">
        <f>2473.5+(394.5-776.7)+(-1.261485+(-0.201195--0.396117))+0-0-0</f>
        <v>2090.2334370000003</v>
      </c>
      <c r="AC111" s="3">
        <f>2462.6+(420.6-795.7)+(1.255926+(0.214506-0.405807))+0-0-0</f>
        <v>2088.564625</v>
      </c>
      <c r="AD111">
        <v>2092.5</v>
      </c>
      <c r="AE111" s="3">
        <f>2471+(412.8-791.3)+(0+(0-0))+0-0-0</f>
        <v>2092.5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2462.6+(415.5-836.1)+(1.255926+(0.211905-0.426411))+0-0-0</f>
        <v>2043.04142</v>
      </c>
      <c r="G112" s="3">
        <f>2391.1+(365.5-833.7)+(0+(0-0))+0-0-0</f>
        <v>1922.8999999999999</v>
      </c>
      <c r="H112" s="3">
        <f>2072.3+(344.1-627.2)+(1.056873+(0.175491-0.319872))+0-0-0</f>
        <v>1790.1124920000002</v>
      </c>
      <c r="I112" s="3">
        <f>1783.8+(410.2-506.8)+(-1.819476+(-0.418404--0.516936))+0-0-0</f>
        <v>1685.4790559999999</v>
      </c>
      <c r="J112" s="3">
        <f>1760.7+(339.6-492.4)+(-1.795914+(-0.346392--0.502248))+0-0-0</f>
        <v>1606.2599420000001</v>
      </c>
      <c r="K112" s="3">
        <f>1681.5+(347.6-557.6)+(-4.287825+(-0.88638--1.42188))+0-0-0</f>
        <v>1467.7476750000001</v>
      </c>
      <c r="L112" s="3">
        <f>1681.2+(340.4-709.3)+(-2.572236+(-0.520812--1.085229))+0-0-0</f>
        <v>1310.2921810000003</v>
      </c>
      <c r="M112" s="3">
        <f>1758.3+(356.6-741.5)+(0.896733+(0.181866-0.378165))+0-0-0</f>
        <v>1374.1004340000002</v>
      </c>
      <c r="N112" s="3">
        <f>1991+(360-823.7)+(0+(0-0))+0-0-0</f>
        <v>1527.3</v>
      </c>
      <c r="O112" s="3">
        <f>2462.8+(306.9-1084.4)+(-2.512056+(-0.313038--1.106088))+0-0-0</f>
        <v>1683.5809940000001</v>
      </c>
      <c r="P112" s="3">
        <f>2523.4+(337.4-1048.8)+(0+(0-0))+0-0-0</f>
        <v>1812</v>
      </c>
      <c r="Q112" s="3">
        <f>2490.5+(368.7-958.3)+(-2.54031+(-0.376074--0.977466))+0-0-0</f>
        <v>1898.961082</v>
      </c>
      <c r="R112" s="3">
        <f>2472+(372-807.2)+(-1.26072+(-0.18972--0.411672))+0-0-0</f>
        <v>2035.7612320000001</v>
      </c>
      <c r="S112" s="3">
        <f>2506.7+(382.2-704.3)+(-1.278417+(-0.194922--0.359193))+0-0-0</f>
        <v>2183.485854</v>
      </c>
      <c r="T112" s="3">
        <f>2490.2+(400.7-595.4)+(-3.810006+(-0.613071--0.910962))+0-0-0</f>
        <v>2291.987885</v>
      </c>
      <c r="U112" s="3">
        <f>2493.3+(422.3-608.5)+(0+(0-0))+0-0-0</f>
        <v>2307.1000000000004</v>
      </c>
      <c r="V112" s="3">
        <f>2495.7+(398.7-647.7)+(-1.272807+(-0.203337--0.330327))+0-0-0</f>
        <v>2245.5541829999997</v>
      </c>
      <c r="W112" s="3">
        <f>2497.5+(365.8-742)+(-6.368625+(-0.93279--1.8921))+0-0-0</f>
        <v>2115.8906850000003</v>
      </c>
      <c r="X112" s="3">
        <f>2499.9+(350.7-913.9)+(-8.924643+(-1.251999--3.262623))+0-0-0</f>
        <v>1929.785981</v>
      </c>
      <c r="Y112" s="3">
        <f>2500.5+(291.5-1003.1)+(1.275255+(0.148665-0.511581))+0-0-0</f>
        <v>1789.8123390000001</v>
      </c>
      <c r="Z112" s="3">
        <f>2510.7+(295.9-978.1)+(2.560914+(0.301818-0.997662))+0-0-0</f>
        <v>1830.3650699999998</v>
      </c>
      <c r="AA112" s="3">
        <f>2550.7+(372.6-867.6)+(-6.504285+(-0.95013--2.21238))+0-0-0</f>
        <v>2050.4579649999996</v>
      </c>
      <c r="AB112" s="3">
        <f>2519.7+(376-800.8)+(-3.855141+(-0.57528--1.225224))+0-0-0</f>
        <v>2091.6948029999994</v>
      </c>
      <c r="AC112" s="3">
        <f>2450.8+(386.9-731.9)+(-1.249908+(-0.197319--0.373269))+0-0-0</f>
        <v>2104.7260420000002</v>
      </c>
      <c r="AD112">
        <v>2099.9</v>
      </c>
      <c r="AE112" s="3">
        <f>2559+(391.4-850.5)+(0+(0-0))+0-0-0</f>
        <v>2099.9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2395+(422.7-764.2)+(-3.66435+(-0.646731--1.169226))+0-0-0</f>
        <v>2050.3581450000001</v>
      </c>
      <c r="G113" s="3">
        <f>2218.5+(414.9-689.7)+(-5.657175+(-1.057995--1.758735))+0-0-0</f>
        <v>1938.7435649999998</v>
      </c>
      <c r="H113" s="3">
        <f>1930.6+(412.2-512.1)+(-0.984606+(-0.210222--0.261171))+0-0-0</f>
        <v>1829.7663429999998</v>
      </c>
      <c r="I113" s="3">
        <f>1806.9+(408.5-465.1)+(-2.764557+(-0.625005--0.711603))+0-0-0</f>
        <v>1747.6220410000001</v>
      </c>
      <c r="J113" s="3">
        <f>1758.6+(354.9-435.5)+(-0.896886+(-0.180999--0.222105))+0-0-0</f>
        <v>1677.1442199999999</v>
      </c>
      <c r="K113" s="3">
        <f>1646.8+(345.2-441.2)+(-8.39868+(-1.76052--2.25012))+0-0-0</f>
        <v>1542.8909200000001</v>
      </c>
      <c r="L113" s="3">
        <f>1646.6+(364.2-627.3)+(-5.038596+(-1.114452--1.919538))+0-0-0</f>
        <v>1379.26649</v>
      </c>
      <c r="M113" s="3">
        <f>1792.9+(376.5-767.5)+(1.828758+(0.38403-0.78285))+0-0-0</f>
        <v>1403.3299380000001</v>
      </c>
      <c r="N113" s="3">
        <f>2137.1+(380.8-980.1)+(2.179842+(0.388416-0.999702))+0-0-0</f>
        <v>1539.3685559999999</v>
      </c>
      <c r="O113" s="3">
        <f>2283.2+(357.8-1025.7)+(-2.328864+(-0.364956--1.046214))+0-0-0</f>
        <v>1613.6523939999997</v>
      </c>
      <c r="P113" s="3">
        <f>2421+(350-1011)+(1.23471+(0.1785-0.51561))+0-0-0</f>
        <v>1760.8976</v>
      </c>
      <c r="Q113" s="3">
        <f>2480.5+(336.2-1018)+(1.265055+(0.171462-0.51918))+0-0-0</f>
        <v>1799.6173370000001</v>
      </c>
      <c r="R113" s="3">
        <f>2489.7+(299.4-955)+(0+(0-0))+0-0-0</f>
        <v>1834.1</v>
      </c>
      <c r="S113" s="3">
        <f>2617.2+(283.8-1001.8)+(1.334772+(0.144738-0.510918))+0-0-0</f>
        <v>1900.1685919999998</v>
      </c>
      <c r="T113" s="3">
        <f>2621.4+(317.3-1007.8)+(2.673828+(0.323646-1.027956))+0-0-0</f>
        <v>1932.8695180000002</v>
      </c>
      <c r="U113" s="3">
        <f>2624.8+(302.2-1021.2)+(-4.015944+(-0.462366--1.562436))+0-0-0</f>
        <v>1902.8841260000002</v>
      </c>
      <c r="V113" s="3">
        <f>2616.6+(282.1-1036.5)+(-1.334466+(-0.143871--0.528615))+0-0-0</f>
        <v>1861.2502779999998</v>
      </c>
      <c r="W113" s="3">
        <f>2561.3+(334.7-1113.1)+(-5.225052+(-0.682788--2.270724))+0-0-0</f>
        <v>1779.2628840000002</v>
      </c>
      <c r="X113" s="3">
        <f>2421.4+(339.6-1093.9)+(-4.939656+(-0.692784--2.231556))+0-0-0</f>
        <v>1663.699116</v>
      </c>
      <c r="Y113" s="3">
        <f>2336.1+(258.7-989.5)+(-3.574233+(-0.395811--1.513935))+0-0-0</f>
        <v>1602.843891</v>
      </c>
      <c r="Z113" s="3">
        <f>2449.5+(310.1-1021.4)+(1.249245+(0.158151-0.520914))+0-0-0</f>
        <v>1739.0864819999999</v>
      </c>
      <c r="AA113" s="3">
        <f>2560.4+(375.5-1027.9)+(-3.917412+(-0.574515--1.572687))+0-0-0</f>
        <v>1905.0807600000001</v>
      </c>
      <c r="AB113" s="3">
        <f>2518.2+(371-960.2)+(-1.284282+(-0.18921--0.489702))+0-0-0</f>
        <v>1928.0162099999998</v>
      </c>
      <c r="AC113" s="3">
        <f>2481.3+(368.3-918)+(-2.530926+(-0.375666--0.93636))+0-0-0</f>
        <v>1929.6297680000002</v>
      </c>
      <c r="AD113">
        <v>1912.1</v>
      </c>
      <c r="AE113" s="3">
        <f>2561+(389.1-1038)+(0+(0-0))+0-0-0</f>
        <v>1912.1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2411.9+(356.5-902.3)+(-2.460138+(-0.36363--0.920346))+0-0-0</f>
        <v>1864.196578</v>
      </c>
      <c r="G114" s="3">
        <f>2062.7+(371.5-675.6)+(-6.311862+(-1.13679--2.067336))+0-0-0</f>
        <v>1753.2186839999999</v>
      </c>
      <c r="H114" s="3">
        <f>1744.2+(430.1-516.3)+(-0.889542+(-0.219351--0.263313))+0-0-0</f>
        <v>1657.1544200000001</v>
      </c>
      <c r="I114" s="3">
        <f>1684.7+(387.6-483.7)+(-3.436788+(-0.790704--0.986748))+0-0-0</f>
        <v>1585.3592560000002</v>
      </c>
      <c r="J114" s="3">
        <f>1608.6+(386.9-483.6)+(0.820386+(0.197319-0.246636))+0-0-0</f>
        <v>1512.6710689999998</v>
      </c>
      <c r="K114" s="3">
        <f>1608+(393-586.8)+(-0.82008+(-0.20043--0.299268))+0-0-0</f>
        <v>1413.478758</v>
      </c>
      <c r="L114" s="3">
        <f>1532.6+(319.3-562.3)+(-3.90813+(-0.814215--1.433865))+0-0-0</f>
        <v>1286.31152</v>
      </c>
      <c r="M114" s="3">
        <f>1748+(255.1-671.7)+(0+(0-0))+0-0-0</f>
        <v>1331.4</v>
      </c>
      <c r="N114" s="3">
        <f>2160.5+(248-956.8)+(0+(0-0))+0-0-0</f>
        <v>1451.7</v>
      </c>
      <c r="O114" s="3">
        <f>2407.9+(273.9-1144.7)+(1.228029+(0.139689-0.583797))+0-0-0</f>
        <v>1537.8839209999999</v>
      </c>
      <c r="P114" s="3">
        <f>2521.8+(358.3-1263)+(-1.286118+(-0.182733--0.64413))+0-0-0</f>
        <v>1616.2752790000002</v>
      </c>
      <c r="Q114" s="3">
        <f>2525.6+(364.8-1217.6)+(2.576112+(0.372096-1.241952))+0-0-0</f>
        <v>1674.5062559999999</v>
      </c>
      <c r="R114" s="3">
        <f>2518.1+(393.3-1213.2)+(5.136924+(0.802332-2.474928))+0-0-0</f>
        <v>1701.6643279999998</v>
      </c>
      <c r="S114" s="3">
        <f>2541.6+(389.2-1206.5)+(-1.296216+(-0.198492--0.615315))+0-0-0</f>
        <v>1723.420607</v>
      </c>
      <c r="T114" s="3">
        <f>2512.2+(371-1140.9)+(-1.281222+(-0.18921--0.581859))+0-0-0</f>
        <v>1741.4114269999998</v>
      </c>
      <c r="U114" s="3">
        <f>2463.6+(353.2-1114.7)+(-2.512872+(-0.360264--1.136994))+0-0-0</f>
        <v>1700.3638579999999</v>
      </c>
      <c r="V114" s="3">
        <f>2472.1+(300-1065.3)+(-2.521542+(-0.306--1.086606))+0-0-0</f>
        <v>1705.059064</v>
      </c>
      <c r="W114" s="3">
        <f>2491.3+(337.8-1158.4)+(-3.811689+(-0.516834--1.772352))+0-0-0</f>
        <v>1668.1438290000001</v>
      </c>
      <c r="X114" s="3">
        <f>2506.6+(313.7-1220.6)+(-7.670196+(-0.959922--3.735036))+0-0-0</f>
        <v>1594.804918</v>
      </c>
      <c r="Y114" s="3">
        <f>2396+(218.4-1054.3)+(-2.44392+(-0.222768--1.075386))+0-0-0</f>
        <v>1558.5086979999999</v>
      </c>
      <c r="Z114" s="3">
        <f>2471.9+(266.5-1045.6)+(3.782007+(0.407745-1.599768))+0-0-0</f>
        <v>1695.3899840000001</v>
      </c>
      <c r="AA114" s="3">
        <f>2569.9+(341.9-1048.7)+(-3.931947+(-0.523107--1.604511))+0-0-0</f>
        <v>1860.2494569999999</v>
      </c>
      <c r="AB114" s="3">
        <f>2569.7+(353.5-1068.8)+(2.621094+(0.36057-1.090176))+0-0-0</f>
        <v>1856.2914879999998</v>
      </c>
      <c r="AC114" s="3">
        <f>2549.3+(350.9-1071.7)+(-5.200572+(-0.715836--2.186268))+0-0-0</f>
        <v>1824.7698600000001</v>
      </c>
      <c r="AD114">
        <v>1857.2999999999997</v>
      </c>
      <c r="AE114" s="3">
        <f>2568+(342.2-1052.9)+(0+(0-0))+0-0-0</f>
        <v>1857.3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2305.7+(378.4-935)+(0+(0-0))+0-0-0</f>
        <v>1749.1</v>
      </c>
      <c r="G115" s="3">
        <f>1893.5+(406.1-665.7)+(0+(0-0))+0-0-0</f>
        <v>1633.9</v>
      </c>
      <c r="H115" s="3">
        <f>1618.2+(434.7-513.9)+(-2.475846+(-0.665091--0.786267))+0-0-0</f>
        <v>1536.6453300000001</v>
      </c>
      <c r="I115" s="3">
        <f>1556.9+(376.3-463.7)+(-3.176076+(-0.767652--0.945948))+0-0-0</f>
        <v>1466.5022200000001</v>
      </c>
      <c r="J115" s="3">
        <f>1531.6+(297.4-409.7)+(-2.343348+(-0.455022--0.626841))+0-0-0</f>
        <v>1417.128471</v>
      </c>
      <c r="K115" s="3">
        <f>1624.7+(294.3-576.3)+(-5.800179+(-1.050651--2.057391))+0-0-0</f>
        <v>1337.906561</v>
      </c>
      <c r="L115" s="3">
        <f>1636.1+(267.1-686)+(-5.840877+(-0.953547--2.44902))+0-0-0</f>
        <v>1212.8545959999999</v>
      </c>
      <c r="M115" s="3">
        <f>1885.7+(236.1-826.4)+(1.923414+(0.240822-0.842928))+0-0-0</f>
        <v>1296.7213080000001</v>
      </c>
      <c r="N115" s="3">
        <f>2343.1+(283.6-1184.3)+(3.584943+(0.433908-1.811979))+0-0-0</f>
        <v>1444.6068720000001</v>
      </c>
      <c r="O115" s="3">
        <f>2335.3+(292.2-1066)+(0+(0-0))+0-0-0</f>
        <v>1561.5000000000002</v>
      </c>
      <c r="P115" s="3">
        <f>2356.4+(317.3-1011)+(0+(0-0))+0-0-0</f>
        <v>1662.7</v>
      </c>
      <c r="Q115" s="3">
        <f>2516.7+(348.1-1116.3)+(-3.850551+(-0.532593--1.707939))+0-0-0</f>
        <v>1745.824795</v>
      </c>
      <c r="R115" s="3">
        <f>2639.3+(352.3-1161.5)+(-4.038129+(-0.539019--1.777095))+0-0-0</f>
        <v>1827.2999470000002</v>
      </c>
      <c r="S115" s="3">
        <f>2614.4+(359.2-1066.9)+(-2.666688+(-0.366384--1.088238))+0-0-0</f>
        <v>1904.7551660000001</v>
      </c>
      <c r="T115" s="3">
        <f>2614.4+(402.2-1040.4)+(-5.333376+(-0.820488--2.122416))+0-0-0</f>
        <v>1972.1685520000001</v>
      </c>
      <c r="U115" s="3">
        <f>2630+(383.8-1049.2)+(-6.7065+(-0.97869--2.67546))+0-0-0</f>
        <v>1959.5902699999999</v>
      </c>
      <c r="V115" s="3">
        <f>2648.8+(356.9-1098)+(-8.105328+(-1.092114--3.35988))+0-0-0</f>
        <v>1901.8624380000003</v>
      </c>
      <c r="W115" s="3">
        <f>2652.9+(405.7-1243.2)+(-8.117874+(-1.241442--3.804192))+0-0-0</f>
        <v>1809.8448760000001</v>
      </c>
      <c r="X115" s="3">
        <f>2633.5+(409.1-1352.9)+(-8.05851+(-1.251846--4.139874))+0-0-0</f>
        <v>1684.5295179999998</v>
      </c>
      <c r="Y115" s="3">
        <f>2465.1+(257.9-1098.5)+(-6.286005+(-0.657645--2.801175))+0-0-0</f>
        <v>1620.3575249999999</v>
      </c>
      <c r="Z115" s="3">
        <f>2383.1+(306.7-947)+(0+(0-0))+0-0-0</f>
        <v>1742.8</v>
      </c>
      <c r="AA115" s="3">
        <f>2562.2+(366.1-1005.7)+(-6.53361+(-0.933555--2.564535))+0-0-0</f>
        <v>1917.6973699999999</v>
      </c>
      <c r="AB115" s="3">
        <f>2544.8+(388.1-988.9)+(-10.382784+(-1.583448--4.034712))+0-0-0</f>
        <v>1936.0684800000001</v>
      </c>
      <c r="AC115" s="3">
        <f>2483.2+(434.9-989.2)+(-1.266432+(-0.221799--0.504492))+0-0-0</f>
        <v>1927.9162609999996</v>
      </c>
      <c r="AD115">
        <v>1929.1999999999998</v>
      </c>
      <c r="AE115" s="3">
        <f>2560+(365.6-996.4)+(0+(0-0))+0-0-0</f>
        <v>1929.2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2473.9+(410.6-1040)+(0+(0-0))+0-0-0</f>
        <v>1844.5</v>
      </c>
      <c r="G116" s="3">
        <f>2265.3+(394.5-921.5)+(1.155303+(0.201195-0.469965))+0-0-0</f>
        <v>1739.1865330000003</v>
      </c>
      <c r="H116" s="3">
        <f>1760.8+(393.5-519.1)+(-0.898008+(-0.200685--0.264741))+0-0-0</f>
        <v>1634.3660479999999</v>
      </c>
      <c r="I116" s="3">
        <f>1545.2+(416.5-407.9)+(-0.788052+(-0.212415--0.208029))+0-0-0</f>
        <v>1553.0075620000002</v>
      </c>
      <c r="J116" s="3">
        <f>1539.8+(397.9-448)+(-2.355894+(-0.608787--0.68544))+0-0-0</f>
        <v>1487.4207589999999</v>
      </c>
      <c r="K116" s="3">
        <f>1534.3+(377.5-512.1)+(-3.912465+(-0.962625--1.305855))+0-0-0</f>
        <v>1396.1307649999999</v>
      </c>
      <c r="L116" s="3">
        <f>1528.1+(336.7-603.8)+(-1.558662+(-0.343434--0.615876))+0-0-0</f>
        <v>1259.71378</v>
      </c>
      <c r="M116" s="3">
        <f>1666.2+(332-680.5)+(0.849762+(0.16932-0.347055))+0-0-0</f>
        <v>1318.3720270000001</v>
      </c>
      <c r="N116" s="3">
        <f>1842.5+(360.1-762.6)+(0.939675+(0.183651-0.388926))+0-0-0</f>
        <v>1440.7344000000001</v>
      </c>
      <c r="O116" s="3">
        <f>2344.1+(352.9-1133.3)+(-2.390982+(-0.359958--1.155966))+0-0-0</f>
        <v>1562.1050259999997</v>
      </c>
      <c r="P116" s="3">
        <f>2463.8+(351.7-1148.9)+(0+(0-0))+0-0-0</f>
        <v>1666.6000000000001</v>
      </c>
      <c r="Q116" s="3">
        <f>2611+(369.9-1239.5)+(2.66322+(0.377298-1.26429))+0-0-0</f>
        <v>1743.176228</v>
      </c>
      <c r="R116" s="3">
        <f>2654.4+(370.7-1174.8)+(0+(0-0))+0-0-0</f>
        <v>1850.3000000000002</v>
      </c>
      <c r="S116" s="3">
        <f>2654.5+(397.8-1099.8)+(-5.41518+(-0.811512--2.243592))+0-0-0</f>
        <v>1948.5169000000001</v>
      </c>
      <c r="T116" s="3">
        <f>2651.4+(391.1-1035.9)+(-5.408856+(-0.797844--2.113236))+0-0-0</f>
        <v>2002.5065359999999</v>
      </c>
      <c r="U116" s="3">
        <f>2644.3+(399.2-1046.8)+(-6.742965+(-1.01796--2.66934))+0-0-0</f>
        <v>1991.6084150000004</v>
      </c>
      <c r="V116" s="3">
        <f>2647.8+(394.6-1128.1)+(-5.401512+(-0.804984--2.301324))+0-0-0</f>
        <v>1910.3948280000002</v>
      </c>
      <c r="W116" s="3">
        <f>2644.7+(425.2-1270.1)+(-6.743985+(-1.08426--3.238755))+0-0-0</f>
        <v>1795.2105099999999</v>
      </c>
      <c r="X116" s="3">
        <f>2600.9+(363.9-1287.1)+(-10.611672+(-1.484712--5.251368))+0-0-0</f>
        <v>1670.8549840000003</v>
      </c>
      <c r="Y116" s="3">
        <f>2525.1+(195.4-1120.4)+(-7.726806+(-0.597924--3.428424))+0-0-0</f>
        <v>1595.2036939999998</v>
      </c>
      <c r="Z116" s="3">
        <f>2549+(276.5-1113)+(-1.29999+(-0.141015--0.56763))+0-0-0</f>
        <v>1711.6266250000001</v>
      </c>
      <c r="AA116" s="3">
        <f>2559.2+(304.8-1017.5)+(-7.831152+(-0.932688--3.11355))+0-0-0</f>
        <v>1840.8497099999997</v>
      </c>
      <c r="AB116" s="3">
        <f>2559.6+(365.5-1076.4)+(-5.221584+(-0.74562--2.195856))+0-0-0</f>
        <v>1844.9286519999998</v>
      </c>
      <c r="AC116" s="3">
        <f>2528.5+(352.1-1039.3)+(1.289535+(0.179571-0.530043))+0-0-0</f>
        <v>1842.2390630000002</v>
      </c>
      <c r="AD116">
        <v>1879.1999999999998</v>
      </c>
      <c r="AE116" s="3">
        <f>2555+(391.1-1066.9)+(0+(0-0))+0-0-0</f>
        <v>1879.1999999999998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2520+(361.9-1079.3)+(1.2852+(0.184569-0.550443))+0-0-0</f>
        <v>1803.5193259999999</v>
      </c>
      <c r="G117" s="3">
        <f>2507.5+(351.1-1114.4)+(-2.55765+(-0.358122--1.136688))+0-0-0</f>
        <v>1742.4209159999998</v>
      </c>
      <c r="H117" s="3">
        <f>2284.3+(335.1-932.1)+(-3.494979+(-0.512703--1.426113))+0-0-0</f>
        <v>1684.7184310000002</v>
      </c>
      <c r="I117" s="3">
        <f>1937.4+(344.9-708.4)+(-0.988074+(-0.175899--0.361284))+0-0-0</f>
        <v>1573.097311</v>
      </c>
      <c r="J117" s="3">
        <f>1883.4+(294.5-678.5)+(0.960534+(0.150195-0.346035))+0-0-0</f>
        <v>1500.1646940000001</v>
      </c>
      <c r="K117" s="3">
        <f>1884.3+(252.3-736.6)+(-6.726951+(-0.900711--2.629662))+0-0-0</f>
        <v>1395.002</v>
      </c>
      <c r="L117" s="3">
        <f>1882.7+(169.6-797.1)+(-2.880531+(-0.259488--1.219563))+0-0-0</f>
        <v>1253.279544</v>
      </c>
      <c r="M117" s="3">
        <f>1880.8+(155.3-813.6)+(-3.836832+(-0.316812--1.659744))+0-0-0</f>
        <v>1220.0061000000001</v>
      </c>
      <c r="N117" s="3">
        <f>2014.4+(143.3-874.1)+(-2.054688+(-0.146166--0.891582))+0-0-0</f>
        <v>1282.2907280000002</v>
      </c>
      <c r="O117" s="3">
        <f>2290+(121.3-1040.6)+(0+(0-0))+0-0-0</f>
        <v>1370.7</v>
      </c>
      <c r="P117" s="3">
        <f>2486.8+(128.4-1149.9)+(3.804804+(0.196452-1.759347))+0-0-0</f>
        <v>1467.5419090000003</v>
      </c>
      <c r="Q117" s="3">
        <f>2513.8+(138.7-1110)+(2.564076+(0.141474-1.1322))+0-0-0</f>
        <v>1544.0733500000001</v>
      </c>
      <c r="R117" s="3">
        <f>2571.5+(111.4-1064.6)+(-1.311465+(-0.056814--0.542946))+0-0-0</f>
        <v>1617.4746670000002</v>
      </c>
      <c r="S117" s="3">
        <f>2642.2+(125.5-1051)+(2.695044+(0.12801-1.07202))+0-0-0</f>
        <v>1718.4510339999997</v>
      </c>
      <c r="T117" s="3">
        <f>2635.2+(131.8-950.3)+(0+(0-0))+0-0-0</f>
        <v>1816.6999999999998</v>
      </c>
      <c r="U117" s="3">
        <f>2632.7+(119.7-902.7)+(-2.685354+(-0.122094--0.920754))+0-0-0</f>
        <v>1847.8133059999998</v>
      </c>
      <c r="V117" s="3">
        <f>2634+(126.4-928.5)+(-5.37336+(-0.257856--1.89414))+0-0-0</f>
        <v>1828.1629240000002</v>
      </c>
      <c r="W117" s="3">
        <f>2540.4+(158.4-930.1)+(-1.295604+(-0.080784--0.474351))+0-0-0</f>
        <v>1767.797963</v>
      </c>
      <c r="X117" s="3">
        <f>2489.6+(202.2-1044.1)+(-1.269696+(-0.103122--0.532491))+0-0-0</f>
        <v>1646.8596730000002</v>
      </c>
      <c r="Y117" s="3">
        <f>2396.1+(158.9-1000.4)+(-4.888044+(-0.324156--2.040816))+0-0-0</f>
        <v>1551.4286159999999</v>
      </c>
      <c r="Z117" s="3">
        <f>2453.6+(133.9-931.1)+(-2.502672+(-0.136578--0.949722))+0-0-0</f>
        <v>1654.7104719999998</v>
      </c>
      <c r="AA117" s="3">
        <f>2523+(218.9-893.6)+(-3.86019+(-0.334917--1.367208))+0-0-0</f>
        <v>1845.4721010000001</v>
      </c>
      <c r="AB117" s="3">
        <f>2521.7+(261.7-893)+(-7.716402+(-0.800802--2.73258))+0-0-0</f>
        <v>1884.615376</v>
      </c>
      <c r="AC117" s="3">
        <f>2354.2+(363.8-840.7)+(3.601926+(0.556614-1.286271))+0-0-0</f>
        <v>1880.1722689999997</v>
      </c>
      <c r="AD117">
        <v>1841.4</v>
      </c>
      <c r="AE117" s="3">
        <f>2519+(201.8-879.4)+(0+(0-0))+0-0-0</f>
        <v>1841.4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2223.2+(409.4-746.9)+(-2.267664+(-0.417588--0.761838))+0-0-0</f>
        <v>1883.7765859999997</v>
      </c>
      <c r="G118" s="3">
        <f>2005.3+(393.6-606.6)+(-7.158921+(-1.405152--2.165562))+0-0-0</f>
        <v>1785.9014889999999</v>
      </c>
      <c r="H118" s="3">
        <f>1657.5+(485.6-462)+(0+(0-0))+0-0-0</f>
        <v>1681.1</v>
      </c>
      <c r="I118" s="3">
        <f>1497.3+(482.6-374.2)+(-0.763623+(-0.246126--0.190842))+0-0-0</f>
        <v>1604.881093</v>
      </c>
      <c r="J118" s="3">
        <f>1497.2+(424.6-388.3)+(0+(0-0))+0-0-0</f>
        <v>1533.5</v>
      </c>
      <c r="K118" s="3">
        <f>1497.5+(382.2-455)+(0.763725+(0.194922-0.23205))+0-0-0</f>
        <v>1425.4265970000001</v>
      </c>
      <c r="L118" s="3">
        <f>1496.9+(347.2-556.6)+(-3.053676+(-0.708288--1.135464))+0-0-0</f>
        <v>1284.8734999999999</v>
      </c>
      <c r="M118" s="3">
        <f>1719.7+(291.3-646.3)+(0+(0-0))+0-0-0</f>
        <v>1364.7</v>
      </c>
      <c r="N118" s="3">
        <f>2197.4+(245.2-914.4)+(-1.120674+(-0.125052--0.466344))+0-0-0</f>
        <v>1527.4206180000001</v>
      </c>
      <c r="O118" s="3">
        <f>2235+(257.4-831.2)+(0+(0-0))+0-0-0</f>
        <v>1661.1999999999998</v>
      </c>
      <c r="P118" s="3">
        <f>2402.7+(263-887)+(0+(0-0))+0-0-0</f>
        <v>1778.6999999999998</v>
      </c>
      <c r="Q118" s="3">
        <f>2549.4+(256.3-925.5)+(1.300194+(0.130713-0.472005))+0-0-0</f>
        <v>1881.1589020000001</v>
      </c>
      <c r="R118" s="3">
        <f>2708.6+(241.7-934)+(0+(0-0))+0-0-0</f>
        <v>2016.3</v>
      </c>
      <c r="S118" s="3">
        <f>2711.6+(240.7-800.8)+(0+(0-0))+0-0-0</f>
        <v>2151.5</v>
      </c>
      <c r="T118" s="3">
        <f>2707.9+(256.7-730)+(-2.762058+(-0.261834--0.7446))+0-0-0</f>
        <v>2232.3207079999997</v>
      </c>
      <c r="U118" s="3">
        <f>2704.1+(265.8-732.9)+(-2.758182+(-0.271116--0.747558))+0-0-0</f>
        <v>2234.7182600000001</v>
      </c>
      <c r="V118" s="3">
        <f>2708.8+(258.2-775.7)+(0+(0-0))+0-0-0</f>
        <v>2191.3000000000002</v>
      </c>
      <c r="W118" s="3">
        <f>2703.4+(298-914.3)+(-1.378734+(-0.15198--0.466293))+0-0-0</f>
        <v>2086.0355790000003</v>
      </c>
      <c r="X118" s="3">
        <f>2501.3+(424.3-1012.9)+(-2.551326+(-0.432786--1.033158))+0-0-0</f>
        <v>1910.7490460000004</v>
      </c>
      <c r="Y118" s="3">
        <f>2255.4+(442.6-946.8)+(-1.150254+(-0.225726--0.482868))+0-0-0</f>
        <v>1750.3068880000003</v>
      </c>
      <c r="Z118" s="3">
        <f>2307.2+(361.3-850.4)+(1.176672+(0.184263-0.433704))+0-0-0</f>
        <v>1819.0272309999998</v>
      </c>
      <c r="AA118" s="3">
        <f>2514.1+(388-919.7)+(-7.693146+(-1.18728--2.814282))+0-0-0</f>
        <v>1976.333856</v>
      </c>
      <c r="AB118" s="3">
        <f>2522.7+(421-928.9)+(-3.859731+(-0.64413--1.421217))+0-0-0</f>
        <v>2011.7173559999997</v>
      </c>
      <c r="AC118" s="3">
        <f>2530.3+(437.5-930.4)+(-2.580906+(-0.44625--0.949008))+0-0-0</f>
        <v>2035.321852</v>
      </c>
      <c r="AD118">
        <v>1986.9</v>
      </c>
      <c r="AE118" s="3">
        <f>2518+(399.9-931)+(0+(0-0))+0-0-0</f>
        <v>1986.9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2529.1+(344.1-874.5)+(-2.579682+(-0.350982--0.89199))+0-0-0</f>
        <v>1996.6613259999999</v>
      </c>
      <c r="G119" s="3">
        <f>2430.1+(329.9-850.3)+(-4.957404+(-0.672996--1.734612))+0-0-0</f>
        <v>1905.8042119999998</v>
      </c>
      <c r="H119" s="3">
        <f>2162.8+(307-668.9)+(-3.309084+(-0.46971--1.023417))+0-0-0</f>
        <v>1798.1446230000001</v>
      </c>
      <c r="I119" s="3">
        <f>1990.9+(331.6-609.1)+(-2.030718+(-0.338232--0.621282))+0-0-0</f>
        <v>1711.6523320000001</v>
      </c>
      <c r="J119" s="3">
        <f>1992.8+(324.8-696.2)+(-5.08164+(-0.82824--1.77531))+0-0-0</f>
        <v>1617.2654299999999</v>
      </c>
      <c r="K119" s="3">
        <f>1987+(261.9-745.6)+(-5.06685+(-0.667845--1.90128))+0-0-0</f>
        <v>1499.4665849999999</v>
      </c>
      <c r="L119" s="3">
        <f>1680+(279.7-633)+(-5.1408+(-0.855882--1.93698))+0-0-0</f>
        <v>1322.640298</v>
      </c>
      <c r="M119" s="3">
        <f>1583.7+(278.2-541.3)+(-0.807687+(-0.141882--0.276063))+0-0-0</f>
        <v>1319.926494</v>
      </c>
      <c r="N119" s="3">
        <f>1612+(276.9-495)+(-0.82212+(-0.141219--0.25245))+0-0-0</f>
        <v>1393.1891110000001</v>
      </c>
      <c r="O119" s="3">
        <f>1867.9+(221.8-585)+(-0.952629+(-0.113118--0.29835))+0-0-0</f>
        <v>1503.932603</v>
      </c>
      <c r="P119" s="3">
        <f>2209.6+(186.4-774.4)+(0+(0-0))+0-0-0</f>
        <v>1621.6</v>
      </c>
      <c r="Q119" s="3">
        <f>2465.2+(154.4-888.9)+(-1.257252+(-0.078744--0.453339))+0-0-0</f>
        <v>1729.8173429999997</v>
      </c>
      <c r="R119" s="3">
        <f>2549.4+(151.6-863.7)+(-3.900582+(-0.231948--1.321461))+0-0-0</f>
        <v>1834.4889310000001</v>
      </c>
      <c r="S119" s="3">
        <f>2543.4+(157-737.8)+(-2.594268+(-0.16014--0.752556))+0-0-0</f>
        <v>1960.598148</v>
      </c>
      <c r="T119" s="3">
        <f>2539.7+(170.5-653.6)+(-2.590494+(-0.17391--0.666672))+0-0-0</f>
        <v>2054.5022679999997</v>
      </c>
      <c r="U119" s="3">
        <f>2544.9+(168.9-650.6)+(-1.297899+(-0.086139--0.331806))+0-0-0</f>
        <v>2062.1477679999998</v>
      </c>
      <c r="V119" s="3">
        <f>2547.1+(156.1-717.5)+(-5.196084+(-0.318444--1.4637))+0-0-0</f>
        <v>1981.6491719999999</v>
      </c>
      <c r="W119" s="3">
        <f>2553.1+(199.5-897.9)+(-7.812486+(-0.61047--2.747574))+0-0-0</f>
        <v>1849.0246179999999</v>
      </c>
      <c r="X119" s="3">
        <f>2557.3+(245.5-1095.1)+(-5.216892+(-0.50082--2.234004))+0-0-0</f>
        <v>1704.2162920000003</v>
      </c>
      <c r="Y119" s="3">
        <f>2330.7+(175.6-886.6)+(-1.188657+(-0.089556--0.452166))+0-0-0</f>
        <v>1618.8739529999998</v>
      </c>
      <c r="Z119" s="3">
        <f>2486.1+(154.2-896.3)+(-1.267911+(-0.078642--0.457113))+0-0-0</f>
        <v>1743.1105600000001</v>
      </c>
      <c r="AA119" s="3">
        <f>2643+(151.7-872)+(-5.39172+(-0.309468--1.77888))+0-0-0</f>
        <v>1918.7776920000001</v>
      </c>
      <c r="AB119" s="3">
        <f>2641.1+(233.4-912.5)+(-5.387844+(-0.476136--1.8615))+0-0-0</f>
        <v>1957.9975199999999</v>
      </c>
      <c r="AC119" s="3">
        <f>2639.1+(316.8-969.5)+(-4.037823+(-0.484704--1.483335))+0-0-0</f>
        <v>1983.3608079999999</v>
      </c>
      <c r="AD119">
        <v>1949.9</v>
      </c>
      <c r="AE119" s="3">
        <f>2645+(168.4-863.5)+(0+(0-0))+0-0-0</f>
        <v>1949.9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2640.9+(417.1-1057.2)+(-6.734295+(-1.063605--2.69586))+0-0-0</f>
        <v>1995.6979600000002</v>
      </c>
      <c r="G120" s="3">
        <f>2349.7+(427.4-907.3)+(-8.388429+(-1.525818--3.239061))+0-0-0</f>
        <v>1863.1248139999998</v>
      </c>
      <c r="H120" s="3">
        <f>1914.1+(461.4-632.6)+(0+(0-0))+0-0-0</f>
        <v>1742.8999999999999</v>
      </c>
      <c r="I120" s="3">
        <f>1675.8+(458.9-481.4)+(-7.691922+(-2.106351--2.209626))+0-0-0</f>
        <v>1645.7113529999999</v>
      </c>
      <c r="J120" s="3">
        <f>1641+(412.3-478)+(-1.67382+(-0.420546--0.48756))+0-0-0</f>
        <v>1573.6931939999999</v>
      </c>
      <c r="K120" s="3">
        <f>1643.4+(350.4-529)+(-7.543206+(-1.608336--2.42811))+0-0-0</f>
        <v>1458.0765680000002</v>
      </c>
      <c r="L120" s="3">
        <f>1641.8+(309.3-628.6)+(-6.698544+(-1.261944--2.564688))+0-0-0</f>
        <v>1317.1042</v>
      </c>
      <c r="M120" s="3">
        <f>1779.8+(292.8-681.6)+(0.907698+(0.149328-0.347616))+0-0-0</f>
        <v>1391.7094099999999</v>
      </c>
      <c r="N120" s="3">
        <f>2010+(370-825.4)+(0+(0-0))+0-0-0</f>
        <v>1554.6</v>
      </c>
      <c r="O120" s="3">
        <f>2340.1+(396.4-1059.9)+(0+(0-0))+0-0-0</f>
        <v>1676.6</v>
      </c>
      <c r="P120" s="3">
        <f>2460.1+(377.7-1016.7)+(1.254651+(0.192627-0.518517))+0-0-0</f>
        <v>1822.0287609999998</v>
      </c>
      <c r="Q120" s="3">
        <f>2448.5+(405-945.8)+(1.248735+(0.20655-0.482358))+0-0-0</f>
        <v>1908.6729270000001</v>
      </c>
      <c r="R120" s="3">
        <f>2518.1+(369.5-852.1)+(0+(0-0))+0-0-0</f>
        <v>2035.5</v>
      </c>
      <c r="S120" s="3">
        <f>2631.5+(338.4-776.3)+(-1.342065+(-0.172584--0.395913))+0-0-0</f>
        <v>2192.481264</v>
      </c>
      <c r="T120" s="3">
        <f>2630.7+(360.1-684.8)+(-1.341657+(-0.183651--0.349248))+0-0-0</f>
        <v>2304.8239400000002</v>
      </c>
      <c r="U120" s="3">
        <f>2628.2+(360.7-694.6)+(-2.680764+(-0.367914--0.708492))+0-0-0</f>
        <v>2291.9598139999998</v>
      </c>
      <c r="V120" s="3">
        <f>2601.9+(385.1-765.7)+(1.326969+(0.196401-0.390507))+0-0-0</f>
        <v>2222.432863</v>
      </c>
      <c r="W120" s="3">
        <f>2604.6+(420.1-934.9)+(-1.328346+(-0.214251--0.476799))+0-0-0</f>
        <v>2088.7342020000001</v>
      </c>
      <c r="X120" s="3">
        <f>2540.4+(406.3-1042.5)+(-6.47802+(-1.036065--2.658375))+0-0-0</f>
        <v>1899.34429</v>
      </c>
      <c r="Y120" s="3">
        <f>2323.7+(298.4-861)+(-5.925435+(-0.76092--2.19555))+0-0-0</f>
        <v>1756.609195</v>
      </c>
      <c r="Z120" s="3">
        <f>2404.5+(273.9-823.3)+(2.45259+(0.279378-0.839766))+0-0-0</f>
        <v>1856.9922019999999</v>
      </c>
      <c r="AA120" s="3">
        <f>2546.5+(358.7-848.8)+(-2.59743+(-0.365874--0.865776))+0-0-0</f>
        <v>2054.3024720000003</v>
      </c>
      <c r="AB120" s="3">
        <f>2547.8+(404.1-862.5)+(-1.299378+(-0.206091--0.439875))+0-0-0</f>
        <v>2088.3344059999999</v>
      </c>
      <c r="AC120" s="3">
        <f>2473.7+(439.4-833.9)+(0+(0-0))+0-0-0</f>
        <v>2079.1999999999998</v>
      </c>
      <c r="AD120">
        <v>2063.1999999999998</v>
      </c>
      <c r="AE120" s="3">
        <f>2545+(357.9-839.7)+(0+(0-0))+0-0-0</f>
        <v>2063.1999999999998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2390.5+(425.4-781.1)+(-7.31493+(-1.301724--2.390166))+0-0-0</f>
        <v>2028.5735119999999</v>
      </c>
      <c r="G121" s="3">
        <f>2183+(381.9-653.8)+(-1.11333+(-0.194769--0.333438))+0-0-0</f>
        <v>1910.1253389999999</v>
      </c>
      <c r="H121" s="3">
        <f>1814.9+(435.2-469)+(-1.851198+(-0.443904--0.47838))+0-0-0</f>
        <v>1779.2832780000001</v>
      </c>
      <c r="I121" s="3">
        <f>1608.6+(460-383.6)+(-2.461158+(-0.7038--0.586908))+0-0-0</f>
        <v>1682.4219499999999</v>
      </c>
      <c r="J121" s="3">
        <f>1613.4+(414.1-417.1)+(-4.11417+(-1.055955--1.063605))+0-0-0</f>
        <v>1606.29348</v>
      </c>
      <c r="K121" s="3">
        <f>1533.2+(400.5-452.7)+(-3.127728+(-0.81702--0.923508))+0-0-0</f>
        <v>1477.97876</v>
      </c>
      <c r="L121" s="3">
        <f>1449.2+(344.8-477.1)+(-2.217276+(-0.527544--0.729963))+0-0-0</f>
        <v>1314.8851430000002</v>
      </c>
      <c r="M121" s="3">
        <f>1584.6+(352.7-554.9)+(-0.808146+(-0.179877--0.282999))+0-0-0</f>
        <v>1381.6949759999998</v>
      </c>
      <c r="N121" s="3">
        <f>1752.9+(450.7-677.9)+(1.787958+(0.459714-0.691458))+0-0-0</f>
        <v>1527.256214</v>
      </c>
      <c r="O121" s="3">
        <f>1966.8+(458.7-784.6)+(0+(0-0))+0-0-0</f>
        <v>1640.8999999999999</v>
      </c>
      <c r="P121" s="3">
        <f>2359.5+(417.8-973.7)+(2.40669+(0.426156-0.993174))+0-0-0</f>
        <v>1805.439672</v>
      </c>
      <c r="Q121" s="3">
        <f>2343.7+(435.1-890.2)+(2.390574+(0.443802-0.908004))+0-0-0</f>
        <v>1890.5263719999998</v>
      </c>
      <c r="R121" s="3">
        <f>2341.6+(451.8-750.1)+(0+(0-0))+0-0-0</f>
        <v>2043.3</v>
      </c>
      <c r="S121" s="3">
        <f>2365.2+(455.6-598.7)+(-2.412504+(-0.464712--0.610674))+0-0-0</f>
        <v>2219.8334580000001</v>
      </c>
      <c r="T121" s="3">
        <f>2363.5+(520-538.5)+(1.205385+(0.2652-0.274635))+0-0-0</f>
        <v>2346.1959499999998</v>
      </c>
      <c r="U121" s="3">
        <f>2364.2+(510.7-536.4)+(-3.617226+(-0.781371--0.820692))+0-0-0</f>
        <v>2334.9220949999999</v>
      </c>
      <c r="V121" s="3">
        <f>2364.3+(469.4-590.5)+(-4.823172+(-0.957576--1.20462))+0-0-0</f>
        <v>2238.6238720000001</v>
      </c>
      <c r="W121" s="3">
        <f>2365.4+(466.3-723.4)+(0+(0-0))+0-0-0</f>
        <v>2108.3000000000002</v>
      </c>
      <c r="X121" s="3">
        <f>2365.7+(430.4-881.1)+(-2.413014+(-0.439008--0.898722))+0-0-0</f>
        <v>1913.0466999999999</v>
      </c>
      <c r="Y121" s="3">
        <f>2257.4+(338.2-821.3)+(-3.453822+(-0.517446--1.256589))+0-0-0</f>
        <v>1771.5853210000002</v>
      </c>
      <c r="Z121" s="3">
        <f>2298.8+(376.5-799.7)+(0+(0-0))+0-0-0</f>
        <v>1875.6000000000001</v>
      </c>
      <c r="AA121" s="3">
        <f>2539.5+(399.2-834.4)+(0+(0-0))+0-0-0</f>
        <v>2104.3000000000002</v>
      </c>
      <c r="AB121" s="3">
        <f>2554.1+(414-826)+(-5.210364+(-0.84456--1.68504))+0-0-0</f>
        <v>2137.7301159999997</v>
      </c>
      <c r="AC121" s="3">
        <f>2506.3+(450.3-820.8)+(0+(0-0))+0-0-0</f>
        <v>2135.8000000000002</v>
      </c>
      <c r="AD121">
        <v>2109.9</v>
      </c>
      <c r="AE121" s="3">
        <f>2539+(402.4-831.5)+(0+(0-0))+0-0-0</f>
        <v>2109.9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2151.1+(448.5-549.6)+(-3.291183+(-0.686205--0.840888))+0-0-0</f>
        <v>2046.8634999999999</v>
      </c>
      <c r="G122" s="3">
        <f>1785.4+(509.4-367.9)+(-1.821108+(-0.519588--0.375258))+0-0-0</f>
        <v>1924.9345620000001</v>
      </c>
      <c r="H122" s="3">
        <f>1521+(546.4-268.7)+(-3.10284+(-1.114656--0.548148))+0-0-0</f>
        <v>1795.0306520000001</v>
      </c>
      <c r="I122" s="3">
        <f>1522.8+(473.3-273)+(-2.329884+(-0.724149--0.41769))+0-0-0</f>
        <v>1720.463657</v>
      </c>
      <c r="J122" s="3">
        <f>1499.7+(414.6-265)+(-3.059388+(-0.845784--0.5406))+0-0-0</f>
        <v>1645.9354280000002</v>
      </c>
      <c r="K122" s="3">
        <f>1437.2+(400.2-341)+(-2.931888+(-0.816408--0.69564))+0-0-0</f>
        <v>1493.347344</v>
      </c>
      <c r="L122" s="3">
        <f>1437.7+(370.3-482.7)+(-5.132589+(-1.321971--1.723239))+0-0-0</f>
        <v>1320.5686790000002</v>
      </c>
      <c r="M122" s="3">
        <f>1435.3+(356.3-420.1)+(0+(0-0))+0-0-0</f>
        <v>1371.5</v>
      </c>
      <c r="N122" s="3">
        <f>1608.5+(382.2-469.7)+(0+(0-0))+0-0-0</f>
        <v>1521</v>
      </c>
      <c r="O122" s="3">
        <f>2010.9+(376.2-716.1)+(0+(0-0))+0-0-0</f>
        <v>1671</v>
      </c>
      <c r="P122" s="3">
        <f>2099.8+(367.9-711.3)+(2.141796+(0.375258-0.725526))+0-0-0</f>
        <v>1758.1915280000001</v>
      </c>
      <c r="Q122" s="3">
        <f>2280.2+(335.7-861.3)+(1.162902+(0.171207-0.439263))+0-0-0</f>
        <v>1755.4948459999998</v>
      </c>
      <c r="R122" s="3">
        <f>2446.8+(382.1-770.2)+(2.495736+(0.389742-0.785604))+0-0-0</f>
        <v>2060.7998740000003</v>
      </c>
      <c r="S122" s="3">
        <f>2482.5+(372.4-682.9)+(-1.266075+(-0.189924--0.348279))+0-0-0</f>
        <v>2170.89228</v>
      </c>
      <c r="T122" s="3">
        <f>2437.5+(388-609.5)+(1.243125+(0.19788-0.310845))+0-0-0</f>
        <v>2217.1301600000002</v>
      </c>
      <c r="U122" s="3">
        <f>2592.1+(344.6-768.3)+(-6.609855+(-0.87873--1.959165))+0-0-0</f>
        <v>2162.8705800000002</v>
      </c>
      <c r="V122" s="3">
        <f>2618.5+(356-917.1)+(-5.34174+(-0.72624--1.870884))+0-0-0</f>
        <v>2053.2029040000002</v>
      </c>
      <c r="W122" s="3">
        <f>2584.1+(360.5-1025.3)+(-10.543128+(-1.47084--4.183224))+0-0-0</f>
        <v>1911.4692559999999</v>
      </c>
      <c r="X122" s="3">
        <f>2535.5+(292.6-1049.1)+(-9.051735+(-1.044582--3.745287))+0-0-0</f>
        <v>1772.64897</v>
      </c>
      <c r="Y122" s="3">
        <f>2403+(168.6-878.3)+(-2.45106+(-0.171972--0.895866))+0-0-0</f>
        <v>1691.5728340000003</v>
      </c>
      <c r="Z122" s="3">
        <f>2461.5+(188.4-816.9)+(-1.255365+(-0.096084--0.416619))+0-0-0</f>
        <v>1832.0651700000001</v>
      </c>
      <c r="AA122" s="3">
        <f>2543.9+(219.7-769)+(-5.189556+(-0.448188--1.56876))+0-0-0</f>
        <v>1990.5310160000001</v>
      </c>
      <c r="AB122" s="3">
        <f>2485.1+(316.5-718.5)+(-6.337005+(-0.807075--1.832175))+0-0-0</f>
        <v>2077.7880949999999</v>
      </c>
      <c r="AC122" s="3">
        <f>2218.5+(336.3-559.7)+(1.131435+(0.171513-0.285447))+0-0-0</f>
        <v>1996.1175009999999</v>
      </c>
      <c r="AD122">
        <v>2039.4</v>
      </c>
      <c r="AE122" s="3">
        <f>2547+(255.5-763.1)+(0+(0-0))+0-0-0</f>
        <v>2039.4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2030.7+(489.4-493)+(-1.035657+(-0.249594--0.25143))+0-0-0</f>
        <v>2026.0661789999999</v>
      </c>
      <c r="G123" s="3">
        <f>1720.8+(499.2-353.6)+(-1.755216+(-0.509184--0.360672))+0-0-0</f>
        <v>1864.4962719999999</v>
      </c>
      <c r="H123" s="3">
        <f>1608.2+(478.9-336.9)+(-0.820182+(-0.244239--0.171819))+0-0-0</f>
        <v>1749.3073980000001</v>
      </c>
      <c r="I123" s="3">
        <f>1472.3+(448.9-270.5)+(-4.505238+(-1.373634--0.82773))+0-0-0</f>
        <v>1645.6488579999998</v>
      </c>
      <c r="J123" s="3">
        <f>1315+(396.1-189.9)+(-3.35325+(-1.010055--0.484245))+0-0-0</f>
        <v>1517.3209400000001</v>
      </c>
      <c r="K123" s="3">
        <f>1217+(427.1-143.9)+(-4.34469+(-1.524747--0.513723))+0-0-0</f>
        <v>1494.844286</v>
      </c>
      <c r="L123" s="3">
        <f>1215.9+(425.8-310.8)+(-4.340763+(-1.520106--1.109556))+0-0-0</f>
        <v>1326.1486870000001</v>
      </c>
      <c r="M123" s="3">
        <f>1300+(424.9-356.9)+(-0.663+(-0.216699--0.182019))+0-0-0</f>
        <v>1367.30232</v>
      </c>
      <c r="N123" s="3">
        <f>1463.8+(394.9-353.3)+(1.493076+(0.402798-0.360366))+0-0-0</f>
        <v>1506.9355079999998</v>
      </c>
      <c r="O123" s="3">
        <f>1817.6+(341.8-507.3)+(1.853952+(0.348636-0.517446))+0-0-0</f>
        <v>1653.785142</v>
      </c>
      <c r="P123" s="3">
        <f>2164.3+(327-732.3)+(2.207586+(0.33354-0.746946))+0-0-0</f>
        <v>1760.7941800000003</v>
      </c>
      <c r="Q123" s="3">
        <f>2195.6+(313-647.2)+(0+(0-0))+0-0-0</f>
        <v>1861.3999999999999</v>
      </c>
      <c r="R123" s="3">
        <f>2175.1+(307.9-510.2)+(-3.327903+(-0.471087--0.780606))+0-0-0</f>
        <v>1969.781616</v>
      </c>
      <c r="S123" s="3">
        <f>2128+(340.9-360)+(-5.4264+(-0.869295--0.918))+0-0-0</f>
        <v>2103.522305</v>
      </c>
      <c r="T123" s="3">
        <f>2308.6+(362-421.9)+(0+(0-0))+0-0-0</f>
        <v>2248.6999999999998</v>
      </c>
      <c r="U123" s="3">
        <f>2460.7+(351.4-549.3)+(-5.019828+(-0.716856--1.120572))+0-0-0</f>
        <v>2258.1838879999996</v>
      </c>
      <c r="V123" s="3">
        <f>2580.1+(315.2-774.8)+(-2.631702+(-0.321504--0.790296))+0-0-0</f>
        <v>2118.33709</v>
      </c>
      <c r="W123" s="3">
        <f>2597.4+(322.5-965.1)+(-3.974022+(-0.493425--1.476603))+0-0-0</f>
        <v>1951.8091560000003</v>
      </c>
      <c r="X123" s="3">
        <f>2618.4+(262.4-1064.7)+(-6.67692+(-0.66912--2.714985))+0-0-0</f>
        <v>1811.4689449999998</v>
      </c>
      <c r="Y123" s="3">
        <f>2571.9+(193.2-1036.6)+(-2.623338+(-0.197064--1.057332))+0-0-0</f>
        <v>1726.7369300000003</v>
      </c>
      <c r="Z123" s="3">
        <f>2479.7+(136.2-771)+(0+(0-0))+0-0-0</f>
        <v>1844.8999999999999</v>
      </c>
      <c r="AA123" s="3">
        <f>2523.5+(221.2-769.2)+(-6.434925+(-0.56406--1.96146))+0-0-0</f>
        <v>1970.462475</v>
      </c>
      <c r="AB123" s="3">
        <f>2540.7+(296.8-837.4)+(-1.295757+(-0.151368--0.427074))+0-0-0</f>
        <v>1999.0799489999999</v>
      </c>
      <c r="AC123" s="3">
        <f>2470.3+(344.3-813.9)+(-1.259853+(-0.175593--0.415089))+0-0-0</f>
        <v>1999.6796430000002</v>
      </c>
      <c r="AD123">
        <v>1998.8</v>
      </c>
      <c r="AE123" s="3">
        <f>2540+(235.6-776.8)+(0+(0-0))+0-0-0</f>
        <v>1998.8000000000002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2384.9+(481.1-782.4)+(-1.216299+(-0.245361--0.399024))+0-0-0</f>
        <v>2082.5373640000003</v>
      </c>
      <c r="G124" s="3">
        <f>1872.1+(454.9-393.7)+(1.909542+(0.463998-0.401574))+0-0-0</f>
        <v>1935.271966</v>
      </c>
      <c r="H124" s="3">
        <f>1598.1+(418-244.4)+(1.630062+(0.42636-0.249288))+0-0-0</f>
        <v>1773.5071339999997</v>
      </c>
      <c r="I124" s="3">
        <f>1600.1+(386.3-282.7)+(0.816051+(0.197013-0.144177))+0-0-0</f>
        <v>1704.5688869999999</v>
      </c>
      <c r="J124" s="3">
        <f>1598.8+(351-350.1)+(2.446164+(0.53703-0.535653))+0-0-0</f>
        <v>1602.1475409999998</v>
      </c>
      <c r="K124" s="3">
        <f>1591.9+(352.5-450)+(-1.623738+(-0.35955--0.459))+0-0-0</f>
        <v>1492.875712</v>
      </c>
      <c r="L124" s="3">
        <f>1443.3+(292.7-420.9)+(1.472166+(0.298554-0.429318))+0-0-0</f>
        <v>1316.4414019999999</v>
      </c>
      <c r="M124" s="3">
        <f>1456.9+(251.3-437.4)+(-0.743019+(-0.128163--0.223074))+0-0-0</f>
        <v>1270.1518920000001</v>
      </c>
      <c r="N124" s="3">
        <f>1569.1+(182.9-477.5)+(2.400723+(0.279837-0.730575))+0-0-0</f>
        <v>1276.449985</v>
      </c>
      <c r="O124" s="3">
        <f>1920.7+(159.5-700.1)+(0.979557+(0.081345-0.357051))+0-0-0</f>
        <v>1380.8038509999999</v>
      </c>
      <c r="P124" s="3">
        <f>2226.8+(177.7-867.1)+(3.407004+(0.271881-1.326663))+0-0-0</f>
        <v>1539.7522220000001</v>
      </c>
      <c r="Q124" s="3">
        <f>2319.1+(152.8-809.3)+(2.365482+(0.155856-0.825486))+0-0-0</f>
        <v>1664.295852</v>
      </c>
      <c r="R124" s="3">
        <f>2538.8+(119.2-866.5)+(-1.294788+(-0.060792--0.441915))+0-0-0</f>
        <v>1790.5863350000002</v>
      </c>
      <c r="S124" s="3">
        <f>2572.9+(105.4-774.4)+(-1.312179+(-0.053754--0.394944))+0-0-0</f>
        <v>1902.9290110000002</v>
      </c>
      <c r="T124" s="3">
        <f>2570.7+(122.3-711.3)+(-3.933171+(-0.187119--1.088289))+0-0-0</f>
        <v>1978.6679989999998</v>
      </c>
      <c r="U124" s="3">
        <f>2567.3+(168.3-730.7)+(1.309323+(0.085833-0.372657))+0-0-0</f>
        <v>2005.922499</v>
      </c>
      <c r="V124" s="3">
        <f>2562.4+(162.5-739.3)+(-1.306824+(-0.082875--0.377043))+0-0-0</f>
        <v>1984.587344</v>
      </c>
      <c r="W124" s="3">
        <f>2561.3+(168-814.7)+(-6.531315+(-0.4284--2.077485))+0-0-0</f>
        <v>1909.7177700000002</v>
      </c>
      <c r="X124" s="3">
        <f>2343.3+(198.5-767.8)+(-3.585249+(-0.303705--1.174734))+0-0-0</f>
        <v>1771.2857800000002</v>
      </c>
      <c r="Y124" s="3">
        <f>2164+(179.7-688)+(-7.72548+(-0.641529--2.45616))+0-0-0</f>
        <v>1649.7891509999999</v>
      </c>
      <c r="Z124" s="3">
        <f>2274+(133.1-641.3)+(3.47922+(0.203643-0.981189))+0-0-0</f>
        <v>1768.5016740000001</v>
      </c>
      <c r="AA124" s="3">
        <f>2369.2+(120.4-543.1)+(-3.624876+(-0.184212--0.830943))+0-0-0</f>
        <v>1943.5218549999997</v>
      </c>
      <c r="AB124" s="3">
        <f>2368.8+(199.4-562.1)+(-2.416176+(-0.203388--0.573342))+0-0-0</f>
        <v>2004.0537780000002</v>
      </c>
      <c r="AC124" s="3">
        <f>2255.3+(320.8-547.8)+(1.150203+(0.163608-0.279378))+0-0-0</f>
        <v>2029.3344330000002</v>
      </c>
      <c r="AD124">
        <v>2021.1999999999998</v>
      </c>
      <c r="AE124" s="3">
        <f>2382+(180.1-540.9)+(0+(0-0))+0-0-0</f>
        <v>2021.2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2113.2+(319.5-446.5)+(-2.155464+(-0.32589--0.45543))+0-0-0</f>
        <v>1984.1740759999998</v>
      </c>
      <c r="G125" s="3">
        <f>1786.7+(343.9-249.5)+(-1.822434+(-0.350778--0.25449))+0-0-0</f>
        <v>1879.181278</v>
      </c>
      <c r="H125" s="3">
        <f>1555.8+(357.1-172.8)+(-2.380374+(-0.546363--0.264384))+0-0-0</f>
        <v>1737.437647</v>
      </c>
      <c r="I125" s="3">
        <f>1309.7+(381.5-91.1)+(-2.003841+(-0.583695--0.139383))+0-0-0</f>
        <v>1597.6518469999999</v>
      </c>
      <c r="J125" s="3">
        <f>1317.9+(313.5-107.4)+(-2.688516+(-0.63954--0.219096))+0-0-0</f>
        <v>1520.89104</v>
      </c>
      <c r="K125" s="3">
        <f>1425.3+(312.3-233.9)+(-2.907612+(-0.637092--0.477156))+0-0-0</f>
        <v>1500.6324520000001</v>
      </c>
      <c r="L125" s="3">
        <f>1436+(289.6-357.1)+(-0.73236+(-0.147696--0.182121))+0-0-0</f>
        <v>1367.8020650000001</v>
      </c>
      <c r="M125" s="3">
        <f>1433.9+(373.6-400.3)+(0+(0-0))+0-0-0</f>
        <v>1407.2</v>
      </c>
      <c r="N125" s="3">
        <f>1547.6+(464.8-417.1)+(1.578552+(0.474096-0.425442))+0-0-0</f>
        <v>1596.9272059999998</v>
      </c>
      <c r="O125" s="3">
        <f>1899.5+(394.8-611.5)+(-0.968745+(-0.201348--0.311865))+0-0-0</f>
        <v>1681.9417719999999</v>
      </c>
      <c r="P125" s="3">
        <f>2123+(341-672.2)+(-1.08273+(-0.17391--0.342822))+0-0-0</f>
        <v>1790.886182</v>
      </c>
      <c r="Q125" s="3">
        <f>2156.1+(354.7-579.4)+(3.298833+(0.542691-0.886482))+0-0-0</f>
        <v>1934.3550419999999</v>
      </c>
      <c r="R125" s="3">
        <f>2262+(375.8-547.6)+(1.15362+(0.191658-0.279276))+0-0-0</f>
        <v>2091.2660019999998</v>
      </c>
      <c r="S125" s="3">
        <f>2510.2+(404.3-601.2)+(0+(0-0))+0-0-0</f>
        <v>2313.2999999999997</v>
      </c>
      <c r="T125" s="3">
        <f>2592.6+(377-512.2)+(-2.644452+(-0.38454--0.522444))+0-0-0</f>
        <v>2454.8934519999998</v>
      </c>
      <c r="U125" s="3">
        <f>2587.2+(358.7-517.4)+(-3.958416+(-0.548811--0.791622))+0-0-0</f>
        <v>2424.7843950000001</v>
      </c>
      <c r="V125" s="3">
        <f>2591+(350.8-624.6)+(-5.28564+(-0.715632--1.274184))+0-0-0</f>
        <v>2312.4729119999997</v>
      </c>
      <c r="W125" s="3">
        <f>2578.3+(388.5-813.2)+(-3.944799+(-0.594405--1.244196))+0-0-0</f>
        <v>2150.3049920000003</v>
      </c>
      <c r="X125" s="3">
        <f>2469.5+(369.4-879.1)+(-7.55667+(-1.130364--2.690046))+0-0-0</f>
        <v>1953.8030119999999</v>
      </c>
      <c r="Y125" s="3">
        <f>2328.3+(257.1-748.2)+(-1.187433+(-0.131121--0.381582))+0-0-0</f>
        <v>1836.2630280000003</v>
      </c>
      <c r="Z125" s="3">
        <f>2376.1+(266.4-660.9)+(-2.423622+(-0.271728--0.674118))+0-0-0</f>
        <v>1979.5787679999999</v>
      </c>
      <c r="AA125" s="3">
        <f>2502+(337.4-651.6)+(0+(0-0))+0-0-0</f>
        <v>2187.8000000000002</v>
      </c>
      <c r="AB125" s="3">
        <f>2485.5+(398.1-664.1)+(-3.802815+(-0.609093--1.016073))+0-0-0</f>
        <v>2216.1041650000002</v>
      </c>
      <c r="AC125" s="3">
        <f>2437.3+(451.4-686.4)+(0+(0-0))+0-0-0</f>
        <v>2202.3000000000002</v>
      </c>
      <c r="AD125">
        <v>2217.6000000000004</v>
      </c>
      <c r="AE125" s="3">
        <f>2521+(344.8-648.2)+(0+(0-0))+0-0-0</f>
        <v>2217.6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2356.7+(425.1-700.2)+(-2.403834+(-0.433602--0.714204))+0-0-0</f>
        <v>2079.476768</v>
      </c>
      <c r="G126" s="3">
        <f>1728.9+(555.9-314.8)+(-4.408695+(-1.417545--0.80274))+0-0-0</f>
        <v>1964.9765</v>
      </c>
      <c r="H126" s="3">
        <f>1490.9+(568.1-201.8)+(-1.520718+(-0.579462--0.205836))+0-0-0</f>
        <v>1855.305656</v>
      </c>
      <c r="I126" s="3">
        <f>1491.1+(501.9-220.3)+(-3.041844+(-1.023876--0.449412))+0-0-0</f>
        <v>1769.0836919999999</v>
      </c>
      <c r="J126" s="3">
        <f>1489.5+(489.7-293.2)+(-2.278935+(-0.749241--0.448596))+0-0-0</f>
        <v>1683.4204199999999</v>
      </c>
      <c r="K126" s="3">
        <f>1494.1+(460.4-390.8)+(-1.523982+(-0.469608--0.398616))+0-0-0</f>
        <v>1562.1050259999997</v>
      </c>
      <c r="L126" s="3">
        <f>1495+(391.6-501.9)+(-3.81225+(-0.99858--1.279845))+0-0-0</f>
        <v>1381.1690149999999</v>
      </c>
      <c r="M126" s="3">
        <f>1635.2+(366.5-572.3)+(2.501856+(0.560745-0.875619))+0-0-0</f>
        <v>1431.586982</v>
      </c>
      <c r="N126" s="3">
        <f>1938.2+(369-773.6)+(0+(0-0))+0-0-0</f>
        <v>1533.6</v>
      </c>
      <c r="O126" s="3">
        <f>2161.7+(420.7-890.8)+(1.102467+(0.214557-0.454308))+0-0-0</f>
        <v>1692.462716</v>
      </c>
      <c r="P126" s="3">
        <f>2266.4+(454-893.3)+(1.155864+(0.23154-0.455583))+0-0-0</f>
        <v>1828.031821</v>
      </c>
      <c r="Q126" s="3">
        <f>2355.5+(428.2-833)+(3.603915+(0.655146-1.27449))+0-0-0</f>
        <v>1953.684571</v>
      </c>
      <c r="R126" s="3">
        <f>2445.3+(381.9-715.4)+(0+(0-0))+0-0-0</f>
        <v>2111.8000000000002</v>
      </c>
      <c r="S126" s="3">
        <f>2439.4+(447.4-596.4)+(0+(0-0))+0-0-0</f>
        <v>2290.4</v>
      </c>
      <c r="T126" s="3">
        <f>2446+(453.8-512.9)+(3.74238+(0.694314-0.784737))+0-0-0</f>
        <v>2390.5519570000001</v>
      </c>
      <c r="U126" s="3">
        <f>2439.4+(453.5-525.7)+(-2.488188+(-0.46257--0.536214))+0-0-0</f>
        <v>2364.7854559999996</v>
      </c>
      <c r="V126" s="3">
        <f>2441.4+(414.1-560.9)+(-4.980456+(-0.844764--1.144236))+0-0-0</f>
        <v>2289.9190160000003</v>
      </c>
      <c r="W126" s="3">
        <f>2442+(404-713.5)+(-7.47252+(-1.23624--2.18331))+0-0-0</f>
        <v>2125.9745499999999</v>
      </c>
      <c r="X126" s="3">
        <f>2439.5+(387.6-884.3)+(-7.46487+(-1.186056--2.705958))+0-0-0</f>
        <v>1936.8550320000002</v>
      </c>
      <c r="Y126" s="3">
        <f>2263.8+(233.2-667.8)+(-2.309076+(-0.237864--0.681156))+0-0-0</f>
        <v>1827.3342160000002</v>
      </c>
      <c r="Z126" s="3">
        <f>2334.9+(286.2-667.3)+(0+(0-0))+0-0-0</f>
        <v>1953.8000000000002</v>
      </c>
      <c r="AA126" s="3">
        <f>2478.8+(376.5-694.8)+(-7.585128+(-1.15209--2.126088))+0-0-0</f>
        <v>2153.8888700000002</v>
      </c>
      <c r="AB126" s="3">
        <f>2354.9+(410.3-544.7)+(-1.200999+(-0.209253--0.277797))+0-0-0</f>
        <v>2219.3675450000001</v>
      </c>
      <c r="AC126" s="3">
        <f>2220.3+(444.3-438.4)+(-1.132353+(-0.226593--0.223584))+0-0-0</f>
        <v>2225.0646380000003</v>
      </c>
      <c r="AD126">
        <v>2237.2999999999997</v>
      </c>
      <c r="AE126" s="3">
        <f>2418+(477.7-658.4)+(0+(0-0))+0-0-0</f>
        <v>2237.3000000000002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2191.1+(513.4-528.3)+(-3.352383+(-0.785502--0.808299))+0-0-0</f>
        <v>2172.870414</v>
      </c>
      <c r="G127" s="3">
        <f>1894.4+(553.7-400.3)+(-2.898432+(-0.847161--0.612459))+0-0-0</f>
        <v>2044.6668660000003</v>
      </c>
      <c r="H127" s="3">
        <f>1680.7+(570-315.2)+(-1.714314+(-0.5814--0.321504))+0-0-0</f>
        <v>1933.5257899999999</v>
      </c>
      <c r="I127" s="3">
        <f>1572+(549.9-278)+(-1.60344+(-0.560898--0.28356))+0-0-0</f>
        <v>1842.0192220000001</v>
      </c>
      <c r="J127" s="3">
        <f>1576.9+(530.2-352.1)+(1.608438+(0.540804-0.359142))+0-0-0</f>
        <v>1756.7900999999999</v>
      </c>
      <c r="K127" s="3">
        <f>1508.6+(504.7-396.9)+(0.769386+(0.257397-0.202419))+0-0-0</f>
        <v>1617.2243639999999</v>
      </c>
      <c r="L127" s="3">
        <f>1517.1+(398.1-468.3)+(-0.773721+(-0.203031--0.238833))+0-0-0</f>
        <v>1446.1620809999999</v>
      </c>
      <c r="M127" s="3">
        <f>1774.3+(400.8-679.8)+(-0.904893+(-0.204408--0.346698))+0-0-0</f>
        <v>1494.5373970000001</v>
      </c>
      <c r="N127" s="3">
        <f>2246.5+(398.6-1004.6)+(0+(0-0))+0-0-0</f>
        <v>1640.5</v>
      </c>
      <c r="O127" s="3">
        <f>2463.3+(427.6-1116.7)+(-2.512566+(-0.436152--1.139034))+0-0-0</f>
        <v>1772.3903160000002</v>
      </c>
      <c r="P127" s="3">
        <f>2458.9+(458.8-1023.4)+(-1.254039+(-0.233988--0.521934))+0-0-0</f>
        <v>1893.3339070000002</v>
      </c>
      <c r="Q127" s="3">
        <f>2452.4+(495.1-917.7)+(0+(0-0))+0-0-0</f>
        <v>2029.8000000000002</v>
      </c>
      <c r="R127" s="3">
        <f>2445.3+(477-723.2)+(-4.988412+(-0.97308--1.475328))+0-0-0</f>
        <v>2194.6138360000004</v>
      </c>
      <c r="S127" s="3">
        <f>2440.6+(538.7-612.7)+(-3.734118+(-0.824211--0.937431))+0-0-0</f>
        <v>2362.9791019999998</v>
      </c>
      <c r="T127" s="3">
        <f>2441+(541.7-505.9)+(1.24491+(0.276267-0.258009))+0-0-0</f>
        <v>2478.0631680000001</v>
      </c>
      <c r="U127" s="3">
        <f>2434.3+(512.9-565.2)+(-2.482986+(-0.523158--0.576504))+0-0-0</f>
        <v>2379.5703600000002</v>
      </c>
      <c r="V127" s="3">
        <f>2433.7+(505.2-559.1)+(2.482374+(0.515304-0.570282))+0-0-0</f>
        <v>2382.2273959999998</v>
      </c>
      <c r="W127" s="3">
        <f>2432.9+(470.8-649.3)+(-4.963116+(-0.960432--1.324572))+0-0-0</f>
        <v>2249.8010239999999</v>
      </c>
      <c r="X127" s="3">
        <f>2442+(475.7-860.1)+(-3.73626+(-0.727821--1.315953))+0-0-0</f>
        <v>2054.4518720000001</v>
      </c>
      <c r="Y127" s="3">
        <f>2403.3+(366.9-859.3)+(-2.451366+(-0.374238--0.876486))+0-0-0</f>
        <v>1908.9508820000001</v>
      </c>
      <c r="Z127" s="3">
        <f>2469.4+(386.2-813.7)+(0+(0-0))+0-0-0</f>
        <v>2041.9</v>
      </c>
      <c r="AA127" s="3">
        <f>2497.4+(416.6-668.6)+(-2.547348+(-0.424932--0.681972))+0-0-0</f>
        <v>2243.109692</v>
      </c>
      <c r="AB127" s="3">
        <f>2501.4+(454.2-662.4)+(-2.551428+(-0.463284--0.675648))+0-0-0</f>
        <v>2290.8609360000005</v>
      </c>
      <c r="AC127" s="3">
        <f>2481.7+(477.1-632.5)+(-1.265667+(-0.243321--0.322575))+0-0-0</f>
        <v>2325.1135869999998</v>
      </c>
      <c r="AD127">
        <v>2307.1</v>
      </c>
      <c r="AE127" s="3">
        <f>2505+(485.7-683.6)+(0+(0-0))+0-0-0</f>
        <v>2307.1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2409.6+(484.9-600.8)+(0+(0-0))+0-0-0</f>
        <v>2293.6999999999998</v>
      </c>
      <c r="G128" s="3">
        <f>2320.3+(462.6-607)+(1.183353+(0.235926-0.30957))+0-0-0</f>
        <v>2177.0097089999999</v>
      </c>
      <c r="H128" s="3">
        <f>2078.6+(442-465.4)+(-4.240344+(-0.90168--0.949416))+0-0-0</f>
        <v>2051.007392</v>
      </c>
      <c r="I128" s="3">
        <f>1836.1+(496.7-396.6)+(1.872822+(0.506634-0.404532))+0-0-0</f>
        <v>1938.1749239999999</v>
      </c>
      <c r="J128" s="3">
        <f>1754.9+(488-414.6)+(-3.579996+(-0.99552--0.845784))+0-0-0</f>
        <v>1824.5702680000002</v>
      </c>
      <c r="K128" s="3">
        <f>1759.8+(465.9-534.1)+(-2.692494+(-0.712827--0.817173))+0-0-0</f>
        <v>1689.0118519999999</v>
      </c>
      <c r="L128" s="3">
        <f>1754.9+(373.4-638.4)+(-4.474995+(-0.95217--1.62792))+0-0-0</f>
        <v>1486.1007550000002</v>
      </c>
      <c r="M128" s="3">
        <f>1894.1+(337.5-688.9)+(0+(0-0))+0-0-0</f>
        <v>1542.6999999999998</v>
      </c>
      <c r="N128" s="3">
        <f>2355.9+(342.3-988.8)+(6.007545+(0.872865-2.52144))+0-0-0</f>
        <v>1713.7589700000001</v>
      </c>
      <c r="O128" s="3">
        <f>2471.4+(358.8-975.4)+(0+(0-0))+0-0-0</f>
        <v>1854.8000000000002</v>
      </c>
      <c r="P128" s="3">
        <f>2570.1+(382.9-983.4)+(3.932253+(0.585837-1.504602))+0-0-0</f>
        <v>1972.613488</v>
      </c>
      <c r="Q128" s="3">
        <f>2564.1+(330.8-798)+(3.923073+(0.506124-1.22094))+0-0-0</f>
        <v>2100.1082569999999</v>
      </c>
      <c r="R128" s="3">
        <f>2560.1+(361.8-604.4)+(2.611302+(0.369036-0.616488))+0-0-0</f>
        <v>2319.8638500000002</v>
      </c>
      <c r="S128" s="3">
        <f>2552.9+(414.4-454.3)+(-1.301979+(-0.211344--0.231693))+0-0-0</f>
        <v>2511.71837</v>
      </c>
      <c r="T128" s="3">
        <f>2556.4+(483.6-384.8)+(1.303764+(0.246636-0.196248))+0-0-0</f>
        <v>2656.5541520000002</v>
      </c>
      <c r="U128" s="3">
        <f>2591.6+(446.4-401.9)+(0+(0-0))+0-0-0</f>
        <v>2636.1</v>
      </c>
      <c r="V128" s="3">
        <f>2680.7+(400.8-527.3)+(-6.835785+(-1.02204--1.344615))+0-0-0</f>
        <v>2547.6867899999997</v>
      </c>
      <c r="W128" s="3">
        <f>2665.7+(379.6-647.2)+(-6.797535+(-0.96798--1.65036))+0-0-0</f>
        <v>2391.984845</v>
      </c>
      <c r="X128" s="3">
        <f>2588.2+(371-783)+(-3.959946+(-0.56763--1.19799))+0-0-0</f>
        <v>2172.870414</v>
      </c>
      <c r="Y128" s="3">
        <f>2420.1+(265.8-673.7)+(1.234251+(0.135558-0.343587))+0-0-0</f>
        <v>2013.2262219999998</v>
      </c>
      <c r="Z128" s="3">
        <f>2486.9+(313.4-654.6)+(0+(0-0))+0-0-0</f>
        <v>2145.6999999999998</v>
      </c>
      <c r="AA128" s="3">
        <f>2497.6+(399.6-499.3)+(-2.547552+(-0.407592--0.509286))+0-0-0</f>
        <v>2395.454142</v>
      </c>
      <c r="AB128" s="3">
        <f>2497.1+(443.4-473.8)+(-3.820563+(-0.678402--0.724914))+0-0-0</f>
        <v>2462.9259489999999</v>
      </c>
      <c r="AC128" s="3">
        <f>2499.6+(471.6-479.7)+(-1.274796+(-0.240516--0.244647))+0-0-0</f>
        <v>2490.229335</v>
      </c>
      <c r="AD128">
        <v>2431</v>
      </c>
      <c r="AE128" s="3">
        <f>2517+(400-486)+(0+(0-0))+0-0-0</f>
        <v>2431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2474.9+(449.4-480.2)+(-3.786597+(-0.687582--0.734706))+0-0-0</f>
        <v>2440.3605269999998</v>
      </c>
      <c r="G129" s="3">
        <f>2369.6+(436.1-471)+(0+(0-0))+0-0-0</f>
        <v>2334.6999999999998</v>
      </c>
      <c r="H129" s="3">
        <f>2360.8+(425.2-559.2)+(-2.408016+(-0.433704--0.570384))+0-0-0</f>
        <v>2224.5286640000004</v>
      </c>
      <c r="I129" s="3">
        <f>2185.5+(451.4-525.6)+(2.22921+(0.460428-0.536112))+0-0-0</f>
        <v>2113.4535260000002</v>
      </c>
      <c r="J129" s="3">
        <f>2179.4+(422.2-595.4)+(0+(0-0))+0-0-0</f>
        <v>2006.2</v>
      </c>
      <c r="K129" s="3">
        <f>2171.5+(428.2-753)+(-3.322395+(-0.655146--1.15209))+0-0-0</f>
        <v>1843.8745490000001</v>
      </c>
      <c r="L129" s="3">
        <f>2036.2+(315.6-722.9)+(-3.115386+(-0.482868--1.106037))+0-0-0</f>
        <v>1626.4077830000001</v>
      </c>
      <c r="M129" s="3">
        <f>2120.3+(359.4-812.9)+(3.244059+(0.549882-1.243737))+0-0-0</f>
        <v>1669.3502040000001</v>
      </c>
      <c r="N129" s="3">
        <f>2336.6+(371-889.6)+(1.191666+(0.18921-0.453696))+0-0-0</f>
        <v>1818.9271799999999</v>
      </c>
      <c r="O129" s="3">
        <f>2454.1+(384.7-905.5)+(-1.251591+(-0.196197--0.461805))+0-0-0</f>
        <v>1932.3140169999999</v>
      </c>
      <c r="P129" s="3">
        <f>2453.3+(397.9-805.2)+(2.502366+(0.405858-0.821304))+0-0-0</f>
        <v>2048.0869200000002</v>
      </c>
      <c r="Q129" s="3">
        <f>2514.5+(421.5-760.4)+(6.411975+(1.074825-1.93902))+0-0-0</f>
        <v>2181.1477799999998</v>
      </c>
      <c r="R129" s="3">
        <f>2610.4+(429-660.9)+(-1.331304+(-0.21879--0.337059))+0-0-0</f>
        <v>2377.2869649999998</v>
      </c>
      <c r="S129" s="3">
        <f>2658+(518.2-579.2)+(1.35558+(0.264282-0.295392))+0-0-0</f>
        <v>2598.32447</v>
      </c>
      <c r="T129" s="3">
        <f>2661.3+(532.8-505)+(0+(0-0))+0-0-0</f>
        <v>2689.1000000000004</v>
      </c>
      <c r="U129" s="3">
        <f>2677+(510.4-503.6)+(-1.36527+(-0.260304--0.256836))+0-0-0</f>
        <v>2682.4312620000001</v>
      </c>
      <c r="V129" s="3">
        <f>2661.1+(494.7-556.4)+(-2.714322+(-0.504594--0.567528))+0-0-0</f>
        <v>2596.7486119999999</v>
      </c>
      <c r="W129" s="3">
        <f>2635.9+(455-667.1)+(-4.032927+(-0.69615--1.020663))+0-0-0</f>
        <v>2420.091586</v>
      </c>
      <c r="X129" s="3">
        <f>2458.4+(396.1-664.7)+(-8.776488+(-1.414077--2.372979))+0-0-0</f>
        <v>2181.9824140000001</v>
      </c>
      <c r="Y129" s="3">
        <f>2245.4+(288-528)+(-1.145154+(-0.14688--0.26928))+0-0-0</f>
        <v>2004.377246</v>
      </c>
      <c r="Z129" s="3">
        <f>2396.9+(345.2-638.8)+(-3.667257+(-0.528156--0.977364))+0-0-0</f>
        <v>2100.0819510000001</v>
      </c>
      <c r="AA129" s="3">
        <f>2553.1+(453.4-706.4)+(-9.114567+(-1.618638--2.521848))+0-0-0</f>
        <v>2291.8886429999998</v>
      </c>
      <c r="AB129" s="3">
        <f>2516.6+(462.6-622)+(-3.850398+(-0.707778--0.95166))+0-0-0</f>
        <v>2353.593484</v>
      </c>
      <c r="AC129" s="3">
        <f>2466.2+(506.8-606.2)+(-2.515524+(-0.516936--0.618324))+0-0-0</f>
        <v>2364.3858639999999</v>
      </c>
      <c r="AD129">
        <v>2292.1000000000004</v>
      </c>
      <c r="AE129" s="3">
        <f>2560+(450.3-718.2)+(0+(0-0))+0-0-0</f>
        <v>2292.1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2469.3+(472.9-610.4)+(-1.259343+(-0.241179--0.311304))+0-0-0</f>
        <v>2330.6107820000002</v>
      </c>
      <c r="G130" s="3">
        <f>2451.8+(436.5-645.6)+(-3.751254+(-0.667845--0.987768))+0-0-0</f>
        <v>2239.268669</v>
      </c>
      <c r="H130" s="3">
        <f>2296+(414-587.2)+(-2.34192+(-0.42228--0.598944))+0-0-0</f>
        <v>2120.634744</v>
      </c>
      <c r="I130" s="3">
        <f>2014.2+(439.1-448.1)+(2.054484+(0.447882-0.457062))+0-0-0</f>
        <v>2007.245304</v>
      </c>
      <c r="J130" s="3">
        <f>1496.7+(451-67)+(-1.526634+(-0.46002--0.06834))+0-0-0</f>
        <v>1878.781686</v>
      </c>
      <c r="K130" s="3">
        <f>1464.4+(408.4-153.3)+(0.746844+(0.208284-0.078183))+0-0-0</f>
        <v>1720.376945</v>
      </c>
      <c r="L130" s="3">
        <f>1466.7+(329-268.5)+(-4.488102+(-1.00674--0.82161))+0-0-0</f>
        <v>1522.5267679999999</v>
      </c>
      <c r="M130" s="3">
        <f>1459.9+(318.8-221.1)+(0+(0-0))+0-0-0</f>
        <v>1557.6000000000001</v>
      </c>
      <c r="N130" s="3">
        <f>1616+(302.2-222.5)+(0+(0-0))+0-0-0</f>
        <v>1695.7</v>
      </c>
      <c r="O130" s="3">
        <f>1959.6+(276-392.4)+(-0.999396+(-0.14076--0.200124))+0-0-0</f>
        <v>1842.2599679999998</v>
      </c>
      <c r="P130" s="3">
        <f>2253.9+(271.2-547.7)+(-1.149489+(-0.138312--0.279327))+0-0-0</f>
        <v>1976.3915260000001</v>
      </c>
      <c r="Q130" s="3">
        <f>2342.6+(309.5-555.1)+(-2.389452+(-0.31569--0.566202))+0-0-0</f>
        <v>2094.8610600000002</v>
      </c>
      <c r="R130" s="3">
        <f>2361.6+(362.3-469.8)+(-4.817664+(-0.739092--0.958392))+0-0-0</f>
        <v>2249.501636</v>
      </c>
      <c r="S130" s="3">
        <f>2392.5+(406.4-393.5)+(-6.100875+(-1.03632--1.003425))+0-0-0</f>
        <v>2399.2662300000002</v>
      </c>
      <c r="T130" s="3">
        <f>2394.9+(424.2-361.8)+(-3.664197+(-0.649026--0.553554))+0-0-0</f>
        <v>2453.5403310000002</v>
      </c>
      <c r="U130" s="3">
        <f>2397.9+(431.3-378)+(0+(0-0))+0-0-0</f>
        <v>2451.2000000000003</v>
      </c>
      <c r="V130" s="3">
        <f>2398.2+(385.8-400)+(-1.223082+(-0.196758--0.204))+0-0-0</f>
        <v>2382.7841600000002</v>
      </c>
      <c r="W130" s="3">
        <f>2380.1+(323.5-461.7)+(-9.710808+(-1.31988--1.883736))+0-0-0</f>
        <v>2232.753048</v>
      </c>
      <c r="X130" s="3">
        <f>2242.9+(292.7-480.6)+(-6.863274+(-0.895662--1.470636))+0-0-0</f>
        <v>2048.7116999999998</v>
      </c>
      <c r="Y130" s="3">
        <f>2158.9+(238.7-550.7)+(-5.505195+(-0.608685--1.404285))+0-0-0</f>
        <v>1842.1904050000001</v>
      </c>
      <c r="Z130" s="3">
        <f>2218.8+(270.3-560.1)+(1.131588+(0.137853-0.285651))+0-0-0</f>
        <v>1929.9837900000002</v>
      </c>
      <c r="AA130" s="3">
        <f>2271.3+(365.9-548.1)+(-5.791815+(-0.933045--1.397655))+0-0-0</f>
        <v>2083.7727950000003</v>
      </c>
      <c r="AB130" s="3">
        <f>2172.1+(378.2-467.2)+(-5.538855+(-0.96441--1.19136))+0-0-0</f>
        <v>2077.7880949999999</v>
      </c>
      <c r="AC130" s="3">
        <f>2061.3+(424.3-410.5)+(-1.051263+(-0.216393--0.209355))+0-0-0</f>
        <v>2074.0416990000003</v>
      </c>
      <c r="AD130">
        <v>2101.2000000000003</v>
      </c>
      <c r="AE130" s="3">
        <f>2275+(377.8-551.6)+(0+(0-0))+0-0-0</f>
        <v>2101.1999999999998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1894.4+(499.4-358.6)+(-0.966144+(-0.254694--0.182886))+0-0-0</f>
        <v>2034.1620480000001</v>
      </c>
      <c r="G131" s="3">
        <f>1666.6+(530-259.8)+(-1.699932+(-0.5406--0.264996))+0-0-0</f>
        <v>1934.824464</v>
      </c>
      <c r="H131" s="3">
        <f>1090.5+(783.8-91.1)+(0+(0-0))+0-0-0</f>
        <v>1783.1999999999998</v>
      </c>
      <c r="I131" s="3">
        <f>1057.8+(728.5-97.3)+(-2.157912+(-1.48614--0.198492))+0-0-0</f>
        <v>1685.5544400000001</v>
      </c>
      <c r="J131" s="3">
        <f>1056.6+(657.9-117.2)+(-2.69433+(-1.677645--0.29886))+0-0-0</f>
        <v>1593.2268849999998</v>
      </c>
      <c r="K131" s="3">
        <f>1056.1+(557-138)+(-2.693055+(-1.42035--0.3519))+0-0-0</f>
        <v>1471.338495</v>
      </c>
      <c r="L131" s="3">
        <f>1086.9+(401.9-201.9)+(-2.771595+(-1.024845--0.514845))+0-0-0</f>
        <v>1283.6184050000002</v>
      </c>
      <c r="M131" s="3">
        <f>1430.1+(335-470.6)+(-2.188053+(-0.51255--0.720018))+0-0-0</f>
        <v>1292.519415</v>
      </c>
      <c r="N131" s="3">
        <f>1703.4+(187.9-518.5)+(-1.737468+(-0.191658--0.52887))+0-0-0</f>
        <v>1371.3997440000003</v>
      </c>
      <c r="O131" s="3">
        <f>1744+(177.1-485.2)+(-0.88944+(-0.090321--0.247452))+0-0-0</f>
        <v>1435.1676910000001</v>
      </c>
      <c r="P131" s="3">
        <f>1997.9+(241.3-633.3)+(1.018929+(0.123063-0.322983))+0-0-0</f>
        <v>1606.7190090000001</v>
      </c>
      <c r="Q131" s="3">
        <f>2051.7+(282.1-606.7)+(0+(0-0))+0-0-0</f>
        <v>1727.1</v>
      </c>
      <c r="R131" s="3">
        <f>2045.6+(294.9-525.6)+(1.043256+(0.150399-0.268056))+0-0-0</f>
        <v>1815.8255989999998</v>
      </c>
      <c r="S131" s="3">
        <f>2044+(380.1-462.3)+(3.12732+(0.581553-0.707319))+0-0-0</f>
        <v>1964.8015539999999</v>
      </c>
      <c r="T131" s="3">
        <f>2048.6+(414.7-392.2)+(-1.044786+(-0.211497--0.200022))+0-0-0</f>
        <v>2070.0437389999997</v>
      </c>
      <c r="U131" s="3">
        <f>2076+(420-390)+(-4.23504+(-0.8568--0.7956))+0-0-0</f>
        <v>2101.7037599999999</v>
      </c>
      <c r="V131" s="3">
        <f>2006.4+(405.6-388)+(-1.023264+(-0.206856--0.19788))+0-0-0</f>
        <v>2022.96776</v>
      </c>
      <c r="W131" s="3">
        <f>1905.7+(340.8-358.3)+(-4.859535+(-0.86904--0.913665))+0-0-0</f>
        <v>1883.38509</v>
      </c>
      <c r="X131" s="3">
        <f>1817.9+(277.3-359.7)+(-1.854258+(-0.282846--0.366894))+0-0-0</f>
        <v>1733.7297900000001</v>
      </c>
      <c r="Y131" s="3">
        <f>1811.8+(238.7-460.6)+(-3.696072+(-0.486948--0.939624))+0-0-0</f>
        <v>1586.6566039999998</v>
      </c>
      <c r="Z131" s="3">
        <f>2020.7+(264.3-515.2)+(-4.122228+(-0.539172--1.051008))+0-0-0</f>
        <v>1766.1896079999999</v>
      </c>
      <c r="AA131" s="3">
        <f>2293+(332.2-645)+(-3.50829+(-0.508266--0.98685))+0-0-0</f>
        <v>1977.170294</v>
      </c>
      <c r="AB131" s="3">
        <f>2348+(360.9-655.6)+(-3.59244+(-0.552177--1.003068))+0-0-0</f>
        <v>2050.1584510000002</v>
      </c>
      <c r="AC131" s="3">
        <f>2339.4+(420-676.5)+(0+(0-0))+0-0-0</f>
        <v>2082.9</v>
      </c>
      <c r="AD131">
        <v>2045.9999999999998</v>
      </c>
      <c r="AE131" s="3">
        <f>2361+(346.2-661.2)+(0+(0-0))+0-0-0</f>
        <v>2046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2339.8+(362.6-671.1)+(-4.773192+(-0.739704--1.369044))+0-0-0</f>
        <v>2027.1561480000003</v>
      </c>
      <c r="G132" s="3">
        <f>2302.1+(299.1-657.3)+(-3.522213+(-0.457623--1.005669))+0-0-0</f>
        <v>1940.925833</v>
      </c>
      <c r="H132" s="3">
        <f>2090+(299.5-574.3)+(0+(0-0))+0-0-0</f>
        <v>1815.2</v>
      </c>
      <c r="I132" s="3">
        <f>1967.7+(310.4-567)+(-4.014108+(-0.633216--1.15668))+0-0-0</f>
        <v>1707.6093559999999</v>
      </c>
      <c r="J132" s="3">
        <f>1967.2+(240.6-573.4)+(-4.013088+(-0.490824--1.169736))+0-0-0</f>
        <v>1631.065824</v>
      </c>
      <c r="K132" s="3">
        <f>1966.7+(236.7-672.7)+(-5.015085+(-0.603585--1.715385))+0-0-0</f>
        <v>1526.7967149999999</v>
      </c>
      <c r="L132" s="3">
        <f>1966.6+(224.9-827.6)+(-5.01483+(-0.573495--2.11038))+0-0-0</f>
        <v>1360.4220549999998</v>
      </c>
      <c r="M132" s="3">
        <f>2092+(211.9-870)+(3.20076+(0.324207-1.3311))+0-0-0</f>
        <v>1436.093867</v>
      </c>
      <c r="N132" s="3">
        <f>2298.9+(236.5-938.1)+(-1.172439+(-0.120615--0.478431))+0-0-0</f>
        <v>1596.4853770000002</v>
      </c>
      <c r="O132" s="3">
        <f>2420.8+(286.3-963.6)+(0+(0-0))+0-0-0</f>
        <v>1743.5000000000002</v>
      </c>
      <c r="P132" s="3">
        <f>2573.4+(221.9-909.9)+(2.624868+(0.226338-0.928098))+0-0-0</f>
        <v>1887.323108</v>
      </c>
      <c r="Q132" s="3">
        <f>2617+(219.1-808.4)+(2.66934+(0.223482-0.824568))+0-0-0</f>
        <v>2029.7682540000001</v>
      </c>
      <c r="R132" s="3">
        <f>2682.2+(305.3-772.3)+(2.735844+(0.311406-0.787746))+0-0-0</f>
        <v>2217.4595039999999</v>
      </c>
      <c r="S132" s="3">
        <f>2729.3+(395.7-698.2)+(-1.391943+(-0.201807--0.356082))+0-0-0</f>
        <v>2425.562332</v>
      </c>
      <c r="T132" s="3">
        <f>2724.1+(456.9-593)+(-2.778582+(-0.466038--0.60486))+0-0-0</f>
        <v>2585.36024</v>
      </c>
      <c r="U132" s="3">
        <f>2718.5+(467-566.5)+(4.159305+(0.71451-0.866745))+0-0-0</f>
        <v>2623.0070700000001</v>
      </c>
      <c r="V132" s="3">
        <f>2716.9+(434.2-569.8)+(0+(0-0))+0-0-0</f>
        <v>2581.3000000000002</v>
      </c>
      <c r="W132" s="3">
        <f>2661.8+(395.4-639.1)+(1.357518+(0.201654-0.325941))+0-0-0</f>
        <v>2419.3332310000005</v>
      </c>
      <c r="X132" s="3">
        <f>2459.7+(323.7-584.4)+(-3.763341+(-0.495261--0.894132))+0-0-0</f>
        <v>2195.63553</v>
      </c>
      <c r="Y132" s="3">
        <f>2337.1+(248-567.7)+(-2.383842+(-0.25296--0.579054))+0-0-0</f>
        <v>2015.3422519999999</v>
      </c>
      <c r="Z132" s="3">
        <f>2375.8+(321.1-551.7)+(1.211658+(0.163761-0.281367))+0-0-0</f>
        <v>2146.2940520000002</v>
      </c>
      <c r="AA132" s="3">
        <f>2385.2+(385.2-412)+(-2.432904+(-0.392904--0.42024))+0-0-0</f>
        <v>2355.9944319999995</v>
      </c>
      <c r="AB132" s="3">
        <f>2386.5+(430.4-407.3)+(-2.43423+(-0.439008--0.415446))+0-0-0</f>
        <v>2407.1422079999998</v>
      </c>
      <c r="AC132" s="3">
        <f>2367.1+(481-444.1)+(2.414442+(0.49062-0.452982))+0-0-0</f>
        <v>2406.45208</v>
      </c>
      <c r="AD132">
        <v>2355.9</v>
      </c>
      <c r="AE132" s="3">
        <f>2380+(391.9-416)+(0+(0-0))+0-0-0</f>
        <v>2355.9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2233.1+(468.3-359.4)+(-5.694405+(-1.194165--0.91647))+0-0-0</f>
        <v>2336.0279</v>
      </c>
      <c r="G133" s="3">
        <f>1860.4+(510.1-167.9)+(-2.846412+(-0.780453--0.256887))+0-0-0</f>
        <v>2199.2300220000002</v>
      </c>
      <c r="H133" s="3">
        <f>1624.5+(527.7-67.3)+(-4.142475+(-1.345635--0.171615))+0-0-0</f>
        <v>2079.5835050000001</v>
      </c>
      <c r="I133" s="3">
        <f>1621.2+(462.6-116.7)+(-3.307248+(-0.943704--0.238068))+0-0-0</f>
        <v>1963.0871160000002</v>
      </c>
      <c r="J133" s="3">
        <f>1547.7+(404.7-95.2)+(-2.367981+(-0.619191--0.145656))+0-0-0</f>
        <v>1854.3584840000001</v>
      </c>
      <c r="K133" s="3">
        <f>1476.1+(333.9-119.2)+(-2.258433+(-0.510867--0.182376))+0-0-0</f>
        <v>1688.213076</v>
      </c>
      <c r="L133" s="3">
        <f>1474.9+(262-247.8)+(-1.504398+(-0.26724--0.252756))+0-0-0</f>
        <v>1487.5811180000001</v>
      </c>
      <c r="M133" s="3">
        <f>1723.3+(283.4-505.1)+(1.757766+(0.289068-0.515202))+0-0-0</f>
        <v>1503.1316319999999</v>
      </c>
      <c r="N133" s="3">
        <f>2003.1+(308.1-642.5)+(-4.086324+(-0.628524--1.3107))+0-0-0</f>
        <v>1665.2958519999997</v>
      </c>
      <c r="O133" s="3">
        <f>2278.4+(347.1-800.5)+(1.161984+(0.177021-0.408255))+0-0-0</f>
        <v>1825.93075</v>
      </c>
      <c r="P133" s="3">
        <f>2627.9+(362.3-1010.3)+(2.680458+(0.369546-1.030506))+0-0-0</f>
        <v>1981.9194980000002</v>
      </c>
      <c r="Q133" s="3">
        <f>2748.4+(349.6-978)+(4.205052+(0.534888-1.49634))+0-0-0</f>
        <v>2123.2435999999998</v>
      </c>
      <c r="R133" s="3">
        <f>2844.8+(361.4-796.4)+(1.450848+(0.184314-0.406164))+0-0-0</f>
        <v>2411.0289980000002</v>
      </c>
      <c r="S133" s="3">
        <f>2836.3+(383-621.3)+(-1.446513+(-0.19533--0.316863))+10.5-0-0</f>
        <v>2607.1750200000001</v>
      </c>
      <c r="T133" s="3">
        <f>2820.4+(367.9-469.9)+(0+(0-0))+21-0-0</f>
        <v>2739.4</v>
      </c>
      <c r="U133" s="3">
        <f>2637.6+(426.3-315.5)+(-4.035528+(-0.652239--0.482715))+21-0-0</f>
        <v>2765.1949480000003</v>
      </c>
      <c r="V133" s="3">
        <f>2451.8+(427.7-247.9)+(-2.500836+(-0.436254--0.252858))+10.5-0-0</f>
        <v>2639.4157680000003</v>
      </c>
      <c r="W133" s="3">
        <f>2453.4+(405.7-398.8)+(-1.251234+(-0.206907--0.203388))+0-0-0</f>
        <v>2459.045247</v>
      </c>
      <c r="X133" s="3">
        <f>2365.7+(414.5-503.9)+(-2.413014+(-0.42279--0.513978))+0-0-0</f>
        <v>2273.9781739999999</v>
      </c>
      <c r="Y133" s="3">
        <f>2250.5+(349.3-493.6)+(2.29551+(0.356286-0.503472))+0-0-0</f>
        <v>2108.3483239999996</v>
      </c>
      <c r="Z133" s="3">
        <f>2404.4+(422-532.8)+(-1.226244+(-0.21522--0.271728))+0-0-0</f>
        <v>2292.4302640000005</v>
      </c>
      <c r="AA133" s="3">
        <f>2497+(440.6-444.6)+(-6.36735+(-1.12353--1.13373))+0-0-0</f>
        <v>2486.6428500000002</v>
      </c>
      <c r="AB133" s="3">
        <f>2395+(454.2-359.8)+(1.22145+(0.231642-0.183498))+0-0-0</f>
        <v>2490.669594</v>
      </c>
      <c r="AC133" s="3">
        <f>2342.8+(469.6-330.8)+(-1.194828+(-0.239496--0.168708))+0-0-0</f>
        <v>2480.3343840000002</v>
      </c>
      <c r="AD133">
        <v>2456.1000000000004</v>
      </c>
      <c r="AE133" s="3">
        <f>2508+(460.9-512.8)+(0+(0-0))+0-0-0</f>
        <v>2456.1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2341.7+(405.5-346.8)+(-5.971335+(-1.034025--0.88434))+0-0-0</f>
        <v>2394.2789799999996</v>
      </c>
      <c r="G134" s="3">
        <f>2009.1+(405.7-165.8)+(-4.098564+(-0.827628--0.338232))+0-0-0</f>
        <v>2244.4120400000002</v>
      </c>
      <c r="H134" s="3">
        <f>1924.4+(395.5-208.8)+(-6.870108+(-1.411935--0.745416))+0-0-0</f>
        <v>2103.563373</v>
      </c>
      <c r="I134" s="3">
        <f>1623.2+(463.7-65.8)+(-0.827832+(-0.236487--0.033558))+0-0-0</f>
        <v>2020.0692389999999</v>
      </c>
      <c r="J134" s="3">
        <f>1524.1+(469.8-102)+(-0.777291+(-0.239598--0.05202))+0-0-0</f>
        <v>1890.935131</v>
      </c>
      <c r="K134" s="3">
        <f>1525.4+(348.3-181)+(-0.777954+(-0.177633--0.09231))+0-0-0</f>
        <v>1691.8367230000001</v>
      </c>
      <c r="L134" s="3">
        <f>1523.5+(328.6-346.5)+(-1.55397+(-0.335172--0.35343))+0-0-0</f>
        <v>1504.0642879999998</v>
      </c>
      <c r="M134" s="3">
        <f>1527.3+(255-233.4)+(2.336769+(0.39015-0.357102))+0-0-0</f>
        <v>1551.2698169999999</v>
      </c>
      <c r="N134" s="3">
        <f>1771.6+(309.8-388.7)+(-0.903516+(-0.157998--0.198237))+0-0-0</f>
        <v>1691.8367229999999</v>
      </c>
      <c r="O134" s="3">
        <f>2125.9+(324.4-621.2)+(3.252627+(0.496332-0.950436))+0-0-0</f>
        <v>1831.8985229999998</v>
      </c>
      <c r="P134" s="3">
        <f>2254.3+(351.9-634.5)+(2.299386+(0.358938-0.64719))+0-0-0</f>
        <v>1973.7111340000004</v>
      </c>
      <c r="Q134" s="3">
        <f>2419.9+(361.7-619.6)+(2.468298+(0.368934-0.631992))+0-0-0</f>
        <v>2164.2052399999998</v>
      </c>
      <c r="R134" s="3">
        <f>2581.2+(385.2-696.5)+(0+(0-0))+0-0-0</f>
        <v>2269.8999999999996</v>
      </c>
      <c r="S134" s="3">
        <f>2638.5+(393.1-531)+(-1.345635+(-0.200481--0.27081))+0-0-0</f>
        <v>2499.3246939999999</v>
      </c>
      <c r="T134" s="3">
        <f>2754.6+(399.3-524.8)+(-2.809692+(-0.407286--0.535296))+8.7-0-0</f>
        <v>2635.1183179999998</v>
      </c>
      <c r="U134" s="3">
        <f>2790.3+(421.1-543)+(-5.692212+(-0.859044--1.10772))+13-0-0</f>
        <v>2675.9564639999999</v>
      </c>
      <c r="V134" s="3">
        <f>2805.3+(393.1-577.3)+(-1.430703+(-0.200481--0.294423))+13-0-0</f>
        <v>2632.7632390000003</v>
      </c>
      <c r="W134" s="3">
        <f>2815.3+(373.1-622.5)+(-2.871606+(-0.380562--0.63495))+4.3-0-0</f>
        <v>2567.5827820000004</v>
      </c>
      <c r="X134" s="3">
        <f>2788.6+(392.9-759.2)+(-4.266558+(-0.601137--1.161576))+0-0-0</f>
        <v>2418.5938809999998</v>
      </c>
      <c r="Y134" s="3">
        <f>2444.6+(386.5-618.5)+(2.493492+(0.39423-0.63087))+0-0-0</f>
        <v>2214.8568519999999</v>
      </c>
      <c r="Z134" s="3">
        <f>2589+(396.5-652)+(1.32039+(0.202215-0.33252))+0-0-0</f>
        <v>2334.6900850000002</v>
      </c>
      <c r="AA134" s="3">
        <f>2621.9+(410.1-592.6)+(-1.337169+(-0.209151--0.302226))+0-0-0</f>
        <v>2438.155906</v>
      </c>
      <c r="AB134" s="3">
        <f>2590.3+(389.3-573.7)+(-2.642106+(-0.397086--0.585174))+0-0-0</f>
        <v>2403.4459820000002</v>
      </c>
      <c r="AC134" s="3">
        <f>2497.1+(376.7-499.8)+(1.273521+(0.192117-0.254898))+0-0-0</f>
        <v>2375.21074</v>
      </c>
      <c r="AD134">
        <v>2571.8000000000002</v>
      </c>
      <c r="AE134" s="3">
        <f>2615+(463.5-506.7)+(0+(0-0))+0-0-0</f>
        <v>2571.8000000000002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2347.5+(393.9-492.7)+(1.197225+(0.200889-0.251277))+0-0-0</f>
        <v>2249.8468369999996</v>
      </c>
      <c r="G135" s="3">
        <f>2266.9+(407.2-519.2)+(-4.624476+(-0.830688--1.059168))+0-0-0</f>
        <v>2150.5040039999999</v>
      </c>
      <c r="H135" s="3">
        <f>2224.8+(357.9-541.4)+(-1.134648+(-0.182529--0.276114))+0-0-0</f>
        <v>2040.2589370000003</v>
      </c>
      <c r="I135" s="3">
        <f>2045.6+(304.6-421.1)+(3.129768+(0.466038-0.644283))+0-0-0</f>
        <v>1932.0515229999999</v>
      </c>
      <c r="J135" s="3">
        <f>2036.5+(320.4-462)+(-1.038615+(-0.163404--0.23562))+0-0-0</f>
        <v>1893.9336010000002</v>
      </c>
      <c r="K135" s="3">
        <f>1874.8+(347.4-451)+(0+(0-0))+0-0-0</f>
        <v>1771.1999999999998</v>
      </c>
      <c r="L135" s="3">
        <f>1865.3+(297.4-579.6)+(-1.902606+(-0.303348--0.591192))+0-0-0</f>
        <v>1581.485238</v>
      </c>
      <c r="M135" s="3">
        <f>2024+(207.2-626.1)+(0+(0-0))+0-0-0</f>
        <v>1605.1</v>
      </c>
      <c r="N135" s="3">
        <f>2357.7+(225.6-831.1)+(1.202427+(0.115056-0.423861))+0-0-0</f>
        <v>1753.0936219999999</v>
      </c>
      <c r="O135" s="3">
        <f>2469.1+(365.3-931)+(5.036964+(0.745212-1.89924))+0-0-0</f>
        <v>1907.2829359999998</v>
      </c>
      <c r="P135" s="3">
        <f>2587.5+(368.7-920.8)+(2.63925+(0.376074-0.939216))+0-0-0</f>
        <v>2037.4761080000001</v>
      </c>
      <c r="Q135" s="3">
        <f>2744+(362.3-930.6)+(2.79888+(0.369546-0.949212))+0-0-0</f>
        <v>2177.919214</v>
      </c>
      <c r="R135" s="3">
        <f>2824.3+(390-785.7)+(-4.321179+(-0.5967--1.202121))+0-0-0</f>
        <v>2424.8842420000005</v>
      </c>
      <c r="S135" s="3">
        <f>2819.2+(400.1-607.3)+(-2.875584+(-0.408102--0.619446))+0-0-0</f>
        <v>2609.3357599999999</v>
      </c>
      <c r="T135" s="3">
        <f>2821.2+(477.5-483.7)+(0+(0-0))+0-0-0</f>
        <v>2815</v>
      </c>
      <c r="U135" s="3">
        <f>2809.9+(458.5-466.5)+(-2.866098+(-0.46767--0.47583))+0-0-0</f>
        <v>2799.042062</v>
      </c>
      <c r="V135" s="3">
        <f>2825.7+(426.9-514.9)+(4.323321+(0.653157-0.787797))+0-0-0</f>
        <v>2741.8886809999999</v>
      </c>
      <c r="W135" s="3">
        <f>2786.3+(391.5-573)+(-4.263039+(-0.598995--0.87669))+0-0-0</f>
        <v>2600.814656</v>
      </c>
      <c r="X135" s="3">
        <f>2674.8+(370.9-659.7)+(-5.456592+(-0.756636--1.345788))+0-0-0</f>
        <v>2381.13256</v>
      </c>
      <c r="Y135" s="3">
        <f>2693.3+(349.8-776.3)+(1.373583+(0.178398-0.395913))+0-0-0</f>
        <v>2267.956068</v>
      </c>
      <c r="Z135" s="3">
        <f>2802.3+(405.7-639.8)+(1.429173+(0.206907-0.326298))+0-0-0</f>
        <v>2569.5097820000001</v>
      </c>
      <c r="AA135" s="3">
        <f>2869.2+(420-647.6)+(-7.31646+(-1.071--1.65138))+0-0-0</f>
        <v>2634.8639199999998</v>
      </c>
      <c r="AB135" s="3">
        <f>2810.1+(392.6-611.5)+(-2.866302+(-0.400452--0.62373))+0-0-0</f>
        <v>2588.5569759999998</v>
      </c>
      <c r="AC135" s="3">
        <f>2805.4+(431.9-662.7)+(-1.430754+(-0.220269--0.337977))+0-0-0</f>
        <v>2573.2869539999997</v>
      </c>
      <c r="AD135">
        <v>2692.7999999999997</v>
      </c>
      <c r="AE135" s="3">
        <f>2893+(418.7-618.9)+(0+(0-0))+0-0-0</f>
        <v>2692.8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2663.9+(395.5-586.1)+(-1.358589+(-0.201705--0.298911))+0-0-0</f>
        <v>2472.0386170000002</v>
      </c>
      <c r="G136" s="3">
        <f>2179.7+(459.8-392)+(-5.558235+(-1.17249--0.9996))+0-0-0</f>
        <v>2241.7688750000002</v>
      </c>
      <c r="H136" s="3">
        <f>1777.3+(509.4-171.8)+(-1.812846+(-0.519588--0.175236))+0-0-0</f>
        <v>2112.7428020000002</v>
      </c>
      <c r="I136" s="3">
        <f>1773.8+(489.5-203.3)+(0.904638+(0.249645-0.103683))+0-0-0</f>
        <v>2061.0506</v>
      </c>
      <c r="J136" s="3">
        <f>1767.9+(458.4-249.8)+(-0.901629+(-0.233784--0.127398))+0-0-0</f>
        <v>1975.4919850000001</v>
      </c>
      <c r="K136" s="3">
        <f>1690.8+(422.5-327.4)+(-0.862308+(-0.215475--0.166974))+0-0-0</f>
        <v>1784.9891910000001</v>
      </c>
      <c r="L136" s="3">
        <f>1518.8+(362.6-298)+(-2.323764+(-0.554778--0.45594))+0-0-0</f>
        <v>1580.977398</v>
      </c>
      <c r="M136" s="3">
        <f>1620.7+(317.9-345.1)+(0.826557+(0.162129-0.176001))+0-0-0</f>
        <v>1594.3126850000001</v>
      </c>
      <c r="N136" s="3">
        <f>2201.3+(289.1-729.2)+(0+(0-0))+0-0-0</f>
        <v>1761.2000000000003</v>
      </c>
      <c r="O136" s="3">
        <f>2451.4+(267.9-800)+(3.750642+(0.409887-1.224))+0-0-0</f>
        <v>1922.2365290000002</v>
      </c>
      <c r="P136" s="3">
        <f>2582+(282.7-817.4)+(2.63364+(0.288354-0.833748))+0-0-0</f>
        <v>2049.388246</v>
      </c>
      <c r="Q136" s="3">
        <f>2703.8+(297.9-818.9)+(4.136814+(0.455787-1.252917))+0-0-0</f>
        <v>2186.1396840000002</v>
      </c>
      <c r="R136" s="3">
        <f>2808+(334.1-717.7)+(-1.43208+(-0.170391--0.366027))+0-0-0</f>
        <v>2423.163556</v>
      </c>
      <c r="S136" s="3">
        <f>2812.4+(423.4-536.4)+(-1.434324+(-0.215934--0.273564))+0-0-0</f>
        <v>2698.023306</v>
      </c>
      <c r="T136" s="3">
        <f>2824+(461.7-438.7)+(1.44024+(0.235467-0.223737))+0-0-0</f>
        <v>2848.4519700000001</v>
      </c>
      <c r="U136" s="3">
        <f>2746.9+(475.4-411)+(1.400919+(0.242454-0.20961))+0-0-0</f>
        <v>2812.7337630000002</v>
      </c>
      <c r="V136" s="3">
        <f>2799.3+(424.6-480.1)+(-1.427643+(-0.216546--0.244851))+0-0-0</f>
        <v>2742.400662</v>
      </c>
      <c r="W136" s="3">
        <f>2785.4+(369.6-569.1)+(-4.261662+(-0.565488--0.870723))+0-0-0</f>
        <v>2581.943573</v>
      </c>
      <c r="X136" s="3">
        <f>2794.5+(350.8-786.3)+(-1.425195+(-0.178908--0.401013))+0-0-0</f>
        <v>2357.79691</v>
      </c>
      <c r="Y136" s="3">
        <f>2799.4+(291.7-822.6)+(-2.855388+(-0.297534--0.839052))+0-0-0</f>
        <v>2266.18613</v>
      </c>
      <c r="Z136" s="3">
        <f>2826.6+(418.2-634.5)+(-2.883132+(-0.426564--0.64719))+0-0-0</f>
        <v>2607.6374939999996</v>
      </c>
      <c r="AA136" s="3">
        <f>2828.3+(372.1-599.5)+(-4.327299+(-0.569313--0.917235))+0-0-0</f>
        <v>2596.920623</v>
      </c>
      <c r="AB136" s="3">
        <f>2850.3+(398.6-695.6)+(1.453653+(0.203286-0.354756))+0-0-0</f>
        <v>2554.602183</v>
      </c>
      <c r="AC136" s="3">
        <f>2840.7+(444.7-723.3)+(-1.448757+(-0.226797--0.368883))+0-0-0</f>
        <v>2560.7933290000001</v>
      </c>
      <c r="AD136">
        <v>2701.8</v>
      </c>
      <c r="AE136" s="3">
        <f>2831+(436-565.2)+(0+(0-0))+0-0-0</f>
        <v>2701.8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2724.2+(486.6-644)+(0+(0-0))+0-0-0</f>
        <v>2566.7999999999997</v>
      </c>
      <c r="G137" s="3">
        <f>2546.4+(461.1-590.1)+(-1.298664+(-0.235161--0.300951))+0-0-0</f>
        <v>2416.1671260000003</v>
      </c>
      <c r="H137" s="3">
        <f>2270.7+(517.2-455.9)+(-2.316114+(-0.527544--0.465018))+0-0-0</f>
        <v>2329.6213600000001</v>
      </c>
      <c r="I137" s="3">
        <f>1852.6+(484.1-211)+(-1.889652+(-0.493782--0.21522))+0-0-0</f>
        <v>2123.531786</v>
      </c>
      <c r="J137" s="3">
        <f>1847.1+(546.1-314.5)+(-3.768084+(-1.114044--0.64158))+0-0-0</f>
        <v>2074.4594519999996</v>
      </c>
      <c r="K137" s="3">
        <f>1846.3+(477.6-420.9)+(-3.766452+(-0.974304--0.858636))+0-0-0</f>
        <v>1899.11788</v>
      </c>
      <c r="L137" s="3">
        <f>1706.1+(431.6-415.2)+(-3.480444+(-0.880464--0.847008))+0-0-0</f>
        <v>1718.9861000000001</v>
      </c>
      <c r="M137" s="3">
        <f>1749.1+(377.3-440.4)+(4.460205+(0.962115-1.12302))+0-0-0</f>
        <v>1690.2992999999999</v>
      </c>
      <c r="N137" s="3">
        <f>2048.9+(417.4-639)+(2.089878+(0.425748-0.65178))+0-0-0</f>
        <v>1829.1638460000001</v>
      </c>
      <c r="O137" s="3">
        <f>2415.9+(431.6-843.4)+(2.464218+(0.440232-0.860268))+0-0-0</f>
        <v>2006.1441820000002</v>
      </c>
      <c r="P137" s="3">
        <f>2552.9+(428.2-838)+(3.905937+(0.655146-1.28214))+0-0-0</f>
        <v>2146.3789429999997</v>
      </c>
      <c r="Q137" s="3">
        <f>2644.4+(433.4-799)+(5.394576+(0.884136-1.62996))+0-0-0</f>
        <v>2283.4487520000002</v>
      </c>
      <c r="R137" s="3">
        <f>2655.4+(501.7-713.8)+(2.708508+(0.511734-0.728076))+0-0-0</f>
        <v>2445.7921660000002</v>
      </c>
      <c r="S137" s="3">
        <f>2731.2+(543.1-580.7)+(-1.392912+(-0.276981--0.296157))+0-0-0</f>
        <v>2692.2262639999999</v>
      </c>
      <c r="T137" s="3">
        <f>2785+(537.2-532.1)+(-1.42035+(-0.273972--0.271371))+0-0-0</f>
        <v>2788.6770489999999</v>
      </c>
      <c r="U137" s="3">
        <f>2792.8+(540.6-539.1)+(-5.697312+(-1.102824--1.099764))+0-0-0</f>
        <v>2788.5996280000004</v>
      </c>
      <c r="V137" s="3">
        <f>2811.3+(496-628)+(1.433763+(0.25296-0.32028))+0-0-0</f>
        <v>2680.6664430000001</v>
      </c>
      <c r="W137" s="3">
        <f>2804.6+(496.8-814.3)+(-4.291038+(-0.760104--1.245879))+0-0-0</f>
        <v>2483.2947369999997</v>
      </c>
      <c r="X137" s="3">
        <f>2813.9+(475.5-1005.5)+(-2.870178+(-0.48501--1.02561))+0-0-0</f>
        <v>2281.5704220000002</v>
      </c>
      <c r="Y137" s="3">
        <f>2760.3+(442.6-982.4)+(0+(0-0))+0-0-0</f>
        <v>2220.5</v>
      </c>
      <c r="Z137" s="3">
        <f>2810.5+(452-739.7)+(-2.86671+(-0.46104--0.754494))+0-0-0</f>
        <v>2520.2267440000001</v>
      </c>
      <c r="AA137" s="3">
        <f>2838.8+(420.8-712.3)+(-7.23894+(-1.07304--1.816365))+0-0-0</f>
        <v>2540.8043850000004</v>
      </c>
      <c r="AB137" s="3">
        <f>2854+(418.4-748.7)+(-2.91108+(-0.426768--0.763674))+0-0-0</f>
        <v>2521.125826</v>
      </c>
      <c r="AC137" s="3">
        <f>2857.4+(478.4-792.8)+(-2.914548+(-0.487968--0.808656))+0-0-0</f>
        <v>2540.4061400000001</v>
      </c>
      <c r="AD137">
        <v>2578.8999999999996</v>
      </c>
      <c r="AE137" s="3">
        <f>2867+(420.6-708.7)+(0+(0-0))+0-0-0</f>
        <v>2578.9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2719.4+(505.2-669.2)+(-1.386894+(-0.257652--0.341292))+0-0-0</f>
        <v>2554.0967460000002</v>
      </c>
      <c r="G138" s="3">
        <f>2367.8+(569.9-475.3)+(-2.415156+(-0.581298--0.484806))+0-0-0</f>
        <v>2459.8883519999999</v>
      </c>
      <c r="H138" s="3">
        <f>2002.5+(651.9-280.2)+(-6.12765+(-1.994814--0.857412))+0-0-0</f>
        <v>2366.9349479999996</v>
      </c>
      <c r="I138" s="3">
        <f>1882.8+(601.2-196.1)+(1.920456+(0.613224-0.200022))+0-0-0</f>
        <v>2290.2336580000001</v>
      </c>
      <c r="J138" s="3">
        <f>1868+(585.3-251.3)+(-0.95268+(-0.298503--0.128163))+0-0-0</f>
        <v>2200.87698</v>
      </c>
      <c r="K138" s="3">
        <f>1643.5+(724.8-245.7)+(-0.838185+(-0.369648--0.125307))+0-0-0</f>
        <v>2121.5174739999998</v>
      </c>
      <c r="L138" s="3">
        <f>1374.2+(618.2-197.9)+(-2.803368+(-1.261128--0.403716))+0-0-0</f>
        <v>1790.8392200000001</v>
      </c>
      <c r="M138" s="3">
        <f>1371.7+(576.8-231.7)+(-2.798268+(-1.176672--0.472668))+0-0-0</f>
        <v>1713.297728</v>
      </c>
      <c r="N138" s="3">
        <f>1379.4+(506.5-160.7)+(0+(0-0))+0-0-0</f>
        <v>1725.2</v>
      </c>
      <c r="O138" s="3">
        <f>1505.2+(476.4-248.4)+(0+(0-0))+0-0-0</f>
        <v>1733.2</v>
      </c>
      <c r="P138" s="3">
        <f>1803.4+(402.4-445.5)+(-1.839468+(-0.410448--0.45441))+0-0-0</f>
        <v>1758.5044940000002</v>
      </c>
      <c r="Q138" s="3">
        <f>2066.1+(394.5-524.2)+(2.107422+(0.40239-0.534684))+0-0-0</f>
        <v>1938.3751279999999</v>
      </c>
      <c r="R138" s="3">
        <f>2356.7+(437.5-679.2)+(-2.403834+(-0.44625--0.692784))+0-0-0</f>
        <v>2112.8427000000001</v>
      </c>
      <c r="S138" s="3">
        <f>2386.6+(469.8-605.7)+(1.217166+(0.239598-0.308907))+0-0-0</f>
        <v>2251.8478569999997</v>
      </c>
      <c r="T138" s="3">
        <f>2397.9+(488.3-538.2)+(-1.222929+(-0.249033--0.274482))+0-0-0</f>
        <v>2346.8025200000002</v>
      </c>
      <c r="U138" s="3">
        <f>2394.9+(492.9-516)+(-1.221399+(-0.251379--0.26316))+0-0-0</f>
        <v>2370.5903820000003</v>
      </c>
      <c r="V138" s="3">
        <f>2400+(503.2-550.7)+(0+(0-0))+0-0-0</f>
        <v>2352.5</v>
      </c>
      <c r="W138" s="3">
        <f>2412.9+(521.4-657.1)+(-4.922316+(-1.063656--1.340484))+0-0-0</f>
        <v>2272.5545119999997</v>
      </c>
      <c r="X138" s="3">
        <f>2430.6+(386.7-715.9)+(-2.479212+(-0.394434--0.730218))+0-0-0</f>
        <v>2099.2565720000002</v>
      </c>
      <c r="Y138" s="3">
        <f>2334.8+(277.2-596.3)+(-2.381496+(-0.282744--0.608226))+0-0-0</f>
        <v>2013.6439860000003</v>
      </c>
      <c r="Z138" s="3">
        <f>2565.8+(386-632.3)+(-2.617116+(-0.39372--0.644946))+0-0-0</f>
        <v>2317.13411</v>
      </c>
      <c r="AA138" s="3">
        <f>2622.9+(402.5-643.5)+(-4.013037+(-0.615825--0.984555))+0-0-0</f>
        <v>2378.2556930000001</v>
      </c>
      <c r="AB138" s="3">
        <f>2567.7+(373.6-602)+(-2.619054+(-0.381072--0.61404))+0-0-0</f>
        <v>2336.9139139999997</v>
      </c>
      <c r="AC138" s="3">
        <f>2514.3+(454.4-553)+(1.282293+(0.231744-0.28203))+0-0-0</f>
        <v>2416.9320070000003</v>
      </c>
      <c r="AD138">
        <v>2327.8000000000002</v>
      </c>
      <c r="AE138" s="3">
        <f>2632+(354.5-658.7)+(0+(0-0))+0-0-0</f>
        <v>2327.8000000000002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2426.7+(518.6-467)+(0+(0-0))+0-0-0</f>
        <v>2478.2999999999997</v>
      </c>
      <c r="G139" s="3">
        <f>2062.1+(585.3-303.7)+(-1.051671+(-0.298503--0.154887))+0-0-0</f>
        <v>2342.5047129999998</v>
      </c>
      <c r="H139" s="3">
        <f>1703.2+(661.6-157.1)+(-0.868632+(-0.337416--0.080121))+0-0-0</f>
        <v>2206.5740729999998</v>
      </c>
      <c r="I139" s="3">
        <f>1684.7+(601-140)+(-1.718394+(-0.61302--0.1428))+0-0-0</f>
        <v>2143.5113859999997</v>
      </c>
      <c r="J139" s="3">
        <f>1689.2+(592.1-201.7)+(-2.584476+(-0.905913--0.308601))+0-0-0</f>
        <v>2076.418212</v>
      </c>
      <c r="K139" s="3">
        <f>1691+(422.6-231.2)+(-2.58723+(-0.646578--0.353736))+0-0-0</f>
        <v>1879.5199280000002</v>
      </c>
      <c r="L139" s="3">
        <f>1630+(366.3-249.5)+(-0.8313+(-0.186813--0.127245))+0-0-0</f>
        <v>1745.909132</v>
      </c>
      <c r="M139" s="3">
        <f>1547.6+(455.3-311.3)+(1.578552+(0.464406-0.317526))+0-0-0</f>
        <v>1693.3254319999999</v>
      </c>
      <c r="N139" s="3">
        <f>1987+(404.4-620.3)+(3.04011+(0.618732-0.949059))+0-0-0</f>
        <v>1773.8097829999999</v>
      </c>
      <c r="O139" s="3">
        <f>2261.1+(304.2-668.8)+(1.153161+(0.155142-0.341088))+0-0-0</f>
        <v>1897.4672149999999</v>
      </c>
      <c r="P139" s="3">
        <f>2343.4+(363.1-762)+(0+(0-0))+0-0-0</f>
        <v>1944.5</v>
      </c>
      <c r="Q139" s="3">
        <f>2483.8+(397-836.9)+(1.266738+(0.20247-0.426819))+0-0-0</f>
        <v>2044.942389</v>
      </c>
      <c r="R139" s="3">
        <f>2789.6+(415.9-1057)+(1.422696+(0.212109-0.53907))+0-0-0</f>
        <v>2149.5957349999999</v>
      </c>
      <c r="S139" s="3">
        <f>2852.1+(443.2-928.6)+(-1.454571+(-0.226032--0.473586))+0-0-0</f>
        <v>2365.4929829999996</v>
      </c>
      <c r="T139" s="3">
        <f>2851.6+(465.7-839.9)+(1.454316+(0.237507-0.428349))+0-0-0</f>
        <v>2478.663474</v>
      </c>
      <c r="U139" s="3">
        <f>2846.5+(472.7-877.6)+(-4.355145+(-0.723231--1.342728))+0-0-0</f>
        <v>2437.8643520000001</v>
      </c>
      <c r="V139" s="3">
        <f>2846.4+(488.1-1004.1)+(-1.451664+(-0.248931--0.512091))+0-0-0</f>
        <v>2329.2114959999999</v>
      </c>
      <c r="W139" s="3">
        <f>2855.9+(451.5-1175.4)+(-5.826036+(-0.92106--2.397816))+0-0-0</f>
        <v>2127.6507200000001</v>
      </c>
      <c r="X139" s="3">
        <f>2824.8+(459.4-1160.5)+(0+(0-0))+0-0-0</f>
        <v>2123.7000000000003</v>
      </c>
      <c r="Y139" s="3">
        <f>2668.1+(417.5-1033.2)+(4.082193+(0.638775-1.580796))+0-0-0</f>
        <v>2055.5401719999995</v>
      </c>
      <c r="Z139" s="3">
        <f>2789.8+(493.2-953.1)+(1.422798+(0.251532-0.486081))+0-0-0</f>
        <v>2331.0882489999999</v>
      </c>
      <c r="AA139" s="3">
        <f>2805.3+(497.8-1010.7)+(-4.292109+(-0.761634--1.546371))+0-0-0</f>
        <v>2288.8926280000001</v>
      </c>
      <c r="AB139" s="3">
        <f>2827+(498.6-1041.4)+(4.32531+(0.762858-1.593342))+0-0-0</f>
        <v>2287.6948259999999</v>
      </c>
      <c r="AC139" s="3">
        <f>2816.5+(460.9-959.1)+(-1.436415+(-0.235059--0.489141))+0-0-0</f>
        <v>2317.117667</v>
      </c>
      <c r="AD139">
        <v>2344.1</v>
      </c>
      <c r="AE139" s="3">
        <f>2820+(508-983.9)+(0+(0-0))+0-0-0</f>
        <v>2344.1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2673.8+(429.9-758.6)+(1.363638+(0.219249-0.386886))+0-0-0</f>
        <v>2346.2960010000002</v>
      </c>
      <c r="G140" s="3">
        <f>2282.9+(419.1-573.2)+(0+(0-0))+0-0-0</f>
        <v>2128.8000000000002</v>
      </c>
      <c r="H140" s="3">
        <f>1852.6+(514.7-414.7)+(2.834478+(0.787491-0.634491))+0-0-0</f>
        <v>1955.5874779999999</v>
      </c>
      <c r="I140" s="3">
        <f>1791.6+(505.8-416.1)+(0+(0-0))+0-0-0</f>
        <v>1881.3</v>
      </c>
      <c r="J140" s="3">
        <f>1732.4+(507.2-413)+(0.883524+(0.258672-0.21063))+0-0-0</f>
        <v>1827.5315660000001</v>
      </c>
      <c r="K140" s="3">
        <f>1570.2+(498-401.6)+(-0.800802+(-0.25398--0.204816))+0-0-0</f>
        <v>1665.7500339999999</v>
      </c>
      <c r="L140" s="3">
        <f>1541.2+(382-405.5)+(-5.502084+(-1.36374--1.447635))+0-0-0</f>
        <v>1512.2818110000001</v>
      </c>
      <c r="M140" s="3">
        <f>1559.8+(362.5-434.1)+(0.795498+(0.184875-0.221391))+0-0-0</f>
        <v>1488.9589819999999</v>
      </c>
      <c r="N140" s="3">
        <f>1752.8+(351.2-623.7)+(1.787856+(0.358224-0.636174))+0-0-0</f>
        <v>1481.809906</v>
      </c>
      <c r="O140" s="3">
        <f>2172.7+(385.1-966.9)+(1.108077+(0.196401-0.493119))+0-0-0</f>
        <v>1591.7113589999999</v>
      </c>
      <c r="P140" s="3">
        <f>2528.7+(460.9-1304.4)+(2.579274+(0.470118-1.330488))+0-0-0</f>
        <v>1686.9189039999999</v>
      </c>
      <c r="Q140" s="3">
        <f>2856.1+(486.1-1575.6)+(-1.456611+(-0.247911--0.803556))+0-0-0</f>
        <v>1765.699034</v>
      </c>
      <c r="R140" s="3">
        <f>2873.9+(505.9-1506.5)+(0+(0-0))+0-0-0</f>
        <v>1873.3000000000002</v>
      </c>
      <c r="S140" s="3">
        <f>2855.4+(522-1423.6)+(-7.28127+(-1.3311--3.63018))+0-0-0</f>
        <v>1948.8178100000002</v>
      </c>
      <c r="T140" s="3">
        <f>2882.7+(521.4-1363.4)+(-2.940354+(-0.531828--1.390668))+0-0-0</f>
        <v>2038.6184859999998</v>
      </c>
      <c r="U140" s="3">
        <f>2905+(509-1379.4)+(-1.48155+(-0.25959--0.703494))+0-0-0</f>
        <v>2033.5623539999999</v>
      </c>
      <c r="V140" s="3">
        <f>2901.7+(473.2-1422.1)+(4.439601+(0.723996-2.175813))+0-0-0</f>
        <v>1955.7877839999999</v>
      </c>
      <c r="W140" s="3">
        <f>2907.3+(479.4-1560.8)+(-1.482723+(-0.244494--0.796008))+0-0-0</f>
        <v>1824.968791</v>
      </c>
      <c r="X140" s="3">
        <f>2921.8+(416.4-1683.5)+(-5.960472+(-0.849456--3.43434))+50.9-0-0</f>
        <v>1702.2244120000003</v>
      </c>
      <c r="Y140" s="3">
        <f>2929.6+(450-1624.4)+(-4.482288+(-0.6885--2.485332))+0-0-0</f>
        <v>1752.5145439999999</v>
      </c>
      <c r="Z140" s="3">
        <f>2944.7+(433.7-1387)+(-1.501797+(-0.221187--0.70737))+0-0-0</f>
        <v>1990.3843859999999</v>
      </c>
      <c r="AA140" s="3">
        <f>2942.5+(462.1-1390.9)+(-6.0027+(-0.942684--2.837436))+0-0-0</f>
        <v>2009.5920519999997</v>
      </c>
      <c r="AB140" s="3">
        <f>2873.6+(381.2-1261.2)+(-2.931072+(-0.388824--1.286424))+0-0-0</f>
        <v>1991.5665279999998</v>
      </c>
      <c r="AC140" s="3">
        <f>2761.5+(473.9-1221.8)+(0+(0-0))+0-0-0</f>
        <v>2013.6</v>
      </c>
      <c r="AD140">
        <v>2076.4</v>
      </c>
      <c r="AE140" s="3">
        <f>2963+(490.8-1377.4)+(0+(0-0))+0-0-0</f>
        <v>2076.3999999999996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2623.1+(488.2-1101.6)+(-8.026686+(-1.493892--3.370896))+0-0-0</f>
        <v>2003.5503180000001</v>
      </c>
      <c r="G141" s="3">
        <f>2414.4+(458.6-968.7)+(-6.15672+(-1.16943--2.470185))+0-0-0</f>
        <v>1899.4440350000002</v>
      </c>
      <c r="H141" s="3">
        <f>2339.4+(424.6-959.6)+(-1.193094+(-0.216546--0.489396))+0-0-0</f>
        <v>1803.4797560000002</v>
      </c>
      <c r="I141" s="3">
        <f>2333.2+(424.1-991.5)+(1.189932+(0.216291-0.505665))+0-0-0</f>
        <v>1766.7005579999998</v>
      </c>
      <c r="J141" s="3">
        <f>2310.3+(464.6-1053)+(-2.356506+(-0.473892--1.07406))+0-0-0</f>
        <v>1720.1436620000002</v>
      </c>
      <c r="K141" s="3">
        <f>1962+(464.5-860.6)+(-3.00186+(-0.710685--1.316718))+0-0-0</f>
        <v>1563.504173</v>
      </c>
      <c r="L141" s="3">
        <f>1743.9+(447-753.2)+(-5.336334+(-1.36782--2.304792))+0-0-0</f>
        <v>1433.3006379999999</v>
      </c>
      <c r="M141" s="3">
        <f>1777.1+(404.4-763.6)+(-1.812642+(-0.412488--0.778872))+0-0-0</f>
        <v>1416.4537419999999</v>
      </c>
      <c r="N141" s="3">
        <f>1991.3+(374.2-860.2)+(2.031126+(0.381684-0.877404))+0-0-0</f>
        <v>1506.8354059999999</v>
      </c>
      <c r="O141" s="3">
        <f>2509.1+(419.1-1344.5)+(-3.838923+(-0.641223--2.057085))+0-0-0</f>
        <v>1581.2769389999999</v>
      </c>
      <c r="P141" s="3">
        <f>2722.4+(459.5-1524.5)+(1.388424+(0.234345-0.777495))+0-0-0</f>
        <v>1658.2452740000001</v>
      </c>
      <c r="Q141" s="3">
        <f>2870.7+(442.1-1610.9)+(0+(0-0))+0-0-0</f>
        <v>1701.8999999999996</v>
      </c>
      <c r="R141" s="3">
        <f>2865.5+(432.3-1554.6)+(-1.461405+(-0.220473--0.792846))+0-0-0</f>
        <v>1742.310968</v>
      </c>
      <c r="S141" s="3">
        <f>2857.9+(430.2-1597.4)+(-2.915058+(-0.438804--1.629348))+0-0-0</f>
        <v>1688.975486</v>
      </c>
      <c r="T141" s="3">
        <f>2869.6+(432.9-1638.3)+(1.463496+(0.220779-0.835533))+0-0-0</f>
        <v>1665.0487419999997</v>
      </c>
      <c r="U141" s="3">
        <f>2854.7+(426.5-1622.1)+(-4.367691+(-0.652545--2.481813))+0-0-0</f>
        <v>1656.5615769999999</v>
      </c>
      <c r="V141" s="3">
        <f>2757.7+(421.7-1583.8)+(-7.032135+(-1.075335--4.03869))+0-0-0</f>
        <v>1591.5312199999998</v>
      </c>
      <c r="W141" s="3">
        <f>2705.6+(377.1-1544.8)+(-5.519424+(-0.769284--3.151392))+0-0-0</f>
        <v>1534.762684</v>
      </c>
      <c r="X141" s="3">
        <f>2634.4+(381.8-1463.2)+(-8.061264+(-1.168308--4.477392))+0-0-0</f>
        <v>1548.24782</v>
      </c>
      <c r="Y141" s="3">
        <f>2564.6+(354.3-1338.5)+(-2.615892+(-0.361386--1.36527))+0-0-0</f>
        <v>1578.7879919999998</v>
      </c>
      <c r="Z141" s="3">
        <f>2722.4+(407.8-1393.5)+(0+(0-0))+0-0-0</f>
        <v>1736.7</v>
      </c>
      <c r="AA141" s="3">
        <f>2828+(363.6-1396.5)+(-10.09596+(-1.298052--4.985505))+0-0-0</f>
        <v>1788.6914929999998</v>
      </c>
      <c r="AB141" s="3">
        <f>2685.7+(388.7-1368.8)+(-4.109121+(-0.594711--2.094264))+0-0-0</f>
        <v>1702.9904319999998</v>
      </c>
      <c r="AC141" s="3">
        <f>2655.3+(453.3-1348.7)+(-2.708406+(-0.462366--1.375674))+0-0-0</f>
        <v>1758.104902</v>
      </c>
      <c r="AD141">
        <v>1790.1000000000001</v>
      </c>
      <c r="AE141" s="3">
        <f>2808+(424.9-1442.8)+(0+(0-0))+0-0-0</f>
        <v>1790.1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2509.4+(456.3-1266.1)+(-2.559588+(-0.465426--1.291422))+0-0-0</f>
        <v>1697.8664080000001</v>
      </c>
      <c r="G142" s="3">
        <f>2402.9+(416-1212.5)+(-1.225479+(-0.21216--0.618375))+0-0-0</f>
        <v>1605.5807360000001</v>
      </c>
      <c r="H142" s="3">
        <f>2266.1+(428.5-1171.5)+(0+(0-0))+0-0-0</f>
        <v>1523.1</v>
      </c>
      <c r="I142" s="3">
        <f>2140+(411.7-1065.3)+(-3.2742+(-0.629901--1.629909))+0-0-0</f>
        <v>1484.125808</v>
      </c>
      <c r="J142" s="3">
        <f>1944.4+(453.1-944.6)+(2.974932+(0.693243-1.445238))+0-0-0</f>
        <v>1455.1229370000001</v>
      </c>
      <c r="K142" s="3">
        <f>1806.8+(431.7-889.6)+(-3.685872+(-0.880668--1.814784))+0-0-0</f>
        <v>1346.148244</v>
      </c>
      <c r="L142" s="3">
        <f>1722.9+(434.2-950.3)+(-2.636037+(-0.664326--1.453959))+0-0-0</f>
        <v>1204.9535960000003</v>
      </c>
      <c r="M142" s="3">
        <f>1853.7+(462-1082.6)+(0.945387+(0.23562-0.552126))+0-0-0</f>
        <v>1233.7288810000002</v>
      </c>
      <c r="N142" s="3">
        <f>2171.7+(440.4-1305.1)+(1.107567+(0.224604-0.665601))+0-0-0</f>
        <v>1307.6665700000001</v>
      </c>
      <c r="O142" s="3">
        <f>2419.7+(442.5-1435.9)+(2.468094+(0.45135-1.464618))+0-0-0</f>
        <v>1427.7548259999996</v>
      </c>
      <c r="P142" s="3">
        <f>2696.7+(443-1663.3)+(0+(0-0))+0-0-0</f>
        <v>1476.3999999999999</v>
      </c>
      <c r="Q142" s="3">
        <f>2798+(448.2-1729.7)+(2.85396+(0.457164-1.764294))+0-0-0</f>
        <v>1518.04683</v>
      </c>
      <c r="R142" s="3">
        <f>2787.9+(443.6-1691.5)+(1.421829+(0.226236-0.862665))+0-0-0</f>
        <v>1540.7854</v>
      </c>
      <c r="S142" s="3">
        <f>2776.5+(449-1617.6)+(-4.248045+(-0.68697--2.474928))+0-0-0</f>
        <v>1605.4399130000002</v>
      </c>
      <c r="T142" s="3">
        <f>2817.8+(448.1-1563.5)+(0+(0-0))+0-0-0</f>
        <v>1702.4</v>
      </c>
      <c r="U142" s="3">
        <f>2814.5+(497.6-1811.8)+(-4.306185+(-0.761328--2.772054))+0-0-0</f>
        <v>1498.0045410000002</v>
      </c>
      <c r="V142" s="3">
        <f>2845.5+(473-1851.7)+(-7.256025+(-1.20615--4.721835))+0-0-0</f>
        <v>1463.0596599999999</v>
      </c>
      <c r="W142" s="3">
        <f>2751.7+(444.7-1743.1)+(-4.210101+(-0.680391--2.666943))+0-0-0</f>
        <v>1451.0764509999999</v>
      </c>
      <c r="X142" s="3">
        <f>2658.1+(434.1-1637.8)+(-2.711262+(-0.442782--1.670556))+0-0-0</f>
        <v>1452.916512</v>
      </c>
      <c r="Y142" s="3">
        <f>2632.9+(346.5-1457.1)+(2.685558+(0.35343-1.486242))+0-0-0</f>
        <v>1523.8527460000003</v>
      </c>
      <c r="Z142" s="3">
        <f>2733.4+(371-1492.3)+(-5.576136+(-0.75684--3.044292))+0-0-0</f>
        <v>1608.811316</v>
      </c>
      <c r="AA142" s="3">
        <f>2694.5+(390.5-1465.1)+(-6.870975+(-0.995775--3.736005))+0-0-0</f>
        <v>1615.7692550000002</v>
      </c>
      <c r="AB142" s="3">
        <f>2600.6+(453.1-1466.4)+(-2.652612+(-0.462162--1.495728))+0-0-0</f>
        <v>1585.6809539999997</v>
      </c>
      <c r="AC142" s="3">
        <f>2526.5+(448.6-1421.1)+(-2.57703+(-0.457572--1.449522))+0-0-0</f>
        <v>1552.4149199999999</v>
      </c>
      <c r="AD142">
        <v>1658.6</v>
      </c>
      <c r="AE142" s="3">
        <f>2749+(402.7-1493.1)+(0+(0-0))+0-0-0</f>
        <v>1658.6000000000001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2349+(386.8-1275.5)+(-5.98995+(-0.98634--3.252525))+0-0-0</f>
        <v>1456.576235</v>
      </c>
      <c r="G143" s="3">
        <f>2206.2+(327.2-1160.1)+(-5.62581+(-0.83436--2.958255))+0-0-0</f>
        <v>1369.7980849999999</v>
      </c>
      <c r="H143" s="3">
        <f>2056.3+(370.1-1132)+(-5.243565+(-0.943755--2.8866))+0-0-0</f>
        <v>1291.0992800000001</v>
      </c>
      <c r="I143" s="3">
        <f>1932.6+(366.6-1014)+(-1.971252+(-0.373932--1.03428))+0-0-0</f>
        <v>1283.8890959999999</v>
      </c>
      <c r="J143" s="3">
        <f>1918+(414-1073.5)+(-2.93454+(-0.63342--1.642455))+0-0-0</f>
        <v>1256.5744950000001</v>
      </c>
      <c r="K143" s="3">
        <f>1662.6+(372.5-922)+(-0.847926+(-0.189975--0.47022))+10-0-0</f>
        <v>1122.5323189999999</v>
      </c>
      <c r="L143" s="3">
        <f>1596.7+(324.3-865)+(-4.885902+(-0.992358--2.6469))+0-0-0</f>
        <v>1052.76864</v>
      </c>
      <c r="M143" s="3">
        <f>1632+(354.5-953.3)+(0+(0-0))+0-0-0</f>
        <v>1033.2</v>
      </c>
      <c r="N143" s="3">
        <f>1881.7+(427.2-1207.1)+(0+(0-0))+0-0-0</f>
        <v>1101.8000000000002</v>
      </c>
      <c r="O143" s="3">
        <f>2218.2+(383.5-1420.7)+(0+(0-0))+0-0-0</f>
        <v>1180.9999999999998</v>
      </c>
      <c r="P143" s="3">
        <f>2476.8+(368.6-1599.7)+(-1.263168+(-0.187986--0.815847))+0-0-0</f>
        <v>1245.0646930000003</v>
      </c>
      <c r="Q143" s="3">
        <f>2559.5+(409.5-1690.5)+(5.22138+(0.83538-3.44862))+0-0-0</f>
        <v>1281.10814</v>
      </c>
      <c r="R143" s="3">
        <f>2601.7+(409.2-1700.4)+(-5.307468+(-0.834768--3.468816))+0-0-0</f>
        <v>1307.8265799999997</v>
      </c>
      <c r="S143" s="3">
        <f>2657.2+(407.1-1769.8)+(-6.77586+(-1.038105--4.51299))+0-0-0</f>
        <v>1291.1990249999999</v>
      </c>
      <c r="T143" s="3">
        <f>2671.1+(417.1-1796.6)+(-1.362261+(-0.212721--0.916266))+0-0-0</f>
        <v>1290.941284</v>
      </c>
      <c r="U143" s="3">
        <f>2727.1+(403.2-1837.5)+(-2.781642+(-0.411264--1.87425))+0-0-0</f>
        <v>1291.481344</v>
      </c>
      <c r="V143" s="3">
        <f>2734.2+(391.5-1831.9)+(-1.394442+(-0.199665--0.934269))+0-0-0</f>
        <v>1293.1401619999997</v>
      </c>
      <c r="W143" s="3">
        <f>2598.1+(427.2-1725.8)+(-2.650062+(-0.435744--1.760316))+0-0-0</f>
        <v>1298.1745100000001</v>
      </c>
      <c r="X143" s="3">
        <f>2470.9+(429.6-1594.2)+(-3.780477+(-0.657288--2.439126))+0-0-0</f>
        <v>1304.3013610000003</v>
      </c>
      <c r="Y143" s="3">
        <f>2405.2+(333.8-1377.5)+(-2.453304+(-0.340476--1.40505))+0-0-0</f>
        <v>1360.1112699999999</v>
      </c>
      <c r="Z143" s="3">
        <f>2599.2+(374.6-1470.1)+(-5.302368+(-0.764184--2.999004))+0-0-0</f>
        <v>1500.6324519999998</v>
      </c>
      <c r="AA143" s="3">
        <f>2561+(356.3-1400.4)+(-6.53055+(-0.908565--3.57102))+0-0-0</f>
        <v>1513.0319049999998</v>
      </c>
      <c r="AB143" s="3">
        <f>2487.5+(349.1-1333.4)+(-3.805875+(-0.534123--2.040102))+0-0-0</f>
        <v>1500.9001039999998</v>
      </c>
      <c r="AC143" s="3">
        <f>2363.3+(310.8-1206.8)+(-2.410566+(-0.317016--1.230936))+0-0-0</f>
        <v>1465.8033540000001</v>
      </c>
      <c r="AD143">
        <v>1537.5</v>
      </c>
      <c r="AE143" s="3">
        <f>2614+(363.9-1440.4)+(0+(0-0))+0-0-0</f>
        <v>1537.5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2352.3+(398-1329.8)+(-5.998365+(-1.0149--3.39099))+0-0-0</f>
        <v>1416.8777250000003</v>
      </c>
      <c r="G144" s="3">
        <f>2221.6+(385.6-1284.8)+(-2.266032+(-0.393312--1.310496))+0-0-0</f>
        <v>1321.051152</v>
      </c>
      <c r="H144" s="3">
        <f>1975.8+(414.4-1146.9)+(-1.007658+(-0.211344--0.584919))+0-0-0</f>
        <v>1242.6659169999998</v>
      </c>
      <c r="I144" s="3">
        <f>1778.8+(439.5-978.4)+(0+(0-0))+0-0-0</f>
        <v>1239.9000000000001</v>
      </c>
      <c r="J144" s="3">
        <f>1647.4+(463.2-883.8)+(2.520522+(0.708696-1.352214))+0-0-0</f>
        <v>1228.6770040000001</v>
      </c>
      <c r="K144" s="3">
        <f>1609.3+(445.3-924.8)+(-5.745201+(-1.589721--3.301536))+0-0-0</f>
        <v>1125.7666139999999</v>
      </c>
      <c r="L144" s="3">
        <f>1611.4+(425.4-977.3)+(-4.930884+(-1.301724--2.990538))+0-0-0</f>
        <v>1056.25793</v>
      </c>
      <c r="M144" s="3">
        <f>1909.7+(373.6-1181.7)+(-0.973947+(-0.190536--0.602667))+0-0-0</f>
        <v>1101.038184</v>
      </c>
      <c r="N144" s="3">
        <f>2300.8+(402-1482.9)+(3.520224+(0.61506-2.268837))+0-0-0</f>
        <v>1221.7664470000002</v>
      </c>
      <c r="O144" s="3">
        <f>2403.6+(455.5-1534.5)+(-2.451672+(-0.46461--1.56519))+0-0-0</f>
        <v>1323.2489079999998</v>
      </c>
      <c r="P144" s="3">
        <f>2615.4+(438.1-1644.2)+(1.333854+(0.223431-0.838542))+0-0-0</f>
        <v>1410.0187430000001</v>
      </c>
      <c r="Q144" s="3">
        <f>2661.7+(453.6-1640.1)+(-2.714934+(-0.462672--1.672902))+0-0-0</f>
        <v>1473.6952959999999</v>
      </c>
      <c r="R144" s="3">
        <f>2726.8+(438.8-1656)+(-1.390668+(-0.223788--0.84456))+0-0-0</f>
        <v>1508.8301040000001</v>
      </c>
      <c r="S144" s="3">
        <f>2718.6+(416.2-1627.2)+(-2.772972+(-0.424524--1.659744))+0-0-0</f>
        <v>1506.062248</v>
      </c>
      <c r="T144" s="3">
        <f>2653.4+(408-1563.7)+(1.353234+(0.20808-0.797487))+0-0-0</f>
        <v>1498.463827</v>
      </c>
      <c r="U144" s="3">
        <f>2555.4+(410.3-1504)+(-2.606508+(-0.418506--1.53408))+0-0-0</f>
        <v>1460.2090660000001</v>
      </c>
      <c r="V144" s="3">
        <f>2445.2+(412.8-1430.4)+(0+(0-0))+0-0-0</f>
        <v>1427.5999999999997</v>
      </c>
      <c r="W144" s="3">
        <f>2429.1+(398.7-1422.1)+(-1.238841+(-0.203337--0.725271))+0-0-0</f>
        <v>1404.9830930000001</v>
      </c>
      <c r="X144" s="3">
        <f>2408.9+(412-1448.1)+(-8.599773+(-1.47084--5.169717))+0-0-0</f>
        <v>1367.8991040000001</v>
      </c>
      <c r="Y144" s="3">
        <f>2444.3+(311.3-1337.9)+(-2.493186+(-0.317526--1.364658))+0-0-0</f>
        <v>1416.253946</v>
      </c>
      <c r="Z144" s="3">
        <f>2660+(343.2-1444.6)+(-8.1396+(-1.050192--4.420476))+0-0-0</f>
        <v>1553.8306840000002</v>
      </c>
      <c r="AA144" s="3">
        <f>2633.7+(380.2-1442.2)+(-1.343187+(-0.193902--0.735522))+0-0-0</f>
        <v>1570.8984329999998</v>
      </c>
      <c r="AB144" s="3">
        <f>2530.1+(394.6-1389)+(0+(0-0))+0-0-0</f>
        <v>1535.6999999999998</v>
      </c>
      <c r="AC144" s="3">
        <f>2342.6+(433.7-1278.5)+(0+(0-0))+0-0-0</f>
        <v>1497.8</v>
      </c>
      <c r="AD144">
        <v>1568.7</v>
      </c>
      <c r="AE144" s="3">
        <f>2670+(359.5-1460.8)+(0+(0-0))+0-0-0</f>
        <v>1568.7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2180+(452.3-1204.3)+(1.1118+(0.230673-0.614193))+0-0-0</f>
        <v>1428.72828</v>
      </c>
      <c r="G145" s="3">
        <f>1993+(390.7-1043.7)+(-1.01643+(-0.199257--0.532287))+0-0-0</f>
        <v>1339.3166000000001</v>
      </c>
      <c r="H145" s="3">
        <f>1796.1+(446-970.3)+(0.916011+(0.22746-0.494853))+0-0-0</f>
        <v>1272.4486179999999</v>
      </c>
      <c r="I145" s="3">
        <f>1602.2+(448.8-796)+(-0.817122+(-0.228888--0.40596))+0-0-0</f>
        <v>1254.35995</v>
      </c>
      <c r="J145" s="3">
        <f>1448.8+(464-662.7)+(1.477776+(0.47328-0.675954))+0-0-0</f>
        <v>1251.375102</v>
      </c>
      <c r="K145" s="3">
        <f>1444.3+(457.4-749.8)+(-3.682965+(-1.16637--1.91199))+0-0-0</f>
        <v>1148.962655</v>
      </c>
      <c r="L145" s="3">
        <f>1395.6+(398.2-737.6)+(-1.423512+(-0.406164--0.752352))+0-0-0</f>
        <v>1055.1226759999997</v>
      </c>
      <c r="M145" s="3">
        <f>1367+(361.7-700.9)+(0.69717+(0.184467-0.357459))+0-0-0</f>
        <v>1028.3241779999998</v>
      </c>
      <c r="N145" s="3">
        <f>1543.3+(306.6-774)+(-0.787083+(-0.156366--0.39474))+0-0-0</f>
        <v>1075.3512910000002</v>
      </c>
      <c r="O145" s="3">
        <f>1662.9+(315.6-864.9)+(0.848079+(0.160956-0.441099))+0-0-0</f>
        <v>1114.1679360000001</v>
      </c>
      <c r="P145" s="3">
        <f>1701.4+(409.9-940.7)+(3.470856+(0.836196-1.919028))+0-0-0</f>
        <v>1172.988024</v>
      </c>
      <c r="Q145" s="3">
        <f>1966.3+(435.9-1146.9)+(3.008439+(0.666927-1.754757))+0-0-0</f>
        <v>1257.2206089999997</v>
      </c>
      <c r="R145" s="3">
        <f>2238.5+(406.7-1305.8)+(-2.28327+(-0.414834--1.331916))+0-0-0</f>
        <v>1338.0338120000001</v>
      </c>
      <c r="S145" s="3">
        <f>2291+(421.2-1330.5)+(-1.16841+(-0.214812--0.678555))+0-0-0</f>
        <v>1380.9953330000001</v>
      </c>
      <c r="T145" s="3">
        <f>2302.5+(451.6-1316.9)+(2.34855+(0.460632-1.343238))+0-0-0</f>
        <v>1438.6659439999999</v>
      </c>
      <c r="U145" s="3">
        <f>2282.2+(418.8-1249.1)+(-2.327844+(-0.427176--1.274082))+0-0-0</f>
        <v>1450.4190619999999</v>
      </c>
      <c r="V145" s="3">
        <f>2289.5+(415.4-1282.4)+(-2.33529+(-0.423708--1.308048))+0-0-0</f>
        <v>1421.0490500000001</v>
      </c>
      <c r="W145" s="3">
        <f>2281.2+(420.5-1318.3)+(-2.326824+(-0.42891--1.344666))+0-0-0</f>
        <v>1381.988932</v>
      </c>
      <c r="X145" s="3">
        <f>2259+(358.7-1248.1)+(-5.76045+(-0.914685--3.182655))+0-0-0</f>
        <v>1366.1075200000002</v>
      </c>
      <c r="Y145" s="3">
        <f>2214.7+(313.3-1092.5)+(0+(0-0))+0-0-0</f>
        <v>1435.4999999999998</v>
      </c>
      <c r="Z145" s="3">
        <f>2280.4+(383.3-1053.6)+(1.163004+(0.195483-0.537336))+0-0-0</f>
        <v>1610.9211510000002</v>
      </c>
      <c r="AA145" s="3">
        <f>2337+(426.4-1131.8)+(-4.76748+(-0.869856--2.308872))+0-0-0</f>
        <v>1628.271536</v>
      </c>
      <c r="AB145" s="3">
        <f>2337+(464.3-1156.1)+(-3.57561+(-0.710379--1.768833))+0-0-0</f>
        <v>1642.6828439999999</v>
      </c>
      <c r="AC145" s="3">
        <f>2338.3+(481.6-1169.3)+(2.385066+(0.491232-1.192686))+0-0-0</f>
        <v>1652.2836120000004</v>
      </c>
      <c r="AD145">
        <v>1682.6000000000001</v>
      </c>
      <c r="AE145" s="3">
        <f>2365+(411.9-1094.3)+(0+(0-0))+0-0-0</f>
        <v>1682.6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2305.6+(398.5-1122.6)+(1.175856+(0.203235-0.572526))+0-0-0</f>
        <v>1582.3065650000001</v>
      </c>
      <c r="G146" s="3">
        <f>1916.8+(397.1-838.6)+(-1.955136+(-0.405042--0.855372))+0-0-0</f>
        <v>1473.795194</v>
      </c>
      <c r="H146" s="3">
        <f>1478.5+(384.3-480.9)+(-1.50807+(-0.391986--0.490518))+0-0-0</f>
        <v>1380.490462</v>
      </c>
      <c r="I146" s="3">
        <f>1429.3+(373-445.9)+(0.728943+(0.19023-0.227409))+0-0-0</f>
        <v>1357.091764</v>
      </c>
      <c r="J146" s="3">
        <f>1430.1+(441-539.6)+(-0.729351+(-0.22491--0.275196))+0-0-0</f>
        <v>1330.820935</v>
      </c>
      <c r="K146" s="3">
        <f>1430+(427.5-624.2)+(-3.6465+(-1.090125--1.59171))+0-0-0</f>
        <v>1230.1550849999999</v>
      </c>
      <c r="L146" s="3">
        <f>1428.2+(450.5-727.2)+(-1.456764+(-0.45951--0.741744))+0-0-0</f>
        <v>1150.32547</v>
      </c>
      <c r="M146" s="3">
        <f>1424.2+(462.7-704.9)+(1.452684+(0.471954-0.718998))+0-0-0</f>
        <v>1183.2056399999999</v>
      </c>
      <c r="N146" s="3">
        <f>1423.9+(538.1-649.6)+(3.630945+(1.372155-1.65648))+0-0-0</f>
        <v>1315.7466200000001</v>
      </c>
      <c r="O146" s="3">
        <f>1460.7+(595.5-615.3)+(0.744957+(0.303705-0.313803))+0-0-0</f>
        <v>1441.634859</v>
      </c>
      <c r="P146" s="3">
        <f>2014.7+(466.6-925.4)+(1.027497+(0.237966-0.471954))+0-0-0</f>
        <v>1556.6935090000002</v>
      </c>
      <c r="Q146" s="3">
        <f>2555.4+(411.9-1184.9)+(0+(0-0))+0-0-0</f>
        <v>1782.4</v>
      </c>
      <c r="R146" s="3">
        <f>2706.5+(412-1344.3)+(4.140945+(0.63036-2.056779))+0-0-0</f>
        <v>1776.914526</v>
      </c>
      <c r="S146" s="3">
        <f>2714.1+(430.4-1305.8)+(-1.384191+(-0.219504--0.665958))+0-0-0</f>
        <v>1837.7622629999998</v>
      </c>
      <c r="T146" s="3">
        <f>2714.8+(440.3-1245.8)+(0+(0-0))+0-0-0</f>
        <v>1909.3000000000002</v>
      </c>
      <c r="U146" s="3">
        <f>2699.2+(430.4-1218.3)+(-5.506368+(-0.878016--2.485332))+0-0-0</f>
        <v>1907.4009479999997</v>
      </c>
      <c r="V146" s="3">
        <f>2704.4+(449.2-1278)+(-2.758488+(-0.458184--1.30356))+0-0-0</f>
        <v>1873.6868880000002</v>
      </c>
      <c r="W146" s="3">
        <f>2695+(435.2-1338.7)+(-6.87225+(-1.10976--3.413685))+0-0-0</f>
        <v>1786.931675</v>
      </c>
      <c r="X146" s="3">
        <f>2404.3+(433.8-1142.3)+(-9.809544+(-1.769904--4.660584))+0-0-0</f>
        <v>1688.8811360000002</v>
      </c>
      <c r="Y146" s="3">
        <f>2342.5+(299.9-950.7)+(-1.194675+(-0.152949--0.484857))+0-0-0</f>
        <v>1690.8372329999997</v>
      </c>
      <c r="Z146" s="3">
        <f>2496.6+(394-958.5)+(2.546532+(0.40188-0.97767))+0-0-0</f>
        <v>1934.0707419999999</v>
      </c>
      <c r="AA146" s="3">
        <f>2486.5+(428.7-978.8)+(-2.53623+(-0.437274--0.998376))+0-0-0</f>
        <v>1934.4248720000001</v>
      </c>
      <c r="AB146" s="3">
        <f>2483+(418.1-992.3)+(-2.53266+(-0.426462--1.012146))+0-0-0</f>
        <v>1906.8530240000002</v>
      </c>
      <c r="AC146" s="3">
        <f>2471.2+(458.6-1029)+(-2.520624+(-0.467772--1.04958))+0-0-0</f>
        <v>1898.8611839999996</v>
      </c>
      <c r="AD146">
        <v>1985.4999999999998</v>
      </c>
      <c r="AE146" s="3">
        <f>2511+(456.2-981.7)+(0+(0-0))+0-0-0</f>
        <v>1985.5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2279.2+(476.2-905.7)+(-1.162392+(-0.242862--0.461907))+0-0-0</f>
        <v>1848.7566529999999</v>
      </c>
      <c r="G147" s="3">
        <f>1991.8+(468.7-728.1)+(-3.047454+(-0.717111--1.113993))+0-0-0</f>
        <v>1729.7494279999999</v>
      </c>
      <c r="H147" s="3">
        <f>1593.9+(475.1-446.9)+(0.812889+(0.242301-0.227919))+0-0-0</f>
        <v>1622.9272710000002</v>
      </c>
      <c r="I147" s="3">
        <f>1406.3+(446.6-281)+(-1.434426+(-0.455532--0.28662))+0-0-0</f>
        <v>1570.2966620000002</v>
      </c>
      <c r="J147" s="3">
        <f>1396.4+(432.6-296.4)+(-2.848656+(-0.882504--0.604656))+0-0-0</f>
        <v>1529.4734960000001</v>
      </c>
      <c r="K147" s="3">
        <f>1399.7+(373.2-364.6)+(-2.855388+(-0.761328--0.743784))+0-0-0</f>
        <v>1405.427068</v>
      </c>
      <c r="L147" s="3">
        <f>1400.5+(305.4-427.6)+(-2.142765+(-0.467262--0.654228))+0-0-0</f>
        <v>1276.3442009999999</v>
      </c>
      <c r="M147" s="3">
        <f>1506.5+(273.7-480.6)+(0.768315+(0.139587-0.245106))+0-0-0</f>
        <v>1300.262796</v>
      </c>
      <c r="N147" s="3">
        <f>1927.6+(350.3-819.8)+(0+(0-0))+0-0-0</f>
        <v>1458.1</v>
      </c>
      <c r="O147" s="3">
        <f>2076+(326.1-809)+(2.11752+(0.332622-0.82518))+0-0-0</f>
        <v>1594.724962</v>
      </c>
      <c r="P147" s="3">
        <f>2336.2+(401.2-1048.7)+(3.574386+(0.613836-1.604511))+0-0-0</f>
        <v>1691.2837109999998</v>
      </c>
      <c r="Q147" s="3">
        <f>2655.9+(412.5-1244.8)+(2.709018+(0.42075-1.269696))+0-0-0</f>
        <v>1825.4600720000001</v>
      </c>
      <c r="R147" s="3">
        <f>2705.3+(408.5-1149.9)+(5.518812+(0.83334-2.345796))+0-0-0</f>
        <v>1967.9063560000002</v>
      </c>
      <c r="S147" s="3">
        <f>2772.9+(415.6-1101.8)+(0+(0-0))+0-0-0</f>
        <v>2086.7000000000003</v>
      </c>
      <c r="T147" s="3">
        <f>2830.1+(431.5-1047.5)+(-2.886702+(-0.44013--1.06845))+0-0-0</f>
        <v>2211.8416179999999</v>
      </c>
      <c r="U147" s="3">
        <f>2828.3+(420.1-1069.2)+(1.442433+(0.214251-0.545292))+0-0-0</f>
        <v>2180.3113920000001</v>
      </c>
      <c r="V147" s="3">
        <f>2830.6+(426-1126.1)+(-1.443606+(-0.21726--0.574311))+0-0-0</f>
        <v>2129.4134450000001</v>
      </c>
      <c r="W147" s="3">
        <f>2827.3+(459-1272.5)+(-2.883846+(-0.46818--1.29795))+0-0-0</f>
        <v>2011.7459240000003</v>
      </c>
      <c r="X147" s="3">
        <f>2767+(427.4-1319.5)+(-8.46702+(-1.307844--4.03767))+0-0-0</f>
        <v>1869.162806</v>
      </c>
      <c r="Y147" s="3">
        <f>2517.1+(342.2-989.4)+(0+(0-0))+0-0-0</f>
        <v>1869.8999999999999</v>
      </c>
      <c r="Z147" s="3">
        <f>2870.9+(388.8-1151.6)+(-2.928318+(-0.396576--1.174632))+0-0-0</f>
        <v>2105.9497380000003</v>
      </c>
      <c r="AA147" s="3">
        <f>2903.3+(407.7-1198.6)+(-7.403415+(-1.039635--3.05643))+0-0-0</f>
        <v>2107.0133800000003</v>
      </c>
      <c r="AB147" s="3">
        <f>2806.6+(430.5-1150.2)+(1.431366+(0.219555-0.586602))+0-0-0</f>
        <v>2087.9643189999997</v>
      </c>
      <c r="AC147" s="3">
        <f>2718.5+(476.5-1091.6)+(-5.54574+(-0.97206--2.226864))+0-0-0</f>
        <v>2099.1090640000002</v>
      </c>
      <c r="AD147">
        <v>2143</v>
      </c>
      <c r="AE147" s="3">
        <f>2894+(425.8-1176.8)+(0+(0-0))+0-0-0</f>
        <v>2143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2695+(447.6-1080.2)+(-4.12335+(-0.684828--1.652706))+0-0-0</f>
        <v>2059.2445280000002</v>
      </c>
      <c r="G148" s="3">
        <f>2305.2+(459.3-827)+(-4.702608+(-0.936972--1.68708))+0-0-0</f>
        <v>1933.5474999999997</v>
      </c>
      <c r="H148" s="3">
        <f>1780.3+(473.5-447.9)+(-2.723859+(-0.724455--0.685287))+0-0-0</f>
        <v>1803.1369730000001</v>
      </c>
      <c r="I148" s="3">
        <f>1435.2+(527.9-238.9)+(-0.731952+(-0.269229--0.121839))+0-0-0</f>
        <v>1723.3206580000001</v>
      </c>
      <c r="J148" s="3">
        <f>1401.4+(527.6-259.7)+(-2.858856+(-1.076304--0.529788))+0-0-0</f>
        <v>1665.8946280000002</v>
      </c>
      <c r="K148" s="3">
        <f>1401+(472.9-343.2)+(-2.85804+(-0.964716--0.700128))+0-0-0</f>
        <v>1527.577372</v>
      </c>
      <c r="L148" s="3">
        <f>1394.1+(411.1-396.1)+(-4.265946+(-1.257966--1.212066))+0-0-0</f>
        <v>1404.7881539999998</v>
      </c>
      <c r="M148" s="3">
        <f>1470+(330.6-397.2)+(-1.4994+(-0.337212--0.405144))+0-0-0</f>
        <v>1401.9685320000001</v>
      </c>
      <c r="N148" s="3">
        <f>1724.7+(342.7-566.7)+(3.518388+(0.699108-1.156068))+0-0-0</f>
        <v>1503.761428</v>
      </c>
      <c r="O148" s="3">
        <f>2244.7+(398.8-933.9)+(0+(0-0))+0-0-0</f>
        <v>1709.6</v>
      </c>
      <c r="P148" s="3">
        <f>2591.9+(400.1-1235.4)+(-2.643738+(-0.408102--1.260108))+0-0-0</f>
        <v>1754.808268</v>
      </c>
      <c r="Q148" s="3">
        <f>2852.8+(385.3-1372.7)+(0+(0-0))+0-0-0</f>
        <v>1865.4</v>
      </c>
      <c r="R148" s="3">
        <f>2849.3+(393.1-1249.5)+(1.453143+(0.200481-0.637245))+0-0-0</f>
        <v>1993.916379</v>
      </c>
      <c r="S148" s="3">
        <f>2826.7+(366.8-1103.1)+(-2.883234+(-0.374136--1.125162))+0-0-0</f>
        <v>2088.2677919999996</v>
      </c>
      <c r="T148" s="3">
        <f>2824.5+(364.9-985.7)+(-4.321485+(-0.558297--1.508121))+0-0-0</f>
        <v>2200.3283389999997</v>
      </c>
      <c r="U148" s="3">
        <f>2833.3+(374.3-1005.1)+(-5.779932+(-0.763572--2.050404))+0-0-0</f>
        <v>2198.0068999999999</v>
      </c>
      <c r="V148" s="3">
        <f>2861.4+(354.6-1062.6)+(-5.837256+(-0.723384--2.167704))+0-0-0</f>
        <v>2149.0070639999999</v>
      </c>
      <c r="W148" s="3">
        <f>2881.9+(345.4-1190.6)+(-1.469769+(-0.176154--0.607206))+0-0-0</f>
        <v>2035.6612830000004</v>
      </c>
      <c r="X148" s="3">
        <f>2809.1+(297.5-1227.7)+(-2.865282+(-0.30345--1.252254))+0-0-0</f>
        <v>1876.9835219999998</v>
      </c>
      <c r="Y148" s="3">
        <f>2744.2+(229-1105.6)+(2.799084+(0.23358-1.127712))+0-0-0</f>
        <v>1869.504952</v>
      </c>
      <c r="Z148" s="3">
        <f>2878.8+(347.6-1111.4)+(0+(0-0))+0-0-0</f>
        <v>2115</v>
      </c>
      <c r="AA148" s="3">
        <f>2919.4+(344.7-1145)+(-2.977788+(-0.351594--1.1679))+0-0-0</f>
        <v>2116.9385180000004</v>
      </c>
      <c r="AB148" s="3">
        <f>2924.6+(330.4-1160.5)+(-5.966184+(-0.674016--2.36742))+0-0-0</f>
        <v>2090.2272200000002</v>
      </c>
      <c r="AC148" s="3">
        <f>2933.4+(344.5-1170.5)+(-2.992068+(-0.35139--1.19391))+0-0-0</f>
        <v>2105.2504520000002</v>
      </c>
      <c r="AD148">
        <v>2079.3000000000002</v>
      </c>
      <c r="AE148" s="3">
        <f>2917+(335.6-1173.3)+(0+(0-0))+0-0-0</f>
        <v>2079.3000000000002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2684.2+(358.9-990.7)+(-2.737884+(-0.366078--1.010514))+0-0-0</f>
        <v>2050.3065519999996</v>
      </c>
      <c r="G149" s="3">
        <f>2326.8+(313.2-710.2)+(-3.560004+(-0.479196--1.086606))+0-0-0</f>
        <v>1926.8474060000001</v>
      </c>
      <c r="H149" s="3">
        <f>1889.7+(336.5-434.5)+(-3.854988+(-0.68646--0.88638))+0-0-0</f>
        <v>1788.044932</v>
      </c>
      <c r="I149" s="3">
        <f>1698.2+(289.2-251)+(-1.732164+(-0.294984--0.25602))+0-0-0</f>
        <v>1734.628872</v>
      </c>
      <c r="J149" s="3">
        <f>1649.1+(306.9-267)+(0+(0-0))+0-0-0</f>
        <v>1689</v>
      </c>
      <c r="K149" s="3">
        <f>1604.3+(301.4-363.4)+(-4.090965+(-0.76857--0.92667))+0-0-0</f>
        <v>1538.367135</v>
      </c>
      <c r="L149" s="3">
        <f>1494.2+(292.8-389.3)+(-1.524084+(-0.298656--0.397086))+0-0-0</f>
        <v>1396.2743460000002</v>
      </c>
      <c r="M149" s="3">
        <f>1506.2+(286.9-408)+(1.536324+(0.292638-0.41616))+0-0-0</f>
        <v>1386.512802</v>
      </c>
      <c r="N149" s="3">
        <f>1767.2+(268.2-513.4)+(0.901272+(0.136782-0.261834))+0-0-0</f>
        <v>1522.77622</v>
      </c>
      <c r="O149" s="3">
        <f>2054.7+(347-733.3)+(2.095794+(0.35394-0.747966))+0-0-0</f>
        <v>1670.1017679999998</v>
      </c>
      <c r="P149" s="3">
        <f>2490.6+(342.8-1038.4)+(-2.540412+(-0.349656--1.059168))+0-0-0</f>
        <v>1793.1690999999998</v>
      </c>
      <c r="Q149" s="3">
        <f>2709.9+(306.4-1103.6)+(1.382049+(0.156264-0.562836))+0-0-0</f>
        <v>1913.6754770000002</v>
      </c>
      <c r="R149" s="3">
        <f>2699.8+(302.2-950.3)+(-2.753796+(-0.308244--0.969306))+0-0-0</f>
        <v>2049.6072660000004</v>
      </c>
      <c r="S149" s="3">
        <f>2696.7+(328.7-848.8)+(-2.750634+(-0.335274--0.865776))+0-0-0</f>
        <v>2174.379868</v>
      </c>
      <c r="T149" s="3">
        <f>2700.5+(334.8-733.5)+(1.377255+(0.170748-0.374085))+0-0-0</f>
        <v>2302.9739180000001</v>
      </c>
      <c r="U149" s="3">
        <f>2693.4+(346.4-747.1)+(0+(0-0))+0-0-0</f>
        <v>2292.6999999999998</v>
      </c>
      <c r="V149" s="3">
        <f>2686.7+(350-826.1)+(-2.740434+(-0.357--0.842622))+0-0-0</f>
        <v>2208.3451879999998</v>
      </c>
      <c r="W149" s="3">
        <f>2711.7+(402.7-1054.6)+(-2.765934+(-0.410754--1.075692))+0-0-0</f>
        <v>2057.6990040000001</v>
      </c>
      <c r="X149" s="3">
        <f>2635.5+(340.3-1094.8)+(-4.032315+(-0.520659--1.675044))+0-0-0</f>
        <v>1878.1220699999999</v>
      </c>
      <c r="Y149" s="3">
        <f>2571.7+(262-948.1)+(-2.623134+(-0.26724--0.967062))+0-0-0</f>
        <v>1883.676688</v>
      </c>
      <c r="Z149" s="3">
        <f>2747.5+(356.7-978.2)+(-1.401225+(-0.181917--0.498882))+0-0-0</f>
        <v>2124.9157399999999</v>
      </c>
      <c r="AA149" s="3">
        <f>2757.1+(361.6-993)+(-7.030605+(-0.92208--2.53215))+0-0-0</f>
        <v>2120.2794649999996</v>
      </c>
      <c r="AB149" s="3">
        <f>2745.7+(391.7-1007.8)+(-2.800614+(-0.399534--1.027956))+0-0-0</f>
        <v>2127.4278079999999</v>
      </c>
      <c r="AC149" s="3">
        <f>2545.3+(455-837.9)+(0+(0-0))+0-0-0</f>
        <v>2162.4</v>
      </c>
      <c r="AD149">
        <v>2178.6000000000004</v>
      </c>
      <c r="AE149" s="3">
        <f>2772+(375.4-968.8)+(0+(0-0))+0-0-0</f>
        <v>2178.6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2439.7+(502.5-815.8)+(-6.221235+(-1.281375--2.08029))+0-0-0</f>
        <v>2120.9776799999995</v>
      </c>
      <c r="G150" s="3">
        <f>2317.4+(461.7-778.4)+(-4.727496+(-0.941868--1.587936))+0-0-0</f>
        <v>1996.6185720000001</v>
      </c>
      <c r="H150" s="3">
        <f>2055.7+(345.6-511)+(-3.145221+(-0.528768--0.78183))+0-0-0</f>
        <v>1887.4078409999997</v>
      </c>
      <c r="I150" s="3">
        <f>1776.8+(387-351)+(-0.906168+(-0.19737--0.17901))+0-0-0</f>
        <v>1811.8754719999999</v>
      </c>
      <c r="J150" s="3">
        <f>1673+(409.7-324.2)+(0+(0-0))+0-0-0</f>
        <v>1758.5</v>
      </c>
      <c r="K150" s="3">
        <f>1613+(395.4-396.2)+(-4.93578+(-1.209924--1.212372))+0-0-0</f>
        <v>1607.266668</v>
      </c>
      <c r="L150" s="3">
        <f>1605.1+(356.3-502.5)+(-1.637202+(-0.363426--0.51255))+0-0-0</f>
        <v>1457.4119219999998</v>
      </c>
      <c r="M150" s="3">
        <f>1724.1+(370.4-651.9)+(2.637873+(0.566712-0.997407))+0-0-0</f>
        <v>1444.807178</v>
      </c>
      <c r="N150" s="3">
        <f>1967+(376.1-778.1)+(1.00317+(0.191811-0.396831))+0-0-0</f>
        <v>1565.7981500000001</v>
      </c>
      <c r="O150" s="3">
        <f>2425.1+(386.8-1127.8)+(-1.236801+(-0.197268--0.575178))+0-0-0</f>
        <v>1683.2411089999998</v>
      </c>
      <c r="P150" s="3">
        <f>2678.1+(406.5-1299.4)+(-1.365831+(-0.207315--0.662694))+0-0-0</f>
        <v>1784.2895479999997</v>
      </c>
      <c r="Q150" s="3">
        <f>2696.2+(400.5-1224.1)+(-2.750124+(-0.40851--1.248582))+0-0-0</f>
        <v>1870.689948</v>
      </c>
      <c r="R150" s="3">
        <f>2704.6+(443.7-1164.7)+(1.379346+(0.226287-0.593997))+0-0-0</f>
        <v>1984.6116359999999</v>
      </c>
      <c r="S150" s="3">
        <f>2689.5+(436.9-1022.1)+(-4.114935+(-0.668457--1.563813))+0-0-0</f>
        <v>2101.0804210000001</v>
      </c>
      <c r="T150" s="3">
        <f>2742.8+(434.8-943.2)+(0+(0-0))+0-0-0</f>
        <v>2234.4</v>
      </c>
      <c r="U150" s="3">
        <f>2744.6+(436.6-955.7)+(2.799492+(0.445332-0.974814))+0-0-0</f>
        <v>2227.7700100000002</v>
      </c>
      <c r="V150" s="3">
        <f>2743+(440-1061.1)+(0+(0-0))+0-0-0</f>
        <v>2121.9</v>
      </c>
      <c r="W150" s="3">
        <f>2676.4+(429.7-1156.8)+(-4.094892+(-0.657441--1.769904))+0-0-0</f>
        <v>1946.3175710000003</v>
      </c>
      <c r="X150" s="3">
        <f>2680+(413.9-1276.8)+(-5.4672+(-0.844356--2.604672))+0-0-0</f>
        <v>1813.393116</v>
      </c>
      <c r="Y150" s="3">
        <f>2615.7+(347.7-1102.7)+(1.334007+(0.177327-0.562377))+0-0-0</f>
        <v>1861.6489569999999</v>
      </c>
      <c r="Z150" s="3">
        <f>2781.2+(343.9-1032.9)+(4.255236+(0.526167-1.580337))+0-0-0</f>
        <v>2095.4010659999999</v>
      </c>
      <c r="AA150" s="3">
        <f>2765+(353.4-1033.9)+(-4.23045+(-0.540702--1.581867))+0-0-0</f>
        <v>2081.3107150000001</v>
      </c>
      <c r="AB150" s="3">
        <f>2770.6+(414.3-1102.3)+(-1.413006+(-0.211293--0.562173))+0-0-0</f>
        <v>2081.5378740000001</v>
      </c>
      <c r="AC150" s="3">
        <f>2773.3+(403.9-1079.6)+(0+(0-0))+0-0-0</f>
        <v>2097.6000000000004</v>
      </c>
      <c r="AD150">
        <v>2103.5</v>
      </c>
      <c r="AE150" s="3">
        <f>2793+(409.1-1098.6)+(0+(0-0))+0-0-0</f>
        <v>2103.5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2531.6+(481-971)+(-2.582232+(-0.49062--0.99042))+0-0-0</f>
        <v>2039.517568</v>
      </c>
      <c r="G151" s="3">
        <f>1982.8+(513.6-584.9)+(0+(0-0))+0-0-0</f>
        <v>1911.5</v>
      </c>
      <c r="H151" s="3">
        <f>1653.4+(558.1-413.1)+(0.843234+(0.284631-0.210681))+0-0-0</f>
        <v>1799.317184</v>
      </c>
      <c r="I151" s="3">
        <f>1650.6+(483.9-387.9)+(-0.841806+(-0.246789--0.197829))+0-0-0</f>
        <v>1745.7092339999999</v>
      </c>
      <c r="J151" s="3">
        <f>1660.7+(475.1-424.1)+(2.540871+(0.726903-0.648873))+0-0-0</f>
        <v>1714.3189010000001</v>
      </c>
      <c r="K151" s="3">
        <f>1572.2+(456.9-465.5)+(-4.810932+(-1.398114--1.42443))+0-0-0</f>
        <v>1558.815384</v>
      </c>
      <c r="L151" s="3">
        <f>1509.4+(403-491.3)+(-3.84897+(-1.02765--1.252815))+0-0-0</f>
        <v>1417.4761950000002</v>
      </c>
      <c r="M151" s="3">
        <f>1587+(347.4-524.4)+(0.80937+(0.177174-0.267444))+0-0-0</f>
        <v>1410.7191</v>
      </c>
      <c r="N151" s="3">
        <f>1672+(350.4-502.8)+(0.85272+(0.178704-0.256428))+0-0-0</f>
        <v>1520.374996</v>
      </c>
      <c r="O151" s="3">
        <f>1739+(439.7-568.4)+(1.77378+(0.448494-0.579768))+0-0-0</f>
        <v>1611.9425059999999</v>
      </c>
      <c r="P151" s="3">
        <f>2287.5+(440.2-1037.1)+(2.33325+(0.449004-1.057842))+0-0-0</f>
        <v>1692.3244120000002</v>
      </c>
      <c r="Q151" s="3">
        <f>2648.4+(429.3-1294.4)+(4.052052+(0.656829-1.980432))+0-0-0</f>
        <v>1786.0284489999999</v>
      </c>
      <c r="R151" s="3">
        <f>2714.4+(417.4-1259.6)+(-1.384344+(-0.212874--0.642396))+0-0-0</f>
        <v>1871.2451780000004</v>
      </c>
      <c r="S151" s="3">
        <f>2692.2+(415.6-1171.3)+(-5.492088+(-0.847824--2.389452))+0-0-0</f>
        <v>1932.54954</v>
      </c>
      <c r="T151" s="3">
        <f>2733.7+(441.7-1182.2)+(-2.788374+(-0.450534--1.205844))+0-0-0</f>
        <v>1991.1669359999999</v>
      </c>
      <c r="U151" s="3">
        <f>2731.4+(405-1160.2)+(-4.179042+(-0.61965--1.775106))+0-0-0</f>
        <v>1973.176414</v>
      </c>
      <c r="V151" s="3">
        <f>2695.8+(392-1192)+(-4.124574+(-0.59976--1.82376))+0-0-0</f>
        <v>1892.8994260000002</v>
      </c>
      <c r="W151" s="3">
        <f>2684+(387.2-1301.3)+(-5.47536+(-0.789888--2.654652))+0-0-0</f>
        <v>1766.2894040000001</v>
      </c>
      <c r="X151" s="3">
        <f>2558.5+(382.8-1268.2)+(-3.914505+(-0.585684--1.940346))+0-0-0</f>
        <v>1670.5401569999999</v>
      </c>
      <c r="Y151" s="3">
        <f>2421.4+(385-1087.1)+(-1.234914+(-0.19635--0.554421))+0-0-0</f>
        <v>1718.4231570000002</v>
      </c>
      <c r="Z151" s="3">
        <f>2788.6+(346.4-1203.3)+(-2.844372+(-0.353328--1.227366))+0-0-0</f>
        <v>1929.7296659999997</v>
      </c>
      <c r="AA151" s="3">
        <f>2734.4+(308.2-1086.1)+(-4.183632+(-0.471546--1.661733))+0-0-0</f>
        <v>1953.5065550000002</v>
      </c>
      <c r="AB151" s="3">
        <f>2611.6+(392.1-1055.2)+(-1.331916+(-0.199971--0.538152))+0-0-0</f>
        <v>1947.506265</v>
      </c>
      <c r="AC151" s="3">
        <f>2496.5+(457.9-1014.1)+(-1.273215+(-0.233529--0.517191))+0-0-0</f>
        <v>1939.3104470000001</v>
      </c>
      <c r="AD151">
        <v>2004.1</v>
      </c>
      <c r="AE151" s="3">
        <f>2819+(372.7-1187.6)+(0+(0-0))+0-0-0</f>
        <v>2004.1000000000001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2333.2+(477.4-881.7)+(-2.379864+(-0.486948--0.899334))+0-0-0</f>
        <v>1926.9325219999996</v>
      </c>
      <c r="G152" s="3">
        <f>2197.2+(464.8-806.7)+(-2.241144+(-0.474096--0.822834))+0-0-0</f>
        <v>1853.4075939999998</v>
      </c>
      <c r="H152" s="3">
        <f>2017.1+(472.4-746.9)+(-4.114884+(-0.963696--1.523676))+0-0-0</f>
        <v>1739.0450959999998</v>
      </c>
      <c r="I152" s="3">
        <f>1838.5+(487.3-638.5)+(-0.937635+(-0.248523--0.325635))+0-0-0</f>
        <v>1686.4394769999999</v>
      </c>
      <c r="J152" s="3">
        <f>1814.3+(470.6-631.3)+(-2.775879+(-0.720018--0.965889))+0-0-0</f>
        <v>1651.069992</v>
      </c>
      <c r="K152" s="3">
        <f>1738.4+(468.8-679.9)+(-1.773168+(-0.478176--0.693498))+0-0-0</f>
        <v>1525.7421540000003</v>
      </c>
      <c r="L152" s="3">
        <f>1527.4+(368.6-501.9)+(-6.231792+(-1.503888--2.047752))+0-0-0</f>
        <v>1388.4120720000001</v>
      </c>
      <c r="M152" s="3">
        <f>1440.3+(319.2-422.1)+(0+(0-0))+0-0-0</f>
        <v>1337.3999999999999</v>
      </c>
      <c r="N152" s="3">
        <f>1551.5+(326.6-504.7)+(1.58253+(0.333132-0.514794))+0-0-0</f>
        <v>1374.800868</v>
      </c>
      <c r="O152" s="3">
        <f>1614+(350.7-534.8)+(-1.64628+(-0.357714--0.545496))+0-0-0</f>
        <v>1428.4415020000001</v>
      </c>
      <c r="P152" s="3">
        <f>1739.3+(344.1-588.8)+(0+(0-0))+0-0-0</f>
        <v>1494.6</v>
      </c>
      <c r="Q152" s="3">
        <f>1907.8+(418.3-761.6)+(0.972978+(0.213333-0.388416))+0-0-0</f>
        <v>1565.2978949999999</v>
      </c>
      <c r="R152" s="3">
        <f>1973.8+(427.9-758.3)+(4.026552+(0.872916-1.546932))+0-0-0</f>
        <v>1646.7525360000002</v>
      </c>
      <c r="S152" s="3">
        <f>1961.7+(405.5-657.5)+(0+(0-0))+0-0-0</f>
        <v>1709.7</v>
      </c>
      <c r="T152" s="3">
        <f>1956.2+(435.8-644.1)+(-0.997662+(-0.222258--0.328491))+0-0-0</f>
        <v>1747.0085710000001</v>
      </c>
      <c r="U152" s="3">
        <f>1977.9+(431.4-674.2)+(-1.008729+(-0.220014--0.343842))+0-0-0</f>
        <v>1734.215099</v>
      </c>
      <c r="V152" s="3">
        <f>1993+(477.8-822.4)+(-4.06572+(-0.974712--1.677696))+0-0-0</f>
        <v>1645.0372640000001</v>
      </c>
      <c r="W152" s="3">
        <f>2094.6+(458.3-988.8)+(-2.136492+(-0.467466--1.008576))+0-0-0</f>
        <v>1562.5046179999999</v>
      </c>
      <c r="X152" s="3">
        <f>2132.9+(446.9-1070.5)+(-3.263337+(-0.683757--1.637865))+0-0-0</f>
        <v>1506.9907710000002</v>
      </c>
      <c r="Y152" s="3">
        <f>2215.1+(300.4-915.5)+(1.129701+(0.153204-0.466905))+0-0-0</f>
        <v>1600.816</v>
      </c>
      <c r="Z152" s="3">
        <f>2456.4+(283.8-956)+(-2.505528+(-0.289476--0.97512))+0-0-0</f>
        <v>1782.380116</v>
      </c>
      <c r="AA152" s="3">
        <f>2451.7+(287.5-968.4)+(-5.001468+(-0.5865--1.975536))+0-0-0</f>
        <v>1767.1875679999998</v>
      </c>
      <c r="AB152" s="3">
        <f>2299.2+(399.2-911.8)+(0+(0-0))+0-0-0</f>
        <v>1786.6</v>
      </c>
      <c r="AC152" s="3">
        <f>2191.8+(391.4-811.2)+(1.117818+(0.199614-0.413712))+0-0-0</f>
        <v>1772.90372</v>
      </c>
      <c r="AD152">
        <v>1770.8</v>
      </c>
      <c r="AE152" s="3">
        <f>2483+(271.5-983.7)+(0+(0-0))+0-0-0</f>
        <v>1770.8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2202.1+(432.9-850.6)+(3.369213+(0.662337-1.301418))+0-0-0</f>
        <v>1787.1301319999998</v>
      </c>
      <c r="G153" s="3">
        <f>2160.7+(411.6-849.4)+(-3.305871+(-0.629748--1.299582))+0-0-0</f>
        <v>1720.2639629999999</v>
      </c>
      <c r="H153" s="3">
        <f>1773.5+(431.4-576.8)+(-0.904485+(-0.220014--0.294168))+0-0-0</f>
        <v>1627.269669</v>
      </c>
      <c r="I153" s="3">
        <f>1653.6+(450-522.2)+(3.373344+(0.918-1.065288))+0-0-0</f>
        <v>1584.6260559999998</v>
      </c>
      <c r="J153" s="3">
        <f>1645.1+(451.5-548.2)+(0+(0-0))+0-0-0</f>
        <v>1548.3999999999999</v>
      </c>
      <c r="K153" s="3">
        <f>1624.4+(421.8-621)+(-3.313776+(-0.860472--1.26684))+0-0-0</f>
        <v>1422.292592</v>
      </c>
      <c r="L153" s="3">
        <f>1626.2+(298.9-598.5)+(-3.317448+(-0.609756--1.22094))+0-0-0</f>
        <v>1323.893736</v>
      </c>
      <c r="M153" s="3">
        <f>1680.6+(243-600.4)+(-0.857106+(-0.12393--0.306204))+0-0-0</f>
        <v>1322.5251679999999</v>
      </c>
      <c r="N153" s="3">
        <f>2206.2+(285.6-1080.4)+(-2.250324+(-0.291312--1.102008))+0-0-0</f>
        <v>1409.9603719999996</v>
      </c>
      <c r="O153" s="3">
        <f>2441.3+(352.8-1273.2)+(1.245063+(0.179928-0.649332))+0-0-0</f>
        <v>1521.675659</v>
      </c>
      <c r="P153" s="3">
        <f>2624.2+(337.7-1375.9)+(2.676684+(0.344454-1.403418))+0-0-0</f>
        <v>1587.6177199999997</v>
      </c>
      <c r="Q153" s="3">
        <f>2740.1+(320.8-1422)+(-1.397451+(-0.163608--0.72522))+0-0-0</f>
        <v>1638.0641609999998</v>
      </c>
      <c r="R153" s="3">
        <f>2731.5+(306.7-1389)+(0+(0-0))+0-0-0</f>
        <v>1649.2</v>
      </c>
      <c r="S153" s="3">
        <f>2712.6+(329.1-1399.4)+(-4.150278+(-0.503523--2.141082))+0-0-0</f>
        <v>1639.7872809999997</v>
      </c>
      <c r="T153" s="3">
        <f>2728.3+(354.2-1399.1)+(1.391433+(0.180642-0.713541))+0-0-0</f>
        <v>1684.2585340000003</v>
      </c>
      <c r="U153" s="3">
        <f>2731.2+(327.5-1389.3)+(2.785824+(0.33405-1.417086))+0-0-0</f>
        <v>1671.1027879999999</v>
      </c>
      <c r="V153" s="3">
        <f>2699.5+(397.1-1482.2)+(-5.50698+(-0.810084--3.023688))+0-0-0</f>
        <v>1611.106624</v>
      </c>
      <c r="W153" s="3">
        <f>2721.6+(404.9-1568.2)+(-2.776032+(-0.412998--1.599564))+0-0-0</f>
        <v>1556.7105339999998</v>
      </c>
      <c r="X153" s="3">
        <f>2707.9+(432.7-1609.2)+(-9.667203+(-1.544739--5.744844))+0-0-0</f>
        <v>1525.932902</v>
      </c>
      <c r="Y153" s="3">
        <f>2552.5+(347.5-1276.5)+(-1.301775+(-0.177225--0.651015))+0-0-0</f>
        <v>1622.6720150000001</v>
      </c>
      <c r="Z153" s="3">
        <f>2849.4+(310.1-1378.5)+(0+(0-0))+0-0-0</f>
        <v>1781</v>
      </c>
      <c r="AA153" s="3">
        <f>2879.3+(324.1-1412.8)+(-5.873772+(-0.661164--2.882112))+0-0-0</f>
        <v>1786.9471760000004</v>
      </c>
      <c r="AB153" s="3">
        <f>2891.6+(343.1-1451.3)+(0+(0-0))+0-0-0</f>
        <v>1783.4</v>
      </c>
      <c r="AC153" s="3">
        <f>2699.8+(434.5-1345.3)+(-4.130694+(-0.664785--2.058309))+0-0-0</f>
        <v>1786.2628300000001</v>
      </c>
      <c r="AD153">
        <v>1835.4999999999998</v>
      </c>
      <c r="AE153" s="3">
        <f>2887+(330.7-1382.2)+(0+(0-0))+0-0-0</f>
        <v>1835.5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2328.1+(468-1084.5)+(3.561993+(0.71604-1.659285))+0-0-0</f>
        <v>1714.218748</v>
      </c>
      <c r="G154" s="3">
        <f>2049.4+(437.2-882.1)+(1.045194+(0.222972-0.449871))+0-0-0</f>
        <v>1605.318295</v>
      </c>
      <c r="H154" s="3">
        <f>1753.9+(445.1-684.8)+(-2.683467+(-0.681003--1.047744))+0-0-0</f>
        <v>1511.8832740000003</v>
      </c>
      <c r="I154" s="3">
        <f>1760.4+(439.7-725.7)+(0.897804+(0.224247-0.370107))+0-0-0</f>
        <v>1475.1519440000002</v>
      </c>
      <c r="J154" s="3">
        <f>1757.9+(454.7-740.5)+(0+(0-0))+0-0-0</f>
        <v>1472.1000000000001</v>
      </c>
      <c r="K154" s="3">
        <f>1747.8+(316.3-691.8)+(-3.565512+(-0.645252--1.411272))+0-0-0</f>
        <v>1369.5005079999999</v>
      </c>
      <c r="L154" s="3">
        <f>1538.9+(300.7-537.2)+(-4.709034+(-0.920142--1.643832))+0-0-0</f>
        <v>1298.4146560000002</v>
      </c>
      <c r="M154" s="3">
        <f>1527.8+(286.6-526.9)+(0.779178+(0.146166-0.268719))+0-0-0</f>
        <v>1288.1566250000001</v>
      </c>
      <c r="N154" s="3">
        <f>1869.6+(370-819.9)+(0.953496+(0.1887-0.418149))+0-0-0</f>
        <v>1420.4240469999997</v>
      </c>
      <c r="O154" s="3">
        <f>2160.8+(385.2-1003.4)+(1.102008+(0.196452-0.511734))+0-0-0</f>
        <v>1543.3867260000002</v>
      </c>
      <c r="P154" s="3">
        <f>2519.4+(457.4-1345.4)+(5.139576+(0.933096-2.744616))+0-0-0</f>
        <v>1634.7280560000002</v>
      </c>
      <c r="Q154" s="3">
        <f>2586.2+(440.6-1319.5)+(1.318962+(0.224706-0.672945))+0-0-0</f>
        <v>1708.1707229999997</v>
      </c>
      <c r="R154" s="3">
        <f>2585.5+(482.1-1297.5)+(2.63721+(0.491742-1.32345))+0-0-0</f>
        <v>1771.9055019999998</v>
      </c>
      <c r="S154" s="3">
        <f>2674.5+(499.6-1361.6)+(-2.72799+(-0.509592--1.388832))+0-0-0</f>
        <v>1810.6512499999999</v>
      </c>
      <c r="T154" s="3">
        <f>2703.5+(505.5-1366.4)+(-2.75757+(-0.51561--1.393728))+0-0-0</f>
        <v>1840.720548</v>
      </c>
      <c r="U154" s="3">
        <f>2655.6+(498.1-1366.7)+(-5.417424+(-1.016124--2.788068))+0-0-0</f>
        <v>1783.3545200000001</v>
      </c>
      <c r="V154" s="3">
        <f>2574.6+(470-1360.9)+(-5.252184+(-0.9588--2.776236))+0-0-0</f>
        <v>1680.2652519999999</v>
      </c>
      <c r="W154" s="3">
        <f>2497.6+(447.8-1359.9)+(-8.916432+(-1.598646--4.854843))+0-0-0</f>
        <v>1579.8397649999997</v>
      </c>
      <c r="X154" s="3">
        <f>2363.7+(374.6-1212)+(-7.232922+(-1.146276--3.70872))+0-0-0</f>
        <v>1521.6295219999997</v>
      </c>
      <c r="Y154" s="3">
        <f>2369.1+(350.2-1128.4)+(1.208241+(0.178602-0.575484))+0-0-0</f>
        <v>1591.7113589999999</v>
      </c>
      <c r="Z154" s="3">
        <f>2456.6+(342.9-1069.1)+(-1.252866+(-0.174879--0.545241))+0-0-0</f>
        <v>1729.5174960000002</v>
      </c>
      <c r="AA154" s="3">
        <f>2421.9+(328.6-1025.8)+(-8.646183+(-1.173102--3.662106))+0-0-0</f>
        <v>1718.5428210000002</v>
      </c>
      <c r="AB154" s="3">
        <f>2255.1+(359.4-935.6)+(-5.750505+(-0.91647--2.38578))+0-0-0</f>
        <v>1674.6188049999998</v>
      </c>
      <c r="AC154" s="3">
        <f>2085.8+(361.2-805.3)+(1.063758+(0.184212-0.410703))+0-0-0</f>
        <v>1642.5372670000004</v>
      </c>
      <c r="AD154">
        <v>1749.3999999999999</v>
      </c>
      <c r="AE154" s="3">
        <f>2468+(361.6-1080.2)+(0+(0-0))+0-0-0</f>
        <v>1749.4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2104.8+(358.6-857.2)+(-1.073448+(-0.182886--0.437172))+0-0-0</f>
        <v>1605.3808380000003</v>
      </c>
      <c r="G155" s="3">
        <f>2095+(360.6-891.5)+(-3.20535+(-0.551718--1.363995))+0-0-0</f>
        <v>1561.706927</v>
      </c>
      <c r="H155" s="3">
        <f>1872.2+(383.3-748.8)+(-1.909644+(-0.390966--0.763776))+0-0-0</f>
        <v>1505.163166</v>
      </c>
      <c r="I155" s="3">
        <f>1706.9+(421.6-665.4)+(2.611557+(0.645048-1.018062))+0-0-0</f>
        <v>1465.3385430000001</v>
      </c>
      <c r="J155" s="3">
        <f>1647.1+(472.4-686.1)+(0.840021+(0.240924-0.349911))+0-0-0</f>
        <v>1434.1310339999998</v>
      </c>
      <c r="K155" s="3">
        <f>1478.2+(424.2-602.5)+(-2.261646+(-0.649026--0.921825))+0-0-0</f>
        <v>1297.911153</v>
      </c>
      <c r="L155" s="3">
        <f>1436.9+(381.8-645.1)+(-5.862552+(-1.557744--2.632008))+0-0-0</f>
        <v>1168.8117120000002</v>
      </c>
      <c r="M155" s="3">
        <f>1374.7+(282.3-562.9)+(0+(0-0))+0-0-0</f>
        <v>1094.1000000000001</v>
      </c>
      <c r="N155" s="3">
        <f>1384.5+(205-492.6)+(2.82438+(0.4182-1.004904))+0-0-0</f>
        <v>1099.1376760000001</v>
      </c>
      <c r="O155" s="3">
        <f>1385.4+(208.7-479.4)+(2.826216+(0.425748-0.977976))+0-0-0</f>
        <v>1116.973988</v>
      </c>
      <c r="P155" s="3">
        <f>1646.2+(188-674.9)+(0+(0-0))+0-0-0</f>
        <v>1159.3000000000002</v>
      </c>
      <c r="Q155" s="3">
        <f>1750.2+(181.3-726.5)+(0.892602+(0.092463-0.370515))+0-0-0</f>
        <v>1205.61455</v>
      </c>
      <c r="R155" s="3">
        <f>1917.7+(247.5-894.6)+(0+(0-0))+0-0-0</f>
        <v>1270.5999999999999</v>
      </c>
      <c r="S155" s="3">
        <f>2177.3+(218-1060.4)+(-3.331269+(-0.33354--1.622412))+0-0-0</f>
        <v>1332.8576030000002</v>
      </c>
      <c r="T155" s="3">
        <f>2193.7+(228.1-1056.5)+(1.118787+(0.116331-0.538815))+0-0-0</f>
        <v>1365.9963029999997</v>
      </c>
      <c r="U155" s="3">
        <f>2186.2+(213.1-1033.4)+(-2.229924+(-0.217362--1.054068))+0-0-0</f>
        <v>1364.5067819999997</v>
      </c>
      <c r="V155" s="3">
        <f>2190.8+(211.2-1067.5)+(1.117308+(0.107712-0.544425))+0-0-0</f>
        <v>1335.1805950000003</v>
      </c>
      <c r="W155" s="3">
        <f>2159.4+(213-1049.3)+(-4.405176+(-0.43452--2.140572))+0-0-0</f>
        <v>1320.4008760000002</v>
      </c>
      <c r="X155" s="3">
        <f>2102.6+(206-967.4)+(-1.072326+(-0.10506--0.493374))+0-0-0</f>
        <v>1340.5159879999999</v>
      </c>
      <c r="Y155" s="3">
        <f>2231.5+(158.4-918.8)+(-1.138065+(-0.080784--0.468588))+0-0-0</f>
        <v>1470.349739</v>
      </c>
      <c r="Z155" s="3">
        <f>2462+(166.1-990.5)+(-5.02248+(-0.338844--2.02062))+0-0-0</f>
        <v>1634.2592959999999</v>
      </c>
      <c r="AA155" s="3">
        <f>2463+(210.2-1044.1)+(-2.51226+(-0.214404--1.064982))+0-0-0</f>
        <v>1627.4383180000002</v>
      </c>
      <c r="AB155" s="3">
        <f>2481.2+(346.6-1191.8)+(0+(0-0))+0-0-0</f>
        <v>1636</v>
      </c>
      <c r="AC155" s="3">
        <f>2466.7+(447.7-1264)+(-5.032068+(-0.913308--2.57856))+0-0-0</f>
        <v>1647.0331839999999</v>
      </c>
      <c r="AD155">
        <v>1655.3000000000002</v>
      </c>
      <c r="AE155" s="3">
        <f>2457+(196.3-998)+(0+(0-0))+0-0-0</f>
        <v>1655.3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2456.5+(444.5-1290.3)+(-5.01126+(-0.90678--2.632212))+0-0-0</f>
        <v>1607.414172</v>
      </c>
      <c r="G156" s="3">
        <f>2166.8+(389.3-1031.1)+(-4.420272+(-0.794172--2.103444))+0-0-0</f>
        <v>1521.8890000000001</v>
      </c>
      <c r="H156" s="3">
        <f>1653.1+(400.9-635.5)+(-0.843081+(-0.204459--0.324105))+0-0-0</f>
        <v>1417.7765649999999</v>
      </c>
      <c r="I156" s="3">
        <f>1513.2+(307-433.8)+(1.543464+(0.31314-0.442476))+0-0-0</f>
        <v>1387.814128</v>
      </c>
      <c r="J156" s="3">
        <f>1513.4+(315-434.4)+(1.543668+(0.3213-0.443088))+0-0-0</f>
        <v>1395.4218800000001</v>
      </c>
      <c r="K156" s="3">
        <f>1490.9+(288.1-489.3)+(-2.281077+(-0.440793--0.748629))+0-0-0</f>
        <v>1287.7267590000001</v>
      </c>
      <c r="L156" s="3">
        <f>1500.4+(287.6-574.6)+(0+(0-0))+0-0-0</f>
        <v>1213.4000000000001</v>
      </c>
      <c r="M156" s="3">
        <f>1542.8+(269.8-587.4)+(0+(0-0))+0-0-0</f>
        <v>1225.2</v>
      </c>
      <c r="N156" s="3">
        <f>1861+(400.1-907.4)+(2.84733+(0.612153-1.388322))+0-0-0</f>
        <v>1355.7711610000001</v>
      </c>
      <c r="O156" s="3">
        <f>2412.8+(399.9-1320.4)+(2.461056+(0.407898-1.346808))+0-0-0</f>
        <v>1493.8221460000002</v>
      </c>
      <c r="P156" s="3">
        <f>2590.5+(372-1431.4)+(5.28462+(0.75888-2.920056))+0-0-0</f>
        <v>1534.223444</v>
      </c>
      <c r="Q156" s="3">
        <f>2599.6+(444.8-1417)+(2.651592+(0.453696-1.44534))+0-0-0</f>
        <v>1629.0599479999998</v>
      </c>
      <c r="R156" s="3">
        <f>2714.6+(429.7-1477.1)+(4.153338+(0.657441-2.259963))+0-0-0</f>
        <v>1669.750816</v>
      </c>
      <c r="S156" s="3">
        <f>2758.4+(426.1-1546)+(0+(0-0))+0-0-0</f>
        <v>1638.5</v>
      </c>
      <c r="T156" s="3">
        <f>2768.1+(421.1-1570.9)+(0+(0-0))+0-0-0</f>
        <v>1618.2999999999997</v>
      </c>
      <c r="U156" s="3">
        <f>2748.2+(379.9-1553.9)+(-8.409492+(-1.162494--4.754934))+0-0-0</f>
        <v>1569.3829479999997</v>
      </c>
      <c r="V156" s="3">
        <f>2717.9+(381.4-1553.1)+(-4.158387+(-0.583542--2.376243))+0-0-0</f>
        <v>1543.8343140000002</v>
      </c>
      <c r="W156" s="3">
        <f>2679.6+(406.9-1574.9)+(-2.733192+(-0.415038--1.606398))+0-0-0</f>
        <v>1510.0581679999998</v>
      </c>
      <c r="X156" s="3">
        <f>2599.4+(398.3-1494.5)+(-3.977082+(-0.609399--2.286585))+0-0-0</f>
        <v>1500.9001040000001</v>
      </c>
      <c r="Y156" s="3">
        <f>2642.8+(350.9-1400.1)+(2.695656+(0.357918-1.428102))+0-0-0</f>
        <v>1595.2254720000003</v>
      </c>
      <c r="Z156" s="3">
        <f>2800+(282.7-1400.2)+(-2.856+(-0.288354--1.428204))+0-0-0</f>
        <v>1680.78385</v>
      </c>
      <c r="AA156" s="3">
        <f>2791.1+(299.9-1419.1)+(-4.270383+(-0.458847--2.171223))+0-0-0</f>
        <v>1669.341993</v>
      </c>
      <c r="AB156" s="3">
        <f>2722.3+(376.2-1477.6)+(-4.165119+(-0.575586--2.260728))+0-0-0</f>
        <v>1618.4200230000004</v>
      </c>
      <c r="AC156" s="3">
        <f>2643.8+(362.3-1452.6)+(-2.696676+(-0.369546--1.481652))+0-0-0</f>
        <v>1551.9154300000002</v>
      </c>
      <c r="AD156">
        <v>1710.7999999999997</v>
      </c>
      <c r="AE156" s="3">
        <f>2828+(252.7-1369.9)+(0+(0-0))+0-0-0</f>
        <v>1710.8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2601.2+(342.6-1459.4)+(-1.326612+(-0.174726--0.744294))+0-0-0</f>
        <v>1483.6429559999997</v>
      </c>
      <c r="G157" s="3">
        <f>2398.9+(350.3-1323.4)+(-3.670317+(-0.535959--2.024802))+0-0-0</f>
        <v>1423.618526</v>
      </c>
      <c r="H157" s="3">
        <f>2149.6+(367.7-1149.1)+(-2.192592+(-0.375054--1.172082))+0-0-0</f>
        <v>1366.8044360000001</v>
      </c>
      <c r="I157" s="3">
        <f>2085.2+(374.9-1114)+(-5.31726+(-0.955995--2.8407))+0-0-0</f>
        <v>1342.6674449999998</v>
      </c>
      <c r="J157" s="3">
        <f>2095.8+(377.2-1135.6)+(1.068858+(0.192372-0.579156))+0-0-0</f>
        <v>1338.0820740000004</v>
      </c>
      <c r="K157" s="3">
        <f>1885.2+(371.1-1007.2)+(-4.80726+(-0.946305--2.56836))+0-0-0</f>
        <v>1245.9147949999999</v>
      </c>
      <c r="L157" s="3">
        <f>1772+(296.1-907.3)+(-2.71116+(-0.453033--1.388169))+0-0-0</f>
        <v>1159.0239760000002</v>
      </c>
      <c r="M157" s="3">
        <f>1851.8+(299.3-996)+(-1.888836+(-0.305286--1.01592))+0-0-0</f>
        <v>1153.9217979999999</v>
      </c>
      <c r="N157" s="3">
        <f>2095.8+(305-1161.4)+(2.137716+(0.3111-1.184628))+0-0-0</f>
        <v>1240.6641880000002</v>
      </c>
      <c r="O157" s="3">
        <f>2283.5+(288.6-1245.9)+(2.32917+(0.294372-1.270818))+0-0-0</f>
        <v>1327.5527239999999</v>
      </c>
      <c r="P157" s="3">
        <f>2500+(345-1417.5)+(1.275+(0.17595-0.722925))+0-0-0</f>
        <v>1428.2280249999999</v>
      </c>
      <c r="Q157" s="3">
        <f>2605.5+(326.2-1452.6)+(-2.65761+(-0.332724--1.481652))+0-0-0</f>
        <v>1477.5913180000002</v>
      </c>
      <c r="R157" s="3">
        <f>2683.2+(387-1529.5)+(-1.368432+(-0.19737--0.780045))+0-0-0</f>
        <v>1539.9142429999997</v>
      </c>
      <c r="S157" s="3">
        <f>2728.2+(390.6-1605.5)+(-6.95691+(-0.99603--4.094025))+0-0-0</f>
        <v>1509.4410849999997</v>
      </c>
      <c r="T157" s="3">
        <f>2752.1+(416.8-1696.4)+(-7.017855+(-1.06284--4.32582))+0-0-0</f>
        <v>1468.7451249999997</v>
      </c>
      <c r="U157" s="3">
        <f>2702.4+(386.9-1655.3)+(-4.134672+(-0.591957--2.532609))+0-0-0</f>
        <v>1431.8059800000001</v>
      </c>
      <c r="V157" s="3">
        <f>2518.5+(379.3-1488.5)+(-3.853305+(-0.580329--2.277405))+0-0-0</f>
        <v>1407.143771</v>
      </c>
      <c r="W157" s="3">
        <f>2394.1+(404.4-1394.8)+(-2.441982+(-0.412488--1.422696))+0-0-0</f>
        <v>1402.2682259999999</v>
      </c>
      <c r="X157" s="3">
        <f>2368.6+(403.2-1371.1)+(-6.03993+(-1.02816--3.496305))+0-0-0</f>
        <v>1397.128215</v>
      </c>
      <c r="Y157" s="3">
        <f>2345.9+(374.2-1220.2)+(-1.196409+(-0.190842--0.622302))+0-0-0</f>
        <v>1499.1350510000002</v>
      </c>
      <c r="Z157" s="3">
        <f>2588.8+(305.7-1333)+(0+(0-0))+0-0-0</f>
        <v>1561.5000000000002</v>
      </c>
      <c r="AA157" s="3">
        <f>2513.5+(360-1309.2)+(-5.12754+(-0.7344--2.670768))+0-0-0</f>
        <v>1561.1088279999999</v>
      </c>
      <c r="AB157" s="3">
        <f>2397+(451.9-1320.3)+(1.22247+(0.230469-0.673353))+0-0-0</f>
        <v>1529.379586</v>
      </c>
      <c r="AC157" s="3">
        <f>2315.6+(420.8-1235.2)+(-4.723824+(-0.858432--2.519808))+0-0-0</f>
        <v>1498.1375519999999</v>
      </c>
      <c r="AD157">
        <v>1585.5000000000002</v>
      </c>
      <c r="AE157" s="3">
        <f>2700+(260.3-1374.8)+(0+(0-0))+0-0-0</f>
        <v>1585.5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2083+(407.9-1080.4)+(-1.06233+(-0.208029--0.551004))+0-0-0</f>
        <v>1409.780645</v>
      </c>
      <c r="G158" s="3">
        <f>1641.2+(406-774)+(0+(0-0))+0-0-0</f>
        <v>1273.2</v>
      </c>
      <c r="H158" s="3">
        <f>1479.8+(374.8-667)+(0+(0-0))+0-0-0</f>
        <v>1187.5999999999999</v>
      </c>
      <c r="I158" s="3">
        <f>1487.7+(372.8-712.7)+(2.276181+(0.570384-1.090431))+0-0-0</f>
        <v>1149.5561339999999</v>
      </c>
      <c r="J158" s="3">
        <f>1477.1+(385-721.8)+(-0.753321+(-0.19635--0.368118))+0-0-0</f>
        <v>1139.718447</v>
      </c>
      <c r="K158" s="3">
        <f>1467.1+(361.3-757.5)+(-3.741105+(-0.921315--1.931625))+0-0-0</f>
        <v>1068.1692049999999</v>
      </c>
      <c r="L158" s="3">
        <f>1469.6+(259-726.9)+(-2.997984+(-0.52836--1.482876))+0-0-0</f>
        <v>999.65653199999997</v>
      </c>
      <c r="M158" s="3">
        <f>1493.5+(261.8-742.3)+(1.52337+(0.267036-0.757146))+0-0-0</f>
        <v>1014.03326</v>
      </c>
      <c r="N158" s="3">
        <f>1763.8+(330-983)+(0+(0-0))+0-0-0</f>
        <v>1110.8</v>
      </c>
      <c r="O158" s="3">
        <f>2223.5+(310.1-1330.6)+(1.133985+(0.158151-0.678606))+0-0-0</f>
        <v>1203.6135300000001</v>
      </c>
      <c r="P158" s="3">
        <f>2338.3+(301.6-1375.3)+(4.770132+(0.615264-2.805612))+0-0-0</f>
        <v>1267.1797840000004</v>
      </c>
      <c r="Q158" s="3">
        <f>2443.7+(406.4-1532.8)+(-6.231435+(-1.03632--3.90864))+0-0-0</f>
        <v>1313.9408849999998</v>
      </c>
      <c r="R158" s="3">
        <f>2414.6+(460.7-1523)+(2.462892+(0.469914-1.55346))+0-0-0</f>
        <v>1353.6793459999999</v>
      </c>
      <c r="S158" s="3">
        <f>2398.2+(420.8-1499.7)+(-3.669246+(-0.643824--2.294541))+0-0-0</f>
        <v>1317.2814709999998</v>
      </c>
      <c r="T158" s="3">
        <f>2380.5+(455.9-1536.6)+(1.214055+(0.232509-0.783666))+0-0-0</f>
        <v>1300.4628980000002</v>
      </c>
      <c r="U158" s="3">
        <f>2286.5+(462-1471.5)+(0+(0-0))+0-0-0</f>
        <v>1277</v>
      </c>
      <c r="V158" s="3">
        <f>2225.8+(443-1389.8)+(-5.67579+(-1.12965--3.54399))+0-0-0</f>
        <v>1275.7385500000003</v>
      </c>
      <c r="W158" s="3">
        <f>2184.1+(438-1330.2)+(-3.341673+(-0.67014--2.035206))+0-0-0</f>
        <v>1289.9233929999998</v>
      </c>
      <c r="X158" s="3">
        <f>2191.2+(390.8-1281.6)+(-3.352536+(-0.597924--1.960848))+0-0-0</f>
        <v>1298.4103879999998</v>
      </c>
      <c r="Y158" s="3">
        <f>2257.5+(342.4-1179.4)+(2.30265+(0.349248-1.202988))+0-0-0</f>
        <v>1421.9489100000001</v>
      </c>
      <c r="Z158" s="3">
        <f>2458.5+(273.6-1242)+(-8.776845+(-0.976752--4.43394))+0-0-0</f>
        <v>1484.7803429999999</v>
      </c>
      <c r="AA158" s="3">
        <f>2481.5+(276.3-1264.7)+(-3.796695+(-0.422739--1.934991))+0-0-0</f>
        <v>1490.8155569999999</v>
      </c>
      <c r="AB158" s="3">
        <f>2328.9+(356.9-1226.5)+(1.187739+(0.182019-0.625515))+0-0-0</f>
        <v>1460.0442430000003</v>
      </c>
      <c r="AC158" s="3">
        <f>2207.3+(369.5-1157.7)+(-5.628615+(-0.942225--2.952135))+0-0-0</f>
        <v>1415.481295</v>
      </c>
      <c r="AD158">
        <v>1506.9</v>
      </c>
      <c r="AE158" s="3">
        <f>2496+(278-1267.1)+(0+(0-0))+0-0-0</f>
        <v>1506.9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1958.4+(407.7-1032)+(-4.99392+(-1.039635--2.6316))+0-0-0</f>
        <v>1330.6980450000001</v>
      </c>
      <c r="G159" s="3">
        <f>1759+(387.2-916.4)+(-4.48545+(-0.98736--2.33682))+0-0-0</f>
        <v>1226.66401</v>
      </c>
      <c r="H159" s="3">
        <f>1426+(336.8-615.8)+(1.45452+(0.343536-0.628116))+0-0-0</f>
        <v>1148.16994</v>
      </c>
      <c r="I159" s="3">
        <f>1259.6+(299-443)+(-1.927188+(-0.45747--0.67779))+0-0-0</f>
        <v>1113.8931319999999</v>
      </c>
      <c r="J159" s="3">
        <f>1266+(305.6-431.6)+(0+(0-0))+0-0-0</f>
        <v>1140</v>
      </c>
      <c r="K159" s="3">
        <f>1255.4+(268.1-455.4)+(-3.20127+(-0.683655--1.16127))+0-0-0</f>
        <v>1065.3763450000001</v>
      </c>
      <c r="L159" s="3">
        <f>1254+(259.4-517.5)+(-4.47678+(-0.926058--1.847475))+0-0-0</f>
        <v>992.34463699999992</v>
      </c>
      <c r="M159" s="3">
        <f>1267.2+(266.6-579.4)+(0.646272+(0.135966-0.295494))+0-0-0</f>
        <v>954.88674400000014</v>
      </c>
      <c r="N159" s="3">
        <f>1287.8+(242.9-569.2)+(0.656778+(0.123879-0.290292))+0-0-0</f>
        <v>961.99036499999988</v>
      </c>
      <c r="O159" s="3">
        <f>1421.6+(233.6-654.8)+(-1.450032+(-0.238272--0.667896))+0-0-0</f>
        <v>999.379592</v>
      </c>
      <c r="P159" s="3">
        <f>1548.1+(222.9-709.4)+(1.579062+(0.227358-0.723588))+0-0-0</f>
        <v>1062.682832</v>
      </c>
      <c r="Q159" s="3">
        <f>1605.6+(293-802.1)+(3.275424+(0.59772-1.636284))+0-0-0</f>
        <v>1098.73686</v>
      </c>
      <c r="R159" s="3">
        <f>1881.5+(352.6-1104.1)+(-2.878695+(-0.539478--1.689273))+0-0-0</f>
        <v>1128.2710999999999</v>
      </c>
      <c r="S159" s="3">
        <f>1963.6+(345.8-1193.5)+(-2.002872+(-0.352716--1.21737))+0-0-0</f>
        <v>1114.7617819999998</v>
      </c>
      <c r="T159" s="3">
        <f>1976+(364.1-1235)+(1.00776+(0.185691-0.62985))+0-0-0</f>
        <v>1105.663601</v>
      </c>
      <c r="U159" s="3">
        <f>1967.5+(382.7-1256.5)+(0+(0-0))+0-0-0</f>
        <v>1093.7</v>
      </c>
      <c r="V159" s="3">
        <f>1966.5+(405.8-1292.2)+(0+(0-0))+0-0-0</f>
        <v>1080.0999999999999</v>
      </c>
      <c r="W159" s="3">
        <f>1972.7+(420.8-1294.7)+(0+(0-0))+0-0-0</f>
        <v>1098.8</v>
      </c>
      <c r="X159" s="3">
        <f>1953.4+(390.7-1213.8)+(-2.988702+(-0.597771--1.857114))+0-0-0</f>
        <v>1128.5706410000003</v>
      </c>
      <c r="Y159" s="3">
        <f>2046.4+(328.6-1119.1)+(3.130992+(0.502758-1.712223))+0-0-0</f>
        <v>1257.8215270000001</v>
      </c>
      <c r="Z159" s="3">
        <f>2068.8+(427.4-1175.3)+(-2.110176+(-0.435948--1.198806))+0-0-0</f>
        <v>1319.552682</v>
      </c>
      <c r="AA159" s="3">
        <f>2067.1+(440.8-1210.8)+(-1.054221+(-0.224808--0.617508))+0-0-0</f>
        <v>1296.4384789999999</v>
      </c>
      <c r="AB159" s="3">
        <f>2066.2+(429-1202.3)+(-2.107524+(-0.43758--1.226346))+0-0-0</f>
        <v>1291.581242</v>
      </c>
      <c r="AC159" s="3">
        <f>2068.8+(427.8-1249.2)+(1.055088+(0.218178-0.637092))+0-0-0</f>
        <v>1248.0361740000001</v>
      </c>
      <c r="AD159">
        <v>1270.7999999999997</v>
      </c>
      <c r="AE159" s="3">
        <f>2050+(418.2-1197.4)+(0+(0-0))+0-0-0</f>
        <v>1270.8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1991.8+(376.9-1207.5)+(-1.015818+(-0.192219--0.615825))+0-0-0</f>
        <v>1160.6077879999998</v>
      </c>
      <c r="G160" s="3">
        <f>1829.7+(374-1130)+(-5.598882+(-1.14444--3.4578))+0-0-0</f>
        <v>1070.4144780000001</v>
      </c>
      <c r="H160" s="3">
        <f>1507.3+(379.4-876.1)+(-3.074892+(-0.773976--1.787244))+0-0-0</f>
        <v>1008.5383759999999</v>
      </c>
      <c r="I160" s="3">
        <f>1352.3+(347.3-699.3)+(0.689673+(0.177123-0.356643))+0-0-0</f>
        <v>1000.8101529999999</v>
      </c>
      <c r="J160" s="3">
        <f>1347.2+(249.2-558.8)+(1.374144+(0.254184-0.569976))+0-0-0</f>
        <v>1038.6583520000001</v>
      </c>
      <c r="K160" s="3">
        <f>1340.8+(253.7-616.9)+(-0.683808+(-0.129387--0.314619))+0-0-0</f>
        <v>977.10142399999995</v>
      </c>
      <c r="L160" s="3">
        <f>1331+(252.1-654.2)+(-3.39405+(-0.642855--1.66821))+0-0-0</f>
        <v>926.53130499999997</v>
      </c>
      <c r="M160" s="3">
        <f>1365+(249.6-665.2)+(-1.3923+(-0.254592--0.678504))+0-0-0</f>
        <v>948.43161199999997</v>
      </c>
      <c r="N160" s="3">
        <f>1637.9+(334-920.9)+(-1.670658+(-0.34068--0.939318))+0-0-0</f>
        <v>1049.9279799999999</v>
      </c>
      <c r="O160" s="3">
        <f>1913.1+(429.2-1212.1)+(1.951362+(0.437784-1.236342))+0-0-0</f>
        <v>1131.3528040000001</v>
      </c>
      <c r="P160" s="3">
        <f>2052+(461.5-1314.4)+(1.04652+(0.235365-0.670344))+0-0-0</f>
        <v>1199.7115409999999</v>
      </c>
      <c r="Q160" s="3">
        <f>2062.5+(467.9-1292.7)+(2.10375+(0.477258-1.318554))+0-0-0</f>
        <v>1238.9624539999998</v>
      </c>
      <c r="R160" s="3">
        <f>2021.8+(458.5-1239.3)+(-1.031118+(-0.233835--0.632043))+0-0-0</f>
        <v>1240.36709</v>
      </c>
      <c r="S160" s="3">
        <f>1982.3+(474.9-1268)+(-3.032919+(-0.726597--1.94004))+0-0-0</f>
        <v>1187.3805239999999</v>
      </c>
      <c r="T160" s="3">
        <f>1990.9+(463.8-1329.5)+(-1.015359+(-0.236538--0.678045))+0-0-0</f>
        <v>1124.6261480000001</v>
      </c>
      <c r="U160" s="3">
        <f>2051.2+(461.1-1374.9)+(-2.092224+(-0.470322--1.402398))+0-0-0</f>
        <v>1136.2398519999997</v>
      </c>
      <c r="V160" s="3">
        <f>2033.4+(456.5-1369.3)+(-6.222204+(-1.39689--4.190058))+0-0-0</f>
        <v>1117.1709640000001</v>
      </c>
      <c r="W160" s="3">
        <f>2049.5+(452.9-1363.1)+(-2.09049+(-0.461958--1.390362))+0-0-0</f>
        <v>1138.1379140000001</v>
      </c>
      <c r="X160" s="3">
        <f>2056.5+(389.7-1271.4)+(-3.146445+(-0.596241--1.945242))+0-0-0</f>
        <v>1173.0025559999999</v>
      </c>
      <c r="Y160" s="3">
        <f>2245+(302.2-1289)+(0+(0-0))+0-0-0</f>
        <v>1258.2</v>
      </c>
      <c r="Z160" s="3">
        <f>2346.9+(322.2-1394.9)+(-2.393838+(-0.328644--1.422798))+0-0-0</f>
        <v>1272.900316</v>
      </c>
      <c r="AA160" s="3">
        <f>2300.8+(343.9-1384)+(-5.86704+(-0.876945--3.5292))+0-0-0</f>
        <v>1257.4852150000004</v>
      </c>
      <c r="AB160" s="3">
        <f>2150.5+(352.8-1263.6)+(-3.290265+(-0.539784--1.933308))+0-0-0</f>
        <v>1237.803259</v>
      </c>
      <c r="AC160" s="3">
        <f>1900.4+(315.1-1029.7)+(0.969204+(0.160701-0.525147))+0-0-0</f>
        <v>1186.4047580000001</v>
      </c>
      <c r="AD160">
        <v>1299.0999999999999</v>
      </c>
      <c r="AE160" s="3">
        <f>2371+(322.1-1394)+(0+(0-0))+0-0-0</f>
        <v>1299.0999999999999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1718.3+(343.8-953.8)+(-1.752666+(-0.350676--0.972876))+0-0-0</f>
        <v>1107.1695339999999</v>
      </c>
      <c r="G161" s="3">
        <f>1345.9+(319.9-644.1)+(-1.372818+(-0.326298--0.656982))+0-0-0</f>
        <v>1020.657866</v>
      </c>
      <c r="H161" s="3">
        <f>1336.7+(285.8-640.6)+(-2.726868+(-0.583032--1.306824))+0-0-0</f>
        <v>979.89692400000013</v>
      </c>
      <c r="I161" s="3">
        <f>1353.4+(280-647.9)+(0.690234+(0.1428-0.330429))+0-0-0</f>
        <v>986.00260500000013</v>
      </c>
      <c r="J161" s="3">
        <f>1356.6+(261.5-602.1)+(1.383732+(0.26673-0.614142))+0-0-0</f>
        <v>1017.0363199999999</v>
      </c>
      <c r="K161" s="3">
        <f>1335.3+(258.5-634)+(-3.405015+(-0.659175--1.6167))+0-0-0</f>
        <v>957.35250999999994</v>
      </c>
      <c r="L161" s="3">
        <f>1337.9+(237.7-667.4)+(-2.729316+(-0.484908--1.361496))+0-0-0</f>
        <v>906.34727200000009</v>
      </c>
      <c r="M161" s="3">
        <f>1416.2+(215.2-717.7)+(0.722262+(0.109752-0.366027))+0-0-0</f>
        <v>914.16598700000009</v>
      </c>
      <c r="N161" s="3">
        <f>1552.1+(285.3-838.3)+(0.791571+(0.145503-0.427533))+0-0-0</f>
        <v>999.60954099999992</v>
      </c>
      <c r="O161" s="3">
        <f>1692.3+(319.2-947.7)+(-1.726146+(-0.325584--0.966654))+0-0-0</f>
        <v>1062.7149239999999</v>
      </c>
      <c r="P161" s="3">
        <f>2015.1+(363.3-1257.6)+(1.027701+(0.185283-0.641376))+0-0-0</f>
        <v>1121.3716079999999</v>
      </c>
      <c r="Q161" s="3">
        <f>2360.5+(373.6-1557.6)+(-1.203855+(-0.190536--0.794376))+0-0-0</f>
        <v>1175.899985</v>
      </c>
      <c r="R161" s="3">
        <f>2371.9+(432.1-1613.3)+(1.209669+(0.220371-0.822783))+0-0-0</f>
        <v>1191.3072570000002</v>
      </c>
      <c r="S161" s="3">
        <f>2335.1+(403-1593.1)+(-4.763604+(-0.82212--3.249924))+0-0-0</f>
        <v>1142.6641999999999</v>
      </c>
      <c r="T161" s="3">
        <f>2325.2+(395.3-1606.2)+(-3.557556+(-0.604809--2.457486))+0-0-0</f>
        <v>1112.5951209999998</v>
      </c>
      <c r="U161" s="3">
        <f>2198.8+(423.9-1525.6)+(-2.242776+(-0.432378--1.556112))+0-0-0</f>
        <v>1095.9809580000003</v>
      </c>
      <c r="V161" s="3">
        <f>2061.4+(435.7-1400.2)+(-2.102628+(-0.444414--1.428204))+0-0-0</f>
        <v>1095.781162</v>
      </c>
      <c r="W161" s="3">
        <f>1984.2+(422.9-1308)+(-5.05971+(-1.078395--3.3354))+0-0-0</f>
        <v>1096.2972949999998</v>
      </c>
      <c r="X161" s="3">
        <f>1923.2+(280.5-1068.3)+(-5.884992+(-0.85833--3.268998))+0-0-0</f>
        <v>1131.9256760000001</v>
      </c>
      <c r="Y161" s="3">
        <f>2018.4+(234.9-1000.8)+(0+(0-0))+0-0-0</f>
        <v>1252.5</v>
      </c>
      <c r="Z161" s="3">
        <f>2173.5+(302.3-1190.1)+(-4.43394+(-0.616692--2.427804))+0-0-0</f>
        <v>1283.077172</v>
      </c>
      <c r="AA161" s="3">
        <f>2189+(377.1-1274.9)+(-5.58195+(-0.961605--3.250995))+0-0-0</f>
        <v>1287.9074399999997</v>
      </c>
      <c r="AB161" s="3">
        <f>1944.1+(327.9-1015.1)+(-3.965964+(-0.668916--2.070804))+0-0-0</f>
        <v>1254.335924</v>
      </c>
      <c r="AC161" s="3">
        <f>1889.1+(301-984.7)+(-2.890323+(-0.46053--1.506591))+0-0-0</f>
        <v>1203.5557379999998</v>
      </c>
      <c r="AD161">
        <v>1299.5999999999999</v>
      </c>
      <c r="AE161" s="3">
        <f>2226+(318-1244.4)+(0+(0-0))+0-0-0</f>
        <v>1299.5999999999999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1703.8+(384.1-982.7)+(-0.868938+(-0.195891--0.501177))+0-0-0</f>
        <v>1104.6363479999998</v>
      </c>
      <c r="G162" s="3">
        <f>1404.4+(355.2-745)+(0+(0-0))+0-0-0</f>
        <v>1014.6000000000001</v>
      </c>
      <c r="H162" s="3">
        <f>1357.2+(256.8-645.1)+(0+(0-0))+0-0-0</f>
        <v>968.90000000000009</v>
      </c>
      <c r="I162" s="3">
        <f>1346.2+(214.3-580.9)+(-2.059686+(-0.327879--0.888777))+0-0-0</f>
        <v>978.10121200000015</v>
      </c>
      <c r="J162" s="3">
        <f>1362.4+(229.5-581.5)+(0.694824+(0.117045-0.296565))+0-0-0</f>
        <v>1010.9153040000001</v>
      </c>
      <c r="K162" s="3">
        <f>1359+(267.7-668.9)+(-0.69309+(-0.136527--0.341139))+0-0-0</f>
        <v>957.31152199999997</v>
      </c>
      <c r="L162" s="3">
        <f>1345.4+(305.1-744)+(-2.744616+(-0.622404--1.51776))+0-0-0</f>
        <v>904.65074000000016</v>
      </c>
      <c r="M162" s="3">
        <f>1346.2+(254.7-675.9)+(-2.746248+(-0.519588--1.378836))+0-0-0</f>
        <v>923.11300000000006</v>
      </c>
      <c r="N162" s="3">
        <f>1487.1+(343.4-837.3)+(1.516842+(0.350268-0.854046))+0-0-0</f>
        <v>994.21306399999992</v>
      </c>
      <c r="O162" s="3">
        <f>1672.1+(391.7-1010.1)+(0.852771+(0.199767-0.515151))+0-0-0</f>
        <v>1054.2373869999999</v>
      </c>
      <c r="P162" s="3">
        <f>1783.7+(421-1094.1)+(0+(0-0))+0-0-0</f>
        <v>1110.6000000000001</v>
      </c>
      <c r="Q162" s="3">
        <f>1934.8+(455.4-1244)+(-0.986748+(-0.232254--0.63444))+0-0-0</f>
        <v>1145.6154379999998</v>
      </c>
      <c r="R162" s="3">
        <f>2018.1+(404.5-1273.3)+(-4.116924+(-0.82518--2.597532))+0-0-0</f>
        <v>1146.955428</v>
      </c>
      <c r="S162" s="3">
        <f>2014.8+(374-1295.2)+(-7.192836+(-1.33518--4.623864))+0-0-0</f>
        <v>1089.6958479999998</v>
      </c>
      <c r="T162" s="3">
        <f>1997.4+(402.6-1342)+(-5.09337+(-1.02663--3.4221))+14.8-0-0</f>
        <v>1070.1021000000001</v>
      </c>
      <c r="U162" s="3">
        <f>1945.2+(376.4-1267.7)+(-2.976156+(-0.575892--1.939581))+8-0-0</f>
        <v>1060.2875330000002</v>
      </c>
      <c r="V162" s="3">
        <f>1866.3+(377.3-1196.7)+(-2.855439+(-0.577269--1.830951))+0-0-0</f>
        <v>1045.298243</v>
      </c>
      <c r="W162" s="3">
        <f>1857.7+(273-1068.1)+(-2.842281+(-0.41769--1.634193))+0-0-0</f>
        <v>1060.9742220000001</v>
      </c>
      <c r="X162" s="3">
        <f>1880.9+(235.8-1030.2)+(0.959259+(0.120258-0.525402))+0-0-0</f>
        <v>1087.0541149999999</v>
      </c>
      <c r="Y162" s="3">
        <f>1989.9+(275.3-1066.2)+(-2.029698+(-0.280806--1.087524))+0-0-0</f>
        <v>1197.77702</v>
      </c>
      <c r="Z162" s="3">
        <f>2110.3+(308.5-1131.2)+(-6.457518+(-0.94401--3.461472))+0-0-0</f>
        <v>1283.6599440000002</v>
      </c>
      <c r="AA162" s="3">
        <f>1920+(263-911.5)+(-3.9168+(-0.53652--1.85946))+0-0-0</f>
        <v>1268.9061400000001</v>
      </c>
      <c r="AB162" s="3">
        <f>1652.8+(337.4-762.5)+(0.842928+(0.172074-0.388875))+0-0-0</f>
        <v>1228.3261269999998</v>
      </c>
      <c r="AC162" s="3">
        <f>1616.7+(316.2-749.9)+(-1.649034+(-0.322524--0.764898))+0-0-0</f>
        <v>1181.7933399999999</v>
      </c>
      <c r="AD162">
        <v>1301.1999999999998</v>
      </c>
      <c r="AE162" s="3">
        <f>2082+(273.2-1054)+(0+(0-0))+0-0-0</f>
        <v>1301.2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1624.1+(363.5-883.6)+(0+(0-0))+0-0-0</f>
        <v>1104</v>
      </c>
      <c r="G163" s="3">
        <f>1491.3+(303.6-772.1)+(0+(0-0))+0-0-0</f>
        <v>1022.8</v>
      </c>
      <c r="H163" s="3">
        <f>1422.7+(225.6-683.6)+(2.176731+(0.345168-1.045908))+0-0-0</f>
        <v>966.17599100000007</v>
      </c>
      <c r="I163" s="3">
        <f>1418.9+(219-673.4)+(0+(0-0))+0-0-0</f>
        <v>964.50000000000011</v>
      </c>
      <c r="J163" s="3">
        <f>1418.3+(217.4-639.8)+(0+(0-0))+0-0-0</f>
        <v>995.9</v>
      </c>
      <c r="K163" s="3">
        <f>1397.3+(242.1-696.9)+(-4.988361+(-0.864297--2.487933))+0-0-0</f>
        <v>939.13527499999998</v>
      </c>
      <c r="L163" s="3">
        <f>1395.6+(273.1-794.5)+(-4.982292+(-0.974967--2.836365))+0-0-0</f>
        <v>871.07910599999991</v>
      </c>
      <c r="M163" s="3">
        <f>1415.5+(263.4-780.7)+(0+(0-0))+0-0-0</f>
        <v>898.19999999999993</v>
      </c>
      <c r="N163" s="3">
        <f>1525.2+(262-788.9)+(1.555704+(0.26724-0.804678))+0-0-0</f>
        <v>999.31826600000011</v>
      </c>
      <c r="O163" s="3">
        <f>1654.8+(242.1-808.7)+(1.687896+(0.246942-0.824874))+0-0-0</f>
        <v>1089.3099639999998</v>
      </c>
      <c r="P163" s="3">
        <f>1792+(322.4-961.1)+(0.91392+(0.164424-0.490161))+0-0-0</f>
        <v>1153.888183</v>
      </c>
      <c r="Q163" s="3">
        <f>1890.4+(372.1-1071.7)+(0.964104+(0.189771-0.546567))+0-0-0</f>
        <v>1191.4073080000003</v>
      </c>
      <c r="R163" s="3">
        <f>1873.4+(395.8-1064.8)+(-2.866302+(-0.605574--1.629144))+0-0-0</f>
        <v>1202.557268</v>
      </c>
      <c r="S163" s="3">
        <f>1865.9+(423.9-1139.2)+(-3.806436+(-0.864756--2.323968))+0-0-0</f>
        <v>1148.2527759999998</v>
      </c>
      <c r="T163" s="3">
        <f>1955.5+(403.4-1219.3)+(-0.997305+(-0.205734--0.621843))+0.2-0-0</f>
        <v>1139.2188039999999</v>
      </c>
      <c r="U163" s="3">
        <f>1982.7+(393.9-1241.6)+(1.011177+(0.200889-0.633216))+0-0-0</f>
        <v>1135.5788500000001</v>
      </c>
      <c r="V163" s="3">
        <f>1963.8+(400-1224.6)+(-3.004614+(-0.612--1.873638))+0-0-0</f>
        <v>1137.457024</v>
      </c>
      <c r="W163" s="3">
        <f>1951.5+(320.9-1126.9)+(-5.97159+(-0.981954--3.448314))+0-0-0</f>
        <v>1141.99477</v>
      </c>
      <c r="X163" s="3">
        <f>1950.8+(230.9-1034.7)+(-5.969448+(-0.706554--3.166182))+0-0-0</f>
        <v>1143.49018</v>
      </c>
      <c r="Y163" s="3">
        <f>1965.7+(225.4-930.6)+(-3.007521+(-0.344862--1.423818))+0-0-0</f>
        <v>1258.5714350000001</v>
      </c>
      <c r="Z163" s="3">
        <f>1966.7+(226.9-833.2)+(-5.015085+(-0.578595--2.12466))+0-0-0</f>
        <v>1356.9309800000001</v>
      </c>
      <c r="AA163" s="3">
        <f>1917.1+(256.2-818.5)+(-7.821768+(-1.045296--3.33948))+0-0-0</f>
        <v>1349.272416</v>
      </c>
      <c r="AB163" s="3">
        <f>1714+(307-727.2)+(0+(0-0))+0-0-0</f>
        <v>1293.8</v>
      </c>
      <c r="AC163" s="3">
        <f>1680.1+(325.2-770.7)+(0.856851+(0.165852-0.393057))+0-0-0</f>
        <v>1235.229646</v>
      </c>
      <c r="AD163">
        <v>1378.5</v>
      </c>
      <c r="AE163" s="3">
        <f>1971+(269.1-861.6)+(0+(0-0))+0-0-0</f>
        <v>1378.5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1665.5+(322.9-833.5)+(0+(0-0))+0-0-0</f>
        <v>1154.9000000000001</v>
      </c>
      <c r="G164" s="3">
        <f>1473.6+(231.6-641.1)+(-0.751536+(-0.118116--0.326961))+0-0-0</f>
        <v>1063.5573089999998</v>
      </c>
      <c r="H164" s="3">
        <f>1332.7+(245.5-577.3)+(-1.359354+(-0.25041--0.588846))+0-0-0</f>
        <v>999.87908200000004</v>
      </c>
      <c r="I164" s="3">
        <f>1328.2+(244.2-610.9)+(0.677382+(0.124542-0.311559))+0-0-0</f>
        <v>961.990365</v>
      </c>
      <c r="J164" s="3">
        <f>1287.5+(243.1-588.4)+(0+(0-0))+0-0-0</f>
        <v>942.2</v>
      </c>
      <c r="K164" s="3">
        <f>1283.1+(213.7-571.6)+(0+(0-0))+0-0-0</f>
        <v>925.19999999999982</v>
      </c>
      <c r="L164" s="3">
        <f>1261.9+(227.4-623.3)+(-4.504983+(-0.811818--2.225181))+0-0-0</f>
        <v>862.90838000000008</v>
      </c>
      <c r="M164" s="3">
        <f>1269.5+(213.3-644.4)+(-1.942335+(-0.326349--0.985932))+0-0-0</f>
        <v>837.11724800000013</v>
      </c>
      <c r="N164" s="3">
        <f>1291.7+(212.7-640.5)+(1.976301+(0.325431-0.979965))+0-0-0</f>
        <v>865.22176700000011</v>
      </c>
      <c r="O164" s="3">
        <f>1287.4+(218.2-593.4)+(1.313148+(0.222564-0.605268))+0-0-0</f>
        <v>913.13044400000001</v>
      </c>
      <c r="P164" s="3">
        <f>1283.1+(223.4-555)+(-0.654381+(-0.113934--0.28305))+0-0-0</f>
        <v>951.01473499999986</v>
      </c>
      <c r="Q164" s="3">
        <f>1281.7+(224.8-537.1)+(0+(0-0))+0-0-0</f>
        <v>969.40000000000009</v>
      </c>
      <c r="R164" s="3">
        <f>1280.1+(226.2-516.4)+(-0.652851+(-0.115362--0.263364))+0-0-0</f>
        <v>989.39515099999983</v>
      </c>
      <c r="S164" s="3">
        <f>1282.5+(233.8-527)+(0+(0-0))+0-0-0</f>
        <v>989.3</v>
      </c>
      <c r="T164" s="3">
        <f>1273.1+(227.7-500.5)+(-3.246405+(-0.580635--1.276275))+0-0-0</f>
        <v>997.749235</v>
      </c>
      <c r="U164" s="3">
        <f>1271.3+(251.2-506)+(-3.241815+(-0.64056--1.2903))+0-0-0</f>
        <v>1013.907925</v>
      </c>
      <c r="V164" s="3">
        <f>1286+(259.8-517.3)+(0+(0-0))+0-0-0</f>
        <v>1028.5</v>
      </c>
      <c r="W164" s="3">
        <f>1272.1+(273.3-501.7)+(-3.892626+(-0.836298--1.535202))+0-0-0</f>
        <v>1040.5062779999998</v>
      </c>
      <c r="X164" s="3">
        <f>1419.4+(245.7-608.6)+(-2.171682+(-0.375921--0.931158))+0-0-0</f>
        <v>1054.8835549999999</v>
      </c>
      <c r="Y164" s="3">
        <f>1623.7+(249.3-716.8)+(-0.828087+(-0.127143--0.365568))+0-0-0</f>
        <v>1155.610338</v>
      </c>
      <c r="Z164" s="3">
        <f>1998+(235.3-898.9)+(-5.0949+(-0.600015--2.292195))+0-0-0</f>
        <v>1330.99728</v>
      </c>
      <c r="AA164" s="3">
        <f>2003.4+(252.8-935.1)+(-5.10867+(-0.64464--2.384505))+0-0-0</f>
        <v>1317.7311950000001</v>
      </c>
      <c r="AB164" s="3">
        <f>2007.1+(231.4-954.1)+(-4.094484+(-0.472056--1.946364))+0-0-0</f>
        <v>1281.779824</v>
      </c>
      <c r="AC164" s="3">
        <f>1985.4+(238-998.1)+(0+(0-0))+0-0-0</f>
        <v>1225.3000000000002</v>
      </c>
      <c r="AD164">
        <v>1321.8</v>
      </c>
      <c r="AE164" s="3">
        <f>2006+(244-928.2)+(0+(0-0))+0-0-0</f>
        <v>1321.8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1723.1+(250.9-839.8)+(-0.878781+(-0.127959--0.428298))+0-0-0</f>
        <v>1133.6215579999998</v>
      </c>
      <c r="G165" s="3">
        <f>1438.3+(277.2-672.9)+(-2.200599+(-0.424116--1.029537))+0-0-0</f>
        <v>1041.0048219999999</v>
      </c>
      <c r="H165" s="3">
        <f>1280+(247.7-548.3)+(-0.6528+(-0.126327--0.279633))+0-0-0</f>
        <v>978.90050600000006</v>
      </c>
      <c r="I165" s="3">
        <f>1277.4+(257.2-580.6)+(-1.302948+(-0.262344--0.592212))+0-0-0</f>
        <v>953.02692000000002</v>
      </c>
      <c r="J165" s="3">
        <f>1277.9+(245.6-592.1)+(-0.651729+(-0.125256--0.301971))+0-0-0</f>
        <v>930.9249860000001</v>
      </c>
      <c r="K165" s="3">
        <f>1275.7+(240.9-586.4)+(-2.602428+(-0.491436--1.196256))+0-0-0</f>
        <v>928.30239200000005</v>
      </c>
      <c r="L165" s="3">
        <f>1269.2+(250.7-634.9)+(-4.531044+(-0.894999--2.266593))+0-0-0</f>
        <v>881.84055000000001</v>
      </c>
      <c r="M165" s="3">
        <f>1267.9+(250.2-637)+(-1.293258+(-0.255204--0.64974))+0-0-0</f>
        <v>880.20127800000012</v>
      </c>
      <c r="N165" s="3">
        <f>1267.7+(266.3-582.4)+(0+(0-0))+0-0-0</f>
        <v>951.60000000000014</v>
      </c>
      <c r="O165" s="3">
        <f>1271.7+(337.8-573)+(0.648567+(0.172278-0.29223))+0-0-0</f>
        <v>1037.0286149999999</v>
      </c>
      <c r="P165" s="3">
        <f>1378+(344.3-604.2)+(-0.70278+(-0.175593--0.308142))+0-0-0</f>
        <v>1117.529769</v>
      </c>
      <c r="Q165" s="3">
        <f>1670.2+(286.4-762.2)+(-2.555406+(-0.438192--1.166166))+0-0-0</f>
        <v>1192.572568</v>
      </c>
      <c r="R165" s="3">
        <f>1800.6+(320.6-884.4)+(-0.918306+(-0.163506--0.451044))+0-0-0</f>
        <v>1236.169232</v>
      </c>
      <c r="S165" s="3">
        <f>1887.6+(298.6-968.4)+(-1.925352+(-0.304572--0.987768))+0-0-0</f>
        <v>1216.5578439999999</v>
      </c>
      <c r="T165" s="3">
        <f>1904.2+(304.7-973.8)+(-0.971142+(-0.155397--0.496638))+0-0-0</f>
        <v>1234.4700990000001</v>
      </c>
      <c r="U165" s="3">
        <f>1870.3+(302.3-936.6)+(-3.815412+(-0.616692--1.910664))+0-0-0</f>
        <v>1233.47856</v>
      </c>
      <c r="V165" s="3">
        <f>1897.6+(273.2-932.8)+(2.903328+(0.417996-1.427184))+0-0-0</f>
        <v>1239.8941400000001</v>
      </c>
      <c r="W165" s="3">
        <f>1880.4+(274.1-928.1)+(-3.836016+(-0.559164--1.893324))+0-0-0</f>
        <v>1223.898144</v>
      </c>
      <c r="X165" s="3">
        <f>1887.1+(259.5-939.7)+(-1.924842+(-0.26469--0.958494))+0-0-0</f>
        <v>1205.668962</v>
      </c>
      <c r="Y165" s="3">
        <f>1980.2+(251.4-934)+(0+(0-0))+0-0-0</f>
        <v>1297.5999999999999</v>
      </c>
      <c r="Z165" s="3">
        <f>2071.4+(229.6-843.4)+(-3.169242+(-0.351288--1.290402))+0-0-0</f>
        <v>1455.3698720000002</v>
      </c>
      <c r="AA165" s="3">
        <f>2058.4+(261.7-876.4)+(-5.24892+(-0.667335--2.23482))+0-0-0</f>
        <v>1440.0185650000001</v>
      </c>
      <c r="AB165" s="3">
        <f>2006.7+(268.7-887.9)+(-3.070251+(-0.411111--1.358487))+0-0-0</f>
        <v>1385.377125</v>
      </c>
      <c r="AC165" s="3">
        <f>1891+(266.8-845.3)+(0.96441+(0.136068-0.431103))+0-0-0</f>
        <v>1313.1693749999999</v>
      </c>
      <c r="AD165">
        <v>1476.8999999999999</v>
      </c>
      <c r="AE165" s="3">
        <f>2100+(245.1-868.2)+(0+(0-0))+0-0-0</f>
        <v>1476.9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1724.8+(267.5-789.4)+(1.759296+(0.27285-0.805188))+0-0-0</f>
        <v>1204.1269580000001</v>
      </c>
      <c r="G166" s="3">
        <f>1485.2+(302.2-684.7)+(-2.272356+(-0.462366--1.047591))+0-0-0</f>
        <v>1101.0128690000001</v>
      </c>
      <c r="H166" s="3">
        <f>1338.5+(243-567)+(-1.36527+(-0.24786--0.57834))+0-0-0</f>
        <v>1013.46521</v>
      </c>
      <c r="I166" s="3">
        <f>1332.2+(238.5-587.6)+(-3.39711+(-0.608175--1.49838))+0-0-0</f>
        <v>980.59309500000006</v>
      </c>
      <c r="J166" s="3">
        <f>1328.4+(222-585.3)+(-3.38742+(-0.5661--1.492515))+0-0-0</f>
        <v>962.63899500000014</v>
      </c>
      <c r="K166" s="3">
        <f>1362.9+(244.6-659.9)+(2.085237+(0.374238-1.009647))+0-0-0</f>
        <v>949.04982800000016</v>
      </c>
      <c r="L166" s="3">
        <f>1327.8+(246.6-673.4)+(-4.063068+(-0.754596--2.060604))+0-0-0</f>
        <v>898.24293999999998</v>
      </c>
      <c r="M166" s="3">
        <f>1353.5+(295.9-770.4)+(0.690285+(0.150909-0.392904))+0-0-0</f>
        <v>879.44829000000004</v>
      </c>
      <c r="N166" s="3">
        <f>1413.7+(275.5-757.3)+(2.162961+(0.421515-1.158669))+0-0-0</f>
        <v>933.32580700000005</v>
      </c>
      <c r="O166" s="3">
        <f>1543.5+(236.8-769.2)+(0+(0-0))+0-0-0</f>
        <v>1011.0999999999999</v>
      </c>
      <c r="P166" s="3">
        <f>1620.4+(274.7-796.3)+(2.479212+(0.420291-1.218339))+0-0-0</f>
        <v>1100.4811640000003</v>
      </c>
      <c r="Q166" s="3">
        <f>1631.8+(265.7-739.7)+(1.664436+(0.271014-0.754494))+0-0-0</f>
        <v>1158.9809559999999</v>
      </c>
      <c r="R166" s="3">
        <f>1654.8+(226.1-683.5)+(-3.375792+(-0.461244--1.39434))+0-0-0</f>
        <v>1194.957304</v>
      </c>
      <c r="S166" s="3">
        <f>1712.5+(237.9-758.2)+(0+(0-0))+0-0-0</f>
        <v>1192.1999999999998</v>
      </c>
      <c r="T166" s="3">
        <f>1720.3+(232.9-746.6)+(0.877353+(0.118779-0.380766))+0-0-0</f>
        <v>1207.2153659999999</v>
      </c>
      <c r="U166" s="3">
        <f>1725.6+(240.9-759.8)+(-2.640168+(-0.368577--1.162494))+0-0-0</f>
        <v>1204.8537489999999</v>
      </c>
      <c r="V166" s="3">
        <f>1729.6+(240.5-764.3)+(-3.528384+(-0.49062--1.559172))+0-0-0</f>
        <v>1203.3401679999999</v>
      </c>
      <c r="W166" s="3">
        <f>1735.2+(251.1-784.9)+(-2.654856+(-0.384183--1.200897))+0-0-0</f>
        <v>1199.561858</v>
      </c>
      <c r="X166" s="3">
        <f>1719.8+(226.8-762.1)+(-4.38549+(-0.57834--1.943355))+0-0-0</f>
        <v>1181.479525</v>
      </c>
      <c r="Y166" s="3">
        <f>1864.9+(185.7-768.6)+(0+(0-0))+0-0-0</f>
        <v>1282</v>
      </c>
      <c r="Z166" s="3">
        <f>2051.3+(193-784.1)+(-3.138489+(-0.29529--1.199673))+0-0-0</f>
        <v>1457.9658940000002</v>
      </c>
      <c r="AA166" s="3">
        <f>2054.4+(212.1-832)+(-3.143232+(-0.324513--1.27296))+0-0-0</f>
        <v>1432.3052150000001</v>
      </c>
      <c r="AB166" s="3">
        <f>2061.1+(255.1-907.2)+(-2.102322+(-0.260202--0.925344))+0-0-0</f>
        <v>1407.5628200000001</v>
      </c>
      <c r="AC166" s="3">
        <f>2004.6+(260.5-923.1)+(-5.11173+(-0.664275--2.353905))+0-0-0</f>
        <v>1338.5779</v>
      </c>
      <c r="AD166">
        <v>1450.6</v>
      </c>
      <c r="AE166" s="3">
        <f>2059+(189.2-797.6)+(0+(0-0))+0-0-0</f>
        <v>1450.6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1859.5+(252.2-865)+(-3.79338+(-0.514488--1.7646))+0-0-0</f>
        <v>1244.1567320000001</v>
      </c>
      <c r="G167" s="3">
        <f>1697.3+(273.2-825.1)+(-4.328115+(-0.69666--2.104005))+0-0-0</f>
        <v>1142.4792299999999</v>
      </c>
      <c r="H167" s="3">
        <f>1390.7+(272.4-592.3)+(-2.837028+(-0.555696--1.208292))+0-0-0</f>
        <v>1068.6155680000002</v>
      </c>
      <c r="I167" s="3">
        <f>1368.5+(279.1-608)+(-0.697935+(-0.142341--0.31008))+0-0-0</f>
        <v>1039.069804</v>
      </c>
      <c r="J167" s="3">
        <f>1373.8+(262.5-616.6)+(0+(0-0))+0-0-0</f>
        <v>1019.6999999999999</v>
      </c>
      <c r="K167" s="3">
        <f>1213.9+(277.8-479.5)+(1.857267+(0.425034-0.733635))+0-0-0</f>
        <v>1013.7486660000001</v>
      </c>
      <c r="L167" s="3">
        <f>1124.5+(301.1-453.3)+(-3.44097+(-0.921366--1.387098))+0-0-0</f>
        <v>969.32476199999996</v>
      </c>
      <c r="M167" s="3">
        <f>1147.7+(290.3-433.4)+(1.170654+(0.296106-0.442068))+0-0-0</f>
        <v>1005.6246920000001</v>
      </c>
      <c r="N167" s="3">
        <f>1236.7+(349.3-457.1)+(1.892151+(0.534429-0.699363))+0-0-0</f>
        <v>1130.6272170000002</v>
      </c>
      <c r="O167" s="3">
        <f>1538.8+(312.2-608.8)+(0.784788+(0.159222-0.310488))+0-0-0</f>
        <v>1242.8335220000001</v>
      </c>
      <c r="P167" s="3">
        <f>1950.2+(271-878.3)+(0.994602+(0.13821-0.447933))+0-0-0</f>
        <v>1343.584879</v>
      </c>
      <c r="Q167" s="3">
        <f>2392.3+(243.9-1204.9)+(0+(0-0))+0-0-0</f>
        <v>1431.3000000000002</v>
      </c>
      <c r="R167" s="3">
        <f>2595.7+(300.3-1374.7)+(0+(0-0))+0-0-0</f>
        <v>1521.2999999999997</v>
      </c>
      <c r="S167" s="3">
        <f>2598.1+(376.2-1461.8)+(-3.975093+(-0.575586--2.236554))+0-0-0</f>
        <v>1510.1858749999999</v>
      </c>
      <c r="T167" s="3">
        <f>2602+(415.2-1504.6)+(1.32702+(0.211752-0.767346))+0-0-0</f>
        <v>1513.3714260000002</v>
      </c>
      <c r="U167" s="3">
        <f>2590.3+(428.9-1511.8)+(-3.963159+(-0.656217--2.313054))+0-0-0</f>
        <v>1505.0936780000002</v>
      </c>
      <c r="V167" s="3">
        <f>2475+(394.4-1376.6)+(-5.049+(-0.804576--2.808264))+0-0-0</f>
        <v>1489.7546880000002</v>
      </c>
      <c r="W167" s="3">
        <f>2336+(387.8-1256.2)+(-5.9568+(-0.98889--3.20331))+0-0-0</f>
        <v>1463.85762</v>
      </c>
      <c r="X167" s="3">
        <f>2239.2+(270.2-1097.7)+(-7.993944+(-0.964614--3.918789))+0-0-0</f>
        <v>1406.6602309999998</v>
      </c>
      <c r="Y167" s="3">
        <f>2173.1+(214.3-899.4)+(-2.216562+(-0.218586--0.917388))+0-0-0</f>
        <v>1486.48224</v>
      </c>
      <c r="Z167" s="3">
        <f>2300.3+(301.2-980.9)+(-1.173153+(-0.153612--0.500259))+0-0-0</f>
        <v>1619.773494</v>
      </c>
      <c r="AA167" s="3">
        <f>2320.2+(375.9-1093)+(-8.283114+(-1.341963--3.90201))+0-0-0</f>
        <v>1597.376933</v>
      </c>
      <c r="AB167" s="3">
        <f>2174.7+(437-1072.2)+(-2.218194+(-0.44574--1.093644))+0-0-0</f>
        <v>1537.9297099999999</v>
      </c>
      <c r="AC167" s="3">
        <f>2124.2+(360-1020.9)+(-2.166684+(-0.3672--1.041318))+0-0-0</f>
        <v>1461.8074339999998</v>
      </c>
      <c r="AD167">
        <v>1620.8000000000002</v>
      </c>
      <c r="AE167" s="3">
        <f>2365+(301.8-1046)+(0+(0-0))+0-0-0</f>
        <v>1620.8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2061+(290.1-1009.9)+(-2.10222+(-0.295902--1.030098))+0-0-0</f>
        <v>1339.8319759999999</v>
      </c>
      <c r="G168" s="3">
        <f>1744.8+(292.7-801.3)+(0+(0-0))+0-0-0</f>
        <v>1236.2</v>
      </c>
      <c r="H168" s="3">
        <f>1418.5+(306.7-565.5)+(-0.723435+(-0.156417--0.288405))+0-0-0</f>
        <v>1159.108553</v>
      </c>
      <c r="I168" s="3">
        <f>1400.9+(298.9-576.4)+(-2.143377+(-0.457317--0.881892))+0-0-0</f>
        <v>1121.681198</v>
      </c>
      <c r="J168" s="3">
        <f>1396.7+(290.2-587.1)+(-1.424634+(-0.296004--0.598842))+0-0-0</f>
        <v>1098.6782040000001</v>
      </c>
      <c r="K168" s="3">
        <f>1397.7+(298.1-611.4)+(-1.425654+(-0.304062--0.623628))+0-0-0</f>
        <v>1083.2939120000001</v>
      </c>
      <c r="L168" s="3">
        <f>1392.7+(226-582.7)+(-2.841108+(-0.46104--1.188708))+0-0-0</f>
        <v>1033.8865599999999</v>
      </c>
      <c r="M168" s="3">
        <f>1521.7+(203.1-640)+(1.552134+(0.207162-0.6528))+0-0-0</f>
        <v>1085.9064960000003</v>
      </c>
      <c r="N168" s="3">
        <f>2018.9+(189.4-989.8)+(2.059278+(0.193188-1.009596))+0-0-0</f>
        <v>1219.74287</v>
      </c>
      <c r="O168" s="3">
        <f>2189.2+(267.9-1181.1)+(0+(0-0))+0-0-0</f>
        <v>1276</v>
      </c>
      <c r="P168" s="3">
        <f>2317.7+(309.3-1225.3)+(-2.364054+(-0.315486--1.249806))+0-0-0</f>
        <v>1400.2702659999998</v>
      </c>
      <c r="Q168" s="3">
        <f>2333.7+(405-1283.3)+(1.190187+(0.20655-0.654483))+0-0-0</f>
        <v>1456.1422539999999</v>
      </c>
      <c r="R168" s="3">
        <f>2321.9+(448.8-1270.8)+(-1.184169+(-0.228888--0.648108))+0-0-0</f>
        <v>1499.1350510000002</v>
      </c>
      <c r="S168" s="3">
        <f>2314.1+(438.6-1246)+(-2.360382+(-0.447372--1.27092))+0-0-0</f>
        <v>1505.1631659999998</v>
      </c>
      <c r="T168" s="3">
        <f>2326.4+(425.5-1265.5)+(1.186464+(0.217005-0.645405))+0-0-0</f>
        <v>1487.1580640000002</v>
      </c>
      <c r="U168" s="3">
        <f>2305.7+(395.9-1219.5)+(-2.351814+(-0.403818--1.24389))+0-0-0</f>
        <v>1480.588258</v>
      </c>
      <c r="V168" s="3">
        <f>2314.9+(448.5-1116.7)+(-1.180599+(-0.228735--0.569517))+0-0-0</f>
        <v>1645.860183</v>
      </c>
      <c r="W168" s="3">
        <f>2303.8+(433.2-1108.6)+(-3.524814+(-0.662796--1.696158))+0-0-0</f>
        <v>1625.9085480000003</v>
      </c>
      <c r="X168" s="3">
        <f>2253.8+(300.6-1016)+(-3.448314+(-0.459918--1.55448))+0-0-0</f>
        <v>1536.0462480000001</v>
      </c>
      <c r="Y168" s="3">
        <f>2249+(250.5-925.6)+(-2.29398+(-0.25551--0.944112))+0-0-0</f>
        <v>1572.2946220000001</v>
      </c>
      <c r="Z168" s="3">
        <f>2361.7+(276-934.6)+(-1.204467+(-0.14076--0.476646))+0-0-0</f>
        <v>1702.231419</v>
      </c>
      <c r="AA168" s="3">
        <f>2353.7+(301.5-965.8)+(-4.801548+(-0.61506--1.970232))+0-0-0</f>
        <v>1685.9536239999998</v>
      </c>
      <c r="AB168" s="3">
        <f>2347.6+(306.9-1004.7)+(-7.183656+(-0.939114--3.074382))+0-0-0</f>
        <v>1644.7516119999998</v>
      </c>
      <c r="AC168" s="3">
        <f>2222.9+(280-919.7)+(-1.133679+(-0.1428--0.469047))+0-0-0</f>
        <v>1582.392568</v>
      </c>
      <c r="AD168">
        <v>1737.9</v>
      </c>
      <c r="AE168" s="3">
        <f>2371+(353.8-986.9)+(0+(0-0))+0-0-0</f>
        <v>1737.9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2042+(278.2-848.5)+(-1.04142+(-0.141882--0.432735))+0-0-0</f>
        <v>1470.949433</v>
      </c>
      <c r="G169" s="3">
        <f>1922.8+(257.4-812.5)+(-2.941884+(-0.393822--1.243125))+0-0-0</f>
        <v>1365.6074189999997</v>
      </c>
      <c r="H169" s="3">
        <f>1479.3+(227.6-502.5)+(-0.754443+(-0.116076--0.256275))+0-0-0</f>
        <v>1203.785756</v>
      </c>
      <c r="I169" s="3">
        <f>1382.7+(236.5-466.2)+(-1.410354+(-0.24123--0.475524))+0-0-0</f>
        <v>1151.82394</v>
      </c>
      <c r="J169" s="3">
        <f>1392.3+(218.8-485.2)+(2.130219+(0.334764-0.742356))+0-0-0</f>
        <v>1127.6226270000002</v>
      </c>
      <c r="K169" s="3">
        <f>1387.6+(218.3-497.1)+(0+(0-0))+0-0-0</f>
        <v>1108.8</v>
      </c>
      <c r="L169" s="3">
        <f>1379.7+(230.1-524.3)+(-4.221882+(-0.704106--1.604358))+0-0-0</f>
        <v>1082.1783700000001</v>
      </c>
      <c r="M169" s="3">
        <f>1506.7+(217.3-607.5)+(0.768417+(0.110823-0.309825))+0-0-0</f>
        <v>1117.0694149999999</v>
      </c>
      <c r="N169" s="3">
        <f>1963.7+(232-952.5)+(-1.001487+(-0.11832--0.485775))+0-0-0</f>
        <v>1242.5659680000001</v>
      </c>
      <c r="O169" s="3">
        <f>2322.7+(343.9-1326.3)+(1.184577+(0.175389-0.676413))+0-0-0</f>
        <v>1340.9835529999998</v>
      </c>
      <c r="P169" s="3">
        <f>2325.8+(329.7-1216.2)+(1.186158+(0.168147-0.620262))+0-0-0</f>
        <v>1440.0340430000001</v>
      </c>
      <c r="Q169" s="3">
        <f>2343.1+(381-1248.4)+(3.584943+(0.58293-1.910052))+0-0-0</f>
        <v>1477.9578209999997</v>
      </c>
      <c r="R169" s="3">
        <f>2319+(397.3-1178.7)+(-3.54807+(-0.607869--1.803411))+0-0-0</f>
        <v>1535.247472</v>
      </c>
      <c r="S169" s="3">
        <f>2326.5+(429.6-1225.2)+(0+(0-0))+0-0-0</f>
        <v>1530.9</v>
      </c>
      <c r="T169" s="3">
        <f>2324.9+(447.8-1309.1)+(-1.185699+(-0.228378--0.667641))+0-0-0</f>
        <v>1462.8535640000002</v>
      </c>
      <c r="U169" s="3">
        <f>2333.5+(462-1298.7)+(2.38017+(0.47124-1.324674))+0-0-0</f>
        <v>1498.326736</v>
      </c>
      <c r="V169" s="3">
        <f>2327.4+(453.3-1274.8)+(0+(0-0))+0-0-0</f>
        <v>1505.9</v>
      </c>
      <c r="W169" s="3">
        <f>2320.3+(461.4-1280)+(-4.733412+(-0.941256--2.6112))+0-0-0</f>
        <v>1498.6365320000002</v>
      </c>
      <c r="X169" s="3">
        <f>2184+(371.3-1126.8)+(-3.34152+(-0.568089--1.724004))+0-0-0</f>
        <v>1426.3143950000001</v>
      </c>
      <c r="Y169" s="3">
        <f>2216.3+(318.4-1057.6)+(1.130313+(0.162384-0.539376))+0-0-0</f>
        <v>1477.8533210000003</v>
      </c>
      <c r="Z169" s="3">
        <f>2348+(327.3-1112.4)+(-2.39496+(-0.333846--1.134648))+0-0-0</f>
        <v>1561.3058419999998</v>
      </c>
      <c r="AA169" s="3">
        <f>2299.3+(388.1-1115.1)+(-5.863215+(-0.989655--2.843505))+0-0-0</f>
        <v>1568.2906350000003</v>
      </c>
      <c r="AB169" s="3">
        <f>2185.8+(466.2-1135.5)+(-3.344274+(-0.713286--1.737315))+0-0-0</f>
        <v>1514.1797550000001</v>
      </c>
      <c r="AC169" s="3">
        <f>2029.7+(440-1048.7)+(-2.070294+(-0.4488--1.069674))+0-0-0</f>
        <v>1419.5505800000001</v>
      </c>
      <c r="AD169">
        <v>1586.3</v>
      </c>
      <c r="AE169" s="3">
        <f>2358+(323.5-1095.2)+(0+(0-0))+0-0-0</f>
        <v>1586.3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1835.4+(400.3-883.5)+(-2.808162+(-0.612459--1.351755))+0-0-0</f>
        <v>1350.131134</v>
      </c>
      <c r="G170" s="3">
        <f>1599.1+(341.8-680.7)+(-2.446623+(-0.522954--1.041471))+0-0-0</f>
        <v>1258.2718939999997</v>
      </c>
      <c r="H170" s="3">
        <f>1479.2+(270.3-550.5)+(-1.508784+(-0.275706--0.56151))+0-0-0</f>
        <v>1197.77702</v>
      </c>
      <c r="I170" s="3">
        <f>1436.1+(264.3-544.1)+(-2.197233+(-0.404379--0.832473))+0-0-0</f>
        <v>1154.530861</v>
      </c>
      <c r="J170" s="3">
        <f>1448.6+(272.5-610)+(0.738786+(0.138975-0.3111))+0-0-0</f>
        <v>1111.666661</v>
      </c>
      <c r="K170" s="3">
        <f>1451.8+(263.3-579.5)+(1.480836+(0.268566-0.59109))+0-0-0</f>
        <v>1136.7583119999999</v>
      </c>
      <c r="L170" s="3">
        <f>1446.6+(290.1-648.8)+(-0.737766+(-0.147951--0.330888))+0-0-0</f>
        <v>1087.3451710000002</v>
      </c>
      <c r="M170" s="3">
        <f>1446.7+(259.7-594)+(-1.475634+(-0.264894--0.60588))+0-0-0</f>
        <v>1111.2653520000001</v>
      </c>
      <c r="N170" s="3">
        <f>1746.6+(344.6-863.7)+(-1.781532+(-0.351492--0.880974))+0-0-0</f>
        <v>1226.2479499999999</v>
      </c>
      <c r="O170" s="3">
        <f>1884+(365.4-934.9)+(0.96084+(0.186354-0.476799))+0-0-0</f>
        <v>1315.1703950000001</v>
      </c>
      <c r="P170" s="3">
        <f>1931.2+(451.8-997.8)+(1.969824+(0.460836-1.017756))+0-0-0</f>
        <v>1386.6129040000001</v>
      </c>
      <c r="Q170" s="3">
        <f>2151.6+(426-1117.9)+(0+(0-0))+0-0-0</f>
        <v>1459.6999999999998</v>
      </c>
      <c r="R170" s="3">
        <f>2318.4+(479.3-1291.2)+(1.182384+(0.244443-0.658512))+0-0-0</f>
        <v>1507.268315</v>
      </c>
      <c r="S170" s="3">
        <f>2319.7+(478.9-1347.4)+(-4.732188+(-0.976956--2.748696))+0-0-0</f>
        <v>1448.2395519999998</v>
      </c>
      <c r="T170" s="3">
        <f>2329.4+(511.2-1389.7)+(1.187994+(0.260712-0.708747))+0-0-0</f>
        <v>1451.6399590000001</v>
      </c>
      <c r="U170" s="3">
        <f>2343.4+(489.3-1410.7)+(-3.585402+(-0.748629--2.158371))+0-0-0</f>
        <v>1419.8243399999999</v>
      </c>
      <c r="V170" s="3">
        <f>2352.5+(452.3-1374.4)+(-1.199775+(-0.230673--0.700944))+0-0-0</f>
        <v>1429.670496</v>
      </c>
      <c r="W170" s="3">
        <f>2185.5+(326.2-1098.8)+(-3.343815+(-0.499086--1.681164))+0-0-0</f>
        <v>1410.7382630000002</v>
      </c>
      <c r="X170" s="3">
        <f>2161.6+(269.7-1053.8)+(-2.204832+(-0.275094--1.074876))+0-0-0</f>
        <v>1376.0949499999999</v>
      </c>
      <c r="Y170" s="3">
        <f>2183.7+(274.7-967.3)+(0+(0-0))+0-0-0</f>
        <v>1491.1</v>
      </c>
      <c r="Z170" s="3">
        <f>2210.5+(352.4-999.9)+(0+(0-0))+0-0-0</f>
        <v>1563</v>
      </c>
      <c r="AA170" s="3">
        <f>2329+(350.8-1160.6)+(-5.93895+(-0.89454--2.95953))+0-0-0</f>
        <v>1515.3260400000001</v>
      </c>
      <c r="AB170" s="3">
        <f>2324.9+(389.5-1197)+(-5.928495+(-0.993225--3.05235))+0-0-0</f>
        <v>1513.5306300000002</v>
      </c>
      <c r="AC170" s="3">
        <f>2017.3+(375.4-979.8)+(-3.086469+(-0.574362--1.499094))+0-0-0</f>
        <v>1410.7382630000002</v>
      </c>
      <c r="AD170">
        <v>1646.7</v>
      </c>
      <c r="AE170" s="3">
        <f>2361+(352.9-1067.2)+(0+(0-0))+0-0-0</f>
        <v>1646.6999999999998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1946.9+(371.4-996.5)+(-3.971676+(-0.757656--2.03286))+0-0-0</f>
        <v>1319.1035280000001</v>
      </c>
      <c r="G171" s="3">
        <f>1789.4+(354.6-901.2)+(-2.737782+(-0.542538--1.378836))+0-0-0</f>
        <v>1240.8985160000002</v>
      </c>
      <c r="H171" s="3">
        <f>1494.8+(378.2-730.4)+(-0.762348+(-0.192882--0.372504))+0-0-0</f>
        <v>1142.0172739999998</v>
      </c>
      <c r="I171" s="3">
        <f>1431.9+(365-693.6)+(-2.921076+(-0.7446--1.414944))+0-0-0</f>
        <v>1101.0492680000002</v>
      </c>
      <c r="J171" s="3">
        <f>1443.1+(361-736.5)+(-1.471962+(-0.36822--0.75123))+0-0-0</f>
        <v>1066.5110479999998</v>
      </c>
      <c r="K171" s="3">
        <f>1460.9+(366.1-763.1)+(0.745059+(0.186711-0.389181))+0-0-0</f>
        <v>1064.442589</v>
      </c>
      <c r="L171" s="3">
        <f>1433+(332.4-711)+(-5.11581+(-1.186668--2.53827))+0-0-0</f>
        <v>1050.635792</v>
      </c>
      <c r="M171" s="3">
        <f>1520+(314.7-746.9)+(1.5504+(0.320994-0.761838))+0-0-0</f>
        <v>1088.9095560000001</v>
      </c>
      <c r="N171" s="3">
        <f>1710.1+(298.5-796.1)+(-0.872151+(-0.152235--0.406011))+0-0-0</f>
        <v>1211.881625</v>
      </c>
      <c r="O171" s="3">
        <f>1751.8+(356.1-845.5)+(0+(0-0))+0-0-0</f>
        <v>1262.4000000000001</v>
      </c>
      <c r="P171" s="3">
        <f>1878+(335.8-893)+(-0.95778+(-0.171258--0.45543))+0-0-0</f>
        <v>1320.1263919999999</v>
      </c>
      <c r="Q171" s="3">
        <f>2168.2+(333.9-1131.4)+(-1.105782+(-0.170289--0.577014))+0-0-0</f>
        <v>1370.0009429999998</v>
      </c>
      <c r="R171" s="3">
        <f>2335.9+(350.5-1246.2)+(-1.191309+(-0.178755--0.635562))+0-0-0</f>
        <v>1439.465498</v>
      </c>
      <c r="S171" s="3">
        <f>2324.1+(419.8-1336.7)+(-3.555873+(-0.642294--2.045151))+0-0-0</f>
        <v>1405.0469839999998</v>
      </c>
      <c r="T171" s="3">
        <f>2327.3+(441.5-1359.4)+(-3.560769+(-0.675495--2.079882))+0-0-0</f>
        <v>1407.2436180000002</v>
      </c>
      <c r="U171" s="3">
        <f>2317+(427.7-1375.2)+(-5.90835+(-1.090635--3.50676))+0-0-0</f>
        <v>1366.007775</v>
      </c>
      <c r="V171" s="3">
        <f>2323.8+(427-1368.5)+(-4.740552+(-0.87108--2.79174))+0-0-0</f>
        <v>1379.4801080000002</v>
      </c>
      <c r="W171" s="3">
        <f>2312.9+(406.5-1374.5)+(-7.077474+(-1.24389--4.20597))+0-0-0</f>
        <v>1340.7846060000002</v>
      </c>
      <c r="X171" s="3">
        <f>2308.7+(375.1-1327.7)+(-8.242059+(-1.339107--4.739889))+0-0-0</f>
        <v>1351.2587229999999</v>
      </c>
      <c r="Y171" s="3">
        <f>2183.1+(298.2-992.4)+(-1.113381+(-0.152082--0.506124))+0-0-0</f>
        <v>1488.1406609999999</v>
      </c>
      <c r="Z171" s="3">
        <f>2231.4+(270-972.8)+(-4.552056+(-0.5508--1.984512))+0-0-0</f>
        <v>1525.4816560000002</v>
      </c>
      <c r="AA171" s="3">
        <f>2245.7+(303.9-1073.6)+(-6.871842+(-0.929934--3.285216))+0-0-0</f>
        <v>1471.48344</v>
      </c>
      <c r="AB171" s="3">
        <f>2252.6+(270.4-1066)+(-5.74413+(-0.68952--2.7183))+0-0-0</f>
        <v>1453.2846500000001</v>
      </c>
      <c r="AC171" s="3">
        <f>2054.4+(274-919.8)+(-2.095488+(-0.27948--0.938196))+0-0-0</f>
        <v>1407.1632280000001</v>
      </c>
      <c r="AD171">
        <v>1519.6999999999998</v>
      </c>
      <c r="AE171" s="3">
        <f>2246+(283.7-1010)+(0+(0-0))+0-0-0</f>
        <v>1519.7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2131.1+(222.2-1065.3)+(-2.173722+(-0.226644--1.086606))+0-0-0</f>
        <v>1286.68624</v>
      </c>
      <c r="G172" s="3">
        <f>2058.6+(240.6-1037.6)+(-3.149658+(-0.368118--1.587528))+0-0-0</f>
        <v>1259.669752</v>
      </c>
      <c r="H172" s="3">
        <f>1724+(262.5-807.2)+(-0.87924+(-0.133875--0.411672))+0-0-0</f>
        <v>1178.6985569999999</v>
      </c>
      <c r="I172" s="3">
        <f>1500.8+(279.4-636.4)+(-1.530816+(-0.284988--0.649128))+0-0-0</f>
        <v>1142.6333239999999</v>
      </c>
      <c r="J172" s="3">
        <f>1470.5+(252.6-614.1)+(0.749955+(0.128826-0.313191))+0-0-0</f>
        <v>1109.5655899999999</v>
      </c>
      <c r="K172" s="3">
        <f>1452.2+(240.4-611.2)+(-3.70311+(-0.61302--1.55856))+0-0-0</f>
        <v>1078.6424300000001</v>
      </c>
      <c r="L172" s="3">
        <f>1455.2+(236.3-620.7)+(-2.968608+(-0.482052--1.266228))+0-0-0</f>
        <v>1068.6155679999999</v>
      </c>
      <c r="M172" s="3">
        <f>1544.7+(237.1-689.7)+(-0.787797+(-0.120921--0.351747))+0-0-0</f>
        <v>1091.5430289999999</v>
      </c>
      <c r="N172" s="3">
        <f>1742.9+(229.9-785.6)+(0.888879+(0.117249-0.400656))+0-0-0</f>
        <v>1187.805472</v>
      </c>
      <c r="O172" s="3">
        <f>2009+(262.6-973.2)+(2.04918+(0.267852-0.992664))+0-0-0</f>
        <v>1299.7243680000001</v>
      </c>
      <c r="P172" s="3">
        <f>2181.5+(239.6-1074.8)+(1.112565+(0.122196-0.548148))+0-0-0</f>
        <v>1346.9866130000003</v>
      </c>
      <c r="Q172" s="3">
        <f>2337.9+(258.5-1154.4)+(2.384658+(0.26367-1.177488))+0-0-0</f>
        <v>1443.47084</v>
      </c>
      <c r="R172" s="3">
        <f>2331.7+(208.7-1087.6)+(0+(0-0))+0-0-0</f>
        <v>1452.8</v>
      </c>
      <c r="S172" s="3">
        <f>2310.7+(220.5-1119.1)+(-5.892285+(-0.562275--2.853705))+0-0-0</f>
        <v>1408.499145</v>
      </c>
      <c r="T172" s="3">
        <f>2308.7+(221.6-1152.3)+(2.354874+(0.226032-1.175346))+0-0-0</f>
        <v>1379.4055599999999</v>
      </c>
      <c r="U172" s="3">
        <f>2302.9+(214.6-1192.2)+(-2.348958+(-0.218892--1.216044))+0-0-0</f>
        <v>1323.9481940000003</v>
      </c>
      <c r="V172" s="3">
        <f>2294.3+(312.8-1269.4)+(-8.190651+(-1.116696--4.531758))+0-0-0</f>
        <v>1332.924411</v>
      </c>
      <c r="W172" s="3">
        <f>2197.4+(320.3-1179)+(-5.60337+(-0.816765--3.00645))+0-0-0</f>
        <v>1335.2863150000001</v>
      </c>
      <c r="X172" s="3">
        <f>2155.4+(270.2-1078.9)+(-3.297762+(-0.413406--1.650717))+0-0-0</f>
        <v>1344.639549</v>
      </c>
      <c r="Y172" s="3">
        <f>2103.3+(263.7-881.1)+(-1.072683+(-0.134487--0.449361))+0-0-0</f>
        <v>1485.1421910000001</v>
      </c>
      <c r="Z172" s="3">
        <f>2172.9+(271.2-890.1)+(-5.540895+(-0.69156--2.269755))+0-0-0</f>
        <v>1550.0373</v>
      </c>
      <c r="AA172" s="3">
        <f>2136.5+(281-894.1)+(-3.268845+(-0.42993--1.367973))+0-0-0</f>
        <v>1521.0691980000001</v>
      </c>
      <c r="AB172" s="3">
        <f>2055.4+(286.7-890.8)+(-5.24127+(-0.731085--2.27154))+0-0-0</f>
        <v>1447.5991850000003</v>
      </c>
      <c r="AC172" s="3">
        <f>2033.5+(305.5-923.7)+(0+(0-0))+0-0-0</f>
        <v>1415.3</v>
      </c>
      <c r="AD172">
        <v>1575.3999999999999</v>
      </c>
      <c r="AE172" s="3">
        <f>2215+(270.2-909.8)+(0+(0-0))+0-0-0</f>
        <v>1575.4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1830.4+(314.4-825.8)+(0.933504+(0.160344-0.421158))+0-0-0</f>
        <v>1319.6726900000001</v>
      </c>
      <c r="G173" s="3">
        <f>1762.1+(289.3-791.7)+(-2.696013+(-0.442629--1.211301))+0-0-0</f>
        <v>1257.7726589999997</v>
      </c>
      <c r="H173" s="3">
        <f>1466.2+(298.8-632.8)+(2.243286+(0.457164-0.968184))+0-0-0</f>
        <v>1133.932266</v>
      </c>
      <c r="I173" s="3">
        <f>1391.4+(331.7-606.3)+(-1.419228+(-0.338334--0.618426))+0-0-0</f>
        <v>1115.6608640000002</v>
      </c>
      <c r="J173" s="3">
        <f>1331.7+(290.8-550.4)+(0.679167+(0.148308-0.280704))+0-0-0</f>
        <v>1072.6467710000002</v>
      </c>
      <c r="K173" s="3">
        <f>1323.5+(270.7-522.6)+(-1.34997+(-0.276114--0.533052))+0-0-0</f>
        <v>1070.5069679999999</v>
      </c>
      <c r="L173" s="3">
        <f>1319+(279.2-579.9)+(-1.34538+(-0.284784--0.591498))+0-0-0</f>
        <v>1017.2613339999999</v>
      </c>
      <c r="M173" s="3">
        <f>1339.7+(272.4-635)+(-1.366494+(-0.277848--0.6477))+0-0-0</f>
        <v>976.10335800000007</v>
      </c>
      <c r="N173" s="3">
        <f>1473.8+(265.3-687.5)+(-3.006552+(-0.541212--1.4025))+0-0-0</f>
        <v>1049.4547359999999</v>
      </c>
      <c r="O173" s="3">
        <f>1640.9+(273.1-831.6)+(2.510577+(0.417843-1.272348))+0-0-0</f>
        <v>1084.0560720000001</v>
      </c>
      <c r="P173" s="3">
        <f>1792.9+(286-897.3)+(-2.743137+(-0.43758--1.372869))+0-0-0</f>
        <v>1179.7921520000002</v>
      </c>
      <c r="Q173" s="3">
        <f>1943.2+(286.7-925.7)+(-0.991032+(-0.146217--0.472107))+0-0-0</f>
        <v>1303.534858</v>
      </c>
      <c r="R173" s="3">
        <f>1923.7+(262.2-904)+(-3.924348+(-0.534888--1.84416))+0-0-0</f>
        <v>1279.284924</v>
      </c>
      <c r="S173" s="3">
        <f>1941.7+(270.6-920.8)+(0+(0-0))+0-0-0</f>
        <v>1291.5</v>
      </c>
      <c r="T173" s="3">
        <f>1931.1+(280.2-903)+(-1.969722+(-0.285804--0.92106))+0-0-0</f>
        <v>1306.9655339999999</v>
      </c>
      <c r="U173" s="3">
        <f>1939.8+(269.6-888.5)+(-1.978596+(-0.274992--0.90627))+0-0-0</f>
        <v>1319.552682</v>
      </c>
      <c r="V173" s="3">
        <f>1918.9+(273.1-927.7)+(-1.957278+(-0.278562--0.946254))+0-0-0</f>
        <v>1263.0104140000001</v>
      </c>
      <c r="W173" s="3">
        <f>1911.4+(270.6-923.6)+(-3.899256+(-0.552024--1.884144))+0-0-0</f>
        <v>1255.8328640000002</v>
      </c>
      <c r="X173" s="3">
        <f>1918.7+(247.9-902.3)+(-2.935611+(-0.379287--1.380519))+0-0-0</f>
        <v>1262.3656210000001</v>
      </c>
      <c r="Y173" s="3">
        <f>2039+(258.6-886.3)+(-1.03989+(-0.131886--0.452013))+0-0-0</f>
        <v>1410.5802370000001</v>
      </c>
      <c r="Z173" s="3">
        <f>2068.5+(280.3-798.2)+(-4.21974+(-0.571812--1.628328))+0-0-0</f>
        <v>1547.436776</v>
      </c>
      <c r="AA173" s="3">
        <f>2049.2+(273.6-814)+(-7.315644+(-0.976752--2.90598))+0-0-0</f>
        <v>1503.4135839999997</v>
      </c>
      <c r="AB173" s="3">
        <f>1991.3+(263.7-781.7)+(2.031126+(0.268974-0.797334))+0-0-0</f>
        <v>1474.802766</v>
      </c>
      <c r="AC173" s="3">
        <f>1953.2+(259.1-829.3)+(-0.996132+(-0.132141--0.422943))+0-0-0</f>
        <v>1382.29467</v>
      </c>
      <c r="AD173">
        <v>1554.3000000000002</v>
      </c>
      <c r="AE173" s="3">
        <f>2062+(290.9-798.6)+(0+(0-0))+0-0-0</f>
        <v>1554.3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1816.1+(247.5-718.5)+(0+(0-0))+0-0-0</f>
        <v>1345.1</v>
      </c>
      <c r="G174" s="3">
        <f>1602.6+(282.2-648.2)+(-0.817326+(-0.143922--0.330582))+0-0-0</f>
        <v>1235.9693339999999</v>
      </c>
      <c r="H174" s="3">
        <f>1324.1+(286.8-462.5)+(0+(0-0))+0-0-0</f>
        <v>1148.3999999999999</v>
      </c>
      <c r="I174" s="3">
        <f>1323+(265.9-476.3)+(-2.69892+(-0.542436--0.971652))+0-0-0</f>
        <v>1110.3302959999999</v>
      </c>
      <c r="J174" s="3">
        <f>1325.5+(260.8-497.7)+(-4.05603+(-0.798048--1.522962))+0-0-0</f>
        <v>1085.2688839999998</v>
      </c>
      <c r="K174" s="3">
        <f>1327.8+(263.7-507.1)+(-1.354356+(-0.268974--0.517242))+0-0-0</f>
        <v>1083.2939119999999</v>
      </c>
      <c r="L174" s="3">
        <f>1326.6+(259.3-513.1)+(-3.38283+(-0.661215--1.308405))+0-0-0</f>
        <v>1070.0643599999999</v>
      </c>
      <c r="M174" s="3">
        <f>1442.2+(254.4-590)+(-0.735522+(-0.129744--0.3009))+0-0-0</f>
        <v>1106.0356339999998</v>
      </c>
      <c r="N174" s="3">
        <f>1633.1+(282.5-689.1)+(0+(0-0))+0-0-0</f>
        <v>1226.5</v>
      </c>
      <c r="O174" s="3">
        <f>1989+(287-951.8)+(-1.01439+(-0.14637--0.485418))+0-0-0</f>
        <v>1323.524658</v>
      </c>
      <c r="P174" s="3">
        <f>2437.4+(278.5-1305.2)+(4.972296+(0.56814-2.662608))+0-0-0</f>
        <v>1413.577828</v>
      </c>
      <c r="Q174" s="3">
        <f>2721.5+(293.2-1462.7)+(1.387965+(0.149532-0.745977))+0-0-0</f>
        <v>1552.79152</v>
      </c>
      <c r="R174" s="3">
        <f>2721.3+(289-1446.3)+(-2.775726+(-0.29478--1.475226))+0-0-0</f>
        <v>1562.4047200000002</v>
      </c>
      <c r="S174" s="3">
        <f>2704.6+(326.4-1469.6)+(-5.517384+(-0.665856--2.997984))+0-0-0</f>
        <v>1558.2147440000001</v>
      </c>
      <c r="T174" s="3">
        <f>2719.3+(333.7-1475.2)+(-1.386843+(-0.170187--0.752352))+0-0-0</f>
        <v>1576.9953220000002</v>
      </c>
      <c r="U174" s="3">
        <f>2713.8+(349.1-1495.1)+(-1.384038+(-0.178041--0.762501))+0-0-0</f>
        <v>1567.0004220000001</v>
      </c>
      <c r="V174" s="3">
        <f>2711.5+(363.8-1557.3)+(-4.148595+(-0.556614--2.382669))+0-0-0</f>
        <v>1515.6774600000001</v>
      </c>
      <c r="W174" s="3">
        <f>2652.5+(347.3-1503.9)+(-6.763875+(-0.885615--3.834945))+0-0-0</f>
        <v>1492.0854549999999</v>
      </c>
      <c r="X174" s="3">
        <f>2503.1+(328.6-1365)+(-3.829743+(-0.502758--2.08845))+0-0-0</f>
        <v>1464.4559489999999</v>
      </c>
      <c r="Y174" s="3">
        <f>2543+(306.4-1305.9)+(0+(0-0))+0-0-0</f>
        <v>1543.5</v>
      </c>
      <c r="Z174" s="3">
        <f>2760.4+(314.2-1404.5)+(-7.03902+(-0.80121--3.581475))+0-0-0</f>
        <v>1665.8412450000001</v>
      </c>
      <c r="AA174" s="3">
        <f>2747.6+(300.2-1408.4)+(-7.00638+(-0.76551--3.59142))+0-0-0</f>
        <v>1635.2195299999998</v>
      </c>
      <c r="AB174" s="3">
        <f>2501.7+(327.7-1245.8)+(-5.103468+(-0.668508--2.541432))+0-0-0</f>
        <v>1580.3694559999999</v>
      </c>
      <c r="AC174" s="3">
        <f>2339.5+(291.7-1157.8)+(0+(0-0))+0-0-0</f>
        <v>1473.4</v>
      </c>
      <c r="AD174">
        <v>1661.2</v>
      </c>
      <c r="AE174" s="3">
        <f>2769+(310.5-1418.3)+(0+(0-0))+0-0-0</f>
        <v>1661.2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2134.3+(285-1018.3)+(-5.442465+(-0.72675--2.596665))+0-0-0</f>
        <v>1397.4274500000001</v>
      </c>
      <c r="G175" s="3">
        <f>1868.3+(324.7-920.7)+(-3.811332+(-0.662388--1.878228))+0-0-0</f>
        <v>1269.704508</v>
      </c>
      <c r="H175" s="3">
        <f>1766.4+(289-833.3)+(-1.801728+(-0.29478--0.849966))+0-0-0</f>
        <v>1220.853458</v>
      </c>
      <c r="I175" s="3">
        <f>1618.2+(269.6-708.6)+(-4.12641+(-0.68748--1.80693))+0-0-0</f>
        <v>1176.1930400000001</v>
      </c>
      <c r="J175" s="3">
        <f>1603.9+(270.9-705.4)+(2.453967+(0.414477-1.079262))+0-0-0</f>
        <v>1171.1891820000001</v>
      </c>
      <c r="K175" s="3">
        <f>1601.9+(256.5-724.3)+(2.450907+(0.392445-1.108179))+0-0-0</f>
        <v>1135.8351730000002</v>
      </c>
      <c r="L175" s="3">
        <f>1589.5+(263.4-749.7)+(-1.62129+(-0.268668--0.764694))+0-0-0</f>
        <v>1102.0747359999998</v>
      </c>
      <c r="M175" s="3">
        <f>1652.7+(269.4-802.3)+(0.842877+(0.137394-0.409173))+0-0-0</f>
        <v>1120.3710980000001</v>
      </c>
      <c r="N175" s="3">
        <f>1856.1+(263.4-881.4)+(-0.946611+(-0.134334--0.449514))+0-0-0</f>
        <v>1237.4685689999999</v>
      </c>
      <c r="O175" s="3">
        <f>2232.3+(284.9-1160.5)+(0+(0-0))+0-0-0</f>
        <v>1356.7000000000003</v>
      </c>
      <c r="P175" s="3">
        <f>2568.1+(269.1-1399.3)+(1.309731+(0.137241-0.713643))+0-0-0</f>
        <v>1438.633329</v>
      </c>
      <c r="Q175" s="3">
        <f>2704.7+(277.3-1499.3)+(1.379397+(0.141423-0.764643))+0-0-0</f>
        <v>1483.4561769999998</v>
      </c>
      <c r="R175" s="3">
        <f>2736.3+(292.6-1514.8)+(-1.395513+(-0.149226--0.772548))+0-0-0</f>
        <v>1513.3278090000003</v>
      </c>
      <c r="S175" s="3">
        <f>2715+(313.5-1583.1)+(-8.3079+(-0.95931--4.844286))+0-0-0</f>
        <v>1440.9770760000001</v>
      </c>
      <c r="T175" s="3">
        <f>2736.2+(380.3-1661.8)+(0+(0-0))+0-0-0</f>
        <v>1454.6999999999998</v>
      </c>
      <c r="U175" s="3">
        <f>2728.8+(350.7-1658.7)+(-5.566752+(-0.715428--3.383748))+0-0-0</f>
        <v>1417.9015680000002</v>
      </c>
      <c r="V175" s="3">
        <f>2621.3+(377.7-1594.1)+(0+(0-0))+0-0-0</f>
        <v>1404.9000000000003</v>
      </c>
      <c r="W175" s="3">
        <f>2547.9+(346.1-1501.7)+(-3.898287+(-0.529533--2.297601))+0-0-0</f>
        <v>1390.1697810000003</v>
      </c>
      <c r="X175" s="3">
        <f>2359.4+(314.9-1266)+(0+(0-0))+0-0-0</f>
        <v>1408.3000000000002</v>
      </c>
      <c r="Y175" s="3">
        <f>2486.2+(206.5-1163.4)+(-1.267962+(-0.105315--0.593334))+0-0-0</f>
        <v>1528.5200569999997</v>
      </c>
      <c r="Z175" s="3">
        <f>2546.9+(212.9-1192.5)+(-6.494595+(-0.542895--3.040875))+0-0-0</f>
        <v>1563.3033850000002</v>
      </c>
      <c r="AA175" s="3">
        <f>2517+(290.2-1296.7)+(-7.70202+(-0.888012--3.967902))+0-0-0</f>
        <v>1505.87787</v>
      </c>
      <c r="AB175" s="3">
        <f>2396.3+(391.7-1315.1)+(-3.666339+(-0.599301--2.012103))+0-0-0</f>
        <v>1470.6464630000003</v>
      </c>
      <c r="AC175" s="3">
        <f>2267.9+(414.6-1300.8)+(-3.469887+(-0.634338--1.990224))+0-0-0</f>
        <v>1379.5859990000004</v>
      </c>
      <c r="AD175">
        <v>1578.7999999999997</v>
      </c>
      <c r="AE175" s="3">
        <f>2527+(226.2-1174.4)+(0+(0-0))+0-0-0</f>
        <v>1578.8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1913.8+(408.2-998.8)+(-3.904152+(-0.832728--2.037552))+0-0-0</f>
        <v>1320.5006720000001</v>
      </c>
      <c r="G176" s="3">
        <f>1546.7+(421.9-796.5)+(0+(0-0))+0-0-0</f>
        <v>1172.0999999999999</v>
      </c>
      <c r="H176" s="3">
        <f>1513.3+(386.2-786.9)+(0+(0-0))+0-0-0</f>
        <v>1112.5999999999999</v>
      </c>
      <c r="I176" s="3">
        <f>1507.6+(379.2-779.1)+(-0.768876+(-0.193392--0.397341))+0-0-0</f>
        <v>1107.1350729999999</v>
      </c>
      <c r="J176" s="3">
        <f>1493+(330.1-732.2)+(-3.04572+(-0.673404--1.493688))+0-0-0</f>
        <v>1088.6745640000001</v>
      </c>
      <c r="K176" s="3">
        <f>1510.9+(271.1-696.6)+(0.770559+(0.138261-0.355266))+0-0-0</f>
        <v>1085.9535540000002</v>
      </c>
      <c r="L176" s="3">
        <f>1496.8+(263.6-687.4)+(-3.81684+(-0.67218--1.75287))+0-0-0</f>
        <v>1070.26385</v>
      </c>
      <c r="M176" s="3">
        <f>1512.1+(254.8-694.6)+(-0.771171+(-0.129948--0.354246))+0-0-0</f>
        <v>1071.7531269999999</v>
      </c>
      <c r="N176" s="3">
        <f>1804.3+(353.4-974.3)+(1.840386+(0.360468-0.993786))+0-0-0</f>
        <v>1184.607068</v>
      </c>
      <c r="O176" s="3">
        <f>1950.8+(373.5-1044.4)+(-2.984724+(-0.571455--1.597932))+0-0-0</f>
        <v>1277.9417529999998</v>
      </c>
      <c r="P176" s="3">
        <f>2211+(362.5-1249.6)+(-1.12761+(-0.184875--0.637296))+0-0-0</f>
        <v>1323.224811</v>
      </c>
      <c r="Q176" s="3">
        <f>2405.9+(432.7-1427.4)+(0+(0-0))+0-0-0</f>
        <v>1411.2</v>
      </c>
      <c r="R176" s="3">
        <f>2458.2+(440.5-1453.9)+(0+(0-0))+0-0-0</f>
        <v>1444.7999999999997</v>
      </c>
      <c r="S176" s="3">
        <f>2440.6+(458.1-1472.5)+(-3.734118+(-0.700893--2.252925))+0-0-0</f>
        <v>1424.0179139999998</v>
      </c>
      <c r="T176" s="3">
        <f>2444+(468.7-1528.5)+(-2.49288+(-0.478074--1.55907))+0-0-0</f>
        <v>1382.7881159999999</v>
      </c>
      <c r="U176" s="3">
        <f>2448.3+(460.4-1546.4)+(-1.248633+(-0.234804--0.788664))+0-0-0</f>
        <v>1361.6052270000002</v>
      </c>
      <c r="V176" s="3">
        <f>2432.4+(398.6-1465.7)+(-4.962096+(-0.813144--2.990028))+0-0-0</f>
        <v>1362.5147880000002</v>
      </c>
      <c r="W176" s="3">
        <f>2334.8+(343.5-1326)+(-7.144488+(-1.05111--4.05756))+0-0-0</f>
        <v>1348.1619620000001</v>
      </c>
      <c r="X176" s="3">
        <f>2199.9+(284.8-1132.4)+(-4.487796+(-0.580992--2.310096))+0-0-0</f>
        <v>1349.5413079999998</v>
      </c>
      <c r="Y176" s="3">
        <f>2279.9+(307.3-1137)+(-2.325498+(-0.313446--1.15974))+0-0-0</f>
        <v>1448.7207960000001</v>
      </c>
      <c r="Z176" s="3">
        <f>2336.5+(417.2-1263)+(-3.574845+(-0.638316--1.93239))+0-0-0</f>
        <v>1488.4192290000001</v>
      </c>
      <c r="AA176" s="3">
        <f>2223.8+(395.6-1114.5)+(-3.402414+(-0.605268--1.705185))+0-0-0</f>
        <v>1502.5975030000002</v>
      </c>
      <c r="AB176" s="3">
        <f>1857.4+(350.7-827.5)+(-1.894548+(-0.357714--0.84405))+0-0-0</f>
        <v>1379.1917880000001</v>
      </c>
      <c r="AC176" s="3">
        <f>1734.9+(338.2-776.9)+(-0.884799+(-0.172482--0.396219))+0-0-0</f>
        <v>1295.5389380000001</v>
      </c>
      <c r="AD176">
        <v>1509.6000000000001</v>
      </c>
      <c r="AE176" s="3">
        <f>2340+(448.4-1278.8)+(0+(0-0))+0-0-0</f>
        <v>1509.6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1600.1+(388-803.7)+(-2.448153+(-0.59364--1.229661))+0-0-0</f>
        <v>1182.5878679999998</v>
      </c>
      <c r="G177" s="3">
        <f>1577.4+(422.7-859.3)+(-2.413422+(-0.646731--1.314729))+0-0-0</f>
        <v>1139.0545760000002</v>
      </c>
      <c r="H177" s="3">
        <f>1505.5+(381-822.1)+(-3.07122+(-0.77724--1.677084))+0-0-0</f>
        <v>1062.2286240000001</v>
      </c>
      <c r="I177" s="3">
        <f>1509.1+(326.8-803.4)+(-0.769641+(-0.166668--0.409734))+0-0-0</f>
        <v>1031.9734249999999</v>
      </c>
      <c r="J177" s="3">
        <f>1517.3+(332.8-823)+(0.773823+(0.169728-0.41973))+0-0-0</f>
        <v>1027.6238209999999</v>
      </c>
      <c r="K177" s="3">
        <f>1508.6+(315.9-801.5)+(-0.769386+(-0.161109--0.408765))+0-0-0</f>
        <v>1022.4782699999998</v>
      </c>
      <c r="L177" s="3">
        <f>1510.4+(260.7-754.4)+(-0.770304+(-0.132957--0.384744))+0-0-0</f>
        <v>1016.1814830000001</v>
      </c>
      <c r="M177" s="3">
        <f>1625.6+(275.3-869.6)+(0.829056+(0.140403-0.443496))+0-0-0</f>
        <v>1031.825963</v>
      </c>
      <c r="N177" s="3">
        <f>1799.7+(404.6-1044)+(-3.671388+(-0.825384--2.12976))+0-0-0</f>
        <v>1157.9329880000003</v>
      </c>
      <c r="O177" s="3">
        <f>1922+(408.7-1123.8)+(0+(0-0))+0-0-0</f>
        <v>1206.9000000000001</v>
      </c>
      <c r="P177" s="3">
        <f>2101.7+(462.4-1265.6)+(2.143734+(0.471648-1.290912))+0-0-0</f>
        <v>1299.82447</v>
      </c>
      <c r="Q177" s="3">
        <f>2357.9+(373.7-1409.7)+(2.405058+(0.381174-1.437894))+0-0-0</f>
        <v>1323.2483380000001</v>
      </c>
      <c r="R177" s="3">
        <f>2439+(367-1476)+(0+(0-0))+0-0-0</f>
        <v>1330</v>
      </c>
      <c r="S177" s="3">
        <f>2446+(407-1579)+(0+(0-0))+0-0-0</f>
        <v>1274</v>
      </c>
      <c r="T177" s="3">
        <f>2449+(380-1404)+(0+(0-0))+0-0-0</f>
        <v>1425</v>
      </c>
      <c r="U177" s="3">
        <f>2442+(408-1550)+(0+(0-0))+0-0-0</f>
        <v>1300</v>
      </c>
      <c r="V177" s="3">
        <f>2447+(444-1586)+(0+(0-0))+0-0-0</f>
        <v>1305</v>
      </c>
      <c r="W177" s="3">
        <f>2418+(397-1407)+(0+(0-0))+0-0-0</f>
        <v>1408</v>
      </c>
      <c r="X177" s="3">
        <f>2187.4+(299-1105)+(-5.57787+(-0.76245--2.81775))+0-0-0</f>
        <v>1377.87743</v>
      </c>
      <c r="Y177" s="3">
        <f>2273.4+(297-1301)+(-2.318868+(-0.30294--1.32702))+0-0-0</f>
        <v>1268.1052120000002</v>
      </c>
      <c r="Z177" s="3">
        <f>2386.9+(369-1209)+(-6.086595+(-0.94095--3.08295))+0-0-0</f>
        <v>1542.9554050000002</v>
      </c>
      <c r="AA177" s="3">
        <f>2212.5+(380-1148)+(-6.77025+(-1.1628--3.51288))+0-0-0</f>
        <v>1440.0798299999999</v>
      </c>
      <c r="AB177" s="3">
        <f>2180+(259-1132)+(-4.4472+(-0.52836--2.30928))+0-0-0</f>
        <v>1304.3337200000001</v>
      </c>
      <c r="AC177" s="3">
        <f>2073+(243-1022)+(-1.05723+(-0.12393--0.52122))+0-0-0</f>
        <v>1293.34006</v>
      </c>
      <c r="AD177">
        <v>1471.5</v>
      </c>
      <c r="AE177" s="3">
        <f>2427+(393.1-1348.6)+(0+(0-0))+0-0-0</f>
        <v>1471.5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1681+(271-927.1)+(0+(0-0))+0-0-0</f>
        <v>1024.9000000000001</v>
      </c>
      <c r="G178" s="3">
        <f>1571+(320.6-889.8)+(0+(0-0))+0-0-0</f>
        <v>1001.8000000000001</v>
      </c>
      <c r="H178" s="3">
        <f>1501+(330.6-783.5)+(0+(0-0))+0-0-0</f>
        <v>1048.0999999999999</v>
      </c>
      <c r="I178" s="3">
        <f>1471+(296.8-767.7)+(0+(0-0))+0-0-0</f>
        <v>1000.0999999999999</v>
      </c>
      <c r="J178" s="3">
        <f>1461+(293.5-799.5)+(0+(0-0))+0-0-0</f>
        <v>955</v>
      </c>
      <c r="K178" s="3">
        <f>1471+(281.6-774.1)+(0+(0-0))+0-0-0</f>
        <v>978.5</v>
      </c>
      <c r="L178" s="3">
        <f>1499+(284.8-791.2)+(0+(0-0))+0-0-0</f>
        <v>992.59999999999991</v>
      </c>
      <c r="M178" s="3">
        <f>1564.6+(300.5-894.4)+(0.797946+(0.153255-0.456144))+0-0-0</f>
        <v>971.19505699999991</v>
      </c>
      <c r="N178" s="3">
        <f>2125.9+(358-1361.8)+(-2.168418+(-0.36516--1.389036))+0-0-0</f>
        <v>1120.9554580000001</v>
      </c>
      <c r="O178" s="3">
        <f>2416.8+(383-1605.5)+(1.232568+(0.19533-0.818805))+0-0-0</f>
        <v>1194.9090930000002</v>
      </c>
      <c r="P178" s="3">
        <f>2659.1+(395-1759.4)+(4.068423+(0.60435-2.691882))+0-0-0</f>
        <v>1296.6808909999997</v>
      </c>
      <c r="Q178" s="3">
        <f>2744.4+(374.4-1763.2)+(1.399644+(0.190944-0.899232))+0-0-0</f>
        <v>1356.291356</v>
      </c>
      <c r="R178" s="3">
        <f>2747.2+(363.5-1761.2)+(2.802144+(0.37077-1.796424))+0-0-0</f>
        <v>1350.8764899999999</v>
      </c>
      <c r="S178" s="3">
        <f>2722.4+(384.5-1812.5)+(-1.388424+(-0.196095--0.924375))+0-0-0</f>
        <v>1293.7398560000001</v>
      </c>
      <c r="T178" s="3">
        <f>2598.8+(406.4-1715.7)+(-1.325388+(-0.207264--0.875007))+0-0-0</f>
        <v>1288.842355</v>
      </c>
      <c r="U178" s="3">
        <f>2603.9+(431.4-1734.1)+(-1.327989+(-0.220014--0.884391))+0-0-0</f>
        <v>1300.5363880000002</v>
      </c>
      <c r="V178" s="3">
        <f>2549.1+(419.3-1692.8)+(-6.500205+(-1.069215--4.31664))+0-0-0</f>
        <v>1272.3472199999999</v>
      </c>
      <c r="W178" s="3">
        <f>2546.2+(374.7-1675.9)+(-7.791372+(-1.146582--5.128254))+0-0-0</f>
        <v>1241.1902999999998</v>
      </c>
      <c r="X178" s="3">
        <f>2366.8+(208.4-1239.6)+(-6.03534+(-0.53142--3.16098))+0-0-0</f>
        <v>1332.1942200000003</v>
      </c>
      <c r="Y178" s="3">
        <f>2331.1+(207.6-1139.4)+(-2.377722+(-0.211752--1.162188))+0-0-0</f>
        <v>1397.8727139999996</v>
      </c>
      <c r="Z178" s="3">
        <f>2455.6+(268-1275.3)+(-7.514136+(-0.82008--3.902418))+0-0-0</f>
        <v>1443.8682019999999</v>
      </c>
      <c r="AA178" s="3">
        <f>2375.4+(335.9-1288.8)+(-6.05727+(-0.856545--3.28644))+0-0-0</f>
        <v>1418.872625</v>
      </c>
      <c r="AB178" s="3">
        <f>2214+(284.6-1154.2)+(-3.38742+(-0.435438--1.765926))+0-0-0</f>
        <v>1342.3430680000001</v>
      </c>
      <c r="AC178" s="3">
        <f>1974.3+(306.1-982.7)+(-1.006893+(-0.156111--0.501177))+0-0-0</f>
        <v>1297.0381729999999</v>
      </c>
      <c r="AD178">
        <v>1473.9</v>
      </c>
      <c r="AE178" s="3">
        <f>2431+(319.8-1276.9)+(0+(0-0))+0-0-0</f>
        <v>1473.8999999999999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1588.5+(311.3-738.4)+(0+(0-0))+0-0-0</f>
        <v>1161.4000000000001</v>
      </c>
      <c r="G179" s="3">
        <f>1481+(336.5-746)+(-0.75531+(-0.171615--0.38046))+0-0-0</f>
        <v>1070.9535350000001</v>
      </c>
      <c r="H179" s="3">
        <f>1497.6+(355.6-804.9)+(2.291328+(0.544068-1.231497))+0-0-0</f>
        <v>1049.9038989999999</v>
      </c>
      <c r="I179" s="3">
        <f>1481.5+(329-791.3)+(-1.51113+(-0.33558--0.807126))+0-0-0</f>
        <v>1018.1604160000001</v>
      </c>
      <c r="J179" s="3">
        <f>1481+(261.5-750.3)+(-2.26593+(-0.400095--1.147959))+0-0-0</f>
        <v>990.68193400000007</v>
      </c>
      <c r="K179" s="3">
        <f>1482.9+(257.4-749)+(-0.756279+(-0.131274--0.38199))+0-0-0</f>
        <v>990.79443700000002</v>
      </c>
      <c r="L179" s="3">
        <f>1438.5+(255.4-700.4)+(-3.668175+(-0.65127--1.78602))+0-0-0</f>
        <v>990.96657500000003</v>
      </c>
      <c r="M179" s="3">
        <f>1431.9+(240.3-656.1)+(0+(0-0))+0-0-0</f>
        <v>1016.1000000000001</v>
      </c>
      <c r="N179" s="3">
        <f>1864.9+(287.6-1070.1)+(0+(0-0))+0-0-0</f>
        <v>1082.4000000000001</v>
      </c>
      <c r="O179" s="3">
        <f>2150.1+(296.2-1217)+(0+(0-0))+0-0-0</f>
        <v>1229.3</v>
      </c>
      <c r="P179" s="3">
        <f>2192.1+(268.7-1147.8)+(4.471884+(0.548148-2.341512))+0-0-0</f>
        <v>1315.6785199999999</v>
      </c>
      <c r="Q179" s="3">
        <f>2199.3+(299.5-1167.9)+(0+(0-0))+0-0-0</f>
        <v>1330.9</v>
      </c>
      <c r="R179" s="3">
        <f>2197.5+(290.4-1142.7)+(-2.24145+(-0.296208--1.165554))+0-0-0</f>
        <v>1343.8278959999998</v>
      </c>
      <c r="S179" s="3">
        <f>2187.6+(373.5-1274.3)+(-4.462704+(-0.76194--2.599572))+0-0-0</f>
        <v>1284.1749279999999</v>
      </c>
      <c r="T179" s="3">
        <f>2195.2+(448.7-1369.3)+(-1.119552+(-0.228837--0.698343))+0-0-0</f>
        <v>1273.9499539999999</v>
      </c>
      <c r="U179" s="3">
        <f>2183.4+(440.8-1354.2)+(-3.340602+(-0.674424--2.071926))+0-0-0</f>
        <v>1268.0569</v>
      </c>
      <c r="V179" s="3">
        <f>2146.1+(444.3-1325.2)+(-1.094511+(-0.226593--0.675852))+0-0-0</f>
        <v>1264.5547479999998</v>
      </c>
      <c r="W179" s="3">
        <f>2092.1+(351.3-1202.4)+(-5.334855+(-0.895815--3.06612))+0-0-0</f>
        <v>1237.8354499999998</v>
      </c>
      <c r="X179" s="3">
        <f>2111.5+(270-1133.1)+(0+(0-0))+0-0-0</f>
        <v>1248.4000000000001</v>
      </c>
      <c r="Y179" s="3">
        <f>2171.9+(275.1-1056.2)+(0+(0-0))+0-0-0</f>
        <v>1390.8000000000002</v>
      </c>
      <c r="Z179" s="3">
        <f>2209.8+(250.8-1021.4)+(-3.380994+(-0.383724--1.562742))+0-0-0</f>
        <v>1436.9980240000002</v>
      </c>
      <c r="AA179" s="3">
        <f>2201.6+(271.2-1078.8)+(-5.61408+(-0.69156--2.75094))+0-0-0</f>
        <v>1390.4453000000001</v>
      </c>
      <c r="AB179" s="3">
        <f>2165.4+(260.4-1091.2)+(-5.52177+(-0.66402--2.78256))+0-0-0</f>
        <v>1331.19677</v>
      </c>
      <c r="AC179" s="3">
        <f>2103.3+(283.2-1137.1)+(-3.218049+(-0.433296--1.739763))+0-0-0</f>
        <v>1247.4884180000004</v>
      </c>
      <c r="AD179">
        <v>1459.8000000000002</v>
      </c>
      <c r="AE179" s="3">
        <f>2216+(282.4-1038.6)+(0+(0-0))+0-0-0</f>
        <v>1459.8000000000002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2041.1+(307-1101.9)+(-3.122883+(-0.46971--1.685907))+0-0-0</f>
        <v>1244.2933139999998</v>
      </c>
      <c r="G180" s="3">
        <f>1736.7+(262.8-883)+(-0.885717+(-0.134028--0.45033))+0-0-0</f>
        <v>1115.9305850000001</v>
      </c>
      <c r="H180" s="3">
        <f>1555.9+(285.1-744.8)+(-3.967545+(-0.727005--1.89924))+0-0-0</f>
        <v>1093.4046900000003</v>
      </c>
      <c r="I180" s="3">
        <f>1392.6+(275-649.1)+(0+(0-0))+0-0-0</f>
        <v>1018.4999999999999</v>
      </c>
      <c r="J180" s="3">
        <f>1392.4+(278.4-680.6)+(0+(0-0))+0-0-0</f>
        <v>990.2</v>
      </c>
      <c r="K180" s="3">
        <f>1408.2+(247.3-671.3)+(2.154546+(0.378369-1.027089))+0-0-0</f>
        <v>985.705826</v>
      </c>
      <c r="L180" s="3">
        <f>1405.4+(229.2-689.6)+(2.150262+(0.350676-1.055088))+0-0-0</f>
        <v>946.44584999999995</v>
      </c>
      <c r="M180" s="3">
        <f>1352.2+(236.4-668)+(-3.44811+(-0.60282--1.7034))+0-0-0</f>
        <v>918.25247000000002</v>
      </c>
      <c r="N180" s="3">
        <f>1397.7+(234.7-677)+(0+(0-0))+0-0-0</f>
        <v>955.40000000000009</v>
      </c>
      <c r="O180" s="3">
        <f>1519.6+(245.9-709.1)+(-2.324988+(-0.376227--1.084923))+0-0-0</f>
        <v>1054.7837079999999</v>
      </c>
      <c r="P180" s="3">
        <f>1573.8+(255.2-747.7)+(-1.605276+(-0.260304--0.762654))+0-0-0</f>
        <v>1080.1970739999999</v>
      </c>
      <c r="Q180" s="3">
        <f>1658.8+(255.7-772.2)+(-1.691976+(-0.260814--0.787644))+0-0-0</f>
        <v>1141.1348539999999</v>
      </c>
      <c r="R180" s="3">
        <f>1652.7+(291.7-798.4)+(-1.685754+(-0.297534--0.814368))+0-0-0</f>
        <v>1144.8310799999999</v>
      </c>
      <c r="S180" s="3">
        <f>1684.4+(306.9-864.8)+(-1.718088+(-0.313038--0.882096))+0-0-0</f>
        <v>1125.35097</v>
      </c>
      <c r="T180" s="3">
        <f>1751.8+(324.8-932.7)+(0.893418+(0.165648-0.475677))+0-0-0</f>
        <v>1144.4833889999998</v>
      </c>
      <c r="U180" s="3">
        <f>1748+(319.2-928.9)+(0+(0-0))+0-0-0</f>
        <v>1138.3</v>
      </c>
      <c r="V180" s="3">
        <f>1724.6+(326.5-910.4)+(-4.39773+(-0.832575--2.32152))+0-0-0</f>
        <v>1137.7912149999997</v>
      </c>
      <c r="W180" s="3">
        <f>1741.7+(265.6-854.1)+(-1.776534+(-0.270912--0.871182))+0-0-0</f>
        <v>1152.0237360000001</v>
      </c>
      <c r="X180" s="3">
        <f>1740.3+(233.6-792.8)+(-2.662659+(-0.357408--1.212984))+0-0-0</f>
        <v>1179.292917</v>
      </c>
      <c r="Y180" s="3">
        <f>2127.7+(229.1-982.6)+(0+(0-0))+0-0-0</f>
        <v>1374.1999999999998</v>
      </c>
      <c r="Z180" s="3">
        <f>2196.3+(250.7-1034.6)+(-3.360339+(-0.383571--1.582938))+0-0-0</f>
        <v>1410.2390280000004</v>
      </c>
      <c r="AA180" s="3">
        <f>2146.7+(265.4-1012.6)+(-5.474085+(-0.67677--2.58213))+0-0-0</f>
        <v>1395.9312749999997</v>
      </c>
      <c r="AB180" s="3">
        <f>1934.9+(290.9-910.1)+(-3.947196+(-0.593436--1.856604))+0-0-0</f>
        <v>1313.0159720000001</v>
      </c>
      <c r="AC180" s="3">
        <f>1718.4+(334.6-791.4)+(-1.752768+(-0.341292--0.807228))+0-0-0</f>
        <v>1260.3131680000001</v>
      </c>
      <c r="AD180">
        <v>1390.1</v>
      </c>
      <c r="AE180" s="3">
        <f>2180+(250.5-1040.4)+(0+(0-0))+0-0-0</f>
        <v>1390.1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1460.7+(274.4-603.8)+(-2.979828+(-0.559776--1.231752))+0-0-0</f>
        <v>1128.9921480000003</v>
      </c>
      <c r="G181" s="3">
        <f>1397.4+(252.7-606)+(0+(0-0))+0-0-0</f>
        <v>1044.1000000000001</v>
      </c>
      <c r="H181" s="3">
        <f>1388.5+(240.5-631.6)+(-2.124405+(-0.367965--0.966348))+0-0-0</f>
        <v>995.87397799999997</v>
      </c>
      <c r="I181" s="3">
        <f>1392.8+(208.7-636.8)+(-1.420656+(-0.212874--0.649536))+0-0-0</f>
        <v>963.71600599999999</v>
      </c>
      <c r="J181" s="3">
        <f>1401+(203.6-645.2)+(-0.71451+(-0.103836--0.329052))+0-0-0</f>
        <v>958.910706</v>
      </c>
      <c r="K181" s="3">
        <f>1387+(222.4-629)+(-3.53685+(-0.56712--1.60395))+0-0-0</f>
        <v>977.89998000000003</v>
      </c>
      <c r="L181" s="3">
        <f>1383.1+(188.7-621.2)+(-4.937667+(-0.673659--2.217684))+0-0-0</f>
        <v>947.20635799999991</v>
      </c>
      <c r="M181" s="3">
        <f>1467.6+(218.2-684)+(2.245428+(0.333846-1.04652))+0-0-0</f>
        <v>1003.3327539999999</v>
      </c>
      <c r="N181" s="3">
        <f>1700.5+(276.1-892.2)+(-1.73451+(-0.281622--0.910044))+0-0-0</f>
        <v>1083.2939120000001</v>
      </c>
      <c r="O181" s="3">
        <f>2041.4+(269-1096.9)+(-1.041114+(-0.13719--0.559419))+0-0-0</f>
        <v>1212.8811149999999</v>
      </c>
      <c r="P181" s="3">
        <f>2138.4+(266.2-1115.1)+(0+(0-0))+0-0-0</f>
        <v>1289.5000000000002</v>
      </c>
      <c r="Q181" s="3">
        <f>2190.4+(335.8-1176.7)+(1.117104+(0.171258-0.600117))+0-0-0</f>
        <v>1350.1882450000001</v>
      </c>
      <c r="R181" s="3">
        <f>2190.2+(348.8-1141.1)+(-2.234004+(-0.355776--1.163922))+0-0-0</f>
        <v>1396.4741419999998</v>
      </c>
      <c r="S181" s="3">
        <f>2194.2+(371.2-1204.6)+(1.119042+(0.189312-0.614346))+0-0-0</f>
        <v>1361.4940079999999</v>
      </c>
      <c r="T181" s="3">
        <f>2194.8+(378.5-1232.4)+(1.119348+(0.193035-0.628524))+0-0-0</f>
        <v>1341.5838590000001</v>
      </c>
      <c r="U181" s="3">
        <f>2189.4+(387.9-1236.9)+(-1.116594+(-0.197829--0.630819))+0-0-0</f>
        <v>1339.716396</v>
      </c>
      <c r="V181" s="3">
        <f>2183.4+(388.7-1231)+(-3.340602+(-0.594711--1.88343))+0-0-0</f>
        <v>1339.048117</v>
      </c>
      <c r="W181" s="3">
        <f>2168.1+(354.4-1141.8)+(-4.422924+(-0.722976--2.329272))+0-0-0</f>
        <v>1377.8833719999998</v>
      </c>
      <c r="X181" s="3">
        <f>2099.9+(240.8-1007.8)+(-2.141898+(-0.245616--1.027956))+0-0-0</f>
        <v>1331.540442</v>
      </c>
      <c r="Y181" s="3">
        <f>2182.3+(270-999.3)+(-1.112973+(-0.1377--0.509643))+0-0-0</f>
        <v>1452.2589700000003</v>
      </c>
      <c r="Z181" s="3">
        <f>2207.3+(331-1018.9)+(-2.251446+(-0.33762--1.039278))+0-0-0</f>
        <v>1517.8502120000001</v>
      </c>
      <c r="AA181" s="3">
        <f>2184.4+(348-1070.4)+(-6.684264+(-1.06488--3.275424))+0-0-0</f>
        <v>1457.52628</v>
      </c>
      <c r="AB181" s="3">
        <f>2045.8+(353.5-1002.5)+(1.043358+(0.180285-0.511275))+0-0-0</f>
        <v>1397.5123679999999</v>
      </c>
      <c r="AC181" s="3">
        <f>1857.2+(318.3-858.9)+(0.947172+(0.162333-0.438039))+0-0-0</f>
        <v>1317.2714660000001</v>
      </c>
      <c r="AD181">
        <v>1533.3999999999999</v>
      </c>
      <c r="AE181" s="3">
        <f>2224+(338.2-1028.8)+(0+(0-0))+0-0-0</f>
        <v>1533.4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1743.7+(257.8-773.5)+(-0.889287+(-0.131478--0.394485))+0-0-0</f>
        <v>1227.37372</v>
      </c>
      <c r="G182" s="3">
        <f>1465.4+(260.2-644.8)+(0.747354+(0.132702-0.328848))+0-0-0</f>
        <v>1081.3512080000003</v>
      </c>
      <c r="H182" s="3">
        <f>1408.3+(272-638.1)+(2.872932+(0.55488-1.301724))+0-0-0</f>
        <v>1044.3260879999998</v>
      </c>
      <c r="I182" s="3">
        <f>1390.4+(289.2-662.4)+(-2.127312+(-0.442476--1.013472))+0-0-0</f>
        <v>1015.643684</v>
      </c>
      <c r="J182" s="3">
        <f>1413.3+(265.8-666.5)+(2.883132+(0.542232-1.35966))+0-0-0</f>
        <v>1014.6657039999999</v>
      </c>
      <c r="K182" s="3">
        <f>1403.8+(227.7-631.2)+(1.431876+(0.232254-0.643824))+0-0-0</f>
        <v>1001.320306</v>
      </c>
      <c r="L182" s="3">
        <f>1390+(257.8-660.6)+(-1.4178+(-0.262956--0.673812))+0-0-0</f>
        <v>986.19305600000007</v>
      </c>
      <c r="M182" s="3">
        <f>1453.3+(247-669.4)+(0.741183+(0.12597-0.341394))+0-0-0</f>
        <v>1031.4257590000002</v>
      </c>
      <c r="N182" s="3">
        <f>1773.4+(300.4-980.3)+(-0.904434+(-0.153204--0.499953))+0-0-0</f>
        <v>1092.942315</v>
      </c>
      <c r="O182" s="3">
        <f>2084.7+(317.7-1146.3)+(1.063197+(0.162027-0.584613))+0-0-0</f>
        <v>1256.7406109999999</v>
      </c>
      <c r="P182" s="3">
        <f>2134.6+(284.6-1101.7)+(0+(0-0))+0-0-0</f>
        <v>1317.5</v>
      </c>
      <c r="Q182" s="3">
        <f>2170.1+(274.3-1070.6)+(3.320253+(0.419679-1.638018))+0-0-0</f>
        <v>1375.901914</v>
      </c>
      <c r="R182" s="3">
        <f>2160.9+(330.4-1099.7)+(1.102059+(0.168504-0.560847))+0-0-0</f>
        <v>1392.309716</v>
      </c>
      <c r="S182" s="3">
        <f>2150.4+(364.2-1176.2)+(-1.096704+(-0.185742--0.599862))+0-0-0</f>
        <v>1337.7174160000002</v>
      </c>
      <c r="T182" s="3">
        <f>2159.5+(373.8-1212.5)+(1.101345+(0.190638-0.618375))+0-0-0</f>
        <v>1321.473608</v>
      </c>
      <c r="U182" s="3">
        <f>2136.9+(379.3-1208.6)+(-3.269457+(-0.580329--1.849158))+0-0-0</f>
        <v>1305.5993720000001</v>
      </c>
      <c r="V182" s="3">
        <f>2136.9+(379-1227.4)+(-4.359276+(-0.77316--2.503896))+0-0-0</f>
        <v>1285.8714600000001</v>
      </c>
      <c r="W182" s="3">
        <f>2126.4+(388.8-1164)+(-6.506784+(-1.189728--3.56184))+0-0-0</f>
        <v>1347.0653280000001</v>
      </c>
      <c r="X182" s="3">
        <f>2073.8+(271.6-1018.5)+(1.057638+(0.138516-0.519435))+0-0-0</f>
        <v>1327.5767190000001</v>
      </c>
      <c r="Y182" s="3">
        <f>2164.1+(298.8-994)+(1.103691+(0.152388-0.50694))+0-0-0</f>
        <v>1469.6491389999999</v>
      </c>
      <c r="Z182" s="3">
        <f>2213.8+(327.3-1038.5)+(0+(0-0))+0-0-0</f>
        <v>1502.6000000000001</v>
      </c>
      <c r="AA182" s="3">
        <f>2193.8+(347.3-1102.7)+(-5.59419+(-0.885615--2.811885))+0-0-0</f>
        <v>1434.73208</v>
      </c>
      <c r="AB182" s="3">
        <f>2175.8+(313.9-1103.3)+(-5.54829+(-0.800445--2.813415))+0-0-0</f>
        <v>1382.8646800000001</v>
      </c>
      <c r="AC182" s="3">
        <f>1816.4+(303.2-818.1)+(1.852728+(0.309264-0.834462))+0-0-0</f>
        <v>1302.82753</v>
      </c>
      <c r="AD182">
        <v>1453.2</v>
      </c>
      <c r="AE182" s="3">
        <f>2197+(316-1059.8)+(0+(0-0))+0-0-0</f>
        <v>1453.2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1740.9+(281.4-787)+(-1.775718+(-0.287028--0.80274))+0-0-0</f>
        <v>1234.0399940000002</v>
      </c>
      <c r="G183" s="3">
        <f>1407.4+(300.3-608.7)+(-2.871096+(-0.612612--1.241748))+0-0-0</f>
        <v>1096.7580399999999</v>
      </c>
      <c r="H183" s="3">
        <f>1403.1+(322.8-677)+(-0.715581+(-0.164628--0.34527))+0-0-0</f>
        <v>1048.365061</v>
      </c>
      <c r="I183" s="3">
        <f>1397.8+(310.1-680.3)+(-2.851512+(-0.632604--1.387812))+0-0-0</f>
        <v>1025.503696</v>
      </c>
      <c r="J183" s="3">
        <f>1427.5+(257.8-686.7)+(3.640125+(0.65739-1.751085))+0-0-0</f>
        <v>1001.1464299999999</v>
      </c>
      <c r="K183" s="3">
        <f>1427.1+(240.9-667.5)+(2.183463+(0.368577-1.021275))+0-0-0</f>
        <v>1002.0307649999999</v>
      </c>
      <c r="L183" s="3">
        <f>1408.3+(238.7-645.7)+(-2.872932+(-0.486948--1.317228))+0-0-0</f>
        <v>999.25734799999998</v>
      </c>
      <c r="M183" s="3">
        <f>1445.5+(268.2-681.1)+(0+(0-0))+0-0-0</f>
        <v>1032.5999999999999</v>
      </c>
      <c r="N183" s="3">
        <f>1698.4+(237.7-774.6)+(0.866184+(0.121227-0.395046))+0-0-0</f>
        <v>1162.092365</v>
      </c>
      <c r="O183" s="3">
        <f>1905.8+(301-963.3)+(0.971958+(0.15351-0.491283))+0-0-0</f>
        <v>1244.1341849999999</v>
      </c>
      <c r="P183" s="3">
        <f>1957+(291.7-920.1)+(0.99807+(0.148767-0.469251))+0-0-0</f>
        <v>1329.2775859999999</v>
      </c>
      <c r="Q183" s="3">
        <f>2142.7+(249-1007.4)+(2.185554+(0.25398-1.027548))+0-0-0</f>
        <v>1385.7119859999998</v>
      </c>
      <c r="R183" s="3">
        <f>2171.4+(262-1024.5)+(-1.107414+(-0.13362--0.522495))+0-0-0</f>
        <v>1408.1814610000001</v>
      </c>
      <c r="S183" s="3">
        <f>2167.4+(264-1065.8)+(-3.316122+(-0.40392--1.630674))+0-0-0</f>
        <v>1363.5106320000002</v>
      </c>
      <c r="T183" s="3">
        <f>2175.5+(277.5-1109.8)+(0+(0-0))+0-0-0</f>
        <v>1343.2</v>
      </c>
      <c r="U183" s="3">
        <f>2157.3+(256.9-1085.3)+(-4.400892+(-0.524076--2.214012))+0-0-0</f>
        <v>1326.1890440000002</v>
      </c>
      <c r="V183" s="3">
        <f>2170.8+(264.7-1116.6)+(-2.214216+(-0.269994--1.138932))+0-0-0</f>
        <v>1317.5547220000003</v>
      </c>
      <c r="W183" s="3">
        <f>2077.6+(266.7-1026.2)+(-4.238304+(-0.544068--2.093448))+0-0-0</f>
        <v>1315.4110759999999</v>
      </c>
      <c r="X183" s="3">
        <f>2082.8+(270.7-1019.1)+(-1.062228+(-0.138057--0.519741))+0-0-0</f>
        <v>1333.719456</v>
      </c>
      <c r="Y183" s="3">
        <f>2184.6+(272.2-958.6)+(1.114146+(0.138822-0.488886))+0-0-0</f>
        <v>1498.9640819999997</v>
      </c>
      <c r="Z183" s="3">
        <f>2248.8+(260.6-988.8)+(-4.587552+(-0.531624--2.017152))+0-0-0</f>
        <v>1517.4979760000003</v>
      </c>
      <c r="AA183" s="3">
        <f>2247.6+(279.1-1032.2)+(-4.585104+(-0.569364--2.105688))+0-0-0</f>
        <v>1491.4512199999999</v>
      </c>
      <c r="AB183" s="3">
        <f>2026.8+(314.6-911.8)+(-4.134672+(-0.641784--1.860072))+0-0-0</f>
        <v>1426.6836159999998</v>
      </c>
      <c r="AC183" s="3">
        <f>1927.8+(278.8-899.4)+(0+(0-0))+0-0-0</f>
        <v>1307.2</v>
      </c>
      <c r="AD183">
        <v>1512.6999999999998</v>
      </c>
      <c r="AE183" s="3">
        <f>2254+(246.2-987.5)+(0+(0-0))+0-0-0</f>
        <v>1512.7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1910.4+(417.2-866.8)+(-3.897216+(-0.851088--1.768272))+0-0-0</f>
        <v>1457.8199680000002</v>
      </c>
      <c r="G184" s="3">
        <f>1650.8+(469.9-771.1)+(-2.525724+(-0.718947--1.179783))+0-0-0</f>
        <v>1347.5351119999998</v>
      </c>
      <c r="H184" s="3">
        <f>1379.7+(336.3-558.5)+(-2.110941+(-0.514539--0.854505))+0-0-0</f>
        <v>1155.7290250000001</v>
      </c>
      <c r="I184" s="3">
        <f>1399.4+(273.3-574)+(1.427388+(0.278766-0.58548))+0-0-0</f>
        <v>1099.8206740000001</v>
      </c>
      <c r="J184" s="3">
        <f>1401.3+(261.3-581.9)+(3.573315+(0.666315-1.483845))+0-0-0</f>
        <v>1083.4557850000001</v>
      </c>
      <c r="K184" s="3">
        <f>1375.3+(258.5-573.2)+(0+(0-0))+0-0-0</f>
        <v>1060.5999999999999</v>
      </c>
      <c r="L184" s="3">
        <f>1381.7+(247.6-573.1)+(-0.704667+(-0.126276--0.292281))+0-0-0</f>
        <v>1055.6613380000001</v>
      </c>
      <c r="M184" s="3">
        <f>1415.6+(257.2-589.9)+(-0.721956+(-0.131172--0.300849))+0-0-0</f>
        <v>1082.3477209999999</v>
      </c>
      <c r="N184" s="3">
        <f>1752.7+(244.3-807.2)+(0+(0-0))+0-0-0</f>
        <v>1189.8</v>
      </c>
      <c r="O184" s="3">
        <f>2011.4+(292.2-1027.6)+(3.077442+(0.447066-1.572228))+0-0-0</f>
        <v>1277.9522800000002</v>
      </c>
      <c r="P184" s="3">
        <f>2108.6+(303.7-1084.3)+(2.150772+(0.309774-1.105986))+0-0-0</f>
        <v>1329.35456</v>
      </c>
      <c r="Q184" s="3">
        <f>2233.7+(299.5-1159.2)+(3.417561+(0.458235-1.773576))+0-0-0</f>
        <v>1376.1022199999998</v>
      </c>
      <c r="R184" s="3">
        <f>2226.1+(311.4-1136.3)+(0+(0-0))+0-0-0</f>
        <v>1401.1999999999998</v>
      </c>
      <c r="S184" s="3">
        <f>2226.1+(293.2-1161.5)+(-1.135311+(-0.149532--0.592365))+0-0-0</f>
        <v>1357.107522</v>
      </c>
      <c r="T184" s="3">
        <f>2232+(318.7-1235)+(1.13832+(0.162537-0.62985))+0-0-0</f>
        <v>1316.371007</v>
      </c>
      <c r="U184" s="3">
        <f>2244.6+(314.4-1275.7)+(2.289492+(0.320688-1.301214))+0-0-0</f>
        <v>1284.6089659999998</v>
      </c>
      <c r="V184" s="3">
        <f>2195.6+(326.5-1152)+(-5.59878+(-0.832575--2.9376))+0-0-0</f>
        <v>1366.6062449999999</v>
      </c>
      <c r="W184" s="3">
        <f>2097.9+(316.7-1149.3)+(-2.139858+(-0.323034--1.172286))+0-0-0</f>
        <v>1264.0093940000002</v>
      </c>
      <c r="X184" s="3">
        <f>2105.4+(283-1109.8)+(0+(0-0))+0-0-0</f>
        <v>1278.6000000000001</v>
      </c>
      <c r="Y184" s="3">
        <f>2148.7+(297.9-977.8)+(0+(0-0))+0-0-0</f>
        <v>1468.7999999999997</v>
      </c>
      <c r="Z184" s="3">
        <f>2206.1+(281.9-1003.9)+(-2.250222+(-0.287538--1.023978))+0-0-0</f>
        <v>1482.5862179999999</v>
      </c>
      <c r="AA184" s="3">
        <f>2159+(296.6-1032.2)+(-5.50545+(-0.75633--2.63211))+0-0-0</f>
        <v>1419.7703300000001</v>
      </c>
      <c r="AB184" s="3">
        <f>1797.9+(324.8-816.5)+(-4.584645+(-0.82824--2.082075))+0-0-0</f>
        <v>1302.8691900000001</v>
      </c>
      <c r="AC184" s="3">
        <f>1664+(329.7-747.5)+(-0.84864+(-0.168147--0.381225))+0-0-0</f>
        <v>1245.5644380000001</v>
      </c>
      <c r="AD184">
        <v>1491.7999999999997</v>
      </c>
      <c r="AE184" s="3">
        <f>2224+(277.2-1009.4)+(0+(0-0))+0-0-0</f>
        <v>1491.8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1520.8+(315.6-684.3)+(-5.429256+(-1.126692--2.442951))+0-0-0</f>
        <v>1147.987003</v>
      </c>
      <c r="G185" s="3">
        <f>1267.3+(305.4-519)+(-5.170584+(-1.246032--2.11752))+0-0-0</f>
        <v>1049.4009039999999</v>
      </c>
      <c r="H185" s="3">
        <f>1241.4+(294.5-486.5)+(-3.798684+(-0.90117--1.48869))+0-0-0</f>
        <v>1046.188836</v>
      </c>
      <c r="I185" s="3">
        <f>1241.6+(204.4-426)+(0.633216+(0.104244-0.21726))+0-0-0</f>
        <v>1020.5201999999999</v>
      </c>
      <c r="J185" s="3">
        <f>1163.5+(209.4-389.4)+(0.593385+(0.106794-0.198594))+0-0-0</f>
        <v>984.00158499999998</v>
      </c>
      <c r="K185" s="3">
        <f>1169+(183.5-425.9)+(1.19238+(0.18717-0.434418))+0-0-0</f>
        <v>927.54513199999997</v>
      </c>
      <c r="L185" s="3">
        <f>1155+(190.4-398.7)+(-2.3562+(-0.388416--0.813348))+0-0-0</f>
        <v>944.768732</v>
      </c>
      <c r="M185" s="3">
        <f>1291.3+(208.2-575.5)+(1.317126+(0.212364-0.58701))+0-0-0</f>
        <v>924.94248000000005</v>
      </c>
      <c r="N185" s="3">
        <f>1750.9+(165.1-761.3)+(-3.571836+(-0.336804--1.553052))+0-0-0</f>
        <v>1152.3444120000004</v>
      </c>
      <c r="O185" s="3">
        <f>1833.5+(158.8-780.4)+(-0.935085+(-0.080988--0.398004))+0-0-0</f>
        <v>1211.281931</v>
      </c>
      <c r="P185" s="3">
        <f>1901.4+(189.1-823.5)+(-1.939428+(-0.192882--0.83997))+0-0-0</f>
        <v>1265.70766</v>
      </c>
      <c r="Q185" s="3">
        <f>2194.4+(202.1-1098.8)+(2.238288+(0.206142-1.120776))+9.1-0-0</f>
        <v>1308.1236540000002</v>
      </c>
      <c r="R185" s="3">
        <f>2305.9+(202.9-1184.6)+(-2.352018+(-0.206958--1.208292))+0-0-0</f>
        <v>1322.8493160000003</v>
      </c>
      <c r="S185" s="3">
        <f>2307.9+(198.2-1226.1)+(-2.354058+(-0.202164--1.250622))+0-0-0</f>
        <v>1278.6944000000003</v>
      </c>
      <c r="T185" s="3">
        <f>2323.6+(196-1268.7)+(-2.370072+(-0.19992--1.294074))+0-0-0</f>
        <v>1249.6240819999998</v>
      </c>
      <c r="U185" s="3">
        <f>2313.1+(160-1231.9)+(-4.718724+(-0.3264--2.513076))+0-0-0</f>
        <v>1238.6679519999998</v>
      </c>
      <c r="V185" s="3">
        <f>2318+(166.9-1234)+(-4.72872+(-0.340476--2.51736))+0-0-0</f>
        <v>1248.348164</v>
      </c>
      <c r="W185" s="3">
        <f>2312.6+(168.9-1232.3)+(-5.89713+(-0.430695--3.142365))+0-0-0</f>
        <v>1246.0145400000001</v>
      </c>
      <c r="X185" s="3">
        <f>2321.4+(247.5-1259.7)+(-3.551742+(-0.378675--1.927341))+0-0-0</f>
        <v>1307.1969240000001</v>
      </c>
      <c r="Y185" s="3">
        <f>2344.5+(311.2-1177.7)+(-4.78278+(-0.634848--2.402508))+0-0-0</f>
        <v>1474.98488</v>
      </c>
      <c r="Z185" s="3">
        <f>2326.6+(267.7-1198)+(-4.746264+(-0.546108--2.44392))+0-0-0</f>
        <v>1393.451548</v>
      </c>
      <c r="AA185" s="3">
        <f>2206.5+(277-1080.2)+(-9.00252+(-1.13016--4.407216))+0-0-0</f>
        <v>1397.5745359999999</v>
      </c>
      <c r="AB185" s="3">
        <f>2082+(259.4-1021)+(-5.3091+(-0.66147--2.60355))+0-0-0</f>
        <v>1317.0329800000002</v>
      </c>
      <c r="AC185" s="3">
        <f>1777.6+(257-834.3)+(-1.813152+(-0.26214--0.850986))+0-0-0</f>
        <v>1199.0756939999999</v>
      </c>
      <c r="AD185">
        <v>1424.1</v>
      </c>
      <c r="AE185" s="3">
        <f>2348+(254-1177.9)+(0+(0-0))+0-0-0</f>
        <v>1424.1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1469.9+(202.2-655.7)+(-1.499298+(-0.206244--0.668814))+0-0-0</f>
        <v>1015.3632720000001</v>
      </c>
      <c r="G186" s="3">
        <f>1400.9+(215.6-640)+(2.143377+(0.329868-0.9792))+0-0-0</f>
        <v>977.99404500000014</v>
      </c>
      <c r="H186" s="3">
        <f>1403+(212.3-656.2)+(2.14659+(0.324819-1.003986))+0-0-0</f>
        <v>960.56742299999996</v>
      </c>
      <c r="I186" s="3">
        <f>1402.2+(144.6-614.4)+(1.430244+(0.147492-0.626688))+0-0-0</f>
        <v>933.35104800000011</v>
      </c>
      <c r="J186" s="3">
        <f>1490.1+(110.2-655)+(3.799755+(0.28101-1.67025))+0-0-0</f>
        <v>947.71051499999999</v>
      </c>
      <c r="K186" s="3">
        <f>1480.3+(115.8-655.7)+(-3.774765+(-0.29529--1.672035))+0-0-0</f>
        <v>938.00197999999989</v>
      </c>
      <c r="L186" s="3">
        <f>1496+(133-681.7)+(0.76296+(0.06783-0.347667))+0-0-0</f>
        <v>947.78312299999993</v>
      </c>
      <c r="M186" s="3">
        <f>1599.9+(101.8-695.5)+(-0.815949+(-0.051918--0.354705))+0-0-0</f>
        <v>1005.6868380000001</v>
      </c>
      <c r="N186" s="3">
        <f>1985.8+(94.6-1019.3)+(-2.025516+(-0.096492--1.039686))+0-0-0</f>
        <v>1060.0176779999999</v>
      </c>
      <c r="O186" s="3">
        <f>2266.9+(150.1-1215.3)+(0+(0-0))+0-0-0</f>
        <v>1201.7</v>
      </c>
      <c r="P186" s="3">
        <f>2345.6+(161.8-1276.3)+(-1.196256+(-0.082518--0.650913))+0-0-0</f>
        <v>1230.472139</v>
      </c>
      <c r="Q186" s="3">
        <f>2329+(150.3-1231.4)+(-4.75116+(-0.306612--2.512056))+0-0-0</f>
        <v>1245.3542839999998</v>
      </c>
      <c r="R186" s="3">
        <f>2325.7+(148-1267.4)+(-5.930535+(-0.3774--3.23187))+0-0-0</f>
        <v>1203.2239349999998</v>
      </c>
      <c r="S186" s="3">
        <f>2324.2+(165.7-1354.9)+(-4.741368+(-0.338028--2.763996))+0-0-0</f>
        <v>1132.6845999999998</v>
      </c>
      <c r="T186" s="3">
        <f>2347.5+(181.4-1387.6)+(0+(0-0))+0-0-0</f>
        <v>1141.3000000000002</v>
      </c>
      <c r="U186" s="3">
        <f>2270.7+(140.2-1255.9)+(-4.632228+(-0.286008--2.562036))+0-0-0</f>
        <v>1152.6437999999998</v>
      </c>
      <c r="V186" s="3">
        <f>2223.2+(95.1-1175)+(-5.66916+(-0.242505--2.99625))+0-0-0</f>
        <v>1140.3845849999998</v>
      </c>
      <c r="W186" s="3">
        <f>2151.4+(176.2-1122)+(-2.194428+(-0.179724--1.14444))+0-0-0</f>
        <v>1204.3702880000001</v>
      </c>
      <c r="X186" s="3">
        <f>2167.8+(222.5-1029.7)+(-4.422312+(-0.4539--2.100588))+0-0-0</f>
        <v>1357.824376</v>
      </c>
      <c r="Y186" s="3">
        <f>2246.3+(212.6-1114)+(-6.873678+(-0.650556--3.40884))+0-0-0</f>
        <v>1340.7846060000002</v>
      </c>
      <c r="Z186" s="3">
        <f>2237.5+(217.3-1113)+(-5.705625+(-0.554115--2.83815))+0-0-0</f>
        <v>1338.37841</v>
      </c>
      <c r="AA186" s="3">
        <f>2129.3+(213.2-1049.7)+(-4.343772+(-0.434928--2.141388))+0-0-0</f>
        <v>1290.1626880000001</v>
      </c>
      <c r="AB186" s="3">
        <f>1903.2+(195.6-863.4)+(-2.911896+(-0.299268--1.321002))+0-0-0</f>
        <v>1233.5098380000002</v>
      </c>
      <c r="AC186" s="3">
        <f>1625.1+(217.6-712.7)+(-4.144005+(-0.55488--1.817385))+0-0-0</f>
        <v>1127.1185</v>
      </c>
      <c r="AD186">
        <v>1373.8</v>
      </c>
      <c r="AE186" s="3">
        <f>2268+(210-1104.2)+(0+(0-0))+0-0-0</f>
        <v>1373.8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1424.2+(223.2-605.5)+(-1.452684+(-0.227664--0.61761))+0-0-0</f>
        <v>1040.837262</v>
      </c>
      <c r="G187" s="3">
        <f>1315+(243-610.2)+(0.67065+(0.12393-0.311202))+0-0-0</f>
        <v>948.28337799999997</v>
      </c>
      <c r="H187" s="3">
        <f>1084.6+(260.4-451.7)+(1.106292+(0.265608-0.460734))+0-0-0</f>
        <v>894.21116599999993</v>
      </c>
      <c r="I187" s="3">
        <f>921.5+(270.5-315.8)+(0+(0-0))+0-0-0</f>
        <v>876.2</v>
      </c>
      <c r="J187" s="3">
        <f>917.2+(239.4-313.6)+(-1.403316+(-0.366282--0.479808))+0-0-0</f>
        <v>841.71020999999996</v>
      </c>
      <c r="K187" s="3">
        <f>916+(244.5-332.8)+(-2.80296+(-0.74817--1.018368))+0-0-0</f>
        <v>825.167238</v>
      </c>
      <c r="L187" s="3">
        <f>921.2+(273-381.1)+(0.469812+(0.13923-0.194361))+0-0-0</f>
        <v>813.514681</v>
      </c>
      <c r="M187" s="3">
        <f>958.9+(239.3-362.9)+(1.956156+(0.488172-0.740316))+0-0-0</f>
        <v>837.00401199999999</v>
      </c>
      <c r="N187" s="3">
        <f>1152.5+(218.9-451.4)+(0+(0-0))+0-0-0</f>
        <v>920</v>
      </c>
      <c r="O187" s="3">
        <f>1215+(275.1-514.2)+(1.2393+(0.280602-0.524484))+0-0-0</f>
        <v>976.89541799999995</v>
      </c>
      <c r="P187" s="3">
        <f>1252.9+(275.9-490.7)+(0+(0-0))+0-0-0</f>
        <v>1038.1000000000001</v>
      </c>
      <c r="Q187" s="3">
        <f>1249.7+(272.1-500.4)+(-1.274694+(-0.277542--0.510408))+0-0-0</f>
        <v>1020.3581720000001</v>
      </c>
      <c r="R187" s="3">
        <f>1244.5+(363-584.6)+(0.634695+(0.18513-0.298146))+0-0-0</f>
        <v>1023.4216789999999</v>
      </c>
      <c r="S187" s="3">
        <f>1233+(367.9-571.5)+(-1.25766+(-0.375258--0.58293))+0-0-0</f>
        <v>1028.3500120000001</v>
      </c>
      <c r="T187" s="3">
        <f>1220+(267.4-476.2)+(-1.8666+(-0.409122--0.728586))+0-0-0</f>
        <v>1009.652864</v>
      </c>
      <c r="U187" s="3">
        <f>1216.4+(291-472.7)+(-2.481456+(-0.59364--0.964308))+0-0-0</f>
        <v>1032.5892120000001</v>
      </c>
      <c r="V187" s="3">
        <f>1219+(271.9-453.9)+(-1.86507+(-0.416007--0.694467))+0-0-0</f>
        <v>1035.4133899999999</v>
      </c>
      <c r="W187" s="3">
        <f>1252+(286.3-506.5)+(0+(0-0))+0-0-0</f>
        <v>1031.8</v>
      </c>
      <c r="X187" s="3">
        <f>1588.8+(257.4-613.3)+(0+(0-0))+0-0-0</f>
        <v>1232.9000000000001</v>
      </c>
      <c r="Y187" s="3">
        <f>1677.4+(253.6-652.5)+(-0.855474+(-0.129336--0.332775))+0-0-0</f>
        <v>1277.8479649999999</v>
      </c>
      <c r="Z187" s="3">
        <f>1669+(245-673.1)+(-2.55357+(-0.37485--1.029843))+0-0-0</f>
        <v>1239.0014230000002</v>
      </c>
      <c r="AA187" s="3">
        <f>1671.1+(240.9-690.2)+(-1.704522+(-0.245718--0.704004))+0-0-0</f>
        <v>1220.5537639999998</v>
      </c>
      <c r="AB187" s="3">
        <f>1557.9+(217.7-590.7)+(0.794529+(0.111027-0.301257))+0-0-0</f>
        <v>1185.5042990000002</v>
      </c>
      <c r="AC187" s="3">
        <f>1491.3+(172.6-592.5)+(-0.760563+(-0.088026--0.302175))+0-0-0</f>
        <v>1070.8535860000002</v>
      </c>
      <c r="AD187">
        <v>1270.9000000000001</v>
      </c>
      <c r="AE187" s="3">
        <f>1689+(246.9-665)+(0+(0-0))+0-0-0</f>
        <v>1270.9000000000001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1355.4+(193.3-544.7)+(0+(0-0))+0-0-0</f>
        <v>1004</v>
      </c>
      <c r="G188" s="3">
        <f>1078.4+(216.6-400.4)+(0.549984+(0.110466-0.204204))+0-0-0</f>
        <v>895.0562460000001</v>
      </c>
      <c r="H188" s="3">
        <f>862.3+(235.5-299.5)+(0.879546+(0.24021-0.30549))+0-0-0</f>
        <v>799.11426599999993</v>
      </c>
      <c r="I188" s="3">
        <f>743+(341.5-217.9)+(0.37893+(0.174165-0.111129))+0-0-0</f>
        <v>867.041966</v>
      </c>
      <c r="J188" s="3">
        <f>687.6+(295-128)+(-0.701352+(-0.3009--0.13056))+0-0-0</f>
        <v>853.72830799999997</v>
      </c>
      <c r="K188" s="3">
        <f>690.6+(307.9-150.9)+(-1.76103+(-0.785145--0.384795))+0-0-0</f>
        <v>845.43862000000001</v>
      </c>
      <c r="L188" s="3">
        <f>697.2+(286.7-169.5)+(0+(0-0))+0-0-0</f>
        <v>814.40000000000009</v>
      </c>
      <c r="M188" s="3">
        <f>821.3+(289.9-218.4)+(0+(0-0))+0-0-0</f>
        <v>892.8</v>
      </c>
      <c r="N188" s="3">
        <f>1055.1+(271.5-361.4)+(-0.538101+(-0.138465--0.184314))+0-0-0</f>
        <v>964.70774799999992</v>
      </c>
      <c r="O188" s="3">
        <f>1232.6+(351.9-664.7)+(0+(0-0))+0-0-0</f>
        <v>919.79999999999984</v>
      </c>
      <c r="P188" s="3">
        <f>1394.8+(326.8-566.8)+(0.711348+(0.166668-0.289068))+0-0-0</f>
        <v>1155.388948</v>
      </c>
      <c r="Q188" s="3">
        <f>1500+(312.1-679.1)+(-2.295+(-0.477513--1.039023))+0-0-0</f>
        <v>1131.2665099999999</v>
      </c>
      <c r="R188" s="3">
        <f>1606.9+(330.2-843.5)+(0+(0-0))+0-0-0</f>
        <v>1093.6000000000001</v>
      </c>
      <c r="S188" s="3">
        <f>1798.4+(359.3-1060.1)+(0.917184+(0.183243-0.540651))+0-0-0</f>
        <v>1098.1597760000002</v>
      </c>
      <c r="T188" s="3">
        <f>1800.6+(327.9-1031.9)+(0+(0-0))+0-0-0</f>
        <v>1096.5999999999999</v>
      </c>
      <c r="U188" s="3">
        <f>1756.3+(278.3-936.5)+(-1.791426+(-0.283866--0.95523))+0-0-0</f>
        <v>1096.9799379999999</v>
      </c>
      <c r="V188" s="3">
        <f>1610+(209.6-692)+(-2.4633+(-0.320688--1.05876))+0-0-0</f>
        <v>1125.8747719999999</v>
      </c>
      <c r="W188" s="3">
        <f>1537.4+(212-618.2)+(-1.568148+(-0.21624--0.630564))+0-0-0</f>
        <v>1130.0461760000001</v>
      </c>
      <c r="X188" s="3">
        <f>1698.2+(268.8-643.9)+(0+(0-0))+0-0-0</f>
        <v>1323.1000000000001</v>
      </c>
      <c r="Y188" s="3">
        <f>1702.7+(274.4-620.1)+(-0.868377+(-0.139944--0.316251))+0-0-0</f>
        <v>1356.3079299999999</v>
      </c>
      <c r="Z188" s="3">
        <f>1698.1+(265.2-647.4)+(-3.464124+(-0.541008--1.320696))+0-0-0</f>
        <v>1313.2155639999999</v>
      </c>
      <c r="AA188" s="3">
        <f>1710.2+(235.5-701.1)+(0.872202+(0.120105-0.357561))+0-0-0</f>
        <v>1245.2347459999999</v>
      </c>
      <c r="AB188" s="3">
        <f>1703.7+(218.4-754)+(-2.606661+(-0.334152--1.15362))+0-0-0</f>
        <v>1166.312807</v>
      </c>
      <c r="AC188" s="3">
        <f>1640.4+(214.4-713.3)+(-0.836604+(-0.109344--0.363783))+0-0-0</f>
        <v>1140.917835</v>
      </c>
      <c r="AD188">
        <v>1392.4</v>
      </c>
      <c r="AE188" s="3">
        <f>1711+(281.9-600.5)+(0+(0-0))+0-0-0</f>
        <v>1392.4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1348.1+(283.5-586.6)+(-0.687531+(-0.144585--0.299166))+0-0-0</f>
        <v>1044.46705</v>
      </c>
      <c r="G189" s="3">
        <f>1038.7+(335-397.7)+(-1.589211+(-0.51255--0.608481))+0-0-0</f>
        <v>974.50671999999997</v>
      </c>
      <c r="H189" s="3">
        <f>976.1+(352.9-370.9)+(0.497811+(0.179979-0.189159))+0-0-0</f>
        <v>958.58863100000008</v>
      </c>
      <c r="I189" s="3">
        <f>953.4+(353.1-354.9)+(-0.486234+(-0.180081--0.180999))+0-0-0</f>
        <v>951.11468400000001</v>
      </c>
      <c r="J189" s="3">
        <f>868.6+(361.3-301.3)+(-0.442986+(-0.184263--0.153663))+0-0-0</f>
        <v>928.12641400000007</v>
      </c>
      <c r="K189" s="3">
        <f>857.5+(373.3-312)+(-1.7493+(-0.761532--0.63648))+0-0-0</f>
        <v>916.92564799999991</v>
      </c>
      <c r="L189" s="3">
        <f>863.3+(379.1-317.9)+(-0.880566+(-0.386682--0.324258))+0-0-0</f>
        <v>923.55700999999999</v>
      </c>
      <c r="M189" s="3">
        <f>1026.6+(338.9-339.6)+(1.047132+(0.345678-0.346392))+0-0-0</f>
        <v>1026.9464179999998</v>
      </c>
      <c r="N189" s="3">
        <f>1533.1+(252.5-633)+(0+(0-0))+0-0-0</f>
        <v>1152.5999999999999</v>
      </c>
      <c r="O189" s="3">
        <f>1826.9+(258-874.1)+(0.931719+(0.13158-0.445791))+0-0-0</f>
        <v>1211.4175080000002</v>
      </c>
      <c r="P189" s="3">
        <f>1939.8+(275-885.4)+(-0.989298+(-0.14025--0.451554))+0-0-0</f>
        <v>1328.7220060000002</v>
      </c>
      <c r="Q189" s="3">
        <f>1948.8+(312.8-919.4)+(0.993888+(0.159528-0.468894))+0-0-0</f>
        <v>1342.8845220000001</v>
      </c>
      <c r="R189" s="3">
        <f>1937.7+(367.3-974.5)+(-1.976454+(-0.374646--0.99399))+0-0-0</f>
        <v>1329.1428900000001</v>
      </c>
      <c r="S189" s="3">
        <f>1942+(410.1-1014.8)+(1.98084+(0.418302-1.035096))+0-0-0</f>
        <v>1338.6640460000001</v>
      </c>
      <c r="T189" s="3">
        <f>1936.1+(437.5-1046.5)+(-0.987411+(-0.223125--0.533715))+0-0-0</f>
        <v>1326.4231789999999</v>
      </c>
      <c r="U189" s="3">
        <f>1928.6+(427.8-1047.9)+(-3.934344+(-0.872712--2.137716))+0-0-0</f>
        <v>1305.8306599999999</v>
      </c>
      <c r="V189" s="3">
        <f>1933.8+(417.9-1059.4)+(-1.972476+(-0.426258--1.080588))+0-0-0</f>
        <v>1290.9818539999997</v>
      </c>
      <c r="W189" s="3">
        <f>1866.8+(269.5-835.9)+(0.952068+(0.137445-0.426309))+0-0-0</f>
        <v>1301.063204</v>
      </c>
      <c r="X189" s="3">
        <f>1930.1+(344.1-818)+(-0.984351+(-0.175491--0.41718))+0-0-0</f>
        <v>1455.4573379999997</v>
      </c>
      <c r="Y189" s="3">
        <f>1954+(340.2-824.8)+(-4.9827+(-0.86751--2.10324))+0-0-0</f>
        <v>1465.6530300000002</v>
      </c>
      <c r="Z189" s="3">
        <f>1847.2+(329-749.1)+(-1.884144+(-0.33558--0.764082))+0-0-0</f>
        <v>1425.644358</v>
      </c>
      <c r="AA189" s="3">
        <f>1807+(336.7-783.1)+(-0.92157+(-0.171717--0.399381))+0-0-0</f>
        <v>1359.9060939999999</v>
      </c>
      <c r="AB189" s="3">
        <f>1694.3+(347.3-747.9)+(-2.592279+(-0.531369--1.144287))+0-0-0</f>
        <v>1291.7206390000001</v>
      </c>
      <c r="AC189" s="3">
        <f>1419.4+(359-576.3)+(-3.61947+(-0.91545--1.469565))+0-0-0</f>
        <v>1199.0346450000002</v>
      </c>
      <c r="AD189">
        <v>1495.3000000000002</v>
      </c>
      <c r="AE189" s="3">
        <f>1980+(329.9-814.6)+(0+(0-0))+0-0-0</f>
        <v>1495.3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1143.5+(394.1-440.7)+(-2.915925+(-1.004955--1.123785))+0-0-0</f>
        <v>1094.1029050000002</v>
      </c>
      <c r="G190" s="3">
        <f>965.3+(443.6-381.5)+(1.969212+(0.904944-0.77826))+0-0-0</f>
        <v>1029.4958960000001</v>
      </c>
      <c r="H190" s="3">
        <f>945.4+(410.9-360.2)+(-0.964308+(-0.419118--0.367404))+0-0-0</f>
        <v>995.08397799999989</v>
      </c>
      <c r="I190" s="3">
        <f>864.2+(417.2-313.2)+(-0.881484+(-0.425544--0.319464))+0-0-0</f>
        <v>967.21243600000003</v>
      </c>
      <c r="J190" s="3">
        <f>864.8+(390-287.4)+(-0.882096+(-0.3978--0.293148))+0-0-0</f>
        <v>966.41325199999994</v>
      </c>
      <c r="K190" s="3">
        <f>858.9+(386-292.6)+(-2.190195+(-0.9843--0.74613))+0-0-0</f>
        <v>949.87163499999997</v>
      </c>
      <c r="L190" s="3">
        <f>862.5+(362.2-265.8)+(-1.319625+(-0.554166--0.406674))+0-0-0</f>
        <v>957.43288299999995</v>
      </c>
      <c r="M190" s="3">
        <f>1095+(391.1-458.7)+(0.55845+(0.199461-0.233937))+0-0-0</f>
        <v>1027.923974</v>
      </c>
      <c r="N190" s="3">
        <f>1608+(337.7-790.3)+(0+(0-0))+0-0-0</f>
        <v>1155.4000000000001</v>
      </c>
      <c r="O190" s="3">
        <f>1812.4+(331.1-932.9)+(0.924324+(0.168861-0.475779))+0-0-0</f>
        <v>1211.2174060000002</v>
      </c>
      <c r="P190" s="3">
        <f>1911.1+(379.5-1060.5)+(1.949322+(0.38709-1.08171))+0-0-0</f>
        <v>1231.3547019999999</v>
      </c>
      <c r="Q190" s="3">
        <f>2012.7+(377-1145.7)+(0+(0-0))+0-0-0</f>
        <v>1244</v>
      </c>
      <c r="R190" s="3">
        <f>2087.2+(386.8-1270.2)+(-3.193416+(-0.591804--1.943406))+0-0-0</f>
        <v>1201.9581859999996</v>
      </c>
      <c r="S190" s="3">
        <f>2084.5+(409.5-1313.2)+(-4.25238+(-0.83538--2.678928))+0-0-0</f>
        <v>1178.3911679999999</v>
      </c>
      <c r="T190" s="3">
        <f>2090.2+(428.1-1357)+(-5.33001+(-1.091655--3.46035))+0-0-0</f>
        <v>1158.3386849999997</v>
      </c>
      <c r="U190" s="3">
        <f>2089.3+(377.3-1315.9)+(-7.458801+(-1.346961--4.697763))+0-0-0</f>
        <v>1146.592001</v>
      </c>
      <c r="V190" s="3">
        <f>2091+(308.8-1227.4)+(-7.46487+(-1.102416--4.381818))+0-0-0</f>
        <v>1168.214532</v>
      </c>
      <c r="W190" s="3">
        <f>2098.4+(239.5-1111.9)+(-4.280736+(-0.48858--2.268276))+0-0-0</f>
        <v>1223.4989599999999</v>
      </c>
      <c r="X190" s="3">
        <f>2127.5+(289.3-1073.8)+(-4.3401+(-0.590172--2.190552))+0-0-0</f>
        <v>1340.26028</v>
      </c>
      <c r="Y190" s="3">
        <f>2124.3+(266.2-1060.7)+(-4.333572+(-0.543048--2.163828))+0-0-0</f>
        <v>1327.0872080000001</v>
      </c>
      <c r="Z190" s="3">
        <f>1552.7+(337.1-577.1)+(0+(0-0))+0-0-0</f>
        <v>1312.7</v>
      </c>
      <c r="AA190" s="3">
        <f>1295.3+(488-588.6)+(-3.303015+(-1.2444--1.50093))+0-0-0</f>
        <v>1191.6535149999997</v>
      </c>
      <c r="AB190" s="3">
        <f>1098.9+(432.2-409.5)+(-2.802195+(-1.10211--1.044225))+0-0-0</f>
        <v>1118.7399200000002</v>
      </c>
      <c r="AC190" s="3">
        <f>1007.5+(424.5-394.1)+(-2.569125+(-1.082475--1.004955))+0-0-0</f>
        <v>1035.2533550000001</v>
      </c>
      <c r="AD190">
        <v>1316.8999999999999</v>
      </c>
      <c r="AE190" s="3">
        <f>2140+(342.1-1015.2)+(0+(0-0))+0-0-0</f>
        <v>1466.9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1004.4+(447.9-467.1)+(-2.048976+(-0.913716--0.952884))+0-0-0</f>
        <v>983.19019199999991</v>
      </c>
      <c r="G191" s="3">
        <f>1013.2+(379.8-454.7)+(0+(0-0))+0-0-0</f>
        <v>938.30000000000007</v>
      </c>
      <c r="H191" s="3">
        <f>1015.9+(351.7-452)+(0+(0-0))+0-0-0</f>
        <v>915.59999999999991</v>
      </c>
      <c r="I191" s="3">
        <f>1016.4+(333.1-440.2)+(0+(0-0))+0-0-0</f>
        <v>909.3</v>
      </c>
      <c r="J191" s="3">
        <f>1010.8+(336.7-448.1)+(-1.031016+(-0.343434--0.457062))+0-0-0</f>
        <v>898.4826119999999</v>
      </c>
      <c r="K191" s="3">
        <f>936.4+(349.3-391.2)+(-0.477564+(-0.178143--0.199512))+0-0-0</f>
        <v>894.04380500000002</v>
      </c>
      <c r="L191" s="3">
        <f>922.4+(327.9-345.4)+(-0.940848+(-0.334458--0.352308))+0-0-0</f>
        <v>903.97700199999997</v>
      </c>
      <c r="M191" s="3">
        <f>1130+(307.3-440.4)+(1.7289+(0.470169-0.673812))+0-0-0</f>
        <v>998.4252570000001</v>
      </c>
      <c r="N191" s="3">
        <f>1513.6+(433.8-864)+(1.543872+(0.442476-0.88128))+0-0-0</f>
        <v>1084.5050679999999</v>
      </c>
      <c r="O191" s="3">
        <f>1915.7+(369.1-1129.6)+(0+(0-0))+0-0-0</f>
        <v>1155.2000000000003</v>
      </c>
      <c r="P191" s="3">
        <f>1961+(350.9-1129)+(-5.00055+(-0.894795--2.87895))+0-0-0</f>
        <v>1179.883605</v>
      </c>
      <c r="Q191" s="3">
        <f>2103.8+(423-1335.1)+(1.072938+(0.21573-0.680901))+0-0-0</f>
        <v>1192.3077670000002</v>
      </c>
      <c r="R191" s="3">
        <f>2138.2+(467.7-1440.3)+(2.180964+(0.477054-1.469106))+0-0-0</f>
        <v>1166.788912</v>
      </c>
      <c r="S191" s="3">
        <f>2141.8+(475.6-1457.8)+(4.369272+(0.970224-2.973912))+0-0-0</f>
        <v>1161.9655840000003</v>
      </c>
      <c r="T191" s="3">
        <f>2130.2+(486.8-1478)+(-3.259206+(-0.744804--2.26134))+0-0-0</f>
        <v>1137.2573299999997</v>
      </c>
      <c r="U191" s="3">
        <f>2118.1+(412.6-1421.5)+(-5.401155+(-1.05213--3.624825))+0-0-0</f>
        <v>1106.3715399999999</v>
      </c>
      <c r="V191" s="3">
        <f>2011.5+(354.1-1249.5)+(-5.129325+(-0.902955--3.186225))+0-0-0</f>
        <v>1113.2539449999999</v>
      </c>
      <c r="W191" s="3">
        <f>1889.8+(329.1-874.7)+(-2.891394+(-0.503523--1.338291))+0-0-0</f>
        <v>1342.1433739999998</v>
      </c>
      <c r="X191" s="3">
        <f>1890.8+(390.1-939.9)+(2.892924+(0.596853-1.438047))+0-0-0</f>
        <v>1343.0517299999999</v>
      </c>
      <c r="Y191" s="3">
        <f>1976.6+(399.8-1075.7)+(-5.04033+(-1.01949--2.743035))+0-0-0</f>
        <v>1297.3832149999998</v>
      </c>
      <c r="Z191" s="3">
        <f>1832.2+(376.9-960)+(-1.868844+(-0.384438--0.9792))+0-0-0</f>
        <v>1247.825918</v>
      </c>
      <c r="AA191" s="3">
        <f>1625.9+(395.5-842)+(-2.487627+(-0.605115--1.28826))+0-0-0</f>
        <v>1177.5955180000001</v>
      </c>
      <c r="AB191" s="3">
        <f>1405.7+(507.2-717.4)+(-2.867628+(-1.034688--1.463496))+0-0-0</f>
        <v>1193.0611799999999</v>
      </c>
      <c r="AC191" s="3">
        <f>1113.3+(519.5-601.1)+(-2.838915+(-1.324725--1.532805))+0-0-0</f>
        <v>1029.0691649999999</v>
      </c>
      <c r="AD191">
        <v>1387.9</v>
      </c>
      <c r="AE191" s="3">
        <f>2012+(410.8-1034.9)+(0+(0-0))+0-0-0</f>
        <v>1387.8999999999999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1053.4+(477.1-596.6)+(-2.148936+(-0.973284--1.217064))+0-0-0</f>
        <v>931.99484400000006</v>
      </c>
      <c r="G192" s="3">
        <f>1058.9+(387.8-549.7)+(-0.540039+(-0.197778--0.280347))+0-0-0</f>
        <v>896.54253000000006</v>
      </c>
      <c r="H192" s="3">
        <f>965.3+(343.8-425.5)+(-1.969212+(-0.701352--0.86802))+0-0-0</f>
        <v>881.7974559999999</v>
      </c>
      <c r="I192" s="3">
        <f>966.7+(332-437.3)+(0.493017+(0.16932-0.223023))+0-0-0</f>
        <v>861.83931400000006</v>
      </c>
      <c r="J192" s="3">
        <f>963.9+(321.3-416.1)+(-0.983178+(-0.327726--0.424422))+0-0-0</f>
        <v>868.21351799999991</v>
      </c>
      <c r="K192" s="3">
        <f>954.6+(339.6-427.6)+(-2.43423+(-0.86598--1.09038))+0-0-0</f>
        <v>864.39017000000001</v>
      </c>
      <c r="L192" s="3">
        <f>964.4+(337.1-427.2)+(-0.491844+(-0.171921--0.217872))+0-0-0</f>
        <v>873.854107</v>
      </c>
      <c r="M192" s="3">
        <f>1201.9+(343.8-595.3)+(0.612969+(0.175338-0.303603))+0-0-0</f>
        <v>950.88470400000006</v>
      </c>
      <c r="N192" s="3">
        <f>1490.4+(373.3-821.6)+(1.520208+(0.380766-0.838032))+0-0-0</f>
        <v>1043.1629420000002</v>
      </c>
      <c r="O192" s="3">
        <f>1787.1+(389.5-1088.1)+(2.734263+(0.595935-1.664793))+0-0-0</f>
        <v>1090.165405</v>
      </c>
      <c r="P192" s="3">
        <f>1814.3+(412.6-1113.1)+(0+(0-0))+0-0-0</f>
        <v>1113.8000000000002</v>
      </c>
      <c r="Q192" s="3">
        <f>1973.1+(435.8-1276.7)+(1.006281+(0.222258-0.651117))+0-0-0</f>
        <v>1132.7774219999999</v>
      </c>
      <c r="R192" s="3">
        <f>1984.4+(440.4-1318.9)+(-3.036132+(-0.673812--2.017917))+0-0-0</f>
        <v>1104.207973</v>
      </c>
      <c r="S192" s="3">
        <f>1996.1+(439.7-1344.7)+(1.018011+(0.224247-0.685797))+0-0-0</f>
        <v>1091.6564609999998</v>
      </c>
      <c r="T192" s="3">
        <f>1990.1+(447.3-1370.6)+(-4.059804+(-0.912492--2.796024))+0-0-0</f>
        <v>1064.623728</v>
      </c>
      <c r="U192" s="3">
        <f>1976.6+(396.9-1314.3)+(-5.04033+(-1.012095--3.351465))+0-0-0</f>
        <v>1056.4990399999999</v>
      </c>
      <c r="V192" s="3">
        <f>1800.5+(406.2-1123.5)+(-1.83651+(-0.414324--1.14597))+0-0-0</f>
        <v>1082.0951360000001</v>
      </c>
      <c r="W192" s="3">
        <f>1703.4+(299.8-863.7)+(0+(0-0))+0-0-0</f>
        <v>1139.5</v>
      </c>
      <c r="X192" s="3">
        <f>1816.5+(322.3-859.2)+(-1.85283+(-0.328746--0.876384))+0-0-0</f>
        <v>1278.2948079999999</v>
      </c>
      <c r="Y192" s="3">
        <f>1917.9+(355.8-1004.7)+(-2.934387+(-0.544374--1.537191))+0-0-0</f>
        <v>1267.05843</v>
      </c>
      <c r="Z192" s="3">
        <f>1855.8+(326.8-954.3)+(-2.839374+(-0.500004--1.460079))+0-0-0</f>
        <v>1226.420701</v>
      </c>
      <c r="AA192" s="3">
        <f>1697.8+(369.7-902.6)+(-1.731756+(-0.377094--0.920652))+0-0-0</f>
        <v>1163.7118019999998</v>
      </c>
      <c r="AB192" s="3">
        <f>1548.7+(361-801.8)+(-0.789837+(-0.18411--0.408918))+0-0-0</f>
        <v>1107.334971</v>
      </c>
      <c r="AC192" s="3">
        <f>1352.2+(383.2-708.9)+(-0.689622+(-0.195432--0.361539))+0-0-0</f>
        <v>1025.9764849999999</v>
      </c>
      <c r="AD192">
        <v>1267.0999999999999</v>
      </c>
      <c r="AE192" s="3">
        <f>1927+(391.1-1051)+(0+(0-0))+0-0-0</f>
        <v>1267.0999999999999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1092+(366.1-527.3)+(-2.22768+(-0.746844--1.075692))+0-0-0</f>
        <v>928.9011680000001</v>
      </c>
      <c r="G193" s="3">
        <f>988.6+(345.5-450.2)+(-2.52093+(-0.881025--1.14801))+0-0-0</f>
        <v>881.64605500000005</v>
      </c>
      <c r="H193" s="3">
        <f>996.2+(320-463.7)+(-1.016124+(-0.3264--0.472974))+0-0-0</f>
        <v>851.63045</v>
      </c>
      <c r="I193" s="3">
        <f>991.2+(272.4-425.3)+(-2.022048+(-0.555696--0.867612))+0-0-0</f>
        <v>836.58986799999991</v>
      </c>
      <c r="J193" s="3">
        <f>1008.6+(251.2-415.5)+(2.57193+(0.64056-1.059525))+0-0-0</f>
        <v>846.45296499999995</v>
      </c>
      <c r="K193" s="3">
        <f>994.7+(261.2-418.9)+(-1.014594+(-0.266424--0.427278))+0-0-0</f>
        <v>836.14625999999998</v>
      </c>
      <c r="L193" s="3">
        <f>1002.9+(270.2-460.3)+(2.045916+(0.551208-0.939012))+0-0-0</f>
        <v>814.45811199999991</v>
      </c>
      <c r="M193" s="3">
        <f>1068.4+(281.3-453.3)+(1.634652+(0.430389-0.693549))+0-0-0</f>
        <v>897.77149200000008</v>
      </c>
      <c r="N193" s="3">
        <f>1548.7+(280.8-817.5)+(-1.579674+(-0.286416--0.83385))+0-0-0</f>
        <v>1010.96776</v>
      </c>
      <c r="O193" s="3">
        <f>1729.4+(273.1-960)+(0.881994+(0.139281-0.4896))+0-0-0</f>
        <v>1043.031675</v>
      </c>
      <c r="P193" s="3">
        <f>1845.4+(315.7-1071.7)+(1.882308+(0.322014-1.093134))+0-0-0</f>
        <v>1090.5111880000002</v>
      </c>
      <c r="Q193" s="3">
        <f>1961.8+(363.5-1227)+(0+(0-0))+0-0-0</f>
        <v>1098.3</v>
      </c>
      <c r="R193" s="3">
        <f>1947.5+(350.4-1212.1)+(-4.966125+(-0.89352--3.090855))+0-0-0</f>
        <v>1083.0312100000001</v>
      </c>
      <c r="S193" s="3">
        <f>1928.2+(375.9-1241.8)+(-3.933528+(-0.766836--2.533272))+0-0-0</f>
        <v>1060.1329080000003</v>
      </c>
      <c r="T193" s="3">
        <f>1853.9+(373.6-1188.7)+(-4.727445+(-0.95268--3.031185))+0-0-0</f>
        <v>1036.1510600000001</v>
      </c>
      <c r="U193" s="3">
        <f>1762.6+(380.3-1116.9)+(-3.595704+(-0.775812--2.278476))+0-0-0</f>
        <v>1023.9069599999998</v>
      </c>
      <c r="V193" s="3">
        <f>1684.8+(325.2-969.1)+(-3.436992+(-0.663408--1.976964))+0-0-0</f>
        <v>1038.7765639999998</v>
      </c>
      <c r="W193" s="3">
        <f>1718+(234.8-853.3)+(-1.75236+(-0.239496--0.870366))+0-0-0</f>
        <v>1098.37851</v>
      </c>
      <c r="X193" s="3">
        <f>1951.1+(352.7-1049.4)+(1.990122+(0.359754-1.070388))+0-0-0</f>
        <v>1255.6794879999998</v>
      </c>
      <c r="Y193" s="3">
        <f>1991.1+(363.2-1096.5)+(-3.046383+(-0.555696--1.677645))+0-0-0</f>
        <v>1255.8755659999999</v>
      </c>
      <c r="Z193" s="3">
        <f>1825.1+(388.9-994.3)+(-2.792403+(-0.595017--1.521279))+0-0-0</f>
        <v>1217.8338589999998</v>
      </c>
      <c r="AA193" s="3">
        <f>1655.8+(382-875.7)+(-2.533374+(-0.58446--1.339821))+0-0-0</f>
        <v>1160.3219869999998</v>
      </c>
      <c r="AB193" s="3">
        <f>1409.7+(348.4-642.7)+(-0.718947+(-0.177684--0.327777))+0-0-0</f>
        <v>1114.831146</v>
      </c>
      <c r="AC193" s="3">
        <f>1248.3+(380.9-587.8)+(-1.273266+(-0.388518--0.599556))+0-0-0</f>
        <v>1040.3377720000001</v>
      </c>
      <c r="AD193">
        <v>1257.3999999999999</v>
      </c>
      <c r="AE193" s="3">
        <f>2005+(385.2-1132.8)+(0+(0-0))+0-0-0</f>
        <v>1257.4000000000001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1102.6+(397.3-538)+(1.124652+(0.405246-0.54876))+0-0-0</f>
        <v>962.88113799999985</v>
      </c>
      <c r="G194" s="3">
        <f>979+(428.3-500.3)+(0.49929+(0.218433-0.255153))+0-0-0</f>
        <v>907.46257000000003</v>
      </c>
      <c r="H194" s="3">
        <f>694.3+(464.2-302.8)+(0.708186+(0.473484-0.308856))+0-0-0</f>
        <v>856.57281399999988</v>
      </c>
      <c r="I194" s="3">
        <f>574.2+(482.1-230.4)+(-0.292842+(-0.245871--0.117504))+0-0-0</f>
        <v>825.47879100000011</v>
      </c>
      <c r="J194" s="3">
        <f>470+(455.1-88.6)+(0.2397+(0.232101-0.045186))+0-0-0</f>
        <v>836.92661499999997</v>
      </c>
      <c r="K194" s="3">
        <f>501.4+(424.9-106.4)+(-1.27857+(-1.083495--0.27132))+0-0-0</f>
        <v>817.80925500000001</v>
      </c>
      <c r="L194" s="3">
        <f>685.6+(366-234)+(0.699312+(0.37332-0.23868))+0-0-0</f>
        <v>818.43395199999998</v>
      </c>
      <c r="M194" s="3">
        <f>825.3+(309-349)+(0+(0-0))+0-0-0</f>
        <v>785.3</v>
      </c>
      <c r="N194" s="3">
        <f>1145.2+(290.1-558.9)+(-1.752156+(-0.443853--0.855117))+0-0-0</f>
        <v>875.05910800000004</v>
      </c>
      <c r="O194" s="3">
        <f>1243.6+(303.5-622.1)+(1.902708+(0.464355-0.951813))+0-0-0</f>
        <v>926.4152499999999</v>
      </c>
      <c r="P194" s="3">
        <f>1235.9+(314-582.4)+(-1.260618+(-0.32028--0.594048))+0-0-0</f>
        <v>966.51315000000011</v>
      </c>
      <c r="Q194" s="3">
        <f>1346.5+(327.4-689.2)+(0+(0-0))+0-0-0</f>
        <v>984.69999999999993</v>
      </c>
      <c r="R194" s="3">
        <f>1374.7+(328.1-733.8)+(0+(0-0))+0-0-0</f>
        <v>969.00000000000011</v>
      </c>
      <c r="S194" s="3">
        <f>1361.6+(334.5-746.9)+(-1.388832+(-0.34119--0.761838))+0-0-0</f>
        <v>948.23181599999998</v>
      </c>
      <c r="T194" s="3">
        <f>1356.7+(341.8-753.8)+(-2.767668+(-0.697272--1.537752))+0-0-0</f>
        <v>942.77281200000004</v>
      </c>
      <c r="U194" s="3">
        <f>1320.5+(262-643.2)+(-4.04073+(-0.80172--1.968192))+0-0-0</f>
        <v>936.4257419999999</v>
      </c>
      <c r="V194" s="3">
        <f>1269+(245.6-561.2)+(-2.58876+(-0.501024--1.144848))+0-0-0</f>
        <v>951.45506399999999</v>
      </c>
      <c r="W194" s="3">
        <f>1299.6+(273-556.5)+(1.325592+(0.27846-0.56763))+0-0-0</f>
        <v>1017.1364219999999</v>
      </c>
      <c r="X194" s="3">
        <f>1615.1+(218.4-621.9)+(0.823701+(0.111384-0.317169))+0-0-0</f>
        <v>1212.2179159999998</v>
      </c>
      <c r="Y194" s="3">
        <f>1662+(205.4-642.1)+(-1.69524+(-0.209508--0.654942))+0-0-0</f>
        <v>1224.0501939999999</v>
      </c>
      <c r="Z194" s="3">
        <f>1658.9+(240.2-709.8)+(-1.692078+(-0.245004--0.723996))+0-0-0</f>
        <v>1188.0869140000002</v>
      </c>
      <c r="AA194" s="3">
        <f>1655.8+(275.8-790.2)+(-0.844458+(-0.140658--0.403002))+0-0-0</f>
        <v>1140.8178859999998</v>
      </c>
      <c r="AB194" s="3">
        <f>1651+(305.9-867.2)+(-2.52603+(-0.468027--1.326816))+0-0-0</f>
        <v>1088.0327589999997</v>
      </c>
      <c r="AC194" s="3">
        <f>1652.2+(279.6-937.5)+(-2.527866+(-0.427788--1.434375))+0-0-0</f>
        <v>992.77872100000002</v>
      </c>
      <c r="AD194">
        <v>1242.5999999999999</v>
      </c>
      <c r="AE194" s="3">
        <f>1709+(244.1-710.5)+(0+(0-0))+0-0-0</f>
        <v>1242.5999999999999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1518.2+(230.6-827.6)+(-6.968538+(-1.058454--3.798684))+0-0-0</f>
        <v>916.97169200000008</v>
      </c>
      <c r="G195" s="3">
        <f>1464+(223-809.1)+(-1.49328+(-0.22746--0.825282))+0-0-0</f>
        <v>877.00454200000001</v>
      </c>
      <c r="H195" s="3">
        <f>1181.6+(241-581.7)+(-3.615696+(-0.73746--1.780002))+0-0-0</f>
        <v>838.32684599999982</v>
      </c>
      <c r="I195" s="3">
        <f>1062.8+(238.7-476.8)+(-1.626084+(-0.365211--0.729504))+0-0-0</f>
        <v>823.43820899999992</v>
      </c>
      <c r="J195" s="3">
        <f>892.9+(258.5-329.8)+(0+(0-0))+0-0-0</f>
        <v>821.59999999999991</v>
      </c>
      <c r="K195" s="3">
        <f>869+(272.5-323.5)+(-1.32957+(-0.416925--0.494955))+0-0-0</f>
        <v>816.74846000000002</v>
      </c>
      <c r="L195" s="3">
        <f>895.8+(307.4-365.8)+(0.456858+(0.156774-0.186558))+0-0-0</f>
        <v>837.82707399999981</v>
      </c>
      <c r="M195" s="3">
        <f>1219.3+(257.6-541.1)+(0+(0-0))+0-0-0</f>
        <v>935.8</v>
      </c>
      <c r="N195" s="3">
        <f>1564.7+(360.6-846.2)+(1.595994+(0.367812-0.863124))+0-0-0</f>
        <v>1080.2006819999999</v>
      </c>
      <c r="O195" s="3">
        <f>1624.5+(357.3-894.4)+(3.31398+(0.728892-1.824576))+0-0-0</f>
        <v>1089.6182960000001</v>
      </c>
      <c r="P195" s="3">
        <f>1609.3+(370.4-850.7)+(1.641486+(0.377808-0.867714))+0-0-0</f>
        <v>1130.15158</v>
      </c>
      <c r="Q195" s="3">
        <f>1607.6+(397.7-855.2)+(0.819876+(0.202827-0.436152))+0-0-0</f>
        <v>1150.686551</v>
      </c>
      <c r="R195" s="3">
        <f>1618.5+(408.3-886.4)+(-0.825435+(-0.208233--0.452064))+0-0-0</f>
        <v>1139.8183960000001</v>
      </c>
      <c r="S195" s="3">
        <f>1669.1+(390.2-993.3)+(3.404964+(0.796008-2.026332))+0-0-0</f>
        <v>1068.17464</v>
      </c>
      <c r="T195" s="3">
        <f>1652.1+(370.3-982.7)+(-0.842571+(-0.188853--0.501177))+0-0-0</f>
        <v>1039.1697529999999</v>
      </c>
      <c r="U195" s="3">
        <f>1635.3+(324.8-951.3)+(-3.336012+(-0.662592--1.940652))+0-0-0</f>
        <v>1006.742048</v>
      </c>
      <c r="V195" s="3">
        <f>1914.2+(339.3-1145.4)+(-3.904968+(-0.692172--2.336616))+0-0-0</f>
        <v>1105.8394759999999</v>
      </c>
      <c r="W195" s="3">
        <f>1916.8+(192.8-921)+(-2.932704+(-0.294984--1.40913))+0-0-0</f>
        <v>1186.781442</v>
      </c>
      <c r="X195" s="3">
        <f>1960.4+(298-962.2)+(0+(0-0))+0-0-0</f>
        <v>1296.2</v>
      </c>
      <c r="Y195" s="3">
        <f>1942+(405.6-1086.4)+(-4.9521+(-1.03428--2.77032))+0-0-0</f>
        <v>1257.9839399999998</v>
      </c>
      <c r="Z195" s="3">
        <f>1952.8+(411-1116.1)+(-1.991856+(-0.41922--1.138422))+0-0-0</f>
        <v>1246.4273459999999</v>
      </c>
      <c r="AA195" s="3">
        <f>1917.2+(402.9-1114.1)+(-3.911088+(-0.821916--2.272764))+0-0-0</f>
        <v>1203.5397599999999</v>
      </c>
      <c r="AB195" s="3">
        <f>1845+(320.9-1048)+(-1.8819+(-0.327318--1.06896))+0-0-0</f>
        <v>1116.7597420000002</v>
      </c>
      <c r="AC195" s="3">
        <f>1731.8+(205.8-891.7)+(-5.299308+(-0.629748--2.728602))+0-0-0</f>
        <v>1042.6995459999998</v>
      </c>
      <c r="AD195">
        <v>1306.3</v>
      </c>
      <c r="AE195" s="3">
        <f>1954+(349.1-996.8)+(0+(0-0))+0-0-0</f>
        <v>1306.3000000000002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1501.2+(229-757.5)+(-3.82806+(-0.58395--1.931625))+0-0-0</f>
        <v>970.21961500000009</v>
      </c>
      <c r="G196" s="3">
        <f>1228+(209.3-525.4)+(0+(0-0))+0-0-0</f>
        <v>911.90000000000009</v>
      </c>
      <c r="H196" s="3">
        <f>1164.4+(241.1-508.1)+(-1.781532+(-0.368883--0.777393))+0-0-0</f>
        <v>896.0269780000001</v>
      </c>
      <c r="I196" s="3">
        <f>1032.8+(281-431.8)+(-1.580184+(-0.42993--0.660654))+0-0-0</f>
        <v>880.65053999999998</v>
      </c>
      <c r="J196" s="3">
        <f>954.1+(284.1-351.6)+(-1.459773+(-0.434673--0.537948))+0-0-0</f>
        <v>885.24350200000003</v>
      </c>
      <c r="K196" s="3">
        <f>917.3+(305.7-336.1)+(-0.935646+(-0.311814--0.342822))+0-0-0</f>
        <v>885.99536199999989</v>
      </c>
      <c r="L196" s="3">
        <f>925.7+(300.7-342.6)+(0+(0-0))+0-0-0</f>
        <v>883.8</v>
      </c>
      <c r="M196" s="3">
        <f>1038.5+(269-376.5)+(1.588905+(0.41157-0.576045))+0-0-0</f>
        <v>932.42443000000003</v>
      </c>
      <c r="N196" s="3">
        <f>1375.7+(359.7-705.2)+(1.403214+(0.366894-0.719304))+0-0-0</f>
        <v>1031.250804</v>
      </c>
      <c r="O196" s="3">
        <f>1790.9+(304.1-1027.6)+(-1.826718+(-0.310182--1.048152))+0-0-0</f>
        <v>1066.3112520000002</v>
      </c>
      <c r="P196" s="3">
        <f>2086.9+(246.6-1225.5)+(-1.064319+(-0.125766--0.625005))+0-0-0</f>
        <v>1107.4349199999999</v>
      </c>
      <c r="Q196" s="3">
        <f>2133.2+(252.2-1251)+(2.175864+(0.257244-1.27602))+0-0-0</f>
        <v>1135.5570879999998</v>
      </c>
      <c r="R196" s="3">
        <f>2119.4+(253.9-1264.6)+(-1.080894+(-0.129489--0.644946))+0-0-0</f>
        <v>1108.1345630000003</v>
      </c>
      <c r="S196" s="3">
        <f>2118.2+(255-1290.4)+(0+(0-0))+0-0-0</f>
        <v>1082.7999999999997</v>
      </c>
      <c r="T196" s="3">
        <f>2100.8+(257.4-1281.3)+(-5.35704+(-0.65637--3.267315))+0-0-0</f>
        <v>1074.1539050000001</v>
      </c>
      <c r="U196" s="3">
        <f>2068.7+(268.6-1252.5)+(-4.220148+(-0.547944--2.5551))+0-0-0</f>
        <v>1082.5870079999997</v>
      </c>
      <c r="V196" s="3">
        <f>1940.1+(297.4-1146.5)+(-4.947255+(-0.75837--2.923575))+0-0-0</f>
        <v>1088.21795</v>
      </c>
      <c r="W196" s="3">
        <f>1924+(249.4-1040.1)+(-1.96248+(-0.254388--1.060902))+0-0-0</f>
        <v>1132.1440340000001</v>
      </c>
      <c r="X196" s="3">
        <f>1971.9+(268.4-949.1)+(-3.017007+(-0.410652--1.452123))+0-0-0</f>
        <v>1289.2244640000001</v>
      </c>
      <c r="Y196" s="3">
        <f>2105+(242.8-1048.8)+(-3.22065+(-0.371484--1.604664))+0-0-0</f>
        <v>1297.01253</v>
      </c>
      <c r="Z196" s="3">
        <f>2104+(250.5-1097.6)+(-4.29216+(-0.51102--2.239104))+0-0-0</f>
        <v>1254.335924</v>
      </c>
      <c r="AA196" s="3">
        <f>2049.9+(287.5-1128.9)+(-3.136347+(-0.439875--1.727217))+0-0-0</f>
        <v>1206.650995</v>
      </c>
      <c r="AB196" s="3">
        <f>1763.5+(264.6-905.1)+(-1.79877+(-0.269892--0.923202))+0-0-0</f>
        <v>1121.85454</v>
      </c>
      <c r="AC196" s="3">
        <f>1682.9+(260.2-906.8)+(-4.291395+(-0.66351--2.31234))+0-0-0</f>
        <v>1033.6574350000001</v>
      </c>
      <c r="AD196">
        <v>1301.4000000000001</v>
      </c>
      <c r="AE196" s="3">
        <f>2127+(223.3-1048.9)+(0+(0-0))+0-0-0</f>
        <v>1301.3999999999999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1629.3+(294.2-964.8)+(0.830943+(0.150042-0.492048))+0-0-0</f>
        <v>959.18893700000001</v>
      </c>
      <c r="G197" s="3">
        <f>1486.4+(270.8-851.3)+(-3.79032+(-0.69054--2.170815))+0-0-0</f>
        <v>903.58995500000015</v>
      </c>
      <c r="H197" s="3">
        <f>1370.3+(258.9-748.5)+(-0.698853+(-0.132039--0.381735))+0-0-0</f>
        <v>880.25084299999992</v>
      </c>
      <c r="I197" s="3">
        <f>1201.4+(259.9-592)+(-0.612714+(-0.132549--0.30192))+0-0-0</f>
        <v>868.85665700000004</v>
      </c>
      <c r="J197" s="3">
        <f>1208.2+(242.4-576.9)+(-3.08091+(-0.61812--1.471095))+0-0-0</f>
        <v>871.47206500000004</v>
      </c>
      <c r="K197" s="3">
        <f>1265.8+(231.6-624.5)+(-2.582232+(-0.472464--1.27398))+0-0-0</f>
        <v>871.11928399999999</v>
      </c>
      <c r="L197" s="3">
        <f>1293.4+(265.8-692)+(-0.659634+(-0.135558--0.35292))+0-0-0</f>
        <v>866.75772800000004</v>
      </c>
      <c r="M197" s="3">
        <f>1485+(237.1-771.1)+(0.75735+(0.120921-0.393261))+0-0-0</f>
        <v>951.48500999999999</v>
      </c>
      <c r="N197" s="3">
        <f>1880.9+(312.8-1150.5)+(1.918518+(0.319056-1.17351))+0-0-0</f>
        <v>1044.264064</v>
      </c>
      <c r="O197" s="3">
        <f>2086.6+(279.8-1269.2)+(2.128332+(0.285396-1.294584))+0-0-0</f>
        <v>1098.3191439999998</v>
      </c>
      <c r="P197" s="3">
        <f>2138.4+(264.1-1360.1)+(-1.090584+(-0.134691--0.693651))+0-0-0</f>
        <v>1041.8683760000001</v>
      </c>
      <c r="Q197" s="3">
        <f>2131.2+(244.5-1306.6)+(-3.260736+(-0.374085--1.999098))+0-0-0</f>
        <v>1067.4642769999998</v>
      </c>
      <c r="R197" s="3">
        <f>2117.8+(224.8-1290.9)+(-4.320312+(-0.458592--2.633436))+0-0-0</f>
        <v>1049.5545320000001</v>
      </c>
      <c r="S197" s="3">
        <f>2125.1+(265-1333.4)+(-2.167602+(-0.2703--1.360068))+0-0-0</f>
        <v>1055.6221659999999</v>
      </c>
      <c r="T197" s="3">
        <f>2106.8+(330.5-1324.5)+(-4.297872+(-0.67422--2.70198))+0-0-0</f>
        <v>1110.5298880000003</v>
      </c>
      <c r="U197" s="3">
        <f>2104.5+(228.3-1318.3)+(-5.366475+(-0.582165--3.361665))+0-0-0</f>
        <v>1011.9130249999999</v>
      </c>
      <c r="V197" s="3">
        <f>2079+(214.9-1187)+(-4.24116+(-0.438396--2.42148))+0-0-0</f>
        <v>1104.641924</v>
      </c>
      <c r="W197" s="3">
        <f>1792.5+(210.8-858.5)+(1.82835+(0.215016-0.87567))+0-0-0</f>
        <v>1145.9676959999999</v>
      </c>
      <c r="X197" s="3">
        <f>2070+(267-1028.2)+(-3.1671+(-0.40851--1.573146))+0-0-0</f>
        <v>1306.797536</v>
      </c>
      <c r="Y197" s="3">
        <f>2032.3+(268.4-993.3)+(-2.072946+(-0.273768--1.013166))+0-0-0</f>
        <v>1306.066452</v>
      </c>
      <c r="Z197" s="3">
        <f>1843+(272.9-852.7)+(-0.93993+(-0.139179--0.434877))+0-0-0</f>
        <v>1262.5557679999997</v>
      </c>
      <c r="AA197" s="3">
        <f>1847.4+(264.2-902.8)+(0.942174+(0.134742-0.460428))+0-0-0</f>
        <v>1209.4164880000001</v>
      </c>
      <c r="AB197" s="3">
        <f>1835.6+(265.4-961.7)+(-2.808468+(-0.406062--1.471401))+0-0-0</f>
        <v>1137.5568709999998</v>
      </c>
      <c r="AC197" s="3">
        <f>1622.2+(258.7-832.3)+(-2.481966+(-0.395811--1.273419))+0-0-0</f>
        <v>1046.9956420000001</v>
      </c>
      <c r="AD197">
        <v>1322.3999999999999</v>
      </c>
      <c r="AE197" s="3">
        <f>2191+(243.6-1112.2)+(0+(0-0))+0-0-0</f>
        <v>1322.4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1519.2+(230.4-797.9)+(-3.099168+(-0.470016--1.627716))+0-0-0</f>
        <v>949.75853200000006</v>
      </c>
      <c r="G198" s="3">
        <f>1239.6+(239.3-580.3)+(-1.264392+(-0.244086--0.591906))+0-0-0</f>
        <v>897.68342799999994</v>
      </c>
      <c r="H198" s="3">
        <f>1189.4+(237.1-574.6)+(-0.606594+(-0.120921--0.293046))+0-0-0</f>
        <v>851.46553100000006</v>
      </c>
      <c r="I198" s="3">
        <f>1187.4+(214.2-607.9)+(-1.211148+(-0.218484--0.620058))+0-0-0</f>
        <v>792.89042600000005</v>
      </c>
      <c r="J198" s="3">
        <f>1194.3+(210.2-618.8)+(0+(0-0))+0-0-0</f>
        <v>785.7</v>
      </c>
      <c r="K198" s="3">
        <f>1179.9+(217.7-607.4)+(-2.406996+(-0.444108--1.239096))+0-0-0</f>
        <v>788.5879920000001</v>
      </c>
      <c r="L198" s="3">
        <f>1215.6+(224.5-639.8)+(-0.619956+(-0.114495--0.326298))+0-0-0</f>
        <v>799.89184699999998</v>
      </c>
      <c r="M198" s="3">
        <f>1443.3+(201.7-825)+(0+(0-0))+0-0-0</f>
        <v>820</v>
      </c>
      <c r="N198" s="3">
        <f>1873.6+(201.9-1082.5)+(0.955536+(0.102969-0.552075))+0-0-0</f>
        <v>993.50642999999991</v>
      </c>
      <c r="O198" s="3">
        <f>2092.9+(257.5-1246.2)+(0+(0-0))+0-0-0</f>
        <v>1104.2</v>
      </c>
      <c r="P198" s="3">
        <f>2132.7+(186-1202.5)+(-2.175354+(-0.18972--1.22655))+0-0-0</f>
        <v>1115.0614759999999</v>
      </c>
      <c r="Q198" s="3">
        <f>2212.9+(62.5-1174.3)+(-1.128579+(-0.031875--0.598893))+0-0-0</f>
        <v>1100.5384390000002</v>
      </c>
      <c r="R198" s="3">
        <f>2213+(154-1291.2)+(-3.38589+(-0.23562--1.975536))+0-0-0</f>
        <v>1074.1540259999999</v>
      </c>
      <c r="S198" s="3">
        <f>2215.9+(234.8-1374.3)+(-2.260218+(-0.239496--1.401786))+0-0-0</f>
        <v>1075.3020720000002</v>
      </c>
      <c r="T198" s="3">
        <f>2216.6+(205.5-1366.4)+(-2.260932+(-0.20961--1.393728))+0-0-0</f>
        <v>1054.6231859999998</v>
      </c>
      <c r="U198" s="3">
        <f>2136.6+(212.8-1223.8)+(0+(0-0))+0-0-0</f>
        <v>1125.5999999999999</v>
      </c>
      <c r="V198" s="3">
        <f>1896.5+(208-947.1)+(-1.93443+(-0.21216--0.966042))+0-0-0</f>
        <v>1156.219452</v>
      </c>
      <c r="W198" s="3">
        <f>1814.7+(231.6-865.1)+(-2.776491+(-0.354348--1.323603))+0-0-0</f>
        <v>1179.3927639999999</v>
      </c>
      <c r="X198" s="3">
        <f>2120.4+(232.6-1025.6)+(-3.244212+(-0.355878--1.569168))+0-0-0</f>
        <v>1325.3690780000002</v>
      </c>
      <c r="Y198" s="3">
        <f>2140.3+(236-1096.1)+(-5.457765+(-0.6018--2.795055))+0-0-0</f>
        <v>1276.9354900000003</v>
      </c>
      <c r="Z198" s="3">
        <f>1994.5+(234.4-936.1)+(0+(0-0))+0-0-0</f>
        <v>1292.8</v>
      </c>
      <c r="AA198" s="3">
        <f>1766.2+(240.2-797.1)+(-1.801524+(-0.245004--0.813042))+0-0-0</f>
        <v>1208.0665139999999</v>
      </c>
      <c r="AB198" s="3">
        <f>1505.9+(258.9-592.6)+(-3.840045+(-0.660195--1.51113))+0-0-0</f>
        <v>1169.2108900000001</v>
      </c>
      <c r="AC198" s="3">
        <f>1363+(264-564.8)+(0+(0-0))+0-0-0</f>
        <v>1062.2</v>
      </c>
      <c r="AD198">
        <v>1281.9000000000001</v>
      </c>
      <c r="AE198" s="3">
        <f>2143+(221-1082.1)+(0+(0-0))+0-0-0</f>
        <v>1281.9000000000001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1359.3+(225.8-631.3)+(-0.693243+(-0.115158--0.321963))+0-0-0</f>
        <v>953.31356199999993</v>
      </c>
      <c r="G199" s="3">
        <f>1359.3+(250-690.5)+(-0.693243+(-0.1275--0.352155))+0-0-0</f>
        <v>918.331412</v>
      </c>
      <c r="H199" s="3">
        <f>1242.5+(231-540.4)+(1.26735+(0.23562-0.551208))+0-0-0</f>
        <v>934.05176200000005</v>
      </c>
      <c r="I199" s="3">
        <f>1153.3+(244.6-507.6)+(-0.588183+(-0.124746--0.258876))+0-0-0</f>
        <v>889.84594699999991</v>
      </c>
      <c r="J199" s="3">
        <f>1153.5+(241.9-515.9)+(-1.764855+(-0.370107--0.789327))+0-0-0</f>
        <v>878.15436499999998</v>
      </c>
      <c r="K199" s="3">
        <f>1161.3+(240.4-529.2)+(-1.776789+(-0.367812--0.809676))+0-0-0</f>
        <v>871.16507499999989</v>
      </c>
      <c r="L199" s="3">
        <f>1224.8+(243.4-679.6)+(0+(0-0))+0-0-0</f>
        <v>788.59999999999991</v>
      </c>
      <c r="M199" s="3">
        <f>1477.7+(221.5-787.5)+(0+(0-0))+0-0-0</f>
        <v>911.7</v>
      </c>
      <c r="N199" s="3">
        <f>1783.4+(224.1-1034.9)+(0.909534+(0.114291-0.527799))+0-0-0</f>
        <v>973.09602600000005</v>
      </c>
      <c r="O199" s="3">
        <f>2027.8+(214.2-1186.6)+(-3.102534+(-0.327726--1.815498))+0-0-0</f>
        <v>1053.7852380000002</v>
      </c>
      <c r="P199" s="3">
        <f>2037.6+(225.4-1189.5)+(-1.039176+(-0.114954--0.606645))+0-0-0</f>
        <v>1072.9525149999999</v>
      </c>
      <c r="Q199" s="3">
        <f>2056.9+(208.3-1307.5)+(-2.098038+(-0.212466--1.33365))+0-0-0</f>
        <v>956.72314600000004</v>
      </c>
      <c r="R199" s="3">
        <f>2232.2+(196.5-1398)+(-7.968954+(-0.701505--4.99086))+0-0-0</f>
        <v>1027.0204009999998</v>
      </c>
      <c r="S199" s="3">
        <f>2292.1+(205.4-1449.8)+(-2.337942+(-0.209508--1.478796))+0-0-0</f>
        <v>1046.6313460000001</v>
      </c>
      <c r="T199" s="3">
        <f>2355.2+(194.3-1470.5)+(-4.804608+(-0.396372--2.99982))+0-0-0</f>
        <v>1076.7988399999997</v>
      </c>
      <c r="U199" s="3">
        <f>2220.4+(199.7-1322.1)+(-1.132404+(-0.101847--0.674271))+0-0-0</f>
        <v>1097.4400200000002</v>
      </c>
      <c r="V199" s="3">
        <f>2116.9+(191.8-1248.7)+(-3.238857+(-0.293454--1.910511))+0-0-0</f>
        <v>1058.3782000000001</v>
      </c>
      <c r="W199" s="3">
        <f>2107.7+(199-1201.8)+(1.074927+(0.10149-0.612918))+0-0-0</f>
        <v>1105.463499</v>
      </c>
      <c r="X199" s="3">
        <f>2237.7+(215.5-1144.7)+(-2.282454+(-0.21981--1.167594))+0-0-0</f>
        <v>1307.1653299999998</v>
      </c>
      <c r="Y199" s="3">
        <f>2228.3+(224.8-1176.2)+(-3.409299+(-0.343944--1.799586))+0-0-0</f>
        <v>1274.9463430000001</v>
      </c>
      <c r="Z199" s="3">
        <f>2169+(225.5-1140.1)+(-1.10619+(-0.115005--0.581451))+0-0-0</f>
        <v>1253.760256</v>
      </c>
      <c r="AA199" s="3">
        <f>2139.5+(227.3-1142.9)+(-3.273435+(-0.347769--1.748637))+0-0-0</f>
        <v>1222.027433</v>
      </c>
      <c r="AB199" s="3">
        <f>2098+(224.1-1145)+(-4.27992+(-0.457164--2.3358))+0-0-0</f>
        <v>1174.6987159999999</v>
      </c>
      <c r="AC199" s="3">
        <f>1874.3+(213.2-985.2)+(-1.911786+(-0.217464--1.004904))+0-0-0</f>
        <v>1101.1756539999999</v>
      </c>
      <c r="AD199">
        <v>1323.1</v>
      </c>
      <c r="AE199" s="3">
        <f>2242+(218-1136.9)+(0+(0-0))+0-0-0</f>
        <v>1323.1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1660+(184-851)+(-3.3864+(-0.37536--1.73604))+0-0-0</f>
        <v>990.97428000000002</v>
      </c>
      <c r="G200" s="3">
        <f>1425.7+(198.4-741.6)+(-3.635535+(-0.50592--1.89108))+0-0-0</f>
        <v>880.24962500000004</v>
      </c>
      <c r="H200" s="3">
        <f>1463+(202.3-803.8)+(-3.73065+(-0.515865--2.04969))+0-0-0</f>
        <v>859.30317500000001</v>
      </c>
      <c r="I200" s="3">
        <f>1462.3+(188.4-768.6)+(-2.983092+(-0.384336--1.567944))+0-0-0</f>
        <v>880.3005159999999</v>
      </c>
      <c r="J200" s="3">
        <f>1394.2+(193.6-724.3)+(2.133126+(0.296208-1.108179))+0-0-0</f>
        <v>864.82115500000009</v>
      </c>
      <c r="K200" s="3">
        <f>1488.5+(206.3-820.2)+(-3.795675+(-0.526065--2.09151))+0-0-0</f>
        <v>872.3697699999999</v>
      </c>
      <c r="L200" s="3">
        <f>1522.7+(206.9-950.2)+(-0.776577+(-0.105519--0.484602))+0-0-0</f>
        <v>779.00250599999993</v>
      </c>
      <c r="M200" s="3">
        <f>1724.3+(216.6-1082.8)+(0.879393+(0.110466-0.552228))+0-0-0</f>
        <v>858.53763100000003</v>
      </c>
      <c r="N200" s="3">
        <f>2174.3+(201.1-1420.6)+(1.108893+(0.102561-0.724506))+0-0-0</f>
        <v>955.28694800000017</v>
      </c>
      <c r="O200" s="3">
        <f>2474.4+(228.8-1670.4)+(0+(0-0))+0-0-0</f>
        <v>1032.8</v>
      </c>
      <c r="P200" s="3">
        <f>2520.7+(232.6-1652.4)+(0+(0-0))+0-0-0</f>
        <v>1100.8999999999996</v>
      </c>
      <c r="Q200" s="3">
        <f>2465.1+(216.5-1603.1)+(-3.771603+(-0.331245--2.452743))+0-0-0</f>
        <v>1076.8498950000001</v>
      </c>
      <c r="R200" s="3">
        <f>2422.8+(232.3-1584.1)+(-1.235628+(-0.118473--0.807891))+0-0-0</f>
        <v>1070.4537900000003</v>
      </c>
      <c r="S200" s="3">
        <f>2395.6+(269.6-1613.4)+(2.443512+(0.274992-1.645668))+0-0-0</f>
        <v>1052.8728359999998</v>
      </c>
      <c r="T200" s="3">
        <f>2373.9+(253.5-1589.7)+(-2.421378+(-0.25857--1.621494))+0-0-0</f>
        <v>1036.6415460000001</v>
      </c>
      <c r="U200" s="3">
        <f>2173.8+(210.8-1414.2)+(-5.54319+(-0.53754--3.60621))+0-0-0</f>
        <v>967.92548000000011</v>
      </c>
      <c r="V200" s="3">
        <f>2129.4+(179.7-1331.2)+(-5.42997+(-0.458235--3.39456))+0-0-0</f>
        <v>975.40635500000008</v>
      </c>
      <c r="W200" s="3">
        <f>2170.6+(186.9-1319.3)+(-1.107006+(-0.095319--0.672843))+0-0-0</f>
        <v>1037.6705180000001</v>
      </c>
      <c r="X200" s="3">
        <f>2352+(196.1-1336.4)+(-1.19952+(-0.100011--0.681564))+0-0-0</f>
        <v>1211.0820329999999</v>
      </c>
      <c r="Y200" s="3">
        <f>2313.6+(199.9-1288.1)+(-8.259552+(-0.713643--4.598517))+0-0-0</f>
        <v>1221.0253220000002</v>
      </c>
      <c r="Z200" s="3">
        <f>2152.5+(197.8-1146.2)+(-4.3911+(-0.403512--2.338248))+0-0-0</f>
        <v>1201.643636</v>
      </c>
      <c r="AA200" s="3">
        <f>2002.1+(203-1012.8)+(-5.105355+(-0.51765--2.58264))+0-0-0</f>
        <v>1189.2596349999999</v>
      </c>
      <c r="AB200" s="3">
        <f>1954.4+(203.2-1006)+(-2.990232+(-0.310896--1.53918))+0-0-0</f>
        <v>1149.8380520000001</v>
      </c>
      <c r="AC200" s="3">
        <f>1784.3+(182.2-933.3)+(-2.729979+(-0.278766--1.427949))+0-0-0</f>
        <v>1031.6192040000001</v>
      </c>
      <c r="AD200">
        <v>1285.0999999999999</v>
      </c>
      <c r="AE200" s="3">
        <f>2426+(216.5-1357.4)+(0+(0-0))+0-0-0</f>
        <v>1285.0999999999999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1351.1+(220.6-545.5)+(1.378122+(0.225012-0.55641))+0-0-0</f>
        <v>1027.2467239999999</v>
      </c>
      <c r="G201" s="3">
        <f>1126.4+(216.9-417.5)+(0+(0-0))+0-0-0</f>
        <v>925.80000000000007</v>
      </c>
      <c r="H201" s="3">
        <f>1118+(201.8-426.7)+(-1.14036+(-0.205836--0.435234))+0-0-0</f>
        <v>892.18903799999998</v>
      </c>
      <c r="I201" s="3">
        <f>1126.2+(194.5-436.1)+(0.574362+(0.099195-0.222411))+0-0-0</f>
        <v>885.05114600000002</v>
      </c>
      <c r="J201" s="3">
        <f>1126.7+(191.9-449.6)+(0.574617+(0.097869-0.229296))+0-0-0</f>
        <v>869.44318999999996</v>
      </c>
      <c r="K201" s="3">
        <f>1124+(201.1-464.4)+(-0.57324+(-0.102561--0.236844))+0-0-0</f>
        <v>860.26104300000009</v>
      </c>
      <c r="L201" s="3">
        <f>1123.9+(226-546.1)+(0+(0-0))+0-0-0</f>
        <v>803.80000000000007</v>
      </c>
      <c r="M201" s="3">
        <f>1128.8+(217.2-524.6)+(0+(0-0))+0-0-0</f>
        <v>821.39999999999986</v>
      </c>
      <c r="N201" s="3">
        <f>1160.3+(219.4-583.5)+(-3.550518+(-0.671364--1.78551))+0-0-0</f>
        <v>793.76362799999993</v>
      </c>
      <c r="O201" s="3">
        <f>1362+(206.9-672)+(-0.69462+(-0.105519--0.34272))+0-0-0</f>
        <v>896.44258100000002</v>
      </c>
      <c r="P201" s="3">
        <f>1395.3+(204.5-651.1)+(-1.423206+(-0.20859--0.664122))+0-0-0</f>
        <v>947.73232599999994</v>
      </c>
      <c r="Q201" s="3">
        <f>1402.8+(210.5-654.4)+(-1.430856+(-0.21471--0.667488))+0-0-0</f>
        <v>957.921922</v>
      </c>
      <c r="R201" s="3">
        <f>1393+(183.7-674.8)+(-2.84172+(-0.374748--1.376592))+0-0-0</f>
        <v>900.06012400000009</v>
      </c>
      <c r="S201" s="3">
        <f>1401.3+(182.6-715.9)+(-1.429326+(-0.186252--0.730218))+0-0-0</f>
        <v>867.11464000000001</v>
      </c>
      <c r="T201" s="3">
        <f>1405.5+(197.3-747.5)+(-1.43361+(-0.201246--0.76245))+0-0-0</f>
        <v>854.427594</v>
      </c>
      <c r="U201" s="3">
        <f>1389.2+(164-710.4)+(-4.250952+(-0.50184--2.173824))+0-0-0</f>
        <v>840.22103200000004</v>
      </c>
      <c r="V201" s="3">
        <f>1398.3+(177.6-676)+(-2.852532+(-0.362304--1.37904))+0-0-0</f>
        <v>898.06420400000002</v>
      </c>
      <c r="W201" s="3">
        <f>1494.9+(164.6-726.6)+(-2.287197+(-0.251838--1.111698))+0-0-0</f>
        <v>931.47266300000013</v>
      </c>
      <c r="X201" s="3">
        <f>1694+(155.1-682.1)+(-5.18364+(-0.474606--2.087226))+0-0-0</f>
        <v>1163.4289799999999</v>
      </c>
      <c r="Y201" s="3">
        <f>1664.8+(155.8-663.4)+(-4.24524+(-0.39729--1.69167))+0-0-0</f>
        <v>1154.2491400000001</v>
      </c>
      <c r="Z201" s="3">
        <f>1667.4+(194.6-713.6)+(-3.401496+(-0.396984--1.455744))+0-0-0</f>
        <v>1146.057264</v>
      </c>
      <c r="AA201" s="3">
        <f>1601.1+(203-693.1)+(-3.266244+(-0.41412--1.413924))+0-0-0</f>
        <v>1108.7335599999999</v>
      </c>
      <c r="AB201" s="3">
        <f>1594.1+(221-782.4)+(0+(0-0))+0-0-0</f>
        <v>1032.6999999999998</v>
      </c>
      <c r="AC201" s="3">
        <f>1432.4+(202.5-627.4)+(-3.65262+(-0.516375--1.59987))+0-0-0</f>
        <v>1004.9308750000001</v>
      </c>
      <c r="AD201">
        <v>1189.3</v>
      </c>
      <c r="AE201" s="3">
        <f>1702+(145.6-658.3)+(0+(0-0))+0-0-0</f>
        <v>1189.3000000000002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1202.5+(209.2-481.6)+(-2.4531+(-0.426768--0.982464))+0-0-0</f>
        <v>928.20259599999986</v>
      </c>
      <c r="G202" s="3">
        <f>1195.3+(200.1-500.2)+(-2.438412+(-0.408204--1.020408))+0-0-0</f>
        <v>893.37379199999998</v>
      </c>
      <c r="H202" s="3">
        <f>1202.4+(198.6-520.4)+(-0.613224+(-0.101286--0.265404))+0-0-0</f>
        <v>880.15089400000011</v>
      </c>
      <c r="I202" s="3">
        <f>1188.7+(189.4-533)+(-1.212474+(-0.193188--0.54366))+0-0-0</f>
        <v>844.23799800000006</v>
      </c>
      <c r="J202" s="3">
        <f>1194.3+(192.7-524.5)+(0+(0-0))+0-0-0</f>
        <v>862.5</v>
      </c>
      <c r="K202" s="3">
        <f>1196.7+(201.7-544.6)+(0.610317+(0.102867-0.277746))+0-0-0</f>
        <v>854.23543799999993</v>
      </c>
      <c r="L202" s="3">
        <f>1197.1+(245.8-609.6)+(0.610521+(0.125358-0.310896))+0-0-0</f>
        <v>833.72498299999995</v>
      </c>
      <c r="M202" s="3">
        <f>1331+(250.8-698.5)+(-0.67881+(-0.127908--0.356235))+0-0-0</f>
        <v>882.84951699999999</v>
      </c>
      <c r="N202" s="3">
        <f>1611.3+(225.5-861.2)+(-0.821763+(-0.115005--0.439212))+0-0-0</f>
        <v>975.10244399999988</v>
      </c>
      <c r="O202" s="3">
        <f>1777+(230.6-953.2)+(-1.81254+(-0.235212--0.972264))+0-0-0</f>
        <v>1053.3245120000001</v>
      </c>
      <c r="P202" s="3">
        <f>1782.7+(285.7-975.4)+(0+(0-0))+0-0-0</f>
        <v>1093</v>
      </c>
      <c r="Q202" s="3">
        <f>1768.4+(335.9-1022.5)+(-2.705652+(-0.513927--1.564425))+0-0-0</f>
        <v>1080.1448460000001</v>
      </c>
      <c r="R202" s="3">
        <f>1755+(366.9-1055.8)+(-4.47525+(-0.935595--2.69229))+0-0-0</f>
        <v>1063.381445</v>
      </c>
      <c r="S202" s="3">
        <f>1766.8+(395.2-1086.9)+(-2.703204+(-0.604656--1.662957))+0-0-0</f>
        <v>1073.4550969999998</v>
      </c>
      <c r="T202" s="3">
        <f>1778.8+(402.5-1145.5)+(0+(0-0))+0-0-0</f>
        <v>1035.8</v>
      </c>
      <c r="U202" s="3">
        <f>1770.2+(389.6-1104.4)+(-1.805604+(-0.397392--1.126488))+0-0-0</f>
        <v>1054.323492</v>
      </c>
      <c r="V202" s="3">
        <f>1768.1+(323.2-1002.7)+(-2.705193+(-0.494496--1.534131))+0-0-0</f>
        <v>1086.934442</v>
      </c>
      <c r="W202" s="3">
        <f>1804.5+(276.6-931.7)+(-0.920295+(-0.141066--0.475167))+0-0-0</f>
        <v>1148.8138060000001</v>
      </c>
      <c r="X202" s="3">
        <f>1825.5+(354.5-873.1)+(-4.655025+(-0.903975--2.226405))+0-0-0</f>
        <v>1303.567405</v>
      </c>
      <c r="Y202" s="3">
        <f>1830.4+(357.4-896.1)+(-3.734016+(-0.729096--1.828044))+0-0-0</f>
        <v>1289.064932</v>
      </c>
      <c r="Z202" s="3">
        <f>1837.2+(382.4-959.3)+(-0.936972+(-0.195024--0.489243))+0-0-0</f>
        <v>1259.6572470000001</v>
      </c>
      <c r="AA202" s="3">
        <f>1795.1+(405.2-970.6)+(-4.577505+(-1.03326--2.47503))+0-0-0</f>
        <v>1226.5642649999998</v>
      </c>
      <c r="AB202" s="3">
        <f>1584.7+(406.1-879.8)+(-3.232788+(-0.828444--1.794792))+0-0-0</f>
        <v>1108.7335599999999</v>
      </c>
      <c r="AC202" s="3">
        <f>1482.2+(439.4-900.8)+(-3.77961+(-1.12047--2.29704))+0-0-0</f>
        <v>1018.1969600000001</v>
      </c>
      <c r="AD202">
        <v>1294.7</v>
      </c>
      <c r="AE202" s="3">
        <f>1845+(347.4-897.7)+(0+(0-0))+0-0-0</f>
        <v>1294.6999999999998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1257.1+(424.9-711.1)+(-0.641121+(-0.216699--0.362661))+0-0-0</f>
        <v>970.40484099999992</v>
      </c>
      <c r="G203" s="3">
        <f>1178.7+(293.2-514.7)+(-3.005685+(-0.74766--1.312485))+0-0-0</f>
        <v>954.75914</v>
      </c>
      <c r="H203" s="3">
        <f>1191+(207.3-496.2)+(-0.60741+(-0.105723--0.253062))+0-0-0</f>
        <v>901.63992900000005</v>
      </c>
      <c r="I203" s="3">
        <f>1187+(216.4-505.9)+(-0.60537+(-0.110364--0.258009))+0-0-0</f>
        <v>897.04227500000002</v>
      </c>
      <c r="J203" s="3">
        <f>1186.1+(204.1-497.2)+(-1.209822+(-0.208182--0.507144))+0-0-0</f>
        <v>892.08913999999993</v>
      </c>
      <c r="K203" s="3">
        <f>1186.2+(213.5-504.8)+(-1.814886+(-0.326655--0.772344))+0-0-0</f>
        <v>893.53080300000011</v>
      </c>
      <c r="L203" s="3">
        <f>1207+(199.8-517)+(-0.61557+(-0.101898--0.26367))+0-0-0</f>
        <v>889.34620199999995</v>
      </c>
      <c r="M203" s="3">
        <f>1451.5+(219.1-798.1)+(-0.740265+(-0.111741--0.407031))+0-0-0</f>
        <v>872.055025</v>
      </c>
      <c r="N203" s="3">
        <f>1715.4+(243.3-936.8)+(1.749708+(0.248166-0.955536))+0-0-0</f>
        <v>1022.9423380000001</v>
      </c>
      <c r="O203" s="3">
        <f>1717.1+(284.9-931.1)+(-1.751442+(-0.290598--0.949722))+0-0-0</f>
        <v>1069.8076819999999</v>
      </c>
      <c r="P203" s="3">
        <f>1799.7+(334.8-1071.9)+(-0.917847+(-0.170748--0.546669))+0-0-0</f>
        <v>1062.0580739999998</v>
      </c>
      <c r="Q203" s="3">
        <f>1802.1+(359.2-1086.3)+(-1.838142+(-0.366384--1.108026))+0-0-0</f>
        <v>1073.9034999999999</v>
      </c>
      <c r="R203" s="3">
        <f>1794.4+(377.8-1107.7)+(-2.745432+(-0.578034--1.694781))+0-0-0</f>
        <v>1062.8713150000001</v>
      </c>
      <c r="S203" s="3">
        <f>1790.4+(408.6-1131.1)+(-3.652416+(-0.833544--2.307444))+0-0-0</f>
        <v>1065.7214840000001</v>
      </c>
      <c r="T203" s="3">
        <f>1802.4+(421.5-1141)+(-0.919224+(-0.214965--0.58191))+0-0-0</f>
        <v>1082.3477210000001</v>
      </c>
      <c r="U203" s="3">
        <f>1763+(393.3-1092.2)+(-4.49565+(-1.002915--2.78511))+0-0-0</f>
        <v>1061.3865449999998</v>
      </c>
      <c r="V203" s="3">
        <f>1705.7+(300.9-887.7)+(-2.609721+(-0.460377--1.358181))+0-0-0</f>
        <v>1117.188083</v>
      </c>
      <c r="W203" s="3">
        <f>1722.1+(249.9-816.1)+(0.878271+(0.127449-0.416211))+0-0-0</f>
        <v>1156.4895089999998</v>
      </c>
      <c r="X203" s="3">
        <f>1788+(360.9-836.3)+(-1.82376+(-0.368118--0.853026))+0-0-0</f>
        <v>1311.2611479999998</v>
      </c>
      <c r="Y203" s="3">
        <f>1800.1+(332.2-789.6)+(-3.672204+(-0.677688--1.610784))+0-0-0</f>
        <v>1339.9608919999998</v>
      </c>
      <c r="Z203" s="3">
        <f>1804.2+(311.9-829.1)+(-3.680568+(-0.636276--1.691364))+0-0-0</f>
        <v>1284.3745200000001</v>
      </c>
      <c r="AA203" s="3">
        <f>1669.7+(310.1-754.7)+(-1.703094+(-0.316302--0.769794))+0-0-0</f>
        <v>1223.8503979999998</v>
      </c>
      <c r="AB203" s="3">
        <f>1618.1+(286.4-767.3)+(-1.650462+(-0.292128--0.782646))+0-0-0</f>
        <v>1136.0400559999998</v>
      </c>
      <c r="AC203" s="3">
        <f>1514.8+(251.8-674)+(-3.86274+(-0.64209--1.7187))+0-0-0</f>
        <v>1089.81387</v>
      </c>
      <c r="AD203">
        <v>1299.7999999999997</v>
      </c>
      <c r="AE203" s="3">
        <f>1827+(353.2-880.4)+(0+(0-0))+0-0-0</f>
        <v>1299.8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1280.2+(227-524.2)+(-1.305804+(-0.23154--0.534684))+0-0-0</f>
        <v>981.99734000000001</v>
      </c>
      <c r="G204" s="3">
        <f>1184.3+(219.8-497)+(-1.811979+(-0.336294--0.76041))+0-0-0</f>
        <v>905.71213699999987</v>
      </c>
      <c r="H204" s="3">
        <f>1193+(201.1-488.3)+(0+(0-0))+0-0-0</f>
        <v>905.8</v>
      </c>
      <c r="I204" s="3">
        <f>1189.8+(202.9-502.9)+(0+(0-0))+0-0-0</f>
        <v>889.8</v>
      </c>
      <c r="J204" s="3">
        <f>1184.8+(191.3-489.2)+(-1.812744+(-0.292689--0.748476))+0-0-0</f>
        <v>885.54304300000001</v>
      </c>
      <c r="K204" s="3">
        <f>1196.3+(204.8-506.1)+(0.610113+(0.104448-0.258111))+0-0-0</f>
        <v>895.45645000000002</v>
      </c>
      <c r="L204" s="3">
        <f>1191.8+(214.1-527.8)+(0+(0-0))+0-0-0</f>
        <v>878.1</v>
      </c>
      <c r="M204" s="3">
        <f>1358.4+(231.8-718.9)+(-1.385568+(-0.236436--0.733278))+0-0-0</f>
        <v>870.41127400000016</v>
      </c>
      <c r="N204" s="3">
        <f>1700.9+(274.4-1038.9)+(2.602377+(0.419832-1.589517))+0-0-0</f>
        <v>937.83269199999995</v>
      </c>
      <c r="O204" s="3">
        <f>1786+(303.9-982.2)+(-2.73258+(-0.464967--1.502766))+0-0-0</f>
        <v>1106.0052189999999</v>
      </c>
      <c r="P204" s="3">
        <f>1771.9+(246.9-962.7)+(-3.614676+(-0.503676--1.963908))+0-0-0</f>
        <v>1053.9455559999999</v>
      </c>
      <c r="Q204" s="3">
        <f>1768.8+(278.1-935.8)+(-3.608352+(-0.567324--1.909032))+0-0-0</f>
        <v>1108.8333559999999</v>
      </c>
      <c r="R204" s="3">
        <f>1762.3+(295.2-968.6)+(-4.493865+(-0.75276--2.46993))+0-0-0</f>
        <v>1086.1233049999998</v>
      </c>
      <c r="S204" s="3">
        <f>1787.5+(314.4-981)+(0.911625+(0.160344-0.50031))+0-0-0</f>
        <v>1121.471659</v>
      </c>
      <c r="T204" s="3">
        <f>1776.3+(301-861.8)+(-3.623652+(-0.61404--1.758072))+0-0-0</f>
        <v>1213.0203799999999</v>
      </c>
      <c r="U204" s="3">
        <f>1747+(272.2-811.9)+(-4.45485+(-0.69411--2.070345))+0-0-0</f>
        <v>1204.2213850000001</v>
      </c>
      <c r="V204" s="3">
        <f>1701.5+(217-777.8)+(-2.603295+(-0.33201--1.190034))+0-0-0</f>
        <v>1138.954729</v>
      </c>
      <c r="W204" s="3">
        <f>1734.8+(219.5-748)+(1.769496+(0.22389-0.76296))+0-0-0</f>
        <v>1207.530426</v>
      </c>
      <c r="X204" s="3">
        <f>1728+(255.2-640.7)+(-4.4064+(-0.65076--1.633785))+0-0-0</f>
        <v>1339.0766249999999</v>
      </c>
      <c r="Y204" s="3">
        <f>1729.2+(228.6-633.9)+(-1.763784+(-0.233172--0.646578))+0-0-0</f>
        <v>1322.549622</v>
      </c>
      <c r="Z204" s="3">
        <f>1728.5+(224.2-653.8)+(-2.644605+(-0.343026--1.000314))+0-0-0</f>
        <v>1296.912683</v>
      </c>
      <c r="AA204" s="3">
        <f>1723.4+(230.4-681.7)+(-3.515736+(-0.470016--1.390668))+0-0-0</f>
        <v>1269.5049159999999</v>
      </c>
      <c r="AB204" s="3">
        <f>1675.9+(230.2-646.5)+(0+(0-0))+0-0-0</f>
        <v>1259.6000000000001</v>
      </c>
      <c r="AC204" s="3">
        <f>1401.3+(249.5-540.6)+(-2.858652+(-0.50898--1.102824))+0-0-0</f>
        <v>1107.9351919999999</v>
      </c>
      <c r="AD204">
        <v>1341.6000000000001</v>
      </c>
      <c r="AE204" s="3">
        <f>1743+(282.4-683.8)+(0+(0-0))+0-0-0</f>
        <v>1341.6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1185.7+(325.2-498.6)+(0+(0-0))+0-0-0</f>
        <v>1012.3</v>
      </c>
      <c r="G205" s="3">
        <f>1187.6+(287.6-546.7)+(-1.817028+(-0.440028--0.836451))+0-0-0</f>
        <v>927.07939499999986</v>
      </c>
      <c r="H205" s="3">
        <f>1205.9+(242.6-511.3)+(1.230018+(0.247452-0.521526))+0-0-0</f>
        <v>938.15594400000009</v>
      </c>
      <c r="I205" s="3">
        <f>1187.2+(239.9-500.3)+(-1.816416+(-0.367047--0.765459))+0-0-0</f>
        <v>925.38199600000007</v>
      </c>
      <c r="J205" s="3">
        <f>1200.4+(239.2-521.2)+(0+(0-0))+0-0-0</f>
        <v>918.40000000000009</v>
      </c>
      <c r="K205" s="3">
        <f>1189.4+(232.1-489)+(-1.819782+(-0.355113--0.74817))+0-0-0</f>
        <v>931.07327500000008</v>
      </c>
      <c r="L205" s="3">
        <f>1190.7+(218.9-524.9)+(-1.214514+(-0.223278--0.535398))+0-0-0</f>
        <v>883.79760600000009</v>
      </c>
      <c r="M205" s="3">
        <f>1316.4+(218.7-635.8)+(1.342728+(0.223074-0.648516))+0-0-0</f>
        <v>900.21728600000017</v>
      </c>
      <c r="N205" s="3">
        <f>1666.4+(267.5-893.7)+(-0.849864+(-0.136425--0.455787))+0-0-0</f>
        <v>1039.669498</v>
      </c>
      <c r="O205" s="3">
        <f>1759.9+(320.4-1024)+(0+(0-0))+0-0-0</f>
        <v>1056.3000000000002</v>
      </c>
      <c r="P205" s="3">
        <f>1793+(338-1054.6)+(-0.91443+(-0.17238--0.537846))+0-0-0</f>
        <v>1075.851036</v>
      </c>
      <c r="Q205" s="3">
        <f>1780+(382.8-1034.2)+(-2.7234+(-0.585684--1.582326))+0-0-0</f>
        <v>1126.8732419999999</v>
      </c>
      <c r="R205" s="3">
        <f>1776.4+(360.4-1027.6)+(-3.623856+(-0.735216--2.096304))+0-0-0</f>
        <v>1106.9372320000002</v>
      </c>
      <c r="S205" s="3">
        <f>1786.9+(362.4-1056.5)+(-1.822638+(-0.369648--1.07763))+0-0-0</f>
        <v>1091.6853440000002</v>
      </c>
      <c r="T205" s="3">
        <f>1784.7+(358.9-1051.5)+(-1.820394+(-0.366078--1.07253))+0-0-0</f>
        <v>1090.986058</v>
      </c>
      <c r="U205" s="3">
        <f>1776.4+(328.4-993.2)+(-3.623856+(-0.669936--2.026128))+0-0-0</f>
        <v>1109.3323359999999</v>
      </c>
      <c r="V205" s="3">
        <f>1781.1+(322.5-996)+(-2.725083+(-0.493425--1.52388))+0-0-0</f>
        <v>1105.9053719999999</v>
      </c>
      <c r="W205" s="3">
        <f>1805.8+(268-837.4)+(0+(0-0))+0-0-0</f>
        <v>1236.4000000000001</v>
      </c>
      <c r="X205" s="3">
        <f>1828.3+(266.3-723.3)+(-2.797299+(-0.407439--1.106649))+0-0-0</f>
        <v>1369.2019109999999</v>
      </c>
      <c r="Y205" s="3">
        <f>1828.2+(315.6-828.7)+(-1.864764+(-0.321912--0.845274))+0-0-0</f>
        <v>1313.7585979999999</v>
      </c>
      <c r="Z205" s="3">
        <f>1826.1+(313.7-859.5)+(-3.725244+(-0.639948--1.75338))+0-0-0</f>
        <v>1277.6881879999999</v>
      </c>
      <c r="AA205" s="3">
        <f>1785.6+(329-824.4)+(-2.731968+(-0.50337--1.261332))+0-0-0</f>
        <v>1288.2259939999999</v>
      </c>
      <c r="AB205" s="3">
        <f>1436.8+(309.4-540.9)+(-3.66384+(-0.78897--1.379295))+0-0-0</f>
        <v>1202.2264849999999</v>
      </c>
      <c r="AC205" s="3">
        <f>1175.9+(352-510.2)+(-2.998545+(-0.8976--1.30101))+0-0-0</f>
        <v>1015.104865</v>
      </c>
      <c r="AD205">
        <v>1327.8</v>
      </c>
      <c r="AE205" s="3">
        <f>1828+(279-779.2)+(0+(0-0))+0-0-0</f>
        <v>1327.8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1177.2+(419.1-631.4)+(-2.401488+(-0.854964--1.288056))+0-0-0</f>
        <v>962.93160400000011</v>
      </c>
      <c r="G206" s="3">
        <f>1182+(405.8-620.7)+(-1.80846+(-0.620874--0.949671))+0-0-0</f>
        <v>965.62033699999995</v>
      </c>
      <c r="H206" s="3">
        <f>1181.5+(316.3-562.1)+(-1.807695+(-0.483939--0.860013))+0-0-0</f>
        <v>934.2683790000001</v>
      </c>
      <c r="I206" s="3">
        <f>1183.2+(274.8-565.1)+(-1.810296+(-0.420444--0.864603))+0-0-0</f>
        <v>891.53386300000011</v>
      </c>
      <c r="J206" s="3">
        <f>1198.8+(289.3-565.4)+(1.222776+(0.295086-0.576708))+0-0-0</f>
        <v>923.64115400000003</v>
      </c>
      <c r="K206" s="3">
        <f>1188.5+(211.5-476.3)+(-1.21227+(-0.21573--0.485826))+0-0-0</f>
        <v>922.75782600000002</v>
      </c>
      <c r="L206" s="3">
        <f>1187+(209.9-487)+(-1.21074+(-0.214098--0.49674))+0-0-0</f>
        <v>908.971902</v>
      </c>
      <c r="M206" s="3">
        <f>1505.4+(258.4-864.9)+(0.767754+(0.131784-0.441099))+0-0-0</f>
        <v>899.35843900000009</v>
      </c>
      <c r="N206" s="3">
        <f>1765.5+(329.8-1077.1)+(0+(0-0))+0-0-0</f>
        <v>1018.2</v>
      </c>
      <c r="O206" s="3">
        <f>1812.4+(353.6-1082.9)+(-0.924324+(-0.180336--0.552279))+0-0-0</f>
        <v>1082.5476189999999</v>
      </c>
      <c r="P206" s="3">
        <f>1802+(353.3-1052.5)+(-1.83804+(-0.360366--1.07355))+0-0-0</f>
        <v>1101.675144</v>
      </c>
      <c r="Q206" s="3">
        <f>1870.9+(356.9-1103.5)+(-1.908318+(-0.364038--1.12557))+0-0-0</f>
        <v>1123.1532140000002</v>
      </c>
      <c r="R206" s="3">
        <f>1910.9+(316.4-1126.2)+(-4.872795+(-0.80682--2.87181))+0-0-0</f>
        <v>1098.292195</v>
      </c>
      <c r="S206" s="3">
        <f>1936.3+(310.6-1166.8)+(-0.987513+(-0.158406--0.595068))+0-0-0</f>
        <v>1079.5491489999999</v>
      </c>
      <c r="T206" s="3">
        <f>1931.5+(361.2-1156.3)+(-2.955195+(-0.552636--1.769139))+0-0-0</f>
        <v>1134.6613080000002</v>
      </c>
      <c r="U206" s="3">
        <f>1901.5+(279.3-1033)+(-3.87906+(-0.569772--2.10732))+0-0-0</f>
        <v>1145.458488</v>
      </c>
      <c r="V206" s="3">
        <f>1762.8+(225.4-867.4)+(-2.697084+(-0.344862--1.327122))+0-0-0</f>
        <v>1119.085176</v>
      </c>
      <c r="W206" s="3">
        <f>1839.4+(221-859.3)+(-0.938094+(-0.11271--0.438243))+0-0-0</f>
        <v>1200.4874390000002</v>
      </c>
      <c r="X206" s="3">
        <f>1958.9+(280.2-900)+(0+(0-0))+0-0-0</f>
        <v>1339.1000000000001</v>
      </c>
      <c r="Y206" s="3">
        <f>1939.3+(286-922.1)+(-4.945215+(-0.7293--2.351355))+0-0-0</f>
        <v>1299.8768399999999</v>
      </c>
      <c r="Z206" s="3">
        <f>1895.8+(267.8-855)+(-0.966858+(-0.136578--0.43605))+0-0-0</f>
        <v>1307.9326139999998</v>
      </c>
      <c r="AA206" s="3">
        <f>1855.1+(235.4-870.3)+(-3.784404+(-0.480216--1.775412))+0-0-0</f>
        <v>1217.7107919999999</v>
      </c>
      <c r="AB206" s="3">
        <f>1806.5+(218-843.7)+(-2.763945+(-0.33354--1.290861))+0-0-0</f>
        <v>1178.9933759999999</v>
      </c>
      <c r="AC206" s="3">
        <f>1513.6+(273.3-702.8)+(-3.85968+(-0.696915--1.79214))+0-0-0</f>
        <v>1081.3355449999999</v>
      </c>
      <c r="AD206">
        <v>1335.3000000000002</v>
      </c>
      <c r="AE206" s="3">
        <f>1979+(270.3-914)+(0+(0-0))+0-0-0</f>
        <v>1335.3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1336+(275.1-595.7)+(0+(0-0))+0-0-0</f>
        <v>1015.4</v>
      </c>
      <c r="G207" s="3">
        <f>1248.1+(219.1-526.8)+(0+(0-0))+0-0-0</f>
        <v>940.4</v>
      </c>
      <c r="H207" s="3">
        <f>1243.8+(217.6-524.2)+(0.634338+(0.110976-0.267342))+0-0-0</f>
        <v>937.67797199999995</v>
      </c>
      <c r="I207" s="3">
        <f>1233.9+(202.9-532.9)+(-1.258578+(-0.206958--0.543558))+0-0-0</f>
        <v>902.97802200000012</v>
      </c>
      <c r="J207" s="3">
        <f>1240.2+(196.4-513.6)+(0+(0-0))+0-0-0</f>
        <v>923</v>
      </c>
      <c r="K207" s="3">
        <f>1228.5+(189.3-500.3)+(-3.132675+(-0.482715--1.275765))+0-0-0</f>
        <v>915.16037500000004</v>
      </c>
      <c r="L207" s="3">
        <f>1233.8+(209.8-572.9)+(-1.258476+(-0.213996--0.584358))+0-0-0</f>
        <v>869.81188600000007</v>
      </c>
      <c r="M207" s="3">
        <f>1331.7+(204.3-661.2)+(2.037501+(0.312579-1.011636))+0-0-0</f>
        <v>876.13844399999994</v>
      </c>
      <c r="N207" s="3">
        <f>1436.9+(197-527.6)+(0+(0-0))+0-0-0</f>
        <v>1106.3000000000002</v>
      </c>
      <c r="O207" s="3">
        <f>1747.4+(239.4-787.6)+(-1.782348+(-0.244188--0.803352))+0-0-0</f>
        <v>1197.9768160000001</v>
      </c>
      <c r="P207" s="3">
        <f>1800.3+(258.6-915.5)+(1.836306+(0.263772-0.93381))+0-0-0</f>
        <v>1144.566268</v>
      </c>
      <c r="Q207" s="3">
        <f>1775.2+(299-895.6)+(-2.716056+(-0.45747--1.370268))+0-0-0</f>
        <v>1176.796742</v>
      </c>
      <c r="R207" s="3">
        <f>1775.2+(288.1-890.3)+(-0.905352+(-0.146931--0.454053))+0-0-0</f>
        <v>1172.4017699999999</v>
      </c>
      <c r="S207" s="3">
        <f>1788+(309.8-963.9)+(1.82376+(0.315996-0.983178))+0-0-0</f>
        <v>1135.0565780000002</v>
      </c>
      <c r="T207" s="3">
        <f>1791.2+(297.3-956.2)+(0.913512+(0.151623-0.487662))+0-0-0</f>
        <v>1132.877473</v>
      </c>
      <c r="U207" s="3">
        <f>1759+(284-923.1)+(-4.48545+(-0.7242--2.353905))+0-0-0</f>
        <v>1117.044255</v>
      </c>
      <c r="V207" s="3">
        <f>1702.8+(239.9-827.4)+(-0.868428+(-0.122349--0.421974))+0-0-0</f>
        <v>1114.7311970000001</v>
      </c>
      <c r="W207" s="3">
        <f>1744.8+(110.7-661.1)+(0+(0-0))+0-0-0</f>
        <v>1194.4000000000001</v>
      </c>
      <c r="X207" s="3">
        <f>1795.6+(141.5-610)+(-2.747268+(-0.216495--0.9333))+0-0-0</f>
        <v>1325.0695369999999</v>
      </c>
      <c r="Y207" s="3">
        <f>1800+(201.9-717.1)+(-3.672+(-0.411876--1.462884))+0-0-0</f>
        <v>1282.1790080000001</v>
      </c>
      <c r="Z207" s="3">
        <f>1746.5+(216.1-728.1)+(-4.453575+(-0.551055--1.856655))+0-0-0</f>
        <v>1231.3520249999999</v>
      </c>
      <c r="AA207" s="3">
        <f>1733.1+(244.4-791.2)+(-1.767762+(-0.249288--0.807024))+0-0-0</f>
        <v>1185.0899739999998</v>
      </c>
      <c r="AB207" s="3">
        <f>1708.7+(277.2-859.5)+(-0.871437+(-0.141372--0.438345))+0-0-0</f>
        <v>1125.8255360000001</v>
      </c>
      <c r="AC207" s="3">
        <f>1583.5+(288-817.4)+(-0.807585+(-0.14688--0.416874))+0-0-0</f>
        <v>1053.5624089999999</v>
      </c>
      <c r="AD207">
        <v>1346.9</v>
      </c>
      <c r="AE207" s="3">
        <f>1792+(143.2-588.3)+(0+(0-0))+0-0-0</f>
        <v>1346.9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1420.8+(332.3-762.6)+(0+(0-0))+0-0-0</f>
        <v>990.5</v>
      </c>
      <c r="G208" s="3">
        <f>1259.5+(363.8-690.1)+(0+(0-0))+0-0-0</f>
        <v>933.2</v>
      </c>
      <c r="H208" s="3">
        <f>1262.5+(299.4-666.2)+(0.643875+(0.152694-0.339762))+0-0-0</f>
        <v>896.15680699999996</v>
      </c>
      <c r="I208" s="3">
        <f>1256.7+(259.7-631.1)+(0+(0-0))+0-0-0</f>
        <v>885.3</v>
      </c>
      <c r="J208" s="3">
        <f>1229.9+(223.9-567.4)+(1.254498+(0.228378-0.578748))+0-0-0</f>
        <v>887.30412800000011</v>
      </c>
      <c r="K208" s="3">
        <f>1192.4+(223.3-529.7)+(-1.216248+(-0.227766--0.540294))+0-0-0</f>
        <v>885.09627999999998</v>
      </c>
      <c r="L208" s="3">
        <f>1131.3+(262.4-562.1)+(-1.153926+(-0.267648--0.573342))+0-0-0</f>
        <v>830.75176799999986</v>
      </c>
      <c r="M208" s="3">
        <f>1253.8+(270.1-685.9)+(1.918314+(0.413253-1.049427))+0-0-0</f>
        <v>839.28214000000003</v>
      </c>
      <c r="N208" s="3">
        <f>1344+(345-784.4)+(0.68544+(0.17595-0.400044))+0-0-0</f>
        <v>905.06134600000007</v>
      </c>
      <c r="O208" s="3">
        <f>1418.3+(314.6-777.6)+(-1.446666+(-0.320892--0.793152))+0-0-0</f>
        <v>954.32559399999991</v>
      </c>
      <c r="P208" s="3">
        <f>1426+(305.5-753.5)+(0+(0-0))+0-0-0</f>
        <v>978</v>
      </c>
      <c r="Q208" s="3">
        <f>1413.7+(333.7-746.3)+(-3.604935+(-0.850935--1.903065))+0-0-0</f>
        <v>998.5471950000001</v>
      </c>
      <c r="R208" s="3">
        <f>1417.8+(323.6-773.5)+(-2.169234+(-0.495108--1.183455))+0-0-0</f>
        <v>966.41911299999992</v>
      </c>
      <c r="S208" s="3">
        <f>1432.3+(346.6-836.9)+(1.460946+(0.353532-0.853638))+0-0-0</f>
        <v>942.96083999999996</v>
      </c>
      <c r="T208" s="3">
        <f>1504.6+(340.1-912.4)+(-4.604076+(-1.040706--2.791944))+0-0-0</f>
        <v>929.44716199999993</v>
      </c>
      <c r="U208" s="3">
        <f>1482.6+(220.3-779.9)+(0+(0-0))+0-0-0</f>
        <v>923</v>
      </c>
      <c r="V208" s="3">
        <f>1446.2+(181.3-807.3)+(0+(0-0))+0-0-0</f>
        <v>820.2</v>
      </c>
      <c r="W208" s="3">
        <f>1597.2+(206.5-819.4)+(0.814572+(0.105315-0.417894))+0-0-0</f>
        <v>984.80199300000004</v>
      </c>
      <c r="X208" s="3">
        <f>1809.4+(276.4-911.3)+(-2.768382+(-0.422892--1.394289))+0-0-0</f>
        <v>1172.7030150000001</v>
      </c>
      <c r="Y208" s="3">
        <f>1810.1+(288.5-921.7)+(-2.769453+(-0.441405--1.410201))+0-0-0</f>
        <v>1175.0993429999999</v>
      </c>
      <c r="Z208" s="3">
        <f>1821.5+(322.2-974.3)+(0.928965+(0.164322-0.496893))+0-0-0</f>
        <v>1169.996394</v>
      </c>
      <c r="AA208" s="3">
        <f>1819.1+(372.1-1066.7)+(0+(0-0))+0-0-0</f>
        <v>1124.5</v>
      </c>
      <c r="AB208" s="3">
        <f>1799.5+(368.5-1122.7)+(-2.753235+(-0.563805--1.717731))+0-0-0</f>
        <v>1043.700691</v>
      </c>
      <c r="AC208" s="3">
        <f>1513.8+(393.7-901.9)+(-3.86019+(-1.003935--2.299845))+0-0-0</f>
        <v>1003.0357199999999</v>
      </c>
      <c r="AD208">
        <v>1206.8</v>
      </c>
      <c r="AE208" s="3">
        <f>1824+(279.1-896.3)+(0+(0-0))+0-0-0</f>
        <v>1206.8000000000002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1278.9+(341.8-718.4)+(-3.261195+(-0.87159--1.83192))+0-0-0</f>
        <v>899.99913500000014</v>
      </c>
      <c r="G209" s="3">
        <f>1242.4+(341.2-714.4)+(-2.534496+(-0.696048--1.457376))+0-0-0</f>
        <v>867.42683199999999</v>
      </c>
      <c r="H209" s="3">
        <f>1178.4+(334.4-677.4)+(-1.802952+(-0.511632--1.036422))+0-0-0</f>
        <v>834.12183800000014</v>
      </c>
      <c r="I209" s="3">
        <f>1190.9+(348.2-714.6)+(0+(0-0))+0-0-0</f>
        <v>824.5</v>
      </c>
      <c r="J209" s="3">
        <f>1183.3+(330.2-686.7)+(-1.810449+(-0.505206--1.050651))+0-0-0</f>
        <v>825.53499599999998</v>
      </c>
      <c r="K209" s="3">
        <f>1185.2+(242.4-570.8)+(-1.813356+(-0.370872--0.873324))+0-0-0</f>
        <v>855.48909600000002</v>
      </c>
      <c r="L209" s="3">
        <f>1192.2+(211.6-527.5)+(0+(0-0))+0-0-0</f>
        <v>876.30000000000007</v>
      </c>
      <c r="M209" s="3">
        <f>1366.5+(260.7-765.4)+(0.696915+(0.132957-0.390354))+0-0-0</f>
        <v>862.23951799999998</v>
      </c>
      <c r="N209" s="3">
        <f>1705.1+(285.3-971.1)+(0.869601+(0.145503-0.495261))+0-0-0</f>
        <v>1019.819843</v>
      </c>
      <c r="O209" s="3">
        <f>1723.8+(318.9-953.4)+(1.758276+(0.325278-0.972468))+0-0-0</f>
        <v>1090.4110859999998</v>
      </c>
      <c r="P209" s="3">
        <f>1793.6+(303.3-957.7)+(-0.914736+(-0.154683--0.488427))+0-0-0</f>
        <v>1138.6190079999999</v>
      </c>
      <c r="Q209" s="3">
        <f>1789.3+(286.8-918.7)+(-1.825086+(-0.292536--0.937074))+0-0-0</f>
        <v>1156.2194519999998</v>
      </c>
      <c r="R209" s="3">
        <f>1795.4+(299.8-934.5)+(0+(0-0))+0-0-0</f>
        <v>1160.7</v>
      </c>
      <c r="S209" s="3">
        <f>1791.8+(299.4-942.7)+(-0.913818+(-0.152694--0.480777))+0-0-0</f>
        <v>1147.9142649999999</v>
      </c>
      <c r="T209" s="3">
        <f>1792.5+(310.7-952.9)+(0+(0-0))+0-0-0</f>
        <v>1150.3</v>
      </c>
      <c r="U209" s="3">
        <f>1783.5+(286-948.4)+(-2.728755+(-0.43758--1.451052))+0-0-0</f>
        <v>1119.3847169999999</v>
      </c>
      <c r="V209" s="3">
        <f>1739.8+(312.2-835.9)+(-2.661894+(-0.477666--1.278927))+0-0-0</f>
        <v>1214.2393669999999</v>
      </c>
      <c r="W209" s="3">
        <f>1732.6+(193.6-593.4)+(0+(0-0))+0-0-0</f>
        <v>1332.8</v>
      </c>
      <c r="X209" s="3">
        <f>1789+(223.9-655)+(-3.64956+(-0.456756--1.3362))+0-0-0</f>
        <v>1355.1298840000002</v>
      </c>
      <c r="Y209" s="3">
        <f>1802.5+(293.4-762)+(0+(0-0))+0-0-0</f>
        <v>1333.9</v>
      </c>
      <c r="Z209" s="3">
        <f>1791.8+(359.2-857.1)+(-3.655272+(-0.732768--1.748484))+0-0-0</f>
        <v>1291.2604439999998</v>
      </c>
      <c r="AA209" s="3">
        <f>1804.1+(340-942.5)+(-0.920091+(-0.1734--0.480675))+0-0-0</f>
        <v>1200.9871839999998</v>
      </c>
      <c r="AB209" s="3">
        <f>1651.3+(349.2-829.8)+(-4.210815+(-0.89046--2.11599))+0-0-0</f>
        <v>1167.7147150000001</v>
      </c>
      <c r="AC209" s="3">
        <f>1368.7+(389.8-693)+(-0.698037+(-0.198798--0.35343))+0-0-0</f>
        <v>1064.9565950000001</v>
      </c>
      <c r="AD209">
        <v>1350.6</v>
      </c>
      <c r="AE209" s="3">
        <f>1808+(252.2-709.6)+(0+(0-0))+0-0-0</f>
        <v>1350.6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1234.7+(363-552.3)+(-3.148485+(-0.92565--1.408365))+0-0-0</f>
        <v>1042.73423</v>
      </c>
      <c r="G210" s="3">
        <f>1193.2+(272-498.9)+(-0.608532+(-0.13872--0.254439))+0-0-0</f>
        <v>965.80718700000011</v>
      </c>
      <c r="H210" s="3">
        <f>1187.2+(236.4-491.9)+(-1.816416+(-0.361692--0.752607))+0-0-0</f>
        <v>930.27449899999999</v>
      </c>
      <c r="I210" s="3">
        <f>1196.2+(211.7-489.2)+(-0.610062+(-0.107967--0.249492))+0-0-0</f>
        <v>918.23146300000008</v>
      </c>
      <c r="J210" s="3">
        <f>1196.1+(216.1-496.1)+(0+(0-0))+0-0-0</f>
        <v>916.09999999999991</v>
      </c>
      <c r="K210" s="3">
        <f>1188.8+(216-499.5)+(-1.818864+(-0.33048--0.764235))+0-0-0</f>
        <v>903.9148909999999</v>
      </c>
      <c r="L210" s="3">
        <f>1193+(215.9-520.2)+(0+(0-0))+0-0-0</f>
        <v>888.69999999999993</v>
      </c>
      <c r="M210" s="3">
        <f>1233.4+(256.7-605.4)+(0.629034+(0.130917-0.308754))+0-0-0</f>
        <v>885.15119700000002</v>
      </c>
      <c r="N210" s="3">
        <f>1635.4+(303.4-923)+(0.834054+(0.154734-0.47073))+0-0-0</f>
        <v>1016.3180580000001</v>
      </c>
      <c r="O210" s="3">
        <f>1815.6+(312.9-1018.4)+(0+(0-0))+0-0-0</f>
        <v>1110.0999999999999</v>
      </c>
      <c r="P210" s="3">
        <f>1806.4+(308.7-980.3)+(-0.921264+(-0.157437--0.499953))+0-0-0</f>
        <v>1134.2212520000003</v>
      </c>
      <c r="Q210" s="3">
        <f>1813.8+(333.3-1028.1)+(1.850076+(0.339966-1.048662))+0-0-0</f>
        <v>1120.14138</v>
      </c>
      <c r="R210" s="3">
        <f>1779.7+(370.7-996.7)+(-4.538235+(-0.945285--2.541585))+0-0-0</f>
        <v>1150.758065</v>
      </c>
      <c r="S210" s="3">
        <f>1801+(394.6-1077.9)+(0+(0-0))+0-0-0</f>
        <v>1117.6999999999998</v>
      </c>
      <c r="T210" s="3">
        <f>1790.5+(402.2-1053.1)+(-1.82631+(-0.410244--1.074162))+0-0-0</f>
        <v>1138.4376080000002</v>
      </c>
      <c r="U210" s="3">
        <f>1782.6+(391.7-1058.3)+(-4.54563+(-0.998835--2.698665))+0-0-0</f>
        <v>1113.1541999999999</v>
      </c>
      <c r="V210" s="3">
        <f>1748.8+(348.2-933.1)+(-4.45944+(-0.88791--2.379405))+0-0-0</f>
        <v>1160.9320549999998</v>
      </c>
      <c r="W210" s="3">
        <f>1729.6+(252.2-741.9)+(1.764192+(0.257244-0.756738))+0-0-0</f>
        <v>1241.1646979999998</v>
      </c>
      <c r="X210" s="3">
        <f>1801.7+(244-714.6)+(-1.837734+(-0.24888--0.728892))+0-0-0</f>
        <v>1329.7422779999999</v>
      </c>
      <c r="Y210" s="3">
        <f>1809.7+(284.3-830.8)+(0+(0-0))+0-0-0</f>
        <v>1263.2</v>
      </c>
      <c r="Z210" s="3">
        <f>1828.3+(331-898.3)+(-0.932433+(-0.16881--0.458133))+0-0-0</f>
        <v>1260.35689</v>
      </c>
      <c r="AA210" s="3">
        <f>1820.1+(381.1-986.3)+(-3.713004+(-0.777444--2.012052))+0-0-0</f>
        <v>1212.4216040000001</v>
      </c>
      <c r="AB210" s="3">
        <f>1821.7+(399.2-1018.8)+(-3.716268+(-0.814368--2.078352))+0-0-0</f>
        <v>1199.6477160000002</v>
      </c>
      <c r="AC210" s="3">
        <f>1813.9+(304.2-1018.9)+(-5.550534+(-0.930852--3.117834))+0-0-0</f>
        <v>1095.836448</v>
      </c>
      <c r="AD210">
        <v>1349.6000000000001</v>
      </c>
      <c r="AE210" s="3">
        <f>1811+(275.4-736.8)+(0+(0-0))+0-0-0</f>
        <v>1349.6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1650.3+(248.9-792.8)+(-4.208265+(-0.634695--2.02164))+0-0-0</f>
        <v>1103.5786800000001</v>
      </c>
      <c r="G211" s="3">
        <f>1217.7+(285-526.8)+(1.863081+(0.43605-0.806004))+0-0-0</f>
        <v>977.39312700000005</v>
      </c>
      <c r="H211" s="3">
        <f>1169.1+(283.7-505.1)+(-2.981205+(-0.723435--1.288005))+0-0-0</f>
        <v>945.28336499999978</v>
      </c>
      <c r="I211" s="3">
        <f>1173.9+(286.2-563.5)+(-1.796067+(-0.437886--0.862155))+0-0-0</f>
        <v>895.22820200000012</v>
      </c>
      <c r="J211" s="3">
        <f>1183.8+(319.7-559.6)+(-0.603738+(-0.163047--0.285396))+0-0-0</f>
        <v>943.41861099999983</v>
      </c>
      <c r="K211" s="3">
        <f>1188.7+(262.3-511.1)+(0.606237+(0.133773-0.260661))+0-0-0</f>
        <v>940.37934900000005</v>
      </c>
      <c r="L211" s="3">
        <f>1186.8+(274.2-538.1)+(0+(0-0))+0-0-0</f>
        <v>922.89999999999986</v>
      </c>
      <c r="M211" s="3">
        <f>1319.9+(295.8-680.7)+(0.673149+(0.150858-0.347157))+0-0-0</f>
        <v>935.47685000000001</v>
      </c>
      <c r="N211" s="3">
        <f>1611.4+(311.4-886.1)+(0.821814+(0.158814-0.451911))+0-0-0</f>
        <v>1037.228717</v>
      </c>
      <c r="O211" s="3">
        <f>1692.1+(391.9-963.4)+(-2.588913+(-0.599607--1.474002))+0-0-0</f>
        <v>1118.8854819999999</v>
      </c>
      <c r="P211" s="3">
        <f>1864.2+(373.6-1097.6)+(1.901484+(0.381072-1.119552))+0-0-0</f>
        <v>1141.3630040000003</v>
      </c>
      <c r="Q211" s="3">
        <f>1933.5+(406.2-1161)+(0+(0-0))+0-0-0</f>
        <v>1178.7</v>
      </c>
      <c r="R211" s="3">
        <f>1922.1+(404.6-1195.3)+(-0.980271+(-0.206346--0.609603))+0-0-0</f>
        <v>1130.8229860000001</v>
      </c>
      <c r="S211" s="3">
        <f>1923.2+(417.8-1214.4)+(-0.980832+(-0.213078--0.619344))+0-0-0</f>
        <v>1126.0254339999999</v>
      </c>
      <c r="T211" s="3">
        <f>1926.9+(410-1222.2)+(0.982719+(0.2091-0.623322))+0-0-0</f>
        <v>1115.268497</v>
      </c>
      <c r="U211" s="3">
        <f>1927.7+(417.2-1232.6)+(0+(0-0))+0-0-0</f>
        <v>1112.3000000000002</v>
      </c>
      <c r="V211" s="3">
        <f>1872.2+(344.4-1135.9)+(-3.819288+(-0.702576--2.317236))+0-0-0</f>
        <v>1078.4953719999999</v>
      </c>
      <c r="W211" s="3">
        <f>1829.7+(226.4-822.7)+(2.799441+(0.346392-1.258731))+0-0-0</f>
        <v>1235.287102</v>
      </c>
      <c r="X211" s="3">
        <f>1930.7+(232-824.7)+(-5.907942+(-0.70992--2.523582))+0-0-0</f>
        <v>1333.90572</v>
      </c>
      <c r="Y211" s="3">
        <f>1965.2+(293.3-935.7)+(1.002252+(0.149583-0.477207))+0-0-0</f>
        <v>1323.4746279999999</v>
      </c>
      <c r="Z211" s="3">
        <f>1960.4+(335.3-1047.2)+(-0.999804+(-0.171003--0.534072))+0-0-0</f>
        <v>1247.863265</v>
      </c>
      <c r="AA211" s="3">
        <f>1852.5+(412.7-1011.3)+(-2.834325+(-0.631431--1.547289))+0-0-0</f>
        <v>1251.9815330000001</v>
      </c>
      <c r="AB211" s="3">
        <f>1644.1+(345.9-823.7)+(-3.353964+(-0.705636--1.680348))+0-0-0</f>
        <v>1163.9207479999998</v>
      </c>
      <c r="AC211" s="3">
        <f>1441.6+(365.4-734)+(-1.470432+(-0.372708--0.74868))+0-0-0</f>
        <v>1071.90554</v>
      </c>
      <c r="AD211">
        <v>1313.7</v>
      </c>
      <c r="AE211" s="3">
        <f>1935+(251.9-873.2)+(0+(0-0))+0-0-0</f>
        <v>1313.6999999999998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1320.4+(347-657.9)+(-3.36702+(-0.88485--1.677645))+0-0-0</f>
        <v>1006.9257750000002</v>
      </c>
      <c r="G212" s="3">
        <f>1235.4+(318.9-592)+(-0.630054+(-0.162639--0.30192))+0-0-0</f>
        <v>961.80922700000008</v>
      </c>
      <c r="H212" s="3">
        <f>1244.9+(322.1-660.1)+(1.269798+(0.328542-0.673302))+0-0-0</f>
        <v>907.82503800000006</v>
      </c>
      <c r="I212" s="3">
        <f>1230.4+(307.8-622.4)+(-2.510016+(-0.627912--1.269696))+0-0-0</f>
        <v>913.93176800000015</v>
      </c>
      <c r="J212" s="3">
        <f>1239.7+(271.8-583.4)+(0.632247+(0.138618-0.297534))+0-0-0</f>
        <v>928.57333100000017</v>
      </c>
      <c r="K212" s="3">
        <f>1235.9+(249.2-548.6)+(-1.260618+(-0.254184--0.559572))+0-0-0</f>
        <v>935.54476999999997</v>
      </c>
      <c r="L212" s="3">
        <f>1232.7+(262.7-550.6)+(-1.886031+(-0.401931--0.842418))+0-0-0</f>
        <v>943.35445599999991</v>
      </c>
      <c r="M212" s="3">
        <f>1418+(268.6-728.1)+(1.44636+(0.273972-0.742662))+0-0-0</f>
        <v>959.47766999999999</v>
      </c>
      <c r="N212" s="3">
        <f>1702.3+(285.8-976.3)+(0+(0-0))+0-0-0</f>
        <v>1011.8</v>
      </c>
      <c r="O212" s="3">
        <f>1906.9+(312.5-1087.4)+(-0.972519+(-0.159375--0.554574))+0-0-0</f>
        <v>1131.4226799999999</v>
      </c>
      <c r="P212" s="3">
        <f>1961.2+(400.9-1190.5)+(1.000212+(0.204459-0.607155))+0-0-0</f>
        <v>1172.197516</v>
      </c>
      <c r="Q212" s="3">
        <f>1996.6+(384.8-1139.9)+(-5.09133+(-0.98124--2.906745))+0-0-0</f>
        <v>1238.3341749999997</v>
      </c>
      <c r="R212" s="3">
        <f>1936.7+(359.8-1192.4)+(-0.987717+(-0.183498--0.608124))+0-0-0</f>
        <v>1103.5369089999999</v>
      </c>
      <c r="S212" s="3">
        <f>1926.7+(383.8-1202.4)+(0+(0-0))+0-0-0</f>
        <v>1108.0999999999999</v>
      </c>
      <c r="T212" s="3">
        <f>1935.7+(402.3-1192.4)+(-2.961621+(-0.615519--1.824372))+0-0-0</f>
        <v>1143.8472319999998</v>
      </c>
      <c r="U212" s="3">
        <f>1936.7+(340.2-1165.8)+(0+(0-0))+0-0-0</f>
        <v>1111.1000000000001</v>
      </c>
      <c r="V212" s="3">
        <f>1920.1+(291.9-1054.3)+(-5.875506+(-0.893214--3.226158))+0-0-0</f>
        <v>1154.1574379999997</v>
      </c>
      <c r="W212" s="3">
        <f>1944.4+(220-849.7)+(1.983288+(0.2244-0.866694))+0-0-0</f>
        <v>1316.040994</v>
      </c>
      <c r="X212" s="3">
        <f>1937.7+(246.9-833.4)+(-5.929362+(-0.755514--2.550204))+0-0-0</f>
        <v>1347.0653280000001</v>
      </c>
      <c r="Y212" s="3">
        <f>1942.7+(302.9-863.7)+(-2.972331+(-0.463437--1.321461))+0-0-0</f>
        <v>1379.785693</v>
      </c>
      <c r="Z212" s="3">
        <f>1938.9+(289.9-922.3)+(-4.944195+(-0.739245--2.351865))+0-0-0</f>
        <v>1303.1684250000001</v>
      </c>
      <c r="AA212" s="3">
        <f>1857.2+(277.5-830.6)+(-3.788688+(-0.5661--1.694424))+0-0-0</f>
        <v>1301.4396359999998</v>
      </c>
      <c r="AB212" s="3">
        <f>1665.8+(259.5-687.6)+(-0.849558+(-0.132345--0.350676))+0-0-0</f>
        <v>1237.0687729999997</v>
      </c>
      <c r="AC212" s="3">
        <f>1531+(264.2-689.9)+(-0.78081+(-0.134742--0.351849))+0-0-0</f>
        <v>1104.7362969999999</v>
      </c>
      <c r="AD212">
        <v>1336.1000000000001</v>
      </c>
      <c r="AE212" s="3">
        <f>1966+(237.3-867.2)+(0+(0-0))+0-0-0</f>
        <v>1336.1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1449.8+(274.5-730.3)+(-2.218194+(-0.419985--1.117359))+0-0-0</f>
        <v>992.47918000000004</v>
      </c>
      <c r="G213" s="3">
        <f>1428.4+(264.6-703.9)+(1.456968+(0.269892-0.717978))+0-0-0</f>
        <v>990.10888200000011</v>
      </c>
      <c r="H213" s="3">
        <f>1247.3+(290.2-596.9)+(-0.636123+(-0.148002--0.304419))+0-0-0</f>
        <v>940.12029399999994</v>
      </c>
      <c r="I213" s="3">
        <f>1248.8+(257.3-589)+(1.910664+(0.393669-0.90117))+0-0-0</f>
        <v>918.50316299999986</v>
      </c>
      <c r="J213" s="3">
        <f>1245.2+(234-543.9)+(0.635052+(0.11934-0.277389))+0-0-0</f>
        <v>935.77700300000004</v>
      </c>
      <c r="K213" s="3">
        <f>1228.8+(198.9-475)+(-2.506752+(-0.405756--0.969))+0-0-0</f>
        <v>950.75649199999998</v>
      </c>
      <c r="L213" s="3">
        <f>1229.6+(217.3-498.8)+(-2.508384+(-0.443292--1.017552))+0-0-0</f>
        <v>946.16587599999991</v>
      </c>
      <c r="M213" s="3">
        <f>1340.1+(257.3-632.8)+(0.683451+(0.131223-0.322728))+0-0-0</f>
        <v>965.09194599999989</v>
      </c>
      <c r="N213" s="3">
        <f>1660.9+(331-936.7)+(0+(0-0))+0-0-0</f>
        <v>1055.2</v>
      </c>
      <c r="O213" s="3">
        <f>1741.1+(354-976.9)+(-1.775922+(-0.36108--0.996438))+0-0-0</f>
        <v>1117.0594359999998</v>
      </c>
      <c r="P213" s="3">
        <f>1855.2+(353-1063.1)+(-1.892304+(-0.36006--1.084362))+0-0-0</f>
        <v>1143.9319980000002</v>
      </c>
      <c r="Q213" s="3">
        <f>1898.3+(355.5-1049)+(-3.872532+(-0.72522--2.13996))+0-0-0</f>
        <v>1202.342208</v>
      </c>
      <c r="R213" s="3">
        <f>1896.6+(348.7-1070.6)+(-2.901798+(-0.533511--1.638018))+0-0-0</f>
        <v>1172.902709</v>
      </c>
      <c r="S213" s="3">
        <f>1904.3+(355-1104.5)+(-1.942386+(-0.3621--1.12659))+0-0-0</f>
        <v>1153.622104</v>
      </c>
      <c r="T213" s="3">
        <f>1913+(368.2-1088.8)+(0+(0-0))+0-0-0</f>
        <v>1192.4000000000001</v>
      </c>
      <c r="U213" s="3">
        <f>1901.6+(368.4-1114.1)+(-1.939632+(-0.375768--1.136382))+0-0-0</f>
        <v>1154.720982</v>
      </c>
      <c r="V213" s="3">
        <f>1848.1+(316-873.4)+(0+(0-0))+0-0-0</f>
        <v>1290.6999999999998</v>
      </c>
      <c r="W213" s="3">
        <f>1874.8+(205.5-752.3)+(-0.956148+(-0.104805--0.383673))+0-0-0</f>
        <v>1327.3227199999999</v>
      </c>
      <c r="X213" s="3">
        <f>1903.5+(222.3-734.4)+(-4.853925+(-0.566865--1.87272))+0-0-0</f>
        <v>1387.85193</v>
      </c>
      <c r="Y213" s="3">
        <f>1800.8+(220.2-598)+(-2.755224+(-0.336906--0.91494))+0-0-0</f>
        <v>1420.8228099999999</v>
      </c>
      <c r="Z213" s="3">
        <f>1736.5+(246.8-682.4)+(-2.656845+(-0.377604--1.044072))+0-0-0</f>
        <v>1298.909623</v>
      </c>
      <c r="AA213" s="3">
        <f>1736.4+(287.8-809.8)+(-2.656692+(-0.440334--1.238994))+0-0-0</f>
        <v>1212.541968</v>
      </c>
      <c r="AB213" s="3">
        <f>1610.1+(236.6-702.6)+(0+(0-0))+0-0-0</f>
        <v>1144.0999999999999</v>
      </c>
      <c r="AC213" s="3">
        <f>1454.3+(238.9-681.6)+(-2.966772+(-0.487356--1.390464))+0-0-0</f>
        <v>1009.5363359999999</v>
      </c>
      <c r="AD213">
        <v>1352.1999999999998</v>
      </c>
      <c r="AE213" s="3">
        <f>1912+(248.6-808.4)+(0+(0-0))+0-0-0</f>
        <v>1352.2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1419.9+(258.6-616)+(-2.172447+(-0.395658--0.94248))+0-0-0</f>
        <v>1060.8743750000001</v>
      </c>
      <c r="G214" s="3">
        <f>1255.1+(270.8-532.5)+(-0.640101+(-0.138108--0.271575))+0-0-0</f>
        <v>992.8933659999999</v>
      </c>
      <c r="H214" s="3">
        <f>1306.7+(233.7-581.4)+(-3.998502+(-0.715122--1.779084))+0-0-0</f>
        <v>956.06546000000003</v>
      </c>
      <c r="I214" s="3">
        <f>1342.2+(230.4-631.8)+(-2.053566+(-0.352512--0.966654))+0-0-0</f>
        <v>939.36057600000004</v>
      </c>
      <c r="J214" s="3">
        <f>1352.5+(217.8-626.7)+(0+(0-0))+0-0-0</f>
        <v>943.59999999999991</v>
      </c>
      <c r="K214" s="3">
        <f>1352.7+(222.7-613.3)+(-0.689877+(-0.113577--0.312783))+0-0-0</f>
        <v>961.60932900000012</v>
      </c>
      <c r="L214" s="3">
        <f>1345.2+(243.2-674.8)+(-2.058156+(-0.372096--1.032444))+0-0-0</f>
        <v>912.20219200000008</v>
      </c>
      <c r="M214" s="3">
        <f>1505.8+(220.2-799.9)+(0.767958+(0.112302-0.407949))+0-0-0</f>
        <v>926.5723109999999</v>
      </c>
      <c r="N214" s="3">
        <f>1873.3+(220.9-998)+(2.866149+(0.337977-1.52694))+0-0-0</f>
        <v>1097.8771859999997</v>
      </c>
      <c r="O214" s="3">
        <f>1965.2+(206.5-1101.5)+(0+(0-0))+0-0-0</f>
        <v>1070.2</v>
      </c>
      <c r="P214" s="3">
        <f>1999.1+(229.7-1017.3)+(2.039082+(0.234294-1.037646))+0-0-0</f>
        <v>1212.7357300000001</v>
      </c>
      <c r="Q214" s="3">
        <f>1981.9+(228.8-1010.2)+(-1.010769+(-0.116688--0.515202))+0-0-0</f>
        <v>1199.887745</v>
      </c>
      <c r="R214" s="3">
        <f>1969.2+(228.6-1015.3)+(-3.012876+(-0.349758--1.553409))+0-0-0</f>
        <v>1180.690775</v>
      </c>
      <c r="S214" s="3">
        <f>1947.6+(222.2-1082.4)+(-5.959656+(-0.679932--3.312144))+0-0-0</f>
        <v>1084.0725559999998</v>
      </c>
      <c r="T214" s="3">
        <f>1977+(211.4-1119.2)+(-2.01654+(-0.215628--1.141584))+0-0-0</f>
        <v>1068.1094159999998</v>
      </c>
      <c r="U214" s="3">
        <f>1965.4+(199.9-1068.6)+(-3.007062+(-0.305847--1.634958))+0-0-0</f>
        <v>1095.0220490000004</v>
      </c>
      <c r="V214" s="3">
        <f>1968.1+(194.2-1048.2)+(-3.011193+(-0.297126--1.603746))+0-0-0</f>
        <v>1112.3954269999999</v>
      </c>
      <c r="W214" s="3">
        <f>2043.5+(172.9-991.2)+(-3.126555+(-0.264537--1.516536))+0-0-0</f>
        <v>1223.3254439999998</v>
      </c>
      <c r="X214" s="3">
        <f>2047.6+(157.2-901.7)+(-6.265656+(-0.481032--2.759202))+0-0-0</f>
        <v>1299.1125139999999</v>
      </c>
      <c r="Y214" s="3">
        <f>1978.4+(185.1-861.3)+(-3.026952+(-0.283203--1.317789))+0-0-0</f>
        <v>1300.2076340000003</v>
      </c>
      <c r="Z214" s="3">
        <f>1815.3+(212.9-716.1)+(-0.925803+(-0.108579--0.365211))+0-0-0</f>
        <v>1311.4308289999999</v>
      </c>
      <c r="AA214" s="3">
        <f>1372.4+(242.1-421.7)+(-1.399848+(-0.246942--0.430134))+0-0-0</f>
        <v>1191.5833440000001</v>
      </c>
      <c r="AB214" s="3">
        <f>1304+(225.4-449.5)+(-1.99512+(-0.344862--0.687735))+0-0-0</f>
        <v>1078.2477530000001</v>
      </c>
      <c r="AC214" s="3">
        <f>1302.2+(225.7-521.4)+(-3.32061+(-0.575535--1.32957))+0-0-0</f>
        <v>1003.9334250000001</v>
      </c>
      <c r="AD214">
        <v>1311.7999999999997</v>
      </c>
      <c r="AE214" s="3">
        <f>2020+(178.7-886.9)+(0+(0-0))+0-0-0</f>
        <v>1311.8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1301.2+(303.4-680.1)+(-1.990836+(-0.464202--1.040553))+0-0-0</f>
        <v>923.08551499999999</v>
      </c>
      <c r="G215" s="3">
        <f>1295.9+(299.7-847.9)+(-2.643636+(-0.611388--1.729716))+0-0-0</f>
        <v>746.17469200000005</v>
      </c>
      <c r="H215" s="3">
        <f>1286.4+(241.1-822.2)+(-3.28032+(-0.614805--2.09661))+0-0-0</f>
        <v>703.50148500000012</v>
      </c>
      <c r="I215" s="3">
        <f>1300.3+(199.4-781.9)+(-2.652612+(-0.406776--1.595076))+0-0-0</f>
        <v>716.335688</v>
      </c>
      <c r="J215" s="3">
        <f>1313.8+(201.4-769)+(-0.670038+(-0.102714--0.39219))+0-0-0</f>
        <v>745.81943799999988</v>
      </c>
      <c r="K215" s="3">
        <f>1316.8+(204.9-797)+(-0.671568+(-0.104499--0.40647))+0-0-0</f>
        <v>724.33040299999993</v>
      </c>
      <c r="L215" s="3">
        <f>1316.3+(226.7-817.5)+(0+(0-0))+0-0-0</f>
        <v>725.5</v>
      </c>
      <c r="M215" s="3">
        <f>1317+(212.9-770.4)+(-0.67167+(-0.108579--0.392904))+0-0-0</f>
        <v>759.11265500000002</v>
      </c>
      <c r="N215" s="3">
        <f>1435.8+(213.6-869.7)+(-1.464516+(-0.217872--0.887094))+0-0-0</f>
        <v>778.90470599999992</v>
      </c>
      <c r="O215" s="3">
        <f>1653.1+(204-955.1)+(-1.686162+(-0.20808--0.974202))+0-0-0</f>
        <v>901.07995999999991</v>
      </c>
      <c r="P215" s="3">
        <f>1657.4+(214.8-922)+(-2.535822+(-0.328644--1.41066))+0-0-0</f>
        <v>948.74619400000006</v>
      </c>
      <c r="Q215" s="3">
        <f>1675.6+(214-915.5)+(0+(0-0))+0-0-0</f>
        <v>974.09999999999991</v>
      </c>
      <c r="R215" s="3">
        <f>1665.2+(204.2-897.3)+(-3.397008+(-0.416568--1.830492))+0-0-0</f>
        <v>970.11691600000017</v>
      </c>
      <c r="S215" s="3">
        <f>1662.7+(195.7-895.6)+(-3.391908+(-0.399228--1.827024))+0-0-0</f>
        <v>960.83588799999995</v>
      </c>
      <c r="T215" s="3">
        <f>1672.8+(197-910.1)+(-1.706256+(-0.20094--0.928302))+0-0-0</f>
        <v>958.72110599999996</v>
      </c>
      <c r="U215" s="3">
        <f>1679.8+(185.6-891.1)+(-0.856698+(-0.094656--0.454461))+0-0-0</f>
        <v>973.80310699999995</v>
      </c>
      <c r="V215" s="3">
        <f>1697.4+(172.3-944)+(0+(0-0))+0-0-0</f>
        <v>925.7</v>
      </c>
      <c r="W215" s="3">
        <f>2026.8+(169.6-1050.4)+(-3.101004+(-0.259488--1.607112))+0-0-0</f>
        <v>1144.2466199999999</v>
      </c>
      <c r="X215" s="3">
        <f>2024.4+(180-969.2)+(-4.129776+(-0.3672--1.977168))+0-0-0</f>
        <v>1232.680192</v>
      </c>
      <c r="Y215" s="3">
        <f>2006.2+(177.6-970.9)+(-3.069486+(-0.271728--1.485477))+0-0-0</f>
        <v>1211.044263</v>
      </c>
      <c r="Z215" s="3">
        <f>1983.9+(209.7-992.5)+(-5.058945+(-0.534735--2.530875))+0-0-0</f>
        <v>1198.0371950000001</v>
      </c>
      <c r="AA215" s="3">
        <f>1667.6+(199.4-645.2)+(-3.401904+(-0.406776--1.316208))+0-0-0</f>
        <v>1219.3075279999998</v>
      </c>
      <c r="AB215" s="3">
        <f>1376+(242.1-517.5)+(-3.5088+(-0.617355--1.319625))+0-0-0</f>
        <v>1097.7934699999998</v>
      </c>
      <c r="AC215" s="3">
        <f>1372.7+(217.2-566.3)+(-3.500385+(-0.55386--1.444065))+0-0-0</f>
        <v>1020.9898200000001</v>
      </c>
      <c r="AD215">
        <v>1266</v>
      </c>
      <c r="AE215" s="3">
        <f>2045+(180-959)+(0+(0-0))+0-0-0</f>
        <v>1266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1362.7+(216-666.2)+(-1.389954+(-0.22032--0.679524))+0-0-0</f>
        <v>911.56925000000001</v>
      </c>
      <c r="G216" s="3">
        <f>1331.3+(187.2-639.7)+(-1.357926+(-0.190944--0.652494))+0-0-0</f>
        <v>877.90362399999992</v>
      </c>
      <c r="H216" s="3">
        <f>1321+(208-619.1)+(-2.69484+(-0.42432--1.262964))+0-0-0</f>
        <v>908.04380400000002</v>
      </c>
      <c r="I216" s="3">
        <f>1319.2+(200.7-660.3)+(-1.345584+(-0.204714--0.673506))+0-0-0</f>
        <v>858.72320800000011</v>
      </c>
      <c r="J216" s="3">
        <f>1329.2+(194.6-627.3)+(1.355784+(0.198492-0.639846))+0-0-0</f>
        <v>897.41443000000015</v>
      </c>
      <c r="K216" s="3">
        <f>1346.5+(184.1-648.6)+(3.433575+(0.469455-1.65393))+0-0-0</f>
        <v>884.2491</v>
      </c>
      <c r="L216" s="3">
        <f>1319.2+(204.5-658.6)+(-0.672792+(-0.104295--0.335886))+0-0-0</f>
        <v>864.65879900000004</v>
      </c>
      <c r="M216" s="3">
        <f>1459.9+(264-766.2)+(0+(0-0))+0-0-0</f>
        <v>957.7</v>
      </c>
      <c r="N216" s="3">
        <f>1910.4+(202.9-1066.2)+(-0.974304+(-0.103479--0.543762))+0-0-0</f>
        <v>1046.565979</v>
      </c>
      <c r="O216" s="3">
        <f>2077.1+(206.1-1113.1)+(-4.237284+(-0.420444--2.270724))+0-0-0</f>
        <v>1167.712996</v>
      </c>
      <c r="P216" s="3">
        <f>2060.4+(200.5-1109.9)+(-1.050804+(-0.102255--0.566049))+0-0-0</f>
        <v>1150.41299</v>
      </c>
      <c r="Q216" s="3">
        <f>2075.2+(193.6-1102.5)+(-3.175056+(-0.296208--1.686825))+0-0-0</f>
        <v>1164.5155609999997</v>
      </c>
      <c r="R216" s="3">
        <f>2053.6+(193.2-1110.1)+(-5.23668+(-0.49266--2.830755))+0-0-0</f>
        <v>1133.8014150000001</v>
      </c>
      <c r="S216" s="3">
        <f>2079.2+(191.9-1166.4)+(-1.060392+(-0.097869--0.594864))+0-0-0</f>
        <v>1104.1366029999999</v>
      </c>
      <c r="T216" s="3">
        <f>2033.8+(204.8-1147.8)+(0+(0-0))+0-0-0</f>
        <v>1090.8</v>
      </c>
      <c r="U216" s="3">
        <f>1987.5+(209.4-1106.7)+(-1.013625+(-0.106794--0.564417))+0-0-0</f>
        <v>1089.6439979999998</v>
      </c>
      <c r="V216" s="3">
        <f>2022.7+(182.3-1091.7)+(2.063154+(0.185946-1.113534))+0-0-0</f>
        <v>1114.4355659999999</v>
      </c>
      <c r="W216" s="3">
        <f>2051.4+(183.6-973.5)+(2.092428+(0.187272-0.99297))+0-0-0</f>
        <v>1262.78673</v>
      </c>
      <c r="X216" s="3">
        <f>2042+(176.4-879.4)+(-4.16568+(-0.359856--1.793976))+0-0-0</f>
        <v>1336.2684400000001</v>
      </c>
      <c r="Y216" s="3">
        <f>2017.9+(200.5-894.2)+(-4.116516+(-0.40902--1.824168))+0-0-0</f>
        <v>1321.498632</v>
      </c>
      <c r="Z216" s="3">
        <f>1988.1+(195.2-902.1)+(-4.055724+(-0.398208--1.840284))+0-0-0</f>
        <v>1278.5863519999998</v>
      </c>
      <c r="AA216" s="3">
        <f>1924+(213.5-913.9)+(-1.96248+(-0.21777--0.932178))+0-0-0</f>
        <v>1222.3519279999998</v>
      </c>
      <c r="AB216" s="3">
        <f>1752.8+(205.6-816.5)+(-4.46964+(-0.52428--2.082075))+0-0-0</f>
        <v>1138.988155</v>
      </c>
      <c r="AC216" s="3">
        <f>1427.6+(221.4-607.9)+(-0.728076+(-0.112914--0.310029))+0-0-0</f>
        <v>1040.569039</v>
      </c>
      <c r="AD216">
        <v>1355.1</v>
      </c>
      <c r="AE216" s="3">
        <f>2057+(184.2-886.1)+(0+(0-0))+0-0-0</f>
        <v>1355.1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1327.1+(268.1-634)+(-1.353642+(-0.273462--0.64668))+0-0-0</f>
        <v>960.21957599999996</v>
      </c>
      <c r="G217" s="3">
        <f>1320.2+(213.1-612.4)+(-1.346604+(-0.217362--0.624648))+0-0-0</f>
        <v>919.96068200000013</v>
      </c>
      <c r="H217" s="3">
        <f>1328.5+(204.7-633.9)+(0+(0-0))+0-0-0</f>
        <v>899.3</v>
      </c>
      <c r="I217" s="3">
        <f>1343.5+(197.5-649.3)+(1.37037+(0.20145-0.662286))+0-0-0</f>
        <v>892.60953400000005</v>
      </c>
      <c r="J217" s="3">
        <f>1338.5+(201.5-643.8)+(0.682635+(0.102765-0.328338))+0-0-0</f>
        <v>896.657062</v>
      </c>
      <c r="K217" s="3">
        <f>1339.5+(197-629.5)+(0+(0-0))+0-0-0</f>
        <v>907</v>
      </c>
      <c r="L217" s="3">
        <f>1352.5+(213.7-683.4)+(2.7591+(0.435948-1.394136))+0-0-0</f>
        <v>884.60091199999999</v>
      </c>
      <c r="M217" s="3">
        <f>1479+(194.4-741.5)+(1.50858+(0.198288-0.75633))+0-0-0</f>
        <v>932.85053800000003</v>
      </c>
      <c r="N217" s="3">
        <f>1866.9+(211.8-1062.2)+(-0.952119+(-0.108018--0.541722))+0-0-0</f>
        <v>1015.981585</v>
      </c>
      <c r="O217" s="3">
        <f>2089.6+(189.2-1231.2)+(1.065696+(0.096492-0.627912))+0-0-0</f>
        <v>1048.134276</v>
      </c>
      <c r="P217" s="3">
        <f>2075.6+(204.7-1215.4)+(-3.175668+(-0.313191--1.859562))+0-0-0</f>
        <v>1063.2707029999999</v>
      </c>
      <c r="Q217" s="3">
        <f>2088.4+(203.5-1210.8)+(-1.065084+(-0.103785--0.617508))+0-0-0</f>
        <v>1080.5486390000001</v>
      </c>
      <c r="R217" s="3">
        <f>2064.2+(195-1202.6)+(-5.26371+(-0.49725--3.06663))+0-0-0</f>
        <v>1053.9056699999999</v>
      </c>
      <c r="S217" s="3">
        <f>2084.2+(184.6-1218.4)+(-1.062942+(-0.094146--0.621384))+0-0-0</f>
        <v>1049.8642959999997</v>
      </c>
      <c r="T217" s="3">
        <f>2088.4+(190.3-1220.2)+(0+(0-0))+0-0-0</f>
        <v>1058.5</v>
      </c>
      <c r="U217" s="3">
        <f>2060.4+(173.3-1181.3)+(-6.304824+(-0.530298--3.614778))+0-0-0</f>
        <v>1049.179656</v>
      </c>
      <c r="V217" s="3">
        <f>2085.8+(150.1-1159.9)+(-1.063758+(-0.076551--0.591549))+0-0-0</f>
        <v>1075.4512400000001</v>
      </c>
      <c r="W217" s="3">
        <f>2099.2+(126.5-991.7)+(0+(0-0))+0-0-0</f>
        <v>1233.9999999999998</v>
      </c>
      <c r="X217" s="3">
        <f>2091.2+(139.7-913.4)+(-6.399072+(-0.427482--2.795004))+0-0-0</f>
        <v>1313.4684499999998</v>
      </c>
      <c r="Y217" s="3">
        <f>2082.4+(157.5-945.2)+(-2.124048+(-0.16065--0.964104))+0-0-0</f>
        <v>1293.379406</v>
      </c>
      <c r="Z217" s="3">
        <f>2036.4+(201.4-965.9)+(-4.154256+(-0.410856--1.970436))+0-0-0</f>
        <v>1269.3053240000002</v>
      </c>
      <c r="AA217" s="3">
        <f>1425+(210-445.9)+(-2.18025+(-0.3213--0.682227))+0-0-0</f>
        <v>1187.280677</v>
      </c>
      <c r="AB217" s="3">
        <f>1370.2+(198.2-444.7)+(-2.795208+(-0.404328--0.907188))+0-0-0</f>
        <v>1121.4076520000001</v>
      </c>
      <c r="AC217" s="3">
        <f>1359.2+(198.1-511.8)+(-2.772768+(-0.404124--1.044072))+0-0-0</f>
        <v>1043.36718</v>
      </c>
      <c r="AD217">
        <v>1337.7000000000003</v>
      </c>
      <c r="AE217" s="3">
        <f>2109+(160.3-931.6)+(0+(0-0))+0-0-0</f>
        <v>1337.7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1370.5+(195.8-595)+(-1.39791+(-0.199716--0.6069))+0-0-0</f>
        <v>970.30927399999996</v>
      </c>
      <c r="G218" s="3">
        <f>1379.3+(215.4-673.9)+(0+(0-0))+0-0-0</f>
        <v>920.8</v>
      </c>
      <c r="H218" s="3">
        <f>1380.3+(215.4-699.8)+(0+(0-0))+0-0-0</f>
        <v>895.9</v>
      </c>
      <c r="I218" s="3">
        <f>1377.3+(193.9-690.3)+(0+(0-0))+0-0-0</f>
        <v>880.9</v>
      </c>
      <c r="J218" s="3">
        <f>1380.9+(217.7-728.1)+(0.704259+(0.111027-0.371331))+0-0-0</f>
        <v>870.94395499999996</v>
      </c>
      <c r="K218" s="3">
        <f>1351.9+(211.5-678.9)+(-2.068407+(-0.323595--1.038717))+0-0-0</f>
        <v>883.14671500000009</v>
      </c>
      <c r="L218" s="3">
        <f>1218.2+(218.1-557.3)+(0.621282+(0.111231-0.284223))+0-0-0</f>
        <v>879.44829000000016</v>
      </c>
      <c r="M218" s="3">
        <f>1360.3+(239.7-664)+(0.693753+(0.122247-0.33864))+0-0-0</f>
        <v>936.47735999999998</v>
      </c>
      <c r="N218" s="3">
        <f>1800.6+(236.8-1004.5)+(-0.918306+(-0.120768--0.512295))+0-0-0</f>
        <v>1032.3732209999998</v>
      </c>
      <c r="O218" s="3">
        <f>1866.4+(213.2-1026.9)+(0.951864+(0.108732-0.523719))+0-0-0</f>
        <v>1053.236877</v>
      </c>
      <c r="P218" s="3">
        <f>1871.2+(190-1013.3)+(0+(0-0))+0-0-0</f>
        <v>1047.9000000000001</v>
      </c>
      <c r="Q218" s="3">
        <f>1911.7+(191.2-1028.5)+(-0.974967+(-0.097512--0.524535))+0-0-0</f>
        <v>1073.8520560000002</v>
      </c>
      <c r="R218" s="3">
        <f>1993.4+(202.2-1141.4)+(-5.08317+(-0.51561--2.91057))+0-0-0</f>
        <v>1051.51179</v>
      </c>
      <c r="S218" s="3">
        <f>1992+(212.7-1164.8)+(-6.09552+(-0.650862--3.564288))+0-0-0</f>
        <v>1036.7179060000001</v>
      </c>
      <c r="T218" s="3">
        <f>1992.4+(248.5-1208.2)+(0+(0-0))+0-0-0</f>
        <v>1032.7</v>
      </c>
      <c r="U218" s="3">
        <f>1967.1+(216.7-1159.1)+(-3.009663+(-0.331551--1.773423))+0-0-0</f>
        <v>1023.132209</v>
      </c>
      <c r="V218" s="3">
        <f>1984+(153.4-1086.1)+(-1.01184+(-0.078234--0.553911))+0-0-0</f>
        <v>1050.7638370000002</v>
      </c>
      <c r="W218" s="3">
        <f>2042.4+(143.2-955.8)+(0+(0-0))+0-0-0</f>
        <v>1229.8000000000002</v>
      </c>
      <c r="X218" s="3">
        <f>2114.7+(128.3-933.5)+(-3.235491+(-0.196299--1.428255))+0-0-0</f>
        <v>1307.4964649999997</v>
      </c>
      <c r="Y218" s="3">
        <f>2117.2+(138.1-948.3)+(-3.239316+(-0.211293--1.450899))+0-0-0</f>
        <v>1305.0002899999999</v>
      </c>
      <c r="Z218" s="3">
        <f>2060.8+(186.1-976)+(-3.153024+(-0.284733--1.49328))+0-0-0</f>
        <v>1268.9555230000001</v>
      </c>
      <c r="AA218" s="3">
        <f>2073.8+(210.1-1064.2)+(-2.115276+(-0.214302--1.085484))+0-0-0</f>
        <v>1218.4559060000004</v>
      </c>
      <c r="AB218" s="3">
        <f>2051.1+(211.2-1112.1)+(-5.230305+(-0.53856--2.835855))+0-0-0</f>
        <v>1147.2669900000001</v>
      </c>
      <c r="AC218" s="3">
        <f>1878.6+(195-1001.1)+(-1.916172+(-0.1989--1.021122))+0-0-0</f>
        <v>1071.4060500000001</v>
      </c>
      <c r="AD218">
        <v>1329.6</v>
      </c>
      <c r="AE218" s="3">
        <f>2126+(144.1-940.5)+(0+(0-0))+0-0-0</f>
        <v>1329.6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1553.8+(214.5-768.6)+(-0.792438+(-0.109395--0.391986))+0-0-0</f>
        <v>999.1901529999999</v>
      </c>
      <c r="G219" s="3">
        <f>1345+(245.4-644.6)+(-2.7438+(-0.500616--1.314984))+0-0-0</f>
        <v>943.87056799999993</v>
      </c>
      <c r="H219" s="3">
        <f>1352.5+(233-658.2)+(-3.448875+(-0.59415--1.67841))+0-0-0</f>
        <v>924.935385</v>
      </c>
      <c r="I219" s="3">
        <f>1357.7+(208.4-652.6)+(-1.384854+(-0.212568--0.665652))+0-0-0</f>
        <v>912.56822999999997</v>
      </c>
      <c r="J219" s="3">
        <f>1363.3+(203.1-648.9)+(0.695283+(0.103581-0.330939))+0-0-0</f>
        <v>917.96792500000004</v>
      </c>
      <c r="K219" s="3">
        <f>1366.6+(205-643.2)+(0.696966+(0.10455-0.328032))+0-0-0</f>
        <v>928.87348399999985</v>
      </c>
      <c r="L219" s="3">
        <f>1370.7+(216.8-671.1)+(2.097171+(0.331704-1.026783))+0-0-0</f>
        <v>917.80209200000013</v>
      </c>
      <c r="M219" s="3">
        <f>1576.4+(290.2-916.3)+(-0.803964+(-0.148002--0.467313))+0-0-0</f>
        <v>949.8153470000002</v>
      </c>
      <c r="N219" s="3">
        <f>1871.1+(237.7-1061.6)+(1.908522+(0.242454-1.082832))+0-0-0</f>
        <v>1048.2681440000001</v>
      </c>
      <c r="O219" s="3">
        <f>1917.4+(226-1029.8)+(-1.955748+(-0.23052--1.050396))+0-0-0</f>
        <v>1112.4641280000001</v>
      </c>
      <c r="P219" s="3">
        <f>2063.2+(208.7-1068.5)+(-4.208928+(-0.425748--2.17974))+0-0-0</f>
        <v>1200.9450639999998</v>
      </c>
      <c r="Q219" s="3">
        <f>2086.9+(206.5-1070.7)+(-2.128638+(-0.21063--1.092114))+0-0-0</f>
        <v>1221.4528460000001</v>
      </c>
      <c r="R219" s="3">
        <f>2076.5+(212.9-1139.7)+(-4.23606+(-0.434316--2.324988))+0-0-0</f>
        <v>1147.3546119999999</v>
      </c>
      <c r="S219" s="3">
        <f>2083.2+(216.8-1219.3)+(-1.062432+(-0.110568--0.621843))+0-0-0</f>
        <v>1080.1488429999997</v>
      </c>
      <c r="T219" s="3">
        <f>2103.7+(202.1-1228.6)+(3.218661+(0.309213-1.879758))+0-0-0</f>
        <v>1078.8481159999999</v>
      </c>
      <c r="U219" s="3">
        <f>2070.8+(180.5-1169.4)+(-5.28054+(-0.460275--2.98197))+0-0-0</f>
        <v>1079.141155</v>
      </c>
      <c r="V219" s="3">
        <f>2083.7+(180.1-1155.9)+(-1.062687+(-0.091851--0.589509))+0-0-0</f>
        <v>1107.3349709999995</v>
      </c>
      <c r="W219" s="3">
        <f>2091.4+(126.9-939.1)+(-1.066614+(-0.064719--0.478941))+0-0-0</f>
        <v>1278.5476080000001</v>
      </c>
      <c r="X219" s="3">
        <f>2072.5+(152.3-883.1)+(-5.284875+(-0.388365--2.251905))+0-0-0</f>
        <v>1338.278665</v>
      </c>
      <c r="Y219" s="3">
        <f>2092.1+(228.2-989.4)+(-1.066971+(-0.116382--0.504594))+0-0-0</f>
        <v>1330.221241</v>
      </c>
      <c r="Z219" s="3">
        <f>2086.8+(296.2-1089.1)+(-2.128536+(-0.302124--1.110882))+0-0-0</f>
        <v>1292.5802220000003</v>
      </c>
      <c r="AA219" s="3">
        <f>2077.8+(364-1207.4)+(-4.238712+(-0.74256--2.463096))+0-0-0</f>
        <v>1231.8818240000001</v>
      </c>
      <c r="AB219" s="3">
        <f>2069.8+(327.6-1225.9)+(-3.166794+(-0.501228--1.875627))+0-0-0</f>
        <v>1169.7076050000001</v>
      </c>
      <c r="AC219" s="3">
        <f>1830.5+(373.9-1133.4)+(-3.73422+(-0.762756--2.312136))+0-0-0</f>
        <v>1068.8151600000001</v>
      </c>
      <c r="AD219">
        <v>1339.4</v>
      </c>
      <c r="AE219" s="3">
        <f>2107+(136-903.6)+(0+(0-0))+0-0-0</f>
        <v>1339.4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1389.5+(343.8-780.4)+(-3.543225+(-0.87669--1.99002))+0-0-0</f>
        <v>950.4701050000001</v>
      </c>
      <c r="G220" s="3">
        <f>1365.4+(264-717)+(-0.696354+(-0.13464--0.36567))+0-0-0</f>
        <v>911.93467600000008</v>
      </c>
      <c r="H220" s="3">
        <f>1367.7+(275.3-754.6)+(-0.697527+(-0.140403--0.384846))+0-0-0</f>
        <v>887.9469160000001</v>
      </c>
      <c r="I220" s="3">
        <f>1361.5+(260.3-741.5)+(-1.38873+(-0.265506--0.75633))+0-0-0</f>
        <v>879.40209399999992</v>
      </c>
      <c r="J220" s="3">
        <f>1367.1+(227.7-707.2)+(-0.697221+(-0.116127--0.360672))+0-0-0</f>
        <v>887.14732399999991</v>
      </c>
      <c r="K220" s="3">
        <f>1431+(276.4-806.6)+(-0.72981+(-0.140964--0.411366))+0-0-0</f>
        <v>900.3405919999999</v>
      </c>
      <c r="L220" s="3">
        <f>1453.4+(307.6-859.4)+(-1.482468+(-0.313752--0.876588))+0-0-0</f>
        <v>900.68036800000016</v>
      </c>
      <c r="M220" s="3">
        <f>1649.1+(334.7-1034.9)+(0+(0-0))+0-0-0</f>
        <v>948.89999999999986</v>
      </c>
      <c r="N220" s="3">
        <f>1857.8+(383.7-1197.4)+(-1.894956+(-0.391374--1.221348))+0-0-0</f>
        <v>1043.0350179999998</v>
      </c>
      <c r="O220" s="3">
        <f>1899.2+(357.8-1189.5)+(1.937184+(0.364956-1.21329))+0-0-0</f>
        <v>1068.5888500000001</v>
      </c>
      <c r="P220" s="3">
        <f>2014.7+(343.6-1274.9)+(-4.109988+(-0.700944--2.600796))+0-0-0</f>
        <v>1081.1898640000002</v>
      </c>
      <c r="Q220" s="3">
        <f>2036.3+(348.1-1296)+(-1.038513+(-0.177531--0.66096))+0-0-0</f>
        <v>1087.844916</v>
      </c>
      <c r="R220" s="3">
        <f>2025.4+(355.5-1313.1)+(-2.065908+(-0.36261--1.339362))+0-0-0</f>
        <v>1066.7108440000002</v>
      </c>
      <c r="S220" s="3">
        <f>2016+(353.4-1317.2)+(-3.08448+(-0.540702--2.015316))+0-0-0</f>
        <v>1050.5901339999998</v>
      </c>
      <c r="T220" s="3">
        <f>2036.1+(365.8-1356.9)+(0+(0-0))+0-0-0</f>
        <v>1044.9999999999998</v>
      </c>
      <c r="U220" s="3">
        <f>2047.3+(363.9-1365.4)+(1.044123+(0.185589-0.696354))+0-0-0</f>
        <v>1046.3333579999996</v>
      </c>
      <c r="V220" s="3">
        <f>2045+(288.2-1227.9)+(-2.0859+(-0.293964--1.252458))+0-0-0</f>
        <v>1104.1725939999999</v>
      </c>
      <c r="W220" s="3">
        <f>2095.8+(191.7-1017.6)+(0+(0-0))+0-0-0</f>
        <v>1269.9000000000001</v>
      </c>
      <c r="X220" s="3">
        <f>2084.9+(270-1043)+(-3.189897+(-0.4131--1.59579))+0-0-0</f>
        <v>1309.892793</v>
      </c>
      <c r="Y220" s="3">
        <f>2093.6+(311.1-1102.9)+(-2.135472+(-0.317322--1.124958))+0-0-0</f>
        <v>1300.4721639999998</v>
      </c>
      <c r="Z220" s="3">
        <f>2088.4+(381.8-1200.5)+(-2.130168+(-0.389436--1.22451))+0-0-0</f>
        <v>1268.404906</v>
      </c>
      <c r="AA220" s="3">
        <f>2091.2+(418.4-1284.3)+(-2.133024+(-0.426768--1.309986))+0-0-0</f>
        <v>1224.0501939999997</v>
      </c>
      <c r="AB220" s="3">
        <f>2025.1+(402.9-1271.8)+(0+(0-0))+0-0-0</f>
        <v>1156.1999999999998</v>
      </c>
      <c r="AC220" s="3">
        <f>1979.4+(378.2-1282.1)+(-3.028482+(-0.578646--1.961613))+0-0-0</f>
        <v>1073.8544850000003</v>
      </c>
      <c r="AD220">
        <v>1335.6000000000001</v>
      </c>
      <c r="AE220" s="3">
        <f>2088+(231.3-983.7)+(0+(0-0))+0-0-0</f>
        <v>1335.6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1838.6+(368.1-1200.6)+(-1.875372+(-0.375462--1.224612))+0-0-0</f>
        <v>1005.0737780000001</v>
      </c>
      <c r="G221" s="3">
        <f>1648.4+(324-1052.8)+(-0.840684+(-0.16524--0.536928))+0-0-0</f>
        <v>919.13100400000019</v>
      </c>
      <c r="H221" s="3">
        <f>1457.2+(288-875.5)+(2.229516+(0.44064-1.339515))+0-0-0</f>
        <v>871.03064100000006</v>
      </c>
      <c r="I221" s="3">
        <f>1384.8+(258.9-761.7)+(-2.824992+(-0.528156--1.553868))+0-0-0</f>
        <v>880.20071999999993</v>
      </c>
      <c r="J221" s="3">
        <f>1315.8+(260.5-685.4)+(1.342116+(0.26571-0.699108))+0-0-0</f>
        <v>891.808718</v>
      </c>
      <c r="K221" s="3">
        <f>1297.6+(250.8-635.6)+(-1.985328+(-0.383724--0.972468))+0-0-0</f>
        <v>911.40341599999999</v>
      </c>
      <c r="L221" s="3">
        <f>1302.8+(267.6-674.1)+(-1.328856+(-0.272952--0.687582))+0-0-0</f>
        <v>895.38577399999997</v>
      </c>
      <c r="M221" s="3">
        <f>1527.7+(293.9-867.4)+(0.779127+(0.149889-0.442374))+0-0-0</f>
        <v>954.68664200000001</v>
      </c>
      <c r="N221" s="3">
        <f>1668.1+(373.8-977.3)+(2.552193+(0.571914-1.495269))+0-0-0</f>
        <v>1066.228838</v>
      </c>
      <c r="O221" s="3">
        <f>1674.7+(382.1-911.5)+(0.854097+(0.194871-0.464865))+0-0-0</f>
        <v>1145.8841030000001</v>
      </c>
      <c r="P221" s="3">
        <f>1680.5+(320.1-827)+(0.857055+(0.163251-0.42177))+0-0-0</f>
        <v>1174.1985359999999</v>
      </c>
      <c r="Q221" s="3">
        <f>1675.2+(301.5-802.7)+(-4.27176+(-0.768825--2.046885))+0-0-0</f>
        <v>1171.0063</v>
      </c>
      <c r="R221" s="3">
        <f>1814.2+(328.4-992.5)+(-3.700968+(-0.669936--2.0247))+0-0-0</f>
        <v>1147.753796</v>
      </c>
      <c r="S221" s="3">
        <f>1809.2+(335.9-1030.4)+(-4.61346+(-0.856545--2.62752))+0-0-0</f>
        <v>1111.8575149999999</v>
      </c>
      <c r="T221" s="3">
        <f>1833.1+(377.6-1120.9)+(-0.934881+(-0.192576--0.571659))+0-0-0</f>
        <v>1089.2442019999996</v>
      </c>
      <c r="U221" s="3">
        <f>1820.5+(374.8-1118.2)+(-2.785365+(-0.573444--1.710846))+0-0-0</f>
        <v>1075.452037</v>
      </c>
      <c r="V221" s="3">
        <f>1770.7+(300.1-952.9)+(-0.903057+(-0.153051--0.485979))+0-0-0</f>
        <v>1117.3298710000001</v>
      </c>
      <c r="W221" s="3">
        <f>1813.2+(242.1-788.3)+(0+(0-0))+0-0-0</f>
        <v>1267</v>
      </c>
      <c r="X221" s="3">
        <f>1806.6+(249.6-756.3)+(-0.921366+(-0.127296--0.385713))+0-0-0</f>
        <v>1299.2370510000001</v>
      </c>
      <c r="Y221" s="3">
        <f>1746.2+(234-699.5)+(0.890562+(0.11934-0.356745))+0-0-0</f>
        <v>1281.353157</v>
      </c>
      <c r="Z221" s="3">
        <f>1716.5+(231.2-693.7)+(-2.626245+(-0.353736--1.061361))+0-0-0</f>
        <v>1252.0813800000001</v>
      </c>
      <c r="AA221" s="3">
        <f>1670.9+(245.1-698.7)+(-0.852159+(-0.125001--0.356337))+0-0-0</f>
        <v>1216.6791770000002</v>
      </c>
      <c r="AB221" s="3">
        <f>1662.2+(239.3-746.8)+(-1.695444+(-0.244086--0.761736))+0-0-0</f>
        <v>1153.5222060000001</v>
      </c>
      <c r="AC221" s="3">
        <f>1489.7+(265.9-682.5)+(-1.519494+(-0.271218--0.69615))+0-0-0</f>
        <v>1072.0054379999999</v>
      </c>
      <c r="AD221">
        <v>1293.7</v>
      </c>
      <c r="AE221" s="3">
        <f>1847+(277.4-830.7)+(0+(0-0))+0-0-0</f>
        <v>1293.6999999999998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1289.6+(320.8-621.2)+(-1.315392+(-0.327216--0.633624))+0-0-0</f>
        <v>988.19101599999976</v>
      </c>
      <c r="G222" s="3">
        <f>1145+(331.8-540.4)+(1.1679+(0.338436-0.551208))+0-0-0</f>
        <v>937.35512800000004</v>
      </c>
      <c r="H222" s="3">
        <f>1143.4+(326.1-567)+(0+(0-0))+0-0-0</f>
        <v>902.50000000000011</v>
      </c>
      <c r="I222" s="3">
        <f>1134.4+(302.3-543.4)+(-1.157088+(-0.308346--0.554268))+0-0-0</f>
        <v>892.3888340000002</v>
      </c>
      <c r="J222" s="3">
        <f>1160.1+(277.3-550)+(3.549906+(0.848538-1.683))+0-0-0</f>
        <v>890.11544399999991</v>
      </c>
      <c r="K222" s="3">
        <f>1140.6+(301.6-559.2)+(0+(0-0))+0-0-0</f>
        <v>882.99999999999989</v>
      </c>
      <c r="L222" s="3">
        <f>1138.7+(268.1-561.7)+(-0.580737+(-0.136731--0.286467))+0-0-0</f>
        <v>844.66899899999999</v>
      </c>
      <c r="M222" s="3">
        <f>1139.6+(266.4-563.3)+(-0.581196+(-0.135864--0.287283))+0-0-0</f>
        <v>842.27022299999999</v>
      </c>
      <c r="N222" s="3">
        <f>1152.1+(316.8-578.4)+(1.762713+(0.484704-0.884952))+0-0-0</f>
        <v>891.86246500000004</v>
      </c>
      <c r="O222" s="3">
        <f>1146.3+(300.7-492.8)+(0.584613+(0.153357-0.251328))+0-0-0</f>
        <v>954.68664199999989</v>
      </c>
      <c r="P222" s="3">
        <f>1140.3+(309.2-441)+(0+(0-0))+0-0-0</f>
        <v>1008.5</v>
      </c>
      <c r="Q222" s="3">
        <f>1131.2+(349.7-449.6)+(-1.730736+(-0.535041--0.687888))+0-0-0</f>
        <v>1029.722111</v>
      </c>
      <c r="R222" s="3">
        <f>1134.8+(329-461.4)+(-1.157496+(-0.33558--0.470628))+0-0-0</f>
        <v>1001.3775519999999</v>
      </c>
      <c r="S222" s="3">
        <f>1132.4+(334.3-491.2)+(-2.310096+(-0.681972--1.002048))+0-0-0</f>
        <v>973.50998000000016</v>
      </c>
      <c r="T222" s="3">
        <f>1134.1+(321.2-495.7)+(-1.735173+(-0.491436--0.758421))+0-0-0</f>
        <v>958.13181199999985</v>
      </c>
      <c r="U222" s="3">
        <f>1138.7+(272.5-450.9)+(0+(0-0))+0-0-0</f>
        <v>960.30000000000007</v>
      </c>
      <c r="V222" s="3">
        <f>1199.9+(222.3-415.3)+(0.611949+(0.113373-0.211803))+0-0-0</f>
        <v>1007.4135190000001</v>
      </c>
      <c r="W222" s="3">
        <f>1655+(154.1-630.2)+(0+(0-0))+0-0-0</f>
        <v>1178.9000000000001</v>
      </c>
      <c r="X222" s="3">
        <f>1659.9+(160.9-611.3)+(-4.232745+(-0.410295--1.558815))+0-0-0</f>
        <v>1206.4157749999999</v>
      </c>
      <c r="Y222" s="3">
        <f>1658.2+(170-630)+(-4.22841+(-0.4335--1.6065))+0-0-0</f>
        <v>1195.1445900000001</v>
      </c>
      <c r="Z222" s="3">
        <f>1574.1+(198.1-604)+(-3.211164+(-0.404124--1.23216))+0-0-0</f>
        <v>1165.8168719999999</v>
      </c>
      <c r="AA222" s="3">
        <f>1400+(263-545.3)+(0+(0-0))+0-0-0</f>
        <v>1117.7</v>
      </c>
      <c r="AB222" s="3">
        <f>1356.5+(250-520.9)+(-2.76726+(-0.51--1.062636))+0-0-0</f>
        <v>1083.385376</v>
      </c>
      <c r="AC222" s="3">
        <f>1193.3+(304-441.3)+(-3.042915+(-0.7752--1.125315))+0-0-0</f>
        <v>1053.3072</v>
      </c>
      <c r="AD222">
        <v>1224</v>
      </c>
      <c r="AE222" s="3">
        <f>1679+(180.7-635.7)+(0+(0-0))+0-0-0</f>
        <v>1224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1135.1+(363.1-561)+(-2.315604+(-0.740724--1.14444))+0-0-0</f>
        <v>935.28811199999996</v>
      </c>
      <c r="G223" s="3">
        <f>1143.3+(293.5-543.1)+(-0.583083+(-0.149685--0.276981))+0-0-0</f>
        <v>893.24421299999995</v>
      </c>
      <c r="H223" s="3">
        <f>1148.2+(279.9-552.6)+(0.585582+(0.142749-0.281826))+0-0-0</f>
        <v>875.946505</v>
      </c>
      <c r="I223" s="3">
        <f>1138.5+(239.2-505.7)+(-1.741905+(-0.365976--0.773721))+0-0-0</f>
        <v>870.66584</v>
      </c>
      <c r="J223" s="3">
        <f>1142.4+(241.2-505.7)+(-0.582624+(-0.123012--0.257907))+0-0-0</f>
        <v>877.45227100000011</v>
      </c>
      <c r="K223" s="3">
        <f>1144+(227.9-489.4)+(0+(0-0))+0-0-0</f>
        <v>882.5</v>
      </c>
      <c r="L223" s="3">
        <f>1150.7+(216.8-463.1)+(0+(0-0))+0-0-0</f>
        <v>904.40000000000009</v>
      </c>
      <c r="M223" s="3">
        <f>1383.7+(296-714.6)+(2.117061+(0.45288-1.093338))+0-0-0</f>
        <v>966.57660299999998</v>
      </c>
      <c r="N223" s="3">
        <f>1687.2+(280-884.8)+(1.720944+(0.2856-0.902496))+0-0-0</f>
        <v>1083.504048</v>
      </c>
      <c r="O223" s="3">
        <f>1696+(248.8-815.5)+(0.86496+(0.126888-0.415905))+0-0-0</f>
        <v>1129.875943</v>
      </c>
      <c r="P223" s="3">
        <f>1687+(283.6-814.8)+(1.72074+(0.289272-0.831096))+0-0-0</f>
        <v>1156.9789160000003</v>
      </c>
      <c r="Q223" s="3">
        <f>1687.1+(341.8-856.9)+(0.860421+(0.174318-0.437019))+0-0-0</f>
        <v>1172.59772</v>
      </c>
      <c r="R223" s="3">
        <f>1667+(340.8-848.8)+(-2.55051+(-0.521424--1.298664))+0-0-0</f>
        <v>1157.2267300000001</v>
      </c>
      <c r="S223" s="3">
        <f>1668.5+(343.5-882)+(-0.850935+(-0.175185--0.44982))+0-0-0</f>
        <v>1129.4237000000001</v>
      </c>
      <c r="T223" s="3">
        <f>1685.9+(346.2-926.8)+(0+(0-0))+0-0-0</f>
        <v>1105.3000000000002</v>
      </c>
      <c r="U223" s="3">
        <f>1666.8+(329.3-890.8)+(-2.550204+(-0.503829--1.362924))+0-0-0</f>
        <v>1103.6088909999999</v>
      </c>
      <c r="V223" s="3">
        <f>1691.9+(252.3-787.2)+(2.588607+(0.386019-1.204416))+0-0-0</f>
        <v>1158.7702099999999</v>
      </c>
      <c r="W223" s="3">
        <f>1739.7+(238.4-684.3)+(1.774494+(0.243168-0.697986))+0-0-0</f>
        <v>1295.1196760000003</v>
      </c>
      <c r="X223" s="3">
        <f>1982.5+(286.7-961.3)+(-3.033225+(-0.438651--1.470789))+0-0-0</f>
        <v>1305.898913</v>
      </c>
      <c r="Y223" s="3">
        <f>1994.8+(266-968.9)+(-1.017348+(-0.13566--0.494139))+0-0-0</f>
        <v>1291.241131</v>
      </c>
      <c r="Z223" s="3">
        <f>1917.1+(320.5-978.9)+(-1.955442+(-0.32691--0.998478))+0-0-0</f>
        <v>1257.4161259999998</v>
      </c>
      <c r="AA223" s="3">
        <f>1869.9+(352.1-1009.3)+(-2.860947+(-0.538713--1.544229))+0-0-0</f>
        <v>1210.8445690000003</v>
      </c>
      <c r="AB223" s="3">
        <f>1783.8+(368.7-1002.9)+(-3.638952+(-0.752148--2.045916))+0-0-0</f>
        <v>1147.2548159999999</v>
      </c>
      <c r="AC223" s="3">
        <f>1718.1+(290.3-981.5)+(-2.628693+(-0.444159--1.501695))+0-0-0</f>
        <v>1025.3288429999998</v>
      </c>
      <c r="AD223">
        <v>1326</v>
      </c>
      <c r="AE223" s="3">
        <f>1962+(306.1-942.1)+(0+(0-0))+0-0-0</f>
        <v>1326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1588.1+(299.8-751.9)+(-0.809931+(-0.152898--0.383469))+0-0-0</f>
        <v>1135.42064</v>
      </c>
      <c r="G224" s="3">
        <f>1140.3+(345.3-547.6)+(-1.744659+(-0.528309--0.837828))+0-0-0</f>
        <v>936.56485999999995</v>
      </c>
      <c r="H224" s="3">
        <f>1146.6+(307.8-531.8)+(1.169532+(0.313956-0.542436))+0-0-0</f>
        <v>923.54105199999992</v>
      </c>
      <c r="I224" s="3">
        <f>1160.1+(289.5-519.9)+(1.183302+(0.29529-0.530298))+0-0-0</f>
        <v>930.64829399999996</v>
      </c>
      <c r="J224" s="3">
        <f>1155.3+(247.5-503)+(0.589203+(0.126225-0.25653))+0-0-0</f>
        <v>900.25889799999993</v>
      </c>
      <c r="K224" s="3">
        <f>1148.8+(231.4-461.6)+(0+(0-0))+0-0-0</f>
        <v>918.59999999999991</v>
      </c>
      <c r="L224" s="3">
        <f>1148.3+(244.2-484.7)+(0+(0-0))+0-0-0</f>
        <v>907.8</v>
      </c>
      <c r="M224" s="3">
        <f>1477.3+(226.3-793.5)+(3.013692+(0.461652-1.61874))+0-0-0</f>
        <v>911.95660399999986</v>
      </c>
      <c r="N224" s="3">
        <f>1667.1+(273.7-867.1)+(0.850221+(0.139587-0.442221))+0-0-0</f>
        <v>1074.2475869999998</v>
      </c>
      <c r="O224" s="3">
        <f>1665.4+(231-748.8)+(-0.849354+(-0.11781--0.381888))+0-0-0</f>
        <v>1147.0147240000001</v>
      </c>
      <c r="P224" s="3">
        <f>1676.9+(233.8-758.8)+(1.710438+(0.238476-0.773976))+0-0-0</f>
        <v>1153.0749380000002</v>
      </c>
      <c r="Q224" s="3">
        <f>1678+(232.2-736)+(0+(0-0))+0-0-0</f>
        <v>1174.2</v>
      </c>
      <c r="R224" s="3">
        <f>1661.3+(265-755.8)+(-4.236315+(-0.67575--1.92729))+0-0-0</f>
        <v>1167.5152250000001</v>
      </c>
      <c r="S224" s="3">
        <f>1673.5+(275.1-802.4)+(0+(0-0))+0-0-0</f>
        <v>1146.2</v>
      </c>
      <c r="T224" s="3">
        <f>1670.3+(312-855.2)+(0.851853+(0.15912-0.436152))+0-0-0</f>
        <v>1127.6748209999998</v>
      </c>
      <c r="U224" s="3">
        <f>1660.6+(252-786.3)+(-1.693812+(-0.25704--0.802026))+0-0-0</f>
        <v>1125.1511739999999</v>
      </c>
      <c r="V224" s="3">
        <f>1683+(147.1-549.9)+(2.57499+(0.225063-0.841347))+0-0-0</f>
        <v>1282.1587059999999</v>
      </c>
      <c r="W224" s="3">
        <f>1689.3+(90.8-400.1)+(1.723086+(0.092616-0.408102))+0-0-0</f>
        <v>1381.4076</v>
      </c>
      <c r="X224" s="3">
        <f>1462.5+(167-215.1)+(-2.237625+(-0.25551--0.329103))+0-0-0</f>
        <v>1412.2359680000002</v>
      </c>
      <c r="Y224" s="3">
        <f>1517.8+(162.6-383.2)+(-3.096312+(-0.331704--0.781728))+0-0-0</f>
        <v>1294.5537120000001</v>
      </c>
      <c r="Z224" s="3">
        <f>1674.1+(206.1-577.6)+(-2.561373+(-0.315333--0.883728))+0-0-0</f>
        <v>1300.6070219999999</v>
      </c>
      <c r="AA224" s="3">
        <f>1659.8+(312.7-734.4)+(-3.385992+(-0.637908--1.498176))+0-0-0</f>
        <v>1235.5742759999998</v>
      </c>
      <c r="AB224" s="3">
        <f>1645.1+(343.3-780.7)+(-4.195005+(-0.875415--1.990785))+0-0-0</f>
        <v>1204.6203649999998</v>
      </c>
      <c r="AC224" s="3">
        <f>1436.9+(365.5-649.6)+(-2.198457+(-0.559215--0.993888))+0-0-0</f>
        <v>1151.0362160000002</v>
      </c>
      <c r="AD224">
        <v>1361.6</v>
      </c>
      <c r="AE224" s="3">
        <f>1697+(97.2-432.6)+(0+(0-0))+0-0-0</f>
        <v>1361.6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1178.9+(345.5-511.6)+(-3.607434+(-1.05723--1.565496))+0-0-0</f>
        <v>1009.7008320000001</v>
      </c>
      <c r="G225" s="3">
        <f>1132.7+(315-466.4)+(-1.733031+(-0.48195--0.713592))+0-0-0</f>
        <v>979.79861100000005</v>
      </c>
      <c r="H225" s="3">
        <f>1132.8+(334.8-519.1)+(-1.733184+(-0.512244--0.794223))+0-0-0</f>
        <v>947.04879500000004</v>
      </c>
      <c r="I225" s="3">
        <f>1133.1+(279.2-460.8)+(-1.155762+(-0.284784--0.470016))+0-0-0</f>
        <v>950.52946999999983</v>
      </c>
      <c r="J225" s="3">
        <f>1148.1+(272.3-468.2)+(2.927655+(0.694365-1.19391))+0-0-0</f>
        <v>954.62810999999988</v>
      </c>
      <c r="K225" s="3">
        <f>1174.9+(187.5-475.9)+(0.599199+(0.095625-0.242709))+0-0-0</f>
        <v>886.95211500000016</v>
      </c>
      <c r="L225" s="3">
        <f>1308.7+(193-557.7)+(-0.667437+(-0.09843--0.284427))+0-0-0</f>
        <v>943.51855999999998</v>
      </c>
      <c r="M225" s="3">
        <f>1548.7+(242-798.8)+(1.579674+(0.24684-0.814776))+0-0-0</f>
        <v>992.91173800000013</v>
      </c>
      <c r="N225" s="3">
        <f>1662.8+(279.3-832.5)+(0.848028+(0.142443-0.424575))+0-0-0</f>
        <v>1110.165896</v>
      </c>
      <c r="O225" s="3">
        <f>1666.3+(282.7-758.7)+(2.549439+(0.432531-1.160811))+0-0-0</f>
        <v>1192.121159</v>
      </c>
      <c r="P225" s="3">
        <f>1656.5+(337.5-776.1)+(2.534445+(0.516375-1.187433))+0-0-0</f>
        <v>1219.7633870000002</v>
      </c>
      <c r="Q225" s="3">
        <f>1626.1+(335.8-779.7)+(-4.146555+(-0.85629--1.988235))+0-0-0</f>
        <v>1179.1853899999999</v>
      </c>
      <c r="R225" s="3">
        <f>1626.6+(371.8-848.2)+(-3.318264+(-0.758472--1.730328))+0-0-0</f>
        <v>1147.8535919999997</v>
      </c>
      <c r="S225" s="3">
        <f>1629.4+(383.8-888.6)+(-3.323976+(-0.782952--1.812744))+0-0-0</f>
        <v>1122.305816</v>
      </c>
      <c r="T225" s="3">
        <f>1654.7+(393-935.8)+(0.843897+(0.20043-0.477258))+0-0-0</f>
        <v>1112.467069</v>
      </c>
      <c r="U225" s="3">
        <f>1624+(349.3-832.5)+(-4.96944+(-1.068858--2.54745))+0-0-0</f>
        <v>1137.309152</v>
      </c>
      <c r="V225" s="3">
        <f>1664.6+(265.8-700.6)+(2.546838+(0.406674-1.071918))+0-0-0</f>
        <v>1231.6815939999999</v>
      </c>
      <c r="W225" s="3">
        <f>1683.2+(230.1-597.5)+(3.433728+(0.469404-1.2189))+0-0-0</f>
        <v>1318.4842320000002</v>
      </c>
      <c r="X225" s="3">
        <f>1669.4+(274.5-613.9)+(-4.25697+(-0.699975--1.565445))+0-0-0</f>
        <v>1326.6085</v>
      </c>
      <c r="Y225" s="3">
        <f>1670.7+(328.3-695)+(-4.260285+(-0.837165--1.77225))+0-0-0</f>
        <v>1300.6748</v>
      </c>
      <c r="Z225" s="3">
        <f>1675.2+(373.9-769.7)+(-3.417408+(-0.762756--1.570188))+0-0-0</f>
        <v>1276.7900240000001</v>
      </c>
      <c r="AA225" s="3">
        <f>1674+(401.3-841.7)+(-4.2687+(-1.023315--2.146335))+0-0-0</f>
        <v>1230.4543199999998</v>
      </c>
      <c r="AB225" s="3">
        <f>1691.1+(456.1-970.3)+(1.724922+(0.465222-0.989706))+0-0-0</f>
        <v>1178.1004380000002</v>
      </c>
      <c r="AC225" s="3">
        <f>1660.7+(405.5-972.2)+(-3.387828+(-0.82722--1.983288))+0-0-0</f>
        <v>1091.7682400000001</v>
      </c>
      <c r="AD225">
        <v>1328.4</v>
      </c>
      <c r="AE225" s="3">
        <f>1683+(193.2-547.8)+(0+(0-0))+0-0-0</f>
        <v>1328.4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1520.4+(355.8-876.4)+(-3.101616+(-0.725832--1.787856))+0-0-0</f>
        <v>997.76040800000021</v>
      </c>
      <c r="G226" s="3">
        <f>1209+(351.6-619.1)+(-2.46636+(-0.717264--1.262964))+0-0-0</f>
        <v>939.57934</v>
      </c>
      <c r="H226" s="3">
        <f>1145.5+(306-538.7)+(0+(0-0))+0-0-0</f>
        <v>912.8</v>
      </c>
      <c r="I226" s="3">
        <f>1136.6+(293.4-530.7)+(-2.318664+(-0.598536--1.082628))+0-0-0</f>
        <v>897.46542799999986</v>
      </c>
      <c r="J226" s="3">
        <f>1158.6+(258.2-514.3)+(1.772658+(0.395046-0.786879))+0-0-0</f>
        <v>903.88082499999996</v>
      </c>
      <c r="K226" s="3">
        <f>1154.7+(234.4-476.2)+(0.588897+(0.119544-0.242862))+0-0-0</f>
        <v>913.36557900000014</v>
      </c>
      <c r="L226" s="3">
        <f>1156.9+(300.8-531.4)+(-1.180038+(-0.306816--0.542028))+0-0-0</f>
        <v>925.35517400000015</v>
      </c>
      <c r="M226" s="3">
        <f>1520.9+(232.1-764.2)+(1.551318+(0.236742-0.779484))+0-0-0</f>
        <v>989.80857600000002</v>
      </c>
      <c r="N226" s="3">
        <f>1659.1+(197.9-770.5)+(1.692282+(0.201858-0.78591))+0-0-0</f>
        <v>1087.60823</v>
      </c>
      <c r="O226" s="3">
        <f>1654.7+(206-740.2)+(2.531691+(0.31518-1.132506))+0-0-0</f>
        <v>1122.214365</v>
      </c>
      <c r="P226" s="3">
        <f>1633+(206.5-710.7)+(-4.16415+(-0.526575--1.812285))+0-0-0</f>
        <v>1125.92156</v>
      </c>
      <c r="Q226" s="3">
        <f>1635.4+(207.4-695)+(-2.502162+(-0.317322--1.06335))+0-0-0</f>
        <v>1146.0438660000002</v>
      </c>
      <c r="R226" s="3">
        <f>1629.6+(219.9-719.3)+(-3.324384+(-0.448596--1.467372))+0-0-0</f>
        <v>1127.8943919999999</v>
      </c>
      <c r="S226" s="3">
        <f>1645.6+(228.3-748.5)+(1.678512+(0.232866-0.76347))+0-0-0</f>
        <v>1126.5479079999998</v>
      </c>
      <c r="T226" s="3">
        <f>1633.9+(234.9-754.9)+(-2.499867+(-0.359397--1.154997))+0-0-0</f>
        <v>1112.195733</v>
      </c>
      <c r="U226" s="3">
        <f>1632.9+(245.4-773)+(-2.498337+(-0.375462--1.18269))+0-0-0</f>
        <v>1103.6088910000001</v>
      </c>
      <c r="V226" s="3">
        <f>1647.4+(195.2-692)+(0.840174+(0.099552-0.35292))+0-0-0</f>
        <v>1151.1868060000002</v>
      </c>
      <c r="W226" s="3">
        <f>1659.2+(174.4-546)+(0.846192+(0.088944-0.27846))+0-0-0</f>
        <v>1288.256676</v>
      </c>
      <c r="X226" s="3">
        <f>1665.2+(237.4-588.3)+(-2.547756+(-0.363222--0.900099))+0-0-0</f>
        <v>1312.2891210000003</v>
      </c>
      <c r="Y226" s="3">
        <f>1657.3+(256.8-625.3)+(-4.226115+(-0.65484--1.594515))+0-0-0</f>
        <v>1285.5135599999999</v>
      </c>
      <c r="Z226" s="3">
        <f>1671.1+(310.7-726.2)+(-0.852261+(-0.158457--0.370362))+0-0-0</f>
        <v>1254.9596439999998</v>
      </c>
      <c r="AA226" s="3">
        <f>1664.1+(365.3-814.5)+(-2.546073+(-0.558909--1.246185))+0-0-0</f>
        <v>1213.0412029999998</v>
      </c>
      <c r="AB226" s="3">
        <f>1643.6+(337-822.9)+(-2.514708+(-0.51561--1.259037))+0-0-0</f>
        <v>1155.9287189999998</v>
      </c>
      <c r="AC226" s="3">
        <f>1515.5+(328.3-785.3)+(-3.864525+(-0.837165--2.002515))+0-0-0</f>
        <v>1055.800825</v>
      </c>
      <c r="AD226">
        <v>1334.5</v>
      </c>
      <c r="AE226" s="3">
        <f>1672+(267.1-604.6)+(0+(0-0))+0-0-0</f>
        <v>1334.5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1335.9+(292.8-631.8)+(-1.362618+(-0.298656--0.644436))+0-0-0</f>
        <v>995.88316200000008</v>
      </c>
      <c r="G227" s="3">
        <f>1283.7+(245.1-575.4)+(-0.654687+(-0.125001--0.293454))+0-0-0</f>
        <v>952.91376600000012</v>
      </c>
      <c r="H227" s="3">
        <f>1195.1+(236.2-512.3)+(-0.609501+(-0.120462--0.261273))+0-0-0</f>
        <v>918.53130999999996</v>
      </c>
      <c r="I227" s="3">
        <f>1146.9+(223.9-456.6)+(-0.584919+(-0.114189--0.232866))+0-0-0</f>
        <v>913.73375800000008</v>
      </c>
      <c r="J227" s="3">
        <f>1146.9+(214.2-441.7)+(-0.584919+(-0.109242--0.225267))+0-0-0</f>
        <v>918.93110600000011</v>
      </c>
      <c r="K227" s="3">
        <f>1156.3+(204-430.8)+(1.179426+(0.20808-0.439416))+0-0-0</f>
        <v>930.44808999999998</v>
      </c>
      <c r="L227" s="3">
        <f>1154.3+(211.4-432)+(0.588693+(0.107814-0.22032))+0-0-0</f>
        <v>934.17618699999991</v>
      </c>
      <c r="M227" s="3">
        <f>1274.4+(287.8-587.2)+(1.949832+(0.440334-0.898416))+0-0-0</f>
        <v>976.49175000000002</v>
      </c>
      <c r="N227" s="3">
        <f>1600.1+(339-874)+(0+(0-0))+0-0-0</f>
        <v>1065.0999999999999</v>
      </c>
      <c r="O227" s="3">
        <f>1630.2+(385-861.3)+(0+(0-0))+0-0-0</f>
        <v>1153.9000000000001</v>
      </c>
      <c r="P227" s="3">
        <f>1667.6+(366-910)+(0+(0-0))+0-0-0</f>
        <v>1123.5999999999999</v>
      </c>
      <c r="Q227" s="3">
        <f>1666.3+(353.6-895.2)+(0+(0-0))+0-0-0</f>
        <v>1124.6999999999998</v>
      </c>
      <c r="R227" s="3">
        <f>1660.2+(305.1-845.3)+(-1.693404+(-0.311202--0.862206))+0-0-0</f>
        <v>1118.8576</v>
      </c>
      <c r="S227" s="3">
        <f>1662.5+(298.3-834.9)+(-0.847875+(-0.152133--0.425799))+0-0-0</f>
        <v>1125.325791</v>
      </c>
      <c r="T227" s="3">
        <f>1647.5+(292.6-835.8)+(-0.840225+(-0.149226--0.426258))+0-0-0</f>
        <v>1103.7368070000002</v>
      </c>
      <c r="U227" s="3">
        <f>1638.8+(276-800)+(-2.507364+(-0.42228--1.224))+0-0-0</f>
        <v>1113.0943560000001</v>
      </c>
      <c r="V227" s="3">
        <f>1671.9+(202.2-720.7)+(-0.852669+(-0.103122--0.367557))+0-0-0</f>
        <v>1152.811766</v>
      </c>
      <c r="W227" s="3">
        <f>1680.1+(183.6-555)+(0+(0-0))+0-0-0</f>
        <v>1308.6999999999998</v>
      </c>
      <c r="X227" s="3">
        <f>1670.8+(218.8-563.2)+(-3.408432+(-0.446352--1.148928))+0-0-0</f>
        <v>1323.6941439999998</v>
      </c>
      <c r="Y227" s="3">
        <f>1680.7+(262.7-639.5)+(-1.714314+(-0.267954--0.65229))+0-0-0</f>
        <v>1302.5700220000001</v>
      </c>
      <c r="Z227" s="3">
        <f>1681.1+(327.2-739.7)+(0+(0-0))+0-0-0</f>
        <v>1268.5999999999999</v>
      </c>
      <c r="AA227" s="3">
        <f>1651+(359.3-781.1)+(-2.52603+(-0.549729--1.195083))+0-0-0</f>
        <v>1227.3193240000001</v>
      </c>
      <c r="AB227" s="3">
        <f>1428.1+(348.8-623)+(-2.184993+(-0.533664--0.95319))+0-0-0</f>
        <v>1152.1345329999999</v>
      </c>
      <c r="AC227" s="3">
        <f>1305.5+(331-541.5)+(-1.997415+(-0.50643--0.828495))+0-0-0</f>
        <v>1093.32465</v>
      </c>
      <c r="AD227">
        <v>1338.2</v>
      </c>
      <c r="AE227" s="3">
        <f>1687+(191.2-540)+(0+(0-0))+0-0-0</f>
        <v>1338.2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1143+(267.5-397.7)+(0+(0-0))+0-0-0</f>
        <v>1012.8</v>
      </c>
      <c r="G228" s="3">
        <f>1132+(244.5-418.3)+(-1.15464+(-0.24939--0.426666))+0-0-0</f>
        <v>957.22263600000008</v>
      </c>
      <c r="H228" s="3">
        <f>1129.8+(248.7-444.8)+(-2.88099+(-0.634185--1.13424))+0-0-0</f>
        <v>931.31906499999991</v>
      </c>
      <c r="I228" s="3">
        <f>1139.7+(242-460.3)+(0+(0-0))+0-0-0</f>
        <v>921.40000000000009</v>
      </c>
      <c r="J228" s="3">
        <f>1137.8+(223.1-446.6)+(0+(0-0))+0-0-0</f>
        <v>914.3</v>
      </c>
      <c r="K228" s="3">
        <f>1141.1+(184.6-400.6)+(0.581961+(0.094146-0.204306))+0-0-0</f>
        <v>925.57180099999994</v>
      </c>
      <c r="L228" s="3">
        <f>1135.9+(168.3-402)+(-1.737927+(-0.257499--0.61506))+0-0-0</f>
        <v>900.81963400000006</v>
      </c>
      <c r="M228" s="3">
        <f>1233.6+(169.4-462.1)+(-0.629136+(-0.086394--0.235671))+0-0-0</f>
        <v>940.42014099999983</v>
      </c>
      <c r="N228" s="3">
        <f>1461.5+(211.1-637.9)+(0.745365+(0.107661-0.325329))+0-0-0</f>
        <v>1035.227697</v>
      </c>
      <c r="O228" s="3">
        <f>1480+(188.8-587.6)+(0.7548+(0.096288-0.299676))+0-0-0</f>
        <v>1081.7514120000001</v>
      </c>
      <c r="P228" s="3">
        <f>1477.5+(182-565.9)+(0.753525+(0.09282-0.288609))+0-0-0</f>
        <v>1094.1577359999999</v>
      </c>
      <c r="Q228" s="3">
        <f>1476.2+(168-562.7)+(0+(0-0))+0-0-0</f>
        <v>1081.5</v>
      </c>
      <c r="R228" s="3">
        <f>1466.1+(146.2-558.6)+(-0.747711+(-0.074562--0.284886))+0-0-0</f>
        <v>1053.1626129999997</v>
      </c>
      <c r="S228" s="3">
        <f>1461.1+(144.3-572.8)+(-2.235483+(-0.220779--0.876384))+0-0-0</f>
        <v>1031.0201219999999</v>
      </c>
      <c r="T228" s="3">
        <f>1476+(161-609.9)+(1.50552+(0.16422-0.622098))+0-0-0</f>
        <v>1028.1476419999999</v>
      </c>
      <c r="U228" s="3">
        <f>1462.3+(194.3-637.4)+(-1.491546+(-0.198186--0.650148))+0-0-0</f>
        <v>1018.1604160000001</v>
      </c>
      <c r="V228" s="3">
        <f>1472.9+(186.9-601.9)+(0+(0-0))+0-0-0</f>
        <v>1057.9000000000001</v>
      </c>
      <c r="W228" s="3">
        <f>1573.8+(185.7-516.5)+(1.605276+(0.189414-0.52683))+0-0-0</f>
        <v>1244.2678599999999</v>
      </c>
      <c r="X228" s="3">
        <f>1675.4+(130.8-529.4)+(0+(0-0))+0-0-0</f>
        <v>1276.8000000000002</v>
      </c>
      <c r="Y228" s="3">
        <f>1619.1+(149.2-518.1)+(-4.954446+(-0.456552--1.585386))+0-0-0</f>
        <v>1246.3743879999997</v>
      </c>
      <c r="Z228" s="3">
        <f>1486.9+(213.8-478.7)+(-1.516638+(-0.218076--0.488274))+0-0-0</f>
        <v>1220.7535600000001</v>
      </c>
      <c r="AA228" s="3">
        <f>1271.3+(265.7-352.9)+(-1.945089+(-0.406521--0.539937))+0-0-0</f>
        <v>1182.288327</v>
      </c>
      <c r="AB228" s="3">
        <f>1183+(293.9-350)+(-1.80999+(-0.449667--0.5355))+0-0-0</f>
        <v>1125.175843</v>
      </c>
      <c r="AC228" s="3">
        <f>1170.7+(299.6-410.8)+(-2.985285+(-0.76398--1.04754))+0-0-0</f>
        <v>1056.7982750000001</v>
      </c>
      <c r="AD228">
        <v>1281.3999999999999</v>
      </c>
      <c r="AE228" s="3">
        <f>1689+(151.1-558.7)+(0+(0-0))+0-0-0</f>
        <v>1281.4000000000001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922.9+(349.7-295.3)+(0+(0-0))+0-0-0</f>
        <v>977.3</v>
      </c>
      <c r="G229" s="3">
        <f>906.4+(327.5-313.6)+(-0.462264+(-0.167025--0.159936))+0-0-0</f>
        <v>919.830647</v>
      </c>
      <c r="H229" s="3">
        <f>907.9+(292.5-308.4)+(0+(0-0))+0-0-0</f>
        <v>892</v>
      </c>
      <c r="I229" s="3">
        <f>908.1+(261.3-291.5)+(0+(0-0))+0-0-0</f>
        <v>877.90000000000009</v>
      </c>
      <c r="J229" s="3">
        <f>912.6+(246.9-277.5)+(0.465426+(0.125919-0.141525))+0-0-0</f>
        <v>882.44982000000005</v>
      </c>
      <c r="K229" s="3">
        <f>906.7+(226.8-253.2)+(-0.924834+(-0.231336--0.258264))+0-0-0</f>
        <v>879.40209400000003</v>
      </c>
      <c r="L229" s="3">
        <f>904.4+(223.3-313.9)+(-1.383732+(-0.341649--0.480267))+0-0-0</f>
        <v>812.55488600000001</v>
      </c>
      <c r="M229" s="3">
        <f>909.3+(247.2-353.8)+(-0.463743+(-0.126072--0.180438))+0-0-0</f>
        <v>802.29062299999998</v>
      </c>
      <c r="N229" s="3">
        <f>942.3+(294-384.5)+(0.480573+(0.14994-0.196095))+0-0-0</f>
        <v>852.23441800000001</v>
      </c>
      <c r="O229" s="3">
        <f>971.5+(330.8-408.4)+(0+(0-0))+0-0-0</f>
        <v>893.90000000000009</v>
      </c>
      <c r="P229" s="3">
        <f>1176+(325.3-577.1)+(-1.19952+(-0.331806--0.588642))+0-0-0</f>
        <v>923.25731600000006</v>
      </c>
      <c r="Q229" s="3">
        <f>1232.4+(349.5-664.7)+(-1.885572+(-0.534735--1.016991))+0-0-0</f>
        <v>915.79668400000003</v>
      </c>
      <c r="R229" s="3">
        <f>1233.7+(365-712.7)+(-1.887561+(-0.55845--1.090431))+0-0-0</f>
        <v>884.64441999999997</v>
      </c>
      <c r="S229" s="3">
        <f>1233.7+(312.7-671)+(-1.887561+(-0.478431--1.02663))+0-0-0</f>
        <v>874.06063800000004</v>
      </c>
      <c r="T229" s="3">
        <f>1237.2+(308.6-682.8)+(-1.261944+(-0.314772--0.696456))+0-0-0</f>
        <v>862.11974000000009</v>
      </c>
      <c r="U229" s="3">
        <f>1237.1+(315.5-680)+(-0.630921+(-0.160905--0.3468))+0-0-0</f>
        <v>872.15497399999992</v>
      </c>
      <c r="V229" s="3">
        <f>1249.9+(257.8-592)+(1.912347+(0.394434-0.90576))+0-0-0</f>
        <v>917.10102100000006</v>
      </c>
      <c r="W229" s="3">
        <f>1266.3+(257.6-400.6)+(1.937439+(0.394128-0.612918))+0-0-0</f>
        <v>1125.0186489999999</v>
      </c>
      <c r="X229" s="3">
        <f>1266.9+(296.5-380.6)+(0.646119+(0.151215-0.194106))+0-0-0</f>
        <v>1183.4032280000001</v>
      </c>
      <c r="Y229" s="3">
        <f>1262.6+(307.5-392.2)+(0+(0-0))+0-0-0</f>
        <v>1177.8999999999999</v>
      </c>
      <c r="Z229" s="3">
        <f>1264.7+(305-413.9)+(1.289994+(0.3111-0.422178))+0-0-0</f>
        <v>1156.9789160000003</v>
      </c>
      <c r="AA229" s="3">
        <f>1261+(346.1-484.6)+(0+(0-0))+0-0-0</f>
        <v>1122.5</v>
      </c>
      <c r="AB229" s="3">
        <f>1252.6+(379.4-560.2)+(-1.277652+(-0.386988--0.571404))+0-0-0</f>
        <v>1070.7067639999998</v>
      </c>
      <c r="AC229" s="3">
        <f>1243.2+(386.3-636.5)+(-1.902096+(-0.591039--0.973845))+0-0-0</f>
        <v>991.48071000000004</v>
      </c>
      <c r="AD229">
        <v>1184.5</v>
      </c>
      <c r="AE229" s="3">
        <f>1268+(294.9-378.4)+(0+(0-0))+0-0-0</f>
        <v>1184.5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1100.2+(368.6-565.5)+(0+(0-0))+0-0-0</f>
        <v>903.30000000000007</v>
      </c>
      <c r="G230" s="3">
        <f>942.3+(376.8-469.6)+(0.961146+(0.384336-0.478992))+0-0-0</f>
        <v>850.36649</v>
      </c>
      <c r="H230" s="3">
        <f>902.2+(305.9-374.3)+(0+(0-0))+0-0-0</f>
        <v>833.8</v>
      </c>
      <c r="I230" s="3">
        <f>897.7+(288.9-350.1)+(-0.915654+(-0.294678--0.357102))+0-0-0</f>
        <v>835.64676999999995</v>
      </c>
      <c r="J230" s="3">
        <f>911.9+(273.7-336.3)+(0+(0-0))+0-0-0</f>
        <v>849.3</v>
      </c>
      <c r="K230" s="3">
        <f>915.8+(275-326)+(0.467058+(0.14025-0.16626))+0-0-0</f>
        <v>865.24104799999998</v>
      </c>
      <c r="L230" s="3">
        <f>1115.2+(262.5-485)+(-1.137504+(-0.26775--0.4947))+0-0-0</f>
        <v>891.789446</v>
      </c>
      <c r="M230" s="3">
        <f>1287.4+(374.1-725.1)+(0.656574+(0.190791-0.369801))+0-0-0</f>
        <v>936.87756400000012</v>
      </c>
      <c r="N230" s="3">
        <f>1427.3+(410.9-830.9)+(2.183769+(0.628677-1.271277))+0-0-0</f>
        <v>1008.8411689999999</v>
      </c>
      <c r="O230" s="3">
        <f>1416.8+(353.6-728.9)+(-0.722568+(-0.180336--0.371739))+0-0-0</f>
        <v>1040.9688349999999</v>
      </c>
      <c r="P230" s="3">
        <f>1413.7+(234.2-588.6)+(2.162961+(0.358326-0.900558))+0-0-0</f>
        <v>1060.9207289999999</v>
      </c>
      <c r="Q230" s="3">
        <f>1463.2+(207.9-620.5)+(0+(0-0))+0-0-0</f>
        <v>1050.5999999999999</v>
      </c>
      <c r="R230" s="3">
        <f>1609.9+(212.1-786.1)+(0.821049+(0.108171-0.400911))+0-0-0</f>
        <v>1036.4283090000001</v>
      </c>
      <c r="S230" s="3">
        <f>1756.6+(309.6-1040.9)+(1.791732+(0.315792-1.061718))+0-0-0</f>
        <v>1026.3458059999998</v>
      </c>
      <c r="T230" s="3">
        <f>1801.5+(394.1-1158.5)+(1.83753+(0.401982-1.18167))+0-0-0</f>
        <v>1038.1578419999998</v>
      </c>
      <c r="U230" s="3">
        <f>1793.6+(358.5-1120.5)+(-0.914736+(-0.182835--0.571455))+0-0-0</f>
        <v>1031.0738839999999</v>
      </c>
      <c r="V230" s="3">
        <f>1795.8+(314.4-1036.8)+(0+(0-0))+0-0-0</f>
        <v>1073.4000000000001</v>
      </c>
      <c r="W230" s="3">
        <f>1826.5+(357.3-928.6)+(1.86303+(0.364446-0.947172))+0-0-0</f>
        <v>1256.4803039999999</v>
      </c>
      <c r="X230" s="3">
        <f>1853+(306.6-875.8)+(0+(0-0))+0-0-0</f>
        <v>1283.8000000000002</v>
      </c>
      <c r="Y230" s="3">
        <f>1858.2+(353.6-931.5)+(0+(0-0))+0-0-0</f>
        <v>1280.3000000000002</v>
      </c>
      <c r="Z230" s="3">
        <f>1801.2+(316.6-861.7)+(-2.755836+(-0.484398--1.318401))+0-0-0</f>
        <v>1254.1781669999998</v>
      </c>
      <c r="AA230" s="3">
        <f>1862.5+(379.1-1024.2)+(-2.849625+(-0.580023--1.567026))+0-0-0</f>
        <v>1215.537378</v>
      </c>
      <c r="AB230" s="3">
        <f>1853.4+(376.6-1072)+(-3.780936+(-0.768264--2.18688))+0-0-0</f>
        <v>1155.63768</v>
      </c>
      <c r="AC230" s="3">
        <f>1814.6+(350.5-1095.2)+(-4.62723+(-0.893775--2.79276))+0-0-0</f>
        <v>1067.1717549999998</v>
      </c>
      <c r="AD230">
        <v>1276.9999999999998</v>
      </c>
      <c r="AE230" s="3">
        <f>1819+(354.7-896.7)+(0+(0-0))+0-0-0</f>
        <v>1277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1561+(260.7-810.8)+(-1.59222+(-0.265914--0.827016))+0-0-0</f>
        <v>1009.8688820000001</v>
      </c>
      <c r="G231" s="3">
        <f>1138.2+(217.2-418)+(-2.90241+(-0.55386--1.0659))+0-0-0</f>
        <v>935.00963000000013</v>
      </c>
      <c r="H231" s="3">
        <f>953.1+(276.5-323.4)+(0.486081+(0.141015-0.164934))+0-0-0</f>
        <v>906.66216200000008</v>
      </c>
      <c r="I231" s="3">
        <f>958.2+(295.5-342.9)+(-1.466046+(-0.452115--0.524637))+0-0-0</f>
        <v>909.40647600000011</v>
      </c>
      <c r="J231" s="3">
        <f>950.2+(305.6-365.3)+(1.453806+(0.467568-0.558909))+0-0-0</f>
        <v>891.86246500000004</v>
      </c>
      <c r="K231" s="3">
        <f>952.2+(322.5-362.2)+(-1.942488+(-0.6579--0.738888))+0-0-0</f>
        <v>910.63850000000002</v>
      </c>
      <c r="L231" s="3">
        <f>1042.1+(359.3-439.3)+(-2.125884+(-0.732972--0.896172))+0-0-0</f>
        <v>960.13731599999994</v>
      </c>
      <c r="M231" s="3">
        <f>1344.2+(388.7-683.6)+(-2.742168+(-0.792948--1.394544))+0-0-0</f>
        <v>1047.1594279999999</v>
      </c>
      <c r="N231" s="3">
        <f>1444.6+(423.1-853.9)+(-2.946984+(-0.863124--1.741956))+0-0-0</f>
        <v>1011.7318479999999</v>
      </c>
      <c r="O231" s="3">
        <f>1535.2+(412.4-868.2)+(-3.131808+(-0.841296--1.771128))+0-0-0</f>
        <v>1077.198024</v>
      </c>
      <c r="P231" s="3">
        <f>1543.3+(466-907.3)+(0+(0-0))+0-0-0</f>
        <v>1102</v>
      </c>
      <c r="Q231" s="3">
        <f>1539+(460.2-883.8)+(-1.56978+(-0.469404--0.901476))+0-0-0</f>
        <v>1114.2622920000001</v>
      </c>
      <c r="R231" s="3">
        <f>1548.1+(449.3-894.2)+(-1.579062+(-0.458286--0.912084))+0-0-0</f>
        <v>1102.0747359999998</v>
      </c>
      <c r="S231" s="3">
        <f>1550.5+(439.5-896.3)+(-1.58151+(-0.44829--0.914226))+0-0-0</f>
        <v>1092.5844260000001</v>
      </c>
      <c r="T231" s="3">
        <f>1546.3+(432.3-900.7)+(-0.788613+(-0.220473--0.459357))+0-0-0</f>
        <v>1077.3502709999998</v>
      </c>
      <c r="U231" s="3">
        <f>1557.9+(401.5-870.9)+(-0.794529+(-0.204765--0.444159))+0-0-0</f>
        <v>1087.9448649999999</v>
      </c>
      <c r="V231" s="3">
        <f>1566.1+(370.9-809.7)+(1.597422+(0.378318-0.825894))+0-0-0</f>
        <v>1128.4498459999998</v>
      </c>
      <c r="W231" s="3">
        <f>1557+(435-711.7)+(-1.58814+(-0.4437--0.725934))+0-0-0</f>
        <v>1278.9940939999999</v>
      </c>
      <c r="X231" s="3">
        <f>1557.7+(451.9-714.5)+(-2.383281+(-0.691407--1.093185))+0-0-0</f>
        <v>1293.1184969999999</v>
      </c>
      <c r="Y231" s="3">
        <f>1561.5+(409.5-692.9)+(-1.59273+(-0.41769--0.706758))+0-0-0</f>
        <v>1276.7963379999999</v>
      </c>
      <c r="Z231" s="3">
        <f>1562.7+(380.4-690.9)+(-0.796977+(-0.194004--0.352359))+0-0-0</f>
        <v>1251.5613780000001</v>
      </c>
      <c r="AA231" s="3">
        <f>1559.2+(376.1-715.8)+(-2.385576+(-0.575433--1.095174))+0-0-0</f>
        <v>1217.6341649999999</v>
      </c>
      <c r="AB231" s="3">
        <f>1557.7+(378-774.2)+(-1.588854+(-0.38556--0.789684))+0-0-0</f>
        <v>1160.3152700000001</v>
      </c>
      <c r="AC231" s="3">
        <f>1315.1+(281.9-536.5)+(-2.682804+(-0.575076--1.09446))+0-0-0</f>
        <v>1058.3365799999999</v>
      </c>
      <c r="AD231">
        <v>1291</v>
      </c>
      <c r="AE231" s="3">
        <f>1575+(438.3-722.3)+(0+(0-0))+0-0-0</f>
        <v>1291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1212.6+(275.7-509.5)+(-0.618426+(-0.140607--0.259845))+0-0-0</f>
        <v>978.30081199999995</v>
      </c>
      <c r="G232" s="3">
        <f>1210.8+(204.5-529.5)+(0.617508+(0.104295-0.270045))+0-0-0</f>
        <v>886.251758</v>
      </c>
      <c r="H232" s="3">
        <f>1185.5+(232.8-512.5)+(0+(0-0))+0-0-0</f>
        <v>905.8</v>
      </c>
      <c r="I232" s="3">
        <f>1122.2+(213.2-469.8)+(-1.144644+(-0.217464--0.479196))+0-0-0</f>
        <v>864.71708799999999</v>
      </c>
      <c r="J232" s="3">
        <f>1132.2+(210.8-461.8)+(0.577422+(0.107508-0.235518))+0-0-0</f>
        <v>881.6494120000001</v>
      </c>
      <c r="K232" s="3">
        <f>1121.5+(200.3-458.7)+(-1.14393+(-0.204306--0.467874))+0-0-0</f>
        <v>862.21963800000003</v>
      </c>
      <c r="L232" s="3">
        <f>1131.6+(215.7-488.2)+(0.577116+(0.110007-0.248982))+0-0-0</f>
        <v>859.53814099999988</v>
      </c>
      <c r="M232" s="3">
        <f>1314.1+(238.6-715.3)+(-0.670191+(-0.121686--0.364803))+0-0-0</f>
        <v>836.97292600000003</v>
      </c>
      <c r="N232" s="3">
        <f>1395.9+(261.9-797.1)+(1.423818+(0.267138-0.813042))+0-0-0</f>
        <v>861.57791400000008</v>
      </c>
      <c r="O232" s="3">
        <f>1445.5+(251.6-788.2)+(-0.737205+(-0.128316--0.401982))+0-0-0</f>
        <v>908.43646100000001</v>
      </c>
      <c r="P232" s="3">
        <f>1569.4+(225-874.9)+(-4.00197+(-0.57375--2.230995))+0-0-0</f>
        <v>917.15527500000007</v>
      </c>
      <c r="Q232" s="3">
        <f>1593.8+(217.7-873.8)+(-1.625676+(-0.222054--0.891276))+0-0-0</f>
        <v>936.74354600000004</v>
      </c>
      <c r="R232" s="3">
        <f>1585.5+(223.8-878.3)+(-3.23442+(-0.456552--1.791732))+0-0-0</f>
        <v>929.10076000000004</v>
      </c>
      <c r="S232" s="3">
        <f>1581.9+(229.8-885)+(-3.227076+(-0.468792--1.8054))+0-0-0</f>
        <v>924.80953199999999</v>
      </c>
      <c r="T232" s="3">
        <f>1591.7+(258.2-919.9)+(-0.811767+(-0.131682--0.469149))+0-0-0</f>
        <v>929.52570000000003</v>
      </c>
      <c r="U232" s="3">
        <f>1592.8+(194.8-831.7)+(0+(0-0))+0-0-0</f>
        <v>955.89999999999986</v>
      </c>
      <c r="V232" s="3">
        <f>1586.7+(198.9-743.5)+(-2.427651+(-0.304317--1.137555))+0-0-0</f>
        <v>1040.5055869999999</v>
      </c>
      <c r="W232" s="3">
        <f>1605.7+(180.6-611.2)+(-0.818907+(-0.092106--0.311712))+0-0-0</f>
        <v>1174.5006989999999</v>
      </c>
      <c r="X232" s="3">
        <f>1606+(172.1-574.2)+(-3.27624+(-0.351084--1.171368))+0-0-0</f>
        <v>1201.4440440000001</v>
      </c>
      <c r="Y232" s="3">
        <f>1617.6+(203.5-621.9)+(-2.474928+(-0.311355--0.951507))+0-0-0</f>
        <v>1197.3652239999999</v>
      </c>
      <c r="Z232" s="3">
        <f>1498.5+(232.7-554.6)+(-2.292705+(-0.356031--0.848538))+0-0-0</f>
        <v>1174.799802</v>
      </c>
      <c r="AA232" s="3">
        <f>1460.2+(254.9-565.6)+(-3.72351+(-0.649995--1.44228))+0-0-0</f>
        <v>1146.568775</v>
      </c>
      <c r="AB232" s="3">
        <f>1353.8+(255.9-510.6)+(-1.380876+(-0.261018--0.520812))+0-0-0</f>
        <v>1097.978918</v>
      </c>
      <c r="AC232" s="3">
        <f>1241.1+(227.7-432.8)+(-3.164805+(-0.580635--1.10364))+0-0-0</f>
        <v>1033.3581999999999</v>
      </c>
      <c r="AD232">
        <v>1223.7</v>
      </c>
      <c r="AE232" s="3">
        <f>1602+(191.5-569.8)+(0+(0-0))+0-0-0</f>
        <v>1223.7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1243.2+(253.9-533.4)+(-1.268064+(-0.258978--0.544068))+0-0-0</f>
        <v>962.71702600000003</v>
      </c>
      <c r="G233" s="3">
        <f>1202.7+(283.9-571.5)+(0+(0-0))+0-0-0</f>
        <v>915.1</v>
      </c>
      <c r="H233" s="3">
        <f>1139.6+(314.5-554.1)+(-1.162392+(-0.32079--0.565182))+0-0-0</f>
        <v>899.08199999999988</v>
      </c>
      <c r="I233" s="3">
        <f>1034.6+(273.3-427.6)+(-2.63823+(-0.696915--1.09038))+0-0-0</f>
        <v>878.05523499999993</v>
      </c>
      <c r="J233" s="3">
        <f>1046.4+(264.4-432.8)+(0.533664+(0.134844-0.220728))+0-0-0</f>
        <v>878.44777999999997</v>
      </c>
      <c r="K233" s="3">
        <f>1085.5+(265.3-465.5)+(0+(0-0))+0-0-0</f>
        <v>885.3</v>
      </c>
      <c r="L233" s="3">
        <f>1300.1+(288.7-681.9)+(1.326102+(0.294474-0.695538))+0-0-0</f>
        <v>907.82503799999984</v>
      </c>
      <c r="M233" s="3">
        <f>1451.5+(343-834.6)+(1.48053+(0.34986-0.851292))+0-0-0</f>
        <v>960.879098</v>
      </c>
      <c r="N233" s="3">
        <f>1585.4+(364.3-869.3)+(0+(0-0))+0-0-0</f>
        <v>1080.4000000000001</v>
      </c>
      <c r="O233" s="3">
        <f>1595.5+(335-795.1)+(1.62741+(0.3417-0.811002))+0-0-0</f>
        <v>1136.5581080000002</v>
      </c>
      <c r="P233" s="3">
        <f>1585.1+(307.2-729.8)+(0.808401+(0.156672-0.372198))+0-0-0</f>
        <v>1163.092875</v>
      </c>
      <c r="Q233" s="3">
        <f>1466.7+(284.7-571.8)+(0.748017+(0.145197-0.291618))+0-0-0</f>
        <v>1180.2015960000001</v>
      </c>
      <c r="R233" s="3">
        <f>1387+(305-545.2)+(-2.82948+(-0.6222--1.112208))+0-0-0</f>
        <v>1144.4605280000001</v>
      </c>
      <c r="S233" s="3">
        <f>1383.9+(305.9-570.1)+(-2.823156+(-0.624036--1.163004))+0-0-0</f>
        <v>1117.415812</v>
      </c>
      <c r="T233" s="3">
        <f>1386.3+(313.2-597.6)+(-2.121039+(-0.479196--0.914328))+0-0-0</f>
        <v>1100.2140929999998</v>
      </c>
      <c r="U233" s="3">
        <f>1391+(281.2-574.6)+(-0.70941+(-0.143412--0.293046))+0-0-0</f>
        <v>1097.0402239999999</v>
      </c>
      <c r="V233" s="3">
        <f>1400.8+(196.6-451.9)+(0.714408+(0.100266-0.230469))+0-0-0</f>
        <v>1146.0842050000001</v>
      </c>
      <c r="W233" s="3">
        <f>1435.5+(228.3-343.2)+(-1.46421+(-0.232866--0.350064))+0-0-0</f>
        <v>1319.252988</v>
      </c>
      <c r="X233" s="3">
        <f>1424.9+(233.4-312.9)+(-4.360194+(-0.714204--0.957474))+0-0-0</f>
        <v>1341.2830760000002</v>
      </c>
      <c r="Y233" s="3">
        <f>1456.7+(224-361.4)+(-2.228751+(-0.34272--0.552942))+0-0-0</f>
        <v>1317.2814710000002</v>
      </c>
      <c r="Z233" s="3">
        <f>1425.4+(262.6-395.4)+(-0.726954+(-0.133926--0.201654))+0-0-0</f>
        <v>1291.9407740000001</v>
      </c>
      <c r="AA233" s="3">
        <f>1421.8+(289.9-472.8)+(-3.62559+(-0.739245--1.20564))+0-0-0</f>
        <v>1235.7408049999999</v>
      </c>
      <c r="AB233" s="3">
        <f>1423.7+(193.5-433.4)+(-2.178261+(-0.296055--0.663102))+0-0-0</f>
        <v>1181.9887860000001</v>
      </c>
      <c r="AC233" s="3">
        <f>1199.5+(269.6-366.7)+(-1.22349+(-0.274992--0.374034))+0-0-0</f>
        <v>1101.2755520000001</v>
      </c>
      <c r="AD233">
        <v>1349.3</v>
      </c>
      <c r="AE233" s="3">
        <f>1441+(232.5-324.2)+(0+(0-0))+0-0-0</f>
        <v>1349.3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1203.2+(221.6-431.5)+(-0.613632+(-0.113016--0.220065))+0-0-0</f>
        <v>992.79341700000009</v>
      </c>
      <c r="G234" s="3">
        <f>1192.1+(235.8-489.8)+(-3.039855+(-0.60129--1.24899))+0-0-0</f>
        <v>935.70784499999991</v>
      </c>
      <c r="H234" s="3">
        <f>1203+(211.5-506.5)+(-0.61353+(-0.107865--0.258315))+0-0-0</f>
        <v>907.53692000000001</v>
      </c>
      <c r="I234" s="3">
        <f>1194.4+(195.2-503.7)+(-2.436576+(-0.398208--1.027548))+0-0-0</f>
        <v>884.0927640000001</v>
      </c>
      <c r="J234" s="3">
        <f>1203.4+(204.4-521.4)+(-0.613734+(-0.104244--0.265914))+0-0-0</f>
        <v>885.94793600000014</v>
      </c>
      <c r="K234" s="3">
        <f>1278.1+(196.4-576.5)+(-0.651831+(-0.100164--0.294015))+0-0-0</f>
        <v>897.54201999999987</v>
      </c>
      <c r="L234" s="3">
        <f>1424.4+(142.1-668.1)+(-0.726444+(-0.072471--0.340731))+0-0-0</f>
        <v>897.94181600000013</v>
      </c>
      <c r="M234" s="3">
        <f>1634.2+(126.4-813.1)+(0+(0-0))+0-0-0</f>
        <v>947.5</v>
      </c>
      <c r="N234" s="3">
        <f>1714.7+(174.6-853.7)+(-0.874497+(-0.089046--0.435387))+0-0-0</f>
        <v>1035.0718439999998</v>
      </c>
      <c r="O234" s="3">
        <f>1770.2+(184.9-867.9)+(-1.805604+(-0.188598--0.885258))+0-0-0</f>
        <v>1086.091056</v>
      </c>
      <c r="P234" s="3">
        <f>1847.1+(191-940.3)+(0+(0-0))+0-0-0</f>
        <v>1097.8</v>
      </c>
      <c r="Q234" s="3">
        <f>1841.6+(231.4-982.3)+(-0.939216+(-0.118014--0.500973))+0-0-0</f>
        <v>1090.1437429999999</v>
      </c>
      <c r="R234" s="3">
        <f>1838.9+(271.3-1020.8)+(-0.937839+(-0.138363--0.520608))+0-0-0</f>
        <v>1088.8444060000002</v>
      </c>
      <c r="S234" s="3">
        <f>1828.8+(240.2-997.1)+(-2.798064+(-0.367506--1.525563))+0-0-0</f>
        <v>1070.2599929999999</v>
      </c>
      <c r="T234" s="3">
        <f>1745.9+(297.3-999)+(0.890409+(0.151623-0.50949))+0-0-0</f>
        <v>1044.732542</v>
      </c>
      <c r="U234" s="3">
        <f>1735.5+(277.4-970.4)+(-1.77021+(-0.282948--0.989808))+0-0-0</f>
        <v>1041.4366500000001</v>
      </c>
      <c r="V234" s="3">
        <f>1740.7+(187.2-822.7)+(0+(0-0))+0-0-0</f>
        <v>1105.2</v>
      </c>
      <c r="W234" s="3">
        <f>1837.7+(126.1-653.3)+(-1.874454+(-0.128622--0.666366))+0-0-0</f>
        <v>1309.16329</v>
      </c>
      <c r="X234" s="3">
        <f>1828.3+(156.2-654.9)+(-2.797299+(-0.238986--1.001997))+0-0-0</f>
        <v>1327.5657119999998</v>
      </c>
      <c r="Y234" s="3">
        <f>1829+(146.8-660.5)+(-3.73116+(-0.299472--1.34742))+0-0-0</f>
        <v>1312.616788</v>
      </c>
      <c r="Z234" s="3">
        <f>1840.4+(182.9-755.4)+(-0.938604+(-0.093279--0.385254))+0-0-0</f>
        <v>1267.253371</v>
      </c>
      <c r="AA234" s="3">
        <f>1820.4+(268.6-869.1)+(-2.785212+(-0.410958--1.329723))+0-0-0</f>
        <v>1218.033553</v>
      </c>
      <c r="AB234" s="3">
        <f>1553.9+(173.6-583.5)+(0+(0-0))+0-0-0</f>
        <v>1144</v>
      </c>
      <c r="AC234" s="3">
        <f>1535.7+(123.7-580.8)+(-3.916035+(-0.315435--1.48104))+0-0-0</f>
        <v>1075.8495700000001</v>
      </c>
      <c r="AD234">
        <v>1343.9</v>
      </c>
      <c r="AE234" s="3">
        <f>1840+(145.5-641.6)+(0+(0-0))+0-0-0</f>
        <v>1343.9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1342.9+(96.5-448.3)+(0+(0-0))+0-0-0</f>
        <v>991.10000000000014</v>
      </c>
      <c r="G235" s="3">
        <f>1299.3+(117.2-476.4)+(0+(0-0))+0-0-0</f>
        <v>940.09999999999991</v>
      </c>
      <c r="H235" s="3">
        <f>1294.1+(112.7-483.9)+(-0.659991+(-0.057477--0.246789))+0-0-0</f>
        <v>922.42932099999985</v>
      </c>
      <c r="I235" s="3">
        <f>1303.3+(110.1-508.8)+(0+(0-0))+0-0-0</f>
        <v>904.59999999999991</v>
      </c>
      <c r="J235" s="3">
        <f>1307.9+(88.3-495.6)+(0.667029+(0.045033-0.252756))+0-0-0</f>
        <v>901.05930600000011</v>
      </c>
      <c r="K235" s="3">
        <f>1303+(68.8-464.5)+(3.32265+(0.17544-1.184475))+0-0-0</f>
        <v>909.61361499999998</v>
      </c>
      <c r="L235" s="3">
        <f>1260.7+(79.5-445.8)+(-1.928871+(-0.121635--0.682074))+0-0-0</f>
        <v>893.03156800000011</v>
      </c>
      <c r="M235" s="3">
        <f>1465.5+(45.1-564.1)+(2.242215+(0.069003-0.863073))+0-0-0</f>
        <v>947.94814499999995</v>
      </c>
      <c r="N235" s="3">
        <f>1791.6+(53.8-774.5)+(3.654864+(0.109752-1.57998))+0-0-0</f>
        <v>1073.0846359999998</v>
      </c>
      <c r="O235" s="3">
        <f>1759.6+(82.4-743.1)+(-0.897396+(-0.042024--0.378981))+0-0-0</f>
        <v>1098.3395609999998</v>
      </c>
      <c r="P235" s="3">
        <f>1757.5+(102-750.4)+(-0.896325+(-0.05202--0.382704))+0-0-0</f>
        <v>1108.534359</v>
      </c>
      <c r="Q235" s="3">
        <f>1752.6+(125-774.6)+(0+(0-0))+0-0-0</f>
        <v>1103</v>
      </c>
      <c r="R235" s="3">
        <f>1727.8+(85.1-752.9)+(-4.40589+(-0.217005--1.919895))+0-0-0</f>
        <v>1057.297</v>
      </c>
      <c r="S235" s="3">
        <f>1672.7+(82.4-714.7)+(-2.559231+(-0.126072--1.093491))+0-0-0</f>
        <v>1038.8081880000002</v>
      </c>
      <c r="T235" s="3">
        <f>1679+(84.9-741.3)+(2.56887+(0.129897-1.134189))+0-0-0</f>
        <v>1024.1645780000001</v>
      </c>
      <c r="U235" s="3">
        <f>1661.7+(83.4-723.3)+(-1.694934+(-0.085068--0.737766))+0-0-0</f>
        <v>1020.7577640000001</v>
      </c>
      <c r="V235" s="3">
        <f>1699.4+(90.4-718.3)+(-0.866694+(-0.046104--0.366333))+0-0-0</f>
        <v>1070.9535350000001</v>
      </c>
      <c r="W235" s="3">
        <f>1812.4+(121.4-649.8)+(1.848648+(0.123828-0.662796))+0-0-0</f>
        <v>1285.3096800000001</v>
      </c>
      <c r="X235" s="3">
        <f>1820.7+(97.3-608.7)+(-0.928557+(-0.049623--0.310437))+0-0-0</f>
        <v>1308.632257</v>
      </c>
      <c r="Y235" s="3">
        <f>1831.3+(69-622.7)+(0+(0-0))+0-0-0</f>
        <v>1277.5999999999999</v>
      </c>
      <c r="Z235" s="3">
        <f>1813.3+(64.7-646.2)+(-3.699132+(-0.131988--1.318248))+0-0-0</f>
        <v>1229.2871279999999</v>
      </c>
      <c r="AA235" s="3">
        <f>1825.4+(173-804)+(-1.861908+(-0.17646--0.82008))+0-0-0</f>
        <v>1193.1817120000001</v>
      </c>
      <c r="AB235" s="3">
        <f>1770.5+(221-839.2)+(-2.708865+(-0.33813--1.283976))+0-0-0</f>
        <v>1150.536981</v>
      </c>
      <c r="AC235" s="3">
        <f>1661.7+(143.6-723.7)+(-0.847467+(-0.073236--0.369087))+0-0-0</f>
        <v>1081.0483839999999</v>
      </c>
      <c r="AD235">
        <v>1323.4</v>
      </c>
      <c r="AE235" s="3">
        <f>1845+(175.6-576.8)+(0+(0-0))+0-0-0</f>
        <v>1443.8000000000002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1490.7+(161-636.3)+(-1.520514+(-0.16422--0.649026))+0-0-0</f>
        <v>1014.3642920000001</v>
      </c>
      <c r="G236" s="3">
        <f>1279.9+(174.4-504)+(0+(0-0))+0-0-0</f>
        <v>950.30000000000007</v>
      </c>
      <c r="H236" s="3">
        <f>1298.1+(182-553.8)+(2.648124+(0.37128-1.129752))+0-0-0</f>
        <v>928.18965199999991</v>
      </c>
      <c r="I236" s="3">
        <f>1293.7+(168.4-546.1)+(2.639148+(0.343536-1.114044))+0-0-0</f>
        <v>917.86864000000003</v>
      </c>
      <c r="J236" s="3">
        <f>1275.6+(130.1-510.3)+(0+(0-0))+0-0-0</f>
        <v>895.39999999999986</v>
      </c>
      <c r="K236" s="3">
        <f>1283.8+(132.6-513.8)+(1.964214+(0.202878-0.786114))+0-0-0</f>
        <v>903.98097800000005</v>
      </c>
      <c r="L236" s="3">
        <f>1278.1+(118.9-515.8)+(0+(0-0))+0-0-0</f>
        <v>881.19999999999993</v>
      </c>
      <c r="M236" s="3">
        <f>1316.2+(126.2-578)+(0.671262+(0.064362-0.29478))+0-0-0</f>
        <v>864.84084400000006</v>
      </c>
      <c r="N236" s="3">
        <f>1369.2+(143.4-607.3)+(0.698292+(0.073134-0.309723))+0-0-0</f>
        <v>905.76170300000013</v>
      </c>
      <c r="O236" s="3">
        <f>1447+(162.1-657.2)+(2.21391+(0.248013-1.005516))+0-0-0</f>
        <v>953.35640699999999</v>
      </c>
      <c r="P236" s="3">
        <f>1629.4+(168.1-815.5)+(-1.661988+(-0.171462--0.83181))+0-0-0</f>
        <v>980.99836000000016</v>
      </c>
      <c r="Q236" s="3">
        <f>1668.5+(173.4-844.8)+(1.70187+(0.176868-0.861696))+0-0-0</f>
        <v>998.11704199999997</v>
      </c>
      <c r="R236" s="3">
        <f>1653.3+(136.4-805.5)+(-3.372732+(-0.278256--1.64322))+0-0-0</f>
        <v>982.19223199999988</v>
      </c>
      <c r="S236" s="3">
        <f>1659.5+(133.6-829.2)+(0+(0-0))+0-0-0</f>
        <v>963.9</v>
      </c>
      <c r="T236" s="3">
        <f>1644.7+(120.3-807.7)+(-3.355188+(-0.245412--1.647708))+0-0-0</f>
        <v>955.34710799999993</v>
      </c>
      <c r="U236" s="3">
        <f>1639.6+(112.8-785.4)+(-0.836196+(-0.057528--0.400554))+0-0-0</f>
        <v>966.50682999999992</v>
      </c>
      <c r="V236" s="3">
        <f>1639.6+(105.9-703.7)+(-0.836196+(-0.054009--0.358887))+0-0-0</f>
        <v>1041.2686819999997</v>
      </c>
      <c r="W236" s="3">
        <f>1652.1+(147.3-572.8)+(0.842571+(0.075123-0.292128))+0-0-0</f>
        <v>1227.2255659999998</v>
      </c>
      <c r="X236" s="3">
        <f>1647.1+(156.8-553.8)+(-1.680042+(-0.159936--0.564876))+0-0-0</f>
        <v>1248.8248979999998</v>
      </c>
      <c r="Y236" s="3">
        <f>1654.5+(166.4-589)+(-0.843795+(-0.084864--0.30039))+0-0-0</f>
        <v>1231.271731</v>
      </c>
      <c r="Z236" s="3">
        <f>1652.6+(159.7-600.4)+(-2.528478+(-0.244341--0.918612))+0-0-0</f>
        <v>1210.0457929999998</v>
      </c>
      <c r="AA236" s="3">
        <f>1567.7+(176.3-569.2)+(-0.799527+(-0.089913--0.290292))+0-0-0</f>
        <v>1174.2008519999999</v>
      </c>
      <c r="AB236" s="3">
        <f>1435.3+(198.1-514.1)+(-2.196009+(-0.303093--0.786573))+0-0-0</f>
        <v>1117.5874710000001</v>
      </c>
      <c r="AC236" s="3">
        <f>1440.8+(226.9-616.8)+(-1.469616+(-0.231438--0.629136))+0-0-0</f>
        <v>1049.828082</v>
      </c>
      <c r="AD236">
        <v>1261.6999999999998</v>
      </c>
      <c r="AE236" s="3">
        <f>1684+(118.6-540.9)+(0+(0-0))+0-0-0</f>
        <v>1261.7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1379.7+(231.5-655.6)+(1.407294+(0.23613-0.668712))+0-0-0</f>
        <v>956.57471199999998</v>
      </c>
      <c r="G237" s="3">
        <f>1243.9+(202.4-545.6)+(0+(0-0))+0-0-0</f>
        <v>900.7</v>
      </c>
      <c r="H237" s="3">
        <f>1242.5+(193.5-563)+(-1.26735+(-0.19737--0.57426))+0-0-0</f>
        <v>872.10954000000004</v>
      </c>
      <c r="I237" s="3">
        <f>1237.9+(193.6-568.9)+(-1.893987+(-0.296208--0.870417))+0-0-0</f>
        <v>861.28022200000009</v>
      </c>
      <c r="J237" s="3">
        <f>1240.9+(191.5-566.7)+(-1.265718+(-0.19533--0.578034))+0-0-0</f>
        <v>864.81698600000004</v>
      </c>
      <c r="K237" s="3">
        <f>1320.2+(181.6-618.7)+(0.673302+(0.092616-0.315537))+0-0-0</f>
        <v>883.55038100000002</v>
      </c>
      <c r="L237" s="3">
        <f>1581+(203.5-881.2)+(0.80631+(0.103785-0.449412))+0-0-0</f>
        <v>903.76068299999997</v>
      </c>
      <c r="M237" s="3">
        <f>1657.3+(284.3-989.1)+(0+(0-0))+0-0-0</f>
        <v>952.5</v>
      </c>
      <c r="N237" s="3">
        <f>1663.3+(421-1016.2)+(2.544849+(0.64413-1.554786))+0-0-0</f>
        <v>1069.734193</v>
      </c>
      <c r="O237" s="3">
        <f>1657.8+(372-934.3)+(0.845478+(0.18972-0.476493))+0-0-0</f>
        <v>1096.0587049999999</v>
      </c>
      <c r="P237" s="3">
        <f>1632.2+(409.4-938.2)+(-1.664844+(-0.417588--0.956964))+0-0-0</f>
        <v>1102.2745320000001</v>
      </c>
      <c r="Q237" s="3">
        <f>1648.7+(396.5-930.5)+(-2.522511+(-0.606645--1.423665))+0-0-0</f>
        <v>1112.9945090000001</v>
      </c>
      <c r="R237" s="3">
        <f>1640.8+(413.2-945.1)+(-0.836808+(-0.210732--0.482001))+0-0-0</f>
        <v>1108.3344609999999</v>
      </c>
      <c r="S237" s="3">
        <f>1629.7+(412.2-941.8)+(-1.662294+(-0.420444--0.960636))+0-0-0</f>
        <v>1098.9778980000001</v>
      </c>
      <c r="T237" s="3">
        <f>1639.4+(420.5-953)+(0+(0-0))+0-0-0</f>
        <v>1106.9000000000001</v>
      </c>
      <c r="U237" s="3">
        <f>1647.3+(390.4-920)+(1.680246+(0.398208-0.9384))+0-0-0</f>
        <v>1118.8400539999998</v>
      </c>
      <c r="V237" s="3">
        <f>1657.9+(316.8-808.6)+(1.691058+(0.323136-0.824772))+0-0-0</f>
        <v>1167.2894220000001</v>
      </c>
      <c r="W237" s="3">
        <f>1676.5+(290.1-641.7)+(1.71003+(0.295902-0.654534))+0-0-0</f>
        <v>1326.2513980000001</v>
      </c>
      <c r="X237" s="3">
        <f>1689.7+(357.5-721.3)+(-4.308735+(-0.911625--1.839315))+0-0-0</f>
        <v>1322.518955</v>
      </c>
      <c r="Y237" s="3">
        <f>1655.7+(340-691.1)+(-1.688814+(-0.3468--0.704922))+0-0-0</f>
        <v>1303.2693079999999</v>
      </c>
      <c r="Z237" s="3">
        <f>1637+(343.4-704.3)+(-5.00922+(-1.050804--2.155158))+0-0-0</f>
        <v>1272.1951339999998</v>
      </c>
      <c r="AA237" s="3">
        <f>1654.1+(324.3-742.8)+(-1.687182+(-0.330786--0.757656))+0-0-0</f>
        <v>1234.3396879999998</v>
      </c>
      <c r="AB237" s="3">
        <f>1530.3+(266.2-615.9)+(-2.341359+(-0.407286--0.942327))+0-0-0</f>
        <v>1178.793682</v>
      </c>
      <c r="AC237" s="3">
        <f>1420.8+(229.6-556.5)+(-1.449216+(-0.234192--0.56763))+0-0-0</f>
        <v>1092.784222</v>
      </c>
      <c r="AD237">
        <v>1339.6999999999998</v>
      </c>
      <c r="AE237" s="3">
        <f>1696+(368.7-725)+(0+(0-0))+0-0-0</f>
        <v>1339.7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1128.8+(242.1-389.3)+(0+(0-0))+0-0-0</f>
        <v>981.59999999999991</v>
      </c>
      <c r="G238" s="3">
        <f>1110+(235.6-408.2)+(-1.1322+(-0.240312--0.416364))+0-0-0</f>
        <v>936.44385199999999</v>
      </c>
      <c r="H238" s="3">
        <f>1113+(238-440.2)+(-1.13526+(-0.24276--0.449004))+0-0-0</f>
        <v>909.87098399999991</v>
      </c>
      <c r="I238" s="3">
        <f>1118.5+(224.1-434.1)+(1.14087+(0.228582-0.442782))+0-0-0</f>
        <v>909.42666999999994</v>
      </c>
      <c r="J238" s="3">
        <f>1118+(218.4-426.1)+(0.57018+(0.111384-0.217311))+0-0-0</f>
        <v>910.76425299999994</v>
      </c>
      <c r="K238" s="3">
        <f>1119+(212.5-412.8)+(1.14138+(0.21675-0.421056))+0-0-0</f>
        <v>919.6370740000001</v>
      </c>
      <c r="L238" s="3">
        <f>1311.1+(112.7-458.5)+(2.005983+(0.172431-0.701505))+0-0-0</f>
        <v>966.77690899999993</v>
      </c>
      <c r="M238" s="3">
        <f>1586.4+(96.8-571.2)+(1.618128+(0.098736-0.582624))+0-0-0</f>
        <v>1113.1342400000001</v>
      </c>
      <c r="N238" s="3">
        <f>1678.8+(96-612.6)+(0.856188+(0.04896-0.312426))+0-0-0</f>
        <v>1162.7927219999999</v>
      </c>
      <c r="O238" s="3">
        <f>1672+(133.2-612.6)+(0+(0-0))+0-0-0</f>
        <v>1192.5999999999999</v>
      </c>
      <c r="P238" s="3">
        <f>1665.6+(148.9-629.9)+(-0.849456+(-0.075939--0.321249))+0-0-0</f>
        <v>1183.995854</v>
      </c>
      <c r="Q238" s="3">
        <f>1637.5+(216.4-676.2)+(-2.505375+(-0.331092--1.034586))+0-0-0</f>
        <v>1175.8981189999997</v>
      </c>
      <c r="R238" s="3">
        <f>1667.1+(199.6-693.6)+(0+(0-0))+0-0-0</f>
        <v>1173.0999999999999</v>
      </c>
      <c r="S238" s="3">
        <f>1665.9+(215.5-739.2)+(0.849609+(0.109905-0.376992))+0-0-0</f>
        <v>1142.782522</v>
      </c>
      <c r="T238" s="3">
        <f>1676.6+(362.8-913)+(1.710132+(0.370056-0.93126))+0-0-0</f>
        <v>1127.5489279999999</v>
      </c>
      <c r="U238" s="3">
        <f>1667.7+(389.3-924)+(0.850527+(0.198543-0.47124))+0-0-0</f>
        <v>1133.5778299999999</v>
      </c>
      <c r="V238" s="3">
        <f>1683.9+(343.2-834.7)+(2.576367+(0.525096-1.277091))+0-0-0</f>
        <v>1194.2243720000001</v>
      </c>
      <c r="W238" s="3">
        <f>1689.7+(351.6-726.3)+(0+(0-0))+0-0-0</f>
        <v>1315</v>
      </c>
      <c r="X238" s="3">
        <f>1682.8+(353.4-718.6)+(-1.716456+(-0.360468--0.732972))+0-0-0</f>
        <v>1316.256048</v>
      </c>
      <c r="Y238" s="3">
        <f>1682.5+(335.4-726.4)+(-0.858075+(-0.171054--0.370464))+0-0-0</f>
        <v>1290.8413350000001</v>
      </c>
      <c r="Z238" s="3">
        <f>1682.8+(353.6-775.9)+(-0.858228+(-0.180336--0.395709))+0-0-0</f>
        <v>1259.8571449999999</v>
      </c>
      <c r="AA238" s="3">
        <f>1674.8+(344.3-794.2)+(-1.708296+(-0.351186--0.810084))+0-0-0</f>
        <v>1223.6506019999999</v>
      </c>
      <c r="AB238" s="3">
        <f>1656.8+(366.3-864.6)+(0+(0-0))+0-0-0</f>
        <v>1158.5</v>
      </c>
      <c r="AC238" s="3">
        <f>1485.3+(372.5-783.5)+(1.515006+(0.37995-0.79917))+0-0-0</f>
        <v>1075.395786</v>
      </c>
      <c r="AD238">
        <v>1348.5</v>
      </c>
      <c r="AE238" s="3">
        <f>1680+(409.1-740.6)+(0+(0-0))+0-0-0</f>
        <v>1348.5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1355.7+(357.9-715.3)+(-0.691407+(-0.182529--0.364803))+0-0-0</f>
        <v>997.79086700000005</v>
      </c>
      <c r="G239" s="3">
        <f>1204.2+(381.5-642.9)+(-0.614142+(-0.194565--0.327879))+0-0-0</f>
        <v>942.31917200000009</v>
      </c>
      <c r="H239" s="3">
        <f>1135.4+(342.8-556)+(-2.316216+(-0.699312--1.13424))+0-0-0</f>
        <v>920.318712</v>
      </c>
      <c r="I239" s="3">
        <f>1162.4+(283.7-536.2)+(2.96412+(0.723435-1.36731))+0-0-0</f>
        <v>912.22024500000009</v>
      </c>
      <c r="J239" s="3">
        <f>1173+(303.1-570.1)+(0+(0-0))+0-0-0</f>
        <v>906</v>
      </c>
      <c r="K239" s="3">
        <f>1274.2+(301.2-647)+(-2.599368+(-0.614448--1.31988))+0-0-0</f>
        <v>926.50606400000004</v>
      </c>
      <c r="L239" s="3">
        <f>1449.6+(341.8-842)+(1.478592+(0.348636-0.85884))+0-0-0</f>
        <v>950.36838799999987</v>
      </c>
      <c r="M239" s="3">
        <f>1650.7+(375.2-1017.5)+(2.525571+(0.574056-1.556775))+0-0-0</f>
        <v>1009.9428520000001</v>
      </c>
      <c r="N239" s="3">
        <f>1683.5+(399.3-976.4)+(1.71717+(0.407286-0.995928))+0-0-0</f>
        <v>1107.5285280000001</v>
      </c>
      <c r="O239" s="3">
        <f>1681.7+(397.7-952.6)+(2.573001+(0.608481-1.457478))+0-0-0</f>
        <v>1128.5240039999999</v>
      </c>
      <c r="P239" s="3">
        <f>1672+(431.3-938.7)+(0.85272+(0.219963-0.478737))+0-0-0</f>
        <v>1165.1939459999999</v>
      </c>
      <c r="Q239" s="3">
        <f>1643.7+(411.5-875.8)+(-4.191435+(-1.049325--2.23329))+0-0-0</f>
        <v>1176.3925300000001</v>
      </c>
      <c r="R239" s="3">
        <f>1630+(389.1-870.5)+(-4.1565+(-0.992205--2.219775))+0-0-0</f>
        <v>1145.6710699999999</v>
      </c>
      <c r="S239" s="3">
        <f>1648+(327.3-840.8)+(-0.84048+(-0.166923--0.428808))+0-0-0</f>
        <v>1133.921405</v>
      </c>
      <c r="T239" s="3">
        <f>1652.1+(304.9-843.4)+(0.842571+(0.155499-0.430134))+0-0-0</f>
        <v>1114.1679359999998</v>
      </c>
      <c r="U239" s="3">
        <f>1652.3+(305.5-840.8)+(0+(0-0))+0-0-0</f>
        <v>1117</v>
      </c>
      <c r="V239" s="3">
        <f>1643.5+(228.9-705.3)+(-0.838185+(-0.116739--0.359703))+0-0-0</f>
        <v>1166.5047789999999</v>
      </c>
      <c r="W239" s="3">
        <f>1658.6+(173.3-503.7)+(0+(0-0))+0-0-0</f>
        <v>1328.1999999999998</v>
      </c>
      <c r="X239" s="3">
        <f>1641.7+(250.8-566)+(-2.511801+(-0.383724--0.86598))+0-0-0</f>
        <v>1324.4704549999999</v>
      </c>
      <c r="Y239" s="3">
        <f>1641.5+(299.8-636.8)+(-2.511495+(-0.458694--0.974304))+0-0-0</f>
        <v>1302.504115</v>
      </c>
      <c r="Z239" s="3">
        <f>1647.9+(308.3-682.8)+(-2.521287+(-0.471699--1.044684))+0-0-0</f>
        <v>1271.4516980000001</v>
      </c>
      <c r="AA239" s="3">
        <f>1652.5+(320-741.3)+(-1.68555+(-0.3264--0.756126))+0-0-0</f>
        <v>1229.944176</v>
      </c>
      <c r="AB239" s="3">
        <f>1636.2+(292-744.3)+(-2.503386+(-0.44676--1.138779))+0-0-0</f>
        <v>1182.0886330000001</v>
      </c>
      <c r="AC239" s="3">
        <f>1640.7+(290.9-816.6)+(-0.836757+(-0.148359--0.416466))+0-0-0</f>
        <v>1114.4313500000001</v>
      </c>
      <c r="AD239">
        <v>1345.3000000000002</v>
      </c>
      <c r="AE239" s="3">
        <f>1678+(161.9-494.6)+(0+(0-0))+0-0-0</f>
        <v>1345.3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1436.3+(335.6-766.8)+(0.732513+(0.171156-0.391068))+0-0-0</f>
        <v>1005.612601</v>
      </c>
      <c r="G240" s="3">
        <f>1042.2+(372.7-490.5)+(0.531522+(0.190077-0.250155))+0-0-0</f>
        <v>924.87144400000011</v>
      </c>
      <c r="H240" s="3">
        <f>899.4+(345.3-360.7)+(0+(0-0))+0-0-0</f>
        <v>884</v>
      </c>
      <c r="I240" s="3">
        <f>906.6+(335-374.1)+(0+(0-0))+0-0-0</f>
        <v>867.5</v>
      </c>
      <c r="J240" s="3">
        <f>995.7+(308.5-428.4)+(0.507807+(0.157335-0.218484))+0-0-0</f>
        <v>876.24665800000002</v>
      </c>
      <c r="K240" s="3">
        <f>1057.8+(278.6-459.8)+(1.078956+(0.284172-0.468996))+0-0-0</f>
        <v>877.49413199999992</v>
      </c>
      <c r="L240" s="3">
        <f>1100.2+(296.6-542.2)+(-1.122204+(-0.302532--0.553044))+0-0-0</f>
        <v>853.72830799999997</v>
      </c>
      <c r="M240" s="3">
        <f>1169+(312.1-621.7)+(-0.59619+(-0.159171--0.317067))+0-0-0</f>
        <v>858.96170599999994</v>
      </c>
      <c r="N240" s="3">
        <f>1432.1+(333.8-818.9)+(0+(0-0))+0-0-0</f>
        <v>947</v>
      </c>
      <c r="O240" s="3">
        <f>1447.4+(341-783.1)+(0.738174+(0.17391-0.399381))+0-0-0</f>
        <v>1005.8127030000001</v>
      </c>
      <c r="P240" s="3">
        <f>1449.7+(365.7-789.5)+(2.218041+(0.559521-1.207935))+0-0-0</f>
        <v>1027.4696270000002</v>
      </c>
      <c r="Q240" s="3">
        <f>1453.1+(356.1-784.9)+(1.482162+(0.363222-0.800598))+0-0-0</f>
        <v>1025.3447859999999</v>
      </c>
      <c r="R240" s="3">
        <f>1450+(341.5-793.5)+(-4.437+(-1.04499--2.42811))+0-0-0</f>
        <v>994.94611999999995</v>
      </c>
      <c r="S240" s="3">
        <f>1564.3+(329.8-919.2)+(-3.191172+(-0.672792--1.875168))+0-0-0</f>
        <v>972.91120399999988</v>
      </c>
      <c r="T240" s="3">
        <f>1625.9+(352.2-1008.5)+(0+(0-0))+0-0-0</f>
        <v>969.60000000000014</v>
      </c>
      <c r="U240" s="3">
        <f>1638.1+(289.3-934.5)+(0.835431+(0.147543-0.476595))+0-0-0</f>
        <v>993.4063789999999</v>
      </c>
      <c r="V240" s="3">
        <f>1635.8+(206.5-767.4)+(-0.834258+(-0.105315--0.391374))+0-0-0</f>
        <v>1074.351801</v>
      </c>
      <c r="W240" s="3">
        <f>1676.5+(217.2-687.8)+(0+(0-0))+0-0-0</f>
        <v>1205.9000000000001</v>
      </c>
      <c r="X240" s="3">
        <f>1679.5+(278.3-739.5)+(-2.569635+(-0.425799--1.131435))+0-0-0</f>
        <v>1216.436001</v>
      </c>
      <c r="Y240" s="3">
        <f>1692.5+(313.1-813.6)+(0+(0-0))+0-0-0</f>
        <v>1192</v>
      </c>
      <c r="Z240" s="3">
        <f>1688.6+(368.7-887.8)+(-1.722372+(-0.376074--0.905556))+0-0-0</f>
        <v>1168.30711</v>
      </c>
      <c r="AA240" s="3">
        <f>1684.8+(339.1-863.1)+(-1.718496+(-0.345882--0.880362))+0-0-0</f>
        <v>1159.615984</v>
      </c>
      <c r="AB240" s="3">
        <f>1648.9+(316-857.2)+(-2.522817+(-0.48348--1.311516))+0-0-0</f>
        <v>1106.0052190000001</v>
      </c>
      <c r="AC240" s="3">
        <f>1577.6+(338.6-883.4)+(-2.413728+(-0.518058--1.351602))+0-0-0</f>
        <v>1031.219816</v>
      </c>
      <c r="AD240">
        <v>1253</v>
      </c>
      <c r="AE240" s="3">
        <f>1699+(308.5-754.5)+(0+(0-0))+0-0-0</f>
        <v>1253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1334.3+(406.2-769.2)+(-2.041479+(-0.621486--1.176876))+0-0-0</f>
        <v>969.81391099999996</v>
      </c>
      <c r="G241" s="3">
        <f>1119.6+(375.3-583.6)+(-1.141992+(-0.382806--0.595272))+0-0-0</f>
        <v>910.37047399999994</v>
      </c>
      <c r="H241" s="3">
        <f>1125.9+(321.4-557.8)+(1.148418+(0.327828-0.568956))+0-0-0</f>
        <v>890.4072900000001</v>
      </c>
      <c r="I241" s="3">
        <f>1120.5+(323.9-574.8)+(0+(0-0))+0-0-0</f>
        <v>869.6</v>
      </c>
      <c r="J241" s="3">
        <f>1184.6+(286.8-598)+(-1.208292+(-0.292536--0.60996))+0-0-0</f>
        <v>872.50913199999991</v>
      </c>
      <c r="K241" s="3">
        <f>1234.9+(208.8-547.8)+(-1.259598+(-0.212976--0.558756))+0-0-0</f>
        <v>894.9861820000001</v>
      </c>
      <c r="L241" s="3">
        <f>1517.8+(213.3-812.2)+(-0.774078+(-0.108783--0.414222))+0-0-0</f>
        <v>918.43136099999981</v>
      </c>
      <c r="M241" s="3">
        <f>1653.7+(254-938.9)+(0+(0-0))+0-0-0</f>
        <v>968.80000000000007</v>
      </c>
      <c r="N241" s="3">
        <f>1656.8+(342.4-926.9)+(0+(0-0))+0-0-0</f>
        <v>1072.3</v>
      </c>
      <c r="O241" s="3">
        <f>1665.3+(390.9-946.4)+(2.547909+(0.598077-1.447992))+0-0-0</f>
        <v>1111.4979940000001</v>
      </c>
      <c r="P241" s="3">
        <f>1641.1+(386.9-905.4)+(-2.510883+(-0.591957--1.385262))+0-0-0</f>
        <v>1120.8824219999999</v>
      </c>
      <c r="Q241" s="3">
        <f>1656+(408.2-936.2)+(-0.84456+(-0.208182--0.477462))+0-0-0</f>
        <v>1127.42472</v>
      </c>
      <c r="R241" s="3">
        <f>1631+(411.9-959.4)+(-2.49543+(-0.630207--1.467882))+0-0-0</f>
        <v>1081.842245</v>
      </c>
      <c r="S241" s="3">
        <f>1636.1+(382.4-955)+(-2.503233+(-0.585072--1.46115))+0-0-0</f>
        <v>1061.8728450000001</v>
      </c>
      <c r="T241" s="3">
        <f>1660.3+(402.6-1008.9)+(0+(0-0))+0-0-0</f>
        <v>1054</v>
      </c>
      <c r="U241" s="3">
        <f>1650.7+(371.7-976.7)+(-0.841857+(-0.189567--0.498117))+0-0-0</f>
        <v>1045.1666930000001</v>
      </c>
      <c r="V241" s="3">
        <f>1649+(311.7-842.4)+(-0.84099+(-0.158967--0.429624))+0-0-0</f>
        <v>1117.7296670000001</v>
      </c>
      <c r="W241" s="3">
        <f>1651.3+(255.7-612.9)+(0+(0-0))+0-0-0</f>
        <v>1294.0999999999999</v>
      </c>
      <c r="X241" s="3">
        <f>1637.9+(287.2-616.3)+(-2.505987+(-0.439416--0.942939))+0-0-0</f>
        <v>1306.7975360000003</v>
      </c>
      <c r="Y241" s="3">
        <f>1631.7+(317.5-662.8)+(-4.160835+(-0.809625--1.69014))+0-0-0</f>
        <v>1283.11968</v>
      </c>
      <c r="Z241" s="3">
        <f>1636.9+(347.2-743.7)+(-3.339276+(-0.708288--1.517148))+0-0-0</f>
        <v>1237.869584</v>
      </c>
      <c r="AA241" s="3">
        <f>1646.6+(358.2-801.6)+(-1.679532+(-0.365364--0.817632))+0-0-0</f>
        <v>1201.9727359999997</v>
      </c>
      <c r="AB241" s="3">
        <f>1628.2+(377.7-855)+(-4.15191+(-0.963135--2.18025))+0-0-0</f>
        <v>1147.9652050000002</v>
      </c>
      <c r="AC241" s="3">
        <f>1344.3+(424.2-699.2)+(-0.685593+(-0.216342--0.356592))+0-0-0</f>
        <v>1068.754657</v>
      </c>
      <c r="AD241">
        <v>1343.1</v>
      </c>
      <c r="AE241" s="3">
        <f>1666+(264.7-587.6)+(0+(0-0))+0-0-0</f>
        <v>1343.1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1185.7+(432.5-605.8)+(-2.418828+(-0.8823--1.235832))+0-0-0</f>
        <v>1010.3347040000001</v>
      </c>
      <c r="G242" s="3">
        <f>1123.8+(406.6-576.1)+(-2.292552+(-0.829464--1.175244))+0-0-0</f>
        <v>952.35322799999994</v>
      </c>
      <c r="H242" s="3">
        <f>1139+(337-555.5)+(0+(0-0))+0-0-0</f>
        <v>920.5</v>
      </c>
      <c r="I242" s="3">
        <f>1123.8+(323.1-540.8)+(-1.719414+(-0.494343--0.827424))+0-0-0</f>
        <v>904.71366699999999</v>
      </c>
      <c r="J242" s="3">
        <f>1134.7+(311.6-542.2)+(0.578697+(0.158916-0.276522))+0-0-0</f>
        <v>904.56109100000003</v>
      </c>
      <c r="K242" s="3">
        <f>1253.5+(304.1-639.1)+(-0.639285+(-0.155091--0.325941))+0-0-0</f>
        <v>918.031565</v>
      </c>
      <c r="L242" s="3">
        <f>1398.5+(297-776.1)+(-3.566175+(-0.75735--1.979055))+0-0-0</f>
        <v>917.05552999999998</v>
      </c>
      <c r="M242" s="3">
        <f>1442.2+(320.9-793.9)+(0.735522+(0.163659-0.404889))+0-0-0</f>
        <v>969.69429200000002</v>
      </c>
      <c r="N242" s="3">
        <f>1622.2+(336.5-873.8)+(0.827322+(0.171615-0.445638))+0-0-0</f>
        <v>1085.453299</v>
      </c>
      <c r="O242" s="3">
        <f>1645.5+(353.8-845.2)+(-1.67841+(-0.360876--0.862104))+0-0-0</f>
        <v>1152.922818</v>
      </c>
      <c r="P242" s="3">
        <f>1661.3+(363.1-839)+(0.847263+(0.185181-0.42789))+0-0-0</f>
        <v>1186.0045540000001</v>
      </c>
      <c r="Q242" s="3">
        <f>1642.7+(350.7-800)+(-3.351108+(-0.715428--1.632))+0-0-0</f>
        <v>1190.9654640000001</v>
      </c>
      <c r="R242" s="3">
        <f>1621.9+(288.7-760.2)+(-6.617352+(-1.177896--3.101616))+0-0-0</f>
        <v>1145.7063680000001</v>
      </c>
      <c r="S242" s="3">
        <f>1646+(287.7-827.2)+(-0.83946+(-0.146727--0.421872))+0-0-0</f>
        <v>1105.9356849999999</v>
      </c>
      <c r="T242" s="3">
        <f>1661.2+(270.8-848.9)+(0+(0-0))+0-0-0</f>
        <v>1083.1000000000001</v>
      </c>
      <c r="U242" s="3">
        <f>1640.3+(265.9-811.6)+(-3.346212+(-0.542436--1.655664))+0-0-0</f>
        <v>1092.3670159999999</v>
      </c>
      <c r="V242" s="3">
        <f>1663.6+(201.4-691.5)+(0.848436+(0.102714-0.352665))+0-0-0</f>
        <v>1174.098485</v>
      </c>
      <c r="W242" s="3">
        <f>1675.9+(191.6-567.8)+(0+(0-0))+0-0-0</f>
        <v>1299.7000000000003</v>
      </c>
      <c r="X242" s="3">
        <f>1676.5+(228.7-609.3)+(-4.275075+(-0.583185--1.553715))+0-0-0</f>
        <v>1292.5954550000001</v>
      </c>
      <c r="Y242" s="3">
        <f>1689+(243.9-671.9)+(0+(0-0))+0-0-0</f>
        <v>1261</v>
      </c>
      <c r="Z242" s="3">
        <f>1678.8+(292.9-754.8)+(-3.424752+(-0.597516--1.539792))+0-0-0</f>
        <v>1214.4175240000002</v>
      </c>
      <c r="AA242" s="3">
        <f>1685.3+(280.9-776.6)+(-0.859503+(-0.143259--0.396066))+0-0-0</f>
        <v>1188.9933039999999</v>
      </c>
      <c r="AB242" s="3">
        <f>1679.7+(309.8-837.7)+(-2.569941+(-0.473994--1.281681))+0-0-0</f>
        <v>1150.037746</v>
      </c>
      <c r="AC242" s="3">
        <f>1619.2+(319.6-858.7)+(-6.606336+(-1.303968--3.503496))+0-0-0</f>
        <v>1075.693192</v>
      </c>
      <c r="AD242">
        <v>1307.9000000000001</v>
      </c>
      <c r="AE242" s="3">
        <f>1688+(187.4-567.5)+(0+(0-0))+0-0-0</f>
        <v>1307.9000000000001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1463.6+(301.6-762.1)+(-3.73218+(-0.76908--1.943355))+0-0-0</f>
        <v>1000.5420949999999</v>
      </c>
      <c r="G243" s="3">
        <f>1274.7+(294-620.3)+(0.650097+(0.14994-0.316353))+0-0-0</f>
        <v>948.88368400000013</v>
      </c>
      <c r="H243" s="3">
        <f>1233.2+(285.6-603.9)+(-2.515728+(-0.582624--1.231956))+0-0-0</f>
        <v>913.03360400000008</v>
      </c>
      <c r="I243" s="3">
        <f>1131.3+(216.6-444)+(0+(0-0))+0-0-0</f>
        <v>903.9</v>
      </c>
      <c r="J243" s="3">
        <f>1120.7+(255.2-475.3)+(-1.143114+(-0.260304--0.484806))+0-0-0</f>
        <v>899.68138799999997</v>
      </c>
      <c r="K243" s="3">
        <f>1132.1+(244.7-473.6)+(1.154742+(0.249594-0.483072))+0-0-0</f>
        <v>904.12126399999977</v>
      </c>
      <c r="L243" s="3">
        <f>1128.7+(273-527)+(-1.151274+(-0.27846--0.53754))+0-0-0</f>
        <v>873.80780600000003</v>
      </c>
      <c r="M243" s="3">
        <f>1188+(216.6-547.3)+(-1.21176+(-0.220932--0.558246))+0-0-0</f>
        <v>856.42555400000003</v>
      </c>
      <c r="N243" s="3">
        <f>1390.3+(281.7-774.9)+(-0.709053+(-0.143667--0.395199))+0-0-0</f>
        <v>896.64247899999987</v>
      </c>
      <c r="O243" s="3">
        <f>1556.5+(327.2-928.4)+(-1.58763+(-0.333744--0.946968))+0-0-0</f>
        <v>954.32559399999991</v>
      </c>
      <c r="P243" s="3">
        <f>1557.9+(303.7-858)+(-2.383587+(-0.464661--1.31274))+0-0-0</f>
        <v>1002.0644920000001</v>
      </c>
      <c r="Q243" s="3">
        <f>1565.2+(296.4-842.8)+(-1.596504+(-0.302328--0.859656))+0-0-0</f>
        <v>1017.7608240000001</v>
      </c>
      <c r="R243" s="3">
        <f>1555.8+(331.4-879)+(-2.380374+(-0.507042--1.34487))+0-0-0</f>
        <v>1006.6574539999999</v>
      </c>
      <c r="S243" s="3">
        <f>1554.3+(337.1-908.2)+(-2.378079+(-0.515763--1.389546))+0-0-0</f>
        <v>981.69570399999998</v>
      </c>
      <c r="T243" s="3">
        <f>1554.5+(311.9-893.1)+(-3.17118+(-0.636276--1.821924))+0-0-0</f>
        <v>971.31446799999992</v>
      </c>
      <c r="U243" s="3">
        <f>1570.5+(287.7-868.3)+(0+(0-0))+0-0-0</f>
        <v>989.90000000000009</v>
      </c>
      <c r="V243" s="3">
        <f>1639.9+(189.8-762.5)+(0+(0-0))+0-0-0</f>
        <v>1067.2</v>
      </c>
      <c r="W243" s="3">
        <f>1662.2+(155.1-604)+(0.847722+(0.079101-0.30804))+0-0-0</f>
        <v>1213.9187830000001</v>
      </c>
      <c r="X243" s="3">
        <f>1660.3+(187.1-626.6)+(0+(0-0))+0-0-0</f>
        <v>1220.8</v>
      </c>
      <c r="Y243" s="3">
        <f>1662.9+(256.5-718.2)+(0.848079+(0.130815-0.366282))+0-0-0</f>
        <v>1201.8126119999999</v>
      </c>
      <c r="Z243" s="3">
        <f>1653.6+(316.8-789.4)+(-1.686672+(-0.323136--0.805188))+0-0-0</f>
        <v>1179.79538</v>
      </c>
      <c r="AA243" s="3">
        <f>1652.7+(364.9-860.5)+(-1.685754+(-0.372198--0.87771))+0-0-0</f>
        <v>1155.919758</v>
      </c>
      <c r="AB243" s="3">
        <f>1640.6+(394.9-923.4)+(-3.346824+(-0.805596--1.883736))+0-0-0</f>
        <v>1109.831316</v>
      </c>
      <c r="AC243" s="3">
        <f>1471.6+(360.9-788.6)+(-3.002064+(-0.736236--1.608744))+0-0-0</f>
        <v>1041.7704439999998</v>
      </c>
      <c r="AD243">
        <v>1223</v>
      </c>
      <c r="AE243" s="3">
        <f>1654+(155-586)+(0+(0-0))+0-0-0</f>
        <v>1223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1130.8+(407.7-607.7)+(0+(0-0))+0-0-0</f>
        <v>930.8</v>
      </c>
      <c r="G244" s="3">
        <f>1125.3+(346.8-588)+(-2.869515+(-0.88434--1.4994))+0-0-0</f>
        <v>881.8455449999999</v>
      </c>
      <c r="H244" s="3">
        <f>1143.8+(270.3-548.8)+(1.750014+(0.413559-0.839664))+0-0-0</f>
        <v>866.62390899999991</v>
      </c>
      <c r="I244" s="3">
        <f>1130.5+(288.4-565.7)+(-1.15311+(-0.294168--0.577014))+0-0-0</f>
        <v>852.32973599999991</v>
      </c>
      <c r="J244" s="3">
        <f>1149.4+(259.2-548)+(2.93097+(0.66096-1.3974))+0-0-0</f>
        <v>862.79453000000012</v>
      </c>
      <c r="K244" s="3">
        <f>1137+(288-554.8)+(0.57987+(0.14688-0.282948))+0-0-0</f>
        <v>870.64380200000005</v>
      </c>
      <c r="L244" s="3">
        <f>1252.4+(359.8-712.4)+(-1.916172+(-0.550494--1.089972))+0-0-0</f>
        <v>898.42330600000014</v>
      </c>
      <c r="M244" s="3">
        <f>1644+(401.3-1089.7)+(0.83844+(0.204663-0.555747))+0-0-0</f>
        <v>956.08735599999989</v>
      </c>
      <c r="N244" s="3">
        <f>1675+(416-1033.7)+(0.85425+(0.21216-0.527187))+0-0-0</f>
        <v>1057.8392229999999</v>
      </c>
      <c r="O244" s="3">
        <f>1663.6+(447.5-1013.7)+(-3.393744+(-0.9129--2.067948))+0-0-0</f>
        <v>1095.161304</v>
      </c>
      <c r="P244" s="3">
        <f>1665.6+(421.3-970.2)+(-0.849456+(-0.214863--0.494802))+0-0-0</f>
        <v>1116.1304829999999</v>
      </c>
      <c r="Q244" s="3">
        <f>1671.4+(430.5-978.1)+(0.852414+(0.219555-0.498831))+0-0-0</f>
        <v>1124.3731380000002</v>
      </c>
      <c r="R244" s="3">
        <f>1657.4+(405.7-952.4)+(-2.535822+(-0.620721--1.457172))+0-0-0</f>
        <v>1109.0006290000001</v>
      </c>
      <c r="S244" s="3">
        <f>1655.5+(442.1-997.6)+(-2.532915+(-0.676413--1.526328))+0-0-0</f>
        <v>1098.317</v>
      </c>
      <c r="T244" s="3">
        <f>1636.8+(419.3-963.4)+(-0.834768+(-0.213843--0.491334))+0-0-0</f>
        <v>1092.1427229999999</v>
      </c>
      <c r="U244" s="3">
        <f>1631.1+(415.2-941.4)+(-2.495583+(-0.635256--1.440342))+0-0-0</f>
        <v>1103.2095029999998</v>
      </c>
      <c r="V244" s="3">
        <f>1666.4+(375.7-854.4)+(-0.849864+(-0.191607--0.435744))+0-0-0</f>
        <v>1187.0942730000002</v>
      </c>
      <c r="W244" s="3">
        <f>1690.2+(418.9-784.5)+(0.862002+(0.213639-0.400095))+0-0-0</f>
        <v>1325.2755459999998</v>
      </c>
      <c r="X244" s="3">
        <f>1709.9+(443.6-831.9)+(-3.488196+(-0.904944--1.697076))+0-0-0</f>
        <v>1318.9039360000002</v>
      </c>
      <c r="Y244" s="3">
        <f>1682.8+(429.4-805.9)+(0+(0-0))+0-0-0</f>
        <v>1306.3</v>
      </c>
      <c r="Z244" s="3">
        <f>1673.3+(465.5-874.1)+(-0.853383+(-0.237405--0.445791))+0-0-0</f>
        <v>1264.0550029999997</v>
      </c>
      <c r="AA244" s="3">
        <f>1645.4+(470.5-885.6)+(-5.034924+(-1.43973--2.709936))+0-0-0</f>
        <v>1226.5352820000003</v>
      </c>
      <c r="AB244" s="3">
        <f>1668.4+(427.1-920.2)+(-1.701768+(-0.435642--0.938604))+0-0-0</f>
        <v>1174.1011940000001</v>
      </c>
      <c r="AC244" s="3">
        <f>1429.9+(372.6-719.1)+(-5.104743+(-1.330182--2.567187))+0-0-0</f>
        <v>1079.5322620000002</v>
      </c>
      <c r="AD244">
        <v>1320.9999999999998</v>
      </c>
      <c r="AE244" s="3">
        <f>1709+(437.7-825.7)+(0+(0-0))+0-0-0</f>
        <v>1321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1145.1+(367.7-517.6)+(-1.752003+(-0.562581--0.791928))+0-0-0</f>
        <v>993.67734399999983</v>
      </c>
      <c r="G245" s="3">
        <f>1137.1+(401.4-589.7)+(-1.159842+(-0.409428--0.601494))+0-0-0</f>
        <v>947.83222399999988</v>
      </c>
      <c r="H245" s="3">
        <f>1149.7+(409.2-634)+(0+(0-0))+0-0-0</f>
        <v>924.90000000000009</v>
      </c>
      <c r="I245" s="3">
        <f>1140.3+(329.7-559.5)+(0+(0-0))+0-0-0</f>
        <v>910.5</v>
      </c>
      <c r="J245" s="3">
        <f>1150.8+(275-507.9)+(1.173816+(0.2805-0.518058))+0-0-0</f>
        <v>918.83625799999993</v>
      </c>
      <c r="K245" s="3">
        <f>1156.1+(277.1-498.6)+(1.179222+(0.282642-0.508572))+0-0-0</f>
        <v>935.55329199999994</v>
      </c>
      <c r="L245" s="3">
        <f>1226.2+(314.9-588.3)+(1.876086+(0.481797-0.900099))+0-0-0</f>
        <v>954.25778400000002</v>
      </c>
      <c r="M245" s="3">
        <f>1340.5+(269.6-596.9)+(2.050965+(0.412488-0.913257))+0-0-0</f>
        <v>1014.7501960000001</v>
      </c>
      <c r="N245" s="3">
        <f>1466.4+(343-709.8)+(-0.747864+(-0.17493--0.361998))+0-0-0</f>
        <v>1099.0392040000002</v>
      </c>
      <c r="O245" s="3">
        <f>1604.1+(370.9-836.2)+(-0.818091+(-0.189159--0.426462))+0-0-0</f>
        <v>1138.2192119999997</v>
      </c>
      <c r="P245" s="3">
        <f>1651.4+(410.7-895.6)+(-0.842214+(-0.209457--0.456756))+0-0-0</f>
        <v>1165.9050850000001</v>
      </c>
      <c r="Q245" s="3">
        <f>1642.8+(448.4-911.9)+(-2.513484+(-0.686052--1.395207))+0-0-0</f>
        <v>1177.4956709999999</v>
      </c>
      <c r="R245" s="3">
        <f>1639.3+(397.6-876.2)+(-2.508129+(-0.608328--1.340586))+0-0-0</f>
        <v>1158.9241289999998</v>
      </c>
      <c r="S245" s="3">
        <f>1634.1+(378.9-863.1)+(-3.333564+(-0.772956--1.760724))+0-0-0</f>
        <v>1147.5542039999998</v>
      </c>
      <c r="T245" s="3">
        <f>1644.2+(401.1-911.7)+(-0.838542+(-0.204561--0.464967))+0-0-0</f>
        <v>1133.0218639999998</v>
      </c>
      <c r="U245" s="3">
        <f>1660.7+(381.5-901.1)+(2.540871+(0.583695-1.378683))+0-0-0</f>
        <v>1142.845883</v>
      </c>
      <c r="V245" s="3">
        <f>1631+(320.2-745.5)+(-4.15905+(-0.81651--1.901025))+0-0-0</f>
        <v>1202.6254650000001</v>
      </c>
      <c r="W245" s="3">
        <f>1672.6+(307.8-644.6)+(0.853026+(0.156978-0.328746))+0-0-0</f>
        <v>1336.481258</v>
      </c>
      <c r="X245" s="3">
        <f>1664.7+(337.4-671.1)+(-5.093982+(-1.032444--2.053566))+0-0-0</f>
        <v>1326.92714</v>
      </c>
      <c r="Y245" s="3">
        <f>1680.3+(363.5-742.6)+(-1.713906+(-0.37077--0.757452))+0-0-0</f>
        <v>1299.8727759999999</v>
      </c>
      <c r="Z245" s="3">
        <f>1670.3+(397.1-791.6)+(-3.407412+(-0.810084--1.614864))+0-0-0</f>
        <v>1273.1973679999999</v>
      </c>
      <c r="AA245" s="3">
        <f>1671.3+(430.3-859.1)+(-4.261815+(-1.097265--2.190705))+0-0-0</f>
        <v>1239.331625</v>
      </c>
      <c r="AB245" s="3">
        <f>1543.6+(392.4-750.5)+(-2.361708+(-0.600372--1.148265))+0-0-0</f>
        <v>1183.686185</v>
      </c>
      <c r="AC245" s="3">
        <f>1411.6+(423.7-746)+(-1.439832+(-0.432174--0.76092))+0-0-0</f>
        <v>1088.1889140000001</v>
      </c>
      <c r="AD245">
        <v>1341.2</v>
      </c>
      <c r="AE245" s="3">
        <f>1696+(313.9-668.7)+(0+(0-0))+0-0-0</f>
        <v>1341.1999999999998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1367+(445-812.7)+(1.39434+(0.4539-0.828954))+0-0-0</f>
        <v>1000.3192859999999</v>
      </c>
      <c r="G246" s="3">
        <f>1222.8+(441.4-713.7)+(-1.247256+(-0.450228--0.727974))+0-0-0</f>
        <v>949.53048999999987</v>
      </c>
      <c r="H246" s="3">
        <f>1139.1+(429.1-645.1)+(0.580941+(0.218841-0.329001))+0-0-0</f>
        <v>923.5707809999999</v>
      </c>
      <c r="I246" s="3">
        <f>1147.4+(378.2-621.9)+(0.585174+(0.192882-0.317169))+0-0-0</f>
        <v>904.160887</v>
      </c>
      <c r="J246" s="3">
        <f>1130.6+(357.4-592.5)+(-1.153212+(-0.364548--0.60435))+0-0-0</f>
        <v>894.58658999999989</v>
      </c>
      <c r="K246" s="3">
        <f>1173.1+(411.9-668.1)+(1.196562+(0.420138-0.681462))+0-0-0</f>
        <v>917.83523799999989</v>
      </c>
      <c r="L246" s="3">
        <f>1318.2+(423.2-794.6)+(-1.344564+(-0.431664--0.810492))+0-0-0</f>
        <v>945.83426399999996</v>
      </c>
      <c r="M246" s="3">
        <f>1544.6+(374.4-904)+(-0.787746+(-0.190944--0.46104))+0-0-0</f>
        <v>1014.4823499999999</v>
      </c>
      <c r="N246" s="3">
        <f>1613.6+(342.7-847.8)+(0+(0-0))+0-0-0</f>
        <v>1108.5</v>
      </c>
      <c r="O246" s="3">
        <f>1612.4+(316.9-778)+(0.822324+(0.161619-0.39678))+0-0-0</f>
        <v>1151.8871630000001</v>
      </c>
      <c r="P246" s="3">
        <f>1602+(308.6-743)+(-1.63404+(-0.314772--0.75786))+0-0-0</f>
        <v>1166.409048</v>
      </c>
      <c r="Q246" s="3">
        <f>1577.6+(321-720.7)+(-4.02288+(-0.81855--1.837785))+0-0-0</f>
        <v>1174.8963549999999</v>
      </c>
      <c r="R246" s="3">
        <f>1590.6+(366.4-801.4)+(-2.433618+(-0.560592--1.226142))+0-0-0</f>
        <v>1153.8319319999998</v>
      </c>
      <c r="S246" s="3">
        <f>1594+(371.6-819.8)+(-1.62588+(-0.379032--0.836196))+0-0-0</f>
        <v>1144.6312840000003</v>
      </c>
      <c r="T246" s="3">
        <f>1616.5+(376.9-860.9)+(2.473245+(0.576657-1.317177))+0-0-0</f>
        <v>1134.2327250000001</v>
      </c>
      <c r="U246" s="3">
        <f>1611.3+(343-808.3)+(0.821763+(0.17493-0.412233))+0-0-0</f>
        <v>1146.58446</v>
      </c>
      <c r="V246" s="3">
        <f>1611.3+(303-685.7)+(0+(0-0))+0-0-0</f>
        <v>1228.5999999999999</v>
      </c>
      <c r="W246" s="3">
        <f>1647.3+(295.2-584.5)+(0+(0-0))+0-0-0</f>
        <v>1358</v>
      </c>
      <c r="X246" s="3">
        <f>1631.5+(367.3-649.2)+(-2.496195+(-0.561969--0.993276))+0-0-0</f>
        <v>1347.5351119999998</v>
      </c>
      <c r="Y246" s="3">
        <f>1617.9+(367.1-664)+(-4.125645+(-0.936105--1.6932))+0-0-0</f>
        <v>1317.6314500000001</v>
      </c>
      <c r="Z246" s="3">
        <f>1634.9+(407.6-756.8)+(0+(0-0))+0-0-0</f>
        <v>1285.7000000000003</v>
      </c>
      <c r="AA246" s="3">
        <f>1620.7+(445.2-818.9)+(-4.132785+(-1.13526--2.088195))+0-0-0</f>
        <v>1243.82015</v>
      </c>
      <c r="AB246" s="3">
        <f>1621.7+(394-830.1)+(-3.308268+(-0.80376--1.693404))+0-0-0</f>
        <v>1183.181376</v>
      </c>
      <c r="AC246" s="3">
        <f>1529.1+(343.4-778.1)+(-3.119364+(-0.700536--1.587324))+0-0-0</f>
        <v>1092.1674239999998</v>
      </c>
      <c r="AD246">
        <v>1432.9</v>
      </c>
      <c r="AE246" s="3">
        <f>1718+(310.9-596)+(0+(0-0))+0-0-0</f>
        <v>1432.9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1284.4+(323.5-625.6)+(-1.965132+(-0.494955--0.957168))+0-0-0</f>
        <v>980.79708100000005</v>
      </c>
      <c r="G247" s="3">
        <f>1128+(317.6-524.2)+(0+(0-0))+0-0-0</f>
        <v>921.4</v>
      </c>
      <c r="H247" s="3">
        <f>1137.1+(331.9-572.4)+(0+(0-0))+0-0-0</f>
        <v>896.59999999999991</v>
      </c>
      <c r="I247" s="3">
        <f>1127.2+(373.8-618.2)+(0+(0-0))+0-0-0</f>
        <v>882.8</v>
      </c>
      <c r="J247" s="3">
        <f>1144+(343.4-600.7)+(2.33376+(0.700536-1.225428))+0-0-0</f>
        <v>888.50886799999989</v>
      </c>
      <c r="K247" s="3">
        <f>1149.4+(318.2-565.4)+(2.344776+(0.649128-1.153416))+0-0-0</f>
        <v>904.0404880000001</v>
      </c>
      <c r="L247" s="3">
        <f>1305.6+(402.7-762.3)+(1.331712+(0.410754-0.777546))+0-0-0</f>
        <v>946.96492000000001</v>
      </c>
      <c r="M247" s="3">
        <f>1419.5+(419.1-845.9)+(0+(0-0))+0-0-0</f>
        <v>992.7</v>
      </c>
      <c r="N247" s="3">
        <f>1427.4+(415.3-759.9)+(0.727974+(0.211803-0.387549))+0-0-0</f>
        <v>1083.3522280000002</v>
      </c>
      <c r="O247" s="3">
        <f>1431.7+(442.4-746.1)+(1.460334+(0.451248-0.761022))+0-0-0</f>
        <v>1129.15056</v>
      </c>
      <c r="P247" s="3">
        <f>1482.3+(423.3-753.9)+(-0.755973+(-0.215883--0.384489))+0-0-0</f>
        <v>1151.112633</v>
      </c>
      <c r="Q247" s="3">
        <f>1626.4+(415.3-873.3)+(-4.976784+(-1.270818--2.672298))+0-0-0</f>
        <v>1164.8246960000001</v>
      </c>
      <c r="R247" s="3">
        <f>1653.9+(428-929.5)+(-3.373956+(-0.87312--1.89618))+0-0-0</f>
        <v>1150.0491040000002</v>
      </c>
      <c r="S247" s="3">
        <f>1662.5+(400-936.8)+(-0.847875+(-0.204--0.477768))+0-0-0</f>
        <v>1125.1258930000001</v>
      </c>
      <c r="T247" s="3">
        <f>1665.8+(432.1-1000.6)+(0+(0-0))+0-0-0</f>
        <v>1097.3</v>
      </c>
      <c r="U247" s="3">
        <f>1667.1+(380.5-932.6)+(0.850221+(0.194055-0.475626))+0-0-0</f>
        <v>1115.5686499999999</v>
      </c>
      <c r="V247" s="3">
        <f>1686.7+(335.2-828.1)+(0.860217+(0.170952-0.422331))+0-0-0</f>
        <v>1194.4088380000001</v>
      </c>
      <c r="W247" s="3">
        <f>1687.9+(334.5-703.8)+(-0.860829+(-0.170595--0.358938))+0-0-0</f>
        <v>1317.9275140000002</v>
      </c>
      <c r="X247" s="3">
        <f>1694.1+(419.6-804.7)+(0+(0-0))+0-0-0</f>
        <v>1309</v>
      </c>
      <c r="Y247" s="3">
        <f>1680.6+(405-809.3)+(-3.428424+(-0.8262--1.650972))+0-0-0</f>
        <v>1273.6963479999999</v>
      </c>
      <c r="Z247" s="3">
        <f>1681.2+(399-835.2)+(-0.857412+(-0.20349--0.425952))+0-0-0</f>
        <v>1244.3650500000001</v>
      </c>
      <c r="AA247" s="3">
        <f>1650.8+(434.4-877.9)+(-3.367632+(-0.886176--1.790916))+0-0-0</f>
        <v>1204.8371079999999</v>
      </c>
      <c r="AB247" s="3">
        <f>1419.6+(411.5-690.6)+(-2.171988+(-0.629595--1.056618))+0-0-0</f>
        <v>1138.7550349999999</v>
      </c>
      <c r="AC247" s="3">
        <f>1225.9+(451.4-625.4)+(-1.875627+(-0.690642--0.956862))+0-0-0</f>
        <v>1050.2905930000002</v>
      </c>
      <c r="AD247">
        <v>1327.2</v>
      </c>
      <c r="AE247" s="3">
        <f>1699+(427.5-799.3)+(0+(0-0))+0-0-0</f>
        <v>1327.2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1116.4+(370.8-515.8)+(-1.138728+(-0.378216--0.526116))+0-0-0</f>
        <v>970.40917200000013</v>
      </c>
      <c r="G248" s="3">
        <f>1122.7+(328.5-519.3)+(-1.145154+(-0.33507--0.529686))+0-0-0</f>
        <v>930.94946200000004</v>
      </c>
      <c r="H248" s="3">
        <f>1122.1+(312.5-540.6)+(-1.144542+(-0.31875--0.551412))+0-0-0</f>
        <v>893.08811999999989</v>
      </c>
      <c r="I248" s="3">
        <f>1122.7+(310.9-556)+(-0.572577+(-0.158559--0.28356))+0-0-0</f>
        <v>877.152424</v>
      </c>
      <c r="J248" s="3">
        <f>1171.7+(298.6-588.7)+(1.195134+(0.304572-0.600474))+0-0-0</f>
        <v>882.49923200000001</v>
      </c>
      <c r="K248" s="3">
        <f>1333.6+(260.5-699.3)+(1.360272+(0.26571-0.713286))+0-0-0</f>
        <v>895.71269599999994</v>
      </c>
      <c r="L248" s="3">
        <f>1448.7+(264.3-775.4)+(-0.738837+(-0.134793--0.395454))+0-0-0</f>
        <v>937.12182400000017</v>
      </c>
      <c r="M248" s="3">
        <f>1517+(286.9-817.8)+(0+(0-0))+0-0-0</f>
        <v>986.1</v>
      </c>
      <c r="N248" s="3">
        <f>1558.7+(222.5-730.9)+(-0.794937+(-0.113475--0.372759))+0-0-0</f>
        <v>1049.7643470000003</v>
      </c>
      <c r="O248" s="3">
        <f>1658.4+(182.7-746.7)+(0.845784+(0.093177-0.380817))+0-0-0</f>
        <v>1094.9581440000002</v>
      </c>
      <c r="P248" s="3">
        <f>1652.8+(222-725.1)+(-0.842928+(-0.11322--0.369801))+0-0-0</f>
        <v>1149.1136529999999</v>
      </c>
      <c r="Q248" s="3">
        <f>1640.9+(233-715)+(-3.347436+(-0.47532--1.4586))+0-0-0</f>
        <v>1156.535844</v>
      </c>
      <c r="R248" s="3">
        <f>1631+(216.8-721.7)+(-4.15905+(-0.55284--1.840335))+0-0-0</f>
        <v>1123.228445</v>
      </c>
      <c r="S248" s="3">
        <f>1623+(229.2-742.7)+(-3.31092+(-0.467568--1.515108))+0-0-0</f>
        <v>1107.2366199999999</v>
      </c>
      <c r="T248" s="3">
        <f>1642.3+(225.3-762.5)+(-2.512719+(-0.344709--1.166625))+0-0-0</f>
        <v>1103.4091969999999</v>
      </c>
      <c r="U248" s="3">
        <f>1645.9+(185.9-720.9)+(-1.678818+(-0.189618--0.735318))+0-0-0</f>
        <v>1109.7668820000001</v>
      </c>
      <c r="V248" s="3">
        <f>1644.3+(305.7-766.7)+(-1.677186+(-0.311814--0.782034))+0-0-0</f>
        <v>1182.093034</v>
      </c>
      <c r="W248" s="3">
        <f>1666.5+(332.7-677.6)+(0.849915+(0.169677-0.345576))+0-0-0</f>
        <v>1322.2740159999998</v>
      </c>
      <c r="X248" s="3">
        <f>1630.4+(343.4-661.2)+(-4.989024+(-1.050804--2.023272))+0-0-0</f>
        <v>1308.5834439999999</v>
      </c>
      <c r="Y248" s="3">
        <f>1626.6+(352.3-683.5)+(-5.806962+(-1.257711--2.440095))+0-0-0</f>
        <v>1290.7754219999999</v>
      </c>
      <c r="Z248" s="3">
        <f>1642+(316.1-692.6)+(-2.51226+(-0.483633--1.059678))+0-0-0</f>
        <v>1263.5637850000001</v>
      </c>
      <c r="AA248" s="3">
        <f>1651.5+(362.4-780.3)+(-1.68453+(-0.369648--0.795906))+0-0-0</f>
        <v>1232.3417279999999</v>
      </c>
      <c r="AB248" s="3">
        <f>1635.9+(386.9-834.8)+(-2.502927+(-0.591957--1.277244))+0-0-0</f>
        <v>1186.18236</v>
      </c>
      <c r="AC248" s="3">
        <f>1457.2+(327.7-673)+(-0.743172+(-0.167127--0.34323))+0-0-0</f>
        <v>1111.3329310000001</v>
      </c>
      <c r="AD248">
        <v>1289.6000000000001</v>
      </c>
      <c r="AE248" s="3">
        <f>1645+(336.9-692.3)+(0+(0-0))+0-0-0</f>
        <v>1289.5999999999999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1408.5+(319.8-720.1)+(-2.155005+(-0.489294--1.101753))+0-0-0</f>
        <v>1006.657454</v>
      </c>
      <c r="G249" s="3">
        <f>1139.2+(313.3-516.4)+(-1.161984+(-0.319566--0.526728))+0-0-0</f>
        <v>935.1451780000001</v>
      </c>
      <c r="H249" s="3">
        <f>1133.6+(242.3-461.8)+(-2.312544+(-0.494292--0.942072))+0-0-0</f>
        <v>912.23523599999987</v>
      </c>
      <c r="I249" s="3">
        <f>1141.1+(247.1-492.1)+(1.163922+(0.252042-0.501942))+0-0-0</f>
        <v>897.01402199999995</v>
      </c>
      <c r="J249" s="3">
        <f>1213.6+(232.4-551.8)+(-2.475744+(-0.474096--1.125672))+0-0-0</f>
        <v>892.37583199999995</v>
      </c>
      <c r="K249" s="3">
        <f>1275.4+(199.9-563.9)+(-1.951362+(-0.305847--0.862767))+0-0-0</f>
        <v>910.00555800000006</v>
      </c>
      <c r="L249" s="3">
        <f>1405.1+(217.7-699.2)+(0+(0-0))+0-0-0</f>
        <v>923.59999999999991</v>
      </c>
      <c r="M249" s="3">
        <f>1500.6+(208.2-753.7)+(0+(0-0))+0-0-0</f>
        <v>955.09999999999991</v>
      </c>
      <c r="N249" s="3">
        <f>1645.2+(162.6-753.2)+(1.678104+(0.165852-0.768264))+0-0-0</f>
        <v>1055.6756919999998</v>
      </c>
      <c r="O249" s="3">
        <f>1664.9+(162.5-710.5)+(-0.849099+(-0.082875--0.362355))+0-0-0</f>
        <v>1116.330381</v>
      </c>
      <c r="P249" s="3">
        <f>1661+(57-568.8)+(-0.84711+(-0.02907--0.290088))+0-0-0</f>
        <v>1148.613908</v>
      </c>
      <c r="Q249" s="3">
        <f>1651.7+(55.2-541.1)+(-2.527101+(-0.084456--0.827883))+0-0-0</f>
        <v>1164.0163259999999</v>
      </c>
      <c r="R249" s="3">
        <f>1648.8+(85.6-569.8)+(-3.363552+(-0.174624--1.162392))+0-0-0</f>
        <v>1162.2242159999998</v>
      </c>
      <c r="S249" s="3">
        <f>1352.2+(203.6-458.2)+(1.379244+(0.207672-0.467364))+3.5-0-0</f>
        <v>1102.2195520000002</v>
      </c>
      <c r="T249" s="3">
        <f>432.2+(617.5-2.5)+(-0.220422+(-0.314925--0.001275))+0-0-0</f>
        <v>1046.6659280000001</v>
      </c>
      <c r="U249" s="3">
        <f>432.2+(660-1.7)+(-0.220422+(-0.3366--0.000867))+0-0-0</f>
        <v>1089.943845</v>
      </c>
      <c r="V249" s="3">
        <f>443.3+(703.9-0)+(-0.226083+(-0.358989-0))+0-0-0</f>
        <v>1146.614928</v>
      </c>
      <c r="W249" s="3">
        <f>746.6+(529.8-0)+(0.380766+(0.270198-0))+0-0-0</f>
        <v>1277.050964</v>
      </c>
      <c r="X249" s="3">
        <f>864.3+(474.4-55.5)+(-2.644758+(-1.451664--0.16983))+0-0-0</f>
        <v>1279.2734079999998</v>
      </c>
      <c r="Y249" s="3">
        <f>884.4+(494.5-109.4)+(-1.353132+(-0.756585--0.167382))+0-0-0</f>
        <v>1267.557665</v>
      </c>
      <c r="Z249" s="3">
        <f>1186+(411.7-373.3)+(-2.41944+(-0.839868--0.761532))+0-0-0</f>
        <v>1221.9022240000002</v>
      </c>
      <c r="AA249" s="3">
        <f>1296.9+(446.2-526.1)+(-1.322838+(-0.455124--0.536622))+0-0-0</f>
        <v>1215.75866</v>
      </c>
      <c r="AB249" s="3">
        <f>1450.7+(383-661.7)+(-2.219571+(-0.58599--1.012401))+0-0-0</f>
        <v>1170.2068400000001</v>
      </c>
      <c r="AC249" s="3">
        <f>1400.7+(352.9-631.2)+(-4.286142+(-1.079874--1.931472))+0-0-0</f>
        <v>1118.9654560000001</v>
      </c>
      <c r="AD249">
        <v>1297</v>
      </c>
      <c r="AE249" s="3">
        <f>865+(467.7-35.7)+(0+(0-0))+0-0-0</f>
        <v>1297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1326.4+(284.3-569.2)+(1.352928+(0.289986-0.580584))+0-0-0</f>
        <v>1042.56233</v>
      </c>
      <c r="G250" s="3">
        <f>1190.4+(262.9-484.2)+(-1.821312+(-0.402237--0.740826))+0-0-0</f>
        <v>967.61727700000017</v>
      </c>
      <c r="H250" s="3">
        <f>1138.4+(288.4-461.3)+(-1.741752+(-0.441252--0.705789))+0-0-0</f>
        <v>964.022785</v>
      </c>
      <c r="I250" s="3">
        <f>1134.3+(283-420.4)+(-1.156986+(-0.28866--0.428808))+0-0-0</f>
        <v>995.88316199999997</v>
      </c>
      <c r="J250" s="3">
        <f>1045.4+(229.8-359.2)+(-1.599462+(-0.351594--0.549576))+0-0-0</f>
        <v>914.59852000000012</v>
      </c>
      <c r="K250" s="3">
        <f>1208.3+(216.5-503.9)+(-1.232466+(-0.22083--0.513978))+0-0-0</f>
        <v>919.96068200000002</v>
      </c>
      <c r="L250" s="3">
        <f>1449.8+(242.2-764.9)+(-5.175786+(-0.864654--2.730693))+0-0-0</f>
        <v>923.79025299999989</v>
      </c>
      <c r="M250" s="3">
        <f>1380.4+(235.9-727.2)+(-1.408008+(-0.240618--0.741744))+0-0-0</f>
        <v>888.19311800000003</v>
      </c>
      <c r="N250" s="3">
        <f>1463.1+(261.3-831.6)+(0.746181+(0.133263-0.424116))+0-0-0</f>
        <v>893.25532799999996</v>
      </c>
      <c r="O250" s="3">
        <f>1492.8+(271.2-813.1)+(-3.80664+(-0.69156--2.073405))+0-0-0</f>
        <v>948.47520499999985</v>
      </c>
      <c r="P250" s="3">
        <f>1504.9+(276.6-797.3)+(-2.302497+(-0.423198--1.219869))+0-0-0</f>
        <v>982.6941740000002</v>
      </c>
      <c r="Q250" s="3">
        <f>1503+(317-815.2)+(-1.53306+(-0.32334--0.831504))+0-0-0</f>
        <v>1003.7751039999999</v>
      </c>
      <c r="R250" s="3">
        <f>1506+(310.7-795.2)+(-3.07224+(-0.633828--1.622208))+0-0-0</f>
        <v>1019.41614</v>
      </c>
      <c r="S250" s="3">
        <f>1428.4+(269.3-706.4)+(-2.185452+(-0.412029--1.080792))+0-0-0</f>
        <v>989.78331100000014</v>
      </c>
      <c r="T250" s="3">
        <f>1431.5+(232.1-682.7)+(0+(0-0))+0-0-0</f>
        <v>980.9</v>
      </c>
      <c r="U250" s="3">
        <f>1439.4+(266.8-719.7)+(-0.734094+(-0.136068--0.367047))+0-0-0</f>
        <v>985.99688500000002</v>
      </c>
      <c r="V250" s="3">
        <f>1467.2+(209-621.5)+(1.496544+(0.21318-0.63393))+0-0-0</f>
        <v>1055.7757940000001</v>
      </c>
      <c r="W250" s="3">
        <f>1689+(161.4-617.4)+(2.58417+(0.246942-0.944622))+0-0-0</f>
        <v>1234.8864900000001</v>
      </c>
      <c r="X250" s="3">
        <f>1704.2+(213.6-676.3)+(-1.738284+(-0.217872--0.689826))+0-0-0</f>
        <v>1240.2336700000001</v>
      </c>
      <c r="Y250" s="3">
        <f>1704+(236.1-714.5)+(-1.73808+(-0.240822--0.72879))+0-0-0</f>
        <v>1224.349888</v>
      </c>
      <c r="Z250" s="3">
        <f>1699.9+(299.3-809.8)+(-1.733898+(-0.305286--0.825996))+0-0-0</f>
        <v>1188.1868120000001</v>
      </c>
      <c r="AA250" s="3">
        <f>1697.4+(328.2-861.7)+(-2.597022+(-0.502146--1.318401))+0-0-0</f>
        <v>1162.1192330000001</v>
      </c>
      <c r="AB250" s="3">
        <f>1632+(314.7-836.5)+(-0.83232+(-0.160497--0.426615))+0-0-0</f>
        <v>1109.6337980000001</v>
      </c>
      <c r="AC250" s="3">
        <f>1409.2+(330.4-716.8)+(-2.156076+(-0.505512--1.096704))+0-0-0</f>
        <v>1021.2351160000001</v>
      </c>
      <c r="AD250">
        <v>1237.5</v>
      </c>
      <c r="AE250" s="3">
        <f>1720+(157.8-640.3)+(0+(0-0))+0-0-0</f>
        <v>1237.5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1158.9+(385.3-607.4)+(-0.591039+(-0.196503--0.309774))+0-0-0</f>
        <v>936.32223200000021</v>
      </c>
      <c r="G251" s="3">
        <f>1154.7+(369.1-638.6)+(0+(0-0))+0-0-0</f>
        <v>885.2</v>
      </c>
      <c r="H251" s="3">
        <f>1163.2+(337.5-641)+(1.186464+(0.34425-0.65382))+0-0-0</f>
        <v>860.57689400000004</v>
      </c>
      <c r="I251" s="3">
        <f>1173.9+(330.6-654.1)+(2.993445+(0.84303-1.667955))+0-0-0</f>
        <v>852.56852000000003</v>
      </c>
      <c r="J251" s="3">
        <f>1151.3+(294.5-598.2)+(-0.587163+(-0.150195--0.305082))+0-0-0</f>
        <v>847.16772399999991</v>
      </c>
      <c r="K251" s="3">
        <f>1204.4+(278.9-616.1)+(2.456976+(0.568956-1.256844))+0-0-0</f>
        <v>868.96908800000006</v>
      </c>
      <c r="L251" s="3">
        <f>1259.5+(320.9-686)+(1.927035+(0.490977-1.04958))+0-0-0</f>
        <v>895.76843199999996</v>
      </c>
      <c r="M251" s="3">
        <f>1302.3+(345.5-733.6)+(-1.328346+(-0.35241--0.748272))+0-0-0</f>
        <v>913.26751599999989</v>
      </c>
      <c r="N251" s="3">
        <f>1547.4+(346.1-856.7)+(1.578348+(0.353022-0.873834))+0-0-0</f>
        <v>1037.8575360000002</v>
      </c>
      <c r="O251" s="3">
        <f>1532.6+(345.6-776.2)+(-2.344878+(-0.528768--1.187586))+0-0-0</f>
        <v>1100.31394</v>
      </c>
      <c r="P251" s="3">
        <f>1554.5+(362.1-778.8)+(1.58559+(0.369342-0.794376))+0-0-0</f>
        <v>1138.9605560000002</v>
      </c>
      <c r="Q251" s="3">
        <f>1545.1+(381.6-777.2)+(0+(0-0))+0-0-0</f>
        <v>1149.5</v>
      </c>
      <c r="R251" s="3">
        <f>1526.1+(406.5-808.7)+(-2.334933+(-0.621945--1.237311))+0-0-0</f>
        <v>1122.1804329999998</v>
      </c>
      <c r="S251" s="3">
        <f>1532+(353.4-783.6)+(-0.78132+(-0.180234--0.399636))+0-0-0</f>
        <v>1101.2380819999998</v>
      </c>
      <c r="T251" s="3">
        <f>1533.5+(385.6-818.9)+(-0.782085+(-0.196656--0.417639))+0-0-0</f>
        <v>1099.6388980000002</v>
      </c>
      <c r="U251" s="3">
        <f>1525+(355.3-800.8)+(-2.33325+(-0.543609--1.225224))+0-0-0</f>
        <v>1077.8483650000001</v>
      </c>
      <c r="V251" s="3">
        <f>1557.1+(246.6-650.2)+(1.588242+(0.251532-0.663204))+0-0-0</f>
        <v>1154.6765700000001</v>
      </c>
      <c r="W251" s="3">
        <f>1676.2+(354.3-693.9)+(0.854862+(0.180693-0.353889))+0-0-0</f>
        <v>1337.2816660000001</v>
      </c>
      <c r="X251" s="3">
        <f>1656.7+(304.9-619.2)+(-2.534751+(-0.466497--0.947376))+0-0-0</f>
        <v>1340.3461280000001</v>
      </c>
      <c r="Y251" s="3">
        <f>1663.4+(269.6-615.1)+(-0.848334+(-0.137496--0.313701))+0-0-0</f>
        <v>1317.2278710000001</v>
      </c>
      <c r="Z251" s="3">
        <f>1656.4+(317.1-711.7)+(-1.689528+(-0.323442--0.725934))+0-0-0</f>
        <v>1260.5129640000002</v>
      </c>
      <c r="AA251" s="3">
        <f>1655.9+(377.7-809.7)+(-1.689018+(-0.385254--0.825894))+0-0-0</f>
        <v>1222.6516220000001</v>
      </c>
      <c r="AB251" s="3">
        <f>1661.9+(312.5-805.9)+(-0.847569+(-0.159375--0.411009))+0-0-0</f>
        <v>1167.9040649999999</v>
      </c>
      <c r="AC251" s="3">
        <f>1534.9+(318.3-778.2)+(-0.782799+(-0.162333--0.396882))+0-0-0</f>
        <v>1074.4517499999999</v>
      </c>
      <c r="AD251">
        <v>1338.3999999999999</v>
      </c>
      <c r="AE251" s="3">
        <f>1660+(360.1-681.7)+(0+(0-0))+0-0-0</f>
        <v>1338.4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1141.4+(414.6-596.8)+(-1.164228+(-0.422892--0.608736))+0-0-0</f>
        <v>958.22161600000015</v>
      </c>
      <c r="G252" s="3">
        <f>1138.1+(361.5-581.7)+(-1.160862+(-0.36873--0.593334))+0-0-0</f>
        <v>916.96374199999991</v>
      </c>
      <c r="H252" s="3">
        <f>1153.9+(404.5-670.5)+(1.176978+(0.41259-0.68391))+0-0-0</f>
        <v>888.80565800000011</v>
      </c>
      <c r="I252" s="3">
        <f>1155.8+(410.1-687.8)+(1.768374+(0.627453-1.052334))+0-0-0</f>
        <v>879.44349299999999</v>
      </c>
      <c r="J252" s="3">
        <f>1168.9+(366.7-657)+(2.980695+(0.935085-1.67535))+0-0-0</f>
        <v>880.84043000000008</v>
      </c>
      <c r="K252" s="3">
        <f>1240.3+(308.5-641.8)+(1.897659+(0.472005-0.981954))+0-0-0</f>
        <v>908.38770999999997</v>
      </c>
      <c r="L252" s="3">
        <f>1423.7+(303.4-777.1)+(-2.904348+(-0.618936--1.585284))+0-0-0</f>
        <v>948.06200000000001</v>
      </c>
      <c r="M252" s="3">
        <f>1516.5+(303-848.1)+(-0.773415+(-0.15453--0.432531))+0-0-0</f>
        <v>970.90458599999999</v>
      </c>
      <c r="N252" s="3">
        <f>1527.6+(347.5-819.8)+(1.558152+(0.35445-0.836196))+0-0-0</f>
        <v>1056.3764059999999</v>
      </c>
      <c r="O252" s="3">
        <f>1523.3+(334.3-749.4)+(0+(0-0))+0-0-0</f>
        <v>1108.2</v>
      </c>
      <c r="P252" s="3">
        <f>1524.7+(356.7-743.7)+(0.777597+(0.181917-0.379287))+0-0-0</f>
        <v>1138.280227</v>
      </c>
      <c r="Q252" s="3">
        <f>1513.1+(382.8-748.3)+(-1.543362+(-0.390456--0.763266))+0-0-0</f>
        <v>1146.4294479999999</v>
      </c>
      <c r="R252" s="3">
        <f>1488+(380.1-752.3)+(-4.55328+(-1.163106--2.302038))+0-0-0</f>
        <v>1112.3856520000002</v>
      </c>
      <c r="S252" s="3">
        <f>1493.1+(371.3-767.4)+(-3.807405+(-0.946815--1.95687))+0-0-0</f>
        <v>1094.2026499999999</v>
      </c>
      <c r="T252" s="3">
        <f>1499.4+(348.4-765.2)+(-1.529388+(-0.355368--0.780504))+0-0-0</f>
        <v>1081.4957479999998</v>
      </c>
      <c r="U252" s="3">
        <f>1520.5+(313-751.5)+(1.55091+(0.31926-0.76653))+0-0-0</f>
        <v>1083.10364</v>
      </c>
      <c r="V252" s="3">
        <f>1520.7+(287.8-628.2)+(1.551114+(0.293556-0.640764))+0-0-0</f>
        <v>1181.5039059999999</v>
      </c>
      <c r="W252" s="3">
        <f>1652.6+(338.6-650.1)+(2.528478+(0.518058-0.994653))+0-0-0</f>
        <v>1343.151883</v>
      </c>
      <c r="X252" s="3">
        <f>1675.7+(344.7-681.3)+(-2.563821+(-0.527391--1.042389))+0-0-0</f>
        <v>1337.0511770000001</v>
      </c>
      <c r="Y252" s="3">
        <f>1682.1+(375-749.9)+(-1.715742+(-0.3825--0.764898))+0-0-0</f>
        <v>1305.8666559999999</v>
      </c>
      <c r="Z252" s="3">
        <f>1684.9+(368.4-786.1)+(-0.859299+(-0.187884--0.400911))+0-0-0</f>
        <v>1266.5537280000001</v>
      </c>
      <c r="AA252" s="3">
        <f>1683.9+(401.2-845)+(-1.717578+(-0.409224--0.8619))+0-0-0</f>
        <v>1238.8350980000002</v>
      </c>
      <c r="AB252" s="3">
        <f>1665.1+(408.6-898.4)+(-5.095206+(-1.250316--2.749104))+0-0-0</f>
        <v>1171.7035819999999</v>
      </c>
      <c r="AC252" s="3">
        <f>1616.3+(420.1-952.6)+(-4.121565+(-1.071255--2.42913))+0-0-0</f>
        <v>1081.03631</v>
      </c>
      <c r="AD252">
        <v>1354.8</v>
      </c>
      <c r="AE252" s="3">
        <f>1703+(329.1-677.3)+(0+(0-0))+0-0-0</f>
        <v>1354.8000000000002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1244+(385.8-660.2)+(-0.63444+(-0.196758--0.336702))+0-0-0</f>
        <v>969.10550399999988</v>
      </c>
      <c r="G253" s="3">
        <f>1141.5+(347.1-571.3)+(-2.32866+(-0.708084--1.165452))+0-0-0</f>
        <v>915.42870800000003</v>
      </c>
      <c r="H253" s="3">
        <f>1156.8+(333.1-593.3)+(1.769904+(0.509643-0.907749))+0-0-0</f>
        <v>897.97179800000004</v>
      </c>
      <c r="I253" s="3">
        <f>1140.5+(316.8-569)+(-1.744965+(-0.484704--0.87057))+0-0-0</f>
        <v>886.94090099999994</v>
      </c>
      <c r="J253" s="3">
        <f>1155.3+(294.2-558.3)+(2.356812+(0.600168-1.138932))+0-0-0</f>
        <v>893.01804800000002</v>
      </c>
      <c r="K253" s="3">
        <f>1181.8+(329.3-609.3)+(0.602718+(0.167943-0.310743))+0-0-0</f>
        <v>902.25991799999997</v>
      </c>
      <c r="L253" s="3">
        <f>1374.9+(312.8-745.1)+(-0.701199+(-0.159528--0.380001))+0-0-0</f>
        <v>942.11927400000013</v>
      </c>
      <c r="M253" s="3">
        <f>1606.8+(262.8-887.2)+(-0.819468+(-0.134028--0.452472))+0-0-0</f>
        <v>981.89897599999983</v>
      </c>
      <c r="N253" s="3">
        <f>1661.5+(235.8-824.5)+(-0.847365+(-0.120258--0.420495))+0-0-0</f>
        <v>1072.252872</v>
      </c>
      <c r="O253" s="3">
        <f>1667.6+(261.9-821)+(-0.850476+(-0.133569--0.41871))+0-0-0</f>
        <v>1107.934665</v>
      </c>
      <c r="P253" s="3">
        <f>1665.3+(287.3-828.5)+(-0.849303+(-0.146523--0.422535))+0-0-0</f>
        <v>1123.526709</v>
      </c>
      <c r="Q253" s="3">
        <f>1652.2+(300.5-820)+(-2.527866+(-0.459765--1.2546))+0-0-0</f>
        <v>1130.9669690000001</v>
      </c>
      <c r="R253" s="3">
        <f>1644.4+(295-801.9)+(-2.515932+(-0.45135--1.226907))+0-0-0</f>
        <v>1135.7596249999999</v>
      </c>
      <c r="S253" s="3">
        <f>1649.2+(313.8-851.6)+(-0.841092+(-0.160038--0.434316))+0-0-0</f>
        <v>1110.8331860000001</v>
      </c>
      <c r="T253" s="3">
        <f>1570+(318.3-796.8)+(2.4021+(0.486999-1.219104))+0-0-0</f>
        <v>1093.169995</v>
      </c>
      <c r="U253" s="3">
        <f>1424.7+(333.8-699.7)+(0+(0-0))+0-0-0</f>
        <v>1058.8</v>
      </c>
      <c r="V253" s="3">
        <f>1432.4+(289.8-569.9)+(-2.922096+(-0.591192--1.162596))+0-0-0</f>
        <v>1149.9493080000002</v>
      </c>
      <c r="W253" s="3">
        <f>1458.5+(239.5-354)+(0.743835+(0.122145-0.18054))+0-0-0</f>
        <v>1344.68544</v>
      </c>
      <c r="X253" s="3">
        <f>1449.6+(270.4-370.2)+(-2.217888+(-0.413712--0.566406))+0-0-0</f>
        <v>1347.7348059999999</v>
      </c>
      <c r="Y253" s="3">
        <f>1454.7+(293.2-441.9)+(0+(0-0))+0-0-0</f>
        <v>1306</v>
      </c>
      <c r="Z253" s="3">
        <f>1456.5+(352.1-551.7)+(0+(0-0))+0-0-0</f>
        <v>1256.9000000000001</v>
      </c>
      <c r="AA253" s="3">
        <f>1445.7+(430.5-649.9)+(-2.949228+(-0.87822--1.325796))+0-0-0</f>
        <v>1223.7983480000003</v>
      </c>
      <c r="AB253" s="3">
        <f>1432.7+(417-682.2)+(-5.114739+(-1.48869--2.435454))+0-0-0</f>
        <v>1163.3320249999999</v>
      </c>
      <c r="AC253" s="3">
        <f>1314.1+(431.6-663.8)+(-3.350955+(-1.10058--1.69269))+0-0-0</f>
        <v>1079.141155</v>
      </c>
      <c r="AD253">
        <v>1357.2</v>
      </c>
      <c r="AE253" s="3">
        <f>1464+(252.4-359.2)+(0+(0-0))+0-0-0</f>
        <v>1357.2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1097.7+(418.3-521.5)+(-3.918789+(-1.493331--1.861755))+0-0-0</f>
        <v>990.94963499999994</v>
      </c>
      <c r="G254" s="3">
        <f>904+(395.7-358.5)+(-1.84416+(-0.807228--0.73134))+0-0-0</f>
        <v>939.27995200000009</v>
      </c>
      <c r="H254" s="3">
        <f>919.8+(370.9-380)+(0+(0-0))+0-0-0</f>
        <v>910.69999999999993</v>
      </c>
      <c r="I254" s="3">
        <f>908.3+(459.6-478.9)+(-0.926466+(-0.468792--0.488478))+0-0-0</f>
        <v>888.09321999999997</v>
      </c>
      <c r="J254" s="3">
        <f>915.8+(423-446.5)+(0+(0-0))+0-0-0</f>
        <v>892.3</v>
      </c>
      <c r="K254" s="3">
        <f>926.6+(403.6-422)+(1.417698+(0.617508-0.64566))+0-0-0</f>
        <v>909.58954600000004</v>
      </c>
      <c r="L254" s="3">
        <f>1010.4+(452.3-518.4)+(-2.061216+(-0.922692--1.057536))+0-0-0</f>
        <v>942.37362799999994</v>
      </c>
      <c r="M254" s="3">
        <f>1180.3+(431.9-635.5)+(-0.601953+(-0.220269--0.324105))+0-0-0</f>
        <v>976.20188299999995</v>
      </c>
      <c r="N254" s="3">
        <f>1422.4+(427.7-766.4)+(0+(0-0))+0-0-0</f>
        <v>1083.7</v>
      </c>
      <c r="O254" s="3">
        <f>1428.9+(432-760.8)+(-0.728739+(-0.22032--0.388008))+0-0-0</f>
        <v>1099.5389490000002</v>
      </c>
      <c r="P254" s="3">
        <f>1416.7+(453-737.4)+(-2.890068+(-0.92412--1.504296))+0-0-0</f>
        <v>1129.9901080000002</v>
      </c>
      <c r="Q254" s="3">
        <f>1412.8+(475.4-759)+(-3.60264+(-1.21227--1.93545))+0-0-0</f>
        <v>1126.3205399999997</v>
      </c>
      <c r="R254" s="3">
        <f>1408.2+(370.9-681.9)+(-3.59091+(-0.945795--1.738845))+0-0-0</f>
        <v>1094.4021400000001</v>
      </c>
      <c r="S254" s="3">
        <f>1377.7+(406.5-749.5)+(-2.107881+(-0.621945--1.146735))+0-0-0</f>
        <v>1033.1169090000001</v>
      </c>
      <c r="T254" s="3">
        <f>1411.9+(444.7-798.3)+(-2.160207+(-0.680391--1.221399))+0-0-0</f>
        <v>1056.6808010000002</v>
      </c>
      <c r="U254" s="3">
        <f>1406.9+(418.2-778.1)+(-1.435038+(-0.426564--0.793662))+0-0-0</f>
        <v>1045.9320600000001</v>
      </c>
      <c r="V254" s="3">
        <f>1417.1+(392-675.5)+(0+(0-0))+0-0-0</f>
        <v>1133.5999999999999</v>
      </c>
      <c r="W254" s="3">
        <f>1474.1+(377.7-527.8)+(3.007164+(0.770508-1.076712))+0-0-0</f>
        <v>1326.7009599999999</v>
      </c>
      <c r="X254" s="3">
        <f>1440.6+(394.8-510.7)+(-2.204118+(-0.604044--0.781371))+0-0-0</f>
        <v>1322.6732089999998</v>
      </c>
      <c r="Y254" s="3">
        <f>1426.5+(380.2-532.5)+(-4.36509+(-1.163412--1.62945))+0-0-0</f>
        <v>1270.3009480000001</v>
      </c>
      <c r="Z254" s="3">
        <f>1440.4+(382.7-587.8)+(-2.203812+(-0.585531--0.899334))+0-0-0</f>
        <v>1233.4099910000002</v>
      </c>
      <c r="AA254" s="3">
        <f>1436.2+(438.6-669.2)+(-2.197386+(-0.671058--1.023876))+0-0-0</f>
        <v>1203.7554319999999</v>
      </c>
      <c r="AB254" s="3">
        <f>1432.5+(315.5-576.9)+(-0.730575+(-0.160905--0.294219))+0-0-0</f>
        <v>1170.502739</v>
      </c>
      <c r="AC254" s="3">
        <f>1394.7+(347.4-664)+(-3.556485+(-0.88587--1.6932))+0-0-0</f>
        <v>1075.3508449999999</v>
      </c>
      <c r="AD254">
        <v>1343.3</v>
      </c>
      <c r="AE254" s="3">
        <f>1474+(428.3-559)+(0+(0-0))+0-0-0</f>
        <v>1343.3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986+(347.7-351.4)+(-2.01144+(-0.709308--0.716856))+0-0-0</f>
        <v>980.296108</v>
      </c>
      <c r="G255" s="3">
        <f>900.8+(379.8-355.6)+(0.459408+(0.193698-0.181356))+0-0-0</f>
        <v>925.47175000000004</v>
      </c>
      <c r="H255" s="3">
        <f>905+(417.3-424.8)+(0.9231+(0.425646-0.433296))+0-0-0</f>
        <v>898.41544999999996</v>
      </c>
      <c r="I255" s="3">
        <f>890.5+(415.3-415.9)+(-1.362465+(-0.635409--0.636327))+0-0-0</f>
        <v>888.53845300000012</v>
      </c>
      <c r="J255" s="3">
        <f>901.7+(383.5-395.8)+(-0.459867+(-0.195585--0.201858))+0-0-0</f>
        <v>888.94640600000014</v>
      </c>
      <c r="K255" s="3">
        <f>931.3+(396-421.6)+(1.899852+(0.80784-0.860064))+0-0-0</f>
        <v>907.54762799999992</v>
      </c>
      <c r="L255" s="3">
        <f>929.2+(384.6-360.8)+(0+(0-0))+0-0-0</f>
        <v>953</v>
      </c>
      <c r="M255" s="3">
        <f>1304.7+(403.2-688.6)+(-0.665397+(-0.205632--0.351186))+0-0-0</f>
        <v>1018.7801569999999</v>
      </c>
      <c r="N255" s="3">
        <f>1434.5+(443.8-750.6)+(0+(0-0))+0-0-0</f>
        <v>1127.7</v>
      </c>
      <c r="O255" s="3">
        <f>1410+(398.8-656.8)+(0+(0-0))+0-0-0</f>
        <v>1152</v>
      </c>
      <c r="P255" s="3">
        <f>1430.8+(391.9-648.8)+(-0.729708+(-0.199869--0.330888))+0-0-0</f>
        <v>1173.3013110000002</v>
      </c>
      <c r="Q255" s="3">
        <f>1432.6+(397.7-637.6)+(-0.730626+(-0.202827--0.325176))+0-0-0</f>
        <v>1192.0917229999998</v>
      </c>
      <c r="R255" s="3">
        <f>1428.4+(398.2-648.7)+(0+(0-0))+0-0-0</f>
        <v>1177.9000000000001</v>
      </c>
      <c r="S255" s="3">
        <f>1415.9+(329.3-602.7)+(0+(0-0))+0-0-0</f>
        <v>1142.5</v>
      </c>
      <c r="T255" s="3">
        <f>1423.1+(359.1-649.8)+(1.451562+(0.366282-0.662796))+2.4-0-0</f>
        <v>1135.9550480000003</v>
      </c>
      <c r="U255" s="3">
        <f>1396.2+(346.3-626.6)+(-1.424124+(-0.353226--0.639132))+0-0-0</f>
        <v>1114.761782</v>
      </c>
      <c r="V255" s="3">
        <f>1435.3+(384.2-635.4)+(0+(0-0))+0-0-0</f>
        <v>1184.0999999999999</v>
      </c>
      <c r="W255" s="3">
        <f>1475.2+(435.2-567.5)+(0+(0-0))+0-0-0</f>
        <v>1342.9</v>
      </c>
      <c r="X255" s="3">
        <f>1462.3+(425.9-562.4)+(-2.237319+(-0.651627--0.860472))+0-0-0</f>
        <v>1323.771526</v>
      </c>
      <c r="Y255" s="3">
        <f>1461.9+(284.4-454)+(-2.982276+(-0.580176--0.92616))+0-0-0</f>
        <v>1289.6637080000003</v>
      </c>
      <c r="Z255" s="3">
        <f>1452.2+(293.3-503.7)+(-1.481244+(-0.299166--0.513774))+0-0-0</f>
        <v>1240.5333640000001</v>
      </c>
      <c r="AA255" s="3">
        <f>1450.8+(368.7-609.9)+(-2.219724+(-0.564111--0.933147))+0-0-0</f>
        <v>1207.7493119999999</v>
      </c>
      <c r="AB255" s="3">
        <f>1428.9+(384.5-652.5)+(-2.914956+(-0.78438--1.3311))+0-0-0</f>
        <v>1158.5317640000001</v>
      </c>
      <c r="AC255" s="3">
        <f>1305.2+(420.2-658)+(-2.662608+(-0.857208--1.34232))+0-0-0</f>
        <v>1065.2225040000001</v>
      </c>
      <c r="AD255">
        <v>1339.8</v>
      </c>
      <c r="AE255" s="3">
        <f>1473+(433.3-566.5)+(0+(0-0))+0-0-0</f>
        <v>1339.8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1099.5+(398.9-530.1)+(-1.682235+(-0.610317--0.811053))+0-0-0</f>
        <v>966.81850099999997</v>
      </c>
      <c r="G256" s="3">
        <f>882.4+(414.1-385.1)+(-3.600192+(-1.689528--1.571208))+0-0-0</f>
        <v>907.68148799999994</v>
      </c>
      <c r="H256" s="3">
        <f>894.5+(406.3-417.3)+(-3.193365+(-1.450491--1.489761))+0-0-0</f>
        <v>880.34590500000002</v>
      </c>
      <c r="I256" s="3">
        <f>899.1+(355.5-386.4)+(-1.834164+(-0.72522--0.788256))+0-0-0</f>
        <v>866.42887200000007</v>
      </c>
      <c r="J256" s="3">
        <f>903.6+(360.4-391.8)+(-0.460836+(-0.183804--0.199818))+0-0-0</f>
        <v>871.755178</v>
      </c>
      <c r="K256" s="3">
        <f>914.1+(309.7-340.9)+(0+(0-0))+0-0-0</f>
        <v>882.90000000000009</v>
      </c>
      <c r="L256" s="3">
        <f>953.2+(279.6-328.7)+(-0.972264+(-0.285192--0.335274))+0-0-0</f>
        <v>903.17781800000012</v>
      </c>
      <c r="M256" s="3">
        <f>1166.8+(268.8-506.3)+(0.595068+(0.137088-0.258213))+0-0-0</f>
        <v>929.77394299999992</v>
      </c>
      <c r="N256" s="3">
        <f>1388.7+(356.3-722.4)+(1.416474+(0.363426-0.736848))+0-0-0</f>
        <v>1023.6430520000001</v>
      </c>
      <c r="O256" s="3">
        <f>1404.6+(377.9-704.4)+(-0.716346+(-0.192729--0.359244))+0-0-0</f>
        <v>1077.5501689999999</v>
      </c>
      <c r="P256" s="3">
        <f>1411.4+(409.7-723.5)+(0+(0-0))+0-0-0</f>
        <v>1097.6000000000001</v>
      </c>
      <c r="Q256" s="3">
        <f>1429.3+(409.2-735.8)+(-2.186829+(-0.626076--1.125774))+0-0-0</f>
        <v>1101.0128690000001</v>
      </c>
      <c r="R256" s="3">
        <f>1426.2+(385.7-730.8)+(-4.364172+(-1.180242--2.236248))+0-0-0</f>
        <v>1077.7918340000001</v>
      </c>
      <c r="S256" s="3">
        <f>1433.2+(360.4-743.7)+(-3.65466+(-0.91902--1.896435))+0-0-0</f>
        <v>1047.222755</v>
      </c>
      <c r="T256" s="3">
        <f>1451.4+(314.2-728.3)+(0.740214+(0.160242-0.371433))+0-0-0</f>
        <v>1037.8290230000002</v>
      </c>
      <c r="U256" s="3">
        <f>1428.9+(244.9-631.8)+(-2.186217+(-0.374697--0.966654))+0-0-0</f>
        <v>1040.4057399999999</v>
      </c>
      <c r="V256" s="3">
        <f>1440.6+(260.9-571.1)+(0+(0-0))+0-0-0</f>
        <v>1130.3999999999999</v>
      </c>
      <c r="W256" s="3">
        <f>1449.6+(274.4-459)+(-0.739296+(-0.139944--0.23409))+0-0-0</f>
        <v>1264.3548499999999</v>
      </c>
      <c r="X256" s="3">
        <f>1456.3+(321.2-535.7)+(1.485426+(0.327624-0.546414))+0-0-0</f>
        <v>1243.066636</v>
      </c>
      <c r="Y256" s="3">
        <f>1430.8+(357.7-585)+(-2.918832+(-0.729708--1.1934))+0-0-0</f>
        <v>1201.04486</v>
      </c>
      <c r="Z256" s="3">
        <f>1419.1+(402.7-668.5)+(-2.894964+(-0.821508--1.36374))+0-0-0</f>
        <v>1150.9472679999999</v>
      </c>
      <c r="AA256" s="3">
        <f>1427.3+(417.5-698.6)+(0.727923+(0.212925-0.356286))+0-0-0</f>
        <v>1146.7845619999998</v>
      </c>
      <c r="AB256" s="3">
        <f>1428.4+(421.5-727.4)+(-0.728484+(-0.214965--0.370974))+0-0-0</f>
        <v>1121.9275250000001</v>
      </c>
      <c r="AC256" s="3">
        <f>1340.7+(413.2-699.6)+(-2.051271+(-0.632196--1.070388))+0-0-0</f>
        <v>1052.686921</v>
      </c>
      <c r="AD256">
        <v>1297.8999999999999</v>
      </c>
      <c r="AE256" s="3">
        <f>1446+(299.6-447.7)+(0+(0-0))+0-0-0</f>
        <v>1297.9000000000001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1204.8+(302.6-533.1)+(-3.07224+(-0.77163--1.359405))+0-0-0</f>
        <v>971.81553499999995</v>
      </c>
      <c r="G257" s="3">
        <f>1197.2+(349.1-605.1)+(-1.221144+(-0.356082--0.617202))+0-0-0</f>
        <v>940.23997600000007</v>
      </c>
      <c r="H257" s="3">
        <f>1015.6+(361.4-463.3)+(-1.035912+(-0.368628--0.472566))+0-0-0</f>
        <v>912.76802600000008</v>
      </c>
      <c r="I257" s="3">
        <f>986.1+(347.6-433.9)+(-0.502911+(-0.177276--0.221289))+0-0-0</f>
        <v>899.34110200000009</v>
      </c>
      <c r="J257" s="3">
        <f>982.7+(370.5-460.6)+(-0.501177+(-0.188955--0.234906))+0-0-0</f>
        <v>892.14477399999998</v>
      </c>
      <c r="K257" s="3">
        <f>1007.6+(355.1-464.6)+(2.055504+(0.724404-0.947784))+0-0-0</f>
        <v>899.93212400000004</v>
      </c>
      <c r="L257" s="3">
        <f>986.6+(352.3-452.7)+(-1.006332+(-0.359346--0.461754))+0-0-0</f>
        <v>885.29607600000008</v>
      </c>
      <c r="M257" s="3">
        <f>1023.8+(388.5-564.5)+(0+(0-0))+0-0-0</f>
        <v>847.8</v>
      </c>
      <c r="N257" s="3">
        <f>1132.6+(373.2-617.4)+(0+(0-0))+0-0-0</f>
        <v>888.39999999999986</v>
      </c>
      <c r="O257" s="3">
        <f>1323.8+(351.8-727.5)+(-0.675138+(-0.179418--0.371025))+0-0-0</f>
        <v>947.61646899999994</v>
      </c>
      <c r="P257" s="3">
        <f>1402.2+(329.4-750.2)+(-2.145366+(-0.503982--1.147806))+0-0-0</f>
        <v>979.89845800000001</v>
      </c>
      <c r="Q257" s="3">
        <f>1433.4+(325.2-773.6)+(-2.924136+(-0.663408--1.578144))+0-0-0</f>
        <v>982.99059999999997</v>
      </c>
      <c r="R257" s="3">
        <f>1425.2+(298.5-779.2)+(-3.63426+(-0.761175--1.98696))+0-0-0</f>
        <v>942.09152500000005</v>
      </c>
      <c r="S257" s="3">
        <f>1440.9+(301.5-816.9)+(-1.469718+(-0.30753--0.833238))+0-0-0</f>
        <v>924.55599000000007</v>
      </c>
      <c r="T257" s="3">
        <f>1441.1+(302.1-838.8)+(0+(0-0))+0-0-0</f>
        <v>904.4</v>
      </c>
      <c r="U257" s="3">
        <f>1455.7+(298.5-846.1)+(2.227221+(0.456705-1.294533))+0-0-0</f>
        <v>909.48939300000006</v>
      </c>
      <c r="V257" s="3">
        <f>1444.4+(231.8-687)+(0+(0-0))+0-0-0</f>
        <v>989.2</v>
      </c>
      <c r="W257" s="3">
        <f>1445.7+(309.5-577)+(-1.474614+(-0.31569--0.58854))+0-0-0</f>
        <v>1176.9982360000001</v>
      </c>
      <c r="X257" s="3">
        <f>1450.2+(315.8-584.2)+(-0.739602+(-0.161058--0.297942))+0-0-0</f>
        <v>1181.1972819999999</v>
      </c>
      <c r="Y257" s="3">
        <f>1441.8+(340.2-628.1)+(-2.205954+(-0.520506--0.960993))+0-0-0</f>
        <v>1152.1345329999999</v>
      </c>
      <c r="Z257" s="3">
        <f>1347.2+(363-591.1)+(-1.374144+(-0.37026--0.602922))+0-0-0</f>
        <v>1117.9585179999999</v>
      </c>
      <c r="AA257" s="3">
        <f>1342.9+(352.3-599.7)+(0.684879+(0.179673-0.305847))+0-0-0</f>
        <v>1096.0587049999999</v>
      </c>
      <c r="AB257" s="3">
        <f>1351.1+(370.6-655.2)+(1.378122+(0.378012-0.668304))+0-0-0</f>
        <v>1067.5878299999999</v>
      </c>
      <c r="AC257" s="3">
        <f>1276.2+(404.9-684.2)+(0+(0-0))+0-0-0</f>
        <v>996.9</v>
      </c>
      <c r="AD257">
        <v>1212.7</v>
      </c>
      <c r="AE257" s="3">
        <f>1458+(323.7-569)+(0+(0-0))+0-0-0</f>
        <v>1212.7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1157.6+(415.9-646.7)+(-1.180752+(-0.424218--0.659634))+0-0-0</f>
        <v>925.85466399999984</v>
      </c>
      <c r="G258" s="3">
        <f>984.3+(380.9-483.7)+(-0.501993+(-0.194259--0.246687))+0-0-0</f>
        <v>881.05043499999999</v>
      </c>
      <c r="H258" s="3">
        <f>888.1+(388.9-421.5)+(-0.905862+(-0.396678--0.42993))+0-0-0</f>
        <v>854.62738999999999</v>
      </c>
      <c r="I258" s="3">
        <f>890.1+(382.6-427.4)+(-0.453951+(-0.195126--0.217974))+0-0-0</f>
        <v>844.86889700000006</v>
      </c>
      <c r="J258" s="3">
        <f>896.2+(334.8-379.7)+(0.457062+(0.170748-0.193647))+0-0-0</f>
        <v>851.73416300000008</v>
      </c>
      <c r="K258" s="3">
        <f>985.3+(335.5-452.3)+(-0.502503+(-0.171105--0.230673))+0-0-0</f>
        <v>868.05706499999997</v>
      </c>
      <c r="L258" s="3">
        <f>1237.9+(368.8-698.4)+(-0.631329+(-0.188088--0.356184))+0-0-0</f>
        <v>907.83676700000024</v>
      </c>
      <c r="M258" s="3">
        <f>1307.6+(425-793.2)+(-2.000628+(-0.65025--1.213596))+0-0-0</f>
        <v>937.96271799999988</v>
      </c>
      <c r="N258" s="3">
        <f>1419.4+(484.8-856.6)+(-0.723894+(-0.247248--0.436866))+0-0-0</f>
        <v>1047.065724</v>
      </c>
      <c r="O258" s="3">
        <f>1416.6+(511.5-828.3)+(-1.444932+(-0.52173--0.844866))+0-0-0</f>
        <v>1098.6782040000001</v>
      </c>
      <c r="P258" s="3">
        <f>1429.3+(494.8-815.2)+(-0.728943+(-0.252348--0.415752))+0-0-0</f>
        <v>1108.3344609999999</v>
      </c>
      <c r="Q258" s="3">
        <f>1409.5+(490.2-788.2)+(-0.718845+(-0.250002--0.401982))+0-0-0</f>
        <v>1110.933135</v>
      </c>
      <c r="R258" s="3">
        <f>1403.2+(475.3-786.8)+(-2.862528+(-0.969612--1.605072))+0-0-0</f>
        <v>1089.4729320000001</v>
      </c>
      <c r="S258" s="3">
        <f>1437.7+(485.6-843.5)+(-0.733227+(-0.247656--0.430185))+0-0-0</f>
        <v>1079.2493020000002</v>
      </c>
      <c r="T258" s="3">
        <f>1421.9+(478.1-835.9)+(-2.900676+(-0.975324--1.705236))+0-0-0</f>
        <v>1061.9292360000002</v>
      </c>
      <c r="U258" s="3">
        <f>1441.9+(434.8-809.2)+(0+(0-0))+0-0-0</f>
        <v>1067.5</v>
      </c>
      <c r="V258" s="3">
        <f>1429.9+(330.7-609.4)+(-0.729249+(-0.168657--0.310794))+0-0-0</f>
        <v>1150.6128880000001</v>
      </c>
      <c r="W258" s="3">
        <f>1438.5+(357.5-479.1)+(-1.46727+(-0.36465--0.488682))+0-0-0</f>
        <v>1315.5567620000002</v>
      </c>
      <c r="X258" s="3">
        <f>1423.8+(389.1-515.2)+(-2.904552+(-0.793764--1.051008))+0-0-0</f>
        <v>1295.0526919999998</v>
      </c>
      <c r="Y258" s="3">
        <f>1419.6+(409.2-577)+(-3.61998+(-1.04346--1.47135))+0-0-0</f>
        <v>1248.6079099999999</v>
      </c>
      <c r="Z258" s="3">
        <f>1425.9+(368.4-593.3)+(-2.181627+(-0.563652--0.907749))+0-0-0</f>
        <v>1199.16247</v>
      </c>
      <c r="AA258" s="3">
        <f>1433.5+(368.7-621.2)+(-1.46217+(-0.376074--0.633624))+0-0-0</f>
        <v>1179.79538</v>
      </c>
      <c r="AB258" s="3">
        <f>1380.7+(340.5-570.9)+(-0.704157+(-0.173655--0.291159))+0-0-0</f>
        <v>1149.7133470000001</v>
      </c>
      <c r="AC258" s="3">
        <f>1146.8+(382.3-462.5)+(0+(0-0))+0-0-0</f>
        <v>1066.5999999999999</v>
      </c>
      <c r="AD258">
        <v>1310.5</v>
      </c>
      <c r="AE258" s="3">
        <f>1424+(339.3-452.8)+(0+(0-0))+0-0-0</f>
        <v>1310.5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1094+(399-526.8)+(-1.11588+(-0.40698--0.537336))+0-0-0</f>
        <v>965.21447599999999</v>
      </c>
      <c r="G259" s="3">
        <f>953.1+(382-428.1)+(-1.944324+(-0.77928--0.873324))+0-0-0</f>
        <v>905.14972</v>
      </c>
      <c r="H259" s="3">
        <f>898.4+(361.7-381.9)+(-0.458184+(-0.184467--0.194769))+0-0-0</f>
        <v>877.752118</v>
      </c>
      <c r="I259" s="3">
        <f>893.1+(326.6-354.8)+(-0.910962+(-0.333132--0.361896))+0-0-0</f>
        <v>864.01780200000007</v>
      </c>
      <c r="J259" s="3">
        <f>894.4+(310.2-329.8)+(-0.912288+(-0.316404--0.336396))+0-0-0</f>
        <v>873.90770399999997</v>
      </c>
      <c r="K259" s="3">
        <f>908.9+(332-351.3)+(1.854156+(0.67728-0.716652))+0-0-0</f>
        <v>891.41478399999994</v>
      </c>
      <c r="L259" s="3">
        <f>951.4+(360.8-380.7)+(-1.940856+(-0.736032--0.776628))+0-0-0</f>
        <v>929.59974</v>
      </c>
      <c r="M259" s="3">
        <f>1083.1+(303.2-411.6)+(-1.104762+(-0.309264--0.419832))+0-0-0</f>
        <v>973.70580599999982</v>
      </c>
      <c r="N259" s="3">
        <f>1435.3+(388-756.9)+(-0.732003+(-0.19788--0.386019))+0-0-0</f>
        <v>1065.8561360000001</v>
      </c>
      <c r="O259" s="3">
        <f>1440.9+(395.9-711)+(0+(0-0))+0-0-0</f>
        <v>1125.8000000000002</v>
      </c>
      <c r="P259" s="3">
        <f>1303.5+(366.6-526.1)+(-3.323925+(-0.93483--1.341555))+0-0-0</f>
        <v>1141.0827999999999</v>
      </c>
      <c r="Q259" s="3">
        <f>1253.6+(378.4-492.6)+(-1.278672+(-0.385968--0.502452))+0-0-0</f>
        <v>1138.2378119999998</v>
      </c>
      <c r="R259" s="3">
        <f>1323.6+(354.8-545.9)+(-5.400288+(-1.447584--2.227272))+0-0-0</f>
        <v>1127.8794</v>
      </c>
      <c r="S259" s="3">
        <f>1428.4+(325.1-631.1)+(-1.456968+(-0.331602--0.643722))+0-0-0</f>
        <v>1121.2551520000002</v>
      </c>
      <c r="T259" s="3">
        <f>1425.3+(306.1-631.3)+(-2.180709+(-0.468333--0.965889))+0-0-0</f>
        <v>1098.416847</v>
      </c>
      <c r="U259" s="3">
        <f>1419.6+(282.1-605.1)+(-2.171988+(-0.431613--0.925803))+0-0-0</f>
        <v>1094.922202</v>
      </c>
      <c r="V259" s="3">
        <f>1438.8+(237.4-518.8)+(2.201364+(0.363222-0.793764))+0-0-0</f>
        <v>1159.170822</v>
      </c>
      <c r="W259" s="3">
        <f>1455+(263.1-426.1)+(-0.74205+(-0.134181--0.217311))+0-0-0</f>
        <v>1291.3410799999999</v>
      </c>
      <c r="X259" s="3">
        <f>1425.6+(266.8-436)+(-5.089392+(-0.952476--1.55652))+0-0-0</f>
        <v>1251.9146519999999</v>
      </c>
      <c r="Y259" s="3">
        <f>1364.3+(219.1-362.2)+(-1.391586+(-0.223482--0.369444))+0-0-0</f>
        <v>1219.9543760000001</v>
      </c>
      <c r="Z259" s="3">
        <f>1340.9+(224.4-388.7)+(-2.735436+(-0.457776--0.792948))+0-0-0</f>
        <v>1174.199736</v>
      </c>
      <c r="AA259" s="3">
        <f>1317.8+(235.9-393.5)+(-2.016234+(-0.360927--0.602055))+0-0-0</f>
        <v>1158.424894</v>
      </c>
      <c r="AB259" s="3">
        <f>1226.1+(251.7-339.4)+(-1.250622+(-0.256734--0.346188))+0-0-0</f>
        <v>1137.2388319999998</v>
      </c>
      <c r="AC259" s="3">
        <f>1060.3+(305.6-281.9)+(-1.622259+(-0.467568--0.431307))+0-0-0</f>
        <v>1082.34148</v>
      </c>
      <c r="AD259">
        <v>1296.5999999999999</v>
      </c>
      <c r="AE259" s="3">
        <f>1465+(268.6-437)+(0+(0-0))+0-0-0</f>
        <v>1296.5999999999999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913.1+(272.1-193.2)+(0.465681+(0.138771-0.098532))+0-0-0</f>
        <v>992.50591999999995</v>
      </c>
      <c r="G260" s="3">
        <f>913.9+(255.7-242.9)+(0.932178+(0.260814-0.247758))+0-0-0</f>
        <v>927.64523399999996</v>
      </c>
      <c r="H260" s="3">
        <f>911.3+(246.2-276.2)+(0+(0-0))+0-0-0</f>
        <v>881.3</v>
      </c>
      <c r="I260" s="3">
        <f>929.5+(247.5-318.3)+(1.89618+(0.5049-0.649332))+0-0-0</f>
        <v>860.45174800000007</v>
      </c>
      <c r="J260" s="3">
        <f>904.3+(241.4-288.7)+(-0.922386+(-0.246228--0.294474))+0-0-0</f>
        <v>856.12585999999999</v>
      </c>
      <c r="K260" s="3">
        <f>918.8+(247.3-309.9)+(0.937176+(0.252246-0.316098))+0-0-0</f>
        <v>857.07332400000007</v>
      </c>
      <c r="L260" s="3">
        <f>897.7+(243.7-299.2)+(-2.289135+(-0.621435--0.76296))+0-0-0</f>
        <v>840.05239000000006</v>
      </c>
      <c r="M260" s="3">
        <f>908.2+(221.4-339.9)+(-0.463182+(-0.112914--0.173349))+0-0-0</f>
        <v>789.29725300000007</v>
      </c>
      <c r="N260" s="3">
        <f>916+(303.8-396.5)+(0.93432+(0.309876-0.40443))+0-0-0</f>
        <v>824.13976600000001</v>
      </c>
      <c r="O260" s="3">
        <f>1001.8+(283.1-430.8)+(-2.043672+(-0.577524--0.878832))+0-0-0</f>
        <v>852.35763599999996</v>
      </c>
      <c r="P260" s="3">
        <f>1112.7+(269-517.8)+(-0.567477+(-0.13719--0.264078))+0-0-0</f>
        <v>863.45941100000005</v>
      </c>
      <c r="Q260" s="3">
        <f>1071.2+(269.8-493.8)+(-3.277872+(-0.825588--1.511028))+0-0-0</f>
        <v>844.60756800000001</v>
      </c>
      <c r="R260" s="3">
        <f>1101+(257.1-535.9)+(0+(0-0))+0-0-0</f>
        <v>822.2</v>
      </c>
      <c r="S260" s="3">
        <f>1107.3+(262.7-555.5)+(0+(0-0))+0-0-0</f>
        <v>814.5</v>
      </c>
      <c r="T260" s="3">
        <f>1079.8+(246.9-519.5)+(-2.75349+(-0.629595--1.324725))+0-0-0</f>
        <v>805.14163999999994</v>
      </c>
      <c r="U260" s="3">
        <f>1112.6+(229-539.5)+(1.702278+(0.35037-0.825435))+0-0-0</f>
        <v>803.32721299999992</v>
      </c>
      <c r="V260" s="3">
        <f>1176.4+(155.3-465.6)+(-0.599964+(-0.079203--0.237456))+0-0-0</f>
        <v>865.65828900000008</v>
      </c>
      <c r="W260" s="3">
        <f>1367.4+(104.7-413.2)+(0+(0-0))+0-0-0</f>
        <v>1058.9000000000001</v>
      </c>
      <c r="X260" s="3">
        <f>1425.9+(92-450.7)+(-5.090463+(-0.32844--1.608999))+0-0-0</f>
        <v>1063.3900960000001</v>
      </c>
      <c r="Y260" s="3">
        <f>1421+(97.9-480.5)+(-2.89884+(-0.199716--0.98022))+0-0-0</f>
        <v>1036.2816640000001</v>
      </c>
      <c r="Z260" s="3">
        <f>1247.2+(140.5-387.7)+(-1.908216+(-0.214965--0.593181))+0-0-0</f>
        <v>998.47</v>
      </c>
      <c r="AA260" s="3">
        <f>1160.5+(178.8-348.3)+(0+(0-0))+0-0-0</f>
        <v>991</v>
      </c>
      <c r="AB260" s="3">
        <f>1155.4+(227.4-400.3)+(-1.178508+(-0.231948--0.408306))+0-0-0</f>
        <v>981.49785000000008</v>
      </c>
      <c r="AC260" s="3">
        <f>1102.1+(289.8-443.2)+(-3.372426+(-0.886788--1.356192))+0-0-0</f>
        <v>945.79697799999997</v>
      </c>
      <c r="AD260">
        <v>1108.5</v>
      </c>
      <c r="AE260" s="3">
        <f>1445+(104.8-441.3)+(0+(0-0))+0-0-0</f>
        <v>1108.5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909.1+(334.4-343.9)+(-1.390923+(-0.511632--0.526167))+0-0-0</f>
        <v>898.223612</v>
      </c>
      <c r="G261" s="3">
        <f>906.2+(267.5-319.4)+(-0.924324+(-0.27285--0.325788))+0-0-0</f>
        <v>853.42861400000004</v>
      </c>
      <c r="H261" s="3">
        <f>889.9+(277.2-345.7)+(-1.815396+(-0.565488--0.705228))+0-0-0</f>
        <v>819.72434399999997</v>
      </c>
      <c r="I261" s="3">
        <f>906.4+(264.2-361.3)+(0+(0-0))+0-0-0</f>
        <v>809.3</v>
      </c>
      <c r="J261" s="3">
        <f>910.3+(284.6-395.3)+(0.464253+(0.145146-0.201603))+0-0-0</f>
        <v>800.00779599999987</v>
      </c>
      <c r="K261" s="3">
        <f>894.1+(293.9-390.3)+(-1.367973+(-0.449667--0.597159))+0-0-0</f>
        <v>796.4795190000001</v>
      </c>
      <c r="L261" s="3">
        <f>902.2+(298.6-432.1)+(-0.920244+(-0.304572--0.440742))+0-0-0</f>
        <v>767.91592600000001</v>
      </c>
      <c r="M261" s="3">
        <f>896.9+(279-449.7)+(-1.372257+(-0.42687--0.688041))+0-0-0</f>
        <v>725.08891400000005</v>
      </c>
      <c r="N261" s="3">
        <f>904.8+(276.8-438.2)+(-0.461448+(-0.141168--0.223482))+0-0-0</f>
        <v>743.02086599999996</v>
      </c>
      <c r="O261" s="3">
        <f>906.1+(275.1-449.6)+(0+(0-0))+0-0-0</f>
        <v>731.6</v>
      </c>
      <c r="P261" s="3">
        <f>888.5+(304-487.2)+(-2.71881+(-0.93024--1.490832))+0-0-0</f>
        <v>703.14178199999992</v>
      </c>
      <c r="Q261" s="3">
        <f>902.5+(291-483.8)+(-0.460275+(-0.14841--0.246738))+0-0-0</f>
        <v>709.33805300000006</v>
      </c>
      <c r="R261" s="3">
        <f>910+(285.1-470)+(0.4641+(0.145401-0.2397))+0-0-0</f>
        <v>725.46980100000007</v>
      </c>
      <c r="S261" s="3">
        <f>918+(298.9-477)+(1.40454+(0.457317-0.72981))+0-0-0</f>
        <v>741.03204699999992</v>
      </c>
      <c r="T261" s="3">
        <f>905+(294.1-475)+(-0.46155+(-0.149991--0.24225))+0-0-0</f>
        <v>723.73070900000005</v>
      </c>
      <c r="U261" s="3">
        <f>905.9+(298.9-448)+(-0.462009+(-0.152439--0.22848))+0-0-0</f>
        <v>756.41403199999991</v>
      </c>
      <c r="V261" s="3">
        <f>974.9+(142.8-265)+(-0.994398+(-0.145656--0.2703))+0-0-0</f>
        <v>851.8302460000001</v>
      </c>
      <c r="W261" s="3">
        <f>1332.9+(109.3-408)+(0+(0-0))+0-0-0</f>
        <v>1034.2</v>
      </c>
      <c r="X261" s="3">
        <f>1410+(124.8-490.1)+(-3.5955+(-0.31824--1.249755))+0-0-0</f>
        <v>1042.0360150000001</v>
      </c>
      <c r="Y261" s="3">
        <f>1288.7+(177.2-419.6)+(0+(0-0))+0-0-0</f>
        <v>1046.3</v>
      </c>
      <c r="Z261" s="3">
        <f>1228+(217.5-396.3)+(0+(0-0))+0-0-0</f>
        <v>1049.2</v>
      </c>
      <c r="AA261" s="3">
        <f>1142.8+(256.4-294.8)+(-0.582828+(-0.130764--0.150348))+0-0-0</f>
        <v>1103.8367559999999</v>
      </c>
      <c r="AB261" s="3">
        <f>1032.8+(285.8-265.5)+(-0.526728+(-0.145758--0.135405))+0-0-0</f>
        <v>1052.562919</v>
      </c>
      <c r="AC261" s="3">
        <f>906.6+(310-253.4)+(0+(0-0))+0-0-0</f>
        <v>963.2</v>
      </c>
      <c r="AD261">
        <v>1110.8</v>
      </c>
      <c r="AE261" s="3">
        <f>1447+(144.6-480.8)+(0+(0-0))+0-0-0</f>
        <v>1110.8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894+(331.9-324)+(-2.2797+(-0.846345--0.8262))+0-0-0</f>
        <v>899.60015499999997</v>
      </c>
      <c r="G262" s="3">
        <f>893.9+(355.7-423)+(-1.367667+(-0.544221--0.64719))+0-0-0</f>
        <v>825.33530199999996</v>
      </c>
      <c r="H262" s="3">
        <f>902.8+(337.5-445)+(-0.460428+(-0.172125--0.22695))+0-0-0</f>
        <v>794.89439699999991</v>
      </c>
      <c r="I262" s="3">
        <f>893.3+(282.1-329.7)+(-1.822332+(-0.575484--0.672588))+0-0-0</f>
        <v>843.97477200000003</v>
      </c>
      <c r="J262" s="3">
        <f>909.6+(245.5-306.7)+(-0.463896+(-0.125205--0.156417))+0-0-0</f>
        <v>847.9673160000001</v>
      </c>
      <c r="K262" s="3">
        <f>918.8+(190.3-247.2)+(1.405764+(0.291159-0.378216))+0-0-0</f>
        <v>863.21870699999999</v>
      </c>
      <c r="L262" s="3">
        <f>973.7+(150.4-303.1)+(-1.489761+(-0.230112--0.463743))+0-0-0</f>
        <v>819.74387000000002</v>
      </c>
      <c r="M262" s="3">
        <f>1123.7+(58.9-267.3)+(1.146174+(0.060078-0.272646))+0-0-0</f>
        <v>916.23360600000012</v>
      </c>
      <c r="N262" s="3">
        <f>1398.1+(54.5-401.1)+(-0.713031+(-0.027795--0.204561))+0-0-0</f>
        <v>1050.963735</v>
      </c>
      <c r="O262" s="3">
        <f>1454.4+(59.9-439.6)+(0.741744+(0.030549-0.224196))+0-0-0</f>
        <v>1075.2480970000001</v>
      </c>
      <c r="P262" s="3">
        <f>1517.7+(97-472.1)+(0+(0-0))+0-0-0</f>
        <v>1142.5999999999999</v>
      </c>
      <c r="Q262" s="3">
        <f>1486.1+(150.3-517.2)+(-0.757911+(-0.076653--0.263772))+0-0-0</f>
        <v>1118.6292079999998</v>
      </c>
      <c r="R262" s="3">
        <f>1418.8+(180.3-466.9)+(-4.341528+(-0.551718--1.428714))+0-0-0</f>
        <v>1128.7354680000001</v>
      </c>
      <c r="S262" s="3">
        <f>1357.1+(192.3-472.5)+(-2.768484+(-0.392292--0.9639))+0-0-0</f>
        <v>1074.7031239999999</v>
      </c>
      <c r="T262" s="3">
        <f>1440+(170.5-500.5)+(-2.2032+(-0.260865--0.765765))+0-0-0</f>
        <v>1108.3017</v>
      </c>
      <c r="U262" s="3">
        <f>1473.2+(148.8-566.6)+(-2.253996+(-0.227664--0.866898))+0-0-0</f>
        <v>1053.7852380000002</v>
      </c>
      <c r="V262" s="3">
        <f>1550.9+(58.1-463.9)+(0+(0-0))+0-0-0</f>
        <v>1145.1000000000001</v>
      </c>
      <c r="W262" s="3">
        <f>1656.2+(84-388.7)+(0.844662+(0.04284-0.198237))+0-0-0</f>
        <v>1352.189265</v>
      </c>
      <c r="X262" s="3">
        <f>1631.5+(91-357.2)+(-4.99239+(-0.27846--1.093032))+0-0-0</f>
        <v>1361.1221820000001</v>
      </c>
      <c r="Y262" s="3">
        <f>1646.3+(50.8-361.2)+(-2.518839+(-0.077724--0.552636))+0-0-0</f>
        <v>1333.8560730000002</v>
      </c>
      <c r="Z262" s="3">
        <f>1658.1+(41.6-415.7)+(-0.845631+(-0.021216--0.212007))+0-0-0</f>
        <v>1283.3451600000001</v>
      </c>
      <c r="AA262" s="3">
        <f>1663.8+(44.3-501.6)+(0.848538+(0.022593-0.255816))+0-0-0</f>
        <v>1207.115315</v>
      </c>
      <c r="AB262" s="3">
        <f>1632.9+(27.1-614.5)+(-2.498337+(-0.041463--0.940185))+0-0-0</f>
        <v>1043.9003849999999</v>
      </c>
      <c r="AC262" s="3">
        <f>1452.2+(20.2-530.4)+(-4.443732+(-0.061812--1.623024))+0-0-0</f>
        <v>939.11748</v>
      </c>
      <c r="AD262">
        <v>1363.6</v>
      </c>
      <c r="AE262" s="3">
        <f>1667+(64.3-367.7)+(0+(0-0))+0-0-0</f>
        <v>1363.6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1183.5+(47.6-426.1)+(-3.017925+(-0.12138--1.086555))+0-0-0</f>
        <v>802.94725000000005</v>
      </c>
      <c r="G263" s="3">
        <f>1117.7+(38.7-412.4)+(-3.420162+(-0.118422--1.261944))+0-0-0</f>
        <v>741.72335999999996</v>
      </c>
      <c r="H263" s="3">
        <f>1147+(29.3-468.8)+(1.75491+(0.044829-0.717264))+0-0-0</f>
        <v>708.58247500000004</v>
      </c>
      <c r="I263" s="3">
        <f>1141+(24-465.4)+(0+(0-0))+0-0-0</f>
        <v>699.6</v>
      </c>
      <c r="J263" s="3">
        <f>1144.8+(44.2-465.9)+(1.751544+(0.067626-0.712827))+0-0-0</f>
        <v>724.20634299999995</v>
      </c>
      <c r="K263" s="3">
        <f>1127.5+(59.7-415.7)+(-1.725075+(-0.091341--0.636021))+0-0-0</f>
        <v>770.31960500000002</v>
      </c>
      <c r="L263" s="3">
        <f>1208.6+(106.1-473.5)+(-0.616386+(-0.054111--0.241485))+0-0-0</f>
        <v>840.77098799999999</v>
      </c>
      <c r="M263" s="3">
        <f>1330.3+(112.6-596.3)+(-1.356906+(-0.114852--0.608226))+0-0-0</f>
        <v>845.73646800000006</v>
      </c>
      <c r="N263" s="3">
        <f>1522.6+(4-601.1)+(1.553052+(0.00408-0.613122))+0-0-0</f>
        <v>926.44400999999993</v>
      </c>
      <c r="O263" s="3">
        <f>1668.3+(84.2-705.4)+(0.850833+(0.042942-0.359754))+0-0-0</f>
        <v>1047.6340209999998</v>
      </c>
      <c r="P263" s="3">
        <f>1672.9+(143.9-691.9)+(2.559537+(0.220167-1.058607))+0-0-0</f>
        <v>1126.6210970000002</v>
      </c>
      <c r="Q263" s="3">
        <f>1652.1+(152.7-688)+(-0.842571+(-0.077877--0.35088))+0-0-0</f>
        <v>1116.2304320000001</v>
      </c>
      <c r="R263" s="3">
        <f>1645.7+(177.6-723.9)+(-2.517921+(-0.271728--1.107567))+0-0-0</f>
        <v>1097.7179180000001</v>
      </c>
      <c r="S263" s="3">
        <f>1625.1+(185.3-752.6)+(-4.144005+(-0.472515--1.91913))+0-0-0</f>
        <v>1055.1026099999999</v>
      </c>
      <c r="T263" s="3">
        <f>1644.2+(171.7-780.4)+(-2.515626+(-0.262701--1.194012))+0-0-0</f>
        <v>1033.9156849999999</v>
      </c>
      <c r="U263" s="3">
        <f>1635.2+(152-758.7)+(-3.335808+(-0.31008--1.547748))+0-0-0</f>
        <v>1026.4018599999999</v>
      </c>
      <c r="V263" s="3">
        <f>1654.4+(37.8-571.8)+(-2.531232+(-0.057834--0.874854))+0-0-0</f>
        <v>1118.685788</v>
      </c>
      <c r="W263" s="3">
        <f>1675.8+(24-385.8)+(0.854658+(0.01224-0.196758))+0-0-0</f>
        <v>1314.6701399999999</v>
      </c>
      <c r="X263" s="3">
        <f>1669.5+(24-378.8)+(0+(0-0))+0-0-0</f>
        <v>1314.7</v>
      </c>
      <c r="Y263" s="3">
        <f>1663.6+(29.4-406.5)+(-4.24218+(-0.07497--1.036575))+0-0-0</f>
        <v>1283.219425</v>
      </c>
      <c r="Z263" s="3">
        <f>1668+(27.1-445.4)+(-3.40272+(-0.055284--0.908616))+0-0-0</f>
        <v>1247.1506120000001</v>
      </c>
      <c r="AA263" s="3">
        <f>1480.3+(144.5-440.9)+(-2.264859+(-0.221085--0.674577))+0-0-0</f>
        <v>1182.0886330000001</v>
      </c>
      <c r="AB263" s="3">
        <f>1450.6+(179.3-484.5)+(-2.219418+(-0.274329--0.741285))+0-0-0</f>
        <v>1143.6475379999999</v>
      </c>
      <c r="AC263" s="3">
        <f>1332+(150.3-410.8)+(-1.35864+(-0.153306--0.419016))+0-0-0</f>
        <v>1070.40707</v>
      </c>
      <c r="AD263">
        <v>1325.2</v>
      </c>
      <c r="AE263" s="3">
        <f>1677+(25-376.8)+(0+(0-0))+0-0-0</f>
        <v>1325.2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1234.6+(203-442.7)+(-1.888938+(-0.31059--0.677331))+0-0-0</f>
        <v>993.37780299999986</v>
      </c>
      <c r="G264" s="3">
        <f>1128.7+(267.1-465.1)+(-1.151274+(-0.272442--0.474402))+0-0-0</f>
        <v>929.75068600000009</v>
      </c>
      <c r="H264" s="3">
        <f>1129.4+(239.4-462.9)+(0+(0-0))+0-0-0</f>
        <v>905.90000000000009</v>
      </c>
      <c r="I264" s="3">
        <f>1134.1+(250.8-498.8)+(0.578391+(0.127908-0.254388))+0-0-0</f>
        <v>886.5519109999999</v>
      </c>
      <c r="J264" s="3">
        <f>1125+(194.1-435.4)+(-0.57375+(-0.098991--0.222054))+0-0-0</f>
        <v>883.24931300000003</v>
      </c>
      <c r="K264" s="3">
        <f>1151+(111.4-383.4)+(2.93505+(0.28407-0.97767))+0-0-0</f>
        <v>881.24144999999999</v>
      </c>
      <c r="L264" s="3">
        <f>1116.9+(109.5-359.2)+(-2.848095+(-0.279225--0.91596))+0-0-0</f>
        <v>864.98864000000003</v>
      </c>
      <c r="M264" s="3">
        <f>1118.8+(105.7-413.2)+(-1.711764+(-0.161721--0.632196))+0-0-0</f>
        <v>810.0587109999999</v>
      </c>
      <c r="N264" s="3">
        <f>1138.9+(111.9-391.9)+(1.161678+(0.114138-0.399738))+0-0-0</f>
        <v>859.7760780000001</v>
      </c>
      <c r="O264" s="3">
        <f>1177.3+(125.6-398.9)+(1.200846+(0.128112-0.406878))+0-0-0</f>
        <v>904.92208000000005</v>
      </c>
      <c r="P264" s="3">
        <f>1492.2+(99.2-636.2)+(-1.522044+(-0.101184--0.648924))+0-0-0</f>
        <v>954.22569600000008</v>
      </c>
      <c r="Q264" s="3">
        <f>1514.5+(112-659.2)+(-1.54479+(-0.11424--0.672384))+0-0-0</f>
        <v>966.313354</v>
      </c>
      <c r="R264" s="3">
        <f>1501.1+(153.6-703.3)+(-3.062244+(-0.313344--1.434732))+0-0-0</f>
        <v>949.45914399999992</v>
      </c>
      <c r="S264" s="3">
        <f>1494.7+(182.6-745.4)+(-3.049188+(-0.372504--1.520616))+0-0-0</f>
        <v>929.9989240000001</v>
      </c>
      <c r="T264" s="3">
        <f>1510+(223.6-815.6)+(-0.7701+(-0.114036--0.415956))+0-0-0</f>
        <v>917.53182000000004</v>
      </c>
      <c r="U264" s="3">
        <f>1498.8+(183.3-755.8)+(-2.293164+(-0.280449--1.156374))+0-0-0</f>
        <v>924.88276099999996</v>
      </c>
      <c r="V264" s="3">
        <f>1609.7+(29-616.8)+(-0.820947+(-0.01479--0.314568))+0-0-0</f>
        <v>1021.3788310000001</v>
      </c>
      <c r="W264" s="3">
        <f>1670.8+(26.6-454.7)+(-2.556324+(-0.040698--0.695691))+0-0-0</f>
        <v>1240.798669</v>
      </c>
      <c r="X264" s="3">
        <f>1675.4+(140.5-568.5)+(-0.854454+(-0.071655--0.289935))+0-0-0</f>
        <v>1246.7638260000001</v>
      </c>
      <c r="Y264" s="3">
        <f>1675+(170-612.3)+(-0.85425+(-0.0867--0.312273))+0-0-0</f>
        <v>1232.0713230000001</v>
      </c>
      <c r="Z264" s="3">
        <f>1677.9+(216.1-686.4)+(-1.711458+(-0.220422--0.700128))+0-0-0</f>
        <v>1206.3682480000002</v>
      </c>
      <c r="AA264" s="3">
        <f>1673+(275.3-764.1)+(-2.55969+(-0.421209--1.169073))+0-0-0</f>
        <v>1182.3881739999999</v>
      </c>
      <c r="AB264" s="3">
        <f>1653+(245.2-783)+(-2.52909+(-0.375156--1.19799))+0-0-0</f>
        <v>1113.4937440000001</v>
      </c>
      <c r="AC264" s="3">
        <f>1461.1+(269.9-704.8)+(-4.470966+(-0.825894--2.156688))+0-0-0</f>
        <v>1023.0598279999998</v>
      </c>
      <c r="AD264">
        <v>1238</v>
      </c>
      <c r="AE264" s="3">
        <f>1682+(134.6-578.6)+(0+(0-0))+0-0-0</f>
        <v>1238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1164.7+(266.8-490.2)+(-2.969985+(-0.68034--1.25001))+0-0-0</f>
        <v>938.89968500000009</v>
      </c>
      <c r="G265" s="3">
        <f>1119.7+(237.6-463.3)+(-2.284188+(-0.484704--0.945132))+0-0-0</f>
        <v>892.17624000000001</v>
      </c>
      <c r="H265" s="3">
        <f>1128.5+(289-564.8)+(0+(0-0))+0-0-0</f>
        <v>852.7</v>
      </c>
      <c r="I265" s="3">
        <f>1125.4+(294.6-574.3)+(-0.573954+(-0.150246--0.292893))+0-0-0</f>
        <v>845.26869300000021</v>
      </c>
      <c r="J265" s="3">
        <f>1131.1+(302.9-586.9)+(0.576861+(0.154479-0.299319))+0-0-0</f>
        <v>847.53202099999987</v>
      </c>
      <c r="K265" s="3">
        <f>1135+(310-569)+(0.57885+(0.1581-0.29019))+0-0-0</f>
        <v>876.44676000000004</v>
      </c>
      <c r="L265" s="3">
        <f>1133.7+(301-501.5)+(0+(0-0))+0-0-0</f>
        <v>933.2</v>
      </c>
      <c r="M265" s="3">
        <f>1271+(326.6-633.1)+(1.94463+(0.499698-0.968643))+0-0-0</f>
        <v>965.975685</v>
      </c>
      <c r="N265" s="3">
        <f>1454.6+(211.4-607.1)+(1.483692+(0.215628-0.619242))+0-0-0</f>
        <v>1059.9800779999998</v>
      </c>
      <c r="O265" s="3">
        <f>1633.9+(186.4-695.8)+(0+(0-0))+0-0-0</f>
        <v>1124.5</v>
      </c>
      <c r="P265" s="3">
        <f>1758.5+(160-776.7)+(-2.690505+(-0.2448--1.188351))+0-0-0</f>
        <v>1140.053046</v>
      </c>
      <c r="Q265" s="3">
        <f>1702.7+(155-698)+(-1.736754+(-0.1581--0.71196))+0-0-0</f>
        <v>1158.517106</v>
      </c>
      <c r="R265" s="3">
        <f>1649.1+(167.8-677.7)+(-4.205205+(-0.42789--1.728135))+0-0-0</f>
        <v>1136.2950399999997</v>
      </c>
      <c r="S265" s="3">
        <f>1661.6+(180.6-718.4)+(0+(0-0))+0-0-0</f>
        <v>1123.8</v>
      </c>
      <c r="T265" s="3">
        <f>1651.2+(186.7-727)+(-1.684224+(-0.190434--0.74154))+0-0-0</f>
        <v>1109.7668820000001</v>
      </c>
      <c r="U265" s="3">
        <f>1657.6+(287.9-774.9)+(0+(0-0))+0-0-0</f>
        <v>1170.5999999999999</v>
      </c>
      <c r="V265" s="3">
        <f>1661.3+(229.6-649.8)+(-0.847263+(-0.117096--0.331398))+0-0-0</f>
        <v>1240.4670389999999</v>
      </c>
      <c r="W265" s="3">
        <f>1679+(159.3-450.1)+(1.71258+(0.162486-0.459102))+0-0-0</f>
        <v>1389.6159640000001</v>
      </c>
      <c r="X265" s="3">
        <f>1663.1+(182.2-455.6)+(-2.544543+(-0.278766--0.697068))+0-0-0</f>
        <v>1387.5737589999999</v>
      </c>
      <c r="Y265" s="3">
        <f>1669.6+(211.2-525)+(-0.851496+(-0.107712--0.26775))+0-0-0</f>
        <v>1355.1085419999999</v>
      </c>
      <c r="Z265" s="3">
        <f>1676.3+(228.8-596.3)+(-0.854913+(-0.116688--0.304113))+0-0-0</f>
        <v>1308.1325119999999</v>
      </c>
      <c r="AA265" s="3">
        <f>1661.7+(256.1-666.2)+(0+(0-0))+0-0-0</f>
        <v>1251.5999999999999</v>
      </c>
      <c r="AB265" s="3">
        <f>1501.1+(221.5-537.3)+(0+(0-0))+0-0-0</f>
        <v>1185.3</v>
      </c>
      <c r="AC265" s="3">
        <f>1353+(240.9-499.9)+(0+(0-0))+0-0-0</f>
        <v>1094</v>
      </c>
      <c r="AD265">
        <v>1399.3</v>
      </c>
      <c r="AE265" s="3">
        <f>1678+(172.1-450.8)+(0+(0-0))+0-0-0</f>
        <v>1399.3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1296.5+(249.2-542.6)+(-1.983645+(-0.381276--0.830178))+0-0-0</f>
        <v>1001.5652569999999</v>
      </c>
      <c r="G266" s="3">
        <f>1154.9+(203.9-400.6)+(-2.944995+(-0.519945--1.02153))+0-0-0</f>
        <v>955.75659000000007</v>
      </c>
      <c r="H266" s="3">
        <f>1142.4+(152.3-367.1)+(0+(0-0))+0-0-0</f>
        <v>927.60000000000014</v>
      </c>
      <c r="I266" s="3">
        <f>1143.3+(146.7-378.5)+(0+(0-0))+0-0-0</f>
        <v>911.5</v>
      </c>
      <c r="J266" s="3">
        <f>1132.8+(140.5-369)+(-1.155456+(-0.14331--0.37638))+0-0-0</f>
        <v>903.37761399999999</v>
      </c>
      <c r="K266" s="3">
        <f>1153.2+(122.9-359.6)+(1.764396+(0.188037-0.550188))+0-0-0</f>
        <v>917.90224499999999</v>
      </c>
      <c r="L266" s="3">
        <f>1278.1+(106.6-413.7)+(1.303662+(0.108732-0.421974))+0-0-0</f>
        <v>971.99041999999986</v>
      </c>
      <c r="M266" s="3">
        <f>1538.7+(112.7-612.5)+(3.138948+(0.229908-1.2495))+0-0-0</f>
        <v>1041.019356</v>
      </c>
      <c r="N266" s="3">
        <f>1654.5+(105.7-627.2)+(-1.68759+(-0.107814--0.639744))+0-0-0</f>
        <v>1131.8443400000001</v>
      </c>
      <c r="O266" s="3">
        <f>1663.3+(157.8-632.2)+(0.848283+(0.080478-0.322422))+0-0-0</f>
        <v>1189.5063389999998</v>
      </c>
      <c r="P266" s="3">
        <f>1664.4+(134.7-576.5)+(0.848844+(0.068697-0.294015))+0-0-0</f>
        <v>1223.2235260000002</v>
      </c>
      <c r="Q266" s="3">
        <f>1647.4+(184.4-593.7)+(-3.360696+(-0.376176--1.211148))+0-0-0</f>
        <v>1235.5742759999998</v>
      </c>
      <c r="R266" s="3">
        <f>1654.3+(248.8-692.9)+(-2.531079+(-0.380664--1.060137))+0-0-0</f>
        <v>1208.3483940000001</v>
      </c>
      <c r="S266" s="3">
        <f>1659.6+(244.7-719)+(-1.692792+(-0.249594--0.73338))+0-0-0</f>
        <v>1184.0909939999999</v>
      </c>
      <c r="T266" s="3">
        <f>1676.9+(247.6-769.4)+(1.710438+(0.252552-0.784788))+0-0-0</f>
        <v>1156.2782020000002</v>
      </c>
      <c r="U266" s="3">
        <f>1664.2+(188.9-702.9)+(-1.697484+(-0.192678--0.716958))+0-0-0</f>
        <v>1149.0267960000001</v>
      </c>
      <c r="V266" s="3">
        <f>1674.6+(133.4-579.6)+(1.708092+(0.136068-0.591192))+0-0-0</f>
        <v>1229.6529679999999</v>
      </c>
      <c r="W266" s="3">
        <f>1682.7+(83.6-397.6)+(1.716354+(0.085272-0.405552))+0-0-0</f>
        <v>1370.096074</v>
      </c>
      <c r="X266" s="3">
        <f>1651.4+(75.9-371.3)+(-3.368856+(-0.154836--0.757452))+0-0-0</f>
        <v>1353.2337600000001</v>
      </c>
      <c r="Y266" s="3">
        <f>1643.9+(85.7-401.2)+(-5.030334+(-0.262242--1.227672))+0-0-0</f>
        <v>1324.335096</v>
      </c>
      <c r="Z266" s="3">
        <f>1655+(132.3-496.6)+(-2.53215+(-0.202419--0.759798))+0-0-0</f>
        <v>1288.7252290000001</v>
      </c>
      <c r="AA266" s="3">
        <f>1660.9+(184-611.3)+(-1.694118+(-0.18768--0.623526))+0-0-0</f>
        <v>1232.3417280000001</v>
      </c>
      <c r="AB266" s="3">
        <f>1641+(62.2-542.3)+(-5.02146+(-0.190332--1.659438))+0-0-0</f>
        <v>1157.3476460000002</v>
      </c>
      <c r="AC266" s="3">
        <f>1438.5+(50.8-427)+(-2.200905+(-0.077724--0.65331))+0-0-0</f>
        <v>1060.674681</v>
      </c>
      <c r="AD266">
        <v>1399.3</v>
      </c>
      <c r="AE266" s="3">
        <f>1689+(104.6-394.3)+(0+(0-0))+0-0-0</f>
        <v>1399.3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1170.5+(75.3-278)+(-1.790865+(-0.115209--0.42534))+0-0-0</f>
        <v>966.31926599999997</v>
      </c>
      <c r="G267" s="3">
        <f>1155.6+(100.3-343.8)+(2.357424+(0.204612-0.701352))+0-0-0</f>
        <v>913.9606839999999</v>
      </c>
      <c r="H267" s="3">
        <f>1151.2+(37.8-287.2)+(1.761336+(0.057834-0.439416))+0-0-0</f>
        <v>903.17975400000012</v>
      </c>
      <c r="I267" s="3">
        <f>1148.9+(31.8-288.8)+(0.585939+(0.016218-0.147288))+0-0-0</f>
        <v>892.35486900000012</v>
      </c>
      <c r="J267" s="3">
        <f>1127.3+(36.4-277.4)+(-2.874615+(-0.09282--0.70737))+0-0-0</f>
        <v>884.0399349999999</v>
      </c>
      <c r="K267" s="3">
        <f>1149+(56.1-304.4)+(0.58599+(0.028611-0.155244))+0-0-0</f>
        <v>901.159357</v>
      </c>
      <c r="L267" s="3">
        <f>1189+(132.3-395.9)+(-1.21278+(-0.134946--0.403818))+0-0-0</f>
        <v>924.45609200000013</v>
      </c>
      <c r="M267" s="3">
        <f>1385.2+(99.4-525.1)+(0.706452+(0.050694-0.267801))+0-0-0</f>
        <v>959.98934499999996</v>
      </c>
      <c r="N267" s="3">
        <f>1527.6+(56.5-528.8)+(0+(0-0))+0-0-0</f>
        <v>1055.3</v>
      </c>
      <c r="O267" s="3">
        <f>1636.8+(41.3-568.2)+(0.834768+(0.021063-0.289782))+0-0-0</f>
        <v>1110.4660489999999</v>
      </c>
      <c r="P267" s="3">
        <f>1622.5+(20.5-523.6)+(-0.827475+(-0.010455--0.267036))+0-0-0</f>
        <v>1118.8291060000001</v>
      </c>
      <c r="Q267" s="3">
        <f>1615.7+(43.4-528.9)+(-2.472021+(-0.066402--0.809217))+0-0-0</f>
        <v>1128.4707940000001</v>
      </c>
      <c r="R267" s="3">
        <f>1614.8+(25.1-530.7)+(-1.647096+(-0.025602--0.541314))+0-0-0</f>
        <v>1108.0686159999998</v>
      </c>
      <c r="S267" s="3">
        <f>1609.1+(81.8-626.1)+(-3.282564+(-0.166872--1.277244))+0-0-0</f>
        <v>1062.6278079999997</v>
      </c>
      <c r="T267" s="3">
        <f>1617+(219.7-766.1)+(-1.64934+(-0.224094--0.781422))+0-0-0</f>
        <v>1069.5079879999998</v>
      </c>
      <c r="U267" s="3">
        <f>1611.2+(239.2-778.7)+(-2.465136+(-0.365976--1.191411))+0-0-0</f>
        <v>1070.060299</v>
      </c>
      <c r="V267" s="3">
        <f>1641.3+(142.2-612.3)+(-1.674126+(-0.145044--0.624546))+0-0-0</f>
        <v>1170.0053760000001</v>
      </c>
      <c r="W267" s="3">
        <f>1686.1+(112.7-435.5)+(-0.859911+(-0.057477--0.222105))+0-0-0</f>
        <v>1362.6047169999999</v>
      </c>
      <c r="X267" s="3">
        <f>1669.9+(122.7-423.5)+(-4.258245+(-0.312885--1.079925))+0-0-0</f>
        <v>1365.6087950000001</v>
      </c>
      <c r="Y267" s="3">
        <f>1671.9+(124.5-465.2)+(-1.705338+(-0.12699--0.474504))+0-0-0</f>
        <v>1329.8421760000001</v>
      </c>
      <c r="Z267" s="3">
        <f>1672.5+(133.9-511.9)+(-3.4119+(-0.273156--1.044276))+0-0-0</f>
        <v>1291.8592200000001</v>
      </c>
      <c r="AA267" s="3">
        <f>1684.3+(186.9-623.2)+(-1.717986+(-0.190638--0.635664))+0-0-0</f>
        <v>1246.72704</v>
      </c>
      <c r="AB267" s="3">
        <f>1474.8+(224.2-526.5)+(-4.512888+(-0.686052--1.61109))+0-0-0</f>
        <v>1168.9121500000001</v>
      </c>
      <c r="AC267" s="3">
        <f>1401.9+(212-526.4)+(-2.144907+(-0.32436--0.805392))+0-0-0</f>
        <v>1085.836125</v>
      </c>
      <c r="AD267">
        <v>1409.6</v>
      </c>
      <c r="AE267" s="3">
        <f>1699+(137.2-426.6)+(0+(0-0))+0-0-0</f>
        <v>1409.6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1182.1+(241.5-413.1)+(-0.602871+(-0.123165--0.210681))+0-0-0</f>
        <v>1009.9846449999999</v>
      </c>
      <c r="G268" s="3">
        <f>1141.7+(222.7-401.6)+(-0.582267+(-0.113577--0.204816))+0-0-0</f>
        <v>962.30897199999993</v>
      </c>
      <c r="H268" s="3">
        <f>1144.5+(227.9-432.9)+(0.583695+(0.116229-0.220779))+0-0-0</f>
        <v>939.97914500000002</v>
      </c>
      <c r="I268" s="3">
        <f>1152.3+(220.4-448.5)+(1.763019+(0.337212-0.686205))+0-0-0</f>
        <v>925.61402599999997</v>
      </c>
      <c r="J268" s="3">
        <f>1142.8+(228.4-451.9)+(-0.582828+(-0.116484--0.230469))+0-0-0</f>
        <v>918.83115699999996</v>
      </c>
      <c r="K268" s="3">
        <f>1184.5+(205.6-448.5)+(2.41638+(0.419424-0.91494))+0-0-0</f>
        <v>943.52086400000007</v>
      </c>
      <c r="L268" s="3">
        <f>1415.9+(194.8-622)+(0+(0-0))+0-0-0</f>
        <v>988.7</v>
      </c>
      <c r="M268" s="3">
        <f>1448.1+(242.3-661.9)+(0.738531+(0.123573-0.337569))+0-0-0</f>
        <v>1029.024535</v>
      </c>
      <c r="N268" s="3">
        <f>1666.5+(220.6-778.9)+(0.849915+(0.112506-0.397239))+0-0-0</f>
        <v>1108.7651820000001</v>
      </c>
      <c r="O268" s="3">
        <f>1680.7+(219.1-742.4)+(1.714314+(0.223482-0.757248))+0-0-0</f>
        <v>1158.5805480000001</v>
      </c>
      <c r="P268" s="3">
        <f>1662.3+(209.9-692.1)+(-0.847773+(-0.107049--0.352971))+0-0-0</f>
        <v>1179.498149</v>
      </c>
      <c r="Q268" s="3">
        <f>1655.8+(217.1-698.1)+(-2.533374+(-0.332163--1.068093))+0-0-0</f>
        <v>1173.0025559999999</v>
      </c>
      <c r="R268" s="3">
        <f>1641.7+(199.6-696.9)+(-3.349068+(-0.407184--1.421676))+0-0-0</f>
        <v>1142.0654240000001</v>
      </c>
      <c r="S268" s="3">
        <f>1653.7+(206.3-744.2)+(-0.843387+(-0.105213--0.379542))+0-0-0</f>
        <v>1115.2309419999999</v>
      </c>
      <c r="T268" s="3">
        <f>1670.2+(205.4-772.9)+(1.703604+(0.209508-0.788358))+0-0-0</f>
        <v>1103.824754</v>
      </c>
      <c r="U268" s="3">
        <f>1658+(174.6-721.6)+(0+(0-0))+0-0-0</f>
        <v>1111</v>
      </c>
      <c r="V268" s="3">
        <f>1669.9+(122.8-580.4)+(1.703298+(0.125256-0.592008))+0-0-0</f>
        <v>1213.5365460000003</v>
      </c>
      <c r="W268" s="3">
        <f>1689.7+(101.8-392.3)+(2.585241+(0.155754-0.600219))+0-0-0</f>
        <v>1401.340776</v>
      </c>
      <c r="X268" s="3">
        <f>1684.3+(106.5-394.9)+(0+(0-0))+0-0-0</f>
        <v>1395.9</v>
      </c>
      <c r="Y268" s="3">
        <f>1657.9+(113.5-412.2)+(-4.227645+(-0.289425--1.05111))+0-0-0</f>
        <v>1355.73404</v>
      </c>
      <c r="Z268" s="3">
        <f>1675+(124.5-484)+(-1.7085+(-0.12699--0.49368))+0-0-0</f>
        <v>1314.1581900000001</v>
      </c>
      <c r="AA268" s="3">
        <f>1653.4+(162-549.2)+(-1.686468+(-0.16524--0.560184))+0-0-0</f>
        <v>1264.9084760000001</v>
      </c>
      <c r="AB268" s="3">
        <f>1578.9+(283.9-674.8)+(0+(0-0))+0-0-0</f>
        <v>1188</v>
      </c>
      <c r="AC268" s="3">
        <f>1543.5+(270.6-709.2)+(-2.361555+(-0.414018--1.085076))+0-0-0</f>
        <v>1103.209503</v>
      </c>
      <c r="AD268">
        <v>1395.4</v>
      </c>
      <c r="AE268" s="3">
        <f>1690+(107.4-402)+(0+(0-0))+0-0-0</f>
        <v>1395.4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1211+(240.8-455.7)+(-1.23522+(-0.245616--0.464814))+0-0-0</f>
        <v>995.083978</v>
      </c>
      <c r="G269" s="3">
        <f>1118.9+(251.9-433.5)+(-1.141278+(-0.256938--0.44217))+0-0-0</f>
        <v>936.34395400000005</v>
      </c>
      <c r="H269" s="3">
        <f>1121.6+(252.2-467.7)+(-0.572016+(-0.128622--0.238527))+0-0-0</f>
        <v>905.63788899999986</v>
      </c>
      <c r="I269" s="3">
        <f>1122.9+(215.3-434.8)+(-0.572679+(-0.109803--0.221748))+0-0-0</f>
        <v>902.93926600000009</v>
      </c>
      <c r="J269" s="3">
        <f>1150.8+(186.2-437.1)+(4.108356+(0.664734-1.560447))+0-0-0</f>
        <v>903.11264299999982</v>
      </c>
      <c r="K269" s="3">
        <f>1134.2+(165.1-384.6)+(1.156884+(0.168402-0.392292))+0-0-0</f>
        <v>915.63299400000005</v>
      </c>
      <c r="L269" s="3">
        <f>1376.4+(170.5-592.1)+(-0.701964+(-0.086955--0.301971))+0-0-0</f>
        <v>954.31305200000008</v>
      </c>
      <c r="M269" s="3">
        <f>1638.2+(213.2-856.3)+(-1.670964+(-0.217464--0.873426))+0-0-0</f>
        <v>994.08499800000016</v>
      </c>
      <c r="N269" s="3">
        <f>1652.5+(243.6-823.3)+(-0.842775+(-0.124236--0.419883))+0-0-0</f>
        <v>1072.2528720000003</v>
      </c>
      <c r="O269" s="3">
        <f>1649.5+(244.5-775.8)+(-0.841245+(-0.124695--0.395658))+0-0-0</f>
        <v>1117.6297180000001</v>
      </c>
      <c r="P269" s="3">
        <f>1649.6+(197.7-718.1)+(0+(0-0))+0-0-0</f>
        <v>1129.1999999999998</v>
      </c>
      <c r="Q269" s="3">
        <f>1635.7+(214-709.7)+(-1.668414+(-0.21828--0.723894))+0-0-0</f>
        <v>1138.8371999999999</v>
      </c>
      <c r="R269" s="3">
        <f>1632.8+(277.9-802.5)+(-2.498184+(-0.425187--1.227825))+0-0-0</f>
        <v>1106.5044539999999</v>
      </c>
      <c r="S269" s="3">
        <f>1631.6+(300.9-844.2)+(-2.496348+(-0.460377--1.291626))+0-0-0</f>
        <v>1086.6349009999997</v>
      </c>
      <c r="T269" s="3">
        <f>1666.1+(296.1-903.5)+(2.549133+(0.453033-1.382355))+3.6-0-0</f>
        <v>1063.9198109999998</v>
      </c>
      <c r="U269" s="3">
        <f>1648.6+(199.1-773.6)+(0+(0-0))+0-0-0</f>
        <v>1074.0999999999999</v>
      </c>
      <c r="V269" s="3">
        <f>1638.4+(115.9-591.9)+(-0.835584+(-0.059109--0.301869))+0-0-0</f>
        <v>1161.807176</v>
      </c>
      <c r="W269" s="3">
        <f>1667.3+(85.2-418.8)+(1.700646+(0.086904-0.427176))+0-0-0</f>
        <v>1335.0603739999999</v>
      </c>
      <c r="X269" s="3">
        <f>1638.6+(131.1-434)+(-3.342744+(-0.267444--0.88536))+0-0-0</f>
        <v>1332.9751719999999</v>
      </c>
      <c r="Y269" s="3">
        <f>1629+(151.1-467.7)+(-4.98474+(-0.462366--1.431162))+0-0-0</f>
        <v>1308.3840560000001</v>
      </c>
      <c r="Z269" s="3">
        <f>1651.9+(238-618)+(-0.842469+(-0.12138--0.31518))+0-0-0</f>
        <v>1271.2513310000002</v>
      </c>
      <c r="AA269" s="3">
        <f>1509+(294.5-575.9)+(-3.07836+(-0.60078--1.174836))+0-0-0</f>
        <v>1225.0956959999999</v>
      </c>
      <c r="AB269" s="3">
        <f>1431.8+(259.6-523.6)+(-2.920872+(-0.529584--1.068144))+0-0-0</f>
        <v>1165.417688</v>
      </c>
      <c r="AC269" s="3">
        <f>1196+(262.7-393.1)+(-2.43984+(-0.535908--0.801924))+0-0-0</f>
        <v>1063.4261759999999</v>
      </c>
      <c r="AD269">
        <v>1371.8999999999999</v>
      </c>
      <c r="AE269" s="3">
        <f>1661+(107.1-396.2)+(0+(0-0))+0-0-0</f>
        <v>1371.9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1124.5+(279.6-422.8)+(-2.867475+(-0.71298--1.07814))+0-0-0</f>
        <v>978.797685</v>
      </c>
      <c r="G270" s="3">
        <f>1139.3+(244-441.2)+(-0.581043+(-0.12444--0.225012))+0-0-0</f>
        <v>941.61952899999994</v>
      </c>
      <c r="H270" s="3">
        <f>1133.4+(270.2-496.6)+(-1.734102+(-0.413406--0.759798))+0-0-0</f>
        <v>905.61229000000003</v>
      </c>
      <c r="I270" s="3">
        <f>1147.7+(276.8-537.1)+(1.755981+(0.423504-0.821763))+0-0-0</f>
        <v>888.75772200000006</v>
      </c>
      <c r="J270" s="3">
        <f>1144.9+(291.2-549.5)+(0.583899+(0.148512-0.280245))+0-0-0</f>
        <v>887.05216600000017</v>
      </c>
      <c r="K270" s="3">
        <f>1162.9+(283.9-554.4)+(1.779237+(0.434367-0.848232))+0-0-0</f>
        <v>893.76537200000007</v>
      </c>
      <c r="L270" s="3">
        <f>1405+(323.6-807.7)+(0.71655+(0.165036-0.411927))+0-0-0</f>
        <v>921.36965899999996</v>
      </c>
      <c r="M270" s="3">
        <f>1557.9+(334.2-923.4)+(0.794529+(0.170442-0.470934))+0-0-0</f>
        <v>969.19403700000009</v>
      </c>
      <c r="N270" s="3">
        <f>1656.5+(310.6-904.3)+(0.844815+(0.158406-0.461193))+0-0-0</f>
        <v>1063.3420280000003</v>
      </c>
      <c r="O270" s="3">
        <f>1630.4+(295.9-801.1)+(-0.831504+(-0.150909--0.408561))+0-0-0</f>
        <v>1124.6261480000001</v>
      </c>
      <c r="P270" s="3">
        <f>1614.8+(291.5-755.1)+(-1.647096+(-0.29733--0.770202))+0-0-0</f>
        <v>1150.0257759999997</v>
      </c>
      <c r="Q270" s="3">
        <f>1596.9+(283.8-740.8)+(-3.257676+(-0.578952--1.511232))+0-0-0</f>
        <v>1137.5746040000001</v>
      </c>
      <c r="R270" s="3">
        <f>1588.8+(278.2-762.9)+(-4.861728+(-0.851292--2.334474))+0-0-0</f>
        <v>1100.721454</v>
      </c>
      <c r="S270" s="3">
        <f>1614.3+(316.3-864.8)+(0+(0-0))+0-0-0</f>
        <v>1065.8</v>
      </c>
      <c r="T270" s="3">
        <f>1599.9+(352.9-910.8)+(-3.263796+(-0.719916--1.858032))+0-0-0</f>
        <v>1039.8743199999999</v>
      </c>
      <c r="U270" s="3">
        <f>1617.6+(328.2-904.5)+(0+(0-0))+0-0-0</f>
        <v>1041.3</v>
      </c>
      <c r="V270" s="3">
        <f>1623.8+(253-748.8)+(0+(0-0))+0-0-0</f>
        <v>1128</v>
      </c>
      <c r="W270" s="3">
        <f>1665.3+(190.7-557.6)+(0+(0-0))+0-0-0</f>
        <v>1298.3999999999999</v>
      </c>
      <c r="X270" s="3">
        <f>1687.4+(207.9-601.1)+(-3.442296+(-0.424116--1.226244))+0-0-0</f>
        <v>1291.5598320000001</v>
      </c>
      <c r="Y270" s="3">
        <f>1624.7+(258-624.1)+(-2.485791+(-0.39474--0.954873))+0-0-0</f>
        <v>1256.6743419999998</v>
      </c>
      <c r="Z270" s="3">
        <f>1632.2+(314.5-726.6)+(-0.832422+(-0.160395--0.370566))+0-0-0</f>
        <v>1219.4777489999999</v>
      </c>
      <c r="AA270" s="3">
        <f>1548.9+(378.6-744.2)+(-3.159756+(-0.772344--1.518168))+0-0-0</f>
        <v>1180.8860680000003</v>
      </c>
      <c r="AB270" s="3">
        <f>1449+(284.8-606.3)+(-3.69495+(-0.72624--1.546065))+0-0-0</f>
        <v>1124.624875</v>
      </c>
      <c r="AC270" s="3">
        <f>1451.2+(326.3-726.1)+(-3.70056+(-0.832065--1.851555))+0-0-0</f>
        <v>1048.71893</v>
      </c>
      <c r="AD270">
        <v>1336.3000000000002</v>
      </c>
      <c r="AE270" s="3">
        <f>1697+(194.2-554.9)+(0+(0-0))+0-0-0</f>
        <v>1336.3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1199.6+(364.1-571.8)+(-1.223592+(-0.371382--0.583236))+0-0-0</f>
        <v>990.88826199999994</v>
      </c>
      <c r="G271" s="3">
        <f>1123.7+(398.3-586.4)+(-2.292348+(-0.812532--1.196256))+0-0-0</f>
        <v>933.6913760000001</v>
      </c>
      <c r="H271" s="3">
        <f>1125.9+(408-633.3)+(-0.574209+(-0.20808--0.322983))+0-0-0</f>
        <v>900.14069400000017</v>
      </c>
      <c r="I271" s="3">
        <f>1121.5+(345.6-579.1)+(-1.14393+(-0.352512--0.590682))+0-0-0</f>
        <v>887.09424000000001</v>
      </c>
      <c r="J271" s="3">
        <f>1134.5+(348.9-595.2)+(0.578595+(0.177939-0.303552))+0-0-0</f>
        <v>888.65298199999995</v>
      </c>
      <c r="K271" s="3">
        <f>1128.9+(310-550.1)+(0+(0-0))+0-0-0</f>
        <v>888.80000000000007</v>
      </c>
      <c r="L271" s="3">
        <f>1130.8+(304-543.7)+(-0.576708+(-0.15504--0.277287))+0-0-0</f>
        <v>890.64553899999987</v>
      </c>
      <c r="M271" s="3">
        <f>1118.4+(294.7-572.5)+(-3.992688+(-1.052079--2.043825))+0-0-0</f>
        <v>837.59905800000013</v>
      </c>
      <c r="N271" s="3">
        <f>1135.8+(268.8-522.3)+(1.158516+(0.274176-0.532746))+0-0-0</f>
        <v>883.19994599999995</v>
      </c>
      <c r="O271" s="3">
        <f>1135.6+(182.8-389.1)+(0+(0-0))+0-0-0</f>
        <v>929.3</v>
      </c>
      <c r="P271" s="3">
        <f>1120.6+(231.8-402.5)+(-2.286024+(-0.472872--0.8211))+0-0-0</f>
        <v>947.96220399999982</v>
      </c>
      <c r="Q271" s="3">
        <f>1118.7+(240.1-393.2)+(-1.141074+(-0.244902--0.401064))+0-0-0</f>
        <v>964.61508800000001</v>
      </c>
      <c r="R271" s="3">
        <f>1111.9+(252.9-402.3)+(-2.835345+(-0.644895--1.025865))+0-0-0</f>
        <v>960.04562500000009</v>
      </c>
      <c r="S271" s="3">
        <f>1112.9+(301-470.6)+(-1.702737+(-0.46053--0.720018))+0-0-0</f>
        <v>941.85675100000003</v>
      </c>
      <c r="T271" s="3">
        <f>1117.5+(358.7-552.7)+(-1.13985+(-0.365874--0.563754))+0-0-0</f>
        <v>922.55803000000003</v>
      </c>
      <c r="U271" s="3">
        <f>1122+(357.1-540)+(0.57222+(0.182121-0.2754))+0-0-0</f>
        <v>939.57894099999999</v>
      </c>
      <c r="V271" s="3">
        <f>1198.8+(271.4-432.6)+(1.222776+(0.276828-0.441252))+0-0-0</f>
        <v>1038.6583519999999</v>
      </c>
      <c r="W271" s="3">
        <f>1464.6+(289.8-544.7)+(0+(0-0))+0-0-0</f>
        <v>1209.6999999999998</v>
      </c>
      <c r="X271" s="3">
        <f>1435.3+(271.6-493)+(-3.660015+(-0.69258--1.25715))+0-0-0</f>
        <v>1210.8045550000002</v>
      </c>
      <c r="Y271" s="3">
        <f>1471.3+(251.9-515.7)+(0.750363+(0.128469-0.263007))+0-0-0</f>
        <v>1208.1158250000001</v>
      </c>
      <c r="Z271" s="3">
        <f>1453.7+(313.4-580.4)+(-1.482774+(-0.319668--0.592008))+0-0-0</f>
        <v>1185.489566</v>
      </c>
      <c r="AA271" s="3">
        <f>1420.9+(357.7-613)+(-3.623295+(-0.912135--1.56315))+0-0-0</f>
        <v>1162.6277200000002</v>
      </c>
      <c r="AB271" s="3">
        <f>1372.6+(324.1-589.2)+(-2.100078+(-0.495873--0.901476))+0-0-0</f>
        <v>1105.805525</v>
      </c>
      <c r="AC271" s="3">
        <f>1268.1+(320.5-563.3)+(-3.233655+(-0.817275--1.436415))+0-0-0</f>
        <v>1022.685485</v>
      </c>
      <c r="AD271">
        <v>1201.7</v>
      </c>
      <c r="AE271" s="3">
        <f>1460+(276.9-535.2)+(0+(0-0))+0-0-0</f>
        <v>1201.6999999999998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1147.2+(413.7-623.6)+(0+(0-0))+0-0-0</f>
        <v>937.3</v>
      </c>
      <c r="G272" s="3">
        <f>1127.7+(380.1-615.8)+(-2.300508+(-0.775404--1.256232))+0-0-0</f>
        <v>890.18032000000017</v>
      </c>
      <c r="H272" s="3">
        <f>1129.4+(371.4-627.5)+(-2.87997+(-0.94707--1.600125))+0-0-0</f>
        <v>871.07308500000011</v>
      </c>
      <c r="I272" s="3">
        <f>1159.6+(379.2-674.2)+(1.774188+(0.580176-1.031526))+0-0-0</f>
        <v>865.92283799999996</v>
      </c>
      <c r="J272" s="3">
        <f>1146.6+(364.6-647)+(0+(0-0))+0-0-0</f>
        <v>864.19999999999993</v>
      </c>
      <c r="K272" s="3">
        <f>1213.8+(339.1-672.5)+(1.857114+(0.518823-1.028925))+0-0-0</f>
        <v>881.74701199999993</v>
      </c>
      <c r="L272" s="3">
        <f>1494.2+(334.3-881.3)+(-0.762042+(-0.170493--0.449463))+0-0-0</f>
        <v>946.71692800000005</v>
      </c>
      <c r="M272" s="3">
        <f>1578.3+(305.9-886)+(0.804933+(0.156009-0.45186))+0-0-0</f>
        <v>998.70908199999997</v>
      </c>
      <c r="N272" s="3">
        <f>1656.6+(317.3-876.8)+(-0.844866+(-0.161823--0.447168))+0-0-0</f>
        <v>1096.540479</v>
      </c>
      <c r="O272" s="3">
        <f>1671.2+(335.5-868.7)+(-2.556936+(-0.513315--1.329111))+0-0-0</f>
        <v>1136.2588599999999</v>
      </c>
      <c r="P272" s="3">
        <f>1664.2+(353-870.5)+(-2.546226+(-0.54009--1.331865))+0-0-0</f>
        <v>1144.945549</v>
      </c>
      <c r="Q272" s="3">
        <f>1683.5+(365.7-892.4)+(-2.575755+(-0.559521--1.365372))+0-0-0</f>
        <v>1155.030096</v>
      </c>
      <c r="R272" s="3">
        <f>1691.8+(387.7-956.1)+(-2.588454+(-0.593181--1.462833))+0-0-0</f>
        <v>1121.6811979999998</v>
      </c>
      <c r="S272" s="3">
        <f>1666+(387.3-956.9)+(-1.69932+(-0.395046--0.976038))+0-0-0</f>
        <v>1095.2816720000001</v>
      </c>
      <c r="T272" s="3">
        <f>1646.6+(357-963.1)+(-3.359064+(-0.72828--1.964724))+0-0-0</f>
        <v>1038.3773799999999</v>
      </c>
      <c r="U272" s="3">
        <f>1656.1+(339.7-901.3)+(-0.844611+(-0.173247--0.459663))+0-0-0</f>
        <v>1093.9418049999999</v>
      </c>
      <c r="V272" s="3">
        <f>1749.9+(273.5-850.3)+(-0.892449+(-0.139485--0.433653))+0-0-0</f>
        <v>1172.5017190000001</v>
      </c>
      <c r="W272" s="3">
        <f>1976.2+(287.4-910.7)+(-1.007862+(-0.146574--0.464457))+0-0-0</f>
        <v>1352.2100210000001</v>
      </c>
      <c r="X272" s="3">
        <f>1968.6+(309.9-920.9)+(-4.015944+(-0.632196--1.878636))+0-0-0</f>
        <v>1354.8304959999998</v>
      </c>
      <c r="Y272" s="3">
        <f>1961.5+(350.8-983.5)+(-5.001825+(-0.89454--2.507925))+0-0-0</f>
        <v>1325.41156</v>
      </c>
      <c r="Z272" s="3">
        <f>1951.7+(372.9-1031.2)+(-4.976835+(-0.950895--2.62956))+0-0-0</f>
        <v>1290.1018300000001</v>
      </c>
      <c r="AA272" s="3">
        <f>1838.4+(403-993.8)+(-2.812752+(-0.61659--1.520514))+0-0-0</f>
        <v>1245.6911720000001</v>
      </c>
      <c r="AB272" s="3">
        <f>1670.8+(368-859.5)+(-4.26054+(-0.9384--2.191725))+0-0-0</f>
        <v>1176.2927849999999</v>
      </c>
      <c r="AC272" s="3">
        <f>1447.8+(380.7-751.8)+(-3.69189+(-0.970785--1.91709))+0-0-0</f>
        <v>1073.9544150000002</v>
      </c>
      <c r="AD272">
        <v>1365.7</v>
      </c>
      <c r="AE272" s="3">
        <f>1992+(293.4-919.7)+(0+(0-0))+0-0-0</f>
        <v>1365.6999999999998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1374.2+(361.3-753.6)+(0+(0-0))+0-0-0</f>
        <v>981.90000000000009</v>
      </c>
      <c r="G273" s="3">
        <f>1121.1+(312-502.2)+(0+(0-0))+0-0-0</f>
        <v>930.89999999999986</v>
      </c>
      <c r="H273" s="3">
        <f>1120.9+(327.8-548.1)+(0+(0-0))+0-0-0</f>
        <v>900.60000000000014</v>
      </c>
      <c r="I273" s="3">
        <f>1126.9+(333.8-572.8)+(0+(0-0))+0-0-0</f>
        <v>887.90000000000009</v>
      </c>
      <c r="J273" s="3">
        <f>1114.3+(337.2-565.4)+(0+(0-0))+0-0-0</f>
        <v>886.09999999999991</v>
      </c>
      <c r="K273" s="3">
        <f>1163.4+(318.2-581)+(0+(0-0))+0-0-0</f>
        <v>900.60000000000014</v>
      </c>
      <c r="L273" s="3">
        <f>1378.4+(322.3-740.3)+(0+(0-0))+0-0-0</f>
        <v>960.40000000000009</v>
      </c>
      <c r="M273" s="3">
        <f>1627.2+(346.6-962.3)+(0+(0-0))+0-0-0</f>
        <v>1011.5000000000001</v>
      </c>
      <c r="N273" s="3">
        <f>1660.3+(390-960.2)+(0+(0-0))+0-0-0</f>
        <v>1090.0999999999999</v>
      </c>
      <c r="O273" s="3">
        <f>1646.9+(409.1-925.1)+(-1.679838+(-0.417282--0.943602))+0-0-0</f>
        <v>1129.746482</v>
      </c>
      <c r="P273" s="3">
        <f>1599.4+(394.9-854.1)+(-2.447082+(-0.604197--1.306773))+0-0-0</f>
        <v>1138.455494</v>
      </c>
      <c r="Q273" s="3">
        <f>1620.5+(391.8-880.1)+(-2.479365+(-0.599454--1.346553))+0-0-0</f>
        <v>1130.4677340000001</v>
      </c>
      <c r="R273" s="3">
        <f>1647.4+(371.3-916.1)+(-3.360696+(-0.757452--1.868844))+0-0-0</f>
        <v>1100.3506960000002</v>
      </c>
      <c r="S273" s="3">
        <f>1640.3+(345.3-903.1)+(-4.182765+(-0.880515--2.302905))+0-0-0</f>
        <v>1079.7396249999999</v>
      </c>
      <c r="T273" s="3">
        <f>1663.2+(346.9-939.4)+(0+(0-0))+0-0-0</f>
        <v>1070.7</v>
      </c>
      <c r="U273" s="3">
        <f>1640.3+(337.7-892.2)+(-4.182765+(-0.861135--2.27511))+0-0-0</f>
        <v>1083.0312099999999</v>
      </c>
      <c r="V273" s="3">
        <f>1659.8+(209.2-692.1)+(-0.846498+(-0.106692--0.352971))+0-0-0</f>
        <v>1176.2997809999999</v>
      </c>
      <c r="W273" s="3">
        <f>1671.8+(236.1-585.1)+(0.852618+(0.120411-0.298401))+0-0-0</f>
        <v>1323.4746279999999</v>
      </c>
      <c r="X273" s="3">
        <f>1659.3+(296.8-637.9)+(-1.692486+(-0.302736--0.650658))+0-0-0</f>
        <v>1316.8554360000001</v>
      </c>
      <c r="Y273" s="3">
        <f>1668.3+(321.5-692.3)+(-1.701666+(-0.32793--0.706146))+0-0-0</f>
        <v>1296.1765499999999</v>
      </c>
      <c r="Z273" s="3">
        <f>1662+(373.6-771.3)+(-3.39048+(-0.762144--1.573452))+0-0-0</f>
        <v>1261.7208280000002</v>
      </c>
      <c r="AA273" s="3">
        <f>1661.5+(432-869.6)+(-3.38946+(-0.88128--1.773984))+0-0-0</f>
        <v>1221.4032440000001</v>
      </c>
      <c r="AB273" s="3">
        <f>1663.6+(313.9-817.5)+(-2.545308+(-0.480267--1.250775))+0-0-0</f>
        <v>1158.2252000000001</v>
      </c>
      <c r="AC273" s="3">
        <f>1538.2+(256.4-725.4)+(-3.137928+(-0.523056--1.479816))+0-0-0</f>
        <v>1067.018832</v>
      </c>
      <c r="AD273">
        <v>1347.5</v>
      </c>
      <c r="AE273" s="3">
        <f>1674+(277.9-604.4)+(0+(0-0))+0-0-0</f>
        <v>1347.5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1212.4+(336.2-564.2)+(-1.854972+(-0.514386--0.863226))+0-0-0</f>
        <v>982.89386800000011</v>
      </c>
      <c r="G274" s="3">
        <f>1125.8+(370.8-564.5)+(-2.87079+(-0.94554--1.439475))+0-0-0</f>
        <v>929.72314499999993</v>
      </c>
      <c r="H274" s="3">
        <f>1137.8+(376.4-594.4)+(-0.580278+(-0.191964--0.303144))+0-0-0</f>
        <v>919.33090199999992</v>
      </c>
      <c r="I274" s="3">
        <f>1142.5+(375.4-613.1)+(0+(0-0))+0-0-0</f>
        <v>904.8</v>
      </c>
      <c r="J274" s="3">
        <f>1141.6+(360.3-595.9)+(0.582216+(0.183753-0.303909))+0-0-0</f>
        <v>906.46205999999995</v>
      </c>
      <c r="K274" s="3">
        <f>1151.4+(333.3-568.9)+(2.348856+(0.679932-1.160556))+0-0-0</f>
        <v>917.66823200000022</v>
      </c>
      <c r="L274" s="3">
        <f>1210.4+(356.6-604.9)+(1.851912+(0.545598-0.925497))+0-0-0</f>
        <v>963.57201300000008</v>
      </c>
      <c r="M274" s="3">
        <f>1587.5+(313.8-892.7)+(0+(0-0))+0-0-0</f>
        <v>1008.5999999999999</v>
      </c>
      <c r="N274" s="3">
        <f>1685.2+(340-938.6)+(-0.859452+(-0.1734--0.478686))+0-0-0</f>
        <v>1086.045834</v>
      </c>
      <c r="O274" s="3">
        <f>1659.9+(363.4-900.3)+(-1.693098+(-0.370668--0.918306))+0-0-0</f>
        <v>1121.85454</v>
      </c>
      <c r="P274" s="3">
        <f>1645.6+(422.9-931.6)+(-1.678512+(-0.431358--0.950232))+0-0-0</f>
        <v>1135.7403619999998</v>
      </c>
      <c r="Q274" s="3">
        <f>1644.9+(433.9-943.3)+(-3.355596+(-0.885156--1.924332))+0-0-0</f>
        <v>1133.1835799999999</v>
      </c>
      <c r="R274" s="3">
        <f>1648.3+(404.7-937.4)+(-2.521899+(-0.619191--1.434222))+0-0-0</f>
        <v>1113.8931319999999</v>
      </c>
      <c r="S274" s="3">
        <f>1652.2+(374.6-929.8)+(-1.685244+(-0.382092--0.948396))+0-0-0</f>
        <v>1095.8810599999999</v>
      </c>
      <c r="T274" s="3">
        <f>1650.1+(362.7-928.6)+(-1.683102+(-0.369954--0.947172))+0-0-0</f>
        <v>1083.0941159999998</v>
      </c>
      <c r="U274" s="3">
        <f>1660+(144.4-746.7)+(-0.8466+(-0.073644--0.380817))+0-0-0</f>
        <v>1057.1605729999999</v>
      </c>
      <c r="V274" s="3">
        <f>1641.7+(131.8-609.3)+(-0.837267+(-0.067218--0.310743))+0-0-0</f>
        <v>1163.606258</v>
      </c>
      <c r="W274" s="3">
        <f>1671.5+(171.5-512.2)+(1.70493+(0.17493-0.522444))+0-0-0</f>
        <v>1332.157416</v>
      </c>
      <c r="X274" s="3">
        <f>1657.2+(181.1-504.5)+(0+(0-0))+0-0-0</f>
        <v>1333.8000000000002</v>
      </c>
      <c r="Y274" s="3">
        <f>1634.3+(174.5-509.3)+(-5.000958+(-0.53397--1.558458))+0-0-0</f>
        <v>1295.5235299999999</v>
      </c>
      <c r="Z274" s="3">
        <f>1658.9+(102.9-500.8)+(0+(0-0))+0-0-0</f>
        <v>1261</v>
      </c>
      <c r="AA274" s="3">
        <f>1644.1+(116.4-540)+(-2.515473+(-0.178092--0.8262))+0-0-0</f>
        <v>1218.6326349999999</v>
      </c>
      <c r="AB274" s="3">
        <f>1599.9+(127.5-565.8)+(-3.263796+(-0.2601--1.154232))+0-0-0</f>
        <v>1159.2303360000001</v>
      </c>
      <c r="AC274" s="3">
        <f>1530.9+(170.9-632)+(-3.903795+(-0.435795--1.6116))+0-0-0</f>
        <v>1067.0720100000001</v>
      </c>
      <c r="AD274">
        <v>1333.4</v>
      </c>
      <c r="AE274" s="3">
        <f>1663+(181.7-511.3)+(0+(0-0))+0-0-0</f>
        <v>1333.4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1416.3+(212.2-649.5)+(-2.889252+(-0.432888--1.32498))+0-0-0</f>
        <v>977.00283999999999</v>
      </c>
      <c r="G275" s="3">
        <f>1141.8+(179-398.5)+(-1.164636+(-0.18258--0.40647))+0-0-0</f>
        <v>921.35925399999996</v>
      </c>
      <c r="H275" s="3">
        <f>1151+(143.5-412)+(-0.58701+(-0.073185--0.21012))+0-0-0</f>
        <v>882.04992500000003</v>
      </c>
      <c r="I275" s="3">
        <f>1152.9+(174.4-472.6)+(0.587979+(0.088944-0.241026))+0-0-0</f>
        <v>855.135897</v>
      </c>
      <c r="J275" s="3">
        <f>1136.3+(148-431.5)+(-3.477078+(-0.45288--1.32039))+0-0-0</f>
        <v>850.19043199999999</v>
      </c>
      <c r="K275" s="3">
        <f>1159.1+(158.1-450.8)+(2.364564+(0.322524-0.919632))+0-0-0</f>
        <v>868.1674559999999</v>
      </c>
      <c r="L275" s="3">
        <f>1219.4+(185.7-485)+(1.243788+(0.189414-0.4947))+0-0-0</f>
        <v>921.03850200000011</v>
      </c>
      <c r="M275" s="3">
        <f>1404.7+(142-576.2)+(-3.581985+(-0.3621--1.46931))+0-0-0</f>
        <v>968.02522499999998</v>
      </c>
      <c r="N275" s="3">
        <f>1465.4+(63.3-468.6)+(0.747354+(0.032283-0.238986))+0-0-0</f>
        <v>1060.6406510000002</v>
      </c>
      <c r="O275" s="3">
        <f>1450.8+(77.1-421.9)+(-1.479816+(-0.078642--0.430338))+0-0-0</f>
        <v>1104.8718799999999</v>
      </c>
      <c r="P275" s="3">
        <f>1525.3+(22.8-472.4)+(0.777903+(0.011628-0.240924))+0-0-0</f>
        <v>1076.248607</v>
      </c>
      <c r="Q275" s="3">
        <f>1541.2+(52.7-475.6)+(-0.786012+(-0.026877--0.242556))+0-0-0</f>
        <v>1117.7296670000001</v>
      </c>
      <c r="R275" s="3">
        <f>1521.9+(38.7-465.6)+(-3.880845+(-0.098685--1.18728))+0-0-0</f>
        <v>1092.20775</v>
      </c>
      <c r="S275" s="3">
        <f>1528.8+(42.9-495.3)+(-2.339064+(-0.065637--0.757809))+0-0-0</f>
        <v>1074.7531079999999</v>
      </c>
      <c r="T275" s="3">
        <f>1537.9+(39.2-522.5)+(-0.784329+(-0.019992--0.266475))+0-0-0</f>
        <v>1054.0621540000002</v>
      </c>
      <c r="U275" s="3">
        <f>1557.3+(68.7-581)+(3.176892+(0.140148-1.18524))+0-0-0</f>
        <v>1047.1318000000001</v>
      </c>
      <c r="V275" s="3">
        <f>1627.7+(110.4-619.4)+(-1.660254+(-0.112608--0.631788))+0-0-0</f>
        <v>1117.5589260000002</v>
      </c>
      <c r="W275" s="3">
        <f>1694.9+(134.4-536.7)+(0.864399+(0.068544-0.273717))+0-0-0</f>
        <v>1293.2592259999999</v>
      </c>
      <c r="X275" s="3">
        <f>1683.2+(177.6-558.1)+(-3.433728+(-0.362304--1.138524))+0-0-0</f>
        <v>1300.042492</v>
      </c>
      <c r="Y275" s="3">
        <f>1684.3+(187-599)+(-3.435972+(-0.38148--1.22196))+0-0-0</f>
        <v>1269.704508</v>
      </c>
      <c r="Z275" s="3">
        <f>1639.4+(150.8-553.3)+(-2.508282+(-0.230724--0.846549))+0-0-0</f>
        <v>1235.0075430000002</v>
      </c>
      <c r="AA275" s="3">
        <f>1578.4+(163.6-556.4)+(-2.414952+(-0.250308--0.851292))+0-0-0</f>
        <v>1183.7860320000002</v>
      </c>
      <c r="AB275" s="3">
        <f>1494.7+(186.6-561.5)+(-2.286891+(-0.285498--0.859095))+0-0-0</f>
        <v>1118.0867060000003</v>
      </c>
      <c r="AC275" s="3">
        <f>1443+(85.7-483.5)+(-3.67965+(-0.218535--1.232925))+0-0-0</f>
        <v>1042.5347400000001</v>
      </c>
      <c r="AD275">
        <v>1282.8000000000002</v>
      </c>
      <c r="AE275" s="3">
        <f>1697+(146.7-560.9)+(0+(0-0))+0-0-0</f>
        <v>1282.8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1249.5+(89.3-377.3)+(-1.911735+(-0.136629--0.577269))+0-0-0</f>
        <v>960.02890500000001</v>
      </c>
      <c r="G276" s="3">
        <f>1135.6+(119.3-357.7)+(-1.158312+(-0.121686--0.364854))+0-0-0</f>
        <v>896.28485599999988</v>
      </c>
      <c r="H276" s="3">
        <f>1140.4+(124.6-391.9)+(-1.163208+(-0.127092--0.399738))+0-0-0</f>
        <v>872.20943800000009</v>
      </c>
      <c r="I276" s="3">
        <f>1146.4+(123.6-405.3)+(0.584664+(0.063036-0.206703))+0-0-0</f>
        <v>865.14099700000008</v>
      </c>
      <c r="J276" s="3">
        <f>1143.2+(122.4-399.2)+(0.583032+(0.062424-0.203592))+0-0-0</f>
        <v>866.8418640000001</v>
      </c>
      <c r="K276" s="3">
        <f>1157.3+(113.7-388.7)+(0.590223+(0.057987-0.198237))+0-0-0</f>
        <v>882.74997299999995</v>
      </c>
      <c r="L276" s="3">
        <f>1195.6+(150.5-414)+(0.609756+(0.076755-0.21114))+0-0-0</f>
        <v>932.5753709999999</v>
      </c>
      <c r="M276" s="3">
        <f>1468.9+(73.7-568)+(-1.498278+(-0.075174--0.57936))+0-0-0</f>
        <v>973.60590800000011</v>
      </c>
      <c r="N276" s="3">
        <f>1558.8+(80.6-577.2)+(2.384964+(0.123318-0.883116))+0-0-0</f>
        <v>1063.8251659999999</v>
      </c>
      <c r="O276" s="3">
        <f>1578.7+(70-543.3)+(-4.025685+(-0.1785--1.385415))+0-0-0</f>
        <v>1102.58123</v>
      </c>
      <c r="P276" s="3">
        <f>1592.5+(66.8-542.6)+(-0.812175+(-0.034068--0.276726))+0-0-0</f>
        <v>1116.1304830000001</v>
      </c>
      <c r="Q276" s="3">
        <f>1578.7+(69.4-532.6)+(-2.415411+(-0.106182--0.814878))+0-0-0</f>
        <v>1113.793285</v>
      </c>
      <c r="R276" s="3">
        <f>1585.2+(53.6-543.6)+(-1.616904+(-0.054672--0.554472))+0-0-0</f>
        <v>1094.0828960000001</v>
      </c>
      <c r="S276" s="3">
        <f>1582.5+(72.5-578.3)+(-1.61415+(-0.07395--0.589866))+0-0-0</f>
        <v>1075.601766</v>
      </c>
      <c r="T276" s="3">
        <f>1528+(125-594.4)+(-2.33784+(-0.19125--0.909432))+0-0-0</f>
        <v>1056.9803419999998</v>
      </c>
      <c r="U276" s="3">
        <f>1471.1+(121.5-530.1)+(-3.751305+(-0.309825--1.351755))+0-0-0</f>
        <v>1059.7906250000001</v>
      </c>
      <c r="V276" s="3">
        <f>1489.7+(101.6-456.6)+(1.519494+(0.103632-0.465732))+0-0-0</f>
        <v>1135.8573940000001</v>
      </c>
      <c r="W276" s="3">
        <f>1569+(151-423.2)+(-2.40057+(-0.23103--0.647496))+0-0-0</f>
        <v>1294.8158960000001</v>
      </c>
      <c r="X276" s="3">
        <f>1637.7+(201.7-553.9)+(-3.340908+(-0.411468--1.129956))+0-0-0</f>
        <v>1282.8775800000001</v>
      </c>
      <c r="Y276" s="3">
        <f>1380.7+(142.2-300.1)+(1.408314+(0.145044-0.306102))+0-0-0</f>
        <v>1224.0472560000001</v>
      </c>
      <c r="Z276" s="3">
        <f>1258.5+(158.6-260.5)+(-2.56734+(-0.323544--0.53142))+0-0-0</f>
        <v>1154.240536</v>
      </c>
      <c r="AA276" s="3">
        <f>1158+(215.4-253.4)+(-2.36232+(-0.439416--0.516936))+0-0-0</f>
        <v>1117.7152000000001</v>
      </c>
      <c r="AB276" s="3">
        <f>1125.1+(236.7-264.6)+(0.573801+(0.120717-0.134946))+0-0-0</f>
        <v>1097.7595719999997</v>
      </c>
      <c r="AC276" s="3">
        <f>1124.5+(218.6-290.8)+(-0.573495+(-0.111486--0.148308))+0-0-0</f>
        <v>1051.7633269999999</v>
      </c>
      <c r="AD276">
        <v>1292.1000000000001</v>
      </c>
      <c r="AE276" s="3">
        <f>1682+(202.4-592.3)+(0+(0-0))+0-0-0</f>
        <v>1292.0999999999999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1116.4+(276.5-419.4)+(-0.569364+(-0.141015--0.213894))+0-0-0</f>
        <v>973.00351500000011</v>
      </c>
      <c r="G277" s="3">
        <f>1112.8+(288.4-491.3)+(-0.567528+(-0.147084--0.250563))+0-0-0</f>
        <v>909.43595099999982</v>
      </c>
      <c r="H277" s="3">
        <f>1115.1+(329.6-578.3)+(0+(0-0))+0-0-0</f>
        <v>866.4</v>
      </c>
      <c r="I277" s="3">
        <f>1114.4+(320.3-579.2)+(-0.568344+(-0.163353--0.295392))+0-0-0</f>
        <v>855.06369500000005</v>
      </c>
      <c r="J277" s="3">
        <f>1129+(275-550.9)+(0.57579+(0.14025-0.280959))+0-0-0</f>
        <v>853.53508099999999</v>
      </c>
      <c r="K277" s="3">
        <f>1294.9+(202.5-629.7)+(0+(0-0))+0-0-0</f>
        <v>867.7</v>
      </c>
      <c r="L277" s="3">
        <f>1464.5+(208.6-774)+(0.746895+(0.106386-0.39474))+0-0-0</f>
        <v>899.55854099999999</v>
      </c>
      <c r="M277" s="3">
        <f>1542+(240.9-870.5)+(0+(0-0))+0-0-0</f>
        <v>912.4</v>
      </c>
      <c r="N277" s="3">
        <f>1530.4+(234.8-763.1)+(-1.561008+(-0.239496--0.778362))+0-0-0</f>
        <v>1001.0778580000001</v>
      </c>
      <c r="O277" s="3">
        <f>1617.3+(299.9-843.2)+(0.824823+(0.152949-0.430032))+0-0-0</f>
        <v>1074.54774</v>
      </c>
      <c r="P277" s="3">
        <f>1663.2+(293.5-850.6)+(2.544696+(0.449055-1.301418))+0-0-0</f>
        <v>1107.7923329999999</v>
      </c>
      <c r="Q277" s="3">
        <f>1648+(306.9-851.7)+(-0.84048+(-0.156519--0.434367))+0-0-0</f>
        <v>1102.6373679999999</v>
      </c>
      <c r="R277" s="3">
        <f>1621.9+(338.8-897.2)+(-4.135845+(-0.86394--2.28786))+0-0-0</f>
        <v>1060.7880749999999</v>
      </c>
      <c r="S277" s="3">
        <f>1625.9+(365-966)+(-3.316836+(-0.7446--1.97064))+0-0-0</f>
        <v>1022.8092040000001</v>
      </c>
      <c r="T277" s="3">
        <f>1610.9+(276.4-909.5)+(-0.821559+(-0.140964--0.463845))+0-0-0</f>
        <v>977.30132200000003</v>
      </c>
      <c r="U277" s="3">
        <f>1501.2+(256.2-881.3)+(-3.82806+(-0.65331--2.247315))+0-0-0</f>
        <v>873.86594500000012</v>
      </c>
      <c r="V277" s="3">
        <f>1556.1+(142.7-741.7)+(2.380833+(0.218331-1.134801))+0-0-0</f>
        <v>958.56436299999996</v>
      </c>
      <c r="W277" s="3">
        <f>1556.5+(131.7-552.9)+(0+(0-0))+0-0-0</f>
        <v>1135.3</v>
      </c>
      <c r="X277" s="3">
        <f>1537+(160.9-550)+(-3.91935+(-0.410295--1.4025))+0-0-0</f>
        <v>1144.972855</v>
      </c>
      <c r="Y277" s="3">
        <f>1529.8+(140.3-546.9)+(-3.90099+(-0.357765--1.394595))+0-0-0</f>
        <v>1120.33584</v>
      </c>
      <c r="Z277" s="3">
        <f>1542.9+(114-561.5)+(-2.360637+(-0.17442--0.859095))+0-0-0</f>
        <v>1093.7240380000001</v>
      </c>
      <c r="AA277" s="3">
        <f>1449.9+(181.4-566.3)+(-0.739449+(-0.092514--0.288813))+0-0-0</f>
        <v>1064.45685</v>
      </c>
      <c r="AB277" s="3">
        <f>1448.6+(279-724)+(-2.216358+(-0.42687--1.10772))+0-0-0</f>
        <v>1002.0644919999999</v>
      </c>
      <c r="AC277" s="3">
        <f>1449.1+(337.3-853.9)+(-1.478082+(-0.344046--0.870978))+0-0-0</f>
        <v>931.54885000000002</v>
      </c>
      <c r="AD277">
        <v>1324.8999999999999</v>
      </c>
      <c r="AE277" s="3">
        <f>1688+(171.6-534.7)+(0+(0-0))+0-0-0</f>
        <v>1324.9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1416.6+(347.7-755.9)+(0+(0-0))+0-0-0</f>
        <v>1008.3999999999999</v>
      </c>
      <c r="G278" s="3">
        <f>1128.9+(293.7-470.2)+(-2.878695+(-0.748935--1.19901))+0-0-0</f>
        <v>949.97138000000007</v>
      </c>
      <c r="H278" s="3">
        <f>1120.3+(309.1-504.7)+(-2.285412+(-0.630564--1.029588))+0-0-0</f>
        <v>922.81361200000003</v>
      </c>
      <c r="I278" s="3">
        <f>1135.3+(297.8-530.1)+(0.579003+(0.151878-0.270351))+0-0-0</f>
        <v>903.46052999999995</v>
      </c>
      <c r="J278" s="3">
        <f>1137.7+(246.4-485.2)+(0.580227+(0.125664-0.247452))+0-0-0</f>
        <v>899.35843900000009</v>
      </c>
      <c r="K278" s="3">
        <f>1131.3+(175.7-396)+(0+(0-0))+0-0-0</f>
        <v>911</v>
      </c>
      <c r="L278" s="3">
        <f>1195.8+(152.5-433.4)+(-0.609858+(-0.077775--0.221034))+0-0-0</f>
        <v>914.433401</v>
      </c>
      <c r="M278" s="3">
        <f>1240.4+(161.1-517.2)+(1.265208+(0.164322-0.527544))+0-0-0</f>
        <v>885.20198600000003</v>
      </c>
      <c r="N278" s="3">
        <f>1320+(224-640.6)+(1.3464+(0.22848-0.653412))+0-0-0</f>
        <v>904.32146799999998</v>
      </c>
      <c r="O278" s="3">
        <f>1386.9+(284.6-712.6)+(0+(0-0))+0-0-0</f>
        <v>958.90000000000009</v>
      </c>
      <c r="P278" s="3">
        <f>1564.8+(280.3-839.2)+(-1.596096+(-0.285906--0.855984))+0-0-0</f>
        <v>1004.8739819999998</v>
      </c>
      <c r="Q278" s="3">
        <f>1668.5+(281.3-918.8)+(1.70187+(0.286926-0.937176))+0-0-0</f>
        <v>1032.05162</v>
      </c>
      <c r="R278" s="3">
        <f>1635.4+(286.1-923.9)+(-2.502162+(-0.437733--1.413567))+0-0-0</f>
        <v>996.0736720000001</v>
      </c>
      <c r="S278" s="3">
        <f>1620.8+(291.3-945.5)+(-4.13304+(-0.742815--2.411025))+0-0-0</f>
        <v>964.1351699999999</v>
      </c>
      <c r="T278" s="3">
        <f>1632.4+(300.7-988)+(-2.497572+(-0.460071--1.51164))+0-0-0</f>
        <v>943.65399700000012</v>
      </c>
      <c r="U278" s="3">
        <f>1625.4+(261.1-949.5)+(-3.315816+(-0.532644--1.93698))+0-0-0</f>
        <v>935.08852000000013</v>
      </c>
      <c r="V278" s="3">
        <f>1653.6+(113-766)+(-0.843336+(-0.05763--0.39066))+0-0-0</f>
        <v>1000.0896939999999</v>
      </c>
      <c r="W278" s="3">
        <f>1668.4+(75.3-539.2)+(0.850884+(0.038403-0.274992))+0-0-0</f>
        <v>1205.1142950000001</v>
      </c>
      <c r="X278" s="3">
        <f>1643.5+(85.4-495.3)+(-3.35274+(-0.174216--1.010412))+0-0-0</f>
        <v>1231.0834559999998</v>
      </c>
      <c r="Y278" s="3">
        <f>1671.1+(95.7-538.9)+(2.556783+(0.146421-0.824517))+0-0-0</f>
        <v>1229.7786869999998</v>
      </c>
      <c r="Z278" s="3">
        <f>1657.5+(110.9-565.4)+(-0.845325+(-0.056559--0.288354))+0-0-0</f>
        <v>1202.3864699999999</v>
      </c>
      <c r="AA278" s="3">
        <f>1654.5+(276.4-751.6)+(-2.531385+(-0.422892--1.149948))+0-0-0</f>
        <v>1177.4956709999999</v>
      </c>
      <c r="AB278" s="3">
        <f>1595.4+(340.3-824.5)+(-1.627308+(-0.347106--0.84099))+0-0-0</f>
        <v>1110.0665759999999</v>
      </c>
      <c r="AC278" s="3">
        <f>1393.4+(333.1-711.6)+(-2.131902+(-0.509643--1.088748))+0-0-0</f>
        <v>1013.347203</v>
      </c>
      <c r="AD278">
        <v>1240.8000000000002</v>
      </c>
      <c r="AE278" s="3">
        <f>1663+(77.2-499.4)+(0+(0-0))+0-0-0</f>
        <v>1240.8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1248.9+(330.7-661.5)+(-3.184695+(-0.843285--1.686825))+0-0-0</f>
        <v>915.75884500000018</v>
      </c>
      <c r="G279" s="3">
        <f>1138.1+(373.7-653.6)+(-1.741293+(-0.571761--1.000008))+0-0-0</f>
        <v>856.88695399999983</v>
      </c>
      <c r="H279" s="3">
        <f>1107.8+(394-659.8)+(-2.82489+(-1.0047--1.68249))+0-0-0</f>
        <v>839.85289999999998</v>
      </c>
      <c r="I279" s="3">
        <f>1119.9+(343.7-636.8)+(-1.142298+(-0.350574--0.649536))+0-0-0</f>
        <v>825.95666400000016</v>
      </c>
      <c r="J279" s="3">
        <f>1120.3+(316.6-605.8)+(0+(0-0))+0-0-0</f>
        <v>831.1</v>
      </c>
      <c r="K279" s="3">
        <f>1145.3+(273.6-566.3)+(-1.168206+(-0.279072--0.577626))+0-0-0</f>
        <v>851.73034800000005</v>
      </c>
      <c r="L279" s="3">
        <f>1355+(307.4-746.5)+(0.69105+(0.156774-0.380715))+0-0-0</f>
        <v>916.36710900000003</v>
      </c>
      <c r="M279" s="3">
        <f>1698.8+(308.9-1028.9)+(1.732776+(0.315078-1.049478))+0-0-0</f>
        <v>979.79837599999985</v>
      </c>
      <c r="N279" s="3">
        <f>2075.5+(334.8-1342.6)+(1.058505+(0.170748-0.684726))+0-0-0</f>
        <v>1068.2445270000001</v>
      </c>
      <c r="O279" s="3">
        <f>2143.1+(321.3-1343.6)+(4.371924+(0.655452-2.740944))+0-0-0</f>
        <v>1123.0864320000001</v>
      </c>
      <c r="P279" s="3">
        <f>2150.9+(379.3-1400.8)+(1.096959+(0.193443-0.714408))+0-0-0</f>
        <v>1129.9759940000001</v>
      </c>
      <c r="Q279" s="3">
        <f>2129.4+(352.3-1345.9)+(1.085994+(0.179673-0.686409))+0-0-0</f>
        <v>1136.3792579999999</v>
      </c>
      <c r="R279" s="3">
        <f>2092.6+(370.5-1335.4)+(-5.33613+(-0.944775--3.40527))+0-0-0</f>
        <v>1124.8243649999997</v>
      </c>
      <c r="S279" s="3">
        <f>2115.3+(387.2-1393.5)+(1.078803+(0.197472-0.710685))+0-0-0</f>
        <v>1109.5655900000002</v>
      </c>
      <c r="T279" s="3">
        <f>2113.4+(392.8-1423.5)+(2.155668+(0.400656-1.45197))+0-0-0</f>
        <v>1083.8043540000001</v>
      </c>
      <c r="U279" s="3">
        <f>2116.8+(352.2-1375.5)+(0+(0-0))+0-0-0</f>
        <v>1093.5000000000002</v>
      </c>
      <c r="V279" s="3">
        <f>2109.4+(142.5-1153.8)+(-2.151588+(-0.14535--1.176876))+0-0-0</f>
        <v>1096.9799380000002</v>
      </c>
      <c r="W279" s="3">
        <f>2128.2+(106.7-891.2)+(0+(0-0))+0-0-0</f>
        <v>1343.6999999999998</v>
      </c>
      <c r="X279" s="3">
        <f>2120.7+(134.3-908.3)+(-2.163114+(-0.136986--0.926466))+0-0-0</f>
        <v>1345.3263659999998</v>
      </c>
      <c r="Y279" s="3">
        <f>2116.2+(163.8-960)+(-4.317048+(-0.334152--1.9584))+0-0-0</f>
        <v>1317.3071999999997</v>
      </c>
      <c r="Z279" s="3">
        <f>2095.5+(193.8-1004.6)+(-1.068705+(-0.098838--0.512346))+0-0-0</f>
        <v>1284.044803</v>
      </c>
      <c r="AA279" s="3">
        <f>1952.1+(303.9-1014.8)+(-1.991142+(-0.309978--1.035096))+0-0-0</f>
        <v>1239.9339759999998</v>
      </c>
      <c r="AB279" s="3">
        <f>1793.6+(359.6-981.6)+(-0.914736+(-0.183396--0.500616))+0-0-0</f>
        <v>1171.0024839999999</v>
      </c>
      <c r="AC279" s="3">
        <f>1578.5+(244.5-740.3)+(-0.805035+(-0.124695--0.377553))+0-0-0</f>
        <v>1082.147823</v>
      </c>
      <c r="AD279">
        <v>1354</v>
      </c>
      <c r="AE279" s="3">
        <f>2126+(113.9-885.9)+(0+(0-0))+0-0-0</f>
        <v>1354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1332.9+(260.3-631.3)+(-1.359558+(-0.265506--0.643926))+0-0-0</f>
        <v>960.9188620000001</v>
      </c>
      <c r="G280" s="3">
        <f>1130.9+(301.4-520.3)+(-0.576759+(-0.153714--0.265353))+0-0-0</f>
        <v>911.53488000000016</v>
      </c>
      <c r="H280" s="3">
        <f>1024.7+(312.3-453.6)+(-1.567791+(-0.477819--0.694008))+0-0-0</f>
        <v>882.04839800000013</v>
      </c>
      <c r="I280" s="3">
        <f>1026.1+(318.3-472.3)+(-1.569933+(-0.486999--0.722619))+0-0-0</f>
        <v>870.76568699999996</v>
      </c>
      <c r="J280" s="3">
        <f>1037.7+(313.7-485.8)+(0+(0-0))+0-0-0</f>
        <v>865.6</v>
      </c>
      <c r="K280" s="3">
        <f>1071.1+(288.8-479.7)+(0+(0-0))+0-0-0</f>
        <v>880.19999999999993</v>
      </c>
      <c r="L280" s="3">
        <f>1405.6+(305.5-775.5)+(0+(0-0))+0-0-0</f>
        <v>935.59999999999991</v>
      </c>
      <c r="M280" s="3">
        <f>1594+(299.3-902.5)+(1.62588+(0.305286-0.92055))+0-0-0</f>
        <v>991.81061599999998</v>
      </c>
      <c r="N280" s="3">
        <f>1663.3+(279.6-877.8)+(1.696566+(0.285192-0.895356))+0-0-0</f>
        <v>1066.1864019999998</v>
      </c>
      <c r="O280" s="3">
        <f>1682.6+(256.9-825)+(-0.858126+(-0.131019--0.42075))+0-0-0</f>
        <v>1113.931605</v>
      </c>
      <c r="P280" s="3">
        <f>1763.2+(262.7-860.5)+(0+(0-0))+0-0-0</f>
        <v>1165.4000000000001</v>
      </c>
      <c r="Q280" s="3">
        <f>1693.7+(282.6-797.1)+(-2.591361+(-0.432378--1.219563))+0-0-0</f>
        <v>1177.3958239999999</v>
      </c>
      <c r="R280" s="3">
        <f>1686.4+(285.7-816.9)+(-1.720128+(-0.291414--0.833238))+0-0-0</f>
        <v>1154.021696</v>
      </c>
      <c r="S280" s="3">
        <f>1750.8+(286.3-894)+(-2.678724+(-0.438039--1.36782))+0-0-0</f>
        <v>1141.3510569999999</v>
      </c>
      <c r="T280" s="3">
        <f>1768.1+(261.9-897.4)+(0+(0-0))+0-0-0</f>
        <v>1132.5999999999999</v>
      </c>
      <c r="U280" s="3">
        <f>1782.2+(241.6-896.5)+(2.726766+(0.369648-1.371645))+0-0-0</f>
        <v>1129.0247690000001</v>
      </c>
      <c r="V280" s="3">
        <f>1785.3+(156.3-717)+(1.821006+(0.159426-0.73134))+0-0-0</f>
        <v>1225.8490919999999</v>
      </c>
      <c r="W280" s="3">
        <f>1942.9+(133.2-749.1)+(2.972637+(0.203796-1.146123))+0-0-0</f>
        <v>1329.0303100000001</v>
      </c>
      <c r="X280" s="3">
        <f>1961+(132.6-764.9)+(-2.00022+(-0.135252--0.780198))+0-0-0</f>
        <v>1327.344726</v>
      </c>
      <c r="Y280" s="3">
        <f>1948.1+(165.2-812.8)+(-4.967655+(-0.42126--2.07264))+0-0-0</f>
        <v>1297.1837250000001</v>
      </c>
      <c r="Z280" s="3">
        <f>1785.7+(258.2-784.3)+(0.910707+(0.131682-0.399993))+0-0-0</f>
        <v>1260.2423960000001</v>
      </c>
      <c r="AA280" s="3">
        <f>1753.4+(321.9-863.7)+(-2.682702+(-0.492507--1.321461))+0-0-0</f>
        <v>1209.7462519999999</v>
      </c>
      <c r="AB280" s="3">
        <f>1545.6+(369.3-772.4)+(-3.153024+(-0.753372--1.575696))+0-0-0</f>
        <v>1140.1693</v>
      </c>
      <c r="AC280" s="3">
        <f>1330+(345.2-631.9)+(-2.7132+(-0.704208--1.289076))+0-0-0</f>
        <v>1041.171668</v>
      </c>
      <c r="AD280">
        <v>1353.7</v>
      </c>
      <c r="AE280" s="3">
        <f>1983+(145.9-775.2)+(0+(0-0))+0-0-0</f>
        <v>1353.6999999999998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1279.3+(352.5-646.7)+(-2.609772+(-0.7191--1.319268))+0-0-0</f>
        <v>983.09039599999994</v>
      </c>
      <c r="G281" s="3">
        <f>1130.2+(340.3-534.6)+(-1.152804+(-0.347106--0.545292))+0-0-0</f>
        <v>934.94538200000011</v>
      </c>
      <c r="H281" s="3">
        <f>1135.3+(310.7-526.9)+(-0.579003+(-0.158457--0.268719))+0-0-0</f>
        <v>918.63125899999989</v>
      </c>
      <c r="I281" s="3">
        <f>1147.3+(297.2-538.4)+(1.755369+(0.454716-0.823752))+0-0-0</f>
        <v>907.48633299999995</v>
      </c>
      <c r="J281" s="3">
        <f>1133.5+(296.2-521.6)+(0+(0-0))+0-0-0</f>
        <v>908.09999999999991</v>
      </c>
      <c r="K281" s="3">
        <f>1201.8+(262.6-548.1)+(3.677508+(0.803556-1.677186))+0-0-0</f>
        <v>919.10387800000001</v>
      </c>
      <c r="L281" s="3">
        <f>1315.4+(246.1-583.1)+(0+(0-0))+0-0-0</f>
        <v>978.40000000000009</v>
      </c>
      <c r="M281" s="3">
        <f>1443.4+(268.9-679)+(1.472268+(0.274278-0.69258))+0-0-0</f>
        <v>1034.3539660000001</v>
      </c>
      <c r="N281" s="3">
        <f>1506.7+(230.1-610.6)+(0+(0-0))+0-0-0</f>
        <v>1126.2</v>
      </c>
      <c r="O281" s="3">
        <f>1660.1+(145.6-617)+(1.693302+(0.148512-0.62934))+0-0-0</f>
        <v>1189.9124739999997</v>
      </c>
      <c r="P281" s="3">
        <f>1670.4+(164-599.7)+(2.555712+(0.25092-0.917541))+0-0-0</f>
        <v>1236.5890910000001</v>
      </c>
      <c r="Q281" s="3">
        <f>1651.9+(217.1-616.8)+(-0.842469+(-0.110721--0.314568))+0-0-0</f>
        <v>1251.5613780000003</v>
      </c>
      <c r="R281" s="3">
        <f>1641.3+(195.7-620)+(-4.185315+(-0.499035--1.581))+0-0-0</f>
        <v>1213.8966499999999</v>
      </c>
      <c r="S281" s="3">
        <f>1652+(222-679.6)+(-2.52756+(-0.33966--1.039788))+0-0-0</f>
        <v>1192.572568</v>
      </c>
      <c r="T281" s="3">
        <f>1669+(299-730.4)+(0.85119+(0.15249-0.372504))+0-0-0</f>
        <v>1238.231176</v>
      </c>
      <c r="U281" s="3">
        <f>1667.4+(287.9-770.8)+(-0.850374+(-0.146829--0.393108))+0-0-0</f>
        <v>1183.8959050000001</v>
      </c>
      <c r="V281" s="3">
        <f>1654.6+(252.5-657.1)+(-1.687692+(-0.25755--0.670242))+0-0-0</f>
        <v>1248.7249999999999</v>
      </c>
      <c r="W281" s="3">
        <f>1678.1+(224.6-529)+(1.711662+(0.229092-0.53958))+0-0-0</f>
        <v>1375.1011739999999</v>
      </c>
      <c r="X281" s="3">
        <f>1644.3+(226.5-505.8)+(-4.192965+(-0.577575--1.28979))+0-0-0</f>
        <v>1361.5192500000001</v>
      </c>
      <c r="Y281" s="3">
        <f>1664.3+(237.6-569.7)+(-0.848793+(-0.121176--0.290547))+0-0-0</f>
        <v>1331.5205779999999</v>
      </c>
      <c r="Z281" s="3">
        <f>1657.5+(185.4-555.5)+(-0.845325+(-0.094554--0.283305))+0-0-0</f>
        <v>1286.743426</v>
      </c>
      <c r="AA281" s="3">
        <f>1676.2+(213.3-619.8)+(-1.709724+(-0.217566--0.632196))+0-0-0</f>
        <v>1268.404906</v>
      </c>
      <c r="AB281" s="3">
        <f>1566.5+(237.9-618.9)+(-3.994575+(-0.606645--1.578195))+0-0-0</f>
        <v>1182.476975</v>
      </c>
      <c r="AC281" s="3">
        <f>1332+(271.1-502.7)+(-1.35864+(-0.276522--0.512754))+0-0-0</f>
        <v>1099.2775920000001</v>
      </c>
      <c r="AD281">
        <v>1354.6999999999998</v>
      </c>
      <c r="AE281" s="3">
        <f>1667+(199.3-511.6)+(0+(0-0))+0-0-0</f>
        <v>1354.7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1222.2+(319.7-532.4)+(-2.493288+(-0.652188--1.086096))+0-0-0</f>
        <v>1007.44062</v>
      </c>
      <c r="G282" s="3">
        <f>1152.3+(345.1-544.6)+(-1.175346+(-0.352002--0.555492))+0-0-0</f>
        <v>951.82814399999995</v>
      </c>
      <c r="H282" s="3">
        <f>1127.5+(363.8-564.6)+(-2.3001+(-0.742152--1.151784))+0-0-0</f>
        <v>924.80953199999999</v>
      </c>
      <c r="I282" s="3">
        <f>1126.5+(334.2-545.9)+(-2.29806+(-0.681768--1.113636))+0-0-0</f>
        <v>912.933808</v>
      </c>
      <c r="J282" s="3">
        <f>1127.8+(313.3-530.4)+(-1.150356+(-0.319566--0.541008))+0-0-0</f>
        <v>909.77108600000008</v>
      </c>
      <c r="K282" s="3">
        <f>1132.1+(242.3-460.2)+(0+(0-0))+0-0-0</f>
        <v>914.19999999999993</v>
      </c>
      <c r="L282" s="3">
        <f>1265.3+(220.2-514.8)+(-0.645303+(-0.112302--0.262548))+0-0-0</f>
        <v>970.20494300000007</v>
      </c>
      <c r="M282" s="3">
        <f>1556.3+(245.5-668.6)+(0.793713+(0.125205-0.340986))+0-0-0</f>
        <v>1133.7779319999997</v>
      </c>
      <c r="N282" s="3">
        <f>1671.9+(298.7-860.8)+(1.705338+(0.304674-0.878016))+0-0-0</f>
        <v>1110.9319960000003</v>
      </c>
      <c r="O282" s="3">
        <f>1667+(250.6-761.6)+(1.70034+(0.255612-0.776832))+0-0-0</f>
        <v>1157.17912</v>
      </c>
      <c r="P282" s="3">
        <f>1644.4+(218.1-671.1)+(0.838644+(0.111231-0.342261))+0-0-0</f>
        <v>1192.0076140000001</v>
      </c>
      <c r="Q282" s="3">
        <f>1636.8+(228-654.9)+(0+(0-0))+0-0-0</f>
        <v>1209.9000000000001</v>
      </c>
      <c r="R282" s="3">
        <f>1613.2+(210.7-631.1)+(-4.11366+(-0.537285--1.609305))+0-0-0</f>
        <v>1189.75836</v>
      </c>
      <c r="S282" s="3">
        <f>1605.4+(247.4-690.4)+(-5.731278+(-0.883218--2.464728))+0-0-0</f>
        <v>1158.2502320000001</v>
      </c>
      <c r="T282" s="3">
        <f>1635.6+(292.4-786.9)+(0+(0-0))+0-0-0</f>
        <v>1141.0999999999999</v>
      </c>
      <c r="U282" s="3">
        <f>1650.4+(237-744.9)+(2.525112+(0.36261-1.139697))+0-0-0</f>
        <v>1144.2480250000001</v>
      </c>
      <c r="V282" s="3">
        <f>1651.8+(125.4-587.2)+(-1.684836+(-0.127908--0.598944))+0-0-0</f>
        <v>1188.7862</v>
      </c>
      <c r="W282" s="3">
        <f>1700.7+(97.7-470.4)+(2.602071+(0.149481-0.719712))+0-0-0</f>
        <v>1330.0318400000001</v>
      </c>
      <c r="X282" s="3">
        <f>1678.2+(94.4-420.7)+(-4.27941+(-0.24072--1.072785))+0-0-0</f>
        <v>1348.452655</v>
      </c>
      <c r="Y282" s="3">
        <f>1673.7+(93.2-450.1)+(-4.267935+(-0.23766--1.147755))+0-0-0</f>
        <v>1313.4421600000001</v>
      </c>
      <c r="Z282" s="3">
        <f>1577.3+(186.5-478.1)+(-3.217692+(-0.38046--0.975324))+0-0-0</f>
        <v>1283.0771719999998</v>
      </c>
      <c r="AA282" s="3">
        <f>1449.7+(257.4-469.9)+(-2.957388+(-0.525096--0.958596))+0-0-0</f>
        <v>1234.6761120000001</v>
      </c>
      <c r="AB282" s="3">
        <f>1205.4+(329-365.1)+(-1.229508+(-0.33558--0.372402))+0-0-0</f>
        <v>1168.1073140000001</v>
      </c>
      <c r="AC282" s="3">
        <f>1023.9+(370-316.2)+(-4.177512+(-1.5096--1.290096))+0-0-0</f>
        <v>1073.3029840000002</v>
      </c>
      <c r="AD282">
        <v>1350.4</v>
      </c>
      <c r="AE282" s="3">
        <f>1615+(83.3-437.9)+(0+(0-0))+0-0-0</f>
        <v>1260.4000000000001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929.4+(388.1-349)+(-0.947988+(-0.395862--0.35598))+0-0-0</f>
        <v>967.51212999999996</v>
      </c>
      <c r="G283" s="3">
        <f>919.9+(322.6-319.5)+(0.469149+(0.164526-0.162945))+0-0-0</f>
        <v>923.47073</v>
      </c>
      <c r="H283" s="3">
        <f>918.7+(300.1-324.7)+(0.468537+(0.153051-0.165597))+0-0-0</f>
        <v>894.55599100000018</v>
      </c>
      <c r="I283" s="3">
        <f>912.6+(302-337)+(-0.465426+(-0.15402--0.17187))+0-0-0</f>
        <v>877.152424</v>
      </c>
      <c r="J283" s="3">
        <f>903+(298.7-323.8)+(-2.30265+(-0.761685--0.82569))+0-0-0</f>
        <v>875.66135499999996</v>
      </c>
      <c r="K283" s="3">
        <f>982.4+(262.1-360)+(-0.501024+(-0.133671--0.1836))+0-0-0</f>
        <v>884.04890499999999</v>
      </c>
      <c r="L283" s="3">
        <f>1344.8+(265.8-675.8)+(-0.685848+(-0.135558--0.344658))+0-0-0</f>
        <v>934.32325199999991</v>
      </c>
      <c r="M283" s="3">
        <f>1407.4+(287.2-726.1)+(0.717774+(0.146472-0.370311))+0-0-0</f>
        <v>968.99393499999996</v>
      </c>
      <c r="N283" s="3">
        <f>1407.7+(263.6-619.1)+(-0.717927+(-0.134436--0.315741))+0-0-0</f>
        <v>1051.663378</v>
      </c>
      <c r="O283" s="3">
        <f>1413.6+(256-579.2)+(0.720936+(0.13056-0.295392))+0-0-0</f>
        <v>1090.9561039999999</v>
      </c>
      <c r="P283" s="3">
        <f>1401+(257.9-545.6)+(-0.71451+(-0.131529--0.278256))+0-0-0</f>
        <v>1112.732217</v>
      </c>
      <c r="Q283" s="3">
        <f>1397.1+(243-514.4)+(-1.425042+(-0.24786--0.524688))+0-0-0</f>
        <v>1124.5517859999998</v>
      </c>
      <c r="R283" s="3">
        <f>1389.6+(204.8-475.8)+(-2.126088+(-0.313344--0.727974))+0-0-0</f>
        <v>1116.8885419999999</v>
      </c>
      <c r="S283" s="3">
        <f>1395+(191.4-491.3)+(-0.71145+(-0.097614--0.250563))+0-0-0</f>
        <v>1094.5414989999999</v>
      </c>
      <c r="T283" s="3">
        <f>1395.9+(212.9-550.1)+(-1.423818+(-0.217158--0.561102))+0-0-0</f>
        <v>1057.620126</v>
      </c>
      <c r="U283" s="3">
        <f>1398+(130.6-478)+(-0.71298+(-0.066606--0.24378))+0-0-0</f>
        <v>1050.0641939999998</v>
      </c>
      <c r="V283" s="3">
        <f>1403.9+(103.3-397.5)+(0+(0-0))+0-0-0</f>
        <v>1109.7</v>
      </c>
      <c r="W283" s="3">
        <f>1437.6+(166.9-302.6)+(1.466352+(0.170238-0.308652))+0-0-0</f>
        <v>1303.2279379999998</v>
      </c>
      <c r="X283" s="3">
        <f>1444.3+(182-290)+(-3.682965+(-0.4641--0.7395))+0-0-0</f>
        <v>1332.892435</v>
      </c>
      <c r="Y283" s="3">
        <f>1442.6+(177.9-303.8)+(-3.67863+(-0.453645--0.77469))+0-0-0</f>
        <v>1313.3424149999998</v>
      </c>
      <c r="Z283" s="3">
        <f>1453.1+(210.4-384.1)+(-2.964324+(-0.429216--0.783564))+0-0-0</f>
        <v>1276.7900239999999</v>
      </c>
      <c r="AA283" s="3">
        <f>1455.7+(287.8-508.6)+(-2.227221+(-0.440334--0.778158))+0-0-0</f>
        <v>1233.0106030000002</v>
      </c>
      <c r="AB283" s="3">
        <f>1459.7+(339.7-619)+(-2.233341+(-0.519741--0.94707))+0-0-0</f>
        <v>1178.5939880000001</v>
      </c>
      <c r="AC283" s="3">
        <f>1357.5+(276.2-527.6)+(-3.461625+(-0.70431--1.34538))+0-0-0</f>
        <v>1103.2794449999999</v>
      </c>
      <c r="AD283">
        <v>1326.1</v>
      </c>
      <c r="AE283" s="3">
        <f>1463+(149.6-286.5)+(0+(0-0))+0-0-0</f>
        <v>1326.1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1009+(362.4-378.8)+(-1.54377+(-0.554472--0.579564))+0-0-0</f>
        <v>991.08132199999989</v>
      </c>
      <c r="G284" s="3">
        <f>902.8+(399.6-366.7)+(-2.762568+(-1.222776--1.122102))+0-0-0</f>
        <v>932.83675800000003</v>
      </c>
      <c r="H284" s="3">
        <f>916.3+(385.6-404.6)+(-0.934626+(-0.393312--0.412692))+0-0-0</f>
        <v>896.38475399999993</v>
      </c>
      <c r="I284" s="3">
        <f>909.1+(383.3-416.3)+(-1.390923+(-0.586449--0.636939))+0-0-0</f>
        <v>874.75956700000006</v>
      </c>
      <c r="J284" s="3">
        <f>943.5+(312-391.4)+(0.96237+(0.31824-0.399228))+0-0-0</f>
        <v>864.98138200000005</v>
      </c>
      <c r="K284" s="3">
        <f>1134.8+(164.2-419.9)+(-0.578748+(-0.083742--0.214149))+0-0-0</f>
        <v>878.65165899999988</v>
      </c>
      <c r="L284" s="3">
        <f>1251.6+(169.4-503.9)+(0.638316+(0.086394-0.256989))+0-0-0</f>
        <v>917.56772099999989</v>
      </c>
      <c r="M284" s="3">
        <f>1439.1+(237.7-716.6)+(-1.467882+(-0.242454--0.730932))+0-0-0</f>
        <v>959.22059599999977</v>
      </c>
      <c r="N284" s="3">
        <f>1448.6+(338.2-728.2)+(0+(0-0))+0-0-0</f>
        <v>1058.5999999999999</v>
      </c>
      <c r="O284" s="3">
        <f>1449.8+(347.5-674)+(0.739398+(0.177225-0.34374))+0-0-0</f>
        <v>1123.872883</v>
      </c>
      <c r="P284" s="3">
        <f>1443+(330.2-635.6)+(-0.73593+(-0.168402--0.324156))+0-0-0</f>
        <v>1137.019824</v>
      </c>
      <c r="Q284" s="3">
        <f>1430+(378.3-672.2)+(-3.6465+(-0.964665--1.71411))+0-0-0</f>
        <v>1133.202945</v>
      </c>
      <c r="R284" s="3">
        <f>1433.9+(417.5-738.6)+(-1.462578+(-0.42585--0.753372))+0-0-0</f>
        <v>1111.6649440000001</v>
      </c>
      <c r="S284" s="3">
        <f>1439.8+(414.3-777.2)+(-0.734298+(-0.211293--0.396372))+0-0-0</f>
        <v>1076.3507809999999</v>
      </c>
      <c r="T284" s="3">
        <f>1437.7+(409-797.4)+(-1.466454+(-0.41718--0.813348))+0-0-0</f>
        <v>1048.2297140000003</v>
      </c>
      <c r="U284" s="3">
        <f>1429+(397.7-784.5)+(-2.91516+(-0.811308--1.60038))+0-0-0</f>
        <v>1040.0739120000001</v>
      </c>
      <c r="V284" s="3">
        <f>1444.6+(267.9-592.5)+(0.736746+(0.136629-0.302175))+0-0-0</f>
        <v>1120.5712000000001</v>
      </c>
      <c r="W284" s="3">
        <f>1442.3+(315.2-481.1)+(1.471146+(0.321504-0.490722))+0-0-0</f>
        <v>1277.701928</v>
      </c>
      <c r="X284" s="3">
        <f>1410.9+(298.1-422.8)+(-2.878236+(-0.608124--0.862512))+0-0-0</f>
        <v>1283.5761520000001</v>
      </c>
      <c r="Y284" s="3">
        <f>1413.2+(296.6-442.8)+(-2.882928+(-0.605064--0.903312))+0-0-0</f>
        <v>1264.4153200000001</v>
      </c>
      <c r="Z284" s="3">
        <f>1432.9+(278.7-481.3)+(0+(0-0))+0-0-0</f>
        <v>1230.3000000000002</v>
      </c>
      <c r="AA284" s="3">
        <f>1411.6+(337.1-540.9)+(-2.879664+(-0.687684--1.103436))+0-0-0</f>
        <v>1205.336088</v>
      </c>
      <c r="AB284" s="3">
        <f>1402.7+(382.2-632)+(-1.430754+(-0.389844--0.64464))+0-0-0</f>
        <v>1151.7240420000001</v>
      </c>
      <c r="AC284" s="3">
        <f>1322.3+(354.9-592.7)+(-1.348746+(-0.361998--0.604554))+0-0-0</f>
        <v>1083.39381</v>
      </c>
      <c r="AD284">
        <v>1312</v>
      </c>
      <c r="AE284" s="3">
        <f>1443+(323.2-454.2)+(0+(0-0))+0-0-0</f>
        <v>1312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1314.3+(363.6-679.7)+(-2.010879+(-0.556308--1.039941))+0-0-0</f>
        <v>996.67275399999994</v>
      </c>
      <c r="G285" s="3">
        <f>964.2+(380-412.9)+(0.491742+(0.1938-0.210579))+0-0-0</f>
        <v>931.77496300000007</v>
      </c>
      <c r="H285" s="3">
        <f>911.8+(333.7-346.4)+(-1.395054+(-0.510561--0.529992))+0-0-0</f>
        <v>897.72437699999989</v>
      </c>
      <c r="I285" s="3">
        <f>906+(338.4-360.5)+(-1.84824+(-0.690336--0.73542))+0-0-0</f>
        <v>882.09684400000003</v>
      </c>
      <c r="J285" s="3">
        <f>908+(342.6-374.7)+(-1.85232+(-0.698904--0.764388))+0-0-0</f>
        <v>874.1131640000001</v>
      </c>
      <c r="K285" s="3">
        <f>922.2+(305.2-359.2)+(0.470322+(0.155652-0.183192))+0-0-0</f>
        <v>868.64278200000001</v>
      </c>
      <c r="L285" s="3">
        <f>910.4+(291.7-334.7)+(-1.392912+(-0.446301--0.512091))+0-0-0</f>
        <v>866.07287799999995</v>
      </c>
      <c r="M285" s="3">
        <f>900+(300.3-367)+(-3.213+(-1.072071--1.31019))+0-0-0</f>
        <v>830.32511899999997</v>
      </c>
      <c r="N285" s="3">
        <f>904.5+(301.8-336.4)+(0.461295+(0.153918-0.171564))+0-0-0</f>
        <v>870.34364900000014</v>
      </c>
      <c r="O285" s="3">
        <f>882.1+(296.9-261)+(0+(0-0))+0-0-0</f>
        <v>918</v>
      </c>
      <c r="P285" s="3">
        <f>881.4+(417.2-343.2)+(0.899028+(0.425544-0.350064))+0-0-0</f>
        <v>956.37450799999999</v>
      </c>
      <c r="Q285" s="3">
        <f>878.4+(435.4-351.2)+(-1.343952+(-0.666162--0.537336))+0-0-0</f>
        <v>961.12722199999996</v>
      </c>
      <c r="R285" s="3">
        <f>877.8+(417.8-355.5)+(0+(0-0))+0-0-0</f>
        <v>940.09999999999991</v>
      </c>
      <c r="S285" s="3">
        <f>878.9+(408.4-368.6)+(-1.344717+(-0.624852--0.563958))+0-0-0</f>
        <v>917.29438899999991</v>
      </c>
      <c r="T285" s="3">
        <f>878.8+(357.2-331.2)+(0+(0-0))+0-0-0</f>
        <v>904.8</v>
      </c>
      <c r="U285" s="3">
        <f>892.5+(290.3-278.6)+(0.455175+(0.148053-0.142086))+0-0-0</f>
        <v>904.66114200000004</v>
      </c>
      <c r="V285" s="3">
        <f>1153.7+(239.8-426.7)+(-0.588387+(-0.122298--0.217617))+0-0-0</f>
        <v>966.30693200000007</v>
      </c>
      <c r="W285" s="3">
        <f>1470.6+(307-588)+(1.500012+(0.31314-0.59976))+0-0-0</f>
        <v>1190.813392</v>
      </c>
      <c r="X285" s="3">
        <f>1465.4+(315.2-562.3)+(-0.747354+(-0.160752--0.286773))+0-0-0</f>
        <v>1217.6786670000001</v>
      </c>
      <c r="Y285" s="3">
        <f>1464.5+(326-535.1)+(-0.746895+(-0.16626--0.272901))+0-0-0</f>
        <v>1254.7597460000002</v>
      </c>
      <c r="Z285" s="3">
        <f>1311.4+(354.6-484)+(-0.668814+(-0.180846--0.24684))+0-0-0</f>
        <v>1181.3971799999999</v>
      </c>
      <c r="AA285" s="3">
        <f>1060.8+(440.5-350.4)+(0+(0-0))+0-0-0</f>
        <v>1150.9000000000001</v>
      </c>
      <c r="AB285" s="3">
        <f>1065.6+(432.4-409.3)+(-2.173824+(-0.882096--0.834972))+0-0-0</f>
        <v>1086.4790519999999</v>
      </c>
      <c r="AC285" s="3">
        <f>1061.4+(439.1-491.2)+(-1.623942+(-0.671823--0.751536))+0-0-0</f>
        <v>1007.7557710000002</v>
      </c>
      <c r="AD285">
        <v>1222.7</v>
      </c>
      <c r="AE285" s="3">
        <f>1480+(312.7-570)+(0+(0-0))+0-0-0</f>
        <v>1222.7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997+(331-405)+(-1.01694+(-0.33762--0.4131))+0-0-0</f>
        <v>922.05853999999999</v>
      </c>
      <c r="G286" s="3">
        <f>883.5+(303.1-306.9)+(-1.80234+(-0.618324--0.626076))+0-0-0</f>
        <v>877.90541200000007</v>
      </c>
      <c r="H286" s="3">
        <f>855.5+(307.1-308.3)+(0+(0-0))+0-0-0</f>
        <v>854.3</v>
      </c>
      <c r="I286" s="3">
        <f>709.3+(357.8-229.9)+(0.361743+(0.182478-0.117249))+0-0-0</f>
        <v>837.62697199999991</v>
      </c>
      <c r="J286" s="3">
        <f>688.3+(381-234)+(-0.351033+(-0.19431--0.11934))+0-0-0</f>
        <v>834.87399699999992</v>
      </c>
      <c r="K286" s="3">
        <f>723.4+(380.4-249.1)+(0+(0-0))+0-0-0</f>
        <v>854.69999999999993</v>
      </c>
      <c r="L286" s="3">
        <f>745+(367.8-203.6)+(-0.37995+(-0.187578--0.103836))+0-0-0</f>
        <v>908.73630800000001</v>
      </c>
      <c r="M286" s="3">
        <f>1034.2+(290.9-355.5)+(1.582326+(0.445077-0.543915))+0-0-0</f>
        <v>971.08348799999999</v>
      </c>
      <c r="N286" s="3">
        <f>1266.5+(355.8-557.1)+(-0.645915+(-0.181458--0.284121))+0-0-0</f>
        <v>1064.6567480000001</v>
      </c>
      <c r="O286" s="3">
        <f>1422.9+(314.6-618.7)+(1.451358+(0.320892-0.631074))+0-0-0</f>
        <v>1119.9411760000003</v>
      </c>
      <c r="P286" s="3">
        <f>1455.4+(306.2-617.9)+(0.742254+(0.156162-0.315129))+0-0-0</f>
        <v>1144.283287</v>
      </c>
      <c r="Q286" s="3">
        <f>1445.2+(310.9-599)+(-1.474104+(-0.317118--0.61098))+0-0-0</f>
        <v>1155.919758</v>
      </c>
      <c r="R286" s="3">
        <f>1445.2+(319.1-630.9)+(-1.474104+(-0.325482--0.643518))+0-0-0</f>
        <v>1132.2439320000001</v>
      </c>
      <c r="S286" s="3">
        <f>1446.1+(289.5-635.1)+(-0.737511+(-0.147645--0.323901))+0-0-0</f>
        <v>1099.9387449999999</v>
      </c>
      <c r="T286" s="3">
        <f>1447.6+(328.6-694.4)+(-0.738276+(-0.167586--0.354144))+0-0-0</f>
        <v>1081.248282</v>
      </c>
      <c r="U286" s="3">
        <f>1440.2+(331.9-708.9)+(-1.469004+(-0.338538--0.723078))+0-0-0</f>
        <v>1062.115536</v>
      </c>
      <c r="V286" s="3">
        <f>1453.6+(189-529.2)+(-0.741336+(-0.09639--0.269892))+0-0-0</f>
        <v>1112.8321659999999</v>
      </c>
      <c r="W286" s="3">
        <f>1476.2+(210.4-379.9)+(-0.752862+(-0.107304--0.193749))+0-0-0</f>
        <v>1306.0335830000001</v>
      </c>
      <c r="X286" s="3">
        <f>1545.9+(201.9-407.7)+(-2.365227+(-0.308907--0.623781))+0-0-0</f>
        <v>1338.049647</v>
      </c>
      <c r="Y286" s="3">
        <f>1472.6+(222.2-384)+(-0.751026+(-0.113322--0.19584))+0-0-0</f>
        <v>1310.131492</v>
      </c>
      <c r="Z286" s="3">
        <f>1439.5+(220.3-397.8)+(-2.202435+(-0.337059--0.608634))+0-0-0</f>
        <v>1260.0691400000001</v>
      </c>
      <c r="AA286" s="3">
        <f>1438.9+(240.3-462)+(-2.935356+(-0.490212--0.94248))+0-0-0</f>
        <v>1214.7169120000001</v>
      </c>
      <c r="AB286" s="3">
        <f>1396.9+(256.9-508.7)+(-2.137257+(-0.393057--0.778311))+0-0-0</f>
        <v>1143.3479970000001</v>
      </c>
      <c r="AC286" s="3">
        <f>1343.7+(303-589.5)+(-2.741148+(-0.61812--1.20258))+0-0-0</f>
        <v>1055.043312</v>
      </c>
      <c r="AD286">
        <v>1361.5</v>
      </c>
      <c r="AE286" s="3">
        <f>1477+(237.4-352.9)+(0+(0-0))+0-0-0</f>
        <v>1361.5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1250.5+(305-580.1)+(-2.55102+(-0.6222--1.183404))+0-0-0</f>
        <v>973.41018399999996</v>
      </c>
      <c r="G287" s="3">
        <f>1027.1+(258.5-363.3)+(1.047642+(0.26367-0.370566))+0-0-0</f>
        <v>923.24074599999994</v>
      </c>
      <c r="H287" s="3">
        <f>962.7+(269.6-339.1)+(-1.963908+(-0.549984--0.691764))+0-0-0</f>
        <v>891.37787200000002</v>
      </c>
      <c r="I287" s="3">
        <f>919.2+(284.3-330.8)+(0+(0-0))+0-0-0</f>
        <v>872.7</v>
      </c>
      <c r="J287" s="3">
        <f>918.1+(308.6-355.8)+(0+(0-0))+0-0-0</f>
        <v>870.90000000000009</v>
      </c>
      <c r="K287" s="3">
        <f>913.2+(300.2-331)+(0+(0-0))+0-0-0</f>
        <v>882.40000000000009</v>
      </c>
      <c r="L287" s="3">
        <f>913.2+(300.2-331)+(0+(0-0))+0-0-0</f>
        <v>882.40000000000009</v>
      </c>
      <c r="M287" s="3">
        <f>962.4+(324.2-355.5)+(-0.490824+(-0.165342--0.181305))+0-0-0</f>
        <v>930.62513899999988</v>
      </c>
      <c r="N287" s="3">
        <f>1018.4+(324.2-366.8)+(-2.077536+(-0.661368--0.748272))+0-0-0</f>
        <v>973.80936799999995</v>
      </c>
      <c r="O287" s="3">
        <f>1244.7+(323.2-473.7)+(-1.904391+(-0.494496--0.724761))+0-0-0</f>
        <v>1092.5258740000002</v>
      </c>
      <c r="P287" s="3">
        <f>1322.2+(290.3-498.8)+(-0.674322+(-0.148053--0.254388))+0-0-0</f>
        <v>1113.1320130000001</v>
      </c>
      <c r="Q287" s="3">
        <f>1408.1+(268.1-552.3)+(-2.872524+(-0.546924--1.126692))+0-0-0</f>
        <v>1121.607244</v>
      </c>
      <c r="R287" s="3">
        <f>1428.2+(284.7-609.2)+(-3.64191+(-0.725985--1.55346))+0-0-0</f>
        <v>1100.885565</v>
      </c>
      <c r="S287" s="3">
        <f>1452.4+(294.7-671.1)+(0.740724+(0.150297-0.342261))+0-0-0</f>
        <v>1076.5487599999999</v>
      </c>
      <c r="T287" s="3">
        <f>1450.3+(299.5-678.5)+(0.739653+(0.152745-0.346035))+0-0-0</f>
        <v>1071.8463629999999</v>
      </c>
      <c r="U287" s="3">
        <f>1450.1+(292-663.9)+(0+(0-0))+0-0-0</f>
        <v>1078.1999999999998</v>
      </c>
      <c r="V287" s="3">
        <f>1436.6+(234-522)+(-2.930664+(-0.47736--1.06488))+0-0-0</f>
        <v>1146.256856</v>
      </c>
      <c r="W287" s="3">
        <f>1464.9+(254.4-405.4)+(0+(0-0))+0-0-0</f>
        <v>1313.9</v>
      </c>
      <c r="X287" s="3">
        <f>1454.8+(252.8-365.4)+(-2.967792+(-0.515712--0.745416))+0-0-0</f>
        <v>1339.461912</v>
      </c>
      <c r="Y287" s="3">
        <f>1464.4+(239.1-395.3)+(-2.987376+(-0.487764--0.806412))+0-0-0</f>
        <v>1305.5312719999999</v>
      </c>
      <c r="Z287" s="3">
        <f>1367.5+(263.2-368.2)+(-2.7897+(-0.536928--0.751128))+0-0-0</f>
        <v>1259.9245000000001</v>
      </c>
      <c r="AA287" s="3">
        <f>1195.1+(340.9-317.3)+(-1.828503+(-0.521577--0.485469))+0-0-0</f>
        <v>1216.8353889999999</v>
      </c>
      <c r="AB287" s="3">
        <f>1146.1+(315.6-304.6)+(-2.338044+(-0.643824--0.621384))+0-0-0</f>
        <v>1154.7395159999999</v>
      </c>
      <c r="AC287" s="3">
        <f>961.5+(343.1-238.2)+(-1.471095+(-0.524943--0.364446))+0-0-0</f>
        <v>1064.7684080000001</v>
      </c>
      <c r="AD287">
        <v>1362.8000000000002</v>
      </c>
      <c r="AE287" s="3">
        <f>1468+(281.9-387.1)+(0+(0-0))+0-0-0</f>
        <v>1362.8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946.7+(362.9-324.1)+(-0.965634+(-0.370158--0.330582))+0-0-0</f>
        <v>984.49478999999997</v>
      </c>
      <c r="G288" s="3">
        <f>906.1+(371.7-342.4)+(-0.462111+(-0.189567--0.174624))+0-0-0</f>
        <v>934.92294600000014</v>
      </c>
      <c r="H288" s="3">
        <f>905.9+(367.3-362)+(-0.462009+(-0.187323--0.18462))+0-0-0</f>
        <v>910.73528800000008</v>
      </c>
      <c r="I288" s="3">
        <f>909.6+(341.5-354.1)+(0.463896+(0.174165-0.180591))+0-0-0</f>
        <v>897.45746999999994</v>
      </c>
      <c r="J288" s="3">
        <f>902.8+(367.4-379.1)+(-1.841712+(-0.749496--0.773364))+0-0-0</f>
        <v>889.28215599999987</v>
      </c>
      <c r="K288" s="3">
        <f>988.6+(373.6-459.8)+(0.504186+(0.190536-0.234498))+0-0-0</f>
        <v>902.86022400000013</v>
      </c>
      <c r="L288" s="3">
        <f>1154.5+(394.5-592.7)+(-1.766385+(-0.603585--0.906831))+0-0-0</f>
        <v>954.836861</v>
      </c>
      <c r="M288" s="3">
        <f>1353.3+(358.8-707.8)+(-0.690183+(-0.182988--0.360978))+0-0-0</f>
        <v>1003.7878069999999</v>
      </c>
      <c r="N288" s="3">
        <f>1442.4+(361.6-722.7)+(0+(0-0))+0-0-0</f>
        <v>1081.3000000000002</v>
      </c>
      <c r="O288" s="3">
        <f>1441.2+(357.3-677.1)+(0+(0-0))+0-0-0</f>
        <v>1121.4000000000001</v>
      </c>
      <c r="P288" s="3">
        <f>1457+(342-652.7)+(0.74307+(0.17442-0.332877))+0-0-0</f>
        <v>1146.8846129999999</v>
      </c>
      <c r="Q288" s="3">
        <f>1436.7+(321.5-655.1)+(-2.198151+(-0.491895--1.002303))+0-0-0</f>
        <v>1101.412257</v>
      </c>
      <c r="R288" s="3">
        <f>1420.1+(351.8-626.5)+(-4.345506+(-1.076508--1.91709))+0-0-0</f>
        <v>1141.8950759999998</v>
      </c>
      <c r="S288" s="3">
        <f>1431.7+(353.5-672.5)+(-2.920668+(-0.72114--1.3719))+0-0-0</f>
        <v>1110.4300920000001</v>
      </c>
      <c r="T288" s="3">
        <f>1444.2+(327.1-684.1)+(-0.736542+(-0.166821--0.348891))+0-0-0</f>
        <v>1086.645528</v>
      </c>
      <c r="U288" s="3">
        <f>1438.1+(314.6-657.9)+(-0.733431+(-0.160446--0.335529))+0-0-0</f>
        <v>1094.2416519999999</v>
      </c>
      <c r="V288" s="3">
        <f>1445.8+(229.1-513.2)+(-1.474716+(-0.233682--0.523464))+0-0-0</f>
        <v>1160.5150659999997</v>
      </c>
      <c r="W288" s="3">
        <f>1435.2+(287.7-391.8)+(-2.195856+(-0.440181--0.599454))+0-0-0</f>
        <v>1329.0634169999998</v>
      </c>
      <c r="X288" s="3">
        <f>1436.7+(300.6-369.2)+(-2.930868+(-0.613224--0.753168))+0-0-0</f>
        <v>1365.3090760000002</v>
      </c>
      <c r="Y288" s="3">
        <f>1427.6+(289-385.1)+(-3.64038+(-0.73695--0.982005))+0-0-0</f>
        <v>1328.104675</v>
      </c>
      <c r="Z288" s="3">
        <f>1433.2+(316-456.4)+(-1.461864+(-0.32232--0.465528))+0-0-0</f>
        <v>1291.4813440000003</v>
      </c>
      <c r="AA288" s="3">
        <f>1104.9+(426.2-290)+(-3.380994+(-1.304172--0.8874))+0-0-0</f>
        <v>1237.3022340000002</v>
      </c>
      <c r="AB288" s="3">
        <f>914.1+(435.5-176.8)+(-1.864764+(-0.88842--0.360672))+0-0-0</f>
        <v>1170.4074880000001</v>
      </c>
      <c r="AC288" s="3">
        <f>911+(420.3-237.8)+(-0.92922+(-0.428706--0.242556))+0-0-0</f>
        <v>1092.38463</v>
      </c>
      <c r="AD288">
        <v>1380.2</v>
      </c>
      <c r="AE288" s="3">
        <f>1441+(304.2-365)+(0+(0-0))+0-0-0</f>
        <v>1380.2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907.6+(400.6-289.4)+(-2.31438+(-1.02153--0.73797))+0-0-0</f>
        <v>1016.2020600000001</v>
      </c>
      <c r="G289" s="3">
        <f>919.1+(376.7-324.7)+(0+(0-0))+0-0-0</f>
        <v>971.1</v>
      </c>
      <c r="H289" s="3">
        <f>913.7+(358.7-336.5)+(-0.931974+(-0.365874--0.34323))+0-0-0</f>
        <v>934.94538200000011</v>
      </c>
      <c r="I289" s="3">
        <f>926+(351.8-346.8)+(0.94452+(0.358836-0.353736))+0-0-0</f>
        <v>931.94961999999998</v>
      </c>
      <c r="J289" s="3">
        <f>929.5+(347.8-340.3)+(0.474045+(0.177378-0.173553))+0-0-0</f>
        <v>937.47787000000005</v>
      </c>
      <c r="K289" s="3">
        <f>1077.2+(284.6-415)+(1.098744+(0.290292-0.4233))+0-0-0</f>
        <v>947.76573600000006</v>
      </c>
      <c r="L289" s="3">
        <f>1250.1+(259.5-515.2)+(2.550204+(0.52938-1.051008))+0-0-0</f>
        <v>996.42857599999991</v>
      </c>
      <c r="M289" s="3">
        <f>1460+(284.1-689.2)+(-0.7446+(-0.144891--0.351492))+0-0-0</f>
        <v>1054.3620010000002</v>
      </c>
      <c r="N289" s="3">
        <f>1588.3+(321.3-768.7)+(0.810033+(0.163863-0.392037))+0-0-0</f>
        <v>1141.4818589999998</v>
      </c>
      <c r="O289" s="3">
        <f>1603.8+(274-671.8)+(0+(0-0))+0-0-0</f>
        <v>1206</v>
      </c>
      <c r="P289" s="3">
        <f>1608.9+(234.6-599.9)+(0+(0-0))+0-0-0</f>
        <v>1243.6000000000001</v>
      </c>
      <c r="Q289" s="3">
        <f>1588.7+(225.5-545.8)+(-3.240948+(-0.46002--1.113432))+0-0-0</f>
        <v>1265.8124640000001</v>
      </c>
      <c r="R289" s="3">
        <f>1593.6+(251.3-610.4)+(-2.438208+(-0.384489--0.933912))+0-0-0</f>
        <v>1232.6112149999999</v>
      </c>
      <c r="S289" s="3">
        <f>1591+(277.6-668.9)+(-2.43423+(-0.424728--1.023417))+0-0-0</f>
        <v>1197.8644590000001</v>
      </c>
      <c r="T289" s="3">
        <f>1600+(229.8-658.9)+(0.816+(0.117198-0.336039))+0-0-0</f>
        <v>1171.497159</v>
      </c>
      <c r="U289" s="3">
        <f>1601.9+(259.2-682.2)+(-0.816969+(-0.132192--0.347922))+0-0-0</f>
        <v>1178.298761</v>
      </c>
      <c r="V289" s="3">
        <f>1580.2+(228.7-569.9)+(-2.417706+(-0.349911--0.871947))+0-0-0</f>
        <v>1237.1043299999999</v>
      </c>
      <c r="W289" s="3">
        <f>1610.2+(269.1-502.3)+(0+(0-0))+0-0-0</f>
        <v>1377</v>
      </c>
      <c r="X289" s="3">
        <f>1583.6+(273.9-493.3)+(-2.422908+(-0.419067--0.754749))+0-0-0</f>
        <v>1362.1127739999997</v>
      </c>
      <c r="Y289" s="3">
        <f>1585.7+(257.4-505)+(-2.426121+(-0.393822--0.77265))+0-0-0</f>
        <v>1336.0527069999998</v>
      </c>
      <c r="Z289" s="3">
        <f>1569.4+(243.7-542.2)+(-4.00197+(-0.621435--1.38261))+0-0-0</f>
        <v>1267.6592050000002</v>
      </c>
      <c r="AA289" s="3">
        <f>1317.9+(274-419.7)+(-0.672129+(-0.13974--0.214047))+0-0-0</f>
        <v>1171.6021780000001</v>
      </c>
      <c r="AB289" s="3">
        <f>1174.7+(303.2-339.5)+(-1.797291+(-0.463896--0.519435))+0-0-0</f>
        <v>1136.6582480000002</v>
      </c>
      <c r="AC289" s="3">
        <f>1074.1+(325.4-314.8)+(-2.191164+(-0.663816--0.642192))+0-0-0</f>
        <v>1082.4872119999998</v>
      </c>
      <c r="AD289">
        <v>1399.8</v>
      </c>
      <c r="AE289" s="3">
        <f>1619+(245-464.2)+(0+(0-0))+0-0-0</f>
        <v>1399.8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970.1+(339.3-282.9)+(-1.979004+(-0.692172--0.577116))+0-0-0</f>
        <v>1024.4059400000001</v>
      </c>
      <c r="G290" s="3">
        <f>979.1+(326-329.5)+(-0.499341+(-0.16626--0.168045))+0-0-0</f>
        <v>975.10244399999999</v>
      </c>
      <c r="H290" s="3">
        <f>975.4+(320-359.2)+(-0.994908+(-0.3264--0.366384))+0-0-0</f>
        <v>935.24507600000004</v>
      </c>
      <c r="I290" s="3">
        <f>986.3+(308.2-379.4)+(1.006026+(0.314364-0.386988))+0-0-0</f>
        <v>916.03340199999991</v>
      </c>
      <c r="J290" s="3">
        <f>983.8+(306.7-378)+(0+(0-0))+0-0-0</f>
        <v>912.5</v>
      </c>
      <c r="K290" s="3">
        <f>1049.3+(285.5-419.9)+(1.070286+(0.29121-0.428298))+0-0-0</f>
        <v>915.83319799999992</v>
      </c>
      <c r="L290" s="3">
        <f>1330.9+(255.5-621.9)+(1.357518+(0.26061-0.634338))+0-0-0</f>
        <v>965.48379000000011</v>
      </c>
      <c r="M290" s="3">
        <f>1492.1+(214.2-683.6)+(1.521942+(0.218484-0.697272))+0-0-0</f>
        <v>1023.7431539999998</v>
      </c>
      <c r="N290" s="3">
        <f>1570.6+(242.3-717.9)+(0+(0-0))+0-0-0</f>
        <v>1095</v>
      </c>
      <c r="O290" s="3">
        <f>1605.1+(240.3-645.7)+(0+(0-0))+0-0-0</f>
        <v>1199.6999999999998</v>
      </c>
      <c r="P290" s="3">
        <f>1587.3+(224.3-642.7)+(0.809523+(0.114393-0.327777))+0-0-0</f>
        <v>1169.4961389999999</v>
      </c>
      <c r="Q290" s="3">
        <f>1553.1+(218.2-596.4)+(-0.792081+(-0.111282--0.304164))+0-0-0</f>
        <v>1174.3008009999999</v>
      </c>
      <c r="R290" s="3">
        <f>1545.2+(220.5-636.1)+(-3.152208+(-0.44982--1.297644))+0-0-0</f>
        <v>1127.2956159999999</v>
      </c>
      <c r="S290" s="3">
        <f>1571.7+(213.3-690.2)+(-0.801567+(-0.108783--0.352002))+0-0-0</f>
        <v>1094.2416519999999</v>
      </c>
      <c r="T290" s="3">
        <f>1598.6+(205.1-729.4)+(0+(0-0))+0-0-0</f>
        <v>1074.3</v>
      </c>
      <c r="U290" s="3">
        <f>1585.6+(95.1-611.8)+(-1.617312+(-0.097002--0.624036))+0-0-0</f>
        <v>1067.8097220000002</v>
      </c>
      <c r="V290" s="3">
        <f>1600.1+(42.3-528.2)+(0.816051+(0.021573-0.269382))+0-0-0</f>
        <v>1114.7682419999999</v>
      </c>
      <c r="W290" s="3">
        <f>1608.7+(112.7-417.5)+(1.640874+(0.114954-0.42585))+0-0-0</f>
        <v>1305.2299780000001</v>
      </c>
      <c r="X290" s="3">
        <f>1614.6+(112.5-386.6)+(-0.823446+(-0.057375--0.197166))+0-0-0</f>
        <v>1339.816345</v>
      </c>
      <c r="Y290" s="3">
        <f>1594.1+(112.8-393.4)+(-3.251964+(-0.230112--0.802536))+0-0-0</f>
        <v>1310.8204599999999</v>
      </c>
      <c r="Z290" s="3">
        <f>1600.2+(216.9-544.5)+(-2.448306+(-0.331857--0.833085))+0-0-0</f>
        <v>1270.652922</v>
      </c>
      <c r="AA290" s="3">
        <f>1396.3+(283.5-445.8)+(-2.136339+(-0.433755--0.682074))+0-0-0</f>
        <v>1232.1119799999999</v>
      </c>
      <c r="AB290" s="3">
        <f>1186.2+(346.8-354.3)+(-1.814886+(-0.530604--0.542079))+0-0-0</f>
        <v>1176.8965889999999</v>
      </c>
      <c r="AC290" s="3">
        <f>1154.9+(355.1-428.5)+(-3.533994+(-1.086606--1.31121))+0-0-0</f>
        <v>1078.1906100000001</v>
      </c>
      <c r="AD290">
        <v>1368.8</v>
      </c>
      <c r="AE290" s="3">
        <f>1629+(134-394.2)+(0+(0-0))+0-0-0</f>
        <v>1368.8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874.2+(458.4-323.6)+(-0.891684+(-0.467568--0.330072))+0-0-0</f>
        <v>1007.97082</v>
      </c>
      <c r="G291" s="3">
        <f>743.5+(453.1-247.9)+(-1.137555+(-0.693243--0.379287))+0-0-0</f>
        <v>947.24848900000006</v>
      </c>
      <c r="H291" s="3">
        <f>750.2+(417.8-237.9)+(-0.382602+(-0.213078--0.121329))+0-0-0</f>
        <v>929.62564900000007</v>
      </c>
      <c r="I291" s="3">
        <f>761.4+(406.9-261.9)+(1.94157+(1.037595-0.667845))+0-0-0</f>
        <v>908.71132</v>
      </c>
      <c r="J291" s="3">
        <f>805.9+(383.5-288.2)+(1.644036+(0.78234-0.587928))+0-0-0</f>
        <v>903.03844800000002</v>
      </c>
      <c r="K291" s="3">
        <f>854.5+(292.9-237.6)+(1.74318+(0.597516-0.484704))+0-0-0</f>
        <v>911.65599199999997</v>
      </c>
      <c r="L291" s="3">
        <f>859.2+(294.7-223.1)+(3.067344+(1.052079-0.796467))+0-0-0</f>
        <v>934.12295600000004</v>
      </c>
      <c r="M291" s="3">
        <f>1001.2+(297.5-332.1)+(-1.531836+(-0.455175--0.508113))+0-0-0</f>
        <v>965.12110200000006</v>
      </c>
      <c r="N291" s="3">
        <f>1158.4+(252.7-357.1)+(1.772352+(0.386631-0.546363))+0-0-0</f>
        <v>1055.6126200000001</v>
      </c>
      <c r="O291" s="3">
        <f>1220.6+(232.7-322.7)+(1.245012+(0.237354-0.329154))+0-0-0</f>
        <v>1131.7532119999998</v>
      </c>
      <c r="P291" s="3">
        <f>1215.8+(220.2-299.9)+(1.240116+(0.224604-0.305898))+0-0-0</f>
        <v>1137.258822</v>
      </c>
      <c r="Q291" s="3">
        <f>1209.2+(279.1-328.9)+(0+(0-0))+0-0-0</f>
        <v>1159.4000000000001</v>
      </c>
      <c r="R291" s="3">
        <f>1197.3+(334.8-409.2)+(-1.831869+(-0.512244--0.626076))+0-0-0</f>
        <v>1121.181963</v>
      </c>
      <c r="S291" s="3">
        <f>1206.5+(366.6-485.6)+(0+(0-0))+0-0-0</f>
        <v>1087.5</v>
      </c>
      <c r="T291" s="3">
        <f>1205.2+(353.8-507.1)+(-0.614652+(-0.180438--0.258621))+0-0-0</f>
        <v>1051.3635310000002</v>
      </c>
      <c r="U291" s="3">
        <f>1213.9+(361.7-534.9)+(1.238178+(0.368934-0.545598))+0-0-0</f>
        <v>1041.761514</v>
      </c>
      <c r="V291" s="3">
        <f>1211.7+(245-369.3)+(0.617967+(0.12495-0.188343))+0-0-0</f>
        <v>1087.9545740000001</v>
      </c>
      <c r="W291" s="3">
        <f>1216+(215.2-171.7)+(1.86048+(0.329256-0.262701))+0-0-0</f>
        <v>1261.4270349999999</v>
      </c>
      <c r="X291" s="3">
        <f>1190.2+(269.6-171.9)+(-3.03501+(-0.68748--0.438345))+0-0-0</f>
        <v>1284.615855</v>
      </c>
      <c r="Y291" s="3">
        <f>1194.3+(369.8-292.4)+(-1.218186+(-0.377196--0.298248))+0-0-0</f>
        <v>1270.4028660000001</v>
      </c>
      <c r="Z291" s="3">
        <f>1179.4+(388.8-334.9)+(-4.210458+(-1.388016--1.195593))+0-0-0</f>
        <v>1228.8971190000002</v>
      </c>
      <c r="AA291" s="3">
        <f>1183.2+(438.3-427.1)+(-3.620592+(-1.341198--1.306926))+0-0-0</f>
        <v>1190.745136</v>
      </c>
      <c r="AB291" s="3">
        <f>1199.1+(402.2-447.6)+(-0.611541+(-0.205122--0.228276))+0-0-0</f>
        <v>1153.1116129999998</v>
      </c>
      <c r="AC291" s="3">
        <f>1153.4+(364.9-450.1)+(0.588234+(0.186099-0.229551))+0-0-0</f>
        <v>1068.744782</v>
      </c>
      <c r="AD291">
        <v>1285.3</v>
      </c>
      <c r="AE291" s="3">
        <f>1204+(235-153.7)+(0+(0-0))+0-0-0</f>
        <v>1285.3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995+(403.3-409.8)+(-2.53725+(-1.028415--1.04499))+0-0-0</f>
        <v>985.97932500000002</v>
      </c>
      <c r="G292" s="3">
        <f>846.4+(435.7-358.3)+(0+(0-0))+0-0-0</f>
        <v>923.8</v>
      </c>
      <c r="H292" s="3">
        <f>799.8+(396.5-298.1)+(-0.407898+(-0.202215--0.152031))+0-0-0</f>
        <v>897.74191799999994</v>
      </c>
      <c r="I292" s="3">
        <f>740+(409.4-268.1)+(0.7548+(0.417588-0.273462))+0-0-0</f>
        <v>882.19892599999991</v>
      </c>
      <c r="J292" s="3">
        <f>736.9+(405.5-264.5)+(-0.751638+(-0.41361--0.26979))+0-0-0</f>
        <v>877.00454200000001</v>
      </c>
      <c r="K292" s="3">
        <f>741+(410.5-269.9)+(1.13373+(0.628065-0.412947))+0-0-0</f>
        <v>882.948848</v>
      </c>
      <c r="L292" s="3">
        <f>736.6+(384.5-236.7)+(0+(0-0))+0-0-0</f>
        <v>884.40000000000009</v>
      </c>
      <c r="M292" s="3">
        <f>736.6+(343.9-266.3)+(-0.375666+(-0.175389--0.135813))+0-0-0</f>
        <v>813.78475800000001</v>
      </c>
      <c r="N292" s="3">
        <f>856.8+(348.2-358.4)+(0.436968+(0.177582-0.182784))+0-0-0</f>
        <v>847.03176599999995</v>
      </c>
      <c r="O292" s="3">
        <f>916.7+(372-382.2)+(1.402551+(0.56916-0.584766))+0-0-0</f>
        <v>907.88694499999997</v>
      </c>
      <c r="P292" s="3">
        <f>991.1+(338.4-402.1)+(0+(0-0))+0-0-0</f>
        <v>927.4</v>
      </c>
      <c r="Q292" s="3">
        <f>1010.4+(345.7-415.4)+(-1.545912+(-0.528921--0.635562))+0-0-0</f>
        <v>939.26072900000008</v>
      </c>
      <c r="R292" s="3">
        <f>957.9+(399.9-432.4)+(-2.442645+(-1.019745--1.10262))+0-0-0</f>
        <v>923.04022999999995</v>
      </c>
      <c r="S292" s="3">
        <f>907.6+(408.5-403.5)+(-1.388628+(-0.625005--0.617355))+0-0-0</f>
        <v>911.20372199999997</v>
      </c>
      <c r="T292" s="3">
        <f>907.2+(405.5-421.6)+(-1.388016+(-0.620415--0.645048))+0-0-0</f>
        <v>889.73661700000002</v>
      </c>
      <c r="U292" s="3">
        <f>931.8+(386.8-429.4)+(1.425654+(0.591804-0.656982))+0-0-0</f>
        <v>890.56047599999999</v>
      </c>
      <c r="V292" s="3">
        <f>1056.1+(220.9-334.1)+(0+(0-0))+0-0-0</f>
        <v>942.89999999999986</v>
      </c>
      <c r="W292" s="3">
        <f>1197.8+(221.7-246.2)+(-1.221756+(-0.226134--0.251124))+0-0-0</f>
        <v>1172.1032339999999</v>
      </c>
      <c r="X292" s="3">
        <f>1155.2+(302.4-242.6)+(-1.178304+(-0.308448--0.247452))+0-0-0</f>
        <v>1213.7607</v>
      </c>
      <c r="Y292" s="3">
        <f>1021.3+(333.4-165.4)+(-1.041726+(-0.340068--0.168708))+0-0-0</f>
        <v>1188.086914</v>
      </c>
      <c r="Z292" s="3">
        <f>1022.7+(343.3-202)+(-1.043154+(-0.350166--0.20604))+0-0-0</f>
        <v>1162.8127199999999</v>
      </c>
      <c r="AA292" s="3">
        <f>1026.1+(408.6-302)+(-0.523311+(-0.208386--0.15402))+0-0-0</f>
        <v>1132.1223229999998</v>
      </c>
      <c r="AB292" s="3">
        <f>1018+(460.3-399.3)+(-1.03836+(-0.469506--0.407286))+0-0-0</f>
        <v>1077.89942</v>
      </c>
      <c r="AC292" s="3">
        <f>986.2+(483.4-476)+(-2.011848+(-0.986136--0.97104))+0-0-0</f>
        <v>991.57305600000007</v>
      </c>
      <c r="AD292">
        <v>1216.0999999999999</v>
      </c>
      <c r="AE292" s="3">
        <f>1216+(279.3-279.2)+(0+(0-0))+0-0-0</f>
        <v>1216.0999999999999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858.2+(450.3-384.6)+(-2.18841+(-1.148265--0.98073))+0-0-0</f>
        <v>921.54405500000007</v>
      </c>
      <c r="G293" s="3">
        <f>660.2+(457.1-236.7)+(0+(0-0))+0-0-0</f>
        <v>880.60000000000014</v>
      </c>
      <c r="H293" s="3">
        <f>602.7+(491.1-240.3)+(0.614754+(0.500922-0.245106))+0-0-0</f>
        <v>854.37057000000004</v>
      </c>
      <c r="I293" s="3">
        <f>588.1+(347.8-91.8)+(-0.299931+(-0.177378--0.046818))+0-0-0</f>
        <v>843.66950900000006</v>
      </c>
      <c r="J293" s="3">
        <f>504.2+(356.7-23.2)+(0.514284+(0.363834-0.023664))+0-0-0</f>
        <v>838.55445400000008</v>
      </c>
      <c r="K293" s="3">
        <f>594.5+(334.7-63.4)+(-0.909585+(-0.512091--0.097002))+0-0-0</f>
        <v>864.475326</v>
      </c>
      <c r="L293" s="3">
        <f>787.8+(349.2-208.4)+(-0.803556+(-0.356184--0.212568))+0-0-0</f>
        <v>927.65282799999989</v>
      </c>
      <c r="M293" s="3">
        <f>1149.2+(254.2-415.2)+(-0.586092+(-0.129642--0.211752))+0-0-0</f>
        <v>987.69601800000009</v>
      </c>
      <c r="N293" s="3">
        <f>1344+(196.6-466.2)+(0.68544+(0.100266-0.237762))+0-0-0</f>
        <v>1074.947944</v>
      </c>
      <c r="O293" s="3">
        <f>1126.8+(285.2-290.8)+(0+(0-0))+0-0-0</f>
        <v>1121.1999999999998</v>
      </c>
      <c r="P293" s="3">
        <f>1559.7+(222.3-612.4)+(0.795447+(0.113373-0.312324))+0-0-0</f>
        <v>1170.196496</v>
      </c>
      <c r="Q293" s="3">
        <f>1594.8+(289.2-709.8)+(-2.440044+(-0.442476--1.085994))+0-0-0</f>
        <v>1172.403474</v>
      </c>
      <c r="R293" s="3">
        <f>1577.4+(299-752)+(-1.608948+(-0.30498--0.76704))+0-0-0</f>
        <v>1123.2531120000001</v>
      </c>
      <c r="S293" s="3">
        <f>1580.7+(319-816.3)+(-1.612314+(-0.32538--0.832626))+0-0-0</f>
        <v>1082.294932</v>
      </c>
      <c r="T293" s="3">
        <f>1595.4+(327.3-852.2)+(1.627308+(0.333846-0.869244))+0-0-0</f>
        <v>1071.5919100000001</v>
      </c>
      <c r="U293" s="3">
        <f>1584+(251.4-764.9)+(-1.61568+(-0.256428--0.780198))+0-0-0</f>
        <v>1069.4080899999999</v>
      </c>
      <c r="V293" s="3">
        <f>1594.7+(86.1-568.7)+(0+(0-0))+0-0-0</f>
        <v>1112.0999999999999</v>
      </c>
      <c r="W293" s="3">
        <f>1670.6+(131.1-489.4)+(1.704012+(0.133722-0.499188))+0-0-0</f>
        <v>1313.6385459999999</v>
      </c>
      <c r="X293" s="3">
        <f>1715.3+(118.4-478.4)+(-2.624409+(-0.181152--0.731952))+0-0-0</f>
        <v>1353.2263909999999</v>
      </c>
      <c r="Y293" s="3">
        <f>1783.1+(125.7-574)+(-0.909381+(-0.064107--0.29274))+0-0-0</f>
        <v>1334.119252</v>
      </c>
      <c r="Z293" s="3">
        <f>1769.7+(196.3-667)+(-3.610188+(-0.400452--1.36068))+0-0-0</f>
        <v>1296.35004</v>
      </c>
      <c r="AA293" s="3">
        <f>1776+(227.8-746.5)+(-1.81152+(-0.232356--0.76143))+0-0-0</f>
        <v>1256.017554</v>
      </c>
      <c r="AB293" s="3">
        <f>1751.6+(253.6-816.2)+(-0.893316+(-0.129336--0.416262))+0-0-0</f>
        <v>1188.3936100000001</v>
      </c>
      <c r="AC293" s="3">
        <f>1604.4+(262.3-775.3)+(-2.454732+(-0.401319--1.186209))+0-0-0</f>
        <v>1089.7301580000001</v>
      </c>
      <c r="AD293">
        <v>1380.3</v>
      </c>
      <c r="AE293" s="3">
        <f>1706+(150-475.7)+(0+(0-0))+0-0-0</f>
        <v>1380.3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1187.3+(294-461.5)+(-2.422092+(-0.59976--0.94146))+0-0-0</f>
        <v>1017.719608</v>
      </c>
      <c r="G294" s="3">
        <f>1027.6+(315.7-385.8)+(-1.572228+(-0.483021--0.590274))+0-0-0</f>
        <v>956.03502499999991</v>
      </c>
      <c r="H294" s="3">
        <f>1029.2+(320.2-425.5)+(-0.524892+(-0.163302--0.217005))+0-0-0</f>
        <v>923.42881100000011</v>
      </c>
      <c r="I294" s="3">
        <f>1021.4+(316.1-429)+(-1.562742+(-0.483633--0.65637))+0-0-0</f>
        <v>907.10999500000003</v>
      </c>
      <c r="J294" s="3">
        <f>1026.4+(348.8-475.3)+(0+(0-0))+0-0-0</f>
        <v>899.90000000000009</v>
      </c>
      <c r="K294" s="3">
        <f>1037.9+(275.8-410.4)+(-1.587987+(-0.421974--0.627912))+0-0-0</f>
        <v>901.91795100000013</v>
      </c>
      <c r="L294" s="3">
        <f>1445+(266-574)+(0+(0-0))+0-0-0</f>
        <v>1137</v>
      </c>
      <c r="M294" s="3">
        <f>1587+(275-680)+(0+(0-0))+0-0-0</f>
        <v>1182</v>
      </c>
      <c r="N294" s="3">
        <f>1627+(279-718)+(0+(0-0))+0-0-0</f>
        <v>1188</v>
      </c>
      <c r="O294" s="3">
        <f>1744+(230-734)+(0+(0-0))+0-0-0</f>
        <v>1240</v>
      </c>
      <c r="P294" s="3">
        <f>1609+(218-525)+(0+(0-0))+0-0-0</f>
        <v>1302</v>
      </c>
      <c r="Q294" s="3">
        <f>1436+(193-535)+(0+(0-0))+0-0-0</f>
        <v>1094</v>
      </c>
      <c r="R294" s="3">
        <f>1453+(200-541)+(0+(0-0))+0-0-0</f>
        <v>1112</v>
      </c>
      <c r="S294" s="3">
        <f>1542+(213-547)+(0+(0-0))+0-0-0</f>
        <v>1208</v>
      </c>
      <c r="T294" s="3">
        <f>1584+(227-589)+(-2.42352+(-0.34731--0.90117))+0-0-0</f>
        <v>1220.1303399999999</v>
      </c>
      <c r="U294" s="3">
        <f>1595.2+(241-641)+(0+(0-0))+0-0-0</f>
        <v>1195.2</v>
      </c>
      <c r="V294" s="3">
        <f>1720.2+(163.7-698.5)+(1.754604+(0.166974-0.71247))+0-0-0</f>
        <v>1186.6091080000001</v>
      </c>
      <c r="W294" s="3">
        <f>1771.9+(182.8-566.4)+(1.807338+(0.186456-0.577728))+0-0-0</f>
        <v>1389.7160660000002</v>
      </c>
      <c r="X294" s="3">
        <f>1758.6+(188.5-517.3)+(-1.793772+(-0.19227--0.527646))+0-0-0</f>
        <v>1428.341604</v>
      </c>
      <c r="Y294" s="3">
        <f>1761.7+(139.3-567.6)+(-0.898467+(-0.071043--0.289476))+0-0-0</f>
        <v>1332.7199660000001</v>
      </c>
      <c r="Z294" s="3">
        <f>1759.4+(208.5-675.1)+(-0.897294+(-0.106335--0.344301))+0-0-0</f>
        <v>1292.1406720000002</v>
      </c>
      <c r="AA294" s="3">
        <f>1762.6+(256.5-770.9)+(0+(0-0))+0-0-0</f>
        <v>1248.1999999999998</v>
      </c>
      <c r="AB294" s="3">
        <f>1685.9+(308.4-817.5)+(0+(0-0))+0-0-0</f>
        <v>1176.8000000000002</v>
      </c>
      <c r="AC294" s="3">
        <f>1520.4+(278.4-726.5)+(-2.326212+(-0.425952--1.111545))+0-0-0</f>
        <v>1070.6593810000002</v>
      </c>
      <c r="AD294">
        <v>1338.3</v>
      </c>
      <c r="AE294" s="3">
        <f>1780+(105.6-547.3)+(0+(0-0))+0-0-0</f>
        <v>1338.3000000000002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1183.1+(356.9-550.6)+(-1.206762+(-0.364038--0.561612))+0-0-0</f>
        <v>988.39081199999987</v>
      </c>
      <c r="G295" s="3">
        <f>1107.6+(327.6-506.8)+(-3.389256+(-1.002456--1.550808))+0-0-0</f>
        <v>925.55909599999984</v>
      </c>
      <c r="H295" s="3">
        <f>1095.7+(309.1-494.8)+(0+(0-0))+0-0-0</f>
        <v>910</v>
      </c>
      <c r="I295" s="3">
        <f>1096.1+(312.9-513.7)+(-1.118022+(-0.319158--0.523974))+0-0-0</f>
        <v>894.3867939999999</v>
      </c>
      <c r="J295" s="3">
        <f>1093.5+(293.9-497.9)+(-0.557685+(-0.149889--0.253929))+0-0-0</f>
        <v>889.04635499999995</v>
      </c>
      <c r="K295" s="3">
        <f>1092.8+(290.8-466.1)+(1.671984+(0.444924-0.713133))+0-0-0</f>
        <v>918.903775</v>
      </c>
      <c r="L295" s="3">
        <f>1170.6+(357.4-562.5)+(-0.597006+(-0.182274--0.286875))+0-0-0</f>
        <v>965.00759499999992</v>
      </c>
      <c r="M295" s="3">
        <f>1456.7+(330.2-770.6)+(-1.485834+(-0.336804--0.786012))+0-0-0</f>
        <v>1015.263374</v>
      </c>
      <c r="N295" s="3">
        <f>1679.9+(265.9-853.4)+(-2.570247+(-0.406827--1.305702))+0-0-0</f>
        <v>1090.7286280000001</v>
      </c>
      <c r="O295" s="3">
        <f>1714.1+(275.5-860.7)+(-0.874191+(-0.140505--0.438957))+0-0-0</f>
        <v>1128.3242609999998</v>
      </c>
      <c r="P295" s="3">
        <f>1672.7+(337.7-873.6)+(-1.706154+(-0.344454--0.891072))+0-0-0</f>
        <v>1135.6404640000001</v>
      </c>
      <c r="Q295" s="3">
        <f>1547.8+(345.8-751.6)+(-1.578756+(-0.352716--0.766632))+0-0-0</f>
        <v>1140.8351600000001</v>
      </c>
      <c r="R295" s="3">
        <f>1535.5+(350.5-801.3)+(-3.13242+(-0.71502--1.634652))+0-0-0</f>
        <v>1082.487212</v>
      </c>
      <c r="S295" s="3">
        <f>1546.1+(245.7-724.6)+(-2.365533+(-0.375921--1.108638))+0-0-0</f>
        <v>1065.5671839999998</v>
      </c>
      <c r="T295" s="3">
        <f>1559.6+(306.1-810.9)+(-0.795396+(-0.156111--0.413559))+0-0-0</f>
        <v>1054.262052</v>
      </c>
      <c r="U295" s="3">
        <f>1554.4+(230.3-736.1)+(-0.792744+(-0.117453--0.375411))+0-0-0</f>
        <v>1048.0652140000002</v>
      </c>
      <c r="V295" s="3">
        <f>1625.3+(212.4-738.3)+(0+(0-0))+0-0-0</f>
        <v>1099.4000000000001</v>
      </c>
      <c r="W295" s="3">
        <f>1739.5+(152.4-602.7)+(-0.887145+(-0.077724--0.307377))+0-0-0</f>
        <v>1288.5425079999998</v>
      </c>
      <c r="X295" s="3">
        <f>1798.4+(152.1-611.7)+(-2.751552+(-0.232713--0.935901))+0-0-0</f>
        <v>1336.7516360000002</v>
      </c>
      <c r="Y295" s="3">
        <f>1812.1+(147.6-636.4)+(-3.696684+(-0.301104--1.298256))+0-0-0</f>
        <v>1320.6004679999999</v>
      </c>
      <c r="Z295" s="3">
        <f>1729.1+(162.8-613.4)+(-2.645523+(-0.249084--0.938502))+0-0-0</f>
        <v>1276.543895</v>
      </c>
      <c r="AA295" s="3">
        <f>1695.5+(188.9-652)+(-5.18823+(-0.578034--1.99512))+0-0-0</f>
        <v>1228.628856</v>
      </c>
      <c r="AB295" s="3">
        <f>1713.7+(270-798.3)+(-1.747974+(-0.2754--0.814266))+0-0-0</f>
        <v>1184.1908920000001</v>
      </c>
      <c r="AC295" s="3">
        <f>1524.4+(299.4-737.6)+(-0.777444+(-0.152694--0.376176))+0-0-0</f>
        <v>1085.6460380000001</v>
      </c>
      <c r="AD295">
        <v>1334.8</v>
      </c>
      <c r="AE295" s="3">
        <f>1770+(160.6-595.8)+(0+(0-0))+0-0-0</f>
        <v>1334.8000000000002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1449.6+(302.3-749.7)+(-0.739296+(-0.154173--0.382347))+0-0-0</f>
        <v>1001.6888779999998</v>
      </c>
      <c r="G296" s="3">
        <f>1260.4+(281.6-601.2)+(-3.21402+(-0.71808--1.53306))+0-0-0</f>
        <v>938.40096000000005</v>
      </c>
      <c r="H296" s="3">
        <f>1129.5+(276.7-509.6)+(-0.576045+(-0.141117--0.259896))+0-0-0</f>
        <v>896.1427339999999</v>
      </c>
      <c r="I296" s="3">
        <f>1115.4+(280.2-508.7)+(0+(0-0))+0-0-0</f>
        <v>886.90000000000009</v>
      </c>
      <c r="J296" s="3">
        <f>1117.2+(273.3-507.4)+(0.569772+(0.139383-0.258774))+0-0-0</f>
        <v>883.55038100000013</v>
      </c>
      <c r="K296" s="3">
        <f>1125+(260.2-486.5)+(1.1475+(0.265404-0.49623))+0-0-0</f>
        <v>899.61667399999999</v>
      </c>
      <c r="L296" s="3">
        <f>1190.2+(325-563.9)+(-0.607002+(-0.16575--0.287589))+0-0-0</f>
        <v>950.81483700000001</v>
      </c>
      <c r="M296" s="3">
        <f>1380.2+(331.1-721.9)+(0+(0-0))+0-0-0</f>
        <v>989.40000000000009</v>
      </c>
      <c r="N296" s="3">
        <f>1455.2+(437.2-842.6)+(0+(0-0))+0-0-0</f>
        <v>1049.8</v>
      </c>
      <c r="O296" s="3">
        <f>1486+(441.5-830.9)+(0+(0-0))+0-0-0</f>
        <v>1096.5999999999999</v>
      </c>
      <c r="P296" s="3">
        <f>1251.7+(445.2-634.7)+(-1.276734+(-0.454104--0.647394))+0-0-0</f>
        <v>1061.1165559999999</v>
      </c>
      <c r="Q296" s="3">
        <f>1458.3+(410.8-741.9)+(-1.487466+(-0.419016--0.756738))+0-0-0</f>
        <v>1126.050256</v>
      </c>
      <c r="R296" s="3">
        <f>1488+(373.1-761.2)+(-3.7944+(-0.951405--1.94106))+0-0-0</f>
        <v>1097.0952550000002</v>
      </c>
      <c r="S296" s="3">
        <f>1515.3+(420-867.6)+(0.772803+(0.2142-0.442476))+0-0-0</f>
        <v>1068.2445269999998</v>
      </c>
      <c r="T296" s="3">
        <f>1517.5+(402-868.6)+(0.773925+(0.20502-0.442986))+0-0-0</f>
        <v>1051.4359590000001</v>
      </c>
      <c r="U296" s="3">
        <f>1509.1+(399.7-854.3)+(0+(0-0))+0-0-0</f>
        <v>1054.5</v>
      </c>
      <c r="V296" s="3">
        <f>1502.1+(362.2-758.9)+(-2.298213+(-0.554166--1.161117))+0-0-0</f>
        <v>1103.7087379999998</v>
      </c>
      <c r="W296" s="3">
        <f>1584.7+(299-574.4)+(-1.616394+(-0.30498--0.585888))+0-0-0</f>
        <v>1307.9645140000002</v>
      </c>
      <c r="X296" s="3">
        <f>1764.3+(310.9-718.1)+(-2.699379+(-0.475677--1.098693))+0-0-0</f>
        <v>1355.023637</v>
      </c>
      <c r="Y296" s="3">
        <f>1758.2+(339.1-752.8)+(-4.48341+(-0.864705--1.91964))+0-0-0</f>
        <v>1341.0715250000001</v>
      </c>
      <c r="Z296" s="3">
        <f>1774.2+(329.3-805.5)+(-0.904842+(-0.167943--0.410805))+0-0-0</f>
        <v>1297.3380199999999</v>
      </c>
      <c r="AA296" s="3">
        <f>1683.3+(361.8-799.3)+(-3.433932+(-0.738072--1.630572))+0-0-0</f>
        <v>1243.258568</v>
      </c>
      <c r="AB296" s="3">
        <f>1464+(364.9-655.2)+(-3.7332+(-0.930495--1.67076))+0-0-0</f>
        <v>1170.7070649999998</v>
      </c>
      <c r="AC296" s="3">
        <f>1370.9+(306.8-575.2)+(-4.894113+(-1.095276--2.053464))+0-0-0</f>
        <v>1098.564075</v>
      </c>
      <c r="AD296">
        <v>1359.1</v>
      </c>
      <c r="AE296" s="3">
        <f>1743+(303.2-687.1)+(0+(0-0))+0-0-0</f>
        <v>1359.1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1355.9+(197.5-556.9)+(-1.383018+(-0.20145--0.568038))+0-0-0</f>
        <v>995.4835700000001</v>
      </c>
      <c r="G297" s="3">
        <f>1206.3+(269.5-541.8)+(-2.460852+(-0.54978--1.105272))+0-0-0</f>
        <v>932.09464000000003</v>
      </c>
      <c r="H297" s="3">
        <f>1027.5+(225.6-355.5)+(-0.524025+(-0.115056--0.181305))+0-0-0</f>
        <v>897.14222400000006</v>
      </c>
      <c r="I297" s="3">
        <f>1015.4+(192.1-321.3)+(-1.553562+(-0.293913--0.491589))+0-0-0</f>
        <v>884.84411399999988</v>
      </c>
      <c r="J297" s="3">
        <f>1026.3+(203.7-351.3)+(0+(0-0))+0-0-0</f>
        <v>878.69999999999993</v>
      </c>
      <c r="K297" s="3">
        <f>1041.1+(222.5-375.7)+(0+(0-0))+0-0-0</f>
        <v>887.89999999999986</v>
      </c>
      <c r="L297" s="3">
        <f>1244.2+(249.5-563.2)+(0+(0-0))+0-0-0</f>
        <v>930.5</v>
      </c>
      <c r="M297" s="3">
        <f>1469.5+(230.6-732.5)+(0.749445+(0.117606-0.373575))+0-0-0</f>
        <v>968.09347600000001</v>
      </c>
      <c r="N297" s="3">
        <f>1606.6+(213.7-772.5)+(1.638732+(0.217974-0.78795))+0-0-0</f>
        <v>1048.8687559999998</v>
      </c>
      <c r="O297" s="3">
        <f>1619.4+(225.1-755.2)+(2.477682+(0.344403-1.155456))+0-0-0</f>
        <v>1090.9666290000002</v>
      </c>
      <c r="P297" s="3">
        <f>1722.8+(179.2-785)+(1.757256+(0.182784-0.8007))+0-0-0</f>
        <v>1118.1393399999999</v>
      </c>
      <c r="Q297" s="3">
        <f>1759.3+(199.2-819.4)+(-1.794486+(-0.203184--0.835788))+0-0-0</f>
        <v>1137.9381179999998</v>
      </c>
      <c r="R297" s="3">
        <f>1740.6+(326.8-950.8)+(-5.326236+(-1.000008--2.909448))+0-0-0</f>
        <v>1113.1832039999999</v>
      </c>
      <c r="S297" s="3">
        <f>1768.4+(392.1-1086)+(0.901884+(0.199971-0.55386))+0-0-0</f>
        <v>1075.0479949999999</v>
      </c>
      <c r="T297" s="3">
        <f>1766.7+(353.1-1052.6)+(0.901017+(0.180081-0.536826))+0-0-0</f>
        <v>1067.7442720000004</v>
      </c>
      <c r="U297" s="3">
        <f>1766.1+(353.5-1050.9)+(0.900711+(0.180285-0.535959))+0-0-0</f>
        <v>1069.2450369999999</v>
      </c>
      <c r="V297" s="3">
        <f>1766.1+(323.6-979.2)+(-0.900711+(-0.165036--0.499392))+0-0-0</f>
        <v>1109.9336450000001</v>
      </c>
      <c r="W297" s="3">
        <f>1785.2+(292.6-797.9)+(-0.910452+(-0.149226--0.406929))+0-0-0</f>
        <v>1279.247251</v>
      </c>
      <c r="X297" s="3">
        <f>1784.9+(351.4-812.4)+(-1.820598+(-0.358428--0.828648))+0-0-0</f>
        <v>1322.549622</v>
      </c>
      <c r="Y297" s="3">
        <f>1790.9+(362-837.5)+(-0.913359+(-0.18462--0.427125))+0-0-0</f>
        <v>1314.7291460000001</v>
      </c>
      <c r="Z297" s="3">
        <f>1789+(373.5-888.2)+(-0.91239+(-0.190485--0.452982))+0-0-0</f>
        <v>1273.6501069999999</v>
      </c>
      <c r="AA297" s="3">
        <f>1781+(366-904.4)+(-3.63324+(-0.74664--1.844976))+0-0-0</f>
        <v>1240.0650959999998</v>
      </c>
      <c r="AB297" s="3">
        <f>1675.1+(371.6-863.3)+(0.854301+(0.189516-0.440283))+0-0-0</f>
        <v>1184.0035340000002</v>
      </c>
      <c r="AC297" s="3">
        <f>1570.2+(375.8-842.7)+(-4.00401+(-0.95829--2.148885))+0-0-0</f>
        <v>1100.4865849999999</v>
      </c>
      <c r="AD297">
        <v>1350.8000000000002</v>
      </c>
      <c r="AE297" s="3">
        <f>1794+(353.3-796.5)+(0+(0-0))+0-0-0</f>
        <v>1350.8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1229.1+(430.4-643.4)+(-1.253682+(-0.439008--0.656268))+0-0-0</f>
        <v>1015.0635779999999</v>
      </c>
      <c r="G298" s="3">
        <f>1066+(476-589.7)+(0.54366+(0.24276-0.300747))+0-0-0</f>
        <v>952.78567299999997</v>
      </c>
      <c r="H298" s="3">
        <f>1043.7+(447-563.6)+(0+(0-0))+0-0-0</f>
        <v>927.1</v>
      </c>
      <c r="I298" s="3">
        <f>945.7+(424-463)+(0.482307+(0.21624-0.23613))+0-0-0</f>
        <v>907.162417</v>
      </c>
      <c r="J298" s="3">
        <f>944.6+(377-392.5)+(-2.40873+(-0.96135--1.000875))+0-0-0</f>
        <v>926.73079500000006</v>
      </c>
      <c r="K298" s="3">
        <f>956.4+(440-439.3)+(0.975528+(0.4488-0.448086))+0-0-0</f>
        <v>958.07624199999987</v>
      </c>
      <c r="L298" s="3">
        <f>1156.9+(393-601.8)+(0+(0-0))+0-0-0</f>
        <v>948.10000000000014</v>
      </c>
      <c r="M298" s="3">
        <f>1227.2+(442-671.7)+(-0.625872+(-0.22542--0.342567))+0-0-0</f>
        <v>996.99127499999997</v>
      </c>
      <c r="N298" s="3">
        <f>1426.6+(429-804.8)+(1.455132+(0.43758-0.820896))+0-0-0</f>
        <v>1051.8718159999999</v>
      </c>
      <c r="O298" s="3">
        <f>1608.5+(369-797.9)+(2.461005+(0.56457-1.220787))+0-0-0</f>
        <v>1181.4047879999998</v>
      </c>
      <c r="P298" s="3">
        <f>1591.4+(481-808.1)+(0+(0-0))+0-0-0</f>
        <v>1264.3000000000002</v>
      </c>
      <c r="Q298" s="3">
        <f>1581.2+(432-838.9)+(-1.612824+(-0.44064--0.855678))+0-0-0</f>
        <v>1173.1022140000002</v>
      </c>
      <c r="R298" s="3">
        <f>1575.3+(462-893.8)+(-2.410209+(-0.70686--1.367514))+0-0-0</f>
        <v>1141.7504449999999</v>
      </c>
      <c r="S298" s="3">
        <f>1567.8+(416-867)+(-3.99789+(-1.0608--2.21085))+0-0-0</f>
        <v>1113.95216</v>
      </c>
      <c r="T298" s="3">
        <f>1563.6+(436-866.7)+(-4.784616+(-1.33416--2.652102))+0-0-0</f>
        <v>1129.4333259999999</v>
      </c>
      <c r="U298" s="3">
        <f>1568.1+(432-889.1)+(-3.198924+(-0.88128--1.813764))+0-0-0</f>
        <v>1108.7335599999999</v>
      </c>
      <c r="V298" s="3">
        <f>1587.7+(397-783.3)+(-0.809727+(-0.20247--0.399483))+0-0-0</f>
        <v>1200.787286</v>
      </c>
      <c r="W298" s="3">
        <f>1580.9+(369.5-665.4)+(-1.612518+(-0.37689--0.678708))+0-0-0</f>
        <v>1283.6893</v>
      </c>
      <c r="X298" s="3">
        <f>1573.8+(379.4-637.5)+(-2.407914+(-0.580482--0.975375))+0-0-0</f>
        <v>1313.6869789999998</v>
      </c>
      <c r="Y298" s="3">
        <f>1592.6+(334.1-631.8)+(0+(0-0))+0-0-0</f>
        <v>1294.9000000000001</v>
      </c>
      <c r="Z298" s="3">
        <f>1475.7+(352.7-571.9)+(-0.752607+(-0.179877--0.291669))+0-0-0</f>
        <v>1255.859185</v>
      </c>
      <c r="AA298" s="3">
        <f>1282.1+(389.9-459.4)+(-1.307742+(-0.397698--0.468588))+0-0-0</f>
        <v>1211.3631479999999</v>
      </c>
      <c r="AB298" s="3">
        <f>1164.8+(389.7-398.7)+(-1.782144+(-0.596241--0.610011))+0-0-0</f>
        <v>1154.031626</v>
      </c>
      <c r="AC298" s="3">
        <f>1154.9+(379.4-444)+(-2.944995+(-0.96747--1.1322))+0-0-0</f>
        <v>1087.5197350000001</v>
      </c>
      <c r="AD298">
        <v>1317.6</v>
      </c>
      <c r="AE298" s="3">
        <f>1574+(397.7-654.1)+(0+(0-0))+0-0-0</f>
        <v>1317.6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1075+(444-511)+(-0.54825+(-0.22644--0.26061))+0-0-0</f>
        <v>1007.48592</v>
      </c>
      <c r="G299" s="3">
        <f>1060.3+(468.7-579)+(-0.540753+(-0.239037--0.29529))+0-0-0</f>
        <v>949.51549999999997</v>
      </c>
      <c r="H299" s="3">
        <f>1059.1+(444-592)+(-0.540141+(-0.22644--0.30192))+0-0-0</f>
        <v>910.63533899999993</v>
      </c>
      <c r="I299" s="3">
        <f>973+(420.3-492.1)+(0.99246+(0.428706-0.501942))+0-0-0</f>
        <v>902.11922400000003</v>
      </c>
      <c r="J299" s="3">
        <f>958.7+(385.8-448.1)+(-0.977874+(-0.393516--0.457062))+0-0-0</f>
        <v>895.48567200000014</v>
      </c>
      <c r="K299" s="3">
        <f>961.9+(380.4-435.5)+(-0.490569+(-0.194004--0.222105))+0-0-0</f>
        <v>906.33753200000001</v>
      </c>
      <c r="L299" s="3">
        <f>965.2+(379.6-440.7)+(0.492252+(0.193596-0.224757))+0-0-0</f>
        <v>904.56109100000015</v>
      </c>
      <c r="M299" s="3">
        <f>958.9+(389.8-463.5)+(-0.978078+(-0.397596--0.47277))+0-0-0</f>
        <v>884.29709600000001</v>
      </c>
      <c r="N299" s="3">
        <f>1149.7+(417.3-666.2)+(0+(0-0))+0-0-0</f>
        <v>900.8</v>
      </c>
      <c r="O299" s="3">
        <f>1286.3+(409.1-731.5)+(-1.312026+(-0.417282--0.74613))+0-0-0</f>
        <v>962.91682200000002</v>
      </c>
      <c r="P299" s="3">
        <f>1291+(451.5-751.2)+(-0.65841+(-0.230265--0.383112))+0-0-0</f>
        <v>990.7944369999999</v>
      </c>
      <c r="Q299" s="3">
        <f>1290+(449.2-738.7)+(-1.3158+(-0.458184--0.753474))+0-0-0</f>
        <v>999.47949000000006</v>
      </c>
      <c r="R299" s="3">
        <f>1307.9+(456.6-782.1)+(0.667029+(0.232866-0.398871))+0-0-0</f>
        <v>982.90102400000012</v>
      </c>
      <c r="S299" s="3">
        <f>1292.4+(423.3-748.3)+(-2.636496+(-0.863532--1.526532))+0-0-0</f>
        <v>965.42650400000014</v>
      </c>
      <c r="T299" s="3">
        <f>1302.4+(408.5-758.1)+(-0.664224+(-0.208335--0.386631))+0-0-0</f>
        <v>952.31407200000012</v>
      </c>
      <c r="U299" s="3">
        <f>1302.3+(355.5-699.2)+(0+(0-0))+0-0-0</f>
        <v>958.59999999999991</v>
      </c>
      <c r="V299" s="3">
        <f>1295.5+(369.1-646.2)+(-1.982115+(-0.564723--0.988686))+0-0-0</f>
        <v>1016.841848</v>
      </c>
      <c r="W299" s="3">
        <f>1293+(431.9-547.5)+(-2.63772+(-0.881076--1.1169))+0-0-0</f>
        <v>1174.998104</v>
      </c>
      <c r="X299" s="3">
        <f>1279.9+(468.7-546.8)+(-3.263745+(-1.195185--1.39434))+0-0-0</f>
        <v>1198.7354100000002</v>
      </c>
      <c r="Y299" s="3">
        <f>1170.6+(462.5-451.3)+(-0.597006+(-0.235875--0.230163))+0-0-0</f>
        <v>1181.1972819999999</v>
      </c>
      <c r="Z299" s="3">
        <f>1049.4+(498.8-384.8)+(-2.140776+(-1.017552--0.784992))+0-0-0</f>
        <v>1161.026664</v>
      </c>
      <c r="AA299" s="3">
        <f>894.9+(551-306.9)+(-1.369197+(-0.84303--0.469557))+0-0-0</f>
        <v>1137.2573299999999</v>
      </c>
      <c r="AB299" s="3">
        <f>892.8+(527.1-317.2)+(-0.910656+(-0.537642--0.323544))+0-0-0</f>
        <v>1101.5752460000001</v>
      </c>
      <c r="AC299" s="3">
        <f>893.3+(496.7-354)+(-1.366749+(-0.759951--0.54162))+0-0-0</f>
        <v>1034.4149199999999</v>
      </c>
      <c r="AD299">
        <v>1203.5</v>
      </c>
      <c r="AE299" s="3">
        <f>1306+(483.8-586.3)+(0+(0-0))+0-0-0</f>
        <v>1203.5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908.7+(482.7-424.5)+(-0.463437+(-0.246177--0.216495))+0-0-0</f>
        <v>966.40688100000011</v>
      </c>
      <c r="G300" s="3">
        <f>906.6+(463.4-449.6)+(-0.462366+(-0.236334--0.229296))+0-0-0</f>
        <v>919.93059599999992</v>
      </c>
      <c r="H300" s="3">
        <f>908.9+(466.3-472.8)+(-0.927078+(-0.475626--0.482256))+0-0-0</f>
        <v>901.47955200000001</v>
      </c>
      <c r="I300" s="3">
        <f>911.5+(465.4-495.6)+(0+(0-0))+0-0-0</f>
        <v>881.3</v>
      </c>
      <c r="J300" s="3">
        <f>906.2+(424.9-463.4)+(-1.386486+(-0.650097--0.709002))+0-0-0</f>
        <v>866.37241900000004</v>
      </c>
      <c r="K300" s="3">
        <f>912.3+(416.3-454.5)+(0+(0-0))+0-0-0</f>
        <v>874.09999999999991</v>
      </c>
      <c r="L300" s="3">
        <f>922.5+(423.1-452.7)+(0.94095+(0.431562-0.461754))+0-0-0</f>
        <v>893.81075800000008</v>
      </c>
      <c r="M300" s="3">
        <f>912.7+(427.2-455.3)+(-0.465477+(-0.217872--0.232203))+0-0-0</f>
        <v>884.14885400000003</v>
      </c>
      <c r="N300" s="3">
        <f>922.4+(424.1-429.3)+(1.411272+(0.648873-0.656829))+0-0-0</f>
        <v>918.60331600000006</v>
      </c>
      <c r="O300" s="3">
        <f>913.2+(419.5-364)+(0+(0-0))+0-0-0</f>
        <v>968.7</v>
      </c>
      <c r="P300" s="3">
        <f>949.4+(452.2-401.1)+(-0.484194+(-0.230622--0.204561))+0-0-0</f>
        <v>999.98974499999997</v>
      </c>
      <c r="Q300" s="3">
        <f>1001.3+(458.1-463)+(-0.510663+(-0.233631--0.23613))+0-0-0</f>
        <v>995.89183600000001</v>
      </c>
      <c r="R300" s="3">
        <f>994+(455.6-476.7)+(-2.02776+(-0.929424--0.972468))+0-0-0</f>
        <v>970.91528400000004</v>
      </c>
      <c r="S300" s="3">
        <f>1004.5+(425-485.6)+(0.512295+(0.21675-0.247656))+0-0-0</f>
        <v>944.38138900000001</v>
      </c>
      <c r="T300" s="3">
        <f>976.9+(397-445.2)+(-1.494657+(-0.60741--0.681156))+0-0-0</f>
        <v>927.279089</v>
      </c>
      <c r="U300" s="3">
        <f>901.2+(363.2-333.1)+(-0.459612+(-0.185232--0.169881))+0-0-0</f>
        <v>930.82503699999995</v>
      </c>
      <c r="V300" s="3">
        <f>898.7+(375.2-311.6)+(-0.916674+(-0.382704--0.317832))+0-0-0</f>
        <v>961.31845399999997</v>
      </c>
      <c r="W300" s="3">
        <f>909.7+(521.4-289.8)+(0.927894+(0.531828-0.295596))+0-0-0</f>
        <v>1142.4641259999999</v>
      </c>
      <c r="X300" s="3">
        <f>896+(542.2-223.7)+(-1.82784+(-1.106088--0.456348))+0-0-0</f>
        <v>1212.02242</v>
      </c>
      <c r="Y300" s="3">
        <f>891.3+(524.8-213.6)+(-1.818252+(-1.070592--0.435744))+0-0-0</f>
        <v>1200.0469000000001</v>
      </c>
      <c r="Z300" s="3">
        <f>905.2+(517.2-234.5)+(0+(0-0))+0-0-0</f>
        <v>1187.9000000000001</v>
      </c>
      <c r="AA300" s="3">
        <f>904.2+(540.6-291.8)+(-0.461142+(-0.275706--0.148818))+0-0-0</f>
        <v>1152.4119700000001</v>
      </c>
      <c r="AB300" s="3">
        <f>905.7+(509.9-305.8)+(-0.461907+(-0.260049--0.155958))+0-0-0</f>
        <v>1109.2340019999999</v>
      </c>
      <c r="AC300" s="3">
        <f>907+(477.1-361.2)+(-1.85028+(-0.973284--0.736848))+0-0-0</f>
        <v>1020.8132840000001</v>
      </c>
      <c r="AD300">
        <v>1212.6999999999998</v>
      </c>
      <c r="AE300" s="3">
        <f>895+(541.6-223.9)+(0+(0-0))+0-0-0</f>
        <v>1212.7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906.7+(449.7-421.9)+(-1.849668+(-0.917388--0.860676))+0-0-0</f>
        <v>932.59361999999999</v>
      </c>
      <c r="G301" s="3">
        <f>911.9+(404.4-432.7)+(-1.395207+(-0.618732--0.662031))+0-0-0</f>
        <v>882.24809199999993</v>
      </c>
      <c r="H301" s="3">
        <f>914.8+(399.9-458)+(-0.466548+(-0.203949--0.23358))+0-0-0</f>
        <v>856.26308299999994</v>
      </c>
      <c r="I301" s="3">
        <f>904.3+(394-450.6)+(-1.844772+(-0.80376--0.919224))+0-0-0</f>
        <v>845.97069199999999</v>
      </c>
      <c r="J301" s="3">
        <f>903.6+(391.1-449.4)+(-1.382508+(-0.598383--0.687582))+0-0-0</f>
        <v>844.00669100000005</v>
      </c>
      <c r="K301" s="3">
        <f>913.2+(395.7-443.9)+(0.465732+(0.201807-0.226389))+0-0-0</f>
        <v>865.44114999999999</v>
      </c>
      <c r="L301" s="3">
        <f>929.2+(390.1-399.1)+(-0.947784+(-0.397902--0.407082))+0-0-0</f>
        <v>919.26139599999999</v>
      </c>
      <c r="M301" s="3">
        <f>1117.7+(372.8-525.8)+(0.570027+(0.190128-0.268158))+0-0-0</f>
        <v>965.19199700000001</v>
      </c>
      <c r="N301" s="3">
        <f>1205.2+(448.7-615.8)+(0+(0-0))+0-0-0</f>
        <v>1038.1000000000001</v>
      </c>
      <c r="O301" s="3">
        <f>1279.7+(420.8-610.3)+(0.652647+(0.214608-0.311253))+0-0-0</f>
        <v>1090.7560020000001</v>
      </c>
      <c r="P301" s="3">
        <f>1275.8+(456.6-629.9)+(0+(0-0))+0-0-0</f>
        <v>1102.5</v>
      </c>
      <c r="Q301" s="3">
        <f>1263+(436.3-596.9)+(-2.57652+(-0.890052--1.217676))+0-0-0</f>
        <v>1100.151104</v>
      </c>
      <c r="R301" s="3">
        <f>1218.7+(449.7-599.8)+(-2.486148+(-0.917388--1.223592))+0-0-0</f>
        <v>1066.4200560000002</v>
      </c>
      <c r="S301" s="3">
        <f>1202.8+(443.3-598.1)+(-2.453712+(-0.904332--1.220124))+0-0-0</f>
        <v>1045.8620800000001</v>
      </c>
      <c r="T301" s="3">
        <f>1261.3+(417.8-649.6)+(0.643263+(0.213078-0.331296))+0-0-0</f>
        <v>1030.0250450000001</v>
      </c>
      <c r="U301" s="3">
        <f>1206.9+(414.2-599.6)+(-0.615519+(-0.211242--0.305796))+0-0-0</f>
        <v>1020.979035</v>
      </c>
      <c r="V301" s="3">
        <f>1250.8+(405.2-597.1)+(-0.637908+(-0.206652--0.304521))+0-0-0</f>
        <v>1058.3599609999999</v>
      </c>
      <c r="W301" s="3">
        <f>1272.3+(441.5-476.8)+(1.946619+(0.675495-0.729504))+0-0-0</f>
        <v>1238.8926100000001</v>
      </c>
      <c r="X301" s="3">
        <f>1265.1+(465.4-424)+(0+(0-0))+0-0-0</f>
        <v>1306.5</v>
      </c>
      <c r="Y301" s="3">
        <f>1259.7+(483.3-460.7)+(-1.927341+(-0.739449--0.704871))+0-0-0</f>
        <v>1280.3380810000001</v>
      </c>
      <c r="Z301" s="3">
        <f>1266.8+(478.5-496.4)+(0.646068+(0.244035-0.253164))+0-0-0</f>
        <v>1249.5369390000001</v>
      </c>
      <c r="AA301" s="3">
        <f>1248.7+(467.4-508.2)+(-2.547348+(-0.953496--1.036728))+0-0-0</f>
        <v>1205.435884</v>
      </c>
      <c r="AB301" s="3">
        <f>1033.1+(422.3-304)+(-0.526881+(-0.215373--0.15504))+0-0-0</f>
        <v>1150.812786</v>
      </c>
      <c r="AC301" s="3">
        <f>901.7+(440.3-282.5)+(-2.299335+(-1.122765--0.720375))+0-0-0</f>
        <v>1056.7982750000001</v>
      </c>
      <c r="AD301">
        <v>1334.1</v>
      </c>
      <c r="AE301" s="3">
        <f>1267+(510.1-443)+(0+(0-0))+0-0-0</f>
        <v>1334.1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918.8+(402.6-344.9)+(0+(0-0))+0-0-0</f>
        <v>976.5</v>
      </c>
      <c r="G302" s="3">
        <f>948.1+(360.9-378.2)+(-0.967062+(-0.368118--0.385764))+0-0-0</f>
        <v>929.85058399999991</v>
      </c>
      <c r="H302" s="3">
        <f>928.5+(360.8-387.6)+(-0.473535+(-0.184008--0.197676))+0-0-0</f>
        <v>901.24013300000001</v>
      </c>
      <c r="I302" s="3">
        <f>910.1+(388-415.9)+(1.392453+(0.59364-0.636327))+0-0-0</f>
        <v>883.54976600000009</v>
      </c>
      <c r="J302" s="3">
        <f>903.7+(381.8-411)+(-0.460887+(-0.194718--0.20961))+0-0-0</f>
        <v>874.05400499999996</v>
      </c>
      <c r="K302" s="3">
        <f>929.6+(387.3-434.5)+(0+(0-0))+0-0-0</f>
        <v>882.40000000000009</v>
      </c>
      <c r="L302" s="3">
        <f>1098.3+(399.4-549.5)+(0.560133+(0.203694-0.280245))+0-0-0</f>
        <v>948.68358199999989</v>
      </c>
      <c r="M302" s="3">
        <f>1194.3+(408.7-620)+(-0.609093+(-0.208437--0.3162))+0-0-0</f>
        <v>982.49866999999995</v>
      </c>
      <c r="N302" s="3">
        <f>1230.7+(373.5-544.6)+(0+(0-0))+0-0-0</f>
        <v>1059.5999999999999</v>
      </c>
      <c r="O302" s="3">
        <f>1279.6+(396.4-580.5)+(-0.652596+(-0.202164--0.296055))+0-0-0</f>
        <v>1094.9412950000001</v>
      </c>
      <c r="P302" s="3">
        <f>1276.8+(358-532.4)+(-1.953504+(-0.54774--0.814572))+0-0-0</f>
        <v>1100.713328</v>
      </c>
      <c r="Q302" s="3">
        <f>1267+(365.6-529.2)+(-2.58468+(-0.745824--1.079568))+0-0-0</f>
        <v>1101.1490640000002</v>
      </c>
      <c r="R302" s="3">
        <f>1276.2+(387.6-579.5)+(-1.301724+(-0.395352--0.59109))+0-0-0</f>
        <v>1083.1940140000002</v>
      </c>
      <c r="S302" s="3">
        <f>1274.2+(415.2-641.1)+(0+(0-0))+0-0-0</f>
        <v>1048.3</v>
      </c>
      <c r="T302" s="3">
        <f>1272.5+(408-641.1)+(-0.648975+(-0.20808--0.326961))+0-0-0</f>
        <v>1038.8699060000001</v>
      </c>
      <c r="U302" s="3">
        <f>1275.5+(421.2-652.3)+(0.650505+(0.214812-0.332673))+0-0-0</f>
        <v>1044.932644</v>
      </c>
      <c r="V302" s="3">
        <f>1276.2+(410.8-611.5)+(0.650862+(0.209508-0.311865))+0-0-0</f>
        <v>1076.048505</v>
      </c>
      <c r="W302" s="3">
        <f>1302.2+(390.8-453)+(0.664122+(0.199308-0.23103))+0-0-0</f>
        <v>1240.6324</v>
      </c>
      <c r="X302" s="3">
        <f>1452.8+(352.7-493.5)+(-2.963712+(-0.719508--1.00674))+0-0-0</f>
        <v>1309.3235199999999</v>
      </c>
      <c r="Y302" s="3">
        <f>1410.4+(367-474.5)+(-0.719304+(-0.18717--0.241995))+0-0-0</f>
        <v>1302.2355210000001</v>
      </c>
      <c r="Z302" s="3">
        <f>1268+(420.9-426.2)+(-1.94004+(-0.643977--0.652086))+0-0-0</f>
        <v>1260.768069</v>
      </c>
      <c r="AA302" s="3">
        <f>1264.6+(459.3-509.6)+(-1.934838+(-0.702729--0.779688))+0-0-0</f>
        <v>1212.442121</v>
      </c>
      <c r="AB302" s="3">
        <f>1097.8+(444.8-391.2)+(-1.679634+(-0.680544--0.598536))+0-0-0</f>
        <v>1149.6383580000002</v>
      </c>
      <c r="AC302" s="3">
        <f>1066.4+(437.7-440.6)+(-1.631592+(-0.669681--0.674118))+0-0-0</f>
        <v>1061.8728450000001</v>
      </c>
      <c r="AD302">
        <v>1330.4</v>
      </c>
      <c r="AE302" s="3">
        <f>1473+(374.7-517.3)+(0+(0-0))+0-0-0</f>
        <v>1330.4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899.8+(428-329)+(-1.376694+(-0.65484--0.50337))+0-0-0</f>
        <v>997.27183600000001</v>
      </c>
      <c r="G303" s="3">
        <f>893.4+(431.4-377)+(-0.911268+(-0.440028--0.38454))+0-0-0</f>
        <v>946.83324399999992</v>
      </c>
      <c r="H303" s="3">
        <f>907.7+(439.5-435.2)+(0.462927+(0.224145-0.221952))+0-0-0</f>
        <v>912.46511999999996</v>
      </c>
      <c r="I303" s="3">
        <f>898.3+(427.3-424.9)+(-1.374399+(-0.653769--0.650097))+0-0-0</f>
        <v>899.32192900000007</v>
      </c>
      <c r="J303" s="3">
        <f>892.1+(411.3-407.4)+(0.909942+(0.419526-0.415548))+0-0-0</f>
        <v>896.91391999999996</v>
      </c>
      <c r="K303" s="3">
        <f>894.6+(434.7-421.8)+(1.368738+(0.665091-0.645354))+0-0-0</f>
        <v>908.88847499999997</v>
      </c>
      <c r="L303" s="3">
        <f>954.8+(452.8-440.8)+(0.973896+(0.461856-0.449616))+0-0-0</f>
        <v>967.78613599999994</v>
      </c>
      <c r="M303" s="3">
        <f>1194.1+(423.3-613.9)+(0+(0-0))+0-0-0</f>
        <v>1003.5</v>
      </c>
      <c r="N303" s="3">
        <f>1426.8+(381.7-729.5)+(0+(0-0))+0-0-0</f>
        <v>1079</v>
      </c>
      <c r="O303" s="3">
        <f>1451.5+(371-711.8)+(-0.740265+(-0.18921--0.363018))+0-0-0</f>
        <v>1110.1335430000001</v>
      </c>
      <c r="P303" s="3">
        <f>1441.6+(402.5-724.6)+(-1.470432+(-0.41055--0.739092))+0-0-0</f>
        <v>1118.3581099999999</v>
      </c>
      <c r="Q303" s="3">
        <f>1442.8+(386.9-697.4)+(-0.735828+(-0.197319--0.355674))+0-0-0</f>
        <v>1131.7225269999999</v>
      </c>
      <c r="R303" s="3">
        <f>1434.5+(383.6-704.2)+(-2.194785+(-0.586908--1.077426))+0-0-0</f>
        <v>1112.195733</v>
      </c>
      <c r="S303" s="3">
        <f>1442+(423.9-780.2)+(-0.73542+(-0.216189--0.397902))+0-0-0</f>
        <v>1085.1462929999998</v>
      </c>
      <c r="T303" s="3">
        <f>1445+(414.9-803.7)+(-0.73695+(-0.211599--0.409887))+0-0-0</f>
        <v>1055.6613379999999</v>
      </c>
      <c r="U303" s="3">
        <f>1437.9+(390.3-780.6)+(-1.466658+(-0.398106--0.796212))+0-0-0</f>
        <v>1046.5314480000002</v>
      </c>
      <c r="V303" s="3">
        <f>1464+(377.5-742.6)+(1.49328+(0.38505-0.757452))+0-0-0</f>
        <v>1100.020878</v>
      </c>
      <c r="W303" s="3">
        <f>1471.9+(284.5-511.7)+(0.750669+(0.145095-0.260967))+0-0-0</f>
        <v>1245.334797</v>
      </c>
      <c r="X303" s="3">
        <f>1465.5+(311.1-456.4)+(-1.49481+(-0.317322--0.465528))+0-0-0</f>
        <v>1318.853396</v>
      </c>
      <c r="Y303" s="3">
        <f>1454.1+(341-467.4)+(-2.966364+(-0.69564--0.953496))+0-0-0</f>
        <v>1324.9914919999999</v>
      </c>
      <c r="Z303" s="3">
        <f>1460+(355.7-516.9)+(-2.2338+(-0.544221--0.790857))+0-0-0</f>
        <v>1296.8128360000001</v>
      </c>
      <c r="AA303" s="3">
        <f>1430.9+(411.6-584.9)+(-1.459518+(-0.419832--0.596598))+0-0-0</f>
        <v>1256.3172480000001</v>
      </c>
      <c r="AB303" s="3">
        <f>1167.6+(430.6-425)+(-1.786428+(-0.658818--0.65025))+0-0-0</f>
        <v>1171.4050039999997</v>
      </c>
      <c r="AC303" s="3">
        <f>915.7+(425.8-283)+(-1.868028+(-0.868632--0.57732))+0-0-0</f>
        <v>1056.3406600000001</v>
      </c>
      <c r="AD303">
        <v>1342.2</v>
      </c>
      <c r="AE303" s="3">
        <f>1476+(318.2-452)+(0+(0-0))+0-0-0</f>
        <v>1342.2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903+(443.7-290.3)+(-1.38159+(-0.678861--0.444159))+0-0-0</f>
        <v>1054.7837080000002</v>
      </c>
      <c r="G304" s="3">
        <f>894.6+(449.8-325.3)+(-0.456246+(-0.229398--0.165903))+0-0-0</f>
        <v>1018.5802590000001</v>
      </c>
      <c r="H304" s="3">
        <f>889.5+(462.9-368.2)+(0.90729+(0.472158-0.375564))+0-0-0</f>
        <v>985.20388400000002</v>
      </c>
      <c r="I304" s="3">
        <f>890.4+(431.3-343.6)+(0.908208+(0.439926-0.350472))+0-0-0</f>
        <v>979.0976619999999</v>
      </c>
      <c r="J304" s="3">
        <f>890.3+(409.4-326.4)+(-0.908106+(-0.417588--0.332928))+0-0-0</f>
        <v>972.30723399999999</v>
      </c>
      <c r="K304" s="3">
        <f>889.4+(388.1-299.2)+(-0.453594+(-0.197931--0.152592))+0-0-0</f>
        <v>977.80106699999999</v>
      </c>
      <c r="L304" s="3">
        <f>890.3+(406.3-275.4)+(-1.362159+(-0.621639--0.421362))+0-0-0</f>
        <v>1019.637564</v>
      </c>
      <c r="M304" s="3">
        <f>994.4+(407.1-333.1)+(-1.521432+(-0.622863--0.509643))+0-0-0</f>
        <v>1066.7653480000001</v>
      </c>
      <c r="N304" s="3">
        <f>1210.9+(462.8-496.1)+(0.617559+(0.236028-0.253011))+0-0-0</f>
        <v>1178.2005760000002</v>
      </c>
      <c r="O304" s="3">
        <f>1419.8+(445.9-638.8)+(-1.448196+(-0.454818--0.651576))+0-0-0</f>
        <v>1225.6485620000001</v>
      </c>
      <c r="P304" s="3">
        <f>1464.5+(442.6-660)+(0.746895+(0.225726-0.3366))+0-0-0</f>
        <v>1247.7360209999999</v>
      </c>
      <c r="Q304" s="3">
        <f>1449.6+(438.7-639.4)+(-1.478592+(-0.447474--0.652188))+0-0-0</f>
        <v>1247.6261219999999</v>
      </c>
      <c r="R304" s="3">
        <f>1446.2+(430.9-668.3)+(-0.737562+(-0.219759--0.340833))+0-0-0</f>
        <v>1208.1835120000003</v>
      </c>
      <c r="S304" s="3">
        <f>1451+(445.9-701.1)+(-0.74001+(-0.227409--0.357561))+0-0-0</f>
        <v>1195.1901419999999</v>
      </c>
      <c r="T304" s="3">
        <f>1448+(399.5-798.5)+(-0.73848+(-0.203745--0.407235))+0-0-0</f>
        <v>1048.4650099999999</v>
      </c>
      <c r="U304" s="3">
        <f>1453.1+(380.9-769.2)+(0+(0-0))+0-0-0</f>
        <v>1064.7999999999997</v>
      </c>
      <c r="V304" s="3">
        <f>1456.9+(356.5-704)+(0+(0-0))+0-0-0</f>
        <v>1109.4000000000001</v>
      </c>
      <c r="W304" s="3">
        <f>1458.3+(261.2-437.3)+(0.743733+(0.133212-0.223023))+0-0-0</f>
        <v>1282.8539219999998</v>
      </c>
      <c r="X304" s="3">
        <f>1436.2+(283.3-384.5)+(-2.929848+(-0.577932--0.78438))+0-0-0</f>
        <v>1332.2765999999999</v>
      </c>
      <c r="Y304" s="3">
        <f>1440+(297.7-430.6)+(-2.9376+(-0.607308--0.878424))+0-0-0</f>
        <v>1304.4335159999998</v>
      </c>
      <c r="Z304" s="3">
        <f>1186.8+(360.4-285.6)+(0+(0-0))+0-0-0</f>
        <v>1261.5999999999999</v>
      </c>
      <c r="AA304" s="3">
        <f>1118+(397.9-300.8)+(-3.42108+(-1.217574--0.920448))+0-0-0</f>
        <v>1211.3817939999999</v>
      </c>
      <c r="AB304" s="3">
        <f>1129.1+(387.1-347.8)+(-1.727523+(-0.592263--0.532134))+0-0-0</f>
        <v>1166.6123479999999</v>
      </c>
      <c r="AC304" s="3">
        <f>1039.6+(409.8-367.7)+(-4.241568+(-1.671984--1.500216))+0-0-0</f>
        <v>1077.2866639999997</v>
      </c>
      <c r="AD304">
        <v>1365.9</v>
      </c>
      <c r="AE304" s="3">
        <f>1433+(308.7-375.8)+(0+(0-0))+0-0-0</f>
        <v>1365.9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1024.1+(418.7-421.2)+(-2.089164+(-0.854148--0.859248))+0-0-0</f>
        <v>1019.5159359999999</v>
      </c>
      <c r="G305" s="3">
        <f>928.5+(363.6-320.1)+(-1.89414+(-0.741744--0.653004))+0-0-0</f>
        <v>970.01711999999998</v>
      </c>
      <c r="H305" s="3">
        <f>895.8+(378.2-333.6)+(-2.741148+(-1.157292--1.020816))+0-0-0</f>
        <v>937.52237599999989</v>
      </c>
      <c r="I305" s="3">
        <f>914.4+(367.4-359)+(0+(0-0))+0-0-0</f>
        <v>922.8</v>
      </c>
      <c r="J305" s="3">
        <f>924.9+(355.8-363.4)+(0.943398+(0.362916-0.370668))+0-0-0</f>
        <v>918.23564599999997</v>
      </c>
      <c r="K305" s="3">
        <f>916.4+(345.3-326)+(0+(0-0))+0-0-0</f>
        <v>935.7</v>
      </c>
      <c r="L305" s="3">
        <f>926.1+(368.1-323.6)+(-0.472311+(-0.187731--0.165036))+0-0-0</f>
        <v>970.10499400000003</v>
      </c>
      <c r="M305" s="3">
        <f>1076.9+(342.2-423.8)+(0+(0-0))+0-0-0</f>
        <v>995.30000000000007</v>
      </c>
      <c r="N305" s="3">
        <f>1366.9+(328.8-620.2)+(1.394238+(0.335376-0.632604))+0-0-0</f>
        <v>1076.59701</v>
      </c>
      <c r="O305" s="3">
        <f>1453.7+(301.1-615.6)+(1.482774+(0.307122-0.627912))+0-0-0</f>
        <v>1140.3619840000001</v>
      </c>
      <c r="P305" s="3">
        <f>1482.7+(280.8-600.9)+(2.268531+(0.429624-0.919377))+0-0-0</f>
        <v>1164.3787780000002</v>
      </c>
      <c r="Q305" s="3">
        <f>1470.9+(261.4-570.2)+(0.750159+(0.133314-0.290802))+0-0-0</f>
        <v>1162.692671</v>
      </c>
      <c r="R305" s="3">
        <f>1431.1+(270.6-552.2)+(-2.919444+(-0.552024--1.126488))+0-0-0</f>
        <v>1147.1550199999999</v>
      </c>
      <c r="S305" s="3">
        <f>1434.5+(305.9-614.8)+(-1.46319+(-0.312018--0.627096))+0-0-0</f>
        <v>1124.4518879999998</v>
      </c>
      <c r="T305" s="3">
        <f>1442.6+(344.1-683.2)+(0+(0-0))+0-0-0</f>
        <v>1103.5</v>
      </c>
      <c r="U305" s="3">
        <f>1435.3+(378.6-707.9)+(0+(0-0))+0-0-0</f>
        <v>1106</v>
      </c>
      <c r="V305" s="3">
        <f>1348.3+(382.6-586.4)+(-2.062899+(-0.585378--0.897192))+0-0-0</f>
        <v>1142.7489149999999</v>
      </c>
      <c r="W305" s="3">
        <f>1236.9+(392.1-343.5)+(1.892457+(0.599913-0.525555))+0-0-0</f>
        <v>1287.466815</v>
      </c>
      <c r="X305" s="3">
        <f>1239+(412.7-325.9)+(-1.26378+(-0.420954--0.332418))+0-0-0</f>
        <v>1324.447684</v>
      </c>
      <c r="Y305" s="3">
        <f>1230.9+(411.6-348.4)+(-2.511036+(-0.839664--0.710736))+0-0-0</f>
        <v>1291.4600360000002</v>
      </c>
      <c r="Z305" s="3">
        <f>1223.6+(410.4-379)+(-3.12018+(-1.04652--0.96645))+0-0-0</f>
        <v>1251.7997499999999</v>
      </c>
      <c r="AA305" s="3">
        <f>1233+(445.9-482.6)+(-1.88649+(-0.682227--0.738378))+0-0-0</f>
        <v>1194.4696609999999</v>
      </c>
      <c r="AB305" s="3">
        <f>1236.9+(435.5-515)+(-0.630819+(-0.222105--0.26265))+0-0-0</f>
        <v>1156.8097260000002</v>
      </c>
      <c r="AC305" s="3">
        <f>1143.9+(435.2-490.1)+(-1.166778+(-0.443904--0.499902))+0-0-0</f>
        <v>1087.88922</v>
      </c>
      <c r="AD305">
        <v>1317.2</v>
      </c>
      <c r="AE305" s="3">
        <f>1255+(384.5-322.3)+(0+(0-0))+0-0-0</f>
        <v>1317.2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805.7+(511.4-330.9)+(-0.821814+(-0.521628--0.337518))+0-0-0</f>
        <v>985.194076</v>
      </c>
      <c r="G306" s="3">
        <f>763.5+(420.4-248.5)+(0+(0-0))+0-0-0</f>
        <v>935.4</v>
      </c>
      <c r="H306" s="3">
        <f>662.9+(442.6-214.7)+(0.338079+(0.225726-0.109497))+0-0-0</f>
        <v>891.25430799999992</v>
      </c>
      <c r="I306" s="3">
        <f>663.1+(445.4-233.8)+(0.676362+(0.454308-0.238476))+0-0-0</f>
        <v>875.59219400000006</v>
      </c>
      <c r="J306" s="3">
        <f>662.8+(449.2-240.8)+(0+(0-0))+0-0-0</f>
        <v>871.19999999999993</v>
      </c>
      <c r="K306" s="3">
        <f>713.8+(424.2-264.5)+(0+(0-0))+0-0-0</f>
        <v>873.5</v>
      </c>
      <c r="L306" s="3">
        <f>809.6+(402.5-344.5)+(0+(0-0))+0-0-0</f>
        <v>867.6</v>
      </c>
      <c r="M306" s="3">
        <f>803.9+(381.4-346.9)+(-1.229967+(-0.583542--0.530757))+0-0-0</f>
        <v>837.11724800000002</v>
      </c>
      <c r="N306" s="3">
        <f>850.9+(379.8-363.8)+(0.867918+(0.387396-0.371076))+0-0-0</f>
        <v>867.78423799999996</v>
      </c>
      <c r="O306" s="3">
        <f>1052.8+(332.2-461.3)+(-0.536928+(-0.169422--0.235263))+0-0-0</f>
        <v>923.22891299999992</v>
      </c>
      <c r="P306" s="3">
        <f>1218.7+(308.5-567.5)+(-0.621537+(-0.157335--0.289425))+0-0-0</f>
        <v>959.210553</v>
      </c>
      <c r="Q306" s="3">
        <f>1225.5+(279.9-547.7)+(-0.625005+(-0.142749--0.279327))+0-0-0</f>
        <v>957.21157299999993</v>
      </c>
      <c r="R306" s="3">
        <f>1218+(336.4-619.1)+(-1.86354+(-0.514692--0.947223))+0-0-0</f>
        <v>933.86899099999994</v>
      </c>
      <c r="S306" s="3">
        <f>1210.6+(332-617.7)+(-2.469624+(-0.67728--1.260108))+0-0-0</f>
        <v>923.01320399999986</v>
      </c>
      <c r="T306" s="3">
        <f>1218.4+(302.6-598.2)+(-1.864152+(-0.462978--0.915246))+0-0-0</f>
        <v>921.38811600000008</v>
      </c>
      <c r="U306" s="3">
        <f>1225.4+(249.7-531)+(0+(0-0))+0-0-0</f>
        <v>944.10000000000014</v>
      </c>
      <c r="V306" s="3">
        <f>1228.2+(257.5-484)+(0+(0-0))+0-0-0</f>
        <v>1001.7</v>
      </c>
      <c r="W306" s="3">
        <f>1245.9+(284.9-354.2)+(-0.635409+(-0.145299--0.180642))+0-0-0</f>
        <v>1175.9999340000002</v>
      </c>
      <c r="X306" s="3">
        <f>1259.2+(298.3-330.3)+(0+(0-0))+0-0-0</f>
        <v>1227.2</v>
      </c>
      <c r="Y306" s="3">
        <f>1243.2+(244.6-272.3)+(-2.536128+(-0.498984--0.555492))+0-0-0</f>
        <v>1213.0203799999999</v>
      </c>
      <c r="Z306" s="3">
        <f>1245.8+(266.3-316.5)+(-1.270716+(-0.271626--0.32283))+0-0-0</f>
        <v>1194.380488</v>
      </c>
      <c r="AA306" s="3">
        <f>1256.6+(211.2-304.3)+(-0.640866+(-0.107712--0.155193))+0-0-0</f>
        <v>1162.9066150000001</v>
      </c>
      <c r="AB306" s="3">
        <f>1091.1+(271-257.4)+(-2.782305+(-0.69105--0.65637))+0-0-0</f>
        <v>1101.8830149999999</v>
      </c>
      <c r="AC306" s="3">
        <f>843.2+(334.4-174.5)+(-1.720128+(-0.682176--0.35598))+0-0-0</f>
        <v>1001.053676</v>
      </c>
      <c r="AD306">
        <v>1252.0999999999999</v>
      </c>
      <c r="AE306" s="3">
        <f>1264+(336.7-348.6)+(0+(0-0))+0-0-0</f>
        <v>1252.0999999999999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695.2+(392.1-138.5)+(-0.709104+(-0.399942--0.14127))+0-0-0</f>
        <v>947.83222400000011</v>
      </c>
      <c r="G307" s="3">
        <f>700.9+(394.6-193)+(-0.357459+(-0.201246--0.09843))+0-0-0</f>
        <v>902.03972499999998</v>
      </c>
      <c r="H307" s="3">
        <f>691+(400-211.5)+(-1.40964+(-0.816--0.43146))+0-0-0</f>
        <v>877.70582000000002</v>
      </c>
      <c r="I307" s="3">
        <f>705.2+(395-232.7)+(0.359652+(0.20145-0.118677))+0-0-0</f>
        <v>867.94242499999996</v>
      </c>
      <c r="J307" s="3">
        <f>710.3+(446.8-291)+(0.724506+(0.455736-0.29682))+0-0-0</f>
        <v>866.9834219999999</v>
      </c>
      <c r="K307" s="3">
        <f>711.1+(435.3-263.9)+(0.725322+(0.444006-0.269178))+0-0-0</f>
        <v>883.40015000000005</v>
      </c>
      <c r="L307" s="3">
        <f>713.9+(451.1-236.2)+(0.728178+(0.460122-0.240924))+0-0-0</f>
        <v>929.74737599999992</v>
      </c>
      <c r="M307" s="3">
        <f>861.7+(420.3-304.2)+(-0.878934+(-0.428706--0.310284))+0-0-0</f>
        <v>976.8026440000001</v>
      </c>
      <c r="N307" s="3">
        <f>1156.3+(255.1-394.8)+(2.358852+(0.520404-0.805392))+0-0-0</f>
        <v>1018.6738639999999</v>
      </c>
      <c r="O307" s="3">
        <f>1332.2+(241-460.1)+(1.358844+(0.24582-0.469302))+0-0-0</f>
        <v>1114.2353619999999</v>
      </c>
      <c r="P307" s="3">
        <f>1386.9+(226-439.2)+(-2.121957+(-0.34578--0.671976))+0-0-0</f>
        <v>1171.904239</v>
      </c>
      <c r="Q307" s="3">
        <f>1331.9+(271.5-410.6)+(-1.358538+(-0.27693--0.418812))+0-0-0</f>
        <v>1191.5833440000001</v>
      </c>
      <c r="R307" s="3">
        <f>1299.7+(291.1-379.8)+(-1.988541+(-0.445383--0.581094))+0-0-0</f>
        <v>1209.14717</v>
      </c>
      <c r="S307" s="3">
        <f>1306.1+(242.8-408)+(0.666111+(0.123828-0.20808))+0-0-0</f>
        <v>1141.4818589999998</v>
      </c>
      <c r="T307" s="3">
        <f>1289.6+(154.6-394.6)+(-1.973088+(-0.236538--0.603738))+0-0-0</f>
        <v>1047.9941119999999</v>
      </c>
      <c r="U307" s="3">
        <f>1297.1+(258-449.4)+(-0.661521+(-0.13158--0.229194))+0-0-0</f>
        <v>1105.1360929999998</v>
      </c>
      <c r="V307" s="3">
        <f>1351.4+(301.8-526.5)+(-1.378428+(-0.307836--0.53703))+0-0-0</f>
        <v>1125.5507660000001</v>
      </c>
      <c r="W307" s="3">
        <f>1418.2+(328.5-483.7)+(2.169846+(0.502605-0.740061))+0-0-0</f>
        <v>1264.9323899999999</v>
      </c>
      <c r="X307" s="3">
        <f>1407.9+(352.7-466.2)+(0+(0-0))+0-0-0</f>
        <v>1294.4000000000001</v>
      </c>
      <c r="Y307" s="3">
        <f>1395.2+(354.4-488.7)+(-2.134656+(-0.542232--0.747711))+0-0-0</f>
        <v>1258.9708230000001</v>
      </c>
      <c r="Z307" s="3">
        <f>1323.1+(408.1-517.8)+(-2.024343+(-0.624393--0.792234))+0-0-0</f>
        <v>1211.543498</v>
      </c>
      <c r="AA307" s="3">
        <f>1275.9+(455.1-555.7)+(-3.253545+(-1.160505--1.417035))+0-0-0</f>
        <v>1172.3029850000003</v>
      </c>
      <c r="AB307" s="3">
        <f>1190.5+(457.6-520.3)+(-3.035775+(-1.16688--1.326765))+0-0-0</f>
        <v>1124.9241100000002</v>
      </c>
      <c r="AC307" s="3">
        <f>791.1+(509-255.1)+(-0.403461+(-0.25959--0.130101))+0-0-0</f>
        <v>1044.46705</v>
      </c>
      <c r="AD307">
        <v>1317.8</v>
      </c>
      <c r="AE307" s="3">
        <f>1418+(362.6-462.8)+(0+(0-0))+0-0-0</f>
        <v>1317.8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692+(534-243.2)+(0+(0-0))+0-0-0</f>
        <v>982.8</v>
      </c>
      <c r="G308" s="3">
        <f>683.5+(483-228.6)+(-0.348585+(-0.24633--0.116586))+0-0-0</f>
        <v>937.42167099999995</v>
      </c>
      <c r="H308" s="3">
        <f>689.5+(467.4-256)+(0+(0-0))+0-0-0</f>
        <v>900.9</v>
      </c>
      <c r="I308" s="3">
        <f>688.5+(475.7-282)+(0+(0-0))+0-0-0</f>
        <v>882.2</v>
      </c>
      <c r="J308" s="3">
        <f>698.5+(443.9-266.8)+(0.71247+(0.452778-0.272136))+0-0-0</f>
        <v>876.49311199999988</v>
      </c>
      <c r="K308" s="3">
        <f>692.4+(429.3-233.5)+(0.353124+(0.218943-0.119085))+0-0-0</f>
        <v>888.65298200000007</v>
      </c>
      <c r="L308" s="3">
        <f>685+(462.1-270)+(0+(0-0))+0-0-0</f>
        <v>877.1</v>
      </c>
      <c r="M308" s="3">
        <f>683.5+(429.6-295.6)+(-0.69717+(-0.438192--0.301512))+0-0-0</f>
        <v>816.66615000000002</v>
      </c>
      <c r="N308" s="3">
        <f>696+(354.2-200.1)+(0.70992+(0.361284-0.204102))+0-0-0</f>
        <v>850.96710200000007</v>
      </c>
      <c r="O308" s="3">
        <f>678.3+(377.2-168.9)+(-1.037799+(-0.577116--0.258417))+0-0-0</f>
        <v>885.24350199999992</v>
      </c>
      <c r="P308" s="3">
        <f>678+(417.6-194.8)+(-1.03734+(-0.638928--0.298044))+0-0-0</f>
        <v>899.42177599999991</v>
      </c>
      <c r="Q308" s="3">
        <f>677.1+(444.7-214.1)+(-1.726605+(-1.133985--0.545955))+0-0-0</f>
        <v>905.38536500000009</v>
      </c>
      <c r="R308" s="3">
        <f>677.6+(416.5-189.2)+(-0.691152+(-0.42483--0.192984))+0-0-0</f>
        <v>903.97700200000008</v>
      </c>
      <c r="S308" s="3">
        <f>686.3+(387.7-178.2)+(-0.350013+(-0.197727--0.090882))+0-0-0</f>
        <v>895.34314199999994</v>
      </c>
      <c r="T308" s="3">
        <f>683.2+(363.3-152.1)+(-0.348432+(-0.185283--0.077571))+0-0-0</f>
        <v>893.9438560000001</v>
      </c>
      <c r="U308" s="3">
        <f>677.4+(374.2-145.3)+(-1.381896+(-0.763368--0.296412))+0-0-0</f>
        <v>904.45114799999999</v>
      </c>
      <c r="V308" s="3">
        <f>805.9+(397.4-250.7)+(-0.411009+(-0.202674--0.127857))+0-0-0</f>
        <v>952.11417399999993</v>
      </c>
      <c r="W308" s="3">
        <f>1240.6+(385.2-486.9)+(0+(0-0))+0-0-0</f>
        <v>1138.8999999999999</v>
      </c>
      <c r="X308" s="3">
        <f>1252.5+(441.4-488.4)+(0.638775+(0.225114-0.249084))+0-0-0</f>
        <v>1206.1148049999999</v>
      </c>
      <c r="Y308" s="3">
        <f>1239+(437.1-463.6)+(-1.26378+(-0.445842--0.472872))+0-0-0</f>
        <v>1211.26325</v>
      </c>
      <c r="Z308" s="3">
        <f>1239.7+(413.6-460.1)+(-1.264494+(-0.421872--0.469302))+0-0-0</f>
        <v>1191.9829360000001</v>
      </c>
      <c r="AA308" s="3">
        <f>1233.8+(453.6-521.8)+(-1.887714+(-0.694008--0.798354))+0-0-0</f>
        <v>1163.8166319999998</v>
      </c>
      <c r="AB308" s="3">
        <f>1230.7+(459.5-571.5)+(-1.882971+(-0.703035--0.874395))+0-0-0</f>
        <v>1116.9883890000001</v>
      </c>
      <c r="AC308" s="3">
        <f>1067.1+(434.4-471.7)+(-2.721105+(-1.10772--1.202835))+0-0-0</f>
        <v>1027.17401</v>
      </c>
      <c r="AD308">
        <v>1216.0999999999999</v>
      </c>
      <c r="AE308" s="3">
        <f>1262+(429.6-475.5)+(0+(0-0))+0-0-0</f>
        <v>1216.0999999999999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981.4+(485.6-519.5)+(-2.50257+(-1.23828--1.324725))+0-0-0</f>
        <v>945.08387500000003</v>
      </c>
      <c r="G309" s="3">
        <f>750.1+(485.1-337.3)+(-1.530204+(-0.989604--0.688092))+0-0-0</f>
        <v>896.06828400000006</v>
      </c>
      <c r="H309" s="3">
        <f>691.2+(439.6-252)+(0.352512+(0.224196-0.12852))+0-0-0</f>
        <v>879.24818800000003</v>
      </c>
      <c r="I309" s="3">
        <f>692.7+(451.9-279.5)+(0.706554+(0.460938-0.28509))+0-0-0</f>
        <v>865.98240199999998</v>
      </c>
      <c r="J309" s="3">
        <f>691.7+(468-304.4)+(0.352767+(0.23868-0.155244))+0-0-0</f>
        <v>855.73620300000005</v>
      </c>
      <c r="K309" s="3">
        <f>692+(409.9-224.7)+(0.35292+(0.209049-0.114597))+0-0-0</f>
        <v>877.64737200000002</v>
      </c>
      <c r="L309" s="3">
        <f>779.3+(399.7-258.9)+(0.397443+(0.203847-0.132039))+0-0-0</f>
        <v>920.56925099999989</v>
      </c>
      <c r="M309" s="3">
        <f>972.4+(359.3-377.2)+(0.495924+(0.183243-0.192372))+0-0-0</f>
        <v>954.98679500000003</v>
      </c>
      <c r="N309" s="3">
        <f>1040+(392.5-398.7)+(-0.5304+(-0.200175--0.203337))+0-0-0</f>
        <v>1033.2727620000001</v>
      </c>
      <c r="O309" s="3">
        <f>1049.7+(401.5-354)+(1.606041+(0.614295-0.54162))+0-0-0</f>
        <v>1098.8787159999999</v>
      </c>
      <c r="P309" s="3">
        <f>1050.6+(396.1-326.5)+(1.071612+(0.404022-0.33303))+0-0-0</f>
        <v>1121.3426039999997</v>
      </c>
      <c r="Q309" s="3">
        <f>1155.9+(454.3-464.1)+(1.179018+(0.463386-0.473382))+0-0-0</f>
        <v>1147.2690220000002</v>
      </c>
      <c r="R309" s="3">
        <f>1226+(467.5-588.5)+(-1.87578+(-0.715275--0.900405))+0-0-0</f>
        <v>1103.30935</v>
      </c>
      <c r="S309" s="3">
        <f>1219.3+(440.5-574.3)+(-2.487372+(-0.89862--1.171572))+0-0-0</f>
        <v>1083.28558</v>
      </c>
      <c r="T309" s="3">
        <f>1227.7+(475.8-639.3)+(-0.626127+(-0.242658--0.326043))+0-0-0</f>
        <v>1063.657258</v>
      </c>
      <c r="U309" s="3">
        <f>1222.8+(413.4-572.8)+(-1.870884+(-0.632502--0.876384))+0-0-0</f>
        <v>1061.7729980000001</v>
      </c>
      <c r="V309" s="3">
        <f>1223.9+(438-564.3)+(-1.248378+(-0.44676--0.575586))+0-0-0</f>
        <v>1096.480448</v>
      </c>
      <c r="W309" s="3">
        <f>1232.1+(422.2-400)+(0+(0-0))+0-0-0</f>
        <v>1254.3</v>
      </c>
      <c r="X309" s="3">
        <f>1210.3+(445.7-332.4)+(-2.469012+(-0.909228--0.678096))+0-0-0</f>
        <v>1320.899856</v>
      </c>
      <c r="Y309" s="3">
        <f>1208.5+(453-360.5)+(-3.081675+(-1.15515--0.919275))+0-0-0</f>
        <v>1297.68245</v>
      </c>
      <c r="Z309" s="3">
        <f>1219.3+(449.9-405.6)+(-1.243686+(-0.458898--0.413712))+0-0-0</f>
        <v>1262.3111279999998</v>
      </c>
      <c r="AA309" s="3">
        <f>1223.6+(438.9-442.3)+(-0.624036+(-0.223839--0.225573))+0-0-0</f>
        <v>1219.5776979999998</v>
      </c>
      <c r="AB309" s="3">
        <f>1205+(430.3-464.5)+(-3.07275+(-1.097265--1.184475))+0-0-0</f>
        <v>1167.8144600000001</v>
      </c>
      <c r="AC309" s="3">
        <f>1018.7+(461.9-406.8)+(-1.039074+(-0.471138--0.414936))+0-0-0</f>
        <v>1072.7047239999999</v>
      </c>
      <c r="AD309">
        <v>1318.5</v>
      </c>
      <c r="AE309" s="3">
        <f>1226+(434.2-341.7)+(0+(0-0))+0-0-0</f>
        <v>1318.5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863.7+(505.2-369.8)+(-2.202435+(-1.28826--0.94299))+0-0-0</f>
        <v>996.55229500000007</v>
      </c>
      <c r="G310" s="3">
        <f>691.8+(544.3-307.1)+(-0.705636+(-0.555186--0.313242))+0-0-0</f>
        <v>928.05241999999987</v>
      </c>
      <c r="H310" s="3">
        <f>679.9+(528.9-315.8)+(-1.733745+(-1.348695--0.80529))+0-0-0</f>
        <v>890.72284999999999</v>
      </c>
      <c r="I310" s="3">
        <f>698.5+(512.2-327.4)+(0+(0-0))+0-0-0</f>
        <v>883.30000000000007</v>
      </c>
      <c r="J310" s="3">
        <f>708.4+(491.2-320.5)+(0.361284+(0.250512-0.163455))+0-0-0</f>
        <v>879.54834099999994</v>
      </c>
      <c r="K310" s="3">
        <f>742.4+(471.8-324.5)+(-0.378624+(-0.240618--0.165495))+0-0-0</f>
        <v>889.24625300000002</v>
      </c>
      <c r="L310" s="3">
        <f>789+(481.6-371.1)+(-1.20717+(-0.736848--0.567783))+0-0-0</f>
        <v>898.12376500000005</v>
      </c>
      <c r="M310" s="3">
        <f>787+(441.9-347.7)+(-0.80274+(-0.450738--0.354654))+0-0-0</f>
        <v>880.30117600000005</v>
      </c>
      <c r="N310" s="3">
        <f>798.8+(457.3-322)+(-0.407388+(-0.233223--0.16422))+0-0-0</f>
        <v>933.62360899999987</v>
      </c>
      <c r="O310" s="3">
        <f>793.7+(493-293.4)+(-0.404787+(-0.25143--0.149634))+0-0-0</f>
        <v>992.79341700000009</v>
      </c>
      <c r="P310" s="3">
        <f>798+(526.7-289.1)+(0+(0-0))+0-0-0</f>
        <v>1035.5999999999999</v>
      </c>
      <c r="Q310" s="3">
        <f>795.7+(535.3-274.7)+(-0.405807+(-0.273003--0.140097))+0-0-0</f>
        <v>1055.761287</v>
      </c>
      <c r="R310" s="3">
        <f>788.4+(539.6-299.5)+(-0.804168+(-0.550392--0.30549))+0-0-0</f>
        <v>1027.45093</v>
      </c>
      <c r="S310" s="3">
        <f>778.5+(468.7-236.8)+(-1.58814+(-0.956148--0.483072))+0-0-0</f>
        <v>1008.338784</v>
      </c>
      <c r="T310" s="3">
        <f>788+(478.5-274.2)+(-0.80376+(-0.48807--0.279684))+0-0-0</f>
        <v>991.28785399999992</v>
      </c>
      <c r="U310" s="3">
        <f>805.3+(464.5-275.6)+(0.410703+(0.236895-0.140556))+0-0-0</f>
        <v>994.70704199999989</v>
      </c>
      <c r="V310" s="3">
        <f>800+(452.4-186.8)+(0+(0-0))+0-0-0</f>
        <v>1065.5999999999999</v>
      </c>
      <c r="W310" s="3">
        <f>1113.2+(429.8-318.4)+(2.83866+(1.09599-0.81192))+0-0-0</f>
        <v>1227.7227300000002</v>
      </c>
      <c r="X310" s="3">
        <f>1240.7+(447.4-404)+(-1.898271+(-0.684522--0.61812))+0-0-0</f>
        <v>1282.135327</v>
      </c>
      <c r="Y310" s="3">
        <f>1235+(455.1-422)+(-2.5194+(-0.928404--0.86088))+0-0-0</f>
        <v>1265.513076</v>
      </c>
      <c r="Z310" s="3">
        <f>1245+(488.3-491)+(-0.63495+(-0.249033--0.25041))+0-0-0</f>
        <v>1241.6664269999999</v>
      </c>
      <c r="AA310" s="3">
        <f>1254.4+(526.6-577.2)+(0.639744+(0.268566-0.294372))+0-0-0</f>
        <v>1204.4139380000001</v>
      </c>
      <c r="AB310" s="3">
        <f>1229.5+(494.8-580.3)+(-1.25409+(-0.504696--0.591906))+0-0-0</f>
        <v>1142.83312</v>
      </c>
      <c r="AC310" s="3">
        <f>1213.7+(441.1-601.2)+(-2.475948+(-0.899844--1.226448))+0-0-0</f>
        <v>1051.450656</v>
      </c>
      <c r="AD310">
        <v>1292.7</v>
      </c>
      <c r="AE310" s="3">
        <f>1257+(457.9-422.2)+(0+(0-0))+0-0-0</f>
        <v>1292.7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1040+(432.5-522.9)+(0+(0-0))+0-0-0</f>
        <v>949.6</v>
      </c>
      <c r="G311" s="3">
        <f>793.8+(429.9-320.4)+(-0.809676+(-0.438498--0.326808))+0-0-0</f>
        <v>902.37863399999992</v>
      </c>
      <c r="H311" s="3">
        <f>683.8+(448.6-263.4)+(-0.348738+(-0.228786--0.134334))+0-0-0</f>
        <v>868.55681000000004</v>
      </c>
      <c r="I311" s="3">
        <f>697+(442-289)+(0.35547+(0.22542-0.14739))+0-0-0</f>
        <v>850.43349999999998</v>
      </c>
      <c r="J311" s="3">
        <f>693.7+(438.6-281.4)+(0.353787+(0.223686-0.143514))+0-0-0</f>
        <v>851.33395900000005</v>
      </c>
      <c r="K311" s="3">
        <f>774.5+(423.1-332.5)+(0.78999+(0.431562-0.33915))+0-0-0</f>
        <v>865.98240199999998</v>
      </c>
      <c r="L311" s="3">
        <f>880.7+(432.9-391.5)+(0.449157+(0.220779-0.199665))+0-0-0</f>
        <v>922.57027100000005</v>
      </c>
      <c r="M311" s="3">
        <f>861.6+(460.4-370.5)+(0+(0-0))+0-0-0</f>
        <v>951.5</v>
      </c>
      <c r="N311" s="3">
        <f>819.5+(463-245.5)+(0.83589+(0.47226-0.25041))+0-0-0</f>
        <v>1038.05774</v>
      </c>
      <c r="O311" s="3">
        <f>823.3+(498.5-236)+(0.839766+(0.50847-0.24072))+0-0-0</f>
        <v>1086.907516</v>
      </c>
      <c r="P311" s="3">
        <f>816.9+(501.1-220.5)+(0+(0-0))+0-0-0</f>
        <v>1097.5</v>
      </c>
      <c r="Q311" s="3">
        <f>816.8+(514.6-226.3)+(0.416568+(0.262446-0.115413))+0-0-0</f>
        <v>1105.663601</v>
      </c>
      <c r="R311" s="3">
        <f>806+(500.1-226)+(-1.23318+(-0.765153--0.34578))+0-0-0</f>
        <v>1078.447447</v>
      </c>
      <c r="S311" s="3">
        <f>815.4+(506-272.8)+(0+(0-0))+0-0-0</f>
        <v>1048.5999999999999</v>
      </c>
      <c r="T311" s="3">
        <f>861.7+(507.6-340.2)+(0.878934+(0.517752-0.347004))+0-0-0</f>
        <v>1030.1496820000002</v>
      </c>
      <c r="U311" s="3">
        <f>1039.4+(447.8-455.8)+(-0.530094+(-0.228378--0.232458))+0-0-0</f>
        <v>1030.8739860000001</v>
      </c>
      <c r="V311" s="3">
        <f>1223.4+(391.4-541.3)+(0+(0-0))+0-0-0</f>
        <v>1073.5</v>
      </c>
      <c r="W311" s="3">
        <f>1408.6+(312.1-498.8)+(0.718386+(0.159171-0.254388))+0-0-0</f>
        <v>1222.5231689999998</v>
      </c>
      <c r="X311" s="3">
        <f>1410.7+(341.7-445.6)+(-1.438914+(-0.348534--0.454512))+0-0-0</f>
        <v>1305.4670639999999</v>
      </c>
      <c r="Y311" s="3">
        <f>1411.2+(350.3-468.3)+(-1.439424+(-0.357306--0.477666))+0-0-0</f>
        <v>1291.880936</v>
      </c>
      <c r="Z311" s="3">
        <f>1410.8+(374.7-536.1)+(-1.439016+(-0.382194--0.546822))+0-0-0</f>
        <v>1248.1256119999998</v>
      </c>
      <c r="AA311" s="3">
        <f>1406.4+(446.5-647.1)+(-1.434528+(-0.45543--0.660042))+0-0-0</f>
        <v>1204.5700840000002</v>
      </c>
      <c r="AB311" s="3">
        <f>1402.1+(419.8-670.7)+(-0.715071+(-0.214098--0.342057))+0-0-0</f>
        <v>1150.6128879999999</v>
      </c>
      <c r="AC311" s="3">
        <f>1373.5+(403.9-697.4)+(-2.80194+(-0.823956--1.422696))+0-0-0</f>
        <v>1077.7968000000001</v>
      </c>
      <c r="AD311">
        <v>1328.9</v>
      </c>
      <c r="AE311" s="3">
        <f>1415+(375.2-461.3)+(0+(0-0))+0-0-0</f>
        <v>1328.9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1347.3+(393-711.5)+(0+(0-0))+0-0-0</f>
        <v>1028.8</v>
      </c>
      <c r="G312" s="3">
        <f>1068.7+(425.4-529.9)+(-0.545037+(-0.216954--0.270249))+0-0-0</f>
        <v>963.708258</v>
      </c>
      <c r="H312" s="3">
        <f>1010.9+(428-511.5)+(0+(0-0))+0-0-0</f>
        <v>927.4</v>
      </c>
      <c r="I312" s="3">
        <f>954.7+(377-429.1)+(1.460691+(0.57681-0.656523))+0-0-0</f>
        <v>903.98097800000005</v>
      </c>
      <c r="J312" s="3">
        <f>944.9+(365.2-406.2)+(0+(0-0))+0-0-0</f>
        <v>903.9</v>
      </c>
      <c r="K312" s="3">
        <f>980.7+(354.9-417.7)+(3.000942+(1.085994-1.278162))+0-0-0</f>
        <v>920.70877400000006</v>
      </c>
      <c r="L312" s="3">
        <f>1042.9+(436-541.5)+(0.531879+(0.22236-0.276165))+0-0-0</f>
        <v>937.87807400000008</v>
      </c>
      <c r="M312" s="3">
        <f>1178.1+(433.4-643.1)+(1.201662+(0.442068-0.655962))+0-0-0</f>
        <v>969.38776799999982</v>
      </c>
      <c r="N312" s="3">
        <f>1400+(411.8-748.5)+(2.856+(0.840072-1.52694))+0-0-0</f>
        <v>1065.4691319999999</v>
      </c>
      <c r="O312" s="3">
        <f>1406.7+(412.2-709.5)+(2.869668+(0.840888-1.44738))+0-0-0</f>
        <v>1111.663176</v>
      </c>
      <c r="P312" s="3">
        <f>1426.4+(396.6-693.5)+(0.727464+(0.202266-0.353685))+0-0-0</f>
        <v>1130.076045</v>
      </c>
      <c r="Q312" s="3">
        <f>1529.6+(386.8-788.3)+(0+(0-0))+0-0-0</f>
        <v>1128.0999999999999</v>
      </c>
      <c r="R312" s="3">
        <f>1517.7+(372.7-787.9)+(-3.870135+(-0.950385--2.009145))+0-0-0</f>
        <v>1099.688625</v>
      </c>
      <c r="S312" s="3">
        <f>1525.9+(407.1-861.7)+(-1.556418+(-0.415242--0.878934))+0-0-0</f>
        <v>1070.2072740000001</v>
      </c>
      <c r="T312" s="3">
        <f>1546.9+(428.9-929.3)+(1.577838+(0.437478-0.947886))+0-0-0</f>
        <v>1047.5674300000001</v>
      </c>
      <c r="U312" s="3">
        <f>1535.4+(420.4-919.5)+(0+(0-0))+0-0-0</f>
        <v>1036.3000000000002</v>
      </c>
      <c r="V312" s="3">
        <f>1548.4+(389.1-868)+(1.579368+(0.396882-0.88536))+0-0-0</f>
        <v>1070.5908899999999</v>
      </c>
      <c r="W312" s="3">
        <f>1562.4+(279.2-618.7)+(2.390472+(0.427176-0.946611))+0-0-0</f>
        <v>1224.771037</v>
      </c>
      <c r="X312" s="3">
        <f>1564.3+(285.4-541.6)+(-0.797793+(-0.145554--0.276216))+0-0-0</f>
        <v>1307.432869</v>
      </c>
      <c r="Y312" s="3">
        <f>1561.5+(292.7-570.7)+(-1.59273+(-0.298554--0.582114))+0-0-0</f>
        <v>1282.19083</v>
      </c>
      <c r="Z312" s="3">
        <f>1567.3+(342.2-659.4)+(-1.598646+(-0.349044--0.672588))+0-0-0</f>
        <v>1248.8248979999998</v>
      </c>
      <c r="AA312" s="3">
        <f>1571.4+(407-762.7)+(-0.801414+(-0.20757--0.388977))+0-0-0</f>
        <v>1215.0799930000001</v>
      </c>
      <c r="AB312" s="3">
        <f>1546.5+(410.8-780.4)+(-6.30972+(-1.676064--3.184032))+0-0-0</f>
        <v>1172.098248</v>
      </c>
      <c r="AC312" s="3">
        <f>1548.8+(384-817.2)+(-2.369664+(-0.58752--1.250316))+0-0-0</f>
        <v>1113.8931319999999</v>
      </c>
      <c r="AD312">
        <v>1314.6999999999998</v>
      </c>
      <c r="AE312" s="3">
        <f>1566+(288.8-540.1)+(0+(0-0))+0-0-0</f>
        <v>1314.7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1494.6+(368.2-831)+(0.762246+(0.187782-0.42381))+0-0-0</f>
        <v>1032.3262179999999</v>
      </c>
      <c r="G313" s="3">
        <f>1398.7+(369.2-806.5)+(-0.713337+(-0.188292--0.411315))+0-0-0</f>
        <v>960.90968600000008</v>
      </c>
      <c r="H313" s="3">
        <f>1013+(415.3-520.7)+(0+(0-0))+0-0-0</f>
        <v>907.59999999999991</v>
      </c>
      <c r="I313" s="3">
        <f>1009.3+(373.1-491.9)+(1.029486+(0.380562-0.501738))+0-0-0</f>
        <v>891.40831000000003</v>
      </c>
      <c r="J313" s="3">
        <f>998.1+(339.8-451.7)+(-2.036124+(-0.693192--0.921468))+0-0-0</f>
        <v>884.39215200000001</v>
      </c>
      <c r="K313" s="3">
        <f>1010.2+(325.1-449)+(-1.545606+(-0.497403--0.68697))+0-0-0</f>
        <v>884.94396100000006</v>
      </c>
      <c r="L313" s="3">
        <f>1081.7+(302.8-494.3)+(-4.413336+(-1.235424--2.016744))+0-0-0</f>
        <v>886.56798400000002</v>
      </c>
      <c r="M313" s="3">
        <f>1098.7+(314.4-559.9)+(-0.560337+(-0.160344--0.285549))+0-0-0</f>
        <v>852.76486800000009</v>
      </c>
      <c r="N313" s="3">
        <f>1232.7+(375.7-727.4)+(0+(0-0))+0-0-0</f>
        <v>881</v>
      </c>
      <c r="O313" s="3">
        <f>1519.8+(415.4-988.1)+(-1.550196+(-0.423708--1.007862))+0-0-0</f>
        <v>946.13395799999989</v>
      </c>
      <c r="P313" s="3">
        <f>1560.2+(416.4-986.3)+(0+(0-0))+0-0-0</f>
        <v>990.30000000000007</v>
      </c>
      <c r="Q313" s="3">
        <f>1548+(393.8-946)+(-1.57896+(-0.401676--0.96492))+0-0-0</f>
        <v>994.78428399999996</v>
      </c>
      <c r="R313" s="3">
        <f>1535.7+(382.7-940.7)+(-3.132828+(-0.780708--1.919028))+0-0-0</f>
        <v>975.70549200000005</v>
      </c>
      <c r="S313" s="3">
        <f>1544.1+(357.9-943.4)+(-1.574982+(-0.365058--0.962268))+0-0-0</f>
        <v>957.62222799999995</v>
      </c>
      <c r="T313" s="3">
        <f>1535.5+(366.9-953.3)+(-3.13242+(-0.748476--1.944732))+0-0-0</f>
        <v>947.16383600000006</v>
      </c>
      <c r="U313" s="3">
        <f>1547.1+(358.8-956)+(-0.789021+(-0.182988--0.48756))+0-0-0</f>
        <v>949.41555099999982</v>
      </c>
      <c r="V313" s="3">
        <f>1542.7+(315.2-869.4)+(-2.360331+(-0.482256--1.330182))+0-0-0</f>
        <v>986.98759500000006</v>
      </c>
      <c r="W313" s="3">
        <f>1560.6+(277.2-701.7)+(0.795906+(0.141372-0.357867))+0-0-0</f>
        <v>1136.6794109999998</v>
      </c>
      <c r="X313" s="3">
        <f>1559.3+(288.9-624.2)+(-1.590486+(-0.294678--0.636684))+0-0-0</f>
        <v>1222.75152</v>
      </c>
      <c r="Y313" s="3">
        <f>1571.2+(315.1-670.3)+(0+(0-0))+0-0-0</f>
        <v>1216</v>
      </c>
      <c r="Z313" s="3">
        <f>1567.6+(331.2-705.7)+(-1.598952+(-0.337824--0.719814))+0-0-0</f>
        <v>1191.8830379999999</v>
      </c>
      <c r="AA313" s="3">
        <f>1533.4+(381.8-735.1)+(-1.564068+(-0.389436--0.749802))+0-0-0</f>
        <v>1178.8962980000001</v>
      </c>
      <c r="AB313" s="3">
        <f>1436.4+(413.4-725.2)+(-0.732564+(-0.210834--0.369852))+0-0-0</f>
        <v>1124.0264539999998</v>
      </c>
      <c r="AC313" s="3">
        <f>1108.5+(437.5-515.4)+(-2.26134+(-0.8925--1.051416))+0-0-0</f>
        <v>1028.497576</v>
      </c>
      <c r="AD313">
        <v>1215</v>
      </c>
      <c r="AE313" s="3">
        <f>1574+(285.2-644.2)+(0+(0-0))+0-0-0</f>
        <v>1215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879.5+(464-398.2)+(-2.242725+(-1.1832--1.01541))+0-0-0</f>
        <v>942.88948499999992</v>
      </c>
      <c r="G314" s="3">
        <f>732.8+(444.4-281.1)+(-0.747456+(-0.453288--0.286722))+0-0-0</f>
        <v>895.18597799999986</v>
      </c>
      <c r="H314" s="3">
        <f>683.5+(440.7-251.1)+(-1.39434+(-0.899028--0.512244))+0-0-0</f>
        <v>871.31887600000005</v>
      </c>
      <c r="I314" s="3">
        <f>687.1+(427.3-241.3)+(-1.051263+(-0.653769--0.369189))+0-0-0</f>
        <v>871.76415700000007</v>
      </c>
      <c r="J314" s="3">
        <f>693.1+(428.5-251.3)+(0.706962+(0.43707-0.256326))+0-0-0</f>
        <v>871.18770599999993</v>
      </c>
      <c r="K314" s="3">
        <f>685.6+(411.9-201.4)+(-0.699312+(-0.420138--0.205428))+0-0-0</f>
        <v>895.18597799999998</v>
      </c>
      <c r="L314" s="3">
        <f>752.7+(469.7-284.3)+(0.383877+(0.239547-0.144993))+0-0-0</f>
        <v>938.57843100000002</v>
      </c>
      <c r="M314" s="3">
        <f>901.8+(480.2-400.7)+(0.459918+(0.244902-0.204357))+0-0-0</f>
        <v>981.80046299999992</v>
      </c>
      <c r="N314" s="3">
        <f>1097.8+(465-488.8)+(1.119756+(0.4743-0.498576))+0-0-0</f>
        <v>1075.09548</v>
      </c>
      <c r="O314" s="3">
        <f>1238.7+(399.3-493.9)+(-0.631737+(-0.203643--0.251889))+0-0-0</f>
        <v>1143.516509</v>
      </c>
      <c r="P314" s="3">
        <f>1238.2+(381.2-447.6)+(-1.262964+(-0.388824--0.456552))+0-0-0</f>
        <v>1170.6047639999999</v>
      </c>
      <c r="Q314" s="3">
        <f>1237.4+(402-454.9)+(-1.262148+(-0.41004--0.463998))+0-0-0</f>
        <v>1183.2918099999999</v>
      </c>
      <c r="R314" s="3">
        <f>1215.3+(442.8-487.8)+(-3.718818+(-1.354968--1.492668))+0-0-0</f>
        <v>1166.7188819999999</v>
      </c>
      <c r="S314" s="3">
        <f>1228+(452.2-552)+(-1.87884+(-0.691866--0.84456))+0-0-0</f>
        <v>1126.4738540000001</v>
      </c>
      <c r="T314" s="3">
        <f>1190+(462.1-556.1)+(-0.6069+(-0.235671--0.283611))+0-0-0</f>
        <v>1095.4410399999999</v>
      </c>
      <c r="U314" s="3">
        <f>1133.4+(490.9-512.9)+(-1.734102+(-0.751077--0.784737))+0-0-0</f>
        <v>1109.699558</v>
      </c>
      <c r="V314" s="3">
        <f>1260.2+(437.7-516.2)+(0.642702+(0.223227-0.263262))+0-0-0</f>
        <v>1182.3026670000002</v>
      </c>
      <c r="W314" s="3">
        <f>1342.3+(363.4-378)+(-0.684573+(-0.185334--0.19278))+0-0-0</f>
        <v>1327.0228729999999</v>
      </c>
      <c r="X314" s="3">
        <f>1387.2+(350-349.9)+(1.414944+(0.357-0.356898))+0-0-0</f>
        <v>1388.7150460000003</v>
      </c>
      <c r="Y314" s="3">
        <f>1357.4+(346.1-349.7)+(-3.46137+(-0.882555--0.891735))+0-0-0</f>
        <v>1350.3478100000002</v>
      </c>
      <c r="Z314" s="3">
        <f>1230.5+(396.2-325.8)+(-1.882665+(-0.606186--0.498474))+0-0-0</f>
        <v>1298.909623</v>
      </c>
      <c r="AA314" s="3">
        <f>1150.5+(425.4-325.2)+(-4.107285+(-1.518678--1.160964))+0-0-0</f>
        <v>1246.235001</v>
      </c>
      <c r="AB314" s="3">
        <f>1209.4+(417.5-418.5)+(-2.467176+(-0.8517--0.85374))+0-0-0</f>
        <v>1205.9348640000001</v>
      </c>
      <c r="AC314" s="3">
        <f>1091.7+(420.1-405.6)+(-2.783835+(-1.071255--1.03428))+0-0-0</f>
        <v>1103.3791900000001</v>
      </c>
      <c r="AD314">
        <v>1385.9</v>
      </c>
      <c r="AE314" s="3">
        <f>1400+(341.3-355.4)+(0+(0-0))+0-0-0</f>
        <v>1385.9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938.6+(411.4-320.9)+(0+(0-0))+0-0-0</f>
        <v>1029.0999999999999</v>
      </c>
      <c r="G315" s="3">
        <f>779.4+(426.7-236.4)+(-1.98747+(-1.088085--0.60282))+0-0-0</f>
        <v>967.22726499999999</v>
      </c>
      <c r="H315" s="3">
        <f>780+(399.3-257.6)+(-1.1934+(-0.610929--0.394128))+0-0-0</f>
        <v>920.28979900000002</v>
      </c>
      <c r="I315" s="3">
        <f>782.7+(401.8-255.8)+(-1.596708+(-0.819672--0.521832))+0-0-0</f>
        <v>926.80545200000006</v>
      </c>
      <c r="J315" s="3">
        <f>796.8+(432.6-311)+(1.219104+(0.661878-0.47583))+0-0-0</f>
        <v>919.80515200000002</v>
      </c>
      <c r="K315" s="3">
        <f>823.4+(430.8-321.1)+(-0.419934+(-0.219708--0.163761))+0-0-0</f>
        <v>932.62411899999995</v>
      </c>
      <c r="L315" s="3">
        <f>977.7+(426-450.9)+(0+(0-0))+0-0-0</f>
        <v>952.80000000000007</v>
      </c>
      <c r="M315" s="3">
        <f>1307.3+(400-621)+(0.666723+(0.204-0.31671))+0-0-0</f>
        <v>1086.8540129999999</v>
      </c>
      <c r="N315" s="3">
        <f>1455.5+(430.7-753.9)+(-2.226915+(-0.658971--1.153467))+0-0-0</f>
        <v>1130.567581</v>
      </c>
      <c r="O315" s="3">
        <f>1445.8+(413.6-665.8)+(-0.737358+(-0.210936--0.339558))+0-0-0</f>
        <v>1192.991264</v>
      </c>
      <c r="P315" s="3">
        <f>1356.9+(431.1-608.8)+(-2.768076+(-0.879444--1.241952))+0-0-0</f>
        <v>1176.7944320000004</v>
      </c>
      <c r="Q315" s="3">
        <f>1439.9+(422.2-627.5)+(-2.203047+(-0.645966--0.960075))+0-0-0</f>
        <v>1232.7110620000001</v>
      </c>
      <c r="R315" s="3">
        <f>1421.2+(399.6-615.2)+(-5.073684+(-1.426572--2.196264))+0-0-0</f>
        <v>1201.2960079999998</v>
      </c>
      <c r="S315" s="3">
        <f>1438.2+(361.1-627.5)+(-2.200446+(-0.552483--0.960075))+0-0-0</f>
        <v>1170.0071460000001</v>
      </c>
      <c r="T315" s="3">
        <f>1432.5+(344.1-627)+(-0.730575+(-0.175491--0.31977))+0-0-0</f>
        <v>1149.013704</v>
      </c>
      <c r="U315" s="3">
        <f>1450.3+(330.9-628.9)+(0.739653+(0.168759-0.320739))+0-0-0</f>
        <v>1152.8876729999999</v>
      </c>
      <c r="V315" s="3">
        <f>1431+(345.4-586.1)+(-1.45962+(-0.352308--0.597822))+0-0-0</f>
        <v>1189.0858940000001</v>
      </c>
      <c r="W315" s="3">
        <f>1455.9+(341-475.9)+(0+(0-0))+0-0-0</f>
        <v>1321</v>
      </c>
      <c r="X315" s="3">
        <f>1457.9+(380.3-458.5)+(-0.743529+(-0.193953--0.233835))+0-0-0</f>
        <v>1378.996353</v>
      </c>
      <c r="Y315" s="3">
        <f>1356+(399-407.1)+(-2.07468+(-0.61047--0.622863))+0-0-0</f>
        <v>1345.8377130000001</v>
      </c>
      <c r="Z315" s="3">
        <f>1328.8+(420.2-449.7)+(-3.38844+(-1.07151--1.146735))+0-0-0</f>
        <v>1295.9867850000001</v>
      </c>
      <c r="AA315" s="3">
        <f>1331.2+(462.7-543.7)+(-2.715648+(-0.943908--1.109148))+0-0-0</f>
        <v>1247.649592</v>
      </c>
      <c r="AB315" s="3">
        <f>1345.7+(422.9-578.7)+(-3.431535+(-1.078395--1.475685))+0-0-0</f>
        <v>1186.865755</v>
      </c>
      <c r="AC315" s="3">
        <f>1323.1+(437.1-662.4)+(-2.699124+(-0.891684--1.351296))+0-0-0</f>
        <v>1095.5604879999999</v>
      </c>
      <c r="AD315">
        <v>1375.3000000000002</v>
      </c>
      <c r="AE315" s="3">
        <f>1483+(361.4-469.1)+(0+(0-0))+0-0-0</f>
        <v>1375.3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959.9+(421.1-370.9)+(-1.958196+(-0.859044--0.756636))+0-0-0</f>
        <v>1008.039396</v>
      </c>
      <c r="G316" s="3">
        <f>1037+(420.7-504.9)+(-2.64435+(-1.072785--1.287495))+0-0-0</f>
        <v>950.37036000000001</v>
      </c>
      <c r="H316" s="3">
        <f>1182.1+(389.9-641)+(-1.808613+(-0.596547--0.98073))+0-0-0</f>
        <v>929.57556999999986</v>
      </c>
      <c r="I316" s="3">
        <f>1220.1+(386.3-694)+(-0.622251+(-0.197013--0.35394))+0-0-0</f>
        <v>911.93467599999985</v>
      </c>
      <c r="J316" s="3">
        <f>1136.5+(383.8-608.4)+(-2.31846+(-0.782952--1.241136))+0-0-0</f>
        <v>910.03972400000009</v>
      </c>
      <c r="K316" s="3">
        <f>1183.3+(357.2-610.7)+(0+(0-0))+0-0-0</f>
        <v>929.8</v>
      </c>
      <c r="L316" s="3">
        <f>1280.3+(357.9-656.7)+(-1.305906+(-0.365058--0.669834))+0-0-0</f>
        <v>980.4988699999999</v>
      </c>
      <c r="M316" s="3">
        <f>1495.8+(367.5-852.8)+(2.288574+(0.562275-1.304784))+0-0-0</f>
        <v>1012.046065</v>
      </c>
      <c r="N316" s="3">
        <f>1738.2+(387.8-1028.1)+(0+(0-0))+0-0-0</f>
        <v>1097.9000000000001</v>
      </c>
      <c r="O316" s="3">
        <f>1832.3+(345.3-1034.2)+(0+(0-0))+0-0-0</f>
        <v>1143.3999999999999</v>
      </c>
      <c r="P316" s="3">
        <f>1834.6+(319.3-996.2)+(-2.806938+(-0.488529--1.524186))+0-0-0</f>
        <v>1155.9287189999998</v>
      </c>
      <c r="Q316" s="3">
        <f>1931.1+(327.1-1097.5)+(-1.969722+(-0.333642--1.11945))+0-0-0</f>
        <v>1159.5160859999999</v>
      </c>
      <c r="R316" s="3">
        <f>1840.5+(345-1050.6)+(-3.75462+(-0.7038--2.143224))+0-0-0</f>
        <v>1132.5848040000001</v>
      </c>
      <c r="S316" s="3">
        <f>1834.1+(395.3-1118.1)+(-4.676955+(-1.008015--2.851155))+0-0-0</f>
        <v>1108.466185</v>
      </c>
      <c r="T316" s="3">
        <f>1876.9+(387.5-1158.7)+(1.914438+(0.39525-1.181874))+0-0-0</f>
        <v>1106.827814</v>
      </c>
      <c r="U316" s="3">
        <f>1866.8+(386-1147.6)+(0+(0-0))+0-0-0</f>
        <v>1105.2</v>
      </c>
      <c r="V316" s="3">
        <f>1851.1+(349.3-1067.6)+(-1.888122+(-0.356286--1.088952))+0-0-0</f>
        <v>1131.644544</v>
      </c>
      <c r="W316" s="3">
        <f>1880+(248.9-840.4)+(1.9176+(0.253878-0.857208))+0-0-0</f>
        <v>1289.8142700000001</v>
      </c>
      <c r="X316" s="3">
        <f>1851.4+(247.8-714.9)+(-3.776856+(-0.505512--1.458396))+0-0-0</f>
        <v>1381.4760280000003</v>
      </c>
      <c r="Y316" s="3">
        <f>1847.5+(262.9-749.1)+(-3.7689+(-0.536316--1.528164))+0-0-0</f>
        <v>1358.522948</v>
      </c>
      <c r="Z316" s="3">
        <f>1822.3+(291.5-792.6)+(-1.858746+(-0.29733--0.808452))+0-0-0</f>
        <v>1319.8523759999998</v>
      </c>
      <c r="AA316" s="3">
        <f>1740.1+(347.1-819.7)+(-1.774902+(-0.354042--0.836094))+0-0-0</f>
        <v>1266.20715</v>
      </c>
      <c r="AB316" s="3">
        <f>1661.8+(325.7-785.8)+(-2.542554+(-0.498321--1.202274))+0-0-0</f>
        <v>1199.8613990000001</v>
      </c>
      <c r="AC316" s="3">
        <f>1553.4+(278.9-705.7)+(-3.96117+(-0.711195--1.799535))+0-0-0</f>
        <v>1123.7271699999999</v>
      </c>
      <c r="AD316">
        <v>1387.8</v>
      </c>
      <c r="AE316" s="3">
        <f>1859+(243.5-714.7)+(0+(0-0))+0-0-0</f>
        <v>1387.8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1381.5+(277.3-647.8)+(-2.81826+(-0.565692--1.321512))+0-0-0</f>
        <v>1008.93756</v>
      </c>
      <c r="G317" s="3">
        <f>1360.7+(285-683.4)+(-2.081871+(-0.43605--1.045602))+0-0-0</f>
        <v>960.8276810000001</v>
      </c>
      <c r="H317" s="3">
        <f>1243.2+(269.6-584.2)+(-3.17016+(-0.68748--1.48971))+0-0-0</f>
        <v>926.23207000000002</v>
      </c>
      <c r="I317" s="3">
        <f>1248.1+(275.2-607.4)+(-0.636531+(-0.140352--0.309774))+0-0-0</f>
        <v>915.43289099999981</v>
      </c>
      <c r="J317" s="3">
        <f>1256.5+(268.7-613.5)+(0+(0-0))+0-0-0</f>
        <v>911.7</v>
      </c>
      <c r="K317" s="3">
        <f>1311.3+(282.5-669.7)+(-0.668763+(-0.144075--0.341547))+0-0-0</f>
        <v>923.62870899999996</v>
      </c>
      <c r="L317" s="3">
        <f>1481.4+(398.4-910.6)+(-1.511028+(-0.406368--0.928812))+0-0-0</f>
        <v>968.2114160000001</v>
      </c>
      <c r="M317" s="3">
        <f>1610.6+(403.3-1015.4)+(1.642812+(0.411366-1.035708))+0-0-0</f>
        <v>999.51846999999998</v>
      </c>
      <c r="N317" s="3">
        <f>1828.6+(399.1-1148.8)+(1.865172+(0.407082-1.171776))+0-0-0</f>
        <v>1080.0004780000002</v>
      </c>
      <c r="O317" s="3">
        <f>1874.7+(383-1117.9)+(1.912194+(0.39066-1.140258))+0-0-0</f>
        <v>1140.9625959999998</v>
      </c>
      <c r="P317" s="3">
        <f>1863.7+(378.3-1094.7)+(0+(0-0))+0-0-0</f>
        <v>1147.3</v>
      </c>
      <c r="Q317" s="3">
        <f>1865.2+(401.5-1101.5)+(0.951252+(0.204765-0.561765))+0-0-0</f>
        <v>1165.7942520000001</v>
      </c>
      <c r="R317" s="3">
        <f>1844.8+(409.5-1128)+(-2.822544+(-0.626535--1.72584))+0-0-0</f>
        <v>1124.576761</v>
      </c>
      <c r="S317" s="3">
        <f>1847.1+(436.8-1143.1)+(-1.884042+(-0.445536--1.165962))+0-0-0</f>
        <v>1139.6363839999999</v>
      </c>
      <c r="T317" s="3">
        <f>1867.6+(434.3-1186.6)+(0.952476+(0.221493-0.605166))+0-0-0</f>
        <v>1115.8688029999998</v>
      </c>
      <c r="U317" s="3">
        <f>1883.8+(450-1208.6)+(-4.80369+(-1.1475--3.08193))+0-0-0</f>
        <v>1122.3307400000001</v>
      </c>
      <c r="V317" s="3">
        <f>1853.5+(409.1-1116.9)+(0+(0-0))+0-0-0</f>
        <v>1145.6999999999998</v>
      </c>
      <c r="W317" s="3">
        <f>1848.1+(294.8-863.9)+(-1.885062+(-0.300696--0.881178))+0-0-0</f>
        <v>1277.69542</v>
      </c>
      <c r="X317" s="3">
        <f>1862.2+(368.3-857.9)+(-0.949722+(-0.187833--0.437529))+0-0-0</f>
        <v>1371.8999740000002</v>
      </c>
      <c r="Y317" s="3">
        <f>1862.8+(362.7-865.9)+(-2.850084+(-0.554931--1.324827))+0-0-0</f>
        <v>1357.519812</v>
      </c>
      <c r="Z317" s="3">
        <f>1821+(416.5-924.6)+(-3.71484+(-0.84966--1.886184))+0-0-0</f>
        <v>1310.2216840000001</v>
      </c>
      <c r="AA317" s="3">
        <f>1665+(487.1-890.1)+(-3.3966+(-0.993684--1.815804))+0-0-0</f>
        <v>1259.42552</v>
      </c>
      <c r="AB317" s="3">
        <f>1484.6+(483.7-782.3)+(-2.271438+(-0.740061--1.196919))+0-0-0</f>
        <v>1184.18542</v>
      </c>
      <c r="AC317" s="3">
        <f>1371.5+(417.9-660.6)+(-2.098395+(-0.639387--1.010718))+0-0-0</f>
        <v>1127.072936</v>
      </c>
      <c r="AD317">
        <v>1368.2</v>
      </c>
      <c r="AE317" s="3">
        <f>1881+(353.9-866.7)+(0+(0-0))+0-0-0</f>
        <v>1368.1999999999998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1311.3+(348.1-641.8)+(0+(0-0))+0-0-0</f>
        <v>1017.6</v>
      </c>
      <c r="G318" s="3">
        <f>1155.5+(311-553.4)+(0+(0-0))+0-0-0</f>
        <v>913.1</v>
      </c>
      <c r="H318" s="3">
        <f>1112.5+(340.9-536.7)+(0.567375+(0.173859-0.273717))+0-0-0</f>
        <v>917.16751699999998</v>
      </c>
      <c r="I318" s="3">
        <f>1104.4+(371-577.3)+(0+(0-0))+0-0-0</f>
        <v>898.10000000000014</v>
      </c>
      <c r="J318" s="3">
        <f>1105.7+(346.8-578.8)+(0+(0-0))+0-0-0</f>
        <v>873.7</v>
      </c>
      <c r="K318" s="3">
        <f>1108.6+(342-564.4)+(1.130772+(0.34884-0.575688))+0-0-0</f>
        <v>887.10392399999989</v>
      </c>
      <c r="L318" s="3">
        <f>1210.7+(379.4-631.2)+(-1.234914+(-0.386988--0.643824))+0-0-0</f>
        <v>957.921922</v>
      </c>
      <c r="M318" s="3">
        <f>1408.3+(319.3-728.9)+(0+(0-0))+0-0-0</f>
        <v>998.7</v>
      </c>
      <c r="N318" s="3">
        <f>1612.6+(315.4-851.5)+(2.467278+(0.482562-1.302795))+0-0-0</f>
        <v>1078.1470449999999</v>
      </c>
      <c r="O318" s="3">
        <f>1622.4+(324.8-827.2)+(-0.827424+(-0.165648--0.421872))+0-0-0</f>
        <v>1119.4287999999999</v>
      </c>
      <c r="P318" s="3">
        <f>1633.1+(371.3-874.6)+(1.665762+(0.378726-0.892092))+0-0-0</f>
        <v>1130.9523959999999</v>
      </c>
      <c r="Q318" s="3">
        <f>1604.5+(328.5-804.7)+(-3.27318+(-0.67014--1.641588))+0-0-0</f>
        <v>1125.9982680000001</v>
      </c>
      <c r="R318" s="3">
        <f>1596.9+(384.8-845.1)+(-3.257676+(-0.784992--1.724004))+0-0-0</f>
        <v>1134.2813360000002</v>
      </c>
      <c r="S318" s="3">
        <f>1607.4+(370-877.8)+(-1.639548+(-0.3774--0.895356))+0-0-0</f>
        <v>1098.4784080000002</v>
      </c>
      <c r="T318" s="3">
        <f>1609.8+(367.3-882.2)+(-1.641996+(-0.374646--0.899844))+0-0-0</f>
        <v>1093.7832019999998</v>
      </c>
      <c r="U318" s="3">
        <f>1620.6+(369.1-882.7)+(0+(0-0))+0-0-0</f>
        <v>1107</v>
      </c>
      <c r="V318" s="3">
        <f>1609.2+(386.5-849.3)+(-1.641384+(-0.39423--0.866286))+0-0-0</f>
        <v>1145.2306720000001</v>
      </c>
      <c r="W318" s="3">
        <f>1663+(314.5-682.7)+(0+(0-0))+0-0-0</f>
        <v>1294.8</v>
      </c>
      <c r="X318" s="3">
        <f>1668.6+(333.9-628.2)+(-2.552958+(-0.510867--0.961146))+0-0-0</f>
        <v>1372.1973209999996</v>
      </c>
      <c r="Y318" s="3">
        <f>1676.6+(328.8-656.6)+(-0.855066+(-0.167688--0.334866))+0-0-0</f>
        <v>1348.112112</v>
      </c>
      <c r="Z318" s="3">
        <f>1677.3+(310.6-674.6)+(-1.710846+(-0.316812--0.688092))+0-0-0</f>
        <v>1311.9604339999999</v>
      </c>
      <c r="AA318" s="3">
        <f>1673.8+(345.2-740.6)+(-1.707276+(-0.352104--0.755412))+0-0-0</f>
        <v>1277.0960319999999</v>
      </c>
      <c r="AB318" s="3">
        <f>1668.7+(334-789.2)+(-1.702074+(-0.34068--0.804984))+0-0-0</f>
        <v>1212.26223</v>
      </c>
      <c r="AC318" s="3">
        <f>1561.9+(296.3-728.8)+(-2.389707+(-0.453339--1.115064))+0-0-0</f>
        <v>1127.672018</v>
      </c>
      <c r="AD318">
        <v>1383.5</v>
      </c>
      <c r="AE318" s="3">
        <f>1672+(372.7-661.2)+(0+(0-0))+0-0-0</f>
        <v>1383.5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1287.1+(275.7-520.5)+(-2.625684+(-0.562428--1.06182))+0-0-0</f>
        <v>1040.173708</v>
      </c>
      <c r="G319" s="3">
        <f>1029.9+(335.3-380.7)+(-2.626245+(-0.855015--0.970785))+0-0-0</f>
        <v>981.98952500000007</v>
      </c>
      <c r="H319" s="3">
        <f>923.7+(369.9-341.3)+(-0.471087+(-0.188649--0.174063))+0-0-0</f>
        <v>951.81432699999993</v>
      </c>
      <c r="I319" s="3">
        <f>929.4+(392.5-380.3)+(0+(0-0))+0-0-0</f>
        <v>941.59999999999991</v>
      </c>
      <c r="J319" s="3">
        <f>938.6+(386.7-390.9)+(0+(0-0))+0-0-0</f>
        <v>934.40000000000009</v>
      </c>
      <c r="K319" s="3">
        <f>939.7+(409-407.5)+(-0.479247+(-0.20859--0.207825))+0-0-0</f>
        <v>940.71998800000006</v>
      </c>
      <c r="L319" s="3">
        <f>1137.3+(423.5-585.4)+(-1.160046+(-0.43197--0.597108))+0-0-0</f>
        <v>974.40509199999997</v>
      </c>
      <c r="M319" s="3">
        <f>1342.2+(369.5-660.8)+(-1.369044+(-0.37689--0.674016))+0-0-0</f>
        <v>1049.828082</v>
      </c>
      <c r="N319" s="3">
        <f>1513.6+(373.8-763.6)+(0+(0-0))+0-0-0</f>
        <v>1123.8</v>
      </c>
      <c r="O319" s="3">
        <f>1648.8+(364.4-805.2)+(0+(0-0))+0-0-0</f>
        <v>1208</v>
      </c>
      <c r="P319" s="3">
        <f>1654.5+(292-756.2)+(0.843795+(0.14892-0.385662))+0-0-0</f>
        <v>1190.9070529999999</v>
      </c>
      <c r="Q319" s="3">
        <f>1607+(267.3-753.9)+(-4.09785+(-0.681615--1.922445))+0-0-0</f>
        <v>1117.5429800000002</v>
      </c>
      <c r="R319" s="3">
        <f>1608.5+(252.6-800.9)+(-4.101675+(-0.64413--2.042295))+0-0-0</f>
        <v>1057.49649</v>
      </c>
      <c r="S319" s="3">
        <f>1614.5+(281.6-845.7)+(-3.29358+(-0.574464--1.725228))+0-0-0</f>
        <v>1048.2571840000001</v>
      </c>
      <c r="T319" s="3">
        <f>1626.3+(277.5-862)+(-1.658826+(-0.28305--0.87924))+0-0-0</f>
        <v>1040.7373639999998</v>
      </c>
      <c r="U319" s="3">
        <f>1617.7+(289.7-833.2)+(-2.475081+(-0.443241--1.274796))+0-0-0</f>
        <v>1072.556474</v>
      </c>
      <c r="V319" s="3">
        <f>1639.7+(269.4-798.8)+(0.836247+(0.137394-0.407388))+0-0-0</f>
        <v>1110.8662530000001</v>
      </c>
      <c r="W319" s="3">
        <f>1621.1+(305.5-687.4)+(0.826761+(0.155805-0.350574))+0-0-0</f>
        <v>1239.8319919999999</v>
      </c>
      <c r="X319" s="3">
        <f>1633.3+(325.2-651.4)+(-1.665966+(-0.331704--0.664428))+0-0-0</f>
        <v>1305.766758</v>
      </c>
      <c r="Y319" s="3">
        <f>1611.8+(381.3-709.1)+(-2.466054+(-0.583389--1.084923))+0-0-0</f>
        <v>1282.03548</v>
      </c>
      <c r="Z319" s="3">
        <f>1552.2+(420.5-737.8)+(0+(0-0))+0-0-0</f>
        <v>1234.9000000000001</v>
      </c>
      <c r="AA319" s="3">
        <f>1547+(436.3-788.2)+(-0.78897+(-0.222513--0.401982))+0-0-0</f>
        <v>1194.490499</v>
      </c>
      <c r="AB319" s="3">
        <f>1551.2+(446.6-848.2)+(0.791112+(0.227766-0.432582))+0-0-0</f>
        <v>1150.1862959999999</v>
      </c>
      <c r="AC319" s="3">
        <f>1506.5+(433.2-848.5)+(-3.841575+(-1.10466--2.163675))+0-0-0</f>
        <v>1088.4174399999999</v>
      </c>
      <c r="AD319">
        <v>1299.9000000000001</v>
      </c>
      <c r="AE319" s="3">
        <f>1633+(320.3-653.4)+(0+(0-0))+0-0-0</f>
        <v>1299.9000000000001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1538.2+(395.7-909.3)+(0+(0-0))+0-0-0</f>
        <v>1024.6000000000001</v>
      </c>
      <c r="G320" s="3">
        <f>1308.5+(386-740.6)+(1.33467+(0.39372-0.755412))+0-0-0</f>
        <v>954.87297799999999</v>
      </c>
      <c r="H320" s="3">
        <f>1211.5+(396.9-703.2)+(-0.617865+(-0.202419--0.358632))+0-0-0</f>
        <v>904.73834799999997</v>
      </c>
      <c r="I320" s="3">
        <f>1069.5+(416.9-602)+(-1.09089+(-0.425238--0.61404))+0-0-0</f>
        <v>883.49791199999993</v>
      </c>
      <c r="J320" s="3">
        <f>967.1+(390.8-482.7)+(0.986442+(0.398616-0.492354))+0-0-0</f>
        <v>876.09270400000003</v>
      </c>
      <c r="K320" s="3">
        <f>964.2+(373.3-460.1)+(0.491742+(0.190383-0.234651))+0-0-0</f>
        <v>877.84747400000015</v>
      </c>
      <c r="L320" s="3">
        <f>1045.7+(329.9-505.1)+(-4.266456+(-1.345992--2.060808))+0-0-0</f>
        <v>866.94835999999998</v>
      </c>
      <c r="M320" s="3">
        <f>1082.3+(337-567.7)+(0+(0-0))+0-0-0</f>
        <v>851.59999999999991</v>
      </c>
      <c r="N320" s="3">
        <f>1085.3+(312.9-520.3)+(-0.553503+(-0.159579--0.265353))+0-0-0</f>
        <v>877.452271</v>
      </c>
      <c r="O320" s="3">
        <f>1098.9+(392.7-538)+(0.560439+(0.200277-0.27438))+0-0-0</f>
        <v>954.08633600000019</v>
      </c>
      <c r="P320" s="3">
        <f>1195.2+(414.6-598.6)+(0+(0-0))+0-0-0</f>
        <v>1011.2</v>
      </c>
      <c r="Q320" s="3">
        <f>1188.4+(370.1-538.7)+(0+(0-0))+0-0-0</f>
        <v>1019.8000000000001</v>
      </c>
      <c r="R320" s="3">
        <f>1177.3+(422.5-572.7)+(-1.200846+(-0.43095--0.584154))+0-0-0</f>
        <v>1026.0523579999999</v>
      </c>
      <c r="S320" s="3">
        <f>523.8+(546.7-81.5)+(-0.534276+(-0.557634--0.08313))+1.4-0-0</f>
        <v>989.39121999999998</v>
      </c>
      <c r="T320" s="3">
        <f>22.4+(910.6-0)+(-0.045696+(-1.857624-0))+0-0-0</f>
        <v>931.09667999999999</v>
      </c>
      <c r="U320" s="3">
        <f>58.7+(868.8-0)+(-0.029937+(-0.443088-0))+0-0-0</f>
        <v>927.02697499999999</v>
      </c>
      <c r="V320" s="3">
        <f>89.7+(866.1-0)+(0.091494+(0.883422-0))+0-0-0</f>
        <v>956.77491600000008</v>
      </c>
      <c r="W320" s="3">
        <f>162.7+(897-0)+(0+(0-0))+0-0-0</f>
        <v>1059.7</v>
      </c>
      <c r="X320" s="3">
        <f>293+(898.9-22.6)+(-0.14943+(-0.458439--0.011526))+0-0-0</f>
        <v>1168.703657</v>
      </c>
      <c r="Y320" s="3">
        <f>583.3+(630.1-46.3)+(-0.297483+(-0.321351--0.023613))+0-0-0</f>
        <v>1166.5047789999999</v>
      </c>
      <c r="Z320" s="3">
        <f>741.8+(516.5-96.7)+(0+(0-0))+0-0-0</f>
        <v>1161.5999999999999</v>
      </c>
      <c r="AA320" s="3">
        <f>1095.2+(463.1-390.7)+(-1.117104+(-0.472362--0.398514))+0-0-0</f>
        <v>1166.4090480000002</v>
      </c>
      <c r="AB320" s="3">
        <f>1238+(467.4-592.5)+(-0.63138+(-0.238374--0.302175))+0-0-0</f>
        <v>1112.3324210000001</v>
      </c>
      <c r="AC320" s="3">
        <f>1156+(361.8-557.8)+(-0.58956+(-0.184518--0.284478))+0-0-0</f>
        <v>959.5104</v>
      </c>
      <c r="AD320">
        <v>1194.3</v>
      </c>
      <c r="AE320" s="3">
        <f>482+(749.3-37)+(0+(0-0))+0-0-0</f>
        <v>1194.3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797.6+(480.4-304.7)+(-1.220328+(-0.735012--0.466191))+0-0-0</f>
        <v>971.81085099999996</v>
      </c>
      <c r="G321" s="3">
        <f>702.6+(439.2-240.1)+(1.074978+(0.671976-0.367353))+0-0-0</f>
        <v>903.07960100000003</v>
      </c>
      <c r="H321" s="3">
        <f>696+(448-277.3)+(-1.06488+(-0.68544--0.424269))+0-0-0</f>
        <v>865.37394900000004</v>
      </c>
      <c r="I321" s="3">
        <f>717.9+(448.7-299)+(1.464516+(0.915348-0.60996))+0-0-0</f>
        <v>869.36990399999991</v>
      </c>
      <c r="J321" s="3">
        <f>699+(445.6-276)+(-0.35649+(-0.227256--0.14076))+0-0-0</f>
        <v>868.157014</v>
      </c>
      <c r="K321" s="3">
        <f>886.8+(379.4-397.8)+(-1.356804+(-0.580482--0.608634))+0-0-0</f>
        <v>867.07134799999983</v>
      </c>
      <c r="L321" s="3">
        <f>1100.9+(374.1-541.9)+(-0.561459+(-0.190791--0.276369))+0-0-0</f>
        <v>932.62411900000018</v>
      </c>
      <c r="M321" s="3">
        <f>1235.9+(369.7-620.2)+(-0.630309+(-0.188547--0.316302))+0-0-0</f>
        <v>984.89744600000006</v>
      </c>
      <c r="N321" s="3">
        <f>1291+(321.8-555.8)+(0+(0-0))+0-0-0</f>
        <v>1057</v>
      </c>
      <c r="O321" s="3">
        <f>1451.3+(279.9-606.1)+(1.480326+(0.285498-0.618222))+0-0-0</f>
        <v>1126.2476019999999</v>
      </c>
      <c r="P321" s="3">
        <f>1621+(240.6-671.4)+(0+(0-0))+0-0-0</f>
        <v>1190.2</v>
      </c>
      <c r="Q321" s="3">
        <f>1653+(213.1-637.2)+(0+(0-0))+0-0-0</f>
        <v>1228.9000000000001</v>
      </c>
      <c r="R321" s="3">
        <f>1661.2+(294.5-738.9)+(0+(0-0))+0-0-0</f>
        <v>1216.8000000000002</v>
      </c>
      <c r="S321" s="3">
        <f>1638.5+(323.4-778)+(-1.67127+(-0.329868--0.79356))+0-0-0</f>
        <v>1182.6924220000001</v>
      </c>
      <c r="T321" s="3">
        <f>1651.5+(356.3-849.6)+(-1.68453+(-0.363426--0.866592))+0-0-0</f>
        <v>1157.018636</v>
      </c>
      <c r="U321" s="3">
        <f>1662.7+(340.6-839.2)+(0.847977+(0.173706-0.427992))+0-0-0</f>
        <v>1164.6936909999999</v>
      </c>
      <c r="V321" s="3">
        <f>1653.7+(238.4-692.7)+(-0.843387+(-0.121584--0.353277))+0-0-0</f>
        <v>1198.7883060000001</v>
      </c>
      <c r="W321" s="3">
        <f>1655.6+(126-483.3)+(0+(0-0))+0-0-0</f>
        <v>1298.3</v>
      </c>
      <c r="X321" s="3">
        <f>1648.2+(185.8-467.4)+(-2.521746+(-0.284274--0.715122))+0-0-0</f>
        <v>1364.5091020000002</v>
      </c>
      <c r="Y321" s="3">
        <f>1648.4+(152.1-457.5)+(-1.681368+(-0.155142--0.46665))+0-0-0</f>
        <v>1341.63014</v>
      </c>
      <c r="Z321" s="3">
        <f>1642.1+(121.2-455.5)+(-3.349884+(-0.247248--0.92922))+0-0-0</f>
        <v>1305.1320880000001</v>
      </c>
      <c r="AA321" s="3">
        <f>1548.3+(150.1-458.3)+(0.789633+(0.076551-0.233733))+0-0-0</f>
        <v>1240.7324509999999</v>
      </c>
      <c r="AB321" s="3">
        <f>1546.2+(201.7-556.2)+(0.788562+(0.102867-0.283662))+0-0-0</f>
        <v>1192.307767</v>
      </c>
      <c r="AC321" s="3">
        <f>1514.5+(224.8-639.8)+(-2.317185+(-0.343944--0.978894))+0-0-0</f>
        <v>1097.817765</v>
      </c>
      <c r="AD321">
        <v>1366.1000000000001</v>
      </c>
      <c r="AE321" s="3">
        <f>1674+(170.4-478.3)+(0+(0-0))+0-0-0</f>
        <v>1366.1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1436.5+(306-718.3)+(-1.46523+(-0.31212--0.732666))+0-0-0</f>
        <v>1023.1553160000001</v>
      </c>
      <c r="G322" s="3">
        <f>1327.7+(315.2-680.9)+(-2.031381+(-0.482256--1.041777))+0-0-0</f>
        <v>960.52814000000001</v>
      </c>
      <c r="H322" s="3">
        <f>1340.6+(309.7-720.2)+(0+(0-0))+0-0-0</f>
        <v>930.09999999999991</v>
      </c>
      <c r="I322" s="3">
        <f>1341.1+(276.7-700.3)+(0+(0-0))+0-0-0</f>
        <v>917.5</v>
      </c>
      <c r="J322" s="3">
        <f>1337.4+(251.4-667.9)+(-0.682074+(-0.128214--0.340629))+0-0-0</f>
        <v>920.43034100000011</v>
      </c>
      <c r="K322" s="3">
        <f>1356.1+(174.5-610)+(0.691611+(0.088995-0.3111))+0-0-0</f>
        <v>921.06950599999993</v>
      </c>
      <c r="L322" s="3">
        <f>1489.2+(145.3-667.6)+(0+(0-0))+0-0-0</f>
        <v>966.90000000000009</v>
      </c>
      <c r="M322" s="3">
        <f>1579.1+(270.4-847.7)+(-1.610682+(-0.275808--0.864654))+0-0-0</f>
        <v>1000.7781639999998</v>
      </c>
      <c r="N322" s="3">
        <f>1653+(237.3-832.1)+(1.68606+(0.242046-0.848742))+0-0-0</f>
        <v>1059.279364</v>
      </c>
      <c r="O322" s="3">
        <f>1647.9+(236.8-767.6)+(-0.840429+(-0.120768--0.391476))+0-0-0</f>
        <v>1116.5302790000001</v>
      </c>
      <c r="P322" s="3">
        <f>1708.9+(206-767)+(-0.871539+(-0.10506--0.39117))+0-0-0</f>
        <v>1147.3145710000001</v>
      </c>
      <c r="Q322" s="3">
        <f>1782.4+(180.7-802.4)+(-3.636096+(-0.368628--1.636896))+0-0-0</f>
        <v>1158.3321720000001</v>
      </c>
      <c r="R322" s="3">
        <f>1764.8+(103.2-738)+(-4.50024+(-0.26316--1.8819))+0-0-0</f>
        <v>1127.1185</v>
      </c>
      <c r="S322" s="3">
        <f>1805.2+(94.1-777.3)+(0+(0-0))+0-0-0</f>
        <v>1122</v>
      </c>
      <c r="T322" s="3">
        <f>1798.5+(100.2-796)+(0+(0-0))+0-0-0</f>
        <v>1102.7</v>
      </c>
      <c r="U322" s="3">
        <f>1807.9+(104.6-810.1)+(0.922029+(0.053346-0.413151))+0-0-0</f>
        <v>1102.9622240000001</v>
      </c>
      <c r="V322" s="3">
        <f>1779.9+(114.5-765.6)+(-3.630996+(-0.23358--1.561824))+0-0-0</f>
        <v>1126.4972480000001</v>
      </c>
      <c r="W322" s="3">
        <f>1803.7+(109-680.7)+(0+(0-0))+0-0-0</f>
        <v>1232</v>
      </c>
      <c r="X322" s="3">
        <f>1804.7+(107.9-569.1)+(-1.840794+(-0.110058--0.580482))+0-0-0</f>
        <v>1342.1296299999999</v>
      </c>
      <c r="Y322" s="3">
        <f>1785.7+(109-564.3)+(-4.553535+(-0.27795--1.438965))+0-0-0</f>
        <v>1327.00748</v>
      </c>
      <c r="Z322" s="3">
        <f>1795+(117.3-620.3)+(-2.74635+(-0.179469--0.949059))+0-0-0</f>
        <v>1290.02324</v>
      </c>
      <c r="AA322" s="3">
        <f>1809.6+(248.3-810.2)+(-0.922896+(-0.126633--0.413202))+0-0-0</f>
        <v>1247.0636729999999</v>
      </c>
      <c r="AB322" s="3">
        <f>1649.5+(269.5-742.7)+(-1.68249+(-0.27489--0.757554))+0-0-0</f>
        <v>1175.1001739999999</v>
      </c>
      <c r="AC322" s="3">
        <f>1546.1+(257.4-711.9)+(-1.577022+(-0.262548--0.726138))+0-0-0</f>
        <v>1090.4865679999998</v>
      </c>
      <c r="AD322">
        <v>1372</v>
      </c>
      <c r="AE322" s="3">
        <f>1816+(125.1-569.1)+(0+(0-0))+0-0-0</f>
        <v>1372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1353.1+(281.6-655.4)+(-3.450405+(-0.71808--1.67127))+0-0-0</f>
        <v>976.80278499999997</v>
      </c>
      <c r="G323" s="3">
        <f>1087.2+(280.1-446.8)+(-1.108944+(-0.285702--0.455736))+0-0-0</f>
        <v>919.56109000000004</v>
      </c>
      <c r="H323" s="3">
        <f>1086.5+(291-491.3)+(-1.662345+(-0.44523--0.751689))+0-0-0</f>
        <v>884.84411399999999</v>
      </c>
      <c r="I323" s="3">
        <f>1099.4+(307.3-532.7)+(1.121388+(0.313446-0.543354))+0-0-0</f>
        <v>874.89148</v>
      </c>
      <c r="J323" s="3">
        <f>1128.4+(283.7-537.1)+(-1.726452+(-0.434061--0.821763))+0-0-0</f>
        <v>873.66125</v>
      </c>
      <c r="K323" s="3">
        <f>1287.2+(258.9-654.7)+(0.656472+(0.132039-0.333897))+0-0-0</f>
        <v>891.85461399999997</v>
      </c>
      <c r="L323" s="3">
        <f>1494+(273-839.8)+(-1.52388+(-0.27846--0.856596))+0-0-0</f>
        <v>926.25425600000005</v>
      </c>
      <c r="M323" s="3">
        <f>1580.2+(255.9-878)+(-2.417706+(-0.391527--1.34334))+0-0-0</f>
        <v>956.63410699999997</v>
      </c>
      <c r="N323" s="3">
        <f>1806.9+(278.4-1039.6)+(2.764557+(0.425952-1.590588))+0-0-0</f>
        <v>1047.2999210000003</v>
      </c>
      <c r="O323" s="3">
        <f>1801.5+(273.5-972.7)+(0.918765+(0.139485-0.496077))+0-0-0</f>
        <v>1102.862173</v>
      </c>
      <c r="P323" s="3">
        <f>1788+(286.8-948.1)+(0.91188+(0.146268-0.483531))+0-0-0</f>
        <v>1127.274617</v>
      </c>
      <c r="Q323" s="3">
        <f>1794.9+(307.9-962.9)+(-0.915399+(-0.157029--0.491079))+0-0-0</f>
        <v>1139.318651</v>
      </c>
      <c r="R323" s="3">
        <f>1792.8+(348.9-996.9)+(0+(0-0))+0-0-0</f>
        <v>1144.8</v>
      </c>
      <c r="S323" s="3">
        <f>1783.2+(364.6-1031.3)+(-2.728296+(-0.557838--1.577889))+0-0-0</f>
        <v>1114.791755</v>
      </c>
      <c r="T323" s="3">
        <f>1773.8+(388.9-1071.9)+(-0.904638+(-0.198339--0.546669))+0-0-0</f>
        <v>1090.2436919999998</v>
      </c>
      <c r="U323" s="3">
        <f>1759+(384.4-1052.1)+(-1.79418+(-0.392088--1.073142))+0-0-0</f>
        <v>1090.1868740000002</v>
      </c>
      <c r="V323" s="3">
        <f>1777.6+(330-1006.7)+(1.813152+(0.3366-1.026834))+0-0-0</f>
        <v>1102.0229179999999</v>
      </c>
      <c r="W323" s="3">
        <f>1809.1+(239.5-820.1)+(2.767923+(0.366435-1.254753))+0-0-0</f>
        <v>1230.3796050000001</v>
      </c>
      <c r="X323" s="3">
        <f>1800+(245.8-674.2)+(0+(0-0))+0-0-0</f>
        <v>1371.6</v>
      </c>
      <c r="Y323" s="3">
        <f>1775.8+(251.6-673.3)+(-2.716974+(-0.384948--1.030149))+0-0-0</f>
        <v>1352.028227</v>
      </c>
      <c r="Z323" s="3">
        <f>1764+(253.9-695.1)+(-0.89964+(-0.129489--0.354501))+0-0-0</f>
        <v>1322.125372</v>
      </c>
      <c r="AA323" s="3">
        <f>1688.5+(278.7-693.2)+(-0.861135+(-0.142137--0.353532))+0-0-0</f>
        <v>1273.3502599999999</v>
      </c>
      <c r="AB323" s="3">
        <f>1675+(268.6-733.1)+(-2.56275+(-0.410958--1.121643))+0-0-0</f>
        <v>1208.647935</v>
      </c>
      <c r="AC323" s="3">
        <f>1680.7+(256.4-811.2)+(-2.571471+(-0.392292--1.241136))+0-0-0</f>
        <v>1124.177373</v>
      </c>
      <c r="AD323">
        <v>1383.5</v>
      </c>
      <c r="AE323" s="3">
        <f>1839+(232.4-687.9)+(0+(0-0))+0-0-0</f>
        <v>1383.5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1533.4+(199.6-712.3)+(0+(0-0))+0-0-0</f>
        <v>1020.7000000000002</v>
      </c>
      <c r="G324" s="3">
        <f>1464.1+(118.6-622.9)+(-0.746691+(-0.060486--0.317679))+0-0-0</f>
        <v>959.31050199999993</v>
      </c>
      <c r="H324" s="3">
        <f>1462.7+(124.4-656.4)+(2.237931+(0.190332-1.004292))+0-0-0</f>
        <v>932.1239710000001</v>
      </c>
      <c r="I324" s="3">
        <f>1440.8+(120.1-650.8)+(-2.204424+(-0.183753--0.995724))+0-0-0</f>
        <v>908.70754699999998</v>
      </c>
      <c r="J324" s="3">
        <f>1457+(121.3-682.5)+(0.74307+(0.061863-0.348075))+0-0-0</f>
        <v>896.25685799999997</v>
      </c>
      <c r="K324" s="3">
        <f>1502.8+(118.6-714.8)+(0.766428+(0.060486-0.364548))+0-0-0</f>
        <v>907.062366</v>
      </c>
      <c r="L324" s="3">
        <f>1723.8+(121.3-891.7)+(-2.637414+(-0.185589--1.364301))+0-0-0</f>
        <v>951.94129799999985</v>
      </c>
      <c r="M324" s="3">
        <f>1797.8+(117.6-935.4)+(0.916878+(0.059976-0.477054))+0-0-0</f>
        <v>980.49980000000005</v>
      </c>
      <c r="N324" s="3">
        <f>1806.5+(137.4-878.5)+(1.84263+(0.140148-0.89607))+0-0-0</f>
        <v>1066.4867080000001</v>
      </c>
      <c r="O324" s="3">
        <f>1808.1+(115.6-798.5)+(1.844262+(0.117912-0.81447))+0-0-0</f>
        <v>1126.3477039999998</v>
      </c>
      <c r="P324" s="3">
        <f>1782.3+(118-755.7)+(-0.908973+(-0.06018--0.385407))+0-0-0</f>
        <v>1144.0162539999999</v>
      </c>
      <c r="Q324" s="3">
        <f>1784.1+(115.2-748.3)+(-1.819782+(-0.117504--0.763266))+0-0-0</f>
        <v>1149.8259800000001</v>
      </c>
      <c r="R324" s="3">
        <f>1648.2+(120.2-643.9)+(-4.20291+(-0.30651--1.641945))+0-0-0</f>
        <v>1121.632525</v>
      </c>
      <c r="S324" s="3">
        <f>1601+(123.4-625.6)+(0+(0-0))+0-0-0</f>
        <v>1098.8</v>
      </c>
      <c r="T324" s="3">
        <f>1602+(162.9-684.1)+(0.81702+(0.083079-0.348891))+0-0-0</f>
        <v>1081.351208</v>
      </c>
      <c r="U324" s="3">
        <f>1605.5+(154.8-685.9)+(-0.818805+(-0.078948--0.349809))+0-0-0</f>
        <v>1073.8520560000002</v>
      </c>
      <c r="V324" s="3">
        <f>1770.2+(129.2-788.5)+(1.805604+(0.131784-0.80427))+0-0-0</f>
        <v>1112.0331180000001</v>
      </c>
      <c r="W324" s="3">
        <f>1802+(127.6-668.9)+(1.83804+(0.130152-0.682278))+0-0-0</f>
        <v>1261.9859140000001</v>
      </c>
      <c r="X324" s="3">
        <f>1799.3+(128.9-552.3)+(0.917643+(0.065739-0.281673))+0-0-0</f>
        <v>1376.601709</v>
      </c>
      <c r="Y324" s="3">
        <f>1761.6+(127.5-535.7)+(-3.593664+(-0.2601--1.092828))+0-0-0</f>
        <v>1350.639064</v>
      </c>
      <c r="Z324" s="3">
        <f>1751.1+(124.8-567.5)+(-4.465305+(-0.31824--1.447125))+0-0-0</f>
        <v>1305.0635799999998</v>
      </c>
      <c r="AA324" s="3">
        <f>1783.2+(112.5-625.6)+(-0.909432+(-0.057375--0.319056))+0-0-0</f>
        <v>1269.4522489999999</v>
      </c>
      <c r="AB324" s="3">
        <f>1780.8+(99.1-673.3)+(0+(0-0))+0-0-0</f>
        <v>1206.5999999999999</v>
      </c>
      <c r="AC324" s="3">
        <f>1773+(97.1-760.1)+(-1.80846+(-0.099042--0.775302))+0-0-0</f>
        <v>1108.8678</v>
      </c>
      <c r="AD324">
        <v>1355.8999999999999</v>
      </c>
      <c r="AE324" s="3">
        <f>1807+(123.1-574.2)+(0+(0-0))+0-0-0</f>
        <v>1355.9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1513.4+(136.1-639.9)+(0+(0-0))+0-0-0</f>
        <v>1009.6000000000001</v>
      </c>
      <c r="G325" s="3">
        <f>1373.1+(95.5-517.5)+(0+(0-0))+0-0-0</f>
        <v>951.09999999999991</v>
      </c>
      <c r="H325" s="3">
        <f>1370.1+(90-541.6)+(0+(0-0))+0-0-0</f>
        <v>918.49999999999989</v>
      </c>
      <c r="I325" s="3">
        <f>1314.6+(96.4-497.4)+(-2.011338+(-0.147492--0.761022))+0-0-0</f>
        <v>912.20219199999985</v>
      </c>
      <c r="J325" s="3">
        <f>1279.5+(105.1-478.5)+(1.30509+(0.107202-0.48807))+0-0-0</f>
        <v>907.02422200000001</v>
      </c>
      <c r="K325" s="3">
        <f>1280.1+(115.1-465.9)+(1.305702+(0.117402-0.475218))+0-0-0</f>
        <v>930.24788599999999</v>
      </c>
      <c r="L325" s="3">
        <f>1493.1+(110.8-628.4)+(0+(0-0))+0-0-0</f>
        <v>975.49999999999989</v>
      </c>
      <c r="M325" s="3">
        <f>1739.4+(96.9-823)+(0+(0-0))+0-0-0</f>
        <v>1013.3000000000001</v>
      </c>
      <c r="N325" s="3">
        <f>1808.8+(96.2-795.5)+(-0.922488+(-0.049062--0.405705))+0-0-0</f>
        <v>1108.9341549999999</v>
      </c>
      <c r="O325" s="3">
        <f>1684.6+(103.8-635.5)+(-0.859146+(-0.052938--0.324105))+0-0-0</f>
        <v>1152.312021</v>
      </c>
      <c r="P325" s="3">
        <f>1613.3+(111.6-556.3)+(-0.822783+(-0.056916--0.283713))+0-0-0</f>
        <v>1168.0040139999999</v>
      </c>
      <c r="Q325" s="3">
        <f>1650.7+(101.9-576.6)+(-1.683714+(-0.103938--0.588132))+0-0-0</f>
        <v>1174.8004800000001</v>
      </c>
      <c r="R325" s="3">
        <f>1798.3+(87.8-718.7)+(-2.751399+(-0.134334--1.099611))+0-0-0</f>
        <v>1165.6138779999999</v>
      </c>
      <c r="S325" s="3">
        <f>1821+(90.3-757)+(-2.78613+(-0.138159--1.15821))+0-0-0</f>
        <v>1152.533921</v>
      </c>
      <c r="T325" s="3">
        <f>1830+(91.5-795.8)+(0+(0-0))+0-0-0</f>
        <v>1125.7</v>
      </c>
      <c r="U325" s="3">
        <f>1833.1+(119.9-833.8)+(1.869762+(0.122298-0.850476))+0-0-0</f>
        <v>1120.3415839999998</v>
      </c>
      <c r="V325" s="3">
        <f>1831.4+(107.6-772.6)+(0.934014+(0.054876-0.394026))+0-0-0</f>
        <v>1166.994864</v>
      </c>
      <c r="W325" s="3">
        <f>1834.6+(128.4-673.6)+(1.871292+(0.130968-0.687072))+0-0-0</f>
        <v>1290.7151879999999</v>
      </c>
      <c r="X325" s="3">
        <f>1816+(147-583.4)+(-4.6308+(-0.37485--1.48767))+0-0-0</f>
        <v>1376.0820199999998</v>
      </c>
      <c r="Y325" s="3">
        <f>1818+(120.9-573.7)+(-2.78154+(-0.184977--0.877761))+0-0-0</f>
        <v>1363.1112439999997</v>
      </c>
      <c r="Z325" s="3">
        <f>1696.8+(121.3-504.3)+(-0.865368+(-0.061863--0.257193))+0-0-0</f>
        <v>1313.129962</v>
      </c>
      <c r="AA325" s="3">
        <f>1654.3+(229-615.6)+(0.843693+(0.11679-0.313956))+0-0-0</f>
        <v>1268.3465269999999</v>
      </c>
      <c r="AB325" s="3">
        <f>1655.9+(249.4-728.2)+(0.844509+(0.127194-0.371382))+0-0-0</f>
        <v>1177.7003209999998</v>
      </c>
      <c r="AC325" s="3">
        <f>1651.8+(215.7-758.4)+(0+(0-0))+0-0-0</f>
        <v>1109.0999999999999</v>
      </c>
      <c r="AD325">
        <v>1373.9</v>
      </c>
      <c r="AE325" s="3">
        <f>1826+(139.2-591.3)+(0+(0-0))+0-0-0</f>
        <v>1373.9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1615.8+(171.7-776.3)+(-4.12029+(-0.437835--1.979565))+0-0-0</f>
        <v>1008.62144</v>
      </c>
      <c r="G326" s="3">
        <f>1431+(168.5-650.2)+(-1.45962+(-0.17187--0.663204))+0-0-0</f>
        <v>948.33171399999992</v>
      </c>
      <c r="H326" s="3">
        <f>1363.8+(158.3-612.5)+(-4.173228+(-0.484398--1.87425))+0-0-0</f>
        <v>906.81662399999993</v>
      </c>
      <c r="I326" s="3">
        <f>1139.7+(253.8-493.3)+(1.162494+(0.258876-0.503166))+0-0-0</f>
        <v>901.11820399999999</v>
      </c>
      <c r="J326" s="3">
        <f>1091.5+(242.9-425.3)+(-0.556665+(-0.123879--0.216903))+0-0-0</f>
        <v>908.63635899999997</v>
      </c>
      <c r="K326" s="3">
        <f>1303.7+(99-478)+(1.994661+(0.15147-0.73134))+0-0-0</f>
        <v>926.11479100000008</v>
      </c>
      <c r="L326" s="3">
        <f>1422.7+(89-548.7)+(1.451154+(0.09078-0.559674))+0-0-0</f>
        <v>963.98226</v>
      </c>
      <c r="M326" s="3">
        <f>1549.1+(71-630.9)+(1.580082+(0.07242-0.643518))+0-0-0</f>
        <v>990.20898399999999</v>
      </c>
      <c r="N326" s="3">
        <f>1790.4+(73.7-759.4)+(0.913104+(0.037587-0.387294))+0-0-0</f>
        <v>1105.2633970000002</v>
      </c>
      <c r="O326" s="3">
        <f>1795.3+(71.1-689.9)+(0.915603+(0.036261-0.351849))+0-0-0</f>
        <v>1177.100015</v>
      </c>
      <c r="P326" s="3">
        <f>1796+(68-642.3)+(0.91596+(0.03468-0.327573))+0-0-0</f>
        <v>1222.323067</v>
      </c>
      <c r="Q326" s="3">
        <f>1794.8+(64.9-632.8)+(0+(0-0))+0-0-0</f>
        <v>1226.9000000000001</v>
      </c>
      <c r="R326" s="3">
        <f>1779.2+(59.8-642.6)+(-2.722176+(-0.091494--0.983178))+0-0-0</f>
        <v>1194.569508</v>
      </c>
      <c r="S326" s="3">
        <f>1790.9+(78.1-710.8)+(0+(0-0))+0-0-0</f>
        <v>1158.2000000000003</v>
      </c>
      <c r="T326" s="3">
        <f>1796.9+(131.3-797)+(0+(0-0))+0-0-0</f>
        <v>1131.2</v>
      </c>
      <c r="U326" s="3">
        <f>1782.7+(173.1-835.8)+(-1.818354+(-0.176562--0.852516))+0-0-0</f>
        <v>1118.8576</v>
      </c>
      <c r="V326" s="3">
        <f>1779.6+(179.3-825.8)+(-1.815192+(-0.182886--0.842316))+0-0-0</f>
        <v>1131.9442379999998</v>
      </c>
      <c r="W326" s="3">
        <f>1794.9+(164.8-731.6)+(-0.915399+(-0.084048--0.373116))+0-0-0</f>
        <v>1227.4736690000002</v>
      </c>
      <c r="X326" s="3">
        <f>1812.8+(169.9-641.4)+(-1.849056+(-0.173298--0.654228))+0-0-0</f>
        <v>1339.9318739999999</v>
      </c>
      <c r="Y326" s="3">
        <f>1799.9+(176.5-663.7)+(-3.671796+(-0.36006--1.353948))+0-0-0</f>
        <v>1310.0220920000002</v>
      </c>
      <c r="Z326" s="3">
        <f>1782.6+(179.7-691.5)+(-4.54563+(-0.458235--1.763325))+0-0-0</f>
        <v>1267.5594599999999</v>
      </c>
      <c r="AA326" s="3">
        <f>1809+(185.8-749.9)+(-0.92259+(-0.094758--0.382449))+0-0-0</f>
        <v>1244.2651010000002</v>
      </c>
      <c r="AB326" s="3">
        <f>1815.9+(180-801.1)+(0.926109+(0.0918-0.408561))+0-0-0</f>
        <v>1195.4093480000001</v>
      </c>
      <c r="AC326" s="3">
        <f>1807.4+(219.1-888.3)+(-0.921774+(-0.111741--0.453033))+0-0-0</f>
        <v>1137.6195180000002</v>
      </c>
      <c r="AD326">
        <v>1363.8999999999999</v>
      </c>
      <c r="AE326" s="3">
        <f>1843+(190.1-669.2)+(0+(0-0))+0-0-0</f>
        <v>1363.9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1724.7+(162.6-824.5)+(-2.638791+(-0.248778--1.261485))+0-0-0</f>
        <v>1061.1739160000002</v>
      </c>
      <c r="G327" s="3">
        <f>1641.8+(165.9-819.1)+(0.837318+(0.084609-0.417741))+0-0-0</f>
        <v>989.10418599999991</v>
      </c>
      <c r="H327" s="3">
        <f>1527.4+(202-780.3)+(-1.557948+(-0.20604--0.795906))+0-0-0</f>
        <v>948.13191800000016</v>
      </c>
      <c r="I327" s="3">
        <f>1389.5+(240-717.8)+(0.708645+(0.1224-0.366078))+0-0-0</f>
        <v>912.16496700000005</v>
      </c>
      <c r="J327" s="3">
        <f>1316.6+(255.9-667.9)+(-1.342932+(-0.261018--0.681258))+0-0-0</f>
        <v>903.67730799999993</v>
      </c>
      <c r="K327" s="3">
        <f>1411.7+(222.7-718.4)+(1.439934+(0.227154-0.732768))+0-0-0</f>
        <v>916.93431999999996</v>
      </c>
      <c r="L327" s="3">
        <f>1463+(194.8-748.7)+(-0.74613+(-0.099348--0.381837))+0-0-0</f>
        <v>908.63635899999986</v>
      </c>
      <c r="M327" s="3">
        <f>1486.5+(180.4-794.6)+(0+(0-0))+0-0-0</f>
        <v>872.3</v>
      </c>
      <c r="N327" s="3">
        <f>1322.1+(221.1-639.3)+(1.348542+(0.225522-0.652086))+0-0-0</f>
        <v>904.82197799999994</v>
      </c>
      <c r="O327" s="3">
        <f>1254.5+(196.5-498.5)+(0+(0-0))+0-0-0</f>
        <v>952.5</v>
      </c>
      <c r="P327" s="3">
        <f>1257.1+(236.7-517.9)+(0+(0-0))+0-0-0</f>
        <v>975.89999999999986</v>
      </c>
      <c r="Q327" s="3">
        <f>1266.6+(202.4-485.4)+(1.937898+(0.309672-0.742662))+0-0-0</f>
        <v>985.10490799999991</v>
      </c>
      <c r="R327" s="3">
        <f>1216.4+(209.6-452.8)+(-2.481456+(-0.427584--0.923712))+0-0-0</f>
        <v>971.21467200000006</v>
      </c>
      <c r="S327" s="3">
        <f>1157.5+(202.6-398.9)+(-0.590325+(-0.103326--0.203439))+0-0-0</f>
        <v>960.709788</v>
      </c>
      <c r="T327" s="3">
        <f>1170.4+(204.8-418.1)+(0+(0-0))+0-0-0</f>
        <v>957.10000000000014</v>
      </c>
      <c r="U327" s="3">
        <f>1174+(263.1-486.4)+(-1.79622+(-0.402543--0.744192))+0-0-0</f>
        <v>949.24542900000006</v>
      </c>
      <c r="V327" s="3">
        <f>1403.9+(300.8-724.3)+(-0.715989+(-0.153408--0.369393))+0-0-0</f>
        <v>979.8999960000001</v>
      </c>
      <c r="W327" s="3">
        <f>1684+(240.7-802.5)+(-1.71768+(-0.245514--0.81855))+0-0-0</f>
        <v>1121.0553560000001</v>
      </c>
      <c r="X327" s="3">
        <f>1692.8+(230.4-690.8)+(-0.863328+(-0.117504--0.352308))+0-0-0</f>
        <v>1231.7714760000001</v>
      </c>
      <c r="Y327" s="3">
        <f>1733.2+(220.3-733.2)+(-2.651796+(-0.337059--1.121796))+0-0-0</f>
        <v>1218.432941</v>
      </c>
      <c r="Z327" s="3">
        <f>1701+(214.4-729.3)+(-1.73502+(-0.218688--0.743886))+0-0-0</f>
        <v>1184.8901779999999</v>
      </c>
      <c r="AA327" s="3">
        <f>1629.4+(285.5-765.9)+(-3.323976+(-0.58242--1.562436))+0-0-0</f>
        <v>1146.6560400000001</v>
      </c>
      <c r="AB327" s="3">
        <f>1542.9+(316.3-731.1)+(-0.786879+(-0.161313--0.372861))+0-0-0</f>
        <v>1127.5246690000001</v>
      </c>
      <c r="AC327" s="3">
        <f>1479.3+(249.4-657.2)+(1.508886+(0.254388-0.670344))+0-0-0</f>
        <v>1072.59293</v>
      </c>
      <c r="AD327">
        <v>1243.0999999999999</v>
      </c>
      <c r="AE327" s="3">
        <f>1714+(257.5-728.4)+(0+(0-0))+0-0-0</f>
        <v>1243.0999999999999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1331.4+(311.7-611.6)+(-2.716056+(-0.635868--1.247664))+0-0-0</f>
        <v>1029.3957399999999</v>
      </c>
      <c r="G328" s="3">
        <f>1118.1+(322-475.7)+(-1.140462+(-0.32844--0.485214))+0-0-0</f>
        <v>963.41631199999983</v>
      </c>
      <c r="H328" s="3">
        <f>1073.5+(335.3-474)+(-2.18994+(-0.684012--0.96696))+0-0-0</f>
        <v>932.89300800000001</v>
      </c>
      <c r="I328" s="3">
        <f>1012.4+(344.4-454)+(0.516324+(0.175644-0.23154))+0-0-0</f>
        <v>903.26042799999993</v>
      </c>
      <c r="J328" s="3">
        <f>990.3+(343.8-419.4)+(-1.515159+(-0.526014--0.641682))+0-0-0</f>
        <v>913.30050900000003</v>
      </c>
      <c r="K328" s="3">
        <f>1011.2+(330.3-430.9)+(0.515712+(0.168453-0.219759))+0-0-0</f>
        <v>911.06440600000019</v>
      </c>
      <c r="L328" s="3">
        <f>1045.4+(341.2-484.4)+(0.533154+(0.174012-0.247044))+0-0-0</f>
        <v>902.660122</v>
      </c>
      <c r="M328" s="3">
        <f>1065.6+(314.9-490.5)+(-1.630368+(-0.481797--0.750465))+0-0-0</f>
        <v>888.63829999999984</v>
      </c>
      <c r="N328" s="3">
        <f>1272.8+(357.7-701.9)+(-0.649128+(-0.182427--0.357969))+0-0-0</f>
        <v>928.12641399999995</v>
      </c>
      <c r="O328" s="3">
        <f>1339.7+(334.2-665.5)+(0+(0-0))+0-0-0</f>
        <v>1008.4000000000001</v>
      </c>
      <c r="P328" s="3">
        <f>1330.1+(349.1-617.2)+(-1.356702+(-0.356082--0.629544))+0-0-0</f>
        <v>1060.9167600000001</v>
      </c>
      <c r="Q328" s="3">
        <f>1324.4+(324.6-564.3)+(-2.026332+(-0.496638--0.863379))+0-0-0</f>
        <v>1083.0404090000002</v>
      </c>
      <c r="R328" s="3">
        <f>1321.5+(343.6-571.3)+(-2.021895+(-0.525708--0.874089))+0-0-0</f>
        <v>1092.1264860000001</v>
      </c>
      <c r="S328" s="3">
        <f>1317.3+(352.4-596.6)+(-2.687292+(-0.718896--1.217064))+0-0-0</f>
        <v>1070.9108759999999</v>
      </c>
      <c r="T328" s="3">
        <f>1332.3+(337-614.3)+(-0.679473+(-0.17187--0.313293))+0-0-0</f>
        <v>1054.4619499999999</v>
      </c>
      <c r="U328" s="3">
        <f>1337.4+(330.4-604.7)+(0+(0-0))+0-0-0</f>
        <v>1063.0999999999999</v>
      </c>
      <c r="V328" s="3">
        <f>1354.9+(304.6-570.3)+(-0.690999+(-0.155346--0.290853))+0-0-0</f>
        <v>1088.6445080000003</v>
      </c>
      <c r="W328" s="3">
        <f>1500.4+(211.9-524.6)+(0+(0-0))+0-0-0</f>
        <v>1187.7</v>
      </c>
      <c r="X328" s="3">
        <f>1581.6+(206.5-481.4)+(-1.613232+(-0.21063--0.491028))+0-0-0</f>
        <v>1305.3671659999998</v>
      </c>
      <c r="Y328" s="3">
        <f>1585.7+(209-493.1)+(-0.808707+(-0.10659--0.251481))+0-0-0</f>
        <v>1300.9361839999999</v>
      </c>
      <c r="Z328" s="3">
        <f>1555.5+(244.1-519.9)+(-1.58661+(-0.248982--0.530298))+0-0-0</f>
        <v>1278.394706</v>
      </c>
      <c r="AA328" s="3">
        <f>1401.8+(268.5-446)+(0+(0-0))+0-0-0</f>
        <v>1224.3</v>
      </c>
      <c r="AB328" s="3">
        <f>1327.9+(278.7-426.4)+(-0.677229+(-0.142137--0.217464))+0-0-0</f>
        <v>1179.5980979999999</v>
      </c>
      <c r="AC328" s="3">
        <f>1034.9+(355.5-283.3)+(-2.638995+(-0.906525--0.722415))+0-0-0</f>
        <v>1104.2768950000002</v>
      </c>
      <c r="AD328">
        <v>1305.8999999999999</v>
      </c>
      <c r="AE328" s="3">
        <f>1593+(205.6-492.7)+(0+(0-0))+0-0-0</f>
        <v>1305.9000000000001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916.8+(379.8-304.7)+(-1.402704+(-0.581094--0.466191))+0-0-0</f>
        <v>990.38239299999998</v>
      </c>
      <c r="G329" s="3">
        <f>918+(391.8-382.4)+(-1.40454+(-0.599454--0.585072))+0-0-0</f>
        <v>925.98107800000014</v>
      </c>
      <c r="H329" s="3">
        <f>916.7+(352.6-370.7)+(-1.870068+(-0.719304--0.756228))+0-0-0</f>
        <v>896.76685600000019</v>
      </c>
      <c r="I329" s="3">
        <f>921.6+(359.2-399.4)+(-0.470016+(-0.183192--0.203694))+0-0-0</f>
        <v>880.95048600000007</v>
      </c>
      <c r="J329" s="3">
        <f>940.4+(368.1-426.8)+(1.438812+(0.563193-0.653004))+0-0-0</f>
        <v>883.04900100000009</v>
      </c>
      <c r="K329" s="3">
        <f>934.5+(366.7-398.5)+(0.476595+(0.187017-0.203235))+0-0-0</f>
        <v>903.16037700000004</v>
      </c>
      <c r="L329" s="3">
        <f>1125.8+(394.5-592.5)+(0.574158+(0.201195-0.302175))+0-0-0</f>
        <v>928.27317799999992</v>
      </c>
      <c r="M329" s="3">
        <f>1420.3+(364.7-793.4)+(0+(0-0))+0-0-0</f>
        <v>991.59999999999991</v>
      </c>
      <c r="N329" s="3">
        <f>1609.7+(381-897.6)+(1.641894+(0.38862-0.915552))+0-0-0</f>
        <v>1094.214962</v>
      </c>
      <c r="O329" s="3">
        <f>1603.9+(353.4-805.2)+(0.817989+(0.180234-0.410652))+0-0-0</f>
        <v>1152.6875709999999</v>
      </c>
      <c r="P329" s="3">
        <f>1624.1+(337.6-778.7)+(0.828291+(0.172176-0.397137))+0-0-0</f>
        <v>1183.6033299999999</v>
      </c>
      <c r="Q329" s="3">
        <f>1590+(327-718.3)+(-1.6218+(-0.33354--0.732666))+0-0-0</f>
        <v>1197.4773259999999</v>
      </c>
      <c r="R329" s="3">
        <f>1564.7+(307.2-673.1)+(-3.989985+(-0.78336--1.716405))+0-0-0</f>
        <v>1195.74306</v>
      </c>
      <c r="S329" s="3">
        <f>1586.8+(247.8-661.9)+(-1.618536+(-0.252756--0.675138))+0-0-0</f>
        <v>1171.5038460000001</v>
      </c>
      <c r="T329" s="3">
        <f>1582.7+(239.2-664.1)+(-2.421531+(-0.365976--1.016073))+0-0-0</f>
        <v>1156.028566</v>
      </c>
      <c r="U329" s="3">
        <f>1590.1+(228.2-662.2)+(-0.810951+(-0.116382--0.337722))+0-0-0</f>
        <v>1155.5103889999998</v>
      </c>
      <c r="V329" s="3">
        <f>1608.8+(216.1-651.5)+(0.820488+(0.110211-0.332265))+0-0-0</f>
        <v>1173.9984340000001</v>
      </c>
      <c r="W329" s="3">
        <f>1617.7+(213.8-574.7)+(0+(0-0))+0-0-0</f>
        <v>1256.8</v>
      </c>
      <c r="X329" s="3">
        <f>1607.5+(213.1-474.4)+(-0.819825+(-0.108681--0.241944))+0-0-0</f>
        <v>1345.513438</v>
      </c>
      <c r="Y329" s="3">
        <f>1589.4+(216.1-467.8)+(0+(0-0))+0-0-0</f>
        <v>1337.7</v>
      </c>
      <c r="Z329" s="3">
        <f>1412.5+(257.4-369.9)+(-3.601875+(-0.65637--0.943245))+0-0-0</f>
        <v>1296.6849999999999</v>
      </c>
      <c r="AA329" s="3">
        <f>1318.8+(292.4-355.1)+(0+(0-0))+0-0-0</f>
        <v>1256.0999999999999</v>
      </c>
      <c r="AB329" s="3">
        <f>1220+(316.3-341.4)+(-3.111+(-0.806565--0.87057))+0-0-0</f>
        <v>1191.8530050000002</v>
      </c>
      <c r="AC329" s="3">
        <f>970.4+(330.4-209.2)+(-2.47452+(-0.84252--0.53346))+0-0-0</f>
        <v>1088.8164199999999</v>
      </c>
      <c r="AD329">
        <v>1376.7</v>
      </c>
      <c r="AE329" s="3">
        <f>1646+(229-498.3)+(0+(0-0))+0-0-0</f>
        <v>1376.7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929.8+(301-235.4)+(-0.948396+(-0.30702--0.240108))+0-0-0</f>
        <v>994.38469199999997</v>
      </c>
      <c r="G330" s="3">
        <f>956.3+(317.2-330.9)+(1.950852+(0.647088-0.675036))+0-0-0</f>
        <v>944.52290399999993</v>
      </c>
      <c r="H330" s="3">
        <f>945.9+(323.1-350.2)+(1.447227+(0.494343-0.535806))+0-0-0</f>
        <v>920.20576399999993</v>
      </c>
      <c r="I330" s="3">
        <f>942.4+(329.3-359.7)+(-1.922496+(-0.671772--0.733788))+0-0-0</f>
        <v>910.13951999999995</v>
      </c>
      <c r="J330" s="3">
        <f>964+(306-368.6)+(0.98328+(0.31212-0.375972))+0-0-0</f>
        <v>902.31942800000002</v>
      </c>
      <c r="K330" s="3">
        <f>1211.8+(245.9-535.8)+(0+(0-0))+0-0-0</f>
        <v>921.9</v>
      </c>
      <c r="L330" s="3">
        <f>1443.5+(202.1-679.9)+(0.736185+(0.103071-0.346749))+0-0-0</f>
        <v>966.19250700000009</v>
      </c>
      <c r="M330" s="3">
        <f>1592.5+(223.3-824.4)+(-1.62435+(-0.227766--0.840888))+0-0-0</f>
        <v>990.38877200000013</v>
      </c>
      <c r="N330" s="3">
        <f>1605.5+(262.1-784.5)+(-0.818805+(-0.133671--0.400095))+0-0-0</f>
        <v>1082.5476189999999</v>
      </c>
      <c r="O330" s="3">
        <f>1611.7+(216.5-698)+(-0.821967+(-0.110415--0.35598))+0-0-0</f>
        <v>1129.6235980000001</v>
      </c>
      <c r="P330" s="3">
        <f>1603.2+(229.4-668.9)+(-2.452896+(-0.350982--1.023417))+0-0-0</f>
        <v>1161.919539</v>
      </c>
      <c r="Q330" s="3">
        <f>1608+(263.9-699)+(-0.82008+(-0.134589--0.35649))+0-0-0</f>
        <v>1172.301821</v>
      </c>
      <c r="R330" s="3">
        <f>1588.2+(240.1-677.1)+(-2.429946+(-0.367353--1.035963))+0-0-0</f>
        <v>1149.438664</v>
      </c>
      <c r="S330" s="3">
        <f>1550.4+(233.5-663.6)+(0+(0-0))+0-0-0</f>
        <v>1120.3000000000002</v>
      </c>
      <c r="T330" s="3">
        <f>1505.5+(237-642.3)+(-0.767805+(-0.12087--0.327573))+0-0-0</f>
        <v>1099.6388980000002</v>
      </c>
      <c r="U330" s="3">
        <f>1418.8+(249.2-570.8)+(-0.723588+(-0.127092--0.291108))+0-0-0</f>
        <v>1096.6404280000002</v>
      </c>
      <c r="V330" s="3">
        <f>1471+(231.1-599.8)+(1.50042+(0.235722-0.611796))+0-0-0</f>
        <v>1103.4243460000002</v>
      </c>
      <c r="W330" s="3">
        <f>1545.9+(209.9-565.8)+(-0.788409+(-0.107049--0.288558))+0-0-0</f>
        <v>1189.3931</v>
      </c>
      <c r="X330" s="3">
        <f>1677.2+(229-551.5)+(-0.855372+(-0.11679--0.281265))+0-0-0</f>
        <v>1354.0091030000001</v>
      </c>
      <c r="Y330" s="3">
        <f>1546.9+(256.8-467.5)+(-3.155676+(-0.523872--0.9537))+0-0-0</f>
        <v>1333.474152</v>
      </c>
      <c r="Z330" s="3">
        <f>1488.5+(281.7-462.7)+(-0.759135+(-0.143667--0.235977))+0-0-0</f>
        <v>1306.833175</v>
      </c>
      <c r="AA330" s="3">
        <f>1400+(304.7-446.8)+(2.856+(0.621588-0.911472))+0-0-0</f>
        <v>1260.4661160000001</v>
      </c>
      <c r="AB330" s="3">
        <f>1338.5+(300.5-434.6)+(-1.36527+(-0.30651--0.443292))+0-0-0</f>
        <v>1203.1715120000001</v>
      </c>
      <c r="AC330" s="3">
        <f>1170.8+(279-339.6)+(-2.388432+(-0.56916--0.692784))+0-0-0</f>
        <v>1107.9351919999999</v>
      </c>
      <c r="AD330">
        <v>1380.3</v>
      </c>
      <c r="AE330" s="3">
        <f>1665+(257-541.7)+(0+(0-0))+0-0-0</f>
        <v>1380.3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983.7+(319.8-280.9)+(-1.505061+(-0.489294--0.429777))+0-0-0</f>
        <v>1021.0354220000002</v>
      </c>
      <c r="G331" s="3">
        <f>945.9+(340.8-321.1)+(-0.964818+(-0.347616--0.327522))+0-0-0</f>
        <v>964.6150879999999</v>
      </c>
      <c r="H331" s="3">
        <f>903.1+(347.7-319.3)+(0.460581+(0.177327-0.162843))+0-0-0</f>
        <v>931.97506499999997</v>
      </c>
      <c r="I331" s="3">
        <f>918.2+(349.5-349.4)+(0+(0-0))+0-0-0</f>
        <v>918.30000000000007</v>
      </c>
      <c r="J331" s="3">
        <f>917.7+(330.5-335.5)+(0.468027+(0.168555-0.171105))+0-0-0</f>
        <v>913.16547700000001</v>
      </c>
      <c r="K331" s="3">
        <f>957.5+(317.1-353)+(2.441625+(0.808605-0.90015))+0-0-0</f>
        <v>923.95008000000007</v>
      </c>
      <c r="L331" s="3">
        <f>1139+(314.4-492)+(-0.58089+(-0.160344--0.25092))+0-0-0</f>
        <v>960.90968599999997</v>
      </c>
      <c r="M331" s="3">
        <f>1412.9+(348.6-770.5)+(0+(0-0))+0-0-0</f>
        <v>991.00000000000011</v>
      </c>
      <c r="N331" s="3">
        <f>1578.6+(258.8-750.4)+(0+(0-0))+0-0-0</f>
        <v>1087</v>
      </c>
      <c r="O331" s="3">
        <f>1651.3+(226.3-718.3)+(0.842163+(0.115413-0.366333))+0-0-0</f>
        <v>1159.891243</v>
      </c>
      <c r="P331" s="3">
        <f>1627+(234.2-677.4)+(-1.65954+(-0.238884--0.690948))+0-0-0</f>
        <v>1182.5925239999999</v>
      </c>
      <c r="Q331" s="3">
        <f>1628.9+(238.4-666.5)+(-2.492217+(-0.364752--1.019745))+0-0-0</f>
        <v>1198.9627760000001</v>
      </c>
      <c r="R331" s="3">
        <f>1640.7+(222.7-688.9)+(-1.673514+(-0.227154--0.702678))+0-0-0</f>
        <v>1173.3020100000001</v>
      </c>
      <c r="S331" s="3">
        <f>1673+(230.6-747.8)+(2.55969+(0.352818-1.144134))+0-0-0</f>
        <v>1157.5683740000002</v>
      </c>
      <c r="T331" s="3">
        <f>1640.2+(249.5-751.7)+(-1.673004+(-0.25449--0.766734))+0-0-0</f>
        <v>1136.83924</v>
      </c>
      <c r="U331" s="3">
        <f>1535.4+(308.5-729.9)+(0.783054+(0.157335-0.372249))+0-0-0</f>
        <v>1114.5681400000001</v>
      </c>
      <c r="V331" s="3">
        <f>1473.8+(272.7-622.4)+(0.751638+(0.139077-0.317424))+0-0-0</f>
        <v>1124.6732909999998</v>
      </c>
      <c r="W331" s="3">
        <f>1632.4+(211.1-618.1)+(0.832524+(0.107661-0.315231))+0-0-0</f>
        <v>1226.024954</v>
      </c>
      <c r="X331" s="3">
        <f>1646.7+(237.2-497.7)+(0+(0-0))+0-0-0</f>
        <v>1386.2</v>
      </c>
      <c r="Y331" s="3">
        <f>1557.8+(251.1-442.9)+(-3.97239+(-0.640305--1.129395))+0-0-0</f>
        <v>1362.5166999999999</v>
      </c>
      <c r="Z331" s="3">
        <f>1456+(305.3-429.4)+(-0.74256+(-0.155703--0.218994))+0-0-0</f>
        <v>1331.2207310000001</v>
      </c>
      <c r="AA331" s="3">
        <f>1418.2+(314.5-439.2)+(-2.169846+(-0.481185--0.671976))+0-0-0</f>
        <v>1291.520945</v>
      </c>
      <c r="AB331" s="3">
        <f>1223.8+(316.6-332.5)+(-0.624138+(-0.161466--0.169575))+0-0-0</f>
        <v>1207.2839710000001</v>
      </c>
      <c r="AC331" s="3">
        <f>1153.2+(275.1-326.1)+(-2.94066+(-0.701505--0.831555))+0-0-0</f>
        <v>1099.38939</v>
      </c>
      <c r="AD331">
        <v>1358.3999999999999</v>
      </c>
      <c r="AE331" s="3">
        <f>1636+(229.1-506.7)+(0+(0-0))+0-0-0</f>
        <v>1358.4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1008+(274.1-276.7)+(-2.05632+(-0.559164--0.564468))+0-0-0</f>
        <v>1003.3489840000001</v>
      </c>
      <c r="G332" s="3">
        <f>890.1+(303.4-246.7)+(0+(0-0))+0-0-0</f>
        <v>946.8</v>
      </c>
      <c r="H332" s="3">
        <f>888.1+(317-283.8)+(-0.452931+(-0.16167--0.144738))+0-0-0</f>
        <v>920.83013699999992</v>
      </c>
      <c r="I332" s="3">
        <f>885.4+(341.2-322.9)+(0.903108+(0.348024-0.329358))+0-0-0</f>
        <v>904.62177400000007</v>
      </c>
      <c r="J332" s="3">
        <f>885.5+(336.2-312.8)+(-0.90321+(-0.342924--0.319056))+0-0-0</f>
        <v>907.97292199999993</v>
      </c>
      <c r="K332" s="3">
        <f>1012.4+(289.6-370.6)+(0.516324+(0.147696-0.189006))+0-0-0</f>
        <v>931.87501399999996</v>
      </c>
      <c r="L332" s="3">
        <f>1086.7+(260.3-382.8)+(0+(0-0))+0-0-0</f>
        <v>964.2</v>
      </c>
      <c r="M332" s="3">
        <f>1221.2+(274.4-510.5)+(0.622812+(0.139944-0.260355))+0-0-0</f>
        <v>985.60240099999999</v>
      </c>
      <c r="N332" s="3">
        <f>1532.8+(225.4-687.4)+(2.345184+(0.344862-1.051722))+0-0-0</f>
        <v>1072.438324</v>
      </c>
      <c r="O332" s="3">
        <f>1801.8+(142.3-813.1)+(2.756754+(0.217719-1.244043))+0-0-0</f>
        <v>1132.7304300000001</v>
      </c>
      <c r="P332" s="3">
        <f>1830.2+(159.6-832.4)+(3.733608+(0.325584-1.698096))+0-0-0</f>
        <v>1159.7610960000002</v>
      </c>
      <c r="Q332" s="3">
        <f>1793.8+(203.6-828.5)+(-1.829676+(-0.207672--0.84507))+0-0-0</f>
        <v>1167.7077220000001</v>
      </c>
      <c r="R332" s="3">
        <f>1653.5+(213.5-722.7)+(-4.216425+(-0.544425--1.842885))+0-0-0</f>
        <v>1141.3820349999999</v>
      </c>
      <c r="S332" s="3">
        <f>1620.7+(221.9-714.1)+(0.826557+(0.113169-0.364191))+0-0-0</f>
        <v>1129.0755349999999</v>
      </c>
      <c r="T332" s="3">
        <f>1499.1+(225.7-618.6)+(0+(0-0))+0-0-0</f>
        <v>1106.1999999999998</v>
      </c>
      <c r="U332" s="3">
        <f>1412.3+(250.2-558)+(1.440546+(0.255204-0.56916))+0-0-0</f>
        <v>1105.6265900000001</v>
      </c>
      <c r="V332" s="3">
        <f>1385.8+(225.7-481.4)+(-1.413516+(-0.230214--0.491028))+0-0-0</f>
        <v>1128.9472979999998</v>
      </c>
      <c r="W332" s="3">
        <f>1419.4+(232.4-436.7)+(-1.447788+(-0.237048--0.445434))+0-0-0</f>
        <v>1213.8605980000002</v>
      </c>
      <c r="X332" s="3">
        <f>1688.9+(208.1-523.6)+(-2.584017+(-0.318393--0.801108))+0-0-0</f>
        <v>1371.2986980000001</v>
      </c>
      <c r="Y332" s="3">
        <f>1757.1+(192.1-583.9)+(-3.584484+(-0.391884--1.191156))+0-0-0</f>
        <v>1362.514788</v>
      </c>
      <c r="Z332" s="3">
        <f>1616.2+(239.8-528.5)+(-2.472786+(-0.366894--0.808605))+0-0-0</f>
        <v>1325.4689249999999</v>
      </c>
      <c r="AA332" s="3">
        <f>1582.4+(228.5-526.2)+(-2.421072+(-0.349605--0.805086))+0-0-0</f>
        <v>1282.7344090000001</v>
      </c>
      <c r="AB332" s="3">
        <f>1400.9+(248.6-426.7)+(-1.428918+(-0.253572--0.435234))+0-0-0</f>
        <v>1221.5527440000001</v>
      </c>
      <c r="AC332" s="3">
        <f>1124.2+(302.9-312.1)+(-1.146684+(-0.308958--0.318342))+0-0-0</f>
        <v>1113.8626999999999</v>
      </c>
      <c r="AD332">
        <v>1411.9</v>
      </c>
      <c r="AE332" s="3">
        <f>1749+(215.8-552.9)+(0+(0-0))+0-0-0</f>
        <v>1411.9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1052.7+(318-337)+(-2.684385+(-0.8109--0.85935))+0-0-0</f>
        <v>1031.064065</v>
      </c>
      <c r="G333" s="3">
        <f>1052.8+(308-384.2)+(-1.610784+(-0.47124--0.587826))+0-0-0</f>
        <v>975.10580199999993</v>
      </c>
      <c r="H333" s="3">
        <f>1052.3+(313.7-419.1)+(-1.610019+(-0.479961--0.641223))+0-0-0</f>
        <v>945.45124299999986</v>
      </c>
      <c r="I333" s="3">
        <f>1052.4+(315.4-434.2)+(-2.146896+(-0.643416--0.885768))+0-0-0</f>
        <v>931.69545600000015</v>
      </c>
      <c r="J333" s="3">
        <f>1055+(302.1-422.2)+(1.0761+(0.308142-0.430644))+0-0-0</f>
        <v>935.85359800000015</v>
      </c>
      <c r="K333" s="3">
        <f>1072.1+(284.7-422.1)+(0.546771+(0.145197-0.215271))+0-0-0</f>
        <v>935.17669699999976</v>
      </c>
      <c r="L333" s="3">
        <f>1175.3+(264-480.8)+(-0.599403+(-0.13464--0.245208))+0-0-0</f>
        <v>958.01116500000001</v>
      </c>
      <c r="M333" s="3">
        <f>1369.6+(242.4-613.6)+(0+(0-0))+0-0-0</f>
        <v>998.39999999999986</v>
      </c>
      <c r="N333" s="3">
        <f>1511.9+(229.7-641.8)+(0.771069+(0.117147-0.327318))+0-0-0</f>
        <v>1100.3608980000001</v>
      </c>
      <c r="O333" s="3">
        <f>1750.5+(221.3-798.1)+(-0.892755+(-0.112863--0.407031))+0-0-0</f>
        <v>1173.1014130000001</v>
      </c>
      <c r="P333" s="3">
        <f>1781.8+(213.3-801.8)+(0+(0-0))+0-0-0</f>
        <v>1193.3</v>
      </c>
      <c r="Q333" s="3">
        <f>1761.5+(204.9-777.3)+(-1.79673+(-0.208998--0.792846))+0-0-0</f>
        <v>1187.8871179999999</v>
      </c>
      <c r="R333" s="3">
        <f>1729.6+(232.7-794.2)+(-3.528384+(-0.474708--1.620168))+0-0-0</f>
        <v>1165.7170759999999</v>
      </c>
      <c r="S333" s="3">
        <f>1578.2+(238.8-704.3)+(-3.219528+(-0.487152--1.436772))+0-0-0</f>
        <v>1110.4300920000001</v>
      </c>
      <c r="T333" s="3">
        <f>1589.6+(244.6-741.8)+(-1.621392+(-0.249492--0.756636))+0-0-0</f>
        <v>1091.285752</v>
      </c>
      <c r="U333" s="3">
        <f>1571.1+(237.2-730)+(-3.205044+(-0.483888--1.4892))+0-0-0</f>
        <v>1076.1002679999999</v>
      </c>
      <c r="V333" s="3">
        <f>1606+(227.7-734.9)+(-0.81906+(-0.116127--0.374799))+0-0-0</f>
        <v>1098.2396119999999</v>
      </c>
      <c r="W333" s="3">
        <f>1598+(242.7-632.9)+(-2.44494+(-0.371331--0.968337))+0-0-0</f>
        <v>1205.9520660000001</v>
      </c>
      <c r="X333" s="3">
        <f>1743.1+(236.5-621.2)+(-1.777962+(-0.24123--0.633624))+0-0-0</f>
        <v>1357.0144319999999</v>
      </c>
      <c r="Y333" s="3">
        <f>1763.1+(229.4-647.1)+(-1.798362+(-0.233988--0.660042))+0-0-0</f>
        <v>1344.0276919999999</v>
      </c>
      <c r="Z333" s="3">
        <f>1680.1+(256.4-642.2)+(-2.570553+(-0.392292--0.982566))+0-0-0</f>
        <v>1292.3197209999996</v>
      </c>
      <c r="AA333" s="3">
        <f>1487.3+(303.9-545.5)+(-1.517046+(-0.309978--0.55641))+0-0-0</f>
        <v>1244.4293859999998</v>
      </c>
      <c r="AB333" s="3">
        <f>1318.9+(324.9-449.3)+(-2.017917+(-0.497097--0.687429))+0-0-0</f>
        <v>1192.672415</v>
      </c>
      <c r="AC333" s="3">
        <f>993.7+(374.1-275.6)+(0+(0-0))+0-0-0</f>
        <v>1092.2</v>
      </c>
      <c r="AD333">
        <v>1365.5</v>
      </c>
      <c r="AE333" s="3">
        <f>1771+(230.5-636)+(0+(0-0))+0-0-0</f>
        <v>1365.5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946.6+(351.8-275.7)+(-0.965532+(-0.358836--0.281214))+0-0-0</f>
        <v>1021.6568460000001</v>
      </c>
      <c r="G334" s="3">
        <f>962.9+(349.9-334)+(-0.491079+(-0.178449--0.17034))+0-0-0</f>
        <v>978.30081199999995</v>
      </c>
      <c r="H334" s="3">
        <f>970.5+(319.9-344.2)+(0+(0-0))+0-0-0</f>
        <v>946.2</v>
      </c>
      <c r="I334" s="3">
        <f>970+(314.9-353.5)+(-0.9894+(-0.321198--0.36057))+0-0-0</f>
        <v>930.449972</v>
      </c>
      <c r="J334" s="3">
        <f>975.5+(317.6-367.6)+(2.487525+(0.80988-0.93738))+0-0-0</f>
        <v>927.86002499999995</v>
      </c>
      <c r="K334" s="3">
        <f>972+(322.2-360.3)+(0.49572+(0.164322-0.183753))+0-0-0</f>
        <v>934.37628899999993</v>
      </c>
      <c r="L334" s="3">
        <f>968.2+(305.4-354.6)+(-0.987564+(-0.311508--0.361692))+0-0-0</f>
        <v>918.06262000000004</v>
      </c>
      <c r="M334" s="3">
        <f>971.7+(287.7-368.2)+(0.495567+(0.146727-0.187782))+0-0-0</f>
        <v>891.65451200000007</v>
      </c>
      <c r="N334" s="3">
        <f>1031.6+(245-352.1)+(0+(0-0))+0-0-0</f>
        <v>924.49999999999989</v>
      </c>
      <c r="O334" s="3">
        <f>1093.2+(245.8-349.1)+(-0.557532+(-0.125358--0.178041))+0-0-0</f>
        <v>989.39515100000006</v>
      </c>
      <c r="P334" s="3">
        <f>1248+(240.8-441.3)+(-0.63648+(-0.122808--0.225063))+0-0-0</f>
        <v>1046.9657749999999</v>
      </c>
      <c r="Q334" s="3">
        <f>1284.3+(242.8-467.5)+(-2.619972+(-0.495312--0.9537))+0-0-0</f>
        <v>1057.438416</v>
      </c>
      <c r="R334" s="3">
        <f>1283.4+(265.7-500.2)+(-1.963602+(-0.406521--0.765306))+0-0-0</f>
        <v>1047.2951830000002</v>
      </c>
      <c r="S334" s="3">
        <f>1287.6+(269.6-532.9)+(-1.970028+(-0.412488--0.815337))+0-0-0</f>
        <v>1022.7328209999999</v>
      </c>
      <c r="T334" s="3">
        <f>1282.1+(268.8-540)+(-2.615484+(-0.548352--1.1016))+0-0-0</f>
        <v>1008.8377639999999</v>
      </c>
      <c r="U334" s="3">
        <f>1289+(314.6-564.8)+(-0.65739+(-0.160446--0.288048))+0-0-0</f>
        <v>1038.2702120000001</v>
      </c>
      <c r="V334" s="3">
        <f>1271.4+(317-517.2)+(-0.648414+(-0.16167--0.263772))+0-0-0</f>
        <v>1070.6536880000001</v>
      </c>
      <c r="W334" s="3">
        <f>1321.9+(315.4-481.5)+(-1.348338+(-0.321708--0.49113))+0-0-0</f>
        <v>1154.6210840000001</v>
      </c>
      <c r="X334" s="3">
        <f>1493.7+(297.3-517.4)+(0+(0-0))+0-0-0</f>
        <v>1273.6000000000001</v>
      </c>
      <c r="Y334" s="3">
        <f>1518.6+(297.3-548)+(0.774486+(0.151623-0.27948))+0-0-0</f>
        <v>1268.5466289999999</v>
      </c>
      <c r="Z334" s="3">
        <f>1516+(305.5-571.5)+(-1.54632+(-0.31161--0.58293))+0-0-0</f>
        <v>1248.7249999999999</v>
      </c>
      <c r="AA334" s="3">
        <f>1491.6+(305-576)+(-3.80358+(-0.77775--1.4688))+0-0-0</f>
        <v>1217.4874699999998</v>
      </c>
      <c r="AB334" s="3">
        <f>1283.2+(320.6-448.7)+(-1.308864+(-0.327012--0.457674))+0-0-0</f>
        <v>1153.9217980000001</v>
      </c>
      <c r="AC334" s="3">
        <f>1077.8+(342-357.1)+(-2.198712+(-0.69768--0.728484))+0-0-0</f>
        <v>1060.5320919999999</v>
      </c>
      <c r="AD334">
        <v>1277.0999999999999</v>
      </c>
      <c r="AE334" s="3">
        <f>1524+(285.6-532.5)+(0+(0-0))+0-0-0</f>
        <v>1277.0999999999999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985.8+(328.1-341.4)+(-2.51379+(-0.836655--0.87057))+0-0-0</f>
        <v>970.02012500000001</v>
      </c>
      <c r="G335" s="3">
        <f>985.8+(320.3-387.6)+(-2.51379+(-0.816765--0.98838))+0-0-0</f>
        <v>916.157825</v>
      </c>
      <c r="H335" s="3">
        <f>1030.7+(302.9-444.2)+(-2.102628+(-0.617916--0.906168))+0-0-0</f>
        <v>887.58562400000005</v>
      </c>
      <c r="I335" s="3">
        <f>1023.2+(285.5-423.4)+(-2.087328+(-0.58242--0.863736))+0-0-0</f>
        <v>883.49398800000006</v>
      </c>
      <c r="J335" s="3">
        <f>1028.4+(279-413.4)+(0.524484+(0.14229-0.210834))+0-0-0</f>
        <v>894.45594000000017</v>
      </c>
      <c r="K335" s="3">
        <f>1095+(259.6-448.3)+(2.2338+(0.529584-0.914532))+0-0-0</f>
        <v>908.14885199999992</v>
      </c>
      <c r="L335" s="3">
        <f>1150+(248.7-450.6)+(-2.9325+(-0.634185--1.14903))+0-0-0</f>
        <v>945.68234499999994</v>
      </c>
      <c r="M335" s="3">
        <f>1272.1+(240.7-517.8)+(1.297542+(0.245514-0.528156))+0-0-0</f>
        <v>996.01490000000001</v>
      </c>
      <c r="N335" s="3">
        <f>1694.1+(182.2-770)+(0+(0-0))+0-0-0</f>
        <v>1106.3</v>
      </c>
      <c r="O335" s="3">
        <f>1848.4+(170.6-855.8)+(-0.942684+(-0.087006--0.436458))+0-0-0</f>
        <v>1162.6067680000003</v>
      </c>
      <c r="P335" s="3">
        <f>1862.2+(146.1-822.1)+(-4.74861+(-0.372555--2.096355))+0-0-0</f>
        <v>1183.1751900000002</v>
      </c>
      <c r="Q335" s="3">
        <f>1903.7+(170.1-882)+(1.941774+(0.173502-0.89964))+0-0-0</f>
        <v>1193.0156360000001</v>
      </c>
      <c r="R335" s="3">
        <f>1850.7+(182.9-875.1)+(-4.719285+(-0.466395--2.231505))+0-0-0</f>
        <v>1155.5458249999999</v>
      </c>
      <c r="S335" s="3">
        <f>1786.6+(188.3-846.1)+(-4.55583+(-0.480165--2.157555))+0-0-0</f>
        <v>1125.92156</v>
      </c>
      <c r="T335" s="3">
        <f>1842.5+(189.1-922.4)+(-0.939675+(-0.096441--0.470424))+0-0-0</f>
        <v>1108.6343080000001</v>
      </c>
      <c r="U335" s="3">
        <f>1891.8+(184.6-958.2)+(0+(0-0))+0-0-0</f>
        <v>1118.1999999999998</v>
      </c>
      <c r="V335" s="3">
        <f>1873.9+(219.1-974.2)+(-1.911378+(-0.223482--0.993684))+0-0-0</f>
        <v>1117.6588240000001</v>
      </c>
      <c r="W335" s="3">
        <f>1928.6+(227.4-955)+(0.983586+(0.115974-0.48705))+0-0-0</f>
        <v>1201.6125099999999</v>
      </c>
      <c r="X335" s="3">
        <f>2010.6+(211.4-847.2)+(-1.025406+(-0.107814--0.432072))+0-0-0</f>
        <v>1374.0988519999996</v>
      </c>
      <c r="Y335" s="3">
        <f>2023.7+(222.5-865.5)+(-1.032087+(-0.113475--0.441405))+0-0-0</f>
        <v>1379.9958430000001</v>
      </c>
      <c r="Z335" s="3">
        <f>1774+(260.8-701.1)+(-3.61896+(-0.532032--1.430244))+0-0-0</f>
        <v>1330.9792520000001</v>
      </c>
      <c r="AA335" s="3">
        <f>1689+(266.5-680.5)+(0.86139+(0.135915-0.347055))+0-0-0</f>
        <v>1275.6502499999999</v>
      </c>
      <c r="AB335" s="3">
        <f>1605+(272.7-666.1)+(-3.2742+(-0.556308--1.358844))+0-0-0</f>
        <v>1209.128336</v>
      </c>
      <c r="AC335" s="3">
        <f>1323.3+(297.5-499.6)+(-3.374415+(-0.758625--1.27398))+0-0-0</f>
        <v>1118.3409399999998</v>
      </c>
      <c r="AD335">
        <v>1408.6</v>
      </c>
      <c r="AE335" s="3">
        <f>2025+(228.5-844.9)+(0+(0-0))+0-0-0</f>
        <v>1408.6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1307.3+(265.2-524.1)+(-2.000169+(-0.405756--0.801873))+0-0-0</f>
        <v>1046.795948</v>
      </c>
      <c r="G336" s="3">
        <f>1224.1+(274.9-509.9)+(-2.497164+(-0.560796--1.040196))+0-0-0</f>
        <v>987.08223599999985</v>
      </c>
      <c r="H336" s="3">
        <f>1247.9+(261.3-554.1)+(1.272858+(0.266526-0.565182))+0-0-0</f>
        <v>956.07420200000013</v>
      </c>
      <c r="I336" s="3">
        <f>1212.5+(260.7-529.2)+(-1.855125+(-0.398871--0.809676))+0-0-0</f>
        <v>942.55568000000005</v>
      </c>
      <c r="J336" s="3">
        <f>1223.6+(286.8-558.7)+(-0.624036+(-0.146268--0.284937))+0-0-0</f>
        <v>951.21463299999982</v>
      </c>
      <c r="K336" s="3">
        <f>1238.2+(251.4-534.6)+(1.262964+(0.256428-0.545292))+0-0-0</f>
        <v>955.97410000000002</v>
      </c>
      <c r="L336" s="3">
        <f>1231.7+(287.2-534.7)+(0.628167+(0.146472-0.272697))+0-0-0</f>
        <v>984.70194200000003</v>
      </c>
      <c r="M336" s="3">
        <f>1257.1+(299.9-524.8)+(0.641121+(0.152949-0.267648))+0-0-0</f>
        <v>1032.7264219999997</v>
      </c>
      <c r="N336" s="3">
        <f>1436.8+(280-598.3)+(-0.732768+(-0.1428--0.305133))+0-0-0</f>
        <v>1117.9295649999999</v>
      </c>
      <c r="O336" s="3">
        <f>1797.2+(269.7-843.7)+(-0.916572+(-0.137547--0.430287))+0-0-0</f>
        <v>1222.5761680000001</v>
      </c>
      <c r="P336" s="3">
        <f>1838.8+(270.3-819.5)+(0.937788+(0.137853-0.417945))+0-0-0</f>
        <v>1290.2576959999999</v>
      </c>
      <c r="Q336" s="3">
        <f>1831.9+(278.3-807.9)+(-1.868538+(-0.283866--0.824058))+0-0-0</f>
        <v>1300.9716540000002</v>
      </c>
      <c r="R336" s="3">
        <f>1834+(268.1-836.6)+(-3.74136+(-0.546924--1.706664))+0-0-0</f>
        <v>1262.9183800000001</v>
      </c>
      <c r="S336" s="3">
        <f>1838.5+(256.4-865.9)+(-2.812905+(-0.392292--1.324827))+0-0-0</f>
        <v>1227.1196299999999</v>
      </c>
      <c r="T336" s="3">
        <f>1860.6+(237-896.3)+(0.948906+(0.12087-0.457113))+0-0-0</f>
        <v>1201.9126630000001</v>
      </c>
      <c r="U336" s="3">
        <f>1833.3+(242.8-886.2)+(-3.739932+(-0.495312--1.807848))+0-0-0</f>
        <v>1187.4726039999998</v>
      </c>
      <c r="V336" s="3">
        <f>1858.5+(223.3-876.6)+(0+(0-0))+0-0-0</f>
        <v>1205.2</v>
      </c>
      <c r="W336" s="3">
        <f>1901.5+(240.3-864)+(-0.969765+(-0.122553--0.44064))+0-0-0</f>
        <v>1277.148322</v>
      </c>
      <c r="X336" s="3">
        <f>1912.2+(262.6-774.4)+(-0.975222+(-0.133926--0.394944))+0-0-0</f>
        <v>1399.685796</v>
      </c>
      <c r="Y336" s="3">
        <f>1872.5+(268.6-754.9)+(-2.864925+(-0.410958--1.154997))+0-0-0</f>
        <v>1384.0791140000001</v>
      </c>
      <c r="Z336" s="3">
        <f>1789.8+(282.4-737.6)+(-4.56399+(-0.72012--1.88088))+0-0-0</f>
        <v>1331.19677</v>
      </c>
      <c r="AA336" s="3">
        <f>1688.2+(286.9-696.3)+(0.860982+(0.146319-0.355113))+0-0-0</f>
        <v>1279.4521880000002</v>
      </c>
      <c r="AB336" s="3">
        <f>1479.7+(289.4-557.8)+(-3.018588+(-0.590376--1.137912))+0-0-0</f>
        <v>1208.8289480000001</v>
      </c>
      <c r="AC336" s="3">
        <f>1316.9+(324.7-503.3)+(-2.686476+(-0.662388--1.026732))+0-0-0</f>
        <v>1135.9778680000002</v>
      </c>
      <c r="AD336">
        <v>1428.3000000000002</v>
      </c>
      <c r="AE336" s="3">
        <f>1918+(274.9-764.6)+(0+(0-0))+0-0-0</f>
        <v>1428.3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1315.5+(271.2-542.1)+(-2.68362+(-0.553248--1.105884))+0-0-0</f>
        <v>1042.469016</v>
      </c>
      <c r="G337" s="3">
        <f>1198.2+(271.1-484)+(-1.833246+(-0.414783--0.74052))+0-0-0</f>
        <v>983.79249100000004</v>
      </c>
      <c r="H337" s="3">
        <f>1147.4+(278.5-470.4)+(-1.170348+(-0.28407--0.479808))+0-0-0</f>
        <v>954.52539000000013</v>
      </c>
      <c r="I337" s="3">
        <f>1143.1+(293-491)+(-1.165962+(-0.29886--0.50082))+0-0-0</f>
        <v>944.13599799999986</v>
      </c>
      <c r="J337" s="3">
        <f>1162.6+(284.9-506.8)+(1.185852+(0.290598-0.516936))+0-0-0</f>
        <v>941.65951399999983</v>
      </c>
      <c r="K337" s="3">
        <f>1168.9+(287.5-497.8)+(1.788417+(0.439875-0.761634))+0-0-0</f>
        <v>960.06665800000019</v>
      </c>
      <c r="L337" s="3">
        <f>1295.9+(268.2-570.6)+(1.321818+(0.273564-0.582012))+0-0-0</f>
        <v>994.51337000000001</v>
      </c>
      <c r="M337" s="3">
        <f>1454.6+(236-636.1)+(-0.741846+(-0.12036--0.324411))+0-0-0</f>
        <v>1053.962205</v>
      </c>
      <c r="N337" s="3">
        <f>1655.5+(237.3-746.7)+(2.532915+(0.363069-1.142451))+0-0-0</f>
        <v>1147.853533</v>
      </c>
      <c r="O337" s="3">
        <f>1781.2+(239.7-802.9)+(1.816824+(0.244494-0.818958))+0-0-0</f>
        <v>1219.24236</v>
      </c>
      <c r="P337" s="3">
        <f>1802.7+(239.5-778.2)+(1.838754+(0.24429-0.793764))+0-0-0</f>
        <v>1265.28928</v>
      </c>
      <c r="Q337" s="3">
        <f>1851.2+(250.8-813.5)+(-0.944112+(-0.127908--0.414885))+0-0-0</f>
        <v>1287.8428650000001</v>
      </c>
      <c r="R337" s="3">
        <f>1834.2+(263.9-823.1)+(-2.806326+(-0.403767--1.259343))+0-0-0</f>
        <v>1273.04925</v>
      </c>
      <c r="S337" s="3">
        <f>1870+(259.2-884.6)+(0.9537+(0.132192-0.451146))+0-0-0</f>
        <v>1245.2347459999999</v>
      </c>
      <c r="T337" s="3">
        <f>1858.8+(252.8-895.6)+(-0.947988+(-0.128928--0.456756))+0-0-0</f>
        <v>1215.3798400000001</v>
      </c>
      <c r="U337" s="3">
        <f>1833.7+(235.1-873.1)+(-3.740748+(-0.479604--1.781124))+0-0-0</f>
        <v>1193.2607720000001</v>
      </c>
      <c r="V337" s="3">
        <f>1866.6+(294.6-924.9)+(0.951966+(0.150246-0.471699))+0-0-0</f>
        <v>1236.930513</v>
      </c>
      <c r="W337" s="3">
        <f>1862.3+(221.9-763.7)+(0+(0-0))+0-0-0</f>
        <v>1320.5</v>
      </c>
      <c r="X337" s="3">
        <f>1859.1+(234.9-674.5)+(-1.896282+(-0.239598--0.68799))+0-0-0</f>
        <v>1418.0521100000001</v>
      </c>
      <c r="Y337" s="3">
        <f>1607+(276.5-491.4)+(-5.73699+(-0.987105--1.754298))+0-0-0</f>
        <v>1387.1302029999999</v>
      </c>
      <c r="Z337" s="3">
        <f>1563.8+(276.2-492.5)+(-3.190152+(-0.563448--1.0047))+0-0-0</f>
        <v>1344.7511</v>
      </c>
      <c r="AA337" s="3">
        <f>1557.3+(265.4-534.1)+(-4.765338+(-0.812124--1.634346))+0-0-0</f>
        <v>1284.656884</v>
      </c>
      <c r="AB337" s="3">
        <f>1522.5+(259.1-543.1)+(-1.55295+(-0.264282--0.553962))+0-0-0</f>
        <v>1237.2367300000001</v>
      </c>
      <c r="AC337" s="3">
        <f>1348.1+(278.8-473)+(-2.750124+(-0.568752--0.96492))+0-0-0</f>
        <v>1151.5460439999999</v>
      </c>
      <c r="AD337">
        <v>1416.5000000000002</v>
      </c>
      <c r="AE337" s="3">
        <f>1808+(244.8-636.3)+(0+(0-0))+0-0-0</f>
        <v>1416.5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1330.1+(234.4-528)+(-2.035053+(-0.358632--0.80784))+0-0-0</f>
        <v>1034.9141549999999</v>
      </c>
      <c r="G338" s="3">
        <f>1346.2+(243.6-614.4)+(-0.686562+(-0.124236--0.313344))+0-0-0</f>
        <v>974.90254600000014</v>
      </c>
      <c r="H338" s="3">
        <f>1313.1+(236.6-604.2)+(-3.348405+(-0.60333--1.54071))+0-0-0</f>
        <v>943.08897499999989</v>
      </c>
      <c r="I338" s="3">
        <f>1188.2+(261.2-512.8)+(-1.211964+(-0.266424--0.523056))+0-0-0</f>
        <v>935.64466800000014</v>
      </c>
      <c r="J338" s="3">
        <f>1176.5+(235-477)+(-2.40006+(-0.4794--0.97308))+0-0-0</f>
        <v>932.59361999999999</v>
      </c>
      <c r="K338" s="3">
        <f>1226.6+(233.4-516.2)+(0+(0-0))+0-0-0</f>
        <v>943.79999999999984</v>
      </c>
      <c r="L338" s="3">
        <f>1418.9+(255.6-708.8)+(-2.894556+(-0.521424--1.445952))+0-0-0</f>
        <v>963.7299720000002</v>
      </c>
      <c r="M338" s="3">
        <f>1629.7+(283.2-913.3)+(-0.831147+(-0.144432--0.465783))+0-0-0</f>
        <v>999.09020400000009</v>
      </c>
      <c r="N338" s="3">
        <f>1665.3+(302.1-887)+(3.397212+(0.616284-1.80948))+0-0-0</f>
        <v>1082.604016</v>
      </c>
      <c r="O338" s="3">
        <f>1644+(277.6-784.4)+(0.83844+(0.141576-0.400044))+0-0-0</f>
        <v>1137.779972</v>
      </c>
      <c r="P338" s="3">
        <f>1623.3+(257.8-707)+(0+(0-0))+0-0-0</f>
        <v>1174.0999999999999</v>
      </c>
      <c r="Q338" s="3">
        <f>1612.9+(252.5-679.5)+(-3.290316+(-0.5151--1.38618))+0-0-0</f>
        <v>1183.4807640000001</v>
      </c>
      <c r="R338" s="3">
        <f>1613.5+(266.5-685.5)+(-4.114425+(-0.679575--1.748025))+0-0-0</f>
        <v>1191.454025</v>
      </c>
      <c r="S338" s="3">
        <f>1624.4+(258.4-713)+(-2.485332+(-0.395352--1.09089))+0-0-0</f>
        <v>1168.0102060000002</v>
      </c>
      <c r="T338" s="3">
        <f>1622.9+(255.2-741.5)+(-2.483037+(-0.390456--1.134495))+0-0-0</f>
        <v>1134.8610020000001</v>
      </c>
      <c r="U338" s="3">
        <f>1616.7+(260.1-735.5)+(-2.473551+(-0.397953--1.125315))+0-0-0</f>
        <v>1139.5538110000002</v>
      </c>
      <c r="V338" s="3">
        <f>1649.1+(255.6-736.7)+(1.682082+(0.260712-0.751434))+0-0-0</f>
        <v>1169.19136</v>
      </c>
      <c r="W338" s="3">
        <f>1643.4+(238.1-637.1)+(0.838134+(0.121431-0.324921))+0-0-0</f>
        <v>1245.0346440000001</v>
      </c>
      <c r="X338" s="3">
        <f>1647.2+(264.4-515.7)+(0+(0-0))+0-0-0</f>
        <v>1395.9</v>
      </c>
      <c r="Y338" s="3">
        <f>1657.6+(263.2-537.7)+(-4.22688+(-0.67116--1.371135))+0-0-0</f>
        <v>1379.573095</v>
      </c>
      <c r="Z338" s="3">
        <f>1671.5+(247.9-570.5)+(0+(0-0))+0-0-0</f>
        <v>1348.9</v>
      </c>
      <c r="AA338" s="3">
        <f>1658.4+(237-594.9)+(-2.537352+(-0.36261--0.910197))+0-0-0</f>
        <v>1298.510235</v>
      </c>
      <c r="AB338" s="3">
        <f>1360.5+(293.6-435)+(-2.081565+(-0.449208--0.66555))+0-0-0</f>
        <v>1217.2347769999999</v>
      </c>
      <c r="AC338" s="3">
        <f>1055.7+(356.6-290.9)+(-1.076814+(-0.363732--0.296718))+0-0-0</f>
        <v>1120.2561720000001</v>
      </c>
      <c r="AD338">
        <v>1390.6</v>
      </c>
      <c r="AE338" s="3">
        <f>1646+(246.7-502.1)+(0+(0-0))+0-0-0</f>
        <v>1390.6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986.7+(342.7-311.6)+(-1.509651+(-0.524331--0.476748))+0-0-0</f>
        <v>1016.242766</v>
      </c>
      <c r="G339" s="3">
        <f>898.6+(347.1-286.7)+(0+(0-0))+0-0-0</f>
        <v>959</v>
      </c>
      <c r="H339" s="3">
        <f>895.9+(333.9-298.3)+(-1.370727+(-0.510867--0.456399))+0-0-0</f>
        <v>930.07480499999997</v>
      </c>
      <c r="I339" s="3">
        <f>923.1+(335-341)+(0.470781+(0.17085-0.17391))+0-0-0</f>
        <v>917.56772100000001</v>
      </c>
      <c r="J339" s="3">
        <f>927.8+(318.7-325.8)+(-0.473178+(-0.162537--0.166158))+0-0-0</f>
        <v>920.23044299999992</v>
      </c>
      <c r="K339" s="3">
        <f>998+(304.1-372)+(1.52694+(0.465273-0.56916))+0-0-0</f>
        <v>931.523053</v>
      </c>
      <c r="L339" s="3">
        <f>1172.1+(254.9-468.2)+(-0.597771+(-0.129999--0.238782))+0-0-0</f>
        <v>958.31101200000001</v>
      </c>
      <c r="M339" s="3">
        <f>1283.8+(236.9-538.5)+(0.654738+(0.120819-0.274635))+0-0-0</f>
        <v>982.70092199999988</v>
      </c>
      <c r="N339" s="3">
        <f>1580.7+(275.1-762.4)+(-0.806157+(-0.140301--0.388824))+0-0-0</f>
        <v>1092.8423660000001</v>
      </c>
      <c r="O339" s="3">
        <f>1595.5+(238.3-693)+(-0.813705+(-0.121533--0.35343))+0-0-0</f>
        <v>1140.218192</v>
      </c>
      <c r="P339" s="3">
        <f>1596.2+(233.8-673)+(0+(0-0))+0-0-0</f>
        <v>1157</v>
      </c>
      <c r="Q339" s="3">
        <f>1611.4+(230.9-676.8)+(-1.643628+(-0.235518--0.690336))+0-0-0</f>
        <v>1164.3111899999999</v>
      </c>
      <c r="R339" s="3">
        <f>1597.9+(220.6-676.6)+(-3.259716+(-0.450024--1.380264))+0-0-0</f>
        <v>1139.570524</v>
      </c>
      <c r="S339" s="3">
        <f>1604.5+(205.5-694.7)+(-2.454885+(-0.314415--1.062891))+0-0-0</f>
        <v>1113.5935910000001</v>
      </c>
      <c r="T339" s="3">
        <f>1599.1+(216.1-710.2)+(-3.262164+(-0.440844--1.448808))+0-0-0</f>
        <v>1102.7457999999999</v>
      </c>
      <c r="U339" s="3">
        <f>1596.7+(226.9-717.3)+(-2.442951+(-0.347157--1.097469))+0-0-0</f>
        <v>1104.6073610000001</v>
      </c>
      <c r="V339" s="3">
        <f>1610.9+(224.2-709.5)+(-1.643118+(-0.228684--0.72369))+0-0-0</f>
        <v>1124.4518880000001</v>
      </c>
      <c r="W339" s="3">
        <f>1610.6+(210.9-640.8)+(-1.642812+(-0.215118--0.653616))+0-0-0</f>
        <v>1179.4956859999998</v>
      </c>
      <c r="X339" s="3">
        <f>1604.2+(252.8-508.5)+(-2.454426+(-0.386784--0.778005))+0-0-0</f>
        <v>1346.4367950000001</v>
      </c>
      <c r="Y339" s="3">
        <f>1608.2+(241.9-505.9)+(-1.640364+(-0.246738--0.516018))+0-0-0</f>
        <v>1342.8289159999999</v>
      </c>
      <c r="Z339" s="3">
        <f>1583.6+(258.4-521.1)+(-4.845816+(-0.790704--1.594566))+0-0-0</f>
        <v>1316.8580459999998</v>
      </c>
      <c r="AA339" s="3">
        <f>1611.3+(253-575.1)+(-1.643526+(-0.25806--0.586602))+0-0-0</f>
        <v>1287.8850159999997</v>
      </c>
      <c r="AB339" s="3">
        <f>1521.3+(247.6-553.1)+(-3.879315+(-0.63138--1.410405))+0-0-0</f>
        <v>1212.6997099999999</v>
      </c>
      <c r="AC339" s="3">
        <f>1191.9+(312.5-382.4)+(-2.431476+(-0.6375--0.780096))+0-0-0</f>
        <v>1119.7111199999999</v>
      </c>
      <c r="AD339">
        <v>1388.7</v>
      </c>
      <c r="AE339" s="3">
        <f>1595+(280.9-487.2)+(0+(0-0))+0-0-0</f>
        <v>1388.7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1108.8+(314.4-394.1)+(-1.130976+(-0.320688--0.401982))+0-0-0</f>
        <v>1028.0503179999998</v>
      </c>
      <c r="G340" s="3">
        <f>990.8+(332.1-358.4)+(0+(0-0))+0-0-0</f>
        <v>964.5</v>
      </c>
      <c r="H340" s="3">
        <f>925.6+(348.4-327.7)+(-0.472056+(-0.177684--0.167127))+0-0-0</f>
        <v>945.81738699999994</v>
      </c>
      <c r="I340" s="3">
        <f>939.6+(357-372.8)+(1.916784+(0.72828-0.760512))+0-0-0</f>
        <v>925.68455199999994</v>
      </c>
      <c r="J340" s="3">
        <f>936.4+(338.8-350)+(1.432692+(0.518364-0.5355))+0-0-0</f>
        <v>926.61555600000008</v>
      </c>
      <c r="K340" s="3">
        <f>942.3+(206.7-230.9)+(2.402865+(0.527085-0.588795))+0-0-0</f>
        <v>920.44115499999987</v>
      </c>
      <c r="L340" s="3">
        <f>1152.8+(98-324.8)+(-0.587928+(-0.04998--0.165648))+0-0-0</f>
        <v>925.52773999999999</v>
      </c>
      <c r="M340" s="3">
        <f>1242.2+(117.6-390.8)+(0+(0-0))+0-0-0</f>
        <v>969</v>
      </c>
      <c r="N340" s="3">
        <f>1404.1+(233-562.5)+(2.864364+(0.47532-1.1475))+0-0-0</f>
        <v>1076.7921839999999</v>
      </c>
      <c r="O340" s="3">
        <f>1613.4+(236.1-698.2)+(1.645668+(0.240822-0.712164))+0-0-0</f>
        <v>1152.4743260000002</v>
      </c>
      <c r="P340" s="3">
        <f>1619.1+(247.9-694.1)+(0+(0-0))+0-0-0</f>
        <v>1172.8999999999999</v>
      </c>
      <c r="Q340" s="3">
        <f>1642.1+(258.2-727.5)+(2.512413+(0.395046-1.113075))+0-0-0</f>
        <v>1174.594384</v>
      </c>
      <c r="R340" s="3">
        <f>1588.7+(274.2-701.3)+(-4.861422+(-0.839052--2.145978))+0-0-0</f>
        <v>1158.0455040000002</v>
      </c>
      <c r="S340" s="3">
        <f>1585.1+(276-740.8)+(-4.850406+(-0.84456--2.266848))+0-0-0</f>
        <v>1116.8718819999999</v>
      </c>
      <c r="T340" s="3">
        <f>1604.6+(286.8-792.8)+(-1.636692+(-0.292536--0.808656))+0-0-0</f>
        <v>1097.4794279999999</v>
      </c>
      <c r="U340" s="3">
        <f>1593.5+(279.2-792)+(-4.063425+(-0.71196--2.0196))+0-0-0</f>
        <v>1077.944215</v>
      </c>
      <c r="V340" s="3">
        <f>1612.9+(268.8-788.4)+(-1.645158+(-0.274176--0.804168))+0-0-0</f>
        <v>1092.1848340000001</v>
      </c>
      <c r="W340" s="3">
        <f>1623.9+(249.5-706.9)+(0+(0-0))+0-0-0</f>
        <v>1166.5</v>
      </c>
      <c r="X340" s="3">
        <f>1681.2+(281.2-606.5)+(0+(0-0))+0-0-0</f>
        <v>1355.9</v>
      </c>
      <c r="Y340" s="3">
        <f>1610.2+(289.1-545.9)+(-1.642404+(-0.294882--0.556818))+0-0-0</f>
        <v>1352.019532</v>
      </c>
      <c r="Z340" s="3">
        <f>1567.3+(268.8-518.6)+(-3.197292+(-0.548352--1.057944))+0-0-0</f>
        <v>1314.8123000000001</v>
      </c>
      <c r="AA340" s="3">
        <f>1498.7+(292-524.6)+(0+(0-0))+0-0-0</f>
        <v>1266.0999999999999</v>
      </c>
      <c r="AB340" s="3">
        <f>1464.4+(285.4-546.8)+(-2.987376+(-0.582216--1.115472))+0-0-0</f>
        <v>1200.5458799999999</v>
      </c>
      <c r="AC340" s="3">
        <f>1378.6+(294.1-546.2)+(-1.406172+(-0.299982--0.557124))+0-0-0</f>
        <v>1125.35097</v>
      </c>
      <c r="AD340">
        <v>1371.3000000000002</v>
      </c>
      <c r="AE340" s="3">
        <f>1688+(282.2-598.9)+(0+(0-0))+0-0-0</f>
        <v>1371.3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1128.4+(327.3-409.2)+(-1.150968+(-0.333846--0.417384))+0-0-0</f>
        <v>1045.4325699999999</v>
      </c>
      <c r="G341" s="3">
        <f>971.5+(386.2-367.7)+(-0.495465+(-0.196962--0.187527))+0-0-0</f>
        <v>989.49509999999998</v>
      </c>
      <c r="H341" s="3">
        <f>995.7+(352.4-386)+(1.523421+(0.539172-0.59058))+0-0-0</f>
        <v>963.57201299999997</v>
      </c>
      <c r="I341" s="3">
        <f>968.9+(364.4-394.2)+(-1.482417+(-0.557532--0.603126))+0-0-0</f>
        <v>937.66317699999991</v>
      </c>
      <c r="J341" s="3">
        <f>966.9+(357.8-387.2)+(-0.493119+(-0.182478--0.197472))+0-0-0</f>
        <v>937.02187500000002</v>
      </c>
      <c r="K341" s="3">
        <f>1042.5+(348.4-448.4)+(0+(0-0))+0-0-0</f>
        <v>942.5</v>
      </c>
      <c r="L341" s="3">
        <f>1005.6+(322.2-412.4)+(-2.051424+(-0.657288--0.841296))+0-0-0</f>
        <v>913.53258400000004</v>
      </c>
      <c r="M341" s="3">
        <f>1014.1+(333.6-449.5)+(-0.517191+(-0.170136--0.229245))+0-0-0</f>
        <v>897.74191800000006</v>
      </c>
      <c r="N341" s="3">
        <f>1142.3+(295.7-504.6)+(-0.582573+(-0.150807--0.257346))+0-0-0</f>
        <v>932.92396599999984</v>
      </c>
      <c r="O341" s="3">
        <f>1417.1+(264.5-664.9)+(0+(0-0))+0-0-0</f>
        <v>1016.6999999999999</v>
      </c>
      <c r="P341" s="3">
        <f>1648+(245.3-817.7)+(0.84048+(0.125103-0.417027))+0-0-0</f>
        <v>1076.1485559999999</v>
      </c>
      <c r="Q341" s="3">
        <f>1628.7+(247.9-786)+(-3.322548+(-0.505716--1.60344))+0-0-0</f>
        <v>1088.375176</v>
      </c>
      <c r="R341" s="3">
        <f>1632.7+(256.1-818.3)+(-2.498031+(-0.391833--1.251999))+0-0-0</f>
        <v>1068.8621350000001</v>
      </c>
      <c r="S341" s="3">
        <f>1633.1+(261.3-852.7)+(-2.498643+(-0.399789--1.304631))+0-0-0</f>
        <v>1040.1061989999998</v>
      </c>
      <c r="T341" s="3">
        <f>1632.2+(267-878.7)+(-2.497266+(-0.40851--1.344411))+0-0-0</f>
        <v>1018.938635</v>
      </c>
      <c r="U341" s="3">
        <f>1635.5+(271.2-879.4)+(-1.66821+(-0.276624--0.896988))+0-0-0</f>
        <v>1026.252154</v>
      </c>
      <c r="V341" s="3">
        <f>1638+(265.9-849.8)+(0+(0-0))+0-0-0</f>
        <v>1054.0999999999999</v>
      </c>
      <c r="W341" s="3">
        <f>1627.2+(249-739.5)+(-1.659744+(-0.25398--0.75429))+0-0-0</f>
        <v>1135.5405660000001</v>
      </c>
      <c r="X341" s="3">
        <f>1648.5+(297.3-646.4)+(0+(0-0))+0-0-0</f>
        <v>1299.4000000000001</v>
      </c>
      <c r="Y341" s="3">
        <f>1661.3+(298.4-650.5)+(0+(0-0))+0-0-0</f>
        <v>1309.1999999999998</v>
      </c>
      <c r="Z341" s="3">
        <f>1656.5+(300.4-669.3)+(-0.844815+(-0.153204--0.341343))+0-0-0</f>
        <v>1286.9433239999998</v>
      </c>
      <c r="AA341" s="3">
        <f>1657+(303.8-719)+(0+(0-0))+0-0-0</f>
        <v>1241.8</v>
      </c>
      <c r="AB341" s="3">
        <f>1622+(288.8-719.8)+(-4.1361+(-0.73644--1.83549))+0-0-0</f>
        <v>1187.9629500000001</v>
      </c>
      <c r="AC341" s="3">
        <f>1473.6+(258.2-634.3)+(-3.006144+(-0.526728--1.293972))+0-0-0</f>
        <v>1095.2610999999999</v>
      </c>
      <c r="AD341">
        <v>1321.8</v>
      </c>
      <c r="AE341" s="3">
        <f>1665+(308.1-651.3)+(0+(0-0))+0-0-0</f>
        <v>1321.8000000000002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1390.7+(247.5-628.7)+(0+(0-0))+0-0-0</f>
        <v>1009.5</v>
      </c>
      <c r="G342" s="3">
        <f>1100.4+(288.7-447.4)+(0.561204+(0.147237-0.228174))+0-0-0</f>
        <v>942.18026700000007</v>
      </c>
      <c r="H342" s="3">
        <f>931.7+(328.3-343.5)+(0+(0-0))+0-0-0</f>
        <v>916.5</v>
      </c>
      <c r="I342" s="3">
        <f>929.2+(348.8-369)+(-0.473892+(-0.177888--0.18819))+0-0-0</f>
        <v>908.53641000000005</v>
      </c>
      <c r="J342" s="3">
        <f>933.7+(331.2-358.2)+(-0.476187+(-0.168912--0.182682))+0-0-0</f>
        <v>906.23758300000009</v>
      </c>
      <c r="K342" s="3">
        <f>951.2+(327.5-362.1)+(1.940448+(0.6681-0.738684))+0-0-0</f>
        <v>918.46986400000003</v>
      </c>
      <c r="L342" s="3">
        <f>1206.1+(266.7-533.3)+(1.230222+(0.272034-0.543966))+0-0-0</f>
        <v>940.45829000000003</v>
      </c>
      <c r="M342" s="3">
        <f>1484+(254.5-733.1)+(0.75684+(0.129795-0.373881))+0-0-0</f>
        <v>1005.9127539999999</v>
      </c>
      <c r="N342" s="3">
        <f>1631.5+(291.7-813.5)+(0+(0-0))+0-0-0</f>
        <v>1109.7</v>
      </c>
      <c r="O342" s="3">
        <f>1633.4+(262.5-743.3)+(0+(0-0))+0-0-0</f>
        <v>1152.6000000000001</v>
      </c>
      <c r="P342" s="3">
        <f>1635.4+(279.8-735)+(0.834054+(0.142698-0.37485))+0-0-0</f>
        <v>1180.8019020000002</v>
      </c>
      <c r="Q342" s="3">
        <f>1772+(274.8-845.3)+(-2.71116+(-0.420444--1.293309))+0-0-0</f>
        <v>1199.661705</v>
      </c>
      <c r="R342" s="3">
        <f>1770.1+(268.5-856.5)+(-2.708253+(-0.410805--1.310445))+0-0-0</f>
        <v>1180.291387</v>
      </c>
      <c r="S342" s="3">
        <f>1778+(267-880.1)+(-1.81356+(-0.27234--0.897702))+0-0-0</f>
        <v>1163.711802</v>
      </c>
      <c r="T342" s="3">
        <f>1797.2+(268-915.8)+(0.916572+(0.13668-0.467058))+0-0-0</f>
        <v>1149.9861940000001</v>
      </c>
      <c r="U342" s="3">
        <f>1789.9+(264.2-897.6)+(0+(0-0))+0-0-0</f>
        <v>1156.5</v>
      </c>
      <c r="V342" s="3">
        <f>1796.9+(242.4-860.9)+(-0.916419+(-0.123624--0.439059))+0-0-0</f>
        <v>1177.7990160000002</v>
      </c>
      <c r="W342" s="3">
        <f>1800.4+(248.2-798.5)+(0+(0-0))+0-0-0</f>
        <v>1250.1000000000001</v>
      </c>
      <c r="X342" s="3">
        <f>1811+(247.3-653)+(0+(0-0))+0-0-0</f>
        <v>1405.3</v>
      </c>
      <c r="Y342" s="3">
        <f>1824.5+(240.1-661.7)+(-3.72198+(-0.489804--1.349868))+0-0-0</f>
        <v>1400.038084</v>
      </c>
      <c r="Z342" s="3">
        <f>1825+(219.8-674.1)+(0.93075+(0.112098-0.343791))+0-0-0</f>
        <v>1371.3990570000001</v>
      </c>
      <c r="AA342" s="3">
        <f>1811.4+(210.2-700)+(-2.771442+(-0.321606--1.071))+0-0-0</f>
        <v>1319.5779520000001</v>
      </c>
      <c r="AB342" s="3">
        <f>1780.6+(222.7-747.1)+(-6.356742+(-0.795039--2.667147))+0-0-0</f>
        <v>1251.7153659999999</v>
      </c>
      <c r="AC342" s="3">
        <f>1773.8+(203.3-817.2)+(-5.427828+(-0.622098--2.500632))+0-0-0</f>
        <v>1156.3507059999999</v>
      </c>
      <c r="AD342">
        <v>1410.0000000000002</v>
      </c>
      <c r="AE342" s="3">
        <f>1813+(245.3-648.3)+(0+(0-0))+0-0-0</f>
        <v>1410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1669.8+(214.1-840.7)+(0+(0-0))+0-0-0</f>
        <v>1043.1999999999998</v>
      </c>
      <c r="G343" s="3">
        <f>1137.1+(265.7-425.2)+(-2.319684+(-0.542028--0.867408))+0-0-0</f>
        <v>975.60569599999985</v>
      </c>
      <c r="H343" s="3">
        <f>1102.4+(194-355.5)+(0.562224+(0.09894-0.181305))+0-0-0</f>
        <v>941.37985900000012</v>
      </c>
      <c r="I343" s="3">
        <f>1082.9+(205.5-352.3)+(-1.656837+(-0.314415--0.539019))+0-0-0</f>
        <v>934.66776700000014</v>
      </c>
      <c r="J343" s="3">
        <f>1107.2+(226.1-398.6)+(1.694016+(0.345933-0.609858))+0-0-0</f>
        <v>936.13009099999999</v>
      </c>
      <c r="K343" s="3">
        <f>1109.9+(228.2-389.9)+(2.264196+(0.465528-0.795396))+0-0-0</f>
        <v>950.1343280000001</v>
      </c>
      <c r="L343" s="3">
        <f>1221.1+(214.3-468.7)+(0+(0-0))+0-0-0</f>
        <v>966.69999999999993</v>
      </c>
      <c r="M343" s="3">
        <f>1505.7+(195.5-671.7)+(-0.767907+(-0.099705--0.342567))+0-0-0</f>
        <v>1028.9749549999999</v>
      </c>
      <c r="N343" s="3">
        <f>1771.1+(181.7-830.4)+(-1.806522+(-0.185334--0.847008))+0-0-0</f>
        <v>1121.255152</v>
      </c>
      <c r="O343" s="3">
        <f>1774.2+(190.1-786.6)+(-1.809684+(-0.193902--0.802332))+0-0-0</f>
        <v>1176.498746</v>
      </c>
      <c r="P343" s="3">
        <f>1757.6+(191-774.7)+(-4.48188+(-0.48705--1.975485))+0-0-0</f>
        <v>1170.9065549999998</v>
      </c>
      <c r="Q343" s="3">
        <f>1681.9+(216.1-719.3)+(0+(0-0))+0-0-0</f>
        <v>1178.7000000000003</v>
      </c>
      <c r="R343" s="3">
        <f>1624.9+(260.3-716.9)+(-0.828699+(-0.132753--0.365619))+0-0-0</f>
        <v>1167.7041670000001</v>
      </c>
      <c r="S343" s="3">
        <f>1544.6+(315.6-724.3)+(-1.575492+(-0.321912--0.738786))+0-0-0</f>
        <v>1134.7413820000002</v>
      </c>
      <c r="T343" s="3">
        <f>1545.8+(319.3-743.2)+(0+(0-0))+0-0-0</f>
        <v>1121.8999999999999</v>
      </c>
      <c r="U343" s="3">
        <f>1578.8+(336.7-792.4)+(-0.805188+(-0.171717--0.404124))+0-0-0</f>
        <v>1122.5272189999998</v>
      </c>
      <c r="V343" s="3">
        <f>1628.6+(340.3-826)+(-2.491758+(-0.520659--1.26378))+0-0-0</f>
        <v>1141.1513629999999</v>
      </c>
      <c r="W343" s="3">
        <f>1658.7+(239.5-699.4)+(-1.691874+(-0.24429--0.713388))+0-0-0</f>
        <v>1197.5772240000001</v>
      </c>
      <c r="X343" s="3">
        <f>1797.3+(221-634.3)+(-2.749869+(-0.33813--0.970479))+0-0-0</f>
        <v>1381.88248</v>
      </c>
      <c r="Y343" s="3">
        <f>1796.9+(220.2-628.6)+(-1.832838+(-0.224604--0.641172))+0-0-0</f>
        <v>1387.0837300000001</v>
      </c>
      <c r="Z343" s="3">
        <f>1813.7+(227.7-693.4)+(0+(0-0))+0-0-0</f>
        <v>1348</v>
      </c>
      <c r="AA343" s="3">
        <f>1766.7+(299.8-759.6)+(-1.802034+(-0.305796--0.774792))+0-0-0</f>
        <v>1305.5669620000001</v>
      </c>
      <c r="AB343" s="3">
        <f>1677.4+(317.7-753.7)+(-4.27737+(-0.810135--1.921935))+0-0-0</f>
        <v>1238.2344300000002</v>
      </c>
      <c r="AC343" s="3">
        <f>1680.4+(301.5-848.3)+(-1.714008+(-0.30753--0.865266))+0-0-0</f>
        <v>1132.4437280000002</v>
      </c>
      <c r="AD343">
        <v>1398.3</v>
      </c>
      <c r="AE343" s="3">
        <f>1794+(215-610.7)+(0+(0-0))+0-0-0</f>
        <v>1398.3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1340.2+(386.7-716)+(-2.050506+(-0.591651--1.09548))+0-0-0</f>
        <v>1009.353323</v>
      </c>
      <c r="G344" s="3">
        <f>1088.3+(423.9-557.6)+(-0.555033+(-0.216189--0.284376))+0-0-0</f>
        <v>954.11315399999989</v>
      </c>
      <c r="H344" s="3">
        <f>1084.3+(398.7-551.8)+(1.105986+(0.406674-0.562836))+0-0-0</f>
        <v>932.14982400000008</v>
      </c>
      <c r="I344" s="3">
        <f>1084.2+(394-560.7)+(0+(0-0))+0-0-0</f>
        <v>917.5</v>
      </c>
      <c r="J344" s="3">
        <f>1083.3+(393-562)+(-1.104966+(-0.40086--0.57324))+0-0-0</f>
        <v>913.36741399999994</v>
      </c>
      <c r="K344" s="3">
        <f>1185.2+(383.4-643.8)+(-0.604452+(-0.195534--0.328338))+0-0-0</f>
        <v>924.32835200000011</v>
      </c>
      <c r="L344" s="3">
        <f>1393.7+(349.4-795.7)+(-3.553935+(-0.89097--2.029035))+0-0-0</f>
        <v>944.98412999999994</v>
      </c>
      <c r="M344" s="3">
        <f>1640.7+(353.9-994.7)+(1.673514+(0.360978-1.014594))+0-0-0</f>
        <v>1000.919898</v>
      </c>
      <c r="N344" s="3">
        <f>1946.8+(360-1192.7)+(2.978604+(0.5508-1.824831))+0-0-0</f>
        <v>1115.8045729999999</v>
      </c>
      <c r="O344" s="3">
        <f>1919.8+(319.2-1085.6)+(-4.89549+(-0.81396--2.76828))+3.3-0-0</f>
        <v>1153.75883</v>
      </c>
      <c r="P344" s="3">
        <f>1938.2+(341.9-1119.1)+(1.976964+(0.348738-1.141482))+0.3-0-0</f>
        <v>1162.4842200000001</v>
      </c>
      <c r="Q344" s="3">
        <f>1917.9+(328.1-1077.7)+(-1.956258+(-0.334662--1.099254))+0-0-0</f>
        <v>1167.1083340000002</v>
      </c>
      <c r="R344" s="3">
        <f>1930.8+(312-1109.2)+(-0.984708+(-0.15912--0.565692))+0-0-0</f>
        <v>1133.0218639999998</v>
      </c>
      <c r="S344" s="3">
        <f>1919.6+(307.2-1120.9)+(-1.957992+(-0.313344--1.143318))+0-0-0</f>
        <v>1104.7719819999998</v>
      </c>
      <c r="T344" s="3">
        <f>1924.8+(311.8-1136.6)+(-0.981648+(-0.159018--0.579666))+0-0-0</f>
        <v>1099.4390000000001</v>
      </c>
      <c r="U344" s="3">
        <f>1907.9+(314.7-1112.5)+(-3.892116+(-0.641988--2.2695))+0-0-0</f>
        <v>1107.8353960000002</v>
      </c>
      <c r="V344" s="3">
        <f>1925.7+(237.3-1037.5)+(-0.982107+(-0.121023--0.529125))+0-0-0</f>
        <v>1124.9259950000001</v>
      </c>
      <c r="W344" s="3">
        <f>1912.8+(219.2-966.5)+(-3.902112+(-0.447168--1.97166))+0-0-0</f>
        <v>1163.12238</v>
      </c>
      <c r="X344" s="3">
        <f>1946.1+(301.4-905.3)+(-0.992511+(-0.153714--0.461703))+0-0-0</f>
        <v>1341.5154779999998</v>
      </c>
      <c r="Y344" s="3">
        <f>1922.8+(309.8-881.6)+(-4.90314+(-0.78999--2.24808))+0-0-0</f>
        <v>1347.55495</v>
      </c>
      <c r="Z344" s="3">
        <f>1932.2+(381-988.7)+(-2.956266+(-0.58293--1.512711))+0-0-0</f>
        <v>1322.4735149999999</v>
      </c>
      <c r="AA344" s="3">
        <f>1913.6+(438.5-1067.6)+(-0.975936+(-0.223635--0.544476))+0-0-0</f>
        <v>1283.8449049999999</v>
      </c>
      <c r="AB344" s="3">
        <f>1843.6+(380.7-1009)+(-0.940236+(-0.194157--0.51459))+0-0-0</f>
        <v>1214.6801969999999</v>
      </c>
      <c r="AC344" s="3">
        <f>1835.6+(378.5-1076.2)+(0+(0-0))+0-0-0</f>
        <v>1137.8999999999999</v>
      </c>
      <c r="AD344">
        <v>1369.8</v>
      </c>
      <c r="AE344" s="3">
        <f>1953+(320.5-903.7)+(0+(0-0))+0-0-0</f>
        <v>1369.8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1488.2+(346.1-784.2)+(-3.79491+(-0.882555--1.99971))+0-0-0</f>
        <v>1047.422245</v>
      </c>
      <c r="G345" s="3">
        <f>1150+(342.9-509.1)+(-1.7595+(-0.524637--0.778923))+0-0-0</f>
        <v>982.29478599999993</v>
      </c>
      <c r="H345" s="3">
        <f>1156.3+(353.9-555.5)+(-1.179426+(-0.360978--0.56661))+0-0-0</f>
        <v>953.72620599999993</v>
      </c>
      <c r="I345" s="3">
        <f>1151.7+(347.5-560.7)+(-1.762101+(-0.531675--0.857871))+0-0-0</f>
        <v>937.06409499999995</v>
      </c>
      <c r="J345" s="3">
        <f>1168.1+(302.3-526.7)+(1.191462+(0.308346-0.537234))+0-0-0</f>
        <v>944.66257399999984</v>
      </c>
      <c r="K345" s="3">
        <f>1195.7+(314.3-559.4)+(0.609807+(0.160293-0.285294))+0-0-0</f>
        <v>951.08480600000019</v>
      </c>
      <c r="L345" s="3">
        <f>1436+(406.6-872.4)+(0.73236+(0.207366-0.444924))+0-0-0</f>
        <v>970.6948020000001</v>
      </c>
      <c r="M345" s="3">
        <f>1679.8+(402.6-1058.6)+(0.856698+(0.205326-0.539886))+0-0-0</f>
        <v>1024.322138</v>
      </c>
      <c r="N345" s="3">
        <f>1816.3+(418-1114.3)+(1.852626+(0.42636-1.136586))+0-0-0</f>
        <v>1121.1424</v>
      </c>
      <c r="O345" s="3">
        <f>1812.1+(446-1100.4)+(1.848342+(0.45492-1.122408))+0-0-0</f>
        <v>1158.8808539999998</v>
      </c>
      <c r="P345" s="3">
        <f>1780.6+(423.9-1049.1)+(-2.724318+(-0.648567--1.605123))+0-0-0</f>
        <v>1153.6322380000001</v>
      </c>
      <c r="Q345" s="3">
        <f>1781.6+(424.8-1053.1)+(-1.817232+(-0.433296--1.074162))+0-0-0</f>
        <v>1152.123634</v>
      </c>
      <c r="R345" s="3">
        <f>1746+(404.9-1020.8)+(-4.4523+(-1.032495--2.60304))+0-0-0</f>
        <v>1127.2182449999998</v>
      </c>
      <c r="S345" s="3">
        <f>1719.4+(424.2-1035.8)+(1.753788+(0.432684-1.056516))+0-0-0</f>
        <v>1108.9299560000002</v>
      </c>
      <c r="T345" s="3">
        <f>1697.4+(436.6-1050.7)+(-1.731348+(-0.445332--1.071714))+0-0-0</f>
        <v>1082.1950340000001</v>
      </c>
      <c r="U345" s="3">
        <f>1626.3+(407.2-958.1)+(3.317652+(0.830688-1.954524))+0-0-0</f>
        <v>1077.5938159999998</v>
      </c>
      <c r="V345" s="3">
        <f>1532.3+(335.3-791.2)+(-1.562946+(-0.342006--0.807024))+0-0-0</f>
        <v>1075.302072</v>
      </c>
      <c r="W345" s="3">
        <f>1650.8+(286.1-801.6)+(0.841908+(0.145911-0.408816))+0-0-0</f>
        <v>1135.879003</v>
      </c>
      <c r="X345" s="3">
        <f>1968+(308.7-915.3)+(2.00736+(0.314874-0.933606))+0-0-0</f>
        <v>1362.788628</v>
      </c>
      <c r="Y345" s="3">
        <f>1988.1+(326.5-939.6)+(1.013931+(0.166515-0.479196))+0-0-0</f>
        <v>1375.7012500000001</v>
      </c>
      <c r="Z345" s="3">
        <f>1875.5+(390.3-925.7)+(-1.91301+(-0.398106--0.944214))+0-0-0</f>
        <v>1338.7330979999999</v>
      </c>
      <c r="AA345" s="3">
        <f>1752.9+(452.8-925.6)+(-1.787958+(-0.461856--0.944112))+0-0-0</f>
        <v>1278.794298</v>
      </c>
      <c r="AB345" s="3">
        <f>1656+(443.3-891)+(-2.53368+(-0.678249--1.36323))+0-0-0</f>
        <v>1206.4513010000001</v>
      </c>
      <c r="AC345" s="3">
        <f>1540.5+(383.7-804.2)+(-2.356965+(-0.587061--1.230426))+0-0-0</f>
        <v>1118.2864</v>
      </c>
      <c r="AD345">
        <v>1395.6</v>
      </c>
      <c r="AE345" s="3">
        <f>1977+(308.2-889.6)+(0+(0-0))+0-0-0</f>
        <v>1395.6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1219.7+(417.5-629.8)+(0+(0-0))+0-0-0</f>
        <v>1007.4000000000001</v>
      </c>
      <c r="G346" s="3">
        <f>1095.1+(404.3-538.2)+(-2.234004+(-0.824772--1.097928))+0-0-0</f>
        <v>959.23915199999976</v>
      </c>
      <c r="H346" s="3">
        <f>1093.4+(370.8-531.7)+(-1.672902+(-0.567324--0.813501))+0-0-0</f>
        <v>931.07327499999997</v>
      </c>
      <c r="I346" s="3">
        <f>1089.4+(364.5-525.3)+(-1.111188+(-0.37179--0.535806))+0-0-0</f>
        <v>927.65282800000011</v>
      </c>
      <c r="J346" s="3">
        <f>1105.2+(333.6-519)+(0.563652+(0.170136-0.26469))+0-0-0</f>
        <v>920.2690980000001</v>
      </c>
      <c r="K346" s="3">
        <f>1097.6+(364-525.4)+(0.559776+(0.18564-0.267954))+0-0-0</f>
        <v>936.67746199999988</v>
      </c>
      <c r="L346" s="3">
        <f>1120+(416-608.8)+(0.5712+(0.21216-0.310488))+0-0-0</f>
        <v>927.6728720000001</v>
      </c>
      <c r="M346" s="3">
        <f>1344.5+(424-795.3)+(0+(0-0))+0-0-0</f>
        <v>973.2</v>
      </c>
      <c r="N346" s="3">
        <f>1750.3+(383.7-1065.3)+(0.892653+(0.195687-0.543303))+0-0-0</f>
        <v>1069.2450370000001</v>
      </c>
      <c r="O346" s="3">
        <f>1938.9+(377.1-1198.2)+(0+(0-0))+0-0-0</f>
        <v>1117.8000000000002</v>
      </c>
      <c r="P346" s="3">
        <f>1932.6+(381.4-1192.8)+(-3.942504+(-0.778056--2.433312))+0-0-0</f>
        <v>1118.9127519999997</v>
      </c>
      <c r="Q346" s="3">
        <f>1937+(376.2-1186.2)+(0+(0-0))+0-0-0</f>
        <v>1127</v>
      </c>
      <c r="R346" s="3">
        <f>1950.4+(421.7-1266.9)+(-1.989408+(-0.430134--1.292238))+0-0-0</f>
        <v>1104.072696</v>
      </c>
      <c r="S346" s="3">
        <f>1939.2+(426-1279.7)+(-0.988992+(-0.21726--0.652647))+0-0-0</f>
        <v>1084.9463949999999</v>
      </c>
      <c r="T346" s="3">
        <f>1957.4+(431.2-1319.8)+(0.998274+(0.219912-0.673098))+0-0-0</f>
        <v>1069.3450880000003</v>
      </c>
      <c r="U346" s="3">
        <f>1921+(375.4-1243.5)+(-4.89855+(-0.95727--3.170925))+0-0-0</f>
        <v>1050.215105</v>
      </c>
      <c r="V346" s="3">
        <f>1940.8+(370.8-1257.5)+(0+(0-0))+0-0-0</f>
        <v>1054.0999999999999</v>
      </c>
      <c r="W346" s="3">
        <f>1925.2+(253.6-1067.9)+(-3.927408+(-0.517344--2.178516))+0-0-0</f>
        <v>1108.6337640000002</v>
      </c>
      <c r="X346" s="3">
        <f>1934.2+(291.7-926.5)+(-1.972884+(-0.297534--0.94503))+0-0-0</f>
        <v>1298.0746120000001</v>
      </c>
      <c r="Y346" s="3">
        <f>1911.6+(297.3-893.3)+(-5.849496+(-0.909738--2.733498))+0-0-0</f>
        <v>1311.5742639999999</v>
      </c>
      <c r="Z346" s="3">
        <f>1906.5+(340-959.9)+(-2.916945+(-0.5202--1.468647))+0-0-0</f>
        <v>1284.631502</v>
      </c>
      <c r="AA346" s="3">
        <f>1906.2+(386.9-1044)+(-1.944324+(-0.394638--1.06488))+0-0-0</f>
        <v>1247.825918</v>
      </c>
      <c r="AB346" s="3">
        <f>1802.1+(378.8-1000.3)+(-2.757213+(-0.579564--1.530459))+0-0-0</f>
        <v>1178.793682</v>
      </c>
      <c r="AC346" s="3">
        <f>1713.5+(363.1-974.8)+(-4.369425+(-0.925905--2.48574))+0-0-0</f>
        <v>1098.9904100000001</v>
      </c>
      <c r="AD346">
        <v>1365.6</v>
      </c>
      <c r="AE346" s="3">
        <f>1946+(318.1-898.5)+(0+(0-0))+0-0-0</f>
        <v>1365.6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1449.9+(371.9-790.5)+(-2.957796+(-0.758676--1.61262))+0-0-0</f>
        <v>1029.1961480000002</v>
      </c>
      <c r="G347" s="3">
        <f>1269.2+(304.3-620.2)+(1.941876+(0.465579-0.948906))+0-0-0</f>
        <v>954.7585489999999</v>
      </c>
      <c r="H347" s="3">
        <f>1195+(279.2-559.8)+(-3.04725+(-0.71196--1.42749))+0-0-0</f>
        <v>912.06828000000007</v>
      </c>
      <c r="I347" s="3">
        <f>1214.4+(305-619.2)+(1.238688+(0.3111-0.631584))+0-0-0</f>
        <v>901.11820399999999</v>
      </c>
      <c r="J347" s="3">
        <f>1199.7+(258.5-564.6)+(-2.447388+(-0.52734--1.151784))+0-0-0</f>
        <v>891.77705600000002</v>
      </c>
      <c r="K347" s="3">
        <f>1200.3+(283.3-576)+(-1.224306+(-0.288966--0.58752))+0-0-0</f>
        <v>906.67424799999992</v>
      </c>
      <c r="L347" s="3">
        <f>1248.7+(398-759.6)+(-2.547348+(-0.81192--1.549584))+0-0-0</f>
        <v>885.29031600000008</v>
      </c>
      <c r="M347" s="3">
        <f>1302.1+(418.6-793.6)+(3.984426+(1.280916-2.428416))+0-0-0</f>
        <v>929.93692599999986</v>
      </c>
      <c r="N347" s="3">
        <f>1431.1+(415.2-845.8)+(2.919444+(0.847008-1.725432))+0-0-0</f>
        <v>1002.54102</v>
      </c>
      <c r="O347" s="3">
        <f>1620.6+(389.2-1008.3)+(-0.826506+(-0.198492--0.514233))+0-0-0</f>
        <v>1000.989235</v>
      </c>
      <c r="P347" s="3">
        <f>1634.8+(373.5-982.7)+(1.667496+(0.38097-1.002354))+0-0-0</f>
        <v>1026.6461119999999</v>
      </c>
      <c r="Q347" s="3">
        <f>1697.7+(367.4-1030.4)+(0+(0-0))+0-0-0</f>
        <v>1034.6999999999998</v>
      </c>
      <c r="R347" s="3">
        <f>1728.5+(411.5-1054.6)+(-5.28921+(-1.25919--3.227076))+0-0-0</f>
        <v>1082.0786760000001</v>
      </c>
      <c r="S347" s="3">
        <f>1689.7+(428.6-1069.5)+(-5.170482+(-1.311516--3.27267))+0-0-0</f>
        <v>1045.5906720000003</v>
      </c>
      <c r="T347" s="3">
        <f>1633.8+(501.8-1108.5)+(3.332952+(1.023672-2.26134))+0-0-0</f>
        <v>1029.1952839999999</v>
      </c>
      <c r="U347" s="3">
        <f>1582.8+(396.3-940.5)+(0.807228+(0.202113-0.479655))+0-0-0</f>
        <v>1039.129686</v>
      </c>
      <c r="V347" s="3">
        <f>1613.7+(313.1-870.2)+(-0.822987+(-0.159681--0.443802))+0-0-0</f>
        <v>1056.0611339999998</v>
      </c>
      <c r="W347" s="3">
        <f>1854.9+(204.3-929.8)+(-1.891998+(-0.208386--0.948396))+0-0-0</f>
        <v>1128.248012</v>
      </c>
      <c r="X347" s="3">
        <f>1929.4+(187-827.7)+(-0.983994+(-0.09537--0.422127))+0-0-0</f>
        <v>1288.0427630000001</v>
      </c>
      <c r="Y347" s="3">
        <f>1907+(209.6-804)+(-2.91771+(-0.320688--1.23012))+0-0-0</f>
        <v>1310.5917219999999</v>
      </c>
      <c r="Z347" s="3">
        <f>1832.5+(243-798.3)+(-3.7383+(-0.49572--1.628532))+0-0-0</f>
        <v>1274.5945120000001</v>
      </c>
      <c r="AA347" s="3">
        <f>1811.4+(308.3-894.4)+(0+(0-0))+0-0-0</f>
        <v>1225.3000000000002</v>
      </c>
      <c r="AB347" s="3">
        <f>1782.4+(298.5-902.8)+(-4.54512+(-0.761175--2.30214))+0-0-0</f>
        <v>1175.0958450000001</v>
      </c>
      <c r="AC347" s="3">
        <f>1703.1+(344.5-970.4)+(0+(0-0))+0-0-0</f>
        <v>1077.1999999999998</v>
      </c>
      <c r="AD347">
        <v>1311.2000000000003</v>
      </c>
      <c r="AE347" s="3">
        <f>1918+(200.3-807.1)+(0+(0-0))+0-0-0</f>
        <v>1311.2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1569.2+(283.5-787.2)+(-3.201168+(-0.57834--1.605888))+0-0-0</f>
        <v>1063.32638</v>
      </c>
      <c r="G348" s="3">
        <f>1144.3+(268.5-465.4)+(0+(0-0))+0-0-0</f>
        <v>947.4</v>
      </c>
      <c r="H348" s="3">
        <f>1192.2+(244.3-513.1)+(0.608022+(0.124593-0.261681))+0-0-0</f>
        <v>923.87093400000015</v>
      </c>
      <c r="I348" s="3">
        <f>1210.5+(215.6-522.2)+(-1.23471+(-0.219912--0.532644))+0-0-0</f>
        <v>902.97802200000001</v>
      </c>
      <c r="J348" s="3">
        <f>1191.8+(214-538.6)+(-3.03909+(-0.5457--1.37343))+0-0-0</f>
        <v>864.98863999999992</v>
      </c>
      <c r="K348" s="3">
        <f>1229.4+(226-566.7)+(1.253988+(0.23052-0.578034))+0-0-0</f>
        <v>889.60647400000005</v>
      </c>
      <c r="L348" s="3">
        <f>1193.9+(233.1-563.6)+(0.608889+(0.118881-0.287436))+0-0-0</f>
        <v>863.8403340000001</v>
      </c>
      <c r="M348" s="3">
        <f>1258.7+(228.2-631.7)+(0+(0-0))+0-0-0</f>
        <v>855.2</v>
      </c>
      <c r="N348" s="3">
        <f>1580.5+(233-922.8)+(0.806055+(0.11883-0.470628))+0-0-0</f>
        <v>891.15425700000003</v>
      </c>
      <c r="O348" s="3">
        <f>1823.1+(263.1-1132.7)+(1.859562+(0.268362-1.155354))+0-0-0</f>
        <v>954.47256999999991</v>
      </c>
      <c r="P348" s="3">
        <f>1934.1+(279-1214)+(-0.986391+(-0.14229--0.61914))+0-0-0</f>
        <v>998.5904589999999</v>
      </c>
      <c r="Q348" s="3">
        <f>1975.9+(279.1-1239.5)+(-1.007709+(-0.142341--0.632145))+0-0-0</f>
        <v>1014.9820950000001</v>
      </c>
      <c r="R348" s="3">
        <f>1985.5+(275.2-1254.6)+(0+(0-0))+0-0-0</f>
        <v>1006.1000000000001</v>
      </c>
      <c r="S348" s="3">
        <f>1875.9+(281.1-1181.5)+(0+(0-0))+0-0-0</f>
        <v>975.50000000000011</v>
      </c>
      <c r="T348" s="3">
        <f>1824.8+(266.9-1147.3)+(0+(0-0))+0-0-0</f>
        <v>944.4</v>
      </c>
      <c r="U348" s="3">
        <f>1811.3+(237-1118.3)+(0+(0-0))+0-0-0</f>
        <v>930</v>
      </c>
      <c r="V348" s="3">
        <f>1813.4+(217.4-1075.6)+(0+(0-0))+0-0-0</f>
        <v>955.20000000000016</v>
      </c>
      <c r="W348" s="3">
        <f>1720.5+(198.1-934.4)+(0+(0-0))+0-0-0</f>
        <v>984.2</v>
      </c>
      <c r="X348" s="3">
        <f>1852.6+(210.5-924.2)+(0+(0-0))+0-0-0</f>
        <v>1138.8999999999999</v>
      </c>
      <c r="Y348" s="3">
        <f>1885.2+(219.2-931.8)+(0+(0-0))+0-0-0</f>
        <v>1172.6000000000001</v>
      </c>
      <c r="Z348" s="3">
        <f>1856.5+(232.2-931.6)+(0+(0-0))+0-0-0</f>
        <v>1157.0999999999999</v>
      </c>
      <c r="AA348" s="3">
        <f>1928.8+(231.9-900.8)+(0+(0-0))+0-0-0</f>
        <v>1259.9000000000001</v>
      </c>
      <c r="AB348" s="3">
        <f>1934.9+(222.4-969.2)+(0+(0-0))+0-0-0</f>
        <v>1188.0999999999999</v>
      </c>
      <c r="AC348" s="3">
        <f>1807.8+(261.6-970.4)+(0+(0-0))+0-0-0</f>
        <v>1099</v>
      </c>
      <c r="AD348">
        <v>1268.5999999999999</v>
      </c>
      <c r="AE348" s="3">
        <f>1897+(209.7-838.1)+(0+(0-0))+0-0-0</f>
        <v>1268.5999999999999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1733.1+(276.4-1017.4)+(0+(0-0))+0-0-0</f>
        <v>992.09999999999991</v>
      </c>
      <c r="G349" s="3">
        <f>1541.5+(280.2-900.7)+(0+(0-0))+0-0-0</f>
        <v>921</v>
      </c>
      <c r="H349" s="3">
        <f>1491.1+(279.5-868.6)+(0+(0-0))+0-0-0</f>
        <v>901.99999999999989</v>
      </c>
      <c r="I349" s="3">
        <f>1310.7+(233.4-653.7)+(0+(0-0))+0-0-0</f>
        <v>890.4</v>
      </c>
      <c r="J349" s="3">
        <f>1243.3+(257.7-628.9)+(0+(0-0))+0-0-0</f>
        <v>872.09999999999991</v>
      </c>
      <c r="K349" s="3">
        <f>1241.2+(282.2-624.4)+(0+(0-0))+0-0-0</f>
        <v>899</v>
      </c>
      <c r="L349" s="3">
        <f>1351+(315.9-743.2)+(3.44505+(0.805545-1.89516))+0-0-0</f>
        <v>926.05543499999999</v>
      </c>
      <c r="M349" s="3">
        <f>1576.6+(401.9-982.2)+(3.216264+(0.819876-2.003688))+0-0-0</f>
        <v>998.33245199999988</v>
      </c>
      <c r="N349" s="3">
        <f>1943.1+(364-1160.9)+(0+(0-0))+0-0-0</f>
        <v>1146.1999999999998</v>
      </c>
      <c r="O349" s="3">
        <f>2005.6+(338.9-1124.6)+(1.022856+(0.172839-0.573546))+0-0-0</f>
        <v>1220.5221490000001</v>
      </c>
      <c r="P349" s="3">
        <f>2024.3+(317-1079.3)+(1.032393+(0.16167-0.550443))+0-0-0</f>
        <v>1262.6436200000001</v>
      </c>
      <c r="Q349" s="3">
        <f>1997.3+(283.4-1005.1)+(-3.055869+(-0.433602--1.537803))+0-0-0</f>
        <v>1273.648332</v>
      </c>
      <c r="R349" s="3">
        <f>1982.8+(288.4-1022.9)+(0+(0-0))+0-0-0</f>
        <v>1248.3</v>
      </c>
      <c r="S349" s="3">
        <f>1999.9+(286-1070.7)+(-2.039898+(-0.29172--1.092114))+0-0-0</f>
        <v>1213.9604960000001</v>
      </c>
      <c r="T349" s="3">
        <f>1968.2+(294.9-1093.3)+(0+(0-0))+0-0-0</f>
        <v>1169.8000000000002</v>
      </c>
      <c r="U349" s="3">
        <f>1972.9+(312.9-1130.1)+(-3.018537+(-0.478737--1.729053))+0-0-0</f>
        <v>1153.9317790000002</v>
      </c>
      <c r="V349" s="3">
        <f>1976.5+(294.1-1097.8)+(1.008015+(0.149991-0.559878))+0-0-0</f>
        <v>1173.3981280000003</v>
      </c>
      <c r="W349" s="3">
        <f>1979.1+(244.8-1018.9)+(-2.018682+(-0.249696--1.039278))+0-0-0</f>
        <v>1203.7709</v>
      </c>
      <c r="X349" s="3">
        <f>2022.9+(262.2-923.9)+(0+(0-0))+0-0-0</f>
        <v>1361.2</v>
      </c>
      <c r="Y349" s="3">
        <f>2007+(288.2-920.5)+(-3.07071+(-0.440946--1.408365))+0-0-0</f>
        <v>1372.5967090000001</v>
      </c>
      <c r="Z349" s="3">
        <f>1937+(235.5-827.8)+(-2.96361+(-0.360315--1.266534))+0-0-0</f>
        <v>1342.642609</v>
      </c>
      <c r="AA349" s="3">
        <f>1708.1+(230.1-645)+(-0.871131+(-0.117351--0.32895))+0-0-0</f>
        <v>1292.5404679999999</v>
      </c>
      <c r="AB349" s="3">
        <f>1684+(267.5-722.5)+(-3.43536+(-0.5457--1.4739))+0-0-0</f>
        <v>1226.4928399999999</v>
      </c>
      <c r="AC349" s="3">
        <f>1653.7+(316.8-840)+(-4.216935+(-0.80784--2.142))+0-0-0</f>
        <v>1127.617225</v>
      </c>
      <c r="AD349">
        <v>1406.4999999999998</v>
      </c>
      <c r="AE349" s="3">
        <f>2050+(324.7-968.2)+(0+(0-0))+0-0-0</f>
        <v>1406.5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1523.3+(322.5-819.1)+(-3.884415+(-0.822375--2.088705))+0-0-0</f>
        <v>1024.0819149999998</v>
      </c>
      <c r="G350" s="3">
        <f>1319.5+(342.6-696.2)+(-3.364725+(-0.87363--1.77531))+0-0-0</f>
        <v>963.43695500000001</v>
      </c>
      <c r="H350" s="3">
        <f>1310.5+(333.6-702.6)+(-3.341775+(-0.85068--1.79163))+0-0-0</f>
        <v>939.09917499999995</v>
      </c>
      <c r="I350" s="3">
        <f>1320.1+(278.8-663.5)+(-0.673251+(-0.142188--0.338385))+0-0-0</f>
        <v>934.92294599999991</v>
      </c>
      <c r="J350" s="3">
        <f>1300+(290.7-658.5)+(-3.315+(-0.741285--1.679175))+0-0-0</f>
        <v>929.82289000000003</v>
      </c>
      <c r="K350" s="3">
        <f>1264+(342.3-668.7)+(0.64464+(0.174573-0.341037))+0-0-0</f>
        <v>938.07817599999987</v>
      </c>
      <c r="L350" s="3">
        <f>1348.1+(355.9-768.4)+(-2.062593+(-0.544527--1.175652))+0-0-0</f>
        <v>934.16853199999991</v>
      </c>
      <c r="M350" s="3">
        <f>1662.4+(329.8-980.7)+(-1.695648+(-0.336396--1.000314))+0-0-0</f>
        <v>1010.46827</v>
      </c>
      <c r="N350" s="3">
        <f>1802.3+(399.3-1095.5)+(0.919173+(0.203643-0.558705))+0-0-0</f>
        <v>1106.6641109999998</v>
      </c>
      <c r="O350" s="3">
        <f>1916.4+(391.1-1146.2)+(1.954728+(0.398922-1.169124))+0-0-0</f>
        <v>1162.4845260000002</v>
      </c>
      <c r="P350" s="3">
        <f>1978.5+(363.6-1182)+(-1.009035+(-0.185436--0.60282))+0-0-0</f>
        <v>1159.508349</v>
      </c>
      <c r="Q350" s="3">
        <f>1968.1+(365.2-1178)+(-2.007462+(-0.372504--1.20156))+0-0-0</f>
        <v>1154.121594</v>
      </c>
      <c r="R350" s="3">
        <f>1970.9+(386.2-1237)+(-1.005159+(-0.196962--0.63087))+0-0-0</f>
        <v>1119.5287490000001</v>
      </c>
      <c r="S350" s="3">
        <f>1992.3+(423.8-1308.1)+(2.032146+(0.432276-1.334262))+0-0-0</f>
        <v>1109.1301599999999</v>
      </c>
      <c r="T350" s="3">
        <f>1985+(388.3-1286.5)+(1.01235+(0.198033-0.656115))+0-0-0</f>
        <v>1087.354268</v>
      </c>
      <c r="U350" s="3">
        <f>1974.5+(377.7-1267)+(1.006995+(0.192627-0.64617))+0-0-0</f>
        <v>1085.7534520000002</v>
      </c>
      <c r="V350" s="3">
        <f>1965.8+(390.6-1273.9)+(-1.002558+(-0.199206--0.649689))+0-0-0</f>
        <v>1081.9479249999999</v>
      </c>
      <c r="W350" s="3">
        <f>2022.5+(293.4-1182.1)+(3.094425+(0.448902-1.808613))+0-0-0</f>
        <v>1135.5347140000001</v>
      </c>
      <c r="X350" s="3">
        <f>2049+(295.8-1018.9)+(0+(0-0))+0-0-0</f>
        <v>1325.9</v>
      </c>
      <c r="Y350" s="3">
        <f>2035.3+(299.3-989.8)+(-3.114009+(-0.457929--1.514394))+0-0-0</f>
        <v>1342.7424559999999</v>
      </c>
      <c r="Z350" s="3">
        <f>2055.1+(324.4-1037.4)+(-2.096202+(-0.330888--1.058148))+0-0-0</f>
        <v>1340.7310579999998</v>
      </c>
      <c r="AA350" s="3">
        <f>2002.3+(340.6-1058.2)+(-5.105865+(-0.86853--2.69841))+0-0-0</f>
        <v>1281.4240149999998</v>
      </c>
      <c r="AB350" s="3">
        <f>2024+(345.3-1145.4)+(-3.09672+(-0.528309--1.752462))+0-0-0</f>
        <v>1222.027433</v>
      </c>
      <c r="AC350" s="3">
        <f>1857+(348.5-1088.7)+(-3.78828+(-0.71094--2.220948))+0-0-0</f>
        <v>1114.5217279999999</v>
      </c>
      <c r="AD350">
        <v>1347.2000000000003</v>
      </c>
      <c r="AE350" s="3">
        <f>2050+(302.3-1005.1)+(0+(0-0))+0-0-0</f>
        <v>1347.2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1569.2+(383.1-912.2)+(0.800292+(0.195381-0.465222))+0-0-0</f>
        <v>1040.630451</v>
      </c>
      <c r="G351" s="3">
        <f>1309.2+(356.4-693.7)+(-1.335384+(-0.363528--0.707574))+0-0-0</f>
        <v>970.90866199999994</v>
      </c>
      <c r="H351" s="3">
        <f>1303.7+(343.3-708.1)+(-0.664887+(-0.175083--0.361131))+0-0-0</f>
        <v>938.4211610000001</v>
      </c>
      <c r="I351" s="3">
        <f>1310.1+(337.1-721)+(0.668151+(0.171921-0.36771))+0-0-0</f>
        <v>926.67236199999991</v>
      </c>
      <c r="J351" s="3">
        <f>1299.9+(343.3-724)+(-1.325898+(-0.350166--0.73848))+0-0-0</f>
        <v>918.26241600000003</v>
      </c>
      <c r="K351" s="3">
        <f>1306.5+(358.7-728.6)+(0+(0-0))+0-0-0</f>
        <v>936.59999999999991</v>
      </c>
      <c r="L351" s="3">
        <f>1266.7+(413-737.1)+(-1.292034+(-0.42126--0.751842))+0-0-0</f>
        <v>941.63854800000001</v>
      </c>
      <c r="M351" s="3">
        <f>1455.5+(339.5-828.7)+(0.742305+(0.173145-0.422637))+0-0-0</f>
        <v>966.79281299999991</v>
      </c>
      <c r="N351" s="3">
        <f>1845.4+(374.2-1133.1)+(1.882308+(0.381684-1.155762))+0-0-0</f>
        <v>1087.6082300000003</v>
      </c>
      <c r="O351" s="3">
        <f>1955.2+(304.1-1137.8)+(0.997152+(0.155091-0.580278))+0-0-0</f>
        <v>1122.0719650000001</v>
      </c>
      <c r="P351" s="3">
        <f>2005.6+(207.4-1072.3)+(-3.068568+(-0.317322--1.640619))+0-0-0</f>
        <v>1138.9547289999998</v>
      </c>
      <c r="Q351" s="3">
        <f>2012.8+(189.1-1054.1)+(-4.106112+(-0.385764--2.150364))+0-0-0</f>
        <v>1145.4584880000002</v>
      </c>
      <c r="R351" s="3">
        <f>2006.8+(263.4-1168.5)+(-3.070404+(-0.403002--1.787805))+0-0-0</f>
        <v>1100.0143989999999</v>
      </c>
      <c r="S351" s="3">
        <f>2001.3+(250.1-1215.4)+(-5.103315+(-0.637755--3.09927))+0-0-0</f>
        <v>1033.3581999999999</v>
      </c>
      <c r="T351" s="3">
        <f>2022.2+(264.6-1332.9)+(1.031322+(0.134946-0.679779))+0-0-0</f>
        <v>954.38648899999987</v>
      </c>
      <c r="U351" s="3">
        <f>2002.2+(272.4-1323)+(-4.084488+(-0.555696--2.69892))+0-0-0</f>
        <v>949.65873600000009</v>
      </c>
      <c r="V351" s="3">
        <f>2017.7+(264.1-1261.8)+(0+(0-0))+0-0-0</f>
        <v>1020.0000000000001</v>
      </c>
      <c r="W351" s="3">
        <f>2031.4+(219.9-1136)+(1.036014+(0.112149-0.57936))+0-0-0</f>
        <v>1115.8688030000001</v>
      </c>
      <c r="X351" s="3">
        <f>2039.6+(245.2-997.3)+(2.080392+(0.250104-1.017246))+0-0-0</f>
        <v>1288.8132499999999</v>
      </c>
      <c r="Y351" s="3">
        <f>2052.2+(262.3-985.8)+(0+(0-0))+0-0-0</f>
        <v>1328.6999999999998</v>
      </c>
      <c r="Z351" s="3">
        <f>2051.3+(336.5-1085.3)+(1.046163+(0.171615-0.553503))+0-0-0</f>
        <v>1303.1642750000003</v>
      </c>
      <c r="AA351" s="3">
        <f>2016.7+(395.6-1132.5)+(-2.057034+(-0.403512--1.15515))+0-0-0</f>
        <v>1278.4946040000002</v>
      </c>
      <c r="AB351" s="3">
        <f>2015.1+(408.1-1201.3)+(-1.027701+(-0.208131--0.612663))+0-0-0</f>
        <v>1221.2768310000001</v>
      </c>
      <c r="AC351" s="3">
        <f>2001.2+(369.3-1230)+(-4.082448+(-0.753372--2.5092))+0-0-0</f>
        <v>1138.17338</v>
      </c>
      <c r="AD351">
        <v>1316</v>
      </c>
      <c r="AE351" s="3">
        <f>2054+(235.6-973.6)+(0+(0-0))+0-0-0</f>
        <v>1316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1849.1+(317.9-1123.7)+(-0.943041+(-0.162129--0.573087))+0-0-0</f>
        <v>1042.7679169999997</v>
      </c>
      <c r="G352" s="3">
        <f>1585.5+(320.3-928.2)+(0+(0-0))+0-0-0</f>
        <v>977.59999999999991</v>
      </c>
      <c r="H352" s="3">
        <f>1346+(348.2-748.8)+(-0.68646+(-0.177582--0.381888))+0-0-0</f>
        <v>944.91784600000005</v>
      </c>
      <c r="I352" s="3">
        <f>1333.8+(358.1-761.9)+(0+(0-0))+0-0-0</f>
        <v>930</v>
      </c>
      <c r="J352" s="3">
        <f>1345.2+(325.1-739.4)+(1.372104+(0.331602-0.754188))+0-0-0</f>
        <v>931.8495180000001</v>
      </c>
      <c r="K352" s="3">
        <f>1466.7+(307.8-826.3)+(-0.748017+(-0.156978--0.421413))+0-0-0</f>
        <v>947.71641800000009</v>
      </c>
      <c r="L352" s="3">
        <f>1624.4+(380.4-1053)+(-0.828444+(-0.194004--0.53703))+0-0-0</f>
        <v>951.31458200000009</v>
      </c>
      <c r="M352" s="3">
        <f>1742.4+(432.8-1159.1)+(1.777248+(0.441456-1.182282))+0-0-0</f>
        <v>1017.1364220000002</v>
      </c>
      <c r="N352" s="3">
        <f>1921.1+(432.1-1233.4)+(1.959522+(0.440742-1.258068))+0-0-0</f>
        <v>1120.9421959999997</v>
      </c>
      <c r="O352" s="3">
        <f>2046.8+(464.2-1347.2)+(2.087736+(0.473484-1.374144))+0-0-0</f>
        <v>1164.9870759999999</v>
      </c>
      <c r="P352" s="3">
        <f>1998.8+(468.1-1284.9)+(3.058164+(0.716193-1.965897))+0-0-0</f>
        <v>1183.80846</v>
      </c>
      <c r="Q352" s="3">
        <f>1959+(366.8-1133.2)+(-2.99727+(-0.561204--1.733796))+0-0-0</f>
        <v>1190.775322</v>
      </c>
      <c r="R352" s="3">
        <f>1948.8+(301.1-1091.8)+(-3.975552+(-0.614244--2.227272))+0-0-0</f>
        <v>1155.737476</v>
      </c>
      <c r="S352" s="3">
        <f>1936.8+(269.7-1063.7)+(-4.93884+(-0.687735--2.712435))+0-0-0</f>
        <v>1139.8858599999999</v>
      </c>
      <c r="T352" s="3">
        <f>1989.3+(299.2-1158.1)+(3.043629+(0.457776-1.771893))+0-0-0</f>
        <v>1132.1295120000002</v>
      </c>
      <c r="U352" s="3">
        <f>1989.4+(285-1153.9)+(3.043782+(0.43605-1.765467))+0-0-0</f>
        <v>1122.214365</v>
      </c>
      <c r="V352" s="3">
        <f>1967.7+(282.6-1117.1)+(-1.003527+(-0.144126--0.569721))+0-0-0</f>
        <v>1132.6220680000004</v>
      </c>
      <c r="W352" s="3">
        <f>1980.8+(199-947.4)+(-1.010208+(-0.10149--0.483174))+0-0-0</f>
        <v>1231.7714760000001</v>
      </c>
      <c r="X352" s="3">
        <f>2038.7+(194-871.3)+(0+(0-0))+0-0-0</f>
        <v>1361.4</v>
      </c>
      <c r="Y352" s="3">
        <f>2037.9+(180.5-839.8)+(-3.117987+(-0.276165--1.284894))+0-0-0</f>
        <v>1376.4907420000002</v>
      </c>
      <c r="Z352" s="3">
        <f>2034.8+(249.5-924.9)+(-2.075496+(-0.25449--0.943398))+0-0-0</f>
        <v>1358.013412</v>
      </c>
      <c r="AA352" s="3">
        <f>2038.2+(314.1-1046.5)+(-2.078964+(-0.320382--1.06743))+0-0-0</f>
        <v>1304.4680840000001</v>
      </c>
      <c r="AB352" s="3">
        <f>2031+(304.9-1094.1)+(-4.14324+(-0.621996--2.231964))+0-0-0</f>
        <v>1239.2667280000003</v>
      </c>
      <c r="AC352" s="3">
        <f>1953+(289.6-1103.2)+(-2.98809+(-0.443088--1.687896))+0-0-0</f>
        <v>1137.6567180000002</v>
      </c>
      <c r="AD352">
        <v>1376.5</v>
      </c>
      <c r="AE352" s="3">
        <f>2051+(201.4-875.9)+(0+(0-0))+0-0-0</f>
        <v>1376.5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1790.3+(229.6-987.7)+(-6.391371+(-0.819672--3.526089))+0-0-0</f>
        <v>1028.5150459999998</v>
      </c>
      <c r="G353" s="3">
        <f>1669.2+(281.2-984.6)+(-1.702584+(-0.286824--1.004292))+0-0-0</f>
        <v>964.81488400000001</v>
      </c>
      <c r="H353" s="3">
        <f>1568.9+(378-1015)+(-3.200556+(-0.77112--2.0706))+0-0-0</f>
        <v>929.9989240000001</v>
      </c>
      <c r="I353" s="3">
        <f>1593.4+(344.4-1025.5)+(0.812634+(0.175644-0.523005))+0-0-0</f>
        <v>912.76527300000009</v>
      </c>
      <c r="J353" s="3">
        <f>1616.5+(309.4-1010.3)+(0+(0-0))+0-0-0</f>
        <v>915.6</v>
      </c>
      <c r="K353" s="3">
        <f>1733.3+(311.1-1105.4)+(-1.767966+(-0.317322--1.127508))+0-0-0</f>
        <v>938.04221999999993</v>
      </c>
      <c r="L353" s="3">
        <f>1786.8+(347.7-1197.7)+(0.911268+(0.177327-0.610827))+0-0-0</f>
        <v>937.27776799999992</v>
      </c>
      <c r="M353" s="3">
        <f>1892+(381-1269.3)+(1.92984+(0.38862-1.294686))+0-0-0</f>
        <v>1004.723774</v>
      </c>
      <c r="N353" s="3">
        <f>1997.9+(364-1263.3)+(2.037858+(0.37128-1.288566))+0-0-0</f>
        <v>1099.7205720000002</v>
      </c>
      <c r="O353" s="3">
        <f>1977.3+(295.2-1140.2)+(0+(0-0))+0-0-0</f>
        <v>1132.3</v>
      </c>
      <c r="P353" s="3">
        <f>1983.9+(292-1127.4)+(-2.023578+(-0.29784--1.149948))+0-0-0</f>
        <v>1147.32853</v>
      </c>
      <c r="Q353" s="3">
        <f>2047.2+(298-1165.8)+(-5.22036+(-0.7599--2.97279))+0-0-0</f>
        <v>1176.3925300000001</v>
      </c>
      <c r="R353" s="3">
        <f>2024.8+(300-1152.9)+(-3.097944+(-0.459--1.763937))+0-0-0</f>
        <v>1170.1069929999999</v>
      </c>
      <c r="S353" s="3">
        <f>2003.9+(262-1096.1)+(-4.087956+(-0.53448--2.236044))+0-0-0</f>
        <v>1167.4136080000003</v>
      </c>
      <c r="T353" s="3">
        <f>2012.2+(310-1134.4)+(-1.026222+(-0.1581--0.578544))+0-0-0</f>
        <v>1187.1942219999999</v>
      </c>
      <c r="U353" s="3">
        <f>2008.8+(372.9-1213.7)+(0+(0-0))+0-0-0</f>
        <v>1168</v>
      </c>
      <c r="V353" s="3">
        <f>2024.6+(341.8-1187.7)+(3.097638+(0.522954-1.817181))+0-0-0</f>
        <v>1180.5034109999999</v>
      </c>
      <c r="W353" s="3">
        <f>2015.1+(188.9-983)+(-3.083103+(-0.289017--1.50399))+0-0-0</f>
        <v>1219.1318699999999</v>
      </c>
      <c r="X353" s="3">
        <f>2042.5+(184.7-861.1)+(2.08335+(0.188394-0.878322))+0-0-0</f>
        <v>1367.493422</v>
      </c>
      <c r="Y353" s="3">
        <f>2069.6+(232.2-926.7)+(-3.166488+(-0.355266--1.417851))+0-0-0</f>
        <v>1372.996097</v>
      </c>
      <c r="Z353" s="3">
        <f>2069.4+(264.8-990.3)+(-4.221576+(-0.540192--2.020212))+0-0-0</f>
        <v>1341.1584440000001</v>
      </c>
      <c r="AA353" s="3">
        <f>2071+(353.3-1111.9)+(-3.16863+(-0.540549--1.701207))+0-0-0</f>
        <v>1310.3920279999998</v>
      </c>
      <c r="AB353" s="3">
        <f>2070.6+(390.1-1211.7)+(-5.28003+(-0.994755--3.089835))+0-0-0</f>
        <v>1245.8150499999999</v>
      </c>
      <c r="AC353" s="3">
        <f>2049.4+(370.8-1259.6)+(-1.045194+(-0.189108--0.642396))+0-0-0</f>
        <v>1160.008094</v>
      </c>
      <c r="AD353">
        <v>1364.3000000000002</v>
      </c>
      <c r="AE353" s="3">
        <f>2070+(261.8-967.5)+(0+(0-0))+0-0-0</f>
        <v>1364.3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1933.3+(360.1-1219.1)+(-4.929915+(-0.918255--3.108705))+0-0-0</f>
        <v>1071.5605350000001</v>
      </c>
      <c r="G354" s="3">
        <f>1565.4+(348.5-925.9)+(-3.99177+(-0.888675--2.361045))+0-0-0</f>
        <v>985.48060000000009</v>
      </c>
      <c r="H354" s="3">
        <f>1311+(316.8-679.2)+(-2.00583+(-0.484704--1.039176))+0-0-0</f>
        <v>947.14864199999988</v>
      </c>
      <c r="I354" s="3">
        <f>1315.2+(310.4-695.1)+(2.012256+(0.474912-1.063503))+0-0-0</f>
        <v>931.92366500000003</v>
      </c>
      <c r="J354" s="3">
        <f>1316.1+(294.5-685.6)+(2.684844+(0.60078-1.398624))+0-0-0</f>
        <v>926.88699999999983</v>
      </c>
      <c r="K354" s="3">
        <f>1320.1+(324.1-712.2)+(3.366255+(0.826455-1.81611))+0-0-0</f>
        <v>934.37659999999994</v>
      </c>
      <c r="L354" s="3">
        <f>1441.6+(336.5-853.9)+(-1.470432+(-0.34323--0.870978))+0-0-0</f>
        <v>923.25731599999995</v>
      </c>
      <c r="M354" s="3">
        <f>1738.3+(359.4-1103.2)+(1.773066+(0.366588-1.125264))+0-0-0</f>
        <v>995.51438999999993</v>
      </c>
      <c r="N354" s="3">
        <f>1943.1+(349-1157.3)+(0.990981+(0.17799-0.590223))+0-0-0</f>
        <v>1135.3787479999999</v>
      </c>
      <c r="O354" s="3">
        <f>2037.4+(418.1-1258.7)+(2.078148+(0.426462-1.283874))+0-0-0</f>
        <v>1198.0207360000002</v>
      </c>
      <c r="P354" s="3">
        <f>2019.3+(352-1143.2)+(-2.059686+(-0.35904--1.166064))+0-0-0</f>
        <v>1226.8473379999998</v>
      </c>
      <c r="Q354" s="3">
        <f>2011.5+(410-1170)+(-3.077595+(-0.6273--1.7901))+0-0-0</f>
        <v>1249.5852050000001</v>
      </c>
      <c r="R354" s="3">
        <f>2006.2+(445.1-1226.3)+(-4.092648+(-0.908004--2.501652))+0-0-0</f>
        <v>1222.501</v>
      </c>
      <c r="S354" s="3">
        <f>2027.6+(484-1317.4)+(2.068152+(0.49368-1.343748))+0-0-0</f>
        <v>1195.4180839999999</v>
      </c>
      <c r="T354" s="3">
        <f>2030.2+(429.4-1274.7)+(2.070804+(0.437988-1.300194))+0-0-0</f>
        <v>1186.108598</v>
      </c>
      <c r="U354" s="3">
        <f>2012.7+(395.7-1233.1)+(-2.052954+(-0.403614--1.257762))+0-0-0</f>
        <v>1174.1011940000001</v>
      </c>
      <c r="V354" s="3">
        <f>2004+(367.3-1163.1)+(-3.06612+(-0.561969--1.779543))+0-0-0</f>
        <v>1206.3514540000001</v>
      </c>
      <c r="W354" s="3">
        <f>2038.7+(276.8-1053.1)+(-5.198685+(-0.70584--2.685405))+0-0-0</f>
        <v>1259.1808800000001</v>
      </c>
      <c r="X354" s="3">
        <f>2058+(386.3-1067.9)+(1.04958+(0.197013-0.544629))+0-0-0</f>
        <v>1377.101964</v>
      </c>
      <c r="Y354" s="3">
        <f>2023.3+(311.9-966.2)+(-6.191298+(-0.954414--2.956572))+0-0-0</f>
        <v>1364.81086</v>
      </c>
      <c r="Z354" s="3">
        <f>2050.1+(353.1-1058.1)+(0+(0-0))+0-0-0</f>
        <v>1345.1</v>
      </c>
      <c r="AA354" s="3">
        <f>2034.1+(447.4-1190.3)+(-3.112173+(-0.684522--1.821159))+0-0-0</f>
        <v>1289.2244639999999</v>
      </c>
      <c r="AB354" s="3">
        <f>2005.2+(435.9-1212)+(-4.090608+(-0.889236--2.47248))+0-0-0</f>
        <v>1226.5926359999999</v>
      </c>
      <c r="AC354" s="3">
        <f>2011.9+(319.6-1170.7)+(-1.026069+(-0.162996--0.597057))+0-0-0</f>
        <v>1160.2079920000001</v>
      </c>
      <c r="AD354">
        <v>1375.6000000000001</v>
      </c>
      <c r="AE354" s="3">
        <f>2061+(377.8-1063.2)+(0+(0-0))+0-0-0</f>
        <v>1375.6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1994.7+(336.4-1247.6)+(-3.051891+(-0.514692--1.908828))+0-0-0</f>
        <v>1081.842245</v>
      </c>
      <c r="G355" s="3">
        <f>1935.9+(287.8-1202)+(-3.949236+(-0.587112--2.45208))+0-0-0</f>
        <v>1019.6157320000001</v>
      </c>
      <c r="H355" s="3">
        <f>1627.8+(275.1-934.7)+(-0.830178+(-0.140301--0.476697))+0-0-0</f>
        <v>967.70621799999992</v>
      </c>
      <c r="I355" s="3">
        <f>1463.8+(280.1-796.6)+(-2.239614+(-0.428553--1.218798))+0-0-0</f>
        <v>945.85063099999991</v>
      </c>
      <c r="J355" s="3">
        <f>1394.5+(273.7-731.2)+(0.711195+(0.139587-0.372912))+0-0-0</f>
        <v>937.47787000000005</v>
      </c>
      <c r="K355" s="3">
        <f>1392.2+(284.9-739.1)+(0+(0-0))+0-0-0</f>
        <v>938</v>
      </c>
      <c r="L355" s="3">
        <f>1377.6+(332.1-813.2)+(-2.810304+(-0.677484--1.658928))+0-0-0</f>
        <v>894.67113999999992</v>
      </c>
      <c r="M355" s="3">
        <f>1489.7+(348.7-949.3)+(0.759747+(0.177837-0.484143))+0-0-0</f>
        <v>889.55344100000013</v>
      </c>
      <c r="N355" s="3">
        <f>1635.9+(357.1-1047.8)+(1.668618+(0.364242-1.068756))+0-0-0</f>
        <v>946.16410400000018</v>
      </c>
      <c r="O355" s="3">
        <f>1978.6+(301.3-1248.3)+(-1.009086+(-0.153663--0.636633))+0-0-0</f>
        <v>1031.0738839999999</v>
      </c>
      <c r="P355" s="3">
        <f>2019.5+(287-1236.4)+(1.029945+(0.14637-0.630564))+0-0-0</f>
        <v>1070.645751</v>
      </c>
      <c r="Q355" s="3">
        <f>2000.2+(278.9-1180.9)+(-3.060306+(-0.426717--1.806777))+0-0-0</f>
        <v>1096.5197539999999</v>
      </c>
      <c r="R355" s="3">
        <f>1985.3+(292.6-1191.7)+(-6.075018+(-0.895356--3.646602))+0-0-0</f>
        <v>1082.8762279999999</v>
      </c>
      <c r="S355" s="3">
        <f>2007.4+(314.2-1253.3)+(-1.023774+(-0.160242--0.639183))+0-0-0</f>
        <v>1067.7551670000003</v>
      </c>
      <c r="T355" s="3">
        <f>2007.4+(308.9-1255.6)+(0+(0-0))+0-0-0</f>
        <v>1060.7000000000003</v>
      </c>
      <c r="U355" s="3">
        <f>2007+(344.4-1301.5)+(-1.02357+(-0.175644--0.663765))+0-0-0</f>
        <v>1049.3645510000001</v>
      </c>
      <c r="V355" s="3">
        <f>2000.5+(309-1229.4)+(-2.04051+(-0.31518--1.253988))+0-0-0</f>
        <v>1078.998298</v>
      </c>
      <c r="W355" s="3">
        <f>1997.6+(198.8-1041.5)+(-4.075104+(-0.405552--2.12466))+0-0-0</f>
        <v>1152.5440039999999</v>
      </c>
      <c r="X355" s="3">
        <f>2044.9+(129.4-867.9)+(1.042899+(0.065994-0.442629))+0-0-0</f>
        <v>1307.066264</v>
      </c>
      <c r="Y355" s="3">
        <f>2068.8+(128.2-872.2)+(-3.165264+(-0.196146--1.334466))+0-0-0</f>
        <v>1322.7730560000002</v>
      </c>
      <c r="Z355" s="3">
        <f>2063.1+(170.2-937)+(2.104362+(0.173604-0.95574))+0-0-0</f>
        <v>1297.622226</v>
      </c>
      <c r="AA355" s="3">
        <f>2030.2+(248.4-1025.4)+(-4.141608+(-0.506736--2.091816))+0-0-0</f>
        <v>1250.6434719999997</v>
      </c>
      <c r="AB355" s="3">
        <f>1881.6+(239.2-929)+(-0.959616+(-0.121992--0.47379))+0-0-0</f>
        <v>1191.192182</v>
      </c>
      <c r="AC355" s="3">
        <f>1616.9+(250.6-791.2)+(-2.473857+(-0.383418--1.210536))+0-0-0</f>
        <v>1074.6532610000002</v>
      </c>
      <c r="AD355">
        <v>1327.6999999999998</v>
      </c>
      <c r="AE355" s="3">
        <f>2069+(131.7-873)+(0+(0-0))+0-0-0</f>
        <v>1327.7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1315.8+(334.2-645.9)+(-1.342116+(-0.340884--0.658818))+0-0-0</f>
        <v>1003.0758179999999</v>
      </c>
      <c r="G356" s="3">
        <f>1306.8+(343.8-704.8)+(-1.332936+(-0.350676--0.718896))+0-0-0</f>
        <v>944.835284</v>
      </c>
      <c r="H356" s="3">
        <f>1327.6+(404.3-816.6)+(1.354152+(0.412386-0.832932))+0-0-0</f>
        <v>916.23360600000001</v>
      </c>
      <c r="I356" s="3">
        <f>1308.1+(395.2-780.1)+(-2.001393+(-0.604656--1.193553))+0-0-0</f>
        <v>921.78750399999979</v>
      </c>
      <c r="J356" s="3">
        <f>1312.1+(366.9-760.4)+(-1.338342+(-0.374238--0.775608))+0-0-0</f>
        <v>917.66302799999994</v>
      </c>
      <c r="K356" s="3">
        <f>1484.4+(331.9-884.7)+(0+(0-0))+0-0-0</f>
        <v>931.6</v>
      </c>
      <c r="L356" s="3">
        <f>1691.7+(354.9-1081.7)+(0+(0-0))+0-0-0</f>
        <v>964.9</v>
      </c>
      <c r="M356" s="3">
        <f>1886.5+(377.2-1213.4)+(1.92423+(0.384744-1.237668))+0-0-0</f>
        <v>1051.371306</v>
      </c>
      <c r="N356" s="3">
        <f>2021.1+(374.6-1226.1)+(0+(0-0))+0-0-0</f>
        <v>1169.5999999999999</v>
      </c>
      <c r="O356" s="3">
        <f>2017.6+(390.2-1189.7)+(1.028976+(0.199002-0.606747))+0-0-0</f>
        <v>1218.721231</v>
      </c>
      <c r="P356" s="3">
        <f>2012+(379.6-1150.4)+(0+(0-0))+0-0-0</f>
        <v>1241.1999999999998</v>
      </c>
      <c r="Q356" s="3">
        <f>2033.2+(380.2-1149.1)+(0+(0-0))+0-0-0</f>
        <v>1264.3000000000002</v>
      </c>
      <c r="R356" s="3">
        <f>2006+(363.7-1121.3)+(-5.1153+(-0.927435--2.859315))+0-0-0</f>
        <v>1245.21658</v>
      </c>
      <c r="S356" s="3">
        <f>2014.5+(384.8-1178.8)+(-1.027395+(-0.196248--0.601188))+0-0-0</f>
        <v>1219.8775450000001</v>
      </c>
      <c r="T356" s="3">
        <f>2015.8+(413.8-1244.4)+(0+(0-0))+0-0-0</f>
        <v>1185.1999999999998</v>
      </c>
      <c r="U356" s="3">
        <f>2018.8+(402.7-1220.8)+(-1.029588+(-0.205377--0.622608))+0-0-0</f>
        <v>1200.0876430000001</v>
      </c>
      <c r="V356" s="3">
        <f>2019.5+(380.7-1174.9)+(-2.05989+(-0.388314--1.198398))+0-0-0</f>
        <v>1224.0501939999999</v>
      </c>
      <c r="W356" s="3">
        <f>2011.1+(261.8-1021.9)+(-3.076983+(-0.400554--1.563507))+0-0-0</f>
        <v>1249.0859700000001</v>
      </c>
      <c r="X356" s="3">
        <f>2033.9+(251.3-878.2)+(0+(0-0))+0-0-0</f>
        <v>1407</v>
      </c>
      <c r="Y356" s="3">
        <f>2032.1+(253.5-871.4)+(-3.109113+(-0.387855--1.333242))+0-0-0</f>
        <v>1412.0362739999998</v>
      </c>
      <c r="Z356" s="3">
        <f>1975.5+(299.8-896.7)+(-5.037525+(-0.76449--2.286585))+0-0-0</f>
        <v>1375.08457</v>
      </c>
      <c r="AA356" s="3">
        <f>1919.4+(405.6-994.6)+(-3.915576+(-0.827424--2.028984))+0-0-0</f>
        <v>1327.6859840000002</v>
      </c>
      <c r="AB356" s="3">
        <f>1837.4+(404.6-969.3)+(-0.937074+(-0.206346--0.494343))+0-0-0</f>
        <v>1272.0509230000002</v>
      </c>
      <c r="AC356" s="3">
        <f>1782.3+(374.1-971.1)+(-3.635892+(-0.763164--1.981044))+0-0-0</f>
        <v>1182.8819879999999</v>
      </c>
      <c r="AD356">
        <v>1417.8</v>
      </c>
      <c r="AE356" s="3">
        <f>2032+(247.1-861.3)+(0+(0-0))+0-0-0</f>
        <v>1417.8000000000002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1653.4+(323-903.2)+(-1.686468+(-0.32946--0.921264))+0-0-0</f>
        <v>1072.1053360000001</v>
      </c>
      <c r="G357" s="3">
        <f>1498.8+(311.5-789)+(-1.528776+(-0.31773--0.80478))+0-0-0</f>
        <v>1020.2582739999999</v>
      </c>
      <c r="H357" s="3">
        <f>1283.3+(302.7-602.1)+(-2.617932+(-0.617508--1.228284))+0-0-0</f>
        <v>981.89284399999985</v>
      </c>
      <c r="I357" s="3">
        <f>1212+(316-555.9)+(0+(0-0))+0-0-0</f>
        <v>972.1</v>
      </c>
      <c r="J357" s="3">
        <f>1207.3+(290.8-537.2)+(-1.231446+(-0.296616--0.547944))+0-0-0</f>
        <v>959.91988199999992</v>
      </c>
      <c r="K357" s="3">
        <f>1214.9+(318.5-565.7)+(0.619599+(0.162435-0.288507))+0-0-0</f>
        <v>968.19352700000002</v>
      </c>
      <c r="L357" s="3">
        <f>1226.4+(364.6-615.2)+(-0.625464+(-0.185946--0.313752))+0-0-0</f>
        <v>975.30234200000007</v>
      </c>
      <c r="M357" s="3">
        <f>1554.7+(393.8-908.7)+(0+(0-0))+0-0-0</f>
        <v>1039.8</v>
      </c>
      <c r="N357" s="3">
        <f>1940+(344-1089.2)+(0.9894+(0.17544-0.555492))+0-0-0</f>
        <v>1195.4093479999999</v>
      </c>
      <c r="O357" s="3">
        <f>1990.1+(260.3-1000.2)+(-1.014951+(-0.132753--0.510102))+0-0-0</f>
        <v>1249.5623979999998</v>
      </c>
      <c r="P357" s="3">
        <f>1983.4+(232.4-928.5)+(-1.011534+(-0.118524--0.473535))+0-0-0</f>
        <v>1286.6434770000001</v>
      </c>
      <c r="Q357" s="3">
        <f>1999.4+(279.6-974.2)+(1.019694+(0.142596-0.496842))+0-0-0</f>
        <v>1305.4654480000002</v>
      </c>
      <c r="R357" s="3">
        <f>1958.1+(299.3-984.8)+(-4.993155+(-0.763215--2.51124))+0-0-0</f>
        <v>1269.3548699999999</v>
      </c>
      <c r="S357" s="3">
        <f>1883+(323.2-965.4)+(-3.84132+(-0.659328--1.969416))+0-0-0</f>
        <v>1238.2687679999999</v>
      </c>
      <c r="T357" s="3">
        <f>1895.4+(316.8-1001.7)+(0.966654+(0.161568-0.510867))+0-0-0</f>
        <v>1211.1173550000001</v>
      </c>
      <c r="U357" s="3">
        <f>1889.2+(311.9-992.7)+(-1.926984+(-0.318138--1.012554))+0-0-0</f>
        <v>1207.1674320000002</v>
      </c>
      <c r="V357" s="3">
        <f>1877.6+(311.3-994)+(-4.78788+(-0.793815--2.5347))+0-0-0</f>
        <v>1191.8530049999999</v>
      </c>
      <c r="W357" s="3">
        <f>1752.2+(251.1-820.5)+(-3.574488+(-0.512244--1.67382))+0-0-0</f>
        <v>1180.3870880000002</v>
      </c>
      <c r="X357" s="3">
        <f>1826.1+(330.2-770.8)+(-0.931311+(-0.168402--0.393108))+0-0-0</f>
        <v>1384.7933949999999</v>
      </c>
      <c r="Y357" s="3">
        <f>1822.7+(358.1-781)+(-2.788731+(-0.547893--1.19493))+0-0-0</f>
        <v>1397.6583060000003</v>
      </c>
      <c r="Z357" s="3">
        <f>1819.9+(361.9-811.4)+(-2.784447+(-0.553707--1.241442))+0-0-0</f>
        <v>1368.3032880000001</v>
      </c>
      <c r="AA357" s="3">
        <f>1817.9+(398.5-878.1)+(-1.854258+(-0.40647--0.895662))+0-0-0</f>
        <v>1336.9349340000001</v>
      </c>
      <c r="AB357" s="3">
        <f>1783.6+(414.4-937)+(-2.728908+(-0.634032--1.43361))+0-0-0</f>
        <v>1259.0706700000001</v>
      </c>
      <c r="AC357" s="3">
        <f>1457.9+(368.5-674.5)+(-0.743529+(-0.187935--0.343995))+0-0-0</f>
        <v>1151.312531</v>
      </c>
      <c r="AD357">
        <v>1401.5000000000002</v>
      </c>
      <c r="AE357" s="3">
        <f>1832+(348.3-778.8)+(0+(0-0))+0-0-0</f>
        <v>1401.5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1396.6+(411.2-769.9)+(-2.136798+(-0.629136--1.177947))+0-0-0</f>
        <v>1036.3120129999998</v>
      </c>
      <c r="G358" s="3">
        <f>1335.8+(406.2-760.5)+(-1.362516+(-0.414324--0.77571))+0-0-0</f>
        <v>980.49887000000001</v>
      </c>
      <c r="H358" s="3">
        <f>1228.1+(402.7-684.8)+(-1.878993+(-0.616131--1.047744))+0-0-0</f>
        <v>944.55262000000005</v>
      </c>
      <c r="I358" s="3">
        <f>1161.1+(392.2-616.9)+(-1.184322+(-0.400044--0.629238))+0-0-0</f>
        <v>935.44487199999992</v>
      </c>
      <c r="J358" s="3">
        <f>1174.9+(377.3-618.5)+(1.198398+(0.384846-0.63087))+0-0-0</f>
        <v>934.65237400000001</v>
      </c>
      <c r="K358" s="3">
        <f>1184.9+(338.6-585.3)+(0+(0-0))+0-0-0</f>
        <v>938.20000000000016</v>
      </c>
      <c r="L358" s="3">
        <f>1414.2+(365.3-840.3)+(0.721242+(0.186303-0.428553))+0-0-0</f>
        <v>939.67899199999999</v>
      </c>
      <c r="M358" s="3">
        <f>1689.9+(404.2-1092.1)+(1.723698+(0.412284-1.113942))+0-0-0</f>
        <v>1003.0220400000002</v>
      </c>
      <c r="N358" s="3">
        <f>1794.1+(369.2-1046.3)+(1.829982+(0.376584-1.067226))+0-0-0</f>
        <v>1118.1393399999999</v>
      </c>
      <c r="O358" s="3">
        <f>1787.8+(361.8-978.7)+(0.911778+(0.184518-0.499137))+0-0-0</f>
        <v>1171.4971589999998</v>
      </c>
      <c r="P358" s="3">
        <f>1782.1+(375.6-975.8)+(0+(0-0))+0-0-0</f>
        <v>1181.9000000000001</v>
      </c>
      <c r="Q358" s="3">
        <f>1783.8+(402.5-992.9)+(0+(0-0))+0-0-0</f>
        <v>1193.4000000000001</v>
      </c>
      <c r="R358" s="3">
        <f>1768.7+(393.7-999.5)+(-3.608148+(-0.803148--2.03898))+0-0-0</f>
        <v>1160.5276840000001</v>
      </c>
      <c r="S358" s="3">
        <f>1772.2+(428.6-1044.7)+(-0.903822+(-0.218586--0.532797))+0-0-0</f>
        <v>1155.5103889999998</v>
      </c>
      <c r="T358" s="3">
        <f>1778.8+(435.2-1053.8)+(0+(0-0))+0-0-0</f>
        <v>1160.2</v>
      </c>
      <c r="U358" s="3">
        <f>1759.6+(393.9-979)+(-1.794792+(-0.401778--0.99858))+0-0-0</f>
        <v>1173.3020100000001</v>
      </c>
      <c r="V358" s="3">
        <f>1611.4+(375.6-785.1)+(0.821814+(0.191556-0.400401))+0-0-0</f>
        <v>1202.5129690000001</v>
      </c>
      <c r="W358" s="3">
        <f>1640.1+(325.9-720.6)+(0.836451+(0.166209-0.367506))+0-0-0</f>
        <v>1246.0351539999999</v>
      </c>
      <c r="X358" s="3">
        <f>1803.9+(296.6-707.2)+(0.919989+(0.151266-0.360672))+0-0-0</f>
        <v>1394.0105830000002</v>
      </c>
      <c r="Y358" s="3">
        <f>1812.7+(306.4-722.6)+(-0.924477+(-0.156264--0.368526))+0-0-0</f>
        <v>1395.787785</v>
      </c>
      <c r="Z358" s="3">
        <f>1807.9+(315.6-763.1)+(0.922029+(0.160956-0.389181))+0-0-0</f>
        <v>1361.0938040000001</v>
      </c>
      <c r="AA358" s="3">
        <f>1795.2+(390.4-863)+(-0.915552+(-0.199104--0.44013))+0-0-0</f>
        <v>1321.9254739999999</v>
      </c>
      <c r="AB358" s="3">
        <f>1763.2+(416.8-928.4)+(-7.193856+(-1.700544--3.787872))+0-0-0</f>
        <v>1246.4934720000001</v>
      </c>
      <c r="AC358" s="3">
        <f>1710.4+(409.1-958.6)+(-5.233824+(-1.251846--2.933316))+0-0-0</f>
        <v>1157.3476460000002</v>
      </c>
      <c r="AD358">
        <v>1406.7</v>
      </c>
      <c r="AE358" s="3">
        <f>1795+(303.9-692.2)+(0+(0-0))+0-0-0</f>
        <v>1406.6999999999998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1498.9+(432.7-866.9)+(-2.293317+(-0.662031--1.326357))+0-0-0</f>
        <v>1063.071009</v>
      </c>
      <c r="G359" s="3">
        <f>1247.4+(424.6-681.9)+(-0.636174+(-0.216546--0.347769))+0-0-0</f>
        <v>989.59504900000013</v>
      </c>
      <c r="H359" s="3">
        <f>1083.2+(438.1-568.3)+(0+(0-0))+0-0-0</f>
        <v>953.00000000000011</v>
      </c>
      <c r="I359" s="3">
        <f>1081.9+(380.2-522.6)+(0.551769+(0.193902-0.266526))+0-0-0</f>
        <v>939.97914500000002</v>
      </c>
      <c r="J359" s="3">
        <f>1083+(362.1-497.6)+(0+(0-0))+0-0-0</f>
        <v>947.5</v>
      </c>
      <c r="K359" s="3">
        <f>1211.7+(372.4-625.5)+(0.617967+(0.189924-0.319005))+0-0-0</f>
        <v>959.088886</v>
      </c>
      <c r="L359" s="3">
        <f>1352+(420.6-818.7)+(-2.75808+(-0.858024--1.670148))+0-0-0</f>
        <v>951.95404399999995</v>
      </c>
      <c r="M359" s="3">
        <f>1555.4+(390.5-913.3)+(2.379762+(0.597465-1.397349))+0-0-0</f>
        <v>1034.1798780000001</v>
      </c>
      <c r="N359" s="3">
        <f>1794.8+(373.5-1026)+(1.830696+(0.38097-1.04652))+0-0-0</f>
        <v>1143.465146</v>
      </c>
      <c r="O359" s="3">
        <f>1803.1+(263.1-892.2)+(3.678324+(0.536724-1.820088))+0-0-0</f>
        <v>1176.3949600000001</v>
      </c>
      <c r="P359" s="3">
        <f>1822.1+(314.2-932.8)+(0+(0-0))+0-0-0</f>
        <v>1203.5</v>
      </c>
      <c r="Q359" s="3">
        <f>1929.7+(309-1019.6)+(-0.984147+(-0.15759--0.519996))+0-0-0</f>
        <v>1218.478259</v>
      </c>
      <c r="R359" s="3">
        <f>1926.1+(285.4-1022.1)+(0+(0-0))+0-0-0</f>
        <v>1189.3999999999999</v>
      </c>
      <c r="S359" s="3">
        <f>1929.7+(338.5-1105.2)+(0+(0-0))+0-0-0</f>
        <v>1163</v>
      </c>
      <c r="T359" s="3">
        <f>1933.1+(355.6-1135.9)+(0+(0-0))+0-0-0</f>
        <v>1152.7999999999997</v>
      </c>
      <c r="U359" s="3">
        <f>1914.3+(354.4-1112.5)+(-2.928879+(-0.542232--1.702125))+0-0-0</f>
        <v>1154.4310139999998</v>
      </c>
      <c r="V359" s="3">
        <f>1937.4+(344.1-1123)+(3.952296+(0.701964-2.29092))+0-0-0</f>
        <v>1160.8633400000001</v>
      </c>
      <c r="W359" s="3">
        <f>1952.5+(267.8-1042.3)+(-0.995775+(-0.136578--0.531573))+0-0-0</f>
        <v>1177.39922</v>
      </c>
      <c r="X359" s="3">
        <f>1963.8+(246.6-867.1)+(0+(0-0))+0-0-0</f>
        <v>1343.3</v>
      </c>
      <c r="Y359" s="3">
        <f>1928.5+(244.2-799)+(-2.950605+(-0.373626--1.22247))+0-0-0</f>
        <v>1371.5982390000001</v>
      </c>
      <c r="Z359" s="3">
        <f>1924.4+(304.8-889.8)+(-0.981444+(-0.155448--0.453798))+0-0-0</f>
        <v>1338.7169060000001</v>
      </c>
      <c r="AA359" s="3">
        <f>1920.9+(404.5-1027.3)+(-0.979659+(-0.206295--0.523923))+0-0-0</f>
        <v>1297.4379690000001</v>
      </c>
      <c r="AB359" s="3">
        <f>1873.2+(432-1073.3)+(-4.77666+(-1.1016--2.736915))+0-0-0</f>
        <v>1228.7586550000001</v>
      </c>
      <c r="AC359" s="3">
        <f>1737.7+(397.8-982.5)+(-4.431135+(-1.01439--2.505375))+0-0-0</f>
        <v>1150.0598500000001</v>
      </c>
      <c r="AD359">
        <v>1394.6</v>
      </c>
      <c r="AE359" s="3">
        <f>1954+(248.5-807.9)+(0+(0-0))+0-0-0</f>
        <v>1394.6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1433.7+(417.7-795.9)+(-1.462374+(-0.426054--0.811818))+0-0-0</f>
        <v>1054.4233899999999</v>
      </c>
      <c r="G360" s="3">
        <f>1355.6+(415.5-782.4)+(-0.691356+(-0.211905--0.399024))+0-0-0</f>
        <v>988.19576299999994</v>
      </c>
      <c r="H360" s="3">
        <f>1318.8+(414.9-780.3)+(0+(0-0))+0-0-0</f>
        <v>953.4</v>
      </c>
      <c r="I360" s="3">
        <f>1165.6+(413-636.9)+(1.188912+(0.42126-0.649638))+0-0-0</f>
        <v>942.66053399999998</v>
      </c>
      <c r="J360" s="3">
        <f>1175.2+(412.9-644.5)+(2.99676+(1.052895-1.643475))+0-0-0</f>
        <v>946.00617999999997</v>
      </c>
      <c r="K360" s="3">
        <f>1207.1+(380.9-639.6)+(3.078105+(0.971295-1.63098))+0-0-0</f>
        <v>950.81841999999983</v>
      </c>
      <c r="L360" s="3">
        <f>1259.6+(429-748.7)+(0.642396+(0.21879-0.381837))+0-0-0</f>
        <v>940.37934899999982</v>
      </c>
      <c r="M360" s="3">
        <f>1516.2+(418.6-912.6)+(0+(0-0))+0-0-0</f>
        <v>1022.2</v>
      </c>
      <c r="N360" s="3">
        <f>1813.7+(382.9-1055.6)+(0+(0-0))+0-0-0</f>
        <v>1141</v>
      </c>
      <c r="O360" s="3">
        <f>1927.9+(377.3-1108.8)+(1.966458+(0.384846-1.130976))+0-0-0</f>
        <v>1197.6203280000002</v>
      </c>
      <c r="P360" s="3">
        <f>1919.4+(346.9-1071.3)+(-0.978894+(-0.176919--0.546363))+0-0-0</f>
        <v>1194.3905500000001</v>
      </c>
      <c r="Q360" s="3">
        <f>1917.9+(360.3-1076.1)+(-1.956258+(-0.367506--1.097622))+0-0-0</f>
        <v>1200.8738580000002</v>
      </c>
      <c r="R360" s="3">
        <f>1910.4+(362.2-1102.5)+(-1.948608+(-0.369444--1.12455))+0-0-0</f>
        <v>1168.9064980000001</v>
      </c>
      <c r="S360" s="3">
        <f>1916.8+(376.7-1143.7)+(-0.977568+(-0.192117--0.583287))+0-0-0</f>
        <v>1149.213602</v>
      </c>
      <c r="T360" s="3">
        <f>1899.9+(350-1118.2)+(-3.875796+(-0.714--2.281128))+0-0-0</f>
        <v>1129.3913320000001</v>
      </c>
      <c r="U360" s="3">
        <f>1909.9+(371.7-1157.7)+(0+(0-0))+0-0-0</f>
        <v>1123.9000000000001</v>
      </c>
      <c r="V360" s="3">
        <f>1936.7+(355.5-1160.9)+(-1.975434+(-0.36261--1.184118))+0-0-0</f>
        <v>1130.146074</v>
      </c>
      <c r="W360" s="3">
        <f>1970.6+(271.9-1071.6)+(-1.005006+(-0.138669--0.546516))+0-0-0</f>
        <v>1170.3028410000002</v>
      </c>
      <c r="X360" s="3">
        <f>1895.5+(327.5-1025.2)+(-0.966705+(-0.167025--0.522852))+0-0-0</f>
        <v>1197.189122</v>
      </c>
      <c r="Y360" s="3">
        <f>1971+(163.9-749.4)+(-2.01042+(-0.167178--0.764388))+0-0-0</f>
        <v>1384.0867900000001</v>
      </c>
      <c r="Z360" s="3">
        <f>1964.5+(198.5-809.4)+(-5.009475+(-0.506175--2.06397))+0-0-0</f>
        <v>1350.14832</v>
      </c>
      <c r="AA360" s="3">
        <f>1968.4+(261.8-904)+(-2.007768+(-0.267036--0.92208))+0-0-0</f>
        <v>1324.847276</v>
      </c>
      <c r="AB360" s="3">
        <f>1957.9+(307.5-998.7)+(-2.995587+(-0.470475--1.528011))+0-0-0</f>
        <v>1264.761949</v>
      </c>
      <c r="AC360" s="3">
        <f>1954+(358.6-1131.4)+(-2.98962+(-0.548658--1.731042))+0-0-0</f>
        <v>1179.3927639999997</v>
      </c>
      <c r="AD360">
        <v>1373.6</v>
      </c>
      <c r="AE360" s="3">
        <f>1973+(168.5-767.9)+(0+(0-0))+0-0-0</f>
        <v>1373.6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1882.5+(379.9-1183.7)+(-1.92015+(-0.387498--1.207374))+0-0-0</f>
        <v>1077.5997259999999</v>
      </c>
      <c r="G361" s="3">
        <f>1673+(349.2-1012.7)+(0.85323+(0.178092-0.516477))+0-0-0</f>
        <v>1010.014845</v>
      </c>
      <c r="H361" s="3">
        <f>1559.4+(324.8-915.2)+(-2.385882+(-0.496944--1.400256))+0-0-0</f>
        <v>967.51742999999999</v>
      </c>
      <c r="I361" s="3">
        <f>1424.9+(325.3-819.2)+(-1.453398+(-0.331806--0.835584))+0-0-0</f>
        <v>930.05038000000002</v>
      </c>
      <c r="J361" s="3">
        <f>1420.4+(280-772.4)+(-2.173212+(-0.4284--1.181772))+0-0-0</f>
        <v>926.58016000000009</v>
      </c>
      <c r="K361" s="3">
        <f>1519.4+(292.8-873.4)+(2.324682+(0.447984-1.336302))+0-0-0</f>
        <v>940.23636400000021</v>
      </c>
      <c r="L361" s="3">
        <f>1823.5+(361.5-1252)+(-1.85997+(-0.36873--1.27704))+0-0-0</f>
        <v>932.04834000000005</v>
      </c>
      <c r="M361" s="3">
        <f>1918.9+(373.4-1294.5)+(0+(0-0))+0-0-0</f>
        <v>997.80000000000007</v>
      </c>
      <c r="N361" s="3">
        <f>1956.3+(348.7-1188.7)+(1.995426+(0.355674-1.212474))+0-0-0</f>
        <v>1117.4386259999999</v>
      </c>
      <c r="O361" s="3">
        <f>1955.2+(380.4-1176.8)+(2.991456+(0.582012-1.800504))+0-0-0</f>
        <v>1160.5729640000002</v>
      </c>
      <c r="P361" s="3">
        <f>1950.1+(405.9-1186.1)+(0+(0-0))+0-0-0</f>
        <v>1169.9000000000001</v>
      </c>
      <c r="Q361" s="3">
        <f>1941.3+(417-1191.8)+(-0.990063+(-0.21267--0.607818))+0-0-0</f>
        <v>1165.9050850000001</v>
      </c>
      <c r="R361" s="3">
        <f>1900.2+(423.6-1183.7)+(-7.752816+(-1.728288--4.829496))+0-0-0</f>
        <v>1135.448392</v>
      </c>
      <c r="S361" s="3">
        <f>1922.8+(402.8-1201.5)+(-3.922512+(-0.821712--2.45106))+0-0-0</f>
        <v>1121.806836</v>
      </c>
      <c r="T361" s="3">
        <f>1956.2+(427.3-1235.4)+(0.997662+(0.217923-0.630054))+0-0-0</f>
        <v>1148.6855309999999</v>
      </c>
      <c r="U361" s="3">
        <f>1937.5+(413.8-1177.5)+(-5.92875+(-1.266228--3.60315))+0-0-0</f>
        <v>1170.2081719999999</v>
      </c>
      <c r="V361" s="3">
        <f>1934.7+(373-1097.9)+(-5.920182+(-1.14138--3.359574))+0-0-0</f>
        <v>1206.0980119999999</v>
      </c>
      <c r="W361" s="3">
        <f>1942.8+(340.8-1026.2)+(-2.972484+(-0.521424--1.570086))+0-0-0</f>
        <v>1255.4761779999999</v>
      </c>
      <c r="X361" s="3">
        <f>1951.1+(352.5-905.3)+(-0.995061+(-0.179775--0.461703))+0-0-0</f>
        <v>1397.586867</v>
      </c>
      <c r="Y361" s="3">
        <f>1955.3+(398.1-972)+(-3.988812+(-0.812124--1.98288))+0-0-0</f>
        <v>1378.581944</v>
      </c>
      <c r="Z361" s="3">
        <f>1956.2+(188.9-832.8)+(0.997662+(0.096339-0.424728))+0-0-0</f>
        <v>1312.9692730000002</v>
      </c>
      <c r="AA361" s="3">
        <f>1943.1+(233.4-900.5)+(-2.972943+(-0.357102--1.377765))+0-0-0</f>
        <v>1274.04772</v>
      </c>
      <c r="AB361" s="3">
        <f>1956.5+(388.6-1121.1)+(-0.997815+(-0.198186--0.571761))+0-0-0</f>
        <v>1223.3757599999999</v>
      </c>
      <c r="AC361" s="3">
        <f>1940.2+(390.3-1184)+(-6.926514+(-1.393371--4.22688))+0-0-0</f>
        <v>1142.4069950000001</v>
      </c>
      <c r="AD361">
        <v>1372.6</v>
      </c>
      <c r="AE361" s="3">
        <f>1958.5+(397-982.9)+(0+(0-0))+0-0-0</f>
        <v>1372.6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1694.3+(401.3-1064.2)+(-1.728186+(-0.409326--1.085484))+0-0-0</f>
        <v>1030.3479719999998</v>
      </c>
      <c r="G362" s="3">
        <f>1500.2+(388.8-909.3)+(-3.060408+(-0.793152--1.854972))+0-0-0</f>
        <v>977.701412</v>
      </c>
      <c r="H362" s="3">
        <f>1248+(401.2-713.7)+(-1.90944+(-0.613836--1.091961))+0-0-0</f>
        <v>934.06868499999996</v>
      </c>
      <c r="I362" s="3">
        <f>1126.5+(334.3-546.6)+(-2.29806+(-0.681972--1.115064))+0-0-0</f>
        <v>912.33503200000007</v>
      </c>
      <c r="J362" s="3">
        <f>1146.4+(328.3-561.8)+(1.753992+(0.502299-0.859554))+0-0-0</f>
        <v>914.29673700000012</v>
      </c>
      <c r="K362" s="3">
        <f>1153.8+(337.7-575.9)+(2.353752+(0.688908-1.174836))+0-0-0</f>
        <v>917.46782399999995</v>
      </c>
      <c r="L362" s="3">
        <f>1133.2+(407.4-649.7)+(-0.577932+(-0.207774--0.331347))+0-0-0</f>
        <v>890.44564100000002</v>
      </c>
      <c r="M362" s="3">
        <f>1233.7+(410.4-741.5)+(-0.629187+(-0.209304--0.378165))+0-0-0</f>
        <v>902.13967400000001</v>
      </c>
      <c r="N362" s="3">
        <f>1425.1+(377.2-827.8)+(-2.180403+(-0.577116--1.266534))+0-0-0</f>
        <v>973.00901499999998</v>
      </c>
      <c r="O362" s="3">
        <f>1716.8+(386.3-1032.6)+(0+(0-0))+0-0-0</f>
        <v>1070.5</v>
      </c>
      <c r="P362" s="3">
        <f>1790.9+(429.8-1113.2)+(3.653436+(0.876792-2.270928))+0-0-0</f>
        <v>1109.7592999999999</v>
      </c>
      <c r="Q362" s="3">
        <f>1905.8+(395.9-1174.5)+(-0.971958+(-0.201909--0.598995))+0-0-0</f>
        <v>1126.6251279999999</v>
      </c>
      <c r="R362" s="3">
        <f>1895.2+(397.6-1178.1)+(-4.83276+(-1.01388--3.004155))+0-0-0</f>
        <v>1111.8575150000004</v>
      </c>
      <c r="S362" s="3">
        <f>1834.5+(422.9-1165)+(-0.935595+(-0.215679--0.59415))+0-0-0</f>
        <v>1091.8428760000002</v>
      </c>
      <c r="T362" s="3">
        <f>1865.6+(425.6-1208.9)+(-4.75728+(-1.08528--3.082695))+0-0-0</f>
        <v>1079.5401349999997</v>
      </c>
      <c r="U362" s="3">
        <f>1871+(407.8-1188.1)+(-0.95421+(-0.207978--0.605931))+0-0-0</f>
        <v>1090.1437430000001</v>
      </c>
      <c r="V362" s="3">
        <f>1860.2+(398.6-1140.3)+(-0.948702+(-0.203286--0.581553))+0-0-0</f>
        <v>1117.9295649999999</v>
      </c>
      <c r="W362" s="3">
        <f>1902+(377-1098.8)+(0.97002+(0.19227-0.560388))+0-0-0</f>
        <v>1180.8019020000002</v>
      </c>
      <c r="X362" s="3">
        <f>1973.5+(371.9-1015.7)+(0+(0-0))+0-0-0</f>
        <v>1329.6999999999998</v>
      </c>
      <c r="Y362" s="3">
        <f>2010.5+(317.9-975)+(-5.126775+(-0.810645--2.48625))+0-0-0</f>
        <v>1349.94883</v>
      </c>
      <c r="Z362" s="3">
        <f>1998.1+(315.9-977.1)+(0+(0-0))+0-0-0</f>
        <v>1336.8999999999999</v>
      </c>
      <c r="AA362" s="3">
        <f>1895.6+(270.2-874)+(-5.800536+(-0.826812--2.67444))+0-0-0</f>
        <v>1287.847092</v>
      </c>
      <c r="AB362" s="3">
        <f>1585.3+(263.1-621.8)+(-0.808503+(-0.134181--0.317118))+0-0-0</f>
        <v>1225.974434</v>
      </c>
      <c r="AC362" s="3">
        <f>1234.8+(331.4-443.7)+(-2.518992+(-0.676056--0.905148))+0-0-0</f>
        <v>1120.2101</v>
      </c>
      <c r="AD362">
        <v>1344.7000000000003</v>
      </c>
      <c r="AE362" s="3">
        <f>1998+(352.8-1006.1)+(0+(0-0))+0-0-0</f>
        <v>1344.7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1247.7+(307.8-528.7)+(-1.272654+(-0.313956--0.539274))+0-0-0</f>
        <v>1025.7526639999999</v>
      </c>
      <c r="G363" s="3">
        <f>1267.3+(288.8-586.7)+(-1.292646+(-0.294576--0.598434))+0-0-0</f>
        <v>968.41121199999986</v>
      </c>
      <c r="H363" s="3">
        <f>1180.6+(306.6-550.9)+(0+(0-0))+0-0-0</f>
        <v>936.3</v>
      </c>
      <c r="I363" s="3">
        <f>1212.9+(255.6-549)+(-1.855737+(-0.391068--0.83997))+0-0-0</f>
        <v>918.09316500000011</v>
      </c>
      <c r="J363" s="3">
        <f>1261.1+(255.5-599)+(0.643161+(0.130305-0.30549))+0-0-0</f>
        <v>918.06797599999993</v>
      </c>
      <c r="K363" s="3">
        <f>1336.1+(334.4-748.2)+(2.044233+(0.511632-1.144746))+0-0-0</f>
        <v>923.71111899999983</v>
      </c>
      <c r="L363" s="3">
        <f>1442.8+(336.2-864.3)+(-3.67914+(-0.85731--2.203965))+0-0-0</f>
        <v>912.36751500000003</v>
      </c>
      <c r="M363" s="3">
        <f>1578.6+(367.6-967.1)+(-3.220344+(-0.749904--1.972884))+0-0-0</f>
        <v>977.10263599999996</v>
      </c>
      <c r="N363" s="3">
        <f>1963.3+(407.9-1249.8)+(0+(0-0))+0-0-0</f>
        <v>1121.4000000000001</v>
      </c>
      <c r="O363" s="3">
        <f>2095.7+(369.4-1254.4)+(1.068807+(0.188394-0.639744))+0-0-0</f>
        <v>1211.3174569999999</v>
      </c>
      <c r="P363" s="3">
        <f>2065.2+(363.8-1181.5)+(0+(0-0))+0-0-0</f>
        <v>1247.4999999999998</v>
      </c>
      <c r="Q363" s="3">
        <f>2033.7+(348-1122.8)+(0+(0-0))+0-0-0</f>
        <v>1258.9000000000001</v>
      </c>
      <c r="R363" s="3">
        <f>1957.2+(388.4-1124)+(-3.992688+(-0.792336--2.29296))+0-0-0</f>
        <v>1219.1079359999999</v>
      </c>
      <c r="S363" s="3">
        <f>1927.2+(369.8-1099.9)+(-2.948616+(-0.565794--1.682847))+0-0-0</f>
        <v>1195.2684369999999</v>
      </c>
      <c r="T363" s="3">
        <f>1937.6+(353.2-1097)+(-0.988176+(-0.180132--0.55947))+0-0-0</f>
        <v>1193.1911619999998</v>
      </c>
      <c r="U363" s="3">
        <f>1931+(363-1101)+(0+(0-0))+0-0-0</f>
        <v>1193</v>
      </c>
      <c r="V363" s="3">
        <f>1932.8+(361.7-1087.6)+(-2.957184+(-0.553401--1.664028))+0-0-0</f>
        <v>1205.053443</v>
      </c>
      <c r="W363" s="3">
        <f>1942.7+(311.4-987.1)+(0+(0-0))+0-0-0</f>
        <v>1267</v>
      </c>
      <c r="X363" s="3">
        <f>2022.3+(339.4-982.4)+(-1.031373+(-0.173094--0.501024))+0-0-0</f>
        <v>1378.5965569999998</v>
      </c>
      <c r="Y363" s="3">
        <f>2152.2+(340.4-1057.7)+(-3.292866+(-0.520812--1.618281))+0-0-0</f>
        <v>1432.7046029999997</v>
      </c>
      <c r="Z363" s="3">
        <f>1989.5+(451.1-1119.1)+(-3.043935+(-0.690183--1.712223))+0-0-0</f>
        <v>1319.4781049999999</v>
      </c>
      <c r="AA363" s="3">
        <f>1527.2+(406.8-711.5)+(-1.557744+(-0.414936--0.72573))+0-0-0</f>
        <v>1221.25305</v>
      </c>
      <c r="AB363" s="3">
        <f>1401+(376.3-553)+(-3.57255+(-0.959565--1.41015))+0-0-0</f>
        <v>1221.1780349999999</v>
      </c>
      <c r="AC363" s="3">
        <f>1271.8+(279.7-442.4)+(-1.945854+(-0.427941--0.676872))+0-0-0</f>
        <v>1107.4030769999999</v>
      </c>
      <c r="AD363">
        <v>1389.1000000000001</v>
      </c>
      <c r="AE363" s="3">
        <f>2141+(302.3-1054.2)+(0+(0-0))+0-0-0</f>
        <v>1389.1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1272.2+(269.5-530.7)+(-3.24411+(-0.687225--1.353285))+0-0-0</f>
        <v>1008.42195</v>
      </c>
      <c r="G364" s="3">
        <f>1267.9+(320.3-613.7)+(-3.233145+(-0.816765--1.564935))+0-0-0</f>
        <v>972.01502500000004</v>
      </c>
      <c r="H364" s="3">
        <f>1277.1+(305.6-604.5)+(-0.651321+(-0.155856--0.308295))+0-0-0</f>
        <v>977.70111799999995</v>
      </c>
      <c r="I364" s="3">
        <f>1275.3+(239.6-680.3)+(-1.951209+(-0.366588--1.040859))+0-0-0</f>
        <v>833.32306200000005</v>
      </c>
      <c r="J364" s="3">
        <f>1197.8+(248.1-596.2)+(-1.832634+(-0.379593--0.912186))+0-0-0</f>
        <v>848.39995899999997</v>
      </c>
      <c r="K364" s="3">
        <f>1042.1+(255.3-453.8)+(-1.594413+(-0.390609--0.694314))+0-0-0</f>
        <v>842.30929199999991</v>
      </c>
      <c r="L364" s="3">
        <f>1074.7+(228.4-486.4)+(-1.096194+(-0.232968--0.496128))+0-0-0</f>
        <v>815.86696600000005</v>
      </c>
      <c r="M364" s="3">
        <f>1142.8+(250.4-507.9)+(0.582828+(0.127704-0.259029))+0-0-0</f>
        <v>885.75150299999996</v>
      </c>
      <c r="N364" s="3">
        <f>1207.2+(232.1-504.8)+(0.615672+(0.118371-0.257448))+9.5-0-0</f>
        <v>944.47659499999997</v>
      </c>
      <c r="O364" s="3">
        <f>1518+(258-769.9)+(0+(0-0))+21.7-0-0</f>
        <v>1027.8</v>
      </c>
      <c r="P364" s="3">
        <f>1676.6+(280.5-830.7)+(-2.565198+(-0.429165--1.270971))+0-0-0</f>
        <v>1124.6766079999998</v>
      </c>
      <c r="Q364" s="3">
        <f>1748.6+(250.2-876.6)+(0+(0-0))+0-0-0</f>
        <v>1122.1999999999998</v>
      </c>
      <c r="R364" s="3">
        <f>1794.5+(326-842.8)+(-1.83039+(-0.33252--0.859656))+0-0-0</f>
        <v>1276.3967460000001</v>
      </c>
      <c r="S364" s="3">
        <f>1905.7+(365.5-929)+(-1.943814+(-0.37281--0.94758))+0-0-0</f>
        <v>1340.830956</v>
      </c>
      <c r="T364" s="3">
        <f>1878.6+(351.3-911.7)+(0+(0-0))+0-0-0</f>
        <v>1318.1999999999998</v>
      </c>
      <c r="U364" s="3">
        <f>1666.4+(260.8-732.9)+(-0.849864+(-0.133008--0.373779))+0-0-0</f>
        <v>1193.6909070000002</v>
      </c>
      <c r="V364" s="3">
        <f>1490.8+(258.8-677.4)+(-0.760308+(-0.131988--0.345474))+0-0-0</f>
        <v>1071.653178</v>
      </c>
      <c r="W364" s="3">
        <f>1469.5+(221.2-615.3)+(-1.49889+(-0.225624--0.627606))+0-0-0</f>
        <v>1074.3030920000001</v>
      </c>
      <c r="X364" s="3">
        <f>1508.4+(248.5-501.7)+(-0.769284+(-0.126735--0.255867))+0-0-0</f>
        <v>1254.5598480000001</v>
      </c>
      <c r="Y364" s="3">
        <f>1960.7+(164.8-800.7)+(-4.999785+(-0.42024--2.041785))+0-0-0</f>
        <v>1321.4217599999999</v>
      </c>
      <c r="Z364" s="3">
        <f>1989.9+(189.9-856.9)+(-6.089094+(-0.581094--2.622114))+0-0-0</f>
        <v>1318.851926</v>
      </c>
      <c r="AA364" s="3">
        <f>1987.8+(225.2-907.8)+(-2.027556+(-0.229704--0.925956))+0-0-0</f>
        <v>1303.868696</v>
      </c>
      <c r="AB364" s="3">
        <f>1899.5+(234.7-862.7)+(-3.87498+(-0.478788--1.759908))+0-0-0</f>
        <v>1268.9061400000001</v>
      </c>
      <c r="AC364" s="3">
        <f>1169.9+(309-321.6)+(-1.193298+(-0.31518--0.328032))+0-0-0</f>
        <v>1156.1195540000001</v>
      </c>
      <c r="AD364">
        <v>1308.7000000000003</v>
      </c>
      <c r="AE364" s="3">
        <f>1971+(158.3-820.6)+(0+(0-0))+0-0-0</f>
        <v>1308.7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805.8+(393.1-161.3)+(0.410958+(0.200481-0.082263))+0-0-0</f>
        <v>1038.1291759999999</v>
      </c>
      <c r="G365" s="3">
        <f>679.7+(431.9-163.5)+(-1.733235+(-1.101345--0.416925))+0-0-0</f>
        <v>945.68234500000005</v>
      </c>
      <c r="H365" s="3">
        <f>686.6+(399.1-189.6)+(-0.350166+(-0.203541--0.096696))+0-0-0</f>
        <v>895.64298900000006</v>
      </c>
      <c r="I365" s="3">
        <f>687.4+(375.2-190.4)+(-0.701148+(-0.382704--0.194208))+0-0-0</f>
        <v>871.31035599999996</v>
      </c>
      <c r="J365" s="3">
        <f>698.5+(355.3-178.9)+(1.068705+(0.543609-0.273717))+0-0-0</f>
        <v>876.23859700000003</v>
      </c>
      <c r="K365" s="3">
        <f>794.2+(324.9-243.8)+(0.405042+(0.165699-0.124338))+0-0-0</f>
        <v>875.74640299999999</v>
      </c>
      <c r="L365" s="3">
        <f>984.5+(297.4-457.2)+(-2.00838+(-0.606696--0.932688))+0-0-0</f>
        <v>823.0176120000001</v>
      </c>
      <c r="M365" s="3">
        <f>1064.3+(294.7-498.2)+(0.542793+(0.150297-0.254082))+0-0-0</f>
        <v>861.2390079999999</v>
      </c>
      <c r="N365" s="3">
        <f>1013.1+(299.8-383.3)+(1.033362+(0.305796-0.390966))+0-0-0</f>
        <v>930.54819199999997</v>
      </c>
      <c r="O365" s="3">
        <f>980.9+(337.2-333.7)+(-0.500259+(-0.171972--0.170187))+0-0-0</f>
        <v>983.89795600000002</v>
      </c>
      <c r="P365" s="3">
        <f>999.4+(331-333.4)+(-2.038776+(-0.67524--0.680136))+0-0-0</f>
        <v>994.96612000000005</v>
      </c>
      <c r="Q365" s="3">
        <f>1011.8+(344.4-372.2)+(-0.516018+(-0.175644--0.189822))+0-0-0</f>
        <v>983.49815999999998</v>
      </c>
      <c r="R365" s="3">
        <f>1005.5+(319.3-351.9)+(-3.07683+(-0.977058--1.076814))+0-0-0</f>
        <v>969.92292600000007</v>
      </c>
      <c r="S365" s="3">
        <f>1014.7+(312-365.3)+(0.517497+(0.15912-0.186303))+0-0-0</f>
        <v>961.8903140000001</v>
      </c>
      <c r="T365" s="3">
        <f>1012.9+(317.9-377)+(-0.516579+(-0.162129--0.19227))+0-0-0</f>
        <v>953.31356199999993</v>
      </c>
      <c r="U365" s="3">
        <f>1011.3+(320.8-379.8)+(-0.515763+(-0.163608--0.193698))+0-0-0</f>
        <v>951.81432699999993</v>
      </c>
      <c r="V365" s="3">
        <f>1014.3+(316.7-368.9)+(0+(0-0))+0-0-0</f>
        <v>962.09999999999991</v>
      </c>
      <c r="W365" s="3">
        <f>1009.1+(319.1-325.8)+(-2.058564+(-0.650964--0.664632))+0-0-0</f>
        <v>1000.3551040000001</v>
      </c>
      <c r="X365" s="3">
        <f>1032.4+(400.3-233.3)+(-1.579572+(-0.612459--0.356949))+0-0-0</f>
        <v>1197.564918</v>
      </c>
      <c r="Y365" s="3">
        <f>1032.7+(457.5-181.4)+(-1.580031+(-0.699975--0.277542))+0-0-0</f>
        <v>1306.7975360000003</v>
      </c>
      <c r="Z365" s="3">
        <f>1029.2+(444.5-186.3)+(-2.62446+(-1.133475--0.475065))+0-0-0</f>
        <v>1284.1171300000001</v>
      </c>
      <c r="AA365" s="3">
        <f>974.8+(419.9-134)+(-1.988592+(-0.856596--0.27336))+0-0-0</f>
        <v>1258.1281719999997</v>
      </c>
      <c r="AB365" s="3">
        <f>954.7+(395.9-124.2)+(-1.947588+(-0.807636--0.253368))+0-0-0</f>
        <v>1223.898144</v>
      </c>
      <c r="AC365" s="3">
        <f>964.4+(385.9-183)+(-1.475532+(-0.590427--0.27999))+0-0-0</f>
        <v>1165.5140309999999</v>
      </c>
      <c r="AD365">
        <v>1306.8999999999999</v>
      </c>
      <c r="AE365" s="3">
        <f>1035+(455.3-183.4)+(0+(0-0))+0-0-0</f>
        <v>1306.9000000000001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1158.2+(0-671.3)+(-2.95341+(0--1.711815))+0-0-0</f>
        <v>485.65840500000007</v>
      </c>
      <c r="G1" s="3">
        <f>1117.8+(5.2-677.5)+(-1.710234+(-0.007956--1.036575))+0-0-0</f>
        <v>444.81838499999998</v>
      </c>
      <c r="H1" s="3">
        <f>1091.7+(8.3-671.6)+(-0.556767+(-0.004233--0.342516))+0-0-0</f>
        <v>428.18151599999999</v>
      </c>
      <c r="I1" s="3">
        <f>849.5+(3.9-466.8)+(-2.166225+(-0.009945--1.19034))+0-0-0</f>
        <v>385.61416999999994</v>
      </c>
      <c r="J1" s="3">
        <f>758.5+(22.5-434.4)+(-0.386835+(-0.011475--0.221544))+0-0-0</f>
        <v>346.42323400000004</v>
      </c>
      <c r="K1" s="3">
        <f>751.9+(20.4-436.3)+(-1.917345+(-0.05202--1.112565))+0-0-0</f>
        <v>335.14319999999992</v>
      </c>
      <c r="L1" s="3">
        <f>765.4+(11.5-455.6)+(0+(0-0))+0-0-0</f>
        <v>321.29999999999995</v>
      </c>
      <c r="M1" s="3">
        <f>763+(27-461.3)+(0+(0-0))+0-0-0</f>
        <v>328.7</v>
      </c>
      <c r="N1" s="3">
        <f>762.9+(64.7-464.6)+(-1.167237+(-0.098991--0.710838))+0-0-0</f>
        <v>362.44460999999995</v>
      </c>
      <c r="O1" s="3">
        <f>768.4+(86.9-449.4)+(-0.391884+(-0.044319--0.229194))+0-0-0</f>
        <v>405.69299099999995</v>
      </c>
      <c r="P1" s="3">
        <f>762.2+(89.7-433.9)+(-1.166166+(-0.137241--0.663867))+0-0-0</f>
        <v>417.36046000000005</v>
      </c>
      <c r="Q1" s="3">
        <f>762+(97.9-450.9)+(-1.16586+(-0.149787--0.689877))+0-0-0</f>
        <v>408.37423000000001</v>
      </c>
      <c r="R1" s="3">
        <f>763.5+(94.2-460.9)+(-0.389385+(-0.048042--0.235059))+0-0-0</f>
        <v>396.59763200000003</v>
      </c>
      <c r="S1" s="3">
        <f>843.7+(58.3-520.3)+(0.860574+(0.059466-0.530706))+0-0-0</f>
        <v>382.08933400000012</v>
      </c>
      <c r="T1" s="3">
        <f>972.3+(9.6-608.8)+(-1.487619+(-0.014688--0.931464))+0-0-0</f>
        <v>372.529157</v>
      </c>
      <c r="U1" s="3">
        <f>890.8+(33.3-561.2)+(-0.908616+(-0.033966--0.572424))+0-0-0</f>
        <v>362.52984199999986</v>
      </c>
      <c r="V1" s="3">
        <f>846.2+(55-538.4)+(-0.431562+(-0.02805--0.274584))+0-0-0</f>
        <v>362.61497200000008</v>
      </c>
      <c r="W1" s="3">
        <f>932.4+(11.1-570.8)+(0+(0-0))+0-0-0</f>
        <v>372.70000000000005</v>
      </c>
      <c r="X1" s="3">
        <f>1126.6+(0-673.6)+(0+(0-0))+0-0-0</f>
        <v>452.99999999999989</v>
      </c>
      <c r="Y1" s="3">
        <f>1072+(59-620.8)+(-0.54672+(-0.03009--0.316608))+0-0-0</f>
        <v>509.93979800000005</v>
      </c>
      <c r="Z1" s="3">
        <f>1007.6+(94-577.4)+(0.513876+(0.04794-0.294474))+0-0-0</f>
        <v>524.46734200000003</v>
      </c>
      <c r="AA1" s="3">
        <f>1062.2+(101.1-638.5)+(0+(0-0))+0-0-0</f>
        <v>524.80000000000007</v>
      </c>
      <c r="AB1" s="3">
        <f>1089+(80.6-659)+(0+(0-0))+0-0-0</f>
        <v>510.6</v>
      </c>
      <c r="AC1" s="3">
        <f>1085.7+(45-653.4)+(-0.553707+(-0.02295--0.333234))+0-0-0</f>
        <v>477.05657700000006</v>
      </c>
      <c r="AD1">
        <v>483.49999999999989</v>
      </c>
      <c r="AE1" s="3">
        <f>1133+(38.1-687.6)+(0+(0-0))+0-0-0</f>
        <v>483.5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443.02828850000003</v>
      </c>
      <c r="G2" s="3">
        <f>1076+(2-669)+(0+(0-0))+0-0-0</f>
        <v>409</v>
      </c>
      <c r="H2" s="3">
        <f>1076.4+(1.8-665)+(-2.195856+(-0.003672--1.3566))+0-0-0</f>
        <v>412.35707200000007</v>
      </c>
      <c r="I2" s="3">
        <f>843.9+(2.2-468.6)+(-0.860778+(-0.002244--0.477972))+0-0-0</f>
        <v>377.11494999999996</v>
      </c>
      <c r="J2" s="3">
        <f>764+(11.8-421.5)+(0+(0-0))+0-0-0</f>
        <v>354.3</v>
      </c>
      <c r="K2" s="3">
        <f>758.5+(13-415.8)+(-1.160505+(-0.01989--0.636174))+0-0-0</f>
        <v>355.155779</v>
      </c>
      <c r="L2" s="3">
        <f>759.4+(9.4-417.3)+(-0.774588+(-0.009588--0.425646))+0-0-0</f>
        <v>351.14146999999997</v>
      </c>
      <c r="M2" s="3">
        <f>749.7+(1.5-427)+(-2.676429+(-0.005355--1.52439))+0-0-0</f>
        <v>323.04260600000003</v>
      </c>
      <c r="N2" s="3">
        <f>776+(2.1-446.2)+(1.18728+(0.003213-0.682686))+0-0-0</f>
        <v>332.40780700000005</v>
      </c>
      <c r="O2" s="3">
        <f>922.5+(0-544.6)+(1.411425+(0-0.833238))+0-0-0</f>
        <v>378.47818699999999</v>
      </c>
      <c r="P2" s="3">
        <f>1045.6+(0-615.3)+(1.066512+(0-0.627606))+0-0-0</f>
        <v>430.73890599999993</v>
      </c>
      <c r="Q2" s="3">
        <f>1111.5+(0-652.6)+(-3.40119+(0--1.996956))+0-0-0</f>
        <v>457.495766</v>
      </c>
      <c r="R2" s="3">
        <f>1131.5+(0-677.2)+(-0.577065+(0--0.345372))+0-0-0</f>
        <v>454.06830699999995</v>
      </c>
      <c r="S2" s="3">
        <f>1141.2+(0-701.8)+(1.164024+(0-0.715836))+0-0-0</f>
        <v>439.84818800000011</v>
      </c>
      <c r="T2" s="3">
        <f>1129.1+(0-712.3)+(-1.727523+(0--1.089819))+0-0-0</f>
        <v>416.16229599999997</v>
      </c>
      <c r="U2" s="3">
        <f>1134.9+(0-736.5)+(0+(0-0))+0-0-0</f>
        <v>398.40000000000009</v>
      </c>
      <c r="V2" s="3">
        <f>1109.3+(0-711.9)+(-1.697229+(0--1.089207))+0-0-0</f>
        <v>396.79197799999997</v>
      </c>
      <c r="W2" s="3">
        <f>933.9+(0-533.5)+(-1.905156+(0--1.08834))+0-0-0</f>
        <v>399.58318399999996</v>
      </c>
      <c r="X2" s="3">
        <f>909.6+(18.4-514.1)+(-1.855584+(-0.037536--1.048764))+0-0-0</f>
        <v>413.05564399999997</v>
      </c>
      <c r="Y2" s="3">
        <f>1062.4+(26.3-590.7)+(-1.625472+(-0.040239--0.903771))+0-0-0</f>
        <v>497.23806000000002</v>
      </c>
      <c r="Z2" s="3">
        <f>1177.4+(41.9-662)+(-3.00237+(-0.106845--1.6881))+0-0-0</f>
        <v>555.87888500000008</v>
      </c>
      <c r="AA2" s="3">
        <f>1191.7+(68.9-705.4)+(-0.607767+(-0.035139--0.359754))+0-0-0</f>
        <v>554.91684800000007</v>
      </c>
      <c r="AB2" s="3">
        <f>1154.3+(78.5-686.3)+(-3.532158+(-0.24021--2.100078))+0-0-0</f>
        <v>544.82771000000002</v>
      </c>
      <c r="AC2" s="3">
        <f>1080.9+(81.3-636.9)+(-1.102518+(-0.082926--0.649638))+0-0-0</f>
        <v>524.76419400000009</v>
      </c>
      <c r="AD2">
        <v>517.70000000000005</v>
      </c>
      <c r="AE2" s="3">
        <f>1164+(41.5-687.8)+(0+(0-0))+0-0-0</f>
        <v>517.70000000000005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1079.6+(34.5-630)+(-1.101192+(-0.03519--0.6426))+0-0-0</f>
        <v>483.6062179999999</v>
      </c>
      <c r="G3" s="3">
        <f>1082.3+(0-648.4)+(0+(0-0))+0-0-0</f>
        <v>433.9</v>
      </c>
      <c r="H3" s="3">
        <f>1057.6+(0-666.2)+(-2.157504+(0--1.359048))+0-0-0</f>
        <v>390.60154399999988</v>
      </c>
      <c r="I3" s="3">
        <f>1004.2+(0-630.9)+(0+(0-0))+0-0-0</f>
        <v>373.30000000000007</v>
      </c>
      <c r="J3" s="3">
        <f>866.8+(0-520.9)+(-2.21034+(0--1.328295))+0-0-0</f>
        <v>345.01795499999997</v>
      </c>
      <c r="K3" s="3">
        <f>783.1+(18.4-454.3)+(1.597524+(0.037536-0.926772))+0-0-0</f>
        <v>347.90828799999997</v>
      </c>
      <c r="L3" s="3">
        <f>769.4+(22.6-447.4)+(-1.177182+(-0.034578--0.684522))+0-0-0</f>
        <v>344.07276200000001</v>
      </c>
      <c r="M3" s="3">
        <f>773.4+(9.2-465.9)+(-0.394434+(-0.004692--0.237609))+0-0-0</f>
        <v>316.53848299999999</v>
      </c>
      <c r="N3" s="3">
        <f>1076.1+(0-734.7)+(0+(0-0))+0-0-0</f>
        <v>341.39999999999986</v>
      </c>
      <c r="O3" s="3">
        <f>1157.8+(0-777.4)+(-0.590478+(0--0.396474))+0-0-0</f>
        <v>380.20599599999997</v>
      </c>
      <c r="P3" s="3">
        <f>1155.9+(0-724.2)+(0+(0-0))+0-0-0</f>
        <v>431.70000000000005</v>
      </c>
      <c r="Q3" s="3">
        <f>1158.5+(0-703.9)+(0+(0-0))+0-0-0</f>
        <v>454.6</v>
      </c>
      <c r="R3" s="3">
        <f>1152.8+(0-696.5)+(-1.175856+(0--0.71043))+0-0-0</f>
        <v>455.83457399999998</v>
      </c>
      <c r="S3" s="3">
        <f>1158.6+(0-707.8)+(0+(0-0))+0-0-0</f>
        <v>450.79999999999995</v>
      </c>
      <c r="T3" s="3">
        <f>1165.7+(0-733.2)+(0.594507+(0-0.373932))+0-0-0</f>
        <v>432.720575</v>
      </c>
      <c r="U3" s="3">
        <f>1153.5+(0-740.6)+(-1.17657+(0--0.755412))+0-0-0</f>
        <v>412.47884199999999</v>
      </c>
      <c r="V3" s="3">
        <f>1133.2+(0-712.6)+(0.577932+(0-0.363426))+0-0-0</f>
        <v>420.81450599999999</v>
      </c>
      <c r="W3" s="3">
        <f>1074.6+(0-639.7)+(-0.548046+(0--0.326247))+0-0-0</f>
        <v>434.67820099999989</v>
      </c>
      <c r="X3" s="3">
        <f>1081.3+(0-622.9)+(0.551463+(0-0.317679))+0-0-0</f>
        <v>458.63378399999999</v>
      </c>
      <c r="Y3" s="3">
        <f>1132.1+(4.8-604.7)+(0.577371+(0.002448-0.308397))+0-0-0</f>
        <v>532.47142199999985</v>
      </c>
      <c r="Z3" s="3">
        <f>1164.6+(56.3-641.1)+(-0.593946+(-0.028713--0.326961))+0-0-0</f>
        <v>579.50430199999983</v>
      </c>
      <c r="AA3" s="3">
        <f>1165.3+(60.2-657.5)+(0+(0-0))+0-0-0</f>
        <v>568</v>
      </c>
      <c r="AB3" s="3">
        <f>1168.1+(44.6-662.7)+(0.595731+(0.022746-0.337977))+0-0-0</f>
        <v>550.28049999999985</v>
      </c>
      <c r="AC3" s="3">
        <f>1160.6+(24-660.2)+(-0.591906+(-0.01224--0.336702))+0-0-0</f>
        <v>524.13255599999991</v>
      </c>
      <c r="AD3">
        <v>551.5</v>
      </c>
      <c r="AE3" s="3">
        <f>1170+(45.7-664.2)+(0+(0-0))+0-0-0</f>
        <v>551.5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1158.8+(0-684.5)+(-0.590988+(0--0.349095))+0-0-0</f>
        <v>474.05810699999995</v>
      </c>
      <c r="G4" s="3">
        <f>1154.7+(1.6-729.6)+(-1.766691+(-0.002448--1.116288))+0-0-0</f>
        <v>426.04714900000005</v>
      </c>
      <c r="H4" s="3">
        <f>1157.4+(6.1-764.2)+(-1.180548+(-0.006222--0.779484))+0-0-0</f>
        <v>398.89271400000007</v>
      </c>
      <c r="I4" s="3">
        <f>1164.1+(0-787.7)+(1.187382+(0-0.803454))+0-0-0</f>
        <v>376.78392799999989</v>
      </c>
      <c r="J4" s="3">
        <f>1155.6+(0-790)+(-1.178712+(0--0.8058))+0-0-0</f>
        <v>365.22708799999992</v>
      </c>
      <c r="K4" s="3">
        <f>1169.2+(0-803.9)+(1.788876+(0-1.229967))+0-0-0</f>
        <v>365.85890900000004</v>
      </c>
      <c r="L4" s="3">
        <f>1145.8+(0-779.4)+(-2.92179+(0--1.98747))+0-0-0</f>
        <v>365.46567999999996</v>
      </c>
      <c r="M4" s="3">
        <f>1015.5+(0-673.8)+(1.03581+(0-0.687276))+0-0-0</f>
        <v>342.04853400000002</v>
      </c>
      <c r="N4" s="3">
        <f>916.8+(0-578.7)+(0+(0-0))+0-0-0</f>
        <v>338.09999999999991</v>
      </c>
      <c r="O4" s="3">
        <f>971.5+(29-618.6)+(0.495465+(0.01479-0.315486))+0-0-0</f>
        <v>382.09476899999999</v>
      </c>
      <c r="P4" s="3">
        <f>1170.8+(0-738.3)+(-0.597108+(0--0.376533))+0-0-0</f>
        <v>432.279425</v>
      </c>
      <c r="Q4" s="3">
        <f>1165.5+(0-716.2)+(-1.18881+(0--0.730524))+0-0-0</f>
        <v>448.84171399999997</v>
      </c>
      <c r="R4" s="3">
        <f>1145.3+(0-691.9)+(-0.584103+(0--0.352869))+0-0-0</f>
        <v>453.16876600000001</v>
      </c>
      <c r="S4" s="3">
        <f>1002.7+(13.4-576.3)+(-1.534131+(-0.020502--0.881739))+0-0-0</f>
        <v>439.12710600000008</v>
      </c>
      <c r="T4" s="3">
        <f>1153.5+(0-726)+(-2.941425+(0--1.8513))+0-0-0</f>
        <v>426.409875</v>
      </c>
      <c r="U4" s="3">
        <f>1182+(0-777.1)+(2.41128+(0-1.585284))+0-0-0</f>
        <v>405.72599599999995</v>
      </c>
      <c r="V4" s="3">
        <f>1171.9+(0-774.9)+(0.597669+(0-0.395199))+0-0-0</f>
        <v>397.20247000000012</v>
      </c>
      <c r="W4" s="3">
        <f>1164.3+(0-757.6)+(-1.187586+(0--0.772752))+0-0-0</f>
        <v>406.28516599999995</v>
      </c>
      <c r="X4" s="3">
        <f>1163.5+(0-747)+(-1.18677+(0--0.76194))+0-0-0</f>
        <v>416.07517000000001</v>
      </c>
      <c r="Y4" s="3">
        <f>1171.3+(0-688.3)+(0.597363+(0-0.351033))+0-0-0</f>
        <v>483.24633</v>
      </c>
      <c r="Z4" s="3">
        <f>1184.1+(29.3-673)+(0+(0-0))+0-0-0</f>
        <v>540.39999999999986</v>
      </c>
      <c r="AA4" s="3">
        <f>1180.9+(49.9-696.6)+(-1.204518+(-0.050898--0.710532))+0-0-0</f>
        <v>533.65511600000002</v>
      </c>
      <c r="AB4" s="3">
        <f>1189.2+(37.6-698.2)+(0.606492+(0.019176-0.356082))+0-0-0</f>
        <v>528.86958600000003</v>
      </c>
      <c r="AC4" s="3">
        <f>1188+(19-686.3)+(0.60588+(0.00969-0.350013))+0-0-0</f>
        <v>520.96555699999999</v>
      </c>
      <c r="AD4">
        <v>520.30000000000007</v>
      </c>
      <c r="AE4" s="3">
        <f>1158+(33.9-671.6)+(0+(0-0))+0-0-0</f>
        <v>520.29999999999995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1175.2+(0-662)+(-1.798056+(0--1.01286))+0-0-0</f>
        <v>512.414804</v>
      </c>
      <c r="G5" s="3">
        <f>1175+(0-710.3)+(-1.1985+(0--0.724506))+0-0-0</f>
        <v>464.22600600000004</v>
      </c>
      <c r="H5" s="3">
        <f>1179.5+(0-762.5)+(0+(0-0))+0-0-0</f>
        <v>417</v>
      </c>
      <c r="I5" s="3">
        <f>1179+(0-782.5)+(0+(0-0))+0-0-0</f>
        <v>396.5</v>
      </c>
      <c r="J5" s="3">
        <f>1179.6+(0-792.9)+(0.601596+(0-0.404379))+0-0-0</f>
        <v>386.89721699999996</v>
      </c>
      <c r="K5" s="3">
        <f>1176+(0-792.4)+(0+(0-0))+0-0-0</f>
        <v>383.6</v>
      </c>
      <c r="L5" s="3">
        <f>1181.4+(0-802.4)+(1.807542+(0-1.227672))+0-0-0</f>
        <v>379.57987000000014</v>
      </c>
      <c r="M5" s="3">
        <f>1081.6+(0-736)+(-2.206464+(0--1.50144))+0-0-0</f>
        <v>344.89497599999993</v>
      </c>
      <c r="N5" s="3">
        <f>1049.1+(0-696.3)+(0.535041+(0-0.355113))+0-0-0</f>
        <v>352.97992799999997</v>
      </c>
      <c r="O5" s="3">
        <f>1057.6+(21.6-693.9)+(-1.618128+(-0.033048--1.061667))+0-0-0</f>
        <v>384.71049099999993</v>
      </c>
      <c r="P5" s="3">
        <f>1164.2+(0-741.2)+(0+(0-0))+0-0-0</f>
        <v>423</v>
      </c>
      <c r="Q5" s="3">
        <f>1170.7+(0-727.4)+(0.597057+(0-0.370974))+0-0-0</f>
        <v>443.52608300000009</v>
      </c>
      <c r="R5" s="3">
        <f>1159.7+(0-732.6)+(-1.774341+(0--1.120878))+0-0-0</f>
        <v>426.44653700000003</v>
      </c>
      <c r="S5" s="3">
        <f>1165.5+(0-747.2)+(-1.18881+(0--0.762144))+0-0-0</f>
        <v>417.87333399999994</v>
      </c>
      <c r="T5" s="3">
        <f>1156.4+(0-751.6)+(-2.94882+(0--1.91658))+0-0-0</f>
        <v>403.76776000000007</v>
      </c>
      <c r="U5" s="3">
        <f>1155.9+(0-769.5)+(-1.768527+(0--1.177335))+0-0-0</f>
        <v>385.80880800000011</v>
      </c>
      <c r="V5" s="3">
        <f>1155+(0-778)+(0+(0-0))+0-0-0</f>
        <v>377</v>
      </c>
      <c r="W5" s="3">
        <f>1137.9+(0-749.5)+(-0.580329+(0--0.382245))+0-0-0</f>
        <v>388.2019160000001</v>
      </c>
      <c r="X5" s="3">
        <f>1139.2+(0-740.8)+(0+(0-0))+0-0-0</f>
        <v>398.40000000000009</v>
      </c>
      <c r="Y5" s="3">
        <f>1171.8+(0-712.3)+(0+(0-0))+0-0-0</f>
        <v>459.5</v>
      </c>
      <c r="Z5" s="3">
        <f>1188.6+(54.7-702.3)+(-1.212372+(-0.055794--0.716346))+0-0-0</f>
        <v>540.44817999999998</v>
      </c>
      <c r="AA5" s="3">
        <f>1193.4+(74.4-738.4)+(-0.608634+(-0.037944--0.376584))+0-0-0</f>
        <v>529.13000600000009</v>
      </c>
      <c r="AB5" s="3">
        <f>1198.6+(63.8-748.1)+(0+(0-0))+0-0-0</f>
        <v>514.29999999999984</v>
      </c>
      <c r="AC5" s="3">
        <f>1191.9+(43.8-738.4)+(-1.215738+(-0.044676--0.753168))+0-0-0</f>
        <v>496.79275400000006</v>
      </c>
      <c r="AD5">
        <v>520.29999999999995</v>
      </c>
      <c r="AE5" s="3">
        <f>1155+(54.1-688.8)+(0+(0-0))+0-0-0</f>
        <v>520.30000000000007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1189.4+(5.7-718.4)+(-1.213188+(-0.005814--0.732768))+0-0-0</f>
        <v>476.21376600000013</v>
      </c>
      <c r="G6" s="3">
        <f>1175.2+(0-746)+(-1.198704+(0--0.76092))+0-0-0</f>
        <v>428.76221600000002</v>
      </c>
      <c r="H6" s="3">
        <f>1177.1+(0-788.2)+(0+(0-0))+0-0-0</f>
        <v>388.89999999999986</v>
      </c>
      <c r="I6" s="3">
        <f>1183+(0-816.7)+(0+(0-0))+0-0-0</f>
        <v>366.29999999999995</v>
      </c>
      <c r="J6" s="3">
        <f>1185.4+(0-832.4)+(1.209108+(0-0.849048))+0-0-0</f>
        <v>353.36006000000009</v>
      </c>
      <c r="K6" s="3">
        <f>1173.7+(0-815.2)+(-2.394348+(0--1.663008))+0-0-0</f>
        <v>357.76866000000001</v>
      </c>
      <c r="L6" s="3">
        <f>1180.7+(0-819.6)+(-0.602157+(0--0.417996))+0-0-0</f>
        <v>360.91583900000001</v>
      </c>
      <c r="M6" s="3">
        <f>1174.2+(0-814.8)+(-1.197684+(0--0.831096))+0-0-0</f>
        <v>359.03341200000011</v>
      </c>
      <c r="N6" s="3">
        <f>1182.1+(0-800.8)+(1.808613+(0-1.225224))+0-0-0</f>
        <v>381.88338899999997</v>
      </c>
      <c r="O6" s="3">
        <f>1175.8+(0-754.8)+(-0.599658+(0--0.384948))+0-0-0</f>
        <v>420.78528999999997</v>
      </c>
      <c r="P6" s="3">
        <f>1168.4+(0-697.4)+(-1.191768+(0--0.711348))+0-0-0</f>
        <v>470.51958000000013</v>
      </c>
      <c r="Q6" s="3">
        <f>1169.7+(0-675.3)+(-0.596547+(0--0.344403))+0-0-0</f>
        <v>494.1478560000001</v>
      </c>
      <c r="R6" s="3">
        <f>1160.2+(0-681.6)+(-0.591702+(0--0.347616))+0-0-0</f>
        <v>478.35591400000004</v>
      </c>
      <c r="S6" s="3">
        <f>1160.3+(0-696.6)+(-1.775259+(0--1.065798))+0-0-0</f>
        <v>462.99053899999996</v>
      </c>
      <c r="T6" s="3">
        <f>1157+(0-706.3)+(-2.36028+(0--1.440852))+0-0-0</f>
        <v>449.78057200000006</v>
      </c>
      <c r="U6" s="3">
        <f>1154.7+(0-719.4)+(-2.355588+(0--1.467576))+0-0-0</f>
        <v>434.41198800000006</v>
      </c>
      <c r="V6" s="3">
        <f>1155.1+(0-735.9)+(-1.767303+(0--1.125927))+0-0-0</f>
        <v>418.55862399999995</v>
      </c>
      <c r="W6" s="3">
        <f>1155.1+(0-737.4)+(-1.767303+(0--1.128222))+0-0-0</f>
        <v>417.06091899999996</v>
      </c>
      <c r="X6" s="3">
        <f>1158.8+(0-734)+(-1.772964+(0--1.12302))+0-0-0</f>
        <v>424.15005599999995</v>
      </c>
      <c r="Y6" s="3">
        <f>1164.6+(2.9-666.9)+(0+(0-0))+0-0-0</f>
        <v>500.59999999999991</v>
      </c>
      <c r="Z6" s="3">
        <f>1158.2+(23-577.5)+(-1.772046+(-0.03519--0.883575))+0-0-0</f>
        <v>602.77633900000001</v>
      </c>
      <c r="AA6" s="3">
        <f>1156.5+(65.2-620.2)+(-1.769445+(-0.099756--0.948906))+0-0-0</f>
        <v>600.57970499999999</v>
      </c>
      <c r="AB6" s="3">
        <f>1158.5+(58.6-629.1)+(-0.590835+(-0.029886--0.320841))+0-0-0</f>
        <v>587.70011999999997</v>
      </c>
      <c r="AC6" s="3">
        <f>1161.5+(37.7-646.5)+(-1.18473+(-0.038454--0.65943))+0-0-0</f>
        <v>552.13624600000003</v>
      </c>
      <c r="AD6">
        <v>605.99999999999989</v>
      </c>
      <c r="AE6" s="3">
        <f>1164+(24.6-582.6)+(0+(0-0))+0-0-0</f>
        <v>606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1166.9+(18.4-647.7)+(0+(0-0))+0-0-0</f>
        <v>537.6</v>
      </c>
      <c r="G7" s="3">
        <f>1161+(0-676.6)+(0+(0-0))+0-0-0</f>
        <v>484.4</v>
      </c>
      <c r="H7" s="3">
        <f>1153.4+(0-715.5)+(-1.764702+(0--1.094715))+0-0-0</f>
        <v>437.2300130000001</v>
      </c>
      <c r="I7" s="3">
        <f>1163.4+(0-743.6)+(0.593334+(0-0.379236))+0-0-0</f>
        <v>420.01409800000005</v>
      </c>
      <c r="J7" s="3">
        <f>1160+(0-748.1)+(0+(0-0))+0-0-0</f>
        <v>411.9</v>
      </c>
      <c r="K7" s="3">
        <f>1164+(0-757)+(1.18728+(0-0.77214))+0-0-0</f>
        <v>407.41514000000001</v>
      </c>
      <c r="L7" s="3">
        <f>1154.2+(0-747.7)+(-1.177284+(0--0.762654))+0-0-0</f>
        <v>406.08537000000001</v>
      </c>
      <c r="M7" s="3">
        <f>1163.4+(0-768.9)+(0+(0-0))+0-0-0</f>
        <v>394.50000000000011</v>
      </c>
      <c r="N7" s="3">
        <f>1165.5+(3-741.2)+(0+(0-0))+0-0-0</f>
        <v>427.29999999999995</v>
      </c>
      <c r="O7" s="3">
        <f>1164.7+(0-697.3)+(0+(0-0))+0-0-0</f>
        <v>467.40000000000009</v>
      </c>
      <c r="P7" s="3">
        <f>1136.7+(0-637.4)+(1.159434+(0-0.650148))+0-0-0</f>
        <v>499.80928600000004</v>
      </c>
      <c r="Q7" s="3">
        <f>1126.5+(0-607.3)+(-2.29806+(0--1.238892))+0-0-0</f>
        <v>518.14083200000005</v>
      </c>
      <c r="R7" s="3">
        <f>1144.2+(0-623.6)+(-2.334168+(0--1.272144))+0-0-0</f>
        <v>519.53797600000007</v>
      </c>
      <c r="S7" s="3">
        <f>1128.2+(0-618.1)+(-0.575382+(0--0.315231))+0-0-0</f>
        <v>509.83984900000002</v>
      </c>
      <c r="T7" s="3">
        <f>1115.1+(0-629.8)+(1.137402+(0-0.642396))+0-0-0</f>
        <v>485.79500599999994</v>
      </c>
      <c r="U7" s="3">
        <f>1093.8+(0-619.4)+(-1.115676+(0--0.631788))+0-0-0</f>
        <v>473.916112</v>
      </c>
      <c r="V7" s="3">
        <f>1084.3+(0-619.1)+(-1.658979+(0--0.947223))+0-0-0</f>
        <v>464.48824399999995</v>
      </c>
      <c r="W7" s="3">
        <f>1106.2+(0-659)+(1.128324+(0-0.67218))+0-0-0</f>
        <v>447.65614400000004</v>
      </c>
      <c r="X7" s="3">
        <f>1099.8+(0-646.8)+(-0.560898+(0--0.329868))+0-0-0</f>
        <v>452.76897000000002</v>
      </c>
      <c r="Y7" s="3">
        <f>1111.1+(1-587.8)+(1.699983+(0.00153-0.899334))+0-0-0</f>
        <v>525.10217899999998</v>
      </c>
      <c r="Z7" s="3">
        <f>1195.3+(46.7-611.2)+(0.609603+(0.023817-0.311712))+0-0-0</f>
        <v>631.1217079999999</v>
      </c>
      <c r="AA7" s="3">
        <f>1213.4+(67.4-644.9)+(0+(0-0))+0-0-0</f>
        <v>635.90000000000009</v>
      </c>
      <c r="AB7" s="3">
        <f>1219.3+(46.5-643.2)+(0+(0-0))+0-0-0</f>
        <v>622.59999999999991</v>
      </c>
      <c r="AC7" s="3">
        <f>1220.1+(11.5-635.1)+(0.622251+(0.005865-0.323901))+0-0-0</f>
        <v>596.80421499999989</v>
      </c>
      <c r="AD7">
        <v>590.70000000000005</v>
      </c>
      <c r="AE7" s="3">
        <f>1195+(46.5-650.8)+(0+(0-0))+0-0-0</f>
        <v>590.70000000000005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1145.7+(0-595)+(-3.505842+(0--1.8207))+0-0-0</f>
        <v>549.014858</v>
      </c>
      <c r="G8" s="3">
        <f>1142.7+(5.5-661.3)+(-1.748331+(-0.008415--1.011789))+0-0-0</f>
        <v>486.15504300000009</v>
      </c>
      <c r="H8" s="3">
        <f>1152.7+(9-717.4)+(-0.587877+(-0.00459--0.365874))+0-0-0</f>
        <v>444.07340700000009</v>
      </c>
      <c r="I8" s="3">
        <f>1140.8+(11.3-731)+(-2.90904+(-0.028815--1.86405))+0-0-0</f>
        <v>420.02619499999992</v>
      </c>
      <c r="J8" s="3">
        <f>1152.5+(12.8-752.8)+(0+(0-0))+0-0-0</f>
        <v>412.5</v>
      </c>
      <c r="K8" s="3">
        <f>1162.1+(12.7-757.5)+(1.778013+(0.019431-1.158975))+0-0-0</f>
        <v>417.93846899999994</v>
      </c>
      <c r="L8" s="3">
        <f>1160.5+(10-757.9)+(1.18371+(0.0102-0.773058))+0-0-0</f>
        <v>413.02085200000005</v>
      </c>
      <c r="M8" s="3">
        <f>1141.7+(4.4-751.8)+(-1.746801+(-0.006732--1.150254))+0-0-0</f>
        <v>393.69672100000008</v>
      </c>
      <c r="N8" s="3">
        <f>1152.3+(2.2-720.7)+(-0.587673+(-0.001122--0.367557))+0-0-0</f>
        <v>433.57876199999993</v>
      </c>
      <c r="O8" s="3">
        <f>1155.7+(1.9-688.7)+(-1.178814+(-0.001938--0.702474))+0-0-0</f>
        <v>468.42172199999999</v>
      </c>
      <c r="P8" s="3">
        <f>1145.4+(0-646.5)+(-1.168308+(0--0.65943))+0-0-0</f>
        <v>498.39112200000011</v>
      </c>
      <c r="Q8" s="3">
        <f>1138.2+(0-630.2)+(-0.580482+(0--0.321402))+0-0-0</f>
        <v>507.74092000000002</v>
      </c>
      <c r="R8" s="3">
        <f>1129.8+(0-619.5)+(-1.152396+(0--0.63189))+0-0-0</f>
        <v>509.77949399999994</v>
      </c>
      <c r="S8" s="3">
        <f>1125.3+(0-626.2)+(-1.147806+(0--0.638724))+0-0-0</f>
        <v>498.59091799999993</v>
      </c>
      <c r="T8" s="3">
        <f>1109+(0-649.5)+(-2.26236+(0--1.32498))+0-0-0</f>
        <v>458.56261999999998</v>
      </c>
      <c r="U8" s="3">
        <f>1112.8+(0-674)+(-0.567528+(0--0.34374))+0-0-0</f>
        <v>438.57621199999994</v>
      </c>
      <c r="V8" s="3">
        <f>1102.7+(0-668.7)+(-2.249508+(0--1.364148))+0-0-0</f>
        <v>433.11464000000001</v>
      </c>
      <c r="W8" s="3">
        <f>1101.8+(0-667.6)+(-2.247672+(0--1.361904))+0-0-0</f>
        <v>433.31423199999995</v>
      </c>
      <c r="X8" s="3">
        <f>1110.3+(0-673.5)+(0.566253+(0-0.343485))+0-0-0</f>
        <v>437.02276799999993</v>
      </c>
      <c r="Y8" s="3">
        <f>1128.1+(9.5-620.1)+(0.575331+(0.004845-0.316251))+0-0-0</f>
        <v>517.76392499999986</v>
      </c>
      <c r="Z8" s="3">
        <f>1142.2+(5.3-544.4)+(-0.582522+(-0.002703--0.277644))+0-0-0</f>
        <v>602.792419</v>
      </c>
      <c r="AA8" s="3">
        <f>1133+(31.4-569.4)+(-2.31132+(-0.064056--1.161576))+0-0-0</f>
        <v>593.78620000000001</v>
      </c>
      <c r="AB8" s="3">
        <f>1138+(42.1-605)+(-1.16076+(-0.042942--0.6171))+0-0-0</f>
        <v>574.51339800000005</v>
      </c>
      <c r="AC8" s="3">
        <f>1140.4+(22.3-612.4)+(-0.581604+(-0.011373--0.312324))+0-0-0</f>
        <v>550.01934700000004</v>
      </c>
      <c r="AD8">
        <v>580.1</v>
      </c>
      <c r="AE8" s="3">
        <f>1147+(0-566.9)+(0+(0-0))+0-0-0</f>
        <v>580.1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1135.8+(0-616.4)+(-1.158516+(0--0.628728))+0-0-0</f>
        <v>518.87021199999992</v>
      </c>
      <c r="G9" s="3">
        <f>1120.5+(0-654.6)+(-2.857275+(0--1.66923))+0-0-0</f>
        <v>464.71195499999999</v>
      </c>
      <c r="H9" s="3">
        <f>1138.4+(7.2-721)+(0+(0-0))+0-0-0</f>
        <v>424.60000000000014</v>
      </c>
      <c r="I9" s="3">
        <f>1127.1+(24.5-747.3)+(-2.299284+(-0.04998--1.524492))+0-0-0</f>
        <v>403.47522799999996</v>
      </c>
      <c r="J9" s="3">
        <f>1133.8+(21-756)+(-1.156476+(-0.02142--0.77112))+0-0-0</f>
        <v>398.39322399999998</v>
      </c>
      <c r="K9" s="3">
        <f>1131.9+(19.9-755)+(-0.577269+(-0.010149--0.38505))+0-0-0</f>
        <v>396.59763200000009</v>
      </c>
      <c r="L9" s="3">
        <f>1140.7+(18.9-754.3)+(0+(0-0))+0-0-0</f>
        <v>405.30000000000007</v>
      </c>
      <c r="M9" s="3">
        <f>1129.1+(14.5-750.7)+(-2.303364+(-0.02958--1.531428))+0-0-0</f>
        <v>392.09848399999987</v>
      </c>
      <c r="N9" s="3">
        <f>1145+(8.5-722.4)+(0.58395+(0.004335-0.368424))+0-0-0</f>
        <v>431.319861</v>
      </c>
      <c r="O9" s="3">
        <f>1161.6+(3.1-686.8)+(0+(0-0))+0-0-0</f>
        <v>477.9</v>
      </c>
      <c r="P9" s="3">
        <f>1161.6+(0-652.2)+(-1.184832+(0--0.665244))+0-0-0</f>
        <v>508.88041199999986</v>
      </c>
      <c r="Q9" s="3">
        <f>1166+(0-630.7)+(-0.59466+(0--0.321657))+0-0-0</f>
        <v>535.02699699999994</v>
      </c>
      <c r="R9" s="3">
        <f>1151.8+(1.5-633.3)+(-3.524508+(-0.00459--1.937898))+0-0-0</f>
        <v>518.40880000000004</v>
      </c>
      <c r="S9" s="3">
        <f>1159.1+(0-659)+(-1.773423+(0--1.00827))+0-0-0</f>
        <v>499.33484699999991</v>
      </c>
      <c r="T9" s="3">
        <f>1159.4+(0-683.6)+(-1.773882+(0--1.045908))+0-0-0</f>
        <v>475.07202600000005</v>
      </c>
      <c r="U9" s="3">
        <f>1154.4+(0-690.5)+(-1.766232+(0--1.056465))+0-0-0</f>
        <v>463.19023300000009</v>
      </c>
      <c r="V9" s="3">
        <f>1157.1+(0-688.5)+(-1.180242+(0--0.70227))+0-0-0</f>
        <v>468.12202799999989</v>
      </c>
      <c r="W9" s="3">
        <f>1155.2+(4.1-679.1)+(-1.767456+(-0.006273--1.039023))+0-0-0</f>
        <v>479.46529400000003</v>
      </c>
      <c r="X9" s="3">
        <f>1150.9+(5.4-668.5)+(-2.347836+(-0.011016--1.36374))+0-0-0</f>
        <v>486.80488800000006</v>
      </c>
      <c r="Y9" s="3">
        <f>1170.2+(3.8-624.7)+(0.596802+(0.001938-0.318597))+0-0-0</f>
        <v>549.58014299999991</v>
      </c>
      <c r="Z9" s="3">
        <f>1169.1+(4.4-553)+(0+(0-0))+0-0-0</f>
        <v>620.49999999999989</v>
      </c>
      <c r="AA9" s="3">
        <f>1151.9+(2.2-540.8)+(-2.937345+(-0.00561--1.37904))+0-0-0</f>
        <v>611.73608500000023</v>
      </c>
      <c r="AB9" s="3">
        <f>1150.7+(0-557)+(-2.347428+(0--1.13628))+0-0-0</f>
        <v>592.48885200000007</v>
      </c>
      <c r="AC9" s="3">
        <f>1155.2+(0-580.1)+(-1.767456+(0--0.887553))+0-0-0</f>
        <v>574.22009700000001</v>
      </c>
      <c r="AD9">
        <v>588.50000000000011</v>
      </c>
      <c r="AE9" s="3">
        <f>1175+(3.9-590.4)+(0+(0-0))+0-0-0</f>
        <v>588.5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1156.3+(0-622.8)+(-1.179426+(0--0.635256))+0-0-0</f>
        <v>532.95582999999999</v>
      </c>
      <c r="G10" s="3">
        <f>1147.6+(0-667.3)+(-2.92638+(0--1.701615))+0-0-0</f>
        <v>479.07523499999996</v>
      </c>
      <c r="H10" s="3">
        <f>1157.5+(0-718.1)+(-0.590325+(0--0.366231))+0-0-0</f>
        <v>439.175906</v>
      </c>
      <c r="I10" s="3">
        <f>1149.1+(2.3-732.4)+(-2.344164+(-0.004692--1.494096))+0-0-0</f>
        <v>418.14523999999989</v>
      </c>
      <c r="J10" s="3">
        <f>1159.7+(2.3-754.5)+(0+(0-0))+0-0-0</f>
        <v>407.5</v>
      </c>
      <c r="K10" s="3">
        <f>1157.3+(2.3-754.6)+(-0.590223+(-0.001173--0.384846))+0-0-0</f>
        <v>404.79344999999989</v>
      </c>
      <c r="L10" s="3">
        <f>1155+(0-751.2)+(-1.1781+(0--0.766224))+0-0-0</f>
        <v>403.38812399999995</v>
      </c>
      <c r="M10" s="3">
        <f>1163.9+(0-774.4)+(0.593589+(0-0.394944))+0-0-0</f>
        <v>389.69864500000011</v>
      </c>
      <c r="N10" s="3">
        <f>1159.8+(0-734.8)+(0+(0-0))+0-0-0</f>
        <v>425</v>
      </c>
      <c r="O10" s="3">
        <f>1161.2+(0-689.8)+(0+(0-0))+0-0-0</f>
        <v>471.40000000000009</v>
      </c>
      <c r="P10" s="3">
        <f>1168+(2.6-662.9)+(0.59568+(0.001326-0.338079))+0-0-0</f>
        <v>507.95892700000007</v>
      </c>
      <c r="Q10" s="3">
        <f>1156.2+(1.8-638.3)+(-1.768986+(-0.002754--0.976599))+0-0-0</f>
        <v>518.9048590000001</v>
      </c>
      <c r="R10" s="3">
        <f>1156.6+(3-638)+(-2.359464+(-0.00612--1.30152))+0-0-0</f>
        <v>520.53593599999988</v>
      </c>
      <c r="S10" s="3">
        <f>1165.3+(2.2-653.9)+(0+(0-0))+0-0-0</f>
        <v>513.6</v>
      </c>
      <c r="T10" s="3">
        <f>1145.9+(3.5-666.5)+(-0.584409+(-0.001785--0.339915))+0-0-0</f>
        <v>482.65372100000008</v>
      </c>
      <c r="U10" s="3">
        <f>1132.5+(4.9-681.2)+(-1.15515+(-0.004998--0.694824))+0-0-0</f>
        <v>455.73467599999992</v>
      </c>
      <c r="V10" s="3">
        <f>1133.3+(5.6-689.2)+(0+(0-0))+0-0-0</f>
        <v>449.69999999999993</v>
      </c>
      <c r="W10" s="3">
        <f>1125.8+(16.4-689.3)+(-1.148316+(-0.016728--0.703086))+0-0-0</f>
        <v>452.438042</v>
      </c>
      <c r="X10" s="3">
        <f>1137.8+(17.5-708.7)+(-2.90139+(-0.044625--1.807185))+0-0-0</f>
        <v>445.46116999999992</v>
      </c>
      <c r="Y10" s="3">
        <f>1158.2+(15.3-657.6)+(1.181364+(0.015606-0.670752))+0-0-0</f>
        <v>516.42621799999995</v>
      </c>
      <c r="Z10" s="3">
        <f>1164.6+(2.2-550)+(-2.375784+(-0.004488--1.122))+0-0-0</f>
        <v>615.54172799999992</v>
      </c>
      <c r="AA10" s="3">
        <f>1179.7+(4.6-573.8)+(0.601647+(0.002346-0.292638))+0-0-0</f>
        <v>610.81135500000016</v>
      </c>
      <c r="AB10" s="3">
        <f>1161.7+(0-573.4)+(-2.369868+(0--1.169736))+0-0-0</f>
        <v>587.09986800000001</v>
      </c>
      <c r="AC10" s="3">
        <f>1172.3+(0-605.5)+(-0.597873+(0--0.308805))+0-0-0</f>
        <v>566.51093199999991</v>
      </c>
      <c r="AD10">
        <v>568.79999999999995</v>
      </c>
      <c r="AE10" s="3">
        <f>1161+(4.8-597)+(0+(0-0))+0-0-0</f>
        <v>568.79999999999995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1169.2+(0-632.8)+(-0.596292+(0--0.322728))+0-0-0</f>
        <v>536.12643600000013</v>
      </c>
      <c r="G11" s="3">
        <f>1165.1+(0-676.8)+(-1.782603+(0--1.035504))+0-0-0</f>
        <v>487.55290099999996</v>
      </c>
      <c r="H11" s="3">
        <f>1168.3+(0-721.4)+(-0.595833+(0--0.367914))+0-0-0</f>
        <v>446.67208099999999</v>
      </c>
      <c r="I11" s="3">
        <f>1157.1+(0-735.6)+(-2.360484+(0--1.500624))+0-0-0</f>
        <v>420.64013999999986</v>
      </c>
      <c r="J11" s="3">
        <f>1151.6+(0-738.8)+(-3.523896+(0--2.260728))+0-0-0</f>
        <v>411.53683199999995</v>
      </c>
      <c r="K11" s="3">
        <f>1169+(0-757.1)+(-0.59619+(0--0.386121))+0-0-0</f>
        <v>411.689931</v>
      </c>
      <c r="L11" s="3">
        <f>1162+(0-759.6)+(-1.77786+(0--1.162188))+0-0-0</f>
        <v>401.78432799999996</v>
      </c>
      <c r="M11" s="3">
        <f>1167+(0-775.5)+(-0.59517+(0--0.395505))+0-0-0</f>
        <v>391.30033500000002</v>
      </c>
      <c r="N11" s="3">
        <f>1191+(0-759.3)+(0.60741+(0-0.387243))+0-0-0</f>
        <v>431.92016700000005</v>
      </c>
      <c r="O11" s="3">
        <f>1199.6+(0-737.6)+(1.835388+(0-1.128528))+0-0-0</f>
        <v>462.70685999999989</v>
      </c>
      <c r="P11" s="3">
        <f>1183.3+(0-682.7)+(-0.603483+(0--0.348177))+0-0-0</f>
        <v>500.34469399999989</v>
      </c>
      <c r="Q11" s="3">
        <f>1192.8+(0-674.9)+(1.824984+(0-1.032597))+0-0-0</f>
        <v>518.69238699999994</v>
      </c>
      <c r="R11" s="3">
        <f>1176.1+(0-657.3)+(0+(0-0))+0-0-0</f>
        <v>518.79999999999995</v>
      </c>
      <c r="S11" s="3">
        <f>1169.5+(0-672.6)+(-1.19289+(0--0.686052))+0-0-0</f>
        <v>496.39316199999996</v>
      </c>
      <c r="T11" s="3">
        <f>1161.8+(0-696)+(-2.370072+(0--1.41984))+0-0-0</f>
        <v>464.84976799999993</v>
      </c>
      <c r="U11" s="3">
        <f>1168.7+(0-734.2)+(0.596037+(0-0.374442))+0-0-0</f>
        <v>434.72159499999998</v>
      </c>
      <c r="V11" s="3">
        <f>1127+(0-700.2)+(-2.87385+(0--1.78551))+0-0-0</f>
        <v>425.71165999999994</v>
      </c>
      <c r="W11" s="3">
        <f>1140.5+(2.8-715.3)+(-1.744965+(-0.004284--1.094409))+0-0-0</f>
        <v>427.34516000000002</v>
      </c>
      <c r="X11" s="3">
        <f>1138.5+(6.8-696.7)+(-2.32254+(-0.013872--1.421268))+0-0-0</f>
        <v>447.68485599999991</v>
      </c>
      <c r="Y11" s="3">
        <f>1158.9+(5.4-630.3)+(1.182078+(0.005508-0.642906))+0-0-0</f>
        <v>534.54468000000008</v>
      </c>
      <c r="Z11" s="3">
        <f>1171.5+(27.2-584.8)+(-2.38986+(-0.055488--1.192992))+0-0-0</f>
        <v>612.64764400000013</v>
      </c>
      <c r="AA11" s="3">
        <f>1173.1+(41.1-600.8)+(-2.393124+(-0.083844--1.225632))+0-0-0</f>
        <v>612.14866399999994</v>
      </c>
      <c r="AB11" s="3">
        <f>1163.7+(34-599.7)+(-2.967435+(-0.0867--1.529235))+0-0-0</f>
        <v>596.4751</v>
      </c>
      <c r="AC11" s="3">
        <f>1177.7+(1.3-611)+(0.600627+(0.000663-0.31161))+0-0-0</f>
        <v>568.28967999999998</v>
      </c>
      <c r="AD11">
        <v>567</v>
      </c>
      <c r="AE11" s="3">
        <f>1167+(20.3-620.3)+(0+(0-0))+0-0-0</f>
        <v>567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1169.6+(0-638.6)+(0+(0-0))+0-0-0</f>
        <v>530.99999999999989</v>
      </c>
      <c r="G12" s="3">
        <f>1160.5+(4.4-690.4)+(-1.775565+(-0.006732--1.056312))+0-0-0</f>
        <v>473.77401500000002</v>
      </c>
      <c r="H12" s="3">
        <f>1150.2+(7.2-715.8)+(-3.519612+(-0.022032--2.190348))+0-0-0</f>
        <v>440.24870400000015</v>
      </c>
      <c r="I12" s="3">
        <f>1157.2+(7.4-746)+(-2.360688+(-0.015096--1.52184))+0-0-0</f>
        <v>417.74605600000001</v>
      </c>
      <c r="J12" s="3">
        <f>1164.6+(0-753.3)+(-0.593946+(0--0.384183))+0-0-0</f>
        <v>411.09023699999995</v>
      </c>
      <c r="K12" s="3">
        <f>1089.5+(0-686.9)+(-0.555645+(0--0.350319))+0-0-0</f>
        <v>402.39467400000001</v>
      </c>
      <c r="L12" s="3">
        <f>1045+(0-667.9)+(-3.1977+(0--2.043774))+0-0-0</f>
        <v>375.94607400000001</v>
      </c>
      <c r="M12" s="3">
        <f>1041.9+(0-684.4)+(-1.062738+(0--0.698088))+0-0-0</f>
        <v>357.13535000000013</v>
      </c>
      <c r="N12" s="3">
        <f>1051.5+(0-679)+(0.536265+(0-0.34629))+0-0-0</f>
        <v>372.689975</v>
      </c>
      <c r="O12" s="3">
        <f>1038.9+(0-637.3)+(-1.589517+(0--0.975069))+0-0-0</f>
        <v>400.98555200000015</v>
      </c>
      <c r="P12" s="3">
        <f>1043.7+(0-597.2)+(-1.596861+(0--0.913716))+0-0-0</f>
        <v>445.81685499999998</v>
      </c>
      <c r="Q12" s="3">
        <f>1038.8+(2.4-575.8)+(-2.119152+(-0.004896--1.174632))+0-0-0</f>
        <v>464.45058399999999</v>
      </c>
      <c r="R12" s="3">
        <f>1040+(2.9-596)+(-1.5912+(-0.004437--0.91188))+0-0-0</f>
        <v>446.21624299999996</v>
      </c>
      <c r="S12" s="3">
        <f>1044.4+(3.4-632.4)+(-0.532644+(-0.001734--0.322524))+0-0-0</f>
        <v>415.18814600000007</v>
      </c>
      <c r="T12" s="3">
        <f>1049.5+(3.1-666.3)+(0+(0-0))+0-0-0</f>
        <v>386.30000000000007</v>
      </c>
      <c r="U12" s="3">
        <f>1137+(0-759.9)+(-1.73961+(0--1.162647))+0-0-0</f>
        <v>376.52303700000004</v>
      </c>
      <c r="V12" s="3">
        <f>1138.3+(0-772.9)+(-2.322132+(0--1.576716))+0-0-0</f>
        <v>364.654584</v>
      </c>
      <c r="W12" s="3">
        <f>1154.9+(0-790.3)+(1.177998+(0-0.806106))+0-0-0</f>
        <v>364.97189200000014</v>
      </c>
      <c r="X12" s="3">
        <f>1132+(0-747.9)+(-2.8866+(0--1.907145))+0-0-0</f>
        <v>383.12054500000005</v>
      </c>
      <c r="Y12" s="3">
        <f>1171.1+(4-737.7)+(0+(0-0))+0-0-0</f>
        <v>437.39999999999986</v>
      </c>
      <c r="Z12" s="3">
        <f>1185.4+(20.3-674)+(0+(0-0))+0-0-0</f>
        <v>531.70000000000005</v>
      </c>
      <c r="AA12" s="3">
        <f>1171.8+(21-657.7)+(-2.98809+(-0.05355--1.677135))+0-0-0</f>
        <v>533.7354949999999</v>
      </c>
      <c r="AB12" s="3">
        <f>1173.3+(30.4-676.4)+(-2.393532+(-0.062016--1.379856))+0-0-0</f>
        <v>526.22430799999995</v>
      </c>
      <c r="AC12" s="3">
        <f>1171.5+(44-713)+(-1.792395+(-0.06732--1.09089))+0-0-0</f>
        <v>501.73117500000001</v>
      </c>
      <c r="AD12">
        <v>527.80000000000007</v>
      </c>
      <c r="AE12" s="3">
        <f>1186+(19.2-677.4)+(0+(0-0))+0-0-0</f>
        <v>527.80000000000007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1170.6+(6.9-711.1)+(-1.194012+(-0.007038--0.725322))+0-0-0</f>
        <v>465.92427199999986</v>
      </c>
      <c r="G13" s="3">
        <f>1164.9+(0-732.5)+(-2.376396+(0--1.4943))+0-0-0</f>
        <v>431.5179040000001</v>
      </c>
      <c r="H13" s="3">
        <f>1153.9+(0-749.7)+(-2.942445+(0--1.911735))+0-0-0</f>
        <v>403.16929000000005</v>
      </c>
      <c r="I13" s="3">
        <f>1179.6+(0-794.6)+(1.203192+(0-0.810492))+0-0-0</f>
        <v>385.39269999999988</v>
      </c>
      <c r="J13" s="3">
        <f>1163.6+(1.3-791)+(-1.186872+(-0.001326--0.80682))+0-0-0</f>
        <v>373.51862199999988</v>
      </c>
      <c r="K13" s="3">
        <f>1171.9+(0-795.6)+(0.597669+(0-0.405756))+0-0-0</f>
        <v>376.49191300000007</v>
      </c>
      <c r="L13" s="3">
        <f>1151.1+(0-781.2)+(-4.109427+(0--2.788884))+0-0-0</f>
        <v>368.57945699999988</v>
      </c>
      <c r="M13" s="3">
        <f>1071.9+(0-745.8)+(-0.546669+(0--0.380358))+0-0-0</f>
        <v>325.93368900000013</v>
      </c>
      <c r="N13" s="3">
        <f>1045.2+(5.2-714.6)+(0.533052+(0.002652-0.364446))+0-0-0</f>
        <v>335.97125800000009</v>
      </c>
      <c r="O13" s="3">
        <f>1113+(17.8-773)+(-1.70289+(-0.027234--1.18269))+0-0-0</f>
        <v>357.25256599999994</v>
      </c>
      <c r="P13" s="3">
        <f>1172+(11.1-809.8)+(1.19544+(0.011322-0.825996))+0-0-0</f>
        <v>373.68076600000006</v>
      </c>
      <c r="Q13" s="3">
        <f>1155.3+(11.4-805.2)+(-1.178406+(-0.011628--0.821304))+0-0-0</f>
        <v>361.13126999999986</v>
      </c>
      <c r="R13" s="3">
        <f>1157.3+(5.8-831)+(-1.180446+(-0.005916--0.84762))+0-0-0</f>
        <v>331.76125799999988</v>
      </c>
      <c r="S13" s="3">
        <f>1164.9+(0-848.4)+(0+(0-0))+0-0-0</f>
        <v>316.50000000000011</v>
      </c>
      <c r="T13" s="3">
        <f>1154.2+(0-843.8)+(-0.588642+(0--0.430338))+0-0-0</f>
        <v>310.2416960000001</v>
      </c>
      <c r="U13" s="3">
        <f>1125.1+(0-829.8)+(-1.147602+(0--0.846396))+0-0-0</f>
        <v>294.99879399999998</v>
      </c>
      <c r="V13" s="3">
        <f>1082+(0-789.6)+(-1.10364+(0--0.805392))+0-0-0</f>
        <v>292.10175199999998</v>
      </c>
      <c r="W13" s="3">
        <f>1080.8+(0-777.1)+(-0.551208+(0--0.396321))+0-0-0</f>
        <v>303.54511299999996</v>
      </c>
      <c r="X13" s="3">
        <f>1067.1+(0-739.1)+(-2.721105+(0--1.884705))+0-0-0</f>
        <v>327.16359999999986</v>
      </c>
      <c r="Y13" s="3">
        <f>1089.9+(0-678.9)+(-1.111698+(0--0.692478))+0-0-0</f>
        <v>410.58078000000012</v>
      </c>
      <c r="Z13" s="3">
        <f>1162.7+(11.6-673.2)+(-0.592977+(-0.005916--0.343332))+0-0-0</f>
        <v>500.84443900000002</v>
      </c>
      <c r="AA13" s="3">
        <f>1170.6+(10.2-666.4)+(-0.597006+(-0.005202--0.339864))+0-0-0</f>
        <v>514.13765599999999</v>
      </c>
      <c r="AB13" s="3">
        <f>1162.6+(11-671.8)+(-1.778778+(-0.01683--1.027854))+0-0-0</f>
        <v>501.03224599999993</v>
      </c>
      <c r="AC13" s="3">
        <f>1161+(14.6-703.2)+(-1.18422+(-0.014892--0.717264))+0-0-0</f>
        <v>471.91815199999996</v>
      </c>
      <c r="AD13">
        <v>450.30000000000007</v>
      </c>
      <c r="AE13" s="3">
        <f>1153+(8.7-711.4)+(0+(0-0))+0-0-0</f>
        <v>450.30000000000007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1158.2+(16.5-771.5)+(-2.362728+(-0.03366--1.57386))+0-0-0</f>
        <v>402.37747200000007</v>
      </c>
      <c r="G14" s="3">
        <f>1168.2+(32.6-842.7)+(0.595782+(0.016626-0.429777))+0-0-0</f>
        <v>358.28263100000004</v>
      </c>
      <c r="H14" s="3">
        <f>1159.5+(37-840.6)+(-1.18269+(-0.03774--0.857412))+0-0-0</f>
        <v>355.53698199999997</v>
      </c>
      <c r="I14" s="3">
        <f>1156.8+(42.1-851.8)+(-1.179936+(-0.042942--0.868836))+0-0-0</f>
        <v>346.74595800000003</v>
      </c>
      <c r="J14" s="3">
        <f>1187.3+(17.4-860.8)+(0+(0-0))+0-0-0</f>
        <v>343.9</v>
      </c>
      <c r="K14" s="3">
        <f>1221.2+(0-870.6)+(0+(0-0))+0-0-0</f>
        <v>350.6</v>
      </c>
      <c r="L14" s="3">
        <f>1209.9+(0-849.9)+(-2.468196+(0--1.733796))+0-0-0</f>
        <v>359.26560000000012</v>
      </c>
      <c r="M14" s="3">
        <f>1106.7+(1.2-730.4)+(-0.564417+(-0.000612--0.372504))+0-0-0</f>
        <v>377.30747500000012</v>
      </c>
      <c r="N14" s="3">
        <f>1135.5+(3.7-714.1)+(0+(0-0))+0-0-0</f>
        <v>425.1</v>
      </c>
      <c r="O14" s="3">
        <f>1140.4+(11.2-691.5)+(0+(0-0))+0-0-0</f>
        <v>460.10000000000014</v>
      </c>
      <c r="P14" s="3">
        <f>1233.1+(2.5-732.1)+(-0.628881+(-0.001275--0.373371))+0-0-0</f>
        <v>503.24321499999991</v>
      </c>
      <c r="Q14" s="3">
        <f>1241.7+(0-717)+(-1.899801+(0--1.09701))+0-0-0</f>
        <v>523.89720900000009</v>
      </c>
      <c r="R14" s="3">
        <f>1243.4+(0-728.9)+(-1.902402+(0--1.115217))+0-0-0</f>
        <v>513.71281500000009</v>
      </c>
      <c r="S14" s="3">
        <f>1238.1+(0-743.1)+(-2.525724+(0--1.515924))+0-0-0</f>
        <v>493.9901999999999</v>
      </c>
      <c r="T14" s="3">
        <f>1239.8+(0-773.5)+(-1.896894+(0--1.183455))+0-0-0</f>
        <v>465.58656099999996</v>
      </c>
      <c r="U14" s="3">
        <f>1233.4+(0-786.1)+(-2.516136+(0--1.603644))+0-0-0</f>
        <v>446.38750800000008</v>
      </c>
      <c r="V14" s="3">
        <f>1225.3+(0-776.2)+(-3.749418+(0--2.375172))+0-0-0</f>
        <v>447.72575399999988</v>
      </c>
      <c r="W14" s="3">
        <f>1231.6+(0-774.7)+(-3.14058+(0--1.975485))+0-0-0</f>
        <v>455.73490499999986</v>
      </c>
      <c r="X14" s="3">
        <f>1247.2+(0-776.8)+(-1.908216+(0--1.188504))+0-0-0</f>
        <v>469.68028800000008</v>
      </c>
      <c r="Y14" s="3">
        <f>1282.9+(0-761.5)+(0+(0-0))+0-0-0</f>
        <v>521.40000000000009</v>
      </c>
      <c r="Z14" s="3">
        <f>1278.7+(32.9-728.3)+(-2.608548+(-0.067116--1.485732))+0-0-0</f>
        <v>582.11006800000007</v>
      </c>
      <c r="AA14" s="3">
        <f>1280+(22.4-734.2)+(-2.6112+(-0.045696--1.497768))+0-0-0</f>
        <v>567.04087199999992</v>
      </c>
      <c r="AB14" s="3">
        <f>1278.4+(20.1-763)+(-1.955952+(-0.030753--1.16739))+0-0-0</f>
        <v>534.68068500000015</v>
      </c>
      <c r="AC14" s="3">
        <f>1273.5+(2.2-779.8)+(-2.59794+(-0.004488--1.590792))+0-0-0</f>
        <v>494.88836400000008</v>
      </c>
      <c r="AD14">
        <v>586.80000000000007</v>
      </c>
      <c r="AE14" s="3">
        <f>1288+(34.7-735.9)+(0+(0-0))+0-0-0</f>
        <v>586.80000000000007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1264+(0-822.3)+(-3.2232+(0--2.096865))+0-0-0</f>
        <v>440.57366500000006</v>
      </c>
      <c r="G15" s="3">
        <f>1244+(0-841.2)+(-3.1722+(0--2.14506))+0-0-0</f>
        <v>401.77285999999998</v>
      </c>
      <c r="H15" s="3">
        <f>1159.7+(0-779.8)+(-1.774341+(0--1.193094))+0-0-0</f>
        <v>379.31875300000007</v>
      </c>
      <c r="I15" s="3">
        <f>968.5+(8.3-602.9)+(-1.481805+(-0.012699--0.922437))+0-0-0</f>
        <v>373.32793299999997</v>
      </c>
      <c r="J15" s="3">
        <f>904.8+(23.4-554.5)+(-0.922896+(-0.023868--0.56559))+0-0-0</f>
        <v>373.31882599999994</v>
      </c>
      <c r="K15" s="3">
        <f>914.9+(20.8-559.3)+(0.933198+(0.021216-0.570486))+0-0-0</f>
        <v>376.783928</v>
      </c>
      <c r="L15" s="3">
        <f>904.8+(13.3-541.4)+(-0.922896+(-0.013566--0.552228))+0-0-0</f>
        <v>376.31576599999994</v>
      </c>
      <c r="M15" s="3">
        <f>962.7+(4.7-572.4)+(0+(0-0))+0-0-0</f>
        <v>395.00000000000011</v>
      </c>
      <c r="N15" s="3">
        <f>1270+(0-829.7)+(-0.6477+(0--0.423147))+0-0-0</f>
        <v>440.07544699999994</v>
      </c>
      <c r="O15" s="3">
        <f>1288.6+(0-818.5)+(1.314372+(0-0.83487))+0-0-0</f>
        <v>470.57950199999993</v>
      </c>
      <c r="P15" s="3">
        <f>1283.2+(0-787.7)+(-0.654432+(0--0.401727))+0-0-0</f>
        <v>495.24729500000001</v>
      </c>
      <c r="Q15" s="3">
        <f>1283.1+(0-780.7)+(-0.654381+(0--0.398157))+0-0-0</f>
        <v>502.14377599999989</v>
      </c>
      <c r="R15" s="3">
        <f>1284.8+(0-788.6)+(-0.655248+(0--0.402186))+0-0-0</f>
        <v>495.94693799999993</v>
      </c>
      <c r="S15" s="3">
        <f>1272.7+(0-789.2)+(-3.245385+(0--2.01246))+0-0-0</f>
        <v>482.26707499999998</v>
      </c>
      <c r="T15" s="3">
        <f>1272.5+(0-815.7)+(-2.5959+(0--1.664028))+0-0-0</f>
        <v>455.86812799999996</v>
      </c>
      <c r="U15" s="3">
        <f>1252.9+(0-800.6)+(-1.277958+(0--0.816612))+0-0-0</f>
        <v>451.83865400000008</v>
      </c>
      <c r="V15" s="3">
        <f>1235.5+(0-777.1)+(-1.890315+(0--1.188963))+0-0-0</f>
        <v>457.69864799999999</v>
      </c>
      <c r="W15" s="3">
        <f>1284.5+(0-801.1)+(0.655095+(0-0.408561))+0-0-0</f>
        <v>483.64653399999997</v>
      </c>
      <c r="X15" s="3">
        <f>1269.7+(0-769.8)+(-1.942641+(0--1.177794))+0-0-0</f>
        <v>499.13515300000012</v>
      </c>
      <c r="Y15" s="3">
        <f>1277.3+(0-733)+(-1.302846+(0--0.74766))+0-0-0</f>
        <v>543.74481399999991</v>
      </c>
      <c r="Z15" s="3">
        <f>1272.9+(19.3-688.4)+(-2.596716+(-0.039372--1.404336))+0-0-0</f>
        <v>602.56824800000004</v>
      </c>
      <c r="AA15" s="3">
        <f>1283.8+(6.3-705.6)+(-0.654738+(-0.003213--0.359856))+0-0-0</f>
        <v>584.2019049999999</v>
      </c>
      <c r="AB15" s="3">
        <f>1270.3+(0-716.8)+(-3.239265+(0--1.82784))+0-0-0</f>
        <v>552.08857499999999</v>
      </c>
      <c r="AC15" s="3">
        <f>1287+(0-768.7)+(-0.65637+(0--0.392037))+0-0-0</f>
        <v>518.03566699999999</v>
      </c>
      <c r="AD15">
        <v>576.70000000000005</v>
      </c>
      <c r="AE15" s="3">
        <f>1275+(10.2-708.5)+(0+(0-0))+0-0-0</f>
        <v>576.70000000000005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1278.9+(0-801)+(-1.956717+(0--1.22553))+0-0-0</f>
        <v>477.16881300000011</v>
      </c>
      <c r="G16" s="3">
        <f>1282.4+(2.4-851.6)+(0+(0-0))+0-0-0</f>
        <v>433.20000000000005</v>
      </c>
      <c r="H16" s="3">
        <f>1287+(4-870)+(0.65637+(0.00204-0.4437))+0-0-0</f>
        <v>421.21471000000003</v>
      </c>
      <c r="I16" s="3">
        <f>1283.4+(0-881.2)+(0+(0-0))+0-0-0</f>
        <v>402.20000000000005</v>
      </c>
      <c r="J16" s="3">
        <f>1267.7+(0-861.5)+(-3.879162+(0--2.63619))+0-0-0</f>
        <v>404.95702800000004</v>
      </c>
      <c r="K16" s="3">
        <f>1291.6+(0-881.6)+(1.317432+(0-0.899232))+0-0-0</f>
        <v>410.4181999999999</v>
      </c>
      <c r="L16" s="3">
        <f>1283.4+(0-859.4)+(-0.654534+(0--0.438294))+0-0-0</f>
        <v>423.78376000000009</v>
      </c>
      <c r="M16" s="3">
        <f>1280.2+(0-835.2)+(-1.305804+(0--0.851904))+0-0-0</f>
        <v>444.54610000000002</v>
      </c>
      <c r="N16" s="3">
        <f>1278.4+(0-803.8)+(-0.651984+(0--0.409938))+0-0-0</f>
        <v>474.35795400000012</v>
      </c>
      <c r="O16" s="3">
        <f>1267.7+(0-760.1)+(0.646527+(0-0.387651))+0-0-0</f>
        <v>507.85887600000001</v>
      </c>
      <c r="P16" s="3">
        <f>1277+(0-736.8)+(0.65127+(0-0.375768))+0-0-0</f>
        <v>540.47550200000001</v>
      </c>
      <c r="Q16" s="3">
        <f>1240.5+(0-690)+(0+(0-0))+0-0-0</f>
        <v>550.5</v>
      </c>
      <c r="R16" s="3">
        <f>1230.5+(0-694)+(-1.25511+(0--0.70788))+0-0-0</f>
        <v>535.95276999999999</v>
      </c>
      <c r="S16" s="3">
        <f>1264.5+(0-753.3)+(-1.28979+(0--0.768366))+0-0-0</f>
        <v>510.67857600000002</v>
      </c>
      <c r="T16" s="3">
        <f>1265.3+(0-761.8)+(-1.290606+(0--0.777036))+0-0-0</f>
        <v>502.98642999999998</v>
      </c>
      <c r="U16" s="3">
        <f>1272.3+(0-759.6)+(0.648873+(0-0.387396))+0-0-0</f>
        <v>512.96147699999995</v>
      </c>
      <c r="V16" s="3">
        <f>1273.7+(0-736.7)+(-0.649587+(0--0.375717))+0-0-0</f>
        <v>536.72613000000001</v>
      </c>
      <c r="W16" s="3">
        <f>1270.6+(0-724.3)+(-1.944018+(0--1.108179))+0-0-0</f>
        <v>545.46416099999999</v>
      </c>
      <c r="X16" s="3">
        <f>1272.5+(0-730.5)+(-1.29795+(0--0.74511))+0-0-0</f>
        <v>541.44716000000005</v>
      </c>
      <c r="Y16" s="3">
        <f>1273.5+(1.1-687.9)+(-0.649485+(-0.000561--0.350829))+0-0-0</f>
        <v>586.40078300000005</v>
      </c>
      <c r="Z16" s="3">
        <f>1263.2+(15.9-617.9)+(-3.22116+(-0.040545--1.575645))+0-0-0</f>
        <v>659.51394000000005</v>
      </c>
      <c r="AA16" s="3">
        <f>1269.8+(9.6-626.3)+(-1.942794+(-0.014688--0.958239))+0-0-0</f>
        <v>652.10075700000004</v>
      </c>
      <c r="AB16" s="3">
        <f>1268.4+(7.4-663.4)+(-1.940652+(-0.011322--1.015002))+0-0-0</f>
        <v>611.46302800000012</v>
      </c>
      <c r="AC16" s="3">
        <f>1250.7+(2.1-700.6)+(-3.189285+(-0.005355--1.78653))+0-0-0</f>
        <v>550.79189000000008</v>
      </c>
      <c r="AD16">
        <v>640.20000000000005</v>
      </c>
      <c r="AE16" s="3">
        <f>1282+(11.9-653.7)+(0+(0-0))+0-0-0</f>
        <v>640.19999999999993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1084.5+(7-622.9)+(-1.10619+(-0.00714--0.635358))+0-0-0</f>
        <v>468.122028</v>
      </c>
      <c r="G17" s="3">
        <f>949.7+(30.5-544.5)+(-3.874776+(-0.12444--2.22156))+0-0-0</f>
        <v>433.92234400000007</v>
      </c>
      <c r="H17" s="3">
        <f>970.3+(18.7-570.8)+(-1.484559+(-0.028611--0.873324))+0-0-0</f>
        <v>417.56015400000007</v>
      </c>
      <c r="I17" s="3">
        <f>975.9+(2.3-569.5)+(-0.995418+(-0.002346--0.58089))+0-0-0</f>
        <v>408.28312599999992</v>
      </c>
      <c r="J17" s="3">
        <f>969.8+(3.2-564.7)+(-2.47299+(-0.00816--1.439985))+0-0-0</f>
        <v>407.25883499999998</v>
      </c>
      <c r="K17" s="3">
        <f>991.4+(0-584.3)+(0.505614+(0-0.297993))+0-0-0</f>
        <v>407.30762100000004</v>
      </c>
      <c r="L17" s="3">
        <f>980.5+(4-575.6)+(-1.00011+(-0.00408--0.587112))+0-0-0</f>
        <v>408.48292199999997</v>
      </c>
      <c r="M17" s="3">
        <f>973.5+(22-572.2)+(-0.99297+(-0.02244--0.583644))+0-0-0</f>
        <v>422.86823399999997</v>
      </c>
      <c r="N17" s="3">
        <f>997.1+(44-586.2)+(-1.017042+(-0.04488--0.597924))+0-0-0</f>
        <v>454.43600199999997</v>
      </c>
      <c r="O17" s="3">
        <f>1001.7+(74.7-580.3)+(-0.510867+(-0.038097--0.295953))+0-0-0</f>
        <v>495.84698900000006</v>
      </c>
      <c r="P17" s="3">
        <f>1006+(86.9-550.5)+(0+(0-0))+0-0-0</f>
        <v>542.4</v>
      </c>
      <c r="Q17" s="3">
        <f>1001.8+(79.4-516.9)+(-0.510918+(-0.040494--0.263619))+0-0-0</f>
        <v>564.01220699999999</v>
      </c>
      <c r="R17" s="3">
        <f>998.9+(56-509.4)+(-0.509439+(-0.02856--0.259794))+0-0-0</f>
        <v>545.22179500000004</v>
      </c>
      <c r="S17" s="3">
        <f>993.1+(49.7-505.1)+(-1.519443+(-0.076041--0.772803))+0-0-0</f>
        <v>536.87731900000006</v>
      </c>
      <c r="T17" s="3">
        <f>998.9+(40.6-522.1)+(-0.509439+(-0.020706--0.266271))+0-0-0</f>
        <v>517.13612599999999</v>
      </c>
      <c r="U17" s="3">
        <f>974.1+(38.2-512)+(-3.477537+(-0.136374--1.82784))+0-0-0</f>
        <v>498.51392900000002</v>
      </c>
      <c r="V17" s="3">
        <f>868.4+(91-461.1)+(-1.328652+(-0.13923--0.705483))+0-0-0</f>
        <v>497.53760099999994</v>
      </c>
      <c r="W17" s="3">
        <f>858.7+(106.7-455.4)+(-2.627622+(-0.326502--1.393524))+0-0-0</f>
        <v>508.43940000000003</v>
      </c>
      <c r="X17" s="3">
        <f>862.8+(110.9-450.8)+(-1.320084+(-0.169677--0.689724))+0-0-0</f>
        <v>522.099963</v>
      </c>
      <c r="Y17" s="3">
        <f>881.7+(125.4-427.4)+(-0.899334+(-0.127908--0.435948))+0-0-0</f>
        <v>579.1087060000001</v>
      </c>
      <c r="Z17" s="3">
        <f>908+(141.1-428.4)+(-1.85232+(-0.287844--0.873936))+0-0-0</f>
        <v>619.43377200000009</v>
      </c>
      <c r="AA17" s="3">
        <f>844.6+(186.9-413.3)+(-1.722984+(-0.381276--0.843132))+0-0-0</f>
        <v>616.93887200000006</v>
      </c>
      <c r="AB17" s="3">
        <f>830.7+(171.8-423.3)+(-0.847314+(-0.175236--0.431766))+0-0-0</f>
        <v>578.60921600000006</v>
      </c>
      <c r="AC17" s="3">
        <f>831.3+(144.5-432.2)+(-0.847926+(-0.14739--0.440844))+0-0-0</f>
        <v>543.04552799999988</v>
      </c>
      <c r="AD17">
        <v>612.5</v>
      </c>
      <c r="AE17" s="3">
        <f>922+(134.8-444.3)+(0+(0-0))+0-0-0</f>
        <v>612.5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824+(129.1-492.6)+(-2.1012+(-0.329205--1.25613))+0-0-0</f>
        <v>459.32572499999998</v>
      </c>
      <c r="G18" s="3">
        <f>826.4+(125-535.3)+(-1.264392+(-0.19125--0.819009))+0-0-0</f>
        <v>415.46336700000001</v>
      </c>
      <c r="H18" s="3">
        <f>780.9+(120.2-512.3)+(0+(0-0))+0-0-0</f>
        <v>388.8</v>
      </c>
      <c r="I18" s="3">
        <f>718.8+(132.1-469.4)+(-1.099764+(-0.202113--0.718182))+0-0-0</f>
        <v>380.91630500000002</v>
      </c>
      <c r="J18" s="3">
        <f>713.7+(129.1-463.3)+(-2.183922+(-0.395046--1.417698))+0-0-0</f>
        <v>378.33873</v>
      </c>
      <c r="K18" s="3">
        <f>720.4+(131.1-466.3)+(-0.734808+(-0.133722--0.475626))+0-0-0</f>
        <v>384.80709599999994</v>
      </c>
      <c r="L18" s="3">
        <f>716.6+(136.7-467.8)+(-1.461864+(-0.278868--0.954312))+0-0-0</f>
        <v>384.71357999999998</v>
      </c>
      <c r="M18" s="3">
        <f>832.7+(112.4-552.6)+(0+(0-0))+0-0-0</f>
        <v>392.5</v>
      </c>
      <c r="N18" s="3">
        <f>867+(125.1-557.8)+(-0.88434+(-0.127602--0.568956))+0-0-0</f>
        <v>433.85701400000005</v>
      </c>
      <c r="O18" s="3">
        <f>870.3+(151-564.6)+(0+(0-0))+0-0-0</f>
        <v>456.69999999999993</v>
      </c>
      <c r="P18" s="3">
        <f>875+(148.9-538)+(0.44625+(0.075939-0.27438))+0-0-0</f>
        <v>486.147809</v>
      </c>
      <c r="Q18" s="3">
        <f>869.1+(138.2-510.9)+(-1.329723+(-0.211446--0.781677))+0-0-0</f>
        <v>495.64050800000001</v>
      </c>
      <c r="R18" s="3">
        <f>972.2+(111.9-585.3)+(-0.991644+(-0.114138--0.597006))+0-0-0</f>
        <v>498.29122400000006</v>
      </c>
      <c r="S18" s="3">
        <f>996.5+(108.5-619.3)+(-1.01643+(-0.11067--0.631686))+0-0-0</f>
        <v>485.20458600000006</v>
      </c>
      <c r="T18" s="3">
        <f>1000.8+(84.9-631.7)+(0+(0-0))+0-0-0</f>
        <v>453.99999999999989</v>
      </c>
      <c r="U18" s="3">
        <f>995.2+(81.6-644)+(-2.030208+(-0.166464--1.31376))+0-0-0</f>
        <v>431.91708800000009</v>
      </c>
      <c r="V18" s="3">
        <f>974.7+(104.8-646.1)+(-0.994194+(-0.106896--0.659022))+0-0-0</f>
        <v>432.95793199999997</v>
      </c>
      <c r="W18" s="3">
        <f>945.4+(106.2-615)+(-1.446462+(-0.162486--0.94095))+0-0-0</f>
        <v>435.93200199999995</v>
      </c>
      <c r="X18" s="3">
        <f>988.5+(59.4-626.3)+(-2.01654+(-0.121176--1.277652))+0-0-0</f>
        <v>420.739936</v>
      </c>
      <c r="Y18" s="3">
        <f>1078.2+(45.8-620.2)+(-0.549882+(-0.023358--0.316302))+0-0-0</f>
        <v>503.54306199999996</v>
      </c>
      <c r="Z18" s="3">
        <f>1086.1+(86.3-602.2)+(0.553911+(0.044013-0.307122))+0-0-0</f>
        <v>570.4908019999998</v>
      </c>
      <c r="AA18" s="3">
        <f>1070.1+(87.9-605.7)+(-2.183004+(-0.179316--1.235628))+0-0-0</f>
        <v>551.17330799999979</v>
      </c>
      <c r="AB18" s="3">
        <f>1068+(74.7-615.7)+(-2.17872+(-0.152388--1.256028))+0-0-0</f>
        <v>525.92492000000004</v>
      </c>
      <c r="AC18" s="3">
        <f>1071.6+(61.7-647.1)+(-1.093032+(-0.062934--0.660042))+0-0-0</f>
        <v>485.70407599999993</v>
      </c>
      <c r="AD18">
        <v>561.69999999999993</v>
      </c>
      <c r="AE18" s="3">
        <f>1078+(104.8-621.1)+(0+(0-0))+0-0-0</f>
        <v>561.69999999999993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1070.6+(70.3-698.1)+(-1.092012+(-0.071706--0.712062))+0-0-0</f>
        <v>442.34834399999983</v>
      </c>
      <c r="G19" s="3">
        <f>1073.9+(47-702.1)+(-0.547689+(-0.02397--0.358071))+0-0-0</f>
        <v>418.58641200000005</v>
      </c>
      <c r="H19" s="3">
        <f>1065.9+(32.9-697.4)+(-1.630827+(-0.050337--1.067022))+0-0-0</f>
        <v>400.78585800000008</v>
      </c>
      <c r="I19" s="3">
        <f>1072+(9.9-699.9)+(0+(0-0))+0-0-0</f>
        <v>382</v>
      </c>
      <c r="J19" s="3">
        <f>1063.1+(0-669.6)+(-1.626543+(0--1.024488))+0-0-0</f>
        <v>392.89794499999988</v>
      </c>
      <c r="K19" s="3">
        <f>1073.3+(0-672.1)+(0.547383+(0-0.342771))+0-0-0</f>
        <v>401.40461199999993</v>
      </c>
      <c r="L19" s="3">
        <f>1061.9+(1.1-696.5)+(-1.624707+(-0.001683--1.065645))+0-0-0</f>
        <v>365.93925500000012</v>
      </c>
      <c r="M19" s="3">
        <f>1062.6+(7.8-728.7)+(-2.167704+(-0.015912--1.486548))+0-0-0</f>
        <v>341.00293199999982</v>
      </c>
      <c r="N19" s="3">
        <f>1064.9+(0-705.3)+(-2.715495+(0--1.798515))+0-0-0</f>
        <v>358.68302000000011</v>
      </c>
      <c r="O19" s="3">
        <f>1020.2+(12.2-619.8)+(-0.520302+(-0.006222--0.316098))+0-0-0</f>
        <v>412.38957400000015</v>
      </c>
      <c r="P19" s="3">
        <f>1020+(50.3-637.3)+(-1.0404+(-0.051306--0.650046))+0-0-0</f>
        <v>432.55833999999999</v>
      </c>
      <c r="Q19" s="3">
        <f>1022.1+(67.4-646.4)+(-0.521271+(-0.034374--0.329664))+0-0-0</f>
        <v>442.87401900000003</v>
      </c>
      <c r="R19" s="3">
        <f>1012.6+(60.7-613.8)+(-1.549278+(-0.092871--0.939114))+0-0-0</f>
        <v>458.79696500000011</v>
      </c>
      <c r="S19" s="3">
        <f>995+(64.3-603.9)+(-3.0447+(-0.196758--1.847934))+0-0-0</f>
        <v>454.00647599999996</v>
      </c>
      <c r="T19" s="3">
        <f>1005.1+(80.2-649.2)+(-1.025202+(-0.081804--0.662184))+0-0-0</f>
        <v>435.65517800000003</v>
      </c>
      <c r="U19" s="3">
        <f>994.5+(91.7-657.2)+(-3.04317+(-0.280602--2.011032))+0-0-0</f>
        <v>427.68725999999998</v>
      </c>
      <c r="V19" s="3">
        <f>991.6+(80.5-646.8)+(-1.517148+(-0.123165--0.989604))+0-0-0</f>
        <v>424.64929100000006</v>
      </c>
      <c r="W19" s="3">
        <f>994.3+(56.6-626.7)+(-0.507093+(-0.028866--0.319617))+0-0-0</f>
        <v>423.98365799999993</v>
      </c>
      <c r="X19" s="3">
        <f>996.7+(32.2-606.2)+(0+(0-0))+0-0-0</f>
        <v>422.70000000000005</v>
      </c>
      <c r="Y19" s="3">
        <f>1018.4+(8.7-558.5)+(-0.519384+(-0.004437--0.284835))+0-0-0</f>
        <v>468.36101400000001</v>
      </c>
      <c r="Z19" s="3">
        <f>1014.4+(73.4-511.5)+(-1.552032+(-0.112302--0.782595))+0-0-0</f>
        <v>575.41826099999992</v>
      </c>
      <c r="AA19" s="3">
        <f>1023.8+(58.1-504.3)+(-0.522138+(-0.029631--0.257193))+0-0-0</f>
        <v>577.3054239999999</v>
      </c>
      <c r="AB19" s="3">
        <f>1003+(35.3-487.5)+(-2.04612+(-0.072012--0.9945))+0-0-0</f>
        <v>549.67636799999991</v>
      </c>
      <c r="AC19" s="3">
        <f>993.6+(34.7-522.2)+(-0.506736+(-0.017697--0.266322))+0-0-0</f>
        <v>505.84188899999998</v>
      </c>
      <c r="AD19">
        <v>559.59999999999991</v>
      </c>
      <c r="AE19" s="3">
        <f>1019+(77.8-537.2)+(0+(0-0))+0-0-0</f>
        <v>559.59999999999991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965.9+(26.2-548)+(-2.463045+(-0.06681--1.3974))+0-0-0</f>
        <v>442.96754500000003</v>
      </c>
      <c r="G20" s="3">
        <f>779.1+(37.5-404.1)+(-1.192023+(-0.057375--0.618273))+0-0-0</f>
        <v>411.868875</v>
      </c>
      <c r="H20" s="3">
        <f>758.1+(28.4-390.2)+(0.773262+(0.028968-0.398004))+0-0-0</f>
        <v>396.70422600000001</v>
      </c>
      <c r="I20" s="3">
        <f>770+(19.5-401.4)+(0+(0-0))+0-0-0</f>
        <v>388.1</v>
      </c>
      <c r="J20" s="3">
        <f>775.2+(17.7-405.2)+(-0.790704+(-0.018054--0.413304))+0-0-0</f>
        <v>387.30454600000007</v>
      </c>
      <c r="K20" s="3">
        <f>771+(36.8-418.1)+(-1.17963+(-0.056304--0.639693))+0-0-0</f>
        <v>389.10375899999997</v>
      </c>
      <c r="L20" s="3">
        <f>954.9+(20.7-575.7)+(-1.947996+(-0.042228--1.174428))+0-0-0</f>
        <v>399.084204</v>
      </c>
      <c r="M20" s="3">
        <f>977.5+(17.5-576.9)+(0+(0-0))+0-0-0</f>
        <v>418.1</v>
      </c>
      <c r="N20" s="3">
        <f>966.8+(55.7-569.7)+(0+(0-0))+0-0-0</f>
        <v>452.79999999999995</v>
      </c>
      <c r="O20" s="3">
        <f>970+(119.5-598.5)+(0+(0-0))+0-0-0</f>
        <v>491</v>
      </c>
      <c r="P20" s="3">
        <f>967.5+(106.1-580.1)+(0+(0-0))+0-0-0</f>
        <v>493.5</v>
      </c>
      <c r="Q20" s="3">
        <f>954.5+(104.5-545.5)+(-1.94718+(-0.21318--1.11282))+0-0-0</f>
        <v>512.45245999999997</v>
      </c>
      <c r="R20" s="3">
        <f>959.4+(96.4-554.5)+(-0.489294+(-0.049164--0.282795))+0-0-0</f>
        <v>501.04433699999993</v>
      </c>
      <c r="S20" s="3">
        <f>956.1+(155.6-615.9)+(-0.975222+(-0.158712--0.628218))+0-0-0</f>
        <v>495.29428400000006</v>
      </c>
      <c r="T20" s="3">
        <f>954.4+(127.2-603.2)+(-0.973488+(-0.129744--0.615264))+0-0-0</f>
        <v>477.9120319999999</v>
      </c>
      <c r="U20" s="3">
        <f>951.9+(133.1-622.6)+(0+(0-0))+0-0-0</f>
        <v>462.4</v>
      </c>
      <c r="V20" s="3">
        <f>962.8+(130.6-622.6)+(-0.491028+(-0.066606--0.317526))+0-0-0</f>
        <v>470.55989199999993</v>
      </c>
      <c r="W20" s="3">
        <f>959.3+(118.7-610.8)+(-2.935458+(-0.363222--1.869048))+0-0-0</f>
        <v>465.77036799999996</v>
      </c>
      <c r="X20" s="3">
        <f>972.4+(77.6-559.5)+(-1.983696+(-0.158304--1.14138))+0-0-0</f>
        <v>489.49937999999997</v>
      </c>
      <c r="Y20" s="3">
        <f>1042.6+(62.6-574.4)+(1.063452+(0.063852-0.585888))+0-0-0</f>
        <v>531.34141599999998</v>
      </c>
      <c r="Z20" s="3">
        <f>1077.4+(82.2-521.7)+(0+(0-0))+0-0-0</f>
        <v>637.90000000000009</v>
      </c>
      <c r="AA20" s="3">
        <f>1075.4+(83.5-515.3)+(-2.74227+(-0.212925--1.314015))+0-0-0</f>
        <v>641.95882000000017</v>
      </c>
      <c r="AB20" s="3">
        <f>1083+(64-549.1)+(-0.55233+(-0.03264--0.280041))+0-0-0</f>
        <v>597.59507099999996</v>
      </c>
      <c r="AC20" s="3">
        <f>1079.3+(47.2-576.4)+(-1.100886+(-0.048144--0.587928))+0-0-0</f>
        <v>549.53889800000002</v>
      </c>
      <c r="AD20">
        <v>614.29999999999995</v>
      </c>
      <c r="AE20" s="3">
        <f>1093+(82.8-561.5)+(0+(0-0))+0-0-0</f>
        <v>614.29999999999995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1078.7+(38.9-621.8)+(-1.100274+(-0.039678--0.634236))+0-0-0</f>
        <v>495.29428400000006</v>
      </c>
      <c r="G21" s="3">
        <f>1081.8+(12.5-639.3)+(0+(0-0))+0-0-0</f>
        <v>455</v>
      </c>
      <c r="H21" s="3">
        <f>1066.6+(3.5-639.8)+(-2.175864+(-0.00714--1.305192))+0-0-0</f>
        <v>429.42218799999995</v>
      </c>
      <c r="I21" s="3">
        <f>1050.5+(3.5-628.3)+(-2.14302+(-0.00714--1.281732))+0-0-0</f>
        <v>424.83157200000005</v>
      </c>
      <c r="J21" s="3">
        <f>1053.3+(0-635)+(-1.611549+(0--0.97155))+0-0-0</f>
        <v>417.66000099999997</v>
      </c>
      <c r="K21" s="3">
        <f>1055.1+(0-636.2)+(-1.614303+(0--0.973386))+0-0-0</f>
        <v>418.25908299999986</v>
      </c>
      <c r="L21" s="3">
        <f>1049.8+(4.3-635.9)+(-0.535398+(-0.002193--0.324309))+0-0-0</f>
        <v>417.98671799999994</v>
      </c>
      <c r="M21" s="3">
        <f>1028+(4.3-609.7)+(0+(0-0))+0-0-0</f>
        <v>422.59999999999991</v>
      </c>
      <c r="N21" s="3">
        <f>1031.3+(1.5-568)+(-0.525963+(-0.000765--0.28968))+0-0-0</f>
        <v>464.56295199999994</v>
      </c>
      <c r="O21" s="3">
        <f>1006.5+(15.4-522.5)+(-1.02663+(-0.015708--0.53295))+0-0-0</f>
        <v>498.89061199999998</v>
      </c>
      <c r="P21" s="3">
        <f>1056.9+(31.4-567.3)+(-0.539019+(-0.016014--0.289323))+0-0-0</f>
        <v>520.7342900000001</v>
      </c>
      <c r="Q21" s="3">
        <f>1074.4+(30.9-571.8)+(0+(0-0))+0-0-0</f>
        <v>533.50000000000011</v>
      </c>
      <c r="R21" s="3">
        <f>1066.4+(26.7-567.3)+(0+(0-0))+0-0-0</f>
        <v>525.80000000000018</v>
      </c>
      <c r="S21" s="3">
        <f>1048.5+(25.4-590.2)+(-1.06947+(-0.025908--0.602004))+0-0-0</f>
        <v>483.20662599999991</v>
      </c>
      <c r="T21" s="3">
        <f>1068+(18.5-586.8)+(0+(0-0))+0-0-0</f>
        <v>499.70000000000005</v>
      </c>
      <c r="U21" s="3">
        <f>1061.9+(33.3-595.5)+(0+(0-0))+0-0-0</f>
        <v>499.70000000000005</v>
      </c>
      <c r="V21" s="3">
        <f>1060.5+(15.6-570.5)+(-1.622565+(-0.023868--0.872865))+0-0-0</f>
        <v>504.82643200000001</v>
      </c>
      <c r="W21" s="3">
        <f>1061.6+(10.9-574.8)+(-1.624248+(-0.016677--0.879444))+0-0-0</f>
        <v>496.93851899999993</v>
      </c>
      <c r="X21" s="3">
        <f>1003.5+(24.9-530.4)+(-2.04714+(-0.050796--1.082016))+0-0-0</f>
        <v>496.98408000000001</v>
      </c>
      <c r="Y21" s="3">
        <f>1039.1+(17.9-528)+(0+(0-0))+0-0-0</f>
        <v>528.99999999999989</v>
      </c>
      <c r="Z21" s="3">
        <f>1076.2+(66.2-489.2)+(-2.195448+(-0.135048--0.997968))+0-0-0</f>
        <v>651.86747200000002</v>
      </c>
      <c r="AA21" s="3">
        <f>1128.3+(46.8-523.4)+(-1.726299+(-0.071604--0.800802))+0-0-0</f>
        <v>650.702899</v>
      </c>
      <c r="AB21" s="3">
        <f>1139.2+(16.9-552.8)+(-1.742976+(-0.025857--0.845784))+0-0-0</f>
        <v>602.37695100000008</v>
      </c>
      <c r="AC21" s="3">
        <f>1086.3+(4.4-536.5)+(-1.662039+(-0.006732--0.820845))+0-0-0</f>
        <v>553.3520739999999</v>
      </c>
      <c r="AD21">
        <v>624.49999999999989</v>
      </c>
      <c r="AE21" s="3">
        <f>1057+(73.6-506.1)+(0+(0-0))+0-0-0</f>
        <v>624.5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978.6+(12.3-521.3)+(-0.998172+(-0.012546--0.531726))+0-0-0</f>
        <v>469.12100800000007</v>
      </c>
      <c r="G22" s="3">
        <f>794.7+(36-417.2)+(0+(0-0))+0-0-0</f>
        <v>413.50000000000006</v>
      </c>
      <c r="H22" s="3">
        <f>860.4+(34.5-500.2)+(-1.316412+(-0.052785--0.765306))+0-0-0</f>
        <v>394.09610900000001</v>
      </c>
      <c r="I22" s="3">
        <f>859.8+(39.2-517)+(-0.876996+(-0.039984--0.52734))+0-0-0</f>
        <v>381.61035999999996</v>
      </c>
      <c r="J22" s="3">
        <f>863.8+(31.9-527.2)+(0.440538+(0.016269-0.268872))+0-0-0</f>
        <v>368.68793499999987</v>
      </c>
      <c r="K22" s="3">
        <f>857.6+(32.2-510.5)+(-0.874752+(-0.032844--0.52071))+0-0-0</f>
        <v>378.91311400000001</v>
      </c>
      <c r="L22" s="3">
        <f>860.6+(24.8-507.5)+(-1.316718+(-0.037944--0.776475))+0-0-0</f>
        <v>377.32181300000002</v>
      </c>
      <c r="M22" s="3">
        <f>865.2+(15.6-501.7)+(0+(0-0))+0-0-0</f>
        <v>379.10000000000008</v>
      </c>
      <c r="N22" s="3">
        <f>873.5+(57-503.6)+(1.78194+(0.11628-1.027344))+0-0-0</f>
        <v>427.77087599999999</v>
      </c>
      <c r="O22" s="3">
        <f>868+(123.1-543)+(0.44268+(0.062781-0.27693))+0-0-0</f>
        <v>448.328531</v>
      </c>
      <c r="P22" s="3">
        <f>899.5+(103.7-540.2)+(0+(0-0))+0-0-0</f>
        <v>462.99999999999994</v>
      </c>
      <c r="Q22" s="3">
        <f>892.8+(106.7-530)+(0+(0-0))+0-0-0</f>
        <v>469.49999999999994</v>
      </c>
      <c r="R22" s="3">
        <f>884.6+(91.3-511)+(-1.804584+(-0.186252--1.04244))+0-0-0</f>
        <v>463.95160400000003</v>
      </c>
      <c r="S22" s="3">
        <f>883.8+(117.9-533)+(-0.901476+(-0.120258--0.54366))+0-0-0</f>
        <v>468.22192599999994</v>
      </c>
      <c r="T22" s="3">
        <f>877.6+(108.2-546)+(0+(0-0))+0-0-0</f>
        <v>439.8</v>
      </c>
      <c r="U22" s="3">
        <f>884.9+(125.8-557)+(-0.902598+(-0.128316--0.56814))+0-0-0</f>
        <v>453.23722599999996</v>
      </c>
      <c r="V22" s="3">
        <f>889.2+(120.7-555.8)+(-0.906984+(-0.123114--0.566916))+0-0-0</f>
        <v>453.63681800000006</v>
      </c>
      <c r="W22" s="3">
        <f>893.6+(130.8-566.4)+(0+(0-0))+0-0-0</f>
        <v>458.00000000000006</v>
      </c>
      <c r="X22" s="3">
        <f>905.7+(111.4-570.6)+(-0.461907+(-0.056814--0.291006))+0-0-0</f>
        <v>446.27228500000001</v>
      </c>
      <c r="Y22" s="3">
        <f>970.1+(110-579.4)+(-0.494751+(-0.0561--0.295494))+0-0-0</f>
        <v>500.44464300000004</v>
      </c>
      <c r="Z22" s="3">
        <f>976.6+(158.6-527.6)+(-1.992264+(-0.323544--1.076304))+0-0-0</f>
        <v>606.36049600000001</v>
      </c>
      <c r="AA22" s="3">
        <f>983+(149.8-549.3)+(-2.00532+(-0.305592--1.120572))+0-0-0</f>
        <v>582.30966000000001</v>
      </c>
      <c r="AB22" s="3">
        <f>982+(167.5-588.7)+(-1.50246+(-0.256275--0.900711))+0-0-0</f>
        <v>559.94197599999995</v>
      </c>
      <c r="AC22" s="3">
        <f>977.8+(77.6-530.4)+(-1.994712+(-0.158304--1.082016))+0-0-0</f>
        <v>523.92899999999997</v>
      </c>
      <c r="AD22">
        <v>610.89999999999986</v>
      </c>
      <c r="AE22" s="3">
        <f>980+(163.1-532.2)+(0+(0-0))+0-0-0</f>
        <v>610.9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974.1+(42.9-532.7)+(-1.490373+(-0.065637--0.815031))+0-0-0</f>
        <v>483.55902099999997</v>
      </c>
      <c r="G23" s="3">
        <f>974.5+(17.3-551.2)+(-2.484975+(-0.044115--1.40556))+0-0-0</f>
        <v>439.47646999999989</v>
      </c>
      <c r="H23" s="3">
        <f>918.1+(19.7-522)+(-0.468231+(-0.010047--0.26622))+0-0-0</f>
        <v>415.587942</v>
      </c>
      <c r="I23" s="3">
        <f>929.3+(10.9-524.4)+(-1.895772+(-0.022236--1.069776))+0-0-0</f>
        <v>414.95176799999996</v>
      </c>
      <c r="J23" s="3">
        <f>927.4+(10.8-526.1)+(-1.891896+(-0.022032--1.073244))+0-0-0</f>
        <v>411.2593159999999</v>
      </c>
      <c r="K23" s="3">
        <f>934.2+(9-533.9)+(0.476442+(0.00459-0.272289))+0-0-0</f>
        <v>409.50874300000009</v>
      </c>
      <c r="L23" s="3">
        <f>928.5+(11.5-530)+(-1.89414+(-0.02346--1.0812))+0-0-0</f>
        <v>409.16359999999997</v>
      </c>
      <c r="M23" s="3">
        <f>930.4+(32.3-555.7)+(-0.949008+(-0.032946--0.566814))+0-0-0</f>
        <v>406.58485999999988</v>
      </c>
      <c r="N23" s="3">
        <f>942.7+(68.9-558.3)+(0+(0-0))+0-0-0</f>
        <v>453.30000000000007</v>
      </c>
      <c r="O23" s="3">
        <f>939.3+(93.2-560)+(0.479043+(0.047532-0.2856))+0-0-0</f>
        <v>472.74097499999993</v>
      </c>
      <c r="P23" s="3">
        <f>937+(94.6-531.8)+(0.47787+(0.048246-0.271218))+0-0-0</f>
        <v>500.05489800000009</v>
      </c>
      <c r="Q23" s="3">
        <f>921.4+(125.1-539.7)+(-0.469914+(-0.063801--0.275247))+0-0-0</f>
        <v>506.54153199999996</v>
      </c>
      <c r="R23" s="3">
        <f>919.7+(141.9-548.8)+(-0.469047+(-0.072369--0.279888))+0-0-0</f>
        <v>512.53847200000007</v>
      </c>
      <c r="S23" s="3">
        <f>907.3+(151.3-541.1)+(-2.313615+(-0.385815--1.379805))+0-0-0</f>
        <v>516.18037500000003</v>
      </c>
      <c r="T23" s="3">
        <f>908.6+(136.6-544.6)+(-0.926772+(-0.139332--0.555492))+0-0-0</f>
        <v>500.08938800000004</v>
      </c>
      <c r="U23" s="3">
        <f>905.6+(136.8-546)+(-0.923712+(-0.139536--0.55692))+0-0-0</f>
        <v>495.89367200000004</v>
      </c>
      <c r="V23" s="3">
        <f>905.6+(143.7-567.9)+(0+(0-0))+0-0-0</f>
        <v>481.40000000000003</v>
      </c>
      <c r="W23" s="3">
        <f>895.2+(132.3-547.8)+(-2.28276+(-0.337365--1.39689))+0-0-0</f>
        <v>478.47676500000011</v>
      </c>
      <c r="X23" s="3">
        <f>896.1+(116.1-527.6)+(-1.828044+(-0.236844--1.076304))+0-0-0</f>
        <v>483.61141600000002</v>
      </c>
      <c r="Y23" s="3">
        <f>910.8+(125.4-509.6)+(0.464508+(0.063954-0.259896))+0-0-0</f>
        <v>526.86856599999987</v>
      </c>
      <c r="Z23" s="3">
        <f>951.7+(130.6-468.5)+(-1.456101+(-0.199818--0.716805))+0-0-0</f>
        <v>612.86088600000005</v>
      </c>
      <c r="AA23" s="3">
        <f>941.1+(131.2-447.3)+(-2.399805+(-0.33456--1.140615))+0-0-0</f>
        <v>623.40625</v>
      </c>
      <c r="AB23" s="3">
        <f>937.7+(119-456.3)+(-2.391135+(-0.30345--1.163565))+0-0-0</f>
        <v>598.86898000000008</v>
      </c>
      <c r="AC23" s="3">
        <f>940.9+(89.1-480.5)+(-0.959718+(-0.090882--0.49011))+0-0-0</f>
        <v>548.93951000000004</v>
      </c>
      <c r="AD23">
        <v>584</v>
      </c>
      <c r="AE23" s="3">
        <f>960+(129-505)+(0+(0-0))+0-0-0</f>
        <v>584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909.5+(93.4-526.9)+(0+(0-0))+0-0-0</f>
        <v>476</v>
      </c>
      <c r="G24" s="3">
        <f>902.9+(42.2-523.9)+(0.920958+(0.043044-0.534378))+0-0-0</f>
        <v>421.62962399999998</v>
      </c>
      <c r="H24" s="3">
        <f>894.6+(21.6-519.5)+(-1.368738+(-0.033048--0.794835))+0-0-0</f>
        <v>396.09304900000006</v>
      </c>
      <c r="I24" s="3">
        <f>896.6+(12.3-503.5)+(-0.914532+(-0.012546--0.51357))+0-0-0</f>
        <v>404.98649200000006</v>
      </c>
      <c r="J24" s="3">
        <f>881.8+(14.2-502.6)+(-1.798872+(-0.028968--1.025304))+0-0-0</f>
        <v>392.59746399999995</v>
      </c>
      <c r="K24" s="3">
        <f>872.7+(15.1-489.9)+(0+(0-0))+0-0-0</f>
        <v>397.90000000000009</v>
      </c>
      <c r="L24" s="3">
        <f>920.7+(12.1-532.3)+(-0.469557+(-0.006171--0.271473))+0-0-0</f>
        <v>400.29574500000012</v>
      </c>
      <c r="M24" s="3">
        <f>940.6+(10.8-550.1)+(0+(0-0))+0-0-0</f>
        <v>401.29999999999995</v>
      </c>
      <c r="N24" s="3">
        <f>939.6+(73.2-573.5)+(-0.479196+(-0.037332--0.292485))+0-0-0</f>
        <v>439.07595700000002</v>
      </c>
      <c r="O24" s="3">
        <f>937.6+(103-586.9)+(-0.478176+(-0.05253--0.299319))+0-0-0</f>
        <v>453.46861300000006</v>
      </c>
      <c r="P24" s="3">
        <f>931.5+(128-577.5)+(-0.95013+(-0.13056--0.58905))+0-0-0</f>
        <v>481.50835999999998</v>
      </c>
      <c r="Q24" s="3">
        <f>926.9+(129.8-568.8)+(-0.945438+(-0.132396--0.580176))+0-0-0</f>
        <v>487.40234200000003</v>
      </c>
      <c r="R24" s="3">
        <f>907.4+(133.4-553)+(-0.925548+(-0.136068--0.56406))+0-0-0</f>
        <v>487.30244399999998</v>
      </c>
      <c r="S24" s="3">
        <f>892.5+(153.4-556.3)+(-0.91035+(-0.156468--0.567426))+0-0-0</f>
        <v>489.10060800000002</v>
      </c>
      <c r="T24" s="3">
        <f>903.8+(140.5-559.7)+(0+(0-0))+0-0-0</f>
        <v>484.59999999999991</v>
      </c>
      <c r="U24" s="3">
        <f>998.5+(90.5-612.7)+(-1.01847+(-0.09231--0.624954))+0-0-0</f>
        <v>475.81417399999998</v>
      </c>
      <c r="V24" s="3">
        <f>1048.4+(54.5-631)+(1.604052+(0.083385-0.96543))+0-0-0</f>
        <v>472.62200700000011</v>
      </c>
      <c r="W24" s="3">
        <f>1102.5+(40.8-661)+(-2.2491+(-0.083232--1.34844))+0-0-0</f>
        <v>481.31610799999993</v>
      </c>
      <c r="X24" s="3">
        <f>1058+(56.2-624.3)+(0.53958+(0.028662-0.318393))+0-0-0</f>
        <v>490.14984900000007</v>
      </c>
      <c r="Y24" s="3">
        <f>951.8+(112.6-547.5)+(0.485418+(0.057426-0.279225))+0-0-0</f>
        <v>517.16361899999993</v>
      </c>
      <c r="Z24" s="3">
        <f>940.5+(171-521.7)+(-1.91862+(-0.34884--1.064268))+0-0-0</f>
        <v>588.59680800000001</v>
      </c>
      <c r="AA24" s="3">
        <f>939.2+(158.9-515.4)+(-2.873952+(-0.486234--1.577124))+0-0-0</f>
        <v>580.91693800000007</v>
      </c>
      <c r="AB24" s="3">
        <f>941.5+(159.2-553.7)+(-1.92066+(-0.324768--1.129548))+0-0-0</f>
        <v>545.88412000000005</v>
      </c>
      <c r="AC24" s="3">
        <f>939.8+(111.4-550.5)+(-1.917192+(-0.227256--1.12302))+0-0-0</f>
        <v>499.67857199999992</v>
      </c>
      <c r="AD24">
        <v>597.99999999999989</v>
      </c>
      <c r="AE24" s="3">
        <f>947+(176.1-525.1)+(0+(0-0))+0-0-0</f>
        <v>598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946.4+(116.1-598.6)+(-0.482664+(-0.059211--0.305286))+0-0-0</f>
        <v>463.663411</v>
      </c>
      <c r="G25" s="3">
        <f>939.1+(85.1-581.2)+(-1.915764+(-0.173604--1.185648))+0-0-0</f>
        <v>442.09627999999998</v>
      </c>
      <c r="H25" s="3">
        <f>943.3+(65-577.6)+(-0.962166+(-0.0663--0.589152))+0-0-0</f>
        <v>430.26068599999991</v>
      </c>
      <c r="I25" s="3">
        <f>950+(56.7-583.1)+(0.4845+(0.028917-0.297381))+0-0-0</f>
        <v>423.816036</v>
      </c>
      <c r="J25" s="3">
        <f>941.9+(55-577.1)+(0.960738+(0.0561-0.588642))+0-0-0</f>
        <v>420.22819599999997</v>
      </c>
      <c r="K25" s="3">
        <f>873.8+(72-524.8)+(-0.445638+(-0.03672--0.267648))+0-0-0</f>
        <v>420.78528999999997</v>
      </c>
      <c r="L25" s="3">
        <f>866.9+(95.7-550.7)+(-1.326357+(-0.146421--0.842571))+0-0-0</f>
        <v>411.26979299999994</v>
      </c>
      <c r="M25" s="3">
        <f>893+(101.6-574.9)+(0+(0-0))+0-0-0</f>
        <v>419.70000000000005</v>
      </c>
      <c r="N25" s="3">
        <f>942+(156-630.2)+(0+(0-0))+0-0-0</f>
        <v>467.79999999999995</v>
      </c>
      <c r="O25" s="3">
        <f>948.5+(175-621.9)+(-0.483735+(-0.08925--0.317169))+0-0-0</f>
        <v>501.34418400000004</v>
      </c>
      <c r="P25" s="3">
        <f>959.8+(200.9-631.9)+(1.468494+(0.307377-0.966807))+0-0-0</f>
        <v>529.60906399999999</v>
      </c>
      <c r="Q25" s="3">
        <f>940.1+(189.7-588.6)+(-2.876706+(-0.580482--1.801116))+0-0-0</f>
        <v>539.54392800000005</v>
      </c>
      <c r="R25" s="3">
        <f>937+(174.6-578.9)+(-2.38935+(-0.44523--1.476195))+0-0-0</f>
        <v>531.34161500000005</v>
      </c>
      <c r="S25" s="3">
        <f>981+(166.5-628.5)+(-0.50031+(-0.084915--0.320535))+0-0-0</f>
        <v>518.73531000000003</v>
      </c>
      <c r="T25" s="3">
        <f>974.2+(153.3-639)+(0.496842+(0.078183-0.32589))+0-0-0</f>
        <v>488.74913500000008</v>
      </c>
      <c r="U25" s="3">
        <f>962.2+(172.9-675)+(-0.490722+(-0.088179--0.34425))+0-0-0</f>
        <v>459.86534900000004</v>
      </c>
      <c r="V25" s="3">
        <f>919.3+(196.1-659.8)+(-1.875372+(-0.400044--1.345992))+0-0-0</f>
        <v>454.67057600000004</v>
      </c>
      <c r="W25" s="3">
        <f>991.6+(145.4-682.6)+(-1.517148+(-0.222462--1.044378))+0-0-0</f>
        <v>453.704768</v>
      </c>
      <c r="X25" s="3">
        <f>1020.9+(118.7-682.4)+(-1.041318+(-0.121074--0.696048))+0-0-0</f>
        <v>456.73365600000005</v>
      </c>
      <c r="Y25" s="3">
        <f>1052.8+(109.1-666.3)+(-2.147712+(-0.222564--1.359252))+0-0-0</f>
        <v>494.588976</v>
      </c>
      <c r="Z25" s="3">
        <f>1141+(165.7-692.9)+(-2.90955+(-0.422535--1.766895))+0-0-0</f>
        <v>612.23480999999992</v>
      </c>
      <c r="AA25" s="3">
        <f>1148+(176.3-707.7)+(-1.75644+(-0.269739--1.082781))+0-0-0</f>
        <v>615.65660199999991</v>
      </c>
      <c r="AB25" s="3">
        <f>1108.9+(168.4-692.3)+(-1.131078+(-0.171768--0.706146))+0-0-0</f>
        <v>584.40330000000006</v>
      </c>
      <c r="AC25" s="3">
        <f>1018.5+(93-568.2)+(-0.519435+(-0.04743--0.289782))+0-0-0</f>
        <v>543.02291700000001</v>
      </c>
      <c r="AD25">
        <v>591.20000000000005</v>
      </c>
      <c r="AE25" s="3">
        <f>1119+(192.7-720.5)+(0+(0-0))+0-0-0</f>
        <v>591.20000000000005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1019.3+(68.9-609)+(-0.519843+(-0.035139--0.31059))+0-0-0</f>
        <v>478.95560799999993</v>
      </c>
      <c r="G26" s="3">
        <f>1013.7+(23.8-598.9)+(-1.033974+(-0.024276--0.610878))+0-0-0</f>
        <v>438.15262800000005</v>
      </c>
      <c r="H26" s="3">
        <f>1010.3+(2.2-599.9)+(-1.545759+(-0.003366--0.917847))+0-0-0</f>
        <v>411.96872200000001</v>
      </c>
      <c r="I26" s="3">
        <f>892.9+(33.5-529.2)+(0+(0-0))+0-0-0</f>
        <v>397.19999999999993</v>
      </c>
      <c r="J26" s="3">
        <f>852.4+(40.9-503.5)+(0+(0-0))+0-0-0</f>
        <v>389.79999999999995</v>
      </c>
      <c r="K26" s="3">
        <f>846.5+(41.9-499.1)+(-0.86343+(-0.042738--0.509082))+0-0-0</f>
        <v>388.90291399999995</v>
      </c>
      <c r="L26" s="3">
        <f>829+(34.5-506.5)+(-3.38232+(-0.14076--2.06652))+0-0-0</f>
        <v>355.54343999999998</v>
      </c>
      <c r="M26" s="3">
        <f>845.4+(18.6-515.1)+(-0.862308+(-0.018972--0.525402))+0-0-0</f>
        <v>348.54412199999996</v>
      </c>
      <c r="N26" s="3">
        <f>957.7+(1.7-577.4)+(1.953708+(0.003468-1.177896))+0-0-0</f>
        <v>382.77928000000009</v>
      </c>
      <c r="O26" s="3">
        <f>992.3+(27-607.1)+(-1.518219+(-0.04131--0.928863))+0-0-0</f>
        <v>411.56933399999991</v>
      </c>
      <c r="P26" s="3">
        <f>946.1+(59.4-573.1)+(0.965022+(0.060588-0.584562))+0-0-0</f>
        <v>432.841048</v>
      </c>
      <c r="Q26" s="3">
        <f>941.6+(71.6-556)+(-1.440648+(-0.109548--0.85068))+0-0-0</f>
        <v>456.50048400000003</v>
      </c>
      <c r="R26" s="3">
        <f>957.7+(66.6-549.3)+(-3.418989+(-0.237762--1.961001))+0-0-0</f>
        <v>473.30425000000014</v>
      </c>
      <c r="S26" s="3">
        <f>928.4+(79.8-544.1)+(0+(0-0))+0-0-0</f>
        <v>464.09999999999997</v>
      </c>
      <c r="T26" s="3">
        <f>870.2+(87.2-507.3)+(-0.887604+(-0.088944--0.517446))+0-0-0</f>
        <v>449.64089800000005</v>
      </c>
      <c r="U26" s="3">
        <f>778.4+(94.9-438.2)+(-0.396984+(-0.048399--0.223482))+0-0-0</f>
        <v>434.87809900000002</v>
      </c>
      <c r="V26" s="3">
        <f>772.3+(91.9-449.9)+(-1.575492+(-0.187476--0.917796))+0-0-0</f>
        <v>413.45482799999996</v>
      </c>
      <c r="W26" s="3">
        <f>776.6+(90.6-448.2)+(-0.396066+(-0.046206--0.228582))+0-0-0</f>
        <v>418.78631000000001</v>
      </c>
      <c r="X26" s="3">
        <f>782.6+(79-441.7)+(0.399126+(0.04029-0.225267))+0-0-0</f>
        <v>420.11414900000005</v>
      </c>
      <c r="Y26" s="3">
        <f>771.6+(88.6-398.2)+(-1.574064+(-0.180744--0.812328))+0-0-0</f>
        <v>461.05752000000001</v>
      </c>
      <c r="Z26" s="3">
        <f>777.8+(161.2-371)+(-0.396678+(-0.082212--0.18921))+0-0-0</f>
        <v>567.71032000000002</v>
      </c>
      <c r="AA26" s="3">
        <f>772.6+(187.2-395.4)+(-1.576104+(-0.381888--0.806616))+0-0-0</f>
        <v>563.24862400000006</v>
      </c>
      <c r="AB26" s="3">
        <f>775.2+(155.5-372.4)+(-0.790704+(-0.15861--0.379848))+0-0-0</f>
        <v>557.73053400000003</v>
      </c>
      <c r="AC26" s="3">
        <f>774.7+(122.5-363.5)+(-1.580388+(-0.2499--0.74154))+0-0-0</f>
        <v>532.61125200000004</v>
      </c>
      <c r="AD26">
        <v>555.1</v>
      </c>
      <c r="AE26" s="3">
        <f>771+(187.7-403.6)+(0+(0-0))+0-0-0</f>
        <v>555.09999999999991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801.3+(107-423.1)+(0+(0-0))+0-0-0</f>
        <v>485.19999999999993</v>
      </c>
      <c r="G27" s="3">
        <f>790.7+(76.5-435.1)+(-2.016285+(-0.195075--1.109505))+0-0-0</f>
        <v>430.99814500000002</v>
      </c>
      <c r="H27" s="3">
        <f>797.4+(62.5-448)+(-0.406674+(-0.031875--0.22848))+0-0-0</f>
        <v>411.689931</v>
      </c>
      <c r="I27" s="3">
        <f>799.7+(53.2-455.8)+(0.407847+(0.027132-0.232458))+0-0-0</f>
        <v>397.30252100000001</v>
      </c>
      <c r="J27" s="3">
        <f>796+(54.8-454.2)+(-0.40596+(-0.027948--0.231642))+0-0-0</f>
        <v>396.39773400000001</v>
      </c>
      <c r="K27" s="3">
        <f>955.3+(11.4-555.4)+(0.487203+(0.005814-0.283254))+0-0-0</f>
        <v>411.50976299999996</v>
      </c>
      <c r="L27" s="3">
        <f>1006.6+(0-594)+(-2.56683+(0--1.5147))+0-0-0</f>
        <v>411.54787000000005</v>
      </c>
      <c r="M27" s="3">
        <f>1026.8+(14.5-609.5)+(1.047336+(0.01479-0.62169))+0-0-0</f>
        <v>432.24043599999993</v>
      </c>
      <c r="N27" s="3">
        <f>1026.3+(35.7-571.2)+(0+(0-0))+0-0-0</f>
        <v>490.79999999999995</v>
      </c>
      <c r="O27" s="3">
        <f>1022.6+(46.3-557.6)+(0+(0-0))+0-0-0</f>
        <v>511.3</v>
      </c>
      <c r="P27" s="3">
        <f>1009.5+(70.6-564)+(1.02969+(0.072012-0.57528))+0-0-0</f>
        <v>516.62642200000005</v>
      </c>
      <c r="Q27" s="3">
        <f>974.5+(89.3-528.3)+(-0.99399+(-0.091086--0.538866))+0-0-0</f>
        <v>534.95379000000003</v>
      </c>
      <c r="R27" s="3">
        <f>952.6+(106.9-535.6)+(-0.485826+(-0.054519--0.273156))+0-0-0</f>
        <v>523.63281099999995</v>
      </c>
      <c r="S27" s="3">
        <f>958+(149.5-595.2)+(0+(0-0))+0-0-0</f>
        <v>512.29999999999995</v>
      </c>
      <c r="T27" s="3">
        <f>960.6+(108.1-564.6)+(-0.489906+(-0.055131--0.287946))+0-0-0</f>
        <v>503.84290900000002</v>
      </c>
      <c r="U27" s="3">
        <f>967.3+(84.3-555.2)+(-1.479969+(-0.128979--0.849456))+0.2-0-0</f>
        <v>495.84050799999989</v>
      </c>
      <c r="V27" s="3">
        <f>968.4+(71.7-543.7)+(-0.493884+(-0.036567--0.277287))+0.4-0-0</f>
        <v>496.54683599999987</v>
      </c>
      <c r="W27" s="3">
        <f>981.6+(79.4-569.7)+(-2.002464+(-0.161976--1.162188))+0-0-0</f>
        <v>490.29774799999996</v>
      </c>
      <c r="X27" s="3">
        <f>1000.5+(104.2-604.9)+(-2.551275+(-0.26571--1.542495))+0-0-0</f>
        <v>498.52551</v>
      </c>
      <c r="Y27" s="3">
        <f>988.8+(61.2-520.5)+(-0.504288+(-0.031212--0.265455))+0-0-0</f>
        <v>529.22995500000002</v>
      </c>
      <c r="Z27" s="3">
        <f>979.1+(115.5-457.5)+(-1.997364+(-0.23562--0.9333))+0-0-0</f>
        <v>635.80031600000007</v>
      </c>
      <c r="AA27" s="3">
        <f>985.9+(149.2-509)+(-1.508427+(-0.228276--0.77877))+0-0-0</f>
        <v>625.14206699999988</v>
      </c>
      <c r="AB27" s="3">
        <f>980.6+(120.8-521.6)+(-2.50053+(-0.30804--1.33008))+0-0-0</f>
        <v>578.32150999999999</v>
      </c>
      <c r="AC27" s="3">
        <f>976.7+(76.1-536.3)+(-1.992468+(-0.155244--1.094052))+0-0-0</f>
        <v>515.44634000000008</v>
      </c>
      <c r="AD27">
        <v>619.69999999999993</v>
      </c>
      <c r="AE27" s="3">
        <f>985+(125.6-490.9)+(0+(0-0))+0-0-0</f>
        <v>619.70000000000005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979.3+(54.2-541.5)+(-1.498329+(-0.082926--0.828495))+0-0-0</f>
        <v>491.24723999999992</v>
      </c>
      <c r="G28" s="3">
        <f>977.5+(22.4-540.5)+(-0.99705+(-0.022848--0.55131))+0-0-0</f>
        <v>458.93141199999997</v>
      </c>
      <c r="H28" s="3">
        <f>975.1+(18.8-552.6)+(-1.989204+(-0.038352--1.127304))+0-0-0</f>
        <v>440.39974799999993</v>
      </c>
      <c r="I28" s="3">
        <f>978+(11.2-558.9)+(-0.99756+(-0.011424--0.570078))+0-0-0</f>
        <v>429.86109400000009</v>
      </c>
      <c r="J28" s="3">
        <f>969.4+(2.5-549.5)+(-1.977576+(-0.0051--1.12098))+0-0-0</f>
        <v>421.53830399999998</v>
      </c>
      <c r="K28" s="3">
        <f>969.4+(8.2-553.9)+(0+(0-0))+0-0-0</f>
        <v>423.70000000000005</v>
      </c>
      <c r="L28" s="3">
        <f>993+(5.6-541.3)+(-3.54501+(-0.019992--1.932441))+0-0-0</f>
        <v>455.66743900000006</v>
      </c>
      <c r="M28" s="3">
        <f>965+(13.4-542.4)+(0+(0-0))+0-0-0</f>
        <v>436</v>
      </c>
      <c r="N28" s="3">
        <f>1008+(44.6-529.7)+(1.02816+(0.045492-0.540294))+0-0-0</f>
        <v>523.433358</v>
      </c>
      <c r="O28" s="3">
        <f>998+(49.2-465.4)+(-1.01796+(-0.050184--0.474708))+0-0-0</f>
        <v>581.20656399999996</v>
      </c>
      <c r="P28" s="3">
        <f>1004+(33.3-512.4)+(0.51204+(0.016983-0.261324))+0-0-0</f>
        <v>525.16769900000008</v>
      </c>
      <c r="Q28" s="3">
        <f>1021+(45-527.4)+(0+(0-0))+0-0-0</f>
        <v>538.6</v>
      </c>
      <c r="R28" s="3">
        <f>994+(37.2-530.7)+(-2.5347+(-0.09486--1.353285))+0-0-0</f>
        <v>499.22372499999994</v>
      </c>
      <c r="S28" s="3">
        <f>997+(39.9-526.8)+(-2.03388+(-0.081396--1.074672))+0-0-0</f>
        <v>509.05939600000005</v>
      </c>
      <c r="T28" s="3">
        <f>973+(17.4-512.1)+(0.99246+(0.017748-0.522342))+0-0-0</f>
        <v>478.78786599999995</v>
      </c>
      <c r="U28" s="3">
        <f>961+(27-507.1)+(-1.96044+(-0.05508--1.034484))+0-0-0</f>
        <v>479.91896399999996</v>
      </c>
      <c r="V28" s="3">
        <f>962.9+(46.4-536.1)+(-1.964316+(-0.094656--1.093644))+0-0-0</f>
        <v>472.23467199999993</v>
      </c>
      <c r="W28" s="3">
        <f>957.1+(62-550)+(-2.928726+(-0.18972--1.683))+0-0-0</f>
        <v>467.66455400000001</v>
      </c>
      <c r="X28" s="3">
        <f>960.6+(81.6-564.4)+(-1.959624+(-0.166464--1.151376))+0-0-0</f>
        <v>476.82528800000006</v>
      </c>
      <c r="Y28" s="3">
        <f>984.5+(96.7-559.1)+(0.502095+(0.049317-0.285141))+0-0-0</f>
        <v>522.36627099999987</v>
      </c>
      <c r="Z28" s="3">
        <f>1000.5+(109.7-507)+(-2.551275+(-0.279735--1.29285))+0-0-0</f>
        <v>601.6618400000001</v>
      </c>
      <c r="AA28" s="3">
        <f>1001.3+(122.6-525.9)+(-2.553315+(-0.31263--1.341045))+0-0-0</f>
        <v>596.4751</v>
      </c>
      <c r="AB28" s="3">
        <f>997.9+(131.6-566.7)+(-3.562503+(-0.469812--2.023119))+0-0-0</f>
        <v>560.79080399999998</v>
      </c>
      <c r="AC28" s="3">
        <f>997+(92.7-588.6)+(-2.54235+(-0.236385--1.50093))+0-0-0</f>
        <v>499.82219499999997</v>
      </c>
      <c r="AD28">
        <v>611.89999999999986</v>
      </c>
      <c r="AE28" s="3">
        <f>999+(125.1-512.2)+(0+(0-0))+0-0-0</f>
        <v>611.9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1002.3+(45.8-581.7)+(-1.533519+(-0.070074--0.890001))+0-0-0</f>
        <v>465.68640799999986</v>
      </c>
      <c r="G29" s="3">
        <f>996+(5.4-577.4)+(-3.55572+(-0.019278--2.061318))+0-0-0</f>
        <v>422.48631999999998</v>
      </c>
      <c r="H29" s="3">
        <f>998.5+(6.1-602.2)+(-1.527705+(-0.009333--0.921366))+0-0-0</f>
        <v>401.78432799999996</v>
      </c>
      <c r="I29" s="3">
        <f>1007+(7.1-607.3)+(0+(0-0))+0-0-0</f>
        <v>406.80000000000007</v>
      </c>
      <c r="J29" s="3">
        <f>997+(8.6-597.2)+(-2.03388+(-0.017544--1.218288))+0-0-0</f>
        <v>407.56686399999995</v>
      </c>
      <c r="K29" s="3">
        <f>1001.2+(6.2-604.5)+(-1.021224+(-0.006324--0.61659))+0-0-0</f>
        <v>402.4890420000001</v>
      </c>
      <c r="L29" s="3">
        <f>997.5+(3.3-603)+(-2.0349+(-0.006732--1.23012))+0-0-0</f>
        <v>396.98848799999996</v>
      </c>
      <c r="M29" s="3">
        <f>1009.9+(10.4-603.1)+(0.515049+(0.005304-0.307581))+0-0-0</f>
        <v>417.4127719999999</v>
      </c>
      <c r="N29" s="3">
        <f>1013.2+(60.3-608.8)+(0.516732+(0.030753-0.310488))+0-0-0</f>
        <v>464.93699700000002</v>
      </c>
      <c r="O29" s="3">
        <f>1009.7+(69.1-591.3)+(-1.544841+(-0.105723--0.904689))+0-0-0</f>
        <v>486.7541250000001</v>
      </c>
      <c r="P29" s="3">
        <f>1014+(73-597.7)+(-2.06856+(-0.14892--1.219308))+0-0-0</f>
        <v>488.30182799999994</v>
      </c>
      <c r="Q29" s="3">
        <f>1024.6+(75.4-585.3)+(-0.522546+(-0.038454--0.298503))+0-0-0</f>
        <v>514.43750299999988</v>
      </c>
      <c r="R29" s="3">
        <f>1023.6+(75-580)+(0.522036+(0.03825-0.2958))+0-0-0</f>
        <v>518.86448600000006</v>
      </c>
      <c r="S29" s="3">
        <f>1021.8+(78.3-594.7)+(-0.521118+(-0.039933--0.303297))+0-0-0</f>
        <v>505.14224599999989</v>
      </c>
      <c r="T29" s="3">
        <f>1021+(59-589.3)+(-1.04142+(-0.06018--0.601086))+0-0-0</f>
        <v>490.19948600000004</v>
      </c>
      <c r="U29" s="3">
        <f>1014.7+(36.5-565.8)+(-1.552491+(-0.055845--0.865674))+0-0-0</f>
        <v>484.6573380000001</v>
      </c>
      <c r="V29" s="3">
        <f>1013.7+(23.7-536.9)+(-2.067948+(-0.048348--1.095276))+0-0-0</f>
        <v>499.47898000000009</v>
      </c>
      <c r="W29" s="3">
        <f>1015.1+(29.4-538.2)+(-1.035402+(-0.029988--0.548964))+0-0-0</f>
        <v>505.78357399999993</v>
      </c>
      <c r="X29" s="3">
        <f>1011.9+(62.1-560.3)+(-2.580345+(-0.158355--1.428765))+0-0-0</f>
        <v>512.39006500000005</v>
      </c>
      <c r="Y29" s="3">
        <f>1017.5+(72.6-541.7)+(-1.03785+(-0.074052--0.552534))+0-0-0</f>
        <v>547.84063200000003</v>
      </c>
      <c r="Z29" s="3">
        <f>1021.8+(119.4-503.1)+(-1.042236+(-0.121788--0.513162))+0-0-0</f>
        <v>637.44913799999995</v>
      </c>
      <c r="AA29" s="3">
        <f>1020.1+(116.8-519.7)+(-1.560753+(-0.178704--0.795141))+0-0-0</f>
        <v>616.25568400000009</v>
      </c>
      <c r="AB29" s="3">
        <f>1014.1+(114.8-551.8)+(-2.585955+(-0.29274--1.40709))+0-0-0</f>
        <v>575.62839500000018</v>
      </c>
      <c r="AC29" s="3">
        <f>1002+(101.4-564.1)+(-1.02204+(-0.103428--0.575382))+0-0-0</f>
        <v>538.74991399999999</v>
      </c>
      <c r="AD29">
        <v>618.10000000000014</v>
      </c>
      <c r="AE29" s="3">
        <f>1028+(121.9-531.8)+(0+(0-0))+0-0-0</f>
        <v>618.1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895.8+(115.9-528.8)+(-2.28429+(-0.295545--1.34844))+0-0-0</f>
        <v>481.66860499999996</v>
      </c>
      <c r="G30" s="3">
        <f>817.9+(84.3-471.1)+(-0.834258+(-0.085986--0.480522))+0-0-0</f>
        <v>430.66027799999995</v>
      </c>
      <c r="H30" s="3">
        <f>735.5+(77.6-402.2)+(-0.75021+(-0.079152--0.410244))+0-0-0</f>
        <v>410.48088199999995</v>
      </c>
      <c r="I30" s="3">
        <f>721.4+(73.7-378.8)+(-1.471656+(-0.150348--0.772752))+0-0-0</f>
        <v>415.45074799999998</v>
      </c>
      <c r="J30" s="3">
        <f>723.5+(63.2-364.3)+(-1.844925+(-0.16116--0.928965))+0-0-0</f>
        <v>421.32288</v>
      </c>
      <c r="K30" s="3">
        <f>733.5+(60.3-377.2)+(-0.374085+(-0.030753--0.192372))+0-0-0</f>
        <v>416.38753400000002</v>
      </c>
      <c r="L30" s="3">
        <f>737.6+(63.8-389.1)+(0+(0-0))+0-0-0</f>
        <v>412.3</v>
      </c>
      <c r="M30" s="3">
        <f>785.8+(54.5-403.7)+(0+(0-0))+0-0-0</f>
        <v>436.59999999999997</v>
      </c>
      <c r="N30" s="3">
        <f>895.1+(40.9-453)+(-1.369503+(-0.062577--0.69309))+0-0-0</f>
        <v>482.26101</v>
      </c>
      <c r="O30" s="3">
        <f>984.2+(38.5-508.1)+(-1.003884+(-0.03927--0.518262))+0-0-0</f>
        <v>514.075108</v>
      </c>
      <c r="P30" s="3">
        <f>991+(67.9-539.9)+(-0.50541+(-0.034629--0.275349))+0-0-0</f>
        <v>518.73531000000003</v>
      </c>
      <c r="Q30" s="3">
        <f>1020.4+(57.9-547.8)+(-1.561212+(-0.088587--0.838134))+0-0-0</f>
        <v>529.68833500000005</v>
      </c>
      <c r="R30" s="3">
        <f>1059.2+(25.9-543.4)+(0.540192+(0.013209-0.277134))+0-0-0</f>
        <v>541.97626700000001</v>
      </c>
      <c r="S30" s="3">
        <f>1080.5+(3.8-543)+(-2.755275+(-0.00969--1.38465))+0-0-0</f>
        <v>539.91968499999996</v>
      </c>
      <c r="T30" s="3">
        <f>1244.4+(0-716)+(-0.634644+(0--0.36516))+0-0-0</f>
        <v>528.13051600000006</v>
      </c>
      <c r="U30" s="3">
        <f>1239.9+(0-716.3)+(0+(0-0))+0-0-0</f>
        <v>523.60000000000014</v>
      </c>
      <c r="V30" s="3">
        <f>1228.1+(0-702.5)+(-2.505324+(0--1.4331))+0-0-0</f>
        <v>524.5277759999999</v>
      </c>
      <c r="W30" s="3">
        <f>1243.4+(0-717.4)+(0+(0-0))+0-0-0</f>
        <v>526.00000000000011</v>
      </c>
      <c r="X30" s="3">
        <f>1230.6+(0-707)+(-3.13803+(0--1.80285))+0-0-0</f>
        <v>522.26481999999987</v>
      </c>
      <c r="Y30" s="3">
        <f>1289.8+(0-726.8)+(-0.657798+(0--0.370668))+0-0-0</f>
        <v>562.71286999999995</v>
      </c>
      <c r="Z30" s="3">
        <f>1414.4+(0-749.2)+(-1.442688+(0--0.764184))+0-0-0</f>
        <v>664.52149600000007</v>
      </c>
      <c r="AA30" s="3">
        <f>1446.1+(0-789.9)+(-1.475022+(0--0.805698))+0-0-0</f>
        <v>655.53067599999997</v>
      </c>
      <c r="AB30" s="3">
        <f>1420.3+(0-777.5)+(-3.621765+(0--1.982625))+0-0-0</f>
        <v>641.16085999999996</v>
      </c>
      <c r="AC30" s="3">
        <f>1383+(4.3-796.5)+(0+(0-0))+0-0-0</f>
        <v>590.79999999999995</v>
      </c>
      <c r="AD30">
        <v>653.1</v>
      </c>
      <c r="AE30" s="3">
        <f>1425+(0-771.9)+(0+(0-0))+0-0-0</f>
        <v>653.1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1374.6+(8.1-848.9)+(-0.701046+(-0.004131--0.432939))+0-0-0</f>
        <v>533.52776199999994</v>
      </c>
      <c r="G31" s="3">
        <f>1363.3+(12.7-853.6)+(-3.476415+(-0.032385--2.17668))+0-0-0</f>
        <v>521.06787999999995</v>
      </c>
      <c r="H31" s="3">
        <f>1373.3+(4.6-839.1)+(-0.700383+(-0.002346--0.427941))+0-0-0</f>
        <v>538.52521200000001</v>
      </c>
      <c r="I31" s="3">
        <f>1207.4+(4.4-736.1)+(-0.615774+(-0.002244--0.375411))+0-0-0</f>
        <v>475.45739300000002</v>
      </c>
      <c r="J31" s="3">
        <f>1031.6+(5.9-610)+(-1.052232+(-0.006018--0.6222))+0-0-0</f>
        <v>427.06394999999986</v>
      </c>
      <c r="K31" s="3">
        <f>1039.5+(4.5-583.6)+(0+(0-0))+0-0-0</f>
        <v>460.4</v>
      </c>
      <c r="L31" s="3">
        <f>1026.2+(4-574.3)+(-2.61681+(-0.0102--1.464465))+0-0-0</f>
        <v>454.73745500000007</v>
      </c>
      <c r="M31" s="3">
        <f>1149.4+(0-699)+(-1.172388+(0--0.71298))+0-0-0</f>
        <v>449.94059200000009</v>
      </c>
      <c r="N31" s="3">
        <f>1373.3+(0-847.1)+(1.400766+(0-0.864042))+0-0-0</f>
        <v>526.73672399999998</v>
      </c>
      <c r="O31" s="3">
        <f>1373.1+(0-767)+(-1.400562+(0--0.78234))+0-0-0</f>
        <v>605.48177799999996</v>
      </c>
      <c r="P31" s="3">
        <f>1361.1+(0-821.4)+(-0.694161+(0--0.418914))+0-0-0</f>
        <v>539.4247529999999</v>
      </c>
      <c r="Q31" s="3">
        <f>1292+(0-735.5)+(-0.65892+(0--0.375105))+0-0-0</f>
        <v>556.216185</v>
      </c>
      <c r="R31" s="3">
        <f>1208.9+(0-618.3)+(-1.849617+(0--0.945999))+0-0-0</f>
        <v>589.69638200000009</v>
      </c>
      <c r="S31" s="3">
        <f>1213.6+(0-667)+(0+(0-0))+0-0-0</f>
        <v>546.59999999999991</v>
      </c>
      <c r="T31" s="3">
        <f>1228.6+(0-713.1)+(0+(0-0))+0-0-0</f>
        <v>515.49999999999989</v>
      </c>
      <c r="U31" s="3">
        <f>1214.9+(0-680.4)+(-1.239198+(0--0.694008))+0-0-0</f>
        <v>533.95481000000007</v>
      </c>
      <c r="V31" s="3">
        <f>1226.1+(0-686.2)+(0+(0-0))+0-0-0</f>
        <v>539.89999999999986</v>
      </c>
      <c r="W31" s="3">
        <f>1276.4+(0-733.2)+(-3.905784+(0--2.243592))+0-0-0</f>
        <v>541.53780800000004</v>
      </c>
      <c r="X31" s="3">
        <f>1316+(0-806.6)+(-5.36928+(0--3.290928))+0-0-0</f>
        <v>507.32164799999998</v>
      </c>
      <c r="Y31" s="3">
        <f>1347+(0-779.2)+(-2.74788+(0--1.589568))+0-0-0</f>
        <v>566.64168799999993</v>
      </c>
      <c r="Z31" s="3">
        <f>1343+(10.8-699.9)+(-4.79451+(-0.038556--2.498643))+0-0-0</f>
        <v>651.56557699999996</v>
      </c>
      <c r="AA31" s="3">
        <f>1364+(0-705.7)+(-1.39128+(0--0.719814))+0-0-0</f>
        <v>657.62853399999995</v>
      </c>
      <c r="AB31" s="3">
        <f>1353+(0-735)+(-3.45015+(0--1.87425))+0-0-0</f>
        <v>616.42409999999995</v>
      </c>
      <c r="AC31" s="3">
        <f>1345+(0-749.6)+(0+(0-0))+0-0-0</f>
        <v>595.4</v>
      </c>
      <c r="AD31">
        <v>618.09999999999991</v>
      </c>
      <c r="AE31" s="3">
        <f>1318+(20.3-720.2)+(0+(0-0))+0-0-0</f>
        <v>618.09999999999991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1317.2+(4-816.8)+(0+(0-0))+0-0-0</f>
        <v>504.40000000000009</v>
      </c>
      <c r="G32" s="3">
        <f>1310.2+(8.2-840.2)+(1.336404+(0.008364-0.857004))+0-0-0</f>
        <v>478.68776400000007</v>
      </c>
      <c r="H32" s="3">
        <f>1296.6+(8.8-848.9)+(-1.322532+(-0.008976--0.865878))+0-0-0</f>
        <v>456.03436999999991</v>
      </c>
      <c r="I32" s="3">
        <f>1323+(7-880.1)+(-2.69892+(-0.01428--1.795404))+0-0-0</f>
        <v>448.98220399999997</v>
      </c>
      <c r="J32" s="3">
        <f>1250.8+(0-821.1)+(1.913724+(0-1.256283))+0-0-0</f>
        <v>430.35744099999994</v>
      </c>
      <c r="K32" s="3">
        <f>1243.9+(0-808.9)+(0.634389+(0-0.412539))+0-0-0</f>
        <v>435.22185000000013</v>
      </c>
      <c r="L32" s="3">
        <f>1230.6+(0-816.5)+(-1.255212+(0--0.83283))+0-0-0</f>
        <v>413.67761799999988</v>
      </c>
      <c r="M32" s="3">
        <f>1256.1+(0-818.6)+(1.281222+(0-0.834972))+0-0-0</f>
        <v>437.94624999999991</v>
      </c>
      <c r="N32" s="3">
        <f>1300.6+(0-816.4)+(0.663306+(0-0.416364))+0-0-0</f>
        <v>484.44694199999992</v>
      </c>
      <c r="O32" s="3">
        <f>1283.8+(0-778.1)+(1.309476+(0-0.793662))+0-0-0</f>
        <v>506.21581399999991</v>
      </c>
      <c r="P32" s="3">
        <f>1273.3+(0-737.8)+(0+(0-0))+0-0-0</f>
        <v>535.5</v>
      </c>
      <c r="Q32" s="3">
        <f>1285.9+(0-727)+(2.623236+(0-1.48308))+0-0-0</f>
        <v>560.04015600000014</v>
      </c>
      <c r="R32" s="3">
        <f>1283.8+(0-726.5)+(0+(0-0))+0-0-0</f>
        <v>557.29999999999995</v>
      </c>
      <c r="S32" s="3">
        <f>1260.4+(0-730)+(-1.285608+(0--0.7446))+0-0-0</f>
        <v>529.85899200000006</v>
      </c>
      <c r="T32" s="3">
        <f>1263.6+(4.1-749.6)+(1.933308+(0.006273-1.146888))+0-0-0</f>
        <v>518.89269299999989</v>
      </c>
      <c r="U32" s="3">
        <f>1233.3+(7.9-736.9)+(-3.144915+(-0.020145--1.879095))+0-0-0</f>
        <v>503.01403499999998</v>
      </c>
      <c r="V32" s="3">
        <f>1243.7+(7.6-746.3)+(0+(0-0))+0-0-0</f>
        <v>505.00000000000011</v>
      </c>
      <c r="W32" s="3">
        <f>1218.7+(0-712.6)+(-4.350759+(0--2.543982))+0-0-0</f>
        <v>504.29322300000001</v>
      </c>
      <c r="X32" s="3">
        <f>1229.6+(0-715.2)+(-2.508384+(0--1.459008))+0-0-0</f>
        <v>513.35062399999981</v>
      </c>
      <c r="Y32" s="3">
        <f>1282.5+(0-730.3)+(-1.30815+(0--0.744906))+0-0-0</f>
        <v>551.63675599999999</v>
      </c>
      <c r="Z32" s="3">
        <f>1387.5+(0-767.3)+(-3.538125+(0--1.956615))+0-0-0</f>
        <v>618.61849000000007</v>
      </c>
      <c r="AA32" s="3">
        <f>1379.8+(1.1-794.9)+(-4.925886+(-0.003927--2.837793))+0-0-0</f>
        <v>583.90797999999995</v>
      </c>
      <c r="AB32" s="3">
        <f>1392.2+(0-841.7)+(-2.840088+(0--1.717068))+0-0-0</f>
        <v>549.37698</v>
      </c>
      <c r="AC32" s="3">
        <f>1397+(0-895.2)+(-1.42494+(0--0.913104))+0-0-0</f>
        <v>501.28816399999994</v>
      </c>
      <c r="AD32">
        <v>648.20000000000005</v>
      </c>
      <c r="AE32" s="3">
        <f>1413+(8.5-773.3)+(0+(0-0))+0-0-0</f>
        <v>648.20000000000005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1381.6+(3.8-930.5)+(-3.52308+(-0.00969--2.372775))+0-0-0</f>
        <v>453.74000499999988</v>
      </c>
      <c r="G33" s="3">
        <f>1385+(10.2-974)+(-3.53175+(-0.02601--2.4837))+0-0-0</f>
        <v>420.12594000000007</v>
      </c>
      <c r="H33" s="3">
        <f>1385.6+(12.5-1004.4)+(-2.119968+(-0.019125--1.536732))+0-0-0</f>
        <v>393.09763899999996</v>
      </c>
      <c r="I33" s="3">
        <f>1189.3+(21.2-836.6)+(-0.606543+(-0.010812--0.426666))+0-0-0</f>
        <v>373.70931099999996</v>
      </c>
      <c r="J33" s="3">
        <f>1037.9+(23.7-702)+(-1.058658+(-0.024174--0.71604))+0-0-0</f>
        <v>359.23320800000016</v>
      </c>
      <c r="K33" s="3">
        <f>1036.9+(7.6-686)+(-1.057638+(-0.007752--0.69972))+0-0-0</f>
        <v>358.13433000000009</v>
      </c>
      <c r="L33" s="3">
        <f>1029.8+(5-691.4)+(-2.62599+(-0.01275--1.76307))+0-0-0</f>
        <v>342.52432999999996</v>
      </c>
      <c r="M33" s="3">
        <f>1038.3+(4.3-713.9)+(0+(0-0))+0-0-0</f>
        <v>328.69999999999993</v>
      </c>
      <c r="N33" s="3">
        <f>1033.9+(4.4-693.2)+(-1.581867+(-0.006732--1.060596))+0-0-0</f>
        <v>344.57199700000001</v>
      </c>
      <c r="O33" s="3">
        <f>1038.1+(8-653.2)+(-0.529431+(-0.00408--0.333132))+0-0-0</f>
        <v>392.69962099999987</v>
      </c>
      <c r="P33" s="3">
        <f>1129.1+(10.8-712.4)+(-1.151682+(-0.011016--0.726648))+0-0-0</f>
        <v>427.06394999999986</v>
      </c>
      <c r="Q33" s="3">
        <f>1157.5+(8.8-717.5)+(0+(0-0))+0-0-0</f>
        <v>448.79999999999995</v>
      </c>
      <c r="R33" s="3">
        <f>1157.5+(8.6-707.6)+(-0.590325+(-0.004386--0.360876))+0-0-0</f>
        <v>458.266165</v>
      </c>
      <c r="S33" s="3">
        <f>1144.4+(8-717.2)+(-2.334576+(-0.01632--1.463088))+0-0-0</f>
        <v>434.31219200000004</v>
      </c>
      <c r="T33" s="3">
        <f>1154.2+(0-739.4)+(-0.588642+(0--0.377094))+0-0-0</f>
        <v>414.58845200000007</v>
      </c>
      <c r="U33" s="3">
        <f>1147.9+(0-736)+(-1.756287+(0--1.12608))+0-0-0</f>
        <v>411.26979300000011</v>
      </c>
      <c r="V33" s="3">
        <f>1145.4+(0-730.1)+(-2.92077+(0--1.861755))+0-0-0</f>
        <v>414.24098500000008</v>
      </c>
      <c r="W33" s="3">
        <f>1154.2+(0-726.8)+(-1.765926+(0--1.112004))+0-0-0</f>
        <v>426.74607800000007</v>
      </c>
      <c r="X33" s="3">
        <f>1146.8+(0-699.5)+(-2.339472+(0--1.42698))+0-0-0</f>
        <v>446.38750799999997</v>
      </c>
      <c r="Y33" s="3">
        <f>1228.7+(0-759.1)+(0+(0-0))+0-0-0</f>
        <v>469.6</v>
      </c>
      <c r="Z33" s="3">
        <f>1366.3+(0-805.7)+(-2.787252+(0--1.643628))+0-0-0</f>
        <v>559.45637599999986</v>
      </c>
      <c r="AA33" s="3">
        <f>1378.1+(0-819.7)+(0+(0-0))+0-0-0</f>
        <v>558.39999999999986</v>
      </c>
      <c r="AB33" s="3">
        <f>1372.1+(0-839.7)+(-0.699771+(0--0.428247))+0-0-0</f>
        <v>532.12847599999986</v>
      </c>
      <c r="AC33" s="3">
        <f>1361.8+(0-869.8)+(-3.47259+(0--2.21799))+0-0-0</f>
        <v>490.74540000000002</v>
      </c>
      <c r="AD33">
        <v>576</v>
      </c>
      <c r="AE33" s="3">
        <f>1375+(0-799)+(0+(0-0))+0-0-0</f>
        <v>576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1375.2+(0-928.3)+(-0.701352+(0--0.473433))+0-0-0</f>
        <v>446.67208100000011</v>
      </c>
      <c r="G34" s="3">
        <f>1351.5+(0-938.5)+(-2.067795+(0--1.435905))+0-0-0</f>
        <v>412.36811</v>
      </c>
      <c r="H34" s="3">
        <f>1082.1+(0-685.4)+(-0.551871+(0--0.349554))+0-0-0</f>
        <v>396.49768299999994</v>
      </c>
      <c r="I34" s="3">
        <f>995.1+(2.5-609.6)+(-1.015002+(-0.00255--0.621792))+0-0-0</f>
        <v>387.60424</v>
      </c>
      <c r="J34" s="3">
        <f>994.8+(3-610.2)+(-1.522044+(-0.00459--0.933606))+0-0-0</f>
        <v>387.00697199999991</v>
      </c>
      <c r="K34" s="3">
        <f>1002.8+(3.3-609.8)+(-0.511428+(-0.001683--0.310998))+0-0-0</f>
        <v>396.09788699999996</v>
      </c>
      <c r="L34" s="3">
        <f>997.5+(3-609)+(-1.526175+(-0.00459--0.93177))+0-0-0</f>
        <v>390.901005</v>
      </c>
      <c r="M34" s="3">
        <f>1010.5+(1.1-599.1)+(1.546065+(0.001683-0.916623))+0-0-0</f>
        <v>413.131125</v>
      </c>
      <c r="N34" s="3">
        <f>1203.9+(0-721.9)+(0.613989+(0-0.368169))+0-0-0</f>
        <v>482.24582000000009</v>
      </c>
      <c r="O34" s="3">
        <f>1330.3+(0-828.6)+(0+(0-0))+0-0-0</f>
        <v>501.69999999999993</v>
      </c>
      <c r="P34" s="3">
        <f>1356.4+(0-837.4)+(-0.691764+(0--0.427074))+0-0-0</f>
        <v>518.73531000000014</v>
      </c>
      <c r="Q34" s="3">
        <f>1366+(0-840.2)+(0.69666+(0-0.428502))+0-0-0</f>
        <v>526.06815799999993</v>
      </c>
      <c r="R34" s="3">
        <f>1361.1+(1.8-841.6)+(-0.694161+(-0.000918--0.429216))+0-0-0</f>
        <v>521.03413699999987</v>
      </c>
      <c r="S34" s="3">
        <f>1368.5+(3.2-851.5)+(0+(0-0))+0-0-0</f>
        <v>520.20000000000005</v>
      </c>
      <c r="T34" s="3">
        <f>1369.1+(4.1-868)+(0+(0-0))+0-0-0</f>
        <v>505.19999999999993</v>
      </c>
      <c r="U34" s="3">
        <f>1354.3+(4.3-870)+(-2.762772+(-0.008772--1.7748))+0-0-0</f>
        <v>487.60325599999993</v>
      </c>
      <c r="V34" s="3">
        <f>1353.6+(4.1-862.8)+(-2.761344+(-0.008364--1.760112))+0-0-0</f>
        <v>493.89040399999999</v>
      </c>
      <c r="W34" s="3">
        <f>1355+(0-854.8)+(-2.7642+(0--1.743792))+0-0-0</f>
        <v>499.17959200000007</v>
      </c>
      <c r="X34" s="3">
        <f>1361+(0-849.6)+(-2.08233+(0--1.299888))+0-0-0</f>
        <v>510.61755799999997</v>
      </c>
      <c r="Y34" s="3">
        <f>1404.5+(0-864.9)+(0+(0-0))+0-0-0</f>
        <v>539.6</v>
      </c>
      <c r="Z34" s="3">
        <f>1393.1+(16.6-787.9)+(-3.552405+(-0.04233--2.009145))+0-0-0</f>
        <v>620.21440999999993</v>
      </c>
      <c r="AA34" s="3">
        <f>1391.1+(16.2-788.8)+(-3.547305+(-0.04131--2.01144))+0-0-0</f>
        <v>616.92282499999999</v>
      </c>
      <c r="AB34" s="3">
        <f>1379.5+(28.6-804.2)+(-1.40709+(-0.029172--0.820284))+0-0-0</f>
        <v>603.28402199999994</v>
      </c>
      <c r="AC34" s="3">
        <f>1363.1+(0-800.9)+(-1.390362+(0--0.816918))+0-0-0</f>
        <v>561.62655599999994</v>
      </c>
      <c r="AD34">
        <v>628.90000000000009</v>
      </c>
      <c r="AE34" s="3">
        <f>1402+(15.4-788.5)+(0+(0-0))+0-0-0</f>
        <v>628.9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1361.4+(0-865.5)+(-1.388628+(0--0.88281))+0-0-0</f>
        <v>495.39418200000011</v>
      </c>
      <c r="G35" s="3">
        <f>1357.9+(0-903.2)+(-1.385058+(0--0.921264))+0-0-0</f>
        <v>454.23620600000004</v>
      </c>
      <c r="H35" s="3">
        <f>1359.2+(0-928.2)+(-1.386384+(0--0.946764))+0-0-0</f>
        <v>430.56038000000001</v>
      </c>
      <c r="I35" s="3">
        <f>1351.7+(3.3-927.7)+(-2.068101+(-0.005049--1.419381))+0-0-0</f>
        <v>426.64623099999994</v>
      </c>
      <c r="J35" s="3">
        <f>1345.7+(5-931.8)+(-3.431535+(-0.01275--2.37609))+0-0-0</f>
        <v>417.83180500000009</v>
      </c>
      <c r="K35" s="3">
        <f>1346.3+(4.2-927.6)+(-3.433065+(-0.01071--2.36538))+0-0-0</f>
        <v>421.82160499999998</v>
      </c>
      <c r="L35" s="3">
        <f>1342.5+(4.3-934.9)+(-4.10805+(-0.013158--2.860794))+0-0-0</f>
        <v>410.63958599999995</v>
      </c>
      <c r="M35" s="3">
        <f>1359.3+(5-926.4)+(0+(0-0))+0-0-0</f>
        <v>437.9</v>
      </c>
      <c r="N35" s="3">
        <f>1361.8+(3.8-893.6)+(0+(0-0))+0-0-0</f>
        <v>471.99999999999989</v>
      </c>
      <c r="O35" s="3">
        <f>1343.6+(9.8-863.4)+(0+(0-0))+0-0-0</f>
        <v>489.99999999999989</v>
      </c>
      <c r="P35" s="3">
        <f>1342.2+(25.8-848.5)+(0+(0-0))+0-0-0</f>
        <v>519.5</v>
      </c>
      <c r="Q35" s="3">
        <f>1347.8+(35.6-727.1)+(-2.062134+(-0.054468--1.112463))+0-0-0</f>
        <v>655.29586099999995</v>
      </c>
      <c r="R35" s="3">
        <f>1376.1+(25-859.8)+(-3.509055+(-0.06375--2.19249))+0-0-0</f>
        <v>539.91968499999996</v>
      </c>
      <c r="S35" s="3">
        <f>1393.9+(19.3-898.2)+(0.710889+(0.009843-0.458082))+0-0-0</f>
        <v>515.26265000000001</v>
      </c>
      <c r="T35" s="3">
        <f>1377.3+(18.8-904.9)+(-2.107269+(-0.028764--1.384497))+0-0-0</f>
        <v>490.44846399999994</v>
      </c>
      <c r="U35" s="3">
        <f>1372.7+(19.8-905.2)+(-2.800308+(-0.040392--1.846608))+0-0-0</f>
        <v>486.30590799999993</v>
      </c>
      <c r="V35" s="3">
        <f>1218.9+(36.4-762.2)+(-3.108195+(-0.09282--1.94361))+0-0-0</f>
        <v>491.84259500000002</v>
      </c>
      <c r="W35" s="3">
        <f>991.9+(50.3-553.2)+(-2.023476+(-0.102612--1.128528))+0-0-0</f>
        <v>488.00243999999992</v>
      </c>
      <c r="X35" s="3">
        <f>994.5+(45.7-553.6)+(-2.02878+(-0.093228--1.129344))+0-0-0</f>
        <v>485.60733599999998</v>
      </c>
      <c r="Y35" s="3">
        <f>1090.2+(41-614.6)+(-2.224008+(-0.08364--1.253784))+0-0-0</f>
        <v>515.54613600000005</v>
      </c>
      <c r="Z35" s="3">
        <f>1359.6+(17.3-751.3)+(-2.080188+(-0.026469--1.149489))+0-0-0</f>
        <v>624.64283199999988</v>
      </c>
      <c r="AA35" s="3">
        <f>1357+(5.4-755.3)+(-3.46035+(-0.01377--1.926015))+0-0-0</f>
        <v>605.55189500000006</v>
      </c>
      <c r="AB35" s="3">
        <f>1349.3+(16.1-789.4)+(-4.817001+(-0.057477--2.818158))+0-0-0</f>
        <v>573.94367999999997</v>
      </c>
      <c r="AC35" s="3">
        <f>1363.8+(19.3-854.3)+(-1.391076+(-0.019686--0.871386))+0-0-0</f>
        <v>528.26062400000001</v>
      </c>
      <c r="AD35">
        <v>604.40000000000009</v>
      </c>
      <c r="AE35" s="3">
        <f>1345+(14.7-755.3)+(0+(0-0))+0-0-0</f>
        <v>604.40000000000009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1364.2+(33.4-923)+(-0.695742+(-0.017034--0.47073))+0-0-0</f>
        <v>474.35795400000001</v>
      </c>
      <c r="G36" s="3">
        <f>1358.9+(46.6-973)+(-2.079117+(-0.071298--1.48869))+0-0-0</f>
        <v>431.83827500000012</v>
      </c>
      <c r="H36" s="3">
        <f>1355.4+(49.1-993.9)+(-2.765016+(-0.100164--2.027556))+0-0-0</f>
        <v>409.76237600000013</v>
      </c>
      <c r="I36" s="3">
        <f>1372.9+(16.2-986.8)+(2.100537+(0.024786-1.509804))+0-0-0</f>
        <v>402.91551900000019</v>
      </c>
      <c r="J36" s="3">
        <f>1361.3+(13.1-973.3)+(-1.388526+(-0.013362--0.992766))+0-0-0</f>
        <v>400.690878</v>
      </c>
      <c r="K36" s="3">
        <f>1356.6+(12.5-968.5)+(-2.075598+(-0.019125--1.481805))+0-0-0</f>
        <v>399.98708199999993</v>
      </c>
      <c r="L36" s="3">
        <f>1356.9+(11.1-984.5)+(-2.076057+(-0.016983--1.506285))+0-0-0</f>
        <v>382.91324500000013</v>
      </c>
      <c r="M36" s="3">
        <f>1338.8+(11-956.1)+(-0.682788+(-0.00561--0.487611))+0-0-0</f>
        <v>393.49921299999994</v>
      </c>
      <c r="N36" s="3">
        <f>1289+(7.6-826.8)+(-0.65739+(-0.003876--0.421668))+0-0-0</f>
        <v>469.56040200000007</v>
      </c>
      <c r="O36" s="3">
        <f>1292.6+(3.3-795.8)+(-1.318452+(-0.003366--0.811716))+0-0-0</f>
        <v>499.58989799999989</v>
      </c>
      <c r="P36" s="3">
        <f>1319.9+(1.1-824.4)+(-1.346298+(-0.001122--0.840888))+0-0-0</f>
        <v>496.09346800000014</v>
      </c>
      <c r="Q36" s="3">
        <f>1367.2+(0-836.8)+(-2.091816+(0--1.280304))+0-0-0</f>
        <v>529.5884880000001</v>
      </c>
      <c r="R36" s="3">
        <f>1362.4+(0-818.7)+(-3.47412+(0--2.087685))+0-0-0</f>
        <v>542.31356500000004</v>
      </c>
      <c r="S36" s="3">
        <f>1369+(0-840.9)+(-1.39638+(0--0.857718))+0-0-0</f>
        <v>527.56133799999998</v>
      </c>
      <c r="T36" s="3">
        <f>1371.5+(1.4-859.9)+(-1.39893+(-0.001428--0.877098))+0-0-0</f>
        <v>512.47673999999995</v>
      </c>
      <c r="U36" s="3">
        <f>1367.5+(1.2-856.6)+(-2.7897+(-0.002448--1.747464))+0-0-0</f>
        <v>511.055316</v>
      </c>
      <c r="V36" s="3">
        <f>1062.8+(7.3-585.7)+(-1.626084+(-0.011169--0.896121))+0-0-0</f>
        <v>483.65886799999987</v>
      </c>
      <c r="W36" s="3">
        <f>997.9+(9.5-520.3)+(-1.017858+(-0.00969--0.530706))+0-0-0</f>
        <v>486.60315800000001</v>
      </c>
      <c r="X36" s="3">
        <f>994.9+(10.5-498.9)+(-2.029596+(-0.02142--1.017756))+0-0-0</f>
        <v>505.46674000000002</v>
      </c>
      <c r="Y36" s="3">
        <f>1134.4+(10.3-612.9)+(-1.157088+(-0.010506--0.625158))+0-0-0</f>
        <v>531.25756400000012</v>
      </c>
      <c r="Z36" s="3">
        <f>1379.6+(3.2-776.6)+(-1.407192+(-0.003264--0.792132))+0-0-0</f>
        <v>605.5816759999999</v>
      </c>
      <c r="AA36" s="3">
        <f>1371.8+(0-762)+(-3.49809+(0--1.9431))+0-0-0</f>
        <v>608.24500999999998</v>
      </c>
      <c r="AB36" s="3">
        <f>1376.4+(0-819.1)+(-2.105892+(0--1.253223))+0-0-0</f>
        <v>556.44733100000008</v>
      </c>
      <c r="AC36" s="3">
        <f>1382.7+(0-900.8)+(-0.705177+(0--0.459408))+0-0-0</f>
        <v>481.6542310000001</v>
      </c>
      <c r="AD36">
        <v>602.5</v>
      </c>
      <c r="AE36" s="3">
        <f>1395+(0-792.5)+(0+(0-0))+0-0-0</f>
        <v>602.5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1431.9+(0-955.6)+(-1.460538+(0--0.974712))+0-0-0</f>
        <v>475.81417400000009</v>
      </c>
      <c r="G37" s="3">
        <f>1188.1+(10-775.5)+(-2.423724+(-0.0204--1.58202))+0-0-0</f>
        <v>421.73789599999992</v>
      </c>
      <c r="H37" s="3">
        <f>1085.2+(13.3-699.9)+(0+(0-0))+0-0-0</f>
        <v>398.6</v>
      </c>
      <c r="I37" s="3">
        <f>1078.9+(14.9-706)+(-2.200956+(-0.030396--1.44024))+0-0-0</f>
        <v>387.00888800000007</v>
      </c>
      <c r="J37" s="3">
        <f>1090.1+(15.1-721.2)+(0.555951+(0.007701-0.367812))+0-0-0</f>
        <v>384.19583999999986</v>
      </c>
      <c r="K37" s="3">
        <f>1086.6+(14.7-710.9)+(0+(0-0))+0-0-0</f>
        <v>390.4</v>
      </c>
      <c r="L37" s="3">
        <f>1080.5+(13-703)+(-1.653165+(-0.01989--1.07559))+0-0-0</f>
        <v>389.902535</v>
      </c>
      <c r="M37" s="3">
        <f>1089.2+(11.5-677.5)+(0+(0-0))+0-0-0</f>
        <v>423.20000000000005</v>
      </c>
      <c r="N37" s="3">
        <f>1234.2+(2-772.7)+(-1.258884+(-0.00204--0.788154))+0-0-0</f>
        <v>463.02722999999997</v>
      </c>
      <c r="O37" s="3">
        <f>1333.2+(0-829.8)+(1.359864+(0-0.846396))+0-0-0</f>
        <v>503.91346800000008</v>
      </c>
      <c r="P37" s="3">
        <f>1369.4+(0-844.9)+(-1.396788+(0--0.861798))+0-0-0</f>
        <v>523.96501000000012</v>
      </c>
      <c r="Q37" s="3">
        <f>1445.9+(7.5-921.8)+(-0.737409+(-0.003825--0.470118))+0-0-0</f>
        <v>531.32888400000013</v>
      </c>
      <c r="R37" s="3">
        <f>1445.5+(4.4-928.1)+(-0.737205+(-0.002244--0.473331))+0-0-0</f>
        <v>521.53388199999995</v>
      </c>
      <c r="S37" s="3">
        <f>1444.5+(0-925.6)+(-0.736695+(0--0.472056))+0-0-0</f>
        <v>518.63536099999999</v>
      </c>
      <c r="T37" s="3">
        <f>1451.7+(0-938.4)+(1.480734+(0-0.957168))+0-0-0</f>
        <v>513.82356600000003</v>
      </c>
      <c r="U37" s="3">
        <f>1454.6+(0-944.2)+(1.483692+(0-0.963084))+0-0-0</f>
        <v>510.92060799999985</v>
      </c>
      <c r="V37" s="3">
        <f>1434.2+(0-931.1)+(-2.925768+(0--1.899444))+0-0-0</f>
        <v>502.07367600000003</v>
      </c>
      <c r="W37" s="3">
        <f>1438.6+(0-898)+(-2.201058+(0--1.37394))+0-0-0</f>
        <v>539.77288199999987</v>
      </c>
      <c r="X37" s="3">
        <f>1435.7+(0-934.3)+(-3.661035+(0--2.382465))+0-0-0</f>
        <v>500.12143000000009</v>
      </c>
      <c r="Y37" s="3">
        <f>1464.5+(0-938)+(-0.746895+(0--0.47838))+0-0-0</f>
        <v>526.23148500000002</v>
      </c>
      <c r="Z37" s="3">
        <f>1495.9+(0-876.3)+(-0.762909+(0--0.446913))+0-0-0</f>
        <v>619.2840040000001</v>
      </c>
      <c r="AA37" s="3">
        <f>1482.1+(0-872.9)+(-3.779355+(0--2.225895))+0-0-0</f>
        <v>607.64653999999996</v>
      </c>
      <c r="AB37" s="3">
        <f>1448.2+(0-860.3)+(-1.477164+(0--0.877506))+0-0-0</f>
        <v>587.30034200000011</v>
      </c>
      <c r="AC37" s="3">
        <f>1236.7+(8.2-728.8)+(-2.522868+(-0.016728--1.486752))+0-0-0</f>
        <v>515.04715600000009</v>
      </c>
      <c r="AD37">
        <v>623.9</v>
      </c>
      <c r="AE37" s="3">
        <f>1493+(0-869.1)+(0+(0-0))+0-0-0</f>
        <v>623.9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1237.5+(7.1-756.2)+(-1.26225+(-0.007242--0.771324))+0-0-0</f>
        <v>487.90183199999996</v>
      </c>
      <c r="G38" s="3">
        <f>1227+(8.8-781.1)+(-3.12885+(-0.02244--1.991805))+0-0-0</f>
        <v>453.54051499999991</v>
      </c>
      <c r="H38" s="3">
        <f>1230.9+(11.2-813.4)+(-1.883277+(-0.017136--1.244502))+0-0-0</f>
        <v>428.04408900000016</v>
      </c>
      <c r="I38" s="3">
        <f>1218.9+(11.8-812.6)+(-1.243278+(-0.012036--0.828852))+0-0-0</f>
        <v>417.67353800000001</v>
      </c>
      <c r="J38" s="3">
        <f>1233+(11-827.3)+(-0.62883+(-0.00561--0.421923))+0-0-0</f>
        <v>416.48748300000005</v>
      </c>
      <c r="K38" s="3">
        <f>1234.4+(12.4-824.9)+(-1.259088+(-0.012648--0.841398))+0-0-0</f>
        <v>421.46966200000008</v>
      </c>
      <c r="L38" s="3">
        <f>1225.1+(10.2-826.7)+(-3.124005+(-0.02601--2.108085))+0-0-0</f>
        <v>407.55806999999993</v>
      </c>
      <c r="M38" s="3">
        <f>1237.2+(6.5-837.9)+(-0.630972+(-0.003315--0.427329))+0-0-0</f>
        <v>405.59304200000008</v>
      </c>
      <c r="N38" s="3">
        <f>1384.3+(0-903.4)+(-2.117979+(0--1.382202))+0-0-0</f>
        <v>480.16422299999999</v>
      </c>
      <c r="O38" s="3">
        <f>1466.1+(0-952)+(-0.747711+(0--0.48552))+0-0-0</f>
        <v>513.83780899999988</v>
      </c>
      <c r="P38" s="3">
        <f>1471.7+(0-925.9)+(-0.750567+(0--0.472209))+0-0-0</f>
        <v>545.52164200000004</v>
      </c>
      <c r="Q38" s="3">
        <f>1460+(0-915.7)+(-3.723+(0--2.335035))+0-0-0</f>
        <v>542.91203499999995</v>
      </c>
      <c r="R38" s="3">
        <f>1469.6+(0-947.6)+(-1.498992+(0--0.966552))+0-0-0</f>
        <v>521.46755999999993</v>
      </c>
      <c r="S38" s="3">
        <f>1473.7+(0-965.5)+(-0.751587+(0--0.492405))+0-0-0</f>
        <v>507.94081800000004</v>
      </c>
      <c r="T38" s="3">
        <f>1473+(0-982.9)+(-0.75123+(0--0.501279))+0-0-0</f>
        <v>489.85004900000001</v>
      </c>
      <c r="U38" s="3">
        <f>1459.6+(0-986.1)+(-3.72198+(0--2.514555))+0-0-0</f>
        <v>472.29257499999989</v>
      </c>
      <c r="V38" s="3">
        <f>1472.2+(0-994)+(-0.750822+(0--0.50694))+0-0-0</f>
        <v>477.95611800000006</v>
      </c>
      <c r="W38" s="3">
        <f>1464.7+(0-993)+(-3.734985+(0--2.53215))+0-0-0</f>
        <v>470.49716500000005</v>
      </c>
      <c r="X38" s="3">
        <f>1458.7+(0-1003.3)+(-2.231811+(0--1.535049))+0-0-0</f>
        <v>454.70323800000011</v>
      </c>
      <c r="Y38" s="3">
        <f>1408.9+(0-919.8)+(-2.874156+(0--1.876392))+0-0-0</f>
        <v>488.10223600000012</v>
      </c>
      <c r="Z38" s="3">
        <f>1442.8+(0-849.2)+(-1.471656+(0--0.866184))+0-0-0</f>
        <v>592.99452799999995</v>
      </c>
      <c r="AA38" s="3">
        <f>1442.6+(0-841.9)+(-2.942904+(0--1.717476))+0-0-0</f>
        <v>599.47457199999997</v>
      </c>
      <c r="AB38" s="3">
        <f>1419.9+(0-833.2)+(-3.620745+(0--2.12466))+0-0-0</f>
        <v>585.20391500000005</v>
      </c>
      <c r="AC38" s="3">
        <f>1308.2+(3.8-759.8)+(-2.001546+(-0.005814--1.162494))+0-0-0</f>
        <v>551.35513400000002</v>
      </c>
      <c r="AD38">
        <v>594.70000000000005</v>
      </c>
      <c r="AE38" s="3">
        <f>1444+(0-849.3)+(0+(0-0))+0-0-0</f>
        <v>594.70000000000005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1253.2+(11-757.1)+(-2.556528+(-0.02244--1.544484))+0-0-0</f>
        <v>506.065516</v>
      </c>
      <c r="G39" s="3">
        <f>1149.6+(19.7-713.6)+(-4.104072+(-0.070329--2.547552))+0-0-0</f>
        <v>454.07315099999994</v>
      </c>
      <c r="H39" s="3">
        <f>1067.2+(27.1-668.9)+(-4.354176+(-0.110568--2.729112))+0-0-0</f>
        <v>423.66436800000008</v>
      </c>
      <c r="I39" s="3">
        <f>985.3+(33.8-601.4)+(0.502503+(0.017238-0.306714))+0-0-0</f>
        <v>417.91302699999994</v>
      </c>
      <c r="J39" s="3">
        <f>965.6+(34.3-584.3)+(-1.969824+(-0.069972--1.191972))+0-0-0</f>
        <v>414.75217600000002</v>
      </c>
      <c r="K39" s="3">
        <f>969+(34.4-588.3)+(-0.98838+(-0.035088--0.600066))+0-0-0</f>
        <v>414.67659800000001</v>
      </c>
      <c r="L39" s="3">
        <f>967.6+(33.3-598.3)+(-0.986952+(-0.033966--0.610266))+0-0-0</f>
        <v>402.189348</v>
      </c>
      <c r="M39" s="3">
        <f>969.5+(25.4-568.4)+(-0.494445+(-0.012954--0.289884))+0-0-0</f>
        <v>426.28248500000001</v>
      </c>
      <c r="N39" s="3">
        <f>1074+(9.3-618.6)+(-1.09548+(-0.009486--0.630972))+0-0-0</f>
        <v>464.22600599999993</v>
      </c>
      <c r="O39" s="3">
        <f>1268.2+(0-759.6)+(-0.646782+(0--0.387396))+0-0-0</f>
        <v>508.34061400000002</v>
      </c>
      <c r="P39" s="3">
        <f>1261.8+(0-738.7)+(-1.930554+(0--1.130211))+0-0-0</f>
        <v>522.29965699999991</v>
      </c>
      <c r="Q39" s="3">
        <f>1271.1+(2.9-744.1)+(0+(0-0))+0-0-0</f>
        <v>529.89999999999986</v>
      </c>
      <c r="R39" s="3">
        <f>1250.9+(14.3-727.7)+(-3.827754+(-0.043758--2.226762))+0-0-0</f>
        <v>535.85524999999996</v>
      </c>
      <c r="S39" s="3">
        <f>1272+(14.3-754.3)+(0.64872+(0.007293-0.384693))+0-0-0</f>
        <v>532.27131999999995</v>
      </c>
      <c r="T39" s="3">
        <f>1265.5+(17.3-769.1)+(0+(0-0))+0-0-0</f>
        <v>513.69999999999993</v>
      </c>
      <c r="U39" s="3">
        <f>1197.5+(23-717.5)+(-1.832175+(-0.03519--1.097775))+0-0-0</f>
        <v>502.23041000000001</v>
      </c>
      <c r="V39" s="3">
        <f>1122.4+(30.5-673.4)+(-1.717272+(-0.046665--1.030302))+0-0-0</f>
        <v>478.76636500000012</v>
      </c>
      <c r="W39" s="3">
        <f>1011.3+(33-584.8)+(-1.547289+(-0.05049--0.894744))+0-0-0</f>
        <v>458.796965</v>
      </c>
      <c r="X39" s="3">
        <f>979.9+(16.5-549.2)+(-2.998494+(-0.05049--1.680552))+0-0-0</f>
        <v>445.83156799999995</v>
      </c>
      <c r="Y39" s="3">
        <f>1000.1+(21.6-549.1)+(-2.040204+(-0.044064--1.120164))+0-0-0</f>
        <v>471.635896</v>
      </c>
      <c r="Z39" s="3">
        <f>1242.2+(4.4-659.6)+(-2.534088+(-0.008976--1.345584))+0-0-0</f>
        <v>585.80251999999996</v>
      </c>
      <c r="AA39" s="3">
        <f>1259+(21.2-670.3)+(-1.92627+(-0.032436--1.025559))+0-0-0</f>
        <v>608.96685300000013</v>
      </c>
      <c r="AB39" s="3">
        <f>1257.7+(7.3-675)+(-2.565708+(-0.014892--1.377))+0-0-0</f>
        <v>588.79639999999995</v>
      </c>
      <c r="AC39" s="3">
        <f>1258.5+(1.3-711.5)+(-1.925505+(-0.001989--1.088595))+0-0-0</f>
        <v>547.46110099999999</v>
      </c>
      <c r="AD39">
        <v>550.29999999999995</v>
      </c>
      <c r="AE39" s="3">
        <f>1247+(0-696.7)+(0+(0-0))+0-0-0</f>
        <v>550.29999999999995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1256.3+(1.3-761.9)+(-1.281426+(-0.001326--0.777138))+0-0-0</f>
        <v>495.19438599999995</v>
      </c>
      <c r="G40" s="3">
        <f>1248.1+(6-796.4)+(-3.182655+(-0.0153--2.03082))+0-0-0</f>
        <v>456.53286499999996</v>
      </c>
      <c r="H40" s="3">
        <f>1093.2+(11.9-675.9)+(-1.672596+(-0.018207--1.034127))+0-0-0</f>
        <v>428.54332400000004</v>
      </c>
      <c r="I40" s="3">
        <f>994.6+(16.3-595)+(-0.507246+(-0.008313--0.30345))+0-0-0</f>
        <v>415.68789099999998</v>
      </c>
      <c r="J40" s="3">
        <f>975.8+(19.4-592.2)+(-2.985948+(-0.059364--1.812132))+0-0-0</f>
        <v>401.76681999999988</v>
      </c>
      <c r="K40" s="3">
        <f>979.3+(18.3-605.6)+(-1.997772+(-0.037332--1.235424))+0-0-0</f>
        <v>391.20031999999986</v>
      </c>
      <c r="L40" s="3">
        <f>983+(22.5-631.7)+(-1.50399+(-0.034425--0.966501))+0-0-0</f>
        <v>373.22808599999996</v>
      </c>
      <c r="M40" s="3">
        <f>986+(26.2-638.5)+(-0.50286+(-0.013362--0.325635))+0-0-0</f>
        <v>373.50941300000005</v>
      </c>
      <c r="N40" s="3">
        <f>1075+(24.2-711.6)+(-1.0965+(-0.024684--0.725832))+0-0-0</f>
        <v>387.20464800000002</v>
      </c>
      <c r="O40" s="3">
        <f>1246.1+(14.5-817.3)+(0+(0-0))+0-0-0</f>
        <v>443.29999999999995</v>
      </c>
      <c r="P40" s="3">
        <f>1228.5+(23.9-783)+(-1.879605+(-0.036567--1.19799))+0-0-0</f>
        <v>468.68181799999996</v>
      </c>
      <c r="Q40" s="3">
        <f>1240.8+(38.1-795.4)+(-1.898424+(-0.058293--1.216962))+0-0-0</f>
        <v>482.760245</v>
      </c>
      <c r="R40" s="3">
        <f>1250.1+(41.8-815.6)+(-1.275102+(-0.042636--0.831912))+0-0-0</f>
        <v>475.81417399999987</v>
      </c>
      <c r="S40" s="3">
        <f>1241.1+(40.4-827.8)+(-2.531844+(-0.082416--1.688712))+0-0-0</f>
        <v>452.77445199999994</v>
      </c>
      <c r="T40" s="3">
        <f>1238.3+(39-862.4)+(-1.263066+(-0.03978--0.879648))+0-0-0</f>
        <v>414.47680199999996</v>
      </c>
      <c r="U40" s="3">
        <f>1179.6+(31.2-818.2)+(-1.804788+(-0.047736--1.251846))+0-0-0</f>
        <v>391.99932199999989</v>
      </c>
      <c r="V40" s="3">
        <f>1091+(21.3-720)+(-1.11282+(-0.021726--0.7344))+0-0-0</f>
        <v>391.89985399999995</v>
      </c>
      <c r="W40" s="3">
        <f>1077.2+(17.7-693.8)+(-2.74686+(-0.045135--1.76919))+0-0-0</f>
        <v>400.07719500000013</v>
      </c>
      <c r="X40" s="3">
        <f>981.6+(25-583.6)+(-2.002464+(-0.051--1.190544))+0-0-0</f>
        <v>422.13708000000003</v>
      </c>
      <c r="Y40" s="3">
        <f>1097+(22.7-668.2)+(-1.67841+(-0.034731--1.022346))+0-0-0</f>
        <v>450.80920500000002</v>
      </c>
      <c r="Z40" s="3">
        <f>1240.4+(21.6-706.6)+(-2.530416+(-0.044064--1.441464))+0-0-0</f>
        <v>554.26698400000009</v>
      </c>
      <c r="AA40" s="3">
        <f>1168.1+(12.2-616.8)+(-1.191462+(-0.012444--0.629136))+0-0-0</f>
        <v>562.92523000000006</v>
      </c>
      <c r="AB40" s="3">
        <f>1157.8+(8.4-613.6)+(-1.771434+(-0.012852--0.938808))+0-0-0</f>
        <v>551.75452199999995</v>
      </c>
      <c r="AC40" s="3">
        <f>1163.3+(26.5-665.9)+(-0.593283+(-0.013515--0.339609))+0-0-0</f>
        <v>523.63281099999995</v>
      </c>
      <c r="AD40">
        <v>531.19999999999993</v>
      </c>
      <c r="AE40" s="3">
        <f>1241+(18.8-728.6)+(0+(0-0))+0-0-0</f>
        <v>531.19999999999993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1156.4+(42.2-742.5)+(-1.179528+(-0.043044--0.75735))+0-0-0</f>
        <v>455.63477800000015</v>
      </c>
      <c r="G41" s="3">
        <f>1154.2+(50.3-786.9)+(-2.354568+(-0.102612--1.605276))+0-0-0</f>
        <v>416.74809600000003</v>
      </c>
      <c r="H41" s="3">
        <f>993.7+(44-653.3)+(-1.520361+(-0.06732--0.999549))+0-0-0</f>
        <v>383.81186800000012</v>
      </c>
      <c r="I41" s="3">
        <f>988.9+(23.6-631.5)+(-0.504339+(-0.012036--0.322065))+0-0-0</f>
        <v>380.80569000000003</v>
      </c>
      <c r="J41" s="3">
        <f>973.7+(25.8-622.2)+(-3.476109+(-0.092106--2.221254))+0-0-0</f>
        <v>375.95303899999993</v>
      </c>
      <c r="K41" s="3">
        <f>975.6+(28.8-625.3)+(-2.985336+(-0.088128--1.913418))+0-0-0</f>
        <v>377.939954</v>
      </c>
      <c r="L41" s="3">
        <f>981.4+(29-631.3)+(-2.002056+(-0.05916--1.287852))+0-0-0</f>
        <v>378.32663600000001</v>
      </c>
      <c r="M41" s="3">
        <f>1074.1+(34.3-698.6)+(-0.547791+(-0.017493--0.356286))+0-0-0</f>
        <v>409.59100199999983</v>
      </c>
      <c r="N41" s="3">
        <f>1247.8+(39-828.4)+(-1.272756+(-0.03978--0.844968))+0-0-0</f>
        <v>457.93243199999995</v>
      </c>
      <c r="O41" s="3">
        <f>1243.6+(21.8-783.6)+(-1.902708+(-0.033354--1.198908))+0-0-0</f>
        <v>481.06284599999987</v>
      </c>
      <c r="P41" s="3">
        <f>1267.7+(50.4-814)+(-0.646527+(-0.025704--0.41514))+0-0-0</f>
        <v>503.84290900000002</v>
      </c>
      <c r="Q41" s="3">
        <f>1271.8+(68.2-821.9)+(0+(0-0))+0-0-0</f>
        <v>518.1</v>
      </c>
      <c r="R41" s="3">
        <f>1280.1+(66-827.4)+(-0.652851+(-0.03366--0.421974))+0-0-0</f>
        <v>518.43546299999991</v>
      </c>
      <c r="S41" s="3">
        <f>1266+(66.5-818.5)+(-0.64566+(-0.033915--0.417435))+0-0-0</f>
        <v>513.73785999999996</v>
      </c>
      <c r="T41" s="3">
        <f>1260.4+(71.7-841)+(-1.928412+(-0.109701--1.28673))+0-0-0</f>
        <v>490.34861700000016</v>
      </c>
      <c r="U41" s="3">
        <f>1253.6+(69.9-850.8)+(-1.918008+(-0.106947--1.301724))+0-0-0</f>
        <v>471.97676899999993</v>
      </c>
      <c r="V41" s="3">
        <f>1254.5+(75.5-849.6)+(-1.27959+(-0.07701--0.866592))+0-0-0</f>
        <v>479.90999199999999</v>
      </c>
      <c r="W41" s="3">
        <f>1249.8+(76.1-831.7)+(-1.912194+(-0.116433--1.272501))+0-0-0</f>
        <v>493.44387399999994</v>
      </c>
      <c r="X41" s="3">
        <f>1242.6+(52.2-784)+(-2.534904+(-0.106488--1.59936))+0-0-0</f>
        <v>509.75796799999995</v>
      </c>
      <c r="Y41" s="3">
        <f>1252.7+(34-748.9)+(-0.638877+(-0.01734--0.381939))+0-0-0</f>
        <v>537.52572200000009</v>
      </c>
      <c r="Z41" s="3">
        <f>1258.9+(35.1-677.3)+(-3.852234+(-0.107406--2.072538))+0-0-0</f>
        <v>614.81289800000013</v>
      </c>
      <c r="AA41" s="3">
        <f>1254.4+(49.1-688.3)+(-2.558976+(-0.100164--1.404132))+0-0-0</f>
        <v>613.94499200000018</v>
      </c>
      <c r="AB41" s="3">
        <f>1242+(20.3-691.2)+(-3.1671+(-0.051765--1.76256))+0-0-0</f>
        <v>569.64369499999987</v>
      </c>
      <c r="AC41" s="3">
        <f>1260.3+(19.4-754.6)+(-2.571012+(-0.039576--1.539384))+0-0-0</f>
        <v>524.02879599999994</v>
      </c>
      <c r="AD41">
        <v>621.6</v>
      </c>
      <c r="AE41" s="3">
        <f>1277+(63.7-719.1)+(0+(0-0))+0-0-0</f>
        <v>621.6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1305.8+(24.2-852.4)+(-1.997874+(-0.037026--1.304172))+0-0-0</f>
        <v>476.86927200000002</v>
      </c>
      <c r="G42" s="3">
        <f>1168.8+(44.2-788.6)+(-3.576528+(-0.135252--2.413116))+0-0-0</f>
        <v>423.101336</v>
      </c>
      <c r="H42" s="3">
        <f>1022.6+(66.1-684)+(-2.086104+(-0.134844--1.39536))+0-0-0</f>
        <v>403.87441200000006</v>
      </c>
      <c r="I42" s="3">
        <f>1029.4+(74-711.4)+(0.524994+(0.03774-0.362814))+0-0-0</f>
        <v>392.19992000000013</v>
      </c>
      <c r="J42" s="3">
        <f>1027.9+(78.9-716)+(0.524229+(0.040239-0.36516))+0-0-0</f>
        <v>390.99930800000004</v>
      </c>
      <c r="K42" s="3">
        <f>1028.3+(78.4-713.6)+(0+(0-0))+0-0-0</f>
        <v>393.09999999999991</v>
      </c>
      <c r="L42" s="3">
        <f>1016.6+(68.5-696.8)+(-2.59233+(-0.174675--1.77684))+0-0-0</f>
        <v>387.30983500000008</v>
      </c>
      <c r="M42" s="3">
        <f>1019.5+(56.1-666.8)+(-1.559835+(-0.085833--1.020204))+0-0-0</f>
        <v>408.17453600000005</v>
      </c>
      <c r="N42" s="3">
        <f>1043.4+(40.4-646.2)+(-2.128536+(-0.082416--1.318248))+0-0-0</f>
        <v>436.70729600000004</v>
      </c>
      <c r="O42" s="3">
        <f>1177.1+(54.2-748)+(0+(0-0))+0-0-0</f>
        <v>483.29999999999995</v>
      </c>
      <c r="P42" s="3">
        <f>1205.5+(21.9-745.7)+(-1.22961+(-0.022338--0.760614))+0-0-0</f>
        <v>481.20866599999994</v>
      </c>
      <c r="Q42" s="3">
        <f>1251.5+(15.1-761.6)+(-1.914795+(-0.023103--1.165248))+0-0-0</f>
        <v>504.22735</v>
      </c>
      <c r="R42" s="3">
        <f>1259.1+(25.5-774.1)+(-3.852846+(-0.07803--2.368746))+0-0-0</f>
        <v>508.93786999999986</v>
      </c>
      <c r="S42" s="3">
        <f>1297.1+(19.5-816.9)+(-2.646084+(-0.03978--1.666476))+0-0-0</f>
        <v>498.68061199999994</v>
      </c>
      <c r="T42" s="3">
        <f>1322.6+(15.3-865)+(-4.047156+(-0.046818--2.6469))+0-0-0</f>
        <v>471.45292599999988</v>
      </c>
      <c r="U42" s="3">
        <f>1326.4+(13.8-861.6)+(-2.705856+(-0.028152--1.757664))+0-0-0</f>
        <v>477.62365600000004</v>
      </c>
      <c r="V42" s="3">
        <f>1324.5+(16.4-858.9)+(-3.377475+(-0.04182--2.190195))+0-0-0</f>
        <v>480.77089999999998</v>
      </c>
      <c r="W42" s="3">
        <f>1325.4+(18.1-854.4)+(-2.703816+(-0.036924--1.742976))+0-0-0</f>
        <v>488.10223600000012</v>
      </c>
      <c r="X42" s="3">
        <f>1315.4+(20.5-836.3)+(-4.695978+(-0.073185--2.985591))+0-0-0</f>
        <v>497.81642800000014</v>
      </c>
      <c r="Y42" s="3">
        <f>1286.6+(29.5-793.9)+(0+(0-0))+0-0-0</f>
        <v>522.19999999999993</v>
      </c>
      <c r="Z42" s="3">
        <f>1463.5+(18-864.1)+(-3.731925+(-0.0459--2.203455))+0-0-0</f>
        <v>615.82562999999993</v>
      </c>
      <c r="AA42" s="3">
        <f>1377.2+(16.5-771.3)+(-2.809488+(-0.03366--1.573452))+0-0-0</f>
        <v>621.13030400000014</v>
      </c>
      <c r="AB42" s="3">
        <f>1243.8+(12.5-677.6)+(-1.268676+(-0.01275--0.691152))+0-0-0</f>
        <v>578.10972599999991</v>
      </c>
      <c r="AC42" s="3">
        <f>1242.2+(13.8-731.9)+(-1.267044+(-0.014076--0.746538))+0-0-0</f>
        <v>523.56541800000002</v>
      </c>
      <c r="AD42">
        <v>647.60000000000014</v>
      </c>
      <c r="AE42" s="3">
        <f>1463+(14.9-830.3)+(0+(0-0))+0-0-0</f>
        <v>647.6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1167.8+(20.8-711.4)+(-3.573468+(-0.063648--2.176884))+0-0-0</f>
        <v>475.73976799999991</v>
      </c>
      <c r="G43" s="3">
        <f>1114.4+(20.1-703.8)+(-2.273376+(-0.041004--1.435752))+0-0-0</f>
        <v>429.82137200000017</v>
      </c>
      <c r="H43" s="3">
        <f>1122.4+(23.1-726.4)+(-1.144848+(-0.023562--0.740928))+0-0-0</f>
        <v>418.67251800000014</v>
      </c>
      <c r="I43" s="3">
        <f>1119.3+(23.9-729.8)+(-1.712529+(-0.036567--1.116594))+0-0-0</f>
        <v>412.76749799999999</v>
      </c>
      <c r="J43" s="3">
        <f>1147.7+(25.3-761.9)+(-0.585327+(-0.012903--0.388569))+0-0-0</f>
        <v>410.89033900000004</v>
      </c>
      <c r="K43" s="3">
        <f>1231.3+(24.9-840.9)+(-2.511852+(-0.050796--1.715436))+0-0-0</f>
        <v>414.45278799999994</v>
      </c>
      <c r="L43" s="3">
        <f>1142+(28-777.7)+(-3.49452+(-0.08568--2.379762))+0-0-0</f>
        <v>391.09956199999993</v>
      </c>
      <c r="M43" s="3">
        <f>1118.3+(29.2-738.1)+(-1.140666+(-0.029784--0.752862))+0-0-0</f>
        <v>408.98241199999995</v>
      </c>
      <c r="N43" s="3">
        <f>1406.2+(16.3-941.4)+(-2.151486+(-0.024939--1.440342))+0-0-0</f>
        <v>480.36391700000001</v>
      </c>
      <c r="O43" s="3">
        <f>1436.4+(24.7-950)+(-2.197692+(-0.037791--1.4535))+0-0-0</f>
        <v>510.31801700000011</v>
      </c>
      <c r="P43" s="3">
        <f>1433.5+(30.8-941.4)+(-2.92434+(-0.062832--1.920456))+0-0-0</f>
        <v>521.83328399999994</v>
      </c>
      <c r="Q43" s="3">
        <f>1393.9+(20.4-878.5)+(-2.132667+(-0.031212--1.344105))+0-0-0</f>
        <v>534.98022600000002</v>
      </c>
      <c r="R43" s="3">
        <f>1353+(8.2-832.7)+(-3.45015+(-0.02091--2.123385))+0-0-0</f>
        <v>527.15232500000002</v>
      </c>
      <c r="S43" s="3">
        <f>1286.2+(8.7-777.4)+(-0.655962+(-0.004437--0.396474))+0-0-0</f>
        <v>517.23607500000014</v>
      </c>
      <c r="T43" s="3">
        <f>1278+(15.2-789.7)+(-1.95534+(-0.023256--1.208241))+0-0-0</f>
        <v>502.729645</v>
      </c>
      <c r="U43" s="3">
        <f>1280.3+(16.1-804)+(-3.264765+(-0.041055--2.0502))+0-0-0</f>
        <v>491.14437999999996</v>
      </c>
      <c r="V43" s="3">
        <f>1309.2+(14.5-831.5)+(-3.33846+(-0.036975--2.120325))+0-0-0</f>
        <v>490.94489000000004</v>
      </c>
      <c r="W43" s="3">
        <f>1325.6+(25.3-834.1)+(-2.704224+(-0.051612--1.701564))+0-0-0</f>
        <v>515.74572799999987</v>
      </c>
      <c r="X43" s="3">
        <f>1185.3+(35.9-716.8)+(-3.022515+(-0.091545--1.82784))+0-0-0</f>
        <v>503.11377999999996</v>
      </c>
      <c r="Y43" s="3">
        <f>1092.8+(43.2-618)+(0.557328+(0.022032-0.31518))+0-0-0</f>
        <v>518.26418000000001</v>
      </c>
      <c r="Z43" s="3">
        <f>1360.5+(15.6-752.4)+(-1.38771+(-0.015912--0.767448))+0-0-0</f>
        <v>623.06382600000006</v>
      </c>
      <c r="AA43" s="3">
        <f>1417+(8.5-775.1)+(-4.33602+(-0.02601--2.371806))+0-0-0</f>
        <v>648.40977599999997</v>
      </c>
      <c r="AB43" s="3">
        <f>1412.9+(12.8-811.6)+(-5.044053+(-0.045696--2.897412))+0-0-0</f>
        <v>611.90766300000007</v>
      </c>
      <c r="AC43" s="3">
        <f>1444.5+(18.6-898.1)+(-2.210085+(-0.028458--1.374093))+0-0-0</f>
        <v>564.13554999999997</v>
      </c>
      <c r="AD43">
        <v>646.19999999999993</v>
      </c>
      <c r="AE43" s="3">
        <f>1424+(7.3-785.1)+(0+(0-0))+0-0-0</f>
        <v>646.19999999999993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1294.5+(44.6-800)+(0+(0-0))+0-0-0</f>
        <v>539.1</v>
      </c>
      <c r="G44" s="3">
        <f>1080.2+(55-680.5)+(0+(0-0))+0-0-0</f>
        <v>454.70000000000005</v>
      </c>
      <c r="H44" s="3">
        <f>1097.7+(50.4-707.1)+(0+(0-0))+0-0-0</f>
        <v>441</v>
      </c>
      <c r="I44" s="3">
        <f>1085.1+(52-710.6)+(0+(0-0))+0-0-0</f>
        <v>426.49999999999989</v>
      </c>
      <c r="J44" s="3">
        <f>1085.2+(56.6-710.8)+(-1.660356+(-0.086598--1.087524))+0-0-0</f>
        <v>430.34057000000013</v>
      </c>
      <c r="K44" s="3">
        <f>1087.9+(50.9-707.6)+(-1.109658+(-0.051918--0.721752))+0-0-0</f>
        <v>430.76017600000006</v>
      </c>
      <c r="L44" s="3">
        <f>1096.8+(23.3-704.1)+(1.118736+(0.023766-0.718182))+0-0-0</f>
        <v>416.42431999999991</v>
      </c>
      <c r="M44" s="3">
        <f>1096.8+(23-676.6)+(1.118736+(0.02346-0.690132))+0-0-0</f>
        <v>443.65206399999994</v>
      </c>
      <c r="N44" s="3">
        <f>1266+(21.1-845.4)+(-0.64566+(-0.010761--0.431154))+0-0-0</f>
        <v>441.47473300000007</v>
      </c>
      <c r="O44" s="3">
        <f>1454+(19.4-935.2)+(0+(0-0))+0-0-0</f>
        <v>538.19999999999993</v>
      </c>
      <c r="P44" s="3">
        <f>1443.6+(18-923.3)+(0+(0-0))+0-0-0</f>
        <v>538.29999999999995</v>
      </c>
      <c r="Q44" s="3">
        <f>1439+(48.9-929.2)+(-2.93556+(-0.099756--1.895568))+0-0-0</f>
        <v>557.56025199999988</v>
      </c>
      <c r="R44" s="3">
        <f>1440.4+(47.5-951)+(-0.734604+(-0.024225--0.48501))+0-0-0</f>
        <v>536.62618100000009</v>
      </c>
      <c r="S44" s="3">
        <f>1435.5+(43.4-963.6)+(0+(0-0))+0-0-0</f>
        <v>515.29999999999995</v>
      </c>
      <c r="T44" s="3">
        <f>1429.9+(50.1-992.7)+(-0.729249+(-0.025551--0.506277))+0-0-0</f>
        <v>487.05147700000009</v>
      </c>
      <c r="U44" s="3">
        <f>1405.3+(51-979.3)+(-5.016921+(-0.18207--3.496101))+0-0-0</f>
        <v>475.29710999999998</v>
      </c>
      <c r="V44" s="3">
        <f>1404.4+(35.3-969.3)+(-4.297464+(-0.108018--2.966058))+0-0-0</f>
        <v>468.96057600000012</v>
      </c>
      <c r="W44" s="3">
        <f>1402.8+(19.2-944.9)+(-5.007996+(-0.068544--3.373293))+0-0-0</f>
        <v>475.39675300000005</v>
      </c>
      <c r="X44" s="3">
        <f>1262.4+(31-812.4)+(-3.21912+(-0.07905--2.07162))+0-0-0</f>
        <v>479.77345000000014</v>
      </c>
      <c r="Y44" s="3">
        <f>1238.6+(35.3-763.5)+(-3.15843+(-0.090015--1.946925))+0-0-0</f>
        <v>509.09847999999988</v>
      </c>
      <c r="Z44" s="3">
        <f>1250.6+(22.1-645.8)+(-2.551224+(-0.045084--1.317432))+0-0-0</f>
        <v>625.62112400000001</v>
      </c>
      <c r="AA44" s="3">
        <f>1299.6+(28.4-698)+(-2.651184+(-0.057936--1.42392))+0-0-0</f>
        <v>628.71479999999985</v>
      </c>
      <c r="AB44" s="3">
        <f>1336+(18.9-748.9)+(0.68136+(0.009639-0.381939))+0-0-0</f>
        <v>606.30906000000004</v>
      </c>
      <c r="AC44" s="3">
        <f>1327.8+(24.2-797.5)+(-1.354356+(-0.024684--0.81345))+0-0-0</f>
        <v>553.93440999999996</v>
      </c>
      <c r="AD44">
        <v>640.80000000000007</v>
      </c>
      <c r="AE44" s="3">
        <f>1257+(17.9-634.1)+(0+(0-0))+0-0-0</f>
        <v>640.79999999999995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1329.7+(21.4-851.7)+(0+(0-0))+0-0-0</f>
        <v>499.4</v>
      </c>
      <c r="G45" s="3">
        <f>1266.7+(33.6-843.8)+(-1.292034+(-0.034272--0.860676))+0-0-0</f>
        <v>456.03437000000014</v>
      </c>
      <c r="H45" s="3">
        <f>1242.9+(39-851)+(0+(0-0))+0-0-0</f>
        <v>430.90000000000009</v>
      </c>
      <c r="I45" s="3">
        <f>1227.8+(40.6-842.3)+(-1.878534+(-0.062118--1.288719))+0-0-0</f>
        <v>425.44806700000004</v>
      </c>
      <c r="J45" s="3">
        <f>1168+(44-791)+(1.19136+(0.04488-0.80682))+0-0-0</f>
        <v>421.42941999999999</v>
      </c>
      <c r="K45" s="3">
        <f>1153.4+(43.4-777)+(-2.352936+(-0.088536--1.58508))+0-0-0</f>
        <v>418.94360800000004</v>
      </c>
      <c r="L45" s="3">
        <f>1160.6+(44-806.2)+(-0.591906+(-0.02244--0.411162))+0-0-0</f>
        <v>398.19681599999984</v>
      </c>
      <c r="M45" s="3">
        <f>1166.1+(39.8-780.5)+(-0.594711+(-0.020298--0.398055))+0-0-0</f>
        <v>425.18304599999988</v>
      </c>
      <c r="N45" s="3">
        <f>1320.8+(23.1-858.2)+(-0.673608+(-0.011781--0.437682))+0-0-0</f>
        <v>485.45229299999994</v>
      </c>
      <c r="O45" s="3">
        <f>1324.3+(20.7-835.8)+(-1.350786+(-0.021114--0.852516))+0-0-0</f>
        <v>508.68061600000004</v>
      </c>
      <c r="P45" s="3">
        <f>1320.2+(17.9-822.2)+(-2.019906+(-0.027387--1.257966))+0-0-0</f>
        <v>515.11067300000002</v>
      </c>
      <c r="Q45" s="3">
        <f>1333+(15-824.6)+(0+(0-0))+0-0-0</f>
        <v>523.4</v>
      </c>
      <c r="R45" s="3">
        <f>1321.4+(17.3-836.1)+(-3.36957+(-0.044115--2.132055))+0-0-0</f>
        <v>501.31837000000002</v>
      </c>
      <c r="S45" s="3">
        <f>1334.2+(19.2-857.1)+(0+(0-0))+0-0-0</f>
        <v>496.30000000000007</v>
      </c>
      <c r="T45" s="3">
        <f>1375.5+(39.3-924.6)+(-2.80602+(-0.080172--1.886184))+0-0-0</f>
        <v>489.19999199999995</v>
      </c>
      <c r="U45" s="3">
        <f>1410.2+(41.7-961.5)+(-3.59601+(-0.106335--2.451825))+0-0-0</f>
        <v>489.1494800000001</v>
      </c>
      <c r="V45" s="3">
        <f>1405.4+(43.8-961.5)+(-2.150262+(-0.067014--1.471095))+0-0-0</f>
        <v>486.95381900000007</v>
      </c>
      <c r="W45" s="3">
        <f>1330.6+(25.4-862.8)+(-2.035818+(-0.038862--1.320084))+0-0-0</f>
        <v>492.44540399999994</v>
      </c>
      <c r="X45" s="3">
        <f>1243.6+(26.5-783.7)+(-3.17118+(-0.067575--1.998435))+0-0-0</f>
        <v>485.15967999999987</v>
      </c>
      <c r="Y45" s="3">
        <f>1257+(31-813.7)+(-1.92321+(-0.04743--1.244961))+0-0-0</f>
        <v>473.57432099999994</v>
      </c>
      <c r="Z45" s="3">
        <f>1416.8+(20.6-827.9)+(-0.722568+(-0.010506--0.422229))+0-0-0</f>
        <v>609.18915500000003</v>
      </c>
      <c r="AA45" s="3">
        <f>1417.5+(12.1-788.2)+(-2.8917+(-0.024684--1.607928))+0-0-0</f>
        <v>640.091544</v>
      </c>
      <c r="AB45" s="3">
        <f>1385+(10.6-795.6)+(-3.53175+(-0.02703--2.02878))+0-0-0</f>
        <v>598.47</v>
      </c>
      <c r="AC45" s="3">
        <f>1317.2+(16-779.6)+(-2.015316+(-0.02448--1.192788))+0-0-0</f>
        <v>552.75299200000006</v>
      </c>
      <c r="AD45">
        <v>636.20000000000005</v>
      </c>
      <c r="AE45" s="3">
        <f>1415+(9.9-788.7)+(0+(0-0))+0-0-0</f>
        <v>636.19999999999993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1203.8+(26.3-704.7)+(-2.455752+(-0.053652--1.437588))+0-0-0</f>
        <v>524.32818399999985</v>
      </c>
      <c r="G46" s="3">
        <f>1146.8+(39-711.9)+(-0.584868+(-0.01989--0.363069))+0-0-0</f>
        <v>473.65831099999997</v>
      </c>
      <c r="H46" s="3">
        <f>1059.7+(47.2-665.4)+(-0.540447+(-0.024072--0.339354))+0-0-0</f>
        <v>441.27483500000011</v>
      </c>
      <c r="I46" s="3">
        <f>969.1+(65-600.9)+(-0.494241+(-0.03315--0.306459))+0-0-0</f>
        <v>432.97906800000004</v>
      </c>
      <c r="J46" s="3">
        <f>849.9+(86.2-511.6)+(-1.733796+(-0.175848--1.043664))+0-0-0</f>
        <v>423.63401999999996</v>
      </c>
      <c r="K46" s="3">
        <f>844+(83.9-504.4)+(-3.44352+(-0.342312--2.057952))+0-0-0</f>
        <v>421.77211999999997</v>
      </c>
      <c r="L46" s="3">
        <f>850.5+(74-515.2)+(-1.301265+(-0.11322--0.788256))+0-0-0</f>
        <v>408.67377099999993</v>
      </c>
      <c r="M46" s="3">
        <f>853.1+(64.7-485.2)+(0+(0-0))+0-0-0</f>
        <v>432.6</v>
      </c>
      <c r="N46" s="3">
        <f>854.1+(47.4-435.2)+(0+(0-0))+0-0-0</f>
        <v>466.3</v>
      </c>
      <c r="O46" s="3">
        <f>859.5+(42.3-394.1)+(0.438345+(0.021573-0.200991))+0-0-0</f>
        <v>507.95892700000002</v>
      </c>
      <c r="P46" s="3">
        <f>856.2+(45.4-373.2)+(-1.309986+(-0.069462--0.570996))+0-0-0</f>
        <v>527.5915480000001</v>
      </c>
      <c r="Q46" s="3">
        <f>988.5+(59-522.3)+(-1.512405+(-0.09027--0.799119))+0-0-0</f>
        <v>524.39644400000009</v>
      </c>
      <c r="R46" s="3">
        <f>995.5+(60.5-542.4)+(-1.523115+(-0.092565--0.829872))+0-0-0</f>
        <v>512.81419200000005</v>
      </c>
      <c r="S46" s="3">
        <f>985.7+(36.7-519.1)+(-1.005414+(-0.037434--0.529482))+0-0-0</f>
        <v>502.78663399999999</v>
      </c>
      <c r="T46" s="3">
        <f>994.4+(41-538.8)+(0.507144+(0.02091-0.274788))+0-0-0</f>
        <v>496.85326600000002</v>
      </c>
      <c r="U46" s="3">
        <f>984.5+(44-535.1)+(-1.506285+(-0.06732--0.818703))+0-0-0</f>
        <v>492.64509799999996</v>
      </c>
      <c r="V46" s="3">
        <f>987.7+(51.9-538.4)+(-2.014908+(-0.105876--1.098336))+0-0-0</f>
        <v>500.17755200000005</v>
      </c>
      <c r="W46" s="3">
        <f>991.9+(63.3-562.1)+(-1.517607+(-0.096849--0.860013))+0-0-0</f>
        <v>492.34555699999999</v>
      </c>
      <c r="X46" s="3">
        <f>980.4+(55-540)+(-2.000016+(-0.1122--1.1016))+0-0-0</f>
        <v>494.38938399999995</v>
      </c>
      <c r="Y46" s="3">
        <f>949.3+(53.9-507.5)+(-0.484143+(-0.027489--0.258825))+0-0-0</f>
        <v>495.44719299999991</v>
      </c>
      <c r="Z46" s="3">
        <f>1063.3+(65.3-508.5)+(-2.711415+(-0.166515--1.296675))+0-0-0</f>
        <v>618.51874499999985</v>
      </c>
      <c r="AA46" s="3">
        <f>1082.1+(50.1-507.6)+(-1.655613+(-0.076653--0.776628))+0-0-0</f>
        <v>623.64436199999989</v>
      </c>
      <c r="AB46" s="3">
        <f>1082+(52.1-528.8)+(-1.65546+(-0.079713--0.809064))+0-0-0</f>
        <v>604.37389100000007</v>
      </c>
      <c r="AC46" s="3">
        <f>1084.4+(57.9-583.4)+(-1.106088+(-0.059058--0.595068))+0-0-0</f>
        <v>558.32992200000012</v>
      </c>
      <c r="AD46">
        <v>612.20000000000005</v>
      </c>
      <c r="AE46" s="3">
        <f>1095+(49-531.8)+(0+(0-0))+0-0-0</f>
        <v>612.20000000000005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1066.9+(61.5-627.5)+(-1.632357+(-0.094095--0.960075))+0-0-0</f>
        <v>500.13362300000011</v>
      </c>
      <c r="G47" s="3">
        <f>1055.4+(27.3-630.9)+(-1.614762+(-0.041769--0.965277))+0-0-0</f>
        <v>451.10874600000005</v>
      </c>
      <c r="H47" s="3">
        <f>1062.8+(10.1-648.7)+(0+(0-0))+0-0-0</f>
        <v>424.19999999999993</v>
      </c>
      <c r="I47" s="3">
        <f>1044.7+(6.8-630.3)+(-2.663985+(-0.01734--1.607265))+0-0-0</f>
        <v>420.12594000000007</v>
      </c>
      <c r="J47" s="3">
        <f>1054.6+(9.1-651)+(1.075692+(0.009282-0.66402))+0-0-0</f>
        <v>413.12095399999993</v>
      </c>
      <c r="K47" s="3">
        <f>1042.8+(30.1-665.8)+(-2.127312+(-0.061404--1.358232))+0-0-0</f>
        <v>406.26951600000001</v>
      </c>
      <c r="L47" s="3">
        <f>891.8+(19.5-545.8)+(0.454818+(0.009945-0.278358))+0-0-0</f>
        <v>365.68640499999998</v>
      </c>
      <c r="M47" s="3">
        <f>881.9+(20.6-539.8)+(0+(0-0))+0-0-0</f>
        <v>362.70000000000005</v>
      </c>
      <c r="N47" s="3">
        <f>886.7+(15-506.1)+(-0.452217+(-0.00765--0.258111))+0-0-0</f>
        <v>395.39824400000003</v>
      </c>
      <c r="O47" s="3">
        <f>891.2+(18.6-480.6)+(0+(0-0))+0-0-0</f>
        <v>429.20000000000005</v>
      </c>
      <c r="P47" s="3">
        <f>893.4+(53.8-478.5)+(-0.455634+(-0.027438--0.244035))+0-0-0</f>
        <v>468.46096299999999</v>
      </c>
      <c r="Q47" s="3">
        <f>989.3+(36.4-538.8)+(0.504543+(0.018564-0.274788))+0-0-0</f>
        <v>487.14831899999996</v>
      </c>
      <c r="R47" s="3">
        <f>1014.2+(40.5-572)+(-1.034484+(-0.04131--0.58344))+0-0-0</f>
        <v>482.20764600000007</v>
      </c>
      <c r="S47" s="3">
        <f>1010.6+(56.1-583.6)+(-1.030812+(-0.057222--0.595272))+0-0-0</f>
        <v>482.607238</v>
      </c>
      <c r="T47" s="3">
        <f>998.3+(52-568.5)+(-1.527399+(-0.07956--0.869805))+0-0-0</f>
        <v>481.06284599999998</v>
      </c>
      <c r="U47" s="3">
        <f>998.1+(50.9-584)+(-2.036124+(-0.103836--1.19136))+0-0-0</f>
        <v>464.0514</v>
      </c>
      <c r="V47" s="3">
        <f>991.2+(54.2-586.6)+(-2.52756+(-0.13821--1.49583))+0-0-0</f>
        <v>457.63006000000007</v>
      </c>
      <c r="W47" s="3">
        <f>991.5+(50.6-596.1)+(-2.02266+(-0.103224--1.216044))+0-0-0</f>
        <v>445.09016000000003</v>
      </c>
      <c r="X47" s="3">
        <f>992.1+(50.5-604.2)+(-2.529855+(-0.128775--1.54071))+0-0-0</f>
        <v>437.28207999999995</v>
      </c>
      <c r="Y47" s="3">
        <f>944.8+(70.7-553.7)+(-1.927392+(-0.144228--1.129548))+0-0-0</f>
        <v>460.8579279999999</v>
      </c>
      <c r="Z47" s="3">
        <f>1004.3+(101.4-529.1)+(-2.560965+(-0.25857--1.349205))+0-0-0</f>
        <v>575.12966999999992</v>
      </c>
      <c r="AA47" s="3">
        <f>1097.3+(93.9-576.9)+(-2.798115+(-0.239445--1.471095))+0-0-0</f>
        <v>612.73353499999996</v>
      </c>
      <c r="AB47" s="3">
        <f>1097.5+(99.2-600.1)+(-1.11945+(-0.101184--0.612102))+0-0-0</f>
        <v>595.99146799999994</v>
      </c>
      <c r="AC47" s="3">
        <f>1102.7+(76-619.1)+(-1.687131+(-0.11628--0.947223))+0-0-0</f>
        <v>558.74381200000005</v>
      </c>
      <c r="AD47">
        <v>599.69999999999993</v>
      </c>
      <c r="AE47" s="3">
        <f>1102+(94.3-596.6)+(0+(0-0))+0-0-0</f>
        <v>599.70000000000005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1096.2+(44.6-634.9)+(-2.236248+(-0.090984--1.295196))+0-0-0</f>
        <v>504.86796400000009</v>
      </c>
      <c r="G48" s="3">
        <f>1068.9+(19.7-627.3)+(-2.725695+(-0.050235--1.599615))+0-0-0</f>
        <v>460.12368500000019</v>
      </c>
      <c r="H48" s="3">
        <f>948.2+(41.3-553.4)+(-1.934328+(-0.084252--1.128936))+0-0-0</f>
        <v>435.21035600000005</v>
      </c>
      <c r="I48" s="3">
        <f>855.2+(57.5-498.8)+(-1.308456+(-0.087975--0.763164))+0-0-0</f>
        <v>413.26673300000004</v>
      </c>
      <c r="J48" s="3">
        <f>853.7+(52-497.9)+(-1.741548+(-0.10608--1.015716))+0-0-0</f>
        <v>406.96808800000008</v>
      </c>
      <c r="K48" s="3">
        <f>853.6+(44.5-513.3)+(-1.306008+(-0.068085--0.785349))+0-0-0</f>
        <v>384.21125600000005</v>
      </c>
      <c r="L48" s="3">
        <f>850.1+(21.2-528.5)+(-2.167755+(-0.05406--1.347675))+0-0-0</f>
        <v>341.92586</v>
      </c>
      <c r="M48" s="3">
        <f>861.4+(12.8-520.5)+(0.878628+(0.013056-0.53091))+0-0-0</f>
        <v>354.06077399999998</v>
      </c>
      <c r="N48" s="3">
        <f>854.2+(35.1-497.6)+(-0.435642+(-0.017901--0.253776))+0-0-0</f>
        <v>391.50023300000004</v>
      </c>
      <c r="O48" s="3">
        <f>1031.4+(25.4-614.3)+(-1.052028+(-0.025908--0.626586))+0-0-0</f>
        <v>442.04865000000012</v>
      </c>
      <c r="P48" s="3">
        <f>1052.5+(42-639.5)+(-2.1471+(-0.08568--1.30458))+0-0-0</f>
        <v>454.0718</v>
      </c>
      <c r="Q48" s="3">
        <f>1052.5+(42-625.4)+(-1.610325+(-0.06426--0.956862))+0-0-0</f>
        <v>468.38227700000004</v>
      </c>
      <c r="R48" s="3">
        <f>1051+(39.6-630.1)+(-2.14404+(-0.080784--1.285404))+0-0-0</f>
        <v>459.56058000000002</v>
      </c>
      <c r="S48" s="3">
        <f>1047.1+(31.5-629.2)+(-2.670105+(-0.080325--1.60446))+0-0-0</f>
        <v>448.25402999999989</v>
      </c>
      <c r="T48" s="3">
        <f>1052.9+(13.8-631.5)+(-1.073958+(-0.014076--0.64413))+0-0-0</f>
        <v>434.75609600000007</v>
      </c>
      <c r="U48" s="3">
        <f>1046.4+(21-633.2)+(-2.134656+(-0.04284--1.291728))+0-0-0</f>
        <v>433.31423200000006</v>
      </c>
      <c r="V48" s="3">
        <f>974.6+(28.5-575.7)+(0+(0-0))+0-0-0</f>
        <v>427.4</v>
      </c>
      <c r="W48" s="3">
        <f>964.6+(48.5-555.6)+(-1.475838+(-0.074205--0.850068))+0-0-0</f>
        <v>456.80002500000001</v>
      </c>
      <c r="X48" s="3">
        <f>961.9+(54.9-542.6)+(-1.962276+(-0.111996--1.106904))+0-0-0</f>
        <v>473.23263199999991</v>
      </c>
      <c r="Y48" s="3">
        <f>1001.2+(49.5-553.4)+(-2.042448+(-0.10098--1.128936))+0-0-0</f>
        <v>496.28550800000005</v>
      </c>
      <c r="Z48" s="3">
        <f>1059.6+(71.5-538.1)+(-1.621188+(-0.109395--0.823293))+0-0-0</f>
        <v>592.0927099999999</v>
      </c>
      <c r="AA48" s="3">
        <f>1063.5+(77.9-537.6)+(-2.16954+(-0.158916--1.096704))+0-0-0</f>
        <v>602.56824799999993</v>
      </c>
      <c r="AB48" s="3">
        <f>1065.8+(69.9-548.5)+(-1.087116+(-0.071298--0.55947))+0-0-0</f>
        <v>586.60105599999997</v>
      </c>
      <c r="AC48" s="3">
        <f>1054.7+(39.7-563)+(-2.151588+(-0.080988--1.14852))+0-0-0</f>
        <v>530.31594400000006</v>
      </c>
      <c r="AD48">
        <v>594.30000000000007</v>
      </c>
      <c r="AE48" s="3">
        <f>1061+(85.4-552.1)+(0+(0-0))+0-0-0</f>
        <v>594.29999999999995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992+(17.9-536.7)+(0+(0-0))+0-0-0</f>
        <v>473.19999999999993</v>
      </c>
      <c r="G49" s="3">
        <f>937.6+(32.3-536.7)+(-0.478176+(-0.016473--0.273717))+0-0-0</f>
        <v>432.97906799999998</v>
      </c>
      <c r="H49" s="3">
        <f>927.5+(31.9-532)+(-3.311175+(-0.113883--1.89924))+0-0-0</f>
        <v>425.87418199999996</v>
      </c>
      <c r="I49" s="3">
        <f>911.9+(34.9-522.6)+(-1.395207+(-0.053397--0.799578))+0-0-0</f>
        <v>423.55097399999994</v>
      </c>
      <c r="J49" s="3">
        <f>858.3+(40.6-473)+(0+(0-0))+0-0-0</f>
        <v>425.9</v>
      </c>
      <c r="K49" s="3">
        <f>857.4+(40.5-470.4)+(-0.437274+(-0.020655--0.239904))+0-0-0</f>
        <v>427.28197499999999</v>
      </c>
      <c r="L49" s="3">
        <f>855.3+(37.8-487.2)+(-0.436203+(-0.019278--0.248472))+0-0-0</f>
        <v>405.69299099999995</v>
      </c>
      <c r="M49" s="3">
        <f>966.4+(40.8-570.7)+(0.492864+(0.020808-0.291057))+0-0-0</f>
        <v>436.72261499999991</v>
      </c>
      <c r="N49" s="3">
        <f>1062.9+(50.9-631.9)+(1.084158+(0.051918-0.644538))+0-0-0</f>
        <v>482.39153800000008</v>
      </c>
      <c r="O49" s="3">
        <f>1203.8+(38-717.1)+(0+(0-0))+0-0-0</f>
        <v>524.69999999999993</v>
      </c>
      <c r="P49" s="3">
        <f>1208.4+(34.6-703.7)+(0+(0-0))+0-0-0</f>
        <v>539.30000000000007</v>
      </c>
      <c r="Q49" s="3">
        <f>1209.5+(38.8-703.1)+(0.616845+(0.019788-0.358581))+0-0-0</f>
        <v>545.47805199999993</v>
      </c>
      <c r="R49" s="3">
        <f>1194.9+(52.9-709.7)+(1.218798+(0.053958-0.723894))+0-0-0</f>
        <v>538.64886200000001</v>
      </c>
      <c r="S49" s="3">
        <f>1143.3+(60.8-679.6)+(-0.583083+(-0.031008--0.346596))+0-0-0</f>
        <v>524.23250499999983</v>
      </c>
      <c r="T49" s="3">
        <f>1153.8+(62.8-718.7)+(0+(0-0))+0-0-0</f>
        <v>497.89999999999986</v>
      </c>
      <c r="U49" s="3">
        <f>1186.8+(60.8-766.1)+(0+(0-0))+0-0-0</f>
        <v>481.49999999999989</v>
      </c>
      <c r="V49" s="3">
        <f>1180.4+(66.6-739.8)+(-2.408016+(-0.135864--1.509192))+0-0-0</f>
        <v>506.16531200000014</v>
      </c>
      <c r="W49" s="3">
        <f>1200.6+(54.5-734.8)+(-2.449224+(-0.11118--1.498992))+0-0-0</f>
        <v>519.23858799999994</v>
      </c>
      <c r="X49" s="3">
        <f>1156.5+(28.2-653.3)+(-4.71852+(-0.115056--2.665464))+0-0-0</f>
        <v>529.23188800000014</v>
      </c>
      <c r="Y49" s="3">
        <f>1110+(20.2-578.1)+(-2.8305+(-0.05151--1.474155))+0-0-0</f>
        <v>550.69214499999998</v>
      </c>
      <c r="Z49" s="3">
        <f>1259.3+(30.7-641)+(-1.926729+(-0.046971--0.98073))+0-0-0</f>
        <v>648.00702999999999</v>
      </c>
      <c r="AA49" s="3">
        <f>1249.2+(22.1-621.6)+(-3.822552+(-0.067626--1.902096))+0-0-0</f>
        <v>647.71191800000008</v>
      </c>
      <c r="AB49" s="3">
        <f>1161.3+(15.5-569.6)+(-1.184526+(-0.01581--0.580992))+0-0-0</f>
        <v>606.58065599999998</v>
      </c>
      <c r="AC49" s="3">
        <f>1087.3+(22.4-561.1)+(-1.109046+(-0.022848--0.572322))+0-0-0</f>
        <v>548.04042799999991</v>
      </c>
      <c r="AD49">
        <v>619.20000000000005</v>
      </c>
      <c r="AE49" s="3">
        <f>1236+(25.4-642.2)+(0+(0-0))+0-0-0</f>
        <v>619.19999999999993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1071.5+(21.2-621.3)+(-2.732325+(-0.05406--1.584315))+0-0-0</f>
        <v>470.1979300000001</v>
      </c>
      <c r="G50" s="3">
        <f>1081.5+(9.2-657.6)+(-1.10313+(-0.009384--0.670752))+0-0-0</f>
        <v>432.65823800000004</v>
      </c>
      <c r="H50" s="3">
        <f>1083.8+(6.1-667.5)+(-1.105476+(-0.006222--0.68085))+0-0-0</f>
        <v>421.96915199999995</v>
      </c>
      <c r="I50" s="3">
        <f>1086.5+(6.1-685)+(0+(0-0))+0-0-0</f>
        <v>407.6</v>
      </c>
      <c r="J50" s="3">
        <f>1091.6+(6.9-688.8)+(1.113432+(0.007038-0.702576))+0-0-0</f>
        <v>410.11789399999992</v>
      </c>
      <c r="K50" s="3">
        <f>1078+(6.5-674.4)+(-2.7489+(-0.016575--1.71972))+0-0-0</f>
        <v>409.05424500000004</v>
      </c>
      <c r="L50" s="3">
        <f>1077.4+(6.4-685.6)+(-2.74737+(-0.01632--1.74828))+0-0-0</f>
        <v>397.18459000000007</v>
      </c>
      <c r="M50" s="3">
        <f>1085.6+(8.9-669.6)+(0+(0-0))+0-0-0</f>
        <v>424.89999999999986</v>
      </c>
      <c r="N50" s="3">
        <f>1183.8+(12.1-728.6)+(-1.207476+(-0.012342--0.743172))+0-0-0</f>
        <v>466.82335399999994</v>
      </c>
      <c r="O50" s="3">
        <f>1249.6+(4.5-771.6)+(-2.549184+(-0.00918--1.574064))+0-0-0</f>
        <v>481.51569999999987</v>
      </c>
      <c r="P50" s="3">
        <f>1278.6+(0-772.9)+(-0.652086+(0--0.394179))+0-0-0</f>
        <v>505.44209299999994</v>
      </c>
      <c r="Q50" s="3">
        <f>1282.8+(0-773.8)+(0+(0-0))+0-0-0</f>
        <v>509</v>
      </c>
      <c r="R50" s="3">
        <f>1263.6+(0-758.1)+(-2.577744+(0--1.546524))+0-0-0</f>
        <v>504.46877999999987</v>
      </c>
      <c r="S50" s="3">
        <f>1247.5+(2-753.9)+(-3.81735+(-0.00612--2.306934))+0-0-0</f>
        <v>494.08346400000005</v>
      </c>
      <c r="T50" s="3">
        <f>1250.9+(8.1-776.4)+(-2.551836+(-0.016524--1.583856))+0-0-0</f>
        <v>481.61549600000012</v>
      </c>
      <c r="U50" s="3">
        <f>1258.8+(5.3-797.7)+(0+(0-0))+0-0-0</f>
        <v>466.39999999999986</v>
      </c>
      <c r="V50" s="3">
        <f>1242.6+(2.3-769.9)+(-3.16863+(-0.005865--1.963245))+0-0-0</f>
        <v>473.78874999999988</v>
      </c>
      <c r="W50" s="3">
        <f>1232.6+(4.7-748.8)+(-3.14313+(-0.011985--1.90944))+0-0-0</f>
        <v>487.25432499999999</v>
      </c>
      <c r="X50" s="3">
        <f>1086.9+(6.6-608.2)+(-2.217276+(-0.013464--1.240728))+0-0-0</f>
        <v>484.30998800000009</v>
      </c>
      <c r="Y50" s="3">
        <f>964.2+(14-504.8)+(-0.491742+(-0.00714--0.257448))+0-0-0</f>
        <v>473.15856600000001</v>
      </c>
      <c r="Z50" s="3">
        <f>1207+(4.6-618.6)+(-0.61557+(-0.002346--0.315486))+0-0-0</f>
        <v>592.69757000000004</v>
      </c>
      <c r="AA50" s="3">
        <f>1209.8+(18.5-617.2)+(-0.616998+(-0.009435--0.314772))+0-0-0</f>
        <v>610.78833899999995</v>
      </c>
      <c r="AB50" s="3">
        <f>1198.2+(13.6-629.4)+(-0.611082+(-0.006936--0.320994))+0-0-0</f>
        <v>582.10297600000013</v>
      </c>
      <c r="AC50" s="3">
        <f>1183.3+(1.6-651.2)+(-3.017415+(-0.00408--1.66056))+0-0-0</f>
        <v>532.33906499999989</v>
      </c>
      <c r="AD50">
        <v>621.20000000000005</v>
      </c>
      <c r="AE50" s="3">
        <f>1255+(0-633.8)+(0+(0-0))+0-0-0</f>
        <v>621.20000000000005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1189+(0-678.8)+(-1.21278+(0--0.692376))+0-0-0</f>
        <v>509.67959600000006</v>
      </c>
      <c r="G51" s="3">
        <f>1186.4+(0-713.8)+(-2.420256+(0--1.456152))+0-0-0</f>
        <v>471.63589600000012</v>
      </c>
      <c r="H51" s="3">
        <f>1173.2+(0-742.9)+(0+(0-0))+0-0-0</f>
        <v>430.30000000000007</v>
      </c>
      <c r="I51" s="3">
        <f>1099.6+(1.8-679.3)+(-2.80398+(-0.00459--1.732215))+0-0-0</f>
        <v>421.02364499999993</v>
      </c>
      <c r="J51" s="3">
        <f>1089.2+(2.2-674.6)+(-2.77746+(-0.00561--1.72023))+0-0-0</f>
        <v>415.73716000000007</v>
      </c>
      <c r="K51" s="3">
        <f>1105.3+(0-689.8)+(-1.127406+(0--0.703596))+0-0-0</f>
        <v>415.07619</v>
      </c>
      <c r="L51" s="3">
        <f>1095.1+(1.7-680.3)+(-3.909507+(-0.006069--2.428671))+0-0-0</f>
        <v>415.01309500000002</v>
      </c>
      <c r="M51" s="3">
        <f>1176.7+(0-739.4)+(1.800351+(0-1.131282))+0-0-0</f>
        <v>437.96906900000005</v>
      </c>
      <c r="N51" s="3">
        <f>1239.7+(5.1-761.2)+(1.264494+(0.005202-0.776424))+0-0-0</f>
        <v>484.09327200000001</v>
      </c>
      <c r="O51" s="3">
        <f>1241.4+(28.3-737.7)+(-1.266228+(-0.028866--0.752454))+0-0-0</f>
        <v>531.45735999999999</v>
      </c>
      <c r="P51" s="3">
        <f>1305.6+(36.5-780.8)+(-1.997568+(-0.055845--1.194624))+0-0-0</f>
        <v>560.44121099999995</v>
      </c>
      <c r="Q51" s="3">
        <f>1295.1+(25.7-762.5)+(0.660501+(0.013107-0.388875))+0-0-0</f>
        <v>558.58473299999991</v>
      </c>
      <c r="R51" s="3">
        <f>1320.8+(21.8-785.8)+(-1.347216+(-0.022236--0.801516))+0-0-0</f>
        <v>556.23206399999992</v>
      </c>
      <c r="S51" s="3">
        <f>1429.3+(20.3-906.4)+(-1.457886+(-0.020706--0.924528))+0-0-0</f>
        <v>542.64593599999989</v>
      </c>
      <c r="T51" s="3">
        <f>1432.1+(27-943.7)+(-1.460742+(-0.02754--0.962574))+0-0-0</f>
        <v>514.87429199999985</v>
      </c>
      <c r="U51" s="3">
        <f>1421.1+(25.5-945.8)+(-3.623805+(-0.065025--2.41179))+0-0-0</f>
        <v>499.52295999999996</v>
      </c>
      <c r="V51" s="3">
        <f>1430.4+(27-953.3)+(-1.459008+(-0.02754--0.972366))+0-0-0</f>
        <v>503.58581800000013</v>
      </c>
      <c r="W51" s="3">
        <f>1417.2+(31.2-945.8)+(-5.059404+(-0.111384--3.376506))+0-0-0</f>
        <v>500.80571800000013</v>
      </c>
      <c r="X51" s="3">
        <f>1388+(5.1-898.2)+(-4.95516+(-0.018207--3.206574))+0-0-0</f>
        <v>493.13320699999997</v>
      </c>
      <c r="Y51" s="3">
        <f>1388+(7.7-834.1)+(-1.41576+(-0.007854--0.850782))+0-0-0</f>
        <v>561.02716800000007</v>
      </c>
      <c r="Z51" s="3">
        <f>1388+(27.1-790.1)+(-2.12364+(-0.041463--1.208853))+0-0-0</f>
        <v>624.04375000000005</v>
      </c>
      <c r="AA51" s="3">
        <f>1388+(21.1-819.7)+(-3.5394+(-0.053805--2.090235))+0-0-0</f>
        <v>587.89702999999997</v>
      </c>
      <c r="AB51" s="3">
        <f>1380.6+(7.3-755)+(0+(0-0))+0-0-0</f>
        <v>632.89999999999986</v>
      </c>
      <c r="AC51" s="3">
        <f>1366.2+(10.7-783.2)+(-4.180572+(-0.032742--2.396592))+0-0-0</f>
        <v>591.88327800000002</v>
      </c>
      <c r="AD51">
        <v>641.79999999999995</v>
      </c>
      <c r="AE51" s="3">
        <f>1515+(32.5-905.7)+(0+(0-0))+0-0-0</f>
        <v>641.79999999999995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1362.2+(13.9-866.1)+(0+(0-0))+0-0-0</f>
        <v>510</v>
      </c>
      <c r="G52" s="3">
        <f>1364.4+(15-888.4)+(-2.783376+(-0.0306--1.812336))+0-0-0</f>
        <v>489.9983600000001</v>
      </c>
      <c r="H52" s="3">
        <f>1367.7+(23.5-916)+(-2.092581+(-0.035955--1.40148))+0-0-0</f>
        <v>474.47294400000004</v>
      </c>
      <c r="I52" s="3">
        <f>1256.4+(31.2-825.6)+(-1.281528+(-0.031824--0.842112))+0-0-0</f>
        <v>461.52876000000009</v>
      </c>
      <c r="J52" s="3">
        <f>1082.1+(39.8-681.8)+(-2.207484+(-0.081192--1.390872))+0-0-0</f>
        <v>439.2021959999999</v>
      </c>
      <c r="K52" s="3">
        <f>1076.2+(43-673.4)+(-2.74431+(-0.10965--1.71717))+0-0-0</f>
        <v>444.66321000000005</v>
      </c>
      <c r="L52" s="3">
        <f>1084.4+(57.5-707.4)+(-1.106088+(-0.05865--0.721548))+0-0-0</f>
        <v>434.0568100000001</v>
      </c>
      <c r="M52" s="3">
        <f>1077+(51.2-672.2)+(-3.29562+(-0.156672--2.056932))+0-0-0</f>
        <v>454.60464000000002</v>
      </c>
      <c r="N52" s="3">
        <f>1093.8+(76.4-692.3)+(1.115676+(0.077928-0.706146))+0-0-0</f>
        <v>478.38745799999998</v>
      </c>
      <c r="O52" s="3">
        <f>1205.6+(75.6-756.4)+(0+(0-0))+0-0-0</f>
        <v>524.79999999999995</v>
      </c>
      <c r="P52" s="3">
        <f>1374.7+(59.1-904.8)+(-1.402194+(-0.060282--0.922896))+0-0-0</f>
        <v>528.46042000000011</v>
      </c>
      <c r="Q52" s="3">
        <f>1431.7+(67.2-939.9)+(-1.460334+(-0.068544--0.958698))+0-0-0</f>
        <v>558.42982000000006</v>
      </c>
      <c r="R52" s="3">
        <f>1428+(106.1-991.5)+(-1.45656+(-0.108222--1.01133))+0-0-0</f>
        <v>542.04654800000003</v>
      </c>
      <c r="S52" s="3">
        <f>1433.9+(99.6-1008.3)+(0+(0-0))+0-0-0</f>
        <v>525.20000000000016</v>
      </c>
      <c r="T52" s="3">
        <f>1435.5+(172.6-1067.4)+(0.732105+(0.088026-0.544374))+0-0-0</f>
        <v>540.97575699999993</v>
      </c>
      <c r="U52" s="3">
        <f>1346.4+(180.8-1031.6)+(-0.686664+(-0.092208--0.526116))+0-0-0</f>
        <v>495.34724400000016</v>
      </c>
      <c r="V52" s="3">
        <f>1323.2+(177.3-1003.9)+(-3.37416+(-0.452115--2.559945))+0-0-0</f>
        <v>495.33367000000015</v>
      </c>
      <c r="W52" s="3">
        <f>1320.6+(154.5-975.5)+(-4.714542+(-0.551565--3.482535))+0-0-0</f>
        <v>497.81642799999992</v>
      </c>
      <c r="X52" s="3">
        <f>1350.2+(125.1-959.5)+(-2.754408+(-0.255204--1.95738))+0-0-0</f>
        <v>514.74776800000006</v>
      </c>
      <c r="Y52" s="3">
        <f>1366.3+(34.6-867.9)+(-3.484065+(-0.08823--2.213145))+0-0-0</f>
        <v>531.64085</v>
      </c>
      <c r="Z52" s="3">
        <f>1452+(70.1-897.6)+(-2.22156+(-0.107253--1.373328))+0-0-0</f>
        <v>623.54451500000005</v>
      </c>
      <c r="AA52" s="3">
        <f>1437.7+(75.5-880.1)+(0+(0-0))+0-0-0</f>
        <v>633.1</v>
      </c>
      <c r="AB52" s="3">
        <f>1445.9+(87.8-908.3)+(-0.737409+(-0.044778--0.463233))+0-0-0</f>
        <v>625.08104600000013</v>
      </c>
      <c r="AC52" s="3">
        <f>1372.9+(116.5-894.4)+(-0.700179+(-0.059415--0.456144))+0-0-0</f>
        <v>594.69655000000012</v>
      </c>
      <c r="AD52">
        <v>622.40000000000009</v>
      </c>
      <c r="AE52" s="3">
        <f>1447+(73.4-898)+(0+(0-0))+0-0-0</f>
        <v>622.4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1226.2+(136.6-867.9)+(-0.625362+(-0.069666--0.442629))+0-0-0</f>
        <v>494.64760100000007</v>
      </c>
      <c r="G53" s="3">
        <f>1220.6+(137.6-906.2)+(-1.867518+(-0.210528--1.386486))+0-0-0</f>
        <v>451.30843999999991</v>
      </c>
      <c r="H53" s="3">
        <f>1098.9+(144.9-826)+(-2.802195+(-0.369495--2.1063))+0-0-0</f>
        <v>416.73461000000009</v>
      </c>
      <c r="I53" s="3">
        <f>1046.9+(149.1-785.6)+(-2.669595+(-0.380205--2.00328))+0-0-0</f>
        <v>409.3534800000001</v>
      </c>
      <c r="J53" s="3">
        <f>1082.4+(146.4-807.9)+(0.552024+(0.074664-0.412029))+0-0-0</f>
        <v>421.11465900000007</v>
      </c>
      <c r="K53" s="3">
        <f>1076.3+(145.1-793.3)+(-0.548913+(-0.074001--0.404583))+0-0-0</f>
        <v>427.88166900000004</v>
      </c>
      <c r="L53" s="3">
        <f>1094.7+(92.4-754)+(-2.233188+(-0.188496--1.53816))+0-0-0</f>
        <v>432.216476</v>
      </c>
      <c r="M53" s="3">
        <f>1155.2+(48.3-736.5)+(1.178304+(0.049266-0.75123))+0-0-0</f>
        <v>467.47633999999999</v>
      </c>
      <c r="N53" s="3">
        <f>1217.5+(43.5-764.7)+(1.24185+(0.04437-0.779994))+0-0-0</f>
        <v>496.80622599999998</v>
      </c>
      <c r="O53" s="3">
        <f>1240.3+(62.2-765.8)+(0.632553+(0.031722-0.390558))+0-0-0</f>
        <v>536.97371700000008</v>
      </c>
      <c r="P53" s="3">
        <f>1215.6+(54.7-735.4)+(-0.619956+(-0.027897--0.375054))+0-0-0</f>
        <v>534.62720100000001</v>
      </c>
      <c r="Q53" s="3">
        <f>1221.1+(95.9-744.2)+(-1.868283+(-0.146727--1.138626))+0-0-0</f>
        <v>571.92361599999981</v>
      </c>
      <c r="R53" s="3">
        <f>1232+(93.4-747.3)+(-1.25664+(-0.095268--0.762246))+0-0-0</f>
        <v>577.51033800000005</v>
      </c>
      <c r="S53" s="3">
        <f>1239.8+(92.6-757.1)+(-1.264596+(-0.094452--0.772242))+0-0-0</f>
        <v>574.71319399999993</v>
      </c>
      <c r="T53" s="3">
        <f>1249+(92.4-802.8)+(-0.63699+(-0.047124--0.409428))+0-0-0</f>
        <v>538.32531400000005</v>
      </c>
      <c r="U53" s="3">
        <f>1239.3+(90.6-805.2)+(-3.160215+(-0.23103--2.05326))+0-0-0</f>
        <v>523.36201499999993</v>
      </c>
      <c r="V53" s="3">
        <f>1206.6+(33.9-759.4)+(-0.615366+(-0.017289--0.387294))+0-0-0</f>
        <v>480.85463899999991</v>
      </c>
      <c r="W53" s="3">
        <f>1207.6+(12.4-704.9)+(-4.311132+(-0.044268--2.516493))+0-0-0</f>
        <v>513.26109299999996</v>
      </c>
      <c r="X53" s="3">
        <f>1200.8+(38.4-738.5)+(-2.449632+(-0.078336--1.50654))+0-0-0</f>
        <v>499.67857199999992</v>
      </c>
      <c r="Y53" s="3">
        <f>1243.1+(36.1-727.3)+(-2.535924+(-0.073644--1.483692))+0-0-0</f>
        <v>550.77412400000003</v>
      </c>
      <c r="Z53" s="3">
        <f>1232.1+(65.3-668.5)+(-1.885113+(-0.099909--1.022805))+0-0-0</f>
        <v>627.93778299999985</v>
      </c>
      <c r="AA53" s="3">
        <f>1241+(67.3-643.2)+(-2.53164+(-0.137292--1.312128))+0-0-0</f>
        <v>663.7431959999999</v>
      </c>
      <c r="AB53" s="3">
        <f>1245.6+(72.8-676)+(-1.270512+(-0.074256--0.68952))+0-0-0</f>
        <v>641.74475199999983</v>
      </c>
      <c r="AC53" s="3">
        <f>1257.9+(88-728.9)+(-2.566116+(-0.17952--1.486956))+0-0-0</f>
        <v>615.74132000000009</v>
      </c>
      <c r="AD53">
        <v>619.5</v>
      </c>
      <c r="AE53" s="3">
        <f>1232+(64.2-676.7)+(0+(0-0))+0-0-0</f>
        <v>619.5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1256.6+(62.5-778)+(-1.922598+(-0.095625--1.19034))+0-0-0</f>
        <v>540.27211699999987</v>
      </c>
      <c r="G54" s="3">
        <f>1257.7+(60.8-814.3)+(-1.924281+(-0.093024--1.245879))+0-0-0</f>
        <v>503.42857400000003</v>
      </c>
      <c r="H54" s="3">
        <f>1256.5+(61.6-839.7)+(-2.56326+(-0.125664--1.712988))+0-0-0</f>
        <v>477.42406399999999</v>
      </c>
      <c r="I54" s="3">
        <f>1256.8+(38.9-839.3)+(0+(0-0))+0-0-0</f>
        <v>456.4</v>
      </c>
      <c r="J54" s="3">
        <f>1256.8+(65.2-858.8)+(-1.281936+(-0.066504--0.875976))+0-0-0</f>
        <v>462.72753600000004</v>
      </c>
      <c r="K54" s="3">
        <f>1116.5+(82.4-716.6)+(0+(0-0))+0-0-0</f>
        <v>482.29999999999995</v>
      </c>
      <c r="L54" s="3">
        <f>950.5+(54.6-620.1)+(-2.423775+(-0.13923--1.581255))+0-0-0</f>
        <v>384.01825000000002</v>
      </c>
      <c r="M54" s="3">
        <f>975.3+(45.8-626.1)+(0.994806+(0.046716-0.638622))+0-0-0</f>
        <v>395.40289999999987</v>
      </c>
      <c r="N54" s="3">
        <f>971.4+(41.4-595.7)+(0.495414+(0.021114-0.303807))+0-0-0</f>
        <v>417.3127209999999</v>
      </c>
      <c r="O54" s="3">
        <f>1232.3+(29.9-809.1)+(-1.256946+(-0.030498--0.825282))+0-0-0</f>
        <v>452.63783799999993</v>
      </c>
      <c r="P54" s="3">
        <f>1237.6+(28.2-778.8)+(-0.631176+(-0.014382--0.397188))+0-0-0</f>
        <v>486.75162999999998</v>
      </c>
      <c r="Q54" s="3">
        <f>1235.6+(47.3-776.2)+(1.260312+(0.048246-0.791724))+0-0-0</f>
        <v>507.21683399999984</v>
      </c>
      <c r="R54" s="3">
        <f>1228.8+(53.5-773.8)+(2.506752+(0.10914-1.578552))+0-0-0</f>
        <v>509.53733999999997</v>
      </c>
      <c r="S54" s="3">
        <f>1211.3+(45.7-766.7)+(-0.617763+(-0.023307--0.391017))+0-0-0</f>
        <v>490.04994699999997</v>
      </c>
      <c r="T54" s="3">
        <f>1211.3+(48.8-773.6)+(-3.088815+(-0.12444--1.97268))+0-0-0</f>
        <v>485.25942499999991</v>
      </c>
      <c r="U54" s="3">
        <f>1211.3+(56.2-802.9)+(-2.471052+(-0.114648--1.637916))+0-0-0</f>
        <v>463.65221600000001</v>
      </c>
      <c r="V54" s="3">
        <f>1202.2+(57.6-811.3)+(-1.839366+(-0.088128--1.241289))+0-0-0</f>
        <v>447.81379500000014</v>
      </c>
      <c r="W54" s="3">
        <f>1188.7+(42.8-778)+(-3.637422+(-0.130968--2.38068))+0-0-0</f>
        <v>452.11228999999997</v>
      </c>
      <c r="X54" s="3">
        <f>1193.6+(28.8-762.8)+(-3.04368+(-0.07344--1.94514))+0-0-0</f>
        <v>458.42801999999989</v>
      </c>
      <c r="Y54" s="3">
        <f>1093.5+(40.7-671.3)+(0+(0-0))+0-0-0</f>
        <v>462.90000000000009</v>
      </c>
      <c r="Z54" s="3">
        <f>1200.6+(32.9-665.4)+(-2.449224+(-0.067116--1.357416))+0-0-0</f>
        <v>566.94107599999995</v>
      </c>
      <c r="AA54" s="3">
        <f>1239.5+(17.1-643.3)+(-1.896435+(-0.026163--0.984249))+0-0-0</f>
        <v>612.36165100000005</v>
      </c>
      <c r="AB54" s="3">
        <f>1236.8+(18.3-656.2)+(0+(0-0))+0-0-0</f>
        <v>598.89999999999986</v>
      </c>
      <c r="AC54" s="3">
        <f>1216.8+(14.1-679.3)+(-1.241136+(-0.014382--0.692886))+0-0-0</f>
        <v>551.03736800000001</v>
      </c>
      <c r="AD54">
        <v>583.70000000000005</v>
      </c>
      <c r="AE54" s="3">
        <f>1197+(19.9-633.2)+(0+(0-0))+0-0-0</f>
        <v>583.69999999999993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1214+(16.1-723)+(-1.85742+(-0.024633--1.10619))+0-0-0</f>
        <v>506.32413700000001</v>
      </c>
      <c r="G55" s="3">
        <f>1211.1+(29.1-779.5)+(-3.088305+(-0.074205--1.987725))+0-0-0</f>
        <v>459.52521499999995</v>
      </c>
      <c r="H55" s="3">
        <f>1223.7+(34.1-817.2)+(0.624087+(0.017391-0.416772))+0-0-0</f>
        <v>440.82470600000005</v>
      </c>
      <c r="I55" s="3">
        <f>1215.1+(35.8-813.8)+(-2.478804+(-0.073032--1.660152))+0-0-0</f>
        <v>436.20831599999991</v>
      </c>
      <c r="J55" s="3">
        <f>1219.4+(35.2-824.2)+(-1.865682+(-0.053856--1.261026))+0-0-0</f>
        <v>429.74148800000012</v>
      </c>
      <c r="K55" s="3">
        <f>1220.5+(34.1-818.1)+(-2.48982+(-0.069564--1.668924))+0-0-0</f>
        <v>435.60953999999998</v>
      </c>
      <c r="L55" s="3">
        <f>1119.5+(42.9-727.8)+(-2.854725+(-0.109395--1.85589))+0-0-0</f>
        <v>433.49177000000003</v>
      </c>
      <c r="M55" s="3">
        <f>1165.8+(48.7-760.4)+(0+(0-0))+0-0-0</f>
        <v>454.1</v>
      </c>
      <c r="N55" s="3">
        <f>1242.2+(93.1-848.2)+(-3.16761+(-0.237405--2.16291))+0-0-0</f>
        <v>485.85789500000004</v>
      </c>
      <c r="O55" s="3">
        <f>1340.1+(104.1-916.8)+(-2.050353+(-0.159273--1.402704))+0-0-0</f>
        <v>526.59307799999999</v>
      </c>
      <c r="P55" s="3">
        <f>1401.8+(97.2-953.6)+(-1.429836+(-0.099144--0.972672))+0-0-0</f>
        <v>544.84369200000003</v>
      </c>
      <c r="Q55" s="3">
        <f>1423.8+(107.2-975.5)+(0+(0-0))+0-0-0</f>
        <v>555.5</v>
      </c>
      <c r="R55" s="3">
        <f>1412.8+(108.2-973.7)+(-2.161584+(-0.165546--1.489761))+0-0-0</f>
        <v>546.46263099999999</v>
      </c>
      <c r="S55" s="3">
        <f>1406.7+(105.5-966.3)+(-2.869668+(-0.21522--1.971252))+0-0-0</f>
        <v>544.78636400000005</v>
      </c>
      <c r="T55" s="3">
        <f>1408.7+(113.5-992.7)+(-2.873748+(-0.23154--2.025108))+0-0-0</f>
        <v>528.41981999999996</v>
      </c>
      <c r="U55" s="3">
        <f>1414.6+(113.7-1012.5)+(-0.721446+(-0.057987--0.516375))+0-0-0</f>
        <v>515.53694199999995</v>
      </c>
      <c r="V55" s="3">
        <f>1346.1+(114.5-941.1)+(0+(0-0))+0-0-0</f>
        <v>519.49999999999989</v>
      </c>
      <c r="W55" s="3">
        <f>1317.4+(113.4-901.2)+(-4.031244+(-0.347004--2.757672))+0-0-0</f>
        <v>527.97942399999999</v>
      </c>
      <c r="X55" s="3">
        <f>1311.4+(46-835.6)+(-6.019326+(-0.21114--3.835404))+0-0-0</f>
        <v>519.40493800000002</v>
      </c>
      <c r="Y55" s="3">
        <f>1328.6+(42.5-828)+(-1.355172+(-0.04335--0.84456))+0-0-0</f>
        <v>542.54603799999995</v>
      </c>
      <c r="Z55" s="3">
        <f>1411.3+(42.1-832)+(-2.159289+(-0.064413--1.27296))+0-0-0</f>
        <v>620.44925799999999</v>
      </c>
      <c r="AA55" s="3">
        <f>1436.2+(52.3-840.9)+(-2.197386+(-0.080019--1.286577))+0-0-0</f>
        <v>646.60917200000006</v>
      </c>
      <c r="AB55" s="3">
        <f>1332.3+(61.3-781.5)+(-0.679473+(-0.031263--0.398565))+0-0-0</f>
        <v>611.78782899999987</v>
      </c>
      <c r="AC55" s="3">
        <f>1328+(78-846.6)+(-1.35456+(-0.07956--0.863532))+0-0-0</f>
        <v>558.82941199999993</v>
      </c>
      <c r="AD55">
        <v>639.29999999999995</v>
      </c>
      <c r="AE55" s="3">
        <f>1447+(52-859.7)+(0+(0-0))+0-0-0</f>
        <v>639.29999999999995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1322.7+(92.1-918.8)+(-1.349154+(-0.093942--0.937176))+0-0-0</f>
        <v>495.49408000000011</v>
      </c>
      <c r="G56" s="3">
        <f>1287.2+(72.4-926.8)+(-3.938832+(-0.221544--2.836008))+0-0-0</f>
        <v>431.47563200000008</v>
      </c>
      <c r="H56" s="3">
        <f>1081.9+(76.8-749.9)+(-1.655307+(-0.117504--1.147347))+0-0-0</f>
        <v>408.17453600000005</v>
      </c>
      <c r="I56" s="3">
        <f>1079.6+(84.6-768.6)+(-1.101192+(-0.086292--0.783972))+0-0-0</f>
        <v>395.19648799999993</v>
      </c>
      <c r="J56" s="3">
        <f>1075.6+(83.5-758.3)+(-2.194224+(-0.17034--1.546932))+0-0-0</f>
        <v>399.98236799999995</v>
      </c>
      <c r="K56" s="3">
        <f>1066.6+(80.5-737.8)+(-3.807762+(-0.287385--2.633946))+0-0-0</f>
        <v>407.83879899999994</v>
      </c>
      <c r="L56" s="3">
        <f>1078.4+(84.1-757.9)+(-1.099968+(-0.085782--0.773058))+0-0-0</f>
        <v>404.18730800000014</v>
      </c>
      <c r="M56" s="3">
        <f>1085.3+(92-740.7)+(0.553503+(0.04692-0.377757))+0-0-0</f>
        <v>436.82266599999991</v>
      </c>
      <c r="N56" s="3">
        <f>1091.4+(159.1-755.8)+(1.113228+(0.162282-0.770916))+0-0-0</f>
        <v>495.20459400000016</v>
      </c>
      <c r="O56" s="3">
        <f>1091.4+(141.3-702.6)+(1.669842+(0.216189-1.074978))+0-0-0</f>
        <v>530.91105300000015</v>
      </c>
      <c r="P56" s="3">
        <f>1117.1+(132.7-692.5)+(0.569721+(0.067677-0.353175))+0-0-0</f>
        <v>557.58422299999995</v>
      </c>
      <c r="Q56" s="3">
        <f>1356.4+(111.4-878.8)+(-2.075292+(-0.170442--1.344564))+0-0-0</f>
        <v>588.09883000000013</v>
      </c>
      <c r="R56" s="3">
        <f>1445.2+(110.3-964.3)+(2.211156+(0.168759-1.475379))+0-0-0</f>
        <v>592.10453600000005</v>
      </c>
      <c r="S56" s="3">
        <f>1442+(111.8-984.4)+(-1.47084+(-0.114036--1.004088))+0-0-0</f>
        <v>568.81921199999999</v>
      </c>
      <c r="T56" s="3">
        <f>1424.6+(123.9-999.8)+(-0.726546+(-0.063189--0.509898))+0-0-0</f>
        <v>548.42016299999989</v>
      </c>
      <c r="U56" s="3">
        <f>1412.7+(121.9-1006.9)+(-2.881908+(-0.248676--2.054076))+0-0-0</f>
        <v>526.62349200000006</v>
      </c>
      <c r="V56" s="3">
        <f>1419.7+(98.3-988.2)+(-1.448094+(-0.100266--1.007964))+0-0-0</f>
        <v>529.25960399999997</v>
      </c>
      <c r="W56" s="3">
        <f>1410.3+(60-934.4)+(-4.315518+(-0.1836--2.859264))+0-0-0</f>
        <v>534.26014599999996</v>
      </c>
      <c r="X56" s="3">
        <f>1419.7+(42.5-913.6)+(-2.896188+(-0.0867--1.863744))+0-0-0</f>
        <v>547.48085600000002</v>
      </c>
      <c r="Y56" s="3">
        <f>1427.6+(58.5-909.1)+(-0.728076+(-0.029835--0.463641))+0-0-0</f>
        <v>576.7057299999999</v>
      </c>
      <c r="Z56" s="3">
        <f>1435+(79.4-865.5)+(-1.4637+(-0.080988--0.88281))+0-0-0</f>
        <v>648.23812199999998</v>
      </c>
      <c r="AA56" s="3">
        <f>1311.6+(55.9-717.7)+(-2.006748+(-0.085527--1.098081))+0-0-0</f>
        <v>648.80580599999985</v>
      </c>
      <c r="AB56" s="3">
        <f>1130.1+(41.7-568.7)+(0+(0-0))+0-0-0</f>
        <v>603.09999999999991</v>
      </c>
      <c r="AC56" s="3">
        <f>1120.7+(48.3-615)+(-1.714671+(-0.073899--0.94095))+0-0-0</f>
        <v>553.15237999999999</v>
      </c>
      <c r="AD56">
        <v>638.4</v>
      </c>
      <c r="AE56" s="3">
        <f>1428+(88.5-878.1)+(0+(0-0))+0-0-0</f>
        <v>638.4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1111.6+(57.9-687.5)+(-2.83458+(-0.147645--1.753125))+0-0-0</f>
        <v>480.77089999999987</v>
      </c>
      <c r="G57" s="3">
        <f>1112.3+(55.6-720.4)+(-2.836365+(-0.14178--1.83702))+0-0-0</f>
        <v>446.35887500000001</v>
      </c>
      <c r="H57" s="3">
        <f>1110.6+(30.3-710.2)+(-2.83203+(-0.077265--1.81101))+0-0-0</f>
        <v>429.60171499999984</v>
      </c>
      <c r="I57" s="3">
        <f>1120.2+(30.6-724)+(-1.142604+(-0.031212--0.73848))+0-0-0</f>
        <v>426.36466400000006</v>
      </c>
      <c r="J57" s="3">
        <f>1122.5+(32.3-733.2)+(-0.572475+(-0.016473--0.373932))+0-0-0</f>
        <v>421.38498399999992</v>
      </c>
      <c r="K57" s="3">
        <f>1119.7+(31.5-729.1)+(-1.713141+(-0.048195--1.115523))+0-0-0</f>
        <v>421.45418700000005</v>
      </c>
      <c r="L57" s="3">
        <f>1119.1+(32.8-744.7)+(-1.141482+(-0.033456--0.759594))+0-0-0</f>
        <v>406.78465599999981</v>
      </c>
      <c r="M57" s="3">
        <f>1127.4+(24.7-708.5)+(0+(0-0))+0-0-0</f>
        <v>443.60000000000014</v>
      </c>
      <c r="N57" s="3">
        <f>1325.7+(8.4-833.5)+(1.352214+(0.008568-0.85017))+0-0-0</f>
        <v>501.110612</v>
      </c>
      <c r="O57" s="3">
        <f>1433.1+(13.3-916.6)+(0+(0-0))+0-0-0</f>
        <v>529.79999999999984</v>
      </c>
      <c r="P57" s="3">
        <f>1435.4+(10.6-899.3)+(0+(0-0))+0-0-0</f>
        <v>546.70000000000016</v>
      </c>
      <c r="Q57" s="3">
        <f>1436.5+(26.2-901.9)+(0.732615+(0.013362-0.459969))+0-0-0</f>
        <v>561.08600800000011</v>
      </c>
      <c r="R57" s="3">
        <f>1418.7+(25.2-895.5)+(-2.170611+(-0.038556--1.370115))+0-0-0</f>
        <v>547.56094800000005</v>
      </c>
      <c r="S57" s="3">
        <f>1420.8+(31.9-911.1)+(-0.724608+(-0.016269--0.464661))+0-0-0</f>
        <v>541.32378399999993</v>
      </c>
      <c r="T57" s="3">
        <f>1404.3+(34.1-913.3)+(-4.297158+(-0.104346--2.794698))+0-0-0</f>
        <v>523.49319400000002</v>
      </c>
      <c r="U57" s="3">
        <f>1397.2+(37.8-921.2)+(-4.275432+(-0.115668--2.818872))+0-0-0</f>
        <v>512.22777199999996</v>
      </c>
      <c r="V57" s="3">
        <f>1398.8+(39.2-923.5)+(-4.993716+(-0.139944--3.296895))+0-0-0</f>
        <v>512.66323499999999</v>
      </c>
      <c r="W57" s="3">
        <f>1393.8+(30.5-892.2)+(-5.686704+(-0.12444--3.640176))+0-0-0</f>
        <v>529.92903199999989</v>
      </c>
      <c r="X57" s="3">
        <f>1395.2+(16.8-882.9)+(-4.980864+(-0.059976--3.151953))+0-0-0</f>
        <v>527.21111300000007</v>
      </c>
      <c r="Y57" s="3">
        <f>1338.7+(15.4-814.4)+(-2.730948+(-0.031416--1.661376))+0-0-0</f>
        <v>538.59901200000002</v>
      </c>
      <c r="Z57" s="3">
        <f>1379.1+(50.5-775.4)+(-4.220046+(-0.15453--2.372724))+0-0-0</f>
        <v>652.19814799999995</v>
      </c>
      <c r="AA57" s="3">
        <f>1420.7+(31.1-762.8)+(-2.898228+(-0.063444--1.556112))+0-0-0</f>
        <v>687.59444000000008</v>
      </c>
      <c r="AB57" s="3">
        <f>1365.6+(35.6-760.9)+(-2.785824+(-0.072624--1.552236))+0-0-0</f>
        <v>638.993788</v>
      </c>
      <c r="AC57" s="3">
        <f>1363.3+(40-819.5)+(-2.085849+(-0.0612--1.253835))+0-0-0</f>
        <v>582.90678600000001</v>
      </c>
      <c r="AD57">
        <v>677.7</v>
      </c>
      <c r="AE57" s="3">
        <f>1458+(27.5-807.8)+(0+(0-0))+0-0-0</f>
        <v>677.7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1206.7+(42.3-737.9)+(-1.230834+(-0.043146--0.752658))+0-0-0</f>
        <v>510.57867800000002</v>
      </c>
      <c r="G58" s="3">
        <f>1120.9+(59.9-708.4)+(-2.286636+(-0.122196--1.445136))+0-0-0</f>
        <v>471.43630400000006</v>
      </c>
      <c r="H58" s="3">
        <f>1123.9+(37.7-706.9)+(-1.146378+(-0.038454--0.721038))+0-0-0</f>
        <v>454.23620600000015</v>
      </c>
      <c r="I58" s="3">
        <f>1117.6+(37.2-713.3)+(-2.279904+(-0.075888--1.455132))+0-0-0</f>
        <v>440.59933999999998</v>
      </c>
      <c r="J58" s="3">
        <f>1116.9+(36.6-721.5)+(-1.708857+(-0.055998--1.103895))+0-0-0</f>
        <v>431.33904000000013</v>
      </c>
      <c r="K58" s="3">
        <f>1110+(33.7-725.4)+(-3.3966+(-0.103122--2.219724))+0-0-0</f>
        <v>417.02000200000009</v>
      </c>
      <c r="L58" s="3">
        <f>1112.3+(35.4-741.9)+(-2.836365+(-0.09027--1.891845))+0-0-0</f>
        <v>404.76520999999997</v>
      </c>
      <c r="M58" s="3">
        <f>1123+(20.4-710.2)+(-0.57273+(-0.010404--0.362202))+0-0-0</f>
        <v>432.97906799999993</v>
      </c>
      <c r="N58" s="3">
        <f>1277+(14.3-804.7)+(0+(0-0))+0-0-0</f>
        <v>486.59999999999991</v>
      </c>
      <c r="O58" s="3">
        <f>1431+(22.2-920.9)+(-0.72981+(-0.011322--0.469659))+0-0-0</f>
        <v>532.02852700000005</v>
      </c>
      <c r="P58" s="3">
        <f>1437.3+(26.4-898.3)+(0.733023+(0.013464-0.458133))+0-0-0</f>
        <v>565.688354</v>
      </c>
      <c r="Q58" s="3">
        <f>1437+(29.2-879.3)+(1.46574+(0.029784-0.896886))+0-0-0</f>
        <v>587.49863800000014</v>
      </c>
      <c r="R58" s="3">
        <f>1428.5+(32.4-898)+(-1.45707+(-0.033048--0.91596))+0-0-0</f>
        <v>562.32584199999997</v>
      </c>
      <c r="S58" s="3">
        <f>1419+(32.1-912.5)+(-3.61845+(-0.081855--2.326875))+0-0-0</f>
        <v>537.22657000000004</v>
      </c>
      <c r="T58" s="3">
        <f>1432.1+(39.9-950.3)+(0+(0-0))+0-0-0</f>
        <v>521.69999999999993</v>
      </c>
      <c r="U58" s="3">
        <f>1425.8+(30-931)+(-2.181474+(-0.0459--1.42443))+0-0-0</f>
        <v>523.99705599999993</v>
      </c>
      <c r="V58" s="3">
        <f>1427.2+(25.8-923.9)+(-1.455744+(-0.026316--0.942378))+0-0-0</f>
        <v>528.56031800000005</v>
      </c>
      <c r="W58" s="3">
        <f>1419+(10.3-893)+(-4.34214+(-0.031518--2.73258))+0-0-0</f>
        <v>534.65892199999996</v>
      </c>
      <c r="X58" s="3">
        <f>1342.4+(12.3-816)+(-4.107744+(-0.037638--2.49696))+0-0-0</f>
        <v>537.05157800000006</v>
      </c>
      <c r="Y58" s="3">
        <f>1325.5+(15.8-798.8)+(-2.028015+(-0.024174--1.222164))+0-0-0</f>
        <v>541.66997500000002</v>
      </c>
      <c r="Z58" s="3">
        <f>1359.9+(20.1-755.1)+(-2.774196+(-0.041004--1.540404))+0-0-0</f>
        <v>623.62520400000005</v>
      </c>
      <c r="AA58" s="3">
        <f>1404.3+(11.5-747.2)+(-3.580965+(-0.029325--1.90536))+0-0-0</f>
        <v>666.89506999999992</v>
      </c>
      <c r="AB58" s="3">
        <f>1418.6+(7.4-797.2)+(0+(0-0))+0-0-0</f>
        <v>628.79999999999984</v>
      </c>
      <c r="AC58" s="3">
        <f>1408.8+(13-834.9)+(-2.873952+(-0.02652--1.703196))+0-0-0</f>
        <v>585.70272399999999</v>
      </c>
      <c r="AD58">
        <v>680.30000000000007</v>
      </c>
      <c r="AE58" s="3">
        <f>1413+(12.4-745.1)+(0+(0-0))+0-0-0</f>
        <v>680.3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1394.3+(12.4-877)+(-2.844372+(-0.025296--1.78908))+0-0-0</f>
        <v>528.6194119999999</v>
      </c>
      <c r="G59" s="3">
        <f>1095.1+(26.8-645.6)+(-1.117002+(-0.027336--0.658512))+0-0-0</f>
        <v>475.81417399999987</v>
      </c>
      <c r="H59" s="3">
        <f>1087.9+(32.1-665.2)+(-0.554829+(-0.016371--0.339252))+0-0-0</f>
        <v>454.56805200000008</v>
      </c>
      <c r="I59" s="3">
        <f>1088.7+(35.5-689)+(-1.110474+(-0.03621--0.70278))+0-0-0</f>
        <v>434.75609600000007</v>
      </c>
      <c r="J59" s="3">
        <f>1087.9+(36.2-706.9)+(0+(0-0))+0-0-0</f>
        <v>417.20000000000016</v>
      </c>
      <c r="K59" s="3">
        <f>1081.9+(34.3-708.2)+(-2.207076+(-0.069972--1.444728))+0-0-0</f>
        <v>407.16768000000002</v>
      </c>
      <c r="L59" s="3">
        <f>1079+(32.9-709.1)+(-2.75145+(-0.083895--1.808205))+0-0-0</f>
        <v>401.77285999999998</v>
      </c>
      <c r="M59" s="3">
        <f>1091.7+(24.7-686.4)+(0+(0-0))+0-0-0</f>
        <v>430.00000000000011</v>
      </c>
      <c r="N59" s="3">
        <f>1346.3+(16.1-866.5)+(-0.686613+(-0.008211--0.441915))+0-0-0</f>
        <v>495.64709099999999</v>
      </c>
      <c r="O59" s="3">
        <f>1431.1+(35.4-932.5)+(-0.729861+(-0.018054--0.475575))+0-0-0</f>
        <v>533.7276599999999</v>
      </c>
      <c r="P59" s="3">
        <f>1437.4+(81.2-931.6)+(-1.466148+(-0.082824--0.950232))+0-0-0</f>
        <v>586.40126000000009</v>
      </c>
      <c r="Q59" s="3">
        <f>1448.5+(80-949.3)+(0.738735+(0.0408-0.484143))+0-0-0</f>
        <v>579.49539200000004</v>
      </c>
      <c r="R59" s="3">
        <f>1442.7+(107.7-968.7)+(-0.735777+(-0.054927--0.494037))+0-0-0</f>
        <v>581.40333300000009</v>
      </c>
      <c r="S59" s="3">
        <f>1449.9+(112.2-1000.6)+(0.739449+(0.057222-0.510306))+0-0-0</f>
        <v>561.78636500000016</v>
      </c>
      <c r="T59" s="3">
        <f>1439.1+(105.6-1001.9)+(-0.733941+(-0.053856--0.510969))+0-0-0</f>
        <v>542.52317199999993</v>
      </c>
      <c r="U59" s="3">
        <f>1427.9+(99.1-1007.4)+(-3.641145+(-0.252705--2.56887))+0-0-0</f>
        <v>518.27502000000015</v>
      </c>
      <c r="V59" s="3">
        <f>1432+(98.2-994.6)+(-2.92128+(-0.200328--2.028984))+0-0-0</f>
        <v>534.50737600000002</v>
      </c>
      <c r="W59" s="3">
        <f>1430.4+(102.5-998.3)+(-3.64752+(-0.261375--2.545665))+0-0-0</f>
        <v>533.23677000000009</v>
      </c>
      <c r="X59" s="3">
        <f>1426.3+(71.5-955.1)+(-5.091891+(-0.255255--3.409707))+0-0-0</f>
        <v>540.76256099999989</v>
      </c>
      <c r="Y59" s="3">
        <f>1437.8+(32.3-941.8)+(-1.466556+(-0.032946--0.960636))+0-0-0</f>
        <v>527.76113399999997</v>
      </c>
      <c r="Z59" s="3">
        <f>1438+(54.4-847.2)+(-1.46676+(-0.055488--0.864144))+0-0-0</f>
        <v>644.54189599999995</v>
      </c>
      <c r="AA59" s="3">
        <f>1428.5+(82.5-827.6)+(-2.91414+(-0.1683--1.688304))+0-0-0</f>
        <v>682.00586399999997</v>
      </c>
      <c r="AB59" s="3">
        <f>1420.8+(73.2-847.6)+(-3.62304+(-0.18666--2.16138))+0-0-0</f>
        <v>644.75167999999996</v>
      </c>
      <c r="AC59" s="3">
        <f>1432.1+(50.4-897.1)+(-0.730371+(-0.025704--0.457521))+0-0-0</f>
        <v>585.1014459999999</v>
      </c>
      <c r="AD59">
        <v>678.5</v>
      </c>
      <c r="AE59" s="3">
        <f>1440+(88.5-850)+(0+(0-0))+0-0-0</f>
        <v>678.5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1327.8+(54.4-843.6)+(-3.38589+(-0.13872--2.15118))+0-0-0</f>
        <v>537.22656999999992</v>
      </c>
      <c r="G60" s="3">
        <f>1212.5+(50-787.5)+(-0.618375+(-0.0255--0.401625))+0-0-0</f>
        <v>474.75774999999999</v>
      </c>
      <c r="H60" s="3">
        <f>1154.8+(58.4-779.1)+(-2.355792+(-0.119136--1.589364))+0-0-0</f>
        <v>433.21443599999992</v>
      </c>
      <c r="I60" s="3">
        <f>1152.5+(59.7-780.8)+(-2.938875+(-0.152235--1.99104))+0-0-0</f>
        <v>430.29993000000007</v>
      </c>
      <c r="J60" s="3">
        <f>1113+(58.3-746.2)+(-1.70289+(-0.089199--1.141686))+0-0-0</f>
        <v>424.44959699999993</v>
      </c>
      <c r="K60" s="3">
        <f>1085.5+(54.9-730.4)+(-1.660815+(-0.083997--1.117512))+0-0-0</f>
        <v>409.37270000000001</v>
      </c>
      <c r="L60" s="3">
        <f>1091.4+(56.7-728)+(-0.556614+(-0.028917--0.37128))+0-0-0</f>
        <v>419.88574900000015</v>
      </c>
      <c r="M60" s="3">
        <f>1093.3+(57.6-728.5)+(-0.557583+(-0.029376--0.371535))+0-0-0</f>
        <v>422.18457599999999</v>
      </c>
      <c r="N60" s="3">
        <f>1339.7+(86.5-906.9)+(0.683247+(0.044115-0.462519))+0-0-0</f>
        <v>519.56484300000011</v>
      </c>
      <c r="O60" s="3">
        <f>1428.3+(58.4-932.8)+(-2.185299+(-0.089352--1.427184))+0-0-0</f>
        <v>553.05253299999993</v>
      </c>
      <c r="P60" s="3">
        <f>1419.7+(93.3-939.3)+(-1.448094+(-0.095166--0.958086))+0-0-0</f>
        <v>573.11482599999999</v>
      </c>
      <c r="Q60" s="3">
        <f>1419.5+(90.2-930.2)+(-1.44789+(-0.092004--0.948804))+0-0-0</f>
        <v>578.90890999999999</v>
      </c>
      <c r="R60" s="3">
        <f>1426.7+(92.1-946.7)+(0.727617+(0.046971-0.482817))+0-0-0</f>
        <v>572.39177100000006</v>
      </c>
      <c r="S60" s="3">
        <f>1420.5+(100.8-976.5)+(-0.724455+(-0.051408--0.498015))+0-0-0</f>
        <v>544.52215200000001</v>
      </c>
      <c r="T60" s="3">
        <f>1429+(106.4-993.7)+(0.72879+(0.054264-0.506787))+0-0-0</f>
        <v>541.97626699999989</v>
      </c>
      <c r="U60" s="3">
        <f>1411.3+(114.8-998.4)+(-2.159289+(-0.175644--1.527552))+0-0-0</f>
        <v>526.89261899999997</v>
      </c>
      <c r="V60" s="3">
        <f>1415.2+(117.6-1007.2)+(-0.721752+(-0.059976--0.513672))+0-0-0</f>
        <v>525.33194400000002</v>
      </c>
      <c r="W60" s="3">
        <f>1405.2+(105.5-981.2)+(-3.58326+(-0.269025--2.50206))+0-0-0</f>
        <v>528.14977499999998</v>
      </c>
      <c r="X60" s="3">
        <f>1414.9+(39.6-915)+(-3.607995+(-0.10098--2.33325))+0-0-0</f>
        <v>538.12427500000013</v>
      </c>
      <c r="Y60" s="3">
        <f>1424.8+(29.8-905.7)+(-2.179944+(-0.045594--1.385721))+0-0-0</f>
        <v>548.06018299999982</v>
      </c>
      <c r="Z60" s="3">
        <f>1428.1+(81.5-866.1)+(-2.184993+(-0.124695--1.325133))+0-0-0</f>
        <v>642.51544499999989</v>
      </c>
      <c r="AA60" s="3">
        <f>1437.6+(48.1-829.7)+(-3.66588+(-0.122655--2.115735))+0-0-0</f>
        <v>654.32719999999983</v>
      </c>
      <c r="AB60" s="3">
        <f>1442.5+(29.6-860.2)+(-1.47135+(-0.030192--0.877404))+0-0-0</f>
        <v>611.27586199999996</v>
      </c>
      <c r="AC60" s="3">
        <f>1447+(32.9-890.6)+(0+(0-0))+0-0-0</f>
        <v>589.29999999999995</v>
      </c>
      <c r="AD60">
        <v>676.60000000000014</v>
      </c>
      <c r="AE60" s="3">
        <f>1440+(100.9-864.3)+(0+(0-0))+0-0-0</f>
        <v>676.6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1389.4+(14.5-930.1)+(0+(0-0))+0-0-0</f>
        <v>473.80000000000007</v>
      </c>
      <c r="G61" s="3">
        <f>1373.9+(14.7-909.7)+(-2.802756+(-0.029988--1.855788))+0-0-0</f>
        <v>477.92304400000012</v>
      </c>
      <c r="H61" s="3">
        <f>1387+(16.4-943.4)+(0+(0-0))+0-0-0</f>
        <v>460</v>
      </c>
      <c r="I61" s="3">
        <f>1334.6+(16.3-915.5)+(-0.680646+(-0.008313--0.466905))+0-0-0</f>
        <v>435.17794599999985</v>
      </c>
      <c r="J61" s="3">
        <f>1267.4+(15.9-908.7)+(0+(0-0))+0-0-0</f>
        <v>374.6</v>
      </c>
      <c r="K61" s="3">
        <f>1251.6+(15.2-851)+(-2.553264+(-0.031008--1.73604))+0-0-0</f>
        <v>414.95176799999996</v>
      </c>
      <c r="L61" s="3">
        <f>1234.6+(14.2-882.3)+(-5.666814+(-0.065178--4.049757))+0-0-0</f>
        <v>364.81776500000001</v>
      </c>
      <c r="M61" s="3">
        <f>1266.1+(9.2-895.9)+(0.645711+(0.004692-0.456909))+0-0-0</f>
        <v>379.59349399999996</v>
      </c>
      <c r="N61" s="3">
        <f>1255.5+(7.5-873.5)+(-1.28061+(-0.00765--0.89097))+0-0-0</f>
        <v>389.10271</v>
      </c>
      <c r="O61" s="3">
        <f>1290.6+(15.6-892.6)+(0+(0-0))+0-0-0</f>
        <v>413.59999999999991</v>
      </c>
      <c r="P61" s="3">
        <f>1395+(38.7-963.6)+(-0.71145+(-0.019737--0.491436))+0-0-0</f>
        <v>469.86024900000001</v>
      </c>
      <c r="Q61" s="3">
        <f>1398.6+(51.6-944.4)+(1.426572+(0.052632-0.963288))+0-0-0</f>
        <v>506.31591599999996</v>
      </c>
      <c r="R61" s="3">
        <f>1377.6+(55.3-962.1)+(-2.107728+(-0.084609--1.472013))+0-0-0</f>
        <v>470.07967599999984</v>
      </c>
      <c r="S61" s="3">
        <f>1387.3+(56.3-991.8)+(0+(0-0))+0-0-0</f>
        <v>451.79999999999995</v>
      </c>
      <c r="T61" s="3">
        <f>1377+(59.4-993.6)+(-2.10681+(-0.090882--1.520208))+0-0-0</f>
        <v>442.12251599999996</v>
      </c>
      <c r="U61" s="3">
        <f>1372.2+(66.2-1002.3)+(-0.699822+(-0.033762--0.511173))+0-0-0</f>
        <v>435.87758900000011</v>
      </c>
      <c r="V61" s="3">
        <f>1376.7+(63.6-1008.2)+(0.702117+(0.032436-0.514182))+0-0-0</f>
        <v>432.32037100000002</v>
      </c>
      <c r="W61" s="3">
        <f>1361.5+(36.8-962.5)+(-3.471825+(-0.09384--2.454375))+0-0-0</f>
        <v>434.68870999999996</v>
      </c>
      <c r="X61" s="3">
        <f>1354.2+(13.8-942.5)+(-4.143852+(-0.042228--2.88405))+0-0-0</f>
        <v>424.19797</v>
      </c>
      <c r="Y61" s="3">
        <f>1371.7+(12.9-942.9)+(-2.098701+(-0.019737--1.442637))+0-0-0</f>
        <v>441.02419900000007</v>
      </c>
      <c r="Z61" s="3">
        <f>1389.6+(34.5-891.2)+(0.708696+(0.017595-0.454512))+0-0-0</f>
        <v>533.1717789999999</v>
      </c>
      <c r="AA61" s="3">
        <f>1388.6+(38.9-858)+(0+(0-0))+0-0-0</f>
        <v>569.49999999999989</v>
      </c>
      <c r="AB61" s="3">
        <f>1388.8+(38.9-874.3)+(0+(0-0))+0-0-0</f>
        <v>553.4</v>
      </c>
      <c r="AC61" s="3">
        <f>1381.9+(44.3-921.7)+(-2.114307+(-0.067779--1.410201))+0-0-0</f>
        <v>503.728115</v>
      </c>
      <c r="AD61">
        <v>556.59999999999991</v>
      </c>
      <c r="AE61" s="3">
        <f>1385+(36.8-865.2)+(0+(0-0))+0-0-0</f>
        <v>556.59999999999991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1403.7+(55.5-963.9)+(-0.715887+(-0.028305--0.491589))+0-0-0</f>
        <v>495.04739700000005</v>
      </c>
      <c r="G62" s="3">
        <f>1396.6+(54.3-987.6)+(-1.424532+(-0.055386--1.007352))+0-0-0</f>
        <v>462.82743399999987</v>
      </c>
      <c r="H62" s="3">
        <f>1379.2+(46-980.7)+(-2.110176+(-0.07038--1.500471))+0-0-0</f>
        <v>443.81991499999998</v>
      </c>
      <c r="I62" s="3">
        <f>1212+(42.8-848.4)+(-1.23624+(-0.043656--0.865368))+0-0-0</f>
        <v>405.98547199999996</v>
      </c>
      <c r="J62" s="3">
        <f>1207.3+(43.7-857.9)+(-1.847169+(-0.066861--1.312587))+0-0-0</f>
        <v>392.49855700000001</v>
      </c>
      <c r="K62" s="3">
        <f>1202.3+(39.1-853.4)+(-3.065865+(-0.099705--2.17617))+0-0-0</f>
        <v>387.01060000000001</v>
      </c>
      <c r="L62" s="3">
        <f>1181.1+(43.7-835.8)+(-0.602361+(-0.022287--0.426258))+0-0-0</f>
        <v>388.80160999999998</v>
      </c>
      <c r="M62" s="3">
        <f>1192.5+(72.4-837.2)+(-0.608175+(-0.036924--0.426972))+0-0-0</f>
        <v>427.48187299999995</v>
      </c>
      <c r="N62" s="3">
        <f>1398+(65.5-937.6)+(-0.71298+(-0.033405--0.478176))+0-0-0</f>
        <v>525.63179100000002</v>
      </c>
      <c r="O62" s="3">
        <f>1396.6+(74.5-922.1)+(0+(0-0))+0-0-0</f>
        <v>548.99999999999989</v>
      </c>
      <c r="P62" s="3">
        <f>1390.1+(75.4-899.1)+(-0.708951+(-0.038454--0.458541))+0-0-0</f>
        <v>566.11113599999987</v>
      </c>
      <c r="Q62" s="3">
        <f>1391.3+(86.7-900.8)+(0+(0-0))+0-0-0</f>
        <v>577.20000000000005</v>
      </c>
      <c r="R62" s="3">
        <f>1399.2+(95-918.3)+(0.713592+(0.04845-0.468333))+0-0-0</f>
        <v>576.19370900000013</v>
      </c>
      <c r="S62" s="3">
        <f>1382.2+(109.4-928.1)+(-1.409844+(-0.111588--0.946662))+0-0-0</f>
        <v>562.92523000000006</v>
      </c>
      <c r="T62" s="3">
        <f>1391.8+(131.4-966.1)+(0.709818+(0.067014-0.492711))+0-0-0</f>
        <v>557.38412099999994</v>
      </c>
      <c r="U62" s="3">
        <f>1381.1+(130.9-970.8)+(-0.704361+(-0.066759--0.495108))+0-0-0</f>
        <v>540.92398799999989</v>
      </c>
      <c r="V62" s="3">
        <f>1364.9+(134.6-919.4)+(-2.784396+(-0.274584--1.875576))+0-0-0</f>
        <v>578.91659600000014</v>
      </c>
      <c r="W62" s="3">
        <f>1358.9+(129.5-960.2)+(-4.158234+(-0.39627--2.938212))+0-0-0</f>
        <v>526.583708</v>
      </c>
      <c r="X62" s="3">
        <f>1366+(57.9-908.4)+(-2.08998+(-0.088587--1.389852))+0-0-0</f>
        <v>514.71128499999998</v>
      </c>
      <c r="Y62" s="3">
        <f>1372.4+(50.5-904)+(-0.699924+(-0.025755--0.46104))+0-0-0</f>
        <v>518.6353610000001</v>
      </c>
      <c r="Z62" s="3">
        <f>1382.6+(98.2-853.5)+(-0.705126+(-0.050082--0.435285))+0-0-0</f>
        <v>626.98007699999994</v>
      </c>
      <c r="AA62" s="3">
        <f>1400.1+(105.3-841.4)+(-2.142153+(-0.161109--1.287342))+0-0-0</f>
        <v>662.98407999999984</v>
      </c>
      <c r="AB62" s="3">
        <f>1392+(59.5-814.4)+(-2.12976+(-0.091035--1.246032))+0-0-0</f>
        <v>636.12523699999997</v>
      </c>
      <c r="AC62" s="3">
        <f>1389.7+(27.7-843.1)+(-2.834988+(-0.056508--1.719924))+0-0-0</f>
        <v>573.1284280000001</v>
      </c>
      <c r="AD62">
        <v>659</v>
      </c>
      <c r="AE62" s="3">
        <f>1409+(115-865)+(0+(0-0))+0-0-0</f>
        <v>659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1392.7+(21.3-918.4)+(-2.841108+(-0.043452--1.873536))+0-0-0</f>
        <v>494.588976</v>
      </c>
      <c r="G63" s="3">
        <f>1214.6+(29.4-792.6)+(-3.09723+(-0.07497--2.02113))+0-0-0</f>
        <v>450.24892999999986</v>
      </c>
      <c r="H63" s="3">
        <f>1069.1+(39.9-678.5)+(-1.090482+(-0.040698--0.69207))+0-0-0</f>
        <v>430.06088999999986</v>
      </c>
      <c r="I63" s="3">
        <f>1064.3+(42.3-685.7)+(-2.171172+(-0.086292--1.398828))+0-0-0</f>
        <v>420.04136399999987</v>
      </c>
      <c r="J63" s="3">
        <f>1057.5+(42.3-697.8)+(-3.775275+(-0.151011--2.491146))+0-0-0</f>
        <v>400.56486000000001</v>
      </c>
      <c r="K63" s="3">
        <f>1066.1+(40.9-723.1)+(-3.805977+(-0.146013--2.581467))+0-0-0</f>
        <v>382.52947699999987</v>
      </c>
      <c r="L63" s="3">
        <f>1084.2+(34.5-705.8)+(-1.658826+(-0.052785--1.079874))+0-0-0</f>
        <v>412.2682630000001</v>
      </c>
      <c r="M63" s="3">
        <f>1282.2+(16.9-849.2)+(1.307844+(0.017238-0.866184))+0-0-0</f>
        <v>450.35889799999995</v>
      </c>
      <c r="N63" s="3">
        <f>1398.8+(37.9-922.9)+(0.713388+(0.019329-0.470679))+0-0-0</f>
        <v>514.06203799999992</v>
      </c>
      <c r="O63" s="3">
        <f>1382.3+(40.1-878.2)+(-0.704973+(-0.020451--0.447882))+0-0-0</f>
        <v>543.92245799999989</v>
      </c>
      <c r="P63" s="3">
        <f>1383+(88.2-883.8)+(-0.70533+(-0.044982--0.450738))+0-0-0</f>
        <v>587.10042600000008</v>
      </c>
      <c r="Q63" s="3">
        <f>1373.9+(88.7-882)+(-2.102067+(-0.135711--1.34946))+0-0-0</f>
        <v>579.71168200000011</v>
      </c>
      <c r="R63" s="3">
        <f>1385.2+(96.2-885)+(0+(0-0))+0-0-0</f>
        <v>596.40000000000009</v>
      </c>
      <c r="S63" s="3">
        <f>1375.9+(100.6-913.5)+(-0.701709+(-0.051306--0.465885))+0-0-0</f>
        <v>562.71287000000007</v>
      </c>
      <c r="T63" s="3">
        <f>1368.6+(108.5-913.5)+(0+(0-0))+0-0-0</f>
        <v>563.59999999999991</v>
      </c>
      <c r="U63" s="3">
        <f>1352.1+(106.6-907.9)+(-2.758284+(-0.217464--1.852116))+0-0-0</f>
        <v>549.67636799999991</v>
      </c>
      <c r="V63" s="3">
        <f>1357.9+(108.9-909.4)+(-2.077587+(-0.166617--1.391382))+0-0-0</f>
        <v>556.54717800000014</v>
      </c>
      <c r="W63" s="3">
        <f>1363.4+(111.4-930.9)+(-2.086002+(-0.170442--1.424277))+0-0-0</f>
        <v>543.06783300000006</v>
      </c>
      <c r="X63" s="3">
        <f>1346.9+(55.7-861.7)+(-6.182271+(-0.255663--3.955203))+0-0-0</f>
        <v>538.41726900000015</v>
      </c>
      <c r="Y63" s="3">
        <f>1361.7+(47.3-872.9)+(-2.777868+(-0.096492--1.780716))+0-0-0</f>
        <v>535.00635599999998</v>
      </c>
      <c r="Z63" s="3">
        <f>1381.3+(67.4-820.1)+(-2.113389+(-0.103122--1.254753))+0-0-0</f>
        <v>627.63824199999988</v>
      </c>
      <c r="AA63" s="3">
        <f>1377.9+(69.8-762.8)+(-4.216374+(-0.213588--2.334168))+0-0-0</f>
        <v>682.80420600000014</v>
      </c>
      <c r="AB63" s="3">
        <f>1381+(73.4-821.5)+(-2.81724+(-0.149736--1.67586))+0-0-0</f>
        <v>631.60888399999999</v>
      </c>
      <c r="AC63" s="3">
        <f>1391+(97.3-904.7)+(-0.70941+(-0.049623--0.461397))+0-0-0</f>
        <v>583.3023639999999</v>
      </c>
      <c r="AD63">
        <v>653.30000000000007</v>
      </c>
      <c r="AE63" s="3">
        <f>1381+(70.4-798.1)+(0+(0-0))+0-0-0</f>
        <v>653.29999999999995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1370.5+(103.1-933.4)+(-3.494775+(-0.262905--2.38017))+0-0-0</f>
        <v>538.82249000000002</v>
      </c>
      <c r="G64" s="3">
        <f>1383.8+(86.7-963.8)+(-0.705738+(-0.044217--0.491538))+0-0-0</f>
        <v>506.44158300000004</v>
      </c>
      <c r="H64" s="3">
        <f>1333.6+(50.1-908.2)+(1.360272+(0.051102-0.926364))+0-0-0</f>
        <v>475.98500999999987</v>
      </c>
      <c r="I64" s="3">
        <f>1140.3+(68.1-774.3)+(-1.744659+(-0.104193--1.184679))+0-0-0</f>
        <v>433.43582700000002</v>
      </c>
      <c r="J64" s="3">
        <f>1136+(67.4-774.8)+(-2.31744+(-0.137496--1.580592))+0-0-0</f>
        <v>427.72565600000001</v>
      </c>
      <c r="K64" s="3">
        <f>1083.9+(66.3-755.5)+(-4.422312+(-0.270504--3.08244))+0-0-0</f>
        <v>393.08962400000007</v>
      </c>
      <c r="L64" s="3">
        <f>1069.4+(64.1-743.8)+(-3.817758+(-0.228837--2.655366))+0-0-0</f>
        <v>388.30877100000015</v>
      </c>
      <c r="M64" s="3">
        <f>1095.6+(48.6-716.6)+(0+(0-0))+0-0-0</f>
        <v>427.59999999999991</v>
      </c>
      <c r="N64" s="3">
        <f>1070.2+(47.6-672.9)+(-2.183208+(-0.097104--1.372716))+0-0-0</f>
        <v>443.99240400000008</v>
      </c>
      <c r="O64" s="3">
        <f>1265.4+(41-815.7)+(1.290708+(0.04182-0.832014))+0-0-0</f>
        <v>491.20051400000006</v>
      </c>
      <c r="P64" s="3">
        <f>1334.3+(70.2-900.1)+(0.680493+(0.035802-0.459051))+0-0-0</f>
        <v>504.65724399999999</v>
      </c>
      <c r="Q64" s="3">
        <f>1337.1+(95.8-865.1)+(-0.681921+(-0.048858--0.441201))+0-0-0</f>
        <v>567.51042199999983</v>
      </c>
      <c r="R64" s="3">
        <f>1334.2+(101.5-873.1)+(0+(0-0))+0-0-0</f>
        <v>562.6</v>
      </c>
      <c r="S64" s="3">
        <f>1369.3+(103.4-916.1)+(-2.095029+(-0.158202--1.401633))+0-0-0</f>
        <v>555.74840199999994</v>
      </c>
      <c r="T64" s="3">
        <f>1370.5+(115.4-926.1)+(-0.698955+(-0.058854--0.472311))+0-0-0</f>
        <v>559.51450199999999</v>
      </c>
      <c r="U64" s="3">
        <f>1381.5+(117.1-940)+(0.704565+(0.059721-0.4794))+0-0-0</f>
        <v>558.88488600000005</v>
      </c>
      <c r="V64" s="3">
        <f>1364.5+(118.8-932.7)+(-2.087685+(-0.181764--1.427031))+0-0-0</f>
        <v>549.75758199999996</v>
      </c>
      <c r="W64" s="3">
        <f>1360.6+(117.5-930.1)+(-2.775624+(-0.2397--1.897404))+0-0-0</f>
        <v>546.88207999999986</v>
      </c>
      <c r="X64" s="3">
        <f>1356.4+(84.4-905.2)+(-4.150584+(-0.258264--2.769912))+0-0-0</f>
        <v>533.96106400000008</v>
      </c>
      <c r="Y64" s="3">
        <f>1381.9+(39.9-869.5)+(0+(0-0))+0-0-0</f>
        <v>552.30000000000007</v>
      </c>
      <c r="Z64" s="3">
        <f>1393.8+(67.5-854.1)+(-1.421676+(-0.06885--0.871182))+0-0-0</f>
        <v>606.58065599999998</v>
      </c>
      <c r="AA64" s="3">
        <f>1408.7+(95.6-843.7)+(-1.436874+(-0.097512--0.860574))+0-0-0</f>
        <v>659.92618800000002</v>
      </c>
      <c r="AB64" s="3">
        <f>1410.6+(73.3-869.3)+(-2.158218+(-0.112149--1.330029))+0-0-0</f>
        <v>613.65966199999991</v>
      </c>
      <c r="AC64" s="3">
        <f>1414.1+(71.1-902)+(-3.605955+(-0.181305--2.3001))+0-0-0</f>
        <v>581.71283999999991</v>
      </c>
      <c r="AD64">
        <v>637.59999999999991</v>
      </c>
      <c r="AE64" s="3">
        <f>1404+(95.1-861.5)+(0+(0-0))+0-0-0</f>
        <v>637.6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1406.7+(84.2-978.2)+(-3.587085+(-0.21471--2.49441))+0-0-0</f>
        <v>511.39261500000003</v>
      </c>
      <c r="G65" s="3">
        <f>1227.1+(111-861)+(-3.129105+(-0.28305--2.19555))+0-0-0</f>
        <v>475.88339499999989</v>
      </c>
      <c r="H65" s="3">
        <f>1085.2+(102-757.8)+(-1.106904+(-0.10404--0.772956))+0-0-0</f>
        <v>428.96201200000007</v>
      </c>
      <c r="I65" s="3">
        <f>1078.1+(67.5-712.8)+(-2.199324+(-0.1377--1.454112))+0-0-0</f>
        <v>431.91708799999998</v>
      </c>
      <c r="J65" s="3">
        <f>1077.2+(59.7-721.4)+(-2.74686+(-0.152235--1.83957))+0-0-0</f>
        <v>414.44047500000011</v>
      </c>
      <c r="K65" s="3">
        <f>1080.4+(56.5-734.2)+(-1.653012+(-0.086445--1.123326))+0-0-0</f>
        <v>402.08386900000005</v>
      </c>
      <c r="L65" s="3">
        <f>1080.5+(58.6-751.9)+(-1.653165+(-0.089658--1.150407))+0-0-0</f>
        <v>386.60758400000003</v>
      </c>
      <c r="M65" s="3">
        <f>1094.1+(57.4-727.7)+(1.673973+(0.087822-1.113381))+0-0-0</f>
        <v>424.44841399999984</v>
      </c>
      <c r="N65" s="3">
        <f>1086.3+(63.2-671.8)+(-2.216052+(-0.128928--1.370472))+0-0-0</f>
        <v>476.72549200000003</v>
      </c>
      <c r="O65" s="3">
        <f>1301.3+(87.7-891.2)+(-1.990989+(-0.134181--1.363536))+0-0-0</f>
        <v>497.03836599999994</v>
      </c>
      <c r="P65" s="3">
        <f>1407.8+(95.5-965.8)+(-0.717978+(-0.048705--0.492558))+0-0-0</f>
        <v>537.22587499999997</v>
      </c>
      <c r="Q65" s="3">
        <f>1414.3+(97.7-947.7)+(0+(0-0))+0-0-0</f>
        <v>564.29999999999995</v>
      </c>
      <c r="R65" s="3">
        <f>1400.6+(97.6-922.2)+(-2.142918+(-0.149328--1.410966))+0-0-0</f>
        <v>575.11871999999994</v>
      </c>
      <c r="S65" s="3">
        <f>1396.8+(49.2-919.3)+(-1.424736+(-0.050184--0.937686))+0-0-0</f>
        <v>526.16276600000003</v>
      </c>
      <c r="T65" s="3">
        <f>1392.3+(44.5-920.6)+(-0.710073+(-0.022695--0.469506))+0-0-0</f>
        <v>515.93673799999988</v>
      </c>
      <c r="U65" s="3">
        <f>1379.8+(45.6-917)+(-3.51849+(-0.11628--2.33835))+0-0-0</f>
        <v>507.10357999999997</v>
      </c>
      <c r="V65" s="3">
        <f>1373.2+(43.6-905.5)+(-4.902324+(-0.155652--3.232635))+0-0-0</f>
        <v>509.47465900000009</v>
      </c>
      <c r="W65" s="3">
        <f>1384.9+(46.8-926.5)+(-4.944093+(-0.167076--3.307605))+0-0-0</f>
        <v>503.39643600000005</v>
      </c>
      <c r="X65" s="3">
        <f>1392.5+(48.7-935.2)+(-5.6814+(-0.198696--3.815616))+0-0-0</f>
        <v>503.93552</v>
      </c>
      <c r="Y65" s="3">
        <f>1406.6+(48.8-973.9)+(-3.58683+(-0.12444--2.483445))+0-0-0</f>
        <v>480.27217499999989</v>
      </c>
      <c r="Z65" s="3">
        <f>1430.8+(54.4-904.8)+(-0.729708+(-0.027744--0.461448))+0-0-0</f>
        <v>580.10399599999994</v>
      </c>
      <c r="AA65" s="3">
        <f>1430+(24.2-810.6)+(-3.6465+(-0.06171--2.06703))+0-0-0</f>
        <v>641.95882000000006</v>
      </c>
      <c r="AB65" s="3">
        <f>1364.6+(23-771.7)+(-2.783784+(-0.04692--1.574268))+0-0-0</f>
        <v>614.64356399999986</v>
      </c>
      <c r="AC65" s="3">
        <f>1323.2+(29.7-807.2)+(-2.699328+(-0.060588--1.646688))+0-0-0</f>
        <v>544.586772</v>
      </c>
      <c r="AD65">
        <v>611.00000000000011</v>
      </c>
      <c r="AE65" s="3">
        <f>1430+(25.4-844.4)+(0+(0-0))+0-0-0</f>
        <v>611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1333.8+(25.7-844.2)+(0+(0-0))+0-0-0</f>
        <v>515.29999999999995</v>
      </c>
      <c r="G66" s="3">
        <f>1314.1+(37-861.4)+(-2.010573+(-0.05661--1.317942))+0-0-0</f>
        <v>488.95075899999995</v>
      </c>
      <c r="H66" s="3">
        <f>1202+(46.5-794.7)+(-1.22604+(-0.04743--0.810594))+0-0-0</f>
        <v>453.33712399999996</v>
      </c>
      <c r="I66" s="3">
        <f>1200.1+(47.3-815.6)+(-0.612051+(-0.024123--0.415956))+0-0-0</f>
        <v>431.57978199999985</v>
      </c>
      <c r="J66" s="3">
        <f>1182.1+(50.2-811.6)+(-3.014355+(-0.12801--2.06958))+0-0-0</f>
        <v>419.62721499999992</v>
      </c>
      <c r="K66" s="3">
        <f>1168.6+(51-793.1)+(-2.97993+(-0.13005--2.022405))+0-0-0</f>
        <v>425.41242499999987</v>
      </c>
      <c r="L66" s="3">
        <f>1087.9+(55.9-740.5)+(-0.554829+(-0.028509--0.377655))+0-0-0</f>
        <v>403.09431700000005</v>
      </c>
      <c r="M66" s="3">
        <f>1090.6+(56.2-705.3)+(0.556206+(0.028662-0.359703))+0-0-0</f>
        <v>441.725165</v>
      </c>
      <c r="N66" s="3">
        <f>1094.7+(53.6-646.3)+(0.558297+(0.027336-0.329613))+0-0-0</f>
        <v>502.25602000000009</v>
      </c>
      <c r="O66" s="3">
        <f>1259.1+(36.9-778.1)+(-0.642141+(-0.018819--0.396831))+0-0-0</f>
        <v>517.63587099999984</v>
      </c>
      <c r="P66" s="3">
        <f>1418.2+(27.6-875.7)+(0.723282+(0.014076-0.446607))+0-0-0</f>
        <v>570.39075100000002</v>
      </c>
      <c r="Q66" s="3">
        <f>1406.1+(30.3-842.6)+(-0.717111+(-0.015453--0.429726))+0-0-0</f>
        <v>593.49716199999989</v>
      </c>
      <c r="R66" s="3">
        <f>1404.3+(33.3-827.8)+(-0.716193+(-0.016983--0.422178))+0-0-0</f>
        <v>609.48900199999991</v>
      </c>
      <c r="S66" s="3">
        <f>1399+(39.7-854.8)+(-1.42698+(-0.040494--0.871896))+0-0-0</f>
        <v>583.30442200000005</v>
      </c>
      <c r="T66" s="3">
        <f>1392.5+(45.6-855)+(0+(0-0))+0-0-0</f>
        <v>583.1</v>
      </c>
      <c r="U66" s="3">
        <f>1362.9+(46-843.2)+(-4.170474+(-0.14076--2.580192))+0-0-0</f>
        <v>563.96895800000004</v>
      </c>
      <c r="V66" s="3">
        <f>1361.4+(45.4-835.9)+(-3.47157+(-0.11577--2.131545))+0-0-0</f>
        <v>569.44420500000012</v>
      </c>
      <c r="W66" s="3">
        <f>1233.9+(42.6-695.4)+(-3.775734+(-0.130356--2.127924))+0-0-0</f>
        <v>579.32183400000008</v>
      </c>
      <c r="X66" s="3">
        <f>1186.2+(45.3-676)+(-3.02481+(-0.115515--1.7238))+0-0-0</f>
        <v>554.08347500000002</v>
      </c>
      <c r="Y66" s="3">
        <f>1152.9+(50.8-657.9)+(-0.587979+(-0.025908--0.335529))+0-0-0</f>
        <v>545.52164200000004</v>
      </c>
      <c r="Z66" s="3">
        <f>1247.3+(68-709.2)+(-1.272246+(-0.06936--0.723384))+0-0-0</f>
        <v>605.48177799999996</v>
      </c>
      <c r="AA66" s="3">
        <f>1401.6+(59.5-771.7)+(-2.859264+(-0.12138--1.574268))+0-0-0</f>
        <v>687.99362399999984</v>
      </c>
      <c r="AB66" s="3">
        <f>1402.4+(25-773.1)+(-3.57612+(-0.06375--1.971405))+0-0-0</f>
        <v>652.6315350000001</v>
      </c>
      <c r="AC66" s="3">
        <f>1392.8+(16-794.2)+(-2.130984+(-0.02448--1.215126))+0-0-0</f>
        <v>613.65966199999991</v>
      </c>
      <c r="AD66">
        <v>628.49999999999989</v>
      </c>
      <c r="AE66" s="3">
        <f>1419+(71.1-861.6)+(0+(0-0))+0-0-0</f>
        <v>628.5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1193.7+(18.7-670.1)+(-3.043935+(-0.047685--1.708755))+0-0-0</f>
        <v>540.91713500000003</v>
      </c>
      <c r="G67" s="3">
        <f>1047.3+(30.2-597.9)+(-2.136492+(-0.061608--1.219716))+0-0-0</f>
        <v>478.62161600000002</v>
      </c>
      <c r="H67" s="3">
        <f>956.1+(40.4-542.5)+(-1.462833+(-0.061812--0.830025))+0-0-0</f>
        <v>453.30538000000001</v>
      </c>
      <c r="I67" s="3">
        <f>891.8+(39.8-503.6)+(-1.819272+(-0.081192--1.027344))+0-0-0</f>
        <v>427.12687999999997</v>
      </c>
      <c r="J67" s="3">
        <f>839.9+(37.8-449.6)+(0.428349+(0.019278-0.229296))+0-0-0</f>
        <v>428.31833099999994</v>
      </c>
      <c r="K67" s="3">
        <f>827.3+(37.7-441.7)+(-2.109615+(-0.096135--1.126335))+0-0-0</f>
        <v>422.22058499999997</v>
      </c>
      <c r="L67" s="3">
        <f>830.7+(38.7-476)+(-1.270971+(-0.059211--0.72828))+0-0-0</f>
        <v>392.79809800000004</v>
      </c>
      <c r="M67" s="3">
        <f>849.5+(35.1-452.9)+(2.166225+(0.089505-1.154895))+0-0-0</f>
        <v>432.80083500000006</v>
      </c>
      <c r="N67" s="3">
        <f>921.3+(22.6-463.3)+(-0.469863+(-0.011526--0.236283))+0-0-0</f>
        <v>480.35489399999994</v>
      </c>
      <c r="O67" s="3">
        <f>1101.3+(18.8-589.9)+(1.123326+(0.019176-0.601698))+0-0-0</f>
        <v>530.74080399999991</v>
      </c>
      <c r="P67" s="3">
        <f>1091.5+(36.9-567.7)+(-0.556665+(-0.018819--0.289527))+0-0-0</f>
        <v>560.41404299999988</v>
      </c>
      <c r="Q67" s="3">
        <f>1096.8+(36.3-569.7)+(1.118736+(0.037026-0.581094))+0-0-0</f>
        <v>563.97466799999984</v>
      </c>
      <c r="R67" s="3">
        <f>1087.7+(32.3-570.6)+(-1.109454+(-0.032946--0.582012))+0-0-0</f>
        <v>548.83961199999999</v>
      </c>
      <c r="S67" s="3">
        <f>1072+(32.7-576.2)+(-2.7336+(-0.083385--1.46931))+0-0-0</f>
        <v>527.15232500000002</v>
      </c>
      <c r="T67" s="3">
        <f>1074.6+(34.4-596.8)+(-2.74023+(-0.08772--1.52184))+0-0-0</f>
        <v>510.89388999999994</v>
      </c>
      <c r="U67" s="3">
        <f>1075.1+(18-597.9)+(-1.644903+(-0.02754--0.914787))+0-0-0</f>
        <v>494.44234399999993</v>
      </c>
      <c r="V67" s="3">
        <f>1082.1+(14.9-591)+(-1.103742+(-0.015198--0.60282))+0-0-0</f>
        <v>505.48387999999989</v>
      </c>
      <c r="W67" s="3">
        <f>1079.1+(18.5-583.4)+(-1.100682+(-0.01887--0.595068))+0-0-0</f>
        <v>513.6755159999999</v>
      </c>
      <c r="X67" s="3">
        <f>978+(26.8-507.9)+(-2.99268+(-0.082008--1.554174))+0-0-0</f>
        <v>495.37948600000004</v>
      </c>
      <c r="Y67" s="3">
        <f>845.6+(41.4-413.6)+(-0.862512+(-0.042228--0.421872))+0-0-0</f>
        <v>472.91713199999998</v>
      </c>
      <c r="Z67" s="3">
        <f>1022.8+(40.7-507.8)+(-1.043256+(-0.041514--0.517956))+0-0-0</f>
        <v>555.13318599999991</v>
      </c>
      <c r="AA67" s="3">
        <f>1108.2+(37.8-519.1)+(-2.260728+(-0.077112--1.058964))+0-0-0</f>
        <v>625.62112400000012</v>
      </c>
      <c r="AB67" s="3">
        <f>1102.8+(27-539.7)+(-2.81214+(-0.06885--1.376235))+0-0-0</f>
        <v>588.59524499999986</v>
      </c>
      <c r="AC67" s="3">
        <f>1117.2+(20.3-583.2)+(0+(0-0))+0-0-0</f>
        <v>554.29999999999995</v>
      </c>
      <c r="AD67">
        <v>626.70000000000005</v>
      </c>
      <c r="AE67" s="3">
        <f>1116+(42.5-531.8)+(0+(0-0))+0-0-0</f>
        <v>626.70000000000005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1051+(24.9-557.9)+(-2.14404+(-0.050796--1.138116))+0-0-0</f>
        <v>516.94327999999996</v>
      </c>
      <c r="G68" s="3">
        <f>867.3+(46-453.2)+(-0.884646+(-0.04692--0.462264))+0-0-0</f>
        <v>459.63069799999994</v>
      </c>
      <c r="H68" s="3">
        <f>863.2+(52.2-491.3)+(-1.320696+(-0.079866--0.751689))+0-0-0</f>
        <v>423.45112700000004</v>
      </c>
      <c r="I68" s="3">
        <f>871.4+(61.6-513.1)+(0+(0-0))+0-0-0</f>
        <v>419.9</v>
      </c>
      <c r="J68" s="3">
        <f>872.4+(60.4-522.9)+(0.444924+(0.030804-0.266679))+0-0-0</f>
        <v>410.10904899999997</v>
      </c>
      <c r="K68" s="3">
        <f>860.8+(46.3-524.9)+(-1.756032+(-0.094452--1.070796))+0-0-0</f>
        <v>381.42031199999997</v>
      </c>
      <c r="L68" s="3">
        <f>866.9+(42.5-559.9)+(-0.884238+(-0.04335--0.571098))+0-0-0</f>
        <v>349.14350999999999</v>
      </c>
      <c r="M68" s="3">
        <f>867.8+(40.3-550.6)+(-0.885156+(-0.041106--0.561612))+0-0-0</f>
        <v>357.13534999999996</v>
      </c>
      <c r="N68" s="3">
        <f>864.3+(59.8-535.3)+(-1.322379+(-0.091494--0.819009))+0-0-0</f>
        <v>388.20513600000004</v>
      </c>
      <c r="O68" s="3">
        <f>867.6+(49.5-502.9)+(-0.884952+(-0.05049--0.512958))+0-0-0</f>
        <v>413.77751600000005</v>
      </c>
      <c r="P68" s="3">
        <f>868.6+(39.3-481.5)+(-1.328958+(-0.060129--0.736695))+0-0-0</f>
        <v>425.74760800000001</v>
      </c>
      <c r="Q68" s="3">
        <f>990.2+(39.9-593)+(-1.515006+(-0.061047--0.90729))+0-0-0</f>
        <v>436.43123700000001</v>
      </c>
      <c r="R68" s="3">
        <f>1073+(26.1-636.3)+(-0.54723+(-0.013311--0.324513))+0-0-0</f>
        <v>462.56397200000009</v>
      </c>
      <c r="S68" s="3">
        <f>1060.4+(24.6-621.1)+(-0.540804+(-0.012546--0.316761))+0-0-0</f>
        <v>463.66341100000011</v>
      </c>
      <c r="T68" s="3">
        <f>1073.9+(31.6-643.1)+(-2.190756+(-0.064464--1.311924))+0-0-0</f>
        <v>461.45670400000012</v>
      </c>
      <c r="U68" s="3">
        <f>1081.3+(32.7-661.6)+(-0.551463+(-0.016677--0.337416))+0-0-0</f>
        <v>452.16927599999997</v>
      </c>
      <c r="V68" s="3">
        <f>1079+(19.1-642.5)+(-0.55029+(-0.009741--0.327675))+0-0-0</f>
        <v>455.36764400000004</v>
      </c>
      <c r="W68" s="3">
        <f>886.8+(36.7-470.1)+(-1.809072+(-0.074868--0.959004))+0-0-0</f>
        <v>452.47506399999992</v>
      </c>
      <c r="X68" s="3">
        <f>854.9+(37.8-451.9)+(-2.179995+(-0.09639--1.152345))+0-0-0</f>
        <v>439.67596000000003</v>
      </c>
      <c r="Y68" s="3">
        <f>881.6+(35.5-455.3)+(-1.348848+(-0.054315--0.696609))+0-0-0</f>
        <v>461.09344600000003</v>
      </c>
      <c r="Z68" s="3">
        <f>1106.4+(23.6-586.5)+(-1.692792+(-0.036108--0.897345))+0-0-0</f>
        <v>542.66844500000013</v>
      </c>
      <c r="AA68" s="3">
        <f>1124.9+(18.5-560.3)+(-1.721097+(-0.028305--0.857259))+0-0-0</f>
        <v>582.2078570000001</v>
      </c>
      <c r="AB68" s="3">
        <f>1153.8+(14.6-600.6)+(-2.353752+(-0.029784--1.225224))+0-0-0</f>
        <v>566.64168799999993</v>
      </c>
      <c r="AC68" s="3">
        <f>1165.7+(13.8-645.9)+(-1.783521+(-0.021114--0.988227))+0-0-0</f>
        <v>532.783592</v>
      </c>
      <c r="AD68">
        <v>543.79999999999995</v>
      </c>
      <c r="AE68" s="3">
        <f>1128+(12.8-597)+(0+(0-0))+0-0-0</f>
        <v>543.79999999999995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1098.6+(22.4-652.5)+(-2.241144+(-0.045696--1.3311))+0-0-0</f>
        <v>467.54425999999989</v>
      </c>
      <c r="G69" s="3">
        <f>992.8+(42.4-608.5)+(-2.025312+(-0.086496--1.24134))+0-0-0</f>
        <v>425.82953199999992</v>
      </c>
      <c r="H69" s="3">
        <f>956.8+(32.1-578.1)+(-0.975936+(-0.032742--0.589662))+0-0-0</f>
        <v>410.38098399999996</v>
      </c>
      <c r="I69" s="3">
        <f>958.9+(33.6-588.2)+(-0.489039+(-0.017136--0.299982))+0-0-0</f>
        <v>404.09380699999997</v>
      </c>
      <c r="J69" s="3">
        <f>961+(33.5-582.2)+(-0.98022+(-0.03417--0.593844))+0-0-0</f>
        <v>411.87945399999995</v>
      </c>
      <c r="K69" s="3">
        <f>953.5+(31.8-570.7)+(-2.431425+(-0.08109--1.455285))+0-0-0</f>
        <v>413.5427699999999</v>
      </c>
      <c r="L69" s="3">
        <f>961.8+(33.7-598.4)+(0+(0-0))+0-0-0</f>
        <v>397.1</v>
      </c>
      <c r="M69" s="3">
        <f>1094.8+(44.6-700.2)+(-1.116696+(-0.045492--0.714204))+0-0-0</f>
        <v>438.75201599999991</v>
      </c>
      <c r="N69" s="3">
        <f>1239.7+(45.3-772.8)+(-2.528988+(-0.092412--1.576512))+0-0-0</f>
        <v>511.15511200000003</v>
      </c>
      <c r="O69" s="3">
        <f>1238.1+(40.1-745.3)+(-0.631431+(-0.020451--0.380103))+0-0-0</f>
        <v>532.62822099999994</v>
      </c>
      <c r="P69" s="3">
        <f>1228.8+(42.4-717.6)+(0+(0-0))+0-0-0</f>
        <v>553.59999999999991</v>
      </c>
      <c r="Q69" s="3">
        <f>1236.3+(41.5-712.5)+(1.261026+(0.04233-0.72675))+0-0-0</f>
        <v>565.87660599999992</v>
      </c>
      <c r="R69" s="3">
        <f>1225.3+(44.7-704.1)+(-0.624903+(-0.022797--0.359091))+0-0-0</f>
        <v>565.61139100000003</v>
      </c>
      <c r="S69" s="3">
        <f>1222.8+(43.5-714)+(0+(0-0))+0-0-0</f>
        <v>552.29999999999995</v>
      </c>
      <c r="T69" s="3">
        <f>1281+(49.6-798.5)+(-0.65331+(-0.025296--0.407235))+0-0-0</f>
        <v>531.82862899999998</v>
      </c>
      <c r="U69" s="3">
        <f>1312.4+(47.9-835.8)+(-3.34662+(-0.122145--2.13129))+0-0-0</f>
        <v>523.16252500000007</v>
      </c>
      <c r="V69" s="3">
        <f>1383.3+(47.9-898.2)+(-2.116449+(-0.073287--1.374246))+0-0-0</f>
        <v>532.18450999999993</v>
      </c>
      <c r="W69" s="3">
        <f>1396.3+(44.9-917.4)+(-4.984791+(-0.160293--3.275118))+0-0-0</f>
        <v>521.93003399999998</v>
      </c>
      <c r="X69" s="3">
        <f>1331.5+(31.8-840)+(-4.753455+(-0.113526--2.9988))+0-0-0</f>
        <v>521.4318189999999</v>
      </c>
      <c r="Y69" s="3">
        <f>1314.4+(35.1-817.6)+(-0.670344+(-0.017901--0.416976))+0-0-0</f>
        <v>531.62873100000013</v>
      </c>
      <c r="Z69" s="3">
        <f>1366.8+(26-787.3)+(-1.394136+(-0.02652--0.803046))+0-0-0</f>
        <v>604.88238999999999</v>
      </c>
      <c r="AA69" s="3">
        <f>1398.4+(14.2-724.6)+(-4.279104+(-0.043452--2.217276))+0-0-0</f>
        <v>685.89472000000012</v>
      </c>
      <c r="AB69" s="3">
        <f>1405.8+(14.4-751.2)+(-2.867832+(-0.029376--1.532448))+0-0-0</f>
        <v>667.63523999999984</v>
      </c>
      <c r="AC69" s="3">
        <f>1401.1+(18.3-804.5)+(-4.287366+(-0.055998--2.46177))+0-0-0</f>
        <v>613.01840599999991</v>
      </c>
      <c r="AD69">
        <v>654.09999999999991</v>
      </c>
      <c r="AE69" s="3">
        <f>1423+(13.3-782.2)+(0+(0-0))+0-0-0</f>
        <v>654.09999999999991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1374+(19-822.9)+(-1.40148+(-0.01938--0.839358))+0-0-0</f>
        <v>569.51849800000002</v>
      </c>
      <c r="G70" s="3">
        <f>1194.6+(24.1-691.3)+(-3.04623+(-0.061455--1.762815))+0-0-0</f>
        <v>526.05512999999996</v>
      </c>
      <c r="H70" s="3">
        <f>1087.5+(16.8-629.1)+(-2.2185+(-0.034272--1.283364))+0-0-0</f>
        <v>474.23059199999994</v>
      </c>
      <c r="I70" s="3">
        <f>1086.4+(17.3-639.4)+(-1.662192+(-0.026469--0.978282))+0-0-0</f>
        <v>463.58962100000008</v>
      </c>
      <c r="J70" s="3">
        <f>1083.2+(18-646.1)+(-1.657296+(-0.02754--0.988533))+0-0-0</f>
        <v>454.40369700000002</v>
      </c>
      <c r="K70" s="3">
        <f>1082.5+(14.3-684.1)+(-2.2083+(-0.029172--1.395564))+0-0-0</f>
        <v>411.85809199999994</v>
      </c>
      <c r="L70" s="3">
        <f>1086+(15.8-678.1)+(-1.66158+(-0.024174--1.037493))+0-0-0</f>
        <v>423.05173899999994</v>
      </c>
      <c r="M70" s="3">
        <f>1096.9+(18.8-664.3)+(-0.559419+(-0.009588--0.338793))+0-0-0</f>
        <v>451.1697860000001</v>
      </c>
      <c r="N70" s="3">
        <f>1276.3+(18.8-783.4)+(0+(0-0))+0-0-0</f>
        <v>511.69999999999993</v>
      </c>
      <c r="O70" s="3">
        <f>1333.9+(20.4-802.3)+(0.680289+(0.010404-0.409173))+0-0-0</f>
        <v>552.28152000000011</v>
      </c>
      <c r="P70" s="3">
        <f>1412.8+(27.3-843.4)+(0.720528+(0.013923-0.430134))+0-0-0</f>
        <v>597.0043169999999</v>
      </c>
      <c r="Q70" s="3">
        <f>1408.8+(28.1-823.8)+(0.718488+(0.014331-0.420138))+0-0-0</f>
        <v>613.41268100000002</v>
      </c>
      <c r="R70" s="3">
        <f>1402.5+(32.2-809.8)+(0+(0-0))+0-0-0</f>
        <v>624.90000000000009</v>
      </c>
      <c r="S70" s="3">
        <f>1401.4+(36.6-855.2)+(0+(0-0))+0-0-0</f>
        <v>582.80000000000007</v>
      </c>
      <c r="T70" s="3">
        <f>1389.3+(91.5-917)+(-2.125629+(-0.139995--1.40301))+0-0-0</f>
        <v>562.93738599999995</v>
      </c>
      <c r="U70" s="3">
        <f>1399.2+(118.8-958.9)+(1.427184+(0.121176-0.978078))+0-0-0</f>
        <v>559.67028200000004</v>
      </c>
      <c r="V70" s="3">
        <f>1388.2+(124.8-946.4)+(-1.415964+(-0.127296--0.965328))+0-0-0</f>
        <v>566.02206799999999</v>
      </c>
      <c r="W70" s="3">
        <f>1369.4+(112.8-913.4)+(-4.888758+(-0.402696--3.260838))+0-0-0</f>
        <v>566.76938400000006</v>
      </c>
      <c r="X70" s="3">
        <f>1382+(101.2-925.8)+(-3.5241+(-0.25806--2.36079))+0-0-0</f>
        <v>555.97863000000007</v>
      </c>
      <c r="Y70" s="3">
        <f>1307.6+(56.5-813.6)+(-2.000628+(-0.086445--1.244808))+0-0-0</f>
        <v>549.65773499999989</v>
      </c>
      <c r="Z70" s="3">
        <f>1333.9+(74.6-774.2)+(-1.360578+(-0.076092--0.789684))+0-0-0</f>
        <v>633.6530140000001</v>
      </c>
      <c r="AA70" s="3">
        <f>1423.2+(66.7-813.3)+(-3.62916+(-0.170085--2.073915))+0-0-0</f>
        <v>674.87467000000015</v>
      </c>
      <c r="AB70" s="3">
        <f>1441.6+(76.2-875.8)+(-2.940864+(-0.155448--1.786632))+0-0-0</f>
        <v>640.69032000000004</v>
      </c>
      <c r="AC70" s="3">
        <f>1432.7+(62.5-926)+(-2.922708+(-0.1275--1.88904))+0-0-0</f>
        <v>568.03883200000007</v>
      </c>
      <c r="AD70">
        <v>661.5</v>
      </c>
      <c r="AE70" s="3">
        <f>1428+(60.7-827.2)+(0+(0-0))+0-0-0</f>
        <v>661.5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1416+(36.3-966.8)+(-1.44432+(-0.037026--0.986136))+0-0-0</f>
        <v>485.00479000000001</v>
      </c>
      <c r="G71" s="3">
        <f>1406.5+(27.4-984.1)+(-2.86926+(-0.055896--2.007564))+0-0-0</f>
        <v>448.88240799999994</v>
      </c>
      <c r="H71" s="3">
        <f>1212.6+(16.4-814.9)+(-2.473704+(-0.033456--1.662396))+0-0-0</f>
        <v>413.25523599999991</v>
      </c>
      <c r="I71" s="3">
        <f>1086+(15.8-717)+(-1.66158+(-0.024174--1.09701))+0-0-0</f>
        <v>384.21125599999993</v>
      </c>
      <c r="J71" s="3">
        <f>1090.2+(10.7-706.3)+(-0.556002+(-0.005457--0.360213))+0-0-0</f>
        <v>394.39875400000011</v>
      </c>
      <c r="K71" s="3">
        <f>1083.1+(13.3-719.4)+(-1.657143+(-0.020349--1.100682))+0-0-0</f>
        <v>376.42318999999986</v>
      </c>
      <c r="L71" s="3">
        <f>1088.5+(8-739.9)+(-1.11027+(-0.00816--0.754698))+0-0-0</f>
        <v>356.236268</v>
      </c>
      <c r="M71" s="3">
        <f>1122.9+(11.9-714.3)+(0+(0-0))+0-0-0</f>
        <v>420.50000000000011</v>
      </c>
      <c r="N71" s="3">
        <f>1362.5+(5.6-847.7)+(1.38975+(0.005712-0.864654))+0-0-0</f>
        <v>520.93080799999996</v>
      </c>
      <c r="O71" s="3">
        <f>1416+(18.5-853.3)+(0.72216+(0.009435-0.435183))+0-0-0</f>
        <v>581.49641200000008</v>
      </c>
      <c r="P71" s="3">
        <f>1417.3+(17.8-815.2)+(0.722823+(0.009078-0.415752))+0-0-0</f>
        <v>620.21614899999986</v>
      </c>
      <c r="Q71" s="3">
        <f>1426.3+(19.1-840.7)+(1.454826+(0.019482-0.857514))+0-0-0</f>
        <v>605.31679399999996</v>
      </c>
      <c r="R71" s="3">
        <f>1418.2+(24-838.2)+(0.723282+(0.01224-0.427482))+0-0-0</f>
        <v>604.30804000000001</v>
      </c>
      <c r="S71" s="3">
        <f>1412.9+(28.2-864.1)+(-0.720579+(-0.014382--0.440691))+0-0-0</f>
        <v>576.70573000000013</v>
      </c>
      <c r="T71" s="3">
        <f>1413.2+(40.7-888.6)+(-0.720732+(-0.020757--0.453186))+0-0-0</f>
        <v>565.01169700000003</v>
      </c>
      <c r="U71" s="3">
        <f>1403.1+(42.2-890.9)+(-2.146743+(-0.064566--1.363077))+0-0-0</f>
        <v>553.55176799999992</v>
      </c>
      <c r="V71" s="3">
        <f>1413+(35.7-864.4)+(-1.44126+(-0.036414--0.881688))+0-0-0</f>
        <v>583.70401400000003</v>
      </c>
      <c r="W71" s="3">
        <f>1403+(42.4-857)+(-4.29318+(-0.129744--2.62242))+0-0-0</f>
        <v>586.59949599999993</v>
      </c>
      <c r="X71" s="3">
        <f>1405.3+(41-871.4)+(-4.300218+(-0.12546--2.666484))+0-0-0</f>
        <v>573.140806</v>
      </c>
      <c r="Y71" s="3">
        <f>1271.6+(23.3-759.4)+(-2.594064+(-0.047532--1.549176))+0-0-0</f>
        <v>534.40757999999994</v>
      </c>
      <c r="Z71" s="3">
        <f>1414.8+(28.3-835.3)+(-1.443096+(-0.028866--0.852006))+0-0-0</f>
        <v>607.18004399999995</v>
      </c>
      <c r="AA71" s="3">
        <f>1417.2+(31.9-769)+(-4.336632+(-0.097614--2.35314))+0-0-0</f>
        <v>678.01889400000005</v>
      </c>
      <c r="AB71" s="3">
        <f>1429.7+(31.9-794.4)+(-2.916588+(-0.065076--1.620576))+0-0-0</f>
        <v>665.83891200000005</v>
      </c>
      <c r="AC71" s="3">
        <f>1423.9+(38.4-828)+(-0.726189+(-0.019584--0.42228))+0-0-0</f>
        <v>633.97650700000008</v>
      </c>
      <c r="AD71">
        <v>657.89999999999986</v>
      </c>
      <c r="AE71" s="3">
        <f>1429+(32.6-803.7)+(0+(0-0))+0-0-0</f>
        <v>657.9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1419.4+(18.3-862)+(-1.447788+(-0.018666--0.87924))+0-0-0</f>
        <v>575.11278600000003</v>
      </c>
      <c r="G72" s="3">
        <f>1341.1+(26.3-838.3)+(-2.735844+(-0.053652--1.710132))+0-0-0</f>
        <v>528.02063599999985</v>
      </c>
      <c r="H72" s="3">
        <f>1181+(42.4-735.3)+(-2.40924+(-0.086496--1.500012))+0-0-0</f>
        <v>487.10427600000003</v>
      </c>
      <c r="I72" s="3">
        <f>1078.9+(48.1-659.9)+(-2.200956+(-0.098124--1.346196))+0-0-0</f>
        <v>466.14711600000015</v>
      </c>
      <c r="J72" s="3">
        <f>1088.3+(51.1-676.9)+(-0.555033+(-0.026061--0.345219))+0-0-0</f>
        <v>462.26412499999998</v>
      </c>
      <c r="K72" s="3">
        <f>1072.7+(46.5-677.5)+(-4.376616+(-0.18972--2.7642))+0-0-0</f>
        <v>439.89786400000003</v>
      </c>
      <c r="L72" s="3">
        <f>1085+(41.5-690.4)+(-1.1067+(-0.04233--0.704208))+0-0-0</f>
        <v>435.65517800000003</v>
      </c>
      <c r="M72" s="3">
        <f>1209.4+(30.2-777)+(-1.233588+(-0.030804--0.79254))+0-0-0</f>
        <v>462.12814800000012</v>
      </c>
      <c r="N72" s="3">
        <f>1334+(14.3-853.4)+(0+(0-0))+0-0-0</f>
        <v>494.9</v>
      </c>
      <c r="O72" s="3">
        <f>1379.1+(13.8-801.4)+(-1.406682+(-0.014076--0.817428))+0-0-0</f>
        <v>590.89666999999986</v>
      </c>
      <c r="P72" s="3">
        <f>1397.9+(47.5-821.7)+(-2.138787+(-0.072675--1.257201))+0-0-0</f>
        <v>622.74573900000007</v>
      </c>
      <c r="Q72" s="3">
        <f>1400.7+(79.5-831.5)+(-2.857428+(-0.16218--1.69626))+0-0-0</f>
        <v>647.37665200000004</v>
      </c>
      <c r="R72" s="3">
        <f>1406.6+(103-874.2)+(-1.434732+(-0.10506--0.891684))+0-0-0</f>
        <v>634.75189199999988</v>
      </c>
      <c r="S72" s="3">
        <f>1400.6+(109.2-890.2)+(-1.428612+(-0.111384--0.908004))+0-0-0</f>
        <v>618.96800799999994</v>
      </c>
      <c r="T72" s="3">
        <f>1401.8+(123.2-915.3)+(0.714918+(0.062832-0.466803))+0-0-0</f>
        <v>610.0109470000001</v>
      </c>
      <c r="U72" s="3">
        <f>1387.2+(113.3-899.7)+(-1.414944+(-0.115566--0.917694))+0-0-0</f>
        <v>600.187184</v>
      </c>
      <c r="V72" s="3">
        <f>1372.8+(99.4-875.1)+(-4.900896+(-0.354858--3.124107))+0-0-0</f>
        <v>594.96835299999987</v>
      </c>
      <c r="W72" s="3">
        <f>1388+(50.7-843.5)+(-1.41576+(-0.051714--0.86037))+0-0-0</f>
        <v>594.592896</v>
      </c>
      <c r="X72" s="3">
        <f>1380+(43-834.4)+(-3.519+(-0.10965--2.12772))+0-0-0</f>
        <v>587.09906999999998</v>
      </c>
      <c r="Y72" s="3">
        <f>1393.6+(55.1-862.9)+(0+(0-0))+0-0-0</f>
        <v>585.79999999999995</v>
      </c>
      <c r="Z72" s="3">
        <f>1426.9+(87.8-853.9)+(0+(0-0))+0-0-0</f>
        <v>660.80000000000007</v>
      </c>
      <c r="AA72" s="3">
        <f>1416.5+(65.9-771.8)+(-2.88966+(-0.134436--1.574472))+0-0-0</f>
        <v>709.15037600000005</v>
      </c>
      <c r="AB72" s="3">
        <f>1427.8+(44.7-789.4)+(0+(0-0))+0-0-0</f>
        <v>683.1</v>
      </c>
      <c r="AC72" s="3">
        <f>1410.6+(50.9-828.9)+(-2.877624+(-0.103836--1.690956))+0-0-0</f>
        <v>631.30949599999985</v>
      </c>
      <c r="AD72">
        <v>724.69999999999993</v>
      </c>
      <c r="AE72" s="3">
        <f>1420+(108.3-803.6)+(0+(0-0))+0-0-0</f>
        <v>724.69999999999993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1409.2+(45-926.3)+(-2.874768+(-0.0918--1.889652))+0-0-0</f>
        <v>526.82308400000011</v>
      </c>
      <c r="G73" s="3">
        <f>1394.5+(48.3-975.1)+(-3.555975+(-0.123165--2.486505))+0-0-0</f>
        <v>466.50736499999994</v>
      </c>
      <c r="H73" s="3">
        <f>1413.9+(50.2-1011.5)+(-0.721089+(-0.025602--0.515865))+0-0-0</f>
        <v>452.36917400000016</v>
      </c>
      <c r="I73" s="3">
        <f>1420.9+(50.9-1023.1)+(0+(0-0))+0-0-0</f>
        <v>448.70000000000005</v>
      </c>
      <c r="J73" s="3">
        <f>1414.6+(52.2-1016.8)+(-1.442892+(-0.053244--1.037136))+0-0-0</f>
        <v>449.541</v>
      </c>
      <c r="K73" s="3">
        <f>1372.5+(52.8-984.2)+(-3.499875+(-0.13464--2.50971))+0-0-0</f>
        <v>439.97519499999993</v>
      </c>
      <c r="L73" s="3">
        <f>1116.3+(35.4-764.1)+(1.138626+(0.036108-0.779382))+0-0-0</f>
        <v>387.99535199999991</v>
      </c>
      <c r="M73" s="3">
        <f>1215.1+(29.7-804.3)+(-0.619701+(-0.015147--0.410193))+0-0-0</f>
        <v>440.27534500000002</v>
      </c>
      <c r="N73" s="3">
        <f>1404.2+(19.6-906)+(2.148426+(0.029988-1.38618))+0-0-0</f>
        <v>518.59223400000008</v>
      </c>
      <c r="O73" s="3">
        <f>1385.9+(69.4-886.4)+(-0.706809+(-0.035394--0.452064))+0-0-0</f>
        <v>568.60986100000014</v>
      </c>
      <c r="P73" s="3">
        <f>1276.2+(140.9-821.2)+(0+(0-0))+0-0-0</f>
        <v>595.9</v>
      </c>
      <c r="Q73" s="3">
        <f>1191.6+(167.6-759)+(0+(0-0))+0-0-0</f>
        <v>600.19999999999993</v>
      </c>
      <c r="R73" s="3">
        <f>1194.1+(190.8-794.8)+(0.608991+(0.097308-0.405348))+0-0-0</f>
        <v>590.40095099999996</v>
      </c>
      <c r="S73" s="3">
        <f>1169.1+(181.9-785)+(-2.384964+(-0.371076--1.6014))+0-0-0</f>
        <v>564.84535999999991</v>
      </c>
      <c r="T73" s="3">
        <f>1166.9+(191.4-794.4)+(-2.380476+(-0.390456--1.620576))+0-0-0</f>
        <v>562.7496440000001</v>
      </c>
      <c r="U73" s="3">
        <f>1282.7+(204.3-889.2)+(-1.308354+(-0.208386--0.906984))+0-0-0</f>
        <v>597.19024400000001</v>
      </c>
      <c r="V73" s="3">
        <f>1240.8+(211.3-879.3)+(-2.531232+(-0.431052--1.793772))+0-0-0</f>
        <v>571.63148799999999</v>
      </c>
      <c r="W73" s="3">
        <f>1274.6+(216-914.1)+(-3.25023+(-0.5508--2.330955))+0-0-0</f>
        <v>575.02992499999993</v>
      </c>
      <c r="X73" s="3">
        <f>1336.9+(198.2-966.7)+(-6.81819+(-1.01082--4.93017))+0-0-0</f>
        <v>565.50116000000014</v>
      </c>
      <c r="Y73" s="3">
        <f>1358.2+(114.6-925.9)+(-2.078046+(-0.175338--1.416627))+0-0-0</f>
        <v>546.06324300000006</v>
      </c>
      <c r="Z73" s="3">
        <f>1394.6+(131-903.8)+(0.711246+(0.06681-0.460938))+0-0-0</f>
        <v>622.117118</v>
      </c>
      <c r="AA73" s="3">
        <f>1401.8+(192.2-903.6)+(-2.859672+(-0.392088--1.843344))+0-0-0</f>
        <v>688.99158399999988</v>
      </c>
      <c r="AB73" s="3">
        <f>1402.3+(156.5-890.2)+(-1.430346+(-0.15963--0.908004))+0-0-0</f>
        <v>667.91802799999994</v>
      </c>
      <c r="AC73" s="3">
        <f>1387+(139.3-903.9)+(-3.53685+(-0.355215--2.304945))+0-0-0</f>
        <v>620.81288000000006</v>
      </c>
      <c r="AD73">
        <v>648.6</v>
      </c>
      <c r="AE73" s="3">
        <f>1372+(208.7-932.1)+(0+(0-0))+0-0-0</f>
        <v>648.59999999999991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1246.3+(111.9-774.6)+(-3.178065+(-0.285345--1.97523))+0-0-0</f>
        <v>582.11181999999985</v>
      </c>
      <c r="G74" s="3">
        <f>1170.8+(106.3-748.1)+(-2.98554+(-0.271065--1.907655))+0-0-0</f>
        <v>527.65104999999994</v>
      </c>
      <c r="H74" s="3">
        <f>1186.4+(80.9-792)+(0.605064+(0.041259-0.40392))+0-0-0</f>
        <v>475.54240300000009</v>
      </c>
      <c r="I74" s="3">
        <f>1179.2+(86.4-806.9)+(-0.601392+(-0.044064--0.411519))+0-0-0</f>
        <v>458.46606300000002</v>
      </c>
      <c r="J74" s="3">
        <f>1164.3+(87.5-799.8)+(-4.156551+(-0.312375--2.855286))+0-0-0</f>
        <v>450.38636000000002</v>
      </c>
      <c r="K74" s="3">
        <f>1157.4+(34.5-774.7)+(-5.312466+(-0.158355--3.555873))+0-0-0</f>
        <v>415.28505200000006</v>
      </c>
      <c r="L74" s="3">
        <f>1165.6+(15.1-775.5)+(-2.97228+(-0.038505--1.977525))+0-0-0</f>
        <v>404.16673999999995</v>
      </c>
      <c r="M74" s="3">
        <f>1187.7+(12-759)+(1.817181+(0.01836-1.16127))+0-0-0</f>
        <v>441.37427100000002</v>
      </c>
      <c r="N74" s="3">
        <f>1185.8+(17.2-698.8)+(1.814274+(0.026316-1.069164))+0-0-0</f>
        <v>504.97142600000006</v>
      </c>
      <c r="O74" s="3">
        <f>1190.1+(62.4-706.9)+(2.427804+(0.127296-1.442076))+0-0-0</f>
        <v>546.7130239999999</v>
      </c>
      <c r="P74" s="3">
        <f>1182.4+(69.6-685.5)+(1.809072+(0.106488-1.048815))+0-0-0</f>
        <v>567.36674500000015</v>
      </c>
      <c r="Q74" s="3">
        <f>1179+(79.1-672.6)+(0+(0-0))+0-0-0</f>
        <v>585.5</v>
      </c>
      <c r="R74" s="3">
        <f>1242+(92.6-723)+(-0.63342+(-0.047226--0.36873))+0-0-0</f>
        <v>611.28808400000003</v>
      </c>
      <c r="S74" s="3">
        <f>1261.5+(83.5-762.8)+(-3.216825+(-0.212925--1.94514))+0-0-0</f>
        <v>580.71539000000007</v>
      </c>
      <c r="T74" s="3">
        <f>1263.2+(74.2-768.6)+(-3.865392+(-0.227052--2.351916))+0-0-0</f>
        <v>567.05947200000003</v>
      </c>
      <c r="U74" s="3">
        <f>1219.9+(49.5-709)+(-1.866447+(-0.075735--1.08477))+0-0-0</f>
        <v>559.54258800000014</v>
      </c>
      <c r="V74" s="3">
        <f>1239.1+(41.7-693)+(0+(0-0))+0-0-0</f>
        <v>587.79999999999995</v>
      </c>
      <c r="W74" s="3">
        <f>1153.8+(34.3-611.5)+(1.176876+(0.034986-0.62373))+0-0-0</f>
        <v>577.18813199999988</v>
      </c>
      <c r="X74" s="3">
        <f>1146.5+(26.1-599.7)+(-1.754145+(-0.039933--0.917541))+0-0-0</f>
        <v>572.02346299999999</v>
      </c>
      <c r="Y74" s="3">
        <f>1142.8+(33.8-629.6)+(0.582828+(0.017238-0.321096))+0-0-0</f>
        <v>547.27896999999984</v>
      </c>
      <c r="Z74" s="3">
        <f>1149.3+(67.2-618)+(-1.758429+(-0.102816--0.94554))+0-0-0</f>
        <v>597.584295</v>
      </c>
      <c r="AA74" s="3">
        <f>1176.9+(76.4-597.7)+(-1.200438+(-0.077928--0.609654))+0-0-0</f>
        <v>654.931288</v>
      </c>
      <c r="AB74" s="3">
        <f>1175.1+(79.1-606.5)+(-1.797903+(-0.121023--0.927945))+0-0-0</f>
        <v>646.7090189999999</v>
      </c>
      <c r="AC74" s="3">
        <f>1180.5+(89.2-650.3)+(0+(0-0))+0-0-0</f>
        <v>619.40000000000009</v>
      </c>
      <c r="AD74">
        <v>638.1</v>
      </c>
      <c r="AE74" s="3">
        <f>1202+(75.7-639.6)+(0+(0-0))+0-0-0</f>
        <v>638.1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1174.3+(106.7-734.7)+(-1.197786+(-0.108834--0.749394))+0-0-0</f>
        <v>545.74277399999994</v>
      </c>
      <c r="G75" s="3">
        <f>1167.8+(127.8-793.5)+(-2.382312+(-0.260712--1.61874))+0-0-0</f>
        <v>501.07571599999989</v>
      </c>
      <c r="H75" s="3">
        <f>1166.8+(129.6-812)+(-2.380272+(-0.264384--1.65648))+0-0-0</f>
        <v>483.41182399999997</v>
      </c>
      <c r="I75" s="3">
        <f>1177.9+(101.6-821.1)+(0.600729+(0.051816-0.418761))+0-0-0</f>
        <v>458.63378400000011</v>
      </c>
      <c r="J75" s="3">
        <f>1169.8+(107.8-826.6)+(-1.193196+(-0.109956--0.843132))+0-0-0</f>
        <v>450.5399799999999</v>
      </c>
      <c r="K75" s="3">
        <f>1173.4+(104.8-847.9)+(-1.196868+(-0.106896--0.864858))+0-0-0</f>
        <v>429.86109400000009</v>
      </c>
      <c r="L75" s="3">
        <f>1167.5+(64.6-851.7)+(-2.977125+(-0.16473--2.171835))+0-0-0</f>
        <v>379.42998</v>
      </c>
      <c r="M75" s="3">
        <f>1180.6+(32.7-832.1)+(0+(0-0))+0-0-0</f>
        <v>381.19999999999993</v>
      </c>
      <c r="N75" s="3">
        <f>1186.7+(61.6-821.5)+(1.815651+(0.094248-1.256895))+0-0-0</f>
        <v>427.45300400000008</v>
      </c>
      <c r="O75" s="3">
        <f>1185.9+(78.9-802.7)+(1.814427+(0.120717-1.228131))+0-0-0</f>
        <v>462.80701300000004</v>
      </c>
      <c r="P75" s="3">
        <f>1210.7+(120.1-837.7)+(3.087285+(0.306255-2.136135))+0-0-0</f>
        <v>494.35740500000003</v>
      </c>
      <c r="Q75" s="3">
        <f>1212.1+(116.5-825.3)+(1.854513+(0.178245-1.262709))+0-0-0</f>
        <v>504.07004899999993</v>
      </c>
      <c r="R75" s="3">
        <f>1212.6+(118.6-833.6)+(-1.236852+(-0.120972--0.850272))+0-0-0</f>
        <v>497.09244799999993</v>
      </c>
      <c r="S75" s="3">
        <f>1216.4+(118.1-854.3)+(-0.620364+(-0.060231--0.435693))+0-0-0</f>
        <v>479.95509800000013</v>
      </c>
      <c r="T75" s="3">
        <f>1213.2+(119.4-874.4)+(0+(0-0))+0-0-0</f>
        <v>458.20000000000005</v>
      </c>
      <c r="U75" s="3">
        <f>1218+(121.4-884.9)+(0+(0-0))+0-0-0</f>
        <v>454.5</v>
      </c>
      <c r="V75" s="3">
        <f>1221.4+(123.2-891.6)+(-1.868742+(-0.188496--1.364148))+0-0-0</f>
        <v>452.30691000000013</v>
      </c>
      <c r="W75" s="3">
        <f>1224.7+(122.3-889.3)+(-3.122985+(-0.311865--2.267715))+0-0-0</f>
        <v>456.53286500000007</v>
      </c>
      <c r="X75" s="3">
        <f>1231.1+(87.5-868.1)+(-3.139305+(-0.223125--2.213655))+0-0-0</f>
        <v>449.35122499999989</v>
      </c>
      <c r="Y75" s="3">
        <f>1231.4+(40.9-823)+(-1.256028+(-0.041718--0.83946))+0-0-0</f>
        <v>448.84171400000008</v>
      </c>
      <c r="Z75" s="3">
        <f>1237.7+(50-768.2)+(-1.262454+(-0.051--0.783564))+0-0-0</f>
        <v>518.97010999999998</v>
      </c>
      <c r="AA75" s="3">
        <f>1251.8+(37.6-723.7)+(-2.553672+(-0.076704--1.476348))+0-0-0</f>
        <v>564.54597199999989</v>
      </c>
      <c r="AB75" s="3">
        <f>1254.3+(26.8-710)+(-2.558772+(-0.054672--1.4484))+0-0-0</f>
        <v>569.93495599999994</v>
      </c>
      <c r="AC75" s="3">
        <f>1253.6+(47.1-750.7)+(-1.278672+(-0.048042--0.765714))+0-0-0</f>
        <v>549.43899999999985</v>
      </c>
      <c r="AD75">
        <v>580.6</v>
      </c>
      <c r="AE75" s="3">
        <f>1258+(27-704.4)+(0+(0-0))+0-0-0</f>
        <v>580.6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1249+(81.8-814.4)+(-2.54796+(-0.166872--1.661376))+0-0-0</f>
        <v>515.34654399999999</v>
      </c>
      <c r="G76" s="3">
        <f>1249.9+(120.1-893)+(0+(0-0))+0-0-0</f>
        <v>477.00000000000011</v>
      </c>
      <c r="H76" s="3">
        <f>1249+(118.9-921)+(-1.91097+(-0.181917--1.40913))+0-0-0</f>
        <v>446.21624299999996</v>
      </c>
      <c r="I76" s="3">
        <f>1190.9+(117.5-874.6)+(-1.214718+(-0.11985--0.892092))+0-0-0</f>
        <v>433.35752400000007</v>
      </c>
      <c r="J76" s="3">
        <f>1127.5+(113.9-812)+(0.575025+(0.058089-0.41412))+0-0-0</f>
        <v>429.61899399999999</v>
      </c>
      <c r="K76" s="3">
        <f>983.8+(85-657.9)+(-3.010428+(-0.2601--2.013174))+0-0-0</f>
        <v>409.64264599999996</v>
      </c>
      <c r="L76" s="3">
        <f>922.5+(80.2-609.4)+(-1.411425+(-0.122706--0.932382))+0-0-0</f>
        <v>392.69825100000008</v>
      </c>
      <c r="M76" s="3">
        <f>961.6+(70-621.7)+(0.980832+(0.0714-0.634134))+0-0-0</f>
        <v>410.31809799999996</v>
      </c>
      <c r="N76" s="3">
        <f>1177.3+(56.1-796.5)+(-3.002115+(-0.143055--2.031075))+0-0-0</f>
        <v>435.78590499999996</v>
      </c>
      <c r="O76" s="3">
        <f>1258.4+(40.1-816)+(-0.641784+(-0.020451--0.41616))+0-0-0</f>
        <v>482.25392500000009</v>
      </c>
      <c r="P76" s="3">
        <f>1347.7+(53.9-887.1)+(0+(0-0))+0-0-0</f>
        <v>514.5</v>
      </c>
      <c r="Q76" s="3">
        <f>1367.1+(78.2-901.4)+(0.697221+(0.039882-0.459714))+0-0-0</f>
        <v>544.17738899999995</v>
      </c>
      <c r="R76" s="3">
        <f>1364.6+(95.1-890.2)+(0+(0-0))+0-0-0</f>
        <v>569.49999999999989</v>
      </c>
      <c r="S76" s="3">
        <f>1361.2+(107.5-922.3)+(-0.694212+(-0.054825--0.470373))+0-0-0</f>
        <v>546.12133600000004</v>
      </c>
      <c r="T76" s="3">
        <f>1350.8+(116.2-940)+(-3.44454+(-0.29631--2.397))+0-0-0</f>
        <v>525.65615000000003</v>
      </c>
      <c r="U76" s="3">
        <f>1356+(82.8-910.9)+(-1.38312+(-0.084456--0.929118))+0-0-0</f>
        <v>527.36154199999999</v>
      </c>
      <c r="V76" s="3">
        <f>1347.8+(40.5-880.7)+(-3.43689+(-0.103275--2.245785))+0-0-0</f>
        <v>506.30561999999992</v>
      </c>
      <c r="W76" s="3">
        <f>1349.7+(35.2-861)+(-2.753388+(-0.071808--1.75644))+0-0-0</f>
        <v>522.83124400000008</v>
      </c>
      <c r="X76" s="3">
        <f>1347.7+(32-865.4)+(-4.123962+(-0.09792--2.648124))+0-0-0</f>
        <v>512.72624200000007</v>
      </c>
      <c r="Y76" s="3">
        <f>1357.6+(33.6-891.2)+(-2.077128+(-0.051408--1.363536))+0-0-0</f>
        <v>499.2349999999999</v>
      </c>
      <c r="Z76" s="3">
        <f>1389+(55-844.9)+(-1.41678+(-0.0561--0.861798))+0-0-0</f>
        <v>598.48891800000001</v>
      </c>
      <c r="AA76" s="3">
        <f>1385.3+(49.7-786)+(-2.826012+(-0.101388--1.60344))+0-0-0</f>
        <v>647.67603999999994</v>
      </c>
      <c r="AB76" s="3">
        <f>1313+(43.3-725.7)+(-2.00889+(-0.066249--1.110321))+0-0-0</f>
        <v>629.63518199999987</v>
      </c>
      <c r="AC76" s="3">
        <f>1298.1+(32.9-722.8)+(-1.986093+(-0.050337--1.105884))+0-0-0</f>
        <v>607.26945399999988</v>
      </c>
      <c r="AD76">
        <v>628.1</v>
      </c>
      <c r="AE76" s="3">
        <f>1397+(47-815.9)+(0+(0-0))+0-0-0</f>
        <v>628.1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1296.2+(20.4-766.6)+(-2.644248+(-0.041616--1.563864))+0-0-0</f>
        <v>548.87800000000004</v>
      </c>
      <c r="G77" s="3">
        <f>1309.5+(35-843.8)+(0.667845+(0.01785-0.430338))+0-0-0</f>
        <v>500.95535700000005</v>
      </c>
      <c r="H77" s="3">
        <f>1300.8+(39.5-871.3)+(-1.326816+(-0.04029--0.888726))+0-0-0</f>
        <v>468.52161999999998</v>
      </c>
      <c r="I77" s="3">
        <f>1304.8+(41.2-872.9)+(0+(0-0))+0-0-0</f>
        <v>473.1</v>
      </c>
      <c r="J77" s="3">
        <f>1312.3+(39.3-876.9)+(2.007819+(0.060129-1.341657))+0-0-0</f>
        <v>475.42629099999994</v>
      </c>
      <c r="K77" s="3">
        <f>1263.2+(35.3-847.9)+(-3.865392+(-0.108018--2.594574))+0-0-0</f>
        <v>449.22116400000004</v>
      </c>
      <c r="L77" s="3">
        <f>1090.4+(42.2-722.2)+(-1.112208+(-0.043044--0.736644))+0-0-0</f>
        <v>409.98139200000008</v>
      </c>
      <c r="M77" s="3">
        <f>1063.1+(39.6-681.1)+(0.542181+(0.020196-0.347361))+0-0-0</f>
        <v>421.8150159999999</v>
      </c>
      <c r="N77" s="3">
        <f>1058.7+(39.6-645.9)+(0+(0-0))+0-0-0</f>
        <v>452.40000000000009</v>
      </c>
      <c r="O77" s="3">
        <f>1249.1+(30.5-758.7)+(-1.274082+(-0.03111--0.773874))+0-0-0</f>
        <v>520.36868199999981</v>
      </c>
      <c r="P77" s="3">
        <f>1366.7+(26.6-829)+(0+(0-0))+0-0-0</f>
        <v>564.30000000000007</v>
      </c>
      <c r="Q77" s="3">
        <f>1364.9+(92.8-871.1)+(0.696099+(0.047328-0.444261))+0-0-0</f>
        <v>586.89916600000004</v>
      </c>
      <c r="R77" s="3">
        <f>1361.4+(91.6-875.9)+(1.388628+(0.093432-0.893418))+0-0-0</f>
        <v>577.68864200000019</v>
      </c>
      <c r="S77" s="3">
        <f>1347.4+(98.4-877.2)+(-0.687174+(-0.050184--0.447372))+0-0-0</f>
        <v>568.31001400000002</v>
      </c>
      <c r="T77" s="3">
        <f>1351.1+(102.7-894.4)+(0.689061+(0.052377-0.456144))+0-0-0</f>
        <v>559.685294</v>
      </c>
      <c r="U77" s="3">
        <f>1340.5+(102.3-895.7)+(-1.36731+(-0.104346--0.913614))+0-0-0</f>
        <v>546.54195799999991</v>
      </c>
      <c r="V77" s="3">
        <f>1342.9+(111.6-901.2)+(-1.369758+(-0.113832--0.919224))+0-0-0</f>
        <v>552.73563400000012</v>
      </c>
      <c r="W77" s="3">
        <f>1329.3+(110.6-876.2)+(-3.389715+(-0.28203--2.23431))+0-0-0</f>
        <v>562.26256499999988</v>
      </c>
      <c r="X77" s="3">
        <f>1325.3+(76.3-841.5)+(-4.731321+(-0.272391--3.004155))+0-0-0</f>
        <v>558.10044299999993</v>
      </c>
      <c r="Y77" s="3">
        <f>1338.9+(51.7-839.5)+(-1.365678+(-0.052734--0.85629))+0-0-0</f>
        <v>550.53787800000009</v>
      </c>
      <c r="Z77" s="3">
        <f>1357.3+(42.9-779.9)+(0.692223+(0.021879-0.397749))+0-0-0</f>
        <v>620.616353</v>
      </c>
      <c r="AA77" s="3">
        <f>1364.4+(68.4-722.4)+(-2.087532+(-0.104652--1.105272))+0-0-0</f>
        <v>709.31308800000011</v>
      </c>
      <c r="AB77" s="3">
        <f>1361.4+(87.5-759.5)+(-2.777256+(-0.1785--1.54938))+0-0-0</f>
        <v>687.99362400000007</v>
      </c>
      <c r="AC77" s="3">
        <f>1361.3+(103.5-817.3)+(-3.471315+(-0.263925--2.084115))+0-0-0</f>
        <v>645.84887500000002</v>
      </c>
      <c r="AD77">
        <v>662.1</v>
      </c>
      <c r="AE77" s="3">
        <f>1368+(90.2-796.1)+(0+(0-0))+0-0-0</f>
        <v>662.1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1392.2+(76.8-895.2)+(-2.130066+(-0.117504--1.369656))+0-0-0</f>
        <v>572.92208599999992</v>
      </c>
      <c r="G78" s="3">
        <f>1303.3+(68.1-853.5)+(-1.329366+(-0.069462--0.87057))+0-0-0</f>
        <v>517.37174199999993</v>
      </c>
      <c r="H78" s="3">
        <f>1243+(71.8-834.8)+(-1.26786+(-0.073236--0.851496))+0-0-0</f>
        <v>479.5104</v>
      </c>
      <c r="I78" s="3">
        <f>1250.1+(47.8-829.8)+(0.637551+(0.024378-0.423198))+0-0-0</f>
        <v>468.33873099999988</v>
      </c>
      <c r="J78" s="3">
        <f>1236.1+(47.9-823)+(-3.152055+(-0.122145--2.09865))+0-0-0</f>
        <v>459.8244499999999</v>
      </c>
      <c r="K78" s="3">
        <f>1205.3+(46.7-798.5)+(-4.302921+(-0.166719--2.850645))+0-0-0</f>
        <v>451.88100500000002</v>
      </c>
      <c r="L78" s="3">
        <f>1093.7+(49.5-696.5)+(1.115574+(0.05049-0.71043))+0-0-0</f>
        <v>447.15563400000002</v>
      </c>
      <c r="M78" s="3">
        <f>1089.2+(54.8-649.8)+(0+(0-0))+0-0-0</f>
        <v>494.20000000000005</v>
      </c>
      <c r="N78" s="3">
        <f>1291.8+(44-757.6)+(0+(0-0))+0-0-0</f>
        <v>578.19999999999993</v>
      </c>
      <c r="O78" s="3">
        <f>1402.1+(59-833)+(0.715071+(0.03009-0.42483))+0-0-0</f>
        <v>628.42033099999992</v>
      </c>
      <c r="P78" s="3">
        <f>1401.3+(114.4-858.2)+(1.429326+(0.116688-0.875364))+0-0-0</f>
        <v>658.17064999999991</v>
      </c>
      <c r="Q78" s="3">
        <f>1396.3+(112-861.9)+(0.712113+(0.05712-0.439569))+0-0-0</f>
        <v>646.72966399999996</v>
      </c>
      <c r="R78" s="3">
        <f>1396.5+(113.8-869.8)+(0.712215+(0.058038-0.443598))+0-0-0</f>
        <v>640.82665499999996</v>
      </c>
      <c r="S78" s="3">
        <f>1392.6+(116.5-869.6)+(-1.420452+(-0.11883--0.886992))+0-0-0</f>
        <v>638.84770999999989</v>
      </c>
      <c r="T78" s="3">
        <f>1394.3+(121.6-902.3)+(-0.711093+(-0.062016--0.460173))+0-0-0</f>
        <v>613.28706399999999</v>
      </c>
      <c r="U78" s="3">
        <f>1381.4+(127.9-923)+(-2.818056+(-0.260916--1.88292))+0-0-0</f>
        <v>585.10394800000006</v>
      </c>
      <c r="V78" s="3">
        <f>1369.5+(132.7-925)+(-4.889115+(-0.473739--3.30225))+0-0-0</f>
        <v>575.13939600000003</v>
      </c>
      <c r="W78" s="3">
        <f>1382.7+(57.4-883.6)+(-2.115531+(-0.087822--1.351908))+0-0-0</f>
        <v>555.64855499999999</v>
      </c>
      <c r="X78" s="3">
        <f>1380.2+(49.8-878.8)+(-3.51951+(-0.12699--2.24094))+0-0-0</f>
        <v>549.79444000000001</v>
      </c>
      <c r="Y78" s="3">
        <f>1383.2+(41.2-883.7)+(-2.116296+(-0.063036--1.352061))+0-0-0</f>
        <v>539.87272900000005</v>
      </c>
      <c r="Z78" s="3">
        <f>1397.5+(71.2-863.4)+(-1.42545+(-0.072624--0.880668))+0-0-0</f>
        <v>604.68259400000011</v>
      </c>
      <c r="AA78" s="3">
        <f>1468.3+(99.1-890.1)+(-2.995332+(-0.202164--1.815804))+0-0-0</f>
        <v>675.91830799999991</v>
      </c>
      <c r="AB78" s="3">
        <f>1476.8+(102.6-925.4)+(-3.012672+(-0.209304--1.887816))+0-0-0</f>
        <v>652.66584</v>
      </c>
      <c r="AC78" s="3">
        <f>1468.7+(116.6-976.3)+(-2.247111+(-0.178398--1.493739))+0-0-0</f>
        <v>608.06823000000009</v>
      </c>
      <c r="AD78">
        <v>689.6</v>
      </c>
      <c r="AE78" s="3">
        <f>1479+(99.2-888.6)+(0+(0-0))+0-0-0</f>
        <v>689.6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1352.5+(144-948.3)+(-3.448875+(-0.3672--2.418165))+0-0-0</f>
        <v>546.80209000000002</v>
      </c>
      <c r="G79" s="3">
        <f>1283.2+(148.6-949.2)+(-2.617728+(-0.303144--1.936368))+0-0-0</f>
        <v>481.61549600000001</v>
      </c>
      <c r="H79" s="3">
        <f>1287.2+(132.5-953.6)+(-1.312944+(-0.13515--0.972672))+0-0-0</f>
        <v>465.62457800000004</v>
      </c>
      <c r="I79" s="3">
        <f>1278.9+(130.4-958)+(-3.261195+(-0.33252--2.4429))+0-0-0</f>
        <v>450.14918500000005</v>
      </c>
      <c r="J79" s="3">
        <f>1279.3+(123-955.5)+(-3.262215+(-0.31365--2.436525))+0-0-0</f>
        <v>445.66065999999995</v>
      </c>
      <c r="K79" s="3">
        <f>1279.5+(119.6-968.4)+(-3.262725+(-0.30498--2.46942))+0-0-0</f>
        <v>429.60171500000007</v>
      </c>
      <c r="L79" s="3">
        <f>1017.6+(140.4-769.7)+(0.518976+(0.071604-0.392547))+0-0-0</f>
        <v>388.49803299999996</v>
      </c>
      <c r="M79" s="3">
        <f>1061.1+(112.5-754.6)+(0+(0-0))+0-0-0</f>
        <v>418.99999999999989</v>
      </c>
      <c r="N79" s="3">
        <f>1257.6+(91-833.1)+(-1.282752+(-0.09282--0.849762))+0-0-0</f>
        <v>514.97418999999991</v>
      </c>
      <c r="O79" s="3">
        <f>1257.9+(120.3-809.7)+(-1.283058+(-0.122706--0.825894))+0-0-0</f>
        <v>567.92012999999997</v>
      </c>
      <c r="P79" s="3">
        <f>1253.4+(146-822.5)+(-1.917702+(-0.22338--1.258425))+0-0-0</f>
        <v>576.0173430000001</v>
      </c>
      <c r="Q79" s="3">
        <f>1261.1+(136.6-800.7)+(0.643161+(0.069666-0.408357))+0-0-0</f>
        <v>597.30446999999992</v>
      </c>
      <c r="R79" s="3">
        <f>1265.6+(136.1-808.4)+(1.290912+(0.138822-0.824568))+0-0-0</f>
        <v>593.90516600000001</v>
      </c>
      <c r="S79" s="3">
        <f>1251.5+(144.6-826.7)+(-1.27653+(-0.147492--0.843234))+0-0-0</f>
        <v>568.81921199999999</v>
      </c>
      <c r="T79" s="3">
        <f>1258.2+(148-845.7)+(-0.641682+(-0.07548--0.431307))+0-0-0</f>
        <v>560.21414500000003</v>
      </c>
      <c r="U79" s="3">
        <f>1253.3+(152.3-858.1)+(-0.639183+(-0.077673--0.437631))+0-0-0</f>
        <v>547.220775</v>
      </c>
      <c r="V79" s="3">
        <f>1255.2+(142.5-863)+(-1.280304+(-0.14535--0.88026))+0-0-0</f>
        <v>534.15460600000006</v>
      </c>
      <c r="W79" s="3">
        <f>1270.8+(140-871.6)+(-1.944324+(-0.2142--1.333548))+0-0-0</f>
        <v>538.37502399999994</v>
      </c>
      <c r="X79" s="3">
        <f>1326.4+(96.4-891.9)+(-3.38232+(-0.24582--2.274345))+0-0-0</f>
        <v>529.5462050000001</v>
      </c>
      <c r="Y79" s="3">
        <f>1366.6+(52.5-888.3)+(-2.787864+(-0.1071--1.812132))+0-0-0</f>
        <v>529.7171679999999</v>
      </c>
      <c r="Z79" s="3">
        <f>1375.3+(89.1-858.2)+(0+(0-0))+0-0-0</f>
        <v>606.19999999999993</v>
      </c>
      <c r="AA79" s="3">
        <f>1415.3+(94.4-850.5)+(-1.443606+(-0.096288--0.86751))+0-0-0</f>
        <v>658.52761599999997</v>
      </c>
      <c r="AB79" s="3">
        <f>1411.4+(99.4-879.1)+(-2.159442+(-0.152082--1.345023))+0-0-0</f>
        <v>630.73349900000005</v>
      </c>
      <c r="AC79" s="3">
        <f>1388.7+(117.1-915.6)+(-0.708237+(-0.059721--0.466956))+0-0-0</f>
        <v>589.89899800000001</v>
      </c>
      <c r="AD79">
        <v>669.3</v>
      </c>
      <c r="AE79" s="3">
        <f>1417+(93.6-841.3)+(0+(0-0))+0-0-0</f>
        <v>669.30000000000007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1329+(149.9-930)+(-0.67779+(-0.076449--0.4743))+0-0-0</f>
        <v>548.62006099999996</v>
      </c>
      <c r="G80" s="3">
        <f>1314.7+(154.1-962.4)+(-1.340994+(-0.157182--0.981648))+0-0-0</f>
        <v>505.8834720000001</v>
      </c>
      <c r="H80" s="3">
        <f>1085.8+(106.3-739.5)+(-1.107516+(-0.108426--0.75429))+0-0-0</f>
        <v>452.13834799999989</v>
      </c>
      <c r="I80" s="3">
        <f>1076+(105.2-746.2)+(-3.29256+(-0.321912--2.283372))+0-0-0</f>
        <v>433.66890000000001</v>
      </c>
      <c r="J80" s="3">
        <f>1089.3+(97.2-760)+(0.555543+(0.049572-0.3876))+0-0-0</f>
        <v>426.71751499999999</v>
      </c>
      <c r="K80" s="3">
        <f>1083+(97.7-765.6)+(-1.10466+(-0.099654--0.780912))+0-0-0</f>
        <v>414.67659800000001</v>
      </c>
      <c r="L80" s="3">
        <f>1080.5+(102.8-773)+(-1.10211+(-0.104856--0.78846))+0-0-0</f>
        <v>409.88149399999998</v>
      </c>
      <c r="M80" s="3">
        <f>1091.5+(120.2-761)+(1.11333+(0.122604-0.77622))+0-0-0</f>
        <v>451.15971400000006</v>
      </c>
      <c r="N80" s="3">
        <f>1134.2+(106.6-733.7)+(1.735326+(0.163098-1.122561))+0-0-0</f>
        <v>507.87586300000004</v>
      </c>
      <c r="O80" s="3">
        <f>1289.1+(81.1-816.1)+(0.657441+(0.041361-0.416211))+0-0-0</f>
        <v>554.38259099999993</v>
      </c>
      <c r="P80" s="3">
        <f>1406.1+(97.1-896.7)+(0.717111+(0.049521-0.457317))+0-0-0</f>
        <v>606.80931499999986</v>
      </c>
      <c r="Q80" s="3">
        <f>1398.6+(97-856.1)+(0+(0-0))+0-0-0</f>
        <v>639.49999999999989</v>
      </c>
      <c r="R80" s="3">
        <f>1384.1+(107-854.3)+(0.705891+(0.05457-0.435693))+0-0-0</f>
        <v>637.1247679999999</v>
      </c>
      <c r="S80" s="3">
        <f>1390.1+(109.6-876.9)+(-2.126853+(-0.167688--1.341657))+0-0-0</f>
        <v>621.84711599999991</v>
      </c>
      <c r="T80" s="3">
        <f>1402.8+(105.4-912.5)+(1.430856+(0.107508-0.93075))+0-0-0</f>
        <v>596.30761399999994</v>
      </c>
      <c r="U80" s="3">
        <f>1387.8+(96.9-905.4)+(-2.831112+(-0.197676--1.847016))+0-0-0</f>
        <v>578.11822799999993</v>
      </c>
      <c r="V80" s="3">
        <f>1383.9+(102.6-889.5)+(-2.117367+(-0.156978--1.360935))+0-0-0</f>
        <v>596.08659000000011</v>
      </c>
      <c r="W80" s="3">
        <f>1373.9+(102-898.3)+(-1.401378+(-0.10404--0.916266))+0-0-0</f>
        <v>577.01084800000012</v>
      </c>
      <c r="X80" s="3">
        <f>1361.4+(92.1-883.8)+(-5.554512+(-0.375768--3.605904))+0-0-0</f>
        <v>567.37562400000013</v>
      </c>
      <c r="Y80" s="3">
        <f>1381.4+(49.6-849.1)+(-1.409028+(-0.050592--0.866082))+0-0-0</f>
        <v>581.30646200000012</v>
      </c>
      <c r="Z80" s="3">
        <f>1466.1+(51.3-865.4)+(-2.990844+(-0.104652--1.765416))+0-0-0</f>
        <v>650.66991999999993</v>
      </c>
      <c r="AA80" s="3">
        <f>1472.2+(93.6-846)+(-3.75411+(-0.23868--2.1573))+0-0-0</f>
        <v>717.96451000000002</v>
      </c>
      <c r="AB80" s="3">
        <f>1464.9+(64.6-856.9)+(-2.988396+(-0.131784--1.748076))+0-0-0</f>
        <v>671.2278960000001</v>
      </c>
      <c r="AC80" s="3">
        <f>1453.2+(59.9-896.6)+(-2.964528+(-0.122196--1.829064))+0-0-0</f>
        <v>615.24234000000001</v>
      </c>
      <c r="AD80">
        <v>695.5</v>
      </c>
      <c r="AE80" s="3">
        <f>1462.5+(94.5-861.5)+(0+(0-0))+0-0-0</f>
        <v>695.5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1383.3+(69.3-904.3)+(0+(0-0))+0-0-0</f>
        <v>548.29999999999995</v>
      </c>
      <c r="G81" s="3">
        <f>1199.4+(97.3-828.6)+(-0.611694+(-0.049623--0.422586))+0-0-0</f>
        <v>467.86126900000005</v>
      </c>
      <c r="H81" s="3">
        <f>1154.6+(102.6-823.4)+(0.588846+(0.052326-0.419934))+0-0-0</f>
        <v>434.02123799999998</v>
      </c>
      <c r="I81" s="3">
        <f>1082+(99.4-783.2)+(-0.55182+(-0.050694--0.399432))+0-0-0</f>
        <v>397.99691799999994</v>
      </c>
      <c r="J81" s="3">
        <f>1079.6+(92.2-774.2)+(-0.550596+(-0.047022--0.394842))+0-0-0</f>
        <v>397.39722399999994</v>
      </c>
      <c r="K81" s="3">
        <f>1072.3+(77.1-770.8)+(-2.734365+(-0.196605--1.96554))+0-0-0</f>
        <v>377.63457</v>
      </c>
      <c r="L81" s="3">
        <f>1075.9+(57.4-768.8)+(-1.097418+(-0.058548--0.784176))+0-0-0</f>
        <v>364.12821000000014</v>
      </c>
      <c r="M81" s="3">
        <f>1104.8+(56.1-758.6)+(1.126896+(0.057222-0.773772))+0-0-0</f>
        <v>402.71034599999996</v>
      </c>
      <c r="N81" s="3">
        <f>1161.8+(63.9-747.2)+(1.777554+(0.097767-1.143216))+0-0-0</f>
        <v>479.23210499999988</v>
      </c>
      <c r="O81" s="3">
        <f>1334.9+(100.1-884.3)+(0+(0-0))+0-0-0</f>
        <v>550.70000000000016</v>
      </c>
      <c r="P81" s="3">
        <f>1376.3+(98.5-906.8)+(0+(0-0))+0-0-0</f>
        <v>568</v>
      </c>
      <c r="Q81" s="3">
        <f>1387.1+(100-897.5)+(1.414842+(0.102-0.91545))+0-0-0</f>
        <v>590.20139199999994</v>
      </c>
      <c r="R81" s="3">
        <f>1391.2+(100.9-884.4)+(-0.709512+(-0.051459--0.451044))+0-0-0</f>
        <v>607.39007300000003</v>
      </c>
      <c r="S81" s="3">
        <f>1385.5+(108.4-904.6)+(-2.82642+(-0.221136--1.845384))+0-0-0</f>
        <v>588.09782799999994</v>
      </c>
      <c r="T81" s="3">
        <f>1383.3+(115-925)+(-2.821932+(-0.2346--1.887))+0-0-0</f>
        <v>572.13046799999995</v>
      </c>
      <c r="U81" s="3">
        <f>1393.2+(117.6-943.9)+(-0.710532+(-0.059976--0.481389))+0-0-0</f>
        <v>566.61088100000006</v>
      </c>
      <c r="V81" s="3">
        <f>1381.9+(117.8-940.6)+(-3.523845+(-0.30039--2.39853))+0-0-0</f>
        <v>557.67429500000003</v>
      </c>
      <c r="W81" s="3">
        <f>1393.5+(120.2-963.1)+(-1.42137+(-0.122604--0.982362))+0-0-0</f>
        <v>550.03838800000005</v>
      </c>
      <c r="X81" s="3">
        <f>1383+(85.8-938.9)+(-4.23198+(-0.262548--2.873034))+0-0-0</f>
        <v>528.27850599999999</v>
      </c>
      <c r="Y81" s="3">
        <f>1340.6+(45.9-880.2)+(-0.683706+(-0.023409--0.448902))+0-0-0</f>
        <v>506.04178699999983</v>
      </c>
      <c r="Z81" s="3">
        <f>1435+(46.2-909.9)+(-2.19555+(-0.070686--1.392147))+0-0-0</f>
        <v>570.42591100000004</v>
      </c>
      <c r="AA81" s="3">
        <f>1483.7+(17.2-872.8)+(-2.270061+(-0.026316--1.335384))+0-0-0</f>
        <v>627.13900700000011</v>
      </c>
      <c r="AB81" s="3">
        <f>1485.7+(7.2-885.7)+(-4.546242+(-0.022032--2.710242))+0-0-0</f>
        <v>605.34196800000007</v>
      </c>
      <c r="AC81" s="3">
        <f>1484+(11.1-916.8)+(-1.51368+(-0.011322--0.935136))+0-0-0</f>
        <v>577.71013400000004</v>
      </c>
      <c r="AD81">
        <v>618.49999999999989</v>
      </c>
      <c r="AE81" s="3">
        <f>1493+(18.1-892.6)+(0+(0-0))+0-0-0</f>
        <v>618.5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1483.7+(15.9-983)+(-3.026748+(-0.032436--2.00532))+0-0-0</f>
        <v>515.54613600000005</v>
      </c>
      <c r="G82" s="3">
        <f>1464.1+(18.4-1009.1)+(-3.733455+(-0.04692--2.573205))+0-0-0</f>
        <v>472.19282999999984</v>
      </c>
      <c r="H82" s="3">
        <f>1238.1+(29-850.3)+(-1.262862+(-0.02958--0.867306))+0-0-0</f>
        <v>416.37486399999995</v>
      </c>
      <c r="I82" s="3">
        <f>1081.9+(43.3-741)+(-0.551769+(-0.022083--0.37791))+0-0-0</f>
        <v>384.00405800000004</v>
      </c>
      <c r="J82" s="3">
        <f>1078+(47.1-749.7)+(-1.09956+(-0.048042--0.764694))+0-0-0</f>
        <v>375.01709199999999</v>
      </c>
      <c r="K82" s="3">
        <f>1076+(43.2-763.1)+(-2.7438+(-0.11016--1.945905))+0-0-0</f>
        <v>355.19194500000003</v>
      </c>
      <c r="L82" s="3">
        <f>1080.7+(47.6-804.6)+(0+(0-0))+0-0-0</f>
        <v>323.70000000000005</v>
      </c>
      <c r="M82" s="3">
        <f>1087.1+(44-812.4)+(0.554421+(0.02244-0.414324))+0-0-0</f>
        <v>318.86253699999992</v>
      </c>
      <c r="N82" s="3">
        <f>1083.8+(29.5-770)+(-0.552738+(-0.015045--0.3927))+0-0-0</f>
        <v>343.12491699999998</v>
      </c>
      <c r="O82" s="3">
        <f>1089.1+(17.7-728.9)+(-0.555441+(-0.009027--0.371739))+0-0-0</f>
        <v>377.70727099999999</v>
      </c>
      <c r="P82" s="3">
        <f>1088.3+(90.8-744.6)+(-0.555033+(-0.046308--0.379746))+0-0-0</f>
        <v>434.27840499999991</v>
      </c>
      <c r="Q82" s="3">
        <f>1230.7+(91.6-850.8)+(0.627657+(0.046716-0.433908))+0-0-0</f>
        <v>471.74046500000009</v>
      </c>
      <c r="R82" s="3">
        <f>1260.3+(88.2-879.6)+(-0.642753+(-0.044982--0.448596))+0-0-0</f>
        <v>468.66086099999995</v>
      </c>
      <c r="S82" s="3">
        <f>1290.5+(88.8-913.3)+(-1.31631+(-0.090576--0.931566))+0-0-0</f>
        <v>465.52467999999999</v>
      </c>
      <c r="T82" s="3">
        <f>1282.6+(93.2-932.1)+(-2.616504+(-0.190128--1.901484))+0-0-0</f>
        <v>442.79485199999993</v>
      </c>
      <c r="U82" s="3">
        <f>1286.5+(98.2-952.1)+(-1.968345+(-0.150246--1.456713))+0-0-0</f>
        <v>431.93812200000002</v>
      </c>
      <c r="V82" s="3">
        <f>1288.1+(73-928.8)+(-1.970793+(-0.11169--1.421064))+0-0-0</f>
        <v>431.63858099999993</v>
      </c>
      <c r="W82" s="3">
        <f>1259.9+(44.5-857.3)+(-3.212745+(-0.113475--2.186115))+0-0-0</f>
        <v>445.95989500000013</v>
      </c>
      <c r="X82" s="3">
        <f>1256.8+(83.7-885.9)+(-3.20484+(-0.213435--2.259045))+0-0-0</f>
        <v>453.44077000000004</v>
      </c>
      <c r="Y82" s="3">
        <f>1267.9+(49.3-876.3)+(-1.293258+(-0.050286--0.893826))+0-0-0</f>
        <v>440.45028200000007</v>
      </c>
      <c r="Z82" s="3">
        <f>1340.3+(33-888.1)+(0.683553+(0.01683-0.452931))+0-0-0</f>
        <v>485.44745199999994</v>
      </c>
      <c r="AA82" s="3">
        <f>1404.2+(17.2-865.9)+(-2.864568+(-0.035088--1.766436))+0-0-0</f>
        <v>554.36678000000006</v>
      </c>
      <c r="AB82" s="3">
        <f>1411.4+(14-866.2)+(-1.439628+(-0.01428--0.883524))+0-0-0</f>
        <v>558.62961600000006</v>
      </c>
      <c r="AC82" s="3">
        <f>1415.4+(16.5-886.5)+(-1.443708+(-0.01683--0.90423))+0-0-0</f>
        <v>544.84369200000015</v>
      </c>
      <c r="AD82">
        <v>532.20000000000005</v>
      </c>
      <c r="AE82" s="3">
        <f>1393+(16-876.8)+(0+(0-0))+0-0-0</f>
        <v>532.20000000000005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1406.6+(15.7-913.2)+(-1.434732+(-0.016014--0.931464))+0-0-0</f>
        <v>508.58071799999993</v>
      </c>
      <c r="G83" s="3">
        <f>1206.6+(28.2-797.8)+(-3.07683+(-0.07191--2.03439))+0-0-0</f>
        <v>435.88565</v>
      </c>
      <c r="H83" s="3">
        <f>1076.9+(40.3-704.8)+(-2.746095+(-0.102765--1.79724))+0-0-0</f>
        <v>411.34838000000008</v>
      </c>
      <c r="I83" s="3">
        <f>1086.6+(41.1-725.7)+(0.554166+(0.020961-0.370107))+0-0-0</f>
        <v>402.20501999999988</v>
      </c>
      <c r="J83" s="3">
        <f>1084.1+(39.7-722.5)+(0+(0-0))+0-0-0</f>
        <v>401.29999999999995</v>
      </c>
      <c r="K83" s="3">
        <f>1074.2+(37.9-732.7)+(-3.287052+(-0.115974--2.242062))+0-0-0</f>
        <v>378.239036</v>
      </c>
      <c r="L83" s="3">
        <f>1093.7+(35.1-753.9)+(1.673361+(0.053703-1.153467))+0-0-0</f>
        <v>375.4735970000001</v>
      </c>
      <c r="M83" s="3">
        <f>1092.5+(33.8-702.6)+(-1.671525+(-0.051714--1.074978))+0-0-0</f>
        <v>423.05173899999994</v>
      </c>
      <c r="N83" s="3">
        <f>1329.5+(16.3-832.4)+(1.35609+(0.016626-0.849048))+0-0-0</f>
        <v>513.92366800000002</v>
      </c>
      <c r="O83" s="3">
        <f>1432.4+(24.2-867.8)+(1.461048+(0.024684-0.885156))+0-0-0</f>
        <v>589.40057600000023</v>
      </c>
      <c r="P83" s="3">
        <f>1444.7+(63.9-875.2)+(2.210391+(0.097767-1.339056))+0-0-0</f>
        <v>634.369102</v>
      </c>
      <c r="Q83" s="3">
        <f>1436.6+(72.3-851.9)+(0+(0-0))+0-0-0</f>
        <v>656.99999999999989</v>
      </c>
      <c r="R83" s="3">
        <f>1438+(74.2-820.8)+(0.73338+(0.037842-0.418608))+0-0-0</f>
        <v>691.75261400000011</v>
      </c>
      <c r="S83" s="3">
        <f>1453.9+(77.3-829.2)+(-0.741489+(-0.039423--0.422892))+0-0-0</f>
        <v>701.64197999999999</v>
      </c>
      <c r="T83" s="3">
        <f>1448.3+(80.3-847.9)+(-0.738633+(-0.040953--0.432429))+0-0-0</f>
        <v>680.35284299999989</v>
      </c>
      <c r="U83" s="3">
        <f>1444.3+(90.6-898)+(-1.473186+(-0.092412--0.91596))+0-0-0</f>
        <v>636.250362</v>
      </c>
      <c r="V83" s="3">
        <f>1446.4+(76.6-887.8)+(-1.475328+(-0.078132--0.905556))+0-0-0</f>
        <v>634.55209600000012</v>
      </c>
      <c r="W83" s="3">
        <f>1442.9+(74.5-885.2)+(-2.943516+(-0.15198--1.805808))+0-0-0</f>
        <v>630.91031200000009</v>
      </c>
      <c r="X83" s="3">
        <f>1414.7+(56.3-863.1)+(-3.607485+(-0.143565--2.200905))+0-0-0</f>
        <v>606.34985499999993</v>
      </c>
      <c r="Y83" s="3">
        <f>1356.9+(31.4-816.5)+(-2.076057+(-0.048042--1.249245))+0-0-0</f>
        <v>570.92514600000004</v>
      </c>
      <c r="Z83" s="3">
        <f>1378.2+(42.3-798)+(-2.108646+(-0.064719--1.22094))+0-0-0</f>
        <v>621.54757500000005</v>
      </c>
      <c r="AA83" s="3">
        <f>1400.6+(70.9-750.4)+(-2.142918+(-0.108477--1.148112))+0-0-0</f>
        <v>719.99671699999988</v>
      </c>
      <c r="AB83" s="3">
        <f>1400.6+(74.2-760.1)+(-0.714306+(-0.037842--0.387651))+0-0-0</f>
        <v>714.3355029999999</v>
      </c>
      <c r="AC83" s="3">
        <f>1400.6+(53.8-770.2)+(-1.428612+(-0.054876--0.785604))+0-0-0</f>
        <v>683.50211599999977</v>
      </c>
      <c r="AD83">
        <v>682.2</v>
      </c>
      <c r="AE83" s="3">
        <f>1395+(73.7-786.5)+(0+(0-0))+0-0-0</f>
        <v>682.2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1353+(21.4-777)+(-0.69003+(-0.010914--0.39627))+0-0-0</f>
        <v>597.095326</v>
      </c>
      <c r="G84" s="3">
        <f>1190+(36.9-734.9)+(-1.8207+(-0.056457--1.124397))+0-0-0</f>
        <v>491.24723999999998</v>
      </c>
      <c r="H84" s="3">
        <f>1204+(47.5-774.3)+(-0.61404+(-0.024225--0.394893))+0-0-0</f>
        <v>476.95662800000002</v>
      </c>
      <c r="I84" s="3">
        <f>1193+(48.6-788.1)+(-1.82529+(-0.074358--1.205793))+0-0-0</f>
        <v>452.80614500000001</v>
      </c>
      <c r="J84" s="3">
        <f>1183+(48.7-797.6)+(-2.41332+(-0.099348--1.627104))+0-0-0</f>
        <v>433.21443600000003</v>
      </c>
      <c r="K84" s="3">
        <f>1191+(47.9-804.7)+(-5.46669+(-0.219861--3.693573))+0-0-0</f>
        <v>432.20702199999994</v>
      </c>
      <c r="L84" s="3">
        <f>1193+(45.4-817.7)+(-4.86744+(-0.185232--3.336216))+0-0-0</f>
        <v>418.98354399999994</v>
      </c>
      <c r="M84" s="3">
        <f>1198+(45.2-802.8)+(-1.22196+(-0.046104--0.818856))+0-0-0</f>
        <v>439.95079200000009</v>
      </c>
      <c r="N84" s="3">
        <f>1198.4+(38.1-732.3)+(-2.444736+(-0.077724--1.493892))+0-0-0</f>
        <v>503.17143200000015</v>
      </c>
      <c r="O84" s="3">
        <f>1271.4+(38.1-742)+(-1.945242+(-0.058293--1.13526))+0-0-0</f>
        <v>566.63172500000007</v>
      </c>
      <c r="P84" s="3">
        <f>1281+(49.8-708.7)+(-1.30662+(-0.050796--0.722874))+0-0-0</f>
        <v>621.4654579999999</v>
      </c>
      <c r="Q84" s="3">
        <f>1288.6+(94-715.8)+(-0.657186+(-0.04794--0.365058))+0-0-0</f>
        <v>666.45993199999998</v>
      </c>
      <c r="R84" s="3">
        <f>1281.3+(131.4-725.2)+(-1.960389+(-0.201042--1.109556))+0-0-0</f>
        <v>686.44812499999989</v>
      </c>
      <c r="S84" s="3">
        <f>1346.1+(130.4-788.2)+(-2.059533+(-0.199512--1.205946))+0-0-0</f>
        <v>687.24690099999987</v>
      </c>
      <c r="T84" s="3">
        <f>1413.7+(125.8-869)+(0.720987+(0.064158-0.44319))+0-0-0</f>
        <v>670.84195499999998</v>
      </c>
      <c r="U84" s="3">
        <f>1375.5+(133.9-878.8)+(-3.507525+(-0.341445--2.24094))+0-0-0</f>
        <v>628.99197000000004</v>
      </c>
      <c r="V84" s="3">
        <f>1350.3+(115.5-873.2)+(0+(0-0))+0-0-0</f>
        <v>592.59999999999991</v>
      </c>
      <c r="W84" s="3">
        <f>1422.5+(71.3-889.9)+(-1.45095+(-0.072726--0.907698))+0-0-0</f>
        <v>603.28402199999994</v>
      </c>
      <c r="X84" s="3">
        <f>1385.5+(32.2-864.1)+(-2.119815+(-0.049266--1.322073))+0-0-0</f>
        <v>552.75299200000006</v>
      </c>
      <c r="Y84" s="3">
        <f>1342.7+(36-849.1)+(-0.684777+(-0.01836--0.433041))+0-0-0</f>
        <v>529.32990400000006</v>
      </c>
      <c r="Z84" s="3">
        <f>1397.9+(69.3-854.1)+(-0.712929+(-0.035343--0.435591))+0-0-0</f>
        <v>612.78731900000002</v>
      </c>
      <c r="AA84" s="3">
        <f>1391.3+(75.6-796.8)+(-2.838252+(-0.154224--1.625472))+0-0-0</f>
        <v>668.73299600000007</v>
      </c>
      <c r="AB84" s="3">
        <f>1379.1+(76-812.8)+(-0.703341+(-0.03876--0.414528))+0-0-0</f>
        <v>641.97242699999993</v>
      </c>
      <c r="AC84" s="3">
        <f>1416.9+(72.3-894.9)+(0.722619+(0.036873-0.456399))+0-0-0</f>
        <v>594.60309300000006</v>
      </c>
      <c r="AD84">
        <v>649.59999999999991</v>
      </c>
      <c r="AE84" s="3">
        <f>1381+(74.6-806)+(0+(0-0))+0-0-0</f>
        <v>649.6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1382.2+(73.2-880)+(-2.819688+(-0.149328--1.7952))+0-0-0</f>
        <v>574.2261840000001</v>
      </c>
      <c r="G85" s="3">
        <f>1120.7+(117.3-747.1)+(-1.143114+(-0.119646--0.762042))+0-0-0</f>
        <v>490.39928199999997</v>
      </c>
      <c r="H85" s="3">
        <f>1083.6+(121.6-748.3)+(-2.210544+(-0.248064--1.526532))+0-0-0</f>
        <v>455.96792399999998</v>
      </c>
      <c r="I85" s="3">
        <f>1084.2+(126.1-801.3)+(-2.76471+(-0.321555--2.043315))+0-0-0</f>
        <v>407.95705000000009</v>
      </c>
      <c r="J85" s="3">
        <f>1096.5+(133.4-786.8)+(1.11843+(0.136068-0.802536))+0-0-0</f>
        <v>443.551962</v>
      </c>
      <c r="K85" s="3">
        <f>1080.9+(100.8-767.1)+(-2.756295+(-0.25704--1.956105))+0-0-0</f>
        <v>413.54277000000002</v>
      </c>
      <c r="L85" s="3">
        <f>1084+(54.1-740.7)+(-2.7642+(-0.137955--1.888785))+0-0-0</f>
        <v>396.38662999999997</v>
      </c>
      <c r="M85" s="3">
        <f>1096.6+(50.6-698.2)+(1.118532+(0.051612-0.712164))+0-0-0</f>
        <v>449.45797999999991</v>
      </c>
      <c r="N85" s="3">
        <f>1110.1+(38.9-621.3)+(0+(0-0))+0-0-0</f>
        <v>527.69999999999993</v>
      </c>
      <c r="O85" s="3">
        <f>1369.9+(18.6-756)+(0.698649+(0.009486-0.38556))+0-0-0</f>
        <v>632.82257500000014</v>
      </c>
      <c r="P85" s="3">
        <f>1394.9+(15.5-761.9)+(-1.422798+(-0.01581--0.777138))+0-0-0</f>
        <v>647.83853000000011</v>
      </c>
      <c r="Q85" s="3">
        <f>1348.8+(16.8-716)+(0.687888+(0.008568-0.36516))+0-0-0</f>
        <v>649.93129599999986</v>
      </c>
      <c r="R85" s="3">
        <f>1340+(53.2-717.9)+(-1.3668+(-0.054264--0.732258))+0-0-0</f>
        <v>674.61119400000007</v>
      </c>
      <c r="S85" s="3">
        <f>1319.7+(39.4-710.8)+(-0.673047+(-0.020094--0.362508))+0-0-0</f>
        <v>647.96936700000003</v>
      </c>
      <c r="T85" s="3">
        <f>1317+(34.2-710.3)+(0+(0-0))+0-0-0</f>
        <v>640.90000000000009</v>
      </c>
      <c r="U85" s="3">
        <f>1346.7+(44.6-744.7)+(-2.060451+(-0.068238--1.139391))+0-0-0</f>
        <v>645.61070200000006</v>
      </c>
      <c r="V85" s="3">
        <f>1380.2+(64.9-802.9)+(0+(0-0))+0-0-0</f>
        <v>642.20000000000005</v>
      </c>
      <c r="W85" s="3">
        <f>1379.3+(62.5-810.9)+(-1.406886+(-0.06375--0.827118))+0-0-0</f>
        <v>630.25648200000001</v>
      </c>
      <c r="X85" s="3">
        <f>1374.9+(55-832.3)+(-2.804796+(-0.1122--1.697892))+0-0-0</f>
        <v>596.38089600000012</v>
      </c>
      <c r="Y85" s="3">
        <f>1392.3+(17.8-811.3)+(-1.420146+(-0.018156--0.827526))+0-0-0</f>
        <v>598.18922399999997</v>
      </c>
      <c r="Z85" s="3">
        <f>1408.4+(39-804.1)+(-0.718284+(-0.01989--0.410091))+0-0-0</f>
        <v>642.97191700000008</v>
      </c>
      <c r="AA85" s="3">
        <f>1421.4+(66.8-753.9)+(-2.174742+(-0.102204--1.153467))+0-0-0</f>
        <v>733.17652100000009</v>
      </c>
      <c r="AB85" s="3">
        <f>1365.4+(69-713.4)+(-3.48177+(-0.17595--1.81917))+0-0-0</f>
        <v>719.16145000000006</v>
      </c>
      <c r="AC85" s="3">
        <f>1339.8+(79.9-752.9)+(-1.366596+(-0.081498--0.767958))+0-0-0</f>
        <v>666.11986400000001</v>
      </c>
      <c r="AD85">
        <v>708.09999999999991</v>
      </c>
      <c r="AE85" s="3">
        <f>1412+(63.8-767.7)+(0+(0-0))+0-0-0</f>
        <v>708.09999999999991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1330+(90.9-806.7)+(-2.0349+(-0.139077--1.234251))+0-0-0</f>
        <v>613.26027399999998</v>
      </c>
      <c r="G86" s="3">
        <f>1212+(101.1-745.7)+(-3.0906+(-0.257805--1.901535))+0-0-0</f>
        <v>565.95312999999999</v>
      </c>
      <c r="H86" s="3">
        <f>1094.8+(61.2-629.1)+(-0.558348+(-0.031212--0.320841))+0-0-0</f>
        <v>526.63128099999994</v>
      </c>
      <c r="I86" s="3">
        <f>1089.5+(54.7-633.8)+(-2.22258+(-0.111588--1.292952))+0-0-0</f>
        <v>509.35878400000007</v>
      </c>
      <c r="J86" s="3">
        <f>1087.4+(51.3-631.1)+(-2.77287+(-0.130815--1.609305))+0-0-0</f>
        <v>506.30562000000003</v>
      </c>
      <c r="K86" s="3">
        <f>1081.7+(46.1-634)+(-4.413336+(-0.188088--2.58672))+0-0-0</f>
        <v>491.78529600000007</v>
      </c>
      <c r="L86" s="3">
        <f>1088.2+(46.2-661)+(-1.664946+(-0.070686--1.01133))+0-0-0</f>
        <v>472.67569800000007</v>
      </c>
      <c r="M86" s="3">
        <f>1114.6+(40.2-642.6)+(0.568446+(0.020502-0.327726))+0-0-0</f>
        <v>512.46122199999991</v>
      </c>
      <c r="N86" s="3">
        <f>1234+(51.5-706.9)+(0.62934+(0.026265-0.360519))+0-0-0</f>
        <v>578.89508599999999</v>
      </c>
      <c r="O86" s="3">
        <f>1294.5+(52-718.4)+(0.660195+(0.02652-0.366384))+0-0-0</f>
        <v>628.42033100000003</v>
      </c>
      <c r="P86" s="3">
        <f>1356.3+(58.6-749.7)+(0.691713+(0.029886-0.382347))+0-0-0</f>
        <v>665.53925199999992</v>
      </c>
      <c r="Q86" s="3">
        <f>1341.7+(64.4-734.9)+(0.684267+(0.032844-0.374799))+0-0-0</f>
        <v>671.54231200000004</v>
      </c>
      <c r="R86" s="3">
        <f>1340.9+(68.3-712.8)+(0.683859+(0.034833-0.363528))+0-0-0</f>
        <v>696.75516400000004</v>
      </c>
      <c r="S86" s="3">
        <f>1336.6+(72.3-727.4)+(-1.363332+(-0.073746--0.741948))+0-0-0</f>
        <v>680.80486999999994</v>
      </c>
      <c r="T86" s="3">
        <f>1385.1+(69.8-777.2)+(-0.706401+(-0.035598--0.396372))+0-0-0</f>
        <v>677.35437299999978</v>
      </c>
      <c r="U86" s="3">
        <f>1363.8+(74.7-765.5)+(-2.782152+(-0.152388--1.56162))+0-0-0</f>
        <v>671.62707999999998</v>
      </c>
      <c r="V86" s="3">
        <f>1376.3+(77.4-794.4)+(0+(0-0))+0-0-0</f>
        <v>659.3</v>
      </c>
      <c r="W86" s="3">
        <f>1331.7+(71.4-764.1)+(-4.075002+(-0.218484--2.338146))+0-0-0</f>
        <v>637.04466000000002</v>
      </c>
      <c r="X86" s="3">
        <f>1281.2+(80.9-722)+(-4.573884+(-0.288813--2.57754))+0-0-0</f>
        <v>637.814843</v>
      </c>
      <c r="Y86" s="3">
        <f>1214.3+(42.1-634.8)+(-3.096465+(-0.107355--1.61874))+0-0-0</f>
        <v>620.01492000000007</v>
      </c>
      <c r="Z86" s="3">
        <f>1305.1+(82.5-704.3)+(0+(0-0))+0-0-0</f>
        <v>683.3</v>
      </c>
      <c r="AA86" s="3">
        <f>1310.5+(71.9-618.5)+(-4.01013+(-0.220014--1.89261))+0-0-0</f>
        <v>761.56246599999997</v>
      </c>
      <c r="AB86" s="3">
        <f>1270.5+(46.6-575)+(-1.29591+(-0.047532--0.5865))+0-0-0</f>
        <v>741.34305800000004</v>
      </c>
      <c r="AC86" s="3">
        <f>1275+(54.2-640)+(0.65025+(0.027642-0.3264))+0-0-0</f>
        <v>689.55149200000005</v>
      </c>
      <c r="AD86">
        <v>728.59999999999991</v>
      </c>
      <c r="AE86" s="3">
        <f>1310.5+(68.8-650.7)+(0+(0-0))+0-0-0</f>
        <v>728.59999999999991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1236.6+(63.2-650.8)+(-3.15333+(-0.16116--1.65954))+0-0-0</f>
        <v>647.34505000000001</v>
      </c>
      <c r="G87" s="3">
        <f>1233.9+(80.9-716.8)+(-1.887867+(-0.123777--1.096704))+0-0-0</f>
        <v>597.08506000000011</v>
      </c>
      <c r="H87" s="3">
        <f>1232.1+(90.8-749)+(-1.256742+(-0.092616--0.76398))+0-0-0</f>
        <v>573.31462199999987</v>
      </c>
      <c r="I87" s="3">
        <f>1229.7+(89.2-757.3)+(-2.508588+(-0.181968--1.544892))+0-0-0</f>
        <v>560.45433600000013</v>
      </c>
      <c r="J87" s="3">
        <f>1239.9+(53.6-747.4)+(0.632349+(0.027336-0.381174))+0-0-0</f>
        <v>546.37851100000012</v>
      </c>
      <c r="K87" s="3">
        <f>1234.1+(50.6-753.8)+(-0.629391+(-0.025806--0.384438))+0-0-0</f>
        <v>530.62924099999998</v>
      </c>
      <c r="L87" s="3">
        <f>1075.1+(66.7-669.1)+(0.548301+(0.034017-0.341241))+0-0-0</f>
        <v>472.94107699999995</v>
      </c>
      <c r="M87" s="3">
        <f>1048.4+(65.9-604.7)+(0.534684+(0.033609-0.308397))+0-0-0</f>
        <v>509.85989600000005</v>
      </c>
      <c r="N87" s="3">
        <f>1114.6+(51.3-587.7)+(-0.568446+(-0.026163--0.299727))+0-0-0</f>
        <v>577.90511799999979</v>
      </c>
      <c r="O87" s="3">
        <f>1232.4+(58-652)+(-0.628524+(-0.02958--0.33252))+0-0-0</f>
        <v>638.07441600000004</v>
      </c>
      <c r="P87" s="3">
        <f>1287.9+(67.2-685.5)+(-0.656829+(-0.034272--0.349605))+0-0-0</f>
        <v>669.25850400000013</v>
      </c>
      <c r="Q87" s="3">
        <f>1311.5+(87-712.6)+(-2.006595+(-0.13311--1.090278))+0-0-0</f>
        <v>684.85057299999994</v>
      </c>
      <c r="R87" s="3">
        <f>1315.2+(94.3-700.1)+(-0.670752+(-0.048093--0.357051))+0-0-0</f>
        <v>709.03820599999995</v>
      </c>
      <c r="S87" s="3">
        <f>1300+(95-675.4)+(-1.326+(-0.0969--0.688908))+0-0-0</f>
        <v>718.86600800000008</v>
      </c>
      <c r="T87" s="3">
        <f>1285.4+(100-684.6)+(-1.966662+(-0.153--1.047438))+0-0-0</f>
        <v>699.72777600000006</v>
      </c>
      <c r="U87" s="3">
        <f>1277.8+(98.7-717.9)+(-3.25839+(-0.251685--1.830645))+0-0-0</f>
        <v>656.92057</v>
      </c>
      <c r="V87" s="3">
        <f>1278.6+(99.2-719.6)+(-2.608344+(-0.202368--1.467984))+0-0-0</f>
        <v>656.85727199999997</v>
      </c>
      <c r="W87" s="3">
        <f>1284.9+(72.9-698.3)+(-1.965897+(-0.111537--1.068399))+0-0-0</f>
        <v>658.49096500000007</v>
      </c>
      <c r="X87" s="3">
        <f>1275.9+(56.3-689.5)+(-3.904254+(-0.172278--2.10987))+0-0-0</f>
        <v>640.733338</v>
      </c>
      <c r="Y87" s="3">
        <f>1292.3+(45.6-711.5)+(-1.977219+(-0.069768--1.088595))+0-0-0</f>
        <v>625.44160799999997</v>
      </c>
      <c r="Z87" s="3">
        <f>1296.8+(54.7-686.5)+(-0.661368+(-0.027897--0.350115))+0-0-0</f>
        <v>664.66084999999998</v>
      </c>
      <c r="AA87" s="3">
        <f>1353.3+(29.7-606.6)+(-2.070549+(-0.045441--0.928098))+0-0-0</f>
        <v>775.21210799999994</v>
      </c>
      <c r="AB87" s="3">
        <f>1368+(26.6-627.4)+(-1.39536+(-0.027132--0.639948))+0-0-0</f>
        <v>766.41745600000002</v>
      </c>
      <c r="AC87" s="3">
        <f>1350.1+(23.5-644.9)+(-1.377102+(-0.02397--0.657798))+0-0-0</f>
        <v>727.95672599999989</v>
      </c>
      <c r="AD87">
        <v>743.7</v>
      </c>
      <c r="AE87" s="3">
        <f>1366.5+(27-649.8)+(0+(0-0))+0-0-0</f>
        <v>743.7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1337.5+(18-717.2)+(-2.046375+(-0.02754--1.097316))+0-0-0</f>
        <v>637.32340099999999</v>
      </c>
      <c r="G88" s="3">
        <f>1338.5+(21.8-775.5)+(-1.36527+(-0.022236--0.79101))+0-0-0</f>
        <v>584.20350399999995</v>
      </c>
      <c r="H88" s="3">
        <f>1210.5+(35.7-691.2)+(-3.086775+(-0.091035--1.76256))+0-0-0</f>
        <v>553.58474999999999</v>
      </c>
      <c r="I88" s="3">
        <f>1085.5+(40.3-610.1)+(0+(0-0))+0-0-0</f>
        <v>515.69999999999993</v>
      </c>
      <c r="J88" s="3">
        <f>1067.5+(42.1-617.8)+(-3.26655+(-0.128826--1.890468))+0-0-0</f>
        <v>490.29509200000007</v>
      </c>
      <c r="K88" s="3">
        <f>1069.2+(43.9-652.2)+(-2.72646+(-0.111945--1.66311))+0-0-0</f>
        <v>459.72470499999997</v>
      </c>
      <c r="L88" s="3">
        <f>1078.8+(44.8-697.9)+(-1.650564+(-0.068544--1.067787))+0-0-0</f>
        <v>425.04867899999994</v>
      </c>
      <c r="M88" s="3">
        <f>1080.5+(40.9-685.5)+(-1.653165+(-0.062577--1.048815))+0-0-0</f>
        <v>435.23307299999999</v>
      </c>
      <c r="N88" s="3">
        <f>1083.5+(31.5-633.6)+(-1.10517+(-0.03213--0.646272))+0-0-0</f>
        <v>480.90897199999995</v>
      </c>
      <c r="O88" s="3">
        <f>1135.2+(49-653)+(-2.315808+(-0.09996--1.33212))+0-0-0</f>
        <v>530.11635200000001</v>
      </c>
      <c r="P88" s="3">
        <f>1325+(17.6-754.5)+(0.67575+(0.008976-0.384795))+0-0-0</f>
        <v>588.39993100000004</v>
      </c>
      <c r="Q88" s="3">
        <f>1296.6+(28.3-705.3)+(-1.322532+(-0.028866--0.719406))+0-0-0</f>
        <v>618.96800799999994</v>
      </c>
      <c r="R88" s="3">
        <f>1289.3+(95.9-739.6)+(-0.657543+(-0.048909--0.377196))+0-0-0</f>
        <v>645.27074399999992</v>
      </c>
      <c r="S88" s="3">
        <f>1294.2+(96.5-731)+(-1.980126+(-0.147645--1.11843))+0-0-0</f>
        <v>658.6906590000001</v>
      </c>
      <c r="T88" s="3">
        <f>1296+(103.4-750.7)+(-1.32192+(-0.105468--0.765714))+0-0-0</f>
        <v>648.03832599999998</v>
      </c>
      <c r="U88" s="3">
        <f>1284.6+(105.9-761)+(-1.965438+(-0.162027--1.16433))+0-0-0</f>
        <v>628.53686499999992</v>
      </c>
      <c r="V88" s="3">
        <f>1285.2+(105.6-750.4)+(-1.966356+(-0.161568--1.148112))+0-0-0</f>
        <v>639.42018800000005</v>
      </c>
      <c r="W88" s="3">
        <f>1285.4+(108.1-771)+(-1.966662+(-0.165393--1.17963))+0-0-0</f>
        <v>621.54757500000017</v>
      </c>
      <c r="X88" s="3">
        <f>1286.2+(76.8-756.2)+(-3.935772+(-0.235008--2.313972))+0-0-0</f>
        <v>604.94319199999995</v>
      </c>
      <c r="Y88" s="3">
        <f>1289.6+(22.3-716.9)+(-1.973088+(-0.034119--1.096857))+0-0-0</f>
        <v>594.08964999999989</v>
      </c>
      <c r="Z88" s="3">
        <f>1325.1+(30.8-718.3)+(1.351602+(0.031416-0.732666))+0-0-0</f>
        <v>638.25035199999991</v>
      </c>
      <c r="AA88" s="3">
        <f>1335+(60.5-671.4)+(-4.0851+(-0.18513--2.054484))+0-0-0</f>
        <v>721.88425400000006</v>
      </c>
      <c r="AB88" s="3">
        <f>1343.9+(21.2-640.9)+(-1.370778+(-0.021624--0.653718))+0-0-0</f>
        <v>723.46131600000012</v>
      </c>
      <c r="AC88" s="3">
        <f>1345.5+(18.3-660.1)+(-1.37241+(-0.018666--0.673302))+0-0-0</f>
        <v>702.98222599999997</v>
      </c>
      <c r="AD88">
        <v>702.90000000000009</v>
      </c>
      <c r="AE88" s="3">
        <f>1318+(65.9-681)+(0+(0-0))+0-0-0</f>
        <v>702.9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1351.2+(18.5-720.5)+(1.378224+(0.01887-0.73491))+0-0-0</f>
        <v>649.86218400000007</v>
      </c>
      <c r="G89" s="3">
        <f>1336.7+(28.6-778.8)+(-2.726868+(-0.058344--1.588752))+0-0-0</f>
        <v>585.30354000000011</v>
      </c>
      <c r="H89" s="3">
        <f>1341.5+(30.6-825.4)+(0+(0-0))+0-0-0</f>
        <v>546.70000000000005</v>
      </c>
      <c r="I89" s="3">
        <f>1331+(32.1-851.9)+(-1.35762+(-0.032742--0.868938))+0-0-0</f>
        <v>510.67857600000002</v>
      </c>
      <c r="J89" s="3">
        <f>1343+(30.4-863.9)+(0+(0-0))+0-0-0</f>
        <v>509.5</v>
      </c>
      <c r="K89" s="3">
        <f>1325.6+(32.9-875.5)+(-4.056336+(-0.100674--2.67903))+0-0-0</f>
        <v>481.52201999999988</v>
      </c>
      <c r="L89" s="3">
        <f>1329.5+(25.9-910.3)+(-3.390225+(-0.066045--2.321265))+0-0-0</f>
        <v>443.96499500000004</v>
      </c>
      <c r="M89" s="3">
        <f>1287.4+(21.3-859.3)+(-1.313148+(-0.021726--0.876486))+0-0-0</f>
        <v>448.94161200000008</v>
      </c>
      <c r="N89" s="3">
        <f>1226.3+(17.9-771.2)+(0.625413+(0.009129-0.393312))+0-0-0</f>
        <v>473.24122999999986</v>
      </c>
      <c r="O89" s="3">
        <f>1176+(35.4-715.1)+(-2.39904+(-0.072216--1.458804))+0-0-0</f>
        <v>495.28754799999996</v>
      </c>
      <c r="P89" s="3">
        <f>1194.1+(58.7-717.1)+(0.608991+(0.029937-0.365721))+0-0-0</f>
        <v>535.97320699999989</v>
      </c>
      <c r="Q89" s="3">
        <f>1281.4+(42.1-747.1)+(0+(0-0))+0-0-0</f>
        <v>576.40000000000009</v>
      </c>
      <c r="R89" s="3">
        <f>1274.2+(50.4-718.2)+(0+(0-0))+0-0-0</f>
        <v>606.4</v>
      </c>
      <c r="S89" s="3">
        <f>1298+(53.8-741.5)+(-0.66198+(-0.027438--0.378165))+0-0-0</f>
        <v>609.98874699999999</v>
      </c>
      <c r="T89" s="3">
        <f>1286.9+(52.5-736.3)+(0.656319+(0.026775-0.375513))+0-0-0</f>
        <v>603.40758100000016</v>
      </c>
      <c r="U89" s="3">
        <f>1275.9+(51.6-736.6)+(-0.650709+(-0.026316--0.375666))+0-0-0</f>
        <v>590.59864100000004</v>
      </c>
      <c r="V89" s="3">
        <f>1284.1+(58.8-769.7)+(-2.619564+(-0.119952--1.570188))+0-0-0</f>
        <v>572.03067199999987</v>
      </c>
      <c r="W89" s="3">
        <f>1285+(58.3-779.4)+(-0.65535+(-0.029733--0.397494))+0-0-0</f>
        <v>563.61241099999995</v>
      </c>
      <c r="X89" s="3">
        <f>1284.6+(56.1-786.9)+(-3.930876+(-0.171666--2.407914))+0-0-0</f>
        <v>552.10537199999999</v>
      </c>
      <c r="Y89" s="3">
        <f>1162.2+(37.4-649.9)+(-1.778166+(-0.057222--0.994347))+0-0-0</f>
        <v>548.85895900000003</v>
      </c>
      <c r="Z89" s="3">
        <f>1221.6+(51.8-671.8)+(3.738096+(0.158508-2.055708))+0-0-0</f>
        <v>603.44089599999995</v>
      </c>
      <c r="AA89" s="3">
        <f>1303.1+(73-673.5)+(-0.664581+(-0.03723--0.343485))+0-0-0</f>
        <v>702.24167399999988</v>
      </c>
      <c r="AB89" s="3">
        <f>1310.6+(72.6-663.8)+(-1.336812+(-0.074052--0.677076))+0-0-0</f>
        <v>718.66621199999997</v>
      </c>
      <c r="AC89" s="3">
        <f>1275.9+(91-667.8)+(-1.301418+(-0.09282--0.681156))+0-0-0</f>
        <v>698.38691800000015</v>
      </c>
      <c r="AD89">
        <v>626.10000000000014</v>
      </c>
      <c r="AE89" s="3">
        <f>1255+(66.4-695.3)+(0+(0-0))+0-0-0</f>
        <v>626.1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1246.3+(98-679.4)+(-3.178065+(-0.2499--1.73247))+0-0-0</f>
        <v>663.20450499999993</v>
      </c>
      <c r="G90" s="3">
        <f>1194.9+(108-692.2)+(-3.656394+(-0.33048--2.118132))+0-0-0</f>
        <v>608.83125800000005</v>
      </c>
      <c r="H90" s="3">
        <f>1117.6+(111.9-665.2)+(-2.279904+(-0.228276--1.357008))+0-0-0</f>
        <v>563.14882799999987</v>
      </c>
      <c r="I90" s="3">
        <f>1099.1+(105.1-656.4)+(-1.121082+(-0.107202--0.669528))+0-0-0</f>
        <v>547.24124399999994</v>
      </c>
      <c r="J90" s="3">
        <f>1088.3+(70.8-635.7)+(-2.775165+(-0.18054--1.621035))+0-0-0</f>
        <v>522.0653299999999</v>
      </c>
      <c r="K90" s="3">
        <f>1094.3+(31.7-626.4)+(-1.116186+(-0.032334--0.638928))+0-0-0</f>
        <v>499.09040800000002</v>
      </c>
      <c r="L90" s="3">
        <f>1098.9+(26.7-641.9)+(-0.560439+(-0.013617--0.327369))+0-0-0</f>
        <v>483.45331300000015</v>
      </c>
      <c r="M90" s="3">
        <f>1106.4+(31.6-611.5)+(0.564264+(0.016116-0.311865))+0-0-0</f>
        <v>526.76851500000009</v>
      </c>
      <c r="N90" s="3">
        <f>1172.1+(32.9-628)+(1.195542+(0.033558-0.64056))+0-0-0</f>
        <v>577.58853999999985</v>
      </c>
      <c r="O90" s="3">
        <f>1173.1+(79.9-611.5)+(1.196562+(0.081498-0.62373))+0-0-0</f>
        <v>642.15432999999985</v>
      </c>
      <c r="P90" s="3">
        <f>1165.4+(91.2-580.3)+(-1.188708+(-0.093024--0.591906))+0-0-0</f>
        <v>675.61017400000014</v>
      </c>
      <c r="Q90" s="3">
        <f>1178+(81.9-555.5)+(1.20156+(0.083538-0.56661))+0-0-0</f>
        <v>705.11848799999996</v>
      </c>
      <c r="R90" s="3">
        <f>1174.9+(120.6-565.5)+(0+(0-0))+0-0-0</f>
        <v>730.00000000000011</v>
      </c>
      <c r="S90" s="3">
        <f>1261.5+(201.3-713.2)+(1.28673+(0.205326-0.727464))+0-0-0</f>
        <v>750.3645919999999</v>
      </c>
      <c r="T90" s="3">
        <f>1268.9+(236.7-757)+(-1.294278+(-0.241434--0.77214))+0-0-0</f>
        <v>747.83642800000018</v>
      </c>
      <c r="U90" s="3">
        <f>1260.7+(240.7-795.5)+(-1.285914+(-0.245514--0.81141))+0-0-0</f>
        <v>705.17998200000011</v>
      </c>
      <c r="V90" s="3">
        <f>1262.6+(237.6-808)+(-2.575704+(-0.484704--1.64832))+0-0-0</f>
        <v>690.78791199999989</v>
      </c>
      <c r="W90" s="3">
        <f>1258.7+(234.5-818.9)+(-3.851622+(-0.71757--2.505834))+0-0-0</f>
        <v>672.23664200000007</v>
      </c>
      <c r="X90" s="3">
        <f>1251+(188.8-777.2)+(-3.82806+(-0.577728--2.378232))+0-0-0</f>
        <v>660.5724439999999</v>
      </c>
      <c r="Y90" s="3">
        <f>1141.1+(115.5-636.2)+(-1.745883+(-0.176715--0.973386))+0-0-0</f>
        <v>619.45078799999987</v>
      </c>
      <c r="Z90" s="3">
        <f>1179.2+(65.3-556.2)+(0+(0-0))+0-0-0</f>
        <v>688.3</v>
      </c>
      <c r="AA90" s="3">
        <f>1331.1+(78.1-622.3)+(-2.036583+(-0.119493--0.952119))+0-0-0</f>
        <v>785.69604300000003</v>
      </c>
      <c r="AB90" s="3">
        <f>1332.2+(93-653.9)+(-3.39711+(-0.23715--1.667445))+0-0-0</f>
        <v>769.33318500000007</v>
      </c>
      <c r="AC90" s="3">
        <f>1355.2+(106.7-742.6)+(0+(0-0))+0-0-0</f>
        <v>719.30000000000007</v>
      </c>
      <c r="AD90">
        <v>715.30000000000007</v>
      </c>
      <c r="AE90" s="3">
        <f>1321+(88.2-693.9)+(0+(0-0))+0-0-0</f>
        <v>715.30000000000007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1253.4+(65.3-690.1)+(-0.639234+(-0.033303--0.351951))+0-0-0</f>
        <v>628.27941399999997</v>
      </c>
      <c r="G91" s="3">
        <f>1225.2+(75.3-726.1)+(-1.249704+(-0.076806--0.740622))+0-0-0</f>
        <v>573.81411200000002</v>
      </c>
      <c r="H91" s="3">
        <f>1119.6+(101.5-673.7)+(-2.283984+(-0.20706--1.374348))+0-0-0</f>
        <v>546.28330399999982</v>
      </c>
      <c r="I91" s="3">
        <f>1092.6+(100.7-661.8)+(0+(0-0))+0-0-0</f>
        <v>531.5</v>
      </c>
      <c r="J91" s="3">
        <f>1081.8+(102.6-661.9)+(-2.206872+(-0.209304--1.350276))+0-0-0</f>
        <v>521.43409999999994</v>
      </c>
      <c r="K91" s="3">
        <f>1078.2+(94.7-666.3)+(-3.299292+(-0.289782--2.038878))+0-0-0</f>
        <v>505.04980400000011</v>
      </c>
      <c r="L91" s="3">
        <f>1074.7+(80.1-679.1)+(-3.836679+(-0.285957--2.424387))+0-0-0</f>
        <v>474.00175100000007</v>
      </c>
      <c r="M91" s="3">
        <f>1137.6+(57.4-686.7)+(0.580176+(0.029274-0.350217))+0-0-0</f>
        <v>508.55923299999984</v>
      </c>
      <c r="N91" s="3">
        <f>1212.7+(40.8-666.9)+(1.855431+(0.062424-1.020357))+0-0-0</f>
        <v>587.49749800000006</v>
      </c>
      <c r="O91" s="3">
        <f>1215.2+(56-636.8)+(0.619752+(0.02856-0.324768))+0-0-0</f>
        <v>634.72354400000006</v>
      </c>
      <c r="P91" s="3">
        <f>1208.9+(107.3-651.3)+(0+(0-0))+0-0-0</f>
        <v>664.90000000000009</v>
      </c>
      <c r="Q91" s="3">
        <f>1284.7+(103.3-700.6)+(1.310394+(0.105366-0.714612))+0-0-0</f>
        <v>688.10114799999997</v>
      </c>
      <c r="R91" s="3">
        <f>1294.1+(101.5-685.4)+(0+(0-0))+0-0-0</f>
        <v>710.19999999999993</v>
      </c>
      <c r="S91" s="3">
        <f>1298.4+(154.7-730.1)+(0+(0-0))+0-0-0</f>
        <v>723</v>
      </c>
      <c r="T91" s="3">
        <f>1295+(217.5-803.9)+(0+(0-0))+0-0-0</f>
        <v>708.6</v>
      </c>
      <c r="U91" s="3">
        <f>1290.9+(223.9-818.5)+(-1.316718+(-0.228378--0.83487))+0-0-0</f>
        <v>695.58977400000003</v>
      </c>
      <c r="V91" s="3">
        <f>1296.6+(218.3-815.7)+(-0.661266+(-0.111333--0.416007))+0-0-0</f>
        <v>698.84340799999984</v>
      </c>
      <c r="W91" s="3">
        <f>1296.5+(220.3-849.2)+(0+(0-0))+0-0-0</f>
        <v>667.59999999999991</v>
      </c>
      <c r="X91" s="3">
        <f>1293+(216.1-836.5)+(-0.65943+(-0.110211--0.426615))+0-0-0</f>
        <v>672.25697400000001</v>
      </c>
      <c r="Y91" s="3">
        <f>1215.6+(150-722.5)+(0+(0-0))+0-0-0</f>
        <v>643.09999999999991</v>
      </c>
      <c r="Z91" s="3">
        <f>1209.6+(162-687.3)+(-1.233792+(-0.16524--0.701046))+0-0-0</f>
        <v>683.60201399999994</v>
      </c>
      <c r="AA91" s="3">
        <f>1218.1+(182.1-635)+(-1.863693+(-0.278613--0.97155))+0-0-0</f>
        <v>764.02924399999995</v>
      </c>
      <c r="AB91" s="3">
        <f>1221.8+(126.4-589.6)+(-1.246236+(-0.128928--0.601392))+0-0-0</f>
        <v>757.8262279999999</v>
      </c>
      <c r="AC91" s="3">
        <f>1217.4+(123.3-621.9)+(-1.241748+(-0.125766--0.634338))+0-0-0</f>
        <v>718.06682400000022</v>
      </c>
      <c r="AD91">
        <v>772.3</v>
      </c>
      <c r="AE91" s="3">
        <f>1227.5+(172-627.2)+(0+(0-0))+0-0-0</f>
        <v>772.3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1208.5+(124-666.9)+(-3.69801+(-0.37944--2.040714))+0-0-0</f>
        <v>663.563264</v>
      </c>
      <c r="G92" s="3">
        <f>1212.2+(165.6-763)+(-2.472888+(-0.337824--1.55652))+0-0-0</f>
        <v>613.54580800000008</v>
      </c>
      <c r="H92" s="3">
        <f>1168.1+(119.1-692.6)+(-1.787193+(-0.182223--1.059678))+0-0-0</f>
        <v>593.69026199999996</v>
      </c>
      <c r="I92" s="3">
        <f>971.3+(131.2-550.1)+(0.990726+(0.133824-0.561102))+0-0-0</f>
        <v>552.96344799999986</v>
      </c>
      <c r="J92" s="3">
        <f>955.1+(134.8-558.3)+(-1.948404+(-0.274992--1.138932))+0-0-0</f>
        <v>530.51553600000011</v>
      </c>
      <c r="K92" s="3">
        <f>954.7+(133-578.6)+(-2.434485+(-0.33915--1.47543))+0-0-0</f>
        <v>507.80179500000003</v>
      </c>
      <c r="L92" s="3">
        <f>958.2+(133.2-610.5)+(-0.977364+(-0.135864--0.62271))+0-0-0</f>
        <v>480.40948200000003</v>
      </c>
      <c r="M92" s="3">
        <f>975.2+(116.4-574.5)+(2.48676+(0.29682-1.464975))+0-0-0</f>
        <v>518.41860500000007</v>
      </c>
      <c r="N92" s="3">
        <f>1181.2+(136.4-736.7)+(0.602412+(0.069564-0.375717))+0-0-0</f>
        <v>581.19625899999994</v>
      </c>
      <c r="O92" s="3">
        <f>1284.8+(185.6-823.5)+(-0.655248+(-0.094656--0.419985))+0-0-0</f>
        <v>646.57008099999996</v>
      </c>
      <c r="P92" s="3">
        <f>1332.5+(175.5-817.2)+(2.038725+(0.268515-1.250316))+0-0-0</f>
        <v>691.85692399999994</v>
      </c>
      <c r="Q92" s="3">
        <f>1381.8+(185.6-853.9)+(2.818872+(0.378624-1.741956))+0-0-0</f>
        <v>714.95554000000004</v>
      </c>
      <c r="R92" s="3">
        <f>1389+(192.4-829.4)+(0.70839+(0.098124-0.422994))+0-0-0</f>
        <v>752.38351999999998</v>
      </c>
      <c r="S92" s="3">
        <f>1336.9+(213.6-798.4)+(0.681819+(0.108936-0.407184))+0-0-0</f>
        <v>752.4835710000001</v>
      </c>
      <c r="T92" s="3">
        <f>1367.7+(224.3-835.8)+(1.395054+(0.228786-0.852516))+0-0-0</f>
        <v>756.9713240000001</v>
      </c>
      <c r="U92" s="3">
        <f>1417.3+(217.4-896.2)+(0+(0-0))+0-0-0</f>
        <v>738.49999999999989</v>
      </c>
      <c r="V92" s="3">
        <f>1433.2+(218.7-906.5)+(0.730932+(0.111537-0.462315))+0-0-0</f>
        <v>745.78015400000004</v>
      </c>
      <c r="W92" s="3">
        <f>1414.1+(228-915.3)+(-2.163573+(-0.34884--1.400409))+0-0-0</f>
        <v>725.687996</v>
      </c>
      <c r="X92" s="3">
        <f>1355.4+(163.1-828)+(-2.765016+(-0.332724--1.68912))+0-0-0</f>
        <v>689.09138000000007</v>
      </c>
      <c r="Y92" s="3">
        <f>1327.4+(73.2-736)+(-3.38487+(-0.18666--1.8768))+0-0-0</f>
        <v>662.90527000000009</v>
      </c>
      <c r="Z92" s="3">
        <f>1349+(147.1-787.3)+(0+(0-0))+0-0-0</f>
        <v>708.80000000000007</v>
      </c>
      <c r="AA92" s="3">
        <f>1404+(201.1-803.3)+(-0.71604+(-0.102561--0.409683))+0-0-0</f>
        <v>801.3910820000001</v>
      </c>
      <c r="AB92" s="3">
        <f>1400.6+(213.5-795.6)+(-1.428612+(-0.21777--0.811512))+0-0-0</f>
        <v>817.66512999999986</v>
      </c>
      <c r="AC92" s="3">
        <f>1398.6+(228.2-831.6)+(-1.426572+(-0.232764--0.848232))+0-0-0</f>
        <v>794.38889599999982</v>
      </c>
      <c r="AD92">
        <v>807.2</v>
      </c>
      <c r="AE92" s="3">
        <f>1406+(209.5-808.3)+(0+(0-0))+0-0-0</f>
        <v>807.2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1397.9+(171.6-847.4)+(-1.425858+(-0.175032--0.864348))+0-0-0</f>
        <v>721.36345800000015</v>
      </c>
      <c r="G93" s="3">
        <f>1400.5+(204.6-951.5)+(0+(0-0))+0-0-0</f>
        <v>653.6</v>
      </c>
      <c r="H93" s="3">
        <f>1394.2+(132.1-917.6)+(-2.133126+(-0.202113--1.403928))+0-0-0</f>
        <v>607.76868899999999</v>
      </c>
      <c r="I93" s="3">
        <f>1293.5+(127.3-832.9)+(-1.31937+(-0.129846--0.849558))+0-0-0</f>
        <v>587.300342</v>
      </c>
      <c r="J93" s="3">
        <f>1244+(140.8-841.6)+(-3.1722+(-0.35904--2.14608))+0-0-0</f>
        <v>541.81484</v>
      </c>
      <c r="K93" s="3">
        <f>1122.3+(143.6-744.2)+(-2.861865+(-0.36618--1.89771))+0-0-0</f>
        <v>520.36966499999994</v>
      </c>
      <c r="L93" s="3">
        <f>1103.4+(156.7-763.8)+(0+(0-0))+0-0-0</f>
        <v>496.30000000000018</v>
      </c>
      <c r="M93" s="3">
        <f>1309.3+(186.2-953.6)+(0.667743+(0.094962-0.486336))+0-0-0</f>
        <v>542.17636899999991</v>
      </c>
      <c r="N93" s="3">
        <f>1376.5+(183.3-939.1)+(-1.40403+(-0.186966--0.957882))+0-0-0</f>
        <v>620.06688600000007</v>
      </c>
      <c r="O93" s="3">
        <f>1374.2+(219.8-917.1)+(-1.401684+(-0.224196--0.935442))+0-0-0</f>
        <v>676.20956200000012</v>
      </c>
      <c r="P93" s="3">
        <f>1375.2+(302.3-966.3)+(0.701352+(0.154173-0.492813))+0-0-0</f>
        <v>711.56271200000003</v>
      </c>
      <c r="Q93" s="3">
        <f>1381+(299.8-931)+(0+(0-0))+0-0-0</f>
        <v>749.8</v>
      </c>
      <c r="R93" s="3">
        <f>1360+(327.9-927.7)+(-1.3872+(-0.334458--0.946254))+0-0-0</f>
        <v>759.42459599999995</v>
      </c>
      <c r="S93" s="3">
        <f>1357.7+(351.1-920.6)+(-0.692427+(-0.179061--0.469506))+0-0-0</f>
        <v>787.79801800000007</v>
      </c>
      <c r="T93" s="3">
        <f>1354.8+(350.2-919)+(0+(0-0))+0-0-0</f>
        <v>786</v>
      </c>
      <c r="U93" s="3">
        <f>1350.9+(340.4-924)+(-0.688959+(-0.173604--0.47124))+0-0-0</f>
        <v>766.90867700000001</v>
      </c>
      <c r="V93" s="3">
        <f>1356.8+(329.7-943.4)+(-0.691968+(-0.168147--0.481134))+0-0-0</f>
        <v>742.72101899999996</v>
      </c>
      <c r="W93" s="3">
        <f>1352.5+(314-937.2)+(-1.37955+(-0.32028--0.955944))+0-0-0</f>
        <v>728.55611399999998</v>
      </c>
      <c r="X93" s="3">
        <f>1351.6+(270.6-935.5)+(-2.067948+(-0.414018--1.431315))+0-0-0</f>
        <v>685.64934899999992</v>
      </c>
      <c r="Y93" s="3">
        <f>1338.9+(117.2-800.2)+(-5.462712+(-0.478176--3.264816))+0-0-0</f>
        <v>653.22392800000011</v>
      </c>
      <c r="Z93" s="3">
        <f>1382.3+(159.2-866.1)+(1.409946+(0.162384-0.883422))+0-0-0</f>
        <v>676.08890799999983</v>
      </c>
      <c r="AA93" s="3">
        <f>1399.4+(182.5-777.7)+(-0.713694+(-0.093075--0.396627))+0-0-0</f>
        <v>803.78985800000009</v>
      </c>
      <c r="AB93" s="3">
        <f>1407.4+(219-803.6)+(-0.717774+(-0.11169--0.409836))+0-0-0</f>
        <v>822.38037200000008</v>
      </c>
      <c r="AC93" s="3">
        <f>1399.9+(226.2-832)+(-2.855796+(-0.461448--1.69728))+0-0-0</f>
        <v>792.48003600000015</v>
      </c>
      <c r="AD93">
        <v>789.1</v>
      </c>
      <c r="AE93" s="3">
        <f>1403+(208.7-822.6)+(0+(0-0))+0-0-0</f>
        <v>789.09999999999991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1332.8+(166.4-795.6)+(-3.39864+(-0.42432--2.02878))+0-0-0</f>
        <v>701.80581999999993</v>
      </c>
      <c r="G94" s="3">
        <f>1311+(179.5-873.4)+(-2.67444+(-0.36618--1.781736))+0-0-0</f>
        <v>615.84111600000006</v>
      </c>
      <c r="H94" s="3">
        <f>1334.9+(196.4-957.7)+(-3.403995+(-0.50082--2.442135))+0-0-0</f>
        <v>572.13732000000005</v>
      </c>
      <c r="I94" s="3">
        <f>1339.8+(199.6-990)+(-2.733192+(-0.407184--2.0196))+0-0-0</f>
        <v>548.279224</v>
      </c>
      <c r="J94" s="3">
        <f>1113.2+(209.6-803.1)+(-0.567732+(-0.106896--0.409581))+0-0-0</f>
        <v>519.43495300000006</v>
      </c>
      <c r="K94" s="3">
        <f>1080.2+(176.8-754.1)+(-2.203608+(-0.360672--1.538364))+0-0-0</f>
        <v>501.8740840000001</v>
      </c>
      <c r="L94" s="3">
        <f>1084.7+(93.7-703.3)+(-1.106394+(-0.095574--0.717366))+0-0-0</f>
        <v>474.61539800000014</v>
      </c>
      <c r="M94" s="3">
        <f>1097.8+(75.7-662.1)+(0.559878+(0.038607-0.337671))+0-0-0</f>
        <v>511.66081399999996</v>
      </c>
      <c r="N94" s="3">
        <f>1173.7+(121.5-716)+(-0.598587+(-0.061965--0.36516))+0-0-0</f>
        <v>578.90460800000005</v>
      </c>
      <c r="O94" s="3">
        <f>1341.5+(147.9-845.5)+(0+(0-0))+0-0-0</f>
        <v>643.9</v>
      </c>
      <c r="P94" s="3">
        <f>1351.1+(180.9-917.1)+(0+(0-0))+0-0-0</f>
        <v>614.89999999999986</v>
      </c>
      <c r="Q94" s="3">
        <f>1349.1+(214.9-878.8)+(0+(0-0))+0-0-0</f>
        <v>685.19999999999993</v>
      </c>
      <c r="R94" s="3">
        <f>1350.3+(217.4-887)+(0+(0-0))+0-0-0</f>
        <v>680.69999999999993</v>
      </c>
      <c r="S94" s="3">
        <f>1359+(219.6-902.4)+(-1.38618+(-0.223992--0.920448))+0-0-0</f>
        <v>675.51027600000009</v>
      </c>
      <c r="T94" s="3">
        <f>1356.9+(227.7-936.8)+(0.692019+(0.116127-0.477768))+0-0-0</f>
        <v>648.13037800000018</v>
      </c>
      <c r="U94" s="3">
        <f>1360+(224.1-942.3)+(-0.6936+(-0.114291--0.480573))+0-0-0</f>
        <v>641.47268200000008</v>
      </c>
      <c r="V94" s="3">
        <f>1359.7+(227.9-969.4)+(-1.386894+(-0.232458--0.988788))+0-0-0</f>
        <v>617.569436</v>
      </c>
      <c r="W94" s="3">
        <f>1359.2+(234.6-978.1)+(-1.386384+(-0.239292--0.997662))+0-0-0</f>
        <v>615.07198600000004</v>
      </c>
      <c r="X94" s="3">
        <f>1353.5+(233.3-989.1)+(-4.831995+(-0.832881--3.531087))+0-0-0</f>
        <v>595.56621100000007</v>
      </c>
      <c r="Y94" s="3">
        <f>1371.4+(83.2-871.7)+(-1.398828+(-0.084864--0.889134))+0-0-0</f>
        <v>582.30544200000008</v>
      </c>
      <c r="Z94" s="3">
        <f>1380.1+(206.1-939.5)+(-1.407702+(-0.210222--0.95829))+0-0-0</f>
        <v>646.04036599999995</v>
      </c>
      <c r="AA94" s="3">
        <f>1388.6+(193.1-877.6)+(-4.249116+(-0.590886--2.685456))+0-0-0</f>
        <v>701.94545399999993</v>
      </c>
      <c r="AB94" s="3">
        <f>1409.6+(177.3-915.2)+(-1.437792+(-0.180846--0.933504))+0-0-0</f>
        <v>671.01486599999987</v>
      </c>
      <c r="AC94" s="3">
        <f>1410.9+(153.2-946.3)+(0+(0-0))+0-0-0</f>
        <v>617.80000000000018</v>
      </c>
      <c r="AD94">
        <v>698.40000000000009</v>
      </c>
      <c r="AE94" s="3">
        <f>1390.5+(191.7-883.8)+(0+(0-0))+0-0-0</f>
        <v>698.40000000000009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1399.8+(158.7-1007.3)+(-0.713898+(-0.080937--0.513723))+0-0-0</f>
        <v>550.91888800000004</v>
      </c>
      <c r="G95" s="3">
        <f>1298.7+(180-962.1)+(-0.662337+(-0.0918--0.490671))+0-0-0</f>
        <v>516.33653400000003</v>
      </c>
      <c r="H95" s="3">
        <f>1249+(197.9-953.4)+(-0.63699+(-0.100929--0.486234))+0-0-0</f>
        <v>493.24831499999999</v>
      </c>
      <c r="I95" s="3">
        <f>1113.6+(168.2-823.7)+(-1.135872+(-0.171564--0.840174))+0-0-0</f>
        <v>457.6327379999999</v>
      </c>
      <c r="J95" s="3">
        <f>1096.3+(112.2-764.8)+(1.118226+(0.114444-0.780096))+0-0-0</f>
        <v>444.15257400000007</v>
      </c>
      <c r="K95" s="3">
        <f>1079.2+(108-747.6)+(-3.302352+(-0.33048--2.287656))+0-0-0</f>
        <v>438.25482400000004</v>
      </c>
      <c r="L95" s="3">
        <f>1084.2+(100.8-762.7)+(-1.658826+(-0.154224--1.166931))+0-0-0</f>
        <v>421.65388099999996</v>
      </c>
      <c r="M95" s="3">
        <f>1099.4+(85.6-744.3)+(1.121388+(0.087312-0.759186))+0-0-0</f>
        <v>441.14951400000018</v>
      </c>
      <c r="N95" s="3">
        <f>1223.1+(79.8-821.4)+(1.871343+(0.122094-1.256742))+0-0-0</f>
        <v>482.23669499999988</v>
      </c>
      <c r="O95" s="3">
        <f>1391.2+(164.9-1018.5)+(2.128536+(0.252297-1.558305))+0-0-0</f>
        <v>538.42252800000006</v>
      </c>
      <c r="P95" s="3">
        <f>1370+(194.7-1005.2)+(0+(0-0))+0-0-0</f>
        <v>559.5</v>
      </c>
      <c r="Q95" s="3">
        <f>1384.1+(190.3-1008)+(-0.705891+(-0.097053--0.51408))+0-0-0</f>
        <v>566.11113599999987</v>
      </c>
      <c r="R95" s="3">
        <f>1389.9+(192.2-1017.8)+(0+(0-0))+0-0-0</f>
        <v>564.30000000000018</v>
      </c>
      <c r="S95" s="3">
        <f>1365.4+(195.3-1026.2)+(-4.874478+(-0.697221--3.663534))+0-0-0</f>
        <v>532.59183499999995</v>
      </c>
      <c r="T95" s="3">
        <f>1384.2+(207.5-1080.1)+(-1.411884+(-0.21165--1.101702))+0-0-0</f>
        <v>511.07816800000012</v>
      </c>
      <c r="U95" s="3">
        <f>1415.7+(207.6-1122.5)+(-2.166021+(-0.317628--1.717425))+0-0-0</f>
        <v>500.03377600000005</v>
      </c>
      <c r="V95" s="3">
        <f>1426.4+(183.8-1116.5)+(-1.454928+(-0.187476--1.13883))+0-0-0</f>
        <v>493.19642600000003</v>
      </c>
      <c r="W95" s="3">
        <f>1424.2+(102.9-1030.7)+(-2.905368+(-0.209916--2.102628))+0-0-0</f>
        <v>495.38734399999998</v>
      </c>
      <c r="X95" s="3">
        <f>1428.7+(56.5-975.9)+(-4.371822+(-0.17289--2.986254))+0-0-0</f>
        <v>507.74154200000009</v>
      </c>
      <c r="Y95" s="3">
        <f>1435.2+(65.7-985.9)+(-4.391712+(-0.201042--3.016854))+0-0-0</f>
        <v>513.42410000000007</v>
      </c>
      <c r="Z95" s="3">
        <f>1465.4+(86.2-975.4)+(0+(0-0))+0-0-0</f>
        <v>576.20000000000016</v>
      </c>
      <c r="AA95" s="3">
        <f>1446.9+(162.1-981.5)+(-5.165433+(-0.578697--3.503955))+0-0-0</f>
        <v>625.25982500000009</v>
      </c>
      <c r="AB95" s="3">
        <f>1473.7+(55.1-947.5)+(-2.254761+(-0.084303--1.449675))+0-0-0</f>
        <v>580.41061100000002</v>
      </c>
      <c r="AC95" s="3">
        <f>1466.4+(26.8-944.3)+(-0.747864+(-0.013668--0.481593))+0-0-0</f>
        <v>548.62006100000008</v>
      </c>
      <c r="AD95">
        <v>623.80000000000007</v>
      </c>
      <c r="AE95" s="3">
        <f>1464+(173.7-1013.9)+(0+(0-0))+0-0-0</f>
        <v>623.79999999999995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1394.9+(50.3-964.5)+(0+(0-0))+0-0-0</f>
        <v>480.70000000000005</v>
      </c>
      <c r="G96" s="3">
        <f>1389.4+(83.7-1001.4)+(-1.417188+(-0.085374--1.021428))+0-0-0</f>
        <v>471.21886600000016</v>
      </c>
      <c r="H96" s="3">
        <f>1203.8+(103.7-886.5)+(-0.613938+(-0.052887--0.452115))+0-0-0</f>
        <v>420.78528999999997</v>
      </c>
      <c r="I96" s="3">
        <f>1078.1+(108.1-780.5)+(-2.199324+(-0.220524--1.59222))+0-0-0</f>
        <v>404.87237199999993</v>
      </c>
      <c r="J96" s="3">
        <f>1103.1+(97.1-804.4)+(1.125162+(0.099042-0.820488))+0-0-0</f>
        <v>396.20371599999993</v>
      </c>
      <c r="K96" s="3">
        <f>1089.8+(68.6-782.9)+(-1.667394+(-0.104958--1.197837))+0-0-0</f>
        <v>374.92548499999998</v>
      </c>
      <c r="L96" s="3">
        <f>1090.1+(64.9-817.2)+(-1.111902+(-0.066198--0.833544))+0-0-0</f>
        <v>337.45544399999983</v>
      </c>
      <c r="M96" s="3">
        <f>1105.3+(54.1-816.5)+(1.691109+(0.082773-1.249245))+0-0-0</f>
        <v>343.42463699999996</v>
      </c>
      <c r="N96" s="3">
        <f>1140.6+(41.3-814.6)+(0+(0-0))+0-0-0</f>
        <v>367.29999999999984</v>
      </c>
      <c r="O96" s="3">
        <f>1218.1+(48.8-867.6)+(-1.242462+(-0.049776--0.884952))+0-0-0</f>
        <v>398.89271399999984</v>
      </c>
      <c r="P96" s="3">
        <f>1442.4+(90.7-1089.5)+(1.471248+(0.092514-1.11129))+0-0-0</f>
        <v>444.05247200000014</v>
      </c>
      <c r="Q96" s="3">
        <f>1436.4+(108-1086.2)+(0.732564+(0.05508-0.553962))+0-0-0</f>
        <v>458.43368200000003</v>
      </c>
      <c r="R96" s="3">
        <f>1434.8+(194.1-1163.2)+(0.731748+(0.098991-0.593232))+0-0-0</f>
        <v>465.93750699999993</v>
      </c>
      <c r="S96" s="3">
        <f>1427.6+(196.6-1171.1)+(-0.728076+(-0.100266--0.597261))+0-0-0</f>
        <v>452.86891900000001</v>
      </c>
      <c r="T96" s="3">
        <f>1382.5+(180.5-1136.2)+(0+(0-0))+0-0-0</f>
        <v>426.79999999999995</v>
      </c>
      <c r="U96" s="3">
        <f>1262.2+(70.4-928.4)+(-1.287444+(-0.071808--0.946968))+0-0-0</f>
        <v>403.78771600000005</v>
      </c>
      <c r="V96" s="3">
        <f>1256.2+(48.6-899.1)+(1.281324+(0.049572-0.917082))+0-0-0</f>
        <v>406.11381400000005</v>
      </c>
      <c r="W96" s="3">
        <f>1245.7+(50.5-890)+(-0.635307+(-0.025755--0.4539))+0-0-0</f>
        <v>405.99283800000006</v>
      </c>
      <c r="X96" s="3">
        <f>1248.8+(37.3-879.7)+(-1.273776+(-0.038046--0.897294))+0-0-0</f>
        <v>405.98547199999985</v>
      </c>
      <c r="Y96" s="3">
        <f>1242.5+(13.7-842.5)+(-1.26735+(-0.013974--0.85935))+0-0-0</f>
        <v>413.27802600000007</v>
      </c>
      <c r="Z96" s="3">
        <f>1248+(22.3-793.6)+(-1.27296+(-0.022746--0.809472))+0-0-0</f>
        <v>476.21376599999991</v>
      </c>
      <c r="AA96" s="3">
        <f>1421+(10.8-885)+(-4.34826+(-0.033048--2.7081))+0-0-0</f>
        <v>545.12679199999991</v>
      </c>
      <c r="AB96" s="3">
        <f>1433.6+(6.4-905.7)+(-1.462272+(-0.006528--0.923814))+0-0-0</f>
        <v>533.75501399999985</v>
      </c>
      <c r="AC96" s="3">
        <f>1438.8+(7.2-938.2)+(-0.733788+(-0.003672--0.478482))+0-0-0</f>
        <v>507.54102199999994</v>
      </c>
      <c r="AD96">
        <v>539.5</v>
      </c>
      <c r="AE96" s="3">
        <f>1450+(5.7-916.2)+(0+(0-0))+0-0-0</f>
        <v>539.5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1409.4+(4.6-935.7)+(-3.59397+(-0.01173--2.386035))+0-0-0</f>
        <v>477.08033500000005</v>
      </c>
      <c r="G97" s="3">
        <f>1411.5+(12.1-990.7)+(-2.87946+(-0.024684--2.021028))+0-0-0</f>
        <v>432.016884</v>
      </c>
      <c r="H97" s="3">
        <f>1423.1+(7.8-1014.5)+(-0.725781+(-0.003978--0.517395))+0-0-0</f>
        <v>416.18763599999988</v>
      </c>
      <c r="I97" s="3">
        <f>1413.8+(10.2-1012.8)+(-2.163114+(-0.015606--1.549584))+0-0-0</f>
        <v>410.57086400000003</v>
      </c>
      <c r="J97" s="3">
        <f>1419.6+(10.8-1030.2)+(-1.447992+(-0.011016--1.050804))+0-0-0</f>
        <v>399.79179599999981</v>
      </c>
      <c r="K97" s="3">
        <f>1401+(12.3-1019.2)+(-4.28706+(-0.037638--3.118752))+0-0-0</f>
        <v>392.89405399999993</v>
      </c>
      <c r="L97" s="3">
        <f>1204.9+(18.7-850.8)+(-2.457996+(-0.038148--1.735632))+0-0-0</f>
        <v>372.03948800000018</v>
      </c>
      <c r="M97" s="3">
        <f>1352.6+(17.4-953.2)+(0+(0-0))+0-0-0</f>
        <v>416.79999999999984</v>
      </c>
      <c r="N97" s="3">
        <f>1383.5+(47.5-958.4)+(-2.116755+(-0.072675--1.466352))+0-0-0</f>
        <v>471.87692200000004</v>
      </c>
      <c r="O97" s="3">
        <f>1403.7+(147.5-978.9)+(1.431774+(0.15045-0.998478))+0-0-0</f>
        <v>572.88374600000009</v>
      </c>
      <c r="P97" s="3">
        <f>1386.7+(166.2-988.8)+(-0.707217+(-0.084762--0.504288))+0-0-0</f>
        <v>563.81230900000014</v>
      </c>
      <c r="Q97" s="3">
        <f>1394.3+(165.2-992.3)+(-0.711093+(-0.084252--0.506073))+0-0-0</f>
        <v>566.91072800000006</v>
      </c>
      <c r="R97" s="3">
        <f>1390.8+(164.8-990)+(0.709308+(0.084048-0.5049))+0-0-0</f>
        <v>565.88845599999991</v>
      </c>
      <c r="S97" s="3">
        <f>1375.9+(180.7-990)+(-0.701709+(-0.092157--0.5049))+0-0-0</f>
        <v>566.31103400000018</v>
      </c>
      <c r="T97" s="3">
        <f>1376+(184.5-1004.3)+(-1.40352+(-0.18819--1.024386))+0-0-0</f>
        <v>555.63267600000006</v>
      </c>
      <c r="U97" s="3">
        <f>1375.8+(182.6-1014.6)+(-2.104974+(-0.279378--1.552338))+0-0-0</f>
        <v>542.967986</v>
      </c>
      <c r="V97" s="3">
        <f>1358.5+(182.4-996)+(-3.464175+(-0.46512--2.5398))+0-0-0</f>
        <v>543.51050499999997</v>
      </c>
      <c r="W97" s="3">
        <f>1352.9+(188.9-985.5)+(-4.829853+(-0.674373--3.518235))+0-0-0</f>
        <v>554.31400900000006</v>
      </c>
      <c r="X97" s="3">
        <f>1353.7+(180.6-990.5)+(-4.142322+(-0.552636--3.03093))+0-0-0</f>
        <v>542.13597200000004</v>
      </c>
      <c r="Y97" s="3">
        <f>1362.4+(122.2-948.6)+(-2.779296+(-0.249288--1.935144))+0-0-0</f>
        <v>534.90656000000013</v>
      </c>
      <c r="Z97" s="3">
        <f>1416+(159.2-983.7)+(0+(0-0))+0-0-0</f>
        <v>591.5</v>
      </c>
      <c r="AA97" s="3">
        <f>1441.7+(214-969.2)+(-1.470534+(-0.21828--0.988584))+0-0-0</f>
        <v>685.79976999999997</v>
      </c>
      <c r="AB97" s="3">
        <f>1340.2+(205.5-873.1)+(-2.050506+(-0.314415--1.335843))+0-0-0</f>
        <v>671.570922</v>
      </c>
      <c r="AC97" s="3">
        <f>1309.1+(181.4-858.6)+(-0.667641+(-0.092514--0.437886))+0-0-0</f>
        <v>631.57773099999986</v>
      </c>
      <c r="AD97">
        <v>673.40000000000009</v>
      </c>
      <c r="AE97" s="3">
        <f>1455+(193.2-974.8)+(0+(0-0))+0-0-0</f>
        <v>673.40000000000009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1251.3+(149.9-871.5)+(-1.914489+(-0.229347--1.333395))+0-0-0</f>
        <v>528.88955899999996</v>
      </c>
      <c r="G98" s="3">
        <f>1250.5+(93.7-885.4)+(-1.913265+(-0.143361--1.354662))+0-0-0</f>
        <v>458.09803600000009</v>
      </c>
      <c r="H98" s="3">
        <f>1130.9+(64.1-770.7)+(-1.153518+(-0.065382--0.786114))+0-0-0</f>
        <v>423.86721400000005</v>
      </c>
      <c r="I98" s="3">
        <f>1060.3+(65.4-701.2)+(1.622259+(0.100062-1.072836))+0-0-0</f>
        <v>425.14948499999991</v>
      </c>
      <c r="J98" s="3">
        <f>1047+(80.8-691.5)+(0+(0-0))+0-0-0</f>
        <v>436.29999999999995</v>
      </c>
      <c r="K98" s="3">
        <f>1044+(94.9-699.7)+(-1.06488+(-0.096798--0.713694))+0-0-0</f>
        <v>438.75201599999991</v>
      </c>
      <c r="L98" s="3">
        <f>1037.3+(84.3-717.3)+(-2.116092+(-0.171972--1.463292))+0-0-0</f>
        <v>403.47522799999996</v>
      </c>
      <c r="M98" s="3">
        <f>1137.9+(68-762.4)+(3.481974+(0.20808-2.332944))+0-0-0</f>
        <v>444.85711000000009</v>
      </c>
      <c r="N98" s="3">
        <f>1283.3+(107-886.9)+(-2.617932+(-0.21828--1.809276))+0-0-0</f>
        <v>502.373064</v>
      </c>
      <c r="O98" s="3">
        <f>1297.2+(181.6-925)+(-0.661572+(-0.092616--0.47175))+0-0-0</f>
        <v>553.51756200000011</v>
      </c>
      <c r="P98" s="3">
        <f>1296.4+(207.3-911.1)+(-0.661164+(-0.105723--0.464661))+0-0-0</f>
        <v>592.29777400000012</v>
      </c>
      <c r="Q98" s="3">
        <f>1309.5+(199.2-895.4)+(-0.667845+(-0.101592--0.456654))+0-0-0</f>
        <v>612.98721699999999</v>
      </c>
      <c r="R98" s="3">
        <f>1297.4+(192.8-879.8)+(0+(0-0))+0-0-0</f>
        <v>610.40000000000009</v>
      </c>
      <c r="S98" s="3">
        <f>1290+(194-880)+(-1.3158+(-0.19788--0.8976))+0-0-0</f>
        <v>603.38391999999999</v>
      </c>
      <c r="T98" s="3">
        <f>1296.1+(185.7-886.1)+(-2.644044+(-0.378828--1.807644))+0-0-0</f>
        <v>594.48477199999979</v>
      </c>
      <c r="U98" s="3">
        <f>1301.5+(185-905.3)+(-1.991295+(-0.28305--1.385109))+0-0-0</f>
        <v>580.31076400000006</v>
      </c>
      <c r="V98" s="3">
        <f>1292.7+(184.3-890.5)+(-0.659277+(-0.093993--0.454155))+0-0-0</f>
        <v>586.20088499999997</v>
      </c>
      <c r="W98" s="3">
        <f>1290.3+(184.9-890.6)+(-0.658053+(-0.094299--0.454206))+0-0-0</f>
        <v>584.30185399999993</v>
      </c>
      <c r="X98" s="3">
        <f>1279.5+(187.6-897.5)+(-3.91527+(-0.574056--2.74635))+0-0-0</f>
        <v>567.85702400000002</v>
      </c>
      <c r="Y98" s="3">
        <f>1287.1+(105.1-844.8)+(-1.969263+(-0.160803--1.292544))+0-0-0</f>
        <v>546.56247799999994</v>
      </c>
      <c r="Z98" s="3">
        <f>1298.7+(79.9-781.6)+(-1.987011+(-0.122247--1.195848))+0-0-0</f>
        <v>596.08659</v>
      </c>
      <c r="AA98" s="3">
        <f>1307.9+(146.3-755.6)+(-0.667029+(-0.074613--0.385356))+0-0-0</f>
        <v>698.24371400000018</v>
      </c>
      <c r="AB98" s="3">
        <f>1317.4+(148.4-766.6)+(-2.687496+(-0.302736--1.563864))+0-0-0</f>
        <v>697.77363200000002</v>
      </c>
      <c r="AC98" s="3">
        <f>1327.6+(161.1-820.9)+(-1.354152+(-0.164322--0.837318))+0-0-0</f>
        <v>667.11884399999997</v>
      </c>
      <c r="AD98">
        <v>695.40000000000009</v>
      </c>
      <c r="AE98" s="3">
        <f>1310+(142.2-756.8)+(0+(0-0))+0-0-0</f>
        <v>695.40000000000009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1279.4+(180.3-829.7)+(-1.957482+(-0.275859--1.269441))+0-0-0</f>
        <v>629.03610000000003</v>
      </c>
      <c r="G99" s="3">
        <f>1109+(213.1-747)+(-2.26236+(-0.434724--1.52388))+0-0-0</f>
        <v>573.92679599999997</v>
      </c>
      <c r="H99" s="3">
        <f>1001.1+(202.5-667.5)+(-2.042244+(-0.4131--1.3617))+0-0-0</f>
        <v>535.00635599999998</v>
      </c>
      <c r="I99" s="3">
        <f>995.7+(118.9-606.4)+(-2.539035+(-0.303195--1.54632))+0-0-0</f>
        <v>506.90409000000005</v>
      </c>
      <c r="J99" s="3">
        <f>996.5+(113.6-616.7)+(-3.04929+(-0.347616--1.887102))+0-0-0</f>
        <v>491.890196</v>
      </c>
      <c r="K99" s="3">
        <f>993.8+(102.1-618.3)+(-2.53419+(-0.260355--1.576665))+0-0-0</f>
        <v>476.38212000000004</v>
      </c>
      <c r="L99" s="3">
        <f>945.6+(106.7-593.2)+(-0.482256+(-0.054417--0.302532))+0-0-0</f>
        <v>458.86585899999994</v>
      </c>
      <c r="M99" s="3">
        <f>890.3+(108.4-505.4)+(-0.454053+(-0.055284--0.257754))+0-0-0</f>
        <v>493.04841699999997</v>
      </c>
      <c r="N99" s="3">
        <f>1088.9+(94.1-607.9)+(0.555339+(0.047991-0.310029))+0-0-0</f>
        <v>575.39330100000018</v>
      </c>
      <c r="O99" s="3">
        <f>1184.9+(106.8-668.5)+(-0.604299+(-0.054468--0.340935))+0-0-0</f>
        <v>622.88216800000009</v>
      </c>
      <c r="P99" s="3">
        <f>1180.7+(127.9-638.6)+(-0.602157+(-0.065229--0.325686))+0-0-0</f>
        <v>669.65830000000005</v>
      </c>
      <c r="Q99" s="3">
        <f>1160.4+(170-649.6)+(0+(0-0))+0-0-0</f>
        <v>680.80000000000007</v>
      </c>
      <c r="R99" s="3">
        <f>1162.2+(245.4-697)+(0+(0-0))+0-0-0</f>
        <v>710.6</v>
      </c>
      <c r="S99" s="3">
        <f>1163.4+(255.2-696.8)+(-1.186668+(-0.260304--0.710736))+0-0-0</f>
        <v>721.06376400000022</v>
      </c>
      <c r="T99" s="3">
        <f>1199.8+(280.3-757.2)+(-0.611898+(-0.142953--0.386172))+0-0-0</f>
        <v>722.53132099999982</v>
      </c>
      <c r="U99" s="3">
        <f>1201.6+(290.2-782.5)+(0.612816+(0.148002-0.399075))+0-0-0</f>
        <v>709.661743</v>
      </c>
      <c r="V99" s="3">
        <f>1182+(288.7-759.9)+(-0.60282+(-0.147237--0.387549))+0-0-0</f>
        <v>710.43749199999991</v>
      </c>
      <c r="W99" s="3">
        <f>1155.2+(279.1-727.7)+(-4.124064+(-0.996387--2.597889))+0-0-0</f>
        <v>704.07743800000003</v>
      </c>
      <c r="X99" s="3">
        <f>1164.4+(263.1-754)+(-3.563064+(-0.805086--2.30724))+0-0-0</f>
        <v>671.43909000000008</v>
      </c>
      <c r="Y99" s="3">
        <f>1180.2+(133.1-683.7)+(-0.601902+(-0.067881--0.348687))+0-0-0</f>
        <v>629.27890400000001</v>
      </c>
      <c r="Z99" s="3">
        <f>1177.7+(187.1-683.9)+(0.600627+(0.095421-0.348789))+0-0-0</f>
        <v>681.2472590000001</v>
      </c>
      <c r="AA99" s="3">
        <f>1199.2+(224.5-616)+(-2.446368+(-0.45798--1.25664))+0-0-0</f>
        <v>806.05229200000008</v>
      </c>
      <c r="AB99" s="3">
        <f>1207.7+(221.6-622.4)+(-0.615927+(-0.113016--0.317424))+0-0-0</f>
        <v>806.48848100000009</v>
      </c>
      <c r="AC99" s="3">
        <f>1195.8+(236.1-660)+(0+(0-0))+0-0-0</f>
        <v>771.9</v>
      </c>
      <c r="AD99">
        <v>790</v>
      </c>
      <c r="AE99" s="3">
        <f>1224+(218-652)+(0+(0-0))+0-0-0</f>
        <v>790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1165.8+(151.4-636.4)+(-2.97279+(-0.38607--1.62282))+0-0-0</f>
        <v>679.06395999999995</v>
      </c>
      <c r="G100" s="3">
        <f>1086.4+(148.7-629.2)+(-2.216256+(-0.303348--1.283568))+0-0-0</f>
        <v>604.66396400000008</v>
      </c>
      <c r="H100" s="3">
        <f>874.9+(172.9-483.1)+(-0.892398+(-0.176358--0.492762))+0-0-0</f>
        <v>564.12400599999989</v>
      </c>
      <c r="I100" s="3">
        <f>870.3+(178.9-517.7)+(-1.331559+(-0.273717--0.792081))+0-0-0</f>
        <v>530.68680499999994</v>
      </c>
      <c r="J100" s="3">
        <f>866.7+(146.9-499.6)+(-2.210085+(-0.374595--1.27398))+0-0-0</f>
        <v>512.6893</v>
      </c>
      <c r="K100" s="3">
        <f>863.6+(95.7-460.7)+(-2.20218+(-0.244035--1.174785))+0-0-0</f>
        <v>497.32857000000001</v>
      </c>
      <c r="L100" s="3">
        <f>886.5+(97.3-520.9)+(0.452115+(0.049623-0.265659))+0-0-0</f>
        <v>463.13607900000005</v>
      </c>
      <c r="M100" s="3">
        <f>894+(71.2-456.2)+(-1.36782+(-0.108936--0.697986))+0-0-0</f>
        <v>508.22122999999999</v>
      </c>
      <c r="N100" s="3">
        <f>985.1+(50.8-454.5)+(0.502401+(0.025908-0.231795))+0-0-0</f>
        <v>581.69651400000009</v>
      </c>
      <c r="O100" s="3">
        <f>1115.9+(72.5-542.5)+(0+(0-0))+0-0-0</f>
        <v>645.90000000000009</v>
      </c>
      <c r="P100" s="3">
        <f>1230.4+(211-699.8)+(-0.627504+(-0.10761--0.356898))+0-0-0</f>
        <v>741.22178400000018</v>
      </c>
      <c r="Q100" s="3">
        <f>1265.1+(237.7-761.8)+(1.290402+(0.242454-0.777036))+0-0-0</f>
        <v>741.75581999999997</v>
      </c>
      <c r="R100" s="3">
        <f>1263.9+(256.5-748.8)+(1.289178+(0.26163-0.763776))+0-0-0</f>
        <v>772.38703200000009</v>
      </c>
      <c r="S100" s="3">
        <f>1243.9+(302.7-753.1)+(0+(0-0))+0-0-0</f>
        <v>793.5</v>
      </c>
      <c r="T100" s="3">
        <f>1245.4+(286-735.6)+(-0.635154+(-0.14586--0.375156))+0-0-0</f>
        <v>795.3941420000001</v>
      </c>
      <c r="U100" s="3">
        <f>1244.4+(284.1-754.9)+(-0.634644+(-0.144891--0.384999))+0-0-0</f>
        <v>773.20546400000012</v>
      </c>
      <c r="V100" s="3">
        <f>1248.1+(275-781.7)+(-1.909593+(-0.42075--1.196001))+0-0-0</f>
        <v>740.26565799999992</v>
      </c>
      <c r="W100" s="3">
        <f>1275+(228-787.6)+(1.3005+(0.23256-0.803352))+0-0-0</f>
        <v>716.12970799999994</v>
      </c>
      <c r="X100" s="3">
        <f>1273.9+(222.4-808.2)+(-2.598756+(-0.453696--1.648728))+0-0-0</f>
        <v>686.69627600000001</v>
      </c>
      <c r="Y100" s="3">
        <f>1153.9+(148.5-662.1)+(-1.176978+(-0.15147--0.675342))+0-0-0</f>
        <v>639.64689400000009</v>
      </c>
      <c r="Z100" s="3">
        <f>1208.1+(205.8-724.4)+(0+(0-0))+0-0-0</f>
        <v>689.5</v>
      </c>
      <c r="AA100" s="3">
        <f>1324.1+(223.2-740.8)+(-0.675291+(-0.113832--0.377808))+0-0-0</f>
        <v>806.08868500000005</v>
      </c>
      <c r="AB100" s="3">
        <f>1369.1+(215.2-777.3)+(-2.094723+(-0.329256--1.189269))+0-0-0</f>
        <v>805.76529000000005</v>
      </c>
      <c r="AC100" s="3">
        <f>1372.2+(221-823.1)+(0+(0-0))+0-0-0</f>
        <v>770.1</v>
      </c>
      <c r="AD100">
        <v>819.09999999999991</v>
      </c>
      <c r="AE100" s="3">
        <f>1337+(210.1-728)+(0+(0-0))+0-0-0</f>
        <v>819.1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1320.1+(140.4-765.1)+(-2.019753+(-0.214812--1.170603))+0-0-0</f>
        <v>694.33603799999992</v>
      </c>
      <c r="G101" s="3">
        <f>1367.7+(126.8-871.8)+(0+(0-0))+0-0-0</f>
        <v>622.70000000000005</v>
      </c>
      <c r="H101" s="3">
        <f>1358.5+(128.6-903.5)+(-3.464175+(-0.32793--2.303925))+0-0-0</f>
        <v>582.11181999999997</v>
      </c>
      <c r="I101" s="3">
        <f>1363.7+(60.2-863.4)+(-2.086461+(-0.092106--1.321002))+0-0-0</f>
        <v>559.64243500000009</v>
      </c>
      <c r="J101" s="3">
        <f>1368.1+(52.9-879.7)+(-2.093193+(-0.080937--1.345941))+0-0-0</f>
        <v>540.47181099999989</v>
      </c>
      <c r="K101" s="3">
        <f>1358.5+(44.7-888.2)+(-4.15701+(-0.136782--2.717892))+0-0-0</f>
        <v>513.42409999999995</v>
      </c>
      <c r="L101" s="3">
        <f>1371.8+(42-928)+(-1.399236+(-0.04284--0.94656))+0-0-0</f>
        <v>485.30448399999995</v>
      </c>
      <c r="M101" s="3">
        <f>1380.5+(37.3-887.2)+(0.704055+(0.019023-0.452472))+0-0-0</f>
        <v>530.87060599999995</v>
      </c>
      <c r="N101" s="3">
        <f>1376.8+(23.9-788.3)+(1.404336+(0.024378-0.804066))+0-0-0</f>
        <v>613.02464799999996</v>
      </c>
      <c r="O101" s="3">
        <f>1377+(39.6-761.1)+(-2.10681+(-0.060588--1.164483))+0-0-0</f>
        <v>654.49708499999997</v>
      </c>
      <c r="P101" s="3">
        <f>1450+(122.7-859)+(0+(0-0))+0-0-0</f>
        <v>713.7</v>
      </c>
      <c r="Q101" s="3">
        <f>1459.3+(219.7-934)+(0.744243+(0.112047-0.47634))+0-0-0</f>
        <v>745.37995000000001</v>
      </c>
      <c r="R101" s="3">
        <f>1444+(223.6-919.6)+(-0.73644+(-0.114036--0.468996))+0-0-0</f>
        <v>747.61851999999999</v>
      </c>
      <c r="S101" s="3">
        <f>1432.9+(224.8-883.2)+(-2.923116+(-0.458592--1.801728))+0-0-0</f>
        <v>772.92002000000002</v>
      </c>
      <c r="T101" s="3">
        <f>1438.1+(233.8-900.1)+(0.733431+(0.119238-0.459051))+0-0-0</f>
        <v>772.1936179999999</v>
      </c>
      <c r="U101" s="3">
        <f>1424.7+(224.6-901)+(-3.632985+(-0.57273--2.29755))+0-0-0</f>
        <v>746.39183500000001</v>
      </c>
      <c r="V101" s="3">
        <f>1439.1+(223.3-924.7)+(0+(0-0))+0-0-0</f>
        <v>737.69999999999982</v>
      </c>
      <c r="W101" s="3">
        <f>1436.4+(222.9-946.3)+(-2.197692+(-0.341037--1.447839))+0-0-0</f>
        <v>711.90911000000017</v>
      </c>
      <c r="X101" s="3">
        <f>1396.2+(213.1-936)+(-2.848248+(-0.434724--1.90944))+0-0-0</f>
        <v>671.92646800000011</v>
      </c>
      <c r="Y101" s="3">
        <f>1351+(144.9-868)+(-1.37802+(-0.147798--0.88536))+0-0-0</f>
        <v>627.25954200000001</v>
      </c>
      <c r="Z101" s="3">
        <f>1374.1+(172.6-883.8)+(-2.803164+(-0.352104--1.802952))+0-0-0</f>
        <v>661.547684</v>
      </c>
      <c r="AA101" s="3">
        <f>1375.4+(226.5-812.5)+(-2.104362+(-0.346545--1.243125))+0-0-0</f>
        <v>788.19221800000014</v>
      </c>
      <c r="AB101" s="3">
        <f>1405.4+(173.4-788.2)+(-2.150262+(-0.265302--1.205946))+0-0-0</f>
        <v>789.39038200000005</v>
      </c>
      <c r="AC101" s="3">
        <f>1387.6+(103.7-730)+(1.415352+(0.105774-0.7446))+0-0-0</f>
        <v>762.07652599999994</v>
      </c>
      <c r="AD101">
        <v>797.59999999999991</v>
      </c>
      <c r="AE101" s="3">
        <f>1379+(197.6-779)+(0+(0-0))+0-0-0</f>
        <v>797.6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1222.4+(107.5-601.4)+(-0.623424+(-0.054825--0.306714))+0-0-0</f>
        <v>728.12846500000012</v>
      </c>
      <c r="G102" s="3">
        <f>1219+(128.3-685.2)+(-1.24338+(-0.130866--0.698904))+0-0-0</f>
        <v>661.42465799999991</v>
      </c>
      <c r="H102" s="3">
        <f>1098.3+(146.2-628.2)+(-1.120266+(-0.149124--0.640764))+0-0-0</f>
        <v>615.6713739999999</v>
      </c>
      <c r="I102" s="3">
        <f>964+(159.4-535.1)+(0.49164+(0.081294-0.272901))+0-0-0</f>
        <v>588.60003299999994</v>
      </c>
      <c r="J102" s="3">
        <f>953.1+(165.9-537.1)+(-1.458243+(-0.253827--0.821763))+0-0-0</f>
        <v>581.00969299999997</v>
      </c>
      <c r="K102" s="3">
        <f>948.7+(165-564.4)+(-2.419185+(-0.42075--1.43922))+0-0-0</f>
        <v>547.89928500000008</v>
      </c>
      <c r="L102" s="3">
        <f>945.7+(156.2-598.7)+(-2.893842+(-0.477972--1.832022))+0-0-0</f>
        <v>501.66020800000001</v>
      </c>
      <c r="M102" s="3">
        <f>956.8+(152.8-602.2)+(-0.487968+(-0.077928--0.307122))+0-0-0</f>
        <v>507.1412259999999</v>
      </c>
      <c r="N102" s="3">
        <f>958.8+(147.7-563.7)+(-0.488988+(-0.075327--0.287487))+0-0-0</f>
        <v>542.52317199999993</v>
      </c>
      <c r="O102" s="3">
        <f>1031.5+(112.3-544.5)+(0+(0-0))+0-0-0</f>
        <v>599.29999999999995</v>
      </c>
      <c r="P102" s="3">
        <f>1093.2+(96.6-533.6)+(0+(0-0))+0-0-0</f>
        <v>656.2</v>
      </c>
      <c r="Q102" s="3">
        <f>1086.3+(84.3-486.3)+(-1.662039+(-0.128979--0.744039))+0-0-0</f>
        <v>683.25302099999999</v>
      </c>
      <c r="R102" s="3">
        <f>1128+(82.5-515.4)+(-0.57528+(-0.042075--0.262854))+0-0-0</f>
        <v>694.745499</v>
      </c>
      <c r="S102" s="3">
        <f>1168.7+(86.7-536.4)+(-2.980185+(-0.221085--1.36782))+0-0-0</f>
        <v>717.16655000000003</v>
      </c>
      <c r="T102" s="3">
        <f>1174.6+(95.3-541)+(0.599046+(0.048603-0.27591))+0-0-0</f>
        <v>729.27173899999991</v>
      </c>
      <c r="U102" s="3">
        <f>1168.8+(93-548.6)+(0.596088+(0.04743-0.279786))+0-0-0</f>
        <v>713.56373199999996</v>
      </c>
      <c r="V102" s="3">
        <f>1159.4+(87.8-546.7)+(-1.182588+(-0.089556--0.557634))+0-0-0</f>
        <v>699.78548999999998</v>
      </c>
      <c r="W102" s="3">
        <f>1166.3+(86-576.6)+(-1.784439+(-0.13158--0.882198))+0-0-0</f>
        <v>674.66617899999994</v>
      </c>
      <c r="X102" s="3">
        <f>1164+(83.9-591.2)+(-2.37456+(-0.171156--1.206048))+0-0-0</f>
        <v>655.36033199999997</v>
      </c>
      <c r="Y102" s="3">
        <f>1170.2+(78.1-604.2)+(-1.790406+(-0.119493--0.924426))+0-0-0</f>
        <v>643.11452700000007</v>
      </c>
      <c r="Z102" s="3">
        <f>1186.8+(105.1-607.3)+(0.605268+(0.053601-0.309723))+0-0-0</f>
        <v>684.94914600000004</v>
      </c>
      <c r="AA102" s="3">
        <f>1202.7+(91.7-503.1)+(-1.840131+(-0.140301--0.769743))+0-0-0</f>
        <v>790.08931099999995</v>
      </c>
      <c r="AB102" s="3">
        <f>1213.8+(91.3-498.4)+(-1.238076+(-0.093126--0.508368))+0-0-0</f>
        <v>805.8771660000001</v>
      </c>
      <c r="AC102" s="3">
        <f>1225.4+(94.8-545.2)+(1.249908+(0.096696-0.556104))+0-0-0</f>
        <v>775.79049999999995</v>
      </c>
      <c r="AD102">
        <v>763.69999999999993</v>
      </c>
      <c r="AE102" s="3">
        <f>1208+(88.8-533.1)+(0+(0-0))+0-0-0</f>
        <v>763.7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1210.2+(112.5-615.3)+(-1.234404+(-0.11475--0.627606))+0-0-0</f>
        <v>706.67845200000011</v>
      </c>
      <c r="G103" s="3">
        <f>1209.8+(109.4-645.1)+(-0.616998+(-0.055794--0.329001))+0-0-0</f>
        <v>673.7562089999999</v>
      </c>
      <c r="H103" s="3">
        <f>1203.8+(96-674.3)+(-2.455752+(-0.19584--1.375572))+0-0-0</f>
        <v>624.22397999999998</v>
      </c>
      <c r="I103" s="3">
        <f>1200.9+(98.1-718.8)+(-3.062295+(-0.250155--1.83294))+0-0-0</f>
        <v>578.72049000000015</v>
      </c>
      <c r="J103" s="3">
        <f>1131.7+(65.3-633.6)+(1.154334+(0.066606-0.646272))+0-0-0</f>
        <v>563.97466799999995</v>
      </c>
      <c r="K103" s="3">
        <f>1057.9+(47.6-581.9)+(-2.697645+(-0.12138--1.483845))+0-0-0</f>
        <v>522.2648200000001</v>
      </c>
      <c r="L103" s="3">
        <f>967.5+(44.4-555.7)+(-0.493425+(-0.022644--0.283407))+0-0-0</f>
        <v>455.96733799999993</v>
      </c>
      <c r="M103" s="3">
        <f>965.4+(39.6-545.1)+(-0.984708+(-0.040392--0.556002))+0-0-0</f>
        <v>459.430902</v>
      </c>
      <c r="N103" s="3">
        <f>966.1+(42.7-523.4)+(-0.985422+(-0.043554--0.533868))+0-0-0</f>
        <v>484.90489200000002</v>
      </c>
      <c r="O103" s="3">
        <f>969.7+(55-510.9)+(0.494547+(0.02805-0.260559))+0-0-0</f>
        <v>514.06203800000003</v>
      </c>
      <c r="P103" s="3">
        <f>1004.9+(55.4-513.6)+(-1.024998+(-0.056508--0.523872))+0-0-0</f>
        <v>546.14236599999992</v>
      </c>
      <c r="Q103" s="3">
        <f>1196.3+(25.3-643.9)+(0+(0-0))+0-0-0</f>
        <v>577.69999999999993</v>
      </c>
      <c r="R103" s="3">
        <f>1190.9+(26.3-614.6)+(1.822077+(0.040239-0.940338))+0-0-0</f>
        <v>603.52197799999999</v>
      </c>
      <c r="S103" s="3">
        <f>1174.8+(54-595.8)+(0+(0-0))+0-0-0</f>
        <v>633</v>
      </c>
      <c r="T103" s="3">
        <f>1170+(58.1-585.3)+(0.5967+(0.029631-0.298503))+0-0-0</f>
        <v>643.12782800000002</v>
      </c>
      <c r="U103" s="3">
        <f>1153.7+(41.8-572.9)+(-3.530322+(-0.127908--1.753074))+0-0-0</f>
        <v>620.69484399999999</v>
      </c>
      <c r="V103" s="3">
        <f>1188.1+(31.3-601.6)+(1.817793+(0.047889-0.920448))+0-0-0</f>
        <v>618.74523399999987</v>
      </c>
      <c r="W103" s="3">
        <f>1166.1+(30-605.1)+(-2.973555+(-0.0765--1.543005))+0-0-0</f>
        <v>589.49294999999984</v>
      </c>
      <c r="X103" s="3">
        <f>1165.8+(37.4-622.8)+(-2.97279+(-0.09537--1.58814))+0-0-0</f>
        <v>578.91998000000001</v>
      </c>
      <c r="Y103" s="3">
        <f>1179.7+(53.9-660.2)+(-1.203294+(-0.054978--0.673404))+0-0-0</f>
        <v>572.81513199999995</v>
      </c>
      <c r="Z103" s="3">
        <f>1196.2+(83.9-662.6)+(-1.220124+(-0.085578--0.675852))+0-0-0</f>
        <v>616.87014999999997</v>
      </c>
      <c r="AA103" s="3">
        <f>1200.1+(111.2-589.7)+(-2.448204+(-0.226848--1.202988))+0-0-0</f>
        <v>720.12793599999986</v>
      </c>
      <c r="AB103" s="3">
        <f>1218.6+(96.1-563.3)+(-1.242972+(-0.098022--0.574566))+0-0-0</f>
        <v>750.63357199999996</v>
      </c>
      <c r="AC103" s="3">
        <f>1210.9+(100.2-572.5)+(-1.852677+(-0.153306--0.875925))+0-0-0</f>
        <v>737.46994200000017</v>
      </c>
      <c r="AD103">
        <v>694.1</v>
      </c>
      <c r="AE103" s="3">
        <f>1192+(94.5-592.4)+(0+(0-0))+0-0-0</f>
        <v>694.1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1216.8+(109.7-654)+(-0.620568+(-0.055947--0.33354))+0-0-0</f>
        <v>672.15702499999998</v>
      </c>
      <c r="G104" s="3">
        <f>1213.5+(110.7-706.6)+(-1.23777+(-0.112914--0.720732))+0-0-0</f>
        <v>616.97004800000002</v>
      </c>
      <c r="H104" s="3">
        <f>1087.8+(106.8-624.5)+(1.109556+(0.108936-0.63699))+0-0-0</f>
        <v>570.68150199999991</v>
      </c>
      <c r="I104" s="3">
        <f>1025.1+(93.9-579.7)+(-0.522801+(-0.047889--0.295647))+0-0-0</f>
        <v>539.02495699999986</v>
      </c>
      <c r="J104" s="3">
        <f>1017.1+(80.8-579.6)+(-1.556163+(-0.123624--0.886788))+0-0-0</f>
        <v>517.50700099999995</v>
      </c>
      <c r="K104" s="3">
        <f>1005.7+(86.4-597.8)+(-4.103256+(-0.352512--2.439024))+0-0-0</f>
        <v>492.28325600000005</v>
      </c>
      <c r="L104" s="3">
        <f>1013.2+(92-631.1)+(-2.066928+(-0.18768--1.287444))+0-0-0</f>
        <v>473.132836</v>
      </c>
      <c r="M104" s="3">
        <f>1031.1+(97.7-612.8)+(1.577583+(0.149481-0.937584))+0-0-0</f>
        <v>516.78948000000003</v>
      </c>
      <c r="N104" s="3">
        <f>1236.2+(86-730.4)+(0.630462+(0.04386-0.372504))+0-0-0</f>
        <v>592.10181800000009</v>
      </c>
      <c r="O104" s="3">
        <f>1305.5+(100.3-758.9)+(0.665805+(0.051153-0.387039))+0-0-0</f>
        <v>647.229919</v>
      </c>
      <c r="P104" s="3">
        <f>1299.4+(137.5-749)+(-1.325388+(-0.14025--0.76398))+0-0-0</f>
        <v>687.19834200000014</v>
      </c>
      <c r="Q104" s="3">
        <f>1285.3+(233.9-801.9)+(-0.655503+(-0.119289--0.408969))+0-0-0</f>
        <v>716.93417699999998</v>
      </c>
      <c r="R104" s="3">
        <f>1367.5+(236-850.1)+(-1.39485+(-0.24072--0.867102))+0-0-0</f>
        <v>752.63153199999999</v>
      </c>
      <c r="S104" s="3">
        <f>1387.5+(239.2-847.9)+(-0.707625+(-0.121992--0.432429))+0-0-0</f>
        <v>778.40281199999993</v>
      </c>
      <c r="T104" s="3">
        <f>1440.1+(231.1-894.2)+(-2.203353+(-0.353583--1.368126))+0-0-0</f>
        <v>775.8111899999999</v>
      </c>
      <c r="U104" s="3">
        <f>1478.9+(206.8-929.1)+(0+(0-0))+0-0-0</f>
        <v>756.60000000000014</v>
      </c>
      <c r="V104" s="3">
        <f>1472.1+(205.4-927.2)+(-1.501542+(-0.209508--0.945744))+0-0-0</f>
        <v>749.53469399999983</v>
      </c>
      <c r="W104" s="3">
        <f>1461.8+(209.3-937.1)+(-3.72759+(-0.533715--2.389605))+0-0-0</f>
        <v>732.12829999999997</v>
      </c>
      <c r="X104" s="3">
        <f>1476.6+(163.2-939.4)+(-3.76533+(-0.41616--2.39547))+0-0-0</f>
        <v>698.61397999999986</v>
      </c>
      <c r="Y104" s="3">
        <f>1472.4+(86.5-892.3)+(-4.505544+(-0.26469--2.730438))+0-0-0</f>
        <v>664.56020400000011</v>
      </c>
      <c r="Z104" s="3">
        <f>1499.7+(135.4-921.1)+(1.529694+(0.138108-0.939522))+0-0-0</f>
        <v>714.72828000000004</v>
      </c>
      <c r="AA104" s="3">
        <f>1495.6+(235-895.7)+(-2.288268+(-0.35955--1.370421))+0-0-0</f>
        <v>833.62260299999991</v>
      </c>
      <c r="AB104" s="3">
        <f>1510.8+(225.7-893.9)+(-1.541016+(-0.230214--0.911778))+0-0-0</f>
        <v>841.74054799999988</v>
      </c>
      <c r="AC104" s="3">
        <f>1504.6+(224-905.8)+(0.767346+(0.11424-0.461958))+0-0-0</f>
        <v>823.21962799999994</v>
      </c>
      <c r="AD104">
        <v>799.00000000000011</v>
      </c>
      <c r="AE104" s="3">
        <f>1477+(223.4-901.4)+(0+(0-0))+0-0-0</f>
        <v>799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1379.1+(199.9-828.3)+(0+(0-0))+0-0-0</f>
        <v>750.69999999999993</v>
      </c>
      <c r="G105" s="3">
        <f>1273.7+(173.1-770.3)+(-0.649587+(-0.088281--0.392853))+0-0-0</f>
        <v>676.15498500000012</v>
      </c>
      <c r="H105" s="3">
        <f>1262.9+(187-819.8)+(-1.932237+(-0.28611--1.254294))+0-0-0</f>
        <v>629.1359470000001</v>
      </c>
      <c r="I105" s="3">
        <f>1263.1+(193.3-863.9)+(-1.932543+(-0.295749--1.321767))+0-0-0</f>
        <v>591.59347500000001</v>
      </c>
      <c r="J105" s="3">
        <f>1259.6+(196.5-870.5)+(-3.21198+(-0.501075--2.219775))+0-0-0</f>
        <v>584.10671999999988</v>
      </c>
      <c r="K105" s="3">
        <f>1259.5+(180.5-887.1)+(-3.211725+(-0.460275--2.262105))+0-0-0</f>
        <v>551.49010499999997</v>
      </c>
      <c r="L105" s="3">
        <f>1150.4+(166.5-801.1)+(-1.173408+(-0.16983--0.817122))+0-0-0</f>
        <v>515.27388400000007</v>
      </c>
      <c r="M105" s="3">
        <f>1162.9+(151.6-761.5)+(-0.593079+(-0.077316--0.388365))+0-0-0</f>
        <v>552.71797000000015</v>
      </c>
      <c r="N105" s="3">
        <f>1321.9+(134.1-829.3)+(0.674169+(0.068391-0.422943))+0-0-0</f>
        <v>627.01961700000015</v>
      </c>
      <c r="O105" s="3">
        <f>1347.4+(175.8-835.3)+(0+(0-0))+0-0-0</f>
        <v>687.90000000000009</v>
      </c>
      <c r="P105" s="3">
        <f>1355.5+(215.1-844.5)+(1.38261+(0.219402-0.86139))+0-0-0</f>
        <v>726.84062200000005</v>
      </c>
      <c r="Q105" s="3">
        <f>1335+(253.9-845.1)+(-0.68085+(-0.129489--0.431001))+0-0-0</f>
        <v>743.42066199999999</v>
      </c>
      <c r="R105" s="3">
        <f>1328.9+(268.2-808.3)+(-1.355478+(-0.273564--0.824466))+0-0-0</f>
        <v>787.99542400000018</v>
      </c>
      <c r="S105" s="3">
        <f>1326.1+(269.9-774.6)+(-1.352622+(-0.275298--0.790092))+0-0-0</f>
        <v>820.56217199999992</v>
      </c>
      <c r="T105" s="3">
        <f>1339.9+(294.7-805.3)+(0+(0-0))+0-0-0</f>
        <v>829.30000000000018</v>
      </c>
      <c r="U105" s="3">
        <f>1354.8+(294.3-842.3)+(0+(0-0))+0-0-0</f>
        <v>806.8</v>
      </c>
      <c r="V105" s="3">
        <f>1380.5+(288.7-881.8)+(0.704055+(0.147237-0.449718))+0-0-0</f>
        <v>787.80157400000007</v>
      </c>
      <c r="W105" s="3">
        <f>1402.9+(282.5-928.9)+(-2.861916+(-0.5763--1.894956))+0-0-0</f>
        <v>754.95674000000008</v>
      </c>
      <c r="X105" s="3">
        <f>1456.5+(238.7-971.1)+(-5.199705+(-0.852159--3.466827))+0-0-0</f>
        <v>721.51496299999985</v>
      </c>
      <c r="Y105" s="3">
        <f>1466.8+(69.4-850.6)+(-3.74034+(-0.17697--2.16903))+0-0-0</f>
        <v>683.85171999999989</v>
      </c>
      <c r="Z105" s="3">
        <f>1495.2+(128.4-897.3)+(-0.762552+(-0.065484--0.457623))+0-0-0</f>
        <v>725.92958700000008</v>
      </c>
      <c r="AA105" s="3">
        <f>1497.9+(165.6-809.6)+(-3.055716+(-0.337824--1.651584))+0-0-0</f>
        <v>852.15804400000013</v>
      </c>
      <c r="AB105" s="3">
        <f>1491.3+(172.8-811)+(-2.281689+(-0.264384--1.24083))+0-0-0</f>
        <v>851.79475699999989</v>
      </c>
      <c r="AC105" s="3">
        <f>1498.8+(148.3-826)+(0.764388+(0.075633-0.42126))+0-0-0</f>
        <v>821.51876099999993</v>
      </c>
      <c r="AD105">
        <v>818.49999999999989</v>
      </c>
      <c r="AE105" s="3">
        <f>1475+(173.6-830.1)+(0+(0-0))+0-0-0</f>
        <v>818.5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1403.3+(116.1-746.9)+(0+(0-0))+0-0-0</f>
        <v>772.5</v>
      </c>
      <c r="G106" s="3">
        <f>1374.5+(113-779.4)+(-2.80398+(-0.23052--1.589976))+0-0-0</f>
        <v>706.65547600000002</v>
      </c>
      <c r="H106" s="3">
        <f>1391+(113.4-845.5)+(0.70941+(0.057834-0.431205))+0-0-0</f>
        <v>659.23603900000001</v>
      </c>
      <c r="I106" s="3">
        <f>1375+(110.3-864.9)+(-2.805+(-0.225012--1.764396))+0-0-0</f>
        <v>619.13438399999995</v>
      </c>
      <c r="J106" s="3">
        <f>1383.7+(51.4-850)+(0+(0-0))+0-0-0</f>
        <v>585.1</v>
      </c>
      <c r="K106" s="3">
        <f>1376.4+(48.9-860)+(-3.50982+(-0.124695--2.193))+0-0-0</f>
        <v>563.85848500000009</v>
      </c>
      <c r="L106" s="3">
        <f>1369.9+(53.7-889.1)+(-3.493245+(-0.136935--2.267205))+0-0-0</f>
        <v>533.13702500000011</v>
      </c>
      <c r="M106" s="3">
        <f>1387.9+(69.8-887)+(0+(0-0))+0-0-0</f>
        <v>570.70000000000005</v>
      </c>
      <c r="N106" s="3">
        <f>1395.3+(111.3-862.5)+(2.134809+(0.170289-1.319625))+0-0-0</f>
        <v>645.08547299999987</v>
      </c>
      <c r="O106" s="3">
        <f>1394.1+(187.9-850.2)+(1.421982+(0.191658-0.867204))+0-0-0</f>
        <v>732.54643599999986</v>
      </c>
      <c r="P106" s="3">
        <f>1457.6+(189.3-896.7)+(2.230128+(0.289629-1.371951))+0-0-0</f>
        <v>751.34780599999976</v>
      </c>
      <c r="Q106" s="3">
        <f>1447.9+(186.7-825.8)+(2.215287+(0.285651-1.263474))+0-0-0</f>
        <v>810.03746400000023</v>
      </c>
      <c r="R106" s="3">
        <f>1426.9+(228.3-803.4)+(-0.727719+(-0.116433--0.409734))+0-0-0</f>
        <v>851.36558200000013</v>
      </c>
      <c r="S106" s="3">
        <f>1412.1+(263.5-788.9)+(-2.880684+(-0.53754--1.609356))+0-0-0</f>
        <v>884.89113199999997</v>
      </c>
      <c r="T106" s="3">
        <f>1439.8+(264.5-798.3)+(2.202894+(0.404685-1.221399))+0-0-0</f>
        <v>907.38617999999997</v>
      </c>
      <c r="U106" s="3">
        <f>1429.4+(255.2-799.8)+(-1.457988+(-0.260304--0.815796))+0-0-0</f>
        <v>883.89750400000014</v>
      </c>
      <c r="V106" s="3">
        <f>1423+(245-801.1)+(-2.90292+(-0.4998--1.634244))+0-0-0</f>
        <v>865.13152400000001</v>
      </c>
      <c r="W106" s="3">
        <f>1430.2+(217.1-804.8)+(-2.917608+(-0.442884--1.641792))+0-0-0</f>
        <v>840.7813000000001</v>
      </c>
      <c r="X106" s="3">
        <f>1430.9+(219.1-864.3)+(-2.919036+(-0.446964--1.763172))+0-0-0</f>
        <v>784.09717200000011</v>
      </c>
      <c r="Y106" s="3">
        <f>1450.1+(136.9-840.8)+(-2.958204+(-0.279276--1.715232))+0-0-0</f>
        <v>744.67775199999994</v>
      </c>
      <c r="Z106" s="3">
        <f>1478.5+(218.5-916.7)+(-0.754035+(-0.111435--0.467517))+0-0-0</f>
        <v>779.90204699999992</v>
      </c>
      <c r="AA106" s="3">
        <f>1501.6+(278.1-874.4)+(-2.297448+(-0.425493--1.337832))+0-0-0</f>
        <v>903.9148909999999</v>
      </c>
      <c r="AB106" s="3">
        <f>1500.5+(267.4-843.1)+(-3.06102+(-0.545496--1.719924))+0-0-0</f>
        <v>922.913408</v>
      </c>
      <c r="AC106" s="3">
        <f>1504.4+(237.7-847.8)+(0+(0-0))+0-0-0</f>
        <v>894.30000000000018</v>
      </c>
      <c r="AD106">
        <v>864.2</v>
      </c>
      <c r="AE106" s="3">
        <f>1498+(283.2-917)+(0+(0-0))+0-0-0</f>
        <v>864.2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1508.3+(228.4-910)+(-2.307699+(-0.349452--1.3923))+0-0-0</f>
        <v>825.43514899999991</v>
      </c>
      <c r="G107" s="3">
        <f>1500.8+(199.7-940.3)+(-5.357856+(-0.712929--3.356871))+0-0-0</f>
        <v>757.486086</v>
      </c>
      <c r="H107" s="3">
        <f>1502.1+(193.1-980)+(-4.596426+(-0.590886--2.9988))+0-0-0</f>
        <v>713.01148799999999</v>
      </c>
      <c r="I107" s="3">
        <f>1499.7+(117.4-951.5)+(-3.824235+(-0.29937--2.426325))+0-0-0</f>
        <v>663.90272000000004</v>
      </c>
      <c r="J107" s="3">
        <f>1470.7+(121.7-969.5)+(2.250171+(0.186201-1.483335))+0-0-0</f>
        <v>623.85303700000009</v>
      </c>
      <c r="K107" s="3">
        <f>1306.5+(124.6-848.2)+(-1.998945+(-0.190638--1.297746))+0-0-0</f>
        <v>582.00816299999997</v>
      </c>
      <c r="L107" s="3">
        <f>1298.7+(75.7-842.5)+(-2.649348+(-0.154428--1.7187))+0-0-0</f>
        <v>530.81492400000013</v>
      </c>
      <c r="M107" s="3">
        <f>1312.3+(83.3-836.3)+(0+(0-0))+0-0-0</f>
        <v>559.29999999999995</v>
      </c>
      <c r="N107" s="3">
        <f>1365.7+(90.2-823.4)+(-2.089521+(-0.138006--1.259802))+0-0-0</f>
        <v>631.53227500000014</v>
      </c>
      <c r="O107" s="3">
        <f>1476+(115.1-901.4)+(0.75276+(0.058701-0.459714))+0-0-0</f>
        <v>690.05174700000009</v>
      </c>
      <c r="P107" s="3">
        <f>1478.2+(137-908.8)+(0+(0-0))+0-0-0</f>
        <v>706.40000000000009</v>
      </c>
      <c r="Q107" s="3">
        <f>1477.1+(144.4-880)+(-1.506642+(-0.147288--0.8976))+0-0-0</f>
        <v>740.74366999999984</v>
      </c>
      <c r="R107" s="3">
        <f>1500+(199.3-850.6)+(0+(0-0))+0-0-0</f>
        <v>848.7</v>
      </c>
      <c r="S107" s="3">
        <f>1499.4+(210-807)+(-1.529388+(-0.2142--0.82314))+0-0-0</f>
        <v>901.47955200000013</v>
      </c>
      <c r="T107" s="3">
        <f>1495.1+(220.3-788.6)+(-1.525002+(-0.224706--0.804372))+0-0-0</f>
        <v>925.85466399999996</v>
      </c>
      <c r="U107" s="3">
        <f>1501.1+(222.5-812.4)+(-2.296683+(-0.340425--1.242972))+0-0-0</f>
        <v>909.80586399999993</v>
      </c>
      <c r="V107" s="3">
        <f>1501.1+(221.9-832.6)+(-0.765561+(-0.113169--0.424626))+0-0-0</f>
        <v>889.94589599999983</v>
      </c>
      <c r="W107" s="3">
        <f>1503.1+(211.6-852.7)+(-2.299743+(-0.323748--1.304631))+0-0-0</f>
        <v>860.68113999999991</v>
      </c>
      <c r="X107" s="3">
        <f>1500.7+(165.7-861.7)+(-3.826785+(-0.422535--2.197335))+0-0-0</f>
        <v>802.6480150000001</v>
      </c>
      <c r="Y107" s="3">
        <f>1506.4+(96.2-834.5)+(-2.304792+(-0.147186--1.276785))+0-0-0</f>
        <v>766.9248070000001</v>
      </c>
      <c r="Z107" s="3">
        <f>1510.3+(116.9-820.8)+(-1.540506+(-0.119238--0.837216))+0-0-0</f>
        <v>805.57747199999994</v>
      </c>
      <c r="AA107" s="3">
        <f>1534.3+(99.8-687.2)+(-1.564986+(-0.101796--0.700944))+0-0-0</f>
        <v>945.9341619999999</v>
      </c>
      <c r="AB107" s="3">
        <f>1542.2+(101.1-694.5)+(-3.146088+(-0.206244--1.41678))+0-0-0</f>
        <v>946.86444800000004</v>
      </c>
      <c r="AC107" s="3">
        <f>1542.9+(92.6-709.3)+(-1.573758+(-0.094452--0.723486))+0-0-0</f>
        <v>925.25527600000021</v>
      </c>
      <c r="AD107">
        <v>932.7</v>
      </c>
      <c r="AE107" s="3">
        <f>1546+(103.7-717)+(0+(0-0))+0-0-0</f>
        <v>932.7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1497+(83-733)+(-2.29041+(-0.12699--1.12149))+0-0-0</f>
        <v>845.70408999999995</v>
      </c>
      <c r="G108" s="3">
        <f>1375.5+(112.1-725.2)+(-2.104515+(-0.171513--1.109556))+0-0-0</f>
        <v>761.23352799999998</v>
      </c>
      <c r="H108" s="3">
        <f>1386.4+(122.4-800)+(0+(0-0))+0-0-0</f>
        <v>708.80000000000007</v>
      </c>
      <c r="I108" s="3">
        <f>1254.7+(127.8-714.5)+(-2.559588+(-0.260712--1.45758))+0-0-0</f>
        <v>666.63728000000003</v>
      </c>
      <c r="J108" s="3">
        <f>1185.4+(121.7-670.5)+(-2.418216+(-0.248268--1.36782))+0-0-0</f>
        <v>635.30133600000011</v>
      </c>
      <c r="K108" s="3">
        <f>1187.1+(107.5-696)+(-2.421684+(-0.2193--1.41984))+0-0-0</f>
        <v>597.37885599999993</v>
      </c>
      <c r="L108" s="3">
        <f>1184+(46.3-695)+(-2.41536+(-0.094452--1.4178))+0-0-0</f>
        <v>534.207988</v>
      </c>
      <c r="M108" s="3">
        <f>1238.3+(41.7-707.3)+(1.894599+(0.063801-1.082169))+0-0-0</f>
        <v>573.57623100000001</v>
      </c>
      <c r="N108" s="3">
        <f>1365.8+(73.4-784.8)+(1.393116+(0.074868-0.800496))+0-0-0</f>
        <v>655.06748800000003</v>
      </c>
      <c r="O108" s="3">
        <f>1441.3+(107.4-831.4)+(0+(0-0))+0-0-0</f>
        <v>717.3</v>
      </c>
      <c r="P108" s="3">
        <f>1453.8+(196.1-880.5)+(0.741438+(0.100011-0.449055))+0-0-0</f>
        <v>769.79239399999994</v>
      </c>
      <c r="Q108" s="3">
        <f>1459.8+(213.8-865.4)+(0+(0-0))+0-0-0</f>
        <v>808.2</v>
      </c>
      <c r="R108" s="3">
        <f>1462.7+(223.8-863.5)+(0.745977+(0.114138-0.440385))+0-0-0</f>
        <v>823.41972999999996</v>
      </c>
      <c r="S108" s="3">
        <f>1423.6+(252.2-827.3)+(1.452072+(0.257244-0.843846))+0-0-0</f>
        <v>849.36546999999996</v>
      </c>
      <c r="T108" s="3">
        <f>1444.8+(266.1-809.6)+(-1.473696+(-0.271422--0.825792))+0-0-0</f>
        <v>900.380674</v>
      </c>
      <c r="U108" s="3">
        <f>1474.8+(260-845)+(1.504296+(0.2652-0.8619))+0-0-0</f>
        <v>890.70759599999997</v>
      </c>
      <c r="V108" s="3">
        <f>1445.2+(245.4-819.2)+(-3.68526+(-0.62577--2.08896))+0-0-0</f>
        <v>869.17792999999995</v>
      </c>
      <c r="W108" s="3">
        <f>1441.1+(239.3-842.3)+(-4.409766+(-0.732258--2.577438))+0-0-0</f>
        <v>835.53541399999995</v>
      </c>
      <c r="X108" s="3">
        <f>1441.7+(206.4-866.5)+(-4.411602+(-0.631584--2.65149))+0-0-0</f>
        <v>779.208304</v>
      </c>
      <c r="Y108" s="3">
        <f>1454.9+(80.3-814)+(-1.483998+(-0.081906--0.83028))+0-0-0</f>
        <v>720.46437600000002</v>
      </c>
      <c r="Z108" s="3">
        <f>1471.8+(135-850)+(-2.251854+(-0.20655--1.3005))+0-0-0</f>
        <v>755.64209599999992</v>
      </c>
      <c r="AA108" s="3">
        <f>1490.6+(197.6-793.9)+(-3.80103+(-0.50388--2.024445))+0-0-0</f>
        <v>892.01953499999991</v>
      </c>
      <c r="AB108" s="3">
        <f>1501.6+(170-769.7)+(-1.531632+(-0.1734--0.785094))+0-0-0</f>
        <v>900.98006199999986</v>
      </c>
      <c r="AC108" s="3">
        <f>1507+(108.4-726.8)+(3.07428+(0.221136-1.482672))+0-0-0</f>
        <v>890.41274399999998</v>
      </c>
      <c r="AD108">
        <v>894.90000000000009</v>
      </c>
      <c r="AE108" s="3">
        <f>1485+(191.9-782)+(0+(0-0))+0-0-0</f>
        <v>894.9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1487.8+(78.9-706.7)+(-1.517556+(-0.080478--0.720834))+0-0-0</f>
        <v>859.12279999999987</v>
      </c>
      <c r="G109" s="3">
        <f>1489+(82.1-784.3)+(0+(0-0))+0-0-0</f>
        <v>786.80000000000007</v>
      </c>
      <c r="H109" s="3">
        <f>1417.1+(84.2-764.6)+(-1.445442+(-0.085884--0.779892))+0-0-0</f>
        <v>735.94856599999991</v>
      </c>
      <c r="I109" s="3">
        <f>1402+(69.1-770)+(0+(0-0))+0-0-0</f>
        <v>701.1</v>
      </c>
      <c r="J109" s="3">
        <f>1404.3+(53.8-794.9)+(0+(0-0))+0-0-0</f>
        <v>663.19999999999993</v>
      </c>
      <c r="K109" s="3">
        <f>1378.9+(35.5-789.9)+(-3.516195+(-0.090525--2.014245))+0-0-0</f>
        <v>622.90752500000008</v>
      </c>
      <c r="L109" s="3">
        <f>1391.8+(22.5-831.8)+(-1.419636+(-0.02295--0.848436))+0-0-0</f>
        <v>581.90584999999999</v>
      </c>
      <c r="M109" s="3">
        <f>1408.7+(17.1-812.7)+(1.436874+(0.017442-0.828954))+0-0-0</f>
        <v>613.72536200000002</v>
      </c>
      <c r="N109" s="3">
        <f>1407.9+(15.7-731.8)+(0.718029+(0.008007-0.373218))+0-0-0</f>
        <v>692.15281800000014</v>
      </c>
      <c r="O109" s="3">
        <f>1390.1+(47.7-680.8)+(1.417902+(0.048654-0.694416))+0-0-0</f>
        <v>757.77214000000004</v>
      </c>
      <c r="P109" s="3">
        <f>1388.7+(72.8-624.9)+(0.708237+(0.037128-0.318699))+0-0-0</f>
        <v>837.02666599999998</v>
      </c>
      <c r="Q109" s="3">
        <f>1468.4+(160.3-751.3)+(1.497768+(0.163506-0.766326))+0-0-0</f>
        <v>878.29494800000009</v>
      </c>
      <c r="R109" s="3">
        <f>1456.5+(222.6-773.6)+(0+(0-0))+0-0-0</f>
        <v>905.5</v>
      </c>
      <c r="S109" s="3">
        <f>1454.8+(233.5-747.2)+(0+(0-0))+0-0-0</f>
        <v>941.09999999999991</v>
      </c>
      <c r="T109" s="3">
        <f>1448.6+(242.3-724)+(-0.738786+(-0.123573--0.36924))+0-0-0</f>
        <v>966.40688099999988</v>
      </c>
      <c r="U109" s="3">
        <f>1442+(232.3-715.7)+(-1.47084+(-0.236946--0.730014))+0-0-0</f>
        <v>957.62222799999995</v>
      </c>
      <c r="V109" s="3">
        <f>1452.7+(227.5-751.1)+(0+(0-0))+0-0-0</f>
        <v>929.1</v>
      </c>
      <c r="W109" s="3">
        <f>1446.5+(229.2-795.6)+(-1.47543+(-0.233784--0.811512))+0-0-0</f>
        <v>879.20229799999993</v>
      </c>
      <c r="X109" s="3">
        <f>1462.7+(230.5-864.2)+(0+(0-0))+0-0-0</f>
        <v>829</v>
      </c>
      <c r="Y109" s="3">
        <f>1419.8+(194.5-844.2)+(-3.62049+(-0.495975--2.15271))+0-0-0</f>
        <v>768.13624499999992</v>
      </c>
      <c r="Z109" s="3">
        <f>1415.5+(247.2-841.9)+(0.721905+(0.126072-0.429369))+0-0-0</f>
        <v>821.2186079999999</v>
      </c>
      <c r="AA109" s="3">
        <f>1490.6+(268-811.3)+(-1.520412+(-0.27336--0.827526))+0-0-0</f>
        <v>946.333754</v>
      </c>
      <c r="AB109" s="3">
        <f>1507.5+(261.2-814.6)+(0+(0-0))+0-0-0</f>
        <v>954.09999999999991</v>
      </c>
      <c r="AC109" s="3">
        <f>1503.8+(235-801.1)+(-1.533876+(-0.2397--0.817122))+0-0-0</f>
        <v>936.74354599999992</v>
      </c>
      <c r="AD109">
        <v>920.09999999999991</v>
      </c>
      <c r="AE109" s="3">
        <f>1505+(263.1-848)+(0+(0-0))+0-0-0</f>
        <v>920.1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1493.1+(172-802.1)+(-3.045924+(-0.35088--1.636284))+0-0-0</f>
        <v>861.23947999999984</v>
      </c>
      <c r="G110" s="3">
        <f>1468.6+(79.7-726.1)+(-2.246958+(-0.121941--1.110933))+0-0-0</f>
        <v>820.94203399999992</v>
      </c>
      <c r="H110" s="3">
        <f>1355.2+(80.4-680.1)+(-2.073456+(-0.123012--1.040553))+0-0-0</f>
        <v>754.34408499999995</v>
      </c>
      <c r="I110" s="3">
        <f>1336.1+(81.1-705.8)+(-3.407055+(-0.206805--1.79979))+0-0-0</f>
        <v>709.58592999999996</v>
      </c>
      <c r="J110" s="3">
        <f>1336.7+(84.5-737.7)+(-0.681717+(-0.043095--0.376227))+0-0-0</f>
        <v>683.15141500000004</v>
      </c>
      <c r="K110" s="3">
        <f>1279.4+(59.1-710.4)+(-1.957482+(-0.090423--1.086912))+0-0-0</f>
        <v>627.13900700000011</v>
      </c>
      <c r="L110" s="3">
        <f>1038.2+(45.1-538.8)+(-2.117928+(-0.092004--1.099152))+0-0-0</f>
        <v>543.38922000000014</v>
      </c>
      <c r="M110" s="3">
        <f>1047.5+(37.2-553.5)+(-1.06845+(-0.037944--0.56457))+0-0-0</f>
        <v>530.65817600000003</v>
      </c>
      <c r="N110" s="3">
        <f>1071.7+(47.9-560.9)+(0.546567+(0.024429-0.286059))+0-0-0</f>
        <v>558.98493700000006</v>
      </c>
      <c r="O110" s="3">
        <f>1145.3+(61.7-592.1)+(0+(0-0))+0-0-0</f>
        <v>614.9</v>
      </c>
      <c r="P110" s="3">
        <f>1257.1+(59.3-639.8)+(1.282242+(0.060486-0.652596))+0-0-0</f>
        <v>677.29013199999986</v>
      </c>
      <c r="Q110" s="3">
        <f>1305.7+(63.4-655.6)+(1.331814+(0.064668-0.668712))+0-0-0</f>
        <v>714.22776999999996</v>
      </c>
      <c r="R110" s="3">
        <f>1360+(95.8-680.2)+(0.6936+(0.048858-0.346902))+0-0-0</f>
        <v>775.99555599999997</v>
      </c>
      <c r="S110" s="3">
        <f>1364.4+(175.6-706.4)+(0+(0-0))+0-0-0</f>
        <v>833.60000000000014</v>
      </c>
      <c r="T110" s="3">
        <f>1429+(214.7-784.4)+(-1.45758+(-0.218994--0.800088))+0-0-0</f>
        <v>858.42351399999995</v>
      </c>
      <c r="U110" s="3">
        <f>1411.3+(221.7-781.8)+(-2.159289+(-0.339201--1.196154))+0-0-0</f>
        <v>849.89766400000008</v>
      </c>
      <c r="V110" s="3">
        <f>1423.6+(211.4-821.3)+(0+(0-0))+0-0-0</f>
        <v>813.69999999999993</v>
      </c>
      <c r="W110" s="3">
        <f>1437.4+(199-864.9)+(-0.733074+(-0.10149--0.441099))+0-0-0</f>
        <v>771.10653500000012</v>
      </c>
      <c r="X110" s="3">
        <f>1411.4+(178.4-874)+(-3.59907+(-0.45492--2.2287))+0-0-0</f>
        <v>713.97471000000007</v>
      </c>
      <c r="Y110" s="3">
        <f>1426.8+(78.7-825)+(-2.910672+(-0.160548--1.683))+0-0-0</f>
        <v>679.11177999999995</v>
      </c>
      <c r="Z110" s="3">
        <f>1460.4+(112-855.5)+(0.744804+(0.05712-0.436305))+0-0-0</f>
        <v>717.26561900000013</v>
      </c>
      <c r="AA110" s="3">
        <f>1469.2+(177.6-809)+(-3.74646+(-0.45288--2.06295))+0-0-0</f>
        <v>835.66361000000006</v>
      </c>
      <c r="AB110" s="3">
        <f>1485+(167.5-754.8)+(-3.0294+(-0.3417--1.539792))+0-0-0</f>
        <v>895.86869200000001</v>
      </c>
      <c r="AC110" s="3">
        <f>1501.1+(180.4-774.2)+(-0.765561+(-0.092004--0.394842))+0-0-0</f>
        <v>906.83727699999986</v>
      </c>
      <c r="AD110">
        <v>878.60000000000014</v>
      </c>
      <c r="AE110" s="3">
        <f>1504+(158.9-784.3)+(0+(0-0))+0-0-0</f>
        <v>878.6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1499.1+(176.1-766.7)+(0+(0-0))+0-0-0</f>
        <v>908.49999999999989</v>
      </c>
      <c r="G111" s="3">
        <f>1429.2+(201.6-773.7)+(-2.915568+(-0.411264--1.578348))+0-0-0</f>
        <v>855.35151600000006</v>
      </c>
      <c r="H111" s="3">
        <f>1405.6+(216.8-819.9)+(1.433712+(0.221136-0.836298))+0-0-0</f>
        <v>803.31854999999996</v>
      </c>
      <c r="I111" s="3">
        <f>1397.9+(220.5-868.1)+(-0.712929+(-0.112455--0.442731))+0-0-0</f>
        <v>749.91734700000006</v>
      </c>
      <c r="J111" s="3">
        <f>1388.8+(173.3-849.8)+(-2.124864+(-0.265149--1.300194))+0-0-0</f>
        <v>711.21018099999992</v>
      </c>
      <c r="K111" s="3">
        <f>1391.3+(123-838.8)+(-2.838252+(-0.25092--1.711152))+0-0-0</f>
        <v>674.12198000000001</v>
      </c>
      <c r="L111" s="3">
        <f>1398+(68.5-844.8)+(-1.42596+(-0.06987--0.861696))+0-0-0</f>
        <v>621.06586600000003</v>
      </c>
      <c r="M111" s="3">
        <f>1405+(110.7-849.7)+(-2.14965+(-0.169371--1.300041))+0-0-0</f>
        <v>664.98101999999994</v>
      </c>
      <c r="N111" s="3">
        <f>1493.9+(188.6-935.1)+(0+(0-0))+0-0-0</f>
        <v>747.40000000000009</v>
      </c>
      <c r="O111" s="3">
        <f>1487.1+(297.9-956.6)+(0.758421+(0.151929-0.487866))+0-0-0</f>
        <v>828.82248399999992</v>
      </c>
      <c r="P111" s="3">
        <f>1479.9+(321-919.4)+(1.509498+(0.32742-0.937788))+0-0-0</f>
        <v>882.39913000000013</v>
      </c>
      <c r="Q111" s="3">
        <f>1459.2+(308.1-833.4)+(0+(0-0))+0-0-0</f>
        <v>933.90000000000009</v>
      </c>
      <c r="R111" s="3">
        <f>1454+(309.4-812.8)+(-0.74154+(-0.157794--0.414528))+0-0-0</f>
        <v>950.11519399999997</v>
      </c>
      <c r="S111" s="3">
        <f>1457.4+(323.3-760.8)+(-0.743274+(-0.164883--0.388008))+0-0-0</f>
        <v>1019.3798510000001</v>
      </c>
      <c r="T111" s="3">
        <f>1465.2+(332.3-745.5)+(-0.747252+(-0.169473--0.380205))+0-0-0</f>
        <v>1051.4634799999999</v>
      </c>
      <c r="U111" s="3">
        <f>1511.4+(318.4-802.1)+(-2.312442+(-0.487152--1.227213))+0-0-0</f>
        <v>1026.1276190000001</v>
      </c>
      <c r="V111" s="3">
        <f>1504.9+(322-833.5)+(0+(0-0))+0-0-0</f>
        <v>993.40000000000009</v>
      </c>
      <c r="W111" s="3">
        <f>1506.5+(317.5-891.9)+(-2.304945+(-0.485775--1.364607))+0-0-0</f>
        <v>930.67388700000004</v>
      </c>
      <c r="X111" s="3">
        <f>1508.7+(310.7-961.1)+(-4.616622+(-0.950742--2.940966))+0-0-0</f>
        <v>855.67360199999996</v>
      </c>
      <c r="Y111" s="3">
        <f>1433.1+(204.2-846.4)+(-1.461762+(-0.208284--0.863328))+0-0-0</f>
        <v>790.09328199999982</v>
      </c>
      <c r="Z111" s="3">
        <f>1425.2+(212.9-818.2)+(0.726852+(0.108579-0.417282))+0-0-0</f>
        <v>820.31814899999995</v>
      </c>
      <c r="AA111" s="3">
        <f>1489.2+(301.9-820.1)+(-0.759492+(-0.153969--0.418251))+0-0-0</f>
        <v>970.50478999999996</v>
      </c>
      <c r="AB111" s="3">
        <f>1496.4+(299.7-787.4)+(-0.763164+(-0.152847--0.401574))+0-0-0</f>
        <v>1008.185563</v>
      </c>
      <c r="AC111" s="3">
        <f>1494.9+(310.3-800.8)+(0.762399+(0.158253-0.408408))+0-0-0</f>
        <v>1004.9122440000001</v>
      </c>
      <c r="AD111">
        <v>1004.8</v>
      </c>
      <c r="AE111" s="3">
        <f>1511+(296.6-802.8)+(0+(0-0))+0-0-0</f>
        <v>1004.8000000000001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1476.7+(311.2-829.7)+(0.753117+(0.158712-0.423147))+0-0-0</f>
        <v>958.68868200000009</v>
      </c>
      <c r="G112" s="3">
        <f>1481.2+(324.5-919.2)+(0+(0-0))+0-0-0</f>
        <v>886.5</v>
      </c>
      <c r="H112" s="3">
        <f>1486.8+(294.8-954.1)+(0.758268+(0.150348-0.486591))+0-0-0</f>
        <v>827.92202499999996</v>
      </c>
      <c r="I112" s="3">
        <f>1475.6+(245.6-948.6)+(-1.505112+(-0.250512--0.967572))+0-0-0</f>
        <v>771.81194799999992</v>
      </c>
      <c r="J112" s="3">
        <f>1467.4+(235.2-968.8)+(-1.496748+(-0.239904--0.988176))+0-0-0</f>
        <v>733.0515240000002</v>
      </c>
      <c r="K112" s="3">
        <f>1318.6+(201.2-844.3)+(-3.36243+(-0.51306--2.152965))+0-0-0</f>
        <v>673.77747499999998</v>
      </c>
      <c r="L112" s="3">
        <f>1183.2+(197.1-775)+(-1.810296+(-0.301563--1.18575))+0-0-0</f>
        <v>604.37389100000007</v>
      </c>
      <c r="M112" s="3">
        <f>1196.8+(292.5-840.9)+(0.610368+(0.149175-0.428859))+0-0-0</f>
        <v>648.730684</v>
      </c>
      <c r="N112" s="3">
        <f>1364.1+(274.9-914)+(0+(0-0))+0-0-0</f>
        <v>724.99999999999989</v>
      </c>
      <c r="O112" s="3">
        <f>1465.3+(328-1017.8)+(-1.494606+(-0.33456--1.038156))+0-0-0</f>
        <v>774.70898999999997</v>
      </c>
      <c r="P112" s="3">
        <f>1481.3+(326.1-987.1)+(0+(0-0))+0-0-0</f>
        <v>820.3</v>
      </c>
      <c r="Q112" s="3">
        <f>1508.8+(325.5-976.2)+(-1.538976+(-0.33201--0.995724))+0-0-0</f>
        <v>857.22473799999989</v>
      </c>
      <c r="R112" s="3">
        <f>1513.6+(325-924.5)+(-0.771936+(-0.16575--0.471495))+0-0-0</f>
        <v>913.63380899999993</v>
      </c>
      <c r="S112" s="3">
        <f>1506.4+(328.2-873.8)+(-0.768264+(-0.167382--0.445638))+0-0-0</f>
        <v>960.30999200000019</v>
      </c>
      <c r="T112" s="3">
        <f>1507.2+(327.9-840.4)+(-2.306016+(-0.501687--1.285812))+0-0-0</f>
        <v>993.17810900000006</v>
      </c>
      <c r="U112" s="3">
        <f>1506.3+(329.8-844.2)+(0+(0-0))+0-0-0</f>
        <v>991.89999999999986</v>
      </c>
      <c r="V112" s="3">
        <f>1506.6+(328.6-885.7)+(-0.768366+(-0.167586--0.451707))+0-0-0</f>
        <v>949.0157549999999</v>
      </c>
      <c r="W112" s="3">
        <f>1507.2+(300.5-903.2)+(-3.84336+(-0.766275--2.30316))+0-0-0</f>
        <v>902.19352500000002</v>
      </c>
      <c r="X112" s="3">
        <f>1516.5+(203.8-884.6)+(-5.413905+(-0.727566--3.158022))+0-0-0</f>
        <v>832.71655100000009</v>
      </c>
      <c r="Y112" s="3">
        <f>1519.8+(116-851.4)+(0.775098+(0.05916-0.434214))+0-0-0</f>
        <v>784.80004399999996</v>
      </c>
      <c r="Z112" s="3">
        <f>1528+(204.1-925.6)+(1.55856+(0.208182-0.944112))+0-0-0</f>
        <v>807.32263</v>
      </c>
      <c r="AA112" s="3">
        <f>1539.4+(263.2-866.7)+(-3.92547+(-0.67116--2.210085))+0-0-0</f>
        <v>933.51345500000014</v>
      </c>
      <c r="AB112" s="3">
        <f>1543.9+(261.6-839.3)+(-2.362167+(-0.400248--1.284129))+0-0-0</f>
        <v>964.72171400000013</v>
      </c>
      <c r="AC112" s="3">
        <f>1489.9+(280.3-825.2)+(-0.759849+(-0.142953--0.420852))+0-0-0</f>
        <v>944.51805000000002</v>
      </c>
      <c r="AD112">
        <v>952.40000000000009</v>
      </c>
      <c r="AE112" s="3">
        <f>1547+(257.7-852.3)+(0+(0-0))+0-0-0</f>
        <v>952.40000000000009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1452.7+(263.1-812.2)+(-2.222631+(-0.402543--1.242666))+0-0-0</f>
        <v>902.21749199999999</v>
      </c>
      <c r="G113" s="3">
        <f>1441.5+(284.9-886.3)+(-3.675825+(-0.726495--2.260065))+0-0-0</f>
        <v>837.95774500000005</v>
      </c>
      <c r="H113" s="3">
        <f>1451.4+(260.6-934.7)+(-0.740214+(-0.132906--0.476697))+0-0-0</f>
        <v>776.90357700000004</v>
      </c>
      <c r="I113" s="3">
        <f>1446.8+(231.7-960.6)+(-2.213604+(-0.354501--1.469718))+0-0-0</f>
        <v>716.80161299999986</v>
      </c>
      <c r="J113" s="3">
        <f>1447.8+(209.1-981.7)+(-0.738378+(-0.106641--0.500667))+0-0-0</f>
        <v>674.85564799999997</v>
      </c>
      <c r="K113" s="3">
        <f>1427.2+(116.1-911.5)+(-7.27872+(-0.59211--4.64865))+0-0-0</f>
        <v>628.57782000000009</v>
      </c>
      <c r="L113" s="3">
        <f>1434.9+(114.5-975.9)+(-4.390794+(-0.35037--2.986254))+0-0-0</f>
        <v>571.74509000000012</v>
      </c>
      <c r="M113" s="3">
        <f>1460.8+(109.3-966.9)+(1.490016+(0.111486-0.986238))+0-0-0</f>
        <v>603.81526399999996</v>
      </c>
      <c r="N113" s="3">
        <f>1458.7+(145-949.8)+(1.487874+(0.1479-0.968796))+0-0-0</f>
        <v>654.56697800000006</v>
      </c>
      <c r="O113" s="3">
        <f>1443+(238.9-944.6)+(-1.47186+(-0.243678--0.963492))+0-0-0</f>
        <v>736.547954</v>
      </c>
      <c r="P113" s="3">
        <f>1446+(213-883)+(0.73746+(0.10863-0.45033))+0-0-0</f>
        <v>776.39576</v>
      </c>
      <c r="Q113" s="3">
        <f>1453.5+(196-844.3)+(0.741285+(0.09996-0.430593))+0-0-0</f>
        <v>805.61065200000007</v>
      </c>
      <c r="R113" s="3">
        <f>1452.5+(261-872.9)+(0+(0-0))+0-0-0</f>
        <v>840.6</v>
      </c>
      <c r="S113" s="3">
        <f>1458.4+(276-873)+(0.743784+(0.14076-0.44523))+0-0-0</f>
        <v>861.83931400000006</v>
      </c>
      <c r="T113" s="3">
        <f>1456.8+(286.5-854.3)+(1.485936+(0.29223-0.871386))+0-0-0</f>
        <v>889.90678000000003</v>
      </c>
      <c r="U113" s="3">
        <f>1442+(279.2-849.7)+(-2.20626+(-0.427176--1.300041))+0-0-0</f>
        <v>870.166605</v>
      </c>
      <c r="V113" s="3">
        <f>1450.5+(276.2-872.9)+(-0.739755+(-0.140862--0.445179))+0-0-0</f>
        <v>853.36456199999998</v>
      </c>
      <c r="W113" s="3">
        <f>1439.7+(280.4-898.8)+(-2.936988+(-0.572016--1.833552))+0-0-0</f>
        <v>819.62454800000012</v>
      </c>
      <c r="X113" s="3">
        <f>1431.7+(234.4-901.5)+(-2.920668+(-0.478176--1.83906))+0-0-0</f>
        <v>763.04021599999999</v>
      </c>
      <c r="Y113" s="3">
        <f>1432.5+(216.7-918.6)+(-2.191725+(-0.331551--1.405458))+0-0-0</f>
        <v>729.48218199999997</v>
      </c>
      <c r="Z113" s="3">
        <f>1447.3+(224.3-914.5)+(0.738123+(0.114393-0.466395))+0-0-0</f>
        <v>757.48612099999991</v>
      </c>
      <c r="AA113" s="3">
        <f>1456.8+(317.2-885.5)+(-2.228904+(-0.485316--1.354815))+0-0-0</f>
        <v>887.14059499999996</v>
      </c>
      <c r="AB113" s="3">
        <f>1476.6+(321.5-902.6)+(-0.753066+(-0.163965--0.460326))+0-0-0</f>
        <v>895.04329499999983</v>
      </c>
      <c r="AC113" s="3">
        <f>1457.4+(327.8-916.1)+(-1.486548+(-0.334356--0.934422))+0-0-0</f>
        <v>868.21351800000014</v>
      </c>
      <c r="AD113">
        <v>880.3</v>
      </c>
      <c r="AE113" s="3">
        <f>1457+(313.8-890.5)+(0+(0-0))+0-0-0</f>
        <v>880.3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1445.5+(307.5-919.6)+(-1.47441+(-0.31365--0.937992))+0-0-0</f>
        <v>832.54993200000001</v>
      </c>
      <c r="G114" s="3">
        <f>1431.3+(248.1-916.4)+(-4.379778+(-0.759186--2.804184))+0-0-0</f>
        <v>760.66521999999998</v>
      </c>
      <c r="H114" s="3">
        <f>1447.1+(220.7-963.2)+(-0.738021+(-0.112557--0.491232))+0-0-0</f>
        <v>704.24065399999995</v>
      </c>
      <c r="I114" s="3">
        <f>1432.4+(211.4-979.8)+(-2.922096+(-0.431256--1.998792))+0-0-0</f>
        <v>662.64544000000012</v>
      </c>
      <c r="J114" s="3">
        <f>1456.5+(181.2-999.8)+(0.742815+(0.092412-0.509898))+0-0-0</f>
        <v>638.2253290000001</v>
      </c>
      <c r="K114" s="3">
        <f>1443.4+(159.1-1011.1)+(-0.736134+(-0.081141--0.515661))+0-0-0</f>
        <v>591.09838600000012</v>
      </c>
      <c r="L114" s="3">
        <f>1433.5+(140.5-1021.3)+(-3.655425+(-0.358275--2.604315))+0-0-0</f>
        <v>551.290615</v>
      </c>
      <c r="M114" s="3">
        <f>1451.1+(134.1-1004.6)+(0+(0-0))+0-0-0</f>
        <v>580.59999999999991</v>
      </c>
      <c r="N114" s="3">
        <f>1454.9+(158.6-979.9)+(0+(0-0))+0-0-0</f>
        <v>633.60000000000014</v>
      </c>
      <c r="O114" s="3">
        <f>1439.8+(221.7-1017.1)+(0.734298+(0.113067-0.518721))+0-0-0</f>
        <v>644.72864399999992</v>
      </c>
      <c r="P114" s="3">
        <f>1446.6+(279.4-1057.8)+(-0.737766+(-0.142494--0.539478))+0-0-0</f>
        <v>667.85921799999994</v>
      </c>
      <c r="Q114" s="3">
        <f>1457.3+(355.6-1024.8)+(1.486446+(0.362712-1.045296))+0-0-0</f>
        <v>788.903862</v>
      </c>
      <c r="R114" s="3">
        <f>1446.9+(361.5-995.3)+(2.951676+(0.73746-2.030412))+0-0-0</f>
        <v>814.75872400000014</v>
      </c>
      <c r="S114" s="3">
        <f>1445.8+(371.8-950.9)+(-0.737358+(-0.189618--0.484959))+0-0-0</f>
        <v>866.25798300000008</v>
      </c>
      <c r="T114" s="3">
        <f>1445.8+(379.2-958.1)+(-0.737358+(-0.193392--0.488631))+0-0-0</f>
        <v>866.45788099999982</v>
      </c>
      <c r="U114" s="3">
        <f>1446.1+(368.6-967.7)+(-1.475022+(-0.375972--0.987054))+0-0-0</f>
        <v>846.13605999999993</v>
      </c>
      <c r="V114" s="3">
        <f>1445.6+(367.6-994.3)+(-1.474512+(-0.374952--1.014186))+0-0-0</f>
        <v>818.06472199999996</v>
      </c>
      <c r="W114" s="3">
        <f>1446+(336.9-996.1)+(-2.21238+(-0.515457--1.524033))+0-0-0</f>
        <v>785.59619599999996</v>
      </c>
      <c r="X114" s="3">
        <f>1426.2+(301.8-984.7)+(-4.364172+(-0.923508--3.013182))+0-0-0</f>
        <v>741.02550199999996</v>
      </c>
      <c r="Y114" s="3">
        <f>1437.1+(237.4-1033.8)+(-1.465842+(-0.242148--1.054476))+0-0-0</f>
        <v>640.04648599999996</v>
      </c>
      <c r="Z114" s="3">
        <f>1464+(278.7-997.8)+(2.23992+(0.426411-1.526634))+0-0-0</f>
        <v>746.03969700000005</v>
      </c>
      <c r="AA114" s="3">
        <f>1481.2+(289.5-878)+(-2.266236+(-0.442935--1.34334))+0-0-0</f>
        <v>891.33416900000009</v>
      </c>
      <c r="AB114" s="3">
        <f>1478.5+(275.9-849.5)+(1.50807+(0.281418-0.86649))+0-0-0</f>
        <v>905.82299799999998</v>
      </c>
      <c r="AC114" s="3">
        <f>1458.1+(244.5-822.3)+(-2.974524+(-0.49878--1.677492))+0-0-0</f>
        <v>878.504188</v>
      </c>
      <c r="AD114">
        <v>862.6</v>
      </c>
      <c r="AE114" s="3">
        <f>1452+(284.2-873.6)+(0+(0-0))+0-0-0</f>
        <v>862.59999999999991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1465+(126.2-760.9)+(0+(0-0))+0-0-0</f>
        <v>830.30000000000007</v>
      </c>
      <c r="G115" s="3">
        <f>1462.9+(146.3-843.3)+(0+(0-0))+0-0-0</f>
        <v>765.90000000000009</v>
      </c>
      <c r="H115" s="3">
        <f>1452.4+(94.2-844.8)+(-2.222172+(-0.144126--1.292544))+0-0-0</f>
        <v>700.72624600000017</v>
      </c>
      <c r="I115" s="3">
        <f>1455.1+(55.3-839.6)+(-2.968404+(-0.112812--1.712784))+0-0-0</f>
        <v>669.43156799999986</v>
      </c>
      <c r="J115" s="3">
        <f>1454.4+(58.3-878.6)+(-2.225232+(-0.089199--1.344258))+0-0-0</f>
        <v>633.12982699999998</v>
      </c>
      <c r="K115" s="3">
        <f>1444.5+(63.3-920.9)+(-5.156865+(-0.225981--3.287613))+0-0-0</f>
        <v>584.80476699999997</v>
      </c>
      <c r="L115" s="3">
        <f>1413+(55.2-921.4)+(-5.04441+(-0.197064--3.289398))+0-0-0</f>
        <v>544.84792400000003</v>
      </c>
      <c r="M115" s="3">
        <f>1376.8+(58.9-874.1)+(1.404336+(0.060078-0.891582))+0-0-0</f>
        <v>562.17283199999986</v>
      </c>
      <c r="N115" s="3">
        <f>1386.1+(88-850.8)+(2.120733+(0.13464-1.301724))+0-0-0</f>
        <v>624.253649</v>
      </c>
      <c r="O115" s="3">
        <f>1453.2+(163.6-934)+(0+(0-0))+0-0-0</f>
        <v>682.80000000000007</v>
      </c>
      <c r="P115" s="3">
        <f>1457.5+(281.6-1003)+(0+(0-0))+0-0-0</f>
        <v>736.1</v>
      </c>
      <c r="Q115" s="3">
        <f>1442.9+(327.6-985.4)+(-2.207637+(-0.501228--1.507662))+0-0-0</f>
        <v>783.89879700000017</v>
      </c>
      <c r="R115" s="3">
        <f>1442.9+(344.4-965.5)+(-2.207637+(-0.526932--1.477215))+0-0-0</f>
        <v>820.5426460000001</v>
      </c>
      <c r="S115" s="3">
        <f>1441.1+(352.8-932.4)+(-1.469922+(-0.359856--0.951048))+0-0-0</f>
        <v>860.62126999999998</v>
      </c>
      <c r="T115" s="3">
        <f>1425.7+(360.3-919.2)+(-2.908428+(-0.735012--1.875168))+0-0-0</f>
        <v>865.03172799999993</v>
      </c>
      <c r="U115" s="3">
        <f>1424.2+(351-937.4)+(-3.63171+(-0.89505--2.39037))+0-0-0</f>
        <v>835.66361000000006</v>
      </c>
      <c r="V115" s="3">
        <f>1436+(347.2-956.2)+(-4.39416+(-1.062432--2.925972))+0-0-0</f>
        <v>824.46938</v>
      </c>
      <c r="W115" s="3">
        <f>1459.4+(347.3-993.6)+(-4.465764+(-1.062738--3.040416))+0-0-0</f>
        <v>810.61191400000018</v>
      </c>
      <c r="X115" s="3">
        <f>1425.1+(347.4-1036.1)+(-4.360806+(-1.063044--3.170466))+0-0-0</f>
        <v>734.14661599999999</v>
      </c>
      <c r="Y115" s="3">
        <f>1463.7+(253-983)+(-3.732435+(-0.64515--2.50665))+0-0-0</f>
        <v>731.82906500000001</v>
      </c>
      <c r="Z115" s="3">
        <f>1474.4+(334.7-1034.6)+(0+(0-0))+0-0-0</f>
        <v>774.50000000000023</v>
      </c>
      <c r="AA115" s="3">
        <f>1477.4+(356-924.4)+(-3.76737+(-0.9078--2.35722))+0-0-0</f>
        <v>906.68205000000012</v>
      </c>
      <c r="AB115" s="3">
        <f>1474.6+(336-889.4)+(-6.016368+(-1.37088--3.628752))+0-0-0</f>
        <v>917.4415039999999</v>
      </c>
      <c r="AC115" s="3">
        <f>1468.6+(324.3-901.8)+(-0.748986+(-0.165393--0.459918))+0-0-0</f>
        <v>890.64553899999987</v>
      </c>
      <c r="AD115">
        <v>927.8</v>
      </c>
      <c r="AE115" s="3">
        <f>1487+(354.3-913.5)+(0+(0-0))+0-0-0</f>
        <v>927.8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1462.2+(254.5-843.7)+(0+(0-0))+0-0-0</f>
        <v>873</v>
      </c>
      <c r="G116" s="3">
        <f>1459.9+(161.9-809.5)+(0.744549+(0.082569-0.412845))+0-0-0</f>
        <v>812.71427300000005</v>
      </c>
      <c r="H116" s="3">
        <f>1451.3+(143.4-844.6)+(-0.740163+(-0.073134--0.430746))+0-0-0</f>
        <v>749.71744899999987</v>
      </c>
      <c r="I116" s="3">
        <f>1376.3+(145.5-819.8)+(-0.701913+(-0.074205--0.418098))+0-0-0</f>
        <v>701.64197999999999</v>
      </c>
      <c r="J116" s="3">
        <f>1311.6+(124-772)+(-2.006748+(-0.18972--1.18116))+0-0-0</f>
        <v>662.5846919999999</v>
      </c>
      <c r="K116" s="3">
        <f>1306+(68.4-741.5)+(-3.3303+(-0.17442--1.890825))+0-0-0</f>
        <v>631.28610500000002</v>
      </c>
      <c r="L116" s="3">
        <f>1314.5+(53.8-779)+(-1.34079+(-0.054876--0.79458))+0-0-0</f>
        <v>588.69891399999995</v>
      </c>
      <c r="M116" s="3">
        <f>1319.7+(60.1-766.1)+(0.673047+(0.030651-0.390711))+0-0-0</f>
        <v>614.01298700000007</v>
      </c>
      <c r="N116" s="3">
        <f>1420.9+(54.7-807.1)+(0.724659+(0.027897-0.411621))+0-0-0</f>
        <v>668.84093500000006</v>
      </c>
      <c r="O116" s="3">
        <f>1443.6+(75.3-788.5)+(-1.472472+(-0.076806--0.80427))+0-0-0</f>
        <v>729.65499199999988</v>
      </c>
      <c r="P116" s="3">
        <f>1460.4+(77-751.2)+(0+(0-0))+0-0-0</f>
        <v>786.2</v>
      </c>
      <c r="Q116" s="3">
        <f>1463.7+(158.3-794.5)+(1.492974+(0.161466-0.81039))+0-0-0</f>
        <v>828.34405000000004</v>
      </c>
      <c r="R116" s="3">
        <f>1455.2+(289.1-891.4)+(0+(0-0))+0-0-0</f>
        <v>852.90000000000009</v>
      </c>
      <c r="S116" s="3">
        <f>1443.1+(339.8-909.1)+(-2.943924+(-0.693192--1.854564))+0-0-0</f>
        <v>872.01744799999994</v>
      </c>
      <c r="T116" s="3">
        <f>1438.3+(350.7-900.5)+(-2.934132+(-0.715428--1.83702))+0-0-0</f>
        <v>886.68745999999999</v>
      </c>
      <c r="U116" s="3">
        <f>1436.2+(348.5-923.8)+(-3.66231+(-0.888675--2.35569))+0-0-0</f>
        <v>858.7047050000001</v>
      </c>
      <c r="V116" s="3">
        <f>1437.1+(338.8-923.3)+(-2.931684+(-0.691152--1.883532))+0-0-0</f>
        <v>850.86069599999996</v>
      </c>
      <c r="W116" s="3">
        <f>1408.1+(343.5-921.2)+(-3.590655+(-0.875925--2.34906))+0-0-0</f>
        <v>828.28247999999985</v>
      </c>
      <c r="X116" s="3">
        <f>1438.9+(242.1-910.6)+(-5.870712+(-0.987768--3.715248))+0-0-0</f>
        <v>767.25676800000008</v>
      </c>
      <c r="Y116" s="3">
        <f>1444.9+(76.4-791.6)+(-4.421394+(-0.233784--2.422296))+0-0-0</f>
        <v>727.46711800000003</v>
      </c>
      <c r="Z116" s="3">
        <f>1464.6+(111.5-796.7)+(-0.746946+(-0.056865--0.406317))+0-0-0</f>
        <v>779.00250599999981</v>
      </c>
      <c r="AA116" s="3">
        <f>1463.8+(145.9-708.4)+(-4.479228+(-0.446454--2.167704))+0-0-0</f>
        <v>898.54202199999997</v>
      </c>
      <c r="AB116" s="3">
        <f>1461.6+(150.1-696.1)+(-2.981664+(-0.306204--1.420044))+0-0-0</f>
        <v>913.73217599999987</v>
      </c>
      <c r="AC116" s="3">
        <f>1472.1+(118.6-703)+(0.750771+(0.060486-0.35853))+0-0-0</f>
        <v>888.15272699999991</v>
      </c>
      <c r="AD116">
        <v>866.99999999999989</v>
      </c>
      <c r="AE116" s="3">
        <f>1458+(141.6-732.6)+(0+(0-0))+0-0-0</f>
        <v>867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1448.3+(69.2-663.7)+(0.738633+(0.035292-0.338487))+0-0-0</f>
        <v>854.23543799999993</v>
      </c>
      <c r="G117" s="3">
        <f>1362.6+(77.2-646.2)+(-1.389852+(-0.078744--0.659124))+0-0-0</f>
        <v>792.79052799999988</v>
      </c>
      <c r="H117" s="3">
        <f>1359.2+(86.7-700.7)+(-2.079576+(-0.132651--1.072071))+0-0-0</f>
        <v>744.059844</v>
      </c>
      <c r="I117" s="3">
        <f>1362.3+(87.3-753.7)+(-0.694773+(-0.044523--0.384387))+0-0-0</f>
        <v>695.54509099999984</v>
      </c>
      <c r="J117" s="3">
        <f>1370.8+(74.5-761.3)+(0.699108+(0.037995-0.388263))+0-0-0</f>
        <v>684.34884</v>
      </c>
      <c r="K117" s="3">
        <f>1342.9+(57.3-760.6)+(-4.794153+(-0.204561--2.715342))+0-0-0</f>
        <v>637.31662800000004</v>
      </c>
      <c r="L117" s="3">
        <f>1085.4+(37.7-563.7)+(-1.660662+(-0.057681--0.862461))+0-0-0</f>
        <v>558.54411800000014</v>
      </c>
      <c r="M117" s="3">
        <f>1055.8+(36.2-535)+(-2.153832+(-0.073848--1.0914))+0-0-0</f>
        <v>555.86371999999994</v>
      </c>
      <c r="N117" s="3">
        <f>1059.9+(52.1-527.2)+(-1.081098+(-0.053142--0.537744))+0-0-0</f>
        <v>584.20350400000007</v>
      </c>
      <c r="O117" s="3">
        <f>1066.5+(57.1-492)+(0+(0-0))+0-0-0</f>
        <v>631.6</v>
      </c>
      <c r="P117" s="3">
        <f>1149.3+(92.7-552.3)+(1.758429+(0.141831-0.845019))+0-0-0</f>
        <v>690.75524100000007</v>
      </c>
      <c r="Q117" s="3">
        <f>1318.7+(122.6-714)+(1.345074+(0.125052-0.72828))+0-0-0</f>
        <v>728.04184600000008</v>
      </c>
      <c r="R117" s="3">
        <f>1304.1+(98.5-629.8)+(-0.665091+(-0.050235--0.321198))+0-0-0</f>
        <v>772.40587199999993</v>
      </c>
      <c r="S117" s="3">
        <f>1308.4+(121.1-603)+(1.334568+(0.123522-0.61506))+0-0-0</f>
        <v>827.34303000000011</v>
      </c>
      <c r="T117" s="3">
        <f>1304.2+(134.9-581.9)+(0+(0-0))+0-0-0</f>
        <v>857.2</v>
      </c>
      <c r="U117" s="3">
        <f>1287.5+(128.5-570.7)+(-1.31325+(-0.13107--0.582114))+0-0-0</f>
        <v>844.43779399999994</v>
      </c>
      <c r="V117" s="3">
        <f>1281.1+(124.3-589.3)+(-2.613444+(-0.253572--1.202172))+0-0-0</f>
        <v>814.43515599999989</v>
      </c>
      <c r="W117" s="3">
        <f>1299.9+(119.9-645.5)+(-0.662949+(-0.061149--0.329205))+0-0-0</f>
        <v>773.90510700000004</v>
      </c>
      <c r="X117" s="3">
        <f>1311.3+(93.7-678.7)+(-0.668763+(-0.047787--0.346137))+0-0-0</f>
        <v>725.92958699999997</v>
      </c>
      <c r="Y117" s="3">
        <f>1327.3+(67.2-713.2)+(-2.707692+(-0.137088--1.454928))+0-0-0</f>
        <v>679.91014799999994</v>
      </c>
      <c r="Z117" s="3">
        <f>1390.1+(141.8-807.8)+(-1.417902+(-0.144636--0.823956))+0-0-0</f>
        <v>723.36141799999996</v>
      </c>
      <c r="AA117" s="3">
        <f>1410.2+(145.9-698.2)+(-2.157606+(-0.223227--1.068246))+0-0-0</f>
        <v>856.58741299999997</v>
      </c>
      <c r="AB117" s="3">
        <f>1395.2+(115.9-625.3)+(-4.269312+(-0.354654--1.913418))+0-0-0</f>
        <v>883.08945200000005</v>
      </c>
      <c r="AC117" s="3">
        <f>1452.2+(141.2-705.9)+(2.221866+(0.216036-1.080027))+0-0-0</f>
        <v>888.85787500000004</v>
      </c>
      <c r="AD117">
        <v>846.00000000000011</v>
      </c>
      <c r="AE117" s="3">
        <f>1392+(140.4-686.4)+(0+(0-0))+0-0-0</f>
        <v>846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1439.2+(139.8-743.8)+(-1.467984+(-0.142596--0.758676))+0-0-0</f>
        <v>834.34809600000006</v>
      </c>
      <c r="G118" s="3">
        <f>1424+(156.6-799.7)+(-5.08368+(-0.559062--2.854929))+0-0-0</f>
        <v>778.11218699999995</v>
      </c>
      <c r="H118" s="3">
        <f>1447.2+(172.1-885.4)+(0+(0-0))+0-0-0</f>
        <v>733.90000000000009</v>
      </c>
      <c r="I118" s="3">
        <f>1395.6+(190.7-897.4)+(-0.711756+(-0.097257--0.457674))+0-0-0</f>
        <v>688.54866099999981</v>
      </c>
      <c r="J118" s="3">
        <f>1269.3+(183.8-801.8)+(0+(0-0))+0-0-0</f>
        <v>651.29999999999995</v>
      </c>
      <c r="K118" s="3">
        <f>1268.5+(121.9-779.6)+(0.646935+(0.062169-0.397596))+0-0-0</f>
        <v>611.11150799999996</v>
      </c>
      <c r="L118" s="3">
        <f>1240.8+(96.6-786.1)+(-2.531232+(-0.197064--1.603644))+0-0-0</f>
        <v>550.17534799999999</v>
      </c>
      <c r="M118" s="3">
        <f>1186.6+(100.2-712.1)+(0+(0-0))+0-0-0</f>
        <v>574.69999999999993</v>
      </c>
      <c r="N118" s="3">
        <f>1272.2+(81.2-684.2)+(-0.648822+(-0.041412--0.348942))+0-0-0</f>
        <v>668.85870800000009</v>
      </c>
      <c r="O118" s="3">
        <f>1355.7+(175-791.5)+(0+(0-0))+0-0-0</f>
        <v>739.2</v>
      </c>
      <c r="P118" s="3">
        <f>1457.5+(305.9-958.6)+(0+(0-0))+0-0-0</f>
        <v>804.8</v>
      </c>
      <c r="Q118" s="3">
        <f>1460.1+(331.8-946.3)+(0.744651+(0.169218-0.482613))+0-0-0</f>
        <v>846.03125599999987</v>
      </c>
      <c r="R118" s="3">
        <f>1451.8+(349.8-910.5)+(0+(0-0))+0-0-0</f>
        <v>891.09999999999991</v>
      </c>
      <c r="S118" s="3">
        <f>1444+(365.2-857.6)+(0+(0-0))+0-0-0</f>
        <v>951.59999999999991</v>
      </c>
      <c r="T118" s="3">
        <f>1426.3+(377.7-817.9)+(-1.454826+(-0.385254--0.834258))+0-0-0</f>
        <v>985.09417799999994</v>
      </c>
      <c r="U118" s="3">
        <f>1430.2+(375.9-837.1)+(-1.458804+(-0.383418--0.853842))+0-0-0</f>
        <v>968.01161999999999</v>
      </c>
      <c r="V118" s="3">
        <f>1430.3+(370.5-856.1)+(0+(0-0))+0-0-0</f>
        <v>944.69999999999993</v>
      </c>
      <c r="W118" s="3">
        <f>1437.6+(372.8-911.8)+(-0.733176+(-0.190128--0.465018))+0-0-0</f>
        <v>898.14171399999987</v>
      </c>
      <c r="X118" s="3">
        <f>1441.9+(295.7-919)+(-1.470738+(-0.301614--0.93738))+0-0-0</f>
        <v>817.76502800000014</v>
      </c>
      <c r="Y118" s="3">
        <f>1446.5+(214.9-900.8)+(-0.737715+(-0.109599--0.459408))+0-0-0</f>
        <v>760.21209399999998</v>
      </c>
      <c r="Z118" s="3">
        <f>1474.9+(255.1-935.9)+(0.752199+(0.130101-0.477309))+0-0-0</f>
        <v>794.50499100000013</v>
      </c>
      <c r="AA118" s="3">
        <f>1466.1+(339.2-889.7)+(-4.486266+(-1.037952--2.722482))+0-0-0</f>
        <v>912.7982639999999</v>
      </c>
      <c r="AB118" s="3">
        <f>1479.5+(330-878.1)+(-2.263635+(-0.5049--1.343493))+0-0-0</f>
        <v>929.97495800000002</v>
      </c>
      <c r="AC118" s="3">
        <f>1476.3+(335.3-890)+(-1.505826+(-0.342006--0.9078))+0-0-0</f>
        <v>920.65996799999994</v>
      </c>
      <c r="AD118">
        <v>903.5</v>
      </c>
      <c r="AE118" s="3">
        <f>1460+(319.7-876.2)+(0+(0-0))+0-0-0</f>
        <v>903.5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1466.1+(173.2-722.7)+(-1.495422+(-0.176664--0.737154))+0-0-0</f>
        <v>915.66506799999991</v>
      </c>
      <c r="G119" s="3">
        <f>1377.9+(139.1-652.8)+(-2.810916+(-0.283764--1.331712))+0-0-0</f>
        <v>862.43703200000016</v>
      </c>
      <c r="H119" s="3">
        <f>1378.6+(139.1-708.2)+(-2.109258+(-0.212823--1.083546))+0-0-0</f>
        <v>808.26146499999993</v>
      </c>
      <c r="I119" s="3">
        <f>1379.1+(143.3-769.3)+(-1.406682+(-0.146166--0.784686))+0-0-0</f>
        <v>752.33183799999995</v>
      </c>
      <c r="J119" s="3">
        <f>1368.1+(138.3-797.9)+(-3.488655+(-0.352665--2.034645))+0-0-0</f>
        <v>706.69332499999996</v>
      </c>
      <c r="K119" s="3">
        <f>1359.1+(95-801.1)+(-3.465705+(-0.24225--2.042805))+0-0-0</f>
        <v>651.33484999999985</v>
      </c>
      <c r="L119" s="3">
        <f>1371.8+(63.5-859.1)+(-4.197708+(-0.19431--2.628846))+0-0-0</f>
        <v>574.43682799999988</v>
      </c>
      <c r="M119" s="3">
        <f>1383.7+(56.6-874.7)+(-0.705687+(-0.028866--0.446097))+0-0-0</f>
        <v>565.31154400000003</v>
      </c>
      <c r="N119" s="3">
        <f>1388.8+(70.8-846.1)+(-0.708288+(-0.036108--0.431511))+0-0-0</f>
        <v>613.18711499999984</v>
      </c>
      <c r="O119" s="3">
        <f>1379.3+(76-781.4)+(-0.703443+(-0.03876--0.398514))+0-0-0</f>
        <v>673.55631099999994</v>
      </c>
      <c r="P119" s="3">
        <f>1369.6+(109.8-749.4)+(0+(0-0))+0-0-0</f>
        <v>729.99999999999989</v>
      </c>
      <c r="Q119" s="3">
        <f>1362.4+(127.1-712.6)+(-0.694824+(-0.064821--0.363426))+0-0-0</f>
        <v>776.50378100000012</v>
      </c>
      <c r="R119" s="3">
        <f>1348.8+(129.1-656.5)+(-2.063664+(-0.197523--1.004445))+0-0-0</f>
        <v>820.14325799999995</v>
      </c>
      <c r="S119" s="3">
        <f>1343.5+(145.1-608.3)+(-1.37037+(-0.148002--0.620466))+0-0-0</f>
        <v>879.40209400000003</v>
      </c>
      <c r="T119" s="3">
        <f>1342.3+(155.4-597.2)+(-1.369146+(-0.158508--0.609144))+0-0-0</f>
        <v>899.58148999999992</v>
      </c>
      <c r="U119" s="3">
        <f>1349.5+(154.9-616.2)+(-0.688245+(-0.078999--0.314262))+0-0-0</f>
        <v>887.74701799999991</v>
      </c>
      <c r="V119" s="3">
        <f>1330.8+(177.1-641.5)+(-2.714832+(-0.361284--1.30866))+0-0-0</f>
        <v>864.63254399999994</v>
      </c>
      <c r="W119" s="3">
        <f>1321.1+(177.7-660.9)+(-4.042566+(-0.543762--2.022354))+0-0-0</f>
        <v>835.33602599999983</v>
      </c>
      <c r="X119" s="3">
        <f>1328.3+(174.7-719)+(-2.709732+(-0.356388--1.46676))+0-0-0</f>
        <v>782.40063999999995</v>
      </c>
      <c r="Y119" s="3">
        <f>1349.4+(165.2-777.1)+(-0.688194+(-0.084252--0.396321))+0-0-0</f>
        <v>737.123875</v>
      </c>
      <c r="Z119" s="3">
        <f>1364.8+(209.2-780.1)+(-0.696048+(-0.106692--0.397851))+0-0-0</f>
        <v>793.49511099999984</v>
      </c>
      <c r="AA119" s="3">
        <f>1384.8+(187.7-662.6)+(-2.824992+(-0.382908--1.351704))+0-0-0</f>
        <v>908.04380399999991</v>
      </c>
      <c r="AB119" s="3">
        <f>1391+(190.2-667.2)+(-2.83764+(-0.388008--1.361088))+0-0-0</f>
        <v>912.13544000000002</v>
      </c>
      <c r="AC119" s="3">
        <f>1389.3+(202.4-693.6)+(-2.125629+(-0.309672--1.061208))+0-0-0</f>
        <v>896.72590699999989</v>
      </c>
      <c r="AD119">
        <v>877.4</v>
      </c>
      <c r="AE119" s="3">
        <f>1398+(186.3-706.9)+(0+(0-0))+0-0-0</f>
        <v>877.40000000000009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1385.1+(188.1-738.9)+(-3.532005+(-0.479655--1.884195))+0-0-0</f>
        <v>832.17253499999993</v>
      </c>
      <c r="G120" s="3">
        <f>1367.4+(160.8-745.3)+(-4.881618+(-0.574056--2.660721))+0-0-0</f>
        <v>780.10504700000013</v>
      </c>
      <c r="H120" s="3">
        <f>1395.7+(165.8-827.6)+(0+(0-0))+0-0-0</f>
        <v>733.90000000000009</v>
      </c>
      <c r="I120" s="3">
        <f>1367.1+(171.2-863.1)+(-6.274989+(-0.785808--3.961629))+0-0-0</f>
        <v>672.10083199999985</v>
      </c>
      <c r="J120" s="3">
        <f>1350.3+(180.1-885.4)+(-1.377306+(-0.183702--0.903108))+0-0-0</f>
        <v>644.34209999999996</v>
      </c>
      <c r="K120" s="3">
        <f>1217+(179.6-789.1)+(-5.58603+(-0.824364--3.621969))+0-0-0</f>
        <v>604.71157500000004</v>
      </c>
      <c r="L120" s="3">
        <f>1168.4+(191.5-810.7)+(-4.767072+(-0.78132--3.307656))+0-0-0</f>
        <v>546.95926400000008</v>
      </c>
      <c r="M120" s="3">
        <f>1189.7+(187.4-798.1)+(0.606747+(0.095574-0.407031))+0-0-0</f>
        <v>579.29529000000002</v>
      </c>
      <c r="N120" s="3">
        <f>1325.2+(162.3-824)+(0+(0-0))+0-0-0</f>
        <v>663.5</v>
      </c>
      <c r="O120" s="3">
        <f>1458.6+(181.3-924.3)+(0+(0-0))+0-0-0</f>
        <v>715.59999999999991</v>
      </c>
      <c r="P120" s="3">
        <f>1455.1+(330.4-1008.1)+(0.742101+(0.168504-0.514131))+0-0-0</f>
        <v>777.79647399999988</v>
      </c>
      <c r="Q120" s="3">
        <f>1461+(345.3-986.3)+(0.74511+(0.176103-0.503013))+0-0-0</f>
        <v>820.41819999999996</v>
      </c>
      <c r="R120" s="3">
        <f>1467.6+(384.9-982.6)+(0+(0-0))+0-0-0</f>
        <v>869.89999999999986</v>
      </c>
      <c r="S120" s="3">
        <f>1448.9+(395.3-906)+(-0.738939+(-0.201603--0.46206))+0-0-0</f>
        <v>937.72151800000006</v>
      </c>
      <c r="T120" s="3">
        <f>1437.4+(389.4-868.3)+(-0.733074+(-0.198594--0.442833))+0-0-0</f>
        <v>958.01116500000012</v>
      </c>
      <c r="U120" s="3">
        <f>1433.8+(380.8-865)+(-1.462476+(-0.388416--0.8823))+0-0-0</f>
        <v>948.63140799999996</v>
      </c>
      <c r="V120" s="3">
        <f>1436.4+(379.1-895.7)+(0.732564+(0.193341-0.456807))+0-0-0</f>
        <v>920.2690980000001</v>
      </c>
      <c r="W120" s="3">
        <f>1437.3+(377-926.9)+(-0.733023+(-0.19227--0.472719))+0-0-0</f>
        <v>886.94742599999995</v>
      </c>
      <c r="X120" s="3">
        <f>1416.9+(282.5-889.5)+(-3.613095+(-0.720375--2.268225))+0-0-0</f>
        <v>807.83475500000009</v>
      </c>
      <c r="Y120" s="3">
        <f>1439.9+(180.1-865)+(-3.671745+(-0.459255--2.20575))+0-0-0</f>
        <v>753.07475000000011</v>
      </c>
      <c r="Z120" s="3">
        <f>1473.2+(266.8-937.9)+(1.502664+(0.272136-0.956658))+0-0-0</f>
        <v>802.9181420000001</v>
      </c>
      <c r="AA120" s="3">
        <f>1490.5+(368.6-904.9)+(-1.52031+(-0.375972--0.922998))+0-0-0</f>
        <v>953.22671600000001</v>
      </c>
      <c r="AB120" s="3">
        <f>1497.3+(368.8-889.9)+(-0.763623+(-0.188088--0.453849))+0-0-0</f>
        <v>975.70213799999999</v>
      </c>
      <c r="AC120" s="3">
        <f>1495.8+(381.6-921.5)+(0+(0-0))+0-0-0</f>
        <v>955.9</v>
      </c>
      <c r="AD120">
        <v>965.3</v>
      </c>
      <c r="AE120" s="3">
        <f>1501+(363.8-899.5)+(0+(0-0))+0-0-0</f>
        <v>965.3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1425.2+(344.7-892.1)+(-4.361112+(-1.054782--2.729826))+0-0-0</f>
        <v>875.11393199999998</v>
      </c>
      <c r="G121" s="3">
        <f>1252.1+(304.6-792.1)+(-0.638571+(-0.155346--0.403971))+0-0-0</f>
        <v>764.2100539999999</v>
      </c>
      <c r="H121" s="3">
        <f>1236.5+(292.2-778.9)+(-1.26123+(-0.298044--0.794478))+0-0-0</f>
        <v>749.03520399999991</v>
      </c>
      <c r="I121" s="3">
        <f>1232.3+(292.6-822.1)+(-1.885419+(-0.447678--1.257813))+0-0-0</f>
        <v>701.72471599999994</v>
      </c>
      <c r="J121" s="3">
        <f>1225.5+(211.9-783.7)+(-3.125025+(-0.540345--1.998435))+0-0-0</f>
        <v>652.03306499999997</v>
      </c>
      <c r="K121" s="3">
        <f>1226.8+(157.2-773.4)+(-2.502672+(-0.320688--1.577736))+0-0-0</f>
        <v>609.35437599999989</v>
      </c>
      <c r="L121" s="3">
        <f>1227.7+(153.5-822.2)+(-1.878381+(-0.234855--1.257966))+0-0-0</f>
        <v>558.14472999999998</v>
      </c>
      <c r="M121" s="3">
        <f>1238.2+(145.4-790.1)+(-0.631482+(-0.074154--0.402951))+0-0-0</f>
        <v>593.197315</v>
      </c>
      <c r="N121" s="3">
        <f>1259.5+(167.5-775.6)+(1.28469+(0.17085-0.791112))+0-0-0</f>
        <v>652.06442800000002</v>
      </c>
      <c r="O121" s="3">
        <f>1352.2+(172.9-840.3)+(0+(0-0))+0-0-0</f>
        <v>684.80000000000007</v>
      </c>
      <c r="P121" s="3">
        <f>1442.1+(245.2-921.5)+(1.470942+(0.250104-0.93993))+0-0-0</f>
        <v>766.58111599999995</v>
      </c>
      <c r="Q121" s="3">
        <f>1448.7+(345.8-970.5)+(1.477674+(0.352716-0.98991))+0-0-0</f>
        <v>824.84047999999996</v>
      </c>
      <c r="R121" s="3">
        <f>1437.4+(355.8-915.1)+(0+(0-0))+0-0-0</f>
        <v>878.10000000000014</v>
      </c>
      <c r="S121" s="3">
        <f>1420.8+(377.2-857.5)+(-1.449216+(-0.384744--0.87465))+0-0-0</f>
        <v>939.54069000000004</v>
      </c>
      <c r="T121" s="3">
        <f>1403.7+(392.6-818.7)+(0.715887+(0.200226-0.417537))+0-0-0</f>
        <v>978.09857599999998</v>
      </c>
      <c r="U121" s="3">
        <f>1397.2+(397.1-820)+(-2.137716+(-0.607563--1.2546))+0-0-0</f>
        <v>972.80932100000007</v>
      </c>
      <c r="V121" s="3">
        <f>1456.5+(380-874.4)+(-2.97126+(-0.7752--1.783776))+0-0-0</f>
        <v>960.13731600000006</v>
      </c>
      <c r="W121" s="3">
        <f>1477.2+(370-934.4)+(0+(0-0))+0-0-0</f>
        <v>912.80000000000007</v>
      </c>
      <c r="X121" s="3">
        <f>1452+(370.8-983.8)+(-1.48104+(-0.378216--1.003476))+0-0-0</f>
        <v>838.14422000000002</v>
      </c>
      <c r="Y121" s="3">
        <f>1433.1+(161.2-848.8)+(-2.192643+(-0.246636--1.298664))+0-0-0</f>
        <v>744.35938499999997</v>
      </c>
      <c r="Z121" s="3">
        <f>1448.1+(255.8-881.1)+(0+(0-0))+0-0-0</f>
        <v>822.8</v>
      </c>
      <c r="AA121" s="3">
        <f>1456.3+(390.2-884.4)+(0+(0-0))+0-0-0</f>
        <v>962.09999999999991</v>
      </c>
      <c r="AB121" s="3">
        <f>1449.5+(390-852.7)+(-2.95698+(-0.7956--1.739508))+0-0-0</f>
        <v>984.78692799999999</v>
      </c>
      <c r="AC121" s="3">
        <f>1474.8+(381.6-892.6)+(0+(0-0))+0-0-0</f>
        <v>963.8</v>
      </c>
      <c r="AD121">
        <v>970.40000000000009</v>
      </c>
      <c r="AE121" s="3">
        <f>1456+(388.4-874)+(0+(0-0))+0-0-0</f>
        <v>970.4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1453.8+(325.7-840.3)+(-2.224314+(-0.498321--1.285659))+0-0-0</f>
        <v>937.76302400000009</v>
      </c>
      <c r="G122" s="3">
        <f>1453.1+(347-920.9)+(-1.482162+(-0.35394--0.939318))+0-0-0</f>
        <v>878.30321599999991</v>
      </c>
      <c r="H122" s="3">
        <f>1448.1+(347.6-981.5)+(-2.954124+(-0.709104--2.00226))+0-0-0</f>
        <v>812.53903199999991</v>
      </c>
      <c r="I122" s="3">
        <f>1440.1+(332.7-1005.8)+(-2.203353+(-0.509031--1.538874))+0-0-0</f>
        <v>765.82649000000004</v>
      </c>
      <c r="J122" s="3">
        <f>1323.4+(261.1-864.3)+(-2.699736+(-0.532644--1.763172))+0-0-0</f>
        <v>718.73079200000018</v>
      </c>
      <c r="K122" s="3">
        <f>1322.2+(210.4-858.9)+(-2.697288+(-0.429216--1.752156))+0-0-0</f>
        <v>672.32565199999999</v>
      </c>
      <c r="L122" s="3">
        <f>1314.3+(164-868.2)+(-4.692051+(-0.58548--3.099474))+0-0-0</f>
        <v>607.92194299999994</v>
      </c>
      <c r="M122" s="3">
        <f>1335.8+(147.2-846.2)+(0+(0-0))+0-0-0</f>
        <v>636.79999999999995</v>
      </c>
      <c r="N122" s="3">
        <f>1375.5+(147.7-825.3)+(0+(0-0))+0-0-0</f>
        <v>697.90000000000009</v>
      </c>
      <c r="O122" s="3">
        <f>1437.1+(201.2-881)+(0+(0-0))+0-0-0</f>
        <v>757.3</v>
      </c>
      <c r="P122" s="3">
        <f>1451.7+(294-931.8)+(1.480734+(0.29988-0.950436))+0-0-0</f>
        <v>814.73017800000014</v>
      </c>
      <c r="Q122" s="3">
        <f>1445.9+(372.6-940.9)+(0.737409+(0.190026-0.479859))+0-0-0</f>
        <v>878.04757600000016</v>
      </c>
      <c r="R122" s="3">
        <f>1448.4+(390.1-896.6)+(1.477368+(0.397902-0.914532))+0-0-0</f>
        <v>942.86073800000008</v>
      </c>
      <c r="S122" s="3">
        <f>1455.5+(378.5-825.7)+(-0.742305+(-0.193035--0.421107))+0-0-0</f>
        <v>1007.785767</v>
      </c>
      <c r="T122" s="3">
        <f>1450.3+(362.8-769.1)+(0.739653+(0.185028-0.392241))+0-0-0</f>
        <v>1044.53244</v>
      </c>
      <c r="U122" s="3">
        <f>1446.5+(359.1-776.9)+(-3.688575+(-0.915705--1.981095))+0-0-0</f>
        <v>1026.0768150000001</v>
      </c>
      <c r="V122" s="3">
        <f>1450.5+(369.6-834.7)+(-2.95902+(-0.753984--1.702788))+0-0-0</f>
        <v>983.38978399999996</v>
      </c>
      <c r="W122" s="3">
        <f>1463.3+(362.1-902.1)+(-5.970264+(-1.477368--3.680568))+0-0-0</f>
        <v>919.53293599999995</v>
      </c>
      <c r="X122" s="3">
        <f>1458.8+(218.5-829.9)+(-5.207916+(-0.780045--2.962743))+0-0-0</f>
        <v>844.37478199999998</v>
      </c>
      <c r="Y122" s="3">
        <f>1438.3+(176.1-803.5)+(-1.467066+(-0.179622--0.81957))+0-0-0</f>
        <v>810.07288199999994</v>
      </c>
      <c r="Z122" s="3">
        <f>1447.8+(227.5-796.8)+(-0.738378+(-0.116025--0.406368))+0-0-0</f>
        <v>878.051965</v>
      </c>
      <c r="AA122" s="3">
        <f>1460.9+(336.4-770)+(-2.980236+(-0.686256--1.5708))+0-0-0</f>
        <v>1025.2043080000001</v>
      </c>
      <c r="AB122" s="3">
        <f>1471.7+(313.8-737.3)+(-3.752835+(-0.80019--1.880115))+0-0-0</f>
        <v>1045.52709</v>
      </c>
      <c r="AC122" s="3">
        <f>1483.2+(242.9-719.7)+(0.756432+(0.123879-0.367047))+0-0-0</f>
        <v>1006.913264</v>
      </c>
      <c r="AD122">
        <v>1005.2</v>
      </c>
      <c r="AE122" s="3">
        <f>1470+(335.9-800.7)+(0+(0-0))+0-0-0</f>
        <v>1005.1999999999999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1449.3+(225.6-759.2)+(-0.739143+(-0.115056--0.387192))+0-0-0</f>
        <v>915.23299299999996</v>
      </c>
      <c r="G123" s="3">
        <f>1334.7+(223.7-720.4)+(-1.361394+(-0.228174--0.734808))+0-0-0</f>
        <v>837.14523999999994</v>
      </c>
      <c r="H123" s="3">
        <f>1250.1+(221.5-713.5)+(-0.637551+(-0.112965--0.363885))+0-0-0</f>
        <v>757.71336899999994</v>
      </c>
      <c r="I123" s="3">
        <f>1146.9+(224.6-657.5)+(-3.509514+(-0.687276--2.01195))+0-0-0</f>
        <v>711.81516000000011</v>
      </c>
      <c r="J123" s="3">
        <f>1167.1+(231.1-712.9)+(-2.976105+(-0.589305--1.817895))+0-0-0</f>
        <v>683.55248499999993</v>
      </c>
      <c r="K123" s="3">
        <f>1162.4+(217.9-735.7)+(-4.149768+(-0.777903--2.626449))+0-0-0</f>
        <v>642.29877799999997</v>
      </c>
      <c r="L123" s="3">
        <f>1162.1+(218-802.4)+(-4.148697+(-0.77826--2.864568))+0-0-0</f>
        <v>575.63761099999988</v>
      </c>
      <c r="M123" s="3">
        <f>1298.5+(200.3-907.4)+(-0.662235+(-0.102153--0.462774))+0-0-0</f>
        <v>591.09838600000012</v>
      </c>
      <c r="N123" s="3">
        <f>1444.2+(176.3-977)+(1.473084+(0.179826-0.99654))+0-0-0</f>
        <v>644.15637000000004</v>
      </c>
      <c r="O123" s="3">
        <f>1440+(182.1-914)+(1.4688+(0.185742-0.93228))+0-0-0</f>
        <v>708.82226200000002</v>
      </c>
      <c r="P123" s="3">
        <f>1434.4+(253.2-910.6)+(1.463088+(0.258264-0.928812))+0-0-0</f>
        <v>777.79254000000003</v>
      </c>
      <c r="Q123" s="3">
        <f>1416.4+(173.9-786.2)+(0+(0-0))+0-0-0</f>
        <v>804.1</v>
      </c>
      <c r="R123" s="3">
        <f>1390+(124.1-682.4)+(-2.1267+(-0.189873--1.044072))+0-0-0</f>
        <v>830.42749900000001</v>
      </c>
      <c r="S123" s="3">
        <f>1278.3+(190.6-572.7)+(-3.259665+(-0.48603--1.460385))+0-0-0</f>
        <v>893.91468999999995</v>
      </c>
      <c r="T123" s="3">
        <f>1269+(282.4-622.2)+(0+(0-0))+0-0-0</f>
        <v>929.19999999999993</v>
      </c>
      <c r="U123" s="3">
        <f>1350.1+(250-680.1)+(-2.754204+(-0.51--1.387404))+0-0-0</f>
        <v>918.12319999999988</v>
      </c>
      <c r="V123" s="3">
        <f>1380.4+(278.5-746.9)+(-1.408008+(-0.28407--0.761838))+0-0-0</f>
        <v>911.06976000000009</v>
      </c>
      <c r="W123" s="3">
        <f>1380.7+(339.8-883.2)+(-2.112471+(-0.519894--1.351296))+0-0-0</f>
        <v>836.01893099999995</v>
      </c>
      <c r="X123" s="3">
        <f>1382.9+(210.7-838.3)+(-3.526395+(-0.537285--2.137665))+0-0-0</f>
        <v>753.37398500000018</v>
      </c>
      <c r="Y123" s="3">
        <f>1406.5+(163.8-842.9)+(-1.43463+(-0.167076--0.859758))+0-0-0</f>
        <v>726.65805200000011</v>
      </c>
      <c r="Z123" s="3">
        <f>1399.3+(142.3-753.3)+(0+(0-0))+0-0-0</f>
        <v>788.3</v>
      </c>
      <c r="AA123" s="3">
        <f>1345.1+(229.2-668.9)+(-3.430005+(-0.58446--1.705695))+0-0-0</f>
        <v>903.09122999999988</v>
      </c>
      <c r="AB123" s="3">
        <f>1282.3+(148.8-513.2)+(-0.653973+(-0.075888--0.261732))+0-0-0</f>
        <v>917.43187099999989</v>
      </c>
      <c r="AC123" s="3">
        <f>1283.7+(146.1-520)+(-0.654687+(-0.074511--0.2652))+0-0-0</f>
        <v>909.33600200000012</v>
      </c>
      <c r="AD123">
        <v>896.69999999999993</v>
      </c>
      <c r="AE123" s="3">
        <f>1305+(261.1-669.4)+(0+(0-0))+0-0-0</f>
        <v>896.7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1251.7+(133.7-514)+(-0.638367+(-0.068187--0.26214))+0-0-0</f>
        <v>870.95558600000004</v>
      </c>
      <c r="G124" s="3">
        <f>1215.7+(125.4-521.7)+(1.240014+(0.127908-0.532134))+0-0-0</f>
        <v>820.23578799999996</v>
      </c>
      <c r="H124" s="3">
        <f>1084.1+(149.4-466.6)+(1.105782+(0.152388-0.475932))+0-0-0</f>
        <v>767.68223799999987</v>
      </c>
      <c r="I124" s="3">
        <f>990.4+(159.4-438.8)+(0.505104+(0.081294-0.223788))+0-0-0</f>
        <v>711.36261000000002</v>
      </c>
      <c r="J124" s="3">
        <f>992.6+(146.8-470.4)+(1.518678+(0.224604-0.719712))+0-0-0</f>
        <v>670.02356999999995</v>
      </c>
      <c r="K124" s="3">
        <f>982.2+(134.6-489.6)+(-1.001844+(-0.137292--0.499392))+0-0-0</f>
        <v>626.56025600000009</v>
      </c>
      <c r="L124" s="3">
        <f>991.2+(65-508.3)+(1.011024+(0.0663-0.518466))+0-0-0</f>
        <v>548.45885800000008</v>
      </c>
      <c r="M124" s="3">
        <f>982.3+(57.3-507.9)+(-0.500973+(-0.029223--0.259029))+0-0-0</f>
        <v>531.42883300000005</v>
      </c>
      <c r="N124" s="3">
        <f>993.5+(65.6-497.6)+(1.520055+(0.100368-0.761328))+0-0-0</f>
        <v>562.35909500000002</v>
      </c>
      <c r="O124" s="3">
        <f>991.2+(115.7-488.8)+(0.505512+(0.059007-0.249288))+0-0-0</f>
        <v>618.41523100000006</v>
      </c>
      <c r="P124" s="3">
        <f>1213.4+(87-626.3)+(1.856502+(0.13311-0.958239))+0-0-0</f>
        <v>675.13137300000017</v>
      </c>
      <c r="Q124" s="3">
        <f>1224.7+(83-589.6)+(1.249194+(0.08466-0.601392))+0-0-0</f>
        <v>718.83246200000008</v>
      </c>
      <c r="R124" s="3">
        <f>1204.5+(86.7-542.2)+(-0.614295+(-0.044217--0.276522))+0-0-0</f>
        <v>748.61801000000003</v>
      </c>
      <c r="S124" s="3">
        <f>1201.2+(99.4-522.1)+(-0.612612+(-0.050694--0.266271))+0-0-0</f>
        <v>778.10296500000004</v>
      </c>
      <c r="T124" s="3">
        <f>1194+(117.5-497)+(-1.82682+(-0.179775--0.76041))+0-0-0</f>
        <v>813.25381500000003</v>
      </c>
      <c r="U124" s="3">
        <f>1201.4+(117.5-504.7)+(0.612714+(0.059925-0.257397))+0-0-0</f>
        <v>814.61524200000008</v>
      </c>
      <c r="V124" s="3">
        <f>1205.9+(109.4-515.1)+(-0.615009+(-0.055794--0.262701))+0-0-0</f>
        <v>799.79189800000006</v>
      </c>
      <c r="W124" s="3">
        <f>1223.6+(99.5-557.8)+(-3.12018+(-0.253725--1.42239))+0-0-0</f>
        <v>763.34848499999998</v>
      </c>
      <c r="X124" s="3">
        <f>1227.4+(105.3-621.2)+(-1.877922+(-0.161109--0.950436))+0-0-0</f>
        <v>710.41140499999995</v>
      </c>
      <c r="Y124" s="3">
        <f>1185.1+(110.5-644.4)+(-4.230807+(-0.394485--2.300508))+0-0-0</f>
        <v>648.87521599999991</v>
      </c>
      <c r="Z124" s="3">
        <f>1307.7+(119.2-735.1)+(2.000781+(0.182376-1.124703))+0-0-0</f>
        <v>692.85845400000005</v>
      </c>
      <c r="AA124" s="3">
        <f>1346.8+(90.8-605)+(-2.060604+(-0.138924--0.92565))+0-0-0</f>
        <v>831.32612199999994</v>
      </c>
      <c r="AB124" s="3">
        <f>1373.1+(88.2-589.2)+(-1.400562+(-0.089964--0.600984))+0-0-0</f>
        <v>871.2104579999999</v>
      </c>
      <c r="AC124" s="3">
        <f>1379.1+(89.8-589.5)+(0.703341+(0.045798-0.300645))+0-0-0</f>
        <v>879.84849399999985</v>
      </c>
      <c r="AD124">
        <v>839.99999999999989</v>
      </c>
      <c r="AE124" s="3">
        <f>1347+(86.6-593.6)+(0+(0-0))+0-0-0</f>
        <v>840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1364+(83-606.7)+(-1.39128+(-0.08466--0.618834))+0-0-0</f>
        <v>839.44289399999991</v>
      </c>
      <c r="G125" s="3">
        <f>1376.1+(99.4-715.9)+(-1.403622+(-0.101388--0.730218))+0-0-0</f>
        <v>758.82520799999986</v>
      </c>
      <c r="H125" s="3">
        <f>1366+(112.3-760.3)+(-2.08998+(-0.171819--1.163259))+0-0-0</f>
        <v>716.90146000000004</v>
      </c>
      <c r="I125" s="3">
        <f>1362.5+(121.3-794.5)+(-2.084625+(-0.185589--1.215585))+0-0-0</f>
        <v>688.24537099999998</v>
      </c>
      <c r="J125" s="3">
        <f>1232+(130.8-701.7)+(-2.51328+(-0.266832--1.431468))+0-0-0</f>
        <v>659.75135599999987</v>
      </c>
      <c r="K125" s="3">
        <f>1227.1+(123.6-733.7)+(-2.503284+(-0.252144--1.496748))+0-0-0</f>
        <v>615.74131999999986</v>
      </c>
      <c r="L125" s="3">
        <f>1173.4+(65.3-686.9)+(-0.598434+(-0.033303--0.350319))+0-0-0</f>
        <v>551.51858200000004</v>
      </c>
      <c r="M125" s="3">
        <f>1326.8+(61.4-804.8)+(0+(0-0))+0-0-0</f>
        <v>583.4</v>
      </c>
      <c r="N125" s="3">
        <f>1379.5+(112.2-868)+(1.40709+(0.114444-0.88536))+0-0-0</f>
        <v>624.33617400000003</v>
      </c>
      <c r="O125" s="3">
        <f>1381.6+(155-838.9)+(-0.704616+(-0.07905--0.427839))+0-0-0</f>
        <v>697.34417299999996</v>
      </c>
      <c r="P125" s="3">
        <f>1372.1+(168.8-787.8)+(-0.699771+(-0.086088--0.401778))+0-0-0</f>
        <v>752.71591899999987</v>
      </c>
      <c r="Q125" s="3">
        <f>1403.7+(202.4-795.9)+(2.147661+(0.309672-1.217727))+0-0-0</f>
        <v>811.43960600000003</v>
      </c>
      <c r="R125" s="3">
        <f>1423.4+(256.5-797)+(0.725934+(0.130815-0.40647))+0-0-0</f>
        <v>883.35027900000011</v>
      </c>
      <c r="S125" s="3">
        <f>1418.1+(348.9-822.7)+(0+(0-0))+0-0-0</f>
        <v>944.29999999999984</v>
      </c>
      <c r="T125" s="3">
        <f>1443+(392.7-824.4)+(-1.47186+(-0.400554--0.840888))+0-0-0</f>
        <v>1010.268474</v>
      </c>
      <c r="U125" s="3">
        <f>1450.6+(385.4-828.1)+(-2.219418+(-0.589662--1.266993))+0-0-0</f>
        <v>1006.3579129999998</v>
      </c>
      <c r="V125" s="3">
        <f>1467.6+(343.5-832.3)+(-2.993904+(-0.70074--1.697892))+0-0-0</f>
        <v>976.80324799999994</v>
      </c>
      <c r="W125" s="3">
        <f>1478.7+(316-877.6)+(-2.262411+(-0.48348--1.342728))+0-0-0</f>
        <v>915.69683700000007</v>
      </c>
      <c r="X125" s="3">
        <f>1419.3+(177-750.1)+(-4.343058+(-0.54162--2.295306))+0-0-0</f>
        <v>843.61062799999991</v>
      </c>
      <c r="Y125" s="3">
        <f>1386.1+(114.4-720.6)+(-0.706911+(-0.058344--0.367506))+0-0-0</f>
        <v>779.50225099999989</v>
      </c>
      <c r="Z125" s="3">
        <f>1392.9+(163.3-699.8)+(-1.420758+(-0.166566--0.713796))+0-0-0</f>
        <v>855.52647200000013</v>
      </c>
      <c r="AA125" s="3">
        <f>1401.7+(135.4-557.2)+(0+(0-0))+0-0-0</f>
        <v>979.9</v>
      </c>
      <c r="AB125" s="3">
        <f>1402.5+(144.4-551.4)+(-2.145825+(-0.220932--0.843642))+0-0-0</f>
        <v>993.97688500000004</v>
      </c>
      <c r="AC125" s="3">
        <f>1401.6+(162-590.2)+(0+(0-0))+0-0-0</f>
        <v>973.39999999999986</v>
      </c>
      <c r="AD125">
        <v>998.80000000000007</v>
      </c>
      <c r="AE125" s="3">
        <f>1416+(141.4-558.6)+(0+(0-0))+0-0-0</f>
        <v>998.8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1405.1+(143.1-567.4)+(-1.433202+(-0.145962--0.578748))+0-0-0</f>
        <v>979.79958399999998</v>
      </c>
      <c r="G126" s="3">
        <f>1406.8+(157.7-646)+(-3.58734+(-0.402135--1.6473))+0-0-0</f>
        <v>916.157825</v>
      </c>
      <c r="H126" s="3">
        <f>1404+(164.6-737.3)+(-1.43208+(-0.167892--0.752046))+0-0-0</f>
        <v>830.45207400000004</v>
      </c>
      <c r="I126" s="3">
        <f>1406.4+(85.6-724.1)+(-2.869056+(-0.174624--1.477164))+0-0-0</f>
        <v>766.33348400000011</v>
      </c>
      <c r="J126" s="3">
        <f>1408.1+(86.6-756.6)+(-2.154393+(-0.132498--1.157598))+0-0-0</f>
        <v>736.97070699999995</v>
      </c>
      <c r="K126" s="3">
        <f>1406.9+(88.7-800.2)+(-1.435038+(-0.090474--0.816204))+0-0-0</f>
        <v>694.69069200000013</v>
      </c>
      <c r="L126" s="3">
        <f>1307+(93.9-800.9)+(-3.33285+(-0.239445--2.042295))+0-0-0</f>
        <v>598.47</v>
      </c>
      <c r="M126" s="3">
        <f>1211.4+(105.9-713.7)+(1.853442+(0.162027-1.091961))+0-0-0</f>
        <v>604.52350799999999</v>
      </c>
      <c r="N126" s="3">
        <f>1212.9+(124-661)+(0+(0-0))+0-0-0</f>
        <v>675.90000000000009</v>
      </c>
      <c r="O126" s="3">
        <f>1378+(217.4-823.3)+(0.70278+(0.110874-0.419883))+0-0-0</f>
        <v>772.49377100000004</v>
      </c>
      <c r="P126" s="3">
        <f>1423.9+(307.6-879.5)+(0.726189+(0.156876-0.448545))+0-0-0</f>
        <v>852.43452000000013</v>
      </c>
      <c r="Q126" s="3">
        <f>1420.7+(343.8-875.2)+(2.173671+(0.526014-1.339056))+0-0-0</f>
        <v>890.66062899999997</v>
      </c>
      <c r="R126" s="3">
        <f>1436.7+(384-877.8)+(0+(0-0))+0-0-0</f>
        <v>942.90000000000009</v>
      </c>
      <c r="S126" s="3">
        <f>1430.1+(386.2-814.7)+(0+(0-0))+0-0-0</f>
        <v>1001.5999999999999</v>
      </c>
      <c r="T126" s="3">
        <f>1418.8+(401-783.5)+(2.170764+(0.61353-1.198755))+0-0-0</f>
        <v>1037.8855389999999</v>
      </c>
      <c r="U126" s="3">
        <f>1396.3+(398.9-762.9)+(-1.424226+(-0.406878--0.778158))+0-0-0</f>
        <v>1031.2470539999999</v>
      </c>
      <c r="V126" s="3">
        <f>1403.3+(387.3-790.7)+(-2.862732+(-0.790092--1.613028))+0-0-0</f>
        <v>997.86020399999984</v>
      </c>
      <c r="W126" s="3">
        <f>1404.5+(373.4-858.1)+(-4.29777+(-1.142604--2.625786))+0-0-0</f>
        <v>916.985412</v>
      </c>
      <c r="X126" s="3">
        <f>1268+(266.2-700.7)+(-3.88008+(-0.814572--2.144142))+0-0-0</f>
        <v>830.94948999999997</v>
      </c>
      <c r="Y126" s="3">
        <f>1202.2+(116.2-536.8)+(-1.226244+(-0.118524--0.547536))+0-0-0</f>
        <v>780.80276800000013</v>
      </c>
      <c r="Z126" s="3">
        <f>1243.2+(126.4-527.8)+(0+(0-0))+0-0-0</f>
        <v>841.80000000000007</v>
      </c>
      <c r="AA126" s="3">
        <f>1375.2+(166.9-645.8)+(-4.208112+(-0.510714--1.976148))+0-0-0</f>
        <v>893.55732200000011</v>
      </c>
      <c r="AB126" s="3">
        <f>1389.5+(110.3-613)+(-0.708645+(-0.056253--0.31263))+0-0-0</f>
        <v>886.34773199999995</v>
      </c>
      <c r="AC126" s="3">
        <f>1369.3+(118.9-617.9)+(-0.698343+(-0.060639--0.315129))+0-0-0</f>
        <v>869.85614699999996</v>
      </c>
      <c r="AD126">
        <v>824.09999999999991</v>
      </c>
      <c r="AE126" s="3">
        <f>1380+(108.6-664.5)+(0+(0-0))+0-0-0</f>
        <v>824.1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1399.7+(114.6-660)+(-2.141541+(-0.175338--1.0098))+0-0-0</f>
        <v>852.99292100000002</v>
      </c>
      <c r="G127" s="3">
        <f>1393.6+(130.5-727.7)+(-2.132208+(-0.199665--1.113381))+0-0-0</f>
        <v>795.18150799999989</v>
      </c>
      <c r="H127" s="3">
        <f>1392.6+(146.6-790.4)+(-1.420452+(-0.149532--0.806208))+0-0-0</f>
        <v>748.03622399999995</v>
      </c>
      <c r="I127" s="3">
        <f>1388.6+(154.4-829.1)+(-1.416372+(-0.157488--0.845682))+0-0-0</f>
        <v>713.17182199999991</v>
      </c>
      <c r="J127" s="3">
        <f>1312.4+(122.1-757.7)+(1.338648+(0.124542-0.772854))+0-0-0</f>
        <v>677.49033600000007</v>
      </c>
      <c r="K127" s="3">
        <f>1197.9+(79.1-637.7)+(0.610929+(0.040341-0.325227))+0-0-0</f>
        <v>639.6260430000001</v>
      </c>
      <c r="L127" s="3">
        <f>1090.6+(82.1-614.2)+(-0.556206+(-0.041871--0.313242))+0-0-0</f>
        <v>558.21516499999984</v>
      </c>
      <c r="M127" s="3">
        <f>1094+(119.6-623.7)+(-0.55794+(-0.060996--0.318087))+0-0-0</f>
        <v>589.59915100000001</v>
      </c>
      <c r="N127" s="3">
        <f>1097.7+(131-564.9)+(0+(0-0))+0-0-0</f>
        <v>663.80000000000007</v>
      </c>
      <c r="O127" s="3">
        <f>1277.6+(134.6-665.3)+(-1.303152+(-0.137292--0.678606))+0-0-0</f>
        <v>746.13816199999997</v>
      </c>
      <c r="P127" s="3">
        <f>1352.7+(171-693.5)+(-0.689877+(-0.08721--0.353685))+0-0-0</f>
        <v>829.77659800000004</v>
      </c>
      <c r="Q127" s="3">
        <f>1427.9+(228.3-745.2)+(0+(0-0))+0-0-0</f>
        <v>911</v>
      </c>
      <c r="R127" s="3">
        <f>1426.3+(275.1-729.4)+(-2.909652+(-0.561204--1.487976))+0-0-0</f>
        <v>970.01711999999998</v>
      </c>
      <c r="S127" s="3">
        <f>1424.3+(307.6-694.6)+(-2.179179+(-0.470628--1.062738))+0-0-0</f>
        <v>1035.712931</v>
      </c>
      <c r="T127" s="3">
        <f>1426.3+(318.2-668.7)+(0.727413+(0.162282-0.341037))+0-0-0</f>
        <v>1076.3486579999999</v>
      </c>
      <c r="U127" s="3">
        <f>1417.5+(314.2-671.8)+(-1.44585+(-0.320484--0.685236))+0-0-0</f>
        <v>1058.818902</v>
      </c>
      <c r="V127" s="3">
        <f>1428+(301.8-726.7)+(1.45656+(0.307836-0.741234))+0-0-0</f>
        <v>1004.1231619999999</v>
      </c>
      <c r="W127" s="3">
        <f>1400.7+(268-757.6)+(-2.857428+(-0.54672--1.545504))+0-0-0</f>
        <v>909.241356</v>
      </c>
      <c r="X127" s="3">
        <f>1400.8+(240-815.2)+(-2.143224+(-0.3672--1.247256))+0-0-0</f>
        <v>824.33683199999996</v>
      </c>
      <c r="Y127" s="3">
        <f>1413+(157.9-780.6)+(-1.44126+(-0.161058--0.796212))+0-0-0</f>
        <v>789.49389399999995</v>
      </c>
      <c r="Z127" s="3">
        <f>1438+(177.1-751.1)+(0+(0-0))+0-0-0</f>
        <v>864</v>
      </c>
      <c r="AA127" s="3">
        <f>1459.2+(213.5-660)+(-1.488384+(-0.21777--0.6732))+0-0-0</f>
        <v>1011.667046</v>
      </c>
      <c r="AB127" s="3">
        <f>1465.1+(236.6-666)+(-1.494402+(-0.241332--0.67932))+0-0-0</f>
        <v>1034.6435859999999</v>
      </c>
      <c r="AC127" s="3">
        <f>1465.4+(221.9-668.5)+(-0.747354+(-0.113169--0.340935))+0-0-0</f>
        <v>1018.2804120000001</v>
      </c>
      <c r="AD127">
        <v>975.3</v>
      </c>
      <c r="AE127" s="3">
        <f>1468+(246.3-739)+(0+(0-0))+0-0-0</f>
        <v>975.3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1446.7+(120.1-591.4)+(0+(0-0))+0-0-0</f>
        <v>975.40000000000009</v>
      </c>
      <c r="G128" s="3">
        <f>1348.6+(84.6-535.2)+(0.687786+(0.043146-0.272952))+0-0-0</f>
        <v>898.45797999999991</v>
      </c>
      <c r="H128" s="3">
        <f>1334.8+(77.9-551.4)+(-2.722992+(-0.158916--1.124856))+0-0-0</f>
        <v>859.54294799999991</v>
      </c>
      <c r="I128" s="3">
        <f>1351.4+(77.2-614.7)+(1.378428+(0.078744-0.626994))+0-0-0</f>
        <v>814.73017800000014</v>
      </c>
      <c r="J128" s="3">
        <f>1331.2+(73.7-653.5)+(-2.715648+(-0.150348--1.33314))+0-0-0</f>
        <v>749.86714400000005</v>
      </c>
      <c r="K128" s="3">
        <f>1332.4+(62.1-681.3)+(-2.038572+(-0.095013--1.042389))+0-0-0</f>
        <v>712.10880400000019</v>
      </c>
      <c r="L128" s="3">
        <f>1328.6+(31.9-727.3)+(-3.38793+(-0.081345--1.854615))+0-0-0</f>
        <v>631.58533999999997</v>
      </c>
      <c r="M128" s="3">
        <f>1345.4+(71.6-761.8)+(0+(0-0))+0-0-0</f>
        <v>655.20000000000016</v>
      </c>
      <c r="N128" s="3">
        <f>1358.7+(105.2-741.3)+(3.464685+(0.26826-1.890315))+0-0-0</f>
        <v>724.44263000000012</v>
      </c>
      <c r="O128" s="3">
        <f>1346.9+(128.1-694.8)+(0+(0-0))+0-0-0</f>
        <v>780.20000000000016</v>
      </c>
      <c r="P128" s="3">
        <f>1349.7+(161.4-664.5)+(2.065041+(0.246942-1.016685))+0-0-0</f>
        <v>847.89529800000003</v>
      </c>
      <c r="Q128" s="3">
        <f>1332.8+(215.2-653.9)+(2.039184+(0.329256-1.000467))+0-0-0</f>
        <v>895.46797299999992</v>
      </c>
      <c r="R128" s="3">
        <f>1315.8+(228.2-583.2)+(1.342116+(0.232764-0.594864))+0-0-0</f>
        <v>961.78001599999993</v>
      </c>
      <c r="S128" s="3">
        <f>1302.8+(255.1-525.8)+(-0.664428+(-0.130101--0.268158))+0-0-0</f>
        <v>1031.573629</v>
      </c>
      <c r="T128" s="3">
        <f>1326.9+(278.7-529.9)+(0.676719+(0.142137-0.270249))+0-0-0</f>
        <v>1076.248607</v>
      </c>
      <c r="U128" s="3">
        <f>1377+(303.2-644.8)+(0+(0-0))+0-0-0</f>
        <v>1035.4000000000001</v>
      </c>
      <c r="V128" s="3">
        <f>1397.6+(337.2-686.5)+(-3.56388+(-0.85986--1.750575))+0-0-0</f>
        <v>1045.626835</v>
      </c>
      <c r="W128" s="3">
        <f>1403.1+(338.8-767.5)+(-3.577905+(-0.86394--1.957125))+0-0-0</f>
        <v>971.91527999999983</v>
      </c>
      <c r="X128" s="3">
        <f>1410.5+(312.9-832)+(-2.158065+(-0.478737--1.27296))+0-0-0</f>
        <v>890.036158</v>
      </c>
      <c r="Y128" s="3">
        <f>1418.5+(170.9-770.6)+(0.723435+(0.087159-0.393006))+0-0-0</f>
        <v>819.21758799999998</v>
      </c>
      <c r="Z128" s="3">
        <f>1449.6+(203.2-781.7)+(0+(0-0))+0-0-0</f>
        <v>871.09999999999991</v>
      </c>
      <c r="AA128" s="3">
        <f>1454.9+(165.6-579.2)+(-1.483998+(-0.168912--0.590784))+0-0-0</f>
        <v>1040.2378740000001</v>
      </c>
      <c r="AB128" s="3">
        <f>1442.7+(167.8-524.3)+(-2.207331+(-0.256734--0.802179))+0-0-0</f>
        <v>1084.538114</v>
      </c>
      <c r="AC128" s="3">
        <f>1443.2+(181.3-543.7)+(-0.736032+(-0.092463--0.277287))+0-0-0</f>
        <v>1080.2487919999999</v>
      </c>
      <c r="AD128">
        <v>988.5</v>
      </c>
      <c r="AE128" s="3">
        <f>1406+(160-577.5)+(0+(0-0))+0-0-0</f>
        <v>988.5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1332.5+(147.5-528.2)+(-2.038725+(-0.225675--0.808146))+0-0-0</f>
        <v>950.34374600000001</v>
      </c>
      <c r="G129" s="3">
        <f>1342.7+(116.9-497.6)+(0+(0-0))+0-0-0</f>
        <v>962</v>
      </c>
      <c r="H129" s="3">
        <f>1327.2+(120.5-552.1)+(-1.353744+(-0.12291--0.563142))+0-0-0</f>
        <v>894.68648800000005</v>
      </c>
      <c r="I129" s="3">
        <f>1234+(128.3-527.6)+(1.25868+(0.130866-0.538152))+0-0-0</f>
        <v>835.55139400000007</v>
      </c>
      <c r="J129" s="3">
        <f>1229.2+(130.3-577.3)+(0+(0-0))+0-0-0</f>
        <v>782.2</v>
      </c>
      <c r="K129" s="3">
        <f>1217.5+(128.2-607.9)+(-1.862775+(-0.196146--0.930087))+0-0-0</f>
        <v>736.67116599999997</v>
      </c>
      <c r="L129" s="3">
        <f>1217.2+(123.7-676.1)+(-1.862316+(-0.189261--1.034433))+0-0-0</f>
        <v>663.78285600000004</v>
      </c>
      <c r="M129" s="3">
        <f>1323.2+(142.7-782.4)+(2.024496+(0.218331-1.197072))+0-0-0</f>
        <v>684.54575499999999</v>
      </c>
      <c r="N129" s="3">
        <f>1351.7+(186.8-794.7)+(0.689367+(0.095268-0.405297))+0-0-0</f>
        <v>744.17933799999992</v>
      </c>
      <c r="O129" s="3">
        <f>1388.2+(234.7-803.5)+(-0.707982+(-0.119697--0.409785))+0-0-0</f>
        <v>818.98210600000004</v>
      </c>
      <c r="P129" s="3">
        <f>1430.1+(368.1-867.4)+(1.458702+(0.375462-0.884748))+0-0-0</f>
        <v>931.749416</v>
      </c>
      <c r="Q129" s="3">
        <f>1425.7+(368.5-848.7)+(3.635535+(0.939675-2.164185))+0-0-0</f>
        <v>947.911025</v>
      </c>
      <c r="R129" s="3">
        <f>1431.3+(377.5-800)+(-0.729963+(-0.192525--0.408))+0-0-0</f>
        <v>1008.2855119999999</v>
      </c>
      <c r="S129" s="3">
        <f>1446+(374.8-731.1)+(0.73746+(0.191148-0.372861))+0-0-0</f>
        <v>1090.2557470000002</v>
      </c>
      <c r="T129" s="3">
        <f>1444.5+(402.5-721.2)+(0+(0-0))+0-0-0</f>
        <v>1125.8</v>
      </c>
      <c r="U129" s="3">
        <f>1445.7+(384.9-716.7)+(-0.737307+(-0.196299--0.365517))+0-0-0</f>
        <v>1113.331911</v>
      </c>
      <c r="V129" s="3">
        <f>1429.4+(375.7-732.2)+(-1.457988+(-0.383214--0.746844))+0-0-0</f>
        <v>1071.805642</v>
      </c>
      <c r="W129" s="3">
        <f>1428.1+(366.1-784.1)+(-2.184993+(-0.560133--1.199673))+0-0-0</f>
        <v>1008.554547</v>
      </c>
      <c r="X129" s="3">
        <f>1430.6+(336.4-847.9)+(-5.107242+(-1.200948--3.027003))+0-0-0</f>
        <v>915.81881299999986</v>
      </c>
      <c r="Y129" s="3">
        <f>1431.5+(193.6-789.1)+(-0.730065+(-0.098736--0.402441))+0-0-0</f>
        <v>835.57363999999995</v>
      </c>
      <c r="Z129" s="3">
        <f>1438.8+(243.1-828)+(-2.201364+(-0.371943--1.26684))+0-0-0</f>
        <v>852.59353299999998</v>
      </c>
      <c r="AA129" s="3">
        <f>1495+(308-780.2)+(-5.33715+(-1.09956--2.785314))+0-0-0</f>
        <v>1019.148604</v>
      </c>
      <c r="AB129" s="3">
        <f>1498.2+(291.6-727.7)+(-2.292246+(-0.446148--1.113381))+0-0-0</f>
        <v>1060.4749869999998</v>
      </c>
      <c r="AC129" s="3">
        <f>1479.9+(299.8-732.9)+(-1.509498+(-0.305796--0.747558))+0-0-0</f>
        <v>1045.7322640000002</v>
      </c>
      <c r="AD129">
        <v>985.40000000000009</v>
      </c>
      <c r="AE129" s="3">
        <f>1467+(312.2-793.8)+(0+(0-0))+0-0-0</f>
        <v>985.40000000000009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1391.9+(255.7-648.2)+(-0.709869+(-0.130407--0.330582))+0-0-0</f>
        <v>998.89030600000012</v>
      </c>
      <c r="G130" s="3">
        <f>1385.9+(258.9-732.6)+(-2.120427+(-0.396117--1.120878))+0-0-0</f>
        <v>910.80433400000004</v>
      </c>
      <c r="H130" s="3">
        <f>1383+(108.3-657.5)+(-1.41066+(-0.110466--0.67065))+0-0-0</f>
        <v>832.949524</v>
      </c>
      <c r="I130" s="3">
        <f>1357.3+(80.9-652.6)+(1.384446+(0.082518-0.665652))+0-0-0</f>
        <v>786.40131199999996</v>
      </c>
      <c r="J130" s="3">
        <f>1082.1+(91.9-454.1)+(-1.103742+(-0.093738--0.463182))+0-0-0</f>
        <v>719.1657019999999</v>
      </c>
      <c r="K130" s="3">
        <f>1065.4+(90.1-474.9)+(0.543354+(0.045951-0.242199))+0-0-0</f>
        <v>680.94710600000019</v>
      </c>
      <c r="L130" s="3">
        <f>1049.8+(70.8-545)+(-3.212388+(-0.216648--1.6677))+0-0-0</f>
        <v>573.83866399999988</v>
      </c>
      <c r="M130" s="3">
        <f>1062.6+(68.6-543.1)+(0+(0-0))+0-0-0</f>
        <v>588.09999999999991</v>
      </c>
      <c r="N130" s="3">
        <f>1101.8+(76.3-544.5)+(0+(0-0))+0-0-0</f>
        <v>633.59999999999991</v>
      </c>
      <c r="O130" s="3">
        <f>1344.3+(54-670.3)+(-0.685593+(-0.02754--0.341853))+0-0-0</f>
        <v>727.62872000000004</v>
      </c>
      <c r="P130" s="3">
        <f>1330.7+(82.5-613.4)+(-0.678657+(-0.042075--0.312834))+0-0-0</f>
        <v>799.39210200000002</v>
      </c>
      <c r="Q130" s="3">
        <f>1298.9+(133.1-593.6)+(-1.324878+(-0.135762--0.605472))+0-0-0</f>
        <v>837.54483200000004</v>
      </c>
      <c r="R130" s="3">
        <f>1277.9+(151.1-535.5)+(-2.606916+(-0.308244--1.09242))+0-0-0</f>
        <v>891.67726000000016</v>
      </c>
      <c r="S130" s="3">
        <f>1266.2+(211.1-506.5)+(-3.22881+(-0.538305--1.291575))+0-0-0</f>
        <v>968.32446000000004</v>
      </c>
      <c r="T130" s="3">
        <f>1276.3+(185.2-440.2)+(-1.952739+(-0.283356--0.673506))+0-0-0</f>
        <v>1019.737411</v>
      </c>
      <c r="U130" s="3">
        <f>1284.3+(186.1-444.6)+(0+(0-0))+0-0-0</f>
        <v>1025.8</v>
      </c>
      <c r="V130" s="3">
        <f>1284.2+(161.3-455.2)+(-0.654942+(-0.082263--0.232152))+0-0-0</f>
        <v>989.79494700000009</v>
      </c>
      <c r="W130" s="3">
        <f>1266.7+(121.7-453.2)+(-5.168136+(-0.496536--1.849056))+0-0-0</f>
        <v>931.38438400000007</v>
      </c>
      <c r="X130" s="3">
        <f>1277+(69-501.4)+(-3.90762+(-0.21114--1.534284))+0-0-0</f>
        <v>842.01552400000003</v>
      </c>
      <c r="Y130" s="3">
        <f>1160.8+(79.8-470.7)+(-2.96004+(-0.20349--1.200285))+0-0-0</f>
        <v>767.93675499999995</v>
      </c>
      <c r="Z130" s="3">
        <f>1218.8+(77.7-493.3)+(0.621588+(0.039627-0.251583))+0-0-0</f>
        <v>803.60963199999992</v>
      </c>
      <c r="AA130" s="3">
        <f>1295.6+(117.2-473.8)+(-3.30378+(-0.29886--1.20819))+0-0-0</f>
        <v>936.60554999999988</v>
      </c>
      <c r="AB130" s="3">
        <f>1255.5+(142.5-448.7)+(-3.201525+(-0.363375--1.144185))+0-0-0</f>
        <v>946.87928499999998</v>
      </c>
      <c r="AC130" s="3">
        <f>1258.5+(138.4-474.4)+(-0.641835+(-0.070584--0.241944))+0-0-0</f>
        <v>922.02952500000004</v>
      </c>
      <c r="AD130">
        <v>924.3</v>
      </c>
      <c r="AE130" s="3">
        <f>1309+(115.6-500.3)+(0+(0-0))+0-0-0</f>
        <v>924.3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1207.2+(142-469.7)+(-0.615672+(-0.07242--0.239547))+0-0-0</f>
        <v>879.05145500000003</v>
      </c>
      <c r="G131" s="3">
        <f>1098.7+(158.8-429.3)+(-1.120674+(-0.161976--0.437886))+0-0-0</f>
        <v>827.35523599999999</v>
      </c>
      <c r="H131" s="3">
        <f>1094.1+(129.1-445.2)+(0+(0-0))+0-0-0</f>
        <v>777.99999999999989</v>
      </c>
      <c r="I131" s="3">
        <f>1084.5+(112.5-469.2)+(-2.21238+(-0.2295--0.957168))+0-0-0</f>
        <v>726.31528800000001</v>
      </c>
      <c r="J131" s="3">
        <f>1083+(96-501.7)+(-2.76165+(-0.2448--1.279335))+0-0-0</f>
        <v>675.57288499999993</v>
      </c>
      <c r="K131" s="3">
        <f>1077.2+(68.4-510.6)+(-2.74686+(-0.17442--1.30203))+0-0-0</f>
        <v>633.38075000000003</v>
      </c>
      <c r="L131" s="3">
        <f>973.1+(56-495.2)+(-2.481405+(-0.1428--1.26276))+0-0-0</f>
        <v>532.53855500000009</v>
      </c>
      <c r="M131" s="3">
        <f>975.3+(56.6-511.4)+(-1.492209+(-0.086598--0.782442))+0-0-0</f>
        <v>519.70363499999996</v>
      </c>
      <c r="N131" s="3">
        <f>978.1+(84.9-501.6)+(-0.997662+(-0.086598--0.511632))+0-0-0</f>
        <v>560.82737199999997</v>
      </c>
      <c r="O131" s="3">
        <f>1017+(90-497.7)+(-0.51867+(-0.0459--0.253827))+0-0-0</f>
        <v>608.98925699999995</v>
      </c>
      <c r="P131" s="3">
        <f>1142.4+(91.3-545.6)+(0.582624+(0.046563-0.278256))+0-0-0</f>
        <v>688.45093100000008</v>
      </c>
      <c r="Q131" s="3">
        <f>1120.7+(136.8-516.4)+(0+(0-0))+0-0-0</f>
        <v>741.10000000000014</v>
      </c>
      <c r="R131" s="3">
        <f>1113.9+(167.9-492.4)+(0.568089+(0.085629-0.251124))+0-0-0</f>
        <v>789.80259400000011</v>
      </c>
      <c r="S131" s="3">
        <f>1115+(183.7-441.9)+(1.70595+(0.281061-0.676107))+0-0-0</f>
        <v>858.110904</v>
      </c>
      <c r="T131" s="3">
        <f>1114+(188.8-403.7)+(-0.56814+(-0.096288--0.205887))+0-0-0</f>
        <v>898.64145900000005</v>
      </c>
      <c r="U131" s="3">
        <f>1114+(179.5-401.7)+(-2.27256+(-0.36618--0.819468))+0-0-0</f>
        <v>889.980728</v>
      </c>
      <c r="V131" s="3">
        <f>1114+(168.6-418.7)+(-0.56814+(-0.085986--0.213537))+0-0-0</f>
        <v>863.45941099999993</v>
      </c>
      <c r="W131" s="3">
        <f>1097+(143-431.9)+(-2.79735+(-0.36465--1.101345))+0-0-0</f>
        <v>806.03934500000003</v>
      </c>
      <c r="X131" s="3">
        <f>940.2+(151.7-366.7)+(-0.959004+(-0.154734--0.374034))+0-0-0</f>
        <v>724.46029600000008</v>
      </c>
      <c r="Y131" s="3">
        <f>938.2+(109.1-388.8)+(-1.913928+(-0.222564--0.793152))+0-0-0</f>
        <v>657.15665999999999</v>
      </c>
      <c r="Z131" s="3">
        <f>1075.3+(84.9-450.1)+(-2.193612+(-0.173196--0.918204))+0-0-0</f>
        <v>708.65139599999986</v>
      </c>
      <c r="AA131" s="3">
        <f>1169.1+(111.2-435.1)+(-1.788723+(-0.170136--0.665703))+0-0-0</f>
        <v>843.90684399999986</v>
      </c>
      <c r="AB131" s="3">
        <f>1175.7+(128.7-423.2)+(-1.798821+(-0.196911--0.647496))+0-0-0</f>
        <v>879.851764</v>
      </c>
      <c r="AC131" s="3">
        <f>1231.2+(101.6-454)+(0+(0-0))+0-0-0</f>
        <v>878.80000000000007</v>
      </c>
      <c r="AD131">
        <v>863.3</v>
      </c>
      <c r="AE131" s="3">
        <f>1192+(126.6-455.3)+(0+(0-0))+0-0-0</f>
        <v>863.3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1335.9+(89.7-522.1)+(-2.725236+(-0.182988--1.065084))+0-0-0</f>
        <v>901.65686000000005</v>
      </c>
      <c r="G132" s="3">
        <f>1207.1+(113-476.2)+(-1.846863+(-0.17289--0.728586))+0-0-0</f>
        <v>842.60883299999989</v>
      </c>
      <c r="H132" s="3">
        <f>1128.5+(131.5-467.4)+(0+(0-0))+0-0-0</f>
        <v>792.6</v>
      </c>
      <c r="I132" s="3">
        <f>1117.2+(131.6-508.2)+(-2.279088+(-0.268464--1.036728))+0-0-0</f>
        <v>739.08917600000007</v>
      </c>
      <c r="J132" s="3">
        <f>1114+(138.1-557)+(-2.27256+(-0.281724--1.13628))+0-0-0</f>
        <v>693.68199600000003</v>
      </c>
      <c r="K132" s="3">
        <f>1114.7+(124.1-566.8)+(-2.842485+(-0.316455--1.44534))+0-0-0</f>
        <v>670.28640000000007</v>
      </c>
      <c r="L132" s="3">
        <f>1116.6+(82-596.2)+(-2.84733+(-0.2091--1.52031))+0-0-0</f>
        <v>600.86387999999988</v>
      </c>
      <c r="M132" s="3">
        <f>1140.2+(70.8-584.4)+(1.744506+(0.108324-0.894132))+0-0-0</f>
        <v>627.55869800000005</v>
      </c>
      <c r="N132" s="3">
        <f>1157.8+(69.2-521.2)+(-0.590478+(-0.035292--0.265812))+0-0-0</f>
        <v>705.44004199999995</v>
      </c>
      <c r="O132" s="3">
        <f>1178.3+(165.5-558.4)+(0+(0-0))+0-0-0</f>
        <v>785.4</v>
      </c>
      <c r="P132" s="3">
        <f>1253.9+(229.5-629.9)+(1.278978+(0.23409-0.642498))+0-0-0</f>
        <v>854.37057000000016</v>
      </c>
      <c r="Q132" s="3">
        <f>1270.6+(221.3-570.1)+(1.296012+(0.225726-0.581502))+0-0-0</f>
        <v>922.74023599999998</v>
      </c>
      <c r="R132" s="3">
        <f>1280.3+(233.1-565.3)+(1.305906+(0.237762-0.576606))+0-0-0</f>
        <v>949.06706200000008</v>
      </c>
      <c r="S132" s="3">
        <f>1365.6+(289.2-623.7)+(-0.696456+(-0.147492--0.318087))+0-0-0</f>
        <v>1030.5741389999998</v>
      </c>
      <c r="T132" s="3">
        <f>1380.1+(416.6-709.1)+(-1.407702+(-0.424932--0.723282))+0-0-0</f>
        <v>1086.490648</v>
      </c>
      <c r="U132" s="3">
        <f>1382.5+(416.4-719.8)+(2.115225+(0.637092-1.101294))+0-0-0</f>
        <v>1080.7510229999998</v>
      </c>
      <c r="V132" s="3">
        <f>1382.7+(379.3-704.1)+(0+(0-0))+0-0-0</f>
        <v>1057.9000000000001</v>
      </c>
      <c r="W132" s="3">
        <f>1331+(367.7-690)+(0.67881+(0.187527-0.3519))+0-0-0</f>
        <v>1009.2144370000001</v>
      </c>
      <c r="X132" s="3">
        <f>1330.9+(305.8-716.3)+(-2.036277+(-0.467874--1.095939))+0-0-0</f>
        <v>918.99178800000004</v>
      </c>
      <c r="Y132" s="3">
        <f>1433.9+(288.5-868.2)+(-1.462578+(-0.29427--0.885564))+0-0-0</f>
        <v>853.3287160000001</v>
      </c>
      <c r="Z132" s="3">
        <f>1486.2+(350.7-942.2)+(0.757962+(0.178857-0.480522))+0-0-0</f>
        <v>895.156297</v>
      </c>
      <c r="AA132" s="3">
        <f>1522.6+(336.5-807.7)+(-1.553052+(-0.34323--0.823854))+0-0-0</f>
        <v>1050.3275719999999</v>
      </c>
      <c r="AB132" s="3">
        <f>1497.8+(343.8-754.2)+(-1.527756+(-0.350676--0.769284))+0-0-0</f>
        <v>1086.2908519999999</v>
      </c>
      <c r="AC132" s="3">
        <f>1478.6+(351.8-764.5)+(1.508172+(0.358836-0.77979))+0-0-0</f>
        <v>1066.9872179999998</v>
      </c>
      <c r="AD132">
        <v>1063.3999999999999</v>
      </c>
      <c r="AE132" s="3">
        <f>1540+(333.6-810.2)+(0+(0-0))+0-0-0</f>
        <v>1063.4000000000001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1453.3+(322.3-778.7)+(-3.705915+(-0.821865--1.985685))+0-0-0</f>
        <v>994.35790499999985</v>
      </c>
      <c r="G133" s="3">
        <f>1468+(360-882)+(-2.24604+(-0.5508--1.34946))+0-0-0</f>
        <v>944.55262000000005</v>
      </c>
      <c r="H133" s="3">
        <f>1456.5+(385.5-972.2)+(-3.714075+(-0.983025--2.47911))+0-0-0</f>
        <v>867.58200999999997</v>
      </c>
      <c r="I133" s="3">
        <f>1459.6+(356.6-996.7)+(-2.977584+(-0.727464--2.033268))+0-0-0</f>
        <v>817.82821999999987</v>
      </c>
      <c r="J133" s="3">
        <f>1453.9+(284.6-977.1)+(-2.224467+(-0.435438--1.494963))+0-0-0</f>
        <v>760.23505800000009</v>
      </c>
      <c r="K133" s="3">
        <f>1312.1+(278.6-893.6)+(-2.007513+(-0.426258--1.367208))+0-0-0</f>
        <v>696.03343699999994</v>
      </c>
      <c r="L133" s="3">
        <f>1262.1+(181.5-842.6)+(-1.287342+(-0.18513--0.859452))+0-0-0</f>
        <v>600.38697999999988</v>
      </c>
      <c r="M133" s="3">
        <f>1355.4+(187.7-915.5)+(1.382508+(0.191454-0.93381))+0-0-0</f>
        <v>628.24015200000008</v>
      </c>
      <c r="N133" s="3">
        <f>1456.9+(231-984.1)+(-2.972076+(-0.47124--2.007564))+0-0-0</f>
        <v>702.36424800000009</v>
      </c>
      <c r="O133" s="3">
        <f>1463.8+(290.3-973.6)+(0.746538+(0.148053-0.496536))+0-0-0</f>
        <v>780.898055</v>
      </c>
      <c r="P133" s="3">
        <f>1450.6+(340.3-935.4)+(1.479612+(0.347106-0.954108))+0-0-0</f>
        <v>856.37261000000001</v>
      </c>
      <c r="Q133" s="3">
        <f>1458+(338.4-873.4)+(2.23074+(0.517752-1.336302))+0-0-0</f>
        <v>924.41219000000001</v>
      </c>
      <c r="R133" s="3">
        <f>1457.3+(332.6-790.9)+(0.743223+(0.169626-0.403359))+0-0-0</f>
        <v>999.50949000000003</v>
      </c>
      <c r="S133" s="3">
        <f>1456.2+(357.3-689.6)+(-0.742662+(-0.182223--0.351696))+0-0-0</f>
        <v>1123.3268110000001</v>
      </c>
      <c r="T133" s="3">
        <f>1455+(393.3-664.7)+(0+(0-0))+0-0-0</f>
        <v>1183.5999999999999</v>
      </c>
      <c r="U133" s="3">
        <f>1460.3+(397.3-665.5)+(-2.234259+(-0.607869--1.018215))+0-0-0</f>
        <v>1190.276087</v>
      </c>
      <c r="V133" s="3">
        <f>1453.1+(400.8-704.1)+(-1.482162+(-0.408816--0.718182))+0-0-0</f>
        <v>1148.6272039999999</v>
      </c>
      <c r="W133" s="3">
        <f>1445.2+(363.6-692.6)+(-0.737052+(-0.185436--0.353226))+0-0-0</f>
        <v>1115.6307380000001</v>
      </c>
      <c r="X133" s="3">
        <f>1461.4+(351.9-774.7)+(-1.490628+(-0.358938--0.790194))+0-0-0</f>
        <v>1037.540628</v>
      </c>
      <c r="Y133" s="3">
        <f>1466.7+(237.3-762.4)+(1.496034+(0.242046-0.777648))+0-0-0</f>
        <v>942.56043200000011</v>
      </c>
      <c r="Z133" s="3">
        <f>1489.3+(330.3-858.7)+(-0.759543+(-0.168453--0.437937))+0-0-0</f>
        <v>960.40994099999989</v>
      </c>
      <c r="AA133" s="3">
        <f>1514.4+(332.2-717.4)+(-3.86172+(-0.84711--1.82937))+0-0-0</f>
        <v>1126.3205399999999</v>
      </c>
      <c r="AB133" s="3">
        <f>1508.4+(305.4-673.5)+(0.769284+(0.155754-0.343485))+0-0-0</f>
        <v>1140.8815530000002</v>
      </c>
      <c r="AC133" s="3">
        <f>1505.7+(308.2-683.2)+(-0.767907+(-0.157182--0.348432))+0-0-0</f>
        <v>1130.123343</v>
      </c>
      <c r="AD133">
        <v>1132.3000000000002</v>
      </c>
      <c r="AE133" s="3">
        <f>1523+(333.2-723.9)+(0+(0-0))+0-0-0</f>
        <v>1132.3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1500.4+(294.8-712.5)+(-3.82602+(-0.75174--1.816875))+0-0-0</f>
        <v>1079.9391150000001</v>
      </c>
      <c r="G134" s="3">
        <f>1502.6+(257.5-747.3)+(-3.065304+(-0.5253--1.524492))+0-0-0</f>
        <v>1010.733888</v>
      </c>
      <c r="H134" s="3">
        <f>1499.3+(227.5-780.4)+(-5.352501+(-0.812175--2.786028))+0-0-0</f>
        <v>943.02135199999998</v>
      </c>
      <c r="I134" s="3">
        <f>1500.8+(202.9-800.6)+(-0.765408+(-0.103479--0.408306))+0-0-0</f>
        <v>902.63941899999986</v>
      </c>
      <c r="J134" s="3">
        <f>1477.3+(179.6-796.7)+(-0.753423+(-0.091596--0.406317))+0-0-0</f>
        <v>859.7612979999999</v>
      </c>
      <c r="K134" s="3">
        <f>1274.6+(138.2-650.6)+(-0.650046+(-0.070482--0.331806))+0-0-0</f>
        <v>761.81127799999979</v>
      </c>
      <c r="L134" s="3">
        <f>1232+(137-727.3)+(-1.25664+(-0.13974--0.741846))+0-0-0</f>
        <v>641.04546600000003</v>
      </c>
      <c r="M134" s="3">
        <f>1242.1+(129.2-727.8)+(1.900413+(0.197676-1.113534))+0-0-0</f>
        <v>644.484555</v>
      </c>
      <c r="N134" s="3">
        <f>1324.2+(155.6-765.7)+(-0.675342+(-0.079356--0.390507))+0-0-0</f>
        <v>713.73580900000002</v>
      </c>
      <c r="O134" s="3">
        <f>1412.6+(256.7-892.8)+(2.161278+(0.392751-1.365984))+0-0-0</f>
        <v>777.68804499999999</v>
      </c>
      <c r="P134" s="3">
        <f>1392.2+(270.4-804.9)+(1.420044+(0.275808-0.820998))+0-0-0</f>
        <v>858.57485400000007</v>
      </c>
      <c r="Q134" s="3">
        <f>1391.6+(269.1-708.3)+(1.419432+(0.274482-0.722466))+0-0-0</f>
        <v>953.37144799999999</v>
      </c>
      <c r="R134" s="3">
        <f>1386.9+(283.8-634.8)+(0+(0-0))+0-0-0</f>
        <v>1035.9000000000001</v>
      </c>
      <c r="S134" s="3">
        <f>1381.6+(317.4-548.5)+(-0.704616+(-0.161874--0.279735))+0-0-0</f>
        <v>1149.913245</v>
      </c>
      <c r="T134" s="3">
        <f>1383.1+(340.4-545.2)+(-1.410762+(-0.347208--0.556104))+0-0-0</f>
        <v>1177.0981339999996</v>
      </c>
      <c r="U134" s="3">
        <f>1375.5+(320.7-546.8)+(-2.80602+(-0.654228--1.115472))+0-0-0</f>
        <v>1147.0552240000002</v>
      </c>
      <c r="V134" s="3">
        <f>1369.3+(309.1-562)+(-0.698343+(-0.157641--0.28662))+0-0-0</f>
        <v>1115.8306360000001</v>
      </c>
      <c r="W134" s="3">
        <f>1355.6+(308.1-613)+(-1.382712+(-0.314262--0.62526))+0-0-0</f>
        <v>1049.6282859999999</v>
      </c>
      <c r="X134" s="3">
        <f>1377.4+(308.8-713.9)+(-2.107422+(-0.472464--1.092267))+0-0-0</f>
        <v>970.81238100000019</v>
      </c>
      <c r="Y134" s="3">
        <f>1443.9+(234.4-734.7)+(1.472778+(0.239088-0.749394))+0-0-0</f>
        <v>944.56247200000007</v>
      </c>
      <c r="Z134" s="3">
        <f>1470.8+(357.1-822.6)+(0.750108+(0.182121-0.419526))+0-0-0</f>
        <v>1005.8127029999999</v>
      </c>
      <c r="AA134" s="3">
        <f>1491.6+(350.1-688.4)+(-0.760716+(-0.178551--0.351084))+0-0-0</f>
        <v>1152.7118169999999</v>
      </c>
      <c r="AB134" s="3">
        <f>1496.5+(323.4-694.8)+(-1.52643+(-0.329868--0.708696))+0-0-0</f>
        <v>1123.9523979999999</v>
      </c>
      <c r="AC134" s="3">
        <f>1497.3+(261.5-667.8)+(0.763623+(0.133365-0.340578))+0-0-0</f>
        <v>1091.5564099999999</v>
      </c>
      <c r="AD134">
        <v>1156</v>
      </c>
      <c r="AE134" s="3">
        <f>1490.6+(351.4-686)+(0+(0-0))+0-0-0</f>
        <v>1156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1334.9+(262.2-628.1)+(0.680799+(0.133722-0.320331))+0-0-0</f>
        <v>969.49419</v>
      </c>
      <c r="G135" s="3">
        <f>1284.9+(264.8-694.1)+(-2.621196+(-0.540192--1.415964))+0-0-0</f>
        <v>853.85457600000018</v>
      </c>
      <c r="H135" s="3">
        <f>1235.5+(239.7-742.3)+(-0.630105+(-0.122247--0.378573))+0-0-0</f>
        <v>732.52622100000008</v>
      </c>
      <c r="I135" s="3">
        <f>1233.7+(269.1-827)+(1.887561+(0.411723-1.26531))+0-0-0</f>
        <v>676.83397400000001</v>
      </c>
      <c r="J135" s="3">
        <f>1234.4+(270.4-848)+(-0.629544+(-0.137904--0.43248))+0-0-0</f>
        <v>656.46503200000006</v>
      </c>
      <c r="K135" s="3">
        <f>1234.6+(223.1-738)+(0+(0-0))+0-0-0</f>
        <v>719.69999999999993</v>
      </c>
      <c r="L135" s="3">
        <f>1188.1+(131.1-699.6)+(-1.211862+(-0.133722--0.713592))+0-0-0</f>
        <v>618.96800799999994</v>
      </c>
      <c r="M135" s="3">
        <f>1208.2+(133.8-710.3)+(0+(0-0))+0-0-0</f>
        <v>631.70000000000005</v>
      </c>
      <c r="N135" s="3">
        <f>1314.4+(157.5-715.9)+(0.670344+(0.080325-0.365109))+0-0-0</f>
        <v>756.38556000000017</v>
      </c>
      <c r="O135" s="3">
        <f>1385.7+(253-872.8)+(2.826828+(0.51612-1.780512))+0-0-0</f>
        <v>767.46243600000014</v>
      </c>
      <c r="P135" s="3">
        <f>1381.9+(292.5-820)+(1.409538+(0.29835-0.8364))+0-0-0</f>
        <v>855.27148800000009</v>
      </c>
      <c r="Q135" s="3">
        <f>1357.7+(307.7-758.1)+(1.384854+(0.313854-0.773262))+0-0-0</f>
        <v>908.22544599999992</v>
      </c>
      <c r="R135" s="3">
        <f>1349.9+(322-667.2)+(-2.065347+(-0.49266--1.020816))+0-0-0</f>
        <v>1003.162809</v>
      </c>
      <c r="S135" s="3">
        <f>1359+(325.5-566.9)+(-1.38618+(-0.33201--0.578238))+0-0-0</f>
        <v>1116.4600479999999</v>
      </c>
      <c r="T135" s="3">
        <f>1375.3+(316.2-520.5)+(0+(0-0))+0-0-0</f>
        <v>1171</v>
      </c>
      <c r="U135" s="3">
        <f>1366.9+(325.3-532.6)+(-1.394238+(-0.331806--0.543252))+0-0-0</f>
        <v>1158.4172080000001</v>
      </c>
      <c r="V135" s="3">
        <f>1372.6+(301-552.1)+(2.100078+(0.46053-0.844713))+0-0-0</f>
        <v>1123.215895</v>
      </c>
      <c r="W135" s="3">
        <f>1350.2+(313.1-612.7)+(-2.065806+(-0.479043--0.937431))+0-0-0</f>
        <v>1048.9925819999999</v>
      </c>
      <c r="X135" s="3">
        <f>1346.7+(321.3-698.8)+(-2.747268+(-0.655452--1.425552))+0-0-0</f>
        <v>967.22283200000004</v>
      </c>
      <c r="Y135" s="3">
        <f>1371.2+(335.8-801.4)+(0.699312+(0.171258-0.408714))+0-0-0</f>
        <v>906.06185600000015</v>
      </c>
      <c r="Z135" s="3">
        <f>1401.3+(388.1-758.9)+(0.714663+(0.197931-0.387039))+0-0-0</f>
        <v>1031.0255549999999</v>
      </c>
      <c r="AA135" s="3">
        <f>1423.2+(352.4-607.5)+(-3.62916+(-0.89862--1.549125))+0-0-0</f>
        <v>1165.121345</v>
      </c>
      <c r="AB135" s="3">
        <f>1438.2+(341.4-639.2)+(-1.466964+(-0.348228--0.651984))+0-0-0</f>
        <v>1139.2367920000002</v>
      </c>
      <c r="AC135" s="3">
        <f>1426.1+(340.9-652.4)+(-0.727311+(-0.173859--0.332724))+0-0-0</f>
        <v>1114.0315539999999</v>
      </c>
      <c r="AD135">
        <v>1174.8</v>
      </c>
      <c r="AE135" s="3">
        <f>1420+(364.6-609.8)+(0+(0-0))+0-0-0</f>
        <v>1174.8000000000002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1415.6+(317.7-627.8)+(-0.721956+(-0.162027--0.320178))+0-0-0</f>
        <v>1104.936195</v>
      </c>
      <c r="G136" s="3">
        <f>1400.5+(351.7-720.9)+(-3.571275+(-0.896835--1.838295))+0-0-0</f>
        <v>1028.6701849999999</v>
      </c>
      <c r="H136" s="3">
        <f>1409.6+(307.8-765.6)+(-1.437792+(-0.313956--0.780912))+0-0-0</f>
        <v>950.82916399999999</v>
      </c>
      <c r="I136" s="3">
        <f>1422.7+(297.8-825.9)+(0.725577+(0.151878-0.421209))+0-0-0</f>
        <v>895.0562460000001</v>
      </c>
      <c r="J136" s="3">
        <f>1413.3+(282.7-834.4)+(-0.720783+(-0.144177--0.425544))+0-0-0</f>
        <v>861.16058399999986</v>
      </c>
      <c r="K136" s="3">
        <f>1413.2+(174.8-820)+(-0.720732+(-0.089148--0.4182))+0-0-0</f>
        <v>767.60832000000005</v>
      </c>
      <c r="L136" s="3">
        <f>1402.8+(104.7-832.4)+(-2.146284+(-0.160191--1.273572))+0-0-0</f>
        <v>674.06709699999999</v>
      </c>
      <c r="M136" s="3">
        <f>1410+(74.9-819.8)+(0.7191+(0.038199-0.418098))+0-0-0</f>
        <v>665.43920100000003</v>
      </c>
      <c r="N136" s="3">
        <f>1415.1+(143.5-802.4)+(0+(0-0))+0-0-0</f>
        <v>756.19999999999993</v>
      </c>
      <c r="O136" s="3">
        <f>1400.2+(297.5-858.4)+(2.142306+(0.455175-1.313352))+0-0-0</f>
        <v>840.58412900000008</v>
      </c>
      <c r="P136" s="3">
        <f>1380+(314.4-787)+(1.4076+(0.320688-0.80274))+0-0-0</f>
        <v>908.32554800000003</v>
      </c>
      <c r="Q136" s="3">
        <f>1362.5+(302.9-738.1)+(2.084625+(0.463437-1.129293))+0-0-0</f>
        <v>928.71876899999995</v>
      </c>
      <c r="R136" s="3">
        <f>1362+(296.3-585.3)+(-0.69462+(-0.151113--0.298503))+0-0-0</f>
        <v>1072.4527700000001</v>
      </c>
      <c r="S136" s="3">
        <f>1371.8+(310.1-514.2)+(-0.699618+(-0.158151--0.262242))+0-0-0</f>
        <v>1167.1044729999999</v>
      </c>
      <c r="T136" s="3">
        <f>1365.8+(334.3-474.6)+(0.696558+(0.170493-0.242046))+0-0-0</f>
        <v>1226.1250050000001</v>
      </c>
      <c r="U136" s="3">
        <f>1338.4+(341.9-476.8)+(0.682584+(0.174369-0.243168))+0-0-0</f>
        <v>1204.113785</v>
      </c>
      <c r="V136" s="3">
        <f>1322.6+(317.1-472.9)+(-0.674526+(-0.161721--0.241179))+0-0-0</f>
        <v>1166.2049319999999</v>
      </c>
      <c r="W136" s="3">
        <f>1322.6+(306-535.2)+(-2.023578+(-0.46818--0.818856))+0-0-0</f>
        <v>1091.7270979999998</v>
      </c>
      <c r="X136" s="3">
        <f>1341.4+(297.7-652)+(-0.684114+(-0.151827--0.33252))+0-0-0</f>
        <v>986.59657900000013</v>
      </c>
      <c r="Y136" s="3">
        <f>1358.6+(313.2-743.2)+(-1.385772+(-0.319464--0.758064))+0-0-0</f>
        <v>927.65282799999989</v>
      </c>
      <c r="Z136" s="3">
        <f>1374.6+(367-668.5)+(-1.402092+(-0.37434--0.68187))+0-0-0</f>
        <v>1072.0054379999999</v>
      </c>
      <c r="AA136" s="3">
        <f>1419+(354.8-571.1)+(-2.17107+(-0.542844--0.873783))+0-0-0</f>
        <v>1200.8598690000001</v>
      </c>
      <c r="AB136" s="3">
        <f>1442.2+(363-636.3)+(0.735522+(0.18513-0.324513))+0-0-0</f>
        <v>1169.4961390000001</v>
      </c>
      <c r="AC136" s="3">
        <f>1449.2+(372.3-666.7)+(-0.739092+(-0.189873--0.340017))+0-0-0</f>
        <v>1154.2110519999999</v>
      </c>
      <c r="AD136">
        <v>1133.3</v>
      </c>
      <c r="AE136" s="3">
        <f>1377+(355.3-599)+(0+(0-0))+0-0-0</f>
        <v>1133.3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1455.1+(316.9-709.7)+(0+(0-0))+0-0-0</f>
        <v>1062.2999999999997</v>
      </c>
      <c r="G137" s="3">
        <f>1454.3+(290.8-763.2)+(-0.741693+(-0.148308--0.389232))+0-0-0</f>
        <v>981.39923099999987</v>
      </c>
      <c r="H137" s="3">
        <f>1453.1+(287-825.3)+(-1.482162+(-0.29274--0.841806))+0-0-0</f>
        <v>913.86690399999998</v>
      </c>
      <c r="I137" s="3">
        <f>1446.3+(281.3-867.1)+(-1.475226+(-0.286926--0.884442))+0-0-0</f>
        <v>859.62229000000002</v>
      </c>
      <c r="J137" s="3">
        <f>1452.9+(270.1-884.3)+(-2.963916+(-0.551004--1.803972))+0-0-0</f>
        <v>836.98905200000013</v>
      </c>
      <c r="K137" s="3">
        <f>1451.5+(242.9-933)+(-2.96106+(-0.495516--1.90332))+0-0-0</f>
        <v>759.84674399999994</v>
      </c>
      <c r="L137" s="3">
        <f>1448.2+(155.5-942.1)+(-2.954328+(-0.31722--1.921884))+0-0-0</f>
        <v>660.25033600000006</v>
      </c>
      <c r="M137" s="3">
        <f>1448.8+(156.6-958.3)+(3.69444+(0.39933-2.443665))+0-0-0</f>
        <v>648.75010500000008</v>
      </c>
      <c r="N137" s="3">
        <f>1432.1+(201.4-901.2)+(1.460742+(0.205428-0.919224))+0-0-0</f>
        <v>733.04694599999982</v>
      </c>
      <c r="O137" s="3">
        <f>1412.5+(304.1-893.5)+(1.44075+(0.310182-0.91137))+0-0-0</f>
        <v>823.93956200000002</v>
      </c>
      <c r="P137" s="3">
        <f>1396.7+(318.6-822.1)+(2.136951+(0.487458-1.257813))+0-0-0</f>
        <v>894.566596</v>
      </c>
      <c r="Q137" s="3">
        <f>1402.5+(310.1-759.1)+(2.8611+(0.632604-1.548564))+0-0-0</f>
        <v>955.44514000000004</v>
      </c>
      <c r="R137" s="3">
        <f>1405.4+(304.6-695.6)+(1.433508+(0.310692-0.709512))+0-0-0</f>
        <v>1015.4346880000001</v>
      </c>
      <c r="S137" s="3">
        <f>1403.3+(319.4-608)+(-0.715683+(-0.162894--0.31008))+0-0-0</f>
        <v>1114.1315029999998</v>
      </c>
      <c r="T137" s="3">
        <f>1399.8+(324.7-562.8)+(-0.713898+(-0.165597--0.287028))+0-0-0</f>
        <v>1161.1075330000001</v>
      </c>
      <c r="U137" s="3">
        <f>1397.4+(321.8-586.6)+(-2.850696+(-0.656472--1.196664))+0-0-0</f>
        <v>1130.2894960000001</v>
      </c>
      <c r="V137" s="3">
        <f>1399.2+(313.8-634.2)+(0.713592+(0.160038-0.323442))+0-0-0</f>
        <v>1079.3501879999999</v>
      </c>
      <c r="W137" s="3">
        <f>1402+(311.7-719.6)+(-2.14506+(-0.476901--1.100988))+0-0-0</f>
        <v>992.57902699999988</v>
      </c>
      <c r="X137" s="3">
        <f>1405.6+(294.9-802.4)+(-1.433712+(-0.300798--0.818448))+0-0-0</f>
        <v>897.1839379999999</v>
      </c>
      <c r="Y137" s="3">
        <f>1413.3+(246.5-811.1)+(0+(0-0))+0-0-0</f>
        <v>848.69999999999993</v>
      </c>
      <c r="Z137" s="3">
        <f>1454+(305-759.7)+(-1.48308+(-0.3111--0.774894))+0-0-0</f>
        <v>998.28071399999999</v>
      </c>
      <c r="AA137" s="3">
        <f>1454.8+(331.3-690.1)+(-3.70974+(-0.844815--1.759755))+0-0-0</f>
        <v>1093.2052000000001</v>
      </c>
      <c r="AB137" s="3">
        <f>1455.8+(331.4-719.7)+(-1.484916+(-0.338028--0.734094))+0-0-0</f>
        <v>1066.4111499999999</v>
      </c>
      <c r="AC137" s="3">
        <f>1441.7+(344.3-719.3)+(-1.470534+(-0.351186--0.733686))+0-0-0</f>
        <v>1065.6119659999999</v>
      </c>
      <c r="AD137">
        <v>1104.6999999999998</v>
      </c>
      <c r="AE137" s="3">
        <f>1454+(337.3-686.6)+(0+(0-0))+0-0-0</f>
        <v>1104.7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1410.7+(297.4-657.1)+(-0.719457+(-0.151674--0.335121))+0-0-0</f>
        <v>1050.46399</v>
      </c>
      <c r="G138" s="3">
        <f>1400.7+(286.4-680.4)+(-1.428714+(-0.292128--0.694008))+0-0-0</f>
        <v>1005.673166</v>
      </c>
      <c r="H138" s="3">
        <f>1383.1+(277.3-711.4)+(-4.232286+(-0.848538--2.176884))+0-0-0</f>
        <v>946.09605999999997</v>
      </c>
      <c r="I138" s="3">
        <f>1406.1+(267.1-763.9)+(1.434222+(0.272442-0.779178))+0-0-0</f>
        <v>910.227486</v>
      </c>
      <c r="J138" s="3">
        <f>1392.2+(258.3-758.8)+(-0.710022+(-0.131733--0.386988))+0-0-0</f>
        <v>891.2452330000001</v>
      </c>
      <c r="K138" s="3">
        <f>1386.1+(209-784.8)+(-0.706911+(-0.10659--0.400248))+0-0-0</f>
        <v>809.8867469999999</v>
      </c>
      <c r="L138" s="3">
        <f>1372.1+(166.5-830.8)+(-2.799084+(-0.33966--1.694832))+0-0-0</f>
        <v>706.356088</v>
      </c>
      <c r="M138" s="3">
        <f>1373.5+(147.3-862.4)+(-2.80194+(-0.300492--1.759296))+0-0-0</f>
        <v>657.05686400000013</v>
      </c>
      <c r="N138" s="3">
        <f>1385.9+(186.9-924.3)+(0+(0-0))+0-0-0</f>
        <v>648.50000000000011</v>
      </c>
      <c r="O138" s="3">
        <f>1388.1+(208.5-937.6)+(0+(0-0))+0-0-0</f>
        <v>658.99999999999989</v>
      </c>
      <c r="P138" s="3">
        <f>1385.5+(232.2-947.4)+(-1.41321+(-0.236844--0.966348))+0-0-0</f>
        <v>669.61629399999993</v>
      </c>
      <c r="Q138" s="3">
        <f>1397.3+(288.2-1002.2)+(1.425246+(0.293964-1.022244))+0-0-0</f>
        <v>683.99696599999993</v>
      </c>
      <c r="R138" s="3">
        <f>1411.6+(275.9-985.4)+(-1.439832+(-0.281418--1.005108))+0-0-0</f>
        <v>701.38385799999992</v>
      </c>
      <c r="S138" s="3">
        <f>1437.2+(250-953.3)+(0.732972+(0.1275-0.486183))+0-0-0</f>
        <v>734.27428900000007</v>
      </c>
      <c r="T138" s="3">
        <f>1451.9+(315.9-1042.1)+(-0.740469+(-0.161109--0.531471))+0-0-0</f>
        <v>725.3298930000002</v>
      </c>
      <c r="U138" s="3">
        <f>1464.7+(333.1-1094.2)+(-0.746997+(-0.169881--0.558042))+0-0-0</f>
        <v>703.24116400000003</v>
      </c>
      <c r="V138" s="3">
        <f>1465.6+(322.2-1109.7)+(0+(0-0))+0-0-0</f>
        <v>678.09999999999991</v>
      </c>
      <c r="W138" s="3">
        <f>1469.4+(326.7-1132.4)+(-2.997576+(-0.666468--2.310096))+0-0-0</f>
        <v>662.3460520000001</v>
      </c>
      <c r="X138" s="3">
        <f>1454.3+(238.6-1050.5)+(-1.483386+(-0.243372--1.07151))+0-0-0</f>
        <v>641.74475199999995</v>
      </c>
      <c r="Y138" s="3">
        <f>1422.9+(248.5-1007.7)+(-1.451358+(-0.25347--1.027854))+0-0-0</f>
        <v>663.02302600000007</v>
      </c>
      <c r="Z138" s="3">
        <f>1427.3+(367.7-1019.8)+(-1.455846+(-0.375054--1.040196))+0-0-0</f>
        <v>774.40929600000004</v>
      </c>
      <c r="AA138" s="3">
        <f>1427.6+(354.5-950.9)+(-2.184228+(-0.542385--1.454877))+0-0-0</f>
        <v>829.9282639999999</v>
      </c>
      <c r="AB138" s="3">
        <f>1426.6+(354.1-962.7)+(-1.455132+(-0.361182--0.981954))+0-0-0</f>
        <v>817.16563999999994</v>
      </c>
      <c r="AC138" s="3">
        <f>1429.8+(368.5-997.1)+(0.729198+(0.187935-0.508521))+0-0-0</f>
        <v>801.60861199999988</v>
      </c>
      <c r="AD138">
        <v>809.89999999999986</v>
      </c>
      <c r="AE138" s="3">
        <f>1422+(346.1-958.2)+(0+(0-0))+0-0-0</f>
        <v>809.9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1407.9+(357.7-951.5)+(0+(0-0))+0-0-0</f>
        <v>814.10000000000014</v>
      </c>
      <c r="G139" s="3">
        <f>1400.1+(339.9-967.7)+(-0.714051+(-0.173349--0.493527))+0-0-0</f>
        <v>771.90612699999986</v>
      </c>
      <c r="H139" s="3">
        <f>1399.5+(316.2-992)+(-0.713745+(-0.161262--0.50592))+0-0-0</f>
        <v>723.33091300000001</v>
      </c>
      <c r="I139" s="3">
        <f>1341+(322.2-975.9)+(-1.36782+(-0.328644--0.995418))+0-0-0</f>
        <v>686.59895399999994</v>
      </c>
      <c r="J139" s="3">
        <f>1262.2+(308.6-904.2)+(-1.931166+(-0.472158--1.383426))+0-0-0</f>
        <v>665.58010200000001</v>
      </c>
      <c r="K139" s="3">
        <f>1262.2+(212-860.2)+(-1.931166+(-0.32436--1.316106))+0-0-0</f>
        <v>613.06057999999996</v>
      </c>
      <c r="L139" s="3">
        <f>1262.4+(177.8-882.7)+(-0.643824+(-0.090678--0.450177))+0-0-0</f>
        <v>557.21567500000003</v>
      </c>
      <c r="M139" s="3">
        <f>1399.4+(157.4-1007.3)+(1.427388+(0.160548-1.027446))+0-0-0</f>
        <v>550.06049000000007</v>
      </c>
      <c r="N139" s="3">
        <f>1431.1+(157.6-993.3)+(2.189583+(0.241128-1.519749))+0-0-0</f>
        <v>596.31096200000002</v>
      </c>
      <c r="O139" s="3">
        <f>1419.5+(321.5-1074.4)+(0.723945+(0.163965-0.547944))+0-0-0</f>
        <v>666.93996599999991</v>
      </c>
      <c r="P139" s="3">
        <f>1449.8+(352.9-1072.9)+(0+(0-0))+0-0-0</f>
        <v>729.79999999999984</v>
      </c>
      <c r="Q139" s="3">
        <f>1461.7+(341.7-1065.7)+(0.745467+(0.174267-0.543507))+0-0-0</f>
        <v>738.07622700000002</v>
      </c>
      <c r="R139" s="3">
        <f>1447.4+(332.7-1048.5)+(0.738174+(0.169677-0.534735))+0-0-0</f>
        <v>731.97311600000012</v>
      </c>
      <c r="S139" s="3">
        <f>1440+(352.2-1055.7)+(-0.7344+(-0.179622--0.538407))+0-0-0</f>
        <v>736.12438499999996</v>
      </c>
      <c r="T139" s="3">
        <f>1440+(366.4-1068.7)+(0.7344+(0.186864-0.545037))+0-0-0</f>
        <v>738.0762269999999</v>
      </c>
      <c r="U139" s="3">
        <f>1426.4+(365-1036.5)+(-2.182392+(-0.55845--1.585845))+0-0-0</f>
        <v>753.74500300000011</v>
      </c>
      <c r="V139" s="3">
        <f>1431.5+(355.2-1042.2)+(-0.730065+(-0.181152--0.531522))+0-0-0</f>
        <v>744.12030500000003</v>
      </c>
      <c r="W139" s="3">
        <f>1432.4+(353.5-1057.2)+(-2.922096+(-0.72114--2.156688))+0-0-0</f>
        <v>727.21345200000007</v>
      </c>
      <c r="X139" s="3">
        <f>1419.7+(343.2-1048.8)+(0+(0-0))+0-0-0</f>
        <v>714.10000000000014</v>
      </c>
      <c r="Y139" s="3">
        <f>1428.1+(377.9-1061.7)+(2.184993+(0.578187-1.624401))+0-0-0</f>
        <v>745.43877899999984</v>
      </c>
      <c r="Z139" s="3">
        <f>1462.7+(413.2-1005.7)+(0.745977+(0.210732-0.512907))+0-0-0</f>
        <v>870.64380200000005</v>
      </c>
      <c r="AA139" s="3">
        <f>1471.7+(376.3-938.3)+(-2.251701+(-0.575739--1.435599))+0-0-0</f>
        <v>908.30815900000005</v>
      </c>
      <c r="AB139" s="3">
        <f>1463.2+(370.5-965.6)+(2.238696+(0.566865-1.477368))+0-0-0</f>
        <v>869.42819300000008</v>
      </c>
      <c r="AC139" s="3">
        <f>1416.6+(378.1-951.1)+(-0.722466+(-0.192831--0.485061))+0-0-0</f>
        <v>843.16976399999987</v>
      </c>
      <c r="AD139">
        <v>916.69999999999993</v>
      </c>
      <c r="AE139" s="3">
        <f>1463+(395.1-941.4)+(0+(0-0))+0-0-0</f>
        <v>916.7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1418+(332.9-909.5)+(0.72318+(0.169779-0.463845))+0-0-0</f>
        <v>841.829114</v>
      </c>
      <c r="G140" s="3">
        <f>1410.4+(306.2-945.5)+(0+(0-0))+0-0-0</f>
        <v>771.10000000000014</v>
      </c>
      <c r="H140" s="3">
        <f>1421.4+(320.4-1029.5)+(2.174742+(0.490212-1.575135))+0-0-0</f>
        <v>713.3898190000001</v>
      </c>
      <c r="I140" s="3">
        <f>1407.3+(310.4-1026.1)+(0+(0-0))+0-0-0</f>
        <v>691.6</v>
      </c>
      <c r="J140" s="3">
        <f>1415+(327.5-1065.9)+(0.72165+(0.167025-0.543609))+0-0-0</f>
        <v>676.94506599999988</v>
      </c>
      <c r="K140" s="3">
        <f>1406.3+(279.9-1061)+(-0.717213+(-0.142749--0.54111))+0-0-0</f>
        <v>624.88114799999994</v>
      </c>
      <c r="L140" s="3">
        <f>1384.1+(234.2-1051.2)+(-4.941237+(-0.836094--3.752784))+0-0-0</f>
        <v>565.07545299999992</v>
      </c>
      <c r="M140" s="3">
        <f>1404.5+(228.8-1076.7)+(0.716295+(0.116688-0.549117))+0-0-0</f>
        <v>556.8838659999999</v>
      </c>
      <c r="N140" s="3">
        <f>1408.3+(245.6-1051)+(1.436466+(0.250512-1.07202))+0-0-0</f>
        <v>603.51495799999998</v>
      </c>
      <c r="O140" s="3">
        <f>1407.2+(272.3-1051)+(0.717672+(0.138873-0.53601))+0-0-0</f>
        <v>628.82053499999995</v>
      </c>
      <c r="P140" s="3">
        <f>1405.8+(328.4-1080.9)+(1.433916+(0.334968-1.102518))+0-0-0</f>
        <v>653.96636599999988</v>
      </c>
      <c r="Q140" s="3">
        <f>1405.4+(349.3-1066.6)+(-0.716754+(-0.178143--0.543966))+0-0-0</f>
        <v>687.74906900000019</v>
      </c>
      <c r="R140" s="3">
        <f>1472.5+(342-1116.6)+(0+(0-0))+0-0-0</f>
        <v>697.90000000000009</v>
      </c>
      <c r="S140" s="3">
        <f>1474.4+(347.6-1133.5)+(-3.75972+(-0.88638--2.890425))+0-0-0</f>
        <v>686.74432500000012</v>
      </c>
      <c r="T140" s="3">
        <f>1472.3+(352-1156.1)+(-1.501746+(-0.35904--1.179222))+0-0-0</f>
        <v>667.51843600000007</v>
      </c>
      <c r="U140" s="3">
        <f>1465.3+(347.6-1169.2)+(-0.747303+(-0.177276--0.596292))+0-0-0</f>
        <v>643.37171299999989</v>
      </c>
      <c r="V140" s="3">
        <f>1463.9+(331.3-1157.8)+(2.239767+(0.506889-1.771434))+0-0-0</f>
        <v>638.37522200000012</v>
      </c>
      <c r="W140" s="3">
        <f>1463.9+(326-1151.5)+(-0.746589+(-0.16626--0.587265))+0-0-0</f>
        <v>638.07441600000004</v>
      </c>
      <c r="X140" s="3">
        <f>1464.5+(340.4-1149.6)+(-2.98758+(-0.694416--2.345184))+3.1-0-0</f>
        <v>657.06318800000008</v>
      </c>
      <c r="Y140" s="3">
        <f>1471.9+(367.8-1153.1)+(-2.252007+(-0.562734--1.764243))+0-0-0</f>
        <v>685.54950200000019</v>
      </c>
      <c r="Z140" s="3">
        <f>1479.8+(376.3-1079)+(-0.754698+(-0.191913--0.55029))+0-0-0</f>
        <v>776.70367899999997</v>
      </c>
      <c r="AA140" s="3">
        <f>1484.6+(317.9-1006.7)+(-3.028584+(-0.648516--2.053668))+0-0-0</f>
        <v>794.17656799999986</v>
      </c>
      <c r="AB140" s="3">
        <f>1478.8+(274.7-994.7)+(-1.508376+(-0.280194--1.014594))+0-0-0</f>
        <v>758.02602400000001</v>
      </c>
      <c r="AC140" s="3">
        <f>1474.6+(263.9-1008.4)+(0+(0-0))+0-0-0</f>
        <v>730.09999999999991</v>
      </c>
      <c r="AD140">
        <v>759.39999999999986</v>
      </c>
      <c r="AE140" s="3">
        <f>1482+(351.3-1073.9)+(0+(0-0))+0-0-0</f>
        <v>759.39999999999986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1405.7+(234.2-992.3)+(-4.301442+(-0.716652--3.036438))+0-0-0</f>
        <v>645.61834400000009</v>
      </c>
      <c r="G141" s="3">
        <f>1407.5+(174.6-990.8)+(-3.589125+(-0.44523--2.52654))+0-0-0</f>
        <v>589.79218500000002</v>
      </c>
      <c r="H141" s="3">
        <f>1426+(174.1-1044.9)+(-0.72726+(-0.088791--0.532899))+0-0-0</f>
        <v>554.91684799999996</v>
      </c>
      <c r="I141" s="3">
        <f>1427.3+(176.6-1058.8)+(0.727923+(0.090066-0.539988))+0-0-0</f>
        <v>545.37800100000004</v>
      </c>
      <c r="J141" s="3">
        <f>1419.3+(162-1035.7)+(-1.447686+(-0.16524--1.056414))+0-0-0</f>
        <v>545.04348799999991</v>
      </c>
      <c r="K141" s="3">
        <f>1414.4+(168.4-1065.6)+(-2.164032+(-0.257652--1.630368))+0-0-0</f>
        <v>516.40868400000011</v>
      </c>
      <c r="L141" s="3">
        <f>1405.4+(167.2-1106.8)+(-4.300524+(-0.511632--3.386808))+0-0-0</f>
        <v>464.3746520000002</v>
      </c>
      <c r="M141" s="3">
        <f>1418.9+(178.3-1122.1)+(-1.447278+(-0.181866--1.144542))+0-0-0</f>
        <v>474.61539800000014</v>
      </c>
      <c r="N141" s="3">
        <f>1428.4+(220.2-1126.2)+(1.456968+(0.224604-1.148724))+0-0-0</f>
        <v>522.93284800000004</v>
      </c>
      <c r="O141" s="3">
        <f>1414.5+(214.3-1055.6)+(-2.164185+(-0.327879--1.615068))+0-0-0</f>
        <v>572.32300400000008</v>
      </c>
      <c r="P141" s="3">
        <f>1420.1+(261.8-1085.7)+(0.724251+(0.133518-0.553707))+0-0-0</f>
        <v>596.50406199999986</v>
      </c>
      <c r="Q141" s="3">
        <f>1424.9+(251.6-1049.6)+(0+(0-0))+0-0-0</f>
        <v>626.9000000000002</v>
      </c>
      <c r="R141" s="3">
        <f>1424.4+(254.1-1019.9)+(-0.726444+(-0.129591--0.520149))+0-0-0</f>
        <v>658.26411400000018</v>
      </c>
      <c r="S141" s="3">
        <f>1423.4+(265.6-1054.7)+(-1.451868+(-0.270912--1.075794))+0-0-0</f>
        <v>633.6530140000001</v>
      </c>
      <c r="T141" s="3">
        <f>1430.9+(265.1-1083.9)+(0.729759+(0.135201-0.552789))+0-0-0</f>
        <v>612.41217100000006</v>
      </c>
      <c r="U141" s="3">
        <f>1417.4+(291.9-1114)+(-2.168622+(-0.446607--1.70442))+0-0-0</f>
        <v>594.3891910000001</v>
      </c>
      <c r="V141" s="3">
        <f>1410.5+(301.1-1117)+(-3.596775+(-0.767805--2.84835))+0-0-0</f>
        <v>593.08377000000007</v>
      </c>
      <c r="W141" s="3">
        <f>1432.1+(302.8-1138)+(-2.921484+(-0.617712--2.32152))+0-0-0</f>
        <v>595.68232399999988</v>
      </c>
      <c r="X141" s="3">
        <f>1378.3+(284.2-1040.3)+(-4.217598+(-0.869652--3.183318))+0-0-0</f>
        <v>620.29606799999999</v>
      </c>
      <c r="Y141" s="3">
        <f>1266.4+(203.7-853.5)+(-1.291728+(-0.207774--0.87057))+0-0-0</f>
        <v>615.97106800000017</v>
      </c>
      <c r="Z141" s="3">
        <f>1422+(274-985.8)+(0+(0-0))+0-0-0</f>
        <v>710.2</v>
      </c>
      <c r="AA141" s="3">
        <f>1365.3+(313.8-952.3)+(-4.874121+(-1.120266--3.399711))+0-0-0</f>
        <v>724.20532399999991</v>
      </c>
      <c r="AB141" s="3">
        <f>1268.1+(294.3-885.5)+(-1.940193+(-0.450279--1.354815))+0-0-0</f>
        <v>675.86434299999985</v>
      </c>
      <c r="AC141" s="3">
        <f>1268.5+(293.8-914.4)+(-1.29387+(-0.299676--0.932688))+0-0-0</f>
        <v>647.23914200000013</v>
      </c>
      <c r="AD141">
        <v>697.2</v>
      </c>
      <c r="AE141" s="3">
        <f>1435+(341.8-1079.6)+(0+(0-0))+0-0-0</f>
        <v>697.2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1268.8+(207.9-909.1)+(-1.294176+(-0.212058--0.927282))+0-0-0</f>
        <v>567.02104799999995</v>
      </c>
      <c r="G142" s="3">
        <f>1273.1+(215.4-967.8)+(-0.649281+(-0.109854--0.493578))+0-0-0</f>
        <v>520.43444299999999</v>
      </c>
      <c r="H142" s="3">
        <f>1275.1+(172.3-967.3)+(0+(0-0))+0-0-0</f>
        <v>480.09999999999991</v>
      </c>
      <c r="I142" s="3">
        <f>1268.7+(148.1-947.3)+(-1.941111+(-0.226593--1.449369))+0-0-0</f>
        <v>468.78166500000009</v>
      </c>
      <c r="J142" s="3">
        <f>1284.1+(148-953.8)+(1.964673+(0.22644-1.459314))+0-0-0</f>
        <v>479.03179899999998</v>
      </c>
      <c r="K142" s="3">
        <f>1263.1+(158.1-964.6)+(-2.576724+(-0.322524--1.967784))+0-0-0</f>
        <v>455.6685359999999</v>
      </c>
      <c r="L142" s="3">
        <f>1266.3+(173.2-1015)+(-1.937439+(-0.264996--1.55295))+0-0-0</f>
        <v>423.85051499999997</v>
      </c>
      <c r="M142" s="3">
        <f>1277.5+(213.6-1052.4)+(0.651525+(0.108936-0.536724))+0-0-0</f>
        <v>438.92373699999996</v>
      </c>
      <c r="N142" s="3">
        <f>1274.4+(190.4-987.1)+(0.649944+(0.097104-0.503421))+0-0-0</f>
        <v>477.94362700000005</v>
      </c>
      <c r="O142" s="3">
        <f>1345.7+(231.6-1056.4)+(1.372614+(0.236232-1.077528))+0-0-0</f>
        <v>521.43131800000003</v>
      </c>
      <c r="P142" s="3">
        <f>1407.8+(298.6-1155.8)+(0+(0-0))+0-0-0</f>
        <v>550.6</v>
      </c>
      <c r="Q142" s="3">
        <f>1454.5+(316.5-1194.1)+(1.48359+(0.32283-1.217982))+0-0-0</f>
        <v>577.48843800000009</v>
      </c>
      <c r="R142" s="3">
        <f>1445.1+(312-1174.8)+(0.737001+(0.15912-0.599148))+0-0-0</f>
        <v>582.59697299999993</v>
      </c>
      <c r="S142" s="3">
        <f>1425.1+(332.7-1198.5)+(-2.180403+(-0.509031--1.833705))+0-0-0</f>
        <v>558.44427099999996</v>
      </c>
      <c r="T142" s="3">
        <f>1437.3+(342.4-1230.7)+(0+(0-0))+0-0-0</f>
        <v>548.99999999999989</v>
      </c>
      <c r="U142" s="3">
        <f>1425.9+(335.2-1223.1)+(-2.181627+(-0.512856--1.871343))+0-0-0</f>
        <v>537.17686000000026</v>
      </c>
      <c r="V142" s="3">
        <f>1423.4+(337.8-1241.5)+(-3.62967+(-0.86139--3.165825))+0-0-0</f>
        <v>518.37476500000002</v>
      </c>
      <c r="W142" s="3">
        <f>1425.7+(323.1-1197.6)+(-2.181321+(-0.494343--1.832328))+0-0-0</f>
        <v>550.35666400000014</v>
      </c>
      <c r="X142" s="3">
        <f>1430+(231.3-1106.9)+(-1.4586+(-0.235926--1.129038))+0-0-0</f>
        <v>553.8345119999999</v>
      </c>
      <c r="Y142" s="3">
        <f>1449.5+(192.8-1077.3)+(1.47849+(0.196656-1.098846))+0-0-0</f>
        <v>565.57629999999995</v>
      </c>
      <c r="Z142" s="3">
        <f>1444.8+(316.2-1101.5)+(-2.947392+(-0.645048--2.24706))+0-0-0</f>
        <v>658.15462000000002</v>
      </c>
      <c r="AA142" s="3">
        <f>1454.4+(309.2-1107)+(-3.70872+(-0.78846--2.82285))+0-0-0</f>
        <v>654.92567000000008</v>
      </c>
      <c r="AB142" s="3">
        <f>1463.5+(296.4-1136.8)+(-1.49277+(-0.302328--1.159536))+0-0-0</f>
        <v>622.46443799999997</v>
      </c>
      <c r="AC142" s="3">
        <f>1417+(288.7-1099)+(-1.44534+(-0.294474--1.12098))+0-0-0</f>
        <v>606.08116600000005</v>
      </c>
      <c r="AD142">
        <v>663</v>
      </c>
      <c r="AE142" s="3">
        <f>1452+(317.2-1106.2)+(0+(0-0))+0-0-0</f>
        <v>663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1216.7+(275.4-941)+(-3.102585+(-0.70227--2.39955))+0-0-0</f>
        <v>549.69469500000002</v>
      </c>
      <c r="G143" s="3">
        <f>1204.5+(272.6-967.8)+(-3.071475+(-0.69513--2.46789))+0-0-0</f>
        <v>508.00128500000005</v>
      </c>
      <c r="H143" s="3">
        <f>1210+(296.3-1018.7)+(-3.0855+(-0.755565--2.597685))+0-0-0</f>
        <v>486.35661999999991</v>
      </c>
      <c r="I143" s="3">
        <f>1219.8+(301.3-1041.8)+(-1.244196+(-0.307326--1.062636))+0-0-0</f>
        <v>478.81111399999998</v>
      </c>
      <c r="J143" s="3">
        <f>1208+(269.4-978.8)+(-1.84824+(-0.412182--1.497564))+0-0-0</f>
        <v>497.83714200000003</v>
      </c>
      <c r="K143" s="3">
        <f>1147.4+(158.8-855.5)+(-0.585174+(-0.080988--0.436305))+0-0-0</f>
        <v>450.47014300000006</v>
      </c>
      <c r="L143" s="3">
        <f>1131.7+(149.7-863.3)+(-3.463002+(-0.458082--2.641698))+0-0-0</f>
        <v>416.82061400000015</v>
      </c>
      <c r="M143" s="3">
        <f>1154.7+(138.9-881)+(0+(0-0))+0-0-0</f>
        <v>412.6</v>
      </c>
      <c r="N143" s="3">
        <f>1356+(157.8-1042.9)+(0+(0-0))+0-0-0</f>
        <v>470.89999999999986</v>
      </c>
      <c r="O143" s="3">
        <f>1429.6+(151.2-1062.7)+(0+(0-0))+0-0-0</f>
        <v>518.09999999999991</v>
      </c>
      <c r="P143" s="3">
        <f>1435.4+(141.8-1037.2)+(-0.732054+(-0.072318--0.528972))+0-0-0</f>
        <v>539.72460000000001</v>
      </c>
      <c r="Q143" s="3">
        <f>1451.8+(206.7-1088.2)+(2.961672+(0.421668-2.219928))+0-0-0</f>
        <v>571.46341199999995</v>
      </c>
      <c r="R143" s="3">
        <f>1437.9+(317.9-1175.2)+(-2.933316+(-0.648516--2.397408))+0-0-0</f>
        <v>579.41557599999999</v>
      </c>
      <c r="S143" s="3">
        <f>1429.6+(348.3-1223.9)+(-3.64548+(-0.888165--3.120945))+0-0-0</f>
        <v>552.5872999999998</v>
      </c>
      <c r="T143" s="3">
        <f>1441.1+(313.7-1216.4)+(-0.734961+(-0.159987--0.620364))+0-0-0</f>
        <v>538.12541599999986</v>
      </c>
      <c r="U143" s="3">
        <f>1438.9+(277.7-1189.9)+(-1.467678+(-0.283254--1.213698))+0-0-0</f>
        <v>526.16276600000003</v>
      </c>
      <c r="V143" s="3">
        <f>1446.1+(214.5-1137.9)+(-0.737511+(-0.109395--0.580329))+0-0-0</f>
        <v>522.43342299999983</v>
      </c>
      <c r="W143" s="3">
        <f>1444.3+(183.6-1095.4)+(-1.473186+(-0.187272--1.117308))+0-0-0</f>
        <v>531.95684999999992</v>
      </c>
      <c r="X143" s="3">
        <f>1442.6+(161.3-1058)+(-2.207178+(-0.246789--1.61874))+0-0-0</f>
        <v>545.06477299999983</v>
      </c>
      <c r="Y143" s="3">
        <f>1451.6+(191.5-1069.8)+(-1.480632+(-0.19533--1.091196))+0-0-0</f>
        <v>572.71523400000001</v>
      </c>
      <c r="Z143" s="3">
        <f>1448.9+(240-1030.1)+(-2.955756+(-0.4896--2.101404))+0-0-0</f>
        <v>657.45604800000024</v>
      </c>
      <c r="AA143" s="3">
        <f>1452.3+(217.8-1017.1)+(-3.703365+(-0.55539--2.593605))+0-0-0</f>
        <v>651.33484999999996</v>
      </c>
      <c r="AB143" s="3">
        <f>1460.3+(179.7-1014.6)+(-2.234259+(-0.274941--1.552338))+0-0-0</f>
        <v>624.44313799999986</v>
      </c>
      <c r="AC143" s="3">
        <f>1464.4+(178.9-1050.6)+(-1.493688+(-0.182478--1.071612))+0-0-0</f>
        <v>592.09544600000015</v>
      </c>
      <c r="AD143">
        <v>628.40000000000009</v>
      </c>
      <c r="AE143" s="3">
        <f>1440+(243-1054.6)+(0+(0-0))+0-0-0</f>
        <v>628.40000000000009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1420.1+(116.7-1032.2)+(-3.621255+(-0.297585--2.63211))+0-0-0</f>
        <v>503.31326999999993</v>
      </c>
      <c r="G144" s="3">
        <f>1125+(49.6-728.5)+(-1.1475+(-0.050592--0.74307))+0-0-0</f>
        <v>445.64497800000004</v>
      </c>
      <c r="H144" s="3">
        <f>1108.4+(40.7-724.2)+(-0.565284+(-0.020757--0.369342))+0-0-0</f>
        <v>424.68330100000009</v>
      </c>
      <c r="I144" s="3">
        <f>1112.6+(42.7-734.9)+(0+(0-0))+0-0-0</f>
        <v>420.4</v>
      </c>
      <c r="J144" s="3">
        <f>1121.7+(36.7-718.7)+(1.716201+(0.056151-1.099611))+0-0-0</f>
        <v>440.37274100000002</v>
      </c>
      <c r="K144" s="3">
        <f>1094.9+(48-718.8)+(-3.908793+(-0.17136--2.566116))+0-0-0</f>
        <v>422.58596300000016</v>
      </c>
      <c r="L144" s="3">
        <f>1097.3+(61.9-759.5)+(-3.357738+(-0.189414--2.32407))+0-0-0</f>
        <v>398.47691799999996</v>
      </c>
      <c r="M144" s="3">
        <f>1113.8+(77.9-786.1)+(-0.568038+(-0.039729--0.400911))+0-0-0</f>
        <v>405.39314399999989</v>
      </c>
      <c r="N144" s="3">
        <f>1297.4+(75.2-928.6)+(1.985022+(0.115056-1.420758))+0-0-0</f>
        <v>444.67932000000013</v>
      </c>
      <c r="O144" s="3">
        <f>1446.9+(103.5-1066.1)+(-1.475838+(-0.10557--1.087422))+0-0-0</f>
        <v>483.80601400000018</v>
      </c>
      <c r="P144" s="3">
        <f>1453+(122.2-1065.5)+(0.74103+(0.062322-0.543405))+0-0-0</f>
        <v>509.95994700000006</v>
      </c>
      <c r="Q144" s="3">
        <f>1447.7+(112.6-1041.1)+(-1.476654+(-0.114852--1.061922))+0-0-0</f>
        <v>518.67041600000016</v>
      </c>
      <c r="R144" s="3">
        <f>1452+(178.7-1111.5)+(-0.74052+(-0.091137--0.566865))+0-0-0</f>
        <v>518.93520799999999</v>
      </c>
      <c r="S144" s="3">
        <f>1444.7+(218.3-1179.6)+(-1.473594+(-0.222666--1.203192))+0-0-0</f>
        <v>482.9069320000001</v>
      </c>
      <c r="T144" s="3">
        <f>1450.4+(241.6-1192.7)+(0.739704+(0.123216-0.608277))+0-0-0</f>
        <v>499.55464300000006</v>
      </c>
      <c r="U144" s="3">
        <f>1442.5+(248.8-1197.1)+(-1.47135+(-0.253776--1.221042))+0-0-0</f>
        <v>493.69591600000007</v>
      </c>
      <c r="V144" s="3">
        <f>1445.9+(207.8-1160)+(0+(0-0))+0-0-0</f>
        <v>493.70000000000005</v>
      </c>
      <c r="W144" s="3">
        <f>1441.2+(149.8-1103.3)+(-0.735012+(-0.076398--0.562683))+0-0-0</f>
        <v>487.45127300000007</v>
      </c>
      <c r="X144" s="3">
        <f>1420.4+(69.9-1007.6)+(-5.070828+(-0.249543--3.597132))+0-0-0</f>
        <v>480.97676100000007</v>
      </c>
      <c r="Y144" s="3">
        <f>1436.7+(57.6-983.3)+(-1.465434+(-0.058752--1.002966))+0-0-0</f>
        <v>510.47878000000009</v>
      </c>
      <c r="Z144" s="3">
        <f>1428.9+(118-943.5)+(-4.372434+(-0.36108--2.88711))+0-0-0</f>
        <v>601.55359600000008</v>
      </c>
      <c r="AA144" s="3">
        <f>1446+(78.8-906.4)+(-0.73746+(-0.040188--0.462264))+0-0-0</f>
        <v>618.08461599999998</v>
      </c>
      <c r="AB144" s="3">
        <f>1444.7+(41.8-879.4)+(0+(0-0))+0-0-0</f>
        <v>607.1</v>
      </c>
      <c r="AC144" s="3">
        <f>1445.2+(25.9-882.8)+(0+(0-0))+0-0-0</f>
        <v>588.30000000000007</v>
      </c>
      <c r="AD144">
        <v>627.30000000000007</v>
      </c>
      <c r="AE144" s="3">
        <f>1461+(117.4-951.1)+(0+(0-0))+0-0-0</f>
        <v>627.29999999999995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1446.7+(8.9-908.3)+(0.737817+(0.004539-0.463233))+0-0-0</f>
        <v>547.5791230000001</v>
      </c>
      <c r="G145" s="3">
        <f>1419.2+(5.6-922.9)+(-0.723792+(-0.002856--0.470679))+0-0-0</f>
        <v>501.6440310000001</v>
      </c>
      <c r="H145" s="3">
        <f>1325.2+(12.8-881.2)+(0.675852+(0.006528-0.449412))+0-0-0</f>
        <v>457.03296799999998</v>
      </c>
      <c r="I145" s="3">
        <f>1293.7+(15.7-861.3)+(-0.659787+(-0.008007--0.439263))+0-0-0</f>
        <v>447.87146900000016</v>
      </c>
      <c r="J145" s="3">
        <f>1302.2+(13.3-850.3)+(1.328244+(0.013566-0.867306))+0-0-0</f>
        <v>465.67450400000007</v>
      </c>
      <c r="K145" s="3">
        <f>1281.3+(19.7-863.6)+(-3.267315+(-0.050235--2.20218))+0-0-0</f>
        <v>436.28462999999999</v>
      </c>
      <c r="L145" s="3">
        <f>1289.2+(27.5-924.2)+(-1.314984+(-0.02805--0.942684))+0-0-0</f>
        <v>392.09965</v>
      </c>
      <c r="M145" s="3">
        <f>1296.9+(18-933.8)+(0.661419+(0.00918-0.476238))+0-0-0</f>
        <v>381.29436100000015</v>
      </c>
      <c r="N145" s="3">
        <f>1290.6+(14.8-909.2)+(-0.658206+(-0.007548--0.463692))+0-0-0</f>
        <v>395.99793799999981</v>
      </c>
      <c r="O145" s="3">
        <f>1293.6+(12.3-881.6)+(0.659736+(0.006273-0.449616))+0-0-0</f>
        <v>424.51639299999982</v>
      </c>
      <c r="P145" s="3">
        <f>1296.3+(15.6-872.4)+(2.644452+(0.031824-1.779696))+0-0-0</f>
        <v>440.39657999999997</v>
      </c>
      <c r="Q145" s="3">
        <f>1289.2+(16.1-835.7)+(1.972476+(0.024633-1.278621))+0-0-0</f>
        <v>470.318488</v>
      </c>
      <c r="R145" s="3">
        <f>1289.1+(14.8-824.4)+(-1.314882+(-0.015096--0.840888))+0-0-0</f>
        <v>479.01090999999991</v>
      </c>
      <c r="S145" s="3">
        <f>1288.5+(21.6-816.9)+(-0.657135+(-0.011016--0.416619))+0-0-0</f>
        <v>492.94846800000005</v>
      </c>
      <c r="T145" s="3">
        <f>1315.7+(21.6-843.4)+(1.342014+(0.022032-0.860268))+0-0-0</f>
        <v>494.4037780000001</v>
      </c>
      <c r="U145" s="3">
        <f>1335.3+(59.9-907.8)+(-1.362006+(-0.061098--0.925956))+0-0-0</f>
        <v>486.902852</v>
      </c>
      <c r="V145" s="3">
        <f>1344.5+(64.1-918.1)+(-1.37139+(-0.065382--0.936462))+0-0-0</f>
        <v>489.99968999999999</v>
      </c>
      <c r="W145" s="3">
        <f>1342.4+(61.7-913.5)+(-1.369248+(-0.062934--0.93177))+0-0-0</f>
        <v>490.09958800000015</v>
      </c>
      <c r="X145" s="3">
        <f>1342.2+(42.7-902.3)+(-3.42261+(-0.108885--2.300865))+0-0-0</f>
        <v>481.36937000000012</v>
      </c>
      <c r="Y145" s="3">
        <f>1349.1+(27.5-875.9)+(0+(0-0))+0-0-0</f>
        <v>500.69999999999993</v>
      </c>
      <c r="Z145" s="3">
        <f>1357.1+(66.7-808.3)+(0.692121+(0.034017-0.412233))+0-0-0</f>
        <v>615.81390499999998</v>
      </c>
      <c r="AA145" s="3">
        <f>1367.3+(56.3-765.6)+(-2.789292+(-0.114852--1.561824))+0-0-0</f>
        <v>656.65767999999991</v>
      </c>
      <c r="AB145" s="3">
        <f>1359.8+(57.3-773.7)+(-2.080494+(-0.087669--1.183761))+0-0-0</f>
        <v>642.41559799999982</v>
      </c>
      <c r="AC145" s="3">
        <f>1327.7+(56.7-762.9)+(1.354254+(0.057834-0.778158))+0-0-0</f>
        <v>622.13393000000008</v>
      </c>
      <c r="AD145">
        <v>680.80000000000007</v>
      </c>
      <c r="AE145" s="3">
        <f>1385+(57.2-761.4)+(0+(0-0))+0-0-0</f>
        <v>680.80000000000007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1312.8+(43.8-746.5)+(0.669528+(0.022338-0.380715))+0-0-0</f>
        <v>610.4111509999999</v>
      </c>
      <c r="G146" s="3">
        <f>1300.3+(52.2-788.9)+(-1.326306+(-0.053244--0.804678))+0-0-0</f>
        <v>563.025128</v>
      </c>
      <c r="H146" s="3">
        <f>1298.5+(65.7-847.8)+(-1.32447+(-0.067014--0.864756))+0-0-0</f>
        <v>515.87327200000004</v>
      </c>
      <c r="I146" s="3">
        <f>1173.2+(84.1-755.7)+(0.598332+(0.042891-0.385407))+0-0-0</f>
        <v>501.855816</v>
      </c>
      <c r="J146" s="3">
        <f>1169.1+(88.8-745.8)+(-0.596241+(-0.045288--0.380358))+0-0-0</f>
        <v>511.83882899999992</v>
      </c>
      <c r="K146" s="3">
        <f>1155.6+(49.7-720.1)+(-2.94678+(-0.126735--1.836255))+0-0-0</f>
        <v>483.96273999999994</v>
      </c>
      <c r="L146" s="3">
        <f>1166.9+(45.2-758.9)+(-1.190238+(-0.046104--0.774078))+0-0-0</f>
        <v>452.73773600000015</v>
      </c>
      <c r="M146" s="3">
        <f>1185.2+(83.8-790.3)+(1.208904+(0.085476-0.806106))+0-0-0</f>
        <v>479.18827400000004</v>
      </c>
      <c r="N146" s="3">
        <f>1308.1+(162.1-908.5)+(3.335655+(0.413355-2.316675))+0-0-0</f>
        <v>563.1323349999999</v>
      </c>
      <c r="O146" s="3">
        <f>1293.2+(263.2-928.5)+(0.659532+(0.134232-0.473535))+0-0-0</f>
        <v>628.22022900000013</v>
      </c>
      <c r="P146" s="3">
        <f>1286.7+(311.5-909.2)+(0.656217+(0.158865-0.463692))+0-0-0</f>
        <v>689.35139000000004</v>
      </c>
      <c r="Q146" s="3">
        <f>1323.7+(298.9-888.8)+(0+(0-0))+0-0-0</f>
        <v>733.80000000000007</v>
      </c>
      <c r="R146" s="3">
        <f>1345.4+(292.9-877.4)+(2.058462+(0.448137-1.342422))+0-0-0</f>
        <v>762.06417700000009</v>
      </c>
      <c r="S146" s="3">
        <f>1332.9+(279.9-853.2)+(-0.679779+(-0.142749--0.435132))+0-0-0</f>
        <v>759.21260400000006</v>
      </c>
      <c r="T146" s="3">
        <f>1360+(289.4-889.6)+(0+(0-0))+0-0-0</f>
        <v>759.8</v>
      </c>
      <c r="U146" s="3">
        <f>1366.8+(302.7-940)+(-2.788272+(-0.617508--1.9176))+0-0-0</f>
        <v>728.01181999999994</v>
      </c>
      <c r="V146" s="3">
        <f>1381+(306.1-967.2)+(-1.40862+(-0.312222--0.986544))+0-0-0</f>
        <v>719.16570200000001</v>
      </c>
      <c r="W146" s="3">
        <f>1372.5+(298.1-966.3)+(-3.499875+(-0.760155--2.464065))+0-0-0</f>
        <v>702.50403500000004</v>
      </c>
      <c r="X146" s="3">
        <f>1360.6+(284.7-954.5)+(-5.551248+(-1.161576--3.89436))+0-0-0</f>
        <v>687.98153600000001</v>
      </c>
      <c r="Y146" s="3">
        <f>1383.6+(232.1-929)+(-0.705636+(-0.118371--0.47379))+0-0-0</f>
        <v>686.34978299999989</v>
      </c>
      <c r="Z146" s="3">
        <f>1415.9+(321.3-903.6)+(1.444218+(0.327726-0.921672))+0-0-0</f>
        <v>834.45027200000015</v>
      </c>
      <c r="AA146" s="3">
        <f>1413.5+(320.7-858.3)+(-1.44177+(-0.327114--0.875466))+0-0-0</f>
        <v>875.00658200000009</v>
      </c>
      <c r="AB146" s="3">
        <f>1453.9+(314.7-918.7)+(-1.482978+(-0.320994--0.937074))+0-0-0</f>
        <v>849.0331020000001</v>
      </c>
      <c r="AC146" s="3">
        <f>1464.7+(283.8-937.9)+(-1.493994+(-0.289476--0.956658))+0-0-0</f>
        <v>809.77318800000012</v>
      </c>
      <c r="AD146">
        <v>837.10000000000014</v>
      </c>
      <c r="AE146" s="3">
        <f>1406+(320.9-889.8)+(0+(0-0))+0-0-0</f>
        <v>837.1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1430.7+(256.2-929.9)+(-0.729657+(-0.130662--0.474249))+0-0-0</f>
        <v>756.61392999999998</v>
      </c>
      <c r="G147" s="3">
        <f>1359.6+(260.3-929.1)+(-2.080188+(-0.398259--1.421523))+0-0-0</f>
        <v>689.74307599999997</v>
      </c>
      <c r="H147" s="3">
        <f>1358.4+(263.9-983.5)+(0.692784+(0.134589-0.501585))+0-0-0</f>
        <v>639.12578800000006</v>
      </c>
      <c r="I147" s="3">
        <f>1353.9+(241.3-982.6)+(-1.380978+(-0.246126--1.002252))+0-0-0</f>
        <v>611.9751480000001</v>
      </c>
      <c r="J147" s="3">
        <f>1352.1+(219.7-956.9)+(-2.758284+(-0.448188--1.952076))+0-0-0</f>
        <v>613.64560399999982</v>
      </c>
      <c r="K147" s="3">
        <f>1128.2+(199.7-751.1)+(-2.301528+(-0.407388--1.532244))+0-0-0</f>
        <v>575.6233279999999</v>
      </c>
      <c r="L147" s="3">
        <f>1042.8+(190.5-707.8)+(-1.595484+(-0.291465--1.082934))+0-0-0</f>
        <v>524.69598499999995</v>
      </c>
      <c r="M147" s="3">
        <f>1042.5+(198.4-706.6)+(0.531675+(0.101184-0.360366))+0-0-0</f>
        <v>534.57249300000001</v>
      </c>
      <c r="N147" s="3">
        <f>1226.1+(186.8-810)+(0+(0-0))+0-0-0</f>
        <v>602.89999999999986</v>
      </c>
      <c r="O147" s="3">
        <f>1298.6+(267.2-886.2)+(1.324572+(0.272544-0.903924))+0-0-0</f>
        <v>680.29319199999986</v>
      </c>
      <c r="P147" s="3">
        <f>1330.7+(339-935.6)+(2.035971+(0.51867-1.431468))+0-0-0</f>
        <v>735.22317299999997</v>
      </c>
      <c r="Q147" s="3">
        <f>1381.2+(331.8-931.6)+(1.408824+(0.338436-0.950232))+0-0-0</f>
        <v>782.19702800000005</v>
      </c>
      <c r="R147" s="3">
        <f>1391.1+(324.4-894)+(2.837844+(0.661776-1.82376))+0-0-0</f>
        <v>823.17585999999983</v>
      </c>
      <c r="S147" s="3">
        <f>1422.7+(322.8-889.2)+(0+(0-0))+0-0-0</f>
        <v>856.3</v>
      </c>
      <c r="T147" s="3">
        <f>1421.8+(329.4-865.2)+(-1.450236+(-0.335988--0.882504))+0-0-0</f>
        <v>885.09627999999987</v>
      </c>
      <c r="U147" s="3">
        <f>1414.6+(333.1-895.8)+(0.721446+(0.169881-0.456858))+0-0-0</f>
        <v>852.33446900000001</v>
      </c>
      <c r="V147" s="3">
        <f>1412.7+(350.8-935.4)+(-0.720477+(-0.178908--0.477054))+0-0-0</f>
        <v>827.67766900000015</v>
      </c>
      <c r="W147" s="3">
        <f>1417.3+(360-982.3)+(-1.445646+(-0.3672--1.001946))+0-0-0</f>
        <v>794.18910000000005</v>
      </c>
      <c r="X147" s="3">
        <f>1422.7+(378-1025.4)+(-4.353462+(-1.15668--3.137724))+0-0-0</f>
        <v>772.92758199999992</v>
      </c>
      <c r="Y147" s="3">
        <f>1427.5+(367.5-1028.8)+(0+(0-0))+0-0-0</f>
        <v>766.2</v>
      </c>
      <c r="Z147" s="3">
        <f>1449.9+(394.3-936.6)+(-1.478898+(-0.402186--0.955332))+0-0-0</f>
        <v>906.67424800000015</v>
      </c>
      <c r="AA147" s="3">
        <f>1466+(374.9-895.6)+(-3.7383+(-0.955995--2.28378))+0-0-0</f>
        <v>942.88948499999992</v>
      </c>
      <c r="AB147" s="3">
        <f>1460+(380.3-919.3)+(0.7446+(0.193953-0.468843))+0-0-0</f>
        <v>921.46970999999996</v>
      </c>
      <c r="AC147" s="3">
        <f>1458.8+(355.3-927.8)+(-2.975952+(-0.724812--1.892712))+0-0-0</f>
        <v>884.49194799999998</v>
      </c>
      <c r="AD147">
        <v>924.30000000000007</v>
      </c>
      <c r="AE147" s="3">
        <f>1468+(383.9-927.6)+(0+(0-0))+0-0-0</f>
        <v>924.3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1355.4+(247.1-774.9)+(-2.073762+(-0.378063--1.185597))+0-0-0</f>
        <v>826.33377200000018</v>
      </c>
      <c r="G148" s="3">
        <f>1343.5+(258.1-830.8)+(-2.74074+(-0.526524--1.694832))+0-0-0</f>
        <v>769.22756800000002</v>
      </c>
      <c r="H148" s="3">
        <f>1275.5+(286-851.3)+(-1.951515+(-0.43758--1.302489))+0-0-0</f>
        <v>709.11339400000008</v>
      </c>
      <c r="I148" s="3">
        <f>1140.8+(303.4-773.5)+(-0.581808+(-0.154734--0.394485))+0-0-0</f>
        <v>670.35794299999998</v>
      </c>
      <c r="J148" s="3">
        <f>1114.7+(288.5-745.8)+(-2.273988+(-0.58854--1.521432))+0-0-0</f>
        <v>656.0589040000001</v>
      </c>
      <c r="K148" s="3">
        <f>1112.6+(274.7-767.1)+(-2.269704+(-0.560388--1.564884))+0-0-0</f>
        <v>618.93479199999979</v>
      </c>
      <c r="L148" s="3">
        <f>1110.9+(205-756.7)+(-3.399354+(-0.6273--2.315502))+0-0-0</f>
        <v>557.48884800000008</v>
      </c>
      <c r="M148" s="3">
        <f>1139+(207.2-784.4)+(-1.16178+(-0.211344--0.800088))+0-0-0</f>
        <v>561.22696399999995</v>
      </c>
      <c r="N148" s="3">
        <f>1304.6+(207.7-872.9)+(2.661384+(0.423708-1.780716))+0-0-0</f>
        <v>640.70437599999991</v>
      </c>
      <c r="O148" s="3">
        <f>1363.9+(288.9-921.4)+(0+(0-0))+0-0-0</f>
        <v>731.40000000000009</v>
      </c>
      <c r="P148" s="3">
        <f>1373.7+(321.7-915.3)+(-1.401174+(-0.328134--0.933606))+0-0-0</f>
        <v>779.30429800000013</v>
      </c>
      <c r="Q148" s="3">
        <f>1380.3+(349.9-908.8)+(0+(0-0))+0-0-0</f>
        <v>821.4</v>
      </c>
      <c r="R148" s="3">
        <f>1381.3+(347-890.2)+(0.704463+(0.17697-0.454002))+0-0-0</f>
        <v>838.52743099999986</v>
      </c>
      <c r="S148" s="3">
        <f>1364.8+(366.1-838)+(-1.392096+(-0.373422--0.85476))+0-0-0</f>
        <v>891.98924199999999</v>
      </c>
      <c r="T148" s="3">
        <f>1363.7+(366-815.6)+(-2.086461+(-0.55998--1.247868))+0-0-0</f>
        <v>912.70142699999997</v>
      </c>
      <c r="U148" s="3">
        <f>1356.1+(368.6-870.6)+(-2.766444+(-0.751944--1.776024))+0-0-0</f>
        <v>852.35763599999996</v>
      </c>
      <c r="V148" s="3">
        <f>1356.8+(372.1-882)+(-2.767872+(-0.759084--1.79928))+0-0-0</f>
        <v>845.172324</v>
      </c>
      <c r="W148" s="3">
        <f>1364.7+(368.7-921.2)+(-0.695997+(-0.188037--0.469812))+0-0-0</f>
        <v>811.78577800000005</v>
      </c>
      <c r="X148" s="3">
        <f>1363.8+(360-956.2)+(-1.391076+(-0.3672--0.975324))+0-0-0</f>
        <v>766.81704799999989</v>
      </c>
      <c r="Y148" s="3">
        <f>1375.5+(300-929.2)+(1.40301+(0.306-0.947784))+0-0-0</f>
        <v>747.06122599999992</v>
      </c>
      <c r="Z148" s="3">
        <f>1389.8+(392.8-888.7)+(0+(0-0))+0-0-0</f>
        <v>893.89999999999986</v>
      </c>
      <c r="AA148" s="3">
        <f>1418.6+(370.7-846.7)+(-1.446972+(-0.378114--0.863634))+0-0-0</f>
        <v>941.6385479999999</v>
      </c>
      <c r="AB148" s="3">
        <f>1409.8+(371.5-865.7)+(-2.875992+(-0.75786--1.766028))+0-0-0</f>
        <v>913.73217599999987</v>
      </c>
      <c r="AC148" s="3">
        <f>1414.5+(366.8-893.3)+(-1.44279+(-0.374136--0.911166))+0-0-0</f>
        <v>887.09424000000001</v>
      </c>
      <c r="AD148">
        <v>897.7</v>
      </c>
      <c r="AE148" s="3">
        <f>1397+(365.7-865)+(0+(0-0))+0-0-0</f>
        <v>897.7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1390.7+(270.1-801.1)+(-1.418514+(-0.275502--0.817122))+0-0-0</f>
        <v>858.82310600000005</v>
      </c>
      <c r="G149" s="3">
        <f>1304+(221.5-742.3)+(-1.99512+(-0.338895--1.135719))+0-0-0</f>
        <v>782.00170400000002</v>
      </c>
      <c r="H149" s="3">
        <f>1300.8+(231.1-810.5)+(-2.653632+(-0.471444--1.65342))+0-0-0</f>
        <v>719.92834399999992</v>
      </c>
      <c r="I149" s="3">
        <f>1305.9+(238.5-869.7)+(-1.332018+(-0.24327--0.887094))+0-0-0</f>
        <v>674.01180600000009</v>
      </c>
      <c r="J149" s="3">
        <f>1310.2+(225.1-884.1)+(0+(0-0))+0-0-0</f>
        <v>651.20000000000005</v>
      </c>
      <c r="K149" s="3">
        <f>1285.4+(219.4-898.6)+(-3.27777+(-0.55947--2.29143))+0-0-0</f>
        <v>604.65419000000009</v>
      </c>
      <c r="L149" s="3">
        <f>1292.4+(201.8-942.8)+(-1.318248+(-0.205836--0.961656))+0-0-0</f>
        <v>550.83757200000014</v>
      </c>
      <c r="M149" s="3">
        <f>1306.3+(206.7-963.6)+(1.332426+(0.210834-0.982872))+0-0-0</f>
        <v>549.96038799999985</v>
      </c>
      <c r="N149" s="3">
        <f>1308.6+(207.4-897.8)+(0.667386+(0.105774-0.457878))+0-0-0</f>
        <v>618.51528199999996</v>
      </c>
      <c r="O149" s="3">
        <f>1356.1+(244.9-904.2)+(1.383222+(0.249798-0.922284))+0-0-0</f>
        <v>697.51073599999984</v>
      </c>
      <c r="P149" s="3">
        <f>1390.5+(332.7-972)+(-1.41831+(-0.339354--0.99144))+0-0-0</f>
        <v>750.43377600000008</v>
      </c>
      <c r="Q149" s="3">
        <f>1401.4+(366.1-974.2)+(0.714714+(0.186711-0.496842))+0-0-0</f>
        <v>793.70458300000007</v>
      </c>
      <c r="R149" s="3">
        <f>1387.2+(379.2-933.1)+(-1.414944+(-0.386784--0.951762))+0-0-0</f>
        <v>832.45003399999996</v>
      </c>
      <c r="S149" s="3">
        <f>1391.3+(370.9-895.3)+(-1.419126+(-0.378318--0.913206))+0-0-0</f>
        <v>866.015762</v>
      </c>
      <c r="T149" s="3">
        <f>1394.7+(371.7-876.8)+(0.711297+(0.189567-0.447168))+0-0-0</f>
        <v>890.05369600000017</v>
      </c>
      <c r="U149" s="3">
        <f>1392.4+(368.9-898.3)+(0+(0-0))+0-0-0</f>
        <v>863.00000000000011</v>
      </c>
      <c r="V149" s="3">
        <f>1386.3+(363.6-924.4)+(-1.414026+(-0.370872--0.942888))+0-0-0</f>
        <v>824.65799000000004</v>
      </c>
      <c r="W149" s="3">
        <f>1381.8+(362.6-958.7)+(-1.409436+(-0.369852--0.977874))+0-0-0</f>
        <v>784.89858599999991</v>
      </c>
      <c r="X149" s="3">
        <f>1379.9+(317-947.4)+(-2.111247+(-0.48501--1.449522))+0-0-0</f>
        <v>748.35326500000008</v>
      </c>
      <c r="Y149" s="3">
        <f>1383+(269.8-905.7)+(-1.41066+(-0.275196--0.923814))+0-0-0</f>
        <v>746.33795799999996</v>
      </c>
      <c r="Z149" s="3">
        <f>1388.7+(386.3-866.8)+(-0.708237+(-0.197013--0.442068))+0-0-0</f>
        <v>907.73681800000008</v>
      </c>
      <c r="AA149" s="3">
        <f>1420.3+(379.3-843.3)+(-3.621765+(-0.967215--2.150415))+0-0-0</f>
        <v>953.86143499999991</v>
      </c>
      <c r="AB149" s="3">
        <f>1419+(385.5-883.2)+(-1.44738+(-0.39321--0.900864))+0-0-0</f>
        <v>920.360274</v>
      </c>
      <c r="AC149" s="3">
        <f>1416.2+(399.3-924.9)+(0+(0-0))+0-0-0</f>
        <v>890.60000000000014</v>
      </c>
      <c r="AD149">
        <v>914.1</v>
      </c>
      <c r="AE149" s="3">
        <f>1413+(388.7-887.6)+(0+(0-0))+0-0-0</f>
        <v>914.09999999999991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1359.3+(333.5-870.4)+(-3.466215+(-0.850425--2.21952))+0-0-0</f>
        <v>820.30287999999996</v>
      </c>
      <c r="G150" s="3">
        <f>1297.8+(235.9-783.7)+(-2.647512+(-0.481236--1.598748))+0-0-0</f>
        <v>748.46999999999991</v>
      </c>
      <c r="H150" s="3">
        <f>1299.3+(256.4-867.5)+(-1.987929+(-0.392292--1.327275))+0-0-0</f>
        <v>687.14705399999991</v>
      </c>
      <c r="I150" s="3">
        <f>1304.2+(219.4-878.8)+(-0.665142+(-0.111894--0.448188))+0-0-0</f>
        <v>644.47115200000007</v>
      </c>
      <c r="J150" s="3">
        <f>1311.7+(169.7-851.7)+(0+(0-0))+0-0-0</f>
        <v>629.70000000000005</v>
      </c>
      <c r="K150" s="3">
        <f>1211+(153.6-776)+(-3.70566+(-0.470016--2.37456))+0-0-0</f>
        <v>586.79888400000004</v>
      </c>
      <c r="L150" s="3">
        <f>1079.6+(134.5-682.5)+(-1.101192+(-0.13719--0.69615))+0-0-0</f>
        <v>531.0577679999999</v>
      </c>
      <c r="M150" s="3">
        <f>1096+(147.9-720.1)+(1.67688+(0.226287-1.101753))+0-0-0</f>
        <v>524.60141399999998</v>
      </c>
      <c r="N150" s="3">
        <f>1318.7+(133.4-859.7)+(0.672537+(0.068034-0.438447))+0-0-0</f>
        <v>592.70212400000003</v>
      </c>
      <c r="O150" s="3">
        <f>1362.2+(135.7-829.7)+(-0.694722+(-0.069207--0.423147))+0-0-0</f>
        <v>667.85921800000006</v>
      </c>
      <c r="P150" s="3">
        <f>1370.5+(208-868.9)+(-0.698955+(-0.10608--0.443139))+0-0-0</f>
        <v>709.23810400000002</v>
      </c>
      <c r="Q150" s="3">
        <f>1355.6+(311.9-914.7)+(-1.382712+(-0.318138--0.932994))+0-0-0</f>
        <v>752.03214399999979</v>
      </c>
      <c r="R150" s="3">
        <f>1377.4+(363.3-924.6)+(0.702474+(0.185283-0.471546))+0-0-0</f>
        <v>816.51621100000011</v>
      </c>
      <c r="S150" s="3">
        <f>1371.2+(381.3-883.3)+(-2.097936+(-0.583389--1.351449))+0-0-0</f>
        <v>867.87012400000003</v>
      </c>
      <c r="T150" s="3">
        <f>1373.5+(396-867.3)+(0+(0-0))+0-0-0</f>
        <v>902.2</v>
      </c>
      <c r="U150" s="3">
        <f>1387.2+(337.4-840.2)+(1.414944+(0.344148-0.857004))+0-0-0</f>
        <v>885.30208800000003</v>
      </c>
      <c r="V150" s="3">
        <f>1388.2+(307.3-852.2)+(0+(0-0))+0-0-0</f>
        <v>843.3</v>
      </c>
      <c r="W150" s="3">
        <f>1375.6+(296.3-871.5)+(-2.104668+(-0.453339--1.333395))+0-0-0</f>
        <v>799.17538799999988</v>
      </c>
      <c r="X150" s="3">
        <f>1377.3+(313.9-933.4)+(-2.809692+(-0.640356--1.904136))+0-0-0</f>
        <v>756.25408799999991</v>
      </c>
      <c r="Y150" s="3">
        <f>1400.6+(320.3-974.5)+(0.714306+(0.163353-0.496995))+0-0-0</f>
        <v>746.78066399999989</v>
      </c>
      <c r="Z150" s="3">
        <f>1435.4+(379.1-911.7)+(2.196162+(0.580023-1.394901))+0-0-0</f>
        <v>904.18128400000012</v>
      </c>
      <c r="AA150" s="3">
        <f>1433.1+(376.8-867.3)+(-2.192643+(-0.576504--1.326969))+0-0-0</f>
        <v>941.1578219999999</v>
      </c>
      <c r="AB150" s="3">
        <f>1432+(376.2-897.5)+(-0.73032+(-0.191862--0.457725))+0-0-0</f>
        <v>910.23554300000001</v>
      </c>
      <c r="AC150" s="3">
        <f>1416.4+(380.4-929)+(0+(0-0))+0-0-0</f>
        <v>867.80000000000007</v>
      </c>
      <c r="AD150">
        <v>887.6</v>
      </c>
      <c r="AE150" s="3">
        <f>1439+(376-927.4)+(0+(0-0))+0-0-0</f>
        <v>887.6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1348.3+(323.4-854.2)+(-1.375266+(-0.329868--0.871284))+0-0-0</f>
        <v>816.6661499999999</v>
      </c>
      <c r="G151" s="3">
        <f>1316.4+(335.8-897.4)+(0+(0-0))+0-0-0</f>
        <v>754.80000000000018</v>
      </c>
      <c r="H151" s="3">
        <f>1323.1+(345.6-964.7)+(0.674781+(0.176256-0.491997))+0-0-0</f>
        <v>704.35903999999994</v>
      </c>
      <c r="I151" s="3">
        <f>1310.3+(293.7-940.7)+(-0.668253+(-0.149787--0.479757))+0-0-0</f>
        <v>662.96171699999991</v>
      </c>
      <c r="J151" s="3">
        <f>1319.6+(275.8-950.2)+(2.018988+(0.421974-1.453806))+0-0-0</f>
        <v>646.18715599999985</v>
      </c>
      <c r="K151" s="3">
        <f>1287.5+(247.3-929.8)+(-3.93975+(-0.756738--2.845188))+0-0-0</f>
        <v>603.14869999999996</v>
      </c>
      <c r="L151" s="3">
        <f>1285.3+(157.6-907.8)+(-3.277515+(-0.40188--2.31489))+0-0-0</f>
        <v>533.73549500000001</v>
      </c>
      <c r="M151" s="3">
        <f>1301.4+(132.4-903.5)+(0.663714+(0.067524-0.460785))+0-0-0</f>
        <v>530.57045300000004</v>
      </c>
      <c r="N151" s="3">
        <f>1347.2+(179.1-920.8)+(0.687072+(0.091341-0.469608))+0-0-0</f>
        <v>605.80880500000012</v>
      </c>
      <c r="O151" s="3">
        <f>1411.8+(311-1066.3)+(1.440036+(0.31722-1.087626))+0-0-0</f>
        <v>657.16962999999998</v>
      </c>
      <c r="P151" s="3">
        <f>1412.8+(316.8-1029.7)+(1.441056+(0.323136-1.050294))+0-0-0</f>
        <v>700.61389799999984</v>
      </c>
      <c r="Q151" s="3">
        <f>1416.6+(313.2-985.8)+(2.167398+(0.479196-1.508274))+0-0-0</f>
        <v>745.13832000000002</v>
      </c>
      <c r="R151" s="3">
        <f>1393.4+(314.2-938)+(-0.710634+(-0.160242--0.47838))+0-0-0</f>
        <v>769.20750400000009</v>
      </c>
      <c r="S151" s="3">
        <f>1378.6+(328.7-907.7)+(-2.812344+(-0.670548--1.851708))+0-0-0</f>
        <v>797.96881599999995</v>
      </c>
      <c r="T151" s="3">
        <f>1389.3+(334.7-908.7)+(-1.417086+(-0.341394--0.926874))+0-0-0</f>
        <v>814.46839399999999</v>
      </c>
      <c r="U151" s="3">
        <f>1398.1+(333.5-930)+(-2.139093+(-0.510255--1.4229))+0-0-0</f>
        <v>800.3735519999999</v>
      </c>
      <c r="V151" s="3">
        <f>1402.7+(284.9-905.4)+(-2.146131+(-0.435897--1.385262))+0-0-0</f>
        <v>781.00323400000002</v>
      </c>
      <c r="W151" s="3">
        <f>1394.2+(238.5-889.6)+(-2.844168+(-0.48654--1.814784))+0-0-0</f>
        <v>741.58407599999998</v>
      </c>
      <c r="X151" s="3">
        <f>1323.2+(121.4-749.2)+(-2.024496+(-0.185742--1.146276))+0-0-0</f>
        <v>694.33603800000003</v>
      </c>
      <c r="Y151" s="3">
        <f>1346.9+(112.1-744.2)+(-0.686919+(-0.057171--0.379542))+0-0-0</f>
        <v>714.43545200000005</v>
      </c>
      <c r="Z151" s="3">
        <f>1403.4+(294.9-822.6)+(-1.431468+(-0.300798--0.839052))+0-0-0</f>
        <v>874.8067860000001</v>
      </c>
      <c r="AA151" s="3">
        <f>1358.5+(255.4-705.1)+(-2.078505+(-0.390762--1.078803))+0-0-0</f>
        <v>907.409536</v>
      </c>
      <c r="AB151" s="3">
        <f>1298+(245-670.2)+(-0.66198+(-0.12495--0.341802))+0-0-0</f>
        <v>872.354872</v>
      </c>
      <c r="AC151" s="3">
        <f>1306.5+(254.4-712.7)+(-0.666315+(-0.129744--0.363477))+0-0-0</f>
        <v>847.76741799999991</v>
      </c>
      <c r="AD151">
        <v>867.8</v>
      </c>
      <c r="AE151" s="3">
        <f>1407+(283-822.2)+(0+(0-0))+0-0-0</f>
        <v>867.8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1305.7+(222.4-747.4)+(-1.331814+(-0.226848--0.762348))+0-0-0</f>
        <v>779.90368599999999</v>
      </c>
      <c r="G152" s="3">
        <f>1306.7+(142.6-722.1)+(-1.332834+(-0.145452--0.736542))+0-0-0</f>
        <v>726.45825600000001</v>
      </c>
      <c r="H152" s="3">
        <f>1296.7+(138.7-758.1)+(-2.645268+(-0.282948--1.546524))+0-0-0</f>
        <v>675.91830799999991</v>
      </c>
      <c r="I152" s="3">
        <f>1248.5+(144.9-762.4)+(-0.636735+(-0.073899--0.388824))+0-0-0</f>
        <v>630.67818999999997</v>
      </c>
      <c r="J152" s="3">
        <f>1210.1+(141.7-735.9)+(-1.851453+(-0.216801--1.125927))+0-0-0</f>
        <v>614.95767299999989</v>
      </c>
      <c r="K152" s="3">
        <f>1196.6+(120.7-735.1)+(-1.220532+(-0.123114--0.749802))+0-0-0</f>
        <v>581.60615599999994</v>
      </c>
      <c r="L152" s="3">
        <f>1136.5+(122.2-754.6)+(-4.63692+(-0.498576--3.078768))+0-0-0</f>
        <v>502.043272</v>
      </c>
      <c r="M152" s="3">
        <f>1155.6+(60.2-734.7)+(0+(0-0))+0-0-0</f>
        <v>481.09999999999991</v>
      </c>
      <c r="N152" s="3">
        <f>1231.7+(47.1-788.1)+(1.256334+(0.048042-0.803862))+0-0-0</f>
        <v>491.20051400000006</v>
      </c>
      <c r="O152" s="3">
        <f>1277.5+(56.9-828.1)+(-1.30305+(-0.058038--0.844662))+0-0-0</f>
        <v>505.78357399999993</v>
      </c>
      <c r="P152" s="3">
        <f>1281.9+(52.7-789.6)+(0+(0-0))+0-0-0</f>
        <v>545.00000000000011</v>
      </c>
      <c r="Q152" s="3">
        <f>1302.4+(85.6-789)+(0.664224+(0.043656-0.40239))+0-0-0</f>
        <v>599.30549000000008</v>
      </c>
      <c r="R152" s="3">
        <f>1305.1+(102.3-760.1)+(2.662404+(0.208692-1.550604))+0-0-0</f>
        <v>648.62049199999979</v>
      </c>
      <c r="S152" s="3">
        <f>1296.2+(111.9-720.3)+(0+(0-0))+0-0-0</f>
        <v>687.80000000000007</v>
      </c>
      <c r="T152" s="3">
        <f>1296.9+(144.2-738.4)+(-0.661419+(-0.073542--0.376584))+0-0-0</f>
        <v>702.34162300000003</v>
      </c>
      <c r="U152" s="3">
        <f>1298.9+(189.3-804.7)+(-0.662439+(-0.096543--0.410397))+0-0-0</f>
        <v>683.15141500000004</v>
      </c>
      <c r="V152" s="3">
        <f>1291.5+(186.4-822)+(-2.63466+(-0.380256--1.67688))+0-0-0</f>
        <v>654.56196399999999</v>
      </c>
      <c r="W152" s="3">
        <f>1295.3+(152.5-818.7)+(-1.321206+(-0.15555--0.835074))+0-0-0</f>
        <v>628.45831799999996</v>
      </c>
      <c r="X152" s="3">
        <f>1298.3+(93.2-792.5)+(-1.986399+(-0.142596--1.212525))+0-0-0</f>
        <v>598.08353</v>
      </c>
      <c r="Y152" s="3">
        <f>1304.5+(101.4-796)+(0.665295+(0.051714-0.40596))+0-0-0</f>
        <v>610.211049</v>
      </c>
      <c r="Z152" s="3">
        <f>1306.9+(205.3-734.3)+(-1.333038+(-0.209406--0.748986))+0-0-0</f>
        <v>777.1065420000001</v>
      </c>
      <c r="AA152" s="3">
        <f>1310.2+(189.6-688.6)+(-2.672808+(-0.386784--1.404744))+0-0-0</f>
        <v>809.54515200000003</v>
      </c>
      <c r="AB152" s="3">
        <f>1314.3+(145.3-676.9)+(0+(0-0))+0-0-0</f>
        <v>782.7</v>
      </c>
      <c r="AC152" s="3">
        <f>1312+(123.9-679.4)+(0.66912+(0.063189-0.346494))+0-0-0</f>
        <v>756.88581499999998</v>
      </c>
      <c r="AD152">
        <v>796.8</v>
      </c>
      <c r="AE152" s="3">
        <f>1302+(195.6-700.8)+(0+(0-0))+0-0-0</f>
        <v>796.80000000000007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1320.4+(96.4-687.1)+(2.020212+(0.147492-1.051263))+0-0-0</f>
        <v>730.81644100000005</v>
      </c>
      <c r="G153" s="3">
        <f>1300.9+(117.9-725.4)+(-1.990377+(-0.180387--1.109862))+0-0-0</f>
        <v>692.33909800000004</v>
      </c>
      <c r="H153" s="3">
        <f>1307.7+(140.8-806.6)+(-0.666927+(-0.071808--0.411366))+0-0-0</f>
        <v>641.57263100000011</v>
      </c>
      <c r="I153" s="3">
        <f>1196.7+(154.5-753.4)+(2.441268+(0.31518-1.536936))+0-0-0</f>
        <v>599.01951200000008</v>
      </c>
      <c r="J153" s="3">
        <f>1163.6+(147.4-727.3)+(0+(0-0))+0-0-0</f>
        <v>583.69999999999993</v>
      </c>
      <c r="K153" s="3">
        <f>1041.1+(72.8-579.7)+(-2.123844+(-0.148512--1.182588))+0-0-0</f>
        <v>533.11023199999977</v>
      </c>
      <c r="L153" s="3">
        <f>1036.6+(60.4-612.4)+(-2.114664+(-0.123216--1.249296))+0-0-0</f>
        <v>483.61141599999991</v>
      </c>
      <c r="M153" s="3">
        <f>1042.4+(53.7-624.3)+(-0.531624+(-0.027387--0.318393))+0-0-0</f>
        <v>471.5593820000002</v>
      </c>
      <c r="N153" s="3">
        <f>1225.7+(71.6-773.6)+(-1.250214+(-0.073032--0.789072))+0-0-0</f>
        <v>523.16582600000004</v>
      </c>
      <c r="O153" s="3">
        <f>1339.6+(139.7-896.9)+(0.683196+(0.071247-0.457419))+0-0-0</f>
        <v>582.69702399999983</v>
      </c>
      <c r="P153" s="3">
        <f>1336.8+(245.1-952.1)+(1.363536+(0.250002-0.971142))+0-0-0</f>
        <v>630.44239599999992</v>
      </c>
      <c r="Q153" s="3">
        <f>1325.6+(255-913.4)+(-0.676056+(-0.13005--0.465834))+0-0-0</f>
        <v>666.8597279999999</v>
      </c>
      <c r="R153" s="3">
        <f>1322.7+(281.8-878.4)+(0+(0-0))+0-0-0</f>
        <v>726.10000000000014</v>
      </c>
      <c r="S153" s="3">
        <f>1307.5+(300.1-860.7)+(-2.000475+(-0.459153--1.316871))+0-0-0</f>
        <v>745.75724300000002</v>
      </c>
      <c r="T153" s="3">
        <f>1309.5+(306.9-870)+(0.667845+(0.156519-0.4437))+0-0-0</f>
        <v>746.780664</v>
      </c>
      <c r="U153" s="3">
        <f>1293.2+(292.6-869.8)+(1.319064+(0.298452-0.887196))+0-0-0</f>
        <v>716.73032000000012</v>
      </c>
      <c r="V153" s="3">
        <f>1278.5+(277.7-849.1)+(-2.60814+(-0.566508--1.732164))+0-0-0</f>
        <v>705.65751599999987</v>
      </c>
      <c r="W153" s="3">
        <f>1283+(282.1-876)+(-1.30866+(-0.287742--0.89352))+0-0-0</f>
        <v>688.39711799999998</v>
      </c>
      <c r="X153" s="3">
        <f>1268.5+(277.5-865.9)+(-4.528545+(-0.990675--3.091263))+0-0-0</f>
        <v>677.67204300000003</v>
      </c>
      <c r="Y153" s="3">
        <f>1294.4+(276.9-854.4)+(-0.660144+(-0.141219--0.435744))+0-0-0</f>
        <v>716.53438100000005</v>
      </c>
      <c r="Z153" s="3">
        <f>1377.5+(319.4-819.2)+(0+(0-0))+0-0-0</f>
        <v>877.69999999999993</v>
      </c>
      <c r="AA153" s="3">
        <f>1418.7+(306.5-846.4)+(-2.894148+(-0.62526--1.726656))+0-0-0</f>
        <v>877.00724800000012</v>
      </c>
      <c r="AB153" s="3">
        <f>1430.4+(188.2-779.8)+(0+(0-0))+0-0-0</f>
        <v>838.80000000000018</v>
      </c>
      <c r="AC153" s="3">
        <f>1398.3+(195-787.6)+(-2.139399+(-0.29835--1.205028))+0-0-0</f>
        <v>804.46727899999996</v>
      </c>
      <c r="AD153">
        <v>816.59999999999991</v>
      </c>
      <c r="AE153" s="3">
        <f>1396+(323.8-903.2)+(0+(0-0))+0-0-0</f>
        <v>816.59999999999991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1327.3+(177.7-748.5)+(2.030769+(0.271881-1.145205))+0-0-0</f>
        <v>757.65744500000005</v>
      </c>
      <c r="G154" s="3">
        <f>1320.1+(196.3-810.2)+(0.673251+(0.100113-0.413202))+0-0-0</f>
        <v>706.56016199999976</v>
      </c>
      <c r="H154" s="3">
        <f>1310.3+(266.1-913.3)+(-2.004759+(-0.407133--1.397349))+0-0-0</f>
        <v>662.08545700000002</v>
      </c>
      <c r="I154" s="3">
        <f>1317.9+(277.5-965.1)+(0.672129+(0.141525-0.492201))+0-0-0</f>
        <v>630.62145300000009</v>
      </c>
      <c r="J154" s="3">
        <f>1317.2+(261.2-950.5)+(0+(0-0))+0-0-0</f>
        <v>627.90000000000009</v>
      </c>
      <c r="K154" s="3">
        <f>1172.4+(236.3-821.2)+(-2.391696+(-0.482052--1.675248))+0-0-0</f>
        <v>586.30150000000003</v>
      </c>
      <c r="L154" s="3">
        <f>1069.8+(127.7-702.2)+(-3.273588+(-0.390762--2.148732))+0-0-0</f>
        <v>493.78438199999994</v>
      </c>
      <c r="M154" s="3">
        <f>1083+(115.1-717.3)+(0.55233+(0.058701-0.365823))+0-0-0</f>
        <v>481.04520800000006</v>
      </c>
      <c r="N154" s="3">
        <f>1288.9+(107.4-859.5)+(0.657339+(0.054774-0.438345))+0-0-0</f>
        <v>537.07376800000009</v>
      </c>
      <c r="O154" s="3">
        <f>1340.7+(173.6-925.8)+(0.683757+(0.088536-0.472158))+0-0-0</f>
        <v>588.80013500000007</v>
      </c>
      <c r="P154" s="3">
        <f>1348+(290-1011.4)+(2.74992+(0.5916-2.063256))+0-0-0</f>
        <v>627.87826400000006</v>
      </c>
      <c r="Q154" s="3">
        <f>1404.1+(347.7-1067.2)+(0.716091+(0.177327-0.544272))+0-0-0</f>
        <v>684.94914599999993</v>
      </c>
      <c r="R154" s="3">
        <f>1419.4+(383.5-1102.2)+(1.447788+(0.39117-1.124244))+0-0-0</f>
        <v>701.414714</v>
      </c>
      <c r="S154" s="3">
        <f>1404.2+(398.3-1082.9)+(-1.432284+(-0.406266--1.104558))+0-0-0</f>
        <v>718.86600799999997</v>
      </c>
      <c r="T154" s="3">
        <f>1417.2+(403.5-1080.2)+(-1.445544+(-0.41157--1.101804))+0-0-0</f>
        <v>739.74468999999999</v>
      </c>
      <c r="U154" s="3">
        <f>1410.8+(384-1064)+(-2.878032+(-0.78336--2.17056))+0-0-0</f>
        <v>729.309168</v>
      </c>
      <c r="V154" s="3">
        <f>1402.5+(344.5-1027.1)+(-2.8611+(-0.70278--2.095284))+0-0-0</f>
        <v>718.43140400000004</v>
      </c>
      <c r="W154" s="3">
        <f>1359.5+(257.4-910.9)+(-4.853415+(-0.918918--3.251913))+0-0-0</f>
        <v>703.47958000000006</v>
      </c>
      <c r="X154" s="3">
        <f>1293.2+(179.4-803.3)+(-3.957192+(-0.548964--2.458098))+0-0-0</f>
        <v>667.2519420000001</v>
      </c>
      <c r="Y154" s="3">
        <f>1310.4+(153.4-789)+(0.668304+(0.078234-0.40239))+0-0-0</f>
        <v>675.14414800000009</v>
      </c>
      <c r="Z154" s="3">
        <f>1310.2+(288.9-769.1)+(-0.668202+(-0.147339--0.392241))+0-0-0</f>
        <v>829.57669999999996</v>
      </c>
      <c r="AA154" s="3">
        <f>1327.3+(275.3-758.7)+(-4.738461+(-0.982821--2.708559))+0-0-0</f>
        <v>840.88727699999981</v>
      </c>
      <c r="AB154" s="3">
        <f>1317.2+(179.1-702.4)+(-3.35886+(-0.456705--1.79112))+0-0-0</f>
        <v>791.87555500000008</v>
      </c>
      <c r="AC154" s="3">
        <f>1321.8+(135.4-693.2)+(0.674118+(0.069054-0.353532))+0-0-0</f>
        <v>764.38963999999987</v>
      </c>
      <c r="AD154">
        <v>856.30000000000007</v>
      </c>
      <c r="AE154" s="3">
        <f>1314+(290.7-748.4)+(0+(0-0))+0-0-0</f>
        <v>856.3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1314.9+(85.4-644.8)+(-0.670599+(-0.043554--0.328848))+0-0-0</f>
        <v>755.1146950000001</v>
      </c>
      <c r="G155" s="3">
        <f>1304.4+(85.6-667)+(-1.995732+(-0.130968--1.02051))+0-0-0</f>
        <v>721.89381000000014</v>
      </c>
      <c r="H155" s="3">
        <f>1309+(99.2-726.4)+(-1.33518+(-0.101184--0.740928))+0-0-0</f>
        <v>681.1045640000001</v>
      </c>
      <c r="I155" s="3">
        <f>1320.6+(104.5-772.5)+(2.020518+(0.159885-1.181925))+0-0-0</f>
        <v>653.59847799999989</v>
      </c>
      <c r="J155" s="3">
        <f>1314+(92.6-769.1)+(0.67014+(0.047226-0.392241))+0-0-0</f>
        <v>637.82512499999996</v>
      </c>
      <c r="K155" s="3">
        <f>1037.9+(92-540.8)+(-1.587987+(-0.14076--0.827424))+0-0-0</f>
        <v>588.19867700000009</v>
      </c>
      <c r="L155" s="3">
        <f>910.6+(110.6-499.5)+(-3.715248+(-0.451248--2.03796))+0-0-0</f>
        <v>519.57146399999999</v>
      </c>
      <c r="M155" s="3">
        <f>877.7+(107-506)+(0+(0-0))+0-0-0</f>
        <v>478.70000000000005</v>
      </c>
      <c r="N155" s="3">
        <f>886.4+(80.3-475.1)+(1.808256+(0.163812-0.969204))+0-0-0</f>
        <v>492.60286399999995</v>
      </c>
      <c r="O155" s="3">
        <f>891.7+(103.8-481.6)+(1.819068+(0.211752-0.982464))+0-0-0</f>
        <v>514.9483560000001</v>
      </c>
      <c r="P155" s="3">
        <f>1122.5+(89.4-669)+(0+(0-0))+0-0-0</f>
        <v>542.9</v>
      </c>
      <c r="Q155" s="3">
        <f>1124+(99.3-658.3)+(0.57324+(0.050643-0.335733))+0-0-0</f>
        <v>565.28814999999997</v>
      </c>
      <c r="R155" s="3">
        <f>1121.3+(148.2-721)+(0+(0-0))+0-0-0</f>
        <v>548.5</v>
      </c>
      <c r="S155" s="3">
        <f>1188.8+(161.5-798.8)+(-1.818864+(-0.247095--1.222164))+0-0-0</f>
        <v>550.656205</v>
      </c>
      <c r="T155" s="3">
        <f>1307.9+(150-920.1)+(0.667029+(0.0765-0.469251))+0-0-0</f>
        <v>538.07427800000005</v>
      </c>
      <c r="U155" s="3">
        <f>1318+(132.6-916.8)+(-1.34436+(-0.135252--0.935136))+0-0-0</f>
        <v>533.25552400000004</v>
      </c>
      <c r="V155" s="3">
        <f>1335.8+(81.6-887.8)+(0.681258+(0.041616-0.452778))+0-0-0</f>
        <v>529.87009599999999</v>
      </c>
      <c r="W155" s="3">
        <f>1318.6+(71.9-867.7)+(-2.689944+(-0.146676--1.770108))+0-0-0</f>
        <v>521.73348799999985</v>
      </c>
      <c r="X155" s="3">
        <f>1332.5+(31.2-832.4)+(-0.679575+(-0.015912--0.424524))+0-0-0</f>
        <v>531.02903700000002</v>
      </c>
      <c r="Y155" s="3">
        <f>1333.1+(56-808)+(-0.679881+(-0.02856--0.41208))+0-0-0</f>
        <v>580.80363899999986</v>
      </c>
      <c r="Z155" s="3">
        <f>1347.3+(208.7-826.6)+(-2.748492+(-0.425748--1.686264))+0-0-0</f>
        <v>727.91202399999986</v>
      </c>
      <c r="AA155" s="3">
        <f>1350.9+(192.2-813.3)+(-1.377918+(-0.196044--0.829566))+0-0-0</f>
        <v>729.05560400000013</v>
      </c>
      <c r="AB155" s="3">
        <f>1357.2+(114.7-761.8)+(0+(0-0))+0-0-0</f>
        <v>710.10000000000014</v>
      </c>
      <c r="AC155" s="3">
        <f>1327.9+(199-827.8)+(-2.708916+(-0.40596--1.688712))+0-0-0</f>
        <v>697.67383600000016</v>
      </c>
      <c r="AD155">
        <v>757.40000000000009</v>
      </c>
      <c r="AE155" s="3">
        <f>1346+(275.4-864)+(0+(0-0))+0-0-0</f>
        <v>757.4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1317.5+(113.3-773.2)+(-2.6877+(-0.231132--1.577328))+0-0-0</f>
        <v>656.25849599999992</v>
      </c>
      <c r="G156" s="3">
        <f>1316+(71.3-780.8)+(-2.68464+(-0.145452--1.592832))+0-0-0</f>
        <v>605.26274000000001</v>
      </c>
      <c r="H156" s="3">
        <f>1327.2+(49-814.6)+(-0.676872+(-0.02499--0.415446))+0-0-0</f>
        <v>561.31358399999999</v>
      </c>
      <c r="I156" s="3">
        <f>1336.5+(17.1-810.2)+(1.36323+(0.017442-0.826404))+0-0-0</f>
        <v>543.95426799999996</v>
      </c>
      <c r="J156" s="3">
        <f>1336.2+(12.7-813.5)+(1.362924+(0.012954-0.82977))+0-0-0</f>
        <v>535.94610800000009</v>
      </c>
      <c r="K156" s="3">
        <f>1319.2+(14.6-815.8)+(-2.018376+(-0.022338--1.248174))+0-0-0</f>
        <v>517.20746000000008</v>
      </c>
      <c r="L156" s="3">
        <f>1323.5+(11.8-861.9)+(0+(0-0))+0-0-0</f>
        <v>473.4</v>
      </c>
      <c r="M156" s="3">
        <f>1334.9+(12.6-869.4)+(0+(0-0))+0-0-0</f>
        <v>478.10000000000014</v>
      </c>
      <c r="N156" s="3">
        <f>1335.6+(64.3-859.1)+(2.043468+(0.098379-1.314423))+0-0-0</f>
        <v>541.62742399999979</v>
      </c>
      <c r="O156" s="3">
        <f>1346.3+(148.5-903.2)+(1.373226+(0.15147-0.921264))+0-0-0</f>
        <v>592.20343199999991</v>
      </c>
      <c r="P156" s="3">
        <f>1418+(214.1-984.2)+(2.89272+(0.436764-2.007768))+0-0-0</f>
        <v>649.22171600000001</v>
      </c>
      <c r="Q156" s="3">
        <f>1422.9+(259.4-1020.4)+(1.451358+(0.264588-1.040808))+0-0-0</f>
        <v>662.57513800000004</v>
      </c>
      <c r="R156" s="3">
        <f>1437.6+(296.1-1053.9)+(2.199528+(0.453033-1.612467))+0-0-0</f>
        <v>680.84009399999979</v>
      </c>
      <c r="S156" s="3">
        <f>1429.7+(320.2-1071.9)+(0+(0-0))+0-0-0</f>
        <v>678</v>
      </c>
      <c r="T156" s="3">
        <f>1426.2+(324.8-1083.9)+(0+(0-0))+0-0-0</f>
        <v>667.09999999999991</v>
      </c>
      <c r="U156" s="3">
        <f>1406+(317.9-1089.2)+(-4.30236+(-0.972774--3.332952))+0-0-0</f>
        <v>632.75781799999993</v>
      </c>
      <c r="V156" s="3">
        <f>1415.2+(282.7-1066.9)+(-2.165256+(-0.432531--1.632357))+0-0-0</f>
        <v>630.03457000000003</v>
      </c>
      <c r="W156" s="3">
        <f>1423.6+(213.6-1014.7)+(-1.452072+(-0.217872--1.034994))+0-0-0</f>
        <v>621.86504999999988</v>
      </c>
      <c r="X156" s="3">
        <f>1430.4+(139.2-939.9)+(-2.188512+(-0.212976--1.438047))+0-0-0</f>
        <v>628.73655900000006</v>
      </c>
      <c r="Y156" s="3">
        <f>1439.2+(129.3-899.9)+(1.467984+(0.131886-0.917898))+0-0-0</f>
        <v>669.28197200000011</v>
      </c>
      <c r="Z156" s="3">
        <f>1432.8+(310.6-938.9)+(-1.461456+(-0.316812--0.957678))+0-0-0</f>
        <v>803.67940999999996</v>
      </c>
      <c r="AA156" s="3">
        <f>1455.1+(287.6-951.8)+(-2.226303+(-0.440028--1.456254))+0-0-0</f>
        <v>789.68992300000002</v>
      </c>
      <c r="AB156" s="3">
        <f>1428.6+(252.6-931.7)+(-2.185758+(-0.386478--1.425501))+0-0-0</f>
        <v>748.35326499999985</v>
      </c>
      <c r="AC156" s="3">
        <f>1331.7+(203.5-821)+(-1.358334+(-0.20757--0.83742))+0-0-0</f>
        <v>713.47151600000007</v>
      </c>
      <c r="AD156">
        <v>823.8</v>
      </c>
      <c r="AE156" s="3">
        <f>1450+(290.3-916.5)+(0+(0-0))+0-0-0</f>
        <v>823.8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1331.8+(145.7-773.9)+(-0.679218+(-0.074307--0.394689))+0-0-0</f>
        <v>703.24116399999991</v>
      </c>
      <c r="G157" s="3">
        <f>1321.1+(136.2-813.4)+(-2.021283+(-0.208386--1.244502))+0-0-0</f>
        <v>642.91483299999982</v>
      </c>
      <c r="H157" s="3">
        <f>1325.8+(144.7-870.7)+(-1.352316+(-0.147594--0.888114))+0-0-0</f>
        <v>599.18820399999993</v>
      </c>
      <c r="I157" s="3">
        <f>1320.1+(149.5-895)+(-3.366255+(-0.381225--2.28225))+0-0-0</f>
        <v>573.13476999999989</v>
      </c>
      <c r="J157" s="3">
        <f>1336.4+(145.5-916.1)+(0.681564+(0.074205-0.467211))+0-0-0</f>
        <v>566.08855800000003</v>
      </c>
      <c r="K157" s="3">
        <f>1175.8+(125.9-771.3)+(-2.99829+(-0.321045--1.966815))+0-0-0</f>
        <v>529.04747999999995</v>
      </c>
      <c r="L157" s="3">
        <f>1008.6+(75.5-599)+(-1.543158+(-0.115515--0.91647))+0-0-0</f>
        <v>484.35779700000001</v>
      </c>
      <c r="M157" s="3">
        <f>1013.4+(55.4-594.6)+(-1.033668+(-0.056508--0.606492))+0-0-0</f>
        <v>473.71631599999995</v>
      </c>
      <c r="N157" s="3">
        <f>1035.9+(85.7-607.1)+(1.056618+(0.087414-0.619242))+0-0-0</f>
        <v>515.02479000000017</v>
      </c>
      <c r="O157" s="3">
        <f>1233.5+(110.7-762.2)+(1.25817+(0.112914-0.777444))+0-0-0</f>
        <v>582.59364000000005</v>
      </c>
      <c r="P157" s="3">
        <f>1342.9+(232.8-948.6)+(0.684879+(0.118728-0.483786))+0-0-0</f>
        <v>627.41982100000018</v>
      </c>
      <c r="Q157" s="3">
        <f>1413.2+(334.5-1096.1)+(-1.441464+(-0.34119--1.118022))+0-0-0</f>
        <v>650.93536800000015</v>
      </c>
      <c r="R157" s="3">
        <f>1435.9+(329.3-1133.9)+(-0.732309+(-0.167943--0.578289))+0-0-0</f>
        <v>630.97803699999997</v>
      </c>
      <c r="S157" s="3">
        <f>1423.2+(329.5-1144.6)+(-3.62916+(-0.840225--2.91873))+0-0-0</f>
        <v>606.54934500000013</v>
      </c>
      <c r="T157" s="3">
        <f>1430.4+(321.9-1169.4)+(-3.64752+(-0.820845--2.98197))+0-0-0</f>
        <v>581.41360499999996</v>
      </c>
      <c r="U157" s="3">
        <f>1434.6+(303-1173.6)+(-2.194938+(-0.46359--1.795608))+0-0-0</f>
        <v>563.13707999999997</v>
      </c>
      <c r="V157" s="3">
        <f>1433+(292.6-1162.4)+(-2.19249+(-0.447678--1.778472))+0-0-0</f>
        <v>562.33830399999988</v>
      </c>
      <c r="W157" s="3">
        <f>1349.2+(262.8-1048.6)+(-1.376184+(-0.268056--1.069572))+0-0-0</f>
        <v>562.82533200000012</v>
      </c>
      <c r="X157" s="3">
        <f>1330.1+(223.5-973.1)+(-3.391755+(-0.569925--2.481405))+0-0-0</f>
        <v>579.01972499999988</v>
      </c>
      <c r="Y157" s="3">
        <f>1339.9+(253.2-987.9)+(-0.683349+(-0.129132--0.503829))+0-0-0</f>
        <v>604.89134799999999</v>
      </c>
      <c r="Z157" s="3">
        <f>1240.4+(278.3-840.8)+(0+(0-0))+0-0-0</f>
        <v>677.90000000000009</v>
      </c>
      <c r="AA157" s="3">
        <f>1326+(265.7-915.3)+(-2.70504+(-0.542028--1.867212))+0-0-0</f>
        <v>675.02014400000007</v>
      </c>
      <c r="AB157" s="3">
        <f>1335.1+(269.1-952)+(0.680901+(0.137241-0.48552))+0-0-0</f>
        <v>652.53262199999995</v>
      </c>
      <c r="AC157" s="3">
        <f>1312.5+(244.1-944.4)+(-2.6775+(-0.497964--1.926576))+0-0-0</f>
        <v>610.95111200000008</v>
      </c>
      <c r="AD157">
        <v>676.8</v>
      </c>
      <c r="AE157" s="3">
        <f>1338+(264.1-925.3)+(0+(0-0))+0-0-0</f>
        <v>676.80000000000007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1323.4+(166.5-907.6)+(-0.674934+(-0.084915--0.462876))+0-0-0</f>
        <v>582.00302700000009</v>
      </c>
      <c r="G158" s="3">
        <f>1320+(65.9-862.8)+(0+(0-0))+0-0-0</f>
        <v>523.1</v>
      </c>
      <c r="H158" s="3">
        <f>1273+(48.2-829.6)+(0+(0-0))+0-0-0</f>
        <v>491.6</v>
      </c>
      <c r="I158" s="3">
        <f>1188.6+(49.6-758.7)+(1.818558+(0.075888-1.160811))+0-0-0</f>
        <v>480.23363499999988</v>
      </c>
      <c r="J158" s="3">
        <f>1179.5+(43.5-736.7)+(-0.601545+(-0.022185--0.375717))+0-0-0</f>
        <v>486.05198699999994</v>
      </c>
      <c r="K158" s="3">
        <f>1082.8+(44.4-668.1)+(-2.76114+(-0.11322--1.703655))+0-0-0</f>
        <v>457.92929499999991</v>
      </c>
      <c r="L158" s="3">
        <f>1026.6+(49.4-649.3)+(-2.094264+(-0.100776--1.324572))+0-0-0</f>
        <v>425.82953199999992</v>
      </c>
      <c r="M158" s="3">
        <f>1043+(47.9-658.7)+(1.06386+(0.048858-0.671874))+0-0-0</f>
        <v>432.64084399999996</v>
      </c>
      <c r="N158" s="3">
        <f>1046.6+(128.1-695.2)+(0+(0-0))+0-0-0</f>
        <v>479.49999999999989</v>
      </c>
      <c r="O158" s="3">
        <f>1052.4+(128.2-666.5)+(0.536724+(0.065382-0.339915))+0-0-0</f>
        <v>514.36219100000017</v>
      </c>
      <c r="P158" s="3">
        <f>1061.4+(107.7-612.8)+(2.165256+(0.219708-1.250112))+0-0-0</f>
        <v>557.43485200000021</v>
      </c>
      <c r="Q158" s="3">
        <f>1247.5+(117.4-779.1)+(-3.181125+(-0.29937--1.986705))+0-0-0</f>
        <v>584.30620999999996</v>
      </c>
      <c r="R158" s="3">
        <f>1291.6+(147.9-880.8)+(1.317432+(0.150858-0.898416))+0-0-0</f>
        <v>559.26987399999996</v>
      </c>
      <c r="S158" s="3">
        <f>1275.9+(181.3-915.1)+(-1.952127+(-0.277389--1.400103))+0-0-0</f>
        <v>541.27058700000009</v>
      </c>
      <c r="T158" s="3">
        <f>1286.5+(199.9-967.4)+(0.656115+(0.101949-0.493374))+0-0-0</f>
        <v>519.26468999999997</v>
      </c>
      <c r="U158" s="3">
        <f>1267.4+(183-941.2)+(0+(0-0))+0-0-0</f>
        <v>509.20000000000005</v>
      </c>
      <c r="V158" s="3">
        <f>1253.2+(168.6-905.2)+(-3.19566+(-0.42993--2.30826))+0-0-0</f>
        <v>515.28267000000005</v>
      </c>
      <c r="W158" s="3">
        <f>1264.8+(115.3-870.6)+(-1.935144+(-0.176409--1.332018))+0-0-0</f>
        <v>508.72046499999988</v>
      </c>
      <c r="X158" s="3">
        <f>1277.8+(61.6-818.2)+(-1.955034+(-0.094248--1.251846))+0-0-0</f>
        <v>520.40256399999998</v>
      </c>
      <c r="Y158" s="3">
        <f>1294.3+(62.1-800.8)+(1.320186+(0.063342-0.816816))+0-0-0</f>
        <v>556.16671200000008</v>
      </c>
      <c r="Z158" s="3">
        <f>1273.3+(101.9-738.1)+(-4.545681+(-0.363783--2.635017))+0-0-0</f>
        <v>634.8255529999999</v>
      </c>
      <c r="AA158" s="3">
        <f>1296.6+(83.2-741.2)+(-1.983798+(-0.127296--1.134036))+0-0-0</f>
        <v>637.62294199999985</v>
      </c>
      <c r="AB158" s="3">
        <f>1312.3+(55.8-758.3)+(0.669273+(0.028458-0.386733))+0-0-0</f>
        <v>610.110998</v>
      </c>
      <c r="AC158" s="3">
        <f>1282.2+(53.6-752.8)+(-3.26961+(-0.13668--1.91964))+0-0-0</f>
        <v>581.51335000000006</v>
      </c>
      <c r="AD158">
        <v>622.5</v>
      </c>
      <c r="AE158" s="3">
        <f>1297+(81.7-756.2)+(0+(0-0))+0-0-0</f>
        <v>622.5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1274.8+(44.4-774.6)+(-3.25074+(-0.11322--1.97523))+0-0-0</f>
        <v>543.2112699999999</v>
      </c>
      <c r="G159" s="3">
        <f>1280.5+(51.1-831.4)+(-3.265275+(-0.130305--2.12007))+0-0-0</f>
        <v>498.92449000000005</v>
      </c>
      <c r="H159" s="3">
        <f>1289.3+(34.9-862.9)+(1.315086+(0.035598-0.880158))+0-0-0</f>
        <v>461.77052599999996</v>
      </c>
      <c r="I159" s="3">
        <f>1277.6+(36.1-864)+(-1.954728+(-0.055233--1.32192))+0-0-0</f>
        <v>449.01195899999993</v>
      </c>
      <c r="J159" s="3">
        <f>1289.6+(34-860.9)+(0+(0-0))+0-0-0</f>
        <v>462.69999999999993</v>
      </c>
      <c r="K159" s="3">
        <f>1220.5+(33.9-813.3)+(-3.112275+(-0.086445--2.073915))+0-0-0</f>
        <v>439.97519500000004</v>
      </c>
      <c r="L159" s="3">
        <f>983.6+(43-630.9)+(-3.511452+(-0.15351--2.252313))+0-0-0</f>
        <v>394.28735100000006</v>
      </c>
      <c r="M159" s="3">
        <f>999.1+(45.9-665.1)+(0.509541+(0.023409-0.339201))+0-0-0</f>
        <v>380.093749</v>
      </c>
      <c r="N159" s="3">
        <f>998.4+(37.2-641.9)+(0.509184+(0.018972-0.327369))+0-0-0</f>
        <v>393.90078700000004</v>
      </c>
      <c r="O159" s="3">
        <f>988.8+(42.6-622.7)+(-1.008576+(-0.043452--0.635154))+0-0-0</f>
        <v>408.28312599999992</v>
      </c>
      <c r="P159" s="3">
        <f>1016.4+(55.9-639.9)+(1.036728+(0.057018-0.652698))+0-0-0</f>
        <v>432.841048</v>
      </c>
      <c r="Q159" s="3">
        <f>1011.7+(98-644.1)+(2.063868+(0.19992-1.313964))+0-0-0</f>
        <v>466.549824</v>
      </c>
      <c r="R159" s="3">
        <f>993.7+(133.7-649.2)+(-1.520361+(-0.204561--0.993276))+0-0-0</f>
        <v>477.46835400000003</v>
      </c>
      <c r="S159" s="3">
        <f>996.1+(142.9-668.7)+(-1.016022+(-0.145758--0.682074))+0-0-0</f>
        <v>469.82029399999993</v>
      </c>
      <c r="T159" s="3">
        <f>1143.8+(139.9-827)+(0.583338+(0.071349-0.42177))+0-0-0</f>
        <v>456.93291699999992</v>
      </c>
      <c r="U159" s="3">
        <f>1282.4+(126-962.1)+(0+(0-0))+0-0-0</f>
        <v>446.30000000000007</v>
      </c>
      <c r="V159" s="3">
        <f>1279.5+(127.7-963)+(0+(0-0))+0-0-0</f>
        <v>444.20000000000005</v>
      </c>
      <c r="W159" s="3">
        <f>1277.6+(122.9-951.4)+(0+(0-0))+0-0-0</f>
        <v>449.09999999999991</v>
      </c>
      <c r="X159" s="3">
        <f>1268.5+(69.1-883)+(-1.940805+(-0.105723--1.35099))+0-0-0</f>
        <v>453.90446200000002</v>
      </c>
      <c r="Y159" s="3">
        <f>1298.7+(34.1-832.4)+(1.987011+(0.052173-1.273572))+0-0-0</f>
        <v>501.16561200000007</v>
      </c>
      <c r="Z159" s="3">
        <f>1311.6+(139.4-867.3)+(-1.337832+(-0.142188--0.884646))+0-0-0</f>
        <v>583.10462599999994</v>
      </c>
      <c r="AA159" s="3">
        <f>1322+(130.1-871.9)+(-0.67422+(-0.066351--0.444669))+0-0-0</f>
        <v>579.90409800000009</v>
      </c>
      <c r="AB159" s="3">
        <f>1315.3+(124.6-878.3)+(-1.341606+(-0.127092--0.895866))+0-0-0</f>
        <v>561.02716800000007</v>
      </c>
      <c r="AC159" s="3">
        <f>1205.1+(114.6-790.9)+(0.614601+(0.058446-0.403359))+0-0-0</f>
        <v>529.06968799999993</v>
      </c>
      <c r="AD159">
        <v>594.30000000000007</v>
      </c>
      <c r="AE159" s="3">
        <f>1297+(140.7-843.4)+(0+(0-0))+0-0-0</f>
        <v>594.29999999999995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1190.9+(73.7-769.5)+(-0.607359+(-0.037587--0.392445))+0-0-0</f>
        <v>494.84749900000014</v>
      </c>
      <c r="G160" s="3">
        <f>1176.8+(53.2-782.4)+(-3.601008+(-0.162792--2.394144))+0-0-0</f>
        <v>446.230344</v>
      </c>
      <c r="H160" s="3">
        <f>1142+(30.6-748.8)+(-2.32968+(-0.062424--1.527552))+0-0-0</f>
        <v>422.93544800000006</v>
      </c>
      <c r="I160" s="3">
        <f>995.8+(40.9-622.8)+(0.507858+(0.020859-0.317628))+0-0-0</f>
        <v>414.11108899999999</v>
      </c>
      <c r="J160" s="3">
        <f>987.3+(36.8-602.4)+(1.007046+(0.037536-0.614448))+0-0-0</f>
        <v>422.13013399999994</v>
      </c>
      <c r="K160" s="3">
        <f>991.4+(42.3-617.9)+(-0.505614+(-0.021573--0.315129))+0-0-0</f>
        <v>415.58794199999994</v>
      </c>
      <c r="L160" s="3">
        <f>981.1+(47.6-632)+(-2.501805+(-0.12138--1.6116))+0-0-0</f>
        <v>395.68841500000002</v>
      </c>
      <c r="M160" s="3">
        <f>1051.7+(41.6-694.4)+(-1.072734+(-0.042432--0.708288))+0-0-0</f>
        <v>398.49312200000008</v>
      </c>
      <c r="N160" s="3">
        <f>1310.4+(28.4-868.3)+(-1.336608+(-0.028968--0.885666))+0-0-0</f>
        <v>470.0200900000001</v>
      </c>
      <c r="O160" s="3">
        <f>1312.9+(40.3-844.7)+(1.339158+(0.041106-0.861594))+0-0-0</f>
        <v>509.01866999999999</v>
      </c>
      <c r="P160" s="3">
        <f>1308.2+(125-899.3)+(0.667182+(0.06375-0.458643))+0-0-0</f>
        <v>534.17228900000009</v>
      </c>
      <c r="Q160" s="3">
        <f>1313.8+(111.4-876.2)+(1.340076+(0.113628-0.893724))+0-0-0</f>
        <v>549.55997999999988</v>
      </c>
      <c r="R160" s="3">
        <f>1303+(111.8-860.8)+(-0.66453+(-0.057018--0.439008))+0-0-0</f>
        <v>553.71745999999996</v>
      </c>
      <c r="S160" s="3">
        <f>1297.3+(142.7-910.4)+(-1.984869+(-0.218331--1.392912))+0-0-0</f>
        <v>528.78971199999989</v>
      </c>
      <c r="T160" s="3">
        <f>1293.5+(86.6-916.9)+(-0.659685+(-0.044166--0.467619))+0-0-0</f>
        <v>462.96376800000007</v>
      </c>
      <c r="U160" s="3">
        <f>1304.6+(154.8-946)+(-1.330692+(-0.157896--0.96492))+0-0-0</f>
        <v>512.87633199999982</v>
      </c>
      <c r="V160" s="3">
        <f>1300.5+(149.4-939.3)+(-3.97953+(-0.457164--2.874258))+0-0-0</f>
        <v>509.03756400000003</v>
      </c>
      <c r="W160" s="3">
        <f>1319.6+(96.2-892.8)+(-1.345992+(-0.098124--0.910656))+0-0-0</f>
        <v>522.46654000000001</v>
      </c>
      <c r="X160" s="3">
        <f>1323.5+(42.9-834.5)+(-2.024955+(-0.065637--1.276785))+0-0-0</f>
        <v>531.08619299999998</v>
      </c>
      <c r="Y160" s="3">
        <f>1272.7+(39.6-718.8)+(0+(0-0))+0-0-0</f>
        <v>593.50000000000011</v>
      </c>
      <c r="Z160" s="3">
        <f>1337.8+(131.4-803.7)+(-1.364556+(-0.134028--0.819774))+0-0-0</f>
        <v>664.82118999999989</v>
      </c>
      <c r="AA160" s="3">
        <f>1330.9+(88.6-773.7)+(-3.393795+(-0.22593--1.972935))+0-0-0</f>
        <v>644.15321000000006</v>
      </c>
      <c r="AB160" s="3">
        <f>1336.4+(68.1-783)+(-2.044692+(-0.104193--1.19799))+0-0-0</f>
        <v>620.54910500000017</v>
      </c>
      <c r="AC160" s="3">
        <f>1344+(49.2-820.3)+(0.68544+(0.025092-0.418353))+0-0-0</f>
        <v>573.19217900000012</v>
      </c>
      <c r="AD160">
        <v>616.39999999999986</v>
      </c>
      <c r="AE160" s="3">
        <f>1338+(129.1-850.7)+(0+(0-0))+0-0-0</f>
        <v>616.4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1242.8+(40.5-782.3)+(-1.267656+(-0.04131--0.797946))+0-0-0</f>
        <v>500.48898000000003</v>
      </c>
      <c r="G161" s="3">
        <f>1068.3+(78.9-707.5)+(-1.089666+(-0.080478--0.72165))+0-0-0</f>
        <v>439.25150599999995</v>
      </c>
      <c r="H161" s="3">
        <f>959.8+(90.8-633.6)+(-1.957992+(-0.185232--1.292544))+0-0-0</f>
        <v>416.14931999999988</v>
      </c>
      <c r="I161" s="3">
        <f>935.5+(74.2-600)+(0.477105+(0.037842-0.306))+0-0-0</f>
        <v>409.90894700000007</v>
      </c>
      <c r="J161" s="3">
        <f>934.9+(70.1-578.9)+(0.953598+(0.071502-0.590478))+0-0-0</f>
        <v>426.53462200000001</v>
      </c>
      <c r="K161" s="3">
        <f>919.1+(77.9-575.3)+(-2.343705+(-0.198645--1.467015))+0-0-0</f>
        <v>420.62466500000005</v>
      </c>
      <c r="L161" s="3">
        <f>921+(58.2-589.1)+(-1.87884+(-0.118728--1.201764))+0-0-0</f>
        <v>389.30419600000005</v>
      </c>
      <c r="M161" s="3">
        <f>958+(42.8-603.7)+(0.48858+(0.021828-0.307887))+0-0-0</f>
        <v>397.3025209999999</v>
      </c>
      <c r="N161" s="3">
        <f>1116.3+(36.2-704.2)+(0.569313+(0.018462-0.359142))+0-0-0</f>
        <v>448.52863299999996</v>
      </c>
      <c r="O161" s="3">
        <f>1113+(107.2-725.1)+(-1.13526+(-0.109344--0.739602))+0-0-0</f>
        <v>494.59499800000003</v>
      </c>
      <c r="P161" s="3">
        <f>1121+(142.9-757.1)+(0.57171+(0.072879-0.386121))+0-0-0</f>
        <v>507.05846799999995</v>
      </c>
      <c r="Q161" s="3">
        <f>1201.1+(206.6-828.7)+(-0.612561+(-0.105366--0.422637))+0-0-0</f>
        <v>578.70470999999986</v>
      </c>
      <c r="R161" s="3">
        <f>1224.8+(230.4-909)+(0.624648+(0.117504-0.46359))+0-0-0</f>
        <v>546.4785619999999</v>
      </c>
      <c r="S161" s="3">
        <f>1208.6+(238.4-923.9)+(-2.465544+(-0.486336--1.884756))+0-0-0</f>
        <v>522.03287599999987</v>
      </c>
      <c r="T161" s="3">
        <f>1214.3+(190.4-884.8)+(-1.857879+(-0.291312--1.353744))+0-0-0</f>
        <v>519.10455300000001</v>
      </c>
      <c r="U161" s="3">
        <f>1212.7+(166.3-897.6)+(-1.236954+(-0.169626--0.915552))+0-0-0</f>
        <v>480.90897200000006</v>
      </c>
      <c r="V161" s="3">
        <f>1244.1+(169.2-885.4)+(-1.268982+(-0.172584--0.903108))+0-0-0</f>
        <v>527.36154199999987</v>
      </c>
      <c r="W161" s="3">
        <f>1257.1+(121.2-857.9)+(-3.205605+(-0.30906--2.187645))+0-0-0</f>
        <v>519.07298000000003</v>
      </c>
      <c r="X161" s="3">
        <f>1224.6+(56.2-747.7)+(-3.747276+(-0.171972--2.287962))+0-0-0</f>
        <v>531.46871399999986</v>
      </c>
      <c r="Y161" s="3">
        <f>1173.8+(84.9-682.9)+(0+(0-0))+0-0-0</f>
        <v>575.79999999999995</v>
      </c>
      <c r="Z161" s="3">
        <f>1162.9+(130.4-659.6)+(-2.372316+(-0.266016--1.345584))+0-0-0</f>
        <v>632.40725200000008</v>
      </c>
      <c r="AA161" s="3">
        <f>1161+(107.5-665.5)+(-2.96055+(-0.274125--1.697025))+0-0-0</f>
        <v>601.46235000000001</v>
      </c>
      <c r="AB161" s="3">
        <f>1102.8+(87.8-606.7)+(-2.249712+(-0.179112--1.237668))+0-0-0</f>
        <v>582.70884399999989</v>
      </c>
      <c r="AC161" s="3">
        <f>1000.9+(133.4-589.9)+(-1.531377+(-0.204102--0.902547))+0-0-0</f>
        <v>543.56706799999995</v>
      </c>
      <c r="AD161">
        <v>597.49999999999989</v>
      </c>
      <c r="AE161" s="3">
        <f>1158+(103.1-663.6)+(0+(0-0))+0-0-0</f>
        <v>597.5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1000.5+(153.7-643.8)+(-0.510255+(-0.078387--0.328338))+0-0-0</f>
        <v>510.13969600000001</v>
      </c>
      <c r="G162" s="3">
        <f>923.4+(113.1-583.2)+(0+(0-0))+0-0-0</f>
        <v>453.29999999999995</v>
      </c>
      <c r="H162" s="3">
        <f>897.4+(82.9-548.6)+(0+(0-0))+0-0-0</f>
        <v>431.69999999999993</v>
      </c>
      <c r="I162" s="3">
        <f>892.9+(71.2-538.4)+(-1.366137+(-0.108936--0.823752))+0-0-0</f>
        <v>425.04867899999999</v>
      </c>
      <c r="J162" s="3">
        <f>901.9+(79.7-547.8)+(0.459969+(0.040647-0.279378))+0-0-0</f>
        <v>434.02123800000004</v>
      </c>
      <c r="K162" s="3">
        <f>899.8+(89.9-552.4)+(-0.458898+(-0.045849--0.281724))+0-0-0</f>
        <v>437.07697699999994</v>
      </c>
      <c r="L162" s="3">
        <f>893.5+(86.4-573.9)+(-1.82274+(-0.176256--1.170756))+0-0-0</f>
        <v>405.17176000000001</v>
      </c>
      <c r="M162" s="3">
        <f>891.1+(92.5-576.6)+(-1.817844+(-0.1887--1.176264))+0-0-0</f>
        <v>406.16971999999998</v>
      </c>
      <c r="N162" s="3">
        <f>1056.4+(93.5-695.5)+(1.077528+(0.09537-0.70941))+0-0-0</f>
        <v>454.86348800000007</v>
      </c>
      <c r="O162" s="3">
        <f>1140.1+(81.8-723.4)+(0.581451+(0.041718-0.368934))+0-0-0</f>
        <v>498.75423499999988</v>
      </c>
      <c r="P162" s="3">
        <f>1144.2+(95.1-715.6)+(0+(0-0))+0-0-0</f>
        <v>523.70000000000005</v>
      </c>
      <c r="Q162" s="3">
        <f>1145.9+(120.3-721)+(-0.584409+(-0.061353--0.36771))+0-0-0</f>
        <v>544.92194800000004</v>
      </c>
      <c r="R162" s="3">
        <f>1137.4+(111.6-706.7)+(-2.320296+(-0.227664--1.441668))+0-0-0</f>
        <v>541.19370800000002</v>
      </c>
      <c r="S162" s="3">
        <f>1127.8+(57.8-674.4)+(-4.026246+(-0.206346--2.407608))+0-0-0</f>
        <v>509.37501599999996</v>
      </c>
      <c r="T162" s="3">
        <f>1135.9+(43.8-696.3)+(-2.896545+(-0.11169--1.775565))+0-0-0</f>
        <v>482.16733000000011</v>
      </c>
      <c r="U162" s="3">
        <f>1139.3+(45.4-709.8)+(-1.743129+(-0.069462--1.085994))+0-0-0</f>
        <v>474.17340299999995</v>
      </c>
      <c r="V162" s="3">
        <f>1142.1+(86-753.7)+(-1.747413+(-0.13158--1.153161))+0-0-0</f>
        <v>473.67416799999984</v>
      </c>
      <c r="W162" s="3">
        <f>1140.7+(86.5-753.4)+(-1.745271+(-0.132345--1.152702))+0-0-0</f>
        <v>473.07508600000006</v>
      </c>
      <c r="X162" s="3">
        <f>1149.5+(93.1-771.1)+(0.586245+(0.047481-0.393261))+0-0-0</f>
        <v>471.74046499999997</v>
      </c>
      <c r="Y162" s="3">
        <f>1154.5+(120.7-756.1)+(-1.17759+(-0.123114--0.771222))+0-0-0</f>
        <v>518.57051799999999</v>
      </c>
      <c r="Z162" s="3">
        <f>1170.2+(186.5-726.8)+(-3.580812+(-0.57069--2.224008))+0-0-0</f>
        <v>627.97250600000007</v>
      </c>
      <c r="AA162" s="3">
        <f>1183.2+(163.9-719.4)+(-2.413728+(-0.334356--1.467576))+0-0-0</f>
        <v>626.41949199999999</v>
      </c>
      <c r="AB162" s="3">
        <f>1191+(149.9-734.5)+(0.60741+(0.076449-0.374595))+0-0-0</f>
        <v>606.70926399999996</v>
      </c>
      <c r="AC162" s="3">
        <f>1175.3+(136.2-734.3)+(-1.198806+(-0.138924--0.748986))+0-0-0</f>
        <v>576.61125600000003</v>
      </c>
      <c r="AD162">
        <v>619.40000000000009</v>
      </c>
      <c r="AE162" s="3">
        <f>1182+(176.7-739.3)+(0+(0-0))+0-0-0</f>
        <v>619.40000000000009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1180.6+(127.1-782.3)+(0+(0-0))+0-0-0</f>
        <v>525.4</v>
      </c>
      <c r="G163" s="3">
        <f>1032.5+(105-661.7)+(0+(0-0))+0-0-0</f>
        <v>475.79999999999995</v>
      </c>
      <c r="H163" s="3">
        <f>952.3+(89.6-604.6)+(1.457019+(0.137088-0.925038))+0-0-0</f>
        <v>437.96906899999993</v>
      </c>
      <c r="I163" s="3">
        <f>945.4+(86.1-596.9)+(0+(0-0))+0-0-0</f>
        <v>434.6</v>
      </c>
      <c r="J163" s="3">
        <f>970.3+(82.2-606.6)+(0+(0-0))+0-0-0</f>
        <v>445.9</v>
      </c>
      <c r="K163" s="3">
        <f>1008.9+(70.3-642.6)+(-3.601773+(-0.250971--2.294082))+0-0-0</f>
        <v>435.04133799999988</v>
      </c>
      <c r="L163" s="3">
        <f>1006.2+(67.3-663.3)+(-3.592134+(-0.240261--2.367981))+0-0-0</f>
        <v>408.73558600000007</v>
      </c>
      <c r="M163" s="3">
        <f>1026.1+(78.4-686.3)+(0+(0-0))+0-0-0</f>
        <v>418.19999999999993</v>
      </c>
      <c r="N163" s="3">
        <f>1133+(60.6-716.9)+(1.15566+(0.061812-0.731238))+0-0-0</f>
        <v>477.18623400000007</v>
      </c>
      <c r="O163" s="3">
        <f>1143.4+(81.4-716.3)+(1.166268+(0.083028-0.730626))+0-0-0</f>
        <v>509.0186700000001</v>
      </c>
      <c r="P163" s="3">
        <f>1145.7+(84.3-698.2)+(0.584307+(0.042993-0.356082))+0-0-0</f>
        <v>532.07121799999993</v>
      </c>
      <c r="Q163" s="3">
        <f>1138.3+(93-677.9)+(0.580533+(0.04743-0.345729))+0-0-0</f>
        <v>553.68223399999999</v>
      </c>
      <c r="R163" s="3">
        <f>1047.1+(131-613.7)+(-1.602063+(-0.20043--0.938961))+0-0-0</f>
        <v>563.5364679999999</v>
      </c>
      <c r="S163" s="3">
        <f>977.9+(152.8-595.2)+(-1.994916+(-0.311712--1.214208))+0-0-0</f>
        <v>534.40758000000005</v>
      </c>
      <c r="T163" s="3">
        <f>986.7+(150.6-629.9)+(-0.503217+(-0.076806--0.321249))+0-0-0</f>
        <v>507.14122600000007</v>
      </c>
      <c r="U163" s="3">
        <f>1001.3+(146.6-659.2)+(0.510663+(0.074766-0.336192))+0-0-0</f>
        <v>488.94923699999993</v>
      </c>
      <c r="V163" s="3">
        <f>1030.6+(129.7-670.3)+(-1.576818+(-0.198441--1.025559))+0-0-0</f>
        <v>489.25029999999998</v>
      </c>
      <c r="W163" s="3">
        <f>1085.8+(85.6-676.4)+(-3.322548+(-0.261936--2.069784))+0-0-0</f>
        <v>493.4853</v>
      </c>
      <c r="X163" s="3">
        <f>1121.6+(63.4-691)+(-3.432096+(-0.194004--2.11446))+0-0-0</f>
        <v>492.48835999999989</v>
      </c>
      <c r="Y163" s="3">
        <f>1137.4+(51.7-655.6)+(-1.740222+(-0.079101--1.003068))+0-0-0</f>
        <v>532.68374500000016</v>
      </c>
      <c r="Z163" s="3">
        <f>1151.4+(113.1-612.6)+(-2.93607+(-0.288405--1.56213))+0-0-0</f>
        <v>650.23765500000013</v>
      </c>
      <c r="AA163" s="3">
        <f>1150.8+(118.6-621.6)+(-4.695264+(-0.483888--2.536128))+0-0-0</f>
        <v>645.15697599999999</v>
      </c>
      <c r="AB163" s="3">
        <f>1167.8+(103-646.7)+(0+(0-0))+0-0-0</f>
        <v>624.09999999999991</v>
      </c>
      <c r="AC163" s="3">
        <f>1164.1+(105.1-679.1)+(0.593691+(0.053601-0.346341))+0-0-0</f>
        <v>590.40095099999996</v>
      </c>
      <c r="AD163">
        <v>651.79999999999995</v>
      </c>
      <c r="AE163" s="3">
        <f>1158+(117.3-623.5)+(0+(0-0))+0-0-0</f>
        <v>651.79999999999995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1161.2+(133.3-742.6)+(0+(0-0))+0-0-0</f>
        <v>551.90000000000009</v>
      </c>
      <c r="G164" s="3">
        <f>1158.1+(90.7-733.1)+(-0.590631+(-0.046257--0.373881))+0-0-0</f>
        <v>515.43699299999992</v>
      </c>
      <c r="H164" s="3">
        <f>1153.5+(52.8-731.9)+(-1.17657+(-0.053856--0.746538))+0-0-0</f>
        <v>473.916112</v>
      </c>
      <c r="I164" s="3">
        <f>1151.6+(38.6-732.9)+(0.587316+(0.019686-0.373779))+0-0-0</f>
        <v>457.53322299999996</v>
      </c>
      <c r="J164" s="3">
        <f>1094.7+(44.8-692.4)+(0+(0-0))+0-0-0</f>
        <v>447.1</v>
      </c>
      <c r="K164" s="3">
        <f>865.2+(100.7-523.9)+(0+(0-0))+0-0-0</f>
        <v>442.00000000000006</v>
      </c>
      <c r="L164" s="3">
        <f>847.5+(87.4-511.6)+(-3.025575+(-0.312018--1.826412))+0-0-0</f>
        <v>421.78881899999993</v>
      </c>
      <c r="M164" s="3">
        <f>856.1+(78.7-533.1)+(-1.309833+(-0.120411--0.815643))+0-0-0</f>
        <v>401.085399</v>
      </c>
      <c r="N164" s="3">
        <f>868.8+(95.5-551.8)+(1.329264+(0.146115-0.844254))+0-0-0</f>
        <v>413.131125</v>
      </c>
      <c r="O164" s="3">
        <f>887.7+(111.1-552.6)+(0.905454+(0.113322-0.563652))+0-0-0</f>
        <v>446.65512400000006</v>
      </c>
      <c r="P164" s="3">
        <f>924.6+(121.8-571.2)+(-0.471546+(-0.062118--0.291312))+0-0-0</f>
        <v>474.95764800000001</v>
      </c>
      <c r="Q164" s="3">
        <f>934+(134.3-571)+(0+(0-0))+0-0-0</f>
        <v>497.3</v>
      </c>
      <c r="R164" s="3">
        <f>930.8+(126-560)+(-0.474708+(-0.06426--0.2856))+0-0-0</f>
        <v>496.54663199999993</v>
      </c>
      <c r="S164" s="3">
        <f>931.2+(113.9-563.6)+(0+(0-0))+0-0-0</f>
        <v>481.5</v>
      </c>
      <c r="T164" s="3">
        <f>924.8+(112.4-573.6)+(-2.35824+(-0.28662--1.46268))+0-0-0</f>
        <v>462.41781999999989</v>
      </c>
      <c r="U164" s="3">
        <f>1039.5+(75.8-660)+(-2.650725+(-0.19329--1.683))+0-0-0</f>
        <v>454.13898499999993</v>
      </c>
      <c r="V164" s="3">
        <f>1052.7+(76.6-676.1)+(0+(0-0))+0-0-0</f>
        <v>453.20000000000005</v>
      </c>
      <c r="W164" s="3">
        <f>993.1+(109.3-639.3)+(-3.038886+(-0.334458--1.956258))+0-0-0</f>
        <v>461.68291400000004</v>
      </c>
      <c r="X164" s="3">
        <f>1023.2+(106.5-663.4)+(-1.565496+(-0.162945--1.015002))+0-0-0</f>
        <v>465.58656100000007</v>
      </c>
      <c r="Y164" s="3">
        <f>1103.5+(80.9-688.4)+(-0.562785+(-0.041259--0.351084))+0-0-0</f>
        <v>495.74704000000003</v>
      </c>
      <c r="Z164" s="3">
        <f>1314+(69.3-764.8)+(-3.3507+(-0.176715--1.95024))+0-0-0</f>
        <v>616.92282499999999</v>
      </c>
      <c r="AA164" s="3">
        <f>1360.4+(68.2-805.6)+(-3.46902+(-0.17391--2.05428))+0-0-0</f>
        <v>621.41135000000008</v>
      </c>
      <c r="AB164" s="3">
        <f>1349.4+(126.8-864.7)+(-2.752776+(-0.258672--1.763988))+0-0-0</f>
        <v>610.25253999999995</v>
      </c>
      <c r="AC164" s="3">
        <f>1356.8+(87.8-867.2)+(0+(0-0))+0-0-0</f>
        <v>577.39999999999986</v>
      </c>
      <c r="AD164">
        <v>630.99999999999989</v>
      </c>
      <c r="AE164" s="3">
        <f>1368+(62.6-799.6)+(0+(0-0))+0-0-0</f>
        <v>631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1353.9+(45.2-868.5)+(-0.690489+(-0.023052--0.442935))+0-0-0</f>
        <v>530.32939400000009</v>
      </c>
      <c r="G165" s="3">
        <f>1314.6+(0-831.3)+(-2.011338+(0--1.271889))+0-0-0</f>
        <v>482.56055099999998</v>
      </c>
      <c r="H165" s="3">
        <f>1057.2+(51.2-670.2)+(-0.539172+(-0.026112--0.341802))+0-0-0</f>
        <v>437.97651800000006</v>
      </c>
      <c r="I165" s="3">
        <f>996.2+(45.6-622.2)+(-1.016124+(-0.046512--0.634644))+0-0-0</f>
        <v>419.17200800000001</v>
      </c>
      <c r="J165" s="3">
        <f>983.6+(27.9-605.6)+(-0.501636+(-0.014229--0.308856))+0-0-0</f>
        <v>405.69299099999995</v>
      </c>
      <c r="K165" s="3">
        <f>978+(26.6-601.8)+(-1.99512+(-0.054264--1.227672))+0-0-0</f>
        <v>401.97828800000008</v>
      </c>
      <c r="L165" s="3">
        <f>976.6+(34.7-615.4)+(-3.486462+(-0.123879--2.196978))+0-0-0</f>
        <v>394.48663700000009</v>
      </c>
      <c r="M165" s="3">
        <f>989.3+(44.9-639)+(-1.009086+(-0.045798--0.65178))+0-0-0</f>
        <v>394.79689599999995</v>
      </c>
      <c r="N165" s="3">
        <f>1051.3+(42.8-657.3)+(0+(0-0))+0-0-0</f>
        <v>436.79999999999995</v>
      </c>
      <c r="O165" s="3">
        <f>1183.9+(16.2-716.8)+(0.603789+(0.008262-0.365568))+0-0-0</f>
        <v>483.54648300000019</v>
      </c>
      <c r="P165" s="3">
        <f>1327.7+(8.2-808.9)+(-0.677127+(-0.004182--0.412539))+0-0-0</f>
        <v>526.7312300000001</v>
      </c>
      <c r="Q165" s="3">
        <f>1315.1+(26.7-793.3)+(-2.012103+(-0.040851--1.213749))+0-0-0</f>
        <v>547.66079500000001</v>
      </c>
      <c r="R165" s="3">
        <f>1315.1+(24.6-789)+(-0.670701+(-0.012546--0.40239))+0-0-0</f>
        <v>550.41914299999996</v>
      </c>
      <c r="S165" s="3">
        <f>1305.2+(11.5-775.9)+(-1.331304+(-0.01173--0.791418))+0-0-0</f>
        <v>540.2483840000001</v>
      </c>
      <c r="T165" s="3">
        <f>1313.4+(4.3-780.3)+(-0.669834+(-0.002193--0.397953))+0-0-0</f>
        <v>537.12592600000005</v>
      </c>
      <c r="U165" s="3">
        <f>1314.2+(5.8-782.8)+(-2.680968+(-0.011832--1.596912))+0-0-0</f>
        <v>536.1041120000001</v>
      </c>
      <c r="V165" s="3">
        <f>1329.7+(4-794.6)+(2.034441+(0.00612-1.215738))+0-0-0</f>
        <v>539.92482300000006</v>
      </c>
      <c r="W165" s="3">
        <f>1306.2+(7.4-784.9)+(-2.664648+(-0.015096--1.601196))+0-0-0</f>
        <v>527.62145200000009</v>
      </c>
      <c r="X165" s="3">
        <f>1307.8+(15.5-805.3)+(-1.333956+(-0.01581--0.821406))+0-0-0</f>
        <v>517.47163999999998</v>
      </c>
      <c r="Y165" s="3">
        <f>1320.7+(30.3-809.4)+(0+(0-0))+0-0-0</f>
        <v>541.6</v>
      </c>
      <c r="Z165" s="3">
        <f>1348.6+(77.3-767.6)+(-2.063358+(-0.118269--1.174428))+0-0-0</f>
        <v>657.29280099999983</v>
      </c>
      <c r="AA165" s="3">
        <f>1371.2+(77.3-792.8)+(-3.49656+(-0.197115--2.02164))+0-0-0</f>
        <v>654.02796499999999</v>
      </c>
      <c r="AB165" s="3">
        <f>1376.4+(75.9-819.8)+(-2.105892+(-0.116127--1.254294))+0-0-0</f>
        <v>631.53227500000014</v>
      </c>
      <c r="AC165" s="3">
        <f>1377.4+(52.9-827.1)+(0.702474+(0.026979-0.421821))+0-0-0</f>
        <v>603.50763200000006</v>
      </c>
      <c r="AD165">
        <v>653.49999999999989</v>
      </c>
      <c r="AE165" s="3">
        <f>1376+(76.6-799.1)+(0+(0-0))+0-0-0</f>
        <v>653.5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1275.5+(92.5-784.3)+(1.30101+(0.09435-0.799986))+0-0-0</f>
        <v>584.29537400000004</v>
      </c>
      <c r="G166" s="3">
        <f>1165.9+(85.4-719.2)+(-1.783827+(-0.130662--1.100376))+0-0-0</f>
        <v>531.285887</v>
      </c>
      <c r="H166" s="3">
        <f>1047.5+(108-645.6)+(-1.06845+(-0.11016--0.658512))+0-0-0</f>
        <v>509.37990199999996</v>
      </c>
      <c r="I166" s="3">
        <f>1036.2+(92.4-641.8)+(-2.64231+(-0.23562--1.63659))+0-0-0</f>
        <v>485.55866000000009</v>
      </c>
      <c r="J166" s="3">
        <f>1032.9+(86.4-648.2)+(-2.633895+(-0.22032--1.65291))+0-0-0</f>
        <v>469.89869500000003</v>
      </c>
      <c r="K166" s="3">
        <f>1053.4+(81-664.5)+(1.611702+(0.12393-1.016685))+0-0-0</f>
        <v>470.61894700000011</v>
      </c>
      <c r="L166" s="3">
        <f>1030.2+(80.4-658.3)+(-3.152412+(-0.246024--2.014398))+0-0-0</f>
        <v>450.91596200000009</v>
      </c>
      <c r="M166" s="3">
        <f>1050.9+(51.4-680.3)+(0.535959+(0.026214-0.346953))+0-0-0</f>
        <v>422.2152200000001</v>
      </c>
      <c r="N166" s="3">
        <f>1058.5+(46.4-651.6)+(1.619505+(0.070992-0.996948))+0-0-0</f>
        <v>453.99354899999997</v>
      </c>
      <c r="O166" s="3">
        <f>1067.6+(62.5-635.4)+(0+(0-0))+0-0-0</f>
        <v>494.69999999999993</v>
      </c>
      <c r="P166" s="3">
        <f>1254.6+(50.2-753)+(1.919538+(0.076806-1.15209))+0-0-0</f>
        <v>552.64425399999993</v>
      </c>
      <c r="Q166" s="3">
        <f>1330.2+(58.8-809.9)+(1.356804+(0.059976-0.826098))+0-0-0</f>
        <v>579.69068200000004</v>
      </c>
      <c r="R166" s="3">
        <f>1301.2+(63.7-787.8)+(-2.654448+(-0.129948--1.607112))+0-0-0</f>
        <v>575.92271600000015</v>
      </c>
      <c r="S166" s="3">
        <f>1310.3+(44.6-789.5)+(0+(0-0))+0-0-0</f>
        <v>565.4</v>
      </c>
      <c r="T166" s="3">
        <f>1308+(32.3-785.1)+(0.66708+(0.016473-0.400401))+0-0-0</f>
        <v>555.4831519999999</v>
      </c>
      <c r="U166" s="3">
        <f>1293+(32.8-782.2)+(-1.97829+(-0.050184--1.196766))+0-0-0</f>
        <v>542.76829199999986</v>
      </c>
      <c r="V166" s="3">
        <f>1303.4+(22.4-783.9)+(-2.658936+(-0.045696--1.599156))+0-0-0</f>
        <v>540.79452400000014</v>
      </c>
      <c r="W166" s="3">
        <f>1311.5+(9.4-785.3)+(-2.006595+(-0.014382--1.201509))+0-0-0</f>
        <v>534.78053199999999</v>
      </c>
      <c r="X166" s="3">
        <f>1178+(39.2-701)+(-3.0039+(-0.09996--1.78755))+0-0-0</f>
        <v>514.88369</v>
      </c>
      <c r="Y166" s="3">
        <f>1055.8+(75.2-581)+(0+(0-0))+0-0-0</f>
        <v>550</v>
      </c>
      <c r="Z166" s="3">
        <f>1337.2+(34.3-703.8)+(-2.045916+(-0.052479--1.076814))+0-0-0</f>
        <v>666.67841900000008</v>
      </c>
      <c r="AA166" s="3">
        <f>1346.8+(57.3-731)+(-2.060604+(-0.087669--1.11843))+0-0-0</f>
        <v>672.07015699999988</v>
      </c>
      <c r="AB166" s="3">
        <f>1350.9+(47.8-743.9)+(-1.377918+(-0.048756--0.758778))+0-0-0</f>
        <v>654.13210400000003</v>
      </c>
      <c r="AC166" s="3">
        <f>1335.5+(27.5-742.8)+(-3.405525+(-0.070125--1.89414))+0-0-0</f>
        <v>618.61849000000007</v>
      </c>
      <c r="AD166">
        <v>647.4</v>
      </c>
      <c r="AE166" s="3">
        <f>1368+(47-767.6)+(0+(0-0))+0-0-0</f>
        <v>647.4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1341.6+(8.2-779.6)+(-2.736864+(-0.016728--1.590384))+0-0-0</f>
        <v>569.03679199999988</v>
      </c>
      <c r="G167" s="3">
        <f>1335.4+(12-821.8)+(-3.40527+(-0.0306--2.09559))+0-0-0</f>
        <v>524.25972000000013</v>
      </c>
      <c r="H167" s="3">
        <f>1337.4+(5.9-856)+(-2.728296+(-0.012036--1.74624))+0-0-0</f>
        <v>486.30590800000004</v>
      </c>
      <c r="I167" s="3">
        <f>1337.4+(4.5-878.9)+(-0.682074+(-0.002295--0.448239))+0-0-0</f>
        <v>462.76387000000011</v>
      </c>
      <c r="J167" s="3">
        <f>1337.5+(0-890)+(0+(0-0))+0-0-0</f>
        <v>447.5</v>
      </c>
      <c r="K167" s="3">
        <f>1359.9+(0-889.1)+(2.080647+(0-1.360323))+0-0-0</f>
        <v>471.52032400000007</v>
      </c>
      <c r="L167" s="3">
        <f>1333+(0-864.6)+(-4.07898+(0--2.645676))+0-0-0</f>
        <v>466.96669599999996</v>
      </c>
      <c r="M167" s="3">
        <f>1357.3+(0-875.7)+(1.384446+(0-0.893214))+0-0-0</f>
        <v>482.09123199999993</v>
      </c>
      <c r="N167" s="3">
        <f>1361+(18.5-840.3)+(2.08233+(0.028305-1.285659))+0-0-0</f>
        <v>540.02497600000004</v>
      </c>
      <c r="O167" s="3">
        <f>1343+(14.3-762.2)+(0.68493+(0.007293-0.388722))+0-0-0</f>
        <v>595.40350099999989</v>
      </c>
      <c r="P167" s="3">
        <f>1331.1+(54.4-738)+(0.678861+(0.027744-0.37638))+0-0-0</f>
        <v>647.83022499999993</v>
      </c>
      <c r="Q167" s="3">
        <f>1321.8+(108.7-754.3)+(0+(0-0))+0-0-0</f>
        <v>676.2</v>
      </c>
      <c r="R167" s="3">
        <f>1330.7+(190.2-845.9)+(0+(0-0))+0-0-0</f>
        <v>675</v>
      </c>
      <c r="S167" s="3">
        <f>1321+(227-882)+(-2.02113+(-0.34731--1.34946))+0-0-0</f>
        <v>664.98101999999994</v>
      </c>
      <c r="T167" s="3">
        <f>1326.9+(209-882.8)+(0.676719+(0.10659-0.450228))+0-0-0</f>
        <v>653.43308100000013</v>
      </c>
      <c r="U167" s="3">
        <f>1304.6+(204.4-870.3)+(-1.996038+(-0.312732--1.331559))+0-0-0</f>
        <v>637.72278899999992</v>
      </c>
      <c r="V167" s="3">
        <f>1300.1+(124.9-787.8)+(-2.652204+(-0.254796--1.607112))+0-0-0</f>
        <v>635.90011199999992</v>
      </c>
      <c r="W167" s="3">
        <f>1294.4+(41.5-712.1)+(-3.30072+(-0.105825--1.815855))+0-0-0</f>
        <v>622.20931000000007</v>
      </c>
      <c r="X167" s="3">
        <f>1287.5+(26.7-714.4)+(-4.596375+(-0.095319--2.550408))+0-0-0</f>
        <v>597.65871400000003</v>
      </c>
      <c r="Y167" s="3">
        <f>1303+(21.7-706.6)+(-1.32906+(-0.022134--0.720732))+0-0-0</f>
        <v>617.46953800000006</v>
      </c>
      <c r="Z167" s="3">
        <f>1345.9+(65.1-680.5)+(-0.686409+(-0.033201--0.347055))+0-0-0</f>
        <v>730.12744500000008</v>
      </c>
      <c r="AA167" s="3">
        <f>1333.1+(70.1-672.2)+(-4.759167+(-0.250257--2.399754))+0-0-0</f>
        <v>728.39032999999984</v>
      </c>
      <c r="AB167" s="3">
        <f>1348.9+(46.6-692.7)+(-1.375878+(-0.047532--0.706554))+0-0-0</f>
        <v>702.08314400000006</v>
      </c>
      <c r="AC167" s="3">
        <f>1347+(17.8-705.6)+(-1.37394+(-0.018156--0.719712))+0-0-0</f>
        <v>658.52761599999997</v>
      </c>
      <c r="AD167">
        <v>729.2</v>
      </c>
      <c r="AE167" s="3">
        <f>1355+(63-688.8)+(0+(0-0))+0-0-0</f>
        <v>729.2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1347+(10.1-730.8)+(-1.37394+(-0.010302--0.745416))+0-0-0</f>
        <v>625.66117400000007</v>
      </c>
      <c r="G168" s="3">
        <f>1351.5+(0-771.9)+(0+(0-0))+0-0-0</f>
        <v>579.6</v>
      </c>
      <c r="H168" s="3">
        <f>1049.5+(62.2-575)+(-0.535245+(-0.031722--0.29325))+0-0-0</f>
        <v>536.42628300000001</v>
      </c>
      <c r="I168" s="3">
        <f>1007.1+(68.8-561.4)+(-1.540863+(-0.105264--0.858942))+0-0-0</f>
        <v>513.71281499999998</v>
      </c>
      <c r="J168" s="3">
        <f>1006.3+(70.6-573.3)+(-1.026426+(-0.072012--0.584766))+0-0-0</f>
        <v>503.08632800000004</v>
      </c>
      <c r="K168" s="3">
        <f>1007.2+(68.1-569.6)+(-1.027344+(-0.069462--0.580992))+0-0-0</f>
        <v>505.18418600000007</v>
      </c>
      <c r="L168" s="3">
        <f>1004.2+(67.9-579.1)+(-2.048568+(-0.138516--1.181364))+0-0-0</f>
        <v>491.99428</v>
      </c>
      <c r="M168" s="3">
        <f>1020.1+(79.7-589.7)+(1.040502+(0.081294-0.601494))+0-0-0</f>
        <v>510.62030199999998</v>
      </c>
      <c r="N168" s="3">
        <f>1015.6+(122.4-568.5)+(1.035912+(0.124848-0.57987))+0-0-0</f>
        <v>570.08088999999995</v>
      </c>
      <c r="O168" s="3">
        <f>1031.4+(101-552.5)+(0+(0-0))+0-0-0</f>
        <v>579.90000000000009</v>
      </c>
      <c r="P168" s="3">
        <f>1299.7+(57.4-684.9)+(-1.325694+(-0.058548--0.698598))+0-0-0</f>
        <v>671.51435600000002</v>
      </c>
      <c r="Q168" s="3">
        <f>1320.9+(80.5-694.8)+(0.673659+(0.041055-0.354348))+0-0-0</f>
        <v>706.96036600000014</v>
      </c>
      <c r="R168" s="3">
        <f>1308.8+(111-710.2)+(-0.667488+(-0.05661--0.362202))+0-0-0</f>
        <v>709.23810399999991</v>
      </c>
      <c r="S168" s="3">
        <f>1301.1+(134.1-726.3)+(-1.327122+(-0.136782--0.740826))+0-0-0</f>
        <v>708.17692199999999</v>
      </c>
      <c r="T168" s="3">
        <f>1302.4+(137.1-750.4)+(0.664224+(0.069921-0.382704))+0-0-0</f>
        <v>689.45144100000016</v>
      </c>
      <c r="U168" s="3">
        <f>1289.4+(122.1-739.6)+(-1.315188+(-0.124542--0.754392))+0-0-0</f>
        <v>671.21466200000009</v>
      </c>
      <c r="V168" s="3">
        <f>1297.7+(99.5-720.1)+(-0.661827+(-0.050745--0.367251))+0-0-0</f>
        <v>676.75467900000001</v>
      </c>
      <c r="W168" s="3">
        <f>1283.4+(101.8-719.3)+(-1.963602+(-0.155754--1.100529))+0-0-0</f>
        <v>664.8811730000001</v>
      </c>
      <c r="X168" s="3">
        <f>1280+(26.6-669.5)+(-1.9584+(-0.040698--1.024335))+0-0-0</f>
        <v>636.12523699999997</v>
      </c>
      <c r="Y168" s="3">
        <f>1297.9+(17.1-656.7)+(-1.323858+(-0.017442--0.669834))+0-0-0</f>
        <v>657.62853400000006</v>
      </c>
      <c r="Z168" s="3">
        <f>1336.2+(55.4-622.8)+(-0.681462+(-0.028254--0.317628))+0-0-0</f>
        <v>768.40791200000012</v>
      </c>
      <c r="AA168" s="3">
        <f>1251+(85.2-568.3)+(-2.55204+(-0.173808--1.159332))+0-0-0</f>
        <v>766.33348400000011</v>
      </c>
      <c r="AB168" s="3">
        <f>1162.1+(101.4-532.8)+(-3.556026+(-0.310284--1.630368))+0-0-0</f>
        <v>728.46405799999991</v>
      </c>
      <c r="AC168" s="3">
        <f>1133.8+(96.7-561)+(-0.578238+(-0.049317--0.28611))+0-0-0</f>
        <v>669.15855499999998</v>
      </c>
      <c r="AD168">
        <v>740.69999999999993</v>
      </c>
      <c r="AE168" s="3">
        <f>1344+(58.1-661.4)+(0+(0-0))+0-0-0</f>
        <v>740.7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1052.5+(139.4-585.5)+(-0.536775+(-0.071094--0.298605))+0-0-0</f>
        <v>606.09073599999999</v>
      </c>
      <c r="G169" s="3">
        <f>1004.7+(118.3-570.7)+(-1.537191+(-0.180999--0.873171))+0-0-0</f>
        <v>551.45498099999998</v>
      </c>
      <c r="H169" s="3">
        <f>944.8+(86.6-522.5)+(-0.481848+(-0.044166--0.266475))+0-0-0</f>
        <v>508.64046099999996</v>
      </c>
      <c r="I169" s="3">
        <f>885.9+(87.1-479.1)+(-0.903618+(-0.088842--0.488682))+0-0-0</f>
        <v>493.39622199999997</v>
      </c>
      <c r="J169" s="3">
        <f>893.5+(79.6-492.7)+(1.367055+(0.121788-0.753831))+0-0-0</f>
        <v>481.13501199999996</v>
      </c>
      <c r="K169" s="3">
        <f>890.6+(79.6-491.2)+(0+(0-0))+0-0-0</f>
        <v>479</v>
      </c>
      <c r="L169" s="3">
        <f>878.7+(83.1-491)+(-2.688822+(-0.254286--1.50246))+0-0-0</f>
        <v>469.35935200000006</v>
      </c>
      <c r="M169" s="3">
        <f>927+(72.1-512.8)+(0.47277+(0.036771-0.261528))+0-0-0</f>
        <v>486.54801300000008</v>
      </c>
      <c r="N169" s="3">
        <f>1076+(46.6-561.3)+(-0.54876+(-0.023766--0.286263))+0-0-0</f>
        <v>561.01373700000011</v>
      </c>
      <c r="O169" s="3">
        <f>1115.2+(124.6-608.2)+(0.568752+(0.063546-0.310182))+0-0-0</f>
        <v>631.92211600000007</v>
      </c>
      <c r="P169" s="3">
        <f>1142.2+(122.2-588.8)+(0.582522+(0.062322-0.300288))+0-0-0</f>
        <v>675.94455600000015</v>
      </c>
      <c r="Q169" s="3">
        <f>1145.5+(126.8-578.9)+(1.752615+(0.194004-0.885717))+0-0-0</f>
        <v>694.46090200000015</v>
      </c>
      <c r="R169" s="3">
        <f>1128+(252.5-698.3)+(-1.72584+(-0.386325--1.068399))+0-0-0</f>
        <v>681.15623400000004</v>
      </c>
      <c r="S169" s="3">
        <f>1137.3+(297.3-763.4)+(0+(0-0))+0-0-0</f>
        <v>671.2</v>
      </c>
      <c r="T169" s="3">
        <f>1136+(271.1-748)+(-0.57936+(-0.138261--0.38148))+0-0-0</f>
        <v>658.76385900000002</v>
      </c>
      <c r="U169" s="3">
        <f>1139.3+(238.1-729.8)+(1.162086+(0.242862-0.744396))+0-0-0</f>
        <v>648.26055200000008</v>
      </c>
      <c r="V169" s="3">
        <f>1127.6+(232.2-724.5)+(0+(0-0))+0-0-0</f>
        <v>635.29999999999995</v>
      </c>
      <c r="W169" s="3">
        <f>1116.1+(236.2-724.5)+(-2.276844+(-0.481848--1.47798))+0-0-0</f>
        <v>626.51928799999996</v>
      </c>
      <c r="X169" s="3">
        <f>1116.8+(64.2-587.2)+(-1.708704+(-0.098226--0.898416))+0-0-0</f>
        <v>592.89148599999999</v>
      </c>
      <c r="Y169" s="3">
        <f>1127.9+(55.2-551.7)+(0.575229+(0.028152-0.281367))+0-0-0</f>
        <v>631.72201400000006</v>
      </c>
      <c r="Z169" s="3">
        <f>1140.9+(151.7-556.6)+(-1.163718+(-0.154734--0.567732))+0-0-0</f>
        <v>735.24928</v>
      </c>
      <c r="AA169" s="3">
        <f>1155.4+(119.9-540.6)+(-2.94627+(-0.305745--1.37853))+0-0-0</f>
        <v>732.82651500000009</v>
      </c>
      <c r="AB169" s="3">
        <f>1152.6+(93.1-543.1)+(-1.763478+(-0.142443--0.830943))+0-0-0</f>
        <v>701.52502199999992</v>
      </c>
      <c r="AC169" s="3">
        <f>1151.8+(85.7-575.1)+(-1.174836+(-0.087414--0.586602))+0-0-0</f>
        <v>661.72435199999984</v>
      </c>
      <c r="AD169">
        <v>733.90000000000009</v>
      </c>
      <c r="AE169" s="3">
        <f>1143+(157.9-567)+(0+(0-0))+0-0-0</f>
        <v>733.9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1145+(76.1-624.3)+(-1.75185+(-0.116433--0.955179))+0-0-0</f>
        <v>595.88689600000009</v>
      </c>
      <c r="G170" s="3">
        <f>1116.9+(105.2-673.4)+(-1.708857+(-0.160956--1.030302))+0-0-0</f>
        <v>547.86048900000014</v>
      </c>
      <c r="H170" s="3">
        <f>881.7+(105.1-479.6)+(-0.899334+(-0.107202--0.489192))+0-0-0</f>
        <v>506.68265600000007</v>
      </c>
      <c r="I170" s="3">
        <f>876.5+(87.9-473.8)+(-1.341045+(-0.134487--0.724914))+0-0-0</f>
        <v>489.84938200000005</v>
      </c>
      <c r="J170" s="3">
        <f>882+(83.7-494)+(0.44982+(0.042687-0.25194))+0-0-0</f>
        <v>471.94056699999999</v>
      </c>
      <c r="K170" s="3">
        <f>883.8+(80.7-493.8)+(0.901476+(0.082314-0.503676))+0-0-0</f>
        <v>471.18011399999995</v>
      </c>
      <c r="L170" s="3">
        <f>879.8+(83-488.4)+(-0.448698+(-0.04233--0.249084))+0-0-0</f>
        <v>474.15805599999999</v>
      </c>
      <c r="M170" s="3">
        <f>876.4+(91.6-481.3)+(-0.893928+(-0.093432--0.490926))+0-0-0</f>
        <v>486.20356599999991</v>
      </c>
      <c r="N170" s="3">
        <f>1068.4+(82.5-600.2)+(-1.089768+(-0.08415--0.612204))+0-0-0</f>
        <v>550.13828599999999</v>
      </c>
      <c r="O170" s="3">
        <f>1161.3+(92.9-642.3)+(0.592263+(0.047379-0.327573))+0-0-0</f>
        <v>612.21206899999993</v>
      </c>
      <c r="P170" s="3">
        <f>1134.2+(214.2-708.5)+(1.156884+(0.218484-0.72267))+0-0-0</f>
        <v>640.55269800000008</v>
      </c>
      <c r="Q170" s="3">
        <f>1159.7+(212.5-678.3)+(0+(0-0))+0-0-0</f>
        <v>693.90000000000009</v>
      </c>
      <c r="R170" s="3">
        <f>1144+(214.5-688.7)+(0.58344+(0.109395-0.351237))+0-0-0</f>
        <v>670.14159799999993</v>
      </c>
      <c r="S170" s="3">
        <f>1145+(223.2-698.1)+(-2.3358+(-0.455328--1.424124))+0-0-0</f>
        <v>668.73299599999996</v>
      </c>
      <c r="T170" s="3">
        <f>1138.7+(227.7-733.2)+(0.580737+(0.116127-0.373932))+0-0-0</f>
        <v>633.52293200000008</v>
      </c>
      <c r="U170" s="3">
        <f>1124+(225.8-734.8)+(-1.71972+(-0.345474--1.124244))+0-0-0</f>
        <v>614.05904999999996</v>
      </c>
      <c r="V170" s="3">
        <f>1122+(160.3-682.1)+(-0.57222+(-0.081753--0.347871))+0-0-0</f>
        <v>599.89389800000004</v>
      </c>
      <c r="W170" s="3">
        <f>1139+(133.3-649.3)+(-1.74267+(-0.203949--0.993429))+0-0-0</f>
        <v>622.04681000000005</v>
      </c>
      <c r="X170" s="3">
        <f>1168+(66.8-649.1)+(-1.19136+(-0.068136--0.662082))+0-0-0</f>
        <v>585.10258599999997</v>
      </c>
      <c r="Y170" s="3">
        <f>1161+(92.1-571.2)+(0+(0-0))+0-0-0</f>
        <v>681.9</v>
      </c>
      <c r="Z170" s="3">
        <f>1182+(90.5-583.7)+(0+(0-0))+0-0-0</f>
        <v>688.8</v>
      </c>
      <c r="AA170" s="3">
        <f>1178+(93.4-598.7)+(-3.0039+(-0.23817--1.526685))+0-0-0</f>
        <v>670.98461499999996</v>
      </c>
      <c r="AB170" s="3">
        <f>1168+(67.6-591.5)+(-2.9784+(-0.17238--1.508325))+0-0-0</f>
        <v>642.45754499999998</v>
      </c>
      <c r="AC170" s="3">
        <f>1163+(76.5-680.8)+(-1.77939+(-0.117045--1.041624))+0-0-0</f>
        <v>557.845189</v>
      </c>
      <c r="AD170">
        <v>690.90000000000009</v>
      </c>
      <c r="AE170" s="3">
        <f>1171+(94.2-574.3)+(0+(0-0))+0-0-0</f>
        <v>690.90000000000009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1035+(60-631.8)+(-2.1114+(-0.1224--1.288872))+0-0-0</f>
        <v>462.25507200000004</v>
      </c>
      <c r="G171" s="3">
        <f>1005+(35.6-606)+(-1.53765+(-0.054468--0.92718))+0-0-0</f>
        <v>433.93506200000002</v>
      </c>
      <c r="H171" s="3">
        <f>1005+(43.2-654.6)+(-0.51255+(-0.022032--0.333846))+0-0-0</f>
        <v>393.39926400000002</v>
      </c>
      <c r="I171" s="3">
        <f>1005+(35.5-651.5)+(-2.0502+(-0.07242--1.32906))+0-0-0</f>
        <v>388.20643999999999</v>
      </c>
      <c r="J171" s="3">
        <f>1005+(23.1-648.7)+(-1.0251+(-0.023562--0.661674))+0-0-0</f>
        <v>379.013012</v>
      </c>
      <c r="K171" s="3">
        <f>1005+(29.5-649.9)+(0.51255+(0.015045-0.331449))+0-0-0</f>
        <v>384.79614600000002</v>
      </c>
      <c r="L171" s="3">
        <f>1046+(24.3-650.2)+(-3.73422+(-0.086751--2.321214))+0-0-0</f>
        <v>418.60024299999992</v>
      </c>
      <c r="M171" s="3">
        <f>1042+(35.6-688.2)+(1.06284+(0.036312-0.701964))+0-0-0</f>
        <v>389.79718800000001</v>
      </c>
      <c r="N171" s="3">
        <f>1046+(88.2-641.5)+(-0.53346+(-0.044982--0.327165))+0-0-0</f>
        <v>492.44872300000003</v>
      </c>
      <c r="O171" s="3">
        <f>1053.5+(64.1-583)+(0+(0-0))+0-0-0</f>
        <v>534.6</v>
      </c>
      <c r="P171" s="3">
        <f>1050.5+(65.8-559.4)+(-0.535755+(-0.033558--0.285294))+0-0-0</f>
        <v>556.61598100000015</v>
      </c>
      <c r="Q171" s="3">
        <f>1050.8+(95.8-566.5)+(-0.535908+(-0.048858--0.288915))+0-0-0</f>
        <v>579.80414899999994</v>
      </c>
      <c r="R171" s="3">
        <f>1051.9+(152.7-625.5)+(-0.536469+(-0.077877--0.319005))+0-0-0</f>
        <v>578.80465900000013</v>
      </c>
      <c r="S171" s="3">
        <f>1047.3+(158.6-666.9)+(-1.602369+(-0.242658--1.020357))+0-0-0</f>
        <v>538.17533000000003</v>
      </c>
      <c r="T171" s="3">
        <f>1049.2+(160.7-677.8)+(-1.605276+(-0.245871--1.037034))+0-0-0</f>
        <v>531.28588700000012</v>
      </c>
      <c r="U171" s="3">
        <f>1040.4+(158.6-679)+(-2.65302+(-0.40443--1.73145))+0-0-0</f>
        <v>518.67400000000009</v>
      </c>
      <c r="V171" s="3">
        <f>1044.5+(156.1-675.8)+(-2.13078+(-0.318444--1.378632))+0-0-0</f>
        <v>523.72940800000003</v>
      </c>
      <c r="W171" s="3">
        <f>1036.7+(151.7-656.7)+(-3.172302+(-0.464202--2.009502))+0-0-0</f>
        <v>530.0729980000001</v>
      </c>
      <c r="X171" s="3">
        <f>1036.9+(117-604.4)+(-3.701733+(-0.41769--2.157708))+0-0-0</f>
        <v>547.53828500000009</v>
      </c>
      <c r="Y171" s="3">
        <f>1053.3+(109.8-577)+(-0.537183+(-0.055998--0.29427))+0-0-0</f>
        <v>585.80108899999993</v>
      </c>
      <c r="Z171" s="3">
        <f>1055.2+(130-531)+(-2.152608+(-0.2652--1.08324))+0-0-0</f>
        <v>652.86543200000006</v>
      </c>
      <c r="AA171" s="3">
        <f>1058.2+(132.2-549.6)+(-3.238092+(-0.404532--1.681776))+0-0-0</f>
        <v>638.8391519999999</v>
      </c>
      <c r="AB171" s="3">
        <f>1080.7+(128.2-602.2)+(-2.755785+(-0.32691--1.53561))+0-0-0</f>
        <v>605.15291500000001</v>
      </c>
      <c r="AC171" s="3">
        <f>1123.4+(108.5-663.8)+(-1.145868+(-0.11067--0.677076))+0-0-0</f>
        <v>567.5205380000001</v>
      </c>
      <c r="AD171">
        <v>639.09999999999991</v>
      </c>
      <c r="AE171" s="3">
        <f>1054+(137.3-552.2)+(0+(0-0))+0-0-0</f>
        <v>639.09999999999991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1174.4+(110.5-758.7)+(-1.197888+(-0.11271--0.773874))+0-0-0</f>
        <v>525.663276</v>
      </c>
      <c r="G172" s="3">
        <f>1184.4+(76.9-778.1)+(-1.812132+(-0.117657--1.190493))+0-0-0</f>
        <v>482.46070400000002</v>
      </c>
      <c r="H172" s="3">
        <f>1183.5+(42.8-772)+(-0.603585+(-0.021828--0.39372))+0-0-0</f>
        <v>454.06830699999995</v>
      </c>
      <c r="I172" s="3">
        <f>1104.8+(41.1-705.8)+(-1.126896+(-0.041922--0.719916))+0-0-0</f>
        <v>439.65109800000005</v>
      </c>
      <c r="J172" s="3">
        <f>933.3+(96.2-595.5)+(0.475983+(0.049062-0.303705))+0-0-0</f>
        <v>434.22133999999994</v>
      </c>
      <c r="K172" s="3">
        <f>916.7+(102.6-574.1)+(-2.337585+(-0.26163--1.463955))+0-0-0</f>
        <v>444.06474000000003</v>
      </c>
      <c r="L172" s="3">
        <f>918.5+(97.4-577.7)+(-1.87374+(-0.198696--1.178508))+0-0-0</f>
        <v>437.30607199999992</v>
      </c>
      <c r="M172" s="3">
        <f>925.3+(98.7-578.1)+(-0.471903+(-0.050337--0.294831))+0-0-0</f>
        <v>445.6725909999999</v>
      </c>
      <c r="N172" s="3">
        <f>969.5+(89.5-558.9)+(0.494445+(0.045645-0.285039))+0-0-0</f>
        <v>500.355051</v>
      </c>
      <c r="O172" s="3">
        <f>1154.9+(72.1-688.6)+(1.177998+(0.073542-0.702372))+0-0-0</f>
        <v>538.9491680000001</v>
      </c>
      <c r="P172" s="3">
        <f>1187.6+(169.2-787)+(0.605676+(0.086292-0.40137))+0-0-0</f>
        <v>570.090598</v>
      </c>
      <c r="Q172" s="3">
        <f>1189.2+(171.6-782.5)+(1.212984+(0.175032-0.79815))+0-0-0</f>
        <v>578.8898660000001</v>
      </c>
      <c r="R172" s="3">
        <f>1206+(174.2-805)+(0+(0-0))+0-0-0</f>
        <v>575.20000000000005</v>
      </c>
      <c r="S172" s="3">
        <f>1239.9+(180.8-859.3)+(-3.161745+(-0.46104--2.191215))+0-0-0</f>
        <v>559.96843000000013</v>
      </c>
      <c r="T172" s="3">
        <f>1329.6+(180.1-965)+(1.356192+(0.183702-0.9843))+0-0-0</f>
        <v>545.25559399999997</v>
      </c>
      <c r="U172" s="3">
        <f>1335.3+(185.3-989.9)+(-1.362006+(-0.189006--1.009698))+0-0-0</f>
        <v>530.15868599999999</v>
      </c>
      <c r="V172" s="3">
        <f>1316.7+(167.5-949.1)+(-4.700619+(-0.597975--3.388287))+0-0-0</f>
        <v>533.18969300000003</v>
      </c>
      <c r="W172" s="3">
        <f>1319.6+(94.7-877.7)+(-3.36498+(-0.241485--2.238135))+0-0-0</f>
        <v>535.23166999999989</v>
      </c>
      <c r="X172" s="3">
        <f>1325.8+(17.6-801.5)+(-2.028474+(-0.026928--1.226295))+0-0-0</f>
        <v>541.07089299999996</v>
      </c>
      <c r="Y172" s="3">
        <f>1337.8+(15.7-756.7)+(-0.682278+(-0.008007--0.385917))+0-0-0</f>
        <v>596.495632</v>
      </c>
      <c r="Z172" s="3">
        <f>1343.4+(38.7-698.2)+(-3.42567+(-0.098685--1.78041))+0-0-0</f>
        <v>682.15605500000004</v>
      </c>
      <c r="AA172" s="3">
        <f>1350.9+(36.6-696.6)+(-2.066877+(-0.055998--1.065798))+0-0-0</f>
        <v>689.84292300000004</v>
      </c>
      <c r="AB172" s="3">
        <f>1343.9+(30.2-738.3)+(-3.426945+(-0.07701--1.882665))+0-0-0</f>
        <v>634.17871000000014</v>
      </c>
      <c r="AC172" s="3">
        <f>1352.9+(29-790.7)+(0+(0-0))+0-0-0</f>
        <v>591.20000000000005</v>
      </c>
      <c r="AD172">
        <v>665.80000000000007</v>
      </c>
      <c r="AE172" s="3">
        <f>1337+(35.4-706.6)+(0+(0-0))+0-0-0</f>
        <v>665.8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1355.4+(19.5-823.5)+(0.691254+(0.009945-0.419985))+0-0-0</f>
        <v>551.68121400000007</v>
      </c>
      <c r="G173" s="3">
        <f>1339.8+(34.2-861.6)+(-2.049894+(-0.052326--1.318248))+0-0-0</f>
        <v>511.61602799999997</v>
      </c>
      <c r="H173" s="3">
        <f>1356+(54.1-922.6)+(2.07468+(0.082773-1.411578))+0-0-0</f>
        <v>488.24587500000001</v>
      </c>
      <c r="I173" s="3">
        <f>1270.1+(64.6-862.3)+(-1.295502+(-0.065892--0.879546))+0-0-0</f>
        <v>471.91815199999996</v>
      </c>
      <c r="J173" s="3">
        <f>1014.8+(89-645.1)+(0.517548+(0.04539-0.329001))+0-0-0</f>
        <v>458.93393699999996</v>
      </c>
      <c r="K173" s="3">
        <f>1006.4+(50.8-605.4)+(-1.026528+(-0.051816--0.617508))+0-0-0</f>
        <v>451.33916399999998</v>
      </c>
      <c r="L173" s="3">
        <f>1004.3+(26.4-600.9)+(-1.024386+(-0.026928--0.612918))+0-0-0</f>
        <v>429.36160399999994</v>
      </c>
      <c r="M173" s="3">
        <f>1008.3+(19.1-608.6)+(-1.028466+(-0.019482--0.620772))+0-0-0</f>
        <v>418.37282399999998</v>
      </c>
      <c r="N173" s="3">
        <f>1002.2+(44.7-602.9)+(-2.044488+(-0.091188--1.229916))+0-0-0</f>
        <v>443.09424000000013</v>
      </c>
      <c r="O173" s="3">
        <f>1033+(72.2-614.6)+(1.58049+(0.110466-0.940338))+0-0-0</f>
        <v>491.350618</v>
      </c>
      <c r="P173" s="3">
        <f>1312.8+(46.3-820.5)+(-2.008584+(-0.070839--1.255365))+0-0-0</f>
        <v>537.77594199999987</v>
      </c>
      <c r="Q173" s="3">
        <f>1317.2+(43.4-789.9)+(-0.671772+(-0.022134--0.402849))+0-0-0</f>
        <v>570.40894300000002</v>
      </c>
      <c r="R173" s="3">
        <f>1305.7+(49.8-747.2)+(-2.663628+(-0.101592--1.524288))+0-0-0</f>
        <v>607.05906799999991</v>
      </c>
      <c r="S173" s="3">
        <f>1317.3+(49.4-780.4)+(0+(0-0))+0-0-0</f>
        <v>586.29999999999995</v>
      </c>
      <c r="T173" s="3">
        <f>1310.3+(46.6-801.2)+(-1.336506+(-0.047532--0.817224))+0-0-0</f>
        <v>555.13318599999991</v>
      </c>
      <c r="U173" s="3">
        <f>1310.1+(45.5-825.6)+(-1.336302+(-0.04641--0.842112))+0-0-0</f>
        <v>529.45939999999985</v>
      </c>
      <c r="V173" s="3">
        <f>1302.9+(45-816.6)+(-1.328958+(-0.0459--0.832932))+0-0-0</f>
        <v>530.75807400000008</v>
      </c>
      <c r="W173" s="3">
        <f>1288.3+(16.4-780.5)+(-2.628132+(-0.033456--1.59222))+0-0-0</f>
        <v>523.13063199999988</v>
      </c>
      <c r="X173" s="3">
        <f>1297+(13.5-773.2)+(-1.98441+(-0.020655--1.182996))+0-0-0</f>
        <v>536.4779309999999</v>
      </c>
      <c r="Y173" s="3">
        <f>1319+(19-737.1)+(-0.67269+(-0.00969--0.375921))+0-0-0</f>
        <v>600.59354099999996</v>
      </c>
      <c r="Z173" s="3">
        <f>1334.7+(30-669.8)+(-2.722788+(-0.0612--1.366392))+0-0-0</f>
        <v>693.48240400000009</v>
      </c>
      <c r="AA173" s="3">
        <f>1335.6+(24.9-666.1)+(-4.768092+(-0.088893--2.377977))+0-0-0</f>
        <v>691.92099199999984</v>
      </c>
      <c r="AB173" s="3">
        <f>1185.5+(34.6-551.3)+(1.20921+(0.035292-0.562326))+0-0-0</f>
        <v>669.48217600000009</v>
      </c>
      <c r="AC173" s="3">
        <f>1169.3+(33.1-569)+(-0.596343+(-0.016881--0.29019))+0-0-0</f>
        <v>633.07696599999997</v>
      </c>
      <c r="AD173">
        <v>689.5</v>
      </c>
      <c r="AE173" s="3">
        <f>1364+(30-704.5)+(0+(0-0))+0-0-0</f>
        <v>689.5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1173.6+(36.1-658)+(0+(0-0))+0-0-0</f>
        <v>551.69999999999993</v>
      </c>
      <c r="G174" s="3">
        <f>1168.9+(41.1-708)+(-0.596139+(-0.020961--0.36108))+0-0-0</f>
        <v>501.74398000000014</v>
      </c>
      <c r="H174" s="3">
        <f>1144+(49.6-721)+(0+(0-0))+0-0-0</f>
        <v>472.6</v>
      </c>
      <c r="I174" s="3">
        <f>1001.7+(43.9-593.1)+(-2.043468+(-0.089556--1.209924))+0-0-0</f>
        <v>451.57690000000002</v>
      </c>
      <c r="J174" s="3">
        <f>994.6+(46.1-597.7)+(-3.043476+(-0.141066--1.828962))+0-0-0</f>
        <v>441.64442000000003</v>
      </c>
      <c r="K174" s="3">
        <f>1002.2+(44.1-602.4)+(-1.022244+(-0.044982--0.614448))+0-0-0</f>
        <v>443.44722200000007</v>
      </c>
      <c r="L174" s="3">
        <f>995.9+(38.9-588.3)+(-2.539545+(-0.099195--1.500165))+0-0-0</f>
        <v>445.361425</v>
      </c>
      <c r="M174" s="3">
        <f>1008.4+(30.2-580.2)+(-0.514284+(-0.015402--0.295902))+0-0-0</f>
        <v>458.16621599999996</v>
      </c>
      <c r="N174" s="3">
        <f>1206+(66.9-757)+(0+(0-0))+0-0-0</f>
        <v>515.9</v>
      </c>
      <c r="O174" s="3">
        <f>1321.9+(93.4-843.1)+(-0.674169+(-0.047634--0.429981))+0-0-0</f>
        <v>571.90817800000002</v>
      </c>
      <c r="P174" s="3">
        <f>1328.3+(172-861.8)+(2.709732+(0.35088-1.758072))+0-0-0</f>
        <v>639.80254000000002</v>
      </c>
      <c r="Q174" s="3">
        <f>1306.2+(267.7-891)+(0.666162+(0.136527-0.45441))+0-0-0</f>
        <v>683.24827900000014</v>
      </c>
      <c r="R174" s="3">
        <f>1273.4+(274.9-846.4)+(-1.298868+(-0.280398--0.863328))+0-0-0</f>
        <v>701.18406200000004</v>
      </c>
      <c r="S174" s="3">
        <f>1252.2+(292.8-853.9)+(-2.554488+(-0.597312--1.741956))+0-0-0</f>
        <v>689.69015600000012</v>
      </c>
      <c r="T174" s="3">
        <f>1272.6+(298.2-893.8)+(-0.649026+(-0.152082--0.455838))+0-0-0</f>
        <v>676.65472999999997</v>
      </c>
      <c r="U174" s="3">
        <f>1268.7+(297-905)+(-0.647037+(-0.15147--0.46155))+0-0-0</f>
        <v>660.36304300000006</v>
      </c>
      <c r="V174" s="3">
        <f>1265.9+(285.8-907.7)+(-1.936827+(-0.437274--1.388781))+0-0-0</f>
        <v>643.01468</v>
      </c>
      <c r="W174" s="3">
        <f>1255.4+(295.3-917.6)+(-3.20127+(-0.753015--2.33988))+0-0-0</f>
        <v>631.4855950000001</v>
      </c>
      <c r="X174" s="3">
        <f>1270+(108.4-778.6)+(-1.9431+(-0.165852--1.191258))+0-0-0</f>
        <v>598.88230599999997</v>
      </c>
      <c r="Y174" s="3">
        <f>1294.2+(151.1-785.6)+(0+(0-0))+0-0-0</f>
        <v>659.7</v>
      </c>
      <c r="Z174" s="3">
        <f>1315.2+(286.1-850.4)+(-3.35376+(-0.729555--2.16852))+0-0-0</f>
        <v>748.98520500000006</v>
      </c>
      <c r="AA174" s="3">
        <f>1262.8+(255.2-774.3)+(-3.22014+(-0.65076--1.974465))+0-0-0</f>
        <v>741.80356500000005</v>
      </c>
      <c r="AB174" s="3">
        <f>1251.9+(143.5-708.5)+(-2.553876+(-0.29274--1.44534))+0-0-0</f>
        <v>685.49872400000004</v>
      </c>
      <c r="AC174" s="3">
        <f>1264.5+(111.4-731.5)+(0+(0-0))+0-0-0</f>
        <v>644.4</v>
      </c>
      <c r="AD174">
        <v>765.99999999999989</v>
      </c>
      <c r="AE174" s="3">
        <f>1343+(283.1-860.1)+(0+(0-0))+0-0-0</f>
        <v>766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1245.4+(78.6-741.4)+(-3.17577+(-0.20043--1.89057))+0-0-0</f>
        <v>581.11437000000012</v>
      </c>
      <c r="G175" s="3">
        <f>1248.8+(57.5-781.1)+(-2.547552+(-0.1173--1.593444))+0-0-0</f>
        <v>524.12859199999991</v>
      </c>
      <c r="H175" s="3">
        <f>1096.2+(79-693.7)+(-1.118124+(-0.08058--0.707574))+0-0-0</f>
        <v>481.00887</v>
      </c>
      <c r="I175" s="3">
        <f>999.9+(121.2-648.8)+(-2.549745+(-0.30906--1.65444))+0-0-0</f>
        <v>471.09563500000007</v>
      </c>
      <c r="J175" s="3">
        <f>1015.3+(99.3-648.3)+(1.553409+(0.151929-0.991899))+0-0-0</f>
        <v>467.01343899999995</v>
      </c>
      <c r="K175" s="3">
        <f>1014.2+(87.5-640.4)+(1.551726+(0.133875-0.979812))+0-0-0</f>
        <v>462.00578900000005</v>
      </c>
      <c r="L175" s="3">
        <f>1007+(78.8-627.1)+(-1.02714+(-0.080376--0.639642))+0-0-0</f>
        <v>458.23212599999994</v>
      </c>
      <c r="M175" s="3">
        <f>1015.2+(78-628.9)+(0.517752+(0.03978-0.320739))+0-0-0</f>
        <v>464.53679300000005</v>
      </c>
      <c r="N175" s="3">
        <f>1092.6+(61-636.3)+(-0.557226+(-0.03111--0.324513))+0-0-0</f>
        <v>517.03617699999995</v>
      </c>
      <c r="O175" s="3">
        <f>1319.9+(101.9-843.5)+(0+(0-0))+0-0-0</f>
        <v>578.30000000000007</v>
      </c>
      <c r="P175" s="3">
        <f>1346.6+(210.6-940.5)+(0.686766+(0.107406-0.479655))+0-0-0</f>
        <v>617.01451699999996</v>
      </c>
      <c r="Q175" s="3">
        <f>1345.7+(264.3-972.4)+(0.686307+(0.134793-0.495924))+0-0-0</f>
        <v>637.92517600000019</v>
      </c>
      <c r="R175" s="3">
        <f>1344.9+(325.7-1030.8)+(-0.685899+(-0.166107--0.525708))+0-0-0</f>
        <v>639.47370200000023</v>
      </c>
      <c r="S175" s="3">
        <f>1325.9+(331.9-1041.1)+(-4.057254+(-1.015614--3.185766))+0-0-0</f>
        <v>614.81289800000013</v>
      </c>
      <c r="T175" s="3">
        <f>1340.5+(320.7-1074.8)+(0+(0-0))+0-0-0</f>
        <v>586.40000000000009</v>
      </c>
      <c r="U175" s="3">
        <f>1327.8+(325.5-1060.8)+(-2.708712+(-0.66402--2.164032))+0-0-0</f>
        <v>591.29129999999998</v>
      </c>
      <c r="V175" s="3">
        <f>1340.1+(264.4-1020)+(0+(0-0))+0-0-0</f>
        <v>584.49999999999989</v>
      </c>
      <c r="W175" s="3">
        <f>1340.9+(174.2-922.3)+(-2.051577+(-0.266526--1.411119))+0-0-0</f>
        <v>591.89301600000022</v>
      </c>
      <c r="X175" s="3">
        <f>1350.5+(84.4-847.7)+(0+(0-0))+0-0-0</f>
        <v>587.19999999999993</v>
      </c>
      <c r="Y175" s="3">
        <f>1360.6+(70.1-781.1)+(-0.693906+(-0.035751--0.398361))+0-0-0</f>
        <v>649.26870399999996</v>
      </c>
      <c r="Z175" s="3">
        <f>1364.3+(63.7-721)+(-3.478965+(-0.162435--1.83855))+0-0-0</f>
        <v>705.19714999999997</v>
      </c>
      <c r="AA175" s="3">
        <f>1369.1+(50.1-731.6)+(-4.189446+(-0.153306--2.238696))+0-0-0</f>
        <v>685.49594399999989</v>
      </c>
      <c r="AB175" s="3">
        <f>1364.7+(49.2-754.1)+(-2.087991+(-0.075276--1.153773))+0-0-0</f>
        <v>658.79050600000005</v>
      </c>
      <c r="AC175" s="3">
        <f>1357.5+(56.4-802.4)+(-2.076975+(-0.086292--1.227672))+0-0-0</f>
        <v>610.56440499999997</v>
      </c>
      <c r="AD175">
        <v>714.50000000000011</v>
      </c>
      <c r="AE175" s="3">
        <f>1371+(62.9-719.4)+(0+(0-0))+0-0-0</f>
        <v>714.5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1235.2+(50.7-713.5)+(-2.519808+(-0.103428--1.45554))+0-0-0</f>
        <v>571.23230400000011</v>
      </c>
      <c r="G176" s="3">
        <f>1117.2+(77.3-677.4)+(0+(0-0))+0-0-0</f>
        <v>517.1</v>
      </c>
      <c r="H176" s="3">
        <f>1016.9+(86.9-612.9)+(0+(0-0))+0-0-0</f>
        <v>490.9</v>
      </c>
      <c r="I176" s="3">
        <f>1010.4+(94.6-628.7)+(-0.515304+(-0.048246--0.320637))+0-0-0</f>
        <v>476.05708699999997</v>
      </c>
      <c r="J176" s="3">
        <f>1002.5+(72.7-609.9)+(-2.0451+(-0.148308--1.244196))+0-0-0</f>
        <v>464.35078800000008</v>
      </c>
      <c r="K176" s="3">
        <f>1015.6+(63.9-621.8)+(0.517956+(0.032589-0.317118))+0-0-0</f>
        <v>457.93342700000005</v>
      </c>
      <c r="L176" s="3">
        <f>1000.5+(60-600.6)+(-2.551275+(-0.153--1.53153))+0-0-0</f>
        <v>458.72725499999996</v>
      </c>
      <c r="M176" s="3">
        <f>1009.8+(47.3-583.2)+(-0.514998+(-0.024123--0.297432))+0-0-0</f>
        <v>473.65831099999986</v>
      </c>
      <c r="N176" s="3">
        <f>1021.9+(70.6-565.4)+(1.042338+(0.072012-0.576708))+0-0-0</f>
        <v>527.63764200000003</v>
      </c>
      <c r="O176" s="3">
        <f>1319.3+(64.6-801.8)+(-2.018529+(-0.098838--1.226754))+0-0-0</f>
        <v>581.20938699999999</v>
      </c>
      <c r="P176" s="3">
        <f>1334.3+(64.1-789.4)+(-0.680493+(-0.032691--0.402594))+0-0-0</f>
        <v>608.68940999999995</v>
      </c>
      <c r="Q176" s="3">
        <f>1339.7+(132.6-835.3)+(0+(0-0))+0-0-0</f>
        <v>637.00000000000011</v>
      </c>
      <c r="R176" s="3">
        <f>1343.8+(219.3-924.8)+(0+(0-0))+0-0-0</f>
        <v>638.29999999999995</v>
      </c>
      <c r="S176" s="3">
        <f>1333.9+(235.6-946.3)+(-2.040867+(-0.360468--1.447839))+0-0-0</f>
        <v>622.24650400000019</v>
      </c>
      <c r="T176" s="3">
        <f>1336.9+(202.2-945.6)+(-1.363638+(-0.206244--0.964512))+0-0-0</f>
        <v>592.89463000000001</v>
      </c>
      <c r="U176" s="3">
        <f>1339.5+(154.4-912.8)+(-0.683145+(-0.078744--0.465528))+0-0-0</f>
        <v>580.80363899999998</v>
      </c>
      <c r="V176" s="3">
        <f>1327.4+(137.9-884.9)+(-2.707896+(-0.281316--1.805196))+0-0-0</f>
        <v>579.21598400000005</v>
      </c>
      <c r="W176" s="3">
        <f>1330.4+(51.9-792.5)+(-4.071024+(-0.158814--2.42505))+0-0-0</f>
        <v>587.99521200000004</v>
      </c>
      <c r="X176" s="3">
        <f>1366.8+(20.5-794.1)+(-2.788272+(-0.04182--1.619964))+0-0-0</f>
        <v>591.98987199999988</v>
      </c>
      <c r="Y176" s="3">
        <f>1369.7+(41.9-753.1)+(-1.397094+(-0.042738--0.768162))+0-0-0</f>
        <v>657.82833000000005</v>
      </c>
      <c r="Z176" s="3">
        <f>1369.1+(70.8-718.3)+(-2.094723+(-0.108324--1.098999))+0-0-0</f>
        <v>720.49595199999987</v>
      </c>
      <c r="AA176" s="3">
        <f>1361.7+(62.6-715.8)+(-2.083401+(-0.095778--1.095174))+0-0-0</f>
        <v>707.41599500000007</v>
      </c>
      <c r="AB176" s="3">
        <f>1358+(62.3-768.6)+(-1.38516+(-0.063546--0.783972))+0-0-0</f>
        <v>651.03526599999998</v>
      </c>
      <c r="AC176" s="3">
        <f>1361+(67.4-811.5)+(-0.69411+(-0.034374--0.413865))+0-0-0</f>
        <v>616.58538099999998</v>
      </c>
      <c r="AD176">
        <v>690</v>
      </c>
      <c r="AE176" s="3">
        <f>1385+(71.7-766.7)+(0+(0-0))+0-0-0</f>
        <v>690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1350.7+(63.9-866.3)+(-2.066571+(-0.097767--1.325439))+0-0-0</f>
        <v>547.4611010000001</v>
      </c>
      <c r="G177" s="3">
        <f>1288.6+(67.3-855.8)+(-1.971558+(-0.102969--1.309374))+0-0-0</f>
        <v>499.33484699999991</v>
      </c>
      <c r="H177" s="3">
        <f>1148.6+(71.5-746.3)+(-2.343144+(-0.14586--1.522452))+0-0-0</f>
        <v>472.83344799999998</v>
      </c>
      <c r="I177" s="3">
        <f>1050.9+(78.8-669.6)+(-0.535959+(-0.040188--0.341496))+0-0-0</f>
        <v>459.86534900000004</v>
      </c>
      <c r="J177" s="3">
        <f>1032.7+(83.9-666.7)+(0.526677+(0.042789-0.340017))+0-0-0</f>
        <v>450.12944899999997</v>
      </c>
      <c r="K177" s="3">
        <f>1027.2+(81.8-654.9)+(-0.523872+(-0.041718--0.333999))+0-0-0</f>
        <v>453.86840900000004</v>
      </c>
      <c r="L177" s="3">
        <f>1026.6+(41.5-615)+(-0.523566+(-0.021165--0.31365))+0-0-0</f>
        <v>452.86891899999989</v>
      </c>
      <c r="M177" s="3">
        <f>1035.6+(35.8-608.4)+(0.528156+(0.018258-0.310284))+0-0-0</f>
        <v>463.23612999999989</v>
      </c>
      <c r="N177" s="3">
        <f>1246.2+(49.4-766.6)+(-2.542248+(-0.100776--1.563864))+0-0-0</f>
        <v>527.92084</v>
      </c>
      <c r="O177" s="3">
        <f>1347.9+(82.8-856.8)+(0+(0-0))+0-0-0</f>
        <v>573.90000000000009</v>
      </c>
      <c r="P177" s="3">
        <f>1356.6+(62.8-815.2)+(1.383732+(0.064056-0.831504))+0-0-0</f>
        <v>604.81628399999977</v>
      </c>
      <c r="Q177" s="3">
        <f>1353.3+(132.1-857.8)+(1.380366+(0.134742-0.874956))+0-0-0</f>
        <v>628.24015199999997</v>
      </c>
      <c r="R177" s="3">
        <f>1330.4+(160-761)+(0+(0-0))+0-0-0</f>
        <v>729.40000000000009</v>
      </c>
      <c r="S177" s="3">
        <f>1330.3+(169-891)+(0+(0-0))+0-0-0</f>
        <v>608.29999999999995</v>
      </c>
      <c r="T177" s="3">
        <f>1337.5+(167-925)+(0+(0-0))+0-0-0</f>
        <v>579.5</v>
      </c>
      <c r="U177" s="3">
        <f>1322.2+(153-904)+(0+(0-0))+0-0-0</f>
        <v>571.20000000000005</v>
      </c>
      <c r="V177" s="3">
        <f>1313+(141-902)+(0+(0-0))+0-0-0</f>
        <v>552</v>
      </c>
      <c r="W177" s="3">
        <f>1313.6+(97-865)+(0+(0-0))+0-0-0</f>
        <v>545.59999999999991</v>
      </c>
      <c r="X177" s="3">
        <f>1328.6+(44-802)+(-3.38793+(-0.1122--2.0451))+0-0-0</f>
        <v>569.14496999999994</v>
      </c>
      <c r="Y177" s="3">
        <f>1357.8+(69-683)+(-1.384956+(-0.07038--0.69666))+0-0-0</f>
        <v>743.04132399999992</v>
      </c>
      <c r="Z177" s="3">
        <f>1363.4+(84-741)+(-3.47667+(-0.2142--1.88955))+0-0-0</f>
        <v>704.59868000000006</v>
      </c>
      <c r="AA177" s="3">
        <f>1364.4+(93-763)+(-4.175064+(-0.28458--2.33478))+0-0-0</f>
        <v>692.27513600000009</v>
      </c>
      <c r="AB177" s="3">
        <f>1351.3+(62-742)+(-2.756652+(-0.12648--1.51368))+0-0-0</f>
        <v>669.93054799999993</v>
      </c>
      <c r="AC177" s="3">
        <f>1257.5+(64-703)+(-0.641325+(-0.03264--0.35853))+0-0-0</f>
        <v>618.18456500000002</v>
      </c>
      <c r="AD177">
        <v>684.3</v>
      </c>
      <c r="AE177" s="3">
        <f>1365+(67.8-748.5)+(0+(0-0))+0-0-0</f>
        <v>684.3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1139.6+(28.1-708.7)+(0+(0-0))+0-0-0</f>
        <v>458.99999999999989</v>
      </c>
      <c r="G178" s="3">
        <f>1090+(25.9-703)+(0+(0-0))+0-0-0</f>
        <v>412.9</v>
      </c>
      <c r="H178" s="3">
        <f>938.8+(57.2-621.5)+(0+(0-0))+0-0-0</f>
        <v>374.5</v>
      </c>
      <c r="I178" s="3">
        <f>970+(58-568.3)+(0+(0-0))+0-0-0</f>
        <v>459.70000000000005</v>
      </c>
      <c r="J178" s="3">
        <f>968.5+(49.2-577.5)+(0+(0-0))+0-0-0</f>
        <v>440.20000000000005</v>
      </c>
      <c r="K178" s="3">
        <f>969.2+(46.8-565.8)+(0+(0-0))+0-0-0</f>
        <v>450.20000000000005</v>
      </c>
      <c r="L178" s="3">
        <f>995.2+(51.9-576.2)+(0+(0-0))+0-0-0</f>
        <v>470.9</v>
      </c>
      <c r="M178" s="3">
        <f>997.4+(66.9-580.3)+(0.508674+(0.034119-0.295953))+0-0-0</f>
        <v>484.24684000000002</v>
      </c>
      <c r="N178" s="3">
        <f>1118.1+(80.8-650.8)+(-1.140462+(-0.082416--0.663816))+0-0-0</f>
        <v>547.54093799999987</v>
      </c>
      <c r="O178" s="3">
        <f>1342.8+(80.6-821.9)+(0.684828+(0.041106-0.419169))+0-0-0</f>
        <v>601.80676500000004</v>
      </c>
      <c r="P178" s="3">
        <f>1352.3+(127.8-848.6)+(2.069019+(0.195534-1.298358))+0-0-0</f>
        <v>632.46619499999986</v>
      </c>
      <c r="Q178" s="3">
        <f>1347.6+(124.1-831.6)+(0.687276+(0.063291-0.424116))+0-0-0</f>
        <v>640.42645099999993</v>
      </c>
      <c r="R178" s="3">
        <f>1349.2+(127.8-850.1)+(1.376184+(0.130356-0.867102))+0-0-0</f>
        <v>627.53943800000002</v>
      </c>
      <c r="S178" s="3">
        <f>1341.2+(141.2-872.6)+(-0.684012+(-0.072012--0.445026))+0-0-0</f>
        <v>609.48900199999991</v>
      </c>
      <c r="T178" s="3">
        <f>1338.1+(155-901.3)+(-0.682431+(-0.07905--0.459663))+0-0-0</f>
        <v>591.49818199999993</v>
      </c>
      <c r="U178" s="3">
        <f>1336.1+(156.5-908.4)+(-0.681411+(-0.079815--0.463284))+0-0-0</f>
        <v>583.9020579999999</v>
      </c>
      <c r="V178" s="3">
        <f>1324.5+(157.1-889.2)+(-3.377475+(-0.400605--2.26746))+0-0-0</f>
        <v>590.88937999999996</v>
      </c>
      <c r="W178" s="3">
        <f>1322.1+(95-828.9)+(-4.045626+(-0.2907--2.536434))+0-0-0</f>
        <v>586.40010799999993</v>
      </c>
      <c r="X178" s="3">
        <f>1328+(37.1-779.5)+(-3.3864+(-0.094605--1.987725))+0-0-0</f>
        <v>584.10672</v>
      </c>
      <c r="Y178" s="3">
        <f>1349.7+(29.9-721.5)+(-1.376694+(-0.030498--0.73593))+0-0-0</f>
        <v>657.42873800000007</v>
      </c>
      <c r="Z178" s="3">
        <f>1352.2+(85.6-714.9)+(-4.137732+(-0.261936--2.187594))+0-0-0</f>
        <v>720.68792600000006</v>
      </c>
      <c r="AA178" s="3">
        <f>1358.9+(83.8-734.1)+(-3.465195+(-0.21369--1.871955))+0-0-0</f>
        <v>706.79307000000006</v>
      </c>
      <c r="AB178" s="3">
        <f>1359.2+(72.9-761)+(-2.079576+(-0.111537--1.16433))+0-0-0</f>
        <v>670.073217</v>
      </c>
      <c r="AC178" s="3">
        <f>1343.1+(115.4-828.6)+(-0.684981+(-0.058854--0.422586))+0-0-0</f>
        <v>629.5787509999999</v>
      </c>
      <c r="AD178">
        <v>697.2</v>
      </c>
      <c r="AE178" s="3">
        <f>1374+(65.9-742.7)+(0+(0-0))+0-0-0</f>
        <v>697.19999999999993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1249.8+(134.8-815.1)+(0+(0-0))+0-0-0</f>
        <v>569.5</v>
      </c>
      <c r="G179" s="3">
        <f>1055.9+(162.3-698)+(-0.538509+(-0.082773--0.35598))+0-0-0</f>
        <v>519.93469800000003</v>
      </c>
      <c r="H179" s="3">
        <f>904.7+(185.4-600.4)+(1.384191+(0.283662-0.918612))+0-0-0</f>
        <v>490.44924100000003</v>
      </c>
      <c r="I179" s="3">
        <f>891.1+(159.7-574.9)+(-0.908922+(-0.162894--0.586398))+0-0-0</f>
        <v>475.41458200000005</v>
      </c>
      <c r="J179" s="3">
        <f>885.7+(130.8-552)+(-1.355121+(-0.200124--0.84456))+0-0-0</f>
        <v>463.78931500000004</v>
      </c>
      <c r="K179" s="3">
        <f>890.7+(101.7-524.5)+(-0.454257+(-0.051867--0.267495))+0-0-0</f>
        <v>467.66137100000003</v>
      </c>
      <c r="L179" s="3">
        <f>884.2+(94.1-501.6)+(-2.25471+(-0.239955--1.27908))+0-0-0</f>
        <v>475.48441500000007</v>
      </c>
      <c r="M179" s="3">
        <f>898.9+(92.1-504.4)+(0+(0-0))+0-0-0</f>
        <v>486.6</v>
      </c>
      <c r="N179" s="3">
        <f>901.7+(118.3-499.3)+(0+(0-0))+0-0-0</f>
        <v>520.70000000000005</v>
      </c>
      <c r="O179" s="3">
        <f>902.7+(179-505.5)+(0+(0-0))+0-0-0</f>
        <v>576.20000000000005</v>
      </c>
      <c r="P179" s="3">
        <f>911.1+(184.6-487.2)+(1.858644+(0.376584-0.993888))+0-0-0</f>
        <v>609.74134000000004</v>
      </c>
      <c r="Q179" s="3">
        <f>904.1+(189.4-474.4)+(0+(0-0))+0-0-0</f>
        <v>619.1</v>
      </c>
      <c r="R179" s="3">
        <f>1064.8+(141-586.4)+(-1.086096+(-0.14382--0.598128))+0-0-0</f>
        <v>618.76821199999995</v>
      </c>
      <c r="S179" s="3">
        <f>1222.6+(145.5-773.2)+(-2.494104+(-0.29682--1.577328))+0-0-0</f>
        <v>593.68640399999981</v>
      </c>
      <c r="T179" s="3">
        <f>1222.9+(166.4-818.3)+(-0.623679+(-0.084864--0.417333))+0-0-0</f>
        <v>570.70879000000014</v>
      </c>
      <c r="U179" s="3">
        <f>1213.9+(168.2-814.2)+(-1.857267+(-0.257346--1.245726))+0-0-0</f>
        <v>567.03111300000012</v>
      </c>
      <c r="V179" s="3">
        <f>1219.2+(175.4-820.2)+(-0.621792+(-0.089454--0.418302))+0-0-0</f>
        <v>574.10705599999994</v>
      </c>
      <c r="W179" s="3">
        <f>1206.4+(118-752.5)+(-3.07632+(-0.3009--1.918875))+0-0-0</f>
        <v>570.44165500000008</v>
      </c>
      <c r="X179" s="3">
        <f>1069.9+(93-590.6)+(0+(0-0))+0-0-0</f>
        <v>572.30000000000007</v>
      </c>
      <c r="Y179" s="3">
        <f>1107.8+(106.9-560.8)+(0+(0-0))+0-0-0</f>
        <v>653.9</v>
      </c>
      <c r="Z179" s="3">
        <f>1239.8+(110.6-635.9)+(-1.896894+(-0.169218--0.972927))+0-0-0</f>
        <v>713.40681500000005</v>
      </c>
      <c r="AA179" s="3">
        <f>1244.8+(90.7-635.7)+(-3.17424+(-0.231285--1.621035))+0-0-0</f>
        <v>698.01550999999995</v>
      </c>
      <c r="AB179" s="3">
        <f>1235.6+(55-621.3)+(-3.15078+(-0.14025--1.584315))+0-0-0</f>
        <v>667.59328499999992</v>
      </c>
      <c r="AC179" s="3">
        <f>1243.1+(40.2-652.5)+(-1.901943+(-0.061506--0.998325))+0-0-0</f>
        <v>629.83487600000001</v>
      </c>
      <c r="AD179">
        <v>677.9</v>
      </c>
      <c r="AE179" s="3">
        <f>1267+(98.3-687.4)+(0+(0-0))+0-0-0</f>
        <v>677.9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1245+(30.2-703)+(-1.90485+(-0.046206--1.07559))+0-0-0</f>
        <v>571.32453400000009</v>
      </c>
      <c r="G180" s="3">
        <f>1272.5+(0-737.9)+(-0.648975+(0--0.376329))+0-0-0</f>
        <v>534.32735400000001</v>
      </c>
      <c r="H180" s="3">
        <f>1310.3+(0-806)+(-3.341265+(0--2.0553))+0-0-0</f>
        <v>503.01403499999998</v>
      </c>
      <c r="I180" s="3">
        <f>1263.8+(0-780.3)+(0+(0-0))+0-0-0</f>
        <v>483.5</v>
      </c>
      <c r="J180" s="3">
        <f>1092.1+(33.8-660.9)+(0+(0-0))+0-0-0</f>
        <v>464.99999999999989</v>
      </c>
      <c r="K180" s="3">
        <f>1101.2+(27.7-665.1)+(1.684836+(0.042381-1.017603))+0-0-0</f>
        <v>464.50961400000006</v>
      </c>
      <c r="L180" s="3">
        <f>1085.8+(45-679.2)+(1.661274+(0.06885-1.039176))+0-0-0</f>
        <v>452.2909479999999</v>
      </c>
      <c r="M180" s="3">
        <f>1079.9+(52.7-672)+(-2.753745+(-0.134385--1.7136))+0-0-0</f>
        <v>459.42547000000013</v>
      </c>
      <c r="N180" s="3">
        <f>1110.1+(53.7-700.3)+(0+(0-0))+0-0-0</f>
        <v>463.5</v>
      </c>
      <c r="O180" s="3">
        <f>1271.4+(33.3-804.2)+(-1.945242+(-0.050949--1.230426))+0-0-0</f>
        <v>499.73423500000001</v>
      </c>
      <c r="P180" s="3">
        <f>1321.6+(35.6-814.4)+(-1.348032+(-0.036312--0.830688))+0-0-0</f>
        <v>542.24634399999991</v>
      </c>
      <c r="Q180" s="3">
        <f>1335+(28.5-793.8)+(-1.3617+(-0.02907--0.809676))+0-0-0</f>
        <v>569.11890600000004</v>
      </c>
      <c r="R180" s="3">
        <f>1327.2+(16.3-781.3)+(-1.353744+(-0.016626--0.796926))+0-0-0</f>
        <v>561.62655600000005</v>
      </c>
      <c r="S180" s="3">
        <f>1326.7+(3.3-793.4)+(-1.353234+(-0.003366--0.809268))+0-0-0</f>
        <v>536.05266800000004</v>
      </c>
      <c r="T180" s="3">
        <f>1324.2+(0-809.5)+(0.675342+(0-0.412845))+0-0-0</f>
        <v>514.9624970000001</v>
      </c>
      <c r="U180" s="3">
        <f>1321.3+(0-811.3)+(0+(0-0))+0-0-0</f>
        <v>510</v>
      </c>
      <c r="V180" s="3">
        <f>1308.9+(9.9-808.1)+(-3.337695+(-0.025245--2.060655))+0-0-0</f>
        <v>509.39771500000006</v>
      </c>
      <c r="W180" s="3">
        <f>1213.6+(18.2-725.7)+(-1.237872+(-0.018564--0.740214))+0-0-0</f>
        <v>505.58377799999988</v>
      </c>
      <c r="X180" s="3">
        <f>1064.3+(56.2-605.2)+(-1.628379+(-0.085986--0.925956))+0-0-0</f>
        <v>514.51159099999995</v>
      </c>
      <c r="Y180" s="3">
        <f>1160.4+(58.9-631.7)+(0+(0-0))+0-0-0</f>
        <v>587.6</v>
      </c>
      <c r="Z180" s="3">
        <f>1360.5+(38.3-754.7)+(-2.081565+(-0.058599--1.154691))+0-0-0</f>
        <v>643.11452699999995</v>
      </c>
      <c r="AA180" s="3">
        <f>1350.6+(25.1-744.4)+(-3.44403+(-0.064005--1.89822))+0-0-0</f>
        <v>629.69018499999993</v>
      </c>
      <c r="AB180" s="3">
        <f>1297.1+(33.4-711.5)+(-2.646084+(-0.068136--1.45146))+0-0-0</f>
        <v>617.73723999999993</v>
      </c>
      <c r="AC180" s="3">
        <f>1294.8+(8-719.6)+(-1.320696+(-0.00816--0.733992))+0-0-0</f>
        <v>582.6051359999999</v>
      </c>
      <c r="AD180">
        <v>635</v>
      </c>
      <c r="AE180" s="3">
        <f>1370+(33.7-768.7)+(0+(0-0))+0-0-0</f>
        <v>635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1303.8+(0-729.8)+(-2.659752+(0--1.488792))+0-0-0</f>
        <v>572.82903999999996</v>
      </c>
      <c r="G181" s="3">
        <f>1266.1+(0-763.3)+(0+(0-0))+0-0-0</f>
        <v>502.79999999999995</v>
      </c>
      <c r="H181" s="3">
        <f>1074.8+(43.3-663.6)+(-1.644444+(-0.066249--1.015308))+0-0-0</f>
        <v>453.8046149999999</v>
      </c>
      <c r="I181" s="3">
        <f>987.6+(54.5-591.1)+(-1.007352+(-0.05559--0.602922))+0-0-0</f>
        <v>450.53998000000001</v>
      </c>
      <c r="J181" s="3">
        <f>1007.5+(64.1-611.6)+(-0.513825+(-0.032691--0.311916))+0-0-0</f>
        <v>459.7654</v>
      </c>
      <c r="K181" s="3">
        <f>996.9+(72.7-602.6)+(-2.542095+(-0.185385--1.53663))+0-0-0</f>
        <v>465.80914999999999</v>
      </c>
      <c r="L181" s="3">
        <f>984.5+(74.2-593.1)+(-3.514665+(-0.264894--2.117367))+0-0-0</f>
        <v>463.93780800000002</v>
      </c>
      <c r="M181" s="3">
        <f>1034.4+(44.2-581.5)+(1.582632+(0.067626-0.889695))+0-0-0</f>
        <v>497.86056300000013</v>
      </c>
      <c r="N181" s="3">
        <f>1265.1+(21.1-627.6)+(-1.290402+(-0.021522--0.640152))+0-0-0</f>
        <v>657.92822799999988</v>
      </c>
      <c r="O181" s="3">
        <f>1337.6+(13.7-749.2)+(-0.682176+(-0.006987--0.382092))+0-0-0</f>
        <v>601.79292899999996</v>
      </c>
      <c r="P181" s="3">
        <f>1344+(22.2-724.1)+(0+(0-0))+0-0-0</f>
        <v>642.1</v>
      </c>
      <c r="Q181" s="3">
        <f>1339.1+(38.8-720)+(0.682941+(0.019788-0.3672))+0-0-0</f>
        <v>658.23552899999981</v>
      </c>
      <c r="R181" s="3">
        <f>1336.5+(58.5-761.5)+(-1.36323+(-0.05967--0.77673))+0-0-0</f>
        <v>632.85383000000002</v>
      </c>
      <c r="S181" s="3">
        <f>1341.8+(71-785.5)+(0.684318+(0.03621-0.400605))+0-0-0</f>
        <v>627.61992299999997</v>
      </c>
      <c r="T181" s="3">
        <f>1337.5+(78.5-805.7)+(0.682125+(0.040035-0.410907))+0-0-0</f>
        <v>610.61125299999992</v>
      </c>
      <c r="U181" s="3">
        <f>1325.7+(81.9-809.9)+(-0.676107+(-0.041769--0.413049))+0-0-0</f>
        <v>597.395173</v>
      </c>
      <c r="V181" s="3">
        <f>1317.4+(82.1-799.2)+(-2.015622+(-0.125613--1.222776))+0-0-0</f>
        <v>599.38154100000008</v>
      </c>
      <c r="W181" s="3">
        <f>1311.2+(83.2-796.1)+(-2.674848+(-0.169728--1.624044))+0-0-0</f>
        <v>597.07946800000002</v>
      </c>
      <c r="X181" s="3">
        <f>1312.1+(35.5-774)+(-1.338342+(-0.03621--0.78948))+0-0-0</f>
        <v>573.01492799999994</v>
      </c>
      <c r="Y181" s="3">
        <f>1339+(64.1-758.8)+(-0.68289+(-0.032691--0.386988))+0-0-0</f>
        <v>643.97140700000011</v>
      </c>
      <c r="Z181" s="3">
        <f>1359.5+(87.5-728.1)+(-1.38669+(-0.08925--0.742662))+0-0-0</f>
        <v>718.16672199999994</v>
      </c>
      <c r="AA181" s="3">
        <f>1347.8+(87-734.6)+(-4.124268+(-0.26622--2.247876))+0-0-0</f>
        <v>698.05738799999995</v>
      </c>
      <c r="AB181" s="3">
        <f>1363.5+(47-755)+(0.695385+(0.02397-0.38505))+0-0-0</f>
        <v>655.83430499999997</v>
      </c>
      <c r="AC181" s="3">
        <f>1364+(25.6-781.3)+(0.69564+(0.013056-0.398463))+0-0-0</f>
        <v>608.61023300000011</v>
      </c>
      <c r="AD181">
        <v>709.7</v>
      </c>
      <c r="AE181" s="3">
        <f>1369+(80.2-739.5)+(0+(0-0))+0-0-0</f>
        <v>709.7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1330.5+(15.6-773.2)+(-0.678555+(-0.007956--0.394332))+0-0-0</f>
        <v>572.60782099999994</v>
      </c>
      <c r="G182" s="3">
        <f>1093.7+(51.4-622.8)+(0.557787+(0.026214-0.317628))+0-0-0</f>
        <v>522.56637300000011</v>
      </c>
      <c r="H182" s="3">
        <f>1097.9+(44.8-656.8)+(2.239716+(0.091392-1.339872))+0-0-0</f>
        <v>486.89123600000011</v>
      </c>
      <c r="I182" s="3">
        <f>1078.2+(30-640.1)+(-1.649646+(-0.0459--0.979353))+0-0-0</f>
        <v>467.38380700000005</v>
      </c>
      <c r="J182" s="3">
        <f>1095.8+(22.9-652.5)+(2.235432+(0.046716-1.3311))+0-0-0</f>
        <v>467.15104799999995</v>
      </c>
      <c r="K182" s="3">
        <f>1090.9+(22.5-641.1)+(1.112718+(0.02295-0.653922))+0-0-0</f>
        <v>472.78174600000006</v>
      </c>
      <c r="L182" s="3">
        <f>1081.9+(26.6-639.1)+(-1.103538+(-0.027132--0.651882))+0-0-0</f>
        <v>468.92121200000008</v>
      </c>
      <c r="M182" s="3">
        <f>1089.4+(13.8-618.6)+(0.555594+(0.007038-0.315486))+0-0-0</f>
        <v>484.84714600000001</v>
      </c>
      <c r="N182" s="3">
        <f>1153.4+(47.1-653.2)+(-0.588234+(-0.024021--0.333132))+0-0-0</f>
        <v>547.02087700000004</v>
      </c>
      <c r="O182" s="3">
        <f>1294.2+(27-726.2)+(0.660042+(0.01377-0.370362))+0-0-0</f>
        <v>595.30345</v>
      </c>
      <c r="P182" s="3">
        <f>1333.5+(18-718.1)+(0+(0-0))+0-0-0</f>
        <v>633.4</v>
      </c>
      <c r="Q182" s="3">
        <f>1332.4+(21.6-697.9)+(2.038572+(0.033048-1.067787))+0-0-0</f>
        <v>657.10383300000012</v>
      </c>
      <c r="R182" s="3">
        <f>1324.4+(22-711.9)+(0.675444+(0.01122-0.363069))+0-0-0</f>
        <v>634.82359500000007</v>
      </c>
      <c r="S182" s="3">
        <f>1304.8+(26.4-711.2)+(-0.665448+(-0.013464--0.362712))+0-0-0</f>
        <v>619.68379999999991</v>
      </c>
      <c r="T182" s="3">
        <f>1316+(34.8-741.9)+(0.67116+(0.017748-0.378369))+0-0-0</f>
        <v>609.21053899999993</v>
      </c>
      <c r="U182" s="3">
        <f>1299.7+(31.9-736.6)+(-1.988541+(-0.048807--1.126998))+0-0-0</f>
        <v>594.08965000000001</v>
      </c>
      <c r="V182" s="3">
        <f>1296.2+(33-738.5)+(-2.644248+(-0.06732--1.50654))+0-0-0</f>
        <v>589.49497200000008</v>
      </c>
      <c r="W182" s="3">
        <f>1293.4+(33.9-740.8)+(-3.957804+(-0.103734--2.266848))+0-0-0</f>
        <v>584.70531000000017</v>
      </c>
      <c r="X182" s="3">
        <f>1311.1+(19.2-755.6)+(0.668661+(0.009792-0.385356))+0-0-0</f>
        <v>574.99309699999992</v>
      </c>
      <c r="Y182" s="3">
        <f>1322.9+(19.3-698.5)+(0.674679+(0.009843-0.356235))+0-0-0</f>
        <v>644.02828700000009</v>
      </c>
      <c r="Z182" s="3">
        <f>1333.8+(70-708.7)+(0+(0-0))+0-0-0</f>
        <v>695.09999999999991</v>
      </c>
      <c r="AA182" s="3">
        <f>1345.7+(58.6-700)+(-3.431535+(-0.14943--1.785))+0-0-0</f>
        <v>702.50403500000004</v>
      </c>
      <c r="AB182" s="3">
        <f>1338.4+(28.7-702.7)+(-3.41292+(-0.073185--1.791885))+0-0-0</f>
        <v>662.70578000000012</v>
      </c>
      <c r="AC182" s="3">
        <f>1362.9+(47.8-790.4)+(1.390158+(0.048756-0.806208))+0-0-0</f>
        <v>620.93270600000005</v>
      </c>
      <c r="AD182">
        <v>676.10000000000014</v>
      </c>
      <c r="AE182" s="3">
        <f>1325+(67.4-716.3)+(0+(0-0))+0-0-0</f>
        <v>676.1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1361.7+(43.6-831.1)+(-1.388934+(-0.044472--0.847722))+0-0-0</f>
        <v>573.61431600000003</v>
      </c>
      <c r="G183" s="3">
        <f>1174.1+(58.2-686.7)+(-2.395164+(-0.118728--1.400868))+0-0-0</f>
        <v>544.48697599999991</v>
      </c>
      <c r="H183" s="3">
        <f>1017.3+(72.1-602.6)+(-0.518823+(-0.036771--0.307326))+0-0-0</f>
        <v>486.55173199999996</v>
      </c>
      <c r="I183" s="3">
        <f>999.9+(70.9-613.5)+(-2.039796+(-0.144636--1.25154))+0-0-0</f>
        <v>456.36710799999997</v>
      </c>
      <c r="J183" s="3">
        <f>1021.6+(30.2-590.8)+(2.60508+(0.07701-1.50654))+0-0-0</f>
        <v>462.1755500000001</v>
      </c>
      <c r="K183" s="3">
        <f>1018.4+(29.1-582.2)+(1.558152+(0.044523-0.890766))+0-0-0</f>
        <v>466.01190899999995</v>
      </c>
      <c r="L183" s="3">
        <f>1000.5+(24.1-554.5)+(-2.04102+(-0.049164--1.13118))+0-0-0</f>
        <v>469.14099600000003</v>
      </c>
      <c r="M183" s="3">
        <f>1010.2+(21-559)+(0+(0-0))+0-0-0</f>
        <v>472.20000000000005</v>
      </c>
      <c r="N183" s="3">
        <f>1014.3+(64.8-544)+(0.517293+(0.033048-0.27744))+0-0-0</f>
        <v>535.37290099999996</v>
      </c>
      <c r="O183" s="3">
        <f>1352.2+(21.4-674.4)+(0.689622+(0.010914-0.343944))+0-0-0</f>
        <v>699.55659200000002</v>
      </c>
      <c r="P183" s="3">
        <f>1339.7+(23.5-727.8)+(0.683247+(0.011985-0.371178))+0-0-0</f>
        <v>635.72405400000014</v>
      </c>
      <c r="Q183" s="3">
        <f>1341.1+(21.1-704.4)+(1.367922+(0.021522-0.718488))+0-0-0</f>
        <v>658.470956</v>
      </c>
      <c r="R183" s="3">
        <f>1331.1+(62.8-747.7)+(-0.678861+(-0.032028--0.381327))+0-0-0</f>
        <v>645.87043799999981</v>
      </c>
      <c r="S183" s="3">
        <f>1332.2+(69.7-767.7)+(-2.038266+(-0.106641--1.174581))+0-0-0</f>
        <v>633.22967400000005</v>
      </c>
      <c r="T183" s="3">
        <f>1308.7+(74.5-781.7)+(0+(0-0))+0-0-0</f>
        <v>601.5</v>
      </c>
      <c r="U183" s="3">
        <f>1306.9+(70.2-769.7)+(-2.666076+(-0.143208--1.570188))+0-0-0</f>
        <v>606.16090400000007</v>
      </c>
      <c r="V183" s="3">
        <f>1310.6+(47.2-753.5)+(-1.336812+(-0.048144--0.76857))+0-0-0</f>
        <v>603.68361399999992</v>
      </c>
      <c r="W183" s="3">
        <f>1306.8+(26.4-742)+(-2.665872+(-0.053856--1.51368))+0-0-0</f>
        <v>589.99395199999992</v>
      </c>
      <c r="X183" s="3">
        <f>1329.9+(16.5-747.2)+(-0.678249+(-0.008415--0.381072))+0-0-0</f>
        <v>598.894408</v>
      </c>
      <c r="Y183" s="3">
        <f>1332+(22.3-695.8)+(0.67932+(0.011373-0.354858))+0-0-0</f>
        <v>658.83583499999997</v>
      </c>
      <c r="Z183" s="3">
        <f>1341.4+(81.5-696)+(-2.736456+(-0.16626--1.41984))+0-0-0</f>
        <v>725.41712400000006</v>
      </c>
      <c r="AA183" s="3">
        <f>1338.3+(58.4-703.9)+(-2.730132+(-0.119136--1.435956))+0-0-0</f>
        <v>691.38668799999994</v>
      </c>
      <c r="AB183" s="3">
        <f>1346.1+(27.9-721.3)+(-2.746044+(-0.056916--1.471452))+0-0-0</f>
        <v>651.36849199999995</v>
      </c>
      <c r="AC183" s="3">
        <f>1345+(7.6-749.6)+(0+(0-0))+0-0-0</f>
        <v>603</v>
      </c>
      <c r="AD183">
        <v>736.99999999999989</v>
      </c>
      <c r="AE183" s="3">
        <f>1358+(79.1-700.1)+(0+(0-0))+0-0-0</f>
        <v>737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1339.1+(13.2-800.6)+(-2.731764+(-0.026928--1.633224))+0-0-0</f>
        <v>550.57453199999998</v>
      </c>
      <c r="G184" s="3">
        <f>1335.3+(40-807.7)+(-2.043009+(-0.0612--1.235781))+0-0-0</f>
        <v>566.73157199999991</v>
      </c>
      <c r="H184" s="3">
        <f>1251.5+(47.4-736.4)+(-1.914795+(-0.072522--1.126692))+0-0-0</f>
        <v>561.63937499999997</v>
      </c>
      <c r="I184" s="3">
        <f>1022.5+(42.9-610.3)+(1.04295+(0.043758-0.622506))+0-0-0</f>
        <v>455.56420200000002</v>
      </c>
      <c r="J184" s="3">
        <f>1008.6+(45.6-624.7)+(2.57193+(0.11628-1.592985))+0-0-0</f>
        <v>430.59522500000003</v>
      </c>
      <c r="K184" s="3">
        <f>1008.8+(48-614.2)+(0+(0-0))+0-0-0</f>
        <v>442.59999999999991</v>
      </c>
      <c r="L184" s="3">
        <f>1006.5+(54-613.2)+(-0.513315+(-0.02754--0.312732))+0-0-0</f>
        <v>447.07187699999997</v>
      </c>
      <c r="M184" s="3">
        <f>1001.3+(53.6-595.2)+(-0.510663+(-0.027336--0.303552))+0-0-0</f>
        <v>459.46555299999994</v>
      </c>
      <c r="N184" s="3">
        <f>1194.4+(20.7-699)+(0+(0-0))+0-0-0</f>
        <v>516.10000000000014</v>
      </c>
      <c r="O184" s="3">
        <f>1346.3+(15.1-801.5)+(2.059839+(0.023103-1.226295))+0-0-0</f>
        <v>560.75664699999993</v>
      </c>
      <c r="P184" s="3">
        <f>1342.9+(120.6-872.7)+(1.369758+(0.123012-0.890154))+0-0-0</f>
        <v>591.40261600000008</v>
      </c>
      <c r="Q184" s="3">
        <f>1344.9+(132.9-873.1)+(2.057697+(0.203337-1.335843))+0-0-0</f>
        <v>605.62519100000009</v>
      </c>
      <c r="R184" s="3">
        <f>1340+(214.3-954.5)+(0+(0-0))+0-0-0</f>
        <v>599.79999999999995</v>
      </c>
      <c r="S184" s="3">
        <f>1332.1+(271.4-1012.5)+(-0.679371+(-0.138414--0.516375))+0-0-0</f>
        <v>590.69858999999985</v>
      </c>
      <c r="T184" s="3">
        <f>1336.9+(311.1-1072)+(0.681819+(0.158661-0.54672))+0-0-0</f>
        <v>576.29376000000013</v>
      </c>
      <c r="U184" s="3">
        <f>1341+(293.8-1065.9)+(1.36782+(0.299676-1.087218))+0-0-0</f>
        <v>569.48027799999988</v>
      </c>
      <c r="V184" s="3">
        <f>1319.2+(267.9-1020.7)+(-3.36396+(-0.683145--2.602785))+0-0-0</f>
        <v>564.95568000000003</v>
      </c>
      <c r="W184" s="3">
        <f>1331.6+(167.1-932.7)+(-1.358232+(-0.170442--0.951354))+0-0-0</f>
        <v>565.4226799999999</v>
      </c>
      <c r="X184" s="3">
        <f>1340.7+(110.7-874.1)+(0+(0-0))+0-0-0</f>
        <v>577.30000000000007</v>
      </c>
      <c r="Y184" s="3">
        <f>1350.9+(152.6-850.2)+(0+(0-0))+0-0-0</f>
        <v>653.30000000000007</v>
      </c>
      <c r="Z184" s="3">
        <f>1387.8+(114.5-825.2)+(-1.415556+(-0.11679--0.841704))+0-0-0</f>
        <v>676.40935799999988</v>
      </c>
      <c r="AA184" s="3">
        <f>1386.2+(71.5-805.9)+(-3.53481+(-0.182325--2.055045))+0-0-0</f>
        <v>650.13791000000003</v>
      </c>
      <c r="AB184" s="3">
        <f>1386.3+(76.7-848)+(-3.535065+(-0.195585--2.1624))+0-0-0</f>
        <v>613.43174999999997</v>
      </c>
      <c r="AC184" s="3">
        <f>1396.5+(106.3-916.3)+(-0.712215+(-0.054213--0.467313))+0-0-0</f>
        <v>586.20088499999997</v>
      </c>
      <c r="AD184">
        <v>656.50000000000011</v>
      </c>
      <c r="AE184" s="3">
        <f>1386+(104.4-833.9)+(0+(0-0))+0-0-0</f>
        <v>656.5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1371.1+(139.7-981.3)+(-4.894827+(-0.498729--3.503241))+0-0-0</f>
        <v>527.60968500000001</v>
      </c>
      <c r="G185" s="3">
        <f>1365.6+(162-1039.4)+(-5.571648+(-0.66096--4.240752))+0-0-0</f>
        <v>486.20814399999983</v>
      </c>
      <c r="H185" s="3">
        <f>1315.6+(119.3-980.7)+(-4.025736+(-0.365058--3.000942))+0-0-0</f>
        <v>452.8101479999998</v>
      </c>
      <c r="I185" s="3">
        <f>1053.9+(61-686.9)+(0.537489+(0.03111-0.350319))+0-0-0</f>
        <v>428.21828000000011</v>
      </c>
      <c r="J185" s="3">
        <f>1050.3+(70.6-690.5)+(0.535653+(0.036006-0.352155))+0-0-0</f>
        <v>430.61950399999995</v>
      </c>
      <c r="K185" s="3">
        <f>1054.9+(75.5-697.2)+(1.075998+(0.07701-0.711144))+0-0-0</f>
        <v>433.64186400000006</v>
      </c>
      <c r="L185" s="3">
        <f>1040.1+(74.4-682.7)+(-2.121804+(-0.151776--1.392708))+0-0-0</f>
        <v>430.91912799999983</v>
      </c>
      <c r="M185" s="3">
        <f>1055.4+(65.9-689.8)+(1.076508+(0.067218-0.703596))+0-0-0</f>
        <v>431.94013000000012</v>
      </c>
      <c r="N185" s="3">
        <f>1039.3+(105.8-674.6)+(-2.120172+(-0.215832--1.376184))+0-0-0</f>
        <v>469.54017999999991</v>
      </c>
      <c r="O185" s="3">
        <f>1207.1+(175.4-853.8)+(-0.615621+(-0.089454--0.435438))+0-0-0</f>
        <v>528.43036299999994</v>
      </c>
      <c r="P185" s="3">
        <f>1375.1+(224.4-1040.8)+(-1.402602+(-0.228888--1.061616))+0-0-0</f>
        <v>558.1301259999999</v>
      </c>
      <c r="Q185" s="3">
        <f>1383.8+(257.4-1058.6)+(1.411476+(0.262548-1.079772))+0-0-0</f>
        <v>583.19425200000001</v>
      </c>
      <c r="R185" s="3">
        <f>1374.3+(263.5-1060.2)+(-1.401786+(-0.26877--1.081404))+0-0-0</f>
        <v>577.0108479999999</v>
      </c>
      <c r="S185" s="3">
        <f>1387.9+(281.9-1105)+(-1.415658+(-0.287538--1.1271))+0-0-0</f>
        <v>564.22390400000006</v>
      </c>
      <c r="T185" s="3">
        <f>1393.9+(290.4-1128.5)+(-1.421778+(-0.296208--1.15107))+0-0-0</f>
        <v>555.23308400000008</v>
      </c>
      <c r="U185" s="3">
        <f>1376+(290.8-1116.9)+(-2.80704+(-0.593232--2.278476))+0-0-0</f>
        <v>548.77820399999985</v>
      </c>
      <c r="V185" s="3">
        <f>1377.7+(274.4-1095.2)+(-2.810508+(-0.559776--2.234208))+0-0-0</f>
        <v>555.76392399999997</v>
      </c>
      <c r="W185" s="3">
        <f>1371.4+(205.4-1016.6)+(-3.49707+(-0.52377--2.59233))+0-0-0</f>
        <v>558.77149000000009</v>
      </c>
      <c r="X185" s="3">
        <f>1379+(116.5-925.2)+(-2.10987+(-0.178245--1.415556))+0-0-0</f>
        <v>569.42744099999993</v>
      </c>
      <c r="Y185" s="3">
        <f>1378+(110.5-843.3)+(-2.81112+(-0.22542--1.720332))+0-0-0</f>
        <v>643.88379200000008</v>
      </c>
      <c r="Z185" s="3">
        <f>1381.2+(80-792.9)+(-2.817648+(-0.1632--1.617516))+0-0-0</f>
        <v>666.93666800000005</v>
      </c>
      <c r="AA185" s="3">
        <f>1380.2+(36.6-771.2)+(-5.631216+(-0.149328--3.146496))+0-0-0</f>
        <v>642.96595200000002</v>
      </c>
      <c r="AB185" s="3">
        <f>1383.8+(4.2-780.5)+(-3.52869+(-0.01071--1.990275))+0-0-0</f>
        <v>605.950875</v>
      </c>
      <c r="AC185" s="3">
        <f>1381+(0-808.8)+(-1.40862+(0--0.824976))+0-0-0</f>
        <v>571.616356</v>
      </c>
      <c r="AD185">
        <v>670.40000000000009</v>
      </c>
      <c r="AE185" s="3">
        <f>1372+(98.2-799.8)+(0+(0-0))+0-0-0</f>
        <v>670.40000000000009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1258.6+(7.8-778.9)+(-1.283772+(-0.007956--0.794478))+0-0-0</f>
        <v>487.00274999999988</v>
      </c>
      <c r="G186" s="3">
        <f>1192.7+(13-774.2)+(1.824831+(0.01989-1.184526))+0-0-0</f>
        <v>432.16019499999999</v>
      </c>
      <c r="H186" s="3">
        <f>1033.4+(21.5-636.3)+(1.581102+(0.032895-0.973539))+0-0-0</f>
        <v>419.24045800000016</v>
      </c>
      <c r="I186" s="3">
        <f>878.2+(55.3-513.8)+(0.895764+(0.056406-0.524076))+0-0-0</f>
        <v>420.12809400000009</v>
      </c>
      <c r="J186" s="3">
        <f>887.6+(61.7-514.2)+(2.26338+(0.157335-1.31121))+0-0-0</f>
        <v>436.20950499999998</v>
      </c>
      <c r="K186" s="3">
        <f>862+(78.2-510.8)+(-2.1981+(-0.19941--1.30254))+0-0-0</f>
        <v>428.30502999999999</v>
      </c>
      <c r="L186" s="3">
        <f>872.2+(67-504.9)+(0.444822+(0.03417-0.257499))+0-0-0</f>
        <v>434.52149300000008</v>
      </c>
      <c r="M186" s="3">
        <f>868.3+(109.1-521.7)+(-0.442833+(-0.055641--0.266067))+0-0-0</f>
        <v>455.46759299999991</v>
      </c>
      <c r="N186" s="3">
        <f>958+(119.3-556.9)+(-0.97716+(-0.121686--0.568038))+0-0-0</f>
        <v>519.86919200000011</v>
      </c>
      <c r="O186" s="3">
        <f>1067.9+(140.1-640.1)+(0+(0-0))+0-0-0</f>
        <v>567.90000000000009</v>
      </c>
      <c r="P186" s="3">
        <f>1102.2+(147.2-657)+(-0.562122+(-0.075072--0.33507))+0-0-0</f>
        <v>592.09787600000004</v>
      </c>
      <c r="Q186" s="3">
        <f>1095.7+(141.2-640.9)+(-2.235228+(-0.288048--1.307436))+0-0-0</f>
        <v>594.78416000000004</v>
      </c>
      <c r="R186" s="3">
        <f>1091.8+(144-665.8)+(-2.78409+(-0.3672--1.69779))+0-0-0</f>
        <v>568.54650000000004</v>
      </c>
      <c r="S186" s="3">
        <f>1092.6+(158.8-710.1)+(-2.228904+(-0.323952--1.448604))+0-0-0</f>
        <v>540.19574799999998</v>
      </c>
      <c r="T186" s="3">
        <f>1101.3+(160.5-735.2)+(0+(0-0))+0-0-0</f>
        <v>526.59999999999991</v>
      </c>
      <c r="U186" s="3">
        <f>1089.1+(95.1-672.2)+(-2.221764+(-0.194004--1.371288))+0-0-0</f>
        <v>510.95551999999986</v>
      </c>
      <c r="V186" s="3">
        <f>1078.5+(68.9-639)+(-2.750175+(-0.175695--1.62945))+0-0-0</f>
        <v>507.10357999999997</v>
      </c>
      <c r="W186" s="3">
        <f>1090.1+(82.8-666.9)+(-1.111902+(-0.084456--0.680238))+0-0-0</f>
        <v>505.48387999999989</v>
      </c>
      <c r="X186" s="3">
        <f>1099.9+(113.5-619.1)+(-2.243796+(-0.23154--1.262964))+0-0-0</f>
        <v>593.08762800000011</v>
      </c>
      <c r="Y186" s="3">
        <f>1121.5+(173-653.9)+(-3.43179+(-0.52938--2.000934))+0-0-0</f>
        <v>638.63976400000001</v>
      </c>
      <c r="Z186" s="3">
        <f>1028.5+(193.4-586.4)+(-2.622675+(-0.49317--1.49532))+0-0-0</f>
        <v>633.87947499999996</v>
      </c>
      <c r="AA186" s="3">
        <f>1023.2+(160.2-575.8)+(-2.087328+(-0.326808--1.174632))+0-0-0</f>
        <v>606.36049600000013</v>
      </c>
      <c r="AB186" s="3">
        <f>1023.4+(133.8-584.3)+(-1.565802+(-0.204714--0.893979))+0-0-0</f>
        <v>572.02346300000011</v>
      </c>
      <c r="AC186" s="3">
        <f>1016+(110.2-583.8)+(-2.5908+(-0.28101--1.48869))+0-0-0</f>
        <v>541.01688000000013</v>
      </c>
      <c r="AD186">
        <v>632.30000000000007</v>
      </c>
      <c r="AE186" s="3">
        <f>1129+(167.7-664.4)+(0+(0-0))+0-0-0</f>
        <v>632.29999999999995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1024+(86.9-584.8)+(-1.04448+(-0.088638--0.596496))+0-0-0</f>
        <v>525.56337800000006</v>
      </c>
      <c r="G187" s="3">
        <f>1033.1+(59.7-603.5)+(0.526881+(0.030447-0.307785))+0-0-0</f>
        <v>489.54954299999997</v>
      </c>
      <c r="H187" s="3">
        <f>959+(65.8-552.1)+(0.97818+(0.067116-0.563142))+0-0-0</f>
        <v>473.18215399999997</v>
      </c>
      <c r="I187" s="3">
        <f>903.1+(68.7-514.3)+(0+(0-0))+0-0-0</f>
        <v>457.50000000000006</v>
      </c>
      <c r="J187" s="3">
        <f>866.2+(67.5-488.6)+(-1.325286+(-0.103275--0.747558))+0-0-0</f>
        <v>444.41899700000005</v>
      </c>
      <c r="K187" s="3">
        <f>859.9+(68-493.1)+(-2.631294+(-0.20808--1.508886))+0-0-0</f>
        <v>433.46951199999995</v>
      </c>
      <c r="L187" s="3">
        <f>853.8+(62.4-498.9)+(0.435438+(0.031824-0.254439))+0-0-0</f>
        <v>417.51282299999997</v>
      </c>
      <c r="M187" s="3">
        <f>825.1+(76.3-466)+(1.683204+(0.155652-0.95064))+0-0-0</f>
        <v>436.28821600000003</v>
      </c>
      <c r="N187" s="3">
        <f>828.3+(114.5-465.7)+(0+(0-0))+0-0-0</f>
        <v>477.09999999999997</v>
      </c>
      <c r="O187" s="3">
        <f>971.9+(104-568.3)+(0.991338+(0.10608-0.579666))+0-0-0</f>
        <v>508.117752</v>
      </c>
      <c r="P187" s="3">
        <f>1073.1+(105.1-634)+(0+(0-0))+0-0-0</f>
        <v>544.19999999999993</v>
      </c>
      <c r="Q187" s="3">
        <f>1088+(104.9-643)+(-1.10976+(-0.106998--0.65586))+0-0-0</f>
        <v>549.33910200000003</v>
      </c>
      <c r="R187" s="3">
        <f>1096.7+(93.4-689)+(0.559317+(0.047634-0.35139))+0-0-0</f>
        <v>501.35556100000002</v>
      </c>
      <c r="S187" s="3">
        <f>1088.4+(81.2-700.8)+(-1.110168+(-0.082824--0.714816))+0-0-0</f>
        <v>468.32182400000016</v>
      </c>
      <c r="T187" s="3">
        <f>1085.2+(72.4-695.4)+(-1.660356+(-0.110772--1.063962))+0-0-0</f>
        <v>461.49283400000007</v>
      </c>
      <c r="U187" s="3">
        <f>1084.2+(69.2-694.7)+(-2.211768+(-0.141168--1.417188))+0-0-0</f>
        <v>457.76425200000006</v>
      </c>
      <c r="V187" s="3">
        <f>1085.2+(75.4-704.6)+(-1.660356+(-0.115362--1.078038))+0-0-0</f>
        <v>455.30232000000001</v>
      </c>
      <c r="W187" s="3">
        <f>1097.9+(69.3-709.9)+(0+(0-0))+0-0-0</f>
        <v>457.30000000000007</v>
      </c>
      <c r="X187" s="3">
        <f>1110.8+(105.9-670.7)+(0+(0-0))+0-0-0</f>
        <v>545.99999999999989</v>
      </c>
      <c r="Y187" s="3">
        <f>1120.5+(140.1-663.2)+(-0.571455+(-0.071451--0.338232))+0-0-0</f>
        <v>597.095326</v>
      </c>
      <c r="Z187" s="3">
        <f>1114.3+(136.6-645.8)+(-1.704879+(-0.208998--0.988074))+0-0-0</f>
        <v>604.17419700000005</v>
      </c>
      <c r="AA187" s="3">
        <f>1116.5+(125.1-645.8)+(-1.13883+(-0.127602--0.658716))+0-0-0</f>
        <v>595.19228400000009</v>
      </c>
      <c r="AB187" s="3">
        <f>1127.9+(100.6-669.1)+(0.575229+(0.051306-0.341241))+0-0-0</f>
        <v>559.68529400000011</v>
      </c>
      <c r="AC187" s="3">
        <f>1111.8+(71-674.4)+(-0.567018+(-0.03621--0.343944))+0-0-0</f>
        <v>508.140716</v>
      </c>
      <c r="AD187">
        <v>594.09999999999991</v>
      </c>
      <c r="AE187" s="3">
        <f>1119+(142.8-667.7)+(0+(0-0))+0-0-0</f>
        <v>594.09999999999991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1115.9+(49-669.6)+(0+(0-0))+0-0-0</f>
        <v>495.30000000000007</v>
      </c>
      <c r="G188" s="3">
        <f>964.8+(76.5-578.9)+(0.492048+(0.039015-0.295239))+0-0-0</f>
        <v>462.63582399999996</v>
      </c>
      <c r="H188" s="3">
        <f>910.7+(73.7-544.2)+(0.928914+(0.075174-0.555084))+0-0-0</f>
        <v>440.64900399999999</v>
      </c>
      <c r="I188" s="3">
        <f>896.9+(72.4-539)+(0.457419+(0.036924-0.27489))+0-0-0</f>
        <v>430.51945299999994</v>
      </c>
      <c r="J188" s="3">
        <f>889.6+(67.5-527.8)+(-0.907392+(-0.06885--0.538356))+0-0-0</f>
        <v>428.86211400000008</v>
      </c>
      <c r="K188" s="3">
        <f>882+(71.9-532)+(-2.2491+(-0.183345--1.3566))+0-0-0</f>
        <v>420.82415499999996</v>
      </c>
      <c r="L188" s="3">
        <f>890.8+(66.1-549)+(0+(0-0))+0-0-0</f>
        <v>407.9</v>
      </c>
      <c r="M188" s="3">
        <f>893.3+(91.6-559.4)+(0+(0-0))+0-0-0</f>
        <v>425.5</v>
      </c>
      <c r="N188" s="3">
        <f>1048.3+(120.2-684.6)+(-0.534633+(-0.061302--0.349146))+0-0-0</f>
        <v>483.653211</v>
      </c>
      <c r="O188" s="3">
        <f>1097.1+(110.4-719.5)+(0+(0-0))+0-0-0</f>
        <v>487.99999999999989</v>
      </c>
      <c r="P188" s="3">
        <f>1095.7+(116-652.2)+(0.558807+(0.05916-0.332622))+0-0-0</f>
        <v>559.78534500000001</v>
      </c>
      <c r="Q188" s="3">
        <f>1086.3+(127.2-637.3)+(-1.662039+(-0.194616--0.975069))+0-0-0</f>
        <v>575.31841400000008</v>
      </c>
      <c r="R188" s="3">
        <f>1083.2+(120-637.3)+(0+(0-0))+0-0-0</f>
        <v>565.90000000000009</v>
      </c>
      <c r="S188" s="3">
        <f>1076.8+(137-667)+(0.549168+(0.06987-0.34017))+0-0-0</f>
        <v>547.07886799999994</v>
      </c>
      <c r="T188" s="3">
        <f>1071.1+(129.9-669.5)+(0+(0-0))+0-0-0</f>
        <v>531.49999999999989</v>
      </c>
      <c r="U188" s="3">
        <f>1075.8+(115.9-675.1)+(-1.097316+(-0.118218--0.688602))+0-0-0</f>
        <v>516.07306799999992</v>
      </c>
      <c r="V188" s="3">
        <f>1070+(106.3-662.3)+(-1.6371+(-0.162639--1.013319))+0-0-0</f>
        <v>513.21357999999998</v>
      </c>
      <c r="W188" s="3">
        <f>1072.9+(114.8-653)+(-1.094358+(-0.117096--0.66606))+0-0-0</f>
        <v>534.15460600000006</v>
      </c>
      <c r="X188" s="3">
        <f>1085.6+(122.6-571.6)+(0+(0-0))+0-0-0</f>
        <v>636.59999999999991</v>
      </c>
      <c r="Y188" s="3">
        <f>1087.1+(148.6-557.6)+(-0.554421+(-0.075786--0.284376))+0-0-0</f>
        <v>677.75416899999993</v>
      </c>
      <c r="Z188" s="3">
        <f>1081.9+(145.9-547.9)+(-2.207076+(-0.297636--1.117716))+0-0-0</f>
        <v>678.51300400000014</v>
      </c>
      <c r="AA188" s="3">
        <f>1087.6+(129.9-563)+(0.554676+(0.066249-0.28713))+0-0-0</f>
        <v>654.8337949999999</v>
      </c>
      <c r="AB188" s="3">
        <f>1081.5+(123.1-569.8)+(-1.654695+(-0.188343--0.871794))+0-0-0</f>
        <v>633.82875600000011</v>
      </c>
      <c r="AC188" s="3">
        <f>1086.8+(101.5-597)+(-0.554268+(-0.051765--0.30447))+0-0-0</f>
        <v>590.99843699999997</v>
      </c>
      <c r="AD188">
        <v>675</v>
      </c>
      <c r="AE188" s="3">
        <f>1105+(144.8-574.8)+(0+(0-0))+0-0-0</f>
        <v>675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1087.6+(105.5-682.5)+(-0.554676+(-0.053805--0.348075))+0-0-0</f>
        <v>510.33959399999992</v>
      </c>
      <c r="G189" s="3">
        <f>1078.4+(98.9-711.4)+(-1.649952+(-0.151317--1.088442))+0-0-0</f>
        <v>465.18717300000009</v>
      </c>
      <c r="H189" s="3">
        <f>1083.6+(94.4-730.7)+(0.552636+(0.048144-0.372657))+0-0-0</f>
        <v>447.52812299999982</v>
      </c>
      <c r="I189" s="3">
        <f>1080.1+(90.9-734.4)+(-0.550851+(-0.046359--0.374544))+0-0-0</f>
        <v>436.37733399999991</v>
      </c>
      <c r="J189" s="3">
        <f>1079.6+(66.1-711.6)+(-0.550596+(-0.033711--0.362916))+0-0-0</f>
        <v>433.87860899999993</v>
      </c>
      <c r="K189" s="3">
        <f>1074.3+(53.9-704.4)+(-2.191572+(-0.109956--1.436976))+0-0-0</f>
        <v>422.93544799999995</v>
      </c>
      <c r="L189" s="3">
        <f>1081.5+(47.8-696.7)+(-1.10313+(-0.048756--0.710634))+0-0-0</f>
        <v>432.15874799999989</v>
      </c>
      <c r="M189" s="3">
        <f>1088.8+(41.7-647.7)+(1.110576+(0.042534-0.660654))+0-0-0</f>
        <v>483.29245599999996</v>
      </c>
      <c r="N189" s="3">
        <f>1087.5+(104.9-643.6)+(0+(0-0))+0-0-0</f>
        <v>548.79999999999995</v>
      </c>
      <c r="O189" s="3">
        <f>1090.2+(180-649.2)+(0.556002+(0.0918-0.331092))+0-0-0</f>
        <v>621.31670999999994</v>
      </c>
      <c r="P189" s="3">
        <f>1081.4+(187.6-674.2)+(-0.551514+(-0.095676--0.343842))+0-0-0</f>
        <v>594.49665200000004</v>
      </c>
      <c r="Q189" s="3">
        <f>1082.4+(200.1-663.5)+(0.552024+(0.102051-0.338385))+0-0-0</f>
        <v>619.31569000000013</v>
      </c>
      <c r="R189" s="3">
        <f>1075.9+(199-650)+(-1.097418+(-0.20298--0.663))+0-0-0</f>
        <v>624.26260200000013</v>
      </c>
      <c r="S189" s="3">
        <f>1089.2+(251.9-723.3)+(1.110984+(0.256938-0.737766))+0-0-0</f>
        <v>618.43015600000012</v>
      </c>
      <c r="T189" s="3">
        <f>1117.7+(251.2-773.5)+(-0.570027+(-0.128112--0.394485))+0-0-0</f>
        <v>595.09634600000004</v>
      </c>
      <c r="U189" s="3">
        <f>1109.7+(233.5-779.7)+(-2.263788+(-0.47634--1.590588))+0-0-0</f>
        <v>562.35046</v>
      </c>
      <c r="V189" s="3">
        <f>1085.7+(210.8-739.9)+(-1.107414+(-0.215016--0.754698))+0-0-0</f>
        <v>556.03226800000016</v>
      </c>
      <c r="W189" s="3">
        <f>1081.2+(175.8-680.2)+(0.551412+(0.089658-0.346902))+0-0-0</f>
        <v>577.09416799999997</v>
      </c>
      <c r="X189" s="3">
        <f>1091.2+(206.8-637.9)+(-0.556512+(-0.105468--0.325329))+0-0-0</f>
        <v>659.76334900000018</v>
      </c>
      <c r="Y189" s="3">
        <f>1096+(213.9-616.8)+(-2.7948+(-0.545445--1.57284))+0-0-0</f>
        <v>691.33259499999997</v>
      </c>
      <c r="Z189" s="3">
        <f>1123.7+(205.7-639.3)+(-1.146174+(-0.209814--0.652086))+0-0-0</f>
        <v>689.39609800000017</v>
      </c>
      <c r="AA189" s="3">
        <f>1117.6+(140.4-607.1)+(-0.569976+(-0.071604--0.309621))+0-0-0</f>
        <v>650.56804099999988</v>
      </c>
      <c r="AB189" s="3">
        <f>1051.8+(124.8-569.9)+(-1.609254+(-0.190944--0.871947))+0-0-0</f>
        <v>605.771749</v>
      </c>
      <c r="AC189" s="3">
        <f>983.2+(100.7-535)+(-2.50716+(-0.256785--1.36425))+0-0-0</f>
        <v>547.50030500000014</v>
      </c>
      <c r="AD189">
        <v>718.3</v>
      </c>
      <c r="AE189" s="3">
        <f>1119+(214.5-615.2)+(0+(0-0))+0-0-0</f>
        <v>718.3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983+(80.9-566.5)+(-2.50665+(-0.206295--1.444575))+0-0-0</f>
        <v>496.13162999999997</v>
      </c>
      <c r="G190" s="3">
        <f>845.8+(98.9-491.5)+(1.725432+(0.201756-1.00266))+0-0-0</f>
        <v>454.12452799999994</v>
      </c>
      <c r="H190" s="3">
        <f>827.4+(99.3-484.9)+(-0.843948+(-0.101286--0.494598))+0-0-0</f>
        <v>441.34936400000004</v>
      </c>
      <c r="I190" s="3">
        <f>829+(86.7-483.6)+(-0.84558+(-0.088434--0.493272))+0-0-0</f>
        <v>431.65925799999997</v>
      </c>
      <c r="J190" s="3">
        <f>832+(86.9-497)+(-0.84864+(-0.088638--0.50694))+0-0-0</f>
        <v>421.46966199999997</v>
      </c>
      <c r="K190" s="3">
        <f>823.9+(92.4-499.4)+(-2.100945+(-0.23562--1.27347))+0-0-0</f>
        <v>415.836905</v>
      </c>
      <c r="L190" s="3">
        <f>829.7+(93.9-508.1)+(-1.269441+(-0.143667--0.777393))+0-0-0</f>
        <v>414.864285</v>
      </c>
      <c r="M190" s="3">
        <f>1085.9+(26.5-653.2)+(0.553809+(0.013515-0.333132))+0-0-0</f>
        <v>459.43419200000005</v>
      </c>
      <c r="N190" s="3">
        <f>1091.8+(49-645.2)+(0+(0-0))+0-0-0</f>
        <v>495.59999999999991</v>
      </c>
      <c r="O190" s="3">
        <f>1115.5+(123.5-700.2)+(0.568905+(0.062985-0.357102))+0-0-0</f>
        <v>539.0747879999999</v>
      </c>
      <c r="P190" s="3">
        <f>1119.5+(237.2-785.8)+(1.14189+(0.241944-0.801516))+0-0-0</f>
        <v>571.48231800000008</v>
      </c>
      <c r="Q190" s="3">
        <f>1112.7+(233-766.8)+(0+(0-0))+0-0-0</f>
        <v>578.90000000000009</v>
      </c>
      <c r="R190" s="3">
        <f>1109.8+(300.2-822.3)+(-1.697994+(-0.459306--1.258119))+0-0-0</f>
        <v>586.80081900000005</v>
      </c>
      <c r="S190" s="3">
        <f>1111.3+(324.8-861.2)+(-2.267052+(-0.662592--1.756848))+0-0-0</f>
        <v>573.72720399999992</v>
      </c>
      <c r="T190" s="3">
        <f>1107.8+(338.3-887.4)+(-2.82489+(-0.862665--2.26287))+0-0-0</f>
        <v>557.27531500000009</v>
      </c>
      <c r="U190" s="3">
        <f>1104.4+(317.6-863.6)+(-3.942708+(-1.133832--3.083052))+0-0-0</f>
        <v>556.40651200000013</v>
      </c>
      <c r="V190" s="3">
        <f>1113.5+(193.4-745.1)+(-3.975195+(-0.690438--2.660007))+0-0-0</f>
        <v>559.79437399999995</v>
      </c>
      <c r="W190" s="3">
        <f>1121.2+(71.4-616)+(-2.287248+(-0.145656--1.25664))+0-0-0</f>
        <v>575.42373600000008</v>
      </c>
      <c r="X190" s="3">
        <f>1134.6+(216.6-672.9)+(-2.314584+(-0.441864--1.372716))+0-0-0</f>
        <v>676.91626799999995</v>
      </c>
      <c r="Y190" s="3">
        <f>1141.9+(249.5-692.5)+(-2.329476+(-0.50898--1.4127))+0-0-0</f>
        <v>697.47424400000011</v>
      </c>
      <c r="Z190" s="3">
        <f>1156.6+(214.3-689.4)+(0+(0-0))+0-0-0</f>
        <v>681.5</v>
      </c>
      <c r="AA190" s="3">
        <f>1136.2+(162.5-660.1)+(-2.89731+(-0.414375--1.683255))+0-0-0</f>
        <v>636.97157000000004</v>
      </c>
      <c r="AB190" s="3">
        <f>1124.4+(147.2-675.8)+(-2.86722+(-0.37536--1.72329))+0-0-0</f>
        <v>594.28071000000023</v>
      </c>
      <c r="AC190" s="3">
        <f>1126.8+(88.8-668.5)+(-2.87334+(-0.22644--1.704675))+0-0-0</f>
        <v>545.70489499999996</v>
      </c>
      <c r="AD190">
        <v>674.8</v>
      </c>
      <c r="AE190" s="3">
        <f>1156+(260.5-741.7)+(0+(0-0))+0-0-0</f>
        <v>674.8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1059.2+(94.2-674.7)+(-2.160768+(-0.192168--1.376388))+0-0-0</f>
        <v>477.72345200000007</v>
      </c>
      <c r="G191" s="3">
        <f>835.7+(123-524.5)+(0+(0-0))+0-0-0</f>
        <v>434.20000000000005</v>
      </c>
      <c r="H191" s="3">
        <f>831.3+(110.3-538.8)+(0+(0-0))+0-0-0</f>
        <v>402.8</v>
      </c>
      <c r="I191" s="3">
        <f>832+(97.7-534.5)+(0+(0-0))+0-0-0</f>
        <v>395.2</v>
      </c>
      <c r="J191" s="3">
        <f>827.2+(100.7-515.9)+(-0.843744+(-0.102714--0.526218))+0-0-0</f>
        <v>411.57976000000008</v>
      </c>
      <c r="K191" s="3">
        <f>829.8+(82.8-499.7)+(-0.423198+(-0.042228--0.254847))+0-0-0</f>
        <v>412.68942099999998</v>
      </c>
      <c r="L191" s="3">
        <f>827.3+(78.2-494.9)+(-0.843846+(-0.079764--0.504798))+0-0-0</f>
        <v>410.18118799999996</v>
      </c>
      <c r="M191" s="3">
        <f>836.8+(101-493.4)+(1.280304+(0.15453-0.754902))+0-0-0</f>
        <v>445.07993199999999</v>
      </c>
      <c r="N191" s="3">
        <f>1088.5+(134.4-723.1)+(1.11027+(0.137088-0.737562))+0-0-0</f>
        <v>500.30979599999995</v>
      </c>
      <c r="O191" s="3">
        <f>1100.6+(126-701.9)+(0+(0-0))+0-0-0</f>
        <v>524.69999999999993</v>
      </c>
      <c r="P191" s="3">
        <f>1081.9+(164.8-706.3)+(-2.758845+(-0.42024--1.801065))+0-0-0</f>
        <v>539.0219800000001</v>
      </c>
      <c r="Q191" s="3">
        <f>1117+(220.7-771.8)+(0.56967+(0.112557-0.393618))+0-0-0</f>
        <v>566.18860900000004</v>
      </c>
      <c r="R191" s="3">
        <f>1122+(237.4-789.5)+(1.14444+(0.242148-0.80529))+0-0-0</f>
        <v>570.48129799999992</v>
      </c>
      <c r="S191" s="3">
        <f>1127.8+(262.1-847)+(2.300712+(0.534684-1.72788))+0-0-0</f>
        <v>544.00751600000001</v>
      </c>
      <c r="T191" s="3">
        <f>1110.7+(336.6-910.1)+(-1.699371+(-0.514998--1.392453))+0-0-0</f>
        <v>536.37808400000006</v>
      </c>
      <c r="U191" s="3">
        <f>1098.2+(301.1-861.9)+(-2.80041+(-0.767805--2.197845))+0-0-0</f>
        <v>536.02963000000011</v>
      </c>
      <c r="V191" s="3">
        <f>1086.5+(176.9-731.1)+(-2.770575+(-0.451095--1.864305))+0-0-0</f>
        <v>530.942635</v>
      </c>
      <c r="W191" s="3">
        <f>980.7+(81.6-514.6)+(-1.500471+(-0.124848--0.787338))+0-0-0</f>
        <v>546.86201900000003</v>
      </c>
      <c r="X191" s="3">
        <f>1050.7+(142.7-551.6)+(1.607571+(0.218331-0.843948))+0-0-0</f>
        <v>642.78195399999993</v>
      </c>
      <c r="Y191" s="3">
        <f>1104.7+(150.4-606.2)+(-2.816985+(-0.38352--1.54581))+0-0-0</f>
        <v>647.24530500000003</v>
      </c>
      <c r="Z191" s="3">
        <f>1090.2+(109.9-549.1)+(-1.112004+(-0.112098--0.560082))+0-0-0</f>
        <v>650.33597999999995</v>
      </c>
      <c r="AA191" s="3">
        <f>1048.5+(95.3-534.7)+(-1.604205+(-0.145809--0.818091))+0-0-0</f>
        <v>608.16807699999993</v>
      </c>
      <c r="AB191" s="3">
        <f>966.6+(99.5-570.8)+(-1.971864+(-0.20298--1.164432))+0-0-0</f>
        <v>494.28958800000009</v>
      </c>
      <c r="AC191" s="3">
        <f>966.9+(131.1-578.8)+(-2.465595+(-0.334305--1.47594))+0-0-0</f>
        <v>517.87603999999999</v>
      </c>
      <c r="AD191">
        <v>646.4</v>
      </c>
      <c r="AE191" s="3">
        <f>1131+(142-626.6)+(0+(0-0))+0-0-0</f>
        <v>646.4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973+(150.1-645.5)+(-1.98492+(-0.306204--1.31682))+0-0-0</f>
        <v>476.625696</v>
      </c>
      <c r="G192" s="3">
        <f>956.1+(163.4-693.5)+(-0.487611+(-0.083334--0.353685))+0-0-0</f>
        <v>425.78273999999999</v>
      </c>
      <c r="H192" s="3">
        <f>958.1+(133.5-674.3)+(-1.954524+(-0.27234--1.375572))+0-0-0</f>
        <v>416.44870800000007</v>
      </c>
      <c r="I192" s="3">
        <f>968.8+(129-687)+(0.494088+(0.06579-0.35037))+0-0-0</f>
        <v>411.00950799999998</v>
      </c>
      <c r="J192" s="3">
        <f>948.6+(123.4-681.7)+(-0.967572+(-0.125868--0.695334))+0-0-0</f>
        <v>389.90189399999997</v>
      </c>
      <c r="K192" s="3">
        <f>947.1+(164.3-709.1)+(-2.415105+(-0.418965--1.808205))+0-0-0</f>
        <v>401.27413500000006</v>
      </c>
      <c r="L192" s="3">
        <f>947.5+(146.1-704.8)+(-0.483225+(-0.074511--0.359448))+0-0-0</f>
        <v>388.60171200000008</v>
      </c>
      <c r="M192" s="3">
        <f>964.4+(117.4-662.7)+(0.491844+(0.059874-0.337977))+0-0-0</f>
        <v>419.31374099999994</v>
      </c>
      <c r="N192" s="3">
        <f>964.6+(113-600.7)+(0.983892+(0.11526-0.612714))+0-0-0</f>
        <v>477.386438</v>
      </c>
      <c r="O192" s="3">
        <f>967.4+(170.6-620.2)+(1.480122+(0.261018-0.948906))+0-0-0</f>
        <v>518.59223399999996</v>
      </c>
      <c r="P192" s="3">
        <f>960.6+(194.2-621.9)+(0+(0-0))+0-0-0</f>
        <v>532.90000000000009</v>
      </c>
      <c r="Q192" s="3">
        <f>963.8+(214.1-628.3)+(0.491538+(0.109191-0.320433))+0-0-0</f>
        <v>549.88029600000004</v>
      </c>
      <c r="R192" s="3">
        <f>956.7+(212.1-626.2)+(-1.463751+(-0.324513--0.958086))+0-0-0</f>
        <v>541.76982199999998</v>
      </c>
      <c r="S192" s="3">
        <f>962.3+(217.8-649.2)+(0.490773+(0.111078-0.331092))+0-0-0</f>
        <v>531.17075899999986</v>
      </c>
      <c r="T192" s="3">
        <f>956+(237.6-668.7)+(-1.95024+(-0.484704--1.364148))+0-0-0</f>
        <v>523.829204</v>
      </c>
      <c r="U192" s="3">
        <f>956.5+(250.3-681)+(-2.439075+(-0.638265--1.73655))+0-0-0</f>
        <v>524.45920999999998</v>
      </c>
      <c r="V192" s="3">
        <f>987.7+(229.8-676.3)+(-1.007454+(-0.234396--0.689826))+0-0-0</f>
        <v>540.64797600000009</v>
      </c>
      <c r="W192" s="3">
        <f>984+(134.1-564.4)+(0+(0-0))+0-0-0</f>
        <v>553.70000000000005</v>
      </c>
      <c r="X192" s="3">
        <f>997.6+(180.9-537.8)+(-1.017552+(-0.184518--0.548556))+0-0-0</f>
        <v>640.04648600000007</v>
      </c>
      <c r="Y192" s="3">
        <f>1002.8+(219.4-571.5)+(-1.534284+(-0.335682--0.874395))+0-0-0</f>
        <v>649.70442899999989</v>
      </c>
      <c r="Z192" s="3">
        <f>1001.5+(213.7-563.7)+(-1.532295+(-0.326961--0.862461))+0-0-0</f>
        <v>650.50320499999998</v>
      </c>
      <c r="AA192" s="3">
        <f>1003+(199.6-584.6)+(-1.02306+(-0.203592--0.596292))+0-0-0</f>
        <v>617.36964</v>
      </c>
      <c r="AB192" s="3">
        <f>1007+(187.3-607.9)+(-0.51357+(-0.095523--0.310029))+0-0-0</f>
        <v>586.10093600000005</v>
      </c>
      <c r="AC192" s="3">
        <f>1001.2+(205.3-657.8)+(-0.510612+(-0.104703--0.335478))+0-0-0</f>
        <v>548.420163</v>
      </c>
      <c r="AD192">
        <v>637.99999999999989</v>
      </c>
      <c r="AE192" s="3">
        <f>1009+(213.1-584.1)+(0+(0-0))+0-0-0</f>
        <v>638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942.8+(206.9-628)+(-1.923312+(-0.422076--1.28112))+0-0-0</f>
        <v>520.63573199999996</v>
      </c>
      <c r="G193" s="3">
        <f>784.4+(214.7-513.5)+(-2.00022+(-0.547485--1.309425))+0-0-0</f>
        <v>484.36171999999999</v>
      </c>
      <c r="H193" s="3">
        <f>773.9+(175.1-482.1)+(-0.789378+(-0.178602--0.491742))+0-0-0</f>
        <v>466.42376199999995</v>
      </c>
      <c r="I193" s="3">
        <f>769.2+(129.8-443.6)+(-1.569168+(-0.264792--0.904944))+0-0-0</f>
        <v>454.47098400000004</v>
      </c>
      <c r="J193" s="3">
        <f>782.5+(99.3-430.2)+(1.995375+(0.253215-1.09701))+0-0-0</f>
        <v>452.75158000000005</v>
      </c>
      <c r="K193" s="3">
        <f>769+(121.1-438.2)+(-0.78438+(-0.123522--0.446964))+0-0-0</f>
        <v>451.43906199999998</v>
      </c>
      <c r="L193" s="3">
        <f>780.2+(139.9-482.9)+(1.591608+(0.285396-0.985116))+0-0-0</f>
        <v>438.09188800000004</v>
      </c>
      <c r="M193" s="3">
        <f>779.1+(168.5-475.9)+(1.192023+(0.257805-0.728127))+0-0-0</f>
        <v>472.42170100000004</v>
      </c>
      <c r="N193" s="3">
        <f>931+(156.5-553.2)+(-0.94962+(-0.15963--0.564264))+0-0-0</f>
        <v>533.75501399999996</v>
      </c>
      <c r="O193" s="3">
        <f>989.3+(164.5-581)+(0.504543+(0.083895-0.29631))+0-0-0</f>
        <v>573.092128</v>
      </c>
      <c r="P193" s="3">
        <f>1001.6+(186.4-601.5)+(1.021632+(0.190128-0.61353))+0-0-0</f>
        <v>587.09822999999994</v>
      </c>
      <c r="Q193" s="3">
        <f>990.1+(197.3-587.9)+(0+(0-0))+0-0-0</f>
        <v>599.5</v>
      </c>
      <c r="R193" s="3">
        <f>979.9+(181.4-609.6)+(-2.498745+(-0.46257--1.55448))+0-0-0</f>
        <v>550.29316499999993</v>
      </c>
      <c r="S193" s="3">
        <f>980+(139.7-607.8)+(-1.9992+(-0.284988--1.239912))+0-0-0</f>
        <v>510.85572400000001</v>
      </c>
      <c r="T193" s="3">
        <f>979.5+(140.5-603.2)+(-2.497725+(-0.358275--1.53816))+0-0-0</f>
        <v>515.48215999999991</v>
      </c>
      <c r="U193" s="3">
        <f>978.7+(141.9-607.6)+(-1.996548+(-0.289476--1.239504))+0-0-0</f>
        <v>511.95348000000001</v>
      </c>
      <c r="V193" s="3">
        <f>985.4+(120.1-604.3)+(-2.010216+(-0.245004--1.232772))+0-0-0</f>
        <v>500.17755200000005</v>
      </c>
      <c r="W193" s="3">
        <f>988.8+(139.1-617.1)+(-1.008576+(-0.141882--0.629442))+0-0-0</f>
        <v>510.27898399999998</v>
      </c>
      <c r="X193" s="3">
        <f>991+(195.2-581)+(1.01082+(0.199104-0.59262))+0-0-0</f>
        <v>605.81730400000004</v>
      </c>
      <c r="Y193" s="3">
        <f>985.9+(230.2-579.5)+(-1.508427+(-0.352206--0.886635))+0-0-0</f>
        <v>635.62600199999986</v>
      </c>
      <c r="Z193" s="3">
        <f>987.1+(250.7-598.4)+(-1.510263+(-0.383571--0.915552))+0-0-0</f>
        <v>638.42171800000006</v>
      </c>
      <c r="AA193" s="3">
        <f>985.8+(219.8-579)+(-1.508274+(-0.336294--0.88587))+0-0-0</f>
        <v>625.64130199999988</v>
      </c>
      <c r="AB193" s="3">
        <f>988.3+(160.8-563.6)+(-0.504033+(-0.082008--0.287436))+0-0-0</f>
        <v>585.20139500000005</v>
      </c>
      <c r="AC193" s="3">
        <f>985.7+(131.3-562.8)+(-1.005414+(-0.133926--0.574056))+0-0-0</f>
        <v>553.63471600000003</v>
      </c>
      <c r="AD193">
        <v>624.30000000000007</v>
      </c>
      <c r="AE193" s="3">
        <f>997+(225.2-597.9)+(0+(0-0))+0-0-0</f>
        <v>624.29999999999995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990+(94.6-568.9)+(1.0098+(0.096492-0.580278))+0-0-0</f>
        <v>516.22601400000008</v>
      </c>
      <c r="G194" s="3">
        <f>988+(71.5-584.6)+(0.50388+(0.036465-0.298146))+0-0-0</f>
        <v>475.14219900000001</v>
      </c>
      <c r="H194" s="3">
        <f>1002.3+(27.4-589.5)+(1.022346+(0.027948-0.60129))+0-0-0</f>
        <v>440.64900399999993</v>
      </c>
      <c r="I194" s="3">
        <f>940.9+(28.4-548.3)+(-0.479859+(-0.014484--0.279633))+0-0-0</f>
        <v>420.78528999999997</v>
      </c>
      <c r="J194" s="3">
        <f>797.6+(56.9-448.4)+(0.406776+(0.029019-0.228684))+0-0-0</f>
        <v>406.30711100000002</v>
      </c>
      <c r="K194" s="3">
        <f>741.4+(80.2-411.3)+(-1.89057+(-0.20451--1.048815))+0-0-0</f>
        <v>409.25373499999995</v>
      </c>
      <c r="L194" s="3">
        <f>752.9+(75.6-450.4)+(0.767958+(0.077112-0.459408))+0-0-0</f>
        <v>378.48566200000005</v>
      </c>
      <c r="M194" s="3">
        <f>751+(91.9-458)+(0+(0-0))+0-0-0</f>
        <v>384.9</v>
      </c>
      <c r="N194" s="3">
        <f>746.3+(148.5-471.7)+(-1.141839+(-0.227205--0.721701))+0-0-0</f>
        <v>422.45265699999999</v>
      </c>
      <c r="O194" s="3">
        <f>761.4+(197.9-496.5)+(1.164942+(0.302787-0.759645))+0-0-0</f>
        <v>463.50808399999994</v>
      </c>
      <c r="P194" s="3">
        <f>960.4+(111.7-575.2)+(-0.979608+(-0.113934--0.586704))+0-0-0</f>
        <v>496.3931619999999</v>
      </c>
      <c r="Q194" s="3">
        <f>971.4+(101.1-576.2)+(0+(0-0))+0-0-0</f>
        <v>496.29999999999995</v>
      </c>
      <c r="R194" s="3">
        <f>967.9+(94.4-573.7)+(0+(0-0))+0-0-0</f>
        <v>488.59999999999991</v>
      </c>
      <c r="S194" s="3">
        <f>961.9+(73.4-561.2)+(-0.981138+(-0.074868--0.572424))+0-0-0</f>
        <v>473.6164179999999</v>
      </c>
      <c r="T194" s="3">
        <f>959.1+(71.3-569.4)+(-1.956564+(-0.145452--1.161576))+0-0-0</f>
        <v>460.05956000000003</v>
      </c>
      <c r="U194" s="3">
        <f>953.8+(69.2-578.6)+(-2.918628+(-0.211752--1.770516))+0-0-0</f>
        <v>443.0401359999999</v>
      </c>
      <c r="V194" s="3">
        <f>959.8+(63-574.5)+(-1.957992+(-0.12852--1.17198))+0-0-0</f>
        <v>447.38546799999995</v>
      </c>
      <c r="W194" s="3">
        <f>967.5+(71.7-560.9)+(0.98685+(0.073134-0.572118))+0-0-0</f>
        <v>478.78786600000001</v>
      </c>
      <c r="X194" s="3">
        <f>981.8+(126.1-510)+(0.500718+(0.064311-0.2601))+0-0-0</f>
        <v>598.20492899999999</v>
      </c>
      <c r="Y194" s="3">
        <f>992+(141.1-511.8)+(-1.01184+(-0.143922--0.522036))+0-0-0</f>
        <v>620.66627399999993</v>
      </c>
      <c r="Z194" s="3">
        <f>984.4+(114.3-482.7)+(-1.004088+(-0.116586--0.492354))+0-0-0</f>
        <v>615.37167999999997</v>
      </c>
      <c r="AA194" s="3">
        <f>978.9+(96.3-499.9)+(-0.499239+(-0.049113--0.254949))+0-0-0</f>
        <v>575.00659699999994</v>
      </c>
      <c r="AB194" s="3">
        <f>973.3+(82.7-501.1)+(-1.489149+(-0.126531--0.766683))+0-0-0</f>
        <v>554.05100299999981</v>
      </c>
      <c r="AC194" s="3">
        <f>971+(62.2-522.5)+(-1.48563+(-0.095166--0.799425))+0-0-0</f>
        <v>509.91862900000001</v>
      </c>
      <c r="AD194">
        <v>636.4</v>
      </c>
      <c r="AE194" s="3">
        <f>1000+(123.5-487.1)+(0+(0-0))+0-0-0</f>
        <v>636.4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960.9+(46.4-547.3)+(-4.410531+(-0.212976--2.512107))+0-0-0</f>
        <v>457.8886</v>
      </c>
      <c r="G195" s="3">
        <f>970.8+(48.1-616.3)+(-0.990216+(-0.049062--0.628626))+0-0-0</f>
        <v>402.189348</v>
      </c>
      <c r="H195" s="3">
        <f>964+(31.3-609.2)+(-2.94984+(-0.095778--1.864152))+0-0-0</f>
        <v>384.91853399999991</v>
      </c>
      <c r="I195" s="3">
        <f>969.5+(12.5-595.2)+(-1.483335+(-0.019125--0.910656))+0-0-0</f>
        <v>386.20819599999993</v>
      </c>
      <c r="J195" s="3">
        <f>978.8+(13.7-597.2)+(0+(0-0))+0-0-0</f>
        <v>395.29999999999995</v>
      </c>
      <c r="K195" s="3">
        <f>970.4+(14.5-592.8)+(-1.484712+(-0.022185--0.906984))+0-0-0</f>
        <v>391.50008700000001</v>
      </c>
      <c r="L195" s="3">
        <f>976.8+(21.6-599.6)+(0.498168+(0.011016-0.305796))+0-0-0</f>
        <v>399.00338799999997</v>
      </c>
      <c r="M195" s="3">
        <f>977.7+(115.7-641.9)+(0+(0-0))+0-0-0</f>
        <v>451.50000000000011</v>
      </c>
      <c r="N195" s="3">
        <f>997.1+(221.8-716)+(1.017042+(0.226236-0.73032))+0-0-0</f>
        <v>503.41295800000006</v>
      </c>
      <c r="O195" s="3">
        <f>980.4+(313.8-737)+(2.000016+(0.640152-1.50348))+0-0-0</f>
        <v>558.33668800000009</v>
      </c>
      <c r="P195" s="3">
        <f>970.1+(337-746.4)+(0.989502+(0.34374-0.761328))+0-0-0</f>
        <v>561.27191400000004</v>
      </c>
      <c r="Q195" s="3">
        <f>971.3+(334-737.3)+(0.495363+(0.17034-0.376023))+0-0-0</f>
        <v>568.28967999999998</v>
      </c>
      <c r="R195" s="3">
        <f>970.9+(338.5-759.9)+(-0.495159+(-0.172635--0.387549))+0-0-0</f>
        <v>549.21975499999996</v>
      </c>
      <c r="S195" s="3">
        <f>980.5+(342.9-789.3)+(2.00022+(0.699516-1.610172))+0-0-0</f>
        <v>535.18956400000002</v>
      </c>
      <c r="T195" s="3">
        <f>972.4+(325.5-760.5)+(-0.495924+(-0.166005--0.387855))+0-0-0</f>
        <v>537.12592599999994</v>
      </c>
      <c r="U195" s="3">
        <f>964+(343-772.6)+(-1.96656+(-0.69972--1.576104))+0-0-0</f>
        <v>533.30982399999994</v>
      </c>
      <c r="V195" s="3">
        <f>973.9+(345.6-768.2)+(-1.986756+(-0.705024--1.567128))+0-0-0</f>
        <v>550.17534799999999</v>
      </c>
      <c r="W195" s="3">
        <f>982.2+(296.1-688.7)+(-1.502766+(-0.453033--1.053711))+0-0-0</f>
        <v>588.69791199999997</v>
      </c>
      <c r="X195" s="3">
        <f>994.2+(345.1-673.3)+(0+(0-0))+0-0-0</f>
        <v>666.00000000000011</v>
      </c>
      <c r="Y195" s="3">
        <f>1001.9+(301.5-622.9)+(-2.554845+(-0.768825--1.588395))+0-0-0</f>
        <v>678.764725</v>
      </c>
      <c r="Z195" s="3">
        <f>1007.8+(310.2-655.3)+(-1.027956+(-0.316404--0.668406))+0-0-0</f>
        <v>662.024046</v>
      </c>
      <c r="AA195" s="3">
        <f>1013.2+(271.9-655.4)+(-2.066928+(-0.554676--1.337016))+0-0-0</f>
        <v>628.41541200000006</v>
      </c>
      <c r="AB195" s="3">
        <f>1024.8+(187.6-642.5)+(-1.045296+(-0.191352--0.65535))+0-0-0</f>
        <v>569.31870200000003</v>
      </c>
      <c r="AC195" s="3">
        <f>1032+(122.7-635.2)+(-3.15792+(-0.375462--1.943712))+0-0-0</f>
        <v>517.91033000000004</v>
      </c>
      <c r="AD195">
        <v>706.89999999999986</v>
      </c>
      <c r="AE195" s="3">
        <f>1010+(318.6-621.7)+(0+(0-0))+0-0-0</f>
        <v>706.9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1048.2+(131.6-702.6)+(-2.67291+(-0.33558--1.79163))+0-0-0</f>
        <v>475.98314000000005</v>
      </c>
      <c r="G196" s="3">
        <f>890.2+(158.3-603.7)+(0+(0-0))+0-0-0</f>
        <v>444.8</v>
      </c>
      <c r="H196" s="3">
        <f>884.4+(163-610.1)+(-1.353132+(-0.24939--0.933453))+0-0-0</f>
        <v>436.63093099999998</v>
      </c>
      <c r="I196" s="3">
        <f>896.2+(172.8-640.3)+(-1.371186+(-0.264384--0.979659))+0-0-0</f>
        <v>428.0440890000001</v>
      </c>
      <c r="J196" s="3">
        <f>892.6+(147.3-609.8)+(-1.365678+(-0.225369--0.932994))+0-0-0</f>
        <v>429.44194700000008</v>
      </c>
      <c r="K196" s="3">
        <f>886.2+(109.3-567.8)+(-0.903924+(-0.111486--0.579156))+0-0-0</f>
        <v>427.26374600000008</v>
      </c>
      <c r="L196" s="3">
        <f>891.4+(84.9-554.6)+(0+(0-0))+0-0-0</f>
        <v>421.69999999999993</v>
      </c>
      <c r="M196" s="3">
        <f>974.1+(132.4-637.2)+(1.490373+(0.202572-0.974916))+0-0-0</f>
        <v>470.01802899999996</v>
      </c>
      <c r="N196" s="3">
        <f>1130.9+(114.6-724.5)+(1.153518+(0.116892-0.73899))+0-0-0</f>
        <v>521.53142000000014</v>
      </c>
      <c r="O196" s="3">
        <f>1123.7+(112.5-681.6)+(-1.146174+(-0.11475--0.695232))+0-0-0</f>
        <v>554.03430800000001</v>
      </c>
      <c r="P196" s="3">
        <f>1086.6+(101.6-619.2)+(-0.554166+(-0.051816--0.315792))+0-0-0</f>
        <v>568.70980999999983</v>
      </c>
      <c r="Q196" s="3">
        <f>1118.4+(97.8-635.7)+(1.140768+(0.099756-0.648414))+0-0-0</f>
        <v>581.09211000000005</v>
      </c>
      <c r="R196" s="3">
        <f>1106.2+(102.6-643.1)+(-0.564162+(-0.052326--0.327981))+0-0-0</f>
        <v>565.41149300000006</v>
      </c>
      <c r="S196" s="3">
        <f>1116.8+(112.4-677.5)+(0+(0-0))+0-0-0</f>
        <v>551.69999999999993</v>
      </c>
      <c r="T196" s="3">
        <f>1106.8+(104.5-664)+(-2.82234+(-0.266475--1.6932))+0-0-0</f>
        <v>545.90438499999993</v>
      </c>
      <c r="U196" s="3">
        <f>1102.8+(105.9-660.9)+(-2.249712+(-0.216036--1.348236))+0-0-0</f>
        <v>546.68248799999992</v>
      </c>
      <c r="V196" s="3">
        <f>1147.5+(75.5-682.2)+(-2.926125+(-0.192525--1.73961))+0-0-0</f>
        <v>539.42095999999992</v>
      </c>
      <c r="W196" s="3">
        <f>1180.5+(54-694.1)+(-1.20411+(-0.05508--0.707982))+0-0-0</f>
        <v>539.848792</v>
      </c>
      <c r="X196" s="3">
        <f>1175.7+(99.9-624)+(-1.798821+(-0.152847--0.95472))+0-0-0</f>
        <v>650.60305200000005</v>
      </c>
      <c r="Y196" s="3">
        <f>1198.2+(93.7-623.6)+(-1.833246+(-0.143361--0.954108))+0-0-0</f>
        <v>667.27750100000003</v>
      </c>
      <c r="Z196" s="3">
        <f>1188.7+(78.3-603.7)+(-2.424948+(-0.159732--1.231548))+0-0-0</f>
        <v>661.94686799999999</v>
      </c>
      <c r="AA196" s="3">
        <f>1186.4+(62.4-601.7)+(-1.815192+(-0.095472--0.920601))+0-0-0</f>
        <v>646.10993700000006</v>
      </c>
      <c r="AB196" s="3">
        <f>1184.3+(103.2-685.3)+(-1.207986+(-0.105264--0.699006))+0-0-0</f>
        <v>601.58575600000006</v>
      </c>
      <c r="AC196" s="3">
        <f>1171.3+(63.8-685.6)+(-2.986815+(-0.16269--1.74828))+0-0-0</f>
        <v>548.09877499999993</v>
      </c>
      <c r="AD196">
        <v>655.8</v>
      </c>
      <c r="AE196" s="3">
        <f>1201+(87.6-632.8)+(0+(0-0))+0-0-0</f>
        <v>655.80000000000007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1179.2+(70.4-748.8)+(0.601392+(0.035904-0.381888))+0-0-0</f>
        <v>501.05540800000006</v>
      </c>
      <c r="G197" s="3">
        <f>1161.7+(81.9-780.8)+(-2.962335+(-0.208845--1.99104))+0-0-0</f>
        <v>461.61986000000007</v>
      </c>
      <c r="H197" s="3">
        <f>1021.4+(66.3-647)+(-0.520914+(-0.033813--0.32997))+0-0-0</f>
        <v>440.47524299999992</v>
      </c>
      <c r="I197" s="3">
        <f>907.8+(76.2-552.1)+(-0.462978+(-0.038862--0.281571))+0-0-0</f>
        <v>431.67973099999995</v>
      </c>
      <c r="J197" s="3">
        <f>889+(80.5-538.9)+(-2.26695+(-0.205275--1.374195))+0-0-0</f>
        <v>429.50197000000003</v>
      </c>
      <c r="K197" s="3">
        <f>890.6+(65.1-531.2)+(-1.816824+(-0.132804--1.083648))+0-0-0</f>
        <v>423.63402000000002</v>
      </c>
      <c r="L197" s="3">
        <f>896.9+(64.7-545.6)+(-0.457419+(-0.032997--0.278256))+0-0-0</f>
        <v>415.78783999999996</v>
      </c>
      <c r="M197" s="3">
        <f>914.1+(102.9-562.8)+(0.466191+(0.052479-0.287028))+0-0-0</f>
        <v>454.43164200000007</v>
      </c>
      <c r="N197" s="3">
        <f>1159.6+(72.2-724.1)+(1.182792+(0.073644-0.738582))+0-0-0</f>
        <v>508.21785399999993</v>
      </c>
      <c r="O197" s="3">
        <f>1180.7+(65.6-711.9)+(1.204314+(0.066912-0.726138))+0-0-0</f>
        <v>534.94508800000006</v>
      </c>
      <c r="P197" s="3">
        <f>1158.9+(65.3-661.6)+(-0.591039+(-0.033303--0.337416))+0-0-0</f>
        <v>562.31307400000003</v>
      </c>
      <c r="Q197" s="3">
        <f>1149.5+(59.8-621.9)+(-1.758735+(-0.091494--0.951507))+0-0-0</f>
        <v>586.50127799999996</v>
      </c>
      <c r="R197" s="3">
        <f>1151.4+(57-635.2)+(-2.348856+(-0.11628--1.295808))+0-0-0</f>
        <v>572.0306720000001</v>
      </c>
      <c r="S197" s="3">
        <f>1159.7+(79.7-683.8)+(-1.182894+(-0.081294--0.697476))+0-0-0</f>
        <v>555.03328800000008</v>
      </c>
      <c r="T197" s="3">
        <f>1147.4+(95.6-727.5)+(-2.340696+(-0.195024--1.4841))+0-0-0</f>
        <v>514.44838000000016</v>
      </c>
      <c r="U197" s="3">
        <f>1147.9+(81-715.6)+(-2.927145+(-0.20655--1.82478))+0-0-0</f>
        <v>511.99108500000006</v>
      </c>
      <c r="V197" s="3">
        <f>1082.7+(25.7-597.7)+(-2.208708+(-0.052428--1.219308))+0-0-0</f>
        <v>509.65817200000004</v>
      </c>
      <c r="W197" s="3">
        <f>940.8+(75.2-471.3)+(0.959616+(0.076704-0.480726))+0-0-0</f>
        <v>545.25559399999997</v>
      </c>
      <c r="X197" s="3">
        <f>1191+(76.2-628.7)+(-1.82223+(-0.116586--0.961911))+0-0-0</f>
        <v>637.52309500000001</v>
      </c>
      <c r="Y197" s="3">
        <f>1202.6+(72.3-635.6)+(-1.226652+(-0.073746--0.648312))+0-0-0</f>
        <v>638.64791399999979</v>
      </c>
      <c r="Z197" s="3">
        <f>1203.3+(80.5-646.8)+(-0.613683+(-0.041055--0.329868))+0-0-0</f>
        <v>636.67512999999997</v>
      </c>
      <c r="AA197" s="3">
        <f>1199.5+(103.2-693.1)+(0.611745+(0.052632-0.353481))+0-0-0</f>
        <v>609.91089599999998</v>
      </c>
      <c r="AB197" s="3">
        <f>1184.9+(158-769.1)+(-1.812897+(-0.24174--1.176723))+0-0-0</f>
        <v>572.92208600000004</v>
      </c>
      <c r="AC197" s="3">
        <f>1177.2+(112.9-765.8)+(-1.801116+(-0.172737--1.171674))+0-0-0</f>
        <v>523.49782100000004</v>
      </c>
      <c r="AD197">
        <v>648.39999999999986</v>
      </c>
      <c r="AE197" s="3">
        <f>1206+(71.6-629.2)+(0+(0-0))+0-0-0</f>
        <v>648.4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1075.6+(76.2-662.2)+(-2.194224+(-0.155448--1.350888))+0-0-0</f>
        <v>488.60121599999991</v>
      </c>
      <c r="G198" s="3">
        <f>959.6+(81.4-584.5)+(-0.978792+(-0.083028--0.59619))+0-0-0</f>
        <v>456.03437000000002</v>
      </c>
      <c r="H198" s="3">
        <f>772.5+(112.7-452.5)+(-0.393975+(-0.057477--0.230775))+0-0-0</f>
        <v>432.47932299999997</v>
      </c>
      <c r="I198" s="3">
        <f>731.2+(121.1-431.6)+(-0.745824+(-0.123522--0.440232))+0-0-0</f>
        <v>420.27088600000002</v>
      </c>
      <c r="J198" s="3">
        <f>734.6+(111.4-425.8)+(0+(0-0))+0-0-0</f>
        <v>420.20000000000005</v>
      </c>
      <c r="K198" s="3">
        <f>726.4+(120-424)+(-1.481856+(-0.2448--0.86496))+0-0-0</f>
        <v>421.53830399999998</v>
      </c>
      <c r="L198" s="3">
        <f>732.8+(126.4-440.2)+(-0.373728+(-0.064464--0.224502))+0-0-0</f>
        <v>418.78631000000001</v>
      </c>
      <c r="M198" s="3">
        <f>736.4+(180.4-449.1)+(0+(0-0))+0-0-0</f>
        <v>467.69999999999993</v>
      </c>
      <c r="N198" s="3">
        <f>892.5+(150.1-523.2)+(0.455175+(0.076551-0.266832))+0-0-0</f>
        <v>519.664894</v>
      </c>
      <c r="O198" s="3">
        <f>979.8+(134.7-576.7)+(0+(0-0))+0-0-0</f>
        <v>537.79999999999995</v>
      </c>
      <c r="P198" s="3">
        <f>976.3+(142.6-557.9)+(-0.995826+(-0.145452--0.569058))+0-0-0</f>
        <v>560.42777999999998</v>
      </c>
      <c r="Q198" s="3">
        <f>980.1+(149.2-551.1)+(-0.499851+(-0.076092--0.281061))+0-0-0</f>
        <v>577.90511800000002</v>
      </c>
      <c r="R198" s="3">
        <f>972.3+(170.5-621.3)+(-1.487619+(-0.260865--0.950589))+0-0-0</f>
        <v>520.70210499999996</v>
      </c>
      <c r="S198" s="3">
        <f>976.8+(164.4-635.4)+(-0.996336+(-0.167688--0.648108))+0-0-0</f>
        <v>505.28408399999995</v>
      </c>
      <c r="T198" s="3">
        <f>977.8+(144.1-618.1)+(-0.997356+(-0.146982--0.630462))+0-0-0</f>
        <v>503.28612399999997</v>
      </c>
      <c r="U198" s="3">
        <f>977.9+(151.5-634.5)+(0+(0-0))+0-0-0</f>
        <v>494.9</v>
      </c>
      <c r="V198" s="3">
        <f>978.3+(80.2-557.8)+(-0.997866+(-0.081804--0.568956))+0-0-0</f>
        <v>500.18928599999998</v>
      </c>
      <c r="W198" s="3">
        <f>978.6+(69.7-526.8)+(-1.497258+(-0.106641--0.806004))+0-0-0</f>
        <v>520.70210499999996</v>
      </c>
      <c r="X198" s="3">
        <f>981.2+(125.7-509.3)+(-1.501236+(-0.192321--0.779229))+0-0-0</f>
        <v>596.68567200000007</v>
      </c>
      <c r="Y198" s="3">
        <f>981.9+(138.1-514.8)+(-2.503845+(-0.352155--1.31274))+0-0-0</f>
        <v>603.65674000000001</v>
      </c>
      <c r="Z198" s="3">
        <f>982+(112.6-506.1)+(0+(0-0))+0-0-0</f>
        <v>588.5</v>
      </c>
      <c r="AA198" s="3">
        <f>982+(103-510.2)+(-1.00164+(-0.10506--0.520404))+0-0-0</f>
        <v>574.21370400000001</v>
      </c>
      <c r="AB198" s="3">
        <f>981.6+(87.6-509.6)+(-2.50308+(-0.22338--1.29948))+0-0-0</f>
        <v>558.17302000000007</v>
      </c>
      <c r="AC198" s="3">
        <f>981.2+(87.2-487.4)+(0+(0-0))+0-0-0</f>
        <v>581</v>
      </c>
      <c r="AD198">
        <v>609.00000000000011</v>
      </c>
      <c r="AE198" s="3">
        <f>994+(130.9-515.9)+(0+(0-0))+0-0-0</f>
        <v>609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766.5+(74-413.9)+(-0.390915+(-0.03774--0.211089))+0-0-0</f>
        <v>426.38243400000005</v>
      </c>
      <c r="G199" s="3">
        <f>797.6+(95.9-437.3)+(-0.406776+(-0.048909--0.223023))+0-0-0</f>
        <v>455.96733800000004</v>
      </c>
      <c r="H199" s="3">
        <f>799.4+(76.2-443)+(0.815388+(0.077724-0.45186))+0-0-0</f>
        <v>433.04125199999999</v>
      </c>
      <c r="I199" s="3">
        <f>791.4+(64.4-431.8)+(-0.403614+(-0.032844--0.220218))+0-0-0</f>
        <v>423.78375999999997</v>
      </c>
      <c r="J199" s="3">
        <f>796.5+(63.1-429.6)+(-1.218645+(-0.096543--0.657288))+0-0-0</f>
        <v>429.34210000000002</v>
      </c>
      <c r="K199" s="3">
        <f>768.5+(64.1-430.5)+(-1.175805+(-0.098073--0.658665))+0-0-0</f>
        <v>401.48478700000004</v>
      </c>
      <c r="L199" s="3">
        <f>737.5+(78.4-421.6)+(0+(0-0))+0-0-0</f>
        <v>394.29999999999995</v>
      </c>
      <c r="M199" s="3">
        <f>837.1+(101.1-442.5)+(0+(0-0))+0-0-0</f>
        <v>495.70000000000005</v>
      </c>
      <c r="N199" s="3">
        <f>1002.5+(73.8-559.5)+(0.511275+(0.037638-0.285345))+0-0-0</f>
        <v>517.06356799999992</v>
      </c>
      <c r="O199" s="3">
        <f>986.8+(107.1-560)+(-1.509804+(-0.163863--0.8568))+0-0-0</f>
        <v>533.08313299999998</v>
      </c>
      <c r="P199" s="3">
        <f>1004.8+(80.8-531)+(-0.512448+(-0.041208--0.27081))+0-0-0</f>
        <v>554.31715399999996</v>
      </c>
      <c r="Q199" s="3">
        <f>991.5+(109.1-545.4)+(-1.01133+(-0.111282--0.556308))+0-0-0</f>
        <v>554.6336960000001</v>
      </c>
      <c r="R199" s="3">
        <f>961.1+(118.1-535.1)+(-3.431127+(-0.421617--1.910307))+0-0-0</f>
        <v>542.15756299999998</v>
      </c>
      <c r="S199" s="3">
        <f>926.9+(111.5-545.4)+(-0.945438+(-0.11373--0.556308))+0-0-0</f>
        <v>492.49714</v>
      </c>
      <c r="T199" s="3">
        <f>922.7+(100.9-540.5)+(-1.882308+(-0.205836--1.10262))+0-0-0</f>
        <v>482.11447600000002</v>
      </c>
      <c r="U199" s="3">
        <f>930.3+(101.4-536.7)+(-0.474453+(-0.051714--0.273717))+0-0-0</f>
        <v>494.74754999999988</v>
      </c>
      <c r="V199" s="3">
        <f>840.8+(135.6-500.4)+(-1.286424+(-0.207468--0.765612))+0-0-0</f>
        <v>475.27172000000002</v>
      </c>
      <c r="W199" s="3">
        <f>884+(121.5-498.1)+(0.45084+(0.061965-0.254031))+0-0-0</f>
        <v>507.65877399999999</v>
      </c>
      <c r="X199" s="3">
        <f>987+(137.6-516.2)+(-1.00674+(-0.140352--0.526524))+0-0-0</f>
        <v>607.77943199999993</v>
      </c>
      <c r="Y199" s="3">
        <f>985.8+(181.6-541.3)+(-1.508274+(-0.277848--0.828189))+0-0-0</f>
        <v>625.142067</v>
      </c>
      <c r="Z199" s="3">
        <f>888.7+(226.6-493.8)+(-0.453237+(-0.115566--0.251838))+0-0-0</f>
        <v>621.18303500000002</v>
      </c>
      <c r="AA199" s="3">
        <f>840.4+(225.9-469.8)+(-1.285812+(-0.345627--0.718794))+0-0-0</f>
        <v>595.587355</v>
      </c>
      <c r="AB199" s="3">
        <f>841.4+(182.6-462.8)+(-1.716456+(-0.372504--0.944112))+0-0-0</f>
        <v>560.05515199999991</v>
      </c>
      <c r="AC199" s="3">
        <f>840.8+(119-443.2)+(-0.857616+(-0.12138--0.452064))+0-0-0</f>
        <v>516.07306799999992</v>
      </c>
      <c r="AD199">
        <v>616.90000000000009</v>
      </c>
      <c r="AE199" s="3">
        <f>1003+(159.4-545.5)+(0+(0-0))+0-0-0</f>
        <v>616.9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835.7+(79.2-420.2)+(-1.704828+(-0.161568--0.857208))+0-0-0</f>
        <v>493.69081200000005</v>
      </c>
      <c r="G200" s="3">
        <f>795.2+(90.7-416.7)+(-2.02776+(-0.231285--1.062585))+0-0-0</f>
        <v>468.00354000000004</v>
      </c>
      <c r="H200" s="3">
        <f>729.3+(107.9-398.9)+(-1.859715+(-0.275145--1.017195))+0-0-0</f>
        <v>437.18233499999997</v>
      </c>
      <c r="I200" s="3">
        <f>732+(105.9-410.4)+(-1.49328+(-0.216036--0.837216))+0-0-0</f>
        <v>426.62790000000001</v>
      </c>
      <c r="J200" s="3">
        <f>745.1+(95.9-416.2)+(1.140003+(0.146727-0.636786))+0-0-0</f>
        <v>425.44994400000007</v>
      </c>
      <c r="K200" s="3">
        <f>729.3+(116.3-420.8)+(-1.859715+(-0.296565--1.07304))+0-0-0</f>
        <v>423.71675999999997</v>
      </c>
      <c r="L200" s="3">
        <f>837.4+(102.1-497.4)+(-0.427074+(-0.052071--0.253674))+0-0-0</f>
        <v>441.874529</v>
      </c>
      <c r="M200" s="3">
        <f>921.4+(63-511.9)+(0.469914+(0.03213-0.261069))+0-0-0</f>
        <v>472.74097499999999</v>
      </c>
      <c r="N200" s="3">
        <f>986.3+(79.7-557.8)+(0.503013+(0.040647-0.284478))+0-0-0</f>
        <v>508.459182</v>
      </c>
      <c r="O200" s="3">
        <f>1006.3+(136.3-584.2)+(0+(0-0))+0-0-0</f>
        <v>558.39999999999986</v>
      </c>
      <c r="P200" s="3">
        <f>999.2+(147.7-566.6)+(0+(0-0))+0-0-0</f>
        <v>580.29999999999995</v>
      </c>
      <c r="Q200" s="3">
        <f>987.8+(128-537.4)+(-1.511334+(-0.19584--0.822222))+0-0-0</f>
        <v>577.51504799999998</v>
      </c>
      <c r="R200" s="3">
        <f>911.7+(155.8-524.3)+(-0.464967+(-0.079458--0.267393))+0-0-0</f>
        <v>542.92296800000008</v>
      </c>
      <c r="S200" s="3">
        <f>882.1+(159.1-535)+(0.899742+(0.162282-0.5457))+0-0-0</f>
        <v>506.71632400000004</v>
      </c>
      <c r="T200" s="3">
        <f>877.4+(149.7-531)+(-0.894948+(-0.152694--0.54162))+0-0-0</f>
        <v>495.59397799999999</v>
      </c>
      <c r="U200" s="3">
        <f>866.9+(142.1-525.9)+(-2.210595+(-0.362355--1.341045))+0-0-0</f>
        <v>481.86809500000004</v>
      </c>
      <c r="V200" s="3">
        <f>866.2+(158.7-536.5)+(-2.20881+(-0.404685--1.368075))+0-0-0</f>
        <v>487.15458000000001</v>
      </c>
      <c r="W200" s="3">
        <f>878.8+(144.7-513.7)+(-0.448188+(-0.073797--0.261987))+0-0-0</f>
        <v>509.5400019999999</v>
      </c>
      <c r="X200" s="3">
        <f>948.9+(160.3-489.6)+(-0.483939+(-0.081753--0.249696))+0-0-0</f>
        <v>619.28400399999987</v>
      </c>
      <c r="Y200" s="3">
        <f>979.8+(180.3-523.7)+(-3.497886+(-0.643671--1.869609))+0-0-0</f>
        <v>634.12805199999991</v>
      </c>
      <c r="Z200" s="3">
        <f>950.9+(196.8-514.9)+(-1.939836+(-0.401472--1.050396))+0-0-0</f>
        <v>631.50908799999991</v>
      </c>
      <c r="AA200" s="3">
        <f>947.9+(196.3-517.1)+(-2.417145+(-0.500565--1.318605))+0-0-0</f>
        <v>625.5008949999999</v>
      </c>
      <c r="AB200" s="3">
        <f>950.1+(204-544.5)+(-1.453653+(-0.31212--0.833085))+0-0-0</f>
        <v>608.66731200000004</v>
      </c>
      <c r="AC200" s="3">
        <f>951.7+(190.1-563.9)+(-1.456101+(-0.290853--0.862767))+0-0-0</f>
        <v>577.01581300000009</v>
      </c>
      <c r="AD200">
        <v>604.69999999999993</v>
      </c>
      <c r="AE200" s="3">
        <f>1027+(143.6-565.9)+(0+(0-0))+0-0-0</f>
        <v>604.70000000000005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958+(134.4-591.8)+(0.97716+(0.137088-0.603636))+0-0-0</f>
        <v>501.110612</v>
      </c>
      <c r="G201" s="3">
        <f>821.3+(154.9-521.8)+(0+(0-0))+0-0-0</f>
        <v>454.4</v>
      </c>
      <c r="H201" s="3">
        <f>744+(161.6-483.5)+(-0.75888+(-0.164832--0.49317))+0-0-0</f>
        <v>421.66945800000002</v>
      </c>
      <c r="I201" s="3">
        <f>752+(142.6-481.6)+(0.38352+(0.072726-0.245616))+0-0-0</f>
        <v>413.21062999999998</v>
      </c>
      <c r="J201" s="3">
        <f>751.9+(134.5-477.2)+(0.383469+(0.068595-0.243372))+0-0-0</f>
        <v>409.40869199999997</v>
      </c>
      <c r="K201" s="3">
        <f>747.9+(136.1-482.9)+(-0.381429+(-0.069411--0.246279))+0-0-0</f>
        <v>400.89543900000001</v>
      </c>
      <c r="L201" s="3">
        <f>750.4+(113.8-488.2)+(0+(0-0))+0-0-0</f>
        <v>376</v>
      </c>
      <c r="M201" s="3">
        <f>749.9+(128.5-492.8)+(0+(0-0))+0-0-0</f>
        <v>385.59999999999997</v>
      </c>
      <c r="N201" s="3">
        <f>951.5+(98.1-606)+(-2.91159+(-0.300186--1.85436))+0-0-0</f>
        <v>442.24258400000002</v>
      </c>
      <c r="O201" s="3">
        <f>851.4+(96.6-509.1)+(-0.434214+(-0.049266--0.259641))+0-0-0</f>
        <v>438.67616099999998</v>
      </c>
      <c r="P201" s="3">
        <f>843+(86.8-474.2)+(-0.85986+(-0.088536--0.483684))+0-0-0</f>
        <v>455.135288</v>
      </c>
      <c r="Q201" s="3">
        <f>874.2+(72.8-493.8)+(-0.891684+(-0.074256--0.503676))+0-0-0</f>
        <v>452.73773600000004</v>
      </c>
      <c r="R201" s="3">
        <f>903.9+(67.9-498.7)+(-1.843956+(-0.138516--1.017348))+0-0-0</f>
        <v>472.13487600000002</v>
      </c>
      <c r="S201" s="3">
        <f>926.2+(43.3-514.9)+(-0.944724+(-0.044166--0.525198))+0-0-0</f>
        <v>454.1363080000001</v>
      </c>
      <c r="T201" s="3">
        <f>966.6+(23-547.3)+(-0.985932+(-0.02346--0.558246))+0-0-0</f>
        <v>441.84885400000007</v>
      </c>
      <c r="U201" s="3">
        <f>941.4+(39.6-540)+(-2.880684+(-0.121176--1.6524))+0-0-0</f>
        <v>439.65053999999998</v>
      </c>
      <c r="V201" s="3">
        <f>837.6+(70.9-481.2)+(-1.708704+(-0.144636--0.981648))+0-0-0</f>
        <v>426.42830800000007</v>
      </c>
      <c r="W201" s="3">
        <f>838.8+(88.1-468.9)+(-1.283364+(-0.134793--0.717417))+0-0-0</f>
        <v>457.29926</v>
      </c>
      <c r="X201" s="3">
        <f>963.2+(100.3-490.4)+(-2.947392+(-0.306918--1.500624))+0-0-0</f>
        <v>571.34631400000012</v>
      </c>
      <c r="Y201" s="3">
        <f>868.9+(156.7-435)+(-2.215695+(-0.399585--1.10925))+0-0-0</f>
        <v>589.0939699999999</v>
      </c>
      <c r="Z201" s="3">
        <f>837.3+(177.6-429.9)+(-1.708092+(-0.362304--0.876996))+0-0-0</f>
        <v>583.8066</v>
      </c>
      <c r="AA201" s="3">
        <f>838.4+(175.6-444.2)+(-1.710336+(-0.358224--0.906168))+0-0-0</f>
        <v>568.637608</v>
      </c>
      <c r="AB201" s="3">
        <f>846.8+(159.1-460)+(0+(0-0))+0-0-0</f>
        <v>545.9</v>
      </c>
      <c r="AC201" s="3">
        <f>833.9+(112.6-444)+(-2.126445+(-0.28713--1.1322))+0-0-0</f>
        <v>501.21862499999997</v>
      </c>
      <c r="AD201">
        <v>580.40000000000009</v>
      </c>
      <c r="AE201" s="3">
        <f>1003+(114.2-536.8)+(0+(0-0))+0-0-0</f>
        <v>580.40000000000009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823+(80.9-463.3)+(-1.67892+(-0.165036--0.945132))+0-0-0</f>
        <v>439.70117600000003</v>
      </c>
      <c r="G202" s="3">
        <f>756.2+(91.8-443.6)+(-1.542648+(-0.187272--0.904944))+0-0-0</f>
        <v>403.57502400000004</v>
      </c>
      <c r="H202" s="3">
        <f>761.5+(87.6-452.8)+(-0.388365+(-0.044676--0.230928))+0-0-0</f>
        <v>396.09788699999996</v>
      </c>
      <c r="I202" s="3">
        <f>758.6+(84.1-447.6)+(-0.773772+(-0.085782--0.456552))+0-0-0</f>
        <v>394.69699800000001</v>
      </c>
      <c r="J202" s="3">
        <f>761.4+(80.6-447.5)+(0+(0-0))+0-0-0</f>
        <v>394.5</v>
      </c>
      <c r="K202" s="3">
        <f>763.3+(93.6-458.2)+(0.389283+(0.047736-0.233682))+0-0-0</f>
        <v>398.90333699999991</v>
      </c>
      <c r="L202" s="3">
        <f>808.3+(80.6-485.9)+(0.412233+(0.041106-0.247809))+0-0-0</f>
        <v>403.20553000000001</v>
      </c>
      <c r="M202" s="3">
        <f>1064.1+(8.8-624.8)+(-0.542691+(-0.004488--0.318648))+0-0-0</f>
        <v>447.87146899999993</v>
      </c>
      <c r="N202" s="3">
        <f>1112.9+(17.8-628)+(-0.567579+(-0.009078--0.32028))+0-0-0</f>
        <v>502.44362300000006</v>
      </c>
      <c r="O202" s="3">
        <f>1098.1+(27.8-591.5)+(-1.120062+(-0.028356--0.60333))+0-0-0</f>
        <v>533.8549119999999</v>
      </c>
      <c r="P202" s="3">
        <f>1042.3+(41.8-545.7)+(0+(0-0))+0-0-0</f>
        <v>538.39999999999986</v>
      </c>
      <c r="Q202" s="3">
        <f>1029.2+(68.6-539.3)+(-1.574676+(-0.104958--0.825129))+0-0-0</f>
        <v>557.6454950000001</v>
      </c>
      <c r="R202" s="3">
        <f>1090.5+(100.2-647.9)+(-2.780775+(-0.25551--1.652145))+0-0-0</f>
        <v>541.41586000000007</v>
      </c>
      <c r="S202" s="3">
        <f>1157.3+(98.8-734.6)+(-1.770669+(-0.151164--1.123938))+0-0-0</f>
        <v>520.70210499999985</v>
      </c>
      <c r="T202" s="3">
        <f>1166.3+(98.3-760.7)+(0+(0-0))+0-0-0</f>
        <v>503.89999999999986</v>
      </c>
      <c r="U202" s="3">
        <f>1155.8+(102.3-761.1)+(-1.178916+(-0.104346--0.776322))+0-0-0</f>
        <v>496.4930599999999</v>
      </c>
      <c r="V202" s="3">
        <f>1153.6+(100.7-756.6)+(-1.765008+(-0.154071--1.157598))+0-0-0</f>
        <v>496.93851899999993</v>
      </c>
      <c r="W202" s="3">
        <f>1158.9+(86.3-730.7)+(-0.591039+(-0.044013--0.372657))+0-0-0</f>
        <v>514.23760500000003</v>
      </c>
      <c r="X202" s="3">
        <f>1189.4+(79.3-647.6)+(-3.03297+(-0.202215--1.65138))+0-0-0</f>
        <v>619.51619500000004</v>
      </c>
      <c r="Y202" s="3">
        <f>1215.8+(80.2-656.8)+(-2.480232+(-0.163608--1.339872))+0-0-0</f>
        <v>637.89603199999999</v>
      </c>
      <c r="Z202" s="3">
        <f>1162.5+(94.9-625.5)+(-0.592875+(-0.048399--0.319005))+0-0-0</f>
        <v>631.57773099999997</v>
      </c>
      <c r="AA202" s="3">
        <f>1137.4+(99.6-621.7)+(-2.90037+(-0.25398--1.585335))+0-0-0</f>
        <v>613.73098500000003</v>
      </c>
      <c r="AB202" s="3">
        <f>1136.3+(69.7-624)+(-2.318052+(-0.142188--1.27296))+0-0-0</f>
        <v>580.81272000000001</v>
      </c>
      <c r="AC202" s="3">
        <f>1132.7+(47.9-646.5)+(-2.888385+(-0.122145--1.648575))+0-0-0</f>
        <v>532.73804500000006</v>
      </c>
      <c r="AD202">
        <v>603.9</v>
      </c>
      <c r="AE202" s="3">
        <f>1190+(90-676.1)+(0+(0-0))+0-0-0</f>
        <v>603.9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1140+(21.3-680.6)+(-0.5814+(-0.010863--0.347106))+0-0-0</f>
        <v>480.45484299999993</v>
      </c>
      <c r="G203" s="3">
        <f>906.6+(79.2-542.7)+(-2.31183+(-0.20196--1.383885))+0-0-0</f>
        <v>441.97009499999996</v>
      </c>
      <c r="H203" s="3">
        <f>884.4+(70.3-532.5)+(-0.451044+(-0.035853--0.271575))+0-0-0</f>
        <v>421.98467799999997</v>
      </c>
      <c r="I203" s="3">
        <f>887.2+(65.6-537.6)+(-0.452472+(-0.033456--0.274176))+0-0-0</f>
        <v>414.98824800000006</v>
      </c>
      <c r="J203" s="3">
        <f>885.5+(78.1-540.8)+(-0.90321+(-0.079662--0.551616))+0-0-0</f>
        <v>422.36874400000005</v>
      </c>
      <c r="K203" s="3">
        <f>884.5+(84.8-540.4)+(-1.353285+(-0.129744--0.826812))+0-0-0</f>
        <v>428.24378300000001</v>
      </c>
      <c r="L203" s="3">
        <f>886.3+(82.1-548.3)+(-0.452013+(-0.041871--0.279633))+0-0-0</f>
        <v>419.88574900000003</v>
      </c>
      <c r="M203" s="3">
        <f>887.9+(111.7-556.2)+(-0.452829+(-0.056967--0.283662))+0-0-0</f>
        <v>443.17386599999992</v>
      </c>
      <c r="N203" s="3">
        <f>1129.3+(47-671.7)+(1.151886+(0.04794-0.685134))+0-0-0</f>
        <v>505.11469199999993</v>
      </c>
      <c r="O203" s="3">
        <f>1154.6+(39.9-659.3)+(-1.177692+(-0.040698--0.672486))+0-0-0</f>
        <v>534.65409599999998</v>
      </c>
      <c r="P203" s="3">
        <f>1146+(32.5-647.7)+(-0.58446+(-0.016575--0.330327))+0-0-0</f>
        <v>530.52929199999994</v>
      </c>
      <c r="Q203" s="3">
        <f>1149.5+(15.4-666.3)+(-1.17249+(-0.015708--0.679626))+0-0-0</f>
        <v>498.09142800000001</v>
      </c>
      <c r="R203" s="3">
        <f>1145.9+(18.8-692.2)+(-1.753227+(-0.028764--1.059066))+0-0-0</f>
        <v>471.77707500000002</v>
      </c>
      <c r="S203" s="3">
        <f>1142.4+(22.2-701.7)+(-2.330496+(-0.045288--1.431468))+0-0-0</f>
        <v>461.95568400000008</v>
      </c>
      <c r="T203" s="3">
        <f>1162.5+(28.1-740.1)+(-0.592875+(-0.014331--0.377451))+0-0-0</f>
        <v>450.27024499999999</v>
      </c>
      <c r="U203" s="3">
        <f>1140.7+(20.6-714.7)+(-2.908785+(-0.05253--1.822485))+0-0-0</f>
        <v>445.46117000000004</v>
      </c>
      <c r="V203" s="3">
        <f>1145+(14.2-673.4)+(-1.75185+(-0.021726--1.030302))+0-0-0</f>
        <v>485.05672600000008</v>
      </c>
      <c r="W203" s="3">
        <f>1158+(2-650.4)+(0.59058+(0.00102-0.331704))+0-0-0</f>
        <v>509.85989600000005</v>
      </c>
      <c r="X203" s="3">
        <f>1201+(52.6-624.8)+(-1.22502+(-0.053652--0.637296))+0-0-0</f>
        <v>628.15862400000003</v>
      </c>
      <c r="Y203" s="3">
        <f>1196.2+(60.7-620.8)+(-2.440248+(-0.123828--1.266432))+0-0-0</f>
        <v>634.80235600000015</v>
      </c>
      <c r="Z203" s="3">
        <f>1195+(46.1-609.8)+(-2.4378+(-0.094044--1.243992))+0-0-0</f>
        <v>630.01214800000002</v>
      </c>
      <c r="AA203" s="3">
        <f>1194.9+(35.5-625.1)+(-1.218798+(-0.03621--0.637602))+0-0-0</f>
        <v>604.68259400000011</v>
      </c>
      <c r="AB203" s="3">
        <f>1193.3+(29.7-652.2)+(-1.217166+(-0.030294--0.665244))+0-0-0</f>
        <v>570.21778399999994</v>
      </c>
      <c r="AC203" s="3">
        <f>1180.4+(33.7-684.7)+(-3.01002+(-0.085935--1.745985))+0-0-0</f>
        <v>528.05003000000011</v>
      </c>
      <c r="AD203">
        <v>618.5</v>
      </c>
      <c r="AE203" s="3">
        <f>1196+(56.2-633.7)+(0+(0-0))+0-0-0</f>
        <v>618.5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1119.2+(27.5-642)+(-1.141584+(-0.02805--0.65484))+0-0-0</f>
        <v>504.18520600000005</v>
      </c>
      <c r="G204" s="3">
        <f>996.7+(57.1-585)+(-1.524951+(-0.087363--0.89505))+0-0-0</f>
        <v>468.08273600000007</v>
      </c>
      <c r="H204" s="3">
        <f>890.1+(78.3-505.9)+(0+(0-0))+0-0-0</f>
        <v>462.50000000000006</v>
      </c>
      <c r="I204" s="3">
        <f>886.4+(68.2-501.6)+(0+(0-0))+0-0-0</f>
        <v>452.99999999999994</v>
      </c>
      <c r="J204" s="3">
        <f>878.4+(65.7-498.2)+(-1.343952+(-0.100521--0.762246))+0-0-0</f>
        <v>445.21777299999997</v>
      </c>
      <c r="K204" s="3">
        <f>888.2+(66.9-501.2)+(0.452982+(0.034119-0.255612))+0-0-0</f>
        <v>454.1314890000001</v>
      </c>
      <c r="L204" s="3">
        <f>886.7+(80.5-514.2)+(0+(0-0))+0-0-0</f>
        <v>453</v>
      </c>
      <c r="M204" s="3">
        <f>1056.7+(37.1-609.3)+(-1.077834+(-0.037842--0.621486))+0-0-0</f>
        <v>484.00581000000011</v>
      </c>
      <c r="N204" s="3">
        <f>1185.4+(8.8-661.5)+(1.813662+(0.013464-1.012095))+0-0-0</f>
        <v>533.51503100000002</v>
      </c>
      <c r="O204" s="3">
        <f>1175.9+(31.8-641.4)+(-1.799127+(-0.048654--0.981342))+0-0-0</f>
        <v>565.43356100000005</v>
      </c>
      <c r="P204" s="3">
        <f>1161.7+(25.1-609.8)+(-2.369868+(-0.051204--1.243992))+0-0-0</f>
        <v>575.82292000000007</v>
      </c>
      <c r="Q204" s="3">
        <f>1164+(33.6-632.8)+(-2.37456+(-0.068544--1.290912))+0-0-0</f>
        <v>563.64780800000005</v>
      </c>
      <c r="R204" s="3">
        <f>1163.8+(32.3-663.5)+(-2.96769+(-0.082365--1.691925))+0-0-0</f>
        <v>531.24186999999995</v>
      </c>
      <c r="S204" s="3">
        <f>1162.9+(19.7-684.7)+(0.593079+(0.010047-0.349197))+0-0-0</f>
        <v>498.15392900000012</v>
      </c>
      <c r="T204" s="3">
        <f>1162.5+(16.6-667.6)+(-2.3715+(-0.033864--1.361904))+0-0-0</f>
        <v>510.45654000000002</v>
      </c>
      <c r="U204" s="3">
        <f>1162.9+(14.9-666.8)+(-2.965395+(-0.037995--1.70034))+0-0-0</f>
        <v>509.69695000000013</v>
      </c>
      <c r="V204" s="3">
        <f>1163.4+(31.3-688.1)+(-1.780002+(-0.047889--1.052793))+0-0-0</f>
        <v>505.82490200000001</v>
      </c>
      <c r="W204" s="3">
        <f>1162.7+(37.9-665.3)+(1.185954+(0.038658-0.678606))+0-0-0</f>
        <v>535.8460060000001</v>
      </c>
      <c r="X204" s="3">
        <f>1163.8+(78.6-601.2)+(-2.96769+(-0.20043--1.53306))+0-0-0</f>
        <v>639.56493999999998</v>
      </c>
      <c r="Y204" s="3">
        <f>1165.7+(100-626.6)+(-1.189014+(-0.102--0.639132))+0-0-0</f>
        <v>638.44811800000002</v>
      </c>
      <c r="Z204" s="3">
        <f>1164.5+(104.7-636.6)+(-1.781685+(-0.160191--0.973998))+0-0-0</f>
        <v>631.63212199999998</v>
      </c>
      <c r="AA204" s="3">
        <f>1165.1+(70.7-638.8)+(-2.376804+(-0.144228--1.303152))+0-0-0</f>
        <v>595.78211999999996</v>
      </c>
      <c r="AB204" s="3">
        <f>1164.9+(54.8-655.1)+(0+(0-0))+0-0-0</f>
        <v>564.6</v>
      </c>
      <c r="AC204" s="3">
        <f>1165.2+(21.9-660)+(-2.377008+(-0.044676--1.3464))+0-0-0</f>
        <v>526.02471600000001</v>
      </c>
      <c r="AD204">
        <v>649.09999999999991</v>
      </c>
      <c r="AE204" s="3">
        <f>1160+(96.6-607.5)+(0+(0-0))+0-0-0</f>
        <v>649.1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1165.3+(0-694.3)+(0+(0-0))+0-0-0</f>
        <v>471</v>
      </c>
      <c r="G205" s="3">
        <f>1157.7+(0-667.9)+(-1.771281+(0--1.021887))+0-0-0</f>
        <v>489.05060600000007</v>
      </c>
      <c r="H205" s="3">
        <f>870.4+(61.1-513.7)+(0.887808+(0.062322-0.523974))+0-0-0</f>
        <v>418.22615599999995</v>
      </c>
      <c r="I205" s="3">
        <f>873.3+(58-497.5)+(-1.336149+(-0.08874--0.761175))+0-0-0</f>
        <v>433.13628599999993</v>
      </c>
      <c r="J205" s="3">
        <f>867.3+(54-496)+(0+(0-0))+0-0-0</f>
        <v>425.29999999999995</v>
      </c>
      <c r="K205" s="3">
        <f>862.5+(59.4-496.5)+(-1.319625+(-0.090882--0.759645))+0-0-0</f>
        <v>424.74913799999996</v>
      </c>
      <c r="L205" s="3">
        <f>864.3+(65.5-513.4)+(-0.881586+(-0.06681--0.523668))+0-0-0</f>
        <v>415.97527199999996</v>
      </c>
      <c r="M205" s="3">
        <f>876+(96.9-522.8)+(0.89352+(0.098838-0.533256))+0-0-0</f>
        <v>450.559102</v>
      </c>
      <c r="N205" s="3">
        <f>1090.6+(53.6-665.6)+(-0.556206+(-0.027336--0.339456))+0-0-0</f>
        <v>478.35591399999993</v>
      </c>
      <c r="O205" s="3">
        <f>1181.4+(37.2-674.5)+(0+(0-0))+0-0-0</f>
        <v>544.10000000000014</v>
      </c>
      <c r="P205" s="3">
        <f>1187.4+(44.8-670.2)+(-0.605574+(-0.022848--0.341802))+0-0-0</f>
        <v>561.71338000000003</v>
      </c>
      <c r="Q205" s="3">
        <f>1166.4+(46-650.8)+(-1.784592+(-0.07038--0.995724))+0-0-0</f>
        <v>560.74075200000016</v>
      </c>
      <c r="R205" s="3">
        <f>1166.8+(34.6-648)+(-2.380272+(-0.070584--1.32192))+0-0-0</f>
        <v>552.27106400000002</v>
      </c>
      <c r="S205" s="3">
        <f>1166.4+(21.5-657.5)+(-1.189728+(-0.02193--0.67065))+0-0-0</f>
        <v>529.85899200000006</v>
      </c>
      <c r="T205" s="3">
        <f>1166.5+(22.8-665.8)+(-1.18983+(-0.023256--0.679116))+0-0-0</f>
        <v>522.96603000000005</v>
      </c>
      <c r="U205" s="3">
        <f>1164.5+(13.2-643.8)+(-2.37558+(-0.026928--1.313352))+0-0-0</f>
        <v>532.81084400000009</v>
      </c>
      <c r="V205" s="3">
        <f>1165.6+(14.5-660.4)+(-1.783368+(-0.022185--1.010412))+0-0-0</f>
        <v>518.90485899999999</v>
      </c>
      <c r="W205" s="3">
        <f>1168.3+(16.3-650.4)+(0+(0-0))+0-0-0</f>
        <v>534.19999999999993</v>
      </c>
      <c r="X205" s="3">
        <f>1171.1+(63-607.3)+(-1.791783+(-0.09639--0.929169))+0-0-0</f>
        <v>625.8409959999999</v>
      </c>
      <c r="Y205" s="3">
        <f>1171.5+(78.5-616.6)+(-1.19493+(-0.08007--0.628932))+0-0-0</f>
        <v>632.75393199999996</v>
      </c>
      <c r="Z205" s="3">
        <f>1172+(73.3-603.2)+(-2.39088+(-0.149532--1.230528))+0-0-0</f>
        <v>640.7901159999999</v>
      </c>
      <c r="AA205" s="3">
        <f>1171.9+(54.7-600.6)+(-1.793007+(-0.083691--0.918918))+0-0-0</f>
        <v>625.04222000000016</v>
      </c>
      <c r="AB205" s="3">
        <f>1171.5+(41.4-622.7)+(-2.987325+(-0.10557--1.587885))+0-0-0</f>
        <v>588.69498999999996</v>
      </c>
      <c r="AC205" s="3">
        <f>1171.3+(21.6-652.6)+(-2.986815+(-0.05508--1.66413))+0-0-0</f>
        <v>538.922235</v>
      </c>
      <c r="AD205">
        <v>634.50000000000011</v>
      </c>
      <c r="AE205" s="3">
        <f>1171+(75.4-611.9)+(0+(0-0))+0-0-0</f>
        <v>634.5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1171.1+(14.9-702.1)+(-2.389044+(-0.030396--1.432284))+0-0-0</f>
        <v>482.91284399999984</v>
      </c>
      <c r="G206" s="3">
        <f>1135.2+(22.2-706.5)+(-1.736856+(-0.033966--1.080945))+0-0-0</f>
        <v>450.21012300000007</v>
      </c>
      <c r="H206" s="3">
        <f>997.4+(53.2-611.3)+(-1.526022+(-0.081396--0.935289))+0-0-0</f>
        <v>438.62787100000008</v>
      </c>
      <c r="I206" s="3">
        <f>881.5+(82-536.6)+(-1.348695+(-0.12546--0.820998))+0-0-0</f>
        <v>426.24684299999996</v>
      </c>
      <c r="J206" s="3">
        <f>881.2+(78.2-544)+(0.898824+(0.079764-0.55488))+0-0-0</f>
        <v>415.82370800000001</v>
      </c>
      <c r="K206" s="3">
        <f>878+(82.6-541.6)+(-0.89556+(-0.084252--0.552432))+0-0-0</f>
        <v>418.57261999999997</v>
      </c>
      <c r="L206" s="3">
        <f>880.3+(87.1-553.6)+(-0.897906+(-0.088842--0.564672))+0-0-0</f>
        <v>413.37792399999995</v>
      </c>
      <c r="M206" s="3">
        <f>883.9+(126.1-563.8)+(0.450789+(0.064311-0.287538))+0-0-0</f>
        <v>446.42756200000002</v>
      </c>
      <c r="N206" s="3">
        <f>940.1+(116-594.6)+(0+(0-0))+0-0-0</f>
        <v>461.5</v>
      </c>
      <c r="O206" s="3">
        <f>1164.4+(43.2-672)+(-0.593844+(-0.022032--0.34272))+0-0-0</f>
        <v>535.32684400000016</v>
      </c>
      <c r="P206" s="3">
        <f>1158.4+(54.8-646)+(-1.181568+(-0.055896--0.65892))+0-0-0</f>
        <v>566.62145600000008</v>
      </c>
      <c r="Q206" s="3">
        <f>1155.4+(56.2-641.5)+(-1.178508+(-0.057324--0.65433))+0-0-0</f>
        <v>569.51849800000014</v>
      </c>
      <c r="R206" s="3">
        <f>1147.5+(63.2-642.6)+(-2.926125+(-0.16116--1.63863))+0-0-0</f>
        <v>566.65134499999999</v>
      </c>
      <c r="S206" s="3">
        <f>1143.4+(54.3-658.5)+(-0.583134+(-0.027693--0.335835))+0-0-0</f>
        <v>538.92500800000005</v>
      </c>
      <c r="T206" s="3">
        <f>1137.7+(57-647)+(-1.740681+(-0.08721--0.98991))+0-0-0</f>
        <v>546.86201900000003</v>
      </c>
      <c r="U206" s="3">
        <f>1135.3+(30.9-629)+(-2.316012+(-0.063036--1.28316))+0-0-0</f>
        <v>536.10411199999999</v>
      </c>
      <c r="V206" s="3">
        <f>1143.8+(21.6-619.2)+(-1.750014+(-0.033048--0.947376))+0-0-0</f>
        <v>545.36431399999992</v>
      </c>
      <c r="W206" s="3">
        <f>1174+(30-596.1)+(-0.59874+(-0.0153--0.304011))+0-0-0</f>
        <v>607.58997099999999</v>
      </c>
      <c r="X206" s="3">
        <f>1190.9+(86.4-588.9)+(0+(0-0))+0-0-0</f>
        <v>688.40000000000009</v>
      </c>
      <c r="Y206" s="3">
        <f>1192.5+(83.4-577.6)+(-3.040875+(-0.21267--1.47288))+0-0-0</f>
        <v>696.51933499999996</v>
      </c>
      <c r="Z206" s="3">
        <f>1188.6+(76.3-593.6)+(-0.606186+(-0.038913--0.302736))+0-0-0</f>
        <v>670.95763699999986</v>
      </c>
      <c r="AA206" s="3">
        <f>1182.6+(73-613.5)+(-2.412504+(-0.14892--1.25154))+0-0-0</f>
        <v>640.7901159999999</v>
      </c>
      <c r="AB206" s="3">
        <f>1177.8+(53.6-641)+(-1.802034+(-0.082008--0.98073))+0-0-0</f>
        <v>589.49668799999995</v>
      </c>
      <c r="AC206" s="3">
        <f>1173.1+(20-648.5)+(-2.991405+(-0.051--1.653675))+0-0-0</f>
        <v>543.2112699999999</v>
      </c>
      <c r="AD206">
        <v>695.10000000000014</v>
      </c>
      <c r="AE206" s="3">
        <f>1188+(94.9-587.8)+(0+(0-0))+0-0-0</f>
        <v>695.1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1184.6+(3.4-671.7)+(0+(0-0))+0-0-0</f>
        <v>516.29999999999984</v>
      </c>
      <c r="G207" s="3">
        <f>904.7+(75.1-516.6)+(0+(0-0))+0-0-0</f>
        <v>463.20000000000005</v>
      </c>
      <c r="H207" s="3">
        <f>885.1+(78.4-513.4)+(0.451401+(0.039984-0.261834))+0-0-0</f>
        <v>450.32955100000004</v>
      </c>
      <c r="I207" s="3">
        <f>879.5+(77.6-511.4)+(-0.89709+(-0.079152--0.521628))+0-0-0</f>
        <v>445.24538600000005</v>
      </c>
      <c r="J207" s="3">
        <f>883.6+(79.5-524.1)+(0+(0-0))+0-0-0</f>
        <v>439</v>
      </c>
      <c r="K207" s="3">
        <f>872.9+(86.6-512.9)+(-2.225895+(-0.22083--1.307895))+0-0-0</f>
        <v>445.46117000000004</v>
      </c>
      <c r="L207" s="3">
        <f>882.5+(82.1-533.1)+(-0.90015+(-0.083742--0.543762))+0-0-0</f>
        <v>431.05986999999999</v>
      </c>
      <c r="M207" s="3">
        <f>871.2+(100.7-533.8)+(1.332936+(0.154071-0.816714))+0-0-0</f>
        <v>438.77029300000009</v>
      </c>
      <c r="N207" s="3">
        <f>1028.2+(117.8-574.7)+(0+(0-0))+0-0-0</f>
        <v>571.29999999999995</v>
      </c>
      <c r="O207" s="3">
        <f>1170.4+(86.9-649.8)+(-1.193808+(-0.088638--0.662796))+0-0-0</f>
        <v>606.88035000000013</v>
      </c>
      <c r="P207" s="3">
        <f>1146.4+(117.6-618.6)+(1.169328+(0.119952-0.630972))+0-0-0</f>
        <v>646.05830800000012</v>
      </c>
      <c r="Q207" s="3">
        <f>1062.6+(112.5-573.1)+(-1.625778+(-0.172125--0.876843))+0-0-0</f>
        <v>601.07893999999987</v>
      </c>
      <c r="R207" s="3">
        <f>1052.2+(117.2-572.9)+(-0.536622+(-0.059772--0.292179))+0-0-0</f>
        <v>596.195785</v>
      </c>
      <c r="S207" s="3">
        <f>1030.6+(140.5-579.9)+(1.051212+(0.14331-0.591498))+0-0-0</f>
        <v>591.80302399999994</v>
      </c>
      <c r="T207" s="3">
        <f>1029.3+(137.6-582)+(0.524943+(0.070176-0.29682))+0-0-0</f>
        <v>585.19829900000002</v>
      </c>
      <c r="U207" s="3">
        <f>1019.1+(103.1-562.5)+(-2.598705+(-0.262905--1.434375))+0-0-0</f>
        <v>558.27276500000005</v>
      </c>
      <c r="V207" s="3">
        <f>1051.7+(71.7-573.3)+(-0.536367+(-0.036567--0.292383))+0-0-0</f>
        <v>549.81944900000019</v>
      </c>
      <c r="W207" s="3">
        <f>1112.7+(61-571.1)+(0+(0-0))+0-0-0</f>
        <v>602.6</v>
      </c>
      <c r="X207" s="3">
        <f>1147.2+(118.3-582.3)+(-1.755216+(-0.180999--0.890919))+0-0-0</f>
        <v>682.15470400000004</v>
      </c>
      <c r="Y207" s="3">
        <f>1165.2+(116.6-606.3)+(-2.377008+(-0.237864--1.236852))+0-0-0</f>
        <v>674.12198000000012</v>
      </c>
      <c r="Z207" s="3">
        <f>1158.6+(95.8-601)+(-2.95443+(-0.24429--1.53255))+0-0-0</f>
        <v>651.7338299999999</v>
      </c>
      <c r="AA207" s="3">
        <f>1169.4+(81.4-629.5)+(-1.192788+(-0.083028--0.64209))+0-0-0</f>
        <v>620.66627400000004</v>
      </c>
      <c r="AB207" s="3">
        <f>1167.6+(60.7-631.5)+(-0.595476+(-0.030957--0.322065))+0-0-0</f>
        <v>596.495632</v>
      </c>
      <c r="AC207" s="3">
        <f>1167+(35.9-635.1)+(-0.59517+(-0.018309--0.323901))+0-0-0</f>
        <v>567.51042199999995</v>
      </c>
      <c r="AD207">
        <v>668</v>
      </c>
      <c r="AE207" s="3">
        <f>1165+(119.8-616.8)+(0+(0-0))+0-0-0</f>
        <v>668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1167.2+(0-671.1)+(0+(0-0))+0-0-0</f>
        <v>496.1</v>
      </c>
      <c r="G208" s="3">
        <f>1083.4+(8.5-664.2)+(0+(0-0))+0-0-0</f>
        <v>427.70000000000005</v>
      </c>
      <c r="H208" s="3">
        <f>880.6+(96.5-581.1)+(0.449106+(0.049215-0.296361))+0-0-0</f>
        <v>396.20195999999999</v>
      </c>
      <c r="I208" s="3">
        <f>879.7+(78.4-577.5)+(0+(0-0))+0-0-0</f>
        <v>380.6</v>
      </c>
      <c r="J208" s="3">
        <f>882.1+(68-581.4)+(0.899742+(0.06936-0.593028))+0-0-0</f>
        <v>369.07607400000006</v>
      </c>
      <c r="K208" s="3">
        <f>876.3+(76.2-577.4)+(-0.893826+(-0.077724--0.588948))+0-0-0</f>
        <v>374.71739799999995</v>
      </c>
      <c r="L208" s="3">
        <f>875.2+(59.9-585.7)+(-0.892704+(-0.061098--0.597414))+0-0-0</f>
        <v>349.043612</v>
      </c>
      <c r="M208" s="3">
        <f>901.3+(68.8-612.9)+(1.378989+(0.105264-0.937737))+0-0-0</f>
        <v>357.74651599999993</v>
      </c>
      <c r="N208" s="3">
        <f>1165.6+(0-771.9)+(0.594456+(0-0.393669))+0-0-0</f>
        <v>393.90078699999992</v>
      </c>
      <c r="O208" s="3">
        <f>1162.4+(9.4-740.9)+(-1.185648+(-0.009588--0.755718))+0-0-0</f>
        <v>430.46048200000007</v>
      </c>
      <c r="P208" s="3">
        <f>1168.3+(11.4-719.3)+(0+(0-0))+0-0-0</f>
        <v>460.4</v>
      </c>
      <c r="Q208" s="3">
        <f>1154.8+(9.5-702.3)+(-2.94474+(-0.024225--1.790865))+0-0-0</f>
        <v>460.82190000000003</v>
      </c>
      <c r="R208" s="3">
        <f>1155.2+(0-680)+(-1.767456+(0--1.0404))+0-0-0</f>
        <v>474.47294400000004</v>
      </c>
      <c r="S208" s="3">
        <f>1169.2+(0-711.6)+(1.192584+(0-0.725832))+0-0-0</f>
        <v>458.06675200000001</v>
      </c>
      <c r="T208" s="3">
        <f>1150.3+(1.1-711.2)+(-3.519918+(-0.003366--2.176272))+0-0-0</f>
        <v>438.85298799999993</v>
      </c>
      <c r="U208" s="3">
        <f>1084.5+(0-643.5)+(0+(0-0))+0-0-0</f>
        <v>441</v>
      </c>
      <c r="V208" s="3">
        <f>1077+(1.5-622.1)+(0+(0-0))+0-0-0</f>
        <v>456.4</v>
      </c>
      <c r="W208" s="3">
        <f>1132.2+(0-624.3)+(0.577422+(0-0.318393))+0-0-0</f>
        <v>508.15902900000009</v>
      </c>
      <c r="X208" s="3">
        <f>1186+(45.3-635.7)+(-1.81458+(-0.069309--0.972621))+0-0-0</f>
        <v>594.68873199999996</v>
      </c>
      <c r="Y208" s="3">
        <f>1188.4+(61.3-647.4)+(-1.818252+(-0.093789--0.990522))+0-0-0</f>
        <v>601.37848100000008</v>
      </c>
      <c r="Z208" s="3">
        <f>1191.8+(65.3-657.3)+(0.607818+(0.033303-0.335223))+0-0-0</f>
        <v>600.10589799999991</v>
      </c>
      <c r="AA208" s="3">
        <f>1189.1+(53.9-661.2)+(0+(0-0))+0-0-0</f>
        <v>581.79999999999984</v>
      </c>
      <c r="AB208" s="3">
        <f>1181.7+(50.3-671.8)+(-1.808001+(-0.076959--1.027854))+0-0-0</f>
        <v>559.342894</v>
      </c>
      <c r="AC208" s="3">
        <f>1172.6+(4.4-650.4)+(-2.99013+(-0.01122--1.65852))+0-0-0</f>
        <v>525.25716999999986</v>
      </c>
      <c r="AD208">
        <v>566.09999999999991</v>
      </c>
      <c r="AE208" s="3">
        <f>1186+(55.8-675.7)+(0+(0-0))+0-0-0</f>
        <v>566.09999999999991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1071.8+(4.8-602.8)+(-2.73309+(-0.01224--1.53714))+0-0-0</f>
        <v>472.59180999999995</v>
      </c>
      <c r="G209" s="3">
        <f>889.7+(38.5-490.2)+(-1.814988+(-0.07854--1.000008))+0-0-0</f>
        <v>437.10648000000003</v>
      </c>
      <c r="H209" s="3">
        <f>872.5+(28.5-481)+(-1.334925+(-0.043605--0.73593))+0-0-0</f>
        <v>419.35739999999998</v>
      </c>
      <c r="I209" s="3">
        <f>876.6+(31-497.4)+(0+(0-0))+0-0-0</f>
        <v>410.20000000000005</v>
      </c>
      <c r="J209" s="3">
        <f>872.9+(33.4-490.4)+(-1.335537+(-0.051102--0.750312))+0-0-0</f>
        <v>415.26367299999998</v>
      </c>
      <c r="K209" s="3">
        <f>873.2+(33.9-492)+(-1.335996+(-0.051867--0.75276))+0-0-0</f>
        <v>414.46489700000001</v>
      </c>
      <c r="L209" s="3">
        <f>879+(46.4-503.4)+(0+(0-0))+0-0-0</f>
        <v>422</v>
      </c>
      <c r="M209" s="3">
        <f>1055.7+(19.9-607)+(0.538407+(0.010149-0.30957))+0-0-0</f>
        <v>468.83898600000003</v>
      </c>
      <c r="N209" s="3">
        <f>1184.7+(12.8-672.8)+(0.604197+(0.006528-0.343128))+0-0-0</f>
        <v>524.96759700000007</v>
      </c>
      <c r="O209" s="3">
        <f>1178+(23.2-643)+(1.20156+(0.023664-0.65586))+0-0-0</f>
        <v>558.769364</v>
      </c>
      <c r="P209" s="3">
        <f>1158.9+(18.6-634.8)+(-0.591039+(-0.009486--0.323748))+0-0-0</f>
        <v>542.42322300000012</v>
      </c>
      <c r="Q209" s="3">
        <f>1153.5+(69.4-634.4)+(-1.17657+(-0.070788--0.647088))+0-0-0</f>
        <v>587.89972999999998</v>
      </c>
      <c r="R209" s="3">
        <f>1163.2+(66.8-685.9)+(0+(0-0))+0-0-0</f>
        <v>544.1</v>
      </c>
      <c r="S209" s="3">
        <f>1159.6+(57.2-701.9)+(-0.591396+(-0.029172--0.357969))+0-0-0</f>
        <v>514.63740099999995</v>
      </c>
      <c r="T209" s="3">
        <f>1156.5+(53.6-711.5)+(0+(0-0))+0-0-0</f>
        <v>498.6</v>
      </c>
      <c r="U209" s="3">
        <f>1145+(51.2-694.5)+(-1.75185+(-0.078336--1.062585))+0-0-0</f>
        <v>500.93239900000003</v>
      </c>
      <c r="V209" s="3">
        <f>1141.7+(63-700.2)+(-1.746801+(-0.09639--1.071306))+0-0-0</f>
        <v>503.728115</v>
      </c>
      <c r="W209" s="3">
        <f>1151+(62.7-666.9)+(0+(0-0))+0-0-0</f>
        <v>546.80000000000007</v>
      </c>
      <c r="X209" s="3">
        <f>1172.9+(64.5-593.9)+(-2.392716+(-0.13158--1.211556))+0-0-0</f>
        <v>642.18726000000015</v>
      </c>
      <c r="Y209" s="3">
        <f>1173.7+(62.9-586.2)+(0+(0-0))+0-0-0</f>
        <v>650.4</v>
      </c>
      <c r="Z209" s="3">
        <f>1158+(69.2-587.5)+(-2.36232+(-0.141168--1.1985))+0-0-0</f>
        <v>638.39501200000007</v>
      </c>
      <c r="AA209" s="3">
        <f>1165.4+(73.5-625.3)+(-0.594354+(-0.037485--0.318903))+0-0-0</f>
        <v>613.2870640000001</v>
      </c>
      <c r="AB209" s="3">
        <f>1154+(70.6-641.4)+(-2.9427+(-0.18003--1.63557))+0-0-0</f>
        <v>581.71284000000003</v>
      </c>
      <c r="AC209" s="3">
        <f>1158+(73.2-694.3)+(-0.59058+(-0.037332--0.354093))+0-0-0</f>
        <v>536.62618100000009</v>
      </c>
      <c r="AD209">
        <v>643.39999999999986</v>
      </c>
      <c r="AE209" s="3">
        <f>1195+(60.6-612.2)+(0+(0-0))+0-0-0</f>
        <v>643.4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1124.2+(63.1-681.2)+(-2.86671+(-0.160905--1.73706))+0-0-0</f>
        <v>504.80944500000004</v>
      </c>
      <c r="G210" s="3">
        <f>1009.4+(57.2-596.8)+(-0.514794+(-0.029172--0.304368))+0-0-0</f>
        <v>469.56040200000007</v>
      </c>
      <c r="H210" s="3">
        <f>926.6+(69.4-544.2)+(-1.417698+(-0.106182--0.832626))+0-0-0</f>
        <v>451.10874599999994</v>
      </c>
      <c r="I210" s="3">
        <f>869.1+(71.4-505)+(-0.443241+(-0.036414--0.25755))+0-0-0</f>
        <v>435.277895</v>
      </c>
      <c r="J210" s="3">
        <f>868.6+(69.1-498.5)+(0+(0-0))+0-0-0</f>
        <v>439.20000000000005</v>
      </c>
      <c r="K210" s="3">
        <f>866.5+(70.4-495.7)+(-1.325745+(-0.107712--0.758421))+0-0-0</f>
        <v>440.52496400000007</v>
      </c>
      <c r="L210" s="3">
        <f>871.8+(66.9-507.8)+(0+(0-0))+0-0-0</f>
        <v>430.9</v>
      </c>
      <c r="M210" s="3">
        <f>1094.7+(12.4-632.9)+(0.558297+(0.006324-0.322779))+0-0-0</f>
        <v>474.44184200000007</v>
      </c>
      <c r="N210" s="3">
        <f>1173.6+(18.2-659.1)+(0.598536+(0.009282-0.336141))+0-0-0</f>
        <v>532.97167699999989</v>
      </c>
      <c r="O210" s="3">
        <f>1163.1+(43.2-642.9)+(0+(0-0))+0-0-0</f>
        <v>563.4</v>
      </c>
      <c r="P210" s="3">
        <f>1162.5+(61.5-641.3)+(-0.592875+(-0.031365--0.327063))+0-0-0</f>
        <v>582.40282300000001</v>
      </c>
      <c r="Q210" s="3">
        <f>1167+(70.3-637)+(1.19034+(0.071706-0.64974))+0-0-0</f>
        <v>600.91230599999994</v>
      </c>
      <c r="R210" s="3">
        <f>1146.4+(69.8-630.9)+(-2.92332+(-0.17799--1.608795))+0-0-0</f>
        <v>583.80748500000004</v>
      </c>
      <c r="S210" s="3">
        <f>1164+(84.7-676.8)+(0+(0-0))+0-0-0</f>
        <v>571.90000000000009</v>
      </c>
      <c r="T210" s="3">
        <f>1156.4+(79.4-680.5)+(-1.179528+(-0.080988--0.69411))+0-0-0</f>
        <v>554.73359400000004</v>
      </c>
      <c r="U210" s="3">
        <f>1150.8+(64-672.7)+(-2.93454+(-0.1632--1.715385))+0-0-0</f>
        <v>540.71764499999995</v>
      </c>
      <c r="V210" s="3">
        <f>1153+(39.9-647.2)+(-2.94015+(-0.101745--1.65036))+0-0-0</f>
        <v>544.30846499999996</v>
      </c>
      <c r="W210" s="3">
        <f>1166+(27-590.1)+(1.18932+(0.02754-0.601902))+0-0-0</f>
        <v>603.51495799999998</v>
      </c>
      <c r="X210" s="3">
        <f>1177.2+(54-543.7)+(-1.200744+(-0.05508--0.554574))+0-0-0</f>
        <v>686.79875000000004</v>
      </c>
      <c r="Y210" s="3">
        <f>1188+(60.9-552)+(0+(0-0))+0-0-0</f>
        <v>696.9</v>
      </c>
      <c r="Z210" s="3">
        <f>1176.5+(56.8-550.3)+(-0.600015+(-0.028968--0.280653))+0-0-0</f>
        <v>682.65166999999997</v>
      </c>
      <c r="AA210" s="3">
        <f>1166.9+(56.1-569.9)+(-2.380476+(-0.114444--1.162596))+0-0-0</f>
        <v>651.76767600000017</v>
      </c>
      <c r="AB210" s="3">
        <f>1165.2+(54.5-602.7)+(-2.377008+(-0.11118--1.229508))+0-0-0</f>
        <v>615.74131999999997</v>
      </c>
      <c r="AC210" s="3">
        <f>1131.3+(56.9-635.2)+(-3.461778+(-0.174114--1.943712))+0-0-0</f>
        <v>551.30781999999988</v>
      </c>
      <c r="AD210">
        <v>654.70000000000005</v>
      </c>
      <c r="AE210" s="3">
        <f>1186+(51.5-582.8)+(0+(0-0))+0-0-0</f>
        <v>654.70000000000005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996.5+(73.9-570.9)+(-2.541075+(-0.188445--1.455795))+0-0-0</f>
        <v>498.22627499999999</v>
      </c>
      <c r="G211" s="3">
        <f>1012.9+(95-645.3)+(1.549737+(0.14535-0.987309))+0-0-0</f>
        <v>463.30777800000004</v>
      </c>
      <c r="H211" s="3">
        <f>928.4+(108-597.3)+(-2.36742+(-0.2754--1.523115))+0-0-0</f>
        <v>437.98029500000001</v>
      </c>
      <c r="I211" s="3">
        <f>872.1+(65.9-515)+(-1.334313+(-0.100827--0.78795))+0-0-0</f>
        <v>422.35280999999998</v>
      </c>
      <c r="J211" s="3">
        <f>875.2+(52.6-501.3)+(-0.446352+(-0.026826--0.255663))+0-0-0</f>
        <v>426.28248500000007</v>
      </c>
      <c r="K211" s="3">
        <f>878.7+(51.6-495.2)+(0.448137+(0.026316-0.252552))+0-0-0</f>
        <v>435.32190100000008</v>
      </c>
      <c r="L211" s="3">
        <f>878.5+(34.5-480.9)+(0+(0-0))+0-0-0</f>
        <v>432.1</v>
      </c>
      <c r="M211" s="3">
        <f>881.1+(54.6-464.5)+(0.449361+(0.027846-0.236895))+0-0-0</f>
        <v>471.44031200000006</v>
      </c>
      <c r="N211" s="3">
        <f>911.8+(99.8-485.8)+(0.465018+(0.050898-0.247758))+0-0-0</f>
        <v>526.06815799999993</v>
      </c>
      <c r="O211" s="3">
        <f>1156.4+(93.6-685.1)+(-1.769292+(-0.143208--1.048203))+0-0-0</f>
        <v>564.03570300000013</v>
      </c>
      <c r="P211" s="3">
        <f>1169+(110.8-702.2)+(1.19238+(0.113016-0.716244))+0-0-0</f>
        <v>578.18915199999992</v>
      </c>
      <c r="Q211" s="3">
        <f>1159.2+(109.1-675.7)+(0+(0-0))+0-0-0</f>
        <v>592.6</v>
      </c>
      <c r="R211" s="3">
        <f>1151.8+(115.9-685.8)+(-0.587418+(-0.059109--0.349758))+0-0-0</f>
        <v>581.60323099999994</v>
      </c>
      <c r="S211" s="3">
        <f>1139.7+(131.5-691.5)+(-0.581247+(-0.067065--0.352665))+0-0-0</f>
        <v>579.40435300000001</v>
      </c>
      <c r="T211" s="3">
        <f>1141.6+(134.9-730.6)+(0.582216+(0.068799-0.372606))+0-0-0</f>
        <v>546.17840899999987</v>
      </c>
      <c r="U211" s="3">
        <f>1141.2+(132.2-744.9)+(0+(0-0))+0-0-0</f>
        <v>528.5</v>
      </c>
      <c r="V211" s="3">
        <f>1126.7+(86.6-682.7)+(-2.298468+(-0.176664--1.392708))+0-0-0</f>
        <v>529.51757600000008</v>
      </c>
      <c r="W211" s="3">
        <f>1161.5+(89.4-658.2)+(1.777095+(0.136782-1.007046))+0-0-0</f>
        <v>593.60683099999994</v>
      </c>
      <c r="X211" s="3">
        <f>1158.3+(112.7-590.9)+(-3.544398+(-0.344862--1.808154))+0-0-0</f>
        <v>678.01889399999993</v>
      </c>
      <c r="Y211" s="3">
        <f>1181+(118.3-611.9)+(0.60231+(0.060333-0.312069))+0-0-0</f>
        <v>687.75057400000014</v>
      </c>
      <c r="Z211" s="3">
        <f>1173.9+(126.9-625.8)+(-0.598689+(-0.064719--0.319158))+0-0-0</f>
        <v>674.65575000000013</v>
      </c>
      <c r="AA211" s="3">
        <f>1169.9+(133.9-674.4)+(-1.789947+(-0.204867--1.031832))+0-0-0</f>
        <v>628.43701800000008</v>
      </c>
      <c r="AB211" s="3">
        <f>1164.6+(125.7-699.8)+(-2.375784+(-0.256428--1.427592))+0-0-0</f>
        <v>589.29538000000002</v>
      </c>
      <c r="AC211" s="3">
        <f>1168.6+(140.9-774)+(-1.191972+(-0.143718--0.78948))+0-0-0</f>
        <v>534.95378999999991</v>
      </c>
      <c r="AD211">
        <v>658.49999999999989</v>
      </c>
      <c r="AE211" s="3">
        <f>1161+(109.1-611.6)+(0+(0-0))+0-0-0</f>
        <v>658.5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1158.4+(125.5-823.8)+(-2.95392+(-0.320025--2.10069))+0-0-0</f>
        <v>458.92674500000015</v>
      </c>
      <c r="G212" s="3">
        <f>1121.4+(91.6-782.3)+(-0.571914+(-0.046716--0.398973))+0-0-0</f>
        <v>430.48034300000018</v>
      </c>
      <c r="H212" s="3">
        <f>1015.8+(80.8-668.6)+(1.036116+(0.082416-0.681972))+0-0-0</f>
        <v>428.43655999999987</v>
      </c>
      <c r="I212" s="3">
        <f>999.5+(87-657.9)+(-2.03898+(-0.17748--1.342116))+0-0-0</f>
        <v>427.72565600000001</v>
      </c>
      <c r="J212" s="3">
        <f>1008.8+(94.1-674.8)+(0.514488+(0.047991-0.344148))+0-0-0</f>
        <v>428.318331</v>
      </c>
      <c r="K212" s="3">
        <f>1004.4+(84.5-664.8)+(-1.024488+(-0.08619--0.678096))+0-0-0</f>
        <v>423.667418</v>
      </c>
      <c r="L212" s="3">
        <f>1001.4+(58.7-637)+(-1.532142+(-0.089811--0.97461))+0-0-0</f>
        <v>422.45265700000004</v>
      </c>
      <c r="M212" s="3">
        <f>1123.7+(54.6-717.7)+(1.146174+(0.055692-0.732054))+0-0-0</f>
        <v>461.06981200000001</v>
      </c>
      <c r="N212" s="3">
        <f>1158.9+(49.9-698.4)+(0+(0-0))+0-0-0</f>
        <v>510.40000000000009</v>
      </c>
      <c r="O212" s="3">
        <f>1164.1+(80.4-702.2)+(-0.593691+(-0.041004--0.358122))+0-0-0</f>
        <v>542.02342699999986</v>
      </c>
      <c r="P212" s="3">
        <f>1163.9+(83.7-679.8)+(0.593589+(0.042687-0.346698))+0-0-0</f>
        <v>568.08957800000019</v>
      </c>
      <c r="Q212" s="3">
        <f>1140.6+(83.3-633.4)+(-2.90853+(-0.212415--1.61517))+0-0-0</f>
        <v>588.99422499999991</v>
      </c>
      <c r="R212" s="3">
        <f>1140.6+(88.5-633.4)+(-0.581706+(-0.045135--0.323034))+0-0-0</f>
        <v>595.39619299999993</v>
      </c>
      <c r="S212" s="3">
        <f>1140.6+(98.5-632.4)+(0+(0-0))+0-0-0</f>
        <v>606.69999999999993</v>
      </c>
      <c r="T212" s="3">
        <f>1133.5+(132.6-699)+(-1.734255+(-0.202878--1.06947))+0-0-0</f>
        <v>566.23233700000003</v>
      </c>
      <c r="U212" s="3">
        <f>1133.5+(129.1-700)+(0+(0-0))+0-0-0</f>
        <v>562.6</v>
      </c>
      <c r="V212" s="3">
        <f>1123+(127.7-692.4)+(-3.43638+(-0.390762--2.118744))+0-0-0</f>
        <v>556.59160200000008</v>
      </c>
      <c r="W212" s="3">
        <f>1156.5+(123.3-675.8)+(1.17963+(0.125766-0.689316))+0-0-0</f>
        <v>604.61608000000001</v>
      </c>
      <c r="X212" s="3">
        <f>1150.8+(97.5-568)+(-3.521448+(-0.29835--1.73808))+0-0-0</f>
        <v>678.21828199999993</v>
      </c>
      <c r="Y212" s="3">
        <f>1173.6+(107.8-587.1)+(-1.795608+(-0.164934--0.898263))+0-0-0</f>
        <v>693.23772099999996</v>
      </c>
      <c r="Z212" s="3">
        <f>1168.5+(115.3-607.5)+(-2.979675+(-0.294015--1.549125))+0-0-0</f>
        <v>674.57543499999997</v>
      </c>
      <c r="AA212" s="3">
        <f>1175.6+(73.1-605)+(-2.398224+(-0.149124--1.2342))+0-0-0</f>
        <v>642.38685199999998</v>
      </c>
      <c r="AB212" s="3">
        <f>1174+(45.5-624.1)+(-0.59874+(-0.023205--0.318291))+0-0-0</f>
        <v>595.09634599999993</v>
      </c>
      <c r="AC212" s="3">
        <f>1169.5+(56.1-680)+(-0.596445+(-0.028611--0.3468))+0-0-0</f>
        <v>545.32174399999997</v>
      </c>
      <c r="AD212">
        <v>675.7</v>
      </c>
      <c r="AE212" s="3">
        <f>1166+(90.4-580.7)+(0+(0-0))+0-0-0</f>
        <v>675.69999999999993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1150.7+(63.6-700.8)+(-1.760571+(-0.097308--1.072224))+0-0-0</f>
        <v>512.71434500000009</v>
      </c>
      <c r="G213" s="3">
        <f>891.9+(78.8-503.9)+(0.909738+(0.080376-0.513978))+0-0-0</f>
        <v>467.27613600000001</v>
      </c>
      <c r="H213" s="3">
        <f>884+(85.1-512)+(-0.45084+(-0.043401--0.26112))+0-0-0</f>
        <v>456.86687900000004</v>
      </c>
      <c r="I213" s="3">
        <f>885.6+(83.8-525.9)+(1.354968+(0.128214-0.804627))+0-0-0</f>
        <v>444.17855500000007</v>
      </c>
      <c r="J213" s="3">
        <f>881.8+(79.3-516.4)+(0.449718+(0.040443-0.263364))+0-0-0</f>
        <v>444.92679699999997</v>
      </c>
      <c r="K213" s="3">
        <f>871.3+(68.1-487.5)+(-1.777452+(-0.138924--0.9945))+0-0-0</f>
        <v>450.97812399999998</v>
      </c>
      <c r="L213" s="3">
        <f>873.6+(70.7-497.9)+(-1.782144+(-0.144228--1.015716))+0-0-0</f>
        <v>445.48934400000002</v>
      </c>
      <c r="M213" s="3">
        <f>886.1+(86.5-488)+(0.451911+(0.044115-0.24888))+0-0-0</f>
        <v>484.84714600000001</v>
      </c>
      <c r="N213" s="3">
        <f>961.9+(90.5-515.1)+(0+(0-0))+0-0-0</f>
        <v>537.29999999999995</v>
      </c>
      <c r="O213" s="3">
        <f>1005.6+(78.3-503.5)+(-1.025712+(-0.079866--0.51357))+0-0-0</f>
        <v>579.80799200000013</v>
      </c>
      <c r="P213" s="3">
        <f>1006.2+(67.7-486.5)+(-1.026324+(-0.069054--0.49623))+0-0-0</f>
        <v>586.80085200000008</v>
      </c>
      <c r="Q213" s="3">
        <f>1155.2+(59.9-603.6)+(-2.356608+(-0.122196--1.231344))+0-0-0</f>
        <v>610.25253999999995</v>
      </c>
      <c r="R213" s="3">
        <f>1154.6+(59.5-607)+(-1.766538+(-0.091035--0.92871))+0-0-0</f>
        <v>606.17113699999993</v>
      </c>
      <c r="S213" s="3">
        <f>1146.6+(58.1-620.8)+(-1.169532+(-0.059262--0.633216))+0-0-0</f>
        <v>583.30442199999993</v>
      </c>
      <c r="T213" s="3">
        <f>1145.7+(69.2-633.2)+(0+(0-0))+0-0-0</f>
        <v>581.70000000000005</v>
      </c>
      <c r="U213" s="3">
        <f>1138+(57.9-611.1)+(-1.16076+(-0.059058--0.623322))+0-0-0</f>
        <v>584.20350399999995</v>
      </c>
      <c r="V213" s="3">
        <f>1144.2+(56.3-602.5)+(0+(0-0))+0-0-0</f>
        <v>598</v>
      </c>
      <c r="W213" s="3">
        <f>1152.9+(59.6-553.7)+(-0.587979+(-0.030396--0.282387))+0-0-0</f>
        <v>658.46401200000003</v>
      </c>
      <c r="X213" s="3">
        <f>1177.5+(59.7-533.9)+(-3.002625+(-0.152235--1.361445))+0-0-0</f>
        <v>701.50658499999997</v>
      </c>
      <c r="Y213" s="3">
        <f>1186.8+(62.6-558.9)+(-1.815804+(-0.095778--0.855117))+0-0-0</f>
        <v>689.443535</v>
      </c>
      <c r="Z213" s="3">
        <f>1184.8+(63.9-565.7)+(-1.812744+(-0.097767--0.865521))+0-0-0</f>
        <v>681.9550099999999</v>
      </c>
      <c r="AA213" s="3">
        <f>1179.2+(69-594.2)+(-1.804176+(-0.10557--0.909126))+0-0-0</f>
        <v>652.99937999999997</v>
      </c>
      <c r="AB213" s="3">
        <f>1184.2+(56.6-627.8)+(0+(0-0))+0-0-0</f>
        <v>613.00000000000011</v>
      </c>
      <c r="AC213" s="3">
        <f>1167.2+(81.2-671)+(-2.381088+(-0.165648--1.36884))+0-0-0</f>
        <v>576.22210400000006</v>
      </c>
      <c r="AD213">
        <v>662.80000000000007</v>
      </c>
      <c r="AE213" s="3">
        <f>1187+(55.7-579.9)+(0+(0-0))+0-0-0</f>
        <v>662.80000000000007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1164.9+(102.9-754.4)+(-1.782297+(-0.157437--1.154232))+0-0-0</f>
        <v>512.61449800000014</v>
      </c>
      <c r="G214" s="3">
        <f>1057.4+(117.6-710.9)+(-0.539274+(-0.059976--0.362559))+0-0-0</f>
        <v>463.86330900000013</v>
      </c>
      <c r="H214" s="3">
        <f>897.3+(86.6-544.6)+(-2.745738+(-0.264996--1.666476))+0-0-0</f>
        <v>437.95574199999993</v>
      </c>
      <c r="I214" s="3">
        <f>901+(59.8-535.5)+(-1.37853+(-0.091494--0.819315))+0-0-0</f>
        <v>424.64929100000001</v>
      </c>
      <c r="J214" s="3">
        <f>909+(59.5-550)+(0+(0-0))+0-0-0</f>
        <v>418.5</v>
      </c>
      <c r="K214" s="3">
        <f>913.2+(49.2-537.7)+(-0.465732+(-0.025092--0.274227))+0-0-0</f>
        <v>424.48340300000001</v>
      </c>
      <c r="L214" s="3">
        <f>912.1+(39.2-536.7)+(-1.395513+(-0.059976--0.821151))+0-0-0</f>
        <v>413.96566199999995</v>
      </c>
      <c r="M214" s="3">
        <f>952.3+(38.3-550.6)+(0.485673+(0.019533-0.280806))+0-0-0</f>
        <v>440.22439999999989</v>
      </c>
      <c r="N214" s="3">
        <f>1196.8+(12-707.8)+(1.831104+(0.01836-1.082934))+0-0-0</f>
        <v>501.76652999999999</v>
      </c>
      <c r="O214" s="3">
        <f>1184.8+(49.5-700.1)+(0+(0-0))+0-0-0</f>
        <v>534.19999999999993</v>
      </c>
      <c r="P214" s="3">
        <f>1185.8+(50.2-680.3)+(1.209516+(0.051204-0.693906))+0-0-0</f>
        <v>556.26681400000007</v>
      </c>
      <c r="Q214" s="3">
        <f>1180.9+(39.2-652.5)+(-0.602259+(-0.019992--0.332775))+0-0-0</f>
        <v>567.3105240000001</v>
      </c>
      <c r="R214" s="3">
        <f>1180.9+(28.8-651.7)+(-1.806777+(-0.044064--0.997101))+0-0-0</f>
        <v>557.14625999999998</v>
      </c>
      <c r="S214" s="3">
        <f>1170+(35.7-674.9)+(-3.5802+(-0.109242--2.065194))+0-0-0</f>
        <v>529.1757520000001</v>
      </c>
      <c r="T214" s="3">
        <f>1178+(38.4-692.6)+(-1.20156+(-0.039168--0.706452))+0-0-0</f>
        <v>523.26572399999998</v>
      </c>
      <c r="U214" s="3">
        <f>1177+(26.3-685.7)+(-1.80081+(-0.040239--1.049121))+0-0-0</f>
        <v>516.80807199999992</v>
      </c>
      <c r="V214" s="3">
        <f>1174.4+(6.2-647.4)+(-1.796832+(-0.009486--0.990522))+0-0-0</f>
        <v>532.38420400000018</v>
      </c>
      <c r="W214" s="3">
        <f>1177.1+(18.9-588.7)+(-1.800963+(-0.028917--0.900711))+0-0-0</f>
        <v>606.37083099999984</v>
      </c>
      <c r="X214" s="3">
        <f>1174.4+(66.5-569)+(-3.593664+(-0.20349--1.74114))+0-0-0</f>
        <v>669.84398600000009</v>
      </c>
      <c r="Y214" s="3">
        <f>1178.3+(58.7-573.6)+(-1.802799+(-0.089811--0.877608))+0-0-0</f>
        <v>662.384998</v>
      </c>
      <c r="Z214" s="3">
        <f>1185.4+(50-590.8)+(-0.604554+(-0.0255--0.301308))+0-0-0</f>
        <v>644.27125400000011</v>
      </c>
      <c r="AA214" s="3">
        <f>1185.2+(35.8-602.4)+(-1.208904+(-0.036516--0.614448))+0-0-0</f>
        <v>617.96902799999998</v>
      </c>
      <c r="AB214" s="3">
        <f>1036.2+(75-522.5)+(-1.585386+(-0.11475--0.799425))+0-0-0</f>
        <v>587.79928900000004</v>
      </c>
      <c r="AC214" s="3">
        <f>878.4+(98.9-444.3)+(-2.23992+(-0.252195--1.132965))+0-0-0</f>
        <v>531.64085</v>
      </c>
      <c r="AD214">
        <v>642.09999999999991</v>
      </c>
      <c r="AE214" s="3">
        <f>1185+(62.8-605.7)+(0+(0-0))+0-0-0</f>
        <v>642.09999999999991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875.7+(95.5-509.8)+(-1.339821+(-0.146115--0.779994))+0-0-0</f>
        <v>460.69405800000004</v>
      </c>
      <c r="G215" s="3">
        <f>876.5+(85.2-531.4)+(-1.78806+(-0.173808--1.084056))+0-0-0</f>
        <v>429.42218800000001</v>
      </c>
      <c r="H215" s="3">
        <f>865.9+(72.5-525.9)+(-2.208045+(-0.184875--1.341045))+0-0-0</f>
        <v>411.448125</v>
      </c>
      <c r="I215" s="3">
        <f>854.6+(53-510.6)+(-1.743384+(-0.10812--1.041624))+0-0-0</f>
        <v>396.19011999999998</v>
      </c>
      <c r="J215" s="3">
        <f>857.3+(47.4-513.1)+(-0.437223+(-0.024174--0.261681))+0-0-0</f>
        <v>391.40028399999989</v>
      </c>
      <c r="K215" s="3">
        <f>860.3+(61.6-530.5)+(-0.438753+(-0.031416--0.270555))+0-0-0</f>
        <v>391.20038599999998</v>
      </c>
      <c r="L215" s="3">
        <f>860.2+(75.4-569.9)+(0+(0-0))+0-0-0</f>
        <v>365.70000000000005</v>
      </c>
      <c r="M215" s="3">
        <f>864.5+(74.1-553.2)+(-0.440895+(-0.037791--0.282132))+0-0-0</f>
        <v>385.20344599999999</v>
      </c>
      <c r="N215" s="3">
        <f>875.9+(112.8-562.2)+(-0.893418+(-0.115056--0.573444))+0-0-0</f>
        <v>426.06496999999996</v>
      </c>
      <c r="O215" s="3">
        <f>875+(160.9-577)+(-0.8925+(-0.164118--0.58854))+0-0-0</f>
        <v>458.43192199999999</v>
      </c>
      <c r="P215" s="3">
        <f>873.1+(158.2-542.8)+(-1.335843+(-0.242046--0.830484))+0-0-0</f>
        <v>487.75259500000004</v>
      </c>
      <c r="Q215" s="3">
        <f>879.4+(144.8-544.7)+(0+(0-0))+0-0-0</f>
        <v>479.49999999999994</v>
      </c>
      <c r="R215" s="3">
        <f>874.2+(153.3-566.4)+(-1.783368+(-0.312732--1.155456))+0-0-0</f>
        <v>460.15935600000006</v>
      </c>
      <c r="S215" s="3">
        <f>872.9+(153.2-575.3)+(-1.780716+(-0.312528--1.173612))+0-0-0</f>
        <v>449.88036800000003</v>
      </c>
      <c r="T215" s="3">
        <f>879.8+(134.9-574.5)+(-0.897396+(-0.137598--0.58599))+0-0-0</f>
        <v>439.75099599999993</v>
      </c>
      <c r="U215" s="3">
        <f>881.4+(129.8-583.9)+(-0.449514+(-0.066198--0.297789))+0-0-0</f>
        <v>427.08207700000003</v>
      </c>
      <c r="V215" s="3">
        <f>884.8+(123.2-599.2)+(0+(0-0))+0-0-0</f>
        <v>408.7999999999999</v>
      </c>
      <c r="W215" s="3">
        <f>1095.6+(90.4-720.3)+(-1.676268+(-0.138312--1.102059))+0-0-0</f>
        <v>464.98747899999995</v>
      </c>
      <c r="X215" s="3">
        <f>1164.8+(157.1-747.4)+(-2.376192+(-0.320484--1.524696))+0-0-0</f>
        <v>573.32802000000004</v>
      </c>
      <c r="Y215" s="3">
        <f>1146.2+(179.9-741)+(-1.753686+(-0.275247--1.13373))+0-0-0</f>
        <v>584.20479699999999</v>
      </c>
      <c r="Z215" s="3">
        <f>1138.8+(175.9-727.3)+(-2.90394+(-0.448545--1.854615))+0-0-0</f>
        <v>585.90212999999994</v>
      </c>
      <c r="AA215" s="3">
        <f>1138.6+(84.7-662.9)+(-2.322744+(-0.172788--1.352316))+0-0-0</f>
        <v>559.25678399999993</v>
      </c>
      <c r="AB215" s="3">
        <f>1188.3+(42.3-699.6)+(-3.030165+(-0.107865--1.78398))+0-0-0</f>
        <v>529.64594999999986</v>
      </c>
      <c r="AC215" s="3">
        <f>970.5+(83.8-574.4)+(-2.474775+(-0.21369--1.46472))+0-0-0</f>
        <v>478.67625500000003</v>
      </c>
      <c r="AD215">
        <v>587</v>
      </c>
      <c r="AE215" s="3">
        <f>1150+(181-744)+(0+(0-0))+0-0-0</f>
        <v>587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879.5+(80-500)+(-0.89709+(-0.0816--0.51))+0-0-0</f>
        <v>459.03131000000002</v>
      </c>
      <c r="G216" s="3">
        <f>861.7+(78.8-517.5)+(-0.878934+(-0.080376--0.52785))+0-0-0</f>
        <v>422.56854000000004</v>
      </c>
      <c r="H216" s="3">
        <f>850.7+(70.4-510.7)+(-1.735428+(-0.143616--1.041828))+0-0-0</f>
        <v>409.56278400000008</v>
      </c>
      <c r="I216" s="3">
        <f>857+(65.5-503.9)+(-0.87414+(-0.06681--0.513978))+0-0-0</f>
        <v>418.17302800000004</v>
      </c>
      <c r="J216" s="3">
        <f>865.3+(67.7-514.7)+(0.882606+(0.069054-0.524994))+0-0-0</f>
        <v>418.72666599999991</v>
      </c>
      <c r="K216" s="3">
        <f>869.7+(76.6-511.3)+(2.217735+(0.19533-1.303815))+0-0-0</f>
        <v>436.10924999999997</v>
      </c>
      <c r="L216" s="3">
        <f>860.8+(60.9-475.9)+(-0.439008+(-0.031059--0.242709))+0-0-0</f>
        <v>445.57264199999997</v>
      </c>
      <c r="M216" s="3">
        <f>932.8+(25.4-483.5)+(0+(0-0))+0-0-0</f>
        <v>474.69999999999993</v>
      </c>
      <c r="N216" s="3">
        <f>1059.5+(9-551.8)+(-0.540345+(-0.00459--0.281418))+0-0-0</f>
        <v>516.43648300000007</v>
      </c>
      <c r="O216" s="3">
        <f>1148.7+(6.4-595.2)+(-2.343348+(-0.013056--1.214208))+0-0-0</f>
        <v>558.75780399999996</v>
      </c>
      <c r="P216" s="3">
        <f>1139.1+(30.9-589.4)+(-0.580941+(-0.015759--0.300594))+0-0-0</f>
        <v>580.3038939999999</v>
      </c>
      <c r="Q216" s="3">
        <f>1163.5+(34.7-612.9)+(-1.780155+(-0.053091--0.937737))+0-0-0</f>
        <v>584.40449100000012</v>
      </c>
      <c r="R216" s="3">
        <f>1156.4+(36.7-630.7)+(-2.94882+(-0.093585--1.608285))+0-0-0</f>
        <v>560.96588000000008</v>
      </c>
      <c r="S216" s="3">
        <f>1162.9+(15.6-644.7)+(-0.593079+(-0.007956--0.328797))+0-0-0</f>
        <v>533.52776200000005</v>
      </c>
      <c r="T216" s="3">
        <f>1169.1+(5.5-651.3)+(0+(0-0))+0-0-0</f>
        <v>523.29999999999995</v>
      </c>
      <c r="U216" s="3">
        <f>1163.4+(3.5-661.4)+(-0.593334+(-0.001785--0.337314))+0-0-0</f>
        <v>505.24219500000009</v>
      </c>
      <c r="V216" s="3">
        <f>1178.3+(2.1-673.5)+(1.201866+(0.002142-0.68697))+0-0-0</f>
        <v>507.41703799999999</v>
      </c>
      <c r="W216" s="3">
        <f>1205.8+(34.3-659.2)+(1.229916+(0.034986-0.672384))+0-0-0</f>
        <v>581.4925179999999</v>
      </c>
      <c r="X216" s="3">
        <f>1211.5+(96.1-638.8)+(-2.47146+(-0.196044--1.303152))+0-0-0</f>
        <v>667.43564800000001</v>
      </c>
      <c r="Y216" s="3">
        <f>1216.3+(90.9-636.9)+(-2.481252+(-0.185436--1.299276))+0-0-0</f>
        <v>668.93258800000001</v>
      </c>
      <c r="Z216" s="3">
        <f>1209.8+(73.3-611.8)+(-2.467992+(-0.149532--1.248072))+0-0-0</f>
        <v>669.93054799999993</v>
      </c>
      <c r="AA216" s="3">
        <f>1097.3+(89.2-542.9)+(-1.119246+(-0.090984--0.553758))+0-0-0</f>
        <v>642.9435279999999</v>
      </c>
      <c r="AB216" s="3">
        <f>996+(105.3-516.2)+(-2.5398+(-0.268515--1.31631))+0-0-0</f>
        <v>583.60799499999996</v>
      </c>
      <c r="AC216" s="3">
        <f>979.2+(45.5-485.2)+(-0.499392+(-0.023205--0.247452))+0-0-0</f>
        <v>539.22485500000005</v>
      </c>
      <c r="AD216">
        <v>642.5</v>
      </c>
      <c r="AE216" s="3">
        <f>1220+(81.2-658.7)+(0+(0-0))+0-0-0</f>
        <v>642.5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910.3+(32.4-449.9)+(-0.928506+(-0.033048--0.458898))+0-0-0</f>
        <v>492.29734399999995</v>
      </c>
      <c r="G217" s="3">
        <f>782.4+(50.8-376.7)+(-0.798048+(-0.051816--0.384234))+0-0-0</f>
        <v>456.03437000000002</v>
      </c>
      <c r="H217" s="3">
        <f>755.7+(45.6-362.4)+(0+(0-0))+0-0-0</f>
        <v>438.90000000000009</v>
      </c>
      <c r="I217" s="3">
        <f>751+(41.4-355.5)+(0.76602+(0.042228-0.36261))+0-0-0</f>
        <v>437.34563799999995</v>
      </c>
      <c r="J217" s="3">
        <f>749.9+(46-354.3)+(0.382449+(0.02346-0.180693))+0-0-0</f>
        <v>441.82521599999995</v>
      </c>
      <c r="K217" s="3">
        <f>749.7+(49.7-357.1)+(0+(0-0))+0-0-0</f>
        <v>442.3</v>
      </c>
      <c r="L217" s="3">
        <f>693.9+(67.5-323.2)+(1.415556+(0.1377-0.659328))+0-0-0</f>
        <v>439.09392800000001</v>
      </c>
      <c r="M217" s="3">
        <f>699+(79.7-316.1)+(0.71298+(0.081294-0.322422))+0-0-0</f>
        <v>463.07185199999998</v>
      </c>
      <c r="N217" s="3">
        <f>903.8+(37-422.6)+(-0.460938+(-0.01887--0.215526))+0-0-0</f>
        <v>517.93571799999995</v>
      </c>
      <c r="O217" s="3">
        <f>914.6+(67-440.3)+(0.466446+(0.03417-0.224553))+0-0-0</f>
        <v>541.57606299999998</v>
      </c>
      <c r="P217" s="3">
        <f>922.7+(85.2-438.8)+(-1.411731+(-0.130356--0.671364))+0-0-0</f>
        <v>568.22927700000002</v>
      </c>
      <c r="Q217" s="3">
        <f>929.4+(80.2-441.3)+(-0.473994+(-0.040902--0.225063))+0-0-0</f>
        <v>568.01016699999991</v>
      </c>
      <c r="R217" s="3">
        <f>923.7+(73.8-469.1)+(-2.355435+(-0.18819--1.196205))+0-0-0</f>
        <v>527.05258000000003</v>
      </c>
      <c r="S217" s="3">
        <f>934.1+(57.3-491.6)+(-0.476391+(-0.029223--0.250716))+0-0-0</f>
        <v>499.54510199999999</v>
      </c>
      <c r="T217" s="3">
        <f>936.1+(27.6-483.2)+(0+(0-0))+0-0-0</f>
        <v>480.50000000000006</v>
      </c>
      <c r="U217" s="3">
        <f>924.1+(37.2-476)+(-2.827746+(-0.113832--1.45656))+0-0-0</f>
        <v>483.81498199999999</v>
      </c>
      <c r="V217" s="3">
        <f>931.1+(46-479.3)+(-0.474861+(-0.02346--0.244443))+0-0-0</f>
        <v>497.54612200000003</v>
      </c>
      <c r="W217" s="3">
        <f>935.7+(97.6-454.3)+(0+(0-0))+0-0-0</f>
        <v>579</v>
      </c>
      <c r="X217" s="3">
        <f>960.7+(160.2-465.5)+(-2.939742+(-0.490212--1.42443))+0-0-0</f>
        <v>653.39447600000005</v>
      </c>
      <c r="Y217" s="3">
        <f>910.1+(188.1-443)+(-0.928302+(-0.191862--0.45186))+0-0-0</f>
        <v>654.53169600000001</v>
      </c>
      <c r="Z217" s="3">
        <f>901.1+(171.3-441.2)+(-1.838244+(-0.349452--0.900048))+0-0-0</f>
        <v>629.91235200000006</v>
      </c>
      <c r="AA217" s="3">
        <f>903+(131.4-420)+(-1.38159+(-0.201042--0.6426))+0-0-0</f>
        <v>613.459968</v>
      </c>
      <c r="AB217" s="3">
        <f>897.8+(121.6-443.3)+(-1.831512+(-0.248064--0.904332))+0-0-0</f>
        <v>574.92475599999989</v>
      </c>
      <c r="AC217" s="3">
        <f>807.8+(117.6-383.8)+(-1.647912+(-0.239904--0.782952))+0-0-0</f>
        <v>540.49513599999989</v>
      </c>
      <c r="AD217">
        <v>620.6</v>
      </c>
      <c r="AE217" s="3">
        <f>975+(148.7-503.1)+(0+(0-0))+0-0-0</f>
        <v>620.59999999999991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741+(91.4-347.2)+(-0.75582+(-0.093228--0.354144))+0-0-0</f>
        <v>484.70509600000003</v>
      </c>
      <c r="G218" s="3">
        <f>748.6+(71.5-358.2)+(0+(0-0))+0-0-0</f>
        <v>461.90000000000003</v>
      </c>
      <c r="H218" s="3">
        <f>742.5+(64.4-359.7)+(0+(0-0))+0-0-0</f>
        <v>447.20000000000005</v>
      </c>
      <c r="I218" s="3">
        <f>725.1+(62.4-345.4)+(0+(0-0))+0-0-0</f>
        <v>442.1</v>
      </c>
      <c r="J218" s="3">
        <f>727.2+(66.7-353)+(0.370872+(0.034017-0.18003))+0-0-0</f>
        <v>441.12485900000001</v>
      </c>
      <c r="K218" s="3">
        <f>717.2+(76.6-345)+(-1.097316+(-0.117198--0.52785))+0-0-0</f>
        <v>448.11333600000006</v>
      </c>
      <c r="L218" s="3">
        <f>723.9+(82.2-371.3)+(0.369189+(0.041922-0.189363))+0-0-0</f>
        <v>435.02174799999995</v>
      </c>
      <c r="M218" s="3">
        <f>859.6+(53.7-452.2)+(0.438396+(0.027387-0.230622))+0-0-0</f>
        <v>461.33516100000003</v>
      </c>
      <c r="N218" s="3">
        <f>926.6+(51.8-470.1)+(-0.472566+(-0.026418--0.239751))+0-0-0</f>
        <v>508.04076700000002</v>
      </c>
      <c r="O218" s="3">
        <f>944.1+(80.7-489.7)+(0.481491+(0.041157-0.249747))+0-0-0</f>
        <v>535.37290100000007</v>
      </c>
      <c r="P218" s="3">
        <f>952.6+(71.8-474.8)+(0+(0-0))+0-0-0</f>
        <v>549.6</v>
      </c>
      <c r="Q218" s="3">
        <f>935.6+(80.9-467)+(-0.477156+(-0.041259--0.23817))+0-0-0</f>
        <v>549.21975499999996</v>
      </c>
      <c r="R218" s="3">
        <f>929.1+(86.9-484.8)+(-2.369205+(-0.221595--1.23624))+0-0-0</f>
        <v>529.84544000000005</v>
      </c>
      <c r="S218" s="3">
        <f>941.5+(89.9-521.3)+(-2.88099+(-0.275094--1.595178))+0-0-0</f>
        <v>508.53909400000003</v>
      </c>
      <c r="T218" s="3">
        <f>932.2+(92.2-527.6)+(0+(0-0))+0-0-0</f>
        <v>496.8</v>
      </c>
      <c r="U218" s="3">
        <f>923.5+(81.7-514.5)+(-1.412955+(-0.125001--0.787185))+0-0-0</f>
        <v>489.949229</v>
      </c>
      <c r="V218" s="3">
        <f>929.4+(48-478.6)+(-0.473994+(-0.02448--0.244086))+0-0-0</f>
        <v>498.54561199999995</v>
      </c>
      <c r="W218" s="3">
        <f>947.4+(48.9-403.4)+(0+(0-0))+0-0-0</f>
        <v>592.9</v>
      </c>
      <c r="X218" s="3">
        <f>963.1+(73.9-370.7)+(-1.473543+(-0.113067--0.567171))+0-0-0</f>
        <v>665.28056100000003</v>
      </c>
      <c r="Y218" s="3">
        <f>907.9+(86.1-343.4)+(-1.389087+(-0.131733--0.525402))+0-0-0</f>
        <v>649.60458200000005</v>
      </c>
      <c r="Z218" s="3">
        <f>880.4+(97.4-332.9)+(-1.347012+(-0.149022--0.509337))+0-0-0</f>
        <v>643.91330299999993</v>
      </c>
      <c r="AA218" s="3">
        <f>883.3+(103.5-346.5)+(-0.900966+(-0.10557--0.35343))+0-0-0</f>
        <v>639.64689399999997</v>
      </c>
      <c r="AB218" s="3">
        <f>874.7+(100.5-377.2)+(-2.230485+(-0.256275--0.96186))+0-0-0</f>
        <v>596.4751</v>
      </c>
      <c r="AC218" s="3">
        <f>877+(65.2-400.1)+(-0.89454+(-0.066504--0.408102))+0-0-0</f>
        <v>541.54705799999988</v>
      </c>
      <c r="AD218">
        <v>640.80000000000007</v>
      </c>
      <c r="AE218" s="3">
        <f>971+(78.4-408.6)+(0+(0-0))+0-0-0</f>
        <v>640.79999999999995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881.9+(27.1-423)+(-0.449769+(-0.013821--0.21573))+0-0-0</f>
        <v>485.75214</v>
      </c>
      <c r="G219" s="3">
        <f>876+(10.7-435.4)+(-1.78704+(-0.021828--0.888216))+0-0-0</f>
        <v>450.37934799999999</v>
      </c>
      <c r="H219" s="3">
        <f>735.8+(47.8-356.9)+(-1.87629+(-0.12189--0.910095))+0-0-0</f>
        <v>425.61191500000001</v>
      </c>
      <c r="I219" s="3">
        <f>708.4+(53.2-341.6)+(-0.722568+(-0.054264--0.348432))+0-0-0</f>
        <v>419.57159999999993</v>
      </c>
      <c r="J219" s="3">
        <f>711+(52.7-345.4)+(0.36261+(0.026877-0.176154))+0-0-0</f>
        <v>418.51333299999999</v>
      </c>
      <c r="K219" s="3">
        <f>710+(61.9-349.7)+(0.3621+(0.031569-0.178347))+0-0-0</f>
        <v>422.415322</v>
      </c>
      <c r="L219" s="3">
        <f>715.2+(71.2-374.6)+(1.094256+(0.108936-0.573138))+0-0-0</f>
        <v>412.43005399999998</v>
      </c>
      <c r="M219" s="3">
        <f>837.5+(61.3-454)+(-0.427125+(-0.031263--0.23154))+0-0-0</f>
        <v>444.57315199999999</v>
      </c>
      <c r="N219" s="3">
        <f>940.4+(72.2-511.1)+(0.959208+(0.073644-0.521322))+0-0-0</f>
        <v>502.01152999999994</v>
      </c>
      <c r="O219" s="3">
        <f>939+(84.3-531.2)+(-0.95778+(-0.085986--0.541824))+0-0-0</f>
        <v>491.59805799999998</v>
      </c>
      <c r="P219" s="3">
        <f>942.9+(102.7-529.2)+(-1.923516+(-0.209508--1.079568))+0-0-0</f>
        <v>515.34654399999988</v>
      </c>
      <c r="Q219" s="3">
        <f>919.9+(126.2-533.3)+(-0.938298+(-0.128724--0.543966))+0-0-0</f>
        <v>512.27694399999996</v>
      </c>
      <c r="R219" s="3">
        <f>934.5+(130.9-524.8)+(-1.90638+(-0.267036--1.070592))+0-0-0</f>
        <v>539.49717599999997</v>
      </c>
      <c r="S219" s="3">
        <f>956.6+(120.6-567.5)+(-0.487866+(-0.061506--0.289425))+0-0-0</f>
        <v>509.44005300000003</v>
      </c>
      <c r="T219" s="3">
        <f>961.4+(120.4-584.3)+(1.470942+(0.184212-0.893979))+0-0-0</f>
        <v>498.26117499999998</v>
      </c>
      <c r="U219" s="3">
        <f>963.7+(92.4-562)+(-2.457435+(-0.23562--1.4331))+0-0-0</f>
        <v>492.84004500000003</v>
      </c>
      <c r="V219" s="3">
        <f>965.4+(32.6-483.5)+(-0.492354+(-0.016626--0.246585))+0-0-0</f>
        <v>514.23760500000003</v>
      </c>
      <c r="W219" s="3">
        <f>966.4+(52.3-435.6)+(-0.492864+(-0.026673--0.222156))+0-0-0</f>
        <v>582.80261899999994</v>
      </c>
      <c r="X219" s="3">
        <f>971.9+(78-405.9)+(-2.478345+(-0.1989--1.035045))+0-0-0</f>
        <v>642.3578</v>
      </c>
      <c r="Y219" s="3">
        <f>974.4+(89.2-424.3)+(-0.496944+(-0.045492--0.216393))+0-0-0</f>
        <v>638.97395699999993</v>
      </c>
      <c r="Z219" s="3">
        <f>976.2+(107.6-456.9)+(-0.995724+(-0.109752--0.466038))+0-0-0</f>
        <v>626.26056200000005</v>
      </c>
      <c r="AA219" s="3">
        <f>964+(140.8-498.6)+(-1.96656+(-0.287232--1.017144))+0-0-0</f>
        <v>604.9633520000001</v>
      </c>
      <c r="AB219" s="3">
        <f>882+(214.2-520.1)+(-1.34946+(-0.327726--0.795753))+0-0-0</f>
        <v>575.21856699999989</v>
      </c>
      <c r="AC219" s="3">
        <f>879.6+(160.1-512.4)+(-1.794384+(-0.326604--1.045296))+0-0-0</f>
        <v>526.22430800000006</v>
      </c>
      <c r="AD219">
        <v>627.79999999999995</v>
      </c>
      <c r="AE219" s="3">
        <f>967+(89-428.2)+(0+(0-0))+0-0-0</f>
        <v>627.79999999999995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743.1+(128-377.6)+(-1.894905+(-0.3264--0.96288))+0-0-0</f>
        <v>492.24157500000001</v>
      </c>
      <c r="G220" s="3">
        <f>694.8+(113.3-355.7)+(-0.354348+(-0.057783--0.181407))+0-0-0</f>
        <v>452.16927599999997</v>
      </c>
      <c r="H220" s="3">
        <f>694.8+(102.1-356.1)+(-0.354348+(-0.052071--0.181611))+0-0-0</f>
        <v>440.57519199999996</v>
      </c>
      <c r="I220" s="3">
        <f>692.8+(88.8-344.7)+(-0.706656+(-0.090576--0.351594))+0-0-0</f>
        <v>436.454362</v>
      </c>
      <c r="J220" s="3">
        <f>693.8+(78.7-337.5)+(-0.353838+(-0.040137--0.172125))+0-0-0</f>
        <v>434.77814999999993</v>
      </c>
      <c r="K220" s="3">
        <f>692.8+(107-361.3)+(-0.353328+(-0.05457--0.184263))+0-0-0</f>
        <v>438.27636499999994</v>
      </c>
      <c r="L220" s="3">
        <f>692.5+(109.8-368.7)+(-0.70635+(-0.111996--0.376074))+0-0-0</f>
        <v>433.15772800000002</v>
      </c>
      <c r="M220" s="3">
        <f>695.8+(146.9-383.4)+(0+(0-0))+0-0-0</f>
        <v>459.29999999999995</v>
      </c>
      <c r="N220" s="3">
        <f>867.6+(113.4-482.4)+(-0.884952+(-0.115668--0.492048))+0-0-0</f>
        <v>498.09142800000001</v>
      </c>
      <c r="O220" s="3">
        <f>931.2+(79.1-470.6)+(0.949824+(0.080682-0.480012))+0-0-0</f>
        <v>540.250494</v>
      </c>
      <c r="P220" s="3">
        <f>924.9+(89.8-452)+(-1.886796+(-0.183192--0.92208))+0-0-0</f>
        <v>561.55209200000002</v>
      </c>
      <c r="Q220" s="3">
        <f>938.7+(85.3-457.8)+(-0.478737+(-0.043503--0.233478))+0-0-0</f>
        <v>565.91123800000003</v>
      </c>
      <c r="R220" s="3">
        <f>942.3+(80.9-477.1)+(-0.961146+(-0.082518--0.486642))+0-0-0</f>
        <v>545.54297799999995</v>
      </c>
      <c r="S220" s="3">
        <f>939.9+(68.7-474)+(-1.438047+(-0.105111--0.72522))+0-0-0</f>
        <v>533.78206199999988</v>
      </c>
      <c r="T220" s="3">
        <f>943.4+(80.4-485.6)+(0+(0-0))+0-0-0</f>
        <v>538.19999999999993</v>
      </c>
      <c r="U220" s="3">
        <f>946+(127.9-536.8)+(0.48246+(0.065229-0.273768))+0-0-0</f>
        <v>537.373921</v>
      </c>
      <c r="V220" s="3">
        <f>911.5+(129.3-510)+(-0.92973+(-0.131886--0.5202))+0-0-0</f>
        <v>530.25858399999993</v>
      </c>
      <c r="W220" s="3">
        <f>957.6+(78.8-397.5)+(0+(0-0))+0-0-0</f>
        <v>638.90000000000009</v>
      </c>
      <c r="X220" s="3">
        <f>968.1+(64.5-359)+(-1.481193+(-0.098685--0.54927))+0-0-0</f>
        <v>672.56939199999999</v>
      </c>
      <c r="Y220" s="3">
        <f>969.8+(69.3-369.7)+(-0.989196+(-0.070686--0.377094))+0-0-0</f>
        <v>668.71721200000002</v>
      </c>
      <c r="Z220" s="3">
        <f>968.6+(103.6-404.5)+(-0.987972+(-0.105672--0.41259))+0-0-0</f>
        <v>667.01894600000003</v>
      </c>
      <c r="AA220" s="3">
        <f>969.2+(85.7-415.5)+(-0.988584+(-0.087414--0.42381))+0-0-0</f>
        <v>638.74781200000007</v>
      </c>
      <c r="AB220" s="3">
        <f>946.3+(98.1-450.1)+(0+(0-0))+0-0-0</f>
        <v>594.29999999999995</v>
      </c>
      <c r="AC220" s="3">
        <f>895+(83.4-427.8)+(-1.36935+(-0.127602--0.654534))+0-0-0</f>
        <v>549.75758200000007</v>
      </c>
      <c r="AD220">
        <v>631.1</v>
      </c>
      <c r="AE220" s="3">
        <f>963+(80.2-412.1)+(0+(0-0))+0-0-0</f>
        <v>631.09999999999991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904.7+(28-456.8)+(-0.922794+(-0.02856--0.465936))+0-0-0</f>
        <v>475.41458200000005</v>
      </c>
      <c r="G221" s="3">
        <f>920.7+(12.4-482.2)+(-0.469557+(-0.006324--0.245922))+0-0-0</f>
        <v>450.67004100000003</v>
      </c>
      <c r="H221" s="3">
        <f>928.9+(12-512.5)+(1.421217+(0.01836-0.784125))+0-0-0</f>
        <v>429.055452</v>
      </c>
      <c r="I221" s="3">
        <f>925.5+(11-506.2)+(-1.88802+(-0.02244--1.032648))+0-0-0</f>
        <v>429.42218800000001</v>
      </c>
      <c r="J221" s="3">
        <f>970.8+(9.8-554.9)+(0.990216+(0.009996-0.565998))+0-0-0</f>
        <v>426.13421399999993</v>
      </c>
      <c r="K221" s="3">
        <f>964.5+(8.4-545.7)+(-1.475685+(-0.012852--0.834921))+0-0-0</f>
        <v>426.54638399999993</v>
      </c>
      <c r="L221" s="3">
        <f>967.1+(0-556.9)+(-0.986442+(0--0.568038))+0-0-0</f>
        <v>409.78159600000004</v>
      </c>
      <c r="M221" s="3">
        <f>972.5+(8.9-563.9)+(0.495975+(0.004539-0.287589))+0-0-0</f>
        <v>417.71292499999998</v>
      </c>
      <c r="N221" s="3">
        <f>1055.6+(16.3-581.6)+(1.615068+(0.024939-0.889848))+0-0-0</f>
        <v>491.05015899999984</v>
      </c>
      <c r="O221" s="3">
        <f>1070.6+(46.5-585.1)+(0.546006+(0.023715-0.298401))+0-0-0</f>
        <v>532.27131999999983</v>
      </c>
      <c r="P221" s="3">
        <f>1133.4+(27.3-593.1)+(0.578034+(0.013923-0.302481))+0-0-0</f>
        <v>567.88947600000006</v>
      </c>
      <c r="Q221" s="3">
        <f>1166+(26.7-612.5)+(-2.9733+(-0.068085--1.561875))+0-0-0</f>
        <v>578.72049000000004</v>
      </c>
      <c r="R221" s="3">
        <f>1210.7+(9-663)+(-2.469828+(-0.01836--1.35252))+0-0-0</f>
        <v>555.56433200000004</v>
      </c>
      <c r="S221" s="3">
        <f>1207.9+(0-666.4)+(-3.080145+(0--1.69932))+0-0-0</f>
        <v>540.11917500000015</v>
      </c>
      <c r="T221" s="3">
        <f>1223.9+(0-703.3)+(-0.624189+(0--0.358683))+0-0-0</f>
        <v>520.33449400000018</v>
      </c>
      <c r="U221" s="3">
        <f>1120.1+(38.5-632.9)+(-1.713753+(-0.058905--0.968337))+0-0-0</f>
        <v>524.89567899999997</v>
      </c>
      <c r="V221" s="3">
        <f>1040.9+(86.1-606.2)+(-0.530859+(-0.043911--0.309162))+0-0-0</f>
        <v>520.53439200000003</v>
      </c>
      <c r="W221" s="3">
        <f>1099.1+(98.1-618.1)+(0+(0-0))+0-0-0</f>
        <v>579.09999999999991</v>
      </c>
      <c r="X221" s="3">
        <f>1136.7+(66.9-556.4)+(-0.579717+(-0.034119--0.283764))+0-0-0</f>
        <v>646.86992800000007</v>
      </c>
      <c r="Y221" s="3">
        <f>1078.4+(71.6-514.7)+(0.549984+(0.036516-0.262497))+0-0-0</f>
        <v>635.62400300000002</v>
      </c>
      <c r="Z221" s="3">
        <f>1193.6+(20.7-602.2)+(-1.826208+(-0.031671--0.921366))+0-0-0</f>
        <v>611.16348699999992</v>
      </c>
      <c r="AA221" s="3">
        <f>1231.3+(2.6-644.2)+(-0.627963+(-0.001326--0.328542))+0-0-0</f>
        <v>589.39925299999993</v>
      </c>
      <c r="AB221" s="3">
        <f>1232.2+(14.6-697.4)+(-1.256844+(-0.014892--0.711348))+0-0-0</f>
        <v>548.8396120000001</v>
      </c>
      <c r="AC221" s="3">
        <f>1230.3+(0-698.2)+(-1.254906+(0--0.712164))+0-0-0</f>
        <v>531.55725799999993</v>
      </c>
      <c r="AD221">
        <v>653.59999999999991</v>
      </c>
      <c r="AE221" s="3">
        <f>1238+(39.8-624.2)+(0+(0-0))+0-0-0</f>
        <v>653.59999999999991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1227.6+(0-742.4)+(-1.252152+(0--0.757248))+0-0-0</f>
        <v>484.70509599999991</v>
      </c>
      <c r="G222" s="3">
        <f>1241.4+(0-790.6)+(1.266228+(0-0.806412))+0-0-0</f>
        <v>451.25981600000006</v>
      </c>
      <c r="H222" s="3">
        <f>1237.6+(0-791.2)+(0+(0-0))+0-0-0</f>
        <v>446.39999999999986</v>
      </c>
      <c r="I222" s="3">
        <f>1222.3+(0-779.6)+(-1.246746+(0--0.795192))+0-0-0</f>
        <v>442.24844599999994</v>
      </c>
      <c r="J222" s="3">
        <f>1086.7+(0-680.9)+(3.325302+(0-2.083554))+0-0-0</f>
        <v>407.04174800000004</v>
      </c>
      <c r="K222" s="3">
        <f>1071.9+(0-673.1)+(0+(0-0))+0-0-0</f>
        <v>398.80000000000007</v>
      </c>
      <c r="L222" s="3">
        <f>1071.6+(0-677.2)+(-0.546516+(0--0.345372))+0-0-0</f>
        <v>394.19885599999986</v>
      </c>
      <c r="M222" s="3">
        <f>1065.1+(0-688.4)+(-0.543201+(0--0.351084))+0-0-0</f>
        <v>376.50788299999994</v>
      </c>
      <c r="N222" s="3">
        <f>1185.5+(0-775.1)+(1.813815+(0-1.185903))+0-0-0</f>
        <v>411.02791199999996</v>
      </c>
      <c r="O222" s="3">
        <f>1208.8+(0-751.6)+(0.616488+(0-0.383316))+0-0-0</f>
        <v>457.43317199999996</v>
      </c>
      <c r="P222" s="3">
        <f>1200.9+(0-722.5)+(0+(0-0))+0-0-0</f>
        <v>478.40000000000009</v>
      </c>
      <c r="Q222" s="3">
        <f>1195.1+(0-696.9)+(-1.828503+(0--1.066257))+0-0-0</f>
        <v>497.43775399999993</v>
      </c>
      <c r="R222" s="3">
        <f>1199.7+(0-698.9)+(-1.223694+(0--0.712878))+0-0-0</f>
        <v>500.28918400000009</v>
      </c>
      <c r="S222" s="3">
        <f>1197.8+(0-711.4)+(-2.443512+(0--1.451256))+0-0-0</f>
        <v>485.40774399999998</v>
      </c>
      <c r="T222" s="3">
        <f>1196.9+(0-723)+(-1.831257+(0--1.10619))+0-0-0</f>
        <v>473.17493300000007</v>
      </c>
      <c r="U222" s="3">
        <f>1202.8+(0-727.3)+(0+(0-0))+0-0-0</f>
        <v>475.5</v>
      </c>
      <c r="V222" s="3">
        <f>1211.6+(0-722.2)+(0.617916+(0-0.368322))+0-0-0</f>
        <v>489.64959399999987</v>
      </c>
      <c r="W222" s="3">
        <f>1269.7+(0-694.7)+(0+(0-0))+0-0-0</f>
        <v>575</v>
      </c>
      <c r="X222" s="3">
        <f>1315.9+(0-693.5)+(-3.355545+(0--1.768425))+0-0-0</f>
        <v>620.81288000000006</v>
      </c>
      <c r="Y222" s="3">
        <f>1317.5+(11.6-716.5)+(-3.359625+(-0.02958--1.827075))+0-0-0</f>
        <v>611.03787</v>
      </c>
      <c r="Z222" s="3">
        <f>1325.8+(9.8-733)+(-2.704632+(-0.019992--1.49532))+0-0-0</f>
        <v>601.37069599999995</v>
      </c>
      <c r="AA222" s="3">
        <f>1222.3+(2.6-655.1)+(0+(0-0))+0-0-0</f>
        <v>569.79999999999995</v>
      </c>
      <c r="AB222" s="3">
        <f>1199.7+(0-649.1)+(-2.447388+(0--1.324164))+0-0-0</f>
        <v>549.47677599999997</v>
      </c>
      <c r="AC222" s="3">
        <f>1193.8+(0-682.6)+(-3.04419+(0--1.74063))+0-0-0</f>
        <v>509.89643999999993</v>
      </c>
      <c r="AD222">
        <v>572.6</v>
      </c>
      <c r="AE222" s="3">
        <f>1296+(0-723.4)+(0+(0-0))+0-0-0</f>
        <v>572.6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1194.5+(5.5-743.6)+(-2.43678+(-0.01122--1.516944))+0-0-0</f>
        <v>455.46894399999996</v>
      </c>
      <c r="G223" s="3">
        <f>1045.5+(6.9-631.2)+(-0.533205+(-0.003519--0.321912))+0-0-0</f>
        <v>420.98518799999994</v>
      </c>
      <c r="H223" s="3">
        <f>910.7+(6.9-525.9)+(0.464457+(0.003519-0.268209))+0-0-0</f>
        <v>391.89976700000005</v>
      </c>
      <c r="I223" s="3">
        <f>897.8+(8.9-527.4)+(-1.373634+(-0.013617--0.806922))+0-0-0</f>
        <v>378.71967099999995</v>
      </c>
      <c r="J223" s="3">
        <f>900.1+(11.3-525.4)+(-0.459051+(-0.005763--0.267954))+0-0-0</f>
        <v>385.80313999999998</v>
      </c>
      <c r="K223" s="3">
        <f>901.8+(7.2-513)+(0+(0-0))+0-0-0</f>
        <v>395.99999999999994</v>
      </c>
      <c r="L223" s="3">
        <f>793.4+(5.8-400.1)+(0+(0-0))+0-0-0</f>
        <v>399.09999999999997</v>
      </c>
      <c r="M223" s="3">
        <f>843+(10.3-414)+(1.28979+(0.015759-0.63342))+0-0-0</f>
        <v>439.972129</v>
      </c>
      <c r="N223" s="3">
        <f>1088.5+(0-593)+(1.11027+(0-0.60486))+0-0-0</f>
        <v>496.00540999999998</v>
      </c>
      <c r="O223" s="3">
        <f>1090.3+(0-554.2)+(0.556053+(0-0.282642))+0-0-0</f>
        <v>536.37341099999992</v>
      </c>
      <c r="P223" s="3">
        <f>1093.7+(0-535.2)+(1.115574+(0-0.545904))+0-0-0</f>
        <v>559.06966999999997</v>
      </c>
      <c r="Q223" s="3">
        <f>1101.4+(7.9-535.2)+(0.561714+(0.004029-0.272952))+0-0-0</f>
        <v>574.39279099999999</v>
      </c>
      <c r="R223" s="3">
        <f>1238.2+(0-657)+(-1.894446+(0--1.00521))+0-0-0</f>
        <v>580.31076400000006</v>
      </c>
      <c r="S223" s="3">
        <f>1238.5+(0-674.8)+(-0.631635+(0--0.344148))+0-0-0</f>
        <v>563.41251299999999</v>
      </c>
      <c r="T223" s="3">
        <f>1239.4+(0-684.5)+(0+(0-0))+0-0-0</f>
        <v>554.90000000000009</v>
      </c>
      <c r="U223" s="3">
        <f>1214.7+(0-666.1)+(-1.858491+(0--1.019133))+0-0-0</f>
        <v>547.76064200000008</v>
      </c>
      <c r="V223" s="3">
        <f>1124.5+(44-599.5)+(1.720485+(0.06732-0.917235))+0-0-0</f>
        <v>569.87057000000004</v>
      </c>
      <c r="W223" s="3">
        <f>1032.1+(129.8-525.4)+(1.052742+(0.132396-0.535908))+0-0-0</f>
        <v>637.14922999999999</v>
      </c>
      <c r="X223" s="3">
        <f>1121.8+(148.7-596.3)+(-1.716354+(-0.227511--0.912339))+0-0-0</f>
        <v>673.16847400000006</v>
      </c>
      <c r="Y223" s="3">
        <f>1148+(90.2-571.7)+(-0.58548+(-0.046002--0.291567))+0-0-0</f>
        <v>666.16008499999998</v>
      </c>
      <c r="Z223" s="3">
        <f>1145.8+(86.3-583.8)+(-1.168716+(-0.088026--0.595476))+0-0-0</f>
        <v>647.638734</v>
      </c>
      <c r="AA223" s="3">
        <f>1148.1+(68.9-586.4)+(-1.756593+(-0.105417--0.897192))+0-0-0</f>
        <v>629.63518199999987</v>
      </c>
      <c r="AB223" s="3">
        <f>1145.2+(32.4-588.4)+(-2.336208+(-0.066096--1.200336))+0-0-0</f>
        <v>587.99803200000008</v>
      </c>
      <c r="AC223" s="3">
        <f>1144.2+(0-607.3)+(-1.750626+(0--0.929169))+0-0-0</f>
        <v>536.07854300000008</v>
      </c>
      <c r="AD223">
        <v>661.00000000000011</v>
      </c>
      <c r="AE223" s="3">
        <f>1101+(197.4-637.4)+(0+(0-0))+0-0-0</f>
        <v>661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1086.8+(6.6-612.7)+(-0.554268+(-0.003366--0.312477))+0-0-0</f>
        <v>480.45484299999993</v>
      </c>
      <c r="G224" s="3">
        <f>993.8+(14.4-562.6)+(-1.520514+(-0.022032--0.860778))+0-0-0</f>
        <v>444.91823199999993</v>
      </c>
      <c r="H224" s="3">
        <f>774.7+(28.3-380.2)+(0.790194+(0.028866-0.387804))+0-0-0</f>
        <v>423.23125600000009</v>
      </c>
      <c r="I224" s="3">
        <f>776.9+(33.3-389.7)+(0.792438+(0.033966-0.397494))+0-0-0</f>
        <v>420.92890999999997</v>
      </c>
      <c r="J224" s="3">
        <f>769+(51.2-399.9)+(0.39219+(0.026112-0.203949))+0-0-0</f>
        <v>420.51435300000003</v>
      </c>
      <c r="K224" s="3">
        <f>769.3+(47.3-389.8)+(0+(0-0))+0-0-0</f>
        <v>426.79999999999995</v>
      </c>
      <c r="L224" s="3">
        <f>777.7+(41.9-394.5)+(0+(0-0))+0-0-0</f>
        <v>425.1</v>
      </c>
      <c r="M224" s="3">
        <f>788.6+(27.2-354)+(1.608744+(0.055488-0.72216))+0-0-0</f>
        <v>462.74207200000001</v>
      </c>
      <c r="N224" s="3">
        <f>995.7+(4.2-478.7)+(0.507807+(0.002142-0.244137))+0-0-0</f>
        <v>521.46581200000003</v>
      </c>
      <c r="O224" s="3">
        <f>1000+(0-465.1)+(-0.51+(0--0.237201))+0-0-0</f>
        <v>534.62720100000001</v>
      </c>
      <c r="P224" s="3">
        <f>1003+(32.7-457.8)+(1.02306+(0.033354-0.466956))+0-0-0</f>
        <v>578.48945800000001</v>
      </c>
      <c r="Q224" s="3">
        <f>998.6+(32.7-443.1)+(0+(0-0))+0-0-0</f>
        <v>588.20000000000005</v>
      </c>
      <c r="R224" s="3">
        <f>984.9+(21.7-448.5)+(-2.511495+(-0.055335--1.143675))+0-0-0</f>
        <v>556.67684499999996</v>
      </c>
      <c r="S224" s="3">
        <f>996.3+(0-429.6)+(0+(0-0))+0-0-0</f>
        <v>566.69999999999993</v>
      </c>
      <c r="T224" s="3">
        <f>998.3+(0-443.5)+(0.509133+(0-0.226185))+0-0-0</f>
        <v>555.08294799999999</v>
      </c>
      <c r="U224" s="3">
        <f>990.9+(0-438.7)+(-1.010718+(0--0.447474))+0-0-0</f>
        <v>551.63675599999999</v>
      </c>
      <c r="V224" s="3">
        <f>998.6+(0-433)+(1.527858+(0-0.66249))+0-0-0</f>
        <v>566.46536800000001</v>
      </c>
      <c r="W224" s="3">
        <f>1002.1+(52.3-415.1)+(1.022142+(0.053346-0.423402))+0-0-0</f>
        <v>639.95208600000001</v>
      </c>
      <c r="X224" s="3">
        <f>1027.7+(58.9-413.2)+(-1.572381+(-0.090117--0.632196))+0-0-0</f>
        <v>672.36969800000008</v>
      </c>
      <c r="Y224" s="3">
        <f>1017.9+(47.9-388.2)+(-2.076516+(-0.097716--0.791928))+0-0-0</f>
        <v>676.21769599999993</v>
      </c>
      <c r="Z224" s="3">
        <f>1003.8+(47.2-389.8)+(-1.535814+(-0.072216--0.596394))+0-0-0</f>
        <v>660.18836399999998</v>
      </c>
      <c r="AA224" s="3">
        <f>1057.2+(18.7-428)+(-2.156688+(-0.038148--0.87312))+0-0-0</f>
        <v>646.57828400000005</v>
      </c>
      <c r="AB224" s="3">
        <f>1022.8+(19.6-428.5)+(-2.60814+(-0.04998--1.092675))+0-0-0</f>
        <v>612.33455500000002</v>
      </c>
      <c r="AC224" s="3">
        <f>998.2+(9.5-458.2)+(-1.527246+(-0.014535--0.701046))+0-0-0</f>
        <v>548.659265</v>
      </c>
      <c r="AD224">
        <v>691.2</v>
      </c>
      <c r="AE224" s="3">
        <f>1026+(61.7-396.5)+(0+(0-0))+0-0-0</f>
        <v>691.2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980.4+(13.6-498.3)+(-3.000024+(-0.041616--1.524798))+0-0-0</f>
        <v>494.18315799999999</v>
      </c>
      <c r="G225" s="3">
        <f>921.2+(18.2-490.5)+(-1.409436+(-0.027846--0.750465))+0-0-0</f>
        <v>448.21318300000001</v>
      </c>
      <c r="H225" s="3">
        <f>919.6+(22.6-494.8)+(-1.406988+(-0.034578--0.757044))+0-0-0</f>
        <v>446.71547800000002</v>
      </c>
      <c r="I225" s="3">
        <f>869.8+(15.9-454.9)+(-0.887196+(-0.016218--0.463998))+0-0-0</f>
        <v>430.36058399999996</v>
      </c>
      <c r="J225" s="3">
        <f>770.2+(11.3-363)+(1.96401+(0.028815-0.92565))+0-0-0</f>
        <v>419.56717500000008</v>
      </c>
      <c r="K225" s="3">
        <f>767.3+(13.2-361.3)+(0.391323+(0.006732-0.184263))+0-0-0</f>
        <v>419.41379199999994</v>
      </c>
      <c r="L225" s="3">
        <f>767.2+(31.1-371.4)+(-0.391272+(-0.015861--0.189414))+0-0-0</f>
        <v>426.6822810000001</v>
      </c>
      <c r="M225" s="3">
        <f>780+(54.8-395.9)+(0.7956+(0.055896-0.403818))+0-0-0</f>
        <v>439.34767800000003</v>
      </c>
      <c r="N225" s="3">
        <f>902.4+(41-446.6)+(0.460224+(0.02091-0.227766))+0-0-0</f>
        <v>497.05336799999998</v>
      </c>
      <c r="O225" s="3">
        <f>1001+(41.2-508.4)+(1.53153+(0.063036-0.777852))+0-0-0</f>
        <v>534.616714</v>
      </c>
      <c r="P225" s="3">
        <f>999.8+(52.3-501.3)+(1.529694+(0.080019-0.766989))+0-0-0</f>
        <v>551.64272399999993</v>
      </c>
      <c r="Q225" s="3">
        <f>943.4+(64.5-442.2)+(-2.40567+(-0.164475--1.12761))+0-0-0</f>
        <v>564.25746500000002</v>
      </c>
      <c r="R225" s="3">
        <f>936.9+(99.3-481.8)+(-1.911276+(-0.202572--0.982872))+0-0-0</f>
        <v>553.26902399999994</v>
      </c>
      <c r="S225" s="3">
        <f>947.4+(46.2-451.6)+(-1.932696+(-0.094248--0.921264))+0-0-0</f>
        <v>540.89431999999999</v>
      </c>
      <c r="T225" s="3">
        <f>1007.3+(20.8-489.7)+(0.513723+(0.010608-0.249747))+0-0-0</f>
        <v>538.67458399999998</v>
      </c>
      <c r="U225" s="3">
        <f>989.2+(19.6-488.9)+(-3.026952+(-0.059976--1.496034))+0-0-0</f>
        <v>518.30910600000004</v>
      </c>
      <c r="V225" s="3">
        <f>1007.5+(21.6-498.9)+(1.541475+(0.033048-0.763317))+0-0-0</f>
        <v>531.01120600000002</v>
      </c>
      <c r="W225" s="3">
        <f>1013.1+(18.8-419.1)+(2.066724+(0.038352-0.854964))+0-0-0</f>
        <v>614.0501119999999</v>
      </c>
      <c r="X225" s="3">
        <f>1009.3+(50.7-405.4)+(-2.573715+(-0.129285--1.03377))+0-0-0</f>
        <v>652.93076999999994</v>
      </c>
      <c r="Y225" s="3">
        <f>1002.8+(58.3-416.2)+(-2.55714+(-0.148665--1.06131))+0-0-0</f>
        <v>643.25550499999997</v>
      </c>
      <c r="Z225" s="3">
        <f>1008.1+(73.5-445)+(-2.056524+(-0.14994--0.9078))+0-0-0</f>
        <v>635.30133599999999</v>
      </c>
      <c r="AA225" s="3">
        <f>999.7+(60.4-454.6)+(-2.549235+(-0.15402--1.15923))+0-0-0</f>
        <v>603.95597499999997</v>
      </c>
      <c r="AB225" s="3">
        <f>1010.5+(32.8-470.8)+(1.03071+(0.033456-0.480216))+0-0-0</f>
        <v>573.08394999999996</v>
      </c>
      <c r="AC225" s="3">
        <f>988.1+(19.8-461.4)+(-2.015724+(-0.040392--0.941256))+0-0-0</f>
        <v>545.38513999999998</v>
      </c>
      <c r="AD225">
        <v>658.9</v>
      </c>
      <c r="AE225" s="3">
        <f>1000+(60.5-401.6)+(0+(0-0))+0-0-0</f>
        <v>658.9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983.5+(8.8-494.9)+(-2.00634+(-0.017952--1.009596))+0-0-0</f>
        <v>496.38530400000002</v>
      </c>
      <c r="G226" s="3">
        <f>948.3+(10.8-493.4)+(-1.934532+(-0.022032--1.006536))+0-0-0</f>
        <v>464.74997200000001</v>
      </c>
      <c r="H226" s="3">
        <f>862.1+(11.3-435.7)+(0+(0-0))+0-0-0</f>
        <v>437.70000000000005</v>
      </c>
      <c r="I226" s="3">
        <f>855.9+(11.6-428.8)+(-1.746036+(-0.023664--0.874752))+0-0-0</f>
        <v>437.80505199999999</v>
      </c>
      <c r="J226" s="3">
        <f>865.7+(10.7-443)+(1.324521+(0.016371-0.67779))+0-0-0</f>
        <v>434.06310200000001</v>
      </c>
      <c r="K226" s="3">
        <f>864+(14.8-444.7)+(0.44064+(0.007548-0.226797))+0-0-0</f>
        <v>434.32139100000001</v>
      </c>
      <c r="L226" s="3">
        <f>855.4+(11.1-433.9)+(-0.872508+(-0.011322--0.442578))+0-0-0</f>
        <v>432.158748</v>
      </c>
      <c r="M226" s="3">
        <f>963.3+(10.6-498.8)+(0.982566+(0.010812-0.508776))+0-0-0</f>
        <v>475.58460199999996</v>
      </c>
      <c r="N226" s="3">
        <f>995.7+(36.1-503.9)+(1.015614+(0.036822-0.513978))+0-0-0</f>
        <v>528.43845800000008</v>
      </c>
      <c r="O226" s="3">
        <f>993.2+(56.6-481.6)+(1.519596+(0.086598-0.736848))+0-0-0</f>
        <v>569.069346</v>
      </c>
      <c r="P226" s="3">
        <f>974.7+(58.6-450.9)+(-2.485485+(-0.14943--1.149795))+0-0-0</f>
        <v>580.91488000000004</v>
      </c>
      <c r="Q226" s="3">
        <f>974.4+(63.8-456.5)+(-1.490832+(-0.097614--0.698445))+0-0-0</f>
        <v>580.80999900000006</v>
      </c>
      <c r="R226" s="3">
        <f>970.7+(65.6-468.6)+(-1.980228+(-0.133824--0.955944))+0-0-0</f>
        <v>566.54189200000008</v>
      </c>
      <c r="S226" s="3">
        <f>985.7+(71.3-510.9)+(1.005414+(0.072726-0.521118))+0-0-0</f>
        <v>546.6570220000001</v>
      </c>
      <c r="T226" s="3">
        <f>971.7+(85-527.5)+(-1.486701+(-0.13005--0.807075))+0-0-0</f>
        <v>528.39032400000008</v>
      </c>
      <c r="U226" s="3">
        <f>966.2+(95-541)+(-1.478286+(-0.14535--0.82773))+0-0-0</f>
        <v>519.4040940000001</v>
      </c>
      <c r="V226" s="3">
        <f>976.6+(42.6-488.5)+(0.498066+(0.021726-0.249135))+0-0-0</f>
        <v>530.97065700000007</v>
      </c>
      <c r="W226" s="3">
        <f>988.3+(81.4-443.9)+(0.504033+(0.041514-0.226389))+0-0-0</f>
        <v>626.11915799999997</v>
      </c>
      <c r="X226" s="3">
        <f>1000.8+(117.3-437.2)+(-1.531224+(-0.179469--0.668916))+0-0-0</f>
        <v>679.85822299999995</v>
      </c>
      <c r="Y226" s="3">
        <f>993.2+(120.9-444.2)+(-2.53266+(-0.308295--1.13271))+0-0-0</f>
        <v>668.19175500000006</v>
      </c>
      <c r="Z226" s="3">
        <f>998.2+(130.6-459.9)+(-0.509082+(-0.066606--0.234549))+0-0-0</f>
        <v>668.55886100000009</v>
      </c>
      <c r="AA226" s="3">
        <f>991.7+(138.2-479.5)+(-1.517301+(-0.211446--0.733635))+0-0-0</f>
        <v>649.40488800000014</v>
      </c>
      <c r="AB226" s="3">
        <f>988.3+(67.4-452.7)+(-1.512099+(-0.103122--0.692631))+0-0-0</f>
        <v>602.07740999999999</v>
      </c>
      <c r="AC226" s="3">
        <f>985+(45.3-466.4)+(-2.51175+(-0.115515--1.18932))+0-0-0</f>
        <v>562.46205500000008</v>
      </c>
      <c r="AD226">
        <v>664.8</v>
      </c>
      <c r="AE226" s="3">
        <f>1016+(122.5-473.7)+(0+(0-0))+0-0-0</f>
        <v>664.8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987.9+(37.1-545.9)+(-1.007658+(-0.037842--0.556818))+0-0-0</f>
        <v>478.61131800000004</v>
      </c>
      <c r="G227" s="3">
        <f>873.5+(40.1-475.8)+(-0.445485+(-0.020451--0.242658))+0-0-0</f>
        <v>437.57672200000002</v>
      </c>
      <c r="H227" s="3">
        <f>795.9+(60.2-434.8)+(-0.405909+(-0.030702--0.221748))+0-0-0</f>
        <v>421.08513699999997</v>
      </c>
      <c r="I227" s="3">
        <f>727+(80-395.5)+(-0.37077+(-0.0408--0.201705))+0-0-0</f>
        <v>411.29013500000002</v>
      </c>
      <c r="J227" s="3">
        <f>727.4+(83.7-400.7)+(-0.370974+(-0.042687--0.204357))+0-0-0</f>
        <v>410.190696</v>
      </c>
      <c r="K227" s="3">
        <f>734.9+(80.9-405.1)+(0.749598+(0.082518-0.413202))+0-0-0</f>
        <v>411.1189139999999</v>
      </c>
      <c r="L227" s="3">
        <f>732+(84.9-401.6)+(0.37332+(0.043299-0.204816))+0-0-0</f>
        <v>415.51180299999993</v>
      </c>
      <c r="M227" s="3">
        <f>779.2+(78.5-416.1)+(1.192176+(0.120105-0.636633))+0-0-0</f>
        <v>442.27564800000005</v>
      </c>
      <c r="N227" s="3">
        <f>954+(81-540.9)+(0+(0-0))+0-0-0</f>
        <v>494.1</v>
      </c>
      <c r="O227" s="3">
        <f>982+(91-529.2)+(0+(0-0))+0-0-0</f>
        <v>543.79999999999995</v>
      </c>
      <c r="P227" s="3">
        <f>971+(94-547.2)+(0+(0-0))+0-0-0</f>
        <v>517.79999999999995</v>
      </c>
      <c r="Q227" s="3">
        <f>981.9+(85-518.7)+(0+(0-0))+0-0-0</f>
        <v>548.19999999999993</v>
      </c>
      <c r="R227" s="3">
        <f>966.7+(65.7-496.7)+(-0.986034+(-0.067014--0.506634))+0-0-0</f>
        <v>535.15358600000002</v>
      </c>
      <c r="S227" s="3">
        <f>902.1+(86.2-466.7)+(-0.460071+(-0.043962--0.238017))+0-0-0</f>
        <v>521.33398399999999</v>
      </c>
      <c r="T227" s="3">
        <f>902.6+(72.8-454.3)+(-0.460326+(-0.037128--0.231693))+0-0-0</f>
        <v>520.83423900000003</v>
      </c>
      <c r="U227" s="3">
        <f>892.5+(61.3-447.8)+(-1.365525+(-0.093789--0.685134))+0-0-0</f>
        <v>505.22582</v>
      </c>
      <c r="V227" s="3">
        <f>892.2+(66.8-445.7)+(-0.455022+(-0.034068--0.227307))+0-0-0</f>
        <v>513.03821700000003</v>
      </c>
      <c r="W227" s="3">
        <f>927+(104-430.5)+(0+(0-0))+0-0-0</f>
        <v>600.5</v>
      </c>
      <c r="X227" s="3">
        <f>994.2+(120.3-444.4)+(-2.028168+(-0.245412--0.906576))+0-0-0</f>
        <v>668.73299600000018</v>
      </c>
      <c r="Y227" s="3">
        <f>1000.8+(106.4-431.6)+(-1.020816+(-0.108528--0.440232))+0-0-0</f>
        <v>674.91088799999989</v>
      </c>
      <c r="Z227" s="3">
        <f>996.3+(104.4-436.2)+(0+(0-0))+0-0-0</f>
        <v>664.5</v>
      </c>
      <c r="AA227" s="3">
        <f>996.5+(89.3-441.2)+(-1.524645+(-0.136629--0.675036))+0-0-0</f>
        <v>643.61376200000007</v>
      </c>
      <c r="AB227" s="3">
        <f>990.5+(71.9-460.7)+(-1.515465+(-0.110007--0.704871))+0-0-0</f>
        <v>600.77939900000001</v>
      </c>
      <c r="AC227" s="3">
        <f>988.5+(57.9-491.8)+(-1.512405+(-0.088587--0.752454))+0-0-0</f>
        <v>553.75146199999995</v>
      </c>
      <c r="AD227">
        <v>648.19999999999993</v>
      </c>
      <c r="AE227" s="3">
        <f>984+(134.8-470.6)+(0+(0-0))+0-0-0</f>
        <v>648.20000000000005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994.1+(21.8-521.4)+(0+(0-0))+0-0-0</f>
        <v>494.50000000000006</v>
      </c>
      <c r="G228" s="3">
        <f>876+(41.8-462.6)+(-0.89352+(-0.042636--0.471852))+0-0-0</f>
        <v>454.73569599999996</v>
      </c>
      <c r="H228" s="3">
        <f>778.3+(69.4-414.3)+(-1.984665+(-0.17697--1.056465))+0-0-0</f>
        <v>432.29482999999999</v>
      </c>
      <c r="I228" s="3">
        <f>759.4+(73.8-412.5)+(0+(0-0))+0-0-0</f>
        <v>420.7</v>
      </c>
      <c r="J228" s="3">
        <f>758.7+(68.8-414.5)+(0+(0-0))+0-0-0</f>
        <v>413.00000000000006</v>
      </c>
      <c r="K228" s="3">
        <f>761+(70.9-417.7)+(0.38811+(0.036159-0.213027))+0-0-0</f>
        <v>414.41124200000007</v>
      </c>
      <c r="L228" s="3">
        <f>754.8+(77.8-426.1)+(-1.154844+(-0.119034--0.651933))+0-0-0</f>
        <v>405.87805499999996</v>
      </c>
      <c r="M228" s="3">
        <f>841.8+(59.2-464.9)+(-0.429318+(-0.030192--0.237099))+0-0-0</f>
        <v>435.87758899999994</v>
      </c>
      <c r="N228" s="3">
        <f>987.9+(21.7-523.3)+(0.503829+(0.011067-0.266883))+0-0-0</f>
        <v>486.54801300000003</v>
      </c>
      <c r="O228" s="3">
        <f>984.1+(51.2-525.1)+(0.501891+(0.026112-0.267801))+0-0-0</f>
        <v>510.46020199999998</v>
      </c>
      <c r="P228" s="3">
        <f>975.2+(74.8-518.2)+(0.497352+(0.038148-0.264282))+0-0-0</f>
        <v>532.07121799999993</v>
      </c>
      <c r="Q228" s="3">
        <f>965.9+(78.7-495.9)+(0+(0-0))+0-0-0</f>
        <v>548.70000000000005</v>
      </c>
      <c r="R228" s="3">
        <f>964.4+(74.2-501.3)+(-0.491844+(-0.037842--0.255663))+0-0-0</f>
        <v>537.0259769999999</v>
      </c>
      <c r="S228" s="3">
        <f>956.9+(51.5-501.2)+(-1.464057+(-0.078795--0.766836))+0-0-0</f>
        <v>506.42398399999996</v>
      </c>
      <c r="T228" s="3">
        <f>963.2+(36.6-508.5)+(0.982464+(0.037332-0.51867))+0-0-0</f>
        <v>491.80112600000007</v>
      </c>
      <c r="U228" s="3">
        <f>949.5+(52.8-517.4)+(-0.96849+(-0.053856--0.527748))+0-0-0</f>
        <v>484.40540200000004</v>
      </c>
      <c r="V228" s="3">
        <f>958.6+(70-544.4)+(0+(0-0))+0-0-0</f>
        <v>484.20000000000005</v>
      </c>
      <c r="W228" s="3">
        <f>984.3+(99.8-517.1)+(1.003986+(0.101796-0.527442))+0-0-0</f>
        <v>567.57834000000003</v>
      </c>
      <c r="X228" s="3">
        <f>980.3+(112.2-465.9)+(0+(0-0))+0-0-0</f>
        <v>626.59999999999991</v>
      </c>
      <c r="Y228" s="3">
        <f>968.4+(100-432.3)+(-2.963304+(-0.306--1.322838))+0-0-0</f>
        <v>634.15353399999992</v>
      </c>
      <c r="Z228" s="3">
        <f>973.9+(88.1-434.3)+(-0.993378+(-0.089862--0.442986))+0-0-0</f>
        <v>627.0597459999999</v>
      </c>
      <c r="AA228" s="3">
        <f>970.1+(75.5-441.4)+(-1.484253+(-0.115515--0.675342))+0-0-0</f>
        <v>603.27557400000001</v>
      </c>
      <c r="AB228" s="3">
        <f>967.3+(67.4-462.5)+(-1.479969+(-0.103122--0.707625))+0-0-0</f>
        <v>571.32453399999997</v>
      </c>
      <c r="AC228" s="3">
        <f>962.4+(50.4-478.4)+(-2.45412+(-0.12852--1.21992))+0-0-0</f>
        <v>533.03728000000001</v>
      </c>
      <c r="AD228">
        <v>626.20000000000005</v>
      </c>
      <c r="AE228" s="3">
        <f>990+(112.4-476.2)+(0+(0-0))+0-0-0</f>
        <v>626.20000000000005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971.6+(13.2-491.8)+(0+(0-0))+0-0-0</f>
        <v>493</v>
      </c>
      <c r="G229" s="3">
        <f>968.7+(21-535.7)+(-0.494037+(-0.01071--0.273207))+0-0-0</f>
        <v>453.76846</v>
      </c>
      <c r="H229" s="3">
        <f>838.8+(28.2-429.8)+(0+(0-0))+0-0-0</f>
        <v>437.19999999999993</v>
      </c>
      <c r="I229" s="3">
        <f>756.7+(48.8-393.5)+(0+(0-0))+0-0-0</f>
        <v>412.00000000000006</v>
      </c>
      <c r="J229" s="3">
        <f>760.1+(44.7-391.9)+(0.387651+(0.022797-0.199869))+0-0-0</f>
        <v>413.11057900000003</v>
      </c>
      <c r="K229" s="3">
        <f>754.2+(44.6-393)+(-0.769284+(-0.045492--0.40086))+0-0-0</f>
        <v>405.3860840000001</v>
      </c>
      <c r="L229" s="3">
        <f>751.2+(41.9-410.2)+(-1.149336+(-0.064107--0.627606))+0-0-0</f>
        <v>382.31416300000001</v>
      </c>
      <c r="M229" s="3">
        <f>754.9+(42.4-409.4)+(-0.384999+(-0.021624--0.208794))+0-0-0</f>
        <v>387.70217099999996</v>
      </c>
      <c r="N229" s="3">
        <f>889.2+(19.2-505)+(0.453492+(0.009792-0.25755))+0-0-0</f>
        <v>403.60573400000004</v>
      </c>
      <c r="O229" s="3">
        <f>976.8+(11.8-553.9)+(0+(0-0))+0-0-0</f>
        <v>434.69999999999993</v>
      </c>
      <c r="P229" s="3">
        <f>967.9+(48.5-544.2)+(-0.987258+(-0.04947--0.555084))+0-0-0</f>
        <v>471.71835599999991</v>
      </c>
      <c r="Q229" s="3">
        <f>995.2+(55.4-564.3)+(-1.522656+(-0.084762--0.863379))+0-0-0</f>
        <v>485.55596100000008</v>
      </c>
      <c r="R229" s="3">
        <f>1046+(36.4-593.3)+(-1.60038+(-0.055692--0.907749))+0-0-0</f>
        <v>488.351677</v>
      </c>
      <c r="S229" s="3">
        <f>1007.6+(32.1-570.9)+(-1.541628+(-0.049113--0.873477))+0-0-0</f>
        <v>468.08273600000007</v>
      </c>
      <c r="T229" s="3">
        <f>955.5+(37.5-545.1)+(-0.97461+(-0.03825--0.556002))+0-0-0</f>
        <v>447.44314199999997</v>
      </c>
      <c r="U229" s="3">
        <f>853.4+(67-485.8)+(-0.435234+(-0.03417--0.247758))+0-0-0</f>
        <v>434.37835399999994</v>
      </c>
      <c r="V229" s="3">
        <f>850+(72.8-487.9)+(1.3005+(0.111384-0.746487))+0-0-0</f>
        <v>435.56539700000002</v>
      </c>
      <c r="W229" s="3">
        <f>967.3+(98.9-521.5)+(1.479969+(0.151317-0.797895))+0-0-0</f>
        <v>545.53339099999994</v>
      </c>
      <c r="X229" s="3">
        <f>987.1+(103-489.8)+(0.503421+(0.05253-0.249798))+0-0-0</f>
        <v>600.60615299999995</v>
      </c>
      <c r="Y229" s="3">
        <f>985.3+(93.7-487.7)+(0+(0-0))+0-0-0</f>
        <v>591.29999999999995</v>
      </c>
      <c r="Z229" s="3">
        <f>874.7+(109.7-394)+(0.892194+(0.111894-0.40188))+0-0-0</f>
        <v>591.00220800000011</v>
      </c>
      <c r="AA229" s="3">
        <f>854.3+(111.3-389)+(0+(0-0))+0-0-0</f>
        <v>576.59999999999991</v>
      </c>
      <c r="AB229" s="3">
        <f>844.9+(99.5-411.1)+(-0.861798+(-0.10149--0.419322))+0-0-0</f>
        <v>532.756034</v>
      </c>
      <c r="AC229" s="3">
        <f>843+(72.8-421.6)+(-1.28979+(-0.111384--0.645048))+0-0-0</f>
        <v>493.44387399999999</v>
      </c>
      <c r="AD229">
        <v>599.00000000000011</v>
      </c>
      <c r="AE229" s="3">
        <f>985+(101.4-487.4)+(0+(0-0))+0-0-0</f>
        <v>599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852.7+(30-407.1)+(0+(0-0))+0-0-0</f>
        <v>475.6</v>
      </c>
      <c r="G230" s="3">
        <f>757+(37.7-352.1)+(0.77214+(0.038454-0.359142))+0-0-0</f>
        <v>443.05145199999998</v>
      </c>
      <c r="H230" s="3">
        <f>664+(56.3-301.3)+(0+(0-0))+0-0-0</f>
        <v>419</v>
      </c>
      <c r="I230" s="3">
        <f>708.4+(44.5-343.5)+(-0.722568+(-0.04539--0.35037))+0-0-0</f>
        <v>408.98241199999995</v>
      </c>
      <c r="J230" s="3">
        <f>755.2+(23.3-368.1)+(0+(0-0))+0-0-0</f>
        <v>410.40000000000003</v>
      </c>
      <c r="K230" s="3">
        <f>756+(34.7-371.4)+(0.38556+(0.017697-0.189414))+0-0-0</f>
        <v>419.51384300000001</v>
      </c>
      <c r="L230" s="3">
        <f>757.8+(53-380.7)+(-0.772956+(-0.05406--0.388314))+0-0-0</f>
        <v>429.66129799999999</v>
      </c>
      <c r="M230" s="3">
        <f>962+(10.8-507)+(0.49062+(0.005508-0.25857))+0-0-0</f>
        <v>466.03755799999999</v>
      </c>
      <c r="N230" s="3">
        <f>980.7+(18-486.5)+(1.500471+(0.02754-0.744345))+0-0-0</f>
        <v>512.98366600000008</v>
      </c>
      <c r="O230" s="3">
        <f>968.9+(55.7-484.7)+(-0.494139+(-0.028407--0.247197))+0-0-0</f>
        <v>539.62465099999997</v>
      </c>
      <c r="P230" s="3">
        <f>979.5+(82.8-507.2)+(1.498635+(0.126684-0.776016))+0-0-0</f>
        <v>555.94930299999999</v>
      </c>
      <c r="Q230" s="3">
        <f>972.8+(98.5-496.9)+(0+(0-0))+0-0-0</f>
        <v>574.4</v>
      </c>
      <c r="R230" s="3">
        <f>969.6+(94.8-513.7)+(0.494496+(0.048348-0.261987))+0-0-0</f>
        <v>550.98085700000001</v>
      </c>
      <c r="S230" s="3">
        <f>965.8+(128.5-545.2)+(0.985116+(0.13107-0.556104))+0-0-0</f>
        <v>549.66008199999987</v>
      </c>
      <c r="T230" s="3">
        <f>964.9+(119.8-535.8)+(0.984198+(0.122196-0.546516))+0-0-0</f>
        <v>549.45987800000012</v>
      </c>
      <c r="U230" s="3">
        <f>959.7+(112-518.2)+(-0.489447+(-0.05712--0.264282))+0-0-0</f>
        <v>553.217715</v>
      </c>
      <c r="V230" s="3">
        <f>970.5+(101.2-502.6)+(0+(0-0))+0-0-0</f>
        <v>569.09999999999991</v>
      </c>
      <c r="W230" s="3">
        <f>1036.4+(144.4-520.8)+(1.057128+(0.147288-0.531216))+0-0-0</f>
        <v>660.67320000000007</v>
      </c>
      <c r="X230" s="3">
        <f>1120.2+(115-534.5)+(0+(0-0))+0-0-0</f>
        <v>700.7</v>
      </c>
      <c r="Y230" s="3">
        <f>1131+(83.6-516.5)+(0+(0-0))+0-0-0</f>
        <v>698.1</v>
      </c>
      <c r="Z230" s="3">
        <f>977.2+(122.3-402)+(-1.495116+(-0.187119--0.61506))+0-0-0</f>
        <v>696.43282499999998</v>
      </c>
      <c r="AA230" s="3">
        <f>884+(182-426.2)+(-1.35252+(-0.27846--0.652086))+0-0-0</f>
        <v>638.82110599999999</v>
      </c>
      <c r="AB230" s="3">
        <f>919.9+(154-469)+(-1.876596+(-0.31416--0.95676))+0-0-0</f>
        <v>603.66600399999993</v>
      </c>
      <c r="AC230" s="3">
        <f>956.2+(126.7-508.7)+(-2.43831+(-0.323085--1.297185))+0-0-0</f>
        <v>572.73579000000007</v>
      </c>
      <c r="AD230">
        <v>686.7</v>
      </c>
      <c r="AE230" s="3">
        <f>1099+(176.9-589.2)+(0+(0-0))+0-0-0</f>
        <v>686.69999999999993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846.6+(134.3-477.6)+(-0.863532+(-0.136986--0.487152))+0-0-0</f>
        <v>502.78663399999999</v>
      </c>
      <c r="G231" s="3">
        <f>787.7+(95-416.8)+(-2.008635+(-0.24225--1.06284))+0-0-0</f>
        <v>464.71195500000005</v>
      </c>
      <c r="H231" s="3">
        <f>748.1+(82.3-391.7)+(0.381531+(0.041973-0.199767))+0-0-0</f>
        <v>438.92373700000007</v>
      </c>
      <c r="I231" s="3">
        <f>738.3+(89.7-402.1)+(-1.129599+(-0.137241--0.615213))+0-0-0</f>
        <v>425.2483729999999</v>
      </c>
      <c r="J231" s="3">
        <f>752.5+(85.8-402.1)+(1.151325+(0.131274-0.615213))+0-0-0</f>
        <v>436.86738600000001</v>
      </c>
      <c r="K231" s="3">
        <f>740.3+(90.9-400.8)+(-1.510212+(-0.185436--0.817632))+0-0-0</f>
        <v>429.52198399999997</v>
      </c>
      <c r="L231" s="3">
        <f>751.6+(90.5-399.3)+(-1.533264+(-0.18462--0.814572))+0-0-0</f>
        <v>441.89668799999998</v>
      </c>
      <c r="M231" s="3">
        <f>843.7+(65.4-442.7)+(-1.721148+(-0.133416--0.903108))+0-0-0</f>
        <v>465.44854400000008</v>
      </c>
      <c r="N231" s="3">
        <f>963.9+(45.2-443.3)+(-1.966356+(-0.092208--0.904332))+0-0-0</f>
        <v>564.64576799999998</v>
      </c>
      <c r="O231" s="3">
        <f>950.5+(58.3-455.3)+(-1.93902+(-0.118932--0.928812))+0-0-0</f>
        <v>552.37085999999999</v>
      </c>
      <c r="P231" s="3">
        <f>963.3+(68.2-479.4)+(0+(0-0))+0-0-0</f>
        <v>552.09999999999991</v>
      </c>
      <c r="Q231" s="3">
        <f>969.4+(77.9-491)+(-0.988788+(-0.079458--0.50082))+0-0-0</f>
        <v>555.732574</v>
      </c>
      <c r="R231" s="3">
        <f>1102.4+(30.3-582.6)+(-1.124448+(-0.030906--0.594252))+0-0-0</f>
        <v>549.53889800000002</v>
      </c>
      <c r="S231" s="3">
        <f>1120.9+(8.8-591.5)+(-1.143318+(-0.008976--0.60333))+0-0-0</f>
        <v>537.65103600000009</v>
      </c>
      <c r="T231" s="3">
        <f>966.4+(35.5-480.4)+(-0.492864+(-0.018105--0.245004))+0-0-0</f>
        <v>521.23403499999995</v>
      </c>
      <c r="U231" s="3">
        <f>969.1+(48.9-500)+(-0.494241+(-0.024939--0.255))+0-0-0</f>
        <v>517.73581999999999</v>
      </c>
      <c r="V231" s="3">
        <f>974.6+(40.4-476.4)+(0.994092+(0.041208-0.485928))+0-0-0</f>
        <v>539.14937199999997</v>
      </c>
      <c r="W231" s="3">
        <f>974.5+(81.2-452.4)+(-0.99399+(-0.082824--0.461448))+0-0-0</f>
        <v>602.68463399999996</v>
      </c>
      <c r="X231" s="3">
        <f>983+(103.7-493.1)+(-1.50399+(-0.158661--0.754443))+0-0-0</f>
        <v>592.69179199999996</v>
      </c>
      <c r="Y231" s="3">
        <f>982.2+(98.9-484.4)+(-1.001844+(-0.100878--0.494088))+0-0-0</f>
        <v>596.09136599999999</v>
      </c>
      <c r="Z231" s="3">
        <f>983.4+(94.1-481.2)+(-0.501534+(-0.047991--0.245412))+0-0-0</f>
        <v>595.99588699999993</v>
      </c>
      <c r="AA231" s="3">
        <f>978.9+(93.1-495.5)+(-1.497717+(-0.142443--0.758115))+0-0-0</f>
        <v>575.61795500000005</v>
      </c>
      <c r="AB231" s="3">
        <f>980.9+(94.3-531.7)+(-1.000518+(-0.096186--0.542334))+0-0-0</f>
        <v>542.94563000000005</v>
      </c>
      <c r="AC231" s="3">
        <f>979.5+(60.6-516.4)+(-1.99818+(-0.123624--1.053456))+0-0-0</f>
        <v>522.63165200000003</v>
      </c>
      <c r="AD231">
        <v>612.60000000000014</v>
      </c>
      <c r="AE231" s="3">
        <f>992+(98.9-478.3)+(0+(0-0))+0-0-0</f>
        <v>612.6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980.7+(47.2-545.1)+(-0.500157+(-0.024072--0.278001))+0-0-0</f>
        <v>482.55377200000004</v>
      </c>
      <c r="G232" s="3">
        <f>922.9+(60.3-522.6)+(0.470679+(0.030753-0.266526))+0-0-0</f>
        <v>460.83490599999999</v>
      </c>
      <c r="H232" s="3">
        <f>765.6+(93.8-445.1)+(0+(0-0))+0-0-0</f>
        <v>414.3</v>
      </c>
      <c r="I232" s="3">
        <f>759.9+(90.8-434.4)+(-0.775098+(-0.092616--0.443088))+0-0-0</f>
        <v>415.87537400000002</v>
      </c>
      <c r="J232" s="3">
        <f>762.3+(77-441.4)+(0.388773+(0.03927-0.225114))+0-0-0</f>
        <v>398.10292899999996</v>
      </c>
      <c r="K232" s="3">
        <f>754.8+(81.6-442.3)+(-0.769896+(-0.083232--0.451146))+0-0-0</f>
        <v>393.69801799999993</v>
      </c>
      <c r="L232" s="3">
        <f>760.2+(80.4-450.8)+(0.387702+(0.041004-0.229908))+0-0-0</f>
        <v>389.99879800000008</v>
      </c>
      <c r="M232" s="3">
        <f>758.5+(117.2-492.7)+(-0.386835+(-0.059772--0.251277))+0-0-0</f>
        <v>382.80466999999999</v>
      </c>
      <c r="N232" s="3">
        <f>765.9+(157.1-504.5)+(0.781218+(0.160242-0.51459))+0-0-0</f>
        <v>418.92687000000001</v>
      </c>
      <c r="O232" s="3">
        <f>882.7+(142-593.1)+(-0.450177+(-0.07242--0.302481))+0-0-0</f>
        <v>431.379884</v>
      </c>
      <c r="P232" s="3">
        <f>963.8+(137.4-627.1)+(-2.45769+(-0.35037--1.599105))+0-0-0</f>
        <v>472.89104499999991</v>
      </c>
      <c r="Q232" s="3">
        <f>969.5+(131.3-620.9)+(-0.98889+(-0.133926--0.633318))+0-0-0</f>
        <v>479.41050200000001</v>
      </c>
      <c r="R232" s="3">
        <f>966.4+(117.4-606.3)+(-1.971456+(-0.239496--1.236852))+0-0-0</f>
        <v>476.52589999999998</v>
      </c>
      <c r="S232" s="3">
        <f>964+(106.9-608.3)+(-1.96656+(-0.218076--1.240932))+0-0-0</f>
        <v>461.656296</v>
      </c>
      <c r="T232" s="3">
        <f>973.8+(83.9-603)+(-0.496638+(-0.042789--0.30753))+0-0-0</f>
        <v>454.46810299999993</v>
      </c>
      <c r="U232" s="3">
        <f>974.2+(78.3-586.7)+(0+(0-0))+0-0-0</f>
        <v>465.8</v>
      </c>
      <c r="V232" s="3">
        <f>969.6+(72.5-556.5)+(-1.483488+(-0.110925--0.851445))+0-0-0</f>
        <v>484.857032</v>
      </c>
      <c r="W232" s="3">
        <f>981.5+(136.6-522.8)+(-0.500565+(-0.069666--0.266628))+0-0-0</f>
        <v>594.99639700000012</v>
      </c>
      <c r="X232" s="3">
        <f>966.3+(144.4-502.4)+(-1.971252+(-0.294576--1.024896))+0-0-0</f>
        <v>607.05906799999991</v>
      </c>
      <c r="Y232" s="3">
        <f>940.7+(137.1-484.5)+(-1.439271+(-0.209763--0.741285))+0-0-0</f>
        <v>592.3922510000001</v>
      </c>
      <c r="Z232" s="3">
        <f>938+(117.6-473.5)+(-1.43514+(-0.179928--0.724455))+0-0-0</f>
        <v>581.20938699999999</v>
      </c>
      <c r="AA232" s="3">
        <f>936.8+(100.5-466.9)+(-2.38884+(-0.256275--1.190595))+0-0-0</f>
        <v>568.94547999999998</v>
      </c>
      <c r="AB232" s="3">
        <f>941.3+(91.4-488.8)+(-0.960126+(-0.093228--0.498576))+0-0-0</f>
        <v>543.34522199999992</v>
      </c>
      <c r="AC232" s="3">
        <f>797.2+(118.7-410.3)+(-2.03286+(-0.302685--1.046265))+0-0-0</f>
        <v>504.31072</v>
      </c>
      <c r="AD232">
        <v>597.69999999999993</v>
      </c>
      <c r="AE232" s="3">
        <f>976+(164.8-533.1)+(0+(0-0))+0-0-0</f>
        <v>607.70000000000005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760.3+(88.2-405.9)+(-0.775506+(-0.089964--0.414018))+0-0-0</f>
        <v>442.14854799999995</v>
      </c>
      <c r="G233" s="3">
        <f>762.7+(46.1-406.7)+(0+(0-0))+0-0-0</f>
        <v>402.10000000000008</v>
      </c>
      <c r="H233" s="3">
        <f>760.9+(28-407.5)+(-0.776118+(-0.02856--0.41565))+0-0-0</f>
        <v>381.01097199999998</v>
      </c>
      <c r="I233" s="3">
        <f>749.5+(24.8-404.7)+(-1.911225+(-0.06324--1.031985))+0-0-0</f>
        <v>368.65752000000003</v>
      </c>
      <c r="J233" s="3">
        <f>765+(5.5-413.6)+(0.39015+(0.002805-0.210936))+0-0-0</f>
        <v>357.082019</v>
      </c>
      <c r="K233" s="3">
        <f>763+(16-405.4)+(0+(0-0))+0-0-0</f>
        <v>373.6</v>
      </c>
      <c r="L233" s="3">
        <f>767.7+(46.6-419.7)+(0.783054+(0.047532-0.428094))+0-0-0</f>
        <v>395.00249200000007</v>
      </c>
      <c r="M233" s="3">
        <f>911.6+(22.2-505.5)+(0.929832+(0.022644-0.51561))+0-0-0</f>
        <v>428.73686600000002</v>
      </c>
      <c r="N233" s="3">
        <f>964.5+(17.6-507.6)+(0+(0-0))+0-0-0</f>
        <v>474.5</v>
      </c>
      <c r="O233" s="3">
        <f>972.5+(23-479.2)+(0.99195+(0.02346-0.488784))+0-0-0</f>
        <v>516.82662599999992</v>
      </c>
      <c r="P233" s="3">
        <f>1016.4+(51.9-473.2)+(0.518364+(0.026469-0.241332))+0-0-0</f>
        <v>595.40350099999989</v>
      </c>
      <c r="Q233" s="3">
        <f>1009.9+(48.6-477.8)+(0.515049+(0.024786-0.243678))+0-0-0</f>
        <v>580.99615700000004</v>
      </c>
      <c r="R233" s="3">
        <f>957.6+(54.4-468.9)+(-1.953504+(-0.110976--0.956556))+0-0-0</f>
        <v>541.992076</v>
      </c>
      <c r="S233" s="3">
        <f>962.6+(56.4-457.3)+(-1.963704+(-0.115056--0.932892))+0-0-0</f>
        <v>560.5541320000001</v>
      </c>
      <c r="T233" s="3">
        <f>963.3+(33.1-458.6)+(-1.473849+(-0.050643--0.701658))+0-0-0</f>
        <v>536.97716600000001</v>
      </c>
      <c r="U233" s="3">
        <f>969.2+(26.8-456.9)+(-0.494292+(-0.013668--0.233019))+0-0-0</f>
        <v>538.82505900000012</v>
      </c>
      <c r="V233" s="3">
        <f>980.4+(19.4-441.6)+(0.500004+(0.009894-0.225216))+0-0-0</f>
        <v>558.48468199999991</v>
      </c>
      <c r="W233" s="3">
        <f>971.4+(82.5-411.4)+(-0.990828+(-0.08415--0.419628))+0-0-0</f>
        <v>641.84465</v>
      </c>
      <c r="X233" s="3">
        <f>983.2+(81.5-405.9)+(-3.008592+(-0.24939--1.242054))+0-0-0</f>
        <v>656.78407200000004</v>
      </c>
      <c r="Y233" s="3">
        <f>986.7+(58.8-394.6)+(-1.509651+(-0.089964--0.603738))+0-0-0</f>
        <v>649.90412300000014</v>
      </c>
      <c r="Z233" s="3">
        <f>994.7+(40.4-398.2)+(-0.507297+(-0.020604--0.203082))+0-0-0</f>
        <v>636.57518100000004</v>
      </c>
      <c r="AA233" s="3">
        <f>976.6+(36.8-409.2)+(-2.49033+(-0.09384--1.04346))+0-0-0</f>
        <v>602.65929000000006</v>
      </c>
      <c r="AB233" s="3">
        <f>979.5+(34.2-445.6)+(-1.498635+(-0.052326--0.681768))+0-0-0</f>
        <v>567.23080699999991</v>
      </c>
      <c r="AC233" s="3">
        <f>977.6+(28.6-481.8)+(-0.997152+(-0.029172--0.491436))+0-0-0</f>
        <v>523.86511200000007</v>
      </c>
      <c r="AD233">
        <v>653.30000000000007</v>
      </c>
      <c r="AE233" s="3">
        <f>972+(109.9-428.6)+(0+(0-0))+0-0-0</f>
        <v>653.29999999999995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984.8+(10.4-489.4)+(-0.502248+(-0.005304--0.249594))+0-0-0</f>
        <v>505.54204199999998</v>
      </c>
      <c r="G234" s="3">
        <f>914.3+(13.4-460.5)+(-2.331465+(-0.03417--1.174275))+0-0-0</f>
        <v>466.00863999999996</v>
      </c>
      <c r="H234" s="3">
        <f>829.7+(15.9-398.5)+(-0.423147+(-0.008109--0.203235))+0-0-0</f>
        <v>446.87197900000001</v>
      </c>
      <c r="I234" s="3">
        <f>827.2+(9.8-398.8)+(-1.687488+(-0.019992--0.813552))+0-0-0</f>
        <v>437.30607200000003</v>
      </c>
      <c r="J234" s="3">
        <f>831.5+(10.8-413.1)+(-0.424065+(-0.005508--0.210681))+0-0-0</f>
        <v>428.98110800000001</v>
      </c>
      <c r="K234" s="3">
        <f>829.9+(11.2-409)+(-0.423249+(-0.005712--0.20859))+0-0-0</f>
        <v>431.87962899999997</v>
      </c>
      <c r="L234" s="3">
        <f>830.6+(11.1-401.1)+(-0.423606+(-0.005661--0.204561))+0-0-0</f>
        <v>440.375294</v>
      </c>
      <c r="M234" s="3">
        <f>829.9+(7.6-394.4)+(0+(0-0))+0-0-0</f>
        <v>443.1</v>
      </c>
      <c r="N234" s="3">
        <f>899.2+(21.4-412.5)+(-0.458592+(-0.010914--0.210375))+0-0-0</f>
        <v>507.840869</v>
      </c>
      <c r="O234" s="3">
        <f>946.5+(21-429.4)+(-0.96543+(-0.02142--0.437988))+0-0-0</f>
        <v>537.55113800000004</v>
      </c>
      <c r="P234" s="3">
        <f>1020.3+(18.2-472.8)+(0+(0-0))+0-0-0</f>
        <v>565.69999999999993</v>
      </c>
      <c r="Q234" s="3">
        <f>1037.6+(6.6-467.4)+(-0.529176+(-0.003366--0.238374))+0-0-0</f>
        <v>576.50583199999994</v>
      </c>
      <c r="R234" s="3">
        <f>936.7+(32.5-427.8)+(-0.477717+(-0.016575--0.218178))+0-0-0</f>
        <v>541.12388600000008</v>
      </c>
      <c r="S234" s="3">
        <f>889.5+(23.9-413.1)+(-1.360935+(-0.036567--0.632043))+0-0-0</f>
        <v>499.53454099999993</v>
      </c>
      <c r="T234" s="3">
        <f>941.6+(0-406.8)+(0.480216+(0-0.207468))+0-0-0</f>
        <v>535.07274799999993</v>
      </c>
      <c r="U234" s="3">
        <f>972.7+(0-447.7)+(-0.992154+(0--0.456654))+0-0-0</f>
        <v>524.46450000000004</v>
      </c>
      <c r="V234" s="3">
        <f>972.2+(30.7-478.2)+(0+(0-0))+0-0-0</f>
        <v>524.70000000000005</v>
      </c>
      <c r="W234" s="3">
        <f>976.3+(82.9-415.5)+(-0.995826+(-0.084558--0.42381))+0-0-0</f>
        <v>643.04342599999995</v>
      </c>
      <c r="X234" s="3">
        <f>993.3+(70-393.6)+(-1.519749+(-0.1071--0.602208))+0-0-0</f>
        <v>668.67535899999996</v>
      </c>
      <c r="Y234" s="3">
        <f>986.1+(64.2-382.1)+(-2.011644+(-0.130968--0.779484))+0-0-0</f>
        <v>666.83687200000008</v>
      </c>
      <c r="Z234" s="3">
        <f>973.5+(59.6-384.8)+(-0.496485+(-0.030396--0.196248))+0-0-0</f>
        <v>647.96936699999992</v>
      </c>
      <c r="AA234" s="3">
        <f>968.2+(59.2-400.3)+(-1.481346+(-0.090576--0.612459))+0-0-0</f>
        <v>626.14053699999999</v>
      </c>
      <c r="AB234" s="3">
        <f>968.7+(37.7-436.8)+(0+(0-0))+0-0-0</f>
        <v>569.6</v>
      </c>
      <c r="AC234" s="3">
        <f>956.3+(14.2-445.7)+(-2.438565+(-0.03621--1.136535))+0-0-0</f>
        <v>523.46175999999991</v>
      </c>
      <c r="AD234">
        <v>688.09999999999991</v>
      </c>
      <c r="AE234" s="3">
        <f>988+(107.3-407.2)+(0+(0-0))+0-0-0</f>
        <v>688.1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967.8+(8.4-487.1)+(0+(0-0))+0-0-0</f>
        <v>489.09999999999991</v>
      </c>
      <c r="G235" s="3">
        <f>963.3+(14.8-529.2)+(0+(0-0))+0-0-0</f>
        <v>448.89999999999986</v>
      </c>
      <c r="H235" s="3">
        <f>968.1+(19.9-549.6)+(-0.493731+(-0.010149--0.280296))+0-0-0</f>
        <v>438.17641599999996</v>
      </c>
      <c r="I235" s="3">
        <f>917.8+(12.3-503.8)+(0+(0-0))+0-0-0</f>
        <v>426.29999999999995</v>
      </c>
      <c r="J235" s="3">
        <f>791.3+(9.7-400.2)+(0.403563+(0.004947-0.204102))+0-0-0</f>
        <v>401.00440799999996</v>
      </c>
      <c r="K235" s="3">
        <f>798.8+(9.3-402.6)+(2.03694+(0.023715-1.02663))+0-0-0</f>
        <v>406.53402499999993</v>
      </c>
      <c r="L235" s="3">
        <f>787.9+(8.6-371.2)+(-1.205487+(-0.013158--0.567936))+0-0-0</f>
        <v>424.64929100000001</v>
      </c>
      <c r="M235" s="3">
        <f>821.5+(11.6-420.2)+(1.256895+(0.017748-0.642906))+0-0-0</f>
        <v>413.53173700000002</v>
      </c>
      <c r="N235" s="3">
        <f>977.2+(0-493.8)+(1.993488+(0-1.007352))+0-0-0</f>
        <v>484.38613600000002</v>
      </c>
      <c r="O235" s="3">
        <f>1014.7+(0-528.5)+(-0.517497+(0--0.269535))+0-0-0</f>
        <v>485.95203800000007</v>
      </c>
      <c r="P235" s="3">
        <f>1162.7+(0-634.2)+(-0.592977+(0--0.323442))+0-0-0</f>
        <v>528.23046499999998</v>
      </c>
      <c r="Q235" s="3">
        <f>1173.9+(0-607.7)+(0+(0-0))+0-0-0</f>
        <v>566.20000000000005</v>
      </c>
      <c r="R235" s="3">
        <f>1046+(16.5-518.5)+(-2.6673+(-0.042075--1.322175))+0-0-0</f>
        <v>542.61279999999999</v>
      </c>
      <c r="S235" s="3">
        <f>1051.7+(0-529.2)+(-1.609101+(0--0.809676))+0-0-0</f>
        <v>521.70057499999996</v>
      </c>
      <c r="T235" s="3">
        <f>1054.9+(0-537)+(1.613997+(0-0.82161))+0-0-0</f>
        <v>518.69238700000005</v>
      </c>
      <c r="U235" s="3">
        <f>1033.4+(1.9-534)+(-1.054068+(-0.001938--0.54468))+0-0-0</f>
        <v>500.78867400000007</v>
      </c>
      <c r="V235" s="3">
        <f>1045.5+(0-527.9)+(-0.533205+(0--0.269229))+0-0-0</f>
        <v>517.33602400000007</v>
      </c>
      <c r="W235" s="3">
        <f>1197.6+(0-557.7)+(1.221552+(0-0.568854))+0-0-0</f>
        <v>640.55269799999985</v>
      </c>
      <c r="X235" s="3">
        <f>1245.4+(0-561.4)+(-0.635154+(0--0.286314))+0-0-0</f>
        <v>683.65116000000012</v>
      </c>
      <c r="Y235" s="3">
        <f>1143.7+(17.5-481.9)+(0+(0-0))+0-0-0</f>
        <v>679.30000000000007</v>
      </c>
      <c r="Z235" s="3">
        <f>1082.3+(35-461.7)+(-2.207892+(-0.0714--0.941868))+0-0-0</f>
        <v>654.26257599999985</v>
      </c>
      <c r="AA235" s="3">
        <f>1082.7+(34.6-488)+(-1.104354+(-0.035292--0.49776))+0-0-0</f>
        <v>628.65811400000007</v>
      </c>
      <c r="AB235" s="3">
        <f>1094.5+(16-483.3)+(-1.674585+(-0.02448--0.739449))+0-0-0</f>
        <v>626.24038400000006</v>
      </c>
      <c r="AC235" s="3">
        <f>994.6+(22.8-476.4)+(-0.507246+(-0.011628--0.242964))+0-0-0</f>
        <v>540.72409000000005</v>
      </c>
      <c r="AD235">
        <v>666.4</v>
      </c>
      <c r="AE235" s="3">
        <f>1243+(0-576.6)+(0+(0-0))+0-0-0</f>
        <v>666.4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964.6+(10-488.1)+(-0.983892+(-0.0102--0.497862))+0-0-0</f>
        <v>486.00376999999997</v>
      </c>
      <c r="G236" s="3">
        <f>966.1+(11.5-517.4)+(0+(0-0))+0-0-0</f>
        <v>460.20000000000005</v>
      </c>
      <c r="H236" s="3">
        <f>940.6+(12-515)+(1.918824+(0.02448-1.0506))+0-0-0</f>
        <v>438.492704</v>
      </c>
      <c r="I236" s="3">
        <f>909.8+(15-504.7)+(1.855992+(0.0306-1.029588))+0-0-0</f>
        <v>420.95700399999998</v>
      </c>
      <c r="J236" s="3">
        <f>909.4+(17.6-509.6)+(0+(0-0))+0-0-0</f>
        <v>417.4</v>
      </c>
      <c r="K236" s="3">
        <f>945.1+(15.1-540.9)+(1.446003+(0.023103-0.827577))+0-0-0</f>
        <v>419.94152900000006</v>
      </c>
      <c r="L236" s="3">
        <f>966.1+(9-575.7)+(0+(0-0))+0-0-0</f>
        <v>399.4</v>
      </c>
      <c r="M236" s="3">
        <f>967.1+(1.8-568.3)+(0.493221+(0.000918-0.289833))+0-0-0</f>
        <v>400.804306</v>
      </c>
      <c r="N236" s="3">
        <f>967.7+(6.1-550.3)+(0.493527+(0.003111-0.280653))+0-0-0</f>
        <v>423.7159850000001</v>
      </c>
      <c r="O236" s="3">
        <f>970.1+(28-538.6)+(1.484253+(0.04284-0.824058))+0-0-0</f>
        <v>460.203035</v>
      </c>
      <c r="P236" s="3">
        <f>960.2+(30.9-530.5)+(-0.979404+(-0.031518--0.54111))+0-0-0</f>
        <v>460.13018800000003</v>
      </c>
      <c r="Q236" s="3">
        <f>966.1+(26.7-547.3)+(0.985422+(0.027234-0.558246))+0-0-0</f>
        <v>445.95441000000011</v>
      </c>
      <c r="R236" s="3">
        <f>953.9+(11.1-483.2)+(-1.945956+(-0.022644--0.985728))+0-0-0</f>
        <v>480.81712800000003</v>
      </c>
      <c r="S236" s="3">
        <f>963+(0-499.7)+(0+(0-0))+0-0-0</f>
        <v>463.3</v>
      </c>
      <c r="T236" s="3">
        <f>951.6+(0-498.7)+(-1.941264+(0--1.017348))+0-0-0</f>
        <v>451.97608400000001</v>
      </c>
      <c r="U236" s="3">
        <f>956.3+(0-509.7)+(-0.487713+(0--0.259947))+0-0-0</f>
        <v>446.37223399999999</v>
      </c>
      <c r="V236" s="3">
        <f>965.8+(0-513.7)+(-0.492558+(0--0.261987))+0-0-0</f>
        <v>451.86942899999991</v>
      </c>
      <c r="W236" s="3">
        <f>988.7+(43.2-467.5)+(0.504237+(0.022032-0.238425))+0-0-0</f>
        <v>564.68784400000004</v>
      </c>
      <c r="X236" s="3">
        <f>987.7+(59.5-435.9)+(-1.007454+(-0.06069--0.444618))+0-0-0</f>
        <v>610.6764740000001</v>
      </c>
      <c r="Y236" s="3">
        <f>1002.1+(45.9-440.2)+(-0.511071+(-0.023409--0.224502))+0-0-0</f>
        <v>607.49002199999995</v>
      </c>
      <c r="Z236" s="3">
        <f>998.8+(44.9-439.9)+(-1.528164+(-0.068697--0.673047))+0-0-0</f>
        <v>602.87618599999996</v>
      </c>
      <c r="AA236" s="3">
        <f>998.5+(36.1-457.6)+(-0.509235+(-0.018411--0.233376))+0-0-0</f>
        <v>576.70573000000002</v>
      </c>
      <c r="AB236" s="3">
        <f>992.5+(50.7-506)+(-1.518525+(-0.077571--0.77418))+0-0-0</f>
        <v>536.37808400000006</v>
      </c>
      <c r="AC236" s="3">
        <f>984.4+(24.7-504.1)+(-1.004088+(-0.025194--0.514182))+0-0-0</f>
        <v>504.48489999999993</v>
      </c>
      <c r="AD236">
        <v>614.20000000000005</v>
      </c>
      <c r="AE236" s="3">
        <f>994+(59.2-439)+(0+(0-0))+0-0-0</f>
        <v>614.20000000000005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980.9+(1.9-500.4)+(1.000518+(0.001938-0.510408))+0-0-0</f>
        <v>482.89204799999999</v>
      </c>
      <c r="G237" s="3">
        <f>902.9+(10.2-471.7)+(0+(0-0))+0-0-0</f>
        <v>441.4</v>
      </c>
      <c r="H237" s="3">
        <f>828.1+(21.8-429)+(-0.844662+(-0.022236--0.43758))+0-0-0</f>
        <v>420.47068200000001</v>
      </c>
      <c r="I237" s="3">
        <f>826.7+(3.6-427.4)+(-1.264851+(-0.005508--0.653922))+0-0-0</f>
        <v>402.28356300000007</v>
      </c>
      <c r="J237" s="3">
        <f>827.3+(4.2-431.8)+(-0.843846+(-0.004284--0.440436))+0-0-0</f>
        <v>399.29230599999994</v>
      </c>
      <c r="K237" s="3">
        <f>835.7+(3.7-436.2)+(0.426207+(0.001887-0.222462))+0-0-0</f>
        <v>403.40563200000003</v>
      </c>
      <c r="L237" s="3">
        <f>834.4+(3.9-410.5)+(0.425544+(0.001989-0.209355))+0-0-0</f>
        <v>428.01817799999998</v>
      </c>
      <c r="M237" s="3">
        <f>904.1+(12.6-447.5)+(0+(0-0))+0-0-0</f>
        <v>469.20000000000005</v>
      </c>
      <c r="N237" s="3">
        <f>975.5+(54-476.7)+(1.492515+(0.08262-0.729351))+0-0-0</f>
        <v>553.64578399999994</v>
      </c>
      <c r="O237" s="3">
        <f>1004.1+(100.1-544.2)+(0.512091+(0.051051-0.277542))+0-0-0</f>
        <v>560.28560000000004</v>
      </c>
      <c r="P237" s="3">
        <f>1119.6+(42.9-581.2)+(-1.141992+(-0.043758--0.592824))+0-0-0</f>
        <v>580.70707399999981</v>
      </c>
      <c r="Q237" s="3">
        <f>981.1+(77.2-469.9)+(-1.501083+(-0.118116--0.718947))+0-0-0</f>
        <v>587.49974800000007</v>
      </c>
      <c r="R237" s="3">
        <f>964.3+(90.6-502.1)+(-0.491793+(-0.046206--0.256071))+0-0-0</f>
        <v>552.51807199999996</v>
      </c>
      <c r="S237" s="3">
        <f>959.4+(93.3-517.6)+(-0.978588+(-0.095166--0.527952))+0-0-0</f>
        <v>534.55419799999993</v>
      </c>
      <c r="T237" s="3">
        <f>1019.3+(75-574.5)+(0+(0-0))+0-0-0</f>
        <v>519.79999999999995</v>
      </c>
      <c r="U237" s="3">
        <f>1083+(56.1-610)+(1.10466+(0.057222-0.6222))+0-0-0</f>
        <v>529.63968199999999</v>
      </c>
      <c r="V237" s="3">
        <f>1001.1+(50.1-482.5)+(1.021122+(0.051102-0.49215))+0-0-0</f>
        <v>569.28007400000001</v>
      </c>
      <c r="W237" s="3">
        <f>992+(89.8-441)+(1.01184+(0.091596-0.44982))+0-0-0</f>
        <v>641.45361600000001</v>
      </c>
      <c r="X237" s="3">
        <f>1019.2+(94.1-443.4)+(-2.59896+(-0.239955--1.13067))+0-0-0</f>
        <v>668.19175500000006</v>
      </c>
      <c r="Y237" s="3">
        <f>986.5+(92.1-423.4)+(-1.00623+(-0.093942--0.431868))+0-0-0</f>
        <v>654.53169600000001</v>
      </c>
      <c r="Z237" s="3">
        <f>978.2+(86.2-427.6)+(-2.993292+(-0.263772--1.308456))+0-0-0</f>
        <v>634.85139199999992</v>
      </c>
      <c r="AA237" s="3">
        <f>979.3+(82.1-447.2)+(-0.998886+(-0.083742--0.456144))+0-0-0</f>
        <v>613.57351599999993</v>
      </c>
      <c r="AB237" s="3">
        <f>975.8+(62.8-476.8)+(-1.492974+(-0.096084--0.729504))+0-0-0</f>
        <v>560.94044599999995</v>
      </c>
      <c r="AC237" s="3">
        <f>973.6+(56.4-517.2)+(-0.993072+(-0.057528--0.527544))+0-0-0</f>
        <v>512.27694399999996</v>
      </c>
      <c r="AD237">
        <v>660.2</v>
      </c>
      <c r="AE237" s="3">
        <f>1020+(105.7-465.5)+(0+(0-0))+0-0-0</f>
        <v>660.2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967.5+(14-500.1)+(0+(0-0))+0-0-0</f>
        <v>481.4</v>
      </c>
      <c r="G238" s="3">
        <f>829.1+(28.8-417.9)+(-0.845682+(-0.029376--0.426258))+0-0-0</f>
        <v>439.55120000000005</v>
      </c>
      <c r="H238" s="3">
        <f>822.6+(15.3-418.7)+(-0.839052+(-0.015606--0.427074))+0-0-0</f>
        <v>418.77241600000002</v>
      </c>
      <c r="I238" s="3">
        <f>786.9+(28.5-401.1)+(0.802638+(0.02907-0.409122))+0-0-0</f>
        <v>414.72258599999998</v>
      </c>
      <c r="J238" s="3">
        <f>778.8+(25.7-394.8)+(0.397188+(0.013107-0.201348))+0-0-0</f>
        <v>409.90894699999996</v>
      </c>
      <c r="K238" s="3">
        <f>779.8+(29.8-401.4)+(0.795396+(0.030396-0.409428))+0-0-0</f>
        <v>408.61636399999998</v>
      </c>
      <c r="L238" s="3">
        <f>852.1+(30.6-402.2)+(1.303713+(0.046818-0.615366))+0-0-0</f>
        <v>481.23516500000005</v>
      </c>
      <c r="M238" s="3">
        <f>941.4+(19.5-473.3)+(0.960228+(0.01989-0.482766))+0-0-0</f>
        <v>488.09735199999994</v>
      </c>
      <c r="N238" s="3">
        <f>958.4+(49.6-462.4)+(0.488784+(0.025296-0.235824))+0-0-0</f>
        <v>545.87825600000008</v>
      </c>
      <c r="O238" s="3">
        <f>956+(30-472.5)+(0+(0-0))+0-0-0</f>
        <v>513.5</v>
      </c>
      <c r="P238" s="3">
        <f>956.5+(69.8-459.6)+(-0.487815+(-0.035598--0.234396))+0-0-0</f>
        <v>566.4109830000001</v>
      </c>
      <c r="Q238" s="3">
        <f>957.2+(80.6-456.8)+(-1.464516+(-0.123318--0.698904))+0-0-0</f>
        <v>580.11107000000004</v>
      </c>
      <c r="R238" s="3">
        <f>959.9+(62.5-454.3)+(0+(0-0))+0-0-0</f>
        <v>568.09999999999991</v>
      </c>
      <c r="S238" s="3">
        <f>965.6+(47.4-464.6)+(0.492456+(0.024174-0.236946))+0-0-0</f>
        <v>548.67968399999995</v>
      </c>
      <c r="T238" s="3">
        <f>968.1+(35.4-463.9)+(0.987462+(0.036108-0.473178))+0-0-0</f>
        <v>540.15039200000001</v>
      </c>
      <c r="U238" s="3">
        <f>964.9+(40.7-472.8)+(0.492099+(0.020757-0.241128))+0-0-0</f>
        <v>533.07172800000001</v>
      </c>
      <c r="V238" s="3">
        <f>970.7+(53.2-455.9)+(1.485171+(0.081396-0.697527))+0-0-0</f>
        <v>568.86904000000004</v>
      </c>
      <c r="W238" s="3">
        <f>999.2+(81.7-407.8)+(0+(0-0))+0-0-0</f>
        <v>673.1</v>
      </c>
      <c r="X238" s="3">
        <f>1026.5+(77.8-426.2)+(-1.04703+(-0.079356--0.434724))+0-0-0</f>
        <v>677.40833800000007</v>
      </c>
      <c r="Y238" s="3">
        <f>1025.6+(73.1-438.3)+(-0.523056+(-0.037281--0.223533))+0-0-0</f>
        <v>660.06319599999983</v>
      </c>
      <c r="Z238" s="3">
        <f>1026.4+(65.3-439.7)+(-0.523464+(-0.033303--0.224247))+0-0-0</f>
        <v>651.66748000000007</v>
      </c>
      <c r="AA238" s="3">
        <f>974.6+(64.1-411.4)+(-0.994092+(-0.065382--0.419628))+0-0-0</f>
        <v>626.66015400000003</v>
      </c>
      <c r="AB238" s="3">
        <f>959.3+(54.9-426)+(0+(0-0))+0-0-0</f>
        <v>588.19999999999993</v>
      </c>
      <c r="AC238" s="3">
        <f>964.2+(47.8-469.5)+(0.983484+(0.048756-0.47889))+0-0-0</f>
        <v>543.05335000000002</v>
      </c>
      <c r="AD238">
        <v>670.3</v>
      </c>
      <c r="AE238" s="3">
        <f>1035+(96.1-460.8)+(0+(0-0))+0-0-0</f>
        <v>670.3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955+(18.5-508.7)+(-0.48705+(-0.009435--0.259437))+0-0-0</f>
        <v>464.562952</v>
      </c>
      <c r="G239" s="3">
        <f>960.7+(13.9-541.8)+(-0.489957+(-0.007089--0.276318))+0-0-0</f>
        <v>432.57927200000006</v>
      </c>
      <c r="H239" s="3">
        <f>943.4+(6.2-542.3)+(-1.924536+(-0.012648--1.106292))+0-0-0</f>
        <v>406.46910800000006</v>
      </c>
      <c r="I239" s="3">
        <f>788+(29.7-410.1)+(2.0094+(0.075735-1.045755))+0-0-0</f>
        <v>408.63937999999996</v>
      </c>
      <c r="J239" s="3">
        <f>776.1+(25.7-398.7)+(0+(0-0))+0-0-0</f>
        <v>403.1</v>
      </c>
      <c r="K239" s="3">
        <f>772+(45.2-408.3)+(-1.57488+(-0.092208--0.832932))+0-0-0</f>
        <v>408.06584399999997</v>
      </c>
      <c r="L239" s="3">
        <f>863+(30.4-469.7)+(0.88026+(0.031008-0.479094))+0-0-0</f>
        <v>424.13217399999996</v>
      </c>
      <c r="M239" s="3">
        <f>968.9+(15.6-527.5)+(1.482417+(0.023868-0.807075))+0-0-0</f>
        <v>457.69920999999999</v>
      </c>
      <c r="N239" s="3">
        <f>998.2+(63.6-548.8)+(1.018164+(0.064872-0.559776))+0-0-0</f>
        <v>513.52326000000016</v>
      </c>
      <c r="O239" s="3">
        <f>1052.1+(96.4-580.8)+(1.609713+(0.147492-0.888624))+0-0-0</f>
        <v>568.56858099999988</v>
      </c>
      <c r="P239" s="3">
        <f>1017.4+(127.7-559.6)+(0.518874+(0.065127-0.285396))+0-0-0</f>
        <v>585.79860499999995</v>
      </c>
      <c r="Q239" s="3">
        <f>1249.5+(45.1-703.3)+(-3.186225+(-0.115005--1.793415))+0-0-0</f>
        <v>589.79218500000002</v>
      </c>
      <c r="R239" s="3">
        <f>1215.7+(52.1-696.2)+(-3.100035+(-0.132855--1.77531))+0-0-0</f>
        <v>570.14242000000002</v>
      </c>
      <c r="S239" s="3">
        <f>1223.9+(25.8-699.4)+(-0.624189+(-0.013158--0.356694))+0-0-0</f>
        <v>550.01934700000004</v>
      </c>
      <c r="T239" s="3">
        <f>1197.2+(28.1-684.7)+(0.610572+(0.014331-0.349197))+0-0-0</f>
        <v>540.87570600000004</v>
      </c>
      <c r="U239" s="3">
        <f>1102.3+(53.2-632.8)+(0+(0-0))+0-0-0</f>
        <v>522.70000000000005</v>
      </c>
      <c r="V239" s="3">
        <f>1096.7+(54.5-602)+(-0.559317+(-0.027795--0.30702))+0-0-0</f>
        <v>548.91990800000008</v>
      </c>
      <c r="W239" s="3">
        <f>1098.2+(96.7-542)+(0+(0-0))+0-0-0</f>
        <v>652.90000000000009</v>
      </c>
      <c r="X239" s="3">
        <f>1102.8+(86.9-515.2)+(-1.687284+(-0.132957--0.788256))+0-0-0</f>
        <v>673.46801499999992</v>
      </c>
      <c r="Y239" s="3">
        <f>1102.6+(82.5-520.5)+(-1.686978+(-0.126225--0.796365))+0-0-0</f>
        <v>663.5831619999999</v>
      </c>
      <c r="Z239" s="3">
        <f>1100.4+(82.2-530.2)+(-1.683612+(-0.125766--0.811206))+0-0-0</f>
        <v>651.40182800000014</v>
      </c>
      <c r="AA239" s="3">
        <f>1062+(90.8-525.2)+(-1.08324+(-0.092616--0.535704))+0-0-0</f>
        <v>626.95984799999997</v>
      </c>
      <c r="AB239" s="3">
        <f>998.4+(105.5-507.8)+(-1.527552+(-0.161415--0.776934))+0-0-0</f>
        <v>595.18796699999996</v>
      </c>
      <c r="AC239" s="3">
        <f>1005.5+(87-534.1)+(-0.512805+(-0.04437--0.272391))+0-0-0</f>
        <v>558.11521600000003</v>
      </c>
      <c r="AD239">
        <v>663</v>
      </c>
      <c r="AE239" s="3">
        <f>1105+(120-562)+(0+(0-0))+0-0-0</f>
        <v>663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1006.7+(40.3-514.8)+(0.513417+(0.020553-0.262548))+0-0-0</f>
        <v>532.47142200000008</v>
      </c>
      <c r="G240" s="3">
        <f>1002.9+(0-511.2)+(0.511479+(0-0.260712))+0-0-0</f>
        <v>491.95076699999998</v>
      </c>
      <c r="H240" s="3">
        <f>866.9+(26.1-421.5)+(0+(0-0))+0-0-0</f>
        <v>471.5</v>
      </c>
      <c r="I240" s="3">
        <f>807.1+(41.2-397.1)+(0+(0-0))+0-0-0</f>
        <v>451.2</v>
      </c>
      <c r="J240" s="3">
        <f>806+(27.3-393.9)+(0.41106+(0.013923-0.200889))+0-0-0</f>
        <v>439.62409400000001</v>
      </c>
      <c r="K240" s="3">
        <f>807.8+(28.5-382.3)+(0.823956+(0.02907-0.389946))+0-0-0</f>
        <v>454.46307999999993</v>
      </c>
      <c r="L240" s="3">
        <f>805+(32.7-390.9)+(-0.8211+(-0.033354--0.398718))+0-0-0</f>
        <v>446.34426400000001</v>
      </c>
      <c r="M240" s="3">
        <f>802.7+(47-414.2)+(-0.409377+(-0.02397--0.211242))+0-0-0</f>
        <v>435.27789500000006</v>
      </c>
      <c r="N240" s="3">
        <f>885.5+(110.9-508.8)+(0+(0-0))+0-0-0</f>
        <v>487.6</v>
      </c>
      <c r="O240" s="3">
        <f>970.6+(85.5-518.8)+(0.495006+(0.043605-0.264588))+0-0-0</f>
        <v>537.57402300000012</v>
      </c>
      <c r="P240" s="3">
        <f>976.8+(75.8-482)+(1.494504+(0.115974-0.73746))+0-0-0</f>
        <v>571.47301799999991</v>
      </c>
      <c r="Q240" s="3">
        <f>978+(91.7-482.3)+(0.99756+(0.093534-0.491946))+0-0-0</f>
        <v>587.99914799999999</v>
      </c>
      <c r="R240" s="3">
        <f>964.1+(97-490.8)+(-2.950146+(-0.29682--1.501848))+0-0-0</f>
        <v>568.55488199999991</v>
      </c>
      <c r="S240" s="3">
        <f>965.9+(81.1-497.7)+(-1.970436+(-0.165444--1.015308))+0-0-0</f>
        <v>548.17942799999992</v>
      </c>
      <c r="T240" s="3">
        <f>971.1+(49.7-500.8)+(0+(0-0))+0-0-0</f>
        <v>520</v>
      </c>
      <c r="U240" s="3">
        <f>975.8+(35.3-503)+(0.497658+(0.018003-0.25653))+0-0-0</f>
        <v>508.35913099999999</v>
      </c>
      <c r="V240" s="3">
        <f>991.2+(27.6-469.8)+(-0.505512+(-0.014076--0.239598))+0-0-0</f>
        <v>548.72001</v>
      </c>
      <c r="W240" s="3">
        <f>1034+(72.2-456)+(0+(0-0))+0-0-0</f>
        <v>650.20000000000005</v>
      </c>
      <c r="X240" s="3">
        <f>1038.6+(70.9-427.9)+(-1.589058+(-0.108477--0.654687))+0-0-0</f>
        <v>680.55715199999986</v>
      </c>
      <c r="Y240" s="3">
        <f>1035.8+(59.2-429.7)+(0+(0-0))+0-0-0</f>
        <v>665.3</v>
      </c>
      <c r="Z240" s="3">
        <f>1041.1+(46.9-441.6)+(-1.061922+(-0.047838--0.450432))+0-0-0</f>
        <v>645.7406719999999</v>
      </c>
      <c r="AA240" s="3">
        <f>1000.9+(55.3-437.2)+(-1.020918+(-0.056406--0.445944))+0-0-0</f>
        <v>618.36861999999996</v>
      </c>
      <c r="AB240" s="3">
        <f>980.4+(63.7-445.5)+(-1.500012+(-0.097461--0.681615))+0-0-0</f>
        <v>597.68414199999995</v>
      </c>
      <c r="AC240" s="3">
        <f>1056.4+(41.1-542.7)+(-1.616292+(-0.062883--0.830331))+0-0-0</f>
        <v>553.95115600000008</v>
      </c>
      <c r="AD240">
        <v>625.19999999999993</v>
      </c>
      <c r="AE240" s="3">
        <f>1031+(78.6-484.4)+(0+(0-0))+0-0-0</f>
        <v>625.20000000000005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1046.1+(33-600.7)+(-1.600533+(-0.05049--0.919071))+0-0-0</f>
        <v>477.66804799999989</v>
      </c>
      <c r="G241" s="3">
        <f>957.3+(14.6-538.6)+(-0.976446+(-0.014892--0.549372))+0-0-0</f>
        <v>432.85803399999998</v>
      </c>
      <c r="H241" s="3">
        <f>768+(59.5-414.6)+(0.78336+(0.06069-0.422892))+0-0-0</f>
        <v>413.32115799999997</v>
      </c>
      <c r="I241" s="3">
        <f>738.6+(66.3-397.4)+(0+(0-0))+0-0-0</f>
        <v>407.50000000000006</v>
      </c>
      <c r="J241" s="3">
        <f>731.9+(54.1-383.8)+(-0.746538+(-0.055182--0.391476))+0-0-0</f>
        <v>401.78975600000001</v>
      </c>
      <c r="K241" s="3">
        <f>731+(54.7-375.3)+(-0.74562+(-0.055794--0.382806))+0-0-0</f>
        <v>409.98139199999997</v>
      </c>
      <c r="L241" s="3">
        <f>731.8+(62.8-370.7)+(-0.373218+(-0.032028--0.189057))+0-0-0</f>
        <v>423.68381099999999</v>
      </c>
      <c r="M241" s="3">
        <f>815.2+(62.5-427)+(0+(0-0))+0-0-0</f>
        <v>450.70000000000005</v>
      </c>
      <c r="N241" s="3">
        <f>968+(28.3-490.6)+(0+(0-0))+0-0-0</f>
        <v>505.7</v>
      </c>
      <c r="O241" s="3">
        <f>978.7+(57.8-496.8)+(1.497411+(0.088434-0.760104))+0-0-0</f>
        <v>540.52574100000004</v>
      </c>
      <c r="P241" s="3">
        <f>970.3+(96.8-508.2)+(-1.484559+(-0.148104--0.777546))+0-0-0</f>
        <v>558.04488300000003</v>
      </c>
      <c r="Q241" s="3">
        <f>981.3+(98.1-515.8)+(-0.500463+(-0.050031--0.263058))+0-0-0</f>
        <v>563.31256400000007</v>
      </c>
      <c r="R241" s="3">
        <f>978.9+(73.7-470.9)+(-1.497717+(-0.112761--0.720477))+0-0-0</f>
        <v>580.80999900000006</v>
      </c>
      <c r="S241" s="3">
        <f>974.2+(42.6-453.9)+(-1.490526+(-0.065178--0.694467))+0-0-0</f>
        <v>562.03876300000013</v>
      </c>
      <c r="T241" s="3">
        <f>977.1+(27.5-455.2)+(0+(0-0))+0-0-0</f>
        <v>549.40000000000009</v>
      </c>
      <c r="U241" s="3">
        <f>1100.8+(29.3-575.5)+(-0.561408+(-0.014943--0.293505))+0-0-0</f>
        <v>554.31715399999996</v>
      </c>
      <c r="V241" s="3">
        <f>1063.5+(31.6-522.1)+(-0.542385+(-0.016116--0.266271))+0-0-0</f>
        <v>572.70776999999998</v>
      </c>
      <c r="W241" s="3">
        <f>1079.2+(59.9-446.8)+(0+(0-0))+0-0-0</f>
        <v>692.3</v>
      </c>
      <c r="X241" s="3">
        <f>1124.5+(39.9-461.4)+(-1.720485+(-0.061047--0.705942))+0-0-0</f>
        <v>701.92440999999997</v>
      </c>
      <c r="Y241" s="3">
        <f>1121.3+(38.8-468.3)+(-2.859315+(-0.09894--1.194165))+0-0-0</f>
        <v>690.03590999999994</v>
      </c>
      <c r="Z241" s="3">
        <f>1122.6+(37.6-477.9)+(-2.290104+(-0.076704--0.974916))+0-0-0</f>
        <v>680.90810799999997</v>
      </c>
      <c r="AA241" s="3">
        <f>1108+(57.7-503.7)+(-1.13016+(-0.058854--0.513774))+0-0-0</f>
        <v>661.32475999999997</v>
      </c>
      <c r="AB241" s="3">
        <f>1080.7+(71-529.1)+(-2.755785+(-0.18105--1.349205))+0-0-0</f>
        <v>621.01237000000003</v>
      </c>
      <c r="AC241" s="3">
        <f>1133.8+(23-573.9)+(-0.578238+(-0.01173--0.292689))+0-0-0</f>
        <v>582.60272099999997</v>
      </c>
      <c r="AD241">
        <v>674.90000000000009</v>
      </c>
      <c r="AE241" s="3">
        <f>1075+(70.4-470.5)+(0+(0-0))+0-0-0</f>
        <v>674.9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1087.4+(9.2-591.7)+(-2.218296+(-0.018768--1.207068))+0-0-0</f>
        <v>503.87000400000011</v>
      </c>
      <c r="G242" s="3">
        <f>1044.2+(21.4-608.5)+(-2.130168+(-0.043656--1.24134))+0-0-0</f>
        <v>456.16751600000003</v>
      </c>
      <c r="H242" s="3">
        <f>811.1+(23.8-399.7)+(0+(0-0))+0-0-0</f>
        <v>435.20000000000005</v>
      </c>
      <c r="I242" s="3">
        <f>774.8+(26.1-389.5)+(-1.185444+(-0.039933--0.595935))+0-0-0</f>
        <v>410.77055799999999</v>
      </c>
      <c r="J242" s="3">
        <f>786.7+(33.5-416.9)+(0.401217+(0.017085-0.212619))+0-0-0</f>
        <v>403.50568300000009</v>
      </c>
      <c r="K242" s="3">
        <f>785.2+(47.8-419.1)+(-0.400452+(-0.024378--0.213741))+0-0-0</f>
        <v>413.68891100000002</v>
      </c>
      <c r="L242" s="3">
        <f>770.9+(30.9-384.1)+(-1.965795+(-0.078795--0.979455))+0-0-0</f>
        <v>416.63486499999993</v>
      </c>
      <c r="M242" s="3">
        <f>788.2+(26.9-379.3)+(0.401982+(0.013719-0.193443))+0-0-0</f>
        <v>436.02225800000002</v>
      </c>
      <c r="N242" s="3">
        <f>920+(14.7-443.5)+(0.4692+(0.007497-0.226185))+0-0-0</f>
        <v>491.450512</v>
      </c>
      <c r="O242" s="3">
        <f>1000.5+(40.4-494.7)+(-1.02051+(-0.041208--0.504594))+0-0-0</f>
        <v>545.642876</v>
      </c>
      <c r="P242" s="3">
        <f>1075.8+(38.3-513)+(0.548658+(0.019533-0.26163))+0-0-0</f>
        <v>601.4065609999999</v>
      </c>
      <c r="Q242" s="3">
        <f>1074.5+(34.6-503.2)+(-2.19198+(-0.070584--1.026528))+0-0-0</f>
        <v>604.66396400000008</v>
      </c>
      <c r="R242" s="3">
        <f>1037+(19.2-493.4)+(-4.23096+(-0.078336--2.013072))+0-0-0</f>
        <v>560.5037759999999</v>
      </c>
      <c r="S242" s="3">
        <f>1044.5+(20.4-522.6)+(-0.532695+(-0.010404--0.266526))+0-0-0</f>
        <v>542.02342699999997</v>
      </c>
      <c r="T242" s="3">
        <f>1044.9+(41.7-565.5)+(0+(0-0))+0-0-0</f>
        <v>521.10000000000014</v>
      </c>
      <c r="U242" s="3">
        <f>1033.1+(46.1-559.9)+(-2.107524+(-0.094044--1.142196))+0-0-0</f>
        <v>518.2406279999999</v>
      </c>
      <c r="V242" s="3">
        <f>1046.9+(60.6-557.5)+(0.533919+(0.030906-0.284325))+0-0-0</f>
        <v>550.28050000000007</v>
      </c>
      <c r="W242" s="3">
        <f>1059.3+(42.6-472)+(0+(0-0))+0-0-0</f>
        <v>629.9</v>
      </c>
      <c r="X242" s="3">
        <f>1067.6+(61.4-497.5)+(-2.72238+(-0.15657--1.268625))+0-0-0</f>
        <v>629.8896749999999</v>
      </c>
      <c r="Y242" s="3">
        <f>1073.8+(65.2-519)+(0+(0-0))+0-0-0</f>
        <v>620</v>
      </c>
      <c r="Z242" s="3">
        <f>1061.4+(70.9-523.8)+(-2.165256+(-0.144636--1.068552))+0-0-0</f>
        <v>607.25866000000008</v>
      </c>
      <c r="AA242" s="3">
        <f>1066.1+(72.1-549.3)+(-0.543711+(-0.036771--0.280143))+0-0-0</f>
        <v>588.59966099999997</v>
      </c>
      <c r="AB242" s="3">
        <f>1058.2+(75.6-578.7)+(-1.619046+(-0.115668--0.885411))+0-0-0</f>
        <v>554.25069700000006</v>
      </c>
      <c r="AC242" s="3">
        <f>1044.8+(56.8-588.3)+(-4.262784+(-0.231744--2.400264))+0-0-0</f>
        <v>511.20573599999994</v>
      </c>
      <c r="AD242">
        <v>633.70000000000005</v>
      </c>
      <c r="AE242" s="3">
        <f>1061+(31.7-459)+(0+(0-0))+0-0-0</f>
        <v>633.70000000000005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953+(25.5-500)+(-2.43015+(-0.065025--1.275))+0-0-0</f>
        <v>477.27982500000002</v>
      </c>
      <c r="G243" s="3">
        <f>866.6+(15.8-446.1)+(0.441966+(0.008058-0.227511))+0-0-0</f>
        <v>436.522513</v>
      </c>
      <c r="H243" s="3">
        <f>842.6+(22.2-458.3)+(-1.718904+(-0.045288--0.934932))+0-0-0</f>
        <v>405.67074000000002</v>
      </c>
      <c r="I243" s="3">
        <f>746.6+(68.3-419.1)+(0+(0-0))+0-0-0</f>
        <v>395.8</v>
      </c>
      <c r="J243" s="3">
        <f>732.6+(88.3-436.9)+(-0.747252+(-0.090066--0.445638))+0-0-0</f>
        <v>383.60832000000005</v>
      </c>
      <c r="K243" s="3">
        <f>745.9+(86.7-438.5)+(0.760818+(0.088434-0.44727))+0-0-0</f>
        <v>394.50198199999994</v>
      </c>
      <c r="L243" s="3">
        <f>699.9+(52.5-359.6)+(-0.713898+(-0.05355--0.366792))+0-0-0</f>
        <v>392.39934399999993</v>
      </c>
      <c r="M243" s="3">
        <f>631.8+(23.1-268.3)+(-0.644436+(-0.023562--0.273666))+0-0-0</f>
        <v>386.20566799999989</v>
      </c>
      <c r="N243" s="3">
        <f>665.6+(21.7-286.6)+(-0.339456+(-0.011067--0.146166))+0-0-0</f>
        <v>400.49564299999997</v>
      </c>
      <c r="O243" s="3">
        <f>857.2+(40.1-437.5)+(-0.874344+(-0.040902--0.44625))+0-0-0</f>
        <v>459.33100400000006</v>
      </c>
      <c r="P243" s="3">
        <f>857.3+(32.2-386.6)+(-1.311669+(-0.049266--0.591498))+0-0-0</f>
        <v>502.13056299999994</v>
      </c>
      <c r="Q243" s="3">
        <f>862.2+(21.2-354.3)+(-0.879444+(-0.021624--0.361386))+0-0-0</f>
        <v>528.56031800000005</v>
      </c>
      <c r="R243" s="3">
        <f>858+(26.5-367.1)+(-1.31274+(-0.040545--0.561663))+0-0-0</f>
        <v>516.60837800000002</v>
      </c>
      <c r="S243" s="3">
        <f>853.9+(10.1-381)+(-1.306467+(-0.015453--0.58293))+0-0-0</f>
        <v>482.26101</v>
      </c>
      <c r="T243" s="3">
        <f>849.3+(3.1-391.2)+(-1.732572+(-0.006324--0.798048))+0-0-0</f>
        <v>460.25915199999997</v>
      </c>
      <c r="U243" s="3">
        <f>857.1+(1.8-413.6)+(0+(0-0))+0-0-0</f>
        <v>445.3</v>
      </c>
      <c r="V243" s="3">
        <f>855.8+(10.1-394.9)+(0+(0-0))+0-0-0</f>
        <v>471</v>
      </c>
      <c r="W243" s="3">
        <f>868.6+(30.1-330.5)+(0.442986+(0.015351-0.168555))+0-0-0</f>
        <v>568.48978199999999</v>
      </c>
      <c r="X243" s="3">
        <f>878.3+(41.7-320.1)+(0+(0-0))+0-0-0</f>
        <v>599.89999999999986</v>
      </c>
      <c r="Y243" s="3">
        <f>877.9+(32.9-312.2)+(0.447729+(0.016779-0.159222))+0-0-0</f>
        <v>598.90528599999993</v>
      </c>
      <c r="Z243" s="3">
        <f>861.3+(29.7-302.4)+(-0.878526+(-0.030294--0.308448))+0-0-0</f>
        <v>587.99962799999992</v>
      </c>
      <c r="AA243" s="3">
        <f>861.7+(23.1-309)+(-0.878934+(-0.023562--0.31518))+0-0-0</f>
        <v>575.21268400000008</v>
      </c>
      <c r="AB243" s="3">
        <f>854+(20.6-339.1)+(-1.74216+(-0.042024--0.691764))+0-0-0</f>
        <v>534.40758000000005</v>
      </c>
      <c r="AC243" s="3">
        <f>851.9+(23.7-378.2)+(-1.737876+(-0.048348--0.771528))+0-0-0</f>
        <v>496.38530399999996</v>
      </c>
      <c r="AD243">
        <v>593.9</v>
      </c>
      <c r="AE243" s="3">
        <f>873+(34-313.1)+(0+(0-0))+0-0-0</f>
        <v>593.9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860.2+(35.4-419.7)+(0+(0-0))+0-0-0</f>
        <v>475.90000000000003</v>
      </c>
      <c r="G244" s="3">
        <f>721.3+(26.5-307.3)+(-1.839315+(-0.067575--0.783615))+0-0-0</f>
        <v>439.37672499999996</v>
      </c>
      <c r="H244" s="3">
        <f>627+(32.3-249.8)+(0.95931+(0.049419-0.382194))+0-0-0</f>
        <v>410.12653499999999</v>
      </c>
      <c r="I244" s="3">
        <f>621.9+(56.6-277.1)+(-0.634338+(-0.057732--0.282642))+0-0-0</f>
        <v>400.99057199999999</v>
      </c>
      <c r="J244" s="3">
        <f>630.5+(47.7-278.1)+(1.607775+(0.121635-0.709155))+0-0-0</f>
        <v>401.12025499999999</v>
      </c>
      <c r="K244" s="3">
        <f>624.5+(44.3-263.1)+(0.318495+(0.022593-0.134181))+0-0-0</f>
        <v>405.90690699999999</v>
      </c>
      <c r="L244" s="3">
        <f>619.8+(42.6-250.6)+(-0.948294+(-0.065178--0.383418))+0-0-0</f>
        <v>411.16994599999998</v>
      </c>
      <c r="M244" s="3">
        <f>782.7+(25.9-358.9)+(0.399177+(0.013209-0.183039))+0-0-0</f>
        <v>449.92934700000006</v>
      </c>
      <c r="N244" s="3">
        <f>927.4+(14.6-427.6)+(0.472974+(0.007446-0.218076))+0-0-0</f>
        <v>514.66234399999996</v>
      </c>
      <c r="O244" s="3">
        <f>969.2+(12.8-423.6)+(-1.977168+(-0.026112--0.864144))+0-0-0</f>
        <v>557.26086400000008</v>
      </c>
      <c r="P244" s="3">
        <f>1057.9+(3.8-472.8)+(-0.539529+(-0.001938--0.241128))+0-0-0</f>
        <v>588.59966100000008</v>
      </c>
      <c r="Q244" s="3">
        <f>1073.7+(3.8-468.8)+(0.547587+(0.001938-0.239088))+0-0-0</f>
        <v>609.01043700000002</v>
      </c>
      <c r="R244" s="3">
        <f>1061.4+(1.9-499.8)+(-1.623942+(-0.002907--0.764694))+0-0-0</f>
        <v>562.63784499999997</v>
      </c>
      <c r="S244" s="3">
        <f>1058+(2.7-513.8)+(-1.61874+(-0.004131--0.786114))+0-0-0</f>
        <v>546.06324300000006</v>
      </c>
      <c r="T244" s="3">
        <f>1026.5+(4.4-499.5)+(-0.523515+(-0.002244--0.254745))+0-0-0</f>
        <v>531.12898599999994</v>
      </c>
      <c r="U244" s="3">
        <f>1073.5+(1.7-535.8)+(-1.642455+(-0.002601--0.819774))+0-0-0</f>
        <v>538.57471800000008</v>
      </c>
      <c r="V244" s="3">
        <f>1065.3+(3.5-508.9)+(-0.543303+(-0.001785--0.259539))+0-0-0</f>
        <v>559.61445100000003</v>
      </c>
      <c r="W244" s="3">
        <f>1092.8+(0-447.3)+(0.557328+(0-0.228123))+0-0-0</f>
        <v>645.829205</v>
      </c>
      <c r="X244" s="3">
        <f>1121+(11.4-463.3)+(-2.28684+(-0.023256--0.945132))+0-0-0</f>
        <v>667.73503599999992</v>
      </c>
      <c r="Y244" s="3">
        <f>1081.7+(14.7-442.4)+(0+(0-0))+0-0-0</f>
        <v>654</v>
      </c>
      <c r="Z244" s="3">
        <f>958.5+(28.9-348.6)+(-0.488835+(-0.014739--0.177786))+0-0-0</f>
        <v>638.47421199999997</v>
      </c>
      <c r="AA244" s="3">
        <f>1031.8+(22.2-451.4)+(-3.157308+(-0.067932--1.381284))+0-0-0</f>
        <v>600.75604399999986</v>
      </c>
      <c r="AB244" s="3">
        <f>1047.6+(13.7-495.8)+(-1.068552+(-0.013974--0.505716))+0-0-0</f>
        <v>564.92318999999986</v>
      </c>
      <c r="AC244" s="3">
        <f>1034.7+(13.2-521.4)+(-3.693879+(-0.047124--1.861398))+0-0-0</f>
        <v>524.62039500000003</v>
      </c>
      <c r="AD244">
        <v>659.7</v>
      </c>
      <c r="AE244" s="3">
        <f>1106+(35.5-481.8)+(0+(0-0))+0-0-0</f>
        <v>659.7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1010.5+(13.5-553.7)+(-1.546065+(-0.020655--0.847161))+0-0-0</f>
        <v>469.58044099999995</v>
      </c>
      <c r="G245" s="3">
        <f>939.5+(26.2-533.3)+(-0.95829+(-0.026724--0.543966))+0-0-0</f>
        <v>431.95895200000001</v>
      </c>
      <c r="H245" s="3">
        <f>839.6+(38-466.9)+(0+(0-0))+0-0-0</f>
        <v>410.70000000000005</v>
      </c>
      <c r="I245" s="3">
        <f>834.6+(28.4-470.4)+(0+(0-0))+0-0-0</f>
        <v>392.6</v>
      </c>
      <c r="J245" s="3">
        <f>630.3+(62.9-303)+(0.642906+(0.064158-0.30906))+0-0-0</f>
        <v>390.59800399999995</v>
      </c>
      <c r="K245" s="3">
        <f>596.3+(89.7-288.6)+(0.608226+(0.091494-0.294372))+0-0-0</f>
        <v>397.80534799999992</v>
      </c>
      <c r="L245" s="3">
        <f>607.9+(81.1-267.9)+(0.930087+(0.124083-0.409887))+0-0-0</f>
        <v>421.744283</v>
      </c>
      <c r="M245" s="3">
        <f>749.1+(65-367.2)+(1.146123+(0.09945-0.561816))+0-0-0</f>
        <v>447.58375700000005</v>
      </c>
      <c r="N245" s="3">
        <f>746.9+(47.4-293.3)+(-0.380919+(-0.024174--0.149583))+0-0-0</f>
        <v>500.74448999999998</v>
      </c>
      <c r="O245" s="3">
        <f>746.4+(39.7-245.5)+(-0.380664+(-0.020247--0.125205))+0-0-0</f>
        <v>540.3242939999999</v>
      </c>
      <c r="P245" s="3">
        <f>748.8+(52.5-233.5)+(-0.381888+(-0.026775--0.119085))+0-0-0</f>
        <v>567.51042199999995</v>
      </c>
      <c r="Q245" s="3">
        <f>742.4+(62.5-227.3)+(-1.135872+(-0.095625--0.347769))+0-0-0</f>
        <v>576.71627199999989</v>
      </c>
      <c r="R245" s="3">
        <f>744.9+(48.5-232.2)+(-1.139697+(-0.074205--0.355266))+0-0-0</f>
        <v>560.341364</v>
      </c>
      <c r="S245" s="3">
        <f>740.4+(34-234.4)+(-1.510416+(-0.06936--0.478176))+0-0-0</f>
        <v>538.89840000000004</v>
      </c>
      <c r="T245" s="3">
        <f>748.8+(35.4-250.1)+(-0.381888+(-0.018054--0.127551))+0-0-0</f>
        <v>533.82760899999994</v>
      </c>
      <c r="U245" s="3">
        <f>837+(8.5-311)+(1.28061+(0.013005-0.47583))+0-0-0</f>
        <v>535.31778499999996</v>
      </c>
      <c r="V245" s="3">
        <f>831.5+(7.7-275.4)+(-2.120325+(-0.019635--0.70227))+0-0-0</f>
        <v>562.36230999999998</v>
      </c>
      <c r="W245" s="3">
        <f>853.6+(50.6-258.9)+(0.435336+(0.025806-0.132039))+0-0-0</f>
        <v>645.6291030000001</v>
      </c>
      <c r="X245" s="3">
        <f>858.8+(83.7-275.2)+(-2.627928+(-0.256122--0.842112))+0-0-0</f>
        <v>665.258062</v>
      </c>
      <c r="Y245" s="3">
        <f>859.6+(87.4-293)+(-0.876792+(-0.089148--0.29886))+0-0-0</f>
        <v>653.33291999999994</v>
      </c>
      <c r="Z245" s="3">
        <f>855.4+(70.2-294.5)+(-1.745016+(-0.143208--0.60078))+0-0-0</f>
        <v>629.81255599999986</v>
      </c>
      <c r="AA245" s="3">
        <f>844.3+(57.2-297.5)+(-2.152965+(-0.14586--0.758625))+0-0-0</f>
        <v>602.45979999999997</v>
      </c>
      <c r="AB245" s="3">
        <f>736.7+(70.8-244.7)+(-1.127151+(-0.108324--0.374391))+0-0-0</f>
        <v>561.93891600000006</v>
      </c>
      <c r="AC245" s="3">
        <f>726.5+(53.6-260.7)+(-0.74103+(-0.054672--0.265914))+0-0-0</f>
        <v>518.87021199999992</v>
      </c>
      <c r="AD245">
        <v>664.3</v>
      </c>
      <c r="AE245" s="3">
        <f>863+(70.5-269.2)+(0+(0-0))+0-0-0</f>
        <v>664.3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728.5+(43.1-300.8)+(0.74307+(0.043962-0.306816))+0-0-0</f>
        <v>471.280216</v>
      </c>
      <c r="G246" s="3">
        <f>722.7+(53.8-338.9)+(-0.737154+(-0.054876--0.345678))+0-0-0</f>
        <v>437.15364800000009</v>
      </c>
      <c r="H246" s="3">
        <f>599.2+(45.9-240.5)+(0.305592+(0.023409-0.122655))+0-0-0</f>
        <v>404.80634600000002</v>
      </c>
      <c r="I246" s="3">
        <f>588.3+(42.9-232.1)+(0.300033+(0.021879-0.118371))+0-0-0</f>
        <v>399.30354099999994</v>
      </c>
      <c r="J246" s="3">
        <f>579.8+(45.4-237.8)+(-0.591396+(-0.046308--0.242556))+0-0-0</f>
        <v>387.00485199999997</v>
      </c>
      <c r="K246" s="3">
        <f>586+(58.1-254.9)+(0.59772+(0.059262-0.259998))+0-0-0</f>
        <v>389.59698399999996</v>
      </c>
      <c r="L246" s="3">
        <f>731.1+(25.9-346.4)+(-0.745722+(-0.026418--0.353328))+0-0-0</f>
        <v>410.18118800000002</v>
      </c>
      <c r="M246" s="3">
        <f>777.6+(25.5-370.4)+(-0.396576+(-0.013005--0.188904))+0-0-0</f>
        <v>432.47932300000002</v>
      </c>
      <c r="N246" s="3">
        <f>787.4+(16.8-317.6)+(0+(0-0))+0-0-0</f>
        <v>486.59999999999997</v>
      </c>
      <c r="O246" s="3">
        <f>794.4+(21.4-285.4)+(0.405144+(0.010914-0.145554))+0-0-0</f>
        <v>530.67050399999994</v>
      </c>
      <c r="P246" s="3">
        <f>824.2+(21.8-291.2)+(-0.840684+(-0.022236--0.297024))+0-0-0</f>
        <v>554.23410400000012</v>
      </c>
      <c r="Q246" s="3">
        <f>818.5+(41.2-284.4)+(-2.087175+(-0.10506--0.72522))+0-0-0</f>
        <v>573.83298500000001</v>
      </c>
      <c r="R246" s="3">
        <f>734.6+(69.4-233.2)+(-1.123938+(-0.106182--0.356796))+0-0-0</f>
        <v>569.92667600000004</v>
      </c>
      <c r="S246" s="3">
        <f>724.6+(75.7-261.2)+(-0.739092+(-0.077214--0.266424))+0-0-0</f>
        <v>538.550118</v>
      </c>
      <c r="T246" s="3">
        <f>737.9+(52.2-273.3)+(1.128987+(0.079866-0.418149))+0-0-0</f>
        <v>517.59070399999996</v>
      </c>
      <c r="U246" s="3">
        <f>745+(42-290.2)+(0.37995+(0.02142-0.148002))+0-0-0</f>
        <v>497.05336800000003</v>
      </c>
      <c r="V246" s="3">
        <f>812+(36.5-318.5)+(0+(0-0))+0-0-0</f>
        <v>530</v>
      </c>
      <c r="W246" s="3">
        <f>851.9+(47.4-284.9)+(0+(0-0))+0-0-0</f>
        <v>614.4</v>
      </c>
      <c r="X246" s="3">
        <f>856+(46.7-266.8)+(-1.30968+(-0.071451--0.408204))+0-0-0</f>
        <v>634.92707299999995</v>
      </c>
      <c r="Y246" s="3">
        <f>852.4+(59.8-295.7)+(-2.17362+(-0.15249--0.754035))+0-0-0</f>
        <v>614.92792499999996</v>
      </c>
      <c r="Z246" s="3">
        <f>863+(56.2-316.9)+(0+(0-0))+0-0-0</f>
        <v>602.29999999999995</v>
      </c>
      <c r="AA246" s="3">
        <f>858.7+(47.6-314.4)+(-2.189685+(-0.12138--0.80172))+0-0-0</f>
        <v>590.39065500000004</v>
      </c>
      <c r="AB246" s="3">
        <f>857.4+(36.4-321.4)+(-1.749096+(-0.074256--0.655656))+0-0-0</f>
        <v>571.232304</v>
      </c>
      <c r="AC246" s="3">
        <f>843.6+(38.4-349)+(-1.720944+(-0.078336--0.71196))+0-0-0</f>
        <v>531.91268000000002</v>
      </c>
      <c r="AD246">
        <v>627.20000000000005</v>
      </c>
      <c r="AE246" s="3">
        <f>858+(54.9-285.7)+(0+(0-0))+0-0-0</f>
        <v>627.20000000000005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689.8+(54.4-249.7)+(-1.055394+(-0.083232--0.382041))+0-0-0</f>
        <v>493.74341500000003</v>
      </c>
      <c r="G247" s="3">
        <f>701.9+(22.7-274.8)+(0+(0-0))+0-0-0</f>
        <v>449.79999999999995</v>
      </c>
      <c r="H247" s="3">
        <f>630.5+(37.6-242.8)+(0+(0-0))+0-0-0</f>
        <v>425.29999999999995</v>
      </c>
      <c r="I247" s="3">
        <f>601.9+(36.1-228.3)+(0+(0-0))+0-0-0</f>
        <v>409.69999999999993</v>
      </c>
      <c r="J247" s="3">
        <f>608.6+(36.2-234.1)+(1.241544+(0.073848-0.477564))+0-0-0</f>
        <v>411.53782800000005</v>
      </c>
      <c r="K247" s="3">
        <f>608.5+(40.4-232.6)+(1.24134+(0.082416-0.474504))+0-0-0</f>
        <v>417.14925199999999</v>
      </c>
      <c r="L247" s="3">
        <f>608.2+(65.2-243.6)+(0.620364+(0.066504-0.248472))+0-0-0</f>
        <v>430.23839600000008</v>
      </c>
      <c r="M247" s="3">
        <f>661.5+(65.6-270)+(0+(0-0))+0-0-0</f>
        <v>457.1</v>
      </c>
      <c r="N247" s="3">
        <f>824.9+(28.7-334.3)+(0.420699+(0.014637-0.170493))+0-0-0</f>
        <v>519.564843</v>
      </c>
      <c r="O247" s="3">
        <f>838+(52.6-327.1)+(0.85476+(0.053652-0.333642))+0-0-0</f>
        <v>564.07476999999994</v>
      </c>
      <c r="P247" s="3">
        <f>833.7+(58.9-309.7)+(-0.425187+(-0.030039--0.157947))+0-0-0</f>
        <v>582.60272100000009</v>
      </c>
      <c r="Q247" s="3">
        <f>823.2+(56.6-291.3)+(-2.518992+(-0.173196--0.891378))+0-0-0</f>
        <v>586.69919000000004</v>
      </c>
      <c r="R247" s="3">
        <f>825.7+(43.4-300.8)+(-1.684428+(-0.088536--0.613632))+0-0-0</f>
        <v>567.14066800000001</v>
      </c>
      <c r="S247" s="3">
        <f>821.5+(51.7-312.2)+(-0.418965+(-0.026367--0.159222))+0-0-0</f>
        <v>560.71388999999999</v>
      </c>
      <c r="T247" s="3">
        <f>833.4+(73.1-366.4)+(0+(0-0))+0-0-0</f>
        <v>540.1</v>
      </c>
      <c r="U247" s="3">
        <f>834.2+(86.4-389.7)+(0.425442+(0.044064-0.198747))+0-0-0</f>
        <v>531.17075900000009</v>
      </c>
      <c r="V247" s="3">
        <f>835.8+(83.8-373.8)+(0.426258+(0.042738-0.190638))+0-0-0</f>
        <v>546.07835799999998</v>
      </c>
      <c r="W247" s="3">
        <f>834.7+(70.2-256.3)+(-0.425697+(-0.035802--0.130713))+0-0-0</f>
        <v>648.26921400000003</v>
      </c>
      <c r="X247" s="3">
        <f>855.2+(98.3-273.4)+(0+(0-0))+0-0-0</f>
        <v>680.10000000000014</v>
      </c>
      <c r="Y247" s="3">
        <f>848.5+(105.9-275.5)+(-1.73094+(-0.216036--0.56202))+0-0-0</f>
        <v>677.51504399999999</v>
      </c>
      <c r="Z247" s="3">
        <f>851+(114.3-304.3)+(-0.43401+(-0.058293--0.155193))+0-0-0</f>
        <v>660.66288999999995</v>
      </c>
      <c r="AA247" s="3">
        <f>846.7+(122.1-318.2)+(-1.727268+(-0.249084--0.649128))+0-0-0</f>
        <v>649.27277600000002</v>
      </c>
      <c r="AB247" s="3">
        <f>845.3+(91.9-335.1)+(-1.293309+(-0.140607--0.512703))+0-0-0</f>
        <v>601.17878699999994</v>
      </c>
      <c r="AC247" s="3">
        <f>847.1+(81.9-368.1)+(-1.296063+(-0.125307--0.563193))+0-0-0</f>
        <v>560.04182300000002</v>
      </c>
      <c r="AD247">
        <v>648.90000000000009</v>
      </c>
      <c r="AE247" s="3">
        <f>855+(98.6-304.7)+(0+(0-0))+0-0-0</f>
        <v>648.9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760+(42.4-301.1)+(-0.7752+(-0.043248--0.307122))+0-0-0</f>
        <v>500.78867399999996</v>
      </c>
      <c r="G248" s="3">
        <f>667.6+(59.9-266.2)+(-0.680952+(-0.061098--0.271524))+0-0-0</f>
        <v>460.82947400000006</v>
      </c>
      <c r="H248" s="3">
        <f>601.4+(36.8-198.6)+(-0.613428+(-0.037536--0.202572))+0-0-0</f>
        <v>439.15160799999995</v>
      </c>
      <c r="I248" s="3">
        <f>576.6+(40.4-184.4)+(-0.294066+(-0.020604--0.094044))+0-0-0</f>
        <v>432.37937400000004</v>
      </c>
      <c r="J248" s="3">
        <f>612.5+(46.3-240.3)+(0.62475+(0.047226-0.245106))+0-0-0</f>
        <v>418.92687000000001</v>
      </c>
      <c r="K248" s="3">
        <f>638.5+(55.7-266.6)+(0.65127+(0.056814-0.271932))+0-0-0</f>
        <v>428.03615199999996</v>
      </c>
      <c r="L248" s="3">
        <f>772.1+(48.4-381.8)+(-0.393771+(-0.024684--0.194718))+0-0-0</f>
        <v>438.47626299999996</v>
      </c>
      <c r="M248" s="3">
        <f>777.8+(26.1-348.5)+(0+(0-0))+0-0-0</f>
        <v>455.4</v>
      </c>
      <c r="N248" s="3">
        <f>773.7+(31.2-298.1)+(-0.394587+(-0.015912--0.152031))+0-0-0</f>
        <v>506.54153200000002</v>
      </c>
      <c r="O248" s="3">
        <f>779+(28.8-262.4)+(0.39729+(0.014688-0.133824))+0-0-0</f>
        <v>545.67815400000006</v>
      </c>
      <c r="P248" s="3">
        <f>773+(25-246.4)+(-0.39423+(-0.01275--0.125664))+0-0-0</f>
        <v>551.31868400000008</v>
      </c>
      <c r="Q248" s="3">
        <f>759+(47-251.7)+(-1.54836+(-0.09588--0.513468))+0-0-0</f>
        <v>553.16922799999998</v>
      </c>
      <c r="R248" s="3">
        <f>763+(30.3-262.7)+(-1.94565+(-0.077265--0.669885))+0-0-0</f>
        <v>529.24697000000003</v>
      </c>
      <c r="S248" s="3">
        <f>771.7+(11.6-260.6)+(-1.574268+(-0.023664--0.531624))+0-0-0</f>
        <v>521.633692</v>
      </c>
      <c r="T248" s="3">
        <f>774.5+(7.8-265.5)+(-1.184985+(-0.011934--0.406215))+0-0-0</f>
        <v>516.00929599999995</v>
      </c>
      <c r="U248" s="3">
        <f>759.2+(18.5-272.6)+(-0.774384+(-0.01887--0.278052))+0-0-0</f>
        <v>504.58479800000003</v>
      </c>
      <c r="V248" s="3">
        <f>776.7+(25.9-273)+(-0.792234+(-0.026418--0.27846))+0-0-0</f>
        <v>529.05980799999998</v>
      </c>
      <c r="W248" s="3">
        <f>838+(66.6-284.6)+(0.42738+(0.033966-0.145146))+0-0-0</f>
        <v>620.31619999999998</v>
      </c>
      <c r="X248" s="3">
        <f>841+(73.4-262.7)+(-2.57346+(-0.224604--0.803862))+0-0-0</f>
        <v>649.70579800000007</v>
      </c>
      <c r="Y248" s="3">
        <f>838.4+(70.6-264.8)+(-2.993088+(-0.252042--0.945336))+0-0-0</f>
        <v>641.90020599999991</v>
      </c>
      <c r="Z248" s="3">
        <f>844.8+(66.7-275.1)+(-1.292544+(-0.102051--0.420903))+0-0-0</f>
        <v>635.42630799999984</v>
      </c>
      <c r="AA248" s="3">
        <f>847.8+(62-294)+(-0.864756+(-0.06324--0.29988))+0-0-0</f>
        <v>615.17188399999998</v>
      </c>
      <c r="AB248" s="3">
        <f>837.4+(80.3-336)+(-1.281222+(-0.122859--0.51408))+0-0-0</f>
        <v>580.80999900000006</v>
      </c>
      <c r="AC248" s="3">
        <f>838+(59.1-360)+(-0.42738+(-0.030141--0.1836))+0-0-0</f>
        <v>536.82607900000005</v>
      </c>
      <c r="AD248">
        <v>663.3</v>
      </c>
      <c r="AE248" s="3">
        <f>851+(69-256.7)+(0+(0-0))+0-0-0</f>
        <v>663.3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813+(35.9-341.9)+(-1.24389+(-0.054927--0.523107))+0-0-0</f>
        <v>506.22429</v>
      </c>
      <c r="G249" s="3">
        <f>713.6+(22.3-267.8)+(-0.727872+(-0.022746--0.273156))+0-0-0</f>
        <v>467.62253800000002</v>
      </c>
      <c r="H249" s="3">
        <f>594.2+(47-203.3)+(-1.212168+(-0.09588--0.414732))+0-0-0</f>
        <v>437.00668400000001</v>
      </c>
      <c r="I249" s="3">
        <f>604.3+(36.7-218.4)+(0.616386+(0.037434-0.222768))+0-0-0</f>
        <v>423.03105199999999</v>
      </c>
      <c r="J249" s="3">
        <f>598+(48-214.3)+(-1.21992+(-0.09792--0.437172))+0-0-0</f>
        <v>430.81933199999997</v>
      </c>
      <c r="K249" s="3">
        <f>595.1+(64.8-232.4)+(-0.910503+(-0.099144--0.355572))+0-0-0</f>
        <v>426.84592500000002</v>
      </c>
      <c r="L249" s="3">
        <f>600.9+(66.6-239.7)+(0+(0-0))+0-0-0</f>
        <v>427.79999999999995</v>
      </c>
      <c r="M249" s="3">
        <f>601.5+(39.1-203.6)+(0+(0-0))+0-0-0</f>
        <v>437</v>
      </c>
      <c r="N249" s="3">
        <f>754.4+(29.8-298.6)+(0.769488+(0.030396-0.304572))+0-0-0</f>
        <v>486.09531199999998</v>
      </c>
      <c r="O249" s="3">
        <f>834.2+(25.6-323)+(-0.425442+(-0.013056--0.16473))+0-0-0</f>
        <v>536.52623200000005</v>
      </c>
      <c r="P249" s="3">
        <f>830.4+(32.7-292.3)+(-0.423504+(-0.016677--0.149073))+0-0-0</f>
        <v>570.50889199999995</v>
      </c>
      <c r="Q249" s="3">
        <f>819.7+(47.3-281.4)+(-1.254141+(-0.072369--0.430542))+0-0-0</f>
        <v>584.7040320000001</v>
      </c>
      <c r="R249" s="3">
        <f>820+(46.7-306.4)+(-1.6728+(-0.095268--0.625056))+0-0-0</f>
        <v>559.15698799999996</v>
      </c>
      <c r="S249" s="3">
        <f>824.5+(34.4-326.5)+(0.84099+(0.035088-0.33303))+2-0-0</f>
        <v>534.94304799999998</v>
      </c>
      <c r="T249" s="3">
        <f>815.6+(31-335.6)+(-0.415956+(-0.01581--0.171156))+0-0-0</f>
        <v>510.73939000000001</v>
      </c>
      <c r="U249" s="3">
        <f>818.7+(31.5-360.8)+(-0.417537+(-0.016065--0.184008))+0-0-0</f>
        <v>489.15040600000003</v>
      </c>
      <c r="V249" s="3">
        <f>819.9+(73.9-338.9)+(-0.418149+(-0.037689--0.172839))+0-0-0</f>
        <v>554.61700099999996</v>
      </c>
      <c r="W249" s="3">
        <f>825.3+(65.7-280)+(0.420903+(0.033507-0.1428))+0-0-0</f>
        <v>611.31160999999997</v>
      </c>
      <c r="X249" s="3">
        <f>823.5+(107.1-302.7)+(-2.51991+(-0.327726--0.926262))+0-0-0</f>
        <v>625.97862599999996</v>
      </c>
      <c r="Y249" s="3">
        <f>820.4+(81.9-297.4)+(-1.255212+(-0.125307--0.455022))+0-0-0</f>
        <v>603.97450300000003</v>
      </c>
      <c r="Z249" s="3">
        <f>825.6+(61.7-269.8)+(-1.684224+(-0.125868--0.550392))+0-0-0</f>
        <v>616.24030000000005</v>
      </c>
      <c r="AA249" s="3">
        <f>827.8+(55.6-293.4)+(-0.844356+(-0.056712--0.299268))+0-0-0</f>
        <v>589.39819999999997</v>
      </c>
      <c r="AB249" s="3">
        <f>826.9+(45.2-318.1)+(-1.265157+(-0.069156--0.486693))+0-0-0</f>
        <v>553.15237999999999</v>
      </c>
      <c r="AC249" s="3">
        <f>817.9+(39.6-354.1)+(-2.502774+(-0.121176--1.083546))+0-0-0</f>
        <v>501.85959599999995</v>
      </c>
      <c r="AD249">
        <v>619</v>
      </c>
      <c r="AE249" s="3">
        <f>829+(74.8-284.8)+(0+(0-0))+0-0-0</f>
        <v>619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826.9+(25.4-378.5)+(0.843438+(0.025908-0.38607))+0-0-0</f>
        <v>474.28327599999994</v>
      </c>
      <c r="G250" s="3">
        <f>814.5+(9.2-400.7)+(-1.246185+(-0.014076--0.613071))+0-0-0</f>
        <v>422.35280999999998</v>
      </c>
      <c r="H250" s="3">
        <f>566.5+(73-256.6)+(-0.866745+(-0.11169--0.392598))+0-0-0</f>
        <v>382.31416299999995</v>
      </c>
      <c r="I250" s="3">
        <f>522.6+(78.4-224.8)+(-0.533052+(-0.079968--0.229296))+0-0-0</f>
        <v>375.81627600000007</v>
      </c>
      <c r="J250" s="3">
        <f>521.6+(69.8-224.1)+(-0.798048+(-0.106794--0.342873))+0-0-0</f>
        <v>366.73803100000003</v>
      </c>
      <c r="K250" s="3">
        <f>521.2+(81.3-225.8)+(-0.531624+(-0.082926--0.230316))+0-0-0</f>
        <v>376.31576600000005</v>
      </c>
      <c r="L250" s="3">
        <f>516.4+(94.7-275.6)+(-1.843548+(-0.338079--0.983892))+0-0-0</f>
        <v>334.30226499999992</v>
      </c>
      <c r="M250" s="3">
        <f>569+(73.7-318.2)+(-0.58038+(-0.075174--0.324564))+0-0-0</f>
        <v>324.16901000000001</v>
      </c>
      <c r="N250" s="3">
        <f>567.8+(110.6-341.4)+(0.289578+(0.056406-0.174114))+0-0-0</f>
        <v>337.17187000000001</v>
      </c>
      <c r="O250" s="3">
        <f>558.7+(98.9-324)+(-1.424685+(-0.252195--0.8262))+0-0-0</f>
        <v>332.74932000000001</v>
      </c>
      <c r="P250" s="3">
        <f>620.7+(79.4-332.5)+(-0.949671+(-0.121482--0.508725))+0-0-0</f>
        <v>367.03757200000001</v>
      </c>
      <c r="Q250" s="3">
        <f>650.5+(78.6-335.4)+(-0.66351+(-0.080172--0.342108))+0-0-0</f>
        <v>393.29842600000006</v>
      </c>
      <c r="R250" s="3">
        <f>650.9+(55.5-318.8)+(-1.327836+(-0.11322--0.650352))+0-0-0</f>
        <v>386.80929599999996</v>
      </c>
      <c r="S250" s="3">
        <f>646.4+(46.7-311.7)+(-0.988992+(-0.071451--0.476901))+0-0-0</f>
        <v>380.81645799999995</v>
      </c>
      <c r="T250" s="3">
        <f>649.5+(43.3-307.2)+(0+(0-0))+0-0-0</f>
        <v>385.6</v>
      </c>
      <c r="U250" s="3">
        <f>650.7+(55.3-327.2)+(-0.331857+(-0.028203--0.166872))+0-0-0</f>
        <v>378.60681200000005</v>
      </c>
      <c r="V250" s="3">
        <f>650.7+(134.3-309.2)+(0.663714+(0.136986-0.315384))+0-0-0</f>
        <v>476.28531600000008</v>
      </c>
      <c r="W250" s="3">
        <f>650.7+(159.4-349.9)+(0.995571+(0.243882-0.535347))+0-0-0</f>
        <v>460.90410600000007</v>
      </c>
      <c r="X250" s="3">
        <f>650.7+(139.9-331.6)+(-0.663714+(-0.142698--0.338232))+0-0-0</f>
        <v>458.53181999999998</v>
      </c>
      <c r="Y250" s="3">
        <f>650.7+(136.7-303.7)+(-0.663714+(-0.139434--0.309774))+0-0-0</f>
        <v>483.20662600000003</v>
      </c>
      <c r="Z250" s="3">
        <f>650.7+(123.4-311.4)+(-0.663714+(-0.125868--0.317628))+0-0-0</f>
        <v>462.22804600000006</v>
      </c>
      <c r="AA250" s="3">
        <f>650.7+(139.3-309.8)+(-0.995571+(-0.213129--0.473994))+0-0-0</f>
        <v>479.46529400000003</v>
      </c>
      <c r="AB250" s="3">
        <f>650.7+(130.8-349.8)+(-0.331857+(-0.066708--0.178398))+0-0-0</f>
        <v>431.47983300000004</v>
      </c>
      <c r="AC250" s="3">
        <f>650.7+(84.1-324.5)+(-0.995571+(-0.128673--0.496485))+0-0-0</f>
        <v>409.67224100000004</v>
      </c>
      <c r="AD250">
        <v>507.8</v>
      </c>
      <c r="AE250" s="3">
        <f>690+(160-342.2)+(0+(0-0))+0-0-0</f>
        <v>507.8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675+(47-340.8)+(-0.34425+(-0.02397--0.173808))+0-0-0</f>
        <v>381.00558799999999</v>
      </c>
      <c r="G251" s="3">
        <f>690+(47.4-340)+(0+(0-0))+0-0-0</f>
        <v>397.4</v>
      </c>
      <c r="H251" s="3">
        <f>682+(27-352)+(0.69564+(0.02754-0.35904))+0-0-0</f>
        <v>357.36414000000002</v>
      </c>
      <c r="I251" s="3">
        <f>666+(33-342.9)+(1.6983+(0.08415-0.874395))+0-0-0</f>
        <v>357.00805500000001</v>
      </c>
      <c r="J251" s="3">
        <f>691+(17-352.7)+(-0.35241+(-0.00867--0.179877))+0-0-0</f>
        <v>355.11879700000003</v>
      </c>
      <c r="K251" s="3">
        <f>652+(43.8-365.9)+(1.33008+(0.089352-0.746436))+0-0-0</f>
        <v>330.57299600000005</v>
      </c>
      <c r="L251" s="3">
        <f>658+(37.4-336.1)+(1.00674+(0.057222-0.514233))+0-0-0</f>
        <v>359.84972899999997</v>
      </c>
      <c r="M251" s="3">
        <f>817+(21.7-394.3)+(-0.83334+(-0.022134--0.402186))+0-0-0</f>
        <v>443.94671199999999</v>
      </c>
      <c r="N251" s="3">
        <f>807+(68-390.7)+(0.82314+(0.06936-0.398514))+0-0-0</f>
        <v>484.79398600000002</v>
      </c>
      <c r="O251" s="3">
        <f>807+(63.8-385.7)+(-1.23471+(-0.097614--0.590121))+0-0-0</f>
        <v>484.35779700000001</v>
      </c>
      <c r="P251" s="3">
        <f>807+(85.2-344.8)+(0.82314+(0.086904-0.351696))+0-0-0</f>
        <v>547.958348</v>
      </c>
      <c r="Q251" s="3">
        <f>807+(76.2-354.4)+(0+(0-0))+0-0-0</f>
        <v>528.79999999999995</v>
      </c>
      <c r="R251" s="3">
        <f>837+(66.5-337)+(-1.28061+(-0.101745--0.51561))+0-0-0</f>
        <v>565.63325499999996</v>
      </c>
      <c r="S251" s="3">
        <f>877+(72.2-377.9)+(-0.44727+(-0.036822--0.192729))+0-0-0</f>
        <v>571.00863699999991</v>
      </c>
      <c r="T251" s="3">
        <f>917+(33.2-390.2)+(-0.46767+(-0.016932--0.199002))+0-0-0</f>
        <v>559.71439999999996</v>
      </c>
      <c r="U251" s="3">
        <f>957+(39.5-411.7)+(-1.46421+(-0.060435--0.629901))+0-0-0</f>
        <v>583.90525600000001</v>
      </c>
      <c r="V251" s="3">
        <f>957+(79.9-429.7)+(0.97614+(0.081498-0.438294))+0-0-0</f>
        <v>607.819344</v>
      </c>
      <c r="W251" s="3">
        <f>1017+(87.5-459.8)+(0.51867+(0.044625-0.234498))+0-0-0</f>
        <v>645.02879700000005</v>
      </c>
      <c r="X251" s="3">
        <f>980.9+(98.7-402.9)+(-1.500777+(-0.151011--0.616437))+0-0-0</f>
        <v>675.66464900000005</v>
      </c>
      <c r="Y251" s="3">
        <f>969.1+(79.2-397.7)+(-0.494241+(-0.040392--0.202827))+0-0-0</f>
        <v>650.26819399999999</v>
      </c>
      <c r="Z251" s="3">
        <f>931.8+(95.5-377.5)+(-0.950436+(-0.09741--0.38505))+0-0-0</f>
        <v>649.137204</v>
      </c>
      <c r="AA251" s="3">
        <f>928.6+(84.9-395.3)+(-0.947172+(-0.086598--0.403206))+0-0-0</f>
        <v>617.569436</v>
      </c>
      <c r="AB251" s="3">
        <f>927.6+(64.9-422.9)+(-0.473076+(-0.033099--0.215679))+0-0-0</f>
        <v>569.30950400000006</v>
      </c>
      <c r="AC251" s="3">
        <f>809+(75.2-369.8)+(-0.41259+(-0.038352--0.188598))+0-0-0</f>
        <v>514.13765599999999</v>
      </c>
      <c r="AD251">
        <v>678.00000000000011</v>
      </c>
      <c r="AE251" s="3">
        <f>995+(119.9-436.9)+(0+(0-0))+0-0-0</f>
        <v>678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783.3+(54.2-368.6)+(-0.798966+(-0.055284--0.375972))+0-0-0</f>
        <v>468.42172199999993</v>
      </c>
      <c r="G252" s="3">
        <f>725.1+(51.9-344.2)+(-0.739602+(-0.052938--0.351084))+0-0-0</f>
        <v>432.35854399999999</v>
      </c>
      <c r="H252" s="3">
        <f>725.4+(34.1-355.9)+(0.739908+(0.034782-0.363018))+0-0-0</f>
        <v>404.01167200000003</v>
      </c>
      <c r="I252" s="3">
        <f>729+(32.2-357.6)+(1.11537+(0.049266-0.547128))+0-0-0</f>
        <v>404.21750799999995</v>
      </c>
      <c r="J252" s="3">
        <f>734.1+(34.7-358.1)+(1.871955+(0.088485-0.913155))+0-0-0</f>
        <v>411.74728499999998</v>
      </c>
      <c r="K252" s="3">
        <f>735.9+(52.8-372)+(1.125927+(0.080784-0.56916))+0-0-0</f>
        <v>417.33755099999996</v>
      </c>
      <c r="L252" s="3">
        <f>723.4+(63.4-355.6)+(-1.475736+(-0.129336--0.725424))+0-0-0</f>
        <v>430.32035199999996</v>
      </c>
      <c r="M252" s="3">
        <f>738+(60.5-363.4)+(-0.37638+(-0.030855--0.185334))+0-0-0</f>
        <v>434.87809900000002</v>
      </c>
      <c r="N252" s="3">
        <f>803.9+(56.3-364.5)+(0.819978+(0.057426-0.37179))+0-0-0</f>
        <v>496.20561399999997</v>
      </c>
      <c r="O252" s="3">
        <f>871.2+(46.3-380.7)+(0+(0-0))+0-0-0</f>
        <v>536.80000000000007</v>
      </c>
      <c r="P252" s="3">
        <f>927.5+(28.7-393.5)+(0.473025+(0.014637-0.200685))+0-0-0</f>
        <v>562.98697700000002</v>
      </c>
      <c r="Q252" s="3">
        <f>934.9+(30.5-392.3)+(-0.953598+(-0.03111--0.400146))+0-0-0</f>
        <v>572.5154379999999</v>
      </c>
      <c r="R252" s="3">
        <f>944.8+(16.7-405.7)+(-2.891088+(-0.051102--1.241442))+0-0-0</f>
        <v>554.09925199999998</v>
      </c>
      <c r="S252" s="3">
        <f>960.5+(14.7-437)+(-2.449275+(-0.037485--1.11435))+0-0-0</f>
        <v>536.8275900000001</v>
      </c>
      <c r="T252" s="3">
        <f>1004.4+(11.7-479.5)+(-1.024488+(-0.011934--0.48909))+0-0-0</f>
        <v>536.05266799999993</v>
      </c>
      <c r="U252" s="3">
        <f>1003+(12.6-483)+(1.02306+(0.012852-0.49266))+0-0-0</f>
        <v>533.14325200000007</v>
      </c>
      <c r="V252" s="3">
        <f>1022.3+(0-476.4)+(1.042746+(0-0.485928))+0-0-0</f>
        <v>546.456818</v>
      </c>
      <c r="W252" s="3">
        <f>1085.6+(93.6-531.8)+(1.660968+(0.143208-0.813654))+0-0-0</f>
        <v>648.39052200000003</v>
      </c>
      <c r="X252" s="3">
        <f>1120.9+(63.4-520.6)+(-1.714977+(-0.097002--0.796518))+0-0-0</f>
        <v>662.68453900000009</v>
      </c>
      <c r="Y252" s="3">
        <f>1027.9+(85.6-475.7)+(-1.048458+(-0.087312--0.485214))+0-0-0</f>
        <v>637.14944400000002</v>
      </c>
      <c r="Z252" s="3">
        <f>964+(108.8-463.4)+(-0.49164+(-0.055488--0.236334))+0-0-0</f>
        <v>609.0892060000001</v>
      </c>
      <c r="AA252" s="3">
        <f>961.7+(103.1-469.6)+(-0.980934+(-0.105162--0.478992))+0-0-0</f>
        <v>594.592896</v>
      </c>
      <c r="AB252" s="3">
        <f>953.3+(101.5-486.6)+(-2.917098+(-0.31059--1.488996))+0-0-0</f>
        <v>566.46130799999992</v>
      </c>
      <c r="AC252" s="3">
        <f>941.6+(67.1-489.5)+(-2.40108+(-0.171105--1.248225))+0-0-0</f>
        <v>517.87603999999999</v>
      </c>
      <c r="AD252">
        <v>682.60000000000014</v>
      </c>
      <c r="AE252" s="3">
        <f>1139+(106.4-562.8)+(0+(0-0))+0-0-0</f>
        <v>682.6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941.3+(17.3-481.6)+(-0.480063+(-0.008823--0.245616))+0-0-0</f>
        <v>476.75672999999995</v>
      </c>
      <c r="G253" s="3">
        <f>818+(35.7-406)+(-1.66872+(-0.072828--0.82824))+0-0-0</f>
        <v>446.78669200000002</v>
      </c>
      <c r="H253" s="3">
        <f>724.1+(53.1-352.1)+(1.107873+(0.081243-0.538713))+0-0-0</f>
        <v>425.75040300000001</v>
      </c>
      <c r="I253" s="3">
        <f>708.3+(45.2-339.9)+(-1.083699+(-0.069156--0.520047))+0-0-0</f>
        <v>412.96719199999995</v>
      </c>
      <c r="J253" s="3">
        <f>720.8+(53.8-359.8)+(1.470432+(0.109752-0.733992))+0-0-0</f>
        <v>415.64619199999993</v>
      </c>
      <c r="K253" s="3">
        <f>718.4+(60.8-358.1)+(0.366384+(0.031008-0.182631))+0-0-0</f>
        <v>421.31476099999998</v>
      </c>
      <c r="L253" s="3">
        <f>776.3+(47.1-390.7)+(-0.395913+(-0.024021--0.199257))+0-0-0</f>
        <v>432.47932299999997</v>
      </c>
      <c r="M253" s="3">
        <f>934.6+(31.9-509.9)+(-0.476646+(-0.016269--0.260049))+0-0-0</f>
        <v>456.36713400000002</v>
      </c>
      <c r="N253" s="3">
        <f>928.1+(27-447.9)+(-0.473331+(-0.01377--0.228429))+0-0-0</f>
        <v>506.94132800000006</v>
      </c>
      <c r="O253" s="3">
        <f>928.4+(12.8-396.3)+(-0.473484+(-0.006528--0.202113))+0-0-0</f>
        <v>544.62210099999993</v>
      </c>
      <c r="P253" s="3">
        <f>933.4+(14.8-386.1)+(-0.476034+(-0.007548--0.196911))+0-0-0</f>
        <v>561.81332899999995</v>
      </c>
      <c r="Q253" s="3">
        <f>931.9+(19.3-374.3)+(-1.425807+(-0.029529--0.572679))+0-0-0</f>
        <v>576.01734299999998</v>
      </c>
      <c r="R253" s="3">
        <f>932.3+(12.9-404.1)+(-1.426419+(-0.019737--0.618273))+0-0-0</f>
        <v>540.27211699999987</v>
      </c>
      <c r="S253" s="3">
        <f>933.2+(17.6-424.3)+(-0.475932+(-0.008976--0.216393))+0-0-0</f>
        <v>526.23148500000002</v>
      </c>
      <c r="T253" s="3">
        <f>934+(0-432.8)+(1.42902+(0-0.662184))+0-0-0</f>
        <v>501.966836</v>
      </c>
      <c r="U253" s="3">
        <f>949.6+(3.1-459.5)+(0+(0-0))+0-0-0</f>
        <v>493.20000000000005</v>
      </c>
      <c r="V253" s="3">
        <f>962.7+(10.9-463.9)+(-1.963908+(-0.022236--0.946356))+0-0-0</f>
        <v>508.66021200000006</v>
      </c>
      <c r="W253" s="3">
        <f>1009.1+(13.9-414)+(0.514641+(0.007089-0.21114))+0-0-0</f>
        <v>609.31059000000005</v>
      </c>
      <c r="X253" s="3">
        <f>1110.4+(1.3-467)+(-1.698912+(-0.001989--0.71451))+0-0-0</f>
        <v>643.71360900000002</v>
      </c>
      <c r="Y253" s="3">
        <f>1049.7+(13.7-426.1)+(0+(0-0))+0-0-0</f>
        <v>637.29999999999995</v>
      </c>
      <c r="Z253" s="3">
        <f>952.4+(50.6-368.7)+(0+(0-0))+0-0-0</f>
        <v>634.29999999999995</v>
      </c>
      <c r="AA253" s="3">
        <f>939.1+(44.2-375.9)+(-1.915764+(-0.090168--0.766836))+0-0-0</f>
        <v>606.16090400000007</v>
      </c>
      <c r="AB253" s="3">
        <f>937.7+(28.6-390.7)+(-3.347589+(-0.102102--1.394799))+0-0-0</f>
        <v>573.54510800000014</v>
      </c>
      <c r="AC253" s="3">
        <f>930.7+(32-432.1)+(-2.373285+(-0.0816--1.101855))+0-0-0</f>
        <v>529.24697000000003</v>
      </c>
      <c r="AD253">
        <v>621.29999999999995</v>
      </c>
      <c r="AE253" s="3">
        <f>1107+(20.3-506)+(0+(0-0))+0-0-0</f>
        <v>621.29999999999995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923.3+(32.3-486.4)+(-3.296181+(-0.115311--1.736448))+0-0-0</f>
        <v>467.52495599999997</v>
      </c>
      <c r="G254" s="3">
        <f>922.3+(9.9-505.7)+(-1.881492+(-0.020196--1.031628))+0-0-0</f>
        <v>425.62993999999992</v>
      </c>
      <c r="H254" s="3">
        <f>747.1+(36.6-368.8)+(0+(0-0))+0-0-0</f>
        <v>414.90000000000003</v>
      </c>
      <c r="I254" s="3">
        <f>704.9+(70.1-363.6)+(-0.718998+(-0.071502--0.370872))+0-0-0</f>
        <v>410.98037199999999</v>
      </c>
      <c r="J254" s="3">
        <f>767.5+(60.8-418.6)+(0+(0-0))+0-0-0</f>
        <v>409.7</v>
      </c>
      <c r="K254" s="3">
        <f>837.4+(67-482.6)+(1.281222+(0.10251-0.738378))+0-0-0</f>
        <v>422.44535399999995</v>
      </c>
      <c r="L254" s="3">
        <f>893.8+(66.8-519.8)+(-1.823352+(-0.136272--1.060392))+0-0-0</f>
        <v>439.90076800000003</v>
      </c>
      <c r="M254" s="3">
        <f>915.5+(26.7-484.8)+(-0.466905+(-0.013617--0.247248))+0-0-0</f>
        <v>457.16672599999998</v>
      </c>
      <c r="N254" s="3">
        <f>917.9+(29.6-439.7)+(0+(0-0))+0-0-0</f>
        <v>507.8</v>
      </c>
      <c r="O254" s="3">
        <f>910.5+(44-396)+(-0.464355+(-0.02244--0.20196))+0-0-0</f>
        <v>558.21516499999996</v>
      </c>
      <c r="P254" s="3">
        <f>931.5+(44.6-417.4)+(-1.90026+(-0.090984--0.851496))+0-0-0</f>
        <v>557.56025199999999</v>
      </c>
      <c r="Q254" s="3">
        <f>1040.4+(16.1-496.8)+(-2.65302+(-0.041055--1.26684))+0-0-0</f>
        <v>558.27276500000005</v>
      </c>
      <c r="R254" s="3">
        <f>909+(52-408.4)+(-2.31795+(-0.1326--1.04142))+0-0-0</f>
        <v>551.19087000000002</v>
      </c>
      <c r="S254" s="3">
        <f>921.2+(29.5-413.7)+(-1.409436+(-0.045135--0.632961))+0-0-0</f>
        <v>536.17839000000004</v>
      </c>
      <c r="T254" s="3">
        <f>921.3+(24.4-412.3)+(-1.409589+(-0.037332--0.630819))+0-0-0</f>
        <v>532.58389799999986</v>
      </c>
      <c r="U254" s="3">
        <f>924+(18.3-409.8)+(-0.94248+(-0.018666--0.417996))+0-0-0</f>
        <v>531.95685000000003</v>
      </c>
      <c r="V254" s="3">
        <f>930.7+(24.3-405)+(0+(0-0))+0-0-0</f>
        <v>550</v>
      </c>
      <c r="W254" s="3">
        <f>962.3+(95.4-398.6)+(1.963092+(0.194616-0.813144))+0-0-0</f>
        <v>660.4445639999999</v>
      </c>
      <c r="X254" s="3">
        <f>947.8+(111.5-371.8)+(-1.450134+(-0.170595--0.568854))+0-0-0</f>
        <v>686.448125</v>
      </c>
      <c r="Y254" s="3">
        <f>941.9+(99.5-370.1)+(-2.882214+(-0.30447--1.132506))+0-0-0</f>
        <v>669.24582199999998</v>
      </c>
      <c r="Z254" s="3">
        <f>940.6+(82.9-373.2)+(-1.439118+(-0.126837--0.570996))+0-0-0</f>
        <v>649.30504100000007</v>
      </c>
      <c r="AA254" s="3">
        <f>939.1+(69.1-381.3)+(-1.436823+(-0.105723--0.583389))+0-0-0</f>
        <v>625.94084299999997</v>
      </c>
      <c r="AB254" s="3">
        <f>941.2+(53.7-404.9)+(-0.480012+(-0.027387--0.206499))+0-0-0</f>
        <v>589.69910000000004</v>
      </c>
      <c r="AC254" s="3">
        <f>924.3+(36.1-430.3)+(-2.356965+(-0.092055--1.097265))+0-0-0</f>
        <v>528.74824499999988</v>
      </c>
      <c r="AD254">
        <v>662.80000000000007</v>
      </c>
      <c r="AE254" s="3">
        <f>949+(131.4-417.6)+(0+(0-0))+0-0-0</f>
        <v>662.8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776.2+(49.9-363.8)+(-1.583448+(-0.101796--0.742152))+0-0-0</f>
        <v>461.35690800000003</v>
      </c>
      <c r="G255" s="3">
        <f>781.3+(47.1-416.9)+(0.398463+(0.024021-0.212619))+0-0-0</f>
        <v>411.70986499999998</v>
      </c>
      <c r="H255" s="3">
        <f>786.7+(35-429.8)+(0.802434+(0.0357-0.438396))+0-0-0</f>
        <v>392.29973800000005</v>
      </c>
      <c r="I255" s="3">
        <f>778.2+(36.5-433.1)+(-1.190646+(-0.055845--0.662643))+0-0-0</f>
        <v>381.01615200000003</v>
      </c>
      <c r="J255" s="3">
        <f>782.6+(37.8-442)+(-0.399126+(-0.019278--0.22542))+0-0-0</f>
        <v>378.20701600000001</v>
      </c>
      <c r="K255" s="3">
        <f>795.4+(45.9-455.9)+(1.622616+(0.093636-0.930036))+0-0-0</f>
        <v>386.186216</v>
      </c>
      <c r="L255" s="3">
        <f>857.4+(74.1-532.4)+(0+(0-0))+0-0-0</f>
        <v>399.1</v>
      </c>
      <c r="M255" s="3">
        <f>922.3+(37.2-533.1)+(-0.470373+(-0.018972--0.271881))+0-0-0</f>
        <v>426.18253599999991</v>
      </c>
      <c r="N255" s="3">
        <f>926.2+(15-458.1)+(0+(0-0))+0-0-0</f>
        <v>483.1</v>
      </c>
      <c r="O255" s="3">
        <f>924.4+(10.1-415.7)+(0+(0-0))+0-0-0</f>
        <v>518.79999999999995</v>
      </c>
      <c r="P255" s="3">
        <f>926.8+(11.1-387.6)+(-0.472668+(-0.005661--0.197676))+0-0-0</f>
        <v>550.01934699999993</v>
      </c>
      <c r="Q255" s="3">
        <f>925.5+(10-392.5)+(-0.472005+(-0.0051--0.200175))+0-0-0</f>
        <v>542.72307000000001</v>
      </c>
      <c r="R255" s="3">
        <f>930.3+(7.1-390.1)+(0+(0-0))+0-0-0</f>
        <v>547.29999999999995</v>
      </c>
      <c r="S255" s="3">
        <f>930.4+(2.7-396.8)+(0+(0-0))+0-0-0</f>
        <v>536.29999999999995</v>
      </c>
      <c r="T255" s="3">
        <f>936.8+(0-414.4)+(0.955536+(0-0.422688))+0-0-0</f>
        <v>522.93284799999992</v>
      </c>
      <c r="U255" s="3">
        <f>931.3+(0-414.8)+(-0.949926+(0--0.423096))+0-0-0</f>
        <v>515.97316999999998</v>
      </c>
      <c r="V255" s="3">
        <f>932.3+(6.9-417.7)+(0+(0-0))+0-0-0</f>
        <v>521.5</v>
      </c>
      <c r="W255" s="3">
        <f>952.1+(41.1-364.5)+(0+(0-0))+0-0-0</f>
        <v>628.70000000000005</v>
      </c>
      <c r="X255" s="3">
        <f>969.1+(40.8-359.1)+(-1.482723+(-0.062424--0.549423))+0-0-0</f>
        <v>649.80427599999996</v>
      </c>
      <c r="Y255" s="3">
        <f>961.2+(30.4-346.1)+(-1.960848+(-0.062016--0.706044))+0-0-0</f>
        <v>644.18317999999999</v>
      </c>
      <c r="Z255" s="3">
        <f>964.8+(41.1-365.6)+(-0.984096+(-0.041922--0.372912))+0-0-0</f>
        <v>639.64689399999997</v>
      </c>
      <c r="AA255" s="3">
        <f>953.7+(43.7-371.2)+(-1.459161+(-0.066861--0.567936))+0-0-0</f>
        <v>625.24191400000007</v>
      </c>
      <c r="AB255" s="3">
        <f>948.9+(43.6-391.5)+(-1.935756+(-0.088944--0.79866))+0-0-0</f>
        <v>599.77395999999999</v>
      </c>
      <c r="AC255" s="3">
        <f>949.9+(40.3-430.9)+(-1.937796+(-0.082212--0.879036))+0-0-0</f>
        <v>558.15902799999992</v>
      </c>
      <c r="AD255">
        <v>649.5</v>
      </c>
      <c r="AE255" s="3">
        <f>963+(45.4-358.9)+(0+(0-0))+0-0-0</f>
        <v>649.5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910.6+(21.7-411.2)+(-1.393218+(-0.033201--0.629136))+0-0-0</f>
        <v>520.30271700000003</v>
      </c>
      <c r="G256" s="3">
        <f>816.4+(41.3-386.8)+(-3.330912+(-0.168504--1.578144))+0-0-0</f>
        <v>468.97872799999999</v>
      </c>
      <c r="H256" s="3">
        <f>637.5+(56-249.7)+(-2.275875+(-0.19992--0.891429))+0-0-0</f>
        <v>442.21563400000002</v>
      </c>
      <c r="I256" s="3">
        <f>565.4+(72.7-203.4)+(-1.153416+(-0.148308--0.414936))+0-0-0</f>
        <v>433.81321199999996</v>
      </c>
      <c r="J256" s="3">
        <f>652.6+(41.9-270.8)+(-0.332826+(-0.021369--0.138108))+0-0-0</f>
        <v>423.48391300000003</v>
      </c>
      <c r="K256" s="3">
        <f>660.5+(39.2-268.9)+(0+(0-0))+0-0-0</f>
        <v>430.8</v>
      </c>
      <c r="L256" s="3">
        <f>656.7+(50.7-270)+(-0.669834+(-0.051714--0.2754))+0-0-0</f>
        <v>436.95385200000004</v>
      </c>
      <c r="M256" s="3">
        <f>682.9+(35.1-276.9)+(0.348279+(0.017901-0.141219))+0-0-0</f>
        <v>441.32496100000003</v>
      </c>
      <c r="N256" s="3">
        <f>812+(42.6-349.8)+(0.82824+(0.043452-0.356796))+0-0-0</f>
        <v>505.31489600000003</v>
      </c>
      <c r="O256" s="3">
        <f>812+(47-288.9)+(-0.41412+(-0.02397--0.147339))+0-0-0</f>
        <v>569.80924900000002</v>
      </c>
      <c r="P256" s="3">
        <f>833.5+(51-286.7)+(0+(0-0))+0-0-0</f>
        <v>597.79999999999995</v>
      </c>
      <c r="Q256" s="3">
        <f>845.7+(52.7-289.5)+(-1.293921+(-0.080631--0.442935))+0-0-0</f>
        <v>607.96838300000013</v>
      </c>
      <c r="R256" s="3">
        <f>897.4+(44.9-353.5)+(-2.746044+(-0.137394--1.08171))+0-0-0</f>
        <v>586.99827199999993</v>
      </c>
      <c r="S256" s="3">
        <f>933.1+(27-402.2)+(-2.379405+(-0.06885--1.02561))+0-0-0</f>
        <v>556.4773550000001</v>
      </c>
      <c r="T256" s="3">
        <f>820.8+(7.5-292)+(0.418608+(0.003825-0.14892))+0-0-0</f>
        <v>536.57351299999993</v>
      </c>
      <c r="U256" s="3">
        <f>805+(10.9-280.4)+(-1.23165+(-0.016677--0.429012))+0-0-0</f>
        <v>534.68068500000004</v>
      </c>
      <c r="V256" s="3">
        <f>812.6+(39.1-279.5)+(0+(0-0))+0-0-0</f>
        <v>572.20000000000005</v>
      </c>
      <c r="W256" s="3">
        <f>824+(110.1-276)+(-0.42024+(-0.056151--0.14076))+0-0-0</f>
        <v>657.76436899999999</v>
      </c>
      <c r="X256" s="3">
        <f>858.8+(80.7-272.3)+(0.875976+(0.082314-0.277746))+0-0-0</f>
        <v>667.88054399999999</v>
      </c>
      <c r="Y256" s="3">
        <f>848.2+(78.4-268.6)+(-1.730328+(-0.159936--0.547944))+0-0-0</f>
        <v>656.65768000000003</v>
      </c>
      <c r="Z256" s="3">
        <f>946.1+(36.8-341.8)+(-1.930044+(-0.075072--0.697272))+0-0-0</f>
        <v>639.79215599999998</v>
      </c>
      <c r="AA256" s="3">
        <f>987.9+(21.6-384.2)+(0.503829+(0.011016-0.195942))+0-0-0</f>
        <v>625.61890299999993</v>
      </c>
      <c r="AB256" s="3">
        <f>953.8+(45.7-415.5)+(-0.486438+(-0.023307--0.211905))+0-0-0</f>
        <v>583.70216000000005</v>
      </c>
      <c r="AC256" s="3">
        <f>889.5+(48.9-387.6)+(-1.360935+(-0.074817--0.593028))+0-0-0</f>
        <v>549.95727599999998</v>
      </c>
      <c r="AD256">
        <v>633.80000000000007</v>
      </c>
      <c r="AE256" s="3">
        <f>838+(107.7-311.9)+(0+(0-0))+0-0-0</f>
        <v>633.79999999999995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887.3+(39.6-432.3)+(-2.262615+(-0.10098--1.102365))+0-0-0</f>
        <v>493.33876999999995</v>
      </c>
      <c r="G257" s="3">
        <f>884.2+(15.1-445.6)+(-0.901884+(-0.015402--0.454512))+0-0-0</f>
        <v>453.23722600000002</v>
      </c>
      <c r="H257" s="3">
        <f>867.6+(3.1-447)+(-0.884952+(-0.003162--0.45594))+0-0-0</f>
        <v>423.26782600000007</v>
      </c>
      <c r="I257" s="3">
        <f>867+(0-452.8)+(-0.44217+(0--0.230928))+0-0-0</f>
        <v>413.98875799999996</v>
      </c>
      <c r="J257" s="3">
        <f>865.7+(14.8-464.7)+(-0.441507+(-0.007548--0.236997))+0-0-0</f>
        <v>415.58794200000006</v>
      </c>
      <c r="K257" s="3">
        <f>873.7+(15.9-464.1)+(1.782348+(0.032436-0.946764))+0-0-0</f>
        <v>426.36802</v>
      </c>
      <c r="L257" s="3">
        <f>866.5+(13.1-454.2)+(-0.88383+(-0.013362--0.463284))+0-0-0</f>
        <v>424.96609200000006</v>
      </c>
      <c r="M257" s="3">
        <f>867.2+(12.6-486.2)+(0+(0-0))+0-0-0</f>
        <v>393.60000000000008</v>
      </c>
      <c r="N257" s="3">
        <f>858.3+(12.8-446.8)+(0+(0-0))+0-0-0</f>
        <v>424.29999999999995</v>
      </c>
      <c r="O257" s="3">
        <f>781.8+(4-326.5)+(-0.398718+(-0.00204--0.166515))+0-0-0</f>
        <v>459.06575699999996</v>
      </c>
      <c r="P257" s="3">
        <f>783.8+(5.6-305.8)+(-1.199214+(-0.008568--0.467874))+0-0-0</f>
        <v>482.86009199999995</v>
      </c>
      <c r="Q257" s="3">
        <f>787.4+(7.8-307.7)+(-1.606296+(-0.015912--0.627708))+0-0-0</f>
        <v>486.50549999999998</v>
      </c>
      <c r="R257" s="3">
        <f>812.3+(0-317.5)+(-2.071365+(0--0.809625))+0-0-0</f>
        <v>493.53825999999998</v>
      </c>
      <c r="S257" s="3">
        <f>825.5+(0-341.2)+(-0.84201+(0--0.348024))+0-0-0</f>
        <v>483.806014</v>
      </c>
      <c r="T257" s="3">
        <f>788+(6.2-313.3)+(0+(0-0))+0-0-0</f>
        <v>480.9</v>
      </c>
      <c r="U257" s="3">
        <f>793.1+(4.4-323.8)+(1.213443+(0.006732-0.495414))+0-0-0</f>
        <v>474.42476099999999</v>
      </c>
      <c r="V257" s="3">
        <f>787+(9.5-305.1)+(0+(0-0))+0-0-0</f>
        <v>491.4</v>
      </c>
      <c r="W257" s="3">
        <f>807+(114.1-314)+(-0.82314+(-0.116382--0.32028))+0-0-0</f>
        <v>606.48075800000004</v>
      </c>
      <c r="X257" s="3">
        <f>814.7+(100.4-283.9)+(-0.415497+(-0.051204--0.144789))+0-0-0</f>
        <v>630.87808800000005</v>
      </c>
      <c r="Y257" s="3">
        <f>805.7+(98.4-292.4)+(-1.232721+(-0.150552--0.447372))+0-0-0</f>
        <v>610.7640990000001</v>
      </c>
      <c r="Z257" s="3">
        <f>804.8+(97.9-308.9)+(-0.820896+(-0.099858--0.315078))+0-0-0</f>
        <v>593.19432399999994</v>
      </c>
      <c r="AA257" s="3">
        <f>803.1+(87.3-318.1)+(0.409581+(0.044523-0.162231))+0-0-0</f>
        <v>572.59187299999996</v>
      </c>
      <c r="AB257" s="3">
        <f>805.3+(135.5-385)+(0.821406+(0.13821-0.3927))+0-0-0</f>
        <v>556.36691599999995</v>
      </c>
      <c r="AC257" s="3">
        <f>800.9+(120.5-393.6)+(0+(0-0))+0-0-0</f>
        <v>527.79999999999995</v>
      </c>
      <c r="AD257">
        <v>599.70000000000005</v>
      </c>
      <c r="AE257" s="3">
        <f>824+(92-316.3)+(0+(0-0))+0-0-0</f>
        <v>599.70000000000005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793+(73.2-406.3)+(-0.80886+(-0.074664--0.414426))+0-0-0</f>
        <v>459.430902</v>
      </c>
      <c r="G258" s="3">
        <f>757.5+(27.7-360.4)+(-0.386325+(-0.014127--0.183804))+0-0-0</f>
        <v>424.58335199999999</v>
      </c>
      <c r="H258" s="3">
        <f>674.6+(37.6-310.7)+(-0.688092+(-0.038352--0.316914))+0-0-0</f>
        <v>401.09047000000004</v>
      </c>
      <c r="I258" s="3">
        <f>680.6+(30.2-309.2)+(-0.347106+(-0.015402--0.157692))+0-0-0</f>
        <v>401.39518400000003</v>
      </c>
      <c r="J258" s="3">
        <f>681.4+(29.6-313.2)+(0.347514+(0.015096-0.159732))+0-0-0</f>
        <v>398.00287800000001</v>
      </c>
      <c r="K258" s="3">
        <f>680.9+(41.8-315.3)+(-0.347259+(-0.021318--0.160803))+0-0-0</f>
        <v>407.19222600000001</v>
      </c>
      <c r="L258" s="3">
        <f>740.3+(43.8-351.6)+(-0.377553+(-0.022338--0.179316))+0-0-0</f>
        <v>432.27942499999995</v>
      </c>
      <c r="M258" s="3">
        <f>756.5+(50.9-354)+(-1.157445+(-0.077877--0.54162))+0-0-0</f>
        <v>452.706298</v>
      </c>
      <c r="N258" s="3">
        <f>760.1+(59.8-329.4)+(-0.387651+(-0.030498--0.167994))+0-0-0</f>
        <v>490.24984500000005</v>
      </c>
      <c r="O258" s="3">
        <f>755.8+(34.6-256.2)+(-0.770916+(-0.035292--0.261324))+0-0-0</f>
        <v>533.65511599999991</v>
      </c>
      <c r="P258" s="3">
        <f>760.9+(24.7-230.5)+(-0.388059+(-0.012597--0.117555))+0-0-0</f>
        <v>554.81689899999992</v>
      </c>
      <c r="Q258" s="3">
        <f>758.4+(21.9-225.1)+(-0.386784+(-0.011169--0.114801))+0-0-0</f>
        <v>554.91684800000007</v>
      </c>
      <c r="R258" s="3">
        <f>754.3+(21.6-238.7)+(-1.538772+(-0.044064--0.486948))+0-0-0</f>
        <v>536.10411199999999</v>
      </c>
      <c r="S258" s="3">
        <f>761.1+(24.5-257)+(-0.388161+(-0.012495--0.13107))+0-0-0</f>
        <v>528.33041400000002</v>
      </c>
      <c r="T258" s="3">
        <f>758.8+(25.1-282.7)+(-1.547952+(-0.051204--0.576708))+0-0-0</f>
        <v>500.17755199999999</v>
      </c>
      <c r="U258" s="3">
        <f>762.7+(21.9-301.6)+(0+(0-0))+0-0-0</f>
        <v>483</v>
      </c>
      <c r="V258" s="3">
        <f>813.2+(16.2-324.7)+(-0.414732+(-0.008262--0.165597))+0-0-0</f>
        <v>504.44260300000002</v>
      </c>
      <c r="W258" s="3">
        <f>894.4+(65.2-333.1)+(-0.912288+(-0.066504--0.339762))+0-0-0</f>
        <v>625.86096999999995</v>
      </c>
      <c r="X258" s="3">
        <f>928.1+(49-324.3)+(-1.893324+(-0.09996--0.661572))+0-0-0</f>
        <v>651.46828799999992</v>
      </c>
      <c r="Y258" s="3">
        <f>812.8+(92.9-262.2)+(-2.07264+(-0.236895--0.66861))+0-0-0</f>
        <v>641.85907499999996</v>
      </c>
      <c r="Z258" s="3">
        <f>808.5+(97-270.4)+(-1.237005+(-0.14841--0.413712))+0-0-0</f>
        <v>634.12829699999998</v>
      </c>
      <c r="AA258" s="3">
        <f>808.6+(90.1-289)+(-0.824772+(-0.091902--0.29478))+0-0-0</f>
        <v>609.07810600000005</v>
      </c>
      <c r="AB258" s="3">
        <f>809.6+(77.5-309.7)+(-0.412896+(-0.039525--0.157947))+0-0-0</f>
        <v>577.10552600000005</v>
      </c>
      <c r="AC258" s="3">
        <f>811.3+(58-327.2)+(0+(0-0))+0-0-0</f>
        <v>542.09999999999991</v>
      </c>
      <c r="AD258">
        <v>648.4</v>
      </c>
      <c r="AE258" s="3">
        <f>974+(66-391.6)+(0+(0-0))+0-0-0</f>
        <v>648.4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805.3+(38.7-331.9)+(-0.821406+(-0.039474--0.338538))+0-0-0</f>
        <v>511.57765799999993</v>
      </c>
      <c r="G259" s="3">
        <f>803.7+(27.7-348.5)+(-1.639548+(-0.056508--0.71094))+0-0-0</f>
        <v>481.91488400000003</v>
      </c>
      <c r="H259" s="3">
        <f>763.9+(24.2-330.5)+(-0.389589+(-0.012342--0.168555))+0-0-0</f>
        <v>457.36662399999994</v>
      </c>
      <c r="I259" s="3">
        <f>682+(45.1-277.4)+(-0.69564+(-0.046002--0.282948))+0-0-0</f>
        <v>449.24130600000007</v>
      </c>
      <c r="J259" s="3">
        <f>682.7+(48.3-280.9)+(-0.696354+(-0.049266--0.286518))+0-0-0</f>
        <v>449.64089800000011</v>
      </c>
      <c r="K259" s="3">
        <f>718.6+(41.9-310.4)+(1.465944+(0.085476-0.633216))+0-0-0</f>
        <v>451.01820400000003</v>
      </c>
      <c r="L259" s="3">
        <f>790.5+(48.3-371.5)+(-1.61262+(-0.098532--0.75786))+0-0-0</f>
        <v>466.34670800000004</v>
      </c>
      <c r="M259" s="3">
        <f>791.5+(42.8-355.2)+(-0.80733+(-0.043656--0.362304))+0-0-0</f>
        <v>478.61131800000004</v>
      </c>
      <c r="N259" s="3">
        <f>798.7+(46.5-320.8)+(-0.407337+(-0.023715--0.163608))+0-0-0</f>
        <v>524.13255600000014</v>
      </c>
      <c r="O259" s="3">
        <f>797.3+(47.8-284.1)+(0+(0-0))+0-0-0</f>
        <v>561</v>
      </c>
      <c r="P259" s="3">
        <f>802.1+(40.5-251.7)+(-2.045355+(-0.103275--0.641835))+0-0-0</f>
        <v>589.39320500000008</v>
      </c>
      <c r="Q259" s="3">
        <f>799.4+(47.6-241.3)+(-0.815388+(-0.048552--0.246126))+0-0-0</f>
        <v>605.08218599999998</v>
      </c>
      <c r="R259" s="3">
        <f>777.1+(40-266.8)+(-3.170568+(-0.1632--1.088544))+0-0-0</f>
        <v>548.05477599999995</v>
      </c>
      <c r="S259" s="3">
        <f>816.7+(13.4-303.5)+(-0.833034+(-0.013668--0.30957))+0-0-0</f>
        <v>526.06286799999998</v>
      </c>
      <c r="T259" s="3">
        <f>803.3+(14.6-293.4)+(-1.229049+(-0.022338--0.448902))+0-0-0</f>
        <v>523.69751499999995</v>
      </c>
      <c r="U259" s="3">
        <f>853+(0-339)+(-1.30509+(0--0.51867))+0-0-0</f>
        <v>513.21357999999998</v>
      </c>
      <c r="V259" s="3">
        <f>745.6+(53.4-252.8)+(1.140768+(0.081702-0.386784))+0-0-0</f>
        <v>547.03568600000006</v>
      </c>
      <c r="W259" s="3">
        <f>747.5+(132.9-236.7)+(-0.381225+(-0.067779--0.120717))+0-0-0</f>
        <v>643.371713</v>
      </c>
      <c r="X259" s="3">
        <f>807.9+(103.6-247.9)+(-2.884203+(-0.369852--0.885003))+0-0-0</f>
        <v>661.2309479999999</v>
      </c>
      <c r="Y259" s="3">
        <f>700.4+(156.5-228.2)+(-0.714408+(-0.15963--0.232764))+0-0-0</f>
        <v>628.05872600000009</v>
      </c>
      <c r="Z259" s="3">
        <f>682.4+(149.8-234.2)+(-1.392096+(-0.305592--0.477768))+0-0-0</f>
        <v>596.78008</v>
      </c>
      <c r="AA259" s="3">
        <f>683.5+(123.2-238.8)+(-1.045755+(-0.188496--0.365364))+0-0-0</f>
        <v>567.031113</v>
      </c>
      <c r="AB259" s="3">
        <f>683.8+(134.3-274.8)+(-0.697476+(-0.136986--0.280296))+0-0-0</f>
        <v>542.74583399999995</v>
      </c>
      <c r="AC259" s="3">
        <f>682.3+(98.5-255.3)+(-1.043919+(-0.150705--0.390609))+0-0-0</f>
        <v>524.69598499999995</v>
      </c>
      <c r="AD259">
        <v>735</v>
      </c>
      <c r="AE259" s="3">
        <f>814+(158.5-237.5)+(0+(0-0))+0-0-0</f>
        <v>735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689.6+(60.2-238.4)+(0.351696+(0.030702-0.121584))+0-0-0</f>
        <v>511.66081400000002</v>
      </c>
      <c r="G260" s="3">
        <f>691+(33.1-253.8)+(0.70482+(0.033762-0.258876))+0-0-0</f>
        <v>470.77970599999998</v>
      </c>
      <c r="H260" s="3">
        <f>667+(37.1-255.2)+(0+(0-0))+0-0-0</f>
        <v>448.9</v>
      </c>
      <c r="I260" s="3">
        <f>641.5+(45.4-247.8)+(1.30866+(0.092616-0.505512))+0-0-0</f>
        <v>439.99576400000001</v>
      </c>
      <c r="J260" s="3">
        <f>625.8+(45.1-242)+(-0.638316+(-0.046002--0.24684))+0-0-0</f>
        <v>428.46252199999998</v>
      </c>
      <c r="K260" s="3">
        <f>632.7+(42.7-247.1)+(0.645354+(0.043554-0.252042))+0-0-0</f>
        <v>428.73686600000008</v>
      </c>
      <c r="L260" s="3">
        <f>744.4+(13-331.5)+(-1.89822+(-0.03315--0.845325))+0-0-0</f>
        <v>424.81395499999996</v>
      </c>
      <c r="M260" s="3">
        <f>690.4+(30.5-319.7)+(-0.352104+(-0.015555--0.163047))+0-0-0</f>
        <v>400.99538799999999</v>
      </c>
      <c r="N260" s="3">
        <f>717+(40.6-338.3)+(0.73134+(0.041412-0.345066))+0-0-0</f>
        <v>419.72768600000001</v>
      </c>
      <c r="O260" s="3">
        <f>769.8+(35.7-354.4)+(-1.570392+(-0.072828--0.722976))+0-0-0</f>
        <v>450.17975599999994</v>
      </c>
      <c r="P260" s="3">
        <f>765.8+(48.6-349.2)+(-0.390558+(-0.024786--0.178092))+0-0-0</f>
        <v>464.96274799999998</v>
      </c>
      <c r="Q260" s="3">
        <f>794.9+(29.8-349.9)+(-2.432394+(-0.091188--1.070694))+0-0-0</f>
        <v>473.34711200000004</v>
      </c>
      <c r="R260" s="3">
        <f>807.4+(16-366.5)+(0+(0-0))+0-0-0</f>
        <v>456.9</v>
      </c>
      <c r="S260" s="3">
        <f>762.7+(17.7-328.2)+(0+(0-0))+0-0-0</f>
        <v>452.20000000000005</v>
      </c>
      <c r="T260" s="3">
        <f>723.7+(25.1-306.1)+(-1.845435+(-0.064005--0.780555))+0-0-0</f>
        <v>441.57111500000002</v>
      </c>
      <c r="U260" s="3">
        <f>665.8+(44.2-279.2)+(1.018674+(0.067626-0.427176))+0-0-0</f>
        <v>431.45912399999997</v>
      </c>
      <c r="V260" s="3">
        <f>675.3+(37.9-258.6)+(-0.344403+(-0.019329--0.131886))+0-0-0</f>
        <v>454.36815399999989</v>
      </c>
      <c r="W260" s="3">
        <f>813.8+(45.7-291.1)+(0+(0-0))+0-0-0</f>
        <v>568.39999999999986</v>
      </c>
      <c r="X260" s="3">
        <f>806.9+(32.5-260.2)+(-2.880633+(-0.116025--0.928914))+0-0-0</f>
        <v>577.1322560000001</v>
      </c>
      <c r="Y260" s="3">
        <f>811.1+(27.7-271.2)+(-1.654644+(-0.056508--0.553248))+0-0-0</f>
        <v>566.44209599999999</v>
      </c>
      <c r="Z260" s="3">
        <f>810.5+(22.5-281.8)+(-1.240065+(-0.034425--0.431154))+0-0-0</f>
        <v>550.35666400000002</v>
      </c>
      <c r="AA260" s="3">
        <f>815.1+(35.9-314.9)+(0+(0-0))+0-0-0</f>
        <v>536.1</v>
      </c>
      <c r="AB260" s="3">
        <f>811.6+(60.7-351.8)+(-0.827832+(-0.061914--0.358836))+0-0-0</f>
        <v>519.96909000000005</v>
      </c>
      <c r="AC260" s="3">
        <f>805.2+(40.1-341.3)+(-2.463912+(-0.122706--1.044378))+0-0-0</f>
        <v>502.45776000000006</v>
      </c>
      <c r="AD260">
        <v>548</v>
      </c>
      <c r="AE260" s="3">
        <f>816+(50.7-318.7)+(0+(0-0))+0-0-0</f>
        <v>548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808.9+(1.7-354.4)+(-1.237617+(-0.002601--0.542232))+0-0-0</f>
        <v>455.50201399999997</v>
      </c>
      <c r="G261" s="3">
        <f>627.2+(20.3-225.7)+(-0.639744+(-0.020706--0.230214))+0-0-0</f>
        <v>421.36976400000009</v>
      </c>
      <c r="H261" s="3">
        <f>571.6+(18-197.7)+(-1.166064+(-0.03672--0.403308))+0-0-0</f>
        <v>391.10052400000001</v>
      </c>
      <c r="I261" s="3">
        <f>577.2+(20.2-218.8)+(0+(0-0))+0-0-0</f>
        <v>378.6</v>
      </c>
      <c r="J261" s="3">
        <f>579+(20.6-229.2)+(0.29529+(0.010506-0.116892))+0-0-0</f>
        <v>370.58890399999996</v>
      </c>
      <c r="K261" s="3">
        <f>574+(20.2-221.1)+(-0.87822+(-0.030906--0.338283))+0-0-0</f>
        <v>372.529157</v>
      </c>
      <c r="L261" s="3">
        <f>576.4+(12.8-206.8)+(-0.587928+(-0.013056--0.210936))+0-0-0</f>
        <v>382.009952</v>
      </c>
      <c r="M261" s="3">
        <f>574.1+(4.5-235.5)+(-0.878373+(-0.006885--0.360315))+0-0-0</f>
        <v>342.57505700000002</v>
      </c>
      <c r="N261" s="3">
        <f>608.8+(6.6-265.8)+(-0.310488+(-0.003366--0.135558))+0-0-0</f>
        <v>349.42170399999998</v>
      </c>
      <c r="O261" s="3">
        <f>744.8+(0-369.9)+(0+(0-0))+0-0-0</f>
        <v>374.9</v>
      </c>
      <c r="P261" s="3">
        <f>737.6+(0-374.1)+(-2.257056+(0--1.144746))+0-0-0</f>
        <v>362.38769000000002</v>
      </c>
      <c r="Q261" s="3">
        <f>748.9+(0-398.5)+(-0.381939+(0--0.203235))+0-0-0</f>
        <v>350.221296</v>
      </c>
      <c r="R261" s="3">
        <f>662+(0-327)+(0.33762+(0-0.16677))+0-0-0</f>
        <v>335.17084999999997</v>
      </c>
      <c r="S261" s="3">
        <f>606+(0-275)+(0.92718+(0-0.42075))+0-0-0</f>
        <v>331.50643000000002</v>
      </c>
      <c r="T261" s="3">
        <f>728+(0-364.7)+(-0.37128+(0--0.185997))+0-0-0</f>
        <v>363.11471699999998</v>
      </c>
      <c r="U261" s="3">
        <f>727+(0-362.5)+(-0.37077+(0--0.184875))+0-0-0</f>
        <v>364.31410499999998</v>
      </c>
      <c r="V261" s="3">
        <f>725+(0.4-346.4)+(-0.7395+(-0.000408--0.353328))+0-0-0</f>
        <v>378.61342000000002</v>
      </c>
      <c r="W261" s="3">
        <f>766+(26-298.3)+(0+(0-0))+0-0-0</f>
        <v>493.7</v>
      </c>
      <c r="X261" s="3">
        <f>765.4+(20.2-262.1)+(-1.95177+(-0.05151--0.668355))+0-0-0</f>
        <v>522.165075</v>
      </c>
      <c r="Y261" s="3">
        <f>769.3+(13.9-267.3)+(0+(0-0))+0-0-0</f>
        <v>515.9</v>
      </c>
      <c r="Z261" s="3">
        <f>768.7+(14.5-273.7)+(0+(0-0))+0-0-0</f>
        <v>509.50000000000006</v>
      </c>
      <c r="AA261" s="3">
        <f>769.3+(12.2-278.4)+(-0.392343+(-0.006222--0.141984))+0-0-0</f>
        <v>502.84341899999998</v>
      </c>
      <c r="AB261" s="3">
        <f>766.4+(23-311.1)+(-0.390864+(-0.01173--0.158661))+0-0-0</f>
        <v>478.05606699999993</v>
      </c>
      <c r="AC261" s="3">
        <f>769+(15.5-328.3)+(0+(0-0))+0-0-0</f>
        <v>456.2</v>
      </c>
      <c r="AD261">
        <v>492.99999999999994</v>
      </c>
      <c r="AE261" s="3">
        <f>779+(53.3-339.3)+(0+(0-0))+0-0-0</f>
        <v>493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724.3+(6.2-312.8)+(-1.846965+(-0.01581--0.79764))+0-0-0</f>
        <v>416.63486499999993</v>
      </c>
      <c r="G262" s="3">
        <f>641.6+(12-267.1)+(-0.981648+(-0.01836--0.408663))+0-0-0</f>
        <v>385.90865500000001</v>
      </c>
      <c r="H262" s="3">
        <f>517.5+(21.5-169.1)+(-0.263925+(-0.010965--0.086241))+0-0-0</f>
        <v>369.71135099999998</v>
      </c>
      <c r="I262" s="3">
        <f>508.3+(25.9-170.7)+(-1.036932+(-0.052836--0.348228))+0-0-0</f>
        <v>362.75846000000001</v>
      </c>
      <c r="J262" s="3">
        <f>517.6+(21.7-186.4)+(-0.263976+(-0.011067--0.095064))+0-0-0</f>
        <v>352.72002099999997</v>
      </c>
      <c r="K262" s="3">
        <f>529.8+(18.2-196)+(0.810594+(0.027846-0.29988))+0-0-0</f>
        <v>352.53855999999996</v>
      </c>
      <c r="L262" s="3">
        <f>594+(20.8-245.2)+(-0.90882+(-0.031824--0.375156))+0-0-0</f>
        <v>369.03451200000001</v>
      </c>
      <c r="M262" s="3">
        <f>680.7+(11.5-307.3)+(0.694314+(0.01173-0.313446))+0-0-0</f>
        <v>385.29259800000005</v>
      </c>
      <c r="N262" s="3">
        <f>671.6+(26.3-265.6)+(-0.342516+(-0.013413--0.135456))+0-0-0</f>
        <v>432.07952699999998</v>
      </c>
      <c r="O262" s="3">
        <f>676.3+(64-257.7)+(0.344913+(0.03264-0.131427))+0-0-0</f>
        <v>482.84612599999997</v>
      </c>
      <c r="P262" s="3">
        <f>674.2+(79.4-239.9)+(0+(0-0))+0-0-0</f>
        <v>513.70000000000005</v>
      </c>
      <c r="Q262" s="3">
        <f>670.4+(76.3-224.7)+(-0.341904+(-0.038913--0.114597))+0-0-0</f>
        <v>521.73378000000002</v>
      </c>
      <c r="R262" s="3">
        <f>663.7+(82.5-228)+(-2.030922+(-0.25245--0.69768))+0-0-0</f>
        <v>516.61430800000005</v>
      </c>
      <c r="S262" s="3">
        <f>666+(71.9-234.4)+(-1.35864+(-0.146676--0.478176))+0-0-0</f>
        <v>502.47286000000003</v>
      </c>
      <c r="T262" s="3">
        <f>669.3+(50.3-216)+(-1.024029+(-0.076959--0.33048))+0-0-0</f>
        <v>502.82949199999996</v>
      </c>
      <c r="U262" s="3">
        <f>675.4+(47.8-224.7)+(-1.033362+(-0.073134--0.343791))+0-0-0</f>
        <v>497.73729500000002</v>
      </c>
      <c r="V262" s="3">
        <f>741.8+(58.9-311.8)+(0+(0-0))+0-0-0</f>
        <v>488.9</v>
      </c>
      <c r="W262" s="3">
        <f>799+(83.7-311.9)+(0.40749+(0.042687-0.159069))+0-0-0</f>
        <v>571.09110799999996</v>
      </c>
      <c r="X262" s="3">
        <f>811.9+(121.1-274.5)+(-2.484414+(-0.370566--0.83997))+0-0-0</f>
        <v>656.48499000000004</v>
      </c>
      <c r="Y262" s="3">
        <f>821.3+(102.1-272.2)+(-1.256589+(-0.156213--0.416466))+0-0-0</f>
        <v>650.20366399999989</v>
      </c>
      <c r="Z262" s="3">
        <f>820.9+(76.4-268.1)+(-0.418659+(-0.038964--0.136731))+0-0-0</f>
        <v>628.87910799999997</v>
      </c>
      <c r="AA262" s="3">
        <f>820+(67.8-279.6)+(0.4182+(0.034578-0.142596))+0-0-0</f>
        <v>608.5101820000001</v>
      </c>
      <c r="AB262" s="3">
        <f>816+(78-329.7)+(-1.24848+(-0.11934--0.504441))+0-0-0</f>
        <v>563.43662099999995</v>
      </c>
      <c r="AC262" s="3">
        <f>808.4+(48-321.6)+(-2.473704+(-0.14688--0.984096))+0-0-0</f>
        <v>533.16351199999997</v>
      </c>
      <c r="AD262">
        <v>663.6</v>
      </c>
      <c r="AE262" s="3">
        <f>806+(129.5-271.9)+(0+(0-0))+0-0-0</f>
        <v>663.6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798+(39.8-330.1)+(-2.0349+(-0.10149--0.841755))+0-0-0</f>
        <v>506.40536499999996</v>
      </c>
      <c r="G263" s="3">
        <f>792.6+(20.8-345.5)+(-2.425356+(-0.063648--1.05723))+0-0-0</f>
        <v>466.46822600000002</v>
      </c>
      <c r="H263" s="3">
        <f>802.8+(11.7-369.5)+(1.228284+(0.017901-0.565335))+0-0-0</f>
        <v>445.68084999999996</v>
      </c>
      <c r="I263" s="3">
        <f>804+(10.5-385.1)+(0+(0-0))+0-0-0</f>
        <v>429.4</v>
      </c>
      <c r="J263" s="3">
        <f>804+(15.4-384.5)+(1.23012+(0.023562-0.588285))+0-0-0</f>
        <v>435.56539699999996</v>
      </c>
      <c r="K263" s="3">
        <f>794.2+(12.8-373)+(-1.215126+(-0.019584--0.57069))+0-0-0</f>
        <v>433.33598000000006</v>
      </c>
      <c r="L263" s="3">
        <f>800.5+(11.1-368.9)+(-0.408255+(-0.005661--0.188139))+0-0-0</f>
        <v>442.47422300000005</v>
      </c>
      <c r="M263" s="3">
        <f>793.6+(17.8-378.9)+(-0.809472+(-0.018156--0.386478))+0-0-0</f>
        <v>432.05885000000006</v>
      </c>
      <c r="N263" s="3">
        <f>796+(69.3-355.1)+(0.81192+(0.070686-0.362202))+0-0-0</f>
        <v>510.72040399999997</v>
      </c>
      <c r="O263" s="3">
        <f>807.3+(95.2-356.8)+(0.411723+(0.048552-0.181968))+0-0-0</f>
        <v>545.97830699999997</v>
      </c>
      <c r="P263" s="3">
        <f>808.6+(86.1-346.2)+(1.237158+(0.131733-0.529686))+0-0-0</f>
        <v>549.33920499999999</v>
      </c>
      <c r="Q263" s="3">
        <f>809.7+(81.3-327.4)+(-0.412947+(-0.041463--0.166974))+0-0-0</f>
        <v>563.31256400000018</v>
      </c>
      <c r="R263" s="3">
        <f>809.4+(77.9-353.4)+(-1.238382+(-0.119187--0.540702))+0-0-0</f>
        <v>533.08313299999998</v>
      </c>
      <c r="S263" s="3">
        <f>809.6+(69.6-364.7)+(-2.06448+(-0.17748--0.929985))+0-0-0</f>
        <v>513.18802500000004</v>
      </c>
      <c r="T263" s="3">
        <f>809.4+(69-367.9)+(-1.238382+(-0.10557--0.562887))+0-0-0</f>
        <v>509.71893499999999</v>
      </c>
      <c r="U263" s="3">
        <f>809.6+(78.5-377.8)+(-1.651584+(-0.16014--0.770712))+0-0-0</f>
        <v>509.25898799999999</v>
      </c>
      <c r="V263" s="3">
        <f>809.7+(70.5-348.5)+(-1.238841+(-0.107865--0.533205))+0-0-0</f>
        <v>530.88649900000007</v>
      </c>
      <c r="W263" s="3">
        <f>810.3+(121.8-313.6)+(0.413253+(0.062118-0.159936))+0-0-0</f>
        <v>618.81543499999998</v>
      </c>
      <c r="X263" s="3">
        <f>810.4+(141.2-309.7)+(0+(0-0))+0-0-0</f>
        <v>641.9</v>
      </c>
      <c r="Y263" s="3">
        <f>810.2+(133.7-294.3)+(-2.06601+(-0.340935--0.750465))+0-0-0</f>
        <v>647.94352000000003</v>
      </c>
      <c r="Z263" s="3">
        <f>810.1+(149.1-335.7)+(-1.652604+(-0.304164--0.684828))+0-0-0</f>
        <v>622.22806000000003</v>
      </c>
      <c r="AA263" s="3">
        <f>810.1+(133.7-342.1)+(-1.239453+(-0.204561--0.523413))+0-0-0</f>
        <v>600.77939900000001</v>
      </c>
      <c r="AB263" s="3">
        <f>810.3+(153-398)+(-1.239759+(-0.23409--0.60894))+0-0-0</f>
        <v>564.43509099999994</v>
      </c>
      <c r="AC263" s="3">
        <f>809.6+(106.1-394.3)+(-0.825792+(-0.108222--0.402186))+0-0-0</f>
        <v>520.86817199999996</v>
      </c>
      <c r="AD263">
        <v>631</v>
      </c>
      <c r="AE263" s="3">
        <f>816+(146.2-331.2)+(0+(0-0))+0-0-0</f>
        <v>631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784.3+(70.6-391.8)+(-1.199979+(-0.108018--0.599454))+0-0-0</f>
        <v>462.39145699999989</v>
      </c>
      <c r="G264" s="3">
        <f>787.3+(41.7-399.9)+(-0.803046+(-0.042534--0.407898))+0-0-0</f>
        <v>428.66231799999997</v>
      </c>
      <c r="H264" s="3">
        <f>643.4+(72.1-316.9)+(0+(0-0))+0-0-0</f>
        <v>398.6</v>
      </c>
      <c r="I264" s="3">
        <f>636.4+(74-321.6)+(0.324564+(0.03774-0.164016))+0-0-0</f>
        <v>388.99828799999995</v>
      </c>
      <c r="J264" s="3">
        <f>633.6+(64.1-307.9)+(-0.323136+(-0.032691--0.157029))+0-0-0</f>
        <v>389.60120200000006</v>
      </c>
      <c r="K264" s="3">
        <f>642.5+(57.5-301.9)+(1.638375+(0.146625-0.769845))+0-0-0</f>
        <v>399.11515500000002</v>
      </c>
      <c r="L264" s="3">
        <f>626.5+(66.6-309.6)+(-1.597575+(-0.16983--0.78948))+0-0-0</f>
        <v>382.52207499999997</v>
      </c>
      <c r="M264" s="3">
        <f>648.6+(81.8-344.6)+(-0.992358+(-0.125154--0.527238))+0-0-0</f>
        <v>385.20972599999999</v>
      </c>
      <c r="N264" s="3">
        <f>638.1+(99-336.7)+(0.650862+(0.10098-0.343434))+0-0-0</f>
        <v>400.80840800000004</v>
      </c>
      <c r="O264" s="3">
        <f>662.9+(125.1-358.8)+(0.676158+(0.127602-0.365976))+0-0-0</f>
        <v>429.63778399999995</v>
      </c>
      <c r="P264" s="3">
        <f>786.6+(119.2-431.1)+(-0.802332+(-0.121584--0.439722))+0-0-0</f>
        <v>474.21580599999999</v>
      </c>
      <c r="Q264" s="3">
        <f>777.3+(131.4-429)+(-0.792846+(-0.134028--0.43758))+0-0-0</f>
        <v>479.21070599999996</v>
      </c>
      <c r="R264" s="3">
        <f>769.3+(134.1-423)+(-1.569372+(-0.273564--0.86292))+0-0-0</f>
        <v>479.419984</v>
      </c>
      <c r="S264" s="3">
        <f>766.3+(121.6-425.6)+(-1.563252+(-0.248064--0.868224))+0-0-0</f>
        <v>461.35690799999998</v>
      </c>
      <c r="T264" s="3">
        <f>771.3+(116.6-440.9)+(-0.393363+(-0.059466--0.224859))+0-0-0</f>
        <v>446.77202999999997</v>
      </c>
      <c r="U264" s="3">
        <f>765.3+(110-435.8)+(-1.170909+(-0.1683--0.666774))+0-0-0</f>
        <v>438.82756499999994</v>
      </c>
      <c r="V264" s="3">
        <f>778.4+(83-389.1)+(-0.396984+(-0.04233--0.198441))+0-0-0</f>
        <v>472.05912699999993</v>
      </c>
      <c r="W264" s="3">
        <f>808.1+(120.8-346.9)+(-1.236393+(-0.184824--0.530757))+0-0-0</f>
        <v>581.10954000000004</v>
      </c>
      <c r="X264" s="3">
        <f>808.5+(143.7-352.2)+(-0.412335+(-0.073287--0.179622))+0-0-0</f>
        <v>599.69399999999996</v>
      </c>
      <c r="Y264" s="3">
        <f>809.5+(152.8-359.7)+(-0.412845+(-0.077928--0.183447))+0-0-0</f>
        <v>602.29267400000003</v>
      </c>
      <c r="Z264" s="3">
        <f>803.9+(153.4-363.5)+(-0.819978+(-0.156468--0.37077))+0-0-0</f>
        <v>593.19432399999994</v>
      </c>
      <c r="AA264" s="3">
        <f>796.9+(138.7-359.1)+(-1.219257+(-0.212211--0.549423))+0-0-0</f>
        <v>575.61795500000005</v>
      </c>
      <c r="AB264" s="3">
        <f>795.6+(129.7-381.8)+(-1.217268+(-0.198441--0.584154))+0-0-0</f>
        <v>542.66844500000002</v>
      </c>
      <c r="AC264" s="3">
        <f>790.9+(82.7-384.1)+(-2.420154+(-0.253062--1.175346))+0-0-0</f>
        <v>488.00212999999997</v>
      </c>
      <c r="AD264">
        <v>598.1</v>
      </c>
      <c r="AE264" s="3">
        <f>805+(141.7-348.6)+(0+(0-0))+0-0-0</f>
        <v>598.09999999999991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790.3+(33.3-384.7)+(-2.015265+(-0.084915--0.980985))+0-0-0</f>
        <v>437.78080499999999</v>
      </c>
      <c r="G265" s="3">
        <f>791+(20.8-402.5)+(-1.61364+(-0.042432--0.8211))+0-0-0</f>
        <v>408.46502800000002</v>
      </c>
      <c r="H265" s="3">
        <f>798.2+(39.9-433)+(0+(0-0))+0-0-0</f>
        <v>405.1</v>
      </c>
      <c r="I265" s="3">
        <f>796.2+(42.2-444.6)+(-0.406062+(-0.021522--0.226746))+0-0-0</f>
        <v>393.59916200000004</v>
      </c>
      <c r="J265" s="3">
        <f>800.2+(47.7-453.2)+(0.408102+(0.024327-0.231132))+0-0-0</f>
        <v>394.90129700000006</v>
      </c>
      <c r="K265" s="3">
        <f>804.4+(66-475.4)+(0.410244+(0.03366-0.242454))+0-0-0</f>
        <v>395.20145000000002</v>
      </c>
      <c r="L265" s="3">
        <f>815.5+(91.6-475.1)+(0+(0-0))+0-0-0</f>
        <v>432</v>
      </c>
      <c r="M265" s="3">
        <f>816.5+(69.5-428.5)+(1.249245+(0.106335-0.655605))+0-0-0</f>
        <v>458.19997499999999</v>
      </c>
      <c r="N265" s="3">
        <f>805.5+(59.8-363.6)+(0.82161+(0.060996-0.370872))+0-0-0</f>
        <v>502.21173399999998</v>
      </c>
      <c r="O265" s="3">
        <f>797.3+(65.8-332.5)+(0+(0-0))+0-0-0</f>
        <v>530.59999999999991</v>
      </c>
      <c r="P265" s="3">
        <f>810.9+(97.9-333.3)+(-1.240677+(-0.149787--0.509949))+0-0-0</f>
        <v>574.61948500000005</v>
      </c>
      <c r="Q265" s="3">
        <f>797.1+(97.9-339.1)+(-0.813042+(-0.099858--0.345882))+0-0-0</f>
        <v>555.33298200000002</v>
      </c>
      <c r="R265" s="3">
        <f>798+(84.3-342.4)+(-2.0349+(-0.214965--0.87312))+0-0-0</f>
        <v>538.52325500000006</v>
      </c>
      <c r="S265" s="3">
        <f>798.3+(84.3-381)+(0+(0-0))+0-0-0</f>
        <v>501.59999999999997</v>
      </c>
      <c r="T265" s="3">
        <f>798.3+(88.7-370.2)+(-0.814266+(-0.090474--0.377604))+0-0-0</f>
        <v>516.27286399999991</v>
      </c>
      <c r="U265" s="3">
        <f>798.5+(93-367.6)+(0+(0-0))+0-0-0</f>
        <v>523.9</v>
      </c>
      <c r="V265" s="3">
        <f>798.1+(92.4-326.4)+(-0.407031+(-0.047124--0.166464))+0-0-0</f>
        <v>563.81230900000003</v>
      </c>
      <c r="W265" s="3">
        <f>798.6+(124.1-291.5)+(0.814572+(0.126582-0.29733))+0-0-0</f>
        <v>631.84382400000004</v>
      </c>
      <c r="X265" s="3">
        <f>798.9+(128.7-298.4)+(-1.222317+(-0.196911--0.456552))+0-0-0</f>
        <v>628.23732400000006</v>
      </c>
      <c r="Y265" s="3">
        <f>799.1+(123.5-306.8)+(-0.407541+(-0.062985--0.156468))+0-0-0</f>
        <v>615.48594199999991</v>
      </c>
      <c r="Z265" s="3">
        <f>798.9+(112.6-310.6)+(-0.407439+(-0.057426--0.158406))+0-0-0</f>
        <v>600.59354099999996</v>
      </c>
      <c r="AA265" s="3">
        <f>798.7+(123.8-338.9)+(0+(0-0))+0-0-0</f>
        <v>583.60000000000014</v>
      </c>
      <c r="AB265" s="3">
        <f>798.8+(111.1-370.7)+(0+(0-0))+0-0-0</f>
        <v>539.19999999999993</v>
      </c>
      <c r="AC265" s="3">
        <f>798.7+(94.7-396.1)+(0+(0-0))+0-0-0</f>
        <v>497.3</v>
      </c>
      <c r="AD265">
        <v>658.8</v>
      </c>
      <c r="AE265" s="3">
        <f>826+(136-303.2)+(0+(0-0))+0-0-0</f>
        <v>658.8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804.8+(54.9-395.5)+(-1.231344+(-0.083997--0.605115))+0-0-0</f>
        <v>463.48977399999995</v>
      </c>
      <c r="G266" s="3">
        <f>804.6+(28.5-392.8)+(-2.05173+(-0.072675--1.00164))+0-0-0</f>
        <v>439.177235</v>
      </c>
      <c r="H266" s="3">
        <f>666.5+(52.6-300)+(0+(0-0))+0-0-0</f>
        <v>419.1</v>
      </c>
      <c r="I266" s="3">
        <f>616.8+(62-280.3)+(0+(0-0))+0-0-0</f>
        <v>398.49999999999994</v>
      </c>
      <c r="J266" s="3">
        <f>612.8+(60.1-265.9)+(-0.625056+(-0.061302--0.271218))+0-0-0</f>
        <v>406.58485999999999</v>
      </c>
      <c r="K266" s="3">
        <f>618.2+(67-265.7)+(0.945846+(0.10251-0.406521))+0-0-0</f>
        <v>420.14183500000007</v>
      </c>
      <c r="L266" s="3">
        <f>616.5+(80.9-261.3)+(0.62883+(0.082518-0.266526))+0-0-0</f>
        <v>436.54482200000001</v>
      </c>
      <c r="M266" s="3">
        <f>744.1+(54.3-332.3)+(1.517964+(0.110772-0.677892))+0-0-0</f>
        <v>467.05084400000004</v>
      </c>
      <c r="N266" s="3">
        <f>793.2+(70.7-345.3)+(-0.809064+(-0.072114--0.352206))+0-0-0</f>
        <v>518.07102800000007</v>
      </c>
      <c r="O266" s="3">
        <f>828.4+(95.8-323.8)+(0.422484+(0.048858-0.165138))+0-0-0</f>
        <v>600.70620399999996</v>
      </c>
      <c r="P266" s="3">
        <f>830.8+(86.7-289.3)+(0.423708+(0.044217-0.147543))+0-0-0</f>
        <v>628.52038199999993</v>
      </c>
      <c r="Q266" s="3">
        <f>793.2+(90.8-284.6)+(-1.618128+(-0.185232--0.580584))+0-0-0</f>
        <v>598.17722400000014</v>
      </c>
      <c r="R266" s="3">
        <f>795.1+(97.8-305.8)+(-1.216503+(-0.149634--0.467874))+0-0-0</f>
        <v>586.20173699999998</v>
      </c>
      <c r="S266" s="3">
        <f>797.8+(76.4-317.8)+(-0.813756+(-0.077928--0.324156))+0-0-0</f>
        <v>555.83247199999994</v>
      </c>
      <c r="T266" s="3">
        <f>805.5+(69.1-328.2)+(0.82161+(0.070482-0.334764))+0-0-0</f>
        <v>546.95732799999996</v>
      </c>
      <c r="U266" s="3">
        <f>801.2+(86.8-330.9)+(-0.817224+(-0.088536--0.337518))+0-0-0</f>
        <v>556.53175800000008</v>
      </c>
      <c r="V266" s="3">
        <f>805.8+(92.3-324.9)+(0.821916+(0.094146-0.331398))+0-0-0</f>
        <v>573.78466400000002</v>
      </c>
      <c r="W266" s="3">
        <f>806.2+(126.5-253.4)+(0.822324+(0.12903-0.258468))+0-0-0</f>
        <v>679.99288600000011</v>
      </c>
      <c r="X266" s="3">
        <f>806.7+(137.7-239.4)+(-1.645668+(-0.280908--0.488376))+0-0-0</f>
        <v>703.56179999999995</v>
      </c>
      <c r="Y266" s="3">
        <f>804.5+(129.3-245)+(-2.46177+(-0.395658--0.7497))+0-0-0</f>
        <v>686.692272</v>
      </c>
      <c r="Z266" s="3">
        <f>805.6+(115.2-258.7)+(-1.232568+(-0.176256--0.395811))+0-0-0</f>
        <v>661.08698700000002</v>
      </c>
      <c r="AA266" s="3">
        <f>809.1+(123.4-292.3)+(-0.825282+(-0.125868--0.298146))+0-0-0</f>
        <v>639.54699600000004</v>
      </c>
      <c r="AB266" s="3">
        <f>802+(104.5-304)+(-2.45412+(-0.31977--0.93024))+0-0-0</f>
        <v>600.65634999999997</v>
      </c>
      <c r="AC266" s="3">
        <f>690.5+(143.9-280.7)+(-1.056465+(-0.220167--0.429471))+0-0-0</f>
        <v>552.85283900000002</v>
      </c>
      <c r="AD266">
        <v>666</v>
      </c>
      <c r="AE266" s="3">
        <f>817+(129.6-280.6)+(0+(0-0))+0-0-0</f>
        <v>666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688.4+(104.7-296.4)+(-1.053252+(-0.160191--0.453492))+0-0-0</f>
        <v>495.94004899999999</v>
      </c>
      <c r="G267" s="3">
        <f>694.9+(97.1-328.3)+(1.417596+(0.198084-0.669732))+0-0-0</f>
        <v>464.64594799999992</v>
      </c>
      <c r="H267" s="3">
        <f>694+(81.4-332.1)+(1.06182+(0.124542-0.508113))+0-0-0</f>
        <v>443.97824899999995</v>
      </c>
      <c r="I267" s="3">
        <f>691.3+(71.2-328.4)+(0.352563+(0.036312-0.167484))+0-0-0</f>
        <v>434.32139099999995</v>
      </c>
      <c r="J267" s="3">
        <f>660.6+(92.6-322.6)+(-1.68453+(-0.23613--0.82263))+0-0-0</f>
        <v>429.50197000000003</v>
      </c>
      <c r="K267" s="3">
        <f>690.2+(121.8-369)+(0.352002+(0.062118-0.18819))+0-0-0</f>
        <v>443.22593000000006</v>
      </c>
      <c r="L267" s="3">
        <f>791.4+(136.1-460.2)+(-0.807228+(-0.138822--0.469404))+0-0-0</f>
        <v>466.82335399999994</v>
      </c>
      <c r="M267" s="3">
        <f>801.7+(122.8-445.5)+(0.408867+(0.062628-0.227205))+0-0-0</f>
        <v>479.24429000000003</v>
      </c>
      <c r="N267" s="3">
        <f>796.2+(101.5-374.5)+(0+(0-0))+0-0-0</f>
        <v>523.20000000000005</v>
      </c>
      <c r="O267" s="3">
        <f>793.3+(90.4-334.2)+(0.404583+(0.046104-0.170442))+0-0-0</f>
        <v>549.78024500000004</v>
      </c>
      <c r="P267" s="3">
        <f>793.4+(89.6-315)+(-0.404634+(-0.045696--0.16065))+0-0-0</f>
        <v>567.71032000000002</v>
      </c>
      <c r="Q267" s="3">
        <f>792.9+(85.1-317.5)+(-1.213137+(-0.130203--0.485775))+0-0-0</f>
        <v>559.64243499999998</v>
      </c>
      <c r="R267" s="3">
        <f>793.9+(75.6-328.5)+(-0.809778+(-0.077112--0.33507))+0-0-0</f>
        <v>540.44817999999998</v>
      </c>
      <c r="S267" s="3">
        <f>794.6+(78.9-338.4)+(-1.620984+(-0.160956--0.690336))+0-0-0</f>
        <v>534.00839600000006</v>
      </c>
      <c r="T267" s="3">
        <f>789.6+(71-330.5)+(-0.805392+(-0.07242--0.33711))+0-0-0</f>
        <v>529.55929800000001</v>
      </c>
      <c r="U267" s="3">
        <f>783.6+(81.4-328.1)+(-1.198908+(-0.124542--0.501993))+0-0-0</f>
        <v>536.07854299999997</v>
      </c>
      <c r="V267" s="3">
        <f>788+(72-287.7)+(-0.80376+(-0.07344--0.293454))+0-0-0</f>
        <v>571.71625399999994</v>
      </c>
      <c r="W267" s="3">
        <f>815.4+(126.1-253.8)+(-0.415854+(-0.064311--0.129438))+0-0-0</f>
        <v>687.34927299999993</v>
      </c>
      <c r="X267" s="3">
        <f>815.8+(138.2-243.6)+(-2.08029+(-0.35241--0.62118))+0-0-0</f>
        <v>708.58848</v>
      </c>
      <c r="Y267" s="3">
        <f>814.5+(133.2-253.7)+(-0.83079+(-0.135864--0.258774))+0-0-0</f>
        <v>693.29211999999995</v>
      </c>
      <c r="Z267" s="3">
        <f>814.1+(126.1-268.5)+(-1.660764+(-0.257244--0.54774))+0-0-0</f>
        <v>670.32973200000004</v>
      </c>
      <c r="AA267" s="3">
        <f>820.7+(141.8-314.9)+(-0.837114+(-0.144636--0.321198))+0-0-0</f>
        <v>646.93944800000008</v>
      </c>
      <c r="AB267" s="3">
        <f>810.9+(111.8-322.6)+(-2.481354+(-0.342108--0.987156))+0-0-0</f>
        <v>598.26369399999987</v>
      </c>
      <c r="AC267" s="3">
        <f>753.3+(122.6-331.8)+(-1.152549+(-0.187578--0.507654))+0-0-0</f>
        <v>543.26752699999986</v>
      </c>
      <c r="AD267">
        <v>656.59999999999991</v>
      </c>
      <c r="AE267" s="3">
        <f>802+(135.8-281.2)+(0+(0-0))+0-0-0</f>
        <v>656.6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684.3+(104.9-302.1)+(-0.348993+(-0.053499--0.154071))+0-0-0</f>
        <v>486.8515789999999</v>
      </c>
      <c r="G268" s="3">
        <f>683.1+(73.5-311.2)+(-0.348381+(-0.037485--0.158712))+0-0-0</f>
        <v>445.17284600000005</v>
      </c>
      <c r="H268" s="3">
        <f>685.4+(68.8-334.6)+(0.349554+(0.035088-0.170646))+0-0-0</f>
        <v>419.81399599999997</v>
      </c>
      <c r="I268" s="3">
        <f>689+(65.9-336.1)+(1.05417+(0.100827-0.514233))+0-0-0</f>
        <v>419.44076399999994</v>
      </c>
      <c r="J268" s="3">
        <f>726.2+(75.6-379.9)+(-0.370362+(-0.038556--0.193749))+0-0-0</f>
        <v>421.68483100000009</v>
      </c>
      <c r="K268" s="3">
        <f>748.8+(77.8-397.6)+(1.527552+(0.158712-0.811104))+0-0-0</f>
        <v>429.87515999999994</v>
      </c>
      <c r="L268" s="3">
        <f>742.4+(62.3-350.2)+(0+(0-0))+0-0-0</f>
        <v>454.5</v>
      </c>
      <c r="M268" s="3">
        <f>756.1+(65.3-350.7)+(0.385611+(0.033303-0.178857))+0-0-0</f>
        <v>470.94005700000002</v>
      </c>
      <c r="N268" s="3">
        <f>788.6+(92.3-356.2)+(0.402186+(0.047073-0.181662))+0-0-0</f>
        <v>524.96759700000007</v>
      </c>
      <c r="O268" s="3">
        <f>784.3+(107.9-333.4)+(0.799986+(0.110058-0.340068))+0-0-0</f>
        <v>559.36997599999995</v>
      </c>
      <c r="P268" s="3">
        <f>780.9+(109.8-314.6)+(-0.398259+(-0.055998--0.160446))+0-0-0</f>
        <v>575.8061889999999</v>
      </c>
      <c r="Q268" s="3">
        <f>786.1+(122.2-321.9)+(-1.202733+(-0.186966--0.492507))+0-0-0</f>
        <v>585.50280800000007</v>
      </c>
      <c r="R268" s="3">
        <f>779.6+(118.5-317.5)+(-1.590384+(-0.24174--0.6477))+0-0-0</f>
        <v>579.41557599999999</v>
      </c>
      <c r="S268" s="3">
        <f>784.7+(86.8-315.7)+(-0.400197+(-0.044268--0.161007))+0-0-0</f>
        <v>555.51654200000007</v>
      </c>
      <c r="T268" s="3">
        <f>790.7+(67.3-324)+(0.806514+(0.068646-0.33048))+0-0-0</f>
        <v>534.54467999999997</v>
      </c>
      <c r="U268" s="3">
        <f>785.3+(59.5-330.8)+(0+(0-0))+0-0-0</f>
        <v>514</v>
      </c>
      <c r="V268" s="3">
        <f>788.7+(56.1-298.2)+(0.804474+(0.057222-0.304164))+0-0-0</f>
        <v>547.15753200000006</v>
      </c>
      <c r="W268" s="3">
        <f>826.5+(127.9-298.9)+(1.264545+(0.195687-0.457317))+0-0-0</f>
        <v>656.50291500000003</v>
      </c>
      <c r="X268" s="3">
        <f>820.3+(132.2-276.3)+(0+(0-0))+0-0-0</f>
        <v>676.19999999999993</v>
      </c>
      <c r="Y268" s="3">
        <f>809.2+(131.3-264.1)+(-2.06346+(-0.334815--0.673455))+0-0-0</f>
        <v>674.67518000000007</v>
      </c>
      <c r="Z268" s="3">
        <f>813.7+(111.7-270.3)+(-0.829974+(-0.113934--0.275706))+0-0-0</f>
        <v>654.43179800000007</v>
      </c>
      <c r="AA268" s="3">
        <f>813.1+(96.5-276.3)+(-0.829362+(-0.09843--0.281826))+0-0-0</f>
        <v>632.65403399999991</v>
      </c>
      <c r="AB268" s="3">
        <f>815.4+(169.2-392.5)+(0+(0-0))+0-0-0</f>
        <v>592.09999999999991</v>
      </c>
      <c r="AC268" s="3">
        <f>812+(156.9-427)+(-1.24236+(-0.240057--0.65331))+0-0-0</f>
        <v>541.07089299999996</v>
      </c>
      <c r="AD268">
        <v>674.7</v>
      </c>
      <c r="AE268" s="3">
        <f>823+(131.1-279.4)+(0+(0-0))+0-0-0</f>
        <v>674.7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801.9+(83.6-392.1)+(-0.817938+(-0.085272--0.399942))+0-0-0</f>
        <v>492.89673199999999</v>
      </c>
      <c r="G269" s="3">
        <f>619.4+(119.8-273.6)+(-0.631788+(-0.122196--0.279072))+0-0-0</f>
        <v>465.12508799999995</v>
      </c>
      <c r="H269" s="3">
        <f>616.4+(113.4-278.7)+(-0.314364+(-0.057834--0.142137))+0-0-0</f>
        <v>450.86993900000004</v>
      </c>
      <c r="I269" s="3">
        <f>618.5+(96.2-278.4)+(-0.315435+(-0.049062--0.141984))+0-0-0</f>
        <v>436.07748700000002</v>
      </c>
      <c r="J269" s="3">
        <f>624.8+(84.5-275.5)+(2.230536+(0.301665-0.983535))+0-0-0</f>
        <v>435.34866599999998</v>
      </c>
      <c r="K269" s="3">
        <f>630.8+(91.2-277.3)+(0.643416+(0.093024-0.282846))+0-0-0</f>
        <v>445.15359399999994</v>
      </c>
      <c r="L269" s="3">
        <f>637.3+(143.8-312.8)+(-0.325023+(-0.073338--0.159528))+0-0-0</f>
        <v>468.06116699999995</v>
      </c>
      <c r="M269" s="3">
        <f>634+(185.9-339.9)+(-0.64668+(-0.189618--0.346698))+0-0-0</f>
        <v>479.5104</v>
      </c>
      <c r="N269" s="3">
        <f>637.3+(167.2-274.4)+(-0.325023+(-0.085272--0.139944))+0-0-0</f>
        <v>529.8296489999999</v>
      </c>
      <c r="O269" s="3">
        <f>667.2+(162.4-271.6)+(-0.340272+(-0.082824--0.138516))+0-0-0</f>
        <v>557.71541999999999</v>
      </c>
      <c r="P269" s="3">
        <f>824+(79.9-316.5)+(0+(0-0))+0-0-0</f>
        <v>587.4</v>
      </c>
      <c r="Q269" s="3">
        <f>813.6+(75.3-291.1)+(-0.829872+(-0.076806--0.296922))+0-0-0</f>
        <v>597.19024400000001</v>
      </c>
      <c r="R269" s="3">
        <f>813.1+(75.4-292.7)+(-1.244043+(-0.115362--0.447831))+0-0-0</f>
        <v>594.88842600000009</v>
      </c>
      <c r="S269" s="3">
        <f>812.7+(74-298.7)+(-1.243431+(-0.11322--0.457011))+0-0-0</f>
        <v>587.10036000000002</v>
      </c>
      <c r="T269" s="3">
        <f>809.2+(72.4-314.5)+(1.238076+(0.110772-0.481185))+0-0-0</f>
        <v>567.96766300000002</v>
      </c>
      <c r="U269" s="3">
        <f>804.8+(52.2-303.7)+(0+(0-0))+0-0-0</f>
        <v>553.29999999999995</v>
      </c>
      <c r="V269" s="3">
        <f>798.2+(64.8-292.2)+(-0.407082+(-0.033048--0.149022))+0-0-0</f>
        <v>570.50889200000006</v>
      </c>
      <c r="W269" s="3">
        <f>821.8+(118.4-264.4)+(0.838236+(0.120768-0.269688))+0-0-0</f>
        <v>676.48931599999992</v>
      </c>
      <c r="X269" s="3">
        <f>884.8+(81.6-267.3)+(-1.804992+(-0.166464--0.545292))+0-0-0</f>
        <v>697.67383599999994</v>
      </c>
      <c r="Y269" s="3">
        <f>905.2+(60.3-261.7)+(-2.769912+(-0.184518--0.800802))+0-0-0</f>
        <v>701.64637200000004</v>
      </c>
      <c r="Z269" s="3">
        <f>925+(30-271.2)+(-0.47175+(-0.0153--0.138312))+0-0-0</f>
        <v>683.45126199999993</v>
      </c>
      <c r="AA269" s="3">
        <f>804.8+(92.4-231.6)+(-1.641792+(-0.188496--0.472464))+0-0-0</f>
        <v>664.24217599999986</v>
      </c>
      <c r="AB269" s="3">
        <f>800.7+(86.5-266.4)+(-1.633428+(-0.17646--0.543456))+0-0-0</f>
        <v>619.53356800000006</v>
      </c>
      <c r="AC269" s="3">
        <f>800.2+(81.4-314.4)+(-1.632408+(-0.166056--0.641376))+0-0-0</f>
        <v>566.042912</v>
      </c>
      <c r="AD269">
        <v>654.1</v>
      </c>
      <c r="AE269" s="3">
        <f>841+(111.2-298.1)+(0+(0-0))+0-0-0</f>
        <v>654.09999999999991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784.8+(60.2-332.9)+(-2.00124+(-0.15351--0.848895))+0-0-0</f>
        <v>510.7941449999999</v>
      </c>
      <c r="G270" s="3">
        <f>661.1+(93.6-275.8)+(-0.337161+(-0.047736--0.140658))+0-0-0</f>
        <v>478.65576099999998</v>
      </c>
      <c r="H270" s="3">
        <f>656.4+(83.7-273.8)+(-1.004292+(-0.128061--0.418914))+0-0-0</f>
        <v>465.58656099999996</v>
      </c>
      <c r="I270" s="3">
        <f>665.3+(72-280.7)+(1.017909+(0.11016-0.429471))+0-0-0</f>
        <v>457.29859799999997</v>
      </c>
      <c r="J270" s="3">
        <f>705.1+(57.6-316.2)+(0.359601+(0.029376-0.161262))+0-0-0</f>
        <v>446.72771500000005</v>
      </c>
      <c r="K270" s="3">
        <f>787.5+(39-368.2)+(1.204875+(0.05967-0.563346))+0-0-0</f>
        <v>459.00119899999999</v>
      </c>
      <c r="L270" s="3">
        <f>795.8+(73.8-393.5)+(0.405858+(0.037638-0.200685))+0-0-0</f>
        <v>476.34281099999998</v>
      </c>
      <c r="M270" s="3">
        <f>796.7+(47.1-381)+(0.406317+(0.024021-0.19431))+0-0-0</f>
        <v>463.03602800000004</v>
      </c>
      <c r="N270" s="3">
        <f>799.6+(79.3-343)+(0.407796+(0.040443-0.17493))+0-0-0</f>
        <v>536.17330900000013</v>
      </c>
      <c r="O270" s="3">
        <f>806.1+(91.5-312.3)+(-0.411111+(-0.046665--0.159273))+0-0-0</f>
        <v>585.00149699999997</v>
      </c>
      <c r="P270" s="3">
        <f>858.1+(60.3-326.1)+(-0.875262+(-0.061506--0.332622))+0-0-0</f>
        <v>591.69585399999994</v>
      </c>
      <c r="Q270" s="3">
        <f>926.2+(30.8-351.1)+(-1.889448+(-0.062832--0.716244))+0-0-0</f>
        <v>604.66396400000008</v>
      </c>
      <c r="R270" s="3">
        <f>820.4+(74.8-303.5)+(-2.510424+(-0.228888--0.92871))+0-0-0</f>
        <v>589.88939800000003</v>
      </c>
      <c r="S270" s="3">
        <f>801.7+(82.3-308.1)+(0+(0-0))+0-0-0</f>
        <v>575.90000000000009</v>
      </c>
      <c r="T270" s="3">
        <f>795.1+(69.7-312.8)+(-1.622004+(-0.142188--0.638112))+0-0-0</f>
        <v>550.87392</v>
      </c>
      <c r="U270" s="3">
        <f>800.2+(52.4-309.4)+(0+(0-0))+0-0-0</f>
        <v>543.20000000000005</v>
      </c>
      <c r="V270" s="3">
        <f>801.5+(46.8-274.3)+(0+(0-0))+0-0-0</f>
        <v>574</v>
      </c>
      <c r="W270" s="3">
        <f>817.5+(102.7-253.3)+(0+(0-0))+0-0-0</f>
        <v>666.9</v>
      </c>
      <c r="X270" s="3">
        <f>823.9+(100.3-243.3)+(-1.680756+(-0.204612--0.496332))+0-0-0</f>
        <v>679.51096399999994</v>
      </c>
      <c r="Y270" s="3">
        <f>820.8+(98.6-251.1)+(-1.255824+(-0.150858--0.384183))+0-0-0</f>
        <v>667.27750099999992</v>
      </c>
      <c r="Z270" s="3">
        <f>821.3+(89.1-260.9)+(-0.418863+(-0.045441--0.133059))+0-0-0</f>
        <v>649.16875500000003</v>
      </c>
      <c r="AA270" s="3">
        <f>813.9+(81.3-271.7)+(-1.660356+(-0.165852--0.554268))+0-0-0</f>
        <v>622.22806000000003</v>
      </c>
      <c r="AB270" s="3">
        <f>813.9+(66.8-282.8)+(-2.075445+(-0.17034--0.72114))+0-0-0</f>
        <v>596.37535500000001</v>
      </c>
      <c r="AC270" s="3">
        <f>812.8+(68.1-326.2)+(-2.07264+(-0.173655--0.83181))+0-0-0</f>
        <v>553.28551499999992</v>
      </c>
      <c r="AD270">
        <v>656.3</v>
      </c>
      <c r="AE270" s="3">
        <f>815+(119-277.7)+(0+(0-0))+0-0-0</f>
        <v>656.3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818.7+(56.8-383.1)+(-0.835074+(-0.057936--0.390762))+0-0-0</f>
        <v>491.89775200000003</v>
      </c>
      <c r="G271" s="3">
        <f>757.4+(69.9-365)+(-1.545096+(-0.142596--0.7446))+0-0-0</f>
        <v>461.35690799999998</v>
      </c>
      <c r="H271" s="3">
        <f>638+(100.6-305.6)+(-0.32538+(-0.051306--0.155856))+0-0-0</f>
        <v>432.77917000000002</v>
      </c>
      <c r="I271" s="3">
        <f>636.4+(76.1-289)+(-0.649128+(-0.077622--0.29478))+0-0-0</f>
        <v>423.06803000000002</v>
      </c>
      <c r="J271" s="3">
        <f>640.1+(70.5-300.4)+(0.326451+(0.035955-0.153204))+0-0-0</f>
        <v>410.40920200000005</v>
      </c>
      <c r="K271" s="3">
        <f>637.7+(71.8-288.7)+(0+(0-0))+0-0-0</f>
        <v>420.80000000000007</v>
      </c>
      <c r="L271" s="3">
        <f>637.9+(75-282.3)+(-0.325329+(-0.03825--0.143973))+0-0-0</f>
        <v>430.38039399999997</v>
      </c>
      <c r="M271" s="3">
        <f>628.7+(62.8-288.4)+(-2.244459+(-0.224196--1.029588))+0-0-0</f>
        <v>401.66093300000006</v>
      </c>
      <c r="N271" s="3">
        <f>641+(67-285.1)+(0.65382+(0.06834-0.290802))+0-0-0</f>
        <v>423.33135799999997</v>
      </c>
      <c r="O271" s="3">
        <f>639.1+(95.5-256.6)+(0+(0-0))+0-0-0</f>
        <v>478</v>
      </c>
      <c r="P271" s="3">
        <f>631.5+(102.4-218.7)+(-1.28826+(-0.208896--0.446148))+0-0-0</f>
        <v>514.14899200000002</v>
      </c>
      <c r="Q271" s="3">
        <f>632.5+(104.1-214.1)+(-0.64515+(-0.106182--0.218382))+0-0-0</f>
        <v>521.96704999999997</v>
      </c>
      <c r="R271" s="3">
        <f>634.1+(108.3-219.7)+(-1.616955+(-0.276165--0.560235))+0-0-0</f>
        <v>521.36711500000001</v>
      </c>
      <c r="S271" s="3">
        <f>635.7+(81.8-221.3)+(-0.972621+(-0.125154--0.338589))+0-0-0</f>
        <v>495.44081400000005</v>
      </c>
      <c r="T271" s="3">
        <f>639.2+(73-221.1)+(-0.651984+(-0.07446--0.225522))+0-0-0</f>
        <v>490.59907800000002</v>
      </c>
      <c r="U271" s="3">
        <f>657.5+(66.1-233.4)+(0.335325+(0.033711-0.119034))+0-0-0</f>
        <v>490.45000199999998</v>
      </c>
      <c r="V271" s="3">
        <f>731.5+(54.1-274.9)+(0.74613+(0.055182-0.280398))+0-0-0</f>
        <v>511.22091400000005</v>
      </c>
      <c r="W271" s="3">
        <f>814.1+(84.4-301.5)+(0+(0-0))+0-0-0</f>
        <v>597</v>
      </c>
      <c r="X271" s="3">
        <f>819.3+(89-278)+(-2.089215+(-0.22695--0.7089))+0-0-0</f>
        <v>628.69273499999997</v>
      </c>
      <c r="Y271" s="3">
        <f>818.1+(92.2-293.1)+(0.417231+(0.047022-0.149481))+0-0-0</f>
        <v>617.51477199999999</v>
      </c>
      <c r="Z271" s="3">
        <f>812.8+(89.7-303.9)+(-0.829056+(-0.091494--0.309978))+0-0-0</f>
        <v>597.98942799999986</v>
      </c>
      <c r="AA271" s="3">
        <f>798+(88.3-310.1)+(-2.0349+(-0.225165--0.790755))+0-0-0</f>
        <v>574.7306900000001</v>
      </c>
      <c r="AB271" s="3">
        <f>649.4+(162.5-258.8)+(-0.993582+(-0.248625--0.395964))+0-0-0</f>
        <v>552.25375699999995</v>
      </c>
      <c r="AC271" s="3">
        <f>640.4+(130.6-266.5)+(-1.63302+(-0.33303--0.679575))+0-0-0</f>
        <v>503.213525</v>
      </c>
      <c r="AD271">
        <v>601.6</v>
      </c>
      <c r="AE271" s="3">
        <f>812+(105.2-315.6)+(0+(0-0))+0-0-0</f>
        <v>601.59999999999991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660.1+(100.5-310.7)+(0+(0-0))+0-0-0</f>
        <v>449.90000000000003</v>
      </c>
      <c r="G272" s="3">
        <f>656.2+(65-293.7)+(-1.338648+(-0.1326--0.599148))+0-0-0</f>
        <v>426.62790000000007</v>
      </c>
      <c r="H272" s="3">
        <f>655.4+(54.4-296.7)+(-1.67127+(-0.13872--0.756585))+0-0-0</f>
        <v>412.04659500000002</v>
      </c>
      <c r="I272" s="3">
        <f>665.4+(52-316.9)+(1.018062+(0.07956-0.484857))+0-0-0</f>
        <v>401.11276500000002</v>
      </c>
      <c r="J272" s="3">
        <f>662.3+(52.9-312.6)+(0+(0-0))+0-0-0</f>
        <v>402.59999999999991</v>
      </c>
      <c r="K272" s="3">
        <f>668.6+(51.9-313.3)+(1.022958+(0.079407-0.479349))+0-0-0</f>
        <v>407.823016</v>
      </c>
      <c r="L272" s="3">
        <f>660+(102.1-327.8)+(-0.3366+(-0.052071--0.167178))+0-0-0</f>
        <v>434.07850699999995</v>
      </c>
      <c r="M272" s="3">
        <f>661.8+(107.7-311.6)+(0.337518+(0.054927-0.158916))+0-0-0</f>
        <v>458.1335289999999</v>
      </c>
      <c r="N272" s="3">
        <f>717.4+(98.5-320.2)+(-0.365874+(-0.050235--0.163302))+0-0-0</f>
        <v>495.44719299999997</v>
      </c>
      <c r="O272" s="3">
        <f>800.2+(80.4-343.3)+(-1.224306+(-0.123012--0.525249))+0-0-0</f>
        <v>536.47793100000001</v>
      </c>
      <c r="P272" s="3">
        <f>801.8+(97.5-340.9)+(-1.226754+(-0.149175--0.521577))+0-0-0</f>
        <v>557.54564800000003</v>
      </c>
      <c r="Q272" s="3">
        <f>800.3+(92.1-326.2)+(-1.224459+(-0.140913--0.499086))+0-0-0</f>
        <v>565.33371399999999</v>
      </c>
      <c r="R272" s="3">
        <f>798.2+(94.9-328.5)+(-1.221246+(-0.145197--0.502605))+0-0-0</f>
        <v>563.73616200000004</v>
      </c>
      <c r="S272" s="3">
        <f>830.6+(110.7-398.7)+(-0.847212+(-0.112914--0.406674))+0-0-0</f>
        <v>542.04654800000003</v>
      </c>
      <c r="T272" s="3">
        <f>880+(85.3-402.9)+(-1.7952+(-0.174012--0.821916))+0-0-0</f>
        <v>561.25270400000011</v>
      </c>
      <c r="U272" s="3">
        <f>915.7+(3.5-399.3)+(-0.467007+(-0.001785--0.203643))+0-0-0</f>
        <v>519.63485100000014</v>
      </c>
      <c r="V272" s="3">
        <f>922.7+(12.3-375.3)+(-0.470577+(-0.006273--0.191403))+0-0-0</f>
        <v>559.41455300000007</v>
      </c>
      <c r="W272" s="3">
        <f>810.7+(154.7-301.6)+(-0.413457+(-0.078897--0.153816))+0-0-0</f>
        <v>663.46146199999998</v>
      </c>
      <c r="X272" s="3">
        <f>818.4+(152.3-289.1)+(-1.669536+(-0.310692--0.589764))+0-0-0</f>
        <v>680.20953599999996</v>
      </c>
      <c r="Y272" s="3">
        <f>816+(152.4-298.3)+(-2.0808+(-0.38862--0.760665))+0-0-0</f>
        <v>668.39124500000003</v>
      </c>
      <c r="Z272" s="3">
        <f>809.5+(148.4-307.7)+(-2.064225+(-0.37842--0.784635))+0-0-0</f>
        <v>648.54199000000006</v>
      </c>
      <c r="AA272" s="3">
        <f>814.7+(133.6-329.1)+(-1.246491+(-0.204408--0.503523))+0-0-0</f>
        <v>618.25262400000008</v>
      </c>
      <c r="AB272" s="3">
        <f>814.8+(127.6-358.5)+(-2.07774+(-0.32538--0.914175))+0-0-0</f>
        <v>582.41105500000003</v>
      </c>
      <c r="AC272" s="3">
        <f>810.5+(106-382.8)+(-2.066775+(-0.2703--0.97614))+0-0-0</f>
        <v>532.33906500000001</v>
      </c>
      <c r="AD272">
        <v>683.1</v>
      </c>
      <c r="AE272" s="3">
        <f>827+(171.2-315.1)+(0+(0-0))+0-0-0</f>
        <v>683.09999999999991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748.6+(106.3-348.2)+(0+(0-0))+0-0-0</f>
        <v>506.70000000000005</v>
      </c>
      <c r="G273" s="3">
        <f>652.7+(81.9-278.6)+(0+(0-0))+0-0-0</f>
        <v>456</v>
      </c>
      <c r="H273" s="3">
        <f>653.7+(79.3-288)+(0+(0-0))+0-0-0</f>
        <v>445.00000000000006</v>
      </c>
      <c r="I273" s="3">
        <f>657.5+(80.5-295.3)+(0+(0-0))+0-0-0</f>
        <v>442.7</v>
      </c>
      <c r="J273" s="3">
        <f>648.6+(93.1-298.5)+(0+(0-0))+0-0-0</f>
        <v>443.20000000000005</v>
      </c>
      <c r="K273" s="3">
        <f>660.9+(89-298.5)+(0+(0-0))+0-0-0</f>
        <v>451.4</v>
      </c>
      <c r="L273" s="3">
        <f>654.3+(103-285.6)+(0+(0-0))+0-0-0</f>
        <v>471.69999999999993</v>
      </c>
      <c r="M273" s="3">
        <f>738.9+(90.3-349.2)+(0+(0-0))+0-0-0</f>
        <v>480</v>
      </c>
      <c r="N273" s="3">
        <f>797.9+(73-351.2)+(0+(0-0))+0-0-0</f>
        <v>519.70000000000005</v>
      </c>
      <c r="O273" s="3">
        <f>794.7+(52.7-301.7)+(-0.810594+(-0.053754--0.307734))+0-0-0</f>
        <v>545.14338600000008</v>
      </c>
      <c r="P273" s="3">
        <f>796.1+(50.1-273.6)+(-1.218033+(-0.076653--0.418608))+0-0-0</f>
        <v>571.72392200000002</v>
      </c>
      <c r="Q273" s="3">
        <f>795.5+(66.9-289.3)+(-1.217115+(-0.102357--0.442629))+0-0-0</f>
        <v>572.22315700000001</v>
      </c>
      <c r="R273" s="3">
        <f>791.1+(34.5-253.4)+(-1.613844+(-0.07038--0.516936))+0-0-0</f>
        <v>571.03271200000006</v>
      </c>
      <c r="S273" s="3">
        <f>811.3+(17.3-269.2)+(-2.068815+(-0.044115--0.68646))+0-0-0</f>
        <v>557.97352999999998</v>
      </c>
      <c r="T273" s="3">
        <f>956.3+(0-410.4)+(0+(0-0))+0-0-0</f>
        <v>545.9</v>
      </c>
      <c r="U273" s="3">
        <f>915.1+(0-370.2)+(-2.333505+(0--0.94401))+0-0-0</f>
        <v>543.51050500000008</v>
      </c>
      <c r="V273" s="3">
        <f>802.3+(52-275)+(-0.409173+(-0.02652--0.14025))+0-0-0</f>
        <v>579.00455699999998</v>
      </c>
      <c r="W273" s="3">
        <f>809.6+(137.9-258.3)+(0.412896+(0.070329-0.131733))+0-0-0</f>
        <v>689.55149200000005</v>
      </c>
      <c r="X273" s="3">
        <f>821.3+(129.2-248.8)+(-0.837726+(-0.131784--0.253776))+0-0-0</f>
        <v>700.98426599999993</v>
      </c>
      <c r="Y273" s="3">
        <f>818.7+(107.9-238.4)+(-0.835074+(-0.110058--0.243168))+0-0-0</f>
        <v>687.49803600000007</v>
      </c>
      <c r="Z273" s="3">
        <f>815+(110.5-245.1)+(-1.6626+(-0.22542--0.500004))+0-0-0</f>
        <v>679.01198399999998</v>
      </c>
      <c r="AA273" s="3">
        <f>815.3+(115.8-280)+(-1.663212+(-0.236232--0.5712))+0-0-0</f>
        <v>649.77175599999987</v>
      </c>
      <c r="AB273" s="3">
        <f>813.6+(103.2-313)+(-1.244808+(-0.157896--0.47889))+0-0-0</f>
        <v>602.87618599999996</v>
      </c>
      <c r="AC273" s="3">
        <f>810.3+(128.6-369.6)+(-1.653012+(-0.262344--0.753984))+0-0-0</f>
        <v>568.13862799999993</v>
      </c>
      <c r="AD273">
        <v>668.2</v>
      </c>
      <c r="AE273" s="3">
        <f>817+(135.4-284.2)+(0+(0-0))+0-0-0</f>
        <v>668.2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805.7+(76.3-398.4)+(-1.232721+(-0.116739--0.609552))+0-0-0</f>
        <v>482.86009200000007</v>
      </c>
      <c r="G274" s="3">
        <f>792.3+(57.8-397.3)+(-2.020365+(-0.14739--1.013115))+0-0-0</f>
        <v>451.64535999999998</v>
      </c>
      <c r="H274" s="3">
        <f>645.9+(93.8-313.2)+(-0.329409+(-0.047838--0.159732))+0-0-0</f>
        <v>426.28248500000001</v>
      </c>
      <c r="I274" s="3">
        <f>645.3+(84.5-312.2)+(0+(0-0))+0-0-0</f>
        <v>417.59999999999997</v>
      </c>
      <c r="J274" s="3">
        <f>644.2+(88.4-317.8)+(0.328542+(0.045084-0.162078))+0-0-0</f>
        <v>415.01154800000006</v>
      </c>
      <c r="K274" s="3">
        <f>648.9+(93.4-317.2)+(1.323756+(0.190536-0.647088))+0-0-0</f>
        <v>425.96720400000004</v>
      </c>
      <c r="L274" s="3">
        <f>768.7+(56.5-372.5)+(1.176111+(0.086445-0.569925))+0-0-0</f>
        <v>453.39263100000005</v>
      </c>
      <c r="M274" s="3">
        <f>772.2+(63.7-362.9)+(0+(0-0))+0-0-0</f>
        <v>473.00000000000006</v>
      </c>
      <c r="N274" s="3">
        <f>771.4+(93.5-339.4)+(-0.393414+(-0.047685--0.173094))+0-0-0</f>
        <v>525.23199499999998</v>
      </c>
      <c r="O274" s="3">
        <f>873.7+(66.5-378.9)+(-0.891174+(-0.06783--0.386478))+0-0-0</f>
        <v>560.72747400000003</v>
      </c>
      <c r="P274" s="3">
        <f>980.1+(35.2-429.6)+(-0.999702+(-0.035904--0.438192))+0-0-0</f>
        <v>585.10258600000009</v>
      </c>
      <c r="Q274" s="3">
        <f>979+(22.6-412)+(-1.99716+(-0.046104--0.84048))+0-0-0</f>
        <v>588.39721600000007</v>
      </c>
      <c r="R274" s="3">
        <f>829.8+(62.6-310.2)+(-1.269594+(-0.095778--0.474606))+0-0-0</f>
        <v>581.30923399999995</v>
      </c>
      <c r="S274" s="3">
        <f>807.9+(83.6-323)+(-0.824058+(-0.085272--0.32946))+0-0-0</f>
        <v>567.92012999999997</v>
      </c>
      <c r="T274" s="3">
        <f>808.7+(57.9-325.3)+(-0.824874+(-0.059058--0.331806))+0-0-0</f>
        <v>540.74787399999991</v>
      </c>
      <c r="U274" s="3">
        <f>860.8+(19.6-349.6)+(-0.439008+(-0.009996--0.178296))+0-0-0</f>
        <v>530.52929199999994</v>
      </c>
      <c r="V274" s="3">
        <f>897.4+(32.1-383.3)+(-0.457674+(-0.016371--0.195483))+0-0-0</f>
        <v>545.92143800000008</v>
      </c>
      <c r="W274" s="3">
        <f>950.3+(47.2-358.2)+(0.969306+(0.048144-0.365364))+0-0-0</f>
        <v>639.95208600000001</v>
      </c>
      <c r="X274" s="3">
        <f>862.9+(101.8-299.1)+(0+(0-0))+0-0-0</f>
        <v>665.59999999999991</v>
      </c>
      <c r="Y274" s="3">
        <f>809.1+(122.2-278.6)+(-2.475846+(-0.373932--0.852516))+0-0-0</f>
        <v>650.70273800000007</v>
      </c>
      <c r="Z274" s="3">
        <f>808.6+(105.2-263.8)+(0+(0-0))+0-0-0</f>
        <v>650</v>
      </c>
      <c r="AA274" s="3">
        <f>802.9+(103.4-273.5)+(-1.228437+(-0.158202--0.418455))+0-0-0</f>
        <v>631.831816</v>
      </c>
      <c r="AB274" s="3">
        <f>802.3+(142.7-350.8)+(-1.636692+(-0.291108--0.715632))+0-0-0</f>
        <v>592.98783199999991</v>
      </c>
      <c r="AC274" s="3">
        <f>798.8+(122-372.4)+(-2.03694+(-0.3111--0.94962))+0-0-0</f>
        <v>547.00157999999999</v>
      </c>
      <c r="AD274">
        <v>639.59999999999991</v>
      </c>
      <c r="AE274" s="3">
        <f>806+(120.8-287.2)+(0+(0-0))+0-0-0</f>
        <v>639.6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777.6+(86.3-369.7)+(-1.586304+(-0.176052--0.754188))+0-0-0</f>
        <v>493.19183200000003</v>
      </c>
      <c r="G275" s="3">
        <f>642.7+(89.5-284.1)+(-0.655554+(-0.09129--0.289782))+0-0-0</f>
        <v>447.64293800000002</v>
      </c>
      <c r="H275" s="3">
        <f>643.9+(71.1-280.9)+(-0.328389+(-0.036261--0.143259))+0-0-0</f>
        <v>433.87860900000004</v>
      </c>
      <c r="I275" s="3">
        <f>643.6+(65.8-285.7)+(0.328236+(0.033558-0.145707))+0-0-0</f>
        <v>423.91608700000006</v>
      </c>
      <c r="J275" s="3">
        <f>754.7+(30-363.7)+(-2.309382+(-0.0918--1.112922))+0-0-0</f>
        <v>419.71174000000008</v>
      </c>
      <c r="K275" s="3">
        <f>803.4+(48-428.8)+(1.638936+(0.09792-0.874752))+0-0-0</f>
        <v>423.46210399999995</v>
      </c>
      <c r="L275" s="3">
        <f>802.6+(55.5-406.8)+(0.818652+(0.05661-0.414936))+0-0-0</f>
        <v>451.76032600000002</v>
      </c>
      <c r="M275" s="3">
        <f>795.2+(53.2-377.4)+(-2.02776+(-0.13566--0.96237))+0-0-0</f>
        <v>469.79895000000005</v>
      </c>
      <c r="N275" s="3">
        <f>802.7+(76.9-380.7)+(0.409377+(0.039219-0.194157))+0-0-0</f>
        <v>499.15443900000008</v>
      </c>
      <c r="O275" s="3">
        <f>795.5+(74.1-337.9)+(-0.81141+(-0.075582--0.344658))+0-0-0</f>
        <v>531.15766600000006</v>
      </c>
      <c r="P275" s="3">
        <f>800.1+(64.7-269.5)+(0.408051+(0.032997-0.137445))+0-0-0</f>
        <v>595.60360299999991</v>
      </c>
      <c r="Q275" s="3">
        <f>803.2+(63.2-286.5)+(-0.409632+(-0.032232--0.146115))+0-0-0</f>
        <v>579.60425100000009</v>
      </c>
      <c r="R275" s="3">
        <f>797.7+(50-274.7)+(-2.034135+(-0.1275--0.700485))+0-0-0</f>
        <v>571.53885000000002</v>
      </c>
      <c r="S275" s="3">
        <f>800.4+(41-289.8)+(-1.224612+(-0.06273--0.443394))+0-0-0</f>
        <v>550.75605199999995</v>
      </c>
      <c r="T275" s="3">
        <f>805.3+(41.4-319.5)+(-0.410703+(-0.021114--0.162945))+0-0-0</f>
        <v>526.93112799999994</v>
      </c>
      <c r="U275" s="3">
        <f>809.6+(48.9-342.2)+(1.651584+(0.099756-0.698088))+0-0-0</f>
        <v>517.353252</v>
      </c>
      <c r="V275" s="3">
        <f>801.8+(79.9-335.3)+(-0.817836+(-0.081498--0.342006))+0-0-0</f>
        <v>545.84267199999999</v>
      </c>
      <c r="W275" s="3">
        <f>815.9+(109.8-270.6)+(0.416109+(0.055998-0.138006))+0-0-0</f>
        <v>655.43410099999994</v>
      </c>
      <c r="X275" s="3">
        <f>817+(122.9-267.2)+(-1.66668+(-0.250716--0.545088))+0-0-0</f>
        <v>671.32769200000007</v>
      </c>
      <c r="Y275" s="3">
        <f>819.5+(122-270.2)+(-1.67178+(-0.24888--0.551208))+0-0-0</f>
        <v>669.93054799999993</v>
      </c>
      <c r="Z275" s="3">
        <f>815.7+(99-268.9)+(-1.248021+(-0.15147--0.411417))+0-0-0</f>
        <v>644.81192600000008</v>
      </c>
      <c r="AA275" s="3">
        <f>810.3+(88.2-281.4)+(-1.239759+(-0.134946--0.430542))+0-0-0</f>
        <v>616.15583699999991</v>
      </c>
      <c r="AB275" s="3">
        <f>808.2+(82.5-314.5)+(-1.236546+(-0.126225--0.481185))+0-0-0</f>
        <v>575.31841400000008</v>
      </c>
      <c r="AC275" s="3">
        <f>805.8+(56.1-333.5)+(-2.05479+(-0.143055--0.850425))+0-0-0</f>
        <v>527.05257999999992</v>
      </c>
      <c r="AD275">
        <v>685.3</v>
      </c>
      <c r="AE275" s="3">
        <f>817+(124.1-255.8)+(0+(0-0))+0-0-0</f>
        <v>685.3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798.7+(44.2-378.2)+(-1.222011+(-0.067626--0.578646))+0-0-0</f>
        <v>463.98900900000007</v>
      </c>
      <c r="G276" s="3">
        <f>796.3+(51.2-413.6)+(-0.812226+(-0.052224--0.421872))+0-0-0</f>
        <v>433.45742199999989</v>
      </c>
      <c r="H276" s="3">
        <f>798+(60.5-432.7)+(-0.81396+(-0.06171--0.441354))+0-0-0</f>
        <v>425.36568399999999</v>
      </c>
      <c r="I276" s="3">
        <f>801+(67.6-453.4)+(0.40851+(0.034476-0.231234))+0-0-0</f>
        <v>415.41175200000004</v>
      </c>
      <c r="J276" s="3">
        <f>796.2+(68.8-452.2)+(0.406062+(0.035088-0.230622))+0-0-0</f>
        <v>413.01052800000008</v>
      </c>
      <c r="K276" s="3">
        <f>806.4+(101.5-499.4)+(0.411264+(0.051765-0.254694))+0-0-0</f>
        <v>408.70833499999998</v>
      </c>
      <c r="L276" s="3">
        <f>802.4+(121.7-493.5)+(0.409224+(0.062067-0.251685))+0-0-0</f>
        <v>430.81960599999996</v>
      </c>
      <c r="M276" s="3">
        <f>797.1+(142.1-479.7)+(-0.813042+(-0.144942--0.489294))+0-0-0</f>
        <v>459.03131000000002</v>
      </c>
      <c r="N276" s="3">
        <f>801.8+(155-458.5)+(1.226754+(0.23715-0.701505))+0-0-0</f>
        <v>499.06239899999997</v>
      </c>
      <c r="O276" s="3">
        <f>794.5+(143.1-402.2)+(-2.025975+(-0.364905--1.02561))+0-0-0</f>
        <v>534.03472999999997</v>
      </c>
      <c r="P276" s="3">
        <f>813.6+(116.2-373.1)+(-0.414936+(-0.059262--0.190281))+0-0-0</f>
        <v>556.41608300000007</v>
      </c>
      <c r="Q276" s="3">
        <f>869.8+(69.4-384.2)+(-1.330794+(-0.106182--0.587826))+0-0-0</f>
        <v>554.15084999999999</v>
      </c>
      <c r="R276" s="3">
        <f>882.1+(24-366)+(-0.899742+(-0.02448--0.37332))+0-0-0</f>
        <v>539.54909800000007</v>
      </c>
      <c r="S276" s="3">
        <f>846.4+(32.4-349)+(-0.863328+(-0.033048--0.35598))+0-0-0</f>
        <v>529.25960399999997</v>
      </c>
      <c r="T276" s="3">
        <f>954.9+(21.8-448.6)+(-1.460997+(-0.033354--0.686358))+0-0-0</f>
        <v>527.2920069999999</v>
      </c>
      <c r="U276" s="3">
        <f>951.3+(12.9-437.8)+(-2.425815+(-0.032895--1.11639))+0-0-0</f>
        <v>525.05767999999989</v>
      </c>
      <c r="V276" s="3">
        <f>989.3+(14.4-453.9)+(1.009086+(0.014688-0.462978))+0-0-0</f>
        <v>550.36079599999994</v>
      </c>
      <c r="W276" s="3">
        <f>801.5+(125.1-270.3)+(-1.226295+(-0.191403--0.413559))+0-0-0</f>
        <v>655.29586099999995</v>
      </c>
      <c r="X276" s="3">
        <f>810.7+(136.3-281.8)+(-1.653828+(-0.278052--0.574872))+0-0-0</f>
        <v>663.84299200000009</v>
      </c>
      <c r="Y276" s="3">
        <f>820.9+(114.8-285.3)+(0.837318+(0.117096-0.291006))+0-0-0</f>
        <v>651.06340799999998</v>
      </c>
      <c r="Z276" s="3">
        <f>780.1+(113.2-285.5)+(-1.591404+(-0.230928--0.58242))+0-0-0</f>
        <v>606.56008799999995</v>
      </c>
      <c r="AA276" s="3">
        <f>794.5+(101-324.5)+(-1.62078+(-0.20604--0.66198))+0-0-0</f>
        <v>569.83515999999997</v>
      </c>
      <c r="AB276" s="3">
        <f>806.2+(91.3-351.1)+(0.411162+(0.046563-0.179061))+0-0-0</f>
        <v>546.67866400000014</v>
      </c>
      <c r="AC276" s="3">
        <f>801.3+(78.7-355.9)+(-0.408663+(-0.040137--0.181509))+0-0-0</f>
        <v>523.83270899999991</v>
      </c>
      <c r="AD276">
        <v>659.5</v>
      </c>
      <c r="AE276" s="3">
        <f>816+(134.6-291.1)+(0+(0-0))+0-0-0</f>
        <v>659.5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798.3+(67.7-364.4)+(-0.407133+(-0.034527--0.185844))+0-0-0</f>
        <v>501.34418399999998</v>
      </c>
      <c r="G277" s="3">
        <f>796.8+(47.2-377.1)+(-0.406368+(-0.024072--0.192321))+0-0-0</f>
        <v>466.66188099999994</v>
      </c>
      <c r="H277" s="3">
        <f>796.8+(41.5-397.2)+(0+(0-0))+0-0-0</f>
        <v>441.09999999999997</v>
      </c>
      <c r="I277" s="3">
        <f>798.3+(43.3-405.2)+(-0.407133+(-0.022083--0.206652))+0-0-0</f>
        <v>436.177436</v>
      </c>
      <c r="J277" s="3">
        <f>802.9+(55.4-423.1)+(0.409479+(0.028254-0.215781))+0-0-0</f>
        <v>435.42195199999992</v>
      </c>
      <c r="K277" s="3">
        <f>800.7+(87.7-459.6)+(0+(0-0))+0-0-0</f>
        <v>428.8</v>
      </c>
      <c r="L277" s="3">
        <f>804.9+(110.9-475.7)+(0.410499+(0.056559-0.242607))+0-0-0</f>
        <v>440.32445100000001</v>
      </c>
      <c r="M277" s="3">
        <f>801.4+(97.8-455.3)+(0+(0-0))+0-0-0</f>
        <v>443.9</v>
      </c>
      <c r="N277" s="3">
        <f>799.8+(66.1-376.9)+(-0.815796+(-0.067422--0.384438))+0-0-0</f>
        <v>488.50121999999999</v>
      </c>
      <c r="O277" s="3">
        <f>801.7+(75.1-350.2)+(0.408867+(0.038301-0.178602))+0-0-0</f>
        <v>526.86856599999999</v>
      </c>
      <c r="P277" s="3">
        <f>802.8+(84.2-333.7)+(1.228284+(0.128826-0.510561))+0-0-0</f>
        <v>554.14654899999994</v>
      </c>
      <c r="Q277" s="3">
        <f>802.2+(86.9-322.6)+(-0.409122+(-0.044319--0.164526))+0-0-0</f>
        <v>566.21108500000003</v>
      </c>
      <c r="R277" s="3">
        <f>797.4+(91.7-326.5)+(-2.03337+(-0.233835--0.832575))+0-0-0</f>
        <v>561.16536999999994</v>
      </c>
      <c r="S277" s="3">
        <f>798.1+(93.9-339.4)+(-1.628124+(-0.191556--0.692376))+0-0-0</f>
        <v>551.47269600000004</v>
      </c>
      <c r="T277" s="3">
        <f>801.9+(87.5-357.3)+(-0.408969+(-0.044625--0.182223))+0-0-0</f>
        <v>531.82862899999986</v>
      </c>
      <c r="U277" s="3">
        <f>795.2+(99.8-369.3)+(-2.02776+(-0.25449--0.941715))+0-0-0</f>
        <v>524.359465</v>
      </c>
      <c r="V277" s="3">
        <f>813.4+(93.7-350.2)+(1.244502+(0.143361-0.535806))+0-0-0</f>
        <v>557.75205699999992</v>
      </c>
      <c r="W277" s="3">
        <f>815+(147.7-310.1)+(0+(0-0))+0-0-0</f>
        <v>652.59999999999991</v>
      </c>
      <c r="X277" s="3">
        <f>812.7+(147.5-298.9)+(-2.072385+(-0.376125--0.762195))+0-0-0</f>
        <v>659.61368500000003</v>
      </c>
      <c r="Y277" s="3">
        <f>813+(128.9-295.5)+(-2.07315+(-0.328695--0.753525))+0-0-0</f>
        <v>644.75167999999996</v>
      </c>
      <c r="Z277" s="3">
        <f>804.1+(122.9-300.2)+(-1.230273+(-0.188037--0.459306))+0-0-0</f>
        <v>625.84099600000002</v>
      </c>
      <c r="AA277" s="3">
        <f>810.2+(123.7-327)+(-0.413202+(-0.063087--0.16677))+0-0-0</f>
        <v>606.59048100000007</v>
      </c>
      <c r="AB277" s="3">
        <f>811.7+(158.2-385.3)+(-1.241901+(-0.242046--0.589509))+0-0-0</f>
        <v>583.70556199999999</v>
      </c>
      <c r="AC277" s="3">
        <f>811.1+(146-419.1)+(-0.827322+(-0.14892--0.427482))+0-0-0</f>
        <v>537.45123999999998</v>
      </c>
      <c r="AD277">
        <v>647.5</v>
      </c>
      <c r="AE277" s="3">
        <f>827+(171.9-351.4)+(0+(0-0))+0-0-0</f>
        <v>647.5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811.4+(101.2-435.4)+(0+(0-0))+0-0-0</f>
        <v>477.2</v>
      </c>
      <c r="G278" s="3">
        <f>800.8+(48.5-402.6)+(-2.04204+(-0.123675--1.02663))+0-0-0</f>
        <v>445.56091499999991</v>
      </c>
      <c r="H278" s="3">
        <f>775.4+(34-387)+(-1.581816+(-0.06936--0.78948))+0-0-0</f>
        <v>421.53830399999998</v>
      </c>
      <c r="I278" s="3">
        <f>636.4+(68.3-295)+(0.324564+(0.034833-0.15045))+0-0-0</f>
        <v>409.90894700000001</v>
      </c>
      <c r="J278" s="3">
        <f>634.8+(67-290.7)+(0.323748+(0.03417-0.148257))+0-0-0</f>
        <v>411.30966099999995</v>
      </c>
      <c r="K278" s="3">
        <f>632.5+(68.6-302.4)+(0+(0-0))+0-0-0</f>
        <v>398.70000000000005</v>
      </c>
      <c r="L278" s="3">
        <f>635.7+(70.6-311)+(-0.324207+(-0.036006--0.15861))+0-0-0</f>
        <v>395.09839700000009</v>
      </c>
      <c r="M278" s="3">
        <f>644.8+(62.6-314)+(0.657696+(0.063852-0.32028))+0-0-0</f>
        <v>393.80126799999999</v>
      </c>
      <c r="N278" s="3">
        <f>644.6+(68.1-308.6)+(0.657492+(0.069462-0.314772))+0-0-0</f>
        <v>404.512182</v>
      </c>
      <c r="O278" s="3">
        <f>745.5+(69.3-377.9)+(0+(0-0))+0-0-0</f>
        <v>436.90000000000003</v>
      </c>
      <c r="P278" s="3">
        <f>794.1+(79.5-402.8)+(-0.809982+(-0.08109--0.410856))+0-0-0</f>
        <v>470.31978400000003</v>
      </c>
      <c r="Q278" s="3">
        <f>796.8+(86.4-396.3)+(0.812736+(0.088128-0.404226))+0-0-0</f>
        <v>487.396638</v>
      </c>
      <c r="R278" s="3">
        <f>796.1+(80.1-398.8)+(-1.218033+(-0.122553--0.610164))+0-0-0</f>
        <v>476.669578</v>
      </c>
      <c r="S278" s="3">
        <f>791.3+(66.3-399.1)+(-2.017815+(-0.169065--1.017705))+0-0-0</f>
        <v>457.33082499999995</v>
      </c>
      <c r="T278" s="3">
        <f>795.6+(61.3-408.9)+(-1.217268+(-0.093789--0.625617))+0-0-0</f>
        <v>447.31456000000003</v>
      </c>
      <c r="U278" s="3">
        <f>791.8+(47.1-399.3)+(-1.615272+(-0.096084--0.814572))+0-0-0</f>
        <v>438.70321599999994</v>
      </c>
      <c r="V278" s="3">
        <f>797+(43.4-373.5)+(-0.40647+(-0.022134--0.190485))+0-0-0</f>
        <v>466.66188099999999</v>
      </c>
      <c r="W278" s="3">
        <f>805.6+(100-342.8)+(0.410856+(0.051-0.174828))+0-0-0</f>
        <v>563.08702799999992</v>
      </c>
      <c r="X278" s="3">
        <f>822.3+(128.3-354.3)+(-1.677492+(-0.261732--0.722772))+0-0-0</f>
        <v>595.08354799999995</v>
      </c>
      <c r="Y278" s="3">
        <f>822.1+(128.9-355)+(1.257813+(0.197217-0.54315))+0-0-0</f>
        <v>596.91188</v>
      </c>
      <c r="Z278" s="3">
        <f>811.4+(129-355)+(-0.413814+(-0.06579--0.18105))+0-0-0</f>
        <v>585.10144600000001</v>
      </c>
      <c r="AA278" s="3">
        <f>805.8+(140.4-374.4)+(-1.232874+(-0.214812--0.572832))+0-0-0</f>
        <v>570.92514599999993</v>
      </c>
      <c r="AB278" s="3">
        <f>802.3+(160.7-420.6)+(-0.818346+(-0.163914--0.429012))+0-0-0</f>
        <v>541.84675199999981</v>
      </c>
      <c r="AC278" s="3">
        <f>799.6+(112.9-420.4)+(-1.223388+(-0.172737--0.643212))+0-0-0</f>
        <v>491.34708700000004</v>
      </c>
      <c r="AD278">
        <v>580.09999999999991</v>
      </c>
      <c r="AE278" s="3">
        <f>806+(141.4-367.3)+(0+(0-0))+0-0-0</f>
        <v>580.1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794.8+(61.4-390.4)+(-2.02674+(-0.15657--0.99552))+0-0-0</f>
        <v>464.61220999999995</v>
      </c>
      <c r="G279" s="3">
        <f>796.6+(40.8-399.3)+(-1.218798+(-0.062424--0.610929))+0-0-0</f>
        <v>437.42970700000001</v>
      </c>
      <c r="H279" s="3">
        <f>783.7+(40-416.9)+(-1.998435+(-0.102--1.063095))+0-0-0</f>
        <v>405.7626600000001</v>
      </c>
      <c r="I279" s="3">
        <f>633.6+(90.4-310.3)+(-0.646272+(-0.092208--0.316506))+0-0-0</f>
        <v>413.27802600000007</v>
      </c>
      <c r="J279" s="3">
        <f>642.4+(91.3-323.2)+(0+(0-0))+0-0-0</f>
        <v>410.5</v>
      </c>
      <c r="K279" s="3">
        <f>642.7+(90.9-323.2)+(-0.655554+(-0.092718--0.329664))+0-0-0</f>
        <v>409.98139200000008</v>
      </c>
      <c r="L279" s="3">
        <f>647+(102.6-319.1)+(0.32997+(0.052326-0.162741))+0-0-0</f>
        <v>430.71955500000001</v>
      </c>
      <c r="M279" s="3">
        <f>657.5+(130.1-327.3)+(0.67065+(0.132702-0.333846))+0-0-0</f>
        <v>460.76950599999998</v>
      </c>
      <c r="N279" s="3">
        <f>803.1+(92-391.7)+(0.409581+(0.04692-0.199767))+0-0-0</f>
        <v>503.65673400000003</v>
      </c>
      <c r="O279" s="3">
        <f>812.3+(107-384.9)+(1.657092+(0.21828-0.785196))+0-0-0</f>
        <v>535.49017600000002</v>
      </c>
      <c r="P279" s="3">
        <f>858.3+(118.2-396.3)+(0.437733+(0.060282-0.202113))+0-0-0</f>
        <v>580.49590199999989</v>
      </c>
      <c r="Q279" s="3">
        <f>815+(118.3-379.5)+(0.41565+(0.060333-0.193545))+0-0-0</f>
        <v>554.08243799999991</v>
      </c>
      <c r="R279" s="3">
        <f>801.8+(110.1-380.2)+(-2.04459+(-0.280755--0.96951))+0-0-0</f>
        <v>530.34416499999998</v>
      </c>
      <c r="S279" s="3">
        <f>793.8+(106.9-379.9)+(0.404838+(0.054519-0.193749))+0-0-0</f>
        <v>521.065608</v>
      </c>
      <c r="T279" s="3">
        <f>791.9+(103.5-384.9)+(0.807738+(0.10557-0.392598))+0-0-0</f>
        <v>511.02071000000001</v>
      </c>
      <c r="U279" s="3">
        <f>752+(118.5-331.2)+(0+(0-0))+0-0-0</f>
        <v>539.29999999999995</v>
      </c>
      <c r="V279" s="3">
        <f>672+(128.2-220.7)+(-0.68544+(-0.130764--0.225114))+0-0-0</f>
        <v>578.90890999999999</v>
      </c>
      <c r="W279" s="3">
        <f>671+(157.7-199.1)+(0+(0-0))+0-0-0</f>
        <v>629.6</v>
      </c>
      <c r="X279" s="3">
        <f>692.1+(176.1-205.1)+(-0.705942+(-0.179622--0.209202))+0-0-0</f>
        <v>662.42363799999998</v>
      </c>
      <c r="Y279" s="3">
        <f>689.9+(168.1-207.5)+(-1.407396+(-0.342924--0.4233))+0-0-0</f>
        <v>649.17298000000005</v>
      </c>
      <c r="Z279" s="3">
        <f>738.8+(148.2-247.6)+(-0.376788+(-0.075582--0.126276))+0-0-0</f>
        <v>639.07390599999997</v>
      </c>
      <c r="AA279" s="3">
        <f>787.5+(137.6-307.6)+(-0.80325+(-0.140352--0.313752))+0-0-0</f>
        <v>616.87014999999997</v>
      </c>
      <c r="AB279" s="3">
        <f>807.8+(128.3-362.6)+(-0.411978+(-0.065433--0.184926))+0-0-0</f>
        <v>573.20751499999994</v>
      </c>
      <c r="AC279" s="3">
        <f>801.8+(84.1-363.4)+(-0.408918+(-0.042891--0.185334))+0-0-0</f>
        <v>522.23352499999999</v>
      </c>
      <c r="AD279">
        <v>678.09999999999991</v>
      </c>
      <c r="AE279" s="3">
        <f>697+(186.9-205.8)+(0+(0-0))+0-0-0</f>
        <v>678.1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798+(74.9-381.5)+(-0.81396+(-0.076398--0.38913))+0-0-0</f>
        <v>490.89877199999995</v>
      </c>
      <c r="G280" s="3">
        <f>796.2+(49.6-396.1)+(-0.406062+(-0.025296--0.202011))+0-0-0</f>
        <v>449.47065300000003</v>
      </c>
      <c r="H280" s="3">
        <f>794+(42.1-401.5)+(-1.21482+(-0.064413--0.614295))+0-0-0</f>
        <v>433.93506200000002</v>
      </c>
      <c r="I280" s="3">
        <f>789.7+(39.8-406)+(-1.208241+(-0.060894--0.62118))+0-0-0</f>
        <v>422.85204500000003</v>
      </c>
      <c r="J280" s="3">
        <f>794.6+(40.8-426.2)+(0+(0-0))+0-0-0</f>
        <v>409.20000000000005</v>
      </c>
      <c r="K280" s="3">
        <f>797.7+(40.4-419.9)+(0+(0-0))+0-0-0</f>
        <v>418.20000000000005</v>
      </c>
      <c r="L280" s="3">
        <f>798.9+(71.1-412.3)+(0+(0-0))+0-0-0</f>
        <v>457.69999999999993</v>
      </c>
      <c r="M280" s="3">
        <f>803.1+(72-376.7)+(0.819162+(0.07344-0.384234))+0-0-0</f>
        <v>498.90836800000005</v>
      </c>
      <c r="N280" s="3">
        <f>799.8+(83.3-349.7)+(0.815796+(0.084966-0.356694))+0-0-0</f>
        <v>533.94406800000002</v>
      </c>
      <c r="O280" s="3">
        <f>798+(96.7-316.8)+(-0.40698+(-0.049317--0.161568))+0-0-0</f>
        <v>577.60527100000002</v>
      </c>
      <c r="P280" s="3">
        <f>797.9+(120-307.8)+(0+(0-0))+0-0-0</f>
        <v>610.09999999999991</v>
      </c>
      <c r="Q280" s="3">
        <f>795.9+(126.4-287.4)+(-1.217727+(-0.193392--0.439722))+0-0-0</f>
        <v>633.92860299999995</v>
      </c>
      <c r="R280" s="3">
        <f>796.3+(115.5-291.5)+(-0.812226+(-0.11781--0.29733))+0-0-0</f>
        <v>619.66729399999997</v>
      </c>
      <c r="S280" s="3">
        <f>795.7+(107.6-310.8)+(-1.217421+(-0.164628--0.475524))+0-0-0</f>
        <v>591.59347500000001</v>
      </c>
      <c r="T280" s="3">
        <f>796.3+(92.1-305)+(0+(0-0))+0-0-0</f>
        <v>583.4</v>
      </c>
      <c r="U280" s="3">
        <f>804+(81.1-298.1)+(1.23012+(0.124083-0.456093))+0-0-0</f>
        <v>587.89810999999997</v>
      </c>
      <c r="V280" s="3">
        <f>807.4+(81.4-291.3)+(0.823548+(0.083028-0.297126))+0-0-0</f>
        <v>598.10945000000004</v>
      </c>
      <c r="W280" s="3">
        <f>819.6+(124.4-274.5)+(1.253988+(0.190332-0.419985))+0-0-0</f>
        <v>670.52433499999995</v>
      </c>
      <c r="X280" s="3">
        <f>819.4+(152.3-291.8)+(-0.835788+(-0.155346--0.297636))+0-0-0</f>
        <v>679.206502</v>
      </c>
      <c r="Y280" s="3">
        <f>814.6+(143-295.9)+(-2.07723+(-0.36465--0.754545))+0-0-0</f>
        <v>660.01266500000008</v>
      </c>
      <c r="Z280" s="3">
        <f>821.8+(144.2-320.3)+(0.419118+(0.073542-0.163353))+0-0-0</f>
        <v>646.0293069999999</v>
      </c>
      <c r="AA280" s="3">
        <f>814.1+(151.4-343.2)+(-1.245573+(-0.231642--0.525096))+0-0-0</f>
        <v>621.34788100000003</v>
      </c>
      <c r="AB280" s="3">
        <f>810.8+(134.4-369.6)+(-1.654032+(-0.274176--0.753984))+0-0-0</f>
        <v>574.42577599999993</v>
      </c>
      <c r="AC280" s="3">
        <f>806.2+(102.6-376.4)+(-1.644648+(-0.209304--0.767856))+0-0-0</f>
        <v>531.31390400000009</v>
      </c>
      <c r="AD280">
        <v>633.1</v>
      </c>
      <c r="AE280" s="3">
        <f>802+(156.2-325.1)+(0+(0-0))+0-0-0</f>
        <v>633.09999999999991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804.9+(93.7-443.4)+(-1.641996+(-0.191148--0.904536))+0-0-0</f>
        <v>454.27139199999999</v>
      </c>
      <c r="G281" s="3">
        <f>679.6+(114.3-374.3)+(-0.693192+(-0.116586--0.381786))+0-0-0</f>
        <v>419.17200800000001</v>
      </c>
      <c r="H281" s="3">
        <f>644.4+(108.7-352.9)+(-0.328644+(-0.055437--0.179979))+0-0-0</f>
        <v>399.99589800000001</v>
      </c>
      <c r="I281" s="3">
        <f>648.9+(98.3-350.7)+(0.992817+(0.150399-0.536571))+0-0-0</f>
        <v>397.10664500000001</v>
      </c>
      <c r="J281" s="3">
        <f>649.1+(100-341.4)+(0+(0-0))+0-0-0</f>
        <v>407.70000000000005</v>
      </c>
      <c r="K281" s="3">
        <f>660.1+(98.8-348.7)+(2.019906+(0.302328-1.067022))+0-0-0</f>
        <v>411.45521200000007</v>
      </c>
      <c r="L281" s="3">
        <f>650.2+(101.2-339.7)+(0+(0-0))+0-0-0</f>
        <v>411.70000000000005</v>
      </c>
      <c r="M281" s="3">
        <f>704.8+(92.4-363.7)+(0.718896+(0.094248-0.370974))+0-0-0</f>
        <v>433.94216999999998</v>
      </c>
      <c r="N281" s="3">
        <f>809.2+(66.7-388.4)+(0+(0-0))+0-0-0</f>
        <v>487.50000000000006</v>
      </c>
      <c r="O281" s="3">
        <f>814+(85-375.2)+(0.83028+(0.0867-0.382704))+0-0-0</f>
        <v>524.33427599999993</v>
      </c>
      <c r="P281" s="3">
        <f>816.4+(75.9-337.4)+(1.249092+(0.116127-0.516222))+0-0-0</f>
        <v>555.74899700000003</v>
      </c>
      <c r="Q281" s="3">
        <f>827.4+(59.3-324.7)+(-0.421974+(-0.030243--0.165597))+0-0-0</f>
        <v>561.71338000000003</v>
      </c>
      <c r="R281" s="3">
        <f>894.4+(16.4-350.5)+(-2.28072+(-0.04182--0.893775))+0-0-0</f>
        <v>558.87123499999996</v>
      </c>
      <c r="S281" s="3">
        <f>952.3+(20-345.5)+(-1.457019+(-0.0306--0.528615))+0-0-0</f>
        <v>625.8409959999999</v>
      </c>
      <c r="T281" s="3">
        <f>845.3+(26-331.3)+(0.431103+(0.01326-0.168963))+0-0-0</f>
        <v>540.27539999999999</v>
      </c>
      <c r="U281" s="3">
        <f>801.4+(49.7-337.1)+(-0.408714+(-0.025347--0.171921))+0-0-0</f>
        <v>513.73785999999996</v>
      </c>
      <c r="V281" s="3">
        <f>805.3+(70.5-328.6)+(-0.821406+(-0.07191--0.335172))+0-0-0</f>
        <v>546.64185599999996</v>
      </c>
      <c r="W281" s="3">
        <f>813.4+(120.2-286.3)+(0.829668+(0.122604-0.292026))+0-0-0</f>
        <v>647.96024599999998</v>
      </c>
      <c r="X281" s="3">
        <f>807.9+(127.2-276.4)+(-2.060145+(-0.32436--0.70482))+0-0-0</f>
        <v>657.0203150000001</v>
      </c>
      <c r="Y281" s="3">
        <f>815.7+(126.3-289.9)+(-0.416007+(-0.064413--0.147849))+0-0-0</f>
        <v>651.76742900000011</v>
      </c>
      <c r="Z281" s="3">
        <f>814+(119.6-292.9)+(-0.41514+(-0.060996--0.149379))+0-0-0</f>
        <v>640.373243</v>
      </c>
      <c r="AA281" s="3">
        <f>811.4+(115.7-310.7)+(-0.827628+(-0.118014--0.316914))+0-0-0</f>
        <v>615.77127199999995</v>
      </c>
      <c r="AB281" s="3">
        <f>802+(116.2-346.7)+(-2.0451+(-0.29631--0.884085))+0-0-0</f>
        <v>570.04267500000003</v>
      </c>
      <c r="AC281" s="3">
        <f>806.2+(83.8-356.1)+(-0.822324+(-0.085476--0.363222))+0-0-0</f>
        <v>533.35542200000009</v>
      </c>
      <c r="AD281">
        <v>675</v>
      </c>
      <c r="AE281" s="3">
        <f>818+(137.1-280.1)+(0+(0-0))+0-0-0</f>
        <v>675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805+(72.9-402.6)+(-1.6422+(-0.148716--0.821304))+0-0-0</f>
        <v>474.33038799999997</v>
      </c>
      <c r="G282" s="3">
        <f>806.7+(64.6-425.6)+(-0.822834+(-0.065892--0.434112))+0-0-0</f>
        <v>445.24538600000005</v>
      </c>
      <c r="H282" s="3">
        <f>789.4+(69.3-434.4)+(-1.610376+(-0.141372--0.886176))+0-0-0</f>
        <v>423.43442800000003</v>
      </c>
      <c r="I282" s="3">
        <f>657.5+(109.8-351.9)+(-1.3413+(-0.223992--0.717876))+0-0-0</f>
        <v>414.55258400000002</v>
      </c>
      <c r="J282" s="3">
        <f>659.9+(105.4-352.5)+(-0.673098+(-0.107508--0.35955))+0-0-0</f>
        <v>412.37894399999993</v>
      </c>
      <c r="K282" s="3">
        <f>662.2+(105.5-340)+(0+(0-0))+0-0-0</f>
        <v>427.70000000000005</v>
      </c>
      <c r="L282" s="3">
        <f>661+(130.3-344.3)+(-0.33711+(-0.066453--0.175593))+0-0-0</f>
        <v>446.77202999999997</v>
      </c>
      <c r="M282" s="3">
        <f>670+(131-329.6)+(0.3417+(0.06681-0.168096))+0-0-0</f>
        <v>471.64041399999996</v>
      </c>
      <c r="N282" s="3">
        <f>800.3+(98.3-380.7)+(0.816306+(0.100266-0.388314))+0-0-0</f>
        <v>518.42825800000003</v>
      </c>
      <c r="O282" s="3">
        <f>808.6+(109.6-354)+(0.824772+(0.111792-0.36108))+0-0-0</f>
        <v>564.77548400000001</v>
      </c>
      <c r="P282" s="3">
        <f>807.2+(127-344.6)+(0.411672+(0.06477-0.175746))+0-0-0</f>
        <v>589.90069600000004</v>
      </c>
      <c r="Q282" s="3">
        <f>807.7+(122.4-329.8)+(0+(0-0))+0-0-0</f>
        <v>600.30000000000007</v>
      </c>
      <c r="R282" s="3">
        <f>802.2+(100.1-319.9)+(-2.04561+(-0.255255--0.815745))+0-0-0</f>
        <v>580.91488000000004</v>
      </c>
      <c r="S282" s="3">
        <f>798.1+(81.8-322.5)+(-2.849217+(-0.292026--1.151325))+0-0-0</f>
        <v>555.4100820000001</v>
      </c>
      <c r="T282" s="3">
        <f>809.3+(68.7-341.6)+(0+(0-0))+0-0-0</f>
        <v>536.39999999999986</v>
      </c>
      <c r="U282" s="3">
        <f>809.1+(66.5-350.4)+(1.237923+(0.101745-0.536112))+0-0-0</f>
        <v>526.003556</v>
      </c>
      <c r="V282" s="3">
        <f>802.3+(71.4-332.7)+(-0.818346+(-0.072828--0.339354))+0-0-0</f>
        <v>540.44817999999998</v>
      </c>
      <c r="W282" s="3">
        <f>821.4+(133.5-302.5)+(1.256742+(0.204255-0.462825))+0-0-0</f>
        <v>653.39817199999993</v>
      </c>
      <c r="X282" s="3">
        <f>812.8+(169.2-288.3)+(-2.07264+(-0.43146--0.735165))+0-0-0</f>
        <v>691.93106499999988</v>
      </c>
      <c r="Y282" s="3">
        <f>808.4+(178.4-299.3)+(-2.06142+(-0.45492--0.763215))+0-0-0</f>
        <v>685.74687500000005</v>
      </c>
      <c r="Z282" s="3">
        <f>810.7+(181.8-322.9)+(-1.653828+(-0.370872--0.658716))+0-0-0</f>
        <v>668.23401600000011</v>
      </c>
      <c r="AA282" s="3">
        <f>807.3+(185.3-365.6)+(-1.646892+(-0.378012--0.745824))+0-0-0</f>
        <v>625.72091999999998</v>
      </c>
      <c r="AB282" s="3">
        <f>803.7+(201.5-409.1)+(-0.819774+(-0.20553--0.417282))+0-0-0</f>
        <v>595.49197800000002</v>
      </c>
      <c r="AC282" s="3">
        <f>796.2+(170.8-413.5)+(-3.248496+(-0.696864--1.68708))+0-0-0</f>
        <v>551.24171999999999</v>
      </c>
      <c r="AD282">
        <v>702.7</v>
      </c>
      <c r="AE282" s="3">
        <f>823+(177.2-297.5)+(0+(0-0))+0-0-0</f>
        <v>702.7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803.1+(95.2-386.7)+(-0.819162+(-0.097104--0.394434))+0-0-0</f>
        <v>511.07816800000001</v>
      </c>
      <c r="G283" s="3">
        <f>799.6+(68.2-401.8)+(0.407796+(0.034782-0.204918))+0-0-0</f>
        <v>466.23766000000001</v>
      </c>
      <c r="H283" s="3">
        <f>666.1+(107.8-323)+(0.339711+(0.054978-0.16473))+0-0-0</f>
        <v>451.12995900000004</v>
      </c>
      <c r="I283" s="3">
        <f>661.4+(103.6-319.9)+(-0.337314+(-0.052836--0.163149))+0-0-0</f>
        <v>444.87299900000005</v>
      </c>
      <c r="J283" s="3">
        <f>648.9+(105.1-304.3)+(-1.654695+(-0.268005--0.775965))+0-0-0</f>
        <v>448.55326499999995</v>
      </c>
      <c r="K283" s="3">
        <f>654.8+(114-317.3)+(-0.333948+(-0.05814--0.161823))+0-0-0</f>
        <v>451.26973499999997</v>
      </c>
      <c r="L283" s="3">
        <f>653.7+(132.2-312.1)+(-0.333387+(-0.067422--0.159171))+0-0-0</f>
        <v>473.55836199999999</v>
      </c>
      <c r="M283" s="3">
        <f>739.7+(97.6-357.5)+(0.377247+(0.049776-0.182325))+0-0-0</f>
        <v>480.0446980000001</v>
      </c>
      <c r="N283" s="3">
        <f>799.1+(90.7-357.5)+(-0.407541+(-0.046257--0.182325))+0-0-0</f>
        <v>532.02852699999994</v>
      </c>
      <c r="O283" s="3">
        <f>803.5+(94.8-328)+(0.409785+(0.048348-0.16728))+0-0-0</f>
        <v>570.59085299999992</v>
      </c>
      <c r="P283" s="3">
        <f>798.9+(85-306.4)+(-0.407439+(-0.04335--0.156264))+0-0-0</f>
        <v>577.20547499999998</v>
      </c>
      <c r="Q283" s="3">
        <f>831+(51.5-293.8)+(-0.84762+(-0.05253--0.299676))+0-0-0</f>
        <v>588.09952600000008</v>
      </c>
      <c r="R283" s="3">
        <f>799.5+(55.5-308.6)+(-1.223235+(-0.084915--0.472158))+0-0-0</f>
        <v>545.56400799999994</v>
      </c>
      <c r="S283" s="3">
        <f>773.5+(88.9-342.6)+(-0.394485+(-0.045339--0.174726))+0-0-0</f>
        <v>519.53490199999999</v>
      </c>
      <c r="T283" s="3">
        <f>773.7+(86.2-347.6)+(-0.789174+(-0.087924--0.354552))+0-0-0</f>
        <v>511.77745399999998</v>
      </c>
      <c r="U283" s="3">
        <f>837.5+(67.4-399)+(-0.427125+(-0.034374--0.20349))+0-0-0</f>
        <v>505.64199099999996</v>
      </c>
      <c r="V283" s="3">
        <f>921.4+(36.1-436.9)+(0+(0-0))+0-0-0</f>
        <v>520.6</v>
      </c>
      <c r="W283" s="3">
        <f>859.7+(132.5-358.9)+(0.876894+(0.13515-0.366078))+0-0-0</f>
        <v>633.94596600000011</v>
      </c>
      <c r="X283" s="3">
        <f>814+(179.4-327.9)+(-2.0757+(-0.45747--0.836145))+0-0-0</f>
        <v>663.80297499999995</v>
      </c>
      <c r="Y283" s="3">
        <f>811.3+(166.4-323.4)+(-2.068815+(-0.42432--0.82467))+0-0-0</f>
        <v>652.63153499999999</v>
      </c>
      <c r="Z283" s="3">
        <f>812.5+(169.4-345.6)+(-1.6575+(-0.345576--0.705024))+0-0-0</f>
        <v>635.00194799999997</v>
      </c>
      <c r="AA283" s="3">
        <f>810.8+(179.6-382.4)+(-1.240524+(-0.274788--0.585072))+0-0-0</f>
        <v>607.06975999999997</v>
      </c>
      <c r="AB283" s="3">
        <f>814.6+(157-395.4)+(-1.246338+(-0.24021--0.604962))+0-0-0</f>
        <v>575.31841400000008</v>
      </c>
      <c r="AC283" s="3">
        <f>802+(142.7-413.4)+(-2.0451+(-0.363885--1.05417))+0-0-0</f>
        <v>529.94518499999992</v>
      </c>
      <c r="AD283">
        <v>682.40000000000009</v>
      </c>
      <c r="AE283" s="3">
        <f>795+(204.1-316.7)+(0+(0-0))+0-0-0</f>
        <v>682.4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806.4+(119.5-435.1)+(-1.233792+(-0.182835--0.665703))+0-0-0</f>
        <v>490.04907599999996</v>
      </c>
      <c r="G284" s="3">
        <f>765.6+(92.2-409)+(-2.342736+(-0.282132--1.25154))+0-0-0</f>
        <v>447.426672</v>
      </c>
      <c r="H284" s="3">
        <f>650.3+(117-337.1)+(-0.663306+(-0.11934--0.343842))+0-0-0</f>
        <v>429.76119599999993</v>
      </c>
      <c r="I284" s="3">
        <f>647.7+(110.1-334.9)+(-0.990981+(-0.168453--0.512397))+0-0-0</f>
        <v>422.25296300000008</v>
      </c>
      <c r="J284" s="3">
        <f>653.2+(101.4-338.3)+(0.666264+(0.103428-0.345066))+0-0-0</f>
        <v>416.72462600000006</v>
      </c>
      <c r="K284" s="3">
        <f>648.6+(94.1-324.6)+(-0.330786+(-0.047991--0.165546))+0-0-0</f>
        <v>417.88676900000002</v>
      </c>
      <c r="L284" s="3">
        <f>653.7+(105.9-327.6)+(0.333387+(0.054009-0.167076))+0-0-0</f>
        <v>432.22032000000002</v>
      </c>
      <c r="M284" s="3">
        <f>648.8+(105.7-326.1)+(-0.661776+(-0.107814--0.332622))+0-0-0</f>
        <v>427.96303199999994</v>
      </c>
      <c r="N284" s="3">
        <f>778.9+(100.8-396.8)+(0+(0-0))+0-0-0</f>
        <v>482.9</v>
      </c>
      <c r="O284" s="3">
        <f>812.8+(159.4-443.2)+(0.414528+(0.081294-0.226032))+0-0-0</f>
        <v>529.26978999999994</v>
      </c>
      <c r="P284" s="3">
        <f>807.8+(170.8-418.5)+(-0.411978+(-0.087108--0.213435))+0-0-0</f>
        <v>559.81434899999988</v>
      </c>
      <c r="Q284" s="3">
        <f>803.3+(193.4-423)+(-2.048415+(-0.49317--1.07865))+0-0-0</f>
        <v>572.23706499999992</v>
      </c>
      <c r="R284" s="3">
        <f>808+(192.1-456.9)+(-0.82416+(-0.195942--0.466038))+0-0-0</f>
        <v>542.64593600000001</v>
      </c>
      <c r="S284" s="3">
        <f>808.7+(192.2-493.3)+(-0.412437+(-0.098022--0.251583))+0-0-0</f>
        <v>507.34112400000004</v>
      </c>
      <c r="T284" s="3">
        <f>808.9+(153.3-459.8)+(-0.825078+(-0.156366--0.468996))+0-0-0</f>
        <v>501.88755199999997</v>
      </c>
      <c r="U284" s="3">
        <f>804.3+(133.6-441.7)+(-1.640772+(-0.272544--0.901068))+0-0-0</f>
        <v>495.18775199999993</v>
      </c>
      <c r="V284" s="3">
        <f>809+(112.4-410.7)+(0.41259+(0.057324-0.209457))+0-0-0</f>
        <v>510.96045700000002</v>
      </c>
      <c r="W284" s="3">
        <f>807.4+(157.7-348.7)+(0.823548+(0.160854-0.355674))+0-0-0</f>
        <v>617.028728</v>
      </c>
      <c r="X284" s="3">
        <f>807.8+(170.8-324.5)+(-1.647912+(-0.348432--0.66198))+0-0-0</f>
        <v>652.76563599999986</v>
      </c>
      <c r="Y284" s="3">
        <f>809.6+(161.2-326.2)+(-1.651584+(-0.328848--0.665448))+0-0-0</f>
        <v>643.28501600000004</v>
      </c>
      <c r="Z284" s="3">
        <f>815.6+(151.9-334.3)+(0+(0-0))+0-0-0</f>
        <v>633.20000000000005</v>
      </c>
      <c r="AA284" s="3">
        <f>808.2+(153.3-358.3)+(-1.648728+(-0.312732--0.730932))+0-0-0</f>
        <v>601.969472</v>
      </c>
      <c r="AB284" s="3">
        <f>813+(190.1-419.1)+(-0.82926+(-0.193902--0.427482))+0-0-0</f>
        <v>583.40431999999998</v>
      </c>
      <c r="AC284" s="3">
        <f>810+(149.7-426.5)+(-0.8262+(-0.152694--0.43503))+0-0-0</f>
        <v>532.65613600000006</v>
      </c>
      <c r="AD284">
        <v>646.5</v>
      </c>
      <c r="AE284" s="3">
        <f>816+(162.9-332.4)+(0+(0-0))+0-0-0</f>
        <v>646.5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589.9+(218.4-310.1)+(-0.902547+(-0.334152--0.474453))+0-0-0</f>
        <v>497.43775399999993</v>
      </c>
      <c r="G285" s="3">
        <f>466.6+(195.4-218)+(0.237966+(0.099654-0.11118))+0-0-0</f>
        <v>444.22644000000003</v>
      </c>
      <c r="H285" s="3">
        <f>501.2+(151.7-231.6)+(-0.766836+(-0.232101--0.354348))+0-0-0</f>
        <v>420.65541099999996</v>
      </c>
      <c r="I285" s="3">
        <f>525.4+(142.3-252.1)+(-1.071816+(-0.290292--0.514284))+0-0-0</f>
        <v>414.75217600000002</v>
      </c>
      <c r="J285" s="3">
        <f>524.6+(137-251.3)+(-1.070184+(-0.27948--0.512652))+0-0-0</f>
        <v>409.462988</v>
      </c>
      <c r="K285" s="3">
        <f>528.7+(132.5-249.6)+(0.269637+(0.067575-0.127296))+0-0-0</f>
        <v>411.80991600000004</v>
      </c>
      <c r="L285" s="3">
        <f>526+(144.6-258.2)+(-0.80478+(-0.221238--0.395046))+0-0-0</f>
        <v>411.76902799999999</v>
      </c>
      <c r="M285" s="3">
        <f>523.7+(140.1-280.3)+(-1.869609+(-0.500157--1.000671))+0-0-0</f>
        <v>382.13090499999998</v>
      </c>
      <c r="N285" s="3">
        <f>530.6+(150.1-271)+(0.270606+(0.076551-0.13821))+0-0-0</f>
        <v>409.90894700000007</v>
      </c>
      <c r="O285" s="3">
        <f>528.7+(199.1-276.8)+(0+(0-0))+0-0-0</f>
        <v>451</v>
      </c>
      <c r="P285" s="3">
        <f>594.3+(180.7-296.3)+(0.606186+(0.184314-0.302226))+0-0-0</f>
        <v>479.18827399999992</v>
      </c>
      <c r="Q285" s="3">
        <f>617.3+(175.4-296.9)+(-0.944469+(-0.268362--0.454257))+0-0-0</f>
        <v>495.04142599999994</v>
      </c>
      <c r="R285" s="3">
        <f>544.3+(211.4-270.7)+(0+(0-0))+0-0-0</f>
        <v>485</v>
      </c>
      <c r="S285" s="3">
        <f>499.2+(212.9-254.7)+(-0.763776+(-0.325737--0.389691))+0-0-0</f>
        <v>456.70017799999999</v>
      </c>
      <c r="T285" s="3">
        <f>500.2+(165.5-207.3)+(0+(0-0))+0-0-0</f>
        <v>458.4</v>
      </c>
      <c r="U285" s="3">
        <f>501.1+(151.8-207.9)+(0.255561+(0.077418-0.106029))+0-0-0</f>
        <v>445.22694999999999</v>
      </c>
      <c r="V285" s="3">
        <f>499.7+(170.3-217.3)+(-0.254847+(-0.086853--0.110823))+0-0-0</f>
        <v>452.46912299999997</v>
      </c>
      <c r="W285" s="3">
        <f>504+(260.1-201.9)+(0.51408+(0.265302-0.205938))+0-0-0</f>
        <v>562.77344400000004</v>
      </c>
      <c r="X285" s="3">
        <f>514.6+(281.5-209.9)+(-0.262446+(-0.143565--0.107049))+0-0-0</f>
        <v>585.90103800000009</v>
      </c>
      <c r="Y285" s="3">
        <f>514+(260.6-198.6)+(-0.26214+(-0.132906--0.101286))+0-0-0</f>
        <v>575.70623999999998</v>
      </c>
      <c r="Z285" s="3">
        <f>513.9+(262.7-199.5)+(-0.262089+(-0.133977--0.101745))+0-0-0</f>
        <v>576.80567899999994</v>
      </c>
      <c r="AA285" s="3">
        <f>498.8+(246.3-191.5)+(0+(0-0))+0-0-0</f>
        <v>553.6</v>
      </c>
      <c r="AB285" s="3">
        <f>562.6+(228.6-259.8)+(-1.147704+(-0.466344--0.529992))+0-0-0</f>
        <v>530.31594399999994</v>
      </c>
      <c r="AC285" s="3">
        <f>625+(184-326.1)+(-0.95625+(-0.28152--0.498933))+0-0-0</f>
        <v>482.16116299999999</v>
      </c>
      <c r="AD285">
        <v>591.40000000000009</v>
      </c>
      <c r="AE285" s="3">
        <f>516+(282.2-206.8)+(0+(0-0))+0-0-0</f>
        <v>591.4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618.3+(144.8-318.3)+(-0.630666+(-0.147696--0.324666))+0-0-0</f>
        <v>444.34630399999998</v>
      </c>
      <c r="G286" s="3">
        <f>614.5+(122.7-317.2)+(-1.25358+(-0.250308--0.647088))+0-0-0</f>
        <v>419.14319999999998</v>
      </c>
      <c r="H286" s="3">
        <f>616.8+(97.1-307.8)+(0+(0-0))+0-0-0</f>
        <v>406.09999999999991</v>
      </c>
      <c r="I286" s="3">
        <f>616.2+(89.7-308.5)+(0.314262+(0.045747-0.157335))+0-0-0</f>
        <v>397.60267400000004</v>
      </c>
      <c r="J286" s="3">
        <f>615.5+(104.1-311)+(-0.313905+(-0.053091--0.15861))+0-0-0</f>
        <v>408.391614</v>
      </c>
      <c r="K286" s="3">
        <f>614.9+(120.4-313.4)+(0+(0-0))+0-0-0</f>
        <v>421.9</v>
      </c>
      <c r="L286" s="3">
        <f>616.2+(142.9-313.6)+(-0.314262+(-0.072879--0.159936))+0-0-0</f>
        <v>445.27279499999997</v>
      </c>
      <c r="M286" s="3">
        <f>619.6+(149.3-298.1)+(0.947988+(0.228429-0.456093))+0-0-0</f>
        <v>471.52032400000002</v>
      </c>
      <c r="N286" s="3">
        <f>618.5+(137.4-250)+(-0.315435+(-0.070074--0.1275))+0-0-0</f>
        <v>505.64199099999996</v>
      </c>
      <c r="O286" s="3">
        <f>619.2+(140.7-226.7)+(0.631584+(0.143514-0.231234))+0-0-0</f>
        <v>533.74386400000003</v>
      </c>
      <c r="P286" s="3">
        <f>620.2+(158-204.6)+(0.316302+(0.08058-0.104346))+0-0-0</f>
        <v>573.89253600000006</v>
      </c>
      <c r="Q286" s="3">
        <f>617.4+(167-209.2)+(-0.629748+(-0.17034--0.213384))+0-0-0</f>
        <v>574.61329599999999</v>
      </c>
      <c r="R286" s="3">
        <f>600.7+(162.7-208.2)+(-0.612714+(-0.165954--0.212364))+0-0-0</f>
        <v>554.6336960000001</v>
      </c>
      <c r="S286" s="3">
        <f>598.6+(145.9-211.3)+(-0.305286+(-0.074409--0.107763))+0-0-0</f>
        <v>532.92806800000005</v>
      </c>
      <c r="T286" s="3">
        <f>597.3+(143.3-218.8)+(-0.304623+(-0.073083--0.111588))+0-0-0</f>
        <v>521.53388199999995</v>
      </c>
      <c r="U286" s="3">
        <f>597.3+(143-209.9)+(-0.609246+(-0.14586--0.214098))+0-0-0</f>
        <v>529.85899199999994</v>
      </c>
      <c r="V286" s="3">
        <f>598+(177.3-198.1)+(-0.30498+(-0.090423--0.101031))+0-0-0</f>
        <v>576.90562800000009</v>
      </c>
      <c r="W286" s="3">
        <f>611.9+(257.9-189.1)+(-0.312069+(-0.131529--0.096441))+0-0-0</f>
        <v>680.35284299999989</v>
      </c>
      <c r="X286" s="3">
        <f>625.5+(257.1-175.4)+(-0.957015+(-0.393363--0.268362))+0-0-0</f>
        <v>706.11798400000009</v>
      </c>
      <c r="Y286" s="3">
        <f>622.8+(255.2-175.9)+(-0.317628+(-0.130152--0.089709))+0-0-0</f>
        <v>701.74192899999991</v>
      </c>
      <c r="Z286" s="3">
        <f>619+(246-173.3)+(-0.94707+(-0.37638--0.265149))+0-0-0</f>
        <v>690.64169900000002</v>
      </c>
      <c r="AA286" s="3">
        <f>617.8+(218.4-177.6)+(-1.260312+(-0.445536--0.362304))+0-0-0</f>
        <v>657.25645599999996</v>
      </c>
      <c r="AB286" s="3">
        <f>614.6+(191.3-209.5)+(-0.940338+(-0.292689--0.320535))+0-0-0</f>
        <v>595.48750800000005</v>
      </c>
      <c r="AC286" s="3">
        <f>617.3+(174.6-240.8)+(-1.259292+(-0.356184--0.491232))+0-0-0</f>
        <v>549.97575599999993</v>
      </c>
      <c r="AD286">
        <v>673.5</v>
      </c>
      <c r="AE286" s="3">
        <f>624+(262.8-213.3)+(0+(0-0))+0-0-0</f>
        <v>673.5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559.2+(179.6-243.8)+(-1.140768+(-0.366384--0.497352))+0-0-0</f>
        <v>493.99020000000002</v>
      </c>
      <c r="G287" s="3">
        <f>521.8+(141.5-218.5)+(0.532236+(0.14433-0.22287))+0-0-0</f>
        <v>445.25369599999993</v>
      </c>
      <c r="H287" s="3">
        <f>490.8+(139.3-197)+(-1.001232+(-0.284172--0.40188))+0-0-0</f>
        <v>432.216476</v>
      </c>
      <c r="I287" s="3">
        <f>495.5+(130.7-192.3)+(0+(0-0))+0-0-0</f>
        <v>433.9</v>
      </c>
      <c r="J287" s="3">
        <f>495.1+(131.6-194.6)+(0+(0-0))+0-0-0</f>
        <v>432.1</v>
      </c>
      <c r="K287" s="3">
        <f>493.7+(132.1-182.4)+(0+(0-0))+0-0-0</f>
        <v>443.4</v>
      </c>
      <c r="L287" s="3">
        <f>493.7+(129.4-174)+(0+(0-0))+0-0-0</f>
        <v>449.1</v>
      </c>
      <c r="M287" s="3">
        <f>563+(142.7-183.8)+(-0.28713+(-0.072777--0.093738))+0-0-0</f>
        <v>521.63383099999999</v>
      </c>
      <c r="N287" s="3">
        <f>570.3+(137.4-214.5)+(-1.163412+(-0.280296--0.43758))+0-0-0</f>
        <v>492.19387199999994</v>
      </c>
      <c r="O287" s="3">
        <f>611.9+(174.2-222.5)+(-0.936207+(-0.266526--0.340425))+0-0-0</f>
        <v>562.73769199999992</v>
      </c>
      <c r="P287" s="3">
        <f>614.2+(173.5-212.1)+(-0.313242+(-0.088485--0.108171))+0-0-0</f>
        <v>575.30644400000006</v>
      </c>
      <c r="Q287" s="3">
        <f>611.7+(176.9-192.4)+(-1.247868+(-0.360876--0.392496))+0-0-0</f>
        <v>594.98375200000009</v>
      </c>
      <c r="R287" s="3">
        <f>608.8+(163.1-189.2)+(-1.55244+(-0.415905--0.48246))+0-0-0</f>
        <v>581.21411499999988</v>
      </c>
      <c r="S287" s="3">
        <f>618.4+(143.2-192.9)+(0.315384+(0.073032-0.098379))+0-0-0</f>
        <v>568.99003699999992</v>
      </c>
      <c r="T287" s="3">
        <f>617.5+(143.4-201.5)+(0.314925+(0.073134-0.102765))+0-0-0</f>
        <v>559.685294</v>
      </c>
      <c r="U287" s="3">
        <f>612+(146.1-198.1)+(0+(0-0))+0-0-0</f>
        <v>560</v>
      </c>
      <c r="V287" s="3">
        <f>606.3+(177.1-208.4)+(-1.236852+(-0.361284--0.425136))+0-0-0</f>
        <v>573.827</v>
      </c>
      <c r="W287" s="3">
        <f>616.3+(262.9-201.7)+(0+(0-0))+0-0-0</f>
        <v>677.5</v>
      </c>
      <c r="X287" s="3">
        <f>615.5+(278.6-187.7)+(-1.25562+(-0.568344--0.382908))+0-0-0</f>
        <v>704.95894400000009</v>
      </c>
      <c r="Y287" s="3">
        <f>611.8+(267.7-178.8)+(-1.248072+(-0.546108--0.364752))+0-0-0</f>
        <v>699.2705719999999</v>
      </c>
      <c r="Z287" s="3">
        <f>609.9+(251-178.4)+(-1.244196+(-0.51204--0.363936))+0-0-0</f>
        <v>681.10770000000002</v>
      </c>
      <c r="AA287" s="3">
        <f>610.7+(229-190)+(-0.934371+(-0.35037--0.2907))+0-0-0</f>
        <v>648.70595900000001</v>
      </c>
      <c r="AB287" s="3">
        <f>609+(203.6-208.4)+(-1.24236+(-0.415344--0.425136))+0-0-0</f>
        <v>602.96743200000003</v>
      </c>
      <c r="AC287" s="3">
        <f>608.3+(162.5-218)+(-0.930699+(-0.248625--0.33354))+0-0-0</f>
        <v>551.95421599999997</v>
      </c>
      <c r="AD287">
        <v>674.19999999999993</v>
      </c>
      <c r="AE287" s="3">
        <f>612+(281.3-219.1)+(0+(0-0))+0-0-0</f>
        <v>674.2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609.3+(112.7-243)+(-0.621486+(-0.114954--0.24786))+0-0-0</f>
        <v>478.51141999999993</v>
      </c>
      <c r="G288" s="3">
        <f>610.6+(94.6-258)+(-0.311406+(-0.048246--0.13158))+0-0-0</f>
        <v>446.97192800000005</v>
      </c>
      <c r="H288" s="3">
        <f>537.2+(119.6-229.9)+(-0.273972+(-0.060996--0.117249))+0-0-0</f>
        <v>426.68228100000005</v>
      </c>
      <c r="I288" s="3">
        <f>536.1+(114.5-231.9)+(0.273411+(0.058395-0.118269))+0-0-0</f>
        <v>418.91353700000002</v>
      </c>
      <c r="J288" s="3">
        <f>548.9+(98.4-239)+(-1.119756+(-0.200736--0.48756))+0-0-0</f>
        <v>407.46706799999993</v>
      </c>
      <c r="K288" s="3">
        <f>539.1+(110.1-238.8)+(0.274941+(0.056151-0.121788))+0-0-0</f>
        <v>410.60930399999995</v>
      </c>
      <c r="L288" s="3">
        <f>537.2+(122.4-220.1)+(-0.821916+(-0.187272--0.336753))+0-0-0</f>
        <v>438.82756500000005</v>
      </c>
      <c r="M288" s="3">
        <f>537+(151.8-228.2)+(-0.27387+(-0.077418--0.116382))+0-0-0</f>
        <v>460.365094</v>
      </c>
      <c r="N288" s="3">
        <f>562.5+(172.4-229.8)+(0+(0-0))+0-0-0</f>
        <v>505.1</v>
      </c>
      <c r="O288" s="3">
        <f>616.5+(157.9-236.7)+(0+(0-0))+0-0-0</f>
        <v>537.70000000000005</v>
      </c>
      <c r="P288" s="3">
        <f>686+(123.6-243.5)+(0.34986+(0.063036-0.124185))+0-0-0</f>
        <v>566.38871100000006</v>
      </c>
      <c r="Q288" s="3">
        <f>701.6+(112.8-259.4)+(-1.073448+(-0.172584--0.396882))+0-0-0</f>
        <v>554.15084999999999</v>
      </c>
      <c r="R288" s="3">
        <f>710.3+(104-260.7)+(-2.173518+(-0.31824--0.797742))+0-0-0</f>
        <v>551.90598399999988</v>
      </c>
      <c r="S288" s="3">
        <f>727.9+(79.6-281.6)+(-1.484916+(-0.162384--0.574464))+0-0-0</f>
        <v>524.82716399999993</v>
      </c>
      <c r="T288" s="3">
        <f>779.4+(62.7-318.3)+(-0.397494+(-0.031977--0.162333))+0-0-0</f>
        <v>523.53286199999991</v>
      </c>
      <c r="U288" s="3">
        <f>796.2+(43-313.9)+(-0.406062+(-0.02193--0.160089))+0-0-0</f>
        <v>525.03209700000002</v>
      </c>
      <c r="V288" s="3">
        <f>795.3+(66.7-323)+(-0.811206+(-0.068034--0.32946))+0-0-0</f>
        <v>538.45021999999994</v>
      </c>
      <c r="W288" s="3">
        <f>808.2+(150.4-310.1)+(-1.236546+(-0.230112--0.474453))+0-0-0</f>
        <v>647.50779499999999</v>
      </c>
      <c r="X288" s="3">
        <f>817.5+(170.1-300.6)+(-1.6677+(-0.347004--0.613224))+0-0-0</f>
        <v>685.59852000000001</v>
      </c>
      <c r="Y288" s="3">
        <f>812.5+(156.5-293.9)+(-2.071875+(-0.399075--0.749445))+0-0-0</f>
        <v>673.37849500000004</v>
      </c>
      <c r="Z288" s="3">
        <f>814.4+(128.7-294.7)+(-0.830688+(-0.131274--0.300594))+0-0-0</f>
        <v>647.73863199999994</v>
      </c>
      <c r="AA288" s="3">
        <f>802.5+(113.4-312.6)+(-2.45565+(-0.347004--0.956556))+0-0-0</f>
        <v>601.45390199999997</v>
      </c>
      <c r="AB288" s="3">
        <f>794.1+(82.2-321.2)+(-1.619964+(-0.167688--0.655248))+0-0-0</f>
        <v>553.96759600000007</v>
      </c>
      <c r="AC288" s="3">
        <f>794.1+(41.3-324)+(-0.809982+(-0.042126--0.33048))+0-0-0</f>
        <v>510.87837200000001</v>
      </c>
      <c r="AD288">
        <v>687.9</v>
      </c>
      <c r="AE288" s="3">
        <f>819+(173.5-304.6)+(0+(0-0))+0-0-0</f>
        <v>687.9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791.5+(40-372.3)+(-2.018325+(-0.102--0.949365))+0-0-0</f>
        <v>458.02904000000001</v>
      </c>
      <c r="G289" s="3">
        <f>713.9+(53.1-352.4)+(0+(0-0))+0-0-0</f>
        <v>414.6</v>
      </c>
      <c r="H289" s="3">
        <f>645.8+(57.9-306.7)+(-0.658716+(-0.059058--0.312834))+0-0-0</f>
        <v>396.59505999999999</v>
      </c>
      <c r="I289" s="3">
        <f>625.1+(64.3-302.3)+(0.637602+(0.065586-0.308346))+0-0-0</f>
        <v>387.49484200000001</v>
      </c>
      <c r="J289" s="3">
        <f>518.1+(105.5-250.8)+(0.264231+(0.053805-0.127908))+0-0-0</f>
        <v>372.99012800000003</v>
      </c>
      <c r="K289" s="3">
        <f>521.4+(118.3-249.7)+(0.531828+(0.120666-0.254694))+0-0-0</f>
        <v>390.39780000000002</v>
      </c>
      <c r="L289" s="3">
        <f>536.1+(117.4-237.1)+(1.093644+(0.239496-0.483684))+0-0-0</f>
        <v>417.24945600000001</v>
      </c>
      <c r="M289" s="3">
        <f>565.3+(110.2-236.7)+(-0.288303+(-0.056202--0.120717))+0-0-0</f>
        <v>438.57621199999994</v>
      </c>
      <c r="N289" s="3">
        <f>608.6+(134.8-258.7)+(0.310386+(0.068748-0.131937))+0-0-0</f>
        <v>484.94719700000007</v>
      </c>
      <c r="O289" s="3">
        <f>607.8+(162.1-232.7)+(0+(0-0))+0-0-0</f>
        <v>537.19999999999993</v>
      </c>
      <c r="P289" s="3">
        <f>628.9+(174.2-227.4)+(0+(0-0))+0-0-0</f>
        <v>575.69999999999993</v>
      </c>
      <c r="Q289" s="3">
        <f>637.2+(181.1-225.6)+(-1.299888+(-0.369444--0.460224))+0-0-0</f>
        <v>591.49089200000003</v>
      </c>
      <c r="R289" s="3">
        <f>747.2+(99.7-257)+(-1.143216+(-0.152541--0.39321))+0-0-0</f>
        <v>588.99745300000006</v>
      </c>
      <c r="S289" s="3">
        <f>800.2+(63.2-292.4)+(-1.224306+(-0.096696--0.447372))+0-0-0</f>
        <v>570.12636999999995</v>
      </c>
      <c r="T289" s="3">
        <f>805+(57.8-320.1)+(0.41055+(0.029478-0.163251))+0-0-0</f>
        <v>542.97677700000008</v>
      </c>
      <c r="U289" s="3">
        <f>801.6+(58.8-341.6)+(-0.408816+(-0.029988--0.174216))+0-0-0</f>
        <v>518.53541199999995</v>
      </c>
      <c r="V289" s="3">
        <f>795.7+(72.2-314.4)+(-1.217421+(-0.110466--0.481032))+0-0-0</f>
        <v>552.65314499999999</v>
      </c>
      <c r="W289" s="3">
        <f>811.3+(139.4-308.8)+(0+(0-0))+0-0-0</f>
        <v>641.9</v>
      </c>
      <c r="X289" s="3">
        <f>803.1+(156.8-296.9)+(-1.228743+(-0.239904--0.454257))+0-0-0</f>
        <v>661.98560999999995</v>
      </c>
      <c r="Y289" s="3">
        <f>801.9+(147.8-295)+(-1.226907+(-0.226134--0.45135))+0-0-0</f>
        <v>653.69830899999999</v>
      </c>
      <c r="Z289" s="3">
        <f>799.4+(121.1-279.8)+(-2.03847+(-0.308805--0.71349))+0-0-0</f>
        <v>639.06621499999994</v>
      </c>
      <c r="AA289" s="3">
        <f>799.2+(85-281.6)+(-0.407592+(-0.04335--0.143616))+0-0-0</f>
        <v>602.29267400000003</v>
      </c>
      <c r="AB289" s="3">
        <f>795.3+(92.1-327.9)+(-1.216809+(-0.140913--0.501687))+0-0-0</f>
        <v>558.64396499999998</v>
      </c>
      <c r="AC289" s="3">
        <f>792+(68.4-358.7)+(-1.61568+(-0.139536--0.731748))+0-0-0</f>
        <v>500.67653200000007</v>
      </c>
      <c r="AD289">
        <v>668.40000000000009</v>
      </c>
      <c r="AE289" s="3">
        <f>828+(154.6-314.2)+(0+(0-0))+0-0-0</f>
        <v>668.4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785.6+(39.2-358)+(-1.602624+(-0.079968--0.73032))+0-0-0</f>
        <v>465.84772800000002</v>
      </c>
      <c r="G290" s="3">
        <f>697.7+(65.2-320.2)+(-0.355827+(-0.033252--0.163302))+0-0-0</f>
        <v>442.47422300000005</v>
      </c>
      <c r="H290" s="3">
        <f>713.6+(57.8-337.5)+(-0.727872+(-0.058956--0.34425))+0-0-0</f>
        <v>433.45742200000001</v>
      </c>
      <c r="I290" s="3">
        <f>718.7+(61.9-349.3)+(0.733074+(0.063138-0.356286))+0-0-0</f>
        <v>431.73992600000003</v>
      </c>
      <c r="J290" s="3">
        <f>687.6+(71.8-328.5)+(0+(0-0))+0-0-0</f>
        <v>430.90000000000003</v>
      </c>
      <c r="K290" s="3">
        <f>739.2+(68.1-372.4)+(0.753984+(0.069462-0.379848))+0-0-0</f>
        <v>435.3435980000001</v>
      </c>
      <c r="L290" s="3">
        <f>763.2+(87.6-399.9)+(0.778464+(0.089352-0.407898))+0-0-0</f>
        <v>451.35991800000011</v>
      </c>
      <c r="M290" s="3">
        <f>772.5+(82.2-388.2)+(0.78795+(0.083844-0.395964))+0-0-0</f>
        <v>466.97582999999997</v>
      </c>
      <c r="N290" s="3">
        <f>790.3+(68.5-347.7)+(0+(0-0))+0-0-0</f>
        <v>511.09999999999997</v>
      </c>
      <c r="O290" s="3">
        <f>790+(58.8-299.1)+(0+(0-0))+0-0-0</f>
        <v>549.70000000000005</v>
      </c>
      <c r="P290" s="3">
        <f>796.1+(53.3-288)+(0.406011+(0.027183-0.14688))+0-0-0</f>
        <v>561.68631400000004</v>
      </c>
      <c r="Q290" s="3">
        <f>792.4+(62.2-299.9)+(-0.404124+(-0.031722--0.152949))+0-0-0</f>
        <v>554.417103</v>
      </c>
      <c r="R290" s="3">
        <f>785.7+(54.3-277.1)+(-1.602828+(-0.110772--0.565284))+0-0-0</f>
        <v>561.75168400000007</v>
      </c>
      <c r="S290" s="3">
        <f>791.9+(54.3-300)+(-0.403869+(-0.027693--0.153))+0-0-0</f>
        <v>545.92143800000008</v>
      </c>
      <c r="T290" s="3">
        <f>796.3+(47.4-305)+(0+(0-0))+0-0-0</f>
        <v>538.69999999999993</v>
      </c>
      <c r="U290" s="3">
        <f>794.6+(54.2-314.9)+(-0.810492+(-0.055284--0.321198))+0-0-0</f>
        <v>533.35542200000009</v>
      </c>
      <c r="V290" s="3">
        <f>812.2+(44.4-306.5)+(0.414222+(0.022644-0.156315))+0-0-0</f>
        <v>550.38055099999997</v>
      </c>
      <c r="W290" s="3">
        <f>824.4+(122.7-290.2)+(0.840888+(0.125154-0.296004))+0-0-0</f>
        <v>657.57003799999995</v>
      </c>
      <c r="X290" s="3">
        <f>821.7+(156.1-266.3)+(-0.419067+(-0.079611--0.135813))+0-0-0</f>
        <v>711.13713499999994</v>
      </c>
      <c r="Y290" s="3">
        <f>810.3+(150.2-261.6)+(-1.653012+(-0.306408--0.533664))+0-0-0</f>
        <v>697.47424399999989</v>
      </c>
      <c r="Z290" s="3">
        <f>809.9+(128.5-255.8)+(-1.239147+(-0.196605--0.391374))+0-0-0</f>
        <v>681.55562199999986</v>
      </c>
      <c r="AA290" s="3">
        <f>810.4+(106.8-260.8)+(-1.239912+(-0.163404--0.399024))+0-0-0</f>
        <v>655.39570800000001</v>
      </c>
      <c r="AB290" s="3">
        <f>812.7+(97.2-295.2)+(-1.243431+(-0.148716--0.451656))+0-0-0</f>
        <v>613.75950900000009</v>
      </c>
      <c r="AC290" s="3">
        <f>764.3+(74.3-274.7)+(-2.338758+(-0.227358--0.840582))+0-0-0</f>
        <v>562.17446599999994</v>
      </c>
      <c r="AD290">
        <v>684.69999999999993</v>
      </c>
      <c r="AE290" s="3">
        <f>825+(152.3-292.6)+(0+(0-0))+0-0-0</f>
        <v>684.7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747.6+(44.6-297.8)+(-0.762552+(-0.045492--0.303756))+0-0-0</f>
        <v>493.895712</v>
      </c>
      <c r="G291" s="3">
        <f>701.3+(57.1-303.2)+(-1.072989+(-0.087363--0.463896))+0-0-0</f>
        <v>454.50354399999992</v>
      </c>
      <c r="H291" s="3">
        <f>690.2+(61.4-328)+(-0.352002+(-0.031314--0.16728))+0-0-0</f>
        <v>423.38396400000005</v>
      </c>
      <c r="I291" s="3">
        <f>697.5+(68.5-350.8)+(1.778625+(0.174675-0.89454))+0-0-0</f>
        <v>416.25876</v>
      </c>
      <c r="J291" s="3">
        <f>694.8+(75.9-359.2)+(1.417392+(0.154836-0.732768))+0-0-0</f>
        <v>412.33945999999997</v>
      </c>
      <c r="K291" s="3">
        <f>691+(90.3-373.3)+(1.40964+(0.184212-0.761532))+0-0-0</f>
        <v>408.83231999999998</v>
      </c>
      <c r="L291" s="3">
        <f>692.2+(106.8-378.4)+(2.471154+(0.381276-1.350888))+0-0-0</f>
        <v>422.10154200000005</v>
      </c>
      <c r="M291" s="3">
        <f>679.5+(89.4-345.4)+(-1.039635+(-0.136782--0.528462))+0-0-0</f>
        <v>422.85204499999998</v>
      </c>
      <c r="N291" s="3">
        <f>684.4+(109.5-319.1)+(1.047132+(0.167535-0.488223))+0-0-0</f>
        <v>475.52644399999997</v>
      </c>
      <c r="O291" s="3">
        <f>684.6+(110.9-277.8)+(0.698292+(0.113118-0.283356))+0-0-0</f>
        <v>518.22805400000004</v>
      </c>
      <c r="P291" s="3">
        <f>689.1+(130.3-278.1)+(0.702882+(0.132906-0.283662))+0-0-0</f>
        <v>541.852126</v>
      </c>
      <c r="Q291" s="3">
        <f>689.6+(133-273.9)+(0+(0-0))+0-0-0</f>
        <v>548.70000000000005</v>
      </c>
      <c r="R291" s="3">
        <f>683+(116.3-265.9)+(-1.04499+(-0.177939--0.406827))+0-0-0</f>
        <v>532.58389800000009</v>
      </c>
      <c r="S291" s="3">
        <f>685.8+(99.4-278.2)+(0+(0-0))+0-0-0</f>
        <v>507</v>
      </c>
      <c r="T291" s="3">
        <f>685.6+(140.6-321)+(-0.349656+(-0.071706--0.16371))+0-0-0</f>
        <v>504.94234800000004</v>
      </c>
      <c r="U291" s="3">
        <f>692.9+(140.2-326.6)+(0.706758+(0.143004-0.333132))+0-0-0</f>
        <v>507.01662999999996</v>
      </c>
      <c r="V291" s="3">
        <f>690.1+(168.4-337.4)+(0.351951+(0.085884-0.172074))+0-0-0</f>
        <v>521.36576100000002</v>
      </c>
      <c r="W291" s="3">
        <f>693.2+(183-261.7)+(1.060596+(0.27999-0.400401))+0-0-0</f>
        <v>615.44018500000004</v>
      </c>
      <c r="X291" s="3">
        <f>684.3+(221-247.9)+(-1.744965+(-0.56355--0.632145))+0-0-0</f>
        <v>655.72362999999996</v>
      </c>
      <c r="Y291" s="3">
        <f>697.5+(202.3-255.1)+(-0.71145+(-0.206346--0.260202))+0-0-0</f>
        <v>644.04240600000003</v>
      </c>
      <c r="Z291" s="3">
        <f>690.4+(200.2-272.3)+(-2.464728+(-0.714714--0.972111))+0-0-0</f>
        <v>616.092669</v>
      </c>
      <c r="AA291" s="3">
        <f>689.7+(166.9-259.4)+(-2.110482+(-0.510714--0.793764))+0-0-0</f>
        <v>595.372568</v>
      </c>
      <c r="AB291" s="3">
        <f>698.3+(98.6-241)+(-0.356133+(-0.050286--0.12291))+0-0-0</f>
        <v>555.616491</v>
      </c>
      <c r="AC291" s="3">
        <f>699.1+(108.9-287.1)+(0.356541+(0.055539-0.146421))+0-0-0</f>
        <v>521.16565900000001</v>
      </c>
      <c r="AD291">
        <v>650</v>
      </c>
      <c r="AE291" s="3">
        <f>688+(206.3-244.3)+(0+(0-0))+0-0-0</f>
        <v>650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687.3+(100-308.7)+(-1.752615+(-0.255--0.787185))+0-0-0</f>
        <v>477.37956999999994</v>
      </c>
      <c r="G292" s="3">
        <f>684.5+(72.8-315.6)+(0+(0-0))+0-0-0</f>
        <v>441.7</v>
      </c>
      <c r="H292" s="3">
        <f>667+(58.9-309.4)+(-0.34017+(-0.030039--0.157794))+0-0-0</f>
        <v>416.28758499999998</v>
      </c>
      <c r="I292" s="3">
        <f>667+(59.2-318.7)+(0.68034+(0.060384-0.325074))+0-0-0</f>
        <v>407.91565000000003</v>
      </c>
      <c r="J292" s="3">
        <f>658.6+(60-320.4)+(-0.671772+(-0.0612--0.326808))+0-0-0</f>
        <v>397.79383600000006</v>
      </c>
      <c r="K292" s="3">
        <f>659.4+(67.5-327.4)+(1.008882+(0.103275-0.500922))+0-0-0</f>
        <v>400.11123500000002</v>
      </c>
      <c r="L292" s="3">
        <f>659.5+(78.7-337.5)+(0+(0-0))+0-0-0</f>
        <v>400.7</v>
      </c>
      <c r="M292" s="3">
        <f>661.1+(71.2-355.4)+(-0.337161+(-0.036312--0.181254))+0-0-0</f>
        <v>376.70778100000001</v>
      </c>
      <c r="N292" s="3">
        <f>663.2+(71-339.4)+(0.338232+(0.03621-0.173094))+0-0-0</f>
        <v>395.00134800000006</v>
      </c>
      <c r="O292" s="3">
        <f>662.8+(75.5-304.4)+(1.014084+(0.115515-0.465732))+0-0-0</f>
        <v>434.56386699999996</v>
      </c>
      <c r="P292" s="3">
        <f>663.3+(87.3-282.8)+(0+(0-0))+0-0-0</f>
        <v>467.79999999999995</v>
      </c>
      <c r="Q292" s="3">
        <f>657.6+(80.8-260.6)+(-1.006128+(-0.123624--0.398718))+0-0-0</f>
        <v>477.06896599999999</v>
      </c>
      <c r="R292" s="3">
        <f>656.8+(70.3-265)+(-1.67484+(-0.179265--0.67575))+0-0-0</f>
        <v>460.92164499999996</v>
      </c>
      <c r="S292" s="3">
        <f>659.8+(61.3-290)+(-1.009494+(-0.093789--0.4437))+0-0-0</f>
        <v>430.44041699999997</v>
      </c>
      <c r="T292" s="3">
        <f>656.9+(54.5-286)+(-1.005057+(-0.083385--0.43758))+0-0-0</f>
        <v>424.74913799999996</v>
      </c>
      <c r="U292" s="3">
        <f>658.7+(52.5-298.4)+(1.007811+(0.080325-0.456552))+0-0-0</f>
        <v>413.43158400000004</v>
      </c>
      <c r="V292" s="3">
        <f>652.7+(73.3-294.4)+(0+(0-0))+0-0-0</f>
        <v>431.60000000000008</v>
      </c>
      <c r="W292" s="3">
        <f>676.5+(95.9-240.1)+(-0.69003+(-0.097818--0.244902))+0-0-0</f>
        <v>531.75705399999993</v>
      </c>
      <c r="X292" s="3">
        <f>687.3+(123-239.2)+(-0.701046+(-0.12546--0.243984))+0-0-0</f>
        <v>570.51747799999987</v>
      </c>
      <c r="Y292" s="3">
        <f>687.5+(128.8-244.2)+(-0.70125+(-0.131376--0.249084))+0-0-0</f>
        <v>571.51645800000006</v>
      </c>
      <c r="Z292" s="3">
        <f>685.3+(121.6-243.7)+(-0.699006+(-0.124032--0.248574))+0-0-0</f>
        <v>562.6255359999999</v>
      </c>
      <c r="AA292" s="3">
        <f>681+(102.7-231.9)+(-0.34731+(-0.052377--0.118269))+0-0-0</f>
        <v>551.51858199999992</v>
      </c>
      <c r="AB292" s="3">
        <f>681.4+(81.1-235.1)+(-0.695028+(-0.082722--0.239802))+0-0-0</f>
        <v>526.86205199999995</v>
      </c>
      <c r="AC292" s="3">
        <f>677+(64.9-257)+(-1.38108+(-0.132396--0.52428))+0-0-0</f>
        <v>483.91080399999998</v>
      </c>
      <c r="AD292">
        <v>577.20000000000005</v>
      </c>
      <c r="AE292" s="3">
        <f>693+(118.5-234.3)+(0+(0-0))+0-0-0</f>
        <v>577.20000000000005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668.1+(71.7-300.6)+(-1.703655+(-0.182835--0.76653))+0-0-0</f>
        <v>438.08004</v>
      </c>
      <c r="G293" s="3">
        <f>669.6+(108.3-374)+(0+(0-0))+0-0-0</f>
        <v>403.90000000000003</v>
      </c>
      <c r="H293" s="3">
        <f>671.9+(122.4-406.7)+(0.685338+(0.124848-0.414834))+0-0-0</f>
        <v>387.99535200000003</v>
      </c>
      <c r="I293" s="3">
        <f>666.7+(114.8-398.1)+(-0.340017+(-0.058548--0.203031))+0-0-0</f>
        <v>383.20446600000002</v>
      </c>
      <c r="J293" s="3">
        <f>673+(85.8-371.4)+(0.68646+(0.087516-0.378828))+0-0-0</f>
        <v>387.79514800000004</v>
      </c>
      <c r="K293" s="3">
        <f>663.2+(80.1-349.6)+(-1.014696+(-0.122553--0.534888))+0-0-0</f>
        <v>393.09763900000007</v>
      </c>
      <c r="L293" s="3">
        <f>670+(143-384)+(-0.6834+(-0.14586--0.39168))+0-0-0</f>
        <v>428.56241999999997</v>
      </c>
      <c r="M293" s="3">
        <f>668.9+(179.2-394.7)+(-0.341139+(-0.091392--0.201297))+0-0-0</f>
        <v>453.16876600000001</v>
      </c>
      <c r="N293" s="3">
        <f>672.3+(173.5-338.8)+(0.342873+(0.088485-0.172788))+0-0-0</f>
        <v>507.25856999999996</v>
      </c>
      <c r="O293" s="3">
        <f>669.1+(168.4-297.5)+(0+(0-0))+0-0-0</f>
        <v>540</v>
      </c>
      <c r="P293" s="3">
        <f>674.2+(128.4-254.6)+(0.343842+(0.065484-0.129846))+0-0-0</f>
        <v>548.27948000000004</v>
      </c>
      <c r="Q293" s="3">
        <f>670.4+(133.2-243.1)+(-1.025712+(-0.203796--0.371943))+0-0-0</f>
        <v>559.64243499999998</v>
      </c>
      <c r="R293" s="3">
        <f>682.8+(118.1-217.1)+(-0.696456+(-0.120462--0.221442))+0-0-0</f>
        <v>583.20452399999999</v>
      </c>
      <c r="S293" s="3">
        <f>670.2+(119.6-240.1)+(-0.683604+(-0.121992--0.244902))+0-0-0</f>
        <v>549.13930600000003</v>
      </c>
      <c r="T293" s="3">
        <f>682.9+(141.6-281)+(0.696558+(0.144432-0.28662))+0-0-0</f>
        <v>544.05436999999995</v>
      </c>
      <c r="U293" s="3">
        <f>674.5+(172.5-300.9)+(-0.68799+(-0.17595--0.306918))+0-0-0</f>
        <v>545.54297800000006</v>
      </c>
      <c r="V293" s="3">
        <f>676.6+(239.8-354.5)+(0+(0-0))+0-0-0</f>
        <v>561.90000000000009</v>
      </c>
      <c r="W293" s="3">
        <f>691.8+(233-270.6)+(0.705636+(0.23766-0.276012))+0-0-0</f>
        <v>654.86728399999993</v>
      </c>
      <c r="X293" s="3">
        <f>706.5+(249-245)+(-1.080945+(-0.38097--0.37485))+0-0-0</f>
        <v>709.41293499999995</v>
      </c>
      <c r="Y293" s="3">
        <f>702.6+(228.4-230.2)+(-0.358326+(-0.116484--0.117402))+0-0-0</f>
        <v>700.4425920000001</v>
      </c>
      <c r="Z293" s="3">
        <f>699.5+(225.2-239.4)+(-1.42698+(-0.459408--0.488376))+0-0-0</f>
        <v>683.90198799999996</v>
      </c>
      <c r="AA293" s="3">
        <f>697.9+(179.5-229.4)+(-0.711858+(-0.18309--0.233988))+0-0-0</f>
        <v>647.33903999999995</v>
      </c>
      <c r="AB293" s="3">
        <f>696.5+(119.7-210.1)+(-0.355215+(-0.061047--0.107151))+0-0-0</f>
        <v>605.79088899999999</v>
      </c>
      <c r="AC293" s="3">
        <f>698.1+(111.5-248.2)+(-1.068093+(-0.170595--0.379746))+0-0-0</f>
        <v>560.54105800000013</v>
      </c>
      <c r="AD293">
        <v>665.7</v>
      </c>
      <c r="AE293" s="3">
        <f>694+(219-247.3)+(0+(0-0))+0-0-0</f>
        <v>665.7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693.4+(94.4-303.7)+(-1.414536+(-0.192576--0.619548))+0-0-0</f>
        <v>483.112436</v>
      </c>
      <c r="G294" s="3">
        <f>677.3+(104.4-336.1)+(-1.036269+(-0.159732--0.514233))+0-0-0</f>
        <v>444.91823199999993</v>
      </c>
      <c r="H294" s="3">
        <f>678.2+(117.2-364.2)+(-0.345882+(-0.059772--0.185742))+0-0-0</f>
        <v>430.98008800000002</v>
      </c>
      <c r="I294" s="3">
        <f>638.6+(128.8-338.2)+(-0.977058+(-0.197064--0.517446))+0-0-0</f>
        <v>428.54332400000004</v>
      </c>
      <c r="J294" s="3">
        <f>565.2+(197.3-339.6)+(0+(0-0))+0-0-0</f>
        <v>422.90000000000003</v>
      </c>
      <c r="K294" s="3">
        <f>567.3+(193.1-328.5)+(-0.867969+(-0.295443--0.502605))+0-0-0</f>
        <v>431.239193</v>
      </c>
      <c r="L294" s="3">
        <f>623+(190-228)+(0+(0-0))+0-0-0</f>
        <v>585</v>
      </c>
      <c r="M294" s="3">
        <f>683+(185-322)+(0+(0-0))+0-0-0</f>
        <v>546</v>
      </c>
      <c r="N294" s="3">
        <f>673+(160-386)+(0+(0-0))+0-0-0</f>
        <v>447</v>
      </c>
      <c r="O294" s="3">
        <f>678+(188-332)+(0+(0-0))+0-0-0</f>
        <v>534</v>
      </c>
      <c r="P294" s="3">
        <f>675+(97-372)+(0+(0-0))+0-0-0</f>
        <v>400</v>
      </c>
      <c r="Q294" s="3">
        <f>676+(92-375)+(0+(0-0))+0-0-0</f>
        <v>393</v>
      </c>
      <c r="R294" s="3">
        <f>677+(96.8-352)+(0+(0-0))+0-0-0</f>
        <v>421.8</v>
      </c>
      <c r="S294" s="3">
        <f>675+(101.7-344)+(0+(0-0))+0-0-0</f>
        <v>432.7</v>
      </c>
      <c r="T294" s="3">
        <f>673+(106.6-335)+(-1.02969+(-0.163098--0.51255))+0-0-0</f>
        <v>443.91976200000005</v>
      </c>
      <c r="U294" s="3">
        <f>674+(114-301)+(0+(0-0))+0-0-0</f>
        <v>487</v>
      </c>
      <c r="V294" s="3">
        <f>676.9+(130.8-258.6)+(0.690438+(0.133416-0.263772))+0-0-0</f>
        <v>549.66008199999987</v>
      </c>
      <c r="W294" s="3">
        <f>691.6+(181.5-231.2)+(0.705432+(0.18513-0.235824))+0-0-0</f>
        <v>642.55473800000004</v>
      </c>
      <c r="X294" s="3">
        <f>693.1+(217.7-232)+(-0.706962+(-0.222054--0.23664))+0-0-0</f>
        <v>678.10762399999999</v>
      </c>
      <c r="Y294" s="3">
        <f>695.2+(203.6-221)+(-0.354552+(-0.103836--0.11271))+0-0-0</f>
        <v>677.45432200000005</v>
      </c>
      <c r="Z294" s="3">
        <f>688+(188.2-214.4)+(-0.35088+(-0.095982--0.109344))+0-0-0</f>
        <v>661.46248199999991</v>
      </c>
      <c r="AA294" s="3">
        <f>689.6+(159.6-220)+(0+(0-0))+0-0-0</f>
        <v>629.20000000000005</v>
      </c>
      <c r="AB294" s="3">
        <f>690.6+(142-250.3)+(0+(0-0))+0-0-0</f>
        <v>582.29999999999995</v>
      </c>
      <c r="AC294" s="3">
        <f>688.2+(127.9-290.3)+(-1.052946+(-0.195687--0.444159))+0-0-0</f>
        <v>524.99552600000004</v>
      </c>
      <c r="AD294">
        <v>670.3</v>
      </c>
      <c r="AE294" s="3">
        <f>699+(189-217.7)+(0+(0-0))+0-0-0</f>
        <v>670.3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687.8+(137.3-348.4)+(-0.701556+(-0.140046--0.355368))+0-0-0</f>
        <v>476.21376599999996</v>
      </c>
      <c r="G295" s="3">
        <f>678.6+(119.9-352.8)+(-2.076516+(-0.366894--1.079568))+0-0-0</f>
        <v>444.33615800000007</v>
      </c>
      <c r="H295" s="3">
        <f>687.4+(86.4-346.2)+(0+(0-0))+0-0-0</f>
        <v>427.6</v>
      </c>
      <c r="I295" s="3">
        <f>682.5+(84.3-349.2)+(-0.69615+(-0.085986--0.356184))+0-0-0</f>
        <v>417.17404800000003</v>
      </c>
      <c r="J295" s="3">
        <f>684.9+(84.7-350)+(-0.349299+(-0.043197--0.1785))+0-0-0</f>
        <v>419.38600399999996</v>
      </c>
      <c r="K295" s="3">
        <f>678.6+(88.3-345.2)+(1.038258+(0.135099-0.528156))+0-0-0</f>
        <v>422.34520100000003</v>
      </c>
      <c r="L295" s="3">
        <f>678.6+(100.9-335.8)+(-0.346086+(-0.051459--0.171258))+0-0-0</f>
        <v>443.47371300000003</v>
      </c>
      <c r="M295" s="3">
        <f>674.7+(99-319.4)+(-0.688194+(-0.10098--0.325788))+0-0-0</f>
        <v>453.83661400000005</v>
      </c>
      <c r="N295" s="3">
        <f>674+(129-308.8)+(-1.03122+(-0.19737--0.472464))+0-0-0</f>
        <v>493.44387399999999</v>
      </c>
      <c r="O295" s="3">
        <f>678.7+(101.7-254.6)+(-0.346137+(-0.051867--0.129846))+0-0-0</f>
        <v>525.5318420000001</v>
      </c>
      <c r="P295" s="3">
        <f>686.6+(97.3-231.1)+(-0.700332+(-0.099246--0.235722))+0-0-0</f>
        <v>552.23614399999997</v>
      </c>
      <c r="Q295" s="3">
        <f>758.5+(62.6-270.3)+(-0.77367+(-0.063852--0.275706))+0-0-0</f>
        <v>550.23818399999993</v>
      </c>
      <c r="R295" s="3">
        <f>804.3+(58.6-319.2)+(-1.640772+(-0.119544--0.651168))+0-0-0</f>
        <v>542.59085200000004</v>
      </c>
      <c r="S295" s="3">
        <f>777.1+(63.5-314.6)+(-1.188963+(-0.097155--0.481338))+0-0-0</f>
        <v>525.19521999999995</v>
      </c>
      <c r="T295" s="3">
        <f>775+(68.2-278.9)+(-0.39525+(-0.034782--0.142239))+0-0-0</f>
        <v>564.01220699999999</v>
      </c>
      <c r="U295" s="3">
        <f>771.6+(70.2-326)+(-0.393516+(-0.035802--0.16626))+0-0-0</f>
        <v>515.53694199999995</v>
      </c>
      <c r="V295" s="3">
        <f>774.3+(68.1-307.9)+(0+(0-0))+0-0-0</f>
        <v>534.5</v>
      </c>
      <c r="W295" s="3">
        <f>680.7+(136.5-191.2)+(-0.347157+(-0.069615--0.097512))+0-0-0</f>
        <v>625.68074000000001</v>
      </c>
      <c r="X295" s="3">
        <f>696.3+(165.1-183.6)+(-1.065339+(-0.252603--0.280908))+0-0-0</f>
        <v>676.76296600000001</v>
      </c>
      <c r="Y295" s="3">
        <f>693+(162.3-185.9)+(-1.41372+(-0.331092--0.379236))+0-0-0</f>
        <v>668.03442399999994</v>
      </c>
      <c r="Z295" s="3">
        <f>691.1+(161.1-192)+(-1.057383+(-0.246483--0.29376))+0-0-0</f>
        <v>659.18989400000009</v>
      </c>
      <c r="AA295" s="3">
        <f>685.5+(132.2-188.2)+(-2.09763+(-0.404532--0.575892))+0-0-0</f>
        <v>627.57372999999995</v>
      </c>
      <c r="AB295" s="3">
        <f>727.8+(123-268.6)+(-0.742356+(-0.12546--0.273972))+0-0-0</f>
        <v>581.60615599999994</v>
      </c>
      <c r="AC295" s="3">
        <f>741.1+(75.4-276.2)+(-0.377961+(-0.038454--0.140862))+0-0-0</f>
        <v>540.02444700000012</v>
      </c>
      <c r="AD295">
        <v>682.40000000000009</v>
      </c>
      <c r="AE295" s="3">
        <f>682+(170.2-169.8)+(0+(0-0))+0-0-0</f>
        <v>682.4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733.2+(63.4-319)+(-0.373932+(-0.032334--0.16269))+0-0-0</f>
        <v>477.356424</v>
      </c>
      <c r="G296" s="3">
        <f>666.1+(79.6-295.2)+(-1.698555+(-0.20298--0.75276))+0-0-0</f>
        <v>449.351225</v>
      </c>
      <c r="H296" s="3">
        <f>618.5+(76.9-262.2)+(-0.315435+(-0.039219--0.133722))+0-0-0</f>
        <v>432.97906800000004</v>
      </c>
      <c r="I296" s="3">
        <f>637.1+(64.6-285.5)+(0+(0-0))+0-0-0</f>
        <v>416.20000000000005</v>
      </c>
      <c r="J296" s="3">
        <f>662.3+(55.6-304.2)+(0.337773+(0.028356-0.155142))+0-0-0</f>
        <v>413.91098699999992</v>
      </c>
      <c r="K296" s="3">
        <f>733.1+(38-360.8)+(0.747762+(0.03876-0.368016))+0-0-0</f>
        <v>410.71850599999999</v>
      </c>
      <c r="L296" s="3">
        <f>840.5+(30.8-433.5)+(-0.428655+(-0.015708--0.221085))+0-0-0</f>
        <v>437.57672200000002</v>
      </c>
      <c r="M296" s="3">
        <f>840.5+(35.8-419.7)+(0+(0-0))+0-0-0</f>
        <v>456.6</v>
      </c>
      <c r="N296" s="3">
        <f>845.2+(37.3-379.4)+(0+(0-0))+0-0-0</f>
        <v>503.10000000000008</v>
      </c>
      <c r="O296" s="3">
        <f>842.7+(29.4-348.1)+(0+(0-0))+0-0-0</f>
        <v>524</v>
      </c>
      <c r="P296" s="3">
        <f>842.7+(28.5-344.5)+(-0.859554+(-0.02907--0.35139))+0-0-0</f>
        <v>526.16276600000003</v>
      </c>
      <c r="Q296" s="3">
        <f>839.4+(37.8-323.1)+(-0.856188+(-0.038556--0.329562))+0-0-0</f>
        <v>553.53481799999986</v>
      </c>
      <c r="R296" s="3">
        <f>760.2+(62.5-278.8)+(-1.93851+(-0.159375--0.71094))+0-0-0</f>
        <v>542.51305500000012</v>
      </c>
      <c r="S296" s="3">
        <f>781.4+(61.6-318.3)+(0.398514+(0.031416-0.162333))+0-0-0</f>
        <v>524.96759700000007</v>
      </c>
      <c r="T296" s="3">
        <f>772+(47.9-308.1)+(0.39372+(0.024429-0.157131))+0-0-0</f>
        <v>512.06101799999999</v>
      </c>
      <c r="U296" s="3">
        <f>850+(25.3-366.4)+(0+(0-0))+0-0-0</f>
        <v>508.90000000000003</v>
      </c>
      <c r="V296" s="3">
        <f>850.5+(17.8-345)+(-1.301265+(-0.027234--0.52785))+0-0-0</f>
        <v>522.49935099999993</v>
      </c>
      <c r="W296" s="3">
        <f>856.1+(62.4-307.7)+(-0.873222+(-0.063648--0.313854))+0-0-0</f>
        <v>610.17698400000006</v>
      </c>
      <c r="X296" s="3">
        <f>904+(83-312)+(-1.38312+(-0.12699--0.47736))+0-0-0</f>
        <v>673.96725000000004</v>
      </c>
      <c r="Y296" s="3">
        <f>890.4+(85.8-306.2)+(-2.27052+(-0.21879--0.78081))+0-0-0</f>
        <v>668.29150000000004</v>
      </c>
      <c r="Z296" s="3">
        <f>893.9+(76.4-324.9)+(-0.455889+(-0.038964--0.165699))+0-0-0</f>
        <v>645.07084599999996</v>
      </c>
      <c r="AA296" s="3">
        <f>888.3+(86.5-347.7)+(-1.812132+(-0.17646--0.709308))+0-0-0</f>
        <v>625.82071599999995</v>
      </c>
      <c r="AB296" s="3">
        <f>888.4+(87.5-382.6)+(-2.26542+(-0.223125--0.97563))+0-0-0</f>
        <v>591.78708499999993</v>
      </c>
      <c r="AC296" s="3">
        <f>822.5+(73-351.8)+(-2.936325+(-0.26061--1.255926))+0-0-0</f>
        <v>541.75899100000004</v>
      </c>
      <c r="AD296">
        <v>661.5</v>
      </c>
      <c r="AE296" s="3">
        <f>867+(93-298.5)+(0+(0-0))+0-0-0</f>
        <v>661.5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722.5+(76.4-293.9)+(-0.73695+(-0.077928--0.299778))+0-0-0</f>
        <v>504.48489999999998</v>
      </c>
      <c r="G297" s="3">
        <f>723.7+(58.8-311.6)+(-1.476348+(-0.119952--0.635664))+0-0-0</f>
        <v>469.93936400000001</v>
      </c>
      <c r="H297" s="3">
        <f>725.7+(49.9-327.3)+(-0.370107+(-0.025449--0.166923))+0-0-0</f>
        <v>448.07136700000001</v>
      </c>
      <c r="I297" s="3">
        <f>711.3+(47.2-328.8)+(-1.088289+(-0.072216--0.503064))+0-0-0</f>
        <v>429.04255899999993</v>
      </c>
      <c r="J297" s="3">
        <f>674.3+(57.6-300.3)+(0+(0-0))+0-0-0</f>
        <v>431.59999999999991</v>
      </c>
      <c r="K297" s="3">
        <f>676.5+(65.2-299.4)+(0+(0-0))+0-0-0</f>
        <v>442.3</v>
      </c>
      <c r="L297" s="3">
        <f>678.9+(96.4-313.1)+(0+(0-0))+0-0-0</f>
        <v>462.19999999999993</v>
      </c>
      <c r="M297" s="3">
        <f>713.4+(87.8-315.1)+(0.363834+(0.044778-0.160701))+0-0-0</f>
        <v>486.34791099999995</v>
      </c>
      <c r="N297" s="3">
        <f>901.5+(21.3-397.4)+(0.91953+(0.021726-0.405348))+0-0-0</f>
        <v>525.93590800000004</v>
      </c>
      <c r="O297" s="3">
        <f>908.3+(37.9-383.5)+(1.389699+(0.057987-0.586755))+0-0-0</f>
        <v>563.56093099999998</v>
      </c>
      <c r="P297" s="3">
        <f>906.1+(26.1-360.5)+(0.924222+(0.026622-0.36771))+0-0-0</f>
        <v>572.28313400000002</v>
      </c>
      <c r="Q297" s="3">
        <f>895.2+(30.9-344.8)+(-0.913104+(-0.031518--0.351696))+0-0-0</f>
        <v>580.70707399999992</v>
      </c>
      <c r="R297" s="3">
        <f>1012.7+(0-439.2)+(-3.098862+(0--1.343952))+0-0-0</f>
        <v>571.74509</v>
      </c>
      <c r="S297" s="3">
        <f>903+(25.3-373.1)+(0.46053+(0.012903-0.190281))+0-0-0</f>
        <v>555.48315200000002</v>
      </c>
      <c r="T297" s="3">
        <f>905.6+(14.8-372.8)+(0.461856+(0.007548-0.190128))+0-0-0</f>
        <v>547.879276</v>
      </c>
      <c r="U297" s="3">
        <f>901.4+(11.2-368.5)+(0.459714+(0.005712-0.187935))+0-0-0</f>
        <v>544.37749099999996</v>
      </c>
      <c r="V297" s="3">
        <f>896.3+(16.7-349.6)+(-0.457113+(-0.008517--0.178296))+0-0-0</f>
        <v>563.11266599999988</v>
      </c>
      <c r="W297" s="3">
        <f>897.3+(75.3-305.1)+(-0.457623+(-0.038403--0.155601))+0-0-0</f>
        <v>667.15957500000002</v>
      </c>
      <c r="X297" s="3">
        <f>901.7+(87.7-279.7)+(-0.919734+(-0.089454--0.285294))+0-0-0</f>
        <v>708.97610600000007</v>
      </c>
      <c r="Y297" s="3">
        <f>903.4+(89.6-292.6)+(-0.460734+(-0.045696--0.149226))+0-0-0</f>
        <v>700.04279599999995</v>
      </c>
      <c r="Z297" s="3">
        <f>895.6+(89.8-294.4)+(-0.456756+(-0.045798--0.150144))+0-0-0</f>
        <v>690.64759000000004</v>
      </c>
      <c r="AA297" s="3">
        <f>894.3+(75.9-310.7)+(-1.824372+(-0.154836--0.633828))+0-0-0</f>
        <v>658.15462000000002</v>
      </c>
      <c r="AB297" s="3">
        <f>905+(78.8-358)+(0.46155+(0.040188-0.18258))+0-0-0</f>
        <v>626.11915799999997</v>
      </c>
      <c r="AC297" s="3">
        <f>892.4+(66.5-392.2)+(-2.27562+(-0.169575--1.00011))+0-0-0</f>
        <v>565.2549150000001</v>
      </c>
      <c r="AD297">
        <v>661.5</v>
      </c>
      <c r="AE297" s="3">
        <f>893+(98.1-329.6)+(0+(0-0))+0-0-0</f>
        <v>661.5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887.6+(34.4-434.9)+(-0.905352+(-0.035088--0.443598))+0-0-0</f>
        <v>486.60315800000001</v>
      </c>
      <c r="G298" s="3">
        <f>894.5+(50.1-493)+(0.456195+(0.025551-0.25143))+0-0-0</f>
        <v>451.83031600000004</v>
      </c>
      <c r="H298" s="3">
        <f>808.8+(61.2-430.5)+(0+(0-0))+0-0-0</f>
        <v>439.49999999999994</v>
      </c>
      <c r="I298" s="3">
        <f>703+(31.5-333.5)+(0.35853+(0.016065-0.170085))+0-0-0</f>
        <v>401.20451000000003</v>
      </c>
      <c r="J298" s="3">
        <f>704+(32.7-340.6)+(-1.7952+(-0.083385--0.86853))+0-0-0</f>
        <v>395.08994499999994</v>
      </c>
      <c r="K298" s="3">
        <f>704+(36.9-337.8)+(0.71808+(0.037638-0.344556))+0-0-0</f>
        <v>403.51116199999996</v>
      </c>
      <c r="L298" s="3">
        <f>703+(59.3-329.5)+(0+(0-0))+0-0-0</f>
        <v>432.8</v>
      </c>
      <c r="M298" s="3">
        <f>706+(69.4-323)+(-0.36006+(-0.035394--0.16473))+0-0-0</f>
        <v>452.16927599999997</v>
      </c>
      <c r="N298" s="3">
        <f>704+(91.9-280.8)+(0.71808+(0.093738-0.286416))+0-0-0</f>
        <v>515.62540200000001</v>
      </c>
      <c r="O298" s="3">
        <f>704+(85-228)+(1.07712+(0.13005-0.34884))+0-0-0</f>
        <v>561.85833000000002</v>
      </c>
      <c r="P298" s="3">
        <f>706+(116-259.6)+(0+(0-0))+0-0-0</f>
        <v>562.4</v>
      </c>
      <c r="Q298" s="3">
        <f>705+(132-280.2)+(-0.7191+(-0.13464--0.285804))+0-0-0</f>
        <v>556.23206399999992</v>
      </c>
      <c r="R298" s="3">
        <f>706+(134.6-279)+(-1.08018+(-0.205938--0.42687))+0-0-0</f>
        <v>560.74075200000004</v>
      </c>
      <c r="S298" s="3">
        <f>705+(120.6-278.8)+(-1.79775+(-0.30753--0.71094))+0-0-0</f>
        <v>545.4056599999999</v>
      </c>
      <c r="T298" s="3">
        <f>706+(117.2-280.5)+(-2.16036+(-0.358632--0.85833))+0-0-0</f>
        <v>541.03933800000004</v>
      </c>
      <c r="U298" s="3">
        <f>706+(102.4-307.2)+(-1.44024+(-0.208896--0.626688))+0-0-0</f>
        <v>500.17755200000005</v>
      </c>
      <c r="V298" s="3">
        <f>768+(75-363.5)+(-0.39168+(-0.03825--0.185385))+0-0-0</f>
        <v>479.25545499999998</v>
      </c>
      <c r="W298" s="3">
        <f>911.6+(83.1-389.6)+(-0.929832+(-0.084762--0.397392))+0-0-0</f>
        <v>604.482798</v>
      </c>
      <c r="X298" s="3">
        <f>912.1+(106.2-372)+(-1.395513+(-0.162486--0.56916))+0-0-0</f>
        <v>645.31116099999997</v>
      </c>
      <c r="Y298" s="3">
        <f>920.8+(90.6-373.3)+(0+(0-0))+0-0-0</f>
        <v>638.09999999999991</v>
      </c>
      <c r="Z298" s="3">
        <f>916.7+(79.6-370.7)+(-0.467517+(-0.040596--0.189057))+0-0-0</f>
        <v>625.28094399999998</v>
      </c>
      <c r="AA298" s="3">
        <f>906.8+(72.7-375.5)+(-0.924936+(-0.074154--0.38301))+0-0-0</f>
        <v>603.38391999999999</v>
      </c>
      <c r="AB298" s="3">
        <f>909.2+(79-415.6)+(-1.391076+(-0.12087--0.635868))+0-0-0</f>
        <v>571.72392200000002</v>
      </c>
      <c r="AC298" s="3">
        <f>904.5+(52.5-421.5)+(-2.306475+(-0.133875--1.074825))+0-0-0</f>
        <v>534.13447499999995</v>
      </c>
      <c r="AD298">
        <v>627.79999999999995</v>
      </c>
      <c r="AE298" s="3">
        <f>897+(106.4-375.6)+(0+(0-0))+0-0-0</f>
        <v>627.79999999999995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911.9+(24.2-440.2)+(-0.465069+(-0.012342--0.224502))+0-0-0</f>
        <v>495.64709099999999</v>
      </c>
      <c r="G299" s="3">
        <f>910.9+(14.8-469.1)+(-0.464559+(-0.007548--0.239241))+0-0-0</f>
        <v>456.36713399999996</v>
      </c>
      <c r="H299" s="3">
        <f>881+(33-467.2)+(-0.44931+(-0.01683--0.238272))+0-0-0</f>
        <v>446.57213200000001</v>
      </c>
      <c r="I299" s="3">
        <f>736+(68.3-377.3)+(0.75072+(0.069666-0.384846))+0-0-0</f>
        <v>427.43554</v>
      </c>
      <c r="J299" s="3">
        <f>667.1+(91.1-337.5)+(-0.680442+(-0.092922--0.34425))+0-0-0</f>
        <v>420.27088600000002</v>
      </c>
      <c r="K299" s="3">
        <f>666.1+(82.5-332.4)+(-0.339711+(-0.042075--0.169524))+0-0-0</f>
        <v>415.98773800000004</v>
      </c>
      <c r="L299" s="3">
        <f>668+(79.1-329.1)+(0.34068+(0.040341-0.167841))+0-0-0</f>
        <v>418.21318000000002</v>
      </c>
      <c r="M299" s="3">
        <f>660.6+(64.6-329.9)+(-0.673812+(-0.065892--0.336498))+0-0-0</f>
        <v>394.89679400000006</v>
      </c>
      <c r="N299" s="3">
        <f>676.9+(73.3-329.8)+(0+(0-0))+0-0-0</f>
        <v>420.4</v>
      </c>
      <c r="O299" s="3">
        <f>859.3+(44-437.9)+(-0.876486+(-0.04488--0.446658))+0-0-0</f>
        <v>464.92529199999996</v>
      </c>
      <c r="P299" s="3">
        <f>945.5+(20.8-475.8)+(-0.482205+(-0.010608--0.242658))+0-0-0</f>
        <v>490.24984499999999</v>
      </c>
      <c r="Q299" s="3">
        <f>1004.4+(4.3-498.5)+(-1.024488+(-0.004386--0.50847))+0-0-0</f>
        <v>509.679596</v>
      </c>
      <c r="R299" s="3">
        <f>1055.4+(0-552.2)+(0.538254+(0-0.281622))+0-0-0</f>
        <v>503.45663200000007</v>
      </c>
      <c r="S299" s="3">
        <f>993.3+(0-508.6)+(-2.026332+(0--1.037544))+0-0-0</f>
        <v>483.71121199999993</v>
      </c>
      <c r="T299" s="3">
        <f>829.5+(35.3-391.8)+(-0.423045+(-0.018003--0.199818))+0-0-0</f>
        <v>472.75877000000003</v>
      </c>
      <c r="U299" s="3">
        <f>712.9+(66.2-337.9)+(0+(0-0))+0-0-0</f>
        <v>441.2</v>
      </c>
      <c r="V299" s="3">
        <f>751.6+(43.3-364.4)+(-1.149948+(-0.066249--0.557532))+0-0-0</f>
        <v>429.84133500000007</v>
      </c>
      <c r="W299" s="3">
        <f>937.8+(20.6-438.7)+(-1.913112+(-0.042024--0.894948))+0-0-0</f>
        <v>518.63981200000001</v>
      </c>
      <c r="X299" s="3">
        <f>956.3+(44.9-426)+(-2.438565+(-0.114495--1.0863))+0-0-0</f>
        <v>573.73323999999991</v>
      </c>
      <c r="Y299" s="3">
        <f>891.8+(69.6-377.5)+(-0.454818+(-0.035496--0.192525))+0-0-0</f>
        <v>583.60221100000001</v>
      </c>
      <c r="Z299" s="3">
        <f>890.3+(73-384.6)+(-1.816212+(-0.14892--0.784584))+0-0-0</f>
        <v>577.51945199999989</v>
      </c>
      <c r="AA299" s="3">
        <f>894+(82.4-412.1)+(-1.36782+(-0.126072--0.630513))+0-0-0</f>
        <v>563.43662099999995</v>
      </c>
      <c r="AB299" s="3">
        <f>896+(101.5-455.8)+(-0.91392+(-0.10353--0.464916))+0-0-0</f>
        <v>541.14746600000001</v>
      </c>
      <c r="AC299" s="3">
        <f>893.1+(88-469.8)+(-1.366443+(-0.13464--0.718794))+0-0-0</f>
        <v>510.51771100000002</v>
      </c>
      <c r="AD299">
        <v>540.5</v>
      </c>
      <c r="AE299" s="3">
        <f>953+(34.5-447)+(0+(0-0))+0-0-0</f>
        <v>540.5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896.4+(43.1-474.4)+(-0.457164+(-0.021981--0.241944))+0-0-0</f>
        <v>464.862799</v>
      </c>
      <c r="G300" s="3">
        <f>885.8+(15.6-474.2)+(-0.451758+(-0.007956--0.241842))+0-0-0</f>
        <v>426.98212799999999</v>
      </c>
      <c r="H300" s="3">
        <f>731+(53.7-393.6)+(-0.74562+(-0.054774--0.401472))+0-0-0</f>
        <v>390.70107799999994</v>
      </c>
      <c r="I300" s="3">
        <f>730.1+(45.2-394.7)+(0+(0-0))+0-0-0</f>
        <v>380.6</v>
      </c>
      <c r="J300" s="3">
        <f>725.7+(38-383.6)+(-1.110321+(-0.05814--0.586908))+0-0-0</f>
        <v>379.51844700000004</v>
      </c>
      <c r="K300" s="3">
        <f>730.4+(37.8-382.6)+(0+(0-0))+0-0-0</f>
        <v>385.59999999999997</v>
      </c>
      <c r="L300" s="3">
        <f>737.4+(39.4-383.4)+(0.752148+(0.040188-0.391068))+0-0-0</f>
        <v>393.80126799999999</v>
      </c>
      <c r="M300" s="3">
        <f>729.6+(37.3-393.8)+(-0.372096+(-0.019023--0.200838))+0-0-0</f>
        <v>372.909719</v>
      </c>
      <c r="N300" s="3">
        <f>737.7+(43.9-385.7)+(1.128681+(0.067167-0.590121))+0-0-0</f>
        <v>396.50572700000004</v>
      </c>
      <c r="O300" s="3">
        <f>838.8+(29.6-435.9)+(0+(0-0))+0-0-0</f>
        <v>432.5</v>
      </c>
      <c r="P300" s="3">
        <f>897.5+(17.5-454.1)+(-0.457725+(-0.008925--0.231591))+0-0-0</f>
        <v>460.664941</v>
      </c>
      <c r="Q300" s="3">
        <f>868.6+(30.7-428.4)+(-0.442986+(-0.015657--0.218484))+0-0-0</f>
        <v>470.65984100000003</v>
      </c>
      <c r="R300" s="3">
        <f>945.6+(0-480.8)+(-1.929024+(0--0.980832))+0-0-0</f>
        <v>463.85180800000001</v>
      </c>
      <c r="S300" s="3">
        <f>858.9+(15.8-420.1)+(0.438039+(0.008058-0.214251))+0-0-0</f>
        <v>454.83184599999998</v>
      </c>
      <c r="T300" s="3">
        <f>730.2+(54.6-349)+(-1.117206+(-0.083538--0.53397))+0-0-0</f>
        <v>435.13322600000009</v>
      </c>
      <c r="U300" s="3">
        <f>730.8+(46.3-349.7)+(-0.372708+(-0.023613--0.178347))+0-0-0</f>
        <v>427.18202599999995</v>
      </c>
      <c r="V300" s="3">
        <f>728+(43.2-332.6)+(-0.74256+(-0.044064--0.339252))+0-0-0</f>
        <v>438.15262799999999</v>
      </c>
      <c r="W300" s="3">
        <f>902.5+(47.9-416.2)+(0.92055+(0.048858-0.424524))+0-0-0</f>
        <v>534.74488400000007</v>
      </c>
      <c r="X300" s="3">
        <f>917.3+(71.3-378.2)+(-1.871292+(-0.145452--0.771528))+0-0-0</f>
        <v>609.15478399999995</v>
      </c>
      <c r="Y300" s="3">
        <f>911.5+(66.2-369.1)+(-1.85946+(-0.135048--0.752964))+0-0-0</f>
        <v>607.35845599999993</v>
      </c>
      <c r="Z300" s="3">
        <f>919.1+(63.1-392.5)+(0+(0-0))+0-0-0</f>
        <v>589.70000000000005</v>
      </c>
      <c r="AA300" s="3">
        <f>918.8+(59.7-404.2)+(-0.468588+(-0.030447--0.206142))+0-0-0</f>
        <v>574.00710699999991</v>
      </c>
      <c r="AB300" s="3">
        <f>913.8+(64.5-431.7)+(-0.466038+(-0.032895--0.220167))+0-0-0</f>
        <v>546.32123399999989</v>
      </c>
      <c r="AC300" s="3">
        <f>901.7+(50.8-452.5)+(-1.839468+(-0.103632--0.9231))+0-0-0</f>
        <v>498.98000000000008</v>
      </c>
      <c r="AD300">
        <v>614.70000000000005</v>
      </c>
      <c r="AE300" s="3">
        <f>922+(74.6-381.9)+(0+(0-0))+0-0-0</f>
        <v>614.70000000000005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880.4+(23.6-442.7)+(-1.796016+(-0.048144--0.903108))+0-0-0</f>
        <v>460.358948</v>
      </c>
      <c r="G301" s="3">
        <f>720.8+(58.1-364.3)+(-1.102824+(-0.088893--0.557379))+0-0-0</f>
        <v>413.96566199999995</v>
      </c>
      <c r="H301" s="3">
        <f>718+(51.1-368.1)+(-0.36618+(-0.026061--0.187731))+0-0-0</f>
        <v>400.79548999999997</v>
      </c>
      <c r="I301" s="3">
        <f>714.6+(43.5-367)+(-1.457784+(-0.08874--0.74868))+0-0-0</f>
        <v>390.30215600000002</v>
      </c>
      <c r="J301" s="3">
        <f>714+(42.3-360.3)+(-1.09242+(-0.064719--0.551259))+0-0-0</f>
        <v>395.39411999999999</v>
      </c>
      <c r="K301" s="3">
        <f>720.9+(30.4-349.6)+(0.367659+(0.015504-0.178296))+0-0-0</f>
        <v>401.90486699999991</v>
      </c>
      <c r="L301" s="3">
        <f>724.2+(46.4-338.7)+(-0.738684+(-0.047328--0.345474))+0-0-0</f>
        <v>431.45946200000003</v>
      </c>
      <c r="M301" s="3">
        <f>730.4+(67-347.5)+(0.372504+(0.03417-0.177225))+0-0-0</f>
        <v>450.12944899999997</v>
      </c>
      <c r="N301" s="3">
        <f>852.5+(46.2-409.3)+(0+(0-0))+0-0-0</f>
        <v>489.4</v>
      </c>
      <c r="O301" s="3">
        <f>880.7+(30.6-381.3)+(0.449157+(0.015606-0.194463))+0-0-0</f>
        <v>530.27030000000002</v>
      </c>
      <c r="P301" s="3">
        <f>871.2+(42.5-358.8)+(0+(0-0))+0-0-0</f>
        <v>554.90000000000009</v>
      </c>
      <c r="Q301" s="3">
        <f>882.7+(46.7-362.8)+(-1.800708+(-0.095268--0.740112))+0-0-0</f>
        <v>565.44413600000007</v>
      </c>
      <c r="R301" s="3">
        <f>881.5+(33-368.8)+(-1.79826+(-0.06732--0.752352))+0-0-0</f>
        <v>544.586772</v>
      </c>
      <c r="S301" s="3">
        <f>882.2+(29.5-381.6)+(-1.799688+(-0.06018--0.778464))+0-0-0</f>
        <v>529.018596</v>
      </c>
      <c r="T301" s="3">
        <f>891.7+(25.2-381.8)+(0.454767+(0.012852-0.194718))+0-0-0</f>
        <v>535.37290100000007</v>
      </c>
      <c r="U301" s="3">
        <f>885+(27.5-385.6)+(-0.45135+(-0.014025--0.196656))+0-0-0</f>
        <v>526.63128099999994</v>
      </c>
      <c r="V301" s="3">
        <f>883.1+(16.8-366.4)+(-0.450381+(-0.008568--0.186864))+0-0-0</f>
        <v>533.22791500000005</v>
      </c>
      <c r="W301" s="3">
        <f>936.5+(36.9-349.2)+(1.432845+(0.056457-0.534276))+0-0-0</f>
        <v>625.15502600000002</v>
      </c>
      <c r="X301" s="3">
        <f>982.5+(57.7-349.6)+(0+(0-0))+0-0-0</f>
        <v>690.59999999999991</v>
      </c>
      <c r="Y301" s="3">
        <f>979.9+(51.2-346.8)+(-1.499247+(-0.078336--0.530604))+0-0-0</f>
        <v>683.25302099999999</v>
      </c>
      <c r="Z301" s="3">
        <f>895.6+(81.6-313.1)+(0.456756+(0.041616-0.159681))+0-0-0</f>
        <v>664.43869100000006</v>
      </c>
      <c r="AA301" s="3">
        <f>885.8+(77.8-319.8)+(-1.807032+(-0.158712--0.652392))+0-0-0</f>
        <v>642.48664799999995</v>
      </c>
      <c r="AB301" s="3">
        <f>883.7+(66.1-348.5)+(-0.450687+(-0.033711--0.177735))+0-0-0</f>
        <v>600.99333700000011</v>
      </c>
      <c r="AC301" s="3">
        <f>762.4+(76.8-289.3)+(-1.94412+(-0.19584--0.737715))+0-0-0</f>
        <v>548.49775499999998</v>
      </c>
      <c r="AD301">
        <v>672.8</v>
      </c>
      <c r="AE301" s="3">
        <f>1025+(42.6-394.8)+(0+(0-0))+0-0-0</f>
        <v>672.8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682.7+(77.4-273.4)+(0+(0-0))+0-0-0</f>
        <v>486.70000000000005</v>
      </c>
      <c r="G302" s="3">
        <f>683+(61.7-294.9)+(-0.69666+(-0.062934--0.300798))+0-0-0</f>
        <v>449.341204</v>
      </c>
      <c r="H302" s="3">
        <f>675.9+(51.1-293)+(-0.344709+(-0.026061--0.14943))+0-0-0</f>
        <v>433.77866</v>
      </c>
      <c r="I302" s="3">
        <f>686.9+(61.7-320)+(1.050957+(0.094401-0.4896))+0-0-0</f>
        <v>429.25575799999996</v>
      </c>
      <c r="J302" s="3">
        <f>679.3+(71-327.3)+(-0.346443+(-0.03621--0.166923))+0-0-0</f>
        <v>422.78426999999994</v>
      </c>
      <c r="K302" s="3">
        <f>733.1+(67.1-371.5)+(0+(0-0))+0-0-0</f>
        <v>428.70000000000005</v>
      </c>
      <c r="L302" s="3">
        <f>844.8+(53.4-450.6)+(0.430848+(0.027234-0.229806))+0-0-0</f>
        <v>447.8282759999999</v>
      </c>
      <c r="M302" s="3">
        <f>839.8+(41.2-417.9)+(-0.428298+(-0.021012--0.213129))+0-0-0</f>
        <v>462.86381899999998</v>
      </c>
      <c r="N302" s="3">
        <f>853.6+(36-388.3)+(0+(0-0))+0-0-0</f>
        <v>501.3</v>
      </c>
      <c r="O302" s="3">
        <f>885.4+(41.8-393.1)+(-0.451554+(-0.021318--0.200481))+0-0-0</f>
        <v>533.82760899999994</v>
      </c>
      <c r="P302" s="3">
        <f>880.6+(46.5-369)+(-1.347318+(-0.071145--0.56457))+0-0-0</f>
        <v>557.24610700000005</v>
      </c>
      <c r="Q302" s="3">
        <f>876.8+(43.2-361.6)+(-1.788672+(-0.088128--0.737664))+0-0-0</f>
        <v>557.26086399999986</v>
      </c>
      <c r="R302" s="3">
        <f>880.8+(32.2-370.3)+(-0.898416+(-0.032844--0.377706))+0-0-0</f>
        <v>542.14644599999997</v>
      </c>
      <c r="S302" s="3">
        <f>881+(30.1-383.8)+(0+(0-0))+0-0-0</f>
        <v>527.29999999999995</v>
      </c>
      <c r="T302" s="3">
        <f>876.1+(21.2-383.6)+(-0.446811+(-0.010812--0.195636))+0-0-0</f>
        <v>513.43801300000007</v>
      </c>
      <c r="U302" s="3">
        <f>878.1+(22.9-385.3)+(0.447831+(0.011679-0.196503))+0-0-0</f>
        <v>515.96300700000006</v>
      </c>
      <c r="V302" s="3">
        <f>872.4+(19.5-367)+(0.444924+(0.009945-0.18717))+0-0-0</f>
        <v>525.16769899999997</v>
      </c>
      <c r="W302" s="3">
        <f>871.1+(61.5-315)+(0.444261+(0.031365-0.16065))+0-0-0</f>
        <v>617.91497600000002</v>
      </c>
      <c r="X302" s="3">
        <f>881.3+(92.8-274.7)+(-1.797852+(-0.189312--0.560388))+0-0-0</f>
        <v>697.97322399999996</v>
      </c>
      <c r="Y302" s="3">
        <f>886.9+(81.5-276.9)+(-0.452319+(-0.041565--0.141219))+0-0-0</f>
        <v>691.147335</v>
      </c>
      <c r="Z302" s="3">
        <f>876.8+(75.7-274.4)+(-1.341504+(-0.115821--0.419832))+0-0-0</f>
        <v>677.06250699999987</v>
      </c>
      <c r="AA302" s="3">
        <f>872.7+(84.5-311.3)+(-1.335231+(-0.129285--0.476289))+0-0-0</f>
        <v>644.91177300000004</v>
      </c>
      <c r="AB302" s="3">
        <f>868.5+(94.9-354.1)+(-1.328805+(-0.145197--0.541773))+0-0-0</f>
        <v>608.36777099999995</v>
      </c>
      <c r="AC302" s="3">
        <f>873.2+(63.1-368.9)+(-1.335996+(-0.096543--0.564417))+0-0-0</f>
        <v>566.53187800000012</v>
      </c>
      <c r="AD302">
        <v>675</v>
      </c>
      <c r="AE302" s="3">
        <f>898+(89.2-312.2)+(0+(0-0))+0-0-0</f>
        <v>675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740+(75.2-325.3)+(-1.1322+(-0.115056--0.497709))+0-0-0</f>
        <v>489.15045299999997</v>
      </c>
      <c r="G303" s="3">
        <f>727.8+(63.1-341.8)+(-0.742356+(-0.064362--0.348636))+0-0-0</f>
        <v>448.64191799999998</v>
      </c>
      <c r="H303" s="3">
        <f>734.9+(54-364.5)+(0.374799+(0.02754-0.185895))+0-0-0</f>
        <v>424.616444</v>
      </c>
      <c r="I303" s="3">
        <f>728.3+(50.4-358.5)+(-1.114299+(-0.077112--0.548505))+0-0-0</f>
        <v>419.55709399999995</v>
      </c>
      <c r="J303" s="3">
        <f>735+(44-362.8)+(0.7497+(0.04488-0.370056))+0-0-0</f>
        <v>416.62452400000001</v>
      </c>
      <c r="K303" s="3">
        <f>846.5+(20.9-448.1)+(1.295145+(0.031977-0.685593))+0-0-0</f>
        <v>419.94152899999995</v>
      </c>
      <c r="L303" s="3">
        <f>854.1+(20.8-433.8)+(0.871182+(0.021216-0.442476))+0-0-0</f>
        <v>441.54992200000004</v>
      </c>
      <c r="M303" s="3">
        <f>849.8+(34.5-425.5)+(0+(0-0))+0-0-0</f>
        <v>458.79999999999995</v>
      </c>
      <c r="N303" s="3">
        <f>856+(48-403.4)+(0+(0-0))+0-0-0</f>
        <v>500.6</v>
      </c>
      <c r="O303" s="3">
        <f>840.3+(65.9-371.6)+(-0.428553+(-0.033609--0.189516))+0-0-0</f>
        <v>534.3273539999999</v>
      </c>
      <c r="P303" s="3">
        <f>837.7+(62.3-348.5)+(-0.854454+(-0.063546--0.35547))+0-0-0</f>
        <v>550.93746999999996</v>
      </c>
      <c r="Q303" s="3">
        <f>845.4+(66-356.6)+(-0.431154+(-0.03366--0.181866))+0-0-0</f>
        <v>554.51705199999992</v>
      </c>
      <c r="R303" s="3">
        <f>845.8+(86.3-396.6)+(-1.294074+(-0.132039--0.606798))+0-0-0</f>
        <v>534.68068500000004</v>
      </c>
      <c r="S303" s="3">
        <f>850.8+(62.6-386)+(-0.433908+(-0.031926--0.19686))+0-0-0</f>
        <v>527.13102600000002</v>
      </c>
      <c r="T303" s="3">
        <f>850.6+(42-380.6)+(-0.433806+(-0.02142--0.194106))+0-0-0</f>
        <v>511.73887999999999</v>
      </c>
      <c r="U303" s="3">
        <f>847.7+(35.5-370)+(-0.864654+(-0.03621--0.3774))+0-0-0</f>
        <v>512.67653600000006</v>
      </c>
      <c r="V303" s="3">
        <f>852.8+(31.5-369.2)+(0.869856+(0.03213-0.376584))+0-0-0</f>
        <v>515.62540199999989</v>
      </c>
      <c r="W303" s="3">
        <f>876+(64.7-337.7)+(0.44676+(0.032997-0.172227))+0-0-0</f>
        <v>603.30753000000004</v>
      </c>
      <c r="X303" s="3">
        <f>881.7+(99.3-307.4)+(-0.899334+(-0.101286--0.313548))+0-0-0</f>
        <v>672.91292800000019</v>
      </c>
      <c r="Y303" s="3">
        <f>880.8+(90.8-308.9)+(-1.796832+(-0.185232--0.630156))+0-0-0</f>
        <v>661.34809200000007</v>
      </c>
      <c r="Z303" s="3">
        <f>880.7+(82.7-310.7)+(-1.347471+(-0.126531--0.475371))+0-0-0</f>
        <v>651.701369</v>
      </c>
      <c r="AA303" s="3">
        <f>882.8+(76.2-335.3)+(-0.900456+(-0.077724--0.342006))+0-0-0</f>
        <v>623.06382599999995</v>
      </c>
      <c r="AB303" s="3">
        <f>880+(75-371.4)+(-1.3464+(-0.11475--0.568242))+0-0-0</f>
        <v>582.70709199999999</v>
      </c>
      <c r="AC303" s="3">
        <f>825.5+(49-346.5)+(-1.68402+(-0.09996--0.70686))+0-0-0</f>
        <v>526.92287999999996</v>
      </c>
      <c r="AD303">
        <v>674.09999999999991</v>
      </c>
      <c r="AE303" s="3">
        <f>891+(99.9-316.8)+(0+(0-0))+0-0-0</f>
        <v>674.1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725.2+(57.6-307.9)+(-1.109556+(-0.088128--0.471087))+0-0-0</f>
        <v>474.17340300000006</v>
      </c>
      <c r="G304" s="3">
        <f>716.6+(43.5-324.5)+(-0.365466+(-0.022185--0.165495))+0-0-0</f>
        <v>435.37784400000004</v>
      </c>
      <c r="H304" s="3">
        <f>717.2+(50.5-348.2)+(0.731544+(0.05151-0.355164))+0-0-0</f>
        <v>419.92789000000005</v>
      </c>
      <c r="I304" s="3">
        <f>675.3+(52.5-314.8)+(0.688806+(0.05355-0.321096))+0-0-0</f>
        <v>413.42125999999996</v>
      </c>
      <c r="J304" s="3">
        <f>668.7+(55.5-309.6)+(-0.682074+(-0.05661--0.315792))+0-0-0</f>
        <v>414.17710800000003</v>
      </c>
      <c r="K304" s="3">
        <f>666.1+(59.4-310.8)+(-0.339711+(-0.030294--0.158508))+0-0-0</f>
        <v>414.48850300000004</v>
      </c>
      <c r="L304" s="3">
        <f>677.4+(55.3-290.6)+(-1.036422+(-0.084609--0.444618))+0-0-0</f>
        <v>441.42358699999994</v>
      </c>
      <c r="M304" s="3">
        <f>675.2+(73.3-303.3)+(-1.033056+(-0.112149--0.464049))+0-0-0</f>
        <v>444.51884400000006</v>
      </c>
      <c r="N304" s="3">
        <f>856.6+(29.3-394.1)+(0.436866+(0.014943-0.200991))+0-0-0</f>
        <v>492.05081799999999</v>
      </c>
      <c r="O304" s="3">
        <f>881.3+(41-389.8)+(-0.898926+(-0.04182--0.397596))+0-0-0</f>
        <v>531.95685000000003</v>
      </c>
      <c r="P304" s="3">
        <f>886.8+(42.4-375.7)+(0.452268+(0.021624-0.191607))+0-0-0</f>
        <v>553.782285</v>
      </c>
      <c r="Q304" s="3">
        <f>880.2+(54.2-363)+(-0.897804+(-0.055284--0.37026))+0-0-0</f>
        <v>570.81717200000014</v>
      </c>
      <c r="R304" s="3">
        <f>881.9+(46.5-341.3)+(-0.449769+(-0.023715--0.174063))+0-0-0</f>
        <v>586.80057899999986</v>
      </c>
      <c r="S304" s="3">
        <f>883.6+(39.8-353.6)+(-0.450636+(-0.020298--0.180336))+0-0-0</f>
        <v>569.50940199999991</v>
      </c>
      <c r="T304" s="3">
        <f>884.5+(30.5-360.9)+(-0.451095+(-0.015555--0.184059))+0-0-0</f>
        <v>553.817409</v>
      </c>
      <c r="U304" s="3">
        <f>886.6+(24.9-381.9)+(0+(0-0))+0-0-0</f>
        <v>529.6</v>
      </c>
      <c r="V304" s="3">
        <f>886.2+(31.1-360.1)+(0+(0-0))+0-0-0</f>
        <v>557.20000000000005</v>
      </c>
      <c r="W304" s="3">
        <f>882.3+(59.4-308.4)+(0.449973+(0.030294-0.157284))+0-0-0</f>
        <v>633.62298299999998</v>
      </c>
      <c r="X304" s="3">
        <f>885.7+(101.6-311.9)+(-1.806828+(-0.207264--0.636276))+0-0-0</f>
        <v>674.02218400000004</v>
      </c>
      <c r="Y304" s="3">
        <f>891.7+(107.6-331.2)+(-1.819068+(-0.219504--0.675648))+0-0-0</f>
        <v>666.737076</v>
      </c>
      <c r="Z304" s="3">
        <f>897.4+(98-358.3)+(0+(0-0))+0-0-0</f>
        <v>637.09999999999991</v>
      </c>
      <c r="AA304" s="3">
        <f>896.9+(98.5-384)+(-2.744514+(-0.30141--1.17504))+0-0-0</f>
        <v>609.52911599999993</v>
      </c>
      <c r="AB304" s="3">
        <f>922.1+(67.5-389)+(-1.410813+(-0.103275--0.59517))+0-0-0</f>
        <v>599.68108200000006</v>
      </c>
      <c r="AC304" s="3">
        <f>946.9+(50-430.2)+(-3.863352+(-0.204--1.755216))+0-0-0</f>
        <v>564.38786400000004</v>
      </c>
      <c r="AD304">
        <v>650.9</v>
      </c>
      <c r="AE304" s="3">
        <f>891+(103-343.1)+(0+(0-0))+0-0-0</f>
        <v>650.9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980.8+(36.9-511.5)+(-2.000832+(-0.075276--1.04346))+0-0-0</f>
        <v>505.16735199999994</v>
      </c>
      <c r="G305" s="3">
        <f>998.9+(63.1-587.5)+(-2.037756+(-0.128724--1.1985))+0-0-0</f>
        <v>473.53201999999999</v>
      </c>
      <c r="H305" s="3">
        <f>986.4+(67.9-610.6)+(-3.018384+(-0.207774--1.868436))+0-0-0</f>
        <v>442.34227799999991</v>
      </c>
      <c r="I305" s="3">
        <f>1002.5+(38.7-609.8)+(0+(0-0))+0-0-0</f>
        <v>431.40000000000009</v>
      </c>
      <c r="J305" s="3">
        <f>1009.6+(41.9-617.8)+(1.029792+(0.042738-0.630156))+0-0-0</f>
        <v>434.14237400000002</v>
      </c>
      <c r="K305" s="3">
        <f>992.2+(42.2-599.7)+(0+(0-0))+0-0-0</f>
        <v>434.70000000000005</v>
      </c>
      <c r="L305" s="3">
        <f>993.2+(38.5-586.4)+(-0.506532+(-0.019635--0.299064))+0-0-0</f>
        <v>445.07289700000007</v>
      </c>
      <c r="M305" s="3">
        <f>994.3+(28.8-564.5)+(0+(0-0))+0-0-0</f>
        <v>458.59999999999991</v>
      </c>
      <c r="N305" s="3">
        <f>1002.5+(58.2-550.5)+(1.02255+(0.059364-0.56151))+0-0-0</f>
        <v>510.72040399999997</v>
      </c>
      <c r="O305" s="3">
        <f>1002.6+(67.3-514.6)+(1.022652+(0.068646-0.524892))+0-0-0</f>
        <v>555.86640599999998</v>
      </c>
      <c r="P305" s="3">
        <f>1006.9+(74.3-506.7)+(1.540557+(0.113679-0.775251))+0-0-0</f>
        <v>575.37898499999994</v>
      </c>
      <c r="Q305" s="3">
        <f>1004.4+(74-494.9)+(0.512244+(0.03774-0.252399))+0-0-0</f>
        <v>583.79758500000003</v>
      </c>
      <c r="R305" s="3">
        <f>1001.9+(61.4-483.1)+(-2.043876+(-0.125256--0.985524))+0-0-0</f>
        <v>579.01639199999988</v>
      </c>
      <c r="S305" s="3">
        <f>1000.4+(54.3-502.9)+(-1.020408+(-0.055386--0.512958))+0-0-0</f>
        <v>551.23716400000001</v>
      </c>
      <c r="T305" s="3">
        <f>1002.4+(57.6-534.8)+(0+(0-0))+0-0-0</f>
        <v>525.20000000000005</v>
      </c>
      <c r="U305" s="3">
        <f>1002.1+(73.2-579.6)+(0+(0-0))+0-0-0</f>
        <v>495.7</v>
      </c>
      <c r="V305" s="3">
        <f>996.9+(106.7-584.8)+(-1.525257+(-0.163251--0.894744))+0-0-0</f>
        <v>518.00623599999994</v>
      </c>
      <c r="W305" s="3">
        <f>1009.7+(180.6-601.3)+(1.544841+(0.276318-0.919989))+0-0-0</f>
        <v>589.90117000000009</v>
      </c>
      <c r="X305" s="3">
        <f>1013.3+(197.7-584.9)+(-1.033566+(-0.201654--0.596598))+0-0-0</f>
        <v>625.46137799999985</v>
      </c>
      <c r="Y305" s="3">
        <f>1006.7+(201-569.3)+(-2.053668+(-0.41004--1.161372))+0-0-0</f>
        <v>637.09766400000012</v>
      </c>
      <c r="Z305" s="3">
        <f>1002.6+(209.9-577.6)+(-2.55663+(-0.535245--1.47288))+0-0-0</f>
        <v>633.28100499999994</v>
      </c>
      <c r="AA305" s="3">
        <f>1009.7+(203-600.3)+(-1.544841+(-0.31059--0.918459))+0-0-0</f>
        <v>611.46302800000012</v>
      </c>
      <c r="AB305" s="3">
        <f>1009.5+(112.7-546.2)+(-0.514845+(-0.057477--0.278562))+0-0-0</f>
        <v>575.70623999999998</v>
      </c>
      <c r="AC305" s="3">
        <f>1000.6+(62.6-507.6)+(-1.020612+(-0.063852--0.517752))+0-0-0</f>
        <v>555.03328799999997</v>
      </c>
      <c r="AD305">
        <v>627</v>
      </c>
      <c r="AE305" s="3">
        <f>1021+(200-594)+(0+(0-0))+0-0-0</f>
        <v>627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995.8+(48.6-544.6)+(-1.015716+(-0.049572--0.555492))+0-0-0</f>
        <v>499.29020399999996</v>
      </c>
      <c r="G306" s="3">
        <f>1000.7+(26.7-561.9)+(0+(0-0))+0-0-0</f>
        <v>465.50000000000011</v>
      </c>
      <c r="H306" s="3">
        <f>1003.2+(33.4-591.6)+(0.511632+(0.017034-0.301716))+0-0-0</f>
        <v>445.22694999999999</v>
      </c>
      <c r="I306" s="3">
        <f>1002.8+(34.6-602.1)+(1.022856+(0.035292-0.614142))+0-0-0</f>
        <v>435.74400599999996</v>
      </c>
      <c r="J306" s="3">
        <f>971.4+(33.7-573.7)+(0+(0-0))+0-0-0</f>
        <v>431.4</v>
      </c>
      <c r="K306" s="3">
        <f>917.7+(32-525.1)+(0+(0-0))+0-0-0</f>
        <v>424.6</v>
      </c>
      <c r="L306" s="3">
        <f>871.7+(41.2-483.8)+(0+(0-0))+0-0-0</f>
        <v>429.1</v>
      </c>
      <c r="M306" s="3">
        <f>863.5+(33.3-489.5)+(-1.321155+(-0.050949--0.748935))+0-0-0</f>
        <v>406.67683099999999</v>
      </c>
      <c r="N306" s="3">
        <f>875.8+(42.5-486.8)+(0.893316+(0.04335-0.496536))+0-0-0</f>
        <v>431.94012999999995</v>
      </c>
      <c r="O306" s="3">
        <f>867.3+(74.7-466)+(-0.442323+(-0.038097--0.23766))+0-0-0</f>
        <v>475.75723999999997</v>
      </c>
      <c r="P306" s="3">
        <f>863.7+(91.7-445.5)+(-0.440487+(-0.046767--0.227205))+0-0-0</f>
        <v>509.63995100000005</v>
      </c>
      <c r="Q306" s="3">
        <f>867.2+(97.5-443.3)+(-0.442272+(-0.049725--0.226083))+0-0-0</f>
        <v>521.13408600000014</v>
      </c>
      <c r="R306" s="3">
        <f>894.4+(98.2-436.6)+(-1.368432+(-0.150246--0.667998))+0-0-0</f>
        <v>555.14931999999999</v>
      </c>
      <c r="S306" s="3">
        <f>888.1+(88.4-458.6)+(-1.811724+(-0.180336--0.935544))+0-0-0</f>
        <v>516.84348399999999</v>
      </c>
      <c r="T306" s="3">
        <f>891.1+(85.4-492.5)+(-1.363383+(-0.130662--0.753525))+0-0-0</f>
        <v>483.25948</v>
      </c>
      <c r="U306" s="3">
        <f>892.9+(70.7-499.4)+(0+(0-0))+0-0-0</f>
        <v>464.2</v>
      </c>
      <c r="V306" s="3">
        <f>898.8+(63.3-490.1)+(0+(0-0))+0-0-0</f>
        <v>471.99999999999994</v>
      </c>
      <c r="W306" s="3">
        <f>976.3+(71.2-501)+(-0.497913+(-0.036312--0.25551))+0-0-0</f>
        <v>546.22128499999997</v>
      </c>
      <c r="X306" s="3">
        <f>1016.1+(83.6-490.6)+(0+(0-0))+0-0-0</f>
        <v>609.1</v>
      </c>
      <c r="Y306" s="3">
        <f>1005.5+(75.1-482.6)+(-2.05122+(-0.153204--0.984504))+0-0-0</f>
        <v>596.78008</v>
      </c>
      <c r="Z306" s="3">
        <f>1000.2+(70.7-481.5)+(-1.020204+(-0.072114--0.49113))+0-0-0</f>
        <v>588.79881200000011</v>
      </c>
      <c r="AA306" s="3">
        <f>990.6+(65.2-478.7)+(-0.505206+(-0.033252--0.244137))+0-0-0</f>
        <v>576.80567900000005</v>
      </c>
      <c r="AB306" s="3">
        <f>978+(74.7-508.9)+(-2.4939+(-0.190485--1.297695))+0-0-0</f>
        <v>542.41330999999991</v>
      </c>
      <c r="AC306" s="3">
        <f>983+(46-506.9)+(-2.00532+(-0.09384--1.034076))+0-0-0</f>
        <v>521.03491600000007</v>
      </c>
      <c r="AD306">
        <v>591</v>
      </c>
      <c r="AE306" s="3">
        <f>1023+(82-514)+(0+(0-0))+0-0-0</f>
        <v>591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983.7+(37-566.7)+(-1.003374+(-0.03774--0.578034))+0-0-0</f>
        <v>453.53692000000001</v>
      </c>
      <c r="G307" s="3">
        <f>857.7+(59.8-485.6)+(-0.437427+(-0.030498--0.247656))+0-0-0</f>
        <v>431.67973100000006</v>
      </c>
      <c r="H307" s="3">
        <f>808.4+(38.9-433.6)+(-1.649136+(-0.079356--0.884544))+0-0-0</f>
        <v>412.85605199999992</v>
      </c>
      <c r="I307" s="3">
        <f>834+(22.3-487.9)+(0.42534+(0.011373-0.248829))+0-0-0</f>
        <v>368.58788400000003</v>
      </c>
      <c r="J307" s="3">
        <f>834+(23.6-507.9)+(0.85068+(0.024072-0.518058))+0-0-0</f>
        <v>350.05669400000005</v>
      </c>
      <c r="K307" s="3">
        <f>831+(44-519.2)+(0.84762+(0.04488-0.529584))+0-0-0</f>
        <v>356.16291599999994</v>
      </c>
      <c r="L307" s="3">
        <f>964+(53.5-614.2)+(0.98328+(0.05457-0.626484))+0-0-0</f>
        <v>403.71136599999994</v>
      </c>
      <c r="M307" s="3">
        <f>964+(40.8-617.7)+(-0.98328+(-0.041616--0.630054))+0-0-0</f>
        <v>386.70515799999993</v>
      </c>
      <c r="N307" s="3">
        <f>988+(35-546.5)+(2.01552+(0.0714-1.11486))+0-0-0</f>
        <v>477.47206</v>
      </c>
      <c r="O307" s="3">
        <f>985+(17.3-537.8)+(1.0047+(0.017646-0.548556))+0-0-0</f>
        <v>464.97379000000001</v>
      </c>
      <c r="P307" s="3">
        <f>980+(34.6-496.9)+(-1.4994+(-0.052938--0.760257))+0-0-0</f>
        <v>516.90791899999999</v>
      </c>
      <c r="Q307" s="3">
        <f>979+(42.8-508)+(-0.99858+(-0.043656--0.51816))+0-0-0</f>
        <v>513.27592399999992</v>
      </c>
      <c r="R307" s="3">
        <f>988+(18-520.7)+(-1.51164+(-0.02754--0.796671))+0-0-0</f>
        <v>484.55749099999997</v>
      </c>
      <c r="S307" s="3">
        <f>988+(17-508)+(0.50388+(0.00867-0.25908))+0-0-0</f>
        <v>497.25346999999999</v>
      </c>
      <c r="T307" s="3">
        <f>988+(18-504.4)+(-1.51164+(-0.02754--0.771732))+0-0-0</f>
        <v>500.83255200000002</v>
      </c>
      <c r="U307" s="3">
        <f>987+(17-524.2)+(-0.50337+(-0.00867--0.267342))+0-0-0</f>
        <v>479.55530199999993</v>
      </c>
      <c r="V307" s="3">
        <f>987+(24.7-480.3)+(-1.00674+(-0.025194--0.489906))+0-0-0</f>
        <v>530.85797200000002</v>
      </c>
      <c r="W307" s="3">
        <f>1016+(36.7-485.6)+(1.55448+(0.056151-0.742968))+0-0-0</f>
        <v>567.9676629999999</v>
      </c>
      <c r="X307" s="3">
        <f>1013+(44.4-422.1)+(0+(0-0))+0-0-0</f>
        <v>635.29999999999995</v>
      </c>
      <c r="Y307" s="3">
        <f>1014+(52.1-416.3)+(-1.55142+(-0.079713--0.636939))+0-0-0</f>
        <v>648.80580599999996</v>
      </c>
      <c r="Z307" s="3">
        <f>1014+(62.7-429.9)+(-1.55142+(-0.095931--0.657747))+0-0-0</f>
        <v>645.81039599999997</v>
      </c>
      <c r="AA307" s="3">
        <f>1014+(57.8-453.9)+(-2.5857+(-0.14739--1.157445))+0-0-0</f>
        <v>616.32435500000008</v>
      </c>
      <c r="AB307" s="3">
        <f>1007+(44.8-450.9)+(-2.56785+(-0.11424--1.149795))+0-0-0</f>
        <v>599.36770500000011</v>
      </c>
      <c r="AC307" s="3">
        <f>1007+(17.7-515.8)+(-0.51357+(-0.009027--0.263058))+0-0-0</f>
        <v>508.64046100000002</v>
      </c>
      <c r="AD307">
        <v>554.5</v>
      </c>
      <c r="AE307" s="3">
        <f>1009+(32.8-487.3)+(0+(0-0))+0-0-0</f>
        <v>554.5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987+(14.7-566.1)+(0+(0-0))+0-0-0</f>
        <v>435.6</v>
      </c>
      <c r="G308" s="3">
        <f>866+(21.7-503.3)+(-0.44166+(-0.011067--0.256683))+0-0-0</f>
        <v>384.20395600000001</v>
      </c>
      <c r="H308" s="3">
        <f>844+(29.3-493.7)+(0+(0-0))+0-0-0</f>
        <v>379.6</v>
      </c>
      <c r="I308" s="3">
        <f>845+(28.9-466.3)+(0+(0-0))+0-0-0</f>
        <v>407.59999999999997</v>
      </c>
      <c r="J308" s="3">
        <f>780+(23.8-437.5)+(0.7956+(0.024276-0.44625))+0-0-0</f>
        <v>366.67362600000001</v>
      </c>
      <c r="K308" s="3">
        <f>780+(22.8-438.2)+(0.3978+(0.011628-0.223482))+0-0-0</f>
        <v>364.78594600000002</v>
      </c>
      <c r="L308" s="3">
        <f>781+(27.5-431.8)+(0+(0-0))+0-0-0</f>
        <v>376.7</v>
      </c>
      <c r="M308" s="3">
        <f>780+(29.1-440.9)+(-0.7956+(-0.029682--0.449718))+0-0-0</f>
        <v>367.82443600000005</v>
      </c>
      <c r="N308" s="3">
        <f>980+(51.1-455.2)+(0.9996+(0.052122-0.464304))+0-0-0</f>
        <v>576.48741800000005</v>
      </c>
      <c r="O308" s="3">
        <f>1005+(80.1-528.6)+(-1.53765+(-0.122553--0.808758))+0-0-0</f>
        <v>555.64855499999999</v>
      </c>
      <c r="P308" s="3">
        <f>1005+(65.7-520.3)+(-1.53765+(-0.100521--0.796059))+0-0-0</f>
        <v>549.55788800000005</v>
      </c>
      <c r="Q308" s="3">
        <f>1007+(51.9-514.5)+(-2.56785+(-0.132345--1.311975))+0-0-0</f>
        <v>543.01177999999993</v>
      </c>
      <c r="R308" s="3">
        <f>1005+(40-577.4)+(-1.0251+(-0.0408--0.588948))+0-0-0</f>
        <v>467.12304800000004</v>
      </c>
      <c r="S308" s="3">
        <f>925+(37-480.9)+(-0.47175+(-0.01887--0.245259))+0-0-0</f>
        <v>480.85463900000002</v>
      </c>
      <c r="T308" s="3">
        <f>912.7+(25.2-486.9)+(-0.465477+(-0.012852--0.248319))+0-0-0</f>
        <v>450.76999000000006</v>
      </c>
      <c r="U308" s="3">
        <f>853+(45.3-455.4)+(-1.74012+(-0.092412--0.929016))+0-0-0</f>
        <v>441.99648400000001</v>
      </c>
      <c r="V308" s="3">
        <f>922+(48.9-581.7)+(-0.47022+(-0.024939--0.296667))+0-0-0</f>
        <v>389.00150799999994</v>
      </c>
      <c r="W308" s="3">
        <f>1011+(62.6-479.8)+(0+(0-0))+0-0-0</f>
        <v>593.79999999999995</v>
      </c>
      <c r="X308" s="3">
        <f>1023+(50.3-463.4)+(0.52173+(0.025653-0.236334))+0-0-0</f>
        <v>610.21104900000012</v>
      </c>
      <c r="Y308" s="3">
        <f>977+(61.5-433.2)+(-0.99654+(-0.06273--0.441864))+0-0-0</f>
        <v>604.68259399999999</v>
      </c>
      <c r="Z308" s="3">
        <f>950+(75.4-409.3)+(-0.969+(-0.076908--0.417486))+0-0-0</f>
        <v>615.47157800000002</v>
      </c>
      <c r="AA308" s="3">
        <f>946+(55.2-423.1)+(-1.44738+(-0.084456--0.647343))+0-0-0</f>
        <v>577.21550699999989</v>
      </c>
      <c r="AB308" s="3">
        <f>946+(35.3-444.8)+(-1.44738+(-0.054009--0.680544))+0-0-0</f>
        <v>535.67915500000004</v>
      </c>
      <c r="AC308" s="3">
        <f>945+(22.8-463.7)+(-2.40975+(-0.05814--1.182435))+0-0-0</f>
        <v>502.81454500000001</v>
      </c>
      <c r="AD308">
        <v>603.1</v>
      </c>
      <c r="AE308" s="3">
        <f>1033+(45.2-475.1)+(0+(0-0))+0-0-0</f>
        <v>603.09999999999991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945+(41-539.8)+(-2.40975+(-0.10455--1.37649))+0-0-0</f>
        <v>445.06219000000004</v>
      </c>
      <c r="G309" s="3">
        <f>816+(66-508.8)+(-1.66464+(-0.13464--1.037952))+0-0-0</f>
        <v>372.438672</v>
      </c>
      <c r="H309" s="3">
        <f>816+(80.6-525.5)+(0.41616+(0.041106-0.268005))+0-0-0</f>
        <v>371.28926100000001</v>
      </c>
      <c r="I309" s="3">
        <f>816+(82.3-534.4)+(0.83232+(0.083946-0.545088))+0-0-0</f>
        <v>364.27117800000002</v>
      </c>
      <c r="J309" s="3">
        <f>816+(79.7-544.3)+(0.41616+(0.040647-0.277593))+0-0-0</f>
        <v>351.57921400000004</v>
      </c>
      <c r="K309" s="3">
        <f>816+(70.6-542.5)+(0.41616+(0.036006-0.276675))+0-0-0</f>
        <v>344.27549100000005</v>
      </c>
      <c r="L309" s="3">
        <f>947+(51.4-577.3)+(0.48297+(0.026214-0.294423))+0-0-0</f>
        <v>421.31476100000003</v>
      </c>
      <c r="M309" s="3">
        <f>955+(47.4-563.1)+(0.48705+(0.024174-0.287181))+0-0-0</f>
        <v>439.52404299999995</v>
      </c>
      <c r="N309" s="3">
        <f>958+(53.8-495.8)+(-0.48858+(-0.027438--0.252858))+0-0-0</f>
        <v>515.73684000000003</v>
      </c>
      <c r="O309" s="3">
        <f>1008+(26-476.1)+(1.54224+(0.03978-0.728433))+0-0-0</f>
        <v>558.75358699999992</v>
      </c>
      <c r="P309" s="3">
        <f>1043+(11.8-462.7)+(1.06386+(0.012036-0.471954))+0-0-0</f>
        <v>592.70394199999998</v>
      </c>
      <c r="Q309" s="3">
        <f>1024+(9.8-467.6)+(1.04448+(0.009996-0.476952))+0-0-0</f>
        <v>566.77752400000008</v>
      </c>
      <c r="R309" s="3">
        <f>1024+(11.7-468.3)+(-1.56672+(-0.017901--0.716499))+0-0-0</f>
        <v>566.53187800000001</v>
      </c>
      <c r="S309" s="3">
        <f>1024+(25-465.3)+(-2.08896+(-0.051--0.949212))+0-0-0</f>
        <v>582.50925200000006</v>
      </c>
      <c r="T309" s="3">
        <f>1024+(31.4-487.4)+(-0.52224+(-0.016014--0.248574))+0-0-0</f>
        <v>567.71032000000002</v>
      </c>
      <c r="U309" s="3">
        <f>1107.2+(11.4-525.3)+(-1.694016+(-0.017442--0.803709))+0-0-0</f>
        <v>592.3922510000001</v>
      </c>
      <c r="V309" s="3">
        <f>1024+(38.8-550.2)+(-1.04448+(-0.039576--0.561204))+0-0-0</f>
        <v>512.07714799999997</v>
      </c>
      <c r="W309" s="3">
        <f>1024+(39.4-574.2)+(0+(0-0))+0-0-0</f>
        <v>489.19999999999993</v>
      </c>
      <c r="X309" s="3">
        <f>1024+(33.2-550.6)+(-2.08896+(-0.067728--1.123224))+0-0-0</f>
        <v>505.56653600000004</v>
      </c>
      <c r="Y309" s="3">
        <f>1024+(34.1-529.1)+(-2.6112+(-0.086955--1.349205))+0-0-0</f>
        <v>527.65105000000005</v>
      </c>
      <c r="Z309" s="3">
        <f>1024+(39.8-537)+(-1.04448+(-0.040596--0.54774))+0-0-0</f>
        <v>526.26266399999997</v>
      </c>
      <c r="AA309" s="3">
        <f>1024+(43.3-535.2)+(-0.52224+(-0.022083--0.272952))+0-0-0</f>
        <v>531.82862899999986</v>
      </c>
      <c r="AB309" s="3">
        <f>1024+(8.6-527)+(-2.6112+(-0.02193--1.34385))+0-0-0</f>
        <v>504.31072</v>
      </c>
      <c r="AC309" s="3">
        <f>1024+(15.3-515.6)+(-1.04448+(-0.015606--0.525912))+0-0-0</f>
        <v>523.16582600000004</v>
      </c>
      <c r="AD309">
        <v>645.69999999999993</v>
      </c>
      <c r="AE309" s="3">
        <f>1014+(36.3-404.6)+(0+(0-0))+0-0-0</f>
        <v>645.70000000000005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1002+(88.1-656.6)+(-2.5551+(-0.224655--1.67433))+0-0-0</f>
        <v>432.39457499999997</v>
      </c>
      <c r="G310" s="3">
        <f>1005+(55.8-662)+(-1.0251+(-0.056916--0.67524))+0-0-0</f>
        <v>398.39322399999998</v>
      </c>
      <c r="H310" s="3">
        <f>1003+(38.8-639.2)+(-2.55765+(-0.09894--1.62996))+0-0-0</f>
        <v>401.5733699999999</v>
      </c>
      <c r="I310" s="3">
        <f>1002+(61.8-688)+(0+(0-0))+0-0-0</f>
        <v>375.79999999999995</v>
      </c>
      <c r="J310" s="3">
        <f>1001+(61.6-686.8)+(0.51051+(0.031416-0.350268))+0-0-0</f>
        <v>375.99165800000009</v>
      </c>
      <c r="K310" s="3">
        <f>1002+(57.9-673)+(-0.51102+(-0.029529--0.34323))+0-0-0</f>
        <v>386.70268099999998</v>
      </c>
      <c r="L310" s="3">
        <f>1004+(49.6-656.5)+(-1.53612+(-0.075888--1.004445))+0-0-0</f>
        <v>396.492437</v>
      </c>
      <c r="M310" s="3">
        <f>999+(49.8-676.9)+(-1.01898+(-0.050796--0.690438))+0-0-0</f>
        <v>371.52066199999996</v>
      </c>
      <c r="N310" s="3">
        <f>999+(73.5-630.3)+(-0.50949+(-0.037485--0.321453))+0-0-0</f>
        <v>441.97447800000003</v>
      </c>
      <c r="O310" s="3">
        <f>998+(79.9-635.5)+(-0.50898+(-0.040749--0.324105))+0-0-0</f>
        <v>442.174376</v>
      </c>
      <c r="P310" s="3">
        <f>994+(105.9-564.3)+(0+(0-0))+0-0-0</f>
        <v>535.6</v>
      </c>
      <c r="Q310" s="3">
        <f>994+(46.5-517)+(-0.50694+(-0.023715--0.26367))+0-0-0</f>
        <v>523.23301500000002</v>
      </c>
      <c r="R310" s="3">
        <f>993+(45.7-521.5)+(-1.01286+(-0.046614--0.53193))+0-0-0</f>
        <v>516.67245600000001</v>
      </c>
      <c r="S310" s="3">
        <f>995+(52.2-546.8)+(-2.0298+(-0.106488--1.115472))+0-0-0</f>
        <v>499.37918400000001</v>
      </c>
      <c r="T310" s="3">
        <f>1082.7+(39.4-658.1)+(-1.104354+(-0.040188--0.671262))+0-0-0</f>
        <v>463.52672000000001</v>
      </c>
      <c r="U310" s="3">
        <f>1117+(39.5-677.8)+(0.56967+(0.020145-0.345678))+0-0-0</f>
        <v>478.94413700000007</v>
      </c>
      <c r="V310" s="3">
        <f>1089.9+(49.9-599.4)+(0+(0-0))+0-0-0</f>
        <v>540.40000000000009</v>
      </c>
      <c r="W310" s="3">
        <f>1007+(58.9-485)+(2.56785+(0.150195-1.23675))+0-0-0</f>
        <v>582.38129500000002</v>
      </c>
      <c r="X310" s="3">
        <f>1035+(37.7-461.3)+(-1.58355+(-0.057681--0.705789))+0-0-0</f>
        <v>610.46455800000001</v>
      </c>
      <c r="Y310" s="3">
        <f>1033+(38.8-458.9)+(-2.10732+(-0.079152--0.936156))+0-0-0</f>
        <v>611.64968400000009</v>
      </c>
      <c r="Z310" s="3">
        <f>1029+(38.3-487.9)+(-0.52479+(-0.019533--0.248829))+0-0-0</f>
        <v>579.10450600000013</v>
      </c>
      <c r="AA310" s="3">
        <f>1033+(39.8-498.2)+(0.52683+(0.020298-0.254082))+0-0-0</f>
        <v>574.89304600000003</v>
      </c>
      <c r="AB310" s="3">
        <f>1024+(18.5-512.2)+(-1.04448+(-0.01887--0.522444))+0-0-0</f>
        <v>529.759094</v>
      </c>
      <c r="AC310" s="3">
        <f>995+(43-560.9)+(-2.0298+(-0.08772--1.144236))+0-0-0</f>
        <v>476.12671600000004</v>
      </c>
      <c r="AD310">
        <v>613.39999999999986</v>
      </c>
      <c r="AE310" s="3">
        <f>1027+(37.1-450.7)+(0+(0-0))+0-0-0</f>
        <v>613.40000000000009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842+(61.8-463.5)+(0+(0-0))+0-0-0</f>
        <v>440.3</v>
      </c>
      <c r="G311" s="3">
        <f>841+(63.8-467.8)+(-0.85782+(-0.065076--0.477156))+0-0-0</f>
        <v>436.55426</v>
      </c>
      <c r="H311" s="3">
        <f>845+(40-484.5)+(-0.43095+(-0.0204--0.247095))+0-0-0</f>
        <v>400.29574500000001</v>
      </c>
      <c r="I311" s="3">
        <f>842+(41.2-488)+(0.42942+(0.021012-0.24888))+0-0-0</f>
        <v>395.40155199999998</v>
      </c>
      <c r="J311" s="3">
        <f>843+(40-478.9)+(0.42993+(0.0204-0.244239))+0-0-0</f>
        <v>404.30609100000004</v>
      </c>
      <c r="K311" s="3">
        <f>846+(40.2-477.8)+(0.86292+(0.041004-0.487356))+0-0-0</f>
        <v>408.81656799999996</v>
      </c>
      <c r="L311" s="3">
        <f>844+(47-433.8)+(0.43044+(0.02397-0.221238))+0-0-0</f>
        <v>457.43317200000001</v>
      </c>
      <c r="M311" s="3">
        <f>883+(66.2-561.3)+(0+(0-0))+0-0-0</f>
        <v>387.90000000000003</v>
      </c>
      <c r="N311" s="3">
        <f>994+(145.9-611.5)+(1.01388+(0.148818-0.62373))+0-0-0</f>
        <v>528.93896799999993</v>
      </c>
      <c r="O311" s="3">
        <f>1096.7+(104.6-630.6)+(1.118634+(0.106692-0.643212))+0-0-0</f>
        <v>571.28211400000009</v>
      </c>
      <c r="P311" s="3">
        <f>1113.7+(86.2-616)+(0+(0-0))+0-0-0</f>
        <v>583.90000000000009</v>
      </c>
      <c r="Q311" s="3">
        <f>1110.3+(52.8-536.7)+(0.566253+(0.026928-0.273717))+0-0-0</f>
        <v>626.7194639999999</v>
      </c>
      <c r="R311" s="3">
        <f>1006.4+(97.4-422.6)+(-1.539792+(-0.149022--0.646578))+0-0-0</f>
        <v>680.15776399999993</v>
      </c>
      <c r="S311" s="3">
        <f>1001.6+(101.8-450.2)+(0+(0-0))+0-0-0</f>
        <v>653.20000000000005</v>
      </c>
      <c r="T311" s="3">
        <f>998.5+(104.5-453.3)+(1.01847+(0.10659-0.462366))+0-0-0</f>
        <v>650.36269400000003</v>
      </c>
      <c r="U311" s="3">
        <f>998.6+(125.2-439.3)+(-0.509286+(-0.063852--0.224043))+0-0-0</f>
        <v>684.15090499999997</v>
      </c>
      <c r="V311" s="3">
        <f>998.5+(125.1-416.7)+(0+(0-0))+0-0-0</f>
        <v>706.9</v>
      </c>
      <c r="W311" s="3">
        <f>1000.9+(145.3-359.6)+(0.510459+(0.074103-0.183396))+0-0-0</f>
        <v>787.0011659999999</v>
      </c>
      <c r="X311" s="3">
        <f>1005.4+(226.9-377.2)+(-1.025508+(-0.231438--0.384744))+0-0-0</f>
        <v>854.22779800000001</v>
      </c>
      <c r="Y311" s="3">
        <f>1005.4+(232.9-399)+(-1.025508+(-0.237558--0.40698))+0-0-0</f>
        <v>838.44391399999995</v>
      </c>
      <c r="Z311" s="3">
        <f>1005.4+(266.6-424.9)+(-1.025508+(-0.271932--0.433398))+0-0-0</f>
        <v>846.23595799999998</v>
      </c>
      <c r="AA311" s="3">
        <f>1005.3+(267.5-463)+(-1.025406+(-0.27285--0.47226))+0-0-0</f>
        <v>808.97400399999992</v>
      </c>
      <c r="AB311" s="3">
        <f>1004.8+(107.5-455)+(-0.512448+(-0.054825--0.23205))+0-0-0</f>
        <v>656.96477699999991</v>
      </c>
      <c r="AC311" s="3">
        <f>965.7+(83.1-473.5)+(-1.970028+(-0.169524--0.96594))+0-0-0</f>
        <v>574.12638800000002</v>
      </c>
      <c r="AD311">
        <v>634.1</v>
      </c>
      <c r="AE311" s="3">
        <f>999+(155-519.9)+(0+(0-0))+0-0-0</f>
        <v>634.1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852.4+(48.3-445.9)+(0+(0-0))+0-0-0</f>
        <v>454.8</v>
      </c>
      <c r="G312" s="3">
        <f>819.3+(41.9-424.8)+(-0.417843+(-0.021369--0.216648))+0-0-0</f>
        <v>436.17743599999994</v>
      </c>
      <c r="H312" s="3">
        <f>780.3+(57.3-425.9)+(0+(0-0))+0-0-0</f>
        <v>411.7</v>
      </c>
      <c r="I312" s="3">
        <f>774.4+(72.7-449.9)+(1.184832+(0.111231-0.688347))+0-0-0</f>
        <v>397.80771599999997</v>
      </c>
      <c r="J312" s="3">
        <f>772.8+(74.6-461.1)+(0+(0-0))+0-0-0</f>
        <v>386.29999999999995</v>
      </c>
      <c r="K312" s="3">
        <f>774.4+(84.8-490.7)+(2.369664+(0.259488-1.501542))+0-0-0</f>
        <v>369.62761</v>
      </c>
      <c r="L312" s="3">
        <f>818.6+(63.5-555.7)+(0.417486+(0.032385-0.283407))+0-0-0</f>
        <v>326.566464</v>
      </c>
      <c r="M312" s="3">
        <f>983.4+(23.9-580.9)+(1.003068+(0.024378-0.592518))+0-0-0</f>
        <v>426.83492799999999</v>
      </c>
      <c r="N312" s="3">
        <f>982.2+(19-530.3)+(2.003688+(0.03876-1.081812))+0-0-0</f>
        <v>471.86063600000011</v>
      </c>
      <c r="O312" s="3">
        <f>982.8+(19.6-469)+(2.004912+(0.039984-0.95676))+0-0-0</f>
        <v>534.48813599999994</v>
      </c>
      <c r="P312" s="3">
        <f>982.5+(7.6-433)+(0.501075+(0.003876-0.22083))+0-0-0</f>
        <v>557.38412100000005</v>
      </c>
      <c r="Q312" s="3">
        <f>982.4+(1.1-401.8)+(0+(0-0))+0-0-0</f>
        <v>581.70000000000005</v>
      </c>
      <c r="R312" s="3">
        <f>980.2+(0-423.3)+(-2.49951+(0--1.079415))+0-0-0</f>
        <v>555.47990500000014</v>
      </c>
      <c r="S312" s="3">
        <f>977+(1.2-434.4)+(-0.99654+(-0.001224--0.443088))+0-0-0</f>
        <v>543.24532399999998</v>
      </c>
      <c r="T312" s="3">
        <f>975+(2.4-436.9)+(0.9945+(0.002448-0.445638))+0-0-0</f>
        <v>541.05130999999994</v>
      </c>
      <c r="U312" s="3">
        <f>972.7+(5.8-432)+(0+(0-0))+0-0-0</f>
        <v>546.5</v>
      </c>
      <c r="V312" s="3">
        <f>968.9+(8.3-409.8)+(0.988278+(0.008466-0.417996))+0-0-0</f>
        <v>567.978748</v>
      </c>
      <c r="W312" s="3">
        <f>977.8+(21.1-394.8)+(1.496034+(0.032283-0.604044))+0-0-0</f>
        <v>605.02427299999988</v>
      </c>
      <c r="X312" s="3">
        <f>981.4+(45.5-373.5)+(-0.500514+(-0.023205--0.190485))+0-0-0</f>
        <v>653.06676600000003</v>
      </c>
      <c r="Y312" s="3">
        <f>981.6+(38-375.4)+(-1.001232+(-0.03876--0.382908))+0-0-0</f>
        <v>643.54291599999999</v>
      </c>
      <c r="Z312" s="3">
        <f>982.3+(28.2-384.2)+(-1.001946+(-0.028764--0.391884))+0-0-0</f>
        <v>625.66117399999996</v>
      </c>
      <c r="AA312" s="3">
        <f>982+(21.3-398.5)+(-0.50082+(-0.010863--0.203235))+0-0-0</f>
        <v>604.49155199999996</v>
      </c>
      <c r="AB312" s="3">
        <f>981.6+(0-408.8)+(-4.004928+(0--1.667904))+0-0-0</f>
        <v>570.46297599999991</v>
      </c>
      <c r="AC312" s="3">
        <f>981.3+(2.9-456.7)+(-1.501389+(-0.004437--0.698751))+0-0-0</f>
        <v>526.69292499999995</v>
      </c>
      <c r="AD312">
        <v>653.6</v>
      </c>
      <c r="AE312" s="3">
        <f>986+(43.7-376.1)+(0+(0-0))+0-0-0</f>
        <v>653.59999999999991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983.4+(30.5-532.2)+(0.501534+(0.015555-0.271422))+0-0-0</f>
        <v>481.94566699999996</v>
      </c>
      <c r="G313" s="3">
        <f>982.6+(52.7-584.4)+(-0.501126+(-0.026877--0.298044))+0-0-0</f>
        <v>450.67004100000008</v>
      </c>
      <c r="H313" s="3">
        <f>980.5+(65.6-614.4)+(0+(0-0))+0-0-0</f>
        <v>431.70000000000005</v>
      </c>
      <c r="I313" s="3">
        <f>981.4+(47-614.5)+(1.001028+(0.04794-0.62679))+0-0-0</f>
        <v>414.32217799999995</v>
      </c>
      <c r="J313" s="3">
        <f>975.5+(39.8-605.7)+(-1.99002+(-0.081192--1.235628))+0-0-0</f>
        <v>408.76441599999993</v>
      </c>
      <c r="K313" s="3">
        <f>975.1+(53.7-616.8)+(-1.491903+(-0.082161--0.943704))+0-0-0</f>
        <v>411.36964000000012</v>
      </c>
      <c r="L313" s="3">
        <f>967.9+(67.2-620.3)+(-3.949032+(-0.274176--2.530824))+0-0-0</f>
        <v>413.10761600000006</v>
      </c>
      <c r="M313" s="3">
        <f>946.5+(47.4-596.4)+(-0.482715+(-0.024174--0.304164))+0-0-0</f>
        <v>397.29727500000001</v>
      </c>
      <c r="N313" s="3">
        <f>890.7+(43.4-520.4)+(0+(0-0))+0-0-0</f>
        <v>413.70000000000005</v>
      </c>
      <c r="O313" s="3">
        <f>965.8+(43.8-553.1)+(-0.985116+(-0.044676--0.564162))+0-0-0</f>
        <v>456.03436999999997</v>
      </c>
      <c r="P313" s="3">
        <f>972.7+(9.6-477.1)+(0+(0-0))+0-0-0</f>
        <v>505.20000000000005</v>
      </c>
      <c r="Q313" s="3">
        <f>972+(5.8-446.9)+(-0.99144+(-0.005916--0.455838))+0-0-0</f>
        <v>530.35848200000009</v>
      </c>
      <c r="R313" s="3">
        <f>956+(11.8-441.9)+(-1.95024+(-0.024072--0.901476))+0-0-0</f>
        <v>524.82716400000004</v>
      </c>
      <c r="S313" s="3">
        <f>928.7+(15.2-453.6)+(-0.947274+(-0.015504--0.462672))+0-0-0</f>
        <v>489.79989399999999</v>
      </c>
      <c r="T313" s="3">
        <f>873.2+(20.6-425)+(-1.781328+(-0.042024--0.867))+0-0-0</f>
        <v>467.84364800000009</v>
      </c>
      <c r="U313" s="3">
        <f>845.1+(20.5-422.8)+(-0.431001+(-0.010455--0.215628))+0-0-0</f>
        <v>442.57417200000003</v>
      </c>
      <c r="V313" s="3">
        <f>843.5+(11.5-408.4)+(-1.290555+(-0.017595--0.624852))+0-0-0</f>
        <v>445.91670200000004</v>
      </c>
      <c r="W313" s="3">
        <f>937.9+(3.2-428.6)+(0.478329+(0.001632-0.218586))+0-0-0</f>
        <v>512.76137500000004</v>
      </c>
      <c r="X313" s="3">
        <f>973.8+(12.7-408)+(-0.993276+(-0.012954--0.41616))+0-0-0</f>
        <v>577.90993000000003</v>
      </c>
      <c r="Y313" s="3">
        <f>978.7+(13.8-407.7)+(0+(0-0))+0-0-0</f>
        <v>584.80000000000007</v>
      </c>
      <c r="Z313" s="3">
        <f>976.4+(18.7-415.8)+(-0.995928+(-0.019074--0.424116))+0-0-0</f>
        <v>578.709114</v>
      </c>
      <c r="AA313" s="3">
        <f>971.9+(20.6-441.9)+(-0.991338+(-0.021012--0.450738))+0-0-0</f>
        <v>550.03838800000005</v>
      </c>
      <c r="AB313" s="3">
        <f>973.4+(12.6-457.7)+(-0.496434+(-0.006426--0.233427))+0-0-0</f>
        <v>528.03056699999991</v>
      </c>
      <c r="AC313" s="3">
        <f>966.3+(9.2-490.7)+(-1.971252+(-0.018768--1.001028))+0-0-0</f>
        <v>483.81100799999996</v>
      </c>
      <c r="AD313">
        <v>572.29999999999995</v>
      </c>
      <c r="AE313" s="3">
        <f>967+(13.1-407.8)+(0+(0-0))+0-0-0</f>
        <v>572.29999999999995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959.4+(30-558.8)+(-2.44647+(-0.0765--1.42494))+0-0-0</f>
        <v>429.50197000000003</v>
      </c>
      <c r="G314" s="3">
        <f>960.4+(21.9-584.4)+(-0.979608+(-0.022338--0.596088))+0-0-0</f>
        <v>397.49414199999995</v>
      </c>
      <c r="H314" s="3">
        <f>960.2+(33.6-596.9)+(-1.958808+(-0.068544--1.217676))+0-0-0</f>
        <v>396.09032400000007</v>
      </c>
      <c r="I314" s="3">
        <f>964.3+(40.5-599)+(-1.475379+(-0.061965--0.91647))+0-0-0</f>
        <v>405.17912599999994</v>
      </c>
      <c r="J314" s="3">
        <f>968.9+(40.1-610.3)+(0.988278+(0.040902-0.622506))+0-0-0</f>
        <v>399.10667400000006</v>
      </c>
      <c r="K314" s="3">
        <f>963.7+(37.1-610.1)+(-0.982974+(-0.037842--0.622302))+0-0-0</f>
        <v>390.30148600000007</v>
      </c>
      <c r="L314" s="3">
        <f>967.9+(66.3-625.4)+(0.493629+(0.033813-0.318954))+0-0-0</f>
        <v>409.00848799999994</v>
      </c>
      <c r="M314" s="3">
        <f>970.6+(68.7-602.3)+(0.495006+(0.035037-0.307173))+0-0-0</f>
        <v>437.22287000000011</v>
      </c>
      <c r="N314" s="3">
        <f>979.4+(60.4-554.8)+(0.998988+(0.061608-0.565896))+0-0-0</f>
        <v>485.49470000000002</v>
      </c>
      <c r="O314" s="3">
        <f>965.7+(57.6-483.6)+(-0.492507+(-0.029376--0.246636))+0-0-0</f>
        <v>539.42475300000001</v>
      </c>
      <c r="P314" s="3">
        <f>921.3+(51.5-388.8)+(-0.939726+(-0.05253--0.396576))+0-0-0</f>
        <v>583.40431999999998</v>
      </c>
      <c r="Q314" s="3">
        <f>900+(36.3-403.8)+(-0.918+(-0.037026--0.411876))+0-0-0</f>
        <v>531.95685000000003</v>
      </c>
      <c r="R314" s="3">
        <f>921.1+(27-381.3)+(-2.818566+(-0.08262--1.166778))+0-0-0</f>
        <v>565.06559199999992</v>
      </c>
      <c r="S314" s="3">
        <f>922.2+(64.8-400.4)+(-1.410966+(-0.099144--0.612612))+0-0-0</f>
        <v>585.70250200000009</v>
      </c>
      <c r="T314" s="3">
        <f>921.6+(37.5-390.1)+(-0.470016+(-0.019125--0.198951))+0-0-0</f>
        <v>568.70980999999995</v>
      </c>
      <c r="U314" s="3">
        <f>916+(64.2-425.2)+(-1.40148+(-0.098226--0.650556))+0-0-0</f>
        <v>554.15084999999999</v>
      </c>
      <c r="V314" s="3">
        <f>928.4+(114.5-474.6)+(0.473484+(0.058395-0.242046))+0-0-0</f>
        <v>568.589833</v>
      </c>
      <c r="W314" s="3">
        <f>937.3+(141.4-449)+(-0.478023+(-0.072114--0.22899))+0-0-0</f>
        <v>629.37885299999994</v>
      </c>
      <c r="X314" s="3">
        <f>943.8+(131.9-384.6)+(0.962676+(0.134538-0.392292))+0-0-0</f>
        <v>691.80492199999992</v>
      </c>
      <c r="Y314" s="3">
        <f>934.1+(143.6-384.9)+(-2.381955+(-0.36618--0.981495))+0-0-0</f>
        <v>691.03336000000002</v>
      </c>
      <c r="Z314" s="3">
        <f>935+(150.7-405.7)+(-1.43055+(-0.230571--0.620721))+0-0-0</f>
        <v>678.95960000000002</v>
      </c>
      <c r="AA314" s="3">
        <f>929.5+(127.8-404.7)+(-3.318315+(-0.456246--1.444779))+0-0-0</f>
        <v>650.270218</v>
      </c>
      <c r="AB314" s="3">
        <f>932.9+(17.1-356.7)+(-1.903116+(-0.034884--0.727668))+0-0-0</f>
        <v>592.08966799999996</v>
      </c>
      <c r="AC314" s="3">
        <f>930.3+(27.4-412.8)+(-2.372265+(-0.06987--1.05264))+0-0-0</f>
        <v>543.51050499999985</v>
      </c>
      <c r="AD314">
        <v>681.2</v>
      </c>
      <c r="AE314" s="3">
        <f>946+(115.5-380.3)+(0+(0-0))+0-0-0</f>
        <v>681.2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936.9+(64.8-510.6)+(0+(0-0))+0-0-0</f>
        <v>491.09999999999997</v>
      </c>
      <c r="G315" s="3">
        <f>925.7+(84.6-560.2)+(-2.360535+(-0.21573--1.42851))+0-0-0</f>
        <v>448.952245</v>
      </c>
      <c r="H315" s="3">
        <f>919.7+(99.8-562.3)+(-1.407141+(-0.152694--0.860319))+0-0-0</f>
        <v>456.50048400000009</v>
      </c>
      <c r="I315" s="3">
        <f>807.5+(83.3-460.4)+(-1.6473+(-0.169932--0.939216))+0-0-0</f>
        <v>429.52198400000003</v>
      </c>
      <c r="J315" s="3">
        <f>794.2+(92.6-489.1)+(1.215126+(0.141678-0.748323))+0-0-0</f>
        <v>398.30848100000003</v>
      </c>
      <c r="K315" s="3">
        <f>797.1+(93.5-488.1)+(-0.406521+(-0.047685--0.248931))+0-0-0</f>
        <v>402.29472500000003</v>
      </c>
      <c r="L315" s="3">
        <f>869.5+(78.7-500.5)+(0+(0-0))+0-0-0</f>
        <v>447.7</v>
      </c>
      <c r="M315" s="3">
        <f>987.5+(71.3-484.1)+(0.503625+(0.036363-0.246891))+0-0-0</f>
        <v>574.99309700000003</v>
      </c>
      <c r="N315" s="3">
        <f>989.2+(78-560.9)+(-1.513476+(-0.11934--0.858177))+0-0-0</f>
        <v>505.52536100000009</v>
      </c>
      <c r="O315" s="3">
        <f>1020.6+(68.8-513.5)+(-0.520506+(-0.035088--0.261885))+0-0-0</f>
        <v>575.60629100000006</v>
      </c>
      <c r="P315" s="3">
        <f>968+(39-429.7)+(-1.97472+(-0.07956--0.876588))+0-0-0</f>
        <v>576.12230799999998</v>
      </c>
      <c r="Q315" s="3">
        <f>1028.3+(29.9-472.7)+(-1.573299+(-0.045747--0.723231))+0-0-0</f>
        <v>584.60418500000003</v>
      </c>
      <c r="R315" s="3">
        <f>1021.3+(28-490.8)+(-3.646041+(-0.09996--1.752156))+0-0-0</f>
        <v>556.50615500000004</v>
      </c>
      <c r="S315" s="3">
        <f>1022.3+(27.6-515.5)+(-1.564119+(-0.042228--0.788715))+0-0-0</f>
        <v>533.58236799999997</v>
      </c>
      <c r="T315" s="3">
        <f>1028.2+(25.8-525.2)+(-0.524382+(-0.013158--0.267852))+0-0-0</f>
        <v>528.53031199999998</v>
      </c>
      <c r="U315" s="3">
        <f>1038+(8.6-519.8)+(0.52938+(0.004386-0.265098))+0-0-0</f>
        <v>527.06866800000012</v>
      </c>
      <c r="V315" s="3">
        <f>1030.4+(0-504.1)+(-1.051008+(0--0.514182))+0-0-0</f>
        <v>525.76317400000005</v>
      </c>
      <c r="W315" s="3">
        <f>1070.3+(0-492.7)+(0+(0-0))+0-0-0</f>
        <v>577.59999999999991</v>
      </c>
      <c r="X315" s="3">
        <f>1116.2+(5-460.3)+(-0.569262+(-0.00255--0.234753))+0-0-0</f>
        <v>660.56294100000014</v>
      </c>
      <c r="Y315" s="3">
        <f>1107+(8.6-455.2)+(-1.69371+(-0.013158--0.696456))+0-0-0</f>
        <v>659.38958800000012</v>
      </c>
      <c r="Z315" s="3">
        <f>1101.8+(11.5-467.6)+(-2.80959+(-0.029325--1.19238))+0-0-0</f>
        <v>644.05346499999996</v>
      </c>
      <c r="AA315" s="3">
        <f>1078.4+(11.5-468.2)+(-2.199936+(-0.02346--0.955128))+0-0-0</f>
        <v>620.43173200000001</v>
      </c>
      <c r="AB315" s="3">
        <f>1046.4+(1.3-464.3)+(-2.66832+(-0.003315--1.183965))+0-0-0</f>
        <v>581.91233000000011</v>
      </c>
      <c r="AC315" s="3">
        <f>1044.6+(9.6-518.3)+(-2.130984+(-0.019584--1.057332))+0-0-0</f>
        <v>534.80676399999993</v>
      </c>
      <c r="AD315">
        <v>654.5</v>
      </c>
      <c r="AE315" s="3">
        <f>1124+(6-475.5)+(0+(0-0))+0-0-0</f>
        <v>654.5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1035.8+(22.2-575.1)+(-2.113032+(-0.045288--1.173204))+0-0-0</f>
        <v>481.91488399999997</v>
      </c>
      <c r="G316" s="3">
        <f>1035.1+(33.5-627.9)+(-2.639505+(-0.085425--1.601145))+0-0-0</f>
        <v>439.57621499999993</v>
      </c>
      <c r="H316" s="3">
        <f>969.4+(49.2-589.6)+(-1.483182+(-0.075276--0.902088))+0-0-0</f>
        <v>428.34363000000002</v>
      </c>
      <c r="I316" s="3">
        <f>940.7+(51.3-563.3)+(-0.479757+(-0.026163--0.287283))+0-0-0</f>
        <v>428.4813630000001</v>
      </c>
      <c r="J316" s="3">
        <f>911.2+(46.4-534.8)+(-1.858848+(-0.094656--1.090992))+0-0-0</f>
        <v>421.93748800000009</v>
      </c>
      <c r="K316" s="3">
        <f>864.9+(48.1-486.1)+(0+(0-0))+0-0-0</f>
        <v>426.9</v>
      </c>
      <c r="L316" s="3">
        <f>894.9+(32.1-487.2)+(-0.912798+(-0.032742--0.496944))+0-0-0</f>
        <v>439.351404</v>
      </c>
      <c r="M316" s="3">
        <f>1035.6+(3.5-572)+(1.584468+(0.005355-0.87516))+0-0-0</f>
        <v>467.81466299999988</v>
      </c>
      <c r="N316" s="3">
        <f>1146.5+(29.6-655.8)+(0+(0-0))+0-0-0</f>
        <v>520.30000000000007</v>
      </c>
      <c r="O316" s="3">
        <f>1085.8+(7.9-541.2)+(0+(0-0))+0-0-0</f>
        <v>552.49999999999989</v>
      </c>
      <c r="P316" s="3">
        <f>1104.9+(0-538.6)+(-1.690497+(0--0.824058))+0-0-0</f>
        <v>565.43356100000005</v>
      </c>
      <c r="Q316" s="3">
        <f>1153+(0-563.7)+(-1.17606+(0--0.574974))+0-0-0</f>
        <v>588.69891399999995</v>
      </c>
      <c r="R316" s="3">
        <f>1187+(0-615.1)+(-2.42148+(0--1.254804))+0-0-0</f>
        <v>570.73332399999993</v>
      </c>
      <c r="S316" s="3">
        <f>1226.2+(0-651.8)+(-3.12681+(0--1.66209))+0-0-0</f>
        <v>572.93528000000015</v>
      </c>
      <c r="T316" s="3">
        <f>1147.4+(4.4-594.1)+(1.170348+(0.004488-0.605982))+0-0-0</f>
        <v>558.26885400000003</v>
      </c>
      <c r="U316" s="3">
        <f>1139.5+(3.5-614.6)+(0+(0-0))+0-0-0</f>
        <v>528.4</v>
      </c>
      <c r="V316" s="3">
        <f>1168.7+(0-635.7)+(-1.192074+(0--0.648414))+0-0-0</f>
        <v>532.45633999999995</v>
      </c>
      <c r="W316" s="3">
        <f>1264.6+(1.7-680.6)+(1.289892+(0.001734-0.694212))+0-0-0</f>
        <v>586.29741399999989</v>
      </c>
      <c r="X316" s="3">
        <f>1280.8+(2.3-634.7)+(-2.612832+(-0.004692--1.294788))+0-0-0</f>
        <v>647.0772639999999</v>
      </c>
      <c r="Y316" s="3">
        <f>1281.4+(3.8-638.3)+(-2.614056+(-0.007752--1.302132))+0-0-0</f>
        <v>645.58032400000013</v>
      </c>
      <c r="Z316" s="3">
        <f>1280.5+(0-641.2)+(-1.30611+(0--0.654024))+0-0-0</f>
        <v>638.6479139999999</v>
      </c>
      <c r="AA316" s="3">
        <f>1271.3+(0-647.2)+(-1.296726+(0--0.660144))+0-0-0</f>
        <v>623.46341799999993</v>
      </c>
      <c r="AB316" s="3">
        <f>1139.7+(0-552.9)+(-1.743741+(0--0.845937))+0-0-0</f>
        <v>585.90219600000012</v>
      </c>
      <c r="AC316" s="3">
        <f>1144.5+(0-597.9)+(-2.918475+(0--1.524645))+0-0-0</f>
        <v>545.20617000000004</v>
      </c>
      <c r="AD316">
        <v>647.30000000000007</v>
      </c>
      <c r="AE316" s="3">
        <f>1280+(3.4-636.1)+(0+(0-0))+0-0-0</f>
        <v>647.29999999999995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961.3+(0-453.8)+(-1.961052+(0--0.925752))+0-0-0</f>
        <v>506.46469999999994</v>
      </c>
      <c r="G317" s="3">
        <f>963+(6.9-499.7)+(-1.47339+(-0.010557--0.764541))+0-0-0</f>
        <v>469.480594</v>
      </c>
      <c r="H317" s="3">
        <f>951.5+(13.4-516.4)+(-2.426325+(-0.03417--1.31682))+0-0-0</f>
        <v>447.35632500000003</v>
      </c>
      <c r="I317" s="3">
        <f>932.6+(17.2-517.3)+(-0.475626+(-0.008772--0.263823))+0-0-0</f>
        <v>432.27942500000006</v>
      </c>
      <c r="J317" s="3">
        <f>938.2+(22.3-516.8)+(0+(0-0))+0-0-0</f>
        <v>443.7000000000001</v>
      </c>
      <c r="K317" s="3">
        <f>935.8+(22.2-516.4)+(-0.477258+(-0.011322--0.263364))+0-0-0</f>
        <v>441.37478399999998</v>
      </c>
      <c r="L317" s="3">
        <f>1073.6+(1.4-613.8)+(-1.095072+(-0.001428--0.626076))+0-0-0</f>
        <v>460.72957599999995</v>
      </c>
      <c r="M317" s="3">
        <f>1133.8+(0-641.9)+(1.156476+(0-0.654738))+0-0-0</f>
        <v>492.40173799999997</v>
      </c>
      <c r="N317" s="3">
        <f>1198.7+(0-663.9)+(1.222674+(0-0.677178))+0-0-0</f>
        <v>535.34549600000003</v>
      </c>
      <c r="O317" s="3">
        <f>1273.6+(0-685.6)+(1.299072+(0-0.699312))+0-0-0</f>
        <v>588.59975999999983</v>
      </c>
      <c r="P317" s="3">
        <f>1267.8+(0-656.6)+(0+(0-0))+0-0-0</f>
        <v>611.19999999999993</v>
      </c>
      <c r="Q317" s="3">
        <f>1269.2+(0-646.6)+(0.647292+(0-0.329766))+0-0-0</f>
        <v>622.91752600000007</v>
      </c>
      <c r="R317" s="3">
        <f>1261.3+(0-669.4)+(-1.929789+(0--1.024182))+0-0-0</f>
        <v>590.99439299999995</v>
      </c>
      <c r="S317" s="3">
        <f>1259.5+(0-690.5)+(-1.28469+(0--0.70431))+0-0-0</f>
        <v>568.41962000000001</v>
      </c>
      <c r="T317" s="3">
        <f>1268.9+(0-713.4)+(0.647139+(0-0.363834))+0-0-0</f>
        <v>555.78330500000015</v>
      </c>
      <c r="U317" s="3">
        <f>1261.3+(0-703.2)+(-3.216315+(0--1.79316))+0-0-0</f>
        <v>556.67684499999996</v>
      </c>
      <c r="V317" s="3">
        <f>1269.7+(4.8-699.2)+(0+(0-0))+0-0-0</f>
        <v>575.29999999999995</v>
      </c>
      <c r="W317" s="3">
        <f>1265.9+(0-642.5)+(-1.291218+(0--0.65535))+0-0-0</f>
        <v>622.76413200000013</v>
      </c>
      <c r="X317" s="3">
        <f>1281.8+(0-596.3)+(-0.653718+(0--0.304113))+0-0-0</f>
        <v>685.150395</v>
      </c>
      <c r="Y317" s="3">
        <f>1277.4+(0-602.6)+(-1.954422+(0--0.921978))+0-0-0</f>
        <v>673.76755600000001</v>
      </c>
      <c r="Z317" s="3">
        <f>1170.6+(9.3-532.5)+(-2.388024+(-0.018972--1.0863))+0-0-0</f>
        <v>646.07930399999987</v>
      </c>
      <c r="AA317" s="3">
        <f>1158.5+(14-557.6)+(-2.36334+(-0.02856--1.137504))+0-0-0</f>
        <v>613.64560399999993</v>
      </c>
      <c r="AB317" s="3">
        <f>1148.2+(1.6-575.9)+(-1.756746+(-0.002448--0.881127))+0-0-0</f>
        <v>573.0219330000001</v>
      </c>
      <c r="AC317" s="3">
        <f>964+(17.5-451.6)+(-1.47492+(-0.026775--0.690948))+0-0-0</f>
        <v>529.08925299999999</v>
      </c>
      <c r="AD317">
        <v>684.5</v>
      </c>
      <c r="AE317" s="3">
        <f>1279+(0-594.5)+(0+(0-0))+0-0-0</f>
        <v>684.5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848.3+(46.5-406)+(0+(0-0))+0-0-0</f>
        <v>488.79999999999995</v>
      </c>
      <c r="G318" s="3">
        <f>847.3+(72.6-484.7)+(0+(0-0))+0-0-0</f>
        <v>435.19999999999993</v>
      </c>
      <c r="H318" s="3">
        <f>847.9+(41.1-470.6)+(0.432429+(0.020961-0.240006))+0-0-0</f>
        <v>418.613384</v>
      </c>
      <c r="I318" s="3">
        <f>845.7+(25.3-456.5)+(0+(0-0))+0-0-0</f>
        <v>414.50000000000006</v>
      </c>
      <c r="J318" s="3">
        <f>847.9+(29.5-450.9)+(0+(0-0))+0-0-0</f>
        <v>426.5</v>
      </c>
      <c r="K318" s="3">
        <f>869.6+(79.6-519.2)+(0.886992+(0.081192-0.529584))+0-0-0</f>
        <v>430.43860000000001</v>
      </c>
      <c r="L318" s="3">
        <f>951+(77.6-575.9)+(-0.97002+(-0.079152--0.587418))+0-0-0</f>
        <v>452.23824600000006</v>
      </c>
      <c r="M318" s="3">
        <f>954.6+(60.5-541.3)+(0+(0-0))+0-0-0</f>
        <v>473.80000000000007</v>
      </c>
      <c r="N318" s="3">
        <f>961+(53.4-493.1)+(1.47033+(0.081702-0.754443))+0-0-0</f>
        <v>522.09758899999997</v>
      </c>
      <c r="O318" s="3">
        <f>953.9+(29.1-414.8)+(-0.486489+(-0.014841--0.211548))+0-0-0</f>
        <v>567.9102180000001</v>
      </c>
      <c r="P318" s="3">
        <f>956.7+(19.4-390.7)+(0.975834+(0.019788-0.398514))+0-0-0</f>
        <v>585.99710800000014</v>
      </c>
      <c r="Q318" s="3">
        <f>946.7+(44.1-399.9)+(-1.931268+(-0.089964--0.815796))+0-0-0</f>
        <v>589.69456400000013</v>
      </c>
      <c r="R318" s="3">
        <f>947.3+(54-441.1)+(-1.932492+(-0.11016--0.899844))+0-0-0</f>
        <v>559.05719199999999</v>
      </c>
      <c r="S318" s="3">
        <f>949.7+(54.9-462.9)+(-0.968694+(-0.055998--0.472158))+0-0-0</f>
        <v>541.14746600000001</v>
      </c>
      <c r="T318" s="3">
        <f>949.8+(78.7-499.6)+(-0.968796+(-0.080274--0.509592))+0-0-0</f>
        <v>528.36052199999983</v>
      </c>
      <c r="U318" s="3">
        <f>955.3+(75.2-490.9)+(0+(0-0))+0-0-0</f>
        <v>539.59999999999991</v>
      </c>
      <c r="V318" s="3">
        <f>950.3+(81.1-481.1)+(-0.969306+(-0.082722--0.490722))+0-0-0</f>
        <v>549.73869400000001</v>
      </c>
      <c r="W318" s="3">
        <f>992.5+(86.4-479.8)+(0+(0-0))+0-0-0</f>
        <v>599.1</v>
      </c>
      <c r="X318" s="3">
        <f>1013.8+(101.2-448.6)+(-1.551114+(-0.154836--0.686358))+0-0-0</f>
        <v>665.38040799999987</v>
      </c>
      <c r="Y318" s="3">
        <f>1023.5+(50-414.6)+(-0.521985+(-0.0255--0.211446))+0-0-0</f>
        <v>658.56396099999995</v>
      </c>
      <c r="Z318" s="3">
        <f>1008.5+(38.2-422.1)+(-1.02867+(-0.038964--0.430542))+0-0-0</f>
        <v>623.96290799999986</v>
      </c>
      <c r="AA318" s="3">
        <f>874.4+(68.6-337.2)+(-0.891888+(-0.069972--0.343944))+0-0-0</f>
        <v>605.18208399999992</v>
      </c>
      <c r="AB318" s="3">
        <f>847.1+(68.1-342.6)+(-0.864042+(-0.069462--0.349452))+0-0-0</f>
        <v>572.01594799999998</v>
      </c>
      <c r="AC318" s="3">
        <f>842.8+(43.1-363)+(-1.289484+(-0.065943--0.55539))+0-0-0</f>
        <v>522.099963</v>
      </c>
      <c r="AD318">
        <v>658.90000000000009</v>
      </c>
      <c r="AE318" s="3">
        <f>1016+(98.9-456)+(0+(0-0))+0-0-0</f>
        <v>658.9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839.8+(42.9-415.6)+(-1.713192+(-0.087516--0.847824))+0-0-0</f>
        <v>466.14711599999993</v>
      </c>
      <c r="G319" s="3">
        <f>835.9+(70.7-474.3)+(-2.131545+(-0.180285--1.209465))+0-0-0</f>
        <v>431.19763499999993</v>
      </c>
      <c r="H319" s="3">
        <f>839.8+(91.3-523.9)+(-0.428298+(-0.046563--0.267189))+0-0-0</f>
        <v>406.99232799999999</v>
      </c>
      <c r="I319" s="3">
        <f>844.8+(98-546.5)+(0+(0-0))+0-0-0</f>
        <v>396.29999999999995</v>
      </c>
      <c r="J319" s="3">
        <f>843.2+(88.5-545.2)+(0+(0-0))+0-0-0</f>
        <v>386.5</v>
      </c>
      <c r="K319" s="3">
        <f>842.2+(89.7-537.9)+(-0.429522+(-0.045747--0.274329))+0-0-0</f>
        <v>393.79906000000005</v>
      </c>
      <c r="L319" s="3">
        <f>842+(80.1-529)+(-0.85884+(-0.081702--0.53958))+0-0-0</f>
        <v>392.69903800000003</v>
      </c>
      <c r="M319" s="3">
        <f>886.7+(70.6-564.3)+(-0.904434+(-0.072012--0.575586))+0-0-0</f>
        <v>392.59914000000009</v>
      </c>
      <c r="N319" s="3">
        <f>999+(51.8-577.5)+(0+(0-0))+0-0-0</f>
        <v>473.29999999999995</v>
      </c>
      <c r="O319" s="3">
        <f>999.7+(31.3-515.8)+(0+(0-0))+0-0-0</f>
        <v>515.20000000000005</v>
      </c>
      <c r="P319" s="3">
        <f>1003.5+(23.9-492.8)+(0.511785+(0.012189-0.251328))+0-0-0</f>
        <v>534.87264599999992</v>
      </c>
      <c r="Q319" s="3">
        <f>988+(27.4-455.4)+(-2.5194+(-0.06987--1.16127))+0-0-0</f>
        <v>558.572</v>
      </c>
      <c r="R319" s="3">
        <f>990.5+(22.3-459)+(-2.525775+(-0.056865--1.17045))+0-0-0</f>
        <v>552.38780999999994</v>
      </c>
      <c r="S319" s="3">
        <f>991.6+(18.7-499.5)+(-2.022864+(-0.038148--1.01898))+0-0-0</f>
        <v>509.75796800000001</v>
      </c>
      <c r="T319" s="3">
        <f>998.6+(32.2-524.8)+(-1.018572+(-0.032844--0.535296))+0-0-0</f>
        <v>505.48388000000006</v>
      </c>
      <c r="U319" s="3">
        <f>994.8+(44-547.3)+(-1.522044+(-0.06732--0.837369))+0-0-0</f>
        <v>490.74800499999998</v>
      </c>
      <c r="V319" s="3">
        <f>1008.1+(47.7-526.5)+(0.514131+(0.024327-0.268515))+0-0-0</f>
        <v>529.56994299999997</v>
      </c>
      <c r="W319" s="3">
        <f>1161.9+(3.8-597.9)+(0.592569+(0.001938-0.304929))+0-0-0</f>
        <v>568.08957800000007</v>
      </c>
      <c r="X319" s="3">
        <f>1275.7+(3.3-646.9)+(-1.301214+(-0.003366--0.659838))+0-0-0</f>
        <v>631.45525800000007</v>
      </c>
      <c r="Y319" s="3">
        <f>1280.1+(4.5-655.8)+(-1.958553+(-0.006885--1.003374))+0-0-0</f>
        <v>627.8379359999999</v>
      </c>
      <c r="Z319" s="3">
        <f>1258.7+(11.3-652.7)+(0+(0-0))+0-0-0</f>
        <v>617.29999999999995</v>
      </c>
      <c r="AA319" s="3">
        <f>1256+(14.5-674.8)+(-0.64056+(-0.007395--0.344148))+0-0-0</f>
        <v>595.39619300000004</v>
      </c>
      <c r="AB319" s="3">
        <f>1260.2+(0-705.3)+(0.642702+(0-0.359703))+0-0-0</f>
        <v>555.18299900000011</v>
      </c>
      <c r="AC319" s="3">
        <f>1247+(0-723.2)+(-3.17985+(0--1.84416))+0-0-0</f>
        <v>522.46430999999995</v>
      </c>
      <c r="AD319">
        <v>644</v>
      </c>
      <c r="AE319" s="3">
        <f>1275+(10.2-641.2)+(0+(0-0))+0-0-0</f>
        <v>644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1258.4+(0-786.9)+(0+(0-0))+0-0-0</f>
        <v>471.50000000000011</v>
      </c>
      <c r="G320" s="3">
        <f>1229.2+(0-813.1)+(1.253784+(0-0.829362))+0-0-0</f>
        <v>416.52442200000002</v>
      </c>
      <c r="H320" s="3">
        <f>1115+(0-739.2)+(-0.56865+(0--0.376992))+0-0-0</f>
        <v>375.60834199999994</v>
      </c>
      <c r="I320" s="3">
        <f>1116+(18.4-741.7)+(-1.13832+(-0.018768--0.756534))+0-0-0</f>
        <v>392.29944599999993</v>
      </c>
      <c r="J320" s="3">
        <f>1122.3+(63-782.3)+(1.144746+(0.06426-0.797946))+0-0-0</f>
        <v>403.41106000000002</v>
      </c>
      <c r="K320" s="3">
        <f>1121.9+(43.6-768.7)+(0.572169+(0.022236-0.392037))+0-0-0</f>
        <v>397.00236800000005</v>
      </c>
      <c r="L320" s="3">
        <f>1108+(28.2-739.5)+(-4.52064+(-0.115056--3.01716))+0-0-0</f>
        <v>395.08146400000004</v>
      </c>
      <c r="M320" s="3">
        <f>997.1+(9.8-644.8)+(0+(0-0))+0-0-0</f>
        <v>362.1</v>
      </c>
      <c r="N320" s="3">
        <f>976.5+(22.7-604.8)+(-0.498015+(-0.011577--0.308448))+0-0-0</f>
        <v>394.19885600000009</v>
      </c>
      <c r="O320" s="3">
        <f>1004.2+(20.1-594.8)+(0.512142+(0.010251-0.303348))+0-0-0</f>
        <v>429.71904500000011</v>
      </c>
      <c r="P320" s="3">
        <f>1193.4+(7.1-691.7)+(0+(0-0))+0-0-0</f>
        <v>508.80000000000007</v>
      </c>
      <c r="Q320" s="3">
        <f>1191+(7.8-670.3)+(0+(0-0))+0-0-0</f>
        <v>528.5</v>
      </c>
      <c r="R320" s="3">
        <f>1206.3+(8.6-682)+(-1.230426+(-0.008772--0.69564))+0-0-0</f>
        <v>532.35644200000002</v>
      </c>
      <c r="S320" s="3">
        <f>1190.6+(15.7-693.6)+(-1.214412+(-0.016014--0.707472))+2.7-0-0</f>
        <v>514.87704599999995</v>
      </c>
      <c r="T320" s="3">
        <f>1249.3+(21.4-740.4)+(-2.548572+(-0.043656--1.510416))+0-0-0</f>
        <v>529.21818799999994</v>
      </c>
      <c r="U320" s="3">
        <f>1258.1+(17.4-759)+(-0.641631+(-0.008874--0.38709))+0-0-0</f>
        <v>516.23658499999988</v>
      </c>
      <c r="V320" s="3">
        <f>1280.7+(17.5-798.9)+(1.306314+(0.01785-0.814878))+0-0-0</f>
        <v>499.80928600000004</v>
      </c>
      <c r="W320" s="3">
        <f>1306.6+(15.9-762.9)+(0+(0-0))+0-0-0</f>
        <v>559.59999999999991</v>
      </c>
      <c r="X320" s="3">
        <f>1323.8+(11.6-701.6)+(-0.675138+(-0.005916--0.357816))+0-0-0</f>
        <v>633.47676200000001</v>
      </c>
      <c r="Y320" s="3">
        <f>1325.4+(8.7-699)+(-0.675954+(-0.004437--0.35649))+0-0-0</f>
        <v>634.77609900000016</v>
      </c>
      <c r="Z320" s="3">
        <f>1323.9+(10.3-702.3)+(0+(0-0))+0-0-0</f>
        <v>631.90000000000009</v>
      </c>
      <c r="AA320" s="3">
        <f>1326.8+(8.6-720.8)+(-1.353336+(-0.008772--0.735216))+0-0-0</f>
        <v>613.97310800000002</v>
      </c>
      <c r="AB320" s="3">
        <f>1325.3+(0-781.1)+(-0.675903+(0--0.398361))+0-0-0</f>
        <v>543.92245799999989</v>
      </c>
      <c r="AC320" s="3">
        <f>1309+(0-691.4)+(-0.66759+(0--0.352614))+0-0-0</f>
        <v>617.28502400000002</v>
      </c>
      <c r="AD320">
        <v>605.99999999999989</v>
      </c>
      <c r="AE320" s="3">
        <f>1320+(7.6-721.6)+(0+(0-0))+0-0-0</f>
        <v>606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1201.3+(12.8-744.2)+(-1.837989+(-0.019584--1.138626))+0-0-0</f>
        <v>469.18105299999985</v>
      </c>
      <c r="G321" s="3">
        <f>1120.3+(28.3-712)+(1.714059+(0.043299-1.08936))+0-0-0</f>
        <v>437.26799799999992</v>
      </c>
      <c r="H321" s="3">
        <f>1090.5+(33.6-682.3)+(-1.668465+(-0.051408--1.043919))+0-0-0</f>
        <v>441.12404600000008</v>
      </c>
      <c r="I321" s="3">
        <f>981.4+(38.7-617.5)+(2.002056+(0.078948-1.2597))+0-0-0</f>
        <v>403.42130400000002</v>
      </c>
      <c r="J321" s="3">
        <f>967.1+(50.1-619.3)+(-0.493221+(-0.025551--0.315843))+0-0-0</f>
        <v>397.69707100000011</v>
      </c>
      <c r="K321" s="3">
        <f>965.8+(45.5-587.7)+(-1.477674+(-0.069615--0.899181))+0-0-0</f>
        <v>422.95189199999993</v>
      </c>
      <c r="L321" s="3">
        <f>1024.7+(31.6-620.6)+(-0.522597+(-0.016116--0.316506))+0-0-0</f>
        <v>435.47779300000002</v>
      </c>
      <c r="M321" s="3">
        <f>1112.8+(19.6-668.6)+(-0.567528+(-0.009996--0.340986))+0-0-0</f>
        <v>463.56346199999996</v>
      </c>
      <c r="N321" s="3">
        <f>1165.2+(65.9-716.4)+(0+(0-0))+0-0-0</f>
        <v>514.70000000000005</v>
      </c>
      <c r="O321" s="3">
        <f>1277.6+(48.8-757.2)+(1.303152+(0.049776-0.772344))+0-0-0</f>
        <v>569.78058399999986</v>
      </c>
      <c r="P321" s="3">
        <f>1274+(25.9-712.7)+(0+(0-0))+0-0-0</f>
        <v>587.19999999999993</v>
      </c>
      <c r="Q321" s="3">
        <f>1272.1+(22.9-677.9)+(0+(0-0))+0-0-0</f>
        <v>617.09999999999991</v>
      </c>
      <c r="R321" s="3">
        <f>1277.1+(18.6-671.2)+(0+(0-0))+0-0-0</f>
        <v>624.49999999999989</v>
      </c>
      <c r="S321" s="3">
        <f>1268.5+(14.7-682.4)+(-1.29387+(-0.014994--0.696048))+0-0-0</f>
        <v>600.18718400000012</v>
      </c>
      <c r="T321" s="3">
        <f>1233.9+(5.3-654)+(-1.258578+(-0.005406--0.66708))+0-0-0</f>
        <v>584.60309600000005</v>
      </c>
      <c r="U321" s="3">
        <f>1227.1+(8-674.7)+(0.625821+(0.00408-0.344097))+0-0-0</f>
        <v>560.68580399999985</v>
      </c>
      <c r="V321" s="3">
        <f>1223.8+(11-683.9)+(-0.624138+(-0.00561--0.348789))+0-0-0</f>
        <v>550.61904099999992</v>
      </c>
      <c r="W321" s="3">
        <f>1225.9+(7.3-635)+(0+(0-0))+0-0-0</f>
        <v>598.20000000000005</v>
      </c>
      <c r="X321" s="3">
        <f>1226.9+(32.4-576.2)+(-1.877157+(-0.049572--0.881586))+0-0-0</f>
        <v>682.05485699999997</v>
      </c>
      <c r="Y321" s="3">
        <f>1234.1+(27.1-578.6)+(-1.258782+(-0.027642--0.590172))+0-0-0</f>
        <v>681.90374799999995</v>
      </c>
      <c r="Z321" s="3">
        <f>1234.8+(2-576)+(-2.518992+(-0.00408--1.17504))+0-0-0</f>
        <v>659.45196799999997</v>
      </c>
      <c r="AA321" s="3">
        <f>1240.9+(0-598.7)+(0.632859+(0-0.305337))+0-0-0</f>
        <v>642.52752200000009</v>
      </c>
      <c r="AB321" s="3">
        <f>1242.7+(0-639.9)+(0.633777+(0-0.326349))+0-0-0</f>
        <v>603.10742800000003</v>
      </c>
      <c r="AC321" s="3">
        <f>1196.1+(0-647.1)+(-1.830033+(0--0.990063))+0-0-0</f>
        <v>548.16002999999989</v>
      </c>
      <c r="AD321">
        <v>676</v>
      </c>
      <c r="AE321" s="3">
        <f>1236+(29.7-589.7)+(0+(0-0))+0-0-0</f>
        <v>676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1070.1+(0-607.9)+(-1.091502+(0--0.620058))+0-0-0</f>
        <v>461.72855599999991</v>
      </c>
      <c r="G322" s="3">
        <f>1064.3+(22.4-623.8)+(-1.628379+(-0.034272--0.954414))+0-0-0</f>
        <v>462.19176299999998</v>
      </c>
      <c r="H322" s="3">
        <f>1070.3+(27.1-649.7)+(0+(0-0))+0-0-0</f>
        <v>447.69999999999993</v>
      </c>
      <c r="I322" s="3">
        <f>1069.5+(29.7-659.2)+(0+(0-0))+0-0-0</f>
        <v>440</v>
      </c>
      <c r="J322" s="3">
        <f>1066.3+(21.3-666.4)+(-0.543813+(-0.010863--0.339864))+0-0-0</f>
        <v>420.98518799999994</v>
      </c>
      <c r="K322" s="3">
        <f>1159.2+(19.4-751.2)+(0.591192+(0.009894-0.383112))+0-0-0</f>
        <v>427.617974</v>
      </c>
      <c r="L322" s="3">
        <f>1221.5+(14.4-789.3)+(0+(0-0))+0-0-0</f>
        <v>446.6</v>
      </c>
      <c r="M322" s="3">
        <f>1217.2+(10-787.2)+(-1.241544+(-0.0102--0.802944))+0-0-0</f>
        <v>439.55119999999999</v>
      </c>
      <c r="N322" s="3">
        <f>1225.7+(1.1-716.6)+(1.250214+(0.001122-0.730932))+0-0-0</f>
        <v>510.72040400000003</v>
      </c>
      <c r="O322" s="3">
        <f>1223.8+(12-686.8)+(-0.624138+(-0.00612--0.350268))+0-0-0</f>
        <v>548.72001</v>
      </c>
      <c r="P322" s="3">
        <f>1224.7+(0-651)+(-0.624597+(0--0.33201))+0-0-0</f>
        <v>573.40741300000002</v>
      </c>
      <c r="Q322" s="3">
        <f>1218.1+(0-626.4)+(-2.484924+(0--1.277856))+0-0-0</f>
        <v>590.49293199999988</v>
      </c>
      <c r="R322" s="3">
        <f>1211.3+(0-629)+(-3.088815+(0--1.60395))+0-0-0</f>
        <v>580.81513499999994</v>
      </c>
      <c r="S322" s="3">
        <f>1220.5+(0-658.3)+(0+(0-0))+0-0-0</f>
        <v>562.20000000000005</v>
      </c>
      <c r="T322" s="3">
        <f>1213.9+(2-665.1)+(0+(0-0))+0-0-0</f>
        <v>550.80000000000007</v>
      </c>
      <c r="U322" s="3">
        <f>1219.3+(0-673.5)+(0.621843+(0-0.343485))+0-0-0</f>
        <v>546.07835799999998</v>
      </c>
      <c r="V322" s="3">
        <f>1203.2+(15-660.9)+(-2.454528+(-0.0306--1.348236))+0-0-0</f>
        <v>556.16310800000008</v>
      </c>
      <c r="W322" s="3">
        <f>1211.3+(17.9-609.1)+(0+(0-0))+0-0-0</f>
        <v>620.09999999999991</v>
      </c>
      <c r="X322" s="3">
        <f>1225.9+(11.9-552.1)+(-1.250418+(-0.012138--0.563142))+0-0-0</f>
        <v>685.000586</v>
      </c>
      <c r="Y322" s="3">
        <f>1236+(7.6-575.7)+(-3.1518+(-0.01938--1.468035))+0-0-0</f>
        <v>666.19685500000003</v>
      </c>
      <c r="Z322" s="3">
        <f>1232.7+(10.3-586.9)+(-1.886031+(-0.015759--0.897957))+0-0-0</f>
        <v>655.09616700000004</v>
      </c>
      <c r="AA322" s="3">
        <f>1240.8+(3.1-627.6)+(-0.632808+(-0.001581--0.320076))+0-0-0</f>
        <v>615.98568699999998</v>
      </c>
      <c r="AB322" s="3">
        <f>1242.3+(0-674.1)+(-1.267146+(0--0.687582))+0-0-0</f>
        <v>567.62043599999993</v>
      </c>
      <c r="AC322" s="3">
        <f>1174.4+(0-658)+(-1.197888+(0--0.67116))+0-0-0</f>
        <v>515.87327200000004</v>
      </c>
      <c r="AD322">
        <v>699.19999999999993</v>
      </c>
      <c r="AE322" s="3">
        <f>1225+(7.6-533.4)+(0+(0-0))+0-0-0</f>
        <v>699.2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1093.1+(0-562.7)+(-2.787405+(0--1.434885))+0-0-0</f>
        <v>529.04747999999984</v>
      </c>
      <c r="G323" s="3">
        <f>979.7+(16.2-494.6)+(-0.999294+(-0.016524--0.504492))+0-0-0</f>
        <v>500.78867400000001</v>
      </c>
      <c r="H323" s="3">
        <f>931.2+(33.7-486.8)+(-1.424736+(-0.051561--0.744804))+0-0-0</f>
        <v>477.36850700000002</v>
      </c>
      <c r="I323" s="3">
        <f>940.7+(45.2-481.4)+(0.959514+(0.046104-0.491028))+0-0-0</f>
        <v>505.01459000000006</v>
      </c>
      <c r="J323" s="3">
        <f>932.8+(42.2-511.6)+(-1.427184+(-0.064566--0.782748))+0-0-0</f>
        <v>462.69099799999992</v>
      </c>
      <c r="K323" s="3">
        <f>944.4+(37.6-526)+(0.481644+(0.019176-0.26826))+0-0-0</f>
        <v>456.23255999999998</v>
      </c>
      <c r="L323" s="3">
        <f>1126.4+(28.5-650.9)+(-1.148928+(-0.02907--0.663918))+0-0-0</f>
        <v>503.48592000000014</v>
      </c>
      <c r="M323" s="3">
        <f>1182.1+(30.6-670.6)+(-1.808613+(-0.046818--1.026018))+0-0-0</f>
        <v>541.27058699999986</v>
      </c>
      <c r="N323" s="3">
        <f>1197.3+(44.4-650.2)+(1.831869+(0.067932-0.994806))+0-0-0</f>
        <v>592.40499499999987</v>
      </c>
      <c r="O323" s="3">
        <f>1187+(40-608.6)+(0.60537+(0.0204-0.310386))+0-0-0</f>
        <v>618.71538399999997</v>
      </c>
      <c r="P323" s="3">
        <f>1176.1+(98.6-628.5)+(0.599811+(0.050286-0.320535))+0-0-0</f>
        <v>646.52956199999994</v>
      </c>
      <c r="Q323" s="3">
        <f>1161.6+(101.5-624.2)+(-0.592416+(-0.051765--0.318342))+0-0-0</f>
        <v>638.57416099999989</v>
      </c>
      <c r="R323" s="3">
        <f>1156.4+(106.8-685.6)+(0+(0-0))+0-0-0</f>
        <v>577.6</v>
      </c>
      <c r="S323" s="3">
        <f>1129.2+(116.6-696.2)+(-1.727676+(-0.178398--1.065186))+0-0-0</f>
        <v>548.75911200000007</v>
      </c>
      <c r="T323" s="3">
        <f>1131.3+(138.5-708)+(-0.576963+(-0.070635--0.36108))+0-0-0</f>
        <v>561.51348199999995</v>
      </c>
      <c r="U323" s="3">
        <f>1105.2+(133.7-688.4)+(-1.127304+(-0.136374--0.702168))+0-0-0</f>
        <v>549.93849</v>
      </c>
      <c r="V323" s="3">
        <f>1104.4+(135.1-682.7)+(1.126488+(0.137802-0.696354))+0-0-0</f>
        <v>557.3679360000001</v>
      </c>
      <c r="W323" s="3">
        <f>1107.3+(136.9-636)+(1.694169+(0.209457-0.97308))+0-0-0</f>
        <v>609.13054599999998</v>
      </c>
      <c r="X323" s="3">
        <f>1155.7+(150.7-622.2)+(0+(0-0))+0-0-0</f>
        <v>684.2</v>
      </c>
      <c r="Y323" s="3">
        <f>1146.8+(152.6-620.7)+(-1.754604+(-0.233478--0.949671))+0-0-0</f>
        <v>677.66158899999994</v>
      </c>
      <c r="Z323" s="3">
        <f>1106.2+(158-610.1)+(-0.564162+(-0.08058--0.311151))+0-0-0</f>
        <v>653.76640900000007</v>
      </c>
      <c r="AA323" s="3">
        <f>1048.5+(166.6-577.9)+(-0.534735+(-0.084966--0.294729))+0-0-0</f>
        <v>636.87502800000004</v>
      </c>
      <c r="AB323" s="3">
        <f>1042.1+(137.9-542.3)+(-1.594413+(-0.210987--0.829719))+0-0-0</f>
        <v>636.72431899999992</v>
      </c>
      <c r="AC323" s="3">
        <f>1023.7+(121.4-498.5)+(-1.566261+(-0.185742--0.762705))+0-0-0</f>
        <v>645.61070200000006</v>
      </c>
      <c r="AD323">
        <v>703.80000000000007</v>
      </c>
      <c r="AE323" s="3">
        <f>1182+(149.4-627.6)+(0+(0-0))+0-0-0</f>
        <v>703.8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1066.1+(20.5-600.9)+(0+(0-0))+0-0-0</f>
        <v>485.69999999999993</v>
      </c>
      <c r="G324" s="3">
        <f>1168.5+(21.1-718.1)+(-0.595935+(-0.010761--0.366231))+0-0-0</f>
        <v>471.25953500000003</v>
      </c>
      <c r="H324" s="3">
        <f>1173.4+(36.9-751)+(1.795302+(0.056457-1.14903))+0-0-0</f>
        <v>460.00272900000004</v>
      </c>
      <c r="I324" s="3">
        <f>1164.3+(38-755.7)+(-1.781379+(-0.05814--1.156221))+0-0-0</f>
        <v>445.91670199999993</v>
      </c>
      <c r="J324" s="3">
        <f>1168.9+(43.1-784.6)+(0.596139+(0.021981-0.400146))+0-0-0</f>
        <v>427.61797400000012</v>
      </c>
      <c r="K324" s="3">
        <f>1171+(51.7-781.4)+(0.59721+(0.026367-0.398514))+0-0-0</f>
        <v>441.52506300000005</v>
      </c>
      <c r="L324" s="3">
        <f>1163.6+(91.2-795.5)+(-1.780308+(-0.139536--1.217115))+0-0-0</f>
        <v>458.59727099999998</v>
      </c>
      <c r="M324" s="3">
        <f>1122.5+(137.4-773.2)+(0.572475+(0.070074-0.394332))+0-0-0</f>
        <v>486.94821699999994</v>
      </c>
      <c r="N324" s="3">
        <f>1127.6+(127-722.6)+(1.150152+(0.12954-0.737052))+0-0-0</f>
        <v>532.54263999999989</v>
      </c>
      <c r="O324" s="3">
        <f>1119.6+(122.1-667.1)+(1.141992+(0.124542-0.680442))+0-0-0</f>
        <v>575.18609199999992</v>
      </c>
      <c r="P324" s="3">
        <f>1115.1+(108.8-623.6)+(-0.568701+(-0.055488--0.318036))+0-0-0</f>
        <v>599.99384699999985</v>
      </c>
      <c r="Q324" s="3">
        <f>1112.3+(100.6-603.6)+(-1.134546+(-0.102612--0.615672))+0-0-0</f>
        <v>608.67851399999995</v>
      </c>
      <c r="R324" s="3">
        <f>1114+(105.1-631)+(-2.8407+(-0.268005--1.60905))+0-0-0</f>
        <v>586.60034500000006</v>
      </c>
      <c r="S324" s="3">
        <f>1123.2+(102.7-651.8)+(0+(0-0))+0-0-0</f>
        <v>574.10000000000014</v>
      </c>
      <c r="T324" s="3">
        <f>1123.9+(92.8-651.9)+(0.573189+(0.047328-0.332469))+0-0-0</f>
        <v>565.08804800000007</v>
      </c>
      <c r="U324" s="3">
        <f>1121.8+(81.7-636.8)+(-0.572118+(-0.041667--0.324768))+0-0-0</f>
        <v>566.4109830000001</v>
      </c>
      <c r="V324" s="3">
        <f>1153.4+(76.9-631.4)+(1.176468+(0.078438-0.644028))+0-0-0</f>
        <v>599.51087800000005</v>
      </c>
      <c r="W324" s="3">
        <f>1174.8+(24.6-571.9)+(1.198296+(0.025092-0.583338))+0-0-0</f>
        <v>628.14004999999997</v>
      </c>
      <c r="X324" s="3">
        <f>1234.2+(9.3-548.1)+(0.629442+(0.004743-0.279531))+0-0-0</f>
        <v>695.75465399999996</v>
      </c>
      <c r="Y324" s="3">
        <f>1240.1+(8.8-564.4)+(-2.529804+(-0.017952--1.151376))+0-0-0</f>
        <v>683.10361999999986</v>
      </c>
      <c r="Z324" s="3">
        <f>1195.6+(12.2-556.3)+(-3.04878+(-0.03111--1.418565))+0-0-0</f>
        <v>649.83867499999997</v>
      </c>
      <c r="AA324" s="3">
        <f>1192.5+(0-567.5)+(-0.608175+(0--0.289425))+0-0-0</f>
        <v>624.68124999999998</v>
      </c>
      <c r="AB324" s="3">
        <f>1190.9+(0-598.8)+(0+(0-0))+0-0-0</f>
        <v>592.10000000000014</v>
      </c>
      <c r="AC324" s="3">
        <f>1191.2+(0-647.8)+(-1.215024+(0--0.660756))+0-0-0</f>
        <v>542.84573200000011</v>
      </c>
      <c r="AD324">
        <v>689.2</v>
      </c>
      <c r="AE324" s="3">
        <f>1243+(8-561.8)+(0+(0-0))+0-0-0</f>
        <v>689.2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1118.9+(9-524.6)+(0+(0-0))+0-0-0</f>
        <v>603.30000000000007</v>
      </c>
      <c r="G325" s="3">
        <f>1020.3+(26.1-482.7)+(0+(0-0))+0-0-0</f>
        <v>563.70000000000005</v>
      </c>
      <c r="H325" s="3">
        <f>976.4+(18-457.5)+(0+(0-0))+0-0-0</f>
        <v>536.9</v>
      </c>
      <c r="I325" s="3">
        <f>933.7+(20-422.4)+(-1.428561+(-0.0306--0.646272))+0-0-0</f>
        <v>530.48711100000003</v>
      </c>
      <c r="J325" s="3">
        <f>883+(35.4-397.9)+(0.90066+(0.036108-0.405858))+0-0-0</f>
        <v>521.03090999999995</v>
      </c>
      <c r="K325" s="3">
        <f>889.5+(41.7-400.9)+(0.90729+(0.042534-0.408918))+0-0-0</f>
        <v>530.8409059999999</v>
      </c>
      <c r="L325" s="3">
        <f>1095.9+(24.2-549.6)+(0+(0-0))+0-0-0</f>
        <v>570.50000000000011</v>
      </c>
      <c r="M325" s="3">
        <f>1146.3+(19.9-560)+(0+(0-0))+0-0-0</f>
        <v>606.19999999999993</v>
      </c>
      <c r="N325" s="3">
        <f>1172.6+(15.1-534.9)+(-0.598026+(-0.007701--0.272799))+0-0-0</f>
        <v>652.46707199999992</v>
      </c>
      <c r="O325" s="3">
        <f>1167.4+(8.4-486.8)+(-0.595374+(-0.004284--0.248268))+0-0-0</f>
        <v>688.64860999999996</v>
      </c>
      <c r="P325" s="3">
        <f>1170.2+(2.3-450.3)+(-0.596802+(-0.001173--0.229653))+0-0-0</f>
        <v>721.83167800000001</v>
      </c>
      <c r="Q325" s="3">
        <f>1167.7+(3.7-442)+(-1.191054+(-0.003774--0.45084))+0-0-0</f>
        <v>728.65601200000015</v>
      </c>
      <c r="R325" s="3">
        <f>1161.6+(0-433.5)+(-1.777248+(0--0.663255))+0-0-0</f>
        <v>726.98600699999986</v>
      </c>
      <c r="S325" s="3">
        <f>1164.8+(0-445.8)+(-1.782144+(0--0.682074))+0-0-0</f>
        <v>717.89993000000004</v>
      </c>
      <c r="T325" s="3">
        <f>1169.3+(0-473.7)+(0+(0-0))+0-0-0</f>
        <v>695.59999999999991</v>
      </c>
      <c r="U325" s="3">
        <f>1180+(0-492.8)+(1.2036+(0-0.502656))+0-0-0</f>
        <v>687.9009440000001</v>
      </c>
      <c r="V325" s="3">
        <f>1205+(0-510.7)+(0.61455+(0-0.260457))+0-0-0</f>
        <v>694.65409299999999</v>
      </c>
      <c r="W325" s="3">
        <f>1243.4+(0-493)+(1.268268+(0-0.50286))+0-0-0</f>
        <v>751.16540800000007</v>
      </c>
      <c r="X325" s="3">
        <f>1238.8+(17.3-462.5)+(-3.15894+(-0.044115--1.179375))+0-0-0</f>
        <v>791.5763199999999</v>
      </c>
      <c r="Y325" s="3">
        <f>1227.6+(0-459.1)+(-1.878228+(0--0.702423))+0-0-0</f>
        <v>767.32419499999992</v>
      </c>
      <c r="Z325" s="3">
        <f>1201+(0-443.6)+(-0.61251+(0--0.226236))+0-0-0</f>
        <v>757.01372600000002</v>
      </c>
      <c r="AA325" s="3">
        <f>1161.9+(0-443.2)+(0.592569+(0-0.226032))+0-0-0</f>
        <v>719.06653700000004</v>
      </c>
      <c r="AB325" s="3">
        <f>1123.8+(0-468.7)+(0.573138+(0-0.239037))+0-0-0</f>
        <v>655.43410099999994</v>
      </c>
      <c r="AC325" s="3">
        <f>1121.5+(0-497.5)+(0+(0-0))+0-0-0</f>
        <v>624</v>
      </c>
      <c r="AD325">
        <v>683.7</v>
      </c>
      <c r="AE325" s="3">
        <f>1252+(14.4-582.7)+(0+(0-0))+0-0-0</f>
        <v>683.69999999999993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1071.1+(10.5-539.1)+(-2.731305+(-0.026775--1.374705))+0-0-0</f>
        <v>541.11662499999989</v>
      </c>
      <c r="G326" s="3">
        <f>1053.3+(10.2-548.6)+(-1.074366+(-0.010404--0.559572))+0-0-0</f>
        <v>514.37480199999993</v>
      </c>
      <c r="H326" s="3">
        <f>1038.7+(20.7-552.6)+(-3.178422+(-0.063342--1.690956))+0-0-0</f>
        <v>505.24919200000005</v>
      </c>
      <c r="I326" s="3">
        <f>906.8+(54.2-491.3)+(0.924936+(0.055284-0.501126))+0-0-0</f>
        <v>470.17909399999991</v>
      </c>
      <c r="J326" s="3">
        <f>1042.7+(48.9-609.6)+(-0.531777+(-0.024939--0.310896))+0-0-0</f>
        <v>481.75418000000002</v>
      </c>
      <c r="K326" s="3">
        <f>1047.4+(44.4-609.5)+(1.602522+(0.067932-0.932535))+0-0-0</f>
        <v>483.03791900000004</v>
      </c>
      <c r="L326" s="3">
        <f>1050.3+(28.2-603.6)+(1.071306+(0.028764-0.615672))+0-0-0</f>
        <v>475.38439799999998</v>
      </c>
      <c r="M326" s="3">
        <f>1050.8+(19.4-573.6)+(1.071816+(0.019788-0.585072))+0-0-0</f>
        <v>497.1065319999999</v>
      </c>
      <c r="N326" s="3">
        <f>1052.7+(13.5-543.6)+(0.536877+(0.006885-0.277236))+0-0-0</f>
        <v>522.86652600000002</v>
      </c>
      <c r="O326" s="3">
        <f>1050.1+(0-479.3)+(0.535551+(0-0.244443))+0-0-0</f>
        <v>571.09110799999996</v>
      </c>
      <c r="P326" s="3">
        <f>1049+(0-454.8)+(0.53499+(0-0.231948))+0-0-0</f>
        <v>594.50304200000005</v>
      </c>
      <c r="Q326" s="3">
        <f>1042.4+(0-430.2)+(0+(0-0))+0-0-0</f>
        <v>612.20000000000005</v>
      </c>
      <c r="R326" s="3">
        <f>1043.2+(0-442.4)+(-1.596096+(0--0.676872))+0-0-0</f>
        <v>599.88077600000008</v>
      </c>
      <c r="S326" s="3">
        <f>1045.6+(0-478.7)+(0+(0-0))+0-0-0</f>
        <v>566.89999999999986</v>
      </c>
      <c r="T326" s="3">
        <f>1044.7+(0-489.9)+(0+(0-0))+0-0-0</f>
        <v>554.80000000000007</v>
      </c>
      <c r="U326" s="3">
        <f>1040.5+(0-492.5)+(-1.06131+(0--0.50235))+0-0-0</f>
        <v>547.44104000000004</v>
      </c>
      <c r="V326" s="3">
        <f>1043.2+(0-480.9)+(-1.064064+(0--0.490518))+0-0-0</f>
        <v>561.7264540000001</v>
      </c>
      <c r="W326" s="3">
        <f>1077.2+(0-458.4)+(-0.549372+(0--0.233784))+0-0-0</f>
        <v>618.48441200000002</v>
      </c>
      <c r="X326" s="3">
        <f>1119.3+(2.8-420.7)+(-1.141686+(-0.002856--0.429114))+0-0-0</f>
        <v>700.684572</v>
      </c>
      <c r="Y326" s="3">
        <f>1110.5+(1.6-418.6)+(-2.26542+(-0.003264--0.853944))+0-0-0</f>
        <v>692.08525999999995</v>
      </c>
      <c r="Z326" s="3">
        <f>1022.9+(13.8-345.3)+(-2.608395+(-0.03519--0.880515))+0-0-0</f>
        <v>689.63693000000001</v>
      </c>
      <c r="AA326" s="3">
        <f>929.1+(40.7-326)+(-0.473841+(-0.020757--0.16626))+0-0-0</f>
        <v>643.47166199999992</v>
      </c>
      <c r="AB326" s="3">
        <f>935.2+(41-363.1)+(0.476952+(0.02091-0.185181))+0-0-0</f>
        <v>613.41268100000002</v>
      </c>
      <c r="AC326" s="3">
        <f>926.9+(31.7-378.5)+(-0.472719+(-0.016167--0.193035))+0-0-0</f>
        <v>579.80414899999994</v>
      </c>
      <c r="AD326">
        <v>683.40000000000009</v>
      </c>
      <c r="AE326" s="3">
        <f>1137+(0.9-454.5)+(0+(0-0))+0-0-0</f>
        <v>683.4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794.9+(51-319.9)+(-1.216197+(-0.07803--0.489447))+0-0-0</f>
        <v>525.19521999999995</v>
      </c>
      <c r="G327" s="3">
        <f>739.5+(38.6-291.5)+(0.377145+(0.019686-0.148665))+0-0-0</f>
        <v>486.84816600000005</v>
      </c>
      <c r="H327" s="3">
        <f>725.3+(37.3-292.2)+(-0.739806+(-0.038046--0.298044))+0-0-0</f>
        <v>469.92019199999999</v>
      </c>
      <c r="I327" s="3">
        <f>734.7+(43.5-319.3)+(0.374697+(0.022185-0.162843))+0-0-0</f>
        <v>459.13403900000003</v>
      </c>
      <c r="J327" s="3">
        <f>744.5+(44.7-337.1)+(-0.75939+(-0.045594--0.343842))+0-0-0</f>
        <v>451.63885799999997</v>
      </c>
      <c r="K327" s="3">
        <f>763.8+(57.9-376.6)+(0.779076+(0.059058-0.384132))+0-0-0</f>
        <v>445.55400199999991</v>
      </c>
      <c r="L327" s="3">
        <f>764.9+(46-362.7)+(-0.390099+(-0.02346--0.184977))+0-0-0</f>
        <v>447.97141799999997</v>
      </c>
      <c r="M327" s="3">
        <f>753.8+(35.1-373.7)+(0+(0-0))+0-0-0</f>
        <v>415.2</v>
      </c>
      <c r="N327" s="3">
        <f>765.4+(42.6-371.1)+(0.780708+(0.043452-0.378522))+0-0-0</f>
        <v>437.34563799999995</v>
      </c>
      <c r="O327" s="3">
        <f>760.9+(55.9-330.2)+(0+(0-0))+0-0-0</f>
        <v>486.59999999999997</v>
      </c>
      <c r="P327" s="3">
        <f>761.5+(52.5-299.2)+(0+(0-0))+0-0-0</f>
        <v>514.79999999999995</v>
      </c>
      <c r="Q327" s="3">
        <f>766.4+(60.4-293.3)+(1.172592+(0.092412-0.448749))+0-0-0</f>
        <v>534.31625499999996</v>
      </c>
      <c r="R327" s="3">
        <f>754.6+(69.4-287.6)+(-1.539384+(-0.141576--0.586704))+0-0-0</f>
        <v>535.305744</v>
      </c>
      <c r="S327" s="3">
        <f>761+(49.7-304.3)+(-0.38811+(-0.025347--0.155193))+0-0-0</f>
        <v>506.14173599999998</v>
      </c>
      <c r="T327" s="3">
        <f>763.8+(37.5-324.3)+(0+(0-0))+0-0-0</f>
        <v>476.99999999999994</v>
      </c>
      <c r="U327" s="3">
        <f>799.3+(19.5-340.7)+(-1.222929+(-0.029835--0.521271))+0-0-0</f>
        <v>477.36850699999997</v>
      </c>
      <c r="V327" s="3">
        <f>814.7+(13.5-346)+(-0.415497+(-0.006885--0.17646))+0-0-0</f>
        <v>481.95407800000004</v>
      </c>
      <c r="W327" s="3">
        <f>915.2+(0-375)+(-0.933504+(0--0.3825))+0-0-0</f>
        <v>539.64899600000001</v>
      </c>
      <c r="X327" s="3">
        <f>1071.6+(9-467.5)+(-0.546516+(-0.00459--0.238425))+0-0-0</f>
        <v>612.78731899999991</v>
      </c>
      <c r="Y327" s="3">
        <f>928.6+(15.1-336.6)+(-1.420758+(-0.023103--0.514998))+0-0-0</f>
        <v>606.17113700000004</v>
      </c>
      <c r="Z327" s="3">
        <f>720.7+(92.9-217.8)+(-0.735114+(-0.094758--0.222156))+0-0-0</f>
        <v>595.19228400000009</v>
      </c>
      <c r="AA327" s="3">
        <f>726+(97.9-254.4)+(-1.48104+(-0.199716--0.518976))+0-0-0</f>
        <v>568.33821999999998</v>
      </c>
      <c r="AB327" s="3">
        <f>731.2+(85.5-280.9)+(-0.372912+(-0.043605--0.143259))+0-0-0</f>
        <v>535.52674200000001</v>
      </c>
      <c r="AC327" s="3">
        <f>736.6+(49.8-290.4)+(0.751332+(0.050796-0.296208))+0-0-0</f>
        <v>496.50592000000006</v>
      </c>
      <c r="AD327">
        <v>592.59999999999991</v>
      </c>
      <c r="AE327" s="3">
        <f>1075+(7.3-489.7)+(0+(0-0))+0-0-0</f>
        <v>592.6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734.4+(33.3-334)+(-1.498176+(-0.067932--0.68136))+0-0-0</f>
        <v>432.81525199999999</v>
      </c>
      <c r="G328" s="3">
        <f>718.1+(44.8-356.5)+(-0.732462+(-0.045696--0.36363))+0-0-0</f>
        <v>405.98547200000002</v>
      </c>
      <c r="H328" s="3">
        <f>705.5+(62.9-391.3)+(-1.43922+(-0.128316--0.798252))+0-0-0</f>
        <v>376.33071599999994</v>
      </c>
      <c r="I328" s="3">
        <f>716.1+(70.5-415)+(0.365211+(0.035955-0.21165))+0-0-0</f>
        <v>371.78951600000005</v>
      </c>
      <c r="J328" s="3">
        <f>699.9+(57.9-388.2)+(-1.070847+(-0.088587--0.593946))+0-0-0</f>
        <v>369.03451199999995</v>
      </c>
      <c r="K328" s="3">
        <f>705.1+(52.7-387.5)+(0.359601+(0.026877-0.197625))+0-0-0</f>
        <v>370.48885300000001</v>
      </c>
      <c r="L328" s="3">
        <f>750.5+(42.3-417.4)+(0.382755+(0.021573-0.212874))+0-0-0</f>
        <v>375.59145400000006</v>
      </c>
      <c r="M328" s="3">
        <f>749.9+(47.1-431.4)+(-1.147347+(-0.072063--0.660042))+0-0-0</f>
        <v>365.04063200000002</v>
      </c>
      <c r="N328" s="3">
        <f>752.7+(63.4-421.1)+(-0.383877+(-0.032334--0.214761))+0-0-0</f>
        <v>394.79854999999998</v>
      </c>
      <c r="O328" s="3">
        <f>752.1+(48.1-366.8)+(0+(0-0))+0-0-0</f>
        <v>433.40000000000003</v>
      </c>
      <c r="P328" s="3">
        <f>745.6+(62.8-341.8)+(-0.760512+(-0.064056--0.348636))+0-0-0</f>
        <v>466.12406800000002</v>
      </c>
      <c r="Q328" s="3">
        <f>747.7+(70.4-317.4)+(-1.143981+(-0.107712--0.485622))+0-0-0</f>
        <v>499.93392900000003</v>
      </c>
      <c r="R328" s="3">
        <f>747.5+(69.4-335.5)+(-1.143675+(-0.106182--0.513315))+0-0-0</f>
        <v>480.66345799999999</v>
      </c>
      <c r="S328" s="3">
        <f>738.7+(61.3-334.7)+(-1.506948+(-0.125052--0.682788))+0-0-0</f>
        <v>464.35078800000008</v>
      </c>
      <c r="T328" s="3">
        <f>749.9+(46-342.5)+(-0.382449+(-0.02346--0.174675))+0-0-0</f>
        <v>453.16876600000001</v>
      </c>
      <c r="U328" s="3">
        <f>760+(38.3-355.3)+(0+(0-0))+0-0-0</f>
        <v>443</v>
      </c>
      <c r="V328" s="3">
        <f>823.3+(24.6-386.9)+(-0.419883+(-0.012546--0.197319))+0-0-0</f>
        <v>460.76488999999998</v>
      </c>
      <c r="W328" s="3">
        <f>846.8+(50.9-372.6)+(0+(0-0))+0-0-0</f>
        <v>525.09999999999991</v>
      </c>
      <c r="X328" s="3">
        <f>808+(118.8-313.8)+(-0.82416+(-0.121176--0.320076))+0-0-0</f>
        <v>612.37473999999997</v>
      </c>
      <c r="Y328" s="3">
        <f>811+(127-324.5)+(-0.41361+(-0.06477--0.165495))+0-0-0</f>
        <v>613.18711499999995</v>
      </c>
      <c r="Z328" s="3">
        <f>807.8+(111.7-327.2)+(-0.823956+(-0.113934--0.333744))+0-0-0</f>
        <v>591.69585399999994</v>
      </c>
      <c r="AA328" s="3">
        <f>852.5+(84.2-363.3)+(0+(0-0))+0-0-0</f>
        <v>573.4</v>
      </c>
      <c r="AB328" s="3">
        <f>869.6+(75-395.5)+(-0.443496+(-0.03825--0.201705))+0-0-0</f>
        <v>548.81995900000004</v>
      </c>
      <c r="AC328" s="3">
        <f>857.9+(43.7-408.5)+(-2.187645+(-0.111435--1.041675))+0-0-0</f>
        <v>491.84259499999996</v>
      </c>
      <c r="AD328">
        <v>623.20000000000005</v>
      </c>
      <c r="AE328" s="3">
        <f>815+(127.5-319.3)+(0+(0-0))+0-0-0</f>
        <v>623.20000000000005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859.6+(11.9-404)+(-1.315188+(-0.018207--0.61812))+0-0-0</f>
        <v>466.78472499999998</v>
      </c>
      <c r="G329" s="3">
        <f>853+(22.8-443.7)+(-1.30509+(-0.034884--0.678861))+0-0-0</f>
        <v>431.43888700000002</v>
      </c>
      <c r="H329" s="3">
        <f>758.2+(33.7-383.7)+(-1.546728+(-0.068748--0.782748))+0-0-0</f>
        <v>407.36727200000007</v>
      </c>
      <c r="I329" s="3">
        <f>758.6+(39-394.2)+(-0.386886+(-0.01989--0.201042))+0-0-0</f>
        <v>403.19426600000003</v>
      </c>
      <c r="J329" s="3">
        <f>767.4+(41.2-415.9)+(1.174122+(0.063036-0.636327))+0-0-0</f>
        <v>393.30083100000002</v>
      </c>
      <c r="K329" s="3">
        <f>766.4+(46.9-410.7)+(0.390864+(0.023919-0.209457))+0-0-0</f>
        <v>402.80532599999998</v>
      </c>
      <c r="L329" s="3">
        <f>774.2+(82.8-428.3)+(0.394842+(0.042228-0.218433))+0-0-0</f>
        <v>428.91863700000005</v>
      </c>
      <c r="M329" s="3">
        <f>851+(74.7-473)+(0+(0-0))+0-0-0</f>
        <v>452.7</v>
      </c>
      <c r="N329" s="3">
        <f>1098.3+(40.3-638.4)+(1.120266+(0.041106-0.651168))+0-0-0</f>
        <v>500.71020399999992</v>
      </c>
      <c r="O329" s="3">
        <f>1187.4+(19-642)+(0.605574+(0.00969-0.32742))+0-0-0</f>
        <v>564.68784400000004</v>
      </c>
      <c r="P329" s="3">
        <f>1184.2+(13.3-613.5)+(0.603942+(0.006783-0.312885))+0-0-0</f>
        <v>584.29783999999995</v>
      </c>
      <c r="Q329" s="3">
        <f>1177.3+(6.6-586.1)+(-1.200846+(-0.006732--0.597822))+0-0-0</f>
        <v>597.19024400000001</v>
      </c>
      <c r="R329" s="3">
        <f>1044.3+(0-467.3)+(-2.662965+(0--1.191615))+0-0-0</f>
        <v>575.52864999999997</v>
      </c>
      <c r="S329" s="3">
        <f>1019+(0-460.2)+(-1.03938+(0--0.469404))+0-0-0</f>
        <v>558.23002399999996</v>
      </c>
      <c r="T329" s="3">
        <f>928.8+(9.3-399)+(-1.421064+(-0.014229--0.61047))+0-0-0</f>
        <v>538.27517699999987</v>
      </c>
      <c r="U329" s="3">
        <f>930.7+(8.8-407.8)+(-0.474657+(-0.004488--0.207978))+0-0-0</f>
        <v>531.42883300000005</v>
      </c>
      <c r="V329" s="3">
        <f>932+(10.5-408.9)+(0.47532+(0.005355-0.208539))+0-0-0</f>
        <v>533.87213600000007</v>
      </c>
      <c r="W329" s="3">
        <f>940.6+(12.2-369.6)+(0+(0-0))+0-0-0</f>
        <v>583.20000000000005</v>
      </c>
      <c r="X329" s="3">
        <f>1175.7+(7.7-488.7)+(-0.599607+(-0.003927--0.249237))+0-0-0</f>
        <v>694.34570300000007</v>
      </c>
      <c r="Y329" s="3">
        <f>1090+(13.9-381.3)+(0+(0-0))+0-0-0</f>
        <v>722.59999999999991</v>
      </c>
      <c r="Z329" s="3">
        <f>1001.6+(42-315.1)+(-2.55408+(-0.1071--0.803505))+0-0-0</f>
        <v>726.64232500000003</v>
      </c>
      <c r="AA329" s="3">
        <f>1001.3+(43.3-325.5)+(0+(0-0))+0-0-0</f>
        <v>719.09999999999991</v>
      </c>
      <c r="AB329" s="3">
        <f>833.2+(112.3-248.2)+(-2.12466+(-0.286365--0.63291))+0-0-0</f>
        <v>695.52188500000011</v>
      </c>
      <c r="AC329" s="3">
        <f>760.6+(108.6-217.3)+(-1.93953+(-0.27693--0.554115))+0-0-0</f>
        <v>650.23765500000002</v>
      </c>
      <c r="AD329">
        <v>677.5</v>
      </c>
      <c r="AE329" s="3">
        <f>1195+(7.8-525.3)+(0+(0-0))+0-0-0</f>
        <v>677.5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745.9+(60.4-222.6)+(-0.760818+(-0.061608--0.227052))+0-0-0</f>
        <v>583.10462600000005</v>
      </c>
      <c r="G330" s="3">
        <f>756.8+(62.1-276.9)+(1.543872+(0.126684-0.564876))+0-0-0</f>
        <v>543.10568000000001</v>
      </c>
      <c r="H330" s="3">
        <f>753.5+(78-313.4)+(1.152855+(0.11934-0.479502))+0-0-0</f>
        <v>518.89269300000001</v>
      </c>
      <c r="I330" s="3">
        <f>744.5+(81.5-317.2)+(-1.51878+(-0.16626--0.647088))+0-0-0</f>
        <v>507.76204799999999</v>
      </c>
      <c r="J330" s="3">
        <f>759.8+(82.5-339.5)+(0.774996+(0.08415-0.34629))+0-0-0</f>
        <v>503.31285599999995</v>
      </c>
      <c r="K330" s="3">
        <f>752.6+(79.1-327.9)+(0+(0-0))+0-0-0</f>
        <v>503.80000000000007</v>
      </c>
      <c r="L330" s="3">
        <f>756.7+(60.2-310.4)+(0.385917+(0.030702-0.158304))+0-0-0</f>
        <v>506.75831500000004</v>
      </c>
      <c r="M330" s="3">
        <f>780.4+(34.4-321.5)+(-0.796008+(-0.035088--0.32793))+0-0-0</f>
        <v>492.79683399999993</v>
      </c>
      <c r="N330" s="3">
        <f>903.5+(53.7-428.2)+(-0.460785+(-0.027387--0.218382))+0-0-0</f>
        <v>528.73021000000006</v>
      </c>
      <c r="O330" s="3">
        <f>934.7+(48.8-416)+(-0.476697+(-0.024888--0.21216))+0-0-0</f>
        <v>567.21057499999995</v>
      </c>
      <c r="P330" s="3">
        <f>989.1+(49.9-441)+(-1.513323+(-0.076347--0.67473))+0-0-0</f>
        <v>597.08506</v>
      </c>
      <c r="Q330" s="3">
        <f>1008.2+(44.7-435.7)+(-0.514182+(-0.022797--0.222207))+0-0-0</f>
        <v>616.8852280000001</v>
      </c>
      <c r="R330" s="3">
        <f>1001.8+(22.5-424)+(-1.532754+(-0.034425--0.64872))+0-0-0</f>
        <v>599.38154099999997</v>
      </c>
      <c r="S330" s="3">
        <f>898.8+(32.2-362)+(0+(0-0))+0-0-0</f>
        <v>569</v>
      </c>
      <c r="T330" s="3">
        <f>846.5+(80.4-363.2)+(-0.431715+(-0.041004--0.185232))+0-0-0</f>
        <v>563.41251299999999</v>
      </c>
      <c r="U330" s="3">
        <f>853.7+(113.1-403.9)+(-0.435387+(-0.057681--0.205989))+0-0-0</f>
        <v>562.61292100000014</v>
      </c>
      <c r="V330" s="3">
        <f>857.5+(96.3-392.5)+(0.87465+(0.098226-0.40035))+0-0-0</f>
        <v>561.87252599999999</v>
      </c>
      <c r="W330" s="3">
        <f>915.6+(111.7-422.2)+(-0.466956+(-0.056967--0.215322))+0-0-0</f>
        <v>604.79139900000007</v>
      </c>
      <c r="X330" s="3">
        <f>1026+(89.7-417.3)+(-0.52326+(-0.045747--0.212823))+0-0-0</f>
        <v>698.04381599999999</v>
      </c>
      <c r="Y330" s="3">
        <f>1024.8+(66.4-382.3)+(-2.090592+(-0.135456--0.779892))+0-0-0</f>
        <v>707.453844</v>
      </c>
      <c r="Z330" s="3">
        <f>1033.2+(40.9-372.8)+(-0.526932+(-0.020859--0.190128))+0-0-0</f>
        <v>700.94233699999995</v>
      </c>
      <c r="AA330" s="3">
        <f>1042.3+(21.6-397)+(2.126292+(0.044064-0.80988))+0-0-0</f>
        <v>668.26047599999993</v>
      </c>
      <c r="AB330" s="3">
        <f>1003.9+(32.8-399.6)+(-1.023978+(-0.033456--0.407592))+0-0-0</f>
        <v>636.45015799999987</v>
      </c>
      <c r="AC330" s="3">
        <f>793.9+(78.3-290.8)+(-1.619556+(-0.159732--0.593232))+0-0-0</f>
        <v>580.21394399999997</v>
      </c>
      <c r="AD330">
        <v>683.40000000000009</v>
      </c>
      <c r="AE330" s="3">
        <f>1024+(85.9-426.5)+(0+(0-0))+0-0-0</f>
        <v>683.4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796.2+(50.9-335.5)+(-1.218186+(-0.077877--0.513315))+0-0-0</f>
        <v>510.817252</v>
      </c>
      <c r="G331" s="3">
        <f>806.1+(36.9-373)+(-0.822222+(-0.037638--0.38046))+0-0-0</f>
        <v>469.5206</v>
      </c>
      <c r="H331" s="3">
        <f>812.8+(49-418.2)+(0.414528+(0.02499-0.213282))+0-0-0</f>
        <v>443.82623599999994</v>
      </c>
      <c r="I331" s="3">
        <f>810.1+(51.9-426.7)+(0+(0-0))+0-0-0</f>
        <v>435.3</v>
      </c>
      <c r="J331" s="3">
        <f>813.2+(56-435.7)+(0.414732+(0.02856-0.222207))+0-0-0</f>
        <v>433.72108500000007</v>
      </c>
      <c r="K331" s="3">
        <f>821.3+(54.3-437.1)+(2.094315+(0.138465-1.114605))+0-0-0</f>
        <v>439.61817499999995</v>
      </c>
      <c r="L331" s="3">
        <f>814+(40.9-406.3)+(-0.41514+(-0.020859--0.207213))+0-0-0</f>
        <v>448.37121399999995</v>
      </c>
      <c r="M331" s="3">
        <f>944.5+(17.1-496.9)+(0+(0-0))+0-0-0</f>
        <v>464.70000000000005</v>
      </c>
      <c r="N331" s="3">
        <f>994.7+(34.6-514.6)+(0+(0-0))+0-0-0</f>
        <v>514.70000000000005</v>
      </c>
      <c r="O331" s="3">
        <f>996.1+(30.2-476.7)+(0.508011+(0.015402-0.243117))+0-0-0</f>
        <v>549.88029600000004</v>
      </c>
      <c r="P331" s="3">
        <f>995+(23.6-439.4)+(-1.0149+(-0.024072--0.448188))+0-0-0</f>
        <v>578.60921600000006</v>
      </c>
      <c r="Q331" s="3">
        <f>997+(18.9-433)+(-1.52541+(-0.028917--0.66249))+0-0-0</f>
        <v>582.00816299999997</v>
      </c>
      <c r="R331" s="3">
        <f>996.7+(16.8-437.5)+(-1.016634+(-0.017136--0.44625))+0-0-0</f>
        <v>575.41247999999996</v>
      </c>
      <c r="S331" s="3">
        <f>1009.5+(17.7-459.9)+(1.544535+(0.027081-0.703647))+0-0-0</f>
        <v>568.16796899999997</v>
      </c>
      <c r="T331" s="3">
        <f>1000.5+(18.6-466.7)+(-1.02051+(-0.018972--0.476034))+0-0-0</f>
        <v>551.8365520000001</v>
      </c>
      <c r="U331" s="3">
        <f>1010.2+(24.7-485.2)+(0.515202+(0.012597-0.247452))+0-0-0</f>
        <v>549.98034700000005</v>
      </c>
      <c r="V331" s="3">
        <f>1014.6+(31.4-490.2)+(0.517446+(0.016014-0.250002))+0-0-0</f>
        <v>556.08345799999995</v>
      </c>
      <c r="W331" s="3">
        <f>1011.9+(35.4-458.1)+(0.516069+(0.018054-0.233631))+0-0-0</f>
        <v>589.50049199999989</v>
      </c>
      <c r="X331" s="3">
        <f>1018.7+(57.8-388.9)+(0+(0-0))+0-0-0</f>
        <v>687.60000000000014</v>
      </c>
      <c r="Y331" s="3">
        <f>977.1+(78.7-370.4)+(-2.491605+(-0.200685--0.94452))+0-0-0</f>
        <v>683.65223000000015</v>
      </c>
      <c r="Z331" s="3">
        <f>970.3+(57.9-357.5)+(-0.494853+(-0.029529--0.182325))+0-0-0</f>
        <v>670.35794299999998</v>
      </c>
      <c r="AA331" s="3">
        <f>928.6+(69-348.1)+(-1.420758+(-0.10557--0.532593))+0-0-0</f>
        <v>648.50626499999998</v>
      </c>
      <c r="AB331" s="3">
        <f>788.4+(120.4-293.3)+(-0.402084+(-0.061404--0.149583))+0-0-0</f>
        <v>615.18609500000002</v>
      </c>
      <c r="AC331" s="3">
        <f>803.3+(82.8-337.4)+(-2.048415+(-0.21114--0.86037))+0-0-0</f>
        <v>547.30081500000006</v>
      </c>
      <c r="AD331">
        <v>681.60000000000014</v>
      </c>
      <c r="AE331" s="3">
        <f>1019+(60.4-397.8)+(0+(0-0))+0-0-0</f>
        <v>681.59999999999991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808.6+(59.1-362.6)+(-1.649544+(-0.120564--0.739704))+0-0-0</f>
        <v>504.06959600000005</v>
      </c>
      <c r="G332" s="3">
        <f>814.4+(43.3-389.4)+(0+(0-0))+0-0-0</f>
        <v>468.3</v>
      </c>
      <c r="H332" s="3">
        <f>816.7+(52.5-419.7)+(-0.416517+(-0.026775--0.214047))+0-0-0</f>
        <v>449.27075500000007</v>
      </c>
      <c r="I332" s="3">
        <f>818.2+(59.2-442.4)+(0.834564+(0.060384-0.451248))+0-0-0</f>
        <v>435.44370000000004</v>
      </c>
      <c r="J332" s="3">
        <f>814.2+(61.1-439.8)+(-0.830484+(-0.062322--0.448596))+0-0-0</f>
        <v>435.05579000000006</v>
      </c>
      <c r="K332" s="3">
        <f>822+(131.7-504.8)+(0.41922+(0.067167-0.257448))+0-0-0</f>
        <v>449.128939</v>
      </c>
      <c r="L332" s="3">
        <f>819+(146.6-503.5)+(0+(0-0))+0-0-0</f>
        <v>462.1</v>
      </c>
      <c r="M332" s="3">
        <f>870.5+(105.4-504)+(0.443955+(0.053754-0.25704))+0-0-0</f>
        <v>472.140669</v>
      </c>
      <c r="N332" s="3">
        <f>1013.6+(96.9-585)+(1.550808+(0.148257-0.89505))+0-0-0</f>
        <v>526.30401500000005</v>
      </c>
      <c r="O332" s="3">
        <f>1013.1+(82.9-533.7)+(1.550043+(0.126837-0.816561))+0-0-0</f>
        <v>563.16031899999996</v>
      </c>
      <c r="P332" s="3">
        <f>1019.1+(64.2-494)+(2.078964+(0.130968-1.00776))+0-0-0</f>
        <v>590.50217199999997</v>
      </c>
      <c r="Q332" s="3">
        <f>1004.3+(56.6-460.3)+(-1.024386+(-0.057732--0.469506))+0-0-0</f>
        <v>599.9873879999999</v>
      </c>
      <c r="R332" s="3">
        <f>995.9+(54.3-448.9)+(-2.539545+(-0.138465--1.144695))+0-0-0</f>
        <v>599.76668499999994</v>
      </c>
      <c r="S332" s="3">
        <f>1011+(58.5-470.9)+(0.51561+(0.029835-0.240159))+0-0-0</f>
        <v>598.90528600000005</v>
      </c>
      <c r="T332" s="3">
        <f>1006+(63.3-477)+(0+(0-0))+0-0-0</f>
        <v>592.29999999999995</v>
      </c>
      <c r="U332" s="3">
        <f>1010.6+(72-489.8)+(1.030812+(0.07344-0.499596))+0-0-0</f>
        <v>593.40465599999993</v>
      </c>
      <c r="V332" s="3">
        <f>1005.4+(84.8-495.9)+(-1.025508+(-0.086496--0.505818))+0-0-0</f>
        <v>593.69381399999997</v>
      </c>
      <c r="W332" s="3">
        <f>1007.8+(90.4-476.1)+(-1.027956+(-0.092208--0.485622))+0-0-0</f>
        <v>621.4654579999999</v>
      </c>
      <c r="X332" s="3">
        <f>1021.7+(85.8-394.6)+(-1.563201+(-0.131274--0.603738))+0-0-0</f>
        <v>711.8092630000001</v>
      </c>
      <c r="Y332" s="3">
        <f>1025.7+(79.5-383.3)+(-2.092428+(-0.16218--0.781932))+0-0-0</f>
        <v>720.42732400000011</v>
      </c>
      <c r="Z332" s="3">
        <f>1024+(81-396.8)+(-1.56672+(-0.12393--0.607104))+0-0-0</f>
        <v>707.11645400000009</v>
      </c>
      <c r="AA332" s="3">
        <f>1023.3+(59.6-401.5)+(-1.565649+(-0.091188--0.614295))+0-0-0</f>
        <v>680.35745799999995</v>
      </c>
      <c r="AB332" s="3">
        <f>981.9+(50-395.7)+(-1.001538+(-0.051--0.403614))+0-0-0</f>
        <v>635.55107600000008</v>
      </c>
      <c r="AC332" s="3">
        <f>843.3+(76.7-348.7)+(-0.860166+(-0.078234--0.355674))+0-0-0</f>
        <v>570.71727399999997</v>
      </c>
      <c r="AD332">
        <v>684.30000000000007</v>
      </c>
      <c r="AE332" s="3">
        <f>1026+(80.2-421.9)+(0+(0-0))+0-0-0</f>
        <v>684.3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834.2+(54.1-380.2)+(-2.12721+(-0.137955--0.96951))+0-0-0</f>
        <v>506.80434500000007</v>
      </c>
      <c r="G333" s="3">
        <f>818+(59.4-403.6)+(-1.25154+(-0.090882--0.617508))+0-0-0</f>
        <v>473.07508599999994</v>
      </c>
      <c r="H333" s="3">
        <f>822.2+(77-452.4)+(-1.257966+(-0.11781--0.692172))+0-0-0</f>
        <v>446.11639600000007</v>
      </c>
      <c r="I333" s="3">
        <f>828.5+(84.7-476.9)+(-1.69014+(-0.172788--0.972876))+0-0-0</f>
        <v>435.40994799999999</v>
      </c>
      <c r="J333" s="3">
        <f>837.7+(78.4-481.4)+(0.854454+(0.079968-0.491028))+0-0-0</f>
        <v>435.14339400000006</v>
      </c>
      <c r="K333" s="3">
        <f>926.9+(136.7-628.8)+(0.472719+(0.069717-0.320688))+0-0-0</f>
        <v>435.021748</v>
      </c>
      <c r="L333" s="3">
        <f>996.8+(117.2-675)+(-0.508368+(-0.059772--0.34425))+0-0-0</f>
        <v>438.77611000000002</v>
      </c>
      <c r="M333" s="3">
        <f>1001+(90.1-637.5)+(0+(0-0))+0-0-0</f>
        <v>453.6</v>
      </c>
      <c r="N333" s="3">
        <f>999+(61.3-535.3)+(0.50949+(0.031263-0.273003))+0-0-0</f>
        <v>525.26774999999998</v>
      </c>
      <c r="O333" s="3">
        <f>990.1+(47.4-468.2)+(-0.504951+(-0.024174--0.238782))+0-0-0</f>
        <v>569.00965699999995</v>
      </c>
      <c r="P333" s="3">
        <f>991.8+(63.6-452.3)+(0+(0-0))+0-0-0</f>
        <v>603.09999999999991</v>
      </c>
      <c r="Q333" s="3">
        <f>995+(56.2-456.8)+(-1.0149+(-0.057324--0.465936))+0-0-0</f>
        <v>593.79371200000003</v>
      </c>
      <c r="R333" s="3">
        <f>1002.4+(49.3-485.9)+(-2.044896+(-0.100572--0.991236))+0-0-0</f>
        <v>564.64576799999998</v>
      </c>
      <c r="S333" s="3">
        <f>1001.3+(35.9-498.9)+(-2.042652+(-0.073236--1.017756))+0-0-0</f>
        <v>537.20186799999999</v>
      </c>
      <c r="T333" s="3">
        <f>1009+(35-520.3)+(-1.02918+(-0.0357--0.530706))+0-0-0</f>
        <v>523.16582600000004</v>
      </c>
      <c r="U333" s="3">
        <f>993+(29.3-514.7)+(-2.02572+(-0.059772--1.049988))+0-0-0</f>
        <v>506.56449599999996</v>
      </c>
      <c r="V333" s="3">
        <f>994.8+(19.7-485.8)+(-0.507348+(-0.010047--0.247758))+0-0-0</f>
        <v>528.43036299999994</v>
      </c>
      <c r="W333" s="3">
        <f>999.7+(27.3-455.6)+(-1.529541+(-0.041769--0.697068))+0-0-0</f>
        <v>570.52575800000011</v>
      </c>
      <c r="X333" s="3">
        <f>1012.2+(63.2-411.3)+(-1.032444+(-0.064464--0.419526))+0-0-0</f>
        <v>663.42261800000006</v>
      </c>
      <c r="Y333" s="3">
        <f>1017.9+(74.5-415.2)+(-1.038258+(-0.07599--0.423504))+0-0-0</f>
        <v>676.50925600000005</v>
      </c>
      <c r="Z333" s="3">
        <f>1010.6+(65.1-415.2)+(-1.546218+(-0.099603--0.635256))+0-0-0</f>
        <v>659.48943499999996</v>
      </c>
      <c r="AA333" s="3">
        <f>1011.2+(53.9-428.3)+(-1.031424+(-0.054978--0.436866))+0-0-0</f>
        <v>636.15046399999994</v>
      </c>
      <c r="AB333" s="3">
        <f>962.4+(62.2-423.9)+(-1.472472+(-0.095166--0.648567))+0-0-0</f>
        <v>599.78092900000001</v>
      </c>
      <c r="AC333" s="3">
        <f>848.6+(88.7-380.5)+(0+(0-0))+0-0-0</f>
        <v>556.79999999999995</v>
      </c>
      <c r="AD333">
        <v>680.00000000000011</v>
      </c>
      <c r="AE333" s="3">
        <f>1020+(72.4-412.4)+(0+(0-0))+0-0-0</f>
        <v>680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839.8+(64.5-395.5)+(-0.856596+(-0.06579--0.40341))+0-0-0</f>
        <v>508.28102399999995</v>
      </c>
      <c r="G334" s="3">
        <f>798.1+(51.5-397.4)+(-0.407031+(-0.026265--0.202674))+0-0-0</f>
        <v>451.96937800000006</v>
      </c>
      <c r="H334" s="3">
        <f>805.2+(67.5-432.5)+(0+(0-0))+0-0-0</f>
        <v>440.20000000000005</v>
      </c>
      <c r="I334" s="3">
        <f>808.7+(68-443.7)+(-0.824874+(-0.06936--0.452574))+0-0-0</f>
        <v>432.55834000000004</v>
      </c>
      <c r="J334" s="3">
        <f>820.7+(58.8-456.5)+(2.092785+(0.14994-1.164075))+0-0-0</f>
        <v>424.07865000000004</v>
      </c>
      <c r="K334" s="3">
        <f>815.5+(59.1-450.9)+(0.415905+(0.030141-0.229959))+0-0-0</f>
        <v>423.91608700000006</v>
      </c>
      <c r="L334" s="3">
        <f>838.1+(50.8-481.7)+(-0.854862+(-0.051816--0.491334))+0-0-0</f>
        <v>406.78465600000004</v>
      </c>
      <c r="M334" s="3">
        <f>878.3+(30.4-515.1)+(0.447933+(0.015504-0.262701))+0-0-0</f>
        <v>393.80073599999992</v>
      </c>
      <c r="N334" s="3">
        <f>880.6+(33.4-488.9)+(0+(0-0))+0-0-0</f>
        <v>425.1</v>
      </c>
      <c r="O334" s="3">
        <f>879.4+(38.3-448.1)+(-0.448494+(-0.019533--0.228531))+0-0-0</f>
        <v>469.36050399999999</v>
      </c>
      <c r="P334" s="3">
        <f>880.9+(52-432.9)+(-0.449259+(-0.02652--0.220779))+0-0-0</f>
        <v>499.745</v>
      </c>
      <c r="Q334" s="3">
        <f>862.8+(64.7-404.7)+(-1.760112+(-0.131988--0.825588))+0-0-0</f>
        <v>521.73348799999997</v>
      </c>
      <c r="R334" s="3">
        <f>880.3+(38.4-407.8)+(-1.346859+(-0.058752--0.623934))+0-0-0</f>
        <v>510.11832299999992</v>
      </c>
      <c r="S334" s="3">
        <f>905.8+(26.5-443)+(-1.385874+(-0.040545--0.67779))+0-0-0</f>
        <v>488.55137099999996</v>
      </c>
      <c r="T334" s="3">
        <f>902.4+(23.1-449.6)+(-1.840896+(-0.047124--0.917184))+0-0-0</f>
        <v>474.92916399999996</v>
      </c>
      <c r="U334" s="3">
        <f>910.3+(29.7-476.3)+(-0.464253+(-0.015147--0.242913))+0-0-0</f>
        <v>463.46351299999992</v>
      </c>
      <c r="V334" s="3">
        <f>911+(30.9-487.5)+(-0.46461+(-0.015759--0.248625))+0-0-0</f>
        <v>454.16825599999999</v>
      </c>
      <c r="W334" s="3">
        <f>983.1+(30-526.1)+(-1.002762+(-0.0306--0.536622))+0-0-0</f>
        <v>486.50326000000001</v>
      </c>
      <c r="X334" s="3">
        <f>1022.6+(48.7-470.6)+(0+(0-0))+0-0-0</f>
        <v>600.70000000000005</v>
      </c>
      <c r="Y334" s="3">
        <f>1019.7+(53.2-454.5)+(0.520047+(0.027132-0.231795))+0-0-0</f>
        <v>618.71538400000009</v>
      </c>
      <c r="Z334" s="3">
        <f>1004.6+(55.5-448.7)+(-1.024692+(-0.05661--0.457674))+0-0-0</f>
        <v>610.77637200000004</v>
      </c>
      <c r="AA334" s="3">
        <f>981.3+(50-437.5)+(-2.502315+(-0.1275--1.115625))+0-0-0</f>
        <v>592.28580999999997</v>
      </c>
      <c r="AB334" s="3">
        <f>892.7+(71.1-379.1)+(-0.910554+(-0.072522--0.386682))+0-0-0</f>
        <v>584.10360600000001</v>
      </c>
      <c r="AC334" s="3">
        <f>777.9+(78.6-336.7)+(-1.586916+(-0.160344--0.686868))+0-0-0</f>
        <v>518.73960799999998</v>
      </c>
      <c r="AD334">
        <v>619.20000000000005</v>
      </c>
      <c r="AE334" s="3">
        <f>1037+(51.9-469.7)+(0+(0-0))+0-0-0</f>
        <v>619.20000000000005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800.2+(48.3-360.5)+(-2.04051+(-0.123165--0.919275))+0-0-0</f>
        <v>486.75560000000007</v>
      </c>
      <c r="G335" s="3">
        <f>804.9+(69.5-425.9)+(-2.052495+(-0.177225--1.086045))+0-0-0</f>
        <v>447.35632500000003</v>
      </c>
      <c r="H335" s="3">
        <f>807.4+(110.6-483.5)+(-1.647096+(-0.225624--0.98634))+0-0-0</f>
        <v>433.61362000000003</v>
      </c>
      <c r="I335" s="3">
        <f>804.5+(57.6-435.7)+(-1.64118+(-0.117504--0.888828))+0-0-0</f>
        <v>425.53014400000001</v>
      </c>
      <c r="J335" s="3">
        <f>819.2+(52.6-447.3)+(0.417792+(0.026826-0.228123))+0-0-0</f>
        <v>424.71649500000007</v>
      </c>
      <c r="K335" s="3">
        <f>820+(76.5-468.5)+(1.6728+(0.15606-0.95574))+0-0-0</f>
        <v>428.87311999999997</v>
      </c>
      <c r="L335" s="3">
        <f>806.7+(90.6-454.1)+(-2.057085+(-0.23103--1.157955))+0-0-0</f>
        <v>442.06984000000006</v>
      </c>
      <c r="M335" s="3">
        <f>817.9+(88.2-438.2)+(0.834258+(0.089964-0.446964))+0-0-0</f>
        <v>468.37725799999998</v>
      </c>
      <c r="N335" s="3">
        <f>813+(103.7-410.8)+(0+(0-0))+0-0-0</f>
        <v>505.9</v>
      </c>
      <c r="O335" s="3">
        <f>889.3+(87.4-445.1)+(-0.453543+(-0.044574--0.227001))+0-0-0</f>
        <v>531.3288839999999</v>
      </c>
      <c r="P335" s="3">
        <f>992.6+(69.5-499.2)+(-2.53113+(-0.177225--1.27296))+0-0-0</f>
        <v>561.46460500000012</v>
      </c>
      <c r="Q335" s="3">
        <f>1014.2+(71.6-519.7)+(1.034484+(0.073032-0.530094))+0-0-0</f>
        <v>566.67742199999998</v>
      </c>
      <c r="R335" s="3">
        <f>990.3+(43.8-486.3)+(-2.525265+(-0.11169--1.240065))+0-0-0</f>
        <v>546.40310999999997</v>
      </c>
      <c r="S335" s="3">
        <f>995.3+(36.5-488.3)+(-2.538015+(-0.093075--1.245165))+0-0-0</f>
        <v>542.11407499999996</v>
      </c>
      <c r="T335" s="3">
        <f>998.1+(37.9-495.4)+(-0.509031+(-0.019329--0.252654))+0-0-0</f>
        <v>540.32429400000001</v>
      </c>
      <c r="U335" s="3">
        <f>990.9+(38.6-486.1)+(0+(0-0))+0-0-0</f>
        <v>543.4</v>
      </c>
      <c r="V335" s="3">
        <f>984.1+(45.8-473.1)+(-1.003782+(-0.046716--0.482562))+0-0-0</f>
        <v>556.23206399999992</v>
      </c>
      <c r="W335" s="3">
        <f>993.2+(55.5-460.5)+(0.506532+(0.028305-0.234855))+0-0-0</f>
        <v>588.49998200000005</v>
      </c>
      <c r="X335" s="3">
        <f>1007.5+(101.9-401.4)+(-0.513825+(-0.051969--0.204714))+0-0-0</f>
        <v>707.63891999999998</v>
      </c>
      <c r="Y335" s="3">
        <f>1014.9+(53.1-357.8)+(-0.517599+(-0.027081--0.182478))+0-0-0</f>
        <v>709.83779800000002</v>
      </c>
      <c r="Z335" s="3">
        <f>999.7+(58-350.3)+(-2.039388+(-0.11832--0.714612))+0-0-0</f>
        <v>705.95690400000012</v>
      </c>
      <c r="AA335" s="3">
        <f>1006.2+(43.2-371.2)+(0.513162+(0.022032-0.189312))+0-0-0</f>
        <v>678.54588200000001</v>
      </c>
      <c r="AB335" s="3">
        <f>994.6+(49-405.9)+(-2.028984+(-0.09996--0.828036))+0-0-0</f>
        <v>636.399092</v>
      </c>
      <c r="AC335" s="3">
        <f>990.5+(23.7-426)+(-2.525775+(-0.060435--1.0863))+0-0-0</f>
        <v>586.70009000000005</v>
      </c>
      <c r="AD335">
        <v>682.40000000000009</v>
      </c>
      <c r="AE335" s="3">
        <f>1004+(94.4-416)+(0+(0-0))+0-0-0</f>
        <v>682.4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877.3+(29.6-393.1)+(-1.342269+(-0.045288--0.601443))+0-0-0</f>
        <v>513.01388599999996</v>
      </c>
      <c r="G336" s="3">
        <f>749.4+(48.3-335.2)+(-1.528776+(-0.098532--0.683808))+0-0-0</f>
        <v>461.55650000000003</v>
      </c>
      <c r="H336" s="3">
        <f>768.5+(54.5-376.4)+(0.78387+(0.05559-0.383928))+0-0-0</f>
        <v>447.05553200000003</v>
      </c>
      <c r="I336" s="3">
        <f>761.3+(62.3-389.2)+(-1.164789+(-0.095319--0.595476))+0-0-0</f>
        <v>433.73536799999999</v>
      </c>
      <c r="J336" s="3">
        <f>764.1+(71.3-400.5)+(-0.389691+(-0.036363--0.204255))+0-0-0</f>
        <v>434.67820100000006</v>
      </c>
      <c r="K336" s="3">
        <f>770.7+(86.6-412.3)+(0.786114+(0.088332-0.420546))+0-0-0</f>
        <v>445.45389999999998</v>
      </c>
      <c r="L336" s="3">
        <f>875.8+(79.9-509.9)+(0.446658+(0.040749-0.260049))+0-0-0</f>
        <v>446.02735799999994</v>
      </c>
      <c r="M336" s="3">
        <f>917.9+(84.1-534)+(0.468129+(0.042891-0.27234))+0-0-0</f>
        <v>468.23867999999999</v>
      </c>
      <c r="N336" s="3">
        <f>924.5+(86.2-501.9)+(-0.471495+(-0.043962--0.255969))+0-0-0</f>
        <v>508.54051200000004</v>
      </c>
      <c r="O336" s="3">
        <f>962.8+(112-521.2)+(-0.491028+(-0.05712--0.265812))+0-0-0</f>
        <v>553.31766399999992</v>
      </c>
      <c r="P336" s="3">
        <f>956+(117.2-512.6)+(0.48756+(0.059772-0.261426))+0-0-0</f>
        <v>560.88590599999986</v>
      </c>
      <c r="Q336" s="3">
        <f>966.2+(108.5-515.3)+(-0.985524+(-0.11067--0.525606))+0-0-0</f>
        <v>558.82941200000005</v>
      </c>
      <c r="R336" s="3">
        <f>994.5+(53.9-476.4)+(-2.02878+(-0.109956--0.971856))+0-0-0</f>
        <v>570.83312000000001</v>
      </c>
      <c r="S336" s="3">
        <f>997.8+(60-505.4)+(-1.526634+(-0.0918--0.773262))+0-0-0</f>
        <v>551.55482799999993</v>
      </c>
      <c r="T336" s="3">
        <f>1004.4+(65.5-519.2)+(0.512244+(0.033405-0.264792))+0-0-0</f>
        <v>550.9808569999999</v>
      </c>
      <c r="U336" s="3">
        <f>995.3+(66.9-510.2)+(-2.030412+(-0.136476--1.040808))+0-0-0</f>
        <v>550.87392</v>
      </c>
      <c r="V336" s="3">
        <f>1002+(78.6-521.6)+(0+(0-0))+0-0-0</f>
        <v>559</v>
      </c>
      <c r="W336" s="3">
        <f>1004+(95.7-514.7)+(-0.51204+(-0.048807--0.262497))+0-0-0</f>
        <v>584.70164999999997</v>
      </c>
      <c r="X336" s="3">
        <f>1009.8+(126.7-463.3)+(-0.514998+(-0.064617--0.236283))+0-0-0</f>
        <v>672.8566679999999</v>
      </c>
      <c r="Y336" s="3">
        <f>1013.4+(116.3-444.4)+(-1.550502+(-0.177939--0.679932))+0-0-0</f>
        <v>684.25149099999999</v>
      </c>
      <c r="Z336" s="3">
        <f>1005.9+(117.2-446.1)+(-2.565045+(-0.29886--1.137555))+0-0-0</f>
        <v>675.27364999999998</v>
      </c>
      <c r="AA336" s="3">
        <f>1015.6+(65.6-428.9)+(0.517956+(0.033456-0.218739))+0-0-0</f>
        <v>652.63267300000007</v>
      </c>
      <c r="AB336" s="3">
        <f>1004.4+(40-420.5)+(-2.048976+(-0.0816--0.85782))+0-0-0</f>
        <v>622.62724400000002</v>
      </c>
      <c r="AC336" s="3">
        <f>1003.4+(14.7-430)+(-2.046936+(-0.029988--0.8772))+0-0-0</f>
        <v>586.90027599999996</v>
      </c>
      <c r="AD336">
        <v>650.20000000000005</v>
      </c>
      <c r="AE336" s="3">
        <f>1016+(114.9-480.7)+(0+(0-0))+0-0-0</f>
        <v>650.20000000000005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999.7+(7.8-493.5)+(-2.039388+(-0.015912--1.00674))+0-0-0</f>
        <v>512.95144000000005</v>
      </c>
      <c r="G337" s="3">
        <f>865.1+(20.7-410.3)+(-1.323603+(-0.031671--0.627759))+0-0-0</f>
        <v>474.77248500000002</v>
      </c>
      <c r="H337" s="3">
        <f>809.8+(35.6-399.5)+(-0.825996+(-0.036312--0.40749))+0-0-0</f>
        <v>445.44518199999999</v>
      </c>
      <c r="I337" s="3">
        <f>810.3+(43.3-424.5)+(-0.826506+(-0.044166--0.43299))+0-0-0</f>
        <v>428.66231799999997</v>
      </c>
      <c r="J337" s="3">
        <f>822+(44.4-440.3)+(0.83844+(0.045288-0.449106))+0-0-0</f>
        <v>426.53462199999996</v>
      </c>
      <c r="K337" s="3">
        <f>826+(40.8-442.1)+(1.26378+(0.062424-0.676413))+0-0-0</f>
        <v>425.34979099999998</v>
      </c>
      <c r="L337" s="3">
        <f>956.1+(25.5-545.3)+(0.975222+(0.02601-0.556206))+0-0-0</f>
        <v>436.74502600000005</v>
      </c>
      <c r="M337" s="3">
        <f>1003.3+(12.7-537.9)+(-0.511683+(-0.006477--0.274329))+0-0-0</f>
        <v>477.85616900000002</v>
      </c>
      <c r="N337" s="3">
        <f>1008.8+(34.3-526.4)+(1.543464+(0.052479-0.805392))+0-0-0</f>
        <v>517.4905510000001</v>
      </c>
      <c r="O337" s="3">
        <f>1014.7+(32.7-479.3)+(1.034994+(0.033354-0.488886))+0-0-0</f>
        <v>568.67946200000006</v>
      </c>
      <c r="P337" s="3">
        <f>1006+(24.9-442.4)+(1.02612+(0.025398-0.451248))+0-0-0</f>
        <v>589.10027000000002</v>
      </c>
      <c r="Q337" s="3">
        <f>1008.8+(21.4-431.8)+(-0.514488+(-0.010914--0.220218))+0-0-0</f>
        <v>598.09481599999981</v>
      </c>
      <c r="R337" s="3">
        <f>1020.9+(24.6-464.3)+(-1.561977+(-0.037638--0.710379))+0-0-0</f>
        <v>580.31076400000006</v>
      </c>
      <c r="S337" s="3">
        <f>1006+(16.3-451.7)+(0.51306+(0.008313-0.230367))+0-0-0</f>
        <v>570.89100600000006</v>
      </c>
      <c r="T337" s="3">
        <f>1003.5+(12.8-469.8)+(-0.511785+(-0.006528--0.239598))+0-0-0</f>
        <v>546.22128499999997</v>
      </c>
      <c r="U337" s="3">
        <f>1001+(10.3-461.1)+(-2.04204+(-0.021012--0.940644))+0-0-0</f>
        <v>549.0775920000001</v>
      </c>
      <c r="V337" s="3">
        <f>1027.9+(16.2-507.7)+(0.524229+(0.008262-0.258927))+0-0-0</f>
        <v>536.67356400000006</v>
      </c>
      <c r="W337" s="3">
        <f>1021.1+(23.3-498.8)+(0+(0-0))+0-0-0</f>
        <v>545.6</v>
      </c>
      <c r="X337" s="3">
        <f>1021.5+(56.7-422.9)+(-1.04193+(-0.057834--0.431358))+0-0-0</f>
        <v>654.63159399999995</v>
      </c>
      <c r="Y337" s="3">
        <f>1022.6+(73.6-436.3)+(-3.650682+(-0.262752--1.557591))+0-0-0</f>
        <v>657.54415699999993</v>
      </c>
      <c r="Z337" s="3">
        <f>1032.2+(70.1-448.3)+(-2.105688+(-0.143004--0.914532))+0-0-0</f>
        <v>652.66584</v>
      </c>
      <c r="AA337" s="3">
        <f>1023.8+(47.3-438.7)+(-3.132828+(-0.144738--1.342422))+0-0-0</f>
        <v>630.46485599999994</v>
      </c>
      <c r="AB337" s="3">
        <f>884.4+(90.3-384.1)+(-0.902088+(-0.092106--0.391782))+0-0-0</f>
        <v>589.99758799999995</v>
      </c>
      <c r="AC337" s="3">
        <f>840.4+(65.4-362.7)+(-1.714416+(-0.133416--0.739908))+0-0-0</f>
        <v>541.992076</v>
      </c>
      <c r="AD337">
        <v>650.1</v>
      </c>
      <c r="AE337" s="3">
        <f>1016+(72.5-438.4)+(0+(0-0))+0-0-0</f>
        <v>650.1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853.4+(23.9-374.2)+(-1.305702+(-0.036567--0.572526))+0-0-0</f>
        <v>502.33025699999996</v>
      </c>
      <c r="G338" s="3">
        <f>862.2+(21.3-417.7)+(-0.439722+(-0.010863--0.213027))+0-0-0</f>
        <v>465.56244200000009</v>
      </c>
      <c r="H338" s="3">
        <f>850.9+(32.4-439.3)+(-2.169795+(-0.08262--1.120215))+0-0-0</f>
        <v>442.86779999999993</v>
      </c>
      <c r="I338" s="3">
        <f>832+(36.5-432.1)+(-0.84864+(-0.03723--0.440742))+0-0-0</f>
        <v>435.95487199999997</v>
      </c>
      <c r="J338" s="3">
        <f>826.8+(36.6-425.1)+(-1.686672+(-0.074664--0.867204))+0-0-0</f>
        <v>437.40586799999994</v>
      </c>
      <c r="K338" s="3">
        <f>835.9+(31.8-427.1)+(0+(0-0))+0-0-0</f>
        <v>440.59999999999997</v>
      </c>
      <c r="L338" s="3">
        <f>871+(17.3-442.1)+(-1.77684+(-0.035292--0.901884))+0-0-0</f>
        <v>445.28975199999996</v>
      </c>
      <c r="M338" s="3">
        <f>1002.5+(9.2-531.1)+(-0.511275+(-0.004692--0.270861))+0-0-0</f>
        <v>480.354894</v>
      </c>
      <c r="N338" s="3">
        <f>1015.9+(33.4-509.6)+(2.072436+(0.068136-1.039584))+0-0-0</f>
        <v>540.80098799999996</v>
      </c>
      <c r="O338" s="3">
        <f>1007.3+(30.6-465.3)+(0.513723+(0.015606-0.237303))+0-0-0</f>
        <v>572.89202599999987</v>
      </c>
      <c r="P338" s="3">
        <f>996.6+(40.9-437.9)+(0+(0-0))+0-0-0</f>
        <v>599.6</v>
      </c>
      <c r="Q338" s="3">
        <f>986.1+(40.1-426.1)+(-2.011644+(-0.081804--0.869244))+0-0-0</f>
        <v>598.87579600000004</v>
      </c>
      <c r="R338" s="3">
        <f>985.3+(29.9-463.1)+(-2.512515+(-0.076245--1.180905))+0-0-0</f>
        <v>550.69214499999987</v>
      </c>
      <c r="S338" s="3">
        <f>988.9+(16.6-464.2)+(-1.513017+(-0.025398--0.710226))+0-0-0</f>
        <v>540.471811</v>
      </c>
      <c r="T338" s="3">
        <f>980.1+(17.7-475.6)+(-1.499553+(-0.027081--0.727668))+0-0-0</f>
        <v>521.4010340000001</v>
      </c>
      <c r="U338" s="3">
        <f>1005+(14.2-515.5)+(-1.53765+(-0.021726--0.788715))+0-0-0</f>
        <v>502.92933899999997</v>
      </c>
      <c r="V338" s="3">
        <f>1062.6+(12.5-577.9)+(1.083852+(0.01275-0.589458))+0-0-0</f>
        <v>497.70714399999991</v>
      </c>
      <c r="W338" s="3">
        <f>1008.7+(40.1-533.9)+(0.514437+(0.020451-0.272289))+0-0-0</f>
        <v>515.16259900000011</v>
      </c>
      <c r="X338" s="3">
        <f>1014.2+(41.3-423.2)+(0+(0-0))+0-0-0</f>
        <v>632.30000000000007</v>
      </c>
      <c r="Y338" s="3">
        <f>1022.2+(60.1-411.9)+(-2.60661+(-0.153255--1.050345))+0-0-0</f>
        <v>668.69048000000009</v>
      </c>
      <c r="Z338" s="3">
        <f>870.4+(109.4-313.7)+(0+(0-0))+0-0-0</f>
        <v>666.1</v>
      </c>
      <c r="AA338" s="3">
        <f>848.9+(113.2-302.2)+(-1.298817+(-0.173196--0.462366))+0-0-0</f>
        <v>658.890353</v>
      </c>
      <c r="AB338" s="3">
        <f>857.1+(101.4-334.9)+(-1.311363+(-0.155142--0.512397))+0-0-0</f>
        <v>622.645892</v>
      </c>
      <c r="AC338" s="3">
        <f>857.5+(80-371.3)+(-0.87465+(-0.0816--0.378726))+0-0-0</f>
        <v>565.62247600000001</v>
      </c>
      <c r="AD338">
        <v>669.99999999999989</v>
      </c>
      <c r="AE338" s="3">
        <f>1015+(53.6-398.6)+(0+(0-0))+0-0-0</f>
        <v>670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853.8+(68.2-395)+(-1.306314+(-0.104346--0.60435))+0-0-0</f>
        <v>526.19368999999995</v>
      </c>
      <c r="G339" s="3">
        <f>860.2+(96.2-472.7)+(0+(0-0))+0-0-0</f>
        <v>483.70000000000005</v>
      </c>
      <c r="H339" s="3">
        <f>850.6+(74-463.8)+(-1.301418+(-0.11322--0.709614))+0-0-0</f>
        <v>460.09497600000003</v>
      </c>
      <c r="I339" s="3">
        <f>857.1+(60.8-462.8)+(0.437121+(0.031008-0.236028))+0-0-0</f>
        <v>455.33210100000002</v>
      </c>
      <c r="J339" s="3">
        <f>846.3+(63.1-457.3)+(-0.431613+(-0.032181--0.233223))+0-0-0</f>
        <v>451.86942899999997</v>
      </c>
      <c r="K339" s="3">
        <f>845.2+(60.8-451)+(1.293156+(0.093024-0.69003))+0-0-0</f>
        <v>455.69615000000005</v>
      </c>
      <c r="L339" s="3">
        <f>839+(48.6-423.3)+(-0.42789+(-0.024786--0.215883))+0-0-0</f>
        <v>464.06320700000003</v>
      </c>
      <c r="M339" s="3">
        <f>928.4+(35.5-484.4)+(0.473484+(0.018105-0.247044))+0-0-0</f>
        <v>479.74454500000002</v>
      </c>
      <c r="N339" s="3">
        <f>947.3+(48.1-459.9)+(-0.483123+(-0.024531--0.234549))+0-0-0</f>
        <v>535.22689500000001</v>
      </c>
      <c r="O339" s="3">
        <f>954.1+(49-436.4)+(-0.486591+(-0.02499--0.222564))+0-0-0</f>
        <v>566.4109830000001</v>
      </c>
      <c r="P339" s="3">
        <f>958.9+(46.1-408.9)+(0+(0-0))+0-0-0</f>
        <v>596.1</v>
      </c>
      <c r="Q339" s="3">
        <f>952.9+(41.8-400.3)+(-0.971958+(-0.042636--0.408306))+0-0-0</f>
        <v>593.79371200000003</v>
      </c>
      <c r="R339" s="3">
        <f>871.5+(40.5-321.8)+(-1.77786+(-0.08262--0.656472))+0-0-0</f>
        <v>588.995992</v>
      </c>
      <c r="S339" s="3">
        <f>820.2+(51.6-286.2)+(-1.254906+(-0.078948--0.437886))+0-0-0</f>
        <v>584.70403199999998</v>
      </c>
      <c r="T339" s="3">
        <f>828.4+(35.3-306.9)+(-1.689936+(-0.072012--0.626076))+0-0-0</f>
        <v>555.66412800000001</v>
      </c>
      <c r="U339" s="3">
        <f>802.6+(42.3-314.9)+(-1.227978+(-0.064719--0.481797))+0-0-0</f>
        <v>529.18910000000005</v>
      </c>
      <c r="V339" s="3">
        <f>833+(34.7-340.2)+(-0.84966+(-0.035394--0.347004))+0-0-0</f>
        <v>526.96195</v>
      </c>
      <c r="W339" s="3">
        <f>899.3+(25.6-359.8)+(-0.917286+(-0.026112--0.366996))+0-0-0</f>
        <v>564.52359799999988</v>
      </c>
      <c r="X339" s="3">
        <f>1020.9+(39.4-381.4)+(-1.561977+(-0.060282--0.583542))+0-0-0</f>
        <v>677.86128299999996</v>
      </c>
      <c r="Y339" s="3">
        <f>1028+(53.1-384.9)+(-1.04856+(-0.054162--0.392598))+0-0-0</f>
        <v>695.48987600000009</v>
      </c>
      <c r="Z339" s="3">
        <f>924.4+(78.4-309.4)+(-2.828664+(-0.239904--0.946764))+0-0-0</f>
        <v>691.27819599999998</v>
      </c>
      <c r="AA339" s="3">
        <f>848.4+(110.5-285.2)+(-0.865368+(-0.11271--0.290904))+0-0-0</f>
        <v>673.01282600000002</v>
      </c>
      <c r="AB339" s="3">
        <f>837.7+(102.2-297.8)+(-2.136135+(-0.26061--0.75939))+0-0-0</f>
        <v>640.46264500000007</v>
      </c>
      <c r="AC339" s="3">
        <f>845.9+(80.5-339.4)+(-1.725636+(-0.16422--0.692376))+0-0-0</f>
        <v>585.80251999999996</v>
      </c>
      <c r="AD339">
        <v>664</v>
      </c>
      <c r="AE339" s="3">
        <f>1017+(53.5-406.5)+(0+(0-0))+0-0-0</f>
        <v>664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843.9+(78-395.2)+(-0.860778+(-0.07956--0.403104))+0-0-0</f>
        <v>526.16276600000003</v>
      </c>
      <c r="G340" s="3">
        <f>845.6+(64.2-420.6)+(0+(0-0))+0-0-0</f>
        <v>489.2</v>
      </c>
      <c r="H340" s="3">
        <f>842.3+(48.6-418.9)+(-0.429573+(-0.024786--0.213639))+0-0-0</f>
        <v>471.75927999999999</v>
      </c>
      <c r="I340" s="3">
        <f>850.3+(28.3-417.1)+(1.734612+(0.057732-0.850884))+0-0-0</f>
        <v>462.44145999999995</v>
      </c>
      <c r="J340" s="3">
        <f>856.1+(29-422.6)+(1.309833+(0.04437-0.646578))+0-0-0</f>
        <v>463.20762500000001</v>
      </c>
      <c r="K340" s="3">
        <f>871.5+(58.7-463.2)+(2.222325+(0.149685-1.18116))+0-0-0</f>
        <v>468.19085000000001</v>
      </c>
      <c r="L340" s="3">
        <f>846.1+(58.1-435.7)+(-0.431511+(-0.029631--0.222207))+0-0-0</f>
        <v>468.26106500000003</v>
      </c>
      <c r="M340" s="3">
        <f>950.6+(42.6-519.7)+(0+(0-0))+0-0-0</f>
        <v>473.5</v>
      </c>
      <c r="N340" s="3">
        <f>1018.3+(36.6-524.2)+(2.077332+(0.074664-1.069368))+0-0-0</f>
        <v>531.78262799999993</v>
      </c>
      <c r="O340" s="3">
        <f>1028.4+(24.2-490.5)+(1.048968+(0.024684-0.50031))+0-0-0</f>
        <v>562.67334200000016</v>
      </c>
      <c r="P340" s="3">
        <f>1136.8+(19-570.3)+(0+(0-0))+0-0-0</f>
        <v>585.5</v>
      </c>
      <c r="Q340" s="3">
        <f>1122+(26.6-554.1)+(1.71666+(0.040698-0.847773))+0-0-0</f>
        <v>595.40958499999999</v>
      </c>
      <c r="R340" s="3">
        <f>1057.8+(28.3-538.4)+(-3.236868+(-0.086598--1.647504))+0-0-0</f>
        <v>546.02403800000002</v>
      </c>
      <c r="S340" s="3">
        <f>1071.6+(32.8-567.8)+(-3.279096+(-0.100368--1.737468))+0-0-0</f>
        <v>534.95800399999996</v>
      </c>
      <c r="T340" s="3">
        <f>1049.6+(42.6-571.9)+(-1.070592+(-0.043452--0.583338))+0-0-0</f>
        <v>519.76929399999995</v>
      </c>
      <c r="U340" s="3">
        <f>1037+(49.3-575.9)+(-2.64435+(-0.125715--1.468545))+0-0-0</f>
        <v>509.09848</v>
      </c>
      <c r="V340" s="3">
        <f>1049.9+(43.6-572.9)+(-1.070898+(-0.044472--0.584358))+0-0-0</f>
        <v>520.0689880000001</v>
      </c>
      <c r="W340" s="3">
        <f>1072.9+(48.9-579.9)+(0+(0-0))+0-0-0</f>
        <v>541.90000000000009</v>
      </c>
      <c r="X340" s="3">
        <f>1135.1+(46.9-534.6)+(0+(0-0))+0-0-0</f>
        <v>647.39999999999986</v>
      </c>
      <c r="Y340" s="3">
        <f>1154.4+(23.5-507)+(-1.177488+(-0.02397--0.51714))+0-0-0</f>
        <v>670.21568200000013</v>
      </c>
      <c r="Z340" s="3">
        <f>1063.8+(34.4-439.2)+(-2.170152+(-0.070176--0.895968))+0-0-0</f>
        <v>657.65563999999995</v>
      </c>
      <c r="AA340" s="3">
        <f>976.9+(64-408.9)+(0+(0-0))+0-0-0</f>
        <v>632</v>
      </c>
      <c r="AB340" s="3">
        <f>965.1+(62.8-435.9)+(-1.968804+(-0.128112--0.889236))+0-0-0</f>
        <v>590.79232000000002</v>
      </c>
      <c r="AC340" s="3">
        <f>971.9+(74.8-486)+(-0.991338+(-0.076296--0.49572))+0-0-0</f>
        <v>560.12808600000005</v>
      </c>
      <c r="AD340">
        <v>661.99999999999989</v>
      </c>
      <c r="AE340" s="3">
        <f>1151+(39.1-528.1)+(0+(0-0))+0-0-0</f>
        <v>662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997+(43-525.3)+(-1.01694+(-0.04386--0.535806))+0-0-0</f>
        <v>514.17500600000005</v>
      </c>
      <c r="G341" s="3">
        <f>1041.1+(9.1-589.6)+(-0.530961+(-0.004641--0.300696))+0-0-0</f>
        <v>460.36509399999989</v>
      </c>
      <c r="H341" s="3">
        <f>1048.3+(4.5-614.7)+(1.603899+(0.006885-0.940491))+0-0-0</f>
        <v>438.77029299999992</v>
      </c>
      <c r="I341" s="3">
        <f>1038.3+(6.7-613)+(-1.588599+(-0.010251--0.93789))+0-0-0</f>
        <v>431.33904000000001</v>
      </c>
      <c r="J341" s="3">
        <f>963.3+(20.7-555.5)+(-0.491283+(-0.010557--0.283305))+0-0-0</f>
        <v>428.28146500000003</v>
      </c>
      <c r="K341" s="3">
        <f>944.1+(27.7-541)+(0+(0-0))+0-0-0</f>
        <v>430.80000000000007</v>
      </c>
      <c r="L341" s="3">
        <f>940.6+(38.3-551.6)+(-1.918824+(-0.078132--1.125264))+0-0-0</f>
        <v>426.42830799999996</v>
      </c>
      <c r="M341" s="3">
        <f>939.9+(41.9-574.7)+(-0.479349+(-0.021369--0.293097))+0-0-0</f>
        <v>406.89237899999989</v>
      </c>
      <c r="N341" s="3">
        <f>931.1+(41.5-530.7)+(-0.474861+(-0.021165--0.270657))+0-0-0</f>
        <v>441.67463099999998</v>
      </c>
      <c r="O341" s="3">
        <f>918.1+(38.4-476.1)+(0+(0-0))+0-0-0</f>
        <v>480.4</v>
      </c>
      <c r="P341" s="3">
        <f>936.9+(31.4-464)+(0.477819+(0.016014-0.23664))+0-0-0</f>
        <v>504.55719299999993</v>
      </c>
      <c r="Q341" s="3">
        <f>942.8+(38.4-468.7)+(-1.923312+(-0.078336--0.956148))+0-0-0</f>
        <v>511.4545</v>
      </c>
      <c r="R341" s="3">
        <f>950.1+(27.6-471.9)+(-1.453653+(-0.042228--0.722007))+0-0-0</f>
        <v>505.02612600000009</v>
      </c>
      <c r="S341" s="3">
        <f>950.5+(33.3-504.9)+(-1.454265+(-0.050949--0.772497))+0-0-0</f>
        <v>478.16728300000005</v>
      </c>
      <c r="T341" s="3">
        <f>1000.3+(26.2-567.6)+(-1.530459+(-0.040086--0.868428))+0-0-0</f>
        <v>458.19788299999999</v>
      </c>
      <c r="U341" s="3">
        <f>963+(29.5-558.4)+(-0.98226+(-0.03009--0.569568))+0-0-0</f>
        <v>433.657218</v>
      </c>
      <c r="V341" s="3">
        <f>951.1+(22.7-540.3)+(0+(0-0))+0-0-0</f>
        <v>433.50000000000011</v>
      </c>
      <c r="W341" s="3">
        <f>944+(30.3-501)+(-0.96288+(-0.030906--0.51102))+0-0-0</f>
        <v>472.81723399999998</v>
      </c>
      <c r="X341" s="3">
        <f>1160.8+(38.4-622.9)+(0+(0-0))+0-0-0</f>
        <v>576.29999999999995</v>
      </c>
      <c r="Y341" s="3">
        <f>1200+(30.1-613.1)+(0+(0-0))+0-0-0</f>
        <v>617</v>
      </c>
      <c r="Z341" s="3">
        <f>1195+(30.5-600)+(-0.60945+(-0.015555--0.306))+0-0-0</f>
        <v>625.18099500000005</v>
      </c>
      <c r="AA341" s="3">
        <f>1195.3+(28.2-608.3)+(0+(0-0))+0-0-0</f>
        <v>615.20000000000005</v>
      </c>
      <c r="AB341" s="3">
        <f>1129+(17-566.5)+(-2.87895+(-0.04335--1.444575))+0-0-0</f>
        <v>578.02227500000004</v>
      </c>
      <c r="AC341" s="3">
        <f>1063.2+(14.3-540.8)+(-2.168928+(-0.029172--1.103232))+0-0-0</f>
        <v>535.60513200000003</v>
      </c>
      <c r="AD341">
        <v>600.19999999999993</v>
      </c>
      <c r="AE341" s="3">
        <f>1184+(33.1-616.9)+(0+(0-0))+0-0-0</f>
        <v>600.20000000000005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948.5+(25.2-479.7)+(0+(0-0))+0-0-0</f>
        <v>494</v>
      </c>
      <c r="G342" s="3">
        <f>782.7+(47.8-385.2)+(0.399177+(0.024378-0.196452))+0-0-0</f>
        <v>445.52710300000007</v>
      </c>
      <c r="H342" s="3">
        <f>777.2+(37.6-389)+(0+(0-0))+0-0-0</f>
        <v>425.80000000000007</v>
      </c>
      <c r="I342" s="3">
        <f>777.1+(35.2-387.6)+(-0.396321+(-0.017952--0.197676))+0-0-0</f>
        <v>424.48340300000001</v>
      </c>
      <c r="J342" s="3">
        <f>776.7+(38.3-393)+(-0.396117+(-0.019533--0.20043))+0-0-0</f>
        <v>421.78478000000007</v>
      </c>
      <c r="K342" s="3">
        <f>786.6+(43-401.5)+(1.604664+(0.08772-0.81906))+0-0-0</f>
        <v>428.97332400000005</v>
      </c>
      <c r="L342" s="3">
        <f>787.6+(104.7-444.9)+(0.803352+(0.106794-0.453798))+0-0-0</f>
        <v>447.85634800000003</v>
      </c>
      <c r="M342" s="3">
        <f>786.9+(124.9-433)+(0.401319+(0.063699-0.22083))+0-0-0</f>
        <v>479.04418799999996</v>
      </c>
      <c r="N342" s="3">
        <f>927.6+(74.5-475.3)+(0+(0-0))+0-0-0</f>
        <v>526.79999999999995</v>
      </c>
      <c r="O342" s="3">
        <f>975.1+(54-455.5)+(0+(0-0))+0-0-0</f>
        <v>573.6</v>
      </c>
      <c r="P342" s="3">
        <f>974+(53.7-433.7)+(0.49674+(0.027387-0.221187))+0-0-0</f>
        <v>594.30294000000004</v>
      </c>
      <c r="Q342" s="3">
        <f>977.8+(55.7-428.9)+(-1.496034+(-0.085221--0.656217))+0-0-0</f>
        <v>603.67496199999994</v>
      </c>
      <c r="R342" s="3">
        <f>969.6+(49.2-434.1)+(-1.483488+(-0.075276--0.664173))+0-0-0</f>
        <v>583.80540900000005</v>
      </c>
      <c r="S342" s="3">
        <f>987+(50.3-478.2)+(-1.00674+(-0.051306--0.487764))+0-0-0</f>
        <v>558.529718</v>
      </c>
      <c r="T342" s="3">
        <f>987.9+(53.6-491.4)+(0.503829+(0.027336-0.250614))+0-0-0</f>
        <v>550.38055099999997</v>
      </c>
      <c r="U342" s="3">
        <f>987+(51.8-496)+(0+(0-0))+0-0-0</f>
        <v>542.79999999999995</v>
      </c>
      <c r="V342" s="3">
        <f>989.2+(58.1-500.7)+(-0.504492+(-0.029631--0.255357))+0-0-0</f>
        <v>546.32123400000012</v>
      </c>
      <c r="W342" s="3">
        <f>987.4+(66.6-488.8)+(0+(0-0))+0-0-0</f>
        <v>565.19999999999993</v>
      </c>
      <c r="X342" s="3">
        <f>993.3+(78.7-397.5)+(0+(0-0))+0-0-0</f>
        <v>674.5</v>
      </c>
      <c r="Y342" s="3">
        <f>999+(54.6-369.5)+(-2.03796+(-0.111384--0.75378))+0-0-0</f>
        <v>682.70443599999999</v>
      </c>
      <c r="Z342" s="3">
        <f>999+(82.8-405.6)+(0.50949+(0.042228-0.206856))+0-0-0</f>
        <v>676.54486200000008</v>
      </c>
      <c r="AA342" s="3">
        <f>982.4+(91.1-415.7)+(-1.503072+(-0.139383--0.636021))+0-0-0</f>
        <v>656.79356599999994</v>
      </c>
      <c r="AB342" s="3">
        <f>972.3+(85.9-447.3)+(-3.471111+(-0.306663--1.596861))+0-0-0</f>
        <v>608.71908699999994</v>
      </c>
      <c r="AC342" s="3">
        <f>979.1+(61.9-482.3)+(-2.996046+(-0.189414--1.475838))+0-0-0</f>
        <v>556.99037800000008</v>
      </c>
      <c r="AD342">
        <v>689</v>
      </c>
      <c r="AE342" s="3">
        <f>996+(63.3-370.3)+(0+(0-0))+0-0-0</f>
        <v>689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986.4+(25.8-486)+(0+(0-0))+0-0-0</f>
        <v>526.20000000000005</v>
      </c>
      <c r="G343" s="3">
        <f>976.5+(21.5-510.7)+(-1.99206+(-0.04386--1.041828))+0-0-0</f>
        <v>486.30590799999999</v>
      </c>
      <c r="H343" s="3">
        <f>983.6+(14.6-527.9)+(0.501636+(0.007446-0.269229))+0-0-0</f>
        <v>470.53985300000005</v>
      </c>
      <c r="I343" s="3">
        <f>899.1+(16.9-453.9)+(-1.375623+(-0.025857--0.694467))+0-0-0</f>
        <v>461.39298700000001</v>
      </c>
      <c r="J343" s="3">
        <f>823.7+(26.1-388.1)+(1.260261+(0.039933-0.593793))+0-0-0</f>
        <v>462.40640100000007</v>
      </c>
      <c r="K343" s="3">
        <f>824.8+(24.3-390.5)+(1.682592+(0.049572-0.79662))+0-0-0</f>
        <v>459.53554399999996</v>
      </c>
      <c r="L343" s="3">
        <f>817.2+(40.6-383.2)+(0+(0-0))+0-0-0</f>
        <v>474.60000000000008</v>
      </c>
      <c r="M343" s="3">
        <f>813.1+(67-384.6)+(-0.414681+(-0.03417--0.196146))+0-0-0</f>
        <v>495.24729500000001</v>
      </c>
      <c r="N343" s="3">
        <f>810.3+(89.9-351.3)+(-0.826506+(-0.091698--0.358326))+0-0-0</f>
        <v>548.34012199999995</v>
      </c>
      <c r="O343" s="3">
        <f>810.9+(107.3-330)+(-0.827118+(-0.109446--0.3366))+0-0-0</f>
        <v>587.60003600000005</v>
      </c>
      <c r="P343" s="3">
        <f>806.9+(100.3-303.3)+(-2.057595+(-0.255765--0.773415))+0-0-0</f>
        <v>602.36005499999999</v>
      </c>
      <c r="Q343" s="3">
        <f>820.3+(92.1-308.4)+(0+(0-0))+0-0-0</f>
        <v>604</v>
      </c>
      <c r="R343" s="3">
        <f>821.3+(83.1-343.7)+(-0.418863+(-0.042381--0.175287))+0-0-0</f>
        <v>560.41404299999988</v>
      </c>
      <c r="S343" s="3">
        <f>816.4+(84.9-363.8)+(-0.832728+(-0.086598--0.371076))+0-0-0</f>
        <v>536.95174999999995</v>
      </c>
      <c r="T343" s="3">
        <f>821.5+(51.8-342.6)+(0+(0-0))+0-0-0</f>
        <v>530.70000000000005</v>
      </c>
      <c r="U343" s="3">
        <f>849.9+(56.9-382.4)+(-0.433449+(-0.029019--0.195024))+0-0-0</f>
        <v>524.13255600000002</v>
      </c>
      <c r="V343" s="3">
        <f>978.8+(71.7-518.4)+(-1.497564+(-0.109701--0.793152))+0-0-0</f>
        <v>531.28588699999989</v>
      </c>
      <c r="W343" s="3">
        <f>981.1+(70.5-500)+(-1.000722+(-0.07191--0.51))+0-0-0</f>
        <v>551.03736800000001</v>
      </c>
      <c r="X343" s="3">
        <f>984.3+(73.7-392.5)+(-1.505979+(-0.112761--0.600525))+0-0-0</f>
        <v>664.48178499999995</v>
      </c>
      <c r="Y343" s="3">
        <f>983.1+(90.5-388.4)+(-1.002762+(-0.09231--0.396168))+0-0-0</f>
        <v>684.50109600000008</v>
      </c>
      <c r="Z343" s="3">
        <f>996.3+(90.8-407.5)+(0+(0-0))+0-0-0</f>
        <v>679.59999999999991</v>
      </c>
      <c r="AA343" s="3">
        <f>987+(81.3-408.5)+(-1.00674+(-0.082926--0.41667))+0-0-0</f>
        <v>659.12700399999994</v>
      </c>
      <c r="AB343" s="3">
        <f>978.1+(100.2-462.6)+(-2.494155+(-0.25551--1.17963))+0-0-0</f>
        <v>614.12996500000008</v>
      </c>
      <c r="AC343" s="3">
        <f>982.3+(82.6-504.4)+(-1.001946+(-0.084252--0.514488))+0-0-0</f>
        <v>559.92828999999995</v>
      </c>
      <c r="AD343">
        <v>676.49999999999989</v>
      </c>
      <c r="AE343" s="3">
        <f>976+(90.1-389.6)+(0+(0-0))+0-0-0</f>
        <v>676.5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976.7+(31.3-496.5)+(-1.494351+(-0.047889--0.759645))+0-0-0</f>
        <v>510.71740500000004</v>
      </c>
      <c r="G344" s="3">
        <f>981.7+(29.8-544.5)+(-0.500667+(-0.015198--0.277695))+0-0-0</f>
        <v>466.76182999999997</v>
      </c>
      <c r="H344" s="3">
        <f>852.4+(41.8-447.5)+(0.869448+(0.042636-0.45645))+0-0-0</f>
        <v>447.15563399999996</v>
      </c>
      <c r="I344" s="3">
        <f>840.8+(18.8-427.4)+(0+(0-0))+0-0-0</f>
        <v>432.2</v>
      </c>
      <c r="J344" s="3">
        <f>837.4+(16.1-422.3)+(-0.854148+(-0.016422--0.430746))+0-0-0</f>
        <v>430.760176</v>
      </c>
      <c r="K344" s="3">
        <f>857+(37.2-457.6)+(-0.43707+(-0.018972--0.233376))+0-0-0</f>
        <v>436.37733399999996</v>
      </c>
      <c r="L344" s="3">
        <f>982.6+(33.9-562.8)+(-2.50563+(-0.086445--1.43514))+0-0-0</f>
        <v>452.54306500000007</v>
      </c>
      <c r="M344" s="3">
        <f>1000.1+(31.7-551.8)+(1.020102+(0.032334-0.562836))+0-0-0</f>
        <v>480.48960000000011</v>
      </c>
      <c r="N344" s="3">
        <f>1000.2+(20.8-486.6)+(1.530306+(0.031824-0.744498))+0-0-0</f>
        <v>535.21763200000009</v>
      </c>
      <c r="O344" s="3">
        <f>979.5+(58-479.2)+(-2.497725+(-0.1479--1.22196))+0-0-0</f>
        <v>556.87633499999993</v>
      </c>
      <c r="P344" s="3">
        <f>995.5+(62.2-482.8)+(1.01541+(0.063444-0.492456))+0-0-0</f>
        <v>575.48639800000001</v>
      </c>
      <c r="Q344" s="3">
        <f>987.1+(69.5-471.7)+(-1.006842+(-0.07089--0.481134))+0-0-0</f>
        <v>584.30340200000012</v>
      </c>
      <c r="R344" s="3">
        <f>989.2+(56.9-462.5)+(-0.504492+(-0.029019--0.235875))+0-0-0</f>
        <v>583.30236400000001</v>
      </c>
      <c r="S344" s="3">
        <f>861.8+(109-394.1)+(-0.879036+(-0.11118--0.401982))+0-0-0</f>
        <v>576.11176599999988</v>
      </c>
      <c r="T344" s="3">
        <f>826.2+(61.9-350.2)+(-0.421362+(-0.031569--0.178602))+0-0-0</f>
        <v>537.62567100000012</v>
      </c>
      <c r="U344" s="3">
        <f>807+(45.6-317.5)+(-1.64628+(-0.093024--0.6477))+0-0-0</f>
        <v>534.00839600000006</v>
      </c>
      <c r="V344" s="3">
        <f>813.6+(52-317.9)+(-0.414936+(-0.02652--0.162129))+0-0-0</f>
        <v>547.42067300000008</v>
      </c>
      <c r="W344" s="3">
        <f>841.2+(38-326.6)+(-1.716048+(-0.07752--0.666264))+0-0-0</f>
        <v>551.47269600000004</v>
      </c>
      <c r="X344" s="3">
        <f>995.8+(62.2-372.9)+(-0.507858+(-0.031722--0.190179))+0-0-0</f>
        <v>684.75059899999997</v>
      </c>
      <c r="Y344" s="3">
        <f>992.9+(83.1-360.3)+(-2.531895+(-0.211905--0.918765))+0-0-0</f>
        <v>713.87496499999997</v>
      </c>
      <c r="Z344" s="3">
        <f>992.4+(97.1-389.9)+(-1.518372+(-0.148563--0.596547))+0-0-0</f>
        <v>698.52961200000004</v>
      </c>
      <c r="AA344" s="3">
        <f>983.5+(117.1-411.3)+(-0.501585+(-0.059721--0.209763))+0-0-0</f>
        <v>688.94845699999996</v>
      </c>
      <c r="AB344" s="3">
        <f>986.8+(134.2-474)+(-0.503268+(-0.068442--0.24174))+0-0-0</f>
        <v>646.67003</v>
      </c>
      <c r="AC344" s="3">
        <f>988.4+(75.3-478)+(0+(0-0))+0-0-0</f>
        <v>585.70000000000005</v>
      </c>
      <c r="AD344">
        <v>686.09999999999991</v>
      </c>
      <c r="AE344" s="3">
        <f>1000+(84.6-398.5)+(0+(0-0))+0-0-0</f>
        <v>686.1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922.3+(32.7-450.1)+(-2.351865+(-0.083385--1.147755))+0-0-0</f>
        <v>503.61250499999994</v>
      </c>
      <c r="G345" s="3">
        <f>930.5+(22.6-489)+(-1.423665+(-0.034578--0.74817))+0-0-0</f>
        <v>463.389927</v>
      </c>
      <c r="H345" s="3">
        <f>887.8+(29.6-477.6)+(-0.905556+(-0.030192--0.487152))+0-0-0</f>
        <v>439.35140399999995</v>
      </c>
      <c r="I345" s="3">
        <f>800.7+(36.6-406)+(-1.225071+(-0.055998--0.62118))+0-0-0</f>
        <v>430.64011100000005</v>
      </c>
      <c r="J345" s="3">
        <f>804.1+(29.5-407.3)+(0.820182+(0.03009-0.415446))+0-0-0</f>
        <v>426.734826</v>
      </c>
      <c r="K345" s="3">
        <f>802.2+(24.9-402.3)+(0.409122+(0.012699-0.205173))+0-0-0</f>
        <v>425.01664800000003</v>
      </c>
      <c r="L345" s="3">
        <f>770.8+(51.2-398.6)+(0.393108+(0.026112-0.203286))+0-0-0</f>
        <v>423.61593399999992</v>
      </c>
      <c r="M345" s="3">
        <f>753+(93.7-381)+(0.38403+(0.047787-0.19431))+0-0-0</f>
        <v>465.93750699999998</v>
      </c>
      <c r="N345" s="3">
        <f>781.2+(82.1-357.5)+(0.796824+(0.083742-0.36465))+0-0-0</f>
        <v>506.31591600000007</v>
      </c>
      <c r="O345" s="3">
        <f>779.1+(155.4-391)+(0.794682+(0.158508-0.39882))+0-0-0</f>
        <v>544.05436999999995</v>
      </c>
      <c r="P345" s="3">
        <f>767.8+(149.7-369.5)+(-1.174734+(-0.229041--0.565335))+0-0-0</f>
        <v>547.16156000000001</v>
      </c>
      <c r="Q345" s="3">
        <f>773.5+(151.2-371.8)+(-0.78897+(-0.154224--0.379236))+0-0-0</f>
        <v>552.33604200000002</v>
      </c>
      <c r="R345" s="3">
        <f>765.9+(122.3-348.1)+(-1.953045+(-0.311865--0.887655))+0-0-0</f>
        <v>538.72274499999992</v>
      </c>
      <c r="S345" s="3">
        <f>778.3+(122.1-370.6)+(0.793866+(0.124542-0.378012))+0-0-0</f>
        <v>530.34039599999994</v>
      </c>
      <c r="T345" s="3">
        <f>774.1+(69.1-322.2)+(-0.789582+(-0.070482--0.328644))+0-0-0</f>
        <v>520.46857999999997</v>
      </c>
      <c r="U345" s="3">
        <f>779.2+(78.2-332.9)+(1.589568+(0.159528-0.679116))+0-0-0</f>
        <v>525.56997999999999</v>
      </c>
      <c r="V345" s="3">
        <f>774.9+(72.9-311.9)+(-0.790398+(-0.074358--0.318138))+0-0-0</f>
        <v>535.35338200000001</v>
      </c>
      <c r="W345" s="3">
        <f>776.2+(67.5-307.1)+(0.395862+(0.034425-0.156621))+0-0-0</f>
        <v>536.87366600000007</v>
      </c>
      <c r="X345" s="3">
        <f>797.9+(119.1-254.1)+(0.813858+(0.121482-0.259182))+0-0-0</f>
        <v>663.57615799999996</v>
      </c>
      <c r="Y345" s="3">
        <f>800.8+(155.9-262.8)+(0.408408+(0.079509-0.134028))+0-0-0</f>
        <v>694.25388899999996</v>
      </c>
      <c r="Z345" s="3">
        <f>790.7+(151.5-260.1)+(-0.806514+(-0.15453--0.265302))+0-0-0</f>
        <v>681.40425800000003</v>
      </c>
      <c r="AA345" s="3">
        <f>793.1+(137.9-274.2)+(-0.808962+(-0.140658--0.279684))+0-0-0</f>
        <v>656.13006400000006</v>
      </c>
      <c r="AB345" s="3">
        <f>793+(135.9-315)+(-1.21329+(-0.207927--0.48195))+0-0-0</f>
        <v>612.960733</v>
      </c>
      <c r="AC345" s="3">
        <f>785.5+(93-320.7)+(-1.201815+(-0.14229--0.490671))+0-0-0</f>
        <v>556.94656599999996</v>
      </c>
      <c r="AD345">
        <v>687.7</v>
      </c>
      <c r="AE345" s="3">
        <f>799+(143.1-254.4)+(0+(0-0))+0-0-0</f>
        <v>687.7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787.8+(51-338)+(0+(0-0))+0-0-0</f>
        <v>500.79999999999995</v>
      </c>
      <c r="G346" s="3">
        <f>742.5+(45.4-330)+(-1.5147+(-0.092616--0.6732))+0-0-0</f>
        <v>456.96588399999996</v>
      </c>
      <c r="H346" s="3">
        <f>690.2+(15.3-264.3)+(-1.056006+(-0.023409--0.404379))+0-0-0</f>
        <v>440.52496400000007</v>
      </c>
      <c r="I346" s="3">
        <f>692.2+(43.3-303.5)+(-0.706044+(-0.044166--0.30957))+0-0-0</f>
        <v>431.55936000000008</v>
      </c>
      <c r="J346" s="3">
        <f>700.8+(59.1-324.2)+(0.357408+(0.030141-0.165342))+0-0-0</f>
        <v>435.92220700000001</v>
      </c>
      <c r="K346" s="3">
        <f>697.3+(79.9-343.6)+(0.355623+(0.040749-0.175236))+0-0-0</f>
        <v>433.82113599999991</v>
      </c>
      <c r="L346" s="3">
        <f>714.5+(94.1-358.4)+(0.364395+(0.047991-0.182784))+0-0-0</f>
        <v>450.42960200000005</v>
      </c>
      <c r="M346" s="3">
        <f>765+(66-353.8)+(0+(0-0))+0-0-0</f>
        <v>477.2</v>
      </c>
      <c r="N346" s="3">
        <f>763.4+(108-340.7)+(0.389334+(0.05508-0.173757))+0-0-0</f>
        <v>530.97065700000007</v>
      </c>
      <c r="O346" s="3">
        <f>759.3+(160.6-359.1)+(0+(0-0))+0-0-0</f>
        <v>560.79999999999995</v>
      </c>
      <c r="P346" s="3">
        <f>751.3+(178-350)+(-1.532652+(-0.36312--0.714))+0-0-0</f>
        <v>578.11822799999993</v>
      </c>
      <c r="Q346" s="3">
        <f>728.4+(186.9-331.9)+(0+(0-0))+0-0-0</f>
        <v>583.4</v>
      </c>
      <c r="R346" s="3">
        <f>768.2+(154.9-351.4)+(-0.783564+(-0.157998--0.358428))+0-0-0</f>
        <v>571.11686600000007</v>
      </c>
      <c r="S346" s="3">
        <f>772.9+(107-323.5)+(-0.394179+(-0.05457--0.164985))+0-0-0</f>
        <v>556.11623599999996</v>
      </c>
      <c r="T346" s="3">
        <f>778.4+(77.6-317.5)+(0.396984+(0.039576-0.161925))+0-0-0</f>
        <v>538.77463499999999</v>
      </c>
      <c r="U346" s="3">
        <f>789.8+(75.4-320.9)+(-2.01399+(-0.19227--0.818295))+0-0-0</f>
        <v>542.91203499999995</v>
      </c>
      <c r="V346" s="3">
        <f>792.3+(73.2-333.3)+(0+(0-0))+0-0-0</f>
        <v>532.19999999999993</v>
      </c>
      <c r="W346" s="3">
        <f>755.8+(101.7-298.1)+(-1.541832+(-0.207468--0.608124))+0-0-0</f>
        <v>558.25882399999989</v>
      </c>
      <c r="X346" s="3">
        <f>771.4+(138.2-239.1)+(-0.786828+(-0.140964--0.243882))+0-0-0</f>
        <v>669.81609000000003</v>
      </c>
      <c r="Y346" s="3">
        <f>780.6+(159-229.8)+(-2.388636+(-0.48654--0.703188))+0-0-0</f>
        <v>707.6280119999999</v>
      </c>
      <c r="Z346" s="3">
        <f>787.3+(166.1-258)+(-1.204569+(-0.254133--0.39474))+0-0-0</f>
        <v>694.33603800000003</v>
      </c>
      <c r="AA346" s="3">
        <f>780.9+(167.1-288.4)+(-0.796518+(-0.170442--0.294168))+0-0-0</f>
        <v>658.92720800000006</v>
      </c>
      <c r="AB346" s="3">
        <f>772.2+(154.8-322)+(-1.181466+(-0.236844--0.49266))+0-0-0</f>
        <v>604.07434999999998</v>
      </c>
      <c r="AC346" s="3">
        <f>768.9+(138.8-352.7)+(-1.960695+(-0.35394--0.899385))+0-0-0</f>
        <v>553.58474999999999</v>
      </c>
      <c r="AD346">
        <v>678</v>
      </c>
      <c r="AE346" s="3">
        <f>788+(152-262)+(0+(0-0))+0-0-0</f>
        <v>678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764.1+(88.7-356)+(-1.558764+(-0.180948--0.72624))+0-0-0</f>
        <v>495.78652800000003</v>
      </c>
      <c r="G347" s="3">
        <f>709.9+(77.7-309.8)+(1.086147+(0.118881-0.473994))+0-0-0</f>
        <v>478.53103399999998</v>
      </c>
      <c r="H347" s="3">
        <f>698.8+(70.1-301.9)+(-1.78194+(-0.178755--0.769845))+0-0-0</f>
        <v>465.80914999999999</v>
      </c>
      <c r="I347" s="3">
        <f>706.4+(61.3-311.6)+(0.720528+(0.062526-0.317832))+0-0-0</f>
        <v>456.56522199999995</v>
      </c>
      <c r="J347" s="3">
        <f>698.7+(58.9-320.5)+(-1.425348+(-0.120156--0.65382))+0-0-0</f>
        <v>436.20831600000002</v>
      </c>
      <c r="K347" s="3">
        <f>699+(60.5-319)+(-0.71298+(-0.06171--0.32538))+0-0-0</f>
        <v>440.05068999999997</v>
      </c>
      <c r="L347" s="3">
        <f>782.6+(30.8-382.3)+(-1.596504+(-0.062832--0.779892))+0-0-0</f>
        <v>430.22055600000004</v>
      </c>
      <c r="M347" s="3">
        <f>801.9+(45.8-394.1)+(2.453814+(0.140148-1.205946))+0-0-0</f>
        <v>454.98801599999996</v>
      </c>
      <c r="N347" s="3">
        <f>794.4+(61.6-358.2)+(1.620576+(0.125664-0.730728))+0-0-0</f>
        <v>498.81551200000001</v>
      </c>
      <c r="O347" s="3">
        <f>789.5+(117-351.5)+(-0.402645+(-0.05967--0.179265))+0-0-0</f>
        <v>554.71695</v>
      </c>
      <c r="P347" s="3">
        <f>818.8+(163.6-403)+(0.835176+(0.166872-0.41106))+0-0-0</f>
        <v>579.99098800000002</v>
      </c>
      <c r="Q347" s="3">
        <f>877.4+(142.7-454.4)+(0+(0-0))+0-0-0</f>
        <v>565.70000000000005</v>
      </c>
      <c r="R347" s="3">
        <f>863.1+(92.5-419.5)+(-2.641086+(-0.28305--1.28367))+0-0-0</f>
        <v>534.45953400000008</v>
      </c>
      <c r="S347" s="3">
        <f>761.8+(132.7-346.6)+(-2.331108+(-0.406062--1.060596))+0-0-0</f>
        <v>546.2234259999999</v>
      </c>
      <c r="T347" s="3">
        <f>785.5+(105.3-340.7)+(1.60242+(0.214812-0.695028))+0-0-0</f>
        <v>551.22220400000003</v>
      </c>
      <c r="U347" s="3">
        <f>778.6+(60.6-320.5)+(0.397086+(0.030906-0.163455))+0-0-0</f>
        <v>518.96453700000006</v>
      </c>
      <c r="V347" s="3">
        <f>774.9+(63.6-308.1)+(-0.395199+(-0.032436--0.157131))+0-0-0</f>
        <v>530.12949600000002</v>
      </c>
      <c r="W347" s="3">
        <f>773.6+(68.9-287.1)+(-0.789072+(-0.070278--0.292842))+0-0-0</f>
        <v>554.83349199999998</v>
      </c>
      <c r="X347" s="3">
        <f>790.9+(108.3-229.9)+(-0.403359+(-0.055233--0.117249))+0-0-0</f>
        <v>668.9586569999999</v>
      </c>
      <c r="Y347" s="3">
        <f>815.8+(124.7-246.5)+(-1.248174+(-0.190791--0.377145))+0-0-0</f>
        <v>692.93817999999999</v>
      </c>
      <c r="Z347" s="3">
        <f>813.8+(122.7-259.6)+(-1.660152+(-0.250308--0.529584))+0-0-0</f>
        <v>675.51912399999992</v>
      </c>
      <c r="AA347" s="3">
        <f>821.7+(132.8-299.3)+(0+(0-0))+0-0-0</f>
        <v>655.20000000000005</v>
      </c>
      <c r="AB347" s="3">
        <f>809.2+(137.2-335.4)+(-2.06346+(-0.34986--0.85527))+0-0-0</f>
        <v>609.44195000000002</v>
      </c>
      <c r="AC347" s="3">
        <f>819.4+(140.4-398.6)+(0+(0-0))+0-0-0</f>
        <v>561.19999999999993</v>
      </c>
      <c r="AD347">
        <v>686.8</v>
      </c>
      <c r="AE347" s="3">
        <f>806+(127.4-246.6)+(0+(0-0))+0-0-0</f>
        <v>686.8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813.4+(98.5-428.8)+(-1.659336+(-0.20094--0.874752))+0-0-0</f>
        <v>482.11447599999997</v>
      </c>
      <c r="G348" s="3">
        <f>748+(81.9-388.6)+(0+(0-0))+0-0-0</f>
        <v>441.29999999999995</v>
      </c>
      <c r="H348" s="3">
        <f>711.8+(104.7-390.3)+(0.363018+(0.053397-0.199053))+0-0-0</f>
        <v>426.41736199999991</v>
      </c>
      <c r="I348" s="3">
        <f>707.3+(96.5-371.4)+(-0.721446+(-0.09843--0.378828))+0-0-0</f>
        <v>431.95895199999995</v>
      </c>
      <c r="J348" s="3">
        <f>697.9+(79.4-354.9)+(-1.779645+(-0.20247--0.904995))+0-0-0</f>
        <v>421.32288</v>
      </c>
      <c r="K348" s="3">
        <f>708.9+(66.3-365.7)+(0.723078+(0.067626-0.373014))+0-0-0</f>
        <v>409.91768999999999</v>
      </c>
      <c r="L348" s="3">
        <f>699+(70-370.1)+(0.35649+(0.0357-0.188751))+0-0-0</f>
        <v>399.10343899999998</v>
      </c>
      <c r="M348" s="3">
        <f>708.9+(61.5-372.5)+(0+(0-0))+0-0-0</f>
        <v>397.9</v>
      </c>
      <c r="N348" s="3">
        <f>717.4+(82.9-377.9)+(0.365874+(0.042279-0.192729))+0-0-0</f>
        <v>422.61542399999996</v>
      </c>
      <c r="O348" s="3">
        <f>718.2+(137.5-388.9)+(0.732564+(0.14025-0.396678))+0-0-0</f>
        <v>467.27613600000006</v>
      </c>
      <c r="P348" s="3">
        <f>871.2+(137.9-508.6)+(-0.444312+(-0.070329--0.259386))+0-0-0</f>
        <v>500.24474500000002</v>
      </c>
      <c r="Q348" s="3">
        <f>915.9+(132-530.9)+(-0.467109+(-0.06732--0.270759))+0-0-0</f>
        <v>516.73632999999995</v>
      </c>
      <c r="R348" s="3">
        <f>958.3+(135.9-588)+(0+(0-0))+0-0-0</f>
        <v>506.19999999999993</v>
      </c>
      <c r="S348" s="3">
        <f>843.4+(175-528.4)+(0+(0-0))+0-0-0</f>
        <v>490</v>
      </c>
      <c r="T348" s="3">
        <f>814.2+(168.6-507.4)+(0+(0-0))+0-0-0</f>
        <v>475.40000000000009</v>
      </c>
      <c r="U348" s="3">
        <f>805.9+(163.4-503.6)+(0+(0-0))+0-0-0</f>
        <v>465.69999999999993</v>
      </c>
      <c r="V348" s="3">
        <f>809.1+(166.5-498.7)+(0+(0-0))+0-0-0</f>
        <v>476.90000000000003</v>
      </c>
      <c r="W348" s="3">
        <f>806.3+(165.9-469.9)+(0+(0-0))+0-0-0</f>
        <v>502.29999999999995</v>
      </c>
      <c r="X348" s="3">
        <f>822.8+(213.4-439.8)+(0+(0-0))+0-0-0</f>
        <v>596.4</v>
      </c>
      <c r="Y348" s="3">
        <f>836.3+(241.4-464.5)+(0+(0-0))+0-0-0</f>
        <v>613.19999999999993</v>
      </c>
      <c r="Z348" s="3">
        <f>837.4+(219.7-448)+(0+(0-0))+0-0-0</f>
        <v>609.09999999999991</v>
      </c>
      <c r="AA348" s="3">
        <f>830.7+(200.3-445)+(0+(0-0))+0-0-0</f>
        <v>586</v>
      </c>
      <c r="AB348" s="3">
        <f>822.9+(203.4-457.2)+(0+(0-0))+0-0-0</f>
        <v>569.1</v>
      </c>
      <c r="AC348" s="3">
        <f>825.7+(181.1-466.1)+(0+(0-0))+0-0-0</f>
        <v>540.70000000000005</v>
      </c>
      <c r="AD348">
        <v>596.20000000000005</v>
      </c>
      <c r="AE348" s="3">
        <f>828+(237.4-469.2)+(0+(0-0))+0-0-0</f>
        <v>596.20000000000005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819.5+(147-456.6)+(0+(0-0))+0-0-0</f>
        <v>509.9</v>
      </c>
      <c r="G349" s="3">
        <f>831.8+(86.4-445.2)+(0+(0-0))+0-0-0</f>
        <v>473</v>
      </c>
      <c r="H349" s="3">
        <f>816.3+(95.7-458.4)+(0+(0-0))+0-0-0</f>
        <v>453.59999999999997</v>
      </c>
      <c r="I349" s="3">
        <f>821.1+(53.7-442.9)+(0+(0-0))+0-0-0</f>
        <v>431.90000000000003</v>
      </c>
      <c r="J349" s="3">
        <f>827.8+(18.3-413.5)+(0+(0-0))+0-0-0</f>
        <v>432.59999999999997</v>
      </c>
      <c r="K349" s="3">
        <f>828.3+(23.1-427)+(0+(0-0))+0-0-0</f>
        <v>424.4</v>
      </c>
      <c r="L349" s="3">
        <f>831.5+(39.6-441.8)+(2.120325+(0.10098-1.12659))+0-0-0</f>
        <v>430.39471500000002</v>
      </c>
      <c r="M349" s="3">
        <f>837.6+(60.7-444.2)+(1.708704+(0.123828-0.906168))+0-0-0</f>
        <v>455.026364</v>
      </c>
      <c r="N349" s="3">
        <f>835.9+(104.2-421.8)+(0+(0-0))+0-0-0</f>
        <v>518.29999999999995</v>
      </c>
      <c r="O349" s="3">
        <f>836.6+(135.2-406.8)+(0.426666+(0.068952-0.207468))+0-0-0</f>
        <v>565.28814999999997</v>
      </c>
      <c r="P349" s="3">
        <f>845.9+(133.5-392.9)+(0.431409+(0.068085-0.200379))+0-0-0</f>
        <v>586.79911500000003</v>
      </c>
      <c r="Q349" s="3">
        <f>946.5+(84.8-423)+(-1.448145+(-0.129744--0.64719))+0-0-0</f>
        <v>607.36930099999995</v>
      </c>
      <c r="R349" s="3">
        <f>953.7+(73.9-408.5)+(0+(0-0))+0-0-0</f>
        <v>619.1</v>
      </c>
      <c r="S349" s="3">
        <f>826.2+(137-370.9)+(-0.842724+(-0.13974--0.378318))+0-0-0</f>
        <v>591.69585400000005</v>
      </c>
      <c r="T349" s="3">
        <f>828.1+(119.1-380.4)+(0+(0-0))+0-0-0</f>
        <v>566.80000000000007</v>
      </c>
      <c r="U349" s="3">
        <f>818.5+(120.3-396.3)+(-1.252305+(-0.184059--0.606339))+0-0-0</f>
        <v>541.66997500000002</v>
      </c>
      <c r="V349" s="3">
        <f>825.7+(117.3-399)+(0.421107+(0.059823-0.20349))+0-0-0</f>
        <v>544.27743999999996</v>
      </c>
      <c r="W349" s="3">
        <f>815.7+(121-375.5)+(-0.832014+(-0.12342--0.38301))+0-0-0</f>
        <v>560.62757600000009</v>
      </c>
      <c r="X349" s="3">
        <f>826.9+(170.8-325.5)+(0+(0-0))+0-0-0</f>
        <v>672.2</v>
      </c>
      <c r="Y349" s="3">
        <f>832.5+(229.1-349.1)+(-1.273725+(-0.350523--0.534123))+0-0-0</f>
        <v>711.40987500000006</v>
      </c>
      <c r="Z349" s="3">
        <f>823.2+(245.7-354.6)+(-1.259496+(-0.375921--0.542538))+0-0-0</f>
        <v>713.20712099999992</v>
      </c>
      <c r="AA349" s="3">
        <f>821.6+(199.9-347.6)+(-0.419016+(-0.101949--0.177276))+0-0-0</f>
        <v>673.55631099999994</v>
      </c>
      <c r="AB349" s="3">
        <f>819.8+(196.5-385.7)+(-1.672392+(-0.40086--0.786828))+0-0-0</f>
        <v>629.3135759999999</v>
      </c>
      <c r="AC349" s="3">
        <f>816.2+(152.7-388.3)+(-2.08131+(-0.389385--0.990165))+0-0-0</f>
        <v>579.11946999999998</v>
      </c>
      <c r="AD349">
        <v>674.6</v>
      </c>
      <c r="AE349" s="3">
        <f>827+(211.2-363.6)+(0+(0-0))+0-0-0</f>
        <v>674.59999999999991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812.9+(101.8-398.6)+(-2.072895+(-0.25959--1.01643))+0-0-0</f>
        <v>514.7839449999999</v>
      </c>
      <c r="G350" s="3">
        <f>808.7+(69.2-391.8)+(-2.062185+(-0.17646--0.99909))+0-0-0</f>
        <v>484.86044500000003</v>
      </c>
      <c r="H350" s="3">
        <f>812.4+(51.6-399)+(-2.07162+(-0.13158--1.01745))+0-0-0</f>
        <v>463.81425000000002</v>
      </c>
      <c r="I350" s="3">
        <f>813.5+(43.7-408.1)+(-0.414885+(-0.022287--0.208131))+0-0-0</f>
        <v>448.87095899999997</v>
      </c>
      <c r="J350" s="3">
        <f>800.1+(46.9-388.3)+(-2.040255+(-0.119595--0.990165))+0-0-0</f>
        <v>457.53031499999997</v>
      </c>
      <c r="K350" s="3">
        <f>702.5+(84-330.2)+(0.358275+(0.04284-0.168402))+0-0-0</f>
        <v>456.532713</v>
      </c>
      <c r="L350" s="3">
        <f>710.8+(83.6-337.2)+(-1.087524+(-0.127908--0.515916))+0-0-0</f>
        <v>456.50048399999991</v>
      </c>
      <c r="M350" s="3">
        <f>803.7+(67.7-401.1)+(-0.819774+(-0.069054--0.409122))+0-0-0</f>
        <v>469.82029399999999</v>
      </c>
      <c r="N350" s="3">
        <f>924+(71.2-461.3)+(0.47124+(0.036312-0.235263))+0-0-0</f>
        <v>534.17228899999998</v>
      </c>
      <c r="O350" s="3">
        <f>921.3+(102.1-472.3)+(0.939726+(0.104142-0.481746))+0-0-0</f>
        <v>551.66212199999995</v>
      </c>
      <c r="P350" s="3">
        <f>917.8+(133.2-473.2)+(-0.468078+(-0.067932--0.241332))+0-0-0</f>
        <v>577.50532199999998</v>
      </c>
      <c r="Q350" s="3">
        <f>913.2+(126.8-469.1)+(-0.931464+(-0.129336--0.478482))+0-0-0</f>
        <v>570.3176820000001</v>
      </c>
      <c r="R350" s="3">
        <f>890.9+(122.2-455.3)+(-0.454359+(-0.062322--0.232203))+0-0-0</f>
        <v>557.51552199999992</v>
      </c>
      <c r="S350" s="3">
        <f>821.3+(131.2-420)+(0.837726+(0.133824-0.4284))+0-0-0</f>
        <v>533.04314999999997</v>
      </c>
      <c r="T350" s="3">
        <f>806.5+(118.5-389.6)+(0.411315+(0.060435-0.198696))+0-0-0</f>
        <v>535.67305399999998</v>
      </c>
      <c r="U350" s="3">
        <f>802.5+(115.2-374.2)+(0.409275+(0.058752-0.190842))+0-0-0</f>
        <v>543.77718500000003</v>
      </c>
      <c r="V350" s="3">
        <f>795.6+(127.6-375.3)+(-0.405756+(-0.065076--0.191403))+0-0-0</f>
        <v>547.62057099999993</v>
      </c>
      <c r="W350" s="3">
        <f>880.5+(91.9-404.5)+(1.347165+(0.140607-0.618885))+0-0-0</f>
        <v>568.76888699999995</v>
      </c>
      <c r="X350" s="3">
        <f>966.7+(109.3-409)+(0+(0-0))+0-0-0</f>
        <v>667</v>
      </c>
      <c r="Y350" s="3">
        <f>964.6+(126.5-403)+(-1.475838+(-0.193545--0.61659))+0-0-0</f>
        <v>687.04720700000007</v>
      </c>
      <c r="Z350" s="3">
        <f>959.5+(127.7-419.5)+(-0.97869+(-0.130254--0.42789))+0-0-0</f>
        <v>667.01894600000003</v>
      </c>
      <c r="AA350" s="3">
        <f>933.6+(145.6-424.9)+(-2.38068+(-0.37128--1.083495))+0-0-0</f>
        <v>652.6315350000001</v>
      </c>
      <c r="AB350" s="3">
        <f>847.2+(208-441.9)+(-1.296216+(-0.31824--0.676107))+0-0-0</f>
        <v>612.36165100000005</v>
      </c>
      <c r="AC350" s="3">
        <f>810.4+(199.4-462.5)+(-1.653216+(-0.406776--0.9435))+0-0-0</f>
        <v>546.18350799999996</v>
      </c>
      <c r="AD350">
        <v>674.60000000000014</v>
      </c>
      <c r="AE350" s="3">
        <f>982+(129.9-437.3)+(0+(0-0))+0-0-0</f>
        <v>674.6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805.8+(127.7-468.9)+(0.410958+(0.065127-0.239139))+0-0-0</f>
        <v>464.83694599999995</v>
      </c>
      <c r="G351" s="3">
        <f>800.4+(69.8-437.1)+(-0.816408+(-0.071196--0.445842))+0-0-0</f>
        <v>432.65823799999998</v>
      </c>
      <c r="H351" s="3">
        <f>798+(52.1-429.3)+(-0.40698+(-0.026571--0.218943))+0-0-0</f>
        <v>420.58539200000001</v>
      </c>
      <c r="I351" s="3">
        <f>796+(52.8-451.4)+(0.40596+(0.026928-0.230214))+0-0-0</f>
        <v>397.60267400000004</v>
      </c>
      <c r="J351" s="3">
        <f>794.9+(44.2-466.5)+(-0.810798+(-0.045084--0.47583))+0-0-0</f>
        <v>372.21994799999999</v>
      </c>
      <c r="K351" s="3">
        <f>797+(31.8-458.6)+(0+(0-0))+0-0-0</f>
        <v>370.2</v>
      </c>
      <c r="L351" s="3">
        <f>793.6+(39.7-462.7)+(-0.809472+(-0.040494--0.471954))+0-0-0</f>
        <v>370.22198800000001</v>
      </c>
      <c r="M351" s="3">
        <f>796.5+(66.5-453.5)+(0.406215+(0.033915-0.231285))+0-0-0</f>
        <v>409.708845</v>
      </c>
      <c r="N351" s="3">
        <f>800.8+(130.8-466.2)+(0.816816+(0.133416-0.475524))+0-0-0</f>
        <v>465.874708</v>
      </c>
      <c r="O351" s="3">
        <f>733.9+(214.9-439.5)+(0.374289+(0.109599-0.224145))+0-0-0</f>
        <v>509.55974299999997</v>
      </c>
      <c r="P351" s="3">
        <f>954.4+(170.6-563)+(-1.460232+(-0.261018--0.86139))+0-0-0</f>
        <v>561.14013999999997</v>
      </c>
      <c r="Q351" s="3">
        <f>967.3+(150.9-582.1)+(-1.973292+(-0.307836--1.187484))+0-0-0</f>
        <v>535.00635599999987</v>
      </c>
      <c r="R351" s="3">
        <f>809.6+(191.4-540.1)+(-1.238688+(-0.292842--0.826353))+0-0-0</f>
        <v>460.19482299999999</v>
      </c>
      <c r="S351" s="3">
        <f>809.5+(180-533)+(-2.064225+(-0.459--1.35915))+0-0-0</f>
        <v>455.33592499999997</v>
      </c>
      <c r="T351" s="3">
        <f>817.5+(156.3-556.1)+(0.416925+(0.079713-0.283611))+0-0-0</f>
        <v>417.913027</v>
      </c>
      <c r="U351" s="3">
        <f>845.8+(154-531.3)+(-1.725432+(-0.31416--1.083852))+0-0-0</f>
        <v>467.54426000000001</v>
      </c>
      <c r="V351" s="3">
        <f>912.5+(113.7-496.9)+(0+(0-0))+0-0-0</f>
        <v>529.29999999999995</v>
      </c>
      <c r="W351" s="3">
        <f>852+(114.9-422.3)+(0.43452+(0.058599-0.215373))+0-0-0</f>
        <v>544.877746</v>
      </c>
      <c r="X351" s="3">
        <f>819.1+(153.6-347.3)+(0.835482+(0.156672-0.354246))+0-0-0</f>
        <v>626.03790800000002</v>
      </c>
      <c r="Y351" s="3">
        <f>819.9+(203.7-350.9)+(0+(0-0))+0-0-0</f>
        <v>672.7</v>
      </c>
      <c r="Z351" s="3">
        <f>815+(206.9-356.2)+(0.41565+(0.105519-0.181662))+0-0-0</f>
        <v>666.03950700000007</v>
      </c>
      <c r="AA351" s="3">
        <f>812.7+(208.7-363.4)+(-0.828954+(-0.212874--0.370668))+0-0-0</f>
        <v>657.32884000000001</v>
      </c>
      <c r="AB351" s="3">
        <f>813.9+(226.9-422.8)+(-0.415089+(-0.115719--0.215628))+0-0-0</f>
        <v>617.68481999999995</v>
      </c>
      <c r="AC351" s="3">
        <f>811.8+(237.3-487.3)+(-1.656072+(-0.484092--0.994092))+0-0-0</f>
        <v>560.65392799999995</v>
      </c>
      <c r="AD351">
        <v>667.9</v>
      </c>
      <c r="AE351" s="3">
        <f>833+(194.8-359.9)+(0+(0-0))+0-0-0</f>
        <v>667.90000000000009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811.7+(178.7-489.2)+(-0.413967+(-0.091137--0.249492))+0-0-0</f>
        <v>500.94438800000006</v>
      </c>
      <c r="G352" s="3">
        <f>773+(136.6-444.3)+(0+(0-0))+0-0-0</f>
        <v>465.29999999999995</v>
      </c>
      <c r="H352" s="3">
        <f>689+(142.5-391.8)+(-0.35139+(-0.072675--0.199818))+0-0-0</f>
        <v>439.475753</v>
      </c>
      <c r="I352" s="3">
        <f>689.3+(161.3-421.4)+(0+(0-0))+0-0-0</f>
        <v>429.2</v>
      </c>
      <c r="J352" s="3">
        <f>692.8+(152.2-413.7)+(0.706656+(0.155244-0.421974))+0-0-0</f>
        <v>431.73992599999997</v>
      </c>
      <c r="K352" s="3">
        <f>688.8+(146.4-402.9)+(-0.351288+(-0.074664--0.205479))+0-0-0</f>
        <v>432.07952699999993</v>
      </c>
      <c r="L352" s="3">
        <f>688.7+(179.6-431.3)+(-0.351237+(-0.091596--0.219963))+0-0-0</f>
        <v>436.77713</v>
      </c>
      <c r="M352" s="3">
        <f>774.2+(185.3-500.8)+(0.789684+(0.189006-0.510816))+0-0-0</f>
        <v>459.16787400000004</v>
      </c>
      <c r="N352" s="3">
        <f>819.8+(235.6-533.6)+(0.836196+(0.240312-0.544272))+0-0-0</f>
        <v>522.33223599999997</v>
      </c>
      <c r="O352" s="3">
        <f>813.5+(262.7-473)+(0.82977+(0.267954-0.48246))+0-0-0</f>
        <v>603.81526400000007</v>
      </c>
      <c r="P352" s="3">
        <f>823.3+(244.7-501.8)+(1.259649+(0.374391-0.767754))+0-0-0</f>
        <v>567.06628599999988</v>
      </c>
      <c r="Q352" s="3">
        <f>804.9+(231.6-454.3)+(-1.231497+(-0.354348--0.695079))+0-0-0</f>
        <v>581.30923399999995</v>
      </c>
      <c r="R352" s="3">
        <f>800.3+(215-449.4)+(-1.632612+(-0.4386--0.916776))+0-0-0</f>
        <v>564.74556399999994</v>
      </c>
      <c r="S352" s="3">
        <f>791.7+(198-447.2)+(-2.018835+(-0.5049--1.14036))+0-0-0</f>
        <v>541.116625</v>
      </c>
      <c r="T352" s="3">
        <f>802.4+(191.2-465.3)+(1.227672+(0.292536-0.711909))+0-0-0</f>
        <v>529.10829899999999</v>
      </c>
      <c r="U352" s="3">
        <f>797.8+(199.4-468.3)+(1.220634+(0.305082-0.716499))+0-0-0</f>
        <v>529.70921699999997</v>
      </c>
      <c r="V352" s="3">
        <f>823.3+(185-441.6)+(-0.419883+(-0.09435--0.225216))+0-0-0</f>
        <v>566.41098299999999</v>
      </c>
      <c r="W352" s="3">
        <f>783.6+(192.9-402.3)+(-0.399636+(-0.098379--0.205173))+0-0-0</f>
        <v>573.90715800000009</v>
      </c>
      <c r="X352" s="3">
        <f>796.8+(205.5-349.6)+(0+(0-0))+0-0-0</f>
        <v>652.69999999999993</v>
      </c>
      <c r="Y352" s="3">
        <f>837.7+(201.9-349.8)+(-1.281681+(-0.308907--0.535194))+0-0-0</f>
        <v>688.74460600000009</v>
      </c>
      <c r="Z352" s="3">
        <f>838.2+(197.6-363.7)+(-0.854964+(-0.201552--0.370974))+0-0-0</f>
        <v>671.41445799999997</v>
      </c>
      <c r="AA352" s="3">
        <f>806.1+(217.1-357.7)+(-0.822222+(-0.221442--0.364854))+0-0-0</f>
        <v>664.82119</v>
      </c>
      <c r="AB352" s="3">
        <f>771.9+(203.5-359.7)+(-1.574676+(-0.41514--0.733788))+0-0-0</f>
        <v>614.44397200000003</v>
      </c>
      <c r="AC352" s="3">
        <f>771.6+(187-399.3)+(-1.180548+(-0.28611--0.610929))+0-0-0</f>
        <v>558.44427099999996</v>
      </c>
      <c r="AD352">
        <v>689.90000000000009</v>
      </c>
      <c r="AE352" s="3">
        <f>834+(205.2-349.3)+(0+(0-0))+0-0-0</f>
        <v>689.9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766.9+(176.3-411.5)+(-2.737833+(-0.629391--1.469055))+0-0-0</f>
        <v>529.80183099999999</v>
      </c>
      <c r="G353" s="3">
        <f>770.7+(160.1-443.9)+(-0.786114+(-0.163302--0.452778))+0-0-0</f>
        <v>486.40336200000007</v>
      </c>
      <c r="H353" s="3">
        <f>766.1+(170.8-468.6)+(-1.562844+(-0.348432--0.955944))+0-0-0</f>
        <v>467.34466800000001</v>
      </c>
      <c r="I353" s="3">
        <f>657.1+(226.4-425.6)+(0.335121+(0.115464-0.217056))+0-0-0</f>
        <v>458.13352899999995</v>
      </c>
      <c r="J353" s="3">
        <f>654.7+(221.6-414.2)+(0+(0-0))+0-0-0</f>
        <v>462.1</v>
      </c>
      <c r="K353" s="3">
        <f>665.3+(207.5-403.4)+(-0.678606+(-0.21165--0.411468))+0-0-0</f>
        <v>468.92121199999997</v>
      </c>
      <c r="L353" s="3">
        <f>677.8+(208.3-417.2)+(0.345678+(0.106233-0.212772))+0-0-0</f>
        <v>469.139139</v>
      </c>
      <c r="M353" s="3">
        <f>766.2+(190.2-460.7)+(0.781524+(0.194004-0.469914))+0-0-0</f>
        <v>496.20561400000003</v>
      </c>
      <c r="N353" s="3">
        <f>807.3+(215.6-475.5)+(0.823446+(0.219912-0.48501))+0-0-0</f>
        <v>547.958348</v>
      </c>
      <c r="O353" s="3">
        <f>802.2+(222.1-450.8)+(0+(0-0))+0-0-0</f>
        <v>573.5</v>
      </c>
      <c r="P353" s="3">
        <f>774+(213.3-387.4)+(-0.78948+(-0.217566--0.395148))+0-0-0</f>
        <v>599.28810200000009</v>
      </c>
      <c r="Q353" s="3">
        <f>731.3+(219.6-375.3)+(-1.864815+(-0.55998--0.957015))+0-0-0</f>
        <v>574.13221999999996</v>
      </c>
      <c r="R353" s="3">
        <f>737.3+(214.6-395.3)+(-1.128069+(-0.328338--0.604809))+0-0-0</f>
        <v>555.74840199999994</v>
      </c>
      <c r="S353" s="3">
        <f>735.8+(198.1-410.2)+(-1.501032+(-0.404124--0.836808))+0-0-0</f>
        <v>522.63165199999992</v>
      </c>
      <c r="T353" s="3">
        <f>785.8+(172.8-449.5)+(-0.400758+(-0.088128--0.229245))+0-0-0</f>
        <v>508.84035899999998</v>
      </c>
      <c r="U353" s="3">
        <f>832.3+(137-482.7)+(0+(0-0))+0-0-0</f>
        <v>486.59999999999997</v>
      </c>
      <c r="V353" s="3">
        <f>860.5+(140.7-534.4)+(1.316565+(0.215271-0.817632))+0-0-0</f>
        <v>467.51420400000001</v>
      </c>
      <c r="W353" s="3">
        <f>869.4+(165-532.5)+(-1.330182+(-0.25245--0.814725))+16-0-0</f>
        <v>517.13209299999994</v>
      </c>
      <c r="X353" s="3">
        <f>909.9+(159.1-430.7)+(0.928098+(0.162282-0.439314))+0-0-0</f>
        <v>638.95106599999997</v>
      </c>
      <c r="Y353" s="3">
        <f>937.8+(216.2-483.1)+(-1.434834+(-0.330786--0.739143))+0-0-0</f>
        <v>669.87352299999986</v>
      </c>
      <c r="Z353" s="3">
        <f>935.6+(229.1-497.9)+(-1.908624+(-0.467364--1.015716))+0-0-0</f>
        <v>665.43972800000006</v>
      </c>
      <c r="AA353" s="3">
        <f>928.9+(221.2-504.1)+(-1.421217+(-0.338436--0.771273))+0-0-0</f>
        <v>645.01161999999999</v>
      </c>
      <c r="AB353" s="3">
        <f>907.3+(197.4-497.2)+(-2.313615+(-0.50337--1.26786))+0-0-0</f>
        <v>605.950875</v>
      </c>
      <c r="AC353" s="3">
        <f>899.2+(221.3-539.6)+(-0.458592+(-0.112863--0.275196))+0-0-0</f>
        <v>580.60374100000013</v>
      </c>
      <c r="AD353">
        <v>667.80000000000007</v>
      </c>
      <c r="AE353" s="3">
        <f>944+(222.2-498.4)+(0+(0-0))+0-0-0</f>
        <v>667.8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657.2+(293.8-436.6)+(-1.67586+(-0.74919--1.11333))+0-0-0</f>
        <v>513.08828000000005</v>
      </c>
      <c r="G354" s="3">
        <f>610+(275.5-420.2)+(-1.5555+(-0.702525--1.07151))+0-0-0</f>
        <v>464.11348500000003</v>
      </c>
      <c r="H354" s="3">
        <f>610.9+(245-408.9)+(-0.934677+(-0.37485--0.625617))+0-0-0</f>
        <v>446.31608999999997</v>
      </c>
      <c r="I354" s="3">
        <f>615+(227.1-397.7)+(0.94095+(0.347463-0.608481))+0-0-0</f>
        <v>445.07993199999999</v>
      </c>
      <c r="J354" s="3">
        <f>615.3+(216.5-403.5)+(1.255212+(0.44166-0.82314))+0-0-0</f>
        <v>429.17373199999997</v>
      </c>
      <c r="K354" s="3">
        <f>618.8+(227.3-416.6)+(1.57794+(0.579615-1.06233))+0-0-0</f>
        <v>430.59522499999997</v>
      </c>
      <c r="L354" s="3">
        <f>614.5+(218.4-402.6)+(-0.62679+(-0.222768--0.410652))+0-0-0</f>
        <v>429.86109399999998</v>
      </c>
      <c r="M354" s="3">
        <f>616.8+(240-404.1)+(0.629136+(0.2448-0.412182))+0-0-0</f>
        <v>453.16175399999992</v>
      </c>
      <c r="N354" s="3">
        <f>617.7+(244.8-357.8)+(0.315027+(0.124848-0.182478))+0-0-0</f>
        <v>504.95739700000007</v>
      </c>
      <c r="O354" s="3">
        <f>594.8+(239.2-298.9)+(0.606696+(0.243984-0.304878))+0-0-0</f>
        <v>535.64580199999989</v>
      </c>
      <c r="P354" s="3">
        <f>739.5+(171.5-354.3)+(-0.75429+(-0.17493--0.361386))+0-0-0</f>
        <v>556.1321660000001</v>
      </c>
      <c r="Q354" s="3">
        <f>789.7+(144-350.1)+(-1.208241+(-0.22032--0.535653))+0-0-0</f>
        <v>582.70709199999999</v>
      </c>
      <c r="R354" s="3">
        <f>778.2+(142.2-361.1)+(-1.587528+(-0.290088--0.736644))+0-0-0</f>
        <v>558.15902799999992</v>
      </c>
      <c r="S354" s="3">
        <f>722.5+(166.4-354)+(0.73695+(0.169728-0.36108))+0-0-0</f>
        <v>535.44559800000002</v>
      </c>
      <c r="T354" s="3">
        <f>638.8+(199.9-304.8)+(0.651576+(0.203898-0.310896))+0-0-0</f>
        <v>534.44457799999998</v>
      </c>
      <c r="U354" s="3">
        <f>669.7+(185.9-321.5)+(-0.683094+(-0.189618--0.32793))+0-0-0</f>
        <v>533.55521799999997</v>
      </c>
      <c r="V354" s="3">
        <f>639.1+(200.5-294.2)+(-0.977823+(-0.306765--0.450126))+0-0-0</f>
        <v>544.56553800000006</v>
      </c>
      <c r="W354" s="3">
        <f>618.8+(205.6-268.9)+(-1.57794+(-0.52428--0.685695))+0-0-0</f>
        <v>554.08347500000002</v>
      </c>
      <c r="X354" s="3">
        <f>622.6+(293.3-284.3)+(0.317526+(0.149583-0.144993))+0-0-0</f>
        <v>631.92211600000007</v>
      </c>
      <c r="Y354" s="3">
        <f>624.6+(322.9-289)+(-1.911276+(-0.988074--0.88434))+0-0-0</f>
        <v>656.48499000000004</v>
      </c>
      <c r="Z354" s="3">
        <f>626.9+(320.3-300.7)+(0+(0-0))+0-0-0</f>
        <v>646.5</v>
      </c>
      <c r="AA354" s="3">
        <f>625.9+(324.2-324)+(-0.957627+(-0.496026--0.49572))+0-0-0</f>
        <v>625.14206699999988</v>
      </c>
      <c r="AB354" s="3">
        <f>625.3+(306.6-330.2)+(-1.275612+(-0.625464--0.673608))+0-0-0</f>
        <v>600.472532</v>
      </c>
      <c r="AC354" s="3">
        <f>623.8+(303.7-372.5)+(-0.318138+(-0.154887--0.189975))+0-0-0</f>
        <v>554.71695</v>
      </c>
      <c r="AD354">
        <v>665</v>
      </c>
      <c r="AE354" s="3">
        <f>631+(320.3-286.3)+(0+(0-0))+0-0-0</f>
        <v>665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622+(300.8-413.6)+(-0.95166+(-0.460224--0.632808))+0-0-0</f>
        <v>508.42092400000001</v>
      </c>
      <c r="G355" s="3">
        <f>620.5+(230.6-385.3)+(-1.26582+(-0.470424--0.786012))+0-0-0</f>
        <v>464.84976799999993</v>
      </c>
      <c r="H355" s="3">
        <f>619.7+(184.1-367.4)+(-0.316047+(-0.093891--0.187374))+0-0-0</f>
        <v>436.17743600000011</v>
      </c>
      <c r="I355" s="3">
        <f>619.2+(167.5-356.9)+(-0.947376+(-0.256275--0.546057))+0-0-0</f>
        <v>429.14240600000005</v>
      </c>
      <c r="J355" s="3">
        <f>620+(159.4-353.8)+(0.3162+(0.081294-0.180438))+0-0-0</f>
        <v>425.81705600000004</v>
      </c>
      <c r="K355" s="3">
        <f>622.4+(155.2-351.9)+(0+(0-0))+0-0-0</f>
        <v>425.7</v>
      </c>
      <c r="L355" s="3">
        <f>619.3+(149.9-366.7)+(-1.263372+(-0.305796--0.748068))+0-0-0</f>
        <v>401.6789</v>
      </c>
      <c r="M355" s="3">
        <f>622.9+(152.5-365.7)+(0.317679+(0.077775-0.186507))+0-0-0</f>
        <v>409.90894700000001</v>
      </c>
      <c r="N355" s="3">
        <f>618.8+(186-359.3)+(0.631176+(0.18972-0.366486))+0-0-0</f>
        <v>445.95440999999994</v>
      </c>
      <c r="O355" s="3">
        <f>636.4+(232.4-365.6)+(-0.324564+(-0.118524--0.186456))+0-0-0</f>
        <v>502.94336799999991</v>
      </c>
      <c r="P355" s="3">
        <f>643.7+(212.1-342.4)+(0.328287+(0.108171-0.174624))+0-0-0</f>
        <v>513.66183400000011</v>
      </c>
      <c r="Q355" s="3">
        <f>679.1+(204.5-313.3)+(-1.039023+(-0.312885--0.479349))+0-0-0</f>
        <v>569.42744099999993</v>
      </c>
      <c r="R355" s="3">
        <f>708.2+(172.3-375.9)+(-2.167092+(-0.527238--1.150254))+0-0-0</f>
        <v>503.05592400000006</v>
      </c>
      <c r="S355" s="3">
        <f>677.5+(171.4-455.9)+(-0.345525+(-0.087414--0.232509))+0-0-0</f>
        <v>392.79957000000002</v>
      </c>
      <c r="T355" s="3">
        <f>626.2+(205.2-375.8)+(0+(0-0))+0-0-0</f>
        <v>455.6</v>
      </c>
      <c r="U355" s="3">
        <f>641.4+(181.9-371.4)+(-0.327114+(-0.092769--0.189414))+0-0-0</f>
        <v>451.66953099999995</v>
      </c>
      <c r="V355" s="3">
        <f>698.4+(144.7-390.1)+(-0.712368+(-0.147594--0.397902))+0-0-0</f>
        <v>452.53793999999994</v>
      </c>
      <c r="W355" s="3">
        <f>679.5+(151.1-338.4)+(-1.38618+(-0.308244--0.690336))+0-0-0</f>
        <v>491.19591200000002</v>
      </c>
      <c r="X355" s="3">
        <f>633.6+(199.1-258.9)+(0.323136+(0.101541-0.132039))+0-0-0</f>
        <v>574.09263800000008</v>
      </c>
      <c r="Y355" s="3">
        <f>637.9+(235.7-275)+(-0.975987+(-0.360621--0.42075))+0-0-0</f>
        <v>597.68414199999995</v>
      </c>
      <c r="Z355" s="3">
        <f>643.6+(235.1-280.2)+(0.656472+(0.239802-0.285804))+0-0-0</f>
        <v>599.11046999999996</v>
      </c>
      <c r="AA355" s="3">
        <f>659.7+(226.5-301.3)+(-1.345788+(-0.46206--0.614652))+0-0-0</f>
        <v>583.70680400000015</v>
      </c>
      <c r="AB355" s="3">
        <f>653.5+(194.7-295)+(-0.333285+(-0.099297--0.15045))+0-0-0</f>
        <v>552.917868</v>
      </c>
      <c r="AC355" s="3">
        <f>634.1+(177.6-290.2)+(-0.970173+(-0.271728--0.444006))+0-0-0</f>
        <v>520.70210499999996</v>
      </c>
      <c r="AD355">
        <v>596.90000000000009</v>
      </c>
      <c r="AE355" s="3">
        <f>635+(239.2-277.3)+(0+(0-0))+0-0-0</f>
        <v>596.9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717.9+(133.1-388.4)+(-0.732258+(-0.135762--0.396168))+0-0-0</f>
        <v>462.12814800000001</v>
      </c>
      <c r="G356" s="3">
        <f>709.2+(136.9-411.1)+(-0.723384+(-0.139638--0.419322))+0-0-0</f>
        <v>434.55630000000002</v>
      </c>
      <c r="H356" s="3">
        <f>668.4+(163.4-408)+(0.681768+(0.166668-0.41616))+0-0-0</f>
        <v>424.23227599999996</v>
      </c>
      <c r="I356" s="3">
        <f>574.4+(195.6-370.4)+(-0.878832+(-0.299268--0.566712))+0-0-0</f>
        <v>398.98861200000005</v>
      </c>
      <c r="J356" s="3">
        <f>573.9+(192-362.4)+(-0.585378+(-0.19584--0.369648))+0-0-0</f>
        <v>403.08843000000002</v>
      </c>
      <c r="K356" s="3">
        <f>577.8+(212.1-372.5)+(0+(0-0))+0-0-0</f>
        <v>417.4</v>
      </c>
      <c r="L356" s="3">
        <f>577+(253-401)+(0+(0-0))+0-0-0</f>
        <v>429</v>
      </c>
      <c r="M356" s="3">
        <f>580.6+(268.8-386.2)+(0.592212+(0.274176-0.393924))+0-0-0</f>
        <v>463.67246400000005</v>
      </c>
      <c r="N356" s="3">
        <f>577.5+(266.9-344.7)+(0+(0-0))+0-0-0</f>
        <v>499.7</v>
      </c>
      <c r="O356" s="3">
        <f>576.3+(273.6-293.4)+(0.293913+(0.139536-0.149634))+0-0-0</f>
        <v>556.783815</v>
      </c>
      <c r="P356" s="3">
        <f>624.2+(215.9-315.3)+(0+(0-0))+0-0-0</f>
        <v>524.80000000000007</v>
      </c>
      <c r="Q356" s="3">
        <f>746.5+(197.7-343.7)+(0+(0-0))+0-0-0</f>
        <v>600.5</v>
      </c>
      <c r="R356" s="3">
        <f>770.8+(169.8-362)+(-1.96554+(-0.43299--0.9231))+0-0-0</f>
        <v>577.12456999999995</v>
      </c>
      <c r="S356" s="3">
        <f>734.1+(182.1-360.9)+(-0.374391+(-0.092871--0.184059))+0-0-0</f>
        <v>555.01679700000011</v>
      </c>
      <c r="T356" s="3">
        <f>662.2+(216.4-332.5)+(0+(0-0))+0-0-0</f>
        <v>546.1</v>
      </c>
      <c r="U356" s="3">
        <f>685.5+(199.4-343.3)+(-0.349605+(-0.101694--0.175083))+0-0-0</f>
        <v>541.32378400000005</v>
      </c>
      <c r="V356" s="3">
        <f>784.4+(150.5-384.2)+(-0.800088+(-0.15351--0.391884))+0-0-0</f>
        <v>550.13828599999999</v>
      </c>
      <c r="W356" s="3">
        <f>817.2+(157.3-380.5)+(-1.250316+(-0.240669--0.582165))+0-0-0</f>
        <v>593.09118000000001</v>
      </c>
      <c r="X356" s="3">
        <f>777.8+(215.1-334)+(0+(0-0))+0-0-0</f>
        <v>658.9</v>
      </c>
      <c r="Y356" s="3">
        <f>787.9+(239-358.6)+(-1.205487+(-0.36567--0.548658))+0-0-0</f>
        <v>667.27750099999992</v>
      </c>
      <c r="Z356" s="3">
        <f>786.1+(234.7-365.1)+(-2.004555+(-0.598485--0.931005))+0-0-0</f>
        <v>654.02796499999999</v>
      </c>
      <c r="AA356" s="3">
        <f>783+(239.9-382.8)+(-1.59732+(-0.489396--0.780912))+0-0-0</f>
        <v>638.79419600000006</v>
      </c>
      <c r="AB356" s="3">
        <f>746.9+(238.7-404.7)+(-0.380919+(-0.121737--0.206397))+0-0-0</f>
        <v>580.60374100000001</v>
      </c>
      <c r="AC356" s="3">
        <f>569.9+(252.5-315.6)+(-1.162596+(-0.5151--0.643824))+0-0-0</f>
        <v>505.76612799999998</v>
      </c>
      <c r="AD356">
        <v>685.2</v>
      </c>
      <c r="AE356" s="3">
        <f>790+(228.9-333.7)+(0+(0-0))+0-0-0</f>
        <v>685.2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587.7+(211.1-339)+(-0.599454+(-0.215322--0.34578))+0-0-0</f>
        <v>459.33100400000006</v>
      </c>
      <c r="G357" s="3">
        <f>612+(202-385.9)+(-0.62424+(-0.20604--0.393618))+0-0-0</f>
        <v>427.66333800000001</v>
      </c>
      <c r="H357" s="3">
        <f>567.8+(191.4-340.9)+(-1.158312+(-0.390456--0.695436))+0-0-0</f>
        <v>417.44666799999993</v>
      </c>
      <c r="I357" s="3">
        <f>562.1+(172.2-323.8)+(0+(0-0))+0-0-0</f>
        <v>410.5</v>
      </c>
      <c r="J357" s="3">
        <f>558.6+(170.5-313.4)+(-0.569772+(-0.17391--0.319668))+0-0-0</f>
        <v>415.27598600000005</v>
      </c>
      <c r="K357" s="3">
        <f>562.9+(174-310.4)+(0.287079+(0.08874-0.158304))+0-0-0</f>
        <v>426.71751499999999</v>
      </c>
      <c r="L357" s="3">
        <f>562.4+(186.6-316.2)+(-0.286824+(-0.095166--0.161262))+0-0-0</f>
        <v>432.57927199999995</v>
      </c>
      <c r="M357" s="3">
        <f>592.4+(215.4-333.6)+(0+(0-0))+0-0-0</f>
        <v>474.19999999999993</v>
      </c>
      <c r="N357" s="3">
        <f>641.7+(211.5-343.7)+(0.327267+(0.107865-0.175287))+0-0-0</f>
        <v>509.75984500000004</v>
      </c>
      <c r="O357" s="3">
        <f>697.3+(185.9-328.3)+(-0.355623+(-0.094809--0.167433))+0-0-0</f>
        <v>554.61700099999996</v>
      </c>
      <c r="P357" s="3">
        <f>732.4+(157.2-318.8)+(-0.373524+(-0.080172--0.162588))+0-0-0</f>
        <v>570.50889199999995</v>
      </c>
      <c r="Q357" s="3">
        <f>740.8+(147.5-313.2)+(0.377808+(0.075225-0.159732))+0-0-0</f>
        <v>575.39330099999995</v>
      </c>
      <c r="R357" s="3">
        <f>822.2+(114.8-364.6)+(-2.09661+(-0.29274--0.92973))+0-0-0</f>
        <v>570.94038000000012</v>
      </c>
      <c r="S357" s="3">
        <f>931.1+(61.1-435.9)+(-1.899444+(-0.124644--0.889236))+0-0-0</f>
        <v>555.16514800000004</v>
      </c>
      <c r="T357" s="3">
        <f>917+(72.5-430.1)+(0.46767+(0.036975-0.219351))+0-0-0</f>
        <v>559.685294</v>
      </c>
      <c r="U357" s="3">
        <f>738.2+(134.4-289.2)+(-0.752964+(-0.137088--0.294984))+0-0-0</f>
        <v>582.80493200000012</v>
      </c>
      <c r="V357" s="3">
        <f>906+(87.3-351.2)+(-2.3103+(-0.222615--0.89556))+0-0-0</f>
        <v>640.46264500000007</v>
      </c>
      <c r="W357" s="3">
        <f>849.9+(101.8-313.4)+(-1.733796+(-0.207672--0.639336))+0-0-0</f>
        <v>636.99786799999993</v>
      </c>
      <c r="X357" s="3">
        <f>880.7+(119.4-370.6)+(-0.449157+(-0.060894--0.189006))+0-0-0</f>
        <v>629.17895499999997</v>
      </c>
      <c r="Y357" s="3">
        <f>969.9+(131-435.4)+(-1.483947+(-0.20043--0.666162))+0-0-0</f>
        <v>664.48178499999995</v>
      </c>
      <c r="Z357" s="3">
        <f>939.1+(133-409.1)+(-1.436823+(-0.20349--0.625923))+0-0-0</f>
        <v>661.98560999999995</v>
      </c>
      <c r="AA357" s="3">
        <f>904.1+(148.9-405.8)+(-0.922182+(-0.151878--0.413916))+0-0-0</f>
        <v>646.5398560000001</v>
      </c>
      <c r="AB357" s="3">
        <f>902.3+(143.8-417.3)+(-1.380519+(-0.220014--0.638469))+0-0-0</f>
        <v>627.8379359999999</v>
      </c>
      <c r="AC357" s="3">
        <f>900.7+(104-438.9)+(-0.459357+(-0.05304--0.223839))+0-0-0</f>
        <v>565.5114420000001</v>
      </c>
      <c r="AD357">
        <v>658.19999999999993</v>
      </c>
      <c r="AE357" s="3">
        <f>958+(133.8-433.6)+(0+(0-0))+0-0-0</f>
        <v>658.2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730.1+(100.6-442.9)+(-1.117053+(-0.153918--0.677637))+0-0-0</f>
        <v>387.20666600000004</v>
      </c>
      <c r="G358" s="3">
        <f>718.9+(78.7-458.7)+(-0.733278+(-0.080274--0.467874))+0-0-0</f>
        <v>338.55432199999996</v>
      </c>
      <c r="H358" s="3">
        <f>712.3+(70.5-435.2)+(-1.089819+(-0.107865--0.665856))+0-0-0</f>
        <v>347.06817199999995</v>
      </c>
      <c r="I358" s="3">
        <f>664.9+(110.3-345)+(-0.678198+(-0.112506--0.3519))+0-0-0</f>
        <v>429.76119599999998</v>
      </c>
      <c r="J358" s="3">
        <f>667.4+(105.6-351.5)+(0.680748+(0.107712-0.35853))+0-0-0</f>
        <v>421.92993000000001</v>
      </c>
      <c r="K358" s="3">
        <f>665+(115.5-355.5)+(0+(0-0))+0-0-0</f>
        <v>425</v>
      </c>
      <c r="L358" s="3">
        <f>660.3+(131-385)+(0.336753+(0.06681-0.19635))+0-0-0</f>
        <v>406.50721299999998</v>
      </c>
      <c r="M358" s="3">
        <f>764.2+(129.1-432.7)+(0.779484+(0.131682-0.441354))+0-0-0</f>
        <v>461.06981200000001</v>
      </c>
      <c r="N358" s="3">
        <f>925.7+(85.5-510.9)+(0.944214+(0.08721-0.521118))+0-0-0</f>
        <v>500.81030600000008</v>
      </c>
      <c r="O358" s="3">
        <f>947.6+(100.7-512.4)+(0.483276+(0.051357-0.261324))+0-0-0</f>
        <v>536.17330900000013</v>
      </c>
      <c r="P358" s="3">
        <f>1033.5+(60.2-536.8)+(0+(0-0))+0-0-0</f>
        <v>556.90000000000009</v>
      </c>
      <c r="Q358" s="3">
        <f>1035.6+(48.5-511.5)+(0+(0-0))+0-0-0</f>
        <v>572.59999999999991</v>
      </c>
      <c r="R358" s="3">
        <f>960+(66.1-474.8)+(-1.9584+(-0.134844--0.968592))+0-0-0</f>
        <v>550.17534799999999</v>
      </c>
      <c r="S358" s="3">
        <f>923.5+(73.6-451.1)+(-0.470985+(-0.037536--0.230061))+0-0-0</f>
        <v>545.72154</v>
      </c>
      <c r="T358" s="3">
        <f>924.8+(68.8-439)+(0+(0-0))+0-0-0</f>
        <v>554.59999999999991</v>
      </c>
      <c r="U358" s="3">
        <f>924.2+(67.7-437.1)+(-0.942684+(-0.069054--0.445842))+0-0-0</f>
        <v>554.234104</v>
      </c>
      <c r="V358" s="3">
        <f>931.4+(72.1-453.5)+(0.475014+(0.036771-0.231285))+0-0-0</f>
        <v>550.28049999999996</v>
      </c>
      <c r="W358" s="3">
        <f>931.3+(82.1-451.4)+(0.474963+(0.041871-0.230214))+0-0-0</f>
        <v>562.28661999999997</v>
      </c>
      <c r="X358" s="3">
        <f>959+(105.7-427.7)+(0.48909+(0.053907-0.218127))+0-0-0</f>
        <v>637.32487000000003</v>
      </c>
      <c r="Y358" s="3">
        <f>953.3+(154.2-434.6)+(-0.486183+(-0.078642--0.221646))+0-0-0</f>
        <v>672.5568209999999</v>
      </c>
      <c r="Z358" s="3">
        <f>952+(146.6-435.5)+(0.48552+(0.074766-0.222105))+0-0-0</f>
        <v>663.43818099999999</v>
      </c>
      <c r="AA358" s="3">
        <f>946+(141-440.7)+(-0.48246+(-0.07191--0.224757))+0-0-0</f>
        <v>645.97038699999996</v>
      </c>
      <c r="AB358" s="3">
        <f>929.2+(144-456.3)+(-3.791136+(-0.58752--1.861704))+0-0-0</f>
        <v>614.38304800000014</v>
      </c>
      <c r="AC358" s="3">
        <f>924.8+(96.5-472.6)+(-2.829888+(-0.29529--1.446156))+0-0-0</f>
        <v>547.0209779999999</v>
      </c>
      <c r="AD358">
        <v>680.5</v>
      </c>
      <c r="AE358" s="3">
        <f>957+(131.2-407.7)+(0+(0-0))+0-0-0</f>
        <v>680.5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914.9+(60.7-482.5)+(-1.399797+(-0.092871--0.738225))+0-0-0</f>
        <v>492.34555699999999</v>
      </c>
      <c r="G359" s="3">
        <f>903.5+(35.9-481.6)+(-0.460785+(-0.018309--0.245616))+0-0-0</f>
        <v>457.56652199999996</v>
      </c>
      <c r="H359" s="3">
        <f>773.4+(59.8-401.4)+(0+(0-0))+0-0-0</f>
        <v>431.8</v>
      </c>
      <c r="I359" s="3">
        <f>725.8+(64.6-358.7)+(0.370158+(0.032946-0.182937))+0-0-0</f>
        <v>431.92016699999994</v>
      </c>
      <c r="J359" s="3">
        <f>724.1+(52.3-343.9)+(0+(0-0))+0-0-0</f>
        <v>432.50000000000006</v>
      </c>
      <c r="K359" s="3">
        <f>773.9+(42.3-386.7)+(0.394689+(0.021573-0.197217))+0-0-0</f>
        <v>429.71904499999999</v>
      </c>
      <c r="L359" s="3">
        <f>894.4+(19.3-468)+(-1.824576+(-0.039372--0.95472))+0-0-0</f>
        <v>444.790772</v>
      </c>
      <c r="M359" s="3">
        <f>910.9+(24.2-459.8)+(1.393677+(0.037026-0.703494))+0-0-0</f>
        <v>476.02720899999997</v>
      </c>
      <c r="N359" s="3">
        <f>909.7+(65.7-446.3)+(0.927894+(0.067014-0.455226))+0-0-0</f>
        <v>529.63968199999999</v>
      </c>
      <c r="O359" s="3">
        <f>931.1+(69.9-413.4)+(1.899444+(0.142596-0.843336))+0-0-0</f>
        <v>588.79870400000004</v>
      </c>
      <c r="P359" s="3">
        <f>953.2+(43.3-386)+(0+(0-0))+0-0-0</f>
        <v>610.5</v>
      </c>
      <c r="Q359" s="3">
        <f>839.4+(71.7-288.2)+(-0.428094+(-0.036567--0.146982))+0-0-0</f>
        <v>622.58232099999998</v>
      </c>
      <c r="R359" s="3">
        <f>699.8+(127.1-224)+(0+(0-0))+0-0-0</f>
        <v>602.9</v>
      </c>
      <c r="S359" s="3">
        <f>700.5+(120.1-238)+(0+(0-0))+0-0-0</f>
        <v>582.6</v>
      </c>
      <c r="T359" s="3">
        <f>689.2+(118.5-229.1)+(0+(0-0))+0-0-0</f>
        <v>578.6</v>
      </c>
      <c r="U359" s="3">
        <f>646.9+(137.5-221.8)+(-0.989757+(-0.210375--0.339354))+0-0-0</f>
        <v>561.73922199999993</v>
      </c>
      <c r="V359" s="3">
        <f>578+(169.6-188.7)+(1.17912+(0.345984-0.384948))+0-0-0</f>
        <v>560.04015600000002</v>
      </c>
      <c r="W359" s="3">
        <f>656.6+(126.4-196.7)+(-0.334866+(-0.064464--0.100317))+0-0-0</f>
        <v>586.00098700000012</v>
      </c>
      <c r="X359" s="3">
        <f>730.2+(122.9-189)+(0+(0-0))+0-0-0</f>
        <v>664.1</v>
      </c>
      <c r="Y359" s="3">
        <f>722.2+(147.9-196.6)+(-1.104966+(-0.226287--0.300798))+0-0-0</f>
        <v>672.46954500000004</v>
      </c>
      <c r="Z359" s="3">
        <f>678.2+(158.9-195.1)+(-0.345882+(-0.081039--0.099501))+0-0-0</f>
        <v>641.67258000000004</v>
      </c>
      <c r="AA359" s="3">
        <f>714.7+(151.5-242.2)+(-0.364497+(-0.077265--0.123522))+0-0-0</f>
        <v>623.68176000000005</v>
      </c>
      <c r="AB359" s="3">
        <f>709.5+(175.4-284.5)+(-1.809225+(-0.44727--0.725475))+0-0-0</f>
        <v>598.86897999999997</v>
      </c>
      <c r="AC359" s="3">
        <f>710.8+(170-326.6)+(-1.81254+(-0.4335--0.83283))+0-0-0</f>
        <v>552.78678999999988</v>
      </c>
      <c r="AD359">
        <v>682.30000000000007</v>
      </c>
      <c r="AE359" s="3">
        <f>734+(139.7-191.4)+(0+(0-0))+0-0-0</f>
        <v>682.3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698+(165.3-362)+(-0.71196+(-0.168606--0.36924))+0-0-0</f>
        <v>500.78867400000001</v>
      </c>
      <c r="G360" s="3">
        <f>655.8+(158.2-350)+(-0.334458+(-0.080682--0.1785))+0-0-0</f>
        <v>463.76335999999992</v>
      </c>
      <c r="H360" s="3">
        <f>617+(146.5-327.9)+(0+(0-0))+0-0-0</f>
        <v>435.6</v>
      </c>
      <c r="I360" s="3">
        <f>620.2+(107.5-309.9)+(0.632604+(0.10965-0.316098))+0-0-0</f>
        <v>418.22615600000006</v>
      </c>
      <c r="J360" s="3">
        <f>624+(104.5-309.9)+(1.5912+(0.266475-0.790245))+0-0-0</f>
        <v>419.66743000000002</v>
      </c>
      <c r="K360" s="3">
        <f>624+(99.8-304)+(1.5912+(0.25449-0.7752))+0-0-0</f>
        <v>420.87049000000002</v>
      </c>
      <c r="L360" s="3">
        <f>616.8+(120.8-320.7)+(0.314568+(0.061608-0.163557))+0-0-0</f>
        <v>417.112619</v>
      </c>
      <c r="M360" s="3">
        <f>699.5+(94.6-356)+(0+(0-0))+0-0-0</f>
        <v>438.1</v>
      </c>
      <c r="N360" s="3">
        <f>710.2+(79.3-293.8)+(0+(0-0))+0-0-0</f>
        <v>495.70000000000005</v>
      </c>
      <c r="O360" s="3">
        <f>716.7+(106.7-277.4)+(0.731034+(0.108834-0.282948))+0-0-0</f>
        <v>546.55691999999999</v>
      </c>
      <c r="P360" s="3">
        <f>713.6+(108.4-262.9)+(-0.363936+(-0.055284--0.134079))+0-0-0</f>
        <v>558.81485900000007</v>
      </c>
      <c r="Q360" s="3">
        <f>715.9+(112.9-270.3)+(-0.730218+(-0.115158--0.275706))+0-0-0</f>
        <v>557.93033000000003</v>
      </c>
      <c r="R360" s="3">
        <f>716.2+(104-264.8)+(-0.730524+(-0.10608--0.270096))+0-0-0</f>
        <v>554.83349200000009</v>
      </c>
      <c r="S360" s="3">
        <f>718.1+(99.7-271.3)+(-0.366231+(-0.050847--0.138363))+0-0-0</f>
        <v>546.22128499999997</v>
      </c>
      <c r="T360" s="3">
        <f>766.9+(62.3-295.1)+(-1.564476+(-0.127092--0.602004))+0-0-0</f>
        <v>533.01043599999991</v>
      </c>
      <c r="U360" s="3">
        <f>795.8+(56.6-320)+(0+(0-0))+0-0-0</f>
        <v>532.4</v>
      </c>
      <c r="V360" s="3">
        <f>866.5+(30-352.7)+(-0.88383+(-0.0306--0.359754))+0-0-0</f>
        <v>543.24532399999998</v>
      </c>
      <c r="W360" s="3">
        <f>916.5+(20.1-376.8)+(-0.467415+(-0.010251--0.192168))+0-0-0</f>
        <v>559.51450199999999</v>
      </c>
      <c r="X360" s="3">
        <f>907.6+(137-436.3)+(-0.462876+(-0.06987--0.222513))+0-0-0</f>
        <v>607.98976699999992</v>
      </c>
      <c r="Y360" s="3">
        <f>925.6+(104.5-335.2)+(-0.944112+(-0.10659--0.341904))+0-0-0</f>
        <v>694.19120200000009</v>
      </c>
      <c r="Z360" s="3">
        <f>901.9+(105.1-314.7)+(-2.299845+(-0.268005--0.802485))+0-0-0</f>
        <v>690.53463499999998</v>
      </c>
      <c r="AA360" s="3">
        <f>902.4+(90-320.1)+(-0.920448+(-0.0918--0.326502))+0-0-0</f>
        <v>671.61425399999996</v>
      </c>
      <c r="AB360" s="3">
        <f>888+(83.1-352.1)+(-1.35864+(-0.127143--0.538713))+0-0-0</f>
        <v>618.05292999999995</v>
      </c>
      <c r="AC360" s="3">
        <f>878.3+(137.1-455.6)+(-1.343799+(-0.209763--0.697068))+0-0-0</f>
        <v>558.94350599999996</v>
      </c>
      <c r="AD360">
        <v>691.99999999999989</v>
      </c>
      <c r="AE360" s="3">
        <f>926+(104.6-338.6)+(0+(0-0))+0-0-0</f>
        <v>692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804.7+(158-427.6)+(-0.820794+(-0.16116--0.436152))+0-0-0</f>
        <v>534.55419800000004</v>
      </c>
      <c r="G361" s="3">
        <f>823.7+(88.6-455.5)+(0.420087+(0.045186-0.232305))+0-0-0</f>
        <v>457.0329680000001</v>
      </c>
      <c r="H361" s="3">
        <f>815.9+(74.5-457.8)+(-1.248327+(-0.113985--0.700434))+0-0-0</f>
        <v>431.93812199999996</v>
      </c>
      <c r="I361" s="3">
        <f>818.1+(56-453.3)+(-0.834462+(-0.05712--0.462366))+0-0-0</f>
        <v>420.37078400000001</v>
      </c>
      <c r="J361" s="3">
        <f>797.2+(59.1-427.3)+(-1.219716+(-0.090423--0.653769))+0-0-0</f>
        <v>428.34363000000008</v>
      </c>
      <c r="K361" s="3">
        <f>759.9+(79.7-408.6)+(1.162647+(0.121941-0.625158))+0-0-0</f>
        <v>431.65942999999993</v>
      </c>
      <c r="L361" s="3">
        <f>888.7+(96.2-563.7)+(-0.906474+(-0.098124--0.574974))+0-0-0</f>
        <v>420.770376</v>
      </c>
      <c r="M361" s="3">
        <f>913.2+(123.2-581.1)+(0+(0-0))+0-0-0</f>
        <v>455.3</v>
      </c>
      <c r="N361" s="3">
        <f>884.3+(172.7-553.8)+(0.901986+(0.176154-0.564876))+0-0-0</f>
        <v>503.71326399999998</v>
      </c>
      <c r="O361" s="3">
        <f>942.7+(191.8-586.6)+(1.442331+(0.293454-0.897498))+0-0-0</f>
        <v>548.73828700000013</v>
      </c>
      <c r="P361" s="3">
        <f>980.9+(182.5-576.4)+(0+(0-0))+0-0-0</f>
        <v>587</v>
      </c>
      <c r="Q361" s="3">
        <f>987.6+(202.9-585.1)+(-0.503676+(-0.103479--0.298401))+0-0-0</f>
        <v>605.09124599999996</v>
      </c>
      <c r="R361" s="3">
        <f>976+(176-562.6)+(-3.98208+(-0.71808--2.295408))+0-0-0</f>
        <v>586.99524799999995</v>
      </c>
      <c r="S361" s="3">
        <f>972.9+(146.4-560.5)+(-1.984716+(-0.298656--1.14342))+0-0-0</f>
        <v>557.66004799999996</v>
      </c>
      <c r="T361" s="3">
        <f>961.8+(137.9-551.1)+(0.490518+(0.070329-0.281061))+0-0-0</f>
        <v>548.87978599999985</v>
      </c>
      <c r="U361" s="3">
        <f>947.3+(135.5-544.5)+(-2.898738+(-0.41463--1.66617))+0-0-0</f>
        <v>536.65280199999995</v>
      </c>
      <c r="V361" s="3">
        <f>926.9+(126.4-507.3)+(-2.836314+(-0.386784--1.552338))+0-0-0</f>
        <v>544.32924000000003</v>
      </c>
      <c r="W361" s="3">
        <f>903.4+(137.9-502.5)+(-1.382202+(-0.210987--0.768825))+0-0-0</f>
        <v>537.97563600000001</v>
      </c>
      <c r="X361" s="3">
        <f>948.5+(108.9-455.1)+(-0.483735+(-0.055539--0.232101))+0-0-0</f>
        <v>601.99282699999992</v>
      </c>
      <c r="Y361" s="3">
        <f>953.1+(174.5-480.7)+(-1.944324+(-0.35598--0.980628))+0-0-0</f>
        <v>645.58032400000013</v>
      </c>
      <c r="Z361" s="3">
        <f>957.9+(144.6-461.2)+(0.488529+(0.073746-0.235212))+0-0-0</f>
        <v>641.62706299999991</v>
      </c>
      <c r="AA361" s="3">
        <f>945.7+(145.3-462)+(-1.446921+(-0.222309--0.70686))+0-0-0</f>
        <v>628.03763000000004</v>
      </c>
      <c r="AB361" s="3">
        <f>938.7+(178.3-522.1)+(-0.478737+(-0.090933--0.266271))+0-0-0</f>
        <v>594.59660100000008</v>
      </c>
      <c r="AC361" s="3">
        <f>884.5+(188.9-509)+(-3.157665+(-0.674373--1.81713))+0-0-0</f>
        <v>562.38509199999999</v>
      </c>
      <c r="AD361">
        <v>763.7</v>
      </c>
      <c r="AE361" s="3">
        <f>952+(209.9-398.2)+(0+(0-0))+0-0-0</f>
        <v>763.7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757.3+(246-489.3)+(-0.772446+(-0.25092--0.499086))+0-0-0</f>
        <v>513.47572000000002</v>
      </c>
      <c r="G362" s="3">
        <f>700.7+(204.1-427.1)+(-1.429428+(-0.416364--0.871284))+0-0-0</f>
        <v>476.72549200000003</v>
      </c>
      <c r="H362" s="3">
        <f>699.1+(134.2-397.3)+(-1.069623+(-0.205326--0.607869))+0-0-0</f>
        <v>435.33292</v>
      </c>
      <c r="I362" s="3">
        <f>698.7+(110.6-376.2)+(-1.425348+(-0.225624--0.767448))+0-0-0</f>
        <v>432.216476</v>
      </c>
      <c r="J362" s="3">
        <f>703.9+(111.8-387.3)+(1.076967+(0.171054-0.592569))+0-0-0</f>
        <v>429.055452</v>
      </c>
      <c r="K362" s="3">
        <f>707.8+(115.1-399.4)+(1.443912+(0.234804-0.814776))+0-0-0</f>
        <v>424.36394000000001</v>
      </c>
      <c r="L362" s="3">
        <f>698.8+(128-437.8)+(-0.356388+(-0.06528--0.223278))+0-0-0</f>
        <v>388.80160999999993</v>
      </c>
      <c r="M362" s="3">
        <f>697.7+(148.7-444.1)+(-0.355827+(-0.075837--0.226491))+0-0-0</f>
        <v>402.09482700000001</v>
      </c>
      <c r="N362" s="3">
        <f>700.1+(150.5-407.7)+(-1.071153+(-0.230265--0.623781))+0-0-0</f>
        <v>442.22236300000003</v>
      </c>
      <c r="O362" s="3">
        <f>764.4+(199.4-465.4)+(0+(0-0))+0-0-0</f>
        <v>498.4</v>
      </c>
      <c r="P362" s="3">
        <f>850.7+(187.3-515.2)+(1.735428+(0.382092-1.051008))+0-0-0</f>
        <v>523.86651199999994</v>
      </c>
      <c r="Q362" s="3">
        <f>843.1+(202.9-520)+(-0.429981+(-0.103479--0.2652))+0-0-0</f>
        <v>525.73173999999995</v>
      </c>
      <c r="R362" s="3">
        <f>778.5+(240.4-489.4)+(-1.985175+(-0.61302--1.24797))+0-0-0</f>
        <v>528.14977499999998</v>
      </c>
      <c r="S362" s="3">
        <f>825.5+(234.2-542.2)+(-0.421005+(-0.119442--0.276522))+0-0-0</f>
        <v>517.23607500000003</v>
      </c>
      <c r="T362" s="3">
        <f>823.5+(276.9-587)+(-2.099925+(-0.706095--1.49685))+0-0-0</f>
        <v>512.09082999999998</v>
      </c>
      <c r="U362" s="3">
        <f>831.7+(274.7-583.8)+(-0.424167+(-0.140097--0.297738))+0-0-0</f>
        <v>522.33347400000014</v>
      </c>
      <c r="V362" s="3">
        <f>828.5+(284.7-587.5)+(-0.422535+(-0.145197--0.299625))+0-0-0</f>
        <v>525.43189300000006</v>
      </c>
      <c r="W362" s="3">
        <f>838.4+(257.7-542.9)+(0.427584+(0.131427-0.276879))+0-0-0</f>
        <v>553.48213200000009</v>
      </c>
      <c r="X362" s="3">
        <f>881.1+(185.1-449.4)+(0+(0-0))+0-0-0</f>
        <v>616.80000000000007</v>
      </c>
      <c r="Y362" s="3">
        <f>894.6+(183.1-436.8)+(-2.28123+(-0.466905--1.11384))+0-0-0</f>
        <v>639.26570500000003</v>
      </c>
      <c r="Z362" s="3">
        <f>918.6+(192.3-481.4)+(0+(0-0))+0-0-0</f>
        <v>629.5</v>
      </c>
      <c r="AA362" s="3">
        <f>961.4+(157.8-499.2)+(-2.941884+(-0.482868--1.527552))+0-0-0</f>
        <v>618.1028</v>
      </c>
      <c r="AB362" s="3">
        <f>978.9+(155.9-555.5)+(-0.499239+(-0.079509--0.283305))+0-0-0</f>
        <v>579.00455699999998</v>
      </c>
      <c r="AC362" s="3">
        <f>968.4+(120.1-559.7)+(-1.975536+(-0.245004--1.141788))+0-0-0</f>
        <v>527.72124799999995</v>
      </c>
      <c r="AD362">
        <v>634.40000000000009</v>
      </c>
      <c r="AE362" s="3">
        <f>902+(181.2-448.8)+(0+(0-0))+0-0-0</f>
        <v>634.4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933+(95.2-555.6)+(-0.95166+(-0.097104--0.566712))+0-0-0</f>
        <v>472.11794799999996</v>
      </c>
      <c r="G363" s="3">
        <f>797.4+(115.6-474.3)+(-0.813348+(-0.117912--0.483786))+0-0-0</f>
        <v>438.25252599999993</v>
      </c>
      <c r="H363" s="3">
        <f>675.3+(134.7-409.4)+(0+(0-0))+0-0-0</f>
        <v>400.59999999999997</v>
      </c>
      <c r="I363" s="3">
        <f>677.3+(122.5-403.2)+(-1.036269+(-0.187425--0.616896))+0-0-0</f>
        <v>395.99320199999994</v>
      </c>
      <c r="J363" s="3">
        <f>682+(111.7-397.7)+(0.34782+(0.056967-0.202827))+0-0-0</f>
        <v>396.20195999999999</v>
      </c>
      <c r="K363" s="3">
        <f>684.7+(136.7-421.1)+(1.047591+(0.209151-0.644283))+0-0-0</f>
        <v>400.91245900000001</v>
      </c>
      <c r="L363" s="3">
        <f>679.5+(172.9-450.6)+(-1.732725+(-0.440895--1.14903))+0-0-0</f>
        <v>400.77540999999997</v>
      </c>
      <c r="M363" s="3">
        <f>681.6+(196.2-458.7)+(-1.390464+(-0.400248--0.935748))+0-0-0</f>
        <v>418.24503600000003</v>
      </c>
      <c r="N363" s="3">
        <f>702.8+(213.4-450.3)+(0+(0-0))+0-0-0</f>
        <v>465.9</v>
      </c>
      <c r="O363" s="3">
        <f>880.8+(171.8-545.9)+(0.449208+(0.087618-0.278409))+0-0-0</f>
        <v>506.958417</v>
      </c>
      <c r="P363" s="3">
        <f>1012.5+(138.1-627.8)+(0+(0-0))+0-0-0</f>
        <v>522.80000000000007</v>
      </c>
      <c r="Q363" s="3">
        <f>1004+(122.3-607.8)+(0+(0-0))+0-0-0</f>
        <v>518.5</v>
      </c>
      <c r="R363" s="3">
        <f>1007.2+(124.9-625.2)+(-2.054688+(-0.254796--1.275408))+0-0-0</f>
        <v>505.86592399999995</v>
      </c>
      <c r="S363" s="3">
        <f>979.3+(90.5-577)+(-1.498329+(-0.138465--0.88281))+0-0-0</f>
        <v>492.04601599999995</v>
      </c>
      <c r="T363" s="3">
        <f>981.3+(91-581)+(-0.500463+(-0.04641--0.29631))+0-0-0</f>
        <v>491.04943699999995</v>
      </c>
      <c r="U363" s="3">
        <f>999+(86-584)+(0+(0-0))+0-0-0</f>
        <v>501</v>
      </c>
      <c r="V363" s="3">
        <f>1032.9+(75.5-612.1)+(-1.580337+(-0.115515--0.936513))+11.5-0-0</f>
        <v>507.04066100000006</v>
      </c>
      <c r="W363" s="3">
        <f>1046.6+(52.1-573.4)+(0+(0-0))+0-0-0</f>
        <v>525.29999999999995</v>
      </c>
      <c r="X363" s="3">
        <f>1052.2+(69.8-527.5)+(-0.536622+(-0.035598--0.269025))+0-0-0</f>
        <v>594.19680500000004</v>
      </c>
      <c r="Y363" s="3">
        <f>1083.1+(100.1-600.4)+(-1.657143+(-0.153153--0.918612))+0-0-0</f>
        <v>581.9083159999999</v>
      </c>
      <c r="Z363" s="3">
        <f>1082.4+(109.9-579.2)+(-1.656072+(-0.168147--0.886176))+92.7-0-0</f>
        <v>704.86195700000007</v>
      </c>
      <c r="AA363" s="3">
        <f>1080+(90-556.9)+(-1.1016+(-0.0918--0.568038))+43.5-0-0</f>
        <v>655.97463800000003</v>
      </c>
      <c r="AB363" s="3">
        <f>1071.8+(79.8-578.2)+(-2.73309+(-0.20349--1.47441))+0-0-0</f>
        <v>571.93782999999985</v>
      </c>
      <c r="AC363" s="3">
        <f>1071.9+(45.3-613.9)+(-1.640007+(-0.069309--0.939267))+0-0-0</f>
        <v>502.5299510000001</v>
      </c>
      <c r="AD363">
        <v>616.9</v>
      </c>
      <c r="AE363" s="3">
        <f>1071+(98.5-552.6)+(0+(0-0))+0-0-0</f>
        <v>616.9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1037.7+(34.3-562.2)+(-2.646135+(-0.087465--1.43361))+0-0-0</f>
        <v>508.50000999999997</v>
      </c>
      <c r="G364" s="3">
        <f>881.6+(39-494.6)+(-2.24808+(-0.09945--1.26123))+0-0-0</f>
        <v>424.91370000000001</v>
      </c>
      <c r="H364" s="3">
        <f>879.4+(21.8-551.1)+(-0.448494+(-0.011118--0.281061))+0-0-0</f>
        <v>349.92144899999988</v>
      </c>
      <c r="I364" s="3">
        <f>873.1+(26-497)+(-1.335843+(-0.03978--0.76041))+0-0-0</f>
        <v>401.48478700000004</v>
      </c>
      <c r="J364" s="3">
        <f>878.2+(28.9-530.6)+(-1.343646+(-0.044217--0.811818))+0-0-0</f>
        <v>375.92395499999998</v>
      </c>
      <c r="K364" s="3">
        <f>878.2+(28.4-546.4)+(-1.343646+(-0.043452--0.835992))+0-0-0</f>
        <v>359.64889400000004</v>
      </c>
      <c r="L364" s="3">
        <f>873.2+(25.9-511.5)+(-0.890664+(-0.026418--0.52173))+0-0-0</f>
        <v>387.20464800000002</v>
      </c>
      <c r="M364" s="3">
        <f>877.3+(21.5-511.3)+(0.447423+(0.010965-0.260763))+0-0-0</f>
        <v>387.69762499999996</v>
      </c>
      <c r="N364" s="3">
        <f>877.7+(35.7-453.1)+(0.447627+(0.018207-0.231081))+0-0-0</f>
        <v>460.53475300000002</v>
      </c>
      <c r="O364" s="3">
        <f>876.3+(96.5-473)+(0+(0-0))+6.9-0-0</f>
        <v>506.69999999999993</v>
      </c>
      <c r="P364" s="3">
        <f>1042.1+(42.2-571.9)+(-1.594413+(-0.064566--0.875007))+6.7-0-0</f>
        <v>518.31602799999996</v>
      </c>
      <c r="Q364" s="3">
        <f>1081.2+(22.8-554)+(0+(0-0))+0-0-0</f>
        <v>550</v>
      </c>
      <c r="R364" s="3">
        <f>1006.5+(57.1-537.9)+(-1.02663+(-0.058242--0.548658))+0-0-0</f>
        <v>525.16378600000007</v>
      </c>
      <c r="S364" s="3">
        <f>996.5+(56.5-540.3)+(-1.01643+(-0.05763--0.551106))+0-0-0</f>
        <v>512.17704600000002</v>
      </c>
      <c r="T364" s="3">
        <f>1005.3+(33.5-527.4)+(0+(0-0))+0-0-0</f>
        <v>511.4</v>
      </c>
      <c r="U364" s="3">
        <f>1000.9+(31.3-524.5)+(-0.510459+(-0.015963--0.267495))+0-0-0</f>
        <v>507.44107299999996</v>
      </c>
      <c r="V364" s="3">
        <f>1001.3+(28.9-523.5)+(-0.510663+(-0.014739--0.266985))+0-0-0</f>
        <v>506.44158299999992</v>
      </c>
      <c r="W364" s="3">
        <f>1002.1+(18.9-516.7)+(-1.022142+(-0.019278--0.527034))+0-0-0</f>
        <v>503.78561399999995</v>
      </c>
      <c r="X364" s="3">
        <f>1060.9+(31.8-480.9)+(-0.541059+(-0.016218--0.245259))+0-0-0</f>
        <v>611.48798200000022</v>
      </c>
      <c r="Y364" s="3">
        <f>1051+(115-508.5)+(-2.68005+(-0.29325--1.296675))+0-0-0</f>
        <v>655.82337500000006</v>
      </c>
      <c r="Z364" s="3">
        <f>1014.5+(124.1-501)+(-3.10437+(-0.379746--1.53306))+0-0-0</f>
        <v>635.64894400000003</v>
      </c>
      <c r="AA364" s="3">
        <f>1019.9+(113.6-501.3)+(-1.040298+(-0.115872--0.511326))+0-0-0</f>
        <v>631.5551559999999</v>
      </c>
      <c r="AB364" s="3">
        <f>1016.4+(115-535.7)+(-2.073456+(-0.2346--1.092828))+0-0-0</f>
        <v>594.48477199999991</v>
      </c>
      <c r="AC364" s="3">
        <f>1015.1+(61.5-526.5)+(-1.035402+(-0.06273--0.53703))+0-0-0</f>
        <v>549.53889800000002</v>
      </c>
      <c r="AD364">
        <v>685.59999999999991</v>
      </c>
      <c r="AE364" s="3">
        <f>1086+(107.3-507.7)+(0+(0-0))+0-0-0</f>
        <v>685.6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972.8+(18.9-542.5)+(0.496128+(0.009639-0.276675))+0-0-0</f>
        <v>449.42909199999991</v>
      </c>
      <c r="G365" s="3">
        <f>958.7+(8.9-551.7)+(-2.444685+(-0.022695--1.406835))+0-0-0</f>
        <v>414.83945499999999</v>
      </c>
      <c r="H365" s="3">
        <f>915.5+(11.8-543.8)+(-0.466905+(-0.006018--0.277338))+0-0-0</f>
        <v>383.30441500000001</v>
      </c>
      <c r="I365" s="3">
        <f>864.8+(12.3-518)+(-0.882096+(-0.012546--0.52836))+0-0-0</f>
        <v>358.73371799999995</v>
      </c>
      <c r="J365" s="3">
        <f>884.1+(14.1-541)+(1.352673+(0.021573-0.82773))+0-0-0</f>
        <v>357.74651600000004</v>
      </c>
      <c r="K365" s="3">
        <f>880.1+(13.1-539.3)+(0.448851+(0.006681-0.275043))+0-0-0</f>
        <v>354.08048900000011</v>
      </c>
      <c r="L365" s="3">
        <f>874.9+(9.9-558)+(-1.784796+(-0.020196--1.13832))+0-0-0</f>
        <v>326.13332799999995</v>
      </c>
      <c r="M365" s="3">
        <f>884.3+(3.5-548.3)+(0.450993+(0.001785-0.279633))+0-0-0</f>
        <v>339.67314499999998</v>
      </c>
      <c r="N365" s="3">
        <f>886.1+(9.3-523.5)+(0.903822+(0.009486-0.53397))+0-0-0</f>
        <v>372.279338</v>
      </c>
      <c r="O365" s="3">
        <f>879.2+(40.2-508.7)+(-0.448392+(-0.020502--0.259437))+0-0-0</f>
        <v>410.49054300000006</v>
      </c>
      <c r="P365" s="3">
        <f>876.6+(57-496.3)+(-1.788264+(-0.11628--1.012452))+0-0-0</f>
        <v>436.40790800000002</v>
      </c>
      <c r="Q365" s="3">
        <f>958.7+(42.8-549.9)+(-0.488937+(-0.021828--0.280449))+0-0-0</f>
        <v>451.36968400000006</v>
      </c>
      <c r="R365" s="3">
        <f>1050.8+(10.6-569.6)+(-3.215448+(-0.032436--1.742976))+0-0-0</f>
        <v>490.29509199999995</v>
      </c>
      <c r="S365" s="3">
        <f>1062.6+(1.8-578.9)+(0.541926+(0.000918-0.295239))+0-0-0</f>
        <v>485.74760499999991</v>
      </c>
      <c r="T365" s="3">
        <f>1012.2+(5.8-541.1)+(-0.516222+(-0.002958--0.275961))+0-0-0</f>
        <v>476.65678099999997</v>
      </c>
      <c r="U365" s="3">
        <f>952.6+(9.1-498.8)+(-0.485826+(-0.004641--0.254388))+0-0-0</f>
        <v>462.66392100000002</v>
      </c>
      <c r="V365" s="3">
        <f>879.8+(15.3-440.9)+(0+(0-0))+0-0-0</f>
        <v>454.2</v>
      </c>
      <c r="W365" s="3">
        <f>869+(31.7-430.3)+(-1.77276+(-0.064668--0.877812))+0-0-0</f>
        <v>469.44038399999999</v>
      </c>
      <c r="X365" s="3">
        <f>941.8+(58.1-443.6)+(-1.440954+(-0.088893--0.678708))+0-0-0</f>
        <v>555.44886099999997</v>
      </c>
      <c r="Y365" s="3">
        <f>1094.8+(76.3-528.2)+(-1.675044+(-0.116739--0.808146))+0-0-0</f>
        <v>641.91636299999982</v>
      </c>
      <c r="Z365" s="3">
        <f>1075.3+(91.8-515.8)+(-2.742015+(-0.23409--1.31529))+0-0-0</f>
        <v>649.639185</v>
      </c>
      <c r="AA365" s="3">
        <f>872.8+(162.9-392.3)+(-1.780512+(-0.332316--0.800292))+0-0-0</f>
        <v>642.08746399999995</v>
      </c>
      <c r="AB365" s="3">
        <f>877.8+(164.3-427.4)+(-1.790712+(-0.335172--0.871896))+0-0-0</f>
        <v>613.446012</v>
      </c>
      <c r="AC365" s="3">
        <f>878.7+(130.8-427.5)+(-1.344411+(-0.200124--0.654075))+0-0-0</f>
        <v>581.10954000000004</v>
      </c>
      <c r="AD365">
        <v>641.30000000000007</v>
      </c>
      <c r="AE365" s="3">
        <f>1095+(75.9-529.6)+(0+(0-0))+0-0-0</f>
        <v>641.29999999999995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0+(329.6-107.1)+(0+(-0.84048--0.273105))+0-32--0.0815999999999954</f>
        <v>190.01422500000004</v>
      </c>
      <c r="G1" s="3">
        <f>0+(291-83.6)+(0+(-0.44523--0.127908))+0-32--0.0489600000000018</f>
        <v>175.13163800000001</v>
      </c>
      <c r="H1" s="3">
        <f>0+(281.1-80.4)+(0+(-0.143361--0.041004))+0-32--0.0163199999999968</f>
        <v>168.61396300000001</v>
      </c>
      <c r="I1" s="3">
        <f>0+(271.4-81.2)+(0+(-0.69207--0.20706))+0-32--0.0815999999999954</f>
        <v>157.79659000000001</v>
      </c>
      <c r="J1" s="3">
        <f>0+(281.3-96.4)+(0+(-0.143463--0.049164))+0-32--0.0163199999999968</f>
        <v>152.82202100000001</v>
      </c>
      <c r="K1" s="3">
        <f>0+(282-100.8)+(0+(-0.7191--0.25704))+0-32--0.0815999999999954</f>
        <v>148.81953999999999</v>
      </c>
      <c r="L1" s="3">
        <f>0+(252.8-85.1)+(0+(0-0))+0-32-0</f>
        <v>135.70000000000002</v>
      </c>
      <c r="M1" s="3">
        <f>0+(281.3-102.8)+(0+(0-0))+0-32-0</f>
        <v>146.5</v>
      </c>
      <c r="N1" s="3">
        <f>0+(200.5-24)+(0+(-0.306765--0.03672))+0-32--0.0489600000000018</f>
        <v>144.27891499999998</v>
      </c>
      <c r="O1" s="3">
        <f>0+(201.8-24.7)+(0+(-0.102918--0.012597))+0-32--0.0163199999999968</f>
        <v>145.02599900000004</v>
      </c>
      <c r="P1" s="3">
        <f>0+(209.3-36.4)+(0+(-0.320229--0.055692))+0-32--0.0489600000000018</f>
        <v>140.68442300000001</v>
      </c>
      <c r="Q1" s="3">
        <f>0+(223.9-42.2)+(0+(-0.342567--0.064566))+0-32--0.0489600000000018</f>
        <v>149.47095899999999</v>
      </c>
      <c r="R1" s="3">
        <f>0+(233.7-43.6)+(0+(-0.119187--0.022236))+0-32--0.0163199999999968</f>
        <v>158.01936900000001</v>
      </c>
      <c r="S1" s="3">
        <f>0+(277.5-101.2)+(0+(0.28305-0.103224))+0-32-0.0326400000000051</f>
        <v>144.44718599999999</v>
      </c>
      <c r="T1" s="3">
        <f>0+(284.5-106.3)+(0+(-0.435285--0.162639))+0-32--0.0489600000000018</f>
        <v>145.97631399999997</v>
      </c>
      <c r="U1" s="3">
        <f>0+(294-121.1)+(0+(-0.29988--0.123522))+0-32--0.0326400000000051</f>
        <v>140.75628200000003</v>
      </c>
      <c r="V1" s="3">
        <f>0+(285.4-100.5)+(0+(-0.145554--0.051255))+0-32--0.0163199999999968</f>
        <v>152.82202099999998</v>
      </c>
      <c r="W1" s="3">
        <f>0+(304.5-126.6)+(0+(0-0))+0-32-0</f>
        <v>145.9</v>
      </c>
      <c r="X1" s="3">
        <f>0+(325.3-121.7)+(0+(0-0))+0-32-0</f>
        <v>171.60000000000002</v>
      </c>
      <c r="Y1" s="3">
        <f>0+(328.5-113.1)+(0+(-0.167535--0.057681))+0-32--0.0163199999999968</f>
        <v>183.306466</v>
      </c>
      <c r="Z1" s="3">
        <f>0+(318-101)+(0+(0.16218-0.05151))+0-32-0.0163199999999968</f>
        <v>185.09434999999999</v>
      </c>
      <c r="AA1" s="3">
        <f>0+(327.2-89.2)+(0+(0-0))+0-33-0</f>
        <v>205</v>
      </c>
      <c r="AB1" s="3">
        <f>0+(302.5-67.6)+(0+(0-0))+0-32-0</f>
        <v>202.9</v>
      </c>
      <c r="AC1" s="3">
        <f>0+(280.6-63.1)+(0+(-0.143106--0.032181))+0-32--0.0163199999999968</f>
        <v>185.40539500000003</v>
      </c>
      <c r="AD1">
        <v>203.8</v>
      </c>
      <c r="AE1" s="3">
        <f>0+(349.8-114)+(0+(0-0))+0-32-0</f>
        <v>203.8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179.2026975</v>
      </c>
      <c r="G2" s="3">
        <f>0+(211-6)+(0+(0-0))+0-32-0</f>
        <v>173</v>
      </c>
      <c r="H2" s="3">
        <f>0+(214.8-5.4)+(0+(-0.438192--0.011016))+0-32--0.0652799999999986</f>
        <v>177.038104</v>
      </c>
      <c r="I2" s="3">
        <f>0+(277.3-88.8)+(0+(-0.282846--0.090576))+0-32--0.0326400000000051</f>
        <v>156.34037000000001</v>
      </c>
      <c r="J2" s="3">
        <f>0+(292.5-104.8)+(0+(0-0))+0-32-0</f>
        <v>155.69999999999999</v>
      </c>
      <c r="K2" s="3">
        <f>0+(295.7-89.7)+(0+(-0.452421--0.137241))+0-32--0.0489600000000018</f>
        <v>173.73378</v>
      </c>
      <c r="L2" s="3">
        <f>0+(296.6-105.5)+(0+(-0.302532--0.10761))+0-32--0.0326400000000051</f>
        <v>158.93771800000005</v>
      </c>
      <c r="M2" s="3">
        <f>0+(284.7-103)+(0+(-1.016379--0.36771))+0-32--0.11424</f>
        <v>149.16557099999997</v>
      </c>
      <c r="N2" s="3">
        <f>0+(293.1-113.6)+(0+(0.448443-0.173808))+0-32-0.0489600000000018</f>
        <v>147.72567500000002</v>
      </c>
      <c r="O2" s="3">
        <f>0+(237.5-42.5)+(0+(0.363375-0.065025))+0-32-0.0489600000000018</f>
        <v>163.24939000000001</v>
      </c>
      <c r="P2" s="3">
        <f>0+(255.4-59.9)+(0+(0.260508-0.061098))+0-32-0.0326400000000051</f>
        <v>163.66676999999999</v>
      </c>
      <c r="Q2" s="3">
        <f>0+(254.9-87.9)+(0+(-0.779994--0.268974))+0-32--0.0979200000000037</f>
        <v>134.58690000000001</v>
      </c>
      <c r="R2" s="3">
        <f>0+(269.5-91.1)+(0+(-0.137445--0.046461))+0-32--0.0163199999999968</f>
        <v>146.32533600000002</v>
      </c>
      <c r="S2" s="3">
        <f>0+(263.2-76.2)+(0+(0.268464-0.077724))+0-32-0.0326400000000051</f>
        <v>155.15809999999999</v>
      </c>
      <c r="T2" s="3">
        <f>0+(276.3-91.1)+(0+(-0.422739--0.139383))+0-29--0.0443700000000017</f>
        <v>155.96101400000003</v>
      </c>
      <c r="U2" s="3">
        <f>0+(282.4-95.6)+(0+(0-0))+0-32-0</f>
        <v>154.79999999999998</v>
      </c>
      <c r="V2" s="3">
        <f>0+(294.7-107.8)+(0+(-0.450891--0.164934))+0-32--0.0489600000000018</f>
        <v>154.66300299999997</v>
      </c>
      <c r="W2" s="3">
        <f>0+(294.5-106)+(0+(-0.60078--0.21624))+0-32--0.0652799999999986</f>
        <v>156.18074000000001</v>
      </c>
      <c r="X2" s="3">
        <f>0+(302.2-102.5)+(0+(-0.616488--0.2091))+0-32--0.0652799999999986</f>
        <v>167.35789199999999</v>
      </c>
      <c r="Y2" s="3">
        <f>0+(374.3-171.3)+(0+(-0.572679--0.262089))+0-33--0.0504900000000019</f>
        <v>169.73990000000001</v>
      </c>
      <c r="Z2" s="3">
        <f>0+(377.4-153.7)+(0+(-0.96237--0.391935))+0-27--0.0688499999999961</f>
        <v>196.19841499999998</v>
      </c>
      <c r="AA2" s="3">
        <f>0+(370.7-149.4)+(0+(-0.189057--0.076194))+0-32--0.0163199999999968</f>
        <v>189.20345699999999</v>
      </c>
      <c r="AB2" s="3">
        <f>0+(360-132.2)+(0+(-1.1016--0.404532))+0-32--0.0979200000000037</f>
        <v>195.20085200000003</v>
      </c>
      <c r="AC2" s="3">
        <f>0+(363.2-112)+(0+(-0.370464--0.11424))+0-32--0.0326400000000051</f>
        <v>218.976416</v>
      </c>
      <c r="AD2">
        <v>171.60000000000002</v>
      </c>
      <c r="AE2" s="3">
        <f>0+(378.6-175)+(0+(0-0))+0-32-0</f>
        <v>171.60000000000002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0+(358-133.6)+(0+(-0.36516--0.136272))+0-32--0.0326400000000051</f>
        <v>192.20375200000001</v>
      </c>
      <c r="G3" s="3">
        <f>0+(293.1-81.5)+(0+(0-0))+0-32-0</f>
        <v>179.60000000000002</v>
      </c>
      <c r="H3" s="3">
        <f>0+(289-80.4)+(0+(-0.58956--0.164016))+0-32--0.0652799999999986</f>
        <v>176.23973599999999</v>
      </c>
      <c r="I3" s="3">
        <f>0+(287-81.7)+(0+(0-0))+0-33-0</f>
        <v>172.3</v>
      </c>
      <c r="J3" s="3">
        <f>0+(290.8-85.3)+(0+(-0.74154--0.217515))+0-32--0.0815999999999954</f>
        <v>173.05757500000001</v>
      </c>
      <c r="K3" s="3">
        <f>0+(276.1-72.6)+(0+(0.563244-0.148104))+0-32-0.0652799999999986</f>
        <v>171.84986000000004</v>
      </c>
      <c r="L3" s="3">
        <f>0+(244.8-60.1)+(0+(-0.374544--0.091953))+0-31--0.0474300000000018</f>
        <v>153.46483900000001</v>
      </c>
      <c r="M3" s="3">
        <f>0+(251.5-78.4)+(0+(-0.128265--0.039984))+0-32--0.0163199999999968</f>
        <v>141.02803900000001</v>
      </c>
      <c r="N3" s="3">
        <f>0+(233.4-39.4)+(0+(0-0))+0-32-0</f>
        <v>162</v>
      </c>
      <c r="O3" s="3">
        <f>0+(259.3-63.9)+(0+(-0.132243--0.032589))+0-32--0.0163199999999968</f>
        <v>163.31666600000003</v>
      </c>
      <c r="P3" s="3">
        <f>0+(266.1-75.4)+(0+(0-0))+0-32-0</f>
        <v>158.70000000000002</v>
      </c>
      <c r="Q3" s="3">
        <f>0+(266.5-79.2)+(0+(0-0))+0-32-0</f>
        <v>155.30000000000001</v>
      </c>
      <c r="R3" s="3">
        <f>0+(279.1-93.4)+(0+(-0.284682--0.095268))+0-31--0.0316200000000049</f>
        <v>154.54220600000002</v>
      </c>
      <c r="S3" s="3">
        <f>0+(271.9-87)+(0+(0-0))+0-32-0</f>
        <v>152.89999999999998</v>
      </c>
      <c r="T3" s="3">
        <f>0+(266.5-80.4)+(0+(0.135915-0.041004))+0-31-0.0158099999999969</f>
        <v>155.179101</v>
      </c>
      <c r="U3" s="3">
        <f>0+(269.3-87.4)+(0+(-0.274686--0.089148))+0-31--0.0316200000000049</f>
        <v>150.746082</v>
      </c>
      <c r="V3" s="3">
        <f>0+(299.4-116.7)+(0+(0.152694-0.059517))+0-32-0.0163199999999968</f>
        <v>150.77685699999998</v>
      </c>
      <c r="W3" s="3">
        <f>0+(312.2-121.2)+(0+(-0.159222--0.061812))+0-32--0.0163199999999968</f>
        <v>158.91891000000001</v>
      </c>
      <c r="X3" s="3">
        <f>0+(328.6-136.4)+(0+(0.167586-0.069564))+0-31-0.0158099999999969</f>
        <v>161.28221200000002</v>
      </c>
      <c r="Y3" s="3">
        <f>0+(402-177.7)+(0+(0.20502-0.090627))+0-32-0.0163199999999968</f>
        <v>192.39807300000001</v>
      </c>
      <c r="Z3" s="3">
        <f>0+(412.4-175.3)+(0+(-0.210324--0.089403))+0-32--0.0163199999999968</f>
        <v>204.99539899999996</v>
      </c>
      <c r="AA3" s="3">
        <f>0+(388.4-152.8)+(0+(0-0))+0-32-0</f>
        <v>203.59999999999997</v>
      </c>
      <c r="AB3" s="3">
        <f>0+(359.4-125.9)+(0+(0.183294-0.064209))+0-32-0.0163199999999968</f>
        <v>201.60276499999998</v>
      </c>
      <c r="AC3" s="3">
        <f>0+(331.1-97.9)+(0+(-0.168861--0.049929))+0-33--0.0168299999999967</f>
        <v>200.09789800000001</v>
      </c>
      <c r="AD3">
        <v>228.3</v>
      </c>
      <c r="AE3" s="3">
        <f>0+(419.3-160)+(0+(0-0))+0-31-0</f>
        <v>228.3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0+(328-121.2)+(0+(-0.16728--0.061812))+0-32--0.0163199999999968</f>
        <v>174.71085200000002</v>
      </c>
      <c r="G4" s="3">
        <f>0+(297.3-101.4)+(0+(-0.454869--0.155142))+0-32--0.0489600000000018</f>
        <v>163.64923300000001</v>
      </c>
      <c r="H4" s="3">
        <f>0+(283.8-89.1)+(0+(-0.289476--0.090882))+0-32--0.0326400000000051</f>
        <v>162.53404600000002</v>
      </c>
      <c r="I4" s="3">
        <f>0+(276.4-82.2)+(0+(0.281928-0.083844))+0-32-0.0326400000000051</f>
        <v>162.36544399999997</v>
      </c>
      <c r="J4" s="3">
        <f>0+(272.5-73.2)+(0+(-0.27795--0.074664))+0-32--0.0326400000000051</f>
        <v>167.12935400000003</v>
      </c>
      <c r="K4" s="3">
        <f>0+(287.1-90.1)+(0+(0.439263-0.137853))+0-32-0.0489600000000018</f>
        <v>165.25245000000004</v>
      </c>
      <c r="L4" s="3">
        <f>0+(265.6-81.6)+(0+(-0.67728--0.20808))+0-32--0.0815999999999954</f>
        <v>151.61240000000004</v>
      </c>
      <c r="M4" s="3">
        <f>0+(295.9-118.6)+(0+(0.301818-0.120972))+0-32-0.0326400000000051</f>
        <v>145.44820599999997</v>
      </c>
      <c r="N4" s="3">
        <f>0+(270.3-81.1)+(0+(0-0))+0-32-0</f>
        <v>157.20000000000002</v>
      </c>
      <c r="O4" s="3">
        <f>0+(303.5-98)+(0+(0.154785-0.04998))+0-32-0.0163199999999968</f>
        <v>173.58848499999999</v>
      </c>
      <c r="P4" s="3">
        <f>0+(309.6-103.4)+(0+(-0.157896--0.052734))+0-32--0.0163199999999968</f>
        <v>174.11115800000002</v>
      </c>
      <c r="Q4" s="3">
        <f>0+(304.7-98.8)+(0+(-0.310794--0.100776))+0-32--0.0326400000000051</f>
        <v>173.722622</v>
      </c>
      <c r="R4" s="3">
        <f>0+(289.2-83)+(0+(-0.147492--0.04233))+0-32--0.0163199999999968</f>
        <v>174.11115799999999</v>
      </c>
      <c r="S4" s="3">
        <f>0+(267.3-78.7)+(0+(-0.408969--0.120411))+0-32--0.0489600000000018</f>
        <v>156.36040200000002</v>
      </c>
      <c r="T4" s="3">
        <f>0+(209.3-29)+(0+(-0.533715--0.07395))+0-32--0.0815999999999954</f>
        <v>147.92183500000002</v>
      </c>
      <c r="U4" s="3">
        <f>0+(207.2-18.1)+(0+(0.422688-0.036924))+0-32-0.0652799999999986</f>
        <v>157.42048399999999</v>
      </c>
      <c r="V4" s="3">
        <f>0+(208.9-19)+(0+(0.106539-0.00969))+0-32-0.0163199999999968</f>
        <v>157.98052899999999</v>
      </c>
      <c r="W4" s="3">
        <f>0+(234.3-41.5)+(0+(-0.238986--0.04233))+0-32--0.0326400000000051</f>
        <v>160.63598400000004</v>
      </c>
      <c r="X4" s="3">
        <f>0+(280-99.3)+(0+(-0.2856--0.101286))+0-32--0.0326400000000051</f>
        <v>148.548326</v>
      </c>
      <c r="Y4" s="3">
        <f>0+(392.4-165.9)+(0+(0.200124-0.084609))+0-32-0.0163199999999968</f>
        <v>194.59919499999995</v>
      </c>
      <c r="Z4" s="3">
        <f>0+(384.5-145.5)+(0+(0-0))+0-32-0</f>
        <v>207</v>
      </c>
      <c r="AA4" s="3">
        <f>0+(341.9-117.8)+(0+(-0.348738--0.120156))+0-32--0.0326400000000051</f>
        <v>191.90405799999999</v>
      </c>
      <c r="AB4" s="3">
        <f>0+(320.7-88.7)+(0+(0.163557-0.045237))+0-32-0.0163199999999968</f>
        <v>200.102</v>
      </c>
      <c r="AC4" s="3">
        <f>0+(308.5-82.2)+(0+(0.157335-0.041922))+0-32-0.0163199999999968</f>
        <v>194.39909299999999</v>
      </c>
      <c r="AD4">
        <v>198.5</v>
      </c>
      <c r="AE4" s="3">
        <f>0+(376.5-146)+(0+(0-0))+0-32-0</f>
        <v>198.5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0+(255.5-37.4)+(0+(-0.390915--0.057222))+0-32--0.0489600000000018</f>
        <v>185.81526699999998</v>
      </c>
      <c r="G5" s="3">
        <f>0+(234-24.3)+(0+(-0.23868--0.024786))+0-32--0.0326400000000051</f>
        <v>177.51874599999999</v>
      </c>
      <c r="H5" s="3">
        <f>0+(208.8-5.8)+(0+(0-0))+0-32-0</f>
        <v>171</v>
      </c>
      <c r="I5" s="3">
        <f>0+(196.8-0)+(0+(0-0))+0-32-0</f>
        <v>164.8</v>
      </c>
      <c r="J5" s="3">
        <f>0+(195.8-0)+(0+(0.099858-0))+0-32-0.0163199999999968</f>
        <v>163.88353800000002</v>
      </c>
      <c r="K5" s="3">
        <f>0+(194.2-0)+(0+(0-0))+0-32-0</f>
        <v>162.19999999999999</v>
      </c>
      <c r="L5" s="3">
        <f>0+(205.4-4.9)+(0+(0.314262-0.007497))+0-32-0.0489600000000018</f>
        <v>168.75780500000002</v>
      </c>
      <c r="M5" s="3">
        <f>0+(218-47.2)+(0+(-0.44472--0.096288))+0-32--0.0652799999999986</f>
        <v>138.51684800000001</v>
      </c>
      <c r="N5" s="3">
        <f>0+(208.3-23.4)+(0+(0.106233-0.011934))+0-32-0.0163199999999968</f>
        <v>152.977979</v>
      </c>
      <c r="O5" s="3">
        <f>0+(189.3-11.1)+(0+(-0.289629--0.016983))+0-32--0.0489600000000018</f>
        <v>145.976314</v>
      </c>
      <c r="P5" s="3">
        <f>0+(255.6-64.9)+(0+(0-0))+0-32-0</f>
        <v>158.69999999999999</v>
      </c>
      <c r="Q5" s="3">
        <f>0+(247-60.1)+(0+(0.12597-0.030651))+0-32-0.0163199999999968</f>
        <v>154.97899899999999</v>
      </c>
      <c r="R5" s="3">
        <f>0+(260.2-70.7)+(0+(-0.398106--0.108171))+0-32--0.0489600000000018</f>
        <v>157.25902499999998</v>
      </c>
      <c r="S5" s="3">
        <f>0+(254.7-64.1)+(0+(-0.259794--0.065382))+0-32--0.0326400000000051</f>
        <v>158.43822800000001</v>
      </c>
      <c r="T5" s="3">
        <f>0+(253.1-62.5)+(0+(-0.645405--0.159375))+0-32--0.0815999999999954</f>
        <v>158.19557</v>
      </c>
      <c r="U5" s="3">
        <f>0+(233.6-40.4)+(0+(-0.357408--0.061812))+0-32--0.0489600000000018</f>
        <v>160.95336399999999</v>
      </c>
      <c r="V5" s="3">
        <f>0+(224.2-33.2)+(0+(0-0))+0-32-0</f>
        <v>159</v>
      </c>
      <c r="W5" s="3">
        <f>0+(240.5-46.8)+(0+(-0.122655--0.023868))+0-32--0.0163199999999968</f>
        <v>161.61753300000001</v>
      </c>
      <c r="X5" s="3">
        <f>0+(276.1-78.8)+(0+(0-0))+0-32-0</f>
        <v>165.3</v>
      </c>
      <c r="Y5" s="3">
        <f>0+(400.2-182.3)+(0+(0-0))+0-32-0</f>
        <v>185.89999999999998</v>
      </c>
      <c r="Z5" s="3">
        <f>0+(416.9-190.1)+(0+(-0.425238--0.193902))+0-32--0.0326400000000051</f>
        <v>194.601304</v>
      </c>
      <c r="AA5" s="3">
        <f>0+(402-159.9)+(0+(-0.20502--0.081549))+0-32--0.0163199999999968</f>
        <v>209.99284900000001</v>
      </c>
      <c r="AB5" s="3">
        <f>0+(355.3-127.5)+(0+(0-0))+0-32-0</f>
        <v>195.8</v>
      </c>
      <c r="AC5" s="3">
        <f>0+(317.7-81.8)+(0+(-0.324054--0.083436))+0-32--0.0326400000000051</f>
        <v>203.69202199999998</v>
      </c>
      <c r="AD5">
        <v>207.7</v>
      </c>
      <c r="AE5" s="3">
        <f>0+(432.7-193)+(0+(0-0))+0-32-0</f>
        <v>207.7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0+(298-80.2)+(0+(-0.30396--0.081804))+0-32--0.0326400000000051</f>
        <v>185.61048400000001</v>
      </c>
      <c r="G6" s="3">
        <f>0+(277.7-74.6)+(0+(-0.283254--0.076092))+0-32--0.0326400000000051</f>
        <v>170.925478</v>
      </c>
      <c r="H6" s="3">
        <f>0+(290.3-97)+(0+(0-0))+0-32-0</f>
        <v>161.30000000000001</v>
      </c>
      <c r="I6" s="3">
        <f>0+(270.4-74.3)+(0+(0-0))+0-32-0</f>
        <v>164.09999999999997</v>
      </c>
      <c r="J6" s="3">
        <f>0+(257.8-61.3)+(0+(0.262956-0.062526))+0-32-0.0326400000000051</f>
        <v>164.66779</v>
      </c>
      <c r="K6" s="3">
        <f>0+(287.2-90.6)+(0+(-0.585888--0.184824))+0-32--0.0652799999999986</f>
        <v>164.264216</v>
      </c>
      <c r="L6" s="3">
        <f>0+(272.6-78.7)+(0+(-0.139026--0.040137))+0-31--0.0158099999999969</f>
        <v>162.81692100000001</v>
      </c>
      <c r="M6" s="3">
        <f>0+(263-71.3)+(0+(-0.26826--0.072726))+0-32--0.0326400000000051</f>
        <v>159.53710599999999</v>
      </c>
      <c r="N6" s="3">
        <f>0+(261.2-56.1)+(0+(0.399636-0.085833))+0-33-0.0504900000000019</f>
        <v>172.36331300000001</v>
      </c>
      <c r="O6" s="3">
        <f>0+(275.7-57.1)+(0+(-0.140607--0.029121))+0-32--0.0163199999999968</f>
        <v>186.50483399999999</v>
      </c>
      <c r="P6" s="3">
        <f>0+(291.4-57.6)+(0+(-0.297228--0.058752))+0-32--0.0326400000000051</f>
        <v>201.59416400000001</v>
      </c>
      <c r="Q6" s="3">
        <f>0+(284.7-49.7)+(0+(-0.145197--0.025347))+0-32--0.0163199999999968</f>
        <v>202.89646999999999</v>
      </c>
      <c r="R6" s="3">
        <f>0+(282.5-44.5)+(0+(-0.144075--0.022695))+0-32--0.0163199999999968</f>
        <v>205.89494000000002</v>
      </c>
      <c r="S6" s="3">
        <f>0+(258.6-25.7)+(0+(-0.395658--0.039321))+0-32--0.0489600000000018</f>
        <v>200.59262300000003</v>
      </c>
      <c r="T6" s="3">
        <f>0+(242.4-23.1)+(0+(-0.494496--0.047124))+0-32--0.0652799999999986</f>
        <v>186.91790800000001</v>
      </c>
      <c r="U6" s="3">
        <f>0+(248-35.4)+(0+(-0.50592--0.072216))+0-32--0.0652799999999986</f>
        <v>180.23157599999999</v>
      </c>
      <c r="V6" s="3">
        <f>0+(228.2-20.5)+(0+(-0.349146--0.031365))+0-32--0.0489600000000018</f>
        <v>175.43117899999999</v>
      </c>
      <c r="W6" s="3">
        <f>0+(264-43.7)+(0+(-0.40392--0.066861))+0-32--0.0489600000000018</f>
        <v>188.01190099999999</v>
      </c>
      <c r="X6" s="3">
        <f>0+(255.8-27.4)+(0+(-0.391374--0.041922))+0-32--0.0489600000000018</f>
        <v>196.09950799999999</v>
      </c>
      <c r="Y6" s="3">
        <f>0+(342.8-83)+(0+(0-0))+0-32-0</f>
        <v>227.8</v>
      </c>
      <c r="Z6" s="3">
        <f>0+(321.4-66.2)+(0+(-0.491742--0.101286))+0-30--0.0459000000000017</f>
        <v>224.85544399999998</v>
      </c>
      <c r="AA6" s="3">
        <f>0+(312.8-60)+(0+(-0.478584--0.0918))+0-30--0.0459000000000017</f>
        <v>222.45911599999999</v>
      </c>
      <c r="AB6" s="3">
        <f>0+(283.3-36.5)+(0+(-0.144483--0.018615))+0-30--0.015299999999997</f>
        <v>216.68943200000001</v>
      </c>
      <c r="AC6" s="3">
        <f>0+(264.4-12.9)+(0+(-0.269688--0.013158))+0-30--0.0306000000000048</f>
        <v>221.27406999999997</v>
      </c>
      <c r="AD6">
        <v>252.89999999999998</v>
      </c>
      <c r="AE6" s="3">
        <f>0+(356.9-72)+(0+(0-0))+0-32-0</f>
        <v>252.89999999999998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0+(229.4-44.1)+(0+(0-0))+0-32-0</f>
        <v>153.30000000000001</v>
      </c>
      <c r="G7" s="3">
        <f>0+(205.9-30.2)+(0+(0-0))+0-32-0</f>
        <v>143.70000000000002</v>
      </c>
      <c r="H7" s="3">
        <f>0+(206.1-13.8)+(0+(-0.315333--0.021114))+0-32--0.0489600000000018</f>
        <v>160.05474099999998</v>
      </c>
      <c r="I7" s="3">
        <f>0+(210.7-30.3)+(0+(0.107457-0.015453))+0-32-0.0163199999999968</f>
        <v>148.47568399999997</v>
      </c>
      <c r="J7" s="3">
        <f>0+(200.4-14)+(0+(0-0))+0-32-0</f>
        <v>154.4</v>
      </c>
      <c r="K7" s="3">
        <f>0+(197-18)+(0+(0.20094-0.01836))+0-32-0.0326400000000051</f>
        <v>147.14993999999999</v>
      </c>
      <c r="L7" s="3">
        <f>0+(247-53.2)+(0+(-0.25194--0.054264))+0-32--0.0326400000000051</f>
        <v>161.63496400000002</v>
      </c>
      <c r="M7" s="3">
        <f>0+(238.4-50.8)+(0+(0-0))+0-32-0</f>
        <v>155.60000000000002</v>
      </c>
      <c r="N7" s="3">
        <f>0+(226.2-31.6)+(0+(0-0))+0-32-0</f>
        <v>162.6</v>
      </c>
      <c r="O7" s="3">
        <f>0+(228.5-33.3)+(0+(0-0))+0-32-0</f>
        <v>163.19999999999999</v>
      </c>
      <c r="P7" s="3">
        <f>0+(262.2-77.8)+(0+(0.267444-0.079356))+0-32-0.0326400000000051</f>
        <v>152.55544799999996</v>
      </c>
      <c r="Q7" s="3">
        <f>0+(279.9-90.8)+(0+(-0.570996--0.185232))+0-32--0.0652799999999986</f>
        <v>156.77951599999997</v>
      </c>
      <c r="R7" s="3">
        <f>0+(269-81.5)+(0+(-0.54876--0.16626))+0-32--0.0652799999999986</f>
        <v>155.18278000000001</v>
      </c>
      <c r="S7" s="3">
        <f>0+(259.8-62)+(0+(-0.132498--0.03162))+0-32--0.0163199999999968</f>
        <v>165.71544200000002</v>
      </c>
      <c r="T7" s="3">
        <f>0+(231.5-32.9)+(0+(0.23613-0.033558))+0-32-0.0326400000000051</f>
        <v>166.76993199999998</v>
      </c>
      <c r="U7" s="3">
        <f>0+(223.7-42.3)+(0+(-0.228174--0.043146))+0-32--0.0326400000000051</f>
        <v>149.247612</v>
      </c>
      <c r="V7" s="3">
        <f>0+(239.8-61.1)+(0+(-0.366894--0.093483))+0-32--0.0489600000000018</f>
        <v>146.475549</v>
      </c>
      <c r="W7" s="3">
        <f>0+(234.5-56)+(0+(0.23919-0.05712))+0-32-0.0326400000000051</f>
        <v>146.64943</v>
      </c>
      <c r="X7" s="3">
        <f>0+(259.4-99.4)+(0+(-0.132294--0.050694))+0-32--0.0163199999999968</f>
        <v>127.93471999999996</v>
      </c>
      <c r="Y7" s="3">
        <f>0+(317.8-169.8)+(0+(0.486234-0.259794))+0-32-0.0489600000000018</f>
        <v>116.17747999999999</v>
      </c>
      <c r="Z7" s="3">
        <f>0+(257.4-70.7)+(0+(0.131274-0.036057))+0-32-0.0163199999999968</f>
        <v>154.77889699999997</v>
      </c>
      <c r="AA7" s="3">
        <f>0+(218.8-22)+(0+(0-0))+0-32-0</f>
        <v>164.8</v>
      </c>
      <c r="AB7" s="3">
        <f>0+(235.8-18)+(0+(0-0))+0-32-0</f>
        <v>185.8</v>
      </c>
      <c r="AC7" s="3">
        <f>0+(244.8-19.5)+(0+(0.124848-0.009945))+0-32-0.0163199999999968</f>
        <v>193.398583</v>
      </c>
      <c r="AD7">
        <v>232.60000000000002</v>
      </c>
      <c r="AE7" s="3">
        <f>0+(331.6-68)+(0+(0-0))+0-31-0</f>
        <v>232.60000000000002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0+(298.8-58.7)+(0+(-0.914328--0.179622))+0-30--0.0918000000000035</f>
        <v>209.45709400000004</v>
      </c>
      <c r="G8" s="3">
        <f>0+(284.3-49.4)+(0+(-0.434979--0.075582))+0-30--0.0459000000000017</f>
        <v>204.58650299999999</v>
      </c>
      <c r="H8" s="3">
        <f>0+(297.6-76)+(0+(-0.151776--0.03876))+0-30--0.015299999999997</f>
        <v>191.50228400000003</v>
      </c>
      <c r="I8" s="3">
        <f>0+(281.1-66.5)+(0+(-0.716805--0.169575))+0-30--0.0764999999999956</f>
        <v>184.12926999999999</v>
      </c>
      <c r="J8" s="3">
        <f>0+(271.1-50.7)+(0+(0-0))+0-30-0</f>
        <v>190.40000000000003</v>
      </c>
      <c r="K8" s="3">
        <f>0+(270.2-50.1)+(0+(0.413406-0.076653))+0-30-0.0459000000000017</f>
        <v>190.39085299999999</v>
      </c>
      <c r="L8" s="3">
        <f>0+(282.4-73.5)+(0+(0.288048-0.07497))+0-30-0.0306000000000048</f>
        <v>179.08247799999998</v>
      </c>
      <c r="M8" s="3">
        <f>0+(322.1-115.6)+(0+(-0.492813--0.176868))+0-30--0.0459000000000017</f>
        <v>176.22995500000002</v>
      </c>
      <c r="N8" s="3">
        <f>0+(378.7-137.7)+(0+(-0.193137--0.070227))+0-30--0.015299999999997</f>
        <v>210.89239000000001</v>
      </c>
      <c r="O8" s="3">
        <f>0+(326.7-82.6)+(0+(-0.333234--0.084252))+0-30--0.0306000000000048</f>
        <v>213.88161799999997</v>
      </c>
      <c r="P8" s="3">
        <f>0+(234.9-25.2)+(0+(-0.239598--0.025704))+0-30--0.0306000000000048</f>
        <v>179.516706</v>
      </c>
      <c r="Q8" s="3">
        <f>0+(252.1-0)+(0+(-0.128571-0))+0-30--0.015299999999997</f>
        <v>221.986729</v>
      </c>
      <c r="R8" s="3">
        <f>0+(222.7-24)+(0+(-0.227154--0.02448))+0-30--0.0306000000000048</f>
        <v>168.52792599999998</v>
      </c>
      <c r="S8" s="3">
        <f>0+(220.8-32.7)+(0+(-0.225216--0.033354))+0-30--0.0306000000000048</f>
        <v>157.93873800000003</v>
      </c>
      <c r="T8" s="3">
        <f>0+(249.1-68.3)+(0+(-0.508164--0.139332))+0-30--0.0611999999999987</f>
        <v>150.492368</v>
      </c>
      <c r="U8" s="3">
        <f>0+(284.8-123.3)+(0+(-0.145248--0.062883))+0-30--0.015299999999997</f>
        <v>131.43293499999999</v>
      </c>
      <c r="V8" s="3">
        <f>0+(288.5-119.3)+(0+(-0.58854--0.243372))+0-30--0.0611999999999987</f>
        <v>138.91603199999997</v>
      </c>
      <c r="W8" s="3">
        <f>0+(268.1-103.1)+(0+(-0.546924--0.210324))+0-30--0.0611999999999987</f>
        <v>134.72460000000001</v>
      </c>
      <c r="X8" s="3">
        <f>0+(287.4-151.9)+(0+(0.146574-0.077469))+0-30-0.015299999999997</f>
        <v>105.55380499999998</v>
      </c>
      <c r="Y8" s="3">
        <f>0+(288.2-143)+(0+(0.146982-0.07293))+0-30-0.015299999999997</f>
        <v>115.25875199999999</v>
      </c>
      <c r="Z8" s="3">
        <f>0+(287.7-138.5)+(0+(-0.146727--0.070635))+0-30--0.015299999999997</f>
        <v>119.139208</v>
      </c>
      <c r="AA8" s="3">
        <f>0+(269.3-100.9)+(0+(-0.549372--0.205836))+0-30--0.0611999999999987</f>
        <v>138.11766399999999</v>
      </c>
      <c r="AB8" s="3">
        <f>0+(221.8-24)+(0+(-0.226236--0.02448))+0-30--0.0306000000000048</f>
        <v>167.62884400000002</v>
      </c>
      <c r="AC8" s="3">
        <f>0+(222.1-38.7)+(0+(-0.113271--0.019737))+0-30--0.015299999999997</f>
        <v>153.32176599999997</v>
      </c>
      <c r="AD8">
        <v>226.5</v>
      </c>
      <c r="AE8" s="3">
        <f>0+(348.3-89.8)+(0+(0-0))+0-32-0</f>
        <v>226.5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0+(251.6-2.8)+(0+(-0.256632--0.002856))+0-32--0.0326400000000051</f>
        <v>216.57886400000001</v>
      </c>
      <c r="G9" s="3">
        <f>0+(296.7-59.7)+(0+(-0.756585--0.152235))+0-32--0.0815999999999954</f>
        <v>204.47725</v>
      </c>
      <c r="H9" s="3">
        <f>0+(313.8-81.5)+(0+(0-0))+0-32-0</f>
        <v>200.3</v>
      </c>
      <c r="I9" s="3">
        <f>0+(298.6-71.4)+(0+(-0.609144--0.145656))+0-32--0.0652799999999986</f>
        <v>194.80179200000001</v>
      </c>
      <c r="J9" s="3">
        <f>0+(251.5-34.2)+(0+(-0.25653--0.034884))+0-32--0.0326400000000051</f>
        <v>185.11099400000003</v>
      </c>
      <c r="K9" s="3">
        <f>0+(219.2-8.2)+(0+(-0.111792--0.004182))+0-32--0.0163199999999968</f>
        <v>178.90871000000001</v>
      </c>
      <c r="L9" s="3">
        <f>0+(256.3-39.8)+(0+(0-0))+0-32-0</f>
        <v>184.5</v>
      </c>
      <c r="M9" s="3">
        <f>0+(230.9-20.2)+(0+(-0.471036--0.041208))+0-32--0.0652799999999986</f>
        <v>178.33545200000003</v>
      </c>
      <c r="N9" s="3">
        <f>0+(254-27.1)+(0+(0.12954-0.013821))+0-31-0.0158099999999969</f>
        <v>195.99990900000003</v>
      </c>
      <c r="O9" s="3">
        <f>0+(245.8-10.5)+(0+(0-0))+0-31-0</f>
        <v>204.3</v>
      </c>
      <c r="P9" s="3">
        <f>0+(246-0)+(0+(-0.25092-0))+0-32--0.0326400000000051</f>
        <v>213.78172000000001</v>
      </c>
      <c r="Q9" s="3">
        <f>0+(247.3-0)+(0+(-0.126123-0))+0-32--0.0163199999999968</f>
        <v>215.19019700000001</v>
      </c>
      <c r="R9" s="3">
        <f>0+(247.9-0)+(0+(-0.758574-0))+0-32--0.0979200000000037</f>
        <v>215.23934600000001</v>
      </c>
      <c r="S9" s="3">
        <f>0+(239.6-0)+(0+(-0.366588-0))+0-32--0.0489600000000018</f>
        <v>207.28237199999998</v>
      </c>
      <c r="T9" s="3">
        <f>0+(251.8-12.3)+(0+(-0.385254--0.018819))+0-32--0.0489600000000018</f>
        <v>207.182525</v>
      </c>
      <c r="U9" s="3">
        <f>0+(287-48.4)+(0+(-0.43911--0.074052))+0-32--0.0489600000000018</f>
        <v>206.28390199999998</v>
      </c>
      <c r="V9" s="3">
        <f>0+(291.8-57.4)+(0+(-0.297636--0.058548))+0-30--0.0306000000000048</f>
        <v>204.19151199999999</v>
      </c>
      <c r="W9" s="3">
        <f>0+(312.4-79.2)+(0+(-0.477972--0.121176))+0-32--0.0489600000000018</f>
        <v>200.89216399999998</v>
      </c>
      <c r="X9" s="3">
        <f>0+(347.6-108.6)+(0+(-0.709104--0.221544))+0-32--0.0652799999999986</f>
        <v>206.57772000000003</v>
      </c>
      <c r="Y9" s="3">
        <f>0+(363.7-98.4)+(0+(0.185487-0.050184))+0-32-0.0163199999999968</f>
        <v>233.41898299999997</v>
      </c>
      <c r="Z9" s="3">
        <f>0+(346.8-72.5)+(0+(0-0))+0-32-0</f>
        <v>242.3</v>
      </c>
      <c r="AA9" s="3">
        <f>0+(316.5-50.9)+(0+(-0.807075--0.129795))+0-32--0.0815999999999954</f>
        <v>233.00432000000004</v>
      </c>
      <c r="AB9" s="3">
        <f>0+(264.7-0)+(0+(-0.539988-0))+0-32--0.0652799999999986</f>
        <v>232.225292</v>
      </c>
      <c r="AC9" s="3">
        <f>0+(253.5-0)+(0+(-0.387855-0))+0-32--0.0489600000000018</f>
        <v>221.16110499999999</v>
      </c>
      <c r="AD9">
        <v>244.8</v>
      </c>
      <c r="AE9" s="3">
        <f>0+(342.3-66.5)+(0+(0-0))+0-31-0</f>
        <v>244.8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0+(251.5-6.7)+(0+(-0.25653--0.006834))+0-32--0.0326400000000051</f>
        <v>212.58294400000003</v>
      </c>
      <c r="G10" s="3">
        <f>0+(259.5-26.9)+(0+(-0.661725--0.068595))+0-32--0.0815999999999954</f>
        <v>200.08847</v>
      </c>
      <c r="H10" s="3">
        <f>0+(232.4-0)+(0+(-0.118524-0))+0-32--0.0163199999999968</f>
        <v>200.29779600000001</v>
      </c>
      <c r="I10" s="3">
        <f>0+(227.1-0)+(0+(-0.463284-0))+0-32--0.0652799999999986</f>
        <v>194.70199600000001</v>
      </c>
      <c r="J10" s="3">
        <f>0+(234-6)+(0+(0-0))+0-32-0</f>
        <v>196</v>
      </c>
      <c r="K10" s="3">
        <f>0+(247.5-21.5)+(0+(-0.126225--0.010965))+0-32--0.0163199999999968</f>
        <v>193.90106</v>
      </c>
      <c r="L10" s="3">
        <f>0+(265.7-45.7)+(0+(-0.271014--0.046614))+0-32--0.0326400000000051</f>
        <v>187.80824000000001</v>
      </c>
      <c r="M10" s="3">
        <f>0+(277.9-59.4)+(0+(0.141729-0.030294))+0-32-0.0163199999999968</f>
        <v>186.59511499999996</v>
      </c>
      <c r="N10" s="3">
        <f>0+(248.3-11.1)+(0+(0-0))+0-32-0</f>
        <v>205.20000000000002</v>
      </c>
      <c r="O10" s="3">
        <f>0+(258.9-6.8)+(0+(0-0))+0-33-0</f>
        <v>219.09999999999997</v>
      </c>
      <c r="P10" s="3">
        <f>0+(311.7-47.4)+(0+(0.158967-0.024174))+0-32-0.0163199999999968</f>
        <v>232.41847300000001</v>
      </c>
      <c r="Q10" s="3">
        <f>0+(333-66.2)+(0+(-0.50949--0.101286))+0-32--0.0489600000000018</f>
        <v>234.44075599999999</v>
      </c>
      <c r="R10" s="3">
        <f>0+(316.2-53)+(0+(-0.645048--0.10812))+0-32--0.0652799999999986</f>
        <v>230.728352</v>
      </c>
      <c r="S10" s="3">
        <f>0+(289.5-32)+(0+(0-0))+0-32-0</f>
        <v>225.5</v>
      </c>
      <c r="T10" s="3">
        <f>0+(261.8-14.1)+(0+(-0.133518--0.007191))+0-32--0.0163199999999968</f>
        <v>215.58999300000002</v>
      </c>
      <c r="U10" s="3">
        <f>0+(242.3-0)+(0+(-0.247146-0))+0-32--0.0326400000000051</f>
        <v>210.08549400000004</v>
      </c>
      <c r="V10" s="3">
        <f>0+(244.2-7.1)+(0+(0-0))+0-32-0</f>
        <v>205.1</v>
      </c>
      <c r="W10" s="3">
        <f>0+(272.2-28.8)+(0+(-0.277644--0.029376))+0-31--0.0316200000000049</f>
        <v>212.18335199999999</v>
      </c>
      <c r="X10" s="3">
        <f>0+(227.4-0)+(0+(-0.57987-0))+0-30--0.0764999999999956</f>
        <v>196.89662999999999</v>
      </c>
      <c r="Y10" s="3">
        <f>0+(253.6-0)+(0+(0.258672-0))+0-30-0.0306000000000048</f>
        <v>223.82807199999999</v>
      </c>
      <c r="Z10" s="3">
        <f>0+(263.3-0)+(0+(-0.537132-0))+0-31--0.0632399999999986</f>
        <v>231.82610800000003</v>
      </c>
      <c r="AA10" s="3">
        <f>0+(257.5-0)+(0+(0.131325-0))+0-28-0.0142799999999972</f>
        <v>229.61704500000002</v>
      </c>
      <c r="AB10" s="3">
        <f>0+(260.6-0)+(0+(-0.531624-0))+0-30--0.0611999999999987</f>
        <v>230.12957599999999</v>
      </c>
      <c r="AC10" s="3">
        <f>0+(255.5-0)+(0+(-0.130305-0))+0-30--0.015299999999997</f>
        <v>225.384995</v>
      </c>
      <c r="AD10">
        <v>236.5</v>
      </c>
      <c r="AE10" s="3">
        <f>0+(268.5-0)+(0+(0-0))+0-32-0</f>
        <v>236.5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0+(288.5-42.9)+(0+(-0.147135--0.021879))+0-32--0.0163199999999968</f>
        <v>213.49106399999999</v>
      </c>
      <c r="G11" s="3">
        <f>0+(306.3-81.1)+(0+(-0.468639--0.124083))+0-32--0.0489600000000018</f>
        <v>192.904404</v>
      </c>
      <c r="H11" s="3">
        <f>0+(335.1-108.1)+(0+(-0.170901--0.055131))+0-32--0.0163199999999968</f>
        <v>194.90055000000004</v>
      </c>
      <c r="I11" s="3">
        <f>0+(334.4-104.1)+(0+(-0.682176--0.212364))+0-32--0.0652799999999986</f>
        <v>197.89546799999999</v>
      </c>
      <c r="J11" s="3">
        <f>0+(317.5-89.1)+(0+(-0.97155--0.272646))+0-32--0.0979200000000037</f>
        <v>195.79901600000002</v>
      </c>
      <c r="K11" s="3">
        <f>0+(306.5-79.6)+(0+(-0.156315--0.040596))+0-32--0.0163199999999968</f>
        <v>194.800601</v>
      </c>
      <c r="L11" s="3">
        <f>0+(297.1-77.5)+(0+(-0.454563--0.118575))+0-32--0.0489600000000018</f>
        <v>187.31297200000003</v>
      </c>
      <c r="M11" s="3">
        <f>0+(318.7-95)+(0+(-0.162537--0.04845))+0-31--0.0158099999999969</f>
        <v>192.60172299999996</v>
      </c>
      <c r="N11" s="3">
        <f>0+(328.5-91.8)+(0+(0.167535-0.046818))+0-32-0.0163199999999968</f>
        <v>204.80439699999999</v>
      </c>
      <c r="O11" s="3">
        <f>0+(301.5-58.1)+(0+(0.461295-0.088893))+0-32-0.0489600000000018</f>
        <v>211.72344200000001</v>
      </c>
      <c r="P11" s="3">
        <f>0+(271.8-19.2)+(0+(-0.138618--0.009792))+0-32--0.0163199999999968</f>
        <v>220.48749400000003</v>
      </c>
      <c r="Q11" s="3">
        <f>0+(282.6-29.2)+(0+(0.432378-0.044676))+0-31-0.0474300000000018</f>
        <v>222.74027200000003</v>
      </c>
      <c r="R11" s="3">
        <f>0+(291.7-39.9)+(0+(0-0))+0-31-0</f>
        <v>220.79999999999998</v>
      </c>
      <c r="S11" s="3">
        <f>0+(299.4-54.4)+(0+(-0.305388--0.055488))+0-31--0.0316200000000049</f>
        <v>213.78171999999998</v>
      </c>
      <c r="T11" s="3">
        <f>0+(318.8-86.2)+(0+(-0.650352--0.175848))+0-31--0.0632399999999986</f>
        <v>201.18873600000003</v>
      </c>
      <c r="U11" s="3">
        <f>0+(374.4-144.3)+(0+(0.190944-0.073593))+0-31-0.0158099999999969</f>
        <v>199.20154099999999</v>
      </c>
      <c r="V11" s="3">
        <f>0+(323.1-94.3)+(0+(-0.823905--0.240465))+0-31--0.0790499999999955</f>
        <v>197.29561000000001</v>
      </c>
      <c r="W11" s="3">
        <f>0+(315.2-84.6)+(0+(-0.482256--0.129438))+0-31--0.0474300000000018</f>
        <v>199.29461199999997</v>
      </c>
      <c r="X11" s="3">
        <f>0+(282-57.1)+(0+(-0.57528--0.116484))+0-31--0.0632399999999986</f>
        <v>193.50444400000001</v>
      </c>
      <c r="Y11" s="3">
        <f>0+(268.2-10.9)+(0+(0.273564-0.011118))+0-31-0.0316200000000049</f>
        <v>226.53082600000002</v>
      </c>
      <c r="Z11" s="3">
        <f>0+(313-37.4)+(0+(-0.63852--0.076296))+0-31--0.0632399999999986</f>
        <v>244.10101600000002</v>
      </c>
      <c r="AA11" s="3">
        <f>0+(271.5-6.9)+(0+(-0.55386--0.014076))+0-31--0.0632399999999986</f>
        <v>233.12345600000003</v>
      </c>
      <c r="AB11" s="3">
        <f>0+(261.8-0)+(0+(-0.66759-0))+0-31--0.0790499999999955</f>
        <v>230.21145999999999</v>
      </c>
      <c r="AC11" s="3">
        <f>0+(257.2-2)+(0+(0.131172-0.00102))+0-31-0.0158099999999969</f>
        <v>224.31434200000001</v>
      </c>
      <c r="AD11">
        <v>249.60000000000002</v>
      </c>
      <c r="AE11" s="3">
        <f>0+(324.8-43.2)+(0+(0-0))+0-32-0</f>
        <v>249.60000000000002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0+(276.8-31.6)+(0+(0-0))+0-32-0</f>
        <v>213.20000000000002</v>
      </c>
      <c r="G12" s="3">
        <f>0+(325.8-89.4)+(0+(-0.498474--0.136782))+0-32--0.0489600000000018</f>
        <v>204.08726799999999</v>
      </c>
      <c r="H12" s="3">
        <f>0+(364.8-136.2)+(0+(-1.116288--0.416772))+0-32--0.0979200000000037</f>
        <v>195.99840400000005</v>
      </c>
      <c r="I12" s="3">
        <f>0+(347.9-122.3)+(0+(-0.709716--0.249492))+0-32--0.0652799999999986</f>
        <v>193.20505599999996</v>
      </c>
      <c r="J12" s="3">
        <f>0+(316.2-91.6)+(0+(-0.161262--0.046716))+0-32--0.0163199999999968</f>
        <v>192.50177400000001</v>
      </c>
      <c r="K12" s="3">
        <f>0+(299.5-75.3)+(0+(-0.152745--0.038403))+0-32--0.0163199999999968</f>
        <v>192.101978</v>
      </c>
      <c r="L12" s="3">
        <f>0+(327.5-113.6)+(0+(-1.00215--0.347616))+0-32--0.0979200000000037</f>
        <v>181.34338600000001</v>
      </c>
      <c r="M12" s="3">
        <f>0+(282.5-81.7)+(0+(-0.28815--0.083334))+0-32--0.0326400000000051</f>
        <v>168.62782400000003</v>
      </c>
      <c r="N12" s="3">
        <f>0+(286.5-81.1)+(0+(0.146115-0.041361))+0-32-0.0163199999999968</f>
        <v>173.48843400000001</v>
      </c>
      <c r="O12" s="3">
        <f>0+(302.1-87.3)+(0+(-0.462213--0.133569))+0-32--0.0489600000000018</f>
        <v>182.52031600000001</v>
      </c>
      <c r="P12" s="3">
        <f>0+(317.1-97.4)+(0+(-0.485163--0.149022))+0-32--0.0489600000000018</f>
        <v>187.41281900000001</v>
      </c>
      <c r="Q12" s="3">
        <f>0+(294.6-73.6)+(0+(-0.600984--0.150144))+0-32--0.0652799999999986</f>
        <v>188.61444000000003</v>
      </c>
      <c r="R12" s="3">
        <f>0+(301.7-90.9)+(0+(-0.461601--0.139077))+0-32--0.0489600000000018</f>
        <v>178.52643599999999</v>
      </c>
      <c r="S12" s="3">
        <f>0+(302.9-89.8)+(0+(-0.154479--0.045798))+0-32--0.0163199999999968</f>
        <v>181.00763899999998</v>
      </c>
      <c r="T12" s="3">
        <f>0+(339.7-132.3)+(0+(0-0))+0-32-0</f>
        <v>175.39999999999998</v>
      </c>
      <c r="U12" s="3">
        <f>0+(384.6-181.7)+(0+(-0.588438--0.278001))+0-32--0.0489600000000018</f>
        <v>170.63852300000002</v>
      </c>
      <c r="V12" s="3">
        <f>0+(326.6-120)+(0+(-0.666264--0.2448))+0-32--0.0652799999999986</f>
        <v>174.24381600000004</v>
      </c>
      <c r="W12" s="3">
        <f>0+(322.2-120.5)+(0+(0.328644-0.12291))+0-32-0.0326400000000051</f>
        <v>169.87309399999998</v>
      </c>
      <c r="X12" s="3">
        <f>0+(312-100.9)+(0+(-0.7956--0.257295))+0-32--0.0815999999999954</f>
        <v>178.64329499999999</v>
      </c>
      <c r="Y12" s="3">
        <f>0+(243.5-4.8)+(0+(0-0))+0-32-0</f>
        <v>206.7</v>
      </c>
      <c r="Z12" s="3">
        <f>0+(245.2-0)+(0+(0-0))+0-32-0</f>
        <v>213.2</v>
      </c>
      <c r="AA12" s="3">
        <f>0+(261.8-12.9)+(0+(-0.66759--0.032895))+0-32--0.0815999999999954</f>
        <v>216.34690500000002</v>
      </c>
      <c r="AB12" s="3">
        <f>0+(305-62.3)+(0+(-0.6222--0.127092))+0-32--0.0652799999999986</f>
        <v>210.270172</v>
      </c>
      <c r="AC12" s="3">
        <f>0+(345.5-112.8)+(0+(-0.528615--0.172584))+0-32--0.0489600000000018</f>
        <v>200.39292899999998</v>
      </c>
      <c r="AD12">
        <v>216.7</v>
      </c>
      <c r="AE12" s="3">
        <f>0+(248.7-0)+(0+(0-0))+0-32-0</f>
        <v>216.7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0+(356.2-131.9)+(0+(-0.363324--0.134538))+0-32--0.0326400000000051</f>
        <v>192.10385399999998</v>
      </c>
      <c r="G13" s="3">
        <f>0+(256.1-36.5)+(0+(-0.522444--0.07446))+0-32--0.0652799999999986</f>
        <v>187.21729600000003</v>
      </c>
      <c r="H13" s="3">
        <f>0+(221.2-5.5)+(0+(-0.56406--0.014025))+0-32--0.0815999999999954</f>
        <v>183.23156499999999</v>
      </c>
      <c r="I13" s="3">
        <f>0+(212.2-3.4)+(0+(0.216444-0.003468))+0-32-0.0326400000000051</f>
        <v>176.98033599999997</v>
      </c>
      <c r="J13" s="3">
        <f>0+(207.1-0)+(0+(-0.211242-0))+0-32--0.0326400000000051</f>
        <v>174.92139800000001</v>
      </c>
      <c r="K13" s="3">
        <f>0+(200-0)+(0+(0.102-0))+0-32-0.0163199999999968</f>
        <v>168.08568</v>
      </c>
      <c r="L13" s="3">
        <f>0+(200.2-11.5)+(0+(-0.714714--0.041055))+0-28--0.0999600000000004</f>
        <v>160.12630100000001</v>
      </c>
      <c r="M13" s="3">
        <f>0+(209.5-24.2)+(0+(-0.106845--0.012342))+0-31--0.0158099999999969</f>
        <v>154.221307</v>
      </c>
      <c r="N13" s="3">
        <f>0+(240.8-57.2)+(0+(0.122808-0.029172))+0-31-0.0158099999999969</f>
        <v>152.67782600000004</v>
      </c>
      <c r="O13" s="3">
        <f>0+(298.8-121.2)+(0+(-0.457164--0.185436))+0-31--0.0474300000000018</f>
        <v>146.37570200000002</v>
      </c>
      <c r="P13" s="3">
        <f>0+(312.7-137.2)+(0+(0.318954-0.139944))+0-32-0.0326400000000051</f>
        <v>143.64636999999999</v>
      </c>
      <c r="Q13" s="3">
        <f>0+(259.9-80.2)+(0+(-0.265098--0.081804))+0-31--0.0316200000000049</f>
        <v>148.548326</v>
      </c>
      <c r="R13" s="3">
        <f>0+(221.8-46.7)+(0+(-0.226236--0.047634))+0-31--0.0316200000000049</f>
        <v>143.95301800000001</v>
      </c>
      <c r="S13" s="3">
        <f>0+(223.3-46.8)+(0+(0-0))+0-31-0</f>
        <v>145.5</v>
      </c>
      <c r="T13" s="3">
        <f>0+(236.4-63.1)+(0+(-0.120564--0.032181))+0-25--0.0127499999999975</f>
        <v>148.22436700000003</v>
      </c>
      <c r="U13" s="3">
        <f>0+(245.4-74)+(0+(-0.250308--0.07548))+0-30--0.0306000000000048</f>
        <v>141.25577200000001</v>
      </c>
      <c r="V13" s="3">
        <f>0+(257.5-80.1)+(0+(-0.26265--0.081702))+0-31--0.0316200000000049</f>
        <v>146.25067200000001</v>
      </c>
      <c r="W13" s="3">
        <f>0+(289-110.2)+(0+(-0.14739--0.056202))+0-31--0.0158099999999969</f>
        <v>147.72462200000001</v>
      </c>
      <c r="X13" s="3">
        <f>0+(275.6-88.1)+(0+(-0.70278--0.224655))+0-32--0.0815999999999954</f>
        <v>155.10347500000003</v>
      </c>
      <c r="Y13" s="3">
        <f>0+(234.5-12.9)+(0+(-0.23919--0.013158))+0-31--0.0316200000000049</f>
        <v>190.40558799999999</v>
      </c>
      <c r="Z13" s="3">
        <f>0+(267.1-28.4)+(0+(-0.136221--0.014484))+0-31--0.0158099999999969</f>
        <v>207.59407300000001</v>
      </c>
      <c r="AA13" s="3">
        <f>0+(302.1-64.5)+(0+(-0.154071--0.032895))+0-31--0.0158099999999969</f>
        <v>206.49463400000002</v>
      </c>
      <c r="AB13" s="3">
        <f>0+(336.4-101.4)+(0+(-0.514692--0.155142))+0-32--0.0489600000000018</f>
        <v>202.68940999999995</v>
      </c>
      <c r="AC13" s="3">
        <f>0+(412.6-189.4)+(0+(-0.420852--0.193188))+0-11--0.0112200000000018</f>
        <v>211.98355600000002</v>
      </c>
      <c r="AD13">
        <v>208.50000000000003</v>
      </c>
      <c r="AE13" s="3">
        <f>0+(309.1-68.6)+(0+(0-0))+0-32-0</f>
        <v>208.50000000000003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0+(453.7-244.1)+(0+(-0.925548--0.497964))+0-30--0.0611999999999987</f>
        <v>179.23361599999998</v>
      </c>
      <c r="G14" s="3">
        <f>0+(396.5-190.6)+(0+(0.202215-0.097206))+0-30-0.015299999999997</f>
        <v>175.989709</v>
      </c>
      <c r="H14" s="3">
        <f>0+(341.4-138.9)+(0+(-0.348228--0.141678))+0-30--0.0306000000000048</f>
        <v>172.32404999999997</v>
      </c>
      <c r="I14" s="3">
        <f>0+(286.8-85)+(0+(-0.292536--0.0867))+0-30--0.0306000000000048</f>
        <v>171.624764</v>
      </c>
      <c r="J14" s="3">
        <f>0+(312.8-114.5)+(0+(0-0))+0-30-0</f>
        <v>168.3</v>
      </c>
      <c r="K14" s="3">
        <f>0+(348-146.5)+(0+(0-0))+0-30-0</f>
        <v>171.5</v>
      </c>
      <c r="L14" s="3">
        <f>0+(287.4-82.7)+(0+(-0.586296--0.168708))+0-30--0.0611999999999987</f>
        <v>174.34361199999998</v>
      </c>
      <c r="M14" s="3">
        <f>0+(320.7-106.9)+(0+(-0.163557--0.054519))+0-30--0.015299999999997</f>
        <v>183.70626199999998</v>
      </c>
      <c r="N14" s="3">
        <f>0+(432.5-198.3)+(0+(0-0))+0-30-0</f>
        <v>204.2</v>
      </c>
      <c r="O14" s="3">
        <f>0+(440.5-192.7)+(0+(0-0))+0-30-0</f>
        <v>217.8</v>
      </c>
      <c r="P14" s="3">
        <f>0+(452-199.4)+(0+(-0.23052--0.101694))+0-30--0.015299999999997</f>
        <v>222.48647399999999</v>
      </c>
      <c r="Q14" s="3">
        <f>0+(479.9-215.4)+(0+(-0.734247--0.329562))+0-30--0.0459000000000017</f>
        <v>234.14121500000002</v>
      </c>
      <c r="R14" s="3">
        <f>0+(503.4-233.9)+(0+(-0.770202--0.357867))+0-32--0.0489600000000018</f>
        <v>237.13662500000001</v>
      </c>
      <c r="S14" s="3">
        <f>0+(514.9-252.3)+(0+(-1.050396--0.514692))+0-32--0.0652799999999986</f>
        <v>230.12957599999996</v>
      </c>
      <c r="T14" s="3">
        <f>0+(511.6-259.1)+(0+(-0.782748--0.396423))+0-32--0.0489600000000018</f>
        <v>220.16263499999999</v>
      </c>
      <c r="U14" s="3">
        <f>0+(505.1-254.6)+(0+(-1.030404--0.519384))+0-31--0.0632399999999986</f>
        <v>219.05222000000003</v>
      </c>
      <c r="V14" s="3">
        <f>0+(531.4-282.6)+(0+(-1.626084--0.864756))+0-31--0.0948600000000036</f>
        <v>217.13353199999997</v>
      </c>
      <c r="W14" s="3">
        <f>0+(515-266.8)+(0+(-1.31325--0.68034))+0-31--0.0790499999999955</f>
        <v>216.64613999999997</v>
      </c>
      <c r="X14" s="3">
        <f>0+(500.8-251.1)+(0+(-0.766224--0.384183))+0-32--0.0489600000000018</f>
        <v>217.36691900000002</v>
      </c>
      <c r="Y14" s="3">
        <f>0+(432.5-159.8)+(0+(0-0))+0-32-0</f>
        <v>240.7</v>
      </c>
      <c r="Z14" s="3">
        <f>0+(424.6-140.2)+(0+(-0.866184--0.286008))+0-32--0.0652799999999986</f>
        <v>251.88510400000004</v>
      </c>
      <c r="AA14" s="3">
        <f>0+(476.7-197.1)+(0+(-0.972468--0.402084))+0-32--0.0652799999999986</f>
        <v>247.09489600000003</v>
      </c>
      <c r="AB14" s="3">
        <f>0+(445.3-170.7)+(0+(-0.681309--0.261171))+0-18--0.027540000000001</f>
        <v>256.207402</v>
      </c>
      <c r="AC14" s="3">
        <f>0+(432.3-170.8)+(0+(-0.881892--0.348432))+0-32--0.0652799999999986</f>
        <v>229.03182000000001</v>
      </c>
      <c r="AD14">
        <v>251.29999999999995</v>
      </c>
      <c r="AE14" s="3">
        <f>0+(412.9-129.6)+(0+(0-0))+0-32-0</f>
        <v>251.29999999999995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0+(347.6-94.6)+(0+(-0.88638--0.24123))+0-32--0.0815999999999954</f>
        <v>220.43645000000004</v>
      </c>
      <c r="G15" s="3">
        <f>0+(315.8-66.9)+(0+(-0.80529--0.170595))+0-32--0.0815999999999954</f>
        <v>216.34690500000002</v>
      </c>
      <c r="H15" s="3">
        <f>0+(257.8-8.7)+(0+(-0.394434--0.013311))+0-32--0.0489600000000018</f>
        <v>216.76783700000001</v>
      </c>
      <c r="I15" s="3">
        <f>0+(236.1-0)+(0+(-0.361233-0))+0-32--0.0489600000000018</f>
        <v>203.78772699999999</v>
      </c>
      <c r="J15" s="3">
        <f>0+(233.2-0)+(0+(-0.237864-0))+0-32--0.0326400000000051</f>
        <v>200.994776</v>
      </c>
      <c r="K15" s="3">
        <f>0+(234.5-0)+(0+(0.23919-0))+0-32-0.0326400000000051</f>
        <v>202.70654999999999</v>
      </c>
      <c r="L15" s="3">
        <f>0+(238.7-0)+(0+(-0.243474-0))+0-32--0.0326400000000051</f>
        <v>206.48916600000001</v>
      </c>
      <c r="M15" s="3">
        <f>0+(240.2-0)+(0+(0-0))+0-32-0</f>
        <v>208.2</v>
      </c>
      <c r="N15" s="3">
        <f>0+(263.8-0)+(0+(-0.134538-0))+0-32--0.0163199999999968</f>
        <v>231.681782</v>
      </c>
      <c r="O15" s="3">
        <f>0+(278-0)+(0+(0.28356-0))+0-32-0.0326400000000051</f>
        <v>246.25092000000001</v>
      </c>
      <c r="P15" s="3">
        <f>0+(288.3-0)+(0+(-0.147033-0))+0-32--0.0163199999999968</f>
        <v>256.169287</v>
      </c>
      <c r="Q15" s="3">
        <f>0+(289.8-0)+(0+(-0.147798-0))+0-32--0.0163199999999968</f>
        <v>257.668522</v>
      </c>
      <c r="R15" s="3">
        <f>0+(290.7-0)+(0+(-0.148257-0))+0-31--0.0158099999999969</f>
        <v>259.56755299999998</v>
      </c>
      <c r="S15" s="3">
        <f>0+(281.8-0)+(0+(-0.71859-0))+0-32--0.0815999999999954</f>
        <v>249.16301000000001</v>
      </c>
      <c r="T15" s="3">
        <f>0+(285.9-7.9)+(0+(-0.583236--0.016116))+0-31--0.0632399999999986</f>
        <v>246.49612000000002</v>
      </c>
      <c r="U15" s="3">
        <f>0+(301-27.1)+(0+(-0.30702--0.027642))+0-31--0.0316200000000049</f>
        <v>242.65224199999997</v>
      </c>
      <c r="V15" s="3">
        <f>0+(292.1-15.3)+(0+(-0.446913--0.023409))+0-31--0.0474300000000018</f>
        <v>245.42392600000002</v>
      </c>
      <c r="W15" s="3">
        <f>0+(316.2-42.8)+(0+(0.161262-0.021828))+0-31-0.0158099999999969</f>
        <v>242.52362399999998</v>
      </c>
      <c r="X15" s="3">
        <f>0+(266.5-0)+(0+(-0.407745-0))+0-31--0.0474300000000018</f>
        <v>235.13968500000001</v>
      </c>
      <c r="Y15" s="3">
        <f>0+(325.3-34.1)+(0+(-0.331806--0.034782))+0-31--0.0316200000000049</f>
        <v>259.934596</v>
      </c>
      <c r="Z15" s="3">
        <f>0+(341.7-40.3)+(0+(-0.697068--0.082212))+0-31--0.0632399999999986</f>
        <v>269.84838400000001</v>
      </c>
      <c r="AA15" s="3">
        <f>0+(309.2-16.1)+(0+(-0.157692--0.008211))+0-32--0.0163199999999968</f>
        <v>260.96683899999999</v>
      </c>
      <c r="AB15" s="3">
        <f>0+(285.6-0)+(0+(-0.72828-0))+0-31--0.0790499999999955</f>
        <v>253.95077000000003</v>
      </c>
      <c r="AC15" s="3">
        <f>0+(262-0)+(0+(-0.13362-0))+0-33--0.0168299999999967</f>
        <v>228.88320999999999</v>
      </c>
      <c r="AD15">
        <v>275.2</v>
      </c>
      <c r="AE15" s="3">
        <f>0+(382.9-75.7)+(0+(0-0))+0-32-0</f>
        <v>275.2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0+(250.4-0)+(0+(-0.383112-0))+0-32--0.0489600000000018</f>
        <v>218.06584799999999</v>
      </c>
      <c r="G16" s="3">
        <f>0+(247.3-0)+(0+(0-0))+0-32-0</f>
        <v>215.3</v>
      </c>
      <c r="H16" s="3">
        <f>0+(243.5-0)+(0+(0.124185-0))+0-32-0.0163199999999968</f>
        <v>211.607865</v>
      </c>
      <c r="I16" s="3">
        <f>0+(240.7-0)+(0+(0-0))+0-32-0</f>
        <v>208.7</v>
      </c>
      <c r="J16" s="3">
        <f>0+(239.5-0)+(0+(-0.73287-0))+0-32--0.0979200000000037</f>
        <v>206.86505000000002</v>
      </c>
      <c r="K16" s="3">
        <f>0+(244.5-0)+(0+(0.24939-0))+0-32-0.0326400000000051</f>
        <v>212.71674999999999</v>
      </c>
      <c r="L16" s="3">
        <f>0+(248.4-6.5)+(0+(-0.126684--0.003315))+0-31--0.0158099999999969</f>
        <v>210.792441</v>
      </c>
      <c r="M16" s="3">
        <f>0+(252.4-1)+(0+(-0.257448--0.00102))+0-31--0.0316200000000049</f>
        <v>220.17519200000001</v>
      </c>
      <c r="N16" s="3">
        <f>0+(272.1-0)+(0+(-0.138771-0))+0-31--0.0158099999999969</f>
        <v>240.97703899999999</v>
      </c>
      <c r="O16" s="3">
        <f>0+(320-60)+(0+(0.1632-0.0306))+0-30-0.015299999999997</f>
        <v>230.11730000000003</v>
      </c>
      <c r="P16" s="3">
        <f>0+(366.5-66)+(0+(0.186915-0.03366))+0-31-0.0158099999999969</f>
        <v>269.63744500000001</v>
      </c>
      <c r="Q16" s="3">
        <f>0+(370.5-62.9)+(0+(0-0))+0-31-0</f>
        <v>276.60000000000002</v>
      </c>
      <c r="R16" s="3">
        <f>0+(331-30.8)+(0+(-0.33762--0.031416))+0-31--0.0316200000000049</f>
        <v>268.92541600000004</v>
      </c>
      <c r="S16" s="3">
        <f>0+(299.9-11)+(0+(-0.305898--0.01122))+0-31--0.0316200000000049</f>
        <v>257.63694200000003</v>
      </c>
      <c r="T16" s="3">
        <f>0+(284.5-0)+(0+(-0.29019-0))+0-31--0.0316200000000049</f>
        <v>253.24143000000001</v>
      </c>
      <c r="U16" s="3">
        <f>0+(274.2-0)+(0+(0.139842-0))+0-30-0.015299999999997</f>
        <v>244.32454199999998</v>
      </c>
      <c r="V16" s="3">
        <f>0+(272.7-0)+(0+(-0.139077-0))+0-31--0.0158099999999969</f>
        <v>241.57673299999999</v>
      </c>
      <c r="W16" s="3">
        <f>0+(273.8-0)+(0+(-0.418914-0))+0-31--0.0474300000000018</f>
        <v>242.42851600000003</v>
      </c>
      <c r="X16" s="3">
        <f>0+(288.6-16.3)+(0+(-0.294372--0.016626))+0-31--0.0316200000000049</f>
        <v>241.05387400000004</v>
      </c>
      <c r="Y16" s="3">
        <f>0+(395.8-94.7)+(0+(-0.201858--0.048297))+0-31--0.0158099999999969</f>
        <v>269.96224899999999</v>
      </c>
      <c r="Z16" s="3">
        <f>0+(446.4-133)+(0+(-1.13832--0.33915))+0-31--0.0790499999999955</f>
        <v>281.67987999999997</v>
      </c>
      <c r="AA16" s="3">
        <f>0+(377.6-70.1)+(0+(-0.577728--0.107253))+0-30--0.0459000000000017</f>
        <v>277.075425</v>
      </c>
      <c r="AB16" s="3">
        <f>0+(301.3-1.9)+(0+(-0.460989--0.002907))+0-12--0.0183600000000007</f>
        <v>286.96027800000002</v>
      </c>
      <c r="AC16" s="3">
        <f>0+(291.7-10.1)+(0+(-0.743835--0.025755))+0-31--0.0790499999999955</f>
        <v>249.96096999999997</v>
      </c>
      <c r="AD16">
        <v>283.8</v>
      </c>
      <c r="AE16" s="3">
        <f>0+(442.8-128)+(0+(0-0))+0-31-0</f>
        <v>283.8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0+(263.4-0)+(0+(-0.268668-0))+0-30--0.0306000000000048</f>
        <v>233.16193199999998</v>
      </c>
      <c r="G17" s="3">
        <f>0+(277.7-23.8)+(0+(-1.133016--0.097104))+0-31--0.126479999999997</f>
        <v>221.99056799999997</v>
      </c>
      <c r="H17" s="3">
        <f>0+(290.6-39.5)+(0+(-0.444618--0.060435))+0-30--0.0459000000000017</f>
        <v>220.761717</v>
      </c>
      <c r="I17" s="3">
        <f>0+(285.8-39.9)+(0+(-0.291516--0.040698))+0-31--0.0316200000000049</f>
        <v>214.680802</v>
      </c>
      <c r="J17" s="3">
        <f>0+(280.5-44)+(0+(-0.715275--0.1122))+0-31--0.0790499999999955</f>
        <v>204.97597500000001</v>
      </c>
      <c r="K17" s="3">
        <f>0+(270.4-32.7)+(0+(0.137904-0.016677))+0-31-0.0158099999999969</f>
        <v>206.80541700000001</v>
      </c>
      <c r="L17" s="3">
        <f>0+(281.4-41.2)+(0+(-0.287028--0.042024))+0-31--0.0316200000000049</f>
        <v>208.986616</v>
      </c>
      <c r="M17" s="3">
        <f>0+(274.2-24.4)+(0+(-0.279684--0.024888))+0-31--0.0316200000000049</f>
        <v>218.57682399999999</v>
      </c>
      <c r="N17" s="3">
        <f>0+(329.3-36)+(0+(-0.335886--0.03672))+0-31--0.0316200000000049</f>
        <v>262.03245400000003</v>
      </c>
      <c r="O17" s="3">
        <f>0+(336.8-47.8)+(0+(-0.171768--0.024378))+0-31--0.0158099999999969</f>
        <v>257.86842000000001</v>
      </c>
      <c r="P17" s="3">
        <f>0+(358.9-57.8)+(0+(0-0))+0-25-0</f>
        <v>276.09999999999997</v>
      </c>
      <c r="Q17" s="3">
        <f>0+(384.5-81.7)+(0+(-0.196095--0.041667))+0-31--0.0158099999999969</f>
        <v>271.661382</v>
      </c>
      <c r="R17" s="3">
        <f>0+(383.6-74.4)+(0+(-0.195636--0.037944))+0-30--0.015299999999997</f>
        <v>279.05760800000007</v>
      </c>
      <c r="S17" s="3">
        <f>0+(385.3-89.1)+(0+(-0.589509--0.136323))+0-31--0.0474300000000018</f>
        <v>264.79424400000005</v>
      </c>
      <c r="T17" s="3">
        <f>0+(390.7-93)+(0+(-0.199257--0.04743))+0-31--0.0158099999999969</f>
        <v>266.56398299999995</v>
      </c>
      <c r="U17" s="3">
        <f>0+(403.8-108.8)+(0+(-1.441566--0.388416))+0-30--0.1071</f>
        <v>264.05394999999999</v>
      </c>
      <c r="V17" s="3">
        <f>0+(394.9-104.3)+(0+(-0.604197--0.159579))+0-29--0.0443700000000017</f>
        <v>261.19975199999999</v>
      </c>
      <c r="W17" s="3">
        <f>0+(387.7-103.7)+(0+(-1.186362--0.317322))+0-30--0.0918000000000035</f>
        <v>253.22276000000002</v>
      </c>
      <c r="X17" s="3">
        <f>0+(385-109)+(0+(-0.58905--0.16677))+0-28--0.0428400000000016</f>
        <v>247.62056000000001</v>
      </c>
      <c r="Y17" s="3">
        <f>0+(425.3-131.9)+(0+(-0.433806--0.134538))+0-27--0.0275400000000043</f>
        <v>266.12827199999998</v>
      </c>
      <c r="Z17" s="3">
        <f>0+(446.9-142.1)+(0+(-0.911676--0.289884))+0-29--0.0591599999999987</f>
        <v>275.23736799999995</v>
      </c>
      <c r="AA17" s="3">
        <f>0+(380.3-76.5)+(0+(-0.775812--0.15606))+0-31--0.0632399999999986</f>
        <v>272.24348800000001</v>
      </c>
      <c r="AB17" s="3">
        <f>0+(336.8-42.2)+(0+(-0.343536--0.043044))+0-31--0.0316200000000049</f>
        <v>263.33112800000004</v>
      </c>
      <c r="AC17" s="3">
        <f>0+(339.4-48.1)+(0+(-0.346188--0.049062))+0-31--0.0316200000000049</f>
        <v>260.034494</v>
      </c>
      <c r="AD17">
        <v>281.89999999999998</v>
      </c>
      <c r="AE17" s="3">
        <f>0+(473-162.1)+(0+(0-0))+0-29-0</f>
        <v>281.89999999999998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0+(318.5-28.5)+(0+(-0.812175--0.072675))+0-31--0.0790499999999955</f>
        <v>258.33954999999997</v>
      </c>
      <c r="G18" s="3">
        <f>0+(309.2-33.9)+(0+(-0.473076--0.051867))+0-31--0.0474300000000018</f>
        <v>243.92622100000003</v>
      </c>
      <c r="H18" s="3">
        <f>0+(297.8-30.8)+(0+(0-0))+0-31-0</f>
        <v>236</v>
      </c>
      <c r="I18" s="3">
        <f>0+(301.3-24.6)+(0+(-0.460989--0.037638))+0-31--0.0474300000000018</f>
        <v>245.32407899999995</v>
      </c>
      <c r="J18" s="3">
        <f>0+(302.4-31.7)+(0+(-0.925344--0.097002))+0-31--0.0948600000000036</f>
        <v>238.96651799999998</v>
      </c>
      <c r="K18" s="3">
        <f>0+(304.3-38.1)+(0+(-0.310386--0.038862))+0-31--0.0316200000000049</f>
        <v>234.96009599999999</v>
      </c>
      <c r="L18" s="3">
        <f>0+(303.8-37.2)+(0+(-0.619752--0.075888))+0-31--0.0632399999999986</f>
        <v>235.11937600000005</v>
      </c>
      <c r="M18" s="3">
        <f>0+(317.9-33.9)+(0+(0-0))+0-31-0</f>
        <v>253</v>
      </c>
      <c r="N18" s="3">
        <f>0+(356.7-51.3)+(0+(-0.363834--0.052326))+0-31--0.0316200000000049</f>
        <v>274.12011200000001</v>
      </c>
      <c r="O18" s="3">
        <f>0+(389.5-76.6)+(0+(0-0))+0-31-0</f>
        <v>281.89999999999998</v>
      </c>
      <c r="P18" s="3">
        <f>0+(425.6-110)+(0+(0.217056-0.0561))+0-31-0.0158099999999969</f>
        <v>284.74514600000003</v>
      </c>
      <c r="Q18" s="3">
        <f>0+(391.9-74)+(0+(-0.599607--0.11322))+0-31--0.0474300000000018</f>
        <v>286.46104300000002</v>
      </c>
      <c r="R18" s="3">
        <f>0+(395.7-85.1)+(0+(-0.403614--0.086802))+0-31--0.0316200000000049</f>
        <v>279.31480800000003</v>
      </c>
      <c r="S18" s="3">
        <f>0+(405.3-107.7)+(0+(-0.413406--0.109854))+0-31--0.0316200000000049</f>
        <v>266.32806800000003</v>
      </c>
      <c r="T18" s="3">
        <f>0+(382.1-90.3)+(0+(0-0))+0-31-0</f>
        <v>260.8</v>
      </c>
      <c r="U18" s="3">
        <f>0+(370.2-83.2)+(0+(-0.755208--0.169728))+0-31--0.0632399999999986</f>
        <v>255.47775999999999</v>
      </c>
      <c r="V18" s="3">
        <f>0+(366.2-88.7)+(0+(-0.373524--0.090474))+0-31--0.0316200000000049</f>
        <v>246.24857</v>
      </c>
      <c r="W18" s="3">
        <f>0+(335.3-65.6)+(0+(-0.513009--0.100368))+0-32--0.0489600000000018</f>
        <v>237.33631900000003</v>
      </c>
      <c r="X18" s="3">
        <f>0+(325.3-60.9)+(0+(-0.663612--0.124236))+0-31--0.0632399999999986</f>
        <v>232.92386400000004</v>
      </c>
      <c r="Y18" s="3">
        <f>0+(338.8-58.5)+(0+(-0.172788--0.029835))+0-31--0.0158099999999969</f>
        <v>249.17285700000002</v>
      </c>
      <c r="Z18" s="3">
        <f>0+(348.4-55.2)+(0+(0.177684-0.028152))+0-32-0.0163199999999968</f>
        <v>261.333212</v>
      </c>
      <c r="AA18" s="3">
        <f>0+(361.3-73.5)+(0+(-0.737052--0.14994))+0-32--0.0652799999999986</f>
        <v>255.27816800000002</v>
      </c>
      <c r="AB18" s="3">
        <f>0+(397.4-107)+(0+(-0.810696--0.21828))+0-32--0.0652799999999986</f>
        <v>257.87286399999994</v>
      </c>
      <c r="AC18" s="3">
        <f>0+(434.9-149.7)+(0+(-0.443598--0.152694))+0-32--0.0326400000000051</f>
        <v>252.94173599999999</v>
      </c>
      <c r="AD18">
        <v>248.8</v>
      </c>
      <c r="AE18" s="3">
        <f>0+(343-63.2)+(0+(0-0))+0-31-0</f>
        <v>248.8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0+(431.4-153.6)+(0+(-0.440028--0.156672))+0-32--0.0326400000000051</f>
        <v>245.54928399999994</v>
      </c>
      <c r="G19" s="3">
        <f>0+(397.8-132.5)+(0+(-0.202878--0.067575))+0-32--0.0163199999999968</f>
        <v>233.181017</v>
      </c>
      <c r="H19" s="3">
        <f>0+(404.2-143.8)+(0+(-0.618426--0.220014))+0-32--0.0489600000000018</f>
        <v>228.05054799999996</v>
      </c>
      <c r="I19" s="3">
        <f>0+(367-105.1)+(0+(0-0))+0-32-0</f>
        <v>229.89999999999998</v>
      </c>
      <c r="J19" s="3">
        <f>0+(351.4-88.3)+(0+(-0.537642--0.135099))+0-32--0.0489600000000018</f>
        <v>230.74641699999998</v>
      </c>
      <c r="K19" s="3">
        <f>0+(353.3-93.6)+(0+(0.180183-0.047736))+0-32-0.0163199999999968</f>
        <v>227.81612700000005</v>
      </c>
      <c r="L19" s="3">
        <f>0+(364.8-118.2)+(0+(-0.558144--0.180846))+0-32--0.0489600000000018</f>
        <v>214.27166200000002</v>
      </c>
      <c r="M19" s="3">
        <f>0+(342.7-108.8)+(0+(-0.699108--0.221952))+0-32--0.0652799999999986</f>
        <v>201.48812399999997</v>
      </c>
      <c r="N19" s="3">
        <f>0+(348.3-108.5)+(0+(-0.888165--0.276675))+0-32--0.0815999999999954</f>
        <v>207.27011000000002</v>
      </c>
      <c r="O19" s="3">
        <f>0+(311.2-60.1)+(0+(-0.158712--0.030651))+0-32--0.0163199999999968</f>
        <v>218.988259</v>
      </c>
      <c r="P19" s="3">
        <f>26.4+(326-97.2)+(-0.026928+(-0.33252--0.099144))+0-32--0.0326400000000051</f>
        <v>222.97233600000004</v>
      </c>
      <c r="Q19" s="3">
        <f>129.1+(342.3-213.3)+(-0.065841+(-0.174573--0.108783))+0-32--0.0163199999999968</f>
        <v>225.984689</v>
      </c>
      <c r="R19" s="3">
        <f>128.5+(315.3-186)+(-0.196605+(-0.482409--0.28458))+0-32--0.0489600000000018</f>
        <v>225.45452600000002</v>
      </c>
      <c r="S19" s="3">
        <f>127.5+(320.1-185)+(-0.39015+(-0.979506--0.5661))+0-31--0.0948600000000036</f>
        <v>230.89130400000002</v>
      </c>
      <c r="T19" s="3">
        <f>105.2+(323.6-171.7)+(-0.107304+(-0.330072--0.175134))+0-32--0.0326400000000051</f>
        <v>224.87039800000002</v>
      </c>
      <c r="U19" s="3">
        <f>125.1+(313.2-188.4)+(-0.382806+(-0.958392--0.576504))+0-31--0.0948600000000036</f>
        <v>218.230166</v>
      </c>
      <c r="V19" s="3">
        <f>124.7+(319.4-193.5)+(-0.190791+(-0.488682--0.296055))+0-31--0.0474300000000018</f>
        <v>219.26401199999995</v>
      </c>
      <c r="W19" s="3">
        <f>124.8+(305.8-176)+(-0.063648+(-0.155958--0.08976))+0-31--0.0158099999999969</f>
        <v>223.48596400000002</v>
      </c>
      <c r="X19" s="3">
        <f>125.3+(269.3-153.2)+(0+(0-0))+0-31-0</f>
        <v>210.40000000000003</v>
      </c>
      <c r="Y19" s="3">
        <f>126.3+(205.9-66.5)+(-0.064413+(-0.105009--0.033915))+0-33--0.0168299999999967</f>
        <v>232.58132299999997</v>
      </c>
      <c r="Z19" s="3">
        <f>127.2+(173.2-12.6)+(-0.194616+(-0.264996--0.019278))+0-32--0.0489600000000018</f>
        <v>255.408626</v>
      </c>
      <c r="AA19" s="3">
        <f>128.5+(202-54.8)+(-0.065535+(-0.10302--0.027948))+0-30--0.015299999999997</f>
        <v>245.574693</v>
      </c>
      <c r="AB19" s="3">
        <f>105.9+(261.3-83.2)+(-0.216036+(-0.533052--0.169728))+0-31--0.0632399999999986</f>
        <v>252.48388</v>
      </c>
      <c r="AC19" s="3">
        <f>21.9+(326.9-79.6)+(-0.011169+(-0.166719--0.040596))+0-31--0.0158099999999969</f>
        <v>238.07851799999997</v>
      </c>
      <c r="AD19">
        <v>241.60000000000002</v>
      </c>
      <c r="AE19" s="3">
        <f>127+(191.5-44.9)+(0+(0-0))+0-32-0</f>
        <v>241.60000000000002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0+(387.7-124.6)+(0+(-0.988635--0.31773))+0-26--0.0662999999999962</f>
        <v>236.495395</v>
      </c>
      <c r="G20" s="3">
        <f>0+(349-92.7)+(0+(-0.53397--0.141831))+0-28--0.0428400000000016</f>
        <v>227.95070100000004</v>
      </c>
      <c r="H20" s="3">
        <f>0+(311.1-63.4)+(0+(0.317322-0.064668))+0-31-0.0316200000000049</f>
        <v>216.92103400000002</v>
      </c>
      <c r="I20" s="3">
        <f>0+(305-56.9)+(0+(0-0))+0-32-0</f>
        <v>216.1</v>
      </c>
      <c r="J20" s="3">
        <f>0+(285.8-31.1)+(0+(-0.291516--0.031722))+0-31--0.0316200000000049</f>
        <v>223.47182600000002</v>
      </c>
      <c r="K20" s="3">
        <f>0+(279.3-23.9)+(0+(-0.427329--0.036567))+0-31--0.0474300000000018</f>
        <v>224.056668</v>
      </c>
      <c r="L20" s="3">
        <f>0+(348.8-92.6)+(0+(-0.711552--0.188904))+0-32--0.0652799999999986</f>
        <v>223.74263200000004</v>
      </c>
      <c r="M20" s="3">
        <f>0+(389.4-113.5)+(0+(0-0))+0-32-0</f>
        <v>243.89999999999998</v>
      </c>
      <c r="N20" s="3">
        <f>0+(497.7-192.7)+(0+(0-0))+0-31-0</f>
        <v>274</v>
      </c>
      <c r="O20" s="3">
        <f>0+(459.2-137.8)+(0+(0-0))+0-31-0</f>
        <v>290.39999999999998</v>
      </c>
      <c r="P20" s="3">
        <f>0+(448.5-136.4)+(0+(0-0))+0-31-0</f>
        <v>281.10000000000002</v>
      </c>
      <c r="Q20" s="3">
        <f>0+(439.4-114.8)+(0+(-0.896376--0.234192))+0-31--0.0632399999999986</f>
        <v>293.00105599999995</v>
      </c>
      <c r="R20" s="3">
        <f>0+(455.7-152.1)+(0+(-0.232407--0.077571))+0-31--0.0158099999999969</f>
        <v>272.46097400000002</v>
      </c>
      <c r="S20" s="3">
        <f>0+(485-162.2)+(0+(-0.4947--0.165444))+0-31--0.0316200000000049</f>
        <v>291.50236400000006</v>
      </c>
      <c r="T20" s="3">
        <f>0+(496.9-214.6)+(0+(-0.506838--0.218892))+0-30--0.0306000000000048</f>
        <v>252.04265399999997</v>
      </c>
      <c r="U20" s="3">
        <f>0+(502.9-237.6)+(0+(0-0))+0-31-0</f>
        <v>234.29999999999995</v>
      </c>
      <c r="V20" s="3">
        <f>0+(498.7-256.3)+(0+(-0.254337--0.130713))+0-31--0.0158099999999969</f>
        <v>211.29218599999996</v>
      </c>
      <c r="W20" s="3">
        <f>0+(487.5-230.4)+(0+(-1.49175--0.705024))+0-31--0.0948600000000036</f>
        <v>225.40813400000005</v>
      </c>
      <c r="X20" s="3">
        <f>0+(360.7-129.6)+(0+(-0.735828--0.264384))+0-30--0.0611999999999987</f>
        <v>200.68975599999999</v>
      </c>
      <c r="Y20" s="3">
        <f>0+(337.4-39.9)+(0+(0.344148-0.040698))+0-31-0.0316200000000049</f>
        <v>266.77182999999997</v>
      </c>
      <c r="Z20" s="3">
        <f>0+(359.7-35.2)+(0+(0-0))+0-31-0</f>
        <v>293.5</v>
      </c>
      <c r="AA20" s="3">
        <f>0+(386.9-93.7)+(0+(-0.986595--0.238935))+0-31--0.0790499999999955</f>
        <v>261.53138999999999</v>
      </c>
      <c r="AB20" s="3">
        <f>0+(478.7-181.5)+(0+(-0.244137--0.092565))+0-31--0.0158099999999969</f>
        <v>266.06423799999999</v>
      </c>
      <c r="AC20" s="3">
        <f>0+(542.5-249.6)+(0+(-0.55335--0.254592))+0-31--0.0316200000000049</f>
        <v>261.63286199999999</v>
      </c>
      <c r="AD20">
        <v>279.89999999999998</v>
      </c>
      <c r="AE20" s="3">
        <f>0+(328.4-17.5)+(0+(0-0))+0-31-0</f>
        <v>279.89999999999998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0+(622-339.5)+(0+(-0.63444--0.34629))+0-32--0.0326400000000051</f>
        <v>250.24449000000004</v>
      </c>
      <c r="G21" s="3">
        <f>0+(554.3-278.6)+(0+(0-0))+0-32-0</f>
        <v>243.69999999999993</v>
      </c>
      <c r="H21" s="3">
        <f>0+(397-124.5)+(0+(-0.80988--0.25398))+0-32--0.0652799999999986</f>
        <v>240.00937999999999</v>
      </c>
      <c r="I21" s="3">
        <f>0+(380.7-110.9)+(0+(-0.776628--0.226236))+0-32--0.0652799999999986</f>
        <v>237.31488799999997</v>
      </c>
      <c r="J21" s="3">
        <f>0+(395.5-124.8)+(0+(-0.605115--0.190944))+0-32--0.0489600000000018</f>
        <v>238.33478899999997</v>
      </c>
      <c r="K21" s="3">
        <f>0+(383.6-110.2)+(0+(-0.586908--0.168606))+0-32--0.0489600000000018</f>
        <v>241.03065800000005</v>
      </c>
      <c r="L21" s="3">
        <f>0+(396.4-121.1)+(0+(-0.202164--0.061761))+0-32--0.0163199999999968</f>
        <v>243.17591699999997</v>
      </c>
      <c r="M21" s="3">
        <f>12.6+(375.5-100.4)+(0+(0-0))+0-32-0</f>
        <v>255.70000000000005</v>
      </c>
      <c r="N21" s="3">
        <f>132.7+(422-244.5)+(-0.067677+(-0.21522--0.124695))+0-32--0.0163199999999968</f>
        <v>278.05811799999998</v>
      </c>
      <c r="O21" s="3">
        <f>126.7+(439.4-248.5)+(-0.129234+(-0.448188--0.25347))+0-32--0.0326400000000051</f>
        <v>285.30868799999996</v>
      </c>
      <c r="P21" s="3">
        <f>126.4+(354.2-168.5)+(-0.064464+(-0.180642--0.085935))+0-32--0.0163199999999968</f>
        <v>279.95714900000002</v>
      </c>
      <c r="Q21" s="3">
        <f>127.1+(392.9-201.1)+(0+(0-0))+0-32-0</f>
        <v>286.89999999999998</v>
      </c>
      <c r="R21" s="3">
        <f>127.6+(404.2-218.2)+(0+(0-0))+0-31-0</f>
        <v>282.60000000000002</v>
      </c>
      <c r="S21" s="3">
        <f>125+(413.7-225.4)+(-0.1275+(-0.421974--0.229908))+0-31--0.0316200000000049</f>
        <v>282.01205399999998</v>
      </c>
      <c r="T21" s="3">
        <f>124.1+(423.7-238.4)+(0+(0-0))+0-31-0</f>
        <v>278.39999999999998</v>
      </c>
      <c r="U21" s="3">
        <f>123.7+(434.8-255.3)+(0+(0-0))+0-31-0</f>
        <v>272.2</v>
      </c>
      <c r="V21" s="3">
        <f>123.6+(433.4-260.3)+(-0.189108+(-0.663102--0.398259))+0-32--0.0489600000000018</f>
        <v>264.29500899999994</v>
      </c>
      <c r="W21" s="3">
        <f>123.6+(425.2-261.7)+(-0.189108+(-0.650556--0.400401))+0-31--0.0474300000000018</f>
        <v>255.70816700000003</v>
      </c>
      <c r="X21" s="3">
        <f>124.4+(413.5-256)+(-0.253776+(-0.84354--0.52224))+0-30--0.0611999999999987</f>
        <v>251.38612399999994</v>
      </c>
      <c r="Y21" s="3">
        <f>125.6+(343.2-171.2)+(0+(0-0))+0-29-0</f>
        <v>268.60000000000002</v>
      </c>
      <c r="Z21" s="3">
        <f>126.8+(323.3-138.2)+(-0.258672+(-0.659532--0.281928))+0-30--0.0611999999999987</f>
        <v>281.32492400000001</v>
      </c>
      <c r="AA21" s="3">
        <f>113.9+(362.1-167.7)+(-0.174267+(-0.554013--0.256581))+0-30--0.0459000000000017</f>
        <v>277.87420100000008</v>
      </c>
      <c r="AB21" s="3">
        <f>36+(429.7-160.7)+(-0.05508+(-0.657441--0.245871))+0-30--0.0459000000000017</f>
        <v>274.57925</v>
      </c>
      <c r="AC21" s="3">
        <f>0+(461.5-166.9)+(0+(-0.706095--0.255357))+0-31--0.0474300000000018</f>
        <v>263.19669200000004</v>
      </c>
      <c r="AD21">
        <v>284</v>
      </c>
      <c r="AE21" s="3">
        <f>126+(332.6-144.6)+(0+(0-0))+0-30-0</f>
        <v>284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0+(519-236.2)+(0+(-0.52938--0.240924))+0-32--0.0326400000000051</f>
        <v>250.54418400000003</v>
      </c>
      <c r="G22" s="3">
        <f>0+(573.2-302.3)+(0+(0-0))+0-32-0</f>
        <v>238.90000000000003</v>
      </c>
      <c r="H22" s="3">
        <f>0+(535.8-269.3)+(0+(-0.819774--0.412029))+0-32--0.0489600000000018</f>
        <v>234.14121499999996</v>
      </c>
      <c r="I22" s="3">
        <f>0+(449.7-188.9)+(0+(-0.458694--0.192678))+0-24--0.0244800000000038</f>
        <v>236.55846399999999</v>
      </c>
      <c r="J22" s="3">
        <f>0+(445-179)+(0+(0.22695-0.09129))+0-23-0.0117299999999977</f>
        <v>243.12392999999997</v>
      </c>
      <c r="K22" s="3">
        <f>0+(405.4-136.5)+(0+(-0.413508--0.13923))+0-31--0.0316200000000049</f>
        <v>237.657342</v>
      </c>
      <c r="L22" s="3">
        <f>0+(419-148.1)+(0+(-0.64107--0.226593))+0-31--0.0474300000000018</f>
        <v>239.53295299999999</v>
      </c>
      <c r="M22" s="3">
        <f>0+(493.3-208.9)+(0+(0-0))+0-31-0</f>
        <v>253.39999999999998</v>
      </c>
      <c r="N22" s="3">
        <f>0+(610.1-300.3)+(0+(1.244604-0.612612))+0-31-0.0632399999999986</f>
        <v>279.36875200000003</v>
      </c>
      <c r="O22" s="3">
        <f>0+(642.9-317.7)+(0+(0.327879-0.162027))+0-31-0.0158099999999969</f>
        <v>294.35004199999997</v>
      </c>
      <c r="P22" s="3">
        <f>0+(649.1-312.5)+(0+(0-0))+0-31-0</f>
        <v>305.60000000000002</v>
      </c>
      <c r="Q22" s="3">
        <f>0+(635.4-301.4)+(0+(0-0))+0-31-0</f>
        <v>303</v>
      </c>
      <c r="R22" s="3">
        <f>0+(620.3-288.4)+(0+(-1.265412--0.588336))+0-31--0.0632399999999986</f>
        <v>300.28616399999999</v>
      </c>
      <c r="S22" s="3">
        <f>0+(613.2-293.3)+(0+(-0.625464--0.299166))+0-32--0.0326400000000051</f>
        <v>287.60634200000004</v>
      </c>
      <c r="T22" s="3">
        <f>0+(641.9-319.2)+(0+(0-0))+0-31-0</f>
        <v>291.7</v>
      </c>
      <c r="U22" s="3">
        <f>0+(655.8-339)+(0+(-0.668916--0.34578))+0-33--0.0336600000000053</f>
        <v>283.51052399999998</v>
      </c>
      <c r="V22" s="3">
        <f>0+(656.3-343.4)+(0+(-0.669426--0.350268))+0-33--0.0336600000000053</f>
        <v>279.61450199999996</v>
      </c>
      <c r="W22" s="3">
        <f>0+(632-323.3)+(0+(0-0))+0-32-0</f>
        <v>276.7</v>
      </c>
      <c r="X22" s="3">
        <f>93.8+(554.9-360.4)+(-0.047838+(-0.282999--0.183804))+0-32--0.0163199999999968</f>
        <v>256.169287</v>
      </c>
      <c r="Y22" s="3">
        <f>123.9+(440-257.9)+(-0.063189+(-0.2244--0.131529))+0-32--0.0163199999999968</f>
        <v>273.86025999999998</v>
      </c>
      <c r="Z22" s="3">
        <f>126.8+(430.4-245.8)+(-0.258672+(-0.878016--0.501432))+0-32--0.0652799999999986</f>
        <v>278.83002399999992</v>
      </c>
      <c r="AA22" s="3">
        <f>93.3+(498.6-288.6)+(-0.190332+(-1.017144--0.588744))+0-32--0.0652799999999986</f>
        <v>270.74654799999996</v>
      </c>
      <c r="AB22" s="3">
        <f>0+(591.5-294.2)+(0+(-0.904995--0.450126))+0-32--0.0489600000000018</f>
        <v>264.89409100000006</v>
      </c>
      <c r="AC22" s="3">
        <f>0+(538.7-246.3)+(0+(-1.098948--0.502452))+0-32--0.0652799999999986</f>
        <v>259.86878400000001</v>
      </c>
      <c r="AD22">
        <v>283.29999999999995</v>
      </c>
      <c r="AE22" s="3">
        <f>125+(412.3-222)+(0+(0-0))+0-32-0</f>
        <v>283.3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0+(572-289.2)+(0+(-0.87516--0.442476))+0-32--0.0489600000000018</f>
        <v>250.41627600000001</v>
      </c>
      <c r="G23" s="3">
        <f>0+(615.5-340.7)+(0+(-1.569525--0.868785))+0-32--0.0815999999999954</f>
        <v>242.18086000000002</v>
      </c>
      <c r="H23" s="3">
        <f>0+(607.3-330.8)+(0+(-0.309723--0.168708))+0-32--0.0163199999999968</f>
        <v>244.37530499999997</v>
      </c>
      <c r="I23" s="3">
        <f>0+(521.3-248.9)+(0+(-1.063452--0.507756))+0-32--0.0652799999999986</f>
        <v>239.90958399999997</v>
      </c>
      <c r="J23" s="3">
        <f>0+(454.7-184.9)+(0+(-0.927588--0.377196))+0-32--0.0652799999999986</f>
        <v>237.31488799999997</v>
      </c>
      <c r="K23" s="3">
        <f>0+(455.3-182.2)+(0+(0.232203-0.092922))+0-32-0.0163199999999968</f>
        <v>241.222961</v>
      </c>
      <c r="L23" s="3">
        <f>0+(464.3-190.9)+(0+(-0.947172--0.389436))+0-29--0.0591599999999987</f>
        <v>243.90142399999999</v>
      </c>
      <c r="M23" s="3">
        <f>0+(499-210.7)+(0+(-0.50898--0.214914))+0-31--0.0316200000000049</f>
        <v>257.03755400000006</v>
      </c>
      <c r="N23" s="3">
        <f>0+(614.3-300.7)+(0+(0-0))+0-31-0</f>
        <v>282.59999999999997</v>
      </c>
      <c r="O23" s="3">
        <f>0+(667-338.1)+(0+(0.34017-0.172431))+0-31-0.0158099999999969</f>
        <v>298.05192899999997</v>
      </c>
      <c r="P23" s="3">
        <f>0+(633.4-303.5)+(0+(0.323034-0.154785))+0-31-0.0158099999999969</f>
        <v>299.05243899999999</v>
      </c>
      <c r="Q23" s="3">
        <f>0+(627.1-294.3)+(0+(-0.319821--0.150093))+0-31--0.0158099999999969</f>
        <v>301.64608199999998</v>
      </c>
      <c r="R23" s="3">
        <f>0+(669.8-336.2)+(0+(-0.341598--0.171462))+0-31.5--0.0160649999999968</f>
        <v>301.94592899999992</v>
      </c>
      <c r="S23" s="3">
        <f>0+(668.1-343.6)+(0+(-1.703655--0.87618))+0-31.4--0.0800699999999954</f>
        <v>292.35259500000001</v>
      </c>
      <c r="T23" s="3">
        <f>0+(652.5-363.7)+(0+(-0.66555--0.370974))+0-31.5--0.032130000000005</f>
        <v>257.037554</v>
      </c>
      <c r="U23" s="3">
        <f>0+(649.2-337.5)+(0+(-0.662184--0.34425))+0-31.4--0.032028000000005</f>
        <v>280.01409400000011</v>
      </c>
      <c r="V23" s="3">
        <f>0+(664.4-358.8)+(0+(0-0))+0-31.4-0</f>
        <v>274.2</v>
      </c>
      <c r="W23" s="3">
        <f>0+(632.1-327.3)+(0+(-1.611855--0.834615))+0-31.4--0.0800699999999954</f>
        <v>272.70283000000001</v>
      </c>
      <c r="X23" s="3">
        <f>0+(582-295.5)+(0+(-1.18728--0.60282))+0-31.4--0.0640559999999986</f>
        <v>254.57959600000001</v>
      </c>
      <c r="Y23" s="3">
        <f>0+(544.5-244.5)+(0+(0.277695-0.124695))+0-31.4-0.0160139999999968</f>
        <v>268.73698600000006</v>
      </c>
      <c r="Z23" s="3">
        <f>0+(492.9-181.4)+(0+(-0.754137--0.277542))+0-31.3--0.0478890000000018</f>
        <v>279.77129400000001</v>
      </c>
      <c r="AA23" s="3">
        <f>0+(542.3-232.7)+(0+(-1.382865--0.593385))+0-31.3--0.0798149999999955</f>
        <v>277.59033499999993</v>
      </c>
      <c r="AB23" s="3">
        <f>0+(604.7-295.1)+(0+(-1.541985--0.752505))+0-31.4--0.0800699999999954</f>
        <v>277.49059</v>
      </c>
      <c r="AC23" s="3">
        <f>0+(637.2-338.2)+(0+(-0.649944--0.344964))+0-31.4--0.032028000000005</f>
        <v>267.3270480000001</v>
      </c>
      <c r="AD23">
        <v>282</v>
      </c>
      <c r="AE23" s="3">
        <f>0+(493.4-180)+(0+(0-0))+0-31.4-0</f>
        <v>282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0+(567.9-279.1)+(0+(0-0))+0-31.4-0</f>
        <v>257.39999999999998</v>
      </c>
      <c r="G24" s="3">
        <f>0+(475-194)+(0+(0.4845-0.19788))+0-31.4-0.032028000000005</f>
        <v>249.85459200000003</v>
      </c>
      <c r="H24" s="3">
        <f>0+(465.4-191.5)+(0+(-0.712062--0.292995))+0-31.4--0.0480420000000018</f>
        <v>242.128975</v>
      </c>
      <c r="I24" s="3">
        <f>0+(474.6-204.3)+(0+(-0.484092--0.208386))+0-31.5--0.032130000000005</f>
        <v>238.55642399999999</v>
      </c>
      <c r="J24" s="3">
        <f>0+(442.8-173.8)+(0+(-0.903312--0.354552))+0-31.4--0.0640559999999986</f>
        <v>237.11529599999997</v>
      </c>
      <c r="K24" s="3">
        <f>0+(448-175.4)+(0+(0-0))+0-31.3-0</f>
        <v>241.3</v>
      </c>
      <c r="L24" s="3">
        <f>0+(426.2-152.5)+(0+(-0.217362--0.077775))+0-31.4--0.0160139999999968</f>
        <v>242.17642699999996</v>
      </c>
      <c r="M24" s="3">
        <f>0+(460.3-169.7)+(0+(0-0))+0-31.4-0</f>
        <v>259.20000000000005</v>
      </c>
      <c r="N24" s="3">
        <f>0+(563.5-251.2)+(0+(-0.287385--0.128112))+0-31.5--0.0160649999999968</f>
        <v>280.656792</v>
      </c>
      <c r="O24" s="3">
        <f>0+(614.4-293.3)+(0+(-0.313344--0.149583))+0-31.6--0.0161159999999968</f>
        <v>289.35235499999993</v>
      </c>
      <c r="P24" s="3">
        <f>0+(622.1-301.1)+(0+(-0.634542--0.307122))+0-31.4--0.032028000000005</f>
        <v>289.30460800000003</v>
      </c>
      <c r="Q24" s="3">
        <f>0+(574.5-255.3)+(0+(-0.58599--0.260406))+0-31--0.0316200000000049</f>
        <v>287.90603600000003</v>
      </c>
      <c r="R24" s="3">
        <f>0+(558.7-238.1)+(0+(-0.569874--0.242862))+0-31--0.0316200000000049</f>
        <v>289.30460800000003</v>
      </c>
      <c r="S24" s="3">
        <f>0+(594.6-287.5)+(0+(-0.606492--0.29325))+0-31--0.0316200000000049</f>
        <v>275.81837800000005</v>
      </c>
      <c r="T24" s="3">
        <f>23+(652.9-370.5)+(0+(0-0))+0-31-0</f>
        <v>274.39999999999998</v>
      </c>
      <c r="U24" s="3">
        <f>123.6+(607.4-459)+(-0.126072+(-0.619548--0.46818))+0-31--0.0316200000000049</f>
        <v>240.75417999999999</v>
      </c>
      <c r="V24" s="3">
        <f>124.2+(523.7-386.5)+(0.190026+(0.801261-0.591345))+0-31-0.0474300000000018</f>
        <v>230.75251200000005</v>
      </c>
      <c r="W24" s="3">
        <f>125.3+(513.2-344.4)+(-0.255612+(-1.046928--0.702576))+0-31--0.0632399999999986</f>
        <v>262.56327600000009</v>
      </c>
      <c r="X24" s="3">
        <f>125.9+(456.5-298.9)+(0.064209+(0.232815-0.152439))+0-31-0.0158099999999969</f>
        <v>252.62877500000002</v>
      </c>
      <c r="Y24" s="3">
        <f>126.9+(415.5-244.4)+(0.064719+(0.211905-0.124644))+0-31-0.0158099999999969</f>
        <v>267.13616999999999</v>
      </c>
      <c r="Z24" s="3">
        <f>102.2+(392-179.7)+(-0.208488+(-0.79968--0.366588))+0-31--0.0632399999999986</f>
        <v>282.92166000000003</v>
      </c>
      <c r="AA24" s="3">
        <f>0+(484.6-176.8)+(0+(-1.482876--0.541008))+0-31--0.0948600000000036</f>
        <v>275.95299199999999</v>
      </c>
      <c r="AB24" s="3">
        <f>0+(583.5-282.3)+(0+(-1.19034--0.575892))+0-31--0.0632399999999986</f>
        <v>269.64879200000001</v>
      </c>
      <c r="AC24" s="3">
        <f>0+(587.2-287.4)+(0+(-1.197888--0.586296))+0-31--0.0632399999999986</f>
        <v>268.2516480000001</v>
      </c>
      <c r="AD24">
        <v>286.5</v>
      </c>
      <c r="AE24" s="3">
        <f>129+(380.6-192.1)+(0+(0-0))+0-31-0</f>
        <v>286.5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0+(568.5-281.9)+(0+(-0.289935--0.143769))+0-32--0.0163199999999968</f>
        <v>254.47015400000004</v>
      </c>
      <c r="G25" s="3">
        <f>0+(509.9-230)+(0+(-1.040196--0.4692))+0-32--0.0652799999999986</f>
        <v>247.394284</v>
      </c>
      <c r="H25" s="3">
        <f>0+(474.7-199)+(0+(-0.484194--0.20298))+0-32--0.0326400000000051</f>
        <v>243.45142600000003</v>
      </c>
      <c r="I25" s="3">
        <f>0+(459.6-189.3)+(0+(0.234396-0.096543))+0-32-0.0163199999999968</f>
        <v>238.42153300000001</v>
      </c>
      <c r="J25" s="3">
        <f>0+(480.2-213.6)+(0+(0.489804-0.217872))+0-32-0.0326400000000051</f>
        <v>234.839292</v>
      </c>
      <c r="K25" s="3">
        <f>0+(496.8-227.4)+(0+(-0.253368--0.115974))+0-32--0.0163199999999968</f>
        <v>237.27892600000001</v>
      </c>
      <c r="L25" s="3">
        <f>0+(490.5-223.5)+(0+(-0.750465--0.341955))+0-32--0.0489600000000018</f>
        <v>234.64045000000002</v>
      </c>
      <c r="M25" s="3">
        <f>0+(513.9-232.4)+(0+(0-0))+0-32-0</f>
        <v>249.5</v>
      </c>
      <c r="N25" s="3">
        <f>0+(629.6-320.3)+(0+(0-0))+0-32-0</f>
        <v>277.3</v>
      </c>
      <c r="O25" s="3">
        <f>0+(632.5-312.7)+(0+(-0.322575--0.159477))+0-32--0.0163199999999968</f>
        <v>287.65322200000003</v>
      </c>
      <c r="P25" s="3">
        <f>96.3+(611.5-389.2)+(0.147339+(0.935595-0.595476))+0-32-0.0489600000000018</f>
        <v>287.038498</v>
      </c>
      <c r="Q25" s="3">
        <f>128.3+(543-355.6)+(-0.392598+(-1.66158--1.088136))+0-32--0.0979200000000037</f>
        <v>282.83187799999996</v>
      </c>
      <c r="R25" s="3">
        <f>110+(500.1-301)+(-0.2805+(-1.275255--0.76755))+0-2--0.00509999999999971</f>
        <v>306.31689500000005</v>
      </c>
      <c r="S25" s="3">
        <f>110.3+(465.8-289.7)+(-0.056253+(-0.237558--0.147747))+0-31--0.0158099999999969</f>
        <v>255.269746</v>
      </c>
      <c r="T25" s="3">
        <f>111.2+(387.2-200.5)+(0.056712+(0.197472-0.102255))+0-31-0.0158099999999969</f>
        <v>267.03611899999999</v>
      </c>
      <c r="U25" s="3">
        <f>110.8+(368.7-189.8)+(-0.056508+(-0.188037--0.096798))+0-31--0.0158099999999969</f>
        <v>258.568063</v>
      </c>
      <c r="V25" s="3">
        <f>110.2+(365.4-193.8)+(-0.224808+(-0.745416--0.395352))+0-31--0.0632399999999986</f>
        <v>250.28836799999993</v>
      </c>
      <c r="W25" s="3">
        <f>110.1+(380-217.9)+(-0.168453+(-0.5814--0.333387))+0-31--0.0474300000000018</f>
        <v>240.83096399999997</v>
      </c>
      <c r="X25" s="3">
        <f>110.5+(361.6-214.4)+(-0.11271+(-0.368832--0.218688))+0-30--0.0306000000000048</f>
        <v>227.46774600000003</v>
      </c>
      <c r="Y25" s="3">
        <f>109.8+(349.1-182)+(-0.223992+(-0.712164--0.37128))+0-31--0.0632399999999986</f>
        <v>245.39836400000002</v>
      </c>
      <c r="Z25" s="3">
        <f>109.3+(394.8-210.5)+(-0.278715+(-1.00674--0.536775))+0-31--0.0790499999999955</f>
        <v>261.93037000000004</v>
      </c>
      <c r="AA25" s="3">
        <f>86.5+(462.5-259.9)+(-0.132345+(-0.707625--0.397647))+0-32--0.0489600000000018</f>
        <v>256.70663700000006</v>
      </c>
      <c r="AB25" s="3">
        <f>0+(493.9-206.1)+(0+(-0.503778--0.210222))+0-31--0.0316200000000049</f>
        <v>256.53806399999996</v>
      </c>
      <c r="AC25" s="3">
        <f>0+(482.9-198.4)+(0+(-0.246279--0.101184))+0-31--0.0158099999999969</f>
        <v>253.37071499999996</v>
      </c>
      <c r="AD25">
        <v>264.39999999999998</v>
      </c>
      <c r="AE25" s="3">
        <f>110+(374.9-189.5)+(0+(0-0))+0-31-0</f>
        <v>264.39999999999998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0+(538.9-254.9)+(0+(-0.274839--0.129999))+0-31--0.0158099999999969</f>
        <v>252.87097</v>
      </c>
      <c r="G26" s="3">
        <f>0+(455.8-169.1)+(0+(-0.464916--0.172482))+0-31--0.0316200000000049</f>
        <v>255.43918600000003</v>
      </c>
      <c r="H26" s="3">
        <f>0+(383.3-100.3)+(0+(-0.586449--0.153459))+0-31--0.0474300000000018</f>
        <v>251.61443999999997</v>
      </c>
      <c r="I26" s="3">
        <f>0+(386.5-108.4)+(0+(0-0))+0-31-0</f>
        <v>247.10000000000002</v>
      </c>
      <c r="J26" s="3">
        <f>0+(362.2-85.4)+(0+(0-0))+0-31-0</f>
        <v>245.79999999999995</v>
      </c>
      <c r="K26" s="3">
        <f>0+(283.6-16.9)+(0+(-0.289272--0.017238))+0-31--0.0316200000000049</f>
        <v>235.45958600000003</v>
      </c>
      <c r="L26" s="3">
        <f>0+(315-64.7)+(0+(-1.2852--0.263976))+0-31--0.126479999999997</f>
        <v>218.40525600000001</v>
      </c>
      <c r="M26" s="3">
        <f>0+(266.8-19.2)+(0+(-0.272136--0.019584))+0-31--0.0316200000000049</f>
        <v>216.37906800000002</v>
      </c>
      <c r="N26" s="3">
        <f>0+(259.9-0)+(0+(0.530196-0))+0-31-0.0632399999999986</f>
        <v>229.36695599999996</v>
      </c>
      <c r="O26" s="3">
        <f>0+(269-4.5)+(0+(-0.41157--0.006885))+0-31--0.0474300000000018</f>
        <v>233.14274500000002</v>
      </c>
      <c r="P26" s="3">
        <f>0+(264.1-7.8)+(0+(0.269382-0.007956))+0-31-0.0316200000000049</f>
        <v>225.52980599999998</v>
      </c>
      <c r="Q26" s="3">
        <f>0+(279.7-20.9)+(0+(-0.427941--0.031977))+0-31--0.0474300000000018</f>
        <v>227.45146600000001</v>
      </c>
      <c r="R26" s="3">
        <f>0+(335.9-83.5)+(0+(-1.199163--0.298095))+0-31--0.11067</f>
        <v>220.60960199999997</v>
      </c>
      <c r="S26" s="3">
        <f>0+(373.5-124.5)+(0+(0-0))+0-31-0</f>
        <v>218</v>
      </c>
      <c r="T26" s="3">
        <f>0+(334.9-90.8)+(0+(-0.341598--0.092616))+0-31--0.0316200000000049</f>
        <v>212.88263799999996</v>
      </c>
      <c r="U26" s="3">
        <f>0+(369.5-129.7)+(0+(-0.188445--0.066147))+0-31--0.0158099999999969</f>
        <v>208.693512</v>
      </c>
      <c r="V26" s="3">
        <f>0+(394.6-152.2)+(0+(-0.804984--0.310488))+0-31--0.0632399999999986</f>
        <v>210.96874400000004</v>
      </c>
      <c r="W26" s="3">
        <f>0+(410.2-169.6)+(0+(-0.209202--0.086496))+0-32--0.0163199999999968</f>
        <v>208.49361400000001</v>
      </c>
      <c r="X26" s="3">
        <f>0+(386-143.1)+(0+(0.19686-0.072981))+0-31-0.0158099999999969</f>
        <v>212.00806900000001</v>
      </c>
      <c r="Y26" s="3">
        <f>14.6+(398.2-149.7)+(-0.029784+(-0.812328--0.305388))+0-29--0.0591599999999987</f>
        <v>233.62243600000002</v>
      </c>
      <c r="Z26" s="3">
        <f>128.1+(393.3-237)+(-0.065331+(-0.200583--0.12087))+0-31--0.0158099999999969</f>
        <v>253.27076599999998</v>
      </c>
      <c r="AA26" s="3">
        <f>79.2+(417.7-214.9)+(-0.161568+(-0.852108--0.438396))+0-31--0.0632399999999986</f>
        <v>250.48795999999999</v>
      </c>
      <c r="AB26" s="3">
        <f>0+(345.6-62)+(0+(-0.352512--0.06324))+0-31--0.0316200000000049</f>
        <v>252.34234800000004</v>
      </c>
      <c r="AC26" s="3">
        <f>0+(311.4-36.7)+(0+(-0.635256--0.074868))+0-31--0.0632399999999986</f>
        <v>243.20285200000001</v>
      </c>
      <c r="AD26">
        <v>244.59999999999997</v>
      </c>
      <c r="AE26" s="3">
        <f>130+(420.4-274.8)+(0+(0-0))+0-31-0</f>
        <v>244.59999999999997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0+(278.2-12.1)+(0+(0-0))+0-32-0</f>
        <v>234.09999999999997</v>
      </c>
      <c r="G27" s="3">
        <f>0+(305.9-41.1)+(0+(-0.780045--0.104805))+0-32--0.0815999999999954</f>
        <v>232.20635999999999</v>
      </c>
      <c r="H27" s="3">
        <f>0+(341.2-84.2)+(0+(-0.174012--0.042942))+0-32--0.0163199999999968</f>
        <v>224.88524999999998</v>
      </c>
      <c r="I27" s="3">
        <f>0+(356.3-100.2)+(0+(0.181713-0.051102))+0-32-0.0163199999999968</f>
        <v>224.214291</v>
      </c>
      <c r="J27" s="3">
        <f>0+(365.2-111.8)+(0+(-0.186252--0.057018))+0-32--0.0163199999999968</f>
        <v>221.28708599999999</v>
      </c>
      <c r="K27" s="3">
        <f>0+(365.1-108.8)+(0+(0.186201-0.055488))+0-32-0.0163199999999968</f>
        <v>224.41439300000002</v>
      </c>
      <c r="L27" s="3">
        <f>0+(395.8-136.6)+(0+(-1.00929--0.34833))+0-32--0.0815999999999954</f>
        <v>226.62064000000007</v>
      </c>
      <c r="M27" s="3">
        <f>0+(489.7-208.6)+(0+(0.499494-0.212772))+0-31-0.0316200000000049</f>
        <v>250.35510200000002</v>
      </c>
      <c r="N27" s="3">
        <f>0+(596.9-285.3)+(0+(0-0))+0-31-0</f>
        <v>280.59999999999997</v>
      </c>
      <c r="O27" s="3">
        <f>60.1+(672.3-413.7)+(0+(0-0))+0-31-0</f>
        <v>287.7</v>
      </c>
      <c r="P27" s="3">
        <f>129.2+(700-504.9)+(0.131784+(0.714-0.514998))+0-32-0.0326400000000051</f>
        <v>292.59814599999999</v>
      </c>
      <c r="Q27" s="3">
        <f>80.1+(675.2-428.1)+(-0.081702+(-0.688704--0.436662))+0-32--0.0326400000000051</f>
        <v>294.89889600000004</v>
      </c>
      <c r="R27" s="3">
        <f>2.7+(693.5-368.6)+(-0.001377+(-0.353685--0.187986))+0-31--0.0158099999999969</f>
        <v>296.44873399999994</v>
      </c>
      <c r="S27" s="3">
        <f>0+(737.1-420)+(0+(0-0))+0-31-0</f>
        <v>286.10000000000002</v>
      </c>
      <c r="T27" s="3">
        <f>0+(777.7-463)+(0+(-0.396627--0.23613))+0-31--0.0158099999999969</f>
        <v>283.55531300000001</v>
      </c>
      <c r="U27" s="3">
        <f>0+(788.3-482.3)+(0+(-1.206099--0.737919))+0-19--0.0290700000000011</f>
        <v>286.56088999999992</v>
      </c>
      <c r="V27" s="3">
        <f>0+(691.7-392.2)+(0+(-0.352767--0.200022))+0-31--0.0158099999999969</f>
        <v>268.36306500000006</v>
      </c>
      <c r="W27" s="3">
        <f>40.3+(713.1-456.6)+(-0.082212+(-1.454724--0.931464))+0-31--0.0632399999999986</f>
        <v>265.257768</v>
      </c>
      <c r="X27" s="3">
        <f>50.5+(741.3-528.7)+(-0.128775+(-1.890315--1.348185))+0-31--0.0790499999999955</f>
        <v>231.5081449999999</v>
      </c>
      <c r="Y27" s="3">
        <f>71.8+(650.2-414.1)+(-0.036618+(-0.331602--0.211191))+0-31--0.0158099999999969</f>
        <v>276.758781</v>
      </c>
      <c r="Z27" s="3">
        <f>127.5+(576.9-379.9)+(-0.2601+(-1.176876--0.774996))+0-31--0.0632399999999986</f>
        <v>292.90125999999998</v>
      </c>
      <c r="AA27" s="3">
        <f>127.4+(578-385.9)+(-0.194922+(-0.88434--0.590427))+0-31--0.0474300000000018</f>
        <v>288.05859500000003</v>
      </c>
      <c r="AB27" s="3">
        <f>14.1+(578.8-256.6)+(-0.035955+(-1.47594--0.65433))+0-31--0.0790499999999955</f>
        <v>304.52148499999993</v>
      </c>
      <c r="AC27" s="3">
        <f>0+(486.2-174.8)+(0+(-0.991848--0.356592))+0-31--0.0632399999999986</f>
        <v>279.82798399999996</v>
      </c>
      <c r="AD27">
        <v>290.5</v>
      </c>
      <c r="AE27" s="3">
        <f>127+(544.6-350.1)+(0+(0-0))+0-31-0</f>
        <v>290.5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0+(482.1-185)+(0+(-0.737613--0.28305))+0-31--0.0474300000000018</f>
        <v>265.69286700000004</v>
      </c>
      <c r="G28" s="3">
        <f>0+(504-215.8)+(0+(-0.51408--0.220116))+0-31--0.0316200000000049</f>
        <v>256.937656</v>
      </c>
      <c r="H28" s="3">
        <f>0+(497.9-215)+(0+(-1.015716--0.4386))+0-31--0.0632399999999986</f>
        <v>251.386124</v>
      </c>
      <c r="I28" s="3">
        <f>0+(433.8-151.4)+(0+(-0.442476--0.154428))+0-31--0.0316200000000049</f>
        <v>251.14357199999998</v>
      </c>
      <c r="J28" s="3">
        <f>0+(400.8-118.7)+(0+(-0.817632--0.242148))+0-31--0.0632399999999986</f>
        <v>250.58775600000001</v>
      </c>
      <c r="K28" s="3">
        <f>0+(412.8-130.8)+(0+(0-0))+0-31-0</f>
        <v>251</v>
      </c>
      <c r="L28" s="3">
        <f>0+(412.2-131.5)+(0+(-1.471554--0.469455))+0-31--0.11067</f>
        <v>248.808571</v>
      </c>
      <c r="M28" s="3">
        <f>0+(434.1-134.4)+(0+(0-0))+0-31-0</f>
        <v>268.70000000000005</v>
      </c>
      <c r="N28" s="3">
        <f>0+(485.1-160)+(0+(0.494802-0.1632))+0-31-0.0316200000000049</f>
        <v>294.39998199999997</v>
      </c>
      <c r="O28" s="3">
        <f>0+(554.3-217.5)+(0+(-0.565386--0.22185))+0-31--0.0316200000000049</f>
        <v>305.48808400000001</v>
      </c>
      <c r="P28" s="3">
        <f>0+(590.3-248)+(0+(0.301053-0.12648))+0-31-0.0158099999999969</f>
        <v>311.45876299999998</v>
      </c>
      <c r="Q28" s="3">
        <f>0+(541.7-198.3)+(0+(0-0))+0-31-0</f>
        <v>312.40000000000003</v>
      </c>
      <c r="R28" s="3">
        <f>0+(540.5-203.1)+(0+(-1.378275--0.517905))+0-31--0.0790499999999955</f>
        <v>305.61867999999998</v>
      </c>
      <c r="S28" s="3">
        <f>0+(521.5-198.3)+(0+(-1.06386--0.404532))+0-32--0.0652799999999986</f>
        <v>290.60595199999995</v>
      </c>
      <c r="T28" s="3">
        <f>0+(521.5-198.1)+(0+(0.53193-0.202062))+0-32-0.0326400000000051</f>
        <v>291.69722799999994</v>
      </c>
      <c r="U28" s="3">
        <f>0+(553.2-234.9)+(0+(-1.128528--0.479196))+0-32--0.0652799999999986</f>
        <v>285.71594800000003</v>
      </c>
      <c r="V28" s="3">
        <f>0+(587.3-275.8)+(0+(-1.198092--0.562632))+0-32--0.0652799999999986</f>
        <v>278.92981999999989</v>
      </c>
      <c r="W28" s="3">
        <f>0+(600.6-291.6)+(0+(-1.837836--0.892296))+0-31--0.0948600000000036</f>
        <v>277.14931999999999</v>
      </c>
      <c r="X28" s="3">
        <f>0+(550.7-253.4)+(0+(-1.123428--0.516936))+0-31--0.0632399999999986</f>
        <v>265.75674800000007</v>
      </c>
      <c r="Y28" s="3">
        <f>0+(527.7-218.9)+(0+(0.269127-0.111639))+0-31-0.0158099999999969</f>
        <v>277.94167800000008</v>
      </c>
      <c r="Z28" s="3">
        <f>0+(509.2-179.4)+(0+(-1.29846--0.45747))+0-32--0.0815999999999954</f>
        <v>297.04060999999996</v>
      </c>
      <c r="AA28" s="3">
        <f>0+(561.7-232.6)+(0+(-1.432335--0.59313))+0-32--0.0815999999999954</f>
        <v>296.34239500000001</v>
      </c>
      <c r="AB28" s="3">
        <f>0+(667.2-346.8)+(0+(-2.381904--1.238076))+0-32--0.11424</f>
        <v>287.37041200000004</v>
      </c>
      <c r="AC28" s="3">
        <f>0+(686.1-377)+(0+(-1.749555--0.96135))+0-32--0.0815999999999954</f>
        <v>276.393395</v>
      </c>
      <c r="AD28">
        <v>296.70000000000005</v>
      </c>
      <c r="AE28" s="3">
        <f>0+(519.7-192)+(0+(0-0))+0-31-0</f>
        <v>296.70000000000005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0+(650.1-358.7)+(0+(-0.994653--0.548811))+0-32--0.0489600000000018</f>
        <v>259.00311800000003</v>
      </c>
      <c r="G29" s="3">
        <f>0+(458.2-173.3)+(0+(-1.635774--0.618681))+0-32--0.11424</f>
        <v>251.99714699999998</v>
      </c>
      <c r="H29" s="3">
        <f>0+(470.8-189.1)+(0+(-0.720324--0.289323))+0-32--0.0489600000000018</f>
        <v>249.31795900000006</v>
      </c>
      <c r="I29" s="3">
        <f>0+(504.7-227.4)+(0+(0-0))+0-32-0</f>
        <v>245.29999999999995</v>
      </c>
      <c r="J29" s="3">
        <f>0+(499.2-219.3)+(0+(-1.018368--0.447372))+0-32--0.0652799999999986</f>
        <v>247.394284</v>
      </c>
      <c r="K29" s="3">
        <f>0+(506.7-226.5)+(0+(-0.516834--0.23103))+0-32--0.0326400000000051</f>
        <v>247.94683600000002</v>
      </c>
      <c r="L29" s="3">
        <f>0+(468-187.8)+(0+(-0.95472--0.383112))+0-32--0.0652799999999986</f>
        <v>247.69367199999996</v>
      </c>
      <c r="M29" s="3">
        <f>1.3+(495.9-203.4)+(0.000663+(0.252909-0.103734))+0-32-0.0163199999999968</f>
        <v>261.93351799999999</v>
      </c>
      <c r="N29" s="3">
        <f>55.4+(552.2-285.8)+(0.028254+(0.281622-0.145758))+0-32-0.0163199999999968</f>
        <v>289.94779799999998</v>
      </c>
      <c r="O29" s="3">
        <f>79.3+(712.3-463.1)+(-0.121329+(-1.089819--0.708543))+0-32--0.0489600000000018</f>
        <v>296.04635499999995</v>
      </c>
      <c r="P29" s="3">
        <f>183.7+(665.3-555.8)+(-0.374748+(-1.357212--1.133832))+0-32--0.0652799999999986</f>
        <v>260.66715199999999</v>
      </c>
      <c r="Q29" s="3">
        <f>81.3+(644.9-394.2)+(-0.041463+(-0.328899--0.201042))+0-32--0.0163199999999968</f>
        <v>299.84699999999998</v>
      </c>
      <c r="R29" s="3">
        <f>53.5+(651.3-388)+(0.027285+(0.332163-0.19788))+0-32-0.0163199999999968</f>
        <v>284.94524799999994</v>
      </c>
      <c r="S29" s="3">
        <f>53.5+(695.1-432.3)+(-0.027285+(-0.354501--0.220473))+0-32--0.0163199999999968</f>
        <v>284.15500700000001</v>
      </c>
      <c r="T29" s="3">
        <f>53.6+(713.2-446)+(-0.054672+(-0.727464--0.45492))+0-32--0.0326400000000051</f>
        <v>288.50542400000006</v>
      </c>
      <c r="U29" s="3">
        <f>53.5+(723.3-459.2)+(-0.081855+(-1.106649--0.702576))+0-32--0.0489600000000018</f>
        <v>285.16303199999999</v>
      </c>
      <c r="V29" s="3">
        <f>53.6+(659.8-399.2)+(-0.109344+(-1.345992--0.814368))+0-32--0.0652799999999986</f>
        <v>281.62431199999997</v>
      </c>
      <c r="W29" s="3">
        <f>53.5+(589.8-346.6)+(-0.05457+(-0.601596--0.353532))+0-31--0.0316200000000049</f>
        <v>265.42898599999995</v>
      </c>
      <c r="X29" s="3">
        <f>53.5+(540.3-292.6)+(-0.136425+(-1.377765--0.74613))+0-32--0.0815999999999954</f>
        <v>268.51353999999992</v>
      </c>
      <c r="Y29" s="3">
        <f>51.6+(506.8-239.6)+(-0.052632+(-0.516936--0.244392))+0-32--0.0326400000000051</f>
        <v>286.50746400000008</v>
      </c>
      <c r="Z29" s="3">
        <f>50.5+(524.7-244.4)+(-0.05151+(-0.535194--0.249288))+0-31--0.0316200000000049</f>
        <v>299.49420400000008</v>
      </c>
      <c r="AA29" s="3">
        <f>50.5+(595.9-325.2)+(-0.077265+(-0.911727--0.497556))+0-32--0.0489600000000018</f>
        <v>288.75752399999999</v>
      </c>
      <c r="AB29" s="3">
        <f>50.5+(660.7-396.6)+(-0.128775+(-1.684785--1.01133))+0-32--0.0815999999999954</f>
        <v>281.87936999999999</v>
      </c>
      <c r="AC29" s="3">
        <f>50.5+(708.4-451.7)+(-0.05151+(-0.722568--0.460734))+0-32--0.0326400000000051</f>
        <v>274.91929600000003</v>
      </c>
      <c r="AD29">
        <v>300.19999999999993</v>
      </c>
      <c r="AE29" s="3">
        <f>50+(543.3-261.1)+(0+(0-0))+0-32-0</f>
        <v>300.19999999999993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50.5+(699.5-473.8)+(-0.128775+(-1.783725--1.20819))+0-32--0.0815999999999954</f>
        <v>243.57728999999998</v>
      </c>
      <c r="G30" s="3">
        <f>50.5+(697-463.8)+(-0.05151+(-0.71094--0.473076))+0-32--0.0326400000000051</f>
        <v>251.44326599999999</v>
      </c>
      <c r="H30" s="3">
        <f>50.5+(667.9-443)+(-0.05151+(-0.681258--0.45186))+0-32--0.0326400000000051</f>
        <v>243.15173199999998</v>
      </c>
      <c r="I30" s="3">
        <f>50.4+(596-372.1)+(-0.102816+(-1.21584--0.759084))+0-32--0.0652799999999986</f>
        <v>241.80570799999995</v>
      </c>
      <c r="J30" s="3">
        <f>50.5+(442.9-218)+(-0.128775+(-1.129395--0.5559))+0-32--0.0815999999999954</f>
        <v>242.77932999999999</v>
      </c>
      <c r="K30" s="3">
        <f>50.5+(417.8-195)+(-0.025755+(-0.213078--0.09945))+0-32--0.0163199999999968</f>
        <v>241.17693700000001</v>
      </c>
      <c r="L30" s="3">
        <f>50.6+(423.8-199.7)+(0+(0-0))+0-31-0</f>
        <v>243.70000000000005</v>
      </c>
      <c r="M30" s="3">
        <f>50.5+(469.8-225.2)+(0+(0-0))+0-31-0</f>
        <v>264.10000000000002</v>
      </c>
      <c r="N30" s="3">
        <f>50.4+(646.2-377.4)+(-0.077112+(-0.988686--0.577422))+0-31--0.0474300000000018</f>
        <v>287.75905400000005</v>
      </c>
      <c r="O30" s="3">
        <f>50.5+(735.7-434.1)+(-0.05151+(-0.750414--0.442782))+0-32--0.0326400000000051</f>
        <v>319.77349800000002</v>
      </c>
      <c r="P30" s="3">
        <f>50.6+(757.3-456.6)+(-0.025806+(-0.386223--0.232866))+0-32--0.0163199999999968</f>
        <v>319.13715699999995</v>
      </c>
      <c r="Q30" s="3">
        <f>50.5+(727.6-447.3)+(-0.077265+(-1.113228--0.684369))+0-32--0.0489600000000018</f>
        <v>298.34283600000003</v>
      </c>
      <c r="R30" s="3">
        <f>60.3+(737.4-474.5)+(0.030753+(0.376074-0.241995))+0-32-0.0163199999999968</f>
        <v>291.34851199999997</v>
      </c>
      <c r="S30" s="3">
        <f>122.5+(735-541.6)+(-0.312375+(-1.87425--1.38108))+0-32--0.0815999999999954</f>
        <v>283.17605499999996</v>
      </c>
      <c r="T30" s="3">
        <f>83.1+(776.8-521.5)+(-0.042381+(-0.396168--0.265965))+0-32--0.0163199999999968</f>
        <v>306.24373600000001</v>
      </c>
      <c r="U30" s="3">
        <f>50.4+(751.3-486.2)+(0+(0-0))+0-2-0</f>
        <v>313.49999999999994</v>
      </c>
      <c r="V30" s="3">
        <f>50.5+(772.7-530.9)+(-0.10302+(-1.576308--1.083036))+0-3--0.00611999999999987</f>
        <v>288.70982800000007</v>
      </c>
      <c r="W30" s="3">
        <f>50.5+(649.8-415.2)+(0+(0-0))+0-3-0</f>
        <v>282.09999999999997</v>
      </c>
      <c r="X30" s="3">
        <f>50.5+(666.2-436.7)+(-0.128775+(-1.69881--1.113585))+0-3--0.00764999999999957</f>
        <v>276.29365000000007</v>
      </c>
      <c r="Y30" s="3">
        <f>50.5+(613.2-380.4)+(-0.025755+(-0.312732--0.194004))+0-5--0.00254999999999949</f>
        <v>278.15806700000007</v>
      </c>
      <c r="Z30" s="3">
        <f>104.8+(622.2-415.3)+(-0.106896+(-0.634644--0.423606))+0-6--0.00612000000000096</f>
        <v>305.38818600000008</v>
      </c>
      <c r="AA30" s="3">
        <f>126.3+(633.5-461.5)+(-0.128826+(-0.64617--0.47073))+0-8--0.00816000000000128</f>
        <v>290.003894</v>
      </c>
      <c r="AB30" s="3">
        <f>74.2+(673.4-461.1)+(-0.18921+(-1.71717--1.175805))+0-8--0.0203999999999988</f>
        <v>277.78982499999995</v>
      </c>
      <c r="AC30" s="3">
        <f>50.5+(641.4-403.5)+(0+(0-0))+0-9-0</f>
        <v>279.39999999999998</v>
      </c>
      <c r="AD30">
        <v>308</v>
      </c>
      <c r="AE30" s="3">
        <f>125+(609.1-420.1)+(0+(0-0))+0-6-0</f>
        <v>308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50.5+(668.9-427.5)+(-0.025755+(-0.341139--0.218025))+0-11--0.00560999999999888</f>
        <v>280.75674099999998</v>
      </c>
      <c r="G31" s="3">
        <f>50.5+(585.3-371.1)+(-0.128775+(-1.492515--0.946305))+0-13--0.0331499999999981</f>
        <v>251.05816499999995</v>
      </c>
      <c r="H31" s="3">
        <f>50.5+(453.7-265.2)+(-0.025755+(-0.231387--0.135252))+0-1--0.000509999999999899</f>
        <v>237.87861999999998</v>
      </c>
      <c r="I31" s="3">
        <f>50.5+(420.3-211.6)+(-0.025755+(-0.214353--0.107916))+0-15--0.00764999999999848</f>
        <v>244.07545800000008</v>
      </c>
      <c r="J31" s="3">
        <f>50.5+(343-143.9)+(-0.05151+(-0.34986--0.146778))+0-16--0.0163200000000026</f>
        <v>233.361728</v>
      </c>
      <c r="K31" s="3">
        <f>50.5+(338.1-118.7)+(0+(0-0))+0-18-0</f>
        <v>251.90000000000003</v>
      </c>
      <c r="L31" s="3">
        <f>50.5+(315-102.3)+(-0.128775+(-0.80325--0.260865))+0-19--0.0484499999999972</f>
        <v>243.57729</v>
      </c>
      <c r="M31" s="3">
        <f>50.6+(355.8-124.1)+(-0.051612+(-0.362916--0.126582))+0-22--0.0224400000000035</f>
        <v>260.03449400000005</v>
      </c>
      <c r="N31" s="3">
        <f>97.4+(445-236.8)+(0.099348+(0.4539-0.241536))+0-23-0.0234600000000037</f>
        <v>282.88825200000002</v>
      </c>
      <c r="O31" s="3">
        <f>123.8+(531.2-336)+(-0.126276+(-0.541824--0.34272))+0-25--0.025500000000004</f>
        <v>293.70012000000008</v>
      </c>
      <c r="P31" s="3">
        <f>122.9+(599.2-396)+(-0.062679+(-0.305592--0.20196))+0-27--0.0137699999999973</f>
        <v>298.94745900000004</v>
      </c>
      <c r="Q31" s="3">
        <f>122.2+(616.2-406.1)+(-0.062322+(-0.314262--0.207111))+0-29--0.0147899999999971</f>
        <v>303.14531700000003</v>
      </c>
      <c r="R31" s="3">
        <f>117.4+(629.6-414.4)+(-0.179622+(-0.963288--0.634032))+0-29--0.0443700000000017</f>
        <v>303.13549200000006</v>
      </c>
      <c r="S31" s="3">
        <f>50.4+(662.1-384.4)+(0+(0-0))+0-29-0</f>
        <v>299.10000000000002</v>
      </c>
      <c r="T31" s="3">
        <f>50.4+(687.7-414.2)+(0+(0-0))+0-30-0</f>
        <v>293.90000000000003</v>
      </c>
      <c r="U31" s="3">
        <f>50.5+(731.6-458.3)+(-0.05151+(-0.746232--0.467466))+0-30--0.0306000000000048</f>
        <v>293.50032399999998</v>
      </c>
      <c r="V31" s="3">
        <f>50.5+(737.2-471.2)+(0+(0-0))+0-30-0</f>
        <v>286.50000000000006</v>
      </c>
      <c r="W31" s="3">
        <f>50.5+(707.7-453.5)+(-0.15453+(-2.165562--1.38771))+0-29--0.0887400000000034</f>
        <v>274.85635800000006</v>
      </c>
      <c r="X31" s="3">
        <f>50+(687.7-444.6)+(-0.204+(-2.805816--1.813968))+0-30--0.122399999999997</f>
        <v>262.02655199999998</v>
      </c>
      <c r="Y31" s="3">
        <f>58+(612-293.2)+(-0.11832+(-1.24848--0.598128))+0-30--0.0611999999999987</f>
        <v>346.09252800000002</v>
      </c>
      <c r="Z31" s="3">
        <f>123+(567.1-368.8)+(-0.43911+(-2.024547--1.316616))+0-28--0.0999600000000004</f>
        <v>292.25291900000002</v>
      </c>
      <c r="AA31" s="3">
        <f>123+(482.4-295)+(-0.12546+(-0.492048--0.3009))+0-24--0.0244800000000038</f>
        <v>286.10787199999999</v>
      </c>
      <c r="AB31" s="3">
        <f>124+(531.8-348.4)+(-0.3162+(-1.35609--0.88842))+0-25--0.0637499999999964</f>
        <v>281.67987999999997</v>
      </c>
      <c r="AC31" s="3">
        <f>125+(447.9-277.2)+(0+(0-0))+0-25-0</f>
        <v>270.7</v>
      </c>
      <c r="AD31">
        <v>336</v>
      </c>
      <c r="AE31" s="3">
        <f>122+(586.6-342.6)+(0+(0-0))+0-30-0</f>
        <v>336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125.9+(425.4-266.3)+(0+(0-0))+0-29-0</f>
        <v>256</v>
      </c>
      <c r="G32" s="3">
        <f>127+(456.1-304.3)+(0.12954+(0.465222-0.310386))+0-29-0.0295800000000046</f>
        <v>250.05479600000001</v>
      </c>
      <c r="H32" s="3">
        <f>123.1+(428.7-277)+(-0.125562+(-0.437274--0.28254))+0-29--0.0295800000000046</f>
        <v>245.54928399999994</v>
      </c>
      <c r="I32" s="3">
        <f>50.4+(358.7-130.5)+(-0.102816+(-0.731748--0.26622))+0-30--0.0611999999999987</f>
        <v>248.09285599999993</v>
      </c>
      <c r="J32" s="3">
        <f>50.5+(303.2-77.4)+(0.077265+(0.463896-0.118422))+0-30-0.0459000000000017</f>
        <v>246.67683899999994</v>
      </c>
      <c r="K32" s="3">
        <f>51.9+(280-56.3)+(0.026469+(0.1428-0.028713))+0-30-0.015299999999997</f>
        <v>245.72525599999997</v>
      </c>
      <c r="L32" s="3">
        <f>52.5+(273.8-53.4)+(-0.05355+(-0.279276--0.054468))+0-30--0.0306000000000048</f>
        <v>242.65224199999994</v>
      </c>
      <c r="M32" s="3">
        <f>51.5+(301.6-62.7)+(0.05253+(0.307632-0.063954))+0-30-0.0306000000000048</f>
        <v>260.66560800000002</v>
      </c>
      <c r="N32" s="3">
        <f>51.5+(306.4-49.1)+(0.026265+(0.156264-0.025041))+0-30-0.015299999999997</f>
        <v>278.94218799999993</v>
      </c>
      <c r="O32" s="3">
        <f>51.3+(279.2-15.3)+(0.052326+(0.284784-0.015606))+0-31-0.0316200000000049</f>
        <v>284.48988399999996</v>
      </c>
      <c r="P32" s="3">
        <f>1.1+(330.1-4.8)+(0+(0-0))+0-31-0</f>
        <v>295.40000000000003</v>
      </c>
      <c r="Q32" s="3">
        <f>0+(331.4-4.8)+(0+(0.676056-0.009792))+0-31-0.0632399999999986</f>
        <v>296.20302399999997</v>
      </c>
      <c r="R32" s="3">
        <f>0+(330-4.8)+(0+(0-0))+0-31-0</f>
        <v>294.2</v>
      </c>
      <c r="S32" s="3">
        <f>0+(322.1-4.8)+(0+(-0.328542--0.004896))+0-31--0.0316200000000049</f>
        <v>286.00797400000005</v>
      </c>
      <c r="T32" s="3">
        <f>0+(327.2-19.3)+(0+(0.500616-0.029529))+0-30.8-0.0471240000000018</f>
        <v>277.52396299999998</v>
      </c>
      <c r="U32" s="3">
        <f>0+(462-160.9)+(0+(-1.1781--0.410295))+0-30.9--0.0787949999999955</f>
        <v>269.51099000000005</v>
      </c>
      <c r="V32" s="3">
        <f>0+(465.8-169.6)+(0+(0-0))+0-30.9-0</f>
        <v>265.30000000000007</v>
      </c>
      <c r="W32" s="3">
        <f>0+(448.8-157.4)+(0+(-1.602216--0.561918))+0-30.9--0.110313</f>
        <v>259.57001500000001</v>
      </c>
      <c r="X32" s="3">
        <f>0+(412.8-126.6)+(0+(-0.842112--0.258264))+0-30.9--0.0630359999999986</f>
        <v>254.77918800000006</v>
      </c>
      <c r="Y32" s="3">
        <f>0+(457-159.7)+(0+(-0.46614--0.162894))+0-30.9--0.0315180000000049</f>
        <v>266.12827200000004</v>
      </c>
      <c r="Z32" s="3">
        <f>0+(546.4-230.6)+(0+(-1.39332--0.58803))+0-30.9--0.0787949999999955</f>
        <v>284.17350499999998</v>
      </c>
      <c r="AA32" s="3">
        <f>0+(578.9-264.6)+(0+(-2.066673--0.944622))+0-30.9--0.110313</f>
        <v>282.388262</v>
      </c>
      <c r="AB32" s="3">
        <f>0+(596.6-282)+(0+(-1.217064--0.57528))+0-30.4--0.0620159999999987</f>
        <v>283.62023200000004</v>
      </c>
      <c r="AC32" s="3">
        <f>0+(584.8-277.8)+(0+(-0.596496--0.283356))+0-30.9--0.0315180000000049</f>
        <v>275.818378</v>
      </c>
      <c r="AD32">
        <v>283.89999999999998</v>
      </c>
      <c r="AE32" s="3">
        <f>0+(577.9-263)+(0+(0-0))+0-31-0</f>
        <v>283.89999999999998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0+(650.6-355)+(0+(-1.65903--0.90525))+0-30.9--0.0787949999999955</f>
        <v>264.02501500000005</v>
      </c>
      <c r="G33" s="3">
        <f>0+(634.1-350.9)+(0+(-1.616955--0.894795))+0-31--0.0790499999999955</f>
        <v>251.55689000000007</v>
      </c>
      <c r="H33" s="3">
        <f>0+(546.3-264.3)+(0+(-0.835839--0.404379))+0-31.9--0.0488070000000018</f>
        <v>249.71734699999993</v>
      </c>
      <c r="I33" s="3">
        <f>0+(487.1-209.2)+(0+(-0.248421--0.106692))+0-31--0.0158099999999969</f>
        <v>246.77408100000002</v>
      </c>
      <c r="J33" s="3">
        <f>0+(449.4-173.3)+(0+(-0.458388--0.176766))+0-31--0.0316200000000049</f>
        <v>244.84999799999994</v>
      </c>
      <c r="K33" s="3">
        <f>0+(446.9-171)+(0+(-0.455838--0.17442))+0-30.9--0.0315180000000049</f>
        <v>244.7501</v>
      </c>
      <c r="L33" s="3">
        <f>0+(442.4-180.4)+(0+(-1.12812--0.46002))+0-30.7--0.0782849999999955</f>
        <v>230.71018500000002</v>
      </c>
      <c r="M33" s="3">
        <f>0+(451.5-191.8)+(0+(0-0))+0-30.8-0</f>
        <v>228.89999999999998</v>
      </c>
      <c r="N33" s="3">
        <f>0+(471.5-203.4)+(0+(-0.721395--0.311202))+0-30.5--0.0466650000000018</f>
        <v>237.23647200000002</v>
      </c>
      <c r="O33" s="3">
        <f>0+(482.4-204)+(0+(-0.246024--0.10404))+0-30.1--0.0153509999999969</f>
        <v>248.17336700000001</v>
      </c>
      <c r="P33" s="3">
        <f>0+(484.5-210.8)+(0+(-0.49419--0.215016))+0-29.3--0.0298860000000047</f>
        <v>244.15071199999997</v>
      </c>
      <c r="Q33" s="3">
        <f>0+(506.1-240.7)+(0+(0-0))+0-30.4-0</f>
        <v>235.00000000000003</v>
      </c>
      <c r="R33" s="3">
        <f>0+(442.7-161.2)+(0+(-0.225777--0.082212))+0-30.3--0.0154529999999969</f>
        <v>251.07188799999997</v>
      </c>
      <c r="S33" s="3">
        <f>0+(449.7-171.2)+(0+(-0.917388--0.349248))+0-30.3--0.0618119999999987</f>
        <v>247.69367199999996</v>
      </c>
      <c r="T33" s="3">
        <f>0+(443.7-174.8)+(0+(-0.226287--0.089148))+0-24.2--0.0123419999999975</f>
        <v>244.57520299999999</v>
      </c>
      <c r="U33" s="3">
        <f>0+(476.4-209.3)+(0+(-0.728892--0.320229))+0-25.6--0.0391680000000015</f>
        <v>241.13050499999997</v>
      </c>
      <c r="V33" s="3">
        <f>0+(460.9-193.5)+(0+(-1.175295--0.493425))+0-28.8--0.0734399999999958</f>
        <v>237.99156999999997</v>
      </c>
      <c r="W33" s="3">
        <f>0+(439.7-176.8)+(0+(-0.672741--0.270504))+0-28.1--0.0429930000000016</f>
        <v>234.44075599999996</v>
      </c>
      <c r="X33" s="3">
        <f>0+(421.7-160.6)+(0+(-0.860268--0.327624))+0-31.5--0.0642599999999986</f>
        <v>229.13161600000001</v>
      </c>
      <c r="Y33" s="3">
        <f>0+(490.4-212.4)+(0+(0-0))+0-31.7-0</f>
        <v>246.3</v>
      </c>
      <c r="Z33" s="3">
        <f>0+(558.7-257.6)+(0+(-1.139748--0.525504))+0-31.7--0.0646679999999986</f>
        <v>268.85042400000003</v>
      </c>
      <c r="AA33" s="3">
        <f>0+(555.8-258.7)+(0+(0-0))+0-31.8-0</f>
        <v>265.29999999999995</v>
      </c>
      <c r="AB33" s="3">
        <f>0+(519.1-224.5)+(0+(-0.264741--0.114495))+0-31.9--0.0162689999999968</f>
        <v>262.56602300000009</v>
      </c>
      <c r="AC33" s="3">
        <f>0+(492.7-207.2)+(0+(-1.256385--0.52836))+0-31.9--0.0813449999999954</f>
        <v>252.95331999999999</v>
      </c>
      <c r="AD33">
        <v>270.3</v>
      </c>
      <c r="AE33" s="3">
        <f>0+(554.6-252.8)+(0+(0-0))+0-31.5-0</f>
        <v>270.3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0+(425.6-161.6)+(0+(-0.217056--0.082416))+0-31.8--0.0162179999999968</f>
        <v>232.08157800000001</v>
      </c>
      <c r="G34" s="3">
        <f>0+(433.6-175)+(0+(-0.663408--0.26775))+0-31.8--0.0486540000000018</f>
        <v>226.45299599999998</v>
      </c>
      <c r="H34" s="3">
        <f>0+(454.9-199.9)+(0+(-0.231999--0.101949))+0-31.7--0.0161669999999968</f>
        <v>223.18611699999997</v>
      </c>
      <c r="I34" s="3">
        <f>0+(430.9-179.5)+(0+(-0.439518--0.18309))+0-30.4--0.0310080000000048</f>
        <v>220.77457999999999</v>
      </c>
      <c r="J34" s="3">
        <f>0+(383.3-128)+(0+(-0.586449--0.19584))+0-31.4--0.0480420000000018</f>
        <v>223.557433</v>
      </c>
      <c r="K34" s="3">
        <f>0+(381.4-122.2)+(0+(-0.194514--0.062322))+0-31--0.0158099999999969</f>
        <v>228.083618</v>
      </c>
      <c r="L34" s="3">
        <f>0+(377.9-115.6)+(0+(-0.578187--0.176868))+0-31.1--0.0475830000000018</f>
        <v>230.84626399999996</v>
      </c>
      <c r="M34" s="3">
        <f>0+(403-122)+(0+(0.61659-0.18666))+0-30-0.0459000000000017</f>
        <v>251.38403000000002</v>
      </c>
      <c r="N34" s="3">
        <f>0+(528.7-213.8)+(0+(0.269637-0.109038))+0-31.5-0.0160649999999968</f>
        <v>283.54453400000006</v>
      </c>
      <c r="O34" s="3">
        <f>0+(575.4-249.6)+(0+(0-0))+0-31.5-0</f>
        <v>294.29999999999995</v>
      </c>
      <c r="P34" s="3">
        <f>0+(566.1-241)+(0+(-0.288711--0.12291))+0-23--0.0117299999999977</f>
        <v>301.94592900000004</v>
      </c>
      <c r="Q34" s="3">
        <f>0+(693.5-354.2)+(0+(0.353685-0.180642))+0-31.5-0.0160649999999968</f>
        <v>307.95697800000005</v>
      </c>
      <c r="R34" s="3">
        <f>0+(671.2-334.3)+(0+(-0.342312--0.170493))+0-31.9--0.0162689999999968</f>
        <v>304.84445000000005</v>
      </c>
      <c r="S34" s="3">
        <f>0+(693-368.7)+(0+(0-0))+0-31.9-0</f>
        <v>292.40000000000003</v>
      </c>
      <c r="T34" s="3">
        <f>0+(710.7-380.6)+(0+(0-0))+0-31.9-0</f>
        <v>298.20000000000005</v>
      </c>
      <c r="U34" s="3">
        <f>0+(697.7-377.4)+(0+(-1.423308--0.769896))+0-31.9--0.0650759999999986</f>
        <v>287.81166400000006</v>
      </c>
      <c r="V34" s="3">
        <f>0+(768.7-448.6)+(0+(-1.568148--0.915144))+0-31.6--0.0644639999999986</f>
        <v>287.91145999999998</v>
      </c>
      <c r="W34" s="3">
        <f>0+(793.5-481.3)+(0+(-1.61874--0.981852))+0-30.4--0.0620159999999987</f>
        <v>281.22512799999998</v>
      </c>
      <c r="X34" s="3">
        <f>0+(829.8-522.9)+(0+(-1.269594--0.800037))+0-31.9--0.0488070000000018</f>
        <v>274.57925</v>
      </c>
      <c r="Y34" s="3">
        <f>42+(816.5-545.5)+(0+(0-0))+0-30.6-0</f>
        <v>282.39999999999998</v>
      </c>
      <c r="Z34" s="3">
        <f>86+(769.3-527)+(-0.2193+(-1.961715--1.34385))+0-27.5--0.070124999999996</f>
        <v>300.03295999999995</v>
      </c>
      <c r="AA34" s="3">
        <f>114+(838.6-617.5)+(-0.2907+(-2.13843--1.574625))+0-32.2--0.0821099999999953</f>
        <v>302.12760500000002</v>
      </c>
      <c r="AB34" s="3">
        <f>0+(935.5-605.4)+(0+(-0.95421--0.617508))+0-32--0.0326400000000051</f>
        <v>297.79593800000004</v>
      </c>
      <c r="AC34" s="3">
        <f>0+(913.8-596)+(0+(-0.932076--0.60792))+0-31.1--0.031722000000005</f>
        <v>286.40756599999992</v>
      </c>
      <c r="AD34">
        <v>299.59999999999997</v>
      </c>
      <c r="AE34" s="3">
        <f>121+(781.3-579.4)+(0+(0-0))+0-23.3-0</f>
        <v>299.59999999999997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0+(774.5-469.4)+(0+(-0.78999--0.478788))+0-31.5--0.032130000000005</f>
        <v>273.32092800000004</v>
      </c>
      <c r="G35" s="3">
        <f>0+(576.1-285.1)+(0+(-0.587622--0.290802))+0-31.8--0.0324360000000051</f>
        <v>258.93561599999998</v>
      </c>
      <c r="H35" s="3">
        <f>0+(491.3-207.2)+(0+(-0.501126--0.211344))+0-31.8--0.0324360000000051</f>
        <v>252.04265400000003</v>
      </c>
      <c r="I35" s="3">
        <f>0+(434.5-153.5)+(0+(-0.664785--0.234855))+0-31.8--0.0486540000000018</f>
        <v>248.81872399999997</v>
      </c>
      <c r="J35" s="3">
        <f>0+(415.5-129.5)+(0+(-1.059525--0.330225))+0-31.9--0.0813449999999954</f>
        <v>253.45204499999997</v>
      </c>
      <c r="K35" s="3">
        <f>0+(415.8-129.4)+(0+(-1.06029--0.32997))+0-31.9--0.0813449999999954</f>
        <v>253.85102499999996</v>
      </c>
      <c r="L35" s="3">
        <f>0+(387.3-104.3)+(0+(-1.185138--0.319158))+0-31.8--0.0973080000000037</f>
        <v>250.43132800000001</v>
      </c>
      <c r="M35" s="3">
        <f>0+(405.6-105.3)+(0+(0-0))+0-32.2-0</f>
        <v>268.10000000000002</v>
      </c>
      <c r="N35" s="3">
        <f>0+(471.7-148.3)+(0+(0-0))+0-32-0</f>
        <v>291.39999999999998</v>
      </c>
      <c r="O35" s="3">
        <f>0+(505-173.2)+(0+(0-0))+0-32.1-0</f>
        <v>299.7</v>
      </c>
      <c r="P35" s="3">
        <f>0+(496.6-154.3)+(0+(0-0))+0-32.6-0</f>
        <v>309.7</v>
      </c>
      <c r="Q35" s="3">
        <f>0+(551.8-177.9)+(0+(-0.844254--0.272187))+0-32.1--0.0491130000000019</f>
        <v>341.27704599999993</v>
      </c>
      <c r="R35" s="3">
        <f>0+(545.1-195.9)+(0+(-1.390005--0.499545))+0-32--0.0815999999999954</f>
        <v>316.39114000000001</v>
      </c>
      <c r="S35" s="3">
        <f>0+(560.5-220.2)+(0+(0.285855-0.112302))+0-31.9-0.0162689999999968</f>
        <v>308.55728400000004</v>
      </c>
      <c r="T35" s="3">
        <f>0+(601.4-260.5)+(0+(-0.920142--0.398565))+0-32.3--0.0494190000000019</f>
        <v>308.12784199999999</v>
      </c>
      <c r="U35" s="3">
        <f>0+(601.9-266.8)+(0+(-1.227876--0.544272))+0-32.4--0.0660959999999986</f>
        <v>302.082492</v>
      </c>
      <c r="V35" s="3">
        <f>0+(591.6-260.3)+(0+(-1.50858--0.663765))+0-32.4--0.0826199999999953</f>
        <v>298.13780500000007</v>
      </c>
      <c r="W35" s="3">
        <f>0+(618.8-294)+(0+(-1.262352--0.59976))+0-32.5--0.0662999999999986</f>
        <v>291.70370799999995</v>
      </c>
      <c r="X35" s="3">
        <f>0+(549.1-235.9)+(0+(-1.120164--0.481236))+0-32.3--0.0658919999999986</f>
        <v>280.32696400000003</v>
      </c>
      <c r="Y35" s="3">
        <f>0+(518.2-193.2)+(0+(-1.057128--0.394128))+0-32.5--0.0662999999999986</f>
        <v>291.90330000000006</v>
      </c>
      <c r="Z35" s="3">
        <f>0+(505.4-163.8)+(0+(-0.773262--0.250614))+0-32.5--0.0497250000000019</f>
        <v>308.62707699999999</v>
      </c>
      <c r="AA35" s="3">
        <f>0+(511.4-173.7)+(0+(-1.30407--0.442935))+0-32.5--0.0828749999999953</f>
        <v>304.42174</v>
      </c>
      <c r="AB35" s="3">
        <f>0+(536.1-204.2)+(0+(-1.913877--0.728994))+0-32.5--0.116025</f>
        <v>298.331142</v>
      </c>
      <c r="AC35" s="3">
        <f>0+(587.8-265)+(0+(-0.599556--0.2703))+0-32.4--0.0330480000000052</f>
        <v>290.103792</v>
      </c>
      <c r="AD35">
        <v>304.5</v>
      </c>
      <c r="AE35" s="3">
        <f>0+(501.6-165)+(0+(0-0))+0-32.1-0</f>
        <v>304.5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0+(516.8-202)+(0+(-0.263568--0.10302))+0-32.5--0.0165749999999967</f>
        <v>282.15602699999994</v>
      </c>
      <c r="G36" s="3">
        <f>0+(433.5-127.5)+(0+(-0.663255--0.195075))+0-32.5--0.0497250000000019</f>
        <v>273.08154500000001</v>
      </c>
      <c r="H36" s="3">
        <f>0+(403.1-103.4)+(0+(-0.822324--0.210936))+0-32.4--0.0660959999999986</f>
        <v>266.75470800000011</v>
      </c>
      <c r="I36" s="3">
        <f>0+(403.7-110.5)+(0+(0.617661-0.169065))+0-29-0.0443700000000017</f>
        <v>264.60422599999998</v>
      </c>
      <c r="J36" s="3">
        <f>0+(406.9-112.7)+(0+(-0.415038--0.114954))+0-32.5--0.0331500000000052</f>
        <v>261.43306599999994</v>
      </c>
      <c r="K36" s="3">
        <f>0+(380.4-84.3)+(0+(-0.582012--0.128979))+0-32.5--0.0497250000000019</f>
        <v>263.19669199999998</v>
      </c>
      <c r="L36" s="3">
        <f>0+(387.3-85.8)+(0+(-0.592569--0.131274))+0-32.3--0.0494190000000019</f>
        <v>268.78812399999998</v>
      </c>
      <c r="M36" s="3">
        <f>0+(387.4-79.7)+(0+(-0.197574--0.040647))+0-32.2--0.0164219999999967</f>
        <v>275.35949499999998</v>
      </c>
      <c r="N36" s="3">
        <f>0+(392.4-64.3)+(0+(-0.200124--0.032793))+0-31.7--0.0161669999999968</f>
        <v>296.24883599999998</v>
      </c>
      <c r="O36" s="3">
        <f>0+(392.4-53.4)+(0+(-0.400248--0.054468))+0-27.9--0.0284580000000044</f>
        <v>310.78267800000003</v>
      </c>
      <c r="P36" s="3">
        <f>0+(412.1-65.5)+(0+(-0.420342--0.06681))+0-30.3--0.0309060000000048</f>
        <v>315.97737400000005</v>
      </c>
      <c r="Q36" s="3">
        <f>0+(417.8-68.1)+(0+(-0.639234--0.104193))+0-31.7--0.0485010000000018</f>
        <v>317.51346000000007</v>
      </c>
      <c r="R36" s="3">
        <f>0+(408-66.9)+(0+(-1.0404--0.170595))+0-31.1--0.0793049999999955</f>
        <v>309.20949999999999</v>
      </c>
      <c r="S36" s="3">
        <f>0+(380.3-38.1)+(0+(-0.387906--0.038862))+0-31.3--0.031926000000005</f>
        <v>310.58288199999998</v>
      </c>
      <c r="T36" s="3">
        <f>0+(385-42.5)+(0+(-0.3927--0.04335))+0-31.4--0.032028000000005</f>
        <v>310.78267800000003</v>
      </c>
      <c r="U36" s="3">
        <f>0+(377.5-33.2)+(0+(-0.7701--0.067728))+0-31.8--0.0648719999999986</f>
        <v>311.86249999999995</v>
      </c>
      <c r="V36" s="3">
        <f>0+(365.9-21.7)+(0+(-0.559827--0.033201))+0-31.8--0.0486540000000018</f>
        <v>311.92202799999995</v>
      </c>
      <c r="W36" s="3">
        <f>0+(425.9-85.5)+(0+(-0.434418--0.08721))+0-31.8--0.0324360000000051</f>
        <v>308.28522799999996</v>
      </c>
      <c r="X36" s="3">
        <f>0+(412.7-79.4)+(0+(-0.841908--0.161976))+0-31.6--0.0644639999999986</f>
        <v>301.08453199999991</v>
      </c>
      <c r="Y36" s="3">
        <f>0+(460.5-120.9)+(0+(-0.46971--0.123318))+0-31.9--0.0325380000000051</f>
        <v>307.38614600000005</v>
      </c>
      <c r="Z36" s="3">
        <f>0+(476.9-124.4)+(0+(-0.486438--0.126888))+0-31.8--0.0324360000000051</f>
        <v>320.37288599999999</v>
      </c>
      <c r="AA36" s="3">
        <f>0+(421.2-75.6)+(0+(-1.07406--0.19278))+0-31.7--0.0808349999999954</f>
        <v>313.09955500000001</v>
      </c>
      <c r="AB36" s="3">
        <f>0+(392.4-56.8)+(0+(-0.600372--0.086904))+0-31.9--0.0488070000000018</f>
        <v>303.23533900000001</v>
      </c>
      <c r="AC36" s="3">
        <f>0+(362.1-41.4)+(0+(-0.184671--0.021114))+0-31.6--0.0161159999999968</f>
        <v>288.95255900000001</v>
      </c>
      <c r="AD36">
        <v>321.39999999999998</v>
      </c>
      <c r="AE36" s="3">
        <f>0+(479.3-126.4)+(0+(0-0))+0-31.5-0</f>
        <v>321.39999999999998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0+(326.4-20.9)+(0+(-0.332928--0.021318))+0-31.6--0.032232000000005</f>
        <v>273.62062200000003</v>
      </c>
      <c r="G37" s="3">
        <f>0+(345.4-43.1)+(0+(-0.704616--0.087924))+0-31.9--0.0650759999999986</f>
        <v>269.84838399999995</v>
      </c>
      <c r="H37" s="3">
        <f>0+(358.5-66.8)+(0+(0-0))+0-31.9-0</f>
        <v>259.8</v>
      </c>
      <c r="I37" s="3">
        <f>0+(357.5-63.6)+(0+(-0.7293--0.129744))+0-31.8--0.0648719999999986</f>
        <v>261.56531599999994</v>
      </c>
      <c r="J37" s="3">
        <f>0+(350.4-55)+(0+(0.178704-0.02805))+0-31.8-0.0162179999999968</f>
        <v>263.73443599999996</v>
      </c>
      <c r="K37" s="3">
        <f>0+(348.8-52.1)+(0+(0-0))+0-31.9-0</f>
        <v>264.8</v>
      </c>
      <c r="L37" s="3">
        <f>0+(360.6-71.9)+(0+(-0.551718--0.110007))+0-31.7--0.0485010000000018</f>
        <v>256.60679000000005</v>
      </c>
      <c r="M37" s="3">
        <f>0+(420.6-113.1)+(0+(0-0))+0-31.9-0</f>
        <v>275.60000000000002</v>
      </c>
      <c r="N37" s="3">
        <f>0+(433.5-93.1)+(0+(-0.44217--0.094962))+0-32.1--0.0327420000000051</f>
        <v>307.98553399999992</v>
      </c>
      <c r="O37" s="3">
        <f>0+(469.4-124.9)+(0+(0.478788-0.127398))+0-32.1-0.0327420000000051</f>
        <v>312.71864799999997</v>
      </c>
      <c r="P37" s="3">
        <f>14+(455.2-102.8)+(-0.01428+(-0.464304--0.104856))+0-32.1--0.0327420000000051</f>
        <v>333.95901399999991</v>
      </c>
      <c r="Q37" s="3">
        <f>53+(487.6-142.5)+(-0.02703+(-0.248676--0.072675))+0-31.8--0.0162179999999968</f>
        <v>366.11318699999998</v>
      </c>
      <c r="R37" s="3">
        <f>53+(552.2-256.2)+(-0.02703+(-0.281622--0.130662))+0-32--0.0163199999999968</f>
        <v>316.83833000000004</v>
      </c>
      <c r="S37" s="3">
        <f>53+(513.7-232.7)+(-0.02703+(-0.261987--0.118677))+0-31.8--0.0162179999999968</f>
        <v>302.04587800000002</v>
      </c>
      <c r="T37" s="3">
        <f>53+(524.3-240.3)+(0.05406+(0.534786-0.245106))+0-31.7-0.0323340000000051</f>
        <v>305.61140599999999</v>
      </c>
      <c r="U37" s="3">
        <f>53+(522.2-242.3)+(0.05406+(0.532644-0.247146))+0-31.7-0.0323340000000051</f>
        <v>301.50722400000006</v>
      </c>
      <c r="V37" s="3">
        <f>53+(517.6-237.4)+(-0.10812+(-1.055904--0.484296))+0-31.8--0.0648719999999986</f>
        <v>300.785144</v>
      </c>
      <c r="W37" s="3">
        <f>53+(507.5-234.4)+(-0.08109+(-0.776475--0.358632))+0-28.6--0.0437580000000017</f>
        <v>297.044825</v>
      </c>
      <c r="X37" s="3">
        <f>53+(491.5-228.8)+(-0.13515+(-1.253325--0.58344))+0-29.6--0.0754799999999957</f>
        <v>285.37044499999996</v>
      </c>
      <c r="Y37" s="3">
        <f>53+(478.4-215.5)+(-0.02703+(-0.243984--0.109905))+0-26.8--0.0136679999999973</f>
        <v>288.95255899999995</v>
      </c>
      <c r="Z37" s="3">
        <f>53+(482.6-188.9)+(-0.02703+(-0.246126--0.096339))+0-32--0.0163199999999968</f>
        <v>314.53950300000002</v>
      </c>
      <c r="AA37" s="3">
        <f>0+(517.9-180.2)+(0+(-1.320645--0.45951))+0-31.9--0.0813449999999954</f>
        <v>305.02021000000002</v>
      </c>
      <c r="AB37" s="3">
        <f>0+(495.8-160.2)+(0+(-0.505716--0.163404))+0-31.9--0.0325380000000051</f>
        <v>303.39022600000004</v>
      </c>
      <c r="AC37" s="3">
        <f>0+(468.5-146.1)+(0+(-0.95574--0.298044))+0-31.9--0.0650759999999986</f>
        <v>289.90737999999999</v>
      </c>
      <c r="AD37">
        <v>315.60000000000002</v>
      </c>
      <c r="AE37" s="3">
        <f>53+(491.5-196.7)+(0+(0-0))+0-32.2-0</f>
        <v>315.60000000000002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0+(436.9-129.7)+(0+(-0.445638--0.132294))+0-31.8--0.0324360000000051</f>
        <v>275.11909200000002</v>
      </c>
      <c r="G38" s="3">
        <f>0+(362.8-56.4)+(0+(-0.92514--0.14382))+0-31.9--0.0813449999999954</f>
        <v>273.80002500000006</v>
      </c>
      <c r="H38" s="3">
        <f>0+(373.4-78)+(0+(-0.571302--0.11934))+0-31.8--0.0486540000000018</f>
        <v>263.19669199999998</v>
      </c>
      <c r="I38" s="3">
        <f>0+(379.2-93.4)+(0+(-0.386784--0.095268))+0-31.8--0.0324360000000051</f>
        <v>253.74091999999996</v>
      </c>
      <c r="J38" s="3">
        <f>0+(369-85.3)+(0+(-0.18819--0.043503))+0-31.8--0.0162179999999968</f>
        <v>251.77153100000001</v>
      </c>
      <c r="K38" s="3">
        <f>0+(359-75.8)+(0+(-0.36618--0.077316))+0-31.9--0.0325380000000051</f>
        <v>251.04367400000001</v>
      </c>
      <c r="L38" s="3">
        <f>0+(367.3-79)+(0+(-0.936615--0.20145))+0-31.7--0.0808349999999954</f>
        <v>255.94567000000004</v>
      </c>
      <c r="M38" s="3">
        <f>0+(404.6-94.8)+(0+(-0.206346--0.048348))+0-31.9--0.0162689999999968</f>
        <v>277.75827100000004</v>
      </c>
      <c r="N38" s="3">
        <f>0+(503.8-173.3)+(0+(-0.770814--0.265149))+0-32--0.0489600000000018</f>
        <v>298.043295</v>
      </c>
      <c r="O38" s="3">
        <f>40+(515.2-224.3)+(-0.0204+(-0.262752--0.114393))+0-31.7--0.0161669999999968</f>
        <v>299.04740800000002</v>
      </c>
      <c r="P38" s="3">
        <f>53+(501-212.8)+(-0.02703+(-0.25551--0.108528))+0-31.8--0.0162179999999968</f>
        <v>309.24220599999995</v>
      </c>
      <c r="Q38" s="3">
        <f>53+(507.8-208.5)+(-0.13515+(-1.29489--0.531675))+0-32.3--0.0823649999999953</f>
        <v>319.18399999999997</v>
      </c>
      <c r="R38" s="3">
        <f>51+(514.3-227.6)+(-0.05202+(-0.524586--0.232152))+0-32.4--0.0330480000000052</f>
        <v>304.98859399999998</v>
      </c>
      <c r="S38" s="3">
        <f>51+(518.8-236.9)+(-0.02601+(-0.264588--0.120819))+0-32.3--0.0164729999999967</f>
        <v>300.44669399999998</v>
      </c>
      <c r="T38" s="3">
        <f>50+(538.5-258.4)+(-0.0255+(-0.274635--0.131784))+0-32.4--0.0165239999999967</f>
        <v>297.54817300000008</v>
      </c>
      <c r="U38" s="3">
        <f>50+(547.7-268.8)+(-0.1275+(-1.396635--0.68544))+0-32.4--0.0826199999999953</f>
        <v>295.7439250000001</v>
      </c>
      <c r="V38" s="3">
        <f>51+(527.4-253.9)+(-0.02601+(-0.268974--0.129489))+0-32.5--0.0165749999999967</f>
        <v>291.85107999999997</v>
      </c>
      <c r="W38" s="3">
        <f>50+(507.2-240.1)+(-0.1275+(-1.29336--0.612255))+0-32.4--0.0826199999999953</f>
        <v>283.97401500000007</v>
      </c>
      <c r="X38" s="3">
        <f>50+(509.4-253.7)+(-0.0765+(-0.779382--0.388161))+0-32.3--0.0494190000000019</f>
        <v>272.98169799999999</v>
      </c>
      <c r="Y38" s="3">
        <f>50+(518.1-250.1)+(-0.102+(-1.056924--0.510204))+0-32.3--0.0658919999999986</f>
        <v>285.11717199999998</v>
      </c>
      <c r="Z38" s="3">
        <f>52+(505.3-228.3)+(-0.05304+(-0.515406--0.232866))+0-29.6--0.0301920000000047</f>
        <v>299.09461199999998</v>
      </c>
      <c r="AA38" s="3">
        <f>11+(486.6-174)+(-0.02244+(-0.992664--0.35496))+0-32.5--0.0662999999999986</f>
        <v>290.50615600000003</v>
      </c>
      <c r="AB38" s="3">
        <f>0+(427.7-119.8)+(0+(-1.090635--0.30549))+0-22.9--0.0583949999999967</f>
        <v>284.27325000000002</v>
      </c>
      <c r="AC38" s="3">
        <f>0+(395-62.7)+(0+(-0.60435--0.095931))+0-32.3--0.0494190000000019</f>
        <v>299.541</v>
      </c>
      <c r="AD38">
        <v>296.00000000000006</v>
      </c>
      <c r="AE38" s="3">
        <f>52+(504.7-228.2)+(0+(0-0))+0-32.5-0</f>
        <v>296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0+(419.2-112.8)+(0+(-0.855168--0.230112))+0-32--0.0652799999999986</f>
        <v>273.84022399999998</v>
      </c>
      <c r="G39" s="3">
        <f>0+(437.1-148.8)+(0+(-1.560447--0.531216))+0-31.8--0.113526</f>
        <v>255.58429500000003</v>
      </c>
      <c r="H39" s="3">
        <f>0+(439.7-152.1)+(0+(-1.793976--0.620568))+0-31.8--0.129743999999997</f>
        <v>254.756336</v>
      </c>
      <c r="I39" s="3">
        <f>0+(389.1-98.1)+(0+(0.198441-0.050031))+0-31.7-0.0161669999999968</f>
        <v>259.43224300000003</v>
      </c>
      <c r="J39" s="3">
        <f>0+(368.7-80.1)+(0+(-0.752148--0.163404))+0-31.7--0.0646679999999986</f>
        <v>256.375924</v>
      </c>
      <c r="K39" s="3">
        <f>0+(370.8-84.2)+(0+(-0.378216--0.085884))+0-31.8--0.0324360000000051</f>
        <v>254.54010400000004</v>
      </c>
      <c r="L39" s="3">
        <f>0+(386.3-106.9)+(0+(-0.394026--0.109038))+0-31.8--0.0324360000000051</f>
        <v>247.34744799999999</v>
      </c>
      <c r="M39" s="3">
        <f>0+(386-90.9)+(0+(-0.19686--0.046359))+0-31.9--0.0162689999999968</f>
        <v>263.06576800000005</v>
      </c>
      <c r="N39" s="3">
        <f>0+(499.5-183.4)+(0+(-0.50949--0.187068))+0-31.9--0.0325380000000051</f>
        <v>283.91011600000002</v>
      </c>
      <c r="O39" s="3">
        <f>0+(569.4-245.9)+(0+(-0.290394--0.125409))+0-32.4--0.0165239999999967</f>
        <v>290.95153900000003</v>
      </c>
      <c r="P39" s="3">
        <f>0+(612.2-282.9)+(0+(-0.936666--0.432837))+0-32.4--0.0495720000000019</f>
        <v>296.44574300000011</v>
      </c>
      <c r="Q39" s="3">
        <f>0+(626.6-302.2)+(0+(0-0))+0-32.2-0</f>
        <v>292.20000000000005</v>
      </c>
      <c r="R39" s="3">
        <f>0+(616.2-293.1)+(0+(-1.885572--0.896886))+0-32.3--0.0988380000000037</f>
        <v>289.91015200000004</v>
      </c>
      <c r="S39" s="3">
        <f>0+(573.2-251)+(0+(0.292332-0.12801))+0-32.3-0.0164729999999967</f>
        <v>290.04784900000004</v>
      </c>
      <c r="T39" s="3">
        <f>0+(572.9-255.5)+(0+(0-0))+0-32.2-0</f>
        <v>285.2</v>
      </c>
      <c r="U39" s="3">
        <f>0+(520.4-212.2)+(0+(-0.796212--0.324666))+0-32.3--0.0494190000000019</f>
        <v>275.47787299999999</v>
      </c>
      <c r="V39" s="3">
        <f>0+(475.2-173.3)+(0+(-0.727056--0.265149))+0-32.3--0.0494190000000019</f>
        <v>269.18751199999997</v>
      </c>
      <c r="W39" s="3">
        <f>0+(472.5-178.1)+(0+(-0.722925--0.272493))+0-32.3--0.0494190000000019</f>
        <v>261.69898699999999</v>
      </c>
      <c r="X39" s="3">
        <f>0+(457.5-172.6)+(0+(-1.39995--0.528156))+0-32.2--0.0985320000000037</f>
        <v>251.92673799999997</v>
      </c>
      <c r="Y39" s="3">
        <f>0+(458.3-164)+(0+(-0.934932--0.33456))+0-32.3--0.0658919999999986</f>
        <v>261.46552000000003</v>
      </c>
      <c r="Z39" s="3">
        <f>0+(516.6-196.8)+(0+(-1.053864--0.401472))+0-30.8--0.0628319999999987</f>
        <v>288.41043999999999</v>
      </c>
      <c r="AA39" s="3">
        <f>0+(525.2-212.6)+(0+(-0.803556--0.325278))+0-28.5--0.0436050000000016</f>
        <v>283.66532700000005</v>
      </c>
      <c r="AB39" s="3">
        <f>0+(508.9-197.2)+(0+(-1.038156--0.402288))+0-31.4--0.0640559999999986</f>
        <v>279.72818799999999</v>
      </c>
      <c r="AC39" s="3">
        <f>0+(488.6-184.3)+(0+(-0.747558--0.281979))+0-31.4--0.0480420000000018</f>
        <v>272.48246300000005</v>
      </c>
      <c r="AD39">
        <v>293.90000000000003</v>
      </c>
      <c r="AE39" s="3">
        <f>0+(526.6-200.8)+(0+(0-0))+0-31.9-0</f>
        <v>293.90000000000003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0+(450.9-153.2)+(0+(-0.459918--0.156264))+0-32--0.0326400000000051</f>
        <v>265.42898600000001</v>
      </c>
      <c r="G40" s="3">
        <f>0+(404.5-116.2)+(0+(-1.031475--0.29631))+0-31.6--0.0805799999999954</f>
        <v>256.04541499999999</v>
      </c>
      <c r="H40" s="3">
        <f>0+(396.9-116.9)+(0+(-0.607257--0.178857))+0-30.6--0.0468180000000018</f>
        <v>249.018418</v>
      </c>
      <c r="I40" s="3">
        <f>0+(408.4-127.3)+(0+(-0.208284--0.064923))+0-31.7--0.0161669999999968</f>
        <v>249.27280599999995</v>
      </c>
      <c r="J40" s="3">
        <f>0+(403.6-123)+(0+(-1.235016--0.37638))+0-31.8--0.0973080000000037</f>
        <v>248.03867200000002</v>
      </c>
      <c r="K40" s="3">
        <f>0+(409-134.2)+(0+(-0.83436--0.273768))+0-31.8--0.0648719999999986</f>
        <v>242.50428000000002</v>
      </c>
      <c r="L40" s="3">
        <f>0+(423.9-166.2)+(0+(-0.648567--0.254286))+0-31.5--0.0481950000000018</f>
        <v>225.853914</v>
      </c>
      <c r="M40" s="3">
        <f>0+(465.2-199.1)+(0+(-0.237252--0.101541))+0-31.8--0.0162179999999968</f>
        <v>234.18050700000001</v>
      </c>
      <c r="N40" s="3">
        <f>0+(452-167.5)+(0+(-0.46104--0.17085))+0-31.8--0.0324360000000051</f>
        <v>252.44224600000001</v>
      </c>
      <c r="O40" s="3">
        <f>0+(470-183.2)+(0+(0-0))+0-31.7-0</f>
        <v>255.10000000000002</v>
      </c>
      <c r="P40" s="3">
        <f>0+(568.8-276.5)+(0+(-0.870264--0.423045))+0-31.8--0.0486540000000018</f>
        <v>260.10143499999992</v>
      </c>
      <c r="Q40" s="3">
        <f>0+(638.8-342.9)+(0+(-0.977364--0.524637))+0-31.7--0.0485010000000018</f>
        <v>263.79577399999999</v>
      </c>
      <c r="R40" s="3">
        <f>0+(596.8-305.9)+(0+(-0.608736--0.312018))+0-31.7--0.0323340000000051</f>
        <v>258.93561599999998</v>
      </c>
      <c r="S40" s="3">
        <f>0+(624.4-336.3)+(0+(-1.273776--0.686052))+0-31.7--0.0646679999999986</f>
        <v>255.87694400000001</v>
      </c>
      <c r="T40" s="3">
        <f>0+(692.3-404.5)+(0+(-0.706146--0.41259))+0-31.7--0.0323340000000051</f>
        <v>255.83877799999993</v>
      </c>
      <c r="U40" s="3">
        <f>0+(650.5-369.2)+(0+(-0.995265--0.564876))+0-31.7--0.0485010000000018</f>
        <v>249.21811200000005</v>
      </c>
      <c r="V40" s="3">
        <f>0+(625.2-350.9)+(0+(-0.637704--0.357918))+0-31.7--0.0323340000000051</f>
        <v>242.35254800000007</v>
      </c>
      <c r="W40" s="3">
        <f>0+(603.6-330.5)+(0+(-1.53918--0.842775))+0-31.5--0.0803249999999954</f>
        <v>240.98391999999998</v>
      </c>
      <c r="X40" s="3">
        <f>0+(597.5-316.4)+(0+(-1.2189--0.645456))+0-29.2--0.0595679999999987</f>
        <v>251.38612400000002</v>
      </c>
      <c r="Y40" s="3">
        <f>0+(583-287.2)+(0+(-0.89199--0.439416))+0-31.6--0.0483480000000018</f>
        <v>263.79577399999994</v>
      </c>
      <c r="Z40" s="3">
        <f>0+(539.1-224.8)+(0+(-1.099764--0.458592))+0-31.7--0.0646679999999986</f>
        <v>282.02349600000002</v>
      </c>
      <c r="AA40" s="3">
        <f>0+(542.6-231.6)+(0+(-0.553452--0.236232))+0-31.8--0.0324360000000051</f>
        <v>278.91521599999999</v>
      </c>
      <c r="AB40" s="3">
        <f>0+(541.4-228.6)+(0+(-0.828342--0.349758))+0-31.8--0.0486540000000018</f>
        <v>280.57006999999993</v>
      </c>
      <c r="AC40" s="3">
        <f>0+(438.5-134.2)+(0+(-0.223635--0.068442))+0-31.8--0.0162179999999968</f>
        <v>272.36102499999998</v>
      </c>
      <c r="AD40">
        <v>283.20000000000005</v>
      </c>
      <c r="AE40" s="3">
        <f>0+(532.1-217)+(0+(0-0))+0-31.9-0</f>
        <v>283.20000000000005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0+(401-115.2)+(0+(-0.40902--0.117504))+0-27.5--0.0280500000000044</f>
        <v>258.03653400000002</v>
      </c>
      <c r="G41" s="3">
        <f>0+(386-109.5)+(0+(-0.78744--0.22338))+0-31.9--0.0650759999999986</f>
        <v>244.10101600000002</v>
      </c>
      <c r="H41" s="3">
        <f>0+(407.6-130.9)+(0+(-0.623628--0.200277))+0-31.8--0.0486540000000018</f>
        <v>244.52530300000001</v>
      </c>
      <c r="I41" s="3">
        <f>0+(412.3-138)+(0+(-0.210273--0.07038))+0-31.8--0.0162179999999968</f>
        <v>242.37632500000004</v>
      </c>
      <c r="J41" s="3">
        <f>0+(413-138.4)+(0+(-1.47441--0.494088))+0-31.8--0.113526</f>
        <v>241.93320400000002</v>
      </c>
      <c r="K41" s="3">
        <f>0+(379.8-103.4)+(0+(-1.162188--0.316404))+0-31.8--0.0973080000000037</f>
        <v>243.85152399999998</v>
      </c>
      <c r="L41" s="3">
        <f>0+(394-117.1)+(0+(-0.80376--0.238884))+0-31.4--0.0640559999999986</f>
        <v>244.99917999999994</v>
      </c>
      <c r="M41" s="3">
        <f>0+(426.3-125.9)+(0+(-0.217413--0.064209))+0-31.8--0.0162179999999968</f>
        <v>268.46301399999993</v>
      </c>
      <c r="N41" s="3">
        <f>0+(504.3-180.3)+(0+(-0.514386--0.183906))+0-32--0.0326400000000051</f>
        <v>291.70215999999999</v>
      </c>
      <c r="O41" s="3">
        <f>0+(582.3-243.1)+(0+(-0.890919--0.371943))+0-31.9--0.0488070000000018</f>
        <v>306.82983099999996</v>
      </c>
      <c r="P41" s="3">
        <f>0+(575.3-229.2)+(0+(-0.293403--0.116892))+0-31.9--0.0162689999999968</f>
        <v>314.03975800000001</v>
      </c>
      <c r="Q41" s="3">
        <f>0+(590.3-231.9)+(0+(0-0))+0-31-0</f>
        <v>327.39999999999998</v>
      </c>
      <c r="R41" s="3">
        <f>0+(594.6-243.7)+(0+(-0.303246--0.124287))+0-31.5--0.0160649999999968</f>
        <v>319.23710599999998</v>
      </c>
      <c r="S41" s="3">
        <f>0+(596.9-257.9)+(0+(-0.304419--0.131529))+0-30.9--0.0157589999999969</f>
        <v>307.94286900000003</v>
      </c>
      <c r="T41" s="3">
        <f>0+(603.8-264.1)+(0+(-0.923814--0.404073))+0-31--0.0474300000000018</f>
        <v>308.22768899999994</v>
      </c>
      <c r="U41" s="3">
        <f>0+(607.7-275)+(0+(-0.929781--0.42075))+0-31.7--0.0485010000000018</f>
        <v>300.53947000000005</v>
      </c>
      <c r="V41" s="3">
        <f>0+(630.9-296.8)+(0+(-0.643518--0.302736))+0-31.2--0.031824000000005</f>
        <v>302.59104200000002</v>
      </c>
      <c r="W41" s="3">
        <f>0+(591.9-264.7)+(0+(-0.905607--0.404991))+0-31.8--0.0486540000000018</f>
        <v>294.948038</v>
      </c>
      <c r="X41" s="3">
        <f>0+(580.8-259.2)+(0+(-1.184832--0.528768))+0-31.8--0.0648719999999986</f>
        <v>289.20880799999992</v>
      </c>
      <c r="Y41" s="3">
        <f>0+(563.1-233)+(0+(-0.287181--0.11883))+0-31.6--0.0161159999999968</f>
        <v>298.34776500000004</v>
      </c>
      <c r="Z41" s="3">
        <f>0+(531.6-181.4)+(0+(-1.626696--0.555084))+0-32--0.0979200000000037</f>
        <v>317.22630800000002</v>
      </c>
      <c r="AA41" s="3">
        <f>0+(541.9-203.5)+(0+(-1.105476--0.41514))+0-32--0.0652799999999986</f>
        <v>305.77494399999995</v>
      </c>
      <c r="AB41" s="3">
        <f>0+(581.9-248.5)+(0+(-1.483845--0.633675))+0-32--0.0815999999999954</f>
        <v>300.63142999999997</v>
      </c>
      <c r="AC41" s="3">
        <f>0+(551.9-231.8)+(0+(-1.125876--0.472872))+0-32--0.0652799999999986</f>
        <v>287.51227599999993</v>
      </c>
      <c r="AD41">
        <v>307.10000000000002</v>
      </c>
      <c r="AE41" s="3">
        <f>0+(537.1-197.8)+(0+(0-0))+0-32.2-0</f>
        <v>307.10000000000002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0+(396.5-84.7)+(0+(-0.606645--0.129591))+0-32--0.0489600000000018</f>
        <v>279.37190600000002</v>
      </c>
      <c r="G42" s="3">
        <f>0+(412-116.6)+(0+(-1.26072--0.356796))+0-31.9--0.0976140000000037</f>
        <v>262.69369</v>
      </c>
      <c r="H42" s="3">
        <f>0+(406.4-118)+(0+(-0.829056--0.24072))+0-31.9--0.0650759999999986</f>
        <v>255.97673999999995</v>
      </c>
      <c r="I42" s="3">
        <f>0+(408.7-93.8)+(0+(0.208437-0.047838))+0-31.9-0.0162689999999968</f>
        <v>283.14432999999997</v>
      </c>
      <c r="J42" s="3">
        <f>0+(411.1-117.5)+(0+(0.209661-0.059925))+0-31.3-0.0159629999999968</f>
        <v>262.43377300000003</v>
      </c>
      <c r="K42" s="3">
        <f>0+(412.7-121.8)+(0+(0-0))+0-31.5-0</f>
        <v>259.39999999999998</v>
      </c>
      <c r="L42" s="3">
        <f>0+(418-128.3)+(0+(-1.0659--0.327165))+0-31--0.0790499999999955</f>
        <v>258.04031499999996</v>
      </c>
      <c r="M42" s="3">
        <f>0+(440.1-124.6)+(0+(-0.673353--0.190638))+0-31.8--0.0486540000000018</f>
        <v>283.265939</v>
      </c>
      <c r="N42" s="3">
        <f>0+(457.3-121.4)+(0+(-0.932892--0.247656))+0-31.7--0.0646679999999986</f>
        <v>303.579432</v>
      </c>
      <c r="O42" s="3">
        <f>0+(541.4-192.9)+(0+(0-0))+0-31.8-0</f>
        <v>316.7</v>
      </c>
      <c r="P42" s="3">
        <f>0+(586.5-237.4)+(0+(-0.59823--0.242148))+0-31.8--0.0324360000000051</f>
        <v>316.97635400000001</v>
      </c>
      <c r="Q42" s="3">
        <f>0+(585.6-232.4)+(0+(-0.895968--0.355572))+0-31.9--0.0488070000000018</f>
        <v>320.80841100000009</v>
      </c>
      <c r="R42" s="3">
        <f>0+(581.9-264.5)+(0+(-1.780614--0.80937))+0-31.7--0.0970020000000037</f>
        <v>284.82575800000001</v>
      </c>
      <c r="S42" s="3">
        <f>0+(594.8-243)+(0+(-1.213392--0.49572))+0-31.6--0.0644639999999986</f>
        <v>319.54679199999993</v>
      </c>
      <c r="T42" s="3">
        <f>0+(619-284.5)+(0+(-1.89414--0.87057))+0-31.8--0.0973080000000037</f>
        <v>301.77373799999998</v>
      </c>
      <c r="U42" s="3">
        <f>0+(632.2-312)+(0+(-1.289688--0.63648))+0-31.9--0.0650759999999986</f>
        <v>287.71186800000004</v>
      </c>
      <c r="V42" s="3">
        <f>0+(618.4-296)+(0+(-1.57692--0.7548))+0-32--0.0815999999999954</f>
        <v>289.65947999999997</v>
      </c>
      <c r="W42" s="3">
        <f>0+(605.5-296.7)+(0+(-1.23522--0.605268))+0-31.2--0.0636479999999986</f>
        <v>277.03369600000002</v>
      </c>
      <c r="X42" s="3">
        <f>0+(596.8-293.4)+(0+(-2.130576--1.047438))+0-31.8--0.113526</f>
        <v>270.63038799999993</v>
      </c>
      <c r="Y42" s="3">
        <f>0+(555.7-272.4)+(0+(0-0))+0-31.9-0</f>
        <v>251.40000000000006</v>
      </c>
      <c r="Z42" s="3">
        <f>0+(508.7-211.3)+(0+(-1.297185--0.538815))+0-32.7--0.0833849999999953</f>
        <v>264.025015</v>
      </c>
      <c r="AA42" s="3">
        <f>0+(543.1-259.4)+(0+(-1.107924--0.529176))+0-32.1--0.0654839999999986</f>
        <v>251.08673600000003</v>
      </c>
      <c r="AB42" s="3">
        <f>0+(568.1-256.9)+(0+(-0.579462--0.262038))+0-32--0.0326400000000051</f>
        <v>278.91521600000004</v>
      </c>
      <c r="AC42" s="3">
        <f>0+(585.1-277.4)+(0+(-0.596802--0.282948))+0-32.1--0.0327420000000051</f>
        <v>275.31888800000002</v>
      </c>
      <c r="AD42">
        <v>253.40000000000003</v>
      </c>
      <c r="AE42" s="3">
        <f>50+(515.5-278.9)+(0+(0-0))+0-33.2-0</f>
        <v>253.40000000000003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0+(515.2-222)+(0+(-1.576512--0.67932))+0-32--0.0979200000000037</f>
        <v>260.40072800000002</v>
      </c>
      <c r="G43" s="3">
        <f>0+(421.6-136.3)+(0+(-0.860064--0.278052))+0-31.9--0.0650759999999986</f>
        <v>252.88306399999999</v>
      </c>
      <c r="H43" s="3">
        <f>0+(455.1-178.5)+(0+(-0.464202--0.18207))+0-31.9--0.0325380000000051</f>
        <v>244.45040600000004</v>
      </c>
      <c r="I43" s="3">
        <f>0+(456-177.7)+(0+(-0.69768--0.271881))+0-31.8--0.0486540000000018</f>
        <v>246.12285500000002</v>
      </c>
      <c r="J43" s="3">
        <f>0+(462-179.3)+(0+(-0.23562--0.091443))+0-31.9--0.0162689999999968</f>
        <v>250.67209199999996</v>
      </c>
      <c r="K43" s="3">
        <f>0+(463-179.4)+(0+(-0.94452--0.365976))+0-31.9--0.0650759999999986</f>
        <v>251.186532</v>
      </c>
      <c r="L43" s="3">
        <f>0+(420.3-122)+(0+(-1.286118--0.37332))+0-31.8--0.0973080000000037</f>
        <v>265.68450999999999</v>
      </c>
      <c r="M43" s="3">
        <f>0+(408.2-102.1)+(0+(-0.416364--0.104142))+0-31.8--0.0324360000000051</f>
        <v>274.02021400000001</v>
      </c>
      <c r="N43" s="3">
        <f>0+(439-109.2)+(0+(-0.67167--0.167076))+0-32--0.0489600000000018</f>
        <v>297.34436600000004</v>
      </c>
      <c r="O43" s="3">
        <f>0+(477.4-140.5)+(0+(-0.730422--0.214965))+0-32--0.0489600000000018</f>
        <v>304.43350299999997</v>
      </c>
      <c r="P43" s="3">
        <f>0+(518.1-177.4)+(0+(-1.056924--0.361896))+0-32--0.0652799999999986</f>
        <v>308.07025200000004</v>
      </c>
      <c r="Q43" s="3">
        <f>0+(551.6-206.5)+(0+(-0.843948--0.315945))+0-32.1--0.0491130000000019</f>
        <v>312.52110999999996</v>
      </c>
      <c r="R43" s="3">
        <f>0+(605.2-262.7)+(0+(-1.54326--0.669885))+0-32--0.0815999999999954</f>
        <v>309.70822500000003</v>
      </c>
      <c r="S43" s="3">
        <f>0+(630.7-299.2)+(0+(-0.321657--0.152592))+0-32.1--0.0163709999999967</f>
        <v>299.24730600000004</v>
      </c>
      <c r="T43" s="3">
        <f>0+(607.4-275.6)+(0+(-0.929322--0.421668))+0-32--0.0489600000000018</f>
        <v>299.34130599999997</v>
      </c>
      <c r="U43" s="3">
        <f>0+(614.3-284.3)+(0+(-1.566465--0.724965))+0-31.9--0.0813449999999954</f>
        <v>297.33984499999997</v>
      </c>
      <c r="V43" s="3">
        <f>0+(635.3-309.1)+(0+(-1.620015--0.788205))+0-32--0.0815999999999954</f>
        <v>293.44978999999989</v>
      </c>
      <c r="W43" s="3">
        <f>0+(600.1-278.8)+(0+(-1.224204--0.568752))+0-32--0.0652799999999986</f>
        <v>288.70982799999996</v>
      </c>
      <c r="X43" s="3">
        <f>0+(586.1-280.4)+(0+(-1.494555--0.71502))+0-31.7--0.0808349999999954</f>
        <v>273.30130000000003</v>
      </c>
      <c r="Y43" s="3">
        <f>15+(533.5-237.1)+(0.00765+(0.272085-0.120921))+0-31.8-0.0162179999999968</f>
        <v>279.74259599999999</v>
      </c>
      <c r="Z43" s="3">
        <f>50+(559.3-278.3)+(-0.051+(-0.570486--0.283866))+0-31.8--0.0324360000000051</f>
        <v>298.89481599999993</v>
      </c>
      <c r="AA43" s="3">
        <f>51+(538.8-258.1)+(-0.15606+(-1.648728--0.789786))+0-31.5--0.0963900000000036</f>
        <v>299.28138799999994</v>
      </c>
      <c r="AB43" s="3">
        <f>39+(526.6-238.3)+(-0.13923+(-1.879962--0.850731))+0-29.3--0.104601</f>
        <v>296.93614000000002</v>
      </c>
      <c r="AC43" s="3">
        <f>0+(570.9-252.9)+(0+(-0.873477--0.386937))+0-28--0.0428400000000016</f>
        <v>289.55630000000002</v>
      </c>
      <c r="AD43">
        <v>299.39999999999998</v>
      </c>
      <c r="AE43" s="3">
        <f>50+(552.4-270.9)+(0+(0-0))+0-32.1-0</f>
        <v>299.39999999999998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0+(440.7-131.7)+(0+(0-0))+0-29.9-0</f>
        <v>279.10000000000002</v>
      </c>
      <c r="G44" s="3">
        <f>0+(407.9-109.7)+(0+(0-0))+0-30.3-0</f>
        <v>267.89999999999998</v>
      </c>
      <c r="H44" s="3">
        <f>0+(400.9-108.1)+(0+(0-0))+0-31.2-0</f>
        <v>261.59999999999997</v>
      </c>
      <c r="I44" s="3">
        <f>0+(406.4-114.6)+(0+(0-0))+0-31.8-0</f>
        <v>259.99999999999994</v>
      </c>
      <c r="J44" s="3">
        <f>0+(407.7-117.6)+(0+(-0.623781--0.179928))+0-31.8--0.0486540000000018</f>
        <v>257.90480100000002</v>
      </c>
      <c r="K44" s="3">
        <f>0+(407.1-120.3)+(0+(-0.415242--0.122706))+0-29.4--0.0299880000000047</f>
        <v>257.13745200000005</v>
      </c>
      <c r="L44" s="3">
        <f>0+(411.7-123.9)+(0+(0.419934-0.126378))+0-32-0.0326400000000051</f>
        <v>256.06091599999996</v>
      </c>
      <c r="M44" s="3">
        <f>0+(416-109.8)+(0+(0.42432-0.111996))+0-31.9-0.0325380000000051</f>
        <v>274.57978600000001</v>
      </c>
      <c r="N44" s="3">
        <f>0+(467.6-128.5)+(0+(-0.238476--0.065535))+0-31.6--0.0161159999999968</f>
        <v>307.34317500000003</v>
      </c>
      <c r="O44" s="3">
        <f>0+(484.7-159.1)+(0+(0-0))+0-12.6-0</f>
        <v>313</v>
      </c>
      <c r="P44" s="3">
        <f>0+(518.2-175.2)+(0+(0-0))+0-3.1-0</f>
        <v>339.90000000000003</v>
      </c>
      <c r="Q44" s="3">
        <f>0+(561.4-228.8)+(0+(-1.145256--0.466752))+0-6.3--0.0128519999999997</f>
        <v>325.63434799999999</v>
      </c>
      <c r="R44" s="3">
        <f>0+(586.7-264.8)+(0+(-0.299217--0.135048))+0-6.8--0.00346799999999931</f>
        <v>314.93929900000001</v>
      </c>
      <c r="S44" s="3">
        <f>0+(604.9-295.5)+(0+(0-0))+0-7.3-0</f>
        <v>302.09999999999997</v>
      </c>
      <c r="T44" s="3">
        <f>0+(611.6-300.5)+(0+(-0.311916--0.153255))+0-8.8--0.00448799999999911</f>
        <v>302.145827</v>
      </c>
      <c r="U44" s="3">
        <f>0+(618.7-308.9)+(0+(-2.208759--1.102773))+0-9.8--0.0349860000000001</f>
        <v>298.92900000000009</v>
      </c>
      <c r="V44" s="3">
        <f>0+(619.6-309.8)+(0+(-1.895976--0.947988))+0-11.1--0.0339660000000013</f>
        <v>297.785978</v>
      </c>
      <c r="W44" s="3">
        <f>0+(621.2-315.2)+(0+(-2.217684--1.125264))+0-12.9--0.0460530000000002</f>
        <v>292.05363300000005</v>
      </c>
      <c r="X44" s="3">
        <f>0+(590.9-291.2)+(0+(-1.506795--0.74256))+0-13.3--0.0339149999999981</f>
        <v>285.66967999999997</v>
      </c>
      <c r="Y44" s="3">
        <f>0+(561.9-251.4)+(0+(-1.432845--0.64107))+0-16.5--0.0420749999999976</f>
        <v>293.25030000000004</v>
      </c>
      <c r="Z44" s="3">
        <f>0+(557.8-225.7)+(0+(-1.137912--0.460428))+0-18.4--0.0375359999999992</f>
        <v>313.06005199999998</v>
      </c>
      <c r="AA44" s="3">
        <f>0+(518.1-190.5)+(0+(-1.056924--0.38862))+0-20.2--0.0412079999999991</f>
        <v>306.77290400000004</v>
      </c>
      <c r="AB44" s="3">
        <f>0+(493.4-173.1)+(0+(0.251634-0.088281))+0-22-0.0112199999999978</f>
        <v>298.45213299999995</v>
      </c>
      <c r="AC44" s="3">
        <f>0+(480.4-173.1)+(0+(-0.490008--0.176562))+0-24--0.0244800000000038</f>
        <v>283.01103399999994</v>
      </c>
      <c r="AD44">
        <v>317.39999999999998</v>
      </c>
      <c r="AE44" s="3">
        <f>0+(561.9-225.8)+(0+(0-0))+0-18.7-0</f>
        <v>317.39999999999998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0+(442.4-145.3)+(0+(0-0))+0-26.2-0</f>
        <v>270.89999999999998</v>
      </c>
      <c r="G45" s="3">
        <f>0+(414.5-132.2)+(0+(-0.42279--0.134844))+0-27.7--0.0282540000000044</f>
        <v>254.34030800000005</v>
      </c>
      <c r="H45" s="3">
        <f>0+(414.1-129.6)+(0+(0-0))+0-29.7-0</f>
        <v>254.8</v>
      </c>
      <c r="I45" s="3">
        <f>0+(446.7-160.4)+(0+(-0.683451--0.245412))+0-29.7--0.0454410000000017</f>
        <v>256.20740199999995</v>
      </c>
      <c r="J45" s="3">
        <f>0+(513.3-226.1)+(0+(0.523566-0.230622))+0-29.9-0.0304980000000048</f>
        <v>257.56244599999991</v>
      </c>
      <c r="K45" s="3">
        <f>0+(476.4-190.9)+(0+(-0.971856--0.389436))+0-28.9--0.0589559999999987</f>
        <v>256.07653600000003</v>
      </c>
      <c r="L45" s="3">
        <f>0+(476.4-208.7)+(0+(-0.242964--0.106437))+0-29.6--0.015095999999997</f>
        <v>237.97856899999999</v>
      </c>
      <c r="M45" s="3">
        <f>0+(488.3-186.5)+(0+(-0.249033--0.095115))+0-30.7--0.0156569999999969</f>
        <v>270.96173900000002</v>
      </c>
      <c r="N45" s="3">
        <f>0+(535.8-212.9)+(0+(-0.273258--0.108579))+0-31--0.0158099999999969</f>
        <v>291.75113099999999</v>
      </c>
      <c r="O45" s="3">
        <f>0+(519.7-184.8)+(0+(-0.530094--0.188496))+0-30.9--0.0315180000000049</f>
        <v>303.68992000000009</v>
      </c>
      <c r="P45" s="3">
        <f>0+(527.2-190.4)+(0+(-0.806616--0.291312))+0-30.9--0.0472770000000018</f>
        <v>305.43197300000008</v>
      </c>
      <c r="Q45" s="3">
        <f>0+(499.1-162.3)+(0+(0-0))+0-29.8-0</f>
        <v>307</v>
      </c>
      <c r="R45" s="3">
        <f>0+(478.2-144.6)+(0+(-1.21941--0.36873))+0-30.5--0.0777749999999956</f>
        <v>302.32709499999999</v>
      </c>
      <c r="S45" s="3">
        <f>0+(489.1-168.3)+(0+(0-0))+0-29.3-0</f>
        <v>291.5</v>
      </c>
      <c r="T45" s="3">
        <f>0+(593.5-270.7)+(0+(-1.21074--0.552228))+0-29.2--0.0595679999999987</f>
        <v>293.00105600000006</v>
      </c>
      <c r="U45" s="3">
        <f>0+(666.8-340.3)+(0+(-1.70034--0.867765))+0-31.3--0.0798149999999955</f>
        <v>294.44723999999991</v>
      </c>
      <c r="V45" s="3">
        <f>0+(699.1-384.8)+(0+(-1.069623--0.588744))+0-31.3--0.0478890000000018</f>
        <v>282.56700999999998</v>
      </c>
      <c r="W45" s="3">
        <f>0+(680.4-363.3)+(0+(-1.041012--0.555849))+0-31.2--0.0477360000000018</f>
        <v>285.46257299999996</v>
      </c>
      <c r="X45" s="3">
        <f>0+(644.6-323.8)+(0+(-1.64373--0.82569))+0-31.3--0.0798149999999955</f>
        <v>288.761775</v>
      </c>
      <c r="Y45" s="3">
        <f>0+(567.2-246.4)+(0+(-0.867816--0.376992))+0-31.4--0.0480420000000018</f>
        <v>288.95721800000013</v>
      </c>
      <c r="Z45" s="3">
        <f>0+(517.1-182.6)+(0+(-0.263721--0.093126))+0-31.5--0.0160649999999968</f>
        <v>302.84546999999998</v>
      </c>
      <c r="AA45" s="3">
        <f>0+(521.1-188.7)+(0+(-1.063044--0.384948))+0-31.4--0.0640559999999986</f>
        <v>300.38596000000007</v>
      </c>
      <c r="AB45" s="3">
        <f>0+(505.9-182.7)+(0+(-1.290045--0.465885))+0-31.5--0.0803249999999954</f>
        <v>290.956165</v>
      </c>
      <c r="AC45" s="3">
        <f>0+(515.9-220.5)+(0+(-0.789327--0.337365))+0-31.5--0.0481950000000018</f>
        <v>263.49623300000002</v>
      </c>
      <c r="AD45">
        <v>301.3</v>
      </c>
      <c r="AE45" s="3">
        <f>0+(513.9-181.2)+(0+(0-0))+0-31.4-0</f>
        <v>301.3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0+(529-236.1)+(0+(-1.07916--0.481644))+0-30.4--0.0620159999999987</f>
        <v>261.96449999999999</v>
      </c>
      <c r="G46" s="3">
        <f>0+(527.3-241.6)+(0+(-0.268923--0.123216))+0-31.4--0.0160139999999968</f>
        <v>254.17030699999989</v>
      </c>
      <c r="H46" s="3">
        <f>0+(529.5-241.4)+(0+(-0.270045--0.123114))+0-31.4--0.0160139999999968</f>
        <v>256.56908300000003</v>
      </c>
      <c r="I46" s="3">
        <f>0+(445.7-162.8)+(0+(-0.227307--0.083028))+0-30.5--0.0155549999999969</f>
        <v>252.271276</v>
      </c>
      <c r="J46" s="3">
        <f>0+(456.4-173.5)+(0+(-0.931056--0.35394))+0-30.9--0.0630359999999986</f>
        <v>251.48591999999999</v>
      </c>
      <c r="K46" s="3">
        <f>0+(473-189.4)+(0+(-1.92984--0.772752))+0-31.3--0.127703999999997</f>
        <v>251.27061600000002</v>
      </c>
      <c r="L46" s="3">
        <f>0+(473.1-193)+(0+(-0.723843--0.29529))+0-31.2--0.0477360000000018</f>
        <v>248.51918300000003</v>
      </c>
      <c r="M46" s="3">
        <f>0+(428.6-131.5)+(0+(0-0))+0-31.1-0</f>
        <v>266</v>
      </c>
      <c r="N46" s="3">
        <f>0+(416.7-93.5)+(0+(0-0))+0-31.4-0</f>
        <v>291.8</v>
      </c>
      <c r="O46" s="3">
        <f>0+(435.4-100.2)+(0+(0.222054-0.051102))+0-31.3-0.0159629999999968</f>
        <v>304.05498899999998</v>
      </c>
      <c r="P46" s="3">
        <f>0+(417.3-86.8)+(0+(-0.638469--0.132804))+0-31.4--0.0480420000000018</f>
        <v>298.64237700000001</v>
      </c>
      <c r="Q46" s="3">
        <f>0+(394.4-58.8)+(0+(-0.603432--0.089964))+0-31.5--0.0481950000000018</f>
        <v>303.634727</v>
      </c>
      <c r="R46" s="3">
        <f>0+(443.7-110.1)+(0+(-0.678861--0.168453))+0-31.5--0.0481950000000018</f>
        <v>301.63778700000006</v>
      </c>
      <c r="S46" s="3">
        <f>0+(459.8-138.6)+(0+(-0.468996--0.141372))+0-31.9--0.0325380000000051</f>
        <v>289.00491400000004</v>
      </c>
      <c r="T46" s="3">
        <f>0+(498.2-182.7)+(0+(0.254082-0.093177))+0-31.9-0.0162689999999968</f>
        <v>283.74463600000001</v>
      </c>
      <c r="U46" s="3">
        <f>0+(457-151.4)+(0+(-0.69921--0.231642))+0-31.8--0.0486540000000018</f>
        <v>273.38108599999998</v>
      </c>
      <c r="V46" s="3">
        <f>0+(437.3-140.4)+(0+(-0.892092--0.286416))+0-25.1--0.0512039999999989</f>
        <v>271.24552799999992</v>
      </c>
      <c r="W46" s="3">
        <f>0+(443.6-143.3)+(0+(-0.678708--0.219249))+0-31.8--0.0486540000000018</f>
        <v>268.08919500000002</v>
      </c>
      <c r="X46" s="3">
        <f>0+(440.5-147.4)+(0+(-0.89862--0.300696))+0-31.8--0.0648719999999986</f>
        <v>260.76694800000001</v>
      </c>
      <c r="Y46" s="3">
        <f>0+(439.5-143.4)+(0+(-0.224145--0.073134))+0-31.8--0.0162179999999968</f>
        <v>264.16520700000001</v>
      </c>
      <c r="Z46" s="3">
        <f>0+(535.8-206.8)+(0+(-1.36629--0.52734))+0-31.9--0.0813449999999954</f>
        <v>296.34239499999995</v>
      </c>
      <c r="AA46" s="3">
        <f>0+(570.3-244.3)+(0+(-0.872559--0.373779))+0-31.9--0.0488070000000018</f>
        <v>293.65002699999997</v>
      </c>
      <c r="AB46" s="3">
        <f>0+(593.5-264.7)+(0+(-0.908055--0.404991))+0-32--0.0489600000000018</f>
        <v>296.34589600000004</v>
      </c>
      <c r="AC46" s="3">
        <f>0+(568.6-249.4)+(0+(-0.579972--0.254388))+0-31.9--0.0325380000000051</f>
        <v>287.00695400000006</v>
      </c>
      <c r="AD46">
        <v>293.40000000000003</v>
      </c>
      <c r="AE46" s="3">
        <f>0+(610.2-284.7)+(0+(0-0))+0-32.1-0</f>
        <v>293.40000000000003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0+(561.7-251.6)+(0+(-0.859401--0.384948))+0-32--0.0489600000000018</f>
        <v>277.67450700000006</v>
      </c>
      <c r="G47" s="3">
        <f>0+(510.6-209.9)+(0+(-0.781218--0.321147))+0-31.9--0.0488070000000018</f>
        <v>268.38873600000005</v>
      </c>
      <c r="H47" s="3">
        <f>0+(559.6-266.4)+(0+(0-0))+0-31.9-0</f>
        <v>261.30000000000007</v>
      </c>
      <c r="I47" s="3">
        <f>0+(597.1-307.1)+(0+(-1.522605--0.783105))+0-31.9--0.0813449999999954</f>
        <v>257.441845</v>
      </c>
      <c r="J47" s="3">
        <f>0+(505.9-217)+(0+(0.516018-0.22134))+0-31.9-0.0325380000000051</f>
        <v>257.26213999999999</v>
      </c>
      <c r="K47" s="3">
        <f>0+(500.4-215.1)+(0+(-1.020816--0.438804))+0-31.9--0.0650759999999986</f>
        <v>252.88306399999993</v>
      </c>
      <c r="L47" s="3">
        <f>0+(404.8-138.1)+(0+(0.206448-0.070431))+0-31.8-0.0162179999999968</f>
        <v>235.01979900000001</v>
      </c>
      <c r="M47" s="3">
        <f>0+(404.1-132.6)+(0+(0-0))+0-31.8-0</f>
        <v>239.7</v>
      </c>
      <c r="N47" s="3">
        <f>0+(428.2-145.3)+(0+(-0.218382--0.074103))+0-31.9--0.0162689999999968</f>
        <v>250.87198999999998</v>
      </c>
      <c r="O47" s="3">
        <f>0+(495.1-204.3)+(0+(0-0))+0-31.9-0</f>
        <v>258.90000000000003</v>
      </c>
      <c r="P47" s="3">
        <f>0+(517.7-219)+(0+(-0.264027--0.11169))+0-32--0.0163199999999968</f>
        <v>266.56398300000006</v>
      </c>
      <c r="Q47" s="3">
        <f>0+(521.8-227.6)+(0+(0.266118-0.116076))+0-31.9-0.0162689999999968</f>
        <v>262.43377299999992</v>
      </c>
      <c r="R47" s="3">
        <f>0+(504.5-220.4)+(0+(-0.51459--0.224808))+0-31.9--0.0325380000000051</f>
        <v>251.94275600000003</v>
      </c>
      <c r="S47" s="3">
        <f>0+(539.8-258.5)+(0+(-0.550596--0.26367))+0-31.9--0.0325380000000051</f>
        <v>249.14561199999997</v>
      </c>
      <c r="T47" s="3">
        <f>0+(647.3-362.2)+(0+(-0.990369--0.554166))+0-31.8--0.0486540000000018</f>
        <v>252.91245099999998</v>
      </c>
      <c r="U47" s="3">
        <f>0+(681.6-402)+(0+(-1.390464--0.82008))+0-31.9--0.0650759999999986</f>
        <v>247.19469200000003</v>
      </c>
      <c r="V47" s="3">
        <f>0+(667.1-387.4)+(0+(-1.701105--0.98787))+0-31.9--0.0813449999999954</f>
        <v>247.16811000000004</v>
      </c>
      <c r="W47" s="3">
        <f>0+(661.1-383.8)+(0+(-1.348644--0.782952))+0-31.7--0.0646679999999986</f>
        <v>245.09897600000002</v>
      </c>
      <c r="X47" s="3">
        <f>0+(600.7-332.6)+(0+(-1.531785--0.84813))+0-31.7--0.0808349999999954</f>
        <v>235.79718000000005</v>
      </c>
      <c r="Y47" s="3">
        <f>0+(534.4-259.4)+(0+(-1.090176--0.529176))+0-31.7--0.0646679999999986</f>
        <v>242.80366800000004</v>
      </c>
      <c r="Z47" s="3">
        <f>0+(543.5-240.1)+(0+(-1.385925--0.612255))+0-31.8--0.0810899999999954</f>
        <v>270.90742</v>
      </c>
      <c r="AA47" s="3">
        <f>0+(564.3-259.4)+(0+(-1.438965--0.66147))+0-31.9--0.0813449999999954</f>
        <v>272.30385000000001</v>
      </c>
      <c r="AB47" s="3">
        <f>0+(621.1-318.2)+(0+(-0.633522--0.324564))+0-31.9--0.0325380000000051</f>
        <v>270.72358000000003</v>
      </c>
      <c r="AC47" s="3">
        <f>0+(661.4-362.5)+(0+(-1.011942--0.554625))+0-31.9--0.0488070000000018</f>
        <v>266.59149000000002</v>
      </c>
      <c r="AD47">
        <v>289.09999999999997</v>
      </c>
      <c r="AE47" s="3">
        <f>0+(551.3-230.7)+(0+(0-0))+0-31.5-0</f>
        <v>289.09999999999997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0+(732.4-444.1)+(0+(-1.494096--0.905964))+0-32--0.0652799999999986</f>
        <v>255.77714799999998</v>
      </c>
      <c r="G48" s="3">
        <f>0+(687.3-407.4)+(0+(-1.752615--1.03887))+0-32--0.0815999999999954</f>
        <v>247.26785499999997</v>
      </c>
      <c r="H48" s="3">
        <f>0+(607.1-335.4)+(0+(-1.238484--0.684216))+0-31.9--0.0650759999999986</f>
        <v>239.31080800000007</v>
      </c>
      <c r="I48" s="3">
        <f>0+(551.4-286)+(0+(-0.843642--0.43758))+0-31.8--0.0486540000000018</f>
        <v>233.24259199999995</v>
      </c>
      <c r="J48" s="3">
        <f>0+(520.6-256.7)+(0+(-1.062024--0.523668))+0-29.9--0.0609959999999987</f>
        <v>233.52264</v>
      </c>
      <c r="K48" s="3">
        <f>0+(470.5-207.1)+(0+(-0.719865--0.316863))+0-31.8--0.0486540000000018</f>
        <v>231.24565199999995</v>
      </c>
      <c r="L48" s="3">
        <f>0+(405.2-157.7)+(0+(-1.03326--0.402135))+0-31.8--0.0810899999999954</f>
        <v>215.14996499999998</v>
      </c>
      <c r="M48" s="3">
        <f>0+(421.6-171)+(0+(0.430032-0.17442))+0-31.7-0.0323340000000051</f>
        <v>219.12327800000006</v>
      </c>
      <c r="N48" s="3">
        <f>0+(403.5-141.6)+(0+(-0.205785--0.072216))+0-31.8--0.0162179999999968</f>
        <v>229.98264899999995</v>
      </c>
      <c r="O48" s="3">
        <f>0+(380.5-108.8)+(0+(-0.38811--0.110976))+0-31.7--0.0323340000000051</f>
        <v>239.7552</v>
      </c>
      <c r="P48" s="3">
        <f>0+(372.5-93)+(0+(-0.7599--0.18972))+0-30.7--0.0626279999999987</f>
        <v>248.29244800000001</v>
      </c>
      <c r="Q48" s="3">
        <f>0+(393-107.3)+(0+(-0.60129--0.164169))+0-31.7--0.0485010000000018</f>
        <v>253.61138000000003</v>
      </c>
      <c r="R48" s="3">
        <f>0+(451.8-166)+(0+(-0.921672--0.33864))+0-31.8--0.0648719999999986</f>
        <v>253.48184000000001</v>
      </c>
      <c r="S48" s="3">
        <f>0+(475-194.5)+(0+(-1.21125--0.495975))+0-31.7--0.0808349999999954</f>
        <v>248.16556</v>
      </c>
      <c r="T48" s="3">
        <f>0+(442.4-159.7)+(0+(-0.451248--0.162894))+0-31.1--0.031722000000005</f>
        <v>251.34336799999997</v>
      </c>
      <c r="U48" s="3">
        <f>0+(418.7-140)+(0+(-0.854148--0.2856))+0-29.1--0.0593639999999987</f>
        <v>249.09081599999996</v>
      </c>
      <c r="V48" s="3">
        <f>0+(415-138.1)+(0+(0-0))+0-30.4-0</f>
        <v>246.49999999999997</v>
      </c>
      <c r="W48" s="3">
        <f>0+(405.7-125.9)+(0+(-0.620721--0.192627))+0-31.1--0.0475830000000018</f>
        <v>248.31948899999998</v>
      </c>
      <c r="X48" s="3">
        <f>0+(367.6-89.9)+(0+(-0.749904--0.183396))+0-31.9--0.0650759999999986</f>
        <v>245.29856800000005</v>
      </c>
      <c r="Y48" s="3">
        <f>0+(380.8-92.2)+(0+(-0.776832--0.188088))+0-31.7--0.0646679999999986</f>
        <v>256.375924</v>
      </c>
      <c r="Z48" s="3">
        <f>0+(534.1-221.8)+(0+(-0.817173--0.339354))+0-31.9--0.0488070000000018</f>
        <v>279.97098800000003</v>
      </c>
      <c r="AA48" s="3">
        <f>0+(553.3-240.7)+(0+(-1.128732--0.491028))+0-32--0.0652799999999986</f>
        <v>280.02757599999995</v>
      </c>
      <c r="AB48" s="3">
        <f>0+(612.4-301.7)+(0+(-0.624648--0.307734))+0-32.4--0.0330480000000052</f>
        <v>278.01613400000002</v>
      </c>
      <c r="AC48" s="3">
        <f>0+(596.5-303.6)+(0+(-1.21686--0.619344))+0-32.2--0.0656879999999986</f>
        <v>260.16817200000003</v>
      </c>
      <c r="AD48">
        <v>279.10000000000008</v>
      </c>
      <c r="AE48" s="3">
        <f>0+(541.2-230.4)+(0+(0-0))+0-31.7-0</f>
        <v>279.10000000000008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0+(595.6-315.3)+(0+(0-0))+0-32-0</f>
        <v>248.3</v>
      </c>
      <c r="G49" s="3">
        <f>0+(523.9-252.3)+(0+(-0.267189--0.128673))+0-32--0.0163199999999968</f>
        <v>239.47780399999999</v>
      </c>
      <c r="H49" s="3">
        <f>0+(462.9-200.9)+(0+(-1.652553--0.717213))+0-28.6--0.102102</f>
        <v>232.56676200000001</v>
      </c>
      <c r="I49" s="3">
        <f>0+(456.3-194.4)+(0+(-0.698139--0.297432))+0-32--0.0489600000000018</f>
        <v>229.54825299999996</v>
      </c>
      <c r="J49" s="3">
        <f>0+(440.5-177.9)+(0+(0-0))+0-31.9-0</f>
        <v>230.70000000000002</v>
      </c>
      <c r="K49" s="3">
        <f>0+(475.9-212.7)+(0+(-0.242709--0.108477))+0-31.9--0.0162689999999968</f>
        <v>231.18203699999998</v>
      </c>
      <c r="L49" s="3">
        <f>0+(462.1-195.5)+(0+(-0.235671--0.099705))+0-31.9--0.0162689999999968</f>
        <v>234.58030300000001</v>
      </c>
      <c r="M49" s="3">
        <f>0+(503.5-208.2)+(0+(0.256785-0.106182))+0-32.4-0.0165239999999967</f>
        <v>263.03407900000002</v>
      </c>
      <c r="N49" s="3">
        <f>0+(693.3-367)+(0+(0.707166-0.37434))+0-32.6-0.0332520000000052</f>
        <v>293.99957399999994</v>
      </c>
      <c r="O49" s="3">
        <f>0+(796.5-452.3)+(0+(0-0))+0-32.6-0</f>
        <v>311.59999999999997</v>
      </c>
      <c r="P49" s="3">
        <f>0+(772.7-426)+(0+(0-0))+0-32.7-0</f>
        <v>314.00000000000006</v>
      </c>
      <c r="Q49" s="3">
        <f>0+(771.1-415.7)+(0+(0.393261-0.212007))+0-32.8-0.0167279999999967</f>
        <v>322.76452600000005</v>
      </c>
      <c r="R49" s="3">
        <f>0+(796.8-443.7)+(0+(0.812736-0.452574))+0-32.6-0.0332520000000052</f>
        <v>320.82690999999994</v>
      </c>
      <c r="S49" s="3">
        <f>0+(801.7-461)+(0+(-0.408867--0.23511))+0-32.5--0.0165749999999967</f>
        <v>308.04281800000001</v>
      </c>
      <c r="T49" s="3">
        <f>4+(813.5-479.1)+(0+(0-0))+0-32.4-0</f>
        <v>306</v>
      </c>
      <c r="U49" s="3">
        <f>52+(796.3-514.1)+(0+(0-0))+0-32.6-0</f>
        <v>301.59999999999991</v>
      </c>
      <c r="V49" s="3">
        <f>52+(826.8-547.6)+(-0.10608+(-1.686672--1.117104))+0-32.7--0.0667079999999986</f>
        <v>297.89105999999992</v>
      </c>
      <c r="W49" s="3">
        <f>51+(836.7-561.9)+(-0.10404+(-1.706868--1.146276))+0-32.5--0.0662999999999986</f>
        <v>292.7016680000001</v>
      </c>
      <c r="X49" s="3">
        <f>51+(755.6-491.6)+(-0.20808+(-3.082848--2.005728))+0-32.8--0.133823999999997</f>
        <v>281.04862400000002</v>
      </c>
      <c r="Y49" s="3">
        <f>50+(624.2-352.6)+(-0.1275+(-1.59171--0.89913))+0-32.8--0.0836399999999952</f>
        <v>288.06356</v>
      </c>
      <c r="Z49" s="3">
        <f>75+(683-410.4)+(-0.11475+(-1.04499--0.627912))+0-33--0.0504900000000019</f>
        <v>314.11866200000003</v>
      </c>
      <c r="AA49" s="3">
        <f>100+(667.8-427.8)+(-0.306+(-2.043468--1.309068))+0-33--0.100980000000004</f>
        <v>306.06057999999996</v>
      </c>
      <c r="AB49" s="3">
        <f>20+(706.3-385.9)+(-0.0204+(-0.720426--0.393618))+0-32.6--0.0332520000000052</f>
        <v>307.48604399999994</v>
      </c>
      <c r="AC49" s="3">
        <f>0+(755-424.1)+(0+(-0.7701--0.432582))+0-32.4--0.0330480000000052</f>
        <v>298.19553000000002</v>
      </c>
      <c r="AD49">
        <v>311.59999999999997</v>
      </c>
      <c r="AE49" s="3">
        <f>120+(643.9-419.5)+(0+(0-0))+0-32.8-0</f>
        <v>311.59999999999997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0+(678.3-365)+(0+(-1.729665--0.93075))+0-31.8--0.0810899999999954</f>
        <v>280.78217499999994</v>
      </c>
      <c r="G50" s="3">
        <f>0+(485-183.2)+(0+(-0.4947--0.186864))+0-30.8--0.0314160000000049</f>
        <v>270.72357999999997</v>
      </c>
      <c r="H50" s="3">
        <f>0+(481.5-180.6)+(0+(-0.49113--0.184212))+0-30.6--0.0312120000000049</f>
        <v>270.02429399999994</v>
      </c>
      <c r="I50" s="3">
        <f>0+(497-195)+(0+(0-0))+0-31.3-0</f>
        <v>270.7</v>
      </c>
      <c r="J50" s="3">
        <f>0+(518-220.7)+(0+(0.52836-0.225114))+0-32.2-0.0328440000000051</f>
        <v>265.37040200000001</v>
      </c>
      <c r="K50" s="3">
        <f>0+(527.2-229.2)+(0+(-1.34436--0.58446))+0-32.5--0.0828749999999953</f>
        <v>264.82297500000004</v>
      </c>
      <c r="L50" s="3">
        <f>0+(512.3-218.2)+(0+(-1.306365--0.55641))+0-32.4--0.0826199999999953</f>
        <v>261.03266500000001</v>
      </c>
      <c r="M50" s="3">
        <f>0+(580.1-262.8)+(0+(0-0))+0-32.4-0</f>
        <v>284.90000000000003</v>
      </c>
      <c r="N50" s="3">
        <f>0+(756.6-409.9)+(0+(-0.771732--0.418098))+0-32.2--0.0328440000000051</f>
        <v>314.17921000000007</v>
      </c>
      <c r="O50" s="3">
        <f>0+(783.8-439.6)+(0+(-1.598952--0.896784))+0-33--0.0673199999999986</f>
        <v>310.56515199999996</v>
      </c>
      <c r="P50" s="3">
        <f>0+(709.7-342.4)+(0+(-0.361947--0.174624))+0-32--0.0163199999999968</f>
        <v>335.12899700000008</v>
      </c>
      <c r="Q50" s="3">
        <f>0+(705-335.2)+(0+(0-0))+0-32-0</f>
        <v>337.8</v>
      </c>
      <c r="R50" s="3">
        <f>0+(719-351.7)+(0+(-1.46676--0.717468))+0-32.1--0.0654839999999986</f>
        <v>334.51619199999999</v>
      </c>
      <c r="S50" s="3">
        <f>0+(793-434.3)+(0+(-2.42658--1.328958))+0-32.2--0.0985320000000037</f>
        <v>325.50090999999998</v>
      </c>
      <c r="T50" s="3">
        <f>0+(870.6-513.3)+(0+(-1.776024--1.047132))+0-32.1--0.0654839999999986</f>
        <v>324.5365920000001</v>
      </c>
      <c r="U50" s="3">
        <f>0+(841.7-495.4)+(0+(0-0))+0-32-0</f>
        <v>314.30000000000007</v>
      </c>
      <c r="V50" s="3">
        <f>0+(819.4-477.5)+(0+(-2.08947--1.217625))+0-32.1--0.0818549999999953</f>
        <v>309.01000999999997</v>
      </c>
      <c r="W50" s="3">
        <f>0+(726.6-393.1)+(0+(-1.85283--1.002405))+0-31.8--0.0810899999999954</f>
        <v>300.93066500000003</v>
      </c>
      <c r="X50" s="3">
        <f>0+(646.7-316.2)+(0+(-1.319268--0.645048))+0-31.8--0.0648719999999986</f>
        <v>298.09065200000003</v>
      </c>
      <c r="Y50" s="3">
        <f>0+(620.3-289.2)+(0+(-0.316353--0.147492))+0-31.6--0.0161159999999968</f>
        <v>299.34725499999996</v>
      </c>
      <c r="Z50" s="3">
        <f>0+(699.2-345.9)+(0+(-0.356592--0.176409))+0-31.9--0.0162689999999968</f>
        <v>321.23608600000011</v>
      </c>
      <c r="AA50" s="3">
        <f>0+(595.5-247.9)+(0+(-0.303705--0.126429))+0-31.9--0.0162689999999968</f>
        <v>315.53899300000006</v>
      </c>
      <c r="AB50" s="3">
        <f>0+(619.5-281.2)+(0+(-0.315945--0.143412))+0-31.8--0.0162179999999968</f>
        <v>306.34368499999999</v>
      </c>
      <c r="AC50" s="3">
        <f>0+(689.7-369)+(0+(-1.758735--0.94095))+0-32--0.0815999999999954</f>
        <v>287.96381500000001</v>
      </c>
      <c r="AD50">
        <v>327.9</v>
      </c>
      <c r="AE50" s="3">
        <f>0+(690.8-331)+(0+(0-0))+0-31.9-0</f>
        <v>327.9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0+(678.6-363.8)+(0+(-0.692172--0.371076))+0-32--0.0326400000000051</f>
        <v>282.51154400000001</v>
      </c>
      <c r="G51" s="3">
        <f>0+(655.5-344.6)+(0+(-1.33722--0.702984))+0-32--0.0652799999999986</f>
        <v>278.33104399999996</v>
      </c>
      <c r="H51" s="3">
        <f>0+(579.9-277.2)+(0+(0-0))+0-32-0</f>
        <v>270.7</v>
      </c>
      <c r="I51" s="3">
        <f>0+(563.6-261.8)+(0+(-1.43718--0.66759))+0-31.9--0.0813449999999954</f>
        <v>269.21175500000004</v>
      </c>
      <c r="J51" s="3">
        <f>0+(519.6-220.1)+(0+(-1.32498--0.561255))+0-31.2--0.0795599999999955</f>
        <v>267.615835</v>
      </c>
      <c r="K51" s="3">
        <f>0+(551.1-256.1)+(0+(-0.562122--0.261222))+0-31.8--0.0324360000000051</f>
        <v>262.93153599999999</v>
      </c>
      <c r="L51" s="3">
        <f>0+(475.9-186.6)+(0+(-1.698963--0.666162))+0-31.7--0.113169</f>
        <v>256.68036799999999</v>
      </c>
      <c r="M51" s="3">
        <f>0+(500.1-197.2)+(0+(0.765153-0.301716))+0-32.2-0.0492660000000019</f>
        <v>271.11417100000006</v>
      </c>
      <c r="N51" s="3">
        <f>0+(612.5-283.1)+(0+(0.62475-0.288762))+0-32.6-0.0332520000000052</f>
        <v>297.10273599999994</v>
      </c>
      <c r="O51" s="3">
        <f>0+(687.7-335.6)+(0+(-0.701454--0.342312))+0-32.7--0.0333540000000052</f>
        <v>319.07421200000005</v>
      </c>
      <c r="P51" s="3">
        <f>122+(628-383.1)+(-0.18666+(-0.96084--0.586143))+0-32.7--0.0500310000000019</f>
        <v>333.68867399999999</v>
      </c>
      <c r="Q51" s="3">
        <f>122+(620.2-379)+(0.06222+(0.316302-0.19329))+0-32.6-0.0166259999999967</f>
        <v>330.76860600000003</v>
      </c>
      <c r="R51" s="3">
        <f>122+(641.7-394.4)+(-0.12444+(-0.654534--0.402288))+0-32.5--0.0331500000000052</f>
        <v>336.45646400000004</v>
      </c>
      <c r="S51" s="3">
        <f>122+(708.4-486.2)+(-0.12444+(-0.722568--0.495924))+0-23.8--0.0242760000000038</f>
        <v>320.07319199999995</v>
      </c>
      <c r="T51" s="3">
        <f>121+(777.3-540.2)+(-0.12342+(-0.792846--0.551004))+0-32.5--0.0331500000000052</f>
        <v>325.26788799999991</v>
      </c>
      <c r="U51" s="3">
        <f>121+(793.5-562.4)+(-0.30855+(-2.023425--1.43412))+0-32.6--0.0831299999999953</f>
        <v>318.68527499999999</v>
      </c>
      <c r="V51" s="3">
        <f>120+(880-650.3)+(-0.1224+(-0.8976--0.663306))+0-32.5--0.0331500000000052</f>
        <v>316.87645600000002</v>
      </c>
      <c r="W51" s="3">
        <f>121+(808.5-589.7)+(-0.43197+(-2.886345--2.105229))+0-32.5--0.116025</f>
        <v>306.20293899999996</v>
      </c>
      <c r="X51" s="3">
        <f>92+(758.4-520.7)+(-0.32844+(-2.707488--1.858899))+0-29.7--0.106029</f>
        <v>298.92899999999992</v>
      </c>
      <c r="Y51" s="3">
        <f>50+(671.5-389.3)+(-0.051+(-0.68493--0.397086))+0-31.6--0.032232000000005</f>
        <v>300.29338799999999</v>
      </c>
      <c r="Z51" s="3">
        <f>79+(667.7-385.8)+(-0.12087+(-1.021581--0.590274))+0-32.5--0.0497250000000019</f>
        <v>327.89754800000009</v>
      </c>
      <c r="AA51" s="3">
        <f>119+(701.5-468.6)+(-0.30345+(-1.788825--1.19493))+0-31.8--0.0810899999999954</f>
        <v>319.28374500000001</v>
      </c>
      <c r="AB51" s="3">
        <f>53+(752-457.1)+(0+(0-0))+0-32.4-0</f>
        <v>315.5</v>
      </c>
      <c r="AC51" s="3">
        <f>53+(749.6-465.4)+(-0.16218+(-2.293776--1.424124))+0-32.4--0.0991440000000037</f>
        <v>303.86731200000008</v>
      </c>
      <c r="AD51">
        <v>322.5</v>
      </c>
      <c r="AE51" s="3">
        <f>122+(705.9-473)+(0+(0-0))+0-32.4-0</f>
        <v>322.5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22+(733-430.3)+(0+(0-0))+0-32.4-0</f>
        <v>292.3</v>
      </c>
      <c r="G52" s="3">
        <f>0+(659.6-345.3)+(0+(-1.345584--0.704412))+0-32.1--0.0654839999999986</f>
        <v>281.62431200000003</v>
      </c>
      <c r="H52" s="3">
        <f>0+(579.2-273.1)+(0+(-0.886176--0.417843))+0-32.2--0.0492660000000019</f>
        <v>273.48093300000005</v>
      </c>
      <c r="I52" s="3">
        <f>0+(582.6-283.9)+(0+(-0.594252--0.289578))+0-28.3--0.0288660000000045</f>
        <v>270.12419200000005</v>
      </c>
      <c r="J52" s="3">
        <f>0+(565.1-268.9)+(0+(-1.152804--0.548556))+0-31.3--0.0638519999999986</f>
        <v>264.35960400000005</v>
      </c>
      <c r="K52" s="3">
        <f>0+(530.6-231.1)+(0+(-1.35303--0.589305))+0-32.3--0.0823649999999953</f>
        <v>266.51863999999995</v>
      </c>
      <c r="L52" s="3">
        <f>0+(488.9-192.7)+(0+(-0.498678--0.196554))+0-32.3--0.0329460000000051</f>
        <v>263.63082199999997</v>
      </c>
      <c r="M52" s="3">
        <f>13+(530-221.8)+(-0.03978+(-1.6218--0.678708))+0-32.8--0.100368000000004</f>
        <v>287.51749599999999</v>
      </c>
      <c r="N52" s="3">
        <f>99+(546.4-299.8)+(0.10098+(0.557328-0.305796))+0-32.6-0.0332520000000052</f>
        <v>313.31925999999993</v>
      </c>
      <c r="O52" s="3">
        <f>124+(575.2-340.2)+(0+(0-0))+0-32.1-0</f>
        <v>326.90000000000003</v>
      </c>
      <c r="P52" s="3">
        <f>122+(534.4-330.3)+(-0.12444+(-0.545088--0.336906))+0-33.2--0.0338640000000053</f>
        <v>292.60124199999996</v>
      </c>
      <c r="Q52" s="3">
        <f>94+(557.2-276.6)+(-0.09588+(-0.568344--0.282132))+0-32.7--0.0333540000000052</f>
        <v>341.55126200000007</v>
      </c>
      <c r="R52" s="3">
        <f>50+(608.4-290.5)+(-0.051+(-0.620568--0.29631))+0-32.5--0.0331500000000052</f>
        <v>335.05789199999998</v>
      </c>
      <c r="S52" s="3">
        <f>51+(671.4-370.8)+(0+(0-0))+0-32.3-0</f>
        <v>319.29999999999995</v>
      </c>
      <c r="T52" s="3">
        <f>109+(773.7-525.4)+(0.05559+(0.394587-0.267954))+0-32.4-0.0165239999999967</f>
        <v>325.06569900000011</v>
      </c>
      <c r="U52" s="3">
        <f>120+(804.6-570.4)+(-0.0612+(-0.410346--0.290904))+0-32.5--0.0165749999999967</f>
        <v>321.53593300000006</v>
      </c>
      <c r="V52" s="3">
        <f>120+(826.5-597.8)+(-0.306+(-2.107575--1.52439))+0-32.3--0.0823649999999953</f>
        <v>315.59318000000002</v>
      </c>
      <c r="W52" s="3">
        <f>94+(849.5-597.9)+(-0.33558+(-3.032715--2.134503))+0-32.5--0.116025</f>
        <v>311.98223300000001</v>
      </c>
      <c r="X52" s="3">
        <f>51+(824.7-535.2)+(-0.10404+(-1.682388--1.091808))+0-32.5--0.0662999999999986</f>
        <v>307.37168000000003</v>
      </c>
      <c r="Y52" s="3">
        <f>50+(786.5-495.1)+(-0.1275+(-2.005575--1.262505))+0-32.5--0.0828749999999953</f>
        <v>308.11230499999999</v>
      </c>
      <c r="Z52" s="3">
        <f>75+(732.3-446.6)+(-0.11475+(-1.120419--0.683298))+0-32.5--0.0497250000000019</f>
        <v>327.69785399999995</v>
      </c>
      <c r="AA52" s="3">
        <f>122+(791.3-557.4)+(0+(0-0))+0-32.6-0</f>
        <v>323.29999999999995</v>
      </c>
      <c r="AB52" s="3">
        <f>123+(812.8-586.4)+(-0.06273+(-0.414528--0.299064))+0-32.5--0.0165749999999967</f>
        <v>316.73838099999995</v>
      </c>
      <c r="AC52" s="3">
        <f>93+(843.7-603.6)+(-0.04743+(-0.430287--0.307836))+0-32.6--0.0166259999999967</f>
        <v>300.346745</v>
      </c>
      <c r="AD52">
        <v>328.4</v>
      </c>
      <c r="AE52" s="3">
        <f>122+(799.1-560.2)+(0+(0-0))+0-32.5-0</f>
        <v>328.4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0+(655-339.4)+(0+(-0.33405--0.173094))+0-32.6--0.0166259999999967</f>
        <v>282.85566999999998</v>
      </c>
      <c r="G53" s="3">
        <f>0+(546-236.4)+(0+(-0.83538--0.361692))+0-32.4--0.0495720000000019</f>
        <v>276.77588400000008</v>
      </c>
      <c r="H53" s="3">
        <f>0+(480.6-179)+(0+(-1.22553--0.45645))+0-32.2--0.0821099999999953</f>
        <v>268.71303000000006</v>
      </c>
      <c r="I53" s="3">
        <f>0+(503.7-211.1)+(0+(-1.284435--0.538305))+0-32.3--0.0823649999999953</f>
        <v>259.636235</v>
      </c>
      <c r="J53" s="3">
        <f>0+(495.7-204.3)+(0+(0.252807-0.104193))+0-32.3-0.0164729999999967</f>
        <v>259.23214099999996</v>
      </c>
      <c r="K53" s="3">
        <f>0+(494.3-203.7)+(0+(-0.252093--0.103887))+0-32.1--0.0163709999999967</f>
        <v>258.36816499999998</v>
      </c>
      <c r="L53" s="3">
        <f>0+(469.4-186)+(0+(-0.957576--0.37944))+0-32--0.0652799999999986</f>
        <v>250.88714400000001</v>
      </c>
      <c r="M53" s="3">
        <f>36+(475.2-202.4)+(0.03672+(0.484704-0.206448))+0-31.3-0.031926000000005</f>
        <v>277.78304999999995</v>
      </c>
      <c r="N53" s="3">
        <f>51+(460.4-194.2)+(0.05202+(0.469608-0.198084))+0-12.6-0.012852000000002</f>
        <v>304.91069199999998</v>
      </c>
      <c r="O53" s="3">
        <f>51+(329.3-32)+(0.02601+(0.167943-0.01632))+0-32.8-0.0167279999999967</f>
        <v>315.66090500000001</v>
      </c>
      <c r="P53" s="3">
        <f>52+(363.4-68.4)+(-0.02652+(-0.185334--0.034884))+0-32.7--0.0166769999999967</f>
        <v>314.13970700000004</v>
      </c>
      <c r="Q53" s="3">
        <f>118+(354.3-125.5)+(-0.18054+(-0.542079--0.192015))+0-32.5--0.0497250000000019</f>
        <v>313.81912100000005</v>
      </c>
      <c r="R53" s="3">
        <f>117+(369.8-143.1)+(-0.11934+(-0.377196--0.145962))+0-32.6--0.0332520000000052</f>
        <v>310.78267800000003</v>
      </c>
      <c r="S53" s="3">
        <f>117+(368.9-149.8)+(-0.11934+(-0.376278--0.152796))+0-32.6--0.0332520000000052</f>
        <v>303.19042999999994</v>
      </c>
      <c r="T53" s="3">
        <f>116+(453.8-238.9)+(-0.05916+(-0.231438--0.121839))+0-32.6--0.0166259999999967</f>
        <v>298.14786699999991</v>
      </c>
      <c r="U53" s="3">
        <f>116+(446.4-231.1)+(-0.2958+(-1.13832--0.589305))+0-32.6--0.0831299999999953</f>
        <v>297.93831499999993</v>
      </c>
      <c r="V53" s="3">
        <f>116+(467.4-256.1)+(-0.05916+(-0.238374--0.130611))+0-32.6--0.0166259999999967</f>
        <v>294.54970299999991</v>
      </c>
      <c r="W53" s="3">
        <f>98+(482.1-255.8)+(-0.34986+(-1.721097--0.913206))+0-32.6--0.116382</f>
        <v>290.65863099999996</v>
      </c>
      <c r="X53" s="3">
        <f>50+(622.2-353.7)+(-0.102+(-1.269288--0.721548))+0-32.5--0.0662999999999986</f>
        <v>285.41656000000006</v>
      </c>
      <c r="Y53" s="3">
        <f>50+(649.5-386.1)+(-0.102+(-1.32498--0.787644))+0-32.4--0.0660959999999986</f>
        <v>280.42676</v>
      </c>
      <c r="Z53" s="3">
        <f>64+(613.4-338.3)+(-0.09792+(-0.938502--0.517599))+0-32.5--0.0497250000000019</f>
        <v>306.13090199999999</v>
      </c>
      <c r="AA53" s="3">
        <f>105+(631.1-403.9)+(-0.2142+(-1.287444--0.823956))+0-32.3--0.0658919999999986</f>
        <v>299.28820400000006</v>
      </c>
      <c r="AB53" s="3">
        <f>50+(660-378.1)+(-0.051+(-0.6732--0.385662))+0-32.4--0.0330480000000052</f>
        <v>299.19450999999998</v>
      </c>
      <c r="AC53" s="3">
        <f>50+(634-354.2)+(-0.102+(-1.29336--0.722568))+0-32.4--0.0660959999999986</f>
        <v>296.79330400000003</v>
      </c>
      <c r="AD53">
        <v>298.3</v>
      </c>
      <c r="AE53" s="3">
        <f>119+(637.6-426)+(0+(0-0))+0-32.3-0</f>
        <v>298.3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0+(594.4-326.6)+(0+(-0.909432--0.499698))+0-26.1--0.0399330000000015</f>
        <v>241.33019899999994</v>
      </c>
      <c r="G54" s="3">
        <f>0+(579.3-268.3)+(0+(-0.886329--0.410499))+0-32.4--0.0495720000000019</f>
        <v>278.173742</v>
      </c>
      <c r="H54" s="3">
        <f>0+(575.7-274.5)+(0+(-1.174428--0.55998))+0-32.4--0.0660959999999986</f>
        <v>268.2516480000001</v>
      </c>
      <c r="I54" s="3">
        <f>0+(537.5-237.7)+(0+(0-0))+0-31.3-0</f>
        <v>268.5</v>
      </c>
      <c r="J54" s="3">
        <f>0+(511.6-207.8)+(0+(-0.521832--0.211956))+0-30.7--0.0313140000000049</f>
        <v>272.82143800000006</v>
      </c>
      <c r="K54" s="3">
        <f>0+(437-144.9)+(0+(0-0))+0-30.8-0</f>
        <v>261.3</v>
      </c>
      <c r="L54" s="3">
        <f>0+(406.8-126.8)+(0+(-1.03734--0.32334))+0-31.5--0.0803249999999954</f>
        <v>247.86632499999999</v>
      </c>
      <c r="M54" s="3">
        <f>0+(406.2-131.4)+(0+(0.414324-0.134028))+0-30.8-0.0314160000000049</f>
        <v>244.24887999999996</v>
      </c>
      <c r="N54" s="3">
        <f>0+(363.6-76.6)+(0+(0.185436-0.039066))+0-31.6-0.0161159999999968</f>
        <v>255.53025399999999</v>
      </c>
      <c r="O54" s="3">
        <f>0+(416.2-123.8)+(0+(-0.424524--0.126276))+0-31.7--0.0323340000000051</f>
        <v>260.43408599999998</v>
      </c>
      <c r="P54" s="3">
        <f>0+(404.3-104.7)+(0+(-0.206193--0.053397))+0-31.5--0.0160649999999968</f>
        <v>267.96326899999997</v>
      </c>
      <c r="Q54" s="3">
        <f>0+(422-119)+(0+(0.43044-0.12138))+0-31.5-0.032130000000005</f>
        <v>271.77692999999999</v>
      </c>
      <c r="R54" s="3">
        <f>0+(443.9-135.5)+(0+(0.905556-0.27642))+0-31.3-0.0638519999999986</f>
        <v>277.66528399999999</v>
      </c>
      <c r="S54" s="3">
        <f>0+(439.5-138.3)+(0+(-0.224145--0.070533))+0-31.4--0.0160139999999968</f>
        <v>269.66240199999999</v>
      </c>
      <c r="T54" s="3">
        <f>0+(402.7-106.6)+(0+(-1.026885--0.27183))+0-32.1--0.0818549999999953</f>
        <v>263.32679999999999</v>
      </c>
      <c r="U54" s="3">
        <f>0+(409.4-120.7)+(0+(-0.835176--0.246228))+0-32.6--0.0665039999999986</f>
        <v>255.57755599999999</v>
      </c>
      <c r="V54" s="3">
        <f>0+(432.6-143.7)+(0+(-0.661878--0.219861))+0-32.5--0.0497250000000019</f>
        <v>256.00770800000004</v>
      </c>
      <c r="W54" s="3">
        <f>0+(397.8-111.3)+(0+(-1.217268--0.340578))+0-29.8--0.0911880000000034</f>
        <v>255.91449800000001</v>
      </c>
      <c r="X54" s="3">
        <f>0+(416.6-129.2)+(0+(-1.06233--0.32946))+0-32.2--0.0821099999999953</f>
        <v>254.54924000000005</v>
      </c>
      <c r="Y54" s="3">
        <f>0+(500.2-208.6)+(0+(0-0))+0-32.2-0</f>
        <v>259.40000000000003</v>
      </c>
      <c r="Z54" s="3">
        <f>0+(546.6-227.1)+(0+(-1.115064--0.463284))+0-32.5--0.0662999999999986</f>
        <v>286.41452000000004</v>
      </c>
      <c r="AA54" s="3">
        <f>0+(574-260.2)+(0+(-0.87822--0.398106))+0-27.6--0.0422280000000016</f>
        <v>285.762114</v>
      </c>
      <c r="AB54" s="3">
        <f>0+(605.1-310.7)+(0+(0-0))+0-10.6-0</f>
        <v>283.8</v>
      </c>
      <c r="AC54" s="3">
        <f>0+(610.2-303.5)+(0+(-0.622404--0.30957))+0-32.4--0.0330480000000052</f>
        <v>274.02021400000007</v>
      </c>
      <c r="AD54">
        <v>296</v>
      </c>
      <c r="AE54" s="3">
        <f>0+(552.7-224.1)+(0+(0-0))+0-32.6-0</f>
        <v>296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0+(583.8-297.7)+(0+(-0.893214--0.455481))+0-32.4--0.0495720000000019</f>
        <v>253.31183899999999</v>
      </c>
      <c r="G55" s="3">
        <f>0+(514.9-232.8)+(0+(-1.312995--0.59364))+0-32.3--0.0823649999999953</f>
        <v>249.16300999999993</v>
      </c>
      <c r="H55" s="3">
        <f>0+(471-197.7)+(0+(0.24021-0.100827))+0-32.4-0.0165239999999967</f>
        <v>241.02285900000001</v>
      </c>
      <c r="I55" s="3">
        <f>0+(477-193.9)+(0+(-0.97308--0.395556))+0-32.3--0.0658919999999986</f>
        <v>250.28836800000002</v>
      </c>
      <c r="J55" s="3">
        <f>0+(482.4-201.2)+(0+(-0.738072--0.307836))+0-32.4--0.0495720000000019</f>
        <v>248.41933600000002</v>
      </c>
      <c r="K55" s="3">
        <f>0+(482.5-199.3)+(0+(-0.9843--0.406572))+0-32.3--0.0658919999999986</f>
        <v>250.38816399999999</v>
      </c>
      <c r="L55" s="3">
        <f>0+(434-154.1)+(0+(-1.1067--0.392955))+0-32.1--0.0818549999999953</f>
        <v>247.16810999999996</v>
      </c>
      <c r="M55" s="3">
        <f>0+(471.5-162.7)+(0+(0-0))+0-32-0</f>
        <v>276.8</v>
      </c>
      <c r="N55" s="3">
        <f>0+(521.1-185.7)+(0+(-1.328805--0.473535))+0-31.9--0.0813449999999954</f>
        <v>302.72607500000004</v>
      </c>
      <c r="O55" s="3">
        <f>0+(597.7-248)+(0+(-0.914481--0.37944))+0-32--0.0489600000000018</f>
        <v>317.21391900000009</v>
      </c>
      <c r="P55" s="3">
        <f>0+(710.6-355.2)+(0+(-0.724812--0.362304))+0-32--0.0326400000000051</f>
        <v>323.07013200000006</v>
      </c>
      <c r="Q55" s="3">
        <f>0+(720.4-360.8)+(0+(0-0))+0-32-0</f>
        <v>327.59999999999997</v>
      </c>
      <c r="R55" s="3">
        <f>0+(679.6-322.7)+(0+(-1.039788--0.493731))+0-31.9--0.0488070000000018</f>
        <v>324.50275000000005</v>
      </c>
      <c r="S55" s="3">
        <f>0+(682.5-337.8)+(0+(-1.3923--0.689112))+0-32.1--0.0654839999999986</f>
        <v>311.96229599999998</v>
      </c>
      <c r="T55" s="3">
        <f>0+(644.5-295)+(0+(-1.31478--0.6018))+0-32--0.0652799999999986</f>
        <v>316.85229999999996</v>
      </c>
      <c r="U55" s="3">
        <f>0+(659.6-324.2)+(0+(-0.336396--0.165342))+0-25.5--0.0130049999999974</f>
        <v>309.74195100000003</v>
      </c>
      <c r="V55" s="3">
        <f>0+(679-338.8)+(0+(0-0))+0-32.4-0</f>
        <v>307.8</v>
      </c>
      <c r="W55" s="3">
        <f>0+(606.9-270.8)+(0+(-1.857114--0.828648))+0-32.3--0.0988380000000037</f>
        <v>302.87037199999997</v>
      </c>
      <c r="X55" s="3">
        <f>0+(584-251.1)+(0+(-2.68056--1.152549))+0-32.2--0.147798000000006</f>
        <v>299.31978700000002</v>
      </c>
      <c r="Y55" s="3">
        <f>26+(562.6-261.2)+(-0.02652+(-0.573852--0.266424))+0-32.4--0.0330480000000052</f>
        <v>294.69910000000004</v>
      </c>
      <c r="Z55" s="3">
        <f>50+(532.8-236.9)+(-0.0765+(-0.815184--0.362457))+0-32.5--0.0497250000000019</f>
        <v>312.92049800000001</v>
      </c>
      <c r="AA55" s="3">
        <f>50+(538.1-244.4)+(-0.0765+(-0.823293--0.373932))+0-32.4--0.0495720000000019</f>
        <v>310.82371100000006</v>
      </c>
      <c r="AB55" s="3">
        <f>19+(551.4-238)+(-0.00969+(-0.281214--0.12138))+0-32.4--0.0165239999999967</f>
        <v>299.84699999999998</v>
      </c>
      <c r="AC55" s="3">
        <f>0+(531.2-210.7)+(0+(-0.541824--0.214914))+0-32.3--0.0329460000000051</f>
        <v>287.90603600000003</v>
      </c>
      <c r="AD55">
        <v>313.29999999999995</v>
      </c>
      <c r="AE55" s="3">
        <f>50+(530.8-234.8)+(0+(0-0))+0-32.7-0</f>
        <v>313.29999999999995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0+(417.8-122.7)+(0+(-0.426156--0.125154))+0-29.9--0.0304980000000048</f>
        <v>264.92949600000009</v>
      </c>
      <c r="G56" s="3">
        <f>0+(409.6-117.1)+(0+(-1.253376--0.358326))+0-32.2--0.0985320000000037</f>
        <v>259.50348199999996</v>
      </c>
      <c r="H56" s="3">
        <f>0+(412.4-122.9)+(0+(-0.630972--0.188037))+0-32.2--0.0492660000000019</f>
        <v>256.90633100000002</v>
      </c>
      <c r="I56" s="3">
        <f>0+(424.6-135.6)+(0+(-0.433092--0.138312))+0-32.3--0.0329460000000051</f>
        <v>256.43816599999997</v>
      </c>
      <c r="J56" s="3">
        <f>0+(415-132.2)+(0+(-0.8466--0.269688))+0-32.2--0.0656879999999986</f>
        <v>250.08877600000002</v>
      </c>
      <c r="K56" s="3">
        <f>0+(428-144.9)+(0+(-1.52796--0.517293))+0-31.7--0.113169</f>
        <v>250.50250200000002</v>
      </c>
      <c r="L56" s="3">
        <f>0+(430.9-144.6)+(0+(-0.439518--0.147492))+0-31.7--0.0323340000000051</f>
        <v>254.34030799999994</v>
      </c>
      <c r="M56" s="3">
        <f>0+(460.5-147)+(0+(0.234855-0.07497))+0-31.8-0.0162179999999968</f>
        <v>281.84366699999998</v>
      </c>
      <c r="N56" s="3">
        <f>0+(595.9-254.6)+(0+(0.607818-0.259692))+0-31.9-0.0325380000000051</f>
        <v>309.71558799999997</v>
      </c>
      <c r="O56" s="3">
        <f>0+(635.4-279.8)+(0+(0.972162-0.428094))+0-32.1-0.0491130000000019</f>
        <v>323.99495499999995</v>
      </c>
      <c r="P56" s="3">
        <f>0+(739-383.3)+(0+(0.37689-0.195483))+0-31.5-0.0160649999999968</f>
        <v>324.365342</v>
      </c>
      <c r="Q56" s="3">
        <f>0+(768.4-382.4)+(0+(-1.175652--0.585072))+0-32.1--0.0491130000000019</f>
        <v>353.35853299999997</v>
      </c>
      <c r="R56" s="3">
        <f>0+(662.2-295.7)+(0+(1.013166-0.452421))+0-31.9-0.0488070000000018</f>
        <v>335.11193800000007</v>
      </c>
      <c r="S56" s="3">
        <f>0+(595.8-245.8)+(0+(-0.607716--0.250716))+0-31.9--0.0325380000000051</f>
        <v>317.77553799999993</v>
      </c>
      <c r="T56" s="3">
        <f>0+(618.7-267.3)+(0+(-0.315537--0.136323))+0-31.9--0.0162689999999968</f>
        <v>319.33705500000008</v>
      </c>
      <c r="U56" s="3">
        <f>0+(654.3-307.2)+(0+(-1.334772--0.626688))+0-31.9--0.0650759999999986</f>
        <v>314.55699199999998</v>
      </c>
      <c r="V56" s="3">
        <f>0+(708.6-362.7)+(0+(-0.722772--0.369954))+0-31.9--0.0325380000000051</f>
        <v>313.67972000000003</v>
      </c>
      <c r="W56" s="3">
        <f>0+(668.4-325)+(0+(-2.045304--0.9945))+0-32--0.0979200000000037</f>
        <v>310.44711599999994</v>
      </c>
      <c r="X56" s="3">
        <f>0+(551.8-217.8)+(0+(-1.125672--0.444312))+0-28.7--0.0585479999999987</f>
        <v>304.67718799999994</v>
      </c>
      <c r="Y56" s="3">
        <f>10+(526.8-202.7)+(-0.0051+(-0.268668--0.103377))+0-32.2--0.0164219999999967</f>
        <v>301.74603099999996</v>
      </c>
      <c r="Z56" s="3">
        <f>94+(556.9-302.1)+(-0.09588+(-0.568038--0.308142))+0-31.8--0.0324360000000051</f>
        <v>316.67665999999997</v>
      </c>
      <c r="AA56" s="3">
        <f>123+(555.9-335.2)+(-0.18819+(-0.850527--0.512856))+0-32.3--0.0494190000000019</f>
        <v>310.92355799999996</v>
      </c>
      <c r="AB56" s="3">
        <f>27+(647.2-336.9)+(0+(0-0))+0-32.4-0</f>
        <v>304.90000000000009</v>
      </c>
      <c r="AC56" s="3">
        <f>0+(638.4-315.8)+(0+(-0.976752--0.483174))+0-32.3--0.0494190000000019</f>
        <v>289.85584099999994</v>
      </c>
      <c r="AD56">
        <v>319.8</v>
      </c>
      <c r="AE56" s="3">
        <f>121+(552-322.3)+(0+(0-0))+0-30.9-0</f>
        <v>319.8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0+(635.1-321.2)+(0+(-1.619505--0.81906))+0-32.1--0.0818549999999953</f>
        <v>281.08141000000001</v>
      </c>
      <c r="G57" s="3">
        <f>0+(484.6-185)+(0+(-1.23573--0.47175))+0-32.5--0.0828749999999953</f>
        <v>266.41889500000002</v>
      </c>
      <c r="H57" s="3">
        <f>0+(474.9-183.2)+(0+(-1.210995--0.46716))+0-31--0.0790499999999955</f>
        <v>260.03521499999999</v>
      </c>
      <c r="I57" s="3">
        <f>0+(508.4-216.4)+(0+(-0.518568--0.220728))+0-32.2--0.0328440000000051</f>
        <v>259.53500400000001</v>
      </c>
      <c r="J57" s="3">
        <f>0+(505.1-219.1)+(0+(-0.257601--0.111741))+0-31.2--0.0159119999999968</f>
        <v>254.67005199999997</v>
      </c>
      <c r="K57" s="3">
        <f>0+(514.3-231.1)+(0+(-0.786879--0.353583))+0-31.1--0.0475830000000018</f>
        <v>251.71428699999996</v>
      </c>
      <c r="L57" s="3">
        <f>0+(432.2-144.4)+(0+(-0.440844--0.147288))+0-32.2--0.0328440000000051</f>
        <v>255.33928799999995</v>
      </c>
      <c r="M57" s="3">
        <f>0+(435.5-123.5)+(0+(0-0))+0-32-0</f>
        <v>280</v>
      </c>
      <c r="N57" s="3">
        <f>0+(484.5-139.2)+(0+(0.49419-0.141984))+0-31.8-0.0324360000000051</f>
        <v>313.81977000000001</v>
      </c>
      <c r="O57" s="3">
        <f>0+(615.3-260.6)+(0+(0-0))+0-31.9-0</f>
        <v>322.79999999999995</v>
      </c>
      <c r="P57" s="3">
        <f>0+(812.2-448.2)+(0+(0-0))+0-31.2-0</f>
        <v>332.80000000000007</v>
      </c>
      <c r="Q57" s="3">
        <f>0+(766-392.3)+(0+(0.39066-0.200073))+0-31-0.0158099999999969</f>
        <v>342.87477699999999</v>
      </c>
      <c r="R57" s="3">
        <f>0+(761.3-390.1)+(0+(-1.164789--0.596853))+0-31.8--0.0486540000000018</f>
        <v>338.88071799999994</v>
      </c>
      <c r="S57" s="3">
        <f>0+(814.1-457.4)+(0+(-0.415191--0.233274))+0-32--0.0163199999999968</f>
        <v>324.53440300000005</v>
      </c>
      <c r="T57" s="3">
        <f>0+(793.1-434.7)+(0+(-2.426886--1.330182))+0-32.1--0.0982260000000037</f>
        <v>325.30152200000003</v>
      </c>
      <c r="U57" s="3">
        <f>0+(808.8-474.1)+(0+(-2.474928--1.450746))+0-32.1--0.0982260000000037</f>
        <v>301.67404399999992</v>
      </c>
      <c r="V57" s="3">
        <f>0+(813.7-466.6)+(0+(-2.904909--1.665762))+0-32--0.11424</f>
        <v>313.97509300000002</v>
      </c>
      <c r="W57" s="3">
        <f>0+(741.7-401.6)+(0+(-3.026136--1.638528))+0-32--0.130559999999997</f>
        <v>306.84295200000003</v>
      </c>
      <c r="X57" s="3">
        <f>0+(577.7-241.8)+(0+(-2.062389--0.863226))+0-31.9--0.113883</f>
        <v>302.91472000000005</v>
      </c>
      <c r="Y57" s="3">
        <f>28+(531.3-222)+(-0.05712+(-1.083852--0.45288))+0-31.8--0.0648719999999986</f>
        <v>304.87677999999994</v>
      </c>
      <c r="Z57" s="3">
        <f>51+(507.6-202)+(-0.15606+(-1.553256--0.61812))+0-31.9--0.0976140000000037</f>
        <v>323.70641800000004</v>
      </c>
      <c r="AA57" s="3">
        <f>51+(516.1-211.6)+(-0.10404+(-1.052844--0.431664))+0-31.8--0.0648719999999986</f>
        <v>323.03965199999999</v>
      </c>
      <c r="AB57" s="3">
        <f>22+(517.5-182.1)+(-0.04488+(-1.0557--0.371484))+0-31.8--0.0648719999999986</f>
        <v>324.93577599999992</v>
      </c>
      <c r="AC57" s="3">
        <f>0+(527.7-194.3)+(0+(-0.807381--0.297279))+0-31.9--0.0488070000000018</f>
        <v>301.03870500000005</v>
      </c>
      <c r="AD57">
        <v>319.90000000000003</v>
      </c>
      <c r="AE57" s="3">
        <f>51+(524.1-223.2)+(0+(0-0))+0-32-0</f>
        <v>319.90000000000003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0+(504.4-183.6)+(0+(-0.514488--0.187272))+0-32.6--0.0332520000000052</f>
        <v>287.90603599999992</v>
      </c>
      <c r="G58" s="3">
        <f>0+(425.4-113.5)+(0+(-0.867816--0.23154))+0-32.8--0.0669119999999986</f>
        <v>278.53063599999996</v>
      </c>
      <c r="H58" s="3">
        <f>0+(416.1-113.5)+(0+(-0.424422--0.11577))+0-31.7--0.0323340000000051</f>
        <v>270.62368200000003</v>
      </c>
      <c r="I58" s="3">
        <f>0+(446.2-144.7)+(0+(-0.910248--0.295188))+0-30.2--0.0616079999999987</f>
        <v>270.74654799999996</v>
      </c>
      <c r="J58" s="3">
        <f>0+(420.9-122.3)+(0+(-0.643977--0.187119))+0-32.8--0.0501840000000019</f>
        <v>265.39332599999994</v>
      </c>
      <c r="K58" s="3">
        <f>0+(424.4-131.6)+(0+(-1.298664--0.402696))+0-32.4--0.0991440000000037</f>
        <v>259.60317600000002</v>
      </c>
      <c r="L58" s="3">
        <f>0+(417.4-124)+(0+(-1.06437--0.3162))+0-31.8--0.0810899999999954</f>
        <v>260.93291999999997</v>
      </c>
      <c r="M58" s="3">
        <f>0+(404.8-84.2)+(0+(-0.206448--0.042942))+0-31.8--0.0162179999999968</f>
        <v>288.65271200000001</v>
      </c>
      <c r="N58" s="3">
        <f>0+(527.6-206.9)+(0+(0-0))+0-11.1-0</f>
        <v>309.60000000000002</v>
      </c>
      <c r="O58" s="3">
        <f>0+(567.3-247.8)+(0+(-0.289323--0.126378))+0-0-0</f>
        <v>319.33705499999996</v>
      </c>
      <c r="P58" s="3">
        <f>0+(633.9-304.7)+(0+(0.323289-0.155397))+0-0-0</f>
        <v>329.36789199999998</v>
      </c>
      <c r="Q58" s="3">
        <f>0+(689.9-348.2)+(0+(0.703698-0.355164))+0-0-0</f>
        <v>342.04853399999996</v>
      </c>
      <c r="R58" s="3">
        <f>0+(711.2-370.2)+(0+(-0.725424--0.377604))+0-0-0</f>
        <v>340.65218000000004</v>
      </c>
      <c r="S58" s="3">
        <f>0+(733.4-402.4)+(0+(-1.87017--1.02612))+0-0-0</f>
        <v>330.15595000000002</v>
      </c>
      <c r="T58" s="3">
        <f>0+(756.6-420)+(0+(0-0))+0-0-0</f>
        <v>336.6</v>
      </c>
      <c r="U58" s="3">
        <f>0+(754.6-424.6)+(0+(-1.154538--0.649638))+0-0-0</f>
        <v>329.49509999999998</v>
      </c>
      <c r="V58" s="3">
        <f>0+(745.2-423.4)+(0+(-0.760104--0.431868))+0-0-0</f>
        <v>321.47176400000006</v>
      </c>
      <c r="W58" s="3">
        <f>0+(632.2-306)+(0+(-1.934532--0.93636))+0-3.1--0.00948600000000036</f>
        <v>322.11131399999999</v>
      </c>
      <c r="X58" s="3">
        <f>0+(561.4-245.6)+(0+(-1.717884--0.751536))+0-3.6--0.0110160000000004</f>
        <v>311.24466799999993</v>
      </c>
      <c r="Y58" s="3">
        <f>0+(549.7-239.5)+(0+(-0.841041--0.366435))+0-4.8--0.00734400000000028</f>
        <v>304.93273800000003</v>
      </c>
      <c r="Z58" s="3">
        <f>0+(584.2-251.8)+(0+(-1.191768--0.513672))+0-5.4--0.0110159999999998</f>
        <v>326.33292000000006</v>
      </c>
      <c r="AA58" s="3">
        <f>0+(617.1-287.1)+(0+(-1.573605--0.732105))+0-5.8--0.0147899999999992</f>
        <v>323.37329</v>
      </c>
      <c r="AB58" s="3">
        <f>0+(663.6-338.6)+(0+(0-0))+0-6.8-0</f>
        <v>318.2</v>
      </c>
      <c r="AC58" s="3">
        <f>0+(607-293.3)+(0+(-1.23828--0.598332))+0-7.8--0.0159119999999997</f>
        <v>305.27596399999999</v>
      </c>
      <c r="AD58">
        <v>325.10000000000002</v>
      </c>
      <c r="AE58" s="3">
        <f>0+(605.2-275.3)+(0+(0-0))+0-4.8-0</f>
        <v>325.10000000000002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0+(514.9-210.8)+(0+(-1.050396--0.430032))+0-8.8--0.0179519999999996</f>
        <v>294.69758799999994</v>
      </c>
      <c r="G59" s="3">
        <f>0+(397.9-108.4)+(0+(-0.405858--0.110568))+0-10.8--0.0110160000000017</f>
        <v>278.41572599999995</v>
      </c>
      <c r="H59" s="3">
        <f>0+(368.6-86.5)+(0+(-0.187986--0.044115))+0-11.9--0.00606899999999879</f>
        <v>270.06219800000008</v>
      </c>
      <c r="I59" s="3">
        <f>0+(375.1-92.9)+(0+(-0.382602--0.094758))+0-13.5--0.0137700000000022</f>
        <v>268.42592600000006</v>
      </c>
      <c r="J59" s="3">
        <f>0+(377.5-90.2)+(0+(0-0))+0-14.8-0</f>
        <v>272.5</v>
      </c>
      <c r="K59" s="3">
        <f>0+(387.4-104.5)+(0+(-0.790296--0.21318))+0-14.9--0.0303959999999994</f>
        <v>267.45328000000001</v>
      </c>
      <c r="L59" s="3">
        <f>0+(392.3-103.6)+(0+(-1.000365--0.26418))+0-17.9--0.0456449999999974</f>
        <v>270.10946000000007</v>
      </c>
      <c r="M59" s="3">
        <f>0+(405.3-92.3)+(0+(0-0))+0-19.9-0</f>
        <v>293.10000000000002</v>
      </c>
      <c r="N59" s="3">
        <f>0+(529.9-185.5)+(0+(-0.270249--0.094605))+0-22.3--0.0113729999999977</f>
        <v>321.93572899999998</v>
      </c>
      <c r="O59" s="3">
        <f>0+(662.6-287)+(0+(-0.337926--0.14637))+0-25.3--0.0129029999999974</f>
        <v>350.12134700000001</v>
      </c>
      <c r="P59" s="3">
        <f>0+(713-345.6)+(0+(-0.72726--0.352512))+0-26.3--0.0268260000000042</f>
        <v>340.75207799999998</v>
      </c>
      <c r="Q59" s="3">
        <f>0+(723-355.2)+(0+(0.36873-0.181152))+0-28.1-0.0143309999999971</f>
        <v>339.87324699999999</v>
      </c>
      <c r="R59" s="3">
        <f>0+(721.4-356.4)+(0+(-0.367914--0.181764))+0-29.6--0.015095999999997</f>
        <v>335.22894599999995</v>
      </c>
      <c r="S59" s="3">
        <f>0+(748.6-393.7)+(0+(0.381786-0.200787))+0-28.4-0.0144839999999971</f>
        <v>326.66651500000006</v>
      </c>
      <c r="T59" s="3">
        <f>0+(768-403.9)+(0+(-0.39168--0.205989))+0-28.9--0.0147389999999971</f>
        <v>335.02904800000005</v>
      </c>
      <c r="U59" s="3">
        <f>0+(779.2-417.9)+(0+(-1.98696--1.065645))+0-30.3--0.0772649999999956</f>
        <v>330.15595000000008</v>
      </c>
      <c r="V59" s="3">
        <f>0+(782.9-423)+(0+(-1.597116--0.86292))+0-30.3--0.0618119999999987</f>
        <v>328.92761599999994</v>
      </c>
      <c r="W59" s="3">
        <f>0+(608.6-260.9)+(0+(-1.55193--0.665295))+0-29.9--0.0762449999999957</f>
        <v>316.98961000000003</v>
      </c>
      <c r="X59" s="3">
        <f>0+(625.2-287.9)+(0+(-2.231964--1.027803))+0-30.4--0.108528</f>
        <v>305.80436700000007</v>
      </c>
      <c r="Y59" s="3">
        <f>0+(617.1-281)+(0+(-0.629442--0.28662))+0-30.8--0.0314160000000049</f>
        <v>304.98859399999998</v>
      </c>
      <c r="Z59" s="3">
        <f>0+(599.9-238.8)+(0+(-0.611898--0.243576))+0-30.6--0.0312120000000049</f>
        <v>330.16288999999995</v>
      </c>
      <c r="AA59" s="3">
        <f>0+(658.4-304.3)+(0+(-1.343136--0.620772))+0-30--0.0611999999999987</f>
        <v>323.43883599999992</v>
      </c>
      <c r="AB59" s="3">
        <f>0+(660.7-312.5)+(0+(-1.684785--0.796875))+0-29.8--0.0759899999999957</f>
        <v>317.58808000000005</v>
      </c>
      <c r="AC59" s="3">
        <f>0+(567.6-232.2)+(0+(-0.289476--0.118422))+0-30.9--0.0157589999999969</f>
        <v>304.34470500000003</v>
      </c>
      <c r="AD59">
        <v>330.6</v>
      </c>
      <c r="AE59" s="3">
        <f>0+(613-251.4)+(0+(0-0))+0-31-0</f>
        <v>330.6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0+(512.3-188.3)+(0+(-1.306365--0.480165))+0-31.4--0.0800699999999954</f>
        <v>291.85386999999992</v>
      </c>
      <c r="G60" s="3">
        <f>0+(431.5-111.7)+(0+(-0.220065--0.056967))+0-31.7--0.0161669999999968</f>
        <v>287.95306900000003</v>
      </c>
      <c r="H60" s="3">
        <f>0+(401.9-90.2)+(0+(-0.819876--0.184008))+0-31.8--0.0648719999999986</f>
        <v>279.32900399999994</v>
      </c>
      <c r="I60" s="3">
        <f>0+(410.6-94.9)+(0+(-1.04703--0.241995))+0-31.7--0.0808349999999954</f>
        <v>283.27580000000006</v>
      </c>
      <c r="J60" s="3">
        <f>0+(407.5-88.8)+(0+(-0.623475--0.135864))+0-31.8--0.0486540000000018</f>
        <v>286.46104299999996</v>
      </c>
      <c r="K60" s="3">
        <f>0+(408.2-104.3)+(0+(-0.624546--0.159579))+0-31.8--0.0486540000000018</f>
        <v>271.68368699999996</v>
      </c>
      <c r="L60" s="3">
        <f>0+(410.3-110.9)+(0+(-0.209253--0.056559))+0-31.7--0.0161669999999968</f>
        <v>267.56347299999999</v>
      </c>
      <c r="M60" s="3">
        <f>0+(440.5-119.6)+(0+(-0.224655--0.060996))+0-31.9--0.0162689999999968</f>
        <v>288.85261000000003</v>
      </c>
      <c r="N60" s="3">
        <f>0+(455.4-107.8)+(0+(0.232254-0.054978))+0-32.1-0.0163709999999967</f>
        <v>315.66090499999996</v>
      </c>
      <c r="O60" s="3">
        <f>0+(491.9-126.6)+(0+(-0.752607--0.193698))+0-31.9--0.0488070000000018</f>
        <v>332.88989799999996</v>
      </c>
      <c r="P60" s="3">
        <f>0+(485.2-121.1)+(0+(-0.494904--0.123522))+0-32--0.0326400000000051</f>
        <v>331.76125800000005</v>
      </c>
      <c r="Q60" s="3">
        <f>0+(485.9-119.2)+(0+(-0.495618--0.121584))+0-32.1--0.0327420000000051</f>
        <v>334.25870799999996</v>
      </c>
      <c r="R60" s="3">
        <f>0+(521.4-156.2)+(0+(0.265914-0.079662))+0-32-0.0163199999999968</f>
        <v>333.36993200000001</v>
      </c>
      <c r="S60" s="3">
        <f>0+(529.4-173.1)+(0+(-0.269994--0.088281))+0-32--0.0163199999999968</f>
        <v>324.13460699999996</v>
      </c>
      <c r="T60" s="3">
        <f>0+(553.7-204.3)+(0+(0.282387-0.104193))+0-31.8-0.0162179999999968</f>
        <v>317.76197600000006</v>
      </c>
      <c r="U60" s="3">
        <f>0+(578.7-237.8)+(0+(-0.885411--0.363834))+0-31.8--0.0486540000000018</f>
        <v>308.62707700000004</v>
      </c>
      <c r="V60" s="3">
        <f>0+(596.5-260.4)+(0+(-0.304215--0.132804))+0-31.9--0.0162689999999968</f>
        <v>304.04485800000009</v>
      </c>
      <c r="W60" s="3">
        <f>0+(582.7-253.9)+(0+(-1.485885--0.647445))+0-31.9--0.0813449999999954</f>
        <v>296.1429050000001</v>
      </c>
      <c r="X60" s="3">
        <f>0+(517.6-193.5)+(0+(-1.31988--0.493425))+0-31.8--0.0810899999999954</f>
        <v>291.55463500000002</v>
      </c>
      <c r="Y60" s="3">
        <f>37+(486.8-202.2)+(-0.05661+(-0.744804--0.309366))+0-31.8--0.0486540000000018</f>
        <v>289.356606</v>
      </c>
      <c r="Z60" s="3">
        <f>75.3+(430.2-161.7)+(-0.115209+(-0.658206--0.247401))+0-31.9--0.0488070000000018</f>
        <v>311.42279300000007</v>
      </c>
      <c r="AA60" s="3">
        <f>78.4+(432-164.9)+(-0.19992+(-1.1016--0.420495))+0-31.9--0.0813449999999954</f>
        <v>312.80032</v>
      </c>
      <c r="AB60" s="3">
        <f>50.5+(461-172.9)+(-0.05151+(-0.47022--0.176358))+0-32--0.0326400000000051</f>
        <v>306.28726800000004</v>
      </c>
      <c r="AC60" s="3">
        <f>50.5+(483.9-203.3)+(0+(0-0))+0-32-0</f>
        <v>299.09999999999997</v>
      </c>
      <c r="AD60">
        <v>317.8</v>
      </c>
      <c r="AE60" s="3">
        <f>120+(408-178.3)+(0+(0-0))+0-31.9-0</f>
        <v>317.8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50.5+(495-228.3)+(0+(0-0))+0-31.8-0</f>
        <v>285.39999999999998</v>
      </c>
      <c r="G61" s="3">
        <f>8.5+(490.5-193.5)+(-0.01734+(-1.00062--0.39474))+0-32.4--0.0660959999999986</f>
        <v>272.54287600000004</v>
      </c>
      <c r="H61" s="3">
        <f>0+(427.9-134.5)+(0+(0-0))+0-32.4-0</f>
        <v>261</v>
      </c>
      <c r="I61" s="3">
        <f>0+(419.7-130.1)+(0+(-0.214047--0.066351))+0-32.4--0.0165239999999967</f>
        <v>257.06882800000005</v>
      </c>
      <c r="J61" s="3">
        <f>0+(415.5-122.6)+(0+(0-0))+0-32.3-0</f>
        <v>260.59999999999997</v>
      </c>
      <c r="K61" s="3">
        <f>0+(418.1-132.6)+(0+(-0.852924--0.270504))+0-32.3--0.0658919999999986</f>
        <v>252.68347199999997</v>
      </c>
      <c r="L61" s="3">
        <f>0+(446.2-177.1)+(0+(-2.048058--0.812889))+0-32.2--0.147798000000006</f>
        <v>235.81262900000004</v>
      </c>
      <c r="M61" s="3">
        <f>0+(451.5-176.9)+(0+(0.230265-0.090219))+0-32.3-0.0164729999999967</f>
        <v>242.423573</v>
      </c>
      <c r="N61" s="3">
        <f>0+(460.4-172.7)+(0+(-0.469608--0.176154))+0-32.3--0.0329460000000051</f>
        <v>255.13949199999999</v>
      </c>
      <c r="O61" s="3">
        <f>0+(430.4-130.3)+(0+(0-0))+0-32.5-0</f>
        <v>267.59999999999997</v>
      </c>
      <c r="P61" s="3">
        <f>0+(462.1-156.1)+(0+(-0.235671--0.079611))+0-32.4--0.0165239999999967</f>
        <v>273.460464</v>
      </c>
      <c r="Q61" s="3">
        <f>0+(487.2-177.5)+(0+(0.496944-0.18105))+0-32.5-0.0331500000000052</f>
        <v>277.48274400000003</v>
      </c>
      <c r="R61" s="3">
        <f>0+(497.3-189.6)+(0+(-0.760869--0.290088))+0-32.4--0.0495720000000019</f>
        <v>274.87879100000009</v>
      </c>
      <c r="S61" s="3">
        <f>0+(523.4-221)+(0+(0-0))+0-32.4-0</f>
        <v>270</v>
      </c>
      <c r="T61" s="3">
        <f>0+(627.4-325.5)+(0+(-0.959922--0.498015))+0-32.4--0.0495720000000019</f>
        <v>269.08766500000002</v>
      </c>
      <c r="U61" s="3">
        <f>0+(596-302.3)+(0+(-0.30396--0.154173))+0-32.3--0.0164729999999967</f>
        <v>261.26668599999999</v>
      </c>
      <c r="V61" s="3">
        <f>0+(618.1-332)+(0+(0.315231-0.16932))+0-32.4-0.0165239999999967</f>
        <v>253.82938700000003</v>
      </c>
      <c r="W61" s="3">
        <f>0+(669.8-378.7)+(0+(-1.70799--0.965685))+0-32.5--0.0828749999999953</f>
        <v>257.94056999999998</v>
      </c>
      <c r="X61" s="3">
        <f>0+(611.7-317)+(0+(-1.871802--0.97002))+0-32.4--0.0991440000000037</f>
        <v>261.49736200000007</v>
      </c>
      <c r="Y61" s="3">
        <f>16+(591.2-313.3)+(-0.02448+(-0.904536--0.479349))+0-32.2--0.0492660000000019</f>
        <v>261.29959900000006</v>
      </c>
      <c r="Z61" s="3">
        <f>89.6+(556.3-322.9)+(0.045696+(0.283713-0.164679))+0-32.5-0.0165749999999967</f>
        <v>290.64815500000003</v>
      </c>
      <c r="AA61" s="3">
        <f>119.2+(575.2-368.3)+(0+(0-0))+0-32.5-0</f>
        <v>293.60000000000002</v>
      </c>
      <c r="AB61" s="3">
        <f>121.4+(582-381.4)+(0+(0-0))+0-32.6-0</f>
        <v>289.39999999999998</v>
      </c>
      <c r="AC61" s="3">
        <f>100.9+(633.1-416.7)+(-0.154377+(-0.968643--0.637551))+0-32.3--0.0494190000000019</f>
        <v>284.56395000000003</v>
      </c>
      <c r="AD61">
        <v>299.5</v>
      </c>
      <c r="AE61" s="3">
        <f>118+(554-339.8)+(0+(0-0))+0-32.7-0</f>
        <v>299.5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3.7+(715.5-411.8)+(-0.001887+(-0.364905--0.210018))+0-32.5--0.0165749999999967</f>
        <v>274.75980099999998</v>
      </c>
      <c r="G62" s="3">
        <f>0+(595.6-297.2)+(0+(-0.607512--0.303144))+0-32.5--0.0331500000000052</f>
        <v>265.628782</v>
      </c>
      <c r="H62" s="3">
        <f>0+(466.5-174.5)+(0+(-0.713745--0.266985))+0-32.5--0.0497250000000019</f>
        <v>259.10296500000004</v>
      </c>
      <c r="I62" s="3">
        <f>0+(504.7-217.6)+(0+(-0.514794--0.221952))+0-32.4--0.0330480000000052</f>
        <v>254.44020600000002</v>
      </c>
      <c r="J62" s="3">
        <f>0+(505.6-220.9)+(0+(-0.773568--0.337977))+0-32.4--0.0495720000000019</f>
        <v>251.91398100000006</v>
      </c>
      <c r="K62" s="3">
        <f>0+(533.6-252.9)+(0+(-1.36068--0.644895))+0-32.5--0.0828749999999953</f>
        <v>247.56709000000006</v>
      </c>
      <c r="L62" s="3">
        <f>0+(419.9-139.9)+(0+(-0.214149--0.071349))+0-32.3--0.0164729999999967</f>
        <v>247.57367299999996</v>
      </c>
      <c r="M62" s="3">
        <f>0+(497.9-189.5)+(0+(-0.253929--0.096645))+0-32.4--0.0165239999999967</f>
        <v>275.85924</v>
      </c>
      <c r="N62" s="3">
        <f>0+(650.4-307)+(0+(-0.331704--0.15657))+0-32.5--0.0165749999999967</f>
        <v>310.74144099999995</v>
      </c>
      <c r="O62" s="3">
        <f>0+(712.9-349.7)+(0+(0-0))+0-32.5-0</f>
        <v>330.7</v>
      </c>
      <c r="P62" s="3">
        <f>0+(723.4-350)+(0+(-0.368934--0.1785))+0-32.4--0.0165239999999967</f>
        <v>340.82609000000002</v>
      </c>
      <c r="Q62" s="3">
        <f>101.4+(700-428)+(0+(0-0))+0-32.5-0</f>
        <v>340.9</v>
      </c>
      <c r="R62" s="3">
        <f>117.9+(756.3-498.3)+(0.060129+(0.385713-0.254133))+0-32.5-0.0165749999999967</f>
        <v>343.57513399999999</v>
      </c>
      <c r="S62" s="3">
        <f>118+(794.3-545.6)+(-0.12036+(-0.810186--0.556512))+0-32.5--0.0331500000000052</f>
        <v>333.85911599999991</v>
      </c>
      <c r="T62" s="3">
        <f>117.3+(813.7-565)+(0.059823+(0.414987-0.28815))+0-32.4-0.0165239999999967</f>
        <v>333.77013600000009</v>
      </c>
      <c r="U62" s="3">
        <f>116.8+(874.2-623.1)+(-0.059568+(-0.445842--0.317781))+0-32.4--0.0165239999999967</f>
        <v>335.32889500000005</v>
      </c>
      <c r="V62" s="3">
        <f>116.5+(861.4-616.3)+(-0.23766+(-1.757256--1.257252))+0-32.6--0.0665039999999986</f>
        <v>328.32884000000001</v>
      </c>
      <c r="W62" s="3">
        <f>116.5+(812.7-572.6)+(-0.35649+(-2.486862--1.752156))+0-32.6--0.0997560000000038</f>
        <v>323.00855999999999</v>
      </c>
      <c r="X62" s="3">
        <f>86.4+(599.8-342.4)+(-0.132192+(-0.917694--0.523872))+0-32.5--0.0497250000000019</f>
        <v>310.823711</v>
      </c>
      <c r="Y62" s="3">
        <f>16+(573.8-248.8)+(-0.00816+(-0.292638--0.126888))+0-32.3--0.0164729999999967</f>
        <v>308.54256299999997</v>
      </c>
      <c r="Z62" s="3">
        <f>0+(591.8-219.1)+(0+(-0.301818--0.111741))+0-32.6--0.0166259999999967</f>
        <v>339.92654899999991</v>
      </c>
      <c r="AA62" s="3">
        <f>0+(776.5-408.2)+(0+(-1.188045--0.624546))+0-32.7--0.0500310000000019</f>
        <v>335.08653200000003</v>
      </c>
      <c r="AB62" s="3">
        <f>0+(761.6-399)+(0+(-1.165248--0.61047))+0-32.6--0.0498780000000019</f>
        <v>329.49509999999998</v>
      </c>
      <c r="AC62" s="3">
        <f>0+(818.8-466.1)+(0+(-1.670352--0.950844))+0-32.5--0.0662999999999986</f>
        <v>319.54679199999993</v>
      </c>
      <c r="AD62">
        <v>332</v>
      </c>
      <c r="AE62" s="3">
        <f>0+(752-387)+(0+(0-0))+0-33-0</f>
        <v>332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0+(831.5-490.5)+(0+(-1.69626--1.00062))+0-32.6--0.0665039999999986</f>
        <v>307.77086399999996</v>
      </c>
      <c r="G63" s="3">
        <f>0+(681.7-349.9)+(0+(-1.738335--0.892245))+0-32.5--0.0828749999999953</f>
        <v>298.53678500000007</v>
      </c>
      <c r="H63" s="3">
        <f>0+(623.1-296.9)+(0+(-0.635562--0.302838))+0-32.1--0.0327420000000051</f>
        <v>293.80001800000002</v>
      </c>
      <c r="I63" s="3">
        <f>0+(609.6-287.4)+(0+(-1.243584--0.586296))+0-32.4--0.0660959999999986</f>
        <v>289.20880800000009</v>
      </c>
      <c r="J63" s="3">
        <f>0+(600.9-281.9)+(0+(-2.145213--1.006383))+0-32.4--0.115668</f>
        <v>285.57683800000007</v>
      </c>
      <c r="K63" s="3">
        <f>0+(600.9-288)+(0+(-2.145213--1.02816))+0-32.4--0.115668</f>
        <v>279.49861500000003</v>
      </c>
      <c r="L63" s="3">
        <f>0+(552.5-241.6)+(0+(-0.845325--0.369648))+0-32.4--0.0495720000000019</f>
        <v>278.07389499999999</v>
      </c>
      <c r="M63" s="3">
        <f>0+(558.4-226.8)+(0+(0.569568-0.231336))+0-32.5-0.0331500000000052</f>
        <v>299.40508199999999</v>
      </c>
      <c r="N63" s="3">
        <f>0+(606.2-239.8)+(0+(0.309162-0.122298))+0-32.6-0.0166259999999967</f>
        <v>333.97023800000005</v>
      </c>
      <c r="O63" s="3">
        <f>0+(728.1-345.6)+(0+(-0.371331--0.176256))+0-29--0.0147899999999971</f>
        <v>353.31971500000003</v>
      </c>
      <c r="P63" s="3">
        <f>0+(754.8-371)+(0+(-0.384948--0.18921))+0-32.6--0.0166259999999967</f>
        <v>351.0208879999999</v>
      </c>
      <c r="Q63" s="3">
        <f>0+(747.9-366.9)+(0+(-1.144287--0.561357))+0-32.5--0.0497250000000019</f>
        <v>347.96679500000005</v>
      </c>
      <c r="R63" s="3">
        <f>0+(794-413)+(0+(0-0))+0-32.6-0</f>
        <v>348.4</v>
      </c>
      <c r="S63" s="3">
        <f>0+(770.5-405.2)+(0+(-0.392955--0.206652))+0-32.6--0.0166259999999967</f>
        <v>332.53032299999995</v>
      </c>
      <c r="T63" s="3">
        <f>0+(796.8-424.9)+(0+(0-0))+0-32.1-0</f>
        <v>339.79999999999995</v>
      </c>
      <c r="U63" s="3">
        <f>0+(841.3-472.1)+(0+(-1.716252--0.963084))+0-32.5--0.0662999999999986</f>
        <v>336.01313199999993</v>
      </c>
      <c r="V63" s="3">
        <f>0+(796.4-438.1)+(0+(-1.218492--0.670293))+0-31.7--0.0485010000000018</f>
        <v>326.10030199999994</v>
      </c>
      <c r="W63" s="3">
        <f>0+(833.9-485.1)+(0+(-1.275867--0.742203))+0-29.2--0.0446760000000017</f>
        <v>319.11101199999996</v>
      </c>
      <c r="X63" s="3">
        <f>0+(781.2-433.4)+(0+(-3.585708--1.989306))+0-31.5--0.144585000000005</f>
        <v>314.84818300000006</v>
      </c>
      <c r="Y63" s="3">
        <f>0+(635.9-298.7)+(0+(-1.297236--0.609348))+0-31.2--0.0636479999999986</f>
        <v>305.37576000000001</v>
      </c>
      <c r="Z63" s="3">
        <f>130+(659.3-378.5)+(-0.1989+(-1.008729--0.579105))+0-31.4--0.0480420000000018</f>
        <v>378.81951799999996</v>
      </c>
      <c r="AA63" s="3">
        <f>130+(688.1-448.4)+(-0.3978+(-2.105586--1.372104))+0-32.3--0.0988380000000037</f>
        <v>336.36755600000004</v>
      </c>
      <c r="AB63" s="3">
        <f>30+(748.8-481.7)+(-0.0612+(-1.527552--0.982668))+0-32.4--0.0660959999999986</f>
        <v>264.16001199999999</v>
      </c>
      <c r="AC63" s="3">
        <f>0+(715.9-377.1)+(0+(-0.365109--0.192321))+0-32.5--0.0165749999999967</f>
        <v>306.14378699999992</v>
      </c>
      <c r="AD63">
        <v>327.59999999999991</v>
      </c>
      <c r="AE63" s="3">
        <f>120+(668.3-428.6)+(0+(0-0))+0-32.1-0</f>
        <v>327.59999999999991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0+(586.7-262.1)+(0+(-1.496085--0.668355))+0-32.4--0.0826199999999953</f>
        <v>291.45489000000009</v>
      </c>
      <c r="G64" s="3">
        <f>0+(468.5-154.9)+(0+(-0.238935--0.078999))+0-32.4--0.0165239999999967</f>
        <v>281.05658800000003</v>
      </c>
      <c r="H64" s="3">
        <f>0+(456.5-146.4)+(0+(0.46563-0.149328))+0-32.3-0.0329460000000051</f>
        <v>278.08335600000004</v>
      </c>
      <c r="I64" s="3">
        <f>0+(439.7-131.9)+(0+(-0.672741--0.201807))+0-32.3--0.0494190000000019</f>
        <v>275.07848499999994</v>
      </c>
      <c r="J64" s="3">
        <f>0+(442.9-137.4)+(0+(-0.903516--0.280296))+0-32.3--0.0658919999999986</f>
        <v>272.642672</v>
      </c>
      <c r="K64" s="3">
        <f>0+(471-170.1)+(0+(-1.92168--0.694008))+0-32.3--0.131783999999997</f>
        <v>267.50411199999996</v>
      </c>
      <c r="L64" s="3">
        <f>0+(453.1-156)+(0+(-1.617567--0.55692))+0-32.3--0.115311</f>
        <v>263.85466400000001</v>
      </c>
      <c r="M64" s="3">
        <f>0+(482.2-160.9)+(0+(0-0))+0-32.4-0</f>
        <v>288.89999999999998</v>
      </c>
      <c r="N64" s="3">
        <f>0+(612.9-259.5)+(0+(-1.250316--0.52938))+0-33.1--0.0675239999999986</f>
        <v>319.64658799999995</v>
      </c>
      <c r="O64" s="3">
        <f>0+(661-293.2)+(0+(0.67422-0.299064))+0-32-0.0326400000000051</f>
        <v>336.142516</v>
      </c>
      <c r="P64" s="3">
        <f>0+(663.3-281.5)+(0+(0.338283-0.143565))+0-32.5-0.0165749999999967</f>
        <v>349.47814299999999</v>
      </c>
      <c r="Q64" s="3">
        <f>0+(629.9-246.2)+(0+(-0.321249--0.125562))+0-32.5--0.0165749999999967</f>
        <v>351.02088799999996</v>
      </c>
      <c r="R64" s="3">
        <f>0+(686.4-301.3)+(0+(0-0))+0-32.5-0</f>
        <v>352.59999999999997</v>
      </c>
      <c r="S64" s="3">
        <f>0+(757.2-396.8)+(0+(-1.158516--0.607104))+0-32.6--0.0498780000000019</f>
        <v>327.29846599999996</v>
      </c>
      <c r="T64" s="3">
        <f>0+(791.9-422.2)+(0+(-0.403869--0.215322))+0-32.6--0.0166259999999967</f>
        <v>336.92807899999991</v>
      </c>
      <c r="U64" s="3">
        <f>0+(896.7-554.5)+(0+(0.457317-0.282795))+0-32.7-0.0166769999999967</f>
        <v>309.65784500000007</v>
      </c>
      <c r="V64" s="3">
        <f>0+(860.7-498.2)+(0+(-1.316871--0.762246))+0-32.3--0.0494190000000019</f>
        <v>329.69479400000006</v>
      </c>
      <c r="W64" s="3">
        <f>0+(922.1-558.9)+(0+(-1.881084--1.140156))+0-32.2--0.0656879999999986</f>
        <v>330.32476000000008</v>
      </c>
      <c r="X64" s="3">
        <f>0+(798.8-451.5)+(0+(-2.444328--1.38159))+0-32.1--0.0982260000000037</f>
        <v>314.23548799999992</v>
      </c>
      <c r="Y64" s="3">
        <f>0+(607.4-269.7)+(0+(0-0))+0-31.9-0</f>
        <v>305.8</v>
      </c>
      <c r="Z64" s="3">
        <f>64.9+(631.6-332.3)+(-0.066198+(-0.644232--0.338946))+0-31.9--0.0325380000000051</f>
        <v>331.96105400000005</v>
      </c>
      <c r="AA64" s="3">
        <f>119.2+(687.6-443.4)+(-0.121584+(-0.701352--0.452268))+0-31.7--0.0323340000000051</f>
        <v>331.36166600000001</v>
      </c>
      <c r="AB64" s="3">
        <f>112.2+(637.7-400.1)+(-0.171666+(-0.975681--0.612153))+0-31.8--0.0486540000000018</f>
        <v>317.51346000000001</v>
      </c>
      <c r="AC64" s="3">
        <f>12.1+(548.5-211.6)+(-0.030855+(-1.398675--0.53958))+0-31.8--0.0810899999999954</f>
        <v>316.39114000000001</v>
      </c>
      <c r="AD64">
        <v>334.5</v>
      </c>
      <c r="AE64" s="3">
        <f>119+(692.9-446.2)+(0+(0-0))+0-31.2-0</f>
        <v>334.5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0+(500.1-165.5)+(0+(-1.275255--0.422025))+0-31.8--0.0810899999999954</f>
        <v>302.02786000000003</v>
      </c>
      <c r="G65" s="3">
        <f>0+(402.6-79.2)+(0+(-1.02663--0.20196))+0-31.8--0.0810899999999954</f>
        <v>290.85642000000001</v>
      </c>
      <c r="H65" s="3">
        <f>0+(401-91.1)+(0+(-0.40902--0.092922))+0-27.6--0.0281520000000044</f>
        <v>282.01205399999992</v>
      </c>
      <c r="I65" s="3">
        <f>0+(406.7-97.7)+(0+(-0.829668--0.199308))+0-31.8--0.0648719999999986</f>
        <v>276.63451199999997</v>
      </c>
      <c r="J65" s="3">
        <f>0+(407.4-98.9)+(0+(-1.03887--0.252195))+0-31.8--0.0810899999999954</f>
        <v>275.994415</v>
      </c>
      <c r="K65" s="3">
        <f>0+(399.8-98.8)+(0+(-0.611694--0.151164))+0-31.8--0.0486540000000018</f>
        <v>268.78812399999998</v>
      </c>
      <c r="L65" s="3">
        <f>0+(351.8-53.4)+(0+(-0.538254--0.081702))+0-31.6--0.0483480000000018</f>
        <v>266.391796</v>
      </c>
      <c r="M65" s="3">
        <f>0+(391.9-69.1)+(0+(0.599607-0.105723))+0-30.4-0.0465120000000018</f>
        <v>292.84737199999995</v>
      </c>
      <c r="N65" s="3">
        <f>0+(456.8-106.5)+(0+(-0.931872--0.21726))+0-30.8--0.0628319999999987</f>
        <v>318.84822000000003</v>
      </c>
      <c r="O65" s="3">
        <f>0+(563.9-202.4)+(0+(-0.862767--0.309672))+0-29.7--0.0454410000000017</f>
        <v>331.29234600000001</v>
      </c>
      <c r="P65" s="3">
        <f>0+(627-252.3)+(0+(-0.31977--0.128673))+0-30.9--0.0157589999999969</f>
        <v>343.624662</v>
      </c>
      <c r="Q65" s="3">
        <f>0+(637.4-256.5)+(0+(0-0))+0-31.2-0</f>
        <v>349.7</v>
      </c>
      <c r="R65" s="3">
        <f>0+(655-276.2)+(0+(-1.00215--0.422586))+0-31.6--0.0483480000000018</f>
        <v>346.66878399999996</v>
      </c>
      <c r="S65" s="3">
        <f>0+(697.3-332.1)+(0+(-0.711246--0.338742))+0-31.6--0.032232000000005</f>
        <v>333.25972799999994</v>
      </c>
      <c r="T65" s="3">
        <f>0+(711.4-342.2)+(0+(-0.362814--0.174522))+0-31.6--0.0161159999999968</f>
        <v>337.42782399999999</v>
      </c>
      <c r="U65" s="3">
        <f>0+(716.7-351)+(0+(-1.827585--0.89505))+0-31.5--0.0803249999999954</f>
        <v>333.34779000000009</v>
      </c>
      <c r="V65" s="3">
        <f>0+(664.2-303.1)+(0+(-2.371194--1.082067))+0-31.6--0.112812</f>
        <v>328.32368500000001</v>
      </c>
      <c r="W65" s="3">
        <f>0+(561.3-206.1)+(0+(-2.003841--0.735777))+0-31.5--0.112455</f>
        <v>322.54439099999996</v>
      </c>
      <c r="X65" s="3">
        <f>0+(515.3-172.5)+(0+(-2.102424--0.7038))+0-31--0.126479999999997</f>
        <v>310.52785599999999</v>
      </c>
      <c r="Y65" s="3">
        <f>0+(548.3-216)+(0+(-1.398165--0.5508))+0-28.4--0.0724199999999959</f>
        <v>303.12505499999997</v>
      </c>
      <c r="Z65" s="3">
        <f>0+(546.1-190.8)+(0+(-0.278511--0.097308))+0-31.2--0.0159119999999968</f>
        <v>323.93470900000005</v>
      </c>
      <c r="AA65" s="3">
        <f>0+(608-253.4)+(0+(-1.5504--0.64617))+0-31.6--0.0805799999999954</f>
        <v>322.17635000000001</v>
      </c>
      <c r="AB65" s="3">
        <f>0+(627.9-281.1)+(0+(-1.280916--0.573444))+0-31.2--0.0636479999999986</f>
        <v>314.95617599999997</v>
      </c>
      <c r="AC65" s="3">
        <f>0+(653.7-316.4)+(0+(-1.333548--0.645456))+0-31.5--0.0642599999999986</f>
        <v>305.17616800000008</v>
      </c>
      <c r="AD65">
        <v>318.7</v>
      </c>
      <c r="AE65" s="3">
        <f>0+(601.4-250.9)+(0+(0-0))+0-31.8-0</f>
        <v>318.7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0+(594.9-272.4)+(0+(0-0))+0-31.5-0</f>
        <v>291</v>
      </c>
      <c r="G66" s="3">
        <f>0+(543.7-229.4)+(0+(-0.831861--0.350982))+0-31.5--0.0481950000000018</f>
        <v>282.36731600000007</v>
      </c>
      <c r="H66" s="3">
        <f>0+(518.4-214.6)+(0+(-0.528768--0.218892))+0-31.6--0.032232000000005</f>
        <v>271.92235599999998</v>
      </c>
      <c r="I66" s="3">
        <f>0+(440.5-136.4)+(0+(-0.224655--0.069564))+0-31.4--0.0160139999999968</f>
        <v>272.560923</v>
      </c>
      <c r="J66" s="3">
        <f>0+(441.6-139.8)+(0+(-1.12608--0.35649))+0-31.1--0.0793049999999955</f>
        <v>270.00971499999997</v>
      </c>
      <c r="K66" s="3">
        <f>0+(442.6-151.1)+(0+(-1.12863--0.385305))+0-31.2--0.0795599999999955</f>
        <v>259.636235</v>
      </c>
      <c r="L66" s="3">
        <f>0+(429.6-143.3)+(0+(-0.219096--0.073083))+0-31.3--0.0159629999999968</f>
        <v>254.86995000000002</v>
      </c>
      <c r="M66" s="3">
        <f>0+(444.1-127.8)+(0+(0.226491-0.065178))+0-31.4-0.0160139999999968</f>
        <v>285.04529900000006</v>
      </c>
      <c r="N66" s="3">
        <f>0+(512.5-170.4)+(0+(0.261375-0.086904))+0-32-0.0163199999999968</f>
        <v>310.258151</v>
      </c>
      <c r="O66" s="3">
        <f>0+(557.7-202.7)+(0+(-0.284427--0.103377))+0-32--0.0163199999999968</f>
        <v>322.83527000000004</v>
      </c>
      <c r="P66" s="3">
        <f>0+(598.7-236.8)+(0+(0.305337-0.120768))+0-32-0.0163199999999968</f>
        <v>330.06824900000004</v>
      </c>
      <c r="Q66" s="3">
        <f>0+(619-249.6)+(0+(-0.31569--0.127296))+0-31.4--0.0160139999999968</f>
        <v>337.82761999999997</v>
      </c>
      <c r="R66" s="3">
        <f>0+(612.4-245.2)+(0+(-0.312324--0.125052))+0-31.5--0.0160649999999968</f>
        <v>335.52879299999995</v>
      </c>
      <c r="S66" s="3">
        <f>0+(624.6-265.3)+(0+(-0.637092--0.270606))+0-31.4--0.032028000000005</f>
        <v>327.56554200000005</v>
      </c>
      <c r="T66" s="3">
        <f>0+(629.4-272)+(0+(0-0))+0-31.4-0</f>
        <v>326</v>
      </c>
      <c r="U66" s="3">
        <f>0+(627.5-269)+(0+(-1.92015--0.82314))+0-31.5--0.0963900000000036</f>
        <v>325.99937999999997</v>
      </c>
      <c r="V66" s="3">
        <f>0+(657.4-303.2)+(0+(-1.67637--0.77316))+0-31.5--0.0803249999999954</f>
        <v>321.877115</v>
      </c>
      <c r="W66" s="3">
        <f>0+(589.1-241)+(0+(-1.802646--0.73746))+0-31.6--0.0966960000000037</f>
        <v>315.53151000000003</v>
      </c>
      <c r="X66" s="3">
        <f>0+(460.5-129.1)+(0+(-1.174275--0.329205))+0-31.3--0.0798149999999955</f>
        <v>299.33474499999994</v>
      </c>
      <c r="Y66" s="3">
        <f>0+(414-83.8)+(0+(-0.21114--0.042738))+0-31.3--0.0159629999999968</f>
        <v>298.74756099999996</v>
      </c>
      <c r="Z66" s="3">
        <f>0+(399.3-42.4)+(0+(-0.407286--0.043248))+0-31.4--0.032028000000005</f>
        <v>325.16799000000009</v>
      </c>
      <c r="AA66" s="3">
        <f>0+(401.6-42.1)+(0+(-0.819264--0.085884))+0-31.4--0.0640559999999986</f>
        <v>327.43067600000001</v>
      </c>
      <c r="AB66" s="3">
        <f>0+(424.3-75.3)+(0+(-1.081965--0.192015))+0-31.2--0.0795599999999955</f>
        <v>316.98961000000003</v>
      </c>
      <c r="AC66" s="3">
        <f>0+(443.5-110.8)+(0+(-0.678555--0.169524))+0-31.2--0.0477360000000018</f>
        <v>301.03870499999999</v>
      </c>
      <c r="AD66">
        <v>327.29999999999995</v>
      </c>
      <c r="AE66" s="3">
        <f>0+(425.7-67.3)+(0+(0-0))+0-31.1-0</f>
        <v>327.29999999999995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0+(478.9-162.4)+(0+(-1.221195--0.41412))+0-31.7--0.0808349999999954</f>
        <v>284.07375999999999</v>
      </c>
      <c r="G67" s="3">
        <f>0+(478.7-178.5)+(0+(-0.976548--0.36414))+0-31.9--0.0650759999999986</f>
        <v>267.75266799999997</v>
      </c>
      <c r="H67" s="3">
        <f>0+(504.2-198)+(0+(-0.771426--0.30294))+0-31.7--0.0485010000000018</f>
        <v>274.080015</v>
      </c>
      <c r="I67" s="3">
        <f>0+(485.9-183.3)+(0+(-0.991236--0.373932))+0-31.7--0.0646679999999986</f>
        <v>270.34736399999997</v>
      </c>
      <c r="J67" s="3">
        <f>0+(458.8-158.4)+(0+(0.233988-0.080784))+0-31.8-0.0162179999999968</f>
        <v>268.736986</v>
      </c>
      <c r="K67" s="3">
        <f>0+(471.6-176.1)+(0+(-1.20258--0.449055))+0-31.9--0.0813449999999954</f>
        <v>262.92782</v>
      </c>
      <c r="L67" s="3">
        <f>0+(456.9-174.3)+(0+(-0.699057--0.266679))+0-31.7--0.0485010000000018</f>
        <v>250.51612299999996</v>
      </c>
      <c r="M67" s="3">
        <f>0+(470-166.1)+(0+(1.1985-0.423555))+0-31.9-0.0813449999999954</f>
        <v>272.6936</v>
      </c>
      <c r="N67" s="3">
        <f>0+(527.4-198.6)+(0+(-0.268974--0.101286))+0-32--0.0163199999999968</f>
        <v>296.64863199999996</v>
      </c>
      <c r="O67" s="3">
        <f>0+(567.5-225.1)+(0+(0.57885-0.229602))+0-32-0.0326400000000051</f>
        <v>310.71660799999995</v>
      </c>
      <c r="P67" s="3">
        <f>0+(595.3-227.6)+(0+(-0.303603--0.116076))+0-32--0.0163199999999968</f>
        <v>335.52879299999995</v>
      </c>
      <c r="Q67" s="3">
        <f>0+(597-230.7)+(0+(0.60894-0.235314))+0-32-0.0326400000000051</f>
        <v>334.640986</v>
      </c>
      <c r="R67" s="3">
        <f>0+(591.3-221.5)+(0+(-0.603126--0.22593))+0-31.9--0.0325380000000051</f>
        <v>337.55534199999994</v>
      </c>
      <c r="S67" s="3">
        <f>0+(592.4-225.3)+(0+(-1.51062--0.574515))+0-31.9--0.0813449999999954</f>
        <v>334.34523999999999</v>
      </c>
      <c r="T67" s="3">
        <f>0+(600.1-255.5)+(0+(-1.530255--0.651525))+0-31.9--0.0813449999999954</f>
        <v>311.90261500000003</v>
      </c>
      <c r="U67" s="3">
        <f>0+(605.5-266.7)+(0+(-0.926415--0.408051))+0-31.9--0.0488070000000018</f>
        <v>306.43044300000003</v>
      </c>
      <c r="V67" s="3">
        <f>0+(594.4-263.3)+(0+(-0.606288--0.268566))+0-31.9--0.0325380000000051</f>
        <v>298.89481599999999</v>
      </c>
      <c r="W67" s="3">
        <f>0+(579.4-258.2)+(0+(-0.590988--0.263364))+0-31.9--0.0325380000000051</f>
        <v>289.00491399999999</v>
      </c>
      <c r="X67" s="3">
        <f>0+(582-261.8)+(0+(-1.78092--0.801108))+0-31.8--0.0973080000000037</f>
        <v>287.51749599999999</v>
      </c>
      <c r="Y67" s="3">
        <f>0+(568.5-244)+(0+(-0.57987--0.24888))+0-31.8--0.0324360000000051</f>
        <v>292.40144600000002</v>
      </c>
      <c r="Z67" s="3">
        <f>0+(557.5-206.2)+(0+(-0.56865--0.210324))+0-31.8--0.0324360000000051</f>
        <v>319.17411000000004</v>
      </c>
      <c r="AA67" s="3">
        <f>0+(565-221.1)+(0+(-1.1526--0.451044))+0-31.9--0.0650759999999986</f>
        <v>311.36351999999999</v>
      </c>
      <c r="AB67" s="3">
        <f>0+(607.6-278.7)+(0+(-1.54938--0.710685))+0-31.6--0.0805799999999954</f>
        <v>296.54188500000004</v>
      </c>
      <c r="AC67" s="3">
        <f>0+(536.9-213.7)+(0+(0-0))+0-31.4-0</f>
        <v>291.8</v>
      </c>
      <c r="AD67">
        <v>305.10000000000002</v>
      </c>
      <c r="AE67" s="3">
        <f>0+(571.1-233.9)+(0+(0-0))+0-32.1-0</f>
        <v>305.10000000000002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0+(542.6-237.6)+(0+(-1.106904--0.484704))+0-31.6--0.0644639999999986</f>
        <v>272.84226399999994</v>
      </c>
      <c r="G68" s="3">
        <f>0+(547.3-251.9)+(0+(-0.558246--0.256938))+0-30.5--0.0311100000000049</f>
        <v>264.62980199999998</v>
      </c>
      <c r="H68" s="3">
        <f>0+(464.1-176.6)+(0+(-0.710073--0.270198))+0-29.4--0.0449820000000017</f>
        <v>257.70510700000005</v>
      </c>
      <c r="I68" s="3">
        <f>0+(389.8-107.3)+(0+(0-0))+0-26.8-0</f>
        <v>255.7</v>
      </c>
      <c r="J68" s="3">
        <f>0+(382.1-95.6)+(0+(0.194871-0.048756))+0-31.3-0.0159629999999968</f>
        <v>255.330152</v>
      </c>
      <c r="K68" s="3">
        <f>0+(393.2-119.7)+(0+(-0.802128--0.244188))+0-30.8--0.0628319999999987</f>
        <v>242.204892</v>
      </c>
      <c r="L68" s="3">
        <f>0+(400.1-143.7)+(0+(-0.408102--0.146574))+0-31.4--0.032028000000005</f>
        <v>224.77050000000003</v>
      </c>
      <c r="M68" s="3">
        <f>0+(373-110.3)+(0+(-0.38046--0.112506))+0-31.4--0.032028000000005</f>
        <v>231.06407400000001</v>
      </c>
      <c r="N68" s="3">
        <f>0+(423.1-151.2)+(0+(-0.647343--0.231336))+0-30.6--0.0468180000000018</f>
        <v>240.93081100000006</v>
      </c>
      <c r="O68" s="3">
        <f>37+(375.3-131.7)+(-0.03774+(-0.382806--0.134334))+0-26.9--0.0274380000000043</f>
        <v>253.44122600000006</v>
      </c>
      <c r="P68" s="3">
        <f>51+(446.9-203.1)+(-0.07803+(-0.683757--0.310743))+0-31.1--0.0475830000000018</f>
        <v>263.29653899999988</v>
      </c>
      <c r="Q68" s="3">
        <f>51+(539.3-294.1)+(-0.07803+(-0.825129--0.449973))+0-31.2--0.0477360000000018</f>
        <v>264.59454999999991</v>
      </c>
      <c r="R68" s="3">
        <f>51+(564.9-318.6)+(-0.02601+(-0.288099--0.162486))+0-31.3--0.0159629999999968</f>
        <v>265.86433999999997</v>
      </c>
      <c r="S68" s="3">
        <f>43+(636.9-388.7)+(-0.02193+(-0.324819--0.198237))+0-31.2--0.0159119999999968</f>
        <v>259.86740000000003</v>
      </c>
      <c r="T68" s="3">
        <f>0+(698.7-411.5)+(0+(-1.425348--0.83946))+0-31.5--0.0642599999999986</f>
        <v>255.17837200000002</v>
      </c>
      <c r="U68" s="3">
        <f>0+(659.9-373.4)+(0+(-0.336549--0.190434))+0-31.4--0.0160139999999968</f>
        <v>254.96989899999997</v>
      </c>
      <c r="V68" s="3">
        <f>0+(632-349.2)+(0+(-0.32232--0.178092))+0-31.4--0.0160139999999968</f>
        <v>251.27178599999999</v>
      </c>
      <c r="W68" s="3">
        <f>0+(616.8-336.3)+(0+(-1.258272--0.686052))+0-30.7--0.0626279999999987</f>
        <v>249.29040799999993</v>
      </c>
      <c r="X68" s="3">
        <f>0+(546.4-267.6)+(0+(-1.39332--0.68238))+0-28.3--0.0721649999999959</f>
        <v>249.86122499999993</v>
      </c>
      <c r="Y68" s="3">
        <f>0+(504.9-223.2)+(0+(-0.772497--0.341496))+0-29.4--0.0449820000000017</f>
        <v>251.91398100000001</v>
      </c>
      <c r="Z68" s="3">
        <f>0+(529.3-216.2)+(0+(-0.809829--0.330786))+0-30.8--0.0471240000000018</f>
        <v>281.86808099999996</v>
      </c>
      <c r="AA68" s="3">
        <f>0+(548.6-227.2)+(0+(-0.839358--0.347616))+0-30.2--0.0462060000000017</f>
        <v>290.75446400000004</v>
      </c>
      <c r="AB68" s="3">
        <f>0+(644-331)+(0+(-1.31376--0.67524))+0-30.3--0.0618119999999987</f>
        <v>282.12329199999994</v>
      </c>
      <c r="AC68" s="3">
        <f>0+(746.2-442.6)+(0+(-1.141686--0.677178))+0-31.2--0.0477360000000018</f>
        <v>271.983228</v>
      </c>
      <c r="AD68">
        <v>291.00000000000006</v>
      </c>
      <c r="AE68" s="3">
        <f>0+(601.1-279.2)+(0+(0-0))+0-30.9-0</f>
        <v>291.00000000000006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0+(662.6-371.2)+(0+(-1.351704--0.757248))+0-31--0.0632399999999986</f>
        <v>259.86878400000006</v>
      </c>
      <c r="G69" s="3">
        <f>0+(482.2-200.9)+(0+(-0.983688--0.409836))+0-31.8--0.0648719999999986</f>
        <v>248.99101999999996</v>
      </c>
      <c r="H69" s="3">
        <f>0+(448.6-181.4)+(0+(-0.457572--0.185028))+0-31.7--0.0323340000000051</f>
        <v>235.25979000000007</v>
      </c>
      <c r="I69" s="3">
        <f>0+(432.3-167.3)+(0+(-0.220473--0.085323))+0-31.5--0.0160649999999968</f>
        <v>233.38091499999999</v>
      </c>
      <c r="J69" s="3">
        <f>0+(437.4-172.8)+(0+(-0.446148--0.176256))+0-31.3--0.031926000000005</f>
        <v>233.06203399999993</v>
      </c>
      <c r="K69" s="3">
        <f>0+(433.6-172.7)+(0+(-1.10568--0.440385))+0-30.7--0.0782849999999955</f>
        <v>229.61299000000002</v>
      </c>
      <c r="L69" s="3">
        <f>0+(399.9-142.1)+(0+(0-0))+0-28.3-0</f>
        <v>229.49999999999994</v>
      </c>
      <c r="M69" s="3">
        <f>0+(447.4-160.9)+(0+(-0.456348--0.164118))+0-31.1--0.031722000000005</f>
        <v>255.13949199999999</v>
      </c>
      <c r="N69" s="3">
        <f>0+(460.4-151.1)+(0+(-0.939216--0.308244))+0-31.3--0.0638519999999986</f>
        <v>277.43287999999995</v>
      </c>
      <c r="O69" s="3">
        <f>0+(478-141.9)+(0+(-0.24378--0.072369))+0-31.2--0.0159119999999968</f>
        <v>304.74450100000007</v>
      </c>
      <c r="P69" s="3">
        <f>0+(495.6-146.5)+(0+(0-0))+0-28.4-0</f>
        <v>320.70000000000005</v>
      </c>
      <c r="Q69" s="3">
        <f>0+(512.1-156.5)+(0+(0.522342-0.15963))+0-30-0.0306000000000048</f>
        <v>325.93211200000002</v>
      </c>
      <c r="R69" s="3">
        <f>0+(547.6-189.5)+(0+(-0.279276--0.096645))+0-28.4--0.0144839999999971</f>
        <v>329.53185300000001</v>
      </c>
      <c r="S69" s="3">
        <f>0+(592.8-247.4)+(0+(0-0))+0-30-0</f>
        <v>315.39999999999998</v>
      </c>
      <c r="T69" s="3">
        <f>0+(611.9-263.4)+(0+(-0.312069--0.134334))+0-29.2--0.014891999999997</f>
        <v>319.137157</v>
      </c>
      <c r="U69" s="3">
        <f>0+(635-288.9)+(0+(-1.61925--0.736695))+0-30.9--0.0787949999999955</f>
        <v>314.39624000000003</v>
      </c>
      <c r="V69" s="3">
        <f>0+(628.3-286)+(0+(-0.961299--0.43758))+0-30.6--0.0468180000000018</f>
        <v>311.22309899999993</v>
      </c>
      <c r="W69" s="3">
        <f>0+(604.8-264.7)+(0+(-2.159136--0.944979))+0-31.5--0.112455</f>
        <v>307.49829799999998</v>
      </c>
      <c r="X69" s="3">
        <f>0+(511.8-183.2)+(0+(-1.827126--0.654024))+0-31.4--0.112098</f>
        <v>296.13899600000008</v>
      </c>
      <c r="Y69" s="3">
        <f>0+(470-150)+(0+(-0.2397--0.0765))+0-31.3--0.0159629999999968</f>
        <v>288.55276299999997</v>
      </c>
      <c r="Z69" s="3">
        <f>0+(555-210.3)+(0+(-0.5661--0.214506))+0-31.5--0.032130000000005</f>
        <v>312.88053600000001</v>
      </c>
      <c r="AA69" s="3">
        <f>0+(615.4-267.9)+(0+(-1.883124--0.819774))+0-31.4--0.0960840000000036</f>
        <v>315.13273400000003</v>
      </c>
      <c r="AB69" s="3">
        <f>0+(650.6-309.1)+(0+(-1.327224--0.630564))+0-31.5--0.0642599999999986</f>
        <v>309.36759999999998</v>
      </c>
      <c r="AC69" s="3">
        <f>0+(652.1-323.2)+(0+(-1.995426--0.988992))+0-31.5--0.0963900000000036</f>
        <v>296.48995600000001</v>
      </c>
      <c r="AD69">
        <v>321.7</v>
      </c>
      <c r="AE69" s="3">
        <f>0+(622.4-269.4)+(0+(0-0))+0-31.3-0</f>
        <v>321.7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0+(598.5-284.1)+(0+(-0.61047--0.289782))+0-31.5--0.032130000000005</f>
        <v>282.61144199999995</v>
      </c>
      <c r="G70" s="3">
        <f>0+(491.3-186.3)+(0+(-1.252815--0.475065))+0-31.5--0.0803249999999954</f>
        <v>272.80257499999999</v>
      </c>
      <c r="H70" s="3">
        <f>0+(486.3-191)+(0+(-0.992052--0.38964))+0-31.1--0.0634439999999986</f>
        <v>263.66103199999998</v>
      </c>
      <c r="I70" s="3">
        <f>0+(511.7-223.9)+(0+(-0.782901--0.342567))+0-30.9--0.0472770000000018</f>
        <v>256.50694299999998</v>
      </c>
      <c r="J70" s="3">
        <f>0+(501-211.5)+(0+(-0.76653--0.323595))+0-31.2--0.0477360000000018</f>
        <v>257.90480100000002</v>
      </c>
      <c r="K70" s="3">
        <f>0+(502.4-221)+(0+(-1.024896--0.45084))+0-31.2--0.0636479999999986</f>
        <v>249.689592</v>
      </c>
      <c r="L70" s="3">
        <f>0+(422.9-146.4)+(0+(-0.647037--0.223992))+0-31.3--0.0478890000000018</f>
        <v>244.82484399999998</v>
      </c>
      <c r="M70" s="3">
        <f>0+(435.6-132.8)+(0+(-0.222156--0.067728))+0-31.3--0.0159629999999968</f>
        <v>271.361535</v>
      </c>
      <c r="N70" s="3">
        <f>0+(453-120.9)+(0+(0-0))+0-31.4-0</f>
        <v>300.70000000000005</v>
      </c>
      <c r="O70" s="3">
        <f>0+(412.4-50.3)+(0+(0.210324-0.025653))+0-31.4-0.0160139999999968</f>
        <v>330.86865699999998</v>
      </c>
      <c r="P70" s="3">
        <f>0+(408.9-48.1)+(0+(0.208539-0.024531))+0-31.4-0.0160139999999968</f>
        <v>329.567994</v>
      </c>
      <c r="Q70" s="3">
        <f>0+(405.1-34.7)+(0+(0.206601-0.017697))+0-31.3-0.0159629999999968</f>
        <v>339.272941</v>
      </c>
      <c r="R70" s="3">
        <f>0+(463.4-87.9)+(0+(0-0))+0-31.4-0</f>
        <v>344.1</v>
      </c>
      <c r="S70" s="3">
        <f>0+(513.6-160.1)+(0+(0-0))+0-31.5-0</f>
        <v>322</v>
      </c>
      <c r="T70" s="3">
        <f>0+(576.6-225)+(0+(-0.882198--0.34425))+0-26.5--0.0405450000000015</f>
        <v>324.602597</v>
      </c>
      <c r="U70" s="3">
        <f>0+(598.8-266)+(0+(0.610776-0.27132))+0-1.6-0.00163200000000026</f>
        <v>331.53782399999994</v>
      </c>
      <c r="V70" s="3">
        <f>0+(601.7-273.9)+(0+(-0.613734--0.279378))+0-4.5--0.00459000000000072</f>
        <v>322.97023400000006</v>
      </c>
      <c r="W70" s="3">
        <f>0+(543.6-229.4)+(0+(-1.940652--0.818958))+0-4.7--0.0167790000000001</f>
        <v>308.39508500000005</v>
      </c>
      <c r="X70" s="3">
        <f>0+(464-157.6)+(0+(-1.1832--0.40188))+0-5.3--0.0135149999999992</f>
        <v>300.33219499999996</v>
      </c>
      <c r="Y70" s="3">
        <f>0+(450.5-152.2)+(0+(-0.689265--0.232866))+0-6.5--0.00994500000000038</f>
        <v>291.35354600000005</v>
      </c>
      <c r="Z70" s="3">
        <f>0+(519.4-194.5)+(0+(-0.529788--0.19839))+0-8.2--0.00836400000000131</f>
        <v>316.37696600000004</v>
      </c>
      <c r="AA70" s="3">
        <f>0+(642.8-319.6)+(0+(-1.63914--0.81498))+0-8.5--0.0216749999999988</f>
        <v>313.89751499999994</v>
      </c>
      <c r="AB70" s="3">
        <f>0+(712.6-394.5)+(0+(-1.453704--0.80478))+0-9.7--0.0197879999999996</f>
        <v>307.77086400000002</v>
      </c>
      <c r="AC70" s="3">
        <f>0+(681.9-369.3)+(0+(-1.391076--0.753372))+0-10.6--0.0216239999999995</f>
        <v>301.38391999999993</v>
      </c>
      <c r="AD70">
        <v>314.10000000000002</v>
      </c>
      <c r="AE70" s="3">
        <f>0+(639.4-316.9)+(0+(0-0))+0-8.4-0</f>
        <v>314.10000000000002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0+(660.2-361.8)+(0+(-0.673404--0.369036))+0-12.4--0.012648000000002</f>
        <v>285.70828000000006</v>
      </c>
      <c r="G71" s="3">
        <f>0+(508.9-227)+(0+(-1.038156--0.46308))+0-13.4--0.0273359999999994</f>
        <v>267.95225999999997</v>
      </c>
      <c r="H71" s="3">
        <f>0+(425.8-143.4)+(0+(-0.868632--0.292536))+0-15.3--0.0312119999999993</f>
        <v>266.55511599999994</v>
      </c>
      <c r="I71" s="3">
        <f>0+(434.4-151.1)+(0+(-0.664632--0.231183))+0-15.9--0.0243270000000009</f>
        <v>266.99087800000001</v>
      </c>
      <c r="J71" s="3">
        <f>0+(441.8-159.5)+(0+(-0.225318--0.081345))+0-18.9--0.00963899999999808</f>
        <v>263.26566600000001</v>
      </c>
      <c r="K71" s="3">
        <f>0+(446.8-169.2)+(0+(-0.683604--0.258876))+0-20.7--0.0316710000000012</f>
        <v>256.50694300000004</v>
      </c>
      <c r="L71" s="3">
        <f>0+(405-130.1)+(0+(-0.4131--0.132702))+0-22.7--0.0231540000000036</f>
        <v>251.942756</v>
      </c>
      <c r="M71" s="3">
        <f>0+(466.1-159.6)+(0+(0-0))+0-25.2-0</f>
        <v>281.3</v>
      </c>
      <c r="N71" s="3">
        <f>0+(557.6-214.6)+(0+(0.568752-0.218892))+0-27.5-0.0280500000000044</f>
        <v>315.82180999999997</v>
      </c>
      <c r="O71" s="3">
        <f>0+(604.2-241.5)+(0+(0.308142-0.123165))+0-29.3-0.014942999999997</f>
        <v>333.57003400000002</v>
      </c>
      <c r="P71" s="3">
        <f>0+(575.7-205.1)+(0+(0.293607-0.104601))+0-30.5-0.0155549999999969</f>
        <v>340.27345100000002</v>
      </c>
      <c r="Q71" s="3">
        <f>0+(635-254.3)+(0+(0.6477-0.259386))+0-28-0.0285600000000045</f>
        <v>353.05975399999994</v>
      </c>
      <c r="R71" s="3">
        <f>0+(724.6-307.9)+(0+(0.369546-0.157029))+0-30.7-0.0156569999999969</f>
        <v>386.19686000000007</v>
      </c>
      <c r="S71" s="3">
        <f>0+(762.2-382.4)+(0+(-0.388722--0.195024))+0-30.6--0.0156059999999969</f>
        <v>349.02190800000005</v>
      </c>
      <c r="T71" s="3">
        <f>0+(774-393.4)+(0+(-0.39474--0.200634))+0-30.7--0.0156569999999969</f>
        <v>349.72155100000003</v>
      </c>
      <c r="U71" s="3">
        <f>0+(672.3-297.7)+(0+(-1.028619--0.455481))+0-31--0.0474300000000018</f>
        <v>343.07429200000001</v>
      </c>
      <c r="V71" s="3">
        <f>0+(698.3-334.4)+(0+(-0.712266--0.341088))+0-30.8--0.0314160000000049</f>
        <v>332.76023799999996</v>
      </c>
      <c r="W71" s="3">
        <f>0+(693.5-330.6)+(0+(-2.12211--1.011636))+0-31--0.0948600000000036</f>
        <v>330.88438599999995</v>
      </c>
      <c r="X71" s="3">
        <f>0+(758.8-405.4)+(0+(-2.321928--1.240524))+0-30.9--0.0945540000000036</f>
        <v>321.51315</v>
      </c>
      <c r="Y71" s="3">
        <f>0+(715-366.9)+(0+(-1.4586--0.748476))+0-30.9--0.0630359999999986</f>
        <v>316.55291200000005</v>
      </c>
      <c r="Z71" s="3">
        <f>0+(610-240.1)+(0+(-0.6222--0.244902))+0-31--0.0316200000000049</f>
        <v>338.55432200000001</v>
      </c>
      <c r="AA71" s="3">
        <f>0+(660.6-294.9)+(0+(-2.021436--0.902394))+0-31.1--0.0951660000000036</f>
        <v>333.57612400000005</v>
      </c>
      <c r="AB71" s="3">
        <f>0+(762-407.1)+(0+(-1.55448--0.830484))+0-31.2--0.0636479999999986</f>
        <v>323.03965199999999</v>
      </c>
      <c r="AC71" s="3">
        <f>0+(689.1-350)+(0+(-0.351441--0.1785))+0-31.1--0.0158609999999968</f>
        <v>307.84291999999999</v>
      </c>
      <c r="AD71">
        <v>334.3</v>
      </c>
      <c r="AE71" s="3">
        <f>0+(659-293.4)+(0+(0-0))+0-31.3-0</f>
        <v>334.3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0+(660.1-334.2)+(0+(-0.673302--0.340884))+0-31.5--0.032130000000005</f>
        <v>294.09971200000001</v>
      </c>
      <c r="G72" s="3">
        <f>0+(550.3-232.4)+(0+(-1.122612--0.474096))+0-31.4--0.0640559999999986</f>
        <v>285.91554000000002</v>
      </c>
      <c r="H72" s="3">
        <f>0+(521.1-215.8)+(0+(-1.063044--0.440232))+0-27.3--0.0556919999999988</f>
        <v>277.43288000000001</v>
      </c>
      <c r="I72" s="3">
        <f>0+(556.9-252.4)+(0+(-1.136076--0.514896))+0-31.5--0.0642599999999986</f>
        <v>272.44308000000001</v>
      </c>
      <c r="J72" s="3">
        <f>0+(526.3-225.6)+(0+(-0.268413--0.115056))+0-31.5--0.0160649999999968</f>
        <v>269.06270799999987</v>
      </c>
      <c r="K72" s="3">
        <f>0+(532.4-229.9)+(0+(-2.172192--0.937992))+0-31.4--0.128111999999997</f>
        <v>269.99391200000002</v>
      </c>
      <c r="L72" s="3">
        <f>0+(466.5-164.5)+(0+(-0.47583--0.16779))+0-31.3--0.031926000000005</f>
        <v>270.42388599999998</v>
      </c>
      <c r="M72" s="3">
        <f>0+(472.4-148.7)+(0+(-0.481848--0.151674))+0-31.4--0.032028000000005</f>
        <v>292.00185400000004</v>
      </c>
      <c r="N72" s="3">
        <f>0+(618.7-262)+(0+(0-0))+0-31.6-0</f>
        <v>325.10000000000002</v>
      </c>
      <c r="O72" s="3">
        <f>0+(822.9-447.3)+(0+(-0.839358--0.456246))+0-31.7--0.0323340000000051</f>
        <v>343.54922199999999</v>
      </c>
      <c r="P72" s="3">
        <f>0+(818.3-426.9)+(0+(-1.251999--0.653157))+0-31.6--0.0483480000000018</f>
        <v>359.24950599999994</v>
      </c>
      <c r="Q72" s="3">
        <f>0+(847.8-426.9)+(0+(-1.729512--0.870876))+0-31.6--0.0644639999999986</f>
        <v>388.50582799999995</v>
      </c>
      <c r="R72" s="3">
        <f>0+(848.6-445.2)+(0+(-0.865572--0.454104))+0-31.7--0.0323340000000051</f>
        <v>371.32086600000002</v>
      </c>
      <c r="S72" s="3">
        <f>0+(873.7-484.2)+(0+(-0.891174--0.493884))+0-31.7--0.0323340000000051</f>
        <v>357.43504400000006</v>
      </c>
      <c r="T72" s="3">
        <f>0+(934.8-542.5)+(0+(0.476748-0.276675))+0-31.6-0.0161159999999968</f>
        <v>360.8839569999999</v>
      </c>
      <c r="U72" s="3">
        <f>0+(942.1-561.6)+(0+(-0.960942--0.572832))+0-31.6--0.032232000000005</f>
        <v>348.54412200000002</v>
      </c>
      <c r="V72" s="3">
        <f>0+(961.7-580.8)+(0+(-3.433269--2.073456))+0-31.7--0.113169</f>
        <v>347.95335600000016</v>
      </c>
      <c r="W72" s="3">
        <f>0+(892.3-518.9)+(0+(-0.910146--0.529278))+0-31.7--0.0323340000000051</f>
        <v>341.35146599999996</v>
      </c>
      <c r="X72" s="3">
        <f>0+(733-366)+(0+(-1.86915--0.9333))+0-31.6--0.0805799999999954</f>
        <v>334.54472999999996</v>
      </c>
      <c r="Y72" s="3">
        <f>0+(647.5-303.2)+(0+(0-0))+0-31.5-0</f>
        <v>312.8</v>
      </c>
      <c r="Z72" s="3">
        <f>0+(656.1-286)+(0+(0-0))+0-31.5-0</f>
        <v>338.6</v>
      </c>
      <c r="AA72" s="3">
        <f>0+(722.1-347)+(0+(-1.473084--0.70788))+0-31.6--0.0644639999999986</f>
        <v>342.79926</v>
      </c>
      <c r="AB72" s="3">
        <f>0+(821.2-456.6)+(0+(0-0))+0-31.6-0</f>
        <v>333</v>
      </c>
      <c r="AC72" s="3">
        <f>0+(794.1-443.4)+(0+(-1.619964--0.904536))+0-31.4--0.0640559999999986</f>
        <v>318.64862800000009</v>
      </c>
      <c r="AD72">
        <v>348.8</v>
      </c>
      <c r="AE72" s="3">
        <f>0+(709.6-329.1)+(0+(0-0))+0-31.7-0</f>
        <v>348.8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0+(675.7-343)+(0+(-1.378428--0.69972))+0-31.6--0.0644639999999986</f>
        <v>300.48575600000004</v>
      </c>
      <c r="G73" s="3">
        <f>0+(510.7-187)+(0+(-1.302285--0.47685))+0-31.4--0.0800699999999954</f>
        <v>291.55463499999996</v>
      </c>
      <c r="H73" s="3">
        <f>0+(445.2-130.5)+(0+(-0.227052--0.066555))+0-31.5--0.0160649999999968</f>
        <v>283.05556799999994</v>
      </c>
      <c r="I73" s="3">
        <f>0+(463.8-156.3)+(0+(0-0))+0-31.4-0</f>
        <v>276.10000000000002</v>
      </c>
      <c r="J73" s="3">
        <f>0+(459.1-150.7)+(0+(-0.468282--0.153714))+0-31.3--0.031926000000005</f>
        <v>276.81735800000001</v>
      </c>
      <c r="K73" s="3">
        <f>0+(492.7-194.2)+(0+(-1.256385--0.49521))+0-31.4--0.0800699999999954</f>
        <v>266.41889500000002</v>
      </c>
      <c r="L73" s="3">
        <f>0+(461.2-167.5)+(0+(0.470424-0.17085))+0-31.4-0.032028000000005</f>
        <v>262.56754599999999</v>
      </c>
      <c r="M73" s="3">
        <f>0+(494.5-177.9)+(0+(-0.252195--0.090729))+0-31.2--0.0159119999999968</f>
        <v>285.25444600000003</v>
      </c>
      <c r="N73" s="3">
        <f>0+(567.9-221.3)+(0+(0.868887-0.338589))+0-31-0.0474300000000018</f>
        <v>316.08286799999996</v>
      </c>
      <c r="O73" s="3">
        <f>0+(784.2-417.1)+(0+(-0.399942--0.212721))+0-30.5--0.0155549999999969</f>
        <v>336.42833400000001</v>
      </c>
      <c r="P73" s="3">
        <f>0+(715.9-335.1)+(0+(0-0))+0-30.7-0</f>
        <v>350.09999999999997</v>
      </c>
      <c r="Q73" s="3">
        <f>0+(729.6-345.9)+(0+(0-0))+0-31.2-0</f>
        <v>352.50000000000006</v>
      </c>
      <c r="R73" s="3">
        <f>0+(766.8-380.3)+(0+(0.391068-0.193953))+0-31.1-0.0158609999999968</f>
        <v>355.58125399999994</v>
      </c>
      <c r="S73" s="3">
        <f>0+(788.9-412)+(0+(-1.609356--0.84048))+0-30.8--0.0628319999999987</f>
        <v>345.393956</v>
      </c>
      <c r="T73" s="3">
        <f>0+(805.1-425.2)+(0+(-1.642404--0.867408))+0-31--0.0632399999999986</f>
        <v>348.18824400000005</v>
      </c>
      <c r="U73" s="3">
        <f>0+(812.2-441.4)+(0+(-0.828444--0.450228))+0-31--0.0316200000000049</f>
        <v>339.45340400000009</v>
      </c>
      <c r="V73" s="3">
        <f>0+(814.1-437.5)+(0+(-1.660764--0.8925))+0-31.2--0.0636479999999986</f>
        <v>344.69538400000005</v>
      </c>
      <c r="W73" s="3">
        <f>0+(842.6-477.6)+(0+(-2.14863--1.21788))+0-31.2--0.0795599999999955</f>
        <v>332.94881000000004</v>
      </c>
      <c r="X73" s="3">
        <f>0+(862.2-510.6)+(0+(-4.39722--2.60406))+0-31.2--0.159120000000002</f>
        <v>318.76596000000006</v>
      </c>
      <c r="Y73" s="3">
        <f>0+(686.3-345.4)+(0+(-1.050039--0.528462))+0-31.7--0.0485010000000018</f>
        <v>308.726924</v>
      </c>
      <c r="Z73" s="3">
        <f>0+(595.4-233.2)+(0+(0.303654-0.118932))+0-31.1-0.0158609999999968</f>
        <v>331.26886100000002</v>
      </c>
      <c r="AA73" s="3">
        <f>0+(783.5-377.6)+(0+(-1.59834--0.770304))+0-31.1--0.0634439999999986</f>
        <v>374.03540799999996</v>
      </c>
      <c r="AB73" s="3">
        <f>0+(778.2-411.2)+(0+(-0.793764--0.419424))+0-31.1--0.031722000000005</f>
        <v>335.55738200000002</v>
      </c>
      <c r="AC73" s="3">
        <f>0+(827.7-469.4)+(0+(-2.110635--1.19697))+0-31.7--0.0808349999999954</f>
        <v>325.76717000000008</v>
      </c>
      <c r="AD73">
        <v>345.8</v>
      </c>
      <c r="AE73" s="3">
        <f>0+(795.7-418.6)+(0+(0-0))+0-31.3-0</f>
        <v>345.8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0+(716.8-367.9)+(0+(-1.82784--0.938145))+0-32.6--0.0831299999999953</f>
        <v>315.49343499999992</v>
      </c>
      <c r="G74" s="3">
        <f>0+(448.8-115.6)+(0+(-1.14444--0.29478))+0-32.6--0.0831299999999953</f>
        <v>299.83347000000003</v>
      </c>
      <c r="H74" s="3">
        <f>0+(463-140.6)+(0+(0.23613-0.071706))+0-31.4-0.0160139999999968</f>
        <v>291.14841000000001</v>
      </c>
      <c r="I74" s="3">
        <f>0+(450-131.8)+(0+(-0.2295--0.067218))+0-31.1--0.0158609999999968</f>
        <v>286.95357899999993</v>
      </c>
      <c r="J74" s="3">
        <f>0+(402.3-85.7)+(0+(-1.436211--0.305949))+0-31.1--0.111027</f>
        <v>284.48076499999996</v>
      </c>
      <c r="K74" s="3">
        <f>0+(399.1-91.9)+(0+(-1.831869--0.421821))+0-31--0.142290000000005</f>
        <v>274.93224200000003</v>
      </c>
      <c r="L74" s="3">
        <f>0+(390.6-96)+(0+(-0.99603--0.2448))+0-30.9--0.0787949999999955</f>
        <v>263.02756500000004</v>
      </c>
      <c r="M74" s="3">
        <f>0+(355.9-33.2)+(0+(0.544527-0.050796))+0-31.1-0.0475830000000018</f>
        <v>292.04614800000002</v>
      </c>
      <c r="N74" s="3">
        <f>0+(399.4-49.1)+(0+(0.611082-0.075123))+0-31.1-0.0475830000000018</f>
        <v>319.68837599999995</v>
      </c>
      <c r="O74" s="3">
        <f>0+(449.3-84.8)+(0+(0.916572-0.172992))+0-31.1-0.0634439999999986</f>
        <v>334.08013599999998</v>
      </c>
      <c r="P74" s="3">
        <f>0+(432.6-58.1)+(0+(0.661878-0.088893))+0-31-0.0474300000000018</f>
        <v>344.025555</v>
      </c>
      <c r="Q74" s="3">
        <f>0+(397.5-23.6)+(0+(0-0))+0-31.1-0</f>
        <v>342.79999999999995</v>
      </c>
      <c r="R74" s="3">
        <f>52+(429.9-99.2)+(-0.02652+(-0.219249--0.050592))+0-31.1--0.0158609999999968</f>
        <v>351.42068399999994</v>
      </c>
      <c r="S74" s="3">
        <f>113.3+(439.1-183.8)+(-0.288915+(-1.119705--0.46869))+0-31.1--0.0793049999999955</f>
        <v>336.63937499999997</v>
      </c>
      <c r="T74" s="3">
        <f>115.6+(457.1-212.6)+(-0.353736+(-1.398726--0.650556))+0-31.2--0.0954720000000036</f>
        <v>327.89356600000008</v>
      </c>
      <c r="U74" s="3">
        <f>53.3+(431-136.4)+(-0.081549+(-0.65943--0.208692))+0-31.1--0.0475830000000018</f>
        <v>316.31529599999999</v>
      </c>
      <c r="V74" s="3">
        <f>11.1+(417.8-82.4)+(0+(0-0))+0-30.9-0</f>
        <v>315.60000000000002</v>
      </c>
      <c r="W74" s="3">
        <f>0+(409.4-59.7)+(0+(0.417588-0.060894))+0-31.1-0.031722000000005</f>
        <v>318.92497199999997</v>
      </c>
      <c r="X74" s="3">
        <f>0+(500.4-166.4)+(0+(-0.765612--0.254592))+0-30.9--0.0472770000000018</f>
        <v>302.63625700000006</v>
      </c>
      <c r="Y74" s="3">
        <f>0+(514.5-193.6)+(0+(0.262395-0.098736))+0-30.9-0.0157589999999969</f>
        <v>290.14789999999999</v>
      </c>
      <c r="Z74" s="3">
        <f>0+(601.7-252)+(0+(-0.920601--0.38556))+0-30.9--0.0472770000000018</f>
        <v>318.3122360000001</v>
      </c>
      <c r="AA74" s="3">
        <f>0+(622-266.2)+(0+(-0.63444--0.271524))+0-31--0.0316200000000049</f>
        <v>324.46870400000006</v>
      </c>
      <c r="AB74" s="3">
        <f>0+(656.1-304.1)+(0+(-1.003833--0.465273))+0-31--0.0474300000000018</f>
        <v>320.50887</v>
      </c>
      <c r="AC74" s="3">
        <f>0+(608.6-259.2)+(0+(0-0))+0-31-0</f>
        <v>318.40000000000003</v>
      </c>
      <c r="AD74">
        <v>310.79999999999995</v>
      </c>
      <c r="AE74" s="3">
        <f>0+(630.9-289.3)+(0+(0-0))+0-30.8-0</f>
        <v>310.79999999999995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0+(542.1-214.1)+(0+(-0.552942--0.218382))+0-28.1--0.0286620000000045</f>
        <v>299.59410199999996</v>
      </c>
      <c r="G75" s="3">
        <f>0+(465.9-143)+(0+(-0.950436--0.29172))+0-30.9--0.0630359999999986</f>
        <v>291.40431999999998</v>
      </c>
      <c r="H75" s="3">
        <f>0+(404.3-90.7)+(0+(-0.824772--0.185028))+0-30.7--0.0626279999999987</f>
        <v>282.32288400000004</v>
      </c>
      <c r="I75" s="3">
        <f>0+(390.5-85)+(0+(0.199155-0.04335))+0-28.9-0.0147389999999971</f>
        <v>276.74106599999999</v>
      </c>
      <c r="J75" s="3">
        <f>0+(407.8-107)+(0+(-0.415956--0.10914))+0-30.9--0.0315180000000049</f>
        <v>269.62470200000001</v>
      </c>
      <c r="K75" s="3">
        <f>0+(446.6-154.7)+(0+(-0.455532--0.157794))+0-30.9--0.0315180000000049</f>
        <v>260.73378000000008</v>
      </c>
      <c r="L75" s="3">
        <f>0+(399-117.8)+(0+(-1.01745--0.30039))+0-30.9--0.0787949999999955</f>
        <v>249.66173499999996</v>
      </c>
      <c r="M75" s="3">
        <f>0+(389.2-108.4)+(0+(0-0))+0-30.9-0</f>
        <v>249.89999999999995</v>
      </c>
      <c r="N75" s="3">
        <f>0+(425.6-134.7)+(0+(0.651168-0.206091))+0-28.7-0.0439110000000017</f>
        <v>262.60116600000009</v>
      </c>
      <c r="O75" s="3">
        <f>0+(533.9-230.5)+(0+(0.816867-0.352665))+0-31-0.0474300000000018</f>
        <v>272.81677199999996</v>
      </c>
      <c r="P75" s="3">
        <f>0+(684.8-377.2)+(0+(1.74624-0.96186))+0-30.9-0.0787949999999955</f>
        <v>277.40558499999997</v>
      </c>
      <c r="Q75" s="3">
        <f>0+(720.1-407.3)+(0+(1.101753-0.623169))+0-31-0.0474300000000018</f>
        <v>282.231154</v>
      </c>
      <c r="R75" s="3">
        <f>0+(694.4-380.3)+(0+(-0.708288--0.387906))+0-31--0.0316200000000049</f>
        <v>282.811238</v>
      </c>
      <c r="S75" s="3">
        <f>0+(681.8-364.3)+(0+(-0.347718--0.185793))+0-30.9--0.0157589999999969</f>
        <v>286.45383399999997</v>
      </c>
      <c r="T75" s="3">
        <f>0+(687.3-372.8)+(0+(0-0))+0-31-0</f>
        <v>283.49999999999994</v>
      </c>
      <c r="U75" s="3">
        <f>0+(692.4-386.7)+(0+(0-0))+0-30.9-0</f>
        <v>274.8</v>
      </c>
      <c r="V75" s="3">
        <f>0+(694-389.9)+(0+(-1.06182--0.596547))+0-30.9--0.0472770000000018</f>
        <v>272.78200400000003</v>
      </c>
      <c r="W75" s="3">
        <f>0+(706.2-404.1)+(0+(-1.80081--1.030455))+0-30.9--0.0787949999999955</f>
        <v>270.50844000000006</v>
      </c>
      <c r="X75" s="3">
        <f>0+(641.1-345.7)+(0+(-1.634805--0.881535))+0-30.7--0.0782849999999955</f>
        <v>264.02501500000005</v>
      </c>
      <c r="Y75" s="3">
        <f>0+(578.3-284.4)+(0+(-0.589866--0.290088))+0-30.1--0.0307020000000048</f>
        <v>263.53092399999997</v>
      </c>
      <c r="Z75" s="3">
        <f>0+(547.6-225.9)+(0+(-0.558552--0.230418))+0-30.6--0.0312120000000049</f>
        <v>290.80307800000003</v>
      </c>
      <c r="AA75" s="3">
        <f>0+(540.9-210.1)+(0+(-1.103436--0.428604))+0-30.8--0.0628319999999987</f>
        <v>299.38799999999998</v>
      </c>
      <c r="AB75" s="3">
        <f>0+(557.4-232.7)+(0+(-1.137096--0.474708))+0-30.7--0.0626279999999987</f>
        <v>293.40024</v>
      </c>
      <c r="AC75" s="3">
        <f>0+(596.7-276.6)+(0+(-0.608634--0.282132))+0-30.8--0.0314160000000049</f>
        <v>289.00491399999999</v>
      </c>
      <c r="AD75">
        <v>302.39999999999998</v>
      </c>
      <c r="AE75" s="3">
        <f>0+(543.9-210.7)+(0+(0-0))+0-30.8-0</f>
        <v>302.39999999999998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0+(658.1-343.9)+(0+(-1.342524--0.701556))+0-31--0.0632399999999986</f>
        <v>282.62227200000007</v>
      </c>
      <c r="G76" s="3">
        <f>0+(480-172)+(0+(0-0))+0-31.6-0</f>
        <v>276.39999999999998</v>
      </c>
      <c r="H76" s="3">
        <f>0+(463.6-165.2)+(0+(-0.709308--0.252756))+0-31--0.0474300000000018</f>
        <v>266.99087800000007</v>
      </c>
      <c r="I76" s="3">
        <f>0+(453.6-158.2)+(0+(-0.462672--0.161364))+0-30.9--0.0315180000000049</f>
        <v>264.23021000000006</v>
      </c>
      <c r="J76" s="3">
        <f>0+(414.2-121.7)+(0+(0.211242-0.062067))+0-30.9-0.0157589999999969</f>
        <v>261.73341600000003</v>
      </c>
      <c r="K76" s="3">
        <f>0+(430.3-150.7)+(0+(-1.316718--0.461142))+0-31--0.0948600000000036</f>
        <v>247.83928400000005</v>
      </c>
      <c r="L76" s="3">
        <f>0+(425.7-153.9)+(0+(-0.651321--0.235467))+0-30.9--0.0472770000000018</f>
        <v>240.53142299999993</v>
      </c>
      <c r="M76" s="3">
        <f>0+(439.5-159.4)+(0+(0.44829-0.162588))+0-30.8-0.0314160000000049</f>
        <v>249.55428600000002</v>
      </c>
      <c r="N76" s="3">
        <f>0+(452.8-166.6)+(0+(-1.15464--0.42483))+0-30--0.0764999999999956</f>
        <v>255.54669000000004</v>
      </c>
      <c r="O76" s="3">
        <f>0+(485.4-208.3)+(0+(-0.247554--0.106233))+0-7.5--0.00382499999999924</f>
        <v>269.46250399999997</v>
      </c>
      <c r="P76" s="3">
        <f>0+(570.4-284.4)+(0+(0-0))+0-3.2-0</f>
        <v>282.8</v>
      </c>
      <c r="Q76" s="3">
        <f>0+(665.6-374.2)+(0+(0.339456-0.190842))+0-4.2-0.00214199999999957</f>
        <v>287.34647200000006</v>
      </c>
      <c r="R76" s="3">
        <f>0+(706.9-411.7)+(0+(0-0))+0-4.5-0</f>
        <v>290.7</v>
      </c>
      <c r="S76" s="3">
        <f>0+(699.1-411.8)+(0+(-0.356541--0.210018))+0-5--0.00254999999999949</f>
        <v>282.15602699999999</v>
      </c>
      <c r="T76" s="3">
        <f>0+(688-401.1)+(0+(-1.7544--1.022805))+0-5.4--0.0137699999999992</f>
        <v>280.782175</v>
      </c>
      <c r="U76" s="3">
        <f>0+(693.1-405.3)+(0+(-0.706962--0.413406))+0-6--0.00612000000000096</f>
        <v>281.512564</v>
      </c>
      <c r="V76" s="3">
        <f>0+(653.6-368.8)+(0+(-1.66668--0.94044))+0-7.4--0.0188699999999989</f>
        <v>276.69263000000001</v>
      </c>
      <c r="W76" s="3">
        <f>0+(634.6-354.5)+(0+(-1.294584--0.72318))+0-7.9--0.0161159999999997</f>
        <v>271.64471200000008</v>
      </c>
      <c r="X76" s="3">
        <f>0+(643.3-367.1)+(0+(-1.968498--1.123326))+0-9.4--0.0287640000000011</f>
        <v>265.98359199999999</v>
      </c>
      <c r="Y76" s="3">
        <f>0+(595.7-317.3)+(0+(-0.911421--0.485469))+0-10.9--0.0166770000000006</f>
        <v>267.09072500000008</v>
      </c>
      <c r="Z76" s="3">
        <f>0+(561.6-256.8)+(0+(-0.572832--0.261936))+0-12.3--0.012546000000002</f>
        <v>292.20164999999997</v>
      </c>
      <c r="AA76" s="3">
        <f>0+(534.8-218.6)+(0+(-1.090992--0.445944))+0-13.9--0.0283559999999994</f>
        <v>301.68330799999995</v>
      </c>
      <c r="AB76" s="3">
        <f>0+(572.6-262)+(0+(-0.876078--0.40086))+0-14.2--0.0217260000000008</f>
        <v>295.94650800000005</v>
      </c>
      <c r="AC76" s="3">
        <f>0+(618.9-316.2)+(0+(-0.946917--0.483786))+0-16.2--0.0247860000000009</f>
        <v>286.06165500000003</v>
      </c>
      <c r="AD76">
        <v>300</v>
      </c>
      <c r="AE76" s="3">
        <f>0+(526-212)+(0+(0-0))+0-14-0</f>
        <v>300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0+(614-315.1)+(0+(-1.25256--0.642804))+0-18.9--0.0385559999999992</f>
        <v>279.42879999999997</v>
      </c>
      <c r="G77" s="3">
        <f>0+(475.7-186.4)+(0+(0.242607-0.095064))+0-18.9-0.00963899999999808</f>
        <v>270.53790399999997</v>
      </c>
      <c r="H77" s="3">
        <f>0+(483.9-200.4)+(0+(-0.493578--0.204408))+0-22--0.0224400000000035</f>
        <v>261.23327</v>
      </c>
      <c r="I77" s="3">
        <f>0+(487-203.4)+(0+(0-0))+0-24.1-0</f>
        <v>259.5</v>
      </c>
      <c r="J77" s="3">
        <f>0+(521.7-236.5)+(0+(0.798201-0.361845))+0-27.1-0.0414630000000016</f>
        <v>258.49489299999999</v>
      </c>
      <c r="K77" s="3">
        <f>0+(488.8-220.4)+(0+(-1.495728--0.674424))+0-24.5--0.0749700000000028</f>
        <v>243.15366599999999</v>
      </c>
      <c r="L77" s="3">
        <f>0+(419.6-154.8)+(0+(-0.427992--0.157896))+0-29.6--0.0301920000000047</f>
        <v>234.96009599999999</v>
      </c>
      <c r="M77" s="3">
        <f>0+(392.9-114.8)+(0+(0.200379-0.058548))+0-29.9-0.015248999999997</f>
        <v>248.326582</v>
      </c>
      <c r="N77" s="3">
        <f>0+(424.9-136.4)+(0+(0-0))+0-30.3-0</f>
        <v>258.2</v>
      </c>
      <c r="O77" s="3">
        <f>0+(551.9-246.3)+(0+(-0.562938--0.251226))+0-30.3--0.0309060000000048</f>
        <v>275.01919399999997</v>
      </c>
      <c r="P77" s="3">
        <f>0+(700.9-384.4)+(0+(0-0))+0-30.4-0</f>
        <v>286.10000000000002</v>
      </c>
      <c r="Q77" s="3">
        <f>0+(709-388.8)+(0+(0.36159-0.198288))+0-30.4-0.0155039999999969</f>
        <v>289.94779799999998</v>
      </c>
      <c r="R77" s="3">
        <f>0+(673.2-356.5)+(0+(0.686664-0.36363))+0-27-0.0275400000000043</f>
        <v>289.99549400000006</v>
      </c>
      <c r="S77" s="3">
        <f>0+(646.8-331)+(0+(-0.329868--0.16881))+0-30.3--0.0154529999999969</f>
        <v>285.3543949999999</v>
      </c>
      <c r="T77" s="3">
        <f>0+(636.8-323.3)+(0+(0.324768-0.164883))+0-29.3-0.014942999999997</f>
        <v>284.34494199999989</v>
      </c>
      <c r="U77" s="3">
        <f>0+(633.1-318.2)+(0+(-0.645762--0.324564))+0-30.3--0.0309060000000048</f>
        <v>284.30970800000006</v>
      </c>
      <c r="V77" s="3">
        <f>0+(628.8-313.2)+(0+(-0.641376--0.319464))+0-30.5--0.0311100000000049</f>
        <v>284.80919799999998</v>
      </c>
      <c r="W77" s="3">
        <f>0+(663.6-347.1)+(0+(-1.69218--0.885105))+0-30.7--0.0782849999999955</f>
        <v>285.07121000000001</v>
      </c>
      <c r="X77" s="3">
        <f>0+(631.1-319)+(0+(-2.253027--1.13883))+0-30.6--0.109242</f>
        <v>280.495045</v>
      </c>
      <c r="Y77" s="3">
        <f>0+(589.1-281)+(0+(-0.600882--0.28662))+0-30.5--0.0311100000000049</f>
        <v>277.31684800000005</v>
      </c>
      <c r="Z77" s="3">
        <f>0+(553-219.5)+(0+(0.28203-0.111945))+0-30.7-0.0156569999999969</f>
        <v>302.95442800000001</v>
      </c>
      <c r="AA77" s="3">
        <f>0+(516.8-172.1)+(0+(-0.790704--0.263313))+0-30.7--0.0469710000000018</f>
        <v>313.51957999999991</v>
      </c>
      <c r="AB77" s="3">
        <f>0+(579.6-239.8)+(0+(-1.182384--0.489192))+0-30.9--0.0630359999999986</f>
        <v>308.26984400000003</v>
      </c>
      <c r="AC77" s="3">
        <f>0+(655-324.7)+(0+(-1.67025--0.827985))+0-30.8--0.0785399999999955</f>
        <v>298.73627499999998</v>
      </c>
      <c r="AD77">
        <v>303.99999999999994</v>
      </c>
      <c r="AE77" s="3">
        <f>0+(530.8-195.8)+(0+(0-0))+0-31-0</f>
        <v>303.99999999999994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0+(610.7-292.2)+(0+(-0.934371--0.447066))+0-30.9--0.0472770000000018</f>
        <v>287.1599720000001</v>
      </c>
      <c r="G78" s="3">
        <f>0+(494-183.3)+(0+(-0.50388--0.186966))+0-30.7--0.0313140000000049</f>
        <v>279.71440000000001</v>
      </c>
      <c r="H78" s="3">
        <f>0+(466.7-165.5)+(0+(-0.476034--0.16881))+0-30.2--0.0308040000000048</f>
        <v>270.72357999999997</v>
      </c>
      <c r="I78" s="3">
        <f>0+(520.1-223.4)+(0+(0.265251-0.113934))+0-28.9-0.0147389999999971</f>
        <v>267.93657800000005</v>
      </c>
      <c r="J78" s="3">
        <f>0+(468.2-168.7)+(0+(-1.19391--0.430185))+0-30.6--0.0780299999999956</f>
        <v>268.21430499999997</v>
      </c>
      <c r="K78" s="3">
        <f>0+(450-160.8)+(0+(-1.6065--0.574056))+0-29.8--0.106386</f>
        <v>258.47394199999997</v>
      </c>
      <c r="L78" s="3">
        <f>0+(427.6-140.6)+(0+(0.436152-0.143412))+0-30.2-0.0308040000000048</f>
        <v>257.061936</v>
      </c>
      <c r="M78" s="3">
        <f>0+(473.3-150.4)+(0+(0-0))+0-30.7-0</f>
        <v>292.2</v>
      </c>
      <c r="N78" s="3">
        <f>0+(590.8-238.3)+(0+(0-0))+0-30.7-0</f>
        <v>321.79999999999995</v>
      </c>
      <c r="O78" s="3">
        <f>0+(661.5-286.2)+(0+(0.337365-0.145962))+0-30.6-0.0156059999999969</f>
        <v>344.87579699999998</v>
      </c>
      <c r="P78" s="3">
        <f>0+(596.4-214.1)+(0+(0.608328-0.218382))+0-30.6-0.0312120000000049</f>
        <v>352.05873399999996</v>
      </c>
      <c r="Q78" s="3">
        <f>0+(561.9-168.8)+(0+(0.286569-0.086088))+0-30.9-0.0157589999999969</f>
        <v>362.38472200000001</v>
      </c>
      <c r="R78" s="3">
        <f>0+(578.6-183.3)+(0+(0.295086-0.093483))+0-30.5-0.0155549999999969</f>
        <v>364.98604799999998</v>
      </c>
      <c r="S78" s="3">
        <f>0+(587.6-204.3)+(0+(-0.599352--0.208386))+0-29.9--0.0304980000000048</f>
        <v>353.03953200000007</v>
      </c>
      <c r="T78" s="3">
        <f>0+(614.6-227.8)+(0+(-0.313446--0.116178))+0-29.7--0.015146999999997</f>
        <v>356.91787900000003</v>
      </c>
      <c r="U78" s="3">
        <f>0+(638.7-254)+(0+(-1.302948--0.51816))+0-30.2--0.0616079999999987</f>
        <v>353.77682000000004</v>
      </c>
      <c r="V78" s="3">
        <f>0+(650.9-271.4)+(0+(-2.323713--0.968898))+0-31.1--0.111027</f>
        <v>347.15621199999998</v>
      </c>
      <c r="W78" s="3">
        <f>0+(655.5-286.5)+(0+(-1.002915--0.438345))+0-25.5--0.0390150000000015</f>
        <v>342.974445</v>
      </c>
      <c r="X78" s="3">
        <f>0+(692.2-333.2)+(0+(-1.76511--0.84966))+0-30.1--0.0767549999999956</f>
        <v>328.061305</v>
      </c>
      <c r="Y78" s="3">
        <f>0+(575.7-227.4)+(0+(-0.880821--0.347922))+0-30.9--0.0472770000000018</f>
        <v>316.91437800000011</v>
      </c>
      <c r="Z78" s="3">
        <f>0+(593-217.2)+(0+(-0.60486--0.221544))+0-31--0.0316200000000049</f>
        <v>344.44830400000006</v>
      </c>
      <c r="AA78" s="3">
        <f>0+(618-233.4)+(0+(-1.26072--0.476136))+0-31--0.0632399999999986</f>
        <v>352.87865600000003</v>
      </c>
      <c r="AB78" s="3">
        <f>0+(726-349.2)+(0+(-1.48104--0.712368))+0-30.8--0.0628319999999987</f>
        <v>345.29416000000003</v>
      </c>
      <c r="AC78" s="3">
        <f>0+(798.6-432.5)+(0+(-1.221858--0.661725))+0-28.7--0.0439110000000017</f>
        <v>336.88377800000001</v>
      </c>
      <c r="AD78">
        <v>351.19999999999993</v>
      </c>
      <c r="AE78" s="3">
        <f>0+(588.3-205.8)+(0+(0-0))+0-31.3-0</f>
        <v>351.19999999999993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0+(753.7-396.5)+(0+(-1.921935--1.011075))+0-31--0.0790499999999955</f>
        <v>325.36819000000003</v>
      </c>
      <c r="G79" s="3">
        <f>0+(607.7-264.4)+(0+(-1.239708--0.539376))+0-30.8--0.0628319999999987</f>
        <v>311.86250000000007</v>
      </c>
      <c r="H79" s="3">
        <f>0+(501-164.5)+(0+(-0.51102--0.16779))+0-30.9--0.0315180000000049</f>
        <v>305.28828800000002</v>
      </c>
      <c r="I79" s="3">
        <f>0+(418.5-91.3)+(0+(-1.067175--0.232815))+0-30.6--0.0780299999999956</f>
        <v>295.84366999999997</v>
      </c>
      <c r="J79" s="3">
        <f>0+(399.1-71.1)+(0+(-1.017705--0.181305))+0-29.5--0.0752249999999957</f>
        <v>297.73882499999996</v>
      </c>
      <c r="K79" s="3">
        <f>0+(420.8-101.2)+(0+(-1.07304--0.25806))+0-30.1--0.0767549999999956</f>
        <v>288.761775</v>
      </c>
      <c r="L79" s="3">
        <f>0+(405.4-91.8)+(0+(0.206754-0.046818))+0-30.8-0.0157079999999969</f>
        <v>282.94422799999995</v>
      </c>
      <c r="M79" s="3">
        <f>0+(429.9-96.5)+(0+(0-0))+0-31-0</f>
        <v>302.39999999999998</v>
      </c>
      <c r="N79" s="3">
        <f>0+(584.9-211)+(0+(-0.596598--0.21522))+0-31.1--0.031722000000005</f>
        <v>342.45034399999997</v>
      </c>
      <c r="O79" s="3">
        <f>0+(594.9-202.3)+(0+(-0.606798--0.206346))+0-31.3--0.031926000000005</f>
        <v>360.93147399999998</v>
      </c>
      <c r="P79" s="3">
        <f>0+(552-153.3)+(0+(-0.84456--0.234549))+0-31--0.0474300000000018</f>
        <v>367.13741900000002</v>
      </c>
      <c r="Q79" s="3">
        <f>0+(671.4-260.3)+(0+(0.342414-0.132753))+0-31-0.0158099999999969</f>
        <v>380.29385099999996</v>
      </c>
      <c r="R79" s="3">
        <f>0+(717.2-304.9)+(0+(0.731544-0.310998))+0-31-0.0316200000000049</f>
        <v>381.68892600000004</v>
      </c>
      <c r="S79" s="3">
        <f>0+(704.8-298.1)+(0+(-0.718896--0.304062))+0-31--0.0316200000000049</f>
        <v>375.31678599999998</v>
      </c>
      <c r="T79" s="3">
        <f>0+(683.5-281.2)+(0+(-0.348585--0.143412))+0-31.1--0.0158609999999968</f>
        <v>371.01068799999996</v>
      </c>
      <c r="U79" s="3">
        <f>0+(569.4-176)+(0+(-0.290394--0.08976))+0-29.8--0.015197999999997</f>
        <v>363.41456399999998</v>
      </c>
      <c r="V79" s="3">
        <f>0+(591-208.5)+(0+(-0.60282--0.21267))+0-31.2--0.031824000000005</f>
        <v>350.94167400000003</v>
      </c>
      <c r="W79" s="3">
        <f>0+(636.7-264.1)+(0+(-0.974151--0.404073))+0-31--0.0474300000000018</f>
        <v>341.07735200000002</v>
      </c>
      <c r="X79" s="3">
        <f>0+(604.2-248.1)+(0+(-1.54071--0.632655))+0-30.9--0.0787949999999955</f>
        <v>324.37074000000007</v>
      </c>
      <c r="Y79" s="3">
        <f>0+(505.3-154.6)+(0+(-1.030812--0.315384))+0-30.8--0.0628319999999987</f>
        <v>319.24740400000007</v>
      </c>
      <c r="Z79" s="3">
        <f>0+(492.5-114.1)+(0+(0-0))+0-30.8-0</f>
        <v>347.59999999999997</v>
      </c>
      <c r="AA79" s="3">
        <f>0+(595.9-211.1)+(0+(-0.607818--0.215322))+0-31--0.0316200000000049</f>
        <v>353.43912399999999</v>
      </c>
      <c r="AB79" s="3">
        <f>0+(619.8-239.9)+(0+(-0.948294--0.367047))+0-31.1--0.0475830000000018</f>
        <v>348.26633599999991</v>
      </c>
      <c r="AC79" s="3">
        <f>0+(643.3-276.7)+(0+(-0.328083--0.141117))+0-31.1--0.0158609999999968</f>
        <v>335.32889499999993</v>
      </c>
      <c r="AD79">
        <v>358.90000000000003</v>
      </c>
      <c r="AE79" s="3">
        <f>0+(581.1-190.8)+(0+(0-0))+0-31.4-0</f>
        <v>358.90000000000003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0+(602.4-251.1)+(0+(-0.307224--0.128061))+0-31.1--0.0158609999999968</f>
        <v>320.03669799999989</v>
      </c>
      <c r="G80" s="3">
        <f>0+(542-202.1)+(0+(-0.55284--0.206142))+0-31.2--0.031824000000005</f>
        <v>308.38512600000001</v>
      </c>
      <c r="H80" s="3">
        <f>0+(507.9-175.5)+(0+(-0.518058--0.17901))+0-31.1--0.031722000000005</f>
        <v>300.99267399999997</v>
      </c>
      <c r="I80" s="3">
        <f>0+(471.9-140.1)+(0+(-1.444014--0.428706))+0-30.9--0.0945540000000036</f>
        <v>299.97924599999999</v>
      </c>
      <c r="J80" s="3">
        <f>0+(458.8-126)+(0+(0.233988-0.06426))+0-30.9-0.0157589999999969</f>
        <v>302.05396900000005</v>
      </c>
      <c r="K80" s="3">
        <f>0+(447.9-125.5)+(0+(-0.456858--0.12801))+0-30.9--0.0315180000000049</f>
        <v>291.20267000000001</v>
      </c>
      <c r="L80" s="3">
        <f>0+(361.4-42.2)+(0+(-0.368628--0.043044))+0-30.7--0.0313140000000049</f>
        <v>288.20573000000002</v>
      </c>
      <c r="M80" s="3">
        <f>0+(397.6-49.2)+(0+(0.405552-0.050184))+0-31.1-0.031722000000005</f>
        <v>317.62364600000001</v>
      </c>
      <c r="N80" s="3">
        <f>0+(505.8-130.2)+(0+(0.773874-0.199206))+0-31.6-0.0483480000000018</f>
        <v>344.52632</v>
      </c>
      <c r="O80" s="3">
        <f>0+(584.3-194.9)+(0+(0.297993-0.099399))+0-31.6-0.0161159999999968</f>
        <v>357.98247799999996</v>
      </c>
      <c r="P80" s="3">
        <f>0+(624.1-221.9)+(0+(0.318291-0.113169))+0-30.6-0.0156059999999969</f>
        <v>371.78951600000005</v>
      </c>
      <c r="Q80" s="3">
        <f>0+(586.3-179.7)+(0+(0-0))+0-31.5-0</f>
        <v>375.09999999999997</v>
      </c>
      <c r="R80" s="3">
        <f>0+(555.2-152)+(0+(0.283152-0.07752))+0-31.6-0.0161159999999968</f>
        <v>371.78951599999999</v>
      </c>
      <c r="S80" s="3">
        <f>0+(557-163.2)+(0+(-0.85221--0.249696))+0-31.1--0.0475830000000018</f>
        <v>362.14506899999998</v>
      </c>
      <c r="T80" s="3">
        <f>0+(583-192.3)+(0+(0.59466-0.196146))+0-31-0.0316200000000049</f>
        <v>360.06689399999993</v>
      </c>
      <c r="U80" s="3">
        <f>0+(564.2-180.4)+(0+(-1.150968--0.368016))+0-31.4--0.0640559999999986</f>
        <v>351.68110400000006</v>
      </c>
      <c r="V80" s="3">
        <f>0+(589.2-215.6)+(0+(-0.901476--0.329868))+0-30.7--0.0469710000000018</f>
        <v>342.37536299999999</v>
      </c>
      <c r="W80" s="3">
        <f>0+(665.4-295.2)+(0+(-0.678708--0.301104))+0-30.6--0.0312120000000049</f>
        <v>339.25360799999993</v>
      </c>
      <c r="X80" s="3">
        <f>0+(622.6-266.2)+(0+(-2.540208--1.086096))+0-30.5--0.124439999999997</f>
        <v>324.57032800000002</v>
      </c>
      <c r="Y80" s="3">
        <f>0+(512.1-170.8)+(0+(-0.522342--0.174216))+0-30.5--0.0311100000000049</f>
        <v>310.48298400000004</v>
      </c>
      <c r="Z80" s="3">
        <f>0+(443.6-80)+(0+(-0.904944--0.1632))+0-30.4--0.0620159999999987</f>
        <v>332.52027200000003</v>
      </c>
      <c r="AA80" s="3">
        <f>0+(452.8-84.8)+(0+(-1.15464--0.21624))+0-31.4--0.0800699999999954</f>
        <v>335.74167</v>
      </c>
      <c r="AB80" s="3">
        <f>0+(560.2-197.2)+(0+(-1.142808--0.402288))+0-31.2--0.0636479999999986</f>
        <v>331.12312800000007</v>
      </c>
      <c r="AC80" s="3">
        <f>0+(584.5-220.5)+(0+(-1.19238--0.44982))+0-30.6--0.0624239999999987</f>
        <v>332.71986399999997</v>
      </c>
      <c r="AD80">
        <v>336.70000000000005</v>
      </c>
      <c r="AE80" s="3">
        <f>0+(466.6-98.5)+(0+(0-0))+0-31.4-0</f>
        <v>336.70000000000005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0+(503.4-154.5)+(0+(0-0))+0-31.6-0</f>
        <v>317.29999999999995</v>
      </c>
      <c r="G81" s="3">
        <f>0+(450.5-105.6)+(0+(-0.229755--0.053856))+0-31.3--0.0159629999999968</f>
        <v>313.44006399999995</v>
      </c>
      <c r="H81" s="3">
        <f>0+(503-164.3)+(0+(0.25653-0.083793))+0-31.6-0.0161159999999968</f>
        <v>307.25662099999994</v>
      </c>
      <c r="I81" s="3">
        <f>0+(529.2-192.2)+(0+(-0.269892--0.098022))+0-31.6--0.0161159999999968</f>
        <v>305.24424600000003</v>
      </c>
      <c r="J81" s="3">
        <f>0+(532.5-199.9)+(0+(-0.271575--0.101949))+0-31.3--0.0159629999999968</f>
        <v>301.14633700000002</v>
      </c>
      <c r="K81" s="3">
        <f>0+(490.7-164.8)+(0+(-1.251285--0.42024))+0-30.9--0.0787949999999955</f>
        <v>294.24775</v>
      </c>
      <c r="L81" s="3">
        <f>0+(357.5-42.5)+(0+(-0.36465--0.04335))+0-30.9--0.0315180000000049</f>
        <v>283.81021800000002</v>
      </c>
      <c r="M81" s="3">
        <f>0+(355.9-23.2)+(0+(0.363018-0.023664))+0-31.4-0.032028000000005</f>
        <v>301.607326</v>
      </c>
      <c r="N81" s="3">
        <f>0+(565.8-200.6)+(0+(0.865674-0.306918))+0-31.4-0.0480420000000018</f>
        <v>334.31071399999996</v>
      </c>
      <c r="O81" s="3">
        <f>0+(589.2-205.9)+(0+(0-0))+0-31.6-0</f>
        <v>351.70000000000005</v>
      </c>
      <c r="P81" s="3">
        <f>0+(566.7-181.3)+(0+(0-0))+0-31.4-0</f>
        <v>354.00000000000006</v>
      </c>
      <c r="Q81" s="3">
        <f>0+(512.3-121.6)+(0+(0.522546-0.124032))+0-31.1-0.031722000000005</f>
        <v>359.96679199999988</v>
      </c>
      <c r="R81" s="3">
        <f>0+(570.4-174.2)+(0+(-0.290904--0.088842))+0-31.4--0.0160139999999968</f>
        <v>364.61395199999998</v>
      </c>
      <c r="S81" s="3">
        <f>0+(684.4-299)+(0+(-1.396176--0.60996))+0-31.5--0.0642599999999986</f>
        <v>353.17804399999994</v>
      </c>
      <c r="T81" s="3">
        <f>0+(755.8-372.8)+(0+(-1.541832--0.760512))+0-31.5--0.0642599999999986</f>
        <v>350.78293999999994</v>
      </c>
      <c r="U81" s="3">
        <f>0+(809.2-435.9)+(0+(-0.412692--0.222309))+0-31.6--0.0161159999999968</f>
        <v>341.52573300000006</v>
      </c>
      <c r="V81" s="3">
        <f>0+(810.3-449.9)+(0+(-2.066265--1.147245))+0-31.7--0.0808349999999954</f>
        <v>327.86181499999998</v>
      </c>
      <c r="W81" s="3">
        <f>0+(819.4-467)+(0+(-0.835788--0.47634))+0-31.5--0.032130000000005</f>
        <v>320.57268199999999</v>
      </c>
      <c r="X81" s="3">
        <f>0+(772.1-437.8)+(0+(-2.362626--1.339668))+0-31.6--0.0966960000000037</f>
        <v>301.77373799999998</v>
      </c>
      <c r="Y81" s="3">
        <f>0+(714-379.3)+(0+(-0.36414--0.193443))+0-31.5--0.0160649999999968</f>
        <v>303.04536799999994</v>
      </c>
      <c r="Z81" s="3">
        <f>0+(740-382.4)+(0+(-1.1322--0.585072))+0-31.6--0.0483480000000018</f>
        <v>325.50121999999999</v>
      </c>
      <c r="AA81" s="3">
        <f>0+(759.7-406)+(0+(-1.162341--0.62118))+0-31.7--0.0485010000000018</f>
        <v>321.50734000000006</v>
      </c>
      <c r="AB81" s="3">
        <f>0+(630.9-267.6)+(0+(-1.930554--0.818856))+0-31.4--0.0960840000000036</f>
        <v>330.88438600000001</v>
      </c>
      <c r="AC81" s="3">
        <f>0+(701.2-350.4)+(0+(-0.715224--0.357408))+0-31.6--0.032232000000005</f>
        <v>318.87441600000005</v>
      </c>
      <c r="AD81">
        <v>335.40000000000003</v>
      </c>
      <c r="AE81" s="3">
        <f>0+(787.7-420.5)+(0+(0-0))+0-31.8-0</f>
        <v>335.40000000000003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0+(666.6-328.2)+(0+(-1.359864--0.669528))+0-31.5--0.0642599999999986</f>
        <v>306.27392400000002</v>
      </c>
      <c r="G82" s="3">
        <f>0+(490-158.2)+(0+(-1.2495--0.40341))+0-31.5--0.0803249999999954</f>
        <v>299.53423500000002</v>
      </c>
      <c r="H82" s="3">
        <f>0+(411.8-84.5)+(0+(-0.420036--0.08619))+0-31.4--0.032028000000005</f>
        <v>295.59818200000007</v>
      </c>
      <c r="I82" s="3">
        <f>0+(349.8-25.3)+(0+(-0.178398--0.012903))+0-31.4--0.0160139999999968</f>
        <v>292.95051899999999</v>
      </c>
      <c r="J82" s="3">
        <f>0+(406.8-90.7)+(0+(-0.414936--0.092514))+0-31.5--0.032130000000005</f>
        <v>284.309708</v>
      </c>
      <c r="K82" s="3">
        <f>0+(450.6-143.7)+(0+(-1.14903--0.366435))+0-31.4--0.0800699999999954</f>
        <v>274.79747500000002</v>
      </c>
      <c r="L82" s="3">
        <f>0+(459.7-178.9)+(0+(0-0))+0-31.4-0</f>
        <v>249.39999999999995</v>
      </c>
      <c r="M82" s="3">
        <f>0+(476.5-200.1)+(0+(0.243015-0.102051))+0-31.4-0.0160139999999968</f>
        <v>245.12494999999998</v>
      </c>
      <c r="N82" s="3">
        <f>0+(446.2-161.4)+(0+(-0.227562--0.082314))+0-31.4--0.0160139999999968</f>
        <v>253.27076599999995</v>
      </c>
      <c r="O82" s="3">
        <f>0+(511.1-205.9)+(0+(-0.260661--0.105009))+0-31.4--0.0160139999999968</f>
        <v>273.66036200000008</v>
      </c>
      <c r="P82" s="3">
        <f>0+(557.2-241.2)+(0+(-0.284172--0.123012))+0-31.5--0.0160649999999968</f>
        <v>284.35490500000003</v>
      </c>
      <c r="Q82" s="3">
        <f>0+(567.7-246.3)+(0+(0.289527-0.125613))+0-31.5-0.0160649999999968</f>
        <v>290.04784900000004</v>
      </c>
      <c r="R82" s="3">
        <f>0+(608.4-287.3)+(0+(-0.310284--0.146523))+0-31.5--0.0160649999999968</f>
        <v>289.45230399999991</v>
      </c>
      <c r="S82" s="3">
        <f>0+(604.1-287)+(0+(-0.616182--0.29274))+0-31.5--0.032130000000005</f>
        <v>285.30868800000002</v>
      </c>
      <c r="T82" s="3">
        <f>0+(589.9-268.2)+(0+(-1.203396--0.547128))+0-31.4--0.0640559999999986</f>
        <v>289.70778799999999</v>
      </c>
      <c r="U82" s="3">
        <f>0+(606.5-287.8)+(0+(-0.927945--0.440334))+0-31.4--0.0480420000000018</f>
        <v>286.86043100000001</v>
      </c>
      <c r="V82" s="3">
        <f>0+(589.5-276.5)+(0+(-0.901935--0.423045))+0-31.5--0.0481950000000018</f>
        <v>281.06930500000004</v>
      </c>
      <c r="W82" s="3">
        <f>0+(453.3-149.6)+(0+(-1.155915--0.38148))+0-31.5--0.0803249999999954</f>
        <v>271.50589000000008</v>
      </c>
      <c r="X82" s="3">
        <f>0+(501.9-220.1)+(0+(-1.279845--0.561255))+0-31.5--0.0803249999999954</f>
        <v>249.66173499999994</v>
      </c>
      <c r="Y82" s="3">
        <f>0+(510.2-221.9)+(0+(-0.520404--0.226338))+0-31.4--0.032028000000005</f>
        <v>256.63796200000002</v>
      </c>
      <c r="Z82" s="3">
        <f>0+(503.4-190.6)+(0+(0.256734-0.097206))+0-31.5-0.0160649999999968</f>
        <v>281.44346300000001</v>
      </c>
      <c r="AA82" s="3">
        <f>0+(590.7-269.9)+(0+(-1.205028--0.550596))+0-31.6--0.0644639999999986</f>
        <v>288.61003200000005</v>
      </c>
      <c r="AB82" s="3">
        <f>0+(735.1-414.9)+(0+(-0.749802--0.423198))+0-31.6--0.032232000000005</f>
        <v>288.30562800000007</v>
      </c>
      <c r="AC82" s="3">
        <f>0+(734.6-419.9)+(0+(-0.749292--0.428298))+0-31.5--0.032130000000005</f>
        <v>282.91113600000006</v>
      </c>
      <c r="AD82">
        <v>296.2</v>
      </c>
      <c r="AE82" s="3">
        <f>0+(614.4-286.4)+(0+(0-0))+0-31.8-0</f>
        <v>296.2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0+(560.1-243.3)+(0+(-0.571302--0.248166))+0-32.1--0.0327420000000051</f>
        <v>284.409606</v>
      </c>
      <c r="G83" s="3">
        <f>0+(440.3-135.3)+(0+(-1.122765--0.345015))+0-31.8--0.0810899999999954</f>
        <v>272.50333999999998</v>
      </c>
      <c r="H83" s="3">
        <f>0+(444.7-144.7)+(0+(-1.133985--0.368985))+0-30.9--0.0787949999999955</f>
        <v>268.41379500000005</v>
      </c>
      <c r="I83" s="3">
        <f>0+(450.9-153.3)+(0+(0.229959-0.078183))+0-31.5-0.0160649999999968</f>
        <v>266.23571099999998</v>
      </c>
      <c r="J83" s="3">
        <f>0+(478-184.4)+(0+(0-0))+0-31.3-0</f>
        <v>262.3</v>
      </c>
      <c r="K83" s="3">
        <f>0+(517-229.1)+(0+(-1.58202--0.701046))+0-31.4--0.0960840000000036</f>
        <v>255.71510999999998</v>
      </c>
      <c r="L83" s="3">
        <f>0+(520.9-231.7)+(0+(0.796977-0.354501))+0-31.4-0.0480420000000018</f>
        <v>258.194434</v>
      </c>
      <c r="M83" s="3">
        <f>0+(572.7-252.6)+(0+(-0.876231--0.386478))+0-31.5--0.0481950000000018</f>
        <v>288.15844200000004</v>
      </c>
      <c r="N83" s="3">
        <f>0+(641.5-291.3)+(0+(0.65433-0.297126))+0-31.7-0.0323340000000051</f>
        <v>318.82487000000003</v>
      </c>
      <c r="O83" s="3">
        <f>0+(579.8-210.5)+(0+(0.591396-0.21471))+0-31.6-0.032232000000005</f>
        <v>338.04445399999992</v>
      </c>
      <c r="P83" s="3">
        <f>0+(618.2-236.5)+(0+(0.945846-0.361845))+0-31.7-0.0485010000000018</f>
        <v>350.53550000000007</v>
      </c>
      <c r="Q83" s="3">
        <f>0+(649.8-261.6)+(0+(0-0))+0-31.6-0</f>
        <v>356.59999999999991</v>
      </c>
      <c r="R83" s="3">
        <f>0+(660.1-275.5)+(0+(0.336651-0.140505))+0-31.5-0.0160649999999968</f>
        <v>353.28008100000005</v>
      </c>
      <c r="S83" s="3">
        <f>0+(664.5-288.7)+(0+(-0.338895--0.147237))+0-31.5--0.0160649999999968</f>
        <v>344.12440699999996</v>
      </c>
      <c r="T83" s="3">
        <f>0+(674.5-282)+(0+(-0.343995--0.14382))+0-31.3--0.0159629999999968</f>
        <v>361.01578799999999</v>
      </c>
      <c r="U83" s="3">
        <f>0+(744.4-330.2)+(0+(-0.759288--0.336804))+0-31.5--0.032130000000005</f>
        <v>382.30964599999999</v>
      </c>
      <c r="V83" s="3">
        <f>0+(643.7-277)+(0+(-0.656574--0.28254))+0-29.6--0.0301920000000047</f>
        <v>336.75615800000003</v>
      </c>
      <c r="W83" s="3">
        <f>0+(683.7-318)+(0+(-1.394748--0.64872))+0-28.5--0.0581399999999988</f>
        <v>336.512112</v>
      </c>
      <c r="X83" s="3">
        <f>0+(665.5-302)+(0+(-1.697025--0.7701))+0-29.2--0.0744599999999958</f>
        <v>333.44753500000002</v>
      </c>
      <c r="Y83" s="3">
        <f>0+(535.4-194)+(0+(-0.819162--0.29682))+0-27.7--0.0423810000000016</f>
        <v>313.22003899999999</v>
      </c>
      <c r="Z83" s="3">
        <f>0+(538.4-176)+(0+(-0.823752--0.26928))+0-30--0.0459000000000017</f>
        <v>331.89142800000002</v>
      </c>
      <c r="AA83" s="3">
        <f>0+(610.1-232)+(0+(-0.933453--0.35496))+0-28--0.0428400000000016</f>
        <v>349.56434700000005</v>
      </c>
      <c r="AB83" s="3">
        <f>0+(667.8-299.6)+(0+(-0.340578--0.152796))+0-31--0.0158099999999969</f>
        <v>337.02802799999989</v>
      </c>
      <c r="AC83" s="3">
        <f>0+(662.3-320.4)+(0+(-0.675546--0.326808))+0-32--0.0326400000000051</f>
        <v>309.58390199999997</v>
      </c>
      <c r="AD83">
        <v>371.4</v>
      </c>
      <c r="AE83" s="3">
        <f>0+(635.4-232)+(0+(0-0))+0-32-0</f>
        <v>371.4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0+(581.9-232)+(0+(-0.296769--0.11832))+0-31.6--0.0161159999999968</f>
        <v>318.13766699999996</v>
      </c>
      <c r="G84" s="3">
        <f>0+(554.3-217)+(0+(-0.848079--0.33201))+0-31.7--0.0485010000000018</f>
        <v>305.13243199999994</v>
      </c>
      <c r="H84" s="3">
        <f>0+(513.1-184)+(0+(-0.261681--0.09384))+0-31.5--0.0160649999999968</f>
        <v>297.44822399999998</v>
      </c>
      <c r="I84" s="3">
        <f>0+(539.3-212)+(0+(-0.825129--0.32436))+0-31.5--0.0481950000000018</f>
        <v>295.34742599999998</v>
      </c>
      <c r="J84" s="3">
        <f>0+(529.9-211)+(0+(-1.080996--0.43044))+0-31.3--0.0638519999999986</f>
        <v>287.01329599999997</v>
      </c>
      <c r="K84" s="3">
        <f>0+(520.1-203)+(0+(-2.387259--0.93177))+0-31.5--0.144585000000005</f>
        <v>284.28909600000003</v>
      </c>
      <c r="L84" s="3">
        <f>0+(454.9-142)+(0+(-1.855992--0.57936))+0-31.4--0.128111999999997</f>
        <v>280.35147999999998</v>
      </c>
      <c r="M84" s="3">
        <f>0+(395.3-67.5)+(0+(-0.403206--0.06885))+0-31.2--0.031824000000005</f>
        <v>296.29746800000004</v>
      </c>
      <c r="N84" s="3">
        <f>0+(499.1-149.3)+(0+(-1.018164--0.304572))+0-32.1--0.0654839999999986</f>
        <v>317.05189200000001</v>
      </c>
      <c r="O84" s="3">
        <f>0+(575.6-208.5)+(0+(-0.880668--0.319005))+0-32.2--0.0492660000000019</f>
        <v>334.38760300000001</v>
      </c>
      <c r="P84" s="3">
        <f>0+(651.2-271.1)+(0+(-0.664224--0.276522))+0-32.2--0.0328440000000051</f>
        <v>347.54514200000006</v>
      </c>
      <c r="Q84" s="3">
        <f>0+(659.7-281.5)+(0+(-0.336447--0.143565))+0-30.6--0.0156059999999969</f>
        <v>347.42272400000002</v>
      </c>
      <c r="R84" s="3">
        <f>0+(624.5-276.4)+(0+(-0.955485--0.422892))+0-9.6--0.0146880000000006</f>
        <v>337.98209499999996</v>
      </c>
      <c r="S84" s="3">
        <f>0+(642.9-296.1)+(0+(-0.983637--0.453033))+0-9.7--0.0148410000000006</f>
        <v>336.58423699999997</v>
      </c>
      <c r="T84" s="3">
        <f>0+(635.8-290.1)+(0+(0.324258-0.147951))+0-9.7-0.00494699999999902</f>
        <v>336.17135999999994</v>
      </c>
      <c r="U84" s="3">
        <f>0+(634.7-288.8)+(0+(-1.618485--0.73644))+0-9.7--0.0247349999999986</f>
        <v>335.34269000000006</v>
      </c>
      <c r="V84" s="3">
        <f>0+(631.4-286.5)+(0+(0-0))+0-9.6-0</f>
        <v>335.29999999999995</v>
      </c>
      <c r="W84" s="3">
        <f>0+(621-282.4)+(0+(-0.63342--0.288048))+0-9.6--0.00979200000000153</f>
        <v>328.66442000000001</v>
      </c>
      <c r="X84" s="3">
        <f>0+(528.2-201.5)+(0+(-0.808146--0.308295))+0-9.5--0.0145350000000005</f>
        <v>316.71468400000009</v>
      </c>
      <c r="Y84" s="3">
        <f>0+(524.6-210.5)+(0+(-0.267546--0.107355))+0-9.4--0.00479399999999905</f>
        <v>304.54460300000005</v>
      </c>
      <c r="Z84" s="3">
        <f>0+(533-195.8)+(0+(-0.27183--0.099858))+0-9.3--0.00474299999999906</f>
        <v>327.73277100000001</v>
      </c>
      <c r="AA84" s="3">
        <f>0+(529.9-185.5)+(0+(-1.080996--0.37842))+0-9.4--0.0191759999999996</f>
        <v>334.31659999999999</v>
      </c>
      <c r="AB84" s="3">
        <f>0+(516.5-185.8)+(0+(-0.263415--0.094758))+0-9.6--0.00489599999999903</f>
        <v>320.93623899999994</v>
      </c>
      <c r="AC84" s="3">
        <f>0+(551-218)+(0+(0.28101-0.11118))+0-9.7-0.00494699999999902</f>
        <v>323.46488299999999</v>
      </c>
      <c r="AD84">
        <v>329.79999999999995</v>
      </c>
      <c r="AE84" s="3">
        <f>0+(521.4-182)+(0+(0-0))+0-9.6-0</f>
        <v>329.79999999999995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0+(506.9-185.1)+(0+(-1.034076--0.377604))+0-9.9--0.0201959999999996</f>
        <v>311.26372399999997</v>
      </c>
      <c r="G85" s="3">
        <f>0+(343-24.6)+(0+(-0.34986--0.025092))+0-11.1--0.0113220000000018</f>
        <v>306.98655399999996</v>
      </c>
      <c r="H85" s="3">
        <f>0+(365.2-57.7)+(0+(-0.745008--0.117708))+0-12.8--0.0261119999999994</f>
        <v>294.09881200000001</v>
      </c>
      <c r="I85" s="3">
        <f>0+(400.4-100.5)+(0+(-1.02102--0.256275))+0-14.2--0.0362099999999979</f>
        <v>284.97146499999997</v>
      </c>
      <c r="J85" s="3">
        <f>0+(376.1-87.5)+(0+(0.383622-0.08925))+0-14.5-0.0147900000000023</f>
        <v>274.37958200000003</v>
      </c>
      <c r="K85" s="3">
        <f>0+(339.3-49.3)+(0+(-0.865215--0.125715))+0-17.3--0.0441149999999975</f>
        <v>272.00461499999994</v>
      </c>
      <c r="L85" s="3">
        <f>0+(309.5-20)+(0+(-0.789225--0.051))+0-19.3--0.0492149999999972</f>
        <v>269.51098999999999</v>
      </c>
      <c r="M85" s="3">
        <f>0+(324.2-11.6)+(0+(0.330684-0.011832))+0-21.4-0.0218280000000034</f>
        <v>291.49702399999995</v>
      </c>
      <c r="N85" s="3">
        <f>0+(431-79.2)+(0+(0-0))+0-23.4-0</f>
        <v>328.40000000000003</v>
      </c>
      <c r="O85" s="3">
        <f>0+(533.3-162.6)+(0+(0.271983-0.082926))+0-25.3-0.0129029999999974</f>
        <v>345.57615399999992</v>
      </c>
      <c r="P85" s="3">
        <f>0+(584.7-205.8)+(0+(-0.596394--0.209916))+0-27.2--0.0277440000000043</f>
        <v>351.34126600000002</v>
      </c>
      <c r="Q85" s="3">
        <f>0+(610.5-215.6)+(0+(0.311355-0.109956))+0-29.6-0.015095999999997</f>
        <v>365.48630299999996</v>
      </c>
      <c r="R85" s="3">
        <f>0+(619.3-219.9)+(0+(-0.631686--0.224298))+0-30.5--0.0311100000000049</f>
        <v>368.52372199999996</v>
      </c>
      <c r="S85" s="3">
        <f>0+(675.9-298)+(0+(-0.344709--0.15198))+0-30.6--0.0156059999999969</f>
        <v>347.12287699999996</v>
      </c>
      <c r="T85" s="3">
        <f>0+(717-341.2)+(0+(0-0))+0-30.7-0</f>
        <v>345.1</v>
      </c>
      <c r="U85" s="3">
        <f>0+(684-306.2)+(0+(-1.04652--0.468486))+0-30.6--0.0468180000000018</f>
        <v>346.66878399999996</v>
      </c>
      <c r="V85" s="3">
        <f>0+(678-307.8)+(0+(0-0))+0-30.6-0</f>
        <v>339.59999999999997</v>
      </c>
      <c r="W85" s="3">
        <f>0+(728.5-367)+(0+(-0.74307--0.37434))+0-30.6--0.0312120000000049</f>
        <v>330.56248199999993</v>
      </c>
      <c r="X85" s="3">
        <f>0+(667.9-324.2)+(0+(-1.362516--0.661368))+0-30.6--0.0624239999999987</f>
        <v>312.461276</v>
      </c>
      <c r="Y85" s="3">
        <f>0+(616.3-273.6)+(0+(-0.628626--0.279072))+0-30.4--0.0310080000000048</f>
        <v>311.98145399999993</v>
      </c>
      <c r="Z85" s="3">
        <f>0+(569.7-209)+(0+(-0.290547--0.10659))+0-30.5--0.0155549999999969</f>
        <v>330.03159800000003</v>
      </c>
      <c r="AA85" s="3">
        <f>0+(568.8-199.6)+(0+(-0.870264--0.305388))+0-30.6--0.0468180000000018</f>
        <v>338.08194199999991</v>
      </c>
      <c r="AB85" s="3">
        <f>0+(602-236.7)+(0+(-1.5351--0.603585))+0-30.5--0.0777749999999956</f>
        <v>333.94626</v>
      </c>
      <c r="AC85" s="3">
        <f>0+(597.7-238.2)+(0+(-0.609654--0.242964))+0-30.5--0.0311100000000049</f>
        <v>328.66442000000006</v>
      </c>
      <c r="AD85">
        <v>340.89999999999992</v>
      </c>
      <c r="AE85" s="3">
        <f>0+(623.3-251.6)+(0+(0-0))+0-30.8-0</f>
        <v>340.89999999999992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0+(527.8-185.5)+(0+(-0.807534--0.283815))+0-30.7--0.0469710000000018</f>
        <v>311.12325199999992</v>
      </c>
      <c r="G86" s="3">
        <f>0+(485.8-149.8)+(0+(-1.23879--0.38199))+0-30.8--0.0785399999999955</f>
        <v>304.42173999999994</v>
      </c>
      <c r="H86" s="3">
        <f>0+(518-185)+(0+(-0.26418--0.09435))+0-30.9--0.0157589999999969</f>
        <v>301.94592900000004</v>
      </c>
      <c r="I86" s="3">
        <f>0+(520.1-195.7)+(0+(-1.061004--0.399228))+0-30.9--0.0630359999999986</f>
        <v>292.90126000000009</v>
      </c>
      <c r="J86" s="3">
        <f>0+(500.5-181.1)+(0+(-1.276275--0.461805))+0-31--0.0790499999999955</f>
        <v>287.66457999999994</v>
      </c>
      <c r="K86" s="3">
        <f>0+(505.8-192.4)+(0+(-2.063664--0.784992))+0-30.9--0.126071999999997</f>
        <v>281.34739999999999</v>
      </c>
      <c r="L86" s="3">
        <f>0+(404.5-95.8)+(0+(-0.618885--0.146574))+0-30.8--0.0471240000000018</f>
        <v>277.47481299999998</v>
      </c>
      <c r="M86" s="3">
        <f>0+(422.8-82.4)+(0+(0.215628-0.042024))+0-30.4-0.0155039999999969</f>
        <v>310.15809999999999</v>
      </c>
      <c r="N86" s="3">
        <f>0+(463.1-98.3)+(0+(0.236181-0.050133))+0-31-0.0158099999999969</f>
        <v>333.97023800000005</v>
      </c>
      <c r="O86" s="3">
        <f>0+(486.6-107)+(0+(0.248166-0.05457))+0-31-0.0158099999999969</f>
        <v>348.77778600000005</v>
      </c>
      <c r="P86" s="3">
        <f>0+(501.2-113)+(0+(0.255612-0.05763))+0-31-0.0158099999999969</f>
        <v>357.38217200000003</v>
      </c>
      <c r="Q86" s="3">
        <f>0+(568.1-165.5)+(0+(0.289731-0.084405))+0-30.9-0.0157589999999969</f>
        <v>371.88956700000006</v>
      </c>
      <c r="R86" s="3">
        <f>0+(540.7-133.5)+(0+(0.275757-0.068085))+0-30.9-0.0157589999999969</f>
        <v>376.49191300000007</v>
      </c>
      <c r="S86" s="3">
        <f>0+(528.4-135.3)+(0+(-0.538968--0.138006))+0-31.1--0.031722000000005</f>
        <v>361.63075999999995</v>
      </c>
      <c r="T86" s="3">
        <f>0+(538.7-145.9)+(0+(-0.274737--0.074409))+0-31.1--0.0158609999999968</f>
        <v>361.515533</v>
      </c>
      <c r="U86" s="3">
        <f>0+(528.2-135.8)+(0+(-1.077528--0.277032))+0-31--0.0632399999999986</f>
        <v>360.66274400000003</v>
      </c>
      <c r="V86" s="3">
        <f>0+(557-165.5)+(0+(0-0))+0-31-0</f>
        <v>360.5</v>
      </c>
      <c r="W86" s="3">
        <f>0+(594.8-217.7)+(0+(-1.820088--0.666162))+0-31.1--0.0951660000000036</f>
        <v>344.94123999999994</v>
      </c>
      <c r="X86" s="3">
        <f>0+(642.3-275.7)+(0+(-2.293011--0.984249))+0-31.6--0.112812</f>
        <v>333.80404999999996</v>
      </c>
      <c r="Y86" s="3">
        <f>0+(529.8-174.1)+(0+(-1.35099--0.443955))+0-31.4--0.0800699999999954</f>
        <v>323.47303499999992</v>
      </c>
      <c r="Z86" s="3">
        <f>0+(541.5-166.5)+(0+(0-0))+0-31.6-0</f>
        <v>343.4</v>
      </c>
      <c r="AA86" s="3">
        <f>0+(536.6-154.4)+(0+(-1.641996--0.472464))+0-31.6--0.0966960000000037</f>
        <v>349.52716400000003</v>
      </c>
      <c r="AB86" s="3">
        <f>0+(596.6-215.9)+(0+(-0.608532--0.220218))+0-31.6--0.032232000000005</f>
        <v>348.74391800000006</v>
      </c>
      <c r="AC86" s="3">
        <f>0+(629.7-262.8)+(0+(0.321147-0.134028))+0-31.5-0.0160649999999968</f>
        <v>335.57105400000006</v>
      </c>
      <c r="AD86">
        <v>347.7</v>
      </c>
      <c r="AE86" s="3">
        <f>0+(534.3-154.7)+(0+(0-0))+0-31.9-0</f>
        <v>347.7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0+(651.1-298.1)+(0+(-1.660305--0.760155))+0-31.6--0.0805799999999954</f>
        <v>320.58042999999998</v>
      </c>
      <c r="G87" s="3">
        <f>0+(562.7-219.8)+(0+(-0.860931--0.336294))+0-31.6--0.0483480000000018</f>
        <v>310.823711</v>
      </c>
      <c r="H87" s="3">
        <f>0+(530.2-195.1)+(0+(-0.540804--0.199002))+0-31.4--0.032028000000005</f>
        <v>303.3902260000001</v>
      </c>
      <c r="I87" s="3">
        <f>0+(515.1-182.5)+(0+(-1.050804--0.3723))+0-31.5--0.0642599999999986</f>
        <v>300.48575600000004</v>
      </c>
      <c r="J87" s="3">
        <f>0+(512.6-184.6)+(0+(0.261426-0.094146))+0-31.5-0.0160649999999968</f>
        <v>296.65121500000004</v>
      </c>
      <c r="K87" s="3">
        <f>0+(494.2-183.6)+(0+(-0.252042--0.093636))+0-31.5--0.0160649999999968</f>
        <v>278.95765899999998</v>
      </c>
      <c r="L87" s="3">
        <f>0+(421.2-110.7)+(0+(0.214812-0.056457))+0-31.4-0.0160139999999968</f>
        <v>279.24234100000001</v>
      </c>
      <c r="M87" s="3">
        <f>0+(466.2-131.6)+(0+(0.237762-0.067116))+0-30.8-0.0157079999999969</f>
        <v>303.95493799999997</v>
      </c>
      <c r="N87" s="3">
        <f>0+(529.4-161.4)+(0+(-0.269994--0.082314))+0-32--0.0163199999999968</f>
        <v>335.82864000000001</v>
      </c>
      <c r="O87" s="3">
        <f>0+(540.3-158.3)+(0+(-0.275553--0.080733))+0-31.7--0.0161669999999968</f>
        <v>350.12134699999996</v>
      </c>
      <c r="P87" s="3">
        <f>0+(529.1-138)+(0+(-0.269841--0.07038))+0-29.2--0.014891999999997</f>
        <v>361.71543100000002</v>
      </c>
      <c r="Q87" s="3">
        <f>0+(498-90.5)+(0+(-0.76194--0.138465))+0-32--0.0489600000000018</f>
        <v>374.92548500000004</v>
      </c>
      <c r="R87" s="3">
        <f>0+(470.8-62)+(0+(-0.240108--0.03162))+0-32.1--0.0163709999999967</f>
        <v>376.50788299999999</v>
      </c>
      <c r="S87" s="3">
        <f>0+(454.6-54.8)+(0+(-0.463692--0.055896))+0-32--0.0326400000000051</f>
        <v>367.42484400000001</v>
      </c>
      <c r="T87" s="3">
        <f>0+(461.1-63.7)+(0+(-0.705483--0.097461))+0-32.1--0.0491130000000019</f>
        <v>364.74109099999998</v>
      </c>
      <c r="U87" s="3">
        <f>0+(469.6-77.4)+(0+(-1.19748--0.19737))+0-31.6--0.0805799999999954</f>
        <v>359.68047000000001</v>
      </c>
      <c r="V87" s="3">
        <f>0+(461.3-80.4)+(0+(-0.941052--0.164016))+0-25.6--0.0522239999999989</f>
        <v>354.57518799999997</v>
      </c>
      <c r="W87" s="3">
        <f>0+(481.4-109.4)+(0+(-0.736542--0.167382))+0-27.5--0.0420750000000016</f>
        <v>343.972915</v>
      </c>
      <c r="X87" s="3">
        <f>0+(479.2-141.2)+(0+(-1.466352--0.432072))+0-20.7--0.0633420000000024</f>
        <v>316.32906199999996</v>
      </c>
      <c r="Y87" s="3">
        <f>0+(494.6-155)+(0+(-0.756738--0.23715))+0-28.1--0.0429930000000016</f>
        <v>311.02340500000003</v>
      </c>
      <c r="Z87" s="3">
        <f>0+(475.1-106.2)+(0+(-0.242301--0.054162))+0-30.9--0.0157589999999969</f>
        <v>337.82762000000008</v>
      </c>
      <c r="AA87" s="3">
        <f>0+(434.4-56.1)+(0+(-0.664632--0.085833))+0-31.7--0.0485010000000018</f>
        <v>346.06970199999995</v>
      </c>
      <c r="AB87" s="3">
        <f>0+(450.5-84.1)+(0+(-0.45951--0.085782))+0-28.1--0.0286620000000045</f>
        <v>337.95493399999992</v>
      </c>
      <c r="AC87" s="3">
        <f>0+(479.6-114.4)+(0+(-0.489192--0.116688))+0-31--0.0316200000000049</f>
        <v>333.85911600000009</v>
      </c>
      <c r="AD87">
        <v>336.79999999999995</v>
      </c>
      <c r="AE87" s="3">
        <f>0+(435-65.6)+(0+(0-0))+0-32.6-0</f>
        <v>336.79999999999995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0+(476.4-123.3)+(0+(-0.728892--0.188649))+0-31.4--0.0480420000000018</f>
        <v>321.20779900000002</v>
      </c>
      <c r="G88" s="3">
        <f>0+(412.2-78.4)+(0+(-0.420444--0.079968))+0-31.8--0.0324360000000051</f>
        <v>301.69195999999994</v>
      </c>
      <c r="H88" s="3">
        <f>0+(327.8-15.7)+(0+(-0.83589--0.040035))+0-24.6--0.0627299999999964</f>
        <v>286.76687499999997</v>
      </c>
      <c r="I88" s="3">
        <f>0+(297.8-0)+(0+(0-0))+0-9.8-0</f>
        <v>288</v>
      </c>
      <c r="J88" s="3">
        <f>0+(333.2-31.4)+(0+(-1.019592--0.096084))+0-9.6--0.0293760000000011</f>
        <v>291.30586799999998</v>
      </c>
      <c r="K88" s="3">
        <f>0+(331-41.8)+(0+(-0.84405--0.10659))+0-9.6--0.0244799999999986</f>
        <v>278.88701999999995</v>
      </c>
      <c r="L88" s="3">
        <f>0+(344.3-65.3)+(0+(-0.526779--0.099909))+0-9.6--0.0146880000000006</f>
        <v>268.98781799999995</v>
      </c>
      <c r="M88" s="3">
        <f>0+(368-84.2)+(0+(-0.56304--0.128826))+0-9.7--0.0148410000000006</f>
        <v>273.68062700000002</v>
      </c>
      <c r="N88" s="3">
        <f>0+(336.5-35.5)+(0+(-0.34323--0.03621))+0-9.4--0.0095880000000015</f>
        <v>291.30256800000001</v>
      </c>
      <c r="O88" s="3">
        <f>0+(416.9-107.2)+(0+(-0.850476--0.218688))+0-9.3--0.0189719999999996</f>
        <v>299.78718400000002</v>
      </c>
      <c r="P88" s="3">
        <f>0+(445.1-126.1)+(0+(0.227001-0.064311))+0-9.4-0.00479399999999905</f>
        <v>309.75789600000002</v>
      </c>
      <c r="Q88" s="3">
        <f>0+(430.5-108.5)+(0+(-0.43911--0.11067))+0-9.4--0.0095880000000015</f>
        <v>312.28114800000003</v>
      </c>
      <c r="R88" s="3">
        <f>0+(460.5-139.5)+(0+(-0.234855--0.071145))+0-9.4--0.00479399999999905</f>
        <v>311.44108400000005</v>
      </c>
      <c r="S88" s="3">
        <f>0+(427.5-115)+(0+(-0.654075--0.17595))+0-9.5--0.0145350000000005</f>
        <v>302.53641000000005</v>
      </c>
      <c r="T88" s="3">
        <f>0+(397.2-86.3)+(0+(-0.405144--0.088026))+0-9.5--0.00969000000000152</f>
        <v>301.09257199999996</v>
      </c>
      <c r="U88" s="3">
        <f>0+(416.8-109.1)+(0+(-0.637704--0.166923))+0-9.4--0.0143820000000005</f>
        <v>297.84360100000009</v>
      </c>
      <c r="V88" s="3">
        <f>0+(386.5-79.9)+(0+(-0.591345--0.122247))+0-9.9--0.0151470000000006</f>
        <v>296.24604900000008</v>
      </c>
      <c r="W88" s="3">
        <f>0+(402.3-99.3)+(0+(-0.615519--0.151929))+0-10.6--0.0162180000000006</f>
        <v>291.95262799999995</v>
      </c>
      <c r="X88" s="3">
        <f>0+(439.7-140.6)+(0+(-1.345482--0.430236))+0-11.8--0.0361080000000014</f>
        <v>286.420862</v>
      </c>
      <c r="Y88" s="3">
        <f>0+(470.8-175.5)+(0+(-0.720324--0.268515))+0-13.7--0.0209610000000008</f>
        <v>281.169152</v>
      </c>
      <c r="Z88" s="3">
        <f>0+(417.3-79.1)+(0+(0.425646-0.080682))+0-13.5-0.0137700000000022</f>
        <v>325.03119400000003</v>
      </c>
      <c r="AA88" s="3">
        <f>0+(381.6-31.1)+(0+(-1.167696--0.095166))+0-16.6--0.0507960000000019</f>
        <v>332.878266</v>
      </c>
      <c r="AB88" s="3">
        <f>0+(395.7-62)+(0+(-0.403614--0.06324))+0-18.8--0.019176000000003</f>
        <v>314.578802</v>
      </c>
      <c r="AC88" s="3">
        <f>0+(439.8-108.5)+(0+(-0.448596--0.11067))+0-20.7--0.0211140000000033</f>
        <v>310.28318800000005</v>
      </c>
      <c r="AD88">
        <v>323.60000000000002</v>
      </c>
      <c r="AE88" s="3">
        <f>0+(377.2-37.4)+(0+(0-0))+0-16.2-0</f>
        <v>323.60000000000002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0+(365.1-40.6)+(0+(0.372402-0.041412))+0-22.5-0.0229500000000036</f>
        <v>302.30804000000001</v>
      </c>
      <c r="G89" s="3">
        <f>0+(318.6-5.4)+(0+(-0.649944--0.011016))+0-24.1--0.049163999999999</f>
        <v>288.51023600000002</v>
      </c>
      <c r="H89" s="3">
        <f>0+(284.8-0)+(0+(0-0))+0-26.4-0</f>
        <v>258.40000000000003</v>
      </c>
      <c r="I89" s="3">
        <f>0+(296.6-0)+(0+(-0.302532-0))+0-28.1--0.0286620000000045</f>
        <v>268.22613000000001</v>
      </c>
      <c r="J89" s="3">
        <f>0+(290.3-0)+(0+(0-0))+0-29.9-0</f>
        <v>260.40000000000003</v>
      </c>
      <c r="K89" s="3">
        <f>0+(290.9-13.4)+(0+(-0.890154--0.041004))+0-30.2--0.0924120000000035</f>
        <v>246.543262</v>
      </c>
      <c r="L89" s="3">
        <f>0+(284-17.7)+(0+(-0.7242--0.045135))+0-30.2--0.0770099999999956</f>
        <v>235.49794500000004</v>
      </c>
      <c r="M89" s="3">
        <f>0+(311.3-40.6)+(0+(-0.317526--0.041412))+0-30.3--0.0309060000000048</f>
        <v>240.15479199999999</v>
      </c>
      <c r="N89" s="3">
        <f>0+(280-0)+(0+(0.1428-0))+0-30.4-0.0155039999999969</f>
        <v>249.72729600000002</v>
      </c>
      <c r="O89" s="3">
        <f>0+(297.8-0)+(0+(-0.607512-0))+0-29.8--0.0607919999999987</f>
        <v>267.45328000000001</v>
      </c>
      <c r="P89" s="3">
        <f>0+(296.7-0)+(0+(0.151317-0))+0-29.8-0.015197999999997</f>
        <v>267.03611899999999</v>
      </c>
      <c r="Q89" s="3">
        <f>0+(325.3-18.2)+(0+(0-0))+0-28.8-0</f>
        <v>278.3</v>
      </c>
      <c r="R89" s="3">
        <f>0+(354.3-41.3)+(0+(0-0))+0-30.1-0</f>
        <v>282.89999999999998</v>
      </c>
      <c r="S89" s="3">
        <f>0+(347.3-38.9)+(0+(-0.177123--0.019839))+0-30.1--0.0153509999999969</f>
        <v>278.15806700000002</v>
      </c>
      <c r="T89" s="3">
        <f>0+(334.4-28.5)+(0+(0.170544-0.014535))+0-30.1-0.0153509999999969</f>
        <v>275.94065799999993</v>
      </c>
      <c r="U89" s="3">
        <f>0+(348.9-42.1)+(0+(-0.177939--0.021471))+0-30.2--0.0154019999999969</f>
        <v>276.45893399999994</v>
      </c>
      <c r="V89" s="3">
        <f>0+(353.1-51)+(0+(-0.720324--0.10404))+0-30.7--0.0626279999999987</f>
        <v>270.84634400000004</v>
      </c>
      <c r="W89" s="3">
        <f>0+(301.2-4.8)+(0+(-0.153612--0.002448))+0-30.8--0.0157079999999969</f>
        <v>265.46454399999999</v>
      </c>
      <c r="X89" s="3">
        <f>0+(292.5-0)+(0+(-0.89505-0))+0-30.7--0.0939420000000036</f>
        <v>260.99889200000001</v>
      </c>
      <c r="Y89" s="3">
        <f>0+(328.4-32.9)+(0+(-0.502452--0.050337))+0-30.7--0.0469710000000018</f>
        <v>264.394856</v>
      </c>
      <c r="Z89" s="3">
        <f>0+(369.1-45.2)+(0+(1.129446-0.138312))+0-30.9-0.0945540000000036</f>
        <v>293.89658000000003</v>
      </c>
      <c r="AA89" s="3">
        <f>0+(343.1-7.9)+(0+(-0.174981--0.004029))+0-31--0.0158099999999969</f>
        <v>304.04485800000003</v>
      </c>
      <c r="AB89" s="3">
        <f>0+(406.3-64.2)+(0+(-0.414426--0.065484))+0-31.5--0.032130000000005</f>
        <v>310.283188</v>
      </c>
      <c r="AC89" s="3">
        <f>0+(461.4-129.5)+(0+(-0.470628--0.13209))+0-31.6--0.032232000000005</f>
        <v>299.99369399999995</v>
      </c>
      <c r="AD89">
        <v>312.90000000000003</v>
      </c>
      <c r="AE89" s="3">
        <f>0+(357.6-13.7)+(0+(0-0))+0-31-0</f>
        <v>312.90000000000003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0+(384.7-66.4)+(0+(-0.980985--0.16932))+0-31.4--0.0800699999999954</f>
        <v>286.16840499999995</v>
      </c>
      <c r="G90" s="3">
        <f>0+(308.3-0)+(0+(-0.943398-0))+0-31.4--0.0960840000000036</f>
        <v>276.05268600000005</v>
      </c>
      <c r="H90" s="3">
        <f>0+(305.2-0)+(0+(-0.622608-0))+0-31.4--0.0640559999999986</f>
        <v>273.24144799999999</v>
      </c>
      <c r="I90" s="3">
        <f>0+(298.6-0)+(0+(-0.304572-0))+0-31.2--0.031824000000005</f>
        <v>267.12725200000006</v>
      </c>
      <c r="J90" s="3">
        <f>0+(298.2-0)+(0+(-0.76041-0))+0-31.3--0.0798149999999955</f>
        <v>266.21940499999999</v>
      </c>
      <c r="K90" s="3">
        <f>0+(288.9-0)+(0+(-0.294678-0))+0-31.2--0.031824000000005</f>
        <v>257.43714600000004</v>
      </c>
      <c r="L90" s="3">
        <f>0+(301.1-11.9)+(0+(-0.153561--0.006069))+0-31.2--0.0159119999999968</f>
        <v>257.86842000000007</v>
      </c>
      <c r="M90" s="3">
        <f>0+(355.1-29.1)+(0+(0.181101-0.014841))+0-31.4-0.0160139999999968</f>
        <v>294.75024600000006</v>
      </c>
      <c r="N90" s="3">
        <f>0+(386.9-26.6)+(0+(0.394638-0.027132))+0-32.3-0.0329460000000051</f>
        <v>328.33455999999995</v>
      </c>
      <c r="O90" s="3">
        <f>0+(503.7-120.5)+(0+(0.513774-0.12291))+0-31.6-0.032232000000005</f>
        <v>351.95863199999997</v>
      </c>
      <c r="P90" s="3">
        <f>0+(457.6-71)+(0+(-0.466752--0.07242))+0-30.9--0.0315180000000049</f>
        <v>355.33718600000003</v>
      </c>
      <c r="Q90" s="3">
        <f>0+(447.9-37.3)+(0+(0.456858-0.038046))+0-30.5-0.0311100000000049</f>
        <v>380.48770199999996</v>
      </c>
      <c r="R90" s="3">
        <f>0+(503.2-95.1)+(0+(0-0))+0-30.6-0</f>
        <v>377.5</v>
      </c>
      <c r="S90" s="3">
        <f>0+(530.4-131.2)+(0+(0.541008-0.133824))+0-30.6-0.0312120000000049</f>
        <v>368.97597199999996</v>
      </c>
      <c r="T90" s="3">
        <f>48+(522.6-174.2)+(-0.04896+(-0.533052--0.177684))+0-30.6--0.0312120000000049</f>
        <v>365.42688399999997</v>
      </c>
      <c r="U90" s="3">
        <f>114+(525.1-238.3)+(-0.11628+(-0.535602--0.243066))+0-30.6--0.0312120000000049</f>
        <v>369.82239599999997</v>
      </c>
      <c r="V90" s="3">
        <f>114+(435-160.6)+(-0.23256+(-0.8874--0.327624))+0-30.4--0.0620159999999987</f>
        <v>357.26967999999999</v>
      </c>
      <c r="W90" s="3">
        <f>115+(456.1-198.4)+(-0.3519+(-1.395666--0.607104))+0-30.5--0.0933300000000035</f>
        <v>341.15286800000001</v>
      </c>
      <c r="X90" s="3">
        <f>109+(491.2-245)+(-0.33354+(-1.503072--0.7497))+0-30.3--0.0927180000000035</f>
        <v>323.90580599999998</v>
      </c>
      <c r="Y90" s="3">
        <f>6+(512.3-175.8)+(-0.00918+(-0.783819--0.268974))+0-30.5--0.0466650000000018</f>
        <v>311.52263999999997</v>
      </c>
      <c r="Z90" s="3">
        <f>0+(459.5-100.7)+(0+(0-0))+0-29.4-0</f>
        <v>329.40000000000003</v>
      </c>
      <c r="AA90" s="3">
        <f>0+(537.6-164.6)+(0+(-0.822528--0.251838))+0-30.6--0.0468180000000018</f>
        <v>341.87612799999999</v>
      </c>
      <c r="AB90" s="3">
        <f>0+(565.3-199.3)+(0+(-1.441515--0.508215))+0-30.7--0.0782849999999955</f>
        <v>334.44498499999997</v>
      </c>
      <c r="AC90" s="3">
        <f>0+(658.4-303.3)+(0+(0-0))+0-30.6-0</f>
        <v>324.49999999999994</v>
      </c>
      <c r="AD90">
        <v>346.8</v>
      </c>
      <c r="AE90" s="3">
        <f>0+(564.6-187)+(0+(0-0))+0-30.8-0</f>
        <v>346.8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0+(661.7-324.2)+(0+(-0.337467--0.165342))+0-30.6--0.0156059999999969</f>
        <v>306.74348100000003</v>
      </c>
      <c r="G91" s="3">
        <f>0+(613.5-291)+(0+(-0.62577--0.29682))+0-25.7--0.0262140000000041</f>
        <v>296.49726399999997</v>
      </c>
      <c r="H91" s="3">
        <f>0+(421.3-100.2)+(0+(-0.859452--0.204408))+0-30.4--0.0620159999999987</f>
        <v>290.10697200000004</v>
      </c>
      <c r="I91" s="3">
        <f>0+(383.4-64.8)+(0+(0-0))+0-30.3-0</f>
        <v>288.29999999999995</v>
      </c>
      <c r="J91" s="3">
        <f>0+(345.9-21.9)+(0+(-0.705636--0.044676))+0-31.1--0.0634439999999986</f>
        <v>292.30248399999999</v>
      </c>
      <c r="K91" s="3">
        <f>0+(399.1-90.8)+(0+(-1.221246--0.277848))+0-31.1--0.0951660000000036</f>
        <v>276.35176799999999</v>
      </c>
      <c r="L91" s="3">
        <f>0+(359.7-61.5)+(0+(-1.284129--0.219555))+0-26.9--0.0960330000000004</f>
        <v>270.331459</v>
      </c>
      <c r="M91" s="3">
        <f>0+(464.5-132.7)+(0+(0.236895-0.067677))+0-31.5-0.0160649999999968</f>
        <v>300.45315300000004</v>
      </c>
      <c r="N91" s="3">
        <f>0+(601.9-236.5)+(0+(0.920907-0.361845))+0-31.7-0.0485010000000018</f>
        <v>334.21056099999998</v>
      </c>
      <c r="O91" s="3">
        <f>0+(609.3-232.6)+(0+(0.310743-0.118626))+0-30-0.015299999999997</f>
        <v>346.8768169999999</v>
      </c>
      <c r="P91" s="3">
        <f>18+(607.6-240.7)+(0+(0-0))+0-32.1-0</f>
        <v>352.8</v>
      </c>
      <c r="Q91" s="3">
        <f>98+(566.8-288.6)+(0.09996+(0.578136-0.294372))+0-16.3-0.0166260000000026</f>
        <v>360.26709799999986</v>
      </c>
      <c r="R91" s="3">
        <f>116+(587.9-338.1)+(0+(0-0))+0-0-0</f>
        <v>365.79999999999995</v>
      </c>
      <c r="S91" s="3">
        <f>115+(636.2-395.9)+(0+(0-0))+0-0-0</f>
        <v>355.30000000000007</v>
      </c>
      <c r="T91" s="3">
        <f>115+(609.2-357.5)+(0+(0-0))+0-8.1-0</f>
        <v>358.6</v>
      </c>
      <c r="U91" s="3">
        <f>115+(617.8-365.4)+(-0.1173+(-0.630156--0.372708))+0-12.7--0.012954000000002</f>
        <v>354.33820599999996</v>
      </c>
      <c r="V91" s="3">
        <f>114+(634.8-383.1)+(-0.05814+(-0.323748--0.195381))+0-21--0.0107099999999979</f>
        <v>344.52420299999994</v>
      </c>
      <c r="W91" s="3">
        <f>114+(690.4-439.3)+(0+(0-0))+0-28.3-0</f>
        <v>336.79999999999995</v>
      </c>
      <c r="X91" s="3">
        <f>115+(715.6-468.3)+(-0.05865+(-0.364956--0.238833))+0-30.7--0.0156569999999969</f>
        <v>331.43088399999999</v>
      </c>
      <c r="Y91" s="3">
        <f>58+(560.7-269.1)+(0+(0-0))+0-31.3-0</f>
        <v>318.3</v>
      </c>
      <c r="Z91" s="3">
        <f>60+(444.7-136.9)+(-0.0612+(-0.453594--0.139638))+0-31.4--0.032028000000005</f>
        <v>336.056872</v>
      </c>
      <c r="AA91" s="3">
        <f>117+(458.6-194.6)+(-0.17901+(-0.701658--0.297738))+0-31.4--0.0480420000000018</f>
        <v>349.06511200000006</v>
      </c>
      <c r="AB91" s="3">
        <f>118+(518.1-261.1)+(-0.12036+(-0.528462--0.266322))+0-31.5--0.032130000000005</f>
        <v>343.14963</v>
      </c>
      <c r="AC91" s="3">
        <f>119+(541.2-303.4)+(-0.12138+(-0.552024--0.309468))+0-23.6--0.0240720000000038</f>
        <v>332.86013600000001</v>
      </c>
      <c r="AD91">
        <v>356.1</v>
      </c>
      <c r="AE91" s="3">
        <f>118+(495.6-225.8)+(0+(0-0))+0-31.7-0</f>
        <v>356.1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121+(533.7-335.6)+(-0.37026+(-1.633122--1.026936))+0-1--0.00306000000000012</f>
        <v>317.12661400000002</v>
      </c>
      <c r="G92" s="3">
        <f>122+(302.1-116.4)+(-0.24888+(-0.616284--0.237456))+0-1.4--0.00285599999999994</f>
        <v>305.67514800000009</v>
      </c>
      <c r="H92" s="3">
        <f>16+(291.5-0)+(-0.02448+(-0.445995-0))+0-6--0.00918000000000035</f>
        <v>301.03870499999999</v>
      </c>
      <c r="I92" s="3">
        <f>0+(297.1-0)+(0+(0.303042-0))+0-6.8-0.00693600000000108</f>
        <v>290.59610600000002</v>
      </c>
      <c r="J92" s="3">
        <f>0+(311.2-15)+(0+(-0.634848--0.0306))+0-7.9--0.0161159999999997</f>
        <v>287.71186800000004</v>
      </c>
      <c r="K92" s="3">
        <f>0+(299.4-16.6)+(0+(-0.76347--0.04233))+0-9.2--0.0234599999999987</f>
        <v>272.90231999999997</v>
      </c>
      <c r="L92" s="3">
        <f>0+(368.5-81.7)+(0+(-0.37587--0.083334))+0-12.3--0.012546000000002</f>
        <v>274.22001</v>
      </c>
      <c r="M92" s="3">
        <f>0+(349-40.6)+(0+(0.88995-0.10353))+0-14.2-0.0362099999999979</f>
        <v>294.95021000000003</v>
      </c>
      <c r="N92" s="3">
        <f>18+(412.3-91.5)+(0.00918+(0.210273-0.046665))+0-14.6-0.00744599999999852</f>
        <v>324.365342</v>
      </c>
      <c r="O92" s="3">
        <f>100+(550.7-286.9)+(-0.051+(-0.280857--0.146319))+0-17.8--0.0090779999999982</f>
        <v>345.82354000000004</v>
      </c>
      <c r="P92" s="3">
        <f>111+(604.7-346.4)+(0.16983+(0.925191-0.529992))+0-20.1-0.0307530000000012</f>
        <v>349.73427600000002</v>
      </c>
      <c r="Q92" s="3">
        <f>117+(630-359.1)+(0.23868+(1.2852-0.732564))+0-21-0.0428399999999991</f>
        <v>367.64847599999996</v>
      </c>
      <c r="R92" s="3">
        <f>111+(583.4-308.1)+(0.05661+(0.297534-0.157131))+0-25.3-0.0129029999999974</f>
        <v>361.18410999999998</v>
      </c>
      <c r="S92" s="3">
        <f>115+(646.9-374.1)+(0.05865+(0.329919-0.190791))+0-27.1-0.0138209999999973</f>
        <v>360.88395699999995</v>
      </c>
      <c r="T92" s="3">
        <f>115+(599.4-324.1)+(0.1173+(0.611388-0.330582))+0-29-0.0295800000000046</f>
        <v>361.66852599999993</v>
      </c>
      <c r="U92" s="3">
        <f>114+(604.2-327)+(0+(0-0))+0-30.6-0</f>
        <v>360.6</v>
      </c>
      <c r="V92" s="3">
        <f>109+(586.6-317.1)+(0.05559+(0.299166-0.161721))+0-30.4-0.0155039999999969</f>
        <v>348.27753100000001</v>
      </c>
      <c r="W92" s="3">
        <f>115+(637-377.5)+(-0.17595+(-0.97461--0.577575))+0-30.5--0.0466650000000018</f>
        <v>343.47368</v>
      </c>
      <c r="X92" s="3">
        <f>44+(694.1-372.9)+(-0.08976+(-1.415964--0.760716))+0-30.9--0.0630359999999986</f>
        <v>333.61802800000009</v>
      </c>
      <c r="Y92" s="3">
        <f>0+(734.4-399.4)+(0+(-1.87272--1.01847))+0-31--0.0790499999999955</f>
        <v>303.22480000000002</v>
      </c>
      <c r="Z92" s="3">
        <f>0+(670.8-308)+(0+(0-0))+0-31-0</f>
        <v>331.79999999999995</v>
      </c>
      <c r="AA92" s="3">
        <f>0+(667.7-291)+(0+(-0.340527--0.14841))+0-31.1--0.0158609999999968</f>
        <v>345.423744</v>
      </c>
      <c r="AB92" s="3">
        <f>0+(725.7-354.6)+(0+(-0.740214--0.361692))+0-31.1--0.031722000000005</f>
        <v>339.65320000000003</v>
      </c>
      <c r="AC92" s="3">
        <f>0+(665.6-309.4)+(0+(-0.678912--0.315588))+0-31.6--0.032232000000005</f>
        <v>324.26890800000007</v>
      </c>
      <c r="AD92">
        <v>343.99999999999994</v>
      </c>
      <c r="AE92" s="3">
        <f>0+(679.3-304.3)+(0+(0-0))+0-31-0</f>
        <v>343.99999999999994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0+(584.5-240.8)+(0+(-0.59619--0.245616))+0-29.2--0.0297840000000047</f>
        <v>314.17921000000001</v>
      </c>
      <c r="G93" s="3">
        <f>0+(504-170.9)+(0+(0-0))+0-29.8-0</f>
        <v>303.3</v>
      </c>
      <c r="H93" s="3">
        <f>0+(435.3-106.9)+(0+(-0.666009--0.163557))+0-31.2--0.0477360000000018</f>
        <v>296.74528399999997</v>
      </c>
      <c r="I93" s="3">
        <f>0+(428.9-113.4)+(0+(-0.437478--0.115668))+0-29.8--0.0303960000000048</f>
        <v>285.40858599999996</v>
      </c>
      <c r="J93" s="3">
        <f>0+(330.8-15.1)+(0+(-0.84354--0.038505))+0-31.1--0.0793049999999955</f>
        <v>283.87426999999997</v>
      </c>
      <c r="K93" s="3">
        <f>0+(344.3-39.4)+(0+(-0.877965--0.10047))+0-31.4--0.0800699999999954</f>
        <v>272.80257500000005</v>
      </c>
      <c r="L93" s="3">
        <f>0+(346.1-45.9)+(0+(0-0))+0-31.2-0</f>
        <v>269.00000000000006</v>
      </c>
      <c r="M93" s="3">
        <f>0+(507.2-184.5)+(0+(0.258672-0.094095))+0-31.5-0.0160649999999968</f>
        <v>291.34851200000003</v>
      </c>
      <c r="N93" s="3">
        <f>7+(657.8-311.5)+(-0.00714+(-0.670956--0.31773))+0-31.6--0.032232000000005</f>
        <v>321.37186599999995</v>
      </c>
      <c r="O93" s="3">
        <f>50+(645.5-326.2)+(-0.051+(-0.65841--0.332724))+0-30.3--0.0309060000000048</f>
        <v>338.65422000000001</v>
      </c>
      <c r="P93" s="3">
        <f>90+(604-312.2)+(0.0459+(0.30804-0.159222))+0-30.4-0.0155039999999969</f>
        <v>351.57921400000004</v>
      </c>
      <c r="Q93" s="3">
        <f>106+(619.4-334.5)+(0+(0-0))+0-31.4-0</f>
        <v>359.5</v>
      </c>
      <c r="R93" s="3">
        <f>103+(604.7-317.1)+(-0.10506+(-0.616794--0.323442))+0-31.8--0.0324360000000051</f>
        <v>358.43402400000002</v>
      </c>
      <c r="S93" s="3">
        <f>113+(605-331.8)+(-0.05763+(-0.30855--0.169218))+0-32--0.0163199999999968</f>
        <v>354.01935800000001</v>
      </c>
      <c r="T93" s="3">
        <f>114+(633-347.8)+(0+(0-0))+0-32-0</f>
        <v>367.2</v>
      </c>
      <c r="U93" s="3">
        <f>113+(648.2-370.5)+(-0.05763+(-0.330582--0.188955))+0-31.5--0.0160649999999968</f>
        <v>359.01680800000003</v>
      </c>
      <c r="V93" s="3">
        <f>107+(693.3-425.4)+(-0.05457+(-0.353583--0.216954))+0-29.6--0.015095999999997</f>
        <v>345.12389699999994</v>
      </c>
      <c r="W93" s="3">
        <f>113+(731.1-470.1)+(-0.11526+(-0.745722--0.479502))+0-30.3--0.0309060000000048</f>
        <v>343.34942599999999</v>
      </c>
      <c r="X93" s="3">
        <f>74+(793-497.1)+(-0.11322+(-1.21329--0.760563))+0-31.4--0.0480420000000018</f>
        <v>337.98209500000002</v>
      </c>
      <c r="Y93" s="3">
        <f>0+(724.5-373.4)+(0+(-2.95596--1.523472))+0-32.1--0.130967999999997</f>
        <v>317.69848000000002</v>
      </c>
      <c r="Z93" s="3">
        <f>0+(649.7-279.4)+(0+(0.662694-0.284988))+0-32.1-0.0327420000000051</f>
        <v>338.54496400000005</v>
      </c>
      <c r="AA93" s="3">
        <f>0+(765.2-386.4)+(0+(-0.390252--0.197064))+0-32.2--0.0164219999999967</f>
        <v>346.42323400000004</v>
      </c>
      <c r="AB93" s="3">
        <f>0+(770.6-392)+(0+(-0.393006--0.19992))+0-32.1--0.0163709999999967</f>
        <v>346.323285</v>
      </c>
      <c r="AC93" s="3">
        <f>0+(763.4-389.5)+(0+(-1.557336--0.79458))+0-32.1--0.0654839999999986</f>
        <v>341.10272799999996</v>
      </c>
      <c r="AD93">
        <v>343.69999999999993</v>
      </c>
      <c r="AE93" s="3">
        <f>0+(788.3-412.6)+(0+(0-0))+0-32-0</f>
        <v>343.69999999999993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0+(599.3-240.3)+(0+(-1.528215--0.612765))+0-32--0.0815999999999954</f>
        <v>326.1661499999999</v>
      </c>
      <c r="G94" s="3">
        <f>0+(442.9-101.7)+(0+(-0.903516--0.207468))+0-32.1--0.0654839999999986</f>
        <v>308.46943599999997</v>
      </c>
      <c r="H94" s="3">
        <f>0+(450.4-115.6)+(0+(-1.14852--0.29478))+0-32.1--0.0818549999999953</f>
        <v>301.92811499999993</v>
      </c>
      <c r="I94" s="3">
        <f>0+(473.9-147)+(0+(-0.966756--0.29988))+0-31.9--0.0650759999999986</f>
        <v>294.39819999999997</v>
      </c>
      <c r="J94" s="3">
        <f>0+(401.9-77)+(0+(-0.204969--0.03927))+0-32--0.0163199999999968</f>
        <v>292.75062099999997</v>
      </c>
      <c r="K94" s="3">
        <f>0+(369.2-55.3)+(0+(-0.753168--0.112812))+0-31.8--0.0648719999999986</f>
        <v>281.52451599999995</v>
      </c>
      <c r="L94" s="3">
        <f>0+(360.8-56.8)+(0+(-0.368016--0.057936))+0-31.8--0.0324360000000051</f>
        <v>271.92235599999998</v>
      </c>
      <c r="M94" s="3">
        <f>0+(476.5-151.2)+(0+(0.243015-0.077112))+0-31.7-0.0161669999999968</f>
        <v>293.74973600000004</v>
      </c>
      <c r="N94" s="3">
        <f>0+(601.7-241.5)+(0+(-0.306867--0.123165))+0-30.9--0.0157589999999969</f>
        <v>329.13205700000009</v>
      </c>
      <c r="O94" s="3">
        <f>0+(662.3-279.6)+(0+(0-0))+0-32.2-0</f>
        <v>350.49999999999994</v>
      </c>
      <c r="P94" s="3">
        <f>60.7+(638.7-332.3)+(0+(0-0))+0-32.6-0</f>
        <v>334.5</v>
      </c>
      <c r="Q94" s="3">
        <f>117.7+(600.9-321.1)+(0+(0-0))+0-32.6-0</f>
        <v>364.89999999999992</v>
      </c>
      <c r="R94" s="3">
        <f>117.8+(570.5-288.8)+(0+(0-0))+0-32.4-0</f>
        <v>367.1</v>
      </c>
      <c r="S94" s="3">
        <f>118.3+(615.6-346.6)+(-0.120666+(-0.627912--0.353532))+0-31.7--0.0323340000000051</f>
        <v>355.23728800000004</v>
      </c>
      <c r="T94" s="3">
        <f>118.1+(628.6-361.7)+(0.060231+(0.320586-0.184467))+0-29.9-0.015248999999997</f>
        <v>355.28110100000004</v>
      </c>
      <c r="U94" s="3">
        <f>118.3+(634-368.4)+(-0.060333+(-0.32334--0.187884))+0-29.7--0.015146999999997</f>
        <v>354.01935800000007</v>
      </c>
      <c r="V94" s="3">
        <f>118.1+(652.3-389.1)+(-0.120462+(-0.665346--0.396882))+0-31.6--0.032232000000005</f>
        <v>349.34330599999993</v>
      </c>
      <c r="W94" s="3">
        <f>117.9+(749.4-487.7)+(-0.120258+(-0.764388--0.497454))+0-32.5--0.0331500000000052</f>
        <v>346.74595799999997</v>
      </c>
      <c r="X94" s="3">
        <f>52.1+(870.8-548.7)+(-0.185997+(-3.108756--1.958859))+0-32.4--0.115668</f>
        <v>340.57977399999999</v>
      </c>
      <c r="Y94" s="3">
        <f>0+(694.7-339.2)+(0+(-0.708594--0.345984))+0-32.4--0.0330480000000052</f>
        <v>322.77043800000007</v>
      </c>
      <c r="Z94" s="3">
        <f>0+(588.7-217)+(0+(-0.600474--0.22134))+0-32.5--0.0331500000000052</f>
        <v>338.854016</v>
      </c>
      <c r="AA94" s="3">
        <f>0+(625-243)+(0+(-1.9125--0.74358))+0-32.6--0.0997560000000038</f>
        <v>348.33083599999998</v>
      </c>
      <c r="AB94" s="3">
        <f>0+(727.6-344.5)+(0+(-0.742152--0.35139))+0-32.5--0.0331500000000052</f>
        <v>350.24238800000001</v>
      </c>
      <c r="AC94" s="3">
        <f>0+(571.1-200.5)+(0+(0-0))+0-32.6-0</f>
        <v>338</v>
      </c>
      <c r="AD94">
        <v>346.4</v>
      </c>
      <c r="AE94" s="3">
        <f>0+(647.4-268.4)+(0+(0-0))+0-32.6-0</f>
        <v>346.4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0+(571.6-214.4)+(0+(-0.291516--0.109344))+0-32.6--0.0166259999999967</f>
        <v>324.43445400000002</v>
      </c>
      <c r="G95" s="3">
        <f>0+(483.7-135.1)+(0+(-0.246687--0.068901))+0-32.6--0.0166259999999967</f>
        <v>315.83883999999995</v>
      </c>
      <c r="H95" s="3">
        <f>0+(458.2-115)+(0+(-0.233682--0.05865))+0-32.1--0.0163709999999967</f>
        <v>310.94133899999997</v>
      </c>
      <c r="I95" s="3">
        <f>0+(467.9-132.4)+(0+(-0.477258--0.135048))+0-31.3--0.031926000000005</f>
        <v>303.88971599999996</v>
      </c>
      <c r="J95" s="3">
        <f>0+(474.2-139.2)+(0+(0.483684-0.141984))+0-31-0.0316200000000049</f>
        <v>304.31007999999997</v>
      </c>
      <c r="K95" s="3">
        <f>0+(458.3-124.8)+(0+(-1.402398--0.381888))+0-30.6--0.0936360000000035</f>
        <v>301.97312599999998</v>
      </c>
      <c r="L95" s="3">
        <f>0+(340.9-25.9)+(0+(-0.521577--0.039627))+0-31.2--0.0477360000000018</f>
        <v>283.36578600000001</v>
      </c>
      <c r="M95" s="3">
        <f>0+(364-30.8)+(0+(0.37128-0.031416))+0-32.4-0.0330480000000052</f>
        <v>301.10681599999998</v>
      </c>
      <c r="N95" s="3">
        <f>0+(423.9-68.3)+(0+(0.648567-0.104499))+0-32.6-0.0498780000000019</f>
        <v>323.49418999999995</v>
      </c>
      <c r="O95" s="3">
        <f>0+(506.1-142.4)+(0+(0.774333-0.217872))+0-32.5-0.0497250000000019</f>
        <v>331.70673600000003</v>
      </c>
      <c r="P95" s="3">
        <f>0+(517-141.5)+(0+(0-0))+0-32.5-0</f>
        <v>343</v>
      </c>
      <c r="Q95" s="3">
        <f>0+(528.4-131)+(0+(-0.269484--0.06681))+0-32.6--0.0166259999999967</f>
        <v>364.61395199999993</v>
      </c>
      <c r="R95" s="3">
        <f>0+(563.5-170.2)+(0+(0-0))+0-33.1-0</f>
        <v>360.2</v>
      </c>
      <c r="S95" s="3">
        <f>0+(580-202.4)+(0+(-2.0706--0.722568))+0-33--0.11781</f>
        <v>343.36977800000005</v>
      </c>
      <c r="T95" s="3">
        <f>0+(580.3-204.5)+(0+(-0.591906--0.20859))+0-32.8--0.0334560000000052</f>
        <v>342.65013999999996</v>
      </c>
      <c r="U95" s="3">
        <f>0+(587.3-215)+(0+(-0.898569--0.32895))+0-32.9--0.0503370000000019</f>
        <v>338.880718</v>
      </c>
      <c r="V95" s="3">
        <f>0+(612.7-255.9)+(0+(-0.624954--0.261018))+0-32--0.0326400000000051</f>
        <v>324.46870400000006</v>
      </c>
      <c r="W95" s="3">
        <f>0+(618.1-273.1)+(0+(-1.260924--0.557124))+0-32.6--0.0665039999999986</f>
        <v>311.76270399999999</v>
      </c>
      <c r="X95" s="3">
        <f>0+(628.5-286.3)+(0+(-1.92321--0.876078))+0-32.7--0.100062000000004</f>
        <v>308.55293</v>
      </c>
      <c r="Y95" s="3">
        <f>0+(535.8-201.2)+(0+(-1.639548--0.615672))+0-32.7--0.100062000000004</f>
        <v>300.97618599999998</v>
      </c>
      <c r="Z95" s="3">
        <f>0+(495.9-143.2)+(0+(0-0))+0-32.9-0</f>
        <v>319.8</v>
      </c>
      <c r="AA95" s="3">
        <f>0+(596.6-235.6)+(0+(-2.129862--0.841092))+0-32.9--0.117453</f>
        <v>326.92868300000004</v>
      </c>
      <c r="AB95" s="3">
        <f>0+(586.3-232.4)+(0+(-0.897039--0.355572))+0-32.9--0.0503370000000019</f>
        <v>320.50887</v>
      </c>
      <c r="AC95" s="3">
        <f>0+(590.8-247.5)+(0+(-0.301308--0.126225))+0-32.6--0.0166259999999967</f>
        <v>310.54154299999993</v>
      </c>
      <c r="AD95">
        <v>328.4</v>
      </c>
      <c r="AE95" s="3">
        <f>0+(640.4-279.3)+(0+(0-0))+0-32.7-0</f>
        <v>328.4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0+(575-239.7)+(0+(0-0))+0-32.8-0</f>
        <v>302.5</v>
      </c>
      <c r="G96" s="3">
        <f>0+(519.2-198.3)+(0+(-0.529584--0.202266))+0-32--0.0326400000000051</f>
        <v>288.60532200000006</v>
      </c>
      <c r="H96" s="3">
        <f>0+(448.6-127.3)+(0+(-0.228786--0.064923))+0-33.8--0.0172379999999966</f>
        <v>287.35337500000003</v>
      </c>
      <c r="I96" s="3">
        <f>0+(464.5-148.8)+(0+(-0.94758--0.303552))+0-33.8--0.0689519999999985</f>
        <v>281.32492400000001</v>
      </c>
      <c r="J96" s="3">
        <f>0+(512.8-203.6)+(0+(0.523056-0.207672))+0-33.8-0.0344760000000054</f>
        <v>275.68090799999993</v>
      </c>
      <c r="K96" s="3">
        <f>0+(510.6-209.9)+(0+(-0.781218--0.321147))+0-33.7--0.051561000000002</f>
        <v>266.59149000000002</v>
      </c>
      <c r="L96" s="3">
        <f>0+(419.1-131.4)+(0+(-0.427482--0.134028))+0-33.3--0.0339660000000053</f>
        <v>254.14051200000003</v>
      </c>
      <c r="M96" s="3">
        <f>0+(426.8-140.9)+(0+(0.653004-0.215577))+0-33.3-0.0509490000000019</f>
        <v>252.98647799999998</v>
      </c>
      <c r="N96" s="3">
        <f>0+(373.5-81.6)+(0+(0-0))+0-33.1-0</f>
        <v>258.79999999999995</v>
      </c>
      <c r="O96" s="3">
        <f>0+(483.4-177.4)+(0+(-0.493068--0.180948))+0-33--0.0336600000000053</f>
        <v>272.72154</v>
      </c>
      <c r="P96" s="3">
        <f>0+(532-214)+(0+(0.54264-0.21828))+0-30.9-0.0315180000000049</f>
        <v>287.39284200000003</v>
      </c>
      <c r="Q96" s="3">
        <f>0+(497.4-193.5)+(0+(0.253674-0.098685))+0-17.1-0.00872099999999827</f>
        <v>286.94626799999998</v>
      </c>
      <c r="R96" s="3">
        <f>0+(532.9-208.7)+(0+(0.271779-0.106437))+0-32.8-0.0167279999999967</f>
        <v>291.54861399999999</v>
      </c>
      <c r="S96" s="3">
        <f>0+(523.6-201.2)+(0+(-0.267036--0.102612))+0-32.9--0.0167789999999967</f>
        <v>289.35235500000005</v>
      </c>
      <c r="T96" s="3">
        <f>0+(545.5-227.6)+(0+(0-0))+0-32.1-0</f>
        <v>285.79999999999995</v>
      </c>
      <c r="U96" s="3">
        <f>0+(496.5-180.9)+(0+(-0.50643--0.184518))+0-32.4--0.0330480000000052</f>
        <v>282.91113600000006</v>
      </c>
      <c r="V96" s="3">
        <f>0+(487.9-177.5)+(0+(0.497658-0.18105))+0-33-0.0336600000000053</f>
        <v>277.68294799999995</v>
      </c>
      <c r="W96" s="3">
        <f>0+(559.5-253.1)+(0+(-0.285345--0.129081))+0-33--0.0168299999999967</f>
        <v>273.26056599999993</v>
      </c>
      <c r="X96" s="3">
        <f>0+(574.8-268.8)+(0+(-0.586296--0.274176))+0-33--0.0336600000000053</f>
        <v>272.72153999999995</v>
      </c>
      <c r="Y96" s="3">
        <f>0+(453.3-150.8)+(0+(-0.462366--0.153816))+0-32.8--0.0334560000000052</f>
        <v>269.42490599999996</v>
      </c>
      <c r="Z96" s="3">
        <f>0+(526.4-200.5)+(0+(-0.536928--0.20451))+0-33--0.0336600000000053</f>
        <v>292.60124199999996</v>
      </c>
      <c r="AA96" s="3">
        <f>0+(649.6-306.6)+(0+(-1.987776--0.938196))+0-33.2--0.101592000000004</f>
        <v>308.852012</v>
      </c>
      <c r="AB96" s="3">
        <f>0+(635.2-296.9)+(0+(-0.647904--0.302838))+0-33.1--0.0337620000000053</f>
        <v>304.8886960000001</v>
      </c>
      <c r="AC96" s="3">
        <f>0+(594.5-269)+(0+(-0.303195--0.13719))+0-29.6--0.015095999999997</f>
        <v>295.74909099999996</v>
      </c>
      <c r="AD96">
        <v>307.10000000000008</v>
      </c>
      <c r="AE96" s="3">
        <f>0+(638.2-297.9)+(0+(0-0))+0-33.2-0</f>
        <v>307.10000000000008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0+(571.9-250.6)+(0+(-1.458345--0.63903))+0-33.1--0.0844049999999952</f>
        <v>287.46508999999992</v>
      </c>
      <c r="G97" s="3">
        <f>0+(439.8-130.1)+(0+(-0.897192--0.265404))+0-33--0.0673199999999986</f>
        <v>276.13553200000007</v>
      </c>
      <c r="H97" s="3">
        <f>0+(406.7-107.1)+(0+(-0.207417--0.054621))+0-28.7--0.0146369999999971</f>
        <v>270.761841</v>
      </c>
      <c r="I97" s="3">
        <f>0+(398.5-122.4)+(0+(-0.609705--0.187272))+0-10.1--0.0154530000000006</f>
        <v>265.59301999999997</v>
      </c>
      <c r="J97" s="3">
        <f>0+(409.7-110.6)+(0+(-0.417894--0.112812))+0-33--0.0336600000000053</f>
        <v>265.82857799999999</v>
      </c>
      <c r="K97" s="3">
        <f>0+(417.4-122.8)+(0+(-1.277244--0.375768))+0-32.9--0.100674000000004</f>
        <v>260.89919800000001</v>
      </c>
      <c r="L97" s="3">
        <f>0+(412.4-117.5)+(0+(-0.841296--0.2397))+0-32.9--0.0671159999999986</f>
        <v>261.46552000000003</v>
      </c>
      <c r="M97" s="3">
        <f>0+(451-137.2)+(0+(0-0))+0-32.6-0</f>
        <v>281.2</v>
      </c>
      <c r="N97" s="3">
        <f>0+(559-211.5)+(0+(-0.85527--0.323595))+0-32.6--0.0498780000000019</f>
        <v>314.41820299999995</v>
      </c>
      <c r="O97" s="3">
        <f>0+(725-349.7)+(0+(0.7395-0.356694))+0-32.5-0.0331500000000052</f>
        <v>343.14965600000005</v>
      </c>
      <c r="P97" s="3">
        <f>0+(696.6-314.6)+(0+(-0.355266--0.160446))+0-32.6--0.0166259999999967</f>
        <v>349.22180599999996</v>
      </c>
      <c r="Q97" s="3">
        <f>0+(792.8-353.4)+(0+(-0.404328--0.180234))+0-32--0.0163199999999968</f>
        <v>407.19222600000001</v>
      </c>
      <c r="R97" s="3">
        <f>0+(817.6-424.9)+(0+(0.416976-0.216699))+0-29.6-0.015095999999997</f>
        <v>363.28518100000008</v>
      </c>
      <c r="S97" s="3">
        <f>0+(867.7-502.7)+(0+(-0.442527--0.256377))+0-11.7--0.00596699999999881</f>
        <v>353.11981700000007</v>
      </c>
      <c r="T97" s="3">
        <f>0+(843.1-459.4)+(0+(-0.859962--0.468588))+0-32--0.0326400000000051</f>
        <v>351.34126600000008</v>
      </c>
      <c r="U97" s="3">
        <f>0+(862.6-478.2)+(0+(-1.319778--0.731646))+0-32.7--0.0500310000000019</f>
        <v>351.16189900000006</v>
      </c>
      <c r="V97" s="3">
        <f>0+(853.7-478.2)+(0+(-2.176935--1.21941))+0-32.7--0.0833849999999953</f>
        <v>341.92586000000011</v>
      </c>
      <c r="W97" s="3">
        <f>0+(821.3-447.8)+(0+(-2.932041--1.598646))+0-32.5--0.116025</f>
        <v>339.78262999999993</v>
      </c>
      <c r="X97" s="3">
        <f>0+(794.2-439.9)+(0+(-2.430252--1.346094))+0-32.5--0.0994500000000038</f>
        <v>320.81529200000006</v>
      </c>
      <c r="Y97" s="3">
        <f>0+(645.4-301.7)+(0+(-1.316616--0.615468))+0-32.4--0.0660959999999986</f>
        <v>310.66494800000004</v>
      </c>
      <c r="Z97" s="3">
        <f>0+(647.5-285.7)+(0+(0-0))+0-32.6-0</f>
        <v>329.2</v>
      </c>
      <c r="AA97" s="3">
        <f>0+(761.9-391.6)+(0+(-0.777138--0.399432))+0-32.7--0.0333540000000052</f>
        <v>337.25564800000001</v>
      </c>
      <c r="AB97" s="3">
        <f>0+(831.4-454.4)+(0+(-1.272042--0.695232))+0-32.7--0.0500310000000019</f>
        <v>343.77322099999998</v>
      </c>
      <c r="AC97" s="3">
        <f>0+(796.1-431.2)+(0+(-0.406011--0.219912))+0-29.2--0.014891999999997</f>
        <v>335.52879300000001</v>
      </c>
      <c r="AD97">
        <v>343.59999999999997</v>
      </c>
      <c r="AE97" s="3">
        <f>0+(766.4-390.1)+(0+(0-0))+0-32.7-0</f>
        <v>343.59999999999997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0+(676.1-325.6)+(0+(-1.034433--0.498168))+0-33.2--0.0507960000000019</f>
        <v>316.81453099999999</v>
      </c>
      <c r="G98" s="3">
        <f>0+(706.5-363.4)+(0+(-1.080945--0.556002))+0-33.1--0.0506430000000019</f>
        <v>309.52569999999997</v>
      </c>
      <c r="H98" s="3">
        <f>0+(604.1-265.5)+(0+(-0.616182--0.27081))+0-32.5--0.0331500000000052</f>
        <v>305.787778</v>
      </c>
      <c r="I98" s="3">
        <f>0+(510.7-183.2)+(0+(0.781371-0.280296))+0-32.8-0.0501840000000019</f>
        <v>295.150891</v>
      </c>
      <c r="J98" s="3">
        <f>0+(501.8-188.3)+(0+(0-0))+0-32.3-0</f>
        <v>281.2</v>
      </c>
      <c r="K98" s="3">
        <f>0+(510.4-195.9)+(0+(-0.520608--0.199818))+0-32.8--0.0334560000000052</f>
        <v>281.412666</v>
      </c>
      <c r="L98" s="3">
        <f>0+(488.9-177)+(0+(-0.997356--0.36108))+0-32.6--0.0665039999999986</f>
        <v>278.73022799999995</v>
      </c>
      <c r="M98" s="3">
        <f>0+(569.6-232.1)+(0+(1.742976-0.710226))+0-32.7-0.100062000000004</f>
        <v>305.73268800000005</v>
      </c>
      <c r="N98" s="3">
        <f>0+(649.9-271.6)+(0+(-1.325796--0.554064))+0-32.7--0.0667079999999986</f>
        <v>344.89497599999999</v>
      </c>
      <c r="O98" s="3">
        <f>0+(734.3-341.9)+(0+(-0.374493--0.174369))+0-32.8--0.0167279999999967</f>
        <v>359.41660399999995</v>
      </c>
      <c r="P98" s="3">
        <f>0+(765.9-357.4)+(0+(-0.390609--0.182274))+0-32.8--0.0167279999999967</f>
        <v>375.50839300000001</v>
      </c>
      <c r="Q98" s="3">
        <f>73+(743.6-405.7)+(-0.03723+(-0.379236--0.206907))+0-32.7--0.0166769999999967</f>
        <v>378.00711800000005</v>
      </c>
      <c r="R98" s="3">
        <f>115+(721.1-426.4)+(0+(0-0))+0-32.5-0</f>
        <v>377.20000000000005</v>
      </c>
      <c r="S98" s="3">
        <f>114.9+(716.4-431.4)+(-0.117198+(-0.730728--0.440028))+0-32.7--0.0333540000000052</f>
        <v>366.82545600000003</v>
      </c>
      <c r="T98" s="3">
        <f>115+(714-422)+(-0.2346+(-1.45656--0.86088))+0-32.6--0.0665039999999986</f>
        <v>373.63622399999997</v>
      </c>
      <c r="U98" s="3">
        <f>114.4+(704.6-412.5)+(-0.175032+(-1.078038--0.631125))+0-32.5--0.0497250000000019</f>
        <v>373.42778000000004</v>
      </c>
      <c r="V98" s="3">
        <f>114.2+(696-415)+(-0.058242+(-0.35496--0.21165))+0-32.5--0.0165749999999967</f>
        <v>362.51502299999999</v>
      </c>
      <c r="W98" s="3">
        <f>114.2+(711.4-436.2)+(-0.058242+(-0.362814--0.222462))+0-32.6--0.0166259999999967</f>
        <v>356.61803199999991</v>
      </c>
      <c r="X98" s="3">
        <f>105.3+(707.7-446.5)+(-0.322218+(-2.165562--1.36629))+0-32.9--0.100674000000004</f>
        <v>332.57918400000011</v>
      </c>
      <c r="Y98" s="3">
        <f>50.2+(615.4-308.1)+(-0.076806+(-0.941562--0.471393))+0-32.9--0.0503370000000019</f>
        <v>324.103362</v>
      </c>
      <c r="Z98" s="3">
        <f>50.4+(644-317.9)+(-0.077112+(-0.98532--0.486387))+0-33--0.0504900000000019</f>
        <v>342.974445</v>
      </c>
      <c r="AA98" s="3">
        <f>50.5+(672-334.4)+(-0.025755+(-0.34272--0.170544))+0-33.1--0.0168809999999966</f>
        <v>354.81895000000003</v>
      </c>
      <c r="AB98" s="3">
        <f>50.6+(708.9-376)+(-0.103224+(-1.446156--0.76704))+0-33.3--0.0679319999999985</f>
        <v>349.485592</v>
      </c>
      <c r="AC98" s="3">
        <f>41.1+(772.7-436.2)+(-0.041922+(-0.788154--0.444924))+0-33.2--0.0338640000000053</f>
        <v>344.04871200000008</v>
      </c>
      <c r="AD98">
        <v>352.2</v>
      </c>
      <c r="AE98" s="3">
        <f>50+(667-331.5)+(0+(0-0))+0-33.3-0</f>
        <v>352.2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0+(620.5-257.5)+(0+(-0.949365--0.393975))+0-33.2--0.0507960000000019</f>
        <v>329.29540600000001</v>
      </c>
      <c r="G99" s="3">
        <f>0+(492.6-143.1)+(0+(-1.004904--0.291924))+0-33.1--0.0675239999999986</f>
        <v>315.75454399999995</v>
      </c>
      <c r="H99" s="3">
        <f>0+(445.7-103.4)+(0+(-0.909228--0.210936))+0-29.8--0.0607919999999987</f>
        <v>311.86249999999995</v>
      </c>
      <c r="I99" s="3">
        <f>0+(342.1-5.7)+(0+(-0.872355--0.014535))+0-33--0.0841499999999952</f>
        <v>302.62633000000005</v>
      </c>
      <c r="J99" s="3">
        <f>0+(330.9-0)+(0+(-1.012554-0))+0-31.6--0.0966960000000037</f>
        <v>298.38414199999994</v>
      </c>
      <c r="K99" s="3">
        <f>0+(337.7-1.6)+(0+(-0.861135--0.00408))+0-32.3--0.0823649999999953</f>
        <v>303.02530999999993</v>
      </c>
      <c r="L99" s="3">
        <f>0+(350.7-28.9)+(0+(-0.178857--0.014739))+0-32.9--0.0167789999999967</f>
        <v>288.75266100000005</v>
      </c>
      <c r="M99" s="3">
        <f>0+(382.8-27.6)+(0+(-0.195228--0.014076))+0-33.2--0.0169319999999966</f>
        <v>321.83578</v>
      </c>
      <c r="N99" s="3">
        <f>0+(500.8-117.5)+(0+(0.255408-0.059925))+0-33.3-0.0169829999999966</f>
        <v>350.17850000000004</v>
      </c>
      <c r="O99" s="3">
        <f>0+(669.7-266.8)+(0+(-0.341547--0.136068))+0-33.4--0.0170339999999966</f>
        <v>369.31155500000006</v>
      </c>
      <c r="P99" s="3">
        <f>0+(685-272)+(0+(-0.34935--0.13872))+0-33.2--0.0169319999999966</f>
        <v>379.60630200000003</v>
      </c>
      <c r="Q99" s="3">
        <f>0+(699.6-282.3)+(0+(0-0))+0-32.8-0</f>
        <v>384.5</v>
      </c>
      <c r="R99" s="3">
        <f>0+(675.2-258.3)+(0+(0-0))+0-32.2-0</f>
        <v>384.70000000000005</v>
      </c>
      <c r="S99" s="3">
        <f>0+(655.7-249.1)+(0+(-0.668814--0.254082))+0-31.9--0.0325380000000051</f>
        <v>374.31780600000002</v>
      </c>
      <c r="T99" s="3">
        <f>0+(636.1-224.7)+(0+(-0.324411--0.114597))+0-31.3--0.0159629999999968</f>
        <v>379.90614900000003</v>
      </c>
      <c r="U99" s="3">
        <f>0+(637-232.4)+(0+(0.32487-0.118524))+0-30.5-0.0155549999999969</f>
        <v>374.29079100000001</v>
      </c>
      <c r="V99" s="3">
        <f>0+(633.8-236.5)+(0+(-0.323238--0.120615))+0-31.8--0.0162179999999968</f>
        <v>365.31359499999991</v>
      </c>
      <c r="W99" s="3">
        <f>0+(654.9-276.4)+(0+(-2.337993--0.986748))+0-32.1--0.114597</f>
        <v>345.16335199999997</v>
      </c>
      <c r="X99" s="3">
        <f>0+(720.2-352)+(0+(-2.203812--1.07712))+0-31.4--0.0960840000000036</f>
        <v>335.7693920000001</v>
      </c>
      <c r="Y99" s="3">
        <f>0+(626-267.8)+(0+(-0.31926--0.136578))+0-30.2--0.0154019999999969</f>
        <v>327.83271999999999</v>
      </c>
      <c r="Z99" s="3">
        <f>0+(669.9-293.1)+(0+(0.341649-0.149481))+0-32.2-0.0164219999999967</f>
        <v>344.77574599999997</v>
      </c>
      <c r="AA99" s="3">
        <f>0+(683.8-292)+(0+(-1.394952--0.59568))+0-32.8--0.0669119999999986</f>
        <v>358.26763999999997</v>
      </c>
      <c r="AB99" s="3">
        <f>0+(792.8-399.4)+(0+(-0.404328--0.203694))+0-32.5--0.0165749999999967</f>
        <v>360.71594099999999</v>
      </c>
      <c r="AC99" s="3">
        <f>0+(828.1-442.4)+(0+(0-0))+0-32.8-0</f>
        <v>352.90000000000003</v>
      </c>
      <c r="AD99">
        <v>358.09999999999997</v>
      </c>
      <c r="AE99" s="3">
        <f>0+(692.8-301.8)+(0+(0-0))+0-32.9-0</f>
        <v>358.09999999999997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0+(664.6-289.4)+(0+(-1.69473--0.73797))+0-32.7--0.0833849999999953</f>
        <v>341.6266250000001</v>
      </c>
      <c r="G100" s="3">
        <f>0+(489.8-126.4)+(0+(-0.999192--0.257856))+0-32.6--0.0665039999999986</f>
        <v>330.12516799999997</v>
      </c>
      <c r="H100" s="3">
        <f>0+(435.2-80.3)+(0+(-0.443904--0.081906))+0-32.6--0.0332520000000052</f>
        <v>321.97125399999993</v>
      </c>
      <c r="I100" s="3">
        <f>0+(413.2-63.1)+(0+(-0.632196--0.096543))+0-32.6--0.0498780000000019</f>
        <v>317.0142249999999</v>
      </c>
      <c r="J100" s="3">
        <f>0+(435.9-84.4)+(0+(-1.111545--0.21522))+0-32.7--0.0833849999999953</f>
        <v>317.98706000000004</v>
      </c>
      <c r="K100" s="3">
        <f>0+(441.6-102.6)+(0+(-1.12608--0.26163))+0-32.5--0.0828749999999953</f>
        <v>305.71842500000002</v>
      </c>
      <c r="L100" s="3">
        <f>0+(412.4-76.3)+(0+(0.210324-0.038913))+0-32.3-0.0164729999999967</f>
        <v>303.95493799999991</v>
      </c>
      <c r="M100" s="3">
        <f>0+(573-215.4)+(0+(-0.87669--0.329562))+0-32.6--0.0498780000000019</f>
        <v>324.50274999999999</v>
      </c>
      <c r="N100" s="3">
        <f>0+(659.2-267.6)+(0+(0.336192-0.136476))+0-32.6-0.0166259999999967</f>
        <v>359.18309000000005</v>
      </c>
      <c r="O100" s="3">
        <f>13.4+(671.3-279.9)+(0+(0-0))+0-32.6-0</f>
        <v>372.19999999999993</v>
      </c>
      <c r="P100" s="3">
        <f>114+(688.3-389.3)+(-0.05814+(-0.351033--0.198543))+0-32.7--0.0166769999999967</f>
        <v>380.10604699999999</v>
      </c>
      <c r="Q100" s="3">
        <f>113.4+(646.6-339.8)+(0.115668+(0.659532-0.346596))+0-32.7-0.0333540000000052</f>
        <v>387.89525000000003</v>
      </c>
      <c r="R100" s="3">
        <f>113.2+(671.7-364.3)+(0.115464+(0.685134-0.371586))+0-32.7-0.0333540000000052</f>
        <v>388.295658</v>
      </c>
      <c r="S100" s="3">
        <f>112.7+(702.2-401.4)+(0+(0-0))+0-32.7-0</f>
        <v>380.80000000000007</v>
      </c>
      <c r="T100" s="3">
        <f>112+(740.1-436)+(-0.05712+(-0.377451--0.22236))+0-32.6--0.0166259999999967</f>
        <v>383.30441499999995</v>
      </c>
      <c r="U100" s="3">
        <f>112+(769.1-471.6)+(-0.05712+(-0.392241--0.240516))+0-31.8--0.0162179999999968</f>
        <v>377.50737299999997</v>
      </c>
      <c r="V100" s="3">
        <f>111.5+(765.7-473.6)+(-0.170595+(-1.171521--0.724608))+0-31.8--0.0486540000000018</f>
        <v>371.23114600000002</v>
      </c>
      <c r="W100" s="3">
        <f>111+(809.6-534.5)+(0.11322+(0.825792-0.54519))+0-31.7-0.0323340000000051</f>
        <v>354.76148800000004</v>
      </c>
      <c r="X100" s="3">
        <f>111.7+(852.8-594.8)+(-0.227868+(-1.739712--1.213392))+0-31.5--0.0642599999999986</f>
        <v>337.51007199999998</v>
      </c>
      <c r="Y100" s="3">
        <f>62.6+(521.5-222.6)+(-0.063852+(-0.53193--0.227052))+0-31.3--0.031926000000005</f>
        <v>329.86319599999996</v>
      </c>
      <c r="Z100" s="3">
        <f>61.1+(545.1-235.9)+(0+(0-0))+0-31.8-0</f>
        <v>338.50000000000006</v>
      </c>
      <c r="AA100" s="3">
        <f>114.6+(655.3-379.9)+(-0.058446+(-0.334203--0.193749))+0-32.1--0.0163709999999967</f>
        <v>357.71747099999999</v>
      </c>
      <c r="AB100" s="3">
        <f>115.4+(743.4-457.7)+(-0.176562+(-1.137402--0.700281))+0-32.6--0.0498780000000019</f>
        <v>367.936195</v>
      </c>
      <c r="AC100" s="3">
        <f>99.1+(652.2-356.4)+(0+(0-0))+0-32.5-0</f>
        <v>362.40000000000009</v>
      </c>
      <c r="AD100">
        <v>362.8</v>
      </c>
      <c r="AE100" s="3">
        <f>114+(656.4-376.7)+(0+(0-0))+0-30.9-0</f>
        <v>362.8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12.4+(652-291.2)+(-0.018972+(-0.99756--0.445536))+0-32.7--0.0500310000000019</f>
        <v>339.97903500000001</v>
      </c>
      <c r="G101" s="3">
        <f>0+(558-199.6)+(0+(0-0))+0-32.8-0</f>
        <v>325.59999999999997</v>
      </c>
      <c r="H101" s="3">
        <f>0+(443.6-93.4)+(0+(-1.13118--0.23817))+0-30.4--0.0775199999999956</f>
        <v>318.98451000000006</v>
      </c>
      <c r="I101" s="3">
        <f>0+(418.2-64.9)+(0+(-0.639846--0.099297))+0-32.6--0.0498780000000019</f>
        <v>320.20932899999991</v>
      </c>
      <c r="J101" s="3">
        <f>0+(424.4-71.9)+(0+(-0.649332--0.110007))+0-32.5--0.0497250000000019</f>
        <v>319.5104</v>
      </c>
      <c r="K101" s="3">
        <f>0+(444.3-101.1)+(0+(-1.359558--0.309366))+0-32.5--0.0994500000000038</f>
        <v>309.74925800000005</v>
      </c>
      <c r="L101" s="3">
        <f>0+(411.4-88.2)+(0+(-0.419628--0.089964))+0-32.4--0.0330480000000052</f>
        <v>290.50338400000004</v>
      </c>
      <c r="M101" s="3">
        <f>0+(507.6-166.6)+(0+(0.258876-0.084966))+0-20-0.010199999999998</f>
        <v>321.16370999999998</v>
      </c>
      <c r="N101" s="3">
        <f>3.3+(570.8-216.9)+(0.003366+(0.582216-0.221238))+0-1.4-0.00142800000000022</f>
        <v>356.16291600000005</v>
      </c>
      <c r="O101" s="3">
        <f>50.5+(638.7-306.3)+(-0.077265+(-0.977211--0.468639))+0-0-0</f>
        <v>382.31416300000001</v>
      </c>
      <c r="P101" s="3">
        <f>92.3+(691.2-393.5)+(0+(0-0))+0-0-0</f>
        <v>390.00000000000006</v>
      </c>
      <c r="Q101" s="3">
        <f>112.1+(682-398.1)+(0.057171+(0.34782-0.203031))+0-0-0</f>
        <v>396.20195999999999</v>
      </c>
      <c r="R101" s="3">
        <f>110.8+(651.9-362)+(-0.056508+(-0.332469--0.18462))+0-0-0</f>
        <v>400.49564299999997</v>
      </c>
      <c r="S101" s="3">
        <f>111.3+(688.2-412.9)+(-0.227052+(-1.403928--0.842316))+0-0-0</f>
        <v>385.8113360000001</v>
      </c>
      <c r="T101" s="3">
        <f>108+(696.2-416.6)+(0.05508+(0.355062-0.212466))+0-0-0</f>
        <v>387.79767600000002</v>
      </c>
      <c r="U101" s="3">
        <f>105.3+(689.5-417.4)+(-0.268515+(-1.758225--1.06437))+0-0-0</f>
        <v>376.43763000000001</v>
      </c>
      <c r="V101" s="3">
        <f>108+(726.9-465.9)+(0+(0-0))+0-0-0</f>
        <v>369</v>
      </c>
      <c r="W101" s="3">
        <f>108.6+(779-526.6)+(-0.166158+(-1.19187--0.805698))+0-0-0</f>
        <v>360.44767000000002</v>
      </c>
      <c r="X101" s="3">
        <f>92.8+(781.6-529.7)+(-0.189312+(-1.594464--1.080588))+0-0-0</f>
        <v>343.99681199999998</v>
      </c>
      <c r="Y101" s="3">
        <f>50.5+(682.6-403.6)+(-0.05151+(-0.696252--0.411672))+0-1.3--0.00132600000000021</f>
        <v>327.86523599999998</v>
      </c>
      <c r="Z101" s="3">
        <f>50.5+(628.9-328.8)+(-0.10302+(-1.282956--0.670752))+0-3.9--0.00795599999999983</f>
        <v>345.99273199999999</v>
      </c>
      <c r="AA101" s="3">
        <f>88.3+(649.1-375.1)+(-0.135099+(-0.993123--0.573903))+0-5.4--0.00826200000000031</f>
        <v>356.35394300000002</v>
      </c>
      <c r="AB101" s="3">
        <f>50.5+(678.8-365.6)+(-0.077265+(-1.038564--0.559368))+0-6.5--0.00994500000000038</f>
        <v>356.65348399999993</v>
      </c>
      <c r="AC101" s="3">
        <f>50.5+(684.3-374.5)+(0.05151+(0.697986-0.38199))+0-7.5-0.0076500000000012</f>
        <v>353.15985599999993</v>
      </c>
      <c r="AD101">
        <v>394.70000000000005</v>
      </c>
      <c r="AE101" s="3">
        <f>88+(643.7-331.3)+(0+(0-0))+0-5.7-0</f>
        <v>394.70000000000005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50.2+(646.3-348.4)+(-0.025602+(-0.329613--0.177684))+0-8.1--0.00413099999999918</f>
        <v>339.82659999999993</v>
      </c>
      <c r="G102" s="3">
        <f>49.4+(531.6-242.5)+(-0.050388+(-0.542232--0.24735))+0-9.4--0.0095880000000015</f>
        <v>328.764318</v>
      </c>
      <c r="H102" s="3">
        <f>50.6+(432.9-157.6)+(-0.051612+(-0.441558--0.160752))+0-11.3--0.0115260000000018</f>
        <v>314.27910799999995</v>
      </c>
      <c r="I102" s="3">
        <f>50.5+(485.5-215.2)+(0.025755+(0.247605-0.109752))+0-13-0.00662999999999868</f>
        <v>307.95697800000005</v>
      </c>
      <c r="J102" s="3">
        <f>50.4+(411.6-144.1)+(-0.077112+(-0.629748--0.220473))+0-15.1--0.0231030000000009</f>
        <v>302.33671599999997</v>
      </c>
      <c r="K102" s="3">
        <f>50.5+(399.7-143.6)+(-0.128775+(-1.019235--0.36618))+0-10.9--0.0277949999999984</f>
        <v>294.94596500000006</v>
      </c>
      <c r="L102" s="3">
        <f>50.5+(364.2-116)+(-0.15453+(-1.114452--0.35496))+0-18.1--0.0553860000000021</f>
        <v>279.74136399999998</v>
      </c>
      <c r="M102" s="3">
        <f>50.5+(354.7-102.5)+(-0.025755+(-0.180897--0.052275))+0-20.3--0.0103529999999979</f>
        <v>282.25597599999998</v>
      </c>
      <c r="N102" s="3">
        <f>50.4+(406.6-136.3)+(-0.025704+(-0.207366--0.069513))+0-22.5--0.0114749999999977</f>
        <v>298.04791799999998</v>
      </c>
      <c r="O102" s="3">
        <f>50.5+(469.1-180.5)+(0+(0-0))+0-24.6-0</f>
        <v>314.5</v>
      </c>
      <c r="P102" s="3">
        <f>50.5+(553.6-259.3)+(0+(0-0))+0-26-0</f>
        <v>318.8</v>
      </c>
      <c r="Q102" s="3">
        <f>50.5+(584.6-277.9)+(-0.077265+(-0.894438--0.425187))+0-28.2--0.0431460000000016</f>
        <v>328.49663000000004</v>
      </c>
      <c r="R102" s="3">
        <f>50.5+(605.9-295.3)+(-0.025755+(-0.309009--0.150603))+0-30.1--0.0153509999999969</f>
        <v>330.83118999999994</v>
      </c>
      <c r="S102" s="3">
        <f>81.6+(581.4-309.8)+(-0.20808+(-1.48257--0.78999))+0-30.4--0.0775199999999956</f>
        <v>321.97685999999993</v>
      </c>
      <c r="T102" s="3">
        <f>106.1+(544.6-307.9)+(0.054111+(0.277746-0.157029))+0-23.1-0.0117809999999977</f>
        <v>319.86304700000005</v>
      </c>
      <c r="U102" s="3">
        <f>105.6+(518-279.1)+(0.053856+(0.26418-0.142341))+0-30.1-0.0153509999999969</f>
        <v>314.56034399999999</v>
      </c>
      <c r="V102" s="3">
        <f>105.8+(563.8-326.7)+(-0.107916+(-0.575076--0.333234))+0-30.2--0.0308040000000048</f>
        <v>312.38104599999997</v>
      </c>
      <c r="W102" s="3">
        <f>105.2+(582.1-345.9)+(-0.160956+(-0.890613--0.529227))+0-30.3--0.0463590000000018</f>
        <v>310.62401700000004</v>
      </c>
      <c r="X102" s="3">
        <f>34.4+(615.6-308.9)+(-0.070176+(-1.255824--0.630156))+0-30.4--0.0620159999999987</f>
        <v>310.06617199999999</v>
      </c>
      <c r="Y102" s="3">
        <f>0+(507.6-179.8)+(0+(-0.776628--0.275094))+0-30.3--0.0463590000000018</f>
        <v>297.044825</v>
      </c>
      <c r="Z102" s="3">
        <f>0+(439.4-94.4)+(0+(0.224094-0.048144))+0-30.3-0.0154529999999969</f>
        <v>314.86049700000001</v>
      </c>
      <c r="AA102" s="3">
        <f>0+(468.2-113.1)+(0+(-0.716346--0.173043))+0-30.6--0.0468180000000018</f>
        <v>324.00351499999999</v>
      </c>
      <c r="AB102" s="3">
        <f>0+(559.5-207.4)+(0+(-0.57069--0.211548))+0-31.1--0.031722000000005</f>
        <v>320.67257999999998</v>
      </c>
      <c r="AC102" s="3">
        <f>0+(607.2-259.9)+(0+(0.619344-0.265098))+0-31.2-0.031824000000005</f>
        <v>316.42242200000004</v>
      </c>
      <c r="AD102">
        <v>326.30000000000007</v>
      </c>
      <c r="AE102" s="3">
        <f>0+(487.3-129.6)+(0+(0-0))+0-31.4-0</f>
        <v>326.30000000000007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0+(602.9-256.6)+(0+(-0.614958--0.261732))+0-31.1--0.031722000000005</f>
        <v>314.87849599999993</v>
      </c>
      <c r="G103" s="3">
        <f>0+(598.5-259.5)+(0+(-0.305235--0.132345))+0-30.7--0.0156569999999969</f>
        <v>308.14276699999999</v>
      </c>
      <c r="H103" s="3">
        <f>0+(534.9-203.6)+(0+(-1.091196--0.415344))+0-31.6--0.0644639999999986</f>
        <v>299.0886119999999</v>
      </c>
      <c r="I103" s="3">
        <f>0+(412.5-88.4)+(0+(-1.051875--0.22542))+0-31.5--0.0803249999999954</f>
        <v>291.85387000000003</v>
      </c>
      <c r="J103" s="3">
        <f>0+(322.7-0)+(0+(0.329154-0))+0-31.5-0.032130000000005</f>
        <v>291.49702400000001</v>
      </c>
      <c r="K103" s="3">
        <f>0+(347.5-37.6)+(0+(-0.886125--0.09588))+0-31.2--0.0795599999999955</f>
        <v>277.98931499999998</v>
      </c>
      <c r="L103" s="3">
        <f>0+(359.5-70.6)+(0+(-0.183345--0.036006))+0-31--0.0158099999999969</f>
        <v>257.76847099999998</v>
      </c>
      <c r="M103" s="3">
        <f>0+(337.1-41.1)+(0+(-0.343842--0.041922))+0-30.8--0.0314160000000049</f>
        <v>264.92949599999997</v>
      </c>
      <c r="N103" s="3">
        <f>0+(379.7-78.4)+(0+(-0.387294--0.079968))+0-31.5--0.032130000000005</f>
        <v>269.52480399999996</v>
      </c>
      <c r="O103" s="3">
        <f>0+(340.7-27)+(0+(0.173757-0.01377))+0-31.5-0.0160649999999968</f>
        <v>282.34392200000002</v>
      </c>
      <c r="P103" s="3">
        <f>0+(415.9-93.8)+(0+(-0.424218--0.095676))+0-31.5--0.032130000000005</f>
        <v>290.30358799999993</v>
      </c>
      <c r="Q103" s="3">
        <f>0+(502.2-177.2)+(0+(0-0))+0-31.4-0</f>
        <v>293.60000000000002</v>
      </c>
      <c r="R103" s="3">
        <f>0+(535.2-215.3)+(0+(0.818856-0.329409))+0-31.6-0.0483480000000018</f>
        <v>288.74109900000002</v>
      </c>
      <c r="S103" s="3">
        <f>0+(511.4-191.6)+(0+(0-0))+0-31.4-0</f>
        <v>288.39999999999998</v>
      </c>
      <c r="T103" s="3">
        <f>0+(515.4-192.4)+(0+(0.262854-0.098124))+0-31.4-0.0160139999999968</f>
        <v>291.74871600000006</v>
      </c>
      <c r="U103" s="3">
        <f>0+(505-184.2)+(0+(-1.5453--0.563652))+0-31.3--0.0957780000000036</f>
        <v>288.61412999999999</v>
      </c>
      <c r="V103" s="3">
        <f>0+(493.8-174.2)+(0+(0.755514-0.266526))+0-30-0.0459000000000017</f>
        <v>290.04308800000001</v>
      </c>
      <c r="W103" s="3">
        <f>0+(528.7-209.7)+(0+(-1.348185--0.534735))+0-29.3--0.0747149999999958</f>
        <v>288.96126500000003</v>
      </c>
      <c r="X103" s="3">
        <f>0+(542.3-231.8)+(0+(-1.382865--0.59109))+0-30--0.0764999999999956</f>
        <v>279.78472499999998</v>
      </c>
      <c r="Y103" s="3">
        <f>0+(428.6-118.2)+(0+(-0.437172--0.120564))+0-31.2--0.031824000000005</f>
        <v>278.9152160000001</v>
      </c>
      <c r="Z103" s="3">
        <f>0+(452.4-117.9)+(0+(-0.461448--0.120258))+0-30.5--0.0311100000000049</f>
        <v>303.68992000000003</v>
      </c>
      <c r="AA103" s="3">
        <f>0+(485-136.7)+(0+(-0.9894--0.278868))+0-31.9--0.0650759999999986</f>
        <v>315.75454400000001</v>
      </c>
      <c r="AB103" s="3">
        <f>0+(500.3-151.6)+(0+(-0.510306--0.154632))+0-32--0.0326400000000051</f>
        <v>316.37696600000004</v>
      </c>
      <c r="AC103" s="3">
        <f>0+(515.8-172.4)+(0+(-0.789174--0.263772))+0-32.5--0.0497250000000019</f>
        <v>310.42432300000002</v>
      </c>
      <c r="AD103">
        <v>325.60000000000002</v>
      </c>
      <c r="AE103" s="3">
        <f>0+(485.1-127.2)+(0+(0-0))+0-32.3-0</f>
        <v>325.60000000000002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0+(511.7-180.6)+(0+(-0.260967--0.092106))+0-31.5--0.0160649999999968</f>
        <v>299.447204</v>
      </c>
      <c r="G104" s="3">
        <f>0+(461.3-138.9)+(0+(-0.470526--0.141678))+0-31.6--0.032232000000005</f>
        <v>290.50338399999998</v>
      </c>
      <c r="H104" s="3">
        <f>0+(407.2-88.1)+(0+(0.415344-0.089862))+0-31.6-0.032232000000005</f>
        <v>287.79325</v>
      </c>
      <c r="I104" s="3">
        <f>0+(373.7-52.7)+(0+(-0.190587--0.026877))+0-31.5--0.0160649999999968</f>
        <v>289.35235499999999</v>
      </c>
      <c r="J104" s="3">
        <f>0+(385.2-61.9)+(0+(-0.589356--0.094707))+0-31.5--0.0481950000000018</f>
        <v>291.35354600000005</v>
      </c>
      <c r="K104" s="3">
        <f>0+(387.7-74)+(0+(-1.581816--0.30192))+0-31.5--0.128519999999997</f>
        <v>281.04862399999996</v>
      </c>
      <c r="L104" s="3">
        <f>0+(392.8-82.3)+(0+(-0.801312--0.167892))+0-31.5--0.0642599999999986</f>
        <v>278.43083999999999</v>
      </c>
      <c r="M104" s="3">
        <f>0+(441.3-100)+(0+(0.675189-0.153))+0-31.6-0.0483480000000018</f>
        <v>310.17384100000004</v>
      </c>
      <c r="N104" s="3">
        <f>0+(594.8-219)+(0+(0.303348-0.11169))+0-31.9-0.0162689999999968</f>
        <v>344.07538899999997</v>
      </c>
      <c r="O104" s="3">
        <f>0+(661-264)+(0+(0.33711-0.13464))+0-31.4-0.0160139999999968</f>
        <v>365.78645600000004</v>
      </c>
      <c r="P104" s="3">
        <f>0+(745.3-339.4)+(0+(-0.760206--0.346188))+0-31.2--0.031824000000005</f>
        <v>374.31780600000002</v>
      </c>
      <c r="Q104" s="3">
        <f>15+(675.7-281.9)+(-0.00765+(-0.344607--0.143769))+0-31.9--0.0162689999999968</f>
        <v>376.70778100000013</v>
      </c>
      <c r="R104" s="3">
        <f>112+(663.2-361)+(-0.11424+(-0.676464--0.36822))+0-31.1--0.031722000000005</f>
        <v>382.70923800000003</v>
      </c>
      <c r="S104" s="3">
        <f>109+(672.7-379.1)+(-0.05559+(-0.343077--0.193341))+0-30.5--0.0155549999999969</f>
        <v>371.91022900000002</v>
      </c>
      <c r="T104" s="3">
        <f>109+(670-367.9)+(-0.16677+(-1.0251--0.562887))+0-30.8--0.0471240000000018</f>
        <v>379.718141</v>
      </c>
      <c r="U104" s="3">
        <f>109+(710.3-409.5)+(0+(0-0))+0-32-0</f>
        <v>377.79999999999995</v>
      </c>
      <c r="V104" s="3">
        <f>109+(732.5-437.2)+(-0.11118+(-0.74715--0.445944))+0-32--0.0326400000000051</f>
        <v>371.920254</v>
      </c>
      <c r="W104" s="3">
        <f>108+(759.1-468.8)+(-0.2754+(-1.935705--1.19544))+0-32.1--0.0818549999999953</f>
        <v>365.26618999999999</v>
      </c>
      <c r="X104" s="3">
        <f>108+(720.9-453)+(-0.2754+(-1.838295--1.15515))+0-32--0.0815999999999954</f>
        <v>343.02305499999994</v>
      </c>
      <c r="Y104" s="3">
        <f>54+(515.1-202.2)+(-0.16524+(-1.576206--0.618732))+0-32.8--0.100368000000004</f>
        <v>333.07765400000005</v>
      </c>
      <c r="Z104" s="3">
        <f>82+(502.1-204.7)+(0.08364+(0.512142-0.208794))+0-33-0.0336600000000053</f>
        <v>346.75332800000001</v>
      </c>
      <c r="AA104" s="3">
        <f>116+(549.6-271.7)+(-0.17748+(-0.840888--0.415701))+0-33--0.0504900000000019</f>
        <v>360.34782300000006</v>
      </c>
      <c r="AB104" s="3">
        <f>108+(632.2-352)+(-0.11016+(-0.644844--0.35904))+0-32.8--0.0334560000000052</f>
        <v>355.03749200000004</v>
      </c>
      <c r="AC104" s="3">
        <f>51+(670.2-340.2)+(0.02601+(0.341802-0.173502))+0-32-0.0163199999999968</f>
        <v>349.17799000000002</v>
      </c>
      <c r="AD104">
        <v>352.5</v>
      </c>
      <c r="AE104" s="3">
        <f>116+(594.4-325)+(0+(0-0))+0-32.9-0</f>
        <v>352.5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0+(685.3-329.3)+(0+(0-0))+0-32-0</f>
        <v>323.99999999999994</v>
      </c>
      <c r="G105" s="3">
        <f>0+(459.9-99.3)+(0+(-0.234549--0.050643))+0-32--0.0163199999999968</f>
        <v>328.43241399999999</v>
      </c>
      <c r="H105" s="3">
        <f>0+(427.3-78.2)+(0+(-0.653769--0.119646))+0-32--0.0489600000000018</f>
        <v>316.61483700000002</v>
      </c>
      <c r="I105" s="3">
        <f>0+(389.4-45.3)+(0+(-0.595782--0.069309))+0-32--0.0489600000000018</f>
        <v>311.62248699999998</v>
      </c>
      <c r="J105" s="3">
        <f>0+(344.3-5.2)+(0+(-0.877965--0.01326))+0-32--0.0815999999999954</f>
        <v>306.31689499999999</v>
      </c>
      <c r="K105" s="3">
        <f>0+(410.2-79.4)+(0+(-1.04601--0.20247))+0-32--0.0815999999999954</f>
        <v>298.03805999999992</v>
      </c>
      <c r="L105" s="3">
        <f>0+(414-80.2)+(0+(-0.42228--0.081804))+0-32--0.0326400000000051</f>
        <v>301.492164</v>
      </c>
      <c r="M105" s="3">
        <f>0+(417.6-63.8)+(0+(-0.212976--0.032538))+0-32.2--0.0164219999999967</f>
        <v>321.43598400000002</v>
      </c>
      <c r="N105" s="3">
        <f>0+(539.3-151.2)+(0+(0.275043-0.077112))+0-32.9-0.0167789999999967</f>
        <v>355.38115199999999</v>
      </c>
      <c r="O105" s="3">
        <f>101+(687-383.5)+(0+(0-0))+0-32.2-0</f>
        <v>372.3</v>
      </c>
      <c r="P105" s="3">
        <f>115+(716-428)+(0.1173+(0.73032-0.43656))+0-32.3-0.0329460000000051</f>
        <v>371.07811400000003</v>
      </c>
      <c r="Q105" s="3">
        <f>119+(712.3-416.8)+(-0.06069+(-0.363273--0.212568))+0-32.3--0.0164729999999967</f>
        <v>382.00507799999997</v>
      </c>
      <c r="R105" s="3">
        <f>114+(716.3-412.4)+(-0.11628+(-0.730626--0.420648))+0-31.3--0.031926000000005</f>
        <v>386.20566799999995</v>
      </c>
      <c r="S105" s="3">
        <f>113+(728-433.3)+(-0.11526+(-0.74256--0.441966))+0-32.1--0.0327420000000051</f>
        <v>375.21688799999993</v>
      </c>
      <c r="T105" s="3">
        <f>112+(703.6-404.9)+(0+(0-0))+0-32.2-0</f>
        <v>378.50000000000006</v>
      </c>
      <c r="U105" s="3">
        <f>113+(688-393.2)+(0+(0-0))+0-32-0</f>
        <v>375.8</v>
      </c>
      <c r="V105" s="3">
        <f>112+(641.5-350.6)+(0.05712+(0.327165-0.178806))+0-32-0.0163199999999968</f>
        <v>371.089159</v>
      </c>
      <c r="W105" s="3">
        <f>112+(684.3-405.5)+(-0.22848+(-1.395972--0.82722))+0-32.1--0.0654839999999986</f>
        <v>357.96825199999995</v>
      </c>
      <c r="X105" s="3">
        <f>107+(789-517.1)+(-0.38199+(-2.81673--1.846047))+0-32.2--0.114954</f>
        <v>345.46228100000002</v>
      </c>
      <c r="Y105" s="3">
        <f>51+(535.9-213.6)+(-0.13005+(-1.366545--0.54468))+0-32.1--0.0818549999999953</f>
        <v>340.32993999999997</v>
      </c>
      <c r="Z105" s="3">
        <f>104+(617.8-330.8)+(-0.05304+(-0.315078--0.168708))+0-32--0.0163199999999968</f>
        <v>358.81690999999995</v>
      </c>
      <c r="AA105" s="3">
        <f>115+(643.7-357)+(-0.2346+(-1.313148--0.72828))+0-32.2--0.0656879999999986</f>
        <v>368.74622000000011</v>
      </c>
      <c r="AB105" s="3">
        <f>117+(623.7-338.9)+(-0.17901+(-0.954261--0.518517))+0-32.7--0.0500310000000019</f>
        <v>368.53527700000006</v>
      </c>
      <c r="AC105" s="3">
        <f>117+(641.7-363.5)+(0.05967+(0.327267-0.185385))+0-32.5-0.0165749999999967</f>
        <v>362.88497700000005</v>
      </c>
      <c r="AD105">
        <v>359.09999999999997</v>
      </c>
      <c r="AE105" s="3">
        <f>115+(604.8-328.5)+(0+(0-0))+0-32.2-0</f>
        <v>359.09999999999997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56+(622.9-289.1)+(0+(0-0))+0-32.5-0</f>
        <v>357.29999999999995</v>
      </c>
      <c r="G106" s="3">
        <f>0+(572.2-196.2)+(0+(-1.167288--0.400248))+0-32.6--0.0665039999999986</f>
        <v>342.69946400000003</v>
      </c>
      <c r="H106" s="3">
        <f>0+(458.9-74)+(0+(0.234039-0.03774))+0-32.5-0.0165749999999967</f>
        <v>352.579724</v>
      </c>
      <c r="I106" s="3">
        <f>0+(416.9-41)+(0+(-0.850476--0.08364))+0-32.5--0.0662999999999986</f>
        <v>342.69946399999998</v>
      </c>
      <c r="J106" s="3">
        <f>0+(448.4-77)+(0+(0-0))+0-32.2-0</f>
        <v>339.2</v>
      </c>
      <c r="K106" s="3">
        <f>0+(459.8-91)+(0+(-1.17249--0.23205))+0-32.7--0.0833849999999953</f>
        <v>335.24294500000002</v>
      </c>
      <c r="L106" s="3">
        <f>0+(398.6-40)+(0+(-1.01643--0.102))+0-32.4--0.0826199999999953</f>
        <v>325.36819000000008</v>
      </c>
      <c r="M106" s="3">
        <f>0+(451.3-64)+(0+(0-0))+0-32.7-0</f>
        <v>354.6</v>
      </c>
      <c r="N106" s="3">
        <f>19+(465-64)+(0.02907+(0.71145-0.09792))+0-34.1-0.052173000000002</f>
        <v>386.49042700000001</v>
      </c>
      <c r="O106" s="3">
        <f>50+(572.7-191)+(0.051+(0.584154-0.19482))+0-34.9-0.0355980000000056</f>
        <v>397.20473600000008</v>
      </c>
      <c r="P106" s="3">
        <f>85+(690.1-343)+(0.13005+(1.055853-0.52479))+0-32.7-0.0500310000000019</f>
        <v>400.01108200000004</v>
      </c>
      <c r="Q106" s="3">
        <f>111+(668.6-333)+(0.16983+(1.022958-0.50949))+0-34-0.052020000000002</f>
        <v>413.23127799999997</v>
      </c>
      <c r="R106" s="3">
        <f>110+(695.9-367)+(-0.0561+(-0.354909--0.18717))+0-35.1--0.0179009999999964</f>
        <v>403.59406199999995</v>
      </c>
      <c r="S106" s="3">
        <f>110+(678.4-370.6)+(-0.2244+(-1.383936--0.756024))+0-32.8--0.0669119999999986</f>
        <v>384.21459999999996</v>
      </c>
      <c r="T106" s="3">
        <f>111+(657.1-345.6)+(0.16983+(1.005363-0.528768))+0-32.8-0.0501840000000019</f>
        <v>390.29624100000001</v>
      </c>
      <c r="U106" s="3">
        <f>109+(621.4-317.5)+(-0.11118+(-0.633828--0.32385))+0-32.5--0.0331500000000052</f>
        <v>380.01199199999996</v>
      </c>
      <c r="V106" s="3">
        <f>106+(688.3-386.7)+(-0.21624+(-1.404132--0.788868))+0-32.6--0.0665039999999986</f>
        <v>374.23499999999996</v>
      </c>
      <c r="W106" s="3">
        <f>108+(734.6-442.5)+(-0.22032+(-1.498584--0.9027))+0-32.3--0.0658919999999986</f>
        <v>367.049688</v>
      </c>
      <c r="X106" s="3">
        <f>86+(791.9-491.2)+(-0.17544+(-1.615476--1.002048))+0-32.2--0.0656879999999986</f>
        <v>353.77682000000004</v>
      </c>
      <c r="Y106" s="3">
        <f>50+(647.5-322.8)+(-0.102+(-1.3209--0.658512))+0-32.6--0.0665039999999986</f>
        <v>341.40211599999998</v>
      </c>
      <c r="Z106" s="3">
        <f>78+(625.7-317.1)+(-0.03978+(-0.319107--0.161721))+0-32.6--0.0166259999999967</f>
        <v>353.81945999999999</v>
      </c>
      <c r="AA106" s="3">
        <f>115+(631.3-345.3)+(-0.17595+(-0.965889--0.528309))+0-32.6--0.0498780000000019</f>
        <v>367.83634799999987</v>
      </c>
      <c r="AB106" s="3">
        <f>115+(719.7-434.5)+(-0.2346+(-1.468188--0.88638))+0-32.8--0.0669119999999986</f>
        <v>366.65050400000001</v>
      </c>
      <c r="AC106" s="3">
        <f>114+(739.3-458.9)+(0+(0-0))+0-32.6-0</f>
        <v>361.79999999999995</v>
      </c>
      <c r="AD106">
        <v>361.79999999999995</v>
      </c>
      <c r="AE106" s="3">
        <f>114+(619.8-339.3)+(0+(0-0))+0-32.7-0</f>
        <v>361.79999999999995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80+(617.2-296.8)+(-0.1224+(-0.944316--0.454104))+0-32.9--0.0503370000000019</f>
        <v>366.93772500000006</v>
      </c>
      <c r="G107" s="3">
        <f>0+(576.7-203.4)+(0+(-2.058819--0.726138))+0-32.9--0.117453</f>
        <v>339.18477200000012</v>
      </c>
      <c r="H107" s="3">
        <f>0+(458.6-94.6)+(0+(-1.403316--0.289476))+0-31.6--0.0966960000000037</f>
        <v>331.382856</v>
      </c>
      <c r="I107" s="3">
        <f>0+(456.1-101.5)+(0+(-1.163055--0.258825))+0-32.7--0.0833849999999953</f>
        <v>321.07915500000007</v>
      </c>
      <c r="J107" s="3">
        <f>0+(485.3-133.5)+(0+(0.742509-0.204255))+0-29.5-0.0451350000000017</f>
        <v>322.79311899999999</v>
      </c>
      <c r="K107" s="3">
        <f>0+(524.1-177.6)+(0+(-0.801873--0.271728))+0-31.7--0.0485010000000018</f>
        <v>314.31835599999999</v>
      </c>
      <c r="L107" s="3">
        <f>0+(498.2-159.4)+(0+(-1.016328--0.325176))+0-31.9--0.0650759999999986</f>
        <v>306.27392399999997</v>
      </c>
      <c r="M107" s="3">
        <f>50+(474.4-112.6)+(0+(0-0))+0-33.2-0</f>
        <v>378.59999999999997</v>
      </c>
      <c r="N107" s="3">
        <f>51+(654.9-261)+(-0.07803+(-1.001997--0.39933))+0-35.7--0.0546210000000021</f>
        <v>408.57392399999998</v>
      </c>
      <c r="O107" s="3">
        <f>115+(664.3-301.8)+(0.05865+(0.338793-0.153918))+0-36.3-0.0185129999999963</f>
        <v>441.42501199999992</v>
      </c>
      <c r="P107" s="3">
        <f>107+(694.2-345.1)+(0+(0-0))+0-34.7-0</f>
        <v>421.40000000000003</v>
      </c>
      <c r="Q107" s="3">
        <f>112+(768.7-466.1)+(-0.11424+(-0.784074--0.475422))+0-36.5--0.0372300000000058</f>
        <v>377.71433800000005</v>
      </c>
      <c r="R107" s="3">
        <f>106+(748.3-446)+(0+(0-0))+0-34.6-0</f>
        <v>373.69999999999993</v>
      </c>
      <c r="S107" s="3">
        <f>105+(741.6-444.7)+(-0.1071+(-0.756432--0.453594))+0-34.1--0.0347820000000054</f>
        <v>367.42484400000001</v>
      </c>
      <c r="T107" s="3">
        <f>107+(709.2-407.9)+(-0.10914+(-0.723384--0.416058))+0-34.1--0.0347820000000054</f>
        <v>373.81831600000004</v>
      </c>
      <c r="U107" s="3">
        <f>106+(672.1-371.9)+(-0.16218+(-1.028313--0.569007))+0-33.4--0.0511020000000019</f>
        <v>372.22961600000008</v>
      </c>
      <c r="V107" s="3">
        <f>105+(702.2-407.5)+(-0.05355+(-0.358122--0.207825))+0-32.8--0.0167279999999967</f>
        <v>366.71288100000004</v>
      </c>
      <c r="W107" s="3">
        <f>105+(730.4-445.4)+(-0.16065+(-1.117512--0.681462))+0-33--0.0504900000000019</f>
        <v>356.45379000000003</v>
      </c>
      <c r="X107" s="3">
        <f>57+(730.5-407.5)+(-0.14535+(-1.862775--1.039125))+0-33.2--0.0846599999999952</f>
        <v>345.91566</v>
      </c>
      <c r="Y107" s="3">
        <f>0+(667.9-298.9)+(0+(-1.021887--0.457317))+0-33.1--0.0506430000000019</f>
        <v>335.38607299999995</v>
      </c>
      <c r="Z107" s="3">
        <f>0+(645-259.8)+(0+(-0.6579--0.264996))+0-33.1--0.0337620000000053</f>
        <v>351.740858</v>
      </c>
      <c r="AA107" s="3">
        <f>0+(703.9-314.1)+(0+(-0.717978--0.320382))+0-33.5--0.0341700000000053</f>
        <v>355.93657399999995</v>
      </c>
      <c r="AB107" s="3">
        <f>0+(742.1-352.2)+(0+(-1.513884--0.718488))+0-34.3--0.0699719999999985</f>
        <v>354.87457600000005</v>
      </c>
      <c r="AC107" s="3">
        <f>0+(683.4-293.9)+(0+(-0.697068--0.299778))+0-34.3--0.0349860000000055</f>
        <v>354.83769599999999</v>
      </c>
      <c r="AD107">
        <v>356.9</v>
      </c>
      <c r="AE107" s="3">
        <f>0+(703.9-312.7)+(0+(0-0))+0-34.3-0</f>
        <v>356.9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0+(671.7-292.3)+(0+(-1.027701--0.447219))+0-34.3--0.052479000000002</f>
        <v>344.57199700000001</v>
      </c>
      <c r="G108" s="3">
        <f>0+(596.7-220.5)+(0+(-0.912951--0.337365))+0-34.2--0.052326000000002</f>
        <v>341.47674000000006</v>
      </c>
      <c r="H108" s="3">
        <f>0+(624.1-256)+(0+(0-0))+0-34.3-0</f>
        <v>333.8</v>
      </c>
      <c r="I108" s="3">
        <f>0+(525.5-162.2)+(0+(-1.07202--0.330888))+0-34.1--0.0695639999999985</f>
        <v>328.52843200000001</v>
      </c>
      <c r="J108" s="3">
        <f>0+(453.6-93.9)+(0+(-0.925344--0.191556))+0-34--0.0693599999999985</f>
        <v>325.03557200000006</v>
      </c>
      <c r="K108" s="3">
        <f>0+(420.4-65.3)+(0+(-0.857616--0.133212))+0-34--0.0693599999999985</f>
        <v>320.44495599999999</v>
      </c>
      <c r="L108" s="3">
        <f>0+(408.2-68.3)+(0+(-0.832728--0.139332))+0-34--0.0693599999999985</f>
        <v>305.27596399999999</v>
      </c>
      <c r="M108" s="3">
        <f>0+(453.9-95.7)+(0+(0.694467-0.146421))+0-34.2-0.052326000000002</f>
        <v>324.49572000000001</v>
      </c>
      <c r="N108" s="3">
        <f>0+(481.3-90.9)+(0+(0.490926-0.092718))+0-36-0.0367200000000057</f>
        <v>354.76148799999999</v>
      </c>
      <c r="O108" s="3">
        <f>50+(505.3-144.8)+(0+(0-0))+0-35.7-0</f>
        <v>374.8</v>
      </c>
      <c r="P108" s="3">
        <f>111+(521.3-234)+(0.05661+(0.265863-0.11934))+0-30-0.015299999999997</f>
        <v>368.48783299999991</v>
      </c>
      <c r="Q108" s="3">
        <f>109+(589.3-304.9)+(0+(0-0))+0-29.6-0</f>
        <v>363.79999999999995</v>
      </c>
      <c r="R108" s="3">
        <f>111+(685.8-367)+(0.05661+(0.349758-0.18717))+0-33.9-0.0172889999999966</f>
        <v>396.10190899999998</v>
      </c>
      <c r="S108" s="3">
        <f>109+(677.9-373.2)+(0.11118+(0.691458-0.380664))+0-33.6-0.0342720000000054</f>
        <v>380.48770199999996</v>
      </c>
      <c r="T108" s="3">
        <f>108+(620.1-316.7)+(-0.11016+(-0.632502--0.323034))+0-33.2--0.0338640000000053</f>
        <v>377.81423600000005</v>
      </c>
      <c r="U108" s="3">
        <f>107+(640.9-340.4)+(0.10914+(0.653718-0.347208))+0-32.9-0.0335580000000052</f>
        <v>374.98209200000002</v>
      </c>
      <c r="V108" s="3">
        <f>107+(675.5-382.6)+(-0.27285+(-1.722525--0.97563))+0-32.6--0.0831299999999953</f>
        <v>366.36338499999994</v>
      </c>
      <c r="W108" s="3">
        <f>106+(730.8-447.2)+(-0.32436+(-2.236248--1.368432))+0-32.7--0.100062000000004</f>
        <v>355.80788599999994</v>
      </c>
      <c r="X108" s="3">
        <f>105+(739-468.5)+(-0.3213+(-2.26134--1.43361))+0-32.7--0.100062000000004</f>
        <v>341.75103200000001</v>
      </c>
      <c r="Y108" s="3">
        <f>106+(567.4-311.5)+(-0.10812+(-0.578748--0.31773))+0-32.7--0.0333540000000052</f>
        <v>328.864216</v>
      </c>
      <c r="Z108" s="3">
        <f>106+(516-236.7)+(-0.16218+(-0.78948--0.362151))+0-33.8--0.0517140000000019</f>
        <v>350.96220499999998</v>
      </c>
      <c r="AA108" s="3">
        <f>106+(626.1-334.7)+(-0.2703+(-1.596555--0.853485))+0-34.1--0.0869549999999951</f>
        <v>362.37358499999999</v>
      </c>
      <c r="AB108" s="3">
        <f>15+(737.1-359.1)+(-0.0153+(-0.751842--0.366282))+0-34.1--0.0347820000000054</f>
        <v>358.53392199999996</v>
      </c>
      <c r="AC108" s="3">
        <f>0+(764.4-373.6)+(0+(1.559376-0.762144))+0-34.1-0.0695639999999985</f>
        <v>357.42766799999993</v>
      </c>
      <c r="AD108">
        <v>362.7</v>
      </c>
      <c r="AE108" s="3">
        <f>107+(646.9-357.2)+(0+(0-0))+0-34-0</f>
        <v>362.7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0+(729.5-348.8)+(0+(-0.74409--0.355776))+0-34.4--0.0350880000000055</f>
        <v>345.94677400000006</v>
      </c>
      <c r="G109" s="3">
        <f>0+(622-251)+(0+(0-0))+0-34.2-0</f>
        <v>336.8</v>
      </c>
      <c r="H109" s="3">
        <f>0+(610.9-240.1)+(0+(-0.623118--0.244902))+0-34.2--0.0348840000000055</f>
        <v>336.25666799999999</v>
      </c>
      <c r="I109" s="3">
        <f>0+(530-168.4)+(0+(0-0))+0-33.8-0</f>
        <v>327.8</v>
      </c>
      <c r="J109" s="3">
        <f>0+(499.8-140.8)+(0+(0-0))+0-33.2-0</f>
        <v>325.8</v>
      </c>
      <c r="K109" s="3">
        <f>0+(538.6-187)+(0+(-1.37343--0.47685))+0-34.2--0.087209999999995</f>
        <v>316.59063000000003</v>
      </c>
      <c r="L109" s="3">
        <f>0+(521.9-177.2)+(0+(-0.532338--0.180744))+0-34--0.0346800000000054</f>
        <v>310.38308599999999</v>
      </c>
      <c r="M109" s="3">
        <f>0+(494.7-132.3)+(0+(0.504594-0.134946))+0-34.6-0.0352920000000055</f>
        <v>328.13435599999991</v>
      </c>
      <c r="N109" s="3">
        <f>0+(663.9-272.2)+(0+(0.338589-0.138822))+0-33.9-0.0172889999999966</f>
        <v>357.98247800000001</v>
      </c>
      <c r="O109" s="3">
        <f>79+(787-456.6)+(0.08058+(0.80274-0.465732))+0-32.1-0.0327420000000051</f>
        <v>377.68484599999999</v>
      </c>
      <c r="P109" s="3">
        <f>111+(767.3-464.4)+(0.05661+(0.391323-0.236844))+0-32.9-0.0167789999999967</f>
        <v>381.19431000000003</v>
      </c>
      <c r="Q109" s="3">
        <f>110+(757.8-451.9)+(0.1122+(0.772956-0.460938))+0-32.9-0.0335580000000052</f>
        <v>383.39065999999997</v>
      </c>
      <c r="R109" s="3">
        <f>108+(696.9-389.4)+(0+(0-0))+0-33.5-0</f>
        <v>382</v>
      </c>
      <c r="S109" s="3">
        <f>109+(680.4-389.2)+(0+(0-0))+0-33.1-0</f>
        <v>367.09999999999997</v>
      </c>
      <c r="T109" s="3">
        <f>107+(624.3-339)+(-0.05457+(-0.318393--0.17289))+0-32.3--0.0164729999999967</f>
        <v>359.81639999999999</v>
      </c>
      <c r="U109" s="3">
        <f>108+(633.6-352)+(-0.11016+(-0.646272--0.35904))+0-29.9--0.0304980000000048</f>
        <v>359.33310600000004</v>
      </c>
      <c r="V109" s="3">
        <f>107+(590.4-318.3)+(0+(0-0))+0-27.8-0</f>
        <v>351.29999999999995</v>
      </c>
      <c r="W109" s="3">
        <f>107+(696.3-429.1)+(-0.10914+(-0.710226--0.437682))+0-29.5--0.0300900000000047</f>
        <v>344.34840599999995</v>
      </c>
      <c r="X109" s="3">
        <f>108+(768.9-513.8)+(0+(0-0))+0-30.5-0</f>
        <v>332.6</v>
      </c>
      <c r="Y109" s="3">
        <f>18+(694.5-365.4)+(-0.0459+(-1.770975--0.93177))+0-31.4--0.0800699999999954</f>
        <v>314.89496500000001</v>
      </c>
      <c r="Z109" s="3">
        <f>0+(684-315.3)+(0+(0.34884-0.160803))+0-33-0.0168299999999967</f>
        <v>335.87120700000003</v>
      </c>
      <c r="AA109" s="3">
        <f>0+(748.3-360.6)+(0+(-0.763266--0.367812))+0-34.4--0.0350880000000055</f>
        <v>352.93963400000001</v>
      </c>
      <c r="AB109" s="3">
        <f>0+(789-407.3)+(0+(0-0))+0-34.3-0</f>
        <v>347.4</v>
      </c>
      <c r="AC109" s="3">
        <f>0+(817.2-438.9)+(0+(-0.833544--0.447678))+0-34.3--0.0349860000000055</f>
        <v>343.64912000000004</v>
      </c>
      <c r="AD109">
        <v>354.1</v>
      </c>
      <c r="AE109" s="3">
        <f>0+(758.7-370.5)+(0+(0-0))+0-34.1-0</f>
        <v>354.1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0+(769.8-395.4)+(0+(-1.570392--0.806616))+0-34.3--0.0699719999999985</f>
        <v>339.40619599999997</v>
      </c>
      <c r="G110" s="3">
        <f>0+(651.2-295.8)+(0+(-0.996336--0.452574))+0-34.3--0.052479000000002</f>
        <v>320.60871700000001</v>
      </c>
      <c r="H110" s="3">
        <f>0+(594.9-255.4)+(0+(-0.910197--0.390762))+0-25.9--0.0396270000000015</f>
        <v>313.12019200000003</v>
      </c>
      <c r="I110" s="3">
        <f>0+(583.6-244.5)+(0+(-1.48818--0.623475))+0-34--0.0866999999999951</f>
        <v>304.32199500000002</v>
      </c>
      <c r="J110" s="3">
        <f>0+(503.6-162.5)+(0+(-0.256836--0.082875))+0-34.1--0.0173909999999965</f>
        <v>306.84342999999996</v>
      </c>
      <c r="K110" s="3">
        <f>0+(486.3-157)+(0+(-0.744039--0.24021))+0-34.2--0.052326000000002</f>
        <v>294.64849700000002</v>
      </c>
      <c r="L110" s="3">
        <f>0+(459.6-145.5)+(0+(-0.937584--0.29682))+0-34.1--0.0695639999999985</f>
        <v>279.42880000000002</v>
      </c>
      <c r="M110" s="3">
        <f>0+(429.5-111.5)+(0+(-0.43809--0.11373))+0-34.5--0.0351900000000055</f>
        <v>283.21082999999999</v>
      </c>
      <c r="N110" s="3">
        <f>0+(529.4-202.4)+(0+(0.269994-0.103224))+0-34.4-0.0175439999999965</f>
        <v>292.74922600000002</v>
      </c>
      <c r="O110" s="3">
        <f>0+(563.6-231.2)+(0+(0-0))+0-32.4-0</f>
        <v>300.00000000000006</v>
      </c>
      <c r="P110" s="3">
        <f>0+(579.8-240)+(0+(0.591396-0.2448))+0-31.5-0.032130000000005</f>
        <v>308.61446599999994</v>
      </c>
      <c r="Q110" s="3">
        <f>0+(619.4-269.6)+(0+(0.631788-0.274992))+0-30-0.0306000000000048</f>
        <v>320.12619599999994</v>
      </c>
      <c r="R110" s="3">
        <f>0+(708-352.4)+(0+(0.36108-0.179724))+0-31.8-0.0162179999999968</f>
        <v>323.96513800000002</v>
      </c>
      <c r="S110" s="3">
        <f>56+(717.7-421.2)+(0+(0-0))+0-31.7-0</f>
        <v>320.80000000000007</v>
      </c>
      <c r="T110" s="3">
        <f>111+(673.6-435.9)+(-0.11322+(-0.687072--0.444618))+0-30.7--0.0313140000000049</f>
        <v>317.67564000000004</v>
      </c>
      <c r="U110" s="3">
        <f>111+(630.7-403)+(-0.16983+(-0.964971--0.61659))+0-30.5--0.0466650000000018</f>
        <v>307.72845400000006</v>
      </c>
      <c r="V110" s="3">
        <f>112+(673.5-448.7)+(0+(0-0))+0-29.7-0</f>
        <v>307.10000000000002</v>
      </c>
      <c r="W110" s="3">
        <f>113+(703.6-485.6)+(-0.05763+(-0.358836--0.247656))+0-29.9--0.015248999999997</f>
        <v>300.946439</v>
      </c>
      <c r="X110" s="3">
        <f>74+(746.7-497.5)+(-0.1887+(-1.904085--1.268625))+0-29.5--0.0752249999999957</f>
        <v>292.95106500000003</v>
      </c>
      <c r="Y110" s="3">
        <f>51+(604.4-334.3)+(-0.10404+(-1.232976--0.681972))+0-29.5--0.0601799999999987</f>
        <v>291.00513599999999</v>
      </c>
      <c r="Z110" s="3">
        <f>51+(643.3-352.9)+(0.02601+(0.328083-0.179979))+0-29.3-0.014942999999997</f>
        <v>312.25917099999992</v>
      </c>
      <c r="AA110" s="3">
        <f>109+(686-436.3)+(-0.27795+(-1.7493--1.112565))+0-32--0.0815999999999954</f>
        <v>325.86691499999995</v>
      </c>
      <c r="AB110" s="3">
        <f>110+(721.3-465.4)+(-0.2244+(-1.471452--0.949416))+0-32.2--0.0656879999999986</f>
        <v>333.01925199999999</v>
      </c>
      <c r="AC110" s="3">
        <f>105+(736.9-477.6)+(-0.05355+(-0.375819--0.243576))+0-32.2--0.0164219999999967</f>
        <v>331.93062899999995</v>
      </c>
      <c r="AD110">
        <v>324.89999999999998</v>
      </c>
      <c r="AE110" s="3">
        <f>112+(709-464)+(0+(0-0))+0-32.1-0</f>
        <v>324.89999999999998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45+(703.7-393.6)+(0+(0-0))+0-34-0</f>
        <v>321.10000000000002</v>
      </c>
      <c r="G111" s="3">
        <f>0+(599.1-253.3)+(0+(-1.222164--0.516732))+0-34.1--0.0695639999999985</f>
        <v>311.06413200000003</v>
      </c>
      <c r="H111" s="3">
        <f>0+(431.1-95)+(0+(0.439722-0.0969))+0-34-0.0346800000000054</f>
        <v>302.40814200000005</v>
      </c>
      <c r="I111" s="3">
        <f>0+(381.8-49.2)+(0+(-0.194718--0.025092))+0-34--0.0173399999999966</f>
        <v>298.44771400000002</v>
      </c>
      <c r="J111" s="3">
        <f>0+(329.5-0)+(0+(-0.504135-0))+0-34.1--0.052173000000002</f>
        <v>294.94803799999994</v>
      </c>
      <c r="K111" s="3">
        <f>0+(321.8-0)+(0+(-0.656472-0))+0-34--0.0693599999999985</f>
        <v>287.21288800000002</v>
      </c>
      <c r="L111" s="3">
        <f>0+(320.9-3.5)+(0+(-0.327318--0.00357))+0-34.1--0.0347820000000054</f>
        <v>283.01103399999994</v>
      </c>
      <c r="M111" s="3">
        <f>12+(385.2-53.5)+(-0.01836+(-0.589356--0.081855))+0-34.4--0.052632000000002</f>
        <v>308.82677100000001</v>
      </c>
      <c r="N111" s="3">
        <f>50+(586.7-252.5)+(0+(0-0))+0-35.5-0</f>
        <v>348.70000000000005</v>
      </c>
      <c r="O111" s="3">
        <f>104+(683.8-384.1)+(0.05304+(0.348738-0.195891))+0-35.9-0.0183089999999964</f>
        <v>367.98757799999998</v>
      </c>
      <c r="P111" s="3">
        <f>107+(703.3-405.9)+(0.10914+(0.717366-0.414018))+0-33.6-0.0342720000000054</f>
        <v>371.17821599999996</v>
      </c>
      <c r="Q111" s="3">
        <f>112+(652.3-343)+(0+(0-0))+0-35.1-0</f>
        <v>386.19999999999993</v>
      </c>
      <c r="R111" s="3">
        <f>111+(617.5-304)+(-0.05661+(-0.314925--0.15504))+0-28.6--0.0145859999999971</f>
        <v>395.69809099999998</v>
      </c>
      <c r="S111" s="3">
        <f>111+(554.1-250.5)+(-0.05661+(-0.282591--0.127755))+0-32.7--0.0166769999999967</f>
        <v>381.70523100000003</v>
      </c>
      <c r="T111" s="3">
        <f>111+(548-238.9)+(-0.05661+(-0.27948--0.121839))+0-32.8--0.0167279999999967</f>
        <v>387.10247700000002</v>
      </c>
      <c r="U111" s="3">
        <f>110+(572.2-268.9)+(-0.1683+(-0.875466--0.411417))+0-32.7--0.0500310000000019</f>
        <v>380.01768200000009</v>
      </c>
      <c r="V111" s="3">
        <f>111+(562.9-271.1)+(0+(0-0))+0-32.6-0</f>
        <v>370.19999999999993</v>
      </c>
      <c r="W111" s="3">
        <f>111+(635.2-349)+(-0.16983+(-0.971856--0.53397))+0-32.3--0.0494190000000019</f>
        <v>364.34170300000005</v>
      </c>
      <c r="X111" s="3">
        <f>109+(707.2-440.1)+(-0.33354+(-2.164032--1.346706))+0-32--0.0979200000000037</f>
        <v>343.047054</v>
      </c>
      <c r="Y111" s="3">
        <f>52+(586-271.5)+(-0.05304+(-0.59772--0.27693))+0-33.4--0.0340680000000053</f>
        <v>332.76023800000002</v>
      </c>
      <c r="Z111" s="3">
        <f>51+(591.9-263.1)+(0.02601+(0.301869-0.134181))+0-33.3-0.0169829999999966</f>
        <v>346.67671499999994</v>
      </c>
      <c r="AA111" s="3">
        <f>104+(654.6-371.9)+(-0.05304+(-0.333846--0.189669))+0-33.5--0.0170849999999966</f>
        <v>353.01986800000003</v>
      </c>
      <c r="AB111" s="3">
        <f>111+(630.9-355.9)+(-0.05661+(-0.321759--0.181509))+0-34.3--0.0174929999999965</f>
        <v>351.52063299999998</v>
      </c>
      <c r="AC111" s="3">
        <f>52+(654.6-333.1)+(0.02652+(0.333846-0.169881))+0-32.8-0.0167279999999967</f>
        <v>340.87375700000001</v>
      </c>
      <c r="AD111">
        <v>350.5</v>
      </c>
      <c r="AE111" s="3">
        <f>112+(659-386.4)+(0+(0-0))+0-34.1-0</f>
        <v>350.5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26+(670.2-334.3)+(0.01326+(0.341802-0.170493))+0-30.8-0.0157079999999969</f>
        <v>331.26886100000002</v>
      </c>
      <c r="G112" s="3">
        <f>0+(619.4-268.3)+(0+(0-0))+0-31.2-0</f>
        <v>319.89999999999998</v>
      </c>
      <c r="H112" s="3">
        <f>0+(505.8-165.2)+(0+(0.257958-0.084252))+0-28.4-0.0144839999999971</f>
        <v>312.35922200000005</v>
      </c>
      <c r="I112" s="3">
        <f>0+(471.9-135.4)+(0+(-0.481338--0.138108))+0-28.5--0.0290700000000045</f>
        <v>307.68583999999998</v>
      </c>
      <c r="J112" s="3">
        <f>0+(423.1-89.6)+(0+(-0.431562--0.091392))+0-30.4--0.0310080000000048</f>
        <v>302.79083800000001</v>
      </c>
      <c r="K112" s="3">
        <f>0+(464.4-144.2)+(0+(-1.18422--0.36771))+0-27.7--0.070634999999996</f>
        <v>291.75412499999999</v>
      </c>
      <c r="L112" s="3">
        <f>0+(529.2-217.9)+(0+(-0.809676--0.333387))+0-27.5--0.0420750000000016</f>
        <v>283.36578600000007</v>
      </c>
      <c r="M112" s="3">
        <f>0+(549.8-216.1)+(0+(0.280398-0.110211))+0-27.9-0.0142289999999972</f>
        <v>305.95595799999995</v>
      </c>
      <c r="N112" s="3">
        <f>0+(603.9-236)+(0+(0-0))+0-28.3-0</f>
        <v>339.59999999999997</v>
      </c>
      <c r="O112" s="3">
        <f>0+(715.3-321)+(0+(-0.729606--0.32742))+0-29.3--0.0298860000000047</f>
        <v>364.62769999999995</v>
      </c>
      <c r="P112" s="3">
        <f>0+(717.5-341)+(0+(0-0))+0-30-0</f>
        <v>346.5</v>
      </c>
      <c r="Q112" s="3">
        <f>0+(712.7-303.6)+(0+(-0.726954--0.309672))+0-32.8--0.0334560000000052</f>
        <v>375.91617400000001</v>
      </c>
      <c r="R112" s="3">
        <f>0+(657.6-242.3)+(0+(-0.335376--0.123573))+0-31.8--0.0162179999999968</f>
        <v>383.30441500000001</v>
      </c>
      <c r="S112" s="3">
        <f>0+(618.9-211.4)+(0+(-0.315639--0.107814))+0-31.6--0.0161159999999968</f>
        <v>375.70829099999997</v>
      </c>
      <c r="T112" s="3">
        <f>0+(563.3-154.2)+(0+(-0.861849--0.235926))+0-31.5--0.0481950000000018</f>
        <v>377.02227199999999</v>
      </c>
      <c r="U112" s="3">
        <f>0+(575.4-171.3)+(0+(0-0))+0-31.7-0</f>
        <v>372.4</v>
      </c>
      <c r="V112" s="3">
        <f>0+(592.9-194.2)+(0+(-0.302379--0.099042))+0-31.9--0.0162689999999968</f>
        <v>366.61293200000006</v>
      </c>
      <c r="W112" s="3">
        <f>0+(617.2-227.6)+(0+(-1.57386--0.58038))+0-32.6--0.0831299999999953</f>
        <v>356.08965000000001</v>
      </c>
      <c r="X112" s="3">
        <f>0+(686.1-310.7)+(0+(-2.449377--1.109199))+0-34.1--0.121737</f>
        <v>340.08155900000003</v>
      </c>
      <c r="Y112" s="3">
        <f>0+(697.5-336.9)+(0+(0.355725-0.171819))+0-34.1-0.0173909999999965</f>
        <v>326.666515</v>
      </c>
      <c r="Z112" s="3">
        <f>0+(673.2-293.9)+(0+(0.686664-0.299778))+0-34.2-0.0348840000000055</f>
        <v>345.45200200000005</v>
      </c>
      <c r="AA112" s="3">
        <f>0+(687.2-296.5)+(0+(-1.75236--0.756075))+0-34.1--0.0869549999999951</f>
        <v>355.69067000000001</v>
      </c>
      <c r="AB112" s="3">
        <f>0+(664.6-266.1)+(0+(-1.016838--0.407133))+0-34.1--0.052173000000002</f>
        <v>363.84246799999994</v>
      </c>
      <c r="AC112" s="3">
        <f>0+(598.7-211.5)+(0+(-0.305337--0.107865))+0-34.1--0.0173909999999965</f>
        <v>352.91991899999999</v>
      </c>
      <c r="AD112">
        <v>351.7</v>
      </c>
      <c r="AE112" s="3">
        <f>0+(692.4-306.4)+(0+(0-0))+0-34.3-0</f>
        <v>351.7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0+(624.8-251.7)+(0+(-0.955944--0.385101))+0-34.3--0.052479000000002</f>
        <v>338.28163599999993</v>
      </c>
      <c r="G113" s="3">
        <f>0+(581.3-219.9)+(0+(-1.482315--0.560745))+0-33.7--0.0859349999999951</f>
        <v>326.86436500000002</v>
      </c>
      <c r="H113" s="3">
        <f>0+(500.3-143.1)+(0+(-0.255153--0.072981))+0-32.8--0.0167279999999967</f>
        <v>324.23455600000005</v>
      </c>
      <c r="I113" s="3">
        <f>0+(464.6-112.6)+(0+(-0.710838--0.172278))+0-32.7--0.0500310000000019</f>
        <v>318.81147099999998</v>
      </c>
      <c r="J113" s="3">
        <f>0+(410.3-61.9)+(0+(-0.209253--0.031569))+0-32.7--0.0166769999999967</f>
        <v>315.53899300000006</v>
      </c>
      <c r="K113" s="3">
        <f>0+(408.5-71.2)+(0+(-2.08335--0.36312))+0-32.7--0.166770000000002</f>
        <v>303.04653999999999</v>
      </c>
      <c r="L113" s="3">
        <f>0+(488.3-155.9)+(0+(-1.494198--0.477054))+0-32.6--0.0997560000000038</f>
        <v>298.88261199999999</v>
      </c>
      <c r="M113" s="3">
        <f>0+(571.1-214.1)+(0+(0.582522-0.218382))+0-33-0.0336600000000053</f>
        <v>324.33048000000002</v>
      </c>
      <c r="N113" s="3">
        <f>5+(676.2-284.8)+(0.0051+(0.689724-0.290496))+0-34.9-0.0355980000000056</f>
        <v>361.86873000000008</v>
      </c>
      <c r="O113" s="3">
        <f>68+(682.4-341.2)+(-0.06936+(-0.696048--0.348024))+0-33.9--0.0345780000000054</f>
        <v>374.91719399999999</v>
      </c>
      <c r="P113" s="3">
        <f>107+(689-345)+(0.05457+(0.35139-0.17595))+0-38-0.0193799999999961</f>
        <v>413.21062999999998</v>
      </c>
      <c r="Q113" s="3">
        <f>102+(708.8-352)+(0.05202+(0.361488-0.17952))+0-37-0.0188699999999962</f>
        <v>422.01511799999997</v>
      </c>
      <c r="R113" s="3">
        <f>118+(662.3-355)+(0+(0-0))+0-12-0</f>
        <v>413.29999999999995</v>
      </c>
      <c r="S113" s="3">
        <f>108+(672.5-376.3)+(0.05508+(0.342975-0.191913))+0-27.6-0.0140759999999972</f>
        <v>376.79206599999998</v>
      </c>
      <c r="T113" s="3">
        <f>122+(694.4-388.5)+(0.12444+(0.708288-0.39627))+0-32.2-0.0328440000000051</f>
        <v>396.10361399999999</v>
      </c>
      <c r="U113" s="3">
        <f>103+(693-391.9)+(-0.15759+(-1.06029--0.599607))+0-32.6--0.0498780000000019</f>
        <v>370.93160499999999</v>
      </c>
      <c r="V113" s="3">
        <f>122+(682.4-393.2)+(-0.06222+(-0.348024--0.200532))+0-32.7--0.0166769999999967</f>
        <v>378.30696499999999</v>
      </c>
      <c r="W113" s="3">
        <f>103+(752.9-470.3)+(-0.21012+(-1.535916--0.959412))+0-31.3--0.0638519999999986</f>
        <v>353.57722799999993</v>
      </c>
      <c r="X113" s="3">
        <f>104+(732.6-470.6)+(-0.21216+(-1.494504--0.960024))+0-32.1--0.0654839999999986</f>
        <v>333.21884399999999</v>
      </c>
      <c r="Y113" s="3">
        <f>103+(612.4-363.8)+(-0.15759+(-0.936972--0.556614))+0-32.6--0.0498780000000019</f>
        <v>318.51192999999995</v>
      </c>
      <c r="Z113" s="3">
        <f>121+(663.1-395.6)+(0.06171+(0.338181-0.201756))+0-32.6-0.0166259999999967</f>
        <v>356.08150899999998</v>
      </c>
      <c r="AA113" s="3">
        <f>104+(726.5-447.4)+(-0.15912+(-1.111545--0.684522))+0-32.8--0.0501840000000019</f>
        <v>349.76404100000002</v>
      </c>
      <c r="AB113" s="3">
        <f>104+(700.4-412.9)+(-0.05304+(-0.357204--0.210579))+0-34.2--0.0174419999999965</f>
        <v>357.11777700000005</v>
      </c>
      <c r="AC113" s="3">
        <f>104+(666.2-385.2)+(-0.10608+(-0.679524--0.392904))+0-34.2--0.0348840000000055</f>
        <v>350.44218400000011</v>
      </c>
      <c r="AD113">
        <v>350.70000000000005</v>
      </c>
      <c r="AE113" s="3">
        <f>110+(740.7-467.5)+(0+(0-0))+0-32.5-0</f>
        <v>350.70000000000005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70+(648.4-329.3)+(-0.0714+(-0.661368--0.335886))+0-34.2--0.0348840000000055</f>
        <v>354.53800200000001</v>
      </c>
      <c r="G114" s="3">
        <f>50+(553.6-231.2)+(-0.153+(-1.694016--0.707472))+0-34.2--0.104652000000004</f>
        <v>337.16510800000003</v>
      </c>
      <c r="H114" s="3">
        <f>50+(505.4-194.7)+(-0.0255+(-0.257754--0.099297))+0-34--0.0173399999999966</f>
        <v>326.53338299999996</v>
      </c>
      <c r="I114" s="3">
        <f>50+(437.6-136.4)+(-0.102+(-0.892704--0.278256))+0-34--0.0693599999999985</f>
        <v>316.55291200000005</v>
      </c>
      <c r="J114" s="3">
        <f>50+(439.4-138.2)+(0.0255+(0.224094-0.070482))+0-34-0.0173399999999966</f>
        <v>317.36177199999997</v>
      </c>
      <c r="K114" s="3">
        <f>50+(481.5-185.7)+(-0.0255+(-0.245565--0.094707))+0-34--0.0173399999999966</f>
        <v>311.64098200000001</v>
      </c>
      <c r="L114" s="3">
        <f>48+(408.1-123.4)+(-0.1224+(-1.040655--0.31467))+0-34--0.0866999999999951</f>
        <v>297.93831500000005</v>
      </c>
      <c r="M114" s="3">
        <f>52+(432.2-124.7)+(0+(0-0))+0-33.9-0</f>
        <v>325.60000000000002</v>
      </c>
      <c r="N114" s="3">
        <f>51+(587.8-248.8)+(0+(0-0))+0-35.3-0</f>
        <v>354.69999999999993</v>
      </c>
      <c r="O114" s="3">
        <f>51+(717.5-366.6)+(0.02601+(0.365925-0.186966))+0-34.6-0.0176459999999965</f>
        <v>367.48732299999995</v>
      </c>
      <c r="P114" s="3">
        <f>88+(813.1-485.9)+(-0.04488+(-0.414681--0.247809))+0-34.9--0.0177989999999965</f>
        <v>380.10604700000005</v>
      </c>
      <c r="Q114" s="3">
        <f>112+(787.7-474.4)+(0.11424+(0.803454-0.483888))+0-36.1-0.0368220000000058</f>
        <v>389.59698400000002</v>
      </c>
      <c r="R114" s="3">
        <f>111+(809.9-498.6)+(0.22644+(1.652196-1.017144))+0-33.3-0.0679319999999985</f>
        <v>389.79355999999996</v>
      </c>
      <c r="S114" s="3">
        <f>111+(806.2-503.1)+(-0.05661+(-0.411162--0.256581))+0-33.1--0.0168809999999966</f>
        <v>380.80569000000003</v>
      </c>
      <c r="T114" s="3">
        <f>111+(760-465.5)+(-0.05661+(-0.3876--0.237405))+0-33--0.0168299999999967</f>
        <v>372.310025</v>
      </c>
      <c r="U114" s="3">
        <f>110+(729.3-438.5)+(-0.1122+(-0.743886--0.44727))+0-32.7--0.0333540000000052</f>
        <v>367.724538</v>
      </c>
      <c r="V114" s="3">
        <f>111+(665.9-381.6)+(-0.11322+(-0.679218--0.389232))+0-32.6--0.0332520000000052</f>
        <v>362.33004599999992</v>
      </c>
      <c r="W114" s="3">
        <f>110.2+(722.8-445.3)+(-0.168606+(-1.105884--0.681309))+0-32.5--0.0497250000000019</f>
        <v>354.65654399999994</v>
      </c>
      <c r="X114" s="3">
        <f>7.5+(763.9-401.2)+(-0.02295+(-2.337534--1.227672))+0-32.8--0.100368000000004</f>
        <v>336.36755599999998</v>
      </c>
      <c r="Y114" s="3">
        <f>0+(620.1-271.5)+(0+(-0.632502--0.27693))+0-32.5--0.0331500000000052</f>
        <v>315.77757800000001</v>
      </c>
      <c r="Z114" s="3">
        <f>0+(679.3-307.4)+(0+(1.039329-0.470322))+0-34-0.052020000000002</f>
        <v>338.41698699999995</v>
      </c>
      <c r="AA114" s="3">
        <f>0+(752.2-373.8)+(0+(-1.150866--0.571914))+0-34.3--0.052479000000002</f>
        <v>343.57352700000001</v>
      </c>
      <c r="AB114" s="3">
        <f>0+(770.3-391.5)+(0+(0.785706-0.39933))+0-34.3-0.0349860000000055</f>
        <v>344.85138999999992</v>
      </c>
      <c r="AC114" s="3">
        <f>0+(754.1-380.2)+(0+(-1.538364--0.775608))+0-34.2--0.0697679999999985</f>
        <v>339.00701200000003</v>
      </c>
      <c r="AD114">
        <v>341.90000000000003</v>
      </c>
      <c r="AE114" s="3">
        <f>0+(760.1-383.9)+(0+(0-0))+0-34.3-0</f>
        <v>341.90000000000003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0+(694.1-336.7)+(0+(0-0))+0-33.3-0</f>
        <v>324.10000000000002</v>
      </c>
      <c r="G115" s="3">
        <f>0+(569.3-227.8)+(0+(0-0))+0-30.9-0</f>
        <v>310.59999999999997</v>
      </c>
      <c r="H115" s="3">
        <f>0+(503.3-164.9)+(0+(-0.770049--0.252297))+0-29.9--0.0457470000000017</f>
        <v>308.02799500000003</v>
      </c>
      <c r="I115" s="3">
        <f>0+(444.8-111.6)+(0+(-0.907392--0.227664))+0-30.2--0.0616079999999987</f>
        <v>302.38188000000002</v>
      </c>
      <c r="J115" s="3">
        <f>0+(343-11.8)+(0+(-0.52479--0.018054))+0-26.5--0.0405450000000015</f>
        <v>304.23380900000001</v>
      </c>
      <c r="K115" s="3">
        <f>0+(444.4-116.1)+(0+(-1.586508--0.414477))+0-30.5--0.108885</f>
        <v>296.73685399999994</v>
      </c>
      <c r="L115" s="3">
        <f>0+(469.4-144.5)+(0+(-1.675758--0.515865))+0-27.6--0.0985320000000004</f>
        <v>296.23863899999992</v>
      </c>
      <c r="M115" s="3">
        <f>0+(526.5-174.4)+(0+(0.53703-0.177888))+0-30.7-0.0313140000000049</f>
        <v>321.72782800000004</v>
      </c>
      <c r="N115" s="3">
        <f>0+(746.2-356)+(0+(1.141686-0.54468))+0-32.6-0.0498780000000019</f>
        <v>358.14712800000007</v>
      </c>
      <c r="O115" s="3">
        <f>15.8+(694.1-304.2)+(0+(0-0))+0-33.4-0</f>
        <v>372.30000000000007</v>
      </c>
      <c r="P115" s="3">
        <f>61.1+(670.5-329)+(0+(0-0))+0-19.7-0</f>
        <v>382.90000000000003</v>
      </c>
      <c r="Q115" s="3">
        <f>116.1+(743-435.9)+(-0.177633+(-1.13679--0.666927))+0-34.5--0.052785000000002</f>
        <v>388.10528900000008</v>
      </c>
      <c r="R115" s="3">
        <f>115.9+(774.8-463.9)+(-0.177327+(-1.185444--0.709767))+0-33.1--0.0506430000000019</f>
        <v>393.0976389999999</v>
      </c>
      <c r="S115" s="3">
        <f>115.2+(733.8-439)+(-0.117504+(-0.748476--0.44778))+0-33.2--0.0338640000000053</f>
        <v>376.41566399999994</v>
      </c>
      <c r="T115" s="3">
        <f>114.9+(710.9-437.7)+(-0.234396+(-1.450236--0.892908))+0-33.2--0.0677279999999986</f>
        <v>354.17600400000003</v>
      </c>
      <c r="U115" s="3">
        <f>116.4+(716.3-431.5)+(-0.29682+(-1.826565--1.100325))+0-33.1--0.0844049999999952</f>
        <v>367.16134499999993</v>
      </c>
      <c r="V115" s="3">
        <f>117.6+(716.9-440.9)+(-0.359856+(-2.193714--1.349154))+0-32.5--0.0994500000000038</f>
        <v>359.99503400000003</v>
      </c>
      <c r="W115" s="3">
        <f>116.9+(820.6-546.9)+(-0.357714+(-2.511036--1.673514))+0-33--0.100980000000004</f>
        <v>356.50574399999999</v>
      </c>
      <c r="X115" s="3">
        <f>116.2+(865.3-606.1)+(-0.355572+(-2.647818--1.854666))+0-33.6--0.102816000000004</f>
        <v>340.7540919999999</v>
      </c>
      <c r="Y115" s="3">
        <f>73.8+(659.9-371.1)+(-0.18819+(-1.682745--0.946305))+0-34.1--0.0869549999999951</f>
        <v>327.66232499999995</v>
      </c>
      <c r="Z115" s="3">
        <f>70.7+(638.9-334.4)+(0+(0-0))+0-34-0</f>
        <v>341.2</v>
      </c>
      <c r="AA115" s="3">
        <f>119.6+(723.3-453.9)+(-0.30498+(-1.844415--1.157445))+0-34.3--0.087464999999995</f>
        <v>353.79551500000002</v>
      </c>
      <c r="AB115" s="3">
        <f>108.8+(727.2-451.9)+(-0.443904+(-2.966976--1.843752))+0-34.2--0.139535999999997</f>
        <v>348.47240800000009</v>
      </c>
      <c r="AC115" s="3">
        <f>50.5+(731.2-409.8)+(-0.025755+(-0.372912--0.208998))+0-34--0.0173399999999966</f>
        <v>337.72767100000004</v>
      </c>
      <c r="AD115">
        <v>351.8</v>
      </c>
      <c r="AE115" s="3">
        <f>119+(729-461.7)+(0+(0-0))+0-34.5-0</f>
        <v>351.8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18.8+(755.3-409.1)+(0+(0-0))+0-34.3-0</f>
        <v>330.69999999999993</v>
      </c>
      <c r="G116" s="3">
        <f>0+(683.6-329.4)+(0+(0.348636-0.167994))+0-33.8-0.0172379999999966</f>
        <v>320.56340399999999</v>
      </c>
      <c r="H116" s="3">
        <f>0+(451.3-104.6)+(0+(-0.230163--0.053346))+0-33.7--0.0171869999999966</f>
        <v>312.84037000000001</v>
      </c>
      <c r="I116" s="3">
        <f>0+(385.2-42.9)+(0+(-0.196452--0.021879))+0-34--0.0173399999999966</f>
        <v>308.14276699999999</v>
      </c>
      <c r="J116" s="3">
        <f>0+(408.1-64.8)+(0+(-0.624393--0.099144))+0-33.9--0.051867000000002</f>
        <v>308.92661800000008</v>
      </c>
      <c r="K116" s="3">
        <f>0+(444-111.2)+(0+(-1.1322--0.28356))+0-34--0.0866999999999951</f>
        <v>298.03806000000003</v>
      </c>
      <c r="L116" s="3">
        <f>0+(461.6-136.7)+(0+(-0.470832--0.139434))+0-33.9--0.0345780000000054</f>
        <v>290.70318000000009</v>
      </c>
      <c r="M116" s="3">
        <f>0+(495.2-150.6)+(0+(0.252552-0.076806))+0-34-0.0173399999999966</f>
        <v>310.75840600000004</v>
      </c>
      <c r="N116" s="3">
        <f>0+(575.3-200.7)+(0+(0.293403-0.102357))+0-35.3-0.0180029999999964</f>
        <v>339.4730429999999</v>
      </c>
      <c r="O116" s="3">
        <f>0+(759.1-370.4)+(0+(-0.774282--0.377808))+0-35.9--0.0366180000000057</f>
        <v>352.44014400000009</v>
      </c>
      <c r="P116" s="3">
        <f>56.1+(769.5-434.9)+(0+(0-0))+0-34.5-0</f>
        <v>356.20000000000005</v>
      </c>
      <c r="Q116" s="3">
        <f>106.2+(832.5-536.7)+(0.108324+(0.84915-0.547434))+0-35.9-0.0366180000000057</f>
        <v>366.47342199999991</v>
      </c>
      <c r="R116" s="3">
        <f>105.7+(798.3-503)+(0+(0-0))+0-33.4-0</f>
        <v>367.59999999999997</v>
      </c>
      <c r="S116" s="3">
        <f>105.2+(770.6-493.1)+(-0.214608+(-1.572024--1.005924))+0-33.4--0.0681359999999985</f>
        <v>348.58742799999999</v>
      </c>
      <c r="T116" s="3">
        <f>105.7+(726.9-456.1)+(-0.215628+(-1.482876--0.930444))+0-33.3--0.0679319999999985</f>
        <v>342.49987199999993</v>
      </c>
      <c r="U116" s="3">
        <f>105.2+(724.9-475.9)+(-0.26826+(-1.848495--1.213545))+0-33.5--0.0854249999999951</f>
        <v>319.88221499999997</v>
      </c>
      <c r="V116" s="3">
        <f>105.2+(770.8-524)+(-0.214608+(-1.572432--1.06896))+0-33.5--0.0683399999999985</f>
        <v>317.85025999999993</v>
      </c>
      <c r="W116" s="3">
        <f>105.3+(847.7-620.5)+(-0.268515+(-2.161635--1.582275))+0-32.6--0.0831299999999953</f>
        <v>299.13525500000003</v>
      </c>
      <c r="X116" s="3">
        <f>71.4+(821-555.4)+(-0.291312+(-3.34968--2.266032))+0-32.1--0.130967999999997</f>
        <v>303.65600799999999</v>
      </c>
      <c r="Y116" s="3">
        <f>0+(669.4-334.7)+(0+(-2.048364--1.024182))+0-32.6--0.0997560000000038</f>
        <v>301.17557399999998</v>
      </c>
      <c r="Z116" s="3">
        <f>0+(760.1-400.2)+(0+(-0.387651--0.204102))+0-33.8--0.0172379999999966</f>
        <v>325.93368900000002</v>
      </c>
      <c r="AA116" s="3">
        <f>0+(751.6-377.1)+(0+(-2.299896--1.153926))+0-33.9--0.103734000000004</f>
        <v>339.55776400000008</v>
      </c>
      <c r="AB116" s="3">
        <f>0+(787.6-422.8)+(0+(-1.606704--0.862512))+0-30.6--0.0624239999999987</f>
        <v>333.51823200000001</v>
      </c>
      <c r="AC116" s="3">
        <f>0+(726.6-369)+(0+(0.370566-0.18819))+0-31.4-0.0160139999999968</f>
        <v>326.36636200000004</v>
      </c>
      <c r="AD116">
        <v>341.30000000000007</v>
      </c>
      <c r="AE116" s="3">
        <f>0+(806.2-432.7)+(0+(0-0))+0-32.2-0</f>
        <v>341.30000000000007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0+(753.9-400.3)+(0+(0.384489-0.204153))+0-32.3-0.0164729999999967</f>
        <v>321.46386299999995</v>
      </c>
      <c r="G117" s="3">
        <f>0+(745.9-400.8)+(0+(-0.760818--0.408816))+0-31.9--0.0325380000000051</f>
        <v>312.88053599999995</v>
      </c>
      <c r="H117" s="3">
        <f>0+(637.5-298.9)+(0+(-0.975375--0.457317))+0-33.4--0.0511020000000019</f>
        <v>304.73304400000006</v>
      </c>
      <c r="I117" s="3">
        <f>0+(534.4-206.7)+(0+(-0.272544--0.105417))+0-33--0.0168299999999967</f>
        <v>294.54970299999997</v>
      </c>
      <c r="J117" s="3">
        <f>0+(512.6-186.4)+(0+(0.261426-0.095064))+0-33.2-0.0169319999999966</f>
        <v>293.14943000000005</v>
      </c>
      <c r="K117" s="3">
        <f>0+(517.2-204.5)+(0+(-1.846404--0.730065))+0-30.9--0.110313</f>
        <v>280.79397400000011</v>
      </c>
      <c r="L117" s="3">
        <f>0+(497-208.1)+(0+(-0.76041--0.318393))+0-28.4--0.0434520000000016</f>
        <v>260.10143499999998</v>
      </c>
      <c r="M117" s="3">
        <f>0+(472.1-183)+(0+(-0.963084--0.37332))+0-27.3--0.0556919999999988</f>
        <v>261.26592800000003</v>
      </c>
      <c r="N117" s="3">
        <f>0+(514.8-210.2)+(0+(-0.525096--0.214404))+0-31.2--0.031824000000005</f>
        <v>273.12113199999999</v>
      </c>
      <c r="O117" s="3">
        <f>0+(596.8-283.8)+(0+(0-0))+0-31.2-0</f>
        <v>281.79999999999995</v>
      </c>
      <c r="P117" s="3">
        <f>0+(711.9-386.7)+(0+(1.089207-0.591651))+0-30.5-0.0466650000000018</f>
        <v>295.15089099999994</v>
      </c>
      <c r="Q117" s="3">
        <f>0+(680.5-351.9)+(0+(0.69411-0.358938))+0-31.6-0.032232000000005</f>
        <v>297.30293999999998</v>
      </c>
      <c r="R117" s="3">
        <f>0+(696.3-361.4)+(0+(-0.355113--0.184314))+0-31.3--0.0159629999999968</f>
        <v>303.44516399999998</v>
      </c>
      <c r="S117" s="3">
        <f>0+(738.4-400)+(0+(0.753168-0.408))+0-30.8-0.0314160000000049</f>
        <v>307.91375199999999</v>
      </c>
      <c r="T117" s="3">
        <f>0+(694.6-355.8)+(0+(0-0))+0-31.5-0</f>
        <v>307.3</v>
      </c>
      <c r="U117" s="3">
        <f>0+(650.5-322.2)+(0+(-0.66351--0.328644))+0-31.6--0.032232000000005</f>
        <v>296.39736600000003</v>
      </c>
      <c r="V117" s="3">
        <f>0+(675.7-351.9)+(0+(-1.378428--0.717876))+0-32.5--0.0662999999999986</f>
        <v>290.70574800000009</v>
      </c>
      <c r="W117" s="3">
        <f>0+(667.3-352)+(0+(-0.340323--0.17952))+0-33--0.0168299999999967</f>
        <v>282.15602699999994</v>
      </c>
      <c r="X117" s="3">
        <f>0+(647.2-335.7)+(0+(-0.330072--0.171207))+0-33.3--0.0169829999999966</f>
        <v>278.05811800000004</v>
      </c>
      <c r="Y117" s="3">
        <f>0+(587.9-280.4)+(0+(-1.199316--0.572016))+0-33.7--0.0687479999999985</f>
        <v>273.24144799999999</v>
      </c>
      <c r="Z117" s="3">
        <f>0+(568-236)+(0+(-0.57936--0.24072))+0-34.1--0.0347820000000054</f>
        <v>297.59614199999999</v>
      </c>
      <c r="AA117" s="3">
        <f>0+(636.6-287)+(0+(-0.973998--0.43911))+0-34.1--0.052173000000002</f>
        <v>315.01728499999996</v>
      </c>
      <c r="AB117" s="3">
        <f>0+(655.6-313.1)+(0+(-2.006136--0.958086))+0-34.1--0.104346000000004</f>
        <v>307.45629600000001</v>
      </c>
      <c r="AC117" s="3">
        <f>0+(665.2-329.6)+(0+(1.017756-0.504288))+0-34.1-0.052173000000002</f>
        <v>301.96129500000001</v>
      </c>
      <c r="AD117">
        <v>312.89999999999998</v>
      </c>
      <c r="AE117" s="3">
        <f>0+(611.4-264.4)+(0+(0-0))+0-34.1-0</f>
        <v>312.89999999999998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0+(605.7-273.2)+(0+(-0.617814--0.278664))+0-34.1--0.0347820000000054</f>
        <v>298.09563200000002</v>
      </c>
      <c r="G118" s="3">
        <f>0+(533.8-212)+(0+(-1.905666--0.75684))+0-34--0.12138</f>
        <v>286.77255399999996</v>
      </c>
      <c r="H118" s="3">
        <f>0+(480.4-166.5)+(0+(0-0))+0-34-0</f>
        <v>279.89999999999998</v>
      </c>
      <c r="I118" s="3">
        <f>0+(391.8-84.3)+(0+(-0.199818--0.042993))+0-34--0.0173399999999966</f>
        <v>273.36051499999996</v>
      </c>
      <c r="J118" s="3">
        <f>0+(376.3-74)+(0+(0-0))+0-29.3-0</f>
        <v>273</v>
      </c>
      <c r="K118" s="3">
        <f>0+(394.9-88.1)+(0+(0.201399-0.044931))+0-33.9-0.0172889999999966</f>
        <v>273.03917899999999</v>
      </c>
      <c r="L118" s="3">
        <f>0+(435.3-134.1)+(0+(-0.888012--0.273564))+0-33.9--0.0691559999999985</f>
        <v>266.75470800000011</v>
      </c>
      <c r="M118" s="3">
        <f>0+(467.4-148.2)+(0+(0-0))+0-33.9-0</f>
        <v>285.3</v>
      </c>
      <c r="N118" s="3">
        <f>0+(605.3-260.2)+(0+(-0.308703--0.132702))+0-34--0.0173399999999966</f>
        <v>310.94133899999997</v>
      </c>
      <c r="O118" s="3">
        <f>0+(601-242.2)+(0+(0-0))+0-31.1-0</f>
        <v>327.7</v>
      </c>
      <c r="P118" s="3">
        <f>0+(664.6-288.6)+(0+(0-0))+0-33.1-0</f>
        <v>342.9</v>
      </c>
      <c r="Q118" s="3">
        <f>0+(734.9-346.8)+(0+(0.374799-0.176868))+0-35.2-0.0179519999999964</f>
        <v>353.07997899999998</v>
      </c>
      <c r="R118" s="3">
        <f>0+(756.7-367.3)+(0+(0-0))+0-32.8-0</f>
        <v>356.6</v>
      </c>
      <c r="S118" s="3">
        <f>0+(643.9-268)+(0+(0-0))+0-32.7-0</f>
        <v>343.2</v>
      </c>
      <c r="T118" s="3">
        <f>0+(635.6-262.5)+(0+(-0.648312--0.26775))+0-32.7--0.0333540000000052</f>
        <v>340.05279200000007</v>
      </c>
      <c r="U118" s="3">
        <f>0+(653.1-284.8)+(0+(-0.666162--0.290496))+0-33--0.0336600000000053</f>
        <v>334.95799399999999</v>
      </c>
      <c r="V118" s="3">
        <f>0+(675.6-309.4)+(0+(0-0))+0-33.4-0</f>
        <v>332.80000000000007</v>
      </c>
      <c r="W118" s="3">
        <f>0+(723.3-360)+(0+(-0.368883--0.1836))+0-33.7--0.0171869999999966</f>
        <v>329.43190399999992</v>
      </c>
      <c r="X118" s="3">
        <f>0+(750.3-394.3)+(0+(-0.765306--0.402186))+0-33.7--0.0343740000000054</f>
        <v>321.97125399999999</v>
      </c>
      <c r="Y118" s="3">
        <f>0+(719.3-374.3)+(0+(-0.366843--0.190893))+0-34.1--0.0173909999999965</f>
        <v>310.7414409999999</v>
      </c>
      <c r="Z118" s="3">
        <f>0+(644.8-292.5)+(0+(0.328848-0.149175))+0-34-0.0173399999999966</f>
        <v>318.46233299999994</v>
      </c>
      <c r="AA118" s="3">
        <f>0+(730-371.2)+(0+(-2.2338--1.135872))+0-34.3--0.104958000000004</f>
        <v>323.50702999999999</v>
      </c>
      <c r="AB118" s="3">
        <f>0+(732.8-382.8)+(0+(-1.121184--0.585684))+0-34.2--0.052326000000002</f>
        <v>315.31682599999993</v>
      </c>
      <c r="AC118" s="3">
        <f>0+(713.8-368.6)+(0+(-0.728076--0.375972))+0-34.1--0.0347820000000054</f>
        <v>310.78267799999992</v>
      </c>
      <c r="AD118">
        <v>317.5</v>
      </c>
      <c r="AE118" s="3">
        <f>0+(740.1-388)+(0+(0-0))+0-34.6-0</f>
        <v>317.5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0+(638-300)+(0+(-0.65076--0.306))+0-33.9--0.0345780000000054</f>
        <v>303.78981800000003</v>
      </c>
      <c r="G119" s="3">
        <f>0+(618-292.5)+(0+(-1.26072--0.5967))+0-33.5--0.0683399999999985</f>
        <v>291.40431999999998</v>
      </c>
      <c r="H119" s="3">
        <f>0+(506.2-186.7)+(0+(-0.774486--0.285651))+0-33.6--0.0514080000000019</f>
        <v>285.46257299999996</v>
      </c>
      <c r="I119" s="3">
        <f>0+(486-174.5)+(0+(-0.49572--0.17799))+0-31.5--0.032130000000005</f>
        <v>279.71440000000001</v>
      </c>
      <c r="J119" s="3">
        <f>0+(518.3-210.2)+(0+(-1.321665--0.53601))+0-31.8--0.0810899999999954</f>
        <v>275.59543499999995</v>
      </c>
      <c r="K119" s="3">
        <f>0+(492.2-189.6)+(0+(-1.25511--0.48348))+0-33.2--0.0846599999999952</f>
        <v>268.71303</v>
      </c>
      <c r="L119" s="3">
        <f>0+(438.2-147.1)+(0+(-1.340892--0.450126))+0-33.9--0.103734000000004</f>
        <v>256.41296800000009</v>
      </c>
      <c r="M119" s="3">
        <f>0+(413.2-124.3)+(0+(-0.210732--0.063393))+0-34--0.0173399999999966</f>
        <v>254.77000099999998</v>
      </c>
      <c r="N119" s="3">
        <f>0+(440.4-138.2)+(0+(-0.224604--0.070482))+0-34.1--0.0173909999999965</f>
        <v>267.96326899999997</v>
      </c>
      <c r="O119" s="3">
        <f>0+(448.4-135.5)+(0+(-0.228684--0.069105))+0-33.7--0.0171869999999966</f>
        <v>279.05760799999996</v>
      </c>
      <c r="P119" s="3">
        <f>0+(533.9-225.9)+(0+(0-0))+0-26.9-0</f>
        <v>281.10000000000002</v>
      </c>
      <c r="Q119" s="3">
        <f>0+(607.1-278.6)+(0+(-0.309621--0.142086))+0-33.7--0.0171869999999966</f>
        <v>294.649652</v>
      </c>
      <c r="R119" s="3">
        <f>0+(644.3-315)+(0+(-0.985779--0.48195))+0-33.7--0.051561000000002</f>
        <v>295.14773199999996</v>
      </c>
      <c r="S119" s="3">
        <f>0+(595.7-271.7)+(0+(-0.607614--0.277134))+0-33.6--0.0342720000000054</f>
        <v>290.103792</v>
      </c>
      <c r="T119" s="3">
        <f>0+(528.9-204.7)+(0+(-0.539478--0.208794))+0-33.7--0.0343740000000054</f>
        <v>290.20368999999999</v>
      </c>
      <c r="U119" s="3">
        <f>0+(521.7-197.5)+(0+(-0.266067--0.100725))+0-33.6--0.0171359999999966</f>
        <v>290.45179400000001</v>
      </c>
      <c r="V119" s="3">
        <f>0+(560.3-237.4)+(0+(-1.143012--0.484296))+0-33.6--0.0685439999999985</f>
        <v>288.7098279999999</v>
      </c>
      <c r="W119" s="3">
        <f>0+(637.5-320.4)+(0+(-1.95075--0.980424))+0-33.5--0.102510000000004</f>
        <v>282.73218400000002</v>
      </c>
      <c r="X119" s="3">
        <f>0+(708.9-390.7)+(0+(-1.446156--0.797028))+0-33.8--0.0689519999999985</f>
        <v>283.81982399999998</v>
      </c>
      <c r="Y119" s="3">
        <f>0+(514.9-200)+(0+(-0.262599--0.102))+0-34--0.0173399999999966</f>
        <v>280.75674099999998</v>
      </c>
      <c r="Z119" s="3">
        <f>0+(578.1-236)+(0+(-0.294831--0.12036))+0-34--0.0173399999999966</f>
        <v>307.94286900000003</v>
      </c>
      <c r="AA119" s="3">
        <f>0+(607-253.2)+(0+(-1.23828--0.516528))+0-34.1--0.0695639999999985</f>
        <v>319.04781200000002</v>
      </c>
      <c r="AB119" s="3">
        <f>0+(649.6-302)+(0+(-1.325184--0.61608))+0-33.3--0.0679319999999985</f>
        <v>313.65882799999997</v>
      </c>
      <c r="AC119" s="3">
        <f>0+(706.2-359.4)+(0+(-1.080486--0.549882))+0-33.6--0.0514080000000019</f>
        <v>312.72080400000004</v>
      </c>
      <c r="AD119">
        <v>317.89999999999998</v>
      </c>
      <c r="AE119" s="3">
        <f>0+(598.8-246.9)+(0+(0-0))+0-34-0</f>
        <v>317.89999999999998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0+(768.3-430.5)+(0+(-1.959165--1.097775))+0-34.1--0.0869549999999951</f>
        <v>302.92556499999989</v>
      </c>
      <c r="G120" s="3">
        <f>0+(681.5-351.7)+(0+(-2.432955--1.255569))+0-32.8--0.117096</f>
        <v>295.93970999999999</v>
      </c>
      <c r="H120" s="3">
        <f>0+(553.1-231.2)+(0+(0-0))+0-34-0</f>
        <v>287.90000000000003</v>
      </c>
      <c r="I120" s="3">
        <f>0+(458.6-143.5)+(0+(-2.104974--0.658665))+0-34--0.156060000000006</f>
        <v>279.80975100000006</v>
      </c>
      <c r="J120" s="3">
        <f>0+(426.4-115.2)+(0+(-0.434928--0.117504))+0-33.4--0.0340680000000053</f>
        <v>277.51664399999999</v>
      </c>
      <c r="K120" s="3">
        <f>0+(424-115.3)+(0+(-1.94616--0.529227))+0-34.1--0.156519000000006</f>
        <v>273.339586</v>
      </c>
      <c r="L120" s="3">
        <f>0+(447.1-146.4)+(0+(-1.824168--0.597312))+0-34.2--0.139535999999997</f>
        <v>265.41268000000008</v>
      </c>
      <c r="M120" s="3">
        <f>0+(471.4-143.9)+(0+(0.240414-0.073389))+0-33.9-0.0172889999999966</f>
        <v>293.74973600000004</v>
      </c>
      <c r="N120" s="3">
        <f>0+(604.1-242)+(0+(0-0))+0-33.6-0</f>
        <v>328.5</v>
      </c>
      <c r="O120" s="3">
        <f>0+(735.2-357.7)+(0+(0-0))+0-32.8-0</f>
        <v>344.70000000000005</v>
      </c>
      <c r="P120" s="3">
        <f>0+(718.6-340.8)+(0+(0.366486-0.173808))+0-34.8-0.0177479999999965</f>
        <v>343.17493000000002</v>
      </c>
      <c r="Q120" s="3">
        <f>0+(692.4-294.5)+(0+(0.353124-0.150195))+0-33.4-0.0170339999999966</f>
        <v>364.68589499999996</v>
      </c>
      <c r="R120" s="3">
        <f>43+(629.5-277.5)+(0+(0-0))+0-33.1-0</f>
        <v>361.9</v>
      </c>
      <c r="S120" s="3">
        <f>107+(575.5-302.6)+(-0.05457+(-0.293505--0.154326))+0-33--0.0168299999999967</f>
        <v>346.72308099999992</v>
      </c>
      <c r="T120" s="3">
        <f>110.9+(540.8-269)+(-0.056559+(-0.275808--0.13719))+0-33--0.0168299999999967</f>
        <v>349.5216529999999</v>
      </c>
      <c r="U120" s="3">
        <f>110.8+(544.7-271.3)+(-0.113016+(-0.555594--0.276726))+0-33--0.0336600000000053</f>
        <v>350.84177600000004</v>
      </c>
      <c r="V120" s="3">
        <f>110.8+(586.4-320.6)+(0.056508+(0.299064-0.163506))+0-33.3-0.0169829999999966</f>
        <v>343.47508299999998</v>
      </c>
      <c r="W120" s="3">
        <f>110.9+(677.8-420)+(-0.056559+(-0.345678--0.2142))+0-33.7--0.0171869999999966</f>
        <v>334.82914999999991</v>
      </c>
      <c r="X120" s="3">
        <f>93.6+(728.1-462.5)+(-0.23868+(-1.856655--1.179375))+0-33.7--0.0859349999999951</f>
        <v>324.66997500000008</v>
      </c>
      <c r="Y120" s="3">
        <f>50.5+(569.4-269)+(-0.128775+(-1.45197--0.68595))+0-33.5--0.0854249999999951</f>
        <v>316.59062999999998</v>
      </c>
      <c r="Z120" s="3">
        <f>79.5+(568.2-278.8)+(0.08109+(0.579564-0.284376))+0-33.5-0.0341700000000053</f>
        <v>335.74210800000003</v>
      </c>
      <c r="AA120" s="3">
        <f>110.8+(655.3-388.1)+(-0.113016+(-0.668406--0.395862))+0-33.7--0.0343740000000054</f>
        <v>343.94881399999997</v>
      </c>
      <c r="AB120" s="3">
        <f>89.8+(669.7-412.3)+(-0.045798+(-0.341547--0.210273))+0-8.5--0.00433499999999914</f>
        <v>338.52726300000006</v>
      </c>
      <c r="AC120" s="3">
        <f>50.5+(656.8-342.9)+(0+(0-0))+0-34.2-0</f>
        <v>330.2</v>
      </c>
      <c r="AD120">
        <v>348</v>
      </c>
      <c r="AE120" s="3">
        <f>111+(649.6-379)+(0+(0-0))+0-33.6-0</f>
        <v>348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29.8+(600-275.4)+(-0.091188+(-1.836--0.842724))+0-34.3--0.104958000000004</f>
        <v>319.12049400000001</v>
      </c>
      <c r="G121" s="3">
        <f>0+(527.9-183.7)+(0+(-0.269229--0.093687))+0-34.2--0.0174419999999965</f>
        <v>309.84190000000001</v>
      </c>
      <c r="H121" s="3">
        <f>0+(446.3-114.7)+(0+(-0.455226--0.116994))+0-34.1--0.0347820000000054</f>
        <v>297.19655</v>
      </c>
      <c r="I121" s="3">
        <f>0+(399.8-71.2)+(0+(-0.611694--0.108936))+0-33.9--0.051867000000002</f>
        <v>294.24910900000009</v>
      </c>
      <c r="J121" s="3">
        <f>0+(402.5-73.1)+(0+(-1.026375--0.186405))+0-34--0.0866999999999951</f>
        <v>294.64672999999999</v>
      </c>
      <c r="K121" s="3">
        <f>0+(406.4-85.6)+(0+(-0.829056--0.174624))+0-33.9--0.0691559999999985</f>
        <v>286.31472400000001</v>
      </c>
      <c r="L121" s="3">
        <f>0+(387.5-75.4)+(0+(-0.592875--0.115362))+0-33.9--0.051867000000002</f>
        <v>277.77435400000007</v>
      </c>
      <c r="M121" s="3">
        <f>0+(454.9-117.9)+(0+(-0.231999--0.060129))+0-34.1--0.0173909999999965</f>
        <v>302.74552099999994</v>
      </c>
      <c r="N121" s="3">
        <f>0+(580.9-211.7)+(0+(0.592518-0.215934))+0-34.2-0.0348840000000055</f>
        <v>335.34169999999995</v>
      </c>
      <c r="O121" s="3">
        <f>0+(650.9-262.8)+(0+(0-0))+0-34.1-0</f>
        <v>353.99999999999994</v>
      </c>
      <c r="P121" s="3">
        <f>91.7+(681-399.6)+(0.093534+(0.69462-0.407592))+0-34.1-0.0347820000000054</f>
        <v>339.34577999999993</v>
      </c>
      <c r="Q121" s="3">
        <f>111+(658.3-361.2)+(0.11322+(0.671466-0.368424))+0-34.2-0.0348840000000055</f>
        <v>374.28137799999996</v>
      </c>
      <c r="R121" s="3">
        <f>111+(623.2-317)+(0+(0-0))+0-34.2-0</f>
        <v>383.00000000000006</v>
      </c>
      <c r="S121" s="3">
        <f>110.8+(540.2-256)+(-0.113016+(-0.551004--0.26112))+0-34--0.0346800000000054</f>
        <v>360.63178000000005</v>
      </c>
      <c r="T121" s="3">
        <f>111.7+(516-230.5)+(0.056967+(0.26316-0.117555))+0-33.4-0.0170339999999966</f>
        <v>363.98553799999996</v>
      </c>
      <c r="U121" s="3">
        <f>111.9+(507.2-226.2)+(-0.171207+(-0.776016--0.346086))+0-33.4--0.0511020000000019</f>
        <v>358.94996500000002</v>
      </c>
      <c r="V121" s="3">
        <f>111.5+(524.3-255.5)+(-0.22746+(-1.069572--0.52122))+0-33.6--0.0685439999999985</f>
        <v>345.99273199999993</v>
      </c>
      <c r="W121" s="3">
        <f>112.2+(574.7-315.3)+(0+(0-0))+0-33.5-0</f>
        <v>338.1</v>
      </c>
      <c r="X121" s="3">
        <f>111.2+(616.4-361.6)+(-0.113424+(-0.628728--0.368832))+0-33.5--0.0341700000000053</f>
        <v>332.16084999999998</v>
      </c>
      <c r="Y121" s="3">
        <f>91.3+(553-287.8)+(-0.139689+(-0.84609--0.440334))+0-33.5--0.0512550000000019</f>
        <v>322.50581000000005</v>
      </c>
      <c r="Z121" s="3">
        <f>72.2+(614.3-309.6)+(0+(0-0))+0-33.6-0</f>
        <v>343.2999999999999</v>
      </c>
      <c r="AA121" s="3">
        <f>110.8+(666.4-390.9)+(0+(0-0))+0-33.7-0</f>
        <v>352.6</v>
      </c>
      <c r="AB121" s="3">
        <f>110.5+(656.9-386.3)+(-0.22542+(-1.340076--0.788052))+0-34.4--0.0701759999999985</f>
        <v>345.99273199999999</v>
      </c>
      <c r="AC121" s="3">
        <f>111.1+(630.4-368.6)+(0+(0-0))+0-34-0</f>
        <v>338.9</v>
      </c>
      <c r="AD121">
        <v>357.2</v>
      </c>
      <c r="AE121" s="3">
        <f>110+(674.9-394.2)+(0+(0-0))+0-33.5-0</f>
        <v>357.2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17.9+(488.5-142.9)+(-0.027387+(-0.747405--0.218637))+0-34.1--0.052173000000002</f>
        <v>328.89601799999997</v>
      </c>
      <c r="G122" s="3">
        <f>0+(409.5-58.3)+(0+(-0.41769--0.059466))+0-34.1--0.0347820000000054</f>
        <v>316.77655799999997</v>
      </c>
      <c r="H122" s="3">
        <f>0+(357.4-11.7)+(0+(-0.729096--0.023868))+0-34--0.0693599999999985</f>
        <v>311.06413200000003</v>
      </c>
      <c r="I122" s="3">
        <f>0+(323.7-0)+(0+(-0.495261-0))+0-34.1--0.052173000000002</f>
        <v>289.15691199999992</v>
      </c>
      <c r="J122" s="3">
        <f>0+(322.3-0)+(0+(-0.657492-0))+0-34--0.0693599999999985</f>
        <v>287.71186800000004</v>
      </c>
      <c r="K122" s="3">
        <f>0+(347.5-28.4)+(0+(-0.7089--0.057936))+0-34--0.0693599999999985</f>
        <v>284.51839600000005</v>
      </c>
      <c r="L122" s="3">
        <f>0+(406.3-99.3)+(0+(-1.450491--0.354501))+0-33.9--0.121023</f>
        <v>272.12503300000003</v>
      </c>
      <c r="M122" s="3">
        <f>0+(378.1-45.7)+(0+(0-0))+0-33.6-0</f>
        <v>298.8</v>
      </c>
      <c r="N122" s="3">
        <f>0+(439.4-80.3)+(0+(0-0))+0-33.6-0</f>
        <v>325.49999999999994</v>
      </c>
      <c r="O122" s="3">
        <f>0+(583.1-202.1)+(0+(0-0))+0-33.8-0</f>
        <v>347.2</v>
      </c>
      <c r="P122" s="3">
        <f>0+(577.3-186.6)+(0+(0.588846-0.190332))+0-33.8-0.0344760000000054</f>
        <v>357.26403799999991</v>
      </c>
      <c r="Q122" s="3">
        <f>0+(659.7-262.5)+(0+(0.336447-0.133875))+0-33.8-0.0172379999999966</f>
        <v>363.58533399999999</v>
      </c>
      <c r="R122" s="3">
        <f>0+(625.8-228.5)+(0+(0.638316-0.23307))+0-33.6-0.0342720000000054</f>
        <v>364.07097399999992</v>
      </c>
      <c r="S122" s="3">
        <f>0+(591.9-212.4)+(0+(-0.301869--0.108324))+0-30.5--0.0155549999999969</f>
        <v>348.82201000000003</v>
      </c>
      <c r="T122" s="3">
        <f>0+(550.7-173.8)+(0+(0.280857-0.088638))+0-28.7-0.0146369999999971</f>
        <v>348.37758200000007</v>
      </c>
      <c r="U122" s="3">
        <f>0+(603.5-239.1)+(0+(-1.538925--0.609705))+0-29--0.0739499999999958</f>
        <v>334.54472999999996</v>
      </c>
      <c r="V122" s="3">
        <f>0+(670.4-310.5)+(0+(-1.367616--0.63342))+0-27.6--0.0563039999999988</f>
        <v>331.62210799999997</v>
      </c>
      <c r="W122" s="3">
        <f>0+(724.8-370.8)+(0+(-2.957184--1.512864))+0-29--0.118319999999997</f>
        <v>323.67399999999992</v>
      </c>
      <c r="X122" s="3">
        <f>0+(694.1-348.7)+(0+(-2.477937--1.244859))+0-30.3--0.108171</f>
        <v>313.97509300000007</v>
      </c>
      <c r="Y122" s="3">
        <f>0+(536.9-197.1)+(0+(-0.547638--0.201042))+0-30.9--0.0315180000000049</f>
        <v>308.58492200000001</v>
      </c>
      <c r="Z122" s="3">
        <f>0+(577.7-218.4)+(0+(-0.294627--0.111384))+0-32.6--0.0166259999999967</f>
        <v>326.53338300000001</v>
      </c>
      <c r="AA122" s="3">
        <f>0+(570.8-204.7)+(0+(-1.164432--0.417588))+0-33.1--0.0675239999999986</f>
        <v>332.32067999999992</v>
      </c>
      <c r="AB122" s="3">
        <f>0+(595.4-235.9)+(0+(-1.51827--0.601545))+0-33.3--0.0849149999999952</f>
        <v>325.36819000000003</v>
      </c>
      <c r="AC122" s="3">
        <f>0+(494.9-146.6)+(0+(0.252399-0.074766))+0-33.6-0.0171359999999966</f>
        <v>314.86049699999995</v>
      </c>
      <c r="AD122">
        <v>330.4</v>
      </c>
      <c r="AE122" s="3">
        <f>0+(573.1-209.6)+(0+(0-0))+0-33.1-0</f>
        <v>330.4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0+(478.5-135.3)+(0+(-0.244035--0.069003))+0-33.6--0.0171359999999966</f>
        <v>309.44210399999997</v>
      </c>
      <c r="G123" s="3">
        <f>0+(410.9-77.4)+(0+(-0.419118--0.078948))+0-33.5--0.0341700000000053</f>
        <v>299.69400000000002</v>
      </c>
      <c r="H123" s="3">
        <f>30.7+(401.5-105.8)+(-0.015657+(-0.204765--0.053958))+0-33.5--0.0170849999999966</f>
        <v>292.75062099999997</v>
      </c>
      <c r="I123" s="3">
        <f>0+(349.9-25.4)+(0+(-1.070694--0.077724))+0-33.4--0.102204000000004</f>
        <v>290.20923400000004</v>
      </c>
      <c r="J123" s="3">
        <f>0+(322.7-0)+(0+(-0.822885-0))+0-33.4--0.0851699999999952</f>
        <v>288.56228500000003</v>
      </c>
      <c r="K123" s="3">
        <f>0+(311.9-0)+(0+(-1.113483-0))+0-33.4--0.119238</f>
        <v>277.50575500000002</v>
      </c>
      <c r="L123" s="3">
        <f>0+(325.8-20.1)+(0+(-1.163106--0.071757))+0-33.5--0.119595</f>
        <v>271.22824600000001</v>
      </c>
      <c r="M123" s="3">
        <f>0+(349.2-40.3)+(0+(-0.178092--0.020553))+0-23.6--0.0120359999999976</f>
        <v>285.15449699999999</v>
      </c>
      <c r="N123" s="3">
        <f>0+(338.1-0)+(0+(0.344862-0))+0-28.8-0.0293760000000046</f>
        <v>309.61548599999998</v>
      </c>
      <c r="O123" s="3">
        <f>27.6+(394.1-63.2)+(0.028152+(0.401982-0.064464))+0-33.6-0.0342720000000054</f>
        <v>325.23139800000007</v>
      </c>
      <c r="P123" s="3">
        <f>116.7+(522-277.4)+(0.119034+(0.53244-0.282948))+0-26.4-0.0269280000000042</f>
        <v>335.24159800000001</v>
      </c>
      <c r="Q123" s="3">
        <f>116.2+(488.5-231.6)+(0+(0-0))+0-33.5-0</f>
        <v>339.59999999999997</v>
      </c>
      <c r="R123" s="3">
        <f>115.7+(417.6-166.9)+(-0.177021+(-0.638928--0.255357))+0-27.6--0.0422280000000016</f>
        <v>338.28163600000005</v>
      </c>
      <c r="S123" s="3">
        <f>114.9+(346.9-106.3)+(-0.292995+(-0.884595--0.271065))+0-32.1--0.0818549999999953</f>
        <v>322.57533000000001</v>
      </c>
      <c r="T123" s="3">
        <f>115.4+(351.5-107.4)+(0+(0-0))+0-33.1-0</f>
        <v>326.39999999999998</v>
      </c>
      <c r="U123" s="3">
        <f>110.2+(409.3-162.1)+(-0.224808+(-0.834972--0.330684))+0-33--0.0673199999999986</f>
        <v>323.738224</v>
      </c>
      <c r="V123" s="3">
        <f>110.5+(517.1-281.1)+(-0.11271+(-0.527442--0.286722))+0-32.9--0.0335580000000052</f>
        <v>313.28012800000005</v>
      </c>
      <c r="W123" s="3">
        <f>110.3+(601.5-370.7)+(-0.168759+(-0.920295--0.567171))+0-33--0.0504900000000019</f>
        <v>307.62860700000004</v>
      </c>
      <c r="X123" s="3">
        <f>67+(673.8-411.4)+(-0.17085+(-1.71819--1.04907))+0-33.9--0.0864449999999951</f>
        <v>294.74647499999998</v>
      </c>
      <c r="Y123" s="3">
        <f>50.7+(616.1-347.2)+(-0.051714+(-0.628422--0.354144))+0-34--0.0346800000000054</f>
        <v>285.30868800000002</v>
      </c>
      <c r="Z123" s="3">
        <f>67.5+(485.4-208.5)+(0+(0-0))+0-33.9-0</f>
        <v>310.5</v>
      </c>
      <c r="AA123" s="3">
        <f>119.5+(525.8-294)+(-0.304725+(-1.34079--0.7497))+0-32.8--0.0836399999999952</f>
        <v>317.68782499999992</v>
      </c>
      <c r="AB123" s="3">
        <f>14.1+(632.1-297.8)+(-0.007191+(-0.322371--0.151878))+0-33.1--0.0168809999999966</f>
        <v>315.13919700000002</v>
      </c>
      <c r="AC123" s="3">
        <f>0+(641-294.5)+(0+(-0.32691--0.150195))+0-34.2--0.0174419999999965</f>
        <v>312.14072700000003</v>
      </c>
      <c r="AD123">
        <v>311</v>
      </c>
      <c r="AE123" s="3">
        <f>119+(534.7-310.6)+(0+(0-0))+0-32.1-0</f>
        <v>311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0+(652.2-321.1)+(0+(-0.332622--0.163761))+0-34.2--0.0174419999999965</f>
        <v>296.74858100000006</v>
      </c>
      <c r="G124" s="3">
        <f>0+(410.6-50.9)+(0+(0.418812-0.051918))+0-34.1-0.0347820000000054</f>
        <v>325.93211200000002</v>
      </c>
      <c r="H124" s="3">
        <f>0+(351.4-0)+(0+(0.358428-0))+0-34-0.0346800000000054</f>
        <v>317.723748</v>
      </c>
      <c r="I124" s="3">
        <f>0+(353.1-0)+(0+(0.180081-0))+0-32.9-0.0167789999999967</f>
        <v>320.36330200000003</v>
      </c>
      <c r="J124" s="3">
        <f>0+(337.2-23.4)+(0+(0.515916-0.035802))+0-33.1-0.0506430000000019</f>
        <v>281.12947100000002</v>
      </c>
      <c r="K124" s="3">
        <f>0+(390.7-96.9)+(0+(-0.398514--0.098838))+0-33.8--0.0344760000000054</f>
        <v>259.73479999999995</v>
      </c>
      <c r="L124" s="3">
        <f>0+(313.5-37.7)+(0+(0.31977-0.038454))+0-34-0.0346800000000054</f>
        <v>242.04663600000001</v>
      </c>
      <c r="M124" s="3">
        <f>0+(288.5-8.2)+(0+(-0.147135--0.004182))+0-34.1--0.0173909999999965</f>
        <v>246.07443800000004</v>
      </c>
      <c r="N124" s="3">
        <f>0+(315.2-33.4)+(0+(0.482256-0.051102))+0-34.1-0.052173000000002</f>
        <v>248.078981</v>
      </c>
      <c r="O124" s="3">
        <f>0+(405-144.9)+(0+(0.20655-0.073899))+0-3.9-0.0019889999999996</f>
        <v>256.33066200000007</v>
      </c>
      <c r="P124" s="3">
        <f>0+(502.9-220.1)+(0+(0.769437-0.336753))+0-14.6-0.0223380000000008</f>
        <v>268.61034599999994</v>
      </c>
      <c r="Q124" s="3">
        <f>0+(451.9-160.7)+(0+(0.460938-0.163914))+0-20.4-0.0208080000000033</f>
        <v>271.07621600000004</v>
      </c>
      <c r="R124" s="3">
        <f>0+(573.7-268.2)+(0+(-0.292587--0.136782))+0-30.8--0.0157079999999969</f>
        <v>274.55990300000008</v>
      </c>
      <c r="S124" s="3">
        <f>0+(483.7-177.5)+(0+(-0.246687--0.090525))+0-33.9--0.0172889999999966</f>
        <v>272.16112700000002</v>
      </c>
      <c r="T124" s="3">
        <f>0+(470.4-165.7)+(0+(-0.719712--0.253521))+0-34--0.052020000000002</f>
        <v>270.28582900000004</v>
      </c>
      <c r="U124" s="3">
        <f>0+(493.6-206.9)+(0+(0.251736-0.105519))+0-23.1-0.0117809999999977</f>
        <v>263.73443600000002</v>
      </c>
      <c r="V124" s="3">
        <f>0+(497.5-208.5)+(0+(-0.253725--0.106335))+0-34.1--0.0173909999999965</f>
        <v>254.77000100000004</v>
      </c>
      <c r="W124" s="3">
        <f>0+(550.4-262.4)+(0+(-1.40352--0.66912))+0-34.1--0.0869549999999951</f>
        <v>253.252555</v>
      </c>
      <c r="X124" s="3">
        <f>0+(516.5-228.2)+(0+(-0.790245--0.349146))+0-33.4--0.0511020000000019</f>
        <v>254.51000300000001</v>
      </c>
      <c r="Y124" s="3">
        <f>0+(444.2-158.3)+(0+(-1.585794--0.565131))+0-32.9--0.117453</f>
        <v>252.09678999999997</v>
      </c>
      <c r="Z124" s="3">
        <f>0+(405.7-93.9)+(0+(0.620721-0.143667))+0-32.9-0.0503370000000019</f>
        <v>279.32671699999997</v>
      </c>
      <c r="AA124" s="3">
        <f>0+(369-50.4)+(0+(-0.56457--0.077112))+0-25.5--0.0390150000000015</f>
        <v>292.65155700000003</v>
      </c>
      <c r="AB124" s="3">
        <f>0+(412.3-86.8)+(0+(-0.420546--0.088536))+0-34.1--0.0347820000000054</f>
        <v>291.10277199999996</v>
      </c>
      <c r="AC124" s="3">
        <f>0+(454.3-136.1)+(0+(0.231693-0.069411))+0-34.2-0.0174419999999965</f>
        <v>284.14484000000004</v>
      </c>
      <c r="AD124">
        <v>294.59999999999997</v>
      </c>
      <c r="AE124" s="3">
        <f>0+(374-67.3)+(0+(0-0))+0-12.1-0</f>
        <v>294.59999999999997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0+(419-104)+(0+(-0.42738--0.10608))+0-34.2--0.0348840000000055</f>
        <v>280.51358400000004</v>
      </c>
      <c r="G125" s="3">
        <f>0+(386.7-77)+(0+(-0.394434--0.07854))+0-34.1--0.0347820000000054</f>
        <v>275.31888799999996</v>
      </c>
      <c r="H125" s="3">
        <f>0+(332.6-27.7)+(0+(-0.508878--0.042381))+0-34.1--0.052173000000002</f>
        <v>270.38567599999999</v>
      </c>
      <c r="I125" s="3">
        <f>0+(316.4-16.4)+(0+(-0.484092--0.025092))+0-33.9--0.051867000000002</f>
        <v>265.69286700000004</v>
      </c>
      <c r="J125" s="3">
        <f>0+(309.2-7)+(0+(-0.630768--0.01428))+0-33.8--0.0689519999999985</f>
        <v>267.852464</v>
      </c>
      <c r="K125" s="3">
        <f>0+(293.5-0)+(0+(-0.59874-0))+0-33.8--0.0689519999999985</f>
        <v>259.17021199999999</v>
      </c>
      <c r="L125" s="3">
        <f>0+(287-2.9)+(0+(-0.14637--0.001479))+0-33.7--0.0171869999999966</f>
        <v>250.27229600000007</v>
      </c>
      <c r="M125" s="3">
        <f>0+(386.9-75.3)+(0+(0-0))+0-31.9-0</f>
        <v>279.7</v>
      </c>
      <c r="N125" s="3">
        <f>0+(428.7-81.9)+(0+(0.437274-0.083538))+0-30.8-0.0314160000000049</f>
        <v>316.32231999999999</v>
      </c>
      <c r="O125" s="3">
        <f>31+(504-164.3)+(-0.01581+(-0.25704--0.083793))+0-36.2--0.0184619999999963</f>
        <v>334.32940500000001</v>
      </c>
      <c r="P125" s="3">
        <f>88.7+(509.8-223.4)+(-0.045237+(-0.259998--0.113934))+0-32.6--0.0166259999999967</f>
        <v>342.32532499999991</v>
      </c>
      <c r="Q125" s="3">
        <f>111.1+(452.4-183.1)+(0.169983+(0.692172-0.280143))+0-31.4-0.0480420000000018</f>
        <v>349.53397000000001</v>
      </c>
      <c r="R125" s="3">
        <f>111+(447.1-173.6)+(0.05661+(0.228021-0.088536))+0-32.5-0.0165749999999967</f>
        <v>352.17952000000002</v>
      </c>
      <c r="S125" s="3">
        <f>110.7+(490.3-227.1)+(0+(0-0))+0-32.7-0</f>
        <v>341.20000000000005</v>
      </c>
      <c r="T125" s="3">
        <f>110.7+(422.9-163.7)+(-0.112914+(-0.431358--0.166974))+0-32--0.0326400000000051</f>
        <v>337.555342</v>
      </c>
      <c r="U125" s="3">
        <f>110.6+(423.2-169.2)+(-0.169218+(-0.647496--0.258876))+0-32.1--0.0491130000000019</f>
        <v>331.99127499999997</v>
      </c>
      <c r="V125" s="3">
        <f>110.5+(482.9-230.9)+(-0.22542+(-0.985116--0.471036))+0-33.2--0.0677279999999986</f>
        <v>328.62822799999998</v>
      </c>
      <c r="W125" s="3">
        <f>110.1+(584.4-346.8)+(-0.168453+(-0.894132--0.530604))+0-33.6--0.0514080000000019</f>
        <v>313.61942699999992</v>
      </c>
      <c r="X125" s="3">
        <f>19+(630.4-303.1)+(-0.05814+(-1.929024--0.927486))+0-33.6--0.102816000000004</f>
        <v>311.74313799999993</v>
      </c>
      <c r="Y125" s="3">
        <f>0+(506.5-170.1)+(0+(-0.258315--0.086751))+0-33.6--0.0171359999999966</f>
        <v>302.64557199999996</v>
      </c>
      <c r="Z125" s="3">
        <f>0+(497-141)+(0+(-0.50694--0.14382))+0-33.6--0.0342720000000054</f>
        <v>322.07115199999998</v>
      </c>
      <c r="AA125" s="3">
        <f>0+(560.8-202.7)+(0+(0-0))+0-29.9-0</f>
        <v>328.2</v>
      </c>
      <c r="AB125" s="3">
        <f>0+(584.8-226.1)+(0+(-0.894744--0.345933))+0-33.6--0.0514080000000019</f>
        <v>324.60259699999989</v>
      </c>
      <c r="AC125" s="3">
        <f>0+(590.1-241.8)+(0+(0-0))+0-33.4-0</f>
        <v>314.90000000000003</v>
      </c>
      <c r="AD125">
        <v>327.39999999999998</v>
      </c>
      <c r="AE125" s="3">
        <f>0+(566.9-205.8)+(0+(0-0))+0-33.7-0</f>
        <v>327.39999999999998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0+(583.1-253.3)+(0+(-0.594762--0.258366))+0-24.1--0.0245820000000038</f>
        <v>305.38818600000002</v>
      </c>
      <c r="G126" s="3">
        <f>0+(385.4-53.1)+(0+(-0.98277--0.135405))+0-32.1--0.0818549999999953</f>
        <v>299.43448999999993</v>
      </c>
      <c r="H126" s="3">
        <f>0+(326.2-0)+(0+(-0.332724-0))+0-33.7--0.0343740000000054</f>
        <v>292.20165000000003</v>
      </c>
      <c r="I126" s="3">
        <f>0+(325.5-0)+(0+(-0.66402-0))+0-33.6--0.0685439999999985</f>
        <v>291.30452399999996</v>
      </c>
      <c r="J126" s="3">
        <f>0+(326.1-0)+(0+(-0.498933-0))+0-33.4--0.0511020000000019</f>
        <v>292.25216900000004</v>
      </c>
      <c r="K126" s="3">
        <f>0+(364.6-42.3)+(0+(-0.371892--0.043146))+0-33.3--0.0339660000000053</f>
        <v>288.70522</v>
      </c>
      <c r="L126" s="3">
        <f>0+(406.6-93.6)+(0+(-1.03683--0.23868))+0-33.3--0.0849149999999952</f>
        <v>278.98676499999999</v>
      </c>
      <c r="M126" s="3">
        <f>0+(453.3-125.8)+(0+(0.693549-0.192474))+0-32.4-0.0495720000000019</f>
        <v>295.55150300000003</v>
      </c>
      <c r="N126" s="3">
        <f>0+(564.1-203.8)+(0+(0-0))+0-32.8-0</f>
        <v>327.5</v>
      </c>
      <c r="O126" s="3">
        <f>17+(617-285.5)+(0.00867+(0.31467-0.145605))+0-32.9-0.0167789999999967</f>
        <v>315.76095600000002</v>
      </c>
      <c r="P126" s="3">
        <f>82+(625.5-350.9)+(0.04182+(0.319005-0.178959))+0-33-0.0168299999999967</f>
        <v>323.76503600000007</v>
      </c>
      <c r="Q126" s="3">
        <f>111.4+(603.5-311.3)+(0.170442+(0.923355-0.476289))+0-33-0.0504900000000019</f>
        <v>371.16701799999998</v>
      </c>
      <c r="R126" s="3">
        <f>110.9+(536.7-244.1)+(0+(0-0))+0-32.9-0</f>
        <v>370.6</v>
      </c>
      <c r="S126" s="3">
        <f>106.9+(470.8-187.6)+(0+(0-0))+0-32.8-0</f>
        <v>357.3</v>
      </c>
      <c r="T126" s="3">
        <f>106.1+(424.6-138.9)+(0.162333+(0.649638-0.212517))+0-32.6-0.0498780000000019</f>
        <v>359.74957600000005</v>
      </c>
      <c r="U126" s="3">
        <f>105.7+(438.6-163.2)+(-0.107814+(-0.447372--0.166464))+0-28--0.0285600000000045</f>
        <v>352.73983800000008</v>
      </c>
      <c r="V126" s="3">
        <f>105.2+(439.4-163.5)+(-0.214608+(-0.896376--0.33354))+0-31.7--0.0646679999999986</f>
        <v>348.68722399999996</v>
      </c>
      <c r="W126" s="3">
        <f>104.6+(546.8-284.9)+(-0.320076+(-1.673208--0.871794))+0-31.8--0.0973080000000037</f>
        <v>333.67581799999999</v>
      </c>
      <c r="X126" s="3">
        <f>58.8+(614.6-318.5)+(-0.179928+(-1.880676--0.97461))+0-31.9--0.0976140000000037</f>
        <v>322.01162000000005</v>
      </c>
      <c r="Y126" s="3">
        <f>50.5+(439-139.4)+(-0.05151+(-0.44778--0.142188))+0-32.2--0.0328440000000051</f>
        <v>317.57574200000005</v>
      </c>
      <c r="Z126" s="3">
        <f>51.9+(514.4-194.8)+(0+(0-0))+0-32.9-0</f>
        <v>338.59999999999997</v>
      </c>
      <c r="AA126" s="3">
        <f>109+(582.9-312.2)+(-0.33354+(-1.783674--0.955332))+0-32.9--0.100674000000004</f>
        <v>345.73879200000005</v>
      </c>
      <c r="AB126" s="3">
        <f>70.9+(477.2-176.3)+(-0.036159+(-0.243372--0.089913))+0-32.7--0.0166769999999967</f>
        <v>338.92705899999999</v>
      </c>
      <c r="AC126" s="3">
        <f>50.5+(401-98.8)+(-0.025755+(-0.20451--0.050388))+0-25.5--0.0130049999999974</f>
        <v>327.03312800000003</v>
      </c>
      <c r="AD126">
        <v>346.2</v>
      </c>
      <c r="AE126" s="3">
        <f>110+(576-306.7)+(0+(0-0))+0-33.1-0</f>
        <v>346.2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29.8+(495.4-168.4)+(-0.045594+(-0.757962--0.257652))+0-33.3--0.0509490000000019</f>
        <v>323.005045</v>
      </c>
      <c r="G127" s="3">
        <f>0+(414.1-64.5)+(0+(-0.633573--0.098685))+0-33.3--0.0509490000000019</f>
        <v>315.81606099999999</v>
      </c>
      <c r="H127" s="3">
        <f>0+(365.8-16.4)+(0+(-0.373116--0.016728))+0-33.3--0.0339660000000053</f>
        <v>315.77757800000006</v>
      </c>
      <c r="I127" s="3">
        <f>0+(342.9-0)+(0+(-0.349758-0))+0-33.4--0.0340680000000053</f>
        <v>309.18430999999998</v>
      </c>
      <c r="J127" s="3">
        <f>0+(368.2-25)+(0+(0.375564-0.0255))+0-33.3-0.0339660000000053</f>
        <v>310.21609799999993</v>
      </c>
      <c r="K127" s="3">
        <f>0+(388.7-70.6)+(0+(0.198237-0.036006))+0-14.5-0.00739499999999853</f>
        <v>303.75483600000007</v>
      </c>
      <c r="L127" s="3">
        <f>0+(387.2-82.9)+(0+(-0.197472--0.042279))+0-10.4--0.00530399999999895</f>
        <v>293.750111</v>
      </c>
      <c r="M127" s="3">
        <f>0+(512.3-167.2)+(0+(-0.261273--0.085272))+0-33.5--0.0170849999999966</f>
        <v>311.44108399999999</v>
      </c>
      <c r="N127" s="3">
        <f>0+(699.3-336.9)+(0+(0-0))+0-20.2-0</f>
        <v>342.2</v>
      </c>
      <c r="O127" s="3">
        <f>0+(780.8-415)+(0+(-0.796416--0.4233))+0-4.7--0.00479400000000075</f>
        <v>360.73167799999999</v>
      </c>
      <c r="P127" s="3">
        <f>17.4+(747-389.5)+(-0.008874+(-0.38097--0.198645))+0-11.7--0.00596699999999881</f>
        <v>363.014768</v>
      </c>
      <c r="Q127" s="3">
        <f>107.3+(690.7-398.6)+(0+(0-0))+0-23.8-0</f>
        <v>375.6</v>
      </c>
      <c r="R127" s="3">
        <f>110.3+(589.4-296.6)+(-0.225012+(-1.202376--0.605064))+0-28.6--0.0583439999999988</f>
        <v>373.73601999999994</v>
      </c>
      <c r="S127" s="3">
        <f>108.1+(579.9-286)+(-0.165393+(-0.887247--0.43758))+0-30.6--0.0468180000000018</f>
        <v>370.83175799999992</v>
      </c>
      <c r="T127" s="3">
        <f>105.9+(498.9-208.5)+(0.054009+(0.254439-0.106335))+0-30.2-0.0154019999999969</f>
        <v>366.28671099999997</v>
      </c>
      <c r="U127" s="3">
        <f>105.6+(529.9-248.5)+(-0.107712+(-0.540498--0.25347))+0-23--0.0234600000000037</f>
        <v>363.62871999999999</v>
      </c>
      <c r="V127" s="3">
        <f>106.3+(515.7-223.8)+(0.108426+(0.526014-0.228276))+0-31.3-0.031926000000005</f>
        <v>367.27423800000003</v>
      </c>
      <c r="W127" s="3">
        <f>105.6+(539.6-260.2)+(-0.215424+(-1.100784--0.530808))+0-31.5--0.0642599999999986</f>
        <v>352.77886000000001</v>
      </c>
      <c r="X127" s="3">
        <f>104.2+(638.1-365.3)+(-0.159426+(-0.976293--0.558909))+0-31.6--0.0483480000000018</f>
        <v>344.87153799999993</v>
      </c>
      <c r="Y127" s="3">
        <f>50.7+(602.8-288.4)+(-0.051714+(-0.614856--0.294168))+0-31.6--0.032232000000005</f>
        <v>333.15982999999994</v>
      </c>
      <c r="Z127" s="3">
        <f>88.6+(630.7-330.8)+(0+(0-0))+0-33.4-0</f>
        <v>355.1</v>
      </c>
      <c r="AA127" s="3">
        <f>110.8+(609.5-327.5)+(-0.113016+(-0.62169--0.33405))+0-33.5--0.0341700000000053</f>
        <v>358.933514</v>
      </c>
      <c r="AB127" s="3">
        <f>110.5+(597.7-320)+(-0.11271+(-0.609654--0.3264))+0-33.3--0.0339660000000053</f>
        <v>354.53800200000006</v>
      </c>
      <c r="AC127" s="3">
        <f>110.7+(559.3-282.3)+(-0.056457+(-0.285243--0.143973))+0-33.4--0.0170339999999966</f>
        <v>354.11930699999999</v>
      </c>
      <c r="AD127">
        <v>356.70000000000005</v>
      </c>
      <c r="AE127" s="3">
        <f>110+(634.2-354.2)+(0+(0-0))+0-33.3-0</f>
        <v>356.70000000000005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76.1+(538.9-246.9)+(0+(0-0))+0-28-0</f>
        <v>340.1</v>
      </c>
      <c r="G128" s="3">
        <f>0+(567.1-203.5)+(0+(0.289221-0.103785))+0-33.4-0.0170339999999966</f>
        <v>330.368402</v>
      </c>
      <c r="H128" s="3">
        <f>0+(450-94)+(0+(-0.918--0.19176))+0-33.4--0.0681359999999985</f>
        <v>321.94189599999999</v>
      </c>
      <c r="I128" s="3">
        <f>0+(437.9-89)+(0+(0.446658-0.09078))+0-33.4-0.0340680000000053</f>
        <v>315.82181000000003</v>
      </c>
      <c r="J128" s="3">
        <f>0+(447.3-101.2)+(0+(-0.912492--0.206448))+0-33.3--0.0679319999999985</f>
        <v>312.16188799999998</v>
      </c>
      <c r="K128" s="3">
        <f>0+(510.7-177.1)+(0+(-0.781371--0.270963))+0-25.7--0.0393210000000015</f>
        <v>307.42891300000008</v>
      </c>
      <c r="L128" s="3">
        <f>0+(508.2-175.8)+(0+(-1.29591--0.44829))+0-33.3--0.0849149999999952</f>
        <v>298.33729499999993</v>
      </c>
      <c r="M128" s="3">
        <f>0+(506.1-158.1)+(0+(0-0))+0-33.5-0</f>
        <v>314.5</v>
      </c>
      <c r="N128" s="3">
        <f>0+(680.9-302.5)+(0+(1.736295-0.771375))+0-33.7-0.0859349999999951</f>
        <v>345.57898499999999</v>
      </c>
      <c r="O128" s="3">
        <f>0+(699.1-307.5)+(0+(0-0))+0-33.3-0</f>
        <v>358.3</v>
      </c>
      <c r="P128" s="3">
        <f>93.6+(712.6-408.8)+(0.143208+(1.090278-0.625464))+0-33.1-0.0506430000000019</f>
        <v>364.85737899999998</v>
      </c>
      <c r="Q128" s="3">
        <f>111.4+(620.4-327.2)+(0.170442+(0.949212-0.500616))+0-32.9-0.0503370000000019</f>
        <v>372.26870100000002</v>
      </c>
      <c r="R128" s="3">
        <f>111.1+(525.8-231)+(0.113322+(0.536316-0.23562))+0-32.4-0.0330480000000052</f>
        <v>373.88096999999999</v>
      </c>
      <c r="S128" s="3">
        <f>110.9+(427.6-157)+(-0.056559+(-0.218076--0.08007))+0-31--0.0158099999999969</f>
        <v>350.32124499999998</v>
      </c>
      <c r="T128" s="3">
        <f>111+(390.7-124.2)+(0.05661+(0.199257-0.063342))+0-22.1-0.0112709999999978</f>
        <v>355.58125399999994</v>
      </c>
      <c r="U128" s="3">
        <f>111+(388.8-114)+(0+(0-0))+0-29.5-0</f>
        <v>356.3</v>
      </c>
      <c r="V128" s="3">
        <f>111+(466.8-198.1)+(-0.28305+(-1.19034--0.505155))+0-30--0.0764999999999956</f>
        <v>348.80826500000006</v>
      </c>
      <c r="W128" s="3">
        <f>110+(560.5-291.2)+(-0.2805+(-1.429275--0.74256))+0-31.5--0.0803249999999954</f>
        <v>346.91311000000002</v>
      </c>
      <c r="X128" s="3">
        <f>101.5+(606.1-357.8)+(-0.155295+(-0.927333--0.547434))+0-31.4--0.0480420000000018</f>
        <v>317.91284800000005</v>
      </c>
      <c r="Y128" s="3">
        <f>50.5+(488.9-193.9)+(0.025755+(0.249339-0.098889))+0-28.7-0.0146369999999971</f>
        <v>316.961568</v>
      </c>
      <c r="Z128" s="3">
        <f>67+(514.5-209.6)+(0+(0-0))+0-33.5-0</f>
        <v>338.4</v>
      </c>
      <c r="AA128" s="3">
        <f>110.6+(441.9-182.5)+(-0.112812+(-0.450738--0.18615))+0-33.6--0.0342720000000054</f>
        <v>336.05687199999994</v>
      </c>
      <c r="AB128" s="3">
        <f>110.4+(491.2-212.8)+(-0.168912+(-0.751536--0.325584))+0-34.4--0.052632000000002</f>
        <v>353.85776800000002</v>
      </c>
      <c r="AC128" s="3">
        <f>110.8+(455.4-228)+(-0.056508+(-0.232254--0.11628))+0-33.5--0.0170849999999966</f>
        <v>304.544603</v>
      </c>
      <c r="AD128">
        <v>340.9</v>
      </c>
      <c r="AE128" s="3">
        <f>111+(439.3-175.9)+(0+(0-0))+0-33.5-0</f>
        <v>340.9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95.5+(473.5-198.6)+(-0.146115+(-0.724455--0.303858))+0-33.4--0.0511020000000019</f>
        <v>336.48439000000002</v>
      </c>
      <c r="G129" s="3">
        <f>0+(480.3-110.3)+(0+(0-0))+0-31.4-0</f>
        <v>338.6</v>
      </c>
      <c r="H129" s="3">
        <f>0+(492.8-154.2)+(0+(-0.502656--0.157284))+0-31.4--0.032028000000005</f>
        <v>306.88665600000007</v>
      </c>
      <c r="I129" s="3">
        <f>0+(487.8-159)+(0+(0.497556-0.16218))+0-31.2-0.031824000000005</f>
        <v>297.90355199999999</v>
      </c>
      <c r="J129" s="3">
        <f>0+(531.1-210.7)+(0+(0-0))+0-25.7-0</f>
        <v>294.70000000000005</v>
      </c>
      <c r="K129" s="3">
        <f>0+(640.1-304.9)+(0+(-0.979353--0.466497))+0-33.7--0.051561000000002</f>
        <v>301.03870500000005</v>
      </c>
      <c r="L129" s="3">
        <f>0+(519.4-200.1)+(0+(-0.794682--0.306153))+0-33.4--0.0511020000000019</f>
        <v>285.46257299999996</v>
      </c>
      <c r="M129" s="3">
        <f>0+(600.3-246.3)+(0+(0.918459-0.376839))+0-33.7-0.051561000000002</f>
        <v>320.79005899999999</v>
      </c>
      <c r="N129" s="3">
        <f>0+(642.9-264.5)+(0+(0.327879-0.134895))+0-35.2-0.0179519999999964</f>
        <v>343.37503200000003</v>
      </c>
      <c r="O129" s="3">
        <f>52.6+(676.7-317.7)+(-0.026826+(-0.345117--0.162027))+0-35.9--0.0183089999999964</f>
        <v>375.50839300000007</v>
      </c>
      <c r="P129" s="3">
        <f>111+(603.6-314.1)+(0.11322+(0.615672-0.320382))+0-33.9-0.0345780000000054</f>
        <v>366.97393199999999</v>
      </c>
      <c r="Q129" s="3">
        <f>111.7+(624.1-326.2)+(0.284835+(1.591455-0.83181))+0-35.4-0.0902699999999949</f>
        <v>375.15421000000009</v>
      </c>
      <c r="R129" s="3">
        <f>111.1+(606.4-290)+(-0.056661+(-0.309264--0.1479))+0-33.2--0.0169319999999966</f>
        <v>394.098907</v>
      </c>
      <c r="S129" s="3">
        <f>110.9+(521.5-255)+(0.056559+(0.265965-0.13005))+0-33-0.0168299999999967</f>
        <v>344.57564400000001</v>
      </c>
      <c r="T129" s="3">
        <f>111+(532.5-237.8)+(0+(0-0))+0-32.7-0</f>
        <v>373</v>
      </c>
      <c r="U129" s="3">
        <f>110.7+(498.7-226.6)+(-0.056457+(-0.254337--0.115566))+0-32.2--0.0164219999999967</f>
        <v>350.42119400000001</v>
      </c>
      <c r="V129" s="3">
        <f>110.6+(525.6-252.2)+(-0.112812+(-0.536112--0.257244))+0-32--0.0326400000000051</f>
        <v>351.64096000000001</v>
      </c>
      <c r="W129" s="3">
        <f>110.2+(590.6-324.8)+(-0.168606+(-0.903618--0.496944))+0-32.4--0.0495720000000019</f>
        <v>343.07429200000001</v>
      </c>
      <c r="X129" s="3">
        <f>59.4+(539.6-240.7)+(-0.212058+(-1.926372--0.859299))+0-32.7--0.116739</f>
        <v>324.43760800000001</v>
      </c>
      <c r="Y129" s="3">
        <f>0+(389.5-41.2)+(0+(-0.198645--0.021012))+0-32.3--0.0164729999999967</f>
        <v>315.83884</v>
      </c>
      <c r="Z129" s="3">
        <f>0+(502.7-134.7)+(0+(-0.769131--0.206091))+0-32.3--0.0494190000000019</f>
        <v>335.18637899999999</v>
      </c>
      <c r="AA129" s="3">
        <f>0+(626-241.1)+(0+(-2.23482--0.860727))+0-32.5--0.116025</f>
        <v>351.14193199999994</v>
      </c>
      <c r="AB129" s="3">
        <f>0+(576-195.5)+(0+(-0.88128--0.299115))+0-32.4--0.0495720000000019</f>
        <v>347.56740700000006</v>
      </c>
      <c r="AC129" s="3">
        <f>0+(576.1-229)+(0+(-0.587622--0.23358))+0-27.3--0.0278460000000044</f>
        <v>319.47380400000003</v>
      </c>
      <c r="AD129">
        <v>347.1</v>
      </c>
      <c r="AE129" s="3">
        <f>0+(629.2-249.5)+(0+(0-0))+0-32.6-0</f>
        <v>347.1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0+(584.7-233.9)+(0+(-0.298197--0.119289))+0-28.8--0.0146879999999971</f>
        <v>321.83578000000006</v>
      </c>
      <c r="G130" s="3">
        <f>0+(585-234.7)+(0+(-0.89505--0.359091))+0-33--0.0504900000000019</f>
        <v>316.81453100000004</v>
      </c>
      <c r="H130" s="3">
        <f>0+(536.3-198.4)+(0+(-0.547026--0.202368))+0-33.5--0.0341700000000053</f>
        <v>304.08951200000001</v>
      </c>
      <c r="I130" s="3">
        <f>0+(447.4-111.2)+(0+(0.456348-0.113424))+0-33.6-0.0342720000000054</f>
        <v>302.90865199999996</v>
      </c>
      <c r="J130" s="3">
        <f>0+(351.1-12.6)+(0+(-0.358122--0.012852))+0-33.4--0.0340680000000053</f>
        <v>304.78879799999999</v>
      </c>
      <c r="K130" s="3">
        <f>0+(326.4-0)+(0+(0.166464-0))+0-33.5-0.0170849999999966</f>
        <v>293.04937899999999</v>
      </c>
      <c r="L130" s="3">
        <f>0+(310.5-0)+(0+(-0.95013-0))+0-32.8--0.100368000000004</f>
        <v>276.85023799999999</v>
      </c>
      <c r="M130" s="3">
        <f>0+(335.8-0)+(0+(0-0))+0-33.1-0</f>
        <v>302.7</v>
      </c>
      <c r="N130" s="3">
        <f>0+(357.9-0)+(0+(0-0))+0-34.5-0</f>
        <v>323.39999999999998</v>
      </c>
      <c r="O130" s="3">
        <f>0+(369.2-0)+(0+(-0.188292-0))+0-35.9--0.0183089999999964</f>
        <v>333.13001700000001</v>
      </c>
      <c r="P130" s="3">
        <f>0+(446-75.7)+(0+(-0.22746--0.038607))+0-33.9--0.0172889999999966</f>
        <v>336.22843600000004</v>
      </c>
      <c r="Q130" s="3">
        <f>0+(459.4-122.7)+(0+(-0.468588--0.125154))+0-1.8--0.00183600000000029</f>
        <v>334.558402</v>
      </c>
      <c r="R130" s="3">
        <f>0+(420.9-84)+(0+(-0.858636--0.17136))+0-0-0</f>
        <v>336.21272399999998</v>
      </c>
      <c r="S130" s="3">
        <f>33.6+(374-84)+(-0.08568+(-0.9537--0.2142))+0-0-0</f>
        <v>322.77482000000003</v>
      </c>
      <c r="T130" s="3">
        <f>50.5+(358.7-78)+(-0.077265+(-0.548811--0.11934))+0-10.3--0.0157590000000006</f>
        <v>320.40902299999999</v>
      </c>
      <c r="U130" s="3">
        <f>50.5+(397.8-100.7)+(0+(0-0))+0-26.8-0</f>
        <v>320.8</v>
      </c>
      <c r="V130" s="3">
        <f>19.7+(392-61.6)+(-0.010047+(-0.19992--0.031416))+0-32.7--0.0166769999999967</f>
        <v>317.23812599999997</v>
      </c>
      <c r="W130" s="3">
        <f>0+(426.2-79.4)+(0+(-1.738896--0.323952))+0-33.5--0.136679999999997</f>
        <v>312.02173599999998</v>
      </c>
      <c r="X130" s="3">
        <f>0+(385.4-44.6)+(0+(-1.179324--0.136476))+0-33.6--0.102816000000004</f>
        <v>306.25996799999996</v>
      </c>
      <c r="Y130" s="3">
        <f>0+(363.8-44)+(0+(-0.92769--0.1122))+0-33.5--0.0854249999999951</f>
        <v>285.56993499999999</v>
      </c>
      <c r="Z130" s="3">
        <f>0+(362.5-0)+(0+(0.184875-0))+0-33.7-0.0171869999999966</f>
        <v>328.96768800000001</v>
      </c>
      <c r="AA130" s="3">
        <f>0+(410-42.6)+(0+(-1.0455--0.10863))+0-33.6--0.0856799999999951</f>
        <v>332.94880999999992</v>
      </c>
      <c r="AB130" s="3">
        <f>0+(404.5-46.5)+(0+(-1.031475--0.118575))+0-33.6--0.0856799999999951</f>
        <v>323.57277999999997</v>
      </c>
      <c r="AC130" s="3">
        <f>0+(369.4-9.1)+(0+(-0.188394--0.004641))+0-33.5--0.0170849999999966</f>
        <v>326.63333199999994</v>
      </c>
      <c r="AD130">
        <v>315.89999999999998</v>
      </c>
      <c r="AE130" s="3">
        <f>0+(408.3-58.6)+(0+(0-0))+0-33.8-0</f>
        <v>315.89999999999998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0+(372.4-23)+(0+(-0.189924--0.01173))+0-29.5--0.015044999999997</f>
        <v>319.73685099999994</v>
      </c>
      <c r="G131" s="3">
        <f>0+(367.2-24.8)+(0+(-0.374544--0.025296))+0-33.8--0.0344760000000054</f>
        <v>308.28522799999996</v>
      </c>
      <c r="H131" s="3">
        <f>0+(440.8-99.4)+(0+(0-0))+0-33.3-0</f>
        <v>308.09999999999997</v>
      </c>
      <c r="I131" s="3">
        <f>0+(405.2-64.8)+(0+(-0.826608--0.132192))+0-34.1--0.0695639999999985</f>
        <v>305.67514799999998</v>
      </c>
      <c r="J131" s="3">
        <f>0+(373.4-49.1)+(0+(-0.95217--0.125205))+0-33.7--0.0859349999999951</f>
        <v>289.85897</v>
      </c>
      <c r="K131" s="3">
        <f>0+(339.8-25.1)+(0+(-0.86649--0.064005))+0-33.3--0.0849149999999952</f>
        <v>280.68242999999995</v>
      </c>
      <c r="L131" s="3">
        <f>0+(318.8-26.9)+(0+(-0.81294--0.068595))+0-33.2--0.0846599999999952</f>
        <v>258.04031500000002</v>
      </c>
      <c r="M131" s="3">
        <f>0+(321.2-28)+(0+(-0.491436--0.04284))+0-33.3--0.0509490000000019</f>
        <v>259.50235299999997</v>
      </c>
      <c r="N131" s="3">
        <f>0+(299.3-0)+(0+(-0.305286-0))+0-32.5--0.0331500000000052</f>
        <v>266.52786399999997</v>
      </c>
      <c r="O131" s="3">
        <f>0+(311.2-11)+(0+(-0.158712--0.00561))+0-30.1--0.0153509999999969</f>
        <v>269.96224899999999</v>
      </c>
      <c r="P131" s="3">
        <f>0+(443.9-133.4)+(0+(0.226389-0.068034))+0-33.6-0.0171359999999966</f>
        <v>277.04121899999996</v>
      </c>
      <c r="Q131" s="3">
        <f>0+(456-135.3)+(0+(0-0))+0-33.6-0</f>
        <v>287.09999999999997</v>
      </c>
      <c r="R131" s="3">
        <f>0+(398.9-74)+(0+(0.203439-0.03774))+0-33.3-0.0169829999999966</f>
        <v>291.748716</v>
      </c>
      <c r="S131" s="3">
        <f>0+(379.3-58.9)+(0+(0.580329-0.090117))+0-33.2-0.0507960000000019</f>
        <v>287.63941600000004</v>
      </c>
      <c r="T131" s="3">
        <f>0+(347.6-43.6)+(0+(-0.177276--0.022236))+0-33.4--0.0170339999999966</f>
        <v>270.46199400000006</v>
      </c>
      <c r="U131" s="3">
        <f>0+(338-39.7)+(0+(-0.68952--0.080988))+0-26.9--0.0548759999999988</f>
        <v>270.84634399999999</v>
      </c>
      <c r="V131" s="3">
        <f>0+(329.1-30.8)+(0+(-0.167841--0.015708))+0-33.5--0.0170849999999966</f>
        <v>264.66495200000003</v>
      </c>
      <c r="W131" s="3">
        <f>0+(332.6-23.3)+(0+(-0.84813--0.059415))+0-33.4--0.0851699999999952</f>
        <v>275.19645500000001</v>
      </c>
      <c r="X131" s="3">
        <f>0+(325.7-16.8)+(0+(-0.332214--0.017136))+0-33.4--0.0340680000000053</f>
        <v>275.21898999999996</v>
      </c>
      <c r="Y131" s="3">
        <f>0+(360.3-51)+(0+(-0.735012--0.10404))+0-33.3--0.0679319999999985</f>
        <v>275.43696</v>
      </c>
      <c r="Z131" s="3">
        <f>0+(328-0)+(0+(-0.66912-0))+0-33.3--0.0679319999999985</f>
        <v>294.09881199999995</v>
      </c>
      <c r="AA131" s="3">
        <f>0+(464.8-131.6)+(0+(-0.711144--0.201348))+0-28.3--0.0432990000000016</f>
        <v>304.43350300000003</v>
      </c>
      <c r="AB131" s="3">
        <f>0+(536.3-198.1)+(0+(-0.820539--0.303093))+0-33.7--0.051561000000002</f>
        <v>304.03411499999993</v>
      </c>
      <c r="AC131" s="3">
        <f>0+(578.9-243.4)+(0+(0-0))+0-33.7-0</f>
        <v>301.8</v>
      </c>
      <c r="AD131">
        <v>283.5</v>
      </c>
      <c r="AE131" s="3">
        <f>0+(484.6-167.1)+(0+(0-0))+0-34-0</f>
        <v>283.5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0+(572.9-236.3)+(0+(-1.168716--0.482052))+0-28.6--0.0583439999999988</f>
        <v>307.37167999999991</v>
      </c>
      <c r="G132" s="3">
        <f>0+(538.3-214)+(0+(-0.823599--0.32742))+0-33.6--0.0514080000000019</f>
        <v>290.25522899999993</v>
      </c>
      <c r="H132" s="3">
        <f>0+(485.3-179.9)+(0+(0-0))+0-33.6-0</f>
        <v>271.79999999999995</v>
      </c>
      <c r="I132" s="3">
        <f>0+(454.9-159.2)+(0+(-0.927996--0.324768))+0-33.6--0.0685439999999985</f>
        <v>261.56531599999994</v>
      </c>
      <c r="J132" s="3">
        <f>0+(378.1-74.7)+(0+(-0.771324--0.152388))+0-33.3--0.0679319999999985</f>
        <v>269.54899599999999</v>
      </c>
      <c r="K132" s="3">
        <f>0+(449.5-163.6)+(0+(-1.146225--0.41718))+0-23.7--0.0604349999999966</f>
        <v>261.53138999999999</v>
      </c>
      <c r="L132" s="3">
        <f>0+(514.8-253.8)+(0+(-1.31274--0.64719))+0-3.3--0.00841499999999952</f>
        <v>257.04286499999995</v>
      </c>
      <c r="M132" s="3">
        <f>0+(545.6-261.4)+(0+(0.834768-0.399942))+0-4.9-0.00749700000000028</f>
        <v>279.72732900000005</v>
      </c>
      <c r="N132" s="3">
        <f>46.2+(622.8-352)+(-0.023562+(-0.317628--0.17952))+0-5.2--0.00265199999999947</f>
        <v>311.64098199999995</v>
      </c>
      <c r="O132" s="3">
        <f>68.2+(666.6-404)+(0+(0-0))+0-5.1-0</f>
        <v>325.7</v>
      </c>
      <c r="P132" s="3">
        <f>111.1+(613.6-375.1)+(0.113322+(0.625872-0.382602))+0-5.4-0.00550800000000086</f>
        <v>344.551084</v>
      </c>
      <c r="Q132" s="3">
        <f>111.2+(580.4-331.1)+(0.113424+(0.592008-0.337722))+0-7.1-0.00724200000000113</f>
        <v>353.76046799999989</v>
      </c>
      <c r="R132" s="3">
        <f>111.3+(603.2-350)+(0.113526+(0.615264-0.357))+0-8-0.00816000000000128</f>
        <v>356.86363000000006</v>
      </c>
      <c r="S132" s="3">
        <f>110.7+(613.4-380.4)+(-0.056457+(-0.312834--0.194004))+0-8.7--0.00443699999999912</f>
        <v>334.82914999999997</v>
      </c>
      <c r="T132" s="3">
        <f>113.9+(583.6-315.5)+(-0.116178+(-0.595272--0.32181))+0-8--0.00816000000000128</f>
        <v>373.61851999999999</v>
      </c>
      <c r="U132" s="3">
        <f>116.3+(554.6-301.6)+(0.177939+(0.848538-0.461448))+0-8.6-0.0131580000000005</f>
        <v>361.25187099999999</v>
      </c>
      <c r="V132" s="3">
        <f>116.2+(510.3-277.2)+(0+(0-0))+0-8.9-0</f>
        <v>340.40000000000003</v>
      </c>
      <c r="W132" s="3">
        <f>116+(526.7-341)+(0.05916+(0.268617-0.17391))+0-9-0.00458999999999909</f>
        <v>292.84927700000003</v>
      </c>
      <c r="X132" s="3">
        <f>116.5+(472.6-263.9)+(-0.178245+(-0.723078--0.403767))+0-9.4--0.0143820000000005</f>
        <v>315.31682600000011</v>
      </c>
      <c r="Y132" s="3">
        <f>74.8+(410.4-161.8)+(-0.076296+(-0.418608--0.165036))+0-9.8--0.00999600000000156</f>
        <v>313.28012799999999</v>
      </c>
      <c r="Z132" s="3">
        <f>84.9+(413-160.4)+(0.043299+(0.21063-0.081804))+0-10.9-0.00555899999999889</f>
        <v>326.76656600000001</v>
      </c>
      <c r="AA132" s="3">
        <f>110.6+(376.4-131.5)+(-0.112812+(-0.383928--0.13413))+0-11.8--0.0120360000000019</f>
        <v>343.34942599999999</v>
      </c>
      <c r="AB132" s="3">
        <f>110.7+(395.6-170.5)+(-0.112914+(-0.403512--0.17391))+0-14.4--0.0146880000000023</f>
        <v>321.07217200000002</v>
      </c>
      <c r="AC132" s="3">
        <f>111.2+(457.1-232)+(0.113424+(0.466242-0.23664))+0-15.7-0.0160140000000025</f>
        <v>320.92701200000005</v>
      </c>
      <c r="AD132">
        <v>342.20000000000005</v>
      </c>
      <c r="AE132" s="3">
        <f>111+(376.7-132.1)+(0+(0-0))+0-13.4-0</f>
        <v>342.20000000000005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64.2+(389.1-115.8)+(-0.16371+(-0.992205--0.29529))+0-15--0.0382499999999978</f>
        <v>321.67762499999998</v>
      </c>
      <c r="G133" s="3">
        <f>0+(342.5-15.1)+(0+(-0.524025--0.023103))+0-15.6--0.0238680000000009</f>
        <v>311.32294599999994</v>
      </c>
      <c r="H133" s="3">
        <f>0+(335.8-15)+(0+(-0.85629--0.03825))+0-15.4--0.0392699999999978</f>
        <v>304.62123000000003</v>
      </c>
      <c r="I133" s="3">
        <f>0+(326.5-4.3)+(0+(-0.66606--0.008772))+0-17.5--0.0356999999999992</f>
        <v>304.07841200000001</v>
      </c>
      <c r="J133" s="3">
        <f>0+(342.7-10.7)+(0+(-0.524331--0.016371))+0-23.5--0.0359550000000014</f>
        <v>308.02799499999998</v>
      </c>
      <c r="K133" s="3">
        <f>0+(341.7-17.7)+(0+(-0.522801--0.027081))+0-25.3--0.0387090000000015</f>
        <v>298.24298899999997</v>
      </c>
      <c r="L133" s="3">
        <f>0+(312-0)+(0+(-0.31824-0))+0-27.5--0.0280500000000044</f>
        <v>284.20981</v>
      </c>
      <c r="M133" s="3">
        <f>0+(458.3-125.5)+(0+(0.467466-0.12801))+0-27.4-0.0279480000000044</f>
        <v>305.71150800000004</v>
      </c>
      <c r="N133" s="3">
        <f>32+(510.3-173.1)+(-0.06528+(-1.041012--0.353124))+0-27.3--0.0556919999999988</f>
        <v>341.20252400000004</v>
      </c>
      <c r="O133" s="3">
        <f>107+(588.6-305.4)+(0.05457+(0.300186-0.155754))+0-30.1-0.0153509999999969</f>
        <v>360.28365100000002</v>
      </c>
      <c r="P133" s="3">
        <f>110+(714.1-429)+(0.1122+(0.728382-0.43758))+0-30.7-0.0313140000000049</f>
        <v>364.77168800000004</v>
      </c>
      <c r="Q133" s="3">
        <f>110+(717.8-419.9)+(0.1683+(1.098234-0.642447))+0-30.8-0.0471240000000018</f>
        <v>377.67696299999994</v>
      </c>
      <c r="R133" s="3">
        <f>113+(613-353.5)+(0.05763+(0.31263-0.180285))+0-31.1-0.0158609999999968</f>
        <v>341.57411400000001</v>
      </c>
      <c r="S133" s="3">
        <f>111+(534.6-269.9)+(-0.05661+(-0.272646--0.137649))+0-31.3--0.0159629999999968</f>
        <v>344.22435600000006</v>
      </c>
      <c r="T133" s="3">
        <f>113+(445.1-210.4)+(0+(0-0))+0-30.9-0</f>
        <v>316.80000000000007</v>
      </c>
      <c r="U133" s="3">
        <f>114+(364.8-129.1)+(-0.17442+(-0.558144--0.197523))+0-31.5--0.0481950000000018</f>
        <v>317.71315400000009</v>
      </c>
      <c r="V133" s="3">
        <f>115+(313.4-43)+(-0.1173+(-0.319668--0.04386))+0-31.2--0.031824000000005</f>
        <v>353.83871600000003</v>
      </c>
      <c r="W133" s="3">
        <f>113+(422.2-122.5)+(-0.05763+(-0.215322--0.062475))+0-31.4--0.0160139999999968</f>
        <v>381.10553699999997</v>
      </c>
      <c r="X133" s="3">
        <f>114+(479.2-223.6)+(-0.11628+(-0.488784--0.228072))+0-27.7--0.0282540000000044</f>
        <v>341.55126200000007</v>
      </c>
      <c r="Y133" s="3">
        <f>114+(443.6-202.1)+(0.11628+(0.452472-0.206142))+0-27.4-0.0279480000000044</f>
        <v>328.43466200000006</v>
      </c>
      <c r="Z133" s="3">
        <f>115+(507.4-248.7)+(-0.05865+(-0.258774--0.126837))+0-29.1--0.014840999999997</f>
        <v>344.42425399999996</v>
      </c>
      <c r="AA133" s="3">
        <f>116+(472.6-204.9)+(-0.2958+(-1.20513--0.522495))+0-31.7--0.0808349999999954</f>
        <v>351.10240000000005</v>
      </c>
      <c r="AB133" s="3">
        <f>118+(424.7-165)+(0.06018+(0.216597-0.08415))+0-31.5-0.0160649999999968</f>
        <v>346.37656200000004</v>
      </c>
      <c r="AC133" s="3">
        <f>119+(414.7-162.2)+(-0.06069+(-0.211497--0.082722))+0-31.6--0.0161159999999968</f>
        <v>339.726651</v>
      </c>
      <c r="AD133">
        <v>314.40000000000003</v>
      </c>
      <c r="AE133" s="3">
        <f>118+(489.5-261.9)+(0+(0-0))+0-31.2-0</f>
        <v>314.40000000000003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118+(403.5-140.4)+(-0.3009+(-1.028925--0.35802))+0-32--0.0815999999999954</f>
        <v>348.20979499999999</v>
      </c>
      <c r="G134" s="3">
        <f>24+(358.2-21.9)+(-0.04896+(-0.730728--0.044676))+0-32--0.0652799999999986</f>
        <v>327.630268</v>
      </c>
      <c r="H134" s="3">
        <f>0+(358.6-13.1)+(0+(-1.280202--0.046767))+0-29.3--0.104601</f>
        <v>315.07116600000001</v>
      </c>
      <c r="I134" s="3">
        <f>0+(397.5-42.5)+(0+(-0.202725--0.021675))+0-24.9--0.0126989999999975</f>
        <v>329.93164899999999</v>
      </c>
      <c r="J134" s="3">
        <f>0+(346.8-26.3)+(0+(-0.176868--0.013413))+0-32--0.0163199999999968</f>
        <v>288.35286500000001</v>
      </c>
      <c r="K134" s="3">
        <f>0+(356.1-2.1)+(0+(-0.181611--0.001071))+0-31.9--0.0162689999999968</f>
        <v>321.93572900000004</v>
      </c>
      <c r="L134" s="3">
        <f>0+(376.9-44.6)+(0+(-0.384438--0.045492))+0-20.4--0.0208080000000033</f>
        <v>311.58186199999994</v>
      </c>
      <c r="M134" s="3">
        <f>0+(345.1-0)+(0+(0.528003-0))+0-32.6-0.0498780000000019</f>
        <v>312.97812500000003</v>
      </c>
      <c r="N134" s="3">
        <f>17+(407.1-38.2)+(-0.00867+(-0.207621--0.019482))+0-32.7--0.0166769999999967</f>
        <v>353.01986800000009</v>
      </c>
      <c r="O134" s="3">
        <f>107+(512.8-230.5)+(0.16371+(0.784584-0.352665))+0-31.6-0.0483480000000018</f>
        <v>358.24728099999993</v>
      </c>
      <c r="P134" s="3">
        <f>112+(543-248.8)+(0.11424+(0.55386-0.253776))+0-32.9-0.0335580000000052</f>
        <v>373.68076600000001</v>
      </c>
      <c r="Q134" s="3">
        <f>112+(545.8-258.4)+(0.11424+(0.556716-0.263568))+0-33-0.0336600000000053</f>
        <v>366.77372800000001</v>
      </c>
      <c r="R134" s="3">
        <f>112+(584.4-282.8)+(0+(0-0))+0-33.1-0</f>
        <v>380.49999999999994</v>
      </c>
      <c r="S134" s="3">
        <f>112+(486.1-209.7)+(-0.05712+(-0.247911--0.106947))+0-33.1--0.0168809999999966</f>
        <v>355.11879700000003</v>
      </c>
      <c r="T134" s="3">
        <f>112+(490.3-208.2)+(-0.11424+(-0.500106--0.212364))+0-33.4--0.0340680000000053</f>
        <v>360.33208600000006</v>
      </c>
      <c r="U134" s="3">
        <f>112+(528.9-244.2)+(-0.22848+(-1.078956--0.498168))+0-33.4--0.0681359999999985</f>
        <v>362.55886800000002</v>
      </c>
      <c r="V134" s="3">
        <f>112+(523.8-256.7)+(-0.05712+(-0.267138--0.130917))+0-33.5--0.0170849999999966</f>
        <v>345.423744</v>
      </c>
      <c r="W134" s="3">
        <f>112+(579.8-298.7)+(-0.11424+(-0.591396--0.304674))+0-27.6--0.0281520000000044</f>
        <v>365.12718999999993</v>
      </c>
      <c r="X134" s="3">
        <f>112+(649.5-387.4)+(-0.17136+(-0.993735--0.592722))+0-33--0.0504900000000019</f>
        <v>340.57811700000002</v>
      </c>
      <c r="Y134" s="3">
        <f>112+(564.6-290.3)+(0.11424+(0.575892-0.296106))+0-33.6-0.0342720000000054</f>
        <v>353.059754</v>
      </c>
      <c r="Z134" s="3">
        <f>112+(534.7-241.3)+(0.05712+(0.272697-0.123063))+0-30-0.015299999999997</f>
        <v>375.591454</v>
      </c>
      <c r="AA134" s="3">
        <f>112+(518.9-229.7)+(-0.05712+(-0.264639--0.117147))+0-27.7--0.0141269999999972</f>
        <v>373.30951499999998</v>
      </c>
      <c r="AB134" s="3">
        <f>112+(491.5-209.1)+(-0.11424+(-0.50133--0.213282))+0-30.6--0.0312120000000049</f>
        <v>363.42892399999994</v>
      </c>
      <c r="AC134" s="3">
        <f>85+(456-156.7)+(0.04335+(0.23256-0.079917))+0-33.6-0.0171359999999966</f>
        <v>350.87885699999998</v>
      </c>
      <c r="AD134">
        <v>388.29999999999995</v>
      </c>
      <c r="AE134" s="3">
        <f>110+(510.4-198.3)+(0+(0-0))+0-33.8-0</f>
        <v>388.29999999999995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0+(466.9-126.2)+(0+(0.238119-0.064362))+0-33.7-0.0171869999999966</f>
        <v>307.15657000000004</v>
      </c>
      <c r="G135" s="3">
        <f>0+(484.4-131.9)+(0+(-0.988176--0.269076))+0-33.7--0.0687479999999985</f>
        <v>318.14964799999996</v>
      </c>
      <c r="H135" s="3">
        <f>0+(494.3-110.4)+(0+(-0.252093--0.056304))+0-32.4--0.0165239999999967</f>
        <v>351.32073500000001</v>
      </c>
      <c r="I135" s="3">
        <f>0+(358.9-5.7)+(0+(0.549117-0.008721))+0-33-0.0504900000000019</f>
        <v>320.68990599999995</v>
      </c>
      <c r="J135" s="3">
        <f>0+(412.3-71.2)+(0+(-0.210273--0.036312))+0-14.9--0.00759899999999849</f>
        <v>326.033638</v>
      </c>
      <c r="K135" s="3">
        <f>0+(420.8-82.4)+(0+(0-0))+0-15.9-0</f>
        <v>322.5</v>
      </c>
      <c r="L135" s="3">
        <f>0+(462-130.8)+(0+(-0.47124--0.133416))+0-33.7--0.0343740000000054</f>
        <v>297.19655</v>
      </c>
      <c r="M135" s="3">
        <f>0+(458.9-108.3)+(0+(0-0))+0-33.7-0</f>
        <v>316.89999999999998</v>
      </c>
      <c r="N135" s="3">
        <f>0+(606-205.9)+(0+(0.30906-0.105009))+0-34.4-0.0175439999999965</f>
        <v>365.88650700000005</v>
      </c>
      <c r="O135" s="3">
        <f>35+(698.5-334.4)+(0.0714+(1.42494-0.682176))+0-36.1-0.0736439999999984</f>
        <v>363.74052</v>
      </c>
      <c r="P135" s="3">
        <f>111+(689.7-388.1)+(0.11322+(0.703494-0.395862))+0-34.1-0.0347820000000054</f>
        <v>378.88607000000002</v>
      </c>
      <c r="Q135" s="3">
        <f>111+(680.8-383.3)+(0.11322+(0.694416-0.390966))+0-36.2-0.0369240000000058</f>
        <v>372.67974599999997</v>
      </c>
      <c r="R135" s="3">
        <f>111+(685.6-357.3)+(-0.16983+(-1.048968--0.546669))+0-34.2--0.052326000000002</f>
        <v>404.48019700000003</v>
      </c>
      <c r="S135" s="3">
        <f>111+(547.9-282.2)+(-0.11322+(-0.558858--0.287844))+0-33.7--0.0343740000000054</f>
        <v>342.65014000000002</v>
      </c>
      <c r="T135" s="3">
        <f>111+(527.8-229.9)+(0+(0-0))+0-33.6-0</f>
        <v>375.29999999999995</v>
      </c>
      <c r="U135" s="3">
        <f>111+(489.5-211.1)+(-0.11322+(-0.49929--0.215322))+0-32.1--0.0327420000000051</f>
        <v>356.93555399999991</v>
      </c>
      <c r="V135" s="3">
        <f>111+(465.6-229.8)+(0.16983+(0.712368-0.351594))+0-23.2-0.0354960000000013</f>
        <v>324.09510799999998</v>
      </c>
      <c r="W135" s="3">
        <f>111+(501.1-260.3)+(-0.16983+(-0.766683--0.398259))+0-29.8--0.0455940000000017</f>
        <v>321.50734</v>
      </c>
      <c r="X135" s="3">
        <f>111+(578-314.3)+(-0.22644+(-1.17912--0.641172))+0-31.3--0.0638519999999986</f>
        <v>342.69946399999998</v>
      </c>
      <c r="Y135" s="3">
        <f>111+(622.2-349.6)+(0.05661+(0.317322-0.178296))+0-34-0.0173399999999966</f>
        <v>349.77829600000001</v>
      </c>
      <c r="Z135" s="3">
        <f>111+(550.6-272.2)+(0.05661+(0.280806-0.138822))+0-34-0.0173399999999966</f>
        <v>355.58125400000006</v>
      </c>
      <c r="AA135" s="3">
        <f>111+(601.9-310.7)+(-0.28305+(-1.534845--0.792285))+0-33.8--0.0861899999999951</f>
        <v>367.46057999999999</v>
      </c>
      <c r="AB135" s="3">
        <f>111+(579.1-295)+(-0.11322+(-0.590682--0.3009))+0-33.7--0.0343740000000054</f>
        <v>361.03137200000003</v>
      </c>
      <c r="AC135" s="3">
        <f>111+(600-337.9)+(-0.05661+(-0.306--0.172329))+0-33.5--0.0170849999999966</f>
        <v>339.426804</v>
      </c>
      <c r="AD135">
        <v>384.4</v>
      </c>
      <c r="AE135" s="3">
        <f>113+(586.3-281.4)+(0+(0-0))+0-33.5-0</f>
        <v>384.4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110+(549.4-272.5)+(-0.0561+(-0.280194--0.138975))+0-25.5--0.0130049999999974</f>
        <v>361.21568600000001</v>
      </c>
      <c r="G136" s="3">
        <f>111+(444.6-178.3)+(-0.28305+(-1.13373--0.454665))+0-33.6--0.0856799999999951</f>
        <v>342.82356499999997</v>
      </c>
      <c r="H136" s="3">
        <f>111+(338.4-81.3)+(-0.11322+(-0.345168--0.082926))+0-33.7--0.0343740000000054</f>
        <v>334.05891199999996</v>
      </c>
      <c r="I136" s="3">
        <f>111+(339.1-87.1)+(0.05661+(0.172941-0.044421))+0-33.6-0.0171359999999966</f>
        <v>329.567994</v>
      </c>
      <c r="J136" s="3">
        <f>111+(377.5-125.2)+(-0.05661+(-0.192525--0.063852))+0-33.6--0.0171359999999966</f>
        <v>329.53185299999996</v>
      </c>
      <c r="K136" s="3">
        <f>111+(422.1-174.3)+(-0.05661+(-0.215271--0.088893))+0-33.6--0.0171359999999966</f>
        <v>325.03414799999996</v>
      </c>
      <c r="L136" s="3">
        <f>80+(360.6-92.3)+(-0.1224+(-0.551718--0.141219))+0-33.5--0.0512550000000019</f>
        <v>314.31835600000005</v>
      </c>
      <c r="M136" s="3">
        <f>48+(381.2-68.6)+(0.02448+(0.194412-0.034986))+0-34.2-0.0174419999999965</f>
        <v>326.566464</v>
      </c>
      <c r="N136" s="3">
        <f>90+(615.3-292.5)+(0+(0-0))+0-36.1-0</f>
        <v>376.69999999999993</v>
      </c>
      <c r="O136" s="3">
        <f>112+(614.7-336.7)+(0.17136+(0.940491-0.515151))+0-34.4-0.052632000000002</f>
        <v>356.14406800000006</v>
      </c>
      <c r="P136" s="3">
        <f>113+(671.4-350.5)+(0.11526+(0.684828-0.35751))+0-27.9-0.0284580000000044</f>
        <v>406.41412000000003</v>
      </c>
      <c r="Q136" s="3">
        <f>112+(610.8-348.2)+(0.17136+(0.934524-0.532746))+0-10.9-0.0166770000000006</f>
        <v>364.25646099999994</v>
      </c>
      <c r="R136" s="3">
        <f>111+(572.1-318.1)+(-0.05661+(-0.291771--0.162231))+0-15--0.00764999999999848</f>
        <v>349.82150000000001</v>
      </c>
      <c r="S136" s="3">
        <f>117+(505-244.4)+(-0.05967+(-0.25755--0.124644))+0-27.5--0.0140249999999972</f>
        <v>349.92144900000005</v>
      </c>
      <c r="T136" s="3">
        <f>110+(456.2-196.4)+(0.0561+(0.232662-0.100164))+0-27.4-0.0139739999999972</f>
        <v>342.57462399999997</v>
      </c>
      <c r="U136" s="3">
        <f>116+(455-198.6)+(0.05916+(0.23205-0.101286))+0-27.6-0.0140759999999972</f>
        <v>344.97584799999998</v>
      </c>
      <c r="V136" s="3">
        <f>121+(486.5-241.4)+(-0.06171+(-0.248115--0.123114))+0-30.2--0.0154019999999969</f>
        <v>335.72869100000003</v>
      </c>
      <c r="W136" s="3">
        <f>109+(557.2-308.2)+(-0.16677+(-0.852516--0.471546))+0-33.5--0.0512550000000019</f>
        <v>324.00351500000011</v>
      </c>
      <c r="X136" s="3">
        <f>116+(650.7-411.3)+(-0.05916+(-0.331857--0.209763))+0-33.5--0.0170849999999966</f>
        <v>321.73583100000002</v>
      </c>
      <c r="Y136" s="3">
        <f>115+(631.4-394.5)+(-0.1173+(-0.644028--0.40239))+0-33.1--0.0337620000000053</f>
        <v>318.47482399999996</v>
      </c>
      <c r="Z136" s="3">
        <f>111+(587.6-330.6)+(-0.11322+(-0.599352--0.337212))+0-33.3--0.0339660000000053</f>
        <v>334.35860600000001</v>
      </c>
      <c r="AA136" s="3">
        <f>118+(570.6-308.8)+(-0.18054+(-0.873018--0.472464))+0-32.6--0.0498780000000019</f>
        <v>346.66878399999996</v>
      </c>
      <c r="AB136" s="3">
        <f>119+(641.5-381.7)+(0.06069+(0.327165-0.194667))+0-32.9-0.0167789999999967</f>
        <v>346.07640900000007</v>
      </c>
      <c r="AC136" s="3">
        <f>119+(644-393.7)+(-0.06069+(-0.32844--0.200787))+0-29.1--0.014840999999997</f>
        <v>340.026498</v>
      </c>
      <c r="AD136">
        <v>334.5</v>
      </c>
      <c r="AE136" s="3">
        <f>116+(544.1-291.5)+(0+(0-0))+0-34.1-0</f>
        <v>334.5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119+(587-324.5)+(0+(0-0))+0-33.3-0</f>
        <v>348.2</v>
      </c>
      <c r="G137" s="3">
        <f>89+(544.5-266.5)+(-0.04539+(-0.277695--0.135915))+0-33.4--0.0170339999999966</f>
        <v>333.42986400000007</v>
      </c>
      <c r="H137" s="3">
        <f>51+(421-111.9)+(-0.05202+(-0.42942--0.114138))+0-33.1--0.0337620000000053</f>
        <v>326.66646000000003</v>
      </c>
      <c r="I137" s="3">
        <f>51+(303.3-0)+(-0.05202+(-0.309366-0))+0-33.1--0.0337620000000053</f>
        <v>320.87237600000003</v>
      </c>
      <c r="J137" s="3">
        <f>51+(389.4-87.5)+(-0.10404+(-0.794376--0.1785))+0-30.6--0.0624239999999987</f>
        <v>321.64250799999996</v>
      </c>
      <c r="K137" s="3">
        <f>51+(421.2-130)+(-0.10404+(-0.859248--0.2652))+0-31.7--0.0646679999999986</f>
        <v>309.86658</v>
      </c>
      <c r="L137" s="3">
        <f>48+(378.4-95.6)+(-0.09792+(-0.771936--0.195024))+0-33.4--0.0681359999999985</f>
        <v>296.79330399999998</v>
      </c>
      <c r="M137" s="3">
        <f>52+(378.7-81.7)+(0.1326+(0.965685-0.208335))+0-33.5-0.0854249999999951</f>
        <v>316.30452500000001</v>
      </c>
      <c r="N137" s="3">
        <f>53+(514-192.1)+(0.05406+(0.52428-0.195942))+0-33.8-0.0344760000000054</f>
        <v>341.44792200000001</v>
      </c>
      <c r="O137" s="3">
        <f>96+(620.3-339.2)+(0.09792+(0.632706-0.345984))+0-33.3-0.0339660000000053</f>
        <v>344.15067599999992</v>
      </c>
      <c r="P137" s="3">
        <f>109+(634.1-343.4)+(0.16677+(0.970173-0.525402))+0-33.1-0.0506430000000019</f>
        <v>367.16089800000003</v>
      </c>
      <c r="Q137" s="3">
        <f>110+(637.2-342.8)+(0.2244+(1.299888-0.699312))+0-32.9-0.0671159999999986</f>
        <v>372.25786000000005</v>
      </c>
      <c r="R137" s="3">
        <f>106+(629.6-338)+(0.10812+(0.642192-0.34476))+0-32.5-0.0331500000000052</f>
        <v>365.47240200000005</v>
      </c>
      <c r="S137" s="3">
        <f>107+(536.9-271.2)+(-0.05457+(-0.273819--0.138312))+0-32.5--0.0165749999999967</f>
        <v>340.026498</v>
      </c>
      <c r="T137" s="3">
        <f>107+(512.1-256)+(-0.05457+(-0.261171--0.13056))+0-32.7--0.0166769999999967</f>
        <v>330.23149600000005</v>
      </c>
      <c r="U137" s="3">
        <f>115+(518-269.9)+(-0.2346+(-1.05672--0.550596))+0-32.6--0.0665039999999986</f>
        <v>329.82578000000001</v>
      </c>
      <c r="V137" s="3">
        <f>114+(575.6-336.9)+(0.05814+(0.293556-0.171819))+0-32.8-0.0167279999999967</f>
        <v>320.06314900000001</v>
      </c>
      <c r="W137" s="3">
        <f>113+(649.3-407.1)+(-0.17289+(-0.993429--0.622863))+0-32--0.0489600000000018</f>
        <v>322.70550399999996</v>
      </c>
      <c r="X137" s="3">
        <f>109+(749.8-509.3)+(-0.11118+(-0.764796--0.519486))+0-31.3--0.031926000000005</f>
        <v>317.87543599999992</v>
      </c>
      <c r="Y137" s="3">
        <f>107+(735.8-495.8)+(0+(0-0))+0-31.5-0</f>
        <v>315.49999999999994</v>
      </c>
      <c r="Z137" s="3">
        <f>105+(650.4-387.6)+(-0.1071+(-0.663408--0.395352))+0-32.9--0.0335580000000052</f>
        <v>334.558402</v>
      </c>
      <c r="AA137" s="3">
        <f>111+(634.4-368.9)+(-0.28305+(-1.61772--0.940695))+0-33.8--0.0861899999999951</f>
        <v>341.82611499999996</v>
      </c>
      <c r="AB137" s="3">
        <f>111+(650.1-388.5)+(-0.11322+(-0.663102--0.39627))+0-33.6--0.0342720000000054</f>
        <v>338.65422000000001</v>
      </c>
      <c r="AC137" s="3">
        <f>112+(695.3-439.4)+(-0.11424+(-0.709206--0.448188))+0-31.6--0.032232000000005</f>
        <v>335.956974</v>
      </c>
      <c r="AD137">
        <v>353.09999999999997</v>
      </c>
      <c r="AE137" s="3">
        <f>111+(638-362.3)+(0+(0-0))+0-33.6-0</f>
        <v>353.09999999999997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111+(628.3-369.1)+(-0.05661+(-0.320433--0.188241))+0-32.5--0.0165749999999967</f>
        <v>337.52777299999991</v>
      </c>
      <c r="G138" s="3">
        <f>111+(514.8-263.5)+(-0.11322+(-0.525096--0.26877))+0-33.3--0.0339660000000053</f>
        <v>328.66441999999995</v>
      </c>
      <c r="H138" s="3">
        <f>110+(380.1-138.4)+(-0.3366+(-1.163106--0.423504))+0-34--0.104040000000004</f>
        <v>316.72783800000002</v>
      </c>
      <c r="I138" s="3">
        <f>111+(290.1-48.9)+(0.11322+(0.295902-0.049878))+0-33.8-0.0344760000000054</f>
        <v>318.72476800000004</v>
      </c>
      <c r="J138" s="3">
        <f>111+(370-131.8)+(-0.05661+(-0.1887--0.067218))+0-33.5--0.0170849999999966</f>
        <v>315.538993</v>
      </c>
      <c r="K138" s="3">
        <f>86+(315.4-72)+(-0.04386+(-0.160854--0.03672))+0-33.4--0.0170339999999966</f>
        <v>295.84904</v>
      </c>
      <c r="L138" s="3">
        <f>50+(251.8-0)+(-0.102+(-0.513672-0))+0-30.4--0.0620159999999987</f>
        <v>270.84634399999999</v>
      </c>
      <c r="M138" s="3">
        <f>52+(235.7-0)+(-0.10608+(-0.480828-0))+0-30.5--0.0622199999999987</f>
        <v>256.67531200000002</v>
      </c>
      <c r="N138" s="3">
        <f>50+(256.5-0)+(0+(0-0))+0-33.5-0</f>
        <v>273</v>
      </c>
      <c r="O138" s="3">
        <f>88+(265.3-37.5)+(0+(0-0))+0-32.9-0</f>
        <v>282.90000000000003</v>
      </c>
      <c r="P138" s="3">
        <f>111+(392.8-175.5)+(-0.11322+(-0.400656--0.17901))+0-32.8--0.0334560000000052</f>
        <v>295.19859000000002</v>
      </c>
      <c r="Q138" s="3">
        <f>111+(428.8-207.4)+(0.11322+(0.437376-0.211548))+0-30.7-0.0313140000000049</f>
        <v>302.00773399999997</v>
      </c>
      <c r="R138" s="3">
        <f>113+(555.1-327)+(-0.11526+(-0.566202--0.33354))+0-32.4--0.0330480000000052</f>
        <v>308.38512600000007</v>
      </c>
      <c r="S138" s="3">
        <f>113+(536.9-318.7)+(0.05763+(0.273819-0.162537))+0-32-0.0163199999999968</f>
        <v>299.35259199999996</v>
      </c>
      <c r="T138" s="3">
        <f>113+(470.2-255.9)+(-0.05763+(-0.239802--0.130509))+0-32--0.0163199999999968</f>
        <v>295.14939699999996</v>
      </c>
      <c r="U138" s="3">
        <f>104+(466.4-249.1)+(-0.05304+(-0.237864--0.127041))+0-31.9--0.0162689999999968</f>
        <v>289.25240600000001</v>
      </c>
      <c r="V138" s="3">
        <f>104+(517.5-304.9)+(0+(0-0))+0-29.6-0</f>
        <v>287</v>
      </c>
      <c r="W138" s="3">
        <f>104+(563.5-367.1)+(-0.21216+(-1.14954--0.748884))+0-23.4--0.047735999999999</f>
        <v>276.43491999999998</v>
      </c>
      <c r="X138" s="3">
        <f>104+(522.5-319.4)+(-0.10608+(-0.53295--0.325788))+0-33--0.0336600000000053</f>
        <v>273.82041800000002</v>
      </c>
      <c r="Y138" s="3">
        <f>104+(437-226.5)+(-0.10608+(-0.44574--0.23103))+0-33.7--0.0343740000000054</f>
        <v>280.51358400000004</v>
      </c>
      <c r="Z138" s="3">
        <f>104+(544.1-302.3)+(-0.10608+(-0.554982--0.308346))+0-34--0.0346800000000054</f>
        <v>311.481964</v>
      </c>
      <c r="AA138" s="3">
        <f>104+(572.5-326.7)+(-0.15912+(-0.875925--0.499851))+0-32.9--0.0503370000000019</f>
        <v>316.41514300000006</v>
      </c>
      <c r="AB138" s="3">
        <f>104+(491.8-245.8)+(-0.10608+(-0.501636--0.250716))+0-32.6--0.0332520000000052</f>
        <v>317.07625199999995</v>
      </c>
      <c r="AC138" s="3">
        <f>104+(453.7-219.8)+(0.05304+(0.231387-0.112098))+0-26.2-0.0133619999999973</f>
        <v>311.85896700000001</v>
      </c>
      <c r="AD138">
        <v>306.7</v>
      </c>
      <c r="AE138" s="3">
        <f>105+(538.9-303.5)+(0+(0-0))+0-33.7-0</f>
        <v>306.7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111+(420.3-193.6)+(0+(0-0))+0-24.7-0</f>
        <v>313.00000000000006</v>
      </c>
      <c r="G139" s="3">
        <f>111+(333-107.1)+(-0.05661+(-0.16983--0.054621))+0-27.6--0.0140759999999972</f>
        <v>309.14225699999992</v>
      </c>
      <c r="H139" s="3">
        <f>111+(270.2-56.1)+(-0.05661+(-0.137802--0.028611))+0-29.2--0.014891999999997</f>
        <v>295.74909100000002</v>
      </c>
      <c r="I139" s="3">
        <f>111+(215.8-6.4)+(-0.11322+(-0.220116--0.006528))+0-25.1--0.025602000000004</f>
        <v>294.99879399999992</v>
      </c>
      <c r="J139" s="3">
        <f>111+(288.8-66)+(-0.16983+(-0.441864--0.10098))+0-33.3--0.0509490000000019</f>
        <v>300.040235</v>
      </c>
      <c r="K139" s="3">
        <f>111+(264.8-50)+(-0.16983+(-0.405144--0.0765))+0-33.3--0.0509490000000019</f>
        <v>292.05247500000002</v>
      </c>
      <c r="L139" s="3">
        <f>91+(234.9-6.3)+(-0.04641+(-0.119799--0.003213))+0-33.5--0.0170849999999966</f>
        <v>285.95408900000001</v>
      </c>
      <c r="M139" s="3">
        <f>52+(345.1-64.4)+(0.05304+(0.352002-0.065688))+0-32.5-0.0331500000000052</f>
        <v>300.50620400000008</v>
      </c>
      <c r="N139" s="3">
        <f>48+(529.1-217.3)+(0.07344+(0.809523-0.332469))+0-34.4-0.052632000000002</f>
        <v>325.89786200000003</v>
      </c>
      <c r="O139" s="3">
        <f>109+(491.2-212)+(0.05559+(0.250512-0.10812))+0-34.5-0.0175949999999965</f>
        <v>353.88038700000004</v>
      </c>
      <c r="P139" s="3">
        <f>112+(565.2-277.9)+(0+(0-0))+0-34.3-0</f>
        <v>365.00000000000006</v>
      </c>
      <c r="Q139" s="3">
        <f>107+(633.4-338.7)+(0.05457+(0.323034-0.172737))+0-32.6-0.0166259999999967</f>
        <v>369.28824099999997</v>
      </c>
      <c r="R139" s="3">
        <f>111+(730.3-435.1)+(0.05661+(0.372453-0.221901))+0-27-0.0137699999999973</f>
        <v>379.39339199999989</v>
      </c>
      <c r="S139" s="3">
        <f>110+(678-353.6)+(-0.0561+(-0.34578--0.180336))+0-32.6--0.0166259999999967</f>
        <v>401.59508199999993</v>
      </c>
      <c r="T139" s="3">
        <f>111+(619.3-296.5)+(0.05661+(0.315843-0.151215))+0-32.4-0.0165239999999967</f>
        <v>401.604714</v>
      </c>
      <c r="U139" s="3">
        <f>110+(646.2-366.3)+(-0.1683+(-0.988686--0.560439))+0-32.4--0.0495720000000019</f>
        <v>356.95302500000008</v>
      </c>
      <c r="V139" s="3">
        <f>111+(722.5-458.9)+(-0.05661+(-0.368475--0.234039))+0-22.6--0.0115259999999977</f>
        <v>351.82048000000003</v>
      </c>
      <c r="W139" s="3">
        <f>113+(769.2-506.6)+(-0.23052+(-1.569168--1.033464))+0-31--0.0632399999999986</f>
        <v>343.89701600000001</v>
      </c>
      <c r="X139" s="3">
        <f>114+(846.7-592.2)+(0+(0-0))+0-32.6-0</f>
        <v>335.9</v>
      </c>
      <c r="Y139" s="3">
        <f>111+(706.4-455.8)+(0.16983+(1.080792-0.697374))+0-32.6-0.0498780000000019</f>
        <v>329.50336999999996</v>
      </c>
      <c r="Z139" s="3">
        <f>111+(725.4-455)+(0.05661+(0.369954-0.23205))+0-30.8-0.0157079999999969</f>
        <v>350.77880599999997</v>
      </c>
      <c r="AA139" s="3">
        <f>110+(756.9-479.4)+(-0.1683+(-1.158057--0.733482))+0-32--0.0489600000000018</f>
        <v>354.95608500000003</v>
      </c>
      <c r="AB139" s="3">
        <f>111+(772.9-496.2)+(0.16983+(1.182537-0.759186))+0-32.7-0.0500310000000019</f>
        <v>355.54315000000003</v>
      </c>
      <c r="AC139" s="3">
        <f>111+(694.7-422.8)+(-0.05661+(-0.354297--0.215628))+0-32.7--0.0166769999999967</f>
        <v>350.02139800000003</v>
      </c>
      <c r="AD139">
        <v>353.6</v>
      </c>
      <c r="AE139" s="3">
        <f>111+(752.2-477.1)+(0+(0-0))+0-32.5-0</f>
        <v>353.6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111+(557.4-291.8)+(0.05661+(0.284274-0.148818))+0-32.9-0.0167789999999967</f>
        <v>343.87528700000001</v>
      </c>
      <c r="G140" s="3">
        <f>111+(452.5-193.7)+(0+(0-0))+0-32.5-0</f>
        <v>337.3</v>
      </c>
      <c r="H140" s="3">
        <f>111+(418.2-163.2)+(0.16983+(0.639846-0.249696))+0-33.2-0.0507960000000019</f>
        <v>333.30918400000002</v>
      </c>
      <c r="I140" s="3">
        <f>62+(426.6-122)+(0+(0-0))+0-33.4-0</f>
        <v>333.20000000000005</v>
      </c>
      <c r="J140" s="3">
        <f>51+(424.1-104.6)+(0.02601+(0.216291-0.053346))+0-33.4-0.0170339999999966</f>
        <v>337.27192100000002</v>
      </c>
      <c r="K140" s="3">
        <f>51+(410.5-100.2)+(-0.02601+(-0.209355--0.051102))+0-33.2--0.0169319999999966</f>
        <v>327.93266900000003</v>
      </c>
      <c r="L140" s="3">
        <f>51+(327.9-26.5)+(-0.18207+(-1.170603--0.094605))+0-33.4--0.119238</f>
        <v>317.86117000000002</v>
      </c>
      <c r="M140" s="3">
        <f>52+(336.7-27.2)+(0.02652+(0.171717-0.013872))+0-32-0.0163199999999968</f>
        <v>329.66804500000001</v>
      </c>
      <c r="N140" s="3">
        <f>48+(423.7-92.1)+(0.04896+(0.432174-0.093942))+0-32.2-0.0328440000000051</f>
        <v>347.75434800000005</v>
      </c>
      <c r="O140" s="3">
        <f>78+(597.2-272.9)+(0.03978+(0.304572-0.139179))+0-31.5-0.0160649999999968</f>
        <v>370.9891080000001</v>
      </c>
      <c r="P140" s="3">
        <f>113+(823.3-509.3)+(0.11526+(0.839766-0.519486))+0-33.1-0.0337620000000053</f>
        <v>394.3017779999999</v>
      </c>
      <c r="Q140" s="3">
        <f>112+(997.7-677.1)+(-0.05712+(-0.508827--0.345321))+0-31.2--0.0159119999999968</f>
        <v>401.19528600000007</v>
      </c>
      <c r="R140" s="3">
        <f>110+(974.3-647)+(0+(0-0))+0-31-0</f>
        <v>406.29999999999995</v>
      </c>
      <c r="S140" s="3">
        <f>110+(938.9-630.3)+(-0.2805+(-2.394195--1.607265))+0-31.7--0.0808349999999954</f>
        <v>385.91340500000001</v>
      </c>
      <c r="T140" s="3">
        <f>110+(893.4-584.8)+(-0.1122+(-0.911268--0.596496))+0-31.7--0.0323340000000051</f>
        <v>386.50536200000005</v>
      </c>
      <c r="U140" s="3">
        <f>110+(888.6-596.1)+(-0.0561+(-0.453186--0.304011))+0-23.4--0.0119339999999976</f>
        <v>378.90665900000005</v>
      </c>
      <c r="V140" s="3">
        <f>105+(892.7-604.5)+(0.16065+(1.365831-0.924885))+0-31.3-0.0478890000000018</f>
        <v>362.45370700000001</v>
      </c>
      <c r="W140" s="3">
        <f>105+(980.4-694)+(-0.05355+(-0.500004--0.35394))+0-27.3--0.0139229999999972</f>
        <v>363.91430899999995</v>
      </c>
      <c r="X140" s="3">
        <f>105+(1073.8-794.8)+(-0.2142+(-2.190552--1.621392))+1.9-22.3--0.045491999999999</f>
        <v>362.86213199999997</v>
      </c>
      <c r="Y140" s="3">
        <f>105+(1000.9-715.6)+(-0.16065+(-1.531377--1.094868))+0-31.6--0.0483480000000018</f>
        <v>358.15118899999993</v>
      </c>
      <c r="Z140" s="3">
        <f>105+(892.8-601.7)+(-0.05355+(-0.455328--0.306867))+0-26.3--0.0134129999999973</f>
        <v>369.61140199999988</v>
      </c>
      <c r="AA140" s="3">
        <f>105+(917-621.8)+(-0.2142+(-1.87068--1.268472))+0-29--0.0591599999999987</f>
        <v>370.44275200000004</v>
      </c>
      <c r="AB140" s="3">
        <f>105+(798.7-515.9)+(-0.1071+(-0.814674--0.526218))+0-28.5--0.0290700000000045</f>
        <v>358.93351400000006</v>
      </c>
      <c r="AC140" s="3">
        <f>105+(799.6-521.6)+(0+(0-0))+0-31.9-0</f>
        <v>351.1</v>
      </c>
      <c r="AD140">
        <v>376.40000000000003</v>
      </c>
      <c r="AE140" s="3">
        <f>105+(912.6-622)+(0+(0-0))+0-19.2-0</f>
        <v>376.40000000000003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110+(713.7-437.1)+(-0.3366+(-2.183922--1.337526))+0-29.8--0.0911880000000034</f>
        <v>355.708192</v>
      </c>
      <c r="G141" s="3">
        <f>104+(610.1-339.8)+(-0.2652+(-1.555755--0.86649))+0-26.2--0.0668099999999962</f>
        <v>347.21234499999997</v>
      </c>
      <c r="H141" s="3">
        <f>55+(615.7-299.5)+(-0.02805+(-0.314007--0.152745))+0-33.6--0.0171359999999966</f>
        <v>337.42782400000004</v>
      </c>
      <c r="I141" s="3">
        <f>55+(624.8-308)+(0.02805+(0.318648-0.15708))+0-33.6-0.0171359999999966</f>
        <v>338.37248199999993</v>
      </c>
      <c r="J141" s="3">
        <f>55+(669.4-349)+(-0.0561+(-0.682788--0.35598))+0-33.6--0.0342720000000054</f>
        <v>341.45136399999996</v>
      </c>
      <c r="K141" s="3">
        <f>55+(583.3-272.2)+(-0.08415+(-0.892449--0.416466))+0-33.4--0.0511020000000019</f>
        <v>332.190969</v>
      </c>
      <c r="L141" s="3">
        <f>48+(526.4-223.1)+(-0.14688+(-1.610784--0.682686))+0-33.2--0.101592000000004</f>
        <v>317.12661399999996</v>
      </c>
      <c r="M141" s="3">
        <f>52+(519.3-203.2)+(-0.05304+(-0.529686--0.207264))+0-32.8--0.0334560000000052</f>
        <v>334.95799399999993</v>
      </c>
      <c r="N141" s="3">
        <f>52+(568.4-223.1)+(0.05304+(0.579768-0.227562))+0-32.9-0.0335580000000052</f>
        <v>364.77168799999993</v>
      </c>
      <c r="O141" s="3">
        <f>108+(828.2-520.3)+(-0.16524+(-1.267146--0.796059))+0-33.5--0.0512550000000019</f>
        <v>381.81492800000012</v>
      </c>
      <c r="P141" s="3">
        <f>107+(940.8-628.8)+(0.05457+(0.479808-0.320688))+0-30-0.015299999999997</f>
        <v>389.19838999999996</v>
      </c>
      <c r="Q141" s="3">
        <f>112+(990.5-667.1)+(0+(0-0))+0-28.8-0</f>
        <v>406.59999999999997</v>
      </c>
      <c r="R141" s="3">
        <f>110.7+(994.1-666.9)+(-0.056457+(-0.506991--0.340119))+0-31.3--0.0159629999999968</f>
        <v>406.39263400000004</v>
      </c>
      <c r="S141" s="3">
        <f>110.8+(987.3-655.4)+(-0.113016+(-1.007046--0.668508))+0-32.5--0.0331500000000052</f>
        <v>409.78159599999998</v>
      </c>
      <c r="T141" s="3">
        <f>111.1+(999.2-695.8)+(0.056661+(0.509592-0.354858))+0-32.1-0.0163709999999967</f>
        <v>382.59502400000008</v>
      </c>
      <c r="U141" s="3">
        <f>110.9+(1014.2-717.1)+(-0.169677+(-1.551726--1.097163))+0-32--0.0489600000000018</f>
        <v>375.42472000000004</v>
      </c>
      <c r="V141" s="3">
        <f>109.8+(974.7-687.6)+(-0.27999+(-2.485485--1.75338))+0-31.1--0.0793049999999955</f>
        <v>364.86721</v>
      </c>
      <c r="W141" s="3">
        <f>110.4+(893.5-624.8)+(-0.225216+(-1.82274--1.274592))+0-31.7--0.0646679999999986</f>
        <v>346.691304</v>
      </c>
      <c r="X141" s="3">
        <f>109.8+(875.1-616.4)+(-0.335988+(-2.677806--1.886184))+0-31.8--0.0973080000000037</f>
        <v>335.66969800000004</v>
      </c>
      <c r="Y141" s="3">
        <f>51.9+(836.2-523.6)+(-0.052938+(-0.852924--0.534072))+0-31.6--0.032232000000005</f>
        <v>332.56044200000002</v>
      </c>
      <c r="Z141" s="3">
        <f>58.1+(894.8-578.5)+(0+(0-0))+0-23.2-0</f>
        <v>351.2</v>
      </c>
      <c r="AA141" s="3">
        <f>109.1+(889.8-611.7)+(-0.389487+(-3.176586--2.183769))+0-31.4--0.112098</f>
        <v>354.52979399999998</v>
      </c>
      <c r="AB141" s="3">
        <f>51.4+(858.8-532.6)+(-0.078642+(-1.313964--0.814878))+0-23.3--0.0356490000000013</f>
        <v>353.7579209999999</v>
      </c>
      <c r="AC141" s="3">
        <f>50.5+(900.5-567.4)+(-0.05151+(-0.91851--0.578748))+0-31.8--0.0324360000000051</f>
        <v>351.44116400000001</v>
      </c>
      <c r="AD141">
        <v>348.30000000000007</v>
      </c>
      <c r="AE141" s="3">
        <f>111+(901-645.3)+(0+(0-0))+0-18.4-0</f>
        <v>348.30000000000007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50.5+(824.5-492.3)+(-0.05151+(-0.84099--0.502146))+0-31.4--0.032028000000005</f>
        <v>350.94167400000003</v>
      </c>
      <c r="G142" s="3">
        <f>50.6+(765.4-445.5)+(-0.025806+(-0.390354--0.227205))+0-31--0.0158099999999969</f>
        <v>339.32685499999997</v>
      </c>
      <c r="H142" s="3">
        <f>50.5+(753.2-443.7)+(0+(0-0))+0-29.7-0</f>
        <v>330.30000000000007</v>
      </c>
      <c r="I142" s="3">
        <f>50.5+(681.4-366.3)+(-0.077265+(-1.042542--0.560439))+0-31.4--0.0480420000000018</f>
        <v>333.68867399999999</v>
      </c>
      <c r="J142" s="3">
        <f>50.5+(673.4-355.8)+(0.077265+(1.030302-0.544374))+0-30.9-0.0472770000000018</f>
        <v>337.71591599999999</v>
      </c>
      <c r="K142" s="3">
        <f>50.5+(619.9-318.4)+(-0.10302+(-1.264596--0.649536))+0-26.5--0.0540599999999988</f>
        <v>324.83598000000001</v>
      </c>
      <c r="L142" s="3">
        <f>50.6+(630.1-334.7)+(-0.077418+(-0.964053--0.512091))+0-30.6--0.0468180000000018</f>
        <v>314.91743800000006</v>
      </c>
      <c r="M142" s="3">
        <f>50.5+(716.2-409.1)+(0.025755+(0.365262-0.208641))+0-29.7-0.015146999999997</f>
        <v>328.067229</v>
      </c>
      <c r="N142" s="3">
        <f>50.5+(837.6-500.1)+(0.025755+(0.427176-0.255051))+0-31.8-0.0162179999999968</f>
        <v>356.38166200000001</v>
      </c>
      <c r="O142" s="3">
        <f>50.4+(928.3-572.4)+(0.051408+(0.946866-0.583848))+0-31.8-0.0324360000000051</f>
        <v>374.88198999999992</v>
      </c>
      <c r="P142" s="3">
        <f>57.6+(1038.4-679)+(0+(0-0))+0-31.8-0</f>
        <v>385.2000000000001</v>
      </c>
      <c r="Q142" s="3">
        <f>111.1+(1061.2-746.2)+(0.113322+(1.082424-0.761124))+0-31.8-0.0324360000000051</f>
        <v>394.70218599999998</v>
      </c>
      <c r="R142" s="3">
        <f>111+(1055.8-733.4)+(0.05661+(0.538458-0.374034))+0-31.8-0.0162179999999968</f>
        <v>401.80481599999996</v>
      </c>
      <c r="S142" s="3">
        <f>110.4+(1058.6-754.5)+(-0.168912+(-1.619658--1.154385))+0-31.7--0.0485010000000018</f>
        <v>382.21431599999988</v>
      </c>
      <c r="T142" s="3">
        <f>110.9+(1055.2-755.3)+(0+(0-0))+0-31.4-0</f>
        <v>379.40000000000009</v>
      </c>
      <c r="U142" s="3">
        <f>110.7+(1112.2-807)+(-0.169371+(-1.701666--1.23471))+0-31.2--0.0477360000000018</f>
        <v>384.11140900000004</v>
      </c>
      <c r="V142" s="3">
        <f>110.3+(1118.5-830.7)+(-0.281265+(-2.852175--2.118285))+0-25.1--0.0640049999999964</f>
        <v>372.04884999999996</v>
      </c>
      <c r="W142" s="3">
        <f>110.6+(1033.1-754.6)+(-0.169218+(-1.580643--1.154538))+0-31--0.0474300000000018</f>
        <v>357.55210699999992</v>
      </c>
      <c r="X142" s="3">
        <f>110.2+(969.9-699.2)+(-0.112404+(-0.989298--0.713184))+0-31.2--0.031824000000005</f>
        <v>349.34330599999998</v>
      </c>
      <c r="Y142" s="3">
        <f>62.5+(861-552.6)+(0.06375+(0.87822-0.563652))+0-26-0.0265200000000041</f>
        <v>345.25179799999995</v>
      </c>
      <c r="Z142" s="3">
        <f>110.2+(900.8-618.2)+(-0.224808+(-1.837632--1.261128))+0-31.2--0.0636479999999986</f>
        <v>360.86233599999991</v>
      </c>
      <c r="AA142" s="3">
        <f>110+(887.2-607.4)+(-0.2805+(-2.26236--1.54887))+0-28.2--0.0719099999999959</f>
        <v>360.67792000000009</v>
      </c>
      <c r="AB142" s="3">
        <f>84.4+(918.7-620.4)+(-0.086088+(-0.937074--0.632808))+0-24.3--0.0247860000000039</f>
        <v>358.03443200000004</v>
      </c>
      <c r="AC142" s="3">
        <f>50.5+(886.6-559)+(-0.05151+(-0.904332--0.57018))+0-24.5--0.0249900000000039</f>
        <v>353.239328</v>
      </c>
      <c r="AD142">
        <v>359.2</v>
      </c>
      <c r="AE142" s="3">
        <f>111+(898-618.5)+(0+(0-0))+0-31.3-0</f>
        <v>359.2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50.6+(791.8-477)+(-0.12903+(-2.01909--1.21635))+0-16--0.0407999999999977</f>
        <v>348.50903</v>
      </c>
      <c r="G143" s="3">
        <f>50.6+(690.2-392.6)+(-0.12903+(-1.76001--1.00113))+0-11.2--0.0285599999999984</f>
        <v>336.14065000000005</v>
      </c>
      <c r="H143" s="3">
        <f>50.5+(693-389.1)+(-0.128775+(-1.76715--0.992205))+0-27.1--0.0691049999999961</f>
        <v>326.46538499999991</v>
      </c>
      <c r="I143" s="3">
        <f>50.4+(622.1-316.8)+(-0.051408+(-0.634542--0.323136))+0-26.8--0.0273360000000043</f>
        <v>328.56452199999995</v>
      </c>
      <c r="J143" s="3">
        <f>50.5+(709.4-397.1)+(-0.077265+(-1.085382--0.607563))+0-30.6--0.0468180000000018</f>
        <v>331.69173399999988</v>
      </c>
      <c r="K143" s="3">
        <f>50.5+(608.2-299.9)+(-0.025755+(-0.310182--0.152949))+0-30.9--0.0157589999999969</f>
        <v>327.73277100000007</v>
      </c>
      <c r="L143" s="3">
        <f>50.5+(543.6-243.4)+(-0.15453+(-1.663416--0.744804))+0-30.7--0.0939420000000036</f>
        <v>319.02080000000007</v>
      </c>
      <c r="M143" s="3">
        <f>50.5+(623.9-316)+(0+(0-0))+0-30.8-0</f>
        <v>327.59999999999997</v>
      </c>
      <c r="N143" s="3">
        <f>50.5+(778.8-435.5)+(0+(0-0))+0-31.1-0</f>
        <v>362.69999999999993</v>
      </c>
      <c r="O143" s="3">
        <f>50.5+(859.4-501.9)+(0+(0-0))+0-31.8-0</f>
        <v>376.2</v>
      </c>
      <c r="P143" s="3">
        <f>50.5+(954.3-576.1)+(-0.025755+(-0.486693--0.293811))+0-31.8--0.0162179999999968</f>
        <v>396.6975809999999</v>
      </c>
      <c r="Q143" s="3">
        <f>103.9+(999.9-685.5)+(0.211956+(2.039796-1.39842))+0-31.6-0.0644639999999986</f>
        <v>387.48886799999997</v>
      </c>
      <c r="R143" s="3">
        <f>110.4+(1001.2-695.3)+(-0.225216+(-2.042448--1.418412))+0-31.7--0.0646679999999986</f>
        <v>383.81541600000008</v>
      </c>
      <c r="S143" s="3">
        <f>109.8+(1028.7-742.5)+(-0.27999+(-2.623185--1.893375))+0-31.5--0.0803249999999954</f>
        <v>363.57052500000009</v>
      </c>
      <c r="T143" s="3">
        <f>110.9+(1041.8-750.2)+(-0.056559+(-0.531318--0.382602))+0-32--0.0163199999999968</f>
        <v>370.31104499999992</v>
      </c>
      <c r="U143" s="3">
        <f>110.8+(1055.9-773.9)+(-0.113016+(-1.077018--0.789378))+0-32.7--0.0333540000000052</f>
        <v>359.73269800000014</v>
      </c>
      <c r="V143" s="3">
        <f>110.8+(1061.2-786.7)+(-0.056508+(-0.541212--0.401217))+0-33.6--0.0171359999999966</f>
        <v>351.52063299999998</v>
      </c>
      <c r="W143" s="3">
        <f>69.3+(1042.2-732.1)+(-0.070686+(-1.063044--0.746742))+0-32.8--0.0334560000000052</f>
        <v>346.24646800000005</v>
      </c>
      <c r="X143" s="3">
        <f>50.5+(982.1-661.1)+(-0.077265+(-1.502613--1.011483))+0-33.5--0.0512550000000019</f>
        <v>337.48286000000002</v>
      </c>
      <c r="Y143" s="3">
        <f>59.2+(808.8-503.6)+(-0.060384+(-0.824976--0.513672))+0-33.4--0.0340680000000053</f>
        <v>330.66237999999993</v>
      </c>
      <c r="Z143" s="3">
        <f>110.3+(889.6-618.8)+(-0.225012+(-1.814784--1.262352))+0-33.4--0.0681359999999985</f>
        <v>346.99069200000008</v>
      </c>
      <c r="AA143" s="3">
        <f>109.5+(852.1-577)+(-0.279225+(-2.172855--1.47135))+0-33.4--0.0851699999999952</f>
        <v>350.30444000000006</v>
      </c>
      <c r="AB143" s="3">
        <f>110.4+(815.1-545.9)+(-0.168912+(-1.247103--0.835227))+0-33.4--0.0511020000000019</f>
        <v>345.67031400000008</v>
      </c>
      <c r="AC143" s="3">
        <f>110.8+(700.3-442.9)+(-0.113016+(-0.714306--0.451758))+0-33.4--0.0340680000000053</f>
        <v>334.458504</v>
      </c>
      <c r="AD143">
        <v>356.09999999999997</v>
      </c>
      <c r="AE143" s="3">
        <f>111+(861.1-582.7)+(0+(0-0))+0-33.3-0</f>
        <v>356.09999999999997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103+(801.7-525.7)+(-0.26265+(-2.044335--1.340535))+0-33--0.0841499999999952</f>
        <v>345.11770000000001</v>
      </c>
      <c r="G144" s="3">
        <f>50.6+(818.9-511.4)+(-0.051612+(-0.835278--0.521628))+0-33--0.0336600000000053</f>
        <v>324.76839800000005</v>
      </c>
      <c r="H144" s="3">
        <f>50.6+(766.6-460.9)+(-0.025806+(-0.390966--0.235059))+0-33--0.0168299999999967</f>
        <v>323.13511700000004</v>
      </c>
      <c r="I144" s="3">
        <f>50.5+(686.7-379.4)+(0+(0-0))+0-33-0</f>
        <v>324.80000000000007</v>
      </c>
      <c r="J144" s="3">
        <f>50.5+(662.1-353.5)+(0.077265+(1.013013-0.540855))+0-33-0.0504900000000019</f>
        <v>326.59893299999999</v>
      </c>
      <c r="K144" s="3">
        <f>50.6+(663.9-363.5)+(-0.180642+(-2.370123--1.297695))+0-32--0.11424</f>
        <v>317.86117000000002</v>
      </c>
      <c r="L144" s="3">
        <f>50.6+(664-375)+(-0.154836+(-2.03184--1.1475))+0-32--0.0979200000000037</f>
        <v>306.65874400000001</v>
      </c>
      <c r="M144" s="3">
        <f>50.5+(729.3-436.9)+(-0.025755+(-0.371943--0.222819))+0-32--0.0163199999999968</f>
        <v>310.74144100000001</v>
      </c>
      <c r="N144" s="3">
        <f>50.5+(907.4-581.3)+(0.077265+(1.388322-0.889389))+0-32-0.0489600000000018</f>
        <v>345.12723799999998</v>
      </c>
      <c r="O144" s="3">
        <f>61.8+(972.5-642.4)+(-0.063036+(-0.99195--0.655248))+0-32--0.0326400000000051</f>
        <v>359.53290200000004</v>
      </c>
      <c r="P144" s="3">
        <f>111.2+(1016.4-730.4)+(0.056712+(0.518364-0.372504))+0-32-0.0163199999999968</f>
        <v>365.38625199999996</v>
      </c>
      <c r="Q144" s="3">
        <f>110.8+(1023.8-753.7)+(-0.113016+(-1.044276--0.768774))+0-32--0.0326400000000051</f>
        <v>348.54412199999996</v>
      </c>
      <c r="R144" s="3">
        <f>110.9+(1020.2-756.9)+(-0.056559+(-0.520302--0.386019))+0-32--0.0163199999999968</f>
        <v>342.02547800000008</v>
      </c>
      <c r="S144" s="3">
        <f>110.4+(972.9-736.7)+(-0.112608+(-0.992358--0.751434))+0-32--0.0326400000000051</f>
        <v>314.27910799999995</v>
      </c>
      <c r="T144" s="3">
        <f>111+(922.1-693.2)+(0.05661+(0.470271-0.353532))+0-32-0.0163199999999968</f>
        <v>308.05702899999994</v>
      </c>
      <c r="U144" s="3">
        <f>110.2+(881.9-658.6)+(-0.112404+(-0.899538--0.671772))+0-32--0.0326400000000051</f>
        <v>301.19246999999996</v>
      </c>
      <c r="V144" s="3">
        <f>110.6+(849.5-634.6)+(0+(0-0))+0-32-0</f>
        <v>293.5</v>
      </c>
      <c r="W144" s="3">
        <f>110.8+(849.7-635)+(-0.056508+(-0.433347--0.32385))+0-32--0.0163199999999968</f>
        <v>293.35031500000008</v>
      </c>
      <c r="X144" s="3">
        <f>91+(881.3-652)+(-0.32487+(-3.146241--2.32764))+0-32--0.11424</f>
        <v>287.27076899999997</v>
      </c>
      <c r="Y144" s="3">
        <f>50.5+(785.9-518.9)+(-0.05151+(-0.801618--0.529278))+0-32--0.0326400000000051</f>
        <v>285.20879000000002</v>
      </c>
      <c r="Z144" s="3">
        <f>102.4+(886.7-649.8)+(-0.313344+(-2.713302--1.988388))+0-32--0.0979200000000037</f>
        <v>306.35966200000007</v>
      </c>
      <c r="AA144" s="3">
        <f>80.2+(900.7-639.4)+(-0.040902+(-0.459357--0.326094))+0-32--0.0163199999999968</f>
        <v>309.34215500000005</v>
      </c>
      <c r="AB144" s="3">
        <f>50.5+(877.3-591.8)+(0+(0-0))+0-32-0</f>
        <v>304</v>
      </c>
      <c r="AC144" s="3">
        <f>50.5+(814.4-532.8)+(0+(0-0))+0-32-0</f>
        <v>300.10000000000002</v>
      </c>
      <c r="AD144">
        <v>338.6</v>
      </c>
      <c r="AE144" s="3">
        <f>116+(901.6-669)+(0+(0-0))+0-10-0</f>
        <v>338.6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50.5+(784.9-500.6)+(0.025755+(0.400299-0.255306))+0-33-0.0168299999999967</f>
        <v>301.95391799999999</v>
      </c>
      <c r="G145" s="3">
        <f>50.5+(662.5-384.7)+(-0.025755+(-0.337875--0.196197))+0-33--0.0168299999999967</f>
        <v>295.14939699999996</v>
      </c>
      <c r="H145" s="3">
        <f>19.4+(669.5-362)+(0.009894+(0.341445-0.18462))+0-33-0.0168299999999967</f>
        <v>294.04988900000001</v>
      </c>
      <c r="I145" s="3">
        <f>0+(591.7-268.6)+(0+(-0.301767--0.136986))+0-33--0.0168299999999967</f>
        <v>289.95204899999999</v>
      </c>
      <c r="J145" s="3">
        <f>0+(679.8-362.2)+(0+(0.693396-0.369444))+0-33-0.0336600000000053</f>
        <v>284.89029199999999</v>
      </c>
      <c r="K145" s="3">
        <f>0+(754.4-447.7)+(0+(-1.92372--1.141635))+0-33--0.0841499999999952</f>
        <v>273.00206500000002</v>
      </c>
      <c r="L145" s="3">
        <f>0+(676.1-386.8)+(0+(-0.689622--0.394536))+0-31--0.0316200000000049</f>
        <v>258.03653400000002</v>
      </c>
      <c r="M145" s="3">
        <f>0+(624-337.3)+(0+(0.31824-0.172023))+0-28-0.0142799999999972</f>
        <v>258.83193699999998</v>
      </c>
      <c r="N145" s="3">
        <f>0+(635.8-335.7)+(0+(-0.324258--0.171207))+0-25--0.0127499999999975</f>
        <v>274.95969899999994</v>
      </c>
      <c r="O145" s="3">
        <f>0+(519.1-218.3)+(0+(0.264741-0.111333))+0-27.5-0.0140249999999972</f>
        <v>273.43938300000002</v>
      </c>
      <c r="P145" s="3">
        <f>0+(631.7-320.1)+(0+(1.288668-0.653004))+0-29.3-0.0597719999999987</f>
        <v>282.87589200000002</v>
      </c>
      <c r="Q145" s="3">
        <f>0+(757.9-451.5)+(0+(1.159587-0.690795))+0-19.5-0.0298350000000011</f>
        <v>287.33895699999999</v>
      </c>
      <c r="R145" s="3">
        <f>0+(841.7-535.9)+(0+(-0.858534--0.546618))+0-16.4--0.0167280000000026</f>
        <v>289.10481200000009</v>
      </c>
      <c r="S145" s="3">
        <f>0+(876-574.4)+(0+(-0.44676--0.292944))+0-16.4--0.00836399999999834</f>
        <v>285.05454800000001</v>
      </c>
      <c r="T145" s="3">
        <f>0+(866.8-567.4)+(0+(0.884136-0.578748))+0-16.4-0.0167280000000026</f>
        <v>283.28865999999999</v>
      </c>
      <c r="U145" s="3">
        <f>0+(809.2-513.5)+(0+(-0.825384--0.52377))+0-17.5--0.0178500000000028</f>
        <v>277.91623600000008</v>
      </c>
      <c r="V145" s="3">
        <f>0+(823.1-518.1)+(0+(-0.839562--0.528462))+0-26.9--0.0274380000000043</f>
        <v>277.81633800000003</v>
      </c>
      <c r="W145" s="3">
        <f>0+(846.7-536.7)+(0+(-0.863634--0.547434))+0-27.4--0.0279480000000044</f>
        <v>282.31174800000002</v>
      </c>
      <c r="X145" s="3">
        <f>0+(770.8-462.8)+(0+(-1.96554--1.18014))+0-27.1--0.0691049999999961</f>
        <v>280.18370499999992</v>
      </c>
      <c r="Y145" s="3">
        <f>0+(675-358.1)+(0+(0-0))+0-27-0</f>
        <v>289.89999999999998</v>
      </c>
      <c r="Z145" s="3">
        <f>6.7+(726.9-395.1)+(0.003417+(0.370719-0.201501))+0-26.5-0.0135149999999973</f>
        <v>312.15911999999997</v>
      </c>
      <c r="AA145" s="3">
        <f>116.3+(778.9-551.5)+(-0.237252+(-1.588956--1.12506))+0-26.9--0.0548759999999988</f>
        <v>316.153728</v>
      </c>
      <c r="AB145" s="3">
        <f>117.8+(778.9-565.1)+(-0.180234+(-1.191717--0.864603))+0-28--0.0428400000000016</f>
        <v>303.135492</v>
      </c>
      <c r="AC145" s="3">
        <f>118.7+(778.7-561.5)+(0.121074+(0.794274-0.57273))+0-22.2-0.0226440000000035</f>
        <v>314.01997400000005</v>
      </c>
      <c r="AD145">
        <v>309.99999999999994</v>
      </c>
      <c r="AE145" s="3">
        <f>117+(757.8-536.5)+(0+(0-0))+0-28.3-0</f>
        <v>309.99999999999994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117.6+(720.4-493.9)+(0.059976+(0.367404-0.251889))+0-27.7-0.0141269999999972</f>
        <v>316.56136400000008</v>
      </c>
      <c r="G146" s="3">
        <f>100.5+(563.5-327.5)+(-0.10251+(-0.57477--0.33405))+0-28.2--0.0287640000000045</f>
        <v>307.98553400000003</v>
      </c>
      <c r="H146" s="3">
        <f>100.7+(376.7-156.7)+(-0.102714+(-0.384234--0.159834))+0-24.7--0.0251940000000039</f>
        <v>295.69808</v>
      </c>
      <c r="I146" s="3">
        <f>101.1+(346.2-129.1)+(0.051561+(0.176562-0.065841))+0-27.3-0.0139229999999972</f>
        <v>291.048359</v>
      </c>
      <c r="J146" s="3">
        <f>101+(455.8-229.8)+(-0.05151+(-0.232458--0.117198))+0-28.1--0.0143309999999971</f>
        <v>298.74756099999996</v>
      </c>
      <c r="K146" s="3">
        <f>58+(489.4-225.4)+(-0.1479+(-1.24797--0.57477))+0-28--0.0713999999999959</f>
        <v>293.25029999999998</v>
      </c>
      <c r="L146" s="3">
        <f>50.3+(553.5-286.7)+(-0.051306+(-0.56457--0.292434))+0-27.9--0.0284580000000044</f>
        <v>288.90501600000005</v>
      </c>
      <c r="M146" s="3">
        <f>50.5+(541.6-258.9)+(0.05151+(0.552432-0.264078))+0-24.8-0.025296000000004</f>
        <v>308.71456799999999</v>
      </c>
      <c r="N146" s="3">
        <f>55.8+(567.1-255.1)+(0.14229+(1.446105-0.650505))+0-28.2-0.0719099999999959</f>
        <v>340.46598</v>
      </c>
      <c r="O146" s="3">
        <f>111.3+(547.7-281.1)+(0.056763+(0.279327-0.143361))+0-26.5-0.0135149999999973</f>
        <v>351.57921400000004</v>
      </c>
      <c r="P146" s="3">
        <f>111.3+(660.3-391.3)+(0.056763+(0.336753-0.199563))+0-28.1-0.0143309999999971</f>
        <v>352.37962199999998</v>
      </c>
      <c r="Q146" s="3">
        <f>111.2+(841.5-529.2)+(0+(0-0))+0-28.2-0</f>
        <v>395.29999999999995</v>
      </c>
      <c r="R146" s="3">
        <f>111.5+(880.5-591.7)+(0.170595+(1.347165-0.905301))+0-28.3-0.0432990000000016</f>
        <v>372.56915999999995</v>
      </c>
      <c r="S146" s="3">
        <f>110.7+(874.6-601.9)+(-0.056457+(-0.446046--0.306969))+0-28.2--0.0143819999999971</f>
        <v>355.01884800000005</v>
      </c>
      <c r="T146" s="3">
        <f>111+(845.3-567.2)+(0+(0-0))+0-27.9-0</f>
        <v>361.19999999999993</v>
      </c>
      <c r="U146" s="3">
        <f>110.3+(818.6-545.6)+(-0.225012+(-1.669944--1.113024))+0-27.6--0.0563039999999988</f>
        <v>354.97437200000002</v>
      </c>
      <c r="V146" s="3">
        <f>110.5+(856.1-593.3)+(-0.11271+(-0.873222--0.605166))+0-27.6--0.0281520000000044</f>
        <v>345.34738600000003</v>
      </c>
      <c r="W146" s="3">
        <f>110+(875.5-628.4)+(-0.2805+(-2.232525--1.60242))+0-27.4--0.069869999999996</f>
        <v>328.85926500000005</v>
      </c>
      <c r="X146" s="3">
        <f>108.4+(751.9-524.1)+(-0.442272+(-3.067752--2.138328))+0-27.5--0.112199999999998</f>
        <v>307.44050399999992</v>
      </c>
      <c r="Y146" s="3">
        <f>111+(600.8-374.6)+(-0.05661+(-0.306408--0.191046))+0-27.4--0.0139739999999972</f>
        <v>309.64200199999999</v>
      </c>
      <c r="Z146" s="3">
        <f>111.3+(694-449.7)+(0.113526+(0.70788-0.458694))+0-27.4-0.0279480000000044</f>
        <v>328.53476400000005</v>
      </c>
      <c r="AA146" s="3">
        <f>110.3+(728.5-484.3)+(-0.112506+(-0.74307--0.493986))+0-22.7--0.0231540000000036</f>
        <v>331.46156400000001</v>
      </c>
      <c r="AB146" s="3">
        <f>110.6+(717.9-478.7)+(-0.112812+(-0.732258--0.488274))+0-19.5--0.0198900000000031</f>
        <v>329.96309399999996</v>
      </c>
      <c r="AC146" s="3">
        <f>110.7+(733.3-492.5)+(-0.112914+(-0.747966--0.50235))+0-21.9--0.0223380000000035</f>
        <v>329.26380799999998</v>
      </c>
      <c r="AD146">
        <v>329.80000000000007</v>
      </c>
      <c r="AE146" s="3">
        <f>111+(745.2-499.2)+(0+(0-0))+0-27.2-0</f>
        <v>329.80000000000007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89.7+(670-388.4)+(-0.045747+(-0.3417--0.198084))+0-30.8--0.0157079999999969</f>
        <v>340.326345</v>
      </c>
      <c r="G147" s="3">
        <f>50.5+(568.7-255.5)+(-0.077265+(-0.870111--0.390915))+0-33.3--0.0509490000000019</f>
        <v>329.89448800000002</v>
      </c>
      <c r="H147" s="3">
        <f>50.5+(431-128.7)+(0.025755+(0.21981-0.065637))+0-33.2-0.0169319999999966</f>
        <v>319.76299600000004</v>
      </c>
      <c r="I147" s="3">
        <f>50.6+(291.8-0)+(-0.051612+(-0.297636-0))+0-33.2--0.0338640000000053</f>
        <v>308.88461600000005</v>
      </c>
      <c r="J147" s="3">
        <f>50.6+(295.8-0)+(-0.103224+(-0.603432-0))+0-33.3--0.0679319999999985</f>
        <v>312.461276</v>
      </c>
      <c r="K147" s="3">
        <f>50.6+(317.6-12.8)+(-0.103224+(-0.647904--0.026112))+0-33.2--0.0677279999999986</f>
        <v>321.54271200000005</v>
      </c>
      <c r="L147" s="3">
        <f>50.6+(321.9-28.4)+(-0.077418+(-0.492507--0.043452))+0-33.1--0.0506430000000019</f>
        <v>310.52416999999997</v>
      </c>
      <c r="M147" s="3">
        <f>50.6+(325.6-23.7)+(0.025806+(0.166056-0.012087))+0-33.6-0.0171359999999966</f>
        <v>319.06263900000005</v>
      </c>
      <c r="N147" s="3">
        <f>62.6+(523.5-212.6)+(0+(0-0))+0-35.6-0</f>
        <v>337.9</v>
      </c>
      <c r="O147" s="3">
        <f>111.2+(496.6-215)+(0.113424+(0.506532-0.2193))+0-35.2-0.0359040000000056</f>
        <v>357.96475200000003</v>
      </c>
      <c r="P147" s="3">
        <f>111.5+(695-402)+(0.170595+(1.06335-0.61506))+0-35.2-0.053856000000002</f>
        <v>369.86502899999999</v>
      </c>
      <c r="Q147" s="3">
        <f>111.2+(842.5-546.5)+(0.113424+(0.85935-0.55743))+0-26.1-0.0266220000000042</f>
        <v>381.48872199999994</v>
      </c>
      <c r="R147" s="3">
        <f>112.3+(801.4-502.8)+(0.229092+(1.634856-1.025712))+0-27-0.0550799999999988</f>
        <v>384.683156</v>
      </c>
      <c r="S147" s="3">
        <f>113.7+(783.4-508.2)+(0+(0-0))+0-33.6-0</f>
        <v>355.29999999999995</v>
      </c>
      <c r="T147" s="3">
        <f>113.6+(774.4-493.7)+(-0.115872+(-0.789888--0.503574))+0-33.5--0.0341700000000053</f>
        <v>360.431984</v>
      </c>
      <c r="U147" s="3">
        <f>113.1+(769.2-497.1)+(0.057681+(0.392292-0.253521))+0-32.5-0.0165749999999967</f>
        <v>352.87987700000008</v>
      </c>
      <c r="V147" s="3">
        <f>113.1+(797.4-532.6)+(-0.057681+(-0.406674--0.271626))+0-32.7--0.0166769999999967</f>
        <v>345.02394800000002</v>
      </c>
      <c r="W147" s="3">
        <f>113.1+(882.8-621.3)+(-0.115362+(-0.900456--0.633726))+0-32.9--0.0335580000000052</f>
        <v>341.35146600000007</v>
      </c>
      <c r="X147" s="3">
        <f>111.8+(889.5-630.1)+(-0.342108+(-2.72187--1.928106))+0-32.3--0.0988380000000037</f>
        <v>337.86296599999997</v>
      </c>
      <c r="Y147" s="3">
        <f>100.8+(666.2-397.8)+(0+(0-0))+0-32.7-0</f>
        <v>336.50000000000006</v>
      </c>
      <c r="Z147" s="3">
        <f>102.5+(842.7-557.3)+(-0.10455+(-0.859554--0.568446))+0-33.1--0.0337620000000053</f>
        <v>354.43810400000007</v>
      </c>
      <c r="AA147" s="3">
        <f>109.7+(876.2-596.1)+(-0.279735+(-2.23431--1.520055))+0-33.6--0.0856799999999951</f>
        <v>355.29168999999996</v>
      </c>
      <c r="AB147" s="3">
        <f>110.9+(837.2-558.3)+(0.056559+(0.426972-0.284733))+0-33.6-0.0171359999999966</f>
        <v>356.38166200000006</v>
      </c>
      <c r="AC147" s="3">
        <f>110.3+(809.6-541.2)+(-0.225012+(-1.651584--1.104048))+0-29.9--0.0609959999999987</f>
        <v>348.08844800000003</v>
      </c>
      <c r="AD147">
        <v>364.20000000000005</v>
      </c>
      <c r="AE147" s="3">
        <f>110+(857.4-570.8)+(0+(0-0))+0-32.4-0</f>
        <v>364.20000000000005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110.7+(768.6-500.5)+(-0.169371+(-1.175958--0.765765))+0-33.8--0.0517140000000019</f>
        <v>344.47215</v>
      </c>
      <c r="G148" s="3">
        <f>109.8+(601.1-342.1)+(-0.223992+(-1.226244--0.697884))+0-33.6--0.0685439999999985</f>
        <v>334.51619199999999</v>
      </c>
      <c r="H148" s="3">
        <f>110.5+(420.4-173.5)+(-0.169065+(-0.643212--0.265455))+0-33.5--0.0512550000000019</f>
        <v>323.40443299999998</v>
      </c>
      <c r="I148" s="3">
        <f>111+(326.3-85.4)+(-0.05661+(-0.166413--0.043554))+0-33.5--0.0170849999999966</f>
        <v>318.237616</v>
      </c>
      <c r="J148" s="3">
        <f>110.6+(351.4-105.1)+(-0.225624+(-0.716856--0.214404))+0-33.7--0.0687479999999985</f>
        <v>322.54067199999997</v>
      </c>
      <c r="K148" s="3">
        <f>110.3+(372-134.4)+(-0.225012+(-0.75888--0.274176))+0-33.6--0.0685439999999985</f>
        <v>313.65882799999991</v>
      </c>
      <c r="L148" s="3">
        <f>58+(367.1-87)+(-0.17748+(-1.123326--0.26622))+0-33.7--0.103122000000004</f>
        <v>303.46853600000003</v>
      </c>
      <c r="M148" s="3">
        <f>50.5+(313.1-14)+(-0.05151+(-0.319362--0.01428))+0-33.8--0.0344760000000054</f>
        <v>315.47788400000002</v>
      </c>
      <c r="N148" s="3">
        <f>50.4+(414-72)+(0.102816+(0.84456-0.14688))+0-32.3-0.0658919999999986</f>
        <v>360.83460399999996</v>
      </c>
      <c r="O148" s="3">
        <f>67+(696-365)+(0+(0-0))+0-32.3-0</f>
        <v>365.7</v>
      </c>
      <c r="P148" s="3">
        <f>81.6+(851.4-517.8)+(-0.083232+(-0.868428--0.528156))+0-34.4--0.0350880000000055</f>
        <v>380.41158400000012</v>
      </c>
      <c r="Q148" s="3">
        <f>111+(933.5-615.5)+(0+(0-0))+0-36.3-0</f>
        <v>392.7</v>
      </c>
      <c r="R148" s="3">
        <f>111.1+(882.4-568.6)+(0.056661+(0.450024-0.289986))+0-33.9-0.0172889999999966</f>
        <v>391.19941</v>
      </c>
      <c r="S148" s="3">
        <f>110.5+(805.8-519.5)+(-0.11271+(-0.821916--0.52989))+0-33.8--0.0344760000000054</f>
        <v>362.62973999999991</v>
      </c>
      <c r="T148" s="3">
        <f>110.4+(739.2-453.9)+(-0.168912+(-1.130976--0.694467))+0-33.3--0.0509490000000019</f>
        <v>361.84552800000006</v>
      </c>
      <c r="U148" s="3">
        <f>110.6+(730.5-468.1)+(-0.225624+(-1.49022--0.954924))+0-33.3--0.0679319999999985</f>
        <v>339.00701199999997</v>
      </c>
      <c r="V148" s="3">
        <f>110.4+(749.7-480.3)+(-0.225216+(-1.529388--0.979812))+0-33.3--0.0679319999999985</f>
        <v>345.79314000000005</v>
      </c>
      <c r="W148" s="3">
        <f>110.8+(803.6-536.1)+(-0.056508+(-0.409836--0.273411))+0-33.3--0.0169829999999966</f>
        <v>344.82405</v>
      </c>
      <c r="X148" s="3">
        <f>97.9+(805.6-530.2)+(-0.099858+(-0.821712--0.540804))+0-33.3--0.0339660000000053</f>
        <v>339.65319999999997</v>
      </c>
      <c r="Y148" s="3">
        <f>50.5+(698.1-376.8)+(0.05151+(0.712062-0.384336))+0-33.2-0.0338640000000053</f>
        <v>338.94537200000002</v>
      </c>
      <c r="Z148" s="3">
        <f>99.5+(770.8-491.4)+(0+(0-0))+0-30-0</f>
        <v>348.9</v>
      </c>
      <c r="AA148" s="3">
        <f>106.6+(806.1-531.1)+(-0.108732+(-0.822222--0.541722))+0-28.6--0.0291720000000046</f>
        <v>352.63994000000002</v>
      </c>
      <c r="AB148" s="3">
        <f>108.4+(821.7-549.2)+(-0.221136+(-1.676268--1.120368))+0-28.6--0.0583439999999988</f>
        <v>351.58130799999992</v>
      </c>
      <c r="AC148" s="3">
        <f>108.8+(814.7-550.2)+(-0.110976+(-0.830994--0.561204))+0-28.8--0.0293760000000046</f>
        <v>344.14861000000002</v>
      </c>
      <c r="AD148">
        <v>355.7</v>
      </c>
      <c r="AE148" s="3">
        <f>105+(811.1-532.6)+(0+(0-0))+0-27.8-0</f>
        <v>355.7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108.8+(732-472.9)+(-0.110976+(-0.74664--0.482358))+0-30.6--0.0312120000000049</f>
        <v>336.95595400000002</v>
      </c>
      <c r="G149" s="3">
        <f>112.3+(556-312.2)+(-0.171819+(-0.85068--0.477666))+0-32.1--0.0491130000000019</f>
        <v>323.50427999999999</v>
      </c>
      <c r="H149" s="3">
        <f>112.2+(416.7-184.1)+(-0.228888+(-0.850068--0.375564))+0-32.1--0.0654839999999986</f>
        <v>312.06209200000001</v>
      </c>
      <c r="I149" s="3">
        <f>112.6+(232.4-2.7)+(-0.114852+(-0.237048--0.002754))+0-32.1--0.0327420000000051</f>
        <v>309.88359599999995</v>
      </c>
      <c r="J149" s="3">
        <f>112.6+(236.1-0)+(0+(0-0))+0-32.3-0</f>
        <v>316.39999999999998</v>
      </c>
      <c r="K149" s="3">
        <f>57.5+(324.5-36.9)+(-0.146625+(-0.827475--0.094095))+0-33.4--0.0851699999999952</f>
        <v>310.90516500000007</v>
      </c>
      <c r="L149" s="3">
        <f>50.5+(336.5-50.2)+(-0.05151+(-0.34323--0.051204))+0-33.5--0.0341700000000053</f>
        <v>302.99063400000006</v>
      </c>
      <c r="M149" s="3">
        <f>50.5+(360.7-65.2)+(0.05151+(0.367914-0.066504))+0-33.6-0.0342720000000054</f>
        <v>312.71864799999997</v>
      </c>
      <c r="N149" s="3">
        <f>50.5+(455.1-131.5)+(0.025755+(0.232101-0.067065))+0-34.6-0.0176459999999965</f>
        <v>339.67314499999998</v>
      </c>
      <c r="O149" s="3">
        <f>67.4+(617-287.3)+(0.068748+(0.62934-0.293046))+0-35.2-0.0359040000000056</f>
        <v>362.269138</v>
      </c>
      <c r="P149" s="3">
        <f>110.7+(750.2-447.6)+(-0.112914+(-0.765204--0.456552))+0-35.6--0.0363120000000057</f>
        <v>377.31474600000001</v>
      </c>
      <c r="Q149" s="3">
        <f>111.2+(750.7-439.4)+(0.056712+(0.382857-0.224094))+0-35.4-0.0180539999999964</f>
        <v>387.2974210000001</v>
      </c>
      <c r="R149" s="3">
        <f>110.6+(662.2-356.1)+(-0.112812+(-0.675444--0.363222))+0-33.7--0.0343740000000054</f>
        <v>382.60934000000009</v>
      </c>
      <c r="S149" s="3">
        <f>110.6+(619.7-344.8)+(-0.112812+(-0.632094--0.351696))+0-33.4--0.0340680000000053</f>
        <v>351.740858</v>
      </c>
      <c r="T149" s="3">
        <f>111+(570.3-291.5)+(0.05661+(0.290853-0.148665))+0-33.7-0.0171869999999966</f>
        <v>356.281611</v>
      </c>
      <c r="U149" s="3">
        <f>110.8+(575.6-304.8)+(0+(0-0))+0-33.1-0</f>
        <v>348.5</v>
      </c>
      <c r="V149" s="3">
        <f>110.6+(626.5-358.9)+(-0.112812+(-0.63903--0.366078))+0-33.8--0.0344760000000054</f>
        <v>344.04871200000002</v>
      </c>
      <c r="W149" s="3">
        <f>110.8+(756.3-488.7)+(-0.113016+(-0.771426--0.498474))+0-30.4--0.0310080000000048</f>
        <v>347.64503999999999</v>
      </c>
      <c r="X149" s="3">
        <f>71.6+(734.3-432.7)+(-0.109548+(-1.123479--0.662031))+0-33.4--0.0511020000000019</f>
        <v>339.28010599999999</v>
      </c>
      <c r="Y149" s="3">
        <f>76.1+(644.3-348.5)+(-0.077622+(-0.657186--0.35547))+0-33.8--0.0344760000000054</f>
        <v>337.75513799999993</v>
      </c>
      <c r="Z149" s="3">
        <f>110.8+(744.8-469.5)+(-0.056508+(-0.379848--0.239445))+0-29.5--0.015044999999997</f>
        <v>356.41813399999995</v>
      </c>
      <c r="AA149" s="3">
        <f>110+(760.3-481.6)+(-0.2805+(-1.938765--1.22808))+0-33.8--0.0861899999999951</f>
        <v>353.99500499999994</v>
      </c>
      <c r="AB149" s="3">
        <f>110.8+(752.3-475.6)+(-0.113016+(-0.767346--0.485112))+0-34.1--0.0347820000000054</f>
        <v>353.03953199999995</v>
      </c>
      <c r="AC149" s="3">
        <f>111+(655.9-386.7)+(0+(0-0))+0-33.9-0</f>
        <v>346.3</v>
      </c>
      <c r="AD149">
        <v>350.8</v>
      </c>
      <c r="AE149" s="3">
        <f>110+(732.1-463.2)+(0+(0-0))+0-28.1-0</f>
        <v>350.8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110.4+(654.8-381.5)+(-0.28152+(-1.66974--0.972825))+0-33.8--0.0861899999999951</f>
        <v>349.00775499999992</v>
      </c>
      <c r="G150" s="3">
        <f>110.1+(599.8-344)+(-0.224604+(-1.223592--0.70176))+0-33.8--0.0689519999999985</f>
        <v>331.42251599999997</v>
      </c>
      <c r="H150" s="3">
        <f>109.9+(371.5-123.9)+(-0.168147+(-0.568395--0.189567))+0-33.7--0.051561000000002</f>
        <v>323.30458600000003</v>
      </c>
      <c r="I150" s="3">
        <f>56.2+(303-4.4)+(-0.028662+(-0.15453--0.002244))+0-32.8--0.0167279999999967</f>
        <v>321.83578</v>
      </c>
      <c r="J150" s="3">
        <f>50.5+(321.7-13.5)+(0+(0-0))+0-33.3-0</f>
        <v>325.39999999999998</v>
      </c>
      <c r="K150" s="3">
        <f>50.5+(370-75.5)+(-0.15453+(-1.1322--0.23103))+0-31.8--0.0973080000000037</f>
        <v>312.24160799999999</v>
      </c>
      <c r="L150" s="3">
        <f>50.5+(420.6-133)+(-0.05151+(-0.429012--0.13566))+0-33.2--0.0338640000000053</f>
        <v>304.58900200000005</v>
      </c>
      <c r="M150" s="3">
        <f>50.5+(504.6-205.2)+(0.077265+(0.772038-0.313956))+0-33.8-0.0517140000000019</f>
        <v>316.58363300000002</v>
      </c>
      <c r="N150" s="3">
        <f>50.5+(570-243.9)+(0.025755+(0.2907-0.124389))+0-33.5-0.0170849999999966</f>
        <v>343.27498100000003</v>
      </c>
      <c r="O150" s="3">
        <f>59.8+(784.9-452.6)+(-0.030498+(-0.400299--0.230826))+0-29--0.0147899999999971</f>
        <v>362.91481899999997</v>
      </c>
      <c r="P150" s="3">
        <f>110.6+(882.7-581.6)+(-0.056406+(-0.450177--0.296616))+0-35.6--0.0181559999999964</f>
        <v>375.90818899999999</v>
      </c>
      <c r="Q150" s="3">
        <f>110.9+(833.8-528.7)+(-0.113118+(-0.850476--0.539274))+0-35.2--0.0359040000000056</f>
        <v>380.41158399999989</v>
      </c>
      <c r="R150" s="3">
        <f>111+(825.5-524.1)+(0.05661+(0.421005-0.267291))+0-32.3-0.0164729999999967</f>
        <v>380.29385099999996</v>
      </c>
      <c r="S150" s="3">
        <f>110.3+(747.2-467.7)+(-0.168759+(-1.143216--0.715581))+0-33.4--0.0511020000000019</f>
        <v>355.85470800000013</v>
      </c>
      <c r="T150" s="3">
        <f>110.8+(702.4-422.6)+(0+(0-0))+0-33.3-0</f>
        <v>357.29999999999995</v>
      </c>
      <c r="U150" s="3">
        <f>107.4+(709.9-434.7)+(0.109548+(0.724098-0.443394))+0-32.7-0.0333540000000052</f>
        <v>350.25689799999998</v>
      </c>
      <c r="V150" s="3">
        <f>105.8+(762.7-494.8)+(0+(0-0))+0-33.7-0</f>
        <v>340.00000000000006</v>
      </c>
      <c r="W150" s="3">
        <f>103.8+(798.7-534.9)+(-0.158814+(-1.222011--0.818397))+0-33.7--0.051561000000002</f>
        <v>333.38913300000007</v>
      </c>
      <c r="X150" s="3">
        <f>50.6+(849.7-541.4)+(-0.103224+(-1.733388--1.104456))+0-33.7--0.0687479999999985</f>
        <v>324.5365920000001</v>
      </c>
      <c r="Y150" s="3">
        <f>66.8+(731.4-439.7)+(0.034068+(0.373014-0.224247))+0-33.6-0.0171359999999966</f>
        <v>325.065699</v>
      </c>
      <c r="Z150" s="3">
        <f>111.4+(747.7-510.1)+(0.170442+(1.143981-0.780453))+0-7.9-0.0120870000000005</f>
        <v>341.62188300000003</v>
      </c>
      <c r="AA150" s="3">
        <f>110.2+(760.7-501.2)+(-0.168606+(-1.163871--0.766836))+0-23.6--0.0361080000000014</f>
        <v>345.57046700000001</v>
      </c>
      <c r="AB150" s="3">
        <f>111.1+(787.6-538.8)+(-0.056661+(-0.401676--0.274788))+0-16.3--0.00831299999999835</f>
        <v>343.42476400000004</v>
      </c>
      <c r="AC150" s="3">
        <f>111.1+(740.9-479.2)+(0+(0-0))+0-31.4-0</f>
        <v>341.4</v>
      </c>
      <c r="AD150">
        <v>348.1</v>
      </c>
      <c r="AE150" s="3">
        <f>110+(804.7-532.6)+(0+(0-0))+0-34-0</f>
        <v>348.1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110.8+(711.4-454.7)+(-0.113016+(-0.725628--0.463794))+0-24.9--0.025398000000004</f>
        <v>342.25054800000004</v>
      </c>
      <c r="G151" s="3">
        <f>111.1+(524.8-266.7)+(0+(0-0))+0-33.6-0</f>
        <v>335.59999999999991</v>
      </c>
      <c r="H151" s="3">
        <f>111.3+(443-198.5)+(0.056763+(0.22593-0.101235))+0-33.7-0.0171869999999966</f>
        <v>322.26427100000006</v>
      </c>
      <c r="I151" s="3">
        <f>110.9+(380.9-135.3)+(-0.056559+(-0.194259--0.069003))+0-33.6--0.0171359999999966</f>
        <v>322.735321</v>
      </c>
      <c r="J151" s="3">
        <f>111.3+(406.5-158.8)+(0.170289+(0.621945-0.242964))+0-33.5-0.0512550000000019</f>
        <v>325.99801499999995</v>
      </c>
      <c r="K151" s="3">
        <f>67.3+(432.8-149.4)+(-0.205938+(-1.324368--0.457164))+0-33.3--0.101898000000004</f>
        <v>316.42875599999996</v>
      </c>
      <c r="L151" s="3">
        <f>50.4+(349.6-55.1)+(-0.12852+(-0.89148--0.140505))+0-33.6--0.0856799999999951</f>
        <v>310.5061849999999</v>
      </c>
      <c r="M151" s="3">
        <f>50.6+(334.5-32.7)+(0.025806+(0.170595-0.016677))+0-33.7-0.0171869999999966</f>
        <v>318.86253700000009</v>
      </c>
      <c r="N151" s="3">
        <f>50.6+(341.3-19.1)+(0.025806+(0.174063-0.009741))+0-33.3-0.0169829999999966</f>
        <v>339.67314500000003</v>
      </c>
      <c r="O151" s="3">
        <f>107.8+(440.8-159.2)+(0.109956+(0.449616-0.162384))+0-33.2-0.0338640000000053</f>
        <v>356.56332400000008</v>
      </c>
      <c r="P151" s="3">
        <f>111.1+(733.3-445.1)+(0.113322+(0.747966-0.454002))+0-31.1-0.031722000000005</f>
        <v>368.57556399999993</v>
      </c>
      <c r="Q151" s="3">
        <f>111.4+(877.4-579.3)+(0.170442+(1.342422-0.886329))+0-33.2-0.0507960000000019</f>
        <v>376.87573900000001</v>
      </c>
      <c r="R151" s="3">
        <f>110.8+(842-548.3)+(-0.056508+(-0.42942--0.279633))+0-33.7--0.0171869999999966</f>
        <v>370.61089200000004</v>
      </c>
      <c r="S151" s="3">
        <f>110+(800.2-536.1)+(-0.2244+(-1.632408--1.093644))+0-33.7--0.0687479999999985</f>
        <v>339.70558399999999</v>
      </c>
      <c r="T151" s="3">
        <f>110.5+(840.3-579.5)+(-0.11271+(-0.857106--0.59109))+0-33.8--0.0344760000000054</f>
        <v>337.15574999999995</v>
      </c>
      <c r="U151" s="3">
        <f>110.5+(806-554.8)+(-0.169065+(-1.23318--0.848844))+0-33.6--0.0514080000000019</f>
        <v>327.598007</v>
      </c>
      <c r="V151" s="3">
        <f>110.4+(804-571.7)+(-0.168912+(-1.23012--0.874701))+0-24.3--0.0371790000000014</f>
        <v>317.91284799999988</v>
      </c>
      <c r="W151" s="3">
        <f>110.1+(846.9-622)+(-0.224604+(-1.727676--1.26888))+0-24.9--0.0507959999999989</f>
        <v>309.46739600000001</v>
      </c>
      <c r="X151" s="3">
        <f>110.1+(828.7-609.9)+(-0.168453+(-1.267911--0.933147))+0-21.4--0.0327420000000012</f>
        <v>307.02952500000009</v>
      </c>
      <c r="Y151" s="3">
        <f>72.3+(769.6-496.7)+(-0.036873+(-0.392496--0.253317))+0-33.9--0.0172889999999966</f>
        <v>311.14123700000005</v>
      </c>
      <c r="Z151" s="3">
        <f>111+(853.3-603.1)+(-0.11322+(-0.870366--0.615162))+0-34.3--0.0349860000000055</f>
        <v>326.56656199999992</v>
      </c>
      <c r="AA151" s="3">
        <f>76.7+(781.6-500.9)+(-0.117351+(-1.195848--0.766377))+0-32.8--0.0501840000000019</f>
        <v>324.103362</v>
      </c>
      <c r="AB151" s="3">
        <f>50.5+(783.2-480.9)+(-0.025755+(-0.399432--0.245259))+0-33.5--0.0170849999999966</f>
        <v>319.13715700000006</v>
      </c>
      <c r="AC151" s="3">
        <f>50.5+(760.9-465)+(-0.025755+(-0.388059--0.23715))+0-33.2--0.0169319999999966</f>
        <v>313.04026799999997</v>
      </c>
      <c r="AD151">
        <v>324.39999999999992</v>
      </c>
      <c r="AE151" s="3">
        <f>110+(841.4-593.2)+(0+(0-0))+0-33.8-0</f>
        <v>324.39999999999992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50.5+(711.1-406.9)+(-0.05151+(-0.725322--0.415038))+0-30.1--0.0307020000000048</f>
        <v>324.26890800000007</v>
      </c>
      <c r="G152" s="3">
        <f>7.4+(664.5-323.1)+(-0.007548+(-0.67779--0.329562))+0-25.3--0.025806000000004</f>
        <v>323.17002999999994</v>
      </c>
      <c r="H152" s="3">
        <f>0+(633.3-288)+(0+(-1.291932--0.58752))+0-32.5--0.0662999999999986</f>
        <v>312.16188799999998</v>
      </c>
      <c r="I152" s="3">
        <f>0+(572-232.4)+(0+(-0.29172--0.118524))+0-33.7--0.0171869999999966</f>
        <v>305.74399099999999</v>
      </c>
      <c r="J152" s="3">
        <f>0+(555.1-213.2)+(0+(-0.849303--0.326196))+0-33.8--0.0517140000000019</f>
        <v>307.62860700000004</v>
      </c>
      <c r="K152" s="3">
        <f>0+(591.4-265.1)+(0+(-0.603228--0.270402))+0-33.8--0.0344760000000054</f>
        <v>292.20164999999992</v>
      </c>
      <c r="L152" s="3">
        <f>0+(533.2-220.7)+(0+(-2.175456--0.900456))+0-33.8--0.137903999999997</f>
        <v>277.56290400000006</v>
      </c>
      <c r="M152" s="3">
        <f>0+(453-141.6)+(0+(0-0))+0-33.8-0</f>
        <v>277.59999999999997</v>
      </c>
      <c r="N152" s="3">
        <f>0+(515-198.8)+(0+(0.5253-0.202776))+0-33.8-0.0344760000000054</f>
        <v>282.68804799999998</v>
      </c>
      <c r="O152" s="3">
        <f>0+(548.4-221.7)+(0+(-0.559368--0.226134))+0-33.6--0.0342720000000054</f>
        <v>292.80103799999995</v>
      </c>
      <c r="P152" s="3">
        <f>0+(511-180.1)+(0+(0-0))+0-32.9-0</f>
        <v>298</v>
      </c>
      <c r="Q152" s="3">
        <f>0+(595.1-268.2)+(0+(0.303501-0.136782))+0-31.3-0.0159629999999968</f>
        <v>295.75075600000002</v>
      </c>
      <c r="R152" s="3">
        <f>0+(612.2-279.7)+(0+(1.248888-0.570588))+0-33.7-0.0687479999999985</f>
        <v>299.40955200000008</v>
      </c>
      <c r="S152" s="3">
        <f>0+(549.1-226.1)+(0+(0-0))+0-33.6-0</f>
        <v>289.39999999999998</v>
      </c>
      <c r="T152" s="3">
        <f>0+(551.7-226.7)+(0+(-0.281367--0.115617))+0-33.6--0.0171359999999966</f>
        <v>291.25138600000002</v>
      </c>
      <c r="U152" s="3">
        <f>0+(550.1-231.3)+(0+(-0.280551--0.117963))+0-32.5--0.0165749999999967</f>
        <v>286.15398699999997</v>
      </c>
      <c r="V152" s="3">
        <f>0+(636.1-324.3)+(0+(-1.297644--0.661572))+0-31.5--0.0642599999999986</f>
        <v>279.72818799999999</v>
      </c>
      <c r="W152" s="3">
        <f>0+(706.1-395.1)+(0+(-0.720222--0.403002))+0-25.9--0.0264180000000041</f>
        <v>284.80919799999998</v>
      </c>
      <c r="X152" s="3">
        <f>0+(747.8-435.9)+(0+(-1.144134--0.666927))+0-28.3--0.0432990000000016</f>
        <v>283.16609199999994</v>
      </c>
      <c r="Y152" s="3">
        <f>0+(614.6-292.4)+(0+(0.313446-0.149124))+0-28.4-0.0144839999999971</f>
        <v>293.94983800000011</v>
      </c>
      <c r="Z152" s="3">
        <f>0+(694.3-347.4)+(0+(-0.708186--0.354348))+0-34--0.0346800000000054</f>
        <v>312.58084199999996</v>
      </c>
      <c r="AA152" s="3">
        <f>0+(705.5-352.4)+(0+(-1.43922--0.718896))+0-33.7--0.0687479999999985</f>
        <v>318.748424</v>
      </c>
      <c r="AB152" s="3">
        <f>0+(688-339.5)+(0+(0-0))+0-33.6-0</f>
        <v>314.89999999999998</v>
      </c>
      <c r="AC152" s="3">
        <f>0+(587-246.5)+(0+(0.29937-0.125715))+0-31.9-0.0162689999999968</f>
        <v>308.757386</v>
      </c>
      <c r="AD152">
        <v>317.00000000000006</v>
      </c>
      <c r="AE152" s="3">
        <f>0+(704.2-353.3)+(0+(0-0))+0-33.9-0</f>
        <v>317.00000000000006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0+(630.2-284.8)+(0+(0.964206-0.435744))+0-30.9-0.0472770000000018</f>
        <v>314.98118500000004</v>
      </c>
      <c r="G153" s="3">
        <f>0+(604.8-264.7)+(0+(-0.925344--0.404991))+0-33.5--0.0512550000000019</f>
        <v>306.13090199999999</v>
      </c>
      <c r="H153" s="3">
        <f>0+(490.3-151.6)+(0+(-0.250053--0.077316))+0-33.6--0.0171359999999966</f>
        <v>304.94439900000003</v>
      </c>
      <c r="I153" s="3">
        <f>0+(478.2-142.5)+(0+(0.975528-0.2907))+0-33.7-0.0687479999999985</f>
        <v>302.61608000000001</v>
      </c>
      <c r="J153" s="3">
        <f>0+(494.6-158.5)+(0+(0-0))+0-33.7-0</f>
        <v>302.40000000000003</v>
      </c>
      <c r="K153" s="3">
        <f>0+(520.5-192.9)+(0+(-1.06182--0.393516))+0-33.8--0.0689519999999985</f>
        <v>293.20064800000006</v>
      </c>
      <c r="L153" s="3">
        <f>0+(425-105)+(0+(-0.867--0.2142))+0-33.1--0.0675239999999986</f>
        <v>286.31472399999996</v>
      </c>
      <c r="M153" s="3">
        <f>0+(379.1-45.1)+(0+(-0.193341--0.023001))+0-33.3--0.0169829999999966</f>
        <v>300.54664299999996</v>
      </c>
      <c r="N153" s="3">
        <f>0+(683.8-331.3)+(0+(-0.697476--0.337926))+0-33.3--0.0339660000000053</f>
        <v>318.87441599999994</v>
      </c>
      <c r="O153" s="3">
        <f>71.1+(800.9-497.6)+(0.036261+(0.408459-0.253776))+0-32.9-0.0167789999999967</f>
        <v>341.67416500000002</v>
      </c>
      <c r="P153" s="3">
        <f>111.2+(851.5-574.3)+(0.113424+(0.86853-0.585786))+0-33.1-0.0337620000000053</f>
        <v>355.66240599999998</v>
      </c>
      <c r="Q153" s="3">
        <f>111+(886-593.2)+(-0.05661+(-0.45186--0.302532))+0-33--0.0168299999999967</f>
        <v>370.61089199999992</v>
      </c>
      <c r="R153" s="3">
        <f>111+(873.8-586.5)+(0+(0-0))+0-33.1-0</f>
        <v>365.19999999999993</v>
      </c>
      <c r="S153" s="3">
        <f>110.9+(884.4-608.5)+(-0.169677+(-1.353132--0.931005))+0-33.4--0.0511020000000019</f>
        <v>352.85929799999997</v>
      </c>
      <c r="T153" s="3">
        <f>111+(889.4-608.8)+(0.05661+(0.453594-0.310488))+0-32.1-0.0163709999999967</f>
        <v>359.68334500000003</v>
      </c>
      <c r="U153" s="3">
        <f>111.2+(874.7-598.7)+(0.113424+(0.892194-0.610674))+0-33.2-0.0338640000000053</f>
        <v>354.36108000000002</v>
      </c>
      <c r="V153" s="3">
        <f>110.4+(930.8-659.5)+(-0.225216+(-1.898832--1.34538))+0-32.9--0.0671159999999986</f>
        <v>348.08844799999997</v>
      </c>
      <c r="W153" s="3">
        <f>110.6+(963.3-710.7)+(-0.112812+(-0.982566--0.724914))+0-23.2--0.0236640000000037</f>
        <v>339.65319999999991</v>
      </c>
      <c r="X153" s="3">
        <f>109.5+(1005.7-751.4)+(-0.390915+(-3.590349--2.682498))+0-33.5--0.119595</f>
        <v>329.12082900000007</v>
      </c>
      <c r="Y153" s="3">
        <f>110.4+(803.7-551.8)+(-0.056304+(-0.409887--0.281418))+0-26.6--0.0135659999999973</f>
        <v>335.52879300000006</v>
      </c>
      <c r="Z153" s="3">
        <f>113.1+(909.4-652.7)+(0+(0-0))+0-23.7-0</f>
        <v>346.09999999999997</v>
      </c>
      <c r="AA153" s="3">
        <f>116.6+(938.4-677.9)+(-0.237864+(-1.914336--1.382916))+0-29.8--0.0607919999999987</f>
        <v>346.59150799999998</v>
      </c>
      <c r="AB153" s="3">
        <f>111.1+(950-686)+(0+(0-0))+0-28.6-0</f>
        <v>346.5</v>
      </c>
      <c r="AC153" s="3">
        <f>110.2+(888.4-625.7)+(-0.168606+(-1.359252--0.957321))+0-33.8--0.0517140000000019</f>
        <v>338.58117699999991</v>
      </c>
      <c r="AD153">
        <v>346.69999999999993</v>
      </c>
      <c r="AE153" s="3">
        <f>116+(912.8-657.5)+(0+(0-0))+0-24.6-0</f>
        <v>346.69999999999993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80.2+(765.1-466.4)+(0.122706+(1.170603-0.713592))+0-33.8-0.0517140000000019</f>
        <v>345.62800300000004</v>
      </c>
      <c r="G154" s="3">
        <f>0+(660.9-293.5)+(0+(0.337059-0.149685))+0-33.7-0.0171869999999966</f>
        <v>333.87018699999999</v>
      </c>
      <c r="H154" s="3">
        <f>0+(562.6-208.1)+(0+(-0.860778--0.318393))+0-32.9--0.0503370000000019</f>
        <v>321.10795200000001</v>
      </c>
      <c r="I154" s="3">
        <f>0+(574.1-225)+(0+(0.292791-0.11475))+0-28.9-0.0147389999999971</f>
        <v>320.36330200000003</v>
      </c>
      <c r="J154" s="3">
        <f>0+(600.9-248)+(0+(0-0))+0-26.9-0</f>
        <v>326</v>
      </c>
      <c r="K154" s="3">
        <f>0+(495.7-146.1)+(0+(-1.011228--0.298044))+0-33.4--0.0681359999999985</f>
        <v>315.55495200000001</v>
      </c>
      <c r="L154" s="3">
        <f>0+(408.6-68.7)+(0+(-1.250316--0.210222))+0-31.6--0.0966960000000037</f>
        <v>307.35660200000001</v>
      </c>
      <c r="M154" s="3">
        <f>0+(394.9-50.9)+(0+(0.201399-0.025959))+0-29.2-0.014891999999997</f>
        <v>314.96054800000002</v>
      </c>
      <c r="N154" s="3">
        <f>0+(569.3-194.8)+(0+(0.290343-0.099348))+0-31.4-0.0160139999999968</f>
        <v>343.27498099999997</v>
      </c>
      <c r="O154" s="3">
        <f>0+(666.7-272.4)+(0+(0.340017-0.138924))+0-30.4-0.0155039999999969</f>
        <v>364.08558900000008</v>
      </c>
      <c r="P154" s="3">
        <f>0+(893.1-491.6)+(0+(1.821924-1.002864))+0-31.2-0.0636479999999986</f>
        <v>371.05541199999999</v>
      </c>
      <c r="Q154" s="3">
        <f>77.7+(853.1-531.5)+(0.039627+(0.435081-0.271065))+0-21.3-0.0108629999999978</f>
        <v>378.19278000000003</v>
      </c>
      <c r="R154" s="3">
        <f>114.6+(838.6-562.6)+(0.116892+(0.855372-0.573852))+0-9.8-0.00999600000000156</f>
        <v>381.18841600000002</v>
      </c>
      <c r="S154" s="3">
        <f>110.5+(882.2-626.6)+(-0.11271+(-0.899844--0.639132))+0-9.7--0.00989400000000155</f>
        <v>356.036472</v>
      </c>
      <c r="T154" s="3">
        <f>110.7+(887.5-629.8)+(-0.112914+(-0.90525--0.642396))+0-9.7--0.00989400000000155</f>
        <v>358.33412600000003</v>
      </c>
      <c r="U154" s="3">
        <f>94.7+(886.8-623.5)+(-0.193188+(-1.809072--1.27194))+0-9.8--0.0199919999999996</f>
        <v>347.48967199999993</v>
      </c>
      <c r="V154" s="3">
        <f>50.5+(877.8-587.6)+(-0.10302+(-1.790712--1.198704))+0-10.1--0.0206039999999996</f>
        <v>329.92557599999992</v>
      </c>
      <c r="W154" s="3">
        <f>20.5+(882.3-575)+(-0.073185+(-3.149811--2.05275))+0-9.8--0.0349860000000001</f>
        <v>316.86473999999993</v>
      </c>
      <c r="X154" s="3">
        <f>0+(773.2-467.9)+(0+(-2.365992--1.431774))+0-10--0.0306000000000012</f>
        <v>294.39638200000007</v>
      </c>
      <c r="Y154" s="3">
        <f>0+(741.9-435.9)+(0+(0.378369-0.222309))+0-9.9-0.005048999999999</f>
        <v>296.25101100000006</v>
      </c>
      <c r="Z154" s="3">
        <f>0+(753.2-435.3)+(0+(-0.384132--0.222003))+0-9.9--0.005048999999999</f>
        <v>307.84292000000005</v>
      </c>
      <c r="AA154" s="3">
        <f>0+(738.6-422.8)+(0+(-2.636802--1.509396))+0-10--0.0357000000000001</f>
        <v>304.70829400000002</v>
      </c>
      <c r="AB154" s="3">
        <f>0+(665.5-358.3)+(0+(-1.697025--0.913665))+0-10.1--0.0257549999999985</f>
        <v>296.34239499999995</v>
      </c>
      <c r="AC154" s="3">
        <f>0+(558.1-261.1)+(0+(0.284631-0.133161))+0-10.1-0.00515099999999898</f>
        <v>287.04631899999998</v>
      </c>
      <c r="AD154">
        <v>301.50000000000006</v>
      </c>
      <c r="AE154" s="3">
        <f>0+(779.1-467.7)+(0+(0-0))+0-9.9-0</f>
        <v>301.50000000000006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0+(595.6-288.6)+(0+(-0.303756--0.147186))+0-11.3--0.00576299999999885</f>
        <v>295.549193</v>
      </c>
      <c r="G155" s="3">
        <f>0+(610.7-310.2)+(0+(-0.934371--0.474606))+0-12.1--0.0185130000000007</f>
        <v>287.95874800000001</v>
      </c>
      <c r="H155" s="3">
        <f>0+(540-246.4)+(0+(-0.5508--0.251328))+0-13.3--0.0135660000000021</f>
        <v>280.01409400000006</v>
      </c>
      <c r="I155" s="3">
        <f>0+(514.9-223.7)+(0+(0.787797-0.342261))+0-13.2-0.0201960000000008</f>
        <v>278.42534000000001</v>
      </c>
      <c r="J155" s="3">
        <f>0+(558.6-261)+(0+(0.284886-0.13311))+0-16.3-0.00831299999999835</f>
        <v>281.44346300000001</v>
      </c>
      <c r="K155" s="3">
        <f>0+(531.1-249.6)+(0+(-0.812583--0.381888))+0-20--0.0306000000000012</f>
        <v>261.09990499999998</v>
      </c>
      <c r="L155" s="3">
        <f>0+(500.3-236.6)+(0+(-2.041224--0.965328))+0-21.6--0.0881279999999981</f>
        <v>241.11223200000006</v>
      </c>
      <c r="M155" s="3">
        <f>0+(405-154.1)+(0+(0-0))+0-23.5-0</f>
        <v>227.4</v>
      </c>
      <c r="N155" s="3">
        <f>0+(347.6-109.5)+(0+(0.709104-0.22338))+0-9.1-0.0185639999999996</f>
        <v>229.46716000000004</v>
      </c>
      <c r="O155" s="3">
        <f>0+(365.5-135.8)+(0+(0.74562-0.277032))+0-3-0.00611999999999987</f>
        <v>227.16246799999999</v>
      </c>
      <c r="P155" s="3">
        <f>0+(433-195.1)+(0+(0-0))+0-3.6-0</f>
        <v>234.3</v>
      </c>
      <c r="Q155" s="3">
        <f>0+(462.1-221.5)+(0+(0.235671-0.112965))+0-2.9-0.00147899999999971</f>
        <v>237.82122700000002</v>
      </c>
      <c r="R155" s="3">
        <f>0+(573.8-327.6)+(0+(0-0))+0-4.1-0</f>
        <v>242.09999999999994</v>
      </c>
      <c r="S155" s="3">
        <f>0+(630.7-375.1)+(0+(-0.964971--0.573903))+0-5.5--0.00841500000000032</f>
        <v>249.71734700000005</v>
      </c>
      <c r="T155" s="3">
        <f>39.9+(605.5-381.7)+(0.020349+(0.308805-0.194667))+0-7.9-0.0040289999999992</f>
        <v>255.93045799999996</v>
      </c>
      <c r="U155" s="3">
        <f>78+(570.1-375.6)+(-0.07956+(-0.581502--0.383112))+0-9.4--0.0095880000000015</f>
        <v>262.83163800000005</v>
      </c>
      <c r="V155" s="3">
        <f>42.5+(602.6-376)+(0.021675+(0.307326-0.19176))+0-9.3-0.00474299999999906</f>
        <v>259.93249800000001</v>
      </c>
      <c r="W155" s="3">
        <f>0+(599.8-320.7)+(0+(-1.223592--0.654228))+0-9.7--0.0197879999999996</f>
        <v>268.85042399999998</v>
      </c>
      <c r="X155" s="3">
        <f>0+(560.4-280.1)+(0+(-0.285804--0.142851))+0-11.6--0.00591599999999882</f>
        <v>268.56296299999997</v>
      </c>
      <c r="Y155" s="3">
        <f>0+(537.5-239.9)+(0+(-0.274125--0.122349))+0-11.7--0.00596699999999881</f>
        <v>285.75419100000005</v>
      </c>
      <c r="Z155" s="3">
        <f>0+(617.7-296.2)+(0+(-1.260108--0.604248))+0-14.4--0.0293759999999994</f>
        <v>306.47351600000007</v>
      </c>
      <c r="AA155" s="3">
        <f>0+(675.1-361.8)+(0+(-0.688602--0.369036))+0-14.5--0.0147900000000023</f>
        <v>298.49522400000001</v>
      </c>
      <c r="AB155" s="3">
        <f>0+(793.5-465.7)+(0+(0-0))+0-15-0</f>
        <v>312.8</v>
      </c>
      <c r="AC155" s="3">
        <f>0+(842.8-515)+(0+(-1.719312--1.0506))+0-16.3--0.0332519999999993</f>
        <v>310.86453999999992</v>
      </c>
      <c r="AD155">
        <v>307.10000000000008</v>
      </c>
      <c r="AE155" s="3">
        <f>0+(637.2-315.4)+(0+(0-0))+0-14.7-0</f>
        <v>307.10000000000008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0+(856.7-533.3)+(0+(-1.747668--1.087932))+0-17.8--0.0363119999999992</f>
        <v>304.97657600000008</v>
      </c>
      <c r="G156" s="3">
        <f>0+(671.9-355.5)+(0+(-1.370676--0.72522))+0-19.6--0.0399839999999991</f>
        <v>296.19452799999993</v>
      </c>
      <c r="H156" s="3">
        <f>0+(485.2-182.2)+(0+(-0.247452--0.092922))+0-19.7--0.010046999999998</f>
        <v>283.15551699999997</v>
      </c>
      <c r="I156" s="3">
        <f>0+(331.3-21.8)+(0+(0.337926-0.022236))+0-21.5-0.0219300000000034</f>
        <v>288.29376000000002</v>
      </c>
      <c r="J156" s="3">
        <f>0+(334.1-20.4)+(0+(0.340782-0.020808))+0-22.9-0.0233580000000037</f>
        <v>291.09661600000004</v>
      </c>
      <c r="K156" s="3">
        <f>0+(359.7-51.1)+(0+(-0.550341--0.078183))+0-23.7--0.0362610000000014</f>
        <v>284.46410300000002</v>
      </c>
      <c r="L156" s="3">
        <f>0+(349.5-51.2)+(0+(0-0))+0-21.6-0</f>
        <v>276.7</v>
      </c>
      <c r="M156" s="3">
        <f>0+(409.4-95.4)+(0+(0-0))+0-23.6-0</f>
        <v>290.39999999999998</v>
      </c>
      <c r="N156" s="3">
        <f>0+(639.4-297)+(0+(0.978282-0.45441))+0-26.7-0.0408510000000015</f>
        <v>316.183021</v>
      </c>
      <c r="O156" s="3">
        <f>37.3+(830.7-499.6)+(0.038046+(0.847314-0.509592))+0-27.9-0.0284580000000044</f>
        <v>340.84731000000005</v>
      </c>
      <c r="P156" s="3">
        <f>97.6+(890.3-589.4)+(0.199104+(1.816212-1.202376))+0-26.3-0.0536519999999989</f>
        <v>372.95928800000002</v>
      </c>
      <c r="Q156" s="3">
        <f>206.1+(870.8-678.1)+(0.210222+(0.888216-0.691662))+0-26.8-0.0273360000000043</f>
        <v>372.37943999999993</v>
      </c>
      <c r="R156" s="3">
        <f>217.2+(903.5-724.9)+(0.332316+(1.382355-1.109097))+0-26.8-0.0410040000000016</f>
        <v>369.56457</v>
      </c>
      <c r="S156" s="3">
        <f>216.5+(942-772.6)+(0+(0-0))+0-27.6-0</f>
        <v>358.29999999999995</v>
      </c>
      <c r="T156" s="3">
        <f>215.8+(942-776.2)+(0+(0-0))+0-27.8-0</f>
        <v>353.79999999999995</v>
      </c>
      <c r="U156" s="3">
        <f>220+(894.5-773.7)+(-0.6732+(-2.73717--2.367522))+0-28.5--0.0872100000000033</f>
        <v>311.34436199999999</v>
      </c>
      <c r="V156" s="3">
        <f>160+(912.1-739.2)+(-0.2448+(-1.395513--1.130976))+0-29.7--0.0454410000000017</f>
        <v>302.73610399999995</v>
      </c>
      <c r="W156" s="3">
        <f>131.3+(940.8-739.7)+(-0.133926+(-0.959616--0.754494))+0-29.6--0.0301920000000047</f>
        <v>302.49114399999991</v>
      </c>
      <c r="X156" s="3">
        <f>100.9+(908.7-676)+(-0.154377+(-1.390311--1.03428))+0-29.3--0.0448290000000017</f>
        <v>303.83442100000002</v>
      </c>
      <c r="Y156" s="3">
        <f>113.7+(868.7-633.7)+(0.115974+(0.886074-0.646374))+0-28.2-0.0287640000000045</f>
        <v>320.82691</v>
      </c>
      <c r="Z156" s="3">
        <f>214.6+(846.2-699.7)+(-0.218892+(-0.863124--0.713694))+0-29.2--0.0297840000000047</f>
        <v>331.56146200000006</v>
      </c>
      <c r="AA156" s="3">
        <f>164.5+(869.1-668.9)+(-0.251685+(-1.329723--1.023417))+0-29.4--0.0449820000000017</f>
        <v>334.78699100000006</v>
      </c>
      <c r="AB156" s="3">
        <f>123.1+(910.8-670.6)+(-0.188343+(-1.393524--1.026018))+0-29.4--0.0449820000000017</f>
        <v>333.38913299999996</v>
      </c>
      <c r="AC156" s="3">
        <f>2.3+(892.9-546.2)+(-0.002346+(-0.910758--0.557124))+0-24.2--0.0246840000000039</f>
        <v>324.46870399999995</v>
      </c>
      <c r="AD156">
        <v>334.40000000000015</v>
      </c>
      <c r="AE156" s="3">
        <f>222+(818.4-676.3)+(0+(0-0))+0-29.7-0</f>
        <v>334.40000000000003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0+(894.3-547.3)+(0+(-0.456093--0.279123))+0-28.5--0.0145349999999971</f>
        <v>318.33756500000004</v>
      </c>
      <c r="G157" s="3">
        <f>0+(811-468.6)+(0+(-1.24083--0.716958))+0-29.6--0.0452880000000017</f>
        <v>312.321416</v>
      </c>
      <c r="H157" s="3">
        <f>0+(712.2-378.9)+(0+(-0.726444--0.386478))+0-29.7--0.0302940000000047</f>
        <v>303.2903280000001</v>
      </c>
      <c r="I157" s="3">
        <f>0+(681.7-346.6)+(0+(-1.738335--0.88383))+0-29.5--0.0752249999999957</f>
        <v>304.82071999999999</v>
      </c>
      <c r="J157" s="3">
        <f>0+(697.5-362.5)+(0+(0.355725-0.184875))+0-29.3-0.014942999999997</f>
        <v>305.85590699999995</v>
      </c>
      <c r="K157" s="3">
        <f>0+(653.3-324.1)+(0+(-1.665915--0.826455))+0-28.9--0.0736949999999958</f>
        <v>299.53423499999997</v>
      </c>
      <c r="L157" s="3">
        <f>0+(567.2-253.6)+(0+(-0.867816--0.388008))+0-29.1--0.0445230000000017</f>
        <v>284.06471500000004</v>
      </c>
      <c r="M157" s="3">
        <f>0+(629.4-307.6)+(0+(-0.641988--0.313752))+0-29.2--0.0297840000000047</f>
        <v>292.30154799999997</v>
      </c>
      <c r="N157" s="3">
        <f>0+(722.5-371.3)+(0+(0.73695-0.378726))+0-29.5-0.0300900000000047</f>
        <v>322.02813399999997</v>
      </c>
      <c r="O157" s="3">
        <f>18.9+(746.2-379.4)+(0.019278+(0.761124-0.386988))+0-31.3-0.031926000000005</f>
        <v>354.76148800000004</v>
      </c>
      <c r="P157" s="3">
        <f>118.7+(837.8-575)+(0.060537+(0.427278-0.29325))+0-31.5-0.0160649999999968</f>
        <v>350.17849999999999</v>
      </c>
      <c r="Q157" s="3">
        <f>166.9+(850.6-633.2)+(-0.170238+(-0.867612--0.645864))+0-30.8--0.0314160000000049</f>
        <v>353.13942999999995</v>
      </c>
      <c r="R157" s="3">
        <f>221.6+(896.6-758.8)+(-0.113016+(-0.457266--0.386988))+0-30.6--0.0156059999999969</f>
        <v>328.63231200000007</v>
      </c>
      <c r="S157" s="3">
        <f>218.4+(925.1-804.7)+(-0.55692+(-2.359005--2.051985))+0-31.1--0.0793049999999955</f>
        <v>306.91536499999989</v>
      </c>
      <c r="T157" s="3">
        <f>220.1+(977.4-849.1)+(-0.561255+(-2.49237--2.165205))+0-31.1--0.0793049999999955</f>
        <v>316.49088499999993</v>
      </c>
      <c r="U157" s="3">
        <f>220.7+(928.7-809.9)+(-0.337671+(-1.420911--1.239147))+0-30.6--0.0468180000000018</f>
        <v>308.42738300000008</v>
      </c>
      <c r="V157" s="3">
        <f>220.8+(830-730.9)+(-0.337824+(-1.2699--1.118277))+0-31.5--0.0481950000000018</f>
        <v>287.95874800000007</v>
      </c>
      <c r="W157" s="3">
        <f>221.4+(801-698)+(-0.225828+(-0.81702--0.71196))+0-31.2--0.031824000000005</f>
        <v>292.900936</v>
      </c>
      <c r="X157" s="3">
        <f>145.2+(824.3-619)+(-0.37026+(-2.101965--1.57845))+0-31--0.0790499999999955</f>
        <v>318.68527499999993</v>
      </c>
      <c r="Y157" s="3">
        <f>101.8+(763.2-508)+(-0.051918+(-0.389232--0.25908))+0-31.1--0.0158609999999968</f>
        <v>325.733791</v>
      </c>
      <c r="Z157" s="3">
        <f>222.4+(798.1-658.6)+(0+(0-0))+0-31.2-0</f>
        <v>330.7</v>
      </c>
      <c r="AA157" s="3">
        <f>183.2+(793.6-605.3)+(-0.373728+(-1.618944--1.234812))+0-31--0.0632399999999986</f>
        <v>339.80538000000007</v>
      </c>
      <c r="AB157" s="3">
        <f>0+(843.2-479.8)+(0+(0.430032-0.244698))+0-31-0.0158099999999969</f>
        <v>332.56952400000006</v>
      </c>
      <c r="AC157" s="3">
        <f>0+(767-414.5)+(0+(-1.56468--0.84558))+0-28.4--0.0579359999999988</f>
        <v>323.43883599999998</v>
      </c>
      <c r="AD157">
        <v>336.50000000000006</v>
      </c>
      <c r="AE157" s="3">
        <f>224+(780.2-636.5)+(0+(0-0))+0-31.2-0</f>
        <v>336.50000000000006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0+(716-372.5)+(0+(-0.36516--0.189975))+0-25.9--0.0132089999999974</f>
        <v>317.43802400000004</v>
      </c>
      <c r="G158" s="3">
        <f>0+(612.1-282.8)+(0+(0-0))+0-27.5-0</f>
        <v>301.8</v>
      </c>
      <c r="H158" s="3">
        <f>0+(534.2-215.5)+(0+(0-0))+0-27-0</f>
        <v>291.70000000000005</v>
      </c>
      <c r="I158" s="3">
        <f>0+(564.1-248.5)+(0+(0.863073-0.380205))+0-28.1-0.0429930000000016</f>
        <v>287.93987499999997</v>
      </c>
      <c r="J158" s="3">
        <f>0+(545.7-225.4)+(0+(-0.278307--0.114954))+0-27.2--0.0138719999999972</f>
        <v>292.9505190000001</v>
      </c>
      <c r="K158" s="3">
        <f>0+(534.4-217.3)+(0+(-1.36272--0.554115))+0-26--0.0662999999999962</f>
        <v>290.35769499999998</v>
      </c>
      <c r="L158" s="3">
        <f>0+(450.9-150.2)+(0+(-0.919836--0.306408))+0-22.6--0.046103999999999</f>
        <v>277.53267599999998</v>
      </c>
      <c r="M158" s="3">
        <f>0+(478.2-160.9)+(0+(0.487764-0.164118))+0-25-0.025500000000004</f>
        <v>292.59814599999993</v>
      </c>
      <c r="N158" s="3">
        <f>0+(631.8-288)+(0+(0-0))+0-26.8-0</f>
        <v>316.99999999999994</v>
      </c>
      <c r="O158" s="3">
        <f>0+(815.5-458.2)+(0+(0.415905-0.233682))+0-28.2-0.0143819999999971</f>
        <v>329.26784100000003</v>
      </c>
      <c r="P158" s="3">
        <f>79.7+(818.2-534)+(0.162588+(1.669128-1.08936))+0-27.6-0.0563039999999988</f>
        <v>336.98605199999997</v>
      </c>
      <c r="Q158" s="3">
        <f>125.5+(930.2-682.5)+(-0.320025+(-2.37201--1.740375))+0-28.5--0.0726749999999959</f>
        <v>343.82101500000005</v>
      </c>
      <c r="R158" s="3">
        <f>168.7+(919.2-724.6)+(0.172074+(0.937584-0.739092))+0-29.2-0.0297840000000047</f>
        <v>334.44078200000001</v>
      </c>
      <c r="S158" s="3">
        <f>216.8+(866.3-730.9)+(-0.331704+(-1.325439--1.118277))+0-29.5--0.0451350000000017</f>
        <v>322.20626900000002</v>
      </c>
      <c r="T158" s="3">
        <f>221.7+(886.7-759.5)+(0.113067+(0.452217-0.387345))+0-26.9-0.0137189999999973</f>
        <v>322.16422000000006</v>
      </c>
      <c r="U158" s="3">
        <f>221.6+(852.4-731.9)+(0+(0-0))+0-27.1-0</f>
        <v>315</v>
      </c>
      <c r="V158" s="3">
        <f>189.8+(826.3-677.2)+(-0.48399+(-2.107065--1.72686))+0-28.3--0.0721649999999959</f>
        <v>309.8079699999999</v>
      </c>
      <c r="W158" s="3">
        <f>69.4+(817.4-556.5)+(-0.106182+(-1.250622--0.851445))+0-28.4--0.0434520000000016</f>
        <v>301.43809299999998</v>
      </c>
      <c r="X158" s="3">
        <f>0+(786.9-463.9)+(0+(-1.203957--0.709767))+0-27.8--0.0425340000000016</f>
        <v>294.74834399999997</v>
      </c>
      <c r="Y158" s="3">
        <f>0+(738.7-406.9)+(0+(0.753474-0.415038))+0-27.8-0.0283560000000044</f>
        <v>304.31008000000003</v>
      </c>
      <c r="Z158" s="3">
        <f>0+(766.9-421)+(0+(-2.737833--1.50297))+0-28.7--0.102459</f>
        <v>316.06759599999998</v>
      </c>
      <c r="AA158" s="3">
        <f>0+(785.9-436.5)+(0+(-1.202427--0.667845))+0-28--0.0428400000000016</f>
        <v>320.90825799999999</v>
      </c>
      <c r="AB158" s="3">
        <f>0+(771.1-420.1)+(0+(0.393261-0.214251))+0-28-0.0142799999999972</f>
        <v>323.16473000000002</v>
      </c>
      <c r="AC158" s="3">
        <f>0+(722.6-379.2)+(0+(-1.84263--0.96696))+0-27.8--0.070889999999996</f>
        <v>314.79522000000003</v>
      </c>
      <c r="AD158">
        <v>314.79999999999995</v>
      </c>
      <c r="AE158" s="3">
        <f>0+(768.3-425.7)+(0+(0-0))+0-27.8-0</f>
        <v>314.79999999999995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0+(676.7-340.2)+(0+(-1.725585--0.86751))+0-28--0.0713999999999959</f>
        <v>307.71332500000005</v>
      </c>
      <c r="G159" s="3">
        <f>0+(610.4-286.6)+(0+(-1.55652--0.73083))+0-26.6--0.0678299999999961</f>
        <v>296.44213999999994</v>
      </c>
      <c r="H159" s="3">
        <f>0+(432.1-117.3)+(0+(0.440742-0.119646))+0-27.1-0.0276420000000043</f>
        <v>287.99345399999999</v>
      </c>
      <c r="I159" s="3">
        <f>0+(352.6-44)+(0+(-0.539478--0.06732))+0-28--0.0428400000000016</f>
        <v>280.17068200000006</v>
      </c>
      <c r="J159" s="3">
        <f>0+(363.4-52.5)+(0+(0-0))+0-27.3-0</f>
        <v>283.59999999999997</v>
      </c>
      <c r="K159" s="3">
        <f>0+(394.9-93.8)+(0+(-1.006995--0.23919))+0-26.7--0.0680849999999961</f>
        <v>273.70027999999996</v>
      </c>
      <c r="L159" s="3">
        <f>0+(381.8-91.8)+(0+(-1.363026--0.327726))+0-27.4--0.0978180000000004</f>
        <v>261.66251800000003</v>
      </c>
      <c r="M159" s="3">
        <f>0+(405.7-128.7)+(0+(0.206907-0.065637))+0-27.5-0.0140249999999972</f>
        <v>249.62724500000002</v>
      </c>
      <c r="N159" s="3">
        <f>0+(383.5-91.5)+(0+(0.195585-0.046665))+0-28.1-0.0143309999999971</f>
        <v>264.03458899999998</v>
      </c>
      <c r="O159" s="3">
        <f>0+(413.9-95.2)+(0+(-0.422178--0.097104))+0-27.8--0.0283560000000044</f>
        <v>290.60328200000004</v>
      </c>
      <c r="P159" s="3">
        <f>0+(427.5-120)+(0+(0.43605-0.1224))+0-27.2-0.0277440000000043</f>
        <v>280.58590600000002</v>
      </c>
      <c r="Q159" s="3">
        <f>0+(539.6-243.1)+(0+(1.100784-0.495924))+0-26.7-0.0544679999999988</f>
        <v>270.350392</v>
      </c>
      <c r="R159" s="3">
        <f>28+(679.9-413.2)+(-0.04284+(-1.040247--0.632196))+0-26.5--0.0405450000000015</f>
        <v>267.78965399999998</v>
      </c>
      <c r="S159" s="3">
        <f>118+(675.8-497.4)+(-0.12036+(-0.689316--0.507348))+0-25.6--0.0261120000000041</f>
        <v>270.52378399999998</v>
      </c>
      <c r="T159" s="3">
        <f>72+(703.1-480.4)+(0.03672+(0.358581-0.245004))+0-26.3-0.0134129999999973</f>
        <v>268.53688400000004</v>
      </c>
      <c r="U159" s="3">
        <f>0+(736.2-441.2)+(0+(0-0))+0-26.4-0</f>
        <v>268.60000000000008</v>
      </c>
      <c r="V159" s="3">
        <f>0+(764.3-477.2)+(0+(0-0))+0-26.9-0</f>
        <v>260.2</v>
      </c>
      <c r="W159" s="3">
        <f>0+(769.3-497.2)+(0+(0-0))+0-27.1-0</f>
        <v>244.99999999999997</v>
      </c>
      <c r="X159" s="3">
        <f>0+(742.5-448.3)+(0+(-1.136025--0.685899))+0-29.9--0.0457470000000017</f>
        <v>263.89562100000001</v>
      </c>
      <c r="Y159" s="3">
        <f>0+(666.6-364.4)+(0+(1.019898-0.557532))+0-13.8-0.0211140000000008</f>
        <v>288.841252</v>
      </c>
      <c r="Z159" s="3">
        <f>0+(732.2-429.4)+(0+(-0.746844--0.437988))+0-10.4--0.0106080000000017</f>
        <v>292.10175200000009</v>
      </c>
      <c r="AA159" s="3">
        <f>0+(747.3-454.4)+(0+(-0.381123--0.231744))+0-11--0.00560999999999888</f>
        <v>281.75623099999996</v>
      </c>
      <c r="AB159" s="3">
        <f>0+(750.9-447.7)+(0+(-0.765918--0.456654))+0-11.5--0.0117300000000018</f>
        <v>291.402466</v>
      </c>
      <c r="AC159" s="3">
        <f>0+(793.3-478.3)+(0+(0.404583-0.243933))+0-8.5-0.00433499999999914</f>
        <v>306.65631499999989</v>
      </c>
      <c r="AD159">
        <v>306.7</v>
      </c>
      <c r="AE159" s="3">
        <f>0+(763.9-446.9)+(0+(0-0))+0-10.3-0</f>
        <v>306.7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0+(735.9-441.8)+(0+(-0.375309--0.225318))+0-7.4--0.00377399999999925</f>
        <v>286.55378300000001</v>
      </c>
      <c r="G160" s="3">
        <f>0+(692.1-403)+(0+(-2.117826--1.23318))+0-7.2--0.0220320000000008</f>
        <v>281.03738600000008</v>
      </c>
      <c r="H160" s="3">
        <f>0+(586.9-301.9)+(0+(-1.197276--0.615876))+0-7.2--0.0146879999999997</f>
        <v>277.23328800000002</v>
      </c>
      <c r="I160" s="3">
        <f>0+(510.5-228.5)+(0+(0.260355-0.116535))+0-7.2-0.00367199999999927</f>
        <v>274.94014800000002</v>
      </c>
      <c r="J160" s="3">
        <f>0+(386.8-99.2)+(0+(0.394536-0.101184))+0-7.2-0.00734400000000115</f>
        <v>280.68600800000007</v>
      </c>
      <c r="K160" s="3">
        <f>0+(405.9-120.4)+(0+(-0.207009--0.061404))+0-7.2--0.00367199999999927</f>
        <v>278.15806700000002</v>
      </c>
      <c r="L160" s="3">
        <f>0+(407.2-120.3)+(0+(-1.03836--0.306765))+0-7.4--0.0188699999999989</f>
        <v>278.78727499999997</v>
      </c>
      <c r="M160" s="3">
        <f>0+(414.6-117.3)+(0+(-0.422892--0.119646))+0-8.3--0.00846600000000132</f>
        <v>288.70522</v>
      </c>
      <c r="N160" s="3">
        <f>1.7+(580.1-246.8)+(-0.001734+(-0.591702--0.251736))+0-11--0.0112200000000018</f>
        <v>323.66951999999998</v>
      </c>
      <c r="O160" s="3">
        <f>0+(770.6-414.3)+(0+(0.786012-0.422586))+0-13.5-0.0137700000000022</f>
        <v>343.14965599999999</v>
      </c>
      <c r="P160" s="3">
        <f>0+(826.8-457.4)+(0+(0.421668-0.233274))+0-15.1-0.00770099999999847</f>
        <v>354.48069299999997</v>
      </c>
      <c r="Q160" s="3">
        <f>16.8+(814.3-456.5)+(0.017136+(0.830586-0.46563))+0-14.3-0.0145860000000023</f>
        <v>360.66750599999995</v>
      </c>
      <c r="R160" s="3">
        <f>110.9+(765.2-503.3)+(-0.056559+(-0.390252--0.256683))+0-14.3--0.00729299999999855</f>
        <v>358.31716500000005</v>
      </c>
      <c r="S160" s="3">
        <f>110.4+(776-522.3)+(-0.168912+(-1.18728--0.799119))+0-17.1--0.026163000000001</f>
        <v>346.46908999999999</v>
      </c>
      <c r="T160" s="3">
        <f>110.9+(797.7-537)+(-0.056559+(-0.406827--0.27387))+0-19.8--0.010097999999998</f>
        <v>351.62058199999996</v>
      </c>
      <c r="U160" s="3">
        <f>110.8+(813.6-559.1)+(-0.113016+(-0.829872--0.570282))+0-21.6--0.0220320000000034</f>
        <v>343.34942599999999</v>
      </c>
      <c r="V160" s="3">
        <f>107.3+(813.4-572.7)+(-0.328338+(-2.489004--1.752462))+0-14.1--0.0431460000000016</f>
        <v>332.87826599999988</v>
      </c>
      <c r="W160" s="3">
        <f>36.7+(835.6-541.2)+(-0.037434+(-0.852312--0.552024))+0-10.7--0.0109140000000017</f>
        <v>320.07319200000001</v>
      </c>
      <c r="X160" s="3">
        <f>0+(784.4-458)+(0+(-1.200132--0.70074))+0-11.5--0.0175950000000007</f>
        <v>314.41820300000001</v>
      </c>
      <c r="Y160" s="3">
        <f>0+(798.4-462.5)+(0+(0-0))+0-7.2-0</f>
        <v>328.7</v>
      </c>
      <c r="Z160" s="3">
        <f>0+(877.9-536.7)+(0+(-0.895458--0.547434))+0-6.9--0.0070380000000011</f>
        <v>333.95901399999997</v>
      </c>
      <c r="AA160" s="3">
        <f>0+(859.4-524.1)+(0+(-2.19147--1.336455))+0-6.8--0.017339999999999</f>
        <v>327.66232499999995</v>
      </c>
      <c r="AB160" s="3">
        <f>0+(769.8-440.7)+(0+(-1.177794--0.674271))+0-6.9--0.0105570000000004</f>
        <v>321.70703400000002</v>
      </c>
      <c r="AC160" s="3">
        <f>0+(613.2-286.8)+(0+(0.312732-0.146268))+0-6.9-0.0035189999999993</f>
        <v>319.66294500000009</v>
      </c>
      <c r="AD160">
        <v>345.89999999999992</v>
      </c>
      <c r="AE160" s="3">
        <f>0+(875.9-523.2)+(0+(0-0))+0-6.8-0</f>
        <v>345.89999999999992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0+(593.6-277.9)+(0+(-0.605472--0.283458))+0-6.9--0.0070380000000011</f>
        <v>308.48502400000007</v>
      </c>
      <c r="G161" s="3">
        <f>0+(442.7-138.4)+(0+(-0.451554--0.141168))+0-6.9--0.0070380000000011</f>
        <v>297.09665200000001</v>
      </c>
      <c r="H161" s="3">
        <f>0+(431.6-133.2)+(0+(-0.880464--0.271728))+0-6.9--0.0140759999999997</f>
        <v>290.90534000000002</v>
      </c>
      <c r="I161" s="3">
        <f>0+(437.3-142.3)+(0+(0.223023-0.072573))+0-6.9-0.0035189999999993</f>
        <v>288.24693100000002</v>
      </c>
      <c r="J161" s="3">
        <f>0+(412.5-107.6)+(0+(0.42075-0.109752))+0-7.1-0.00724200000000113</f>
        <v>298.10375599999992</v>
      </c>
      <c r="K161" s="3">
        <f>0+(424.1-127.9)+(0+(-1.081455--0.326145))+0-7.5--0.0191249999999989</f>
        <v>287.96381500000001</v>
      </c>
      <c r="L161" s="3">
        <f>0+(416.5-127.8)+(0+(-0.84966--0.260712))+0-8.5--0.0173399999999996</f>
        <v>279.62839199999996</v>
      </c>
      <c r="M161" s="3">
        <f>0+(456.7-156.7)+(0+(0.232917-0.079917))+0-10.2-0.00520199999999897</f>
        <v>289.94779800000003</v>
      </c>
      <c r="N161" s="3">
        <f>0+(590.7-263.5)+(0+(0.301257-0.134385))+0-12.6-0.00642599999999872</f>
        <v>314.76044600000006</v>
      </c>
      <c r="O161" s="3">
        <f>0+(674.4-327.9)+(0+(-0.687888--0.334458))+0-11.9--0.0121380000000019</f>
        <v>334.25870800000001</v>
      </c>
      <c r="P161" s="3">
        <f>0+(891.1-534.1)+(0+(0.454461-0.272391))+0-12.8-0.0065279999999987</f>
        <v>344.375542</v>
      </c>
      <c r="Q161" s="3">
        <f>0+(1053.4-686.7)+(0+(-0.537234--0.350217))+0-13.9--0.00708899999999859</f>
        <v>352.62007200000005</v>
      </c>
      <c r="R161" s="3">
        <f>0+(1116.7-745)+(0+(0.569517-0.37995))+0-15-0.00764999999999848</f>
        <v>356.88191700000004</v>
      </c>
      <c r="S161" s="3">
        <f>0+(1079.8-733.7)+(0+(-2.202792--1.496748))+0-15.1--0.0308039999999993</f>
        <v>330.32475999999986</v>
      </c>
      <c r="T161" s="3">
        <f>0+(1004.6-655.9)+(0+(-1.537038--1.003527))+0-17.4--0.026622000000001</f>
        <v>330.79311100000007</v>
      </c>
      <c r="U161" s="3">
        <f>0+(940.3-606.1)+(0+(-0.959106--0.618222))+0-12.8--0.013056000000002</f>
        <v>321.07217199999991</v>
      </c>
      <c r="V161" s="3">
        <f>0+(866.4-560.3)+(0+(-0.883728--0.571506))+0-4--0.00408000000000064</f>
        <v>301.79185799999999</v>
      </c>
      <c r="W161" s="3">
        <f>0+(824.4-517.7)+(0+(-2.10222--1.320135))+0-5.1--0.0130049999999993</f>
        <v>300.83091999999994</v>
      </c>
      <c r="X161" s="3">
        <f>0+(627.7-319.2)+(0+(-1.920762--0.976752))+0-6.9--0.0211140000000008</f>
        <v>300.6771040000001</v>
      </c>
      <c r="Y161" s="3">
        <f>0+(606.4-285.8)+(0+(0-0))+0-8-0</f>
        <v>312.59999999999997</v>
      </c>
      <c r="Z161" s="3">
        <f>0+(755.2-428.1)+(0+(-1.540608--0.873324))+0-7.8--0.0159119999999997</f>
        <v>318.64862800000003</v>
      </c>
      <c r="AA161" s="3">
        <f>0+(813.1-487)+(0+(-2.073405--1.24185))+0-8.7--0.0221849999999987</f>
        <v>316.59063000000003</v>
      </c>
      <c r="AB161" s="3">
        <f>0+(644.5-312.7)+(0+(-1.31478--0.637908))+0-7.8--0.0159119999999997</f>
        <v>323.33904000000001</v>
      </c>
      <c r="AC161" s="3">
        <f>0+(611-292)+(0+(-0.93483--0.44676))+0-6.9--0.0105570000000004</f>
        <v>311.62248700000004</v>
      </c>
      <c r="AD161">
        <v>315.59999999999997</v>
      </c>
      <c r="AE161" s="3">
        <f>0+(784.4-461)+(0+(0-0))+0-7.8-0</f>
        <v>315.59999999999997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0+(652.7-325)+(0+(-0.332877--0.16575))+0-8.4--0.00428399999999915</f>
        <v>319.13715700000006</v>
      </c>
      <c r="G162" s="3">
        <f>0+(530.1-231.2)+(0+(0-0))+0-9.6-0</f>
        <v>289.3</v>
      </c>
      <c r="H162" s="3">
        <f>0+(414.8-142.6)+(0+(0-0))+0-10.4-0</f>
        <v>261.80000000000007</v>
      </c>
      <c r="I162" s="3">
        <f>0+(341-76.5)+(0+(-0.52173--0.117045))+0-12.1--0.0185130000000007</f>
        <v>252.01382800000005</v>
      </c>
      <c r="J162" s="3">
        <f>0+(380.7-86.1)+(0+(0.194157-0.043911))+0-12.9-0.00657899999999869</f>
        <v>281.84366700000004</v>
      </c>
      <c r="K162" s="3">
        <f>0+(460.1-157.2)+(0+(-0.234651--0.080172))+0-11.6--0.00591599999999882</f>
        <v>291.15143700000004</v>
      </c>
      <c r="L162" s="3">
        <f>0+(513.5-205.6)+(0+(-1.04754--0.419424))+0-17--0.0346799999999993</f>
        <v>290.30656399999998</v>
      </c>
      <c r="M162" s="3">
        <f>0+(452.5-151)+(0+(-0.9231--0.30804))+0-19.5--0.0397799999999991</f>
        <v>281.42471999999998</v>
      </c>
      <c r="N162" s="3">
        <f>0+(578.8-254.4)+(0+(0.590376-0.259488))+0-18.9-0.019278000000003</f>
        <v>305.81161000000003</v>
      </c>
      <c r="O162" s="3">
        <f>0+(695.9-342.2)+(0+(0.354909-0.174522))+0-18.7-0.0095369999999981</f>
        <v>335.17084999999997</v>
      </c>
      <c r="P162" s="3">
        <f>0+(747.7-405.1)+(0+(0-0))+0-21-0</f>
        <v>321.60000000000002</v>
      </c>
      <c r="Q162" s="3">
        <f>0+(839.8-482.9)+(0+(-0.428298--0.246279))+0-23.5--0.0119849999999976</f>
        <v>333.22996599999993</v>
      </c>
      <c r="R162" s="3">
        <f>0+(842.6-489.4)+(0+(-1.718904--0.998376))+0-23.3--0.047531999999999</f>
        <v>329.22700400000002</v>
      </c>
      <c r="S162" s="3">
        <f>0+(824.3-497.1)+(0+(-2.942751--1.774647))+0-27.3--0.0974610000000004</f>
        <v>298.8293569999999</v>
      </c>
      <c r="T162" s="3">
        <f>7+(849.3-524)+(-0.01785+(-2.165715--1.3362))+0-27.8--0.070889999999996</f>
        <v>303.72352499999994</v>
      </c>
      <c r="U162" s="3">
        <f>124+(749.9-557.5)+(-0.18972+(-1.147347--0.852975))+0-27.9--0.0426870000000016</f>
        <v>288.05859500000003</v>
      </c>
      <c r="V162" s="3">
        <f>127+(697.7-519.3)+(-0.19431+(-1.067481--0.794529))+0-28.1--0.0429930000000016</f>
        <v>276.87573100000009</v>
      </c>
      <c r="W162" s="3">
        <f>128+(571.9-391.7)+(-0.19584+(-0.875007--0.599301))+0-27.5--0.0420750000000016</f>
        <v>280.27052900000001</v>
      </c>
      <c r="X162" s="3">
        <f>117+(535.2-348.2)+(0.05967+(0.272952-0.177582))+0-26-0.0132599999999974</f>
        <v>278.14178000000004</v>
      </c>
      <c r="Y162" s="3">
        <f>65+(619.6-372.2)+(-0.0663+(-0.631992--0.379644))+0-24.9--0.025398000000004</f>
        <v>287.20675000000006</v>
      </c>
      <c r="Z162" s="3">
        <f>78+(665.8-426.6)+(-0.23868+(-2.037348--1.305396))+0-25.4--0.0777240000000029</f>
        <v>290.90709199999992</v>
      </c>
      <c r="AA162" s="3">
        <f>0+(560.5-257.1)+(0+(-1.14342--0.524484))+0-27.4--0.0558959999999988</f>
        <v>275.43696</v>
      </c>
      <c r="AB162" s="3">
        <f>0+(539.7-222.9)+(0+(0.275247-0.113679))+0-28.3-0.0144329999999971</f>
        <v>288.64713500000005</v>
      </c>
      <c r="AC162" s="3">
        <f>0+(517.7-208.6)+(0+(-0.528054--0.212772))+0-28--0.0285600000000045</f>
        <v>280.81327800000003</v>
      </c>
      <c r="AD162">
        <v>296.79999999999995</v>
      </c>
      <c r="AE162" s="3">
        <f>0+(628.4-305.3)+(0+(0-0))+0-26.3-0</f>
        <v>296.79999999999995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0+(620.5-309.5)+(0+(0-0))+0-28.1-0</f>
        <v>282.89999999999998</v>
      </c>
      <c r="G163" s="3">
        <f>0+(512.1-220.9)+(0+(0-0))+0-28.3-0</f>
        <v>262.90000000000003</v>
      </c>
      <c r="H163" s="3">
        <f>0+(415.8-151.7)+(0+(0.636174-0.232101))+0-27.3-0.0417690000000016</f>
        <v>237.16230400000001</v>
      </c>
      <c r="I163" s="3">
        <f>0+(409.6-135.8)+(0+(0-0))+0-28.1-0</f>
        <v>245.70000000000002</v>
      </c>
      <c r="J163" s="3">
        <f>0+(374.2-97.6)+(0+(0-0))+0-28.9-0</f>
        <v>247.70000000000002</v>
      </c>
      <c r="K163" s="3">
        <f>0+(429.5-148.9)+(0+(-1.533315--0.531573))+0-28.3--0.101031</f>
        <v>251.39928900000004</v>
      </c>
      <c r="L163" s="3">
        <f>0+(492.4-211.7)+(0+(-1.757868--0.755769))+0-27.7--0.0988890000000004</f>
        <v>252.09679000000003</v>
      </c>
      <c r="M163" s="3">
        <f>0+(489.6-209.3)+(0+(0-0))+0-26.9-0</f>
        <v>253.4</v>
      </c>
      <c r="N163" s="3">
        <f>10+(497.5-185.5)+(0.0102+(0.50745-0.18921))+0-29.4-0.0299880000000047</f>
        <v>292.89845200000002</v>
      </c>
      <c r="O163" s="3">
        <f>5+(496.3-178.7)+(0.0051+(0.506226-0.182274))+0-29.9-0.0304980000000048</f>
        <v>292.99855400000001</v>
      </c>
      <c r="P163" s="3">
        <f>0+(627.7-287.1)+(0+(0.320127-0.146421))+0-29.5-0.015044999999997</f>
        <v>311.25866100000002</v>
      </c>
      <c r="Q163" s="3">
        <f>5+(710.6-360)+(0.00255+(0.362406-0.1836))+0-29.7-0.015146999999997</f>
        <v>326.06620900000001</v>
      </c>
      <c r="R163" s="3">
        <f>10+(722.7-374.9)+(-0.0153+(-1.105731--0.573597))+0-29.5--0.0451350000000017</f>
        <v>327.79770100000007</v>
      </c>
      <c r="S163" s="3">
        <f>0+(747.9-449.2)+(0+(-1.525716--0.916368))+0-29.1--0.0593639999999987</f>
        <v>269.05001599999997</v>
      </c>
      <c r="T163" s="3">
        <f>0+(772.2-455.7)+(0+(-0.393822--0.232407))+0-29.3--0.014942999999997</f>
        <v>287.05352800000009</v>
      </c>
      <c r="U163" s="3">
        <f>2+(773.9-468.1)+(0.00102+(0.394689-0.238731))+0-29.1-0.014840999999997</f>
        <v>278.84213699999992</v>
      </c>
      <c r="V163" s="3">
        <f>0+(767.2-471.4)+(0+(-1.173816--0.721242))+0-29.1--0.0445230000000017</f>
        <v>266.29194900000005</v>
      </c>
      <c r="W163" s="3">
        <f>0+(679.6-406)+(0+(-2.079576--1.24236))+0-16.2--0.0495720000000019</f>
        <v>256.61235600000003</v>
      </c>
      <c r="X163" s="3">
        <f>0+(585.4-319.8)+(0+(-1.791324--0.978588))+0-6.7--0.0205020000000008</f>
        <v>258.10776600000003</v>
      </c>
      <c r="Y163" s="3">
        <f>0+(521.5-231.3)+(0+(-0.797895--0.353889))+0-6.7--0.0102510000000004</f>
        <v>283.06624499999998</v>
      </c>
      <c r="Z163" s="3">
        <f>0+(503.6-205.2)+(0+(-1.28418--0.52326))+0-6.7--0.017084999999999</f>
        <v>290.95616500000006</v>
      </c>
      <c r="AA163" s="3">
        <f>0+(512.6-215)+(0+(-2.091408--0.8772))+0-6.7--0.0273359999999994</f>
        <v>289.71312800000004</v>
      </c>
      <c r="AB163" s="3">
        <f>0+(502.7-212.2)+(0+(0-0))+0-6.8-0</f>
        <v>283.7</v>
      </c>
      <c r="AC163" s="3">
        <f>0+(531.5-249.3)+(0+(0.271065-0.127143))+0-6.8-0.00346799999999931</f>
        <v>275.54045399999995</v>
      </c>
      <c r="AD163">
        <v>298.89999999999998</v>
      </c>
      <c r="AE163" s="3">
        <f>0+(542.8-237.4)+(0+(0-0))+0-6.5-0</f>
        <v>298.89999999999998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0+(558.9-276.1)+(0+(0-0))+0-6.7-0</f>
        <v>276.09999999999997</v>
      </c>
      <c r="G164" s="3">
        <f>0+(401.1-125)+(0+(-0.204561--0.06375))+0-6.7--0.00341699999999932</f>
        <v>269.26260600000006</v>
      </c>
      <c r="H164" s="3">
        <f>0+(359.8-97.9)+(0+(-0.366996--0.099858))+0-6.8--0.00693600000000108</f>
        <v>254.83979799999997</v>
      </c>
      <c r="I164" s="3">
        <f>0+(374.2-118.3)+(0+(0.190842-0.060333))+0-7-0.00356999999999929</f>
        <v>249.026939</v>
      </c>
      <c r="J164" s="3">
        <f>0+(340-71.6)+(0+(0-0))+0-7.2-0</f>
        <v>261.2</v>
      </c>
      <c r="K164" s="3">
        <f>0+(326.1-74.5)+(0+(0-0))+0-8-0</f>
        <v>243.60000000000002</v>
      </c>
      <c r="L164" s="3">
        <f>0+(341-107.3)+(0+(-1.21737--0.383061))+0-10--0.0357000000000001</f>
        <v>222.90139099999999</v>
      </c>
      <c r="M164" s="3">
        <f>0+(365-145.1)+(0+(-0.55845--0.222003))+0-12.5--0.0191250000000007</f>
        <v>207.08267800000002</v>
      </c>
      <c r="N164" s="3">
        <f>0+(344.8-113.5)+(0+(0.527544-0.173655))+0-14.9-0.0227970000000009</f>
        <v>216.73109200000002</v>
      </c>
      <c r="O164" s="3">
        <f>0+(331.4-95.2)+(0+(0.338028-0.097104))+0-13-0.0132600000000021</f>
        <v>223.42766399999999</v>
      </c>
      <c r="P164" s="3">
        <f>0+(342.4-99.3)+(0+(-0.174624--0.050643))+0-16.3--0.00831299999999835</f>
        <v>226.68433199999996</v>
      </c>
      <c r="Q164" s="3">
        <f>0+(351.5-100)+(0+(0-0))+0-19-0</f>
        <v>232.5</v>
      </c>
      <c r="R164" s="3">
        <f>0+(342.8-92.8)+(0+(-0.174828--0.047328))+0-19.6--0.00999599999999801</f>
        <v>230.28249600000001</v>
      </c>
      <c r="S164" s="3">
        <f>0+(317.3-87.8)+(0+(0-0))+0-21.5-0</f>
        <v>208</v>
      </c>
      <c r="T164" s="3">
        <f>0+(315.2-84.1)+(0+(-0.80376--0.214455))+0-20.2--0.0515099999999971</f>
        <v>210.36220500000002</v>
      </c>
      <c r="U164" s="3">
        <f>0+(295.3-67)+(0+(-0.753015--0.17085))+0-23.1--0.0589049999999967</f>
        <v>204.67674000000002</v>
      </c>
      <c r="V164" s="3">
        <f>0+(313.2-82.4)+(0+(0-0))+0-26.2-0</f>
        <v>204.6</v>
      </c>
      <c r="W164" s="3">
        <f>0+(296.2-59.2)+(0+(-0.906372--0.181152))+0-25.9--0.079254000000003</f>
        <v>210.45403399999998</v>
      </c>
      <c r="X164" s="3">
        <f>0+(344.3-103.2)+(0+(-0.526779--0.157896))+0-29.3--0.0448290000000017</f>
        <v>211.47594599999999</v>
      </c>
      <c r="Y164" s="3">
        <f>0+(391.7-130.2)+(0+(-0.199767--0.066402))+0-29.6--0.015095999999997</f>
        <v>231.78173099999998</v>
      </c>
      <c r="Z164" s="3">
        <f>0+(467.2-184.6)+(0+(-1.19136--0.47073))+0-29.8--0.0759899999999957</f>
        <v>252.15535999999997</v>
      </c>
      <c r="AA164" s="3">
        <f>0+(479.4-198.8)+(0+(-1.22247--0.50694))+0-29.3--0.0747149999999958</f>
        <v>250.65918499999995</v>
      </c>
      <c r="AB164" s="3">
        <f>0+(510.2-236.8)+(0+(-1.040808--0.483072))+0-28.4--0.0579359999999988</f>
        <v>244.50020000000001</v>
      </c>
      <c r="AC164" s="3">
        <f>0+(494.3-229.3)+(0+(0-0))+0-26.6-0</f>
        <v>238.4</v>
      </c>
      <c r="AD164">
        <v>257.59999999999997</v>
      </c>
      <c r="AE164" s="3">
        <f>0+(477.4-190.8)+(0+(0-0))+0-29-0</f>
        <v>257.59999999999997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0+(453.6-184.5)+(0+(-0.231336--0.094095))+0-29.2--0.014891999999997</f>
        <v>239.77765100000002</v>
      </c>
      <c r="G165" s="3">
        <f>0+(380.9-115.8)+(0+(-0.582777--0.177174))+0-29.3--0.0448290000000017</f>
        <v>235.43922599999996</v>
      </c>
      <c r="H165" s="3">
        <f>0+(336.7-84.1)+(0+(-0.171717--0.042891))+0-27.1--0.0138209999999973</f>
        <v>225.384995</v>
      </c>
      <c r="I165" s="3">
        <f>0+(340.9-91.4)+(0+(-0.347718--0.093228))+0-25.2--0.025704000000004</f>
        <v>224.07121399999997</v>
      </c>
      <c r="J165" s="3">
        <f>0+(338.3-85.3)+(0+(-0.172533--0.043503))+0-28.8--0.0146879999999971</f>
        <v>224.085658</v>
      </c>
      <c r="K165" s="3">
        <f>0+(335.5-84.2)+(0+(-0.68442--0.171768))+0-29--0.0591599999999987</f>
        <v>221.846508</v>
      </c>
      <c r="L165" s="3">
        <f>0+(364.1-117.5)+(0+(-1.299837--0.419475))+0-29.1--0.103887</f>
        <v>216.72352500000002</v>
      </c>
      <c r="M165" s="3">
        <f>0+(350.9-99.1)+(0+(-0.357918--0.101082))+0-28.8--0.0293760000000046</f>
        <v>222.77253999999999</v>
      </c>
      <c r="N165" s="3">
        <f>0+(368.5-107)+(0+(0-0))+0-28.7-0</f>
        <v>232.8</v>
      </c>
      <c r="O165" s="3">
        <f>0+(362.4-92.5)+(0+(0.184824-0.047175))+0-24.5-0.0124949999999975</f>
        <v>245.52515399999999</v>
      </c>
      <c r="P165" s="3">
        <f>0+(376.8-97.6)+(0+(-0.192168--0.049776))+0-30--0.015299999999997</f>
        <v>249.07290800000007</v>
      </c>
      <c r="Q165" s="3">
        <f>0+(437.9-150.7)+(0+(-0.669987--0.230571))+0-30.9--0.0472770000000018</f>
        <v>255.907861</v>
      </c>
      <c r="R165" s="3">
        <f>0+(483.1-204.2)+(0+(-0.246381--0.104142))+0-30.9--0.0157589999999969</f>
        <v>247.87352000000001</v>
      </c>
      <c r="S165" s="3">
        <f>0+(513.6-242.8)+(0+(-0.523872--0.247656))+0-30.8--0.0314160000000049</f>
        <v>239.75520000000003</v>
      </c>
      <c r="T165" s="3">
        <f>0+(515.7-243.7)+(0+(-0.263007--0.124287))+0-30.7--0.0156569999999969</f>
        <v>241.17693700000009</v>
      </c>
      <c r="U165" s="3">
        <f>0+(497.4-226.6)+(0+(-1.014696--0.462264))+0-30.6--0.0624239999999987</f>
        <v>239.70999199999994</v>
      </c>
      <c r="V165" s="3">
        <f>0+(504.7-235.8)+(0+(0.772191-0.360774))+0-30.9-0.0472770000000018</f>
        <v>238.36413999999994</v>
      </c>
      <c r="W165" s="3">
        <f>0+(493-221.1)+(0+(-1.00572--0.451044))+0-30.8--0.0628319999999987</f>
        <v>240.60815599999998</v>
      </c>
      <c r="X165" s="3">
        <f>0+(491.3-220.3)+(0+(-0.501126--0.224706))+0-30.4--0.0310080000000048</f>
        <v>240.35458800000004</v>
      </c>
      <c r="Y165" s="3">
        <f>0+(475.7-193.6)+(0+(0-0))+0-27.1-0</f>
        <v>255.00000000000003</v>
      </c>
      <c r="Z165" s="3">
        <f>0+(460-154)+(0+(-0.7038--0.23562))+0-31.9--0.0488070000000018</f>
        <v>273.68062700000002</v>
      </c>
      <c r="AA165" s="3">
        <f>0+(471.9-167.1)+(0+(-1.203345--0.426105))+0-30.6--0.0780299999999956</f>
        <v>273.50078999999994</v>
      </c>
      <c r="AB165" s="3">
        <f>0+(495.8-200.2)+(0+(-0.758574--0.306306))+0-29.9--0.0457470000000017</f>
        <v>265.29347900000005</v>
      </c>
      <c r="AC165" s="3">
        <f>0+(506.6-216.8)+(0+(0.258366-0.110568))+0-31.8-0.0162179999999968</f>
        <v>258.13158000000004</v>
      </c>
      <c r="AD165">
        <v>266.8</v>
      </c>
      <c r="AE165" s="3">
        <f>0+(468-170.5)+(0+(0-0))+0-30.7-0</f>
        <v>266.8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0+(502.2-213.9)+(0+(0.512244-0.218178))+0-32.1-0.0327420000000051</f>
        <v>256.46132399999993</v>
      </c>
      <c r="G166" s="3">
        <f>0+(463.3-181.3)+(0+(-0.708849--0.277389))+0-32.2--0.0492660000000019</f>
        <v>249.41780599999998</v>
      </c>
      <c r="H166" s="3">
        <f>0+(401.9-129.4)+(0+(-0.409938--0.131988))+0-31.6--0.032232000000005</f>
        <v>240.65428200000002</v>
      </c>
      <c r="I166" s="3">
        <f>0+(397.1-129.5)+(0+(-1.012605--0.330225))+0-32--0.0815999999999954</f>
        <v>234.99922000000001</v>
      </c>
      <c r="J166" s="3">
        <f>0+(387.1-120.7)+(0+(-0.987105--0.307785))+0-31.9--0.0813449999999954</f>
        <v>233.90202500000001</v>
      </c>
      <c r="K166" s="3">
        <f>0+(437.2-177.5)+(0+(0.668916-0.271575))+0-27.5-0.0420750000000016</f>
        <v>232.55526599999996</v>
      </c>
      <c r="L166" s="3">
        <f>0+(426.6-180.6)+(0+(-1.305396--0.552636))+0-16.3--0.0498780000000019</f>
        <v>228.99711800000003</v>
      </c>
      <c r="M166" s="3">
        <f>0+(427.7-178.4)+(0+(0.218127-0.090984))+0-25.4-0.0129539999999974</f>
        <v>224.01418899999996</v>
      </c>
      <c r="N166" s="3">
        <f>0+(412.6-158.9)+(0+(0.631278-0.243117))+0-28.9-0.0442170000000017</f>
        <v>225.143944</v>
      </c>
      <c r="O166" s="3">
        <f>0+(420.2-153)+(0+(0-0))+0-30.7-0</f>
        <v>236.5</v>
      </c>
      <c r="P166" s="3">
        <f>0+(429.1-174.6)+(0+(0.656523-0.267138))+0-14-0.0214200000000008</f>
        <v>240.86796500000003</v>
      </c>
      <c r="Q166" s="3">
        <f>0+(406.2-157.9)+(0+(0.414324-0.161058))+0-0-0</f>
        <v>248.55326599999998</v>
      </c>
      <c r="R166" s="3">
        <f>0+(369.9-120.1)+(0+(-0.754596--0.245004))+0-2.2--0.0044879999999999</f>
        <v>247.09489600000001</v>
      </c>
      <c r="S166" s="3">
        <f>0+(420.7-158.3)+(0+(0-0))+0-24.6-0</f>
        <v>237.79999999999998</v>
      </c>
      <c r="T166" s="3">
        <f>0+(422.4-156.7)+(0+(0.215424-0.079917))+0-29.4-0.014993999999997</f>
        <v>236.420513</v>
      </c>
      <c r="U166" s="3">
        <f>0+(425-166)+(0+(-0.65025--0.25398))+0-30.6--0.0468180000000018</f>
        <v>228.05054799999999</v>
      </c>
      <c r="V166" s="3">
        <f>0+(423.7-165.9)+(0+(-0.864348--0.338436))+0-31.5--0.0642599999999986</f>
        <v>225.83834799999994</v>
      </c>
      <c r="W166" s="3">
        <f>0+(440.9-172.3)+(0+(-0.674577--0.263619))+0-33.2--0.0507960000000019</f>
        <v>235.03983799999997</v>
      </c>
      <c r="X166" s="3">
        <f>0+(402.4-130.5)+(0+(-1.02612--0.332775))+0-32.8--0.0836399999999952</f>
        <v>238.49029499999995</v>
      </c>
      <c r="Y166" s="3">
        <f>0+(418.3-122.1)+(0+(0-0))+0-33.3-0</f>
        <v>262.90000000000003</v>
      </c>
      <c r="Z166" s="3">
        <f>0+(428.9-109.3)+(0+(-0.656217--0.167229))+0-33.1--0.0506430000000019</f>
        <v>286.06165499999992</v>
      </c>
      <c r="AA166" s="3">
        <f>0+(453.4-144.2)+(0+(-0.693702--0.220626))+0-33.1--0.0506430000000019</f>
        <v>275.67756699999995</v>
      </c>
      <c r="AB166" s="3">
        <f>0+(477-173.8)+(0+(-0.48654--0.177276))+0-32.2--0.0328440000000051</f>
        <v>270.72358000000003</v>
      </c>
      <c r="AC166" s="3">
        <f>0+(480.2-179.7)+(0+(-1.22451--0.458235))+0-33.6--0.0856799999999951</f>
        <v>266.21940499999994</v>
      </c>
      <c r="AD166">
        <v>275.39999999999998</v>
      </c>
      <c r="AE166" s="3">
        <f>0+(439.3-129.8)+(0+(0-0))+0-34.1-0</f>
        <v>275.39999999999998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0+(451.5-170.1)+(0+(-0.92106--0.347004))+0-32.7--0.0667079999999986</f>
        <v>248.19265200000001</v>
      </c>
      <c r="G167" s="3">
        <f>0+(432.2-146.8)+(0+(-1.10211--0.37434))+0-33--0.0841499999999952</f>
        <v>251.75637999999995</v>
      </c>
      <c r="H167" s="3">
        <f>0+(344-68.3)+(0+(-0.70176--0.139332))+0-32.7--0.0667079999999986</f>
        <v>242.50427999999999</v>
      </c>
      <c r="I167" s="3">
        <f>0+(346.2-72.2)+(0+(-0.176562--0.036822))+0-32.7--0.0166769999999967</f>
        <v>241.17693699999998</v>
      </c>
      <c r="J167" s="3">
        <f>0+(351.3-70.6)+(0+(0-0))+0-32.6-0</f>
        <v>248.10000000000005</v>
      </c>
      <c r="K167" s="3">
        <f>0+(302.3-22.1)+(0+(0.462519-0.033813))+0-32.8-0.0501840000000019</f>
        <v>247.77852199999995</v>
      </c>
      <c r="L167" s="3">
        <f>0+(308-31.1)+(0+(-0.94248--0.095166))+0-32.9--0.100674000000004</f>
        <v>243.25335999999999</v>
      </c>
      <c r="M167" s="3">
        <f>0+(309.3-11.4)+(0+(0.315486-0.011628))+0-32.9-0.0335580000000052</f>
        <v>265.27030000000002</v>
      </c>
      <c r="N167" s="3">
        <f>0+(393.7-73.8)+(0+(0.602361-0.112914))+0-32.3-0.0494190000000019</f>
        <v>288.04002799999995</v>
      </c>
      <c r="O167" s="3">
        <f>0+(464.6-128)+(0+(0.236946-0.06528))+0-33.5-0.0170849999999966</f>
        <v>303.25458100000003</v>
      </c>
      <c r="P167" s="3">
        <f>0+(608.4-260)+(0+(0.310284-0.1326))+0-33.8-0.0172379999999966</f>
        <v>314.76044599999994</v>
      </c>
      <c r="Q167" s="3">
        <f>0+(837.8-468.4)+(0+(0-0))+0-34.4-0</f>
        <v>335</v>
      </c>
      <c r="R167" s="3">
        <f>0+(938.6-570.5)+(0+(0-0))+0-32.4-0</f>
        <v>335.70000000000005</v>
      </c>
      <c r="S167" s="3">
        <f>0+(1031.1-680.8)+(0+(-1.577583--1.041624))+0-31.5--0.0481950000000018</f>
        <v>318.31223599999998</v>
      </c>
      <c r="T167" s="3">
        <f>0+(1031.3-681.4)+(0+(0.525963-0.347514))+0-31.9-0.0162689999999968</f>
        <v>318.16217999999998</v>
      </c>
      <c r="U167" s="3">
        <f>0+(947.4-599.8)+(0+(-1.449522--0.917694))+0-32.6--0.0498780000000019</f>
        <v>314.51804999999996</v>
      </c>
      <c r="V167" s="3">
        <f>0+(863-521.7)+(0+(-1.76052--1.064268))+0-33.2--0.0677279999999986</f>
        <v>307.47147599999994</v>
      </c>
      <c r="W167" s="3">
        <f>0+(806.3-469.9)+(0+(-2.056065--1.198245))+0-30.1--0.0767549999999956</f>
        <v>305.51893499999994</v>
      </c>
      <c r="X167" s="3">
        <f>0+(657-331.1)+(0+(-2.34549--1.182027))+0-27--0.0963900000000004</f>
        <v>297.83292699999998</v>
      </c>
      <c r="Y167" s="3">
        <f>0+(517.2-167.8)+(0+(-0.527544--0.171156))+0-32--0.0326400000000051</f>
        <v>317.07625200000007</v>
      </c>
      <c r="Z167" s="3">
        <f>0+(656.6-299.6)+(0+(-0.334866--0.152796))+0-32.1--0.0163709999999967</f>
        <v>324.73430099999996</v>
      </c>
      <c r="AA167" s="3">
        <f>0+(749.6-397.1)+(0+(-2.676072--1.417647))+0-32.6--0.116382</f>
        <v>318.75795699999998</v>
      </c>
      <c r="AB167" s="3">
        <f>0+(733.9-390.9)+(0+(-0.748578--0.398718))+0-31.9--0.0325380000000051</f>
        <v>310.78267800000003</v>
      </c>
      <c r="AC167" s="3">
        <f>0+(652.7-330.7)+(0+(-0.665754--0.337314))+0-29.1--0.0296820000000046</f>
        <v>292.60124200000001</v>
      </c>
      <c r="AD167">
        <v>324.79999999999995</v>
      </c>
      <c r="AE167" s="3">
        <f>0+(694.8-336.7)+(0+(0-0))+0-33.3-0</f>
        <v>324.79999999999995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0+(604.5-294.5)+(0+(-0.61659--0.30039))+0-32.8--0.0334560000000052</f>
        <v>276.91725600000001</v>
      </c>
      <c r="G168" s="3">
        <f>0+(494.4-192.9)+(0+(0-0))+0-32.6-0</f>
        <v>268.89999999999998</v>
      </c>
      <c r="H168" s="3">
        <f>0+(438.4-142)+(0+(-0.223584--0.07242))+0-32--0.0163199999999968</f>
        <v>264.26515599999999</v>
      </c>
      <c r="I168" s="3">
        <f>0+(427-139.5)+(0+(-0.65331--0.213435))+0-31.9--0.0488070000000018</f>
        <v>255.20893200000003</v>
      </c>
      <c r="J168" s="3">
        <f>0+(434.5-148.6)+(0+(-0.44319--0.151572))+0-31.8--0.0324360000000051</f>
        <v>253.84081799999996</v>
      </c>
      <c r="K168" s="3">
        <f>0+(448.8-163)+(0+(-0.457776--0.16626))+0-32.1--0.0327420000000051</f>
        <v>253.44122600000003</v>
      </c>
      <c r="L168" s="3">
        <f>0+(405.6-120.3)+(0+(-0.827424--0.245412))+0-32.7--0.0667079999999986</f>
        <v>252.08469600000001</v>
      </c>
      <c r="M168" s="3">
        <f>0+(403-103.8)+(0+(0.41106-0.105876))+0-33.1-0.0337620000000053</f>
        <v>266.37142199999994</v>
      </c>
      <c r="N168" s="3">
        <f>0+(561.2-234.3)+(0+(0.572424-0.238986))+0-32-0.0326400000000051</f>
        <v>295.20079800000002</v>
      </c>
      <c r="O168" s="3">
        <f>0+(772.5-384.4)+(0+(0-0))+0-31.6-0</f>
        <v>356.5</v>
      </c>
      <c r="P168" s="3">
        <f>4.9+(829.1-477.1)+(-0.004998+(-0.845682--0.486642))+0-33.2--0.0338640000000053</f>
        <v>323.36982599999999</v>
      </c>
      <c r="Q168" s="3">
        <f>106.1+(897.2-630.7)+(0.054111+(0.457572-0.321657))+0-33-0.0168299999999967</f>
        <v>339.77319600000004</v>
      </c>
      <c r="R168" s="3">
        <f>111+(921.6-659.1)+(-0.05661+(-0.470016--0.336141))+0-32--0.0163199999999968</f>
        <v>341.32583499999998</v>
      </c>
      <c r="S168" s="3">
        <f>110.2+(911-669.9)+(-0.112404+(-0.92922--0.683298))+0-31.4--0.032028000000005</f>
        <v>319.57370200000008</v>
      </c>
      <c r="T168" s="3">
        <f>111.1+(908.3-662.2)+(0.056661+(0.463233-0.337722))+0-32.6-0.0166259999999967</f>
        <v>324.76554599999992</v>
      </c>
      <c r="U168" s="3">
        <f>110.8+(857.8-618.3)+(-0.113016+(-0.874956--0.630666))+0-30.3--0.0309060000000048</f>
        <v>319.67360000000002</v>
      </c>
      <c r="V168" s="3">
        <f>111+(815.6-581.5)+(-0.05661+(-0.415956--0.296565))+0-31.2--0.0159119999999968</f>
        <v>313.73991100000006</v>
      </c>
      <c r="W168" s="3">
        <f>110.7+(799-569.1)+(-0.169371+(-1.22247--0.870723))+0-29.6--0.0452880000000017</f>
        <v>310.52416999999997</v>
      </c>
      <c r="X168" s="3">
        <f>21.1+(671.9-360)+(-0.032283+(-1.028007--0.5508))+0-29.2--0.0446760000000017</f>
        <v>303.33518599999996</v>
      </c>
      <c r="Y168" s="3">
        <f>0+(589-249.1)+(0+(-0.60078--0.254082))+0-28.5--0.0290700000000045</f>
        <v>311.08237199999996</v>
      </c>
      <c r="Z168" s="3">
        <f>0+(633.2-286.4)+(0+(-0.322932--0.146064))+0-29.3--0.014942999999997</f>
        <v>317.33807500000006</v>
      </c>
      <c r="AA168" s="3">
        <f>0+(675.7-327.3)+(0+(-1.378428--0.667692))+0-28.6--0.0583439999999988</f>
        <v>319.14760799999999</v>
      </c>
      <c r="AB168" s="3">
        <f>0+(702.9-356)+(0+(-2.150874--1.08936))+0-32.3--0.0988380000000037</f>
        <v>313.63732399999998</v>
      </c>
      <c r="AC168" s="3">
        <f>0+(630-294)+(0+(-0.3213--0.14994))+0-32.4--0.0165239999999967</f>
        <v>303.44516400000003</v>
      </c>
      <c r="AD168">
        <v>324.2</v>
      </c>
      <c r="AE168" s="3">
        <f>0+(712.4-360.8)+(0+(0-0))+0-27.4-0</f>
        <v>324.2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0+(588.4-261.7)+(0+(-0.300084--0.133467))+0-32.2--0.0164219999999967</f>
        <v>294.349805</v>
      </c>
      <c r="G169" s="3">
        <f>0+(554.8-235.3)+(0+(-0.848844--0.360009))+0-28.1--0.0429930000000016</f>
        <v>290.95415799999995</v>
      </c>
      <c r="H169" s="3">
        <f>0+(358.6-46.6)+(0+(-0.182886--0.023766))+0-32.9--0.0167789999999967</f>
        <v>278.95765900000004</v>
      </c>
      <c r="I169" s="3">
        <f>0+(346.9-34.6)+(0+(-0.353838--0.035292))+0-32.7--0.0333540000000052</f>
        <v>279.31480799999997</v>
      </c>
      <c r="J169" s="3">
        <f>0+(333.8-32.8)+(0+(0.510714-0.050184))+0-28.4-0.0434520000000016</f>
        <v>273.01707800000003</v>
      </c>
      <c r="K169" s="3">
        <f>0+(319.9-13.7)+(0+(0-0))+0-29-0</f>
        <v>277.2</v>
      </c>
      <c r="L169" s="3">
        <f>0+(332.7-30.4)+(0+(-1.018062--0.093024))+0-28.2--0.0862920000000033</f>
        <v>273.26125400000006</v>
      </c>
      <c r="M169" s="3">
        <f>0+(410.4-93.3)+(0+(0.209304-0.047583))+0-27.9-0.0142289999999972</f>
        <v>289.34749199999999</v>
      </c>
      <c r="N169" s="3">
        <f>0+(621.3-274.8)+(0+(-0.316863--0.140148))+0-29.7--0.015146999999997</f>
        <v>316.63843199999997</v>
      </c>
      <c r="O169" s="3">
        <f>81.9+(887.7-602.7)+(0.041769+(0.452727-0.307377))+0-29.6-0.015095999999997</f>
        <v>337.47202299999998</v>
      </c>
      <c r="P169" s="3">
        <f>114.7+(846.5-599.7)+(0.058497+(0.431715-0.305847))+0-30.8-0.0157079999999969</f>
        <v>330.86865699999993</v>
      </c>
      <c r="Q169" s="3">
        <f>116.4+(866-593.7)+(0.178092+(1.32498-0.908361))+0-31-0.0474300000000018</f>
        <v>358.24728099999993</v>
      </c>
      <c r="R169" s="3">
        <f>115.4+(837.6-572.7)+(-0.176562+(-1.281528--0.876231))+0-30.9--0.0472770000000018</f>
        <v>348.86541799999998</v>
      </c>
      <c r="S169" s="3">
        <f>115.5+(889.1-649.6)+(0+(0-0))+0-29.5-0</f>
        <v>325.5</v>
      </c>
      <c r="T169" s="3">
        <f>110.9+(880.8-630.6)+(-0.056559+(-0.449208--0.321606))+0-28.7--0.0146369999999971</f>
        <v>332.2304759999999</v>
      </c>
      <c r="U169" s="3">
        <f>111.4+(812.8-567.7)+(0.113628+(0.829056-0.579054))+0-29.3-0.0298860000000047</f>
        <v>327.5337439999999</v>
      </c>
      <c r="V169" s="3">
        <f>111+(820.8-580.8)+(0+(0-0))+0-28.8-0</f>
        <v>322.2</v>
      </c>
      <c r="W169" s="3">
        <f>110.5+(835.2-593.8)+(-0.22542+(-1.703808--1.211352))+0-28.1--0.0573239999999988</f>
        <v>323.13944800000007</v>
      </c>
      <c r="X169" s="3">
        <f>110.7+(702.8-470)+(-0.169371+(-1.075284--0.7191))+0-28.3--0.0432990000000016</f>
        <v>314.71774399999993</v>
      </c>
      <c r="Y169" s="3">
        <f>111.4+(632.4-395)+(0.056814+(0.322524-0.20145))+0-28.4-0.0144839999999971</f>
        <v>320.56340399999999</v>
      </c>
      <c r="Z169" s="3">
        <f>110.9+(682.3-428.1)+(-0.113118+(-0.695946--0.436662))+0-30.7--0.0313140000000049</f>
        <v>334.05891199999991</v>
      </c>
      <c r="AA169" s="3">
        <f>66.1+(741.1-448.3)+(-0.168555+(-1.889805--1.143165))+0-31.2--0.0795599999999955</f>
        <v>326.86436500000002</v>
      </c>
      <c r="AB169" s="3">
        <f>50.6+(782.1-482.7)+(-0.077418+(-1.196613--0.738531))+0-30.8--0.0471240000000018</f>
        <v>318.71162400000003</v>
      </c>
      <c r="AC169" s="3">
        <f>8.8+(708.6-377.5)+(-0.008976+(-0.722772--0.38505))+0-30.5--0.0311100000000049</f>
        <v>309.08441200000004</v>
      </c>
      <c r="AD169">
        <v>334.6</v>
      </c>
      <c r="AE169" s="3">
        <f>111+(689.1-433.6)+(0+(0-0))+0-31.9-0</f>
        <v>334.6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0+(614.7-288.2)+(0+(-0.940491--0.440946))+0-30.5--0.0466650000000018</f>
        <v>295.54712000000006</v>
      </c>
      <c r="G170" s="3">
        <f>0+(472.7-155.4)+(0+(-0.723231--0.237762))+0-32.8--0.0501840000000019</f>
        <v>284.06471499999992</v>
      </c>
      <c r="H170" s="3">
        <f>0+(400.1-87.2)+(0+(-0.408102--0.088944))+0-32.5--0.0331500000000052</f>
        <v>280.113992</v>
      </c>
      <c r="I170" s="3">
        <f>0+(381.6-74.5)+(0+(-0.583848--0.113985))+0-32.2--0.0492660000000019</f>
        <v>274.47940300000005</v>
      </c>
      <c r="J170" s="3">
        <f>0+(404.5-99.5)+(0+(0.206295-0.050745))+0-31.8-0.0162179999999968</f>
        <v>273.33933200000001</v>
      </c>
      <c r="K170" s="3">
        <f>0+(409.3-100.7)+(0+(0.417486-0.102714))+0-31-0.0316200000000049</f>
        <v>277.883152</v>
      </c>
      <c r="L170" s="3">
        <f>0+(467.1-159.7)+(0+(-0.238221--0.081447))+0-31.6--0.0161159999999968</f>
        <v>275.65934200000004</v>
      </c>
      <c r="M170" s="3">
        <f>0+(420.9-98.3)+(0+(-0.429318--0.100266))+0-31.6--0.032232000000005</f>
        <v>290.70317999999997</v>
      </c>
      <c r="N170" s="3">
        <f>0+(631-281.2)+(0+(-0.64362--0.286824))+0-31.8--0.0324360000000051</f>
        <v>317.67564000000004</v>
      </c>
      <c r="O170" s="3">
        <f>0+(679-315.9)+(0+(0.34629-0.161109))+0-28.9-0.0147389999999971</f>
        <v>334.37044200000003</v>
      </c>
      <c r="P170" s="3">
        <f>0+(759.5-407.6)+(0+(0.77469-0.415752))+0-8.3-0.00846600000000132</f>
        <v>343.95047199999999</v>
      </c>
      <c r="Q170" s="3">
        <f>0+(823.1-472)+(0+(0-0))+0-8.3-0</f>
        <v>342.8</v>
      </c>
      <c r="R170" s="3">
        <f>57+(938.9-640)+(0.02907+(0.478839-0.3264))+0-8.2-0.00418199999999917</f>
        <v>347.87732699999998</v>
      </c>
      <c r="S170" s="3">
        <f>58+(913.4-642.2)+(-0.11832+(-1.863336--1.310088))+0-7.3--0.0148919999999997</f>
        <v>321.24332399999992</v>
      </c>
      <c r="T170" s="3">
        <f>50+(868.6-587.9)+(0.0255+(0.442986-0.299829))+0-7.2-0.00367199999999927</f>
        <v>323.66498500000006</v>
      </c>
      <c r="U170" s="3">
        <f>56+(857.7-585.2)+(-0.08568+(-1.312281--0.895356))+0-6.9--0.0105570000000004</f>
        <v>321.10795200000001</v>
      </c>
      <c r="V170" s="3">
        <f>57+(843.3-577.2)+(-0.02907+(-0.430083--0.294372))+0-7--0.00356999999999929</f>
        <v>315.93878899999993</v>
      </c>
      <c r="W170" s="3">
        <f>76+(614.6-367.7)+(-0.11628+(-0.940338--0.562581))+0-6.9--0.0105570000000004</f>
        <v>315.51652000000007</v>
      </c>
      <c r="X170" s="3">
        <f>80+(579.5-345.2)+(-0.0816+(-0.59109--0.352104))+0-6.9--0.0070380000000011</f>
        <v>307.08645200000007</v>
      </c>
      <c r="Y170" s="3">
        <f>75+(565.4-308.2)+(0+(0-0))+0-6.9-0</f>
        <v>325.3</v>
      </c>
      <c r="Z170" s="3">
        <f>15+(675.9-347.2)+(0+(0-0))+0-6.8-0</f>
        <v>336.9</v>
      </c>
      <c r="AA170" s="3">
        <f>0+(747.1-411.5)+(0+(-1.905105--1.049325))+0-6.7--0.017084999999999</f>
        <v>328.06130500000006</v>
      </c>
      <c r="AB170" s="3">
        <f>0+(785.2-456.4)+(0+(-2.00226--1.16382))+0-6.8--0.017339999999999</f>
        <v>321.17890000000006</v>
      </c>
      <c r="AC170" s="3">
        <f>0+(622-307.5)+(0+(-0.95166--0.470475))+0-7.5--0.0114750000000004</f>
        <v>306.53029000000004</v>
      </c>
      <c r="AD170">
        <v>334.29999999999995</v>
      </c>
      <c r="AE170" s="3">
        <f>0+(728.9-387.8)+(0+(0-0))+0-6.8-0</f>
        <v>334.29999999999995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0+(639.1-330.8)+(0+(-1.303764--0.674832))+0-9.2--0.0187679999999996</f>
        <v>298.48983600000003</v>
      </c>
      <c r="G171" s="3">
        <f>0+(588.2-289.7)+(0+(-0.899946--0.443241))+0-10.9--0.0166770000000006</f>
        <v>287.1599720000001</v>
      </c>
      <c r="H171" s="3">
        <f>0+(504.6-209.8)+(0+(-0.257346--0.106998))+0-10.6--0.00540599999999892</f>
        <v>284.05505799999997</v>
      </c>
      <c r="I171" s="3">
        <f>0+(482.4-188.9)+(0+(-0.984096--0.385356))+0-12.2--0.0248879999999995</f>
        <v>280.72614799999997</v>
      </c>
      <c r="J171" s="3">
        <f>0+(492.2-198.8)+(0+(-0.502044--0.202776))+0-15.9--0.0162180000000025</f>
        <v>277.21695</v>
      </c>
      <c r="K171" s="3">
        <f>0+(511.6-215.9)+(0+(0.260916-0.110109))+0-17.5-0.00892499999999822</f>
        <v>278.34188200000006</v>
      </c>
      <c r="L171" s="3">
        <f>0+(523.1-232.5)+(0+(-1.867467--0.830025))+0-15.1--0.0539070000000002</f>
        <v>274.51646499999998</v>
      </c>
      <c r="M171" s="3">
        <f>0+(516.7-211.1)+(0+(0.527034-0.215322))+0-15.9-0.0162180000000025</f>
        <v>289.99549400000006</v>
      </c>
      <c r="N171" s="3">
        <f>0+(533.1-204)+(0+(-0.271881--0.10404))+0-19.8--0.010097999999998</f>
        <v>309.14225699999997</v>
      </c>
      <c r="O171" s="3">
        <f>0+(610.8-262.7)+(0+(0-0))+0-21.7-0</f>
        <v>326.39999999999998</v>
      </c>
      <c r="P171" s="3">
        <f>0+(618.2-262.7)+(0+(-0.315282--0.133977))+0-23.7--0.0120869999999976</f>
        <v>331.63078200000007</v>
      </c>
      <c r="Q171" s="3">
        <f>0+(758-385.3)+(0+(-0.38658--0.196503))+0-26--0.0132599999999974</f>
        <v>346.52318300000002</v>
      </c>
      <c r="R171" s="3">
        <f>55+(840.4-515.7)+(-0.02805+(-0.428604--0.263007))+0-19.1--0.00974099999999806</f>
        <v>360.41609399999993</v>
      </c>
      <c r="S171" s="3">
        <f>75+(781.2-492.3)+(-0.11475+(-1.195236--0.753219))+0-29.1--0.0445230000000017</f>
        <v>334.28775600000006</v>
      </c>
      <c r="T171" s="3">
        <f>65+(794.9-514.5)+(-0.09945+(-1.216197--0.787185))+0-29.6--0.0452880000000017</f>
        <v>315.31682599999999</v>
      </c>
      <c r="U171" s="3">
        <f>90+(777.4-528.2)+(-0.2295+(-1.98237--1.34691))+0-29.7--0.0757349999999957</f>
        <v>308.71077499999996</v>
      </c>
      <c r="V171" s="3">
        <f>55+(811.9-527.6)+(-0.1122+(-1.656276--1.076304))+0-29.2--0.0595679999999987</f>
        <v>309.46739599999995</v>
      </c>
      <c r="W171" s="3">
        <f>50+(804.3-524.1)+(-0.153+(-2.461158--1.603746))+0-29.1--0.0890460000000034</f>
        <v>300.17863399999993</v>
      </c>
      <c r="X171" s="3">
        <f>85+(773.2-540.6)+(-0.30345+(-2.760324--1.929942))+0-29.8--0.106386</f>
        <v>286.77255400000001</v>
      </c>
      <c r="Y171" s="3">
        <f>90+(594.7-294.8)+(-0.0459+(-0.303297--0.150348))+0-30--0.015299999999997</f>
        <v>359.71645100000006</v>
      </c>
      <c r="Z171" s="3">
        <f>55+(557.9-282.4)+(-0.1122+(-1.138116--0.576096))+0-30.1--0.0614039999999987</f>
        <v>299.78718399999997</v>
      </c>
      <c r="AA171" s="3">
        <f>29+(642.6-284.2)+(-0.08874+(-1.966356--0.869652))+0-27.3--0.0835380000000032</f>
        <v>358.99809399999998</v>
      </c>
      <c r="AB171" s="3">
        <f>0+(606.4-250.2)+(0+(-1.54632--0.63801))+0-28.3--0.0721649999999959</f>
        <v>327.06385499999999</v>
      </c>
      <c r="AC171" s="3">
        <f>0+(512.2-167.8)+(0+(-0.522444--0.171156))+0-29.2--0.0297840000000047</f>
        <v>314.87849600000004</v>
      </c>
      <c r="AD171">
        <v>328.50000000000006</v>
      </c>
      <c r="AE171" s="3">
        <f>80+(589.2-310.5)+(0+(0-0))+0-30.2-0</f>
        <v>328.50000000000006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0+(581.1-253.3)+(0+(-0.592722--0.258366))+0-27.9--0.0284580000000044</f>
        <v>299.59410200000002</v>
      </c>
      <c r="G172" s="3">
        <f>0+(562-238)+(0+(-0.85986--0.36414))+0-28.1--0.0429930000000016</f>
        <v>295.447273</v>
      </c>
      <c r="H172" s="3">
        <f>0+(495.7-181.6)+(0+(-0.252807--0.092616))+0-30--0.015299999999997</f>
        <v>283.95510900000005</v>
      </c>
      <c r="I172" s="3">
        <f>0+(390.5-77.1)+(0+(-0.39831--0.078642))+0-30.3--0.0309060000000048</f>
        <v>282.811238</v>
      </c>
      <c r="J172" s="3">
        <f>0+(385.9-79.2)+(0+(0.196809-0.040392))+0-30.4-0.0155039999999969</f>
        <v>276.44091299999997</v>
      </c>
      <c r="K172" s="3">
        <f>0+(376.7-68)+(0+(-0.960585--0.1734))+0-29.8--0.0759899999999957</f>
        <v>278.18880499999995</v>
      </c>
      <c r="L172" s="3">
        <f>0+(398.3-90)+(0+(-0.812532--0.1836))+0-31--0.0632399999999986</f>
        <v>276.734308</v>
      </c>
      <c r="M172" s="3">
        <f>0+(414.5-93.2)+(0+(-0.211395--0.047532))+0-31.3--0.0159629999999968</f>
        <v>289.85210000000001</v>
      </c>
      <c r="N172" s="3">
        <f>0+(480.1-136.5)+(0+(0.244851-0.069615))+0-32.2-0.0164219999999967</f>
        <v>311.55881400000004</v>
      </c>
      <c r="O172" s="3">
        <f>0+(545.2-179.2)+(0+(0.556104-0.182784))+0-32.4-0.0330480000000052</f>
        <v>333.94027200000005</v>
      </c>
      <c r="P172" s="3">
        <f>0+(582.6-209.5)+(0+(0.297126-0.106845))+0-32.3-0.0164729999999967</f>
        <v>340.97380800000002</v>
      </c>
      <c r="Q172" s="3">
        <f>0+(628.3-244.6)+(0+(0.640866-0.249492))+0-31.8-0.0324360000000051</f>
        <v>352.25893799999989</v>
      </c>
      <c r="R172" s="3">
        <f>87+(552.4-265)+(0+(0-0))+0-31.8-0</f>
        <v>342.59999999999997</v>
      </c>
      <c r="S172" s="3">
        <f>77+(548.6-285.5)+(-0.19635+(-1.39893--0.728025))+0-30.9--0.0787949999999955</f>
        <v>308.41154000000006</v>
      </c>
      <c r="T172" s="3">
        <f>50+(576.5-294.4)+(0.051+(0.58803-0.300288))+0-31.5-0.032130000000005</f>
        <v>300.90661200000005</v>
      </c>
      <c r="U172" s="3">
        <f>58+(576.8-309.5)+(-0.05916+(-0.588336--0.31569))+0-31.2--0.031824000000005</f>
        <v>293.80001800000002</v>
      </c>
      <c r="V172" s="3">
        <f>88+(632.6-400.9)+(-0.31416+(-2.258382--1.431213))+0-31.1--0.111027</f>
        <v>287.56969800000002</v>
      </c>
      <c r="W172" s="3">
        <f>50+(624.5-353.4)+(-0.1275+(-1.592475--0.90117))+0-31.3--0.0798149999999955</f>
        <v>289.06101000000001</v>
      </c>
      <c r="X172" s="3">
        <f>32+(579.7-284.7)+(-0.04896+(-0.886941--0.435591))+0-31.7--0.0485010000000018</f>
        <v>294.84819100000004</v>
      </c>
      <c r="Y172" s="3">
        <f>0+(517.8-173.8)+(0+(-0.264078--0.088638))+0-32.2--0.0164219999999967</f>
        <v>311.64098199999995</v>
      </c>
      <c r="Z172" s="3">
        <f>0+(517.8-162.7)+(0+(-1.32039--0.414885))+0-32.4--0.0826199999999953</f>
        <v>321.877115</v>
      </c>
      <c r="AA172" s="3">
        <f>0+(512.2-167)+(0+(-0.783666--0.25551))+0-32.5--0.0497250000000019</f>
        <v>312.22156900000004</v>
      </c>
      <c r="AB172" s="3">
        <f>0+(487.4-149)+(0+(-1.24287--0.37995))+0-32.5--0.0828749999999953</f>
        <v>305.119955</v>
      </c>
      <c r="AC172" s="3">
        <f>0+(520.3-199.6)+(0+(0-0))+0-29.5-0</f>
        <v>291.19999999999993</v>
      </c>
      <c r="AD172">
        <v>323.10000000000002</v>
      </c>
      <c r="AE172" s="3">
        <f>0+(531.1-175.5)+(0+(0-0))+0-32.5-0</f>
        <v>323.10000000000002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0+(484.1-164.9)+(0+(0.246891-0.084099))+0-32.7-0.0166769999999967</f>
        <v>286.64611500000007</v>
      </c>
      <c r="G173" s="3">
        <f>0+(452.9-143.3)+(0+(-0.692937--0.219249))+0-32--0.0489600000000018</f>
        <v>277.17527200000001</v>
      </c>
      <c r="H173" s="3">
        <f>0+(382.5-85.3)+(0+(0.585225-0.130509))+0-32.2-0.0492660000000019</f>
        <v>265.40545000000003</v>
      </c>
      <c r="I173" s="3">
        <f>0+(391.8-95.4)+(0+(-0.399636--0.097308))+0-32--0.0326400000000051</f>
        <v>264.130312</v>
      </c>
      <c r="J173" s="3">
        <f>0+(351.7-59.4)+(0+(0.179367-0.030294))+0-32-0.0163199999999968</f>
        <v>260.43275299999999</v>
      </c>
      <c r="K173" s="3">
        <f>0+(336.7-38.5)+(0+(-0.343434--0.03927))+0-32--0.0326400000000051</f>
        <v>265.92847599999999</v>
      </c>
      <c r="L173" s="3">
        <f>0+(370.2-90.3)+(0+(-0.377604--0.092106))+0-31.6--0.032232000000005</f>
        <v>248.04673399999996</v>
      </c>
      <c r="M173" s="3">
        <f>0+(351.7-78.2)+(0+(-0.358734--0.079764))+0-32.5--0.0331500000000052</f>
        <v>240.75417999999999</v>
      </c>
      <c r="N173" s="3">
        <f>0+(296.5-25.6)+(0+(-0.60486--0.052224))+0-32.6--0.0665039999999986</f>
        <v>237.81386799999999</v>
      </c>
      <c r="O173" s="3">
        <f>2+(307.3-24.2)+(0.00306+(0.470169-0.037026))+0-32.5-0.0497250000000019</f>
        <v>252.98647800000001</v>
      </c>
      <c r="P173" s="3">
        <f>56+(298.4-48)+(-0.08568+(-0.456552--0.07344))+0-32.5--0.0497250000000019</f>
        <v>273.48093299999999</v>
      </c>
      <c r="Q173" s="3">
        <f>37+(321.3-67.8)+(-0.01887+(-0.163863--0.034578))+0-33.4--0.0170339999999966</f>
        <v>256.96887900000007</v>
      </c>
      <c r="R173" s="3">
        <f>0+(350.3-59.3)+(0+(-0.714612--0.120972))+0-33.3--0.0679319999999985</f>
        <v>257.17429199999998</v>
      </c>
      <c r="S173" s="3">
        <f>0+(336.7-52.2)+(0+(0-0))+0-33.3-0</f>
        <v>251.2</v>
      </c>
      <c r="T173" s="3">
        <f>0+(334.6-53.5)+(0+(-0.341292--0.05457))+0-32.7--0.0333540000000052</f>
        <v>248.14663200000004</v>
      </c>
      <c r="U173" s="3">
        <f>0+(331.5-49.5)+(0+(-0.33813--0.05049))+0-32.7--0.0333540000000052</f>
        <v>249.045714</v>
      </c>
      <c r="V173" s="3">
        <f>0+(468.2-185.3)+(0+(-0.477564--0.189006))+0-32.8--0.0334560000000052</f>
        <v>249.84489799999994</v>
      </c>
      <c r="W173" s="3">
        <f>0+(475.7-181.9)+(0+(-0.970428--0.371076))+0-32.7--0.0667079999999986</f>
        <v>260.56735599999996</v>
      </c>
      <c r="X173" s="3">
        <f>0+(476.1-181.7)+(0+(-0.728433--0.278001))+0-32.6--0.0498780000000019</f>
        <v>261.39944600000001</v>
      </c>
      <c r="Y173" s="3">
        <f>0+(494.6-172.9)+(0+(-0.252246--0.088179))+0-33.2--0.0169319999999966</f>
        <v>288.35286500000007</v>
      </c>
      <c r="Z173" s="3">
        <f>0+(468.9-122.9)+(0+(-0.956556--0.250716))+0-33.6--0.0685439999999985</f>
        <v>311.76270399999993</v>
      </c>
      <c r="AA173" s="3">
        <f>0+(463.3-143.5)+(0+(-1.653981--0.512295))+0-26--0.0928200000000004</f>
        <v>292.75113400000004</v>
      </c>
      <c r="AB173" s="3">
        <f>0+(461-129.5)+(0+(0.47022-0.13209))+0-32.3-0.0329460000000051</f>
        <v>299.50518399999999</v>
      </c>
      <c r="AC173" s="3">
        <f>0+(458.5-134.9)+(0+(-0.233835--0.068799))+0-32.4--0.0165239999999967</f>
        <v>291.05148800000006</v>
      </c>
      <c r="AD173">
        <v>319.7</v>
      </c>
      <c r="AE173" s="3">
        <f>0+(465.1-110.6)+(0+(0-0))+0-34.8-0</f>
        <v>319.7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0+(420.4-107.5)+(0+(0-0))+0-31.7-0</f>
        <v>281.2</v>
      </c>
      <c r="G174" s="3">
        <f>0+(389.9-85.2)+(0+(-0.198849--0.043452))+0-31.6--0.0161159999999968</f>
        <v>272.96071899999998</v>
      </c>
      <c r="H174" s="3">
        <f>0+(362.7-61)+(0+(0-0))+0-32.4-0</f>
        <v>269.3</v>
      </c>
      <c r="I174" s="3">
        <f>0+(366.9-71.5)+(0+(-0.748476--0.14586))+0-32.7--0.0667079999999986</f>
        <v>262.16409199999998</v>
      </c>
      <c r="J174" s="3">
        <f>0+(375.1-74.2)+(0+(-1.147806--0.227052))+0-32.3--0.0988380000000037</f>
        <v>267.77808400000004</v>
      </c>
      <c r="K174" s="3">
        <f>0+(386.5-85.1)+(0+(-0.39423--0.086802))+0-32.5--0.0331500000000052</f>
        <v>268.62572199999994</v>
      </c>
      <c r="L174" s="3">
        <f>0+(397.7-102.5)+(0+(-1.014135--0.261375))+0-32.8--0.0836399999999952</f>
        <v>261.73087999999996</v>
      </c>
      <c r="M174" s="3">
        <f>0+(458.2-145.9)+(0+(-0.233682--0.074409))+0-31.3--0.0159629999999968</f>
        <v>280.85668999999996</v>
      </c>
      <c r="N174" s="3">
        <f>0+(468.4-126.6)+(0+(0-0))+0-31.2-0</f>
        <v>310.59999999999997</v>
      </c>
      <c r="O174" s="3">
        <f>0+(541.9-184.4)+(0+(-0.276369--0.094044))+0-30.2--0.0154019999999969</f>
        <v>327.13307700000001</v>
      </c>
      <c r="P174" s="3">
        <f>0+(684.8-320.2)+(0+(1.396992-0.653208))+0-31.6-0.0644639999999986</f>
        <v>333.67931999999996</v>
      </c>
      <c r="Q174" s="3">
        <f>0+(802-420.6)+(0+(0.40902-0.214506))+0-31-0.0158099999999969</f>
        <v>350.57870400000002</v>
      </c>
      <c r="R174" s="3">
        <f>0+(787.7-404.7)+(0+(-0.803454--0.412794))+0-31.8--0.0324360000000051</f>
        <v>350.84177600000004</v>
      </c>
      <c r="S174" s="3">
        <f>0+(789.5-438.3)+(0+(-1.61058--0.894132))+0-29.2--0.0595679999999987</f>
        <v>321.34312</v>
      </c>
      <c r="T174" s="3">
        <f>0+(796.8-440)+(0+(-0.406368--0.2244))+0-32.4--0.0165239999999967</f>
        <v>324.234556</v>
      </c>
      <c r="U174" s="3">
        <f>0+(821.8-463.7)+(0+(-0.419118--0.236487))+0-31.9--0.0162689999999968</f>
        <v>326.033638</v>
      </c>
      <c r="V174" s="3">
        <f>0+(855.9-503.7)+(0+(-1.309527--0.770661))+0-32.2--0.0492660000000019</f>
        <v>319.5104</v>
      </c>
      <c r="W174" s="3">
        <f>0+(827.3-475.3)+(0+(-2.109615--1.212015))+0-31.9--0.0813449999999954</f>
        <v>319.28374499999995</v>
      </c>
      <c r="X174" s="3">
        <f>0+(767.3-425.9)+(0+(-1.173969--0.651627))+0-33--0.0504900000000019</f>
        <v>307.92814800000002</v>
      </c>
      <c r="Y174" s="3">
        <f>0+(713.3-358.1)+(0+(0-0))+0-33.2-0</f>
        <v>321.99999999999994</v>
      </c>
      <c r="Z174" s="3">
        <f>0+(817-448.6)+(0+(-2.08335--1.14393))+0-33.4--0.0851699999999952</f>
        <v>334.14575000000002</v>
      </c>
      <c r="AA174" s="3">
        <f>0+(819.6-458)+(0+(-2.08998--1.1679))+0-30.9--0.0787949999999955</f>
        <v>329.85671500000007</v>
      </c>
      <c r="AB174" s="3">
        <f>0+(768.1-421.8)+(0+(-1.566924--0.860472))+0-33.1--0.0675239999999986</f>
        <v>312.56107199999997</v>
      </c>
      <c r="AC174" s="3">
        <f>0+(681.4-349.1)+(0+(0-0))+0-32.7-0</f>
        <v>299.59999999999997</v>
      </c>
      <c r="AD174">
        <v>328.99999999999994</v>
      </c>
      <c r="AE174" s="3">
        <f>0+(821.8-458.8)+(0+(0-0))+0-34-0</f>
        <v>328.99999999999994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0+(622.4-290.4)+(0+(-1.58712--0.74052))+0-32.2--0.0821099999999953</f>
        <v>299.03550999999999</v>
      </c>
      <c r="G175" s="3">
        <f>0+(597.9-281.6)+(0+(-1.219716--0.574464))+0-31.9--0.0650759999999986</f>
        <v>283.81982399999993</v>
      </c>
      <c r="H175" s="3">
        <f>0+(534.7-221.1)+(0+(-0.545394--0.225522))+0-31.5--0.032130000000005</f>
        <v>281.81225800000004</v>
      </c>
      <c r="I175" s="3">
        <f>0+(448.9-142.9)+(0+(-1.144695--0.364395))+0-33.7--0.0859349999999951</f>
        <v>271.60563500000001</v>
      </c>
      <c r="J175" s="3">
        <f>0+(431-122.7)+(0+(0.65943-0.187731))+0-32.3-0.0494190000000019</f>
        <v>276.42228</v>
      </c>
      <c r="K175" s="3">
        <f>0+(430-123.7)+(0+(0.6579-0.189261))+0-32.5-0.0497250000000019</f>
        <v>274.21891399999998</v>
      </c>
      <c r="L175" s="3">
        <f>0+(430.9-140.2)+(0+(-0.439518--0.143004))+0-22.9--0.0233580000000037</f>
        <v>267.52684400000004</v>
      </c>
      <c r="M175" s="3">
        <f>0+(455.1-141.5)+(0+(0.232101-0.072165))+0-30.3-0.0154529999999969</f>
        <v>283.44448300000005</v>
      </c>
      <c r="N175" s="3">
        <f>0+(528-188.2)+(0+(-0.26928--0.095982))+0-31.1--0.0158609999999968</f>
        <v>308.54256299999997</v>
      </c>
      <c r="O175" s="3">
        <f>0+(651.3-293.2)+(0+(0-0))+0-30.8-0</f>
        <v>327.29999999999995</v>
      </c>
      <c r="P175" s="3">
        <f>0+(728.4-354.4)+(0+(0.371484-0.180744))+0-30.6-0.0156059999999969</f>
        <v>343.57513399999999</v>
      </c>
      <c r="Q175" s="3">
        <f>0+(780.3-400.2)+(0+(0.397953-0.204102))+0-28.4-0.0144839999999971</f>
        <v>351.879367</v>
      </c>
      <c r="R175" s="3">
        <f>0+(823.8-443.6)+(0+(-0.420138--0.226236))+0-30.8--0.0157079999999969</f>
        <v>349.22180599999996</v>
      </c>
      <c r="S175" s="3">
        <f>0+(847.5-490.2)+(0+(-2.59335--1.500012))+0-26.4--0.080784000000003</f>
        <v>329.88744600000001</v>
      </c>
      <c r="T175" s="3">
        <f>0+(940.2-578)+(0+(0-0))+0-31.7-0</f>
        <v>330.50000000000006</v>
      </c>
      <c r="U175" s="3">
        <f>0+(914.9-553.8)+(0+(-1.866396--1.129752))+0-31.1--0.0634439999999986</f>
        <v>329.32679999999999</v>
      </c>
      <c r="V175" s="3">
        <f>0+(915.7-560.8)+(0+(0-0))+0-30.6-0</f>
        <v>324.30000000000007</v>
      </c>
      <c r="W175" s="3">
        <f>0+(853.3-503.3)+(0+(-1.305549--0.770049))+0-31.4--0.0480420000000018</f>
        <v>318.11254199999996</v>
      </c>
      <c r="X175" s="3">
        <f>0+(720.9-381.8)+(0+(0-0))+0-32.5-0</f>
        <v>306.59999999999997</v>
      </c>
      <c r="Y175" s="3">
        <f>0+(642.2-290.9)+(0+(-0.327522--0.148359))+0-31.8--0.0162179999999968</f>
        <v>319.33705500000002</v>
      </c>
      <c r="Z175" s="3">
        <f>0+(676.5-321.7)+(0+(-1.725075--0.820335))+0-29.1--0.0742049999999958</f>
        <v>324.86946499999999</v>
      </c>
      <c r="AA175" s="3">
        <f>0+(735.6-396.7)+(0+(-2.250936--1.213902))+0-27.5--0.0841500000000032</f>
        <v>310.44711600000005</v>
      </c>
      <c r="AB175" s="3">
        <f>0+(809.6-470.2)+(0+(-1.238688--0.719406))+0-31.2--0.0477360000000018</f>
        <v>307.72845400000006</v>
      </c>
      <c r="AC175" s="3">
        <f>0+(808.9-483.1)+(0+(-1.237617--0.739143))+0-31.4--0.0480420000000018</f>
        <v>293.949568</v>
      </c>
      <c r="AD175">
        <v>329.8</v>
      </c>
      <c r="AE175" s="3">
        <f>0+(678.6-316.7)+(0+(0-0))+0-32.1-0</f>
        <v>329.8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0+(694.9-386.1)+(0+(-1.417596--0.787644))+0-14.7--0.0299879999999994</f>
        <v>293.50003599999997</v>
      </c>
      <c r="G176" s="3">
        <f>0+(560.8-267.1)+(0+(0-0))+0-7.2-0</f>
        <v>286.49999999999994</v>
      </c>
      <c r="H176" s="3">
        <f>0+(529.7-245.7)+(0+(0-0))+0-7.2-0</f>
        <v>276.80000000000007</v>
      </c>
      <c r="I176" s="3">
        <f>0+(529.3-246.9)+(0+(-0.269943--0.125919))+0-7.3--0.00372299999999926</f>
        <v>274.95969899999994</v>
      </c>
      <c r="J176" s="3">
        <f>0+(483.6-205.1)+(0+(-0.986544--0.418404))+0-7.2--0.0146879999999997</f>
        <v>270.74654799999996</v>
      </c>
      <c r="K176" s="3">
        <f>0+(439-159.8)+(0+(0.22389-0.081498))+0-7.2-0.00367199999999927</f>
        <v>272.13871999999998</v>
      </c>
      <c r="L176" s="3">
        <f>0+(430-150.3)+(0+(-1.0965--0.383265))+0-7.2--0.018359999999999</f>
        <v>271.80512499999998</v>
      </c>
      <c r="M176" s="3">
        <f>0+(412.7-120.3)+(0+(-0.210477--0.061353))+0-7.1--0.00362099999999928</f>
        <v>285.15449699999999</v>
      </c>
      <c r="N176" s="3">
        <f>0+(620.3-299.7)+(0+(0.632706-0.305694))+0-7.1-0.00724200000000113</f>
        <v>313.81976999999995</v>
      </c>
      <c r="O176" s="3">
        <f>0+(642.8-307.3)+(0+(-0.983484--0.470169))+0-7.1--0.0108630000000004</f>
        <v>327.89754799999992</v>
      </c>
      <c r="P176" s="3">
        <f>0+(725.5-378.3)+(0+(-0.370005--0.192933))+0-7--0.00356999999999929</f>
        <v>340.026498</v>
      </c>
      <c r="Q176" s="3">
        <f>0+(879.1-525.2)+(0+(0-0))+0-7-0</f>
        <v>346.9</v>
      </c>
      <c r="R176" s="3">
        <f>0+(898.2-538.2)+(0+(0-0))+0-7-0</f>
        <v>353</v>
      </c>
      <c r="S176" s="3">
        <f>0+(906.9-576)+(0+(-1.387557--0.88128))+0-7.1--0.0108630000000004</f>
        <v>323.30458599999992</v>
      </c>
      <c r="T176" s="3">
        <f>0+(933.1-599.4)+(0+(-0.951762--0.611388))+0-7.6--0.00775200000000121</f>
        <v>325.76737800000001</v>
      </c>
      <c r="U176" s="3">
        <f>0+(947-613.7)+(0+(-0.48297--0.312987))+0-9.3--0.00474299999999906</f>
        <v>323.83475999999996</v>
      </c>
      <c r="V176" s="3">
        <f>0+(875.1-545.2)+(0+(-1.785204--1.112208))+0-11.3--0.0230519999999995</f>
        <v>317.95005599999996</v>
      </c>
      <c r="W176" s="3">
        <f>0+(778.4-451.8)+(0+(-2.381904--1.382508))+0-12.3--0.0376380000000014</f>
        <v>313.33824199999998</v>
      </c>
      <c r="X176" s="3">
        <f>0+(659.3-345.6)+(0+(-1.344972--0.705024))+0-12.4--0.0252959999999995</f>
        <v>300.68534799999998</v>
      </c>
      <c r="Y176" s="3">
        <f>0+(666.6-338.5)+(0+(-0.679932--0.34527))+0-14.4--0.0146880000000023</f>
        <v>313.38002600000004</v>
      </c>
      <c r="Z176" s="3">
        <f>0+(810.7-463.4)+(0+(-1.240371--0.709002))+0-14.6--0.0223380000000008</f>
        <v>332.19096900000005</v>
      </c>
      <c r="AA176" s="3">
        <f>0+(746.6-413.9)+(0+(-1.142298--0.633267))+0-14.2--0.0217260000000008</f>
        <v>318.01269500000006</v>
      </c>
      <c r="AB176" s="3">
        <f>0+(546.9-228.5)+(0+(-0.557838--0.23307))+0-14.9--0.0151980000000024</f>
        <v>303.19042999999999</v>
      </c>
      <c r="AC176" s="3">
        <f>0+(508.9-200.5)+(0+(-0.259539--0.102255))+0-18.5--0.00943499999999812</f>
        <v>289.75215099999997</v>
      </c>
      <c r="AD176">
        <v>329.70000000000005</v>
      </c>
      <c r="AE176" s="3">
        <f>0+(809.6-465.5)+(0+(0-0))+0-14.4-0</f>
        <v>329.70000000000005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0+(537.3-224.1)+(0+(-0.822069--0.342873))+0-20.2--0.0309060000000012</f>
        <v>292.55170999999996</v>
      </c>
      <c r="G177" s="3">
        <f>0+(594.9-291.1)+(0+(-0.910197--0.445383))+0-18.2--0.0278460000000011</f>
        <v>285.16303199999999</v>
      </c>
      <c r="H177" s="3">
        <f>0+(548.6-246.2)+(0+(-1.119144--0.502248))+0-24.3--0.0495719999999989</f>
        <v>277.53267600000004</v>
      </c>
      <c r="I177" s="3">
        <f>0+(508.6-209.8)+(0+(-0.259386--0.106998))+0-27.7--0.0141269999999972</f>
        <v>270.96173900000002</v>
      </c>
      <c r="J177" s="3">
        <f>0+(520.4-225.5)+(0+(0.265404-0.115005))+0-22.8-0.0116279999999977</f>
        <v>272.23877099999999</v>
      </c>
      <c r="K177" s="3">
        <f>0+(499.6-200.6)+(0+(-0.254796--0.102306))+0-27.8--0.0141779999999972</f>
        <v>271.061688</v>
      </c>
      <c r="L177" s="3">
        <f>0+(455.8-158.7)+(0+(-0.232458--0.080937))+0-27.5--0.0140249999999972</f>
        <v>269.46250400000002</v>
      </c>
      <c r="M177" s="3">
        <f>0+(503.3-192.3)+(0+(0.256683-0.098073))+0-27.8-0.0141779999999972</f>
        <v>283.34443199999998</v>
      </c>
      <c r="N177" s="3">
        <f>0+(682-342)+(0+(-1.39128--0.69768))+0-28.3--0.0577319999999988</f>
        <v>311.06413199999997</v>
      </c>
      <c r="O177" s="3">
        <f>0+(692.3-335.9)+(0+(0-0))+0-26.7-0</f>
        <v>329.7</v>
      </c>
      <c r="P177" s="3">
        <f>0+(821.2-452.6)+(0+(0.837624-0.461652))+0-26.9-0.0274380000000043</f>
        <v>342.04853400000002</v>
      </c>
      <c r="Q177" s="3">
        <f>0+(827.1-446.7)+(0+(0.843642-0.455634))+0-27.9-0.0284580000000044</f>
        <v>352.85955000000007</v>
      </c>
      <c r="R177" s="3">
        <f>0+(884.6-508)+(0+(0-0))+0-27-0</f>
        <v>349.6</v>
      </c>
      <c r="S177" s="3">
        <f>0+(923.6-552)+(0+(0-0))+0-28-0</f>
        <v>343.6</v>
      </c>
      <c r="T177" s="3">
        <f>0+(956.9-576)+(0+(0-0))+0-28-0</f>
        <v>352.9</v>
      </c>
      <c r="U177" s="3">
        <f>0+(917.6-600)+(0+(0-0))+0-29-0</f>
        <v>288.60000000000002</v>
      </c>
      <c r="V177" s="3">
        <f>0+(977.6-617)+(0+(0-0))+0-29-0</f>
        <v>331.6</v>
      </c>
      <c r="W177" s="3">
        <f>0+(831.2-500)+(0+(0-0))+0-28-0</f>
        <v>303.20000000000005</v>
      </c>
      <c r="X177" s="3">
        <f>0+(674.8-333)+(0+(-1.72074--0.84915))+0-26--0.0662999999999962</f>
        <v>314.99470999999994</v>
      </c>
      <c r="Y177" s="3">
        <f>0+(741-342)+(0+(-0.75582--0.34884))+0-27--0.0275400000000043</f>
        <v>371.62056000000001</v>
      </c>
      <c r="Z177" s="3">
        <f>0+(791.1-433)+(0+(-2.017305--1.10415))+0-27--0.0688499999999961</f>
        <v>330.255695</v>
      </c>
      <c r="AA177" s="3">
        <f>0+(696.7-324)+(0+(-2.131902--0.99144))+0-25--0.0765000000000029</f>
        <v>346.63603800000004</v>
      </c>
      <c r="AB177" s="3">
        <f>0+(650.7-282)+(0+(-1.327428--0.57528))+0-24--0.0489599999999989</f>
        <v>343.99681200000009</v>
      </c>
      <c r="AC177" s="3">
        <f>0+(569-254)+(0+(-0.29019--0.12954))+0-31--0.0158099999999969</f>
        <v>283.85516000000001</v>
      </c>
      <c r="AD177">
        <v>319.60000000000002</v>
      </c>
      <c r="AE177" s="3">
        <f>0+(848.6-500.5)+(0+(0-0))+0-28.5-0</f>
        <v>319.60000000000002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0+(553.9-230.7)+(0+(0-0))+0-32.7-0</f>
        <v>290.5</v>
      </c>
      <c r="G178" s="3">
        <f>0+(573.7-260.9)+(0+(0-0))+0-28.4-0</f>
        <v>284.40000000000009</v>
      </c>
      <c r="H178" s="3">
        <f>0+(534.5-223.9)+(0+(0-0))+0-29.8-0</f>
        <v>280.8</v>
      </c>
      <c r="I178" s="3">
        <f>0+(507.7-204.1)+(0+(0-0))+0-31.1-0</f>
        <v>272.5</v>
      </c>
      <c r="J178" s="3">
        <f>0+(505.8-211.6)+(0+(0-0))+0-32.5-0</f>
        <v>261.70000000000005</v>
      </c>
      <c r="K178" s="3">
        <f>0+(496.6-192.8)+(0+(0-0))+0-32.3-0</f>
        <v>271.5</v>
      </c>
      <c r="L178" s="3">
        <f>0+(502.4-204.5)+(0+(0-0))+0-31.4-0</f>
        <v>266.5</v>
      </c>
      <c r="M178" s="3">
        <f>0+(521.1-222.6)+(0+(0.265761-0.113526))+0-30.6-0.0156059999999969</f>
        <v>268.036629</v>
      </c>
      <c r="N178" s="3">
        <f>0+(811.4-479.5)+(0+(-0.827628--0.48909))+0-28.1--0.0286620000000045</f>
        <v>303.49012399999992</v>
      </c>
      <c r="O178" s="3">
        <f>0+(932.1-568.6)+(0+(0.475371-0.289986))+0-29.4-0.014993999999997</f>
        <v>334.27039100000002</v>
      </c>
      <c r="P178" s="3">
        <f>0+(1054.1-679.6)+(0+(1.612773-1.039788))+0-28.9-0.0442170000000017</f>
        <v>346.12876799999992</v>
      </c>
      <c r="Q178" s="3">
        <f>0+(1056.9-668)+(0+(0.539019-0.34068))+0-32.1-0.0163709999999967</f>
        <v>356.98196800000005</v>
      </c>
      <c r="R178" s="3">
        <f>0+(1044.2-665.9)+(0+(1.065084-0.679218))+0-29.7-0.0302940000000047</f>
        <v>348.95557200000007</v>
      </c>
      <c r="S178" s="3">
        <f>45+(1044-738.4)+(-0.02295+(-0.53244--0.376584))+0-30.5--0.0155549999999969</f>
        <v>319.93674900000002</v>
      </c>
      <c r="T178" s="3">
        <f>120+(974.9-741.3)+(-0.0612+(-0.497199--0.378063))+0-31.1--0.0158609999999968</f>
        <v>322.33552499999996</v>
      </c>
      <c r="U178" s="3">
        <f>120+(985.9-756.8)+(-0.0612+(-0.502809--0.385968))+0-30.4--0.0155039999999969</f>
        <v>318.53746300000006</v>
      </c>
      <c r="V178" s="3">
        <f>120+(980.5-756.3)+(-0.306+(-2.500275--1.928565))+0-30.4--0.0775199999999956</f>
        <v>312.99981000000008</v>
      </c>
      <c r="W178" s="3">
        <f>44+(964.1-667.3)+(-0.13464+(-2.950146--2.041938))+0-30.3--0.0927180000000035</f>
        <v>309.54987000000006</v>
      </c>
      <c r="X178" s="3">
        <f>0+(701.5-373.6)+(0+(-1.788825--0.95268))+0-28.9--0.0736949999999958</f>
        <v>298.23755</v>
      </c>
      <c r="Y178" s="3">
        <f>0+(658.5-309.8)+(0+(-0.67167--0.315996))+0-29.3--0.0298860000000047</f>
        <v>319.07421199999993</v>
      </c>
      <c r="Z178" s="3">
        <f>0+(790.5-438.5)+(0+(-2.41893--1.34181))+0-30.8--0.0942480000000036</f>
        <v>320.217128</v>
      </c>
      <c r="AA178" s="3">
        <f>0+(796.6-453.7)+(0+(-2.03133--1.156935))+0-26.7--0.0680849999999961</f>
        <v>315.39369000000005</v>
      </c>
      <c r="AB178" s="3">
        <f>0+(661.7-335.1)+(0+(-1.012401--0.512703))+0-28.7--0.0439110000000017</f>
        <v>297.44421299999999</v>
      </c>
      <c r="AC178" s="3">
        <f>0+(605.5-283.6)+(0+(-0.308805--0.144636))+0-28.8--0.0146879999999971</f>
        <v>292.95051899999993</v>
      </c>
      <c r="AD178">
        <v>317.2</v>
      </c>
      <c r="AE178" s="3">
        <f>0+(802.5-454.3)+(0+(0-0))+0-31-0</f>
        <v>317.2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0+(473.8-156.6)+(0+(0-0))+0-30.8-0</f>
        <v>286.40000000000003</v>
      </c>
      <c r="G179" s="3">
        <f>0+(500.6-188.3)+(0+(-0.255306--0.096033))+0-30.1--0.0153509999999969</f>
        <v>282.05607800000001</v>
      </c>
      <c r="H179" s="3">
        <f>0+(558.8-253.2)+(0+(0.854964-0.387396))+0-29.7-0.0454410000000017</f>
        <v>276.32212699999997</v>
      </c>
      <c r="I179" s="3">
        <f>0+(534.4-235.5)+(0+(-0.545088--0.24021))+0-29.7--0.0302940000000047</f>
        <v>268.92541600000004</v>
      </c>
      <c r="J179" s="3">
        <f>0+(472.3-172.8)+(0+(-0.722619--0.264384))+0-30.8--0.0471240000000018</f>
        <v>268.28888899999998</v>
      </c>
      <c r="K179" s="3">
        <f>0+(479.2-178.5)+(0+(-0.244392--0.091035))+0-29.7--0.015146999999997</f>
        <v>270.86178999999998</v>
      </c>
      <c r="L179" s="3">
        <f>0+(457.1-156.2)+(0+(-1.165605--0.39831))+0-30.2--0.0770099999999956</f>
        <v>270.00971500000003</v>
      </c>
      <c r="M179" s="3">
        <f>0+(419.8-111.7)+(0+(0-0))+0-30.6-0</f>
        <v>277.5</v>
      </c>
      <c r="N179" s="3">
        <f>0+(632.9-303.4)+(0+(0-0))+0-31.3-0</f>
        <v>298.2</v>
      </c>
      <c r="O179" s="3">
        <f>0+(727.3-381)+(0+(0-0))+0-30-0</f>
        <v>316.29999999999995</v>
      </c>
      <c r="P179" s="3">
        <f>0+(689.7-346.9)+(0+(1.406988-0.707676))+0-25.6-0.0522239999999989</f>
        <v>317.84708800000004</v>
      </c>
      <c r="Q179" s="3">
        <f>0+(697.1-345.8)+(0+(0-0))+0-28.5-0</f>
        <v>322.8</v>
      </c>
      <c r="R179" s="3">
        <f>0+(656.6-304.5)+(0+(-0.669732--0.31059))+0-31--0.0316200000000049</f>
        <v>320.77247800000004</v>
      </c>
      <c r="S179" s="3">
        <f>0+(735.6-404.3)+(0+(-1.500624--0.824772))+0-31.1--0.0634439999999986</f>
        <v>299.58759199999997</v>
      </c>
      <c r="T179" s="3">
        <f>0+(829.9-499.5)+(0+(-0.423249--0.254745))+0-31.3--0.0159629999999968</f>
        <v>298.94745899999998</v>
      </c>
      <c r="U179" s="3">
        <f>0+(822.1-493.8)+(0+(-1.257813--0.755514))+0-31.3--0.0478890000000018</f>
        <v>296.54559</v>
      </c>
      <c r="V179" s="3">
        <f>0+(800.6-476.9)+(0+(-0.408306--0.243219))+0-31.5--0.0160649999999968</f>
        <v>292.05097799999999</v>
      </c>
      <c r="W179" s="3">
        <f>0+(685.8-369.3)+(0+(-1.74879--0.941715))+0-31.6--0.0805799999999954</f>
        <v>284.17350499999992</v>
      </c>
      <c r="X179" s="3">
        <f>0+(626-314.7)+(0+(0-0))+0-31.5-0</f>
        <v>279.8</v>
      </c>
      <c r="Y179" s="3">
        <f>0+(621.3-282.7)+(0+(0-0))+0-31.9-0</f>
        <v>306.7</v>
      </c>
      <c r="Z179" s="3">
        <f>0+(580.4-235.5)+(0+(-0.888012--0.360315))+0-32.2--0.0492660000000019</f>
        <v>312.22156899999999</v>
      </c>
      <c r="AA179" s="3">
        <f>0+(621.5-287)+(0+(-1.584825--0.73185))+0-30--0.0764999999999956</f>
        <v>303.723525</v>
      </c>
      <c r="AB179" s="3">
        <f>0+(622.4-296.5)+(0+(-1.58712--0.756075))+0-31.5--0.0803249999999954</f>
        <v>293.64927999999998</v>
      </c>
      <c r="AC179" s="3">
        <f>0+(655.1-346.5)+(0+(-1.002303--0.530145))+0-31.5--0.0481950000000018</f>
        <v>276.67603700000006</v>
      </c>
      <c r="AD179">
        <v>314.90000000000003</v>
      </c>
      <c r="AE179" s="3">
        <f>0+(590.5-243.2)+(0+(0-0))+0-32.4-0</f>
        <v>314.90000000000003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0+(687.3-379.4)+(0+(-1.051569--0.580482))+0-30.9--0.0472770000000018</f>
        <v>276.57619</v>
      </c>
      <c r="G180" s="3">
        <f>0+(517.7-218.9)+(0+(-0.264027--0.111639))+0-30--0.015299999999997</f>
        <v>268.66291200000012</v>
      </c>
      <c r="H180" s="3">
        <f>0+(478.2-189.4)+(0+(-1.21941--0.48297))+0-29.8--0.0759899999999957</f>
        <v>258.33954999999992</v>
      </c>
      <c r="I180" s="3">
        <f>0+(408.5-125)+(0+(0-0))+0-28.9-0</f>
        <v>254.6</v>
      </c>
      <c r="J180" s="3">
        <f>0+(441.8-162.1)+(0+(0-0))+0-29.8-0</f>
        <v>249.90000000000003</v>
      </c>
      <c r="K180" s="3">
        <f>0+(424.6-146.1)+(0+(0.649638-0.223533))+0-30.1-0.0460530000000017</f>
        <v>248.78005200000001</v>
      </c>
      <c r="L180" s="3">
        <f>0+(410.4-139)+(0+(0.627912-0.21267))+0-31-0.0474300000000018</f>
        <v>240.76781199999996</v>
      </c>
      <c r="M180" s="3">
        <f>0+(378.5-108.5)+(0+(-0.965175--0.276675))+0-31.5--0.0803249999999954</f>
        <v>237.89182500000001</v>
      </c>
      <c r="N180" s="3">
        <f>0+(371.9-99)+(0+(0-0))+0-31.4-0</f>
        <v>241.49999999999997</v>
      </c>
      <c r="O180" s="3">
        <f>0+(407.1-125.6)+(0+(-0.622863--0.192168))+0-31.3--0.0478890000000018</f>
        <v>249.81719399999997</v>
      </c>
      <c r="P180" s="3">
        <f>0+(401.5-113.4)+(0+(-0.40953--0.115668))+0-31.1--0.031722000000005</f>
        <v>256.73786000000001</v>
      </c>
      <c r="Q180" s="3">
        <f>0+(441.4-147.3)+(0+(-0.450228--0.150246))+0-32.1--0.0327420000000051</f>
        <v>261.73275999999993</v>
      </c>
      <c r="R180" s="3">
        <f>0+(470.8-184.7)+(0+(-0.480216--0.188394))+0-32.2--0.0328440000000051</f>
        <v>253.64102200000002</v>
      </c>
      <c r="S180" s="3">
        <f>0+(516.7-232)+(0+(-0.527034--0.23664))+0-30.1--0.0307020000000048</f>
        <v>254.34030800000005</v>
      </c>
      <c r="T180" s="3">
        <f>0+(570.1-283.7)+(0+(0.290751-0.144687))+0-31.9-0.0162689999999968</f>
        <v>254.62979500000006</v>
      </c>
      <c r="U180" s="3">
        <f>0+(568.1-288.2)+(0+(0-0))+0-31.9-0</f>
        <v>248.00000000000003</v>
      </c>
      <c r="V180" s="3">
        <f>0+(549.7-271.4)+(0+(-1.401735--0.69207))+0-32--0.0815999999999954</f>
        <v>245.6719350000001</v>
      </c>
      <c r="W180" s="3">
        <f>0+(499.8-223)+(0+(-0.509796--0.22746))+0-31.1--0.031722000000005</f>
        <v>245.44938600000003</v>
      </c>
      <c r="X180" s="3">
        <f>0+(434.1-152.8)+(0+(-0.664173--0.233784))+0-31.5--0.0481950000000018</f>
        <v>249.41780600000001</v>
      </c>
      <c r="Y180" s="3">
        <f>0+(518.1-210.5)+(0+(0-0))+0-31.6-0</f>
        <v>276</v>
      </c>
      <c r="Z180" s="3">
        <f>0+(537.9-218.9)+(0+(-0.822987--0.334917))+0-29.8--0.0455940000000017</f>
        <v>288.75752399999999</v>
      </c>
      <c r="AA180" s="3">
        <f>0+(538.8-235.1)+(0+(-1.37394--0.599505))+0-27.5--0.070124999999996</f>
        <v>275.49568999999997</v>
      </c>
      <c r="AB180" s="3">
        <f>0+(542.3-237.6)+(0+(-1.106292--0.484704))+0-31.2--0.0636479999999986</f>
        <v>272.94205999999997</v>
      </c>
      <c r="AC180" s="3">
        <f>0+(525-229.9)+(0+(-0.5355--0.234498))+0-31.6--0.032232000000005</f>
        <v>263.23123000000004</v>
      </c>
      <c r="AD180">
        <v>272.00000000000006</v>
      </c>
      <c r="AE180" s="3">
        <f>0+(546.7-241.9)+(0+(0-0))+0-32.8-0</f>
        <v>272.00000000000006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0+(429.6-137.9)+(0+(-0.876384--0.281316))+0-32.1--0.0654839999999986</f>
        <v>259.07041600000002</v>
      </c>
      <c r="G181" s="3">
        <f>0+(376.3-89.5)+(0+(0-0))+0-31.2-0</f>
        <v>255.60000000000002</v>
      </c>
      <c r="H181" s="3">
        <f>0+(354.4-81.1)+(0+(-0.542232--0.124083))+0-21.7--0.0332010000000013</f>
        <v>251.21505199999993</v>
      </c>
      <c r="I181" s="3">
        <f>0+(354.7-83.1)+(0+(-0.361794--0.084762))+0-26.5--0.0270300000000042</f>
        <v>244.849998</v>
      </c>
      <c r="J181" s="3">
        <f>0+(392.7-116.6)+(0+(-0.200277--0.059466))+0-29.1--0.014840999999997</f>
        <v>246.87403000000003</v>
      </c>
      <c r="K181" s="3">
        <f>0+(413.5-134)+(0+(-1.054425--0.3417))+0-31--0.0790499999999955</f>
        <v>247.86632500000002</v>
      </c>
      <c r="L181" s="3">
        <f>0+(369.5-83.3)+(0+(-1.319115--0.297381))+0-31.1--0.111027</f>
        <v>254.18929300000002</v>
      </c>
      <c r="M181" s="3">
        <f>0+(424.4-130.8)+(0+(0.649332-0.200124))+0-23.9-0.0365670000000014</f>
        <v>270.112641</v>
      </c>
      <c r="N181" s="3">
        <f>0+(546.7-211.7)+(0+(-0.557634--0.215934))+0-31.8--0.0324360000000051</f>
        <v>302.89073600000006</v>
      </c>
      <c r="O181" s="3">
        <f>0+(629.3-279.3)+(0+(-0.320943--0.142443))+0-31--0.0158099999999969</f>
        <v>318.83730999999995</v>
      </c>
      <c r="P181" s="3">
        <f>0+(630.3-270.8)+(0+(0-0))+0-30.7-0</f>
        <v>328.79999999999995</v>
      </c>
      <c r="Q181" s="3">
        <f>0+(703.9-335.9)+(0+(0.358989-0.171309))+0-28.1-0.0143309999999971</f>
        <v>340.07334900000001</v>
      </c>
      <c r="R181" s="3">
        <f>0+(681.1-314.4)+(0+(-0.694722--0.320688))+0-29.9--0.0304980000000048</f>
        <v>336.4564640000001</v>
      </c>
      <c r="S181" s="3">
        <f>0+(711.6-369)+(0+(0.362916-0.18819))+0-30-0.015299999999997</f>
        <v>312.75942600000002</v>
      </c>
      <c r="T181" s="3">
        <f>0+(726.2-380.1)+(0+(0.370362-0.193851))+0-30.7-0.0156569999999969</f>
        <v>315.56085400000006</v>
      </c>
      <c r="U181" s="3">
        <f>0+(742.3-396.9)+(0+(-0.378573--0.202419))+0-31--0.0158099999999969</f>
        <v>314.23965599999997</v>
      </c>
      <c r="V181" s="3">
        <f>0+(740.7-398.7)+(0+(-1.133271--0.610011))+0-30.4--0.0465120000000018</f>
        <v>311.12325200000009</v>
      </c>
      <c r="W181" s="3">
        <f>0+(715-376.7)+(0+(-1.4586--0.768468))+0-30.2--0.0616079999999987</f>
        <v>307.471476</v>
      </c>
      <c r="X181" s="3">
        <f>0+(518.4-188.7)+(0+(-0.528768--0.192474))+0-30.9--0.0315180000000049</f>
        <v>298.49522400000001</v>
      </c>
      <c r="Y181" s="3">
        <f>0+(557.7-206.8)+(0+(-0.284427--0.105468))+0-31.8--0.0162179999999968</f>
        <v>318.93725899999998</v>
      </c>
      <c r="Z181" s="3">
        <f>0+(627.2-274.3)+(0+(-0.639744--0.279786))+0-30.9--0.0315180000000049</f>
        <v>321.67156000000006</v>
      </c>
      <c r="AA181" s="3">
        <f>0+(662.1-316.9)+(0+(-2.026026--0.969714))+0-30--0.0918000000000035</f>
        <v>314.23548800000003</v>
      </c>
      <c r="AB181" s="3">
        <f>0+(628.2-291.6)+(0+(0.320382-0.148716))+0-30.9-0.0157589999999969</f>
        <v>305.85590700000006</v>
      </c>
      <c r="AC181" s="3">
        <f>0+(550.3-228.6)+(0+(0.280653-0.116586))+0-29.6-0.015095999999997</f>
        <v>292.24897099999993</v>
      </c>
      <c r="AD181">
        <v>321.00000000000006</v>
      </c>
      <c r="AE181" s="3">
        <f>0+(627.2-275.2)+(0+(0-0))+0-31-0</f>
        <v>321.00000000000006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0+(504.3-185.1)+(0+(-0.257193--0.094401))+0-29.1--0.014840999999997</f>
        <v>289.95204899999999</v>
      </c>
      <c r="G182" s="3">
        <f>0+(416-104.6)+(0+(0.21216-0.053346))+0-29.4-0.014993999999997</f>
        <v>282.14382000000001</v>
      </c>
      <c r="H182" s="3">
        <f>0+(428-123.9)+(0+(0.87312-0.252756))+0-27.7-0.0565079999999988</f>
        <v>276.96385600000002</v>
      </c>
      <c r="I182" s="3">
        <f>0+(448.7-145.1)+(0+(-0.686511--0.222003))+0-30.4--0.0465120000000018</f>
        <v>272.78200400000003</v>
      </c>
      <c r="J182" s="3">
        <f>0+(439.2-140.6)+(0+(0.895968-0.286824))+0-30.1-0.0614039999999987</f>
        <v>269.04774000000003</v>
      </c>
      <c r="K182" s="3">
        <f>0+(402.1-99.1)+(0+(0.410142-0.101082))+0-30.1-0.0307020000000048</f>
        <v>273.17835799999995</v>
      </c>
      <c r="L182" s="3">
        <f>0+(421.5-115.5)+(0+(-0.42993--0.11781))+0-31--0.0316200000000049</f>
        <v>274.71950000000004</v>
      </c>
      <c r="M182" s="3">
        <f>0+(433.7-115.5)+(0+(0.221187-0.058905))+0-31.3-0.0159629999999968</f>
        <v>287.04631899999998</v>
      </c>
      <c r="N182" s="3">
        <f>0+(574.2-227.3)+(0+(-0.292842--0.115923))+0-30.4--0.0155039999999969</f>
        <v>316.33858500000008</v>
      </c>
      <c r="O182" s="3">
        <f>0+(675.1-310.5)+(0+(0.344301-0.158355))+0-29.6-0.015095999999997</f>
        <v>335.17085000000003</v>
      </c>
      <c r="P182" s="3">
        <f>0+(643-267.8)+(0+(0-0))+0-31-0</f>
        <v>344.2</v>
      </c>
      <c r="Q182" s="3">
        <f>0+(618.4-237.8)+(0+(0.946152-0.363834))+0-31.5-0.0481950000000018</f>
        <v>349.63412299999993</v>
      </c>
      <c r="R182" s="3">
        <f>0+(639.8-266.2)+(0+(0.326298-0.135762))+0-30-0.015299999999997</f>
        <v>343.77523599999995</v>
      </c>
      <c r="S182" s="3">
        <f>0+(694.9-349.6)+(0+(-0.354399--0.178296))+0-30.4--0.0155039999999969</f>
        <v>314.73940099999999</v>
      </c>
      <c r="T182" s="3">
        <f>0+(710.4-368.9)+(0+(0.362304-0.188139))+0-31-0.0158099999999969</f>
        <v>310.65835500000003</v>
      </c>
      <c r="U182" s="3">
        <f>0+(722-380)+(0+(-1.10466--0.5814))+0-30.2--0.0462060000000017</f>
        <v>311.322946</v>
      </c>
      <c r="V182" s="3">
        <f>0+(750.5-424.7)+(0+(-1.53102--0.866388))+0-25.9--0.0528359999999989</f>
        <v>299.28820400000006</v>
      </c>
      <c r="W182" s="3">
        <f>0+(741.6-402.5)+(0+(-2.269296--1.23165))+0-27.6--0.0844560000000032</f>
        <v>310.54680999999999</v>
      </c>
      <c r="X182" s="3">
        <f>0+(522.8-187.5)+(0+(0.266628-0.095625))+0-29.4-0.014993999999997</f>
        <v>306.05600899999996</v>
      </c>
      <c r="Y182" s="3">
        <f>0+(600.6-246.6)+(0+(0.306306-0.125766))+0-31.4-0.0160139999999968</f>
        <v>322.76452600000005</v>
      </c>
      <c r="Z182" s="3">
        <f>0+(649.2-293.6)+(0+(0-0))+0-31.8-0</f>
        <v>323.8</v>
      </c>
      <c r="AA182" s="3">
        <f>0+(684.5-341.2)+(0+(-1.745475--0.87006))+0-31.3--0.0798149999999955</f>
        <v>311.20440000000002</v>
      </c>
      <c r="AB182" s="3">
        <f>0+(655.9-323.1)+(0+(-1.672545--0.823905))+0-29.8--0.0759899999999957</f>
        <v>302.22734999999994</v>
      </c>
      <c r="AC182" s="3">
        <f>0+(491.2-173.7)+(0+(0.501024-0.177174))+0-29-0.0295800000000046</f>
        <v>288.79426999999998</v>
      </c>
      <c r="AD182">
        <v>327.60000000000002</v>
      </c>
      <c r="AE182" s="3">
        <f>0+(656.9-295.9)+(0+(0-0))+0-33.4-0</f>
        <v>327.60000000000002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0+(471.3-159.6)+(0+(-0.480726--0.162792))+0-29.4--0.0299880000000047</f>
        <v>282.01205400000009</v>
      </c>
      <c r="G183" s="3">
        <f>0+(405.1-102.1)+(0+(-0.826404--0.208284))+0-29.2--0.0595679999999987</f>
        <v>273.24144800000005</v>
      </c>
      <c r="H183" s="3">
        <f>0+(451.8-157.3)+(0+(-0.230418--0.080223))+0-29.6--0.015095999999997</f>
        <v>264.76490099999995</v>
      </c>
      <c r="I183" s="3">
        <f>0+(447.3-155.3)+(0+(-0.912492--0.316812))+0-28.6--0.0583439999999988</f>
        <v>262.86266399999994</v>
      </c>
      <c r="J183" s="3">
        <f>0+(405.3-113.8)+(0+(1.033515-0.29019))+0-29.2-0.0744599999999958</f>
        <v>262.96886500000005</v>
      </c>
      <c r="K183" s="3">
        <f>0+(397.4-101.7)+(0+(0.608022-0.155601))+0-30-0.0459000000000017</f>
        <v>266.10652099999999</v>
      </c>
      <c r="L183" s="3">
        <f>0+(382.4-82.7)+(0+(-0.780096--0.168708))+0-31.1--0.0634439999999986</f>
        <v>268.05205599999999</v>
      </c>
      <c r="M183" s="3">
        <f>0+(398.6-80.2)+(0+(0-0))+0-30-0</f>
        <v>288.40000000000003</v>
      </c>
      <c r="N183" s="3">
        <f>0+(511.1-168.9)+(0+(0.260661-0.086139))+0-30.4-0.0155039999999969</f>
        <v>311.95901800000007</v>
      </c>
      <c r="O183" s="3">
        <f>0+(630.3-283.2)+(0+(0.321453-0.144432))+0-28.6-0.0145859999999971</f>
        <v>318.66243499999996</v>
      </c>
      <c r="P183" s="3">
        <f>0+(608.4-247.5)+(0+(0.310284-0.126225))+0-29.9-0.015248999999997</f>
        <v>331.16881000000001</v>
      </c>
      <c r="Q183" s="3">
        <f>0+(650.8-277.3)+(0+(0.663816-0.282846))+0-28.9-0.0294780000000046</f>
        <v>344.95149199999997</v>
      </c>
      <c r="R183" s="3">
        <f>0+(654.1-283.2)+(0+(-0.333591--0.144432))+0-30.2--0.0154019999999969</f>
        <v>340.52624300000002</v>
      </c>
      <c r="S183" s="3">
        <f>0+(673.3-336.9)+(0+(-1.030149--0.515457))+0-30.2--0.0462060000000017</f>
        <v>305.73151399999995</v>
      </c>
      <c r="T183" s="3">
        <f>0+(705.5-366.1)+(0+(0-0))+0-29.9-0</f>
        <v>309.5</v>
      </c>
      <c r="U183" s="3">
        <f>0+(680.1-346)+(0+(-1.387404--0.70584))+0-28--0.0571199999999988</f>
        <v>305.47555600000004</v>
      </c>
      <c r="V183" s="3">
        <f>0+(714.8-384.4)+(0+(-0.729096--0.392088))+0-27.8--0.0283560000000044</f>
        <v>302.29134799999997</v>
      </c>
      <c r="W183" s="3">
        <f>0+(554-226.6)+(0+(-1.13016--0.462264))+0-29.1--0.0593639999999987</f>
        <v>297.69146799999999</v>
      </c>
      <c r="X183" s="3">
        <f>0+(515.6-194.5)+(0+(-0.262956--0.099195))+0-28.9--0.0147389999999971</f>
        <v>292.05097800000004</v>
      </c>
      <c r="Y183" s="3">
        <f>0+(519.9-177.8)+(0+(0.265149-0.090678))+0-29.2-0.014891999999997</f>
        <v>313.05957899999999</v>
      </c>
      <c r="Z183" s="3">
        <f>0+(574.8-227.6)+(0+(-1.172592--0.464304))+0-28.8--0.0587519999999987</f>
        <v>317.75046399999997</v>
      </c>
      <c r="AA183" s="3">
        <f>0+(603.7-264.9)+(0+(-1.231548--0.540396))+0-29.3--0.0597719999999987</f>
        <v>308.86862000000008</v>
      </c>
      <c r="AB183" s="3">
        <f>0+(570.8-240.6)+(0+(-1.164432--0.490824))+0-34.6--0.0705839999999985</f>
        <v>294.9969759999999</v>
      </c>
      <c r="AC183" s="3">
        <f>0+(515-198.1)+(0+(0-0))+0-31.4-0</f>
        <v>285.5</v>
      </c>
      <c r="AD183">
        <v>321.79999999999995</v>
      </c>
      <c r="AE183" s="3">
        <f>0+(568.9-220.8)+(0+(0-0))+0-26.3-0</f>
        <v>321.79999999999995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0+(570.5-252.4)+(0+(-1.16382--0.514896))+0-32.5--0.0662999999999986</f>
        <v>285.01737600000001</v>
      </c>
      <c r="G184" s="3">
        <f>0+(567.7-253.6)+(0+(-0.868581--0.388008))+0-32.7--0.0500310000000019</f>
        <v>280.96945800000003</v>
      </c>
      <c r="H184" s="3">
        <f>0+(416.5-109.2)+(0+(-0.637245--0.167076))+0-31.4--0.0480420000000018</f>
        <v>275.47787300000005</v>
      </c>
      <c r="I184" s="3">
        <f>0+(360-52.4)+(0+(0.3672-0.053448))+0-31.8-0.0324360000000051</f>
        <v>276.08131600000002</v>
      </c>
      <c r="J184" s="3">
        <f>0+(360.8-60.9)+(0+(0.92004-0.155295))+0-31.2-0.0795599999999955</f>
        <v>269.38518500000004</v>
      </c>
      <c r="K184" s="3">
        <f>0+(355.8-50.2)+(0+(0-0))+0-31.4-0</f>
        <v>274.20000000000005</v>
      </c>
      <c r="L184" s="3">
        <f>0+(357.6-46.3)+(0+(-0.182376--0.023613))+0-30.4--0.0155039999999969</f>
        <v>280.75674100000003</v>
      </c>
      <c r="M184" s="3">
        <f>0+(370.9-47.7)+(0+(-0.189159--0.024327))+0-29.9--0.015248999999997</f>
        <v>293.150417</v>
      </c>
      <c r="N184" s="3">
        <f>0+(533.1-185.7)+(0+(0-0))+0-29.2-0</f>
        <v>318.20000000000005</v>
      </c>
      <c r="O184" s="3">
        <f>0+(686.3-319.4)+(0+(1.050039-0.488682))+0-30.6-0.0468180000000018</f>
        <v>336.81453899999997</v>
      </c>
      <c r="P184" s="3">
        <f>0+(724-350.4)+(0+(0.73848-0.357408))+0-31-0.0316200000000049</f>
        <v>342.94945200000001</v>
      </c>
      <c r="Q184" s="3">
        <f>0+(773.3-391.6)+(0+(1.183149-0.599148))+0-30.9-0.0472770000000018</f>
        <v>351.33672399999995</v>
      </c>
      <c r="R184" s="3">
        <f>0+(753.7-383.4)+(0+(0-0))+0-29.2-0</f>
        <v>341.10000000000008</v>
      </c>
      <c r="S184" s="3">
        <f>0+(754.8-422.1)+(0+(-0.384948--0.215271))+0-19.7--0.010046999999998</f>
        <v>312.84036999999995</v>
      </c>
      <c r="T184" s="3">
        <f>0+(803.4-458.6)+(0+(0.409734-0.233886))+0-28.6-0.0145859999999971</f>
        <v>316.3612619999999</v>
      </c>
      <c r="U184" s="3">
        <f>0+(821.6-480.9)+(0+(0.838032-0.490518))+0-28.3-0.0288660000000045</f>
        <v>312.71864800000003</v>
      </c>
      <c r="V184" s="3">
        <f>9+(745.9-414.6)+(-0.02295+(-1.902045--1.05723))+0-29--0.0739499999999958</f>
        <v>310.5061849999999</v>
      </c>
      <c r="W184" s="3">
        <f>50+(603.5-317)+(-0.051+(-0.61557--0.32334))+0-30.5--0.0311100000000049</f>
        <v>305.68788000000001</v>
      </c>
      <c r="X184" s="3">
        <f>18+(537.3-219.1)+(0+(0-0))+0-29.9-0</f>
        <v>306.29999999999995</v>
      </c>
      <c r="Y184" s="3">
        <f>0+(533.7-180.5)+(0+(0-0))+0-30.8-0</f>
        <v>322.40000000000003</v>
      </c>
      <c r="Z184" s="3">
        <f>0+(569.3-220.5)+(0+(-0.580686--0.22491))+0-28.5--0.0290700000000045</f>
        <v>319.97329399999995</v>
      </c>
      <c r="AA184" s="3">
        <f>0+(594.1-254.2)+(0+(-1.514955--0.64821))+0-27.6--0.070379999999996</f>
        <v>311.50363500000003</v>
      </c>
      <c r="AB184" s="3">
        <f>0+(494.6-168.7)+(0+(-1.26123--0.430185))+0-26.1--0.0665549999999962</f>
        <v>299.03550999999999</v>
      </c>
      <c r="AC184" s="3">
        <f>0+(492.5-184.8)+(0+(-0.251175--0.094248))+0-22.5--0.0114749999999977</f>
        <v>285.05454800000001</v>
      </c>
      <c r="AD184">
        <v>319.3</v>
      </c>
      <c r="AE184" s="3">
        <f>0+(574.9-228.2)+(0+(0-0))+0-27.4-0</f>
        <v>319.3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0+(488.6-180)+(0+(-1.744302--0.6426))+0-25--0.0892500000000004</f>
        <v>282.58754800000003</v>
      </c>
      <c r="G185" s="3">
        <f>0+(403.2-89.1)+(0+(-1.645056--0.363528))+0-27.7--0.113015999999998</f>
        <v>285.23148800000007</v>
      </c>
      <c r="H185" s="3">
        <f>0+(385.3-78.1)+(0+(-1.179018--0.238986))+0-29.5--0.0902700000000034</f>
        <v>276.85023800000005</v>
      </c>
      <c r="I185" s="3">
        <f>0+(304.2-0)+(0+(0.155142-0))+0-28.2-0.0143819999999971</f>
        <v>276.14076</v>
      </c>
      <c r="J185" s="3">
        <f>0+(307.7-5.4)+(0+(0.156927-0.002754))+0-28.1-0.0143309999999971</f>
        <v>274.33984200000003</v>
      </c>
      <c r="K185" s="3">
        <f>0+(313-17.5)+(0+(0.31926-0.01785))+0-20.6-0.0210120000000033</f>
        <v>275.18039799999997</v>
      </c>
      <c r="L185" s="3">
        <f>0+(328.5-31.5)+(0+(-0.67014--0.06426))+0-20.5--0.0418199999999991</f>
        <v>275.93593999999996</v>
      </c>
      <c r="M185" s="3">
        <f>0+(425.8-40.5)+(0+(0.434316-0.04131))+0-29.7-0.0302940000000047</f>
        <v>355.96271200000001</v>
      </c>
      <c r="N185" s="3">
        <f>0+(505.2-164.4)+(0+(-1.030608--0.335376))+0-28--0.0571199999999988</f>
        <v>312.16188799999998</v>
      </c>
      <c r="O185" s="3">
        <f>0+(515.3-158.2)+(0+(-0.262803--0.080682))+0-26.5--0.0135149999999973</f>
        <v>330.43139399999995</v>
      </c>
      <c r="P185" s="3">
        <f>0+(537.7-177.7)+(0+(-0.548454--0.181254))+0-27.8--0.0283560000000044</f>
        <v>331.86115600000005</v>
      </c>
      <c r="Q185" s="3">
        <f>0+(706.1-332.1)+(0+(0.720222-0.338742))+0-28.8-0.0293760000000046</f>
        <v>345.55210399999999</v>
      </c>
      <c r="R185" s="3">
        <f>0+(758.2-384.4)+(0+(-0.773364--0.392088))+0-28.7--0.0292740000000046</f>
        <v>344.74799800000005</v>
      </c>
      <c r="S185" s="3">
        <f>0+(784.7-446.4)+(0+(-0.800394--0.455328))+0-28.9--0.0294780000000046</f>
        <v>309.0844120000001</v>
      </c>
      <c r="T185" s="3">
        <f>0+(808.5-472)+(0+(-0.82467--0.48144))+0-29.4--0.0299880000000047</f>
        <v>306.78675800000002</v>
      </c>
      <c r="U185" s="3">
        <f>0+(761.1-430.3)+(0+(-1.552644--0.877812))+0-29--0.0591599999999987</f>
        <v>301.18432800000005</v>
      </c>
      <c r="V185" s="3">
        <f>0+(775.7-445.9)+(0+(-1.582428--0.909636))+0-28.8--0.0587519999999987</f>
        <v>300.38596000000007</v>
      </c>
      <c r="W185" s="3">
        <f>0+(634.1-303.8)+(0+(-1.616955--0.77469))+0-29.8--0.0759899999999957</f>
        <v>299.73372499999999</v>
      </c>
      <c r="X185" s="3">
        <f>0+(612.9-284.5)+(0+(-0.937737--0.435285))+0-30.1--0.0460530000000017</f>
        <v>297.84360099999998</v>
      </c>
      <c r="Y185" s="3">
        <f>0+(694.3-352.8)+(0+(-1.416372--0.719712))+0-29.1--0.0593639999999987</f>
        <v>311.76270399999993</v>
      </c>
      <c r="Z185" s="3">
        <f>0+(611.3-263)+(0+(-1.247052--0.53652))+0-28.6--0.0583439999999988</f>
        <v>319.04781199999991</v>
      </c>
      <c r="AA185" s="3">
        <f>0+(546.2-211.3)+(0+(-2.228496--0.862104))+0-29.1--0.118727999999997</f>
        <v>304.55233599999997</v>
      </c>
      <c r="AB185" s="3">
        <f>0+(507.1-179.2)+(0+(-1.293105--0.45696))+0-30.1--0.0767549999999956</f>
        <v>297.04061000000002</v>
      </c>
      <c r="AC185" s="3">
        <f>0+(431.5-117.1)+(0+(-0.44013--0.119442))+0-29.6--0.0301920000000047</f>
        <v>284.50950399999994</v>
      </c>
      <c r="AD185">
        <v>323.09999999999997</v>
      </c>
      <c r="AE185" s="3">
        <f>0+(659.5-309.8)+(0+(0-0))+0-26.6-0</f>
        <v>323.09999999999997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0+(409.2-99.1)+(0+(-0.417384--0.101082))+0-30.3--0.0309060000000048</f>
        <v>279.51460400000002</v>
      </c>
      <c r="G186" s="3">
        <f>0+(406.4-100.7)+(0+(0.621792-0.154071))+0-30.3-0.0463590000000018</f>
        <v>275.82136199999997</v>
      </c>
      <c r="H186" s="3">
        <f>0+(423.1-120.4)+(0+(0.647343-0.184212))+0-30.7-0.0469710000000018</f>
        <v>272.41616000000005</v>
      </c>
      <c r="I186" s="3">
        <f>0+(382.8-83.4)+(0+(0.390456-0.085068))+0-30.4-0.0310080000000048</f>
        <v>269.27438000000001</v>
      </c>
      <c r="J186" s="3">
        <f>0+(416-116.7)+(0+(1.0608-0.297585))+0-30.1-0.0767549999999956</f>
        <v>269.88646</v>
      </c>
      <c r="K186" s="3">
        <f>0+(384-100.7)+(0+(-0.9792--0.256785))+12.3-28.6--0.0729299999999959</f>
        <v>266.35051499999997</v>
      </c>
      <c r="L186" s="3">
        <f>0+(381.7-93.7)+(0+(0.194667-0.047787))+0-28.2-0.0143819999999971</f>
        <v>259.93249800000001</v>
      </c>
      <c r="M186" s="3">
        <f>0+(386.4-82.2)+(0+(-0.197064--0.041922))+0-28.4--0.0144839999999971</f>
        <v>275.65934199999998</v>
      </c>
      <c r="N186" s="3">
        <f>0+(546.7-214.8)+(0+(-0.557634--0.219096))+0-28.5--0.0290700000000045</f>
        <v>303.090532</v>
      </c>
      <c r="O186" s="3">
        <f>0+(695.8-352.3)+(0+(0-0))+0-23-0</f>
        <v>320.49999999999994</v>
      </c>
      <c r="P186" s="3">
        <f>0+(714.2-359)+(0+(-0.364242--0.18309))+0-29.3--0.014942999999997</f>
        <v>325.73379100000005</v>
      </c>
      <c r="Q186" s="3">
        <f>0+(675.1-320.7)+(0+(-1.377204--0.654228))+0-25--0.0509999999999989</f>
        <v>328.728024</v>
      </c>
      <c r="R186" s="3">
        <f>0+(686-354.7)+(0+(-1.7493--0.904485))+0-13.1--0.0334049999999981</f>
        <v>317.38859000000002</v>
      </c>
      <c r="S186" s="3">
        <f>0+(709.2-432.2)+(0+(-1.446768--0.881688))+0-0-0</f>
        <v>276.43492000000003</v>
      </c>
      <c r="T186" s="3">
        <f>0+(754.6-482.5)+(0+(0-0))+0-0-0</f>
        <v>272.10000000000002</v>
      </c>
      <c r="U186" s="3">
        <f>0+(681.3-412.3)+(0+(-1.389852--0.841092))+0-0-0</f>
        <v>268.45123999999993</v>
      </c>
      <c r="V186" s="3">
        <f>0+(578.4-309.2)+(0+(-1.47492--0.78846))+0-0-0</f>
        <v>268.51353999999998</v>
      </c>
      <c r="W186" s="3">
        <f>0+(536.8-268.6)+(0+(-0.547536--0.273972))+0-0-0</f>
        <v>267.92643599999991</v>
      </c>
      <c r="X186" s="3">
        <f>0+(506.9-221.2)+(0+(-1.034076--0.451248))+0-0-0</f>
        <v>285.11717199999998</v>
      </c>
      <c r="Y186" s="3">
        <f>0+(556.8-261.5)+(0+(-1.703808--0.80019))+0-0-0</f>
        <v>294.39638199999996</v>
      </c>
      <c r="Z186" s="3">
        <f>0+(560.2-271.4)+(0+(-1.42851--0.69207))+0-0-0</f>
        <v>288.06356000000005</v>
      </c>
      <c r="AA186" s="3">
        <f>0+(546.4-266)+(0+(-1.114656--0.54264))+0-0-0</f>
        <v>279.82798399999996</v>
      </c>
      <c r="AB186" s="3">
        <f>0+(496.5-226.6)+(0+(-0.759645--0.346698))+0-1.8--0.0027540000000001</f>
        <v>267.68980699999997</v>
      </c>
      <c r="AC186" s="3">
        <f>0+(383.6-123.9)+(0+(-0.97818--0.315945))+0-3.9--0.00994499999999943</f>
        <v>255.14771000000002</v>
      </c>
      <c r="AD186">
        <v>296.7</v>
      </c>
      <c r="AE186" s="3">
        <f>0+(561-264.3)+(0+(0-0))+0-0-0</f>
        <v>296.7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0+(403.5-140.9)+(0+(-0.41157--0.143718))+0-4.7--0.00479400000000075</f>
        <v>257.63694200000003</v>
      </c>
      <c r="G187" s="3">
        <f>0+(403.5-143.6)+(0+(0.205785-0.073236))+0-5.8-0.00295799999999941</f>
        <v>254.22959099999994</v>
      </c>
      <c r="H187" s="3">
        <f>0+(340.9-90)+(0+(0.347718-0.0918))+0-6.6-0.00673200000000105</f>
        <v>244.54918599999999</v>
      </c>
      <c r="I187" s="3">
        <f>0+(271.1-17.3)+(0+(0-0))+0-5.5-0</f>
        <v>248.3</v>
      </c>
      <c r="J187" s="3">
        <f>0+(271.9-21.1)+(0+(-0.416007--0.032283))+0-4.8--0.00734400000000028</f>
        <v>245.62361999999996</v>
      </c>
      <c r="K187" s="3">
        <f>0+(256.1-19)+(0+(-0.783666--0.05814))+0-5.6--0.0171360000000006</f>
        <v>230.79161000000002</v>
      </c>
      <c r="L187" s="3">
        <f>0+(242.9-12.2)+(0+(0.123879-0.006222))+0-5.8-0.00295799999999941</f>
        <v>225.01469900000001</v>
      </c>
      <c r="M187" s="3">
        <f>0+(240.2-15)+(0+(0.490008-0.0306))+0-7.9-0.0161159999999997</f>
        <v>217.74329199999997</v>
      </c>
      <c r="N187" s="3">
        <f>0+(332.5-89.3)+(0+(0-0))+0-9.4-0</f>
        <v>233.79999999999998</v>
      </c>
      <c r="O187" s="3">
        <f>0+(335.6-82.7)+(0+(0.342312-0.084354))+0-11.1-0.0113220000000018</f>
        <v>242.04663600000003</v>
      </c>
      <c r="P187" s="3">
        <f>0+(319.2-58.1)+(0+(0-0))+0-13.5-0</f>
        <v>247.59999999999997</v>
      </c>
      <c r="Q187" s="3">
        <f>0+(324.7-55.6)+(0+(-0.331194--0.056712))+0-13.4--0.0136680000000021</f>
        <v>255.43918599999998</v>
      </c>
      <c r="R187" s="3">
        <f>0+(360.6-96.9)+(0+(0.183906-0.049419))+0-17-0.00866999999999828</f>
        <v>246.82581700000003</v>
      </c>
      <c r="S187" s="3">
        <f>0+(375.6-126.4)+(0+(-0.383112--0.128928))+0-20--0.0204000000000032</f>
        <v>228.966216</v>
      </c>
      <c r="T187" s="3">
        <f>0+(351.5-103.4)+(0+(-0.537795--0.158202))+0-21--0.0321300000000012</f>
        <v>226.75253699999999</v>
      </c>
      <c r="U187" s="3">
        <f>0+(345.8-101.3)+(0+(-0.705432--0.206652))+0-24--0.0489599999999989</f>
        <v>220.05017999999998</v>
      </c>
      <c r="V187" s="3">
        <f>0+(317.7-69.8)+(0+(-0.486081--0.106794))+0-25--0.0382500000000014</f>
        <v>222.55896299999998</v>
      </c>
      <c r="W187" s="3">
        <f>0+(318.6-59)+(0+(0-0))+0-28-0</f>
        <v>231.60000000000002</v>
      </c>
      <c r="X187" s="3">
        <f>0+(354.3-66.7)+(0+(0-0))+0-30-0</f>
        <v>257.60000000000002</v>
      </c>
      <c r="Y187" s="3">
        <f>0+(377-85.6)+(0+(-0.19227--0.043656))+0-30--0.015299999999997</f>
        <v>261.26668599999999</v>
      </c>
      <c r="Z187" s="3">
        <f>0+(375.2-95.8)+(0+(-0.574056--0.146574))+0-30--0.0459000000000017</f>
        <v>249.01841799999997</v>
      </c>
      <c r="AA187" s="3">
        <f>0+(404.8-127.8)+(0+(-0.412896--0.130356))+0-30--0.0306000000000048</f>
        <v>246.74806000000001</v>
      </c>
      <c r="AB187" s="3">
        <f>0+(384.3-114.6)+(0+(0.195993-0.058446))+0-30-0.015299999999997</f>
        <v>239.82224700000003</v>
      </c>
      <c r="AC187" s="3">
        <f>0+(380-120.6)+(0+(-0.1938--0.061506))+0-30--0.015299999999997</f>
        <v>229.28300599999997</v>
      </c>
      <c r="AD187">
        <v>252.39999999999998</v>
      </c>
      <c r="AE187" s="3">
        <f>0+(378.3-98.9)+(0+(0-0))+0-27-0</f>
        <v>252.39999999999998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0+(393-124.6)+(0+(0-0))+0-30-0</f>
        <v>238.39999999999998</v>
      </c>
      <c r="G188" s="3">
        <f>0+(324.9-74.7)+(0+(0.165699-0.038097))+0-30-0.015299999999997</f>
        <v>220.31230199999999</v>
      </c>
      <c r="H188" s="3">
        <f>0+(279.4-15.6)+(0+(0.284988-0.015912))+0-30-0.0306000000000048</f>
        <v>234.03847599999995</v>
      </c>
      <c r="I188" s="3">
        <f>0+(270.2-11.8)+(0+(0.137802-0.006018))+0-30-0.015299999999997</f>
        <v>228.51648399999996</v>
      </c>
      <c r="J188" s="3">
        <f>0+(247.9-0)+(0+(-0.252858-0))+0-30--0.0306000000000048</f>
        <v>217.67774199999999</v>
      </c>
      <c r="K188" s="3">
        <f>0+(250.9-0)+(0+(-0.639795-0))+0-30--0.0764999999999956</f>
        <v>220.33670499999999</v>
      </c>
      <c r="L188" s="3">
        <f>0+(241.4-0)+(0+(0-0))+0-30-0</f>
        <v>211.4</v>
      </c>
      <c r="M188" s="3">
        <f>0+(255.3-0)+(0+(0-0))+0-30-0</f>
        <v>225.3</v>
      </c>
      <c r="N188" s="3">
        <f>0+(275.3-0)+(0+(-0.140403-0))+0-30--0.015299999999997</f>
        <v>245.17489700000002</v>
      </c>
      <c r="O188" s="3">
        <f>0+(354.3-33.5)+(0+(0-0))+0-30-0</f>
        <v>290.8</v>
      </c>
      <c r="P188" s="3">
        <f>0+(368.3-78.4)+(0+(0.187833-0.039984))+0-30-0.015299999999997</f>
        <v>260.03254899999996</v>
      </c>
      <c r="Q188" s="3">
        <f>0+(436.9-144.9)+(0+(-0.668457--0.221697))+0-30--0.0459000000000017</f>
        <v>261.59914000000003</v>
      </c>
      <c r="R188" s="3">
        <f>0+(524.1-234)+(0+(0-0))+0-31-0</f>
        <v>259.10000000000002</v>
      </c>
      <c r="S188" s="3">
        <f>0+(650.7-363.9)+(0+(0.331857-0.185589))+0-31-0.0158099999999969</f>
        <v>255.9304580000001</v>
      </c>
      <c r="T188" s="3">
        <f>0+(662.3-378.7)+(0+(0-0))+0-31-0</f>
        <v>252.59999999999997</v>
      </c>
      <c r="U188" s="3">
        <f>0+(662.5-370.6)+(0+(-0.67575--0.378012))+0-30--0.0306000000000048</f>
        <v>261.63286199999999</v>
      </c>
      <c r="V188" s="3">
        <f>0+(462.5-169.1)+(0+(-0.707625--0.258723))+0-30--0.0459000000000017</f>
        <v>262.99699800000002</v>
      </c>
      <c r="W188" s="3">
        <f>0+(370.2-88.2)+(0+(-0.377604--0.089964))+0-31--0.0316200000000049</f>
        <v>250.74397999999999</v>
      </c>
      <c r="X188" s="3">
        <f>0+(394.9-94.7)+(0+(0-0))+0-31-0</f>
        <v>269.2</v>
      </c>
      <c r="Y188" s="3">
        <f>0+(396.9-82.5)+(0+(-0.202419--0.042075))+0-31--0.0158099999999969</f>
        <v>283.25546599999996</v>
      </c>
      <c r="Z188" s="3">
        <f>0+(409.3-102.4)+(0+(-0.834972--0.208896))+0-31--0.0632399999999986</f>
        <v>275.33716399999997</v>
      </c>
      <c r="AA188" s="3">
        <f>0+(411.3-129.6)+(0+(0.209763-0.066096))+0-31-0.0158099999999969</f>
        <v>250.82785700000005</v>
      </c>
      <c r="AB188" s="3">
        <f>0+(447-166.2)+(0+(-0.68391--0.254286))+0-30--0.0459000000000017</f>
        <v>250.41627600000001</v>
      </c>
      <c r="AC188" s="3">
        <f>0+(498.8-208.9)+(0+(-0.254388--0.106539))+0-31--0.0158099999999969</f>
        <v>258.76796099999996</v>
      </c>
      <c r="AD188">
        <v>244.2</v>
      </c>
      <c r="AE188" s="3">
        <f>0+(386.2-111)+(0+(0-0))+0-31-0</f>
        <v>244.2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0+(349.9-87.9)+(0+(-0.178449--0.044829))+0-31--0.0158099999999969</f>
        <v>230.88218999999998</v>
      </c>
      <c r="G189" s="3">
        <f>0+(289.8-50)+(0+(-0.443394--0.0765))+0-31--0.0474300000000018</f>
        <v>208.480536</v>
      </c>
      <c r="H189" s="3">
        <f>0+(275.9-45)+(0+(0.140709-0.02295))+0-31-0.0158099999999969</f>
        <v>200.001949</v>
      </c>
      <c r="I189" s="3">
        <f>0+(278.5-34.2)+(0+(-0.142035--0.017442))+0-31--0.0158099999999969</f>
        <v>213.19121699999999</v>
      </c>
      <c r="J189" s="3">
        <f>0+(304-52.1)+(0+(-0.15504--0.026571))+0-32--0.0163199999999968</f>
        <v>219.78785100000002</v>
      </c>
      <c r="K189" s="3">
        <f>0+(314.5-51.2)+(0+(-0.64158--0.104448))+0-31--0.0632399999999986</f>
        <v>231.82610800000003</v>
      </c>
      <c r="L189" s="3">
        <f>0+(339.9-81)+(0+(-0.346698--0.08262))+0-31--0.0316200000000049</f>
        <v>227.667542</v>
      </c>
      <c r="M189" s="3">
        <f>0+(298.7-17.9)+(0+(0.304674-0.018258))+0-31-0.0316200000000049</f>
        <v>250.05479599999998</v>
      </c>
      <c r="N189" s="3">
        <f>0+(458.2-136.8)+(0+(0-0))+0-31-0</f>
        <v>290.39999999999998</v>
      </c>
      <c r="O189" s="3">
        <f>0+(614.7-259.8)+(0+(0.313497-0.132498))+0-31-0.0158099999999969</f>
        <v>324.06518900000003</v>
      </c>
      <c r="P189" s="3">
        <f>0+(607.4-284.7)+(0+(-0.309774--0.145197))+0-31--0.0158099999999969</f>
        <v>291.55123299999997</v>
      </c>
      <c r="Q189" s="3">
        <f>0+(634.9-272.4)+(0+(0.323799-0.138924))+0-31-0.0158099999999969</f>
        <v>331.66906499999999</v>
      </c>
      <c r="R189" s="3">
        <f>0+(723.1-369)+(0+(-0.737562--0.37638))+0-31--0.0316200000000049</f>
        <v>322.77043800000007</v>
      </c>
      <c r="S189" s="3">
        <f>0+(718.4-377.4)+(0+(0.732768-0.384948))+0-20-0.0204000000000032</f>
        <v>321.32742000000002</v>
      </c>
      <c r="T189" s="3">
        <f>0+(762-416.8)+(0+(-0.38862--0.212568))+0-31--0.0158099999999969</f>
        <v>314.03975799999995</v>
      </c>
      <c r="U189" s="3">
        <f>0+(733.2-393.9)+(0+(-1.495728--0.803556))+0-29--0.0591599999999987</f>
        <v>309.66698800000006</v>
      </c>
      <c r="V189" s="3">
        <f>0+(735.6-396.8)+(0+(-0.750312--0.404736))+0-30--0.0306000000000048</f>
        <v>308.48502400000001</v>
      </c>
      <c r="W189" s="3">
        <f>0+(522.2-188.2)+(0+(0.266322-0.095982))+0-31-0.0158099999999969</f>
        <v>303.15453000000008</v>
      </c>
      <c r="X189" s="3">
        <f>0+(592.7-232.1)+(0+(-0.302277--0.118371))+0-32--0.0163199999999968</f>
        <v>328.43241400000005</v>
      </c>
      <c r="Y189" s="3">
        <f>0+(598.7-246.4)+(0+(-1.526685--0.62832))+0-32--0.0815999999999954</f>
        <v>319.48323500000004</v>
      </c>
      <c r="Z189" s="3">
        <f>0+(538.2-202.7)+(0+(-0.548964--0.206754))+0-32--0.0326400000000051</f>
        <v>303.19043000000005</v>
      </c>
      <c r="AA189" s="3">
        <f>0+(573.9-241.1)+(0+(-0.292689--0.122961))+0-32--0.0163199999999968</f>
        <v>300.64659199999994</v>
      </c>
      <c r="AB189" s="3">
        <f>0+(571-248.9)+(0+(-0.87363--0.380817))+0-32--0.0489600000000018</f>
        <v>289.65614700000003</v>
      </c>
      <c r="AC189" s="3">
        <f>0+(473.1-172)+(0+(-1.206405--0.4386))+0-32--0.0815999999999954</f>
        <v>268.41379499999999</v>
      </c>
      <c r="AD189">
        <v>323.89999999999998</v>
      </c>
      <c r="AE189" s="3">
        <f>0+(595.3-239.4)+(0+(0-0))+0-32-0</f>
        <v>323.89999999999998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0+(387.6-102.6)+(0+(-0.98838--0.26163))+0-31--0.0790499999999955</f>
        <v>253.35230000000001</v>
      </c>
      <c r="G190" s="3">
        <f>0+(386.5-107.2)+(0+(0.78846-0.218688))+0-31-0.0632399999999986</f>
        <v>248.806532</v>
      </c>
      <c r="H190" s="3">
        <f>0+(368.1-85.3)+(0+(-0.375462--0.087006))+0-31--0.0316200000000049</f>
        <v>251.54316400000002</v>
      </c>
      <c r="I190" s="3">
        <f>0+(329.9-48.8)+(0+(-0.336498--0.049776))+0-31--0.0316200000000049</f>
        <v>249.84489799999997</v>
      </c>
      <c r="J190" s="3">
        <f>0+(307-15.7)+(0+(-0.31314--0.016014))+0-31--0.0316200000000049</f>
        <v>260.03449400000005</v>
      </c>
      <c r="K190" s="3">
        <f>0+(307.2-14.7)+(0+(-0.78336--0.037485))+0-31--0.0790499999999955</f>
        <v>260.83317499999998</v>
      </c>
      <c r="L190" s="3">
        <f>0+(269.5-0)+(0+(-0.412335-0))+0-31--0.0474300000000018</f>
        <v>238.13509500000001</v>
      </c>
      <c r="M190" s="3">
        <f>0+(413.3-108)+(0+(0.210783-0.05508))+0-32-0.0163199999999968</f>
        <v>273.43938300000002</v>
      </c>
      <c r="N190" s="3">
        <f>0+(553.4-214.5)+(0+(0-0))+0-29-0</f>
        <v>309.89999999999998</v>
      </c>
      <c r="O190" s="3">
        <f>0+(656.2-282.5)+(0+(0.334662-0.144075))+0-30-0.015299999999997</f>
        <v>343.87528700000001</v>
      </c>
      <c r="P190" s="3">
        <f>0+(742.2-349.8)+(0+(0.757044-0.356796))+0-28-0.0285600000000045</f>
        <v>364.77168799999998</v>
      </c>
      <c r="Q190" s="3">
        <f>0+(790.8-398.3)+(0+(0-0))+0-29-0</f>
        <v>363.49999999999994</v>
      </c>
      <c r="R190" s="3">
        <f>0+(850.8-504.6)+(0+(-1.301724--0.772038))+0-5--0.00765000000000029</f>
        <v>340.67796399999992</v>
      </c>
      <c r="S190" s="3">
        <f>0+(866.3-537.5)+(0+(-1.767252--1.0965))+0-5--0.0101999999999998</f>
        <v>323.13944799999996</v>
      </c>
      <c r="T190" s="3">
        <f>0+(896.2-561.5)+(0+(-2.28531--1.431825))+0-5--0.0127499999999993</f>
        <v>328.85926500000005</v>
      </c>
      <c r="U190" s="3">
        <f>0+(845.6-515.1)+(0+(-3.018792--1.838907))+0-5--0.0178500000000001</f>
        <v>324.337965</v>
      </c>
      <c r="V190" s="3">
        <f>0+(776.9-452.7)+(0+(-2.773533--1.616139))+0-6--0.0214200000000001</f>
        <v>317.06402599999996</v>
      </c>
      <c r="W190" s="3">
        <f>0+(675.7-346.3)+(0+(-1.378428--0.706452))+0-7--0.0142799999999997</f>
        <v>321.74230400000005</v>
      </c>
      <c r="X190" s="3">
        <f>0+(687.5-337.5)+(0+(-1.4025--0.6885))+0-7--0.0142799999999997</f>
        <v>342.30027999999999</v>
      </c>
      <c r="Y190" s="3">
        <f>0+(707.4-352.3)+(0+(-1.443096--0.718692))+0-9--0.0183599999999996</f>
        <v>345.39395599999995</v>
      </c>
      <c r="Z190" s="3">
        <f>0+(439.9-131.5)+(0+(0-0))+0-9-0</f>
        <v>299.39999999999998</v>
      </c>
      <c r="AA190" s="3">
        <f>0+(539-216.2)+(0+(-1.37445--0.55131))+0-11--0.0280499999999984</f>
        <v>311.00491</v>
      </c>
      <c r="AB190" s="3">
        <f>0+(400.3-89.1)+(0+(-1.020765--0.227205))+0-12--0.0305999999999983</f>
        <v>298.43704000000002</v>
      </c>
      <c r="AC190" s="3">
        <f>0+(398.3-101.1)+(0+(-1.015665--0.257805))+0-12--0.0305999999999983</f>
        <v>284.47274000000004</v>
      </c>
      <c r="AD190">
        <v>338.4</v>
      </c>
      <c r="AE190" s="3">
        <f>0+(686.9-339.5)+(0+(0-0))+0-9-0</f>
        <v>338.4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0+(458.9-163.2)+(0+(-0.936156--0.332928))+0-30--0.0611999999999987</f>
        <v>265.15797199999997</v>
      </c>
      <c r="G191" s="3">
        <f>0+(416.7-133.5)+(0+(0-0))+0-30-0</f>
        <v>253.2</v>
      </c>
      <c r="H191" s="3">
        <f>0+(385-107.1)+(0+(0-0))+0-30-0</f>
        <v>247.89999999999998</v>
      </c>
      <c r="I191" s="3">
        <f>0+(383-99)+(0+(0-0))+0-30-0</f>
        <v>254</v>
      </c>
      <c r="J191" s="3">
        <f>0+(403.6-116.2)+(0+(-0.411672--0.118524))+0-31--0.0316200000000049</f>
        <v>256.13847200000009</v>
      </c>
      <c r="K191" s="3">
        <f>0+(358.9-79.3)+(0+(-0.183039--0.040443))+0-31--0.0158099999999969</f>
        <v>248.47321399999993</v>
      </c>
      <c r="L191" s="3">
        <f>0+(304.9-5.6)+(0+(-0.310998--0.005712))+0-31--0.0316200000000049</f>
        <v>268.02633399999996</v>
      </c>
      <c r="M191" s="3">
        <f>0+(351.4-55)+(0+(0.537642-0.08415))+0-31-0.0474300000000018</f>
        <v>265.80606199999994</v>
      </c>
      <c r="N191" s="3">
        <f>0+(669.5-310.8)+(0+(0.68289-0.317016))+0-31-0.0316200000000049</f>
        <v>328.03425399999998</v>
      </c>
      <c r="O191" s="3">
        <f>0+(766.2-396.1)+(0+(0-0))+0-32-0</f>
        <v>338.1</v>
      </c>
      <c r="P191" s="3">
        <f>0+(751.9-382)+(0+(-1.917345--0.9741))+0-32--0.0815999999999954</f>
        <v>337.03835499999997</v>
      </c>
      <c r="Q191" s="3">
        <f>0+(900.3-505)+(0+(0.459153-0.25755))+0-32-0.0163199999999968</f>
        <v>363.48528299999992</v>
      </c>
      <c r="R191" s="3">
        <f>0+(984.9-591.6)+(0+(1.004598-0.603432))+0-30-0.0306000000000048</f>
        <v>363.67056599999995</v>
      </c>
      <c r="S191" s="3">
        <f>0+(988-619.3)+(0+(2.01552-1.263372))+0-30-0.0611999999999987</f>
        <v>339.39094800000004</v>
      </c>
      <c r="T191" s="3">
        <f>0+(984.4-623.7)+(0+(-1.506132--0.954261))+0-31--0.0474300000000018</f>
        <v>329.19555899999995</v>
      </c>
      <c r="U191" s="3">
        <f>0+(947.9-597.9)+(0+(-2.417145--1.524645))+0-31--0.0790499999999955</f>
        <v>318.18655000000001</v>
      </c>
      <c r="V191" s="3">
        <f>0+(833.2-475.5)+(0+(-2.12466--1.212525))+0-31--0.0790499999999955</f>
        <v>325.86691500000006</v>
      </c>
      <c r="W191" s="3">
        <f>0+(566.9-208.5)+(0+(-0.867357--0.319005))+0-30--0.0459000000000017</f>
        <v>327.89754799999997</v>
      </c>
      <c r="X191" s="3">
        <f>0+(648.7-263.8)+(0+(0.992511-0.403614))+0-31-0.0474300000000018</f>
        <v>354.44146699999999</v>
      </c>
      <c r="Y191" s="3">
        <f>0+(760-388.8)+(0+(-1.938--0.99144))+0-31--0.0790499999999955</f>
        <v>339.33249000000001</v>
      </c>
      <c r="Z191" s="3">
        <f>0+(691.1-340.3)+(0+(-0.704922--0.347106))+0-31--0.0316200000000049</f>
        <v>319.47380400000003</v>
      </c>
      <c r="AA191" s="3">
        <f>0+(645-298.6)+(0+(-0.98685--0.456858))+0-31--0.0474300000000018</f>
        <v>314.917438</v>
      </c>
      <c r="AB191" s="3">
        <f>0+(585.5-292.3)+(0+(-1.19442--0.596292))+0-31--0.0632399999999986</f>
        <v>261.66511200000002</v>
      </c>
      <c r="AC191" s="3">
        <f>0+(567.1-243.7)+(0+(-1.446105--0.621435))+0-31--0.0790499999999955</f>
        <v>291.65438</v>
      </c>
      <c r="AD191">
        <v>329.8</v>
      </c>
      <c r="AE191" s="3">
        <f>0+(718-357.2)+(0+(0-0))+0-31-0</f>
        <v>329.8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0+(540.7-231.4)+(0+(-1.103028--0.472056))+0-31--0.0632399999999986</f>
        <v>277.73226800000009</v>
      </c>
      <c r="G192" s="3">
        <f>0+(458.6-156.4)+(0+(-0.233886--0.079764))+0-31--0.0158099999999969</f>
        <v>271.06168800000006</v>
      </c>
      <c r="H192" s="3">
        <f>0+(327.9-27)+(0+(-0.668916--0.05508))+0-31--0.0632399999999986</f>
        <v>269.34940399999999</v>
      </c>
      <c r="I192" s="3">
        <f>0+(345.5-52.1)+(0+(0.176205-0.026571))+0-31-0.0158099999999969</f>
        <v>262.53382399999998</v>
      </c>
      <c r="J192" s="3">
        <f>0+(309.1-13)+(0+(-0.315282--0.01326))+0-31--0.0316200000000049</f>
        <v>264.82959800000003</v>
      </c>
      <c r="K192" s="3">
        <f>0+(341.7-52)+(0+(-0.871335--0.1326))+0-31--0.0790499999999955</f>
        <v>258.04031499999996</v>
      </c>
      <c r="L192" s="3">
        <f>0+(330-20.8)+(0+(-0.1683--0.010608))+0-31--0.0158099999999969</f>
        <v>278.05811799999998</v>
      </c>
      <c r="M192" s="3">
        <f>0+(473.9-158.6)+(0+(0.241689-0.080886))+0-31-0.0158099999999969</f>
        <v>284.44499299999995</v>
      </c>
      <c r="N192" s="3">
        <f>0+(618.5-268.6)+(0+(0.63087-0.273972))+0-31-0.0316200000000049</f>
        <v>319.22527799999995</v>
      </c>
      <c r="O192" s="3">
        <f>0+(750.8-385.7)+(0+(1.148724-0.590121))+0-31-0.0474300000000018</f>
        <v>334.61117299999995</v>
      </c>
      <c r="P192" s="3">
        <f>0+(772.6-409.9)+(0+(0-0))+0-31-0</f>
        <v>331.70000000000005</v>
      </c>
      <c r="Q192" s="3">
        <f>0+(871.6-494.5)+(0+(0.444516-0.252195))+0-31-0.0158099999999969</f>
        <v>346.27651100000003</v>
      </c>
      <c r="R192" s="3">
        <f>0+(894.4-520.8)+(0+(-1.368432--0.796824))+0-31--0.0474300000000018</f>
        <v>342.07582200000002</v>
      </c>
      <c r="S192" s="3">
        <f>0+(893.2-547)+(0+(0.455532-0.27897))+0-30-0.015299999999997</f>
        <v>316.36126200000001</v>
      </c>
      <c r="T192" s="3">
        <f>0+(914.3-550.1)+(0+(-1.865172--1.122204))+0-31--0.0632399999999986</f>
        <v>332.52027199999992</v>
      </c>
      <c r="U192" s="3">
        <f>0+(861.2-534.4)+(0+(-2.19606--1.36272))+0-30--0.0764999999999956</f>
        <v>296.04316000000006</v>
      </c>
      <c r="V192" s="3">
        <f>7+(749.6-440.6)+(-0.00714+(-0.764592--0.449412))+0-30--0.0306000000000048</f>
        <v>285.70828</v>
      </c>
      <c r="W192" s="3">
        <f>45+(560.4-265.7)+(0+(0-0))+0-30-0</f>
        <v>309.7</v>
      </c>
      <c r="X192" s="3">
        <f>62+(570.9-308.2)+(-0.06324+(-0.582318--0.314364))+0-31--0.0316200000000049</f>
        <v>293.40042600000004</v>
      </c>
      <c r="Y192" s="3">
        <f>124+(669.1-438.2)+(-0.18972+(-1.023723--0.670446))+0-31--0.0474300000000018</f>
        <v>323.40443300000004</v>
      </c>
      <c r="Z192" s="3">
        <f>104+(653.7-357.1)+(-0.15912+(-1.000161--0.546363))+0-31--0.0474300000000018</f>
        <v>369.03451200000006</v>
      </c>
      <c r="AA192" s="3">
        <f>46+(668.7-342.1)+(-0.04692+(-0.682074--0.348942))+0-30--0.0306000000000048</f>
        <v>342.25054800000004</v>
      </c>
      <c r="AB192" s="3">
        <f>0+(608.9-282.2)+(0+(-0.310539--0.143922))+0-30--0.015299999999997</f>
        <v>296.54868300000004</v>
      </c>
      <c r="AC192" s="3">
        <f>0+(552.8-237.2)+(0+(-0.281928--0.120972))+0-30--0.015299999999997</f>
        <v>285.45434399999999</v>
      </c>
      <c r="AD192">
        <v>338.5</v>
      </c>
      <c r="AE192" s="3">
        <f>132+(716.4-487.9)+(0+(0-0))+0-22-0</f>
        <v>338.5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0+(448.1-164.1)+(0+(-0.914124--0.334764))+0-31--0.0632399999999986</f>
        <v>252.48388</v>
      </c>
      <c r="G193" s="3">
        <f>0+(380.3-110.9)+(0+(-0.969765--0.282795))+0-31--0.0790499999999955</f>
        <v>237.79208</v>
      </c>
      <c r="H193" s="3">
        <f>0+(397.5-121.2)+(0+(-0.40545--0.123624))+0-31--0.0316200000000049</f>
        <v>245.04979399999999</v>
      </c>
      <c r="I193" s="3">
        <f>0+(338.5-68.1)+(0+(-0.69054--0.138924))+0-31--0.0632399999999986</f>
        <v>238.91162399999996</v>
      </c>
      <c r="J193" s="3">
        <f>0+(301.4-14.3)+(0+(0.76857-0.036465))+0-31-0.0790499999999955</f>
        <v>256.75305499999996</v>
      </c>
      <c r="K193" s="3">
        <f>0+(303.4-23.8)+(0+(-0.309468--0.024276))+0-31--0.0316200000000049</f>
        <v>248.34642799999997</v>
      </c>
      <c r="L193" s="3">
        <f>0+(348.4-70.1)+(0+(0.710736-0.143004))+0-31-0.0632399999999986</f>
        <v>247.80449199999993</v>
      </c>
      <c r="M193" s="3">
        <f>0+(359.2-54.6)+(0+(0.549576-0.083538))+0-31-0.0474300000000018</f>
        <v>274.01860799999997</v>
      </c>
      <c r="N193" s="3">
        <f>67+(526.2-275.1)+(-0.06834+(-0.536724--0.280602))+0-15--0.0153000000000024</f>
        <v>302.79083800000006</v>
      </c>
      <c r="O193" s="3">
        <f>127+(556.4-342.5)+(0.06477+(0.283764-0.174675))+0-31-0.0158099999999969</f>
        <v>310.05804899999998</v>
      </c>
      <c r="P193" s="3">
        <f>129+(659.4-443.4)+(0.13158+(0.672588-0.452268))+0-32-0.0326400000000051</f>
        <v>313.31925999999999</v>
      </c>
      <c r="Q193" s="3">
        <f>128+(778.8-542.9)+(0+(0-0))+0-31-0</f>
        <v>332.9</v>
      </c>
      <c r="R193" s="3">
        <f>128+(767.9-531.8)+(-0.3264+(-1.958145--1.35609))+0-31--0.0790499999999955</f>
        <v>332.25059500000003</v>
      </c>
      <c r="S193" s="3">
        <f>95+(817.2-526.7)+(-0.1938+(-1.667088--1.074468))+0-31--0.0632399999999986</f>
        <v>353.77681999999999</v>
      </c>
      <c r="T193" s="3">
        <f>49+(796.6-500.6)+(-0.12495+(-2.03133--1.27653))+0-31--0.0790499999999955</f>
        <v>313.19929999999999</v>
      </c>
      <c r="U193" s="3">
        <f>0+(765.2-441.7)+(0+(-1.561008--0.901068))+0-31.4--0.0640559999999986</f>
        <v>291.50411600000007</v>
      </c>
      <c r="V193" s="3">
        <f>0+(661.5-343.7)+(0+(-1.34946--0.701148))+0-31.7--0.0646679999999986</f>
        <v>285.51635600000003</v>
      </c>
      <c r="W193" s="3">
        <f>0+(567.9-243.7)+(0+(-0.579258--0.248574))+0-30.1--0.0307020000000048</f>
        <v>293.80001799999997</v>
      </c>
      <c r="X193" s="3">
        <f>0+(739.5-386.3)+(0+(0.75429-0.394026))+0-30.5-0.0311100000000049</f>
        <v>323.02915399999995</v>
      </c>
      <c r="Y193" s="3">
        <f>0+(761-408)+(0+(-1.16433--0.62424))+0-30.7--0.0469710000000018</f>
        <v>321.80688099999998</v>
      </c>
      <c r="Z193" s="3">
        <f>0+(720.2-361.7)+(0+(-1.101906--0.553401))+0-30.4--0.0465120000000018</f>
        <v>327.59800700000011</v>
      </c>
      <c r="AA193" s="3">
        <f>0+(660.8-320.5)+(0+(-1.011024--0.490365))+0-31.4--0.0480420000000018</f>
        <v>308.42738299999996</v>
      </c>
      <c r="AB193" s="3">
        <f>0+(527.9-224)+(0+(-0.269229--0.11424))+0-30.3--0.0154529999999969</f>
        <v>273.46046399999994</v>
      </c>
      <c r="AC193" s="3">
        <f>0+(525-222.2)+(0+(-0.5355--0.226644))+0-29.2--0.0297840000000047</f>
        <v>273.32092800000004</v>
      </c>
      <c r="AD193">
        <v>320.89999999999998</v>
      </c>
      <c r="AE193" s="3">
        <f>0+(793-440.1)+(0+(0-0))+0-32-0</f>
        <v>320.89999999999998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0+(495-227)+(0+(0.5049-0.23154))+0-31-0.0316200000000049</f>
        <v>237.24174000000002</v>
      </c>
      <c r="G194" s="3">
        <f>0+(484.5-217.9)+(0+(0.247095-0.111129))+0-31.3-0.0159629999999968</f>
        <v>235.42000300000001</v>
      </c>
      <c r="H194" s="3">
        <f>0+(361.4-115.2)+(0+(0.368628-0.117504))+0-30.7-0.0313140000000049</f>
        <v>215.71981</v>
      </c>
      <c r="I194" s="3">
        <f>0+(323.3-92.8)+(0+(-0.164883--0.047328))+0-31--0.0158099999999969</f>
        <v>199.39825499999998</v>
      </c>
      <c r="J194" s="3">
        <f>0+(231.1-30)+(0+(0.117861-0.0153))+0-31-0.0158099999999969</f>
        <v>170.18675100000002</v>
      </c>
      <c r="K194" s="3">
        <f>0+(226.2-40)+(0+(-0.57681--0.102))+0-29.4--0.0749699999999957</f>
        <v>156.40016</v>
      </c>
      <c r="L194" s="3">
        <f>0+(211.8-40)+(0+(0.216036-0.0408))+0-30.6-0.0312120000000049</f>
        <v>141.34402400000002</v>
      </c>
      <c r="M194" s="3">
        <f>0+(268.5-46.2)+(0+(0-0))+0-30.9-0</f>
        <v>191.4</v>
      </c>
      <c r="N194" s="3">
        <f>0+(399.8-153.3)+(0+(-0.611694--0.234549))+0-27.9--0.0426870000000016</f>
        <v>218.26554199999998</v>
      </c>
      <c r="O194" s="3">
        <f>0+(445.3-180.7)+(0+(0.681309-0.276471))+0-29.9-0.0457470000000017</f>
        <v>235.059091</v>
      </c>
      <c r="P194" s="3">
        <f>6.7+(435.9-170)+(-0.006834+(-0.444618--0.1734))+0-31.2--0.031824000000005</f>
        <v>241.15377199999998</v>
      </c>
      <c r="Q194" s="3">
        <f>155.8+(472.4-323)+(0+(0-0))+0-31.9-0</f>
        <v>273.3</v>
      </c>
      <c r="R194" s="3">
        <f>232.9+(453.3-399.4)+(0+(0-0))+0-31.5-0</f>
        <v>255.30000000000007</v>
      </c>
      <c r="S194" s="3">
        <f>232.8+(455.3-416.5)+(-0.237456+(-0.464406--0.42483))+0-31.2--0.031824000000005</f>
        <v>240.15479200000001</v>
      </c>
      <c r="T194" s="3">
        <f>231.4+(458.4-417.7)+(-0.472056+(-0.935136--0.852108))+0-31.1--0.0634439999999986</f>
        <v>240.50836000000001</v>
      </c>
      <c r="U194" s="3">
        <f>181+(388.2-290)+(-0.55386+(-1.187892--0.8874))+0-30.6--0.0936360000000035</f>
        <v>247.83928399999999</v>
      </c>
      <c r="V194" s="3">
        <f>50+(312.9-105.4)+(-0.102+(-0.638316--0.215016))+0-30.9--0.0630359999999986</f>
        <v>226.13773599999999</v>
      </c>
      <c r="W194" s="3">
        <f>50+(303.3-89.4)+(0.051+(0.309366-0.091188))+0-31.8-0.0324360000000051</f>
        <v>232.33674199999996</v>
      </c>
      <c r="X194" s="3">
        <f>95+(374.3-172.7)+(0.04845+(0.190893-0.088077))+0-31.3-0.0159629999999968</f>
        <v>265.43530300000003</v>
      </c>
      <c r="Y194" s="3">
        <f>125+(397.3-219.4)+(-0.1275+(-0.405246--0.223788))+0-32--0.0326400000000051</f>
        <v>270.62368199999997</v>
      </c>
      <c r="Z194" s="3">
        <f>126+(442.2-263)+(-0.12852+(-0.451044--0.26826))+0-32.6--0.0332520000000052</f>
        <v>272.32194799999996</v>
      </c>
      <c r="AA194" s="3">
        <f>107+(510-317.4)+(-0.05457+(-0.2601--0.161874))+0-32.3--0.0164729999999967</f>
        <v>267.16367700000001</v>
      </c>
      <c r="AB194" s="3">
        <f>50+(582.1-330.9)+(-0.0765+(-0.890613--0.506277))+0-31.9--0.0488070000000018</f>
        <v>268.88797100000011</v>
      </c>
      <c r="AC194" s="3">
        <f>20+(603.5-335.5)+(-0.0306+(-0.923355--0.513315))+0-27--0.0413100000000016</f>
        <v>260.60067000000004</v>
      </c>
      <c r="AD194">
        <v>274.60000000000002</v>
      </c>
      <c r="AE194" s="3">
        <f>123+(445.9-261.9)+(0+(0-0))+0-32.4-0</f>
        <v>274.60000000000002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0+(534.3-243.2)+(0+(-2.452437--1.116288))+0-31.4--0.144126000000005</f>
        <v>258.50797700000004</v>
      </c>
      <c r="G195" s="3">
        <f>0+(501.2-221.2)+(0+(-0.511224--0.225624))+0-30.9--0.0315180000000049</f>
        <v>248.84591800000001</v>
      </c>
      <c r="H195" s="3">
        <f>0+(401.1-126.4)+(0+(-1.227366--0.386784))+0-27.7--0.0847620000000032</f>
        <v>246.24418000000009</v>
      </c>
      <c r="I195" s="3">
        <f>0+(330.5-62.2)+(0+(-0.505665--0.095166))+0-30.4--0.0465120000000018</f>
        <v>237.536013</v>
      </c>
      <c r="J195" s="3">
        <f>0+(319.9-59.8)+(0+(0-0))+0-30.7-0</f>
        <v>229.39999999999998</v>
      </c>
      <c r="K195" s="3">
        <f>0+(305.7-48)+(0+(-0.467721--0.07344))+0-30.7--0.0469710000000018</f>
        <v>226.65269000000004</v>
      </c>
      <c r="L195" s="3">
        <f>0+(335.5-65)+(0+(0.171105-0.03315))+0-31-0.0158099999999969</f>
        <v>239.62214499999999</v>
      </c>
      <c r="M195" s="3">
        <f>31+(397.2-112.3)+(0+(0-0))+0-27.7-0</f>
        <v>288.2</v>
      </c>
      <c r="N195" s="3">
        <f>66+(624-341.7)+(0.06732+(0.63648-0.348534))+0-33.8-0.0344760000000054</f>
        <v>314.82078999999999</v>
      </c>
      <c r="O195" s="3">
        <f>123+(641.1-387.9)+(0.25092+(1.307844-0.791316))+0-31.1-0.0634439999999986</f>
        <v>345.80400400000002</v>
      </c>
      <c r="P195" s="3">
        <f>123+(600.1-359.5)+(0.12546+(0.612102-0.36669))+0-30.9-0.0315180000000049</f>
        <v>333.03935400000006</v>
      </c>
      <c r="Q195" s="3">
        <f>122+(617.3-366.8)+(0.06222+(0.314823-0.187068))+0-31.3-0.0159629999999968</f>
        <v>341.37401199999994</v>
      </c>
      <c r="R195" s="3">
        <f>122+(654.6-425.1)+(-0.06222+(-0.333846--0.216801))+0-30.4--0.0155039999999969</f>
        <v>320.93623900000006</v>
      </c>
      <c r="S195" s="3">
        <f>122+(709.7-486.5)+(0.24888+(1.447788-0.99246))+0-30.9-0.0630359999999986</f>
        <v>314.94117200000005</v>
      </c>
      <c r="T195" s="3">
        <f>122+(696.7-483.8)+(-0.06222+(-0.355317--0.246738))+0-23.1--0.0117809999999977</f>
        <v>311.64098200000001</v>
      </c>
      <c r="U195" s="3">
        <f>122+(697.3-470.1)+(-0.24888+(-1.422492--0.959004))+0-30.7--0.0626279999999987</f>
        <v>317.85025999999993</v>
      </c>
      <c r="V195" s="3">
        <f>122+(695.3-480.6)+(-0.24888+(-1.418412--0.980424))+0-30.9--0.0630359999999986</f>
        <v>305.17616799999996</v>
      </c>
      <c r="W195" s="3">
        <f>122+(506.5-288.6)+(-0.18666+(-0.774945--0.441558))+0-29.6--0.0452880000000017</f>
        <v>309.82524100000001</v>
      </c>
      <c r="X195" s="3">
        <f>122+(591.4-362.4)+(0+(0-0))+0-30.6-0</f>
        <v>320.39999999999998</v>
      </c>
      <c r="Y195" s="3">
        <f>122+(735.2-509.8)+(-0.3111+(-1.87476--1.29999))+0-31.3--0.0798149999999955</f>
        <v>315.29394500000001</v>
      </c>
      <c r="Z195" s="3">
        <f>122+(743.5-525.9)+(-0.12444+(-0.75837--0.536418))+0-30.9--0.0315180000000049</f>
        <v>308.38512600000007</v>
      </c>
      <c r="AA195" s="3">
        <f>122+(729.5-523.5)+(-0.24888+(-1.48818--1.06794))+0-31--0.0632399999999986</f>
        <v>296.39411999999999</v>
      </c>
      <c r="AB195" s="3">
        <f>122+(667.6-411.3)+(-0.12444+(-0.680952--0.419526))+0-29--0.0295800000000046</f>
        <v>348.943714</v>
      </c>
      <c r="AC195" s="3">
        <f>50+(506.4-252)+(-0.153+(-1.549584--0.77112))+0-30.9--0.0945540000000036</f>
        <v>272.66309000000001</v>
      </c>
      <c r="AD195">
        <v>321.10000000000002</v>
      </c>
      <c r="AE195" s="3">
        <f>123+(660.1-432.6)+(0+(0-0))+0-29.4-0</f>
        <v>321.10000000000002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0+(454.6-170.3)+(0+(-1.15923--0.434265))+0-31.2--0.0795599999999955</f>
        <v>252.45459500000001</v>
      </c>
      <c r="G196" s="3">
        <f>0+(383.5-88.4)+(0+(0-0))+0-31.7-0</f>
        <v>263.40000000000003</v>
      </c>
      <c r="H196" s="3">
        <f>0+(362.1-62.5)+(0+(-0.554013--0.095625))+0-31.5--0.0481950000000018</f>
        <v>267.68980700000003</v>
      </c>
      <c r="I196" s="3">
        <f>0+(334.4-47.2)+(0+(-0.511632--0.072216))+0-29.2--0.0446760000000017</f>
        <v>257.60525999999999</v>
      </c>
      <c r="J196" s="3">
        <f>0+(340.7-46.3)+(0+(-0.521271--0.070839))+0-27.8--0.0425340000000016</f>
        <v>266.19210199999998</v>
      </c>
      <c r="K196" s="3">
        <f>0+(345.5-60.7)+(0+(-0.35241--0.061914))+0-22.4--0.0228480000000036</f>
        <v>262.13235200000003</v>
      </c>
      <c r="L196" s="3">
        <f>0+(357.8-76.2)+(0+(0-0))+0-14.5-0</f>
        <v>267.10000000000002</v>
      </c>
      <c r="M196" s="3">
        <f>0+(337.4-33.1)+(0+(0.516222-0.050643))+0-22.4-0.0342720000000013</f>
        <v>282.33130699999998</v>
      </c>
      <c r="N196" s="3">
        <f>20.8+(545.5-234.8)+(0.021216+(0.55641-0.239496))+0-17.2-0.0175440000000027</f>
        <v>314.620586</v>
      </c>
      <c r="O196" s="3">
        <f>50.4+(665.1-349.5)+(-0.051408+(-0.678402--0.35649))+0-31.6--0.032232000000005</f>
        <v>334.05891200000002</v>
      </c>
      <c r="P196" s="3">
        <f>64+(731.4-438.1)+(-0.03264+(-0.373014--0.223431))+0-31.6--0.0161159999999968</f>
        <v>325.53389299999992</v>
      </c>
      <c r="Q196" s="3">
        <f>104+(696.3-441.2)+(0.10608+(0.710226-0.450024))+0-31.6-0.032232000000005</f>
        <v>327.83404999999993</v>
      </c>
      <c r="R196" s="3">
        <f>112+(706.4-459.8)+(-0.05712+(-0.360264--0.234498))+0-30.8--0.0157079999999969</f>
        <v>327.63282199999998</v>
      </c>
      <c r="S196" s="3">
        <f>120+(716.6-490.5)+(0+(0-0))+0-31.1-0</f>
        <v>315</v>
      </c>
      <c r="T196" s="3">
        <f>115+(725.1-499)+(-0.29325+(-1.849005--1.27245))+0-31--0.0790499999999955</f>
        <v>309.30924500000003</v>
      </c>
      <c r="U196" s="3">
        <f>95+(713.6-468.8)+(-0.1938+(-1.455744--0.956352))+0-27--0.0550799999999988</f>
        <v>312.16188799999998</v>
      </c>
      <c r="V196" s="3">
        <f>14.3+(685.8-374.4)+(-0.036465+(-1.74879--0.95472))+0-19.4--0.0494699999999972</f>
        <v>305.518935</v>
      </c>
      <c r="W196" s="3">
        <f>0+(584.8-244.9)+(0+(-0.596496--0.249798))+0-27.3--0.0278460000000044</f>
        <v>312.28114799999997</v>
      </c>
      <c r="X196" s="3">
        <f>0+(565.4-209)+(0+(-0.865062--0.31977))+0-29.6--0.0452880000000017</f>
        <v>326.29999599999996</v>
      </c>
      <c r="Y196" s="3">
        <f>0+(629.7-282.8)+(0+(-0.963441--0.432684))+0-27.3--0.0417690000000016</f>
        <v>319.11101200000002</v>
      </c>
      <c r="Z196" s="3">
        <f>0+(680.7-350.4)+(0+(-1.388628--0.714816))+0-21.3--0.0434519999999991</f>
        <v>308.36964000000006</v>
      </c>
      <c r="AA196" s="3">
        <f>0+(710.8-386)+(0+(-1.087524--0.59058))+0-27.1--0.0414630000000016</f>
        <v>297.24451899999997</v>
      </c>
      <c r="AB196" s="3">
        <f>0+(585.2-275.4)+(0+(-0.596904--0.280908))+0-29.7--0.0302940000000047</f>
        <v>279.81429800000012</v>
      </c>
      <c r="AC196" s="3">
        <f>0+(577-279)+(0+(-1.47135--0.71145))+0-29.5--0.0752249999999957</f>
        <v>267.81532499999997</v>
      </c>
      <c r="AD196">
        <v>319.09999999999997</v>
      </c>
      <c r="AE196" s="3">
        <f>0+(638.5-290.3)+(0+(0-0))+0-29.1-0</f>
        <v>319.09999999999997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0+(615.8-322.8)+(0+(0.314058-0.164628))+0-29.6-0.015095999999997</f>
        <v>263.53433399999994</v>
      </c>
      <c r="G197" s="3">
        <f>0+(535.4-251.7)+(0+(-1.36527--0.641835))+0-29.2--0.0744599999999958</f>
        <v>253.85102499999999</v>
      </c>
      <c r="H197" s="3">
        <f>0+(481.8-201.2)+(0+(-0.245718--0.102612))+0-29.3--0.014942999999997</f>
        <v>251.17183700000001</v>
      </c>
      <c r="I197" s="3">
        <f>0+(421.5-138.3)+(0+(-0.214965--0.070533))+0-29.7--0.015146999999997</f>
        <v>253.37071499999999</v>
      </c>
      <c r="J197" s="3">
        <f>0+(390.9-102.7)+(0+(-0.996795--0.261885))+0-29.3--0.0747149999999958</f>
        <v>258.23980499999993</v>
      </c>
      <c r="K197" s="3">
        <f>0+(406.2-116.3)+(0+(-0.828648--0.237252))+0-29.9--0.0609959999999987</f>
        <v>259.46960000000001</v>
      </c>
      <c r="L197" s="3">
        <f>0+(425.2-131.3)+(0+(-0.216852--0.066963))+0-30.4--0.0155039999999969</f>
        <v>263.36561500000005</v>
      </c>
      <c r="M197" s="3">
        <f>0+(483.8-172.6)+(0+(0.246738-0.088026))+0-30.6-0.0156059999999969</f>
        <v>280.74310600000001</v>
      </c>
      <c r="N197" s="3">
        <f>0+(709.5-368)+(0+(0.72369-0.37536))+0-30.8-0.0314160000000049</f>
        <v>311.01691399999999</v>
      </c>
      <c r="O197" s="3">
        <f>7+(754-399.5)+(0.00714+(0.76908-0.40749))+0-30.8-0.0314160000000049</f>
        <v>331.03731400000004</v>
      </c>
      <c r="P197" s="3">
        <f>50+(820.5-457.6)+(-0.0255+(-0.418455--0.233376))+0-30.6--0.0156059999999969</f>
        <v>382.10502699999995</v>
      </c>
      <c r="Q197" s="3">
        <f>90+(772.4-460.3)+(-0.1377+(-1.181772--0.704259))+0-30.9--0.0472770000000018</f>
        <v>370.63206400000001</v>
      </c>
      <c r="R197" s="3">
        <f>100+(740.7-450.7)+(-0.204+(-1.511028--0.919428))+0-30.1--0.0614039999999987</f>
        <v>359.16580400000004</v>
      </c>
      <c r="S197" s="3">
        <f>100+(783.2-522.1)+(-0.102+(-0.798864--0.532542))+0-30.3--0.0309060000000048</f>
        <v>330.46258400000005</v>
      </c>
      <c r="T197" s="3">
        <f>99+(770.3-528)+(-0.20196+(-1.571412--1.07712))+0-30.3--0.0618119999999987</f>
        <v>310.3655599999999</v>
      </c>
      <c r="U197" s="3">
        <f>92+(773.1-502.3)+(-0.2346+(-1.971405--1.280865))+0-30.1--0.0767549999999956</f>
        <v>331.85161499999998</v>
      </c>
      <c r="V197" s="3">
        <f>50+(612.1-329.6)+(-0.102+(-1.248684--0.672384))+0-29--0.0591599999999987</f>
        <v>302.88086000000004</v>
      </c>
      <c r="W197" s="3">
        <f>9+(493.3-167.3)+(0.00918+(0.503166-0.170646))+0-26.2-0.0267240000000042</f>
        <v>309.11497600000001</v>
      </c>
      <c r="X197" s="3">
        <f>0+(594.1-230)+(0+(-0.908973--0.3519))+0-31.3--0.0478890000000018</f>
        <v>332.29081600000001</v>
      </c>
      <c r="Y197" s="3">
        <f>0+(584.1-219.6)+(0+(-0.595782--0.223992))+0-31--0.0316200000000049</f>
        <v>333.15983000000006</v>
      </c>
      <c r="Z197" s="3">
        <f>0+(515.5-163.4)+(0+(-0.262905--0.083334))+0-30.4--0.0155039999999969</f>
        <v>321.53593300000006</v>
      </c>
      <c r="AA197" s="3">
        <f>0+(539.8-200.1)+(0+(0.275298-0.102051))+0-30.3-0.0154529999999969</f>
        <v>309.55779399999994</v>
      </c>
      <c r="AB197" s="3">
        <f>0+(587.9-258.9)+(0+(-0.899487--0.396117))+0-27.3--0.0417690000000016</f>
        <v>301.23839899999996</v>
      </c>
      <c r="AC197" s="3">
        <f>0+(517.1-202.8)+(0+(-0.791163--0.310284))+0-27.8--0.0425340000000016</f>
        <v>286.06165499999997</v>
      </c>
      <c r="AD197">
        <v>337.90000000000003</v>
      </c>
      <c r="AE197" s="3">
        <f>0+(632.1-264)+(0+(0-0))+0-30.2-0</f>
        <v>337.90000000000003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0+(461.7-150.4)+(0+(-0.941868--0.306816))+0-28.6--0.0583439999999988</f>
        <v>282.12329199999994</v>
      </c>
      <c r="G198" s="3">
        <f>0+(443.1-139)+(0+(-0.451962--0.14178))+0-29.5--0.0300900000000047</f>
        <v>274.31990800000005</v>
      </c>
      <c r="H198" s="3">
        <f>0+(431.4-135.9)+(0+(-0.220014--0.069309))+0-29.3--0.014942999999997</f>
        <v>266.06423799999999</v>
      </c>
      <c r="I198" s="3">
        <f>0+(397.4-92.9)+(0+(-0.405348--0.094758))+0-30.1--0.0307020000000048</f>
        <v>274.12011200000001</v>
      </c>
      <c r="J198" s="3">
        <f>0+(365.7-64.6)+(0+(0-0))+0-30.2-0</f>
        <v>270.90000000000003</v>
      </c>
      <c r="K198" s="3">
        <f>0+(361.3-65.3)+(0+(-0.737052--0.133212))+0-30.1--0.0614039999999987</f>
        <v>265.35756399999997</v>
      </c>
      <c r="L198" s="3">
        <f>0+(373.6-68.8)+(0+(-0.190536--0.035088))+0-30.2--0.0154019999999969</f>
        <v>274.45995400000004</v>
      </c>
      <c r="M198" s="3">
        <f>0+(453.5-136)+(0+(0-0))+0-30.1-0</f>
        <v>287.39999999999998</v>
      </c>
      <c r="N198" s="3">
        <f>0+(628.4-286.2)+(0+(0.320484-0.145962))+0-24.9-0.0126989999999975</f>
        <v>317.46182300000004</v>
      </c>
      <c r="O198" s="3">
        <f>28+(731.5-401.3)+(0+(0-0))+0-28.8-0</f>
        <v>329.4</v>
      </c>
      <c r="P198" s="3">
        <f>113+(653.6-399)+(-0.11526+(-0.666672--0.40698))+0-30.4--0.0310080000000048</f>
        <v>336.85605600000002</v>
      </c>
      <c r="Q198" s="3">
        <f>128+(603.2-368.4)+(-0.06528+(-0.307632--0.187884))+0-30.4--0.0155039999999969</f>
        <v>332.23047600000012</v>
      </c>
      <c r="R198" s="3">
        <f>128+(635.6-413.5)+(-0.19584+(-0.972468--0.632655))+0-29.3--0.0448290000000017</f>
        <v>320.30917599999998</v>
      </c>
      <c r="S198" s="3">
        <f>128+(685.7-485)+(-0.13056+(-0.699414--0.4947))+0-27.2--0.0277440000000043</f>
        <v>301.19247000000001</v>
      </c>
      <c r="T198" s="3">
        <f>128+(705.8-501.7)+(-0.13056+(-0.719916--0.511734))+0-30.1--0.0307020000000048</f>
        <v>301.69195999999994</v>
      </c>
      <c r="U198" s="3">
        <f>128+(671.2-470.9)+(0+(0-0))+0-29.9-0</f>
        <v>298.40000000000009</v>
      </c>
      <c r="V198" s="3">
        <f>128+(529.8-333.3)+(-0.13056+(-0.540396--0.339966))+0-30--0.0306000000000048</f>
        <v>294.19960999999995</v>
      </c>
      <c r="W198" s="3">
        <f>128+(455.8-242.7)+(-0.19584+(-0.697374--0.371331))+0-29--0.0443700000000017</f>
        <v>311.62248700000004</v>
      </c>
      <c r="X198" s="3">
        <f>128+(550.3-315.6)+(-0.19584+(-0.841959--0.482868))+0-28.9--0.0442170000000017</f>
        <v>333.28928599999995</v>
      </c>
      <c r="Y198" s="3">
        <f>128+(564.6-339.2)+(-0.3264+(-1.43973--0.86496))+0-30.2--0.0770099999999956</f>
        <v>322.37584000000004</v>
      </c>
      <c r="Z198" s="3">
        <f>60+(549.2-235.4)+(0+(0-0))+0-30.5-0</f>
        <v>343.30000000000007</v>
      </c>
      <c r="AA198" s="3">
        <f>0+(551.1-208.5)+(0+(-0.562122--0.21267))+0-30.3--0.0309060000000048</f>
        <v>311.98145400000004</v>
      </c>
      <c r="AB198" s="3">
        <f>0+(493.5-163.6)+(0+(-1.258425--0.41718))+0-30.4--0.0775199999999956</f>
        <v>298.73627499999998</v>
      </c>
      <c r="AC198" s="3">
        <f>0+(471.2-157.5)+(0+(0-0))+0-30.7-0</f>
        <v>283</v>
      </c>
      <c r="AD198">
        <v>337.8</v>
      </c>
      <c r="AE198" s="3">
        <f>135+(550.5-318.9)+(0+(0-0))+0-28.8-0</f>
        <v>337.8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0+(467.6-164.8)+(0+(-0.238476--0.084048))+0-30.3--0.0154529999999969</f>
        <v>272.36102499999998</v>
      </c>
      <c r="G199" s="3">
        <f>0+(500.8-205.3)+(0+(-0.255408--0.104703))+0-29.4--0.014993999999997</f>
        <v>265.96428900000001</v>
      </c>
      <c r="H199" s="3">
        <f>0+(391.5-98.1)+(0+(0.39933-0.100062))+0-29.6-0.0301920000000047</f>
        <v>264.06907599999994</v>
      </c>
      <c r="I199" s="3">
        <f>0+(349.9-58.9)+(0+(-0.178449--0.030039))+0-29.1--0.014840999999997</f>
        <v>261.76643099999995</v>
      </c>
      <c r="J199" s="3">
        <f>0+(346.9-62.7)+(0+(-0.530757--0.095931))+0-30.7--0.0469710000000018</f>
        <v>253.11214500000003</v>
      </c>
      <c r="K199" s="3">
        <f>0+(351.4-60.1)+(0+(-0.537642--0.091953))+0-31--0.0474300000000018</f>
        <v>259.90174099999996</v>
      </c>
      <c r="L199" s="3">
        <f>0+(388.9-101.7)+(0+(0-0))+0-29.9-0</f>
        <v>257.3</v>
      </c>
      <c r="M199" s="3">
        <f>0+(460-148.7)+(0+(0-0))+0-26.9-0</f>
        <v>284.40000000000003</v>
      </c>
      <c r="N199" s="3">
        <f>0+(601.3-254.2)+(0+(0.306663-0.129642))+0-30.7-0.0156569999999969</f>
        <v>316.56136400000003</v>
      </c>
      <c r="O199" s="3">
        <f>0+(663.8-302.4)+(0+(-1.015614--0.462672))+0-31.2--0.0477360000000018</f>
        <v>329.694794</v>
      </c>
      <c r="P199" s="3">
        <f>0+(708.2-350.6)+(0+(-0.361182--0.178806))+0-31.5--0.0160649999999968</f>
        <v>325.93368900000002</v>
      </c>
      <c r="Q199" s="3">
        <f>15+(764-415.9)+(-0.0153+(-0.77928--0.424218))+0-31--0.0316200000000049</f>
        <v>331.76125800000005</v>
      </c>
      <c r="R199" s="3">
        <f>39+(769.9-458.6)+(-0.13923+(-2.748543--1.637202))+0-31.3--0.111741</f>
        <v>317.86116999999996</v>
      </c>
      <c r="S199" s="3">
        <f>50+(803.7-525.7)+(-0.051+(-0.819774--0.536214))+0-30.9--0.0315180000000049</f>
        <v>296.79695800000002</v>
      </c>
      <c r="T199" s="3">
        <f>51+(815.5-535.9)+(-0.10404+(-1.66362--1.093236))+0-31.1--0.0634439999999986</f>
        <v>298.88902000000002</v>
      </c>
      <c r="U199" s="3">
        <f>51+(746.3-470.3)+(-0.02601+(-0.380613--0.239853))+0-30.9--0.0157589999999969</f>
        <v>295.94898899999998</v>
      </c>
      <c r="V199" s="3">
        <f>51+(671-401.5)+(-0.07803+(-1.02663--0.614295))+0-30.8--0.0471240000000018</f>
        <v>289.25675899999999</v>
      </c>
      <c r="W199" s="3">
        <f>51+(584.9-301)+(0.02601+(0.298299-0.15351))+0-30.1-0.0153509999999969</f>
        <v>304.95544799999993</v>
      </c>
      <c r="X199" s="3">
        <f>90+(568-343.5)+(-0.0918+(-0.57936--0.35037))+0-27.9--0.0284580000000044</f>
        <v>286.30766800000004</v>
      </c>
      <c r="Y199" s="3">
        <f>118+(584.6-320.6)+(-0.18054+(-0.894438--0.490518))+0-30.6--0.0468180000000018</f>
        <v>350.86235799999997</v>
      </c>
      <c r="Z199" s="3">
        <f>59+(610.4-321.5)+(-0.03009+(-0.311304--0.163965))+0-30.3--0.0154529999999969</f>
        <v>317.43802399999993</v>
      </c>
      <c r="AA199" s="3">
        <f>51+(654.1-374.1)+(-0.07803+(-1.000773--0.572373))+0-31.1--0.0475830000000018</f>
        <v>299.44115299999993</v>
      </c>
      <c r="AB199" s="3">
        <f>39+(672.8-368.3)+(-0.07956+(-1.372512--0.751332))+0-31.4--0.0640559999999986</f>
        <v>311.46331599999996</v>
      </c>
      <c r="AC199" s="3">
        <f>0+(544.6-236.4)+(0+(-0.555492--0.241128))+0-32.4--0.0330480000000052</f>
        <v>275.51868400000006</v>
      </c>
      <c r="AD199">
        <v>330.8</v>
      </c>
      <c r="AE199" s="3">
        <f>132+(567.6-341.6)+(0+(0-0))+0-27.2-0</f>
        <v>330.8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0+(495.3-188.4)+(0+(-1.010412--0.384336))+0-32.6--0.0665039999999986</f>
        <v>273.74042799999995</v>
      </c>
      <c r="G200" s="3">
        <f>0+(456-155.5)+(0+(-1.1628--0.396525))+0-32.2--0.0821099999999953</f>
        <v>267.615835</v>
      </c>
      <c r="H200" s="3">
        <f>0+(490.1-194.6)+(0+(-1.249755--0.49623))+0-30.6--0.0780299999999956</f>
        <v>264.22450499999997</v>
      </c>
      <c r="I200" s="3">
        <f>0+(483.5-194.5)+(0+(-0.98634--0.39678))+0-28--0.0571199999999988</f>
        <v>260.46755999999999</v>
      </c>
      <c r="J200" s="3">
        <f>0+(453.7-167.2)+(0+(0.694161-0.255816))+0-27.2-0.0416160000000016</f>
        <v>259.69672900000006</v>
      </c>
      <c r="K200" s="3">
        <f>0+(486.4-205)+(0+(-1.24032--0.52275))+0-28.4--0.0724199999999959</f>
        <v>252.35484999999994</v>
      </c>
      <c r="L200" s="3">
        <f>0+(510.9-237.9)+(0+(-0.260559--0.121329))+0-27.1--0.0138209999999973</f>
        <v>245.77459100000002</v>
      </c>
      <c r="M200" s="3">
        <f>50+(504.1-203.1)+(0.0255+(0.257091-0.103581))+0-28.9-0.0147389999999971</f>
        <v>322.26427100000001</v>
      </c>
      <c r="N200" s="3">
        <f>120+(646.8-401.3)+(0.0612+(0.329868-0.204663))+0-29.5-0.015044999999997</f>
        <v>336.17135999999994</v>
      </c>
      <c r="O200" s="3">
        <f>120+(735.8-519.5)+(0+(0-0))+0-29.7-0</f>
        <v>306.59999999999997</v>
      </c>
      <c r="P200" s="3">
        <f>120+(744.2-519.2)+(0+(0-0))+0-29.2-0</f>
        <v>315.8</v>
      </c>
      <c r="Q200" s="3">
        <f>120+(712.9-481.5)+(-0.1836+(-1.090737--0.736695))+0-30.9--0.0472770000000018</f>
        <v>320.009635</v>
      </c>
      <c r="R200" s="3">
        <f>121+(708.6-488.7)+(-0.06171+(-0.361386--0.249237))+0-31.3--0.0159629999999968</f>
        <v>309.44210400000003</v>
      </c>
      <c r="S200" s="3">
        <f>91+(756.1-503.1)+(0.09282+(0.771222-0.513162))+0-31.4-0.032028000000005</f>
        <v>312.91885200000002</v>
      </c>
      <c r="T200" s="3">
        <f>51+(749.1-494.3)+(-0.05202+(-0.764082--0.504186))+0-30.9--0.0315180000000049</f>
        <v>274.61960200000004</v>
      </c>
      <c r="U200" s="3">
        <f>51+(631.5-386.2)+(-0.13005+(-1.610325--0.98481))+0-30.7--0.0782849999999955</f>
        <v>264.92272000000003</v>
      </c>
      <c r="V200" s="3">
        <f>51+(572.4-325)+(-0.13005+(-1.45962--0.82875))+0-31.5--0.0803249999999954</f>
        <v>266.21940499999999</v>
      </c>
      <c r="W200" s="3">
        <f>51+(558.5-291)+(-0.02601+(-0.284835--0.14841))+0-31.5--0.0160649999999968</f>
        <v>286.85362999999995</v>
      </c>
      <c r="X200" s="3">
        <f>51+(622.7-343.1)+(-0.02601+(-0.317577--0.174981))+0-29.5--0.015044999999997</f>
        <v>300.946439</v>
      </c>
      <c r="Y200" s="3">
        <f>50+(609-322.4)+(-0.1785+(-2.17413--1.150968))+0-29.1--0.103887</f>
        <v>306.40222499999999</v>
      </c>
      <c r="Z200" s="3">
        <f>0+(560.3-233.2)+(0+(-1.143012--0.475728))+0-29.8--0.0607919999999987</f>
        <v>296.69350799999995</v>
      </c>
      <c r="AA200" s="3">
        <f>0+(528.8-216.2)+(0+(-1.34844--0.55131))+0-27.6--0.070379999999996</f>
        <v>284.27324999999996</v>
      </c>
      <c r="AB200" s="3">
        <f>0+(516.9-210.6)+(0+(-0.790857--0.322218))+0-31.2--0.0477360000000018</f>
        <v>274.67909699999996</v>
      </c>
      <c r="AC200" s="3">
        <f>0+(461.1-170.7)+(0+(-0.705483--0.261171))+0-31--0.0474300000000018</f>
        <v>259.00311800000003</v>
      </c>
      <c r="AD200">
        <v>306.39999999999998</v>
      </c>
      <c r="AE200" s="3">
        <f>50+(651.4-366.2)+(0+(0-0))+0-28.8-0</f>
        <v>306.39999999999998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0+(358.8-63.3)+(0+(0.365976-0.064566))+0-31-0.0316200000000049</f>
        <v>264.76978999999994</v>
      </c>
      <c r="G201" s="3">
        <f>0+(310.6-26.8)+(0+(0-0))+0-29.1-0</f>
        <v>254.70000000000002</v>
      </c>
      <c r="H201" s="3">
        <f>0+(297.8-22.6)+(0+(-0.303756--0.023052))+0-30.6--0.0312120000000049</f>
        <v>244.35050799999999</v>
      </c>
      <c r="I201" s="3">
        <f>0+(301.7-29.6)+(0+(0.153867-0.015096))+0-32-0.0163199999999968</f>
        <v>240.22245099999998</v>
      </c>
      <c r="J201" s="3">
        <f>0+(296.6-25.5)+(0+(0.151266-0.013005))+0-32.1-0.0163709999999967</f>
        <v>239.12189000000004</v>
      </c>
      <c r="K201" s="3">
        <f>0+(299.8-31.3)+(0+(-0.152898--0.015963))+0-31.5--0.0160649999999968</f>
        <v>236.87913</v>
      </c>
      <c r="L201" s="3">
        <f>0+(328.3-70.7)+(0+(0-0))+0-31.7-0</f>
        <v>225.90000000000003</v>
      </c>
      <c r="M201" s="3">
        <f>0+(320.8-69.1)+(0+(0-0))+0-31.5-0</f>
        <v>220.20000000000002</v>
      </c>
      <c r="N201" s="3">
        <f>0+(333.7-57.9)+(0+(-1.021122--0.177174))+0-31.7--0.0970020000000037</f>
        <v>243.35305400000001</v>
      </c>
      <c r="O201" s="3">
        <f>0+(366.7-88.5)+(0+(-0.187017--0.045135))+0-24.4--0.0124439999999975</f>
        <v>253.67056199999996</v>
      </c>
      <c r="P201" s="3">
        <f>0+(412.5-122.6)+(0+(-0.42075--0.125052))+0-30.2--0.0308040000000048</f>
        <v>259.43510599999996</v>
      </c>
      <c r="Q201" s="3">
        <f>0+(421.7-129.8)+(0+(-0.430134--0.132396))+0-31.9--0.0325380000000051</f>
        <v>259.73480000000001</v>
      </c>
      <c r="R201" s="3">
        <f>0+(411.2-125.4)+(0+(-0.838848--0.255816))+0-32.1--0.0654839999999986</f>
        <v>253.18245199999996</v>
      </c>
      <c r="S201" s="3">
        <f>0+(396.6-135.5)+(0+(-0.404532--0.13821))+0-32.2--0.0328440000000051</f>
        <v>228.66652200000004</v>
      </c>
      <c r="T201" s="3">
        <f>0+(409.2-154)+(0+(-0.417384--0.15708))+0-31.9--0.0325380000000051</f>
        <v>223.07223400000001</v>
      </c>
      <c r="U201" s="3">
        <f>0+(377.8-125.6)+(0+(-1.156068--0.384336))+0-31.4--0.0960840000000036</f>
        <v>220.12435199999999</v>
      </c>
      <c r="V201" s="3">
        <f>0+(377.9-124.9)+(0+(-0.770916--0.254796))+0-31.4--0.0640559999999986</f>
        <v>221.14793599999996</v>
      </c>
      <c r="W201" s="3">
        <f>0+(364.3-93)+(0+(-0.557379--0.14229))+0-31.4--0.0480420000000018</f>
        <v>239.53295299999999</v>
      </c>
      <c r="X201" s="3">
        <f>0+(395.4-108.7)+(0+(-1.209924--0.332622))+0-30.6--0.0936360000000035</f>
        <v>255.31633400000001</v>
      </c>
      <c r="Y201" s="3">
        <f>0+(375.4-86.8)+(0+(-0.95727--0.22134))+0-31.9--0.0813449999999954</f>
        <v>256.04541499999993</v>
      </c>
      <c r="Z201" s="3">
        <f>0+(413.6-127.9)+(0+(-0.843744--0.260916))+0-32.4--0.0660959999999986</f>
        <v>252.78326800000002</v>
      </c>
      <c r="AA201" s="3">
        <f>0+(441.8-162.8)+(0+(-0.901272--0.332112))+0-32.5--0.0662999999999986</f>
        <v>245.99714</v>
      </c>
      <c r="AB201" s="3">
        <f>0+(486.9-214.3)+(0+(0-0))+0-32.3-0</f>
        <v>240.29999999999995</v>
      </c>
      <c r="AC201" s="3">
        <f>0+(423.1-159.1)+(0+(-1.078905--0.405705))+0-31.6--0.0805799999999954</f>
        <v>231.80737999999999</v>
      </c>
      <c r="AD201">
        <v>264</v>
      </c>
      <c r="AE201" s="3">
        <f>0+(423.5-127.2)+(0+(0-0))+0-32.3-0</f>
        <v>264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0+(321-63)+(0+(-0.65484--0.12852))+0-31.7--0.0646679999999986</f>
        <v>225.83834800000002</v>
      </c>
      <c r="G202" s="3">
        <f>0+(351.2-98.7)+(0+(-0.716448--0.201348))+0-31--0.0632399999999986</f>
        <v>221.04814000000002</v>
      </c>
      <c r="H202" s="3">
        <f>0+(323.7-68)+(0+(-0.165087--0.03468))+0-30.9--0.0157589999999969</f>
        <v>224.68535199999999</v>
      </c>
      <c r="I202" s="3">
        <f>0+(324.8-60.9)+(0+(-0.331296--0.062118))+0-31.7--0.0323340000000051</f>
        <v>231.96315600000003</v>
      </c>
      <c r="J202" s="3">
        <f>0+(328.2-67.6)+(0+(0-0))+0-30.6-0</f>
        <v>230.00000000000003</v>
      </c>
      <c r="K202" s="3">
        <f>0+(330.4-62.4)+(0+(0.168504-0.031824))+0-31.6-0.0161159999999968</f>
        <v>236.52056400000001</v>
      </c>
      <c r="L202" s="3">
        <f>0+(397.6-126.1)+(0+(0.202776-0.064311))+0-31-0.0158099999999969</f>
        <v>240.62265500000001</v>
      </c>
      <c r="M202" s="3">
        <f>0+(364.9-64.1)+(0+(-0.186099--0.032691))+0-31.5--0.0160649999999968</f>
        <v>269.16265699999991</v>
      </c>
      <c r="N202" s="3">
        <f>0+(453.8-121.2)+(0+(-0.231438--0.061812))+0-31--0.0158099999999969</f>
        <v>301.44618400000002</v>
      </c>
      <c r="O202" s="3">
        <f>0+(520.1-177.5)+(0+(-0.530502--0.18105))+0-30--0.0306000000000048</f>
        <v>312.28114800000003</v>
      </c>
      <c r="P202" s="3">
        <f>0+(565-219.9)+(0+(0-0))+0-30.5-0</f>
        <v>314.60000000000002</v>
      </c>
      <c r="Q202" s="3">
        <f>0+(589.2-239)+(0+(-0.901476--0.36567))+0-30.9--0.0472770000000018</f>
        <v>318.8114710000001</v>
      </c>
      <c r="R202" s="3">
        <f>0+(613-266.3)+(0+(-1.56315--0.679065))+0-29.8--0.0759899999999957</f>
        <v>316.09190499999994</v>
      </c>
      <c r="S202" s="3">
        <f>0+(630.9-306.8)+(0+(-0.965277--0.469404))+0-29.2--0.0446760000000017</f>
        <v>294.44880299999994</v>
      </c>
      <c r="T202" s="3">
        <f>0+(641.8-320.7)+(0+(0-0))+0-28.4-0</f>
        <v>292.7</v>
      </c>
      <c r="U202" s="3">
        <f>0+(637.8-315.5)+(0+(-0.650556--0.32181))+0-29.1--0.0296820000000046</f>
        <v>292.90093599999989</v>
      </c>
      <c r="V202" s="3">
        <f>0+(564.7-243.1)+(0+(-0.863991--0.371943))+0-29.6--0.0452880000000017</f>
        <v>291.55324000000002</v>
      </c>
      <c r="W202" s="3">
        <f>0+(523.5-216.9)+(0+(-0.266985--0.110619))+0-29.3--0.014942999999997</f>
        <v>277.15857700000004</v>
      </c>
      <c r="X202" s="3">
        <f>0+(563.8-306)+(0+(-1.43769--0.7803))+0-30.8--0.0785399999999955</f>
        <v>226.42114999999993</v>
      </c>
      <c r="Y202" s="3">
        <f>0+(580.3-289.1)+(0+(-1.183812--0.589764))+0-31.9--0.0650759999999986</f>
        <v>258.77102799999994</v>
      </c>
      <c r="Z202" s="3">
        <f>0+(654.4-318)+(0+(-0.333744--0.16218))+0-32.3--0.0164729999999967</f>
        <v>303.944909</v>
      </c>
      <c r="AA202" s="3">
        <f>0+(691.1-359.9)+(0+(-1.762305--0.917745))+0-31.8--0.0810899999999954</f>
        <v>298.63653000000005</v>
      </c>
      <c r="AB202" s="3">
        <f>0+(628.7-313.5)+(0+(-1.282548--0.63954))+0-31.3--0.0638519999999986</f>
        <v>283.32084400000002</v>
      </c>
      <c r="AC202" s="3">
        <f>0+(661.9-360.3)+(0+(-1.687845--0.918765))+0-31--0.0790499999999955</f>
        <v>269.90996999999999</v>
      </c>
      <c r="AD202">
        <v>380.09999999999997</v>
      </c>
      <c r="AE202" s="3">
        <f>127+(586.9-305.1)+(0+(0-0))+0-28.7-0</f>
        <v>380.09999999999997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0+(559-269.5)+(0+(-0.28509--0.137445))+0-31.1--0.0158609999999968</f>
        <v>258.26821599999994</v>
      </c>
      <c r="G203" s="3">
        <f>0+(417.4-134.5)+(0+(-1.06437--0.342975))+0-31.4--0.0800699999999954</f>
        <v>250.85867500000001</v>
      </c>
      <c r="H203" s="3">
        <f>0+(340.1-53.9)+(0+(-0.173451--0.027489))+0-31.1--0.0158609999999968</f>
        <v>254.96989900000005</v>
      </c>
      <c r="I203" s="3">
        <f>0+(345-65.6)+(0+(-0.17595--0.033456))+0-30.8--0.0157079999999969</f>
        <v>248.47321399999996</v>
      </c>
      <c r="J203" s="3">
        <f>0+(338.3-61.9)+(0+(-0.345066--0.063138))+0-28.6--0.0291720000000046</f>
        <v>247.54724400000006</v>
      </c>
      <c r="K203" s="3">
        <f>0+(342.5-64.5)+(0+(-0.524025--0.098685))+0-31.1--0.0475830000000018</f>
        <v>246.522243</v>
      </c>
      <c r="L203" s="3">
        <f>0+(351.1-68.8)+(0+(-0.179061--0.035088))+0-29.4--0.014993999999997</f>
        <v>252.77102099999999</v>
      </c>
      <c r="M203" s="3">
        <f>0+(418.1-101.7)+(0+(-0.213231--0.051867))+0-30.5--0.0155549999999969</f>
        <v>285.75419100000005</v>
      </c>
      <c r="N203" s="3">
        <f>0+(506.3-163.2)+(0+(0.516426-0.166464))+0-30.9-0.0315180000000049</f>
        <v>312.51844400000004</v>
      </c>
      <c r="O203" s="3">
        <f>46+(509.1-206.8)+(-0.04692+(-0.519282--0.210936))+0-29.2--0.0297840000000047</f>
        <v>318.77451800000006</v>
      </c>
      <c r="P203" s="3">
        <f>112+(551.3-312.7)+(-0.05712+(-0.281163--0.159477))+0-28.5--0.0145349999999971</f>
        <v>321.93572899999998</v>
      </c>
      <c r="Q203" s="3">
        <f>128+(561.8-333.8)+(-0.13056+(-0.573036--0.340476))+0-29.5--0.0300900000000047</f>
        <v>326.16696999999999</v>
      </c>
      <c r="R203" s="3">
        <f>128+(578.7-355.7)+(-0.19584+(-0.885411--0.544221))+0-29.9--0.0457470000000017</f>
        <v>320.60871700000007</v>
      </c>
      <c r="S203" s="3">
        <f>128+(592.9-415.4)+(-0.26112+(-1.209516--0.847416))+0-4.5--0.0091799999999998</f>
        <v>300.38596000000001</v>
      </c>
      <c r="T203" s="3">
        <f>126.5+(605.1-430.3)+(-0.064515+(-0.308601--0.219453))+0-2.4--0.00122399999999976</f>
        <v>298.74756100000002</v>
      </c>
      <c r="U203" s="3">
        <f>128+(563.1-389.3)+(-0.3264+(-1.435905--0.992715))+0-4.6--0.0117299999999993</f>
        <v>296.44213999999999</v>
      </c>
      <c r="V203" s="3">
        <f>128+(446.5-271.1)+(-0.19584+(-0.683145--0.414783))+0-4.8--0.00734400000000028</f>
        <v>298.14314199999995</v>
      </c>
      <c r="W203" s="3">
        <f>128+(403.9-213.4)+(0.06528+(0.205989-0.108834))+0-5.1-0.00260099999999948</f>
        <v>313.55983399999997</v>
      </c>
      <c r="X203" s="3">
        <f>129+(531.6-331.8)+(-0.13158+(-0.542232--0.338436))+0-6.1--0.00622200000000097</f>
        <v>322.37084599999997</v>
      </c>
      <c r="Y203" s="3">
        <f>65+(551.7-295.9)+(-0.1326+(-1.125468--0.603636))+0-6.8--0.0138719999999997</f>
        <v>313.35944000000006</v>
      </c>
      <c r="Z203" s="3">
        <f>0+(572.3-260.4)+(0+(-1.167492--0.531216))+0-7.7--0.0157079999999997</f>
        <v>303.579432</v>
      </c>
      <c r="AA203" s="3">
        <f>0+(520.5-216.8)+(0+(-0.53091--0.221136))+0-8.8--0.0089760000000014</f>
        <v>294.59920199999999</v>
      </c>
      <c r="AB203" s="3">
        <f>0+(493.3-202.5)+(0+(-0.503166--0.20655))+0-6.8--0.00693600000000108</f>
        <v>283.71032000000002</v>
      </c>
      <c r="AC203" s="3">
        <f>0+(406.2-121.7)+(0+(-1.03581--0.310335))+0-7--0.017849999999999</f>
        <v>276.79237499999999</v>
      </c>
      <c r="AD203">
        <v>320.5</v>
      </c>
      <c r="AE203" s="3">
        <f>127+(548.9-348.9)+(0+(0-0))+0-6.5-0</f>
        <v>320.5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0+(343-65.9)+(0+(-0.34986--0.067218))+0-8.1--0.00826200000000129</f>
        <v>268.72561999999999</v>
      </c>
      <c r="G204" s="3">
        <f>0+(327.4-57.9)+(0+(-0.500922--0.088587))+0-9.4--0.0143820000000005</f>
        <v>259.70204700000005</v>
      </c>
      <c r="H204" s="3">
        <f>0+(330.8-60.2)+(0+(0-0))+0-11.4-0</f>
        <v>259.20000000000005</v>
      </c>
      <c r="I204" s="3">
        <f>0+(328.4-55.1)+(0+(0-0))+0-12.5-0</f>
        <v>260.79999999999995</v>
      </c>
      <c r="J204" s="3">
        <f>0+(320-50.2)+(0+(-0.4896--0.076806))+0-12--0.0183600000000007</f>
        <v>257.40556599999996</v>
      </c>
      <c r="K204" s="3">
        <f>0+(327.3-61.8)+(0+(0.166923-0.031518))+0-13.2-0.00673199999999866</f>
        <v>252.428673</v>
      </c>
      <c r="L204" s="3">
        <f>0+(331.9-64.5)+(0+(0-0))+0-17.1-0</f>
        <v>250.29999999999998</v>
      </c>
      <c r="M204" s="3">
        <f>0+(390.5-88.4)+(0+(-0.39831--0.090168))+0-19.3--0.0196860000000031</f>
        <v>282.51154400000001</v>
      </c>
      <c r="N204" s="3">
        <f>0+(535.1-200.3)+(0+(0.818703-0.306459))+0-18.9-0.0289170000000011</f>
        <v>316.38332700000007</v>
      </c>
      <c r="O204" s="3">
        <f>45.8+(517.2-259.5)+(-0.070074+(-0.791316--0.397035))+0-21.6--0.0330480000000013</f>
        <v>281.46869300000003</v>
      </c>
      <c r="P204" s="3">
        <f>51.6+(588.7-262.5)+(-0.105264+(-1.200948--0.5355))+0-23.9--0.048755999999999</f>
        <v>353.17804400000011</v>
      </c>
      <c r="Q204" s="3">
        <f>113.7+(487.7-244.7)+(-0.231948+(-0.994908--0.499188))+0-22.7--0.046307999999999</f>
        <v>333.31864000000002</v>
      </c>
      <c r="R204" s="3">
        <f>246.9+(443.1-339.8)+(-0.629595+(-1.129905--0.86649))+0-14.7--0.0374849999999979</f>
        <v>334.64447500000006</v>
      </c>
      <c r="S204" s="3">
        <f>246.2+(471.1-386.5)+(0.125562+(0.240261-0.197115))+0-27.2-0.0138719999999972</f>
        <v>303.75483600000001</v>
      </c>
      <c r="T204" s="3">
        <f>245.2+(454.8-369.8)+(-0.500208+(-0.927792--0.754392))+0-29.4--0.0599759999999987</f>
        <v>300.18636800000002</v>
      </c>
      <c r="U204" s="3">
        <f>244.2+(415.4-324.6)+(-0.62271+(-1.05927--0.82773))+0-28.9--0.0736949999999958</f>
        <v>305.31944499999997</v>
      </c>
      <c r="V204" s="3">
        <f>247.3+(320.9-214.7)+(-0.378369+(-0.490977--0.328491))+0-28.8--0.0440640000000017</f>
        <v>324.20320899999996</v>
      </c>
      <c r="W204" s="3">
        <f>245.8+(328.7-219.3)+(0.250716+(0.335274-0.223686))+0-29.3-0.0298860000000047</f>
        <v>326.232418</v>
      </c>
      <c r="X204" s="3">
        <f>243+(369.3-253.8)+(-0.61965+(-0.941715--0.64719))+0-29.4--0.0749699999999957</f>
        <v>328.26079500000003</v>
      </c>
      <c r="Y204" s="3">
        <f>247.9+(343-243.1)+(-0.252858+(-0.34986--0.247962))+0-29.7--0.0302940000000047</f>
        <v>317.77553800000004</v>
      </c>
      <c r="Z204" s="3">
        <f>245.8+(326.5-231.3)+(-0.376074+(-0.499545--0.353889))+0-29.5--0.0451350000000017</f>
        <v>311.02340500000003</v>
      </c>
      <c r="AA204" s="3">
        <f>228.9+(354.4-248)+(-0.466956+(-0.722976--0.50592))+0-29--0.0591599999999987</f>
        <v>305.67514799999998</v>
      </c>
      <c r="AB204" s="3">
        <f>100.5+(399.9-178.6)+(0+(0-0))+0-29-0</f>
        <v>292.79999999999995</v>
      </c>
      <c r="AC204" s="3">
        <f>102.6+(355.4-147.2)+(-0.209304+(-0.725016--0.300288))+0-28.5--0.0581399999999988</f>
        <v>281.72410799999994</v>
      </c>
      <c r="AD204">
        <v>332.19999999999993</v>
      </c>
      <c r="AE204" s="3">
        <f>248+(414.8-301.5)+(0+(0-0))+0-29.1-0</f>
        <v>332.2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50.5+(389.4-160.8)+(0+(0-0))+0-30-0</f>
        <v>249.09999999999997</v>
      </c>
      <c r="G205" s="3">
        <f>50.6+(386.9-146.9)+(-0.077418+(-0.591957--0.224757))+0-29.4--0.0449820000000017</f>
        <v>260.800364</v>
      </c>
      <c r="H205" s="3">
        <f>50.5+(376.6-140.5)+(0.05151+(0.384132-0.14331))+0-29.7-0.0302940000000047</f>
        <v>257.162038</v>
      </c>
      <c r="I205" s="3">
        <f>50.5+(378.1-141.8)+(-0.077265+(-0.578493--0.216954))+0-30.2--0.0462060000000017</f>
        <v>256.207402</v>
      </c>
      <c r="J205" s="3">
        <f>50.6+(376.8-147.3)+(0+(0-0))+0-26-0</f>
        <v>254.10000000000002</v>
      </c>
      <c r="K205" s="3">
        <f>50.6+(357.8-130)+(-0.077418+(-0.547434--0.1989))+0-29.7--0.0454410000000017</f>
        <v>248.31948900000006</v>
      </c>
      <c r="L205" s="3">
        <f>50.5+(328.6-98.9)+(-0.05151+(-0.335172--0.100878))+0-29.8--0.0303960000000048</f>
        <v>250.14459200000005</v>
      </c>
      <c r="M205" s="3">
        <f>50.6+(345.4-89.1)+(0.051612+(0.352308-0.090882))+0-30.6-0.0312120000000049</f>
        <v>276.58182599999998</v>
      </c>
      <c r="N205" s="3">
        <f>50.5+(474.2-194.6)+(-0.025755+(-0.241842--0.099246))+0-30.7--0.0156569999999969</f>
        <v>299.24730600000004</v>
      </c>
      <c r="O205" s="3">
        <f>74.6+(561.5-297.1)+(0+(0-0))+0-30.8-0</f>
        <v>308.2</v>
      </c>
      <c r="P205" s="3">
        <f>120.6+(561.4-342)+(-0.061506+(-0.286314--0.17442))+0-31.5--0.0160649999999968</f>
        <v>308.34266499999995</v>
      </c>
      <c r="Q205" s="3">
        <f>202.3+(555-414.3)+(-0.309519+(-0.84915--0.633879))+0-32--0.0489600000000018</f>
        <v>310.52417000000003</v>
      </c>
      <c r="R205" s="3">
        <f>245.1+(529.4-439.8)+(-0.500004+(-1.079976--0.897192))+0-31.7--0.0646679999999986</f>
        <v>302.38187999999991</v>
      </c>
      <c r="S205" s="3">
        <f>244.8+(531.1-456.8)+(-0.249696+(-0.541722--0.465936))+0-30.9--0.0315180000000049</f>
        <v>287.90603600000003</v>
      </c>
      <c r="T205" s="3">
        <f>245.3+(529.9-451.3)+(-0.250206+(-0.540498--0.460326))+0-31.1--0.031722000000005</f>
        <v>292.50134399999996</v>
      </c>
      <c r="U205" s="3">
        <f>215.3+(501.5-419.1)+(-0.439212+(-1.02306--0.854964))+0-29.5--0.0601799999999987</f>
        <v>267.652872</v>
      </c>
      <c r="V205" s="3">
        <f>115.9+(553.2-327.7)+(-0.177327+(-0.846396--0.501381))+0-31.3--0.0478890000000018</f>
        <v>309.6255470000001</v>
      </c>
      <c r="W205" s="3">
        <f>70+(521.2-237.6)+(0+(0-0))+0-32.5-0</f>
        <v>321.10000000000002</v>
      </c>
      <c r="X205" s="3">
        <f>119+(461.6-220.2)+(-0.18207+(-0.706248--0.336906))+0-33.2--0.0507960000000019</f>
        <v>326.69938400000001</v>
      </c>
      <c r="Y205" s="3">
        <f>106+(509.2-289)+(-0.10812+(-0.519384--0.29478))+0-32.6--0.0332520000000052</f>
        <v>293.30052799999999</v>
      </c>
      <c r="Z205" s="3">
        <f>31+(561.3-301.2)+(-0.06324+(-1.145052--0.614448))+0-32.4--0.0660959999999986</f>
        <v>258.17225200000001</v>
      </c>
      <c r="AA205" s="3">
        <f>0+(600.7-278.7)+(0+(-0.919071--0.426411))+0-32.3--0.0494190000000019</f>
        <v>289.25675900000005</v>
      </c>
      <c r="AB205" s="3">
        <f>0+(442.1-132.5)+(0+(-1.127355--0.337875))+0-31.2--0.0795599999999955</f>
        <v>277.69008000000002</v>
      </c>
      <c r="AC205" s="3">
        <f>0+(397.1-119.2)+(0+(-1.012605--0.30396))+0-16.2--0.0413099999999976</f>
        <v>261.03266500000007</v>
      </c>
      <c r="AD205">
        <v>309.39999999999998</v>
      </c>
      <c r="AE205" s="3">
        <f>119+(456.9-233.1)+(0+(0-0))+0-33.4-0</f>
        <v>309.39999999999998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0+(509.1-215.1)+(0+(-1.038564--0.438804))+0-31.1--0.0634439999999986</f>
        <v>262.36368399999998</v>
      </c>
      <c r="G206" s="3">
        <f>0+(513.2-225.4)+(0+(-0.785196--0.344862))+0-31--0.0474300000000018</f>
        <v>256.40709600000008</v>
      </c>
      <c r="H206" s="3">
        <f>0+(449.2-166.4)+(0+(-0.687276--0.254592))+0-31.6--0.0483480000000018</f>
        <v>250.81566399999997</v>
      </c>
      <c r="I206" s="3">
        <f>0+(420.6-141.3)+(0+(-0.643518--0.216189))+0-31.4--0.0480420000000018</f>
        <v>247.52071300000003</v>
      </c>
      <c r="J206" s="3">
        <f>0+(445.3-163.6)+(0+(0.454206-0.166872))+0-31.8-0.0324360000000051</f>
        <v>250.154898</v>
      </c>
      <c r="K206" s="3">
        <f>0+(384.1-98.3)+(0+(-0.391782--0.100266))+0-32--0.0326400000000051</f>
        <v>253.54112400000002</v>
      </c>
      <c r="L206" s="3">
        <f>0+(348.5-60.2)+(0+(-0.35547--0.061404))+0-31.5--0.032130000000005</f>
        <v>256.53806400000002</v>
      </c>
      <c r="M206" s="3">
        <f>0+(475.1-154.8)+(0+(0.242301-0.078948))+0-31.6-0.0161159999999968</f>
        <v>288.84723699999995</v>
      </c>
      <c r="N206" s="3">
        <f>0+(600.6-255.9)+(0+(0-0))+0-32-0</f>
        <v>312.70000000000005</v>
      </c>
      <c r="O206" s="3">
        <f>56+(607.1-311)+(-0.02856+(-0.309621--0.15861))+0-31.9--0.0162689999999968</f>
        <v>320.03669800000006</v>
      </c>
      <c r="P206" s="3">
        <f>120+(571.1-336.5)+(-0.1224+(-0.582522--0.34323))+0-31.7--0.0323340000000051</f>
        <v>322.57064200000002</v>
      </c>
      <c r="Q206" s="3">
        <f>120+(594.5-352.3)+(-0.1224+(-0.60639--0.359346))+0-31.5--0.032130000000005</f>
        <v>330.362686</v>
      </c>
      <c r="R206" s="3">
        <f>117+(574.3-339.3)+(-0.29835+(-1.464465--0.865215))+0-30.1--0.0767549999999956</f>
        <v>321.0791549999999</v>
      </c>
      <c r="S206" s="3">
        <f>120+(566.4-361.8)+(-0.0612+(-0.288864--0.184518))+0-31.2--0.0159119999999968</f>
        <v>293.25036599999999</v>
      </c>
      <c r="T206" s="3">
        <f>108+(628.3-418.4)+(-0.16524+(-0.961299--0.640152))+0-32.2--0.0492660000000019</f>
        <v>285.262879</v>
      </c>
      <c r="U206" s="3">
        <f>50+(583-311.7)+(-0.102+(-1.18932--0.635868))+0-31.7--0.0646679999999986</f>
        <v>289.00921599999998</v>
      </c>
      <c r="V206" s="3">
        <f>50+(472.6-201.9)+(-0.0765+(-0.723078--0.308907))+0-31.5--0.0481950000000018</f>
        <v>288.75752400000005</v>
      </c>
      <c r="W206" s="3">
        <f>50+(488.9-197.5)+(-0.0255+(-0.249339--0.100725))+0-31.5--0.0160649999999968</f>
        <v>309.74195099999997</v>
      </c>
      <c r="X206" s="3">
        <f>50+(579.8-275.2)+(0+(0-0))+0-36.6-0</f>
        <v>317.99999999999994</v>
      </c>
      <c r="Y206" s="3">
        <f>45+(602.8-301.2)+(-0.11475+(-1.53714--0.76806))+0-38--0.0968999999999945</f>
        <v>307.81306999999998</v>
      </c>
      <c r="Z206" s="3">
        <f>0+(582.6-241.6)+(0+(-0.297126--0.123216))+0-38.8--0.0197879999999961</f>
        <v>302.04587800000002</v>
      </c>
      <c r="AA206" s="3">
        <f>0+(541.8-214.9)+(0+(-1.105272--0.438396))+0-35.1--0.0716039999999985</f>
        <v>291.20472799999993</v>
      </c>
      <c r="AB206" s="3">
        <f>0+(544.7-222.6)+(0+(-0.833391--0.340578))+0-39.4--0.0602820000000023</f>
        <v>282.26746900000006</v>
      </c>
      <c r="AC206" s="3">
        <f>0+(498.1-186.6)+(0+(-1.270155--0.47583))+0-34.1--0.0869549999999951</f>
        <v>276.69262999999995</v>
      </c>
      <c r="AD206">
        <v>313.89999999999998</v>
      </c>
      <c r="AE206" s="3">
        <f>50+(575.8-272.9)+(0+(0-0))+0-39-0</f>
        <v>313.89999999999998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0+(462.4-159.6)+(0+(0-0))+0-32.1-0</f>
        <v>270.69999999999993</v>
      </c>
      <c r="G207" s="3">
        <f>0+(398.4-107.8)+(0+(0-0))+0-32.3-0</f>
        <v>258.29999999999995</v>
      </c>
      <c r="H207" s="3">
        <f>0+(410.7-125.2)+(0+(0.209457-0.063852))+0-32.2-0.0164219999999967</f>
        <v>253.42918299999999</v>
      </c>
      <c r="I207" s="3">
        <f>0+(395-110.3)+(0+(-0.4029--0.112506))+0-32--0.0326400000000051</f>
        <v>252.44224600000001</v>
      </c>
      <c r="J207" s="3">
        <f>0+(385.6-104.7)+(0+(0-0))+0-32.1-0</f>
        <v>248.80000000000004</v>
      </c>
      <c r="K207" s="3">
        <f>0+(360.6-73.6)+(0+(-0.91953--0.18768))+0-32.6--0.0831299999999953</f>
        <v>253.75127999999998</v>
      </c>
      <c r="L207" s="3">
        <f>0+(368.8-80.4)+(0+(-0.376176--0.082008))+0-31.5--0.032130000000005</f>
        <v>256.63796199999996</v>
      </c>
      <c r="M207" s="3">
        <f>0+(381.3-76.2)+(0+(0.583389-0.116586))+0-32.5-0.0497250000000019</f>
        <v>273.01707800000003</v>
      </c>
      <c r="N207" s="3">
        <f>2+(471.1-138.5)+(0+(0-0))+0-32.9-0</f>
        <v>301.70000000000005</v>
      </c>
      <c r="O207" s="3">
        <f>50+(625.5-331.8)+(-0.051+(-0.63801--0.338436))+0-33.2--0.0338640000000053</f>
        <v>310.18329</v>
      </c>
      <c r="P207" s="3">
        <f>119+(685.6-459.3)+(0.12138+(0.699312-0.468486))+0-33.4-0.0340680000000053</f>
        <v>312.21813800000007</v>
      </c>
      <c r="Q207" s="3">
        <f>120+(720.1-497)+(-0.1836+(-1.101753--0.76041))+0-33.3--0.0509490000000019</f>
        <v>309.32600600000001</v>
      </c>
      <c r="R207" s="3">
        <f>121+(714-502.1)+(-0.06171+(-0.36414--0.256071))+0-32.7--0.0166769999999967</f>
        <v>300.046898</v>
      </c>
      <c r="S207" s="3">
        <f>121+(772-577.4)+(0.12342+(0.78744-0.588948))+0-32.3-0.0329460000000051</f>
        <v>283.58896600000003</v>
      </c>
      <c r="T207" s="3">
        <f>121+(761.7-577.3)+(0.06171+(0.388467-0.294423))+0-32.6-0.0166259999999967</f>
        <v>272.9391280000001</v>
      </c>
      <c r="U207" s="3">
        <f>90+(742.2-531.3)+(-0.2295+(-1.89261--1.354815))+0-32.1--0.0818549999999953</f>
        <v>268.1145600000001</v>
      </c>
      <c r="V207" s="3">
        <f>60+(655.7-415.2)+(-0.0306+(-0.334407--0.211752))+0-32.5--0.0165749999999967</f>
        <v>267.86332000000004</v>
      </c>
      <c r="W207" s="3">
        <f>64+(503.4-239.5)+(0+(0-0))+0-32.9-0</f>
        <v>295</v>
      </c>
      <c r="X207" s="3">
        <f>120+(501.6-282.7)+(-0.1836+(-0.767448--0.432531))+0-31.4--0.0480420000000018</f>
        <v>307.02952500000009</v>
      </c>
      <c r="Y207" s="3">
        <f>87+(588.1-339)+(-0.17748+(-1.199724--0.69156))+0-31.5--0.0642599999999986</f>
        <v>303.97861599999999</v>
      </c>
      <c r="Z207" s="3">
        <f>18+(631.6-315.3)+(-0.0459+(-1.61058--0.804015))+0-31.7--0.0808349999999954</f>
        <v>301.82837000000001</v>
      </c>
      <c r="AA207" s="3">
        <f>0+(685-360.4)+(0+(-0.6987--0.367608))+0-31.6--0.032232000000005</f>
        <v>292.70114000000001</v>
      </c>
      <c r="AB207" s="3">
        <f>0+(750.5-436.2)+(0+(-0.382755--0.222462))+0-30.7--0.0156569999999969</f>
        <v>283.45536399999997</v>
      </c>
      <c r="AC207" s="3">
        <f>0+(740.7-437.6)+(0+(-0.377757--0.223176))+0-30.7--0.0156569999999969</f>
        <v>272.261076</v>
      </c>
      <c r="AD207">
        <v>305.00000000000006</v>
      </c>
      <c r="AE207" s="3">
        <f>120+(478.1-260.7)+(0+(0-0))+0-32.4-0</f>
        <v>305.00000000000006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0+(712.2-418.9)+(0+(0-0))+0-32.4-0</f>
        <v>260.90000000000009</v>
      </c>
      <c r="G208" s="3">
        <f>0+(678.9-395.3)+(0+(0-0))+0-31.8-0</f>
        <v>251.79999999999995</v>
      </c>
      <c r="H208" s="3">
        <f>0+(618.6-340.3)+(0+(0.315486-0.173553))+0-32-0.0163199999999968</f>
        <v>246.425613</v>
      </c>
      <c r="I208" s="3">
        <f>0+(574.6-308.3)+(0+(0-0))+0-24.4-0</f>
        <v>241.9</v>
      </c>
      <c r="J208" s="3">
        <f>0+(512.9-240.4)+(0+(0.523158-0.245208))+0-31.7-0.0323340000000051</f>
        <v>241.045616</v>
      </c>
      <c r="K208" s="3">
        <f>0+(474.8-206.9)+(0+(-0.484296--0.211038))+0-32.7--0.0333540000000052</f>
        <v>234.96009599999999</v>
      </c>
      <c r="L208" s="3">
        <f>0+(502.1-246.9)+(0+(-0.512142--0.251838))+0-32.8--0.0334560000000052</f>
        <v>222.17315200000002</v>
      </c>
      <c r="M208" s="3">
        <f>0+(592.5-337.3)+(0+(0.906525-0.516069))+0-32.9-0.0503370000000019</f>
        <v>222.64011899999997</v>
      </c>
      <c r="N208" s="3">
        <f>0+(703.3-439)+(0+(0.358683-0.22389))+0-32.5-0.0165749999999967</f>
        <v>231.91821799999997</v>
      </c>
      <c r="O208" s="3">
        <f>86+(646.4-457)+(-0.08772+(-0.659328--0.46614))+0-31.7--0.0323340000000051</f>
        <v>243.45142599999997</v>
      </c>
      <c r="P208" s="3">
        <f>125+(620.1-466.5)+(0+(0-0))+0-31.1-0</f>
        <v>247.50000000000003</v>
      </c>
      <c r="Q208" s="3">
        <f>124+(621.3-471.7)+(-0.3162+(-1.584315--1.202835))+0-29.1--0.0742049999999958</f>
        <v>243.87652499999999</v>
      </c>
      <c r="R208" s="3">
        <f>124+(642.8-495.2)+(-0.18972+(-0.983484--0.757656))+0-31.6--0.0483480000000018</f>
        <v>239.63279999999997</v>
      </c>
      <c r="S208" s="3">
        <f>123+(701.1-564.3)+(0.12546+(0.715122-0.575586))+0-31.7-0.0323340000000051</f>
        <v>228.33266200000008</v>
      </c>
      <c r="T208" s="3">
        <f>123+(767.4-632.1)+(-0.37638+(-2.348244--1.934226))+0-32.3--0.0988380000000037</f>
        <v>225.30843999999996</v>
      </c>
      <c r="U208" s="3">
        <f>123+(589.6-455.3)+(0+(0-0))+0-32.2-0</f>
        <v>225.10000000000002</v>
      </c>
      <c r="V208" s="3">
        <f>76+(444.4-264.6)+(0+(0-0))+0-31.4-0</f>
        <v>224.39999999999995</v>
      </c>
      <c r="W208" s="3">
        <f>50+(391.3-152.8)+(0.0255+(0.199563-0.077928))+0-33.5-0.0170849999999966</f>
        <v>255.13004999999998</v>
      </c>
      <c r="X208" s="3">
        <f>49+(562.1-302.9)+(-0.07497+(-0.860013--0.463437))+0-33.5--0.0512550000000019</f>
        <v>274.27970900000008</v>
      </c>
      <c r="Y208" s="3">
        <f>67+(569.5-331.1)+(-0.10251+(-0.871335--0.506583))+0-32.9--0.0503370000000019</f>
        <v>272.08307500000001</v>
      </c>
      <c r="Z208" s="3">
        <f>121+(595.5-412.7)+(0.06171+(0.303705-0.210477))+0-32.6-0.0166259999999967</f>
        <v>271.33831200000003</v>
      </c>
      <c r="AA208" s="3">
        <f>80+(685.7-467.8)+(0+(0-0))+0-32.6-0</f>
        <v>265.3</v>
      </c>
      <c r="AB208" s="3">
        <f>83+(699.2-485.9)+(-0.12699+(-1.069776--0.743427))+0-32--0.0489600000000018</f>
        <v>263.89562100000006</v>
      </c>
      <c r="AC208" s="3">
        <f>131+(610.7-457.2)+(-0.33405+(-1.557285--1.16586))+0-32.4--0.0826199999999953</f>
        <v>251.45714500000003</v>
      </c>
      <c r="AD208">
        <v>284.50000000000006</v>
      </c>
      <c r="AE208" s="3">
        <f>50+(567.2-299.4)+(0+(0-0))+0-33.3-0</f>
        <v>284.50000000000006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71+(508.7-303.7)+(-0.18105+(-1.297185--0.774435))+0-32.2--0.0821099999999953</f>
        <v>243.17831000000001</v>
      </c>
      <c r="G209" s="3">
        <f>0+(549.4-276.6)+(0+(-1.120776--0.564264))+0-32.7--0.0667079999999986</f>
        <v>239.61019599999997</v>
      </c>
      <c r="H209" s="3">
        <f>0+(504-236.2)+(0+(-0.77112--0.361386))+0-32.5--0.0497250000000019</f>
        <v>234.93999099999999</v>
      </c>
      <c r="I209" s="3">
        <f>0+(541.2-273.9)+(0+(0-0))+0-32.4-0</f>
        <v>234.90000000000006</v>
      </c>
      <c r="J209" s="3">
        <f>0+(518.9-249.3)+(0+(-0.793917--0.381429))+0-32.8--0.0501840000000019</f>
        <v>236.43769599999996</v>
      </c>
      <c r="K209" s="3">
        <f>0+(401.2-129.5)+(0+(-0.613836--0.198135))+0-32.7--0.0500310000000019</f>
        <v>238.63432999999998</v>
      </c>
      <c r="L209" s="3">
        <f>0+(362-89.4)+(0+(0-0))+0-32.6-0</f>
        <v>240.00000000000003</v>
      </c>
      <c r="M209" s="3">
        <f>0+(465-161.8)+(0+(0.23715-0.082518))+0-33.3-0.0169829999999966</f>
        <v>270.03764899999999</v>
      </c>
      <c r="N209" s="3">
        <f>0+(596.4-257)+(0+(0.304164-0.13107))+0-33.2-0.0169319999999966</f>
        <v>306.35616199999998</v>
      </c>
      <c r="O209" s="3">
        <f>38+(605.4-290.4)+(0.03876+(0.617508-0.296208))+0-33-0.0336600000000053</f>
        <v>320.32639999999998</v>
      </c>
      <c r="P209" s="3">
        <f>110+(579.5-316.7)+(-0.0561+(-0.295545--0.161517))+0-33--0.0168299999999967</f>
        <v>339.62670199999997</v>
      </c>
      <c r="Q209" s="3">
        <f>110+(519.3-266.4)+(-0.1122+(-0.529686--0.271728))+0-32.8--0.0334560000000052</f>
        <v>329.76329799999996</v>
      </c>
      <c r="R209" s="3">
        <f>109+(530.9-288.6)+(0+(0-0))+0-30.6-0</f>
        <v>320.69999999999993</v>
      </c>
      <c r="S209" s="3">
        <f>109+(524.8-314.5)+(-0.05559+(-0.267648--0.160395))+0-32.8--0.0167279999999967</f>
        <v>286.35388499999993</v>
      </c>
      <c r="T209" s="3">
        <f>109+(528.8-327.4)+(0+(0-0))+0-32.6-0</f>
        <v>277.79999999999995</v>
      </c>
      <c r="U209" s="3">
        <f>109+(530.5-323.6)+(-0.16677+(-0.811665--0.495108))+0-32.7--0.0500310000000019</f>
        <v>282.766704</v>
      </c>
      <c r="V209" s="3">
        <f>109+(514.4-306.8)+(-0.16677+(-0.787032--0.469404))+0-33.2--0.0507960000000019</f>
        <v>282.96639799999997</v>
      </c>
      <c r="W209" s="3">
        <f>109+(348.6-118.1)+(0+(0-0))+0-29.3-0</f>
        <v>310.2</v>
      </c>
      <c r="X209" s="3">
        <f>109+(379.3-136.5)+(-0.22236+(-0.773772--0.27846))+0-34--0.0693599999999985</f>
        <v>317.15168800000004</v>
      </c>
      <c r="Y209" s="3">
        <f>109+(457.8-230.8)+(0+(0-0))+0-25.7-0</f>
        <v>310.3</v>
      </c>
      <c r="Z209" s="3">
        <f>109+(532.2-301.9)+(-0.22236+(-1.085688--0.615876))+0-32.8--0.0669119999999986</f>
        <v>305.87474000000003</v>
      </c>
      <c r="AA209" s="3">
        <f>109+(549.2-330.8)+(-0.05559+(-0.280092--0.168708))+0-33.1--0.0168809999999966</f>
        <v>294.14990700000004</v>
      </c>
      <c r="AB209" s="3">
        <f>100+(580.5-366.4)+(-0.255+(-1.480275--0.93432))+0-34.2--0.087209999999995</f>
        <v>279.18625500000002</v>
      </c>
      <c r="AC209" s="3">
        <f>5+(529.2-227.2)+(-0.00255+(-0.269892--0.115872))+0-30.2--0.0154019999999969</f>
        <v>276.65883200000007</v>
      </c>
      <c r="AD209">
        <v>319.39999999999998</v>
      </c>
      <c r="AE209" s="3">
        <f>111+(406-163.6)+(0+(0-0))+0-34-0</f>
        <v>319.39999999999998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0+(485.7-182.1)+(0+(-1.238535--0.464355))+0-32.6--0.0831299999999953</f>
        <v>270.30894999999998</v>
      </c>
      <c r="G210" s="3">
        <f>0+(408.1-116.1)+(0+(-0.208131--0.059211))+0-32.7--0.0166769999999967</f>
        <v>259.16775700000005</v>
      </c>
      <c r="H210" s="3">
        <f>0+(373.9-89.7)+(0+(-0.572067--0.137241))+0-32.8--0.0501840000000019</f>
        <v>251.01535799999999</v>
      </c>
      <c r="I210" s="3">
        <f>0+(361.8-78.9)+(0+(-0.184518--0.040239))+0-32.9--0.0167789999999967</f>
        <v>249.87249999999997</v>
      </c>
      <c r="J210" s="3">
        <f>0+(349.5-62.5)+(0+(0-0))+0-33-0</f>
        <v>254</v>
      </c>
      <c r="K210" s="3">
        <f>0+(341.5-57)+(0+(-0.522495--0.08721))+0-32.3--0.0494190000000019</f>
        <v>251.81413399999997</v>
      </c>
      <c r="L210" s="3">
        <f>0+(354.8-65)+(0+(0-0))+0-32.2-0</f>
        <v>257.60000000000002</v>
      </c>
      <c r="M210" s="3">
        <f>0+(379.3-74)+(0+(0.193443-0.03774))+0-33.3-0.0169829999999966</f>
        <v>272.13872000000003</v>
      </c>
      <c r="N210" s="3">
        <f>0+(560.3-234.6)+(0+(0.285753-0.119646))+0-32.4-0.0165239999999967</f>
        <v>293.44958299999996</v>
      </c>
      <c r="O210" s="3">
        <f>14+(632.2-305.5)+(0+(0-0))+0-33.4-0</f>
        <v>307.30000000000007</v>
      </c>
      <c r="P210" s="3">
        <f>94+(568-320.1)+(-0.04794+(-0.28968--0.163251))+0-33.5--0.0170849999999966</f>
        <v>308.24271599999997</v>
      </c>
      <c r="Q210" s="3">
        <f>126+(609.1-382.9)+(0.12852+(0.621282-0.390558))+0-32.9-0.0335580000000052</f>
        <v>319.62568600000003</v>
      </c>
      <c r="R210" s="3">
        <f>125+(605.8-387.7)+(-0.31875+(-1.54479--0.988635))+0-32.7--0.0833849999999953</f>
        <v>309.60847999999999</v>
      </c>
      <c r="S210" s="3">
        <f>116+(645.3-437.8)+(0+(0-0))+0-33.1-0</f>
        <v>290.39999999999992</v>
      </c>
      <c r="T210" s="3">
        <f>115+(658.7-449.3)+(-0.1173+(-0.671874--0.458286))+0-33--0.0336600000000053</f>
        <v>291.10277200000002</v>
      </c>
      <c r="U210" s="3">
        <f>114+(649.4-445.1)+(-0.2907+(-1.65597--1.135005))+0-27.5--0.070124999999996</f>
        <v>290.05845999999997</v>
      </c>
      <c r="V210" s="3">
        <f>114+(596-400.6)+(-0.2907+(-1.5198--1.02153))+0-33.1--0.0844049999999952</f>
        <v>275.59543499999995</v>
      </c>
      <c r="W210" s="3">
        <f>115+(434.3-234.4)+(0.1173+(0.442986-0.239088))+0-33.4-0.0340680000000053</f>
        <v>281.78712999999999</v>
      </c>
      <c r="X210" s="3">
        <f>114+(420.9-210.9)+(-0.11628+(-0.429318--0.215118))+0-33.1--0.0337620000000053</f>
        <v>290.60328199999998</v>
      </c>
      <c r="Y210" s="3">
        <f>115+(477.4-263.4)+(0+(0-0))+0-33-0</f>
        <v>296</v>
      </c>
      <c r="Z210" s="3">
        <f>115+(544.5-325)+(-0.05865+(-0.277695--0.16575))+0-33.6--0.0171359999999966</f>
        <v>300.74654099999998</v>
      </c>
      <c r="AA210" s="3">
        <f>114+(618.9-399.4)+(-0.23256+(-1.262556--0.814776))+0-33.6--0.0685439999999985</f>
        <v>299.28820399999995</v>
      </c>
      <c r="AB210" s="3">
        <f>103+(677.9-449.5)+(-0.21012+(-1.382916--0.91698))+0-33.3--0.0679319999999985</f>
        <v>297.49187599999993</v>
      </c>
      <c r="AC210" s="3">
        <f>44+(607.1-343.6)+(-0.13464+(-1.857726--1.051416))+0-33.2--0.101592000000004</f>
        <v>273.46064200000001</v>
      </c>
      <c r="AD210">
        <v>304.89999999999998</v>
      </c>
      <c r="AE210" s="3">
        <f>115+(429.5-207)+(0+(0-0))+0-32.6-0</f>
        <v>304.89999999999998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0+(520.6-240.3)+(0+(-1.32753--0.612765))+0-33.3--0.0849149999999952</f>
        <v>246.37015</v>
      </c>
      <c r="G211" s="3">
        <f>0+(381.1-127.4)+(0+(0.583083-0.194922))+0-33.3-0.0509490000000019</f>
        <v>220.737212</v>
      </c>
      <c r="H211" s="3">
        <f>0+(375.2-116.8)+(0+(-0.95676--0.29784))+0-33.2--0.0846599999999952</f>
        <v>224.62573999999995</v>
      </c>
      <c r="I211" s="3">
        <f>0+(389.8-129.4)+(0+(-0.596394--0.197982))+0-33.9--0.051867000000002</f>
        <v>226.15345499999998</v>
      </c>
      <c r="J211" s="3">
        <f>0+(448.4-173.2)+(0+(-0.228684--0.088332))+0-33--0.0168299999999967</f>
        <v>242.07647799999998</v>
      </c>
      <c r="K211" s="3">
        <f>0+(390.5-120.5)+(0+(0.199155-0.061455))+0-33.1-0.0168809999999966</f>
        <v>237.02081900000002</v>
      </c>
      <c r="L211" s="3">
        <f>0+(394.6-119.7)+(0+(0-0))+0-33.3-0</f>
        <v>241.60000000000002</v>
      </c>
      <c r="M211" s="3">
        <f>0+(460.2-169.5)+(0+(0.234702-0.086445))+0-32.4-0.0165239999999967</f>
        <v>258.43173300000001</v>
      </c>
      <c r="N211" s="3">
        <f>0+(571.1-249.3)+(0+(0.291261-0.127143))+0-32.9-0.0167789999999967</f>
        <v>289.04733900000002</v>
      </c>
      <c r="O211" s="3">
        <f>57+(628.1-335)+(-0.08721+(-0.960993--0.51255))+0-32.1--0.0491130000000019</f>
        <v>317.51345999999995</v>
      </c>
      <c r="P211" s="3">
        <f>110+(652-405)+(0.1122+(0.66504-0.4131))+0-31.7-0.0323340000000051</f>
        <v>325.63180600000004</v>
      </c>
      <c r="Q211" s="3">
        <f>110+(722.3-478.4)+(0+(0-0))+0-31.7-0</f>
        <v>322.2</v>
      </c>
      <c r="R211" s="3">
        <f>112+(725.7-483.7)+(-0.05712+(-0.370107--0.246687))+0-30.7--0.0156569999999969</f>
        <v>323.13511700000004</v>
      </c>
      <c r="S211" s="3">
        <f>111+(738.7-504)+(-0.05661+(-0.376737--0.25704))+0-30.8--0.0157079999999969</f>
        <v>314.73940100000004</v>
      </c>
      <c r="T211" s="3">
        <f>112+(746-514.3)+(0.05712+(0.38046-0.262293))+0-28.3-0.0144329999999971</f>
        <v>315.56085400000006</v>
      </c>
      <c r="U211" s="3">
        <f>112+(749.7-515.6)+(0+(0-0))+0-30.6-0</f>
        <v>315.5</v>
      </c>
      <c r="V211" s="3">
        <f>110+(661.7-407.4)+(-0.2244+(-1.349868--0.831096))+0-31.1--0.0634439999999986</f>
        <v>332.52027200000003</v>
      </c>
      <c r="W211" s="3">
        <f>74+(466.7-193.1)+(0.11322+(0.714051-0.295443))+0-32.8-0.0501840000000019</f>
        <v>315.28164400000003</v>
      </c>
      <c r="X211" s="3">
        <f>102+(484.3-251.1)+(-0.31212+(-1.481958--0.768366))+0-33--0.100980000000004</f>
        <v>301.27526800000004</v>
      </c>
      <c r="Y211" s="3">
        <f>122+(574.3-336.1)+(0.06222+(0.292893-0.171411))+0-34.2-0.0174419999999965</f>
        <v>326.16625999999991</v>
      </c>
      <c r="Z211" s="3">
        <f>121+(644.9-404.9)+(-0.06171+(-0.328899--0.206499))+0-34.3--0.0174929999999965</f>
        <v>326.53338300000001</v>
      </c>
      <c r="AA211" s="3">
        <f>113+(695.1-426.7)+(-0.17289+(-1.063503--0.652851))+0-35--0.053550000000002</f>
        <v>345.87000800000004</v>
      </c>
      <c r="AB211" s="3">
        <f>56+(572.4-270.8)+(-0.11424+(-1.167696--0.552432))+0-33.3--0.0679319999999985</f>
        <v>323.63842799999992</v>
      </c>
      <c r="AC211" s="3">
        <f>0+(541.3-225)+(0+(-0.552126--0.2295))+0-34.4--0.0350880000000055</f>
        <v>281.61246199999999</v>
      </c>
      <c r="AD211">
        <v>340.3</v>
      </c>
      <c r="AE211" s="3">
        <f>120+(489.9-235.7)+(0+(0-0))+0-33.9-0</f>
        <v>340.3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0+(479.4-175.6)+(0+(-1.22247--0.44778))+0-34.2--0.087209999999995</f>
        <v>268.91251999999992</v>
      </c>
      <c r="G212" s="3">
        <f>0+(415-131.2)+(0+(-0.21165--0.066912))+0-34.3--0.0174929999999965</f>
        <v>249.37275499999998</v>
      </c>
      <c r="H212" s="3">
        <f>0+(440.1-157.7)+(0+(0.448902-0.160854))+0-34.2-0.0348840000000055</f>
        <v>248.45316400000004</v>
      </c>
      <c r="I212" s="3">
        <f>0+(439.1-153.2)+(0+(-0.895764--0.312528))+0-34.1--0.0695639999999985</f>
        <v>251.28632800000003</v>
      </c>
      <c r="J212" s="3">
        <f>0+(403-125.1)+(0+(0.20553-0.063801))+0-33.9-0.0172889999999966</f>
        <v>244.12443999999996</v>
      </c>
      <c r="K212" s="3">
        <f>0+(375-100.5)+(0+(-0.3825--0.10251))+0-33.7--0.0343740000000054</f>
        <v>240.55438400000003</v>
      </c>
      <c r="L212" s="3">
        <f>0+(378.4-93.7)+(0+(-0.578952--0.143361))+0-33.3--0.0509490000000019</f>
        <v>251.01535799999999</v>
      </c>
      <c r="M212" s="3">
        <f>0+(394.5-102.4)+(0+(0.40239-0.104448))+0-26.9-0.0274380000000043</f>
        <v>265.47050400000001</v>
      </c>
      <c r="N212" s="3">
        <f>0+(566.1-198.8)+(0+(0-0))+0-32.9-0</f>
        <v>334.40000000000003</v>
      </c>
      <c r="O212" s="3">
        <f>32+(641.4-343.4)+(-0.01632+(-0.327114--0.175134))+0-33.1--0.0168809999999966</f>
        <v>296.748581</v>
      </c>
      <c r="P212" s="3">
        <f>120+(743.3-514.6)+(0.0612+(0.379083-0.262446))+0-33.2-0.0169319999999966</f>
        <v>315.66090499999996</v>
      </c>
      <c r="Q212" s="3">
        <f>123+(737.6-497.2)+(-0.31365+(-1.88088--1.26786))+0-31.5--0.0803249999999954</f>
        <v>331.05365500000005</v>
      </c>
      <c r="R212" s="3">
        <f>122+(692.5-497.2)+(-0.06222+(-0.353175--0.253572))+0-30--0.015299999999997</f>
        <v>287.15347700000001</v>
      </c>
      <c r="S212" s="3">
        <f>122+(722.5-497.2)+(0+(0-0))+0-25-0</f>
        <v>322.3</v>
      </c>
      <c r="T212" s="3">
        <f>121+(721.2-524.8)+(-0.18513+(-1.103436--0.802944))+0-15.4--0.0235620000000009</f>
        <v>301.53794000000016</v>
      </c>
      <c r="U212" s="3">
        <f>122+(723.5-524.8)+(0+(0-0))+0-5-0</f>
        <v>315.70000000000005</v>
      </c>
      <c r="V212" s="3">
        <f>122+(597.9-421)+(-0.37332+(-1.829574--1.28826))+0-5--0.0153000000000006</f>
        <v>293.00066600000002</v>
      </c>
      <c r="W212" s="3">
        <f>122+(474.4-275.3)+(0.12444+(0.483888-0.280806))+0-5.6-0.00571200000000089</f>
        <v>315.82180999999991</v>
      </c>
      <c r="X212" s="3">
        <f>123+(482.5-274.1)+(-0.37638+(-1.47645--0.838746))+0-6.2--0.0189720000000007</f>
        <v>324.20488799999998</v>
      </c>
      <c r="Y212" s="3">
        <f>125+(542.8-339.8)+(-0.19125+(-0.830484--0.519894))+0-6.9--0.0105570000000004</f>
        <v>320.60871699999996</v>
      </c>
      <c r="Z212" s="3">
        <f>126+(511.6-320.2)+(-0.3213+(-1.30458--0.81651))+0-8.1--0.0206549999999988</f>
        <v>308.51128499999999</v>
      </c>
      <c r="AA212" s="3">
        <f>125+(483.9-301.6)+(-0.255+(-0.987156--0.615264))+0-7.7--0.0157079999999997</f>
        <v>298.98881599999999</v>
      </c>
      <c r="AB212" s="3">
        <f>94+(391.1-183.4)+(-0.04794+(-0.199461--0.093534))+0-5.9--0.0030089999999994</f>
        <v>295.6491420000001</v>
      </c>
      <c r="AC212" s="3">
        <f>0+(417.5-129.9)+(0+(-0.212925--0.066249))+0-7.5--0.00382499999999924</f>
        <v>279.95714900000002</v>
      </c>
      <c r="AD212">
        <v>322.60000000000002</v>
      </c>
      <c r="AE212" s="3">
        <f>123+(489.7-284.1)+(0+(0-0))+0-6-0</f>
        <v>322.59999999999997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0+(464.3-191)+(0+(-0.710379--0.29223))+0-9.2--0.0140760000000005</f>
        <v>263.69592699999998</v>
      </c>
      <c r="G213" s="3">
        <f>0+(476.5-216.8)+(0+(0.48603-0.221136))+0-0-0</f>
        <v>259.96489400000002</v>
      </c>
      <c r="H213" s="3">
        <f>0+(420.8-167.5)+(0+(-0.214608--0.085425))+0-0-0</f>
        <v>253.170817</v>
      </c>
      <c r="I213" s="3">
        <f>0+(396.7-142.6)+(0+(0.606951-0.218178))+0-0-0</f>
        <v>254.48877299999998</v>
      </c>
      <c r="J213" s="3">
        <f>0+(379.3-113)+(0+(0.193443-0.05763))+0-9-0.00458999999999909</f>
        <v>257.43122299999999</v>
      </c>
      <c r="K213" s="3">
        <f>0+(347.2-79.6)+(0+(-0.708288--0.162384))+0-12.8--0.0261119999999994</f>
        <v>254.28020800000002</v>
      </c>
      <c r="L213" s="3">
        <f>0+(332.1-62.4)+(0+(-0.677484--0.127296))+0-13.2--0.0269279999999994</f>
        <v>255.97674000000006</v>
      </c>
      <c r="M213" s="3">
        <f>0+(421.2-127.4)+(0+(0.214812-0.064974))+0-14.1-0.00719099999999857</f>
        <v>279.84264699999994</v>
      </c>
      <c r="N213" s="3">
        <f>0+(601.2-280.5)+(0+(0-0))+0-17-0</f>
        <v>303.70000000000005</v>
      </c>
      <c r="O213" s="3">
        <f>0+(645.2-308.5)+(0+(-0.658104--0.31467))+0-16.6--0.0169320000000027</f>
        <v>319.77349800000002</v>
      </c>
      <c r="P213" s="3">
        <f>0+(707.5-361.4)+(0+(-0.72165--0.368628))+0-17.6--0.0179520000000028</f>
        <v>328.16492999999997</v>
      </c>
      <c r="Q213" s="3">
        <f>0+(711.5-360.6)+(0+(-1.45146--0.735624))+0-21.3--0.0434519999999991</f>
        <v>328.92761599999994</v>
      </c>
      <c r="R213" s="3">
        <f>0+(707.1-357)+(0+(-1.081863--0.54621))+0-23.8--0.0364140000000014</f>
        <v>325.80076099999997</v>
      </c>
      <c r="S213" s="3">
        <f>0+(720.6-393.8)+(0+(-0.735012--0.401676))+0-26.6--0.0271320000000042</f>
        <v>299.89379600000001</v>
      </c>
      <c r="T213" s="3">
        <f>0+(746.1-420.1)+(0+(0-0))+0-29-0</f>
        <v>297</v>
      </c>
      <c r="U213" s="3">
        <f>0+(761.8-437.2)+(0+(-0.777036--0.445944))+0-29.2--0.0297840000000047</f>
        <v>295.09869199999997</v>
      </c>
      <c r="V213" s="3">
        <f>6+(658.9-338.9)+(0+(0-0))+0-29.3-0</f>
        <v>296.7</v>
      </c>
      <c r="W213" s="3">
        <f>72+(480.3-203.3)+(-0.03672+(-0.244953--0.103683))+0-30--0.015299999999997</f>
        <v>318.83731</v>
      </c>
      <c r="X213" s="3">
        <f>119+(476.3-240.1)+(-0.30345+(-1.214565--0.612255))+0-30.2--0.0770099999999956</f>
        <v>324.17125000000004</v>
      </c>
      <c r="Y213" s="3">
        <f>67+(439.2-171.2)+(-0.10251+(-0.671976--0.261936))+0-11.7--0.0179010000000007</f>
        <v>322.80535100000003</v>
      </c>
      <c r="Z213" s="3">
        <f>50+(445.8-151.6)+(-0.0765+(-0.682074--0.231948))+0-30--0.0459000000000017</f>
        <v>313.71927400000004</v>
      </c>
      <c r="AA213" s="3">
        <f>8+(512.5-182.4)+(-0.01224+(-0.784125--0.279072))+0-29.6--0.0452880000000017</f>
        <v>308.02799500000003</v>
      </c>
      <c r="AB213" s="3">
        <f>0+(426.1-96.3)+(0+(0-0))+0-29-0</f>
        <v>300.8</v>
      </c>
      <c r="AC213" s="3">
        <f>0+(370.2-62.2)+(0+(-0.755208--0.126888))+0-26--0.0530399999999989</f>
        <v>281.42472000000004</v>
      </c>
      <c r="AD213">
        <v>332.6</v>
      </c>
      <c r="AE213" s="3">
        <f>120+(479.6-236.9)+(0+(0-0))+0-30.1-0</f>
        <v>332.6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0+(384.2-70.9)+(0+(-0.587826--0.108477))+0-25.7--0.0393210000000015</f>
        <v>287.15997199999998</v>
      </c>
      <c r="G214" s="3">
        <f>0+(358.2-52.3)+(0+(-0.182682--0.026673))+0-30--0.015299999999997</f>
        <v>275.75929100000002</v>
      </c>
      <c r="H214" s="3">
        <f>0+(376-76.1)+(0+(-1.15056--0.232866))+0-30.8--0.0942480000000036</f>
        <v>268.27655399999998</v>
      </c>
      <c r="I214" s="3">
        <f>0+(389.9-83.6)+(0+(-0.596547--0.127908))+0-30.8--0.0471240000000018</f>
        <v>275.07848499999994</v>
      </c>
      <c r="J214" s="3">
        <f>0+(390.6-91)+(0+(0-0))+0-31.2-0</f>
        <v>268.40000000000003</v>
      </c>
      <c r="K214" s="3">
        <f>0+(391.9-95.4)+(0+(-0.199869--0.048654))+0-31.1--0.0158609999999968</f>
        <v>265.26464599999997</v>
      </c>
      <c r="L214" s="3">
        <f>0+(463.9-174.4)+(0+(-0.709767--0.266832))+0-31.1--0.0475830000000018</f>
        <v>258.00464799999997</v>
      </c>
      <c r="M214" s="3">
        <f>0+(430.5-119.2)+(0+(0.219555-0.060792))+0-31.3-0.0159629999999968</f>
        <v>280.14280000000002</v>
      </c>
      <c r="N214" s="3">
        <f>0+(422.9-91.1)+(0+(0.647037-0.139383))+0-31.7-0.0485010000000018</f>
        <v>300.55915299999998</v>
      </c>
      <c r="O214" s="3">
        <f>0+(427.7-78.3)+(0+(0-0))+0-31.4-0</f>
        <v>318</v>
      </c>
      <c r="P214" s="3">
        <f>0+(441.3-92.5)+(0+(0.450126-0.09435))+0-30.8-0.0314160000000049</f>
        <v>318.32436000000001</v>
      </c>
      <c r="Q214" s="3">
        <f>0+(453.5-106.4)+(0+(-0.231285--0.054264))+0-29.5--0.015044999999997</f>
        <v>317.43802399999998</v>
      </c>
      <c r="R214" s="3">
        <f>0+(434.3-91)+(0+(-0.664479--0.13923))+0-30.6--0.0468180000000018</f>
        <v>312.22156900000004</v>
      </c>
      <c r="S214" s="3">
        <f>0+(367.4-59.1)+(0+(-1.124244--0.180846))+0-28.8--0.0881280000000033</f>
        <v>278.64472999999992</v>
      </c>
      <c r="T214" s="3">
        <f>0+(392.3-90.9)+(0+(-0.400146--0.092718))+0-28.8--0.0293760000000046</f>
        <v>272.32194799999996</v>
      </c>
      <c r="U214" s="3">
        <f>0+(380.6-79.2)+(0+(-0.582318--0.121176))+0-30.8--0.0471240000000018</f>
        <v>270.18598200000002</v>
      </c>
      <c r="V214" s="3">
        <f>0+(427.8-129.7)+(0+(-0.654534--0.198441))+0-29.9--0.0457470000000017</f>
        <v>267.78965400000004</v>
      </c>
      <c r="W214" s="3">
        <f>59+(369.8-92)+(-0.09027+(-0.565794--0.14076))+0-31.3--0.0478890000000018</f>
        <v>305.03258499999998</v>
      </c>
      <c r="X214" s="3">
        <f>120+(294.6-65.3)+(-0.3672+(-0.901476--0.199818))+0-30.7--0.0939420000000036</f>
        <v>317.62508400000007</v>
      </c>
      <c r="Y214" s="3">
        <f>109+(302.1-77.5)+(-0.16677+(-0.462213--0.118575))+0-27.8--0.0425340000000016</f>
        <v>305.33212600000002</v>
      </c>
      <c r="Z214" s="3">
        <f>12+(322.4-1.6)+(-0.00612+(-0.164424--0.000816))+0-33--0.0168299999999967</f>
        <v>299.6471019999999</v>
      </c>
      <c r="AA214" s="3">
        <f>0+(328.9-0)+(0+(-0.335478-0))+0-33.4--0.0340680000000053</f>
        <v>295.19858999999997</v>
      </c>
      <c r="AB214" s="3">
        <f>0+(317.8-0)+(0+(-0.486234-0))+0-33.3--0.0509490000000019</f>
        <v>284.06471499999998</v>
      </c>
      <c r="AC214" s="3">
        <f>0+(310-5.6)+(0+(-0.7905--0.01428))+0-33.2--0.0846599999999952</f>
        <v>270.50843999999995</v>
      </c>
      <c r="AD214">
        <v>318.90000000000003</v>
      </c>
      <c r="AE214" s="3">
        <f>120+(290.1-59.8)+(0+(0-0))+0-31.4-0</f>
        <v>318.90000000000003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0+(381.9-84.1)+(0+(-0.584307--0.128673))+0-32.5--0.0497250000000019</f>
        <v>264.894091</v>
      </c>
      <c r="G215" s="3">
        <f>0+(420.4-132.5)+(0+(-0.857616--0.2703))+0-32.6--0.0665039999999986</f>
        <v>254.779188</v>
      </c>
      <c r="H215" s="3">
        <f>0+(385.3-101.5)+(0+(-0.982515--0.258825))+0-32.5--0.0828749999999953</f>
        <v>250.65918500000004</v>
      </c>
      <c r="I215" s="3">
        <f>0+(347.5-69.3)+(0+(-0.7089--0.141372))+0-31.9--0.0650759999999986</f>
        <v>245.79754800000001</v>
      </c>
      <c r="J215" s="3">
        <f>0+(330.1-51.9)+(0+(-0.168351--0.026469))+0-32--0.0163199999999968</f>
        <v>246.07443800000004</v>
      </c>
      <c r="K215" s="3">
        <f>0+(317.8-41.6)+(0+(-0.162078--0.021216))+0-32.1--0.0163709999999967</f>
        <v>243.97550899999996</v>
      </c>
      <c r="L215" s="3">
        <f>0+(312.4-49.7)+(0+(0-0))+0-32-0</f>
        <v>230.7</v>
      </c>
      <c r="M215" s="3">
        <f>0+(294.4-25)+(0+(-0.150144--0.01275))+0-32.4--0.0165239999999967</f>
        <v>236.87913</v>
      </c>
      <c r="N215" s="3">
        <f>0+(304.2-26.7)+(0+(-0.310284--0.027234))+0-32.9--0.0335580000000052</f>
        <v>244.35050799999999</v>
      </c>
      <c r="O215" s="3">
        <f>0+(329-54.7)+(0+(-0.33558--0.055794))+0-30.3--0.0309060000000048</f>
        <v>243.75112000000001</v>
      </c>
      <c r="P215" s="3">
        <f>0+(322.5-38.3)+(0+(-0.493425--0.058599))+0-33--0.0504900000000019</f>
        <v>250.815664</v>
      </c>
      <c r="Q215" s="3">
        <f>0+(322.3-27.5)+(0+(0-0))+0-33.1-0</f>
        <v>261.7</v>
      </c>
      <c r="R215" s="3">
        <f>0+(314.8-27.9)+(0+(-0.642192--0.056916))+0-32.4--0.0660959999999986</f>
        <v>253.98081999999999</v>
      </c>
      <c r="S215" s="3">
        <f>0+(307-41.3)+(0+(-0.62628--0.084252))+0-32.1--0.0654839999999986</f>
        <v>233.12345599999998</v>
      </c>
      <c r="T215" s="3">
        <f>0+(310.8-44)+(0+(-0.317016--0.04488))+0-31.9--0.0325380000000051</f>
        <v>234.66040200000003</v>
      </c>
      <c r="U215" s="3">
        <f>0+(310-45.1)+(0+(-0.1581--0.023001))+0-31.9--0.0162689999999968</f>
        <v>232.88116999999994</v>
      </c>
      <c r="V215" s="3">
        <f>0+(348.3-91.7)+(0+(0-0))+0-32.1-0</f>
        <v>224.50000000000003</v>
      </c>
      <c r="W215" s="3">
        <f>0+(522.9-223.9)+(0+(-0.800037--0.342567))+0-32.7--0.0500310000000019</f>
        <v>265.892561</v>
      </c>
      <c r="X215" s="3">
        <f>0+(520.9-213.4)+(0+(-1.062636--0.435336))+0-33.1--0.0675239999999986</f>
        <v>273.84022399999998</v>
      </c>
      <c r="Y215" s="3">
        <f>0+(481.9-179.2)+(0+(-0.737307--0.274176))+0-33.1--0.0506430000000019</f>
        <v>269.18751199999997</v>
      </c>
      <c r="Z215" s="3">
        <f>0+(495-197.7)+(0+(-1.26225--0.504135))+0-33.2--0.0846599999999952</f>
        <v>263.42654500000003</v>
      </c>
      <c r="AA215" s="3">
        <f>0+(400.9-109.3)+(0+(-0.817836--0.222972))+0-32.3--0.0658919999999986</f>
        <v>258.771028</v>
      </c>
      <c r="AB215" s="3">
        <f>0+(325.6-46.1)+(0+(-0.83028--0.117555))+0-32.2--0.0821099999999953</f>
        <v>246.66938500000003</v>
      </c>
      <c r="AC215" s="3">
        <f>0+(342.3-70.4)+(0+(-0.872865--0.17952))+0-32.2--0.0821099999999953</f>
        <v>239.08876499999997</v>
      </c>
      <c r="AD215">
        <v>270</v>
      </c>
      <c r="AE215" s="3">
        <f>0+(475-172)+(0+(0-0))+0-33-0</f>
        <v>270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0+(402.3-140.7)+(0+(-0.410346--0.143514))+0-32--0.0326400000000051</f>
        <v>229.36580800000002</v>
      </c>
      <c r="G216" s="3">
        <f>0+(410.5-157.5)+(0+(-0.41871--0.16065))+0-32.5--0.0331500000000052</f>
        <v>220.27509000000001</v>
      </c>
      <c r="H216" s="3">
        <f>0+(408.1-152)+(0+(-0.832524--0.31008))+0-30.4--0.0620159999999987</f>
        <v>225.23957200000001</v>
      </c>
      <c r="I216" s="3">
        <f>0+(373.7-115.8)+(0+(-0.381174--0.118116))+0-32.2--0.0328440000000051</f>
        <v>225.469786</v>
      </c>
      <c r="J216" s="3">
        <f>0+(375-114.5)+(0+(0.3825-0.11679))+0-32.2-0.0328440000000051</f>
        <v>228.53286600000001</v>
      </c>
      <c r="K216" s="3">
        <f>0+(374.3-105.8)+(0+(0.954465-0.26979))+0-31.7-0.0808349999999954</f>
        <v>237.40384000000003</v>
      </c>
      <c r="L216" s="3">
        <f>0+(387.2-124.3)+(0+(-0.197472--0.063393))+0-31.7--0.0161669999999968</f>
        <v>231.082088</v>
      </c>
      <c r="M216" s="3">
        <f>0+(495.9-204.4)+(0+(0-0))+0-31.3-0</f>
        <v>260.2</v>
      </c>
      <c r="N216" s="3">
        <f>0+(574.2-248.7)+(0+(-0.292842--0.126837))+0-32.7--0.0166769999999967</f>
        <v>292.6506720000001</v>
      </c>
      <c r="O216" s="3">
        <f>0+(573.8-235.1)+(0+(-1.170552--0.479604))+0-32.7--0.0667079999999986</f>
        <v>305.37575999999996</v>
      </c>
      <c r="P216" s="3">
        <f>0+(554.4-211.1)+(0+(-0.282744--0.107661))+0-31.5--0.0160649999999968</f>
        <v>311.64098199999995</v>
      </c>
      <c r="Q216" s="3">
        <f>0+(554.3-201.8)+(0+(-0.848079--0.308754))+0-32--0.0489600000000018</f>
        <v>320.00963499999995</v>
      </c>
      <c r="R216" s="3">
        <f>0+(549.8-202.9)+(0+(-1.40199--0.517395))+0-32.3--0.0823649999999953</f>
        <v>313.79776999999996</v>
      </c>
      <c r="S216" s="3">
        <f>0+(558.5-239.7)+(0+(-0.284835--0.122247))+0-32.9--0.0167789999999967</f>
        <v>285.75419099999999</v>
      </c>
      <c r="T216" s="3">
        <f>0+(551.8-232.8)+(0+(0-0))+0-32.8-0</f>
        <v>286.19999999999993</v>
      </c>
      <c r="U216" s="3">
        <f>0+(537.8-223.4)+(0+(-0.274278--0.113934))+0-28.8--0.0146879999999971</f>
        <v>285.45434399999994</v>
      </c>
      <c r="V216" s="3">
        <f>0+(528.8-211.7)+(0+(0.539376-0.215934))+0-32.4-0.0330480000000052</f>
        <v>284.99039399999998</v>
      </c>
      <c r="W216" s="3">
        <f>0+(503.6-157.6)+(0+(0.513672-0.160752))+0-32.7-0.0333540000000052</f>
        <v>313.61956599999996</v>
      </c>
      <c r="X216" s="3">
        <f>0+(483.1-127.5)+(0+(-0.985524--0.2601))+0-32.7--0.0667079999999986</f>
        <v>322.24128400000006</v>
      </c>
      <c r="Y216" s="3">
        <f>0+(486.6-137.6)+(0+(-0.992664--0.280704))+0-32.9--0.0671159999999986</f>
        <v>315.45515600000004</v>
      </c>
      <c r="Z216" s="3">
        <f>0+(482-144.7)+(0+(-0.98328--0.295188))+0-32.9--0.0671159999999986</f>
        <v>303.77902400000005</v>
      </c>
      <c r="AA216" s="3">
        <f>0+(499.1-169)+(0+(-0.509082--0.17238))+0-33.1--0.0337620000000053</f>
        <v>296.69706000000002</v>
      </c>
      <c r="AB216" s="3">
        <f>0+(468.8-150.1)+(0+(-1.19544--0.382755))+0-33--0.0841499999999952</f>
        <v>284.97146500000008</v>
      </c>
      <c r="AC216" s="3">
        <f>0+(394.7-93.4)+(0+(-0.201297--0.047634))+0-32.3--0.0164729999999967</f>
        <v>268.86280999999997</v>
      </c>
      <c r="AD216">
        <v>315.09999999999997</v>
      </c>
      <c r="AE216" s="3">
        <f>0+(480.9-133.5)+(0+(0-0))+0-32.3-0</f>
        <v>315.09999999999997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0+(429.9-138.2)+(0+(-0.438498--0.140964))+0-32--0.0326400000000051</f>
        <v>259.43510600000002</v>
      </c>
      <c r="G217" s="3">
        <f>0+(393.7-107.2)+(0+(-0.401574--0.109344))+0-32--0.0326400000000051</f>
        <v>254.24041</v>
      </c>
      <c r="H217" s="3">
        <f>0+(377.4-89.4)+(0+(0-0))+0-31.9-0</f>
        <v>256.10000000000002</v>
      </c>
      <c r="I217" s="3">
        <f>0+(373.9-93.1)+(0+(0.381378-0.094962))+0-27.9-0.0284580000000044</f>
        <v>253.15795799999992</v>
      </c>
      <c r="J217" s="3">
        <f>0+(373.9-86.4)+(0+(0.190689-0.044064))+0-32.7-0.0166769999999967</f>
        <v>254.929948</v>
      </c>
      <c r="K217" s="3">
        <f>0+(378.2-88.5)+(0+(0-0))+0-32.5-0</f>
        <v>257.2</v>
      </c>
      <c r="L217" s="3">
        <f>0+(392.9-99.2)+(0+(0.801516-0.202368))+0-32.6-0.0665039999999986</f>
        <v>261.63264399999997</v>
      </c>
      <c r="M217" s="3">
        <f>0+(415.3-103.4)+(0+(0.423606-0.105468))+0-32.5-0.0331500000000052</f>
        <v>279.68498799999998</v>
      </c>
      <c r="N217" s="3">
        <f>0+(588.3-260.1)+(0+(-0.300033--0.132651))+0-32.5--0.0165749999999967</f>
        <v>295.54919299999995</v>
      </c>
      <c r="O217" s="3">
        <f>0+(634.2-292.1)+(0+(0.323442-0.148971))+0-32.3-0.0164729999999967</f>
        <v>309.95799799999998</v>
      </c>
      <c r="P217" s="3">
        <f>0+(632.5-287.2)+(0+(-0.967725--0.439416))+0-33--0.0504900000000019</f>
        <v>311.82218100000006</v>
      </c>
      <c r="Q217" s="3">
        <f>0+(632.1-288.5)+(0+(-0.322371--0.147135))+0-30.3--0.0154529999999969</f>
        <v>313.14021700000001</v>
      </c>
      <c r="R217" s="3">
        <f>0+(616.7-281)+(0+(-1.572585--0.71655))+0-32.2--0.0821099999999953</f>
        <v>302.72607500000004</v>
      </c>
      <c r="S217" s="3">
        <f>0+(598.8-284.1)+(0+(-0.305388--0.144891))+0-32.9--0.0167789999999967</f>
        <v>281.65628199999992</v>
      </c>
      <c r="T217" s="3">
        <f>0+(587.8-271.3)+(0+(0-0))+0-32.8-0</f>
        <v>283.69999999999993</v>
      </c>
      <c r="U217" s="3">
        <f>0+(559.4-246.7)+(0+(-1.711764--0.754902))+0-31.1--0.0951660000000036</f>
        <v>280.73830399999997</v>
      </c>
      <c r="V217" s="3">
        <f>0+(548.3-233.8)+(0+(-0.279633--0.119238))+0-31--0.0158099999999969</f>
        <v>283.35541499999994</v>
      </c>
      <c r="W217" s="3">
        <f>49+(485.2-185.6)+(0+(0-0))+0-32.1-0</f>
        <v>316.5</v>
      </c>
      <c r="X217" s="3">
        <f>119+(425.7-193.4)+(-0.36414+(-1.302642--0.591804))+0-32.3--0.0988380000000037</f>
        <v>318.02385999999996</v>
      </c>
      <c r="Y217" s="3">
        <f>66+(455.9-177.7)+(-0.06732+(-0.465018--0.181254))+0-32.5--0.0331500000000052</f>
        <v>311.38206599999995</v>
      </c>
      <c r="Z217" s="3">
        <f>50+(473.3-188.3)+(-0.102+(-0.965532--0.384132))+0-31.6--0.0644639999999986</f>
        <v>302.78106399999996</v>
      </c>
      <c r="AA217" s="3">
        <f>50+(293.2-15.6)+(-0.0765+(-0.448596--0.023868))+0-31--0.0474300000000018</f>
        <v>296.14620199999996</v>
      </c>
      <c r="AB217" s="3">
        <f>29+(293.5-12.1)+(-0.05916+(-0.59874--0.024684))+0-31.9--0.0650759999999986</f>
        <v>277.93185999999997</v>
      </c>
      <c r="AC217" s="3">
        <f>0+(343.5-41.4)+(0+(-0.70074--0.084456))+0-31.6--0.0644639999999986</f>
        <v>269.94817999999998</v>
      </c>
      <c r="AD217">
        <v>315.40000000000003</v>
      </c>
      <c r="AE217" s="3">
        <f>120+(429.2-201.2)+(0+(0-0))+0-32.6-0</f>
        <v>315.39999999999998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0+(372.2-89)+(0+(-0.379644--0.09078))+0-27.4--0.0279480000000044</f>
        <v>255.539084</v>
      </c>
      <c r="G218" s="3">
        <f>0+(404-118.1)+(0+(0-0))+0-31.5-0</f>
        <v>254.39999999999998</v>
      </c>
      <c r="H218" s="3">
        <f>0+(420.3-135.2)+(0+(0-0))+0-31.2-0</f>
        <v>253.90000000000003</v>
      </c>
      <c r="I218" s="3">
        <f>0+(414.4-138.6)+(0+(0-0))+0-31.2-0</f>
        <v>244.59999999999997</v>
      </c>
      <c r="J218" s="3">
        <f>0+(446.4-167.3)+(0+(0.227664-0.085323))+0-31.7-0.0161669999999968</f>
        <v>247.52617399999997</v>
      </c>
      <c r="K218" s="3">
        <f>0+(438.2-152.6)+(0+(-0.670446--0.233478))+0-31.7--0.0485010000000018</f>
        <v>253.51153300000007</v>
      </c>
      <c r="L218" s="3">
        <f>0+(384.6-99.7)+(0+(0.196146-0.050847))+0-31.1-0.0158609999999968</f>
        <v>253.92943800000006</v>
      </c>
      <c r="M218" s="3">
        <f>0+(446.7-143.3)+(0+(0.227817-0.073083))+0-29.1-0.014840999999997</f>
        <v>274.43989299999998</v>
      </c>
      <c r="N218" s="3">
        <f>0+(592.7-261.2)+(0+(-0.302277--0.133212))+0-31.2--0.0159119999999968</f>
        <v>300.14684700000009</v>
      </c>
      <c r="O218" s="3">
        <f>105+(578.2-347.5)+(0.05355+(0.294882-0.177225))+0-32.3-0.0164729999999967</f>
        <v>303.554734</v>
      </c>
      <c r="P218" s="3">
        <f>119+(547.3-327.2)+(0+(0-0))+0-31.7-0</f>
        <v>307.39999999999998</v>
      </c>
      <c r="Q218" s="3">
        <f>120+(513.4-289.7)+(-0.0612+(-0.261834--0.147747))+0-31.9--0.0162689999999968</f>
        <v>311.64098200000001</v>
      </c>
      <c r="R218" s="3">
        <f>120+(565.6-343.4)+(-0.306+(-1.44228--0.87567))+0-31.9--0.0813449999999954</f>
        <v>309.50873500000006</v>
      </c>
      <c r="S218" s="3">
        <f>120+(582.4-380.7)+(-0.3672+(-1.782144--1.164942))+0-32--0.0979200000000037</f>
        <v>288.81351799999999</v>
      </c>
      <c r="T218" s="3">
        <f>120.2+(609.3-409.5)+(0+(0-0))+0-32.2-0</f>
        <v>287.79999999999995</v>
      </c>
      <c r="U218" s="3">
        <f>119.8+(572-372.5)+(-0.183294+(-0.87516--0.569925))+0-31.1--0.0475830000000018</f>
        <v>287.75905399999994</v>
      </c>
      <c r="V218" s="3">
        <f>119.9+(462.4-265.6)+(-0.061149+(-0.235824--0.135456))+0-30.2--0.0154019999999969</f>
        <v>286.35388499999993</v>
      </c>
      <c r="W218" s="3">
        <f>120.2+(426.4-200.4)+(0+(0-0))+0-29.6-0</f>
        <v>316.59999999999997</v>
      </c>
      <c r="X218" s="3">
        <f>119.9+(425-193.9)+(-0.183447+(-0.65025--0.296667))+0-28.5--0.0436050000000016</f>
        <v>322.006575</v>
      </c>
      <c r="Y218" s="3">
        <f>65.6+(452.2-167.6)+(-0.100368+(-0.691866--0.256428))+0-32.6--0.0498780000000019</f>
        <v>317.11407200000002</v>
      </c>
      <c r="Z218" s="3">
        <f>50.1+(450.6-159.5)+(-0.076653+(-0.689418--0.244035))+0-32.4--0.0495720000000019</f>
        <v>308.32753600000007</v>
      </c>
      <c r="AA218" s="3">
        <f>50.1+(511.9-235.7)+(-0.051102+(-0.522138--0.240414))+0-32.7--0.0333540000000052</f>
        <v>293.30052800000004</v>
      </c>
      <c r="AB218" s="3">
        <f>50.1+(528.9-260.8)+(-0.127755+(-1.348695--0.66504))+0-32.7--0.0833849999999953</f>
        <v>284.771975</v>
      </c>
      <c r="AC218" s="3">
        <f>4.1+(460.2-155)+(-0.004182+(-0.469404--0.1581))+0-32.4--0.0330480000000052</f>
        <v>276.61756200000002</v>
      </c>
      <c r="AD218">
        <v>322.5</v>
      </c>
      <c r="AE218" s="3">
        <f>120+(428.3-195.4)+(0+(0-0))+0-30.4-0</f>
        <v>322.5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0+(419-125.6)+(0+(-0.21369--0.064056))+0-32.4--0.0165239999999967</f>
        <v>260.86689000000001</v>
      </c>
      <c r="G219" s="3">
        <f>0+(387.6-102.2)+(0+(-0.790704--0.208488))+0-32.1--0.0654839999999986</f>
        <v>252.78326800000002</v>
      </c>
      <c r="H219" s="3">
        <f>0+(397-111.9)+(0+(-1.01235--0.285345))+0-32.2--0.0821099999999953</f>
        <v>252.25510500000001</v>
      </c>
      <c r="I219" s="3">
        <f>0+(375.5-91.7)+(0+(-0.38301--0.093534))+0-31.8--0.0324360000000051</f>
        <v>251.74296000000004</v>
      </c>
      <c r="J219" s="3">
        <f>0+(358.4-72.8)+(0+(0.182784-0.037128))+0-32-0.0163199999999968</f>
        <v>253.72933599999993</v>
      </c>
      <c r="K219" s="3">
        <f>0+(361.8-73.3)+(0+(0.184518-0.037383))+0-32.1-0.0163709999999967</f>
        <v>256.53076399999998</v>
      </c>
      <c r="L219" s="3">
        <f>0+(360.9-75.7)+(0+(0.552177-0.115821))+0-31.7-0.0485010000000018</f>
        <v>253.88785499999997</v>
      </c>
      <c r="M219" s="3">
        <f>0+(504.8-206.5)+(0+(-0.257448--0.105315))+0-32.2--0.0164219999999967</f>
        <v>265.96428900000001</v>
      </c>
      <c r="N219" s="3">
        <f>0+(574-250.3)+(0+(0.58548-0.255306))+0-32.7-0.0333540000000052</f>
        <v>291.29681999999997</v>
      </c>
      <c r="O219" s="3">
        <f>0+(453-160.7)+(0+(-0.46206--0.163914))+0-32.9--0.0335580000000052</f>
        <v>259.13541200000009</v>
      </c>
      <c r="P219" s="3">
        <f>112.8+(335.6-121.8)+(-0.230112+(-0.684624--0.248472))+0-33.1--0.0675239999999986</f>
        <v>292.90125999999998</v>
      </c>
      <c r="Q219" s="3">
        <f>119.9+(325.4-121.8)+(-0.122298+(-0.331908--0.124236))+0-33.3--0.0339660000000053</f>
        <v>289.90399600000001</v>
      </c>
      <c r="R219" s="3">
        <f>119.7+(330-126.6)+(-0.244188+(-0.6732--0.258264))+0-33.2--0.0677279999999986</f>
        <v>289.308604</v>
      </c>
      <c r="S219" s="3">
        <f>54.9+(367.7-115.7)+(-0.027999+(-0.187527--0.059007))+0-32.9--0.0167789999999967</f>
        <v>273.86025999999998</v>
      </c>
      <c r="T219" s="3">
        <f>50.1+(379-122.2)+(0.076653+(0.57987-0.186966))+0-32.8-0.0501840000000019</f>
        <v>274.51937300000003</v>
      </c>
      <c r="U219" s="3">
        <f>50+(358-98.9)+(-0.1275+(-0.9129--0.252195))+0-32.4--0.0826199999999953</f>
        <v>275.99441500000006</v>
      </c>
      <c r="V219" s="3">
        <f>78.1+(345.8-108.8)+(-0.039831+(-0.176358--0.055488))+0-32.8--0.0167279999999967</f>
        <v>282.15602699999999</v>
      </c>
      <c r="W219" s="3">
        <f>129.2+(410.1-188.6)+(-0.065892+(-0.209151--0.096186))+0-32.9--0.0167789999999967</f>
        <v>317.63792200000006</v>
      </c>
      <c r="X219" s="3">
        <f>130.4+(399.1-176.3)+(-0.33252+(-1.017705--0.449565))+0-32.6--0.0831299999999953</f>
        <v>319.78246999999999</v>
      </c>
      <c r="Y219" s="3">
        <f>131.3+(465.8-256.5)+(-0.066963+(-0.237558--0.130815))+0-32.3--0.0164729999999967</f>
        <v>308.14276700000005</v>
      </c>
      <c r="Z219" s="3">
        <f>132.2+(522.3-323.5)+(-0.134844+(-0.532746--0.32997))+0-32.5--0.0331500000000052</f>
        <v>298.19552999999991</v>
      </c>
      <c r="AA219" s="3">
        <f>132.4+(584.5-392.1)+(-0.270096+(-1.19238--0.799884))+0-31.6--0.0644639999999986</f>
        <v>292.6018719999999</v>
      </c>
      <c r="AB219" s="3">
        <f>132.4+(556.6-376.3)+(-0.202572+(-0.851598--0.575739))+0-32.3--0.0494190000000019</f>
        <v>279.97098800000003</v>
      </c>
      <c r="AC219" s="3">
        <f>132.3+(543.2-373.1)+(-0.269892+(-1.108128--0.761124))+0-32.7--0.0667079999999986</f>
        <v>269.14981200000005</v>
      </c>
      <c r="AD219">
        <v>336.6</v>
      </c>
      <c r="AE219" s="3">
        <f>129+(401.1-160.9)+(0+(0-0))+0-32.6-0</f>
        <v>336.6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79.4+(432.8-224.4)+(-0.20247+(-1.10364--0.57222))+0-32--0.0815999999999954</f>
        <v>255.14771000000005</v>
      </c>
      <c r="G220" s="3">
        <f>0+(417.5-138.4)+(0+(-0.212925--0.070584))+0-32.8--0.0167279999999967</f>
        <v>246.17438700000002</v>
      </c>
      <c r="H220" s="3">
        <f>0+(432.4-159.2)+(0+(-0.220524--0.081192))+0-29.4--0.014993999999997</f>
        <v>243.67566199999996</v>
      </c>
      <c r="I220" s="3">
        <f>0+(427.2-156.7)+(0+(-0.435744--0.159834))+0-27.7--0.0282540000000044</f>
        <v>242.55234400000001</v>
      </c>
      <c r="J220" s="3">
        <f>0+(404.1-129.8)+(0+(-0.206091--0.066198))+0-32.1--0.0163709999999967</f>
        <v>242.07647800000004</v>
      </c>
      <c r="K220" s="3">
        <f>0+(461.5-186.9)+(0+(-0.235365--0.095319))+0-33.3--0.0169829999999966</f>
        <v>241.17693700000004</v>
      </c>
      <c r="L220" s="3">
        <f>0+(491.4-212.5)+(0+(-0.501228--0.21675))+0-33.8--0.0344760000000054</f>
        <v>244.849998</v>
      </c>
      <c r="M220" s="3">
        <f>0+(580.5-280.4)+(0+(0-0))+0-33.2-0</f>
        <v>266.90000000000003</v>
      </c>
      <c r="N220" s="3">
        <f>0+(667.7-339.8)+(0+(-0.681054--0.346596))+0-32.5--0.0331500000000052</f>
        <v>295.09869200000003</v>
      </c>
      <c r="O220" s="3">
        <f>0+(646.3-316.7)+(0+(0.659226-0.323034))+0-32.4-0.0330480000000052</f>
        <v>297.50314399999996</v>
      </c>
      <c r="P220" s="3">
        <f>53.4+(638.2-355.8)+(-0.108936+(-1.301928--0.725832))+0-32.8--0.0669119999999986</f>
        <v>302.38188000000002</v>
      </c>
      <c r="Q220" s="3">
        <f>120.2+(619.4-396.6)+(-0.061302+(-0.315894--0.202266))+0-32.6--0.0166259999999967</f>
        <v>310.24169599999988</v>
      </c>
      <c r="R220" s="3">
        <f>119.8+(626.5-407.9)+(-0.122196+(-0.63903--0.416058))+0-32.5--0.0331500000000052</f>
        <v>305.58798200000001</v>
      </c>
      <c r="S220" s="3">
        <f>119.7+(616.2-423.7)+(-0.183141+(-0.942786--0.648261))+0-32.9--0.0503370000000019</f>
        <v>278.87267100000008</v>
      </c>
      <c r="T220" s="3">
        <f>119.8+(640.7-443.4)+(0+(0-0))+0-32.2-0</f>
        <v>284.90000000000009</v>
      </c>
      <c r="U220" s="3">
        <f>120.2+(644.4-449)+(0.061302+(0.328644-0.22899))+0-32.8-0.0167279999999967</f>
        <v>282.94422799999995</v>
      </c>
      <c r="V220" s="3">
        <f>120.1+(566.9-364.9)+(-0.122502+(-0.578238--0.372198))+0-32.5--0.0331500000000052</f>
        <v>289.30460799999997</v>
      </c>
      <c r="W220" s="3">
        <f>120.2+(457.8-228.6)+(0+(0-0))+0-32.8-0</f>
        <v>316.60000000000002</v>
      </c>
      <c r="X220" s="3">
        <f>119.5+(520-285.4)+(-0.182835+(-0.7956--0.436662))+0-32.1--0.0491130000000019</f>
        <v>321.50734</v>
      </c>
      <c r="Y220" s="3">
        <f>119.7+(561.5-329.6)+(-0.122094+(-0.57273--0.336192))+0-32.3--0.0329460000000051</f>
        <v>318.97431399999994</v>
      </c>
      <c r="Z220" s="3">
        <f>119.7+(621-398.3)+(-0.122094+(-0.63342--0.406266))+0-32.5--0.0331500000000052</f>
        <v>309.58390199999997</v>
      </c>
      <c r="AA220" s="3">
        <f>119.7+(664.5-457.4)+(-0.122094+(-0.67779--0.466548))+0-29.3--0.0298860000000047</f>
        <v>297.19655</v>
      </c>
      <c r="AB220" s="3">
        <f>120.1+(650.5-450.8)+(0+(0-0))+0-30.8-0</f>
        <v>288.99999999999994</v>
      </c>
      <c r="AC220" s="3">
        <f>96.4+(648.9-434.3)+(-0.147492+(-0.992817--0.664479))+0-31.1--0.0475830000000018</f>
        <v>279.47175299999998</v>
      </c>
      <c r="AD220">
        <v>319</v>
      </c>
      <c r="AE220" s="3">
        <f>120+(461.5-229.1)+(0+(0-0))+0-33.4-0</f>
        <v>319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26.4+(639.1-364.7)+(-0.026928+(-0.651882--0.371994))+0-30--0.0306000000000048</f>
        <v>270.52378399999998</v>
      </c>
      <c r="G221" s="3">
        <f>0+(566.9-278.2)+(0+(-0.289119--0.141882))+0-30.5--0.0155549999999969</f>
        <v>258.06831799999998</v>
      </c>
      <c r="H221" s="3">
        <f>0+(471.4-188.4)+(0+(0.721242-0.288252))+0-31.9-0.0488070000000018</f>
        <v>251.484183</v>
      </c>
      <c r="I221" s="3">
        <f>0+(422.1-142)+(0+(-0.861084--0.28968))+0-32.8--0.0669119999999986</f>
        <v>246.79550800000004</v>
      </c>
      <c r="J221" s="3">
        <f>0+(393.7-110.8)+(0+(0.401574-0.113016))+0-32.6-0.0332520000000052</f>
        <v>250.555306</v>
      </c>
      <c r="K221" s="3">
        <f>0+(374.3-90.9)+(0+(-0.572679--0.139077))+0-30.7--0.0469710000000018</f>
        <v>252.31336899999999</v>
      </c>
      <c r="L221" s="3">
        <f>0+(390.5-108.8)+(0+(-0.39831--0.110976))+0-32.7--0.0333540000000052</f>
        <v>248.74602000000002</v>
      </c>
      <c r="M221" s="3">
        <f>0+(478.3-185.8)+(0+(0.243933-0.094758))+0-33.2-0.0169319999999966</f>
        <v>259.43224300000003</v>
      </c>
      <c r="N221" s="3">
        <f>46.9+(546.8-285.7)+(0.071757+(0.836604-0.437121))+0-32.1-0.0491130000000019</f>
        <v>276.32212699999997</v>
      </c>
      <c r="O221" s="3">
        <f>129.7+(481.9-292.6)+(0.066147+(0.245769-0.149226))+0-30.7-0.0156569999999969</f>
        <v>288.44703299999998</v>
      </c>
      <c r="P221" s="3">
        <f>120.2+(426.7-226.1)+(0.061302+(0.217617-0.115311))+0-30.5-0.0155549999999969</f>
        <v>290.44805300000002</v>
      </c>
      <c r="Q221" s="3">
        <f>119+(406.4-196.2)+(-0.30345+(-1.03632--0.50031))+0-31--0.0790499999999955</f>
        <v>297.43959000000001</v>
      </c>
      <c r="R221" s="3">
        <f>119+(493.5-294.5)+(-0.24276+(-1.00674--0.60078))+0-31.1--0.0634439999999986</f>
        <v>286.31472399999996</v>
      </c>
      <c r="S221" s="3">
        <f>119+(512.2-324.8)+(-0.30345+(-1.30611--0.82824))+0-31.3--0.0798149999999955</f>
        <v>274.39849500000003</v>
      </c>
      <c r="T221" s="3">
        <f>120.1+(567.6-380.6)+(-0.061251+(-0.289476--0.194106))+0-32--0.0163199999999968</f>
        <v>274.95969900000006</v>
      </c>
      <c r="U221" s="3">
        <f>119.4+(558.6-376.7)+(-0.182682+(-0.854658--0.576351))+0-32.4--0.0495720000000019</f>
        <v>268.48858300000012</v>
      </c>
      <c r="V221" s="3">
        <f>120.2+(482.5-303.1)+(-0.061302+(-0.246075--0.154581))+0-32.2--0.0164219999999967</f>
        <v>267.26362599999993</v>
      </c>
      <c r="W221" s="3">
        <f>120.3+(414.1-207.5)+(0+(0-0))+0-31.8-0</f>
        <v>295.10000000000002</v>
      </c>
      <c r="X221" s="3">
        <f>119.8+(425.8-210.3)+(-0.061098+(-0.217158--0.107253))+0-31.9--0.0162689999999968</f>
        <v>303.24526600000007</v>
      </c>
      <c r="Y221" s="3">
        <f>120.5+(373.3-166.9)+(0.061455+(0.190383-0.085119))+0-31.5-0.0160649999999968</f>
        <v>295.55065400000001</v>
      </c>
      <c r="Z221" s="3">
        <f>119.6+(349.7-142.4)+(-0.182988+(-0.535041--0.217872))+0-32.1--0.0491130000000019</f>
        <v>294.34895599999993</v>
      </c>
      <c r="AA221" s="3">
        <f>119.9+(343.4-144.2)+(-0.061149+(-0.175134--0.073542))+0-32.5--0.0165749999999967</f>
        <v>286.45383400000003</v>
      </c>
      <c r="AB221" s="3">
        <f>119.5+(347.8-156.8)+(-0.12189+(-0.354756--0.159936))+0-32.3--0.0329460000000051</f>
        <v>277.91623599999997</v>
      </c>
      <c r="AC221" s="3">
        <f>17.3+(395-101)+(-0.017646+(-0.4029--0.10302))+0-33--0.0336600000000053</f>
        <v>278.01613400000002</v>
      </c>
      <c r="AD221">
        <v>304.99999999999994</v>
      </c>
      <c r="AE221" s="3">
        <f>120+(465.8-247.8)+(0+(0-0))+0-33-0</f>
        <v>305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0+(402.6-104)+(0+(-0.410652--0.10608))+0-32.3--0.0329460000000051</f>
        <v>266.02837399999999</v>
      </c>
      <c r="G222" s="3">
        <f>0+(369.5-78.5)+(0+(0.37689-0.08007))+0-33-0.0336600000000053</f>
        <v>258.26316000000003</v>
      </c>
      <c r="H222" s="3">
        <f>0+(375.8-87.5)+(0+(0-0))+0-32.4-0</f>
        <v>255.9</v>
      </c>
      <c r="I222" s="3">
        <f>0+(356.9-73.7)+(0+(-0.364038--0.075174))+0-32.9--0.0335580000000052</f>
        <v>250.04469399999999</v>
      </c>
      <c r="J222" s="3">
        <f>0+(350.9-76.9)+(0+(1.073754-0.235314))+0-33-0.100980000000004</f>
        <v>241.73746</v>
      </c>
      <c r="K222" s="3">
        <f>0+(367-95.9)+(0+(0-0))+0-32.9-0</f>
        <v>238.20000000000002</v>
      </c>
      <c r="L222" s="3">
        <f>0+(349.3-85.6)+(0+(-0.178143--0.043656))+0-32.8--0.0167279999999967</f>
        <v>230.78224100000006</v>
      </c>
      <c r="M222" s="3">
        <f>0+(352.5-90.2)+(0+(-0.179775--0.046002))+0-32.6--0.0166259999999967</f>
        <v>229.582853</v>
      </c>
      <c r="N222" s="3">
        <f>0+(370.2-98.4)+(0+(0.566406-0.150552))+0-33.3-0.0509490000000019</f>
        <v>238.86490499999996</v>
      </c>
      <c r="O222" s="3">
        <f>0+(332.6-48.6)+(0+(0.169626-0.024786))+0-33.2-0.0169319999999966</f>
        <v>250.927908</v>
      </c>
      <c r="P222" s="3">
        <f>0+(318.5-30.9)+(0+(0-0))+0-33.3-0</f>
        <v>254.3</v>
      </c>
      <c r="Q222" s="3">
        <f>0+(333.9-47.3)+(0+(-0.510867--0.072369))+0-32.8--0.0501840000000019</f>
        <v>253.41168599999997</v>
      </c>
      <c r="R222" s="3">
        <f>0+(332.2-50.9)+(0+(-0.338844--0.051918))+0-32.7--0.0333540000000052</f>
        <v>248.34642800000003</v>
      </c>
      <c r="S222" s="3">
        <f>0+(335.9-72.7)+(0+(-0.685236--0.148308))+0-32.3--0.0658919999999986</f>
        <v>230.42896399999998</v>
      </c>
      <c r="T222" s="3">
        <f>0+(334.5-75.5)+(0+(-0.511785--0.115515))+0-32.3--0.0494190000000019</f>
        <v>226.35314899999997</v>
      </c>
      <c r="U222" s="3">
        <f>0+(309.8-50.9)+(0+(0-0))+0-32.4-0</f>
        <v>226.50000000000003</v>
      </c>
      <c r="V222" s="3">
        <f>0+(300.6-36.8)+(0+(0.153306-0.018768))+0-29.1-0.014840999999997</f>
        <v>234.81969700000005</v>
      </c>
      <c r="W222" s="3">
        <f>0+(387.6-75)+(0+(0-0))+0-33.3-0</f>
        <v>279.3</v>
      </c>
      <c r="X222" s="3">
        <f>0+(411.6-86.9)+(0+(-1.04958--0.221595))+0-33.4--0.0851699999999952</f>
        <v>290.55718500000006</v>
      </c>
      <c r="Y222" s="3">
        <f>0+(390.5-65.4)+(0+(-0.995775--0.16677))+0-33.7--0.0859349999999951</f>
        <v>290.65693000000005</v>
      </c>
      <c r="Z222" s="3">
        <f>0+(376.7-54.2)+(0+(-0.768468--0.110568))+0-33.2--0.0677279999999986</f>
        <v>288.70982800000002</v>
      </c>
      <c r="AA222" s="3">
        <f>0+(356.2-34)+(0+(0-0))+0-33.7-0</f>
        <v>288.5</v>
      </c>
      <c r="AB222" s="3">
        <f>0+(352-39.8)+(0+(-0.71808--0.081192))+0-33.2--0.0677279999999986</f>
        <v>278.43083999999999</v>
      </c>
      <c r="AC222" s="3">
        <f>0+(345.5-41)+(0+(-0.881025--0.10455))+0-32.6--0.0831299999999953</f>
        <v>271.20665499999996</v>
      </c>
      <c r="AD222">
        <v>302.8</v>
      </c>
      <c r="AE222" s="3">
        <f>0+(400-63.2)+(0+(0-0))+0-34-0</f>
        <v>302.8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0+(397.9-108.9)+(0+(-0.811716--0.222156))+0-32.8--0.0669119999999986</f>
        <v>255.67735199999998</v>
      </c>
      <c r="G223" s="3">
        <f>0+(370.1-80)+(0+(-0.188751--0.0408))+0-32.4--0.0165239999999967</f>
        <v>257.56857300000007</v>
      </c>
      <c r="H223" s="3">
        <f>0+(364.2-87.4)+(0+(0.185742-0.044574))+0-32.6-0.0166259999999967</f>
        <v>244.32454199999995</v>
      </c>
      <c r="I223" s="3">
        <f>0+(328.4-51.3)+(0+(-0.502452--0.078489))+0-32.6--0.0498780000000019</f>
        <v>244.12591499999996</v>
      </c>
      <c r="J223" s="3">
        <f>0+(319.2-43.7)+(0+(-0.162792--0.022287))+0-32.2--0.0164219999999967</f>
        <v>243.175917</v>
      </c>
      <c r="K223" s="3">
        <f>0+(327.9-45.2)+(0+(0-0))+0-32.3-0</f>
        <v>250.39999999999998</v>
      </c>
      <c r="L223" s="3">
        <f>0+(321.1-33.8)+(0+(0-0))+0-32.6-0</f>
        <v>254.70000000000002</v>
      </c>
      <c r="M223" s="3">
        <f>0+(446.8-140.4)+(0+(0.683604-0.214812))+0-32.5-0.0497250000000019</f>
        <v>274.31906699999996</v>
      </c>
      <c r="N223" s="3">
        <f>0+(493.8-157.5)+(0+(0.503676-0.16065))+0-32.6-0.0332520000000052</f>
        <v>304.00977399999999</v>
      </c>
      <c r="O223" s="3">
        <f>89.3+(424.1-188)+(0.045543+(0.216291-0.09588))+0-32.9-0.0167789999999967</f>
        <v>292.64917500000007</v>
      </c>
      <c r="P223" s="3">
        <f>114+(442.4-205.1)+(0.11628+(0.451248-0.209202))+0-32.5-0.0331500000000052</f>
        <v>319.12517599999995</v>
      </c>
      <c r="Q223" s="3">
        <f>129.1+(486.6-277.2)+(0.065841+(0.248166-0.141372))+0-15.9-0.00810899999999839</f>
        <v>322.76452600000005</v>
      </c>
      <c r="R223" s="3">
        <f>128.6+(475.8-288.3)+(-0.196758+(-0.727974--0.441099))+0-1.3--0.00198900000000008</f>
        <v>314.31835599999999</v>
      </c>
      <c r="S223" s="3">
        <f>128.9+(490.3-328.8)+(-0.065739+(-0.250053--0.167688))+0-4.8--0.00244799999999951</f>
        <v>285.45434399999999</v>
      </c>
      <c r="T223" s="3">
        <f>129.1+(511.2-345.3)+(0+(0-0))+0-5.1-0</f>
        <v>289.89999999999998</v>
      </c>
      <c r="U223" s="3">
        <f>113.2+(487.4-323.6)+(-0.173196+(-0.745722--0.495108))+0-5.2--0.0079560000000003</f>
        <v>271.38414599999993</v>
      </c>
      <c r="V223" s="3">
        <f>50.5+(449.1-211.9)+(0.077265+(0.687123-0.324207))+0-6.2-0.00948600000000036</f>
        <v>281.93069500000007</v>
      </c>
      <c r="W223" s="3">
        <f>120.7+(417-224.5)+(0.123114+(0.42534-0.22899))+0-7.4-0.00754800000000118</f>
        <v>306.11191600000001</v>
      </c>
      <c r="X223" s="3">
        <f>133.8+(548.7-383.5)+(-0.204714+(-0.839511--0.586755))+0-7.5--0.0114750000000004</f>
        <v>291.05400500000007</v>
      </c>
      <c r="Y223" s="3">
        <f>134+(581.6-384.4)+(-0.06834+(-0.296616--0.196044))+0-5.4--0.00275399999999945</f>
        <v>325.63384200000007</v>
      </c>
      <c r="Z223" s="3">
        <f>74.7+(603.9-346.4)+(-0.076194+(-0.615978--0.353328))+0-6.4--0.00652800000000102</f>
        <v>325.46768400000002</v>
      </c>
      <c r="AA223" s="3">
        <f>13.8+(626.1-332.8)+(-0.021114+(-0.957933--0.509184))+0-7.8--0.0119340000000005</f>
        <v>298.84207100000003</v>
      </c>
      <c r="AB223" s="3">
        <f>0+(623.5-329.4)+(0+(-1.27194--0.671976))+0-9.3--0.0189719999999996</f>
        <v>284.21900800000003</v>
      </c>
      <c r="AC223" s="3">
        <f>0+(515.8-210.6)+(0+(-0.789174--0.322218))+0-10.6--0.0162180000000006</f>
        <v>294.14926199999991</v>
      </c>
      <c r="AD223">
        <v>298.30000000000007</v>
      </c>
      <c r="AE223" s="3">
        <f>133+(542.6-368.9)+(0+(0-0))+0-8.4-0</f>
        <v>298.30000000000007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0+(486.3-190.7)+(0+(-0.248013--0.097257))+0-12.4--0.00632399999999874</f>
        <v>283.05556800000005</v>
      </c>
      <c r="G224" s="3">
        <f>0+(389-95)+(0+(-0.59517--0.14535))+0-12.4--0.0189720000000007</f>
        <v>281.16915200000005</v>
      </c>
      <c r="H224" s="3">
        <f>0+(377.2-87)+(0+(0.384744-0.08874))+0-12.6-0.012852000000002</f>
        <v>277.88315199999994</v>
      </c>
      <c r="I224" s="3">
        <f>0+(378.7-80)+(0+(0.386274-0.0816))+0-16.4-0.0167280000000026</f>
        <v>282.58794599999999</v>
      </c>
      <c r="J224" s="3">
        <f>0+(355-65)+(0+(0.18105-0.03315))+0-18.6-0.00948599999999811</f>
        <v>271.53841399999999</v>
      </c>
      <c r="K224" s="3">
        <f>0+(326.5-58)+(0+(0-0))+0-16.4-0</f>
        <v>252.1</v>
      </c>
      <c r="L224" s="3">
        <f>0+(367.9-69)+(0+(0-0))+0-19.4-0</f>
        <v>279.5</v>
      </c>
      <c r="M224" s="3">
        <f>0+(444.7-158)+(0+(0.907188-0.32232))+0-22.6-0.046103999999999</f>
        <v>264.63876399999992</v>
      </c>
      <c r="N224" s="3">
        <f>110.5+(490.5-277.5)+(0.056355+(0.250155-0.141525))+0-25.8-0.0131579999999974</f>
        <v>297.85182700000001</v>
      </c>
      <c r="O224" s="3">
        <f>125.5+(440-208.6)+(-0.064005+(-0.2244--0.106386))+0-27.9--0.0142289999999972</f>
        <v>328.83220999999998</v>
      </c>
      <c r="P224" s="3">
        <f>181.9+(409.6-255.6)+(0.185538+(0.417792-0.260712))+0-29.8-0.0303960000000048</f>
        <v>306.41222200000004</v>
      </c>
      <c r="Q224" s="3">
        <f>261.9+(364.1-287.2)+(0+(0-0))+0-26.1-0</f>
        <v>312.7</v>
      </c>
      <c r="R224" s="3">
        <f>252.9+(372.3-275.6)+(-0.644895+(-0.949365--0.70278))+0-29.5--0.0752249999999957</f>
        <v>319.28374500000001</v>
      </c>
      <c r="S224" s="3">
        <f>133.7+(425.9-249.4)+(0+(0-0))+0-29.9-0</f>
        <v>280.29999999999995</v>
      </c>
      <c r="T224" s="3">
        <f>131.1+(474-292.8)+(0.066861+(0.24174-0.149328))+0-30-0.015299999999997</f>
        <v>282.44397299999991</v>
      </c>
      <c r="U224" s="3">
        <f>130.7+(410.3-247.3)+(-0.133314+(-0.418506--0.252246))+0-30.4--0.0310080000000048</f>
        <v>263.03143399999999</v>
      </c>
      <c r="V224" s="3">
        <f>131.5+(324.1-122)+(0.201195+(0.495873-0.18666))+0-30.8-0.0471240000000018</f>
        <v>303.263284</v>
      </c>
      <c r="W224" s="3">
        <f>131.4+(275.7-48)+(0.134028+(0.281214-0.04896))+0-31.5-0.032130000000005</f>
        <v>327.93415200000004</v>
      </c>
      <c r="X224" s="3">
        <f>130.5+(233.8-7)+(-0.199665+(-0.357714--0.01071))+0-30.9--0.0472770000000018</f>
        <v>325.90060800000003</v>
      </c>
      <c r="Y224" s="3">
        <f>124.9+(270.9-64)+(-0.254796+(-0.552636--0.13056))+0-31--0.0632399999999986</f>
        <v>300.18636799999996</v>
      </c>
      <c r="Z224" s="3">
        <f>120.3+(356.2-154.2)+(-0.184059+(-0.544986--0.235926))+0-31.2--0.0477360000000018</f>
        <v>290.65461700000003</v>
      </c>
      <c r="AA224" s="3">
        <f>120.6+(446.2-257.9)+(-0.246024+(-0.910248--0.526116))+0-31--0.0632399999999986</f>
        <v>277.33308399999999</v>
      </c>
      <c r="AB224" s="3">
        <f>120.1+(493.6-287.9)+(-0.306255+(-1.25868--0.734145))+0-29.3--0.0747149999999958</f>
        <v>295.74392500000005</v>
      </c>
      <c r="AC224" s="3">
        <f>43.9+(455.8-188.2)+(-0.067167+(-0.697374--0.287946))+0-30.7--0.0469710000000018</f>
        <v>280.37037600000002</v>
      </c>
      <c r="AD224">
        <v>343.79999999999995</v>
      </c>
      <c r="AE224" s="3">
        <f>131+(310.9-68.6)+(0+(0-0))+0-29.5-0</f>
        <v>343.79999999999995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0+(391.6-88)+(0+(-1.198296--0.26928))+0-31.1--0.0951660000000036</f>
        <v>271.66615000000002</v>
      </c>
      <c r="G225" s="3">
        <f>0+(373-52)+(0+(-0.57069--0.07956))+0-30.9--0.0472770000000018</f>
        <v>289.65614700000003</v>
      </c>
      <c r="H225" s="3">
        <f>0+(367.6-63)+(0+(-0.562428--0.09639))+0-30.5--0.0466650000000018</f>
        <v>273.68062700000002</v>
      </c>
      <c r="I225" s="3">
        <f>0+(348.8-55)+(0+(-0.355776--0.0561))+0-30.2--0.0308040000000048</f>
        <v>263.33112800000004</v>
      </c>
      <c r="J225" s="3">
        <f>0+(347.7-60)+(0+(0.886635-0.153))+0-29.8-0.0759899999999957</f>
        <v>258.55764499999998</v>
      </c>
      <c r="K225" s="3">
        <f>0+(321.3-44)+(0+(0.163863-0.02244))+0-31.2-0.0159119999999968</f>
        <v>246.22551100000001</v>
      </c>
      <c r="L225" s="3">
        <f>0+(375.6-79)+(0+(-0.191556--0.04029))+0-31.4--0.0160139999999968</f>
        <v>265.06474800000001</v>
      </c>
      <c r="M225" s="3">
        <f>0+(460.6-183)+(0+(0.469812-0.18666))+0-30.8-0.0314160000000049</f>
        <v>247.05173599999998</v>
      </c>
      <c r="N225" s="3">
        <f>0+(502.1-183)+(0+(0.256071-0.09333))+0-31.5-0.0160649999999968</f>
        <v>287.74667600000004</v>
      </c>
      <c r="O225" s="3">
        <f>0+(507.9-168)+(0+(0.777087-0.25704))+0-31.5-0.0481950000000018</f>
        <v>308.87185199999993</v>
      </c>
      <c r="P225" s="3">
        <f>0+(524-203.3)+(0+(0.80172-0.311049))+0-32.1-0.0491130000000019</f>
        <v>289.04155800000001</v>
      </c>
      <c r="Q225" s="3">
        <f>0+(507.5-206)+(0+(-1.294125--0.5253))+0-32--0.0815999999999954</f>
        <v>268.81277499999999</v>
      </c>
      <c r="R225" s="3">
        <f>0+(573.3-228.7)+(0+(-1.169532--0.466548))+0-31.3--0.0638519999999986</f>
        <v>312.66086799999994</v>
      </c>
      <c r="S225" s="3">
        <f>0+(576.6-253.6)+(0+(-1.176264--0.517344))+0-31.5--0.0642599999999986</f>
        <v>290.90533999999997</v>
      </c>
      <c r="T225" s="3">
        <f>0+(581-273)+(0+(0.29631-0.13923))+0-32.4-0.0165239999999967</f>
        <v>275.74055600000003</v>
      </c>
      <c r="U225" s="3">
        <f>0+(540.5-228.2)+(0+(-1.65393--0.698292))+0-32--0.0979200000000037</f>
        <v>279.44228199999998</v>
      </c>
      <c r="V225" s="3">
        <f>0+(459.1-100)+(0+(0.702423-0.153))+0-32.3-0.0494190000000019</f>
        <v>327.300004</v>
      </c>
      <c r="W225" s="3">
        <f>0+(412.2-76.1)+(0+(0.840888-0.155244))+0-32.3-0.0658919999999986</f>
        <v>304.41975200000002</v>
      </c>
      <c r="X225" s="3">
        <f>0+(441.2-106.8)+(0+(-1.12506--0.27234))+0-28.3--0.0721649999999959</f>
        <v>305.31944499999997</v>
      </c>
      <c r="Y225" s="3">
        <f>0+(499.7-163.1)+(0+(-1.274235--0.415905))+0-31.4--0.0800699999999954</f>
        <v>304.42174</v>
      </c>
      <c r="Z225" s="3">
        <f>0+(548.3-216)+(0+(-1.118532--0.44064))+0-31.4--0.0640559999999986</f>
        <v>300.28616399999999</v>
      </c>
      <c r="AA225" s="3">
        <f>0+(569.6-251.1)+(0+(-1.45248--0.640305))+0-31--0.0790499999999955</f>
        <v>286.76687499999997</v>
      </c>
      <c r="AB225" s="3">
        <f>0+(651.3-328.3)+(0+(0.664326-0.334866))+0-30.8-0.0314160000000049</f>
        <v>292.49804399999994</v>
      </c>
      <c r="AC225" s="3">
        <f>0+(590.1-297.2)+(0+(-1.203804--0.606288))+0-31.1--0.0634439999999986</f>
        <v>261.26592800000003</v>
      </c>
      <c r="AD225">
        <v>383</v>
      </c>
      <c r="AE225" s="3">
        <f>0+(466.6-51.1)+(0+(0-0))+0-32.5-0</f>
        <v>383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0+(540.7-239.9)+(0+(-1.103028--0.489396))+0-31.2--0.0636479999999986</f>
        <v>269.05001600000008</v>
      </c>
      <c r="G226" s="3">
        <f>0+(430-133.1)+(0+(-0.8772--0.271524))+0-30.7--0.0626279999999987</f>
        <v>265.65695199999999</v>
      </c>
      <c r="H226" s="3">
        <f>0+(380.5-88.5)+(0+(0-0))+0-30.8-0</f>
        <v>261.2</v>
      </c>
      <c r="I226" s="3">
        <f>0+(386.2-87.1)+(0+(-0.787848--0.177684))+0-30.9--0.0630359999999986</f>
        <v>267.65287200000006</v>
      </c>
      <c r="J226" s="3">
        <f>0+(367.8-72.5)+(0+(0.562734-0.110925))+0-31-0.0474300000000018</f>
        <v>264.70437900000002</v>
      </c>
      <c r="K226" s="3">
        <f>0+(360-60.7)+(0+(0.1836-0.030957))+0-31.5-0.0160649999999968</f>
        <v>267.93657800000005</v>
      </c>
      <c r="L226" s="3">
        <f>0+(408.2-108.4)+(0+(-0.416364--0.110568))+0-31.7--0.0323340000000051</f>
        <v>267.82653799999997</v>
      </c>
      <c r="M226" s="3">
        <f>0+(466.4-144.6)+(0+(0.475728-0.147492))+0-32.1-0.0327420000000051</f>
        <v>289.99549399999995</v>
      </c>
      <c r="N226" s="3">
        <f>0+(496.6-141.5)+(0+(0.506532-0.14433))+0-32.1-0.0327420000000051</f>
        <v>323.32946000000004</v>
      </c>
      <c r="O226" s="3">
        <f>0+(495.3-156.9)+(0+(0.757809-0.240057))+0-33.1-0.0506430000000019</f>
        <v>305.76710899999995</v>
      </c>
      <c r="P226" s="3">
        <f>0+(430.7-102.9)+(0+(-1.098285--0.262395))+0-33.5--0.0854249999999951</f>
        <v>293.54953499999993</v>
      </c>
      <c r="Q226" s="3">
        <f>0+(402.8-65.6)+(0+(-0.616284--0.100368))+0-33.2--0.0507960000000019</f>
        <v>303.53488000000004</v>
      </c>
      <c r="R226" s="3">
        <f>0+(410.7-75.3)+(0+(-0.837828--0.153612))+0-33.1--0.0675239999999986</f>
        <v>301.68330799999995</v>
      </c>
      <c r="S226" s="3">
        <f>0+(423.3-105.1)+(0+(0.431766-0.107202))+0-32.5-0.0331500000000052</f>
        <v>285.99141400000008</v>
      </c>
      <c r="T226" s="3">
        <f>0+(429.5-110.6)+(0+(-0.657135--0.169218))+0-32.7--0.0500310000000019</f>
        <v>285.762114</v>
      </c>
      <c r="U226" s="3">
        <f>0+(435-123.3)+(0+(-0.66555--0.188649))+0-32.7--0.0500310000000019</f>
        <v>278.57312999999999</v>
      </c>
      <c r="V226" s="3">
        <f>0+(396.9-81.1)+(0+(0.202419-0.041361))+0-32.3-0.0164729999999967</f>
        <v>283.64458499999995</v>
      </c>
      <c r="W226" s="3">
        <f>0+(359.1-14.1)+(0+(0.183141-0.007191))+0-33.7-0.0171869999999966</f>
        <v>311.45876300000003</v>
      </c>
      <c r="X226" s="3">
        <f>0+(402.5-61.1)+(0+(-0.615825--0.093483))+0-32.9--0.0503370000000019</f>
        <v>308.02799500000003</v>
      </c>
      <c r="Y226" s="3">
        <f>0+(414.8-85.4)+(0+(-1.05774--0.21777))+0-32.9--0.0838949999999952</f>
        <v>295.74392499999999</v>
      </c>
      <c r="Z226" s="3">
        <f>0+(474-151)+(0+(-0.24174--0.07701))+0-31.5--0.0160649999999968</f>
        <v>291.35133499999995</v>
      </c>
      <c r="AA226" s="3">
        <f>0+(570.2-221.3)+(0+(-0.872406--0.338589))+0-31.6--0.0483480000000018</f>
        <v>316.81453099999999</v>
      </c>
      <c r="AB226" s="3">
        <f>0+(478.4-213.7)+(0+(-0.731952--0.326961))+0-32.8--0.0501840000000019</f>
        <v>231.54519299999998</v>
      </c>
      <c r="AC226" s="3">
        <f>0+(499.2-219.8)+(0+(-1.27296--0.56049))+0-15.2--0.0387599999999978</f>
        <v>263.52629000000002</v>
      </c>
      <c r="AD226">
        <v>300.59999999999997</v>
      </c>
      <c r="AE226" s="3">
        <f>0+(405.5-72.3)+(0+(0-0))+0-32.6-0</f>
        <v>300.59999999999997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0+(385.1-127.2)+(0+(-0.392802--0.129744))+0-1--0.00102000000000016</f>
        <v>256.63796200000002</v>
      </c>
      <c r="G227" s="3">
        <f>0+(345.7-91.6)+(0+(-0.176307--0.046716))+0-4.7--0.00239699999999952</f>
        <v>249.272806</v>
      </c>
      <c r="H227" s="3">
        <f>0+(330.1-75.3)+(0+(-0.168351--0.038403))+0-5.4--0.00275399999999945</f>
        <v>249.272806</v>
      </c>
      <c r="I227" s="3">
        <f>0+(302.2-54.4)+(0+(-0.154122--0.027744))+0-5.8--0.00295799999999941</f>
        <v>241.87657999999999</v>
      </c>
      <c r="J227" s="3">
        <f>0+(280.4-30.7)+(0+(-0.143004--0.015657))+0-6.8--0.00346799999999931</f>
        <v>242.77612099999999</v>
      </c>
      <c r="K227" s="3">
        <f>0+(281.6-18.3)+(0+(0.287232-0.018666))+0-7.4-0.00754800000000118</f>
        <v>256.16101800000007</v>
      </c>
      <c r="L227" s="3">
        <f>0+(297.5-17.8)+(0+(0.151725-0.009078))+0-7.9-0.0040289999999992</f>
        <v>271.93861800000002</v>
      </c>
      <c r="M227" s="3">
        <f>0+(381.6-119.1)+(0+(0.583848-0.182223))+0-9.1-0.0139230000000005</f>
        <v>253.78770200000002</v>
      </c>
      <c r="N227" s="3">
        <f>0+(543-239.2)+(0+(0-0))+0-6.3-0</f>
        <v>297.5</v>
      </c>
      <c r="O227" s="3">
        <f>0+(566-260.5)+(0+(0-0))+0-7.6-0</f>
        <v>297.89999999999998</v>
      </c>
      <c r="P227" s="3">
        <f>0+(563-262.8)+(0+(0-0))+0-8.2-0</f>
        <v>292</v>
      </c>
      <c r="Q227" s="3">
        <f>0+(544.4-244.2)+(0+(0-0))+0-9.6-0</f>
        <v>290.59999999999997</v>
      </c>
      <c r="R227" s="3">
        <f>0+(511.9-203.4)+(0+(-0.522138--0.207468))+0-12.5--0.012750000000002</f>
        <v>295.69808</v>
      </c>
      <c r="S227" s="3">
        <f>0+(507.8-209.2)+(0+(-0.258978--0.106692))+0-13--0.00662999999999868</f>
        <v>285.45434399999999</v>
      </c>
      <c r="T227" s="3">
        <f>0+(492.7-206.3)+(0+(-0.251277--0.105213))+0-12.9--0.00657899999999869</f>
        <v>273.36051499999996</v>
      </c>
      <c r="U227" s="3">
        <f>0+(488.1-192.2)+(0+(-0.746793--0.294066))+0-15.9--0.0243270000000009</f>
        <v>279.5716000000001</v>
      </c>
      <c r="V227" s="3">
        <f>58.2+(391.8-142.4)+(-0.029682+(-0.199818--0.072624))+0-18.8--0.00958799999999809</f>
        <v>288.65271200000001</v>
      </c>
      <c r="W227" s="3">
        <f>9.6+(374.7-46.7)+(0+(0-0))+0-20.7-0</f>
        <v>316.90000000000003</v>
      </c>
      <c r="X227" s="3">
        <f>0+(399.7-61.5)+(0+(-0.815388--0.12546))+0-20.6--0.0420239999999991</f>
        <v>316.95209599999998</v>
      </c>
      <c r="Y227" s="3">
        <f>0+(437.3-106.9)+(0+(-0.446046--0.109038))+0-23.3--0.0237660000000037</f>
        <v>306.78675799999996</v>
      </c>
      <c r="Z227" s="3">
        <f>0+(492.2-179.7)+(0+(0-0))+0-26.2-0</f>
        <v>286.3</v>
      </c>
      <c r="AA227" s="3">
        <f>0+(528-220.7)+(0+(-0.80784--0.337671))+0-28--0.0428400000000016</f>
        <v>278.87267100000003</v>
      </c>
      <c r="AB227" s="3">
        <f>0+(483.2-154.4)+(0+(-0.739296--0.236232))+0-29.3--0.0448290000000017</f>
        <v>299.04176499999994</v>
      </c>
      <c r="AC227" s="3">
        <f>0+(405.8-118.9)+(0+(-0.620874--0.181917))+0-29.2--0.0446760000000017</f>
        <v>257.30571899999995</v>
      </c>
      <c r="AD227">
        <v>320.59999999999997</v>
      </c>
      <c r="AE227" s="3">
        <f>0+(384.2-43.6)+(0+(0-0))+0-20-0</f>
        <v>320.59999999999997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0+(322.7-39.4)+(0+(0-0))+0-29.8-0</f>
        <v>253.5</v>
      </c>
      <c r="G228" s="3">
        <f>0+(279.7-17.6)+(0+(-0.285294--0.017952))+0-30.7--0.0313140000000049</f>
        <v>231.163972</v>
      </c>
      <c r="H228" s="3">
        <f>0+(300.3-3)+(0+(-0.765765--0.00765))+0-30.6--0.0780299999999956</f>
        <v>266.01991500000003</v>
      </c>
      <c r="I228" s="3">
        <f>0+(310.3-44)+(0+(0-0))+0-30.2-0</f>
        <v>236.10000000000002</v>
      </c>
      <c r="J228" s="3">
        <f>0+(329.9-60)+(0+(0-0))+0-30.5-0</f>
        <v>239.39999999999998</v>
      </c>
      <c r="K228" s="3">
        <f>0+(328.7-58)+(0+(0.167637-0.02958))+0-30.7-0.0156569999999969</f>
        <v>240.1224</v>
      </c>
      <c r="L228" s="3">
        <f>0+(274.9-11)+(0+(-0.420597--0.01683))+0-30.1--0.0460530000000017</f>
        <v>233.44228599999997</v>
      </c>
      <c r="M228" s="3">
        <f>0+(328.5-41.5)+(0+(-0.167535--0.021165))+0-31.1--0.0158609999999968</f>
        <v>255.76949100000002</v>
      </c>
      <c r="N228" s="3">
        <f>0+(394.1-95.3)+(0+(0.200991-0.048603))+0-31-0.0158099999999969</f>
        <v>267.936578</v>
      </c>
      <c r="O228" s="3">
        <f>0+(358.8-39.5)+(0+(0.182988-0.020145))+0-31.2-0.0159119999999968</f>
        <v>288.24693100000002</v>
      </c>
      <c r="P228" s="3">
        <f>0+(339.2-17.5)+(0+(0.172992-0.008925))+0-30.4-0.0155039999999969</f>
        <v>291.44856299999998</v>
      </c>
      <c r="Q228" s="3">
        <f>0+(341.6-17)+(0+(0-0))+0-31.9-0</f>
        <v>292.70000000000005</v>
      </c>
      <c r="R228" s="3">
        <f>0+(331.5-16)+(0+(-0.169065--0.00816))+0-31.4--0.0160139999999968</f>
        <v>283.95510899999999</v>
      </c>
      <c r="S228" s="3">
        <f>0+(332.2-39.3)+(0+(-0.508266--0.060129))+0-30.7--0.0469710000000018</f>
        <v>261.798834</v>
      </c>
      <c r="T228" s="3">
        <f>0+(360.6-72.2)+(0+(0.367812-0.073644))+0-31-0.0316200000000049</f>
        <v>257.66254800000002</v>
      </c>
      <c r="U228" s="3">
        <f>0+(379.8-96.8)+(0+(-0.387396--0.098736))+0-31.2--0.031824000000005</f>
        <v>251.54316400000002</v>
      </c>
      <c r="V228" s="3">
        <f>0+(343-60.7)+(0+(0-0))+0-31.5-0</f>
        <v>250.8</v>
      </c>
      <c r="W228" s="3">
        <f>0+(332.6-17.7)+(0+(0.339252-0.018054))+0-31.9-0.0325380000000051</f>
        <v>283.28866000000005</v>
      </c>
      <c r="X228" s="3">
        <f>0+(372.3-60.4)+(0+(0-0))+0-28.7-0</f>
        <v>283.20000000000005</v>
      </c>
      <c r="Y228" s="3">
        <f>0+(378-66.3)+(0+(-1.15668--0.202878))+0-31.1--0.0951660000000036</f>
        <v>279.74136399999998</v>
      </c>
      <c r="Z228" s="3">
        <f>0+(367.5-75)+(0+(-0.37485--0.0765))+0-30.9--0.0315180000000049</f>
        <v>261.333168</v>
      </c>
      <c r="AA228" s="3">
        <f>0+(322.6-28.3)+(0+(-0.493578--0.043299))+0-30.3--0.0463590000000018</f>
        <v>263.59607999999997</v>
      </c>
      <c r="AB228" s="3">
        <f>0+(314.9-30.5)+(0+(-0.481797--0.046665))+0-31.1--0.0475830000000018</f>
        <v>252.91245099999998</v>
      </c>
      <c r="AC228" s="3">
        <f>0+(350.2-72.1)+(0+(-0.89301--0.183855))+0-31.4--0.0800699999999954</f>
        <v>246.07091500000001</v>
      </c>
      <c r="AD228">
        <v>287.19999999999993</v>
      </c>
      <c r="AE228" s="3">
        <f>0+(385.4-66.1)+(0+(0-0))+0-32.1-0</f>
        <v>287.19999999999993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0+(319.1-35.6)+(0+(0-0))+0-31.2-0</f>
        <v>252.3</v>
      </c>
      <c r="G229" s="3">
        <f>0+(299.4-39.4)+(0+(-0.152694--0.020094))+0-31.9--0.0162689999999968</f>
        <v>227.98366899999996</v>
      </c>
      <c r="H229" s="3">
        <f>0+(281.3-24.7)+(0+(0-0))+0-31.9-0</f>
        <v>224.70000000000002</v>
      </c>
      <c r="I229" s="3">
        <f>0+(263.2-9.6)+(0+(0-0))+0-30.4-0</f>
        <v>223.2</v>
      </c>
      <c r="J229" s="3">
        <f>0+(256.3-0)+(0+(0.130713-0))+0-31.9-0.0162689999999968</f>
        <v>224.51444400000003</v>
      </c>
      <c r="K229" s="3">
        <f>0+(256-0)+(0+(-0.26112-0))+0-32.4--0.0330480000000052</f>
        <v>223.371928</v>
      </c>
      <c r="L229" s="3">
        <f>0+(271.8-32.4)+(0+(-0.415854--0.049572))+0-28.8--0.0440640000000017</f>
        <v>210.27778199999997</v>
      </c>
      <c r="M229" s="3">
        <f>0+(290.8-46.1)+(0+(-0.148308--0.023511))+0-32.2--0.0164219999999967</f>
        <v>212.391625</v>
      </c>
      <c r="N229" s="3">
        <f>0+(314.4-60.2)+(0+(0.160344-0.030702))+0-33-0.0168299999999967</f>
        <v>221.31281199999998</v>
      </c>
      <c r="O229" s="3">
        <f>0+(342.4-72.4)+(0+(0-0))+0-32.7-0</f>
        <v>237.3</v>
      </c>
      <c r="P229" s="3">
        <f>0+(411.6-141.1)+(0+(-0.419832--0.143922))+0-32.8--0.0334560000000052</f>
        <v>237.45754599999998</v>
      </c>
      <c r="Q229" s="3">
        <f>0+(476.7-186.8)+(0+(-0.729351--0.285804))+0-32.2--0.0492660000000019</f>
        <v>257.30571899999995</v>
      </c>
      <c r="R229" s="3">
        <f>0+(487.9-226)+(0+(-0.746487--0.34578))+0-31.9--0.0488070000000018</f>
        <v>229.64809999999997</v>
      </c>
      <c r="S229" s="3">
        <f>0+(445.9-177.9)+(0+(-0.682227--0.272187))+0-32.3--0.0494190000000019</f>
        <v>235.33937900000001</v>
      </c>
      <c r="T229" s="3">
        <f>0+(473.8-221.7)+(0+(-0.483276--0.226134))+0-31.9--0.0325380000000051</f>
        <v>219.97539600000005</v>
      </c>
      <c r="U229" s="3">
        <f>0+(478.9-230.4)+(0+(-0.244239--0.117504))+0-32--0.0163199999999968</f>
        <v>216.38958499999998</v>
      </c>
      <c r="V229" s="3">
        <f>0+(422.3-164.4)+(0+(0.646119-0.251532))+0-32.6-0.0498780000000019</f>
        <v>225.64470899999998</v>
      </c>
      <c r="W229" s="3">
        <f>0+(369-76.7)+(0+(0.56457-0.117351))+0-33-0.0504900000000019</f>
        <v>259.696729</v>
      </c>
      <c r="X229" s="3">
        <f>0+(364.7-72.7)+(0+(0.185997-0.037077))+0-32.8-0.0167279999999967</f>
        <v>259.33219199999996</v>
      </c>
      <c r="Y229" s="3">
        <f>0+(382.4-101.1)+(0+(0-0))+0-29-0</f>
        <v>252.29999999999995</v>
      </c>
      <c r="Z229" s="3">
        <f>0+(390.2-114.7)+(0+(0.398004-0.116994))+0-33-0.0336600000000053</f>
        <v>242.74734999999998</v>
      </c>
      <c r="AA229" s="3">
        <f>0+(434.5-167)+(0+(0-0))+0-32.3-0</f>
        <v>235.2</v>
      </c>
      <c r="AB229" s="3">
        <f>0+(488.5-240.7)+(0+(-0.49827--0.245514))+0-32.6--0.0332520000000052</f>
        <v>214.98049600000002</v>
      </c>
      <c r="AC229" s="3">
        <f>0+(521.2-227.3)+(0+(-0.797436--0.347769))+0-32.8--0.0501840000000019</f>
        <v>260.70051700000005</v>
      </c>
      <c r="AD229">
        <v>255.80000000000004</v>
      </c>
      <c r="AE229" s="3">
        <f>0+(368.1-79.9)+(0+(0-0))+0-32.4-0</f>
        <v>255.80000000000004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0+(460.7-217.3)+(0+(0-0))+0-31.2-0</f>
        <v>212.2</v>
      </c>
      <c r="G230" s="3">
        <f>0+(438.9-191)+(0+(0.447678-0.19482))+0-32-0.0326400000000051</f>
        <v>216.12021799999997</v>
      </c>
      <c r="H230" s="3">
        <f>0+(361.5-110.5)+(0+(0-0))+0-32.2-0</f>
        <v>218.8</v>
      </c>
      <c r="I230" s="3">
        <f>0+(340.6-95.9)+(0+(-0.347412--0.097818))+0-31.9--0.0325380000000051</f>
        <v>212.58294400000003</v>
      </c>
      <c r="J230" s="3">
        <f>0+(315.7-66.4)+(0+(0-0))+0-32-0</f>
        <v>217.29999999999998</v>
      </c>
      <c r="K230" s="3">
        <f>0+(308.8-57.7)+(0+(0.157488-0.029427))+0-32-0.0163199999999968</f>
        <v>219.21174100000002</v>
      </c>
      <c r="L230" s="3">
        <f>0+(389.6-151.2)+(0+(-0.397392--0.154224))+0-32--0.0326400000000051</f>
        <v>206.18947200000005</v>
      </c>
      <c r="M230" s="3">
        <f>0+(556.9-288.3)+(0+(0.284019-0.147033))+0-31.8-0.0162179999999968</f>
        <v>236.92076799999992</v>
      </c>
      <c r="N230" s="3">
        <f>0+(610.1-301.9)+(0+(0.933453-0.461907))+0-31.8-0.0486540000000018</f>
        <v>276.82289200000002</v>
      </c>
      <c r="O230" s="3">
        <f>97+(528.2-311.7)+(-0.04947+(-0.269382--0.158967))+0-31.6--0.0161159999999968</f>
        <v>281.75623100000007</v>
      </c>
      <c r="P230" s="3">
        <f>132.4+(424.8-222.6)+(0.202572+(0.649944-0.340578))+0-31.7-0.0485010000000018</f>
        <v>303.36343700000003</v>
      </c>
      <c r="Q230" s="3">
        <f>131.9+(461.8-283.6)+(0+(0-0))+0-32.3-0</f>
        <v>277.8</v>
      </c>
      <c r="R230" s="3">
        <f>131.4+(557.8-367.8)+(0.067014+(0.284478-0.187578))+0-32.6-0.0166259999999967</f>
        <v>288.94728799999996</v>
      </c>
      <c r="S230" s="3">
        <f>130.8+(661.9-490)+(0.133416+(0.675138-0.4998))+0-32.4-0.0330480000000052</f>
        <v>270.57570600000003</v>
      </c>
      <c r="T230" s="3">
        <f>130.5+(722.5-502)+(0.13311+(0.73695-0.51204))+0-32.8-0.0334560000000052</f>
        <v>318.524564</v>
      </c>
      <c r="U230" s="3">
        <f>130.4+(687.6-486.1)+(-0.066504+(-0.350676--0.247911))+0-27.2--0.0138719999999972</f>
        <v>304.544603</v>
      </c>
      <c r="V230" s="3">
        <f>130.5+(636.1-422.1)+(0+(0-0))+0-32.2-0</f>
        <v>312.3</v>
      </c>
      <c r="W230" s="3">
        <f>131.2+(639.7-419.4)+(0.133824+(0.652494-0.427788))+0-33.2-0.0338640000000053</f>
        <v>318.62466600000005</v>
      </c>
      <c r="X230" s="3">
        <f>133.1+(621.7-404.8)+(0+(0-0))+0-32.7-0</f>
        <v>317.3</v>
      </c>
      <c r="Y230" s="3">
        <f>134.4+(650.7-440.1)+(0+(0-0))+0-32.3-0</f>
        <v>312.7</v>
      </c>
      <c r="Z230" s="3">
        <f>134.3+(609.8-467)+(-0.205479+(-0.932994--0.71451))+0-32.1--0.0491130000000019</f>
        <v>244.62514999999996</v>
      </c>
      <c r="AA230" s="3">
        <f>135.1+(672.1-480.5)+(-0.206703+(-1.028313--0.735165))+0-32.1--0.0491130000000019</f>
        <v>294.14926200000002</v>
      </c>
      <c r="AB230" s="3">
        <f>135.5+(671.6-444.6)+(-0.27642+(-1.370064--0.906984))+0-32.2--0.0656879999999986</f>
        <v>329.62618800000001</v>
      </c>
      <c r="AC230" s="3">
        <f>135.2+(661.7-538.7)+(-0.34476+(-1.687335--1.373685))+0-32.5--0.0828749999999953</f>
        <v>225.12446499999999</v>
      </c>
      <c r="AD230">
        <v>312.3</v>
      </c>
      <c r="AE230" s="3">
        <f>132+(650.7-437.8)+(0+(0-0))+0-32.6-0</f>
        <v>312.3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136.2+(512.9-385.2)+(-0.138924+(-0.523158--0.392904))+0-32.6--0.0332520000000052</f>
        <v>231.06407399999998</v>
      </c>
      <c r="G231" s="3">
        <f>136.6+(314.3-184.3)+(-0.34833+(-0.801465--0.469965))+0-32.1--0.0818549999999953</f>
        <v>233.90202500000004</v>
      </c>
      <c r="H231" s="3">
        <f>66.7+(288.2-87.8)+(0.034017+(0.146982-0.044778))+0-32.7-0.0166769999999967</f>
        <v>234.51954399999997</v>
      </c>
      <c r="I231" s="3">
        <f>50.5+(322.1-99.8)+(-0.077265+(-0.492813--0.152694))+0-32.8--0.0501840000000019</f>
        <v>239.63279999999997</v>
      </c>
      <c r="J231" s="3">
        <f>50.5+(339.6-114.1)+(0.077265+(0.519588-0.174573))+0-32.9-0.0503370000000019</f>
        <v>243.47194299999998</v>
      </c>
      <c r="K231" s="3">
        <f>50.5+(358.3-133.7)+(-0.10302+(-0.730932--0.272748))+0-33--0.0673199999999986</f>
        <v>241.60611600000004</v>
      </c>
      <c r="L231" s="3">
        <f>50.5+(418-188.9)+(-0.10302+(-0.85272--0.385356))+0-32.8--0.0669119999999986</f>
        <v>246.29652800000002</v>
      </c>
      <c r="M231" s="3">
        <f>50.5+(523.4-299.9)+(-0.10302+(-1.067736--0.611796))+0-33--0.0673199999999986</f>
        <v>240.50835999999998</v>
      </c>
      <c r="N231" s="3">
        <f>110.8+(625.1-419.9)+(-0.226032+(-1.275204--0.856596))+0-32.6--0.0665039999999986</f>
        <v>282.82186400000006</v>
      </c>
      <c r="O231" s="3">
        <f>131.4+(623.8-419.2)+(-0.268056+(-1.272552--0.855168))+0-31.5--0.0642599999999986</f>
        <v>303.87882000000002</v>
      </c>
      <c r="P231" s="3">
        <f>131.9+(652.9-469.2)+(0+(0-0))+0-28.8-0</f>
        <v>286.8</v>
      </c>
      <c r="Q231" s="3">
        <f>133.2+(652.8-424.7)+(-0.135864+(-0.665856--0.433194))+0-27.4--0.0279480000000044</f>
        <v>333.55942199999998</v>
      </c>
      <c r="R231" s="3">
        <f>134.2+(656.7-429.8)+(-0.136884+(-0.669834--0.438396))+0-28.7--0.0292740000000046</f>
        <v>332.06095200000004</v>
      </c>
      <c r="S231" s="3">
        <f>134.4+(647.6-435.4)+(-0.137088+(-0.660552--0.444108))+0-30.1--0.0307020000000048</f>
        <v>316.17717000000005</v>
      </c>
      <c r="T231" s="3">
        <f>133.4+(603.7-441.8)+(-0.068034+(-0.307887--0.225318))+0-29.4--0.014993999999997</f>
        <v>265.7643910000001</v>
      </c>
      <c r="U231" s="3">
        <f>106+(572.6-391.9)+(-0.05406+(-0.292026--0.199869))+0-29.1--0.014840999999997</f>
        <v>257.46862400000003</v>
      </c>
      <c r="V231" s="3">
        <f>55.4+(611.6-320.9)+(0.056508+(0.623832-0.327318))+0-28.2-0.0287640000000045</f>
        <v>318.22425800000002</v>
      </c>
      <c r="W231" s="3">
        <f>134.8+(566.9-362.9)+(-0.137496+(-0.578238--0.370158))+0-28.8--0.0293760000000046</f>
        <v>309.68380000000002</v>
      </c>
      <c r="X231" s="3">
        <f>105.9+(597.7-358)+(-0.162027+(-0.914481--0.54774))+0-28.5--0.0436050000000016</f>
        <v>316.61483700000002</v>
      </c>
      <c r="Y231" s="3">
        <f>50.5+(573.6-295.8)+(-0.05151+(-0.585072--0.301716))+0-29.4--0.0299880000000047</f>
        <v>298.59512200000006</v>
      </c>
      <c r="Z231" s="3">
        <f>0+(570.6-259.6)+(0+(-0.291006--0.132396))+0-31.5--0.0160649999999968</f>
        <v>279.35745499999996</v>
      </c>
      <c r="AA231" s="3">
        <f>0+(575.2-266.7)+(0+(-0.880056--0.408051))+0-32.9--0.0503370000000019</f>
        <v>275.17833200000007</v>
      </c>
      <c r="AB231" s="3">
        <f>0+(610.8-294.7)+(0+(-0.623016--0.300594))+0-32.8--0.0334560000000052</f>
        <v>283.01103399999994</v>
      </c>
      <c r="AC231" s="3">
        <f>0+(441-133.1)+(0+(-0.89964--0.271524))+0-32.6--0.0665039999999986</f>
        <v>274.73838799999999</v>
      </c>
      <c r="AD231">
        <v>324.59999999999997</v>
      </c>
      <c r="AE231" s="3">
        <f>134+(583.9-363.6)+(0+(0-0))+0-29.7-0</f>
        <v>324.59999999999997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0+(418.2-115.8)+(0+(-0.213282--0.059058))+0-33.2--0.0169319999999966</f>
        <v>269.06270799999999</v>
      </c>
      <c r="G232" s="3">
        <f>0+(369.3-73.2)+(0+(0.188343-0.037332))+0-33.1-0.0168809999999966</f>
        <v>263.13412999999997</v>
      </c>
      <c r="H232" s="3">
        <f>0+(364.9-80.1)+(0+(0-0))+0-33.4-0</f>
        <v>251.39999999999995</v>
      </c>
      <c r="I232" s="3">
        <f>0+(331.6-39.3)+(0+(-0.338232--0.040086))+0-31.8--0.0324360000000051</f>
        <v>260.23429000000004</v>
      </c>
      <c r="J232" s="3">
        <f>0+(319.9-28)+(0+(0.163149-0.01428))+0-31.7-0.0161669999999968</f>
        <v>260.33270199999998</v>
      </c>
      <c r="K232" s="3">
        <f>0+(303.5-18)+(0+(-0.30957--0.01836))+0-32.5--0.0331500000000052</f>
        <v>252.74194000000003</v>
      </c>
      <c r="L232" s="3">
        <f>0+(321.2-45)+(0+(0.163812-0.02295))+0-32.4-0.0165239999999967</f>
        <v>243.92433800000001</v>
      </c>
      <c r="M232" s="3">
        <f>0+(461.8-205.9)+(0+(-0.235518--0.105009))+0-32.2--0.0164219999999967</f>
        <v>223.58591300000003</v>
      </c>
      <c r="N232" s="3">
        <f>0+(519.3-249.7)+(0+(0.529686-0.254694))+0-31.9-0.0325380000000051</f>
        <v>237.94245399999994</v>
      </c>
      <c r="O232" s="3">
        <f>0+(521.6-242.9)+(0+(-0.266016--0.123879))+0-30.7--0.0156569999999969</f>
        <v>247.87352000000007</v>
      </c>
      <c r="P232" s="3">
        <f>0+(521.3-258.6)+(0+(-1.329315--0.65943))+0-31--0.0790499999999955</f>
        <v>231.1091649999999</v>
      </c>
      <c r="Q232" s="3">
        <f>0+(527.4-254)+(0+(-0.537948--0.25908))+0-31.9--0.0325380000000051</f>
        <v>241.25367</v>
      </c>
      <c r="R232" s="3">
        <f>0+(524.8-265.1)+(0+(-1.070592--0.540804))+0-32--0.0652799999999986</f>
        <v>227.23549199999994</v>
      </c>
      <c r="S232" s="3">
        <f>0+(544.9-289.8)+(0+(-1.111596--0.591192))+0-31.5--0.0642599999999986</f>
        <v>223.14385599999994</v>
      </c>
      <c r="T232" s="3">
        <f>0+(566-329.1)+(0+(-0.28866--0.167841))+0-32.3--0.0164729999999967</f>
        <v>204.49565399999997</v>
      </c>
      <c r="U232" s="3">
        <f>0+(495-245.2)+(0+(0-0))+0-31.5-0</f>
        <v>218.3</v>
      </c>
      <c r="V232" s="3">
        <f>0+(409.1-154.2)+(0+(-0.625923--0.235926))+0-32--0.0489600000000018</f>
        <v>222.55896300000003</v>
      </c>
      <c r="W232" s="3">
        <f>0+(400.4-105.7)+(0+(-0.204204--0.053907))+0-31.8--0.0162179999999968</f>
        <v>262.76592099999993</v>
      </c>
      <c r="X232" s="3">
        <f>0+(394.7-116.8)+(0+(-0.805188--0.238272))+0-32.9--0.0671159999999986</f>
        <v>244.50019999999998</v>
      </c>
      <c r="Y232" s="3">
        <f>0+(441.6-154.3)+(0+(-0.675648--0.236079))+0-34.3--0.052479000000002</f>
        <v>252.61291</v>
      </c>
      <c r="Z232" s="3">
        <f>0+(414.4-130.8)+(0+(-0.634032--0.200124))+0-25.8--0.0394740000000015</f>
        <v>257.40556599999996</v>
      </c>
      <c r="AA232" s="3">
        <f>0+(425-154.1)+(0+(-1.08375--0.392955))+0-19.5--0.0497249999999972</f>
        <v>250.75892999999999</v>
      </c>
      <c r="AB232" s="3">
        <f>0+(413.1-125.2)+(0+(-0.421362--0.127704))+0-31.3--0.031926000000005</f>
        <v>256.33826800000003</v>
      </c>
      <c r="AC232" s="3">
        <f>0+(346.2-76.7)+(0+(-0.88281--0.195585))+0-29.8--0.0759899999999957</f>
        <v>239.08876499999997</v>
      </c>
      <c r="AD232">
        <v>242.60000000000002</v>
      </c>
      <c r="AE232" s="3">
        <f>0+(395.6-119.7)+(0+(0-0))+0-33.3-0</f>
        <v>242.60000000000002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0+(418.2-148.3)+(0+(-0.426564--0.151266))+0-32.8--0.0334560000000052</f>
        <v>236.85815799999995</v>
      </c>
      <c r="G233" s="3">
        <f>0+(452-179.4)+(0+(0-0))+0-33-0</f>
        <v>239.60000000000002</v>
      </c>
      <c r="H233" s="3">
        <f>0+(423.8-171.4)+(0+(-0.432276--0.174828))+0-33.9--0.0345780000000054</f>
        <v>218.27713</v>
      </c>
      <c r="I233" s="3">
        <f>0+(350.3-93.5)+(0+(-0.893265--0.238425))+0-33.3--0.0849149999999952</f>
        <v>222.93007500000002</v>
      </c>
      <c r="J233" s="3">
        <f>0+(354.3-80.9)+(0+(0.180693-0.041259))+0-33.3-0.0169829999999966</f>
        <v>240.22245099999995</v>
      </c>
      <c r="K233" s="3">
        <f>0+(348.6-107.5)+(0+(0-0))+0-28.6-0</f>
        <v>212.50000000000003</v>
      </c>
      <c r="L233" s="3">
        <f>0+(479-237)+(0+(0.48858-0.24174))+0-0-0</f>
        <v>242.24683999999999</v>
      </c>
      <c r="M233" s="3">
        <f>0+(596.7-328)+(0+(0.608634-0.33456))+0-0-0</f>
        <v>268.97407400000003</v>
      </c>
      <c r="N233" s="3">
        <f>0+(640.3-334.5)+(0+(0-0))+0-6.9-0</f>
        <v>298.89999999999998</v>
      </c>
      <c r="O233" s="3">
        <f>0+(585.9-258.5)+(0+(0.597618-0.26367))+0-25.1-0.025602000000004</f>
        <v>302.60834599999998</v>
      </c>
      <c r="P233" s="3">
        <f>0+(533.3-203.6)+(0+(0.271983-0.103836))+0-32.5-0.0165749999999967</f>
        <v>297.35157199999992</v>
      </c>
      <c r="Q233" s="3">
        <f>0+(446.2-106.6)+(0+(0.227562-0.054366))+0-32.5-0.0165749999999967</f>
        <v>307.25662100000005</v>
      </c>
      <c r="R233" s="3">
        <f>0+(453.9-115.4)+(0+(-0.925956--0.235416))+0-32.6--0.0665039999999986</f>
        <v>305.27596399999999</v>
      </c>
      <c r="S233" s="3">
        <f>0+(465.5-140.6)+(0+(-0.94962--0.286824))+0-32.5--0.0662999999999986</f>
        <v>291.80350399999998</v>
      </c>
      <c r="T233" s="3">
        <f>0+(476.4-140.4)+(0+(-0.728892--0.214812))+0-32.3--0.0494190000000019</f>
        <v>303.23533900000001</v>
      </c>
      <c r="U233" s="3">
        <f>0+(443.5-128)+(0+(-0.226185--0.06528))+0-29.9--0.015248999999997</f>
        <v>285.45434399999999</v>
      </c>
      <c r="V233" s="3">
        <f>0+(380.5-38.2)+(0+(0.194055-0.019482))+0-33.2-0.0169319999999966</f>
        <v>309.25764100000004</v>
      </c>
      <c r="W233" s="3">
        <f>0+(350.8-0)+(0+(-0.357816-0))+0-32.3--0.0329460000000051</f>
        <v>318.17512999999997</v>
      </c>
      <c r="X233" s="3">
        <f>0+(319.2-0)+(0+(-0.976752-0))+0-31.7--0.0970020000000037</f>
        <v>286.62025000000006</v>
      </c>
      <c r="Y233" s="3">
        <f>0+(330.6-3)+(0+(-0.505818--0.00459))+0-33.5--0.0512550000000019</f>
        <v>293.65002700000002</v>
      </c>
      <c r="Z233" s="3">
        <f>0+(326.9-23.1)+(0+(-0.166719--0.011781))+0-33.7--0.0171869999999966</f>
        <v>269.96224899999993</v>
      </c>
      <c r="AA233" s="3">
        <f>0+(370.6-97.3)+(0+(-0.94503--0.248115))+0-33.1--0.0844049999999952</f>
        <v>239.58749000000003</v>
      </c>
      <c r="AB233" s="3">
        <f>0+(387.3-10.2)+(0+(-0.592569--0.015606))+0-32.9--0.0503370000000019</f>
        <v>343.67337400000008</v>
      </c>
      <c r="AC233" s="3">
        <f>0+(341-0)+(0+(-0.34782-0))+0-31.2--0.031824000000005</f>
        <v>309.48400400000003</v>
      </c>
      <c r="AD233">
        <v>317.5</v>
      </c>
      <c r="AE233" s="3">
        <f>0+(349.9-0)+(0+(0-0))+0-32.4-0</f>
        <v>317.5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0+(355.7-51.8)+(0+(-0.181407--0.026418))+0-31.1--0.0158609999999968</f>
        <v>272.66087199999993</v>
      </c>
      <c r="G234" s="3">
        <f>0+(387.2-95.8)+(0+(-0.98736--0.24429))+0-33.1--0.0844049999999952</f>
        <v>257.64133499999997</v>
      </c>
      <c r="H234" s="3">
        <f>0+(410.9-100.2)+(0+(-0.209559--0.051102))+0-33.1--0.0168809999999966</f>
        <v>277.45842399999998</v>
      </c>
      <c r="I234" s="3">
        <f>0+(375.4-90.5)+(0+(-0.765816--0.18462))+0-33.1--0.0675239999999986</f>
        <v>251.286328</v>
      </c>
      <c r="J234" s="3">
        <f>0+(383.3-99.2)+(0+(-0.195483--0.050592))+0-33--0.0168299999999967</f>
        <v>250.97193900000005</v>
      </c>
      <c r="K234" s="3">
        <f>0+(433.2-140.6)+(0+(-0.220932--0.071706))+0-33.2--0.0169319999999966</f>
        <v>259.26770600000003</v>
      </c>
      <c r="L234" s="3">
        <f>0+(468.3-172.3)+(0+(-0.238833--0.087873))+0-33.7--0.0171869999999966</f>
        <v>262.16622699999999</v>
      </c>
      <c r="M234" s="3">
        <f>0+(530.4-213.8)+(0+(0-0))+0-33.5-0</f>
        <v>283.09999999999997</v>
      </c>
      <c r="N234" s="3">
        <f>0+(573.8-241.1)+(0+(-0.292638--0.122961))+0-33.4--0.0170339999999966</f>
        <v>299.147357</v>
      </c>
      <c r="O234" s="3">
        <f>0+(567.1-246.9)+(0+(-0.578442--0.251838))+0-33.3--0.0339660000000053</f>
        <v>286.60736200000008</v>
      </c>
      <c r="P234" s="3">
        <f>0+(613.2-277.2)+(0+(0-0))+0-33.4-0</f>
        <v>302.60000000000008</v>
      </c>
      <c r="Q234" s="3">
        <f>0+(636.6-302.2)+(0+(-0.324666--0.154122))+0-33--0.0168299999999967</f>
        <v>301.246286</v>
      </c>
      <c r="R234" s="3">
        <f>0+(685.2-335.2)+(0+(-0.349452--0.170952))+0-33.2--0.0169319999999966</f>
        <v>316.63843200000008</v>
      </c>
      <c r="S234" s="3">
        <f>0+(634.1-303.4)+(0+(-0.970173--0.464202))+0-33.1--0.0506430000000019</f>
        <v>297.14467200000001</v>
      </c>
      <c r="T234" s="3">
        <f>0+(661.5-312.4)+(0+(0.337365-0.159324))+0-33.4-0.0170339999999966</f>
        <v>315.86100700000003</v>
      </c>
      <c r="U234" s="3">
        <f>0+(608.9-295.2)+(0+(-0.621078--0.301104))+0-33.4--0.0340680000000053</f>
        <v>280.014094</v>
      </c>
      <c r="V234" s="3">
        <f>0+(508.4-182)+(0+(0-0))+0-33.3-0</f>
        <v>293.09999999999997</v>
      </c>
      <c r="W234" s="3">
        <f>0+(451.9-85.2)+(0+(-0.460938--0.086904))+0-33.3--0.0339660000000053</f>
        <v>333.059932</v>
      </c>
      <c r="X234" s="3">
        <f>0+(476.4-121.4)+(0+(-0.728892--0.185742))+0-33.2--0.0507960000000019</f>
        <v>321.30764599999998</v>
      </c>
      <c r="Y234" s="3">
        <f>0+(469.9-120.6)+(0+(-0.958596--0.246024))+0-33.6--0.0685439999999985</f>
        <v>315.05597199999988</v>
      </c>
      <c r="Z234" s="3">
        <f>0+(525.2-200)+(0+(-0.267852--0.102))+0-33.3--0.0169829999999966</f>
        <v>291.75113100000004</v>
      </c>
      <c r="AA234" s="3">
        <f>0+(634.2-304.4)+(0+(-0.970326--0.465732))+0-32.8--0.0501840000000019</f>
        <v>296.54559000000006</v>
      </c>
      <c r="AB234" s="3">
        <f>0+(450.6-133.3)+(0+(0-0))+0-32.8-0</f>
        <v>284.5</v>
      </c>
      <c r="AC234" s="3">
        <f>0+(411.2-109.4)+(0+(-1.04856--0.27897))+0-33--0.0841499999999952</f>
        <v>268.11455999999998</v>
      </c>
      <c r="AD234">
        <v>323.89999999999998</v>
      </c>
      <c r="AE234" s="3">
        <f>0+(461.7-104.7)+(0+(0-0))+0-33.1-0</f>
        <v>323.89999999999998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0+(333.2-36.8)+(0+(0-0))+0-32.9-0</f>
        <v>263.5</v>
      </c>
      <c r="G235" s="3">
        <f>0+(341.9-55.3)+(0+(0-0))+0-32.9-0</f>
        <v>253.69999999999996</v>
      </c>
      <c r="H235" s="3">
        <f>0+(320.5-37)+(0+(-0.163455--0.01887))+0-33--0.0168299999999967</f>
        <v>250.37224499999999</v>
      </c>
      <c r="I235" s="3">
        <f>0+(314.6-25.7)+(0+(0-0))+0-33-0</f>
        <v>255.90000000000003</v>
      </c>
      <c r="J235" s="3">
        <f>0+(328.3-36)+(0+(0.167433-0.01836))+0-33.2-0.0169319999999966</f>
        <v>259.23214100000001</v>
      </c>
      <c r="K235" s="3">
        <f>0+(318-26)+(0+(0.8109-0.0663))+0-33.7-0.0859349999999951</f>
        <v>258.958665</v>
      </c>
      <c r="L235" s="3">
        <f>0+(323.9-31)+(0+(-0.495567--0.04743))+0-33.6--0.0514080000000019</f>
        <v>258.90327099999996</v>
      </c>
      <c r="M235" s="3">
        <f>0+(363.7-54)+(0+(0.556461-0.08262))+0-33.5-0.0512550000000019</f>
        <v>276.62258599999996</v>
      </c>
      <c r="N235" s="3">
        <f>0+(419.9-102.2)+(0+(0.856596-0.208488))+0-33.9-0.0691559999999985</f>
        <v>284.37895199999997</v>
      </c>
      <c r="O235" s="3">
        <f>0+(431.1-97.7)+(0+(-0.219861--0.049827))+0-33.9--0.0172889999999966</f>
        <v>299.34725500000008</v>
      </c>
      <c r="P235" s="3">
        <f>0+(435.9-109.7)+(0+(-0.222309--0.055947))+0-34.1--0.0173909999999965</f>
        <v>291.95102899999995</v>
      </c>
      <c r="Q235" s="3">
        <f>0+(448.8-124.9)+(0+(0-0))+0-33.6-0</f>
        <v>290.29999999999995</v>
      </c>
      <c r="R235" s="3">
        <f>0+(427-105.2)+(0+(-1.08885--0.26826))+0-33.8--0.0861899999999951</f>
        <v>287.26560000000001</v>
      </c>
      <c r="S235" s="3">
        <f>0+(374.8-68.8)+(0+(-0.573444--0.105264))+0-32.4--0.0495720000000019</f>
        <v>273.18139200000002</v>
      </c>
      <c r="T235" s="3">
        <f>0+(381.3-80.5)+(0+(0.583389-0.123165))+0-33.4-0.0511020000000019</f>
        <v>267.809122</v>
      </c>
      <c r="U235" s="3">
        <f>0+(375.6-76.2)+(0+(-0.383112--0.077724))+0-33.3--0.0339660000000053</f>
        <v>265.82857800000005</v>
      </c>
      <c r="V235" s="3">
        <f>0+(381-70.4)+(0+(-0.19431--0.035904))+0-33.6--0.0171359999999966</f>
        <v>276.85872999999998</v>
      </c>
      <c r="W235" s="3">
        <f>0+(399.5-70)+(0+(0.40749-0.0714))+0-34-0.0346800000000054</f>
        <v>295.80141000000003</v>
      </c>
      <c r="X235" s="3">
        <f>0+(355.7-28)+(0+(-0.181407--0.01428))+0-33.7--0.0171869999999966</f>
        <v>293.85005999999998</v>
      </c>
      <c r="Y235" s="3">
        <f>0+(361.7-34.6)+(0+(0-0))+0-33.9-0</f>
        <v>293.2</v>
      </c>
      <c r="Z235" s="3">
        <f>0+(414.7-94.6)+(0+(-0.845988--0.192984))+0-33.6--0.0685439999999985</f>
        <v>285.91553999999996</v>
      </c>
      <c r="AA235" s="3">
        <f>0+(529.3-217.9)+(0+(-0.539886--0.222258))+0-33.5--0.0341700000000053</f>
        <v>277.61654199999998</v>
      </c>
      <c r="AB235" s="3">
        <f>0+(549.9-245.1)+(0+(-0.841347--0.375003))+0-33.4--0.0511020000000019</f>
        <v>270.984758</v>
      </c>
      <c r="AC235" s="3">
        <f>0+(433.1-138.2)+(0+(-0.220881--0.070482))+0-33.4--0.0170339999999966</f>
        <v>261.36663500000009</v>
      </c>
      <c r="AD235">
        <v>357</v>
      </c>
      <c r="AE235" s="3">
        <f>0+(397.9-7)+(0+(0-0))+0-33.9-0</f>
        <v>357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0+(366.1-71.5)+(0+(-0.373422--0.07293))+0-33.5--0.0341700000000053</f>
        <v>260.83367800000002</v>
      </c>
      <c r="G236" s="3">
        <f>0+(330.5-42.4)+(0+(0-0))+0-33.3-0</f>
        <v>254.8</v>
      </c>
      <c r="H236" s="3">
        <f>0+(354.2-75.7)+(0+(0.722568-0.154428))+0-32.9-0.0671159999999986</f>
        <v>246.10102400000002</v>
      </c>
      <c r="I236" s="3">
        <f>0+(339.5-63)+(0+(0.69258-0.12852))+0-33.1-0.0675239999999986</f>
        <v>243.896536</v>
      </c>
      <c r="J236" s="3">
        <f>0+(319.5-38.7)+(0+(0-0))+0-32.9-0</f>
        <v>247.9</v>
      </c>
      <c r="K236" s="3">
        <f>0+(298.3-15.9)+(0+(0.456399-0.024327))+0-33.1-0.0506430000000019</f>
        <v>249.68142900000004</v>
      </c>
      <c r="L236" s="3">
        <f>0+(298.6-35)+(0+(0-0))+0-32.9-0</f>
        <v>230.70000000000002</v>
      </c>
      <c r="M236" s="3">
        <f>0+(315.3-45.1)+(0+(0.160803-0.023001))+0-32.8-0.0167279999999967</f>
        <v>237.521074</v>
      </c>
      <c r="N236" s="3">
        <f>0+(362-109.6)+(0+(0.18462-0.055896))+0-33-0.0168299999999967</f>
        <v>219.51189400000001</v>
      </c>
      <c r="O236" s="3">
        <f>0+(356.7-92.4)+(0+(0.545751-0.141372))+0-33.1-0.0506430000000019</f>
        <v>231.55373599999996</v>
      </c>
      <c r="P236" s="3">
        <f>0+(421.3-130.8)+(0+(-0.429726--0.133416))+0-33.1--0.0337620000000053</f>
        <v>257.137452</v>
      </c>
      <c r="Q236" s="3">
        <f>0+(420.1-139.2)+(0+(0.428502-0.141984))+0-33.6-0.0342720000000054</f>
        <v>247.55224600000003</v>
      </c>
      <c r="R236" s="3">
        <f>0+(388.2-113.3)+(0+(-0.791928--0.231132))+0-33.3--0.0679319999999985</f>
        <v>241.10713599999997</v>
      </c>
      <c r="S236" s="3">
        <f>0+(383.9-112.2)+(0+(0-0))+0-34-0</f>
        <v>237.7</v>
      </c>
      <c r="T236" s="3">
        <f>0+(379.4-107.4)+(0+(-0.773976--0.219096))+0-33.5--0.0683399999999985</f>
        <v>238.01345999999998</v>
      </c>
      <c r="U236" s="3">
        <f>0+(371.9-105.3)+(0+(-0.189669--0.053703))+0-33.2--0.0169319999999966</f>
        <v>233.28096599999998</v>
      </c>
      <c r="V236" s="3">
        <f>0+(369-107.7)+(0+(-0.18819--0.054927))+0-33.4--0.0170339999999966</f>
        <v>227.783771</v>
      </c>
      <c r="W236" s="3">
        <f>0+(441.5-121)+(0+(0.225165-0.06171))+0-33.3-0.0169829999999966</f>
        <v>287.34647200000001</v>
      </c>
      <c r="X236" s="3">
        <f>0+(453.1-140)+(0+(-0.462162--0.1428))+0-33--0.0336600000000053</f>
        <v>279.81429800000001</v>
      </c>
      <c r="Y236" s="3">
        <f>0+(449.1-142)+(0+(-0.229041--0.07242))+0-33.3--0.0169829999999966</f>
        <v>273.66036200000002</v>
      </c>
      <c r="Z236" s="3">
        <f>0+(412.1-106)+(0+(-0.630513--0.16218))+0-33.5--0.0512550000000019</f>
        <v>272.18292200000008</v>
      </c>
      <c r="AA236" s="3">
        <f>0+(330.7-34.7)+(0+(-0.168657--0.017697))+0-33.1--0.0168809999999966</f>
        <v>262.76592099999999</v>
      </c>
      <c r="AB236" s="3">
        <f>0+(315.4-21)+(0+(-0.482562--0.03213))+0-33--0.0504900000000019</f>
        <v>261.00005800000002</v>
      </c>
      <c r="AC236" s="3">
        <f>0+(382.2-99.1)+(0+(-0.389844--0.101082))+0-32.7--0.0333540000000052</f>
        <v>250.14459200000002</v>
      </c>
      <c r="AD236">
        <v>286.2</v>
      </c>
      <c r="AE236" s="3">
        <f>0+(466.5-148)+(0+(0-0))+0-32.3-0</f>
        <v>286.2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0+(368.4-85.6)+(0+(0.375768-0.087312))+0-33.3-0.0339660000000053</f>
        <v>249.75448999999995</v>
      </c>
      <c r="G237" s="3">
        <f>0+(322.4-49.7)+(0+(0-0))+0-32.8-0</f>
        <v>239.89999999999998</v>
      </c>
      <c r="H237" s="3">
        <f>0+(337.6-64.8)+(0+(-0.344352--0.066096))+0-33.2--0.0338640000000053</f>
        <v>239.35560800000002</v>
      </c>
      <c r="I237" s="3">
        <f>0+(324.5-51.4)+(0+(-0.496485--0.078642))+0-33.3--0.0509490000000019</f>
        <v>239.43310600000001</v>
      </c>
      <c r="J237" s="3">
        <f>0+(323.9-50.6)+(0+(-0.330378--0.051612))+0-33.2--0.0338640000000053</f>
        <v>239.85509799999994</v>
      </c>
      <c r="K237" s="3">
        <f>0+(345-67.7)+(0+(0.17595-0.034527))+0-33.3-0.0169829999999966</f>
        <v>244.12443999999996</v>
      </c>
      <c r="L237" s="3">
        <f>0+(520.5-233)+(0+(0.265455-0.11883))+0-33.6-0.0171359999999966</f>
        <v>254.02948899999998</v>
      </c>
      <c r="M237" s="3">
        <f>0+(559.4-258.7)+(0+(0-0))+0-33.1-0</f>
        <v>267.59999999999997</v>
      </c>
      <c r="N237" s="3">
        <f>0+(649-294.3)+(0+(0.99297-0.450279))+0-33.5-0.0512550000000019</f>
        <v>321.69143599999995</v>
      </c>
      <c r="O237" s="3">
        <f>0+(586.8-244.6)+(0+(0.299268-0.124746))+0-33.9-0.0172889999999966</f>
        <v>308.45723299999997</v>
      </c>
      <c r="P237" s="3">
        <f>0+(633-294.8)+(0+(-0.64566--0.300696))+0-33.8--0.0344760000000054</f>
        <v>304.08951199999996</v>
      </c>
      <c r="Q237" s="3">
        <f>105.7+(605.4-353.6)+(-0.161721+(-0.926262--0.541008))+0-33.6--0.0514080000000019</f>
        <v>323.40443299999993</v>
      </c>
      <c r="R237" s="3">
        <f>131+(594.3-369.2)+(-0.06681+(-0.303093--0.188292))+0-33.5--0.0170849999999966</f>
        <v>322.435474</v>
      </c>
      <c r="S237" s="3">
        <f>130.7+(571.4-380.8)+(-0.133314+(-0.582828--0.388416))+0-32.8--0.0334560000000052</f>
        <v>288.20572999999996</v>
      </c>
      <c r="T237" s="3">
        <f>131.1+(621.9-373.8)+(0+(0-0))+0-33.1-0</f>
        <v>346.09999999999991</v>
      </c>
      <c r="U237" s="3">
        <f>132.9+(601.1-340.5)+(0.135558+(0.613122-0.34731))+0-32.9-0.0335580000000052</f>
        <v>360.96781199999998</v>
      </c>
      <c r="V237" s="3">
        <f>134.3+(469.1-278.4)+(0.136986+(0.478482-0.283968))+0-33-0.0336600000000053</f>
        <v>292.29784000000006</v>
      </c>
      <c r="W237" s="3">
        <f>134.2+(420-185.9)+(0.136884+(0.4284-0.189618))+0-33-0.0336600000000053</f>
        <v>335.64200599999998</v>
      </c>
      <c r="X237" s="3">
        <f>133.4+(499.5-269.8)+(-0.34017+(-1.273725--0.68799))+0-33--0.0841499999999952</f>
        <v>329.25824500000004</v>
      </c>
      <c r="Y237" s="3">
        <f>130.8+(470-263.8)+(-0.133416+(-0.4794--0.269076))+0-33--0.0336600000000053</f>
        <v>303.68991999999997</v>
      </c>
      <c r="Z237" s="3">
        <f>109.1+(482-251.4)+(-0.333846+(-1.47492--0.769284))+0-34--0.104040000000004</f>
        <v>304.76455799999997</v>
      </c>
      <c r="AA237" s="3">
        <f>32.2+(518.4-219.8)+(-0.032844+(-0.528768--0.224196))+0-33--0.0336600000000053</f>
        <v>297.49624399999993</v>
      </c>
      <c r="AB237" s="3">
        <f>0+(424.4-106)+(0+(-0.649332--0.16218))+0-33--0.0504900000000019</f>
        <v>284.96333800000002</v>
      </c>
      <c r="AC237" s="3">
        <f>0+(380.4-70.9)+(0+(-0.388008--0.072318))+0-33--0.0336600000000053</f>
        <v>276.21796999999998</v>
      </c>
      <c r="AD237">
        <v>324.49999999999994</v>
      </c>
      <c r="AE237" s="3">
        <f>133+(500.3-275.8)+(0+(0-0))+0-33-0</f>
        <v>324.5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0+(308.7-10.8)+(0+(0-0))+0-32-0</f>
        <v>265.89999999999998</v>
      </c>
      <c r="G238" s="3">
        <f>0+(291.5-2)+(0+(-0.29733--0.00204))+0-32--0.0326400000000051</f>
        <v>257.23734999999999</v>
      </c>
      <c r="H238" s="3">
        <f>0+(307.3-19)+(0+(-0.313446--0.01938))+0-32--0.0326400000000051</f>
        <v>256.03857400000004</v>
      </c>
      <c r="I238" s="3">
        <f>0+(299.5-1.2)+(0+(0.30549-0.001224))+0-32-0.0326400000000051</f>
        <v>266.57162599999998</v>
      </c>
      <c r="J238" s="3">
        <f>0+(308.8-31)+(0+(0.157488-0.01581))+0-32-0.0163199999999968</f>
        <v>245.92535800000002</v>
      </c>
      <c r="K238" s="3">
        <f>0+(317-14)+(0+(0.32334-0.01428))+0-32-0.0326400000000051</f>
        <v>271.27641999999997</v>
      </c>
      <c r="L238" s="3">
        <f>0+(394.1-35.1)+(0+(0.602973-0.053703))+0-33-0.0504900000000019</f>
        <v>326.49877999999995</v>
      </c>
      <c r="M238" s="3">
        <f>0+(403.3-42.9)+(0+(0.411366-0.043758))+0-33-0.0336600000000053</f>
        <v>327.73394800000005</v>
      </c>
      <c r="N238" s="3">
        <f>0+(410.2-63.1)+(0+(0.209202-0.032181))+0-33.1-0.0168809999999966</f>
        <v>314.16013999999996</v>
      </c>
      <c r="O238" s="3">
        <f>0+(405.9-30)+(0+(0-0))+0-33.1-0</f>
        <v>342.79999999999995</v>
      </c>
      <c r="P238" s="3">
        <f>0+(423.3-86.9)+(0+(-0.215883--0.044319))+0-33.2--0.0169319999999966</f>
        <v>303.045368</v>
      </c>
      <c r="Q238" s="3">
        <f>0+(481.6-130.5)+(0+(-0.736848--0.199665))+0-33.1--0.0506430000000019</f>
        <v>317.51345999999995</v>
      </c>
      <c r="R238" s="3">
        <f>0+(459.3-131.1)+(0+(0-0))+0-32.8-0</f>
        <v>295.40000000000003</v>
      </c>
      <c r="S238" s="3">
        <f>0+(483.1-171.1)+(0+(0.246381-0.087261))+0-32.9-0.0167789999999967</f>
        <v>279.24234100000001</v>
      </c>
      <c r="T238" s="3">
        <f>0+(586.5-250.2)+(0+(0.59823-0.255204))+0-32.4-0.0330480000000052</f>
        <v>304.20997800000004</v>
      </c>
      <c r="U238" s="3">
        <f>0+(592.3-259.1)+(0+(0.302073-0.132141))+0-32.1-0.0163709999999967</f>
        <v>301.25356099999993</v>
      </c>
      <c r="V238" s="3">
        <f>0+(545.6-205.4)+(0+(0.834768-0.314262))+0-32.3-0.0494190000000019</f>
        <v>308.37108700000005</v>
      </c>
      <c r="W238" s="3">
        <f>0+(541.6-186)+(0+(0-0))+0-30.7-0</f>
        <v>324.90000000000003</v>
      </c>
      <c r="X238" s="3">
        <f>0+(567.2-220.2)+(0+(-0.578544--0.224604))+0-32.3--0.0329460000000051</f>
        <v>314.379006</v>
      </c>
      <c r="Y238" s="3">
        <f>0+(570.9-232.7)+(0+(-0.291159--0.118677))+0-29.4--0.014993999999997</f>
        <v>308.64251200000001</v>
      </c>
      <c r="Z238" s="3">
        <f>0+(576.3-245.5)+(0+(-0.293913--0.125205))+0-33--0.0168299999999967</f>
        <v>297.64812199999994</v>
      </c>
      <c r="AA238" s="3">
        <f>0+(590.2-265.1)+(0+(-0.602004--0.270402))+0-33--0.0336600000000053</f>
        <v>291.80205800000005</v>
      </c>
      <c r="AB238" s="3">
        <f>0+(607.4-302.5)+(0+(0-0))+0-32.9-0</f>
        <v>272</v>
      </c>
      <c r="AC238" s="3">
        <f>0+(579.2-271.2)+(0+(0.590784-0.276624))+0-26.3-0.0268260000000042</f>
        <v>281.98733400000003</v>
      </c>
      <c r="AD238">
        <v>331.9</v>
      </c>
      <c r="AE238" s="3">
        <f>0+(586.5-222)+(0+(0-0))+0-32.6-0</f>
        <v>331.9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0+(527.2-218.7)+(0+(-0.268872--0.111537))+0-32--0.0163199999999968</f>
        <v>276.35898500000008</v>
      </c>
      <c r="G239" s="3">
        <f>0+(482.6-187.4)+(0+(-0.246126--0.095574))+0-31.7--0.0161669999999968</f>
        <v>263.36561500000005</v>
      </c>
      <c r="H239" s="3">
        <f>0+(428.4-130)+(0+(-0.873936--0.2652))+0-32--0.0652799999999986</f>
        <v>265.85654399999993</v>
      </c>
      <c r="I239" s="3">
        <f>0+(402.9-108.1)+(0+(1.027395-0.275655))+0-32.5-0.0828749999999953</f>
        <v>262.96886499999994</v>
      </c>
      <c r="J239" s="3">
        <f>0+(438.4-137.4)+(0+(0-0))+0-32.8-0</f>
        <v>268.2</v>
      </c>
      <c r="K239" s="3">
        <f>0+(465.4-174.1)+(0+(-0.949416--0.355164))+0-32.6--0.0665039999999986</f>
        <v>258.17225199999996</v>
      </c>
      <c r="L239" s="3">
        <f>2.5+(568.4-274.5)+(0.00255+(0.579768-0.27999))+0-32.6-0.0332520000000052</f>
        <v>264.06907599999994</v>
      </c>
      <c r="M239" s="3">
        <f>50.5+(606.6-327)+(0.077265+(0.928098-0.50031))+0-32.9-0.0503370000000019</f>
        <v>297.65471600000001</v>
      </c>
      <c r="N239" s="3">
        <f>101.8+(571.8-334.5)+(0.103836+(0.583236-0.34119))+0-33.1-0.0337620000000053</f>
        <v>306.31211999999994</v>
      </c>
      <c r="O239" s="3">
        <f>136.3+(561.1-339.8)+(0.208539+(0.858483-0.519894))+0-32.8-0.0501840000000019</f>
        <v>325.296944</v>
      </c>
      <c r="P239" s="3">
        <f>136.2+(550.6-345.6)+(0.069462+(0.280806-0.176256))+0-32.4-0.0165239999999967</f>
        <v>308.95748800000001</v>
      </c>
      <c r="Q239" s="3">
        <f>225.6+(508.9-384.5)+(-0.57528+(-1.297695--0.980475))+0-33--0.0841499999999952</f>
        <v>316.19165000000004</v>
      </c>
      <c r="R239" s="3">
        <f>252.3+(490.6-390.4)+(-0.643365+(-1.25103--0.99552))+0-32.9--0.0838949999999952</f>
        <v>318.78502000000009</v>
      </c>
      <c r="S239" s="3">
        <f>186.5+(491.6-335.2)+(-0.095115+(-0.250716--0.170952))+0-32.7--0.0166769999999967</f>
        <v>310.04179800000009</v>
      </c>
      <c r="T239" s="3">
        <f>186.5+(493.9-346.9)+(0.095115+(0.251889-0.176919))+0-32.3-0.0164729999999967</f>
        <v>301.35361199999994</v>
      </c>
      <c r="U239" s="3">
        <f>186.7+(478.1-339.4)+(0+(0-0))+0-30.5-0</f>
        <v>294.90000000000003</v>
      </c>
      <c r="V239" s="3">
        <f>194.9+(411.9-260.4)+(-0.099399+(-0.210069--0.132804))+0-32.9--0.0167789999999967</f>
        <v>313.34011499999997</v>
      </c>
      <c r="W239" s="3">
        <f>272.2+(351.4-269.6)+(0+(0-0))+0-33-0</f>
        <v>320.99999999999994</v>
      </c>
      <c r="X239" s="3">
        <f>273.2+(451.4-361.7)+(-0.417996+(-0.690642--0.553401))+0-32.7--0.0500310000000019</f>
        <v>329.694794</v>
      </c>
      <c r="Y239" s="3">
        <f>235.9+(480.8-390.3)+(-0.360927+(-0.735624--0.597159))+0-32.9--0.0503370000000019</f>
        <v>293.05094500000001</v>
      </c>
      <c r="Z239" s="3">
        <f>94.8+(563.1-299.9)+(-0.145044+(-0.861543--0.458847))+0-33.3--0.0509490000000019</f>
        <v>324.20320900000007</v>
      </c>
      <c r="AA239" s="3">
        <f>6+(554.3-261.1)+(-0.00612+(-0.565386--0.266322))+0-32.3--0.0329460000000051</f>
        <v>266.6277619999999</v>
      </c>
      <c r="AB239" s="3">
        <f>0+(551.1-247.1)+(0+(-0.843183--0.378063))+0-32.1--0.0491130000000019</f>
        <v>271.48399299999994</v>
      </c>
      <c r="AC239" s="3">
        <f>0+(574.6-279.6)+(0+(-0.293046--0.142596))+0-33.1--0.0168809999999966</f>
        <v>261.76643100000001</v>
      </c>
      <c r="AD239">
        <v>328.50000000000006</v>
      </c>
      <c r="AE239" s="3">
        <f>272+(355.7-266.3)+(0+(0-0))+0-32.9-0</f>
        <v>328.5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0+(609.8-297.7)+(0+(0.310998-0.151827))+0-33.2-0.0169319999999966</f>
        <v>279.042239</v>
      </c>
      <c r="G240" s="3">
        <f>0+(473-182.3)+(0+(0.24123-0.092973))+0-33-0.0168299999999967</f>
        <v>257.83142700000002</v>
      </c>
      <c r="H240" s="3">
        <f>0+(414-137.4)+(0+(0-0))+0-33.1-0</f>
        <v>243.50000000000003</v>
      </c>
      <c r="I240" s="3">
        <f>0+(412-136.3)+(0+(0-0))+0-33.1-0</f>
        <v>242.6</v>
      </c>
      <c r="J240" s="3">
        <f>0+(414.1-140.3)+(0+(0.211191-0.071553))+0-33-0.0168299999999967</f>
        <v>240.922808</v>
      </c>
      <c r="K240" s="3">
        <f>0+(424.8-154)+(0+(0.433296-0.15708))+0-33-0.0336600000000053</f>
        <v>238.04255599999999</v>
      </c>
      <c r="L240" s="3">
        <f>0+(463.8-197.5)+(0+(-0.473076--0.20145))+0-32.6--0.0332520000000052</f>
        <v>233.461626</v>
      </c>
      <c r="M240" s="3">
        <f>0+(458.3-185.5)+(0+(-0.233733--0.094605))+0-32.6--0.0166259999999967</f>
        <v>240.07749799999999</v>
      </c>
      <c r="N240" s="3">
        <f>0+(693.2-420.7)+(0+(0-0))+0-32.8-0</f>
        <v>239.70000000000005</v>
      </c>
      <c r="O240" s="3">
        <f>0+(711-421.6)+(0+(0.36261-0.215016))+0-32.9-0.0167789999999967</f>
        <v>256.63081500000004</v>
      </c>
      <c r="P240" s="3">
        <f>0+(743.5-432.8)+(0+(1.137555-0.662184))+0-33.1-0.0506430000000019</f>
        <v>278.02472799999998</v>
      </c>
      <c r="Q240" s="3">
        <f>0+(682.7-413.9)+(0+(0.696354-0.422178))+0-33-0.0336600000000053</f>
        <v>236.04051600000008</v>
      </c>
      <c r="R240" s="3">
        <f>0+(707.6-409.7)+(0+(-2.165256--1.253682))+0-32.9--0.100674000000004</f>
        <v>264.18910000000011</v>
      </c>
      <c r="S240" s="3">
        <f>0+(771.4-474.4)+(0+(-1.573656--0.967776))+0-32.8--0.0669119999999986</f>
        <v>263.66103199999998</v>
      </c>
      <c r="T240" s="3">
        <f>0+(779.1-535.4)+(0+(0-0))+0-32.3-0</f>
        <v>211.40000000000003</v>
      </c>
      <c r="U240" s="3">
        <f>0+(773.6-478.5)+(0+(0.394536-0.244035))+0-30.5-0.0155549999999969</f>
        <v>264.73494600000004</v>
      </c>
      <c r="V240" s="3">
        <f>0+(749.2-359.8)+(0+(-0.382092--0.183498))+0-30.2--0.0154019999999969</f>
        <v>359.01680800000003</v>
      </c>
      <c r="W240" s="3">
        <f>0+(575.1-259.7)+(0+(0-0))+0-32.3-0</f>
        <v>283.10000000000002</v>
      </c>
      <c r="X240" s="3">
        <f>0+(600.4-274.3)+(0+(-0.918612--0.419679))+0-33.3--0.0509490000000019</f>
        <v>292.35201599999994</v>
      </c>
      <c r="Y240" s="3">
        <f>0+(629-333.7)+(0+(0-0))+0-33.5-0</f>
        <v>261.8</v>
      </c>
      <c r="Z240" s="3">
        <f>0+(688.7-385.9)+(0+(-0.702474--0.393618))+0-33.2--0.0338640000000053</f>
        <v>269.32500800000008</v>
      </c>
      <c r="AA240" s="3">
        <f>0+(620.9-327.9)+(0+(-0.633318--0.334458))+0-33.2--0.0338640000000053</f>
        <v>259.53500400000001</v>
      </c>
      <c r="AB240" s="3">
        <f>0+(604.9-301)+(0+(-0.925497--0.46053))+0-33--0.0504900000000019</f>
        <v>270.485523</v>
      </c>
      <c r="AC240" s="3">
        <f>0+(602.2-333.7)+(0+(-0.921366--0.510561))+0-32.8--0.0501840000000019</f>
        <v>235.33937900000006</v>
      </c>
      <c r="AD240">
        <v>268.10000000000002</v>
      </c>
      <c r="AE240" s="3">
        <f>0+(539.7-240.6)+(0+(0-0))+0-31-0</f>
        <v>268.10000000000002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0+(586.6-289.3)+(0+(-0.897498--0.442629))+0-32.4--0.0495720000000019</f>
        <v>264.49470300000007</v>
      </c>
      <c r="G241" s="3">
        <f>0+(458.4-191.9)+(0+(-0.467568--0.195738))+0-32.4--0.0330480000000052</f>
        <v>233.86121799999998</v>
      </c>
      <c r="H241" s="3">
        <f>0+(425.4-158.5)+(0+(0.433908-0.16167))+0-32.4-0.0330480000000052</f>
        <v>234.73918999999998</v>
      </c>
      <c r="I241" s="3">
        <f>0+(449.6-185.6)+(0+(0-0))+0-32.3-0</f>
        <v>231.7</v>
      </c>
      <c r="J241" s="3">
        <f>0+(442.4-176.7)+(0+(-0.451248--0.180234))+0-32.4--0.0330480000000052</f>
        <v>233.06203400000001</v>
      </c>
      <c r="K241" s="3">
        <f>0+(394.1-122.4)+(0+(-0.401982--0.124848))+0-32.6--0.0332520000000052</f>
        <v>238.85611800000007</v>
      </c>
      <c r="L241" s="3">
        <f>2.4+(532.9-247.4)+(-0.001224+(-0.271779--0.126174))+0-32.4--0.0165239999999967</f>
        <v>255.36969499999995</v>
      </c>
      <c r="M241" s="3">
        <f>43.7+(542.6-281.3)+(0+(0-0))+0-32.4-0</f>
        <v>272.60000000000002</v>
      </c>
      <c r="N241" s="3">
        <f>105.7+(555.2-336.2)+(0+(0-0))+0-31.8-0</f>
        <v>292.90000000000003</v>
      </c>
      <c r="O241" s="3">
        <f>133.4+(565.1-364.2)+(0.204102+(0.864603-0.557226))+0-32.7-0.0500310000000019</f>
        <v>302.0614480000001</v>
      </c>
      <c r="P241" s="3">
        <f>132.5+(540.3-335.5)+(-0.202725+(-0.826659--0.513315))+0-33--0.0504900000000019</f>
        <v>303.83442099999996</v>
      </c>
      <c r="Q241" s="3">
        <f>130.4+(569.9-343.3)+(-0.066504+(-0.290649--0.175083))+0-33.3--0.0169829999999966</f>
        <v>323.53491299999996</v>
      </c>
      <c r="R241" s="3">
        <f>129.6+(568.5-372.7)+(-0.198288+(-0.869805--0.570231))+0-32.9--0.0503370000000019</f>
        <v>292.05247500000002</v>
      </c>
      <c r="S241" s="3">
        <f>129.9+(541.7-367.3)+(-0.198747+(-0.828801--0.561969))+0-32.7--0.0500310000000019</f>
        <v>271.18445200000008</v>
      </c>
      <c r="T241" s="3">
        <f>130.1+(586.3-397)+(0+(0-0))+0-31.8-0</f>
        <v>287.59999999999997</v>
      </c>
      <c r="U241" s="3">
        <f>130.9+(549.4-381.4)+(-0.066759+(-0.280194--0.194514))+0-30.2--0.0154019999999969</f>
        <v>268.56296299999997</v>
      </c>
      <c r="V241" s="3">
        <f>243.2+(497-377.6)+(-0.124032+(-0.25347--0.192576))+0-25.3--0.0129029999999974</f>
        <v>337.12797699999993</v>
      </c>
      <c r="W241" s="3">
        <f>263.2+(334.7-288)+(0+(0-0))+0-33.1-0</f>
        <v>276.79999999999995</v>
      </c>
      <c r="X241" s="3">
        <f>265.5+(436.6-364.6)+(-0.406215+(-0.667998--0.557838))+0-32.6--0.0498780000000019</f>
        <v>304.43350299999997</v>
      </c>
      <c r="Y241" s="3">
        <f>204.6+(496.3-369.7)+(-0.52173+(-1.265565--0.942735))+0-32.7--0.0833849999999953</f>
        <v>297.73882500000008</v>
      </c>
      <c r="Z241" s="3">
        <f>101+(567.8-341.9)+(-0.20604+(-1.158312--0.697476))+0-33.1--0.0675239999999986</f>
        <v>293.20064799999994</v>
      </c>
      <c r="AA241" s="3">
        <f>101+(589.7-384.8)+(-0.10302+(-0.601494--0.392496))+0-33.4--0.0340680000000053</f>
        <v>272.22205000000002</v>
      </c>
      <c r="AB241" s="3">
        <f>101+(604.2-402.9)+(-0.25755+(-1.54071--1.027395))+0-33--0.0841499999999952</f>
        <v>268.61328500000008</v>
      </c>
      <c r="AC241" s="3">
        <f>143+(524.9-389.3)+(-0.07293+(-0.267699--0.198543))+0-32.8--0.0167279999999967</f>
        <v>245.67464199999995</v>
      </c>
      <c r="AD241">
        <v>344.9</v>
      </c>
      <c r="AE241" s="3">
        <f>262+(386.9-271.5)+(0+(0-0))+0-32.5-0</f>
        <v>344.9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138.4+(480.1-332.4)+(-0.282336+(-0.979404--0.678096))+0-29.2--0.0595679999999987</f>
        <v>256.37592400000005</v>
      </c>
      <c r="G242" s="3">
        <f>101+(436.4-252.1)+(-0.20604+(-0.890256--0.514284))+0-32.3--0.0658919999999986</f>
        <v>252.48387999999991</v>
      </c>
      <c r="H242" s="3">
        <f>101+(411.3-226.9)+(0+(0-0))+0-29.9-0</f>
        <v>255.49999999999997</v>
      </c>
      <c r="I242" s="3">
        <f>101+(392-212.4)+(-0.15453+(-0.59976--0.324972))+0-32.8--0.0501840000000019</f>
        <v>247.42086599999999</v>
      </c>
      <c r="J242" s="3">
        <f>142.5+(362.4-243.2)+(0.072675+(0.184824-0.124032))+0-32.8-0.0167279999999967</f>
        <v>229.01673899999997</v>
      </c>
      <c r="K242" s="3">
        <f>96.6+(458.6-265.3)+(-0.049266+(-0.233886--0.135303))+0-32.5--0.0165749999999967</f>
        <v>257.26872599999996</v>
      </c>
      <c r="L242" s="3">
        <f>65.9+(531.8-312.6)+(-0.168045+(-1.35609--0.79713))+0-32.8--0.0836399999999952</f>
        <v>251.65663499999988</v>
      </c>
      <c r="M242" s="3">
        <f>113.2+(481.6-289)+(0.057732+(0.245616-0.14739))+0-32.5-0.0165749999999967</f>
        <v>273.43938300000002</v>
      </c>
      <c r="N242" s="3">
        <f>184.8+(511-346.3)+(0.094248+(0.26061-0.176613))+0-33.1-0.0168809999999966</f>
        <v>316.56136399999997</v>
      </c>
      <c r="O242" s="3">
        <f>252.4+(460-371.9)+(-0.257448+(-0.4692--0.379338))+0-31.6--0.032232000000005</f>
        <v>308.58492200000001</v>
      </c>
      <c r="P242" s="3">
        <f>266.5+(483.9-393.3)+(0.135915+(0.246789-0.200583))+0-31.3-0.0159629999999968</f>
        <v>325.96615799999995</v>
      </c>
      <c r="Q242" s="3">
        <f>265.2+(487.6-378.4)+(-0.541008+(-0.994704--0.771936))+0-32.7--0.0667079999999986</f>
        <v>341.00293200000004</v>
      </c>
      <c r="R242" s="3">
        <f>224.8+(418.5-319)+(-0.917184+(-1.70748--1.30152))+0-32.7--0.133415999999997</f>
        <v>290.41027200000002</v>
      </c>
      <c r="S242" s="3">
        <f>134.5+(505.3-317.8)+(-0.068595+(-0.257703--0.162078))+0-32.9--0.0167789999999967</f>
        <v>288.95255900000001</v>
      </c>
      <c r="T242" s="3">
        <f>0+(578.1-243.9)+(0+(0-0))+0-33.2-0</f>
        <v>301.00000000000006</v>
      </c>
      <c r="U242" s="3">
        <f>0+(534.9-236.1)+(0+(-1.091196--0.481644))+0-32.8--0.0669119999999986</f>
        <v>265.45735999999994</v>
      </c>
      <c r="V242" s="3">
        <f>0+(467.3-149.9)+(0+(0.238323-0.076449))+0-27.4-0.0139739999999972</f>
        <v>290.14789999999999</v>
      </c>
      <c r="W242" s="3">
        <f>0+(438.6-100.8)+(0+(0-0))+0-30.6-0</f>
        <v>307.2</v>
      </c>
      <c r="X242" s="3">
        <f>0+(494.1-156.5)+(0+(-1.259955--0.399075))+0-26.3--0.0670649999999962</f>
        <v>310.50618500000002</v>
      </c>
      <c r="Y242" s="3">
        <f>0+(564.1-199.1)+(0+(0-0))+0-28.7-0</f>
        <v>336.3</v>
      </c>
      <c r="Z242" s="3">
        <f>0+(574.3-291.9)+(0+(-1.171572--0.595476))+0-14.9--0.0303959999999994</f>
        <v>266.95429999999999</v>
      </c>
      <c r="AA242" s="3">
        <f>0+(584.6-263)+(0+(-0.298146--0.13413))+0-29.6--0.015095999999997</f>
        <v>291.85107999999997</v>
      </c>
      <c r="AB242" s="3">
        <f>0+(630.9-307.4)+(0+(-0.965277--0.470322))+0-33.4--0.0511020000000019</f>
        <v>289.65614700000003</v>
      </c>
      <c r="AC242" s="3">
        <f>0+(623.3-324.6)+(0+(-2.543064--1.324368))+0-33.1--0.135047999999997</f>
        <v>264.51635199999987</v>
      </c>
      <c r="AD242">
        <v>350.3</v>
      </c>
      <c r="AE242" s="3">
        <f>0+(489.6-109.8)+(0+(0-0))+0-29.5-0</f>
        <v>350.3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0+(598.2-273)+(0+(-1.52541--0.69615))+0-31.5--0.0803249999999954</f>
        <v>292.95106500000009</v>
      </c>
      <c r="G243" s="3">
        <f>0+(462.2-194.1)+(0+(0.235722-0.098991))+0-32.6-0.0166259999999967</f>
        <v>235.62010500000002</v>
      </c>
      <c r="H243" s="3">
        <f>0+(470.9-178.9)+(0+(-0.960636--0.364956))+0-32.5--0.0662999999999986</f>
        <v>258.97062</v>
      </c>
      <c r="I243" s="3">
        <f>0+(361.1-74.4)+(0+(0-0))+0-32.8-0</f>
        <v>253.90000000000003</v>
      </c>
      <c r="J243" s="3">
        <f>0+(380.1-96.1)+(0+(-0.387702--0.098022))+0-33.2--0.0338640000000053</f>
        <v>250.54418400000003</v>
      </c>
      <c r="K243" s="3">
        <f>0+(370.8-89.4)+(0+(0.378216-0.091188))+0-33-0.0336600000000053</f>
        <v>248.653368</v>
      </c>
      <c r="L243" s="3">
        <f>0+(434.6-145.1)+(0+(-0.443292--0.148002))+0-33.3--0.0339660000000053</f>
        <v>255.93867599999996</v>
      </c>
      <c r="M243" s="3">
        <f>0+(348.7-94.8)+(0+(-0.355674--0.096696))+0-33.2--0.0338640000000053</f>
        <v>220.47488599999997</v>
      </c>
      <c r="N243" s="3">
        <f>0+(495.5-229.3)+(0+(-0.252705--0.116943))+0-33.2--0.0169319999999966</f>
        <v>232.88117</v>
      </c>
      <c r="O243" s="3">
        <f>0+(607.1-319.1)+(0+(-0.619242--0.325482))+0-32.4--0.0330480000000052</f>
        <v>255.33928799999998</v>
      </c>
      <c r="P243" s="3">
        <f>0+(570.2-290.2)+(0+(-0.872406--0.444006))+0-31.2--0.0477360000000018</f>
        <v>248.41933600000007</v>
      </c>
      <c r="Q243" s="3">
        <f>0+(556.4-279.9)+(0+(-0.567528--0.285498))+0-32.8--0.0334560000000052</f>
        <v>243.45142599999997</v>
      </c>
      <c r="R243" s="3">
        <f>0+(611.6-311.4)+(0+(-0.935748--0.476442))+0-32.3--0.0494190000000019</f>
        <v>267.49011300000001</v>
      </c>
      <c r="S243" s="3">
        <f>0+(584.7-329)+(0+(-0.894591--0.50337))+0-32.6--0.0498780000000019</f>
        <v>222.75865700000006</v>
      </c>
      <c r="T243" s="3">
        <f>0+(570.2-310.2)+(0+(-1.163208--0.632808))+0-32.1--0.0654839999999986</f>
        <v>227.43508400000007</v>
      </c>
      <c r="U243" s="3">
        <f>0+(536.6-287.9)+(0+(0-0))+0-32.5-0</f>
        <v>216.20000000000005</v>
      </c>
      <c r="V243" s="3">
        <f>0+(530.4-217.1)+(0+(0-0))+0-32.9-0</f>
        <v>280.39999999999998</v>
      </c>
      <c r="W243" s="3">
        <f>0+(428.3-141)+(0+(0.218433-0.07191))+0-33.3-0.0169829999999966</f>
        <v>254.12953999999999</v>
      </c>
      <c r="X243" s="3">
        <f>0+(455.7-154.6)+(0+(0-0))+0-33.2-0</f>
        <v>267.90000000000003</v>
      </c>
      <c r="Y243" s="3">
        <f>0+(540.4-222.8)+(0+(0.275604-0.113628))+0-32.3-0.0164729999999967</f>
        <v>285.44550299999992</v>
      </c>
      <c r="Z243" s="3">
        <f>0+(572.6-275.4)+(0+(-0.584052--0.280908))+0-31.7--0.0323340000000051</f>
        <v>265.22919000000007</v>
      </c>
      <c r="AA243" s="3">
        <f>0+(627.1-338.8)+(0+(-0.639642--0.345576))+0-32.9--0.0335580000000052</f>
        <v>255.13949200000002</v>
      </c>
      <c r="AB243" s="3">
        <f>0+(697.4-389.8)+(0+(-1.422696--0.795192))+0-32.9--0.0671159999999986</f>
        <v>274.139612</v>
      </c>
      <c r="AC243" s="3">
        <f>0+(571.8-307.3)+(0+(-1.166472--0.626892))+0-32--0.0652799999999986</f>
        <v>232.02569999999994</v>
      </c>
      <c r="AD243">
        <v>286</v>
      </c>
      <c r="AE243" s="3">
        <f>0+(448.1-128.6)+(0+(0-0))+0-33.5-0</f>
        <v>286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0+(533.5-243.4)+(0+(0-0))+0-30.5-0</f>
        <v>259.60000000000002</v>
      </c>
      <c r="G244" s="3">
        <f>0+(481.7-205.6)+(0+(-1.228335--0.52428))+0-32.8--0.0836399999999952</f>
        <v>242.67958500000003</v>
      </c>
      <c r="H244" s="3">
        <f>0+(420.1-148.8)+(0+(0.642753-0.227664))+0-32.5-0.0497250000000019</f>
        <v>239.16536400000004</v>
      </c>
      <c r="I244" s="3">
        <f>0+(434-163)+(0+(-0.44268--0.16626))+0-32.8--0.0334560000000052</f>
        <v>237.95703600000002</v>
      </c>
      <c r="J244" s="3">
        <f>0+(403.7-140.4)+(0+(1.029435-0.35802))+0-32.7-0.0833849999999953</f>
        <v>231.18803</v>
      </c>
      <c r="K244" s="3">
        <f>0+(436.9-170.9)+(0+(0.222819-0.087159))+0-33-0.0168299999999967</f>
        <v>233.11882999999997</v>
      </c>
      <c r="L244" s="3">
        <f>0+(557.8-280.9)+(0+(-0.853434--0.429777))+0-32.7--0.0500310000000019</f>
        <v>243.82637399999999</v>
      </c>
      <c r="M244" s="3">
        <f>0+(779.6-446.2)+(0+(0.397596-0.227562))+0-31.5-0.0160649999999968</f>
        <v>302.05396900000005</v>
      </c>
      <c r="N244" s="3">
        <f>0+(643.7-332.1)+(0+(0.328287-0.169371))+0-32.4-0.0165239999999967</f>
        <v>279.34239200000002</v>
      </c>
      <c r="O244" s="3">
        <f>0+(682.7-337.4)+(0+(-1.392708--0.688296))+0-32.8--0.0669119999999986</f>
        <v>311.86250000000007</v>
      </c>
      <c r="P244" s="3">
        <f>0+(645.7-302.1)+(0+(-0.329307--0.154071))+0-32.3--0.0164729999999967</f>
        <v>311.14123700000005</v>
      </c>
      <c r="Q244" s="3">
        <f>0+(652.1-306.4)+(0+(0.332571-0.156264))+0-31.7-0.0161669999999968</f>
        <v>314.16014000000007</v>
      </c>
      <c r="R244" s="3">
        <f>0+(625.1-281.8)+(0+(-0.956403--0.431154))+0-32.1--0.0491130000000019</f>
        <v>310.72386399999999</v>
      </c>
      <c r="S244" s="3">
        <f>0+(656.7-319.7)+(0+(-1.004751--0.489141))+0-31.5--0.0481950000000018</f>
        <v>305.0325850000001</v>
      </c>
      <c r="T244" s="3">
        <f>0+(631.5-294.6)+(0+(-0.322065--0.150246))+0-31.6--0.0161159999999968</f>
        <v>305.14429699999994</v>
      </c>
      <c r="U244" s="3">
        <f>0+(607-269.5)+(0+(-0.92871--0.412335))+0-28.9--0.0442170000000017</f>
        <v>308.12784200000004</v>
      </c>
      <c r="V244" s="3">
        <f>0+(558.8-205.3)+(0+(-0.284988--0.104703))+0-31.2--0.0159119999999968</f>
        <v>322.13562699999994</v>
      </c>
      <c r="W244" s="3">
        <f>0+(604.3-241.7)+(0+(0.308193-0.123267))+0-31.5-0.0160649999999968</f>
        <v>331.26886100000002</v>
      </c>
      <c r="X244" s="3">
        <f>0+(656.7-302.8)+(0+(-1.339668--0.617712))+0-29.1--0.0593639999999987</f>
        <v>324.13740800000005</v>
      </c>
      <c r="Y244" s="3">
        <f>0+(628.5-286.3)+(0+(0-0))+0-28.5-0</f>
        <v>313.7</v>
      </c>
      <c r="Z244" s="3">
        <f>0+(694.5-359.9)+(0+(-0.354195--0.183549))+0-28.4--0.0144839999999971</f>
        <v>306.04383800000005</v>
      </c>
      <c r="AA244" s="3">
        <f>0+(692.3-371.2)+(0+(-2.118438--1.135872))+0-26.9--0.0823140000000031</f>
        <v>293.29974799999997</v>
      </c>
      <c r="AB244" s="3">
        <f>0+(676.7-360.4)+(0+(-0.690234--0.367608))+0-28.5--0.0290700000000045</f>
        <v>287.50644400000004</v>
      </c>
      <c r="AC244" s="3">
        <f>0+(525-211.4)+(0+(-1.87425--0.754698))+0-29.8--0.106386</f>
        <v>282.786834</v>
      </c>
      <c r="AD244">
        <v>329.70000000000005</v>
      </c>
      <c r="AE244" s="3">
        <f>0+(662.2-301.5)+(0+(0-0))+0-31-0</f>
        <v>329.70000000000005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0+(436.7-126.6)+(0+(-0.668151--0.193698))+0-29.3--0.0448290000000017</f>
        <v>280.37037600000002</v>
      </c>
      <c r="G245" s="3">
        <f>0+(482.4-176.2)+(0+(-0.492048--0.179724))+0-32--0.0326400000000051</f>
        <v>273.92031600000001</v>
      </c>
      <c r="H245" s="3">
        <f>0+(515-210.3)+(0+(0-0))+0-32.5-0</f>
        <v>272.2</v>
      </c>
      <c r="I245" s="3">
        <f>0+(429.1-128.7)+(0+(0-0))+0-32.5-0</f>
        <v>267.90000000000003</v>
      </c>
      <c r="J245" s="3">
        <f>0+(379.4-78.2)+(0+(0.386988-0.079764))+0-29.4-0.0299880000000047</f>
        <v>272.07723600000003</v>
      </c>
      <c r="K245" s="3">
        <f>0+(374.8-80.9)+(0+(0.382296-0.082518))+0-33-0.0336600000000053</f>
        <v>261.16611799999998</v>
      </c>
      <c r="L245" s="3">
        <f>0+(440.5-148.2)+(0+(0.673965-0.226746))+0-33.5-0.0512550000000019</f>
        <v>259.195964</v>
      </c>
      <c r="M245" s="3">
        <f>79.9+(387.9-162.2)+(0.122247+(0.593487-0.248166))+0-32-0.0489600000000018</f>
        <v>274.01860800000003</v>
      </c>
      <c r="N245" s="3">
        <f>135.5+(484.8-283.1)+(-0.069105+(-0.247248--0.144381))+0-33.2--0.0169319999999966</f>
        <v>303.84496000000001</v>
      </c>
      <c r="O245" s="3">
        <f>135.9+(560.9-348.9)+(-0.069309+(-0.286059--0.177939))+0-33.7--0.0171869999999966</f>
        <v>314.03975799999995</v>
      </c>
      <c r="P245" s="3">
        <f>135.7+(563.1-342.5)+(-0.069207+(-0.287181--0.174675))+0-33.8--0.0172379999999966</f>
        <v>322.33552500000002</v>
      </c>
      <c r="Q245" s="3">
        <f>135.9+(594.1-362.4)+(-0.207927+(-0.908973--0.554472))+0-33.5--0.0512550000000019</f>
        <v>333.58882700000004</v>
      </c>
      <c r="R245" s="3">
        <f>102.7+(566.8-311.6)+(-0.157131+(-0.867204--0.476748))+0-33.9--0.051867000000002</f>
        <v>323.50427999999994</v>
      </c>
      <c r="S245" s="3">
        <f>50.5+(566.6-278.2)+(-0.10302+(-1.155864--0.567528))+0-33.1--0.0675239999999986</f>
        <v>305.17616800000002</v>
      </c>
      <c r="T245" s="3">
        <f>52.5+(591.4-307.6)+(-0.026775+(-0.301614--0.156876))+0-33.8--0.0172379999999966</f>
        <v>302.34572499999996</v>
      </c>
      <c r="U245" s="3">
        <f>71.1+(576-319.4)+(0.108783+(0.88128-0.488682))+0-32.6-0.0498780000000019</f>
        <v>295.55150300000003</v>
      </c>
      <c r="V245" s="3">
        <f>128.1+(508.1-299.9)+(-0.326655+(-1.295655--0.764745))+0-34.3--0.087464999999995</f>
        <v>301.22990000000004</v>
      </c>
      <c r="W245" s="3">
        <f>136.3+(461.2-237.5)+(0.069513+(0.235212-0.121125))+0-34.6-0.0176459999999965</f>
        <v>325.56595399999998</v>
      </c>
      <c r="X245" s="3">
        <f>135+(501-284.1)+(-0.4131+(-1.53306--0.869346))+0-34.5--0.105570000000004</f>
        <v>316.42875599999996</v>
      </c>
      <c r="Y245" s="3">
        <f>136+(553.2-348.4)+(-0.13872+(-0.564264--0.355368))+0-34.5--0.0351900000000055</f>
        <v>305.98757400000005</v>
      </c>
      <c r="Z245" s="3">
        <f>135.3+(587-389.9)+(-0.276012+(-1.19748--0.795396))+0-34.1--0.0695639999999985</f>
        <v>297.69146800000004</v>
      </c>
      <c r="AA245" s="3">
        <f>122.3+(645.4-445.5)+(-0.311865+(-1.64577--1.136025))+0-33.9--0.0864449999999951</f>
        <v>287.56483499999996</v>
      </c>
      <c r="AB245" s="3">
        <f>50.5+(581.1-316)+(-0.077265+(-0.889083--0.48348))+0-33.2--0.0507960000000019</f>
        <v>281.96792800000003</v>
      </c>
      <c r="AC245" s="3">
        <f>50.6+(586.7-338.2)+(-0.051612+(-0.598434--0.344964))+0-33.6--0.0342720000000054</f>
        <v>265.22919000000002</v>
      </c>
      <c r="AD245">
        <v>329.29999999999995</v>
      </c>
      <c r="AE245" s="3">
        <f>136+(480.3-251.9)+(0+(0-0))+0-35.1-0</f>
        <v>329.29999999999995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50.6+(633.6-388.1)+(0.051612+(0.646272-0.395862))+0-33.2-0.0338640000000053</f>
        <v>263.16815800000006</v>
      </c>
      <c r="G246" s="3">
        <f>50.5+(565.8-330.1)+(-0.05151+(-0.577116--0.336702))+0-33.2--0.0338640000000053</f>
        <v>252.74193999999994</v>
      </c>
      <c r="H246" s="3">
        <f>50.5+(532-301.6)+(0.025755+(0.27132-0.153816))+0-31.8-0.0162179999999968</f>
        <v>249.22704099999996</v>
      </c>
      <c r="I246" s="3">
        <f>50.5+(497.7-267)+(0.025755+(0.253827-0.13617))+0-32-0.0163199999999968</f>
        <v>249.32709199999999</v>
      </c>
      <c r="J246" s="3">
        <f>50.5+(471.8-237.7)+(-0.05151+(-0.481236--0.242454))+0-32.5--0.0331500000000052</f>
        <v>251.84285800000001</v>
      </c>
      <c r="K246" s="3">
        <f>50.5+(549.2-309.6)+(0.05151+(0.560184-0.315792))+0-33.8-0.0344760000000054</f>
        <v>256.56142600000004</v>
      </c>
      <c r="L246" s="3">
        <f>50.5+(615.1-374.2)+(-0.05151+(-0.627402--0.381684))+0-32.8--0.0334560000000052</f>
        <v>258.33622800000001</v>
      </c>
      <c r="M246" s="3">
        <f>50.5+(578.2-322.3)+(-0.025755+(-0.294882--0.164373))+0-33.7--0.0171869999999966</f>
        <v>272.560923</v>
      </c>
      <c r="N246" s="3">
        <f>101.8+(503.5-282.1)+(0+(0-0))+0-34.2-0</f>
        <v>289</v>
      </c>
      <c r="O246" s="3">
        <f>146+(441.4-261.5)+(0.07446+(0.225114-0.133365))+0-20.3-0.0103529999999979</f>
        <v>305.75585599999994</v>
      </c>
      <c r="P246" s="3">
        <f>178.6+(407.7-276.2)+(-0.182172+(-0.415854--0.281724))+0-0-0</f>
        <v>309.78369800000002</v>
      </c>
      <c r="Q246" s="3">
        <f>207.3+(405.2-308.5)+(-0.528615+(-1.03326--0.786675))+0-0-0</f>
        <v>303.22480000000002</v>
      </c>
      <c r="R246" s="3">
        <f>211.5+(461.9-351.9)+(-0.323595+(-0.706707--0.538407))+0-17.3--0.026469000000001</f>
        <v>303.73457400000001</v>
      </c>
      <c r="S246" s="3">
        <f>222.2+(472.3-370.4)+(-0.226644+(-0.481746--0.377808))+0-29.6--0.0301920000000047</f>
        <v>294.19961000000001</v>
      </c>
      <c r="T246" s="3">
        <f>194+(510.1-373.8)+(0.29682+(0.780453-0.571914))+0-31.8-0.0486540000000018</f>
        <v>298.956705</v>
      </c>
      <c r="U246" s="3">
        <f>136.1+(520.4-342.1)+(0.069411+(0.265404-0.174471))+0-31.9-0.0162689999999968</f>
        <v>282.64407499999999</v>
      </c>
      <c r="V246" s="3">
        <f>136.3+(438.7-236.9)+(0+(0-0))+0-32.1-0</f>
        <v>306</v>
      </c>
      <c r="W246" s="3">
        <f>136.4+(438.3-217.3)+(0+(0-0))+0-33.2-0</f>
        <v>324.2</v>
      </c>
      <c r="X246" s="3">
        <f>137.2+(515.5-301.8)+(-0.209916+(-0.788715--0.461754))+0-33.4--0.0511020000000019</f>
        <v>317.01422500000001</v>
      </c>
      <c r="Y246" s="3">
        <f>137.3+(514.3-310.4)+(-0.350115+(-1.311465--0.79152))+0-33.1--0.0844049999999952</f>
        <v>307.31434499999995</v>
      </c>
      <c r="Z246" s="3">
        <f>137.1+(572.1-376.4)+(0+(0-0))+0-33-0</f>
        <v>299.80000000000007</v>
      </c>
      <c r="AA246" s="3">
        <f>136.9+(625.3-436.5)+(-0.349095+(-1.594515--1.113075))+0-33--0.0841499999999952</f>
        <v>291.95361499999996</v>
      </c>
      <c r="AB246" s="3">
        <f>137.4+(595.3-421)+(-0.280296+(-1.214412--0.85884))+0-33.5--0.0683399999999985</f>
        <v>277.63247199999989</v>
      </c>
      <c r="AC246" s="3">
        <f>122.7+(528.4-349.2)+(-0.250308+(-1.077936--0.712368))+0-34.1--0.0695639999999985</f>
        <v>267.25368799999995</v>
      </c>
      <c r="AD246">
        <v>325.00000000000006</v>
      </c>
      <c r="AE246" s="3">
        <f>136+(464.1-241.9)+(0+(0-0))+0-33.2-0</f>
        <v>325.00000000000006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50.5+(553.6-301.3)+(-0.077265+(-0.847008--0.460989))+0-33.4--0.0511020000000019</f>
        <v>268.98781800000006</v>
      </c>
      <c r="G247" s="3">
        <f>50.5+(506.2-263.5)+(0+(0-0))+0-33.1-0</f>
        <v>260.09999999999997</v>
      </c>
      <c r="H247" s="3">
        <f>53.9+(535.5-302.8)+(0+(0-0))+0-32.6-0</f>
        <v>253.99999999999997</v>
      </c>
      <c r="I247" s="3">
        <f>120.8+(561.7-400.7)+(0+(0-0))+0-33.2-0</f>
        <v>248.60000000000008</v>
      </c>
      <c r="J247" s="3">
        <f>122.1+(538.9-379.5)+(0.249084+(1.099356-0.77418))+0-33.3-0.0679319999999985</f>
        <v>248.70632799999998</v>
      </c>
      <c r="K247" s="3">
        <f>121.8+(514.3-349.1)+(0.248472+(1.049172-0.712164))+0-33.4-0.0681359999999985</f>
        <v>254.11734399999995</v>
      </c>
      <c r="L247" s="3">
        <f>121.8+(660.4-487.1)+(0.124236+(0.673608-0.496842))+0-33.3-0.0339660000000053</f>
        <v>262.06703599999992</v>
      </c>
      <c r="M247" s="3">
        <f>120.9+(710-516.1)+(0+(0-0))+0-33.7-0</f>
        <v>281.09999999999997</v>
      </c>
      <c r="N247" s="3">
        <f>121+(691.7-469)+(0.06171+(0.352767-0.23919))+0-34-0.0173399999999966</f>
        <v>309.85794700000008</v>
      </c>
      <c r="O247" s="3">
        <f>121.2+(700.6-470.1)+(0.123624+(0.714612-0.479502))+0-33.8-0.0344760000000054</f>
        <v>318.22425800000002</v>
      </c>
      <c r="P247" s="3">
        <f>120.8+(609-398.8)+(-0.061608+(-0.31059--0.203388))+0-33.6--0.0171359999999966</f>
        <v>297.24832599999996</v>
      </c>
      <c r="Q247" s="3">
        <f>119.8+(656.5-444.7)+(-0.366588+(-2.00889--1.360782))+0-26.8--0.0820080000000031</f>
        <v>303.86731200000003</v>
      </c>
      <c r="R247" s="3">
        <f>119.7+(686-478.5)+(-0.244188+(-1.39944--0.97614))+0-32.3--0.0658919999999986</f>
        <v>294.298404</v>
      </c>
      <c r="S247" s="3">
        <f>34.4+(689.3-417.4)+(-0.017544+(-0.351543--0.212874))+0-33--0.0168299999999967</f>
        <v>273.16061699999995</v>
      </c>
      <c r="T247" s="3">
        <f>0+(736.4-434.3)+(0+(0-0))+0-33.1-0</f>
        <v>268.99999999999994</v>
      </c>
      <c r="U247" s="3">
        <f>0+(669.9-365.2)+(0+(0.341649-0.186252))+0-33.1-0.0168809999999966</f>
        <v>271.73851599999995</v>
      </c>
      <c r="V247" s="3">
        <f>0+(601.2-277.2)+(0+(0.306612-0.141372))+0-31.8-0.0162179999999968</f>
        <v>292.34902200000005</v>
      </c>
      <c r="W247" s="3">
        <f>0+(563.8-210.6)+(0+(-0.287538--0.107406))+0-31.9--0.0162689999999968</f>
        <v>321.13613699999996</v>
      </c>
      <c r="X247" s="3">
        <f>0+(661.9-311.6)+(0+(0-0))+0-27.4-0</f>
        <v>322.89999999999998</v>
      </c>
      <c r="Y247" s="3">
        <f>0+(648.2-299.7)+(0+(-1.322328--0.611388))+0-33.7--0.0687479999999985</f>
        <v>314.15780800000005</v>
      </c>
      <c r="Z247" s="3">
        <f>0+(639.8-308.3)+(0+(-0.326298--0.157233))+0-33.8--0.0172379999999966</f>
        <v>297.54817299999996</v>
      </c>
      <c r="AA247" s="3">
        <f>0+(671.7-351.4)+(0+(-1.370268--0.716856))+0-34.3--0.0699719999999985</f>
        <v>285.41656000000006</v>
      </c>
      <c r="AB247" s="3">
        <f>0+(566.3-258.2)+(0+(-0.866439--0.395046))+0-34.2--0.052326000000002</f>
        <v>273.48093299999999</v>
      </c>
      <c r="AC247" s="3">
        <f>0+(558.8-262.5)+(0+(-0.854964--0.401625))+0-33.5--0.0512550000000019</f>
        <v>262.39791599999995</v>
      </c>
      <c r="AD247">
        <v>310.2</v>
      </c>
      <c r="AE247" s="3">
        <f>0+(651.8-312.4)+(0+(0-0))+0-29.2-0</f>
        <v>310.2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0+(450.3-169.8)+(0+(-0.459306--0.173196))+0-34--0.0346800000000054</f>
        <v>246.24857</v>
      </c>
      <c r="G248" s="3">
        <f>0+(419-146.3)+(0+(-0.42738--0.149226))+0-34.1--0.0347820000000054</f>
        <v>238.35662800000003</v>
      </c>
      <c r="H248" s="3">
        <f>0+(425.3-159.1)+(0+(-0.433806--0.162282))+0-33.8--0.0344760000000054</f>
        <v>232.16295200000005</v>
      </c>
      <c r="I248" s="3">
        <f>0+(431.5-169.6)+(0+(-0.220065--0.086496))+0-33.6--0.0171359999999966</f>
        <v>228.18356699999995</v>
      </c>
      <c r="J248" s="3">
        <f>0+(443.8-183.7)+(0+(0.452676-0.187374))+0-32.6-0.0332520000000052</f>
        <v>227.73205000000004</v>
      </c>
      <c r="K248" s="3">
        <f>0+(482.9-217.1)+(0+(0.492558-0.221442))+0-32.7-0.0333540000000052</f>
        <v>233.33776199999997</v>
      </c>
      <c r="L248" s="3">
        <f>4.5+(510.7-237.3)+(-0.002295+(-0.260457--0.121023))+0-32.6--0.0166259999999967</f>
        <v>245.17489699999999</v>
      </c>
      <c r="M248" s="3">
        <f>47.1+(551-315.3)+(0+(0-0))+0-22.9-0</f>
        <v>259.90000000000003</v>
      </c>
      <c r="N248" s="3">
        <f>50.4+(563-329.7)+(-0.025704+(-0.28713--0.168147))+0-0-0</f>
        <v>283.55531300000001</v>
      </c>
      <c r="O248" s="3">
        <f>101.8+(533.9-341)+(0.051918+(0.272289-0.17391))+0-2.7-0.00137699999999973</f>
        <v>292.14892000000003</v>
      </c>
      <c r="P248" s="3">
        <f>130.8+(537.5-371.4)+(-0.066708+(-0.274125--0.189414))+0-4.5--0.00229499999999954</f>
        <v>292.25087600000006</v>
      </c>
      <c r="Q248" s="3">
        <f>130.8+(541.8-368.5)+(-0.266832+(-1.105272--0.75174))+0-5.2--0.0106079999999998</f>
        <v>298.29024399999997</v>
      </c>
      <c r="R248" s="3">
        <f>116.8+(526-336.3)+(-0.29784+(-1.3413--0.857565))+0-4.7--0.0119849999999993</f>
        <v>301.03041000000002</v>
      </c>
      <c r="S248" s="3">
        <f>50.5+(562.4-335)+(-0.10302+(-1.147296--0.6834))+0-2.7--0.00550799999999988</f>
        <v>274.63859200000002</v>
      </c>
      <c r="T248" s="3">
        <f>50.5+(568.5-341.6)+(-0.077265+(-0.869805--0.522648))+0-3.9--0.00596700000000023</f>
        <v>273.08154500000001</v>
      </c>
      <c r="U248" s="3">
        <f>50.5+(493-271.8)+(-0.05151+(-0.50286--0.277236))+0-4.4--0.0044880000000007</f>
        <v>267.027354</v>
      </c>
      <c r="V248" s="3">
        <f>116.2+(526.2-355)+(-0.118524+(-0.536724--0.3621))+0-5.7--0.00581400000000091</f>
        <v>281.41266600000006</v>
      </c>
      <c r="W248" s="3">
        <f>136.3+(526.5-348.3)+(0.069513+(0.268515-0.177633))+0-6.8-0.00346799999999931</f>
        <v>307.85692699999998</v>
      </c>
      <c r="X248" s="3">
        <f>136.9+(531.4-357.8)+(-0.418914+(-1.626084--1.094868))+0-7.6--0.0232560000000009</f>
        <v>301.97312599999998</v>
      </c>
      <c r="Y248" s="3">
        <f>138.2+(540.6-370.8)+(-0.493374+(-1.929942--1.323756))+0-9.6--0.0342720000000001</f>
        <v>297.33471199999997</v>
      </c>
      <c r="Z248" s="3">
        <f>139.2+(497.4-335.4)+(-0.212976+(-0.761022--0.513162))+0-8.4--0.0128520000000005</f>
        <v>292.35201600000005</v>
      </c>
      <c r="AA248" s="3">
        <f>139.5+(543.7-388.5)+(-0.14229+(-0.554574--0.39627))+0-10.1--0.0103020000000016</f>
        <v>284.30970800000006</v>
      </c>
      <c r="AB248" s="3">
        <f>126.7+(574.8-413.5)+(-0.193851+(-0.879444--0.632655))+0-9.8--0.0149940000000006</f>
        <v>277.77435399999996</v>
      </c>
      <c r="AC248" s="3">
        <f>50.5+(483.1-250.5)+(-0.025755+(-0.246381--0.127755))+0-10.9--0.00555899999999889</f>
        <v>272.06117800000004</v>
      </c>
      <c r="AD248">
        <v>308.2</v>
      </c>
      <c r="AE248" s="3">
        <f>139+(550.9-373.3)+(0+(0-0))+0-8.4-0</f>
        <v>308.2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50.5+(517.6-298.7)+(-0.077265+(-0.791928--0.457011))+0-13.2--0.0201960000000008</f>
        <v>255.80801400000007</v>
      </c>
      <c r="G249" s="3">
        <f>50.5+(403.7-192)+(-0.05151+(-0.411774--0.19584))+0-15.7--0.0160140000000025</f>
        <v>246.24857</v>
      </c>
      <c r="H249" s="3">
        <f>50.5+(339.6-132.5)+(-0.10302+(-0.692784--0.2703))+0-18.6--0.0379439999999992</f>
        <v>238.51244000000003</v>
      </c>
      <c r="I249" s="3">
        <f>50.5+(347.4-139.2)+(0.05151+(0.354348-0.141984))+0-22.2-0.0226440000000035</f>
        <v>236.74122999999997</v>
      </c>
      <c r="J249" s="3">
        <f>50.5+(369.7-160.9)+(-0.10302+(-0.754188--0.328236))+0-24.7--0.0503879999999989</f>
        <v>234.12141599999995</v>
      </c>
      <c r="K249" s="3">
        <f>50.4+(352.1-137.6)+(-0.077112+(-0.538713--0.210528))+0-26.6--0.0406980000000015</f>
        <v>237.93540100000001</v>
      </c>
      <c r="L249" s="3">
        <f>50.5+(439.8-228.9)+(0+(0-0))+0-22.2-0</f>
        <v>239.2</v>
      </c>
      <c r="M249" s="3">
        <f>50.6+(488.5-261.9)+(0+(0-0))+0-26-0</f>
        <v>251.20000000000005</v>
      </c>
      <c r="N249" s="3">
        <f>66.6+(476.9-237)+(0.067932+(0.486438-0.24174))+0-29.6-0.0301920000000047</f>
        <v>277.18243799999999</v>
      </c>
      <c r="O249" s="3">
        <f>136.5+(400.6-218.9)+(-0.069615+(-0.204306--0.111639))+0-30.1--0.0153509999999969</f>
        <v>287.95306900000003</v>
      </c>
      <c r="P249" s="3">
        <f>137.9+(328.7-157.5)+(-0.070329+(-0.167637--0.080325))+0-30.3--0.0154529999999969</f>
        <v>278.65781199999998</v>
      </c>
      <c r="Q249" s="3">
        <f>137.6+(322-146.2)+(-0.210528+(-0.49266--0.223686))+0-30.1--0.0460530000000017</f>
        <v>282.86655099999996</v>
      </c>
      <c r="R249" s="3">
        <f>137.2+(333.4-160.5)+(-0.279888+(-0.680136--0.32742))+0-30.4--0.0620159999999987</f>
        <v>279.12941199999995</v>
      </c>
      <c r="S249" s="3">
        <f>137.7+(292.7-134.2)+(0.140454+(0.298554-0.136884))+1.1-30.1-0.0307020000000048</f>
        <v>267.47142199999996</v>
      </c>
      <c r="T249" s="3">
        <f>137.9+(211.2-56.6)+(-0.070329+(-0.107712--0.028866))+0-30.5--0.0155549999999969</f>
        <v>261.86637999999999</v>
      </c>
      <c r="U249" s="3">
        <f>140.1+(191.7-47)+(-0.071451+(-0.097767--0.02397))+0-30.4--0.0155039999999969</f>
        <v>254.27025599999996</v>
      </c>
      <c r="V249" s="3">
        <f>241.6+(190.1-141)+(-0.123216+(-0.096951--0.07191))+0-28.8--0.0146879999999971</f>
        <v>261.76643099999995</v>
      </c>
      <c r="W249" s="3">
        <f>274+(138.7-95.2)+(0.13974+(0.070737-0.048552))+0-30.7-0.0156569999999969</f>
        <v>286.94626800000003</v>
      </c>
      <c r="X249" s="3">
        <f>271.5+(162-118.5)+(-0.83079+(-0.49572--0.36261))+0-30.5--0.0933300000000035</f>
        <v>283.62942999999996</v>
      </c>
      <c r="Y249" s="3">
        <f>160.1+(234.3-84.2)+(-0.244953+(-0.358479--0.128826))+0-28.6--0.0437580000000017</f>
        <v>281.16915200000005</v>
      </c>
      <c r="Z249" s="3">
        <f>83.3+(408.4-184)+(-0.169932+(-0.833136--0.37536))+0-32.4--0.0660959999999986</f>
        <v>274.73838800000004</v>
      </c>
      <c r="AA249" s="3">
        <f>50.5+(494-242.7)+(-0.05151+(-0.50388--0.247554))+0-32.5--0.0331500000000052</f>
        <v>269.02531399999998</v>
      </c>
      <c r="AB249" s="3">
        <f>50.5+(515-270.8)+(-0.077265+(-0.78795--0.414324))+0-32.5--0.0497250000000019</f>
        <v>261.798834</v>
      </c>
      <c r="AC249" s="3">
        <f>50.5+(469.5-234.3)+(-0.15453+(-1.43667--0.716958))+0-32--0.0979200000000037</f>
        <v>252.92367800000002</v>
      </c>
      <c r="AD249">
        <v>279.7</v>
      </c>
      <c r="AE249" s="3">
        <f>270+(133.6-93.8)+(0+(0-0))+0-30.1-0</f>
        <v>279.7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50.5+(375.6-167.5)+(0.05151+(0.383112-0.17085))+0-32.3-0.0329460000000051</f>
        <v>226.53082600000002</v>
      </c>
      <c r="G250" s="3">
        <f>50.5+(347.5-117.9)+(-0.077265+(-0.531675--0.180387))+0-31.9--0.0488070000000018</f>
        <v>247.82025400000001</v>
      </c>
      <c r="H250" s="3">
        <f>50.5+(366.4-139.8)+(-0.077265+(-0.560592--0.213894))+0-31.9--0.0488070000000018</f>
        <v>244.82484399999996</v>
      </c>
      <c r="I250" s="3">
        <f>50.5+(339.7-116.6)+(-0.05151+(-0.346494--0.118932))+0-31.5--0.032130000000005</f>
        <v>241.85305800000003</v>
      </c>
      <c r="J250" s="3">
        <f>50.5+(291.2-74.6)+(-0.077265+(-0.445536--0.114138))+0-32.3--0.0494190000000019</f>
        <v>234.44075600000002</v>
      </c>
      <c r="K250" s="3">
        <f>50.5+(361.3-136)+(-0.05151+(-0.368526--0.13872))+0-32.2--0.0328440000000051</f>
        <v>243.35152800000003</v>
      </c>
      <c r="L250" s="3">
        <f>50.5+(484.6-276.2)+(-0.180285+(-1.730022--0.986034))+0-32--0.11424</f>
        <v>226.089967</v>
      </c>
      <c r="M250" s="3">
        <f>50.5+(456.5-256.9)+(-0.05151+(-0.46563--0.262038))+0-32.1--0.0327420000000051</f>
        <v>217.77764000000005</v>
      </c>
      <c r="N250" s="3">
        <f>81.3+(513.2-335.6)+(0.041463+(0.261732-0.171156))+0-31.7-0.0161669999999968</f>
        <v>227.31587200000007</v>
      </c>
      <c r="O250" s="3">
        <f>140.7+(494.7-381.1)+(-0.358785+(-1.261485--0.971805))+0-30.8--0.0785399999999955</f>
        <v>222.93007499999996</v>
      </c>
      <c r="P250" s="3">
        <f>141.9+(497.9-374.6)+(-0.217107+(-0.761787--0.573138))+0-30.2--0.0462060000000017</f>
        <v>234.64044999999996</v>
      </c>
      <c r="Q250" s="3">
        <f>142.2+(510.5-403.3)+(-0.145044+(-0.52071--0.411366))+0-27.9--0.0284580000000044</f>
        <v>221.27406999999997</v>
      </c>
      <c r="R250" s="3">
        <f>141.9+(496.5-389.4)+(-0.289476+(-1.01286--0.794376))+0-28.7--0.0585479999999987</f>
        <v>219.85058800000004</v>
      </c>
      <c r="S250" s="3">
        <f>143.1+(438-331.9)+(-0.218943+(-0.67014--0.507807))+0-31.2--0.0477360000000018</f>
        <v>217.66646000000003</v>
      </c>
      <c r="T250" s="3">
        <f>59.5+(429.5-240.2)+(0+(0-0))+0-31.2-0</f>
        <v>217.60000000000002</v>
      </c>
      <c r="U250" s="3">
        <f>50.5+(475.3-285)+(-0.025755+(-0.242403--0.14535))+0-30.8--0.0157079999999969</f>
        <v>209.8929</v>
      </c>
      <c r="V250" s="3">
        <f>56.2+(392.8-209.5)+(0.057324+(0.400656-0.21369))+0-30.2-0.0308040000000048</f>
        <v>209.513486</v>
      </c>
      <c r="W250" s="3">
        <f>142.3+(372.4-241.6)+(0.217719+(0.569772-0.369648))+0-32.4-0.0495720000000019</f>
        <v>241.06827100000001</v>
      </c>
      <c r="X250" s="3">
        <f>140.8+(439.4-306.7)+(-0.143616+(-0.448188--0.312834))+0-31.7--0.0323340000000051</f>
        <v>241.55336399999999</v>
      </c>
      <c r="Y250" s="3">
        <f>140.6+(460.8-337.1)+(-0.143412+(-0.470016--0.343842))+0-32.9--0.0335580000000052</f>
        <v>231.16397199999994</v>
      </c>
      <c r="Z250" s="3">
        <f>141+(519.2-406.4)+(-0.14382+(-0.529584--0.414528))+0-23--0.0234600000000037</f>
        <v>230.56458400000008</v>
      </c>
      <c r="AA250" s="3">
        <f>141.9+(551.2-436.8)+(-0.217107+(-0.843336--0.668304))+0-30.8--0.0471240000000018</f>
        <v>225.15498500000007</v>
      </c>
      <c r="AB250" s="3">
        <f>94.8+(547.4-385.6)+(-0.048348+(-0.279174--0.196656))+0-31.8--0.0162179999999968</f>
        <v>224.68535199999994</v>
      </c>
      <c r="AC250" s="3">
        <f>79.9+(487.5-330.5)+(-0.122247+(-0.745875--0.505665))+0-31.8--0.0486540000000018</f>
        <v>204.78619699999999</v>
      </c>
      <c r="AD250">
        <v>258.3</v>
      </c>
      <c r="AE250" s="3">
        <f>142+(383.5-236.8)+(0+(0-0))+0-30.4-0</f>
        <v>258.3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80.5+(481.8-334.2)+(-0.041055+(-0.245718--0.170442))+0-32.2--0.0164219999999967</f>
        <v>195.80009100000004</v>
      </c>
      <c r="G251" s="3">
        <f>80.2+(484-340.8)+(0+(0-0))+0-32.4-0</f>
        <v>190.99999999999997</v>
      </c>
      <c r="H251" s="3">
        <f>81.3+(468.4-328.1)+(0.082926+(0.477768-0.334662))+0-32.4-0.0330480000000052</f>
        <v>189.39298399999996</v>
      </c>
      <c r="I251" s="3">
        <f>82.1+(469.9-328.1)+(0.209355+(1.198245-0.836655))+0-33.1-0.0844049999999952</f>
        <v>191.28653999999995</v>
      </c>
      <c r="J251" s="3">
        <f>82+(421.9-281.7)+(-0.04182+(-0.215169--0.143667))+0-33.9--0.0172889999999966</f>
        <v>188.20396699999998</v>
      </c>
      <c r="K251" s="3">
        <f>132.2+(418.5-322)+(0.269688+(0.85374-0.65688))+0-34-0.0693599999999985</f>
        <v>195.09718799999999</v>
      </c>
      <c r="L251" s="3">
        <f>132.1+(514.5-404.7)+(0.202113+(0.787185-0.619191))+0-31.4-0.0480420000000018</f>
        <v>210.82206499999998</v>
      </c>
      <c r="M251" s="3">
        <f>140.7+(546-440.9)+(-0.143514+(-0.55692--0.449718))+0-21--0.0214200000000034</f>
        <v>224.57070400000001</v>
      </c>
      <c r="N251" s="3">
        <f>250.6+(574.9-535.5)+(0.255612+(0.586398-0.54621))+0-33.1-0.0337620000000053</f>
        <v>257.16203799999994</v>
      </c>
      <c r="O251" s="3">
        <f>288+(534.6-510.1)+(-0.44064+(-0.817938--0.780453))+0-33.8--0.0517140000000019</f>
        <v>278.27358900000002</v>
      </c>
      <c r="P251" s="3">
        <f>289.8+(540.5-509)+(0.295596+(0.55131-0.51918))+0-33.7-0.0343740000000054</f>
        <v>287.89335199999999</v>
      </c>
      <c r="Q251" s="3">
        <f>289+(537-499)+(0+(0-0))+0-33.6-0</f>
        <v>293.39999999999998</v>
      </c>
      <c r="R251" s="3">
        <f>287.4+(561.6-525.5)+(-0.439722+(-0.859248--0.804015))+0-33.2--0.0507960000000019</f>
        <v>289.855841</v>
      </c>
      <c r="S251" s="3">
        <f>288.5+(521.1-497.2)+(-0.147135+(-0.265761--0.253572))+0-33.5--0.0170849999999966</f>
        <v>278.75776100000002</v>
      </c>
      <c r="T251" s="3">
        <f>288.5+(535.2-497.2)+(-0.147135+(-0.272952--0.253572))+0-33.5--0.0170849999999966</f>
        <v>292.85057000000006</v>
      </c>
      <c r="U251" s="3">
        <f>287.4+(529.9-509)+(-0.439722+(-0.810747--0.77877))+0-33.4--0.0511020000000019</f>
        <v>274.47940299999999</v>
      </c>
      <c r="V251" s="3">
        <f>288.7+(405.4-376.7)+(0.294474+(0.413508-0.384234))+0-33.4-0.0340680000000053</f>
        <v>284.28968000000003</v>
      </c>
      <c r="W251" s="3">
        <f>288.6+(516.9-463.9)+(0.147186+(0.263619-0.236589))+0-32.8-0.0167279999999967</f>
        <v>308.95748800000001</v>
      </c>
      <c r="X251" s="3">
        <f>287+(467-420.4)+(-0.43911+(-0.71451--0.643212))+0-33.2--0.0507960000000019</f>
        <v>299.94038800000004</v>
      </c>
      <c r="Y251" s="3">
        <f>288.1+(426.5-394.5)+(-0.146931+(-0.217515--0.201195))+0-33--0.0168299999999967</f>
        <v>286.95357899999999</v>
      </c>
      <c r="Z251" s="3">
        <f>287.2+(498.4-477.2)+(-0.292944+(-0.508368--0.486744))+0-32.9--0.0335580000000052</f>
        <v>275.21899000000002</v>
      </c>
      <c r="AA251" s="3">
        <f>287+(569.5-557.1)+(-0.29274+(-0.58089--0.568242))+0-33.6--0.0342720000000054</f>
        <v>265.52888399999995</v>
      </c>
      <c r="AB251" s="3">
        <f>287.6+(523.1-517.5)+(-0.146676+(-0.266781--0.263925))+0-33.7--0.0171869999999966</f>
        <v>259.36765500000001</v>
      </c>
      <c r="AC251" s="3">
        <f>269.2+(515.2-496.1)+(-0.137292+(-0.262752--0.253011))+0-33.3--0.0169829999999966</f>
        <v>254.86994999999999</v>
      </c>
      <c r="AD251">
        <v>300.39999999999998</v>
      </c>
      <c r="AE251" s="3">
        <f>285+(531.4-483.9)+(0+(0-0))+0-32.1-0</f>
        <v>300.39999999999998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144.2+(493.1-358)+(-0.147084+(-0.502962--0.36516))+0-33.2--0.0338640000000053</f>
        <v>245.84897800000005</v>
      </c>
      <c r="G252" s="3">
        <f>144.4+(456.3-330)+(-0.147288+(-0.465426--0.3366))+0-32.7--0.0333540000000052</f>
        <v>237.75724000000005</v>
      </c>
      <c r="H252" s="3">
        <f>78.6+(535-342.7)+(0.080172+(0.5457-0.349554))+0-33.1-0.0337620000000053</f>
        <v>238.04255599999999</v>
      </c>
      <c r="I252" s="3">
        <f>71.2+(552.3-357)+(0.108936+(0.845019-0.54621))+0-31.7-0.0485010000000018</f>
        <v>235.15924399999992</v>
      </c>
      <c r="J252" s="3">
        <f>72+(519-322.7)+(0.1836+(1.32345-0.822885))+0-30.8-0.0785399999999955</f>
        <v>238.105625</v>
      </c>
      <c r="K252" s="3">
        <f>71.3+(479.3-276.6)+(0.109089+(0.733329-0.423198))+0-32.2-0.0492660000000019</f>
        <v>242.16995400000002</v>
      </c>
      <c r="L252" s="3">
        <f>69.5+(564.8-350.5)+(-0.14178+(-1.152192--0.71502))+0-31.9--0.0650759999999986</f>
        <v>251.38612399999994</v>
      </c>
      <c r="M252" s="3">
        <f>69.9+(599.9-369.3)+(-0.035649+(-0.305949--0.188343))+0-33.5--0.0170849999999966</f>
        <v>266.86383000000001</v>
      </c>
      <c r="N252" s="3">
        <f>104.4+(599.2-377.6)+(0.106488+(0.611184-0.385152))+0-32.3-0.0329460000000051</f>
        <v>293.999574</v>
      </c>
      <c r="O252" s="3">
        <f>142.1+(556-357.7)+(0+(0-0))+0-29-0</f>
        <v>311.39999999999998</v>
      </c>
      <c r="P252" s="3">
        <f>142.3+(566.7-364.7)+(0.072573+(0.289017-0.185997))+0-28.7-0.0146369999999971</f>
        <v>315.76095600000008</v>
      </c>
      <c r="Q252" s="3">
        <f>141.9+(580.7-372.5)+(-0.144738+(-0.592314--0.37995))+0-33.2--0.0338640000000053</f>
        <v>316.57676200000003</v>
      </c>
      <c r="R252" s="3">
        <f>141+(576.4-366.6)+(-0.43146+(-1.763784--1.121796))+0-33.9--0.103734000000004</f>
        <v>315.93028600000002</v>
      </c>
      <c r="S252" s="3">
        <f>141.4+(560.1-371)+(-0.36057+(-1.428255--0.94605))+0-34--0.0866999999999951</f>
        <v>295.74392499999999</v>
      </c>
      <c r="T252" s="3">
        <f>141.5+(544.3-362.5)+(-0.14433+(-0.555186--0.36975))+0-33.9--0.0345780000000054</f>
        <v>289.10481199999998</v>
      </c>
      <c r="U252" s="3">
        <f>142.4+(529.3-352.9)+(0.145248+(0.539886-0.359958))+0-34.3-0.0349860000000055</f>
        <v>284.79018999999994</v>
      </c>
      <c r="V252" s="3">
        <f>142.5+(438-253.7)+(0.14535+(0.44676-0.258774))+0-34.1-0.0347820000000054</f>
        <v>292.99855399999996</v>
      </c>
      <c r="W252" s="3">
        <f>141.6+(518.7-311.8)+(0.216648+(0.793611-0.477054))+0-34.2-0.052326000000002</f>
        <v>314.78087900000003</v>
      </c>
      <c r="X252" s="3">
        <f>141.9+(549.9-343.6)+(-0.217107+(-0.841347--0.525708))+0-33.7--0.051561000000002</f>
        <v>314.01881499999996</v>
      </c>
      <c r="Y252" s="3">
        <f>144.1+(595.9-408.5)+(-0.146982+(-0.607818--0.41667))+0-30.3--0.0309060000000048</f>
        <v>300.89277600000003</v>
      </c>
      <c r="Z252" s="3">
        <f>144+(591.3-407.6)+(-0.07344+(-0.301563--0.207876))+0-33.7--0.0171869999999966</f>
        <v>293.85005999999993</v>
      </c>
      <c r="AA252" s="3">
        <f>143.8+(614-441.6)+(-0.146676+(-0.62628--0.450432))+0-33.7--0.0343740000000054</f>
        <v>282.21185000000003</v>
      </c>
      <c r="AB252" s="3">
        <f>143.2+(632.6-468.4)+(-0.438192+(-1.935756--1.433304))+0-33.6--0.102816000000004</f>
        <v>272.96217200000001</v>
      </c>
      <c r="AC252" s="3">
        <f>140.8+(669.6-510.8)+(-0.35904+(-1.70748--1.30254))+0-33.4--0.0851699999999952</f>
        <v>265.52119000000005</v>
      </c>
      <c r="AD252">
        <v>317.10000000000002</v>
      </c>
      <c r="AE252" s="3">
        <f>141+(530.6-320.3)+(0+(0-0))+0-34.2-0</f>
        <v>317.10000000000002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145.8+(511.2-371)+(-0.074358+(-0.260712--0.18921))+0-33.6--0.0171359999999966</f>
        <v>252.27127599999997</v>
      </c>
      <c r="G253" s="3">
        <f>145.1+(443.2-314.7)+(-0.296004+(-0.904128--0.641988))+0-32.7--0.0667079999999986</f>
        <v>240.40856400000001</v>
      </c>
      <c r="H253" s="3">
        <f>144.8+(451.3-326.8)+(0.221544+(0.690489-0.500004))+0-32.7-0.0500310000000019</f>
        <v>236.96199800000005</v>
      </c>
      <c r="I253" s="3">
        <f>117.7+(429.6-281.3)+(-0.180081+(-0.657288--0.430389))+0-32.3--0.0494190000000019</f>
        <v>233.34243900000001</v>
      </c>
      <c r="J253" s="3">
        <f>50.6+(418.3-202.2)+(0.103224+(0.853332-0.412488))+0-30.9-0.0630359999999986</f>
        <v>236.28103200000001</v>
      </c>
      <c r="K253" s="3">
        <f>50.5+(468-248)+(0.025755+(0.23868-0.12648))+0-31.8-0.0162179999999968</f>
        <v>238.82173699999996</v>
      </c>
      <c r="L253" s="3">
        <f>50.5+(537.8-309.9)+(-0.025755+(-0.274278--0.158049))+0-32.1--0.0163709999999967</f>
        <v>246.174387</v>
      </c>
      <c r="M253" s="3">
        <f>50.5+(559.9-317.5)+(-0.025755+(-0.285549--0.161925))+0-32.5--0.0165749999999967</f>
        <v>260.26719599999996</v>
      </c>
      <c r="N253" s="3">
        <f>50.6+(523.1-259.1)+(-0.025806+(-0.266781--0.132141))+0-30.5--0.0155549999999969</f>
        <v>283.95510900000005</v>
      </c>
      <c r="O253" s="3">
        <f>119.2+(518.3-312.3)+(-0.060792+(-0.264333--0.159273))+0-31.8--0.0162179999999968</f>
        <v>293.25036599999993</v>
      </c>
      <c r="P253" s="3">
        <f>146.3+(523.3-339.8)+(-0.074613+(-0.266883--0.173298))+0-33.4--0.0170339999999966</f>
        <v>296.24883599999998</v>
      </c>
      <c r="Q253" s="3">
        <f>146.4+(531.7-344.4)+(-0.223992+(-0.813501--0.526932))+0-33.4--0.0511020000000019</f>
        <v>299.84054100000009</v>
      </c>
      <c r="R253" s="3">
        <f>145.8+(500.5-314.2)+(-0.223074+(-0.765765--0.480726))+0-33--0.0504900000000019</f>
        <v>298.64237700000007</v>
      </c>
      <c r="S253" s="3">
        <f>145.4+(524.5-361.1)+(-0.074154+(-0.267495--0.184161))+0-32.5--0.0165749999999967</f>
        <v>276.15908699999994</v>
      </c>
      <c r="T253" s="3">
        <f>144.9+(510-351)+(0.221697+(0.7803-0.53703))+0-33.2-0.0507960000000019</f>
        <v>271.114171</v>
      </c>
      <c r="U253" s="3">
        <f>144.6+(480.8-323)+(0+(0-0))+0-32.9-0</f>
        <v>269.5</v>
      </c>
      <c r="V253" s="3">
        <f>144.9+(409.9-237.4)+(-0.295596+(-0.836196--0.484296))+0-33.5--0.0683399999999985</f>
        <v>283.32084399999997</v>
      </c>
      <c r="W253" s="3">
        <f>145.4+(295.2-91.1)+(0.074154+(0.150552-0.046461))+0-34-0.0173399999999966</f>
        <v>315.66090500000001</v>
      </c>
      <c r="X253" s="3">
        <f>146.3+(303.3-109.5)+(-0.223839+(-0.464049--0.167535))+0-28.7--0.0439110000000017</f>
        <v>310.92355800000001</v>
      </c>
      <c r="Y253" s="3">
        <f>146.3+(367.4-181.2)+(0+(0-0))+0-34-0</f>
        <v>298.5</v>
      </c>
      <c r="Z253" s="3">
        <f>144.7+(446.5-264)+(0+(0-0))+0-33.9-0</f>
        <v>293.3</v>
      </c>
      <c r="AA253" s="3">
        <f>143.7+(533.9-354.2)+(-0.293148+(-1.089156--0.722568))+0-33.7--0.0687479999999985</f>
        <v>289.10901199999995</v>
      </c>
      <c r="AB253" s="3">
        <f>143.6+(543.6-370.7)+(-0.512652+(-1.940652--1.323399))+0-33.4--0.119238</f>
        <v>282.08933300000001</v>
      </c>
      <c r="AC253" s="3">
        <f>142.7+(538.7-379.7)+(-0.363885+(-1.373685--0.968235))+0-33.1--0.0844049999999952</f>
        <v>267.91507000000001</v>
      </c>
      <c r="AD253">
        <v>312.3</v>
      </c>
      <c r="AE253" s="3">
        <f>146+(303.2-102.2)+(0+(0-0))+0-34.7-0</f>
        <v>312.3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124.4+(449.4-280.3)+(-0.444108+(-1.604358--1.000671))+0-32.5--0.116025</f>
        <v>260.06822999999997</v>
      </c>
      <c r="G254" s="3">
        <f>50.5+(368.3-142.7)+(-0.10302+(-0.751332--0.291108))+0-27.6--0.0563039999999988</f>
        <v>247.99306000000004</v>
      </c>
      <c r="H254" s="3">
        <f>50.5+(375.7-149)+(0+(0-0))+0-31.1-0</f>
        <v>246.1</v>
      </c>
      <c r="I254" s="3">
        <f>50.5+(478.9-253.5)+(-0.05151+(-0.488478--0.25857))+0-31.4--0.032028000000005</f>
        <v>244.25060999999999</v>
      </c>
      <c r="J254" s="3">
        <f>82+(422.1-228.5)+(0+(0-0))+0-32.8-0</f>
        <v>242.8</v>
      </c>
      <c r="K254" s="3">
        <f>126.8+(382.6-227.5)+(0.194004+(0.585378-0.348075))+0-33.4-0.0511020000000019</f>
        <v>248.88020500000002</v>
      </c>
      <c r="L254" s="3">
        <f>118.2+(479.4-312.8)+(-0.241128+(-0.977976--0.638112))+0-33--0.0673199999999986</f>
        <v>251.28632799999997</v>
      </c>
      <c r="M254" s="3">
        <f>95.7+(535.3-332.8)+(-0.048807+(-0.273003--0.169728))+0-33.1--0.0168809999999966</f>
        <v>264.96479899999991</v>
      </c>
      <c r="N254" s="3">
        <f>144.1+(553.8-368.7)+(0+(0-0))+0-32.8-0</f>
        <v>296.39999999999992</v>
      </c>
      <c r="O254" s="3">
        <f>144+(553.5-347.8)+(-0.07344+(-0.282285--0.177378))+0-30.1--0.0153509999999969</f>
        <v>319.437004</v>
      </c>
      <c r="P254" s="3">
        <f>143.4+(521.2-325.4)+(-0.292536+(-1.063248--0.663816))+0-31.4--0.0640559999999986</f>
        <v>307.17208800000009</v>
      </c>
      <c r="Q254" s="3">
        <f>137.6+(544.3-340.3)+(-0.35088+(-1.387965--0.867765))+0-31.8--0.0810899999999954</f>
        <v>309.01000999999991</v>
      </c>
      <c r="R254" s="3">
        <f>143.1+(484.5-293.1)+(-0.364905+(-1.235475--0.747405))+0-32.2--0.0821099999999953</f>
        <v>301.529135</v>
      </c>
      <c r="S254" s="3">
        <f>143.4+(504.3-332.8)+(-0.219402+(-0.771579--0.509184))+0-32.1--0.0491130000000019</f>
        <v>282.36731599999996</v>
      </c>
      <c r="T254" s="3">
        <f>142.9+(532.6-358.5)+(-0.218637+(-0.814878--0.548505))+0-32.8--0.0501840000000019</f>
        <v>283.765174</v>
      </c>
      <c r="U254" s="3">
        <f>141.4+(504.3-331.8)+(-0.144228+(-0.514386--0.338436))+0-33.6--0.0342720000000054</f>
        <v>280.01409399999994</v>
      </c>
      <c r="V254" s="3">
        <f>141.3+(514.2-333.5)+(0+(0-0))+0-33.7-0</f>
        <v>288.30000000000007</v>
      </c>
      <c r="W254" s="3">
        <f>141.5+(492.8-285.9)+(0.28866+(1.005312-0.583236))+0-28.5-0.0581399999999988</f>
        <v>320.55259600000005</v>
      </c>
      <c r="X254" s="3">
        <f>140.8+(499.3-295.6)+(-0.215424+(-0.763929--0.452268))+0-30.9--0.0472770000000018</f>
        <v>313.12019200000003</v>
      </c>
      <c r="Y254" s="3">
        <f>140.3+(487.8-297.7)+(-0.429318+(-1.492668--0.910962))+0-30.8--0.0942480000000036</f>
        <v>298.683224</v>
      </c>
      <c r="Z254" s="3">
        <f>140.7+(502.8-321)+(-0.215271+(-0.769284--0.49113))+0-32.9--0.0503370000000019</f>
        <v>289.15691200000003</v>
      </c>
      <c r="AA254" s="3">
        <f>140.2+(558.6-382.7)+(-0.214506+(-0.854658--0.585531))+0-33.3--0.0509490000000019</f>
        <v>282.36731600000002</v>
      </c>
      <c r="AB254" s="3">
        <f>141.1+(414.8-247.9)+(-0.071961+(-0.211548--0.126429))+0-33.2--0.0169319999999966</f>
        <v>274.659852</v>
      </c>
      <c r="AC254" s="3">
        <f>140.2+(475.3-317.5)+(-0.35751+(-1.212015--0.809625))+0-33.3--0.0849149999999952</f>
        <v>264.02501499999994</v>
      </c>
      <c r="AD254">
        <v>322.00000000000006</v>
      </c>
      <c r="AE254" s="3">
        <f>141+(541.1-341.7)+(0+(0-0))+0-18.4-0</f>
        <v>322.00000000000006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105.6+(326.9-140.8)+(-0.215424+(-0.666876--0.287232))+0-33.8--0.0689519999999985</f>
        <v>257.37388399999992</v>
      </c>
      <c r="G255" s="3">
        <f>70.4+(346.6-133.7)+(0.035904+(0.176766-0.068187))+0-33.5-0.0170849999999966</f>
        <v>249.92739800000004</v>
      </c>
      <c r="H255" s="3">
        <f>70.7+(389.6-184.3)+(0.072114+(0.397392-0.187986))+0-34.9-0.0355980000000056</f>
        <v>241.345922</v>
      </c>
      <c r="I255" s="3">
        <f>70.3+(388.8-185.1)+(-0.107559+(-0.594864--0.283203))+0-33.6--0.0514080000000019</f>
        <v>240.03218800000002</v>
      </c>
      <c r="J255" s="3">
        <f>70.7+(365.3-163.8)+(-0.036057+(-0.186303--0.083538))+0-31--0.0158099999999969</f>
        <v>241.07698799999997</v>
      </c>
      <c r="K255" s="3">
        <f>89.6+(378.9-196.5)+(0.182784+(0.772956-0.40086))+0-30.2-0.0616079999999987</f>
        <v>242.29327200000003</v>
      </c>
      <c r="L255" s="3">
        <f>130.8+(326.8-170.8)+(0+(0-0))+0-33.5-0</f>
        <v>253.3</v>
      </c>
      <c r="M255" s="3">
        <f>130.8+(454.6-286.5)+(-0.066708+(-0.231846--0.146115))+0-29.1--0.014840999999997</f>
        <v>269.66240199999999</v>
      </c>
      <c r="N255" s="3">
        <f>132.7+(496.2-318.6)+(0+(0-0))+0-27.8-0</f>
        <v>282.49999999999994</v>
      </c>
      <c r="O255" s="3">
        <f>141.2+(459-253.8)+(0+(0-0))+0-29-0</f>
        <v>317.39999999999998</v>
      </c>
      <c r="P255" s="3">
        <f>141.2+(481.1-273.1)+(-0.072012+(-0.245361--0.139281))+0-30.1--0.0153509999999969</f>
        <v>318.93725899999998</v>
      </c>
      <c r="Q255" s="3">
        <f>140.9+(468.1-261.9)+(-0.071859+(-0.238731--0.133569))+0-30.5--0.0155549999999969</f>
        <v>316.438534</v>
      </c>
      <c r="R255" s="3">
        <f>140.6+(471-263.2)+(0+(0-0))+0-31.7-0</f>
        <v>316.7</v>
      </c>
      <c r="S255" s="3">
        <f>141.1+(419.1-245.1)+(0+(0-0))+0-32.1-0</f>
        <v>283</v>
      </c>
      <c r="T255" s="3">
        <f>141.3+(451.5-279.6)+(0.144126+(0.46053-0.285192))+0-33-0.0336600000000053</f>
        <v>280.48580399999997</v>
      </c>
      <c r="U255" s="3">
        <f>141+(413.3-244.7)+(-0.14382+(-0.421566--0.249594))+0-29.3--0.0298860000000047</f>
        <v>280.014094</v>
      </c>
      <c r="V255" s="3">
        <f>141.2+(492.6-308.8)+(0+(0-0))+0-34.2-0</f>
        <v>290.8</v>
      </c>
      <c r="W255" s="3">
        <f>141.3+(508.1-316.3)+(0+(0-0))+0-16.2-0</f>
        <v>316.90000000000003</v>
      </c>
      <c r="X255" s="3">
        <f>140.5+(503.2-307.8)+(-0.214965+(-0.769896--0.470934))+0-22.9--0.0350370000000013</f>
        <v>312.52110999999996</v>
      </c>
      <c r="Y255" s="3">
        <f>140.7+(363.1-168)+(-0.287028+(-0.740724--0.34272))+0-34.1--0.0695639999999985</f>
        <v>301.08453200000002</v>
      </c>
      <c r="Z255" s="3">
        <f>142.2+(381.3-196)+(-0.145044+(-0.388926--0.19992))+0-33.9--0.0345780000000054</f>
        <v>293.30052800000004</v>
      </c>
      <c r="AA255" s="3">
        <f>144+(457.8-283.1)+(-0.22032+(-0.700434--0.433143))+0-33.7--0.051561000000002</f>
        <v>284.56394999999998</v>
      </c>
      <c r="AB255" s="3">
        <f>157.7+(497.8-344.2)+(-0.321708+(-1.015512--0.702168))+0-33.9--0.0691559999999985</f>
        <v>276.83410400000008</v>
      </c>
      <c r="AC255" s="3">
        <f>143.3+(521-363.3)+(-0.292332+(-1.06284--0.741132))+0-33.8--0.0689519999999985</f>
        <v>266.65491200000002</v>
      </c>
      <c r="AD255">
        <v>317.59999999999997</v>
      </c>
      <c r="AE255" s="3">
        <f>141+(504.3-326.8)+(0+(0-0))+0-0.9-0</f>
        <v>317.60000000000002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144.7+(435.9-295.6)+(-0.221391+(-0.666927--0.452268))+0-33.2--0.0507960000000019</f>
        <v>251.41474599999992</v>
      </c>
      <c r="G256" s="3">
        <f>142.1+(362.5-224.2)+(-0.579768+(-1.479--0.914736))+0-33.3--0.135863999999997</f>
        <v>246.09183199999998</v>
      </c>
      <c r="H256" s="3">
        <f>142.8+(392.1-254.3)+(-0.509796+(-1.399797--0.907851))+0-33.2--0.118524</f>
        <v>246.51678200000006</v>
      </c>
      <c r="I256" s="3">
        <f>143.1+(360.9-231.3)+(-0.291924+(-0.736236--0.471852))+0-33.2--0.0677279999999986</f>
        <v>239.01141999999993</v>
      </c>
      <c r="J256" s="3">
        <f>144+(356-226.9)+(-0.07344+(-0.18156--0.115719))+0-33.3--0.0169829999999966</f>
        <v>239.67770200000004</v>
      </c>
      <c r="K256" s="3">
        <f>144+(307.9-180.6)+(0+(0-0))+0-33.2-0</f>
        <v>238.09999999999997</v>
      </c>
      <c r="L256" s="3">
        <f>128.1+(287.9-143.6)+(-0.130662+(-0.293658--0.146472))+0-33.3--0.0339660000000053</f>
        <v>238.85611799999995</v>
      </c>
      <c r="M256" s="3">
        <f>50.5+(373.6-135.9)+(0.025755+(0.190536-0.069309))+0-33.8-0.0172379999999966</f>
        <v>254.52974400000002</v>
      </c>
      <c r="N256" s="3">
        <f>125.4+(521.9-335.5)+(0.127908+(0.532338-0.34221))+0-33-0.0336600000000053</f>
        <v>279.08437599999996</v>
      </c>
      <c r="O256" s="3">
        <f>135.9+(521.1-333.1)+(-0.069309+(-0.265761--0.169881))+0-28.8--0.0146879999999971</f>
        <v>294.94949899999995</v>
      </c>
      <c r="P256" s="3">
        <f>136.4+(546.2-347.8)+(0+(0-0))+0-32.5-0</f>
        <v>302.30000000000007</v>
      </c>
      <c r="Q256" s="3">
        <f>135.6+(556-353.7)+(-0.207468+(-0.85068--0.541161))+0-32.9--0.0503370000000019</f>
        <v>304.53335000000004</v>
      </c>
      <c r="R256" s="3">
        <f>141.2+(539.1-351.9)+(-0.432072+(-1.649646--1.076814))+0-33.6--0.102816000000004</f>
        <v>293.89791200000002</v>
      </c>
      <c r="S256" s="3">
        <f>235.3+(454.6-392.7)+(-0.600015+(-1.15923--1.001385))+0-33--0.0841499999999952</f>
        <v>263.52629000000007</v>
      </c>
      <c r="T256" s="3">
        <f>253.3+(375.6-336.3)+(0.129183+(0.191556-0.171513))+0-33.4-0.0170339999999966</f>
        <v>259.33219200000002</v>
      </c>
      <c r="U256" s="3">
        <f>170.3+(343.1-223.6)+(-0.260559+(-0.524943--0.342108))+0-32.6--0.0498780000000019</f>
        <v>256.80648400000001</v>
      </c>
      <c r="V256" s="3">
        <f>185.3+(339.5-225.8)+(0+(0-0))+0-32.7-0</f>
        <v>266.3</v>
      </c>
      <c r="W256" s="3">
        <f>138.4+(346.2-172.9)+(-0.070584+(-0.176562--0.088179))+0-22.5--0.0114749999999977</f>
        <v>289.05250799999999</v>
      </c>
      <c r="X256" s="3">
        <f>136.4+(391.8-245.8)+(0.139128+(0.399636-0.250716))+0-0-0</f>
        <v>282.68804799999998</v>
      </c>
      <c r="Y256" s="3">
        <f>135.5+(423.4-280.9)+(-0.27642+(-0.863736--0.573036))+0-5--0.0101999999999998</f>
        <v>272.44308000000001</v>
      </c>
      <c r="Z256" s="3">
        <f>135.1+(468.3-331.9)+(-0.275604+(-0.955332--0.677076))+0-5.5--0.0112199999999998</f>
        <v>265.45735999999999</v>
      </c>
      <c r="AA256" s="3">
        <f>136.1+(481.8-347.8)+(0.069411+(0.245718-0.177378))+0-5.8-0.00295799999999941</f>
        <v>264.43479300000001</v>
      </c>
      <c r="AB256" s="3">
        <f>136+(495.9-370.8)+(-0.06936+(-0.252909--0.189108))+0-6.5--0.00331499999999934</f>
        <v>254.47015399999998</v>
      </c>
      <c r="AC256" s="3">
        <f>135+(483.6-360.7)+(-0.20655+(-0.739908--0.551871))+0-7.3--0.0111690000000004</f>
        <v>250.21658200000002</v>
      </c>
      <c r="AD256">
        <v>275.3</v>
      </c>
      <c r="AE256" s="3">
        <f>136+(335.6-182.1)+(0+(0-0))+0-14.2-0</f>
        <v>275.3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135.4+(405.6-284)+(-0.34527+(-1.03428--0.7242))+0-8--0.0203999999999988</f>
        <v>248.36505</v>
      </c>
      <c r="G257" s="3">
        <f>135.5+(383.8-260.7)+(-0.13821+(-0.391476--0.265914))+0-8--0.00816000000000128</f>
        <v>250.34438800000001</v>
      </c>
      <c r="H257" s="3">
        <f>135.5+(325.6-206.8)+(-0.13821+(-0.332112--0.210936))+0-5.6--0.00571200000000089</f>
        <v>248.446326</v>
      </c>
      <c r="I257" s="3">
        <f>135.9+(306-191)+(-0.069309+(-0.15606--0.09741))+0-6.8--0.00346799999999931</f>
        <v>243.97550899999999</v>
      </c>
      <c r="J257" s="3">
        <f>126.3+(332.7-203.5)+(-0.064413+(-0.169677--0.103785))+0-9--0.00458999999999909</f>
        <v>246.37428500000001</v>
      </c>
      <c r="K257" s="3">
        <f>81.7+(342.6-172.1)+(0.166668+(0.698904-0.351084))+0-10-0.0203999999999996</f>
        <v>242.69408800000005</v>
      </c>
      <c r="L257" s="3">
        <f>80.3+(345.4-171.4)+(-0.081906+(-0.352308--0.174828))+0-12.7--0.012954000000002</f>
        <v>241.35356799999997</v>
      </c>
      <c r="M257" s="3">
        <f>80+(405.3-241.1)+(0+(0-0))+0-14.6-0</f>
        <v>229.60000000000002</v>
      </c>
      <c r="N257" s="3">
        <f>81.1+(419.6-253.6)+(0+(0-0))+0-14.5-0</f>
        <v>232.60000000000002</v>
      </c>
      <c r="O257" s="3">
        <f>80.4+(468.6-292.1)+(-0.041004+(-0.238986--0.148971))+0-15.8--0.0080579999999984</f>
        <v>240.97703899999999</v>
      </c>
      <c r="P257" s="3">
        <f>80.1+(471-289.2)+(-0.122553+(-0.72063--0.442476))+0-18.5--0.0283050000000011</f>
        <v>243.02759799999995</v>
      </c>
      <c r="Q257" s="3">
        <f>79.8+(477.3-289.6)+(-0.162792+(-0.973692--0.590784))+0-19.7--0.0401879999999991</f>
        <v>247.294488</v>
      </c>
      <c r="R257" s="3">
        <f>79.7+(469.7-290.6)+(-0.203235+(-1.197735--0.74103))+0-20.2--0.0515099999999971</f>
        <v>237.99156999999997</v>
      </c>
      <c r="S257" s="3">
        <f>80.4+(474.9-307.3)+(-0.082008+(-0.484398--0.313446))+0-20.6--0.0210120000000033</f>
        <v>227.16805199999999</v>
      </c>
      <c r="T257" s="3">
        <f>80.7+(491.3-328.9)+(0+(0-0))+0-18.3-0</f>
        <v>224.8</v>
      </c>
      <c r="U257" s="3">
        <f>81.5+(488.1-322.4)+(0.124695+(0.746793-0.493272))+0-23.7-0.0362610000000014</f>
        <v>223.84195500000007</v>
      </c>
      <c r="V257" s="3">
        <f>141.6+(374.4-253.3)+(0+(0-0))+0-27-0</f>
        <v>235.69999999999993</v>
      </c>
      <c r="W257" s="3">
        <f>143.9+(406.7-258.1)+(-0.146778+(-0.414834--0.263262))+0-28.9--0.0294780000000046</f>
        <v>263.33112799999998</v>
      </c>
      <c r="X257" s="3">
        <f>134.5+(420.4-269.1)+(-0.068595+(-0.214404--0.137241))+0-24.9--0.0126989999999975</f>
        <v>260.76694099999997</v>
      </c>
      <c r="Y257" s="3">
        <f>110.3+(453.8-281.3)+(-0.168759+(-0.694314--0.430389))+0-28.8--0.0440640000000017</f>
        <v>253.61138</v>
      </c>
      <c r="Z257" s="3">
        <f>110.6+(428.9-261.5)+(-0.112812+(-0.437478--0.26673))+0-28.4--0.0289680000000045</f>
        <v>249.34540799999996</v>
      </c>
      <c r="AA257" s="3">
        <f>110.9+(416.6-253.1)+(0.056559+(0.212466-0.129081))+0-28.6-0.0145859999999971</f>
        <v>245.92535800000005</v>
      </c>
      <c r="AB257" s="3">
        <f>111.4+(440.5-284.7)+(0.113628+(0.44931-0.290394))+0-28.5-0.0290700000000045</f>
        <v>238.94347400000001</v>
      </c>
      <c r="AC257" s="3">
        <f>110.6+(468.4-321)+(0+(0-0))+0-28.9-0</f>
        <v>229.1</v>
      </c>
      <c r="AD257">
        <v>255.80000000000007</v>
      </c>
      <c r="AE257" s="3">
        <f>143+(405.2-262.4)+(0+(0-0))+0-30-0</f>
        <v>255.8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110+(452.7-308.2)+(-0.1122+(-0.461754--0.314364))+0-30.5--0.0311100000000049</f>
        <v>223.77152000000001</v>
      </c>
      <c r="G258" s="3">
        <f>111.1+(363.2-225.3)+(-0.056661+(-0.185232--0.114903))+0-31.2--0.0159119999999968</f>
        <v>217.68892199999996</v>
      </c>
      <c r="H258" s="3">
        <f>80.5+(361.4-190.5)+(-0.08211+(-0.368628--0.19431))+0-31--0.0316200000000049</f>
        <v>220.17519199999998</v>
      </c>
      <c r="I258" s="3">
        <f>50.5+(371.5-171.9)+(-0.025755+(-0.189465--0.087669))+0-31.1--0.0158609999999968</f>
        <v>218.88830999999999</v>
      </c>
      <c r="J258" s="3">
        <f>50.5+(316.9-114)+(0.025755+(0.161619-0.05814))+0-31.5-0.0160649999999968</f>
        <v>222.01316899999998</v>
      </c>
      <c r="K258" s="3">
        <f>50.5+(347.9-141.7)+(-0.025755+(-0.177429--0.072267))+0-31.4--0.0160139999999968</f>
        <v>225.18509699999996</v>
      </c>
      <c r="L258" s="3">
        <f>50.5+(475.3-265.8)+(-0.025755+(-0.242403--0.135558))+0-30.2--0.0154019999999969</f>
        <v>229.68280199999998</v>
      </c>
      <c r="M258" s="3">
        <f>50.5+(544.8-314.6)+(-0.077265+(-0.833544--0.481338))+0-28.7--0.0439110000000017</f>
        <v>251.61443999999997</v>
      </c>
      <c r="N258" s="3">
        <f>134.1+(546.3-380.1)+(-0.068391+(-0.278613--0.193851))+0-32.3--0.0164729999999967</f>
        <v>267.86331999999999</v>
      </c>
      <c r="O258" s="3">
        <f>143.6+(536.5-363.1)+(-0.146472+(-0.54723--0.370362))+0-32.5--0.0331500000000052</f>
        <v>284.20981</v>
      </c>
      <c r="P258" s="3">
        <f>141.2+(525.1-345.2)+(-0.072012+(-0.267801--0.176052))+0-32.5--0.0165749999999967</f>
        <v>288.45281399999999</v>
      </c>
      <c r="Q258" s="3">
        <f>141+(510.6-336)+(-0.07191+(-0.260406--0.17136))+0-26.4--0.0134639999999973</f>
        <v>289.05250800000005</v>
      </c>
      <c r="R258" s="3">
        <f>140.6+(503.3-329.3)+(-0.286824+(-1.026732--0.671772))+0-32.9--0.0671159999999986</f>
        <v>281.12533200000007</v>
      </c>
      <c r="S258" s="3">
        <f>141+(523-365.3)+(-0.07191+(-0.26673--0.186303))+0-33--0.0168299999999967</f>
        <v>265.56449299999997</v>
      </c>
      <c r="T258" s="3">
        <f>140.3+(519.5-351.6)+(-0.286212+(-1.05978--0.717264))+0-33.7--0.0687479999999985</f>
        <v>273.94001999999995</v>
      </c>
      <c r="U258" s="3">
        <f>140.9+(489.1-324.2)+(0+(0-0))+0-33.5-0</f>
        <v>272.30000000000007</v>
      </c>
      <c r="V258" s="3">
        <f>141.1+(394.4-222)+(-0.071961+(-0.201144--0.11322))+0-33.1--0.0168809999999966</f>
        <v>280.25699600000002</v>
      </c>
      <c r="W258" s="3">
        <f>141+(391.8-199.3)+(-0.14382+(-0.399636--0.203286))+0-33.7--0.0343740000000054</f>
        <v>299.49420400000002</v>
      </c>
      <c r="X258" s="3">
        <f>140.4+(450.5-266.4)+(-0.286416+(-0.91902--0.543456))+0-33.6--0.0685439999999985</f>
        <v>290.30656399999992</v>
      </c>
      <c r="Y258" s="3">
        <f>140.4+(496.8-324.5)+(-0.35802+(-1.26684--0.827475))+0-33.7--0.0859349999999951</f>
        <v>278.28855000000004</v>
      </c>
      <c r="Z258" s="3">
        <f>140.7+(469.6-304.1)+(-0.215271+(-0.718488--0.465273))+0-33.7--0.051561000000002</f>
        <v>272.08307500000001</v>
      </c>
      <c r="AA258" s="3">
        <f>140.8+(477.7-319)+(-0.143616+(-0.487254--0.32538))+0-33.7--0.0343740000000054</f>
        <v>265.52888400000001</v>
      </c>
      <c r="AB258" s="3">
        <f>140.6+(439.4-286.8)+(-0.071706+(-0.224094--0.146268))+0-33--0.0168299999999967</f>
        <v>260.06729799999988</v>
      </c>
      <c r="AC258" s="3">
        <f>141.3+(412.9-267.2)+(0+(0-0))+0-33.3-0</f>
        <v>253.7</v>
      </c>
      <c r="AD258">
        <v>302.09999999999997</v>
      </c>
      <c r="AE258" s="3">
        <f>141+(394.4-199.2)+(0+(0-0))+0-34.1-0</f>
        <v>302.09999999999997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140.7+(464.6-321.1)+(-0.143514+(-0.473892--0.327522))+0-33.8--0.0344760000000054</f>
        <v>250.14459200000002</v>
      </c>
      <c r="G259" s="3">
        <f>140+(395.5-266.4)+(-0.2856+(-0.80682--0.543456))+0-32.7--0.0667079999999986</f>
        <v>235.91774400000003</v>
      </c>
      <c r="H259" s="3">
        <f>141+(353.7-223.1)+(-0.07191+(-0.180387--0.113781))+0-32.4--0.0165239999999967</f>
        <v>239.07800800000004</v>
      </c>
      <c r="I259" s="3">
        <f>140.7+(326-198.6)+(-0.143514+(-0.33252--0.202572))+0-32.9--0.0335580000000052</f>
        <v>234.96009600000002</v>
      </c>
      <c r="J259" s="3">
        <f>140.7+(303.8-174.8)+(-0.143514+(-0.309876--0.178296))+0-32.6--0.0332520000000052</f>
        <v>236.85815799999997</v>
      </c>
      <c r="K259" s="3">
        <f>142.3+(326.5-196.4)+(0.290292+(0.66606-0.400656))+0-33-0.0673199999999986</f>
        <v>239.88837599999999</v>
      </c>
      <c r="L259" s="3">
        <f>139.3+(360.5-222.3)+(-0.284172+(-0.73542--0.453492))+0-33--0.0673199999999986</f>
        <v>244.00121999999999</v>
      </c>
      <c r="M259" s="3">
        <f>140.2+(309.9-160.1)+(-0.143004+(-0.316098--0.163302))+0-33.5--0.0341700000000053</f>
        <v>256.23837000000003</v>
      </c>
      <c r="N259" s="3">
        <f>141+(503.2-334.4)+(-0.07191+(-0.256632--0.170544))+0-31.3--0.0159629999999968</f>
        <v>278.35796499999998</v>
      </c>
      <c r="O259" s="3">
        <f>142.4+(491.9-312.6)+(0+(0-0))+0-32.3-0</f>
        <v>289.39999999999992</v>
      </c>
      <c r="P259" s="3">
        <f>141.4+(407.5-228.9)+(-0.36057+(-1.039125--0.583695))+0-25.7--0.0655349999999963</f>
        <v>293.54953500000005</v>
      </c>
      <c r="Q259" s="3">
        <f>141.9+(406.3-226.7)+(-0.144738+(-0.414426--0.231234))+0-31.3--0.031926000000005</f>
        <v>289.90399600000001</v>
      </c>
      <c r="R259" s="3">
        <f>140.2+(406.2-232.3)+(-0.572016+(-1.657296--0.947784))+0-33.9--0.138311999999997</f>
        <v>279.05678399999999</v>
      </c>
      <c r="S259" s="3">
        <f>140.9+(413.9-260.8)+(-0.143718+(-0.422178--0.266016))+0-34.2--0.0348840000000055</f>
        <v>259.53500400000007</v>
      </c>
      <c r="T259" s="3">
        <f>140.4+(405.6-255.3)+(-0.214812+(-0.620568--0.390609))+0-33.6--0.0514080000000019</f>
        <v>256.706637</v>
      </c>
      <c r="U259" s="3">
        <f>140+(364.3-226.8)+(-0.2142+(-0.557379--0.347004))+0-33.4--0.0511020000000019</f>
        <v>243.726527</v>
      </c>
      <c r="V259" s="3">
        <f>141.4+(352.6-215.6)+(0.216342+(0.539478-0.329868))+0-33.3-0.0509490000000019</f>
        <v>245.47500300000002</v>
      </c>
      <c r="W259" s="3">
        <f>140.9+(354.9-196.9)+(-0.071859+(-0.180999--0.100419))+0-33.2--0.0169319999999966</f>
        <v>265.56449299999997</v>
      </c>
      <c r="X259" s="3">
        <f>118.5+(356.1-185.1)+(-0.423045+(-1.271277--0.660807))+0-31.9--0.113883</f>
        <v>256.68036799999999</v>
      </c>
      <c r="Y259" s="3">
        <f>115.6+(258.7-102.6)+(-0.117912+(-0.263874--0.104652))+0-30.6--0.0312120000000049</f>
        <v>240.85407800000002</v>
      </c>
      <c r="Z259" s="3">
        <f>115.3+(245.6-96.3)+(-0.235212+(-0.501024--0.196452))+0-31.8--0.0648719999999986</f>
        <v>232.32508800000002</v>
      </c>
      <c r="AA259" s="3">
        <f>115.5+(278.9-133.8)+(-0.176715+(-0.426717--0.204714))+0-31.8--0.0486540000000018</f>
        <v>228.44993599999998</v>
      </c>
      <c r="AB259" s="3">
        <f>115.6+(255.1-109.5)+(-0.117912+(-0.260202--0.11169))+0-32--0.0326400000000051</f>
        <v>228.96621600000003</v>
      </c>
      <c r="AC259" s="3">
        <f>81.4+(264.8-87.5)+(-0.124542+(-0.405144--0.133875))+0-33.2--0.0507960000000019</f>
        <v>225.15498500000007</v>
      </c>
      <c r="AD259">
        <v>271.49999999999994</v>
      </c>
      <c r="AE259" s="3">
        <f>141+(357.4-193.6)+(0+(0-0))+0-33.3-0</f>
        <v>271.49999999999994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76+(177-3.2)+(0.03876+(0.09027-0.001632))+0-33.3-0.0169829999999966</f>
        <v>216.61041500000002</v>
      </c>
      <c r="G260" s="3">
        <f>81+(200.9-35.9)+(0.08262+(0.204918-0.036618))+0-33.1-0.0337620000000053</f>
        <v>213.11715800000002</v>
      </c>
      <c r="H260" s="3">
        <f>80.7+(225.5-75.6)+(0+(0-0))+0-31.8-0</f>
        <v>198.8</v>
      </c>
      <c r="I260" s="3">
        <f>82+(251.6-108.1)+(0.16728+(0.513264-0.220524))+0-29.3-0.0597719999999987</f>
        <v>196.60024799999997</v>
      </c>
      <c r="J260" s="3">
        <f>80.3+(231.5-83.7)+(-0.081906+(-0.23613--0.085374))+0-32.1--0.0327420000000051</f>
        <v>195.80008000000004</v>
      </c>
      <c r="K260" s="3">
        <f>81.5+(254.9-113.5)+(0.08313+(0.259998-0.11577))+0-29.2-0.0297840000000047</f>
        <v>193.89757400000002</v>
      </c>
      <c r="L260" s="3">
        <f>79.3+(250.5-107.4)+(-0.202215+(-0.638775--0.27387))+0-31.6--0.0805799999999954</f>
        <v>190.31345999999999</v>
      </c>
      <c r="M260" s="3">
        <f>80.3+(252.6-130)+(-0.040953+(-0.128826--0.0663))+0-32.5--0.0165749999999967</f>
        <v>170.31309599999997</v>
      </c>
      <c r="N260" s="3">
        <f>81.1+(329.7-212)+(0.082722+(0.336294-0.21624))+0-31.7-0.0323340000000051</f>
        <v>167.270442</v>
      </c>
      <c r="O260" s="3">
        <f>138.6+(310.9-252.7)+(-0.282744+(-0.634236--0.515508))+0-31.6--0.0644639999999986</f>
        <v>164.86299199999996</v>
      </c>
      <c r="P260" s="3">
        <f>141+(338.1-283.7)+(-0.07191+(-0.172431--0.144687))+0-31.3--0.0159629999999968</f>
        <v>164.01630900000004</v>
      </c>
      <c r="Q260" s="3">
        <f>139.7+(322.6-272.7)+(-0.427482+(-0.987156--0.834462))+0-25.9--0.079254000000003</f>
        <v>163.19907800000001</v>
      </c>
      <c r="R260" s="3">
        <f>141+(337.7-292.5)+(0+(0-0))+0-30.8-0</f>
        <v>155.39999999999998</v>
      </c>
      <c r="S260" s="3">
        <f>141.1+(349.6-304.5)+(0+(0-0))+0-31.7-0</f>
        <v>154.50000000000003</v>
      </c>
      <c r="T260" s="3">
        <f>139.9+(323.8-276.3)+(-0.356745+(-0.82569--0.704565))+0-30.7--0.0782849999999955</f>
        <v>156.30041500000002</v>
      </c>
      <c r="U260" s="3">
        <f>141.7+(340.9-298.1)+(0.216801+(0.521577-0.456093))+0-30.7-0.0469710000000018</f>
        <v>154.03531399999994</v>
      </c>
      <c r="V260" s="3">
        <f>141+(271.8-214.2)+(-0.07191+(-0.138618--0.109242))+0-31.6--0.0161159999999968</f>
        <v>166.91483000000005</v>
      </c>
      <c r="W260" s="3">
        <f>141.4+(244.9-166.6)+(0+(0-0))+0-27.8-0</f>
        <v>191.9</v>
      </c>
      <c r="X260" s="3">
        <f>121.8+(238.4-153.8)+(-0.434826+(-0.851088--0.549066))+0-31.7--0.113169</f>
        <v>174.07632099999998</v>
      </c>
      <c r="Y260" s="3">
        <f>51+(285.1-125.2)+(-0.10404+(-0.581604--0.255408))+0-28.2--0.0575279999999988</f>
        <v>182.32729200000003</v>
      </c>
      <c r="Z260" s="3">
        <f>51+(230.8-69.4)+(-0.07803+(-0.353124--0.106182))+0-32.8--0.0501840000000019</f>
        <v>179.32521200000002</v>
      </c>
      <c r="AA260" s="3">
        <f>50+(250.8-91.8)+(0+(0-0))+0-33.2-0</f>
        <v>175.8</v>
      </c>
      <c r="AB260" s="3">
        <f>50+(305.5-146.9)+(-0.051+(-0.31161--0.149838))+0-32--0.0326400000000051</f>
        <v>176.41986800000001</v>
      </c>
      <c r="AC260" s="3">
        <f>54+(355.9-199.9)+(-0.16524+(-1.089054--0.611694))+0-32.3--0.0988380000000037</f>
        <v>177.15623799999997</v>
      </c>
      <c r="AD260">
        <v>222.70000000000005</v>
      </c>
      <c r="AE260" s="3">
        <f>142+(285.6-171.4)+(0+(0-0))+0-33.5-0</f>
        <v>222.70000000000005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49+(309.8-163.3)+(-0.07497+(-0.473994--0.249849))+0-31.3--0.0478890000000018</f>
        <v>163.94877399999999</v>
      </c>
      <c r="G261" s="3">
        <f>52+(252.3-115.4)+(-0.05304+(-0.257346--0.117708))+0-31.8--0.0324360000000051</f>
        <v>156.93975800000001</v>
      </c>
      <c r="H261" s="3">
        <f>139+(250.2-217.5)+(-0.28356+(-0.510408--0.4437))+0-24.2--0.0493679999999989</f>
        <v>147.19909999999999</v>
      </c>
      <c r="I261" s="3">
        <f>140+(250.4-217.5)+(0+(0-0))+0-26.4-0</f>
        <v>146.5</v>
      </c>
      <c r="J261" s="3">
        <f>143+(280.3-255.2)+(0.07293+(0.142953-0.130152))+0-19.6-0.00999599999999801</f>
        <v>148.57573500000004</v>
      </c>
      <c r="K261" s="3">
        <f>142+(281.3-247.7)+(-0.21726+(-0.430389--0.378981))+0-26.7--0.0408510000000015</f>
        <v>148.67218300000005</v>
      </c>
      <c r="L261" s="3">
        <f>142+(277.5-251.5)+(-0.14484+(-0.28305--0.25653))+0-29--0.0295800000000046</f>
        <v>138.85822000000002</v>
      </c>
      <c r="M261" s="3">
        <f>142+(264-260)+(-0.21726+(-0.40392--0.3978))+0-27--0.0413100000000016</f>
        <v>118.81793</v>
      </c>
      <c r="N261" s="3">
        <f>138+(264-255.9)+(-0.07038+(-0.13464--0.130509))+0-19.9--0.010148999999998</f>
        <v>126.13563799999999</v>
      </c>
      <c r="O261" s="3">
        <f>136+(296.2-283.2)+(0+(0-0))+0-23.3-0</f>
        <v>125.7</v>
      </c>
      <c r="P261" s="3">
        <f>119+(323.8-321)+(-0.36414+(-0.990828--0.98226))+0-30.8--0.0942480000000036</f>
        <v>90.721540000000019</v>
      </c>
      <c r="Q261" s="3">
        <f>117+(315.4-254)+(-0.05967+(-0.160854--0.12954))+0-30--0.015299999999997</f>
        <v>148.32431599999998</v>
      </c>
      <c r="R261" s="3">
        <f>119+(283-245)+(0.06069+(0.14433-0.12495))+0-31-0.0158099999999969</f>
        <v>126.06426</v>
      </c>
      <c r="S261" s="3">
        <f>139+(289-262)+(0.21267+(0.44217-0.40086))+0-27-0.0413100000000016</f>
        <v>139.21267</v>
      </c>
      <c r="T261" s="3">
        <f>140+(290-290)+(-0.0714+(-0.1479--0.1479))+0-26--0.0132599999999974</f>
        <v>113.94185999999999</v>
      </c>
      <c r="U261" s="3">
        <f>51+(313-226)+(-0.02601+(-0.15963--0.11526))+0-20--0.010199999999998</f>
        <v>117.93982</v>
      </c>
      <c r="V261" s="3">
        <f>50+(181-59)+(-0.051+(-0.18462--0.06018))+0-19--0.019380000000003</f>
        <v>152.84394</v>
      </c>
      <c r="W261" s="3">
        <f>49+(263-96)+(0+(0-0))+0-24-0</f>
        <v>192</v>
      </c>
      <c r="X261" s="3">
        <f>49+(278.4-112.6)+(-0.12495+(-0.70992--0.28713))+0-24--0.0611999999999965</f>
        <v>190.31345999999996</v>
      </c>
      <c r="Y261" s="3">
        <f>49+(268.9-110.5)+(0+(0-0))+0-24-0</f>
        <v>183.39999999999998</v>
      </c>
      <c r="Z261" s="3">
        <f>50+(264.9-104.8)+(0+(0-0))+0-24-0</f>
        <v>186.09999999999997</v>
      </c>
      <c r="AA261" s="3">
        <f>49+(251.4-88.6)+(-0.02499+(-0.128214--0.045186))+0-24--0.0122399999999976</f>
        <v>187.70422200000002</v>
      </c>
      <c r="AB261" s="3">
        <f>49+(236.5-72.9)+(-0.02499+(-0.120615--0.037179))+0-24--0.0122399999999976</f>
        <v>188.50381399999998</v>
      </c>
      <c r="AC261" s="3">
        <f>50+(234.4-84.8)+(0+(0-0))+0-24-0</f>
        <v>175.60000000000002</v>
      </c>
      <c r="AD261">
        <v>251.70000000000005</v>
      </c>
      <c r="AE261" s="3">
        <f>60+(262.1-40.4)+(0+(0-0))+0-30-0</f>
        <v>251.70000000000005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49+(266.2-134.3)+(-0.12495+(-0.67881--0.342465))+0-30--0.0764999999999956</f>
        <v>150.51520499999995</v>
      </c>
      <c r="G262" s="3">
        <f>51+(292.2-188.5)+(-0.07803+(-0.447066--0.288405))+0-30--0.0459000000000017</f>
        <v>124.50920899999998</v>
      </c>
      <c r="H262" s="3">
        <f>50+(311.9-205.1)+(-0.0255+(-0.159069--0.104601))+0-16--0.00815999999999838</f>
        <v>140.72819199999998</v>
      </c>
      <c r="I262" s="3">
        <f>52+(316-127.1)+(-0.10608+(-0.64464--0.259284))+0-30--0.0611999999999987</f>
        <v>210.469764</v>
      </c>
      <c r="J262" s="3">
        <f>52+(249.7-88.4)+(-0.02652+(-0.127347--0.045084))+0-30--0.015299999999997</f>
        <v>183.20651699999999</v>
      </c>
      <c r="K262" s="3">
        <f>48+(208.8-54)+(0.07344+(0.319464-0.08262))+0-30-0.0459000000000017</f>
        <v>173.06438400000002</v>
      </c>
      <c r="L262" s="3">
        <f>52+(199.8-59)+(-0.07956+(-0.305694--0.09027))+0-30--0.0459000000000017</f>
        <v>162.550916</v>
      </c>
      <c r="M262" s="3">
        <f>51+(198.3-50)+(0.05202+(0.202266-0.051))+0-30-0.0306000000000048</f>
        <v>169.47268600000001</v>
      </c>
      <c r="N262" s="3">
        <f>51+(268.6-62)+(-0.02601+(-0.136986--0.03162))+0-30--0.015299999999997</f>
        <v>227.48392400000003</v>
      </c>
      <c r="O262" s="3">
        <f>85+(250.1-100)+(0.04335+(0.127551-0.051))+0-30-0.015299999999997</f>
        <v>205.204601</v>
      </c>
      <c r="P262" s="3">
        <f>143+(279.9-176)+(0+(0-0))+0-30-0</f>
        <v>216.89999999999998</v>
      </c>
      <c r="Q262" s="3">
        <f>143+(285-243.5)+(-0.07293+(-0.14535--0.124185))+0-29.9--0.015248999999997</f>
        <v>154.52115399999997</v>
      </c>
      <c r="R262" s="3">
        <f>143+(362.3-217.1)+(-0.43758+(-1.108638--0.664326))+0-29.3--0.0896580000000034</f>
        <v>258.10776600000003</v>
      </c>
      <c r="S262" s="3">
        <f>134+(348.6-217.5)+(-0.27336+(-0.711144--0.4437))+0-29--0.0591599999999987</f>
        <v>235.61835600000003</v>
      </c>
      <c r="T262" s="3">
        <f>70+(329.2-153.4)+(-0.1071+(-0.503676--0.234702))+0-27.9--0.0426870000000016</f>
        <v>217.56661299999999</v>
      </c>
      <c r="U262" s="3">
        <f>85+(319.2-108)+(-0.13005+(-0.488376--0.16524))+0-28.7--0.0439110000000017</f>
        <v>267.09072499999996</v>
      </c>
      <c r="V262" s="3">
        <f>126+(325.5-107.8)+(0+(0-0))+0-28.9-0</f>
        <v>314.8</v>
      </c>
      <c r="W262" s="3">
        <f>141+(289-137.7)+(0.07191+(0.14739-0.070227))+0-12.4-0.00632399999999874</f>
        <v>280.04274900000001</v>
      </c>
      <c r="X262" s="3">
        <f>143+(270.6-130.7)+(-0.43758+(-0.828036--0.399942))+0-25.4--0.0777240000000029</f>
        <v>256.71205000000003</v>
      </c>
      <c r="Y262" s="3">
        <f>145+(302.5-175.2)+(-0.22185+(-0.462825--0.268056))+0-18.6--0.0284580000000011</f>
        <v>253.31183899999999</v>
      </c>
      <c r="Z262" s="3">
        <f>137+(344.4-220.6)+(-0.06987+(-0.175644--0.112506))+0-21.3--0.0108629999999978</f>
        <v>239.37785499999993</v>
      </c>
      <c r="AA262" s="3">
        <f>145+(453.7-328.1)+(0.07395+(0.231387-0.167331))+0-29.9-0.015248999999997</f>
        <v>240.822757</v>
      </c>
      <c r="AB262" s="3">
        <f>144+(516.3-328.1)+(-0.22032+(-0.789939--0.501993))+0-29--0.0443700000000017</f>
        <v>302.73610399999995</v>
      </c>
      <c r="AC262" s="3">
        <f>141+(426.1-319.9)+(-0.43146+(-1.303866--0.978894))+0-28.3--0.0865980000000033</f>
        <v>218.23016600000005</v>
      </c>
      <c r="AD262">
        <v>278</v>
      </c>
      <c r="AE262" s="3">
        <f>140+(297.7-130.5)+(0+(0-0))+0-29.2-0</f>
        <v>278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140+(399.4-304.8)+(-0.357+(-1.01847--0.77724))+0-28.8--0.0734399999999958</f>
        <v>205.27520999999996</v>
      </c>
      <c r="G263" s="3">
        <f>80+(389.3-238.3)+(-0.2448+(-1.191258--0.729198))+0-28.7--0.0878220000000033</f>
        <v>201.68096200000002</v>
      </c>
      <c r="H263" s="3">
        <f>60+(428.3-248.9)+(0.0918+(0.655299-0.380817))+0-28.7-0.0439110000000017</f>
        <v>211.02237100000002</v>
      </c>
      <c r="I263" s="3">
        <f>60+(419.6-239.3)+(0+(0-0))+0-29-0</f>
        <v>211.3</v>
      </c>
      <c r="J263" s="3">
        <f>60+(431.2-252.8)+(0.0918+(0.659736-0.386784))+0-28.5-0.0436050000000016</f>
        <v>210.22114699999997</v>
      </c>
      <c r="K263" s="3">
        <f>60+(403.4-217.7)+(-0.0918+(-0.617202--0.333081))+0-28.6--0.0437580000000017</f>
        <v>216.76783699999999</v>
      </c>
      <c r="L263" s="3">
        <f>55+(487.7-291.6)+(-0.02805+(-0.248727--0.148716))+0-28.7--0.0146369999999971</f>
        <v>222.28657599999997</v>
      </c>
      <c r="M263" s="3">
        <f>50+(596.4-369.3)+(-0.051+(-0.608328--0.376686))+0-29--0.0295800000000046</f>
        <v>247.84693799999997</v>
      </c>
      <c r="N263" s="3">
        <f>120+(607.1-422.2)+(0.1224+(0.619242-0.430644))+0-30.7-0.0313140000000049</f>
        <v>274.47968400000002</v>
      </c>
      <c r="O263" s="3">
        <f>121+(698.9-528.6)+(0.06171+(0.356439-0.269586))+0-32.2-0.0164219999999967</f>
        <v>259.23214100000001</v>
      </c>
      <c r="P263" s="3">
        <f>121+(669.3-495)+(0.18513+(1.024029-0.75735))+0-31.1-0.0475830000000018</f>
        <v>264.60422599999998</v>
      </c>
      <c r="Q263" s="3">
        <f>121+(693.4-516)+(-0.06171+(-0.353634--0.26316))+0-30.7--0.0156569999999969</f>
        <v>267.56347299999999</v>
      </c>
      <c r="R263" s="3">
        <f>117+(731.1-556.2)+(-0.17901+(-1.118583--0.850986))+0-30.8--0.0471240000000018</f>
        <v>260.70051699999999</v>
      </c>
      <c r="S263" s="3">
        <f>126+(694.6-537.3)+(-0.3213+(-1.77123--1.370115))+0-31.5--0.0803249999999954</f>
        <v>251.15791000000004</v>
      </c>
      <c r="T263" s="3">
        <f>117+(747.1-596)+(-0.17901+(-1.143063--0.91188))+0-29--0.0443700000000017</f>
        <v>238.73417700000005</v>
      </c>
      <c r="U263" s="3">
        <f>123+(619.4-482.8)+(-0.25092+(-1.263576--0.984912))+0-21.3--0.0434519999999991</f>
        <v>237.81386799999996</v>
      </c>
      <c r="V263" s="3">
        <f>124+(459.9-314)+(-0.18972+(-0.703647--0.48042))+0-23--0.0351900000000013</f>
        <v>246.522243</v>
      </c>
      <c r="W263" s="3">
        <f>119+(345.7-174.2)+(0.06069+(0.176307-0.088842))+0-23.5-0.0119849999999976</f>
        <v>267.13616999999999</v>
      </c>
      <c r="X263" s="3">
        <f>124+(335.6-167.8)+(0+(0-0))+0-21.4-0</f>
        <v>270.40000000000003</v>
      </c>
      <c r="Y263" s="3">
        <f>123+(360.8-189.1)+(-0.31365+(-0.92004--0.482205))+0-25.2--0.0642599999999963</f>
        <v>268.81277500000004</v>
      </c>
      <c r="Z263" s="3">
        <f>124+(362.2-189.5)+(-0.25296+(-0.738888--0.38658))+0-32.8--0.0669119999999986</f>
        <v>263.36164399999996</v>
      </c>
      <c r="AA263" s="3">
        <f>80+(368.1-178.9)+(-0.1224+(-0.563193--0.273717))+0-32.4--0.0495720000000019</f>
        <v>236.43769600000005</v>
      </c>
      <c r="AB263" s="3">
        <f>69+(432.3-222.1)+(-0.10557+(-0.661419--0.339813))+0-31.5--0.0481950000000018</f>
        <v>247.32101900000006</v>
      </c>
      <c r="AC263" s="3">
        <f>53+(387.1-168.9)+(-0.05406+(-0.394842--0.172278))+0-30.6--0.0312120000000049</f>
        <v>240.35458800000004</v>
      </c>
      <c r="AD263">
        <v>265.3</v>
      </c>
      <c r="AE263" s="3">
        <f>120+(335-168.4)+(0+(0-0))+0-21.3-0</f>
        <v>265.3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55+(427.8-224.1)+(-0.08415+(-0.654534--0.342873))+0-29.5--0.0451350000000017</f>
        <v>228.84932400000005</v>
      </c>
      <c r="G264" s="3">
        <f>55+(480.3-285.9)+(-0.0561+(-0.489906--0.291618))+0-24.4--0.0248880000000039</f>
        <v>224.77050000000003</v>
      </c>
      <c r="H264" s="3">
        <f>55+(454.9-286.4)+(0+(0-0))+0-8.8-0</f>
        <v>214.7</v>
      </c>
      <c r="I264" s="3">
        <f>55+(477.4-291.6)+(0.02805+(0.243474-0.148716))+0-28.5-0.0145349999999971</f>
        <v>212.40827299999995</v>
      </c>
      <c r="J264" s="3">
        <f>55+(399.4-212.1)+(-0.02805+(-0.203694--0.108171))+0-29.4--0.014993999999997</f>
        <v>212.79142099999999</v>
      </c>
      <c r="K264" s="3">
        <f>55+(317-127)+(0.14025+(0.80835-0.32385))+0-29.9-0.0762449999999957</f>
        <v>215.648505</v>
      </c>
      <c r="L264" s="3">
        <f>48+(371.6-184.8)+(-0.1224+(-0.94758--0.47124))+0-30--0.0764999999999956</f>
        <v>204.27776</v>
      </c>
      <c r="M264" s="3">
        <f>52+(393.6-214.9)+(-0.07956+(-0.602208--0.328797))+0-30.1--0.0460530000000017</f>
        <v>200.29308200000003</v>
      </c>
      <c r="N264" s="3">
        <f>52+(385.8-197.6)+(0.05304+(0.393516-0.201552))+0-29.4-0.0299880000000047</f>
        <v>211.015016</v>
      </c>
      <c r="O264" s="3">
        <f>67+(402.9-224.2)+(0.06834+(0.410958-0.228684))+0-29.4-0.0299880000000047</f>
        <v>216.52062599999999</v>
      </c>
      <c r="P264" s="3">
        <f>147+(521.5-411.4)+(-0.14994+(-0.53193--0.419628))+0-29.4--0.0299880000000047</f>
        <v>227.46774600000001</v>
      </c>
      <c r="Q264" s="3">
        <f>138+(532.3-422.7)+(-0.14076+(-0.542946--0.431154))+0-30.5--0.0311100000000049</f>
        <v>216.87855799999997</v>
      </c>
      <c r="R264" s="3">
        <f>130+(571.3-468)+(-0.2652+(-1.165452--0.95472))+0-31.5--0.0642599999999986</f>
        <v>201.38832799999994</v>
      </c>
      <c r="S264" s="3">
        <f>130+(594.8-497.7)+(-0.2652+(-1.213392--1.015308))+0-30.8--0.0628319999999987</f>
        <v>195.89954799999995</v>
      </c>
      <c r="T264" s="3">
        <f>130+(666.9-569.7)+(-0.0663+(-0.340119--0.290547))+0-31.1--0.0158609999999968</f>
        <v>195.99998899999994</v>
      </c>
      <c r="U264" s="3">
        <f>130+(606.8-513)+(-0.1989+(-0.928404--0.78489))+0-30.6--0.0468180000000018</f>
        <v>192.90440399999997</v>
      </c>
      <c r="V264" s="3">
        <f>130+(432.6-322.4)+(-0.0663+(-0.220626--0.164424))+0-31.4--0.0160139999999968</f>
        <v>208.69351200000003</v>
      </c>
      <c r="W264" s="3">
        <f>130+(365.4-227.3)+(-0.1989+(-0.559062--0.347769))+0-32.3--0.0494190000000019</f>
        <v>235.43922599999996</v>
      </c>
      <c r="X264" s="3">
        <f>130+(487.9-357.3)+(-0.0663+(-0.248829--0.182223))+0-30.3--0.0154529999999969</f>
        <v>230.18254699999997</v>
      </c>
      <c r="Y264" s="3">
        <f>130+(526-396)+(-0.0663+(-0.26826--0.20196))+0-30--0.015299999999997</f>
        <v>229.88269999999997</v>
      </c>
      <c r="Z264" s="3">
        <f>130+(594.8-465.7)+(-0.1326+(-0.606696--0.475014))+0-31.8--0.0324360000000051</f>
        <v>227.06815399999999</v>
      </c>
      <c r="AA264" s="3">
        <f>130+(669.5-539.8)+(-0.1989+(-1.024335--0.825894))+0-32--0.0489600000000018</f>
        <v>227.35161900000006</v>
      </c>
      <c r="AB264" s="3">
        <f>130+(654.6-530.9)+(-0.1989+(-1.001538--0.812277))+0-31.9--0.0488070000000018</f>
        <v>221.46064600000005</v>
      </c>
      <c r="AC264" s="3">
        <f>107+(584.5-450.2)+(-0.32742+(-1.78857--1.377612))+0-30.1--0.0921060000000035</f>
        <v>210.55372800000001</v>
      </c>
      <c r="AD264">
        <v>245.29999999999998</v>
      </c>
      <c r="AE264" s="3">
        <f>144+(488-354.3)+(0+(0-0))+0-32.4-0</f>
        <v>245.29999999999998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90+(476.1-328.8)+(-0.2295+(-1.214055--0.83844))+0-28--0.0713999999999959</f>
        <v>208.76628499999998</v>
      </c>
      <c r="G265" s="3">
        <f>90+(430.4-289.7)+(-0.1836+(-0.878016--0.590988))+0-28.9--0.0589559999999987</f>
        <v>201.38832799999997</v>
      </c>
      <c r="H265" s="3">
        <f>88+(553.8-419.3)+(0+(0-0))+0-28.6-0</f>
        <v>193.89999999999995</v>
      </c>
      <c r="I265" s="3">
        <f>89+(564-425.8)+(-0.04539+(-0.28764--0.217158))+0-30.6--0.0156059999999969</f>
        <v>196.49973399999999</v>
      </c>
      <c r="J265" s="3">
        <f>89+(567.8-428.1)+(0.04539+(0.289578-0.218331))+0-31.2-0.0159119999999968</f>
        <v>197.60072499999995</v>
      </c>
      <c r="K265" s="3">
        <f>142+(551.2-432.6)+(0.07242+(0.281112-0.220626))+0-31.1-0.0158609999999968</f>
        <v>229.61704500000002</v>
      </c>
      <c r="L265" s="3">
        <f>140+(494.7-386.7)+(0+(0-0))+0-31.5-0</f>
        <v>216.5</v>
      </c>
      <c r="M265" s="3">
        <f>137+(643.7-510.4)+(0.20961+(0.984861-0.780912))+0-31-0.0474300000000018</f>
        <v>239.6661290000001</v>
      </c>
      <c r="N265" s="3">
        <f>136.4+(674.3-507.9)+(0.139128+(0.687786-0.518058))+0-32.4-0.0330480000000052</f>
        <v>270.67580799999996</v>
      </c>
      <c r="O265" s="3">
        <f>136+(714.2-530.6)+(0+(0-0))+0-30.8-0</f>
        <v>288.8</v>
      </c>
      <c r="P265" s="3">
        <f>135.8+(746.6-560.9)+(-0.207774+(-1.142298--0.858177))+0-32.2--0.0492660000000019</f>
        <v>288.85737100000006</v>
      </c>
      <c r="Q265" s="3">
        <f>135.6+(679.2-491.4)+(-0.138312+(-0.692784--0.501228))+0-32.2--0.0328440000000051</f>
        <v>290.90297600000014</v>
      </c>
      <c r="R265" s="3">
        <f>134.9+(678-496.4)+(-0.343995+(-1.7289--1.26582))+0-31.9--0.0813449999999954</f>
        <v>283.87427000000002</v>
      </c>
      <c r="S265" s="3">
        <f>133.8+(710.2-543.7)+(0+(0-0))+0-31.7-0</f>
        <v>268.60000000000002</v>
      </c>
      <c r="T265" s="3">
        <f>130.8+(715.7-547.7)+(-0.133416+(-0.730014--0.558654))+0-28.8--0.0293760000000046</f>
        <v>269.72460000000001</v>
      </c>
      <c r="U265" s="3">
        <f>130.9+(731.8-600.7)+(0+(0-0))+0-31.4-0</f>
        <v>230.59999999999988</v>
      </c>
      <c r="V265" s="3">
        <f>135.8+(605-432.6)+(-0.069258+(-0.30855--0.220626))+0-33.3--0.0169829999999966</f>
        <v>274.75980099999998</v>
      </c>
      <c r="W265" s="3">
        <f>136.3+(444.9-252.1)+(0.139026+(0.453798-0.257142))+0-33.7-0.0343740000000054</f>
        <v>295.70130800000004</v>
      </c>
      <c r="X265" s="3">
        <f>135.6+(474.1-286.8)+(-0.207468+(-0.725373--0.438804))+0-33.2--0.0507960000000019</f>
        <v>289.25675899999999</v>
      </c>
      <c r="Y265" s="3">
        <f>136+(535.7-358.1)+(-0.06936+(-0.273207--0.182631))+0-28.8--0.0146879999999971</f>
        <v>284.65475199999997</v>
      </c>
      <c r="Z265" s="3">
        <f>136.2+(583.8-407.3)+(-0.069462+(-0.297738--0.207723))+0-31.2--0.0159119999999968</f>
        <v>281.35643499999998</v>
      </c>
      <c r="AA265" s="3">
        <f>135.9+(623.2-461.2)+(0+(0-0))+0-29.2-0</f>
        <v>268.7000000000001</v>
      </c>
      <c r="AB265" s="3">
        <f>135.9+(518.3-365.1)+(0+(0-0))+0-29.4-0</f>
        <v>259.69999999999993</v>
      </c>
      <c r="AC265" s="3">
        <f>135.5+(497.2-356.7)+(0+(0-0))+0-30.2-0</f>
        <v>245.8</v>
      </c>
      <c r="AD265">
        <v>298.5</v>
      </c>
      <c r="AE265" s="3">
        <f>139+(464-274.2)+(0+(0-0))+0-30.3-0</f>
        <v>298.5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135.6+(547.2-409.2)+(-0.207468+(-0.837216--0.626076))+0-30.3--0.0463590000000018</f>
        <v>242.927751</v>
      </c>
      <c r="G266" s="3">
        <f>135.3+(392.7-266.6)+(-0.345015+(-1.001385--0.67983))+0-31--0.0790499999999955</f>
        <v>229.81247999999999</v>
      </c>
      <c r="H266" s="3">
        <f>135.4+(315.3-187.4)+(0+(0-0))+0-32.4-0</f>
        <v>230.9</v>
      </c>
      <c r="I266" s="3">
        <f>136+(330.4-204.6)+(0+(0-0))+0-32.1-0</f>
        <v>229.69999999999996</v>
      </c>
      <c r="J266" s="3">
        <f>56.6+(325.7-125)+(-0.057732+(-0.332214--0.1275))+0-28.8--0.0293760000000046</f>
        <v>228.26693</v>
      </c>
      <c r="K266" s="3">
        <f>50.5+(318.6-102.8)+(0.077265+(0.487458-0.157284))+0-29.5-0.0451350000000017</f>
        <v>237.16230400000003</v>
      </c>
      <c r="L266" s="3">
        <f>137.8+(355.3-222.5)+(0.140556+(0.362406-0.22695))+0-30.8-0.0314160000000049</f>
        <v>240.04459599999998</v>
      </c>
      <c r="M266" s="3">
        <f>182.1+(513.2-406.3)+(0.371484+(1.046928-0.828852))+0-31.6-0.0644639999999986</f>
        <v>257.925096</v>
      </c>
      <c r="N266" s="3">
        <f>279.2+(498.8-461.4)+(-0.284784+(-0.508776--0.470628))+0-32--0.0326400000000051</f>
        <v>284.30970800000006</v>
      </c>
      <c r="O266" s="3">
        <f>276.4+(557-500.7)+(0.140964+(0.28407-0.255357))+0-32.5-0.0165749999999967</f>
        <v>300.35310199999998</v>
      </c>
      <c r="P266" s="3">
        <f>272.1+(489.7-429)+(0.138771+(0.249747-0.21879))+0-32.3-0.0164729999999967</f>
        <v>300.653255</v>
      </c>
      <c r="Q266" s="3">
        <f>270.7+(523.2-457.8)+(-0.552228+(-1.067328--0.933912))+0-33.6--0.0685439999999985</f>
        <v>301.88289999999995</v>
      </c>
      <c r="R266" s="3">
        <f>271.9+(600.2-552.3)+(-0.416007+(-0.918306--0.845019))+0-31.4--0.0480420000000018</f>
        <v>287.95874800000013</v>
      </c>
      <c r="S266" s="3">
        <f>269.9+(613.8-575.6)+(-0.275298+(-0.626076--0.587112))+0-31.9--0.0325380000000051</f>
        <v>275.91827599999993</v>
      </c>
      <c r="T266" s="3">
        <f>269+(645.5-605.4)+(0.27438+(0.65841-0.617508))+0-31.4-0.032028000000005</f>
        <v>277.98325400000004</v>
      </c>
      <c r="U266" s="3">
        <f>270.9+(586.7-551.1)+(-0.276318+(-0.598434--0.562122))+0-30.7--0.0313140000000049</f>
        <v>275.51868400000001</v>
      </c>
      <c r="V266" s="3">
        <f>271.7+(413.9-366.6)+(0.277134+(0.422178-0.373932))+0-31.8-0.0324360000000051</f>
        <v>287.49294399999991</v>
      </c>
      <c r="W266" s="3">
        <f>274.2+(296.4-228.2)+(0.279684+(0.302328-0.232764))+0-31.6-0.032232000000005</f>
        <v>311.11701599999992</v>
      </c>
      <c r="X266" s="3">
        <f>275.1+(284.4-224.8)+(-0.561204+(-0.580176--0.458592))+0-30.8--0.0628319999999987</f>
        <v>303.28004399999998</v>
      </c>
      <c r="Y266" s="3">
        <f>279.5+(297.6-252.6)+(-0.85527+(-0.910656--0.772956))+0-30.6--0.0936360000000035</f>
        <v>293.00066599999997</v>
      </c>
      <c r="Z266" s="3">
        <f>262.3+(376-321.8)+(-0.401319+(-0.57528--0.492354))+0-30.6--0.0468180000000018</f>
        <v>285.46257300000002</v>
      </c>
      <c r="AA266" s="3">
        <f>220.9+(523.3-438.7)+(-0.225318+(-0.533766--0.447474))+0-32--0.0326400000000051</f>
        <v>273.22103000000004</v>
      </c>
      <c r="AB266" s="3">
        <f>219.2+(481.4-404.2)+(-0.670752+(-1.473084--1.236852))+0-33.1--0.101286000000004</f>
        <v>262.49430199999995</v>
      </c>
      <c r="AC266" s="3">
        <f>220.5+(398.7-339.9)+(-0.337365+(-0.610011--0.520047))+0-30.8--0.0471240000000018</f>
        <v>248.11979500000001</v>
      </c>
      <c r="AD266">
        <v>316.00000000000006</v>
      </c>
      <c r="AE266" s="3">
        <f>275+(286.6-213.7)+(0+(0-0))+0-31.9-0</f>
        <v>316.00000000000006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221.3+(315.1-276.9)+(-0.338589+(-0.482103--0.423657))+0-22.3--0.0341190000000013</f>
        <v>236.83708400000003</v>
      </c>
      <c r="G267" s="3">
        <f>223+(378.1-368.2)+(0.45492+(0.771324-0.751128))+0-1.5-0.00305999999999993</f>
        <v>231.87205600000004</v>
      </c>
      <c r="H267" s="3">
        <f>190.8+(276.1-216.1)+(0.291924+(0.422433-0.330633))+0-22.3-0.0341190000000013</f>
        <v>228.84960500000003</v>
      </c>
      <c r="I267" s="3">
        <f>160.1+(281.8-186.7)+(0.081651+(0.143718-0.095217))+0-29-0.0147899999999971</f>
        <v>226.31536200000002</v>
      </c>
      <c r="J267" s="3">
        <f>170.3+(273.8-188.8)+(-0.434265+(-0.69819--0.48144))+0-30.9--0.0787949999999955</f>
        <v>223.82777999999999</v>
      </c>
      <c r="K267" s="3">
        <f>213.9+(292.4-251.4)+(0.109089+(0.149124-0.128214))+0-27.7-0.0141269999999972</f>
        <v>227.31587199999998</v>
      </c>
      <c r="L267" s="3">
        <f>283.9+(407.8-425.9)+(-0.289578+(-0.415956--0.434418))+0-31.7--0.0323340000000051</f>
        <v>233.86121800000001</v>
      </c>
      <c r="M267" s="3">
        <f>212.8+(504.4-425.4)+(0.108528+(0.257244-0.216954))+0-33.4-0.0170339999999966</f>
        <v>258.53178400000002</v>
      </c>
      <c r="N267" s="3">
        <f>212.2+(486.8-383.5)+(0+(0-0))+0-33.2-0</f>
        <v>282.3</v>
      </c>
      <c r="O267" s="3">
        <f>211.7+(502.3-392.2)+(0.107967+(0.256173-0.200022))+0-33-0.0168299999999967</f>
        <v>288.94728800000001</v>
      </c>
      <c r="P267" s="3">
        <f>242.2+(447.7-362.9)+(-0.123522+(-0.228327--0.185079))+0-32.5--0.0165749999999967</f>
        <v>294.349805</v>
      </c>
      <c r="Q267" s="3">
        <f>279.4+(466.8-413.8)+(-0.427482+(-0.714204--0.633114))+0-32.9--0.0503370000000019</f>
        <v>299.041765</v>
      </c>
      <c r="R267" s="3">
        <f>279.3+(448.1-408.1)+(-0.284886+(-0.457062--0.416262))+0-32.9--0.0335580000000052</f>
        <v>286.10787200000004</v>
      </c>
      <c r="S267" s="3">
        <f>278.5+(521.1-462.6)+(-0.56814+(-1.063044--0.943704))+0-32.7--0.0667079999999986</f>
        <v>303.67922800000002</v>
      </c>
      <c r="T267" s="3">
        <f>279.8+(609.9-598.1)+(-0.285396+(-0.622098--0.610062))+0-33--0.0336600000000053</f>
        <v>258.33622799999995</v>
      </c>
      <c r="U267" s="3">
        <f>279+(644-614.9)+(-0.42687+(-0.98532--0.940797))+0-33--0.0504900000000019</f>
        <v>274.67909700000007</v>
      </c>
      <c r="V267" s="3">
        <f>279.7+(420.4-379)+(-0.285294+(-0.428808--0.38658))+0-31.8--0.0324360000000051</f>
        <v>289.00491399999999</v>
      </c>
      <c r="W267" s="3">
        <f>280.3+(317.6-264)+(-0.142953+(-0.161976--0.13464))+0-30.9--0.0157589999999969</f>
        <v>302.84547000000003</v>
      </c>
      <c r="X267" s="3">
        <f>278.6+(317.3-267.8)+(-0.71043+(-0.809115--0.68289))+0-29.8--0.0759899999999957</f>
        <v>297.53933499999999</v>
      </c>
      <c r="Y267" s="3">
        <f>279.3+(344.9-302.9)+(-0.284886+(-0.351798--0.308958))+0-33.2--0.0338640000000053</f>
        <v>287.80613800000003</v>
      </c>
      <c r="Z267" s="3">
        <f>283.9+(379.2-350.8)+(-0.579156+(-0.773568--0.715632))+0-34.2--0.0697679999999985</f>
        <v>277.53267599999998</v>
      </c>
      <c r="AA267" s="3">
        <f>287.2+(485.8-468.9)+(-0.292944+(-0.495516--0.478278))+0-33.9--0.0345780000000054</f>
        <v>269.92439600000006</v>
      </c>
      <c r="AB267" s="3">
        <f>286+(445.9-437.7)+(-0.87516+(-1.364454--1.339362))+0-32.8--0.100368000000004</f>
        <v>260.60011599999996</v>
      </c>
      <c r="AC267" s="3">
        <f>237.8+(424.2-379.1)+(-0.363834+(-0.649026--0.580023))+0-33.8--0.0517140000000019</f>
        <v>248.71887699999996</v>
      </c>
      <c r="AD267">
        <v>305.60000000000008</v>
      </c>
      <c r="AE267" s="3">
        <f>280+(312.7-257.7)+(0+(0-0))+0-29.4-0</f>
        <v>305.60000000000002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193.5+(376.2-295.9)+(-0.098685+(-0.191862--0.150909))+0-33.4--0.0170339999999966</f>
        <v>240.27739600000001</v>
      </c>
      <c r="G268" s="3">
        <f>191.8+(324.8-252.7)+(-0.097818+(-0.165648--0.128877))+0-33.6--0.0171359999999966</f>
        <v>230.18254700000003</v>
      </c>
      <c r="H268" s="3">
        <f>162+(328.9-230.7)+(0.08262+(0.167739-0.117657))+0-33.8-0.0172379999999966</f>
        <v>226.51546399999998</v>
      </c>
      <c r="I268" s="3">
        <f>162.3+(335.3-245)+(0.248319+(0.513009-0.37485))+0-33.6-0.0514080000000019</f>
        <v>219.33507000000003</v>
      </c>
      <c r="J268" s="3">
        <f>159.8+(375.6-287.4)+(-0.081498+(-0.191556--0.146574))+0-33.3--0.0169829999999966</f>
        <v>214.5905030000001</v>
      </c>
      <c r="K268" s="3">
        <f>163.1+(377.6-282.3)+(0.332724+(0.770304-0.575892))+0-33.7-0.0687479999999985</f>
        <v>225.15838799999997</v>
      </c>
      <c r="L268" s="3">
        <f>161.1+(549.6-439.5)+(0+(0-0))+0-33.5-0</f>
        <v>237.70000000000005</v>
      </c>
      <c r="M268" s="3">
        <f>161.4+(599-472.7)+(0.082314+(0.30549-0.241077))+0-33.4-0.0170339999999966</f>
        <v>254.42969300000004</v>
      </c>
      <c r="N268" s="3">
        <f>275.1+(636.1-603.8)+(0.140301+(0.324411-0.307938))+0-26.9-0.0137189999999973</f>
        <v>280.64305500000012</v>
      </c>
      <c r="O268" s="3">
        <f>278.6+(600.8-549.4)+(0.284172+(0.612816-0.560388))+0-32.8-0.0334560000000052</f>
        <v>297.50314399999996</v>
      </c>
      <c r="P268" s="3">
        <f>278+(546.8-496.8)+(-0.14178+(-0.278868--0.253368))+0-32.6--0.0166259999999967</f>
        <v>295.24934599999989</v>
      </c>
      <c r="Q268" s="3">
        <f>277.3+(546.8-493.2)+(-0.424269+(-0.836604--0.754596))+0-33.1--0.0506430000000019</f>
        <v>297.34436599999992</v>
      </c>
      <c r="R268" s="3">
        <f>276.7+(524.3-476.9)+(-0.564468+(-1.069572--0.972876))+0-33.3--0.0679319999999985</f>
        <v>290.20676799999995</v>
      </c>
      <c r="S268" s="3">
        <f>276.4+(515.9-478.4)+(-0.140964+(-0.263109--0.243984))+0-32.1--0.0163709999999967</f>
        <v>281.65628199999992</v>
      </c>
      <c r="T268" s="3">
        <f>275.8+(564.1-525.8)+(0.281316+(0.575382-0.536316))+0-31.2-0.031824000000005</f>
        <v>283.18855800000006</v>
      </c>
      <c r="U268" s="3">
        <f>275.4+(535.9-498.9)+(0+(0-0))+0-32.8-0</f>
        <v>279.59999999999997</v>
      </c>
      <c r="V268" s="3">
        <f>275.6+(401.5-354.6)+(0.281112+(0.40953-0.361692))+0-32.8-0.0334560000000052</f>
        <v>289.99549400000001</v>
      </c>
      <c r="W268" s="3">
        <f>275.8+(303.1-236.7)+(0.421974+(0.463743-0.362151))+0-33.6-0.0514080000000019</f>
        <v>309.07215800000006</v>
      </c>
      <c r="X268" s="3">
        <f>275.1+(313.9-248.6)+(0+(0-0))+0-33.5-0</f>
        <v>306.89999999999998</v>
      </c>
      <c r="Y268" s="3">
        <f>273.5+(319.9-266.2)+(-0.697425+(-0.815745--0.67881))+0-33.2--0.0846599999999952</f>
        <v>293.25029999999998</v>
      </c>
      <c r="Z268" s="3">
        <f>259.7+(388.2-327.1)+(-0.264894+(-0.395964--0.333642))+0-32.6--0.0332520000000052</f>
        <v>287.90603599999992</v>
      </c>
      <c r="AA268" s="3">
        <f>221.1+(465.6-376.4)+(-0.225522+(-0.474912--0.383928))+0-31.9--0.0325380000000051</f>
        <v>278.11603200000008</v>
      </c>
      <c r="AB268" s="3">
        <f>221.8+(599.9-518)+(0+(0-0))+0-32.6-0</f>
        <v>271.09999999999997</v>
      </c>
      <c r="AC268" s="3">
        <f>220.7+(598.5-525.9)+(-0.337671+(-0.915705--0.804627))+0-33--0.0504900000000019</f>
        <v>259.90174100000002</v>
      </c>
      <c r="AD268">
        <v>321.89999999999998</v>
      </c>
      <c r="AE268" s="3">
        <f>280+(319.8-244.4)+(0+(0-0))+0-33.5-0</f>
        <v>321.89999999999998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164.7+(433.9-320)+(-0.167994+(-0.442578--0.3264))+0-32--0.0326400000000051</f>
        <v>246.34846799999997</v>
      </c>
      <c r="G269" s="3">
        <f>101.1+(429.7-263.3)+(-0.103122+(-0.438294--0.268566))+0-26--0.0265200000000041</f>
        <v>241.25367</v>
      </c>
      <c r="H269" s="3">
        <f>101+(442.9-272.3)+(-0.05151+(-0.225879--0.138873))+0-33.6--0.0171359999999966</f>
        <v>237.87861999999998</v>
      </c>
      <c r="I269" s="3">
        <f>101.1+(400.6-237.4)+(-0.051561+(-0.204306--0.121074))+0-33.4--0.0170339999999966</f>
        <v>230.782241</v>
      </c>
      <c r="J269" s="3">
        <f>101+(394.9-232.7)+(0.36057+(1.409793-0.830739))+0-31.7-0.113169</f>
        <v>232.32645499999998</v>
      </c>
      <c r="K269" s="3">
        <f>247.2+(323.7-309.9)+(0.252144+(0.330174-0.316098))+0-33.1-0.0337620000000053</f>
        <v>228.13245799999999</v>
      </c>
      <c r="L269" s="3">
        <f>289.6+(494.5-507.9)+(-0.147696+(-0.252195--0.259029))+0-33.2--0.0169319999999966</f>
        <v>242.87607000000003</v>
      </c>
      <c r="M269" s="3">
        <f>226.2+(696.8-628.5)+(-0.230724+(-0.710736--0.64107))+0-33.2--0.0338640000000053</f>
        <v>261.03347399999996</v>
      </c>
      <c r="N269" s="3">
        <f>221.7+(697.1-599.3)+(-0.113067+(-0.355521--0.305643))+0-32.2--0.0164219999999967</f>
        <v>287.15347700000007</v>
      </c>
      <c r="O269" s="3">
        <f>230.7+(657-557.7)+(-0.117657+(-0.33507--0.284427))+0-32.5--0.0165749999999967</f>
        <v>297.34827499999994</v>
      </c>
      <c r="P269" s="3">
        <f>262.4+(585.5-514.7)+(0+(0-0))+0-29.6-0</f>
        <v>303.59999999999991</v>
      </c>
      <c r="Q269" s="3">
        <f>272.1+(596.3-526)+(-0.277542+(-0.608226--0.53652))+0-33.3--0.0339660000000053</f>
        <v>308.784718</v>
      </c>
      <c r="R269" s="3">
        <f>282.3+(703.8-645.1)+(-0.431919+(-1.076814--0.987003))+0-33.3--0.0509490000000019</f>
        <v>307.22921899999994</v>
      </c>
      <c r="S269" s="3">
        <f>281.8+(749.9-701.2)+(-0.431154+(-1.147347--1.072836))+0-33.1--0.0506430000000019</f>
        <v>296.94497799999988</v>
      </c>
      <c r="T269" s="3">
        <f>281+(777.6-729.3)+(0.42993+(1.189728-1.115829))+0-33.3-0.0509490000000019</f>
        <v>296.45288000000005</v>
      </c>
      <c r="U269" s="3">
        <f>281.1+(635.6-598.7)+(0+(0-0))+0-33.5-0</f>
        <v>284.5</v>
      </c>
      <c r="V269" s="3">
        <f>282.6+(432.3-389.2)+(-0.144126+(-0.220473--0.198492))+0-33.9--0.0172889999999966</f>
        <v>291.65118200000006</v>
      </c>
      <c r="W269" s="3">
        <f>278.1+(344-280.6)+(0.283662+(0.35088-0.286212))+0-34.2-0.0348840000000055</f>
        <v>307.61344599999995</v>
      </c>
      <c r="X269" s="3">
        <f>275+(427.9-371.4)+(-0.561+(-0.872916--0.757656))+0-32.9--0.0671159999999986</f>
        <v>297.99085600000001</v>
      </c>
      <c r="Y269" s="3">
        <f>278.4+(449.1-409.4)+(-0.851904+(-1.374246--1.252764))+0-31.6--0.0966960000000037</f>
        <v>285.62331</v>
      </c>
      <c r="Z269" s="3">
        <f>284.6+(585.3-554.7)+(-0.145146+(-0.298503--0.282897))+0-33.5--0.0170849999999966</f>
        <v>281.55633299999994</v>
      </c>
      <c r="AA269" s="3">
        <f>265.3+(576.6-527)+(-0.541212+(-1.176264--1.07508))+0-33.4--0.0681359999999985</f>
        <v>280.92574000000002</v>
      </c>
      <c r="AB269" s="3">
        <f>217.2+(507.7-423.8)+(-0.443088+(-1.035708--0.864552))+0-34.1--0.0695639999999985</f>
        <v>266.45531999999997</v>
      </c>
      <c r="AC269" s="3">
        <f>216.8+(405.7-329.9)+(-0.442272+(-0.827628--0.672996))+0-33.7--0.0687479999999985</f>
        <v>258.37184400000001</v>
      </c>
      <c r="AD269">
        <v>300.99999999999994</v>
      </c>
      <c r="AE269" s="3">
        <f>276+(387.9-329.6)+(0+(0-0))+0-33.3-0</f>
        <v>300.99999999999994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216.4+(378.9-317.8)+(-0.55182+(-0.966195--0.81039))+0-33.4--0.0851699999999952</f>
        <v>243.47754499999999</v>
      </c>
      <c r="G270" s="3">
        <f>195.5+(296.1-225.6)+(-0.099705+(-0.151011--0.115056))+0-25.4--0.0129539999999974</f>
        <v>240.47729400000003</v>
      </c>
      <c r="H270" s="3">
        <f>140.2+(351.5-225.1)+(-0.214506+(-0.537795--0.344403))+0-33.3--0.0509490000000019</f>
        <v>232.94305100000003</v>
      </c>
      <c r="I270" s="3">
        <f>142.4+(377.4-255.4)+(0.217872+(0.577422-0.390762))+0-33.2-0.0507960000000019</f>
        <v>231.55373600000001</v>
      </c>
      <c r="J270" s="3">
        <f>179.8+(384.6-300.9)+(0.091698+(0.196146-0.153459))+0-33.1-0.0168809999999966</f>
        <v>230.51750400000009</v>
      </c>
      <c r="K270" s="3">
        <f>245.2+(380.6-363.7)+(0.375156+(0.582318-0.556461))+0-33.1-0.0506430000000019</f>
        <v>229.35037</v>
      </c>
      <c r="L270" s="3">
        <f>284.5+(530-549.4)+(0.145095+(0.2703-0.280194))+0-26.5-0.0135149999999973</f>
        <v>238.72168600000003</v>
      </c>
      <c r="M270" s="3">
        <f>284.7+(589.3-590.9)+(0.145197+(0.300543-0.301359))+0-33.6-0.0171359999999966</f>
        <v>249.62724499999999</v>
      </c>
      <c r="N270" s="3">
        <f>284.6+(563.3-539.5)+(0.145146+(0.287283-0.275145))+0-34.2-0.0174419999999965</f>
        <v>274.33984199999998</v>
      </c>
      <c r="O270" s="3">
        <f>283.3+(504.8-465.4)+(-0.144483+(-0.257448--0.237354))+0-34.2--0.0174419999999965</f>
        <v>288.35286500000007</v>
      </c>
      <c r="P270" s="3">
        <f>280.1+(478.7-430.5)+(-0.285702+(-0.488274--0.43911))+0-34--0.0346800000000054</f>
        <v>293.99981400000001</v>
      </c>
      <c r="Q270" s="3">
        <f>279.1+(467.6-415.3)+(-0.569364+(-0.953904--0.847212))+0-34.2--0.0697679999999985</f>
        <v>296.59371200000004</v>
      </c>
      <c r="R270" s="3">
        <f>271.4+(473.4-423.7)+(-0.830484+(-1.448604--1.296522))+0-34.2--0.104652000000004</f>
        <v>286.02208599999994</v>
      </c>
      <c r="S270" s="3">
        <f>188.2+(560.4-438.2)+(0+(0-0))+0-33.8-0</f>
        <v>276.59999999999997</v>
      </c>
      <c r="T270" s="3">
        <f>186.2+(610.8-494.7)+(-0.379848+(-1.246032--1.009188))+0-33.4--0.0681359999999985</f>
        <v>268.35144399999996</v>
      </c>
      <c r="U270" s="3">
        <f>186.4+(602.7-496.5)+(0+(0-0))+0-31.6-0</f>
        <v>261</v>
      </c>
      <c r="V270" s="3">
        <f>188.4+(492.4-377.3)+(0+(0-0))+0-33.5-0</f>
        <v>270</v>
      </c>
      <c r="W270" s="3">
        <f>279.4+(364.4-321.1)+(0+(0-0))+0-33.8-0</f>
        <v>288.89999999999992</v>
      </c>
      <c r="X270" s="3">
        <f>281+(397.2-356.3)+(-0.57324+(-0.810288--0.726852))+0-32.8--0.0669119999999986</f>
        <v>288.51023599999996</v>
      </c>
      <c r="Y270" s="3">
        <f>281.3+(426.4-397.7)+(-0.430389+(-0.652392--0.608481))+0-33.6--0.0514080000000019</f>
        <v>275.97710799999993</v>
      </c>
      <c r="Z270" s="3">
        <f>281.8+(504.6-475.5)+(-0.143718+(-0.257346--0.242505))+0-33.7--0.0171869999999966</f>
        <v>277.058628</v>
      </c>
      <c r="AA270" s="3">
        <f>281+(538.4-520.6)+(-0.57324+(-1.098336--1.062024))+0-30.7--0.0626279999999987</f>
        <v>267.55307599999998</v>
      </c>
      <c r="AB270" s="3">
        <f>266.6+(413.8-387.9)+(-0.67983+(-1.05519--0.989145))+0-31.8--0.0810899999999954</f>
        <v>260.03521500000005</v>
      </c>
      <c r="AC270" s="3">
        <f>212.2+(514.9-444.7)+(-0.54111+(-1.312995--1.133985))+0-32.9--0.0838949999999952</f>
        <v>248.86377499999995</v>
      </c>
      <c r="AD270">
        <v>289.40000000000003</v>
      </c>
      <c r="AE270" s="3">
        <f>282+(353.2-313)+(0+(0-0))+0-32.8-0</f>
        <v>289.39999999999998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211+(441.8-384)+(-0.21522+(-0.450636--0.39168))+0-33--0.0336600000000053</f>
        <v>235.559484</v>
      </c>
      <c r="G271" s="3">
        <f>155.7+(480.5-372.5)+(-0.317628+(-0.98022--0.7599))+0-33.4--0.0681359999999985</f>
        <v>229.83018800000002</v>
      </c>
      <c r="H271" s="3">
        <f>140.6+(516.3-402.1)+(-0.071706+(-0.263313--0.205071))+0-33.3--0.0169829999999966</f>
        <v>221.38703499999994</v>
      </c>
      <c r="I271" s="3">
        <f>140.9+(448.4-336.6)+(-0.143718+(-0.457368--0.343332))+0-33.5--0.0341700000000053</f>
        <v>218.97641599999997</v>
      </c>
      <c r="J271" s="3">
        <f>141.8+(460.1-350.3)+(0.072318+(0.234651-0.178653))+0-33.7-0.0171869999999966</f>
        <v>218.01112900000001</v>
      </c>
      <c r="K271" s="3">
        <f>141.3+(422.9-314)+(0+(0-0))+0-33.3-0</f>
        <v>216.89999999999998</v>
      </c>
      <c r="L271" s="3">
        <f>141.3+(414.4-304)+(-0.072063+(-0.211344--0.15504))+0-33.1--0.0168809999999966</f>
        <v>218.48851399999998</v>
      </c>
      <c r="M271" s="3">
        <f>137.6+(426.5-322.2)+(-0.491232+(-1.522605--1.150254))+0-33.2--0.118524</f>
        <v>207.95494099999999</v>
      </c>
      <c r="N271" s="3">
        <f>141.5+(393.4-286.2)+(0.14433+(0.401268-0.291924))+0-33.7-0.0343740000000054</f>
        <v>215.21929999999998</v>
      </c>
      <c r="O271" s="3">
        <f>141.8+(318.5-203.7)+(0+(0-0))+0-33.7-0</f>
        <v>222.90000000000003</v>
      </c>
      <c r="P271" s="3">
        <f>139.8+(354.2-230.7)+(-0.285192+(-0.722568--0.470628))+0-31.9--0.0650759999999986</f>
        <v>230.92794400000002</v>
      </c>
      <c r="Q271" s="3">
        <f>121.8+(350.4-204.3)+(-0.124236+(-0.357408--0.208386))+0-33.4--0.0340680000000053</f>
        <v>234.26080999999999</v>
      </c>
      <c r="R271" s="3">
        <f>111.1+(352.6-204.2)+(-0.283305+(-0.89913--0.52071))+0-29.2--0.0744599999999958</f>
        <v>229.71273500000001</v>
      </c>
      <c r="S271" s="3">
        <f>111.2+(397.9-264.5)+(-0.170136+(-0.608787--0.404685))+0-28.5--0.0436050000000016</f>
        <v>215.76936699999999</v>
      </c>
      <c r="T271" s="3">
        <f>111.2+(450.2-318.6)+(-0.113424+(-0.459204--0.324972))+0-31.1--0.031722000000005</f>
        <v>211.48406599999996</v>
      </c>
      <c r="U271" s="3">
        <f>111.1+(447.9-314.6)+(0.056661+(0.228429-0.160446))+0-31.8-0.0162179999999968</f>
        <v>212.70842599999992</v>
      </c>
      <c r="V271" s="3">
        <f>112.5+(358.3-218.1)+(0.11475+(0.365466-0.222462))+0-30.2-0.0308040000000048</f>
        <v>222.72695000000002</v>
      </c>
      <c r="W271" s="3">
        <f>251+(429.9-394.8)+(0+(0-0))+0-30.7-0</f>
        <v>255.39999999999998</v>
      </c>
      <c r="X271" s="3">
        <f>242.7+(380.9-338.8)+(-0.618885+(-0.971295--0.86394))+0-30.7--0.0782849999999955</f>
        <v>253.45204499999994</v>
      </c>
      <c r="Y271" s="3">
        <f>242.5+(363.4-323.9)+(0.123675+(0.185334-0.165189))+0-31.9-0.0162689999999968</f>
        <v>250.22755100000001</v>
      </c>
      <c r="Z271" s="3">
        <f>241.6+(428.7-388.9)+(-0.246432+(-0.437274--0.396678))+0-34.1--0.0347820000000054</f>
        <v>247.04775399999997</v>
      </c>
      <c r="AA271" s="3">
        <f>240.4+(454.3-420)+(-0.61302+(-1.158465--1.071))+0-34--0.0866999999999951</f>
        <v>240.08621500000004</v>
      </c>
      <c r="AB271" s="3">
        <f>241.5+(405.4-380.4)+(-0.369495+(-0.620262--0.582012))+0-33.6--0.0514080000000019</f>
        <v>232.54366300000004</v>
      </c>
      <c r="AC271" s="3">
        <f>238.5+(399.6-384.4)+(-0.608175+(-1.01898--0.98022))+0-31.9--0.0813449999999954</f>
        <v>221.23441000000003</v>
      </c>
      <c r="AD271">
        <v>263.59999999999991</v>
      </c>
      <c r="AE271" s="3">
        <f>278+(421.8-407.1)+(0+(0-0))+0-29.1-0</f>
        <v>263.59999999999997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235.7+(483.7-478)+(0+(0-0))+0-33.9-0</f>
        <v>207.49999999999997</v>
      </c>
      <c r="G272" s="3">
        <f>145.2+(479.4-390.1)+(-0.296208+(-0.977976--0.795804))+0-30.2--0.0616079999999987</f>
        <v>203.88322799999997</v>
      </c>
      <c r="H272" s="3">
        <f>139.1+(483.9-388.8)+(-0.354705+(-1.233945--0.99144))+0-33.9--0.0864449999999951</f>
        <v>199.78923499999996</v>
      </c>
      <c r="I272" s="3">
        <f>141.5+(508-416.9)+(0.216495+(0.77724-0.637857))+0-33.8-0.0517140000000019</f>
        <v>199.10416400000003</v>
      </c>
      <c r="J272" s="3">
        <f>141.5+(486.5-393.8)+(0+(0-0))+0-33.5-0</f>
        <v>200.7</v>
      </c>
      <c r="K272" s="3">
        <f>142+(489.4-392.6)+(0.21726+(0.748782-0.600678))+0-33.8-0.0517140000000019</f>
        <v>205.31364999999994</v>
      </c>
      <c r="L272" s="3">
        <f>178.9+(572.2-495)+(-0.091239+(-0.291822--0.25245))+0-33.8--0.0172379999999966</f>
        <v>222.18662700000002</v>
      </c>
      <c r="M272" s="3">
        <f>214.1+(563.6-499)+(0.109191+(0.287436-0.25449))+0-33.6-0.0171359999999966</f>
        <v>245.22500100000005</v>
      </c>
      <c r="N272" s="3">
        <f>278.9+(561.1-531.7)+(-0.142239+(-0.286161--0.271167))+0-33.7--0.0171869999999966</f>
        <v>274.45995399999993</v>
      </c>
      <c r="O272" s="3">
        <f>277.7+(572.9-525.9)+(-0.424881+(-0.876537--0.804627))+0-34.1--0.052173000000002</f>
        <v>290.15538199999997</v>
      </c>
      <c r="P272" s="3">
        <f>276.8+(575.6-523.8)+(-0.423504+(-0.880668--0.801414))+0-34.2--0.052326000000002</f>
        <v>293.94956800000006</v>
      </c>
      <c r="Q272" s="3">
        <f>279.1+(589.6-534)+(-0.427023+(-0.902088--0.81702))+0-29.4--0.0449820000000017</f>
        <v>304.83289100000007</v>
      </c>
      <c r="R272" s="3">
        <f>224+(642-525.5)+(-0.34272+(-0.98226--0.804015))+0-33.9--0.051867000000002</f>
        <v>306.13090200000005</v>
      </c>
      <c r="S272" s="3">
        <f>140+(650-467)+(-0.1428+(-0.663--0.47634))+0-33.2--0.0338640000000053</f>
        <v>289.50440400000002</v>
      </c>
      <c r="T272" s="3">
        <f>140.1+(658.2-476)+(-0.285804+(-1.342728--0.97104))+0-33.5--0.0683399999999985</f>
        <v>288.21084800000006</v>
      </c>
      <c r="U272" s="3">
        <f>183.1+(599.1-468.2)+(-0.093381+(-0.305541--0.238782))+0-33.7--0.0171869999999966</f>
        <v>280.15704699999998</v>
      </c>
      <c r="V272" s="3">
        <f>224.8+(558.4-455.2)+(-0.114648+(-0.284784--0.232152))+0-33.9--0.0172889999999966</f>
        <v>293.95000900000002</v>
      </c>
      <c r="W272" s="3">
        <f>278.4+(619.5-543.9)+(-0.141984+(-0.315945--0.277389))+0-34--0.0173399999999966</f>
        <v>319.83679999999998</v>
      </c>
      <c r="X272" s="3">
        <f>282.4+(635.7-574)+(-0.576096+(-1.296828--1.17096))+0-28.9--0.0589559999999987</f>
        <v>314.55699200000009</v>
      </c>
      <c r="Y272" s="3">
        <f>284.5+(678.2-626.5)+(-0.725475+(-1.72941--1.597575))+0-32.2--0.0821099999999953</f>
        <v>303.22480000000007</v>
      </c>
      <c r="Z272" s="3">
        <f>284.4+(695.4-651.1)+(-0.72522+(-1.77327--1.660305))+0-32--0.0815999999999954</f>
        <v>295.9434149999999</v>
      </c>
      <c r="AA272" s="3">
        <f>285.3+(676.3-645.8)+(-0.436509+(-1.034739--0.988074))+0-32.1--0.0491130000000019</f>
        <v>283.26593899999995</v>
      </c>
      <c r="AB272" s="3">
        <f>284.7+(574.9-556.2)+(-0.725985+(-1.465995--1.41831))+0-33.5--0.0854249999999951</f>
        <v>269.21175499999993</v>
      </c>
      <c r="AC272" s="3">
        <f>285+(519-510.9)+(-0.72675+(-1.32345--1.302795))+0-33.8--0.0861899999999951</f>
        <v>258.63878499999998</v>
      </c>
      <c r="AD272">
        <v>323.10000000000002</v>
      </c>
      <c r="AE272" s="3">
        <f>280+(628-550.9)+(0+(0-0))+0-34-0</f>
        <v>323.10000000000002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274.5+(521.6-514.4)+(0+(0-0))+0-33.9-0</f>
        <v>247.80000000000004</v>
      </c>
      <c r="G273" s="3">
        <f>180.6+(408.1-311.8)+(0+(0-0))+0-33.9-0</f>
        <v>242.99999999999997</v>
      </c>
      <c r="H273" s="3">
        <f>181+(440-344.8)+(0+(0-0))+0-33.8-0</f>
        <v>242.39999999999998</v>
      </c>
      <c r="I273" s="3">
        <f>180.9+(446-353.5)+(0+(0-0))+0-33.5-0</f>
        <v>239.89999999999998</v>
      </c>
      <c r="J273" s="3">
        <f>178.6+(445.8-356.6)+(0+(0-0))+0-27.7-0</f>
        <v>240.09999999999997</v>
      </c>
      <c r="K273" s="3">
        <f>182.8+(439-347.3)+(0+(0-0))+0-33.4-0</f>
        <v>241.1</v>
      </c>
      <c r="L273" s="3">
        <f>185.3+(518.4-419.4)+(0+(0-0))+0-31.5-0</f>
        <v>252.8</v>
      </c>
      <c r="M273" s="3">
        <f>196.1+(638.5-534.9)+(0+(0-0))+0-32.4-0</f>
        <v>267.30000000000007</v>
      </c>
      <c r="N273" s="3">
        <f>196.5+(718.2-584.8)+(0+(0-0))+0-33.2-0</f>
        <v>296.7000000000001</v>
      </c>
      <c r="O273" s="3">
        <f>196.5+(758.8-614.9)+(-0.20043+(-0.773976--0.627198))+0-32.8--0.0334560000000052</f>
        <v>307.28624799999994</v>
      </c>
      <c r="P273" s="3">
        <f>230.2+(708.8-599.1)+(-0.352206+(-1.084464--0.916623))+0-32.7--0.0500310000000019</f>
        <v>306.72998399999994</v>
      </c>
      <c r="Q273" s="3">
        <f>265.8+(711.5-634.8)+(-0.406674+(-1.088595--0.971244))+0-32.3--0.0494190000000019</f>
        <v>309.72539400000005</v>
      </c>
      <c r="R273" s="3">
        <f>172+(746.8-578.1)+(-0.35088+(-1.523472--1.179324))+0-33.6--0.0685439999999985</f>
        <v>306.4735159999999</v>
      </c>
      <c r="S273" s="3">
        <f>148.6+(714.7-540.3)+(-0.37893+(-1.822485--1.377765))+0-33.7--0.0859349999999951</f>
        <v>288.56228500000014</v>
      </c>
      <c r="T273" s="3">
        <f>151.3+(709.4-541.4)+(0+(0-0))+0-34.3-0</f>
        <v>285</v>
      </c>
      <c r="U273" s="3">
        <f>123.2+(668.7-478.8)+(-0.31416+(-1.705185--1.22094))+0-34.2--0.087209999999995</f>
        <v>278.188805</v>
      </c>
      <c r="V273" s="3">
        <f>105.4+(473.3-258.3)+(-0.053754+(-0.241383--0.131733))+0-34.2--0.0174419999999965</f>
        <v>286.05403799999999</v>
      </c>
      <c r="W273" s="3">
        <f>131.3+(457.4-242.6)+(0.066963+(0.233274-0.123726))+0-32-0.0163199999999968</f>
        <v>314.26019100000002</v>
      </c>
      <c r="X273" s="3">
        <f>130.8+(525.4-313.6)+(-0.133416+(-0.535908--0.319872))+0-27.9--0.0284580000000044</f>
        <v>314.379006</v>
      </c>
      <c r="Y273" s="3">
        <f>130.6+(561.2-358.5)+(-0.133212+(-0.572424--0.36567))+0-33--0.0336600000000053</f>
        <v>299.99369400000006</v>
      </c>
      <c r="Z273" s="3">
        <f>130.4+(614.3-415.5)+(-0.266016+(-1.253172--0.84762))+0-32.1--0.0654839999999986</f>
        <v>296.49391599999996</v>
      </c>
      <c r="AA273" s="3">
        <f>130.7+(680.5-484.3)+(-0.266628+(-1.38822--0.987972))+0-32--0.0652799999999986</f>
        <v>294.29840399999995</v>
      </c>
      <c r="AB273" s="3">
        <f>130.3+(568-383.4)+(-0.199359+(-0.86904--0.586602))+0-33.8--0.0517140000000019</f>
        <v>280.66991700000005</v>
      </c>
      <c r="AC273" s="3">
        <f>130.2+(465.4-293.9)+(-0.265608+(-0.949416--0.599556))+0-33.7--0.0687479999999985</f>
        <v>267.45327999999995</v>
      </c>
      <c r="AD273">
        <v>316.39999999999998</v>
      </c>
      <c r="AE273" s="3">
        <f>131+(481-266.6)+(0+(0-0))+0-29-0</f>
        <v>316.39999999999998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130.4+(445.1-278.9)+(-0.199512+(-0.681003--0.426717))+0-34.1--0.052173000000002</f>
        <v>262.09837499999998</v>
      </c>
      <c r="G274" s="3">
        <f>94.9+(465.9-274.7)+(-0.241995+(-1.188045--0.700485))+0-34.2--0.087209999999995</f>
        <v>251.25765500000003</v>
      </c>
      <c r="H274" s="3">
        <f>87.4+(496.4-297.8)+(-0.044574+(-0.253164--0.151878))+0-34.8--0.0177479999999965</f>
        <v>251.07188799999994</v>
      </c>
      <c r="I274" s="3">
        <f>80.8+(483-306.4)+(0+(0-0))+0-33.9-0</f>
        <v>223.50000000000003</v>
      </c>
      <c r="J274" s="3">
        <f>100.9+(477.5-304.9)+(0.051459+(0.243525-0.155499))+0-34.1-0.0173909999999965</f>
        <v>239.52209399999998</v>
      </c>
      <c r="K274" s="3">
        <f>134.3+(449.4-307)+(0.273972+(0.916776-0.62628))+0-33.5-0.0683399999999985</f>
        <v>243.69612799999996</v>
      </c>
      <c r="L274" s="3">
        <f>141.5+(488.5-338.7)+(0.216495+(0.747405-0.518211))+0-34.1-0.052173000000002</f>
        <v>257.59351600000002</v>
      </c>
      <c r="M274" s="3">
        <f>141.1+(604.1-434.6)+(0+(0-0))+0-33.7-0</f>
        <v>276.90000000000003</v>
      </c>
      <c r="N274" s="3">
        <f>141+(590.2-412.1)+(-0.07191+(-0.301002--0.210171))+0-33.7--0.0171869999999966</f>
        <v>285.25444600000003</v>
      </c>
      <c r="O274" s="3">
        <f>139.9+(578.2-389.9)+(-0.142698+(-0.589764--0.397698))+0-33.7--0.0343740000000054</f>
        <v>294.19961000000006</v>
      </c>
      <c r="P274" s="3">
        <f>138.6+(662.5-438.1)+(-0.141372+(-0.67575--0.446862))+0-33.2--0.0338640000000053</f>
        <v>329.46360400000003</v>
      </c>
      <c r="Q274" s="3">
        <f>137.5+(656.3-463.2)+(-0.2805+(-1.338852--0.944928))+0-24.7--0.0503879999999989</f>
        <v>305.27596399999999</v>
      </c>
      <c r="R274" s="3">
        <f>135.7+(653.6-434.7)+(-0.207621+(-1.000008--0.665091))+0-33.1--0.0506430000000019</f>
        <v>321.008105</v>
      </c>
      <c r="S274" s="3">
        <f>133.6+(585.3-416.1)+(-0.136272+(-0.597006--0.424422))+0-33.2--0.0338640000000053</f>
        <v>269.32500799999997</v>
      </c>
      <c r="T274" s="3">
        <f>132.5+(609.1-415.2)+(-0.13515+(-0.621282--0.423504))+0-32.1--0.0327420000000051</f>
        <v>293.99981400000001</v>
      </c>
      <c r="U274" s="3">
        <f>133+(529.2-343.2)+(-0.06783+(-0.269892--0.175032))+0-29.8--0.015197999999997</f>
        <v>289.05250800000005</v>
      </c>
      <c r="V274" s="3">
        <f>133+(426.8-236.6)+(-0.06783+(-0.217668--0.120666))+0-30.8--0.0157079999999969</f>
        <v>292.25087600000006</v>
      </c>
      <c r="W274" s="3">
        <f>133.4+(433.2-204)+(0.136068+(0.441864-0.20808))+0-32-0.0326400000000051</f>
        <v>330.93721199999999</v>
      </c>
      <c r="X274" s="3">
        <f>133.1+(429.4-212.5)+(0+(0-0))+0-32.2-0</f>
        <v>317.8</v>
      </c>
      <c r="Y274" s="3">
        <f>131.8+(417.7-225.3)+(-0.403308+(-1.278162--0.689418))+0-29.9--0.0914940000000034</f>
        <v>293.39944200000002</v>
      </c>
      <c r="Z274" s="3">
        <f>132.8+(388-188.2)+(0+(0-0))+0-29.7-0</f>
        <v>302.90000000000003</v>
      </c>
      <c r="AA274" s="3">
        <f>132.6+(406.6-221.7)+(-0.202878+(-0.622098--0.339201))+0-30.7--0.0469710000000018</f>
        <v>286.36119600000001</v>
      </c>
      <c r="AB274" s="3">
        <f>131.8+(411.6-233.2)+(-0.268872+(-0.839664--0.475728))+0-32.1--0.0654839999999986</f>
        <v>277.53267600000004</v>
      </c>
      <c r="AC274" s="3">
        <f>106.3+(480.6-284.6)+(-0.271065+(-1.22553--0.72573))+0-30.1--0.0767549999999956</f>
        <v>271.50588999999997</v>
      </c>
      <c r="AD274">
        <v>317.40000000000003</v>
      </c>
      <c r="AE274" s="3">
        <f>133+(428.6-213.2)+(0+(0-0))+0-31-0</f>
        <v>317.40000000000003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50.5+(533.8-291.5)+(-0.10302+(-1.088952--0.59466))+0-30--0.0611999999999987</f>
        <v>262.26388799999995</v>
      </c>
      <c r="G275" s="3">
        <f>50.5+(399.3-167.6)+(-0.05151+(-0.407286--0.170952))+0-29.9--0.0304980000000048</f>
        <v>252.04265400000003</v>
      </c>
      <c r="H275" s="3">
        <f>50.5+(381.3-151.7)+(-0.025755+(-0.194463--0.077367))+0-32.4--0.0165239999999967</f>
        <v>247.57367300000001</v>
      </c>
      <c r="I275" s="3">
        <f>50.5+(422.6-197.3)+(0.025755+(0.215526-0.100623))+0-33.4-0.0170339999999966</f>
        <v>242.52362399999998</v>
      </c>
      <c r="J275" s="3">
        <f>50.6+(376-149.9)+(-0.154836+(-1.15056--0.458694))+0-33.6--0.102816000000004</f>
        <v>242.35611399999999</v>
      </c>
      <c r="K275" s="3">
        <f>50.6+(383.5-153.1)+(0.103224+(0.78234-0.312324))+0-34.3-0.0699719999999985</f>
        <v>247.20326799999998</v>
      </c>
      <c r="L275" s="3">
        <f>139.1+(403.1-251.6)+(0.141882+(0.411162-0.256632))+0-34-0.0346800000000054</f>
        <v>256.86173200000002</v>
      </c>
      <c r="M275" s="3">
        <f>145.6+(428-266)+(-0.37128+(-1.0914--0.6783))+0-34--0.0866999999999951</f>
        <v>272.90232000000003</v>
      </c>
      <c r="N275" s="3">
        <f>144.5+(409-223.9)+(0.073695+(0.20859-0.114189))+0-33.5-0.0170849999999966</f>
        <v>296.25101100000001</v>
      </c>
      <c r="O275" s="3">
        <f>143.4+(350.4-152.8)+(-0.146268+(-0.357408--0.155856))+0-33.7--0.0343740000000054</f>
        <v>306.98655400000001</v>
      </c>
      <c r="P275" s="3">
        <f>142.4+(419.5-219.5)+(0.072624+(0.213945-0.111945))+0-33.9-0.0172889999999966</f>
        <v>308.65733499999999</v>
      </c>
      <c r="Q275" s="3">
        <f>141.8+(438.5-238.6)+(-0.072318+(-0.223635--0.121686))+0-31.4--0.0160139999999968</f>
        <v>310.14174700000007</v>
      </c>
      <c r="R275" s="3">
        <f>141.2+(403.6-204.6)+(-0.36006+(-1.02918--0.52173))+0-33.9--0.0864449999999951</f>
        <v>305.51893500000006</v>
      </c>
      <c r="S275" s="3">
        <f>140.6+(443.6-263.9)+(-0.215118+(-0.678708--0.403767))+0-33.2--0.0507960000000019</f>
        <v>286.6607370000001</v>
      </c>
      <c r="T275" s="3">
        <f>140.1+(443.6-273.6)+(-0.071451+(-0.226236--0.139536))+0-29.9--0.015248999999997</f>
        <v>280.05709800000005</v>
      </c>
      <c r="U275" s="3">
        <f>140.1+(421.6-248.6)+(0.285804+(0.860064-0.507144))+0-32.2-0.0656879999999986</f>
        <v>281.47303600000004</v>
      </c>
      <c r="V275" s="3">
        <f>140.5+(418.4-238.1)+(-0.14331+(-0.426768--0.242862))+0-33.5--0.0341700000000053</f>
        <v>287.00695399999995</v>
      </c>
      <c r="W275" s="3">
        <f>141.8+(419.8-208.7)+(0.072318+(0.214098-0.106437))+0-33.1-0.0168809999999966</f>
        <v>319.963098</v>
      </c>
      <c r="X275" s="3">
        <f>143.2+(456.1-246.3)+(-0.292128+(-0.930444--0.502452))+0-30.6--0.0624239999999987</f>
        <v>321.74230399999999</v>
      </c>
      <c r="Y275" s="3">
        <f>144.1+(490.3-287.7)+(-0.293964+(-1.000212--0.586908))+0-33.6--0.0685439999999985</f>
        <v>312.461276</v>
      </c>
      <c r="Z275" s="3">
        <f>95.7+(456.8-213.1)+(-0.146421+(-0.698904--0.326043))+0-33.4--0.0511020000000019</f>
        <v>305.5318200000001</v>
      </c>
      <c r="AA275" s="3">
        <f>50.5+(475-196.9)+(-0.077265+(-0.72675--0.301257))+0-33.8--0.0517140000000019</f>
        <v>294.34895600000004</v>
      </c>
      <c r="AB275" s="3">
        <f>50.5+(496.3-222.3)+(-0.077265+(-0.759339--0.340119))+0-34.1--0.052173000000002</f>
        <v>289.95568799999995</v>
      </c>
      <c r="AC275" s="3">
        <f>50.5+(374.7-113.5)+(-0.128775+(-0.955485--0.289425))+0-34.1--0.0869549999999951</f>
        <v>276.89211999999998</v>
      </c>
      <c r="AD275">
        <v>283.3</v>
      </c>
      <c r="AE275" s="3">
        <f>142+(447.4-271.9)+(0+(0-0))+0-34.2-0</f>
        <v>283.3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50.5+(313-59.8)+(-0.077265+(-0.47889--0.091494))+0-33.4--0.0511020000000019</f>
        <v>269.88644100000005</v>
      </c>
      <c r="G276" s="3">
        <f>50.5+(313.4-76)+(-0.05151+(-0.319668--0.07752))+0-30.3--0.0309060000000048</f>
        <v>257.33724799999999</v>
      </c>
      <c r="H276" s="3">
        <f>50.5+(328.2-95.6)+(-0.05151+(-0.334764--0.097512))+0-32.8--0.0334560000000052</f>
        <v>250.04469399999999</v>
      </c>
      <c r="I276" s="3">
        <f>50.4+(331.9-101.3)+(0.025704+(0.169269-0.051663))+0-32.9-0.0167789999999967</f>
        <v>248.22653099999994</v>
      </c>
      <c r="J276" s="3">
        <f>50.5+(325.8-99.9)+(0.025755+(0.166158-0.050949))+0-33.3-0.0169829999999966</f>
        <v>243.22398099999995</v>
      </c>
      <c r="K276" s="3">
        <f>129.6+(283.3-141.1)+(0.066096+(0.144483-0.071961))+0-33.5-0.0170849999999966</f>
        <v>238.42153300000001</v>
      </c>
      <c r="L276" s="3">
        <f>142.9+(312.4-170.9)+(0.072879+(0.159324-0.087159))+0-33.9-0.0172889999999966</f>
        <v>250.62775499999995</v>
      </c>
      <c r="M276" s="3">
        <f>142.8+(340.6-184.9)+(-0.145656+(-0.347412--0.188598))+0-34.2--0.0348840000000055</f>
        <v>264.03041400000006</v>
      </c>
      <c r="N276" s="3">
        <f>143.4+(381.9-209.4)+(0.219402+(0.584307-0.320382))+0-31.1-0.0475830000000018</f>
        <v>285.23574399999995</v>
      </c>
      <c r="O276" s="3">
        <f>142.2+(415.6-226.6)+(-0.36261+(-1.05978--0.57783))+0-34.2--0.087209999999995</f>
        <v>296.24265000000003</v>
      </c>
      <c r="P276" s="3">
        <f>119.2+(408.1-188)+(-0.060792+(-0.208131--0.09588))+0-35--0.0178499999999964</f>
        <v>304.14480700000001</v>
      </c>
      <c r="Q276" s="3">
        <f>60.6+(416.2-133.5)+(-0.092718+(-0.636786--0.204255))+0-35.1--0.053703000000002</f>
        <v>307.728454</v>
      </c>
      <c r="R276" s="3">
        <f>60.6+(429.7-151)+(-0.061812+(-0.438294--0.15402))+0-34.8--0.0354960000000055</f>
        <v>304.18941000000001</v>
      </c>
      <c r="S276" s="3">
        <f>57.4+(435.4-166.8)+(-0.058548+(-0.444108--0.170136))+0-35.3--0.0360060000000056</f>
        <v>290.40348599999993</v>
      </c>
      <c r="T276" s="3">
        <f>55.5+(441.9-168.5)+(-0.084915+(-0.676107--0.257805))+0-34.6--0.052938000000002</f>
        <v>293.84972099999993</v>
      </c>
      <c r="U276" s="3">
        <f>55.6+(425.1-161.8)+(-0.14178+(-1.084005--0.41259))+0-34.7--0.088484999999995</f>
        <v>283.47529000000003</v>
      </c>
      <c r="V276" s="3">
        <f>79.4+(357.4-117.2)+(0.080988+(0.364548-0.119544))+0-33-0.0336600000000053</f>
        <v>286.89233200000001</v>
      </c>
      <c r="W276" s="3">
        <f>138.5+(342.2-136.3)+(-0.211905+(-0.523566--0.208539))+0-34.4--0.052632000000002</f>
        <v>309.52570000000003</v>
      </c>
      <c r="X276" s="3">
        <f>140.1+(425.8-225.9)+(-0.285804+(-0.868632--0.460836))+0-34.1--0.0695639999999985</f>
        <v>305.27596399999999</v>
      </c>
      <c r="Y276" s="3">
        <f>78.6+(255.6-0)+(0.080172+(0.260712-0))+0-34.2-0.0348840000000055</f>
        <v>300.30599999999998</v>
      </c>
      <c r="Z276" s="3">
        <f>50.5+(268.6-0)+(-0.10302+(-0.547944-0))+0-34.2--0.0697679999999985</f>
        <v>284.31880400000006</v>
      </c>
      <c r="AA276" s="3">
        <f>50.5+(258.8-0)+(-0.10302+(-0.527952-0))+0-33.6--0.0685439999999985</f>
        <v>275.13757199999998</v>
      </c>
      <c r="AB276" s="3">
        <f>50.5+(248.2-0)+(0.025755+(0.126582-0))+0-34.2-0.0174419999999965</f>
        <v>264.63489499999997</v>
      </c>
      <c r="AC276" s="3">
        <f>50.5+(263.2-10.1)+(-0.025755+(-0.134232--0.005151))+0-33.8--0.0172379999999966</f>
        <v>269.66240200000004</v>
      </c>
      <c r="AD276">
        <v>306.39999999999998</v>
      </c>
      <c r="AE276" s="3">
        <f>141+(442.4-243.1)+(0+(0-0))+0-33.9-0</f>
        <v>306.39999999999998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50.3+(371.5-128.2)+(-0.025653+(-0.189465--0.065382))+0-33.8--0.0172379999999966</f>
        <v>259.66750200000001</v>
      </c>
      <c r="G277" s="3">
        <f>50.3+(405.5-169)+(-0.025653+(-0.206805--0.08619))+0-33.7--0.0171869999999966</f>
        <v>252.97091900000001</v>
      </c>
      <c r="H277" s="3">
        <f>50.4+(466.2-236.2)+(0+(0-0))+0-33.6-0</f>
        <v>246.79999999999998</v>
      </c>
      <c r="I277" s="3">
        <f>50.5+(455.9-228.2)+(-0.025755+(-0.232509--0.116382))+0-33.5--0.0170849999999966</f>
        <v>244.57520299999999</v>
      </c>
      <c r="J277" s="3">
        <f>50.3+(419.8-194.5)+(0.025653+(0.214098-0.099195))+0-33.7-0.0171869999999966</f>
        <v>242.02336900000003</v>
      </c>
      <c r="K277" s="3">
        <f>50.4+(430.3-201.3)+(0+(0-0))+0-33.8-0</f>
        <v>245.59999999999997</v>
      </c>
      <c r="L277" s="3">
        <f>50.4+(518-286.9)+(0.025704+(0.26418-0.146319))+0-33.7-0.0171869999999966</f>
        <v>247.92637800000003</v>
      </c>
      <c r="M277" s="3">
        <f>50.6+(589.6-373.4)+(0+(0-0))+0-23.5-0</f>
        <v>243.30000000000007</v>
      </c>
      <c r="N277" s="3">
        <f>116.3+(524.1-356.2)+(-0.118626+(-0.534582--0.363324))+0-18.6--0.018972000000003</f>
        <v>265.32908800000007</v>
      </c>
      <c r="O277" s="3">
        <f>141.3+(604.1-432.2)+(0.072063+(0.308091-0.220422))+0-32-0.0163199999999968</f>
        <v>281.34341200000006</v>
      </c>
      <c r="P277" s="3">
        <f>141.3+(602.3-432.3)+(0.216189+(0.921519-0.661419))+0-25.2-0.0385560000000015</f>
        <v>286.53773299999995</v>
      </c>
      <c r="Q277" s="3">
        <f>141.1+(606.5-423.6)+(-0.071961+(-0.309315--0.216036))+0-32.8--0.0167279999999967</f>
        <v>291.05148800000001</v>
      </c>
      <c r="R277" s="3">
        <f>140.1+(644.2-468.3)+(-0.357255+(-1.64271--1.194165))+0-34.1--0.0869549999999951</f>
        <v>281.18115499999999</v>
      </c>
      <c r="S277" s="3">
        <f>137.5+(681-521.4)+(-0.2805+(-1.38924--1.063656))+0-33.9--0.0691559999999985</f>
        <v>262.66307200000006</v>
      </c>
      <c r="T277" s="3">
        <f>138+(604-447.4)+(-0.07038+(-0.30804--0.228174))+0-33.5--0.0170849999999966</f>
        <v>260.96683900000005</v>
      </c>
      <c r="U277" s="3">
        <f>50+(589-412.2)+(-0.1275+(-1.50195--1.05111))+0-31.9--0.0813449999999954</f>
        <v>194.40300500000001</v>
      </c>
      <c r="V277" s="3">
        <f>50+(511.9-271)+(0.0765+(0.783207-0.41463))+0-24.1-0.0368730000000014</f>
        <v>267.20820399999997</v>
      </c>
      <c r="W277" s="3">
        <f>136+(446.7-235.8)+(0+(0-0))+0-30-0</f>
        <v>316.89999999999998</v>
      </c>
      <c r="X277" s="3">
        <f>136+(462.2-274.9)+(-0.3468+(-1.17861--0.700995))+0-31.9--0.0813449999999954</f>
        <v>290.65693000000005</v>
      </c>
      <c r="Y277" s="3">
        <f>71+(450.8-236.4)+(-0.18105+(-1.14954--0.60282))+0-32.2--0.0821099999999953</f>
        <v>252.55433999999997</v>
      </c>
      <c r="Z277" s="3">
        <f>70+(420-172.1)+(-0.1071+(-0.6426--0.263313))+0-32--0.0489600000000018</f>
        <v>285.46257300000002</v>
      </c>
      <c r="AA277" s="3">
        <f>71+(416.7-178)+(-0.03621+(-0.212517--0.09078))+0-31.8--0.0162179999999968</f>
        <v>277.75827099999998</v>
      </c>
      <c r="AB277" s="3">
        <f>70+(516.2-287.6)+(-0.1071+(-0.789786--0.440028))+0-32.4--0.0495720000000019</f>
        <v>265.79271400000005</v>
      </c>
      <c r="AC277" s="3">
        <f>68+(604-384.3)+(-0.06936+(-0.61608--0.391986))+0-32--0.0326400000000051</f>
        <v>255.43918600000001</v>
      </c>
      <c r="AD277">
        <v>295.70000000000005</v>
      </c>
      <c r="AE277" s="3">
        <f>139+(427.6-240.5)+(0+(0-0))+0-30.4-0</f>
        <v>295.70000000000005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70+(546.8-340.2)+(0+(0-0))+0-32.1-0</f>
        <v>244.49999999999997</v>
      </c>
      <c r="G278" s="3">
        <f>60+(377.7-168.7)+(-0.153+(-0.963135--0.430185))+0-31.8--0.0810899999999954</f>
        <v>236.59513999999999</v>
      </c>
      <c r="H278" s="3">
        <f>52+(405.8-190.1)+(-0.10608+(-0.827832--0.387804))+0-32.7--0.0667079999999986</f>
        <v>234.52060000000006</v>
      </c>
      <c r="I278" s="3">
        <f>52+(417.4-206.6)+(0.02652+(0.212874-0.105366))+0-33-0.0168299999999967</f>
        <v>229.91719799999996</v>
      </c>
      <c r="J278" s="3">
        <f>52+(366.8-156.5)+(0.02652+(0.187068-0.079815))+0-32.4-0.0165239999999967</f>
        <v>230.01724900000002</v>
      </c>
      <c r="K278" s="3">
        <f>50+(294.2-87.3)+(0+(0-0))+0-30.2-0</f>
        <v>226.7</v>
      </c>
      <c r="L278" s="3">
        <f>51+(321.6-112.6)+(-0.02601+(-0.164016--0.057426))+0-32.6--0.0166259999999967</f>
        <v>227.28402599999998</v>
      </c>
      <c r="M278" s="3">
        <f>52+(356.6-160.3)+(0.05304+(0.363732-0.163506))+0-33.2-0.0338640000000053</f>
        <v>215.31940200000003</v>
      </c>
      <c r="N278" s="3">
        <f>49+(482.4-269.4)+(0.04998+(0.492048-0.274788))+0-33.9-0.0345780000000054</f>
        <v>228.332662</v>
      </c>
      <c r="O278" s="3">
        <f>52+(591.1-360.3)+(0+(0-0))+0-33-0</f>
        <v>249.8</v>
      </c>
      <c r="P278" s="3">
        <f>52+(640.7-403.6)+(-0.05304+(-0.653514--0.411672))+0-33.3--0.0339660000000053</f>
        <v>255.53908400000003</v>
      </c>
      <c r="Q278" s="3">
        <f>52+(667.6-429.1)+(0.05304+(0.680952-0.437682))+0-33-0.0336600000000053</f>
        <v>257.76265000000001</v>
      </c>
      <c r="R278" s="3">
        <f>48+(675.4-432)+(-0.07344+(-1.033362--0.66096))+0-30--0.0459000000000017</f>
        <v>261.00005799999997</v>
      </c>
      <c r="S278" s="3">
        <f>52+(662.2-444.9)+(-0.1326+(-1.68861--1.134495))+0-33--0.0841499999999952</f>
        <v>235.69743500000007</v>
      </c>
      <c r="T278" s="3">
        <f>52+(711.4-471.2)+(-0.07956+(-1.088442--0.720936))+0-30--0.0459000000000017</f>
        <v>261.798834</v>
      </c>
      <c r="U278" s="3">
        <f>50+(684.1-465.2)+(-0.102+(-1.395564--0.949008))+0-30.2--0.0616079999999987</f>
        <v>238.21305200000003</v>
      </c>
      <c r="V278" s="3">
        <f>52+(578-346.9)+(-0.02652+(-0.29478--0.176919))+0-32.1--0.0163709999999967</f>
        <v>250.87199000000001</v>
      </c>
      <c r="W278" s="3">
        <f>127+(434-255.2)+(0.06477+(0.22134-0.130152))+0-32.4-0.0165239999999967</f>
        <v>273.53943400000003</v>
      </c>
      <c r="X278" s="3">
        <f>142+(347.1-197.6)+(-0.28968+(-0.708084--0.403104))+0-26.7--0.0544679999999988</f>
        <v>264.25980800000002</v>
      </c>
      <c r="Y278" s="3">
        <f>136+(376.8-227.5)+(0.20808+(0.576504-0.348075))+0-33.5-0.0512550000000019</f>
        <v>252.18525400000001</v>
      </c>
      <c r="Z278" s="3">
        <f>143+(401.3-254.5)+(-0.07293+(-0.204663--0.129795))+0-33.5--0.0170849999999966</f>
        <v>256.169287</v>
      </c>
      <c r="AA278" s="3">
        <f>144+(521-380.8)+(-0.22032+(-0.79713--0.582624))+0-33.7--0.051561000000002</f>
        <v>250.11673500000001</v>
      </c>
      <c r="AB278" s="3">
        <f>144+(551-419.2)+(-0.14688+(-0.56202--0.427584))+0-33.6--0.0342720000000054</f>
        <v>241.95295600000003</v>
      </c>
      <c r="AC278" s="3">
        <f>142+(487.1-365.7)+(-0.21726+(-0.745263--0.559521))+0-33.2--0.0507960000000019</f>
        <v>229.84779400000002</v>
      </c>
      <c r="AD278">
        <v>253.10000000000002</v>
      </c>
      <c r="AE278" s="3">
        <f>140+(340.6-193.8)+(0+(0-0))+0-33.7-0</f>
        <v>253.10000000000002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144+(477.6-364.5)+(-0.3672+(-1.21788--0.929475))+0-31.1--0.0793049999999955</f>
        <v>225.42370000000005</v>
      </c>
      <c r="G279" s="3">
        <f>143+(500.9-389.2)+(-0.21879+(-0.766377--0.595476))+0-31.4--0.0480420000000018</f>
        <v>222.95835099999999</v>
      </c>
      <c r="H279" s="3">
        <f>118+(511.1-378.7)+(-0.3009+(-1.303305--0.965685))+0-32--0.0815999999999954</f>
        <v>217.84308000000004</v>
      </c>
      <c r="I279" s="3">
        <f>69+(487.4-313.1)+(-0.07038+(-0.497148--0.319362))+0-32--0.0326400000000051</f>
        <v>211.08447399999997</v>
      </c>
      <c r="J279" s="3">
        <f>145+(440.6-332.1)+(0+(0-0))+0-32.7-0</f>
        <v>220.8</v>
      </c>
      <c r="K279" s="3">
        <f>140+(406.2-290.9)+(-0.1428+(-0.414324--0.296718))+0-29.5--0.0300900000000047</f>
        <v>225.56968400000002</v>
      </c>
      <c r="L279" s="3">
        <f>104+(560.8-388.6)+(0.05304+(0.286008-0.198186))+0-33.2-0.0169319999999966</f>
        <v>243.12392999999997</v>
      </c>
      <c r="M279" s="3">
        <f>103+(700.9-519.4)+(0.10506+(0.714918-0.529788))+0-32.3-0.0329460000000051</f>
        <v>252.45724399999997</v>
      </c>
      <c r="N279" s="3">
        <f>145+(887.4-710.1)+(0.07395+(0.452574-0.362151))+0-31.7-0.0161669999999968</f>
        <v>290.74820599999998</v>
      </c>
      <c r="O279" s="3">
        <f>144+(899.4-704.7)+(0.29376+(1.834776-1.437588))+0-32.3-0.0658919999999986</f>
        <v>307.02505599999989</v>
      </c>
      <c r="P279" s="3">
        <f>142+(953.2-725.6)+(0.07242+(0.486132-0.370056))+0-32.3-0.0164729999999967</f>
        <v>337.47202299999998</v>
      </c>
      <c r="Q279" s="3">
        <f>136+(895.5-688.3)+(0.06936+(0.456705-0.351033))+0-30.9-0.0157589999999969</f>
        <v>312.45927300000005</v>
      </c>
      <c r="R279" s="3">
        <f>136+(883.2-682.3)+(-0.3468+(-2.25216--1.739865))+0-32.4--0.0826199999999953</f>
        <v>303.72352500000011</v>
      </c>
      <c r="S279" s="3">
        <f>136+(910.4-735)+(0.06936+(0.464304-0.37485))+0-28.9-0.0147389999999971</f>
        <v>282.64407499999999</v>
      </c>
      <c r="T279" s="3">
        <f>135+(928.2-749.5)+(0.1377+(0.946764-0.76449))+0-32-0.0326400000000051</f>
        <v>281.98733400000003</v>
      </c>
      <c r="U279" s="3">
        <f>135.5+(879.5-708.1)+(0+(0-0))+0-31.8-0</f>
        <v>275.09999999999997</v>
      </c>
      <c r="V279" s="3">
        <f>135.6+(719.1-534.3)+(-0.138312+(-0.733482--0.544986))+0-31.9--0.0325380000000051</f>
        <v>288.20573000000007</v>
      </c>
      <c r="W279" s="3">
        <f>136.5+(576.2-373.2)+(0+(0-0))+0-32.4-0</f>
        <v>307.10000000000008</v>
      </c>
      <c r="X279" s="3">
        <f>136.8+(596.9-407.5)+(-0.139536+(-0.608838--0.41565))+0-19.3--0.0196860000000031</f>
        <v>306.58696199999997</v>
      </c>
      <c r="Y279" s="3">
        <f>118.9+(643-436.2)+(-0.242556+(-1.31172--0.889848))+0-29.6--0.0603839999999987</f>
        <v>295.49595600000004</v>
      </c>
      <c r="Z279" s="3">
        <f>70.5+(689.1-437.1)+(-0.035955+(-0.351441--0.222921))+0-32.1--0.0163709999999967</f>
        <v>290.25189599999999</v>
      </c>
      <c r="AA279" s="3">
        <f>70.4+(724.5-480.7)+(-0.071808+(-0.73899--0.490314))+0-33.2--0.0338640000000053</f>
        <v>280.71338000000003</v>
      </c>
      <c r="AB279" s="3">
        <f>70.4+(704.2-474)+(-0.035904+(-0.359142--0.24174))+0-32.8--0.0167279999999967</f>
        <v>267.66342200000003</v>
      </c>
      <c r="AC279" s="3">
        <f>70.3+(493.5-280.1)+(-0.035853+(-0.251685--0.142851))+0-31.7--0.0161669999999968</f>
        <v>251.87148000000002</v>
      </c>
      <c r="AD279">
        <v>309.90000000000003</v>
      </c>
      <c r="AE279" s="3">
        <f>137+(571.2-366.6)+(0+(0-0))+0-31.7-0</f>
        <v>309.90000000000003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70.4+(452.4-244.7)+(-0.071808+(-0.461448--0.249594))+0-31.2--0.031824000000005</f>
        <v>246.64816200000004</v>
      </c>
      <c r="G280" s="3">
        <f>70.4+(414.1-209.6)+(-0.035904+(-0.211191--0.106896))+0-30.8--0.0157079999999969</f>
        <v>243.97550900000002</v>
      </c>
      <c r="H280" s="3">
        <f>70.1+(383.7-186)+(-0.107253+(-0.587061--0.28458))+0-31.4--0.0480420000000018</f>
        <v>236.03830799999994</v>
      </c>
      <c r="I280" s="3">
        <f>70.1+(393.6-196.8)+(-0.107253+(-0.602208--0.301104))+0-31.5--0.0481950000000018</f>
        <v>235.03983799999995</v>
      </c>
      <c r="J280" s="3">
        <f>70.8+(391.8-203.6)+(0+(0-0))+0-31.8-0</f>
        <v>227.2</v>
      </c>
      <c r="K280" s="3">
        <f>103.7+(382.5-216)+(0+(0-0))+0-31.6-0</f>
        <v>238.6</v>
      </c>
      <c r="L280" s="3">
        <f>139.2+(569.4-429.4)+(0+(0-0))+0-31.6-0</f>
        <v>247.6</v>
      </c>
      <c r="M280" s="3">
        <f>138.6+(635.3-477.3)+(0.141372+(0.648006-0.486846))+0-32.6-0.0332520000000052</f>
        <v>264.26927999999987</v>
      </c>
      <c r="N280" s="3">
        <f>138.3+(607.1-427)+(0.141066+(0.619242-0.43554))+0-24.2-0.0246840000000039</f>
        <v>294.50008400000007</v>
      </c>
      <c r="O280" s="3">
        <f>137.5+(566.7-369.9)+(-0.070125+(-0.289017--0.188649))+0-30.9--0.0157589999999969</f>
        <v>303.24526600000007</v>
      </c>
      <c r="P280" s="3">
        <f>138+(584.5-390.6)+(0+(0-0))+0-31.1-0</f>
        <v>300.79999999999995</v>
      </c>
      <c r="Q280" s="3">
        <f>136.3+(559.7-354.1)+(-0.208539+(-0.856341--0.541773))+0-31.1--0.0475830000000018</f>
        <v>310.324476</v>
      </c>
      <c r="R280" s="3">
        <f>136.1+(569.7-369.8)+(-0.138822+(-0.581094--0.377196))+0-31.1--0.031722000000005</f>
        <v>304.58900199999999</v>
      </c>
      <c r="S280" s="3">
        <f>133.7+(593.4-412.1)+(-0.204561+(-0.907902--0.630513))+0-32.8--0.0501840000000019</f>
        <v>281.76823399999995</v>
      </c>
      <c r="T280" s="3">
        <f>133.9+(586.9-408.1)+(0+(0-0))+0-32.3-0</f>
        <v>280.39999999999992</v>
      </c>
      <c r="U280" s="3">
        <f>132.2+(564.1-385.8)+(0.202266+(0.863073-0.590274))+0-31.9-0.0488070000000018</f>
        <v>279.02625799999998</v>
      </c>
      <c r="V280" s="3">
        <f>212.2+(424-322.5)+(0.216444+(0.43248-0.32895))+0-32.7-0.0333540000000052</f>
        <v>281.28661999999997</v>
      </c>
      <c r="W280" s="3">
        <f>269.4+(455-382.2)+(0.412182+(0.69615-0.584766))+0-32.8-0.0501840000000019</f>
        <v>309.87338199999999</v>
      </c>
      <c r="X280" s="3">
        <f>273.9+(463.4-404.4)+(-0.279378+(-0.472668--0.412488))+0-32.4--0.0330480000000052</f>
        <v>300.19349</v>
      </c>
      <c r="Y280" s="3">
        <f>273.8+(504.8-454)+(-0.69819+(-1.28724--1.1577))+0-33.2--0.0846599999999952</f>
        <v>290.65693000000005</v>
      </c>
      <c r="Z280" s="3">
        <f>275.7+(521.6-477.6)+(0.140607+(0.266016-0.243576))+0-32.6-0.0166259999999967</f>
        <v>287.246421</v>
      </c>
      <c r="AA280" s="3">
        <f>266.1+(584.2-536.5)+(-0.407133+(-0.893826--0.820845))+0-33.1--0.0506430000000019</f>
        <v>280.27052900000001</v>
      </c>
      <c r="AB280" s="3">
        <f>187.6+(575.3-460.3)+(-0.382704+(-1.173612--0.939012))+0-32.8--0.0669119999999986</f>
        <v>269.24960799999991</v>
      </c>
      <c r="AC280" s="3">
        <f>167.8+(485.8-361.3)+(-0.342312+(-0.991032--0.737052))+0-32.9--0.0671159999999986</f>
        <v>258.87082400000003</v>
      </c>
      <c r="AD280">
        <v>306.09999999999997</v>
      </c>
      <c r="AE280" s="3">
        <f>272+(449.4-382.5)+(0+(0-0))+0-32.8-0</f>
        <v>306.09999999999997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136.4+(480.9-328.5)+(-0.278256+(-0.981036--0.67014))+0-33.3--0.0679319999999985</f>
        <v>254.97877999999992</v>
      </c>
      <c r="G281" s="3">
        <f>79.6+(439-233.8)+(-0.081192+(-0.44778--0.238476))+0-32.9--0.0335580000000052</f>
        <v>251.64306199999993</v>
      </c>
      <c r="H281" s="3">
        <f>80.2+(419.2-217.4)+(-0.040902+(-0.213792--0.110874))+0-32.9--0.0167789999999967</f>
        <v>248.97295899999997</v>
      </c>
      <c r="I281" s="3">
        <f>81.3+(415.8-225.7)+(0.124389+(0.636174-0.345321))+0-31.4-0.0480420000000018</f>
        <v>240.3672</v>
      </c>
      <c r="J281" s="3">
        <f>80.8+(408.8-225.9)+(0+(0-0))+0-31.6-0</f>
        <v>232.1</v>
      </c>
      <c r="K281" s="3">
        <f>81.9+(412.5-229.4)+(0.250614+(1.26225-0.701964))+0-31.2-0.0954720000000036</f>
        <v>234.51542800000001</v>
      </c>
      <c r="L281" s="3">
        <f>80.6+(414.2-216.3)+(0+(0-0))+0-32.1-0</f>
        <v>246.4</v>
      </c>
      <c r="M281" s="3">
        <f>81.3+(497-288.6)+(0.082926+(0.50694-0.294372))+0-31.8-0.0324360000000051</f>
        <v>258.16305799999998</v>
      </c>
      <c r="N281" s="3">
        <f>111.4+(457.3-253.9)+(0+(0-0))+0-31.2-0</f>
        <v>283.60000000000002</v>
      </c>
      <c r="O281" s="3">
        <f>136.3+(431.4-244.1)+(0.139026+(0.440028-0.248982))+0-31.6-0.032232000000005</f>
        <v>292.29783999999995</v>
      </c>
      <c r="P281" s="3">
        <f>136.2+(436.9-247.2)+(0.208386+(0.668457-0.378216))+0-32.2-0.0492660000000019</f>
        <v>294.149361</v>
      </c>
      <c r="Q281" s="3">
        <f>135.7+(448-250.6)+(-0.069207+(-0.22848--0.127806))+0-32.5--0.0165749999999967</f>
        <v>300.44669400000004</v>
      </c>
      <c r="R281" s="3">
        <f>131.5+(452.2-255.1)+(-0.335325+(-1.15311--0.650505))+0-33.4--0.0851699999999952</f>
        <v>294.44724000000002</v>
      </c>
      <c r="S281" s="3">
        <f>133.6+(487-322)+(-0.204408+(-0.74511--0.49266))+0-32.1--0.0491130000000019</f>
        <v>266.09225499999997</v>
      </c>
      <c r="T281" s="3">
        <f>134.2+(533.1-386)+(0.068442+(0.271881-0.19686))+0-29.5-0.015044999999997</f>
        <v>251.92841800000002</v>
      </c>
      <c r="U281" s="3">
        <f>133.9+(551.5-368)+(-0.068289+(-0.281265--0.18768))+0-29--0.0147899999999971</f>
        <v>288.25291599999997</v>
      </c>
      <c r="V281" s="3">
        <f>132.7+(485.5-289.9)+(-0.135354+(-0.49521--0.295698))+0-30.1--0.0307020000000048</f>
        <v>297.89583600000003</v>
      </c>
      <c r="W281" s="3">
        <f>135.1+(426.7-213.5)+(0.137802+(0.435234-0.21777))+0-32.4-0.0330480000000052</f>
        <v>316.22221799999994</v>
      </c>
      <c r="X281" s="3">
        <f>134.4+(417.1-207.5)+(-0.34272+(-1.063605--0.529125))+0-32.3--0.0823649999999953</f>
        <v>310.90516499999995</v>
      </c>
      <c r="Y281" s="3">
        <f>134.7+(466.8-265.3)+(-0.068697+(-0.238068--0.135303))+0-31.7--0.0161669999999968</f>
        <v>304.34470499999998</v>
      </c>
      <c r="Z281" s="3">
        <f>114.9+(421.6-206.3)+(-0.058599+(-0.215016--0.105213))+0-32.4--0.0165239999999967</f>
        <v>297.64812200000006</v>
      </c>
      <c r="AA281" s="3">
        <f>70.4+(469.9-219.3)+(-0.071808+(-0.479298--0.223686))+0-32.4--0.0330480000000052</f>
        <v>288.30562800000001</v>
      </c>
      <c r="AB281" s="3">
        <f>69.6+(456.2-213.1)+(-0.17748+(-1.16331--0.543405))+0-31.8--0.0810899999999954</f>
        <v>280.18370499999997</v>
      </c>
      <c r="AC281" s="3">
        <f>70.1+(398.9-172)+(-0.071502+(-0.406878--0.17544))+0-31.4--0.032028000000005</f>
        <v>265.32908800000007</v>
      </c>
      <c r="AD281">
        <v>313.20000000000005</v>
      </c>
      <c r="AE281" s="3">
        <f>134+(415.7-202.9)+(0+(0-0))+0-33.6-0</f>
        <v>313.19999999999993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70.2+(436.2-214)+(-0.143208+(-0.889848--0.43656))+0-28.7--0.0585479999999987</f>
        <v>263.16205199999996</v>
      </c>
      <c r="G282" s="3">
        <f>69.7+(459.4-238.5)+(-0.071094+(-0.468588--0.24327))+0-30.9--0.0315180000000049</f>
        <v>259.43510600000002</v>
      </c>
      <c r="H282" s="3">
        <f>69.9+(481.8-257.4)+(-0.142596+(-0.982872--0.525096))+0-32.3--0.0658919999999986</f>
        <v>261.46552000000008</v>
      </c>
      <c r="I282" s="3">
        <f>69.7+(463-238.5)+(-0.142188+(-0.94452--0.48654))+0-31.6--0.0644639999999986</f>
        <v>262.06429599999996</v>
      </c>
      <c r="J282" s="3">
        <f>70.5+(445.9-225.2)+(-0.07191+(-0.454818--0.229704))+0-32.6--0.0332520000000052</f>
        <v>258.33622799999995</v>
      </c>
      <c r="K282" s="3">
        <f>70.6+(393.1-169.4)+(0+(0-0))+0-33.2-0</f>
        <v>261.10000000000002</v>
      </c>
      <c r="L282" s="3">
        <f>70.6+(427.9-195.2)+(-0.036006+(-0.218229--0.099552))+0-33.2--0.0169319999999966</f>
        <v>269.96224899999999</v>
      </c>
      <c r="M282" s="3">
        <f>70.8+(516.2-267.1)+(0.036108+(0.263262-0.136221))+0-33-0.0168299999999967</f>
        <v>287.04631900000004</v>
      </c>
      <c r="N282" s="3">
        <f>129.3+(634.3-419.8)+(0.131886+(0.646986-0.428196))+0-32.8-0.0334560000000052</f>
        <v>311.31721999999996</v>
      </c>
      <c r="O282" s="3">
        <f>134+(575.7-362.8)+(0.13668+(0.587214-0.370056))+0-33-0.0336600000000053</f>
        <v>314.22017800000003</v>
      </c>
      <c r="P282" s="3">
        <f>138.3+(517.8-293.9)+(0.070533+(0.264078-0.149889))+0-30.6-0.0156059999999969</f>
        <v>331.769116</v>
      </c>
      <c r="Q282" s="3">
        <f>138.3+(506.4-281.3)+(0+(0-0))+0-31.8-0</f>
        <v>331.59999999999997</v>
      </c>
      <c r="R282" s="3">
        <f>142.1+(467.4-251.8)+(-0.362355+(-1.19187--0.64209))+0-33--0.0841499999999952</f>
        <v>323.87201499999998</v>
      </c>
      <c r="S282" s="3">
        <f>148.3+(521.8-315.1)+(-0.529431+(-1.862826--1.124907))+0-32.5--0.116025</f>
        <v>321.3486749999999</v>
      </c>
      <c r="T282" s="3">
        <f>163.4+(571.6-398.9)+(0+(0-0))+0-32.7-0</f>
        <v>303.40000000000003</v>
      </c>
      <c r="U282" s="3">
        <f>140.1+(546.4-355.6)+(0.214353+(0.835992-0.544068))+0-28.9-0.0442170000000017</f>
        <v>302.46206000000001</v>
      </c>
      <c r="V282" s="3">
        <f>139.5+(429.1-214.4)+(-0.14229+(-0.437682--0.218688))+0-32.8--0.0334560000000052</f>
        <v>321.07217200000002</v>
      </c>
      <c r="W282" s="3">
        <f>140.5+(359.4-121.4)+(0.214965+(0.549882-0.185742))+0-32.3-0.0494190000000019</f>
        <v>346.72968600000002</v>
      </c>
      <c r="X282" s="3">
        <f>139.2+(317.1-102.2)+(-0.35496+(-0.808605--0.26061))+0-32.6--0.0831299999999953</f>
        <v>320.68017499999996</v>
      </c>
      <c r="Y282" s="3">
        <f>139.2+(342.7-139.4)+(-0.35496+(-0.873885--0.35547))+0-33--0.0841499999999952</f>
        <v>308.71077500000001</v>
      </c>
      <c r="Z282" s="3">
        <f>140.5+(369.5-175)+(-0.28662+(-0.75378--0.357))+0-32.6--0.0665039999999986</f>
        <v>301.78310399999998</v>
      </c>
      <c r="AA282" s="3">
        <f>140.6+(378.1-192.5)+(-0.286824+(-0.771324--0.3927))+0-33.6--0.0685439999999985</f>
        <v>292.00309599999997</v>
      </c>
      <c r="AB282" s="3">
        <f>142.3+(324-155.5)+(-0.145146+(-0.33048--0.15861))+0-32.8--0.0334560000000052</f>
        <v>277.71643999999998</v>
      </c>
      <c r="AC282" s="3">
        <f>140.2+(327.2-170.1)+(-0.572016+(-1.334976--0.694008))+0-33.1--0.135047999999997</f>
        <v>263.12206399999991</v>
      </c>
      <c r="AD282">
        <v>336.1</v>
      </c>
      <c r="AE282" s="3">
        <f>141+(338.1-111)+(0+(0-0))+0-32-0</f>
        <v>336.1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141.9+(383-239.5)+(-0.144738+(-0.39066--0.24429))+0-31.4--0.032028000000005</f>
        <v>253.74091999999996</v>
      </c>
      <c r="G283" s="3">
        <f>105.5+(294-119.6)+(0.053805+(0.14994-0.060996))+0-31.4-0.0160139999999968</f>
        <v>248.62673499999997</v>
      </c>
      <c r="H283" s="3">
        <f>50.5+(300.8-77.1)+(0.025755+(0.153408-0.039321))+0-31.5-0.0160649999999968</f>
        <v>242.82377700000004</v>
      </c>
      <c r="I283" s="3">
        <f>50.5+(315.1-91.6)+(-0.025755+(-0.160701--0.046716))+0-31--0.0158099999999969</f>
        <v>242.87606999999997</v>
      </c>
      <c r="J283" s="3">
        <f>50.6+(303.9-81.5)+(-0.12903+(-0.774945--0.207825))+0-32--0.0815999999999954</f>
        <v>240.38545000000002</v>
      </c>
      <c r="K283" s="3">
        <f>50.5+(324.6-97)+(-0.025755+(-0.165546--0.04947))+0-32.9--0.0167789999999967</f>
        <v>245.07494799999998</v>
      </c>
      <c r="L283" s="3">
        <f>50.5+(525.9-281.2)+(-0.025755+(-0.268209--0.143412))+0-33.1--0.0168809999999966</f>
        <v>261.96632899999997</v>
      </c>
      <c r="M283" s="3">
        <f>103.7+(539.5-341.3)+(0.052887+(0.275145-0.174063))+0-32.9-0.0167789999999967</f>
        <v>269.13719000000003</v>
      </c>
      <c r="N283" s="3">
        <f>141.3+(391.5-211.3)+(-0.072063+(-0.199665--0.107763))+0-33.4--0.0170339999999966</f>
        <v>287.95306900000003</v>
      </c>
      <c r="O283" s="3">
        <f>139.3+(368.8-176.8)+(0.071043+(0.188088-0.090168))+0-33.9-0.0172889999999966</f>
        <v>297.55167400000005</v>
      </c>
      <c r="P283" s="3">
        <f>139.1+(351.1-159.6)+(-0.070941+(-0.179061--0.081396))+0-33.8--0.0172379999999966</f>
        <v>296.64863200000002</v>
      </c>
      <c r="Q283" s="3">
        <f>139+(330-127.9)+(-0.14178+(-0.3366--0.130458))+0-32.9--0.0335580000000052</f>
        <v>307.88563600000009</v>
      </c>
      <c r="R283" s="3">
        <f>138.4+(281.4-85.5)+(-0.211752+(-0.430542--0.130815))+0-32.6--0.0498780000000019</f>
        <v>301.2383989999999</v>
      </c>
      <c r="S283" s="3">
        <f>126+(279.2-83.4)+(-0.06426+(-0.142392--0.042534))+0-32.6--0.0166259999999967</f>
        <v>289.05250799999993</v>
      </c>
      <c r="T283" s="3">
        <f>90.8+(367.5-137.9)+(-0.092616+(-0.37485--0.140658))+0-32.5--0.0331500000000052</f>
        <v>287.60634199999993</v>
      </c>
      <c r="U283" s="3">
        <f>90.5+(365.3-140.5)+(-0.046155+(-0.186303--0.071655))+0-32.5--0.0165749999999967</f>
        <v>282.65577200000001</v>
      </c>
      <c r="V283" s="3">
        <f>102.5+(303.5-82.5)+(0+(0-0))+0-32.7-0</f>
        <v>290.8</v>
      </c>
      <c r="W283" s="3">
        <f>131.3+(259.9-39.4)+(0.133926+(0.265098-0.040188))+0-32.8-0.0334560000000052</f>
        <v>319.32537999999994</v>
      </c>
      <c r="X283" s="3">
        <f>130.2+(261-43.6)+(-0.33201+(-0.66555--0.11118))+0-31.6--0.0805799999999954</f>
        <v>315.19420000000002</v>
      </c>
      <c r="Y283" s="3">
        <f>130.1+(266.5-55.6)+(-0.331755+(-0.679575--0.14178))+0-32.3--0.0823649999999953</f>
        <v>307.91281499999997</v>
      </c>
      <c r="Z283" s="3">
        <f>130.4+(335.6-129.3)+(-0.266016+(-0.684624--0.263772))+0-32.4--0.0660959999999986</f>
        <v>303.67922800000008</v>
      </c>
      <c r="AA283" s="3">
        <f>130.7+(454.1-255.7)+(-0.199971+(-0.694773--0.391221))+0-32.6--0.0498780000000019</f>
        <v>296.04635500000001</v>
      </c>
      <c r="AB283" s="3">
        <f>130.6+(510.4-326.1)+(-0.199818+(-0.780912--0.498933))+0-32.9--0.0503370000000019</f>
        <v>281.56854000000004</v>
      </c>
      <c r="AC283" s="3">
        <f>129.2+(423.4-242.3)+(-0.32946+(-1.07967--0.617865))+0-32.8--0.0836399999999952</f>
        <v>276.79237499999994</v>
      </c>
      <c r="AD283">
        <v>328.00000000000006</v>
      </c>
      <c r="AE283" s="3">
        <f>131+(248.1-18.9)+(0+(0-0))+0-32.2-0</f>
        <v>328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122.7+(395.3-222.9)+(-0.187731+(-0.604809--0.341037))+0-32.3--0.0494190000000019</f>
        <v>262.39791600000001</v>
      </c>
      <c r="G284" s="3">
        <f>89.4+(398.8-203.9)+(-0.273564+(-1.220328--0.623934))+0-29.2--0.0893520000000034</f>
        <v>254.31939400000002</v>
      </c>
      <c r="H284" s="3">
        <f>90.4+(417.4-226.8)+(-0.092208+(-0.425748--0.231336))+0-27.9--0.0284580000000044</f>
        <v>252.84183799999997</v>
      </c>
      <c r="I284" s="3">
        <f>89.9+(421.6-231.2)+(-0.137547+(-0.645048--0.353736))+0-28.2--0.0431460000000016</f>
        <v>251.7142870000001</v>
      </c>
      <c r="J284" s="3">
        <f>91.3+(410.8-221.3)+(0.093126+(0.419016-0.225726))+0-28.2-0.0287640000000045</f>
        <v>252.857652</v>
      </c>
      <c r="K284" s="3">
        <f>90.9+(391.6-199.1)+(-0.046359+(-0.199716--0.101541))+0-29.3--0.014942999999997</f>
        <v>253.97040899999999</v>
      </c>
      <c r="L284" s="3">
        <f>91.2+(438.6-230.9)+(0.046512+(0.223686-0.117759))+0-30.7-0.0156569999999969</f>
        <v>268.33678200000008</v>
      </c>
      <c r="M284" s="3">
        <f>90.3+(544.8-331.7)+(-0.092106+(-0.555696--0.338334))+0-32.6--0.0332520000000052</f>
        <v>270.52378399999998</v>
      </c>
      <c r="N284" s="3">
        <f>90.8+(593.6-357.7)+(0+(0-0))+0-31.6-0</f>
        <v>295.10000000000002</v>
      </c>
      <c r="O284" s="3">
        <f>113.2+(562.8-335.3)+(0.057732+(0.287028-0.171003))+0-30.5-0.0155549999999969</f>
        <v>310.35820199999995</v>
      </c>
      <c r="P284" s="3">
        <f>140.2+(509.4-343.4)+(-0.071502+(-0.259794--0.175134))+0-3.3--0.00168299999999967</f>
        <v>302.745521</v>
      </c>
      <c r="Q284" s="3">
        <f>138.2+(544.2-376.5)+(-0.35241+(-1.38771--0.960075))+0-0-0</f>
        <v>305.11995500000006</v>
      </c>
      <c r="R284" s="3">
        <f>138.8+(588-420.7)+(-0.141576+(-0.59976--0.429114))+0-2.5--0.0025500000000004</f>
        <v>303.29032799999999</v>
      </c>
      <c r="S284" s="3">
        <f>138+(596.1-445.8)+(-0.07038+(-0.304011--0.227358))+0-4.5--0.00229499999999954</f>
        <v>283.65526199999999</v>
      </c>
      <c r="T284" s="3">
        <f>135.7+(606.3-464.2)+(-0.138414+(-0.618426--0.473484))+0-4.7--0.00479400000000075</f>
        <v>272.82143799999994</v>
      </c>
      <c r="U284" s="3">
        <f>135.4+(594.2-461.9)+(-0.276216+(-1.212168--0.942276))+0-5.2--0.0106079999999998</f>
        <v>261.96450000000004</v>
      </c>
      <c r="V284" s="3">
        <f>136.3+(447.2-307.6)+(0.069513+(0.228072-0.156876))+0-5.7-0.00290699999999942</f>
        <v>270.33780200000001</v>
      </c>
      <c r="W284" s="3">
        <f>138.4+(433.2-270.8)+(0.141168+(0.441864-0.276216))+0-6.2-0.00632400000000099</f>
        <v>294.90049199999999</v>
      </c>
      <c r="X284" s="3">
        <f>137.6+(392.5-228.6)+(-0.280704+(-0.8007--0.466344))+0-7.6--0.0155039999999997</f>
        <v>293.30044399999997</v>
      </c>
      <c r="Y284" s="3">
        <f>84.3+(404.8-190.1)+(-0.171972+(-0.825792--0.387804))+0-8.7--0.0177479999999996</f>
        <v>289.70778799999999</v>
      </c>
      <c r="Z284" s="3">
        <f>50.5+(420-178.9)+(0+(0-0))+0-8-0</f>
        <v>283.60000000000002</v>
      </c>
      <c r="AA284" s="3">
        <f>50.5+(475.6-236.8)+(-0.10302+(-0.970224--0.483072))+0-6.7--0.0136679999999997</f>
        <v>282.02349600000002</v>
      </c>
      <c r="AB284" s="3">
        <f>50.5+(532.5-298.8)+(-0.05151+(-0.54315--0.304776))+0-8.1--0.00826200000000129</f>
        <v>275.818378</v>
      </c>
      <c r="AC284" s="3">
        <f>50.5+(503.6-279.1)+(-0.05151+(-0.513672--0.284682))+0-9.2--0.00938400000000147</f>
        <v>265.52888400000001</v>
      </c>
      <c r="AD284">
        <v>287.59999999999991</v>
      </c>
      <c r="AE284" s="3">
        <f>141+(431.8-277.6)+(0+(0-0))+0-7.6-0</f>
        <v>287.59999999999997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50.4+(536.7-314.2)+(-0.077112+(-0.821151--0.480726))+0-11.3--0.0172890000000007</f>
        <v>261.19975200000005</v>
      </c>
      <c r="G285" s="3">
        <f>50.5+(428.5-208.5)+(0.025755+(0.218535-0.106335))+0-13.7-0.00698699999999861</f>
        <v>256.93096800000001</v>
      </c>
      <c r="H285" s="3">
        <f>50.5+(358.1-145.7)+(-0.077265+(-0.547893--0.222921))+0-14.7--0.0224910000000008</f>
        <v>247.82025400000003</v>
      </c>
      <c r="I285" s="3">
        <f>50.5+(350.9-132.9)+(-0.10302+(-0.715836--0.271116))+0-17.9--0.0365159999999992</f>
        <v>250.08877600000002</v>
      </c>
      <c r="J285" s="3">
        <f>50.5+(370.5-155.5)+(-0.10302+(-0.75582--0.31722))+0-19.6--0.0399839999999991</f>
        <v>245.39836399999999</v>
      </c>
      <c r="K285" s="3">
        <f>76.9+(353.1-171.7)+(0.039219+(0.180081-0.087567))+0-21.9-0.0111689999999978</f>
        <v>236.52056400000006</v>
      </c>
      <c r="L285" s="3">
        <f>90+(337.8-163.5)+(-0.1377+(-0.516834--0.250155))+0-21--0.0321300000000012</f>
        <v>242.927751</v>
      </c>
      <c r="M285" s="3">
        <f>88.8+(353.2-190.6)+(-0.317016+(-1.260924--0.680442))+0-20--0.0714000000000003</f>
        <v>230.57390199999998</v>
      </c>
      <c r="N285" s="3">
        <f>91.3+(313.8-153.3)+(0.046563+(0.160038-0.078183))+0-23.4-0.0119339999999976</f>
        <v>228.51648400000002</v>
      </c>
      <c r="O285" s="3">
        <f>106.6+(205.3-51.2)+(0+(0-0))+0-24.7-0</f>
        <v>236.00000000000006</v>
      </c>
      <c r="P285" s="3">
        <f>139.1+(212.7-83.6)+(0.141882+(0.216954-0.085272))+0-26.5-0.0270300000000042</f>
        <v>241.94653400000001</v>
      </c>
      <c r="Q285" s="3">
        <f>138.5+(214-80.9)+(-0.211905+(-0.32742--0.123777))+0-27.3--0.0417690000000016</f>
        <v>243.926221</v>
      </c>
      <c r="R285" s="3">
        <f>138.5+(227.7-97.3)+(0+(0-0))+0-28.5-0</f>
        <v>240.39999999999998</v>
      </c>
      <c r="S285" s="3">
        <f>90.7+(250.8-82.5)+(-0.138771+(-0.383724--0.126225))+0-28.8--0.0440640000000017</f>
        <v>229.84779399999996</v>
      </c>
      <c r="T285" s="3">
        <f>50.5+(262.5-58.6)+(0+(0-0))+0-28.7-0</f>
        <v>225.70000000000002</v>
      </c>
      <c r="U285" s="3">
        <f>50.5+(221.4-13.1)+(0.025755+(0.112914-0.006681))+0-28.8-0.0146879999999971</f>
        <v>230.11729999999997</v>
      </c>
      <c r="V285" s="3">
        <f>50.6+(346.9-132.8)+(-0.025806+(-0.176919--0.067728))+0-29.1--0.014840999999997</f>
        <v>235.47984399999999</v>
      </c>
      <c r="W285" s="3">
        <f>99+(481.8-283.7)+(0.10098+(0.491436-0.289374))+0-29.5-0.0300900000000047</f>
        <v>267.872952</v>
      </c>
      <c r="X285" s="3">
        <f>138+(464.8-303)+(-0.07038+(-0.237048--0.15453))+0-29.3--0.014942999999997</f>
        <v>270.36204500000002</v>
      </c>
      <c r="Y285" s="3">
        <f>140.7+(445.7-313.2)+(-0.071757+(-0.227307--0.159732))+0-30.6--0.0156059999999969</f>
        <v>242.47627399999996</v>
      </c>
      <c r="Z285" s="3">
        <f>140.9+(451.5-291.1)+(-0.071859+(-0.230265--0.148461))+0-30.5--0.0155549999999969</f>
        <v>270.66189199999997</v>
      </c>
      <c r="AA285" s="3">
        <f>141.2+(414.5-265.4)+(0+(0-0))+0-29.6-0</f>
        <v>260.7</v>
      </c>
      <c r="AB285" s="3">
        <f>140.3+(440.6-295.4)+(-0.286212+(-0.898824--0.602616))+0-29.6--0.0603839999999987</f>
        <v>255.37796400000005</v>
      </c>
      <c r="AC285" s="3">
        <f>125.5+(482.6-336.9)+(-0.192015+(-0.738378--0.515457))+0-30.2--0.0462060000000017</f>
        <v>240.63127000000006</v>
      </c>
      <c r="AD285">
        <v>277.3</v>
      </c>
      <c r="AE285" s="3">
        <f>138+(474.7-306.6)+(0+(0-0))+0-28.8-0</f>
        <v>277.29999999999995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90.3+(381.7-208.6)+(-0.092106+(-0.389334--0.212772))+0-31--0.0316200000000049</f>
        <v>232.16295199999999</v>
      </c>
      <c r="G286" s="3">
        <f>89.5+(270.8-105.5)+(-0.18258+(-0.552432--0.21522))+0-31.1--0.0634439999999986</f>
        <v>223.24365200000003</v>
      </c>
      <c r="H286" s="3">
        <f>90.7+(278.9-117.7)+(0+(0-0))+0-30.8-0</f>
        <v>221.09999999999997</v>
      </c>
      <c r="I286" s="3">
        <f>90.9+(243.8-83)+(0.046359+(0.124338-0.04233))+0-31-0.0158099999999969</f>
        <v>220.81255700000003</v>
      </c>
      <c r="J286" s="3">
        <f>90.3+(264.4-104.8)+(-0.046053+(-0.134844--0.053448))+0-31.2--0.0159119999999968</f>
        <v>218.58846299999996</v>
      </c>
      <c r="K286" s="3">
        <f>90.6+(291.6-128.7)+(0+(0-0))+0-31.1-0</f>
        <v>222.40000000000003</v>
      </c>
      <c r="L286" s="3">
        <f>123.3+(246-104)+(-0.062883+(-0.12546--0.05304))+0-27--0.0137699999999973</f>
        <v>238.17846699999998</v>
      </c>
      <c r="M286" s="3">
        <f>145+(321.1-179.5)+(0.22185+(0.491283-0.274635))+0-31.8-0.0486540000000018</f>
        <v>255.18984399999999</v>
      </c>
      <c r="N286" s="3">
        <f>144+(474.6-303.7)+(-0.07344+(-0.242046--0.154887))+0-31.1--0.0158609999999968</f>
        <v>283.65526199999999</v>
      </c>
      <c r="O286" s="3">
        <f>142.5+(482.3-291.8)+(0.14535+(0.491946-0.297636))+0-31.8-0.0324360000000051</f>
        <v>301.50722399999995</v>
      </c>
      <c r="P286" s="3">
        <f>141.6+(456.6-262.8)+(0.072216+(0.232866-0.134028))+0-31-0.0158099999999969</f>
        <v>304.55524400000002</v>
      </c>
      <c r="Q286" s="3">
        <f>140.9+(449.5-251.6)+(-0.143718+(-0.45849--0.256632))+0-32.2--0.0328440000000051</f>
        <v>306.28726800000004</v>
      </c>
      <c r="R286" s="3">
        <f>140.4+(476.4-289.2)+(-0.143208+(-0.485928--0.294984))+0-29--0.0295800000000046</f>
        <v>298.29542800000002</v>
      </c>
      <c r="S286" s="3">
        <f>139.8+(455.6-275.8)+(-0.071298+(-0.232356--0.140658))+0-31.1--0.0158609999999968</f>
        <v>288.35286499999995</v>
      </c>
      <c r="T286" s="3">
        <f>139.5+(509.2-331.1)+(-0.071145+(-0.259692--0.168861))+0-28.3--0.0144329999999971</f>
        <v>289.15245699999997</v>
      </c>
      <c r="U286" s="3">
        <f>139.5+(521.7-346.6)+(-0.14229+(-0.532134--0.353532))+0-32--0.0326400000000051</f>
        <v>282.31174800000002</v>
      </c>
      <c r="V286" s="3">
        <f>140.1+(365.7-183.9)+(-0.071451+(-0.186507--0.093789))+0-30.6--0.0156059999999969</f>
        <v>291.15143699999993</v>
      </c>
      <c r="W286" s="3">
        <f>141.2+(253.9-49.5)+(-0.072012+(-0.129489--0.025245))+0-32.8--0.0167279999999967</f>
        <v>312.64047199999999</v>
      </c>
      <c r="X286" s="3">
        <f>136.8+(277.3-71.5)+(-0.209304+(-0.424269--0.109395))+0-30.6--0.0468180000000018</f>
        <v>311.52264000000002</v>
      </c>
      <c r="Y286" s="3">
        <f>120.3+(268.1-49.5)+(-0.061353+(-0.136731--0.025245))+0-33.1--0.0168809999999966</f>
        <v>305.64404200000001</v>
      </c>
      <c r="Z286" s="3">
        <f>120.2+(295.2-91)+(-0.183906+(-0.451656--0.13923))+0-32.8--0.0501840000000019</f>
        <v>291.15385199999997</v>
      </c>
      <c r="AA286" s="3">
        <f>120.1+(359.6-163.4)+(-0.245004+(-0.733584--0.333336))+0-33.1--0.0675239999999986</f>
        <v>282.62227199999995</v>
      </c>
      <c r="AB286" s="3">
        <f>120.2+(387.6-202.1)+(-0.183906+(-0.593028--0.309213))+0-32.8--0.0501840000000019</f>
        <v>272.48246300000005</v>
      </c>
      <c r="AC286" s="3">
        <f>119.9+(439.8-266.8)+(-0.244596+(-0.897192--0.544272))+0-33--0.0673199999999986</f>
        <v>259.36980399999999</v>
      </c>
      <c r="AD286">
        <v>321.8</v>
      </c>
      <c r="AE286" s="3">
        <f>141+(245.8-32.8)+(0+(0-0))+0-32.2-0</f>
        <v>321.8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119.8+(430.5-268.1)+(-0.244392+(-0.87822--0.546924))+0-33.1--0.0675239999999986</f>
        <v>248.59183599999997</v>
      </c>
      <c r="G287" s="3">
        <f>121.5+(316.5-162)+(0.12393+(0.32283-0.16524))+0-32.6-0.0332520000000052</f>
        <v>243.648268</v>
      </c>
      <c r="H287" s="3">
        <f>119.8+(303.2-150.4)+(-0.244392+(-0.618528--0.306816))+0-32.9--0.0671159999999986</f>
        <v>239.21101199999995</v>
      </c>
      <c r="I287" s="3">
        <f>120.7+(302.9-152.6)+(0+(0-0))+0-33.1-0</f>
        <v>237.9</v>
      </c>
      <c r="J287" s="3">
        <f>120.6+(341.3-185.3)+(0+(0-0))+0-32.8-0</f>
        <v>243.8</v>
      </c>
      <c r="K287" s="3">
        <f>121.1+(329.3-170.5)+(0+(0-0))+0-33.3-0</f>
        <v>246.59999999999997</v>
      </c>
      <c r="L287" s="3">
        <f>121.1+(329.3-170.5)+(0+(0-0))+0-33.3-0</f>
        <v>246.59999999999997</v>
      </c>
      <c r="M287" s="3">
        <f>120.6+(350-178.3)+(-0.061506+(-0.1785--0.090933))+0-33--0.0168299999999967</f>
        <v>259.16775699999994</v>
      </c>
      <c r="N287" s="3">
        <f>119.7+(349.4-166.3)+(-0.244188+(-0.712776--0.339252))+0-33.1--0.0675239999999986</f>
        <v>269.14981199999994</v>
      </c>
      <c r="O287" s="3">
        <f>120.3+(421-201.9)+(-0.184059+(-0.64413--0.308907))+0-33.4--0.0511020000000019</f>
        <v>305.53182000000004</v>
      </c>
      <c r="P287" s="3">
        <f>120.7+(412.5-186.5)+(-0.061557+(-0.210375--0.095115))+0-33.4--0.0170339999999966</f>
        <v>313.14021700000001</v>
      </c>
      <c r="Q287" s="3">
        <f>119.9+(424.3-190.7)+(-0.244596+(-0.865572--0.389028))+0-33.5--0.0683399999999985</f>
        <v>319.34719999999999</v>
      </c>
      <c r="R287" s="3">
        <f>119.1+(440.7-219.5)+(-0.303705+(-1.123785--0.559725))+0-28.9--0.0736949999999958</f>
        <v>310.60592999999994</v>
      </c>
      <c r="S287" s="3">
        <f>121.3+(467.4-255.2)+(0.061863+(0.238374-0.130152))+0-33.2-0.0169319999999966</f>
        <v>300.45315299999999</v>
      </c>
      <c r="T287" s="3">
        <f>121+(479.9-271.5)+(0.06171+(0.244749-0.138465))+0-33.3-0.0169829999999966</f>
        <v>296.25101100000001</v>
      </c>
      <c r="U287" s="3">
        <f>120.9+(470.6-268.3)+(0+(0-0))+0-33.5-0</f>
        <v>289.70000000000005</v>
      </c>
      <c r="V287" s="3">
        <f>120.1+(379.9-163.4)+(-0.245004+(-0.774996--0.333336))+0-33.6--0.0685439999999985</f>
        <v>302.38187999999991</v>
      </c>
      <c r="W287" s="3">
        <f>121+(272.5-38.5)+(0+(0-0))+0-33.5-0</f>
        <v>321.5</v>
      </c>
      <c r="X287" s="3">
        <f>133.4+(252.2-43.6)+(-0.272136+(-0.514488--0.088944))+0-33.5--0.0683399999999985</f>
        <v>307.87065999999999</v>
      </c>
      <c r="Y287" s="3">
        <f>138.5+(274.3-71.8)+(-0.28254+(-0.559572--0.146472))+0-33.4--0.0681359999999985</f>
        <v>306.97249599999998</v>
      </c>
      <c r="Z287" s="3">
        <f>138.4+(267.7-72.7)+(-0.282336+(-0.546108--0.148308))+0-33.3--0.0679319999999985</f>
        <v>299.48779599999995</v>
      </c>
      <c r="AA287" s="3">
        <f>78.3+(287.9-41.3)+(-0.119799+(-0.440487--0.063189))+0-32.9--0.0503370000000019</f>
        <v>291.55324000000002</v>
      </c>
      <c r="AB287" s="3">
        <f>74.7+(245.7-7.9)+(-0.152388+(-0.501228--0.016116))+0-33.1--0.0675239999999986</f>
        <v>278.83002399999998</v>
      </c>
      <c r="AC287" s="3">
        <f>75.1+(236.9-9.4)+(-0.114903+(-0.362457--0.014382))+0-33--0.0504900000000019</f>
        <v>269.18751200000003</v>
      </c>
      <c r="AD287">
        <v>316.89999999999998</v>
      </c>
      <c r="AE287" s="3">
        <f>120+(261.7-31.2)+(0+(0-0))+0-33.6-0</f>
        <v>316.89999999999998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75.1+(294.2-76.8)+(-0.076602+(-0.300084--0.078336))+0-32.8--0.0334560000000052</f>
        <v>259.43510599999996</v>
      </c>
      <c r="G288" s="3">
        <f>75+(321.2-110.6)+(-0.03825+(-0.163812--0.056406))+0-32.6--0.0166259999999967</f>
        <v>252.87097000000006</v>
      </c>
      <c r="H288" s="3">
        <f>50.5+(349.4-111.8)+(-0.025755+(-0.178194--0.057018))+0-32.5--0.0165749999999967</f>
        <v>255.46964399999996</v>
      </c>
      <c r="I288" s="3">
        <f>50.5+(326.4-96.8)+(0.025755+(0.166464-0.049368))+0-28.4-0.0144839999999971</f>
        <v>251.82836699999996</v>
      </c>
      <c r="J288" s="3">
        <f>50.6+(367.8-143.8)+(-0.103224+(-0.750312--0.293352))+0-27.7--0.0565079999999988</f>
        <v>246.39632400000005</v>
      </c>
      <c r="K288" s="3">
        <f>50.5+(418.7-190.3)+(0.025755+(0.213537-0.097053))+0-32.7-0.0166769999999967</f>
        <v>246.32556200000002</v>
      </c>
      <c r="L288" s="3">
        <f>50.6+(503.2-262.3)+(-0.077418+(-0.769896--0.401319))+0-33.2--0.0507960000000019</f>
        <v>257.90480100000002</v>
      </c>
      <c r="M288" s="3">
        <f>50.8+(534.1-286.7)+(-0.025908+(-0.272391--0.146217))+0-32.7--0.0166769999999967</f>
        <v>265.36459500000007</v>
      </c>
      <c r="N288" s="3">
        <f>135.7+(533.3-342.9)+(0+(0-0))+0-30.1-0</f>
        <v>295.99999999999994</v>
      </c>
      <c r="O288" s="3">
        <f>136.9+(500.3-290)+(0+(0-0))+0-30.5-0</f>
        <v>316.70000000000005</v>
      </c>
      <c r="P288" s="3">
        <f>138.2+(477.6-257.6)+(0.070482+(0.243576-0.131376))+0-29.4-0.014993999999997</f>
        <v>328.96768800000001</v>
      </c>
      <c r="Q288" s="3">
        <f>136.3+(480.8-224.4)+(-0.208539+(-0.735624--0.343332))+0-32.5--0.0497250000000019</f>
        <v>359.64889399999998</v>
      </c>
      <c r="R288" s="3">
        <f>138.3+(455.2-229.7)+(-0.423198+(-1.392912--0.702882))+0-33.1--0.101286000000004</f>
        <v>329.68805800000001</v>
      </c>
      <c r="S288" s="3">
        <f>137.5+(468.6-260.5)+(-0.2805+(-0.955944--0.53142))+0-33.8--0.0689519999999985</f>
        <v>311.16392800000006</v>
      </c>
      <c r="T288" s="3">
        <f>138.1+(455.7-254.9)+(-0.070431+(-0.232407--0.129999))+0-32.7--0.0166769999999967</f>
        <v>306.04383799999999</v>
      </c>
      <c r="U288" s="3">
        <f>136.3+(436.2-243.5)+(-0.069513+(-0.222462--0.124185))+0-32.6--0.0166259999999967</f>
        <v>296.24883599999993</v>
      </c>
      <c r="V288" s="3">
        <f>135.5+(331.7-131.3)+(-0.13821+(-0.338334--0.133926))+0-32.3--0.0329460000000051</f>
        <v>303.29032799999993</v>
      </c>
      <c r="W288" s="3">
        <f>136.5+(270.5-52.5)+(-0.208845+(-0.413865--0.080325))+0-32.5--0.0497250000000019</f>
        <v>321.50734</v>
      </c>
      <c r="X288" s="3">
        <f>136.4+(253.3-32.7)+(-0.278256+(-0.516732--0.066708))+0-32.9--0.0671159999999986</f>
        <v>323.43883600000004</v>
      </c>
      <c r="Y288" s="3">
        <f>136.6+(254.7-48.1)+(-0.34833+(-0.649485--0.122655))+0-27.8--0.070889999999996</f>
        <v>314.59573</v>
      </c>
      <c r="Z288" s="3">
        <f>137.7+(337-145.6)+(-0.140454+(-0.34374--0.148512))+0-29.7--0.0302940000000047</f>
        <v>299.09461200000004</v>
      </c>
      <c r="AA288" s="3">
        <f>136.5+(275.7-91.8)+(-0.41769+(-0.843642--0.280908))+0-29.8--0.0911880000000034</f>
        <v>289.71076399999993</v>
      </c>
      <c r="AB288" s="3">
        <f>137.5+(208.9-26.3)+(-0.2805+(-0.426156--0.053652))+0-32.5--0.0662999999999986</f>
        <v>287.01329600000003</v>
      </c>
      <c r="AC288" s="3">
        <f>138.6+(249.7-81.1)+(-0.141372+(-0.254694--0.082722))+0-30.9--0.0315180000000049</f>
        <v>276.01817400000004</v>
      </c>
      <c r="AD288">
        <v>320.09999999999997</v>
      </c>
      <c r="AE288" s="3">
        <f>139+(254.9-41.6)+(0+(0-0))+0-32.2-0</f>
        <v>320.10000000000002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139.3+(279.9-127.3)+(-0.355215+(-0.713745--0.324615))+0-29.6--0.0754799999999957</f>
        <v>261.63113499999992</v>
      </c>
      <c r="G289" s="3">
        <f>90.9+(295.2-97.7)+(0+(0-0))+0-31.5-0</f>
        <v>256.89999999999998</v>
      </c>
      <c r="H289" s="3">
        <f>90.4+(293.8-96.3)+(-0.092208+(-0.299676--0.098226))+0-31.7--0.0323340000000051</f>
        <v>255.93867599999999</v>
      </c>
      <c r="I289" s="3">
        <f>91.2+(304.6-111.1)+(0.093024+(0.310692-0.113322))+0-31-0.0316200000000049</f>
        <v>253.95877400000003</v>
      </c>
      <c r="J289" s="3">
        <f>91.1+(297.4-104.6)+(0.046461+(0.151674-0.053346))+0-31.9-0.0162689999999968</f>
        <v>252.12851999999998</v>
      </c>
      <c r="K289" s="3">
        <f>90.9+(309.5-113.4)+(0.092718+(0.31569-0.115668))+0-30.4-0.0310080000000048</f>
        <v>256.86173200000002</v>
      </c>
      <c r="L289" s="3">
        <f>91.4+(366.2-157.2)+(0.186456+(0.747048-0.320688))+0-31.6-0.0644639999999986</f>
        <v>269.34835199999998</v>
      </c>
      <c r="M289" s="3">
        <f>95.4+(475.2-252)+(-0.048654+(-0.242352--0.12852))+0-33.3--0.0169829999999966</f>
        <v>285.15449699999999</v>
      </c>
      <c r="N289" s="3">
        <f>138.4+(532-329.3)+(0.070584+(0.27132-0.167943))+0-33.5-0.0170849999999966</f>
        <v>307.75687600000003</v>
      </c>
      <c r="O289" s="3">
        <f>138.1+(470.1-245.7)+(0+(0-0))+0-32.6-0</f>
        <v>329.9</v>
      </c>
      <c r="P289" s="3">
        <f>137.9+(422.6-204.3)+(0+(0-0))+0-23.9-0</f>
        <v>332.30000000000007</v>
      </c>
      <c r="Q289" s="3">
        <f>137.1+(375.3-176.8)+(-0.279684+(-0.765612--0.360672))+0-15.7--0.0320279999999993</f>
        <v>319.24740400000007</v>
      </c>
      <c r="R289" s="3">
        <f>136.5+(416-211.1)+(-0.208845+(-0.63648--0.322983))+0-32.5--0.0497250000000019</f>
        <v>308.42738300000002</v>
      </c>
      <c r="S289" s="3">
        <f>126.7+(457.5-248.2)+(-0.193851+(-0.699975--0.379746))+0-32.1--0.0491130000000019</f>
        <v>303.43503299999998</v>
      </c>
      <c r="T289" s="3">
        <f>91.1+(431-192.3)+(0.046461+(0.21981-0.098073))+0-32.1-0.0163709999999967</f>
        <v>297.85182699999996</v>
      </c>
      <c r="U289" s="3">
        <f>90.7+(459.6-223.4)+(-0.046257+(-0.234396--0.113934))+0-31.6--0.0161159999999968</f>
        <v>295.14939700000002</v>
      </c>
      <c r="V289" s="3">
        <f>98.1+(366.1-122.5)+(-0.150093+(-0.560133--0.187425))+0-32.6--0.0498780000000019</f>
        <v>308.62707699999999</v>
      </c>
      <c r="W289" s="3">
        <f>135.6+(318.3-94.7)+(0+(0-0))+0-31.9-0</f>
        <v>327.30000000000007</v>
      </c>
      <c r="X289" s="3">
        <f>135.5+(310.1-104.5)+(-0.207315+(-0.474453--0.159885))+0-25.6--0.0391680000000015</f>
        <v>315.01728500000002</v>
      </c>
      <c r="Y289" s="3">
        <f>135.5+(315.8-109.5)+(-0.207315+(-0.483174--0.167535))+0-32.5--0.0497250000000019</f>
        <v>308.82677100000001</v>
      </c>
      <c r="Z289" s="3">
        <f>135+(329-129.7)+(-0.34425+(-0.83895--0.330735))+0-33.1--0.0844049999999952</f>
        <v>300.43194</v>
      </c>
      <c r="AA289" s="3">
        <f>136.1+(267.6-78.1)+(-0.069411+(-0.136476--0.039831))+0-32.7--0.0166769999999967</f>
        <v>292.75062100000002</v>
      </c>
      <c r="AB289" s="3">
        <f>135.4+(254-72.3)+(-0.207162+(-0.38862--0.110619))+0-32.8--0.0501840000000019</f>
        <v>283.86502100000001</v>
      </c>
      <c r="AC289" s="3">
        <f>135.8+(251.7-79.6)+(-0.277032+(-0.513468--0.162384))+0-32.3--0.0658919999999986</f>
        <v>275.03777600000001</v>
      </c>
      <c r="AD289">
        <v>345.09999999999997</v>
      </c>
      <c r="AE289" s="3">
        <f>135+(314.4-73.2)+(0+(0-0))+0-31.1-0</f>
        <v>345.09999999999997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136.3+(208.3-40.5)+(-0.278052+(-0.424932--0.08262))+0-33.6--0.0685439999999985</f>
        <v>269.94817999999998</v>
      </c>
      <c r="G290" s="3">
        <f>137.3+(226.7-65.1)+(-0.070023+(-0.115617--0.033201))+0-32.6--0.0166259999999967</f>
        <v>266.16418699999991</v>
      </c>
      <c r="H290" s="3">
        <f>137.4+(239-87.9)+(-0.140148+(-0.24378--0.089658))+0-32.3--0.0329460000000051</f>
        <v>255.93867600000002</v>
      </c>
      <c r="I290" s="3">
        <f>139.5+(243.5-105.8)+(0.14229+(0.24837-0.107916))+0-29.8-0.0303960000000048</f>
        <v>247.65234799999996</v>
      </c>
      <c r="J290" s="3">
        <f>138.9+(241.1-108.1)+(0+(0-0))+0-32.5-0</f>
        <v>239.39999999999998</v>
      </c>
      <c r="K290" s="3">
        <f>139.6+(288.2-161.8)+(0.142392+(0.293964-0.165036))+0-33.1-0.0337620000000053</f>
        <v>233.13755800000001</v>
      </c>
      <c r="L290" s="3">
        <f>139.6+(386.5-249.4)+(0.142392+(0.39423-0.254388))+0-32.5-0.0331500000000052</f>
        <v>244.449084</v>
      </c>
      <c r="M290" s="3">
        <f>148.7+(379.9-241.5)+(0.151674+(0.387498-0.24633))+0-33.1-0.0337620000000053</f>
        <v>254.25907999999998</v>
      </c>
      <c r="N290" s="3">
        <f>143.2+(439.9-275)+(0+(0-0))+0-32.9-0</f>
        <v>275.2</v>
      </c>
      <c r="O290" s="3">
        <f>136.1+(432.1-250.1)+(0+(0-0))+0-30.7-0</f>
        <v>287.40000000000003</v>
      </c>
      <c r="P290" s="3">
        <f>138.9+(397.6-208.6)+(0.070839+(0.202776-0.106386))+0-33.7-0.0171869999999966</f>
        <v>294.35004200000009</v>
      </c>
      <c r="Q290" s="3">
        <f>141.3+(369.6-182.3)+(-0.072063+(-0.188496--0.092973))+0-33--0.0168299999999967</f>
        <v>295.44924399999996</v>
      </c>
      <c r="R290" s="3">
        <f>140.3+(400.3-217.3)+(-0.286212+(-0.816612--0.443292))+0-32.1--0.0654839999999986</f>
        <v>290.605952</v>
      </c>
      <c r="S290" s="3">
        <f>87.1+(443.2-218.6)+(-0.044421+(-0.226032--0.111486))+0-32.2--0.0164219999999967</f>
        <v>279.35745499999996</v>
      </c>
      <c r="T290" s="3">
        <f>80.7+(455.1-226.6)+(0+(0-0))+0-30-0</f>
        <v>279.20000000000005</v>
      </c>
      <c r="U290" s="3">
        <f>83.5+(411.4-188.6)+(-0.08517+(-0.419628--0.192372))+0-28.9--0.0294780000000046</f>
        <v>277.11705199999994</v>
      </c>
      <c r="V290" s="3">
        <f>90.7+(349.2-121.2)+(0.046257+(0.178092-0.061812))+0-32.6-0.0166259999999967</f>
        <v>286.24591099999998</v>
      </c>
      <c r="W290" s="3">
        <f>128.9+(265-56.1)+(0.131478+(0.2703-0.057222))+0-33.1-0.0337620000000053</f>
        <v>305.01079399999998</v>
      </c>
      <c r="X290" s="3">
        <f>141.2+(246.2-55.6)+(-0.072012+(-0.125562--0.028356))+0-33.2--0.0169319999999966</f>
        <v>298.44771399999996</v>
      </c>
      <c r="Y290" s="3">
        <f>143.7+(255-84.1)+(-0.293148+(-0.5202--0.171564))+0-33.4--0.0681359999999985</f>
        <v>280.62635200000005</v>
      </c>
      <c r="Z290" s="3">
        <f>124.4+(338.3-149.8)+(-0.190332+(-0.517599--0.229194))+0-33.5--0.0512550000000019</f>
        <v>278.97251799999998</v>
      </c>
      <c r="AA290" s="3">
        <f>110.3+(319.3-126.1)+(-0.168759+(-0.488529--0.192933))+0-33.2--0.0507960000000019</f>
        <v>269.88644099999999</v>
      </c>
      <c r="AB290" s="3">
        <f>110.3+(297.3-104.7)+(-0.168759+(-0.454869--0.160191))+0-33--0.0504900000000019</f>
        <v>269.48705300000006</v>
      </c>
      <c r="AC290" s="3">
        <f>109.8+(365-187)+(-0.335988+(-1.1169--0.57222))+0-33.2--0.101592000000004</f>
        <v>253.82092400000002</v>
      </c>
      <c r="AD290">
        <v>295.5</v>
      </c>
      <c r="AE290" s="3">
        <f>141+(250-61.9)+(0+(0-0))+0-33.6-0</f>
        <v>295.5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110.8+(341.9-174.1)+(-0.113016+(-0.348738--0.177582))+0-33.1--0.0337620000000053</f>
        <v>245.24958999999996</v>
      </c>
      <c r="G291" s="3">
        <f>102.3+(285.4-111.6)+(-0.156519+(-0.436662--0.170748))+0-30.7--0.0469710000000018</f>
        <v>245.02453799999998</v>
      </c>
      <c r="H291" s="3">
        <f>70.7+(261.2-55.4)+(-0.036057+(-0.133212--0.028254))+0-32--0.0163199999999968</f>
        <v>244.37530500000003</v>
      </c>
      <c r="I291" s="3">
        <f>72+(274.5-73.5)+(0.1836+(0.699975-0.187425))+0-33.3-0.0849149999999952</f>
        <v>240.31123499999998</v>
      </c>
      <c r="J291" s="3">
        <f>71.9+(282.3-81)+(0.146676+(0.575892-0.16524))+0-33.4-0.0681359999999985</f>
        <v>240.28919200000001</v>
      </c>
      <c r="K291" s="3">
        <f>86.8+(268.8-79.3)+(0.177072+(0.548352-0.161772))+0-33.1-0.0675239999999986</f>
        <v>243.69612800000002</v>
      </c>
      <c r="L291" s="3">
        <f>123.1+(293.3-134.9)+(0.439467+(1.047081-0.481593))+0-33.2-0.118524</f>
        <v>249.186431</v>
      </c>
      <c r="M291" s="3">
        <f>138.3+(366.4-232)+(-0.211599+(-0.560592--0.35496))+0-32.5--0.0497250000000019</f>
        <v>239.83249399999997</v>
      </c>
      <c r="N291" s="3">
        <f>142.4+(351.6-194.6)+(0.217872+(0.537948-0.297738))+0-34-0.052020000000002</f>
        <v>265.806062</v>
      </c>
      <c r="O291" s="3">
        <f>141.5+(317.1-145.3)+(0.14433+(0.323442-0.148206))+0-33.6-0.0342720000000054</f>
        <v>279.98529400000001</v>
      </c>
      <c r="P291" s="3">
        <f>141.3+(304.2-125.4)+(0.144126+(0.310284-0.127908))+0-32.9-0.0335580000000052</f>
        <v>287.49294400000002</v>
      </c>
      <c r="Q291" s="3">
        <f>141.1+(305.7-124.5)+(0+(0-0))+0-33.5-0</f>
        <v>288.79999999999995</v>
      </c>
      <c r="R291" s="3">
        <f>140.4+(357.1-178.9)+(-0.214812+(-0.546363--0.273717))+0-33.7--0.051561000000002</f>
        <v>284.46410300000002</v>
      </c>
      <c r="S291" s="3">
        <f>141.1+(402.9-239.4)+(0+(0-0))+0-33-0</f>
        <v>271.59999999999997</v>
      </c>
      <c r="T291" s="3">
        <f>140.9+(398.2-239.3)+(-0.071859+(-0.203082--0.122043))+0-32.4--0.0165239999999967</f>
        <v>267.26362599999999</v>
      </c>
      <c r="U291" s="3">
        <f>141.5+(417-264.2)+(0.14433+(0.42534-0.269484))+0-32-0.0326400000000051</f>
        <v>262.56754599999999</v>
      </c>
      <c r="V291" s="3">
        <f>141.4+(295.7-140)+(0.072114+(0.150807-0.0714))+0-31.9-0.0162689999999968</f>
        <v>265.33525200000003</v>
      </c>
      <c r="W291" s="3">
        <f>141.6+(177.5-0)+(0.216648+(0.271575-0))+0-32-0.0489600000000018</f>
        <v>287.53926300000001</v>
      </c>
      <c r="X291" s="3">
        <f>139.9+(192.2-7.9)+(-0.356745+(-0.49011--0.020145))+0-31.5--0.0803249999999954</f>
        <v>291.95361500000001</v>
      </c>
      <c r="Y291" s="3">
        <f>142.5+(281.7-109.9)+(-0.14535+(-0.287334--0.112098))+0-31.7--0.0323340000000051</f>
        <v>282.31174799999997</v>
      </c>
      <c r="Z291" s="3">
        <f>142.1+(307.9-136.1)+(-0.507297+(-1.099203--0.485877))+0-32--0.11424</f>
        <v>280.89361699999995</v>
      </c>
      <c r="AA291" s="3">
        <f>143.8+(379.3-214.3)+(-0.440028+(-1.160658--0.655758))+0-32.4--0.0991440000000037</f>
        <v>275.55421600000005</v>
      </c>
      <c r="AB291" s="3">
        <f>145+(389.7-229.7)+(-0.07395+(-0.198747--0.117147))+0-32.3--0.0164729999999967</f>
        <v>272.560923</v>
      </c>
      <c r="AC291" s="3">
        <f>145.1+(409.8-259)+(0.074001+(0.208998-0.13209))+0-32.2-0.0164219999999967</f>
        <v>263.83448700000002</v>
      </c>
      <c r="AD291">
        <v>305.5</v>
      </c>
      <c r="AE291" s="3">
        <f>141+(196.9-0)+(0+(0-0))+0-32.4-0</f>
        <v>305.5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144.4+(415.6-279.1)+(-0.36822+(-1.05978--0.711705))+0-27.6--0.070379999999996</f>
        <v>252.65408499999998</v>
      </c>
      <c r="G292" s="3">
        <f>92.8+(397.4-210.9)+(0+(0-0))+0-26.2-0</f>
        <v>253.09999999999997</v>
      </c>
      <c r="H292" s="3">
        <f>80+(308.8-119.8)+(-0.0408+(-0.157488--0.061098))+0-26.4--0.0134639999999973</f>
        <v>242.47627400000002</v>
      </c>
      <c r="I292" s="3">
        <f>81.3+(288.4-103.6)+(0.082926+(0.294168-0.105672))+0-25.3-0.025806000000004</f>
        <v>241.04561599999991</v>
      </c>
      <c r="J292" s="3">
        <f>80.1+(290.4-105.1)+(-0.081702+(-0.296208--0.107202))+0-23.4--0.0238680000000037</f>
        <v>241.75315999999995</v>
      </c>
      <c r="K292" s="3">
        <f>92+(293.8-115.9)+(0.14076+(0.449514-0.177327))+0-22.4-0.0342720000000013</f>
        <v>247.87867499999996</v>
      </c>
      <c r="L292" s="3">
        <f>100.9+(273.2-98.2)+(0+(0-0))+0-25.7-0</f>
        <v>250.2</v>
      </c>
      <c r="M292" s="3">
        <f>100.2+(271.6-116.4)+(-0.051102+(-0.138516--0.059364))+0-25.6--0.0130559999999974</f>
        <v>229.68280200000004</v>
      </c>
      <c r="N292" s="3">
        <f>101.2+(368.8-212.1)+(0.051612+(0.188088-0.108171))+0-26.9-0.0137189999999973</f>
        <v>231.11781000000002</v>
      </c>
      <c r="O292" s="3">
        <f>101.4+(421.8-262.8)+(0.155142+(0.645354-0.402084))+0-27.5-0.0420750000000016</f>
        <v>233.25633699999997</v>
      </c>
      <c r="P292" s="3">
        <f>100.9+(391.4-228.5)+(0+(0-0))+0-27.2-0</f>
        <v>236.59999999999997</v>
      </c>
      <c r="Q292" s="3">
        <f>118.7+(402.9-256.8)+(-0.181611+(-0.616437--0.392904))+0-26.9--0.0411570000000016</f>
        <v>237.53601299999994</v>
      </c>
      <c r="R292" s="3">
        <f>130.3+(435.9-305.5)+(-0.332265+(-1.111545--0.779025))+0-25.4--0.0647699999999963</f>
        <v>234.699985</v>
      </c>
      <c r="S292" s="3">
        <f>130.4+(407.8-286.5)+(-0.199512+(-0.623934--0.438345))+0-25.2--0.0385560000000015</f>
        <v>226.15345500000004</v>
      </c>
      <c r="T292" s="3">
        <f>130.6+(407-288.5)+(-0.199818+(-0.62271--0.441405))+0-25--0.0382500000000014</f>
        <v>223.757127</v>
      </c>
      <c r="U292" s="3">
        <f>131.7+(400.3-303)+(0.201501+(0.612459-0.46359))+0-13.7-0.0209610000000008</f>
        <v>215.62940900000001</v>
      </c>
      <c r="V292" s="3">
        <f>131.1+(331.1-233)+(0+(0-0))+0-7.6-0</f>
        <v>221.60000000000002</v>
      </c>
      <c r="W292" s="3">
        <f>130.4+(244.2-111.9)+(-0.133008+(-0.249084--0.114138))+0-7.7--0.00785400000000123</f>
        <v>254.73990000000003</v>
      </c>
      <c r="X292" s="3">
        <f>130.8+(283.3-145.2)+(-0.133416+(-0.288966--0.148104))+0-7.5--0.0076500000000012</f>
        <v>261.13337200000007</v>
      </c>
      <c r="Y292" s="3">
        <f>130.9+(243.7-108.3)+(-0.133518+(-0.248574--0.110466))+0-7.6--0.00775200000000121</f>
        <v>258.43612599999989</v>
      </c>
      <c r="Z292" s="3">
        <f>130.9+(287.3-152.4)+(-0.133518+(-0.293046--0.155448))+0-7.6--0.00775200000000121</f>
        <v>257.93663599999996</v>
      </c>
      <c r="AA292" s="3">
        <f>131+(364.1-231.4)+(-0.06681+(-0.185691--0.118014))+0-7.7--0.00392699999999922</f>
        <v>255.86944000000008</v>
      </c>
      <c r="AB292" s="3">
        <f>130.5+(437.7-306.4)+(-0.13311+(-0.446454--0.312528))+0-7.6--0.00775200000000121</f>
        <v>253.94071600000001</v>
      </c>
      <c r="AC292" s="3">
        <f>130.1+(490.7-365.7)+(-0.265404+(-1.001028--0.746028))+0-7.6--0.0155039999999997</f>
        <v>246.99509999999998</v>
      </c>
      <c r="AD292">
        <v>263.60000000000002</v>
      </c>
      <c r="AE292" s="3">
        <f>131+(297.5-157.2)+(0+(0-0))+0-7.7-0</f>
        <v>263.60000000000002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104+(411.5-266.1)+(-0.2652+(-1.049325--0.678555))+0-7.3--0.0186149999999989</f>
        <v>241.48264499999999</v>
      </c>
      <c r="G293" s="3">
        <f>90.5+(297.7-147.9)+(0+(0-0))+0-7.4-0</f>
        <v>232.89999999999998</v>
      </c>
      <c r="H293" s="3">
        <f>91.4+(307.8-161.9)+(0.093228+(0.313956-0.165138))+0-7.4-0.00754800000000118</f>
        <v>230.13449799999998</v>
      </c>
      <c r="I293" s="3">
        <f>90.4+(220.5-76.4)+(-0.046104+(-0.112455--0.038964))+0-7.2--0.00367199999999927</f>
        <v>227.184077</v>
      </c>
      <c r="J293" s="3">
        <f>126.1+(177-65.1)+(0.128622+(0.18054-0.066402))+0-8.2-0.00836400000000131</f>
        <v>230.03439600000002</v>
      </c>
      <c r="K293" s="3">
        <f>139.7+(186-84.4)+(-0.213741+(-0.28458--0.129132))+0-10.6--0.0162180000000006</f>
        <v>230.34702899999999</v>
      </c>
      <c r="L293" s="3">
        <f>140.7+(299.9-187.6)+(-0.143514+(-0.305898--0.191352))+0-12.3--0.012546000000002</f>
        <v>240.45448599999997</v>
      </c>
      <c r="M293" s="3">
        <f>145.6+(392.7-264.7)+(-0.074256+(-0.200277--0.134997))+0-13--0.00662999999999868</f>
        <v>260.46709399999997</v>
      </c>
      <c r="N293" s="3">
        <f>145.1+(362.4-202.5)+(0.074001+(0.184824-0.103275))+0-14-0.00713999999999858</f>
        <v>291.14841000000001</v>
      </c>
      <c r="O293" s="3">
        <f>144.1+(255.9-72.5)+(0+(0-0))+0-19.2-0</f>
        <v>308.3</v>
      </c>
      <c r="P293" s="3">
        <f>144.4+(388.7-205.1)+(0.073644+(0.198237-0.104601))+0-14.8-0.0075479999999985</f>
        <v>313.35973200000001</v>
      </c>
      <c r="Q293" s="3">
        <f>140.8+(479.7-281.1)+(-0.215424+(-0.733941--0.430083))+0-18.1--0.027693000000001</f>
        <v>320.80841099999998</v>
      </c>
      <c r="R293" s="3">
        <f>140.8+(516.7-320.2)+(-0.143616+(-0.527034--0.326604))+0-20.2--0.0206040000000032</f>
        <v>316.77655800000008</v>
      </c>
      <c r="S293" s="3">
        <f>140.7+(552.5-375.4)+(-0.143514+(-0.56355--0.382908))+0-21.4--0.0218280000000034</f>
        <v>296.09767200000005</v>
      </c>
      <c r="T293" s="3">
        <f>141.4+(572.7-393.7)+(0.144228+(0.584154-0.401574))+0-23.3-0.0237660000000037</f>
        <v>297.40304200000008</v>
      </c>
      <c r="U293" s="3">
        <f>140.6+(516.2-340.5)+(-0.143412+(-0.526524--0.34731))+0-25.4--0.025908000000004</f>
        <v>290.60328200000009</v>
      </c>
      <c r="V293" s="3">
        <f>141+(368.6-189.1)+(0+(0-0))+0-26.9-0</f>
        <v>293.60000000000002</v>
      </c>
      <c r="W293" s="3">
        <f>141.4+(297.8-88.2)+(0.144228+(0.303756-0.089964))+0-27.5-0.0280500000000044</f>
        <v>323.82997</v>
      </c>
      <c r="X293" s="3">
        <f>141.7+(294.9-96.4)+(-0.216801+(-0.451197--0.147492))+0-29.5--0.0451350000000017</f>
        <v>310.22462899999994</v>
      </c>
      <c r="Y293" s="3">
        <f>143+(346.2-150.8)+(-0.07293+(-0.176562--0.076908))+0-29.7--0.015146999999997</f>
        <v>308.54256300000003</v>
      </c>
      <c r="Z293" s="3">
        <f>142.2+(433.4-244.2)+(-0.290088+(-0.884136--0.498168))+0-29.2--0.0595679999999987</f>
        <v>301.58351199999998</v>
      </c>
      <c r="AA293" s="3">
        <f>142.4+(489.8-312.5)+(-0.145248+(-0.499596--0.31875))+0-29.5--0.0300900000000047</f>
        <v>289.90399600000006</v>
      </c>
      <c r="AB293" s="3">
        <f>142.9+(535.5-369.7)+(-0.072879+(-0.273105--0.188547))+0-29.2--0.014891999999997</f>
        <v>279.35745500000002</v>
      </c>
      <c r="AC293" s="3">
        <f>142.6+(506.4-353.5)+(-0.218178+(-0.774792--0.540855))+0-28.7--0.0439110000000017</f>
        <v>266.391796</v>
      </c>
      <c r="AD293">
        <v>330.9</v>
      </c>
      <c r="AE293" s="3">
        <f>141+(289.2-70)+(0+(0-0))+0-29.3-0</f>
        <v>330.9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141.6+(340.3-189.4)+(-0.288864+(-0.694212--0.386376))+0-28.6--0.0583439999999988</f>
        <v>263.36164399999996</v>
      </c>
      <c r="G294" s="3">
        <f>142.9+(292.5-157.7)+(-0.218637+(-0.447525--0.241281))+0-28.7--0.0439110000000017</f>
        <v>248.61903000000004</v>
      </c>
      <c r="H294" s="3">
        <f>135.1+(321.3-187.1)+(-0.068901+(-0.163863--0.095421))+0-28.6--0.0145859999999971</f>
        <v>240.57724300000004</v>
      </c>
      <c r="I294" s="3">
        <f>75+(344.5-146.6)+(-0.11475+(-0.527085--0.224298))+0-28--0.0428400000000016</f>
        <v>244.52530300000001</v>
      </c>
      <c r="J294" s="3">
        <f>75.5+(393.6-202.1)+(0+(0-0))+0-28.6-0</f>
        <v>238.4</v>
      </c>
      <c r="K294" s="3">
        <f>74.5+(371.8-176)+(-0.113985+(-0.568854--0.26928))+0-29.1--0.0445230000000017</f>
        <v>240.83096399999999</v>
      </c>
      <c r="L294" s="3">
        <f>73+(409-200)+(0+(0-0))+0-30-0</f>
        <v>252</v>
      </c>
      <c r="M294" s="3">
        <f>76+(477-270)+(0+(0-0))+0-32-0</f>
        <v>251</v>
      </c>
      <c r="N294" s="3">
        <f>142+(469-325)+(0+(0-0))+0-32-0</f>
        <v>254</v>
      </c>
      <c r="O294" s="3">
        <f>142+(462-295)+(0+(0-0))+0-33-0</f>
        <v>276</v>
      </c>
      <c r="P294" s="3">
        <f>143+(323-115)+(0+(0-0))+0-32-0</f>
        <v>319</v>
      </c>
      <c r="Q294" s="3">
        <f>136+(351-153)+(0+(0-0))+0-31-0</f>
        <v>303</v>
      </c>
      <c r="R294" s="3">
        <f>134+(396-167)+(0+(0-0))+0-31-0</f>
        <v>332</v>
      </c>
      <c r="S294" s="3">
        <f>143+(408-176)+(0+(0-0))+0-31-0</f>
        <v>344</v>
      </c>
      <c r="T294" s="3">
        <f>142+(448-197)+(-0.21726+(-0.68544--0.30141))+0-31--0.0474300000000018</f>
        <v>361.44614000000001</v>
      </c>
      <c r="U294" s="3">
        <f>138+(474-219)+(0+(0-0))+0-31-0</f>
        <v>362</v>
      </c>
      <c r="V294" s="3">
        <f>144.4+(422.9-275.8)+(0.147288+(0.431358-0.281316))+0-6.7-0.00683400000000107</f>
        <v>285.09049599999997</v>
      </c>
      <c r="W294" s="3">
        <f>254.8+(295.9-239)+(0.259896+(0.301818-0.24378))+0-7.4-0.00754800000000118</f>
        <v>304.61038600000001</v>
      </c>
      <c r="X294" s="3">
        <f>280.2+(272-243.9)+(-0.285804+(-0.27744--0.248778))+0-8.2--0.00836400000000131</f>
        <v>299.79389800000001</v>
      </c>
      <c r="Y294" s="3">
        <f>283.3+(305.7-289.1)+(-0.144483+(-0.155907--0.147441))+0-9.5--0.00484499999999904</f>
        <v>290.25189599999999</v>
      </c>
      <c r="Z294" s="3">
        <f>283.4+(365.2-354.7)+(-0.144534+(-0.186252--0.180897))+0-10.6--0.00540599999999892</f>
        <v>283.15551699999997</v>
      </c>
      <c r="AA294" s="3">
        <f>273.4+(470.8-455.1)+(0+(0-0))+0-8.6-0</f>
        <v>280.49999999999994</v>
      </c>
      <c r="AB294" s="3">
        <f>154.1+(552.4-424.3)+(0+(0-0))+0-9-0</f>
        <v>273.19999999999993</v>
      </c>
      <c r="AC294" s="3">
        <f>142+(497.5-366.7)+(-0.21726+(-0.761175--0.561051))+0-10.2--0.0156060000000006</f>
        <v>262.19822199999999</v>
      </c>
      <c r="AD294">
        <v>305.2</v>
      </c>
      <c r="AE294" s="3">
        <f>277+(280.5-244.7)+(0+(0-0))+0-7.6-0</f>
        <v>305.2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141.6+(431.4-304.1)+(-0.144432+(-0.440028--0.310182))+0-11.2--0.0114240000000018</f>
        <v>257.43714599999998</v>
      </c>
      <c r="G295" s="3">
        <f>140.8+(389.2-258)+(-0.430848+(-1.190952--0.78948))+0-11.7--0.0358020000000013</f>
        <v>259.50348200000002</v>
      </c>
      <c r="H295" s="3">
        <f>141.8+(370.1-245.8)+(0+(0-0))+0-11-0</f>
        <v>255.10000000000002</v>
      </c>
      <c r="I295" s="3">
        <f>140.8+(379.9-256.7)+(-0.143616+(-0.387498--0.261834))+0-12.7--0.012954000000002</f>
        <v>251.04367400000004</v>
      </c>
      <c r="J295" s="3">
        <f>124.1+(371.7-230)+(-0.063291+(-0.189567--0.1173))+0-13.9--0.00708899999999859</f>
        <v>251.77153099999995</v>
      </c>
      <c r="K295" s="3">
        <f>50.5+(357.2-144.4)+(0.077265+(0.546516-0.220932))+0-15-0.0229500000000009</f>
        <v>248.67989899999995</v>
      </c>
      <c r="L295" s="3">
        <f>50.6+(475.6-249.9)+(-0.025806+(-0.242556--0.127449))+0-17.3--0.00882299999999825</f>
        <v>258.86790999999999</v>
      </c>
      <c r="M295" s="3">
        <f>56.2+(562.9-321.8)+(-0.057324+(-0.574158--0.328236))+0-16.1--0.0164220000000026</f>
        <v>280.91317599999991</v>
      </c>
      <c r="N295" s="3">
        <f>139.1+(567.2-385.6)+(-0.212823+(-0.867816--0.589968))+0-18.1--0.027693000000001</f>
        <v>302.137022</v>
      </c>
      <c r="O295" s="3">
        <f>138.5+(575-385.7)+(-0.070635+(-0.29325--0.196707))+0-20.2--0.010301999999998</f>
        <v>307.44312400000007</v>
      </c>
      <c r="P295" s="3">
        <f>138.8+(616.8-420.5)+(-0.141576+(-0.629136--0.42891))+0-22.8--0.0232560000000036</f>
        <v>311.98145399999999</v>
      </c>
      <c r="Q295" s="3">
        <f>138.8+(547.4-350.4)+(-0.141576+(-0.558348--0.357408))+0-25.3--0.025806000000004</f>
        <v>310.18329</v>
      </c>
      <c r="R295" s="3">
        <f>137.9+(573.5-361.6)+(-0.281316+(-1.16994--0.737664))+0-27.3--0.0556919999999988</f>
        <v>321.84209999999996</v>
      </c>
      <c r="S295" s="3">
        <f>126.3+(508.1-312.7)+(-0.193239+(-0.777393--0.478431))+0-27.9--0.0426870000000016</f>
        <v>293.35048600000005</v>
      </c>
      <c r="T295" s="3">
        <f>50.5+(571.7-315)+(-0.025755+(-0.291567--0.16065))+0-17.1--0.00872099999999827</f>
        <v>289.95204899999999</v>
      </c>
      <c r="U295" s="3">
        <f>26.2+(493.3-198.2)+(-0.013362+(-0.251583--0.101082))+0-25.9--0.0132089999999974</f>
        <v>295.24934600000006</v>
      </c>
      <c r="V295" s="3">
        <f>118.1+(479.9-277.8)+(0+(0-0))+0-30.3-0</f>
        <v>289.89999999999992</v>
      </c>
      <c r="W295" s="3">
        <f>130.9+(382.7-164.3)+(-0.066759+(-0.195177--0.083793))+0-30.9--0.0157589999999969</f>
        <v>318.237616</v>
      </c>
      <c r="X295" s="3">
        <f>130+(413.5-200.5)+(-0.1989+(-0.632655--0.306765))+0-30.3--0.0463590000000018</f>
        <v>312.22156899999999</v>
      </c>
      <c r="Y295" s="3">
        <f>130.2+(421.8-211.5)+(-0.265608+(-0.860472--0.43146))+0-30.8--0.0628319999999987</f>
        <v>309.06821200000002</v>
      </c>
      <c r="Z295" s="3">
        <f>130.3+(411.2-211.8)+(-0.199359+(-0.629136--0.324054))+0-30.7--0.0469710000000018</f>
        <v>298.54253</v>
      </c>
      <c r="AA295" s="3">
        <f>129+(443.1-260.7)+(-0.39474+(-1.355886--0.797742))+0-24.8--0.0758880000000029</f>
        <v>285.72300400000006</v>
      </c>
      <c r="AB295" s="3">
        <f>130.6+(542.5-363.7)+(-0.133212+(-0.55335--0.370974))+0-29.9--0.0304980000000048</f>
        <v>279.21491000000003</v>
      </c>
      <c r="AC295" s="3">
        <f>130.8+(513.1-342.7)+(-0.066708+(-0.261681--0.174777))+0-29.8--0.015197999999997</f>
        <v>271.26158600000002</v>
      </c>
      <c r="AD295">
        <v>315.7</v>
      </c>
      <c r="AE295" s="3">
        <f>131+(420.8-205.4)+(0+(0-0))+0-30.7-0</f>
        <v>315.7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130.9+(496.3-340.9)+(-0.066759+(-0.253113--0.173859))+0-29.3--0.014942999999997</f>
        <v>256.86893000000009</v>
      </c>
      <c r="G296" s="3">
        <f>116.9+(405.3-239.2)+(-0.298095+(-1.033515--0.60996))+0-28.5--0.0726749999999959</f>
        <v>253.85102499999999</v>
      </c>
      <c r="H296" s="3">
        <f>70.4+(367.8-158)+(-0.035904+(-0.187578--0.08058))+0-28.7--0.0146369999999971</f>
        <v>251.37173500000006</v>
      </c>
      <c r="I296" s="3">
        <f>76.1+(368.2-165.6)+(0+(0-0))+0-29.1-0</f>
        <v>249.6</v>
      </c>
      <c r="J296" s="3">
        <f>90.9+(362.4-176.3)+(0.046359+(0.184824-0.089913))+0-29.2-0.014891999999997</f>
        <v>247.92637800000003</v>
      </c>
      <c r="K296" s="3">
        <f>91.1+(351.5-162.7)+(0.092922+(0.35853-0.165954))+0-29-0.0295800000000046</f>
        <v>251.15591799999999</v>
      </c>
      <c r="L296" s="3">
        <f>90.8+(449.7-248)+(-0.046308+(-0.229347--0.12648))+0-28.8--0.0146879999999971</f>
        <v>263.56551299999995</v>
      </c>
      <c r="M296" s="3">
        <f>90.9+(541.5-323.5)+(0+(0-0))+0-29.5-0</f>
        <v>279.39999999999998</v>
      </c>
      <c r="N296" s="3">
        <f>132.5+(664.3-466)+(0+(0-0))+0-30.6-0</f>
        <v>300.19999999999993</v>
      </c>
      <c r="O296" s="3">
        <f>139.4+(654.6-448)+(0+(0-0))+0-30-0</f>
        <v>316</v>
      </c>
      <c r="P296" s="3">
        <f>139.4+(533.3-320.8)+(-0.142188+(-0.543966--0.327216))+0-30--0.0306000000000048</f>
        <v>321.57166199999995</v>
      </c>
      <c r="Q296" s="3">
        <f>139+(567.7-367.9)+(-0.14178+(-0.579054--0.375258))+0-30.9--0.0315180000000049</f>
        <v>307.5859420000001</v>
      </c>
      <c r="R296" s="3">
        <f>136.7+(562.5-367.8)+(-0.348585+(-1.434375--0.93789))+0-30.6--0.0780299999999956</f>
        <v>300.03295999999995</v>
      </c>
      <c r="S296" s="3">
        <f>95.8+(644.7-421.5)+(0.048858+(0.328797-0.214965))+0-30.1-0.0153509999999969</f>
        <v>289.04733900000002</v>
      </c>
      <c r="T296" s="3">
        <f>91+(636.8-403.9)+(0.04641+(0.324768-0.205989))+0-30.2-0.0154019999999969</f>
        <v>293.84978699999999</v>
      </c>
      <c r="U296" s="3">
        <f>90.6+(618.2-388.8)+(0+(0-0))+0-31.1-0</f>
        <v>288.89999999999998</v>
      </c>
      <c r="V296" s="3">
        <f>90.4+(557.3-319.7)+(-0.138312+(-0.852669--0.489141))+0-31.3--0.0478890000000018</f>
        <v>296.24604899999997</v>
      </c>
      <c r="W296" s="3">
        <f>107.1+(423.4-186.1)+(-0.109242+(-0.431868--0.189822))+0-31.9--0.0325380000000051</f>
        <v>312.18124999999998</v>
      </c>
      <c r="X296" s="3">
        <f>139.2+(535.7-327.5)+(-0.212976+(-0.819621--0.501075))+0-31.4--0.0480420000000018</f>
        <v>315.51652000000007</v>
      </c>
      <c r="Y296" s="3">
        <f>138.3+(566.7-361.3)+(-0.352665+(-1.445085--0.921315))+0-32--0.0815999999999954</f>
        <v>310.90516500000001</v>
      </c>
      <c r="Z296" s="3">
        <f>94.1+(598.7-357.1)+(-0.047991+(-0.305337--0.182121))+0-31.3--0.0159629999999968</f>
        <v>304.24475600000005</v>
      </c>
      <c r="AA296" s="3">
        <f>90.1+(615.6-378.1)+(-0.183804+(-1.255824--0.771324))+0-33.2--0.0677279999999986</f>
        <v>293.79942400000004</v>
      </c>
      <c r="AB296" s="3">
        <f>89.7+(537.9-310)+(-0.228735+(-1.371645--0.7905))+0-33.9--0.0864449999999951</f>
        <v>282.97656499999994</v>
      </c>
      <c r="AC296" s="3">
        <f>89.1+(437.3-219.8)+(-0.318087+(-1.561161--0.784686))+0-32.9--0.117453</f>
        <v>272.72289100000006</v>
      </c>
      <c r="AD296">
        <v>314</v>
      </c>
      <c r="AE296" s="3">
        <f>139+(523-316.6)+(0+(0-0))+0-31.4-0</f>
        <v>314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90.1+(409.2-202.4)+(-0.091902+(-0.417384--0.206448))+0-32.8--0.0334560000000052</f>
        <v>263.83061799999996</v>
      </c>
      <c r="G297" s="3">
        <f>89.6+(409.2-208.6)+(-0.182784+(-0.834768--0.425544))+0-32.9--0.0671159999999986</f>
        <v>256.77510799999999</v>
      </c>
      <c r="H297" s="3">
        <f>90.3+(322.9-125.6)+(-0.046053+(-0.164679--0.064056))+0-32.6--0.0166259999999967</f>
        <v>254.86994999999996</v>
      </c>
      <c r="I297" s="3">
        <f>82.4+(308.2-101.9)+(-0.126072+(-0.471546--0.155907))+0-30.9--0.0472770000000018</f>
        <v>257.40556600000002</v>
      </c>
      <c r="J297" s="3">
        <f>50.5+(345.8-116.8)+(0+(0-0))+0-31.8-0</f>
        <v>247.7</v>
      </c>
      <c r="K297" s="3">
        <f>50.5+(381.2-153.9)+(0+(0-0))+0-32.4-0</f>
        <v>245.39999999999995</v>
      </c>
      <c r="L297" s="3">
        <f>50.5+(533-291.5)+(0+(0-0))+0-32.6-0</f>
        <v>259.39999999999998</v>
      </c>
      <c r="M297" s="3">
        <f>65.9+(614.6-362.2)+(0.033609+(0.313446-0.184722))+0-31.9-0.0162689999999968</f>
        <v>286.54606400000006</v>
      </c>
      <c r="N297" s="3">
        <f>139.4+(587.2-384.7)+(0.142188+(0.598944-0.392394))+0-32.3-0.0329460000000051</f>
        <v>309.91579200000012</v>
      </c>
      <c r="O297" s="3">
        <f>139.3+(599.1-386.2)+(0.213129+(0.916623-0.590886))+0-32.9-0.0503370000000019</f>
        <v>319.78852900000004</v>
      </c>
      <c r="P297" s="3">
        <f>138.4+(566.1-355.8)+(0.141168+(0.577422-0.362916))+0-32.8-0.0334560000000052</f>
        <v>316.22221800000005</v>
      </c>
      <c r="Q297" s="3">
        <f>137.8+(590.4-369.6)+(-0.140556+(-0.602208--0.376992))+0-33.1--0.0337620000000053</f>
        <v>325.16798999999997</v>
      </c>
      <c r="R297" s="3">
        <f>135.9+(661.5-450.8)+(-0.415854+(-2.02419--1.379448))+0-32.3--0.0988380000000037</f>
        <v>313.33824200000004</v>
      </c>
      <c r="S297" s="3">
        <f>133.5+(764.3-560)+(0.068085+(0.389793-0.2856))+0-32.8-0.0167279999999967</f>
        <v>305.15554999999995</v>
      </c>
      <c r="T297" s="3">
        <f>133.4+(720.3-522.5)+(0.068034+(0.367353-0.266475))+0-31.8-0.0162179999999968</f>
        <v>299.55269399999992</v>
      </c>
      <c r="U297" s="3">
        <f>133.3+(713.6-524.2)+(0.067983+(0.363936-0.267342))+0-32.8-0.0167279999999967</f>
        <v>290.04784899999999</v>
      </c>
      <c r="V297" s="3">
        <f>134+(673.9-489.7)+(-0.06834+(-0.343689--0.249747))+0-31.9--0.0162689999999968</f>
        <v>286.15398700000003</v>
      </c>
      <c r="W297" s="3">
        <f>133.8+(616.4-408.3)+(-0.068238+(-0.314364--0.208233))+0-21.6--0.0110159999999978</f>
        <v>320.13664699999993</v>
      </c>
      <c r="X297" s="3">
        <f>136.1+(656.4-442.2)+(-0.138822+(-0.669528--0.451044))+0-32.4--0.0330480000000052</f>
        <v>317.57574199999999</v>
      </c>
      <c r="Y297" s="3">
        <f>139.9+(660.1-454.8)+(-0.071349+(-0.336651--0.231948))+0-33.3--0.0169829999999966</f>
        <v>311.74093099999999</v>
      </c>
      <c r="Z297" s="3">
        <f>139.9+(664.3-467.7)+(-0.071349+(-0.338793--0.238527))+0-33.6--0.0171359999999966</f>
        <v>302.745521</v>
      </c>
      <c r="AA297" s="3">
        <f>139.4+(670.7-490.3)+(-0.284376+(-1.368228--1.000212))+0-28.1--0.0573239999999988</f>
        <v>291.10493200000002</v>
      </c>
      <c r="AB297" s="3">
        <f>138.8+(653.1-477.7)+(0.070788+(0.333081-0.243627))+0-30.9-0.0157589999999969</f>
        <v>283.44448300000005</v>
      </c>
      <c r="AC297" s="3">
        <f>137.1+(632.5-454.2)+(-0.349605+(-1.612875--1.15821))+0-32.2--0.0821099999999953</f>
        <v>282.47784000000001</v>
      </c>
      <c r="AD297">
        <v>321.00000000000006</v>
      </c>
      <c r="AE297" s="3">
        <f>134+(643.2-436)+(0+(0-0))+0-20.2-0</f>
        <v>321.00000000000006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133.3+(541.3-370.5)+(-0.135966+(-0.552126--0.37791))+0-30.9--0.0315180000000049</f>
        <v>272.921336</v>
      </c>
      <c r="G298" s="3">
        <f>90.8+(532.9-335.3)+(0.046308+(0.271779-0.171003))+0-27.9-0.0142289999999972</f>
        <v>260.63285500000001</v>
      </c>
      <c r="H298" s="3">
        <f>90.6+(508.6-308.2)+(0+(0-0))+0-32.3-0</f>
        <v>258.7</v>
      </c>
      <c r="I298" s="3">
        <f>91.3+(462.3-255.1)+(0.046563+(0.235773-0.130101))+0-31.8-0.0162179999999968</f>
        <v>266.83601700000003</v>
      </c>
      <c r="J298" s="3">
        <f>89.1+(380.2-186.9)+(-0.227205+(-0.96951--0.476595))+0-31.3--0.0798149999999955</f>
        <v>250.45969499999995</v>
      </c>
      <c r="K298" s="3">
        <f>125.1+(388-207.6)+(0.127602+(0.39576-0.211752))+0-30.6-0.0312120000000049</f>
        <v>275.18039799999997</v>
      </c>
      <c r="L298" s="3">
        <f>137.4+(488.3-305.8)+(0+(0-0))+0-33.2-0</f>
        <v>286.7</v>
      </c>
      <c r="M298" s="3">
        <f>137+(540.4-366.6)+(-0.06987+(-0.275604--0.186966))+0-32.6--0.0166259999999967</f>
        <v>278.05811799999992</v>
      </c>
      <c r="N298" s="3">
        <f>137.2+(603.4-432.3)+(0.139944+(0.615468-0.440946))+0-33.3-0.0339660000000053</f>
        <v>275.2804999999999</v>
      </c>
      <c r="O298" s="3">
        <f>137.3+(589.9-421.1)+(0.210069+(0.902547-0.644283))+0-33.1-0.0506430000000019</f>
        <v>273.41768999999994</v>
      </c>
      <c r="P298" s="3">
        <f>136.4+(559.3-400.6)+(0+(0-0))+0-32.6-0</f>
        <v>262.49999999999989</v>
      </c>
      <c r="Q298" s="3">
        <f>134.6+(608.1-448.1)+(-0.137292+(-0.620262--0.457062))+0-22.8--0.0232560000000036</f>
        <v>271.522764</v>
      </c>
      <c r="R298" s="3">
        <f>134.4+(645-478.5)+(-0.205632+(-0.98685--0.732105))+0-26.9--0.0411570000000016</f>
        <v>273.58078</v>
      </c>
      <c r="S298" s="3">
        <f>133.5+(587.3-447.3)+(-0.340425+(-1.497615--1.140615))+0-31.7--0.0808349999999954</f>
        <v>241.18340999999995</v>
      </c>
      <c r="T298" s="3">
        <f>133+(612.8-480.3)+(-0.40698+(-1.875168--1.469718))+0-22.7--0.0694620000000026</f>
        <v>242.05703199999996</v>
      </c>
      <c r="U298" s="3">
        <f>89+(632.2-459.7)+(-0.18156+(-1.289688--0.937788))+0-30.1--0.0614039999999987</f>
        <v>230.92794400000008</v>
      </c>
      <c r="V298" s="3">
        <f>80.6+(602.2-415.2)+(-0.041106+(-0.307122--0.211752))+0-31.5--0.0160649999999968</f>
        <v>235.979589</v>
      </c>
      <c r="W298" s="3">
        <f>125.2+(544.6-356.5)+(-0.127704+(-0.555492--0.36363))+0-31.2--0.031824000000005</f>
        <v>281.81225800000004</v>
      </c>
      <c r="X298" s="3">
        <f>133.9+(526.2-343.9)+(-0.204867+(-0.805086--0.526167))+0-30.9--0.0472770000000018</f>
        <v>284.86349100000007</v>
      </c>
      <c r="Y298" s="3">
        <f>136.9+(475.8-305.9)+(0+(0-0))+0-29.7-0</f>
        <v>277.10000000000008</v>
      </c>
      <c r="Z298" s="3">
        <f>136.9+(418.5-249.3)+(-0.069819+(-0.213435--0.127143))+0-32.3--0.0164729999999967</f>
        <v>273.66036200000002</v>
      </c>
      <c r="AA298" s="3">
        <f>136.6+(357.5-195.7)+(-0.139332+(-0.36465--0.199614))+0-32.7--0.0333540000000052</f>
        <v>265.42898600000001</v>
      </c>
      <c r="AB298" s="3">
        <f>136.6+(319.7-166.7)+(-0.208998+(-0.489141--0.255051))+0-31.7--0.0485010000000018</f>
        <v>257.50541300000003</v>
      </c>
      <c r="AC298" s="3">
        <f>130.8+(374.2-222.2)+(-0.33354+(-0.95421--0.56661))+0-30.2--0.0770099999999956</f>
        <v>251.95587000000003</v>
      </c>
      <c r="AD298">
        <v>276.90000000000003</v>
      </c>
      <c r="AE298" s="3">
        <f>134+(545.5-372.2)+(0+(0-0))+0-30.4-0</f>
        <v>276.90000000000003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44.6+(497-265.2)+(-0.022746+(-0.25347--0.135252))+0-29.4--0.014993999999997</f>
        <v>246.87403000000003</v>
      </c>
      <c r="G299" s="3">
        <f>0+(547.2-275)+(0+(-0.279072--0.14025))+0-29.1--0.014840999999997</f>
        <v>242.97601900000004</v>
      </c>
      <c r="H299" s="3">
        <f>0+(537.3-267.8)+(0+(-0.274023--0.136578))+0-30.1--0.0153509999999969</f>
        <v>239.27790599999994</v>
      </c>
      <c r="I299" s="3">
        <f>0+(468-196.5)+(0+(0.47736-0.20043))+0-28.6-0.0291720000000046</f>
        <v>243.14775799999998</v>
      </c>
      <c r="J299" s="3">
        <f>0+(420.3-147.8)+(0+(-0.428706--0.150756))+0-33.6--0.0342720000000054</f>
        <v>238.65632200000005</v>
      </c>
      <c r="K299" s="3">
        <f>0+(400.4-129.3)+(0+(-0.204204--0.065943))+0-33.4--0.0170339999999966</f>
        <v>237.57877299999996</v>
      </c>
      <c r="L299" s="3">
        <f>0+(410.2-144.5)+(0+(0.209202-0.073695))+0-28.6-0.0145859999999971</f>
        <v>237.220921</v>
      </c>
      <c r="M299" s="3">
        <f>0+(423.1-162.5)+(0+(-0.431562--0.16575))+0-32.7--0.0333540000000052</f>
        <v>227.66754200000005</v>
      </c>
      <c r="N299" s="3">
        <f>0+(550.9-285.7)+(0+(0-0))+0-31.8-0</f>
        <v>233.39999999999998</v>
      </c>
      <c r="O299" s="3">
        <f>0+(563-290.6)+(0+(-0.57426--0.296412))+0-29.6--0.0301920000000047</f>
        <v>242.55234399999998</v>
      </c>
      <c r="P299" s="3">
        <f>0+(567.6-321.8)+(0+(-0.289476--0.164118))+0-30--0.015299999999997</f>
        <v>215.689942</v>
      </c>
      <c r="Q299" s="3">
        <f>0+(568.9-307.3)+(0+(-0.580278--0.313446))+0-31--0.0316200000000049</f>
        <v>230.36478799999995</v>
      </c>
      <c r="R299" s="3">
        <f>0+(616.9-334)+(0+(0.314619-0.17034))+0-30-0.015299999999997</f>
        <v>253.02897899999996</v>
      </c>
      <c r="S299" s="3">
        <f>0+(566-306.9)+(0+(-1.15464--0.626076))+0-30--0.0611999999999987</f>
        <v>228.63263599999999</v>
      </c>
      <c r="T299" s="3">
        <f>0+(589.4-323.2)+(0+(-0.300594--0.164832))+0-32--0.0163199999999968</f>
        <v>234.080558</v>
      </c>
      <c r="U299" s="3">
        <f>0+(550.8-296)+(0+(0-0))+0-32-0</f>
        <v>222.79999999999995</v>
      </c>
      <c r="V299" s="3">
        <f>0+(525-271.2)+(0+(-0.80325--0.414936))+0-32--0.0489600000000018</f>
        <v>221.460646</v>
      </c>
      <c r="W299" s="3">
        <f>0+(493.3-204.8)+(0+(-1.006332--0.417792))+0-32--0.0652799999999986</f>
        <v>255.97673999999998</v>
      </c>
      <c r="X299" s="3">
        <f>0+(553.3-221.6)+(0+(-1.410915--0.56508))+0-32--0.0815999999999954</f>
        <v>298.93576499999989</v>
      </c>
      <c r="Y299" s="3">
        <f>0+(460.3-143.9)+(0+(-0.234753--0.073389))+0-32--0.0163199999999968</f>
        <v>284.25495599999999</v>
      </c>
      <c r="Z299" s="3">
        <f>0+(380-117)+(0+(-0.7752--0.23868))+0-32--0.0652799999999986</f>
        <v>230.52876000000001</v>
      </c>
      <c r="AA299" s="3">
        <f>0+(372.9-99.8)+(0+(-0.570537--0.152694))+0-29--0.0443700000000017</f>
        <v>243.72652699999998</v>
      </c>
      <c r="AB299" s="3">
        <f>0+(398.7-110.3)+(0+(-0.406674--0.112506))+0-27--0.0275400000000043</f>
        <v>261.13337199999995</v>
      </c>
      <c r="AC299" s="3">
        <f>0+(380.2-113.7)+(0+(-0.581706--0.173961))+0-32--0.0489600000000018</f>
        <v>234.14121500000002</v>
      </c>
      <c r="AD299">
        <v>245.09999999999997</v>
      </c>
      <c r="AE299" s="3">
        <f>0+(542.3-265.2)+(0+(0-0))+0-32-0</f>
        <v>245.09999999999997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0+(458.5-172.4)+(0+(-0.233835--0.087924))+0-32--0.0163199999999968</f>
        <v>253.97040900000002</v>
      </c>
      <c r="G300" s="3">
        <f>0+(470.5-181)+(0+(-0.239955--0.09231))+0-32--0.0163199999999968</f>
        <v>257.368675</v>
      </c>
      <c r="H300" s="3">
        <f>0+(471.9-203.5)+(0+(-0.481338--0.20757))+0-32--0.0326400000000051</f>
        <v>236.15887199999997</v>
      </c>
      <c r="I300" s="3">
        <f>0+(478.8-233.1)+(0+(0-0))+0-30-0</f>
        <v>215.70000000000002</v>
      </c>
      <c r="J300" s="3">
        <f>0+(478.9-190.5)+(0+(-0.732717--0.291465))+0-31--0.0474300000000018</f>
        <v>257.00617799999998</v>
      </c>
      <c r="K300" s="3">
        <f>0+(438.4-173.3)+(0+(0-0))+0-33-0</f>
        <v>232.09999999999997</v>
      </c>
      <c r="L300" s="3">
        <f>0+(445.3-178.3)+(0+(0.454206-0.181866))+0-33-0.0336600000000053</f>
        <v>234.23867999999999</v>
      </c>
      <c r="M300" s="3">
        <f>0+(446-201.3)+(0+(-0.22746--0.102663))+0-33--0.0168299999999967</f>
        <v>211.59203299999999</v>
      </c>
      <c r="N300" s="3">
        <f>0+(425.1-186.9)+(0+(0.650403-0.285957))+0-33-0.0504900000000019</f>
        <v>205.51395600000001</v>
      </c>
      <c r="O300" s="3">
        <f>0+(366.8-117.6)+(0+(0-0))+0-33-0</f>
        <v>216.20000000000002</v>
      </c>
      <c r="P300" s="3">
        <f>0+(443.7-160.1)+(0+(-0.226287--0.081651))+0-33--0.0168299999999967</f>
        <v>250.47219400000003</v>
      </c>
      <c r="Q300" s="3">
        <f>0+(479.6-215.1)+(0+(-0.244596--0.109701))+0-33--0.0168299999999967</f>
        <v>231.38193500000003</v>
      </c>
      <c r="R300" s="3">
        <f>0+(450.3-216.2)+(0+(-0.918612--0.441048))+0-29--0.0591599999999987</f>
        <v>204.68159600000001</v>
      </c>
      <c r="S300" s="3">
        <f>0+(450.7-212.9)+(0+(0.229857-0.108579))+0-29-0.0147899999999971</f>
        <v>208.90648799999997</v>
      </c>
      <c r="T300" s="3">
        <f>0+(375.5-159.8)+(0+(-0.574515--0.244494))+0-29--0.0443700000000017</f>
        <v>186.41434900000002</v>
      </c>
      <c r="U300" s="3">
        <f>0+(299.2-48.4)+(0+(-0.152592--0.024684))+0-29--0.0147899999999971</f>
        <v>221.686882</v>
      </c>
      <c r="V300" s="3">
        <f>0+(293.1-39.6)+(0+(-0.298962--0.040392))+0-29--0.0295800000000046</f>
        <v>224.27101000000005</v>
      </c>
      <c r="W300" s="3">
        <f>0+(376.4-96.7)+(0+(0.383928-0.098634))+0-29-0.0295800000000046</f>
        <v>250.955714</v>
      </c>
      <c r="X300" s="3">
        <f>0+(334.4-42.8)+(0+(-0.682176--0.087312))+0-29--0.0591599999999987</f>
        <v>262.06429600000001</v>
      </c>
      <c r="Y300" s="3">
        <f>0+(309.5-16.2)+(0+(-0.63138--0.033048))+0-29--0.0591599999999987</f>
        <v>263.760828</v>
      </c>
      <c r="Z300" s="3">
        <f>0+(309.2-16.5)+(0+(0-0))+0-29-0</f>
        <v>263.7</v>
      </c>
      <c r="AA300" s="3">
        <f>0+(359.2-74.7)+(0+(-0.183192--0.038097))+0-29--0.0147899999999971</f>
        <v>255.36969499999998</v>
      </c>
      <c r="AB300" s="3">
        <f>0+(351-72.3)+(0+(-0.17901--0.036873))+0-29--0.0147899999999971</f>
        <v>249.572653</v>
      </c>
      <c r="AC300" s="3">
        <f>0+(376-111.4)+(0+(-0.76704--0.227256))+0-29--0.0591599999999987</f>
        <v>235.11937600000002</v>
      </c>
      <c r="AD300">
        <v>261.5</v>
      </c>
      <c r="AE300" s="3">
        <f>0+(332.4-39.9)+(0+(0-0))+0-31-0</f>
        <v>261.5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0+(424.9-159.4)+(0+(-0.866796--0.325176))+0-32--0.0652799999999986</f>
        <v>233.02365999999998</v>
      </c>
      <c r="G301" s="3">
        <f>0+(409.3-147.5)+(0+(-0.626229--0.225675))+0-32--0.0489600000000018</f>
        <v>229.44840600000001</v>
      </c>
      <c r="H301" s="3">
        <f>0+(440.2-176.5)+(0+(-0.224502--0.090015))+0-32--0.0163199999999968</f>
        <v>231.58183300000002</v>
      </c>
      <c r="I301" s="3">
        <f>0+(423.2-169.5)+(0+(-0.863328--0.34578))+0-32--0.0652799999999986</f>
        <v>221.24773199999998</v>
      </c>
      <c r="J301" s="3">
        <f>0+(421.9-163.7)+(0+(-0.645507--0.250461))+0-32--0.0489600000000018</f>
        <v>225.853914</v>
      </c>
      <c r="K301" s="3">
        <f>0+(412.3-151.6)+(0+(0.210273-0.077316))+0-32-0.0163199999999968</f>
        <v>228.81663700000001</v>
      </c>
      <c r="L301" s="3">
        <f>4+(377.7-99.3)+(-0.00408+(-0.385254--0.101286))+0-31--0.0316200000000049</f>
        <v>251.14357199999998</v>
      </c>
      <c r="M301" s="3">
        <f>50+(440-201)+(0.0255+(0.2244-0.10251))+0-29-0.0147899999999971</f>
        <v>260.13259999999997</v>
      </c>
      <c r="N301" s="3">
        <f>52+(527.6-272.2)+(0+(0-0))+0-30-0</f>
        <v>277.40000000000003</v>
      </c>
      <c r="O301" s="3">
        <f>130+(495.4-302.8)+(0.0663+(0.252654-0.154428))+0-31-0.0158099999999969</f>
        <v>291.748716</v>
      </c>
      <c r="P301" s="3">
        <f>138+(526.1-336.8)+(0+(0-0))+0-33.9-0</f>
        <v>293.40000000000003</v>
      </c>
      <c r="Q301" s="3">
        <f>139+(496.9-302.5)+(-0.28356+(-1.013676--0.6171))+0-31.9--0.0650759999999986</f>
        <v>300.88493999999997</v>
      </c>
      <c r="R301" s="3">
        <f>136+(501.5-309.3)+(-0.27744+(-1.02306--0.630972))+0-32.6--0.0665039999999986</f>
        <v>294.99697599999996</v>
      </c>
      <c r="S301" s="3">
        <f>80+(511.8-269.6)+(-0.1632+(-1.044072--0.549984))+0-33.1--0.0675239999999986</f>
        <v>288.51023599999996</v>
      </c>
      <c r="T301" s="3">
        <f>81+(533.7-288.2)+(0.04131+(0.272187-0.146982))+0-33.1-0.0168809999999966</f>
        <v>293.54963400000003</v>
      </c>
      <c r="U301" s="3">
        <f>80+(502.6-277.1)+(-0.0408+(-0.256326--0.141321))+0-31--0.0158099999999969</f>
        <v>274.360005</v>
      </c>
      <c r="V301" s="3">
        <f>110+(485.9-285.6)+(-0.0561+(-0.247809--0.145656))+0-33.6--0.0171359999999966</f>
        <v>276.55888299999992</v>
      </c>
      <c r="W301" s="3">
        <f>140+(447.7-250.8)+(0.2142+(0.684981-0.383724))+0-34-0.052020000000002</f>
        <v>303.36343699999998</v>
      </c>
      <c r="X301" s="3">
        <f>139+(419-220.5)+(0+(0-0))+0-33.6-0</f>
        <v>303.89999999999998</v>
      </c>
      <c r="Y301" s="3">
        <f>141+(460.6-274.4)+(-0.21573+(-0.704718--0.419832))+0-33--0.0504900000000019</f>
        <v>293.74987400000009</v>
      </c>
      <c r="Z301" s="3">
        <f>141+(485.6-306.7)+(0.07191+(0.247656-0.156417))+0-33.2-0.0169319999999966</f>
        <v>286.84621700000002</v>
      </c>
      <c r="AA301" s="3">
        <f>140+(485.1-315.1)+(-0.2856+(-0.989604--0.642804))+0-32.4--0.0660959999999986</f>
        <v>277.03369600000002</v>
      </c>
      <c r="AB301" s="3">
        <f>142+(310.8-156.4)+(-0.07242+(-0.158508--0.079764))+0-21.5--0.0109649999999978</f>
        <v>274.75980099999998</v>
      </c>
      <c r="AC301" s="3">
        <f>111+(311.3-131.9)+(-0.28305+(-0.793815--0.336345))+0-30.8--0.0785399999999955</f>
        <v>258.93801999999994</v>
      </c>
      <c r="AD301">
        <v>298.60000000000002</v>
      </c>
      <c r="AE301" s="3">
        <f>139+(449.6-255.4)+(0+(0-0))+0-34.6-0</f>
        <v>298.60000000000002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100+(326.9-145.2)+(0+(0-0))+0-31.8-0</f>
        <v>249.89999999999998</v>
      </c>
      <c r="G302" s="3">
        <f>101+(322.9-142.6)+(-0.10302+(-0.329358--0.145452))+0-31.9--0.0325380000000051</f>
        <v>249.14561199999997</v>
      </c>
      <c r="H302" s="3">
        <f>101+(327-148.5)+(-0.05151+(-0.16677--0.075735))+0-31.6--0.0161159999999968</f>
        <v>247.77357100000003</v>
      </c>
      <c r="I302" s="3">
        <f>102+(360.6-185.6)+(0.15606+(0.551718-0.283968))+0-31.9-0.0488070000000018</f>
        <v>245.47500299999999</v>
      </c>
      <c r="J302" s="3">
        <f>101+(369.7-191.9)+(-0.05151+(-0.188547--0.097869))+0-32--0.0163199999999968</f>
        <v>246.67413199999999</v>
      </c>
      <c r="K302" s="3">
        <f>106+(384.8-209.6)+(0+(0-0))+0-31.3-0</f>
        <v>249.90000000000003</v>
      </c>
      <c r="L302" s="3">
        <f>123+(455.8-289)+(0.06273+(0.232458-0.14739))+0-31.3-0.0159629999999968</f>
        <v>258.63183500000002</v>
      </c>
      <c r="M302" s="3">
        <f>115+(491.5-303.8)+(-0.05865+(-0.250665--0.154938))+0-32.7--0.0166769999999967</f>
        <v>269.8623</v>
      </c>
      <c r="N302" s="3">
        <f>123+(427.8-216.5)+(0+(0-0))+0-32.9-0</f>
        <v>301.40000000000003</v>
      </c>
      <c r="O302" s="3">
        <f>141+(441.9-245.2)+(-0.07191+(-0.225369--0.125052))+0-32.4--0.0165239999999967</f>
        <v>305.14429699999999</v>
      </c>
      <c r="P302" s="3">
        <f>142+(397.8-196.9)+(-0.21726+(-0.608634--0.301257))+0-32.7--0.0500310000000019</f>
        <v>309.72539399999999</v>
      </c>
      <c r="Q302" s="3">
        <f>134+(402-193.6)+(-0.27336+(-0.82008--0.394944))+0-32.2--0.0656879999999986</f>
        <v>309.56719200000003</v>
      </c>
      <c r="R302" s="3">
        <f>134+(427.8-229.5)+(-0.13668+(-0.436356--0.23409))+0-32.6--0.0332520000000052</f>
        <v>299.39430599999997</v>
      </c>
      <c r="S302" s="3">
        <f>134+(479.7-293.8)+(0+(0-0))+0-32.1-0</f>
        <v>287.79999999999995</v>
      </c>
      <c r="T302" s="3">
        <f>134+(477-293.6)+(-0.06834+(-0.24327--0.149736))+0-32.4--0.0165239999999967</f>
        <v>284.85464999999999</v>
      </c>
      <c r="U302" s="3">
        <f>134+(497.2-318.7)+(0.06834+(0.253572-0.162537))+0-32.7-0.0166769999999967</f>
        <v>279.94269800000001</v>
      </c>
      <c r="V302" s="3">
        <f>134+(479.1-301.7)+(0.06834+(0.244341-0.153867))+0-32.2-0.0164219999999967</f>
        <v>279.34239200000007</v>
      </c>
      <c r="W302" s="3">
        <f>134+(393.9-194.4)+(0.06834+(0.200889-0.099144))+0-30.5-0.0155549999999969</f>
        <v>303.15452999999997</v>
      </c>
      <c r="X302" s="3">
        <f>134+(408.8-202)+(-0.27336+(-0.833952--0.41208))+0-29.5--0.0601799999999987</f>
        <v>310.66494800000004</v>
      </c>
      <c r="Y302" s="3">
        <f>134+(391-205.5)+(-0.06834+(-0.19941--0.104805))+0-28.7--0.0146369999999971</f>
        <v>290.65169200000003</v>
      </c>
      <c r="Z302" s="3">
        <f>134+(385.4-200.2)+(-0.20502+(-0.589662--0.306306))+0-32.5--0.0497250000000019</f>
        <v>286.261349</v>
      </c>
      <c r="AA302" s="3">
        <f>134+(469.2-298.8)+(-0.20502+(-0.717876--0.457164))+0-32.2--0.0492660000000019</f>
        <v>271.78353399999997</v>
      </c>
      <c r="AB302" s="3">
        <f>134+(380.6-216.5)+(-0.20502+(-0.582318--0.331245))+0-33--0.0504900000000019</f>
        <v>264.69439700000004</v>
      </c>
      <c r="AC302" s="3">
        <f>134+(408.8-253)+(-0.20502+(-0.625464--0.38709))+0-32.8--0.0501840000000019</f>
        <v>256.60678999999999</v>
      </c>
      <c r="AD302">
        <v>299.89999999999998</v>
      </c>
      <c r="AE302" s="3">
        <f>141+(417.9-228.2)+(0+(0-0))+0-30.8-0</f>
        <v>299.89999999999998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141+(299.4-135.2)+(-0.21573+(-0.458082--0.206856))+0-32.9--0.0503370000000019</f>
        <v>271.88338100000004</v>
      </c>
      <c r="G303" s="3">
        <f>143+(333-187.2)+(-0.14586+(-0.33966--0.190944))+0-30.9--0.0315180000000049</f>
        <v>257.63694200000003</v>
      </c>
      <c r="H303" s="3">
        <f>69+(394.5-182.5)+(0.03519+(0.201195-0.093075))+0-32.5-0.0165749999999967</f>
        <v>248.626735</v>
      </c>
      <c r="I303" s="3">
        <f>62+(389.9-167.7)+(-0.09486+(-0.596547--0.256581))+0-32.3--0.0494190000000019</f>
        <v>251.51459299999999</v>
      </c>
      <c r="J303" s="3">
        <f>76+(378.3-165.8)+(0.07752+(0.385866-0.169116))+0-31.9-0.0325380000000051</f>
        <v>256.86173200000002</v>
      </c>
      <c r="K303" s="3">
        <f>76+(389-180.7)+(0.11628+(0.59517-0.276471))+0-32.3-0.0494190000000019</f>
        <v>252.38556</v>
      </c>
      <c r="L303" s="3">
        <f>79+(408.3-190.9)+(0.08058+(0.416466-0.194718))+0-32.6-0.0332520000000052</f>
        <v>264.06907599999994</v>
      </c>
      <c r="M303" s="3">
        <f>80+(488-258.3)+(0+(0-0))+0-30.5-0</f>
        <v>279.2</v>
      </c>
      <c r="N303" s="3">
        <f>87+(519.8-272.2)+(0+(0-0))+0-32.4-0</f>
        <v>302.2</v>
      </c>
      <c r="O303" s="3">
        <f>139.6+(502.8-295.3)+(-0.071196+(-0.256428--0.150603))+0-31.8--0.0162179999999968</f>
        <v>315.13919699999997</v>
      </c>
      <c r="P303" s="3">
        <f>138.9+(523-314.3)+(-0.141678+(-0.53346--0.320586))+0-30.8--0.0314160000000049</f>
        <v>316.47686399999998</v>
      </c>
      <c r="Q303" s="3">
        <f>139.2+(507.3-294.3)+(-0.070992+(-0.258723--0.150093))+0-29.9--0.015248999999997</f>
        <v>322.135627</v>
      </c>
      <c r="R303" s="3">
        <f>138.4+(504.8-298.2)+(-0.211752+(-0.772344--0.456246))+0-31.3--0.0478890000000018</f>
        <v>313.22003899999999</v>
      </c>
      <c r="S303" s="3">
        <f>137.6+(558.1-365.6)+(-0.070176+(-0.284631--0.186456))+0-32.7--0.0166769999999967</f>
        <v>297.24832600000008</v>
      </c>
      <c r="T303" s="3">
        <f>137.1+(559.3-371.3)+(-0.069921+(-0.285243--0.189363))+0-32.1--0.0163709999999967</f>
        <v>292.85056999999989</v>
      </c>
      <c r="U303" s="3">
        <f>137+(533.5-347.4)+(-0.13974+(-0.54417--0.354348))+0-32.6--0.0332520000000052</f>
        <v>290.20368999999999</v>
      </c>
      <c r="V303" s="3">
        <f>137.5+(512.1-324.1)+(0.14025+(0.522342-0.330582))+0-29.6-0.0301920000000047</f>
        <v>296.201818</v>
      </c>
      <c r="W303" s="3">
        <f>137.9+(364.8-149.5)+(0.070329+(0.186048-0.076245))+0-31.9-0.0162689999999968</f>
        <v>321.46386300000006</v>
      </c>
      <c r="X303" s="3">
        <f>139.9+(346.9-130.5)+(-0.142698+(-0.353838--0.13311))+0-33.6--0.0342720000000054</f>
        <v>322.37084599999991</v>
      </c>
      <c r="Y303" s="3">
        <f>140.3+(386.9-188.6)+(-0.286212+(-0.789276--0.384744))+0-33.9--0.0691559999999985</f>
        <v>304.07841200000007</v>
      </c>
      <c r="Z303" s="3">
        <f>140.9+(418.1-218.4)+(-0.215577+(-0.639693--0.334152))+0-33.8--0.0517140000000019</f>
        <v>306.33059600000001</v>
      </c>
      <c r="AA303" s="3">
        <f>141+(472.6-281.6)+(-0.14382+(-0.482052--0.287232))+0-33.7--0.0343740000000054</f>
        <v>297.99573400000003</v>
      </c>
      <c r="AB303" s="3">
        <f>140.6+(399.7-218.5)+(-0.215118+(-0.611541--0.334305))+0-33.7--0.051561000000002</f>
        <v>287.65920699999998</v>
      </c>
      <c r="AC303" s="3">
        <f>139.8+(271.7-109)+(-0.285192+(-0.554268--0.22236))+0-33.8--0.0689519999999985</f>
        <v>268.15185200000002</v>
      </c>
      <c r="AD303">
        <v>310.59999999999997</v>
      </c>
      <c r="AE303" s="3">
        <f>141+(348.3-145.4)+(0+(0-0))+0-33.3-0</f>
        <v>310.59999999999997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137.9+(301.4-149.2)+(-0.210987+(-0.461142--0.228276))+0-32.8--0.0501840000000019</f>
        <v>256.90633100000002</v>
      </c>
      <c r="G304" s="3">
        <f>100.8+(338-152.7)+(-0.051408+(-0.17238--0.077877))+0-32.5--0.0165749999999967</f>
        <v>253.470664</v>
      </c>
      <c r="H304" s="3">
        <f>101.4+(368.5-191.3)+(0.103428+(0.37587-0.195126))+0-32.7-0.0333540000000052</f>
        <v>246.15081800000004</v>
      </c>
      <c r="I304" s="3">
        <f>101.1+(333.5-161.3)+(0.103122+(0.34017-0.164526))+0-32.3-0.0329460000000051</f>
        <v>241.24581999999995</v>
      </c>
      <c r="J304" s="3">
        <f>100.6+(314.5-142.9)+(-0.102612+(-0.32079--0.145758))+0-32.6--0.0332520000000052</f>
        <v>239.35560799999999</v>
      </c>
      <c r="K304" s="3">
        <f>100.6+(281.4-102.2)+(-0.051306+(-0.143514--0.052122))+0-32.6--0.0166259999999967</f>
        <v>247.07392799999997</v>
      </c>
      <c r="L304" s="3">
        <f>100.2+(262.5-71.8)+(-0.153306+(-0.401625--0.109854))+0-31.6--0.0483480000000018</f>
        <v>258.9032709999999</v>
      </c>
      <c r="M304" s="3">
        <f>137+(310.7-150.7)+(-0.20961+(-0.475371--0.230571))+0-29.5--0.0451350000000017</f>
        <v>267.09072500000002</v>
      </c>
      <c r="N304" s="3">
        <f>141.5+(433.4-247)+(0.072165+(0.221034-0.12597))+0-25.9-0.0132089999999974</f>
        <v>302.15402</v>
      </c>
      <c r="O304" s="3">
        <f>141+(502.9-329.8)+(-0.14382+(-0.512958--0.336396))+0-3.6--0.00367200000000057</f>
        <v>310.18328999999994</v>
      </c>
      <c r="P304" s="3">
        <f>141.2+(503.6-335.1)+(0.072012+(0.256836-0.170901))+0-0-0</f>
        <v>309.85794699999997</v>
      </c>
      <c r="Q304" s="3">
        <f>140.1+(492.3-316.4)+(-0.142902+(-0.502146--0.322728))+0-0-0</f>
        <v>315.67768000000001</v>
      </c>
      <c r="R304" s="3">
        <f>138.8+(517.3-340.9)+(-0.070788+(-0.263823--0.173859))+0-1--0.000509999999999899</f>
        <v>314.03975800000001</v>
      </c>
      <c r="S304" s="3">
        <f>137.9+(534.3-384.5)+(-0.070329+(-0.272493--0.196095))+0-4.3--0.00219299999999956</f>
        <v>283.2554659999999</v>
      </c>
      <c r="T304" s="3">
        <f>137.2+(562.3-410.5)+(-0.069972+(-0.286773--0.209355))+0-4.7--0.00239699999999952</f>
        <v>284.15500699999996</v>
      </c>
      <c r="U304" s="3">
        <f>138+(535-385.1)+(0+(0-0))+0-4.9-0</f>
        <v>283</v>
      </c>
      <c r="V304" s="3">
        <f>138.1+(493-343.6)+(0+(0-0))+0-5.8-0</f>
        <v>281.7</v>
      </c>
      <c r="W304" s="3">
        <f>138.7+(304.2-133.8)+(0.070737+(0.155142-0.068238))+0-6.6-0.00336599999999933</f>
        <v>302.65427499999998</v>
      </c>
      <c r="X304" s="3">
        <f>139.2+(271.2-99.4)+(-0.283968+(-0.553248--0.202776))+0-4.8--0.00979199999999979</f>
        <v>305.57535200000001</v>
      </c>
      <c r="Y304" s="3">
        <f>139.8+(317.3-148)+(-0.285192+(-0.647292--0.30192))+0-3.9--0.00795599999999983</f>
        <v>304.57739200000003</v>
      </c>
      <c r="Z304" s="3">
        <f>140.1+(229.3-73.2)+(0+(0-0))+0-4.8-0</f>
        <v>291.40000000000003</v>
      </c>
      <c r="AA304" s="3">
        <f>138.7+(253.1-110.4)+(-0.424422+(-0.774486--0.337824))+0-6.5--0.0198900000000008</f>
        <v>274.05880599999995</v>
      </c>
      <c r="AB304" s="3">
        <f>139.6+(292.9-155.3)+(-0.213588+(-0.448137--0.237609))+0-7.8--0.0119340000000005</f>
        <v>268.98781799999989</v>
      </c>
      <c r="AC304" s="3">
        <f>88.4+(342.8-160.9)+(-0.360672+(-1.398624--0.656472))+0-8.7--0.0354959999999992</f>
        <v>260.53267200000005</v>
      </c>
      <c r="AD304">
        <v>302.40000000000003</v>
      </c>
      <c r="AE304" s="3">
        <f>140+(260.7-91.1)+(0+(0-0))+0-7.2-0</f>
        <v>302.40000000000003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0+(373.2-108.2)+(0+(-0.761328--0.220728))+0-10.2--0.0208079999999996</f>
        <v>254.28020800000002</v>
      </c>
      <c r="G305" s="3">
        <f>0+(265.7-1.5)+(0+(-0.542028--0.00306))+0-12.1--0.0246839999999995</f>
        <v>251.58571599999999</v>
      </c>
      <c r="H305" s="3">
        <f>0+(275.9-7.5)+(0+(-0.844254--0.02295))+0-13.9--0.0425340000000016</f>
        <v>253.72122999999996</v>
      </c>
      <c r="I305" s="3">
        <f>0+(294.5-20.2)+(0+(0-0))+0-12.8-0</f>
        <v>261.5</v>
      </c>
      <c r="J305" s="3">
        <f>0+(283.4-12.3)+(0+(0.289068-0.012546))+0-14.6-0.0148920000000023</f>
        <v>256.76162999999997</v>
      </c>
      <c r="K305" s="3">
        <f>0+(270.6-0)+(0+(0-0))+0-15.7-0</f>
        <v>254.90000000000003</v>
      </c>
      <c r="L305" s="3">
        <f>0+(296.8-0)+(0+(-0.151368-0))+0-17--0.00866999999999828</f>
        <v>279.65730200000002</v>
      </c>
      <c r="M305" s="3">
        <f>0+(334.2-26.7)+(0+(0-0))+0-15.5-0</f>
        <v>292</v>
      </c>
      <c r="N305" s="3">
        <f>0+(449.5-128.4)+(0+(0.45849-0.130968))+0-19.3-0.0196860000000031</f>
        <v>302.10783600000002</v>
      </c>
      <c r="O305" s="3">
        <f>0+(429.7-92.6)+(0+(0.438294-0.094452))+0-22.3-0.0227460000000036</f>
        <v>315.12109600000002</v>
      </c>
      <c r="P305" s="3">
        <f>0+(411.4-75.8)+(0+(0.629442-0.115974))+0-21-0.0321300000000012</f>
        <v>315.08133799999996</v>
      </c>
      <c r="Q305" s="3">
        <f>0+(398.4-47.5)+(0+(0.203184-0.024225))+0-26.9-0.0137189999999973</f>
        <v>324.16524000000004</v>
      </c>
      <c r="R305" s="3">
        <f>0+(386-46.6)+(0+(-0.78744--0.095064))+0-23.5--0.047939999999999</f>
        <v>315.25556399999994</v>
      </c>
      <c r="S305" s="3">
        <f>0+(407.9-99)+(0+(-0.416058--0.10098))+0-28.8--0.0293760000000046</f>
        <v>279.81429799999995</v>
      </c>
      <c r="T305" s="3">
        <f>0+(459.5-147.7)+(0+(0-0))+0-28.8-0</f>
        <v>283</v>
      </c>
      <c r="U305" s="3">
        <f>0+(476.3-181.3)+(0+(0-0))+0-28.8-0</f>
        <v>266.2</v>
      </c>
      <c r="V305" s="3">
        <f>0+(441.2-143.8)+(0+(-0.675036--0.220014))+0-28.9--0.0442170000000017</f>
        <v>268.08919500000002</v>
      </c>
      <c r="W305" s="3">
        <f>0+(323.2-0)+(0+(0.494496-0))+0-26-0.0397800000000015</f>
        <v>297.65471600000001</v>
      </c>
      <c r="X305" s="3">
        <f>0+(325.7-0)+(0+(-0.332214-0))+0-29.8--0.0303960000000048</f>
        <v>295.59818199999995</v>
      </c>
      <c r="Y305" s="3">
        <f>0+(307.2-0)+(0+(-0.626688-0))+0-27.5--0.0560999999999988</f>
        <v>279.129412</v>
      </c>
      <c r="Z305" s="3">
        <f>0+(317.3-7)+(0+(-0.809115--0.01785))+0-30.8--0.0785399999999955</f>
        <v>278.78727499999997</v>
      </c>
      <c r="AA305" s="3">
        <f>0+(411.3-112.1)+(0+(-0.629289--0.171513))+0-31.1--0.0475830000000018</f>
        <v>267.68980699999997</v>
      </c>
      <c r="AB305" s="3">
        <f>0+(436.6-149)+(0+(-0.222666--0.07599))+0-31.1--0.0158609999999968</f>
        <v>256.36918499999996</v>
      </c>
      <c r="AC305" s="3">
        <f>0+(441.2-165.2)+(0+(-0.450024--0.168504))+0-31.6--0.032232000000005</f>
        <v>244.150712</v>
      </c>
      <c r="AD305">
        <v>295.70000000000005</v>
      </c>
      <c r="AE305" s="3">
        <f>0+(326.1-0)+(0+(0-0))+0-30.4-0</f>
        <v>295.70000000000005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0+(384.7-114.6)+(0+(-0.392394--0.116892))+0-30.7--0.0313140000000049</f>
        <v>239.15581200000003</v>
      </c>
      <c r="G306" s="3">
        <f>0+(276.5-4.7)+(0+(0-0))+0-30.2-0</f>
        <v>241.60000000000002</v>
      </c>
      <c r="H306" s="3">
        <f>0+(268.8-1.1)+(0+(0.137088-0.000561))+0-30.9-0.0157589999999969</f>
        <v>236.92076799999998</v>
      </c>
      <c r="I306" s="3">
        <f>0+(270.3-3.2)+(0+(0.275706-0.003264))+0-30.5-0.0311100000000049</f>
        <v>236.84133200000002</v>
      </c>
      <c r="J306" s="3">
        <f>0+(274.3-7.6)+(0+(0-0))+0-30.4-0</f>
        <v>236.29999999999998</v>
      </c>
      <c r="K306" s="3">
        <f>0+(278.3-19)+(0+(0-0))+0-30.6-0</f>
        <v>228.70000000000002</v>
      </c>
      <c r="L306" s="3">
        <f>0+(332.2-60.4)+(0+(0-0))+0-31.2-0</f>
        <v>240.60000000000002</v>
      </c>
      <c r="M306" s="3">
        <f>0+(315.9-64.8)+(0+(-0.483327--0.099144))+0-31.5--0.0481950000000018</f>
        <v>219.26401199999995</v>
      </c>
      <c r="N306" s="3">
        <f>0+(343.8-94.4)+(0+(0.350676-0.096288))+0-31.6-0.032232000000005</f>
        <v>218.02215600000002</v>
      </c>
      <c r="O306" s="3">
        <f>0+(396.7-128.1)+(0+(-0.202317--0.065331))+0-32--0.0163199999999968</f>
        <v>236.47933400000005</v>
      </c>
      <c r="P306" s="3">
        <f>0+(442.7-170.9)+(0+(-0.225777--0.087159))+0-32.6--0.0166259999999967</f>
        <v>239.07800799999995</v>
      </c>
      <c r="Q306" s="3">
        <f>0+(444.2-174)+(0+(-0.226542--0.08874))+0-29.8--0.015197999999997</f>
        <v>240.27739599999995</v>
      </c>
      <c r="R306" s="3">
        <f>0+(487.6-220.6)+(0+(-0.746028--0.337518))+0-31--0.0474300000000018</f>
        <v>235.63892000000001</v>
      </c>
      <c r="S306" s="3">
        <f>0+(488.1-235.9)+(0+(-0.995724--0.481236))+0-24.4--0.0497759999999989</f>
        <v>227.33528800000002</v>
      </c>
      <c r="T306" s="3">
        <f>0+(465.3-209.7)+(0+(-0.711909--0.320841))+0-29.3--0.0448290000000017</f>
        <v>225.95376100000001</v>
      </c>
      <c r="U306" s="3">
        <f>0+(389.8-139.5)+(0+(0-0))+0-30.7-0</f>
        <v>219.60000000000002</v>
      </c>
      <c r="V306" s="3">
        <f>46+(361-152)+(0+(0-0))+0-30.8-0</f>
        <v>224.2</v>
      </c>
      <c r="W306" s="3">
        <f>90.6+(262.3-73.6)+(-0.046206+(-0.133773--0.037536))+0-28--0.0142799999999972</f>
        <v>251.17183699999998</v>
      </c>
      <c r="X306" s="3">
        <f>140.6+(236.3-90.1)+(0+(0-0))+0-30.3-0</f>
        <v>256.5</v>
      </c>
      <c r="Y306" s="3">
        <f>141.3+(178.6-33.4)+(-0.288252+(-0.364344--0.068136))+0-30.4--0.0620159999999987</f>
        <v>255.57755600000002</v>
      </c>
      <c r="Z306" s="3">
        <f>141.3+(204.2-58)+(-0.144126+(-0.208284--0.05916))+0-32.2--0.0328440000000051</f>
        <v>255.03959400000002</v>
      </c>
      <c r="AA306" s="3">
        <f>141.3+(216.4-74.6)+(-0.072063+(-0.110364--0.038046))+0-32.2--0.0164219999999967</f>
        <v>250.77204100000003</v>
      </c>
      <c r="AB306" s="3">
        <f>141.2+(213.7-82.5)+(-0.36006+(-0.544935--0.210375))+0-20.8--0.053039999999997</f>
        <v>250.95841999999999</v>
      </c>
      <c r="AC306" s="3">
        <f>141.3+(193.1-68.8)+(-0.288252+(-0.393924--0.140352))+0-23.1--0.047123999999999</f>
        <v>242.00530000000001</v>
      </c>
      <c r="AD306">
        <v>260.89999999999998</v>
      </c>
      <c r="AE306" s="3">
        <f>141+(238.9-90.9)+(0+(0-0))+0-28.1-0</f>
        <v>260.89999999999998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141.3+(175.5-57.5)+(-0.144126+(-0.17901--0.05865))+0-29.2--0.0297840000000047</f>
        <v>229.86529800000005</v>
      </c>
      <c r="G307" s="3">
        <f>111.1+(202.2-69.2)+(-0.056661+(-0.103122--0.035292))+0-23.5--0.0119849999999976</f>
        <v>220.487494</v>
      </c>
      <c r="H307" s="3">
        <f>99.9+(215.9-76.8)+(-0.203796+(-0.440436--0.156672))+0-25--0.0509999999999989</f>
        <v>213.56344000000001</v>
      </c>
      <c r="I307" s="3">
        <f>101+(211.9-59.6)+(0.05151+(0.108069-0.030396))+0-33.2-0.0169319999999966</f>
        <v>220.21225100000004</v>
      </c>
      <c r="J307" s="3">
        <f>75.4+(244.7-58.5)+(0.076908+(0.249594-0.05967))+0-33.4-0.0340680000000053</f>
        <v>228.43276400000002</v>
      </c>
      <c r="K307" s="3">
        <f>50.5+(272.5-68.8)+(0.05151+(0.27795-0.070176))+0-32.7-0.0333540000000052</f>
        <v>221.72592999999998</v>
      </c>
      <c r="L307" s="3">
        <f>50.6+(292.9-82.6)+(0.051612+(0.298758-0.084252))+0-29.2-0.0297840000000047</f>
        <v>231.93633399999999</v>
      </c>
      <c r="M307" s="3">
        <f>90.3+(322.8-141)+(-0.092106+(-0.329256--0.14382))+0-31.2--0.031824000000005</f>
        <v>240.65428200000005</v>
      </c>
      <c r="N307" s="3">
        <f>136.8+(326.9-166.1)+(0.279072+(0.666876-0.338844))+0-32.6-0.0665039999999986</f>
        <v>265.54059999999998</v>
      </c>
      <c r="O307" s="3">
        <f>139.8+(372.3-203.7)+(0.142596+(0.379746-0.207774))+0-30.2-0.0308040000000048</f>
        <v>278.48376400000006</v>
      </c>
      <c r="P307" s="3">
        <f>141.7+(352-187.6)+(-0.216801+(-0.53856--0.287028))+0-29.2--0.0446760000000017</f>
        <v>276.47634300000004</v>
      </c>
      <c r="Q307" s="3">
        <f>141.8+(316-183.4)+(-0.144636+(-0.32232--0.187068))+0-32.3--0.0329460000000051</f>
        <v>241.85305799999995</v>
      </c>
      <c r="R307" s="3">
        <f>141.6+(308.6-167.5)+(-0.216648+(-0.472158--0.256275))+0-32.2--0.0492660000000019</f>
        <v>250.11673500000006</v>
      </c>
      <c r="S307" s="3">
        <f>86.4+(312.7-111.2)+(0.044064+(0.159477-0.056712))+0-31.9-0.0162689999999968</f>
        <v>256.13056</v>
      </c>
      <c r="T307" s="3">
        <f>80.1+(301.5-120.5)+(-0.122553+(-0.461295--0.184365))+0-30.4--0.0465120000000018</f>
        <v>230.34702900000005</v>
      </c>
      <c r="U307" s="3">
        <f>80.6+(310-115.8)+(-0.041106+(-0.1581--0.059058))+0-29.9--0.015248999999997</f>
        <v>244.77510099999992</v>
      </c>
      <c r="V307" s="3">
        <f>80.4+(398.6-200.2)+(-0.082008+(-0.406572--0.204204))+0-32.1--0.0327420000000051</f>
        <v>246.44836600000008</v>
      </c>
      <c r="W307" s="3">
        <f>105.6+(386.1-201.4)+(0.161568+(0.590733-0.308142))+0-27.5-0.0420750000000016</f>
        <v>263.20208400000001</v>
      </c>
      <c r="X307" s="3">
        <f>131+(403.7-237)+(0+(0-0))+0-31.6-0</f>
        <v>266.09999999999997</v>
      </c>
      <c r="Y307" s="3">
        <f>130.5+(414.9-260.8)+(-0.199665+(-0.634797--0.399024))+0-31.5--0.0481950000000018</f>
        <v>252.71275699999998</v>
      </c>
      <c r="Z307" s="3">
        <f>75.1+(468.6-263.5)+(-0.114903+(-0.716958--0.403155))+0-29--0.0443700000000017</f>
        <v>250.81566400000008</v>
      </c>
      <c r="AA307" s="3">
        <f>50.5+(521-300.3)+(-0.128775+(-1.32855--0.765765))+0-29.5--0.0752249999999957</f>
        <v>241.083665</v>
      </c>
      <c r="AB307" s="3">
        <f>50.5+(499.4-285.2)+(-0.128775+(-1.27347--0.72726))+0-31.4--0.0800699999999954</f>
        <v>232.705085</v>
      </c>
      <c r="AC307" s="3">
        <f>50.6+(344.7-138.5)+(-0.025806+(-0.175797--0.070635))+0-32.4--0.0165239999999967</f>
        <v>224.28555600000001</v>
      </c>
      <c r="AD307">
        <v>270</v>
      </c>
      <c r="AE307" s="3">
        <f>131+(385.9-215.5)+(0+(0-0))+0-31.4-0</f>
        <v>270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50.6+(358.4-153.7)+(0+(0-0))+0-31.9-0</f>
        <v>223.39999999999998</v>
      </c>
      <c r="G308" s="3">
        <f>50.5+(293.2-95.2)+(-0.025755+(-0.149532--0.048552))+0-31--0.0158099999999969</f>
        <v>217.38907499999999</v>
      </c>
      <c r="H308" s="3">
        <f>50.5+(312.7-117.3)+(0+(0-0))+0-31.4-0</f>
        <v>214.49999999999997</v>
      </c>
      <c r="I308" s="3">
        <f>50.5+(341.7-152.2)+(0+(0-0))+0-31-0</f>
        <v>209</v>
      </c>
      <c r="J308" s="3">
        <f>50.5+(312.9-123.4)+(0.05151+(0.319158-0.125868))+0-31.3-0.031926000000005</f>
        <v>208.91287399999996</v>
      </c>
      <c r="K308" s="3">
        <f>50.5+(274.1-85.6)+(0.025755+(0.139791-0.043656))+0-31.3-0.0159629999999968</f>
        <v>207.80592700000003</v>
      </c>
      <c r="L308" s="3">
        <f>50.5+(323.9-138.1)+(0+(0-0))+0-30.5-0</f>
        <v>205.79999999999998</v>
      </c>
      <c r="M308" s="3">
        <f>50.6+(319.8-143)+(-0.051612+(-0.326196--0.14586))+0-31.5--0.032130000000005</f>
        <v>195.70018200000001</v>
      </c>
      <c r="N308" s="3">
        <f>91.4+(250.7-125)+(0.093228+(0.255714-0.1275))+0-31.6-0.032232000000005</f>
        <v>185.68921</v>
      </c>
      <c r="O308" s="3">
        <f>137.2+(244.6-157)+(-0.209916+(-0.374238--0.24021))+0-32.9--0.0503370000000019</f>
        <v>191.606393</v>
      </c>
      <c r="P308" s="3">
        <f>142.8+(288.7-201.3)+(-0.218484+(-0.441711--0.307989))+0-32.9--0.0503370000000019</f>
        <v>196.998131</v>
      </c>
      <c r="Q308" s="3">
        <f>140.9+(314.7-216.3)+(-0.359295+(-0.802485--0.551565))+0-32.4--0.0826199999999953</f>
        <v>206.37240499999996</v>
      </c>
      <c r="R308" s="3">
        <f>141.8+(253.7-166.3)+(-0.144636+(-0.258774--0.169626))+0-31.6--0.032232000000005</f>
        <v>197.39844799999997</v>
      </c>
      <c r="S308" s="3">
        <f>141+(219.6-128.2)+(-0.07191+(-0.111996--0.065382))+0-31--0.0158099999999969</f>
        <v>201.29728599999999</v>
      </c>
      <c r="T308" s="3">
        <f>139.9+(182-90.6)+(-0.071349+(-0.09282--0.046206))+0-30.3--0.0154529999999969</f>
        <v>200.89749</v>
      </c>
      <c r="U308" s="3">
        <f>139.7+(172-77.4)+(-0.284988+(-0.35088--0.157896))+0-32.2--0.0656879999999986</f>
        <v>201.68771599999999</v>
      </c>
      <c r="V308" s="3">
        <f>139.9+(232.5-137)+(-0.071349+(-0.118575--0.06987))+0-31.9--0.0162689999999968</f>
        <v>203.39621499999998</v>
      </c>
      <c r="W308" s="3">
        <f>141.5+(407.6-291)+(0+(0-0))+0-31.5-0</f>
        <v>226.60000000000002</v>
      </c>
      <c r="X308" s="3">
        <f>141.3+(463.5-333.9)+(0.072063+(0.236385-0.170289))+0-31.8-0.0162179999999968</f>
        <v>239.22194099999999</v>
      </c>
      <c r="Y308" s="3">
        <f>141.4+(442.6-314.1)+(-0.144228+(-0.451452--0.320382))+0-32.1--0.0327420000000051</f>
        <v>237.55744399999998</v>
      </c>
      <c r="Z308" s="3">
        <f>143.1+(422.6-295.9)+(-0.145962+(-0.431052--0.301818))+0-31.8--0.0324360000000051</f>
        <v>237.75724000000008</v>
      </c>
      <c r="AA308" s="3">
        <f>143.7+(472.7-350.7)+(-0.219861+(-0.723231--0.536571))+0-32.4--0.0495720000000019</f>
        <v>232.943051</v>
      </c>
      <c r="AB308" s="3">
        <f>127.6+(503.6-369.4)+(-0.195228+(-0.770508--0.565182))+0-32.5--0.0497250000000019</f>
        <v>228.94917100000006</v>
      </c>
      <c r="AC308" s="3">
        <f>89.2+(431.9-269.3)+(-0.22746+(-1.101345--0.686715))+0-31.4--0.0800699999999954</f>
        <v>219.83797999999996</v>
      </c>
      <c r="AD308">
        <v>234.50000000000003</v>
      </c>
      <c r="AE308" s="3">
        <f>141+(445.2-320.3)+(0+(0-0))+0-31.4-0</f>
        <v>234.49999999999997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80.6+(482.9-312.8)+(-0.20553+(-1.231395--0.79764))+0-31.3--0.0798149999999955</f>
        <v>218.84052999999994</v>
      </c>
      <c r="G309" s="3">
        <f>50.6+(376-180.8)+(-0.103224+(-0.76704--0.368832))+0-31.1--0.0634439999999986</f>
        <v>214.262012</v>
      </c>
      <c r="H309" s="3">
        <f>50.5+(312.8-126.3)+(0.025755+(0.159528-0.064413))+0-31-0.0158099999999969</f>
        <v>206.10506000000001</v>
      </c>
      <c r="I309" s="3">
        <f>50.5+(334.2-145.2)+(0.05151+(0.340884-0.148104))+0-30.8-0.0314160000000049</f>
        <v>208.91287399999999</v>
      </c>
      <c r="J309" s="3">
        <f>50.6+(372.3-185.3)+(0.025806+(0.189873-0.094503))+0-30.7-0.0156569999999969</f>
        <v>207.00551899999999</v>
      </c>
      <c r="K309" s="3">
        <f>88.4+(288.4-133.4)+(0.045084+(0.147084-0.068034))+0-31.8-0.0162179999999968</f>
        <v>211.70791599999995</v>
      </c>
      <c r="L309" s="3">
        <f>91.1+(344.7-183.8)+(0.046461+(0.175797-0.093738))+0-31.4-0.0160139999999968</f>
        <v>220.71250599999999</v>
      </c>
      <c r="M309" s="3">
        <f>108+(401.9-248.7)+(0.05508+(0.204969-0.126837))+0-31.8-0.0162179999999968</f>
        <v>229.51699399999998</v>
      </c>
      <c r="N309" s="3">
        <f>141.1+(406.4-260.8)+(-0.071961+(-0.207264--0.133008))+0-32.1--0.0163709999999967</f>
        <v>254.47015399999995</v>
      </c>
      <c r="O309" s="3">
        <f>141.4+(395.9-239.2)+(0.216342+(0.605727-0.365976))+0-33-0.0504900000000019</f>
        <v>265.50560300000001</v>
      </c>
      <c r="P309" s="3">
        <f>141.5+(362-197.5)+(0.14433+(0.36924-0.20145))+0-33.3-0.0339660000000053</f>
        <v>272.97815399999996</v>
      </c>
      <c r="Q309" s="3">
        <f>141.4+(435.2-257.2)+(0.144228+(0.443904-0.262344))+0-32.9-0.0335580000000052</f>
        <v>286.79222999999996</v>
      </c>
      <c r="R309" s="3">
        <f>140.6+(494.2-318.6)+(-0.215118+(-0.756126--0.487458))+0-32.4--0.0495720000000019</f>
        <v>283.36578599999996</v>
      </c>
      <c r="S309" s="3">
        <f>140.5+(481.1-327.3)+(-0.28662+(-0.981444--0.667692))+0-31.9--0.0650759999999986</f>
        <v>261.86470400000002</v>
      </c>
      <c r="T309" s="3">
        <f>141.2+(520.8-364)+(-0.072012+(-0.265608--0.18564))+0-31.4--0.0160139999999968</f>
        <v>266.46403399999997</v>
      </c>
      <c r="U309" s="3">
        <f>141.1+(469.5-320.7)+(-0.215883+(-0.718335--0.490671))+0-30.4--0.0465120000000018</f>
        <v>259.10296499999998</v>
      </c>
      <c r="V309" s="3">
        <f>140.7+(471.5-316.7)+(-0.143514+(-0.48093--0.323034))+0-31.3--0.031926000000005</f>
        <v>263.93051600000001</v>
      </c>
      <c r="W309" s="3">
        <f>141.2+(361-182.5)+(0+(0-0))+0-32-0</f>
        <v>287.7</v>
      </c>
      <c r="X309" s="3">
        <f>140.6+(319.1-143.5)+(-0.286824+(-0.650964--0.29274))+0-33--0.0673199999999986</f>
        <v>282.62227200000007</v>
      </c>
      <c r="Y309" s="3">
        <f>140.5+(350-180.5)+(-0.358275+(-0.8925--0.460275))+0-33.2--0.0846599999999952</f>
        <v>276.09415999999999</v>
      </c>
      <c r="Z309" s="3">
        <f>141.8+(360.3-200.2)+(-0.144636+(-0.367506--0.204204))+0-33.1--0.0337620000000053</f>
        <v>268.52582400000006</v>
      </c>
      <c r="AA309" s="3">
        <f>144+(391.7-242.1)+(-0.07344+(-0.199767--0.123471))+0-32.9--0.0167789999999967</f>
        <v>260.56704300000001</v>
      </c>
      <c r="AB309" s="3">
        <f>144.1+(414.9-271.3)+(-0.367455+(-1.057995--0.691815))+0-32.9--0.0838949999999952</f>
        <v>254.15025999999992</v>
      </c>
      <c r="AC309" s="3">
        <f>145.8+(404.6-272.9)+(-0.148716+(-0.412692--0.278358))+0-32--0.0326400000000051</f>
        <v>245.24959000000007</v>
      </c>
      <c r="AD309">
        <v>291.5</v>
      </c>
      <c r="AE309" s="3">
        <f>141+(328.2-144.3)+(0+(0-0))+0-33.4-0</f>
        <v>291.5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144.7+(394.3-261.6)+(-0.368985+(-1.005465--0.66708))+0-31.8--0.0810899999999954</f>
        <v>244.97371999999993</v>
      </c>
      <c r="G310" s="3">
        <f>145.9+(389.7-265)+(-0.148818+(-0.397494--0.2703))+0-31.4--0.032028000000005</f>
        <v>238.95601600000003</v>
      </c>
      <c r="H310" s="3">
        <f>144.9+(391.3-270.7)+(-0.369495+(-0.997815--0.690285))+0-31.5--0.0803249999999954</f>
        <v>233.40329999999997</v>
      </c>
      <c r="I310" s="3">
        <f>73.3+(377.7-190.2)+(0+(0-0))+0-29.8-0</f>
        <v>231</v>
      </c>
      <c r="J310" s="3">
        <f>90.8+(355.9-186.5)+(0.046308+(0.181509-0.095115))+0-32-0.0163199999999968</f>
        <v>228.31638199999998</v>
      </c>
      <c r="K310" s="3">
        <f>90.9+(355.1-183.4)+(-0.046359+(-0.181101--0.093534))+0-31.8--0.0162179999999968</f>
        <v>230.68229200000005</v>
      </c>
      <c r="L310" s="3">
        <f>90.3+(391.8-216.9)+(-0.138159+(-0.599454--0.331857))+0-32--0.0489600000000018</f>
        <v>232.84320399999999</v>
      </c>
      <c r="M310" s="3">
        <f>90.3+(367-197.1)+(-0.092106+(-0.37434--0.201042))+0-31.9--0.0325380000000051</f>
        <v>228.06713400000001</v>
      </c>
      <c r="N310" s="3">
        <f>90.5+(349.7-165.8)+(-0.046155+(-0.178347--0.084558))+0-32.2--0.0164219999999967</f>
        <v>242.07647799999998</v>
      </c>
      <c r="O310" s="3">
        <f>100.8+(330.2-156.5)+(-0.051408+(-0.168402--0.079815))+0-32.7--0.0166769999999967</f>
        <v>241.676682</v>
      </c>
      <c r="P310" s="3">
        <f>141.2+(335.7-200.9)+(0+(0-0))+0-32.1-0</f>
        <v>243.9</v>
      </c>
      <c r="Q310" s="3">
        <f>141+(340.3-199.8)+(-0.07191+(-0.173553--0.101898))+0-30.3--0.0154529999999969</f>
        <v>251.07188799999997</v>
      </c>
      <c r="R310" s="3">
        <f>140.5+(375.3-237)+(-0.14331+(-0.382806--0.24174))+0-30.1--0.0307020000000048</f>
        <v>248.446326</v>
      </c>
      <c r="S310" s="3">
        <f>140.4+(269.6-137.4)+(-0.286416+(-0.549984--0.280296))+0-30.5--0.0622199999999987</f>
        <v>241.60611600000001</v>
      </c>
      <c r="T310" s="3">
        <f>140.7+(290.6-162.2)+(-0.143514+(-0.296412--0.165444))+0-31.2--0.031824000000005</f>
        <v>237.65734200000006</v>
      </c>
      <c r="U310" s="3">
        <f>139.3+(274.8-158.4)+(0.071043+(0.140148-0.080784))+0-28.9-0.0147389999999971</f>
        <v>226.91566800000001</v>
      </c>
      <c r="V310" s="3">
        <f>139.2+(214.2-91.6)+(0+(0-0))+0-32.1-0</f>
        <v>229.69999999999996</v>
      </c>
      <c r="W310" s="3">
        <f>139.9+(303.2-158.8)+(0.356745+(0.77316-0.40494))+0-32.3-0.0823649999999953</f>
        <v>252.64259999999996</v>
      </c>
      <c r="X310" s="3">
        <f>138.6+(385.9-231.9)+(-0.212058+(-0.590427--0.354807))+0-32.8--0.0501840000000019</f>
        <v>259.40250599999996</v>
      </c>
      <c r="Y310" s="3">
        <f>138.3+(411-257.2)+(-0.282132+(-0.83844--0.524688))+0-32.9--0.0671159999999986</f>
        <v>258.67123200000003</v>
      </c>
      <c r="Z310" s="3">
        <f>141+(474.2-324.1)+(-0.07191+(-0.241842--0.165291))+0-32.6--0.0166259999999967</f>
        <v>258.36816499999992</v>
      </c>
      <c r="AA310" s="3">
        <f>141.3+(526.6-380.4)+(0.072063+(0.268566-0.194004))+0-33.3-0.0169829999999966</f>
        <v>254.32964200000001</v>
      </c>
      <c r="AB310" s="3">
        <f>141.1+(499.1-362.5)+(-0.143922+(-0.509082--0.36975))+0-32.5--0.0331500000000052</f>
        <v>244.94989600000005</v>
      </c>
      <c r="AC310" s="3">
        <f>140.4+(462.7-335)+(-0.286416+(-0.943908--0.6834))+0-31.6--0.0644639999999986</f>
        <v>236.01754000000003</v>
      </c>
      <c r="AD310">
        <v>266.20000000000005</v>
      </c>
      <c r="AE310" s="3">
        <f>139+(403.7-242.9)+(0+(0-0))+0-33.6-0</f>
        <v>266.19999999999993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141.7+(443.8-316.4)+(0+(0-0))+0-32.4-0</f>
        <v>236.70000000000002</v>
      </c>
      <c r="G311" s="3">
        <f>113.7+(312.8-161.2)+(-0.115974+(-0.319056--0.164424))+0-32.4--0.0330480000000052</f>
        <v>232.66244200000003</v>
      </c>
      <c r="H311" s="3">
        <f>75.4+(293.4-108.9)+(-0.038454+(-0.149634--0.055539))+0-32.5--0.0165749999999967</f>
        <v>227.28402599999998</v>
      </c>
      <c r="I311" s="3">
        <f>76+(312.2-123.5)+(0.03876+(0.159222-0.062985))+0-32.6-0.0166259999999967</f>
        <v>232.21837099999999</v>
      </c>
      <c r="J311" s="3">
        <f>75.8+(305.3-117.8)+(0.038658+(0.155703-0.060078))+0-32.6-0.0166259999999967</f>
        <v>230.817657</v>
      </c>
      <c r="K311" s="3">
        <f>75.8+(335.9-144.7)+(0.077316+(0.342618-0.147594))+0-32.7-0.0333540000000052</f>
        <v>234.53898599999999</v>
      </c>
      <c r="L311" s="3">
        <f>75.9+(403.4-200.9)+(0.038709+(0.205734-0.102459))+0-32.3-0.0164729999999967</f>
        <v>246.22551099999995</v>
      </c>
      <c r="M311" s="3">
        <f>111.5+(388.4-207.9)+(0+(0-0))+0-32.6-0</f>
        <v>259.39999999999998</v>
      </c>
      <c r="N311" s="3">
        <f>144.3+(295.1-124.5)+(0.147186+(0.301002-0.12699))+0-33.2-0.0338640000000053</f>
        <v>281.98733400000003</v>
      </c>
      <c r="O311" s="3">
        <f>143.7+(290.4-105.9)+(0.146574+(0.296208-0.108018))+0-30.6-0.0312120000000049</f>
        <v>297.90355199999993</v>
      </c>
      <c r="P311" s="3">
        <f>143.1+(274.2-88.1)+(0+(0-0))+0-32.5-0</f>
        <v>296.7</v>
      </c>
      <c r="Q311" s="3">
        <f>141.6+(285-94.9)+(0.072216+(0.14535-0.048399))+0-32-0.0163199999999968</f>
        <v>299.852847</v>
      </c>
      <c r="R311" s="3">
        <f>140.6+(290.9-106.4)+(-0.215118+(-0.445077--0.162792))+0-29.2--0.0446760000000017</f>
        <v>295.44727299999994</v>
      </c>
      <c r="S311" s="3">
        <f>141.1+(329-157.8)+(0+(0-0))+0-32.8-0</f>
        <v>279.49999999999994</v>
      </c>
      <c r="T311" s="3">
        <f>141+(377.7-206.1)+(0.14382+(0.385254-0.210222))+0-32.2-0.0328440000000051</f>
        <v>280.68600800000002</v>
      </c>
      <c r="U311" s="3">
        <f>140+(401-230.3)+(-0.0714+(-0.20451--0.117453))+0-32--0.0163199999999968</f>
        <v>278.557863</v>
      </c>
      <c r="V311" s="3">
        <f>140.2+(428.5-261.8)+(0+(0-0))+0-31.8-0</f>
        <v>275.09999999999997</v>
      </c>
      <c r="W311" s="3">
        <f>140.2+(381.1-197)+(0.071502+(0.194361-0.10047))+0-29.7-0.015146999999997</f>
        <v>294.750246</v>
      </c>
      <c r="X311" s="3">
        <f>140.9+(356.4-167.9)+(-0.143718+(-0.363528--0.171258))+0-32.5--0.0331500000000052</f>
        <v>296.59716199999997</v>
      </c>
      <c r="Y311" s="3">
        <f>141+(376.7-195)+(-0.14382+(-0.384234--0.1989))+0-32--0.0326400000000051</f>
        <v>290.40348599999999</v>
      </c>
      <c r="Z311" s="3">
        <f>140.9+(437.1-264.7)+(-0.143718+(-0.445842--0.269994))+0-30.4--0.0310080000000048</f>
        <v>282.61144200000007</v>
      </c>
      <c r="AA311" s="3">
        <f>142.3+(516.5-353)+(-0.145146+(-0.52683--0.36006))+0-33.1--0.0337620000000053</f>
        <v>272.42184600000002</v>
      </c>
      <c r="AB311" s="3">
        <f>142.9+(526-369.7)+(-0.072879+(-0.26826--0.188547))+0-33--0.0168299999999967</f>
        <v>266.06423799999999</v>
      </c>
      <c r="AC311" s="3">
        <f>142+(521.5-374.5)+(-0.28968+(-1.06386--0.76398))+0-32--0.0652799999999986</f>
        <v>256.47571999999997</v>
      </c>
      <c r="AD311">
        <v>296.3</v>
      </c>
      <c r="AE311" s="3">
        <f>141+(383.7-195.8)+(0+(0-0))+0-32.6-0</f>
        <v>296.29999999999995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143.3+(519.1-374.1)+(0+(0-0))+0-32.6-0</f>
        <v>255.70000000000002</v>
      </c>
      <c r="G312" s="3">
        <f>142.9+(453.7-313.1)+(-0.072879+(-0.231387--0.159681))+0-32.3--0.0164729999999967</f>
        <v>251.07188799999997</v>
      </c>
      <c r="H312" s="3">
        <f>128+(444.1-293.5)+(0+(0-0))+0-32.4-0</f>
        <v>246.20000000000002</v>
      </c>
      <c r="I312" s="3">
        <f>81.3+(366.1-174)+(0.124389+(0.560133-0.26622))+0-32.5-0.0497250000000019</f>
        <v>241.26857700000002</v>
      </c>
      <c r="J312" s="3">
        <f>80.6+(342.3-150.9)+(0+(0-0))+0-30.1-0</f>
        <v>241.9</v>
      </c>
      <c r="K312" s="3">
        <f>100.4+(356.3-189)+(0.307224+(1.090278-0.57834))+0-28.2-0.0862920000000033</f>
        <v>240.23287000000005</v>
      </c>
      <c r="L312" s="3">
        <f>109.4+(480.7-307.3)+(0.055794+(0.245157-0.156723))+0-32.1-0.0163709999999967</f>
        <v>250.82785699999997</v>
      </c>
      <c r="M312" s="3">
        <f>167.9+(500-378.7)+(0.171258+(0.51-0.386274))+0-31.9-0.0325380000000051</f>
        <v>257.56244600000008</v>
      </c>
      <c r="N312" s="3">
        <f>214.4+(530.3-431.2)+(0.437376+(1.081812-0.879648))+0-31.9-0.0650759999999986</f>
        <v>282.17446400000006</v>
      </c>
      <c r="O312" s="3">
        <f>141.3+(525.8-344.2)+(0.288252+(1.072632-0.702168))+0-32.4-0.0660959999999986</f>
        <v>291.09262000000001</v>
      </c>
      <c r="P312" s="3">
        <f>140.5+(513.2-321.9)+(0.071655+(0.261732-0.164169))+0-33.1-0.0168809999999966</f>
        <v>298.85233700000003</v>
      </c>
      <c r="Q312" s="3">
        <f>140.1+(565.4-370.6)+(0+(0-0))+0-32.9-0</f>
        <v>302</v>
      </c>
      <c r="R312" s="3">
        <f>139.3+(558.5-370.8)+(-0.355215+(-1.424175--0.94554))+0-32.4--0.0826199999999953</f>
        <v>293.84877000000006</v>
      </c>
      <c r="S312" s="3">
        <f>139.3+(603.1-443.7)+(-0.142086+(-0.615162--0.452574))+0-26.5--0.0270300000000042</f>
        <v>271.92235600000009</v>
      </c>
      <c r="T312" s="3">
        <f>137.5+(647.1-485.5)+(0.14025+(0.660042-0.49521))+0-33-0.0336600000000053</f>
        <v>266.37142200000005</v>
      </c>
      <c r="U312" s="3">
        <f>138.2+(644.9-492.7)+(0+(0-0))+0-31.8-0</f>
        <v>258.59999999999997</v>
      </c>
      <c r="V312" s="3">
        <f>138+(597.4-450.2)+(0.14076+(0.609348-0.459204))+0-33.4-0.0340680000000053</f>
        <v>252.05683599999998</v>
      </c>
      <c r="W312" s="3">
        <f>138.4+(436-269.4)+(0.211752+(0.66708-0.412182))+0-33.8-0.0517140000000019</f>
        <v>271.614936</v>
      </c>
      <c r="X312" s="3">
        <f>140+(391.9-219.9)+(-0.0714+(-0.199869--0.112149))+0-33.5--0.0170849999999966</f>
        <v>278.35796500000004</v>
      </c>
      <c r="Y312" s="3">
        <f>141.9+(417.8-255.8)+(-0.144738+(-0.426156--0.260916))+0-34.2--0.0348840000000055</f>
        <v>269.42490600000002</v>
      </c>
      <c r="Z312" s="3">
        <f>142+(484.2-329.4)+(-0.14484+(-0.493884--0.335988))+0-33.6--0.0342720000000054</f>
        <v>262.93153599999999</v>
      </c>
      <c r="AA312" s="3">
        <f>142.2+(554.5-413.3)+(-0.072522+(-0.282795--0.210783))+0-33.6--0.0171359999999966</f>
        <v>249.67260199999996</v>
      </c>
      <c r="AB312" s="3">
        <f>140.1+(570.8-428.7)+(-0.571608+(-2.328864--1.749096))+0-32.6--0.133007999999997</f>
        <v>248.5816319999999</v>
      </c>
      <c r="AC312" s="3">
        <f>141.4+(562-428.5)+(-0.216342+(-0.85986--0.655605))+0-32.3--0.0494190000000019</f>
        <v>242.22882199999998</v>
      </c>
      <c r="AD312">
        <v>280.40000000000003</v>
      </c>
      <c r="AE312" s="3">
        <f>140+(396.1-222.4)+(0+(0-0))+0-33.3-0</f>
        <v>280.40000000000003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142.2+(559.1-426.1)+(0.072522+(0.285141-0.217311))+0-31.8-0.0162179999999968</f>
        <v>243.52413399999998</v>
      </c>
      <c r="G313" s="3">
        <f>142.7+(545.6-420.9)+(-0.072777+(-0.278256--0.214659))+0-32--0.0163199999999968</f>
        <v>235.27994600000005</v>
      </c>
      <c r="H313" s="3">
        <f>144.2+(434.2-316.8)+(0+(0-0))+0-32-0</f>
        <v>229.59999999999997</v>
      </c>
      <c r="I313" s="3">
        <f>144.6+(393.1-281.1)+(0.147492+(0.400962-0.286722))+0-32.2-0.0328440000000051</f>
        <v>224.62888800000002</v>
      </c>
      <c r="J313" s="3">
        <f>143.2+(345.1-233)+(-0.292128+(-0.704004--0.47532))+0-31.7--0.0646679999999986</f>
        <v>223.14385600000003</v>
      </c>
      <c r="K313" s="3">
        <f>143.6+(326.6-216.8)+(-0.219708+(-0.499698--0.331704))+0-31.9--0.0488070000000018</f>
        <v>221.16110500000002</v>
      </c>
      <c r="L313" s="3">
        <f>141.9+(357.7-250.3)+(-0.578952+(-1.459416--1.021224))+0-31.8--0.129743999999997</f>
        <v>216.61259999999996</v>
      </c>
      <c r="M313" s="3">
        <f>143.5+(398.5-302.8)+(-0.073185+(-0.203235--0.154428))+0-31.9--0.0162689999999968</f>
        <v>207.19427699999997</v>
      </c>
      <c r="N313" s="3">
        <f>143.1+(517.8-431)+(0+(0-0))+0-28.4-0</f>
        <v>201.49999999999994</v>
      </c>
      <c r="O313" s="3">
        <f>140.6+(655.2-548.3)+(-0.143412+(-0.668304--0.559266))+0-32.3--0.0329460000000051</f>
        <v>214.9804960000001</v>
      </c>
      <c r="P313" s="3">
        <f>140.5+(665.2-548.3)+(0+(0-0))+0-32.5-0</f>
        <v>224.90000000000009</v>
      </c>
      <c r="Q313" s="3">
        <f>140.2+(636.9-521.2)+(-0.143004+(-0.649638--0.531624))+0-30.1--0.0307020000000048</f>
        <v>225.56968399999991</v>
      </c>
      <c r="R313" s="3">
        <f>138.3+(619.7-503.4)+(-0.282132+(-1.264188--1.026936))+0-32--0.0652799999999986</f>
        <v>222.14589600000008</v>
      </c>
      <c r="S313" s="3">
        <f>136.6+(601.8-491)+(-0.139332+(-0.613836--0.50082))+0-31.2--0.031824000000005</f>
        <v>215.97947599999995</v>
      </c>
      <c r="T313" s="3">
        <f>110.2+(614.2-481.2)+(-0.224808+(-1.252968--0.981648))+0-32.3--0.0658919999999986</f>
        <v>210.46976400000003</v>
      </c>
      <c r="U313" s="3">
        <f>110.8+(615.4-491.5)+(-0.056508+(-0.313854--0.250665))+0-32.1--0.0163709999999967</f>
        <v>202.49667399999998</v>
      </c>
      <c r="V313" s="3">
        <f>110.7+(553.4-425)+(-0.169371+(-0.846702--0.65025))+0-32--0.0489600000000018</f>
        <v>206.78313699999995</v>
      </c>
      <c r="W313" s="3">
        <f>121.7+(467.7-330.1)+(0.062067+(0.238527-0.168351))+0-32.1-0.0163709999999967</f>
        <v>227.31587199999998</v>
      </c>
      <c r="X313" s="3">
        <f>135.9+(447-307.7)+(-0.138618+(-0.45594--0.313854))+0-31.7--0.0323340000000051</f>
        <v>243.25163000000003</v>
      </c>
      <c r="Y313" s="3">
        <f>136.2+(478.6-342.9)+(0+(0-0))+0-31.3-0</f>
        <v>240.60000000000002</v>
      </c>
      <c r="Z313" s="3">
        <f>135.6+(495.2-362.1)+(-0.138312+(-0.505104--0.369342))+0-31.5--0.032130000000005</f>
        <v>236.95805599999994</v>
      </c>
      <c r="AA313" s="3">
        <f>138.5+(526.3-397.7)+(-0.14127+(-0.536826--0.405654))+0-31.8--0.0324360000000051</f>
        <v>235.05999399999996</v>
      </c>
      <c r="AB313" s="3">
        <f>140.2+(533.4-412.5)+(-0.071502+(-0.272034--0.210375))+0-29.6--0.015095999999997</f>
        <v>231.381935</v>
      </c>
      <c r="AC313" s="3">
        <f>140.4+(427.1-311.3)+(-0.286416+(-0.871284--0.635052))+0-30.7--0.0626279999999987</f>
        <v>225.03998000000004</v>
      </c>
      <c r="AD313">
        <v>243.79999999999998</v>
      </c>
      <c r="AE313" s="3">
        <f>135+(456-315.6)+(0+(0-0))+0-31.6-0</f>
        <v>243.79999999999998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139.7+(381-271.2)+(-0.356235+(-0.97155--0.69156))+0-29--0.0739499999999958</f>
        <v>219.937725</v>
      </c>
      <c r="G314" s="3">
        <f>106.6+(299.6-149.5)+(-0.108732+(-0.305592--0.15249))+0-32.3--0.0329460000000051</f>
        <v>224.17111200000002</v>
      </c>
      <c r="H314" s="3">
        <f>84.7+(273.8-106.6)+(-0.172788+(-0.558552--0.217464))+0-32.2--0.0656879999999986</f>
        <v>219.251812</v>
      </c>
      <c r="I314" s="3">
        <f>85.2+(251.2-89.5)+(-0.130356+(-0.384336--0.136935))+0-33.4--0.0511020000000019</f>
        <v>213.17334499999998</v>
      </c>
      <c r="J314" s="3">
        <f>86.2+(251.5-92.2)+(0.087924+(0.25653-0.094044))+0-30.1-0.0307020000000048</f>
        <v>215.619708</v>
      </c>
      <c r="K314" s="3">
        <f>102.4+(203.3-57.9)+(-0.104448+(-0.207366--0.059058))+0-27.9--0.0284580000000044</f>
        <v>219.675702</v>
      </c>
      <c r="L314" s="3">
        <f>131.1+(311-175.7)+(0.066861+(0.15861-0.089607))+0-32.4-0.0165239999999967</f>
        <v>234.11933999999999</v>
      </c>
      <c r="M314" s="3">
        <f>131.3+(397.8-243.3)+(0.066963+(0.202878-0.124083))+0-30.5-0.0155549999999969</f>
        <v>255.43020300000001</v>
      </c>
      <c r="N314" s="3">
        <f>138.3+(429.7-259.8)+(0.141066+(0.438294-0.264996))+0-30.7-0.0313140000000049</f>
        <v>277.78305</v>
      </c>
      <c r="O314" s="3">
        <f>135+(398-204.1)+(-0.06885+(-0.20298--0.104091))+0-31.2--0.0159119999999968</f>
        <v>297.54817300000002</v>
      </c>
      <c r="P314" s="3">
        <f>134.9+(382.9-183.2)+(-0.137598+(-0.390558--0.186864))+0-33.1--0.0337620000000053</f>
        <v>301.19247000000001</v>
      </c>
      <c r="Q314" s="3">
        <f>134.1+(393.7-171.8)+(-0.136782+(-0.401574--0.175236))+0-33.3--0.0339660000000053</f>
        <v>322.37084600000003</v>
      </c>
      <c r="R314" s="3">
        <f>131.9+(416.2-214.8)+(-0.403614+(-1.273572--0.657288))+0-32.1--0.0982260000000037</f>
        <v>300.27832799999993</v>
      </c>
      <c r="S314" s="3">
        <f>132.2+(448.7-268.2)+(-0.202266+(-0.686511--0.410346))+0-32.5--0.0497250000000019</f>
        <v>279.77129400000001</v>
      </c>
      <c r="T314" s="3">
        <f>130.3+(458.5-273.6)+(-0.066453+(-0.233835--0.139536))+0-32.6--0.0166259999999967</f>
        <v>282.45587399999994</v>
      </c>
      <c r="U314" s="3">
        <f>130+(432.6-264)+(-0.1989+(-0.661878--0.40392))+0-31--0.0474300000000018</f>
        <v>267.19057200000003</v>
      </c>
      <c r="V314" s="3">
        <f>131+(432.3-251.1)+(0.06681+(0.220473-0.128061))+0-29.9-0.015248999999997</f>
        <v>282.44397300000008</v>
      </c>
      <c r="W314" s="3">
        <f>131.4+(291.3-88.9)+(-0.067014+(-0.148563--0.045339))+0-31.9--0.0162689999999968</f>
        <v>301.74603100000007</v>
      </c>
      <c r="X314" s="3">
        <f>133.1+(265.4-56.7)+(0.135762+(0.270708-0.057834))+0-33-0.0336600000000053</f>
        <v>309.11497599999996</v>
      </c>
      <c r="Y314" s="3">
        <f>133.8+(259.9-59.7)+(-0.34119+(-0.662745--0.152235))+0-33.7--0.0859349999999951</f>
        <v>299.53423500000002</v>
      </c>
      <c r="Z314" s="3">
        <f>135.8+(281.1-86.3)+(-0.207774+(-0.430083--0.132039))+0-31.4--0.0480420000000018</f>
        <v>298.74222400000008</v>
      </c>
      <c r="AA314" s="3">
        <f>134.8+(301.1-117.5)+(-0.481236+(-1.074927--0.419475))+0-32.3--0.115311</f>
        <v>285.07862300000005</v>
      </c>
      <c r="AB314" s="3">
        <f>136.3+(352.8-184.2)+(-0.278052+(-0.719712--0.375768))+0-27.8--0.0567119999999988</f>
        <v>276.534716</v>
      </c>
      <c r="AC314" s="3">
        <f>118.6+(367.4-187.7)+(-0.30243+(-0.93687--0.478635))+0-29.3--0.0747149999999958</f>
        <v>268.3140499999999</v>
      </c>
      <c r="AD314">
        <v>319.3</v>
      </c>
      <c r="AE314" s="3">
        <f>133+(269.5-49.9)+(0+(0-0))+0-33.3-0</f>
        <v>319.3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100.8+(278.2-82.2)+(0+(0-0))+0-29.6-0</f>
        <v>267.2</v>
      </c>
      <c r="G315" s="3">
        <f>81.8+(229.1-15.7)+(-0.20859+(-0.584205--0.040035))+0-29.6--0.0754799999999957</f>
        <v>264.92271999999991</v>
      </c>
      <c r="H315" s="3">
        <f>50.5+(247.4-1.6)+(-0.077265+(-0.378522--0.002448))+0-29.8--0.0455940000000017</f>
        <v>266.09225499999997</v>
      </c>
      <c r="I315" s="3">
        <f>55.1+(257.2-12.1)+(-0.112404+(-0.524688--0.024684))+0-31.2--0.0636479999999986</f>
        <v>268.45123999999998</v>
      </c>
      <c r="J315" s="3">
        <f>76.1+(320.1-99.7)+(0.116433+(0.489753-0.152541))+0-31-0.0474300000000018</f>
        <v>265.90621499999997</v>
      </c>
      <c r="K315" s="3">
        <f>75.7+(328.5-110.2)+(-0.038607+(-0.167535--0.056202))+0-28.9--0.0147389999999971</f>
        <v>264.96479900000003</v>
      </c>
      <c r="L315" s="3">
        <f>75.8+(398.5-172)+(0+(0-0))+0-30.2-0</f>
        <v>272.10000000000002</v>
      </c>
      <c r="M315" s="3">
        <f>75.8+(441.9-217.3)+(0.038658+(0.225369-0.110823))+0-30.6-0.0156059999999969</f>
        <v>269.93759799999998</v>
      </c>
      <c r="N315" s="3">
        <f>133.4+(528.2-323)+(-0.204102+(-0.808146--0.49419))+0-30.2--0.0462060000000017</f>
        <v>307.92814800000002</v>
      </c>
      <c r="O315" s="3">
        <f>139.5+(502.8-291.7)+(-0.071145+(-0.256428--0.148767))+0-31.2--0.0159119999999968</f>
        <v>319.23710600000004</v>
      </c>
      <c r="P315" s="3">
        <f>141.9+(465.8-255.2)+(-0.289476+(-0.950232--0.520608))+0-30.9--0.0630359999999986</f>
        <v>320.94393600000001</v>
      </c>
      <c r="Q315" s="3">
        <f>138.8+(467.9-254.6)+(-0.212364+(-0.715887--0.389538))+0-30--0.0459000000000017</f>
        <v>321.60718700000007</v>
      </c>
      <c r="R315" s="3">
        <f>137.7+(434.1-231.3)+(-0.491589+(-1.549737--0.825741))+0-29.8--0.106386</f>
        <v>309.590801</v>
      </c>
      <c r="S315" s="3">
        <f>74.8+(424.1-174.2)+(-0.114444+(-0.648873--0.266526))+0-31.6--0.0483480000000018</f>
        <v>292.65155700000003</v>
      </c>
      <c r="T315" s="3">
        <f>70.3+(414.5-160.6)+(-0.035853+(-0.211395--0.081906))+0-31.1--0.0158609999999968</f>
        <v>292.95051899999993</v>
      </c>
      <c r="U315" s="3">
        <f>71+(417.1-167.1)+(0.03621+(0.212721-0.085221))+0-30.9-0.0157589999999969</f>
        <v>290.247951</v>
      </c>
      <c r="V315" s="3">
        <f>70.3+(429.4-185.8)+(-0.071706+(-0.437988--0.189516))+0-29.5--0.0300900000000047</f>
        <v>284.10991200000001</v>
      </c>
      <c r="W315" s="3">
        <f>70.6+(348-87.4)+(0+(0-0))+0-30.1-0</f>
        <v>301.10000000000002</v>
      </c>
      <c r="X315" s="3">
        <f>130.2+(349.2-145.5)+(-0.066402+(-0.178092--0.074205))+0-27.3--0.0139229999999972</f>
        <v>306.44363399999992</v>
      </c>
      <c r="Y315" s="3">
        <f>137.2+(319-124.6)+(-0.209916+(-0.48807--0.190638))+0-29.1--0.0445230000000017</f>
        <v>302.03717500000005</v>
      </c>
      <c r="Z315" s="3">
        <f>137.3+(368.7-185)+(-0.350115+(-0.940185--0.47175))+0-24.4--0.0622199999999965</f>
        <v>295.84367000000003</v>
      </c>
      <c r="AA315" s="3">
        <f>139.7+(466.2-289.1)+(-0.284988+(-0.951048--0.589764))+0-29.7--0.0605879999999987</f>
        <v>286.51431599999995</v>
      </c>
      <c r="AB315" s="3">
        <f>140.3+(464.2-296.5)+(-0.357765+(-1.18371--0.756075))+0-28.8--0.0734399999999958</f>
        <v>278.48804000000001</v>
      </c>
      <c r="AC315" s="3">
        <f>135.9+(505.8-345)+(-0.277236+(-1.031832--0.7038))+0-27.9--0.0569159999999988</f>
        <v>268.25164800000005</v>
      </c>
      <c r="AD315">
        <v>311.8</v>
      </c>
      <c r="AE315" s="3">
        <f>131+(346.1-139.3)+(0+(0-0))+0-26-0</f>
        <v>311.8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142.2+(326.5-183.2)+(-0.290088+(-0.66606--0.373728))+0-27.7--0.0565079999999988</f>
        <v>257.27408800000001</v>
      </c>
      <c r="G316" s="3">
        <f>93.5+(406.7-215.6)+(-0.238425+(-1.037085--0.54978))+0-29--0.0739499999999958</f>
        <v>254.94822000000002</v>
      </c>
      <c r="H316" s="3">
        <f>50.5+(461.1-228.9)+(-0.077265+(-0.705483--0.350217))+0-29--0.0443700000000017</f>
        <v>253.31183900000008</v>
      </c>
      <c r="I316" s="3">
        <f>50.5+(485.1-250.5)+(-0.025755+(-0.247401--0.127755))+0-29.1--0.014840999999997</f>
        <v>255.86944000000003</v>
      </c>
      <c r="J316" s="3">
        <f>50.5+(449.6-215)+(-0.10302+(-0.917184--0.4386))+0-28.6--0.0583439999999988</f>
        <v>255.97674000000001</v>
      </c>
      <c r="K316" s="3">
        <f>96.5+(439.1-251.9)+(0+(0-0))+0-29.2-0</f>
        <v>254.50000000000006</v>
      </c>
      <c r="L316" s="3">
        <f>143.8+(471.3-319.9)+(-0.146676+(-0.480726--0.326298))+0-29.3--0.0298860000000047</f>
        <v>265.628782</v>
      </c>
      <c r="M316" s="3">
        <f>143.7+(566.2-404.2)+(0.219861+(0.866286-0.618426))+0-29.6-0.0452880000000017</f>
        <v>276.52243299999998</v>
      </c>
      <c r="N316" s="3">
        <f>144.2+(649-470.7)+(0+(0-0))+0-17.9-0</f>
        <v>304.60000000000002</v>
      </c>
      <c r="O316" s="3">
        <f>144.3+(637.7-400.3)+(0+(0-0))+0-27.6-0</f>
        <v>354.1</v>
      </c>
      <c r="P316" s="3">
        <f>143.8+(615.9-352.1)+(-0.220014+(-0.942327--0.538713))+0-29.9--0.0457470000000017</f>
        <v>377.122119</v>
      </c>
      <c r="Q316" s="3">
        <f>143+(655.8-420.7)+(-0.14586+(-0.668916--0.429114))+0-31.3--0.031926000000005</f>
        <v>346.44626399999993</v>
      </c>
      <c r="R316" s="3">
        <f>139.8+(627.4-413)+(-0.285192+(-1.279896--0.84252))+0-30.6--0.0624239999999987</f>
        <v>322.93985599999996</v>
      </c>
      <c r="S316" s="3">
        <f>139+(681.3-481.2)+(-0.35445+(-1.737315--1.22706))+0-29.2--0.0744599999999958</f>
        <v>309.10975499999995</v>
      </c>
      <c r="T316" s="3">
        <f>140+(696.8-499.5)+(0.1428+(0.710736-0.50949))+0-30.5-0.0311100000000049</f>
        <v>307.11293599999993</v>
      </c>
      <c r="U316" s="3">
        <f>139.1+(686.5-500)+(0+(0-0))+0-27.8-0</f>
        <v>297.8</v>
      </c>
      <c r="V316" s="3">
        <f>138.9+(640.9-447.9)+(-0.141678+(-0.653718--0.456858))+0-30.4--0.0310080000000048</f>
        <v>301.19246999999996</v>
      </c>
      <c r="W316" s="3">
        <f>139.3+(462.3-263.2)+(0.142086+(0.471546-0.268464))+0-27.4-0.0279480000000044</f>
        <v>311.31722000000008</v>
      </c>
      <c r="X316" s="3">
        <f>138.9+(429-218.7)+(-0.283356+(-0.87516--0.446148))+0-29.9--0.0609959999999987</f>
        <v>318.64862800000003</v>
      </c>
      <c r="Y316" s="3">
        <f>140.4+(454.8-253.2)+(-0.286416+(-0.927792--0.516528))+0-30.9--0.0630359999999986</f>
        <v>310.46535600000004</v>
      </c>
      <c r="Z316" s="3">
        <f>111.2+(492.1-268.3)+(-0.113424+(-0.501942--0.273666))+0-30.5--0.0311100000000049</f>
        <v>304.18941000000001</v>
      </c>
      <c r="AA316" s="3">
        <f>80.1+(531.2-282.2)+(-0.081702+(-0.541824--0.287844))+0-31.5--0.032130000000005</f>
        <v>297.296448</v>
      </c>
      <c r="AB316" s="3">
        <f>80+(503.6-272.5)+(-0.1224+(-0.770508--0.416925))+0-29.4--0.0449820000000017</f>
        <v>281.26899900000006</v>
      </c>
      <c r="AC316" s="3">
        <f>79.6+(418.7-198.3)+(-0.20298+(-1.067685--0.505665))+0-30--0.0764999999999956</f>
        <v>269.31150000000002</v>
      </c>
      <c r="AD316">
        <v>318.3</v>
      </c>
      <c r="AE316" s="3">
        <f>138+(426.4-217.9)+(0+(0-0))+0-28.2-0</f>
        <v>318.3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80+(413.9-200.4)+(-0.1632+(-0.844356--0.408816))+0-30--0.0611999999999987</f>
        <v>262.96245999999996</v>
      </c>
      <c r="G317" s="3">
        <f>79.9+(422.4-215.8)+(-0.122247+(-0.646272--0.330174))+0-30.6--0.0468180000000018</f>
        <v>255.50847299999998</v>
      </c>
      <c r="H317" s="3">
        <f>79.4+(349.3-145.4)+(-0.20247+(-0.890715--0.37077))+0-31.7--0.0808349999999954</f>
        <v>250.95842000000002</v>
      </c>
      <c r="I317" s="3">
        <f>80.5+(372.4-169.4)+(-0.041055+(-0.189924--0.086394))+0-31.4--0.0160139999999968</f>
        <v>251.97142899999997</v>
      </c>
      <c r="J317" s="3">
        <f>80.8+(369.2-170.3)+(0+(0-0))+0-30.3-0</f>
        <v>249.39999999999998</v>
      </c>
      <c r="K317" s="3">
        <f>80.6+(412.7-214)+(-0.041106+(-0.210477--0.10914))+0-30.8--0.0157079999999969</f>
        <v>248.37326499999992</v>
      </c>
      <c r="L317" s="3">
        <f>100.1+(619.3-426.1)+(-0.102102+(-0.631686--0.434622))+0-30.6--0.0312120000000049</f>
        <v>262.4320459999999</v>
      </c>
      <c r="M317" s="3">
        <f>141.2+(668.6-498.7)+(0.144024+(0.681972-0.508674))+0-30.8-0.0314160000000049</f>
        <v>280.58590600000002</v>
      </c>
      <c r="N317" s="3">
        <f>141.4+(720.8-525)+(0.144228+(0.735216-0.5355))+0-31-0.0316200000000049</f>
        <v>306.51232399999992</v>
      </c>
      <c r="O317" s="3">
        <f>141.3+(694.2-483.5)+(0.144126+(0.708084-0.49317))+0-31.8-0.0324360000000051</f>
        <v>320.52660400000002</v>
      </c>
      <c r="P317" s="3">
        <f>140.6+(679.5-461)+(0+(0-0))+0-29.7-0</f>
        <v>329.40000000000003</v>
      </c>
      <c r="Q317" s="3">
        <f>144+(700.3-474.1)+(0.07344+(0.357153-0.241791))+0-32.4-0.0165239999999967</f>
        <v>337.97227799999996</v>
      </c>
      <c r="R317" s="3">
        <f>138.7+(707.4-497.6)+(-0.212211+(-1.082322--0.761328))+0-32.2--0.0492660000000019</f>
        <v>315.81606099999993</v>
      </c>
      <c r="S317" s="3">
        <f>138.7+(719-523.7)+(-0.141474+(-0.73338--0.534174))+0-33--0.0336600000000053</f>
        <v>300.69297999999992</v>
      </c>
      <c r="T317" s="3">
        <f>138.1+(741.4-548.9)+(0.070431+(0.378114-0.279939))+0-31.8-0.0162179999999968</f>
        <v>298.95238800000004</v>
      </c>
      <c r="U317" s="3">
        <f>137.5+(756-564.5)+(-0.350625+(-1.9278--1.439475))+0-32.6--0.0831299999999953</f>
        <v>295.64417999999995</v>
      </c>
      <c r="V317" s="3">
        <f>138.9+(695-500.5)+(0+(0-0))+0-32-0</f>
        <v>301.39999999999998</v>
      </c>
      <c r="W317" s="3">
        <f>138.1+(524-312.3)+(-0.140862+(-0.53448--0.318546))+0-32.9--0.0335580000000052</f>
        <v>316.57676200000003</v>
      </c>
      <c r="X317" s="3">
        <f>138.1+(579.7-364.9)+(-0.070431+(-0.295647--0.186099))+0-31.4--0.0160139999999968</f>
        <v>321.33603500000009</v>
      </c>
      <c r="Y317" s="3">
        <f>137.6+(562.4-361.9)+(-0.210528+(-0.860472--0.553707))+0-31.4--0.0480420000000018</f>
        <v>306.23074900000006</v>
      </c>
      <c r="Z317" s="3">
        <f>138.3+(617.7-428)+(-0.282132+(-1.260108--0.87312))+0-32--0.0652799999999986</f>
        <v>295.39616000000001</v>
      </c>
      <c r="AA317" s="3">
        <f>138.4+(639.7-448.4)+(-0.282336+(-1.304988--0.914736))+0-31.8--0.0648719999999986</f>
        <v>297.292284</v>
      </c>
      <c r="AB317" s="3">
        <f>138.1+(601.5-418.9)+(-0.211293+(-0.920295--0.640917))+0-31.2--0.0477360000000018</f>
        <v>289.05706500000002</v>
      </c>
      <c r="AC317" s="3">
        <f>138.1+(499.8-327.7)+(-0.211293+(-0.764694--0.501381))+0-31.1--0.0475830000000018</f>
        <v>278.672977</v>
      </c>
      <c r="AD317">
        <v>318.3</v>
      </c>
      <c r="AE317" s="3">
        <f>138+(584.7-370.8)+(0+(0-0))+0-33.6-0</f>
        <v>318.3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139.2+(453.1-294.9)+(0+(0-0))+0-30.3-0</f>
        <v>267.10000000000002</v>
      </c>
      <c r="G318" s="3">
        <f>116.6+(398.7-224.8)+(0+(0-0))+0-29.6-0</f>
        <v>260.89999999999998</v>
      </c>
      <c r="H318" s="3">
        <f>50.5+(408.4-175.9)+(0.025755+(0.208284-0.089709))+0-29.6-0.015095999999997</f>
        <v>253.52923400000003</v>
      </c>
      <c r="I318" s="3">
        <f>50.5+(453.3-220.2)+(0+(0-0))+0-28.7-0</f>
        <v>254.90000000000003</v>
      </c>
      <c r="J318" s="3">
        <f>50.5+(453.5-217.3)+(0+(0-0))+0-32.7-0</f>
        <v>254</v>
      </c>
      <c r="K318" s="3">
        <f>50.5+(435-195.9)+(0.05151+(0.4437-0.199818))+0-32.4-0.0330480000000052</f>
        <v>257.46234400000003</v>
      </c>
      <c r="L318" s="3">
        <f>50.6+(482.9-233.7)+(-0.051612+(-0.492558--0.238374))+0-32.6--0.0332520000000052</f>
        <v>266.92745600000001</v>
      </c>
      <c r="M318" s="3">
        <f>66.1+(483.8-241.7)+(0+(0-0))+0-31.3-0</f>
        <v>276.90000000000003</v>
      </c>
      <c r="N318" s="3">
        <f>138.9+(532-336.3)+(0.212517+(0.81396-0.514539))+0-31.3-0.0478890000000018</f>
        <v>303.764049</v>
      </c>
      <c r="O318" s="3">
        <f>137.1+(538.3-332.4)+(-0.069921+(-0.274533--0.169524))+0-30.8--0.0157079999999969</f>
        <v>312.04077799999999</v>
      </c>
      <c r="P318" s="3">
        <f>137.2+(592.5-381.7)+(0.139944+(0.60435-0.389334))+0-31.2-0.031824000000005</f>
        <v>317.12313599999999</v>
      </c>
      <c r="Q318" s="3">
        <f>137+(526.7-314)+(-0.27948+(-1.074468--0.64056))+0-31.3--0.0638519999999986</f>
        <v>317.75046400000002</v>
      </c>
      <c r="R318" s="3">
        <f>136.3+(566-355.6)+(-0.278052+(-1.15464--0.725424))+0-31.5--0.0642599999999986</f>
        <v>314.55699199999998</v>
      </c>
      <c r="S318" s="3">
        <f>133.8+(561.1-378.1)+(-0.136476+(-0.572322--0.385662))+0-31.3--0.031926000000005</f>
        <v>285.20879000000002</v>
      </c>
      <c r="T318" s="3">
        <f>133.9+(548.2-365.3)+(-0.136578+(-0.559164--0.372606))+0-31.5--0.032130000000005</f>
        <v>285.00899400000009</v>
      </c>
      <c r="U318" s="3">
        <f>134.5+(548.7-364)+(0+(0-0))+0-31.5-0</f>
        <v>287.70000000000005</v>
      </c>
      <c r="V318" s="3">
        <f>134.6+(546.9-360.1)+(-0.137292+(-0.557838--0.367302))+0-31.8--0.0324360000000051</f>
        <v>289.30460799999997</v>
      </c>
      <c r="W318" s="3">
        <f>135.2+(453.6-239.7)+(0+(0-0))+0-30.5-0</f>
        <v>318.60000000000002</v>
      </c>
      <c r="X318" s="3">
        <f>134.2+(452.1-232.4)+(-0.205326+(-0.691713--0.355572))+0-31.1--0.0475830000000018</f>
        <v>322.30611599999992</v>
      </c>
      <c r="Y318" s="3">
        <f>134.7+(455.9-262.1)+(-0.068697+(-0.232509--0.133671))+0-14.2--0.00724199999999856</f>
        <v>314.13970699999999</v>
      </c>
      <c r="Z318" s="3">
        <f>134.7+(447.8-236.2)+(-0.137394+(-0.456756--0.240924))+0-30.1--0.0307020000000048</f>
        <v>315.877476</v>
      </c>
      <c r="AA318" s="3">
        <f>103.7+(503.4-268.5)+(-0.105774+(-0.513468--0.27387))+0-30.4--0.0310080000000048</f>
        <v>307.88563599999998</v>
      </c>
      <c r="AB318" s="3">
        <f>100.1+(538.3-314.7)+(-0.102102+(-0.549066--0.320994))+0-30.7--0.0313140000000049</f>
        <v>292.70113999999995</v>
      </c>
      <c r="AC318" s="3">
        <f>100+(467.9-251.8)+(-0.153+(-0.715887--0.385254))+0-32--0.0489600000000018</f>
        <v>283.66532699999999</v>
      </c>
      <c r="AD318">
        <v>330.50000000000006</v>
      </c>
      <c r="AE318" s="3">
        <f>135+(495.1-268.9)+(0+(0-0))+0-30.7-0</f>
        <v>330.50000000000006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99.8+(333.8-135.2)+(-0.203592+(-0.680952--0.275808))+0-31.3--0.0638519999999986</f>
        <v>266.555116</v>
      </c>
      <c r="G319" s="3">
        <f>67.9+(304.3-73.9)+(-0.173145+(-0.775965--0.188445))+0-30.9--0.0787949999999955</f>
        <v>266.71813000000003</v>
      </c>
      <c r="H319" s="3">
        <f>50.4+(288-44.1)+(-0.025704+(-0.14688--0.022491))+0-31.2--0.0159119999999968</f>
        <v>262.96581900000001</v>
      </c>
      <c r="I319" s="3">
        <f>50.5+(329-86.4)+(0+(0-0))+0-31.3-0</f>
        <v>261.8</v>
      </c>
      <c r="J319" s="3">
        <f>50.5+(348.4-98.8)+(0+(0-0))+0-31.4-0</f>
        <v>268.7</v>
      </c>
      <c r="K319" s="3">
        <f>50.5+(374.7-124.2)+(-0.025755+(-0.191097--0.063342))+0-31.1--0.0158609999999968</f>
        <v>269.76235099999997</v>
      </c>
      <c r="L319" s="3">
        <f>115.2+(452-268.5)+(-0.117504+(-0.46104--0.27387))+0-31--0.0316200000000049</f>
        <v>267.42694600000004</v>
      </c>
      <c r="M319" s="3">
        <f>103.6+(449.4-243.2)+(-0.105672+(-0.458388--0.248064))+0-31--0.0316200000000049</f>
        <v>278.515624</v>
      </c>
      <c r="N319" s="3">
        <f>117+(512.7-304.8)+(0+(0-0))+0-31.1-0</f>
        <v>293.8</v>
      </c>
      <c r="O319" s="3">
        <f>138.8+(581.4-389.8)+(0+(0-0))+0-31.5-0</f>
        <v>298.89999999999998</v>
      </c>
      <c r="P319" s="3">
        <f>138.4+(542.6-392.8)+(0.070584+(0.276726-0.200328))+0-31.5-0.0160649999999968</f>
        <v>256.83091700000006</v>
      </c>
      <c r="Q319" s="3">
        <f>136+(440-276.2)+(-0.3468+(-1.122--0.70431))+0-31.7--0.0808349999999954</f>
        <v>267.41634499999998</v>
      </c>
      <c r="R319" s="3">
        <f>114.3+(432.2-252.7)+(-0.291465+(-1.10211--0.644385))+0-30.6--0.0780299999999956</f>
        <v>262.52884</v>
      </c>
      <c r="S319" s="3">
        <f>109.8+(464.2-301.1)+(-0.223992+(-0.946968--0.614244))+0-29.1--0.0593639999999987</f>
        <v>243.30264799999998</v>
      </c>
      <c r="T319" s="3">
        <f>128.9+(477.1-339.5)+(-0.131478+(-0.486642--0.34629))+0-28.1--0.0286620000000045</f>
        <v>238.15683199999998</v>
      </c>
      <c r="U319" s="3">
        <f>136.6+(463.7-340.1)+(-0.208998+(-0.709461--0.520353))+0-30.8--0.0471240000000018</f>
        <v>229.04901799999993</v>
      </c>
      <c r="V319" s="3">
        <f>137.4+(459.3-328.7)+(0.070074+(0.234243-0.167637))+0-30.5-0.0155549999999969</f>
        <v>237.62112500000001</v>
      </c>
      <c r="W319" s="3">
        <f>137+(415.7-295.1)+(0.06987+(0.212007-0.150501))+0-31.8-0.0162179999999968</f>
        <v>225.91515799999993</v>
      </c>
      <c r="X319" s="3">
        <f>140.6+(430.5-291.3)+(-0.143412+(-0.43911--0.297126))+0-31--0.0316200000000049</f>
        <v>248.54622399999997</v>
      </c>
      <c r="Y319" s="3">
        <f>140.5+(499-348.3)+(-0.214965+(-0.76347--0.532899))+0-31.7--0.0485010000000018</f>
        <v>259.10296499999998</v>
      </c>
      <c r="Z319" s="3">
        <f>141.5+(518.2-387)+(0+(0-0))+0-32.2-0</f>
        <v>240.50000000000006</v>
      </c>
      <c r="AA319" s="3">
        <f>141.8+(565.2-427.7)+(-0.072318+(-0.288252--0.218127))+0-31.7--0.0161669999999968</f>
        <v>247.47372400000006</v>
      </c>
      <c r="AB319" s="3">
        <f>142.5+(568.7-465.5)+(0.072675+(0.290037-0.237405))+0-32.9-0.0167789999999967</f>
        <v>212.90852800000005</v>
      </c>
      <c r="AC319" s="3">
        <f>141+(587.8-463.1)+(-0.35955+(-1.49889--1.180905))+0-31.6--0.0805799999999954</f>
        <v>233.50304499999996</v>
      </c>
      <c r="AD319">
        <v>251.7</v>
      </c>
      <c r="AE319" s="3">
        <f>141+(433.8-291.9)+(0+(0-0))+0-31.2-0</f>
        <v>251.70000000000005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139.2+(585.3-458.7)+(0+(0-0))+0-31.3-0</f>
        <v>234.49999999999994</v>
      </c>
      <c r="G320" s="3">
        <f>81.4+(492.3-344.4)+(0.083028+(0.502146-0.351288))+0-19.5-0.0198900000000031</f>
        <v>210.01399600000005</v>
      </c>
      <c r="H320" s="3">
        <f>80.4+(470.1-329.3)+(-0.041004+(-0.239751--0.167943))+0-31.4--0.0160139999999968</f>
        <v>189.703202</v>
      </c>
      <c r="I320" s="3">
        <f>80.1+(440.8-302)+(-0.081702+(-0.449616--0.30804))+0-31.9--0.0325380000000051</f>
        <v>186.80926000000002</v>
      </c>
      <c r="J320" s="3">
        <f>81.3+(404.1-244.5)+(0.082926+(0.412182-0.24939))+0-32.1-0.0327420000000051</f>
        <v>209.01297600000004</v>
      </c>
      <c r="K320" s="3">
        <f>81+(374.5-233.6)+(0.04131+(0.190995-0.119136))+0-32.4-0.0165239999999967</f>
        <v>189.596645</v>
      </c>
      <c r="L320" s="3">
        <f>130.8+(412-283.5)+(-0.533664+(-1.68096--1.15668))+0-31.8--0.129743999999997</f>
        <v>226.57179999999997</v>
      </c>
      <c r="M320" s="3">
        <f>54.2+(395.9-256.5)+(0+(0-0))+0-32.2-0</f>
        <v>161.39999999999998</v>
      </c>
      <c r="N320" s="3">
        <f>126.6+(317.6-231.6)+(-0.064566+(-0.161976--0.118116))+0-30.8--0.0157079999999969</f>
        <v>181.70728199999999</v>
      </c>
      <c r="O320" s="3">
        <f>131.3+(352.8-247.2)+(0.066963+(0.179928-0.126072))+0-29.9-0.015248999999997</f>
        <v>207.10557000000006</v>
      </c>
      <c r="P320" s="3">
        <f>131.1+(392.3-299.7)+(0+(0-0))+0-31.1-0</f>
        <v>192.60000000000002</v>
      </c>
      <c r="Q320" s="3">
        <f>131+(379.1-274.5)+(0+(0-0))+0-31.7-0</f>
        <v>203.90000000000003</v>
      </c>
      <c r="R320" s="3">
        <f>131.1+(413.5-305.7)+(-0.133722+(-0.42177--0.311814))+0-32.2--0.0328440000000051</f>
        <v>206.48916600000001</v>
      </c>
      <c r="S320" s="3">
        <f>130.7+(194.7-98.2)+(-0.133314+(-0.198594--0.100164))+0.8-31.9--0.0325380000000051</f>
        <v>195.90079400000002</v>
      </c>
      <c r="T320" s="3">
        <f>130.2+(255.7-158.7)+(-0.265608+(-0.521628--0.323748))+0-32.3--0.0658919999999986</f>
        <v>194.50240399999998</v>
      </c>
      <c r="U320" s="3">
        <f>130.8+(263.5-139.6)+(-0.066708+(-0.134385--0.071196))+0-32.4--0.0165239999999967</f>
        <v>222.18662700000002</v>
      </c>
      <c r="V320" s="3">
        <f>131.6+(195.4-115.8)+(0.134232+(0.199308-0.118116))+0-30.8-0.0314160000000049</f>
        <v>180.58400799999998</v>
      </c>
      <c r="W320" s="3">
        <f>131.4+(275.1-142.2)+(0+(0-0))+0-30.9-0</f>
        <v>233.40000000000006</v>
      </c>
      <c r="X320" s="3">
        <f>143.4+(237.5-119.3)+(-0.073134+(-0.121125--0.060843))+0-30.9--0.0157589999999969</f>
        <v>230.58234300000001</v>
      </c>
      <c r="Y320" s="3">
        <f>143.6+(245.2-105.4)+(-0.073236+(-0.125052--0.053754))+0-31.9--0.0162689999999968</f>
        <v>251.37173499999994</v>
      </c>
      <c r="Z320" s="3">
        <f>144.1+(210.9-82.7)+(0+(0-0))+0-31.4-0</f>
        <v>240.89999999999995</v>
      </c>
      <c r="AA320" s="3">
        <f>143.8+(399-282.2)+(-0.146676+(-0.40698--0.287844))+0-31.2--0.031824000000005</f>
        <v>229.16601200000005</v>
      </c>
      <c r="AB320" s="3">
        <f>144+(554.4-398.1)+(-0.07344+(-0.282744--0.203031))+0-31.8--0.0162179999999968</f>
        <v>268.36306499999995</v>
      </c>
      <c r="AC320" s="3">
        <f>143.6+(431.3-360.6)+(-0.073236+(-0.219963--0.183906))+0-31.6--0.0161159999999968</f>
        <v>182.60682299999999</v>
      </c>
      <c r="AD320">
        <v>239.99999999999997</v>
      </c>
      <c r="AE320" s="3">
        <f>143+(231.2-103.3)+(0+(0-0))+0-30.9-0</f>
        <v>239.99999999999997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140.8+(345.3-230.8)+(-0.215424+(-0.528309--0.353124))+0-31.2--0.0477360000000018</f>
        <v>223.75712700000003</v>
      </c>
      <c r="G321" s="3">
        <f>101.6+(256-130.5)+(0.155448+(0.39168-0.199665))+0-31.7-0.0485010000000018</f>
        <v>195.69896199999999</v>
      </c>
      <c r="H321" s="3">
        <f>100.1+(312.8-166.6)+(-0.153153+(-0.478584--0.254898))+0-31.6--0.0483480000000018</f>
        <v>214.37150900000003</v>
      </c>
      <c r="I321" s="3">
        <f>108.4+(292.5-199)+(0.221136+(0.5967-0.40596))+0-32-0.0652799999999986</f>
        <v>170.24659600000001</v>
      </c>
      <c r="J321" s="3">
        <f>143.4+(292.5-207.9)+(-0.073134+(-0.149175--0.106029))+0-32--0.0163199999999968</f>
        <v>195.90004000000002</v>
      </c>
      <c r="K321" s="3">
        <f>140.4+(342.6-248.4)+(-0.214812+(-0.524178--0.380052))+0-31.6--0.0483480000000018</f>
        <v>202.68941000000004</v>
      </c>
      <c r="L321" s="3">
        <f>143+(395.9-322.4)+(-0.07293+(-0.201909--0.164424))+0-31.4--0.0160139999999968</f>
        <v>185.00559899999999</v>
      </c>
      <c r="M321" s="3">
        <f>145.5+(494.3-376.5)+(-0.074205+(-0.252093--0.192015))+0-31.1--0.0158609999999968</f>
        <v>232.08157800000004</v>
      </c>
      <c r="N321" s="3">
        <f>146+(459.1-328.7)+(0+(0-0))+0-31.1-0</f>
        <v>245.30000000000004</v>
      </c>
      <c r="O321" s="3">
        <f>146.4+(442.5-301.9)+(0.149328+(0.45135-0.307938))+0-31.4-0.032028000000005</f>
        <v>255.86071199999998</v>
      </c>
      <c r="P321" s="3">
        <f>145.7+(455.6-300.6)+(0+(0-0))+0-31.8-0</f>
        <v>268.89999999999998</v>
      </c>
      <c r="Q321" s="3">
        <f>140+(433.3-298)+(0+(0-0))+0-31-0</f>
        <v>244.3</v>
      </c>
      <c r="R321" s="3">
        <f>143.3+(481-319)+(0+(0-0))+0-28.7-0</f>
        <v>276.60000000000002</v>
      </c>
      <c r="S321" s="3">
        <f>142.6+(503.1-348.9)+(-0.145452+(-0.513162--0.355878))+0-26.9--0.0274380000000043</f>
        <v>269.62470200000013</v>
      </c>
      <c r="T321" s="3">
        <f>142.9+(560-402.4)+(-0.145758+(-0.5712--0.410448))+0-30.9--0.0315180000000049</f>
        <v>269.32500800000003</v>
      </c>
      <c r="U321" s="3">
        <f>144+(521-370.8)+(0.07344+(0.26571-0.189108))+0-31.7-0.0161669999999968</f>
        <v>262.63387499999999</v>
      </c>
      <c r="V321" s="3">
        <f>143.9+(426.4-268.1)+(-0.073389+(-0.217464--0.136731))+0-31.9--0.0162689999999968</f>
        <v>270.162147</v>
      </c>
      <c r="W321" s="3">
        <f>144.1+(284-113.2)+(0+(0-0))+0-31.6-0</f>
        <v>283.29999999999995</v>
      </c>
      <c r="X321" s="3">
        <f>144.1+(345.5-162.8)+(-0.220473+(-0.528615--0.249084))+0-30.8--0.0471240000000018</f>
        <v>295.54711999999995</v>
      </c>
      <c r="Y321" s="3">
        <f>145+(314.1-133.5)+(-0.1479+(-0.320382--0.13617))+0-31.9--0.0325380000000051</f>
        <v>293.40042600000004</v>
      </c>
      <c r="Z321" s="3">
        <f>144.5+(258-85.5)+(-0.29478+(-0.52632--0.17442))+0-27.4--0.0558959999999988</f>
        <v>289.00921600000004</v>
      </c>
      <c r="AA321" s="3">
        <f>145.2+(291.2-134.1)+(0.074052+(0.148512-0.068391))+0-31.8-0.0162179999999968</f>
        <v>270.63795499999998</v>
      </c>
      <c r="AB321" s="3">
        <f>146+(357.5-211.6)+(0.07446+(0.182325-0.107916))+0-31.7-0.0161669999999968</f>
        <v>260.33270199999998</v>
      </c>
      <c r="AC321" s="3">
        <f>145.6+(401.7-264.8)+(-0.222768+(-0.614601--0.405144))+0-31.8--0.0486540000000018</f>
        <v>250.31642899999997</v>
      </c>
      <c r="AD321">
        <v>300.3</v>
      </c>
      <c r="AE321" s="3">
        <f>144+(342.3-157)+(0+(0-0))+0-29-0</f>
        <v>300.3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146.2+(466.6-345.5)+(-0.149124+(-0.475932--0.35241))+0-31.3--0.031926000000005</f>
        <v>235.75927999999999</v>
      </c>
      <c r="G322" s="3">
        <f>146.6+(441.5-324.1)+(-0.224298+(-0.675495--0.495873))+0-31.6--0.0483480000000018</f>
        <v>232.04442799999998</v>
      </c>
      <c r="H322" s="3">
        <f>147.2+(454.7-342)+(0+(0-0))+0-32.4-0</f>
        <v>227.49999999999997</v>
      </c>
      <c r="I322" s="3">
        <f>147.2+(421.1-307.2)+(0+(0-0))+0-31.9-0</f>
        <v>229.20000000000002</v>
      </c>
      <c r="J322" s="3">
        <f>107.1+(408.3-254.4)+(-0.054621+(-0.208233--0.129744))+0-31.9--0.0162689999999968</f>
        <v>228.983159</v>
      </c>
      <c r="K322" s="3">
        <f>100.8+(381.7-221.7)+(0.051408+(0.194667-0.113067))+0-32.2-0.0164219999999967</f>
        <v>228.71658600000004</v>
      </c>
      <c r="L322" s="3">
        <f>100.9+(395.5-223.9)+(0+(0-0))+0-31-0</f>
        <v>241.5</v>
      </c>
      <c r="M322" s="3">
        <f>100.7+(566.5-382.8)+(-0.102714+(-0.57783--0.390456))+0-31.3--0.031926000000005</f>
        <v>252.84183799999994</v>
      </c>
      <c r="N322" s="3">
        <f>146.4+(544.8-378.8)+(0.149328+(0.555696-0.386376))+0-30.4-0.0310080000000048</f>
        <v>282.28764000000001</v>
      </c>
      <c r="O322" s="3">
        <f>147.1+(512.1-334)+(-0.075021+(-0.261171--0.17034))+0-31.2--0.0159119999999968</f>
        <v>293.8500600000001</v>
      </c>
      <c r="P322" s="3">
        <f>147.6+(504.3-324.4)+(-0.075276+(-0.257193--0.165444))+0-31--0.0158099999999969</f>
        <v>296.34878499999996</v>
      </c>
      <c r="Q322" s="3">
        <f>147.2+(517.3-327.1)+(-0.300288+(-1.055292--0.667284))+0-31.7--0.0646679999999986</f>
        <v>305.07637199999994</v>
      </c>
      <c r="R322" s="3">
        <f>146.9+(426.9-250.1)+(-0.374595+(-1.088595--0.637755))+0-31.4--0.0800699999999954</f>
        <v>291.55463499999996</v>
      </c>
      <c r="S322" s="3">
        <f>146.5+(401.7-232.6)+(0+(0-0))+0-31.9-0</f>
        <v>283.70000000000005</v>
      </c>
      <c r="T322" s="3">
        <f>96.5+(445.5-224.5)+(0+(0-0))+0-31.6-0</f>
        <v>285.89999999999998</v>
      </c>
      <c r="U322" s="3">
        <f>54.7+(453.7-199.7)+(0.027897+(0.231387-0.101847))+0-30.6-0.0156059999999969</f>
        <v>278.24183099999999</v>
      </c>
      <c r="V322" s="3">
        <f>144.9+(395.7-231.1)+(-0.295596+(-0.807228--0.471444))+0-30.5--0.0622199999999987</f>
        <v>278.43084000000005</v>
      </c>
      <c r="W322" s="3">
        <f>146.1+(375.9-195.3)+(0+(0-0))+0-31.4-0</f>
        <v>295.29999999999995</v>
      </c>
      <c r="X322" s="3">
        <f>145.9+(328.9-133)+(-0.148818+(-0.335478--0.13566))+0-31.8--0.0324360000000051</f>
        <v>309.68379999999996</v>
      </c>
      <c r="Y322" s="3">
        <f>145.5+(327.9-151.5)+(-0.371025+(-0.836145--0.386325))+0-27.8--0.070889999999996</f>
        <v>293.35004499999997</v>
      </c>
      <c r="Z322" s="3">
        <f>145.6+(377.5-208.9)+(-0.222768+(-0.577575--0.319617))+0-22.6--0.0345780000000013</f>
        <v>291.15385199999997</v>
      </c>
      <c r="AA322" s="3">
        <f>155.1+(494.4-339.4)+(-0.079101+(-0.252144--0.173094))+0-31.7--0.0161669999999968</f>
        <v>278.25801600000005</v>
      </c>
      <c r="AB322" s="3">
        <f>154.7+(472.5-325.2)+(-0.157794+(-0.48195--0.331704))+0-31.8--0.0324360000000051</f>
        <v>269.924396</v>
      </c>
      <c r="AC322" s="3">
        <f>127.1+(437.6-281.7)+(-0.129642+(-0.446352--0.287334))+0-17--0.0173400000000027</f>
        <v>265.72868</v>
      </c>
      <c r="AD322">
        <v>311</v>
      </c>
      <c r="AE322" s="3">
        <f>146+(326.2-129.1)+(0+(0-0))+0-32.1-0</f>
        <v>311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99.7+(431.6-250)+(-0.254235+(-1.10058--0.6375))+0-24.9--0.0634949999999964</f>
        <v>255.74618000000001</v>
      </c>
      <c r="G323" s="3">
        <f>100.6+(318.5-147.6)+(-0.102612+(-0.32487--0.150552))+0-30--0.0306000000000048</f>
        <v>241.25367</v>
      </c>
      <c r="H323" s="3">
        <f>100.4+(341.1-174.5)+(-0.153612+(-0.521883--0.266985))+0-32.8--0.0501840000000019</f>
        <v>233.84167400000001</v>
      </c>
      <c r="I323" s="3">
        <f>101.3+(363.3-218.4)+(0.103326+(0.370566-0.222768))+0-5.9-0.00601800000000094</f>
        <v>240.54510599999998</v>
      </c>
      <c r="J323" s="3">
        <f>100.2+(360-198.5)+(-0.153306+(-0.5508--0.303705))+0-21.6--0.0330480000000013</f>
        <v>239.73264700000001</v>
      </c>
      <c r="K323" s="3">
        <f>101.2+(411.9-243.1)+(0.051612+(0.210069-0.123981))+0-30.7-0.0156569999999969</f>
        <v>239.422043</v>
      </c>
      <c r="L323" s="3">
        <f>118.3+(505.8-347)+(-0.120666+(-0.515916--0.35394))+0-30.1--0.0307020000000048</f>
        <v>246.74806000000001</v>
      </c>
      <c r="M323" s="3">
        <f>129.5+(518.3-341.1)+(-0.198135+(-0.792999--0.521883))+0-31.8--0.0486540000000018</f>
        <v>274.47940299999993</v>
      </c>
      <c r="N323" s="3">
        <f>131.5+(598.8-416.6)+(0.201195+(0.916164-0.637398))+0-31-0.0474300000000018</f>
        <v>283.13253099999991</v>
      </c>
      <c r="O323" s="3">
        <f>244.8+(528.9-439.7)+(0.124848+(0.269739-0.224247))+0-31.7-0.0161669999999968</f>
        <v>302.45417300000003</v>
      </c>
      <c r="P323" s="3">
        <f>131.1+(573.5-359.5)+(0.066861+(0.292485-0.183345))+0-31.5-0.0160649999999968</f>
        <v>313.75993600000004</v>
      </c>
      <c r="Q323" s="3">
        <f>131.1+(567.6-372.6)+(-0.066861+(-0.289476--0.190026))+0-31.6--0.0161159999999968</f>
        <v>294.349805</v>
      </c>
      <c r="R323" s="3">
        <f>131.1+(607-400.3)+(0+(0-0))+0-31.6-0</f>
        <v>306.19999999999993</v>
      </c>
      <c r="S323" s="3">
        <f>166.8+(607.5-449.7)+(-0.255204+(-0.929475--0.688041))+0-31.3--0.0478890000000018</f>
        <v>292.85125099999999</v>
      </c>
      <c r="T323" s="3">
        <f>279.2+(582.9-540.7)+(-0.142392+(-0.297279--0.275757))+0-31.1--0.0158609999999968</f>
        <v>290.15194699999989</v>
      </c>
      <c r="U323" s="3">
        <f>279+(572.8-537.7)+(-0.28458+(-0.584256--0.548454))+0-30.4--0.0310080000000048</f>
        <v>283.41062599999992</v>
      </c>
      <c r="V323" s="3">
        <f>279.8+(529.3-492.3)+(0.285396+(0.539886-0.502146))+0-29.8-0.0303960000000048</f>
        <v>287.29273999999992</v>
      </c>
      <c r="W323" s="3">
        <f>279.8+(371.7-325.6)+(0.428094+(0.568701-0.498168))+0-29.9-0.0457470000000017</f>
        <v>296.45287999999999</v>
      </c>
      <c r="X323" s="3">
        <f>280+(324.4-271)+(0+(0-0))+0-27-0</f>
        <v>306.39999999999998</v>
      </c>
      <c r="Y323" s="3">
        <f>279.4+(321.8-276)+(-0.427482+(-0.492354--0.42228))+0-27.9--0.0426870000000016</f>
        <v>296.84513100000004</v>
      </c>
      <c r="Z323" s="3">
        <f>280.5+(319.7-284.8)+(-0.143055+(-0.163047--0.145248))+0-27.1--0.0138209999999973</f>
        <v>288.15296699999999</v>
      </c>
      <c r="AA323" s="3">
        <f>280.5+(323.2-302.9)+(-0.143055+(-0.164832--0.154479))+0-31.6--0.0161159999999968</f>
        <v>269.06270799999999</v>
      </c>
      <c r="AB323" s="3">
        <f>280.1+(333.3-321.3)+(-0.428553+(-0.509949--0.491589))+0-31.5--0.0481950000000018</f>
        <v>260.20128200000005</v>
      </c>
      <c r="AC323" s="3">
        <f>280.8+(364.1-361.3)+(-0.429624+(-0.557073--0.552789))+0-30.1--0.0460530000000017</f>
        <v>253.11214500000006</v>
      </c>
      <c r="AD323">
        <v>304.5</v>
      </c>
      <c r="AE323" s="3">
        <f>279+(327.2-272.1)+(0+(0-0))+0-29.6-0</f>
        <v>304.49999999999994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281+(313.1-328.8)+(0+(0-0))+0-27-0</f>
        <v>238.3</v>
      </c>
      <c r="G324" s="3">
        <f>280.6+(265-290.1)+(-0.143106+(-0.13515--0.147951))+0-28.8--0.0146879999999971</f>
        <v>226.584383</v>
      </c>
      <c r="H324" s="3">
        <f>281.7+(274.3-303.9)+(0.431001+(0.419679-0.464967))+0-27.8-0.0425340000000016</f>
        <v>224.64317900000003</v>
      </c>
      <c r="I324" s="3">
        <f>218+(285.3-248.2)+(-0.33354+(-0.436509--0.379746))+0-31.6--0.0483480000000018</f>
        <v>223.15804500000004</v>
      </c>
      <c r="J324" s="3">
        <f>200.6+(301.2-251.8)+(0.102306+(0.153612-0.128418))+0-31.5-0.0160649999999968</f>
        <v>218.61143499999997</v>
      </c>
      <c r="K324" s="3">
        <f>285.4+(297.8-337.6)+(0.145554+(0.151878-0.172176))+0-31.6-0.0161159999999968</f>
        <v>214.10913999999997</v>
      </c>
      <c r="L324" s="3">
        <f>297.1+(401.4-438)+(-0.454563+(-0.614142--0.67014))+0-32--0.0489600000000018</f>
        <v>228.15039499999997</v>
      </c>
      <c r="M324" s="3">
        <f>298.6+(419.4-444.7)+(0.152286+(0.213894-0.226797))+0-31.8-0.0162179999999968</f>
        <v>241.623165</v>
      </c>
      <c r="N324" s="3">
        <f>298.2+(419-417)+(0.304164+(0.42738-0.42534))+0-32.1-0.0327420000000051</f>
        <v>268.37346199999996</v>
      </c>
      <c r="O324" s="3">
        <f>297.7+(355.4-339.4)+(0.303654+(0.362508-0.346188))+0-29.4-0.0299880000000047</f>
        <v>284.58998600000001</v>
      </c>
      <c r="P324" s="3">
        <f>296.7+(325.7-305.9)+(-0.151317+(-0.166107--0.156009))+0-28.8--0.0146879999999971</f>
        <v>287.55327299999999</v>
      </c>
      <c r="Q324" s="3">
        <f>296.3+(322.9-294.1)+(-0.302226+(-0.329358--0.299982))+0-33.1--0.0337620000000053</f>
        <v>291.70215999999999</v>
      </c>
      <c r="R324" s="3">
        <f>294.3+(282.2-257.6)+(-0.750465+(-0.71961--0.65688))+0-32.6--0.0831299999999953</f>
        <v>285.56993499999993</v>
      </c>
      <c r="S324" s="3">
        <f>239.4+(308.3-237.7)+(0+(0-0))+0-32-0</f>
        <v>278</v>
      </c>
      <c r="T324" s="3">
        <f>147.5+(408.2-247.1)+(0.075225+(0.208182-0.126021))+0-32-0.0163199999999968</f>
        <v>276.74106599999999</v>
      </c>
      <c r="U324" s="3">
        <f>146.6+(405.1-251.4)+(-0.074766+(-0.206601--0.128214))+0-32.1--0.0163709999999967</f>
        <v>268.06321800000001</v>
      </c>
      <c r="V324" s="3">
        <f>147+(438.1-284.9)+(0.14994+(0.446862-0.290598))+0-32-0.0326400000000051</f>
        <v>268.47356400000001</v>
      </c>
      <c r="W324" s="3">
        <f>150.4+(345.5-181.7)+(0.153408+(0.35241-0.185334))+0-32.4-0.0330480000000052</f>
        <v>282.08743600000008</v>
      </c>
      <c r="X324" s="3">
        <f>288.5+(267-238)+(0.147135+(0.13617-0.12138))+0-31.5-0.0160649999999968</f>
        <v>286.14586000000003</v>
      </c>
      <c r="Y324" s="3">
        <f>292+(256.2-235.5)+(-0.59568+(-0.522648--0.48042))+0-28.5--0.0581399999999988</f>
        <v>283.62023199999999</v>
      </c>
      <c r="Z324" s="3">
        <f>291.4+(263.5-248.7)+(-0.74307+(-0.671925--0.634185))+0-30.4--0.0775199999999956</f>
        <v>275.09671000000003</v>
      </c>
      <c r="AA324" s="3">
        <f>292.5+(284.3-283.6)+(-0.149175+(-0.144993--0.144636))+0-31.8--0.0162179999999968</f>
        <v>261.26668599999994</v>
      </c>
      <c r="AB324" s="3">
        <f>292.6+(300.4-298.5)+(0+(0-0))+0-32-0</f>
        <v>262.5</v>
      </c>
      <c r="AC324" s="3">
        <f>292.4+(355.7-362)+(-0.298248+(-0.362814--0.36924))+0-31.7--0.0323340000000051</f>
        <v>254.14051199999994</v>
      </c>
      <c r="AD324">
        <v>281.79999999999995</v>
      </c>
      <c r="AE324" s="3">
        <f>292+(277.9-255.1)+(0+(0-0))+0-33-0</f>
        <v>281.79999999999995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292.6+(325.8-346.8)+(0+(0-0))+0-31.5-0</f>
        <v>240.10000000000002</v>
      </c>
      <c r="G325" s="3">
        <f>293.2+(230.2-258.8)+(0+(0-0))+0-31.4-0</f>
        <v>233.19999999999996</v>
      </c>
      <c r="H325" s="3">
        <f>293.2+(237.2-269)+(0+(0-0))+0-32-0</f>
        <v>229.39999999999998</v>
      </c>
      <c r="I325" s="3">
        <f>292.5+(213.6-241.5)+(-0.447525+(-0.326808--0.369495))+0-31.9--0.0488070000000018</f>
        <v>232.34396900000004</v>
      </c>
      <c r="J325" s="3">
        <f>293.6+(208.7-234.2)+(0.299472+(0.212874-0.238884))+0-31.6-0.032232000000005</f>
        <v>236.74123000000003</v>
      </c>
      <c r="K325" s="3">
        <f>291.7+(200.5-218.7)+(0.297534+(0.20451-0.223074))+0-31.7-0.0323340000000051</f>
        <v>242.04663600000003</v>
      </c>
      <c r="L325" s="3">
        <f>291.3+(264.1-278.1)+(0+(0-0))+0-32-0</f>
        <v>245.3</v>
      </c>
      <c r="M325" s="3">
        <f>292.7+(358-358.6)+(0+(0-0))+0-32.2-0</f>
        <v>259.89999999999998</v>
      </c>
      <c r="N325" s="3">
        <f>292.2+(348-322.5)+(-0.149022+(-0.17748--0.164475))+0-29.2--0.014891999999997</f>
        <v>288.35286499999995</v>
      </c>
      <c r="O325" s="3">
        <f>290.2+(282-250.9)+(-0.148002+(-0.14382--0.127959))+0-27.2--0.0138719999999972</f>
        <v>293.95000899999997</v>
      </c>
      <c r="P325" s="3">
        <f>289.2+(255.1-218.7)+(-0.147492+(-0.130101--0.111537))+0-31.1--0.0158609999999968</f>
        <v>294.34980499999995</v>
      </c>
      <c r="Q325" s="3">
        <f>285.9+(267.1-227.7)+(-0.291618+(-0.272442--0.232254))+0-32.1--0.0327420000000051</f>
        <v>292.900936</v>
      </c>
      <c r="R325" s="3">
        <f>288.5+(339.2-303.6)+(-0.441405+(-0.518976--0.464508))+0-32.1--0.0491130000000019</f>
        <v>291.5532399999999</v>
      </c>
      <c r="S325" s="3">
        <f>295.2+(341-326.8)+(-0.451656+(-0.52173--0.500004))+0-33--0.0504900000000019</f>
        <v>275.97710799999999</v>
      </c>
      <c r="T325" s="3">
        <f>294.6+(367.8-358.5)+(0+(0-0))+0-31.4-0</f>
        <v>272.50000000000006</v>
      </c>
      <c r="U325" s="3">
        <f>292.7+(409.6-403.6)+(0.298554+(0.417792-0.411672))+0-32.1-0.0327420000000051</f>
        <v>266.87193199999996</v>
      </c>
      <c r="V325" s="3">
        <f>287.3+(369.5-360.8)+(0.146523+(0.188445-0.184008))+0-26.8-0.0136679999999973</f>
        <v>269.33729199999999</v>
      </c>
      <c r="W325" s="3">
        <f>282.8+(302.8-276.1)+(0.288456+(0.308856-0.281622))+0-31.5-0.032130000000005</f>
        <v>278.28356000000002</v>
      </c>
      <c r="X325" s="3">
        <f>282.2+(269.6-230.8)+(-0.71961+(-0.68748--0.58854))+0-30--0.0764999999999956</f>
        <v>290.25794999999999</v>
      </c>
      <c r="Y325" s="3">
        <f>284.1+(271-237.1)+(-0.434673+(-0.41463--0.362763))+0-31.2--0.0477360000000018</f>
        <v>286.36119600000001</v>
      </c>
      <c r="Z325" s="3">
        <f>284.8+(243.4-218.9)+(-0.145248+(-0.124134--0.111639))+0-28.7--0.0146369999999971</f>
        <v>280.45689400000003</v>
      </c>
      <c r="AA325" s="3">
        <f>285.2+(285.2-264.3)+(0.145452+(0.145452-0.134793))+0-27.9-0.0142289999999972</f>
        <v>278.341882</v>
      </c>
      <c r="AB325" s="3">
        <f>285.7+(327.1-314.9)+(0.145707+(0.166821-0.160599))+0-29.3-0.014942999999997</f>
        <v>268.736986</v>
      </c>
      <c r="AC325" s="3">
        <f>286.4+(330.9-328.3)+(0+(0-0))+0-30.5-0</f>
        <v>258.49999999999994</v>
      </c>
      <c r="AD325">
        <v>287.60000000000002</v>
      </c>
      <c r="AE325" s="3">
        <f>284+(273.7-241)+(0+(0-0))+0-29.1-0</f>
        <v>287.59999999999997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285.4+(331.8-337.1)+(-0.72777+(-0.84609--0.859605))+0-30--0.0764999999999956</f>
        <v>249.46224499999997</v>
      </c>
      <c r="G326" s="3">
        <f>285.9+(274.3-290.3)+(-0.291618+(-0.279786--0.296106))+0-29.4--0.0299880000000047</f>
        <v>240.25468999999995</v>
      </c>
      <c r="H326" s="3">
        <f>229.8+(276.4-243.7)+(-0.703188+(-0.845784--0.745722))+0-30.5--0.0933300000000035</f>
        <v>231.29008000000002</v>
      </c>
      <c r="I326" s="3">
        <f>213.9+(241.5-194.4)+(0.218178+(0.24633-0.198288))+0-31.5-0.032130000000005</f>
        <v>229.73408999999998</v>
      </c>
      <c r="J326" s="3">
        <f>273.2+(191.9-203.8)+(-0.139332+(-0.097869--0.103938))+0-31.6--0.0161159999999968</f>
        <v>229.58285299999997</v>
      </c>
      <c r="K326" s="3">
        <f>274.3+(206.1-215.6)+(0.419679+(0.315333-0.329868))+0-31.1-0.0475830000000018</f>
        <v>234.05756100000002</v>
      </c>
      <c r="L326" s="3">
        <f>274.4+(243.2-249.6)+(0.279888+(0.248064-0.254592))+0-31.6-0.032232000000005</f>
        <v>236.64112800000004</v>
      </c>
      <c r="M326" s="3">
        <f>274+(278.6-283.2)+(0.27948+(0.284172-0.288864))+0-28.1-0.0286620000000045</f>
        <v>241.54612600000004</v>
      </c>
      <c r="N326" s="3">
        <f>158.9+(377.6-239.3)+(0.081039+(0.192576-0.122043))+0-29.3-0.014942999999997</f>
        <v>268.036629</v>
      </c>
      <c r="O326" s="3">
        <f>143.1+(354-194.6)+(0.072981+(0.18054-0.099246))+0-31.1-0.0158609999999968</f>
        <v>271.53841399999999</v>
      </c>
      <c r="P326" s="3">
        <f>141.6+(337.4-170.8)+(0.072216+(0.172074-0.087108))+0-31.8-0.0162179999999968</f>
        <v>276.54096399999992</v>
      </c>
      <c r="Q326" s="3">
        <f>142.6+(332.6-164)+(0+(0-0))+0-31.3-0</f>
        <v>279.90000000000003</v>
      </c>
      <c r="R326" s="3">
        <f>139.3+(341.3-176)+(-0.213129+(-0.522189--0.26928))+0-32.3--0.0494190000000019</f>
        <v>271.88338099999999</v>
      </c>
      <c r="S326" s="3">
        <f>138.3+(381.6-226.2)+(0+(0-0))+0-33.4-0</f>
        <v>260.30000000000007</v>
      </c>
      <c r="T326" s="3">
        <f>139.2+(443.8-299.2)+(0+(0-0))+0-29.6-0</f>
        <v>254.20000000000002</v>
      </c>
      <c r="U326" s="3">
        <f>136.9+(469.5-331.3)+(-0.139638+(-0.47889--0.337926))+0-30.1--0.0307020000000048</f>
        <v>244.75010000000003</v>
      </c>
      <c r="V326" s="3">
        <f>137.8+(468.2-323.5)+(-0.140556+(-0.477564--0.32997))+0-31.9--0.0325380000000051</f>
        <v>250.34438800000004</v>
      </c>
      <c r="W326" s="3">
        <f>136.4+(384.9-227.8)+(-0.069564+(-0.196299--0.116178))+0-33--0.0168299999999967</f>
        <v>260.36714499999999</v>
      </c>
      <c r="X326" s="3">
        <f>139.3+(350.9-184.4)+(-0.142086+(-0.357918--0.188088))+0-31.2--0.031824000000005</f>
        <v>274.319908</v>
      </c>
      <c r="Y326" s="3">
        <f>139.4+(352.6-181.5)+(-0.284376+(-0.719304--0.37026))+0-32.9--0.0671159999999986</f>
        <v>277.03369600000002</v>
      </c>
      <c r="Z326" s="3">
        <f>139+(367-200.7)+(-0.35445+(-0.93585--0.511785))+0-34.1--0.0869549999999951</f>
        <v>270.50843999999995</v>
      </c>
      <c r="AA326" s="3">
        <f>140.9+(400.9-241.4)+(-0.071859+(-0.204459--0.123114))+0-33.1--0.0168809999999966</f>
        <v>267.16367699999995</v>
      </c>
      <c r="AB326" s="3">
        <f>141.3+(451.6-293.7)+(0.072063+(0.230316-0.149787))+0-33.4-0.0170339999999966</f>
        <v>265.93555800000007</v>
      </c>
      <c r="AC326" s="3">
        <f>141.1+(530.3-378.2)+(-0.071961+(-0.270453--0.192882))+0-31.5--0.0160649999999968</f>
        <v>261.56653299999988</v>
      </c>
      <c r="AD326">
        <v>271.8</v>
      </c>
      <c r="AE326" s="3">
        <f>140+(362.1-198.6)+(0+(0-0))+0-31.7-0</f>
        <v>271.8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140.4+(466.3-325.4)+(-0.214812+(-0.713439--0.497862))+0-27.9--0.0426870000000016</f>
        <v>253.01229800000007</v>
      </c>
      <c r="G327" s="3">
        <f>107.6+(454.8-296)+(0.054876+(0.231948-0.15096))+0-32.5-0.0165749999999967</f>
        <v>234.01928900000001</v>
      </c>
      <c r="H327" s="3">
        <f>100.1+(451.7-296.1)+(-0.102102+(-0.460734--0.302022))+0-32.5--0.0331500000000052</f>
        <v>222.97233599999996</v>
      </c>
      <c r="I327" s="3">
        <f>101.1+(429.1-270.5)+(0.051561+(0.218841-0.137955))+0-32.7-0.0166769999999967</f>
        <v>227.11577000000008</v>
      </c>
      <c r="J327" s="3">
        <f>100.5+(408.7-248.4)+(-0.10251+(-0.416874--0.253368))+0-31.9--0.0325380000000051</f>
        <v>228.66652199999999</v>
      </c>
      <c r="K327" s="3">
        <f>101.2+(410.2-255.3)+(0.103224+(0.418404-0.260406))+0-31.8-0.0324360000000051</f>
        <v>224.52878599999991</v>
      </c>
      <c r="L327" s="3">
        <f>103.6+(421.8-275.6)+(-0.052836+(-0.215118--0.140556))+0-28.4--0.0144839999999971</f>
        <v>221.28708599999999</v>
      </c>
      <c r="M327" s="3">
        <f>105.7+(421.4-288)+(0+(0-0))+0-26-0</f>
        <v>213.09999999999997</v>
      </c>
      <c r="N327" s="3">
        <f>129.8+(451.5-338.1)+(0.132396+(0.46053-0.344862))+0-30.8-0.0314160000000049</f>
        <v>212.61664799999997</v>
      </c>
      <c r="O327" s="3">
        <f>137.8+(445.3-326.2)+(0+(0-0))+0-32.3-0</f>
        <v>224.60000000000002</v>
      </c>
      <c r="P327" s="3">
        <f>138.1+(482.5-366.1)+(0+(0-0))+0-32.7-0</f>
        <v>221.79999999999995</v>
      </c>
      <c r="Q327" s="3">
        <f>138.5+(437.7-321.8)+(0.211905+(0.669681-0.492354))+0-33-0.0504900000000019</f>
        <v>221.73874199999997</v>
      </c>
      <c r="R327" s="3">
        <f>122.6+(424.8-288.2)+(-0.250104+(-0.866592--0.587928))+0-31.4--0.0640559999999986</f>
        <v>227.33528800000002</v>
      </c>
      <c r="S327" s="3">
        <f>80.5+(383.6-211.8)+(-0.041055+(-0.195636--0.108018))+0-31.8--0.0162179999999968</f>
        <v>220.38754500000002</v>
      </c>
      <c r="T327" s="3">
        <f>80.6+(327.7-163.5)+(0+(0-0))+0-32.3-0</f>
        <v>212.5</v>
      </c>
      <c r="U327" s="3">
        <f>80.1+(361.4-202.8)+(-0.122553+(-0.552942--0.310284))+0-32.5--0.0497250000000019</f>
        <v>205.88451399999997</v>
      </c>
      <c r="V327" s="3">
        <f>45.6+(511.1-312.5)+(-0.023256+(-0.260661--0.159375))+0-31.1--0.0158609999999968</f>
        <v>212.99131900000003</v>
      </c>
      <c r="W327" s="3">
        <f>0+(528.6-263.2)+(0+(-0.539172--0.268464))+0-29.3--0.0298860000000047</f>
        <v>235.85917800000001</v>
      </c>
      <c r="X327" s="3">
        <f>0+(473.3-178.3)+(0+(-0.241383--0.090933))+0-28.9--0.0147389999999971</f>
        <v>265.96428900000006</v>
      </c>
      <c r="Y327" s="3">
        <f>0+(508.4-211.2)+(0+(-0.777852--0.323136))+0-30.6--0.0468180000000018</f>
        <v>266.19210199999998</v>
      </c>
      <c r="Z327" s="3">
        <f>0+(522.6-222)+(0+(-0.533052--0.22644))+0-31.8--0.0324360000000051</f>
        <v>268.52582400000006</v>
      </c>
      <c r="AA327" s="3">
        <f>0+(568.2-271.8)+(0+(-1.159128--0.554472))+0-30.7--0.0626279999999987</f>
        <v>265.15797200000009</v>
      </c>
      <c r="AB327" s="3">
        <f>0+(536.9-244.9)+(0+(-0.273819--0.124899))+0-33.8--0.0172379999999966</f>
        <v>258.06831800000003</v>
      </c>
      <c r="AC327" s="3">
        <f>0+(443.1-161.6)+(0+(0.451962-0.164832))+0-33.8-0.0344760000000054</f>
        <v>247.95265399999997</v>
      </c>
      <c r="AD327">
        <v>268.10000000000002</v>
      </c>
      <c r="AE327" s="3">
        <f>0+(500.9-201.9)+(0+(0-0))+0-30.9-0</f>
        <v>268.10000000000002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0+(434.6-161.5)+(0+(-0.886584--0.32946))+0-33.6--0.0685439999999985</f>
        <v>239.01142000000004</v>
      </c>
      <c r="G328" s="3">
        <f>0+(364.6-101.7)+(0+(-0.371892--0.103734))+0-33.3--0.0339660000000053</f>
        <v>229.36580799999999</v>
      </c>
      <c r="H328" s="3">
        <f>0+(370.1-110.5)+(0+(-0.755004--0.22542))+0-33.5--0.0683399999999985</f>
        <v>225.63875600000003</v>
      </c>
      <c r="I328" s="3">
        <f>0+(352.1-110.5)+(0+(0.179571-0.056355))+0-33.3-0.0169829999999966</f>
        <v>208.40623300000001</v>
      </c>
      <c r="J328" s="3">
        <f>0+(377.5-91.7)+(0+(-0.577575--0.140301))+0-30.3--0.0463590000000018</f>
        <v>255.10908499999999</v>
      </c>
      <c r="K328" s="3">
        <f>0+(352.7-92.4)+(0+(0.179877-0.047124))+0-31-0.0158099999999969</f>
        <v>229.41694299999995</v>
      </c>
      <c r="L328" s="3">
        <f>0+(397.5-144.6)+(0+(0.202725-0.073746))+0-29.8-0.015197999999997</f>
        <v>223.21378099999998</v>
      </c>
      <c r="M328" s="3">
        <f>0+(386.5-138.5)+(0+(-0.591345--0.211905))+0-27.8--0.0425340000000016</f>
        <v>219.86309399999999</v>
      </c>
      <c r="N328" s="3">
        <f>0+(516.4-267.8)+(0+(-0.263364--0.136578))+0-30.7--0.0156569999999969</f>
        <v>217.78887099999997</v>
      </c>
      <c r="O328" s="3">
        <f>0+(503.3-231.7)+(0+(0-0))+0-32.6-0</f>
        <v>239.00000000000003</v>
      </c>
      <c r="P328" s="3">
        <f>0+(487.4-214.8)+(0+(-0.497148--0.219096))+0-32.6--0.0332520000000052</f>
        <v>239.75519999999997</v>
      </c>
      <c r="Q328" s="3">
        <f>0+(451.9-179.9)+(0+(-0.691407--0.275247))+0-32.5--0.0497250000000019</f>
        <v>239.133565</v>
      </c>
      <c r="R328" s="3">
        <f>0+(458.6-185.9)+(0+(-0.701658--0.284427))+0-32.1--0.0491130000000019</f>
        <v>240.23188200000004</v>
      </c>
      <c r="S328" s="3">
        <f>0+(468.2-201.7)+(0+(-0.955128--0.411468))+0-32.2--0.0656879999999986</f>
        <v>233.82202800000002</v>
      </c>
      <c r="T328" s="3">
        <f>0+(458.2-200.9)+(0+(-0.233682--0.102459))+0-32.2--0.0164219999999967</f>
        <v>224.98519899999999</v>
      </c>
      <c r="U328" s="3">
        <f>0+(453.7-199.4)+(0+(0-0))+0-32.2-0</f>
        <v>222.09999999999997</v>
      </c>
      <c r="V328" s="3">
        <f>0+(428-173.6)+(0+(-0.21828--0.088536))+0-32.6--0.0166259999999967</f>
        <v>221.68688200000003</v>
      </c>
      <c r="W328" s="3">
        <f>0+(365.5-93.6)+(0+(0-0))+0-33.1-0</f>
        <v>238.79999999999998</v>
      </c>
      <c r="X328" s="3">
        <f>0+(319.6-27.1)+(0+(-0.325992--0.027642))+0-33.4--0.0340680000000053</f>
        <v>258.83571799999999</v>
      </c>
      <c r="Y328" s="3">
        <f>0+(337.1-50.9)+(0+(-0.171921--0.025959))+0-32.8--0.0167279999999967</f>
        <v>253.27076600000004</v>
      </c>
      <c r="Z328" s="3">
        <f>0+(373.6-87.9)+(0+(-0.381072--0.089658))+0-24.9--0.025398000000004</f>
        <v>260.53398400000009</v>
      </c>
      <c r="AA328" s="3">
        <f>0+(361.2-72.2)+(0+(0-0))+0-31.1-0</f>
        <v>257.89999999999998</v>
      </c>
      <c r="AB328" s="3">
        <f>0+(363.4-79.2)+(0+(-0.185334--0.040392))+0-31.7--0.0161669999999968</f>
        <v>252.37122499999998</v>
      </c>
      <c r="AC328" s="3">
        <f>0+(303.3-25.3)+(0+(-0.773415--0.064515))+0-31.3--0.0798149999999955</f>
        <v>246.07091499999996</v>
      </c>
      <c r="AD328">
        <v>269.09999999999997</v>
      </c>
      <c r="AE328" s="3">
        <f>0+(321.7-20)+(0+(0-0))+0-32.6-0</f>
        <v>269.09999999999997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0+(347.8-76.9)+(0+(-0.532134--0.117657))+0-31.4--0.0480420000000018</f>
        <v>239.133565</v>
      </c>
      <c r="G329" s="3">
        <f>0+(408.7-144.7)+(0+(-0.625311--0.221391))+0-30.5--0.0466650000000018</f>
        <v>233.14274499999996</v>
      </c>
      <c r="H329" s="3">
        <f>0+(371.1-111.6)+(0+(-0.757044--0.227664))+0-30.1--0.0614039999999987</f>
        <v>228.93202400000001</v>
      </c>
      <c r="I329" s="3">
        <f>0+(391.3-130.7)+(0+(-0.199563--0.066657))+0-30.3--0.0154529999999969</f>
        <v>230.18254700000003</v>
      </c>
      <c r="J329" s="3">
        <f>0+(403-148.2)+(0+(0.61659-0.226746))+0-30.4-0.0465120000000018</f>
        <v>224.74333200000001</v>
      </c>
      <c r="K329" s="3">
        <f>0+(378.7-124.1)+(0+(0.193137-0.063291))+0-31.2-0.0159119999999968</f>
        <v>223.51393400000001</v>
      </c>
      <c r="L329" s="3">
        <f>0+(499.7-226.2)+(0+(0.254847-0.115362))+0-30.6-0.0156059999999969</f>
        <v>243.02387899999999</v>
      </c>
      <c r="M329" s="3">
        <f>0+(579.6-292.3)+(0+(0-0))+0-30.8-0</f>
        <v>256.5</v>
      </c>
      <c r="N329" s="3">
        <f>87.4+(599.4-377.7)+(0.089148+(0.611388-0.385254))+0-29.7-0.0302940000000047</f>
        <v>279.68498800000003</v>
      </c>
      <c r="O329" s="3">
        <f>144.2+(521.5-343.3)+(0.073542+(0.265965-0.175083))+0-30.4-0.0155039999999969</f>
        <v>292.14891999999998</v>
      </c>
      <c r="P329" s="3">
        <f>144.3+(495.4-314.8)+(0.073593+(0.252654-0.160548))+0-31.1-0.0158609999999968</f>
        <v>293.949838</v>
      </c>
      <c r="Q329" s="3">
        <f>143.9+(460.6-274.6)+(-0.146778+(-0.469812--0.280092))+0-30.4--0.0310080000000048</f>
        <v>299.19450999999998</v>
      </c>
      <c r="R329" s="3">
        <f>142.7+(423.4-249.6)+(-0.363885+(-1.07967--0.63648))+0-22.7--0.0578849999999967</f>
        <v>293.05081000000001</v>
      </c>
      <c r="S329" s="3">
        <f>143.9+(350.3-180.3)+(-0.146778+(-0.357306--0.183906))+0-31.3--0.031926000000005</f>
        <v>282.31174799999997</v>
      </c>
      <c r="T329" s="3">
        <f>143.6+(352.1-180.6)+(-0.219708+(-0.538713--0.276318))+0-26.8--0.0410040000000016</f>
        <v>287.858901</v>
      </c>
      <c r="U329" s="3">
        <f>143.7+(354.6-181.5)+(-0.073287+(-0.180846--0.092565))+0-29.4--0.014993999999997</f>
        <v>287.25342600000005</v>
      </c>
      <c r="V329" s="3">
        <f>111.2+(352.4-147.1)+(0.056712+(0.179724-0.075021))+0-31.9-0.0162689999999968</f>
        <v>284.74514599999998</v>
      </c>
      <c r="W329" s="3">
        <f>106.2+(320.8-100.6)+(0+(0-0))+0-31.4-0</f>
        <v>295.00000000000006</v>
      </c>
      <c r="X329" s="3">
        <f>133.6+(304-98.3)+(-0.068136+(-0.15504--0.050133))+0-32.1--0.0163709999999967</f>
        <v>307.04332799999992</v>
      </c>
      <c r="Y329" s="3">
        <f>141.2+(271.5-81.4)+(0+(0-0))+0-30.1-0</f>
        <v>301.19999999999993</v>
      </c>
      <c r="Z329" s="3">
        <f>142.7+(217.3-40.2)+(-0.363885+(-0.554115--0.10251))+0-23.2--0.0591599999999966</f>
        <v>295.84367000000003</v>
      </c>
      <c r="AA329" s="3">
        <f>131.4+(218-43.4)+(0+(0-0))+0-31.7-0</f>
        <v>274.3</v>
      </c>
      <c r="AB329" s="3">
        <f>78.7+(286.8-73.2)+(-0.200685+(-0.73134--0.18666))+0-28.7--0.0731849999999958</f>
        <v>262.92782000000005</v>
      </c>
      <c r="AC329" s="3">
        <f>79.2+(240.2-34.9)+(-0.20196+(-0.61251--0.088995))+0-31.4--0.0800699999999954</f>
        <v>252.45459499999998</v>
      </c>
      <c r="AD329">
        <v>305</v>
      </c>
      <c r="AE329" s="3">
        <f>141+(314.7-117.3)+(0+(0-0))+0-33.4-0</f>
        <v>305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80.2+(202.7-1.9)+(-0.081804+(-0.206754--0.001938))+0-31.1--0.031722000000005</f>
        <v>249.64510199999998</v>
      </c>
      <c r="G330" s="3">
        <f>81.6+(263.5-64.8)+(0.166464+(0.53754-0.132192))+0-30.8-0.0628319999999987</f>
        <v>250.00897999999998</v>
      </c>
      <c r="H330" s="3">
        <f>81+(284.2-90.7)+(0.12393+(0.434826-0.138771))+0-30.9-0.0472770000000018</f>
        <v>243.97270799999998</v>
      </c>
      <c r="I330" s="3">
        <f>79.9+(299-107.4)+(-0.162996+(-0.60996--0.219096))+0-30--0.0611999999999987</f>
        <v>241.00734</v>
      </c>
      <c r="J330" s="3">
        <f>81.1+(285.3-100.6)+(0.082722+(0.291006-0.102612))+0-30.5-0.0311100000000049</f>
        <v>235.54000600000001</v>
      </c>
      <c r="K330" s="3">
        <f>93+(338.5-163.7)+(0+(0-0))+0-31.1-0</f>
        <v>236.70000000000002</v>
      </c>
      <c r="L330" s="3">
        <f>131.1+(390.7-242)+(0.066861+(0.199257-0.12342))+0-31-0.0158099999999969</f>
        <v>248.92688799999996</v>
      </c>
      <c r="M330" s="3">
        <f>130.6+(482.2-313.3)+(-0.133212+(-0.491844--0.319566))+0-31.4--0.032028000000005</f>
        <v>267.82653800000003</v>
      </c>
      <c r="N330" s="3">
        <f>130.8+(426.1-244.9)+(-0.066708+(-0.217311--0.124899))+0-28.5--0.0145349999999971</f>
        <v>283.35541500000005</v>
      </c>
      <c r="O330" s="3">
        <f>131.1+(357.7-162.6)+(-0.066861+(-0.182427--0.082926))+0-32.4--0.0165239999999967</f>
        <v>293.65016200000002</v>
      </c>
      <c r="P330" s="3">
        <f>130.4+(343.3-150.5)+(-0.199512+(-0.525249--0.230265))+0-31--0.0474300000000018</f>
        <v>291.75293400000004</v>
      </c>
      <c r="Q330" s="3">
        <f>130.8+(389.3-198.7)+(-0.066708+(-0.198543--0.101337))+0-29.3--0.014942999999997</f>
        <v>291.95102900000006</v>
      </c>
      <c r="R330" s="3">
        <f>106.4+(348.5-149.1)+(-0.162792+(-0.533205--0.228123))+0-21--0.0321300000000012</f>
        <v>284.36425600000001</v>
      </c>
      <c r="S330" s="3">
        <f>50.5+(352.2-95.5)+(0+(0-0))+0-27-0</f>
        <v>280.2</v>
      </c>
      <c r="T330" s="3">
        <f>70.8+(348.1-109.4)+(-0.036108+(-0.177531--0.055794))+0-30.2--0.0154019999999969</f>
        <v>279.157557</v>
      </c>
      <c r="U330" s="3">
        <f>131.2+(290.2-122.3)+(-0.066912+(-0.148002--0.062373))+0-22.5--0.0114749999999977</f>
        <v>276.458934</v>
      </c>
      <c r="V330" s="3">
        <f>131.2+(343.5-167.1)+(0.133824+(0.35037-0.170442))+0-29.7-0.0302940000000047</f>
        <v>278.18345800000003</v>
      </c>
      <c r="W330" s="3">
        <f>131.2+(305.5-116.9)+(-0.066912+(-0.155805--0.059619))+0-30.2--0.0154019999999969</f>
        <v>289.45230399999997</v>
      </c>
      <c r="X330" s="3">
        <f>131+(300.6-95.2)+(-0.06681+(-0.153306--0.048552))+0-31.6--0.0161159999999968</f>
        <v>304.64455200000003</v>
      </c>
      <c r="Y330" s="3">
        <f>130.1+(298-95.7)+(-0.265404+(-0.60792--0.195228))+0-32.4--0.0660959999999986</f>
        <v>299.38800000000003</v>
      </c>
      <c r="Z330" s="3">
        <f>130.8+(308.3-115.5)+(-0.066708+(-0.157233--0.058905))+0-28.6--0.0145859999999971</f>
        <v>294.84955000000002</v>
      </c>
      <c r="AA330" s="3">
        <f>80.8+(333.9-96.6)+(0.164832+(0.681156-0.197064))+0-32.6-0.0665039999999986</f>
        <v>286.08241999999996</v>
      </c>
      <c r="AB330" s="3">
        <f>51.8+(330.5-74.3)+(-0.052836+(-0.33711--0.075786))+0-32.6--0.0332520000000052</f>
        <v>275.11909199999997</v>
      </c>
      <c r="AC330" s="3">
        <f>69.6+(235.2-6.2)+(-0.141984+(-0.479808--0.012648))+0-32.2--0.0656879999999986</f>
        <v>265.85654400000004</v>
      </c>
      <c r="AD330">
        <v>304.99999999999994</v>
      </c>
      <c r="AE330" s="3">
        <f>131+(306.9-100.6)+(0+(0-0))+0-32.3-0</f>
        <v>304.99999999999994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70.2+(239.3-21.7)+(-0.107406+(-0.366129--0.033201))+0-31.5--0.0481950000000018</f>
        <v>255.907861</v>
      </c>
      <c r="G331" s="3">
        <f>70.1+(280.1-74.6)+(-0.071502+(-0.285702--0.076092))+0-26.6--0.0271320000000042</f>
        <v>248.74602000000002</v>
      </c>
      <c r="H331" s="3">
        <f>70.6+(297.1-89)+(0.036006+(0.151521-0.04539))+0-29.9-0.015248999999997</f>
        <v>248.92688800000005</v>
      </c>
      <c r="I331" s="3">
        <f>70.4+(299.9-93.2)+(0+(0-0))+0-30.5-0</f>
        <v>246.60000000000002</v>
      </c>
      <c r="J331" s="3">
        <f>71.1+(287.9-78.9)+(0.036261+(0.146829-0.040239))+0-27.7-0.0141269999999972</f>
        <v>252.52872399999998</v>
      </c>
      <c r="K331" s="3">
        <f>94.6+(293.9-107.1)+(0.24123+(0.749445-0.273105))+0-29.2-0.0744599999999958</f>
        <v>252.84311000000002</v>
      </c>
      <c r="L331" s="3">
        <f>146.3+(360.3-218.2)+(-0.074613+(-0.183753--0.111282))+0-31.1--0.0158609999999968</f>
        <v>257.16877699999998</v>
      </c>
      <c r="M331" s="3">
        <f>146.2+(512.7-354.6)+(0+(0-0))+0-30.3-0</f>
        <v>274</v>
      </c>
      <c r="N331" s="3">
        <f>146.3+(470.4-296)+(0+(0-0))+0-30.8-0</f>
        <v>289.89999999999998</v>
      </c>
      <c r="O331" s="3">
        <f>146.3+(433.1-248.9)+(0.074613+(0.220881-0.126939))+0-31.3-0.0159629999999968</f>
        <v>299.35259200000002</v>
      </c>
      <c r="P331" s="3">
        <f>145.6+(392.9-211.4)+(-0.148512+(-0.400758--0.215628))+0-30.2--0.0308040000000048</f>
        <v>296.59716199999997</v>
      </c>
      <c r="Q331" s="3">
        <f>144.6+(393.7-204.1)+(-0.221238+(-0.602361--0.312273))+0-30.7--0.0469710000000018</f>
        <v>303.03564499999999</v>
      </c>
      <c r="R331" s="3">
        <f>143.9+(398.5-212.8)+(-0.146778+(-0.40647--0.217056))+0-29.1--0.0296820000000046</f>
        <v>300.19349</v>
      </c>
      <c r="S331" s="3">
        <f>143.4+(397.3-225.6)+(0.219402+(0.607869-0.345168))+0-30.1-0.0460530000000017</f>
        <v>285.43604999999997</v>
      </c>
      <c r="T331" s="3">
        <f>142.8+(404.6-238.1)+(-0.145656+(-0.412692--0.242862))+0-30.9--0.0315180000000049</f>
        <v>278.11603200000008</v>
      </c>
      <c r="U331" s="3">
        <f>142.2+(411.2-253.7)+(0.072522+(0.209712-0.129387))+0-26-0.0132599999999974</f>
        <v>273.83958699999999</v>
      </c>
      <c r="V331" s="3">
        <f>142.1+(358.1-195.1)+(0.072471+(0.182631-0.099501))+0-31.2-0.0159119999999968</f>
        <v>274.03968900000001</v>
      </c>
      <c r="W331" s="3">
        <f>141.6+(323.7-143.4)+(0.072216+(0.165087-0.073134))+0-31.3-0.0159629999999968</f>
        <v>290.74820599999998</v>
      </c>
      <c r="X331" s="3">
        <f>143.1+(273.9-80.4)+(0+(0-0))+0-32.1-0</f>
        <v>304.49999999999994</v>
      </c>
      <c r="Y331" s="3">
        <f>142.2+(256.9-67.1)+(-0.36261+(-0.655095--0.171105))+0-31.4--0.0800699999999954</f>
        <v>299.83346999999998</v>
      </c>
      <c r="Z331" s="3">
        <f>143.3+(308.4-123.8)+(-0.073083+(-0.157284--0.063138))+0-31.7--0.0161669999999968</f>
        <v>296.04893799999996</v>
      </c>
      <c r="AA331" s="3">
        <f>123.7+(296.8-99.1)+(-0.189261+(-0.454104--0.151623))+0-31.3--0.0478890000000018</f>
        <v>289.65614700000003</v>
      </c>
      <c r="AB331" s="3">
        <f>92.9+(354.2-134)+(-0.047379+(-0.180642--0.06834))+0-31.6--0.0161159999999968</f>
        <v>281.35643500000003</v>
      </c>
      <c r="AC331" s="3">
        <f>99.6+(284.9-83.3)+(-0.25398+(-0.726495--0.212415))+0-31--0.0790499999999955</f>
        <v>269.51098999999994</v>
      </c>
      <c r="AD331">
        <v>310.90000000000003</v>
      </c>
      <c r="AE331" s="3">
        <f>143+(278.1-79.4)+(0+(0-0))+0-30.8-0</f>
        <v>310.90000000000003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100.1+(206.5-27.5)+(-0.204204+(-0.42126--0.0561))+0-30.6--0.0624239999999987</f>
        <v>247.99306000000001</v>
      </c>
      <c r="G332" s="3">
        <f>100.7+(209.6-17.4)+(0+(0-0))+0-31-0</f>
        <v>261.89999999999998</v>
      </c>
      <c r="H332" s="3">
        <f>100.8+(243.2-52.2)+(-0.051408+(-0.124032--0.026622))+0-30.8--0.0157079999999969</f>
        <v>260.86689000000001</v>
      </c>
      <c r="I332" s="3">
        <f>101+(269-86.9)+(0.10302+(0.27438-0.088638))+0-30.5-0.0311100000000049</f>
        <v>252.85765200000003</v>
      </c>
      <c r="J332" s="3">
        <f>100.5+(256.9-69.8)+(-0.10251+(-0.262038--0.071196))+0-30.8--0.0314160000000049</f>
        <v>256.53806399999991</v>
      </c>
      <c r="K332" s="3">
        <f>104.1+(260-76.6)+(0.053091+(0.1326-0.039066))+0-30.9-0.0157589999999969</f>
        <v>256.73086599999999</v>
      </c>
      <c r="L332" s="3">
        <f>138.9+(253.4-99.4)+(0+(0-0))+0-31-0</f>
        <v>261.89999999999998</v>
      </c>
      <c r="M332" s="3">
        <f>254.6+(303.1-252.8)+(0.129846+(0.154581-0.128928))+0-29.8-0.015197999999997</f>
        <v>275.24030099999999</v>
      </c>
      <c r="N332" s="3">
        <f>281.9+(363.1-309.2)+(0.431307+(0.555543-0.473076))+0-31.3-0.0478890000000018</f>
        <v>304.96588500000001</v>
      </c>
      <c r="O332" s="3">
        <f>285+(396.2-325.5)+(0.43605+(0.606186-0.498015))+0-31.9-0.0488070000000018</f>
        <v>324.29541399999999</v>
      </c>
      <c r="P332" s="3">
        <f>218.8+(438.3-304)+(0.446352+(0.894132-0.62016))+0-31.7-0.0646679999999986</f>
        <v>322.05565600000006</v>
      </c>
      <c r="Q332" s="3">
        <f>210.3+(435.1-285.8)+(-0.214506+(-0.443802--0.291516))+0-31.9--0.0325380000000051</f>
        <v>327.36574600000006</v>
      </c>
      <c r="R332" s="3">
        <f>281.5+(355.6-285.7)+(-0.717825+(-0.90678--0.728535))+0-31.8--0.0810899999999954</f>
        <v>318.78502000000003</v>
      </c>
      <c r="S332" s="3">
        <f>280.6+(385.6-339.1)+(0.143106+(0.196656-0.172941))+0-31.5-0.0160649999999968</f>
        <v>295.75075600000008</v>
      </c>
      <c r="T332" s="3">
        <f>279.2+(350.2-302.8)+(0+(0-0))+0-31.5-0</f>
        <v>295.09999999999997</v>
      </c>
      <c r="U332" s="3">
        <f>279.3+(316.2-275.6)+(0.284886+(0.322524-0.281112))+0-31.2-0.031824000000005</f>
        <v>288.99447399999997</v>
      </c>
      <c r="V332" s="3">
        <f>279.4+(251.5-209)+(-0.284988+(-0.25653--0.21318))+0-31.6--0.032232000000005</f>
        <v>290.003894</v>
      </c>
      <c r="W332" s="3">
        <f>280.3+(208.1-157.9)+(-0.285906+(-0.212262--0.161058))+0-25.4--0.025908000000004</f>
        <v>304.78879800000004</v>
      </c>
      <c r="X332" s="3">
        <f>281+(246.2-192.9)+(-0.42993+(-0.376686--0.295137))+0-23.9--0.0365670000000014</f>
        <v>309.92508799999996</v>
      </c>
      <c r="Y332" s="3">
        <f>281.4+(273.8-228.9)+(-0.574056+(-0.558552--0.466956))+0-28.6--0.0583439999999988</f>
        <v>297.09269199999989</v>
      </c>
      <c r="Z332" s="3">
        <f>282.6+(237.9-190.5)+(-0.432378+(-0.363987--0.291465))+0-33.6--0.0514080000000019</f>
        <v>295.94650799999994</v>
      </c>
      <c r="AA332" s="3">
        <f>283.1+(244.6-209.9)+(-0.433143+(-0.374238--0.321147))+0-33.7--0.051561000000002</f>
        <v>283.66532699999999</v>
      </c>
      <c r="AB332" s="3">
        <f>260.7+(209.1-160)+(-0.265914+(-0.213282--0.1632))+0-33.7--0.0343740000000054</f>
        <v>275.818378</v>
      </c>
      <c r="AC332" s="3">
        <f>180.2+(189.9-70.5)+(-0.183804+(-0.193698--0.07191))+0-33.3--0.0339660000000053</f>
        <v>266.02837400000004</v>
      </c>
      <c r="AD332">
        <v>301.70000000000005</v>
      </c>
      <c r="AE332" s="3">
        <f>281+(262.7-210.7)+(0+(0-0))+0-31.3-0</f>
        <v>301.7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178.7+(203.3-90.1)+(-0.455685+(-0.518415--0.229755))+0-33.1--0.0844049999999952</f>
        <v>258.14005999999995</v>
      </c>
      <c r="G333" s="3">
        <f>176.9+(218.1-131)+(-0.270657+(-0.333693--0.20043))+0-6.7--0.0102510000000004</f>
        <v>256.90633099999997</v>
      </c>
      <c r="H333" s="3">
        <f>98.6+(260.9-85.9)+(-0.150858+(-0.399177--0.131427))+0-15.4--0.0235620000000009</f>
        <v>257.80495400000001</v>
      </c>
      <c r="I333" s="3">
        <f>98.4+(266.4-86.6)+(-0.200736+(-0.543456--0.176664))+0-31--0.0632399999999986</f>
        <v>246.69571200000001</v>
      </c>
      <c r="J333" s="3">
        <f>98.5+(265.8-83.6)+(0.10047+(0.271116-0.085272))+0-30.3-0.0309060000000048</f>
        <v>250.65540800000002</v>
      </c>
      <c r="K333" s="3">
        <f>98.5+(271.1-90.5)+(0.050235+(0.138261-0.046155))+0-29.6-0.015095999999997</f>
        <v>249.62724500000002</v>
      </c>
      <c r="L333" s="3">
        <f>107+(313.4-137.9)+(-0.05457+(-0.159834--0.070329))+0-30.8--0.0157079999999969</f>
        <v>251.57163299999999</v>
      </c>
      <c r="M333" s="3">
        <f>186.8+(323.6-225.8)+(0+(0-0))+0-31.8-0</f>
        <v>252.8</v>
      </c>
      <c r="N333" s="3">
        <f>235.9+(277.7-217.9)+(0.120309+(0.141627-0.111129))+0-32-0.0163199999999968</f>
        <v>263.83448699999997</v>
      </c>
      <c r="O333" s="3">
        <f>278.8+(329.3-292.7)+(-0.142188+(-0.167943--0.149277))+0-31.8--0.0162179999999968</f>
        <v>283.45536400000003</v>
      </c>
      <c r="P333" s="3">
        <f>279.5+(313.9-271.7)+(0+(0-0))+0-31.8-0</f>
        <v>289.89999999999998</v>
      </c>
      <c r="Q333" s="3">
        <f>277.9+(287.6-245.1)+(-0.283458+(-0.293352--0.250002))+0-28.9--0.0294780000000046</f>
        <v>291.20266999999996</v>
      </c>
      <c r="R333" s="3">
        <f>272.1+(311.9-278.4)+(-0.555084+(-0.636276--0.567936))+0-25.9--0.0528359999999989</f>
        <v>279.12941200000006</v>
      </c>
      <c r="S333" s="3">
        <f>271.8+(290-279)+(-0.554472+(-0.5916--0.56916))+0-22.8--0.046511999999999</f>
        <v>259.46960000000001</v>
      </c>
      <c r="T333" s="3">
        <f>270.9+(307.2-292.2)+(-0.276318+(-0.313344--0.298044))+0-30.6--0.0312120000000049</f>
        <v>255.03959399999997</v>
      </c>
      <c r="U333" s="3">
        <f>204.5+(329.5-250.5)+(-0.41718+(-0.67218--0.51102))+0-30.9--0.0630359999999986</f>
        <v>252.08469599999998</v>
      </c>
      <c r="V333" s="3">
        <f>100.6+(376.6-188.2)+(-0.051306+(-0.192066--0.095982))+0-30.9--0.0157589999999969</f>
        <v>257.96836900000005</v>
      </c>
      <c r="W333" s="3">
        <f>100.5+(369-157)+(-0.153765+(-0.56457--0.24021))+0-31--0.0474300000000018</f>
        <v>281.06930500000004</v>
      </c>
      <c r="X333" s="3">
        <f>140.9+(338.8-156.5)+(-0.143718+(-0.345576--0.15963))+0-32.3--0.0329460000000051</f>
        <v>290.60328200000004</v>
      </c>
      <c r="Y333" s="3">
        <f>155.2+(328.2-159.3)+(-0.158304+(-0.334764--0.162486))+0-30.7--0.0313140000000049</f>
        <v>293.10073199999999</v>
      </c>
      <c r="Z333" s="3">
        <f>119.1+(343.4-139.3)+(-0.182223+(-0.525402--0.213129))+0-29.2--0.0446760000000017</f>
        <v>293.5501799999999</v>
      </c>
      <c r="AA333" s="3">
        <f>75.1+(325.9-93.4)+(-0.076602+(-0.332418--0.095268))+0-28.2--0.0287640000000045</f>
        <v>279.11501199999998</v>
      </c>
      <c r="AB333" s="3">
        <f>74.6+(290.8-56.3)+(-0.114138+(-0.444924--0.086139))+0-31.1--0.0475830000000018</f>
        <v>277.57465999999999</v>
      </c>
      <c r="AC333" s="3">
        <f>75.8+(290.7-71.7)+(0+(0-0))+0-31.9-0</f>
        <v>262.90000000000003</v>
      </c>
      <c r="AD333">
        <v>286.2</v>
      </c>
      <c r="AE333" s="3">
        <f>155+(323.8-160.5)+(0+(0-0))+0-32.1-0</f>
        <v>286.2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75.4+(242.9-34.1)+(-0.076908+(-0.247758--0.034782))+0-32.1--0.0327420000000051</f>
        <v>251.84285800000009</v>
      </c>
      <c r="G334" s="3">
        <f>75.5+(250.7-43.4)+(-0.038505+(-0.127857--0.022134))+0-32.3--0.0164729999999967</f>
        <v>250.37224499999994</v>
      </c>
      <c r="H334" s="3">
        <f>118.1+(225.5-67.8)+(0+(0-0))+0-30.8-0</f>
        <v>244.99999999999994</v>
      </c>
      <c r="I334" s="3">
        <f>138.8+(218.6-92.4)+(-0.141576+(-0.222972--0.094248))+0-30.9--0.0315180000000049</f>
        <v>233.86121799999998</v>
      </c>
      <c r="J334" s="3">
        <f>141.6+(222.4-96.2)+(0.36108+(0.56712-0.24531))+0-30.2-0.0770099999999956</f>
        <v>238.20588000000001</v>
      </c>
      <c r="K334" s="3">
        <f>140.5+(217.6-92.8)+(0.071655+(0.110976-0.047328))+0-32-0.0163199999999968</f>
        <v>233.41898300000003</v>
      </c>
      <c r="L334" s="3">
        <f>140.9+(208.4-93.3)+(-0.143718+(-0.212568--0.095166))+0-31.5--0.032130000000005</f>
        <v>224.27100999999999</v>
      </c>
      <c r="M334" s="3">
        <f>140.9+(209.2-103.2)+(0.071859+(0.106692-0.052632))+0-28.4-0.0144839999999971</f>
        <v>218.61143499999997</v>
      </c>
      <c r="N334" s="3">
        <f>138.8+(248.3-131.4)+(0+(0-0))+0-28.7-0</f>
        <v>227.00000000000003</v>
      </c>
      <c r="O334" s="3">
        <f>136.9+(262.4-130.8)+(-0.069819+(-0.133824--0.066708))+0-29.3--0.014942999999997</f>
        <v>239.07800799999998</v>
      </c>
      <c r="P334" s="3">
        <f>136.9+(308.3-169.9)+(-0.069819+(-0.157233--0.086649))+0-25.4--0.0129539999999974</f>
        <v>249.77255100000002</v>
      </c>
      <c r="Q334" s="3">
        <f>135.8+(326.7-210)+(-0.277032+(-0.666468--0.4284))+0-4.5--0.0091799999999998</f>
        <v>247.49408</v>
      </c>
      <c r="R334" s="3">
        <f>81+(360.1-203.3)+(-0.12393+(-0.550953--0.311049))+0-0-0</f>
        <v>237.43616600000001</v>
      </c>
      <c r="S334" s="3">
        <f>80.3+(381.6-218.8)+(-0.122859+(-0.583848--0.334764))+0-13.9--0.0212670000000008</f>
        <v>228.84932400000002</v>
      </c>
      <c r="T334" s="3">
        <f>80+(368.5-190.5)+(-0.1632+(-0.75174--0.38862))+0-27.1--0.0552839999999988</f>
        <v>230.42896400000001</v>
      </c>
      <c r="U334" s="3">
        <f>80.5+(313.8-134.4)+(-0.041055+(-0.160038--0.068544))+0-27.9--0.0142289999999972</f>
        <v>231.88167999999999</v>
      </c>
      <c r="V334" s="3">
        <f>80.5+(304.2-136.7)+(-0.041055+(-0.155142--0.069717))+0-30.2--0.0154019999999969</f>
        <v>217.68892200000002</v>
      </c>
      <c r="W334" s="3">
        <f>80.4+(298.2-112.7)+(-0.082008+(-0.304164--0.114954))+0-31.5--0.032130000000005</f>
        <v>234.160912</v>
      </c>
      <c r="X334" s="3">
        <f>98.3+(302-110.1)+(0+(0-0))+0-30.3-0</f>
        <v>259.89999999999998</v>
      </c>
      <c r="Y334" s="3">
        <f>137.5+(303.7-151.2)+(0.070125+(0.154887-0.077112))+0-32.5-0.0165749999999967</f>
        <v>257.631325</v>
      </c>
      <c r="Z334" s="3">
        <f>135.5+(308.9-147.2)+(-0.13821+(-0.315078--0.150144))+0-30.4--0.0310080000000048</f>
        <v>266.52786400000002</v>
      </c>
      <c r="AA334" s="3">
        <f>122.8+(319.4-149.1)+(-0.31314+(-0.81447--0.380205))+0-31.1--0.0793049999999955</f>
        <v>261.33189999999991</v>
      </c>
      <c r="AB334" s="3">
        <f>75.3+(301.4-95.1)+(-0.076806+(-0.307428--0.097002))+0-30.3--0.0309060000000048</f>
        <v>251.04367399999995</v>
      </c>
      <c r="AC334" s="3">
        <f>74.7+(269.1-76.9)+(-0.152388+(-0.548964--0.156876))+0-31.3--0.0638519999999986</f>
        <v>235.11937600000005</v>
      </c>
      <c r="AD334">
        <v>263.5</v>
      </c>
      <c r="AE334" s="3">
        <f>137+(288.5-131.4)+(0+(0-0))+0-30.6-0</f>
        <v>263.5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74+(250.4-66)+(-0.1887+(-0.63852--0.1683))+0-30.8--0.0785399999999955</f>
        <v>227.01961999999995</v>
      </c>
      <c r="G335" s="3">
        <f>73.8+(245.3-60.6)+(-0.18819+(-0.625515--0.15453))+0-27--0.0688499999999961</f>
        <v>230.90967499999999</v>
      </c>
      <c r="H335" s="3">
        <f>74.3+(262.7-82.5)+(-0.151572+(-0.535908--0.1683))+0-26.3--0.0536519999999989</f>
        <v>227.73447199999998</v>
      </c>
      <c r="I335" s="3">
        <f>55.3+(260.4-65.3)+(-0.112812+(-0.531216--0.133212))+0-26.7--0.0544679999999988</f>
        <v>223.24365199999997</v>
      </c>
      <c r="J335" s="3">
        <f>50.5+(271.3-70.3)+(0.025755+(0.138363-0.035853))+0-27.4-0.0139739999999972</f>
        <v>224.214291</v>
      </c>
      <c r="K335" s="3">
        <f>67.1+(269.7-79.4)+(0.136884+(0.550188-0.161976))+0-27.3-0.0556919999999988</f>
        <v>230.56940399999999</v>
      </c>
      <c r="L335" s="3">
        <f>79.4+(270.8-76.9)+(-0.20247+(-0.69054--0.196095))+0-28.4--0.0724199999999959</f>
        <v>244.27550500000001</v>
      </c>
      <c r="M335" s="3">
        <f>89+(300.1-98.9)+(0.09078+(0.306102-0.100878))+0-30.8-0.0314160000000049</f>
        <v>259.66458800000004</v>
      </c>
      <c r="N335" s="3">
        <f>140.6+(385.4-198.3)+(0+(0-0))+0-29.9-0</f>
        <v>297.79999999999995</v>
      </c>
      <c r="O335" s="3">
        <f>139.1+(409.7-201.3)+(-0.070941+(-0.208947--0.102663))+0-29.9--0.015248999999997</f>
        <v>317.43802399999998</v>
      </c>
      <c r="P335" s="3">
        <f>136.1+(405.7-190.3)+(-0.347055+(-1.034535--0.485265))+0-30.3--0.0772649999999956</f>
        <v>320.38094000000001</v>
      </c>
      <c r="Q335" s="3">
        <f>136.3+(430.7-212.9)+(0.139026+(0.439314-0.217158))+0-31.5-0.032130000000005</f>
        <v>322.92905200000001</v>
      </c>
      <c r="R335" s="3">
        <f>134.5+(427-213.4)+(-0.342975+(-1.08885--0.54417))+0-31.2--0.0795599999999955</f>
        <v>316.09190500000005</v>
      </c>
      <c r="S335" s="3">
        <f>134+(400.3-203.6)+(-0.3417+(-1.020765--0.51918))+0-30.6--0.0780299999999956</f>
        <v>299.33474500000005</v>
      </c>
      <c r="T335" s="3">
        <f>133.9+(425.7-229)+(-0.068289+(-0.217107--0.11679))+0-31.3--0.0159629999999968</f>
        <v>299.147357</v>
      </c>
      <c r="U335" s="3">
        <f>133.5+(437.4-250)+(0+(0-0))+0-30.8-0</f>
        <v>290.09999999999997</v>
      </c>
      <c r="V335" s="3">
        <f>133.7+(445.9-257.3)+(-0.136374+(-0.454818--0.262446))+0-29.8--0.0303960000000048</f>
        <v>292.20164999999992</v>
      </c>
      <c r="W335" s="3">
        <f>134.5+(448.1-260.9)+(0.068595+(0.228531-0.133059))+0-28.8-0.0146879999999971</f>
        <v>293.04937900000004</v>
      </c>
      <c r="X335" s="3">
        <f>135.4+(434.6-228)+(-0.069054+(-0.221646--0.11628))+0-30.3--0.0154529999999969</f>
        <v>311.54103299999997</v>
      </c>
      <c r="Y335" s="3">
        <f>136.9+(432.5-230.9)+(-0.069819+(-0.220575--0.117759))+0-31--0.0158099999999969</f>
        <v>307.34317499999997</v>
      </c>
      <c r="Z335" s="3">
        <f>134.7+(365-173.5)+(-0.274788+(-0.7446--0.35394))+0-31.1--0.0634439999999986</f>
        <v>294.49799599999994</v>
      </c>
      <c r="AA335" s="3">
        <f>135.3+(367.8-187.1)+(0.069003+(0.187578-0.095421))+0-30.3-0.0154529999999969</f>
        <v>285.845707</v>
      </c>
      <c r="AB335" s="3">
        <f>134.5+(351.5-176.8)+(-0.27438+(-0.71706--0.360672))+0-30.2--0.0616079999999987</f>
        <v>278.43083999999999</v>
      </c>
      <c r="AC335" s="3">
        <f>135.6+(285.1-117.6)+(-0.34578+(-0.727005--0.29988))+0-28.3--0.0721649999999959</f>
        <v>274.09926000000002</v>
      </c>
      <c r="AD335">
        <v>306.19999999999993</v>
      </c>
      <c r="AE335" s="3">
        <f>135+(433.9-231.6)+(0+(0-0))+0-31.1-0</f>
        <v>306.19999999999993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137.9+(304.1-139.9)+(-0.210987+(-0.465273--0.214047))+0-28.6--0.0437580000000017</f>
        <v>273.08154500000001</v>
      </c>
      <c r="G336" s="3">
        <f>80.8+(308.8-95.4)+(-0.164832+(-0.629952--0.194616))+0-28.6--0.0583439999999988</f>
        <v>265.05817599999995</v>
      </c>
      <c r="H336" s="3">
        <f>50.5+(354.5-113.8)+(0.05151+(0.36159-0.116076))+0-30.9-0.0315180000000049</f>
        <v>260.56550600000003</v>
      </c>
      <c r="I336" s="3">
        <f>50.5+(317.6-72.7)+(-0.077265+(-0.485928--0.111231))+0-30.1--0.0460530000000017</f>
        <v>264.89409100000006</v>
      </c>
      <c r="J336" s="3">
        <f>50.5+(327.2-94.6)+(-0.025755+(-0.166872--0.048246))+0-31.4--0.0160139999999968</f>
        <v>251.57163299999999</v>
      </c>
      <c r="K336" s="3">
        <f>72.4+(312.6-99)+(0.073848+(0.318852-0.10098))+0-31.8-0.0324360000000051</f>
        <v>254.45928399999997</v>
      </c>
      <c r="L336" s="3">
        <f>75.8+(314.1-100.9)+(0.038658+(0.160191-0.051459))+0-31.6-0.0161159999999968</f>
        <v>257.53127399999994</v>
      </c>
      <c r="M336" s="3">
        <f>75.9+(311.6-95.8)+(0.038709+(0.158916-0.048858))+0-31.4-0.0160139999999968</f>
        <v>260.4327530000001</v>
      </c>
      <c r="N336" s="3">
        <f>110+(314.2-107.2)+(-0.0561+(-0.160242--0.054672))+0-30.8--0.0157079999999969</f>
        <v>286.05403799999999</v>
      </c>
      <c r="O336" s="3">
        <f>138+(383.2-228.7)+(-0.07038+(-0.195432--0.116637))+0-7.4--0.00377399999999925</f>
        <v>284.95459900000003</v>
      </c>
      <c r="P336" s="3">
        <f>137.5+(383.2-216)+(0.070125+(0.195432-0.11016))+0-1.2-0.000611999999999878</f>
        <v>303.654785</v>
      </c>
      <c r="Q336" s="3">
        <f>135.8+(377.2-207.6)+(-0.138516+(-0.384744--0.211752))+0-1.1--0.00112200000000018</f>
        <v>303.98961399999996</v>
      </c>
      <c r="R336" s="3">
        <f>81.9+(409.1-186.9)+(-0.167076+(-0.834564--0.381276))+0-0-0</f>
        <v>303.47963600000003</v>
      </c>
      <c r="S336" s="3">
        <f>75.2+(417-195)+(-0.115056+(-0.63801--0.29835))+0-0-0</f>
        <v>296.74528399999997</v>
      </c>
      <c r="T336" s="3">
        <f>75.7+(423.8-200.2)+(0.038607+(0.216138-0.102102))+0-0-0</f>
        <v>299.45264300000002</v>
      </c>
      <c r="U336" s="3">
        <f>75.2+(445.8-238.6)+(-0.153408+(-0.909432--0.486744))+0-0-0</f>
        <v>281.82390400000003</v>
      </c>
      <c r="V336" s="3">
        <f>75.6+(443.9-240.7)+(0+(0-0))+0-0-0</f>
        <v>278.79999999999995</v>
      </c>
      <c r="W336" s="3">
        <f>75.5+(439.2-222.2)+(-0.038505+(-0.223992--0.113322))+0-0-0</f>
        <v>292.35082499999999</v>
      </c>
      <c r="X336" s="3">
        <f>91.2+(403.1-183.4)+(-0.046512+(-0.205581--0.093534))+0-4.5--0.00229499999999954</f>
        <v>306.24373600000001</v>
      </c>
      <c r="Y336" s="3">
        <f>87+(389.1-169.6)+(-0.13311+(-0.595323--0.259488))+0-4.5--0.00688500000000026</f>
        <v>301.53793999999999</v>
      </c>
      <c r="Z336" s="3">
        <f>50.5+(400.3-147.2)+(-0.128775+(-1.020765--0.37536))+0-6.5--0.0165749999999991</f>
        <v>296.34239500000001</v>
      </c>
      <c r="AA336" s="3">
        <f>50.5+(390-145)+(0.025755+(0.1989-0.07395))+0-7.5-0.00382499999999924</f>
        <v>288.14688000000001</v>
      </c>
      <c r="AB336" s="3">
        <f>50.5+(319.9-79.3)+(-0.10302+(-0.652596--0.161772))+0-8.7--0.0177479999999996</f>
        <v>281.82390399999997</v>
      </c>
      <c r="AC336" s="3">
        <f>50.6+(331.9-107)+(-0.103224+(-0.677076--0.21828))+0-6--0.0122399999999997</f>
        <v>268.95022</v>
      </c>
      <c r="AD336">
        <v>318</v>
      </c>
      <c r="AE336" s="3">
        <f>121+(384.5-183)+(0+(0-0))+0-4.5-0</f>
        <v>318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50.6+(313.5-86.1)+(-0.103224+(-0.63954--0.175644))+0-7.6--0.0155039999999997</f>
        <v>269.84838400000001</v>
      </c>
      <c r="G337" s="3">
        <f>50.6+(291.7-70)+(-0.077418+(-0.446301--0.1071))+0-8.9--0.0136170000000005</f>
        <v>262.99699800000002</v>
      </c>
      <c r="H337" s="3">
        <f>50.5+(287.1-60)+(-0.05151+(-0.292842--0.0612))+0-11.4--0.0116280000000018</f>
        <v>265.9284760000001</v>
      </c>
      <c r="I337" s="3">
        <f>50.5+(296.5-77.9)+(-0.05151+(-0.30243--0.079458))+0-13--0.0132600000000021</f>
        <v>255.83877800000005</v>
      </c>
      <c r="J337" s="3">
        <f>50.5+(295.9-80.6)+(0.05151+(0.301818-0.082212))+0-12.5-0.012750000000002</f>
        <v>253.55836599999995</v>
      </c>
      <c r="K337" s="3">
        <f>50.5+(294-69.7)+(0.077265+(0.44982-0.106641))+0-13.4-0.0205020000000008</f>
        <v>261.79994199999999</v>
      </c>
      <c r="L337" s="3">
        <f>95.8+(355.6-175.9)+(0.097716+(0.362712-0.179418))+0-17.2-0.0175440000000027</f>
        <v>258.56346600000001</v>
      </c>
      <c r="M337" s="3">
        <f>120.9+(360.4-194)+(-0.061659+(-0.183804--0.09894))+0-19.4--0.00989399999999803</f>
        <v>267.76337099999995</v>
      </c>
      <c r="N337" s="3">
        <f>121.4+(393.9-198.1)+(0.185742+(0.602667-0.303093))+0-18.6-0.0284580000000011</f>
        <v>299.05685799999998</v>
      </c>
      <c r="O337" s="3">
        <f>121.4+(409.3-201.6)+(0.123828+(0.417486-0.205632))+0-21.8-0.0222360000000035</f>
        <v>307.61344600000001</v>
      </c>
      <c r="P337" s="3">
        <f>121.2+(401.4-186.8)+(0.123624+(0.409428-0.190536))+0-23.4-0.0238680000000037</f>
        <v>312.71864799999997</v>
      </c>
      <c r="Q337" s="3">
        <f>120.8+(419.8-191.5)+(-0.061608+(-0.214098--0.097665))+0-28.1--0.0143309999999971</f>
        <v>320.83628999999996</v>
      </c>
      <c r="R337" s="3">
        <f>120.6+(421.3-203.2)+(-0.184518+(-0.644589--0.310896))+0-27.2--0.0416160000000016</f>
        <v>311.02340500000003</v>
      </c>
      <c r="S337" s="3">
        <f>121.1+(445.5-247.3)+(0.061761+(0.227205-0.126123))+0-28.3-0.0144329999999971</f>
        <v>291.14840999999996</v>
      </c>
      <c r="T337" s="3">
        <f>121+(466-261)+(-0.06171+(-0.23766--0.13311))+0-28.9--0.0147389999999971</f>
        <v>296.94847900000002</v>
      </c>
      <c r="U337" s="3">
        <f>110.4+(488-280)+(-0.225216+(-0.99552--0.5712))+0-29.1--0.0593639999999987</f>
        <v>288.70982799999996</v>
      </c>
      <c r="V337" s="3">
        <f>75.8+(548-314)+(0.038658+(0.27948-0.16014))+0-28.9-0.0147389999999971</f>
        <v>281.04325900000003</v>
      </c>
      <c r="W337" s="3">
        <f>75.2+(408.4-165.3)+(0+(0-0))+0-29.6-0</f>
        <v>288.69999999999993</v>
      </c>
      <c r="X337" s="3">
        <f>117.8+(349.5-132.7)+(-0.120156+(-0.35649--0.135354))+0-29.4--0.0299880000000047</f>
        <v>304.88869600000004</v>
      </c>
      <c r="Y337" s="3">
        <f>145+(298.1-115.1)+(-0.51765+(-1.064217--0.410907))+0-30.7--0.109599</f>
        <v>296.23863900000003</v>
      </c>
      <c r="Z337" s="3">
        <f>145.6+(272.5-94.6)+(-0.297024+(-0.5559--0.192984))+0-30.5--0.0622199999999987</f>
        <v>292.40228000000002</v>
      </c>
      <c r="AA337" s="3">
        <f>109.6+(310-109.8)+(-0.335376+(-0.9486--0.335988))+0-30.1--0.0921060000000035</f>
        <v>278.84411799999992</v>
      </c>
      <c r="AB337" s="3">
        <f>50.5+(325-79.5)+(-0.05151+(-0.3315--0.08109))+0-30.5--0.0311100000000049</f>
        <v>265.22919000000002</v>
      </c>
      <c r="AC337" s="3">
        <f>50.5+(286.4-52.2)+(-0.10302+(-0.584256--0.106488))+0-28.9--0.0589559999999987</f>
        <v>255.27816799999999</v>
      </c>
      <c r="AD337">
        <v>313.70000000000005</v>
      </c>
      <c r="AE337" s="3">
        <f>146+(323.6-124.7)+(0+(0-0))+0-31.2-0</f>
        <v>313.70000000000005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50.5+(308.1-91)+(-0.077265+(-0.471393--0.13923))+0-21.9--0.0335070000000013</f>
        <v>245.32407900000004</v>
      </c>
      <c r="G338" s="3">
        <f>50.5+(370.9-150.7)+(-0.025755+(-0.189159--0.076857))+0-29.9--0.015248999999997</f>
        <v>240.67719199999996</v>
      </c>
      <c r="H338" s="3">
        <f>50.5+(343.4-126.3)+(-0.128775+(-0.87567--0.322065))+0-27.9--0.0711449999999959</f>
        <v>239.08876499999994</v>
      </c>
      <c r="I338" s="3">
        <f>50.5+(304.5-84.7)+(-0.05151+(-0.31059--0.086394))+0-30.2--0.0308040000000048</f>
        <v>239.85509800000003</v>
      </c>
      <c r="J338" s="3">
        <f>50.5+(289.7-64.6)+(-0.10302+(-0.590988--0.131784))+0-29.8--0.0607919999999987</f>
        <v>245.29856799999999</v>
      </c>
      <c r="K338" s="3">
        <f>50.5+(308.1-77.2)+(0+(0-0))+0-29.9-0</f>
        <v>251.50000000000003</v>
      </c>
      <c r="L338" s="3">
        <f>50.5+(450.6-214.7)+(-0.10302+(-0.919224--0.437988))+0-30.7--0.0626279999999987</f>
        <v>255.17837200000005</v>
      </c>
      <c r="M338" s="3">
        <f>70.5+(562.6-334.9)+(-0.035955+(-0.286926--0.170799))+0-31.3--0.0159629999999968</f>
        <v>266.76388100000003</v>
      </c>
      <c r="N338" s="3">
        <f>146.9+(549.2-371.2)+(0.299676+(1.120368-0.757248))+0-31.5-0.0642599999999986</f>
        <v>293.99853600000012</v>
      </c>
      <c r="O338" s="3">
        <f>146.4+(478.7-287.4)+(0.074664+(0.244137-0.146574))+0-33.6-0.0171359999999966</f>
        <v>304.25509100000005</v>
      </c>
      <c r="P338" s="3">
        <f>146.2+(429.6-234.8)+(0+(0-0))+0-32.8-0</f>
        <v>308.2</v>
      </c>
      <c r="Q338" s="3">
        <f>145.7+(410.6-212.7)+(-0.297228+(-0.837624--0.433908))+0-30.7--0.0626279999999987</f>
        <v>312.26168400000006</v>
      </c>
      <c r="R338" s="3">
        <f>145.6+(404.5-218.4)+(-0.37128+(-1.031475--0.55692))+0-31.4--0.0800699999999954</f>
        <v>299.53423499999997</v>
      </c>
      <c r="S338" s="3">
        <f>143.3+(409.1-230.1)+(-0.219249+(-0.625923--0.352053))+0-31.7--0.0485010000000018</f>
        <v>290.15538200000009</v>
      </c>
      <c r="T338" s="3">
        <f>142.4+(417.8-242.8)+(-0.217872+(-0.639234--0.371484))+0-32.6--0.0498780000000019</f>
        <v>284.36425599999995</v>
      </c>
      <c r="U338" s="3">
        <f>142.8+(398.3-231.2)+(-0.218484+(-0.609399--0.353736))+0-32.3--0.0494190000000019</f>
        <v>277.17527200000001</v>
      </c>
      <c r="V338" s="3">
        <f>143.4+(392-226.4)+(0.146268+(0.39984-0.230928))+0-32.6-0.0332520000000052</f>
        <v>276.68192799999997</v>
      </c>
      <c r="W338" s="3">
        <f>143.2+(324.1-148.1)+(0.073032+(0.165291-0.075531))+0-33.6-0.0171359999999966</f>
        <v>285.74565600000005</v>
      </c>
      <c r="X338" s="3">
        <f>143.1+(310.9-115.8)+(0+(0-0))+0-33.9-0</f>
        <v>304.29999999999995</v>
      </c>
      <c r="Y338" s="3">
        <f>145.1+(336.9-149.2)+(-0.370005+(-0.859095--0.38046))+0-33.9--0.0864449999999951</f>
        <v>298.13780499999996</v>
      </c>
      <c r="Z338" s="3">
        <f>146+(307.7-124.7)+(0+(0-0))+0-33.6-0</f>
        <v>295.39999999999998</v>
      </c>
      <c r="AA338" s="3">
        <f>145.7+(332.9-156.7)+(-0.222921+(-0.509337--0.239751))+0-33.2--0.0507960000000019</f>
        <v>288.25828899999999</v>
      </c>
      <c r="AB338" s="3">
        <f>139.5+(256.4-86.6)+(-0.213435+(-0.392292--0.132498))+0-32.6--0.0498780000000019</f>
        <v>276.27664899999991</v>
      </c>
      <c r="AC338" s="3">
        <f>90.2+(252.1-40.2)+(-0.092004+(-0.257142--0.041004))+0-33.6--0.0342720000000054</f>
        <v>268.22612999999996</v>
      </c>
      <c r="AD338">
        <v>305</v>
      </c>
      <c r="AE338" s="3">
        <f>143+(333.9-138)+(0+(0-0))+0-33.9-0</f>
        <v>305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90.3+(236.6-33.9)+(-0.138159+(-0.361998--0.051867))+0-33.5--0.0512550000000019</f>
        <v>259.10296500000004</v>
      </c>
      <c r="G339" s="3">
        <f>90.7+(221.3-26.9)+(0+(0-0))+0-32.3-0</f>
        <v>252.8</v>
      </c>
      <c r="H339" s="3">
        <f>84.6+(229-32.5)+(-0.129438+(-0.35037--0.049725))+0-31--0.0474300000000018</f>
        <v>249.71734699999999</v>
      </c>
      <c r="I339" s="3">
        <f>80.8+(234.7-34.7)+(0.041208+(0.119697-0.017697))+0-27.9-0.0142289999999972</f>
        <v>253.02897900000002</v>
      </c>
      <c r="J339" s="3">
        <f>80.8+(245.4-47.1)+(-0.041208+(-0.125154--0.024021))+0-30.3--0.0154529999999969</f>
        <v>248.67311200000003</v>
      </c>
      <c r="K339" s="3">
        <f>81.1+(280-76.2)+(0.124083+(0.4284-0.116586))+0-30-0.0459000000000017</f>
        <v>255.289997</v>
      </c>
      <c r="L339" s="3">
        <f>80.3+(292.1-88.6)+(-0.040953+(-0.148971--0.045186))+0-31--0.0158099999999969</f>
        <v>252.67107199999998</v>
      </c>
      <c r="M339" s="3">
        <f>80.6+(308.3-99.3)+(0.041106+(0.157233-0.050643))+0-25.4-0.0129539999999974</f>
        <v>264.33474200000006</v>
      </c>
      <c r="N339" s="3">
        <f>80.5+(470.4-229.7)+(-0.041055+(-0.239904--0.117147))+0-31.4--0.0160139999999968</f>
        <v>289.65220199999999</v>
      </c>
      <c r="O339" s="3">
        <f>137.9+(374.3-185.2)+(-0.070329+(-0.190893--0.094452))+0-31.8--0.0162179999999968</f>
        <v>295.04944799999998</v>
      </c>
      <c r="P339" s="3">
        <f>144.3+(358.5-170.1)+(0+(0-0))+0-32.1-0</f>
        <v>300.60000000000002</v>
      </c>
      <c r="Q339" s="3">
        <f>143.9+(359.4-167.3)+(-0.146778+(-0.366588--0.170646))+0-35.9--0.0366180000000057</f>
        <v>299.79389800000007</v>
      </c>
      <c r="R339" s="3">
        <f>143.2+(360.8-172.5)+(-0.292128+(-0.736032--0.3519))+0-38.4--0.0783359999999983</f>
        <v>292.50207599999999</v>
      </c>
      <c r="S339" s="3">
        <f>143.9+(368.2-187.6)+(-0.220167+(-0.563346--0.287028))+0-38.9--0.0595170000000022</f>
        <v>285.16303200000004</v>
      </c>
      <c r="T339" s="3">
        <f>143.7+(372.4-192.6)+(-0.293148+(-0.759696--0.392904))+0-34.9--0.0711959999999985</f>
        <v>288.011256</v>
      </c>
      <c r="U339" s="3">
        <f>143.4+(373.9-202.3)+(-0.219402+(-0.572067--0.309519))+0-30.2--0.0462060000000017</f>
        <v>284.36425600000001</v>
      </c>
      <c r="V339" s="3">
        <f>144.1+(362.7-219.9)+(-0.146982+(-0.369954--0.224298))+0-9.6--0.00979200000000153</f>
        <v>277.01715399999995</v>
      </c>
      <c r="W339" s="3">
        <f>143.7+(323.5-171.9)+(-0.146574+(-0.32997--0.175338))+0-8--0.00816000000000128</f>
        <v>287.00695399999995</v>
      </c>
      <c r="X339" s="3">
        <f>143.7+(322-159.3)+(-0.219861+(-0.49266--0.243729))+0-8.2--0.0125460000000005</f>
        <v>297.74375399999997</v>
      </c>
      <c r="Y339" s="3">
        <f>143.8+(320.5-156.9)+(-0.146676+(-0.32691--0.160038))+0-8--0.00816000000000128</f>
        <v>299.09461199999993</v>
      </c>
      <c r="Z339" s="3">
        <f>143+(320.9-161.9)+(-0.43758+(-0.981954--0.495414))+0-7.9--0.0241740000000009</f>
        <v>293.20005400000002</v>
      </c>
      <c r="AA339" s="3">
        <f>144+(298.8-148.2)+(-0.14688+(-0.304776--0.151164))+0-7.6--0.00775200000000121</f>
        <v>286.70725999999996</v>
      </c>
      <c r="AB339" s="3">
        <f>144.7+(291.5-151.8)+(-0.368985+(-0.743325--0.38709))+0-7.4--0.0188699999999989</f>
        <v>276.29365000000001</v>
      </c>
      <c r="AC339" s="3">
        <f>145.5+(217.1-87.9)+(-0.29682+(-0.442884--0.179316))+0-7.6--0.0155039999999997</f>
        <v>266.555116</v>
      </c>
      <c r="AD339">
        <v>303.09999999999997</v>
      </c>
      <c r="AE339" s="3">
        <f>143+(328.7-160.5)+(0+(0-0))+0-8.1-0</f>
        <v>303.09999999999997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146+(222.2-102)+(-0.14892+(-0.226644--0.10404))+0-7.9--0.00805800000000126</f>
        <v>258.03653400000002</v>
      </c>
      <c r="G340" s="3">
        <f>146.1+(212.5-99.4)+(0+(0-0))+0-7.8-0</f>
        <v>251.39999999999998</v>
      </c>
      <c r="H340" s="3">
        <f>145.7+(201-97.2)+(-0.074307+(-0.10251--0.049572))+0-8.2--0.00418199999999917</f>
        <v>241.17693700000001</v>
      </c>
      <c r="I340" s="3">
        <f>73+(309.2-127.8)+(0.14892+(0.630768-0.260712))+0-9.5-0.0193799999999996</f>
        <v>245.39959599999997</v>
      </c>
      <c r="J340" s="3">
        <f>71.2+(278.4-94.2)+(0.108936+(0.425952-0.144126))+0-11.8-0.0180540000000007</f>
        <v>243.97270799999995</v>
      </c>
      <c r="K340" s="3">
        <f>130.8+(200.5-73.6)+(0.33354+(0.511275-0.18768))+0-13.4-0.0341699999999981</f>
        <v>244.92296500000003</v>
      </c>
      <c r="L340" s="3">
        <f>139.7+(211.8-92.6)+(-0.071247+(-0.108018--0.047226))+0-11--0.00560999999999888</f>
        <v>247.77357099999995</v>
      </c>
      <c r="M340" s="3">
        <f>110.9+(245.3-79.7)+(0+(0-0))+0-15.2-0</f>
        <v>261.3</v>
      </c>
      <c r="N340" s="3">
        <f>111.6+(324.7-130.5)+(0.227664+(0.662388-0.26622))+0-17.4-0.0354959999999992</f>
        <v>288.98833599999995</v>
      </c>
      <c r="O340" s="3">
        <f>111.5+(380.3-164.8)+(0.11373+(0.387906-0.168096))+0-17.2-0.0175440000000027</f>
        <v>310.11599600000005</v>
      </c>
      <c r="P340" s="3">
        <f>110.9+(384.4-165.4)+(0+(0-0))+0-19.7-0</f>
        <v>310.2</v>
      </c>
      <c r="Q340" s="3">
        <f>111.2+(395.3-172.5)+(0.170136+(0.604809-0.263925))+0-22.6-0.0345780000000013</f>
        <v>311.87644199999994</v>
      </c>
      <c r="R340" s="3">
        <f>109.7+(384.6-164.1)+(-0.335682+(-1.176876--0.502146))+0-24.9--0.0761940000000029</f>
        <v>304.36578200000008</v>
      </c>
      <c r="S340" s="3">
        <f>109.5+(410.5-203.5)+(-0.33507+(-1.25613--0.62271))+0-27.6--0.0844560000000032</f>
        <v>288.01596599999999</v>
      </c>
      <c r="T340" s="3">
        <f>110.1+(437.4-238.7)+(-0.112302+(-0.446148--0.243474))+0-29--0.0295800000000046</f>
        <v>279.51460399999996</v>
      </c>
      <c r="U340" s="3">
        <f>109.9+(437.3-242.5)+(-0.280245+(-1.115115--0.618375))+0-29.5--0.0752249999999957</f>
        <v>274.49824000000001</v>
      </c>
      <c r="V340" s="3">
        <f>110.9+(411.7-225.1)+(-0.113118+(-0.419934--0.229602))+0-30.5--0.0311100000000049</f>
        <v>266.72766000000001</v>
      </c>
      <c r="W340" s="3">
        <f>121+(372.1-190.5)+(0+(0-0))+0-30.5-0</f>
        <v>272.10000000000002</v>
      </c>
      <c r="X340" s="3">
        <f>142.2+(333-150)+(0+(0-0))+0-31.1-0</f>
        <v>294.09999999999997</v>
      </c>
      <c r="Y340" s="3">
        <f>142.3+(303.7-130.5)+(-0.145146+(-0.309774--0.13311))+0-31.4--0.032028000000005</f>
        <v>283.81021800000002</v>
      </c>
      <c r="Z340" s="3">
        <f>142.7+(293.7-118.5)+(-0.291108+(-0.599148--0.24174))+0-31.4--0.0640559999999986</f>
        <v>285.91554000000002</v>
      </c>
      <c r="AA340" s="3">
        <f>144.3+(296-135.5)+(0+(0-0))+0-30.7-0</f>
        <v>274.10000000000002</v>
      </c>
      <c r="AB340" s="3">
        <f>143.3+(302.6-147)+(-0.292332+(-0.617304--0.29988))+0-30.7--0.0626279999999987</f>
        <v>267.65287200000006</v>
      </c>
      <c r="AC340" s="3">
        <f>143.9+(295.8-147.1)+(-0.146778+(-0.301716--0.150042))+0-31--0.0316200000000049</f>
        <v>261.33316800000006</v>
      </c>
      <c r="AD340">
        <v>305.89999999999998</v>
      </c>
      <c r="AE340" s="3">
        <f>142+(331.5-136.3)+(0+(0-0))+0-31.3-0</f>
        <v>305.89999999999998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143.9+(246.5-114.8)+(-0.146778+(-0.25143--0.117096))+0-31--0.0316200000000049</f>
        <v>244.35050800000002</v>
      </c>
      <c r="G341" s="3">
        <f>145.1+(279.4-157.2)+(-0.074001+(-0.142494--0.080172))+0-31.1--0.0158609999999968</f>
        <v>236.07953799999996</v>
      </c>
      <c r="H341" s="3">
        <f>145.9+(238.8-125.6)+(0.223227+(0.365364-0.192168))+0-31.2-0.0477360000000018</f>
        <v>228.24868700000005</v>
      </c>
      <c r="I341" s="3">
        <f>83.2+(316.1-135.5)+(-0.127296+(-0.483633--0.207315))+0-31.1--0.0475830000000018</f>
        <v>232.34396900000002</v>
      </c>
      <c r="J341" s="3">
        <f>50.6+(333.7-124.4)+(-0.025806+(-0.170187--0.063444))+0-29.6--0.015095999999997</f>
        <v>230.182547</v>
      </c>
      <c r="K341" s="3">
        <f>50.6+(347.9-139.4)+(0+(0-0))+0-30.3-0</f>
        <v>228.79999999999995</v>
      </c>
      <c r="L341" s="3">
        <f>50.5+(284.7-87.3)+(-0.10302+(-0.580788--0.178092))+0-30.6--0.0624239999999987</f>
        <v>216.85670799999997</v>
      </c>
      <c r="M341" s="3">
        <f>50.6+(292.7-98.6)+(-0.025806+(-0.149277--0.050286))+0-30.2--0.0154019999999969</f>
        <v>214.39060499999999</v>
      </c>
      <c r="N341" s="3">
        <f>119.4+(273.5-127.2)+(-0.060894+(-0.139485--0.064872))+0-30.8--0.0157079999999969</f>
        <v>234.78020100000001</v>
      </c>
      <c r="O341" s="3">
        <f>141.3+(331.8-205.1)+(0+(0-0))+0-31.2-0</f>
        <v>236.8</v>
      </c>
      <c r="P341" s="3">
        <f>141.3+(391.8-265.7)+(0.072063+(0.199818-0.135507))+0-31.5-0.0160649999999968</f>
        <v>236.02030900000003</v>
      </c>
      <c r="Q341" s="3">
        <f>140.4+(378.4-249)+(-0.286416+(-0.771936--0.50796))+0-31.3--0.0638519999999986</f>
        <v>238.01345999999995</v>
      </c>
      <c r="R341" s="3">
        <f>140.6+(389.7-261.5)+(-0.215118+(-0.596241--0.400095))+0-32.3--0.0494190000000019</f>
        <v>236.13815499999993</v>
      </c>
      <c r="S341" s="3">
        <f>83.5+(414.7-231.8)+(-0.127755+(-0.634491--0.354654))+0-32.2--0.0492660000000019</f>
        <v>233.84167399999995</v>
      </c>
      <c r="T341" s="3">
        <f>50.5+(430.9-221.3)+(-0.077265+(-0.659277--0.338589))+0-31.3--0.0478890000000018</f>
        <v>228.44993599999998</v>
      </c>
      <c r="U341" s="3">
        <f>57.2+(427.3-233.2)+(-0.058344+(-0.435846--0.237864))+0-30--0.0306000000000048</f>
        <v>221.074274</v>
      </c>
      <c r="V341" s="3">
        <f>90.9+(413.4-249.5)+(0+(0-0))+0-31-0</f>
        <v>223.79999999999998</v>
      </c>
      <c r="W341" s="3">
        <f>92+(375-197.4)+(-0.09384+(-0.3825--0.201348))+0-32.7--0.0333540000000052</f>
        <v>236.65836200000004</v>
      </c>
      <c r="X341" s="3">
        <f>141.2+(378.7-225.5)+(0+(0-0))+0-34.1-0</f>
        <v>260.29999999999995</v>
      </c>
      <c r="Y341" s="3">
        <f>141.2+(375.8-225.8)+(0+(0-0))+0-31.9-0</f>
        <v>259.3</v>
      </c>
      <c r="Z341" s="3">
        <f>141.2+(346.5-200.4)+(-0.072012+(-0.176715--0.102204))+0-30.4--0.0155039999999969</f>
        <v>256.768981</v>
      </c>
      <c r="AA341" s="3">
        <f>142+(360.2-218.8)+(0+(0-0))+0-33.9-0</f>
        <v>249.49999999999997</v>
      </c>
      <c r="AB341" s="3">
        <f>142.2+(365.3-232.1)+(-0.36261+(-0.931515--0.591855))+0-33.1--0.0844049999999952</f>
        <v>241.68213499999999</v>
      </c>
      <c r="AC341" s="3">
        <f>142.7+(328.3-206.5)+(-0.291108+(-0.669732--0.42126))+0-33.4--0.0681359999999985</f>
        <v>230.628556</v>
      </c>
      <c r="AD341">
        <v>256.09999999999997</v>
      </c>
      <c r="AE341" s="3">
        <f>141+(384.3-234.4)+(0+(0-0))+0-34.8-0</f>
        <v>256.09999999999997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142.8+(326.5-203.7)+(0+(0-0))+0-33-0</f>
        <v>232.60000000000002</v>
      </c>
      <c r="G342" s="3">
        <f>91.7+(260.7-92.7)+(0.046767+(0.132957-0.047277))+0-32.1-0.0163709999999967</f>
        <v>227.71607600000002</v>
      </c>
      <c r="H342" s="3">
        <f>70.3+(252.2-75.4)+(0+(0-0))+0-30.3-0</f>
        <v>216.79999999999995</v>
      </c>
      <c r="I342" s="3">
        <f>70.6+(285.8-101.7)+(-0.036006+(-0.145758--0.051867))+0-32.2--0.0164219999999967</f>
        <v>222.38652500000003</v>
      </c>
      <c r="J342" s="3">
        <f>70+(292.6-106.4)+(-0.0357+(-0.149226--0.054264))+0-32.8--0.0167279999999967</f>
        <v>223.28606600000006</v>
      </c>
      <c r="K342" s="3">
        <f>71.4+(256.2-69.8)+(0.145656+(0.522648-0.142392))+0-33-0.0673199999999986</f>
        <v>225.25859199999996</v>
      </c>
      <c r="L342" s="3">
        <f>71.3+(310.2-107.3)+(0.072726+(0.316404-0.109446))+0-33.1-0.0337620000000053</f>
        <v>241.34592199999997</v>
      </c>
      <c r="M342" s="3">
        <f>84.1+(427.2-210.2)+(0.042891+(0.217872-0.107202))+0-33.4-0.0170339999999966</f>
        <v>267.83652700000005</v>
      </c>
      <c r="N342" s="3">
        <f>140.6+(483-289.2)+(0+(0-0))+0-33.8-0</f>
        <v>300.59999999999997</v>
      </c>
      <c r="O342" s="3">
        <f>140+(418.5-217.3)+(0+(0-0))+0-32.3-0</f>
        <v>308.89999999999998</v>
      </c>
      <c r="P342" s="3">
        <f>140.3+(394.8-182.3)+(0.071553+(0.201348-0.092973))+0-33.8-0.0172379999999966</f>
        <v>319.16269</v>
      </c>
      <c r="Q342" s="3">
        <f>248.1+(395.9-290.8)+(-0.379593+(-0.605727--0.444924))+0-32.5--0.0497250000000019</f>
        <v>320.20932899999997</v>
      </c>
      <c r="R342" s="3">
        <f>274+(408.5-336.4)+(-0.41922+(-0.625005--0.514692))+0-32.4--0.0495720000000019</f>
        <v>313.22003900000004</v>
      </c>
      <c r="S342" s="3">
        <f>272.9+(420.7-364.2)+(-0.278358+(-0.429114--0.371484))+0-33--0.0336600000000053</f>
        <v>296.09767199999999</v>
      </c>
      <c r="T342" s="3">
        <f>272.9+(439.5-384.9)+(0.139179+(0.224145-0.196299))+0-33.2-0.0169319999999966</f>
        <v>294.45009300000004</v>
      </c>
      <c r="U342" s="3">
        <f>273+(433.3-381.1)+(0+(0-0))+0-32.7-0</f>
        <v>292.5</v>
      </c>
      <c r="V342" s="3">
        <f>272.9+(388.2-327.7)+(-0.139179+(-0.197982--0.167127))+0-33.3--0.0169829999999966</f>
        <v>299.94694899999996</v>
      </c>
      <c r="W342" s="3">
        <f>273.2+(290-220.5)+(0+(0-0))+0-33.9-0</f>
        <v>308.8</v>
      </c>
      <c r="X342" s="3">
        <f>274.7+(314.5-226.5)+(0+(0-0))+0-34.1-0</f>
        <v>328.59999999999997</v>
      </c>
      <c r="Y342" s="3">
        <f>274.8+(318-238.4)+(-0.560592+(-0.64872--0.486336))+0-32.6--0.0665039999999986</f>
        <v>321.14352799999995</v>
      </c>
      <c r="Z342" s="3">
        <f>276.2+(331.4-260.3)+(0.140862+(0.169014-0.132753))+0-33.3-0.0169829999999966</f>
        <v>314.16013999999996</v>
      </c>
      <c r="AA342" s="3">
        <f>276+(340.3-277.9)+(-0.42228+(-0.520659--0.425187))+0-32.6--0.0498780000000019</f>
        <v>305.33212600000002</v>
      </c>
      <c r="AB342" s="3">
        <f>275.1+(361.4-304.3)+(-0.982107+(-1.290198--1.086351))+0-33--0.11781</f>
        <v>298.13185600000003</v>
      </c>
      <c r="AC342" s="3">
        <f>275.4+(395-357.3)+(-0.842724+(-1.2087--1.093338))+0-26.7--0.0817020000000031</f>
        <v>285.523616</v>
      </c>
      <c r="AD342">
        <v>323.89999999999998</v>
      </c>
      <c r="AE342" s="3">
        <f>274+(308.4-226.1)+(0+(0-0))+0-32.4-0</f>
        <v>323.89999999999998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194.3+(394.9-307.7)+(0+(0-0))+0-7.4-0</f>
        <v>274.10000000000002</v>
      </c>
      <c r="G343" s="3">
        <f>105.4+(249.4-79.5)+(-0.215016+(-0.508776--0.16218))+0-7.1--0.0144839999999997</f>
        <v>267.65287199999995</v>
      </c>
      <c r="H343" s="3">
        <f>90.5+(222.9-53.1)+(0.046155+(0.113679-0.027081))+0-7.1-0.00362099999999928</f>
        <v>253.32913199999999</v>
      </c>
      <c r="I343" s="3">
        <f>89+(218.3-47.4)+(-0.13617+(-0.333999--0.072522))+0-6.9--0.0105570000000004</f>
        <v>252.61290999999997</v>
      </c>
      <c r="J343" s="3">
        <f>90.4+(239.1-72.7)+(0.138312+(0.365823-0.111231))+0-7-0.0107100000000004</f>
        <v>250.18219399999995</v>
      </c>
      <c r="K343" s="3">
        <f>90.7+(236.1-67.9)+(0.185028+(0.481644-0.138516))+0-6.9-0.0140759999999997</f>
        <v>252.51408000000001</v>
      </c>
      <c r="L343" s="3">
        <f>126+(255.1-138)+(0+(0-0))+0-6.9-0</f>
        <v>236.2</v>
      </c>
      <c r="M343" s="3">
        <f>131.3+(338.9-177)+(-0.066963+(-0.172839--0.09027))+0-7.3--0.00372299999999926</f>
        <v>285.75419099999993</v>
      </c>
      <c r="N343" s="3">
        <f>151.3+(408.9-234.7)+(-0.154326+(-0.417078--0.239394))+0-7.3--0.00744600000000116</f>
        <v>317.87543599999998</v>
      </c>
      <c r="O343" s="3">
        <f>266.9+(382-330)+(-0.272238+(-0.38964--0.3366))+0-7.3--0.00744600000000116</f>
        <v>311.28216799999996</v>
      </c>
      <c r="P343" s="3">
        <f>269.6+(398.6-332.9)+(-0.68748+(-1.01643--0.848895))+0-7.2--0.018359999999999</f>
        <v>327.26334500000007</v>
      </c>
      <c r="Q343" s="3">
        <f>271.3+(375.3-321.1)+(0+(0-0))+0-8.3-0</f>
        <v>317.2</v>
      </c>
      <c r="R343" s="3">
        <f>256.9+(389.9-319.7)+(-0.131019+(-0.198849--0.163047))+0-10.2--0.00520199999999897</f>
        <v>316.73838099999995</v>
      </c>
      <c r="S343" s="3">
        <f>180.4+(435.7-303.9)+(-0.184008+(-0.444414--0.309978))+0-11.9--0.0121380000000019</f>
        <v>299.99369400000006</v>
      </c>
      <c r="T343" s="3">
        <f>181+(445.4-310.3)+(0+(0-0))+0-13.9-0</f>
        <v>302.2</v>
      </c>
      <c r="U343" s="3">
        <f>188.1+(469.6-344.8)+(-0.095931+(-0.239496--0.175848))+0-11.2--0.00571199999999886</f>
        <v>301.546133</v>
      </c>
      <c r="V343" s="3">
        <f>237.3+(478.7-397.9)+(-0.363069+(-0.732411--0.608787))+0-15--0.0229500000000009</f>
        <v>302.636257</v>
      </c>
      <c r="W343" s="3">
        <f>237.1+(372.3-280.2)+(-0.241842+(-0.379746--0.285804))+0-13.4--0.0136680000000021</f>
        <v>315.47788400000007</v>
      </c>
      <c r="X343" s="3">
        <f>259.6+(334.7-244.2)+(-0.397188+(-0.512091--0.373626))+0-16.4--0.0250920000000009</f>
        <v>333.18943900000005</v>
      </c>
      <c r="Y343" s="3">
        <f>267.6+(348-274.4)+(-0.272952+(-0.35496--0.279888))+0-19.2--0.0195840000000031</f>
        <v>321.67156000000006</v>
      </c>
      <c r="Z343" s="3">
        <f>268.3+(371.9-304.4)+(0+(0-0))+0-22.1-0</f>
        <v>313.7</v>
      </c>
      <c r="AA343" s="3">
        <f>237.8+(403.7-320.4)+(-0.242556+(-0.411774--0.326808))+0-24.5--0.0249900000000039</f>
        <v>296.29746800000004</v>
      </c>
      <c r="AB343" s="3">
        <f>227.3+(407.4-323.7)+(-0.579615+(-1.03887--0.825435))+0-27.3--0.069614999999996</f>
        <v>282.97656499999999</v>
      </c>
      <c r="AC343" s="3">
        <f>105.7+(520-312.4)+(-0.107814+(-0.5304--0.318648))+0-29.6--0.0301920000000047</f>
        <v>283.41062599999998</v>
      </c>
      <c r="AD343">
        <v>332.59999999999997</v>
      </c>
      <c r="AE343" s="3">
        <f>265+(321-235.6)+(0+(0-0))+0-17.8-0</f>
        <v>332.59999999999997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50.5+(541.9-293.9)+(-0.077265+(-0.829107--0.449667))+0-27--0.0413100000000016</f>
        <v>271.08460500000001</v>
      </c>
      <c r="G344" s="3">
        <f>50.5+(497.1-258.9)+(-0.025755+(-0.253521--0.132039))+0-30.4--0.0155039999999969</f>
        <v>258.16826700000007</v>
      </c>
      <c r="H344" s="3">
        <f>50.5+(490.3-252.9)+(0.05151+(0.500106-0.257958))+0-29.7-0.0302940000000047</f>
        <v>258.46336399999996</v>
      </c>
      <c r="I344" s="3">
        <f>50.5+(482.3-247.1)+(0+(0-0))+0-29.9-0</f>
        <v>255.80000000000004</v>
      </c>
      <c r="J344" s="3">
        <f>50.5+(478.6-246.3)+(-0.05151+(-0.488172--0.251226))+0-29.5--0.0300900000000047</f>
        <v>253.04163400000002</v>
      </c>
      <c r="K344" s="3">
        <f>50.5+(515.3-286)+(-0.025755+(-0.262803--0.14586))+0-29.9--0.015248999999997</f>
        <v>249.77255099999994</v>
      </c>
      <c r="L344" s="3">
        <f>50.5+(569.1-333.1)+(-0.128775+(-1.451205--0.849405))+0-29.8--0.0759899999999957</f>
        <v>256.04541499999999</v>
      </c>
      <c r="M344" s="3">
        <f>65.6+(648.2-408.1)+(0.066912+(0.661164-0.416262))+0-30.3-0.0309060000000048</f>
        <v>275.68090800000004</v>
      </c>
      <c r="N344" s="3">
        <f>140.4+(750.7-553.4)+(0.214812+(1.148571-0.846702))+0-30.8-0.0471240000000018</f>
        <v>307.36955700000004</v>
      </c>
      <c r="O344" s="3">
        <f>139.5+(671.8-473.6)+(-0.355725+(-1.71309--1.20768))+0-30.7--0.0782849999999955</f>
        <v>306.21714999999995</v>
      </c>
      <c r="P344" s="3">
        <f>140.2+(698-498.6)+(0.143004+(0.71196-0.508572))+0-30.8-0.0314160000000049</f>
        <v>309.11497599999996</v>
      </c>
      <c r="Q344" s="3">
        <f>137.4+(670-464.1)+(-0.140148+(-0.6834--0.473382))+0-31.1--0.031722000000005</f>
        <v>311.88155599999993</v>
      </c>
      <c r="R344" s="3">
        <f>135.9+(687.5-488.3)+(-0.069309+(-0.350625--0.249033))+0-30.6--0.0156059999999969</f>
        <v>304.34470499999998</v>
      </c>
      <c r="S344" s="3">
        <f>135.7+(671.6-479.5)+(-0.138414+(-0.685032--0.48909))+0-31.1--0.031722000000005</f>
        <v>296.39736599999998</v>
      </c>
      <c r="T344" s="3">
        <f>135.9+(692.4-498.2)+(-0.069309+(-0.353124--0.254082))+0-30.7--0.0156569999999969</f>
        <v>299.24730600000004</v>
      </c>
      <c r="U344" s="3">
        <f>135.5+(689.7-497.8)+(-0.27642+(-1.406988--1.015512))+0-31.3--0.0638519999999986</f>
        <v>295.49595600000004</v>
      </c>
      <c r="V344" s="3">
        <f>135.9+(612.9-422)+(-0.069309+(-0.312579--0.21522))+0-29.6--0.015095999999997</f>
        <v>297.04842799999989</v>
      </c>
      <c r="W344" s="3">
        <f>164.3+(561.2-387.8)+(-0.335172+(-1.144848--0.791112))+0-29.4--0.0599759999999987</f>
        <v>307.67106800000005</v>
      </c>
      <c r="X344" s="3">
        <f>256.3+(562.1-459.9)+(-0.130713+(-0.286671--0.234549))+0-30.5--0.0155549999999969</f>
        <v>327.83272000000005</v>
      </c>
      <c r="Y344" s="3">
        <f>264.3+(560.7-468.9)+(-0.673965+(-1.429785--1.195695))+0-31.9--0.0813449999999954</f>
        <v>323.37329000000011</v>
      </c>
      <c r="Z344" s="3">
        <f>266.7+(639.4-552.2)+(-0.408051+(-0.978282--0.844866))+0-30.9--0.0472770000000018</f>
        <v>322.50580999999994</v>
      </c>
      <c r="AA344" s="3">
        <f>267.5+(696.7-618.5)+(-0.136425+(-0.355317--0.315435))+0-30.3--0.0154529999999969</f>
        <v>315.23914600000001</v>
      </c>
      <c r="AB344" s="3">
        <f>267.2+(640.6-575.8)+(-0.136272+(-0.326706--0.293658))+0-31.1--0.0158609999999968</f>
        <v>300.74654099999998</v>
      </c>
      <c r="AC344" s="3">
        <f>250.5+(666.2-596.6)+(0+(0-0))+0-28.9-0</f>
        <v>291.20000000000005</v>
      </c>
      <c r="AD344">
        <v>330.5</v>
      </c>
      <c r="AE344" s="3">
        <f>268+(566.1-473.8)+(0+(0-0))+0-29.8-0</f>
        <v>330.5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188.7+(502.2-389.8)+(-0.481185+(-1.28061--0.99399))+0-29--0.0739499999999958</f>
        <v>271.40614499999992</v>
      </c>
      <c r="G345" s="3">
        <f>189.4+(367.5-265.3)+(-0.289782+(-0.562275--0.405909))+0-29.4--0.0449820000000017</f>
        <v>261.79883400000006</v>
      </c>
      <c r="H345" s="3">
        <f>190.2+(388.7-290.7)+(-0.194004+(-0.396474--0.296514))+0-30.8--0.0314160000000049</f>
        <v>257.13745199999994</v>
      </c>
      <c r="I345" s="3">
        <f>189.7+(390.8-293.1)+(-0.290241+(-0.597924--0.448443))+0-31.2--0.0477360000000018</f>
        <v>255.80801399999999</v>
      </c>
      <c r="J345" s="3">
        <f>171.9+(350.6-235.1)+(0.175338+(0.357612-0.239802))+0-31.1-0.031722000000005</f>
        <v>256.56142599999998</v>
      </c>
      <c r="K345" s="3">
        <f>218.2+(364.6-297.4)+(0.111282+(0.185946-0.151674))+0-31.4-0.0160139999999968</f>
        <v>254.12954000000005</v>
      </c>
      <c r="L345" s="3">
        <f>272.3+(552.8-530.4)+(0.138873+(0.281928-0.270504))+0-31.6-0.0161159999999968</f>
        <v>263.23418099999998</v>
      </c>
      <c r="M345" s="3">
        <f>272.5+(618.5-580.6)+(0.138975+(0.315435-0.296106))+0-29.9-0.015248999999997</f>
        <v>280.643055</v>
      </c>
      <c r="N345" s="3">
        <f>268.1+(667.1-593.1)+(0.273462+(0.680442-0.604962))+0-32.1-0.0327420000000051</f>
        <v>310.31620000000004</v>
      </c>
      <c r="O345" s="3">
        <f>266.8+(676.3-589.3)+(0.272136+(0.689826-0.601086))+0-31-0.0316200000000049</f>
        <v>323.129256</v>
      </c>
      <c r="P345" s="3">
        <f>265.2+(655-565.9)+(-0.405756+(-1.00215--0.865827))+0-30.7--0.0469710000000018</f>
        <v>323.10489200000001</v>
      </c>
      <c r="Q345" s="3">
        <f>265.6+(654-561.4)+(-0.270912+(-0.66708--0.572628))+0-32--0.0326400000000051</f>
        <v>325.86727600000006</v>
      </c>
      <c r="R345" s="3">
        <f>263.6+(636.5-550)+(-0.67218+(-1.623075--1.4025))+0-32--0.0815999999999954</f>
        <v>317.28884499999998</v>
      </c>
      <c r="S345" s="3">
        <f>264.8+(644.2-579.5)+(0.270096+(0.657084-0.59109))+0-31.2-0.031824000000005</f>
        <v>298.60426600000005</v>
      </c>
      <c r="T345" s="3">
        <f>259.6+(655.5-583.5)+(-0.264792+(-0.66861--0.59517))+0-30--0.0306000000000048</f>
        <v>301.29236800000001</v>
      </c>
      <c r="U345" s="3">
        <f>260.1+(591.2-526)+(0.530604+(1.206048-1.07304))+0-30.9-0.0630359999999986</f>
        <v>295.00057600000008</v>
      </c>
      <c r="V345" s="3">
        <f>259.1+(474.5-419.9)+(-0.264282+(-0.48399--0.428298))+0-26.8--0.0273360000000043</f>
        <v>286.60736200000002</v>
      </c>
      <c r="W345" s="3">
        <f>232.3+(467.4-379.6)+(0.118473+(0.238374-0.193596))+0-30.1-0.0153509999999969</f>
        <v>290.14789999999994</v>
      </c>
      <c r="X345" s="3">
        <f>231.7+(559.1-442.3)+(0.236334+(0.570282-0.451146))+0-30-0.0306000000000048</f>
        <v>318.82487000000003</v>
      </c>
      <c r="Y345" s="3">
        <f>231.3+(578.5-464.9)+(0.117963+(0.295035-0.237099))+0-28.8-0.0146879999999971</f>
        <v>316.26121100000006</v>
      </c>
      <c r="Z345" s="3">
        <f>197.5+(609.4-458.9)+(-0.20145+(-0.621588--0.468078))+0-30.5--0.0311100000000049</f>
        <v>317.17615000000001</v>
      </c>
      <c r="AA345" s="3">
        <f>175.3+(644.1-478)+(-0.178806+(-0.656982--0.48756))+0-30.9--0.0315180000000049</f>
        <v>310.18329000000006</v>
      </c>
      <c r="AB345" s="3">
        <f>175.1+(616.9-461.4)+(-0.267903+(-0.943857--0.705942))+0-30.7--0.0469710000000018</f>
        <v>299.44115300000004</v>
      </c>
      <c r="AC345" s="3">
        <f>130.4+(563.6-379.2)+(-0.199512+(-0.862308--0.580176))+0-31.7--0.0485010000000018</f>
        <v>282.66685700000005</v>
      </c>
      <c r="AD345">
        <v>312.2</v>
      </c>
      <c r="AE345" s="3">
        <f>231+(542.4-432.4)+(0+(0-0))+0-28.8-0</f>
        <v>312.2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130.1+(499.1-330.5)+(0+(0-0))+0-30.5-0</f>
        <v>268.20000000000005</v>
      </c>
      <c r="G346" s="3">
        <f>129.8+(413.3-253.3)+(-0.264792+(-0.843132--0.516732))+0-30.4--0.0620159999999987</f>
        <v>258.87082400000003</v>
      </c>
      <c r="H346" s="3">
        <f>129.7+(408-250.1)+(-0.198441+(-0.62424--0.382653))+0-30.8--0.0471240000000018</f>
        <v>256.40709600000002</v>
      </c>
      <c r="I346" s="3">
        <f>124.7+(390.8-231.9)+(-0.127194+(-0.398616--0.236538))+0-30--0.0306000000000048</f>
        <v>253.34132800000003</v>
      </c>
      <c r="J346" s="3">
        <f>80.3+(388.5-187.3)+(0.040953+(0.198135-0.095523))+0-30.8-0.0157079999999969</f>
        <v>250.82785700000002</v>
      </c>
      <c r="K346" s="3">
        <f>80.2+(407.6-203.7)+(0.040902+(0.207876-0.103887))+0-31-0.0158099999999969</f>
        <v>253.22908100000001</v>
      </c>
      <c r="L346" s="3">
        <f>104.1+(481.1-298.7)+(0.053091+(0.245361-0.152337))+0-31.5-0.0160649999999968</f>
        <v>255.13005000000001</v>
      </c>
      <c r="M346" s="3">
        <f>130.7+(580-404.5)+(0+(0-0))+0-31.6-0</f>
        <v>274.59999999999997</v>
      </c>
      <c r="N346" s="3">
        <f>130.9+(616.7-414.7)+(0.066759+(0.314517-0.211497))+0-30.8-0.0157079999999969</f>
        <v>302.25407100000007</v>
      </c>
      <c r="O346" s="3">
        <f>200+(601.8-453.1)+(0+(0-0))+0-30.8-0</f>
        <v>317.89999999999992</v>
      </c>
      <c r="P346" s="3">
        <f>257.5+(578.5-484.4)+(-0.5253+(-1.18014--0.988176))+0-27.4--0.0558959999999988</f>
        <v>323.53863200000006</v>
      </c>
      <c r="Q346" s="3">
        <f>257.5+(573.7-477.6)+(0+(0-0))+0-31.2-0</f>
        <v>322.40000000000003</v>
      </c>
      <c r="R346" s="3">
        <f>254.2+(609.3-514.7)+(-0.259284+(-0.621486--0.524994))+0-31.3--0.031926000000005</f>
        <v>317.17614999999989</v>
      </c>
      <c r="S346" s="3">
        <f>253.8+(617.7-534.1)+(-0.129438+(-0.315027--0.272391))+0-31.2--0.0159119999999968</f>
        <v>306.04383800000005</v>
      </c>
      <c r="T346" s="3">
        <f>252.7+(635.7-551.7)+(0.128877+(0.324207-0.281367))+0-30.1-0.0153509999999969</f>
        <v>306.75636599999996</v>
      </c>
      <c r="U346" s="3">
        <f>252.9+(594.6-523.7)+(-0.644895+(-1.51623--1.335435))+0-24.7--0.0629849999999964</f>
        <v>298.33729499999993</v>
      </c>
      <c r="V346" s="3">
        <f>252.3+(617.8-540.3)+(0+(0-0))+0-31.2-0</f>
        <v>298.60000000000002</v>
      </c>
      <c r="W346" s="3">
        <f>251.1+(580-495.7)+(-0.512244+(-1.1832--1.011228))+0-32.6--0.0665039999999986</f>
        <v>302.18228799999997</v>
      </c>
      <c r="X346" s="3">
        <f>253.5+(568.3-472.1)+(-0.25857+(-0.579666--0.481542))+0-29.6--0.0301920000000047</f>
        <v>319.7734979999999</v>
      </c>
      <c r="Y346" s="3">
        <f>254+(552.1-466.1)+(-0.77724+(-1.689426--1.426266))+0-27.9--0.0853740000000032</f>
        <v>311.14497400000005</v>
      </c>
      <c r="Z346" s="3">
        <f>255.7+(596-517.7)+(-0.391221+(-0.91188--0.792081))+0-26.8--0.0410040000000016</f>
        <v>306.72998399999994</v>
      </c>
      <c r="AA346" s="3">
        <f>256.4+(653.7-582)+(-0.261528+(-0.666774--0.59364))+0-29.3--0.0298860000000047</f>
        <v>298.49522400000001</v>
      </c>
      <c r="AB346" s="3">
        <f>255.3+(624.3-563.3)+(-0.390609+(-0.955179--0.861849))+0-29.1--0.0445230000000017</f>
        <v>286.76058399999999</v>
      </c>
      <c r="AC346" s="3">
        <f>218.3+(614.8-525)+(-0.556665+(-1.56774--1.33875))+0-26.3--0.0670649999999962</f>
        <v>281.08140999999995</v>
      </c>
      <c r="AD346">
        <v>316.39999999999998</v>
      </c>
      <c r="AE346" s="3">
        <f>254+(562.9-471.4)+(0+(0-0))+0-29.1-0</f>
        <v>316.39999999999998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172.8+(545.8-422.2)+(-0.352512+(-1.113432--0.861288))+0-29--0.0591599999999987</f>
        <v>266.85450400000002</v>
      </c>
      <c r="G347" s="3">
        <f>107.3+(431.8-248.8)+(0.164169+(0.660654-0.380664))+0-31.7-0.0485010000000018</f>
        <v>258.99565800000005</v>
      </c>
      <c r="H347" s="3">
        <f>100.6+(384.4-208.3)+(-0.25653+(-0.98022--0.531165))+0-30.8--0.0785399999999955</f>
        <v>245.27295499999994</v>
      </c>
      <c r="I347" s="3">
        <f>100.6+(435.6-259.6)+(0.102612+(0.444312-0.264792))+0-29.4-0.0299880000000047</f>
        <v>247.452144</v>
      </c>
      <c r="J347" s="3">
        <f>100.6+(376.3-197.6)+(-0.205224+(-0.767652--0.403104))+0-31.3--0.0638519999999986</f>
        <v>247.49408</v>
      </c>
      <c r="K347" s="3">
        <f>100.6+(392.2-210.7)+(-0.102612+(-0.400044--0.214914))+0-32.5--0.0331500000000052</f>
        <v>249.34540800000005</v>
      </c>
      <c r="L347" s="3">
        <f>100.6+(554.8-372.6)+(-0.205224+(-1.131792--0.760104))+0-32.8--0.0669119999999986</f>
        <v>249.48999999999995</v>
      </c>
      <c r="M347" s="3">
        <f>197+(480.1-383.3)+(0.60282+(1.469106-1.172898))+0-32-0.0979200000000037</f>
        <v>262.60110800000001</v>
      </c>
      <c r="N347" s="3">
        <f>262.2+(416.4-357.5)+(0.534888+(0.849456-0.7293))+0-33.7-0.0687479999999985</f>
        <v>287.98629599999998</v>
      </c>
      <c r="O347" s="3">
        <f>261.5+(484.6-402.1)+(-0.133365+(-0.247146--0.205071))+0-33.2--0.0169319999999966</f>
        <v>310.64149200000003</v>
      </c>
      <c r="P347" s="3">
        <f>261.5+(467.2-383.9)+(0.26673+(0.476544-0.391578))+0-33.4-0.0340680000000053</f>
        <v>311.71762800000005</v>
      </c>
      <c r="Q347" s="3">
        <f>255.4+(488.5-403)+(0+(0-0))+0-34.9-0</f>
        <v>306</v>
      </c>
      <c r="R347" s="3">
        <f>246.3+(501.5-411.4)+(-0.753678+(-1.53459--1.258884))+0-33.9--0.103734000000004</f>
        <v>301.57435000000009</v>
      </c>
      <c r="S347" s="3">
        <f>247+(494.8-433.1)+(-0.75582+(-1.514088--1.325286))+0-32.9--0.100674000000004</f>
        <v>274.95605200000006</v>
      </c>
      <c r="T347" s="3">
        <f>249.8+(519-467.3)+(0.509592+(1.05876-0.953292))+0-31.1-0.0634439999999986</f>
        <v>270.951616</v>
      </c>
      <c r="U347" s="3">
        <f>248.2+(452.7-398.6)+(0.126582+(0.230877-0.203286))+0-31.7-0.0161669999999968</f>
        <v>270.73800599999998</v>
      </c>
      <c r="V347" s="3">
        <f>247.5+(425.7-371.8)+(-0.126225+(-0.217107--0.189618))+0-32.5--0.0165749999999967</f>
        <v>268.76286099999999</v>
      </c>
      <c r="W347" s="3">
        <f>248.5+(482.5-415)+(-0.25347+(-0.49215--0.4233))+0-32.1--0.0327420000000051</f>
        <v>283.61042199999997</v>
      </c>
      <c r="X347" s="3">
        <f>250.3+(431.8-344.1)+(-0.127653+(-0.220218--0.175491))+0-32.9--0.0167789999999967</f>
        <v>304.94439900000003</v>
      </c>
      <c r="Y347" s="3">
        <f>231.4+(442.2-336.1)+(-0.354042+(-0.676566--0.514233))+0-33.7--0.051561000000002</f>
        <v>303.33518600000002</v>
      </c>
      <c r="Z347" s="3">
        <f>171.4+(461.7-298.5)+(-0.349656+(-0.941868--0.60894))+0-33.1--0.0675239999999986</f>
        <v>300.88493999999997</v>
      </c>
      <c r="AA347" s="3">
        <f>178.7+(540.6-390.3)+(0+(0-0))+0-33-0</f>
        <v>296</v>
      </c>
      <c r="AB347" s="3">
        <f>253.4+(518.9-455.4)+(-0.64617+(-1.323195--1.16127))+0-33.1--0.0844049999999952</f>
        <v>283.07630999999998</v>
      </c>
      <c r="AC347" s="3">
        <f>182.7+(570-448.4)+(0+(0-0))+0-26.6-0</f>
        <v>277.7</v>
      </c>
      <c r="AD347">
        <v>305.5</v>
      </c>
      <c r="AE347" s="3">
        <f>250+(389.5-301.6)+(0+(0-0))+0-32.4-0</f>
        <v>305.5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27.9+(522.9-250.5)+(-0.056916+(-1.066716--0.51102))+0-32--0.0652799999999986</f>
        <v>267.75266799999991</v>
      </c>
      <c r="G348" s="3">
        <f>0+(354.2-68.6)+(0+(0-0))+0-32.8-0</f>
        <v>252.8</v>
      </c>
      <c r="H348" s="3">
        <f>0+(362.2-88.3)+(0+(0.184722-0.045033))+0-30-0.015299999999997</f>
        <v>244.02438899999996</v>
      </c>
      <c r="I348" s="3">
        <f>0+(348.6-73.9)+(0+(-0.355572--0.075378))+0-31.3--0.031926000000005</f>
        <v>243.15173200000004</v>
      </c>
      <c r="J348" s="3">
        <f>0+(316.7-53.2)+(0+(-0.807585--0.13566))+0-28.5--0.0726749999999959</f>
        <v>234.40075000000002</v>
      </c>
      <c r="K348" s="3">
        <f>0+(329.9-61.6)+(0+(0.336498-0.062832))+0-31.3-0.031926000000005</f>
        <v>237.24173999999994</v>
      </c>
      <c r="L348" s="3">
        <f>0+(349-88.4)+(0+(0.17799-0.045084))+0-32.3-0.0164729999999967</f>
        <v>228.41643300000001</v>
      </c>
      <c r="M348" s="3">
        <f>0+(372.2-115.4)+(0+(0-0))+0-31.8-0</f>
        <v>224.99999999999994</v>
      </c>
      <c r="N348" s="3">
        <f>0+(517-246.1)+(0+(0.26367-0.125511))+0-32.1-0.0163709999999967</f>
        <v>238.92178799999996</v>
      </c>
      <c r="O348" s="3">
        <f>0+(626.4-348)+(0+(0.638928-0.35496))+0-27.1-0.0276420000000043</f>
        <v>251.55632599999998</v>
      </c>
      <c r="P348" s="3">
        <f>0+(682.2-395.4)+(0+(-0.347922--0.201654))+0-31.7--0.0161669999999968</f>
        <v>254.96989900000005</v>
      </c>
      <c r="Q348" s="3">
        <f>0+(693.6-406.9)+(0+(-0.353736--0.207519))+0-32--0.0163199999999968</f>
        <v>254.57010300000007</v>
      </c>
      <c r="R348" s="3">
        <f>0+(697.1-417.1)+(0+(0-0))+0-31.6-0</f>
        <v>248.4</v>
      </c>
      <c r="S348" s="3">
        <f>0+(648-378.6)+(0+(0-0))+0-29.4-0</f>
        <v>239.99999999999997</v>
      </c>
      <c r="T348" s="3">
        <f>0+(613.9-344.2)+(0+(0-0))+0-31.2-0</f>
        <v>238.5</v>
      </c>
      <c r="U348" s="3">
        <f>0+(580.1-307.5)+(0+(0-0))+0-32-0</f>
        <v>240.60000000000002</v>
      </c>
      <c r="V348" s="3">
        <f>0+(556.4-286.8)+(0+(0-0))+0-31.9-0</f>
        <v>237.69999999999996</v>
      </c>
      <c r="W348" s="3">
        <f>0+(438.6-162.9)+(0+(0-0))+0-32.2-0</f>
        <v>243.50000000000006</v>
      </c>
      <c r="X348" s="3">
        <f>0+(440.5-132.9)+(0+(0-0))+0-32.4-0</f>
        <v>275.20000000000005</v>
      </c>
      <c r="Y348" s="3">
        <f>0+(442.4-135.6)+(0+(0-0))+0-31.5-0</f>
        <v>275.29999999999995</v>
      </c>
      <c r="Z348" s="3">
        <f>0+(439.2-134.5)+(0+(0-0))+0-32.7-0</f>
        <v>272</v>
      </c>
      <c r="AA348" s="3">
        <f>0+(502.9-197.4)+(0+(0-0))+0-32-0</f>
        <v>273.5</v>
      </c>
      <c r="AB348" s="3">
        <f>0+(586.9-288.4)+(0+(0-0))+0-31.7-0</f>
        <v>266.8</v>
      </c>
      <c r="AC348" s="3">
        <f>0+(610.2-322.1)+(0+(0-0))+0-32.1-0</f>
        <v>256</v>
      </c>
      <c r="AD348">
        <v>277.90000000000003</v>
      </c>
      <c r="AE348" s="3">
        <f>0+(457.1-146.8)+(0+(0-0))+0-32.4-0</f>
        <v>277.90000000000003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0+(654.5-372.1)+(0+(0-0))+0-32.2-0</f>
        <v>250.2</v>
      </c>
      <c r="G349" s="3">
        <f>0+(599-329.6)+(0+(0-0))+0-31.6-0</f>
        <v>237.79999999999998</v>
      </c>
      <c r="H349" s="3">
        <f>0+(580-316)+(0+(0-0))+0-31.3-0</f>
        <v>232.7</v>
      </c>
      <c r="I349" s="3">
        <f>0+(443.6-186.5)+(0+(0-0))+0-30.4-0</f>
        <v>226.70000000000002</v>
      </c>
      <c r="J349" s="3">
        <f>0+(419.1-159)+(0+(0-0))+0-29.7-0</f>
        <v>230.40000000000003</v>
      </c>
      <c r="K349" s="3">
        <f>0+(418.1-144.3)+(0+(0-0))+0-31.9-0</f>
        <v>241.9</v>
      </c>
      <c r="L349" s="3">
        <f>0+(485.3-205.6)+(0+(1.237515-0.52428))+0-32.5-0.0828749999999953</f>
        <v>247.83036000000004</v>
      </c>
      <c r="M349" s="3">
        <f>0+(662.4-357.9)+(0+(1.351296-0.730116))+0-28.6-0.0583439999999988</f>
        <v>276.46283599999998</v>
      </c>
      <c r="N349" s="3">
        <f>0+(754.3-416.4)+(0+(0-0))+0-32-0</f>
        <v>305.89999999999998</v>
      </c>
      <c r="O349" s="3">
        <f>0+(717.4-371.4)+(0+(0.365874-0.189414))+0-32.1-0.0163709999999967</f>
        <v>314.060089</v>
      </c>
      <c r="P349" s="3">
        <f>25.6+(670.8-345.4)+(0.013056+(0.342108-0.176154))+0-33.4-0.0170339999999966</f>
        <v>317.761976</v>
      </c>
      <c r="Q349" s="3">
        <f>32.9+(630.6-305.6)+(-0.050337+(-0.964818--0.467568))+0-32--0.0489600000000018</f>
        <v>325.40137299999998</v>
      </c>
      <c r="R349" s="3">
        <f>0+(646.6-294.9)+(0+(0-0))+0-30.6-0</f>
        <v>321.10000000000002</v>
      </c>
      <c r="S349" s="3">
        <f>0+(652.4-316.6)+(0+(-0.665448--0.322932))+0-31.2--0.031824000000005</f>
        <v>304.28930800000001</v>
      </c>
      <c r="T349" s="3">
        <f>0+(679.1-349.1)+(0+(0-0))+0-32.4-0</f>
        <v>297.60000000000002</v>
      </c>
      <c r="U349" s="3">
        <f>0+(714.5-384.2)+(0+(-1.093185--0.587826))+0-32.8--0.0501840000000019</f>
        <v>297.044825</v>
      </c>
      <c r="V349" s="3">
        <f>0+(691.1-356)+(0+(0.352461-0.18156))+0-33.2-0.0169319999999966</f>
        <v>302.05396900000005</v>
      </c>
      <c r="W349" s="3">
        <f>0+(615.8-280.3)+(0+(-0.628116--0.285906))+0-32.1--0.0327420000000051</f>
        <v>303.09053199999988</v>
      </c>
      <c r="X349" s="3">
        <f>0+(591.7-233)+(0+(0-0))+0-32.2-0</f>
        <v>326.50000000000006</v>
      </c>
      <c r="Y349" s="3">
        <f>0+(602.9-244.7)+(0+(-0.922437--0.374391))+0-32.3--0.0494190000000019</f>
        <v>325.40137299999998</v>
      </c>
      <c r="Z349" s="3">
        <f>0+(518.2-169.5)+(0+(-0.792846--0.259335))+0-32.9--0.0503370000000019</f>
        <v>315.31682600000011</v>
      </c>
      <c r="AA349" s="3">
        <f>0+(436.4-96)+(0+(-0.222564--0.04896))+0-32.9--0.0167789999999967</f>
        <v>307.34317499999997</v>
      </c>
      <c r="AB349" s="3">
        <f>0+(494.7-170.2)+(0+(-1.009188--0.347208))+0-31.7--0.0646679999999986</f>
        <v>292.20268799999997</v>
      </c>
      <c r="AC349" s="3">
        <f>0+(574.5-259.3)+(0+(-1.464975--0.661215))+0-31.1--0.0793049999999955</f>
        <v>283.37554499999993</v>
      </c>
      <c r="AD349">
        <v>327.49999999999994</v>
      </c>
      <c r="AE349" s="3">
        <f>0+(629.8-270.7)+(0+(0-0))+0-31.6-0</f>
        <v>327.49999999999994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0+(576.8-270.6)+(0+(-1.47084--0.69003))+0-32.6--0.0831299999999953</f>
        <v>272.90231999999992</v>
      </c>
      <c r="G350" s="3">
        <f>0+(531.1-235.9)+(0+(-1.354305--0.601545))+0-32.7--0.0833849999999953</f>
        <v>261.83062500000005</v>
      </c>
      <c r="H350" s="3">
        <f>0+(525-231.4)+(0+(-1.33875--0.59007))+0-32.4--0.0826199999999953</f>
        <v>260.53394000000009</v>
      </c>
      <c r="I350" s="3">
        <f>0+(452.2-167.2)+(0+(-0.230622--0.085272))+0-32.1--0.0163709999999967</f>
        <v>252.77102099999999</v>
      </c>
      <c r="J350" s="3">
        <f>0+(465.9-178.4)+(0+(-1.188045--0.45492))+0-32.2--0.0821099999999953</f>
        <v>254.64898500000004</v>
      </c>
      <c r="K350" s="3">
        <f>0+(503.9-222.6)+(0+(0.256989-0.113526))+0-32-0.0163199999999968</f>
        <v>249.42714299999994</v>
      </c>
      <c r="L350" s="3">
        <f>0+(570.6-288.9)+(0+(-0.873018--0.442017))+0-31.7--0.0485010000000018</f>
        <v>249.61750000000009</v>
      </c>
      <c r="M350" s="3">
        <f>0+(657.4-348.7)+(0+(-0.670548--0.355674))+0-32.8--0.0334560000000052</f>
        <v>275.618582</v>
      </c>
      <c r="N350" s="3">
        <f>0+(754.5-416.1)+(0+(0.384795-0.212211))+0-32.1-0.0163709999999967</f>
        <v>306.45621299999993</v>
      </c>
      <c r="O350" s="3">
        <f>0+(767.5-402.2)+(0+(0.78285-0.410244))+0-31.2-0.031824000000005</f>
        <v>334.44078200000001</v>
      </c>
      <c r="P350" s="3">
        <f>0+(752.3-398.6)+(0+(-0.383673--0.203286))+0-31.8--0.0162179999999968</f>
        <v>321.73583099999991</v>
      </c>
      <c r="Q350" s="3">
        <f>0+(753.5-394)+(0+(-0.76857--0.40188))+0-32--0.0326400000000051</f>
        <v>327.16595000000001</v>
      </c>
      <c r="R350" s="3">
        <f>0+(790.1-439.3)+(0+(-0.402951--0.224043))+0-31.4--0.0160139999999968</f>
        <v>319.23710600000004</v>
      </c>
      <c r="S350" s="3">
        <f>0+(836.4-494.4)+(0+(0.853128-0.504288))+0-31.8-0.0324360000000051</f>
        <v>310.51640399999997</v>
      </c>
      <c r="T350" s="3">
        <f>0+(821.9-480.4)+(0+(0.419169-0.245004))+0-31.7-0.0161669999999968</f>
        <v>309.95799800000003</v>
      </c>
      <c r="U350" s="3">
        <f>0+(804.1-465.7)+(0+(0.410091-0.237507))+0-32.8-0.0167279999999967</f>
        <v>305.75585599999999</v>
      </c>
      <c r="V350" s="3">
        <f>0+(813.6-475.6)+(0+(-0.414936--0.242556))+0-32.5--0.0165749999999967</f>
        <v>305.34419500000001</v>
      </c>
      <c r="W350" s="3">
        <f>0+(720.1-379.5)+(0+(1.101753-0.580635))+0-32.7-0.0500310000000019</f>
        <v>308.37108700000005</v>
      </c>
      <c r="X350" s="3">
        <f>0+(673.1-307)+(0+(0-0))+0-33.2-0</f>
        <v>332.90000000000003</v>
      </c>
      <c r="Y350" s="3">
        <f>0+(668.1-303.7)+(0+(-1.022193--0.464661))+0-32.9--0.0503370000000019</f>
        <v>330.99280500000009</v>
      </c>
      <c r="Z350" s="3">
        <f>0+(698.9-341.6)+(0+(-0.712878--0.348432))+0-33.1--0.0337620000000053</f>
        <v>323.86931599999997</v>
      </c>
      <c r="AA350" s="3">
        <f>0+(705.1-352)+(0+(-1.798005--0.8976))+0-33.2--0.0846599999999952</f>
        <v>319.08425500000004</v>
      </c>
      <c r="AB350" s="3">
        <f>0+(740.3-398.7)+(0+(-1.132659--0.610011))+0-33.7--0.051561000000002</f>
        <v>307.42891299999997</v>
      </c>
      <c r="AC350" s="3">
        <f>0+(710.5-381.7)+(0+(-1.44942--0.778668))+0-33.6--0.0685439999999985</f>
        <v>294.59779199999997</v>
      </c>
      <c r="AD350">
        <v>339.40000000000003</v>
      </c>
      <c r="AE350" s="3">
        <f>0+(666.1-293.5)+(0+(0-0))+0-33.2-0</f>
        <v>339.40000000000003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0+(653.3-337.2)+(0+(0.333183-0.171972))+0-33.5-0.0170849999999966</f>
        <v>282.74412599999994</v>
      </c>
      <c r="G351" s="3">
        <f>0+(536-228.8)+(0+(-0.54672--0.233376))+0-33.4--0.0340680000000053</f>
        <v>273.52072400000003</v>
      </c>
      <c r="H351" s="3">
        <f>0+(528.9-229.7)+(0+(-0.269739--0.117147))+0-33.3--0.0169829999999966</f>
        <v>265.76439099999993</v>
      </c>
      <c r="I351" s="3">
        <f>0+(532.2-236.5)+(0+(0.271422-0.120615))+0-33.4-0.0170339999999966</f>
        <v>262.43377300000003</v>
      </c>
      <c r="J351" s="3">
        <f>0+(544.8-245)+(0+(-0.555696--0.2499))+0-33--0.0336600000000053</f>
        <v>266.52786399999997</v>
      </c>
      <c r="K351" s="3">
        <f>0+(542.8-240.7)+(0+(0-0))+0-33.1-0</f>
        <v>268.99999999999994</v>
      </c>
      <c r="L351" s="3">
        <f>0+(577.3-270.7)+(0+(-0.588846--0.276114))+0-33.4--0.0340680000000053</f>
        <v>272.921336</v>
      </c>
      <c r="M351" s="3">
        <f>0+(582-255.8)+(0+(0.29682-0.130458))+0-33-0.0168299999999967</f>
        <v>293.34953200000001</v>
      </c>
      <c r="N351" s="3">
        <f>0+(739.3-385.5)+(0+(0.754086-0.39321))+0-32.4-0.0330480000000052</f>
        <v>321.72782799999999</v>
      </c>
      <c r="O351" s="3">
        <f>0+(706.7-348.9)+(0+(0.360417-0.177939))+0-32.6-0.0166259999999967</f>
        <v>325.36585200000007</v>
      </c>
      <c r="P351" s="3">
        <f>0+(657.8-294.9)+(0+(-1.006434--0.451197))+0-32.2--0.0492660000000019</f>
        <v>330.194029</v>
      </c>
      <c r="Q351" s="3">
        <f>0+(646.7-271.6)+(0+(-1.319268--0.554064))+0-32.2--0.0656879999999986</f>
        <v>342.20048400000007</v>
      </c>
      <c r="R351" s="3">
        <f>0+(724.8-350.5)+(0+(-1.108944--0.536265))+0-32.3--0.0494190000000019</f>
        <v>341.47673999999995</v>
      </c>
      <c r="S351" s="3">
        <f>26.9+(712.6-376.5)+(-0.068595+(-1.81713--0.960075))+0-30.7--0.0782849999999955</f>
        <v>331.45263499999999</v>
      </c>
      <c r="T351" s="3">
        <f>48+(760.9-447.1)+(0.02448+(0.388059-0.228021))+0-30.1-0.0153509999999969</f>
        <v>331.86916699999995</v>
      </c>
      <c r="U351" s="3">
        <f>120.6+(731.6-511.2)+(-0.246024+(-1.492464--1.042848))+0-28.1--0.0573239999999988</f>
        <v>312.26168399999995</v>
      </c>
      <c r="V351" s="3">
        <f>44.8+(751.1-459.4)+(0+(0-0))+0-32.6-0</f>
        <v>303.90000000000003</v>
      </c>
      <c r="W351" s="3">
        <f>0+(694.7-353.1)+(0+(0.354297-0.180081))+0-32.3-0.0164729999999967</f>
        <v>309.45774299999999</v>
      </c>
      <c r="X351" s="3">
        <f>0+(668.7-304.9)+(0+(0.682074-0.310998))+0-33.6-0.0342720000000054</f>
        <v>330.53680400000007</v>
      </c>
      <c r="Y351" s="3">
        <f>0+(671.4-310.4)+(0+(0-0))+0-34.7-0</f>
        <v>326.3</v>
      </c>
      <c r="Z351" s="3">
        <f>0+(742.4-385.3)+(0+(0.378624-0.196503))+0-34.6-0.0176459999999965</f>
        <v>322.66447499999992</v>
      </c>
      <c r="AA351" s="3">
        <f>0+(768.3-415)+(0+(-0.783666--0.4233))+0-34--0.0346800000000054</f>
        <v>318.97431399999994</v>
      </c>
      <c r="AB351" s="3">
        <f>0+(788.2-450.6)+(0+(-0.401982--0.229806))+0-34.3--0.0174929999999965</f>
        <v>303.14531700000003</v>
      </c>
      <c r="AC351" s="3">
        <f>0+(762.5-438.2)+(0+(-1.5555--0.893928))+0-33.6--0.0685439999999985</f>
        <v>290.10697199999998</v>
      </c>
      <c r="AD351">
        <v>330.40000000000003</v>
      </c>
      <c r="AE351" s="3">
        <f>0+(652.6-287.5)+(0+(0-0))+0-34.7-0</f>
        <v>330.40000000000003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0+(684.8-370.2)+(0+(-0.349248--0.188802))+0-33--0.0168299999999967</f>
        <v>281.45638399999996</v>
      </c>
      <c r="G352" s="3">
        <f>0+(603.8-299.8)+(0+(0-0))+0-32.2-0</f>
        <v>271.79999999999995</v>
      </c>
      <c r="H352" s="3">
        <f>0+(535.5-234.4)+(0+(-0.273105--0.119544))+0-31.2--0.0159119999999968</f>
        <v>269.76235100000002</v>
      </c>
      <c r="I352" s="3">
        <f>0+(546.2-245.3)+(0+(0-0))+0-30.9-0</f>
        <v>270.00000000000006</v>
      </c>
      <c r="J352" s="3">
        <f>0+(530.6-231.5)+(0+(0.541212-0.23613))+0-32.5-0.0331500000000052</f>
        <v>266.87193200000007</v>
      </c>
      <c r="K352" s="3">
        <f>0+(562.7-263.1)+(0+(-0.286977--0.134181))+0-32--0.0163199999999968</f>
        <v>267.46352400000001</v>
      </c>
      <c r="L352" s="3">
        <f>0+(699.8-402.6)+(0+(-0.356898--0.205326))+0-32.2--0.0164219999999967</f>
        <v>264.86484999999993</v>
      </c>
      <c r="M352" s="3">
        <f>0+(777.7-452.5)+(0+(0.793254-0.46155))+0-33.1-0.0337620000000053</f>
        <v>292.397942</v>
      </c>
      <c r="N352" s="3">
        <f>0+(871.4-501.3)+(0+(0.888828-0.511326))+0-32.6-0.0332520000000052</f>
        <v>337.84424999999993</v>
      </c>
      <c r="O352" s="3">
        <f>0+(937.1-551.5)+(0+(0.955842-0.56253))+0-32.5-0.0331500000000052</f>
        <v>353.46016200000003</v>
      </c>
      <c r="P352" s="3">
        <f>0+(911.3-521.9)+(0+(1.394289-0.798507))+0-32.4-0.0495720000000019</f>
        <v>357.54620999999997</v>
      </c>
      <c r="Q352" s="3">
        <f>0+(787-399)+(0+(-1.20411--0.61047))+0-32--0.0489600000000018</f>
        <v>355.45532000000003</v>
      </c>
      <c r="R352" s="3">
        <f>0+(733.4-353.3)+(0+(-1.496136--0.720732))+0-32.3--0.0658919999999986</f>
        <v>347.09048799999999</v>
      </c>
      <c r="S352" s="3">
        <f>0+(693.5-331.6)+(0+(-1.768425--0.84558))+0-32.1--0.0818549999999953</f>
        <v>328.95900999999998</v>
      </c>
      <c r="T352" s="3">
        <f>0+(764.7-406.8)+(0+(1.169991-0.622404))+0-31.8-0.0486540000000018</f>
        <v>326.59893300000005</v>
      </c>
      <c r="U352" s="3">
        <f>0+(753.3-398.4)+(0+(1.152549-0.609552))+0-32.6-0.0498780000000019</f>
        <v>322.79311899999999</v>
      </c>
      <c r="V352" s="3">
        <f>0+(748.3-391.8)+(0+(-0.381633--0.199818))+0-32.2--0.0164219999999967</f>
        <v>324.13460699999996</v>
      </c>
      <c r="W352" s="3">
        <f>0+(648.3-292.9)+(0+(-0.330633--0.149379))+0-27.6--0.0140759999999972</f>
        <v>327.63282199999992</v>
      </c>
      <c r="X352" s="3">
        <f>0+(615.8-242.6)+(0+(0-0))+0-7.1-0</f>
        <v>366.09999999999991</v>
      </c>
      <c r="Y352" s="3">
        <f>0+(563.9-225.1)+(0+(-0.862767--0.344403))+0-7--0.0107100000000004</f>
        <v>331.29234599999995</v>
      </c>
      <c r="Z352" s="3">
        <f>0+(604.5-269.3)+(0+(-0.61659--0.274686))+0-7.1--0.00724200000000113</f>
        <v>327.76533799999999</v>
      </c>
      <c r="AA352" s="3">
        <f>0+(682.9-352.7)+(0+(-0.696558--0.359754))+0-6.9--0.0070380000000011</f>
        <v>322.97023400000006</v>
      </c>
      <c r="AB352" s="3">
        <f>0+(702.6-385.6)+(0+(-1.433304--0.786624))+0-7--0.0142799999999997</f>
        <v>309.36759999999998</v>
      </c>
      <c r="AC352" s="3">
        <f>0+(700.1-388.9)+(0+(-1.071153--0.595017))+0-7--0.0107100000000004</f>
        <v>303.73457400000007</v>
      </c>
      <c r="AD352">
        <v>324.89999999999998</v>
      </c>
      <c r="AE352" s="3">
        <f>0+(582-250.6)+(0+(0-0))+0-6.5-0</f>
        <v>324.89999999999998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0+(608.4-316.1)+(0+(-2.171988--1.128477))+0-7.1--0.0253470000000001</f>
        <v>284.18183599999992</v>
      </c>
      <c r="G353" s="3">
        <f>0+(623-341.9)+(0+(-0.63546--0.348738))+0-7.1--0.00724200000000113</f>
        <v>273.72052000000002</v>
      </c>
      <c r="H353" s="3">
        <f>0+(701.2-419.6)+(0+(-1.430448--0.855984))+0-7--0.0142799999999997</f>
        <v>274.03981600000003</v>
      </c>
      <c r="I353" s="3">
        <f>0+(666.8-391.9)+(0+(0.340068-0.199869))+0-7.1-0.00362099999999928</f>
        <v>267.93657799999994</v>
      </c>
      <c r="J353" s="3">
        <f>0+(649.8-379.5)+(0+(0-0))+0-7-0</f>
        <v>263.29999999999995</v>
      </c>
      <c r="K353" s="3">
        <f>0+(693.4-418.5)+(0+(-0.707268--0.42687))+0-7.1--0.00724200000000113</f>
        <v>267.52684399999998</v>
      </c>
      <c r="L353" s="3">
        <f>0+(748.2-469.4)+(0+(0.381582-0.239394))+0-7.6-0.00387599999999923</f>
        <v>271.33831200000003</v>
      </c>
      <c r="M353" s="3">
        <f>0+(817.8-509.5)+(0+(0.834156-0.51969))+0-9.7-0.00989400000000155</f>
        <v>298.90457199999997</v>
      </c>
      <c r="N353" s="3">
        <f>0+(822.5-475.2)+(0+(0.83895-0.484704))+0-11.6-0.0118320000000018</f>
        <v>336.04241399999995</v>
      </c>
      <c r="O353" s="3">
        <f>0+(786.1-422.2)+(0+(0-0))+0-11.9-0</f>
        <v>352.00000000000006</v>
      </c>
      <c r="P353" s="3">
        <f>0+(797.8-387.6)+(0+(-0.813756--0.395352))+0-12.2--0.0124440000000019</f>
        <v>397.59403999999995</v>
      </c>
      <c r="Q353" s="3">
        <f>0+(812.6-450.7)+(0+(-2.07213--1.149285))+0-12.9--0.0328949999999981</f>
        <v>348.11005000000006</v>
      </c>
      <c r="R353" s="3">
        <f>152.4+(747-544)+(-0.233172+(-1.14291--0.83232))+0-13.6--0.0208080000000008</f>
        <v>341.27704599999993</v>
      </c>
      <c r="S353" s="3">
        <f>263.7+(662-575.9)+(-0.537948+(-1.35048--1.174836))+0-17.3--0.0352919999999992</f>
        <v>331.82170000000002</v>
      </c>
      <c r="T353" s="3">
        <f>264+(681.3-629)+(-0.13464+(-0.347463--0.32079))+0-17.8--0.0090779999999982</f>
        <v>298.34776499999992</v>
      </c>
      <c r="U353" s="3">
        <f>265.1+(743.5-650.7)+(0+(0-0))+0-18.6-0</f>
        <v>339.29999999999995</v>
      </c>
      <c r="V353" s="3">
        <f>149.4+(786.9-573.4)+(0.228582+(1.203957-0.877302))+0-21.3-0.0325890000000012</f>
        <v>342.12264799999997</v>
      </c>
      <c r="W353" s="3">
        <f>125.3+(636.8-405.5)+(-0.191709+(-0.974304--0.620415))+0-25.1--0.0384030000000015</f>
        <v>330.99280499999998</v>
      </c>
      <c r="X353" s="3">
        <f>125.8+(589.8-341.6)+(0.128316+(0.601596-0.348432))+0-28-0.0285600000000045</f>
        <v>346.35291999999993</v>
      </c>
      <c r="Y353" s="3">
        <f>124.4+(592.4-351.3)+(-0.190332+(-0.906372--0.537489))+0-30.1--0.0460530000000017</f>
        <v>334.88683800000001</v>
      </c>
      <c r="Z353" s="3">
        <f>129.6+(631.4-393.1)+(-0.264384+(-1.288056--0.801924))+0-29.6--0.0603839999999987</f>
        <v>337.60986799999995</v>
      </c>
      <c r="AA353" s="3">
        <f>132+(722-494.7)+(-0.20196+(-1.10466--0.756891))+0-29.3--0.0448290000000017</f>
        <v>329.49509999999998</v>
      </c>
      <c r="AB353" s="3">
        <f>71.7+(803.4-521.8)+(-0.182835+(-2.04867--1.33059))+0-29.4--0.0749699999999957</f>
        <v>323.07405500000004</v>
      </c>
      <c r="AC353" s="3">
        <f>0+(832.7-496.1)+(0+(-0.424677--0.253011))+0-29.7--0.015146999999997</f>
        <v>306.74348100000003</v>
      </c>
      <c r="AD353">
        <v>334.90000000000003</v>
      </c>
      <c r="AE353" s="3">
        <f>124+(611.7-370.7)+(0+(0-0))+0-30.1-0</f>
        <v>334.90000000000003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0+(794.5-478.7)+(0+(-2.025975--1.220685))+0-29.6--0.0754799999999957</f>
        <v>285.47018999999995</v>
      </c>
      <c r="G354" s="3">
        <f>0+(655.5-352.8)+(0+(-1.671525--0.89964))+0-30.1--0.0767549999999956</f>
        <v>271.90486999999996</v>
      </c>
      <c r="H354" s="3">
        <f>0+(516.7-218.2)+(0+(-0.790551--0.333846))+0-30.1--0.0460530000000017</f>
        <v>267.98934800000006</v>
      </c>
      <c r="I354" s="3">
        <f>0+(516-219)+(0+(0.78948-0.33507))+0-30.6-0.0468180000000018</f>
        <v>266.807592</v>
      </c>
      <c r="J354" s="3">
        <f>0+(508.3-213.8)+(0+(1.036932-0.436152))+0-31.1-0.0634439999999986</f>
        <v>263.93733599999996</v>
      </c>
      <c r="K354" s="3">
        <f>0+(540.1-241.7)+(0+(1.377255-0.616335))+0-31.2-0.0795599999999955</f>
        <v>267.88136000000003</v>
      </c>
      <c r="L354" s="3">
        <f>0+(622-325.7)+(0+(-0.63444--0.332214))+0-31.1--0.031722000000005</f>
        <v>264.92949599999997</v>
      </c>
      <c r="M354" s="3">
        <f>13.8+(748.5-443.4)+(0.014076+(0.76347-0.452268))+0-30.7-0.0313140000000049</f>
        <v>288.49396400000006</v>
      </c>
      <c r="N354" s="3">
        <f>43.9+(758.3-450.9)+(0.022389+(0.386733-0.229959))+0-28.8-0.0146879999999971</f>
        <v>322.66447499999998</v>
      </c>
      <c r="O354" s="3">
        <f>2.4+(704.7-348.3)+(0.002448+(0.718794-0.355266))+0-31.2-0.031824000000005</f>
        <v>327.93415199999998</v>
      </c>
      <c r="P354" s="3">
        <f>123.8+(602.2-377.5)+(-0.126276+(-0.614244--0.38505))+0-30.9--0.0315180000000049</f>
        <v>317.27604800000006</v>
      </c>
      <c r="Q354" s="3">
        <f>210.1+(587.6-441.3)+(-0.321453+(-0.899028--0.675189))+0-31.8--0.0486540000000018</f>
        <v>324.10336199999995</v>
      </c>
      <c r="R354" s="3">
        <f>158.4+(632.1-435.8)+(-0.323136+(-1.289484--0.889032))+0-31--0.0632399999999986</f>
        <v>323.03965200000005</v>
      </c>
      <c r="S354" s="3">
        <f>120.2+(677.7-456.8)+(0.122604+(0.691254-0.465936))+0-30.7-0.0313140000000049</f>
        <v>310.71660800000001</v>
      </c>
      <c r="T354" s="3">
        <f>120.5+(654.8-438.8)+(0.12291+(0.667896-0.447576))+0-30.8-0.0314160000000049</f>
        <v>306.01181399999996</v>
      </c>
      <c r="U354" s="3">
        <f>119.8+(634.9-425.2)+(-0.122196+(-0.647598--0.433704))+0-30.4--0.0310080000000048</f>
        <v>298.794918</v>
      </c>
      <c r="V354" s="3">
        <f>119.9+(616.6-410.3)+(-0.183447+(-0.943398--0.627759))+0-29.4--0.0449820000000017</f>
        <v>296.3458960000001</v>
      </c>
      <c r="W354" s="3">
        <f>138.4+(562.7-380)+(-0.35292+(-1.434885--0.969))+0-22.6--0.0576299999999967</f>
        <v>297.73882500000002</v>
      </c>
      <c r="X354" s="3">
        <f>369.2+(540.2-568.6)+(0.188292+(0.275502-0.289986))+0-31.4-0.0160139999999968</f>
        <v>309.55779400000006</v>
      </c>
      <c r="Y354" s="3">
        <f>385.5+(540.7-582.7)+(-1.17963+(-1.654542--1.783062))+0-31.4--0.0960840000000036</f>
        <v>311.14497400000005</v>
      </c>
      <c r="Z354" s="3">
        <f>388+(620-667.5)+(0+(0-0))+0-27.1-0</f>
        <v>313.39999999999998</v>
      </c>
      <c r="AA354" s="3">
        <f>387.3+(731-766.5)+(-0.592569+(-1.11843--1.172745))+0-30.8--0.0471240000000018</f>
        <v>320.50887</v>
      </c>
      <c r="AB354" s="3">
        <f>305.7+(750.8-705.6)+(-0.623628+(-1.531632--1.439424))+0-31.6--0.0644639999999986</f>
        <v>318.64862799999986</v>
      </c>
      <c r="AC354" s="3">
        <f>49.9+(750.5-464.2)+(-0.025449+(-0.382755--0.236742))+0-32--0.0163199999999968</f>
        <v>304.04485799999998</v>
      </c>
      <c r="AD354">
        <v>314.80000000000007</v>
      </c>
      <c r="AE354" s="3">
        <f>388+(532.1-573.3)+(0+(0-0))+0-32-0</f>
        <v>314.80000000000007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0+(799.1-475.5)+(0+(-1.222623--0.727515))+0-31.8--0.0486540000000018</f>
        <v>291.35354599999999</v>
      </c>
      <c r="G355" s="3">
        <f>0+(733.3-416.2)+(0+(-1.495932--0.849048))+0-31.1--0.0634439999999986</f>
        <v>285.41655999999995</v>
      </c>
      <c r="H355" s="3">
        <f>0+(600-294.8)+(0+(-0.306--0.150348))+0-29.7--0.015146999999997</f>
        <v>275.35949500000004</v>
      </c>
      <c r="I355" s="3">
        <f>0+(543-244.3)+(0+(-0.83079--0.373779))+0-32.4--0.0495720000000019</f>
        <v>265.892561</v>
      </c>
      <c r="J355" s="3">
        <f>0+(525.5-227.5)+(0+(0.268005-0.116025))+0-32.1-0.0163709999999967</f>
        <v>266.03560899999997</v>
      </c>
      <c r="K355" s="3">
        <f>0+(524.8-228.5)+(0+(0-0))+0-32.5-0</f>
        <v>263.79999999999995</v>
      </c>
      <c r="L355" s="3">
        <f>0+(584.4-299.1)+(0+(-1.192176--0.610164))+0-30.8--0.0628319999999987</f>
        <v>253.98081999999991</v>
      </c>
      <c r="M355" s="3">
        <f>0+(654.3-368.4)+(0+(0.333693-0.187884))+0-31.1-0.0158609999999968</f>
        <v>254.92994799999997</v>
      </c>
      <c r="N355" s="3">
        <f>0+(705.9-398.3)+(0+(0.720018-0.406266))+0-32-0.0326400000000051</f>
        <v>275.88111199999997</v>
      </c>
      <c r="O355" s="3">
        <f>0+(753.3-439.1)+(0+(-0.384183--0.223941))+0-31.9--0.0162689999999968</f>
        <v>282.15602699999999</v>
      </c>
      <c r="P355" s="3">
        <f>0+(744.7-427)+(0+(0.379797-0.21777))+0-32-0.0163199999999968</f>
        <v>285.84570700000006</v>
      </c>
      <c r="Q355" s="3">
        <f>31.6+(707.7-415)+(-0.048348+(-1.082781--0.63495))+0-32.6--0.0498780000000019</f>
        <v>291.25369900000004</v>
      </c>
      <c r="R355" s="3">
        <f>5+(723.1-408.2)+(-0.0153+(-2.212686--1.249092))+0-31.7--0.0970020000000037</f>
        <v>287.31810800000005</v>
      </c>
      <c r="S355" s="3">
        <f>0+(750.4-443.8)+(0+(-0.382704--0.226338))+0-31.4--0.0160139999999968</f>
        <v>275.05964799999998</v>
      </c>
      <c r="T355" s="3">
        <f>0+(743.6-447.6)+(0+(0-0))+0-32.1-0</f>
        <v>263.89999999999998</v>
      </c>
      <c r="U355" s="3">
        <f>0+(791.8-483.7)+(0+(-0.403818--0.246687))+0-31.7--0.0161669999999968</f>
        <v>276.25903599999998</v>
      </c>
      <c r="V355" s="3">
        <f>0+(759.6-456)+(0+(-0.774792--0.46512))+0-32.4--0.0330480000000052</f>
        <v>270.92337600000008</v>
      </c>
      <c r="W355" s="3">
        <f>0+(640.6-333.2)+(0+(-1.306824--0.679728))+0-32.4--0.0660959999999986</f>
        <v>274.43900000000008</v>
      </c>
      <c r="X355" s="3">
        <f>0+(519.4-188.3)+(0+(0.264894-0.096033))+0-28.4-0.0144839999999971</f>
        <v>302.854377</v>
      </c>
      <c r="Y355" s="3">
        <f>0+(519.5-211.4)+(0+(-0.794835--0.323442))+0-0-0</f>
        <v>307.62860700000004</v>
      </c>
      <c r="Z355" s="3">
        <f>0+(569.9-267.3)+(0+(0.581298-0.272646))+0-0-0</f>
        <v>302.90865199999996</v>
      </c>
      <c r="AA355" s="3">
        <f>0+(625-337.6)+(0+(-1.275--0.688704))+0-0-0</f>
        <v>286.81370399999997</v>
      </c>
      <c r="AB355" s="3">
        <f>0+(574.1-280.3)+(0+(-0.292791--0.142953))+0-11.5--0.00586499999999883</f>
        <v>282.15602699999999</v>
      </c>
      <c r="AC355" s="3">
        <f>0+(519.9-208.8)+(0+(-0.795447--0.319464))+0-31.2--0.0477360000000018</f>
        <v>279.47175299999998</v>
      </c>
      <c r="AD355">
        <v>315.69999999999993</v>
      </c>
      <c r="AE355" s="3">
        <f>0+(542.3-225.6)+(0+(0-0))+0-1-0</f>
        <v>315.69999999999993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0+(495.9-195.1)+(0+(-0.505818--0.199002))+0-32.3--0.0329460000000051</f>
        <v>268.2261299999999</v>
      </c>
      <c r="G356" s="3">
        <f>0+(539.9-245.8)+(0+(-0.550698--0.250716))+0-31.6--0.032232000000005</f>
        <v>262.23224999999996</v>
      </c>
      <c r="H356" s="3">
        <f>0+(631-337.4)+(0+(0.64362-0.344148))+0-32-0.0326400000000051</f>
        <v>261.86683199999999</v>
      </c>
      <c r="I356" s="3">
        <f>0+(611.2-321.6)+(0+(-0.935136--0.492048))+0-31.1--0.0475830000000018</f>
        <v>258.10449499999999</v>
      </c>
      <c r="J356" s="3">
        <f>0+(589.1-299)+(0+(-0.600882--0.30498))+0-31.9--0.0325380000000051</f>
        <v>257.93663600000002</v>
      </c>
      <c r="K356" s="3">
        <f>0+(622.5-332.7)+(0+(0-0))+0-30.6-0</f>
        <v>259.2</v>
      </c>
      <c r="L356" s="3">
        <f>41.3+(696.2-438)+(0+(0-0))+0-32-0</f>
        <v>267.50000000000006</v>
      </c>
      <c r="M356" s="3">
        <f>125.8+(731.5-525.1)+(0.128316+(0.74613-0.535602))+0-31-0.0316200000000049</f>
        <v>301.50722399999995</v>
      </c>
      <c r="N356" s="3">
        <f>124.9+(740-506.5)+(0+(0-0))+0-31.5-0</f>
        <v>326.89999999999998</v>
      </c>
      <c r="O356" s="3">
        <f>125.2+(725.8-489.5)+(0.063852+(0.370158-0.249645))+0-27.6-0.0140759999999972</f>
        <v>334.07028899999995</v>
      </c>
      <c r="P356" s="3">
        <f>125+(705.5-466.8)+(0+(0-0))+0-31.4-0</f>
        <v>332.3</v>
      </c>
      <c r="Q356" s="3">
        <f>124.9+(706.9-458)+(0+(0-0))+0-31.3-0</f>
        <v>342.49999999999994</v>
      </c>
      <c r="R356" s="3">
        <f>124+(685.2-436)+(-0.3162+(-1.74726--1.1118))+0-31.6--0.0805799999999954</f>
        <v>340.72892000000002</v>
      </c>
      <c r="S356" s="3">
        <f>124.7+(720.1-482.2)+(-0.063597+(-0.367251--0.245922))+0-31.5--0.0160649999999968</f>
        <v>330.93113899999997</v>
      </c>
      <c r="T356" s="3">
        <f>125+(764.8-527.5)+(0+(0-0))+0-31.5-0</f>
        <v>330.79999999999995</v>
      </c>
      <c r="U356" s="3">
        <f>124.8+(756.2-527)+(-0.063648+(-0.385662--0.26877))+0-29.5--0.015044999999997</f>
        <v>324.33450500000004</v>
      </c>
      <c r="V356" s="3">
        <f>124.9+(710.9-509.1)+(-0.127398+(-0.725118--0.519282))+0-30.6--0.0312120000000049</f>
        <v>295.79797799999989</v>
      </c>
      <c r="W356" s="3">
        <f>124+(608.7-385.9)+(-0.18972+(-0.931311--0.590427))+0-26.8--0.0410040000000016</f>
        <v>319.51040000000006</v>
      </c>
      <c r="X356" s="3">
        <f>125.1+(554.7-311.9)+(0+(0-0))+0-27.1-0</f>
        <v>340.80000000000007</v>
      </c>
      <c r="Y356" s="3">
        <f>124.8+(552.7-315.8)+(-0.190944+(-0.845631--0.483174))+0-22.7--0.0347310000000013</f>
        <v>338.48133000000007</v>
      </c>
      <c r="Z356" s="3">
        <f>123.9+(578.6-340.9)+(-0.315945+(-1.47543--0.869295))+0-29.8--0.0759899999999957</f>
        <v>330.95391000000001</v>
      </c>
      <c r="AA356" s="3">
        <f>124.4+(666.1-432.5)+(-0.253776+(-1.358844--0.8823))+0-29.9--0.0609959999999987</f>
        <v>327.43067600000001</v>
      </c>
      <c r="AB356" s="3">
        <f>37+(697.4-381.6)+(-0.01887+(-0.355674--0.194616))+0-30.7--0.0156569999999969</f>
        <v>321.93572899999992</v>
      </c>
      <c r="AC356" s="3">
        <f>0+(694.6-358.8)+(0+(-1.416984--0.731952))+0-30--0.0611999999999987</f>
        <v>305.17616800000002</v>
      </c>
      <c r="AD356">
        <v>342.7</v>
      </c>
      <c r="AE356" s="3">
        <f>126+(543-302.6)+(0+(0-0))+0-23.7-0</f>
        <v>342.7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0+(614.2-292.3)+(0+(-0.626484--0.298146))+0-31.6--0.032232000000005</f>
        <v>290.00389400000006</v>
      </c>
      <c r="G357" s="3">
        <f>0+(552.5-240.5)+(0+(-0.56355--0.24531))+0-31.4--0.032028000000005</f>
        <v>280.31378800000005</v>
      </c>
      <c r="H357" s="3">
        <f>0+(469.4-158.2)+(0+(-0.957576--0.322728))+0-31.4--0.0640559999999986</f>
        <v>279.22920800000003</v>
      </c>
      <c r="I357" s="3">
        <f>0+(453.7-143.7)+(0+(0-0))+0-31.8-0</f>
        <v>278.2</v>
      </c>
      <c r="J357" s="3">
        <f>0+(428.1-119.9)+(0+(-0.436662--0.122298))+0-31.7--0.0323340000000051</f>
        <v>276.21797000000004</v>
      </c>
      <c r="K357" s="3">
        <f>0+(473.2-164.4)+(0+(0.241332-0.083844))+0-31.3-0.0159629999999968</f>
        <v>277.64152499999994</v>
      </c>
      <c r="L357" s="3">
        <f>0+(526.4-218.2)+(0+(-0.268464--0.111282))+0-31--0.0158099999999969</f>
        <v>277.058628</v>
      </c>
      <c r="M357" s="3">
        <f>0+(674.6-341.5)+(0+(0-0))+0-31.7-0</f>
        <v>301.40000000000003</v>
      </c>
      <c r="N357" s="3">
        <f>0+(679.6-309.6)+(0+(0.346596-0.157896))+0-32.1-0.0163709999999967</f>
        <v>338.07232899999997</v>
      </c>
      <c r="O357" s="3">
        <f>0+(606.7-228.5)+(0+(-0.309417--0.116535))+0-28.7--0.0146369999999971</f>
        <v>349.32175500000005</v>
      </c>
      <c r="P357" s="3">
        <f>0+(567.8-190.8)+(0+(-0.289578--0.097308))+0-29.5--0.015044999999997</f>
        <v>347.32277499999992</v>
      </c>
      <c r="Q357" s="3">
        <f>0+(600.5-221.3)+(0+(0.306255-0.112863))+0-30.8-0.0157079999999969</f>
        <v>348.57768399999998</v>
      </c>
      <c r="R357" s="3">
        <f>0+(606.9-229.8)+(0+(-1.547595--0.58599))+0-30.4--0.0775199999999956</f>
        <v>345.81591499999996</v>
      </c>
      <c r="S357" s="3">
        <f>0+(596.8-230.8)+(0+(-1.217472--0.470832))+0-30.7--0.0626279999999987</f>
        <v>334.61598799999996</v>
      </c>
      <c r="T357" s="3">
        <f>0+(609.4-257.5)+(0+(0.310794-0.131325))+0-31.1-0.0158609999999968</f>
        <v>320.96360799999997</v>
      </c>
      <c r="U357" s="3">
        <f>0+(604.8-260.8)+(0+(-0.616896--0.266016))+0-30.6--0.0312120000000049</f>
        <v>313.08033199999988</v>
      </c>
      <c r="V357" s="3">
        <f>0+(600.2-255.8)+(0+(-1.53051--0.65229))+0-30.3--0.0772649999999956</f>
        <v>313.29904500000004</v>
      </c>
      <c r="W357" s="3">
        <f>0+(524.8-171.9)+(0+(-1.070592--0.350676))+0-28.7--0.0585479999999987</f>
        <v>323.53863199999995</v>
      </c>
      <c r="X357" s="3">
        <f>0+(542.1-172.2)+(0+(-0.276471--0.087822))+0-30.1--0.0153509999999969</f>
        <v>339.62670200000002</v>
      </c>
      <c r="Y357" s="3">
        <f>0+(565.3-195.1)+(0+(-0.864909--0.298503))+0-31.3--0.0478890000000018</f>
        <v>338.38148299999995</v>
      </c>
      <c r="Z357" s="3">
        <f>0+(580.9-216.2)+(0+(-0.888777--0.330786))+0-31.6--0.0483480000000018</f>
        <v>332.59035699999993</v>
      </c>
      <c r="AA357" s="3">
        <f>0+(620.4-269.3)+(0+(-0.632808--0.274686))+0-31--0.0316200000000049</f>
        <v>319.77349800000002</v>
      </c>
      <c r="AB357" s="3">
        <f>0+(644.5-302.7)+(0+(-0.986085--0.463131))+0-31.4--0.0480420000000018</f>
        <v>309.92508800000002</v>
      </c>
      <c r="AC357" s="3">
        <f>0+(502.9-172.1)+(0+(-0.256479--0.087771))+0-31.5--0.0160649999999968</f>
        <v>299.14735699999994</v>
      </c>
      <c r="AD357">
        <v>342.7</v>
      </c>
      <c r="AE357" s="3">
        <f>0+(562.4-188.7)+(0+(0-0))+0-31-0</f>
        <v>342.7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0+(561.3-248.6)+(0+(-0.858789--0.380358))+0-31.2--0.0477360000000018</f>
        <v>281.06930499999993</v>
      </c>
      <c r="G358" s="3">
        <f>0+(546.8-237.2)+(0+(-0.557736--0.241944))+0-31.2--0.031824000000005</f>
        <v>278.11603200000002</v>
      </c>
      <c r="H358" s="3">
        <f>0+(510-199.7)+(0+(-0.7803--0.305541))+0-31.3--0.0478890000000018</f>
        <v>278.57312999999999</v>
      </c>
      <c r="I358" s="3">
        <f>0+(492.3-185.6)+(0+(-0.502146--0.189312))+0-31.2--0.031824000000005</f>
        <v>275.21899000000008</v>
      </c>
      <c r="J358" s="3">
        <f>0+(485.3-177.8)+(0+(0.495006-0.181356))+0-30.5-0.0311100000000049</f>
        <v>277.28253999999998</v>
      </c>
      <c r="K358" s="3">
        <f>0+(455.9-149.3)+(0+(0-0))+0-30.4-0</f>
        <v>276.2</v>
      </c>
      <c r="L358" s="3">
        <f>0+(558.4-259.5)+(0+(0.284784-0.132345))+0-29.9-0.015248999999997</f>
        <v>269.13719000000003</v>
      </c>
      <c r="M358" s="3">
        <f>0+(681.5-358.9)+(0+(0.69513-0.366078))+0-32.2-0.0328440000000051</f>
        <v>290.69620800000001</v>
      </c>
      <c r="N358" s="3">
        <f>0+(662.3-313.1)+(0+(0.675546-0.319362))+0-31.8-0.0324360000000051</f>
        <v>317.72374799999989</v>
      </c>
      <c r="O358" s="3">
        <f>0+(631.2-268.6)+(0+(0.321912-0.136986))+0-31.5-0.0160649999999968</f>
        <v>331.26886100000007</v>
      </c>
      <c r="P358" s="3">
        <f>0+(634.1-262.6)+(0+(0-0))+0-31.7-0</f>
        <v>339.8</v>
      </c>
      <c r="Q358" s="3">
        <f>54+(623.1-301)+(0+(0-0))+0-31-0</f>
        <v>345.1</v>
      </c>
      <c r="R358" s="3">
        <f>133.2+(580-343.6)+(-0.271728+(-1.1832--0.700944))+0-30.9--0.0630359999999986</f>
        <v>338.009052</v>
      </c>
      <c r="S358" s="3">
        <f>148.2+(604.3-400.3)+(-0.075582+(-0.308193--0.204153))+0-32.2--0.0164219999999967</f>
        <v>319.83679999999993</v>
      </c>
      <c r="T358" s="3">
        <f>235.1+(575-469.6)+(0+(0-0))+0-32.1-0</f>
        <v>308.39999999999998</v>
      </c>
      <c r="U358" s="3">
        <f>273.7+(523.9-451.8)+(-0.279174+(-0.534378--0.460836))+0-32.1--0.0327420000000051</f>
        <v>313.38002599999993</v>
      </c>
      <c r="V358" s="3">
        <f>274.8+(442-367.4)+(0.140148+(0.22542-0.187374))+0-32.2-0.0164219999999967</f>
        <v>317.36177200000009</v>
      </c>
      <c r="W358" s="3">
        <f>274.9+(406.6-329.9)+(0.140199+(0.207366-0.168249))+0-31-0.0158099999999969</f>
        <v>320.76350600000001</v>
      </c>
      <c r="X358" s="3">
        <f>278.3+(409.9-312.6)+(0.141933+(0.209049-0.159426))+0-32.7-0.0166769999999967</f>
        <v>343.07487899999995</v>
      </c>
      <c r="Y358" s="3">
        <f>286.5+(426.6-341.2)+(-0.146115+(-0.217566--0.174012))+0-29.1--0.014840999999997</f>
        <v>342.62517200000002</v>
      </c>
      <c r="Z358" s="3">
        <f>289.4+(444.4-353.6)+(0.147594+(0.226644-0.180336))+0-31.3-0.0159629999999968</f>
        <v>349.0779389999999</v>
      </c>
      <c r="AA358" s="3">
        <f>289.9+(493.7-423.8)+(-0.147849+(-0.251787--0.216138))+0-31.8--0.0162179999999968</f>
        <v>327.83271999999994</v>
      </c>
      <c r="AB358" s="3">
        <f>290+(516.2-455)+(-1.1832+(-2.106096--1.8564))+0-32.1--0.130967999999997</f>
        <v>317.79807199999999</v>
      </c>
      <c r="AC358" s="3">
        <f>290+(520.4-474.8)+(-0.8874+(-1.592424--1.452888))+0-32--0.0979200000000037</f>
        <v>302.67098399999998</v>
      </c>
      <c r="AD358">
        <v>340.4</v>
      </c>
      <c r="AE358" s="3">
        <f>284+(412-323.3)+(0+(0-0))+0-32.3-0</f>
        <v>340.4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289.7+(496.4-471.8)+(-0.443241+(-0.759492--0.721854))+0-30.8--0.0471240000000018</f>
        <v>283.06624499999992</v>
      </c>
      <c r="G359" s="3">
        <f>289.2+(418.7-399.7)+(-0.147492+(-0.213537--0.203847))+0-27.1--0.0138209999999973</f>
        <v>280.956639</v>
      </c>
      <c r="H359" s="3">
        <f>176.7+(430.4-297.2)+(0+(0-0))+0-28.3-0</f>
        <v>281.59999999999997</v>
      </c>
      <c r="I359" s="3">
        <f>160.6+(385.8-240.8)+(0.081906+(0.196758-0.122808))+0-29-0.0147899999999971</f>
        <v>276.74106599999999</v>
      </c>
      <c r="J359" s="3">
        <f>162.8+(366.9-218.5)+(0+(0-0))+0-28.5-0</f>
        <v>282.7</v>
      </c>
      <c r="K359" s="3">
        <f>252.5+(380.6-330.9)+(0.128775+(0.194106-0.168759))+0-28.7-0.0146369999999971</f>
        <v>273.63948500000004</v>
      </c>
      <c r="L359" s="3">
        <f>249.9+(480-423.3)+(-0.509796+(-0.9792--0.863532))+0-30.8--0.0628319999999987</f>
        <v>275.237368</v>
      </c>
      <c r="M359" s="3">
        <f>251.9+(500.3-425.5)+(0.385407+(0.765459-0.651015))+0-31.1-0.0475830000000018</f>
        <v>296.05226800000003</v>
      </c>
      <c r="N359" s="3">
        <f>251.4+(544-445.2)+(0.256428+(0.55488-0.454104))+0-28.7-0.0292740000000046</f>
        <v>321.82793000000009</v>
      </c>
      <c r="O359" s="3">
        <f>251.7+(464.7-360.8)+(0.513468+(0.947988-0.736032))+0-31.2-0.0636479999999986</f>
        <v>325.06177599999995</v>
      </c>
      <c r="P359" s="3">
        <f>279.5+(466.1-392.6)+(0+(0-0))+0-31.9-0</f>
        <v>321.10000000000002</v>
      </c>
      <c r="Q359" s="3">
        <f>315.2+(491.5-445.9)+(-0.160752+(-0.250665--0.227409))+0-31.2--0.0159119999999968</f>
        <v>329.43190400000003</v>
      </c>
      <c r="R359" s="3">
        <f>316.2+(473.8-418.9)+(0+(0-0))+0-31-0</f>
        <v>340.1</v>
      </c>
      <c r="S359" s="3">
        <f>316.1+(525.3-446.9)+(0+(0-0))+0-30.8-0</f>
        <v>363.7</v>
      </c>
      <c r="T359" s="3">
        <f>316+(541.9-461.9)+(0+(0-0))+0-30.7-0</f>
        <v>365.3</v>
      </c>
      <c r="U359" s="3">
        <f>358.2+(506.7-529.8)+(-0.548046+(-0.775251--0.810594))+0-31.9--0.0488070000000018</f>
        <v>302.73610400000007</v>
      </c>
      <c r="V359" s="3">
        <f>324.6+(521.2-514.9)+(0.662184+(1.063248-1.050396))+0-32-0.0652799999999986</f>
        <v>299.5097560000001</v>
      </c>
      <c r="W359" s="3">
        <f>256.5+(503.2-424.6)+(-0.130815+(-0.256632--0.216546))+0-33.3--0.0169829999999966</f>
        <v>301.64608199999992</v>
      </c>
      <c r="X359" s="3">
        <f>261.1+(455.8-350.2)+(0+(0-0))+0-33.4-0</f>
        <v>333.30000000000007</v>
      </c>
      <c r="Y359" s="3">
        <f>260.6+(430.4-334.2)+(-0.398718+(-0.658512--0.511326))+0-33.6--0.0514080000000019</f>
        <v>322.70550399999996</v>
      </c>
      <c r="Z359" s="3">
        <f>264.2+(487.4-393.1)+(-0.134742+(-0.248574--0.200481))+0-33.2--0.0169319999999966</f>
        <v>325.13409699999994</v>
      </c>
      <c r="AA359" s="3">
        <f>255.3+(576.4-481.9)+(-0.130203+(-0.293964--0.245769))+0-33--0.0168299999999967</f>
        <v>316.63843199999997</v>
      </c>
      <c r="AB359" s="3">
        <f>178+(629.9-465.7)+(-0.4539+(-1.606245--1.187535))+0-31.8--0.0810899999999954</f>
        <v>309.60847999999999</v>
      </c>
      <c r="AC359" s="3">
        <f>144.6+(585.8-392.9)+(-0.36873+(-1.49379--1.001895))+0-31.4--0.0800699999999954</f>
        <v>305.31944499999997</v>
      </c>
      <c r="AD359">
        <v>322.8</v>
      </c>
      <c r="AE359" s="3">
        <f>261+(430.5-334.7)+(0+(0-0))+0-34-0</f>
        <v>322.8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127.9+(524.4-331.9)+(-0.130458+(-0.534888--0.338538))+0-30.1--0.0307020000000048</f>
        <v>290.00389399999995</v>
      </c>
      <c r="G360" s="3">
        <f>127.6+(511-324.5)+(-0.065076+(-0.26061--0.165495))+0-29.4--0.014993999999997</f>
        <v>284.55480300000005</v>
      </c>
      <c r="H360" s="3">
        <f>116.4+(513.2-319.7)+(0+(0-0))+0-27.7-0</f>
        <v>282.2000000000001</v>
      </c>
      <c r="I360" s="3">
        <f>75.5+(473.3-247.9)+(0.07701+(0.482766-0.252858))+0-27.3-0.0278460000000044</f>
        <v>273.87907199999995</v>
      </c>
      <c r="J360" s="3">
        <f>76.7+(469.2-251.1)+(0.195585+(1.19646-0.640305))+0-25.7-0.0655349999999963</f>
        <v>269.786205</v>
      </c>
      <c r="K360" s="3">
        <f>100.4+(442.2-247.2)+(0.25602+(1.12761-0.63036))+0-21.8-0.0555899999999968</f>
        <v>274.29767999999996</v>
      </c>
      <c r="L360" s="3">
        <f>128.1+(492.1-321.8)+(0.065331+(0.250971-0.164118))+0-26.2-0.0133619999999973</f>
        <v>272.33882199999999</v>
      </c>
      <c r="M360" s="3">
        <f>159+(549.8-389.1)+(0+(0-0))+0-22.5-0</f>
        <v>297.19999999999993</v>
      </c>
      <c r="N360" s="3">
        <f>262.9+(551.2-468.7)+(0+(0-0))+0-23.2-0</f>
        <v>322.20000000000005</v>
      </c>
      <c r="O360" s="3">
        <f>293.2+(540.8-477.7)+(0.299064+(0.551616-0.487254))+0-27.9-0.0284580000000044</f>
        <v>328.73496799999998</v>
      </c>
      <c r="P360" s="3">
        <f>322.2+(498.5-457.5)+(-0.164322+(-0.254235--0.233325))+0-27.6--0.0140759999999972</f>
        <v>335.42884399999997</v>
      </c>
      <c r="Q360" s="3">
        <f>338.6+(491.2-466.6)+(-0.345372+(-0.501024--0.475932))+0-26--0.0265200000000041</f>
        <v>336.85605599999997</v>
      </c>
      <c r="R360" s="3">
        <f>324+(512.3-478.7)+(-0.33048+(-0.522546--0.488274))+0-27.2--0.0277440000000043</f>
        <v>330.06299199999995</v>
      </c>
      <c r="S360" s="3">
        <f>302+(544.2-483.2)+(-0.15402+(-0.277542--0.246432))+0-26.7--0.0136169999999973</f>
        <v>336.12848700000006</v>
      </c>
      <c r="T360" s="3">
        <f>237+(536.2-416.4)+(-0.48348+(-1.093848--0.849456))+0-10--0.0203999999999996</f>
        <v>346.09252800000007</v>
      </c>
      <c r="U360" s="3">
        <f>167+(691.6-542.6)+(0+(0-0))+0-7.4-0</f>
        <v>308.60000000000002</v>
      </c>
      <c r="V360" s="3">
        <f>148+(705.7-540.6)+(-0.15096+(-0.719814--0.551412))+0-7.4--0.00754800000000118</f>
        <v>305.38818600000002</v>
      </c>
      <c r="W360" s="3">
        <f>251+(570.5-509.5)+(-0.12801+(-0.290955--0.259845))+0-7.5--0.00382499999999924</f>
        <v>304.34470500000003</v>
      </c>
      <c r="X360" s="3">
        <f>114+(700.6-442.7)+(-0.05814+(-0.357306--0.225777))+0-21.5--0.0109649999999978</f>
        <v>350.22129600000005</v>
      </c>
      <c r="Y360" s="3">
        <f>250+(393.5-319.5)+(-0.255+(-0.40137--0.32589))+0-7.6--0.00775200000000121</f>
        <v>316.07727199999994</v>
      </c>
      <c r="Z360" s="3">
        <f>248.7+(438.5-367.1)+(-0.634185+(-1.118175--0.936105))+0-7.5--0.0191249999999989</f>
        <v>311.80286999999993</v>
      </c>
      <c r="AA360" s="3">
        <f>256.7+(527.1-466.8)+(-0.261834+(-0.537642--0.476136))+0-7.6--0.00775200000000121</f>
        <v>309.08441199999999</v>
      </c>
      <c r="AB360" s="3">
        <f>227.9+(607.7-525.2)+(-0.348687+(-0.929781--0.803556))+0-7.5--0.0114750000000004</f>
        <v>302.43656299999998</v>
      </c>
      <c r="AC360" s="3">
        <f>122.9+(710.3-529.9)+(-0.188037+(-1.086759--0.810747))+0-7.4--0.0113220000000004</f>
        <v>295.447273</v>
      </c>
      <c r="AD360">
        <v>316.20000000000005</v>
      </c>
      <c r="AE360" s="3">
        <f>251+(406.1-333.2)+(0+(0-0))+0-7.7-0</f>
        <v>316.20000000000005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123.6+(742.4-570.6)+(-0.126072+(-0.757248--0.582012))+0-7.5--0.0076500000000012</f>
        <v>287.60634199999998</v>
      </c>
      <c r="G361" s="3">
        <f>125.1+(639.6-488.4)+(0.063801+(0.326196-0.249084))+0-7.5-0.00382499999999924</f>
        <v>268.93708800000007</v>
      </c>
      <c r="H361" s="3">
        <f>123.3+(578.2-429.9)+(-0.188649+(-0.884646--0.657747))+0-7.5--0.0114750000000004</f>
        <v>263.6959270000001</v>
      </c>
      <c r="I361" s="3">
        <f>123.5+(518-379.2)+(-0.12597+(-0.52836--0.386784))+0-7.6--0.00775200000000121</f>
        <v>254.44020600000005</v>
      </c>
      <c r="J361" s="3">
        <f>108.2+(476.3-323.2)+(-0.165546+(-0.728739--0.494496))+0-7.6--0.0116280000000004</f>
        <v>253.31183900000002</v>
      </c>
      <c r="K361" s="3">
        <f>75.8+(547.4-362.4)+(0.115974+(0.837522-0.554472))+0-8.8-0.0134640000000005</f>
        <v>252.38556</v>
      </c>
      <c r="L361" s="3">
        <f>71.1+(765.7-574.1)+(-0.072522+(-0.781014--0.585582))+0-9.5--0.00969000000000152</f>
        <v>252.94173600000008</v>
      </c>
      <c r="M361" s="3">
        <f>237+(744.1-698.3)+(0+(0-0))+0-12.3-0</f>
        <v>270.50000000000006</v>
      </c>
      <c r="N361" s="3">
        <f>258.1+(669.9-614.4)+(0.263262+(0.683298-0.626688))+0-14.7-0.0149940000000023</f>
        <v>299.20487800000001</v>
      </c>
      <c r="O361" s="3">
        <f>257+(644.2-579.9)+(0.39321+(0.985626-0.887247))+0-15-0.0229500000000009</f>
        <v>306.76863900000006</v>
      </c>
      <c r="P361" s="3">
        <f>257+(661.4-588.2)+(0+(0-0))+0-15.7-0</f>
        <v>314.49999999999994</v>
      </c>
      <c r="Q361" s="3">
        <f>254.9+(665.1-589.1)+(-0.129999+(-0.339201--0.300441))+0-18.6--0.00948599999999811</f>
        <v>312.14072699999991</v>
      </c>
      <c r="R361" s="3">
        <f>246.6+(673.1-593.4)+(-1.006128+(-2.746248--2.421072))+0-18--0.0734399999999984</f>
        <v>307.04213600000008</v>
      </c>
      <c r="S361" s="3">
        <f>246.6+(667.3-605.1)+(-0.503064+(-1.361292--1.234404))+0-17.3--0.0352919999999992</f>
        <v>290.90533999999997</v>
      </c>
      <c r="T361" s="3">
        <f>247.3+(704.5-649.4)+(0.126123+(0.359295-0.331194))+0-19.9-0.010148999999998</f>
        <v>282.64407500000004</v>
      </c>
      <c r="U361" s="3">
        <f>244.8+(687.3-631.8)+(-0.749088+(-2.103138--1.933308))+0-23--0.0703800000000027</f>
        <v>276.45146199999999</v>
      </c>
      <c r="V361" s="3">
        <f>245.3+(634.9-582.3)+(-0.750618+(-1.942794--1.781838))+0-26--0.079560000000003</f>
        <v>271.06798600000008</v>
      </c>
      <c r="W361" s="3">
        <f>251.5+(583.5-513.9)+(-0.384795+(-0.892755--0.786267))+0-28.1--0.0429930000000016</f>
        <v>292.55171000000001</v>
      </c>
      <c r="X361" s="3">
        <f>246+(593.3-503)+(-0.12546+(-0.302583--0.25653))+0-0-0</f>
        <v>336.12848699999995</v>
      </c>
      <c r="Y361" s="3">
        <f>257+(605.7-483)+(-0.52428+(-1.235628--0.98532))+0-2.9--0.00591599999999987</f>
        <v>376.03132800000009</v>
      </c>
      <c r="Z361" s="3">
        <f>260+(544.3-482.9)+(0.1326+(0.277593-0.246279))+0-26.9-0.0137189999999973</f>
        <v>294.650195</v>
      </c>
      <c r="AA361" s="3">
        <f>263.2+(587.2-530.8)+(-0.402696+(-0.898416--0.812124))+0-29.6--0.0452880000000017</f>
        <v>289.55630000000008</v>
      </c>
      <c r="AB361" s="3">
        <f>265.2+(690.3-644.1)+(-0.135252+(-0.352053--0.328491))+0-30.1--0.0153509999999969</f>
        <v>281.1565369999999</v>
      </c>
      <c r="AC361" s="3">
        <f>224.7+(714.7-634.4)+(-0.802179+(-2.551479--2.264808))+0-30.1--0.107457</f>
        <v>273.91860700000007</v>
      </c>
      <c r="AD361">
        <v>336.9</v>
      </c>
      <c r="AE361" s="3">
        <f>256+(616.9-537)+(0+(0-0))+0--1-0</f>
        <v>336.9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124.4+(695.5-522.4)+(-0.126888+(-0.70941--0.532848))+0-29.8--0.0303960000000048</f>
        <v>267.42694599999999</v>
      </c>
      <c r="G362" s="3">
        <f>120.6+(616.5-449.4)+(-0.246024+(-1.25766--0.916776))+0-31.1--0.0634439999999986</f>
        <v>256.07653600000003</v>
      </c>
      <c r="H362" s="3">
        <f>69.5+(569.7-363.6)+(-0.106335+(-0.871641--0.556308))+0-30--0.0459000000000017</f>
        <v>245.224232</v>
      </c>
      <c r="I362" s="3">
        <f>69.3+(461.8-281.5)+(-0.141372+(-0.942072--0.57426))+0-10.7--0.0218279999999995</f>
        <v>238.41264400000003</v>
      </c>
      <c r="J362" s="3">
        <f>70.6+(481.6-307.7)+(0.108018+(0.736848-0.470781))+0-7.6-0.0116280000000004</f>
        <v>237.26245700000004</v>
      </c>
      <c r="K362" s="3">
        <f>70.9+(492.3-318.1)+(0.144636+(1.004292-0.648924))+0-7.4-0.0150959999999997</f>
        <v>238.18490799999998</v>
      </c>
      <c r="L362" s="3">
        <f>69.8+(510.5-343.5)+(-0.035598+(-0.260355--0.175185))+0-7.5--0.00382499999999924</f>
        <v>229.18305700000002</v>
      </c>
      <c r="M362" s="3">
        <f>69.7+(551.6-377.7)+(-0.035547+(-0.281316--0.192627))+0-7.5--0.00382499999999924</f>
        <v>235.97958900000003</v>
      </c>
      <c r="N362" s="3">
        <f>69.1+(580.5-394.6)+(-0.105723+(-0.888165--0.603738))+0-7.6--0.0116280000000004</f>
        <v>247.02147799999997</v>
      </c>
      <c r="O362" s="3">
        <f>100.5+(665.6-504.7)+(0+(0-0))+0-7.4-0</f>
        <v>254.00000000000003</v>
      </c>
      <c r="P362" s="3">
        <f>125.5+(708.9-564.1)+(0.25602+(1.446156-1.150764))+0-7.3-0.0148919999999997</f>
        <v>263.53652</v>
      </c>
      <c r="Q362" s="3">
        <f>124.5+(728.5-576.4)+(-0.063495+(-0.371535--0.293964))+0-7.4--0.00377399999999925</f>
        <v>269.06270800000004</v>
      </c>
      <c r="R362" s="3">
        <f>121.1+(734.8-583.3)+(-0.308805+(-1.87374--1.487415))+0-7.4--0.0188699999999989</f>
        <v>264.52374000000003</v>
      </c>
      <c r="S362" s="3">
        <f>122.1+(740.2-592.3)+(-0.062271+(-0.377502--0.302073))+0-7.3--0.00372299999999926</f>
        <v>262.56602300000009</v>
      </c>
      <c r="T362" s="3">
        <f>120.8+(752.1-613)+(-0.30804+(-1.917855--1.56315))+0-7.3--0.0186149999999989</f>
        <v>251.95587000000006</v>
      </c>
      <c r="U362" s="3">
        <f>121.8+(748.4-608.6)+(-0.062118+(-0.381684--0.310386))+0-7.3--0.00372299999999926</f>
        <v>254.17030699999995</v>
      </c>
      <c r="V362" s="3">
        <f>120.1+(726.4-581.8)+(-0.061251+(-0.370464--0.296718))+0-7.3--0.00372299999999926</f>
        <v>257.26872600000002</v>
      </c>
      <c r="W362" s="3">
        <f>120+(695.4-548.1)+(0.0612+(0.354654-0.279531))+0-7.7-0.00392699999999922</f>
        <v>259.73239599999999</v>
      </c>
      <c r="X362" s="3">
        <f>120.8+(684.8-503.7)+(0+(0-0))+0-9.6-0</f>
        <v>292.29999999999995</v>
      </c>
      <c r="Y362" s="3">
        <f>121.2+(624.9-442.2)+(-0.30906+(-1.593495--1.12761))+0-11.7--0.0298349999999983</f>
        <v>291.45488999999998</v>
      </c>
      <c r="Z362" s="3">
        <f>104.6+(629.8-426.5)+(0+(0-0))+0-14.1-0</f>
        <v>293.79999999999995</v>
      </c>
      <c r="AA362" s="3">
        <f>50.1+(573.1-333.3)+(-0.153306+(-1.753686--1.019898))+0-0-0</f>
        <v>289.01290600000004</v>
      </c>
      <c r="AB362" s="3">
        <f>50.1+(448.2-202.9)+(-0.025551+(-0.228582--0.103479))+0-13.1--0.00668099999999867</f>
        <v>282.15602699999999</v>
      </c>
      <c r="AC362" s="3">
        <f>50.1+(369.5-136.9)+(-0.102204+(-0.75378--0.279276))+0-15--0.0305999999999993</f>
        <v>267.15389199999998</v>
      </c>
      <c r="AD362">
        <v>287.89999999999998</v>
      </c>
      <c r="AE362" s="3">
        <f>122+(662-484)+(0+(0-0))+0-12.1-0</f>
        <v>287.89999999999998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50.1+(411.7-188.6)+(-0.051102+(-0.419934--0.192372))+0-16.4--0.0167280000000026</f>
        <v>256.53806400000002</v>
      </c>
      <c r="G363" s="3">
        <f>50.1+(432.3-218.6)+(-0.051102+(-0.440946--0.222972))+0-14.3--0.0145860000000023</f>
        <v>249.24551000000002</v>
      </c>
      <c r="H363" s="3">
        <f>50+(425.5-209.7)+(0+(0-0))+0-15.4-0</f>
        <v>250.4</v>
      </c>
      <c r="I363" s="3">
        <f>50.1+(385.3-171.7)+(-0.076653+(-0.589509--0.262701))+0-17.4--0.026622000000001</f>
        <v>245.92316100000005</v>
      </c>
      <c r="J363" s="3">
        <f>50.1+(382.8-163.1)+(0.025551+(0.195228-0.083181))+0-20.7-0.0105569999999979</f>
        <v>249.22704100000004</v>
      </c>
      <c r="K363" s="3">
        <f>67.7+(480.4-278.1)+(0.103581+(0.735012-0.425493))+0-22.8-0.0348840000000013</f>
        <v>247.57821599999991</v>
      </c>
      <c r="L363" s="3">
        <f>139.2+(522.9-398.4)+(-0.35496+(-1.333395--1.01592))+0-24.5--0.0624749999999964</f>
        <v>238.59003999999999</v>
      </c>
      <c r="M363" s="3">
        <f>139.9+(604.2-456.5)+(-0.285396+(-1.232568--0.93126))+0-27.5--0.0560999999999988</f>
        <v>259.56939600000004</v>
      </c>
      <c r="N363" s="3">
        <f>137.6+(767.9-595.9)+(0+(0-0))+0-30.2-0</f>
        <v>279.40000000000003</v>
      </c>
      <c r="O363" s="3">
        <f>135.5+(762.4-578.1)+(0.069105+(0.388824-0.294831))+0-27.9-0.0142289999999972</f>
        <v>292.04886899999997</v>
      </c>
      <c r="P363" s="3">
        <f>135.5+(714-539.2)+(0+(0-0))+0-28-0</f>
        <v>282.29999999999995</v>
      </c>
      <c r="Q363" s="3">
        <f>131.7+(690.3-500.8)+(0+(0-0))+0-30.3-0</f>
        <v>290.89999999999992</v>
      </c>
      <c r="R363" s="3">
        <f>129.4+(708.9-522.7)+(-0.263976+(-1.446156--1.066308))+0-29.8--0.0607919999999987</f>
        <v>285.21696799999989</v>
      </c>
      <c r="S363" s="3">
        <f>78.3+(703.9-474.4)+(-0.119799+(-1.076967--0.725832))+0-28.4--0.0434520000000016</f>
        <v>278.97251800000004</v>
      </c>
      <c r="T363" s="3">
        <f>69.8+(706.1-491.6)+(-0.035598+(-0.360111--0.250716))+0-9.2--0.00469199999999907</f>
        <v>274.959699</v>
      </c>
      <c r="U363" s="3">
        <f>70+(706-485)+(0+(0-0))+0-10-0</f>
        <v>281</v>
      </c>
      <c r="V363" s="3">
        <f>70+(714.4-478.1)+(-0.1071+(-1.093032--0.731493))+0-28.9--0.0442170000000017</f>
        <v>276.97557799999998</v>
      </c>
      <c r="W363" s="3">
        <f>70+(617.7-379.4)+(0+(0-0))+0-29.7-0</f>
        <v>278.60000000000008</v>
      </c>
      <c r="X363" s="3">
        <f>70+(655.9-395.9)+(-0.0357+(-0.334509--0.201909))+0-30--0.015299999999997</f>
        <v>299.84700000000004</v>
      </c>
      <c r="Y363" s="3">
        <f>70+(673.7-422.5)+(-0.1071+(-1.030761--0.646425))+0-29.8--0.0455940000000017</f>
        <v>290.95415800000001</v>
      </c>
      <c r="Z363" s="3">
        <f>70+(819-543.2)+(-0.1071+(-1.25307--0.831096))+0-30--0.0459000000000017</f>
        <v>315.31682599999999</v>
      </c>
      <c r="AA363" s="3">
        <f>76+(566.4-317.5)+(-0.07752+(-0.577728--0.32385))+0-30.7--0.0313140000000049</f>
        <v>293.89991600000002</v>
      </c>
      <c r="AB363" s="3">
        <f>89+(436.5-224.2)+(-0.22695+(-1.113075--0.57171))+0-30.8--0.0785399999999955</f>
        <v>269.810225</v>
      </c>
      <c r="AC363" s="3">
        <f>90+(287.6-77.2)+(-0.1377+(-0.440028--0.118116))+0-31--0.0474300000000018</f>
        <v>268.98781800000006</v>
      </c>
      <c r="AD363">
        <v>307.8</v>
      </c>
      <c r="AE363" s="3">
        <f>70+(686.6-419)+(0+(0-0))+0-29.8-0</f>
        <v>307.8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60+(373.8-184.2)+(-0.153+(-0.95319--0.46971))+0-26.3--0.0670649999999962</f>
        <v>222.73058499999999</v>
      </c>
      <c r="G364" s="3">
        <f>60+(416.1-231.8)+(-0.153+(-1.061055--0.59109))+0-32.3--0.0823649999999953</f>
        <v>211.45940000000002</v>
      </c>
      <c r="H364" s="3">
        <f>60+(351.9-166.7)+(-0.0306+(-0.179469--0.085017))+0-32.2--0.0164219999999967</f>
        <v>212.89136999999997</v>
      </c>
      <c r="I364" s="3">
        <f>60+(393.5-211.8)+(-0.0918+(-0.602055--0.324054))+0-31.7--0.0485010000000018</f>
        <v>209.67870000000002</v>
      </c>
      <c r="J364" s="3">
        <f>60+(348.5-164.3)+(-0.0918+(-0.533205--0.251379))+0-31.4--0.0480420000000018</f>
        <v>212.47441599999999</v>
      </c>
      <c r="K364" s="3">
        <f>60+(282.3-97)+(-0.0918+(-0.431919--0.14841))+0-31.7--0.0485010000000018</f>
        <v>213.27319200000005</v>
      </c>
      <c r="L364" s="3">
        <f>92+(294.6-160.1)+(-0.09384+(-0.300492--0.163302))+0-31.6--0.032232000000005</f>
        <v>194.70120200000002</v>
      </c>
      <c r="M364" s="3">
        <f>92+(299.4-124.7)+(0.04692+(0.152694-0.063597))+0-32-0.0163199999999968</f>
        <v>234.81969699999996</v>
      </c>
      <c r="N364" s="3">
        <f>92+(328.6-122.6)+(0.04692+(0.167586-0.062526))+0-32.9-0.0167789999999967</f>
        <v>265.23520100000002</v>
      </c>
      <c r="O364" s="3">
        <f>92+(469.6-303.2)+(0+(0-0))+0-32.8-0</f>
        <v>225.60000000000002</v>
      </c>
      <c r="P364" s="3">
        <f>124+(556.1-376.3)+(-0.18972+(-0.850833--0.575739))+0-32.8--0.0501840000000019</f>
        <v>270.58537000000001</v>
      </c>
      <c r="Q364" s="3">
        <f>78+(579.9-357)+(0+(0-0))+0-33.5-0</f>
        <v>267.39999999999998</v>
      </c>
      <c r="R364" s="3">
        <f>70+(533.2-311.5)+(-0.0714+(-0.543864--0.31773))+0-32.9--0.0335580000000052</f>
        <v>258.53602400000011</v>
      </c>
      <c r="S364" s="3">
        <f>72+(567-362.4)+(-0.07344+(-0.57834--0.369648))+0-33.3--0.0339660000000053</f>
        <v>243.05183400000001</v>
      </c>
      <c r="T364" s="3">
        <f>72+(525.6-327.2)+(0+(0-0))+0-33.1-0</f>
        <v>237.30000000000004</v>
      </c>
      <c r="U364" s="3">
        <f>70+(429.4-249)+(-0.0357+(-0.218994--0.12699))+0-32--0.0163199999999968</f>
        <v>218.28861599999999</v>
      </c>
      <c r="V364" s="3">
        <f>116+(371.8-233.5)+(-0.05916+(-0.189618--0.119085))+0-31.8--0.0162179999999968</f>
        <v>222.38652500000001</v>
      </c>
      <c r="W364" s="3">
        <f>126+(331.8-197.4)+(-0.12852+(-0.338436--0.201348))+0-31.3--0.031926000000005</f>
        <v>228.86631799999998</v>
      </c>
      <c r="X364" s="3">
        <f>128+(275.5-113.1)+(-0.06528+(-0.140505--0.057681))+0-32.9--0.0167789999999967</f>
        <v>257.368675</v>
      </c>
      <c r="Y364" s="3">
        <f>126+(431.6-268.4)+(-0.3213+(-1.10058--0.68442))+0-33.2--0.0846599999999952</f>
        <v>255.34720000000004</v>
      </c>
      <c r="Z364" s="3">
        <f>126+(456.8-311.2)+(-0.38556+(-1.397808--0.952272))+0-16.3--0.0498780000000019</f>
        <v>254.51878200000002</v>
      </c>
      <c r="AA364" s="3">
        <f>126+(472.9-340.6)+(-0.12852+(-0.482358--0.347412))+0-7.7--0.00785400000000123</f>
        <v>250.34438799999998</v>
      </c>
      <c r="AB364" s="3">
        <f>126+(439.4-314.2)+(-0.25704+(-0.896376--0.640968))+0-7.5--0.0152999999999997</f>
        <v>243.20285199999998</v>
      </c>
      <c r="AC364" s="3">
        <f>128+(176.7-61.7)+(-0.13056+(-0.180234--0.062934))+0-7.4--0.00754800000000118</f>
        <v>235.35968800000001</v>
      </c>
      <c r="AD364">
        <v>245.50000000000003</v>
      </c>
      <c r="AE364" s="3">
        <f>125+(440.7-286.8)+(0+(0-0))+0-33.4-0</f>
        <v>245.49999999999997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70+(144.2-41)+(0.0357+(0.073542-0.02091))+0-7.6-0.00387599999999923</f>
        <v>165.68445600000001</v>
      </c>
      <c r="G365" s="3">
        <f>70+(165.6-60.5)+(-0.1785+(-0.42228--0.154275))+0-7.4--0.0188699999999989</f>
        <v>167.27236499999998</v>
      </c>
      <c r="H365" s="3">
        <f>70+(169-53.7)+(-0.0357+(-0.08619--0.027387))+0-7.3--0.00372299999999926</f>
        <v>177.90922</v>
      </c>
      <c r="I365" s="3">
        <f>70+(157-45.2)+(-0.0714+(-0.16014--0.046104))+0-7.5--0.0076500000000012</f>
        <v>174.12221400000001</v>
      </c>
      <c r="J365" s="3">
        <f>70+(138.7-27.7)+(0.1071+(0.212211-0.042381))+0-7.3-0.0111690000000004</f>
        <v>173.96576099999999</v>
      </c>
      <c r="K365" s="3">
        <f>70+(165.3-59.2)+(0.0357+(0.084303-0.030192))+0-7.4-0.00377399999999925</f>
        <v>168.78603700000002</v>
      </c>
      <c r="L365" s="3">
        <f>90+(278.3-179.8)+(-0.1836+(-0.567732--0.366792))+0-7.4--0.0150959999999997</f>
        <v>180.73055600000001</v>
      </c>
      <c r="M365" s="3">
        <f>90+(298.8-193.4)+(0.0459+(0.152388-0.098634))+0-7.4-0.00377399999999925</f>
        <v>188.09587999999999</v>
      </c>
      <c r="N365" s="3">
        <f>90+(253.8-140.8)+(0.0918+(0.258876-0.143616))+0-7.5-0.0076500000000012</f>
        <v>195.69941</v>
      </c>
      <c r="O365" s="3">
        <f>90+(258.5-138.4)+(-0.0459+(-0.131835--0.070584))+0-7.2--0.00367199999999927</f>
        <v>202.79652100000001</v>
      </c>
      <c r="P365" s="3">
        <f>90+(257.2-135.8)+(-0.1836+(-0.524688--0.277032))+0-7.2--0.0146879999999997</f>
        <v>203.783432</v>
      </c>
      <c r="Q365" s="3">
        <f>90+(280-154.1)+(-0.0459+(-0.1428--0.078591))+0-9--0.00458999999999909</f>
        <v>206.79448100000002</v>
      </c>
      <c r="R365" s="3">
        <f>90+(241.7-113.9)+(-0.2754+(-0.739602--0.348534))+0-10.7--0.0327420000000012</f>
        <v>206.466274</v>
      </c>
      <c r="S365" s="3">
        <f>90+(225.6-101.2)+(0.0459+(0.115056-0.051612))+0-12.5-0.00637499999999873</f>
        <v>202.00296899999998</v>
      </c>
      <c r="T365" s="3">
        <f>80+(237.7-99.3)+(-0.0408+(-0.121227--0.050643))+0-12.1--0.00617099999999877</f>
        <v>206.19478699999999</v>
      </c>
      <c r="U365" s="3">
        <f>0+(270.2-54.4)+(0+(-0.137802--0.027744))+0-12.2--0.00622199999999876</f>
        <v>203.49616399999999</v>
      </c>
      <c r="V365" s="3">
        <f>0+(260.8-41.1)+(0+(0-0))+0-16.1-0</f>
        <v>203.60000000000002</v>
      </c>
      <c r="W365" s="3">
        <f>100.8+(181.4-50)+(-0.205632+(-0.370056--0.102))+0-18.3--0.0373319999999992</f>
        <v>213.46364399999996</v>
      </c>
      <c r="X365" s="3">
        <f>128.1+(220.9-86.2)+(-0.195993+(-0.337977--0.131886))+0-17.1--0.026163000000001</f>
        <v>245.32407899999995</v>
      </c>
      <c r="Y365" s="3">
        <f>129.9+(242.2-101.9)+(-0.198747+(-0.370566--0.155907))+0-18.6--0.0284580000000011</f>
        <v>251.21505199999999</v>
      </c>
      <c r="Z365" s="3">
        <f>129.5+(204.9-69.8)+(-0.330225+(-0.522495--0.17799))+0-20.8--0.053039999999997</f>
        <v>243.17831000000001</v>
      </c>
      <c r="AA365" s="3">
        <f>129.6+(162.8-24.2)+(-0.264384+(-0.332112--0.049368))+0-22.8--0.046511999999999</f>
        <v>244.89938400000005</v>
      </c>
      <c r="AB365" s="3">
        <f>129.3+(138.8-6.7)+(-0.263772+(-0.283152--0.013668))+0-24.9--0.0507959999999989</f>
        <v>236.01754000000003</v>
      </c>
      <c r="AC365" s="3">
        <f>129.6+(145.6-20.5)+(-0.198288+(-0.222768--0.031365))+0-27.1--0.0414630000000016</f>
        <v>227.25177199999999</v>
      </c>
      <c r="AD365">
        <v>247.70000000000002</v>
      </c>
      <c r="AE365" s="3">
        <f>130+(232.7-95.1)+(0+(0-0))+0-19.9-0</f>
        <v>247.70000000000002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0+(789-240.5)+(0+(-2.01195--0.613275))+0-0-0</f>
        <v>547.10132499999997</v>
      </c>
      <c r="G1" s="3">
        <f>0+(704.8-186.7)+(0+(-1.078344--0.285651))+0-0-0</f>
        <v>517.30730699999992</v>
      </c>
      <c r="H1" s="3">
        <f>0+(668.1-163.4)+(0+(-0.340731--0.083334))+0-0-0</f>
        <v>504.44260300000002</v>
      </c>
      <c r="I1" s="3">
        <f>0+(633.7-150.1)+(0+(-1.615935--0.382755))+0-0-0</f>
        <v>482.36682000000002</v>
      </c>
      <c r="J1" s="3">
        <f>0+(638.2-175.3)+(0+(-0.325482--0.089403))+0-0-0</f>
        <v>462.66392100000002</v>
      </c>
      <c r="K1" s="3">
        <f>0+(639.7-180.7)+(0+(-1.631235--0.460785))+0-0-0</f>
        <v>457.82955000000004</v>
      </c>
      <c r="L1" s="3">
        <f>0+(649.1-215)+(0+(0-0))+0-0-0</f>
        <v>434.1</v>
      </c>
      <c r="M1" s="3">
        <f>0+(678.5-240.9)+(0+(0-0))+0-0-0</f>
        <v>437.6</v>
      </c>
      <c r="N1" s="3">
        <f>0+(803.7-348.3)+(0+(-1.229661--0.532899))+0-0-0</f>
        <v>454.70323800000006</v>
      </c>
      <c r="O1" s="3">
        <f>0+(822.6-359.9)+(0+(-0.419526--0.183549))+0-0-0</f>
        <v>462.46402300000005</v>
      </c>
      <c r="P1" s="3">
        <f>0+(800.9-339.7)+(0+(-1.225377--0.519741))+0-0-0</f>
        <v>460.49436399999996</v>
      </c>
      <c r="Q1" s="3">
        <f>0+(800.7-342.4)+(0+(-1.225071--0.523872))+0-0-0</f>
        <v>457.59880100000009</v>
      </c>
      <c r="R1" s="3">
        <f>0+(770.5-319.7)+(0+(-0.392955--0.163047))+0-0-0</f>
        <v>450.57009199999999</v>
      </c>
      <c r="S1" s="3">
        <f>0+(752.5-312.5)+(0+(0.76755-0.31875))+0-0-0</f>
        <v>440.44880000000001</v>
      </c>
      <c r="T1" s="3">
        <f>0+(764-325.2)+(0+(-1.16892--0.497556))+0-0-0</f>
        <v>438.12863600000003</v>
      </c>
      <c r="U1" s="3">
        <f>0+(746.1-309.6)+(0+(-0.761022--0.315792))+0-0-0</f>
        <v>436.05477000000002</v>
      </c>
      <c r="V1" s="3">
        <f>0+(767.9-325.4)+(0+(-0.391629--0.165954))+0-0-0</f>
        <v>442.27432499999998</v>
      </c>
      <c r="W1" s="3">
        <f>0+(780.1-322.7)+(0+(0-0))+0-0-0</f>
        <v>457.40000000000003</v>
      </c>
      <c r="X1" s="3">
        <f>0+(845.8-325.8)+(0+(0-0))+0-0-0</f>
        <v>520</v>
      </c>
      <c r="Y1" s="3">
        <f>0+(915.6-346.4)+(0+(-0.466956--0.176664))+0-0-0</f>
        <v>568.90970800000002</v>
      </c>
      <c r="Z1" s="3">
        <f>0+(943.6-377.4)+(0+(0.481236-0.192474))+0-0-0</f>
        <v>566.48876200000007</v>
      </c>
      <c r="AA1" s="3">
        <f>0+(1024.1-465.4)+(0+(0-0))+0-0-0</f>
        <v>558.69999999999993</v>
      </c>
      <c r="AB1" s="3">
        <f>0+(997.7-456.7)+(0+(0-0))+0-0-0</f>
        <v>541</v>
      </c>
      <c r="AC1" s="3">
        <f>0+(924.5-411.5)+(0+(-0.471495--0.209865))+0-0-0</f>
        <v>512.73837000000003</v>
      </c>
      <c r="AD1">
        <v>575.90000000000009</v>
      </c>
      <c r="AE1" s="3">
        <f>0+(962.2-386.3)+(0+(0-0))+0-0-0</f>
        <v>575.90000000000009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484.36918500000002</v>
      </c>
      <c r="G2" s="3">
        <f>0+(771-315)+(0+(0-0))+0-0-0</f>
        <v>456</v>
      </c>
      <c r="H2" s="3">
        <f>0+(766.4-312.5)+(0+(-1.563456--0.6375))+0-0-0</f>
        <v>452.97404399999999</v>
      </c>
      <c r="I2" s="3">
        <f>0+(660.3-219.3)+(0+(-0.673506--0.223686))+0-0-0</f>
        <v>440.55017999999995</v>
      </c>
      <c r="J2" s="3">
        <f>0+(631.4-198.5)+(0+(0-0))+0-0-0</f>
        <v>432.9</v>
      </c>
      <c r="K2" s="3">
        <f>0+(616.4-182.9)+(0+(-0.943092--0.279837))+0-0-0</f>
        <v>432.83674500000001</v>
      </c>
      <c r="L2" s="3">
        <f>0+(623-186.5)+(0+(-0.63546--0.19023))+0-0-0</f>
        <v>436.05477000000002</v>
      </c>
      <c r="M2" s="3">
        <f>0+(626.3-207.4)+(0+(-2.235891--0.740418))+0-0-0</f>
        <v>417.40452699999997</v>
      </c>
      <c r="N2" s="3">
        <f>0+(628-210.2)+(0+(0.96084-0.321606))+0-0-0</f>
        <v>418.439234</v>
      </c>
      <c r="O2" s="3">
        <f>0+(731.4-292.4)+(0+(1.119042-0.447372))+0-0-0</f>
        <v>439.67167000000001</v>
      </c>
      <c r="P2" s="3">
        <f>0+(783.7-322)+(0+(0.799374-0.32844))+0-0-0</f>
        <v>462.17093400000005</v>
      </c>
      <c r="Q2" s="3">
        <f>0+(801.5-334.9)+(0+(-2.45259--1.024794))+0-0-0</f>
        <v>465.17220400000002</v>
      </c>
      <c r="R2" s="3">
        <f>0+(807.6-341.8)+(0+(-0.411876--0.174318))+0-0-0</f>
        <v>465.56244200000003</v>
      </c>
      <c r="S2" s="3">
        <f>0+(821.8-360.8)+(0+(0.838236-0.368016))+0-0-0</f>
        <v>461.47021999999993</v>
      </c>
      <c r="T2" s="3">
        <f>0+(805.6-349.9)+(0+(-1.232568--0.535347))+0-0-0</f>
        <v>455.00277900000003</v>
      </c>
      <c r="U2" s="3">
        <f>0+(797-352.4)+(0+(0-0))+0-0-0</f>
        <v>444.6</v>
      </c>
      <c r="V2" s="3">
        <f>0+(781.8-337.9)+(0+(-1.196154--0.516987))+0-0-0</f>
        <v>443.22083299999997</v>
      </c>
      <c r="W2" s="3">
        <f>0+(673.1-231.3)+(0+(-1.373124--0.471852))+0-0-0</f>
        <v>440.89872800000001</v>
      </c>
      <c r="X2" s="3">
        <f>0+(691.4-238.9)+(0+(-1.410456--0.487356))+0-0-0</f>
        <v>451.57690000000002</v>
      </c>
      <c r="Y2" s="3">
        <f>0+(797.2-286.5)+(0+(-1.219716--0.438345))+0-0-0</f>
        <v>509.91862900000007</v>
      </c>
      <c r="Z2" s="3">
        <f>0+(925.9-361)+(0+(-2.361045--0.92055))+0-0-0</f>
        <v>563.45950499999992</v>
      </c>
      <c r="AA2" s="3">
        <f>0+(979.5-421.1)+(0+(-0.499545--0.214761))+0-0-0</f>
        <v>558.11521600000003</v>
      </c>
      <c r="AB2" s="3">
        <f>0+(965.9-417.7)+(0+(-2.955654--1.278162))+0-0-0</f>
        <v>546.52250800000002</v>
      </c>
      <c r="AC2" s="3">
        <f>0+(925.3-387)+(0+(-0.943806--0.39474))+0-0-0</f>
        <v>537.75093399999992</v>
      </c>
      <c r="AD2">
        <v>567.80000000000007</v>
      </c>
      <c r="AE2" s="3">
        <f>0+(940.2-372.4)+(0+(0-0))+0-0-0</f>
        <v>567.80000000000007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0+(843.3-328.4)+(0+(-0.860166--0.334968))+0-0-0</f>
        <v>514.37480199999993</v>
      </c>
      <c r="G3" s="3">
        <f>0+(761-277.4)+(0+(0-0))+0-0-0</f>
        <v>483.6</v>
      </c>
      <c r="H3" s="3">
        <f>0+(733.2-275.9)+(0+(-1.495728--0.562836))+0-0-0</f>
        <v>456.36710800000009</v>
      </c>
      <c r="I3" s="3">
        <f>0+(703.5-257.7)+(0+(0-0))+0-0-0</f>
        <v>445.8</v>
      </c>
      <c r="J3" s="3">
        <f>0+(678.4-236.7)+(0+(-1.72992--0.603585))+0-0-0</f>
        <v>440.57366500000001</v>
      </c>
      <c r="K3" s="3">
        <f>0+(676.3-235.1)+(0+(1.379652-0.479604))+0-0-0</f>
        <v>442.10004799999996</v>
      </c>
      <c r="L3" s="3">
        <f>0+(675.5-236.6)+(0+(-1.033515--0.361998))+0-0-0</f>
        <v>438.22848299999998</v>
      </c>
      <c r="M3" s="3">
        <f>0+(675.3-254.1)+(0+(-0.344403--0.129591))+0-0-0</f>
        <v>420.98518799999994</v>
      </c>
      <c r="N3" s="3">
        <f>0+(785.1-361)+(0+(0-0))+0-0-0</f>
        <v>424.1</v>
      </c>
      <c r="O3" s="3">
        <f>0+(830.6-378.5)+(0+(-0.423606--0.193035))+0-0-0</f>
        <v>451.86942900000003</v>
      </c>
      <c r="P3" s="3">
        <f>0+(858.5-380.9)+(0+(0-0))+0-0-0</f>
        <v>477.6</v>
      </c>
      <c r="Q3" s="3">
        <f>0+(836.6-347.4)+(0+(0-0))+0-0-0</f>
        <v>489.20000000000005</v>
      </c>
      <c r="R3" s="3">
        <f>0+(781.1-300.5)+(0+(-0.796722--0.30651))+0-0-0</f>
        <v>480.10978800000004</v>
      </c>
      <c r="S3" s="3">
        <f>0+(800-328.5)+(0+(0-0))+0-0-0</f>
        <v>471.5</v>
      </c>
      <c r="T3" s="3">
        <f>0+(786.5-329.4)+(0+(0.401115-0.167994))+0-0-0</f>
        <v>457.33312100000001</v>
      </c>
      <c r="U3" s="3">
        <f>0+(790.5-328.4)+(0+(-0.80631--0.334968))+0-0-0</f>
        <v>461.62865800000003</v>
      </c>
      <c r="V3" s="3">
        <f>0+(759.2-298.2)+(0+(0.387192-0.152082))+0-0-0</f>
        <v>461.23511000000008</v>
      </c>
      <c r="W3" s="3">
        <f>0+(687.6-226.3)+(0+(-0.350676--0.115413))+0-0-0</f>
        <v>461.06473700000004</v>
      </c>
      <c r="X3" s="3">
        <f>0+(703.7-233.3)+(0+(0.358887-0.118983))+0-0-0</f>
        <v>470.63990400000006</v>
      </c>
      <c r="Y3" s="3">
        <f>0+(751.9-241.7)+(0+(0.383469-0.123267))+0-0-0</f>
        <v>510.46020199999998</v>
      </c>
      <c r="Z3" s="3">
        <f>0+(949.2-390.3)+(0+(-0.484092--0.199053))+0-0-0</f>
        <v>558.61496100000011</v>
      </c>
      <c r="AA3" s="3">
        <f>0+(979.7-427.7)+(0+(0-0))+0-0-0</f>
        <v>552</v>
      </c>
      <c r="AB3" s="3">
        <f>0+(943.8-400.1)+(0+(0.481338-0.204051))+0-0-0</f>
        <v>543.97728699999993</v>
      </c>
      <c r="AC3" s="3">
        <f>0+(883.6-351.1)+(0+(-0.450636--0.179061))+0-0-0</f>
        <v>532.22842500000002</v>
      </c>
      <c r="AD3">
        <v>570.29999999999995</v>
      </c>
      <c r="AE3" s="3">
        <f>0+(952.9-382.6)+(0+(0-0))+0-0-0</f>
        <v>570.29999999999995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0+(803.4-301.9)+(0+(-0.409734--0.153969))+0-0-0</f>
        <v>501.244235</v>
      </c>
      <c r="G4" s="3">
        <f>0+(747.8-285.2)+(0+(-1.144134--0.436356))+0-0-0</f>
        <v>461.89222199999995</v>
      </c>
      <c r="H4" s="3">
        <f>0+(728.8-283.2)+(0+(-0.743376--0.288864))+0-0-0</f>
        <v>445.14548799999994</v>
      </c>
      <c r="I4" s="3">
        <f>0+(723.1-286.1)+(0+(0.737562-0.291822))+0-0-0</f>
        <v>437.44574</v>
      </c>
      <c r="J4" s="3">
        <f>0+(707.8-274.2)+(0+(-0.721956--0.279684))+0-0-0</f>
        <v>433.15772799999996</v>
      </c>
      <c r="K4" s="3">
        <f>0+(707-275.9)+(0+(1.08171-0.422127))+0-0-0</f>
        <v>431.75958300000002</v>
      </c>
      <c r="L4" s="3">
        <f>0+(704.2-273.9)+(0+(-1.79571--0.698445))+0-0-0</f>
        <v>429.20273500000008</v>
      </c>
      <c r="M4" s="3">
        <f>0+(661.7-246)+(0+(0.674934-0.25092))+0-0-0</f>
        <v>416.12401400000005</v>
      </c>
      <c r="N4" s="3">
        <f>0+(704.1-272.5)+(0+(0-0))+0-0-0</f>
        <v>431.6</v>
      </c>
      <c r="O4" s="3">
        <f>0+(826.5-377.2)+(0+(0.421515-0.192372))+0-0-0</f>
        <v>449.52914300000003</v>
      </c>
      <c r="P4" s="3">
        <f>0+(888.5-412.5)+(0+(-0.453135--0.210375))+0-0-0</f>
        <v>475.75724000000002</v>
      </c>
      <c r="Q4" s="3">
        <f>0+(833.2-345.7)+(0+(-0.849864--0.352614))+0-0-0</f>
        <v>487.00275000000005</v>
      </c>
      <c r="R4" s="3">
        <f>0+(785.9-300.9)+(0+(-0.400809--0.153459))+0-0-0</f>
        <v>484.75265000000002</v>
      </c>
      <c r="S4" s="3">
        <f>0+(741.8-266.1)+(0+(-1.134954--0.407133))+0-0-0</f>
        <v>474.97217899999993</v>
      </c>
      <c r="T4" s="3">
        <f>0+(774.7-304.6)+(0+(-1.975485--0.77673))+0-0-0</f>
        <v>468.90124500000002</v>
      </c>
      <c r="U4" s="3">
        <f>0+(817.8-354)+(0+(1.668312-0.72216))+0-0-0</f>
        <v>464.74615199999994</v>
      </c>
      <c r="V4" s="3">
        <f>0+(819.9-359.1)+(0+(0.418149-0.183141))+0-0-0</f>
        <v>461.03500799999995</v>
      </c>
      <c r="W4" s="3">
        <f>0+(776.2-316.2)+(0+(-0.791724--0.322524))+0-0-0</f>
        <v>459.53080000000006</v>
      </c>
      <c r="X4" s="3">
        <f>0+(759.2-290.6)+(0+(-0.774384--0.296412))+0-0-0</f>
        <v>468.122028</v>
      </c>
      <c r="Y4" s="3">
        <f>0+(770.5-237)+(0+(0.392955-0.12087))+0-0-0</f>
        <v>533.77208499999995</v>
      </c>
      <c r="Z4" s="3">
        <f>0+(943.7-370.4)+(0+(0-0))+0-0-0</f>
        <v>573.30000000000007</v>
      </c>
      <c r="AA4" s="3">
        <f>0+(996.2-432.5)+(0+(-1.016124--0.44115))+0-0-0</f>
        <v>563.12502600000005</v>
      </c>
      <c r="AB4" s="3">
        <f>0+(970.6-418.3)+(0+(0.495006-0.213333))+0-0-0</f>
        <v>552.58167299999991</v>
      </c>
      <c r="AC4" s="3">
        <f>0+(917.6-369.7)+(0+(0.467976-0.188547))+0-0-0</f>
        <v>548.17942900000014</v>
      </c>
      <c r="AD4">
        <v>583.29999999999995</v>
      </c>
      <c r="AE4" s="3">
        <f>0+(964.8-381.5)+(0+(0-0))+0-0-0</f>
        <v>583.29999999999995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0+(833.8-315.5)+(0+(-1.275714--0.482715))+0-0-0</f>
        <v>517.50700099999995</v>
      </c>
      <c r="G5" s="3">
        <f>0+(816.4-323.8)+(0+(-0.832728--0.330276))+0-0-0</f>
        <v>492.09754799999996</v>
      </c>
      <c r="H5" s="3">
        <f>0+(847.7-371.3)+(0+(0-0))+0-0-0</f>
        <v>476.40000000000003</v>
      </c>
      <c r="I5" s="3">
        <f>0+(829.9-368.9)+(0+(0-0))+0-0-0</f>
        <v>461</v>
      </c>
      <c r="J5" s="3">
        <f>0+(827.3-370)+(0+(0.421923-0.1887))+0-0-0</f>
        <v>457.53322299999996</v>
      </c>
      <c r="K5" s="3">
        <f>0+(827-375.6)+(0+(0-0))+0-0-0</f>
        <v>451.4</v>
      </c>
      <c r="L5" s="3">
        <f>0+(863.5-416.4)+(0+(1.321155-0.637092))+0-0-0</f>
        <v>447.784063</v>
      </c>
      <c r="M5" s="3">
        <f>0+(836.5-397.3)+(0+(-1.70646--0.810492))+0-0-0</f>
        <v>438.30403200000001</v>
      </c>
      <c r="N5" s="3">
        <f>0+(876-436.3)+(0+(0.44676-0.222513))+0-0-0</f>
        <v>439.92424699999998</v>
      </c>
      <c r="O5" s="3">
        <f>0+(920.5-461.7)+(0+(-1.408365--0.706401))+0-0-0</f>
        <v>458.09803600000004</v>
      </c>
      <c r="P5" s="3">
        <f>0+(947.1-463.9)+(0+(0-0))+0-0-0</f>
        <v>483.20000000000005</v>
      </c>
      <c r="Q5" s="3">
        <f>0+(939.8-494.6)+(0+(0.479298-0.252246))+0-0-0</f>
        <v>445.42705199999995</v>
      </c>
      <c r="R5" s="3">
        <f>0+(914.6-462.8)+(0+(-1.399338--0.708084))+0-0-0</f>
        <v>451.108746</v>
      </c>
      <c r="S5" s="3">
        <f>0+(886.9-391.5)+(0+(-0.904638--0.39933))+0-0-0</f>
        <v>494.89469199999996</v>
      </c>
      <c r="T5" s="3">
        <f>0+(874.2-384.3)+(0+(-2.22921--0.979965))+0-0-0</f>
        <v>488.65075500000006</v>
      </c>
      <c r="U5" s="3">
        <f>0+(907.8-422.1)+(0+(-1.388934--0.645813))+0-0-0</f>
        <v>484.95687899999996</v>
      </c>
      <c r="V5" s="3">
        <f>0+(890.4-404.5)+(0+(0-0))+0-0-0</f>
        <v>485.9</v>
      </c>
      <c r="W5" s="3">
        <f>0+(832.7-348.6)+(0+(-0.424677--0.177786))+0-0-0</f>
        <v>483.85310900000002</v>
      </c>
      <c r="X5" s="3">
        <f>0+(808.4-317.8)+(0+(0-0))+0-0-0</f>
        <v>490.59999999999997</v>
      </c>
      <c r="Y5" s="3">
        <f>0+(867.4-305.9)+(0+(0-0))+0-0-0</f>
        <v>561.5</v>
      </c>
      <c r="Z5" s="3">
        <f>0+(1090.6-487.2)+(0+(-1.112412--0.496944))+0-0-0</f>
        <v>602.7845319999999</v>
      </c>
      <c r="AA5" s="3">
        <f>0+(1151.3-554)+(0+(-0.587163--0.28254))+0-0-0</f>
        <v>596.99537699999996</v>
      </c>
      <c r="AB5" s="3">
        <f>0+(1125.9-540.8)+(0+(0-0))+0-0-0</f>
        <v>585.10000000000014</v>
      </c>
      <c r="AC5" s="3">
        <f>0+(1056.8-490.1)+(0+(-1.077936--0.499902))+0-0-0</f>
        <v>566.12196599999993</v>
      </c>
      <c r="AD5">
        <v>618.90000000000009</v>
      </c>
      <c r="AE5" s="3">
        <f>0+(1087.2-468.3)+(0+(0-0))+0-0-0</f>
        <v>618.90000000000009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0+(942.7-413.9)+(0+(-0.961554--0.422178))+0-0-0</f>
        <v>528.26062400000012</v>
      </c>
      <c r="G6" s="3">
        <f>0+(822-325.9)+(0+(-0.83844--0.332418))+0-0-0</f>
        <v>495.59397800000005</v>
      </c>
      <c r="H6" s="3">
        <f>0+(803.4-323)+(0+(0-0))+0-0-0</f>
        <v>480.4</v>
      </c>
      <c r="I6" s="3">
        <f>0+(833.7-357.3)+(0+(0-0))+0-0-0</f>
        <v>476.40000000000003</v>
      </c>
      <c r="J6" s="3">
        <f>0+(829.1-365.1)+(0+(0.845682-0.372402))+0-0-0</f>
        <v>464.47327999999999</v>
      </c>
      <c r="K6" s="3">
        <f>0+(805.2-343.1)+(0+(-1.642608--0.699924))+0-0-0</f>
        <v>461.15731600000004</v>
      </c>
      <c r="L6" s="3">
        <f>0+(843.1-363.1)+(0+(-0.429981--0.185181))+0-0-0</f>
        <v>479.7552</v>
      </c>
      <c r="M6" s="3">
        <f>0+(849.6-376.5)+(0+(-0.866592--0.38403))+0-0-0</f>
        <v>472.61743800000005</v>
      </c>
      <c r="N6" s="3">
        <f>0+(887.5-374.2)+(0+(1.357875-0.572526))+0-0-0</f>
        <v>514.08534899999995</v>
      </c>
      <c r="O6" s="3">
        <f>0+(929-379.9)+(0+(-0.47379--0.193749))+0-0-0</f>
        <v>548.81995900000004</v>
      </c>
      <c r="P6" s="3">
        <f>0+(966.1-390.3)+(0+(-0.985422--0.398106))+0-0-0</f>
        <v>575.21268399999997</v>
      </c>
      <c r="Q6" s="3">
        <f>0+(977.7-385.9)+(0+(-0.498627--0.196809))+0-0-0</f>
        <v>591.49818200000004</v>
      </c>
      <c r="R6" s="3">
        <f>0+(938.5-360)+(0+(-0.478635--0.1836))+0-0-0</f>
        <v>578.20496500000002</v>
      </c>
      <c r="S6" s="3">
        <f>0+(826.3-259.3)+(0+(-1.264239--0.396729))+0-0-0</f>
        <v>566.13248999999996</v>
      </c>
      <c r="T6" s="3">
        <f>0+(764-205.9)+(0+(-1.55856--0.420036))+0-0-0</f>
        <v>556.96147600000006</v>
      </c>
      <c r="U6" s="3">
        <f>0+(762.4-206.6)+(0+(-1.555296--0.421464))+0-0-0</f>
        <v>554.66616799999997</v>
      </c>
      <c r="V6" s="3">
        <f>0+(766.4-212.5)+(0+(-1.172592--0.325125))+0-0-0</f>
        <v>553.05253299999993</v>
      </c>
      <c r="W6" s="3">
        <f>0+(707.2-159.2)+(0+(-1.082016--0.243576))+0-0-0</f>
        <v>547.16156000000001</v>
      </c>
      <c r="X6" s="3">
        <f>0+(689.3-146.4)+(0+(-1.054629--0.223992))+0-0-0</f>
        <v>542.06936299999995</v>
      </c>
      <c r="Y6" s="3">
        <f>0+(677.4-88.3)+(0+(0-0))+0-0-0</f>
        <v>589.1</v>
      </c>
      <c r="Z6" s="3">
        <f>0+(908.1-249.7)+(0+(-1.389393--0.382041))+0-0-0</f>
        <v>657.39264800000012</v>
      </c>
      <c r="AA6" s="3">
        <f>0+(980.4-332.3)+(0+(-1.500012--0.508419))+0-0-0</f>
        <v>647.10840699999994</v>
      </c>
      <c r="AB6" s="3">
        <f>0+(959.2-320.9)+(0+(-0.489192--0.163659))+0-0-0</f>
        <v>637.97446700000012</v>
      </c>
      <c r="AC6" s="3">
        <f>0+(907-284.5)+(0+(-0.92514--0.29019))+0-0-0</f>
        <v>621.86505</v>
      </c>
      <c r="AD6">
        <v>683.9</v>
      </c>
      <c r="AE6" s="3">
        <f>0+(956.4-272.5)+(0+(0-0))+0-0-0</f>
        <v>683.9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0+(852.6-269.1)+(0+(0-0))+0-0-0</f>
        <v>583.5</v>
      </c>
      <c r="G7" s="3">
        <f>0+(790.8-243)+(0+(0-0))+0-0-0</f>
        <v>547.79999999999995</v>
      </c>
      <c r="H7" s="3">
        <f>0+(762.9-237.9)+(0+(-1.167237--0.363987))+0-0-0</f>
        <v>524.19674999999995</v>
      </c>
      <c r="I7" s="3">
        <f>0+(749.7-236.7)+(0+(0.382347-0.120717))+0-0-0</f>
        <v>513.26162999999997</v>
      </c>
      <c r="J7" s="3">
        <f>0+(729.3-220.9)+(0+(0-0))+0-0-0</f>
        <v>508.4</v>
      </c>
      <c r="K7" s="3">
        <f>0+(739.5-222.9)+(0+(0.75429-0.227358))+0-0-0</f>
        <v>517.12693200000001</v>
      </c>
      <c r="L7" s="3">
        <f>0+(774-248.6)+(0+(-0.78948--0.253572))+0-0-0</f>
        <v>524.86409200000003</v>
      </c>
      <c r="M7" s="3">
        <f>0+(781-270.1)+(0+(0-0))+0-0-0</f>
        <v>510.9</v>
      </c>
      <c r="N7" s="3">
        <f>0+(810.2-263.8)+(0+(0-0))+0-0-0</f>
        <v>546.40000000000009</v>
      </c>
      <c r="O7" s="3">
        <f>0+(838.7-258.7)+(0+(0-0))+0-0-0</f>
        <v>580</v>
      </c>
      <c r="P7" s="3">
        <f>0+(823.9-216.2)+(0+(0.840378-0.220524))+0-0-0</f>
        <v>608.31985400000008</v>
      </c>
      <c r="Q7" s="3">
        <f>0+(863.6-242.1)+(0+(-1.761744--0.493884))+0-0-0</f>
        <v>620.23213999999996</v>
      </c>
      <c r="R7" s="3">
        <f>0+(854.1-234.5)+(0+(-1.742364--0.47838))+0-0-0</f>
        <v>618.33601599999997</v>
      </c>
      <c r="S7" s="3">
        <f>0+(809.2-207)+(0+(-0.412692--0.10557))+0-0-0</f>
        <v>601.892878</v>
      </c>
      <c r="T7" s="3">
        <f>0+(783.6-192)+(0+(0.799272-0.19584))+0-0-0</f>
        <v>592.20343200000002</v>
      </c>
      <c r="U7" s="3">
        <f>0+(793.3-209.1)+(0+(-0.809166--0.213282))+0-0-0</f>
        <v>583.60411599999998</v>
      </c>
      <c r="V7" s="3">
        <f>0+(791.1-212.7)+(0+(-1.210383--0.325431))+0-0-0</f>
        <v>577.51504800000009</v>
      </c>
      <c r="W7" s="3">
        <f>0+(763.4-192.2)+(0+(0.778668-0.196044))+0-0-0</f>
        <v>571.78262400000006</v>
      </c>
      <c r="X7" s="3">
        <f>0+(736.7-165.2)+(0+(-0.375717--0.084252))+0-0-0</f>
        <v>571.20853499999998</v>
      </c>
      <c r="Y7" s="3">
        <f>0+(767.8-154.8)+(0+(1.174734-0.236844))+0-0-0</f>
        <v>613.93789000000004</v>
      </c>
      <c r="Z7" s="3">
        <f>0+(1051.3-366.8)+(0+(0.536163-0.187068))+0-0-0</f>
        <v>684.84909500000003</v>
      </c>
      <c r="AA7" s="3">
        <f>0+(1120.4-449.8)+(0+(0-0))+0-0-0</f>
        <v>670.60000000000014</v>
      </c>
      <c r="AB7" s="3">
        <f>0+(1059.9-408)+(0+(0-0))+0-0-0</f>
        <v>651.90000000000009</v>
      </c>
      <c r="AC7" s="3">
        <f>0+(964.9-325.9)+(0+(0.492099-0.166209))+0-0-0</f>
        <v>639.32588999999996</v>
      </c>
      <c r="AD7">
        <v>702</v>
      </c>
      <c r="AE7" s="3">
        <f>0+(1083.3-381.3)+(0+(0-0))+0-0-0</f>
        <v>702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0+(802.4-191.3)+(0+(-2.455344--0.585378))+0-0-0</f>
        <v>609.23003399999993</v>
      </c>
      <c r="G8" s="3">
        <f>0+(725-155.3)+(0+(-1.10925--0.237609))+0-0-0</f>
        <v>568.82835900000009</v>
      </c>
      <c r="H8" s="3">
        <f>0+(728.6-175.8)+(0+(-0.371586--0.089658))+0-0-0</f>
        <v>552.51807199999996</v>
      </c>
      <c r="I8" s="3">
        <f>0+(716.1-170.4)+(0+(-1.826055--0.43452))+0-0-0</f>
        <v>544.30846500000007</v>
      </c>
      <c r="J8" s="3">
        <f>0+(707.6-176.9)+(0+(0-0))+0-0-0</f>
        <v>530.70000000000005</v>
      </c>
      <c r="K8" s="3">
        <f>0+(701.6-179.2)+(0+(1.073448-0.274176))+0-0-0</f>
        <v>523.19927200000006</v>
      </c>
      <c r="L8" s="3">
        <f>0+(729.4-189.3)+(0+(0.743988-0.193086))+0-0-0</f>
        <v>540.65090199999986</v>
      </c>
      <c r="M8" s="3">
        <f>0+(764.9-225.3)+(0+(-1.170297--0.344709))+0-0-0</f>
        <v>538.77441199999987</v>
      </c>
      <c r="N8" s="3">
        <f>0+(785.4-218.9)+(0+(-0.400554--0.111639))+0-0-0</f>
        <v>566.21108500000003</v>
      </c>
      <c r="O8" s="3">
        <f>0+(707.1-110.3)+(0+(-0.721242--0.112506))+0-0-0</f>
        <v>596.19126400000005</v>
      </c>
      <c r="P8" s="3">
        <f>0+(717.9-69.7)+(0+(-0.732258--0.071094))+0-0-0</f>
        <v>647.53883599999995</v>
      </c>
      <c r="Q8" s="3">
        <f>0+(715.3-86.5)+(0+(-0.364803--0.044115))+0-0-0</f>
        <v>628.47931199999994</v>
      </c>
      <c r="R8" s="3">
        <f>0+(710.6-87.7)+(0+(-0.724812--0.089454))+0-0-0</f>
        <v>622.26464199999998</v>
      </c>
      <c r="S8" s="3">
        <f>0+(701.5-86)+(0+(-0.71553--0.08772))+0-0-0</f>
        <v>614.87219000000005</v>
      </c>
      <c r="T8" s="3">
        <f>0+(669.5-74.1)+(0+(-1.36578--0.151164))+0-0-0</f>
        <v>594.185384</v>
      </c>
      <c r="U8" s="3">
        <f>0+(657.7-62.5)+(0+(-0.335427--0.031875))+0-0-0</f>
        <v>594.89644800000008</v>
      </c>
      <c r="V8" s="3">
        <f>0+(648.4-57.8)+(0+(-1.322736--0.117912))+0-0-0</f>
        <v>589.39517599999999</v>
      </c>
      <c r="W8" s="3">
        <f>0+(594.6-21.9)+(0+(-1.212984--0.044676))+0-0-0</f>
        <v>571.53169200000002</v>
      </c>
      <c r="X8" s="3">
        <f>0+(584.4-18.4)+(0+(0.298044-0.009384))+0-0-0</f>
        <v>566.28866000000005</v>
      </c>
      <c r="Y8" s="3">
        <f>0+(647.5-28.2)+(0+(0.330225-0.014382))+0-0-0</f>
        <v>619.61584299999993</v>
      </c>
      <c r="Z8" s="3">
        <f>0+(894.6-208.9)+(0+(-0.456246--0.106539))+0-0-0</f>
        <v>685.35029300000008</v>
      </c>
      <c r="AA8" s="3">
        <f>0+(966-288)+(0+(-1.97064--0.58752))+0-0-0</f>
        <v>676.61688000000004</v>
      </c>
      <c r="AB8" s="3">
        <f>0+(945.7-283.1)+(0+(-0.964614--0.288762))+0-0-0</f>
        <v>661.92414800000006</v>
      </c>
      <c r="AC8" s="3">
        <f>0+(879.8-228.7)+(0+(-0.448698--0.116637))+0-0-0</f>
        <v>650.76793899999996</v>
      </c>
      <c r="AD8">
        <v>696.2</v>
      </c>
      <c r="AE8" s="3">
        <f>0+(891.7-195.5)+(0+(0-0))+0-0-0</f>
        <v>696.2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0+(754.4-140.6)+(0+(-0.769488--0.143412))+0-0-0</f>
        <v>613.17392399999994</v>
      </c>
      <c r="G9" s="3">
        <f>0+(751.1-175.1)+(0+(-1.915305--0.446505))+0-0-0</f>
        <v>574.53120000000001</v>
      </c>
      <c r="H9" s="3">
        <f>0+(787.8-243.3)+(0+(0-0))+0-0-0</f>
        <v>544.5</v>
      </c>
      <c r="I9" s="3">
        <f>0+(780.8-249.3)+(0+(-1.592832--0.508572))+0-0-0</f>
        <v>530.41574000000003</v>
      </c>
      <c r="J9" s="3">
        <f>0+(763.1-233.3)+(0+(-0.778362--0.237966))+0-0-0</f>
        <v>529.25960399999997</v>
      </c>
      <c r="K9" s="3">
        <f>0+(749.7-223.8)+(0+(-0.382347--0.114138))+0-0-0</f>
        <v>525.63179100000013</v>
      </c>
      <c r="L9" s="3">
        <f>0+(760.8-230.1)+(0+(0-0))+0-0-0</f>
        <v>530.69999999999993</v>
      </c>
      <c r="M9" s="3">
        <f>0+(757.4-229)+(0+(-1.545096--0.46716))+0-0-0</f>
        <v>527.32206399999995</v>
      </c>
      <c r="N9" s="3">
        <f>0+(761.7-205.5)+(0+(0.388467-0.104805))+0-0-0</f>
        <v>556.48366200000009</v>
      </c>
      <c r="O9" s="3">
        <f>0+(738.2-133.1)+(0+(0-0))+0-0-0</f>
        <v>605.1</v>
      </c>
      <c r="P9" s="3">
        <f>0+(720-88.3)+(0+(-0.7344--0.090066))+0-0-0</f>
        <v>631.05566600000009</v>
      </c>
      <c r="Q9" s="3">
        <f>0+(733.2-91.7)+(0+(-0.373932--0.046767))+0-0-0</f>
        <v>641.17283499999996</v>
      </c>
      <c r="R9" s="3">
        <f>0+(686.6-77.9)+(0+(-2.100996--0.238374))+0-0-0</f>
        <v>606.83737800000006</v>
      </c>
      <c r="S9" s="3">
        <f>0+(709-88.4)+(0+(-1.08477--0.135252))+0-0-0</f>
        <v>619.65048200000001</v>
      </c>
      <c r="T9" s="3">
        <f>0+(702.7-92.7)+(0+(-1.075131--0.141831))+0-0-0</f>
        <v>609.06669999999997</v>
      </c>
      <c r="U9" s="3">
        <f>0+(687.2-76.4)+(0+(-1.051416--0.116892))+0-0-0</f>
        <v>609.86547600000006</v>
      </c>
      <c r="V9" s="3">
        <f>0+(666.5-56)+(0+(-0.67983--0.05712))+0-0-0</f>
        <v>609.87729000000002</v>
      </c>
      <c r="W9" s="3">
        <f>0+(604.5-20.7)+(0+(-0.924885--0.031671))+0-0-0</f>
        <v>582.90678600000001</v>
      </c>
      <c r="X9" s="3">
        <f>0+(587.3-14.2)+(0+(-1.198092--0.028968))+0-0-0</f>
        <v>571.9308759999999</v>
      </c>
      <c r="Y9" s="3">
        <f>0+(629.9-4.3)+(0+(0.321249-0.002193))+0-0-0</f>
        <v>625.91905600000007</v>
      </c>
      <c r="Z9" s="3">
        <f>0+(802.8-103.8)+(0+(0-0))+0-0-0</f>
        <v>699</v>
      </c>
      <c r="AA9" s="3">
        <f>0+(861.4-177.5)+(0+(-2.19657--0.452625))+0-0-0</f>
        <v>682.15605499999992</v>
      </c>
      <c r="AB9" s="3">
        <f>0+(832.8-158.8)+(0+(-1.698912--0.323952))+0-0-0</f>
        <v>672.62504000000001</v>
      </c>
      <c r="AC9" s="3">
        <f>0+(783.5-120.3)+(0+(-1.198755--0.184059))+0-0-0</f>
        <v>662.18530400000009</v>
      </c>
      <c r="AD9">
        <v>708.2</v>
      </c>
      <c r="AE9" s="3">
        <f>0+(814.2-106)+(0+(0-0))+0-0-0</f>
        <v>708.2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0+(731.2-112.2)+(0+(-0.745824--0.114444))+0-0-0</f>
        <v>618.36861999999996</v>
      </c>
      <c r="G10" s="3">
        <f>0+(756.3-164.1)+(0+(-1.928565--0.418455))+0-0-0</f>
        <v>590.68988999999988</v>
      </c>
      <c r="H10" s="3">
        <f>0+(730.1-168.8)+(0+(-0.372351--0.086088))+0-0-0</f>
        <v>561.01373699999999</v>
      </c>
      <c r="I10" s="3">
        <f>0+(726.3-181.9)+(0+(-1.481652--0.371076))+0-0-0</f>
        <v>543.28942399999994</v>
      </c>
      <c r="J10" s="3">
        <f>0+(751.8-203.6)+(0+(0-0))+0-0-0</f>
        <v>548.19999999999993</v>
      </c>
      <c r="K10" s="3">
        <f>0+(754.2-205.4)+(0+(-0.384642--0.104754))+0-0-0</f>
        <v>548.52011200000004</v>
      </c>
      <c r="L10" s="3">
        <f>0+(759.8-207.5)+(0+(-0.774996--0.21165))+0-0-0</f>
        <v>551.73665399999993</v>
      </c>
      <c r="M10" s="3">
        <f>0+(762.9-221.4)+(0+(0.389079-0.112914))+0-0-0</f>
        <v>541.77616499999999</v>
      </c>
      <c r="N10" s="3">
        <f>0+(750.5-177.4)+(0+(0-0))+0-0-0</f>
        <v>573.1</v>
      </c>
      <c r="O10" s="3">
        <f>0+(752.2-134.5)+(0+(0-0))+0-0-0</f>
        <v>617.70000000000005</v>
      </c>
      <c r="P10" s="3">
        <f>0+(697.1-55.7)+(0+(0.355521-0.028407))+0-0-0</f>
        <v>641.72711400000003</v>
      </c>
      <c r="Q10" s="3">
        <f>0+(717.1-69.5)+(0+(-1.097163--0.106335))+0-0-0</f>
        <v>646.60917200000006</v>
      </c>
      <c r="R10" s="3">
        <f>0+(709.7-59.9)+(0+(-1.447788--0.122196))+0-0-0</f>
        <v>648.47440800000004</v>
      </c>
      <c r="S10" s="3">
        <f>0+(679.8-51.6)+(0+(0-0))+0-0-0</f>
        <v>628.19999999999993</v>
      </c>
      <c r="T10" s="3">
        <f>0+(670.9-53.5)+(0+(-0.342159--0.027285))+0-0-0</f>
        <v>617.08512599999995</v>
      </c>
      <c r="U10" s="3">
        <f>0+(691.5-79)+(0+(-0.70533--0.08058))+0-0-0</f>
        <v>611.87525000000005</v>
      </c>
      <c r="V10" s="3">
        <f>0+(690.4-84.3)+(0+(0-0))+0-0-0</f>
        <v>606.1</v>
      </c>
      <c r="W10" s="3">
        <f>0+(690.5-101.9)+(0+(-0.70431--0.103938))+0-0-0</f>
        <v>587.99962800000003</v>
      </c>
      <c r="X10" s="3">
        <f>0+(696.2-111.3)+(0+(-1.77531--0.283815))+0-0-0</f>
        <v>583.4085050000001</v>
      </c>
      <c r="Y10" s="3">
        <f>0+(662-29.1)+(0+(0.67524-0.029682))+0-0-0</f>
        <v>633.54555800000003</v>
      </c>
      <c r="Z10" s="3">
        <f>0+(855.6-152.7)+(0+(-1.745424--0.311508))+0-0-0</f>
        <v>701.46608400000014</v>
      </c>
      <c r="AA10" s="3">
        <f>0+(880.5-188.9)+(0+(0.449055-0.096339))+0-0-0</f>
        <v>691.95271600000001</v>
      </c>
      <c r="AB10" s="3">
        <f>0+(845.9-169)+(0+(-1.725636--0.34476))+0-0-0</f>
        <v>675.51912400000003</v>
      </c>
      <c r="AC10" s="3">
        <f>0+(840.3-168.1)+(0+(-0.428553--0.085731))+0-0-0</f>
        <v>671.85717799999998</v>
      </c>
      <c r="AD10">
        <v>718.2</v>
      </c>
      <c r="AE10" s="3">
        <f>0+(844.5-126.3)+(0+(0-0))+0-0-0</f>
        <v>718.2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0+(839.9-203.3)+(0+(-0.428349--0.103683))+0-0-0</f>
        <v>636.27533399999993</v>
      </c>
      <c r="G11" s="3">
        <f>0+(858.4-247.9)+(0+(-1.313352--0.379287))+0-0-0</f>
        <v>609.56593499999997</v>
      </c>
      <c r="H11" s="3">
        <f>0+(899.4-316)+(0+(-0.458694--0.16116))+0-0-0</f>
        <v>583.10246599999994</v>
      </c>
      <c r="I11" s="3">
        <f>0+(902.6-325.8)+(0+(-1.841304--0.664632))+0-0-0</f>
        <v>575.6233279999999</v>
      </c>
      <c r="J11" s="3">
        <f>0+(892.3-320.6)+(0+(-2.730438--0.981036))+0-0-0</f>
        <v>569.9505979999999</v>
      </c>
      <c r="K11" s="3">
        <f>0+(883.3-319.5)+(0+(-0.450483--0.162945))+0-0-0</f>
        <v>563.51246199999991</v>
      </c>
      <c r="L11" s="3">
        <f>0+(886.7-324)+(0+(-1.356651--0.49572))+0-0-0</f>
        <v>561.83906899999999</v>
      </c>
      <c r="M11" s="3">
        <f>0+(912.4-361.5)+(0+(-0.465324--0.184365))+0-0-0</f>
        <v>550.61904099999992</v>
      </c>
      <c r="N11" s="3">
        <f>0+(905.5-326.6)+(0+(0.461805-0.166566))+0-0-0</f>
        <v>579.19523900000002</v>
      </c>
      <c r="O11" s="3">
        <f>0+(922.2-266.4)+(0+(1.410966-0.407592))+0-0-0</f>
        <v>656.80337400000008</v>
      </c>
      <c r="P11" s="3">
        <f>0+(857.2-179.1)+(0+(-0.437172--0.091341))+0-0-0</f>
        <v>677.75416900000005</v>
      </c>
      <c r="Q11" s="3">
        <f>0+(889.5-191.9)+(0+(1.360935-0.293607))+0-0-0</f>
        <v>698.667328</v>
      </c>
      <c r="R11" s="3">
        <f>0+(881-178.1)+(0+(0-0))+0-0-0</f>
        <v>702.9</v>
      </c>
      <c r="S11" s="3">
        <f>0+(856.3-171.5)+(0+(-0.873426--0.17493))+0-0-0</f>
        <v>684.10150399999998</v>
      </c>
      <c r="T11" s="3">
        <f>0+(832.7-164.4)+(0+(-1.698708--0.335376))+0-0-0</f>
        <v>666.93666800000005</v>
      </c>
      <c r="U11" s="3">
        <f>0+(858.3-202)+(0+(0.437733-0.10302))+0-0-0</f>
        <v>656.63471299999992</v>
      </c>
      <c r="V11" s="3">
        <f>0+(843.9-192.7)+(0+(-2.151945--0.491385))+0-0-0</f>
        <v>649.53944000000001</v>
      </c>
      <c r="W11" s="3">
        <f>0+(830.3-181.7)+(0+(-1.270359--0.278001))+0-0-0</f>
        <v>647.60764199999994</v>
      </c>
      <c r="X11" s="3">
        <f>0+(810.7-150.8)+(0+(-1.653828--0.307632))+0-0-0</f>
        <v>658.55380400000013</v>
      </c>
      <c r="Y11" s="3">
        <f>0+(860.5-154.8)+(0+(0.87771-0.157896))+0-0-0</f>
        <v>706.41981400000009</v>
      </c>
      <c r="Z11" s="3">
        <f>0+(1050.1-293.8)+(0+(-2.142204--0.599352))+0-0-0</f>
        <v>754.75714799999992</v>
      </c>
      <c r="AA11" s="3">
        <f>0+(1085.1-335.1)+(0+(-2.213604--0.683604))+0-0-0</f>
        <v>748.46999999999991</v>
      </c>
      <c r="AB11" s="3">
        <f>0+(1043-314)+(0+(-2.65965--0.8007))+0-0-0</f>
        <v>727.14104999999995</v>
      </c>
      <c r="AC11" s="3">
        <f>0+(952.7-249)+(0+(0.485877-0.12699))+0-0-0</f>
        <v>704.05888700000003</v>
      </c>
      <c r="AD11">
        <v>720.8</v>
      </c>
      <c r="AE11" s="3">
        <f>0+(1001.1-280.3)+(0+(0-0))+0-0-0</f>
        <v>720.8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0+(793.4-167.4)+(0+(0-0))+0-0-0</f>
        <v>626</v>
      </c>
      <c r="G12" s="3">
        <f>0+(759.1-160.8)+(0+(-1.161423--0.246024))+0-0-0</f>
        <v>597.38460099999998</v>
      </c>
      <c r="H12" s="3">
        <f>0+(769.1-188.9)+(0+(-2.353446--0.578034))+0-0-0</f>
        <v>578.42458800000009</v>
      </c>
      <c r="I12" s="3">
        <f>0+(776.2-206.7)+(0+(-1.583448--0.421668))+0-0-0</f>
        <v>568.33821999999998</v>
      </c>
      <c r="J12" s="3">
        <f>0+(769-211.2)+(0+(-0.39219--0.107712))+0-0-0</f>
        <v>557.51552199999992</v>
      </c>
      <c r="K12" s="3">
        <f>0+(752.1-202.7)+(0+(-0.383571--0.103377))+0-0-0</f>
        <v>549.11980600000004</v>
      </c>
      <c r="L12" s="3">
        <f>0+(773.7-223)+(0+(-2.367522--0.68238))+0-0-0</f>
        <v>549.014858</v>
      </c>
      <c r="M12" s="3">
        <f>0+(779.4-260.9)+(0+(-0.794988--0.266118))+0-0-0</f>
        <v>517.97113000000002</v>
      </c>
      <c r="N12" s="3">
        <f>0+(751.6-212.1)+(0+(0.383316-0.108171))+0-0-0</f>
        <v>539.77514499999995</v>
      </c>
      <c r="O12" s="3">
        <f>0+(726.2-165.4)+(0+(-1.111086--0.253062))+0-0-0</f>
        <v>559.94197600000007</v>
      </c>
      <c r="P12" s="3">
        <f>0+(721.8-141.6)+(0+(-1.104354--0.216648))+0-0-0</f>
        <v>579.31229399999995</v>
      </c>
      <c r="Q12" s="3">
        <f>0+(723.9-137.7)+(0+(-1.476756--0.280908))+0-0-0</f>
        <v>585.00415200000009</v>
      </c>
      <c r="R12" s="3">
        <f>0+(737.4-138.8)+(0+(-1.128222--0.212364))+0-0-0</f>
        <v>597.68414199999995</v>
      </c>
      <c r="S12" s="3">
        <f>0+(714.7-128)+(0+(-0.364497--0.06528))+0-0-0</f>
        <v>586.40078300000005</v>
      </c>
      <c r="T12" s="3">
        <f>0+(718.5-139)+(0+(0-0))+0-0-0</f>
        <v>579.5</v>
      </c>
      <c r="U12" s="3">
        <f>0+(769-193.1)+(0+(-1.17657--0.295443))+0-0-0</f>
        <v>575.01887299999999</v>
      </c>
      <c r="V12" s="3">
        <f>0+(758.9-187.3)+(0+(-1.548156--0.382092))+0-0-0</f>
        <v>570.4339359999999</v>
      </c>
      <c r="W12" s="3">
        <f>0+(744.7-173.8)+(0+(0.759594-0.177276))+0-0-0</f>
        <v>571.48231800000008</v>
      </c>
      <c r="X12" s="3">
        <f>0+(703.8-129.7)+(0+(-1.79469--0.330735))+0-0-0</f>
        <v>572.63604499999985</v>
      </c>
      <c r="Y12" s="3">
        <f>0+(781.9-141.3)+(0+(0-0))+0-0-0</f>
        <v>640.59999999999991</v>
      </c>
      <c r="Z12" s="3">
        <f>0+(921.8-233.9)+(0+(0-0))+0-0-0</f>
        <v>687.9</v>
      </c>
      <c r="AA12" s="3">
        <f>0+(897.4-230.9)+(0+(-2.28837--0.588795))+0-0-0</f>
        <v>664.80042500000002</v>
      </c>
      <c r="AB12" s="3">
        <f>0+(794.4-144.5)+(0+(-1.620576--0.29478))+0-0-0</f>
        <v>648.57420400000001</v>
      </c>
      <c r="AC12" s="3">
        <f>0+(701.4-59.8)+(0+(-1.073142--0.091494))+0-0-0</f>
        <v>640.61835200000007</v>
      </c>
      <c r="AD12">
        <v>707</v>
      </c>
      <c r="AE12" s="3">
        <f>0+(949-242)+(0+(0-0))+0-0-0</f>
        <v>707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0+(728.9-118)+(0+(-0.743478--0.12036))+0-0-0</f>
        <v>610.276882</v>
      </c>
      <c r="G13" s="3">
        <f>0+(684.3-116.8)+(0+(-1.395972--0.238272))+0-0-0</f>
        <v>566.34230000000002</v>
      </c>
      <c r="H13" s="3">
        <f>0+(642.5-111.4)+(0+(-1.638375--0.28407))+0-0-0</f>
        <v>529.74569500000007</v>
      </c>
      <c r="I13" s="3">
        <f>0+(663.4-145.2)+(0+(0.676668-0.148104))+0-0-0</f>
        <v>518.72856400000001</v>
      </c>
      <c r="J13" s="3">
        <f>0+(666.1-148.5)+(0+(-0.679422--0.15147))+0-0-0</f>
        <v>517.072048</v>
      </c>
      <c r="K13" s="3">
        <f>0+(657-150.6)+(0+(0.33507-0.076806))+0-0-0</f>
        <v>506.65826399999997</v>
      </c>
      <c r="L13" s="3">
        <f>0+(642.9-154.7)+(0+(-2.295153--0.552279))+0-0-0</f>
        <v>486.45712600000002</v>
      </c>
      <c r="M13" s="3">
        <f>0+(657.6-188.7)+(0+(-0.335376--0.096237))+0-0-0</f>
        <v>468.66086100000001</v>
      </c>
      <c r="N13" s="3">
        <f>0+(668.3-193.6)+(0+(0.340833-0.098736))+0-0-0</f>
        <v>474.94209699999993</v>
      </c>
      <c r="O13" s="3">
        <f>0+(723.5-229.6)+(0+(-1.106955--0.351288))+0-0-0</f>
        <v>493.14433299999996</v>
      </c>
      <c r="P13" s="3">
        <f>0+(726-238.7)+(0+(0.74052-0.243474))+0-0-0</f>
        <v>487.79704600000002</v>
      </c>
      <c r="Q13" s="3">
        <f>0+(696.6-223.7)+(0+(-0.710532--0.228174))+0-0-0</f>
        <v>472.41764200000006</v>
      </c>
      <c r="R13" s="3">
        <f>0+(682.1-217.2)+(0+(-0.695742--0.221544))+0-0-0</f>
        <v>464.42580200000003</v>
      </c>
      <c r="S13" s="3">
        <f>0+(683.8-223.4)+(0+(0-0))+0-0-0</f>
        <v>460.4</v>
      </c>
      <c r="T13" s="3">
        <f>0+(675.6-227)+(0+(-0.344556--0.11577))+0-0-0</f>
        <v>448.37121400000001</v>
      </c>
      <c r="U13" s="3">
        <f>0+(689.4-229)+(0+(-0.703188--0.23358))+0-0-0</f>
        <v>459.93039199999998</v>
      </c>
      <c r="V13" s="3">
        <f>0+(672.3-208.2)+(0+(-0.685746--0.212364))+0-0-0</f>
        <v>463.62661799999995</v>
      </c>
      <c r="W13" s="3">
        <f>0+(668-190.3)+(0+(-0.34068--0.097053))+0-0-0</f>
        <v>477.45637299999999</v>
      </c>
      <c r="X13" s="3">
        <f>0+(658.8-164.1)+(0+(-1.67994--0.418455))+0-0-0</f>
        <v>493.43851499999994</v>
      </c>
      <c r="Y13" s="3">
        <f>0+(613.8-55.8)+(0+(-0.626076--0.056916))+0-0-0</f>
        <v>557.43083999999999</v>
      </c>
      <c r="Z13" s="3">
        <f>0+(680.8-50.1)+(0+(-0.347208--0.025551))+0-0-0</f>
        <v>630.37834299999997</v>
      </c>
      <c r="AA13" s="3">
        <f>0+(699.8-71.9)+(0+(-0.356898--0.036669))+0-0-0</f>
        <v>627.57977099999994</v>
      </c>
      <c r="AB13" s="3">
        <f>0+(664.3-54.7)+(0+(-1.016379--0.083691))+0-0-0</f>
        <v>608.66731199999992</v>
      </c>
      <c r="AC13" s="3">
        <f>0+(655-70.6)+(0+(-0.6681--0.072012))+0-0-0</f>
        <v>583.80391199999997</v>
      </c>
      <c r="AD13">
        <v>650.4</v>
      </c>
      <c r="AE13" s="3">
        <f>0+(733.4-83)+(0+(0-0))+0-0-0</f>
        <v>650.4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0+(686.9-160.7)+(0+(-1.401276--0.327828))+0-0-0</f>
        <v>525.12655200000006</v>
      </c>
      <c r="G14" s="3">
        <f>0+(755.8-243.5)+(0+(0.385458-0.124185))+0-0-0</f>
        <v>512.56127299999991</v>
      </c>
      <c r="H14" s="3">
        <f>0+(775.5-276.3)+(0+(-0.79101--0.281826))+0-0-0</f>
        <v>498.69081599999998</v>
      </c>
      <c r="I14" s="3">
        <f>0+(799.6-305)+(0+(-0.815592--0.3111))+0-0-0</f>
        <v>494.095508</v>
      </c>
      <c r="J14" s="3">
        <f>0+(763.6-266.7)+(0+(0-0))+0-0-0</f>
        <v>496.90000000000003</v>
      </c>
      <c r="K14" s="3">
        <f>0+(771.9-274.1)+(0+(0-0))+0-0-0</f>
        <v>497.79999999999995</v>
      </c>
      <c r="L14" s="3">
        <f>0+(791.5-253.9)+(0+(-1.61466--0.517956))+0-0-0</f>
        <v>536.50329599999998</v>
      </c>
      <c r="M14" s="3">
        <f>0+(777.4-207)+(0+(-0.396474--0.10557))+0-0-0</f>
        <v>570.10909600000002</v>
      </c>
      <c r="N14" s="3">
        <f>0+(809-185.5)+(0+(0-0))+0-0-0</f>
        <v>623.5</v>
      </c>
      <c r="O14" s="3">
        <f>0+(772.8-96)+(0+(0-0))+0-0-0</f>
        <v>676.8</v>
      </c>
      <c r="P14" s="3">
        <f>0+(812.5-76.3)+(0+(-0.414375--0.038913))+0-0-0</f>
        <v>735.82453800000008</v>
      </c>
      <c r="Q14" s="3">
        <f>0+(908-155.2)+(0+(-1.38924--0.237456))+0-0-0</f>
        <v>751.64821599999993</v>
      </c>
      <c r="R14" s="3">
        <f>0+(925.9-169.7)+(0+(-1.416627--0.259641))+0-0-0</f>
        <v>755.04301400000008</v>
      </c>
      <c r="S14" s="3">
        <f>0+(926.8-192.2)+(0+(-1.890672--0.392088))+0-0-0</f>
        <v>733.10141599999986</v>
      </c>
      <c r="T14" s="3">
        <f>0+(945.4-219.2)+(0+(-1.446462--0.335376))+0-0-0</f>
        <v>725.08891400000005</v>
      </c>
      <c r="U14" s="3">
        <f>0+(939.9-221.8)+(0+(-1.917396--0.452472))+0-0-0</f>
        <v>716.63507599999991</v>
      </c>
      <c r="V14" s="3">
        <f>0+(912.4-207)+(0+(-2.791944--0.63342))+0-0-0</f>
        <v>703.24147599999992</v>
      </c>
      <c r="W14" s="3">
        <f>0+(910.3-208.6)+(0+(-2.321265--0.53193))+0-0-0</f>
        <v>699.91066499999988</v>
      </c>
      <c r="X14" s="3">
        <f>0+(895.8-190.5)+(0+(-1.370574--0.291465))+0-0-0</f>
        <v>704.22089099999994</v>
      </c>
      <c r="Y14" s="3">
        <f>0+(983.5-237.1)+(0+(0-0))+0-0-0</f>
        <v>746.4</v>
      </c>
      <c r="Z14" s="3">
        <f>0+(1070-273.3)+(0+(-2.1828--0.557532))+0-0-0</f>
        <v>795.07473200000004</v>
      </c>
      <c r="AA14" s="3">
        <f>0+(1039.8-247.9)+(0+(-2.121192--0.505716))+0-0-0</f>
        <v>790.28452400000003</v>
      </c>
      <c r="AB14" s="3">
        <f>0+(1010.3-248.1)+(0+(-1.545759--0.379593))+0-0-0</f>
        <v>761.03383399999996</v>
      </c>
      <c r="AC14" s="3">
        <f>0+(936.6-208.7)+(0+(-1.910664--0.425748))+0-0-0</f>
        <v>726.41508400000009</v>
      </c>
      <c r="AD14">
        <v>815.3</v>
      </c>
      <c r="AE14" s="3">
        <f>0+(1089.1-273.8)+(0+(0-0))+0-0-0</f>
        <v>815.3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0+(851.9-182.4)+(0+(-2.172345--0.46512))+0-0-0</f>
        <v>667.79277500000001</v>
      </c>
      <c r="G15" s="3">
        <f>0+(847.8-198.9)+(0+(-2.16189--0.507195))+0-0-0</f>
        <v>647.24530500000003</v>
      </c>
      <c r="H15" s="3">
        <f>0+(814.4-199.2)+(0+(-1.246032--0.304776))+0-0-0</f>
        <v>614.25874400000009</v>
      </c>
      <c r="I15" s="3">
        <f>0+(756.5-143.2)+(0+(-1.157445--0.219096))+0-0-0</f>
        <v>612.36165099999994</v>
      </c>
      <c r="J15" s="3">
        <f>0+(763.9-150.4)+(0+(-0.779178--0.153408))+0-0-0</f>
        <v>612.87423000000001</v>
      </c>
      <c r="K15" s="3">
        <f>0+(743.9-139.6)+(0+(0.758778-0.142392))+0-0-0</f>
        <v>604.91638599999999</v>
      </c>
      <c r="L15" s="3">
        <f>0+(733.1-94.9)+(0+(-0.747762--0.096798))+0-0-0</f>
        <v>637.549036</v>
      </c>
      <c r="M15" s="3">
        <f>0+(778-104.2)+(0+(0-0))+0-0-0</f>
        <v>673.8</v>
      </c>
      <c r="N15" s="3">
        <f>0+(833.1-117.4)+(0+(-0.424881--0.059874))+0-0-0</f>
        <v>715.33499300000005</v>
      </c>
      <c r="O15" s="3">
        <f>0+(934.2-179.9)+(0+(0.952884-0.183498))+0-0-0</f>
        <v>755.06938600000012</v>
      </c>
      <c r="P15" s="3">
        <f>0+(952.6-183)+(0+(-0.485826--0.09333))+0-0-0</f>
        <v>769.20750399999997</v>
      </c>
      <c r="Q15" s="3">
        <f>0+(993.5-205)+(0+(-0.506685--0.10455))+0-0-0</f>
        <v>788.09786499999996</v>
      </c>
      <c r="R15" s="3">
        <f>0+(1008.9-213.7)+(0+(-0.514539--0.108987))+0-0-0</f>
        <v>794.7944480000001</v>
      </c>
      <c r="S15" s="3">
        <f>0+(962-197.4)+(0+(-2.4531--0.50337))+0-0-0</f>
        <v>762.65026999999998</v>
      </c>
      <c r="T15" s="3">
        <f>0+(932.1-175.2)+(0+(-1.901484--0.357408))+0-0-0</f>
        <v>755.35592400000007</v>
      </c>
      <c r="U15" s="3">
        <f>0+(926.7-180.6)+(0+(-0.945234--0.184212))+0-0-0</f>
        <v>745.338978</v>
      </c>
      <c r="V15" s="3">
        <f>0+(952.4-195.5)+(0+(-1.457172--0.299115))+0-0-0</f>
        <v>755.74194299999999</v>
      </c>
      <c r="W15" s="3">
        <f>0+(940.7-197.6)+(0+(0.479757-0.100776))+0-0-0</f>
        <v>743.47898099999998</v>
      </c>
      <c r="X15" s="3">
        <f>0+(924-179.5)+(0+(-1.41372--0.274635))+0-0-0</f>
        <v>743.36091499999998</v>
      </c>
      <c r="Y15" s="3">
        <f>0+(1003.8-210.6)+(0+(-1.023876--0.214812))+0-0-0</f>
        <v>792.3909359999999</v>
      </c>
      <c r="Z15" s="3">
        <f>0+(1063.2-230.5)+(0+(-2.168928--0.47022))+0-0-0</f>
        <v>831.00129200000003</v>
      </c>
      <c r="AA15" s="3">
        <f>0+(1004.7-213)+(0+(-0.512397--0.10863))+0-0-0</f>
        <v>791.29623300000003</v>
      </c>
      <c r="AB15" s="3">
        <f>0+(933.2-163.3)+(0+(-2.37966--0.416415))+0-0-0</f>
        <v>767.93675500000006</v>
      </c>
      <c r="AC15" s="3">
        <f>0+(872.9-127.6)+(0+(-0.445179--0.065076))+0-0-0</f>
        <v>744.91989699999999</v>
      </c>
      <c r="AD15">
        <v>828.2</v>
      </c>
      <c r="AE15" s="3">
        <f>0+(1063-234.8)+(0+(0-0))+0-0-0</f>
        <v>828.2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0+(896.3-199.7)+(0+(-1.371339--0.305541))+0-0-0</f>
        <v>695.53420199999994</v>
      </c>
      <c r="G16" s="3">
        <f>0+(875.3-216.3)+(0+(0-0))+0-0-0</f>
        <v>659</v>
      </c>
      <c r="H16" s="3">
        <f>0+(893.9-248)+(0+(0.455889-0.12648))+0-0-0</f>
        <v>646.22940900000003</v>
      </c>
      <c r="I16" s="3">
        <f>0+(904.7-260.2)+(0+(0-0))+0-0-0</f>
        <v>644.5</v>
      </c>
      <c r="J16" s="3">
        <f>0+(873.4-233.2)+(0+(-2.672604--0.713592))+0-0-0</f>
        <v>638.24098800000002</v>
      </c>
      <c r="K16" s="3">
        <f>0+(853.7-222.6)+(0+(0.870774-0.227052))+0-0-0</f>
        <v>631.74372200000005</v>
      </c>
      <c r="L16" s="3">
        <f>0+(852.3-221.1)+(0+(-0.434673--0.112761))+0-0-0</f>
        <v>630.87808799999993</v>
      </c>
      <c r="M16" s="3">
        <f>0+(905.1-230)+(0+(-0.923202--0.2346))+0-0-0</f>
        <v>674.41139800000008</v>
      </c>
      <c r="N16" s="3">
        <f>0+(929.7-207.1)+(0+(-0.474147--0.105621))+0-0-0</f>
        <v>722.23147400000005</v>
      </c>
      <c r="O16" s="3">
        <f>0+(938.3-178.6)+(0+(0.478533-0.091086))+0-0-0</f>
        <v>760.08744699999988</v>
      </c>
      <c r="P16" s="3">
        <f>0+(1002.2-230.2)+(0+(0.511122-0.117402))+0-0-0</f>
        <v>772.39372000000003</v>
      </c>
      <c r="Q16" s="3">
        <f>0+(1049.6-257.6)+(0+(0-0))+0-0-0</f>
        <v>791.99999999999989</v>
      </c>
      <c r="R16" s="3">
        <f>0+(1004.9-225.3)+(0+(-1.024998--0.229806))+0-0-0</f>
        <v>778.80480799999987</v>
      </c>
      <c r="S16" s="3">
        <f>0+(955.1-195)+(0+(-0.974202--0.1989))+0-0-0</f>
        <v>759.32469800000001</v>
      </c>
      <c r="T16" s="3">
        <f>0+(948.8-198.9)+(0+(-0.967776--0.202878))+0-0-0</f>
        <v>749.13510199999996</v>
      </c>
      <c r="U16" s="3">
        <f>0+(957.5-227.2)+(0+(0.488325-0.115872))+0-0-0</f>
        <v>730.6724529999999</v>
      </c>
      <c r="V16" s="3">
        <f>0+(969.7-234.6)+(0+(-0.494547--0.119646))+0-0-0</f>
        <v>734.725099</v>
      </c>
      <c r="W16" s="3">
        <f>0+(960.2-220.9)+(0+(-1.469106--0.337977))+0-0-0</f>
        <v>738.16887100000008</v>
      </c>
      <c r="X16" s="3">
        <f>0+(940.5-194.2)+(0+(-0.95931--0.198084))+0-0-0</f>
        <v>745.53877399999999</v>
      </c>
      <c r="Y16" s="3">
        <f>0+(970.8-191)+(0+(-0.495108--0.09741))+0-0-0</f>
        <v>779.40230199999996</v>
      </c>
      <c r="Z16" s="3">
        <f>0+(1030.7-224.8)+(0+(-2.628285--0.57324))+0-0-0</f>
        <v>803.84495500000014</v>
      </c>
      <c r="AA16" s="3">
        <f>0+(1007.1-237.2)+(0+(-1.540863--0.362916))+0-0-0</f>
        <v>768.72205300000007</v>
      </c>
      <c r="AB16" s="3">
        <f>0+(974-216.9)+(0+(-1.49022--0.331857))+0-0-0</f>
        <v>755.94163700000001</v>
      </c>
      <c r="AC16" s="3">
        <f>0+(895.6-162.7)+(0+(-2.28378--0.414885))+0-0-0</f>
        <v>731.03110500000014</v>
      </c>
      <c r="AD16">
        <v>821.8</v>
      </c>
      <c r="AE16" s="3">
        <f>0+(1048.1-226.3)+(0+(0-0))+0-0-0</f>
        <v>821.8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0+(896.6-190.8)+(0+(-0.914532--0.194616))+0-0-0</f>
        <v>705.08008399999994</v>
      </c>
      <c r="G17" s="3">
        <f>0+(864.9-192.2)+(0+(-3.528792--0.784176))+0-0-0</f>
        <v>669.95538400000009</v>
      </c>
      <c r="H17" s="3">
        <f>0+(876.3-231.2)+(0+(-1.340739--0.353736))+0-0-0</f>
        <v>644.11299699999995</v>
      </c>
      <c r="I17" s="3">
        <f>0+(856.6-218.7)+(0+(-0.873732--0.223074))+0-0-0</f>
        <v>637.24934200000007</v>
      </c>
      <c r="J17" s="3">
        <f>0+(814.6-183.3)+(0+(-2.07723--0.467415))+0-0-0</f>
        <v>629.69018499999993</v>
      </c>
      <c r="K17" s="3">
        <f>0+(815.1-181.8)+(0+(0.415701-0.092718))+0-0-0</f>
        <v>633.62298299999998</v>
      </c>
      <c r="L17" s="3">
        <f>0+(838.4-177.7)+(0+(-0.855168--0.181254))+0-0-0</f>
        <v>660.02608600000008</v>
      </c>
      <c r="M17" s="3">
        <f>0+(889.7-199.3)+(0+(-0.907494--0.203286))+0-0-0</f>
        <v>689.6957920000001</v>
      </c>
      <c r="N17" s="3">
        <f>0+(960.4-223.6)+(0+(-0.979608--0.228072))+0-0-0</f>
        <v>736.04846399999997</v>
      </c>
      <c r="O17" s="3">
        <f>0+(1010.5-223.2)+(0+(-0.515355--0.113832))+0-0-0</f>
        <v>786.89847699999996</v>
      </c>
      <c r="P17" s="3">
        <f>0+(1069-268.4)+(0+(0-0))+0-0-0</f>
        <v>800.6</v>
      </c>
      <c r="Q17" s="3">
        <f>14.7+(1067.7-281.3)+(-0.007497+(-0.544527--0.143463))+0-0-0</f>
        <v>800.69143900000017</v>
      </c>
      <c r="R17" s="3">
        <f>115.4+(948.7-290.4)+(-0.058854+(-0.483837--0.148104))+0-0-0</f>
        <v>773.30541300000004</v>
      </c>
      <c r="S17" s="3">
        <f>115.5+(889.9-259)+(-0.176715+(-1.361547--0.39627))+0-0-0</f>
        <v>745.25800800000002</v>
      </c>
      <c r="T17" s="3">
        <f>50+(899-219)+(-0.0255+(-0.45849--0.11169))+0-0-0</f>
        <v>729.6277</v>
      </c>
      <c r="U17" s="3">
        <f>50+(901.7-220.3)+(-0.1785+(-3.219069--0.786471))+0-0-0</f>
        <v>728.78890200000012</v>
      </c>
      <c r="V17" s="3">
        <f>47.7+(933-242.9)+(-0.072981+(-1.42749--0.371637))+0-0-0</f>
        <v>736.67116600000008</v>
      </c>
      <c r="W17" s="3">
        <f>45+(931.1-252.9)+(-0.1377+(-2.849166--0.773874))+0-0-0</f>
        <v>720.98700800000006</v>
      </c>
      <c r="X17" s="3">
        <f>45.1+(930.2-257.2)+(-0.069003+(-1.423206--0.393516))+0-0-0</f>
        <v>717.001307</v>
      </c>
      <c r="Y17" s="3">
        <f>45+(939.4-248.9)+(-0.0459+(-0.958188--0.253878))+0-0-0</f>
        <v>734.74978999999996</v>
      </c>
      <c r="Z17" s="3">
        <f>45+(1008.5-263.2)+(-0.0918+(-2.05734--0.536928))+0-0-0</f>
        <v>788.68778799999995</v>
      </c>
      <c r="AA17" s="3">
        <f>9+(1055.7-297.3)+(-0.01836+(-2.153628--0.606492))+0-0-0</f>
        <v>765.83450400000004</v>
      </c>
      <c r="AB17" s="3">
        <f>0+(1011.8-266.4)+(0+(-1.032036--0.271728))+0-0-0</f>
        <v>744.63969199999997</v>
      </c>
      <c r="AC17" s="3">
        <f>0+(902.1-193.7)+(0+(-0.920142--0.197574))+0-0-0</f>
        <v>707.67743200000007</v>
      </c>
      <c r="AD17">
        <v>783.30000000000007</v>
      </c>
      <c r="AE17" s="3">
        <f>45+(993.7-255.4)+(0+(0-0))+0-0-0</f>
        <v>783.30000000000007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0+(920.8-231.5)+(0+(-2.34804--0.590325))+0-0-0</f>
        <v>687.54228499999999</v>
      </c>
      <c r="G18" s="3">
        <f>0+(963.4-301.8)+(0+(-1.474002--0.461754))+0-0-0</f>
        <v>660.58775199999991</v>
      </c>
      <c r="H18" s="3">
        <f>0+(937.1-288.5)+(0+(0-0))+0-0-0</f>
        <v>648.6</v>
      </c>
      <c r="I18" s="3">
        <f>0+(919.7-275.5)+(0+(-1.407141--0.421515))+0-0-0</f>
        <v>643.21437400000002</v>
      </c>
      <c r="J18" s="3">
        <f>0+(908-268.8)+(0+(-2.77848--0.822528))+0-0-0</f>
        <v>637.24404800000002</v>
      </c>
      <c r="K18" s="3">
        <f>0+(906.3-273.8)+(0+(-0.924426--0.279276))+0-0-0</f>
        <v>631.85485000000006</v>
      </c>
      <c r="L18" s="3">
        <f>0+(917.7-266.8)+(0+(-1.872108--0.544272))+0-0-0</f>
        <v>649.57216400000004</v>
      </c>
      <c r="M18" s="3">
        <f>0+(952.7-288.7)+(0+(0-0))+0-0-0</f>
        <v>664</v>
      </c>
      <c r="N18" s="3">
        <f>0+(1000.2-282.3)+(0+(-1.020204--0.287946))+0-0-0</f>
        <v>717.16774200000009</v>
      </c>
      <c r="O18" s="3">
        <f>0+(1064-317.1)+(0+(0-0))+0-0-0</f>
        <v>746.9</v>
      </c>
      <c r="P18" s="3">
        <f>0+(1099.8-337.7)+(0+(0.560898-0.172227))+0-0-0</f>
        <v>762.48867099999995</v>
      </c>
      <c r="Q18" s="3">
        <f>0+(1126.7-354.7)+(0+(-1.723851--0.542691))+0-0-0</f>
        <v>770.81884000000002</v>
      </c>
      <c r="R18" s="3">
        <f>0+(1130.1-370.8)+(0+(-1.152702--0.378216))+0-0-0</f>
        <v>758.52551399999993</v>
      </c>
      <c r="S18" s="3">
        <f>0+(1103.3-366.9)+(0+(-1.125366--0.374238))+0-0-0</f>
        <v>735.64887199999998</v>
      </c>
      <c r="T18" s="3">
        <f>0+(1036.8-313.3)+(0+(0-0))+0-0-0</f>
        <v>723.5</v>
      </c>
      <c r="U18" s="3">
        <f>0+(1019.2-299.5)+(0+(-2.079168--0.61098))+0-0-0</f>
        <v>718.23181199999999</v>
      </c>
      <c r="V18" s="3">
        <f>0+(1130.4-419.7)+(0+(-1.153008--0.428094))+0-0-0</f>
        <v>709.97508600000003</v>
      </c>
      <c r="W18" s="3">
        <f>0+(1101.8-414.1)+(0+(-1.685754--0.633573))+0-0-0</f>
        <v>686.64781899999991</v>
      </c>
      <c r="X18" s="3">
        <f>0+(953.5-268.9)+(0+(-1.94514--0.548556))+0-0-0</f>
        <v>683.20341600000006</v>
      </c>
      <c r="Y18" s="3">
        <f>0+(947.6-231.4)+(0+(-0.483276--0.118014))+0-0-0</f>
        <v>715.83473800000002</v>
      </c>
      <c r="Z18" s="3">
        <f>0+(1108.8-350.3)+(0+(0.565488-0.178653))+0-0-0</f>
        <v>758.88683500000002</v>
      </c>
      <c r="AA18" s="3">
        <f>0+(1120.6-356.4)+(0+(-2.286024--0.727056))+0-0-0</f>
        <v>762.64103199999988</v>
      </c>
      <c r="AB18" s="3">
        <f>0+(1073.7-341.5)+(0+(-2.190348--0.69666))+0-0-0</f>
        <v>730.70631200000003</v>
      </c>
      <c r="AC18" s="3">
        <f>0+(1047.2-322.7)+(0+(-1.068144--0.329154))+0-0-0</f>
        <v>723.76101000000006</v>
      </c>
      <c r="AD18">
        <v>775.80000000000007</v>
      </c>
      <c r="AE18" s="3">
        <f>0+(1155.9-380.1)+(0+(0-0))+0-0-0</f>
        <v>775.80000000000007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0+(988.6-453.4)+(0+(-1.008372--0.462468))+0-0-0</f>
        <v>534.6540960000001</v>
      </c>
      <c r="G19" s="3">
        <f>0+(975.2-451.6)+(0+(-0.497352--0.230316))+0-0-0</f>
        <v>523.33296400000006</v>
      </c>
      <c r="H19" s="3">
        <f>0+(961.6-453.7)+(0+(-1.471248--0.694161))+0-0-0</f>
        <v>507.12291300000004</v>
      </c>
      <c r="I19" s="3">
        <f>0+(946.7-428.6)+(0+(0-0))+0-0-0</f>
        <v>518.1</v>
      </c>
      <c r="J19" s="3">
        <f>0+(889.7-379.9)+(0+(-1.361241--0.581247))+0-0-0</f>
        <v>509.02000600000008</v>
      </c>
      <c r="K19" s="3">
        <f>0+(879.5-374.6)+(0+(0.448545-0.191046))+0-0-0</f>
        <v>505.15749899999997</v>
      </c>
      <c r="L19" s="3">
        <f>0+(928.6-432.7)+(0+(-1.420758--0.662031))+0-0-0</f>
        <v>495.14127300000001</v>
      </c>
      <c r="M19" s="3">
        <f>0+(959.7-479.2)+(0+(-1.957788--0.977568))+0-0-0</f>
        <v>479.51978000000008</v>
      </c>
      <c r="N19" s="3">
        <f>0+(961-457.1)+(0+(-2.45055--1.165605))+0-0-0</f>
        <v>502.61505499999998</v>
      </c>
      <c r="O19" s="3">
        <f>0+(932.6-453.4)+(0+(-0.475626--0.231234))+0-0-0</f>
        <v>478.95560800000004</v>
      </c>
      <c r="P19" s="3">
        <f>0+(987.3-491.7)+(0+(-1.007046--0.501534))+0-0-0</f>
        <v>495.09448799999996</v>
      </c>
      <c r="Q19" s="3">
        <f>0+(992.5-474.1)+(0+(-0.506175--0.241791))+0-0-0</f>
        <v>518.13561600000003</v>
      </c>
      <c r="R19" s="3">
        <f>0+(935.1-448.3)+(0+(-1.430703--0.685899))+0-0-0</f>
        <v>486.05519600000002</v>
      </c>
      <c r="S19" s="3">
        <f>0+(912.5-441.7)+(0+(-2.79225--1.351602))+0-0-0</f>
        <v>469.359352</v>
      </c>
      <c r="T19" s="3">
        <f>0+(1019.7-383.8)+(0+(-1.040094--0.391476))+0-0-0</f>
        <v>635.25138200000004</v>
      </c>
      <c r="U19" s="3">
        <f>0+(1045-415.4)+(0+(-3.1977--1.271124))+0-0-0</f>
        <v>627.67342400000007</v>
      </c>
      <c r="V19" s="3">
        <f>0+(1002.7-379.8)+(0+(-1.534131--0.581094))+0-0-0</f>
        <v>621.9469630000001</v>
      </c>
      <c r="W19" s="3">
        <f>0+(934.8-305)+(0+(-0.476748--0.15555))+0-0-0</f>
        <v>629.47880199999997</v>
      </c>
      <c r="X19" s="3">
        <f>0+(863.1-229.5)+(0+(0-0))+0-0-0</f>
        <v>633.6</v>
      </c>
      <c r="Y19" s="3">
        <f>0+(754.7-90.8)+(0+(-0.384897--0.046308))+0-0-0</f>
        <v>663.56141100000013</v>
      </c>
      <c r="Z19" s="3">
        <f>0+(893.7-180.4)+(0+(-1.367361--0.276012))+0-0-0</f>
        <v>712.20865100000003</v>
      </c>
      <c r="AA19" s="3">
        <f>0+(843.7-147.7)+(0+(-0.430287--0.075327))+0-0-0</f>
        <v>695.64503999999999</v>
      </c>
      <c r="AB19" s="3">
        <f>0+(780.7-89)+(0+(-1.592628--0.18156))+0-0-0</f>
        <v>690.28893200000005</v>
      </c>
      <c r="AC19" s="3">
        <f>0+(767.3-101.5)+(0+(-0.391323--0.051765))+0-0-0</f>
        <v>665.46044199999994</v>
      </c>
      <c r="AD19">
        <v>724</v>
      </c>
      <c r="AE19" s="3">
        <f>0+(914-190)+(0+(0-0))+0-0-0</f>
        <v>724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0+(794-172.3)+(0+(-2.0247--0.439365))+0-0-0</f>
        <v>620.11466500000006</v>
      </c>
      <c r="G20" s="3">
        <f>0+(696.9-105.8)+(0+(-1.066257--0.161874))+0-0-0</f>
        <v>590.19561699999997</v>
      </c>
      <c r="H20" s="3">
        <f>0+(706.2-134.4)+(0+(0.720324-0.137088))+0-0-0</f>
        <v>572.38323600000012</v>
      </c>
      <c r="I20" s="3">
        <f>0+(719-161)+(0+(0-0))+0-0-0</f>
        <v>558</v>
      </c>
      <c r="J20" s="3">
        <f>0+(711.9-153.6)+(0+(-0.726138--0.156672))+0-0-0</f>
        <v>557.73053399999992</v>
      </c>
      <c r="K20" s="3">
        <f>0+(749.4-179)+(0+(-1.146582--0.27387))+0-0-0</f>
        <v>569.527288</v>
      </c>
      <c r="L20" s="3">
        <f>0+(839.6-227.3)+(0+(-1.712784--0.463692))+0-0-0</f>
        <v>611.05090799999994</v>
      </c>
      <c r="M20" s="3">
        <f>0+(857.7-200.4)+(0+(0-0))+0-0-0</f>
        <v>657.30000000000007</v>
      </c>
      <c r="N20" s="3">
        <f>0+(922.2-204.2)+(0+(0-0))+0-0-0</f>
        <v>718</v>
      </c>
      <c r="O20" s="3">
        <f>0+(907.9-141)+(0+(0-0))+0-0-0</f>
        <v>766.9</v>
      </c>
      <c r="P20" s="3">
        <f>0+(952.4-161.2)+(0+(0-0))+0-0-0</f>
        <v>791.2</v>
      </c>
      <c r="Q20" s="3">
        <f>0+(955.2-166.6)+(0+(-1.948608--0.339864))+0-0-0</f>
        <v>786.99125600000002</v>
      </c>
      <c r="R20" s="3">
        <f>0+(967.2-194)+(0+(-0.493272--0.09894))+0-0-0</f>
        <v>772.80566800000008</v>
      </c>
      <c r="S20" s="3">
        <f>0+(993.5-231.5)+(0+(-1.01337--0.23613))+0-0-0</f>
        <v>761.22275999999999</v>
      </c>
      <c r="T20" s="3">
        <f>0+(936.8-183.2)+(0+(-0.955536--0.186864))+0-0-0</f>
        <v>752.83132799999987</v>
      </c>
      <c r="U20" s="3">
        <f>0+(947.3-201.6)+(0+(0-0))+0-0-0</f>
        <v>745.69999999999993</v>
      </c>
      <c r="V20" s="3">
        <f>0+(944.8-205.8)+(0+(-0.481848--0.104958))+0-0-0</f>
        <v>738.62311</v>
      </c>
      <c r="W20" s="3">
        <f>0+(938.9-203.2)+(0+(-2.873034--0.621792))+0-0-0</f>
        <v>733.448758</v>
      </c>
      <c r="X20" s="3">
        <f>0+(992.4-261.9)+(0+(-2.024496--0.534276))+0-0-0</f>
        <v>729.00977999999998</v>
      </c>
      <c r="Y20" s="3">
        <f>0+(993.8-248.4)+(0+(1.013676-0.253368))+0-0-0</f>
        <v>746.16030799999999</v>
      </c>
      <c r="Z20" s="3">
        <f>0+(1066.9-248.7)+(0+(0-0))+0-0-0</f>
        <v>818.2</v>
      </c>
      <c r="AA20" s="3">
        <f>0+(1043.9-249.4)+(0+(-2.661945--0.63597))+0-0-0</f>
        <v>792.4740250000001</v>
      </c>
      <c r="AB20" s="3">
        <f>0+(969.6-199.8)+(0+(-0.494496--0.101898))+0-0-0</f>
        <v>769.40740199999993</v>
      </c>
      <c r="AC20" s="3">
        <f>0+(940.5-184.3)+(0+(-0.95931--0.187986))+0-0-0</f>
        <v>755.428676</v>
      </c>
      <c r="AD20">
        <v>829.19999999999993</v>
      </c>
      <c r="AE20" s="3">
        <f>0+(1102.3-273.1)+(0+(0-0))+0-0-0</f>
        <v>829.19999999999993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0+(986.7-263.3)+(0+(-1.006434--0.268566))+0-0-0</f>
        <v>722.66213200000004</v>
      </c>
      <c r="G21" s="3">
        <f>0+(964.1-272.6)+(0+(0-0))+0-0-0</f>
        <v>691.5</v>
      </c>
      <c r="H21" s="3">
        <f>0+(897.9-234.2)+(0+(-1.831716--0.477768))+0-0-0</f>
        <v>662.3460520000001</v>
      </c>
      <c r="I21" s="3">
        <f>0+(879.3-215.1)+(0+(-1.793772--0.438804))+0-0-0</f>
        <v>662.84503199999995</v>
      </c>
      <c r="J21" s="3">
        <f>0+(863.7-200.8)+(0+(-1.321461--0.307224))+0-0-0</f>
        <v>661.88576300000011</v>
      </c>
      <c r="K21" s="3">
        <f>0+(862.7-210.5)+(0+(-1.319931--0.322065))+0-0-0</f>
        <v>651.202134</v>
      </c>
      <c r="L21" s="3">
        <f>0+(877.7-205.8)+(0+(-0.447627--0.104958))+0-0-0</f>
        <v>671.55733100000009</v>
      </c>
      <c r="M21" s="3">
        <f>0+(848.4-151.2)+(0+(0-0))+0-0-0</f>
        <v>697.2</v>
      </c>
      <c r="N21" s="3">
        <f>0+(860.4-114.5)+(0+(-0.438804--0.058395))+0-0-0</f>
        <v>745.51959099999999</v>
      </c>
      <c r="O21" s="3">
        <f>0+(855.6-69.9)+(0+(-0.872712--0.071298))+0-0-0</f>
        <v>784.89858600000002</v>
      </c>
      <c r="P21" s="3">
        <f>0+(877.1-74.3)+(0+(-0.447321--0.037893))+0-0-0</f>
        <v>802.39057200000002</v>
      </c>
      <c r="Q21" s="3">
        <f>0+(920.4-95.4)+(0+(0-0))+0-0-0</f>
        <v>825</v>
      </c>
      <c r="R21" s="3">
        <f>0+(927.6-90.4)+(0+(0-0))+0-0-0</f>
        <v>837.2</v>
      </c>
      <c r="S21" s="3">
        <f>0+(865.9-95.9)+(0+(-0.883218--0.097818))+0-0-0</f>
        <v>769.21460000000002</v>
      </c>
      <c r="T21" s="3">
        <f>0+(860.2-91.4)+(0+(0-0))+0-0-0</f>
        <v>768.80000000000007</v>
      </c>
      <c r="U21" s="3">
        <f>0+(879.4-102.4)+(0+(0-0))+0-0-0</f>
        <v>777</v>
      </c>
      <c r="V21" s="3">
        <f>0+(885.6-119.7)+(0+(-1.354968--0.183141))+0-0-0</f>
        <v>764.72817299999997</v>
      </c>
      <c r="W21" s="3">
        <f>0+(873.2-123.2)+(0+(-1.335996--0.188496))+0-0-0</f>
        <v>748.85249999999996</v>
      </c>
      <c r="X21" s="3">
        <f>0+(856.2-115.3)+(0+(-1.746648--0.235212))+0-0-0</f>
        <v>739.38856400000009</v>
      </c>
      <c r="Y21" s="3">
        <f>0+(847-106.2)+(0+(0-0))+0-0-0</f>
        <v>740.8</v>
      </c>
      <c r="Z21" s="3">
        <f>0+(1013.4-188.1)+(0+(-2.067336--0.383724))+0-0-0</f>
        <v>823.61638799999992</v>
      </c>
      <c r="AA21" s="3">
        <f>0+(981.1-168.9)+(0+(-1.501083--0.258417))+0-0-0</f>
        <v>810.95733400000006</v>
      </c>
      <c r="AB21" s="3">
        <f>0+(906.5-127.4)+(0+(-1.386945--0.194922))+0-0-0</f>
        <v>777.90797700000007</v>
      </c>
      <c r="AC21" s="3">
        <f>0+(806.1-43.1)+(0+(-1.233333--0.065943))+0-0-0</f>
        <v>761.83261000000005</v>
      </c>
      <c r="AD21">
        <v>859.10000000000014</v>
      </c>
      <c r="AE21" s="3">
        <f>0+(1059.4-200.3)+(0+(0-0))+0-0-0</f>
        <v>859.10000000000014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0+(791.6-85.7)+(0+(-0.807432--0.087414))+0-0-0</f>
        <v>705.179982</v>
      </c>
      <c r="G22" s="3">
        <f>0+(838.9-159.1)+(0+(0-0))+0-0-0</f>
        <v>679.8</v>
      </c>
      <c r="H22" s="3">
        <f>0+(902.7-234.2)+(0+(-1.381131--0.358326))+0-0-0</f>
        <v>667.47719500000005</v>
      </c>
      <c r="I22" s="3">
        <f>0+(886.9-232)+(0+(-0.904638--0.23664))+0-0-0</f>
        <v>654.23200199999997</v>
      </c>
      <c r="J22" s="3">
        <f>0+(851.4-203)+(0+(0.434214-0.10353))+0-0-0</f>
        <v>648.730684</v>
      </c>
      <c r="K22" s="3">
        <f>0+(824.2-171.1)+(0+(-0.840684--0.174522))+0-0-0</f>
        <v>652.43383800000004</v>
      </c>
      <c r="L22" s="3">
        <f>0+(815.1-147.8)+(0+(-1.247103--0.226134))+0-0-0</f>
        <v>666.27903099999992</v>
      </c>
      <c r="M22" s="3">
        <f>0+(816.1-112.9)+(0+(0-0))+0-0-0</f>
        <v>703.2</v>
      </c>
      <c r="N22" s="3">
        <f>0+(819.8-58.7)+(0+(1.672392-0.119748))+0-0-0</f>
        <v>762.6526439999999</v>
      </c>
      <c r="O22" s="3">
        <f>0+(864.2-64)+(0+(0.440742-0.03264))+0-0-0</f>
        <v>800.60810200000003</v>
      </c>
      <c r="P22" s="3">
        <f>0+(930.2-103.9)+(0+(0-0))+0-0-0</f>
        <v>826.30000000000007</v>
      </c>
      <c r="Q22" s="3">
        <f>0+(974.4-141.6)+(0+(0-0))+0-0-0</f>
        <v>832.8</v>
      </c>
      <c r="R22" s="3">
        <f>0+(940.9-121.4)+(0+(-1.919436--0.247656))+0-0-0</f>
        <v>817.82821999999999</v>
      </c>
      <c r="S22" s="3">
        <f>0+(919.2-118.5)+(0+(-0.937584--0.12087))+0-0-0</f>
        <v>799.883286</v>
      </c>
      <c r="T22" s="3">
        <f>0+(883.7-88.9)+(0+(0-0))+0-0-0</f>
        <v>794.80000000000007</v>
      </c>
      <c r="U22" s="3">
        <f>0+(887-97.5)+(0+(-0.90474--0.09945))+0-0-0</f>
        <v>788.69470999999999</v>
      </c>
      <c r="V22" s="3">
        <f>0+(871.7-89.3)+(0+(-0.889134--0.091086))+0-0-0</f>
        <v>781.6019520000001</v>
      </c>
      <c r="W22" s="3">
        <f>0+(864.8-102.3)+(0+(0-0))+0-0-0</f>
        <v>762.5</v>
      </c>
      <c r="X22" s="3">
        <f>0+(839.4-81.3)+(0+(-0.428094--0.041463))+0-0-0</f>
        <v>757.71336900000006</v>
      </c>
      <c r="Y22" s="3">
        <f>0+(875.6-104.2)+(0+(-0.446556--0.053142))+0-0-0</f>
        <v>771.00658599999997</v>
      </c>
      <c r="Z22" s="3">
        <f>0+(973.1-136.2)+(0+(-1.985124--0.277848))+0-0-0</f>
        <v>835.19272400000011</v>
      </c>
      <c r="AA22" s="3">
        <f>0+(954.6-125.2)+(0+(-1.947384--0.255408))+0-0-0</f>
        <v>827.70802400000002</v>
      </c>
      <c r="AB22" s="3">
        <f>0+(902.9-109.2)+(0+(-1.381437--0.167076))+0-0-0</f>
        <v>792.48563899999988</v>
      </c>
      <c r="AC22" s="3">
        <f>0+(775.1-4.6)+(0+(-1.581204--0.009384))+0-0-0</f>
        <v>768.92818</v>
      </c>
      <c r="AD22">
        <v>861</v>
      </c>
      <c r="AE22" s="3">
        <f>0+(1008-147)+(0+(0-0))+0-0-0</f>
        <v>861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0+(800.9-84.6)+(0+(-1.225377--0.129438))+0-0-0</f>
        <v>715.20406099999991</v>
      </c>
      <c r="G23" s="3">
        <f>0+(869.4-183.4)+(0+(-2.21697--0.46767))+0-0-0</f>
        <v>684.25070000000005</v>
      </c>
      <c r="H23" s="3">
        <f>0+(867.7-195)+(0+(-0.442527--0.09945))+0-0-0</f>
        <v>672.35692300000005</v>
      </c>
      <c r="I23" s="3">
        <f>0+(873.7-210.5)+(0+(-1.782348--0.42942))+0-0-0</f>
        <v>661.84707200000003</v>
      </c>
      <c r="J23" s="3">
        <f>0+(867.7-211.5)+(0+(-1.770108--0.43146))+0-0-0</f>
        <v>654.86135200000001</v>
      </c>
      <c r="K23" s="3">
        <f>0+(864.4-206.5)+(0+(0.440844-0.105315))+0-0-0</f>
        <v>658.23552899999993</v>
      </c>
      <c r="L23" s="3">
        <f>0+(857.9-182.5)+(0+(-1.750116--0.3723))+0-0-0</f>
        <v>674.02218399999992</v>
      </c>
      <c r="M23" s="3">
        <f>0+(844.7-143.2)+(0+(-0.861594--0.146064))+0-0-0</f>
        <v>700.78447000000006</v>
      </c>
      <c r="N23" s="3">
        <f>0+(832.1-75.8)+(0+(0-0))+0-0-0</f>
        <v>756.30000000000007</v>
      </c>
      <c r="O23" s="3">
        <f>0+(833.3-26.7)+(0+(0.424983-0.013617))+0-0-0</f>
        <v>807.01136599999995</v>
      </c>
      <c r="P23" s="3">
        <f>0+(878-49.5)+(0+(0.44778-0.025245))+0-0-0</f>
        <v>828.92253500000004</v>
      </c>
      <c r="Q23" s="3">
        <f>0+(916.4-90.5)+(0+(-0.467364--0.046155))+0-0-0</f>
        <v>825.478791</v>
      </c>
      <c r="R23" s="3">
        <f>0+(926.9-107.5)+(0+(-0.472719--0.054825))+0-0-0</f>
        <v>818.98210599999993</v>
      </c>
      <c r="S23" s="3">
        <f>0+(894.7-99.4)+(0+(-2.281485--0.25347))+0-0-0</f>
        <v>793.27198500000009</v>
      </c>
      <c r="T23" s="3">
        <f>0+(881.3-76.9)+(0+(-0.898926--0.078438))+0-0-0</f>
        <v>803.57951200000002</v>
      </c>
      <c r="U23" s="3">
        <f>0+(880-86.1)+(0+(-0.8976--0.087822))+0-0-0</f>
        <v>793.09022199999993</v>
      </c>
      <c r="V23" s="3">
        <f>0+(883.3-102.5)+(0+(0-0))+0-0-0</f>
        <v>780.8</v>
      </c>
      <c r="W23" s="3">
        <f>0+(844.7-73.7)+(0+(-2.153985--0.187935))+0-0-0</f>
        <v>769.03395</v>
      </c>
      <c r="X23" s="3">
        <f>0+(813.3-58.9)+(0+(-1.659132--0.120156))+0-0-0</f>
        <v>752.86102399999993</v>
      </c>
      <c r="Y23" s="3">
        <f>0+(831.1-71.7)+(0+(0.423861-0.036567))+0-0-0</f>
        <v>759.78729399999997</v>
      </c>
      <c r="Z23" s="3">
        <f>0+(878.6-47.6)+(0+(-1.344258--0.072828))+0-0-0</f>
        <v>829.72856999999999</v>
      </c>
      <c r="AA23" s="3">
        <f>0+(851.9-30.1)+(0+(-2.172345--0.076755))+0-0-0</f>
        <v>819.70440999999994</v>
      </c>
      <c r="AB23" s="3">
        <f>0+(794.5-8.9)+(0+(-2.025975--0.022695))+0-0-0</f>
        <v>783.59672</v>
      </c>
      <c r="AC23" s="3">
        <f>0+(802.6-36.7)+(0+(-0.818652--0.037434))+0-0-0</f>
        <v>765.11878200000001</v>
      </c>
      <c r="AD23">
        <v>834.40000000000009</v>
      </c>
      <c r="AE23" s="3">
        <f>0+(896.2-61.8)+(0+(0-0))+0-0-0</f>
        <v>834.40000000000009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0+(874.5-140.7)+(0+(0-0))+0-0-0</f>
        <v>733.8</v>
      </c>
      <c r="G24" s="3">
        <f>0+(880.2-185.3)+(0+(0.897804-0.189006))+0-0-0</f>
        <v>695.60879800000009</v>
      </c>
      <c r="H24" s="3">
        <f>0+(872.8-198.3)+(0+(-1.335384--0.303399))+0-0-0</f>
        <v>673.46801500000004</v>
      </c>
      <c r="I24" s="3">
        <f>0+(871.6-210.6)+(0+(-0.889032--0.214812))+0-0-0</f>
        <v>660.32578000000001</v>
      </c>
      <c r="J24" s="3">
        <f>0+(875.7-208.6)+(0+(-1.786428--0.425544))+0-0-0</f>
        <v>665.73911599999997</v>
      </c>
      <c r="K24" s="3">
        <f>0+(863.3-204)+(0+(0-0))+0-0-0</f>
        <v>659.3</v>
      </c>
      <c r="L24" s="3">
        <f>0+(870.3-185.7)+(0+(-0.443853--0.094707))+0-0-0</f>
        <v>684.25085399999989</v>
      </c>
      <c r="M24" s="3">
        <f>0+(856-151.9)+(0+(0-0))+0-0-0</f>
        <v>704.1</v>
      </c>
      <c r="N24" s="3">
        <f>0+(846.2-91.9)+(0+(-0.431562--0.046869))+0-0-0</f>
        <v>753.9153070000001</v>
      </c>
      <c r="O24" s="3">
        <f>0+(838.9-35.9)+(0+(-0.427839--0.018309))+0-0-0</f>
        <v>802.59046999999998</v>
      </c>
      <c r="P24" s="3">
        <f>0+(859-39.8)+(0+(-0.87618--0.040596))+0-0-0</f>
        <v>818.36441600000001</v>
      </c>
      <c r="Q24" s="3">
        <f>0+(911.8-87.6)+(0+(-0.930036--0.089352))+0-0-0</f>
        <v>823.35931599999992</v>
      </c>
      <c r="R24" s="3">
        <f>0+(914.2-103.5)+(0+(-0.932484--0.10557))+0-0-0</f>
        <v>809.87308600000006</v>
      </c>
      <c r="S24" s="3">
        <f>0+(875.3-90.6)+(0+(-0.892806--0.092412))+0-0-0</f>
        <v>783.89960599999995</v>
      </c>
      <c r="T24" s="3">
        <f>0+(829-53.3)+(0+(0-0))+0-0-0</f>
        <v>775.7</v>
      </c>
      <c r="U24" s="3">
        <f>0+(816.8-47.9)+(0+(-0.833136--0.048858))+0-0-0</f>
        <v>768.11572200000001</v>
      </c>
      <c r="V24" s="3">
        <f>0+(829.4-51)+(0+(1.268982-0.07803))+0-0-0</f>
        <v>779.59095200000002</v>
      </c>
      <c r="W24" s="3">
        <f>0+(842.5-78.5)+(0+(-1.7187--0.16014))+0-0-0</f>
        <v>762.44144000000006</v>
      </c>
      <c r="X24" s="3">
        <f>0+(826.3-59.5)+(0+(0.421413-0.030345))+0-0-0</f>
        <v>767.19106799999997</v>
      </c>
      <c r="Y24" s="3">
        <f>0+(826.5-55)+(0+(0.421515-0.02805))+0-0-0</f>
        <v>771.89346499999999</v>
      </c>
      <c r="Z24" s="3">
        <f>0+(933.7-92.2)+(0+(-1.904748--0.188088))+0-0-0</f>
        <v>839.78333999999995</v>
      </c>
      <c r="AA24" s="3">
        <f>0+(926.4-94.9)+(0+(-2.834784--0.290394))+0-0-0</f>
        <v>828.95560999999998</v>
      </c>
      <c r="AB24" s="3">
        <f>0+(871.3-71.2)+(0+(-1.777452--0.145248))+0-0-0</f>
        <v>798.46779599999991</v>
      </c>
      <c r="AC24" s="3">
        <f>0+(797.3-21.3)+(0+(-1.626492--0.043452))+0-0-0</f>
        <v>774.41696000000002</v>
      </c>
      <c r="AD24">
        <v>852.6</v>
      </c>
      <c r="AE24" s="3">
        <f>0+(946.6-94)+(0+(0-0))+0-0-0</f>
        <v>852.6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0+(833.9-86.3)+(0+(-0.425289--0.044013))+0-0-0</f>
        <v>747.21872400000007</v>
      </c>
      <c r="G25" s="3">
        <f>0+(856.3-154.3)+(0+(-1.746852--0.314772))+0-0-0</f>
        <v>700.56791999999996</v>
      </c>
      <c r="H25" s="3">
        <f>0+(875.1-193.1)+(0+(-0.892602--0.196962))+0-0-0</f>
        <v>681.30435999999997</v>
      </c>
      <c r="I25" s="3">
        <f>0+(904.6-230.5)+(0+(0.461346-0.117555))+0-0-0</f>
        <v>674.44379100000003</v>
      </c>
      <c r="J25" s="3">
        <f>0+(913.6-240.8)+(0+(0.931872-0.245616))+0-0-0</f>
        <v>673.48625599999991</v>
      </c>
      <c r="K25" s="3">
        <f>0+(884.4-223.9)+(0+(-0.451044--0.114189))+0-0-0</f>
        <v>660.16314499999999</v>
      </c>
      <c r="L25" s="3">
        <f>0+(864-202.4)+(0+(-1.32192--0.309672))+0-0-0</f>
        <v>660.58775200000002</v>
      </c>
      <c r="M25" s="3">
        <f>0+(879-190.7)+(0+(0-0))+0-0-0</f>
        <v>688.3</v>
      </c>
      <c r="N25" s="3">
        <f>0+(914.4-166.1)+(0+(0-0))+0-0-0</f>
        <v>748.3</v>
      </c>
      <c r="O25" s="3">
        <f>0+(948.3-130.7)+(0+(-0.483633--0.066657))+0-0-0</f>
        <v>817.18302399999993</v>
      </c>
      <c r="P25" s="3">
        <f>0+(898.6-117.2)+(0+(1.374858-0.179316))+0-0-0</f>
        <v>782.59554200000002</v>
      </c>
      <c r="Q25" s="3">
        <f>0+(911.6-115.8)+(0+(-2.789496--0.354348))+0-0-0</f>
        <v>793.36485200000004</v>
      </c>
      <c r="R25" s="3">
        <f>0+(915.5-110.4)+(0+(-2.334525--0.28152))+0-0-0</f>
        <v>803.04699500000004</v>
      </c>
      <c r="S25" s="3">
        <f>0+(890-126.5)+(0+(-0.4539--0.064515))+0-0-0</f>
        <v>763.11061500000005</v>
      </c>
      <c r="T25" s="3">
        <f>0+(869.4-103.2)+(0+(0.443394-0.052632))+0-0-0</f>
        <v>766.59076199999993</v>
      </c>
      <c r="U25" s="3">
        <f>0+(873.8-114)+(0+(-0.445638--0.05814))+0-0-0</f>
        <v>759.4125019999999</v>
      </c>
      <c r="V25" s="3">
        <f>0+(821.6-130.7)+(0+(-1.676064--0.266628))+0-0-0</f>
        <v>689.49056400000006</v>
      </c>
      <c r="W25" s="3">
        <f>0+(898.2-168.3)+(0+(-1.374246--0.257499))+0-0-0</f>
        <v>728.78325300000006</v>
      </c>
      <c r="X25" s="3">
        <f>0+(874.9-151.8)+(0+(-0.892398--0.154836))+0-0-0</f>
        <v>722.36243799999988</v>
      </c>
      <c r="Y25" s="3">
        <f>0+(849.1-105.8)+(0+(-1.732164--0.215832))+0-0-0</f>
        <v>741.78366800000003</v>
      </c>
      <c r="Z25" s="3">
        <f>0+(953-126.9)+(0+(-2.43015--0.323595))+0-0-0</f>
        <v>823.99344500000007</v>
      </c>
      <c r="AA25" s="3">
        <f>0+(970.4-163.6)+(0+(-1.484712--0.250308))+0-0-0</f>
        <v>805.56559599999991</v>
      </c>
      <c r="AB25" s="3">
        <f>0+(954-174.2)+(0+(-0.97308--0.177684))+0-0-0</f>
        <v>779.00460399999997</v>
      </c>
      <c r="AC25" s="3">
        <f>0+(943.8-179.4)+(0+(-0.481338--0.091494))+0-0-0</f>
        <v>764.01015599999994</v>
      </c>
      <c r="AD25">
        <v>838.8</v>
      </c>
      <c r="AE25" s="3">
        <f>0+(976.5-137.7)+(0+(0-0))+0-0-0</f>
        <v>838.8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0+(958-223.4)+(0+(-0.48858--0.113934))+0-0-0</f>
        <v>734.22535400000004</v>
      </c>
      <c r="G26" s="3">
        <f>0+(907.5-206.7)+(0+(-0.92565--0.210834))+0-0-0</f>
        <v>700.08518399999991</v>
      </c>
      <c r="H26" s="3">
        <f>0+(909.3-233.3)+(0+(-1.391229--0.356949))+0-0-0</f>
        <v>674.96572000000003</v>
      </c>
      <c r="I26" s="3">
        <f>0+(874.6-224.7)+(0+(0-0))+0-0-0</f>
        <v>649.90000000000009</v>
      </c>
      <c r="J26" s="3">
        <f>0+(856.7-223.1)+(0+(0-0))+0-0-0</f>
        <v>633.6</v>
      </c>
      <c r="K26" s="3">
        <f>0+(842-217.5)+(0+(-0.85884--0.22185))+0-0-0</f>
        <v>623.86301000000003</v>
      </c>
      <c r="L26" s="3">
        <f>0+(860.3-244.1)+(0+(-3.510024--0.995928))+0-0-0</f>
        <v>613.68590399999994</v>
      </c>
      <c r="M26" s="3">
        <f>0+(845.6-236.4)+(0+(-0.862512--0.241128))+0-0-0</f>
        <v>608.57861600000001</v>
      </c>
      <c r="N26" s="3">
        <f>0+(908.1-234.1)+(0+(1.852524-0.477564))+0-0-0</f>
        <v>675.37495999999999</v>
      </c>
      <c r="O26" s="3">
        <f>0+(873.4-200.5)+(0+(-1.336302--0.306765))+0-0-0</f>
        <v>671.87046299999997</v>
      </c>
      <c r="P26" s="3">
        <f>0+(861.8-181.3)+(0+(0.879036-0.184926))+0-0-0</f>
        <v>681.19411000000002</v>
      </c>
      <c r="Q26" s="3">
        <f>0+(870.3-182.9)+(0+(-1.331559--0.279837))+0-0-0</f>
        <v>686.34827799999994</v>
      </c>
      <c r="R26" s="3">
        <f>0+(875.7-202.3)+(0+(-3.126249--0.722211))+0-0-0</f>
        <v>670.99596200000008</v>
      </c>
      <c r="S26" s="3">
        <f>0+(900.5-222.3)+(0+(0-0))+0-0-0</f>
        <v>678.2</v>
      </c>
      <c r="T26" s="3">
        <f>0+(871.1-192.8)+(0+(-0.888522--0.196656))+0-0-0</f>
        <v>677.60813399999995</v>
      </c>
      <c r="U26" s="3">
        <f>0+(841.3-177.9)+(0+(-0.429063--0.090729))+0-0-0</f>
        <v>663.06166599999995</v>
      </c>
      <c r="V26" s="3">
        <f>0+(851.1-192.9)+(0+(-1.736244--0.393516))+0-0-0</f>
        <v>656.85727200000008</v>
      </c>
      <c r="W26" s="3">
        <f>0+(840.3-193.8)+(0+(-0.428553--0.098838))+0-0-0</f>
        <v>646.17028500000004</v>
      </c>
      <c r="X26" s="3">
        <f>0+(812.9-169.4)+(0+(0.414579-0.086394))+0-0-0</f>
        <v>643.82818499999996</v>
      </c>
      <c r="Y26" s="3">
        <f>0+(776.5-111.6)+(0+(-1.58406--0.227664))+0-0-0</f>
        <v>663.54360399999996</v>
      </c>
      <c r="Z26" s="3">
        <f>0+(860.3-94.8)+(0+(-0.438753--0.048348))+0-0-0</f>
        <v>765.10959500000001</v>
      </c>
      <c r="AA26" s="3">
        <f>0+(818-163.7)+(0+(-1.66872--0.333948))+0-0-0</f>
        <v>652.96522799999991</v>
      </c>
      <c r="AB26" s="3">
        <f>0+(784-138.9)+(0+(-0.79968--0.141678))+0-0-0</f>
        <v>644.44199800000001</v>
      </c>
      <c r="AC26" s="3">
        <f>0+(736.9-110.1)+(0+(-1.503276--0.224604))+0-0-0</f>
        <v>625.52132799999993</v>
      </c>
      <c r="AD26">
        <v>778.4</v>
      </c>
      <c r="AE26" s="3">
        <f>0+(913.9-135.5)+(0+(0-0))+0-0-0</f>
        <v>778.4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0+(749-127.3)+(0+(0-0))+0-0-0</f>
        <v>621.70000000000005</v>
      </c>
      <c r="G27" s="3">
        <f>0+(755.2-132.2)+(0+(-1.92576--0.33711))+0-0-0</f>
        <v>621.41134999999997</v>
      </c>
      <c r="H27" s="3">
        <f>0+(791.5-181.9)+(0+(-0.403665--0.092769))+0-0-0</f>
        <v>609.28910400000007</v>
      </c>
      <c r="I27" s="3">
        <f>0+(819-211.9)+(0+(0.41769-0.108069))+0-0-0</f>
        <v>607.40962100000002</v>
      </c>
      <c r="J27" s="3">
        <f>0+(818.1-211.1)+(0+(-0.417231--0.107661))+0-0-0</f>
        <v>606.69042999999999</v>
      </c>
      <c r="K27" s="3">
        <f>0+(856.6-237.2)+(0+(0.436866-0.120972))+0-0-0</f>
        <v>619.71589400000005</v>
      </c>
      <c r="L27" s="3">
        <f>0+(865.6-208.5)+(0+(-2.20728--0.531675))+0-0-0</f>
        <v>655.424395</v>
      </c>
      <c r="M27" s="3">
        <f>0+(925.2-209.1)+(0+(0.943704-0.213282))+0-0-0</f>
        <v>716.830422</v>
      </c>
      <c r="N27" s="3">
        <f>0+(957.9-182.1)+(0+(0-0))+0-0-0</f>
        <v>775.8</v>
      </c>
      <c r="O27" s="3">
        <f>0+(1012.2-178.4)+(0+(0-0))+0-0-0</f>
        <v>833.80000000000007</v>
      </c>
      <c r="P27" s="3">
        <f>0+(1049.2-191.5)+(0+(1.070184-0.19533))+0-0-0</f>
        <v>858.57485400000007</v>
      </c>
      <c r="Q27" s="3">
        <f>0+(1062.4-190.8)+(0+(-1.083648--0.194616))+0-0-0</f>
        <v>870.71096800000009</v>
      </c>
      <c r="R27" s="3">
        <f>0+(1130.2-259)+(0+(-0.576402--0.13209))+0-0-0</f>
        <v>870.75568800000008</v>
      </c>
      <c r="S27" s="3">
        <f>0+(1240.5-396.7)+(0+(0-0))+0-0-0</f>
        <v>843.8</v>
      </c>
      <c r="T27" s="3">
        <f>0+(1126.7-289.2)+(0+(-0.574617--0.147492))+0-0-0</f>
        <v>837.07287499999995</v>
      </c>
      <c r="U27" s="3">
        <f>0+(1048.6-219)+(0+(-1.604358--0.33507))+0-0-0</f>
        <v>828.33071199999995</v>
      </c>
      <c r="V27" s="3">
        <f>0+(1014.6-194.1)+(0+(-0.517446--0.098991))+0-0-0</f>
        <v>820.08154500000001</v>
      </c>
      <c r="W27" s="3">
        <f>0+(978.3-177.2)+(0+(-1.995732--0.361488))+0-0-0</f>
        <v>799.46575599999994</v>
      </c>
      <c r="X27" s="3">
        <f>0+(1037.5-248.5)+(0+(-2.645625--0.633675))+0-0-0</f>
        <v>786.98805000000004</v>
      </c>
      <c r="Y27" s="3">
        <f>0+(921.5-129.5)+(0+(-0.469965--0.066045))+0-0-0</f>
        <v>791.59608000000003</v>
      </c>
      <c r="Z27" s="3">
        <f>0+(978-110.5)+(0+(-1.99512--0.22542))+0-0-0</f>
        <v>865.73030000000006</v>
      </c>
      <c r="AA27" s="3">
        <f>0+(1013-166.1)+(0+(-1.54989--0.254133))+0-0-0</f>
        <v>845.604243</v>
      </c>
      <c r="AB27" s="3">
        <f>0+(970.5-151.4)+(0+(-2.474775--0.38607))+0-0-0</f>
        <v>817.01129500000002</v>
      </c>
      <c r="AC27" s="3">
        <f>0+(912.9-98.1)+(0+(-1.862316--0.200124))+0-0-0</f>
        <v>813.13780799999995</v>
      </c>
      <c r="AD27">
        <v>884.3</v>
      </c>
      <c r="AE27" s="3">
        <f>0+(1031.8-147.5)+(0+(0-0))+0-0-0</f>
        <v>884.3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0+(895.3-130.5)+(0+(-1.369809--0.199665))+0-0-0</f>
        <v>763.6298559999999</v>
      </c>
      <c r="G28" s="3">
        <f>0+(946.9-218.4)+(0+(-0.965838--0.222768))+0-0-0</f>
        <v>727.75693000000001</v>
      </c>
      <c r="H28" s="3">
        <f>0+(961.2-250.1)+(0+(-1.960848--0.510204))+0-0-0</f>
        <v>709.64935600000001</v>
      </c>
      <c r="I28" s="3">
        <f>0+(955.4-248.6)+(0+(-0.974508--0.253572))+0-0-0</f>
        <v>706.0790639999999</v>
      </c>
      <c r="J28" s="3">
        <f>0+(935-238.5)+(0+(-1.9074--0.48654))+0-0-0</f>
        <v>695.07914000000005</v>
      </c>
      <c r="K28" s="3">
        <f>0+(936-248.1)+(0+(0-0))+0-0-0</f>
        <v>687.9</v>
      </c>
      <c r="L28" s="3">
        <f>0+(964.1-245.5)+(0+(-3.441837--0.876435))+0-0-0</f>
        <v>716.03459800000007</v>
      </c>
      <c r="M28" s="3">
        <f>0+(981.5-224.5)+(0+(0-0))+0-0-0</f>
        <v>757</v>
      </c>
      <c r="N28" s="3">
        <f>0+(949.5-139.2)+(0+(0.96849-0.141984))+0-0-0</f>
        <v>811.12650599999995</v>
      </c>
      <c r="O28" s="3">
        <f>0+(907.4-108.5)+(0+(-0.925548--0.11067))+0-0-0</f>
        <v>798.08512199999996</v>
      </c>
      <c r="P28" s="3">
        <f>0+(972.1-107)+(0+(0.495771-0.05457))+0-0-0</f>
        <v>865.541201</v>
      </c>
      <c r="Q28" s="3">
        <f>0+(1017.2-137.9)+(0+(0-0))+0-0-0</f>
        <v>879.30000000000007</v>
      </c>
      <c r="R28" s="3">
        <f>0+(995.5-125.1)+(0+(-2.538525--0.319005))+0-0-0</f>
        <v>868.18047999999999</v>
      </c>
      <c r="S28" s="3">
        <f>0+(918.2-83)+(0+(-1.873128--0.16932))+0-0-0</f>
        <v>833.49619200000006</v>
      </c>
      <c r="T28" s="3">
        <f>0+(872.8-39.4)+(0+(0.890256-0.040188))+0-0-0</f>
        <v>834.25006799999994</v>
      </c>
      <c r="U28" s="3">
        <f>0+(903.8-67.5)+(0+(-1.843752--0.1377))+0-0-0</f>
        <v>834.59394799999995</v>
      </c>
      <c r="V28" s="3">
        <f>31.9+(954.2-158.2)+(-0.065076+(-1.946568--0.322728))+0-0-0</f>
        <v>826.21108400000003</v>
      </c>
      <c r="W28" s="3">
        <f>47.3+(976.6-203.7)+(-0.144738+(-2.988396--0.623322))+0-0-0</f>
        <v>817.69018800000003</v>
      </c>
      <c r="X28" s="3">
        <f>47.4+(986.9-239)+(-0.096696+(-2.013276--0.48756))+0-0-0</f>
        <v>793.6775879999999</v>
      </c>
      <c r="Y28" s="3">
        <f>48.1+(960.1-204.5)+(0.024531+(0.489651-0.104295))+0-0-0</f>
        <v>804.10988700000007</v>
      </c>
      <c r="Z28" s="3">
        <f>48.1+(977.6-149.8)+(-0.122655+(-2.49288--0.38199))+0-0-0</f>
        <v>873.66645499999993</v>
      </c>
      <c r="AA28" s="3">
        <f>5.4+(1021.1-160.1)+(-0.01377+(-2.603805--0.408255))+0-0-0</f>
        <v>864.19067999999993</v>
      </c>
      <c r="AB28" s="3">
        <f>0+(1064-220.3)+(0+(-3.79848--0.786471))+0-0-0</f>
        <v>840.68799100000001</v>
      </c>
      <c r="AC28" s="3">
        <f>0+(1035.9-230)+(0+(-2.641545--0.5865))+0-0-0</f>
        <v>803.84495500000014</v>
      </c>
      <c r="AD28">
        <v>887.90000000000009</v>
      </c>
      <c r="AE28" s="3">
        <f>48+(1029.4-189.5)+(0+(0-0))+0-0-0</f>
        <v>887.90000000000009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0+(1012.9-245.4)+(0+(-1.549737--0.375462))+0-0-0</f>
        <v>766.32572500000003</v>
      </c>
      <c r="G29" s="3">
        <f>0+(988-258.6)+(0+(-3.52716--0.923202))+0-0-0</f>
        <v>726.79604199999994</v>
      </c>
      <c r="H29" s="3">
        <f>0+(1031.4-316.1)+(0+(-1.578042--0.483633))+0-0-0</f>
        <v>714.20559100000003</v>
      </c>
      <c r="I29" s="3">
        <f>0+(1018.3-321.3)+(0+(0-0))+0-0-0</f>
        <v>697</v>
      </c>
      <c r="J29" s="3">
        <f>0+(1009.5-313.1)+(0+(-2.05938--0.638724))+0-0-0</f>
        <v>694.97934399999997</v>
      </c>
      <c r="K29" s="3">
        <f>0+(1004-300.9)+(0+(-1.02408--0.306918))+0-0-0</f>
        <v>702.38283799999999</v>
      </c>
      <c r="L29" s="3">
        <f>0+(969.6-262.4)+(0+(-1.977984--0.535296))+0-0-0</f>
        <v>705.75731200000007</v>
      </c>
      <c r="M29" s="3">
        <f>0+(980.5-226)+(0+(0.500055-0.11526))+0-0-0</f>
        <v>754.88479500000005</v>
      </c>
      <c r="N29" s="3">
        <f>0+(1048.7-194.4)+(0+(0.534837-0.099144))+0-0-0</f>
        <v>854.73569300000008</v>
      </c>
      <c r="O29" s="3">
        <f>0+(1069.1-206.1)+(0+(-1.635723--0.315333))+0-0-0</f>
        <v>861.67960999999991</v>
      </c>
      <c r="P29" s="3">
        <f>0+(1091.3-179.5)+(0+(-2.226252--0.36618))+0-0-0</f>
        <v>909.93992800000001</v>
      </c>
      <c r="Q29" s="3">
        <f>0+(1061.6-176.3)+(0+(-0.541416--0.089913))+0-0-0</f>
        <v>884.84849699999995</v>
      </c>
      <c r="R29" s="3">
        <f>0+(1049.4-184.7)+(0+(0.535194-0.094197))+0-0-0</f>
        <v>865.14099700000008</v>
      </c>
      <c r="S29" s="3">
        <f>0+(1033.3-189.7)+(0+(-0.526983--0.096747))+0-0-0</f>
        <v>843.16976399999987</v>
      </c>
      <c r="T29" s="3">
        <f>0+(994.2-145.5)+(0+(-1.014084--0.14841))+0-0-0</f>
        <v>847.83432600000003</v>
      </c>
      <c r="U29" s="3">
        <f>0+(945.4-110.7)+(0+(-1.446462--0.169371))+0-0-0</f>
        <v>833.42290899999989</v>
      </c>
      <c r="V29" s="3">
        <f>0+(897.2-73.7)+(0+(-1.830288--0.150348))+0-0-0</f>
        <v>821.82006000000001</v>
      </c>
      <c r="W29" s="3">
        <f>0+(907.3-93)+(0+(-0.925446--0.09486))+0-0-0</f>
        <v>813.46941399999992</v>
      </c>
      <c r="X29" s="3">
        <f>0+(947.9-141.7)+(0+(-2.417145--0.361335))+0-0-0</f>
        <v>804.14419000000009</v>
      </c>
      <c r="Y29" s="3">
        <f>0+(929-128.4)+(0+(-0.94758--0.130968))+0-0-0</f>
        <v>799.78338800000006</v>
      </c>
      <c r="Z29" s="3">
        <f>0+(1033-154.9)+(0+(-1.05366--0.157998))+0-0-0</f>
        <v>877.20433800000001</v>
      </c>
      <c r="AA29" s="3">
        <f>0+(1044.9-172.7)+(0+(-1.598697--0.264231))+0-0-0</f>
        <v>870.86553400000003</v>
      </c>
      <c r="AB29" s="3">
        <f>0+(1049.6-202.1)+(0+(-2.67648--0.515355))+0-0-0</f>
        <v>845.33887499999992</v>
      </c>
      <c r="AC29" s="3">
        <f>0+(1050.2-226.5)+(0+(-1.071204--0.23103))+0-0-0</f>
        <v>822.859826</v>
      </c>
      <c r="AD29">
        <v>899.89999999999986</v>
      </c>
      <c r="AE29" s="3">
        <f>0+(1056.6-156.7)+(0+(0-0))+0-0-0</f>
        <v>899.89999999999986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0+(1045.9-264.6)+(0+(-2.667045--0.67473))+0-0-0</f>
        <v>779.30768500000011</v>
      </c>
      <c r="G30" s="3">
        <f>0+(1035.7-295.3)+(0+(-1.056414--0.301206))+0-0-0</f>
        <v>739.64479200000005</v>
      </c>
      <c r="H30" s="3">
        <f>0+(992.4-271.4)+(0+(-1.012248--0.276828))+0-0-0</f>
        <v>720.26458000000002</v>
      </c>
      <c r="I30" s="3">
        <f>0+(975.8-266.9)+(0+(-1.990632--0.544476))+0-0-0</f>
        <v>707.453844</v>
      </c>
      <c r="J30" s="3">
        <f>0+(937.3-232.5)+(0+(-2.390115--0.592875))+0-0-0</f>
        <v>703.00275999999997</v>
      </c>
      <c r="K30" s="3">
        <f>0+(865.6-236)+(0+(-0.441456--0.12036))+0-0-0</f>
        <v>629.27890400000001</v>
      </c>
      <c r="L30" s="3">
        <f>0+(946.4-230.9)+(0+(0-0))+0-0-0</f>
        <v>715.5</v>
      </c>
      <c r="M30" s="3">
        <f>0+(880.2-145.7)+(0+(0-0))+0-0-0</f>
        <v>734.5</v>
      </c>
      <c r="N30" s="3">
        <f>0+(850-30.4)+(0+(-1.3005--0.046512))+0-0-0</f>
        <v>818.34601199999997</v>
      </c>
      <c r="O30" s="3">
        <f>0+(922.9-55.7)+(0+(-0.941358--0.056814))+0-0-0</f>
        <v>866.31545599999993</v>
      </c>
      <c r="P30" s="3">
        <f>0+(998.3-114.3)+(0+(-0.509133--0.058293))+0-0-0</f>
        <v>883.54916000000003</v>
      </c>
      <c r="Q30" s="3">
        <f>0+(1001.9-114.9)+(0+(-1.532907--0.175797))+0-0-0</f>
        <v>885.64288999999997</v>
      </c>
      <c r="R30" s="3">
        <f>0+(956.6-85.1)+(0+(0.487866-0.043401))+0-0-0</f>
        <v>871.94446500000004</v>
      </c>
      <c r="S30" s="3">
        <f>0+(929.2-84.7)+(0+(-2.36946--0.215985))+0-0-0</f>
        <v>842.34652500000004</v>
      </c>
      <c r="T30" s="3">
        <f>0+(960.1-98.9)+(0+(-0.489651--0.050439))+0-0-0</f>
        <v>860.76078800000005</v>
      </c>
      <c r="U30" s="3">
        <f>0+(962.9-125.1)+(0+(0-0))+0-0-0</f>
        <v>837.8</v>
      </c>
      <c r="V30" s="3">
        <f>0+(910-79)+(0+(-1.8564--0.16116))+0-0-0</f>
        <v>829.30475999999999</v>
      </c>
      <c r="W30" s="3">
        <f>0+(895.4-68.8)+(0+(0-0))+0-0-0</f>
        <v>826.6</v>
      </c>
      <c r="X30" s="3">
        <f>0+(863-60.7)+(0+(-2.20065--0.154785))+0-0-0</f>
        <v>800.25413499999991</v>
      </c>
      <c r="Y30" s="3">
        <f>0+(920.9-119.6)+(0+(-0.469659--0.060996))+0-0-0</f>
        <v>800.89133699999991</v>
      </c>
      <c r="Z30" s="3">
        <f>0+(1048.9-160.9)+(0+(-1.069878--0.164118))+0-0-0</f>
        <v>887.09424000000013</v>
      </c>
      <c r="AA30" s="3">
        <f>0+(1044.4-271.2)+(0+(-1.065288--0.276624))+0-0-0</f>
        <v>772.41133600000001</v>
      </c>
      <c r="AB30" s="3">
        <f>0+(1014.9-267.9)+(0+(-2.587995--0.683145))+0-0-0</f>
        <v>745.09514999999999</v>
      </c>
      <c r="AC30" s="3">
        <f>0+(999.2-256.1)+(0+(0-0))+0-0-0</f>
        <v>743.1</v>
      </c>
      <c r="AD30">
        <v>892.10000000000014</v>
      </c>
      <c r="AE30" s="3">
        <f>0+(1095.4-203.3)+(0+(0-0))+0-0-0</f>
        <v>892.10000000000014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0+(1143.5-397.9)+(0+(-0.583185--0.202929))+0-0-0</f>
        <v>745.21974399999999</v>
      </c>
      <c r="G31" s="3">
        <f>0+(1167.1-454.8)+(0+(-2.976105--1.15974))+0-0-0</f>
        <v>710.48363499999994</v>
      </c>
      <c r="H31" s="3">
        <f>0+(1112.1-444.5)+(0+(-0.567171--0.226695))+0-0-0</f>
        <v>667.25952399999994</v>
      </c>
      <c r="I31" s="3">
        <f>0+(1084.6-433.3)+(0+(-0.553146--0.220983))+0-0-0</f>
        <v>650.96783699999992</v>
      </c>
      <c r="J31" s="3">
        <f>0+(992.7-350.9)+(0+(-1.012554--0.357918))+0-0-0</f>
        <v>641.14536400000009</v>
      </c>
      <c r="K31" s="3">
        <f>0+(945.9-338.9)+(0+(0-0))+0-0-0</f>
        <v>607</v>
      </c>
      <c r="L31" s="3">
        <f>0+(916.5-307.7)+(0+(-2.337075--0.784635))+0-0-0</f>
        <v>607.24755999999991</v>
      </c>
      <c r="M31" s="3">
        <f>0+(895.8-163.5)+(0+(-0.913716--0.16677))+0-0-0</f>
        <v>731.55305399999997</v>
      </c>
      <c r="N31" s="3">
        <f>0+(846.7-85.6)+(0+(0.863634-0.087312))+0-0-0</f>
        <v>761.87632200000007</v>
      </c>
      <c r="O31" s="3">
        <f>0+(892.2-141)+(0+(-0.910044--0.14382))+0-0-0</f>
        <v>750.43377600000008</v>
      </c>
      <c r="P31" s="3">
        <f>0+(1022.4-114.4)+(0+(-0.521424--0.058344))+0-0-0</f>
        <v>907.53692000000001</v>
      </c>
      <c r="Q31" s="3">
        <f>0+(1028-152.2)+(0+(-0.52428--0.077622))+0-0-0</f>
        <v>875.353342</v>
      </c>
      <c r="R31" s="3">
        <f>0+(970.3-143)+(0+(-1.484559--0.21879))+0-0-0</f>
        <v>826.03423099999998</v>
      </c>
      <c r="S31" s="3">
        <f>0+(984.2-143.9)+(0+(0-0))+0-0-0</f>
        <v>840.30000000000007</v>
      </c>
      <c r="T31" s="3">
        <f>0+(978.5-101.7)+(0+(0-0))+0-0-0</f>
        <v>876.8</v>
      </c>
      <c r="U31" s="3">
        <f>0+(940.9-96.5)+(0+(-0.959718--0.09843))+0-0-0</f>
        <v>843.53871200000003</v>
      </c>
      <c r="V31" s="3">
        <f>1+(897.5-180)+(0+(0-0))+0-0-0</f>
        <v>718.5</v>
      </c>
      <c r="W31" s="3">
        <f>43+(894.9-143.9)+(-0.13158+(-2.738394--0.440334))+0-0-0</f>
        <v>791.57036000000005</v>
      </c>
      <c r="X31" s="3">
        <f>78+(853-133.5)+(-0.31824+(-3.48024--0.54468))+0-0-0</f>
        <v>794.24620000000004</v>
      </c>
      <c r="Y31" s="3">
        <f>14+(884.8-281.8)+(-0.02856+(-1.804992--0.574872))+0-0-0</f>
        <v>615.74131999999997</v>
      </c>
      <c r="Z31" s="3">
        <f>0+(941.9-246)+(0+(-3.362583--0.87822))+0-0-0</f>
        <v>693.41563699999995</v>
      </c>
      <c r="AA31" s="3">
        <f>0+(908.5-182.9)+(0+(-0.92667--0.186558))+0-0-0</f>
        <v>724.85988800000007</v>
      </c>
      <c r="AB31" s="3">
        <f>0+(869.2-148.8)+(0+(-2.21646--0.37944))+0-0-0</f>
        <v>718.56298000000004</v>
      </c>
      <c r="AC31" s="3">
        <f>0+(850.2-162.6)+(0+(0-0))+0-0-0</f>
        <v>687.6</v>
      </c>
      <c r="AD31">
        <v>875.4</v>
      </c>
      <c r="AE31" s="3">
        <f>0+(1034.5-159.1)+(0+(0-0))+0-0-0</f>
        <v>875.4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0+(949.4-189.2)+(0+(0-0))+0-0-0</f>
        <v>760.2</v>
      </c>
      <c r="G32" s="3">
        <f>0+(1047.7-312)+(0+(1.068654-0.31824))+0-0-0</f>
        <v>736.45041400000002</v>
      </c>
      <c r="H32" s="3">
        <f>0+(1085.9-372.2)+(0+(-1.107618--0.379644))+0-0-0</f>
        <v>712.97202600000003</v>
      </c>
      <c r="I32" s="3">
        <f>0+(1065.3-358.9)+(0+(-2.173212--0.732156))+0-0-0</f>
        <v>704.95894399999997</v>
      </c>
      <c r="J32" s="3">
        <f>0+(1029.1-320.9)+(0+(1.574523-0.490977))+0-0-0</f>
        <v>709.28354599999989</v>
      </c>
      <c r="K32" s="3">
        <f>0+(1030.7-334.4)+(0+(0.525657-0.170544))+0-0-0</f>
        <v>696.65511300000003</v>
      </c>
      <c r="L32" s="3">
        <f>0+(1037.4-318.5)+(0+(-1.058148--0.32487))+0-0-0</f>
        <v>718.16672200000005</v>
      </c>
      <c r="M32" s="3">
        <f>0+(909.9-173.6)+(0+(0.928098-0.177072))+0-0-0</f>
        <v>737.05102599999998</v>
      </c>
      <c r="N32" s="3">
        <f>0+(824.6-42.1)+(0+(0.420546-0.021471))+0-0-0</f>
        <v>782.89907500000004</v>
      </c>
      <c r="O32" s="3">
        <f>2.7+(894.4-55)+(0.002754+(0.912288-0.0561))+0-0-0</f>
        <v>842.95894199999998</v>
      </c>
      <c r="P32" s="3">
        <f>0+(885.2-51.7)+(0+(0-0))+0-0-0</f>
        <v>833.5</v>
      </c>
      <c r="Q32" s="3">
        <f>0+(904.4-49.6)+(0+(1.844976-0.101184))+0-0-0</f>
        <v>856.54379199999994</v>
      </c>
      <c r="R32" s="3">
        <f>0+(911.1-56.4)+(0+(0-0))+0-0-0</f>
        <v>854.7</v>
      </c>
      <c r="S32" s="3">
        <f>0+(878.2-52)+(0+(-0.895764--0.05304))+0-0-0</f>
        <v>825.35727600000007</v>
      </c>
      <c r="T32" s="3">
        <f>16.6+(841-61.3)+(0.025398+(1.28673-0.093789))+0-0-0</f>
        <v>797.51833900000008</v>
      </c>
      <c r="U32" s="3">
        <f>49.1+(794.6-62.1)+(-0.125205+(-2.02623--0.158355))+0-0-0</f>
        <v>779.60692000000006</v>
      </c>
      <c r="V32" s="3">
        <f>119.3+(705.6-61.8)+(0+(0-0))+0-0-0</f>
        <v>763.1</v>
      </c>
      <c r="W32" s="3">
        <f>79.8+(815.1-113.2)+(-0.284886+(-2.909907--0.404124))+0-0-0</f>
        <v>778.90933099999995</v>
      </c>
      <c r="X32" s="3">
        <f>79.9+(814.1-104.8)+(-0.162996+(-1.660764--0.213792))+0-0-0</f>
        <v>787.59003200000006</v>
      </c>
      <c r="Y32" s="3">
        <f>117.1+(767.4-116.4)+(-0.119442+(-0.782748--0.118728))+0-0-0</f>
        <v>767.31653800000004</v>
      </c>
      <c r="Z32" s="3">
        <f>46.8+(984.1-210.6)+(-0.11934+(-2.509455--0.53703))+0-0-0</f>
        <v>818.20823499999995</v>
      </c>
      <c r="AA32" s="3">
        <f>0+(1059.6-259.1)+(0+(-3.782772--0.924987))+0-0-0</f>
        <v>797.64221499999985</v>
      </c>
      <c r="AB32" s="3">
        <f>0+(1127.9-343.2)+(0+(-2.300916--0.700128))+0-0-0</f>
        <v>783.09921200000008</v>
      </c>
      <c r="AC32" s="3">
        <f>0+(1135.5-363)+(0+(-1.15821--0.37026))+0-0-0</f>
        <v>771.71204999999998</v>
      </c>
      <c r="AD32">
        <v>803</v>
      </c>
      <c r="AE32" s="3">
        <f>0+(1053.5-250.5)+(0+(0-0))+0-0-0</f>
        <v>803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0+(1089.5-360.1)+(0+(-2.778225--0.918255))+0-0-0</f>
        <v>727.54003</v>
      </c>
      <c r="G33" s="3">
        <f>0+(1107.2-404.7)+(0+(-2.82336--1.031985))+0-0-0</f>
        <v>700.70862499999998</v>
      </c>
      <c r="H33" s="3">
        <f>0+(1098.5-429.1)+(0+(-1.680705--0.656523))+0-0-0</f>
        <v>668.37581799999998</v>
      </c>
      <c r="I33" s="3">
        <f>0+(1059.1-394.9)+(0+(-0.540141--0.201399))+0-0-0</f>
        <v>663.86125799999991</v>
      </c>
      <c r="J33" s="3">
        <f>0+(1015.2-359.8)+(0+(-1.035504--0.366996))+0-0-0</f>
        <v>654.73149200000012</v>
      </c>
      <c r="K33" s="3">
        <f>0+(982.5-357.4)+(0+(-1.00215--0.364548))+0-0-0</f>
        <v>624.46239800000001</v>
      </c>
      <c r="L33" s="3">
        <f>0+(986.2-363.6)+(0+(-2.51481--0.92718))+0-0-0</f>
        <v>621.01237000000003</v>
      </c>
      <c r="M33" s="3">
        <f>0+(939.1-329.9)+(0+(0-0))+0-0-0</f>
        <v>609.20000000000005</v>
      </c>
      <c r="N33" s="3">
        <f>0+(689.7-47)+(0+(-1.055241--0.07191))+0-0-0</f>
        <v>641.71666900000002</v>
      </c>
      <c r="O33" s="3">
        <f>0+(711.9-33.2)+(0+(-0.363069--0.016932))+0-0-0</f>
        <v>678.35386299999993</v>
      </c>
      <c r="P33" s="3">
        <f>0+(753.3-40.7)+(0+(-0.768366--0.041514))+0-0-0</f>
        <v>711.8731479999999</v>
      </c>
      <c r="Q33" s="3">
        <f>0+(779.5-58.7)+(0+(0-0))+0-0-0</f>
        <v>720.8</v>
      </c>
      <c r="R33" s="3">
        <f>0+(777.7-59.3)+(0+(-0.396627--0.030243))+0-0-0</f>
        <v>718.03361600000005</v>
      </c>
      <c r="S33" s="3">
        <f>0+(757.8-54.1)+(0+(-1.545912--0.110364))+0-0-0</f>
        <v>702.26445199999989</v>
      </c>
      <c r="T33" s="3">
        <f>0+(739.7-50)+(0+(-0.377247--0.0255))+0-0-0</f>
        <v>689.348253</v>
      </c>
      <c r="U33" s="3">
        <f>0+(721.1-44.9)+(0+(-1.103283--0.068697))+0-0-0</f>
        <v>675.16541400000006</v>
      </c>
      <c r="V33" s="3">
        <f>0+(824.2-142.2)+(0+(-2.10171--0.36261))+0-0-0</f>
        <v>680.26089999999999</v>
      </c>
      <c r="W33" s="3">
        <f>0+(905.6-220.4)+(0+(-1.385568--0.337212))+0-0-0</f>
        <v>684.15164400000003</v>
      </c>
      <c r="X33" s="3">
        <f>0+(885.7-184.8)+(0+(-1.806828--0.376992))+0-0-0</f>
        <v>699.47016400000007</v>
      </c>
      <c r="Y33" s="3">
        <f>0+(955-222.5)+(0+(0-0))+0-0-0</f>
        <v>732.5</v>
      </c>
      <c r="Z33" s="3">
        <f>0+(1042.6-268.2)+(0+(-2.126904--0.547128))+0-0-0</f>
        <v>772.82022399999983</v>
      </c>
      <c r="AA33" s="3">
        <f>0+(1021.7-264.4)+(0+(0-0))+0-0-0</f>
        <v>757.30000000000007</v>
      </c>
      <c r="AB33" s="3">
        <f>0+(977.7-242.1)+(0+(-0.498627--0.123471))+0-0-0</f>
        <v>735.22484400000008</v>
      </c>
      <c r="AC33" s="3">
        <f>0+(956.5-239)+(0+(-2.439075--0.60945))+0-0-0</f>
        <v>715.67037500000004</v>
      </c>
      <c r="AD33">
        <v>785.59999999999991</v>
      </c>
      <c r="AE33" s="3">
        <f>0+(1064.1-278.5)+(0+(0-0))+0-0-0</f>
        <v>785.59999999999991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0+(967.3-303.3)+(0+(-0.493323--0.154683))+0-0-0</f>
        <v>663.66135999999995</v>
      </c>
      <c r="G34" s="3">
        <f>0+(1012.1-372.8)+(0+(-1.548513--0.570384))+0-0-0</f>
        <v>638.32187099999999</v>
      </c>
      <c r="H34" s="3">
        <f>0+(983.8-366.3)+(0+(-0.501738--0.186813))+0-0-0</f>
        <v>617.18507499999998</v>
      </c>
      <c r="I34" s="3">
        <f>0+(964.8-353.8)+(0+(-0.984096--0.360876))+0-0-0</f>
        <v>610.37678000000005</v>
      </c>
      <c r="J34" s="3">
        <f>0+(959.5-342)+(0+(-1.468035--0.52326))+0-0-0</f>
        <v>616.55522499999995</v>
      </c>
      <c r="K34" s="3">
        <f>0+(955.4-328.6)+(0+(-0.487254--0.167586))+0-0-0</f>
        <v>626.48033199999998</v>
      </c>
      <c r="L34" s="3">
        <f>0+(944.4-285.3)+(0+(-1.444932--0.436509))+0-0-0</f>
        <v>658.09157699999992</v>
      </c>
      <c r="M34" s="3">
        <f>0+(953.4-254.7)+(0+(1.458702-0.389691))+0-0-0</f>
        <v>699.76901100000009</v>
      </c>
      <c r="N34" s="3">
        <f>0+(864.6-96.8)+(0+(0.440946-0.049368))+0-0-0</f>
        <v>768.19157800000005</v>
      </c>
      <c r="O34" s="3">
        <f>0+(958.7-135.7)+(0+(0-0))+0-0-0</f>
        <v>823</v>
      </c>
      <c r="P34" s="3">
        <f>0+(1027.1-181.4)+(0+(-0.523821--0.092514))+0-0-0</f>
        <v>845.26869299999998</v>
      </c>
      <c r="Q34" s="3">
        <f>0+(1021.8-176.2)+(0+(0.521118-0.089862))+0-0-0</f>
        <v>846.03125599999987</v>
      </c>
      <c r="R34" s="3">
        <f>0+(929.7-92.7)+(0+(-0.474147--0.047277))+0-0-0</f>
        <v>836.57312999999999</v>
      </c>
      <c r="S34" s="3">
        <f>0+(906.7-94)+(0+(0-0))+0-0-0</f>
        <v>812.7</v>
      </c>
      <c r="T34" s="3">
        <f>0+(920.3-113)+(0+(0-0))+0-0-0</f>
        <v>807.3</v>
      </c>
      <c r="U34" s="3">
        <f>0+(928.8-118.9)+(0+(-1.894752--0.242556))+0-0-0</f>
        <v>808.24780399999997</v>
      </c>
      <c r="V34" s="3">
        <f>0+(910.9-110.1)+(0+(-1.858236--0.224604))+0-0-0</f>
        <v>799.16636799999992</v>
      </c>
      <c r="W34" s="3">
        <f>0+(879.6-82.1)+(0+(-1.794384--0.167484))+0-0-0</f>
        <v>795.87310000000002</v>
      </c>
      <c r="X34" s="3">
        <f>0+(901.9-101.2)+(0+(-1.379907--0.154836))+0-0-0</f>
        <v>799.47492899999997</v>
      </c>
      <c r="Y34" s="3">
        <f>0+(1101.2-303.8)+(0+(0-0))+0-0-0</f>
        <v>797.40000000000009</v>
      </c>
      <c r="Z34" s="3">
        <f>0+(1145.6-280.5)+(0+(-2.92128--0.715275))+0-0-0</f>
        <v>862.8939949999999</v>
      </c>
      <c r="AA34" s="3">
        <f>0+(1214.3-350.3)+(0+(-3.096465--0.893265))+0-0-0</f>
        <v>861.79679999999996</v>
      </c>
      <c r="AB34" s="3">
        <f>0+(1213.3-367.5)+(0+(-1.237566--0.37485))+0-0-0</f>
        <v>844.93728399999998</v>
      </c>
      <c r="AC34" s="3">
        <f>0+(1197.1-382.8)+(0+(-1.221042--0.390456))+0-0-0</f>
        <v>813.46941399999992</v>
      </c>
      <c r="AD34">
        <v>880.40000000000009</v>
      </c>
      <c r="AE34" s="3">
        <f>0+(1193.9-313.5)+(0+(0-0))+0-0-0</f>
        <v>880.40000000000009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0+(1143.2-376.6)+(0+(-1.166064--0.384132))+0-0-0</f>
        <v>765.81806800000004</v>
      </c>
      <c r="G35" s="3">
        <f>0+(1154.8-428.6)+(0+(-1.177896--0.437172))+0-0-0</f>
        <v>725.45927599999993</v>
      </c>
      <c r="H35" s="3">
        <f>0+(1178.3-476.4)+(0+(-1.201866--0.485928))+0-0-0</f>
        <v>701.18406199999993</v>
      </c>
      <c r="I35" s="3">
        <f>0+(1192.5-490.1)+(0+(-1.824525--0.749853))+0-0-0</f>
        <v>701.32532800000001</v>
      </c>
      <c r="J35" s="3">
        <f>0+(1190.4-491.6)+(0+(-3.03552--1.25358))+0-0-0</f>
        <v>697.0180600000001</v>
      </c>
      <c r="K35" s="3">
        <f>0+(1183.9-490.6)+(0+(-3.018945--1.25103))+0-0-0</f>
        <v>691.53208500000005</v>
      </c>
      <c r="L35" s="3">
        <f>0+(1184.2-470.3)+(0+(-3.623652--1.439118))+0-0-0</f>
        <v>711.71546600000011</v>
      </c>
      <c r="M35" s="3">
        <f>0+(978.1-236.4)+(0+(0-0))+0-0-0</f>
        <v>741.7</v>
      </c>
      <c r="N35" s="3">
        <f>0+(969.6-187.3)+(0+(0-0))+0-0-0</f>
        <v>782.3</v>
      </c>
      <c r="O35" s="3">
        <f>0+(987.5-164.6)+(0+(0-0))+0-0-0</f>
        <v>822.9</v>
      </c>
      <c r="P35" s="3">
        <f>0+(968.4-183.6)+(0+(0-0))+0-0-0</f>
        <v>784.8</v>
      </c>
      <c r="Q35" s="3">
        <f>0+(922.9-151.9)+(0+(-1.412037--0.232407))+0-0-0</f>
        <v>769.82037000000003</v>
      </c>
      <c r="R35" s="3">
        <f>0+(980.8-166.1)+(0+(-2.50104--0.423555))+0-0-0</f>
        <v>812.62251499999991</v>
      </c>
      <c r="S35" s="3">
        <f>0+(975.9-176.4)+(0+(0.497709-0.089964))+0-0-0</f>
        <v>799.90774499999998</v>
      </c>
      <c r="T35" s="3">
        <f>0+(980.7-186.5)+(0+(-1.500471--0.285345))+0-0-0</f>
        <v>792.98487399999999</v>
      </c>
      <c r="U35" s="3">
        <f>0+(982.4-184.6)+(0+(-2.004096--0.376584))+0-0-0</f>
        <v>796.17248799999993</v>
      </c>
      <c r="V35" s="3">
        <f>0+(971.2-167.9)+(0+(-2.47656--0.428145))+0-0-0</f>
        <v>801.25158500000009</v>
      </c>
      <c r="W35" s="3">
        <f>0+(864.8-69.6)+(0+(-1.764192--0.141984))+0-0-0</f>
        <v>793.57779199999993</v>
      </c>
      <c r="X35" s="3">
        <f>0+(813.6-37.4)+(0+(-1.659744--0.076296))+0-0-0</f>
        <v>774.61655200000007</v>
      </c>
      <c r="Y35" s="3">
        <f>0+(872.7-93.2)+(0+(-1.780308--0.190128))+0-0-0</f>
        <v>777.90981999999997</v>
      </c>
      <c r="Z35" s="3">
        <f>0+(976.4-127.9)+(0+(-1.493892--0.195687))+0-0-0</f>
        <v>847.20179499999995</v>
      </c>
      <c r="AA35" s="3">
        <f>0+(950.3-110.6)+(0+(-2.423265--0.28203))+0-0-0</f>
        <v>837.55876499999988</v>
      </c>
      <c r="AB35" s="3">
        <f>0+(1024.6-229.5)+(0+(-3.657822--0.819315))+0-0-0</f>
        <v>792.26149299999986</v>
      </c>
      <c r="AC35" s="3">
        <f>0+(1141.1-355.5)+(0+(-1.163922--0.36261))+0-0-0</f>
        <v>784.79868799999986</v>
      </c>
      <c r="AD35">
        <v>866.19999999999993</v>
      </c>
      <c r="AE35" s="3">
        <f>0+(976.3-110.1)+(0+(0-0))+0-0-0</f>
        <v>866.19999999999993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0+(1228.2-471.7)+(0+(-0.626382--0.240567))+0-0-0</f>
        <v>756.11418500000002</v>
      </c>
      <c r="G36" s="3">
        <f>0+(1246.3-511.1)+(0+(-1.906839--0.781983))+0-0-0</f>
        <v>734.07514399999991</v>
      </c>
      <c r="H36" s="3">
        <f>0+(1250.6-525.7)+(0+(-2.551224--1.072428))+0-0-0</f>
        <v>723.42120399999988</v>
      </c>
      <c r="I36" s="3">
        <f>0+(1236.6-532.5)+(0+(1.891998-0.814725))+0-0-0</f>
        <v>705.1772729999999</v>
      </c>
      <c r="J36" s="3">
        <f>0+(1225.8-524.4)+(0+(-1.250316--0.534888))+0-0-0</f>
        <v>700.684572</v>
      </c>
      <c r="K36" s="3">
        <f>0+(1205.4-494.6)+(0+(-1.844262--0.756738))+0-0-0</f>
        <v>709.71247600000004</v>
      </c>
      <c r="L36" s="3">
        <f>0+(1193.9-471.8)+(0+(-1.826667--0.721854))+0-0-0</f>
        <v>720.9951870000001</v>
      </c>
      <c r="M36" s="3">
        <f>0+(1169.2-418.3)+(0+(-0.596292--0.213333))+0-0-0</f>
        <v>750.51704100000006</v>
      </c>
      <c r="N36" s="3">
        <f>0+(1066.2-292.6)+(0+(-0.543762--0.149226))+0-0-0</f>
        <v>773.20546400000001</v>
      </c>
      <c r="O36" s="3">
        <f>0+(981.7-153.1)+(0+(-1.001334--0.156162))+0-0-0</f>
        <v>827.75482799999997</v>
      </c>
      <c r="P36" s="3">
        <f>0+(1014-149.3)+(0+(-1.03428--0.152286))+0-0-0</f>
        <v>863.81800600000008</v>
      </c>
      <c r="Q36" s="3">
        <f>0+(1018.5-153.9)+(0+(-1.558305--0.235467))+0-0-0</f>
        <v>863.27716199999998</v>
      </c>
      <c r="R36" s="3">
        <f>0+(1008.5-169.3)+(0+(-2.571675--0.431715))+0-0-0</f>
        <v>837.06004000000007</v>
      </c>
      <c r="S36" s="3">
        <f>0+(1008.1-192)+(0+(-1.028262--0.19584))+0-0-0</f>
        <v>815.26757800000007</v>
      </c>
      <c r="T36" s="3">
        <f>0+(1028.2-225.1)+(0+(-1.048764--0.229602))+0-0-0</f>
        <v>802.28083800000002</v>
      </c>
      <c r="U36" s="3">
        <f>0+(1018.7-217.9)+(0+(-2.078148--0.444516))+0-0-0</f>
        <v>799.16636800000003</v>
      </c>
      <c r="V36" s="3">
        <f>0+(899.4-79.2)+(0+(-1.376082--0.121176))+0-0-0</f>
        <v>818.94509399999993</v>
      </c>
      <c r="W36" s="3">
        <f>0+(858.2-52.4)+(0+(-0.875364--0.053448))+0-0-0</f>
        <v>804.97808400000008</v>
      </c>
      <c r="X36" s="3">
        <f>0+(818.1-19.2)+(0+(-1.668924--0.039168))+0-0-0</f>
        <v>797.27024399999993</v>
      </c>
      <c r="Y36" s="3">
        <f>0+(827.3-30.8)+(0+(-0.843846--0.031416))+0-0-0</f>
        <v>795.68757000000005</v>
      </c>
      <c r="Z36" s="3">
        <f>0+(943.2-87.2)+(0+(-0.962064--0.088944))+0-0-0</f>
        <v>855.12688000000003</v>
      </c>
      <c r="AA36" s="3">
        <f>0+(976.4-129.5)+(0+(-2.48982--0.330225))+0-0-0</f>
        <v>844.74040500000001</v>
      </c>
      <c r="AB36" s="3">
        <f>0+(1029.1-204.3)+(0+(-1.574523--0.312579))+0-0-0</f>
        <v>823.53805599999998</v>
      </c>
      <c r="AC36" s="3">
        <f>0+(1017.9-214.1)+(0+(-0.519129--0.109191))+0-0-0</f>
        <v>803.39006199999994</v>
      </c>
      <c r="AD36">
        <v>877</v>
      </c>
      <c r="AE36" s="3">
        <f>0+(964.7-87.7)+(0+(0-0))+0-0-0</f>
        <v>877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0+(1079.6-310.5)+(0+(-1.101192--0.31671))+0-0-0</f>
        <v>768.31551799999988</v>
      </c>
      <c r="G37" s="3">
        <f>0+(1079.7-334.9)+(0+(-2.202588--0.683196))+0-0-0</f>
        <v>743.28060800000003</v>
      </c>
      <c r="H37" s="3">
        <f>0+(1058.8-332.8)+(0+(0-0))+0-0-0</f>
        <v>726</v>
      </c>
      <c r="I37" s="3">
        <f>0+(1073.6-352.7)+(0+(-2.190144--0.719508))+0-0-0</f>
        <v>719.42936399999985</v>
      </c>
      <c r="J37" s="3">
        <f>0+(1080.2-368.5)+(0+(0.550902-0.187935))+0-0-0</f>
        <v>712.06296700000007</v>
      </c>
      <c r="K37" s="3">
        <f>0+(1066.9-352.5)+(0+(0-0))+0-0-0</f>
        <v>714.40000000000009</v>
      </c>
      <c r="L37" s="3">
        <f>0+(1039.9-322.4)+(0+(-1.591047--0.493272))+0-0-0</f>
        <v>716.40222500000016</v>
      </c>
      <c r="M37" s="3">
        <f>0+(1005.9-251.8)+(0+(0-0))+0-0-0</f>
        <v>754.09999999999991</v>
      </c>
      <c r="N37" s="3">
        <f>0+(953.8-138.1)+(0+(-0.972876--0.140862))+0-0-0</f>
        <v>814.86798599999997</v>
      </c>
      <c r="O37" s="3">
        <f>0+(966.7-126.8)+(0+(0.986034-0.129336))+0-0-0</f>
        <v>840.75669800000014</v>
      </c>
      <c r="P37" s="3">
        <f>0+(989.2-128.4)+(0+(-1.008984--0.130968))+0-0-0</f>
        <v>859.92198400000007</v>
      </c>
      <c r="Q37" s="3">
        <f>0+(1043.6-168.4)+(0+(-0.532236--0.085884))+0-0-0</f>
        <v>874.75364799999988</v>
      </c>
      <c r="R37" s="3">
        <f>0+(1004.7-149)+(0+(-0.512397--0.07599))+0-0-0</f>
        <v>855.26359300000001</v>
      </c>
      <c r="S37" s="3">
        <f>0+(967.8-126)+(0+(-0.493578--0.06426))+0-0-0</f>
        <v>841.37068199999999</v>
      </c>
      <c r="T37" s="3">
        <f>0+(979.5-144.9)+(0+(0.99909-0.147798))+0-0-0</f>
        <v>835.45129199999997</v>
      </c>
      <c r="U37" s="3">
        <f>0+(969.3-141.1)+(0+(0.988686-0.143922))+0-0-0</f>
        <v>829.04476399999999</v>
      </c>
      <c r="V37" s="3">
        <f>0+(932.2-112.4)+(0+(-1.901688--0.229296))+0-0-0</f>
        <v>818.12760800000012</v>
      </c>
      <c r="W37" s="3">
        <f>0+(884.6-68.7)+(0+(-1.353438--0.105111))+0-0-0</f>
        <v>814.65167299999996</v>
      </c>
      <c r="X37" s="3">
        <f>0+(930.4-127.4)+(0+(-2.37252--0.32487))+0-0-0</f>
        <v>800.95235000000002</v>
      </c>
      <c r="Y37" s="3">
        <f>0+(998.6-184.8)+(0+(-0.509286--0.094248))+0-0-0</f>
        <v>813.38496199999997</v>
      </c>
      <c r="Z37" s="3">
        <f>0+(951.7-100.5)+(0+(-0.485367--0.051255))+0-0-0</f>
        <v>850.76588800000002</v>
      </c>
      <c r="AA37" s="3">
        <f>0+(969.3-131.2)+(0+(-2.471715--0.33456))+0-0-0</f>
        <v>835.9628449999999</v>
      </c>
      <c r="AB37" s="3">
        <f>0+(1019.8-218.6)+(0+(-1.040196--0.222972))+0-0-0</f>
        <v>800.38277599999992</v>
      </c>
      <c r="AC37" s="3">
        <f>0+(1044.3-259.6)+(0+(-2.130372--0.529584))+0-0-0</f>
        <v>783.09921199999997</v>
      </c>
      <c r="AD37">
        <v>827.5</v>
      </c>
      <c r="AE37" s="3">
        <f>0+(945.3-117.8)+(0+(0-0))+0-0-0</f>
        <v>827.5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0+(1067.3-328.1)+(0+(-1.088646--0.334662))+0-0-0</f>
        <v>738.44601599999999</v>
      </c>
      <c r="G38" s="3">
        <f>0+(1040.4-338.9)+(0+(-2.65302--0.864195))+0-0-0</f>
        <v>699.71117500000014</v>
      </c>
      <c r="H38" s="3">
        <f>0+(1073.4-384.5)+(0+(-1.642302--0.588285))+0-0-0</f>
        <v>687.84598300000005</v>
      </c>
      <c r="I38" s="3">
        <f>0+(1073.2-393.1)+(0+(-1.094664--0.400962))+0-0-0</f>
        <v>679.40629799999999</v>
      </c>
      <c r="J38" s="3">
        <f>0+(1079.5-418.9)+(0+(-0.550545--0.213639))+0-0-0</f>
        <v>660.26309400000002</v>
      </c>
      <c r="K38" s="3">
        <f>0+(1094.9-418.7)+(0+(-1.116798--0.427074))+0-0-0</f>
        <v>675.51027600000009</v>
      </c>
      <c r="L38" s="3">
        <f>0+(1085.8-392)+(0+(-2.76879--0.9996))+0-0-0</f>
        <v>692.03080999999997</v>
      </c>
      <c r="M38" s="3">
        <f>0+(988.2-268.4)+(0+(-0.503982--0.136884))+0-0-0</f>
        <v>719.43290200000001</v>
      </c>
      <c r="N38" s="3">
        <f>0+(971.9-208.8)+(0+(-1.487007--0.319464))+0-0-0</f>
        <v>761.93245699999989</v>
      </c>
      <c r="O38" s="3">
        <f>0+(1008.4-202.1)+(0+(-0.514284--0.103071))+0-0-0</f>
        <v>805.88878699999998</v>
      </c>
      <c r="P38" s="3">
        <f>0+(1001.9-182.1)+(0+(-0.510969--0.092871))+0-0-0</f>
        <v>819.38190199999997</v>
      </c>
      <c r="Q38" s="3">
        <f>0+(976.2-153.8)+(0+(-2.48931--0.39219))+0-0-0</f>
        <v>820.30288000000007</v>
      </c>
      <c r="R38" s="3">
        <f>0+(962.1-160.4)+(0+(-0.981342--0.163608))+0-0-0</f>
        <v>800.88226600000007</v>
      </c>
      <c r="S38" s="3">
        <f>0+(958.2-164.7)+(0+(-0.488682--0.083997))+0-0-0</f>
        <v>793.09531500000003</v>
      </c>
      <c r="T38" s="3">
        <f>0+(992.4-194)+(0+(-0.506124--0.09894))+0-0-0</f>
        <v>797.99281599999995</v>
      </c>
      <c r="U38" s="3">
        <f>0+(985.6-186.2)+(0+(-2.51328--0.47481))+0-0-0</f>
        <v>797.36153000000013</v>
      </c>
      <c r="V38" s="3">
        <f>0+(960.2-158.6)+(0+(-0.489702--0.080886))+0-0-0</f>
        <v>801.19118400000002</v>
      </c>
      <c r="W38" s="3">
        <f>0+(925.5-124.9)+(0+(-2.360025--0.318495))+0-0-0</f>
        <v>798.55847000000006</v>
      </c>
      <c r="X38" s="3">
        <f>0+(875-79.1)+(0+(-1.33875--0.121023))+0-0-0</f>
        <v>794.68227300000001</v>
      </c>
      <c r="Y38" s="3">
        <f>0+(1008-237)+(0+(-2.05632--0.48348))+0-0-0</f>
        <v>769.42715999999996</v>
      </c>
      <c r="Z38" s="3">
        <f>0+(971.7-129.8)+(0+(-0.991134--0.132396))+0-0-0</f>
        <v>841.04126200000007</v>
      </c>
      <c r="AA38" s="3">
        <f>0+(970.2-122.8)+(0+(-1.979208--0.250512))+0-0-0</f>
        <v>845.67130400000008</v>
      </c>
      <c r="AB38" s="3">
        <f>0+(958.5-150.5)+(0+(-2.444175--0.383775))+0-0-0</f>
        <v>805.93960000000004</v>
      </c>
      <c r="AC38" s="3">
        <f>0+(933.1-147.4)+(0+(-1.427643--0.225522))+0-0-0</f>
        <v>784.49787900000001</v>
      </c>
      <c r="AD38">
        <v>868.3</v>
      </c>
      <c r="AE38" s="3">
        <f>0+(1000.4-132.1)+(0+(0-0))+0-0-0</f>
        <v>868.3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0+(1025.1-273.2)+(0+(-2.091204--0.557328))+0-0-0</f>
        <v>750.3661239999999</v>
      </c>
      <c r="G39" s="3">
        <f>0+(1108.7-392.9)+(0+(-3.958059--1.402653))+0-0-0</f>
        <v>713.24459400000012</v>
      </c>
      <c r="H39" s="3">
        <f>0+(1130.3-432.7)+(0+(-4.611624--1.765416))+0-0-0</f>
        <v>694.75379199999986</v>
      </c>
      <c r="I39" s="3">
        <f>0+(1133.8-435.9)+(0+(0.578238-0.222309))+0-0-0</f>
        <v>698.25592899999992</v>
      </c>
      <c r="J39" s="3">
        <f>0+(1126.1-432.6)+(0+(-2.297244--0.882504))+0-0-0</f>
        <v>692.08525999999983</v>
      </c>
      <c r="K39" s="3">
        <f>0+(1092-405.9)+(0+(-1.11384--0.414018))+0-0-0</f>
        <v>685.40017799999998</v>
      </c>
      <c r="L39" s="3">
        <f>0+(1080.4-401.2)+(0+(-1.102008--0.409224))+0-0-0</f>
        <v>678.50721600000008</v>
      </c>
      <c r="M39" s="3">
        <f>0+(1099.4-398)+(0+(-0.560694--0.20298))+0-0-0</f>
        <v>701.0422860000001</v>
      </c>
      <c r="N39" s="3">
        <f>0+(1143.2-386.2)+(0+(-1.166064--0.393924))+0-0-0</f>
        <v>756.22785999999996</v>
      </c>
      <c r="O39" s="3">
        <f>0+(1142.5-356.3)+(0+(-0.582675--0.181713))+0-0-0</f>
        <v>785.799038</v>
      </c>
      <c r="P39" s="3">
        <f>0+(1048.8-247)+(0+(-1.604664--0.37791))+0-0-0</f>
        <v>800.57324599999993</v>
      </c>
      <c r="Q39" s="3">
        <f>0+(1022.4-211.8)+(0+(0-0))+0-0-0</f>
        <v>810.59999999999991</v>
      </c>
      <c r="R39" s="3">
        <f>0+(1036.4-236.2)+(0+(-3.171384--0.722772))+0-0-0</f>
        <v>797.75138800000002</v>
      </c>
      <c r="S39" s="3">
        <f>0+(1076.2-316.7)+(0+(0.548862-0.161517))+0-0-0</f>
        <v>759.88734499999998</v>
      </c>
      <c r="T39" s="3">
        <f>0+(1143.8-380.8)+(0+(0-0))+0-0-0</f>
        <v>763</v>
      </c>
      <c r="U39" s="3">
        <f>0+(1071.7-315.1)+(0+(-1.639701--0.482103))+0-0-0</f>
        <v>755.44240200000002</v>
      </c>
      <c r="V39" s="3">
        <f>0+(1033-283.1)+(0+(-1.58049--0.433143))+0-0-0</f>
        <v>748.75265300000001</v>
      </c>
      <c r="W39" s="3">
        <f>0+(1014.3-266.7)+(0+(-1.551879--0.408051))+0-0-0</f>
        <v>746.45617199999992</v>
      </c>
      <c r="X39" s="3">
        <f>0+(957.3-227.9)+(0+(-2.929338--0.697374))+0-0-0</f>
        <v>727.16803600000003</v>
      </c>
      <c r="Y39" s="3">
        <f>0+(900.8-175)+(0+(-1.837632--0.357))+0-0-0</f>
        <v>724.31936799999994</v>
      </c>
      <c r="Z39" s="3">
        <f>0+(970.2-160.6)+(0+(-1.979208--0.327624))+0-0-0</f>
        <v>807.94841600000007</v>
      </c>
      <c r="AA39" s="3">
        <f>0+(998.3-184)+(0+(-1.527399--0.28152))+0-0-0</f>
        <v>813.05412100000001</v>
      </c>
      <c r="AB39" s="3">
        <f>0+(1022.3-231.4)+(0+(-2.085492--0.472056))+0-0-0</f>
        <v>789.286564</v>
      </c>
      <c r="AC39" s="3">
        <f>0+(1015.5-246.9)+(0+(-1.553715--0.377757))+0-0-0</f>
        <v>767.42404199999999</v>
      </c>
      <c r="AD39">
        <v>847.7</v>
      </c>
      <c r="AE39" s="3">
        <f>0+(1004.2-156.5)+(0+(0-0))+0-0-0</f>
        <v>847.7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0+(1061.9-334.7)+(0+(-1.083138--0.341394))+0-0-0</f>
        <v>726.45825600000001</v>
      </c>
      <c r="G40" s="3">
        <f>0+(1106.2-399.7)+(0+(-2.82081--1.019235))+0-0-0</f>
        <v>704.69842500000004</v>
      </c>
      <c r="H40" s="3">
        <f>0+(1085.4-401.4)+(0+(-1.660662--0.614142))+0-0-0</f>
        <v>682.95348000000013</v>
      </c>
      <c r="I40" s="3">
        <f>0+(1055.5-383.2)+(0+(-0.538305--0.195432))+0-0-0</f>
        <v>671.9571269999999</v>
      </c>
      <c r="J40" s="3">
        <f>0+(1033.1-372.1)+(0+(-3.161286--1.138626))+0-0-0</f>
        <v>658.97733999999991</v>
      </c>
      <c r="K40" s="3">
        <f>0+(1038.9-380.8)+(0+(-2.119356--0.776832))+0-0-0</f>
        <v>656.75747600000011</v>
      </c>
      <c r="L40" s="3">
        <f>0+(1027.4-397)+(0+(-1.571922--0.60741))+0-0-0</f>
        <v>629.43548800000008</v>
      </c>
      <c r="M40" s="3">
        <f>0+(1004.7-381.2)+(0+(-0.512397--0.194412))+0-0-0</f>
        <v>623.18201499999998</v>
      </c>
      <c r="N40" s="3">
        <f>0+(1070.8-423.3)+(0+(-1.092216--0.431766))+0-0-0</f>
        <v>646.83955000000003</v>
      </c>
      <c r="O40" s="3">
        <f>0+(1157.8-473.4)+(0+(0-0))+0-0-0</f>
        <v>684.4</v>
      </c>
      <c r="P40" s="3">
        <f>0+(1116.9-407)+(0+(-1.708857--0.62271))+0-0-0</f>
        <v>708.81385300000011</v>
      </c>
      <c r="Q40" s="3">
        <f>0+(1109.8-394.4)+(0+(-1.697994--0.603432))+0-0-0</f>
        <v>714.30543799999998</v>
      </c>
      <c r="R40" s="3">
        <f>0+(1117.3-409.2)+(0+(-1.139646--0.417384))+0-0-0</f>
        <v>707.37773799999991</v>
      </c>
      <c r="S40" s="3">
        <f>0+(1152.4-460)+(0+(-2.350896--0.9384))+0-0-0</f>
        <v>690.98750400000006</v>
      </c>
      <c r="T40" s="3">
        <f>0+(1232.4-553)+(0+(-1.257048--0.56406))+0-0-0</f>
        <v>678.70701200000008</v>
      </c>
      <c r="U40" s="3">
        <f>0+(1237.7-556.6)+(0+(-1.893681--0.851598))+0-0-0</f>
        <v>680.05791699999997</v>
      </c>
      <c r="V40" s="3">
        <f>0+(1212.9-532.5)+(0+(-1.237158--0.54315))+0-0-0</f>
        <v>679.70599200000004</v>
      </c>
      <c r="W40" s="3">
        <f>0+(1173.1-502.4)+(0+(-2.991405--1.28112))+0-0-0</f>
        <v>668.98971499999993</v>
      </c>
      <c r="X40" s="3">
        <f>0+(1129.2-460.7)+(0+(-2.303568--0.939828))+0-0-0</f>
        <v>667.13625999999999</v>
      </c>
      <c r="Y40" s="3">
        <f>0+(1077.4-411.1)+(0+(-1.648422--0.628983))+0-0-0</f>
        <v>665.28056100000003</v>
      </c>
      <c r="Z40" s="3">
        <f>0+(990.5-243.8)+(0+(-2.02062--0.497352))+0-0-0</f>
        <v>745.17673200000002</v>
      </c>
      <c r="AA40" s="3">
        <f>0+(967.3-205.5)+(0+(-0.986646--0.20961))+0-0-0</f>
        <v>761.022964</v>
      </c>
      <c r="AB40" s="3">
        <f>0+(991.9-251.5)+(0+(-1.517607--0.384795))+0-0-0</f>
        <v>739.26718800000003</v>
      </c>
      <c r="AC40" s="3">
        <f>0+(1068.5-355.5)+(0+(-0.544935--0.181305))+0-0-0</f>
        <v>712.63637000000006</v>
      </c>
      <c r="AD40">
        <v>776.5</v>
      </c>
      <c r="AE40" s="3">
        <f>0+(986-209.5)+(0+(0-0))+0-0-0</f>
        <v>776.5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0+(1128.7-446.8)+(0+(-1.151274--0.455736))+0-0-0</f>
        <v>681.20446200000004</v>
      </c>
      <c r="G41" s="3">
        <f>0+(1171.9-509.4)+(0+(-2.390676--1.039176))+0-0-0</f>
        <v>661.14850000000013</v>
      </c>
      <c r="H41" s="3">
        <f>0+(1126.5-483.7)+(0+(-1.723545--0.740061))+0-0-0</f>
        <v>641.81651599999998</v>
      </c>
      <c r="I41" s="3">
        <f>0+(1145.6-511)+(0+(-0.584256--0.26061))+0-0-0</f>
        <v>634.27635399999986</v>
      </c>
      <c r="J41" s="3">
        <f>0+(1141-504.5)+(0+(-4.07337--1.801065))+0-0-0</f>
        <v>634.22769500000004</v>
      </c>
      <c r="K41" s="3">
        <f>0+(1106-464.4)+(0+(-3.38436--1.421064))+0-0-0</f>
        <v>639.63670400000001</v>
      </c>
      <c r="L41" s="3">
        <f>0+(1078.3-412.8)+(0+(-2.199732--0.842112))+0-0-0</f>
        <v>664.14238</v>
      </c>
      <c r="M41" s="3">
        <f>0+(1104.9-394.5)+(0+(-0.563499--0.201195))+0-0-0</f>
        <v>710.0376960000001</v>
      </c>
      <c r="N41" s="3">
        <f>0+(1217.6-436)+(0+(-1.241952--0.44472))+0-0-0</f>
        <v>780.8027679999999</v>
      </c>
      <c r="O41" s="3">
        <f>0+(1223.5-396.3)+(0+(-1.871955--0.606339))+0-0-0</f>
        <v>825.93438400000002</v>
      </c>
      <c r="P41" s="3">
        <f>0+(1219.9-368.6)+(0+(-0.622149--0.187986))+0-0-0</f>
        <v>850.86583700000006</v>
      </c>
      <c r="Q41" s="3">
        <f>0+(1203.3-328.6)+(0+(0-0))+0-0-0</f>
        <v>874.69999999999993</v>
      </c>
      <c r="R41" s="3">
        <f>0+(1164.4-309.7)+(0+(-0.593844--0.157947))+0-0-0</f>
        <v>854.26410300000009</v>
      </c>
      <c r="S41" s="3">
        <f>0+(1136.8-315.8)+(0+(-0.579768--0.161058))+0-0-0</f>
        <v>820.58128999999997</v>
      </c>
      <c r="T41" s="3">
        <f>0+(1171.1-337.7)+(0+(-1.791783--0.516681))+0-0-0</f>
        <v>832.12489799999992</v>
      </c>
      <c r="U41" s="3">
        <f>0+(1194.8-372.2)+(0+(-1.828044--0.569466))+0-0-0</f>
        <v>821.34142199999997</v>
      </c>
      <c r="V41" s="3">
        <f>0+(1234.5-412)+(0+(-1.25919--0.42024))+0-0-0</f>
        <v>821.66105000000005</v>
      </c>
      <c r="W41" s="3">
        <f>0+(1194.2-376.6)+(0+(-1.827126--0.576198))+0-0-0</f>
        <v>816.34907199999998</v>
      </c>
      <c r="X41" s="3">
        <f>0+(1181.3-377.9)+(0+(-2.409852--0.770916))+0-0-0</f>
        <v>801.76106400000003</v>
      </c>
      <c r="Y41" s="3">
        <f>0+(1116.6-320.5)+(0+(-0.569466--0.163455))+0-0-0</f>
        <v>795.69398899999987</v>
      </c>
      <c r="Z41" s="3">
        <f>0+(1006.5-160.6)+(0+(-3.07989--0.491436))+0-0-0</f>
        <v>843.31154600000002</v>
      </c>
      <c r="AA41" s="3">
        <f>0+(1054.8-224.3)+(0+(-2.151792--0.457572))+0-0-0</f>
        <v>828.80578000000003</v>
      </c>
      <c r="AB41" s="3">
        <f>0+(1075.1-275.8)+(0+(-2.741505--0.70329))+0-0-0</f>
        <v>797.26178499999992</v>
      </c>
      <c r="AC41" s="3">
        <f>0+(1142.1-362.4)+(0+(-2.329884--0.739296))+0-0-0</f>
        <v>778.10941199999991</v>
      </c>
      <c r="AD41">
        <v>838.90000000000009</v>
      </c>
      <c r="AE41" s="3">
        <f>0+(1077.7-238.8)+(0+(0-0))+0-0-0</f>
        <v>838.90000000000009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0+(1185.8-441.8)+(0+(-1.814274--0.675954))+0-0-0</f>
        <v>742.86167999999998</v>
      </c>
      <c r="G42" s="3">
        <f>0+(1196.6-479.4)+(0+(-3.661596--1.466964))+0-0-0</f>
        <v>715.00536799999998</v>
      </c>
      <c r="H42" s="3">
        <f>0+(1208.1-500.3)+(0+(-2.464524--1.020612))+0-0-0</f>
        <v>706.356088</v>
      </c>
      <c r="I42" s="3">
        <f>0+(1227.8-522.8)+(0+(0.626178-0.266628))+0-0-0</f>
        <v>705.35955000000001</v>
      </c>
      <c r="J42" s="3">
        <f>0+(1187.2-486.3)+(0+(0.605472-0.248013))+0-0-0</f>
        <v>701.25745900000004</v>
      </c>
      <c r="K42" s="3">
        <f>0+(1190.7-487.7)+(0+(0-0))+0-0-0</f>
        <v>703</v>
      </c>
      <c r="L42" s="3">
        <f>0+(1121.4-425.8)+(0+(-2.85957--1.08579))+0-0-0</f>
        <v>693.82622000000015</v>
      </c>
      <c r="M42" s="3">
        <f>0+(1117.4-388.9)+(0+(-1.709622--0.595017))+0-0-0</f>
        <v>727.38539500000013</v>
      </c>
      <c r="N42" s="3">
        <f>0+(1181.7-404.9)+(0+(-2.410668--0.825996))+0-0-0</f>
        <v>775.21532800000011</v>
      </c>
      <c r="O42" s="3">
        <f>0+(1203.3-406.6)+(0+(0-0))+0-0-0</f>
        <v>796.69999999999993</v>
      </c>
      <c r="P42" s="3">
        <f>0+(1161.3-338.3)+(0+(-1.184526--0.345066))+0-0-0</f>
        <v>822.16053999999997</v>
      </c>
      <c r="Q42" s="3">
        <f>1.3+(1112.1-283.4)+(-0.001989+(-1.701513--0.433602))+0-0-0</f>
        <v>828.73009999999988</v>
      </c>
      <c r="R42" s="3">
        <f>49.7+(1090.9-324.4)+(-0.152082+(-3.338154--0.992664))+0-0-0</f>
        <v>813.70242800000017</v>
      </c>
      <c r="S42" s="3">
        <f>50+(1133.8-393.6)+(-0.102+(-2.312952--0.802944))+0-0-0</f>
        <v>788.58799199999999</v>
      </c>
      <c r="T42" s="3">
        <f>50+(1194.5-485.7)+(-0.153+(-3.65517--1.486242))+0-0-0</f>
        <v>756.478072</v>
      </c>
      <c r="U42" s="3">
        <f>50+(1294.2-566.3)+(-0.102+(-2.640168--1.155252))+0-0-0</f>
        <v>776.31308400000012</v>
      </c>
      <c r="V42" s="3">
        <f>50+(1233.9-505.4)+(-0.1275+(-3.146445--1.28877))+0-0-0</f>
        <v>776.51482500000009</v>
      </c>
      <c r="W42" s="3">
        <f>38.6+(1187.5-460.6)+(-0.078744+(-2.4225--0.939624))+0-0-0</f>
        <v>763.93838000000005</v>
      </c>
      <c r="X42" s="3">
        <f>0+(1152.2-388.5)+(0+(-4.113354--1.386945))+0-0-0</f>
        <v>760.97359100000006</v>
      </c>
      <c r="Y42" s="3">
        <f>0+(1073.2-315.8)+(0+(0-0))+0-0-0</f>
        <v>757.40000000000009</v>
      </c>
      <c r="Z42" s="3">
        <f>0+(1033.3-227.9)+(0+(-2.634915--0.581145))+0-0-0</f>
        <v>803.34622999999999</v>
      </c>
      <c r="AA42" s="3">
        <f>0+(1010.3-207.8)+(0+(-2.061012--0.423912))+0-0-0</f>
        <v>800.86289999999997</v>
      </c>
      <c r="AB42" s="3">
        <f>0+(1011.4-225.9)+(0+(-1.031628--0.230418))+0-0-0</f>
        <v>784.69879000000003</v>
      </c>
      <c r="AC42" s="3">
        <f>0+(1068.7-312.9)+(0+(-1.090074--0.319158))+0-0-0</f>
        <v>755.02908400000001</v>
      </c>
      <c r="AD42">
        <v>820.30000000000007</v>
      </c>
      <c r="AE42" s="3">
        <f>0+(1037.2-216.9)+(0+(0-0))+0-0-0</f>
        <v>820.30000000000007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0+(1047.8-328.7)+(0+(-3.206268--1.005822))+0-0-0</f>
        <v>716.89955399999985</v>
      </c>
      <c r="G43" s="3">
        <f>0+(1023.7-342.6)+(0+(-2.088348--0.698904))+0-0-0</f>
        <v>679.710556</v>
      </c>
      <c r="H43" s="3">
        <f>0+(1060.7-387.4)+(0+(-1.081914--0.395148))+0-0-0</f>
        <v>672.61323400000003</v>
      </c>
      <c r="I43" s="3">
        <f>0+(1079-414.3)+(0+(-1.65087--0.633879))+0-0-0</f>
        <v>663.68300900000008</v>
      </c>
      <c r="J43" s="3">
        <f>0+(1117.3-456.3)+(0+(-0.569823--0.232713))+0-0-0</f>
        <v>660.66288999999995</v>
      </c>
      <c r="K43" s="3">
        <f>0+(1151.1-485.6)+(0+(-2.348244--0.990624))+0-0-0</f>
        <v>664.14237999999989</v>
      </c>
      <c r="L43" s="3">
        <f>0+(1111.2-426.3)+(0+(-3.400272--1.304478))+0-0-0</f>
        <v>682.80420600000014</v>
      </c>
      <c r="M43" s="3">
        <f>0+(1091.5-354.4)+(0+(-1.11333--0.361488))+0-0-0</f>
        <v>736.34815800000001</v>
      </c>
      <c r="N43" s="3">
        <f>0+(1177.2-387)+(0+(-1.801116--0.59211))+0-0-0</f>
        <v>788.990994</v>
      </c>
      <c r="O43" s="3">
        <f>0+(1195.1-369.7)+(0+(-1.828503--0.565641))+0-0-0</f>
        <v>824.13713799999982</v>
      </c>
      <c r="P43" s="3">
        <f>0+(1183.3-347.9)+(0+(-2.413932--0.709716))+0-0-0</f>
        <v>833.695784</v>
      </c>
      <c r="Q43" s="3">
        <f>0+(1165.8-318.5)+(0+(-1.783674--0.487305))+0-0-0</f>
        <v>846.00363099999993</v>
      </c>
      <c r="R43" s="3">
        <f>0+(1157.1-322.5)+(0+(-2.950605--0.822375))+0-0-0</f>
        <v>832.47176999999988</v>
      </c>
      <c r="S43" s="3">
        <f>30.1+(1097.5-312.4)+(-0.015351+(-0.559725--0.159324))+0-0-0</f>
        <v>814.78424800000005</v>
      </c>
      <c r="T43" s="3">
        <f>45+(1098.8-316.3)+(-0.06885+(-1.681164--0.483939))+0-0-0</f>
        <v>826.233925</v>
      </c>
      <c r="U43" s="3">
        <f>45+(1116.3-343.3)+(-0.11475+(-2.846565--0.875415))+0-0-0</f>
        <v>815.91409999999996</v>
      </c>
      <c r="V43" s="3">
        <f>43+(1127.8-357.5)+(-0.10965+(-2.87589--0.911625))+0-0-0</f>
        <v>811.2260849999999</v>
      </c>
      <c r="W43" s="3">
        <f>0+(1183.3-379.1)+(0+(-2.413932--0.773364))+0-0-0</f>
        <v>802.5594319999999</v>
      </c>
      <c r="X43" s="3">
        <f>0+(1126.3-338.2)+(0+(-2.872065--0.86241))+0-0-0</f>
        <v>786.09034499999996</v>
      </c>
      <c r="Y43" s="3">
        <f>0+(1058-291.3)+(0+(0.53958-0.148563))+0-0-0</f>
        <v>767.09101700000008</v>
      </c>
      <c r="Z43" s="3">
        <f>0+(1053.5-214.7)+(0+(-1.07457--0.218994))+0-0-0</f>
        <v>837.94442399999991</v>
      </c>
      <c r="AA43" s="3">
        <f>0+(1043.9-205.7)+(0+(-3.194334--0.629442))+0-0-0</f>
        <v>835.63510800000006</v>
      </c>
      <c r="AB43" s="3">
        <f>0+(1108.9-292.4)+(0+(-3.958773--1.043868))+0-0-0</f>
        <v>813.58509500000014</v>
      </c>
      <c r="AC43" s="3">
        <f>0+(1179.1-380.3)+(0+(-1.804023--0.581859))+0-0-0</f>
        <v>797.57783599999993</v>
      </c>
      <c r="AD43">
        <v>870.5</v>
      </c>
      <c r="AE43" s="3">
        <f>0+(1063.8-193.3)+(0+(0-0))+0-0-0</f>
        <v>870.5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0+(1161.4-407.1)+(0+(0-0))+0-0-0</f>
        <v>754.30000000000007</v>
      </c>
      <c r="G44" s="3">
        <f>0+(1134.4-392.4)+(0+(0-0))+0-0-0</f>
        <v>742.00000000000011</v>
      </c>
      <c r="H44" s="3">
        <f>0+(1169-449.4)+(0+(0-0))+0-0-0</f>
        <v>719.6</v>
      </c>
      <c r="I44" s="3">
        <f>0+(1180-462.6)+(0+(0-0))+0-0-0</f>
        <v>717.4</v>
      </c>
      <c r="J44" s="3">
        <f>0+(1168.4-466)+(0+(-1.787652--0.71298))+0-0-0</f>
        <v>701.32532800000013</v>
      </c>
      <c r="K44" s="3">
        <f>0+(1158.6-454.2)+(0+(-1.181772--0.463284))+0-0-0</f>
        <v>703.68151199999988</v>
      </c>
      <c r="L44" s="3">
        <f>0+(1120.5-413)+(0+(1.14291-0.42126))+0-0-0</f>
        <v>708.22164999999995</v>
      </c>
      <c r="M44" s="3">
        <f>0+(1078.9-334.9)+(0+(1.100478-0.341598))+0-0-0</f>
        <v>744.75888000000009</v>
      </c>
      <c r="N44" s="3">
        <f>0+(1187.9-370.2)+(0+(-0.605829--0.188802))+0-0-0</f>
        <v>817.28297300000008</v>
      </c>
      <c r="O44" s="3">
        <f>0+(1181.9-336.6)+(0+(0-0))+0-0-0</f>
        <v>845.30000000000007</v>
      </c>
      <c r="P44" s="3">
        <f>0+(1155.3-300)+(0+(0-0))+0-0-0</f>
        <v>855.3</v>
      </c>
      <c r="Q44" s="3">
        <f>0+(1186.7-316.8)+(0+(-2.420868--0.646272))+0-0-0</f>
        <v>868.12540400000012</v>
      </c>
      <c r="R44" s="3">
        <f>0+(1175.5-320.1)+(0+(-0.599505--0.163251))+0-0-0</f>
        <v>854.96374600000001</v>
      </c>
      <c r="S44" s="3">
        <f>0+(1153.3-318.4)+(0+(0-0))+0-0-0</f>
        <v>834.9</v>
      </c>
      <c r="T44" s="3">
        <f>0+(1177.7-351)+(0+(-0.600627--0.17901))+0-0-0</f>
        <v>826.27838300000008</v>
      </c>
      <c r="U44" s="3">
        <f>0+(1183.6-350.2)+(0+(-4.225452--1.250214))+0-0-0</f>
        <v>830.42476199999987</v>
      </c>
      <c r="V44" s="3">
        <f>0+(1160.6-332.7)+(0+(-3.551436--1.018062))+0-0-0</f>
        <v>825.36662599999988</v>
      </c>
      <c r="W44" s="3">
        <f>0+(1132.1-286.4)+(0+(-4.041597--1.022448))+0-0-0</f>
        <v>842.68085099999996</v>
      </c>
      <c r="X44" s="3">
        <f>0+(1082.8-266.2)+(0+(-2.76114--0.67881))+0-0-0</f>
        <v>814.51766999999995</v>
      </c>
      <c r="Y44" s="3">
        <f>0+(1078.5-278.9)+(0+(-2.750175--0.711195))+0-0-0</f>
        <v>797.56101999999998</v>
      </c>
      <c r="Z44" s="3">
        <f>0+(963.4-106.6)+(0+(-1.965336--0.217464))+0-0-0</f>
        <v>855.05212799999993</v>
      </c>
      <c r="AA44" s="3">
        <f>0+(972.6-118.5)+(0+(-1.984104--0.24174))+0-0-0</f>
        <v>852.35763600000007</v>
      </c>
      <c r="AB44" s="3">
        <f>0+(982.5-152.8)+(0+(0.501075-0.077928))+0-0-0</f>
        <v>830.12314700000002</v>
      </c>
      <c r="AC44" s="3">
        <f>0+(1069.7-268.6)+(0+(-1.091094--0.273972))+0-0-0</f>
        <v>800.28287799999998</v>
      </c>
      <c r="AD44">
        <v>846.59999999999991</v>
      </c>
      <c r="AE44" s="3">
        <f>0+(967.8-121.2)+(0+(0-0))+0-0-0</f>
        <v>846.59999999999991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0+(1087.7-323)+(0+(0-0))+0-0-0</f>
        <v>764.7</v>
      </c>
      <c r="G45" s="3">
        <f>0+(1126.5-392.6)+(0+(-1.14903--0.400452))+0-0-0</f>
        <v>733.15142200000003</v>
      </c>
      <c r="H45" s="3">
        <f>0+(1158.8-448.9)+(0+(0-0))+0-0-0</f>
        <v>709.9</v>
      </c>
      <c r="I45" s="3">
        <f>0+(1196.9-486.9)+(0+(-1.831257--0.744957))+0-0-0</f>
        <v>708.91370000000006</v>
      </c>
      <c r="J45" s="3">
        <f>0+(1199.4-484.9)+(0+(1.223388-0.494598))+0-0-0</f>
        <v>715.22879000000012</v>
      </c>
      <c r="K45" s="3">
        <f>0+(1171.5-459.8)+(0+(-2.38986--0.937992))+0-0-0</f>
        <v>710.24813200000006</v>
      </c>
      <c r="L45" s="3">
        <f>0+(1174.3-452.2)+(0+(-0.598893--0.230622))+0-0-0</f>
        <v>721.73172899999986</v>
      </c>
      <c r="M45" s="3">
        <f>0+(1114.2-351.4)+(0+(-0.568242--0.179214))+0-0-0</f>
        <v>762.41097200000002</v>
      </c>
      <c r="N45" s="3">
        <f>0+(1081-277.6)+(0+(-0.55131--0.141576))+0-0-0</f>
        <v>802.99026600000002</v>
      </c>
      <c r="O45" s="3">
        <f>0+(1103.2-258.7)+(0+(-1.125264--0.263874))+0-0-0</f>
        <v>843.63860999999997</v>
      </c>
      <c r="P45" s="3">
        <f>0+(1105.8-239.4)+(0+(-1.691874--0.366282))+0-0-0</f>
        <v>865.07440799999995</v>
      </c>
      <c r="Q45" s="3">
        <f>0+(1076.3-209.1)+(0+(0-0))+0-0-0</f>
        <v>867.19999999999993</v>
      </c>
      <c r="R45" s="3">
        <f>0+(1086-224.5)+(0+(-2.7693--0.572475))+0-0-0</f>
        <v>859.30317500000001</v>
      </c>
      <c r="S45" s="3">
        <f>0+(1105.1-263.3)+(0+(0-0))+0-0-0</f>
        <v>841.8</v>
      </c>
      <c r="T45" s="3">
        <f>0+(1167.7-336.3)+(0+(-2.382108--0.686052))+0-0-0</f>
        <v>829.70394400000009</v>
      </c>
      <c r="U45" s="3">
        <f>0+(1168.7-346.1)+(0+(-2.980185--0.882555))+0-0-0</f>
        <v>820.50237000000004</v>
      </c>
      <c r="V45" s="3">
        <f>0+(1165.1-339.2)+(0+(-1.782603--0.518976))+0-0-0</f>
        <v>824.63637299999982</v>
      </c>
      <c r="W45" s="3">
        <f>0+(1094.7-270)+(0+(-1.674891--0.4131))+0-0-0</f>
        <v>823.43820900000003</v>
      </c>
      <c r="X45" s="3">
        <f>0+(1063.3-271.9)+(0+(-2.711415--0.693345))+0-0-0</f>
        <v>789.38193000000001</v>
      </c>
      <c r="Y45" s="3">
        <f>0+(1118.5-342.2)+(0+(-1.711305--0.523566))+0-0-0</f>
        <v>775.11226099999999</v>
      </c>
      <c r="Z45" s="3">
        <f>0+(1046.1-192.5)+(0+(-0.533511--0.098175))+0-0-0</f>
        <v>853.1646639999999</v>
      </c>
      <c r="AA45" s="3">
        <f>0+(1029.7-176.7)+(0+(-2.100588--0.360468))+0-0-0</f>
        <v>851.25987999999995</v>
      </c>
      <c r="AB45" s="3">
        <f>0+(1022.6-187.1)+(0+(-2.60763--0.477105))+0-0-0</f>
        <v>833.36947499999997</v>
      </c>
      <c r="AC45" s="3">
        <f>0+(1060-249.9)+(0+(-1.6218--0.382347))+0-0-0</f>
        <v>808.860547</v>
      </c>
      <c r="AD45">
        <v>861.30000000000007</v>
      </c>
      <c r="AE45" s="3">
        <f>0+(1017.2-155.9)+(0+(0-0))+0-0-0</f>
        <v>861.30000000000007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0+(1092.6-328.6)+(0+(-2.228904--0.670344))+0-0-0</f>
        <v>762.44143999999983</v>
      </c>
      <c r="G46" s="3">
        <f>0+(1143.6-411.9)+(0+(-0.583236--0.210069))+0-0-0</f>
        <v>731.32683299999997</v>
      </c>
      <c r="H46" s="3">
        <f>0+(1171.6-457)+(0+(-0.597516--0.23307))+0-0-0</f>
        <v>714.23555399999987</v>
      </c>
      <c r="I46" s="3">
        <f>0+(1127.6-421.4)+(0+(-0.575076--0.214914))+0-0-0</f>
        <v>705.83983799999999</v>
      </c>
      <c r="J46" s="3">
        <f>0+(1103.5-399.9)+(0+(-2.25114--0.815796))+0-0-0</f>
        <v>702.16465600000004</v>
      </c>
      <c r="K46" s="3">
        <f>0+(1081.9-382.6)+(0+(-4.414152--1.561008))+0-0-0</f>
        <v>696.44685600000003</v>
      </c>
      <c r="L46" s="3">
        <f>0+(1049.8-345.8)+(0+(-1.606194--0.529074))+0-0-0</f>
        <v>702.92287999999996</v>
      </c>
      <c r="M46" s="3">
        <f>0+(996.7-267)+(0+(0-0))+0-0-0</f>
        <v>729.7</v>
      </c>
      <c r="N46" s="3">
        <f>0+(929.5-141.2)+(0+(0-0))+0-0-0</f>
        <v>788.3</v>
      </c>
      <c r="O46" s="3">
        <f>0+(908.9-74.8)+(0+(0.463539-0.038148))+0-0-0</f>
        <v>834.52539100000001</v>
      </c>
      <c r="P46" s="3">
        <f>0+(888.5-48.5)+(0+(-1.359405--0.074205))+0-0-0</f>
        <v>838.71479999999997</v>
      </c>
      <c r="Q46" s="3">
        <f>10.3+(965.9-142)+(-0.015759+(-1.477827--0.21726))+0-0-0</f>
        <v>832.92367399999989</v>
      </c>
      <c r="R46" s="3">
        <f>47.5+(985.8-204.1)+(-0.072675+(-1.508274--0.312273))+0-0-0</f>
        <v>827.9313239999999</v>
      </c>
      <c r="S46" s="3">
        <f>59.1+(951.9-205.4)+(-0.060282+(-0.970938--0.209508))+0-0-0</f>
        <v>804.77828799999997</v>
      </c>
      <c r="T46" s="3">
        <f>0+(1008.9-208.5)+(0+(0.514539-0.106335))+0-0-0</f>
        <v>800.80820399999993</v>
      </c>
      <c r="U46" s="3">
        <f>0+(999.6-212.9)+(0+(-1.529388--0.325737))+0-0-0</f>
        <v>785.49634900000001</v>
      </c>
      <c r="V46" s="3">
        <f>0+(1004.9-222.4)+(0+(-2.049996--0.453696))+0-0-0</f>
        <v>780.90369999999996</v>
      </c>
      <c r="W46" s="3">
        <f>0+(1023-248.2)+(0+(-1.56519--0.379746))+0-0-0</f>
        <v>773.61455599999999</v>
      </c>
      <c r="X46" s="3">
        <f>0+(1000.5-252.1)+(0+(-2.04102--0.514284))+0-0-0</f>
        <v>746.87326399999995</v>
      </c>
      <c r="Y46" s="3">
        <f>0+(1009.9-246.5)+(0+(-0.515049--0.125715))+0-0-0</f>
        <v>763.01066600000001</v>
      </c>
      <c r="Z46" s="3">
        <f>0+(979.2-169.2)+(0+(-2.49696--0.43146))+0-0-0</f>
        <v>807.93449999999996</v>
      </c>
      <c r="AA46" s="3">
        <f>0+(1009.5-200.8)+(0+(-1.544535--0.307224))+0-0-0</f>
        <v>807.46268900000007</v>
      </c>
      <c r="AB46" s="3">
        <f>0+(1020.5-235.3)+(0+(-1.561365--0.360009))+0-0-0</f>
        <v>783.99864400000001</v>
      </c>
      <c r="AC46" s="3">
        <f>0+(1070-291.7)+(0+(-1.0914--0.297534))+0-0-0</f>
        <v>777.50613399999997</v>
      </c>
      <c r="AD46">
        <v>818.8</v>
      </c>
      <c r="AE46" s="3">
        <f>0+(1026.5-207.7)+(0+(0-0))+0-0-0</f>
        <v>818.8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0+(1100.9-347.1)+(0+(-1.684377--0.531063))+0-0-0</f>
        <v>752.64668600000005</v>
      </c>
      <c r="G47" s="3">
        <f>0+(982.4-269.2)+(0+(-1.503072--0.411876))+0-0-0</f>
        <v>712.10880400000008</v>
      </c>
      <c r="H47" s="3">
        <f>0+(1016.7-307.9)+(0+(0-0))+0-0-0</f>
        <v>708.80000000000007</v>
      </c>
      <c r="I47" s="3">
        <f>0+(1026-333.9)+(0+(-2.6163--0.851445))+0-0-0</f>
        <v>690.33514500000001</v>
      </c>
      <c r="J47" s="3">
        <f>0+(1003.8-311.8)+(0+(1.023876-0.318036))+0-0-0</f>
        <v>692.70583999999997</v>
      </c>
      <c r="K47" s="3">
        <f>0+(754.3-73.4)+(0+(-1.538772--0.149736))+0-0-0</f>
        <v>679.51096399999994</v>
      </c>
      <c r="L47" s="3">
        <f>0+(683.7-45)+(0+(0.348687-0.02295))+0-0-0</f>
        <v>639.02573700000005</v>
      </c>
      <c r="M47" s="3">
        <f>0+(691.7-40)+(0+(0-0))+0-0-0</f>
        <v>651.70000000000005</v>
      </c>
      <c r="N47" s="3">
        <f>0+(715.5-22)+(0+(-0.364905--0.01122))+0-0-0</f>
        <v>693.14631499999996</v>
      </c>
      <c r="O47" s="3">
        <f>0+(758.9-17.7)+(0+(0-0))+0-0-0</f>
        <v>741.19999999999993</v>
      </c>
      <c r="P47" s="3">
        <f>0+(833.8-62.1)+(0+(-0.425238--0.031671))+0-0-0</f>
        <v>771.30643299999997</v>
      </c>
      <c r="Q47" s="3">
        <f>0+(867.5-96.6)+(0+(0.442425-0.049266))+0-0-0</f>
        <v>771.29315899999995</v>
      </c>
      <c r="R47" s="3">
        <f>0+(927.3-157)+(0+(-0.945846--0.16014))+0-0-0</f>
        <v>769.51429399999995</v>
      </c>
      <c r="S47" s="3">
        <f>0+(990.9-244.9)+(0+(-1.010718--0.249798))+0-0-0</f>
        <v>745.23907999999994</v>
      </c>
      <c r="T47" s="3">
        <f>0+(1008.1-273.1)+(0+(-1.542393--0.417843))+0-0-0</f>
        <v>733.87545</v>
      </c>
      <c r="U47" s="3">
        <f>0+(1029.4-301.4)+(0+(-2.099976--0.614856))+0-0-0</f>
        <v>726.51488000000006</v>
      </c>
      <c r="V47" s="3">
        <f>0+(1049.2-319.5)+(0+(-2.67546--0.814725))+0-0-0</f>
        <v>727.83926500000007</v>
      </c>
      <c r="W47" s="3">
        <f>0+(1058.4-332.9)+(0+(-2.159136--0.679116))+0-0-0</f>
        <v>724.01998000000015</v>
      </c>
      <c r="X47" s="3">
        <f>0+(1024.5-303.4)+(0+(-2.612475--0.77367))+0-0-0</f>
        <v>719.26119500000004</v>
      </c>
      <c r="Y47" s="3">
        <f>0+(969.5-239.4)+(0+(-1.97778--0.488376))+0-0-0</f>
        <v>728.61059599999999</v>
      </c>
      <c r="Z47" s="3">
        <f>0+(984.3-190.5)+(0+(-2.509965--0.485775))+0-0-0</f>
        <v>791.77580999999998</v>
      </c>
      <c r="AA47" s="3">
        <f>0+(1025.8-227.7)+(0+(-2.61579--0.580635))+0-0-0</f>
        <v>796.06484499999988</v>
      </c>
      <c r="AB47" s="3">
        <f>0+(1049.7-275.3)+(0+(-1.070694--0.280806))+0-0-0</f>
        <v>773.61011200000007</v>
      </c>
      <c r="AC47" s="3">
        <f>0+(1060.3-302.1)+(0+(-1.622259--0.462213))+0-0-0</f>
        <v>757.03995399999997</v>
      </c>
      <c r="AD47">
        <v>813.90000000000009</v>
      </c>
      <c r="AE47" s="3">
        <f>0+(1014.1-200.2)+(0+(0-0))+0-0-0</f>
        <v>813.90000000000009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0+(1065.9-342.1)+(0+(-2.174436--0.697884))+0-0-0</f>
        <v>722.3234480000001</v>
      </c>
      <c r="G48" s="3">
        <f>0+(1041.4-357.1)+(0+(-2.65557--0.910605))+0-0-0</f>
        <v>682.55503500000009</v>
      </c>
      <c r="H48" s="3">
        <f>0+(1000.3-330.6)+(0+(-2.040612--0.674424))+0-0-0</f>
        <v>668.33381199999997</v>
      </c>
      <c r="I48" s="3">
        <f>0+(958.9-306.2)+(0+(-1.467117--0.468486))+0-0-0</f>
        <v>651.701369</v>
      </c>
      <c r="J48" s="3">
        <f>0+(952.6-304.5)+(0+(-1.943304--0.62118))+0-0-0</f>
        <v>646.77787599999999</v>
      </c>
      <c r="K48" s="3">
        <f>0+(928.3-285.8)+(0+(-1.420299--0.437274))+0-0-0</f>
        <v>641.516975</v>
      </c>
      <c r="L48" s="3">
        <f>0+(916.7-286.7)+(0+(-2.337585--0.731085))+0-0-0</f>
        <v>628.39350000000002</v>
      </c>
      <c r="M48" s="3">
        <f>0+(891.5-249.3)+(0+(0.90933-0.254286))+0-0-0</f>
        <v>642.85504400000002</v>
      </c>
      <c r="N48" s="3">
        <f>0+(854.7-188.2)+(0+(-0.435897--0.095982))+0-0-0</f>
        <v>666.16008499999998</v>
      </c>
      <c r="O48" s="3">
        <f>0+(941.5-222.3)+(0+(-0.96033--0.226746))+0-0-0</f>
        <v>718.46641600000009</v>
      </c>
      <c r="P48" s="3">
        <f>0+(991.2-243)+(0+(-2.022048--0.49572))+0-0-0</f>
        <v>746.67367200000001</v>
      </c>
      <c r="Q48" s="3">
        <f>0+(994.9-226.9)+(0+(-1.522197--0.347157))+0-0-0</f>
        <v>766.82496000000003</v>
      </c>
      <c r="R48" s="3">
        <f>0+(967.8-220.2)+(0+(-1.974312--0.449208))+0-0-0</f>
        <v>746.07489599999985</v>
      </c>
      <c r="S48" s="3">
        <f>0+(991.2-255.6)+(0+(-2.52756--0.65178))+0-0-0</f>
        <v>733.72422000000006</v>
      </c>
      <c r="T48" s="3">
        <f>0+(985-269.9)+(0+(-1.0047--0.275298))+0-0-0</f>
        <v>714.37059799999997</v>
      </c>
      <c r="U48" s="3">
        <f>0+(985.3-271.6)+(0+(-2.010012--0.554064))+0-0-0</f>
        <v>712.2440519999999</v>
      </c>
      <c r="V48" s="3">
        <f>0+(940.8-228.7)+(0+(0-0))+0-0-0</f>
        <v>712.09999999999991</v>
      </c>
      <c r="W48" s="3">
        <f>0+(922.5-210.8)+(0+(-1.411425--0.322524))+0-0-0</f>
        <v>710.61109900000008</v>
      </c>
      <c r="X48" s="3">
        <f>0+(901.8-182.4)+(0+(-1.839672--0.372096))+0-0-0</f>
        <v>717.93242399999997</v>
      </c>
      <c r="Y48" s="3">
        <f>0+(879.4-166.1)+(0+(-1.793976--0.338844))+0-0-0</f>
        <v>711.84486799999991</v>
      </c>
      <c r="Z48" s="3">
        <f>0+(887.5-105.7)+(0+(-1.357875--0.161721))+0-0-0</f>
        <v>780.60384599999998</v>
      </c>
      <c r="AA48" s="3">
        <f>0+(909-125.5)+(0+(-1.85436--0.25602))+0-0-0</f>
        <v>781.90165999999999</v>
      </c>
      <c r="AB48" s="3">
        <f>0+(969.7-209.5)+(0+(-0.989094--0.21369))+0-0-0</f>
        <v>759.42459600000007</v>
      </c>
      <c r="AC48" s="3">
        <f>0+(999.9-252.6)+(0+(-2.039796--0.515304))+0-0-0</f>
        <v>745.77550799999995</v>
      </c>
      <c r="AD48">
        <v>793</v>
      </c>
      <c r="AE48" s="3">
        <f>0+(899.8-106.8)+(0+(0-0))+0-0-0</f>
        <v>793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0+(999-294.2)+(0+(0-0))+0-0-0</f>
        <v>704.8</v>
      </c>
      <c r="G49" s="3">
        <f>0+(994.6-318.4)+(0+(-0.507246--0.162384))+0-0-0</f>
        <v>675.85513800000001</v>
      </c>
      <c r="H49" s="3">
        <f>0+(998.5-340.7)+(0+(-3.564645--1.216299))+0-0-0</f>
        <v>655.45165399999996</v>
      </c>
      <c r="I49" s="3">
        <f>0+(958.5-309.3)+(0+(-1.466505--0.473229))+0-0-0</f>
        <v>648.20672400000001</v>
      </c>
      <c r="J49" s="3">
        <f>0+(955.5-310.2)+(0+(0-0))+0-0-0</f>
        <v>645.29999999999995</v>
      </c>
      <c r="K49" s="3">
        <f>0+(977.4-327.5)+(0+(-0.498474--0.167025))+0-0-0</f>
        <v>649.56855099999996</v>
      </c>
      <c r="L49" s="3">
        <f>0+(999.1-320.2)+(0+(-0.509541--0.163302))+0-0-0</f>
        <v>678.55376100000012</v>
      </c>
      <c r="M49" s="3">
        <f>0+(1068.2-331.6)+(0+(0.544782-0.169116))+0-0-0</f>
        <v>736.97566600000005</v>
      </c>
      <c r="N49" s="3">
        <f>0+(1170.5-372)+(0+(1.19391-0.37944))+0-0-0</f>
        <v>799.31447000000003</v>
      </c>
      <c r="O49" s="3">
        <f>0+(1215.2-365.8)+(0+(0-0))+0-0-0</f>
        <v>849.40000000000009</v>
      </c>
      <c r="P49" s="3">
        <f>0+(1205-324.1)+(0+(0-0))+0-0-0</f>
        <v>880.9</v>
      </c>
      <c r="Q49" s="3">
        <f>0+(1205.9-327.1)+(0+(0.615009-0.166821))+0-0-0</f>
        <v>879.24818800000003</v>
      </c>
      <c r="R49" s="3">
        <f>0+(1251.8-369.9)+(0+(1.276836-0.377298))+0-0-0</f>
        <v>882.79953799999998</v>
      </c>
      <c r="S49" s="3">
        <f>0+(1248.6-395.8)+(0+(-0.636786--0.201858))+0-0-0</f>
        <v>852.36507199999994</v>
      </c>
      <c r="T49" s="3">
        <f>0+(1258.4-407.3)+(0+(0-0))+0-0-0</f>
        <v>851.10000000000014</v>
      </c>
      <c r="U49" s="3">
        <f>0+(1284.8-434)+(0+(0-0))+0-0-0</f>
        <v>850.8</v>
      </c>
      <c r="V49" s="3">
        <f>0+(1292.5-459.8)+(0+(-2.6367--0.937992))+0-0-0</f>
        <v>831.00129200000003</v>
      </c>
      <c r="W49" s="3">
        <f>0+(1239.5-417.1)+(0+(-2.52858--0.850884))+0-0-0</f>
        <v>820.72230400000001</v>
      </c>
      <c r="X49" s="3">
        <f>0+(1138.5-332.4)+(0+(-4.64508--1.356192))+0-0-0</f>
        <v>802.81111199999998</v>
      </c>
      <c r="Y49" s="3">
        <f>0+(1051-259)+(0+(-2.68005--0.66045))+0-0-0</f>
        <v>789.98040000000003</v>
      </c>
      <c r="Z49" s="3">
        <f>0+(1073.6-213.2)+(0+(-1.642608--0.326196))+0-0-0</f>
        <v>859.08358799999985</v>
      </c>
      <c r="AA49" s="3">
        <f>0+(1060-190.9)+(0+(-3.2436--0.584154))+0-0-0</f>
        <v>866.44055400000002</v>
      </c>
      <c r="AB49" s="3">
        <f>0+(1016.5-190.7)+(0+(-1.03683--0.194514))+0-0-0</f>
        <v>824.95768399999997</v>
      </c>
      <c r="AC49" s="3">
        <f>0+(1055.7-255.4)+(0+(-1.076814--0.260508))+0-0-0</f>
        <v>799.48369400000001</v>
      </c>
      <c r="AD49">
        <v>870</v>
      </c>
      <c r="AE49" s="3">
        <f>0+(1051.3-181.3)+(0+(0-0))+0-0-0</f>
        <v>870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0+(1071.4-288.9)+(0+(-2.73207--0.736695))+0-0-0</f>
        <v>780.50462500000015</v>
      </c>
      <c r="G50" s="3">
        <f>0+(995.1-245.1)+(0+(-1.015002--0.250002))+0-0-0</f>
        <v>749.23500000000001</v>
      </c>
      <c r="H50" s="3">
        <f>0+(1018.9-282.4)+(0+(-1.039278--0.288048))+0-0-0</f>
        <v>735.74877000000004</v>
      </c>
      <c r="I50" s="3">
        <f>0+(1042.7-310.7)+(0+(0-0))+0-0-0</f>
        <v>732</v>
      </c>
      <c r="J50" s="3">
        <f>0+(1063.2-333.8)+(0+(1.084464-0.340476))+0-0-0</f>
        <v>730.14398800000004</v>
      </c>
      <c r="K50" s="3">
        <f>0+(1054.3-322.8)+(0+(-2.688465--0.82314))+0-0-0</f>
        <v>729.63467500000002</v>
      </c>
      <c r="L50" s="3">
        <f>0+(1053.1-319)+(0+(-2.685405--0.81345))+0-0-0</f>
        <v>732.22804499999995</v>
      </c>
      <c r="M50" s="3">
        <f>0+(1087.1-308.8)+(0+(0-0))+0-0-0</f>
        <v>778.3</v>
      </c>
      <c r="N50" s="3">
        <f>0+(1186.3-351.7)+(0+(-1.210026--0.358734))+0-0-0</f>
        <v>833.74870799999997</v>
      </c>
      <c r="O50" s="3">
        <f>0+(1195.7-315.4)+(0+(-2.439228--0.643416))+0-0-0</f>
        <v>878.50418800000011</v>
      </c>
      <c r="P50" s="3">
        <f>0+(1186.3-285.7)+(0+(-0.605013--0.145707))+0-0-0</f>
        <v>900.14069399999994</v>
      </c>
      <c r="Q50" s="3">
        <f>0+(1171.1-264.2)+(0+(0-0))+0-0-0</f>
        <v>906.89999999999986</v>
      </c>
      <c r="R50" s="3">
        <f>0+(1169.5-274.2)+(0+(-2.38578--0.559368))+0-0-0</f>
        <v>893.47358799999995</v>
      </c>
      <c r="S50" s="3">
        <f>0+(1239-374.7)+(0+(-3.79134--1.146582))+0-0-0</f>
        <v>861.65524199999993</v>
      </c>
      <c r="T50" s="3">
        <f>0+(1291.4-420.9)+(0+(-2.634456--0.858636))+0-0-0</f>
        <v>868.72418000000016</v>
      </c>
      <c r="U50" s="3">
        <f>0+(1265.8-409.4)+(0+(0-0))+0-0-0</f>
        <v>856.4</v>
      </c>
      <c r="V50" s="3">
        <f>0+(1183.2-335.9)+(0+(-3.01716--0.856545))+0-0-0</f>
        <v>845.13938500000006</v>
      </c>
      <c r="W50" s="3">
        <f>0+(1157.8-313)+(0+(-2.95239--0.79815))+0-0-0</f>
        <v>842.64576</v>
      </c>
      <c r="X50" s="3">
        <f>0+(1091.1-241.7)+(0+(-2.225844--0.493068))+0-0-0</f>
        <v>847.66722399999992</v>
      </c>
      <c r="Y50" s="3">
        <f>0+(1020.1-187.5)+(0+(-0.520251--0.095625))+0-0-0</f>
        <v>832.17537400000003</v>
      </c>
      <c r="Z50" s="3">
        <f>0+(1038.1-155.6)+(0+(-0.529431--0.079356))+0-0-0</f>
        <v>882.04992499999992</v>
      </c>
      <c r="AA50" s="3">
        <f>0+(984.1-90)+(0+(-0.501891--0.0459))+0-0-0</f>
        <v>893.64400899999998</v>
      </c>
      <c r="AB50" s="3">
        <f>0+(1035.2-177)+(0+(-0.527952--0.09027))+0-0-0</f>
        <v>857.76231800000005</v>
      </c>
      <c r="AC50" s="3">
        <f>0+(1107-267.2)+(0+(-2.82285--0.68136))+0-0-0</f>
        <v>837.65850999999998</v>
      </c>
      <c r="AD50">
        <v>883.4</v>
      </c>
      <c r="AE50" s="3">
        <f>0+(992.1-108.7)+(0+(0-0))+0-0-0</f>
        <v>883.4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0+(1121.1-346.8)+(0+(-1.143522--0.353736))+0-0-0</f>
        <v>773.51021399999991</v>
      </c>
      <c r="G51" s="3">
        <f>0+(1108.8-363.1)+(0+(-2.261952--0.740724))+0-0-0</f>
        <v>744.17877199999998</v>
      </c>
      <c r="H51" s="3">
        <f>0+(1125.1-383.2)+(0+(0-0))+0-0-0</f>
        <v>741.89999999999986</v>
      </c>
      <c r="I51" s="3">
        <f>0+(1100.4-365.8)+(0+(-2.80602--0.93279))+0-0-0</f>
        <v>732.7267700000001</v>
      </c>
      <c r="J51" s="3">
        <f>0+(1088.6-353.8)+(0+(-2.77593--0.90219))+0-0-0</f>
        <v>732.92625999999996</v>
      </c>
      <c r="K51" s="3">
        <f>0+(1109.6-380.1)+(0+(-1.131792--0.387702))+0-0-0</f>
        <v>728.75590999999986</v>
      </c>
      <c r="L51" s="3">
        <f>0+(1069.7-333.1)+(0+(-3.818829--1.189167))+0-0-0</f>
        <v>733.97033799999997</v>
      </c>
      <c r="M51" s="3">
        <f>0+(1108.8-313.3)+(0+(1.696464-0.479349))+0-0-0</f>
        <v>796.71711500000004</v>
      </c>
      <c r="N51" s="3">
        <f>0+(1157.2-298.5)+(0+(1.180344-0.30447))+0-0-0</f>
        <v>859.575874</v>
      </c>
      <c r="O51" s="3">
        <f>0+(1130.4-247.3)+(0+(-1.153008--0.252246))+0-0-0</f>
        <v>882.19923800000015</v>
      </c>
      <c r="P51" s="3">
        <f>0+(1132.2-229.4)+(0+(-1.732266--0.350982))+0-0-0</f>
        <v>901.41871600000002</v>
      </c>
      <c r="Q51" s="3">
        <f>0+(1111.5-187.4)+(0+(0.566865-0.095574))+0-0-0</f>
        <v>924.57129099999997</v>
      </c>
      <c r="R51" s="3">
        <f>0+(1107.4-191.2)+(0+(-1.129548--0.195024))+0-0-0</f>
        <v>915.26547600000004</v>
      </c>
      <c r="S51" s="3">
        <f>0+(1176.7-301.1)+(0+(-1.200234--0.307122))+0-0-0</f>
        <v>874.70688800000005</v>
      </c>
      <c r="T51" s="3">
        <f>0+(1209.2-341.5)+(0+(-1.233384--0.34833))+0-0-0</f>
        <v>866.81494600000008</v>
      </c>
      <c r="U51" s="3">
        <f>0+(1201.6-340.2)+(0+(-3.06408--0.86751))+0-0-0</f>
        <v>859.20342999999991</v>
      </c>
      <c r="V51" s="3">
        <f>0+(1218.2-365.2)+(0+(-1.242564--0.372504))+0-0-0</f>
        <v>852.12994000000003</v>
      </c>
      <c r="W51" s="3">
        <f>0+(1188.4-345.9)+(0+(-4.242588--1.234863))+0-0-0</f>
        <v>839.49227500000006</v>
      </c>
      <c r="X51" s="3">
        <f>0+(1112.1-306.1)+(0+(-3.970197--1.092777))+0-0-0</f>
        <v>803.12257999999986</v>
      </c>
      <c r="Y51" s="3">
        <f>0+(1065.9-278.2)+(0+(-1.087218--0.283764))+0-0-0</f>
        <v>786.89654600000006</v>
      </c>
      <c r="Z51" s="3">
        <f>0+(1045.9-176.1)+(0+(-1.600227--0.269433))+0-0-0</f>
        <v>868.4692060000001</v>
      </c>
      <c r="AA51" s="3">
        <f>0+(1069.6-176.2)+(0+(-2.72748--0.44931))+0-0-0</f>
        <v>891.12182999999982</v>
      </c>
      <c r="AB51" s="3">
        <f>0+(1068.7-203.6)+(0+(0-0))+0-0-0</f>
        <v>865.1</v>
      </c>
      <c r="AC51" s="3">
        <f>0+(1100.3-285.7)+(0+(-3.366918--0.874242))+0-0-0</f>
        <v>812.10732399999995</v>
      </c>
      <c r="AD51">
        <v>896.19999999999993</v>
      </c>
      <c r="AE51" s="3">
        <f>0+(1094.3-198.1)+(0+(0-0))+0-0-0</f>
        <v>896.19999999999993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0+(1163.6-379.1)+(0+(0-0))+0-0-0</f>
        <v>784.49999999999989</v>
      </c>
      <c r="G52" s="3">
        <f>0+(1172.3-425.8)+(0+(-2.391492--0.868632))+0-0-0</f>
        <v>744.97713999999996</v>
      </c>
      <c r="H52" s="3">
        <f>0+(1200-472.5)+(0+(-1.836--0.722925))+0-0-0</f>
        <v>726.38692500000002</v>
      </c>
      <c r="I52" s="3">
        <f>0+(1180.6-460.8)+(0+(-1.204212--0.470016))+0-0-0</f>
        <v>719.06580399999996</v>
      </c>
      <c r="J52" s="3">
        <f>0+(1132.2-404.6)+(0+(-2.309688--0.825384))+0-0-0</f>
        <v>726.11569600000007</v>
      </c>
      <c r="K52" s="3">
        <f>0+(1102.5-390.5)+(0+(-2.811375--0.995775))+0-0-0</f>
        <v>710.18439999999998</v>
      </c>
      <c r="L52" s="3">
        <f>0+(1094.2-370.4)+(0+(-1.116084--0.377808))+0-0-0</f>
        <v>723.06172400000003</v>
      </c>
      <c r="M52" s="3">
        <f>0+(1148.5-362.8)+(0+(-3.51441--1.110168))+0-0-0</f>
        <v>783.29575800000009</v>
      </c>
      <c r="N52" s="3">
        <f>0+(1173.1-319.3)+(0+(1.196562-0.325686))+0-0-0</f>
        <v>854.67087599999991</v>
      </c>
      <c r="O52" s="3">
        <f>0+(1121.4-232.1)+(0+(0-0))+0-0-0</f>
        <v>889.30000000000007</v>
      </c>
      <c r="P52" s="3">
        <f>0+(1114.4-210.9)+(0+(-1.136688--0.215118))+0-0-0</f>
        <v>902.57843000000014</v>
      </c>
      <c r="Q52" s="3">
        <f>0+(1144.8-225.8)+(0+(-1.167696--0.230316))+0-0-0</f>
        <v>918.06262000000004</v>
      </c>
      <c r="R52" s="3">
        <f>0+(1187.7-278.7)+(0+(-1.211454--0.284274))+0-0-0</f>
        <v>908.07281999999998</v>
      </c>
      <c r="S52" s="3">
        <f>0+(1218.7-335.7)+(0+(0-0))+0-0-0</f>
        <v>883</v>
      </c>
      <c r="T52" s="3">
        <f>0+(1312.4-433.7)+(0+(0.669324-0.221187))+0-0-0</f>
        <v>879.14813700000002</v>
      </c>
      <c r="U52" s="3">
        <f>0+(1331.4-444.5)+(0+(-0.679014--0.226695))+0-0-0</f>
        <v>886.4476810000001</v>
      </c>
      <c r="V52" s="3">
        <f>0+(1345.6-463)+(0+(-3.43128--1.18065))+0-0-0</f>
        <v>880.34936999999991</v>
      </c>
      <c r="W52" s="3">
        <f>0+(1332-467.2)+(0+(-4.75524--1.667904))+0-0-0</f>
        <v>861.7126639999999</v>
      </c>
      <c r="X52" s="3">
        <f>0+(1291.1-459.4)+(0+(-2.633844--0.937176))+0-0-0</f>
        <v>830.00333199999989</v>
      </c>
      <c r="Y52" s="3">
        <f>0+(1214.1-394.1)+(0+(-3.095955--1.004955))+0-0-0</f>
        <v>817.90899999999988</v>
      </c>
      <c r="Z52" s="3">
        <f>0+(1192.3-306.8)+(0+(-1.824219--0.469404))+0-0-0</f>
        <v>884.14518499999997</v>
      </c>
      <c r="AA52" s="3">
        <f>0+(1168.8-289.8)+(0+(0-0))+0-0-0</f>
        <v>879</v>
      </c>
      <c r="AB52" s="3">
        <f>0+(1197.2-348.2)+(0+(-0.610572--0.177582))+0-0-0</f>
        <v>848.56700999999998</v>
      </c>
      <c r="AC52" s="3">
        <f>0+(1239.8-393)+(0+(-0.632298--0.20043))+0-0-0</f>
        <v>846.36813199999995</v>
      </c>
      <c r="AD52">
        <v>890.5</v>
      </c>
      <c r="AE52" s="3">
        <f>0+(1172-281.5)+(0+(0-0))+0-0-0</f>
        <v>890.5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0+(1188-394)+(0+(-0.60588--0.20094))+0-0-0</f>
        <v>793.59505999999999</v>
      </c>
      <c r="G53" s="3">
        <f>0+(1143.2-383.2)+(0+(-1.749096--0.586296))+0-0-0</f>
        <v>758.83720000000005</v>
      </c>
      <c r="H53" s="3">
        <f>0+(1086-348.2)+(0+(-2.7693--0.88791))+0-0-0</f>
        <v>735.91860999999994</v>
      </c>
      <c r="I53" s="3">
        <f>0+(1092.5-354.5)+(0+(-2.785875--0.903975))+0-0-0</f>
        <v>736.11810000000003</v>
      </c>
      <c r="J53" s="3">
        <f>0+(1117.8-386)+(0+(0.570078-0.19686))+0-0-0</f>
        <v>732.17321799999991</v>
      </c>
      <c r="K53" s="3">
        <f>0+(1106.9-374.4)+(0+(-0.564519--0.190944))+0-0-0</f>
        <v>732.12642500000015</v>
      </c>
      <c r="L53" s="3">
        <f>0+(1076-349.2)+(0+(-2.19504--0.712368))+0-0-0</f>
        <v>725.31732799999997</v>
      </c>
      <c r="M53" s="3">
        <f>0+(1044.1-280.5)+(0+(1.064982-0.28611))+0-0-0</f>
        <v>764.37887199999989</v>
      </c>
      <c r="N53" s="3">
        <f>0+(1044.6-230.6)+(0+(1.065492-0.235212))+0-0-0</f>
        <v>814.8302799999999</v>
      </c>
      <c r="O53" s="3">
        <f>42+(1069.7-250.5)+(0.02142+(0.545547-0.127755))+0-0-0</f>
        <v>861.63921200000004</v>
      </c>
      <c r="P53" s="3">
        <f>115.8+(1036.5-269.1)+(-0.059058+(-0.528615--0.137241))+0-0-0</f>
        <v>882.74956799999995</v>
      </c>
      <c r="Q53" s="3">
        <f>117.7+(1052.7-278.8)+(-0.180081+(-1.610631--0.426564))+0-0-0</f>
        <v>890.23585200000014</v>
      </c>
      <c r="R53" s="3">
        <f>117.2+(1044.5-282.7)+(-0.119544+(-1.06539--0.288354))+0-0-0</f>
        <v>878.10342000000003</v>
      </c>
      <c r="S53" s="3">
        <f>116.6+(1059.2-326.8)+(-0.118932+(-1.080384--0.333336))+0-0-0</f>
        <v>848.13402000000008</v>
      </c>
      <c r="T53" s="3">
        <f>116.4+(1149.5-414.5)+(-0.059364+(-0.586245--0.211395))+0-0-0</f>
        <v>850.96578599999998</v>
      </c>
      <c r="U53" s="3">
        <f>116+(1183.6-452.8)+(-0.2958+(-3.01818--1.15464))+0-0-0</f>
        <v>844.64065999999991</v>
      </c>
      <c r="V53" s="3">
        <f>115.5+(1150-432.8)+(-0.058905+(-0.5865--0.220728))+0-0-0</f>
        <v>832.27532300000007</v>
      </c>
      <c r="W53" s="3">
        <f>98.5+(1074.6-357)+(-0.351645+(-3.836322--1.27449))+0-0-0</f>
        <v>813.18652299999997</v>
      </c>
      <c r="X53" s="3">
        <f>44+(1072-314.5)+(-0.08976+(-2.18688--0.64158))+0-0-0</f>
        <v>799.86494000000005</v>
      </c>
      <c r="Y53" s="3">
        <f>44+(1062.3-319.8)+(-0.08976+(-2.167092--0.652392))+0-0-0</f>
        <v>784.89553999999998</v>
      </c>
      <c r="Z53" s="3">
        <f>86.8+(954.5-199.3)+(-0.132804+(-1.460385--0.304929))+0-0-0</f>
        <v>840.71173999999996</v>
      </c>
      <c r="AA53" s="3">
        <f>106.4+(900.3-152.6)+(-0.217056+(-1.836612--0.311304))+0-0-0</f>
        <v>852.35763599999996</v>
      </c>
      <c r="AB53" s="3">
        <f>13+(1000.6-181.3)+(-0.01326+(-1.020612--0.184926))+0-0-0</f>
        <v>831.451054</v>
      </c>
      <c r="AC53" s="3">
        <f>0+(1078.5-258.5)+(0+(-2.20014--0.52734))+0-0-0</f>
        <v>818.32719999999995</v>
      </c>
      <c r="AD53">
        <v>882.10000000000014</v>
      </c>
      <c r="AE53" s="3">
        <f>120+(910.9-148.8)+(0+(0-0))+0-0-0</f>
        <v>882.09999999999991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0+(1048-249.8)+(0+(-1.60344--0.382194))+0-0-0</f>
        <v>796.97875400000009</v>
      </c>
      <c r="G54" s="3">
        <f>0+(1103.6-342.4)+(0+(-1.688508--0.523872))+0-0-0</f>
        <v>760.03536399999996</v>
      </c>
      <c r="H54" s="3">
        <f>0+(1176.9-437.3)+(0+(-2.400876--0.892092))+0-0-0</f>
        <v>738.09121600000014</v>
      </c>
      <c r="I54" s="3">
        <f>0+(1184.3-458.7)+(0+(0-0))+0-0-0</f>
        <v>725.59999999999991</v>
      </c>
      <c r="J54" s="3">
        <f>0+(1180-468)+(0+(-1.2036--0.47736))+0-0-0</f>
        <v>711.27376000000004</v>
      </c>
      <c r="K54" s="3">
        <f>0+(1084.1-385.4)+(0+(0-0))+0-0-0</f>
        <v>698.69999999999993</v>
      </c>
      <c r="L54" s="3">
        <f>0+(1031.2-355.9)+(0+(-2.62956--0.907545))+0-0-0</f>
        <v>673.57798500000001</v>
      </c>
      <c r="M54" s="3">
        <f>0+(1045.7-361.4)+(0+(1.066614-0.368628))+0-0-0</f>
        <v>684.99798600000008</v>
      </c>
      <c r="N54" s="3">
        <f>0+(1065.2-374.6)+(0+(0.543252-0.191046))+0-0-0</f>
        <v>690.95220600000005</v>
      </c>
      <c r="O54" s="3">
        <f>0+(1212.7-451.5)+(0+(-1.236954--0.46053))+0-0-0</f>
        <v>760.42357600000003</v>
      </c>
      <c r="P54" s="3">
        <f>0+(1180.9-404.5)+(0+(-0.602259--0.206295))+0-0-0</f>
        <v>776.00403600000004</v>
      </c>
      <c r="Q54" s="3">
        <f>0+(1165.9-382.3)+(0+(1.189218-0.389946))+0-0-0</f>
        <v>784.39927200000011</v>
      </c>
      <c r="R54" s="3">
        <f>0+(1156.3-388)+(0+(2.358852-0.79152))+0-0-0</f>
        <v>769.86733199999992</v>
      </c>
      <c r="S54" s="3">
        <f>0+(1140.9-386.5)+(0+(-0.581859--0.197115))+0-0-0</f>
        <v>754.01525600000014</v>
      </c>
      <c r="T54" s="3">
        <f>0+(1165-419)+(0+(-2.97075--1.06845))+0-0-0</f>
        <v>744.09770000000003</v>
      </c>
      <c r="U54" s="3">
        <f>0+(1197.6-462.6)+(0+(-2.443104--0.943704))+0-0-0</f>
        <v>733.50059999999985</v>
      </c>
      <c r="V54" s="3">
        <f>0+(1195.8-455.3)+(0+(-1.829574--0.696609))+0-0-0</f>
        <v>739.36703499999999</v>
      </c>
      <c r="W54" s="3">
        <f>0+(1150-415.7)+(0+(-3.519--1.272042))+0-0-0</f>
        <v>732.053042</v>
      </c>
      <c r="X54" s="3">
        <f>0+(1052.9-355.4)+(0+(-2.684895--0.90627))+0-0-0</f>
        <v>695.72137500000008</v>
      </c>
      <c r="Y54" s="3">
        <f>0+(1005.2-287.6)+(0+(0-0))+0-0-0</f>
        <v>717.6</v>
      </c>
      <c r="Z54" s="3">
        <f>0+(985-197.7)+(0+(-2.0094--0.403308))+0-0-0</f>
        <v>785.69390799999996</v>
      </c>
      <c r="AA54" s="3">
        <f>0+(955.5-152.1)+(0+(-1.461915--0.232713))+0-0-0</f>
        <v>802.17079799999999</v>
      </c>
      <c r="AB54" s="3">
        <f>0+(983.3-193.7)+(0+(0-0))+0-0-0</f>
        <v>789.59999999999991</v>
      </c>
      <c r="AC54" s="3">
        <f>0+(1003.8-234.5)+(0+(-1.023876--0.23919))+0-0-0</f>
        <v>768.51531399999999</v>
      </c>
      <c r="AD54">
        <v>823.69999999999993</v>
      </c>
      <c r="AE54" s="3">
        <f>0+(955.3-131.6)+(0+(0-0))+0-0-0</f>
        <v>823.69999999999993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0+(1056.1-342.8)+(0+(-1.615833--0.524484))+0-0-0</f>
        <v>712.20865099999992</v>
      </c>
      <c r="G55" s="3">
        <f>0+(1075.7-389.1)+(0+(-2.743035--0.992205))+0-0-0</f>
        <v>684.84917000000007</v>
      </c>
      <c r="H55" s="3">
        <f>0+(1122.6-452.4)+(0+(0.572526-0.230724))+0-0-0</f>
        <v>670.54180199999996</v>
      </c>
      <c r="I55" s="3">
        <f>0+(1150.6-482.8)+(0+(-2.347224--0.984912))+0-0-0</f>
        <v>666.43768799999998</v>
      </c>
      <c r="J55" s="3">
        <f>0+(1153.4-491.8)+(0+(-1.764702--0.752454))+0-0-0</f>
        <v>660.58775200000014</v>
      </c>
      <c r="K55" s="3">
        <f>0+(1154.5-486.1)+(0+(-2.35518--0.991644))+0-0-0</f>
        <v>667.03646400000002</v>
      </c>
      <c r="L55" s="3">
        <f>0+(1099.1-405.8)+(0+(-2.802705--1.03479))+0-0-0</f>
        <v>691.53208499999994</v>
      </c>
      <c r="M55" s="3">
        <f>0+(1134.5-380)+(0+(0-0))+0-0-0</f>
        <v>754.5</v>
      </c>
      <c r="N55" s="3">
        <f>0+(1197.8-360.9)+(0+(-3.05439--0.920295))+0-0-0</f>
        <v>834.76590499999998</v>
      </c>
      <c r="O55" s="3">
        <f>0+(1229.5-356.8)+(0+(-1.881135--0.545904))+0-0-0</f>
        <v>871.36476900000002</v>
      </c>
      <c r="P55" s="3">
        <f>0+(1229.2-326.5)+(0+(-1.253784--0.33303))+0-0-0</f>
        <v>901.77924600000006</v>
      </c>
      <c r="Q55" s="3">
        <f>0+(1214-287.7)+(0+(0-0))+0-0-0</f>
        <v>926.3</v>
      </c>
      <c r="R55" s="3">
        <f>0+(1212.6-287.2)+(0+(-1.855278--0.439416))+0-0-0</f>
        <v>923.98413799999992</v>
      </c>
      <c r="S55" s="3">
        <f>0+(1208-312.8)+(0+(-2.46432--0.638112))+0-0-0</f>
        <v>893.37379200000009</v>
      </c>
      <c r="T55" s="3">
        <f>0+(1234.5-334.7)+(0+(-2.51838--0.682788))+0-0-0</f>
        <v>897.96440799999993</v>
      </c>
      <c r="U55" s="3">
        <f>0+(1266.1-371.9)+(0+(-0.645711--0.189669))+0-0-0</f>
        <v>893.74395799999991</v>
      </c>
      <c r="V55" s="3">
        <f>0+(1204-308.3)+(0+(0-0))+0-0-0</f>
        <v>895.7</v>
      </c>
      <c r="W55" s="3">
        <f>0+(1173-295.9)+(0+(-3.58938--0.905454))+0-0-0</f>
        <v>874.41607399999998</v>
      </c>
      <c r="X55" s="3">
        <f>0+(1101.9-250.9)+(0+(-5.057721--1.151631))+0-0-0</f>
        <v>847.09391000000016</v>
      </c>
      <c r="Y55" s="3">
        <f>0+(1019.2-189.7)+(0+(-1.039584--0.193494))+0-0-0</f>
        <v>828.65391</v>
      </c>
      <c r="Z55" s="3">
        <f>0+(1055.9-164.2)+(0+(-1.615527--0.251226))+0-0-0</f>
        <v>890.33569900000009</v>
      </c>
      <c r="AA55" s="3">
        <f>0+(1043.5-143.6)+(0+(-1.596555--0.219708))+0-0-0</f>
        <v>898.52315299999998</v>
      </c>
      <c r="AB55" s="3">
        <f>0+(1068.5-198.5)+(0+(-0.544935--0.101235))+0-0-0</f>
        <v>869.55629999999996</v>
      </c>
      <c r="AC55" s="3">
        <f>0+(1153.3-299.9)+(0+(-1.176366--0.305898))+0-0-0</f>
        <v>852.52953200000002</v>
      </c>
      <c r="AD55">
        <v>903.1</v>
      </c>
      <c r="AE55" s="3">
        <f>0+(1043.5-140.4)+(0+(0-0))+0-0-0</f>
        <v>903.1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0+(1178.3-372.1)+(0+(-1.201866--0.379542))+0-0-0</f>
        <v>805.37767599999995</v>
      </c>
      <c r="G56" s="3">
        <f>0+(1183.7-396.6)+(0+(-3.622122--1.213596))+0-0-0</f>
        <v>784.69147399999997</v>
      </c>
      <c r="H56" s="3">
        <f>0+(1133-374)+(0+(-1.73349--0.57222))+0-0-0</f>
        <v>757.83873000000006</v>
      </c>
      <c r="I56" s="3">
        <f>0+(1157.7-402.5)+(0+(-1.180854--0.41055))+0-0-0</f>
        <v>754.42969600000004</v>
      </c>
      <c r="J56" s="3">
        <f>0+(1158.7-406.6)+(0+(-2.363748--0.829464))+0-0-0</f>
        <v>750.56571600000007</v>
      </c>
      <c r="K56" s="3">
        <f>0+(1147.6-399.7)+(0+(-4.096932--1.426929))+0-0-0</f>
        <v>745.22999699999991</v>
      </c>
      <c r="L56" s="3">
        <f>0+(1128-374.6)+(0+(-1.15056--0.382092))+0-0-0</f>
        <v>752.63153199999999</v>
      </c>
      <c r="M56" s="3">
        <f>0+(1104.1-312.6)+(0+(0.563091-0.159426))+0-0-0</f>
        <v>791.90366499999993</v>
      </c>
      <c r="N56" s="3">
        <f>0+(1205.4-341.1)+(0+(1.229508-0.347922))+0-0-0</f>
        <v>865.18158600000004</v>
      </c>
      <c r="O56" s="3">
        <f>0+(1202-303.4)+(0+(1.83906-0.464202))+0-0-0</f>
        <v>899.97485800000004</v>
      </c>
      <c r="P56" s="3">
        <f>0+(1175.8-305.2)+(0+(0.599658-0.155652))+10.8-0-0</f>
        <v>881.84400599999981</v>
      </c>
      <c r="Q56" s="3">
        <f>0+(1253.9-349.9)+(0+(-1.918467--0.535347))+0-0-0</f>
        <v>902.61688000000015</v>
      </c>
      <c r="R56" s="3">
        <f>0+(1278.6-388.3)+(0+(1.956258-0.594099))+0-0-0</f>
        <v>891.66215899999997</v>
      </c>
      <c r="S56" s="3">
        <f>0+(1299.2-403.1)+(0+(-1.325184--0.411162))+0-0-0</f>
        <v>895.18597799999998</v>
      </c>
      <c r="T56" s="3">
        <f>0+(1322.9-422.1)+(0+(-0.674679--0.215271))+0-0-0</f>
        <v>900.34059200000002</v>
      </c>
      <c r="U56" s="3">
        <f>0+(1335.7-435.6)+(0+(-2.724828--0.888624))+0-0-0</f>
        <v>898.26379600000007</v>
      </c>
      <c r="V56" s="3">
        <f>0+(1293.6-401.2)+(0+(-1.319472--0.409224))+0-0-0</f>
        <v>891.48975199999984</v>
      </c>
      <c r="W56" s="3">
        <f>0+(1246.5-365.9)+(0+(-3.81429--1.119654))+0-0-0</f>
        <v>877.90536400000008</v>
      </c>
      <c r="X56" s="3">
        <f>0+(1171.5-317.1)+(0+(-2.38986--0.646884))+0-0-0</f>
        <v>852.65702399999998</v>
      </c>
      <c r="Y56" s="3">
        <f>0+(1169.4-338.2)+(0+(-0.596394--0.172482))+0-0-0</f>
        <v>830.77608800000007</v>
      </c>
      <c r="Z56" s="3">
        <f>0+(1160.9-268.7)+(0+(-1.184118--0.274074))+0-0-0</f>
        <v>891.28995600000007</v>
      </c>
      <c r="AA56" s="3">
        <f>0+(1052.9-149)+(0+(-1.610937--0.22797))+0-0-0</f>
        <v>902.51703300000008</v>
      </c>
      <c r="AB56" s="3">
        <f>0+(1039.4-154.1)+(0+(0-0))+0-0-0</f>
        <v>885.30000000000007</v>
      </c>
      <c r="AC56" s="3">
        <f>0+(1069.1-212.3)+(0+(-1.635723--0.324819))+0-0-0</f>
        <v>855.4890959999999</v>
      </c>
      <c r="AD56">
        <v>914.50000000000011</v>
      </c>
      <c r="AE56" s="3">
        <f>0+(1136.9-222.4)+(0+(0-0))+0-0-0</f>
        <v>914.50000000000011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0+(1136.3-330.9)+(0+(-2.897565--0.843795))+0-0-0</f>
        <v>803.34622999999999</v>
      </c>
      <c r="G57" s="3">
        <f>0+(1107.2-323.1)+(0+(-2.82336--0.823905))+0-0-0</f>
        <v>782.10054500000001</v>
      </c>
      <c r="H57" s="3">
        <f>0+(1114.9-353.5)+(0+(-2.842995--0.901425))+0-0-0</f>
        <v>759.45843000000013</v>
      </c>
      <c r="I57" s="3">
        <f>0+(1139.3-384.4)+(0+(-1.162086--0.392088))+0-0-0</f>
        <v>754.13000199999999</v>
      </c>
      <c r="J57" s="3">
        <f>0+(1142.2-395.7)+(0+(-0.582522--0.201807))+0-0-0</f>
        <v>746.11928499999999</v>
      </c>
      <c r="K57" s="3">
        <f>0+(1150.3-406.8)+(0+(-1.759959--0.622404))+0-0-0</f>
        <v>742.36244499999998</v>
      </c>
      <c r="L57" s="3">
        <f>0+(1132.8-381.6)+(0+(-1.155456--0.389232))+0-0-0</f>
        <v>750.43377599999997</v>
      </c>
      <c r="M57" s="3">
        <f>0+(1077.8-276.4)+(0+(0-0))+0-0-0</f>
        <v>801.4</v>
      </c>
      <c r="N57" s="3">
        <f>0+(1110-235.9)+(0+(1.1322-0.240618))+0-0-0</f>
        <v>874.99158199999999</v>
      </c>
      <c r="O57" s="3">
        <f>0+(1233.1-322.4)+(0+(0-0))+0-0-0</f>
        <v>910.69999999999993</v>
      </c>
      <c r="P57" s="3">
        <f>0+(1255.9-333.9)+(0+(0-0))+0-0-0</f>
        <v>922.00000000000011</v>
      </c>
      <c r="Q57" s="3">
        <f>0+(1229.7-296.7)+(0+(0.627147-0.151317))+0-0-0</f>
        <v>933.47582999999997</v>
      </c>
      <c r="R57" s="3">
        <f>0+(1175.9-243)+(0+(-1.799127--0.37179))+0-0-0</f>
        <v>931.47266300000013</v>
      </c>
      <c r="S57" s="3">
        <f>0+(1219.9-314.1)+(0+(-0.622149--0.160191))+0-0-0</f>
        <v>905.33804200000009</v>
      </c>
      <c r="T57" s="3">
        <f>0+(1209.4-310.7)+(0+(-3.700764--0.950742))+0-0-0</f>
        <v>895.9499780000001</v>
      </c>
      <c r="U57" s="3">
        <f>0+(1255.8-362.6)+(0+(-3.842748--1.109556))+0-0-0</f>
        <v>890.4668079999999</v>
      </c>
      <c r="V57" s="3">
        <f>0+(1249.4-373.5)+(0+(-4.460358--1.333395))+0-0-0</f>
        <v>872.77303700000004</v>
      </c>
      <c r="W57" s="3">
        <f>0+(1186.9-318.3)+(0+(-4.842552--1.298664))+0-0-0</f>
        <v>865.0561120000001</v>
      </c>
      <c r="X57" s="3">
        <f>0+(1169.2-299.2)+(0+(-4.174044--1.068144))+0-0-0</f>
        <v>866.89409999999998</v>
      </c>
      <c r="Y57" s="3">
        <f>0+(1145.9-289.7)+(0+(-2.337636--0.590988))+0-0-0</f>
        <v>854.453352</v>
      </c>
      <c r="Z57" s="3">
        <f>0+(1172.7-272.2)+(0+(-3.588462--0.832932))+0-0-0</f>
        <v>897.74446999999998</v>
      </c>
      <c r="AA57" s="3">
        <f>0+(1145.8-255.6)+(0+(-2.337432--0.521424))+0-0-0</f>
        <v>888.38399199999992</v>
      </c>
      <c r="AB57" s="3">
        <f>0+(1147-290.4)+(0+(-2.33988--0.592416))+0-0-0</f>
        <v>854.85253599999999</v>
      </c>
      <c r="AC57" s="3">
        <f>0+(1174.3-340.8)+(0+(-1.796679--0.521424))+0-0-0</f>
        <v>832.22474499999998</v>
      </c>
      <c r="AD57">
        <v>897.9</v>
      </c>
      <c r="AE57" s="3">
        <f>0+(1156.3-258.4)+(0+(0-0))+0-0-0</f>
        <v>897.9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0+(1127.6-326.7)+(0+(-1.150152--0.333234))+0-0-0</f>
        <v>800.08308199999988</v>
      </c>
      <c r="G58" s="3">
        <f>0+(1128.3-357.5)+(0+(-2.301732--0.7293))+0-0-0</f>
        <v>769.22756799999991</v>
      </c>
      <c r="H58" s="3">
        <f>0+(1137-386.3)+(0+(-1.15974--0.394026))+0-0-0</f>
        <v>749.93428600000004</v>
      </c>
      <c r="I58" s="3">
        <f>0+(1148.5-406)+(0+(-2.34294--0.82824))+0-0-0</f>
        <v>740.98530000000005</v>
      </c>
      <c r="J58" s="3">
        <f>0+(1143.9-396.3)+(0+(-1.750167--0.606339))+0-0-0</f>
        <v>746.45617200000015</v>
      </c>
      <c r="K58" s="3">
        <f>0+(1141.4-405.9)+(0+(-3.492684--1.242054))+0-0-0</f>
        <v>733.24937000000011</v>
      </c>
      <c r="L58" s="3">
        <f>0+(1113.9-360.5)+(0+(-2.840445--0.919275))+0-0-0</f>
        <v>751.47883000000013</v>
      </c>
      <c r="M58" s="3">
        <f>0+(1108.4-304.5)+(0+(-0.565284--0.155295))+0-0-0</f>
        <v>803.4900110000001</v>
      </c>
      <c r="N58" s="3">
        <f>0+(1221-362.5)+(0+(0-0))+0-0-0</f>
        <v>858.5</v>
      </c>
      <c r="O58" s="3">
        <f>0+(1261.4-357.8)+(0+(-0.643314--0.182478))+0-0-0</f>
        <v>903.13916400000016</v>
      </c>
      <c r="P58" s="3">
        <f>0+(1228.2-294)+(0+(0.626382-0.14994))+0-0-0</f>
        <v>934.67644200000007</v>
      </c>
      <c r="Q58" s="3">
        <f>0+(1201.3-261.7)+(0+(1.225326-0.266934))+0-0-0</f>
        <v>940.55839199999991</v>
      </c>
      <c r="R58" s="3">
        <f>0+(1167.6-234.8)+(0+(-1.190952--0.239496))+0-0-0</f>
        <v>931.84854399999995</v>
      </c>
      <c r="S58" s="3">
        <f>0+(1162.5-253.2)+(0+(-2.964375--0.64566))+0-0-0</f>
        <v>906.98128499999996</v>
      </c>
      <c r="T58" s="3">
        <f>0+(1209.5-298.2)+(0+(0-0))+0-0-0</f>
        <v>911.3</v>
      </c>
      <c r="U58" s="3">
        <f>0+(1161-272.7)+(0+(-1.77633--0.417231))+0-0-0</f>
        <v>886.94090099999994</v>
      </c>
      <c r="V58" s="3">
        <f>0+(1156.6-273.3)+(0+(-1.179732--0.278766))+0-0-0</f>
        <v>882.39903399999992</v>
      </c>
      <c r="W58" s="3">
        <f>0+(1166.9-274.6)+(0+(-3.570714--0.840276))+0-0-0</f>
        <v>889.56956200000002</v>
      </c>
      <c r="X58" s="3">
        <f>0+(1128.9-264.7)+(0+(-3.454434--0.809982))+0-0-0</f>
        <v>861.55554800000004</v>
      </c>
      <c r="Y58" s="3">
        <f>0+(1086.8-259.1)+(0+(-1.662804--0.396423))+0-0-0</f>
        <v>826.43361899999991</v>
      </c>
      <c r="Z58" s="3">
        <f>0+(1091.7-208.8)+(0+(-2.227068--0.425952))+0-0-0</f>
        <v>881.09888400000011</v>
      </c>
      <c r="AA58" s="3">
        <f>0+(1090.6-192.2)+(0+(-2.78103--0.49011))+0-0-0</f>
        <v>896.10907999999984</v>
      </c>
      <c r="AB58" s="3">
        <f>0+(1127.8-258)+(0+(0-0))+0-0-0</f>
        <v>869.8</v>
      </c>
      <c r="AC58" s="3">
        <f>0+(1162.9-312.3)+(0+(-2.372316--0.637092))+0-0-0</f>
        <v>848.86477600000012</v>
      </c>
      <c r="AD58">
        <v>906.49999999999989</v>
      </c>
      <c r="AE58" s="3">
        <f>0+(1088.6-182.1)+(0+(0-0))+0-0-0</f>
        <v>906.49999999999989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0+(1136.2-326.5)+(0+(-2.317848--0.66606))+0-0-0</f>
        <v>808.04821200000004</v>
      </c>
      <c r="G59" s="3">
        <f>0+(1058.8-290)+(0+(-1.079976--0.2958))+0-0-0</f>
        <v>768.01582399999995</v>
      </c>
      <c r="H59" s="3">
        <f>0+(1083.5-327.5)+(0+(-0.552585--0.167025))+0-0-0</f>
        <v>755.61443999999995</v>
      </c>
      <c r="I59" s="3">
        <f>0+(1108.2-370.7)+(0+(-1.130364--0.378114))+0-0-0</f>
        <v>736.74775</v>
      </c>
      <c r="J59" s="3">
        <f>0+(1093.8-370.1)+(0+(0-0))+0-0-0</f>
        <v>723.69999999999993</v>
      </c>
      <c r="K59" s="3">
        <f>0+(1104.1-377.9)+(0+(-2.252364--0.770916))+0-0-0</f>
        <v>724.71855199999993</v>
      </c>
      <c r="L59" s="3">
        <f>0+(1093-359.2)+(0+(-2.78715--0.91596))+0-0-0</f>
        <v>731.92881</v>
      </c>
      <c r="M59" s="3">
        <f>0+(1091.7-311.5)+(0+(0-0))+0-0-0</f>
        <v>780.2</v>
      </c>
      <c r="N59" s="3">
        <f>0+(1179.9-335.9)+(0+(-0.601749--0.171309))+0-0-0</f>
        <v>843.56956000000014</v>
      </c>
      <c r="O59" s="3">
        <f>0+(1235.5-354.6)+(0+(-0.630105--0.180846))+0-0-0</f>
        <v>880.45074099999999</v>
      </c>
      <c r="P59" s="3">
        <f>0+(1229.2-315)+(0+(-1.253784--0.3213))+0-0-0</f>
        <v>913.267516</v>
      </c>
      <c r="Q59" s="3">
        <f>0+(1199.2-260)+(0+(0.611592-0.1326))+0-0-0</f>
        <v>939.67899199999999</v>
      </c>
      <c r="R59" s="3">
        <f>0+(1246.6-341.4)+(0+(-0.635766--0.174114))+0-0-0</f>
        <v>904.73834799999997</v>
      </c>
      <c r="S59" s="3">
        <f>0+(1281.9-400.7)+(0+(0.653769-0.204357))+0-0-0</f>
        <v>881.6494120000001</v>
      </c>
      <c r="T59" s="3">
        <f>0+(1257.6-405.6)+(0+(-0.641376--0.206856))+0-0-0</f>
        <v>851.56547999999987</v>
      </c>
      <c r="U59" s="3">
        <f>0+(1287.7-420)+(0+(-3.283635--1.071))+0-0-0</f>
        <v>865.48736500000007</v>
      </c>
      <c r="V59" s="3">
        <f>0+(1280.4-415.4)+(0+(-2.612016--0.847416))+0-0-0</f>
        <v>863.23540000000014</v>
      </c>
      <c r="W59" s="3">
        <f>0+(1284-418.4)+(0+(-3.2742--1.06692))+0-0-0</f>
        <v>863.39272000000005</v>
      </c>
      <c r="X59" s="3">
        <f>0+(1250.9-403.4)+(0+(-4.465713--1.440138))+0-0-0</f>
        <v>844.47442500000011</v>
      </c>
      <c r="Y59" s="3">
        <f>0+(1206.8-366.9)+(0+(-1.230936--0.374238))+0-0-0</f>
        <v>839.04330199999993</v>
      </c>
      <c r="Z59" s="3">
        <f>0+(1135.3-262.5)+(0+(-1.158006--0.26775))+0-0-0</f>
        <v>871.90974399999993</v>
      </c>
      <c r="AA59" s="3">
        <f>0+(1142.2-269.1)+(0+(-2.330088--0.548964))+0-0-0</f>
        <v>871.31887600000005</v>
      </c>
      <c r="AB59" s="3">
        <f>0+(1157.1-314.3)+(0+(-2.950605--0.801465))+0-0-0</f>
        <v>840.65085999999997</v>
      </c>
      <c r="AC59" s="3">
        <f>0+(1191.4-355.1)+(0+(-0.607614--0.181101))+0-0-0</f>
        <v>835.87348700000007</v>
      </c>
      <c r="AD59">
        <v>880.9</v>
      </c>
      <c r="AE59" s="3">
        <f>0+(1130.3-249.4)+(0+(0-0))+0-0-0</f>
        <v>880.9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0+(1101.1-335.9)+(0+(-2.807805--0.856545))+0-0-0</f>
        <v>763.24873999999988</v>
      </c>
      <c r="G60" s="3">
        <f>0+(991.9-259.3)+(0+(-0.505869--0.132243))+0-0-0</f>
        <v>732.22637399999996</v>
      </c>
      <c r="H60" s="3">
        <f>0+(1005.9-285.9)+(0+(-2.052036--0.583236))+0-0-0</f>
        <v>718.53120000000001</v>
      </c>
      <c r="I60" s="3">
        <f>0+(1024.6-322.7)+(0+(-2.61273--0.822885))+0-0-0</f>
        <v>700.11015499999985</v>
      </c>
      <c r="J60" s="3">
        <f>0+(1009.5-320.3)+(0+(-1.544535--0.490059))+0-0-0</f>
        <v>688.14552400000002</v>
      </c>
      <c r="K60" s="3">
        <f>0+(1058.8-370.8)+(0+(-1.619964--0.567324))+0-0-0</f>
        <v>686.94736</v>
      </c>
      <c r="L60" s="3">
        <f>0+(1076.3-393.2)+(0+(-0.548913--0.200532))+0-0-0</f>
        <v>682.75161899999989</v>
      </c>
      <c r="M60" s="3">
        <f>0+(1108.4-379.7)+(0+(-0.565284--0.193647))+0-0-0</f>
        <v>728.32836300000008</v>
      </c>
      <c r="N60" s="3">
        <f>0+(1201.4-428)+(0+(0.612714-0.21828))+0-0-0</f>
        <v>773.79443400000014</v>
      </c>
      <c r="O60" s="3">
        <f>0+(1202.9-388.8)+(0+(-1.840437--0.594864))+0-0-0</f>
        <v>812.8544270000001</v>
      </c>
      <c r="P60" s="3">
        <f>0+(1189.7-339.9)+(0+(-1.213494--0.346698))+0-0-0</f>
        <v>848.93320400000005</v>
      </c>
      <c r="Q60" s="3">
        <f>0+(1147.3-298.2)+(0+(-1.170246--0.304164))+0-0-0</f>
        <v>848.2339179999999</v>
      </c>
      <c r="R60" s="3">
        <f>0+(1157.5-271.2)+(0+(0.590325-0.138312))+0-0-0</f>
        <v>886.75201299999992</v>
      </c>
      <c r="S60" s="3">
        <f>0+(1184.4-320.8)+(0+(-0.604044--0.163608))+0-0-0</f>
        <v>863.15956400000016</v>
      </c>
      <c r="T60" s="3">
        <f>0+(1204.2-345)+(0+(0.614142-0.17595))+0-0-0</f>
        <v>859.638192</v>
      </c>
      <c r="U60" s="3">
        <f>0+(1212.7-350.2)+(0+(-1.855431--0.535806))+0-0-0</f>
        <v>861.18037500000003</v>
      </c>
      <c r="V60" s="3">
        <f>0+(1240.1-376.9)+(0+(-0.632451--0.192219))+0-0-0</f>
        <v>862.75976799999989</v>
      </c>
      <c r="W60" s="3">
        <f>0+(1196.1-334.4)+(0+(-3.050055--0.85272))+0-0-0</f>
        <v>859.50266499999998</v>
      </c>
      <c r="X60" s="3">
        <f>0+(1076.5-248.4)+(0+(-2.745075--0.63342))+0-0-0</f>
        <v>825.98834499999998</v>
      </c>
      <c r="Y60" s="3">
        <f>0+(1020.3-235.3)+(0+(-1.561059--0.360009))+0-0-0</f>
        <v>783.79894999999999</v>
      </c>
      <c r="Z60" s="3">
        <f>0+(1038.4-227.1)+(0+(-1.588752--0.347463))+0-0-0</f>
        <v>810.05871100000002</v>
      </c>
      <c r="AA60" s="3">
        <f>0+(1095.1-269.3)+(0+(-2.792505--0.686715))+0-0-0</f>
        <v>823.69421</v>
      </c>
      <c r="AB60" s="3">
        <f>0+(1106.2-305.4)+(0+(-1.128324--0.311508))+0-0-0</f>
        <v>799.98318400000005</v>
      </c>
      <c r="AC60" s="3">
        <f>0+(1156.7-349.1)+(0+(0-0))+0-0-0</f>
        <v>807.6</v>
      </c>
      <c r="AD60">
        <v>816.40000000000009</v>
      </c>
      <c r="AE60" s="3">
        <f>0+(1065.4-249)+(0+(0-0))+0-0-0</f>
        <v>816.40000000000009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0+(1136-341.1)+(0+(0-0))+0-0-0</f>
        <v>794.9</v>
      </c>
      <c r="G61" s="3">
        <f>0+(1117.6-377.8)+(0+(-2.279904--0.770712))+0-0-0</f>
        <v>738.29080799999997</v>
      </c>
      <c r="H61" s="3">
        <f>0+(1132.2-423.3)+(0+(0-0))+0-0-0</f>
        <v>708.90000000000009</v>
      </c>
      <c r="I61" s="3">
        <f>0+(1108.8-411.7)+(0+(-0.565488--0.209967))+0-0-0</f>
        <v>696.74447899999996</v>
      </c>
      <c r="J61" s="3">
        <f>0+(1148.1-408.8)+(0+(0-0))+0-0-0</f>
        <v>739.3</v>
      </c>
      <c r="K61" s="3">
        <f>0+(1106.2-421.2)+(0+(-2.256648--0.859248))+0-0-0</f>
        <v>683.60260000000005</v>
      </c>
      <c r="L61" s="3">
        <f>0+(1100.6-432.9)+(0+(-5.051754--1.987011))+0-0-0</f>
        <v>664.63525699999991</v>
      </c>
      <c r="M61" s="3">
        <f>0+(1085-409.2)+(0+(0.55335-0.208692))+0-0-0</f>
        <v>676.14465799999994</v>
      </c>
      <c r="N61" s="3">
        <f>0+(1101.8-389.9)+(0+(-1.123836--0.397698))+0-0-0</f>
        <v>711.17386199999999</v>
      </c>
      <c r="O61" s="3">
        <f>0+(1127.4-388.5)+(0+(0-0))+0-0-0</f>
        <v>738.90000000000009</v>
      </c>
      <c r="P61" s="3">
        <f>0+(1145.5-410.3)+(0+(-0.584205--0.209253))+0-0-0</f>
        <v>734.82504800000004</v>
      </c>
      <c r="Q61" s="3">
        <f>0+(1084.1-370.7)+(0+(1.105782-0.378114))+0-0-0</f>
        <v>714.12766799999986</v>
      </c>
      <c r="R61" s="3">
        <f>0+(1153.5-289.4)+(0+(-1.764855--0.442782))+0-0-0</f>
        <v>862.77792699999998</v>
      </c>
      <c r="S61" s="3">
        <f>0+(1165.8-300.2)+(0+(0-0))+0-0-0</f>
        <v>865.59999999999991</v>
      </c>
      <c r="T61" s="3">
        <f>0+(1230.5-355.1)+(0+(-1.882665--0.543303))+0-0-0</f>
        <v>874.06063799999993</v>
      </c>
      <c r="U61" s="3">
        <f>0+(1223.7-344.1)+(0+(-0.624087--0.175491))+0-0-0</f>
        <v>879.15140400000007</v>
      </c>
      <c r="V61" s="3">
        <f>0+(1245-369.9)+(0+(0.63495-0.188649))+0-0-0</f>
        <v>875.54630099999997</v>
      </c>
      <c r="W61" s="3">
        <f>0+(1201.2-350.7)+(0+(-3.06306--0.894285))+0-0-0</f>
        <v>848.33122500000002</v>
      </c>
      <c r="X61" s="3">
        <f>0+(1136-287.8)+(0+(-3.47616--0.880668))+0-0-0</f>
        <v>845.60450800000001</v>
      </c>
      <c r="Y61" s="3">
        <f>0+(1108.1-256.1)+(0+(-1.695393--0.391833))+0-0-0</f>
        <v>850.69643999999994</v>
      </c>
      <c r="Z61" s="3">
        <f>0+(1106.3-217.4)+(0+(0.564213-0.110874))+0-0-0</f>
        <v>889.35333900000001</v>
      </c>
      <c r="AA61" s="3">
        <f>0+(1037.2-193.4)+(0+(0-0))+0-0-0</f>
        <v>843.80000000000007</v>
      </c>
      <c r="AB61" s="3">
        <f>0+(1060-198.7)+(0+(0-0))+0-0-0</f>
        <v>861.3</v>
      </c>
      <c r="AC61" s="3">
        <f>0+(1153.6-257.8)+(0+(-1.765008--0.394434))+0-0-0</f>
        <v>894.42942599999992</v>
      </c>
      <c r="AD61">
        <v>809</v>
      </c>
      <c r="AE61" s="3">
        <f>0+(1032.5-223.5)+(0+(0-0))+0-0-0</f>
        <v>809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0+(1164.7-458.2)+(0+(-0.593997--0.233682))+0-0-0</f>
        <v>706.13968499999999</v>
      </c>
      <c r="G62" s="3">
        <f>0+(1201-540.1)+(0+(-1.22502--0.550902))+0-0-0</f>
        <v>660.22588199999996</v>
      </c>
      <c r="H62" s="3">
        <f>0+(1204.3-541.9)+(0+(-1.842579--0.829107))+0-0-0</f>
        <v>661.386528</v>
      </c>
      <c r="I62" s="3">
        <f>0+(1188.3-511.4)+(0+(-1.212066--0.521628))+0-0-0</f>
        <v>676.20956200000001</v>
      </c>
      <c r="J62" s="3">
        <f>0+(1195.6-490.3)+(0+(-1.829268--0.750159))+0-0-0</f>
        <v>704.22089099999994</v>
      </c>
      <c r="K62" s="3">
        <f>0+(1188.7-486.2)+(0+(-3.031185--1.23981))+0-0-0</f>
        <v>700.70862499999998</v>
      </c>
      <c r="L62" s="3">
        <f>0+(1157.5-422.5)+(0+(-0.590325--0.215475))+0-0-0</f>
        <v>734.62514999999996</v>
      </c>
      <c r="M62" s="3">
        <f>0+(1184.3-399.4)+(0+(-0.603993--0.203694))+0-0-0</f>
        <v>784.49970099999996</v>
      </c>
      <c r="N62" s="3">
        <f>0+(1246.8-395.9)+(0+(-0.635868--0.201909))+0-0-0</f>
        <v>850.46604100000002</v>
      </c>
      <c r="O62" s="3">
        <f>0+(1254.2-348.8)+(0+(0-0))+0-0-0</f>
        <v>905.40000000000009</v>
      </c>
      <c r="P62" s="3">
        <f>0+(1208.1-286)+(0+(-0.616131--0.14586))+0-0-0</f>
        <v>921.62972899999988</v>
      </c>
      <c r="Q62" s="3">
        <f>0+(1145.9-214.5)+(0+(0-0))+0-0-0</f>
        <v>931.40000000000009</v>
      </c>
      <c r="R62" s="3">
        <f>0+(1185-197.4)+(0+(0.60435-0.100674))+0-0-0</f>
        <v>988.10367600000006</v>
      </c>
      <c r="S62" s="3">
        <f>0+(1251.1-255.7)+(0+(-1.276122--0.260814))+0-0-0</f>
        <v>994.38469199999986</v>
      </c>
      <c r="T62" s="3">
        <f>0+(1273-264.6)+(0+(0.64923-0.134946))+0-0-0</f>
        <v>1008.914284</v>
      </c>
      <c r="U62" s="3">
        <f>0+(1286.5-262.6)+(0+(-0.656115--0.133926))+0-0-0</f>
        <v>1023.377811</v>
      </c>
      <c r="V62" s="3">
        <f>0+(1275.2-283.7)+(0+(-2.601408--0.578748))+0-0-0</f>
        <v>989.47734000000003</v>
      </c>
      <c r="W62" s="3">
        <f>0+(1381.4-358.8)+(0+(-4.227084--1.097928))+0-0-0</f>
        <v>1019.4708440000002</v>
      </c>
      <c r="X62" s="3">
        <f>0+(1254-273.3)+(0+(-1.91862--0.418149))+0-0-0</f>
        <v>979.1995290000001</v>
      </c>
      <c r="Y62" s="3">
        <f>0+(1238.8-266.2)+(0+(-0.631788--0.135762))+0-0-0</f>
        <v>972.10397399999988</v>
      </c>
      <c r="Z62" s="3">
        <f>0+(1215.8-227.7)+(0+(-0.620058--0.116127))+0-0-0</f>
        <v>987.59606899999994</v>
      </c>
      <c r="AA62" s="3">
        <f>0+(1214.6-223.6)+(0+(-1.858338--0.342108))+0-0-0</f>
        <v>989.48376999999994</v>
      </c>
      <c r="AB62" s="3">
        <f>0+(1155.5-200.3)+(0+(-1.767915--0.306459))+0-0-0</f>
        <v>953.73854400000005</v>
      </c>
      <c r="AC62" s="3">
        <f>0+(1217.1-275.9)+(0+(-2.482884--0.562836))+0-0-0</f>
        <v>939.27995199999998</v>
      </c>
      <c r="AD62">
        <v>947</v>
      </c>
      <c r="AE62" s="3">
        <f>0+(1189-242)+(0+(0-0))+0-0-0</f>
        <v>947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0+(1258.9-436.1)+(0+(-2.568156--0.889644))+0-0-0</f>
        <v>821.12148800000011</v>
      </c>
      <c r="G63" s="3">
        <f>0+(1162.7-401.9)+(0+(-2.964885--1.024845))+0-0-0</f>
        <v>758.85996000000011</v>
      </c>
      <c r="H63" s="3">
        <f>0+(1133.9-389.3)+(0+(-1.156578--0.397086))+0-0-0</f>
        <v>743.84050800000011</v>
      </c>
      <c r="I63" s="3">
        <f>0+(1146.2-393)+(0+(-2.338248--0.80172))+0-0-0</f>
        <v>751.66347200000007</v>
      </c>
      <c r="J63" s="3">
        <f>0+(1158-397.9)+(0+(-4.13406--1.420503))+0-0-0</f>
        <v>757.38644299999999</v>
      </c>
      <c r="K63" s="3">
        <f>0+(1177-412.3)+(0+(-4.20189--1.471911))+0-0-0</f>
        <v>761.97002100000009</v>
      </c>
      <c r="L63" s="3">
        <f>0+(1138.6-397.1)+(0+(-1.742058--0.607563))+0-0-0</f>
        <v>740.36550499999987</v>
      </c>
      <c r="M63" s="3">
        <f>0+(1161-382.4)+(0+(1.18422-0.390048))+0-0-0</f>
        <v>779.39417200000003</v>
      </c>
      <c r="N63" s="3">
        <f>0+(1235.4-364.5)+(0+(0.630054-0.185895))+0-0-0</f>
        <v>871.3441590000001</v>
      </c>
      <c r="O63" s="3">
        <f>0+(1261-358.7)+(0+(-0.64311--0.182937))+0-0-0</f>
        <v>901.8398269999999</v>
      </c>
      <c r="P63" s="3">
        <f>0+(1229.3-330.7)+(0+(-0.626943--0.168657))+0-0-0</f>
        <v>898.14171399999987</v>
      </c>
      <c r="Q63" s="3">
        <f>0+(1204.9-287)+(0+(-1.843497--0.43911))+0-0-0</f>
        <v>916.49561300000005</v>
      </c>
      <c r="R63" s="3">
        <f>0+(1185.5-277.9)+(0+(0-0))+0-0-0</f>
        <v>907.6</v>
      </c>
      <c r="S63" s="3">
        <f>0+(1201.5-340.7)+(0+(-0.612765--0.173757))+0-0-0</f>
        <v>860.36099200000001</v>
      </c>
      <c r="T63" s="3">
        <f>0+(1211.4-312.5)+(0+(0-0))+0-0-0</f>
        <v>898.90000000000009</v>
      </c>
      <c r="U63" s="3">
        <f>0+(1204.6-331.6)+(0+(-2.457384--0.676464))+0-0-0</f>
        <v>871.21907999999985</v>
      </c>
      <c r="V63" s="3">
        <f>0+(1199.3-348.5)+(0+(-1.834929--0.533205))+0-0-0</f>
        <v>849.49827599999992</v>
      </c>
      <c r="W63" s="3">
        <f>0+(1222.4-366.5)+(0+(-1.870272--0.560745))+0-0-0</f>
        <v>854.59047300000009</v>
      </c>
      <c r="X63" s="3">
        <f>0+(1147.2-327.5)+(0+(-5.265648--1.503225))+0-0-0</f>
        <v>815.93757700000003</v>
      </c>
      <c r="Y63" s="3">
        <f>0+(1135.3-298.4)+(0+(-2.316012--0.608736))+0-0-0</f>
        <v>835.192724</v>
      </c>
      <c r="Z63" s="3">
        <f>0+(1133.7-235.9)+(0+(-1.734561--0.360927))+0-0-0</f>
        <v>896.42636600000003</v>
      </c>
      <c r="AA63" s="3">
        <f>0+(1109-269)+(0+(-3.39354--0.82314))+0-0-0</f>
        <v>837.42960000000005</v>
      </c>
      <c r="AB63" s="3">
        <f>0+(1142.5-321)+(0+(-2.3307--0.65484))+0-0-0</f>
        <v>819.82413999999994</v>
      </c>
      <c r="AC63" s="3">
        <f>0+(1192.3-386.5)+(0+(-0.608073--0.197115))+0-0-0</f>
        <v>805.3890419999999</v>
      </c>
      <c r="AD63">
        <v>893.40000000000009</v>
      </c>
      <c r="AE63" s="3">
        <f>0+(1153.4-260)+(0+(0-0))+0-0-0</f>
        <v>893.40000000000009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0+(1195.9-439.1)+(0+(-3.049545--1.119705))+0-0-0</f>
        <v>754.87016000000006</v>
      </c>
      <c r="G64" s="3">
        <f>0+(1174.5-447.4)+(0+(-0.598995--0.228174))+0-0-0</f>
        <v>726.72917900000004</v>
      </c>
      <c r="H64" s="3">
        <f>0+(1143.9-430.6)+(0+(1.166778-0.439212))+0-0-0</f>
        <v>714.02756600000009</v>
      </c>
      <c r="I64" s="3">
        <f>0+(1098.2-379.9)+(0+(-1.680246--0.581247))+0-0-0</f>
        <v>717.20100100000002</v>
      </c>
      <c r="J64" s="3">
        <f>0+(1095.8-372.9)+(0+(-2.235432--0.760716))+0-0-0</f>
        <v>721.42528400000003</v>
      </c>
      <c r="K64" s="3">
        <f>0+(1100.4-362.6)+(0+(-4.489632--1.479408))+0-0-0</f>
        <v>734.78977600000007</v>
      </c>
      <c r="L64" s="3">
        <f>0+(1104.7-354.1)+(0+(-3.943779--1.264137))+0-0-0</f>
        <v>747.92035800000008</v>
      </c>
      <c r="M64" s="3">
        <f>0+(1098.1-287.7)+(0+(0-0))+0-0-0</f>
        <v>810.39999999999986</v>
      </c>
      <c r="N64" s="3">
        <f>0+(1148.8-300.7)+(0+(-2.343552--0.613428))+0-0-0</f>
        <v>846.36987599999986</v>
      </c>
      <c r="O64" s="3">
        <f>0+(1279.3-362.1)+(0+(1.304886-0.369342))+0-0-0</f>
        <v>918.13554399999998</v>
      </c>
      <c r="P64" s="3">
        <f>0+(1233.4-298.9)+(0+(0.629034-0.152439))+0-0-0</f>
        <v>934.97659500000009</v>
      </c>
      <c r="Q64" s="3">
        <f>0+(1169.5-243)+(0+(-0.596445--0.12393))+0-0-0</f>
        <v>926.02748499999996</v>
      </c>
      <c r="R64" s="3">
        <f>0+(1150.4-248.7)+(0+(0-0))+0-0-0</f>
        <v>901.7</v>
      </c>
      <c r="S64" s="3">
        <f>0+(1194.8-365.2)+(0+(-1.828044--0.558756))+0-0-0</f>
        <v>828.33071199999995</v>
      </c>
      <c r="T64" s="3">
        <f>0+(1244.3-362.4)+(0+(-0.634593--0.184824))+0-0-0</f>
        <v>881.45023100000003</v>
      </c>
      <c r="U64" s="3">
        <f>0+(1257.1-388.3)+(0+(0.641121-0.198033))+0-0-0</f>
        <v>869.24308799999994</v>
      </c>
      <c r="V64" s="3">
        <f>0+(1235.9-336.1)+(0+(-1.890927--0.514233))+0-0-0</f>
        <v>898.42330600000003</v>
      </c>
      <c r="W64" s="3">
        <f>0+(1234-379.1)+(0+(-2.51736--0.773364))+0-0-0</f>
        <v>853.15600399999994</v>
      </c>
      <c r="X64" s="3">
        <f>0+(1181.2-314.2)+(0+(-3.614472--0.961452))+0-0-0</f>
        <v>864.34698000000003</v>
      </c>
      <c r="Y64" s="3">
        <f>0+(1093.3-294.1)+(0+(0-0))+0-0-0</f>
        <v>799.19999999999993</v>
      </c>
      <c r="Z64" s="3">
        <f>0+(1168.5-265.3)+(0+(-1.19187--0.270606))+0-0-0</f>
        <v>902.27873600000009</v>
      </c>
      <c r="AA64" s="3">
        <f>0+(1151.2-264.5)+(0+(-1.174224--0.26979))+0-0-0</f>
        <v>885.79556600000001</v>
      </c>
      <c r="AB64" s="3">
        <f>0+(1177.8-316.7)+(0+(-1.802034--0.484551))+0-0-0</f>
        <v>859.78251699999987</v>
      </c>
      <c r="AC64" s="3">
        <f>0+(1167.6-335.4)+(0+(-2.97738--0.85527))+0-0-0</f>
        <v>830.07788999999991</v>
      </c>
      <c r="AD64">
        <v>939.39999999999986</v>
      </c>
      <c r="AE64" s="3">
        <f>0+(1166.1-226.7)+(0+(0-0))+0-0-0</f>
        <v>939.39999999999986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0+(1221.9-403.6)+(0+(-3.115845--1.02918))+0-0-0</f>
        <v>816.21333500000003</v>
      </c>
      <c r="G65" s="3">
        <f>0+(1125.1-343.8)+(0+(-2.869005--0.87669))+0-0-0</f>
        <v>779.30768499999999</v>
      </c>
      <c r="H65" s="3">
        <f>0+(1096.7-320.4)+(0+(-1.118634--0.326808))+0-0-0</f>
        <v>775.50817400000005</v>
      </c>
      <c r="I65" s="3">
        <f>0+(1086.1-331.6)+(0+(-2.215644--0.676464))+0-0-0</f>
        <v>752.9608199999999</v>
      </c>
      <c r="J65" s="3">
        <f>0+(1116.6-355)+(0+(-2.84733--0.90525))+0-0-0</f>
        <v>759.65791999999988</v>
      </c>
      <c r="K65" s="3">
        <f>0+(1132.9-368.7)+(0+(-1.733337--0.564111))+0-0-0</f>
        <v>763.03077400000006</v>
      </c>
      <c r="L65" s="3">
        <f>0+(1094.9-332.4)+(0+(-1.675197--0.508572))+0-0-0</f>
        <v>761.33337500000016</v>
      </c>
      <c r="M65" s="3">
        <f>0+(1074.9-255.1)+(0+(1.644597-0.390303))+0-0-0</f>
        <v>821.05429400000003</v>
      </c>
      <c r="N65" s="3">
        <f>0+(1041.3-190.5)+(0+(-2.124252--0.38862))+0-0-0</f>
        <v>849.06436799999994</v>
      </c>
      <c r="O65" s="3">
        <f>0+(1187.3-277.9)+(0+(-1.816569--0.425187))+0-0-0</f>
        <v>908.00861799999996</v>
      </c>
      <c r="P65" s="3">
        <f>60.8+(1237.4-291.9)+(-0.031008+(-0.631074--0.148869))+0-0-0</f>
        <v>1005.7867870000001</v>
      </c>
      <c r="Q65" s="3">
        <f>121+(1209.3-300.6)+(0+(0-0))+0-0-0</f>
        <v>1029.6999999999998</v>
      </c>
      <c r="R65" s="3">
        <f>120.7+(1163.5-278.9)+(-0.184671+(-1.780155--0.426717))+0-0-0</f>
        <v>1003.7618910000001</v>
      </c>
      <c r="S65" s="3">
        <f>120.2+(1127.2-281.2)+(-0.122604+(-1.149744--0.286824))+0-0-0</f>
        <v>965.21447599999999</v>
      </c>
      <c r="T65" s="3">
        <f>119.8+(1125.1-285.9)+(-0.061098+(-0.573801--0.145809))+0-0-0</f>
        <v>958.51090999999985</v>
      </c>
      <c r="U65" s="3">
        <f>119.4+(1102.9-285.3)+(-0.30447+(-2.812395--0.727515))+0-0-0</f>
        <v>934.61065000000008</v>
      </c>
      <c r="V65" s="3">
        <f>94.4+(1061.8-270.2)+(-0.337008+(-3.790626--0.964614))+0-0-0</f>
        <v>882.83697999999993</v>
      </c>
      <c r="W65" s="3">
        <f>62.1+(1072.8-281.9)+(-0.221697+(-3.829896--1.006383))+0-0-0</f>
        <v>849.95479</v>
      </c>
      <c r="X65" s="3">
        <f>0+(1136.2-278.3)+(0+(-4.635696--1.135464))+0-0-0</f>
        <v>854.39976800000011</v>
      </c>
      <c r="Y65" s="3">
        <f>0+(1209.4-362.9)+(0+(-3.08397--0.925395))+0-0-0</f>
        <v>844.34142500000007</v>
      </c>
      <c r="Z65" s="3">
        <f>0+(1190.4-290.4)+(0+(-0.607104--0.148104))+0-0-0</f>
        <v>899.54100000000017</v>
      </c>
      <c r="AA65" s="3">
        <f>0+(1125.8-251.1)+(0+(-2.87079--0.640305))+0-0-0</f>
        <v>872.46951499999989</v>
      </c>
      <c r="AB65" s="3">
        <f>0+(1106.7-255.5)+(0+(-2.257668--0.52122))+0-0-0</f>
        <v>849.46355200000005</v>
      </c>
      <c r="AC65" s="3">
        <f>0+(1134.4-314.8)+(0+(-2.314176--0.642192))+0-0-0</f>
        <v>817.92801600000018</v>
      </c>
      <c r="AD65">
        <v>906.3</v>
      </c>
      <c r="AE65" s="3">
        <f>0+(1161-254.7)+(0+(0-0))+0-0-0</f>
        <v>906.3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0+(1080.6-293.3)+(0+(0-0))+0-0-0</f>
        <v>787.3</v>
      </c>
      <c r="G66" s="3">
        <f>0+(1134.5-370.9)+(0+(-1.735785--0.567477))+0-0-0</f>
        <v>762.431692</v>
      </c>
      <c r="H66" s="3">
        <f>0+(1170.7-425.5)+(0+(-1.194114--0.43401))+0-0-0</f>
        <v>744.43989600000009</v>
      </c>
      <c r="I66" s="3">
        <f>0+(1136.7-418.7)+(0+(-0.579717--0.213537))+0-0-0</f>
        <v>717.63382000000001</v>
      </c>
      <c r="J66" s="3">
        <f>0+(1120.4-408.6)+(0+(-2.85702--1.04193))+0-0-0</f>
        <v>709.98491000000001</v>
      </c>
      <c r="K66" s="3">
        <f>0+(1119.4-411.6)+(0+(-2.85447--1.04958))+0-0-0</f>
        <v>705.99511000000007</v>
      </c>
      <c r="L66" s="3">
        <f>0+(1069.3-370.9)+(0+(-0.545343--0.189159))+0-0-0</f>
        <v>698.04381599999999</v>
      </c>
      <c r="M66" s="3">
        <f>0+(1058.3-298.9)+(0+(0.539733-0.152439))+0-0-0</f>
        <v>759.78729399999997</v>
      </c>
      <c r="N66" s="3">
        <f>0+(1144.1-272.6)+(0+(0.583491-0.139026))+0-0-0</f>
        <v>871.94446499999992</v>
      </c>
      <c r="O66" s="3">
        <f>0+(1210.5-307.5)+(0+(-0.617355--0.156825))+0-0-0</f>
        <v>902.53947000000005</v>
      </c>
      <c r="P66" s="3">
        <f>0+(1148.6-240.6)+(0+(0.585786-0.122706))+0-0-0</f>
        <v>908.46307999999988</v>
      </c>
      <c r="Q66" s="3">
        <f>0+(1084.9-161.3)+(0+(-0.553299--0.082263))+0-0-0</f>
        <v>923.12896400000011</v>
      </c>
      <c r="R66" s="3">
        <f>0+(1057.9-152.3)+(0+(-0.539529--0.077673))+0-0-0</f>
        <v>905.13814400000012</v>
      </c>
      <c r="S66" s="3">
        <f>0+(1054.3-168.4)+(0+(-1.075386--0.171768))+0-0-0</f>
        <v>884.99638199999993</v>
      </c>
      <c r="T66" s="3">
        <f>0+(1085.7-196.5)+(0+(0-0))+0-0-0</f>
        <v>889.2</v>
      </c>
      <c r="U66" s="3">
        <f>0+(1077.2-191.5)+(0+(-3.296232--0.58599))+0-0-0</f>
        <v>882.98975800000005</v>
      </c>
      <c r="V66" s="3">
        <f>0+(1086.5-123.9)+(0+(-2.770575--0.315945))+0-0-0</f>
        <v>960.14537000000007</v>
      </c>
      <c r="W66" s="3">
        <f>0+(973.9-115.1)+(0+(-2.980134--0.352206))+0-0-0</f>
        <v>856.17207199999996</v>
      </c>
      <c r="X66" s="3">
        <f>0+(998.4-175.8)+(0+(-2.54592--0.44829))+0-0-0</f>
        <v>820.50236999999993</v>
      </c>
      <c r="Y66" s="3">
        <f>0+(991.8-198)+(0+(-0.505818--0.10098))+0-0-0</f>
        <v>793.39516199999991</v>
      </c>
      <c r="Z66" s="3">
        <f>0+(1031.9-195.3)+(0+(-1.052538--0.199206))+0-0-0</f>
        <v>835.74666800000011</v>
      </c>
      <c r="AA66" s="3">
        <f>0+(1026.5-219.5)+(0+(-2.09406--0.44778))+0-0-0</f>
        <v>805.35371999999995</v>
      </c>
      <c r="AB66" s="3">
        <f>0+(1102-217.3)+(0+(-2.8101--0.554115))+0-0-0</f>
        <v>882.44401500000004</v>
      </c>
      <c r="AC66" s="3">
        <f>0+(1167.4-296.7)+(0+(-1.786122--0.453951))+0-0-0</f>
        <v>869.36782900000003</v>
      </c>
      <c r="AD66">
        <v>936.9</v>
      </c>
      <c r="AE66" s="3">
        <f>0+(1160.3-223.4)+(0+(0-0))+0-0-0</f>
        <v>936.9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0+(1159-348.2)+(0+(-2.95545--0.88791))+0-0-0</f>
        <v>808.73245999999995</v>
      </c>
      <c r="G67" s="3">
        <f>0+(1142.1-345.4)+(0+(-2.329884--0.704616))+0-0-0</f>
        <v>795.07473199999993</v>
      </c>
      <c r="H67" s="3">
        <f>0+(1145.9-371.8)+(0+(-1.753227--0.568854))+0-0-0</f>
        <v>772.91562700000009</v>
      </c>
      <c r="I67" s="3">
        <f>0+(1112.2-348.6)+(0+(-2.268888--0.711144))+0-0-0</f>
        <v>762.04225600000007</v>
      </c>
      <c r="J67" s="3">
        <f>0+(1058.9-303.2)+(0+(0.540039-0.154632))+0-0-0</f>
        <v>756.08540700000003</v>
      </c>
      <c r="K67" s="3">
        <f>0+(1047.8-301.1)+(0+(-2.67189--0.767805))+0-0-0</f>
        <v>744.79591499999992</v>
      </c>
      <c r="L67" s="3">
        <f>0+(1037.8-287.3)+(0+(-1.587834--0.439569))+0-0-0</f>
        <v>749.35173499999996</v>
      </c>
      <c r="M67" s="3">
        <f>0+(984.1-191.4)+(0+(2.509455-0.48807))+0-0-0</f>
        <v>794.72138500000005</v>
      </c>
      <c r="N67" s="3">
        <f>0+(976.1-121.9)+(0+(-0.497811--0.062169))+0-0-0</f>
        <v>853.76435800000002</v>
      </c>
      <c r="O67" s="3">
        <f>0+(979.5-95.1)+(0+(0.99909-0.097002))+0-0-0</f>
        <v>885.30208800000003</v>
      </c>
      <c r="P67" s="3">
        <f>0+(923.6-22.7)+(0+(-0.471036--0.011577))+0-0-0</f>
        <v>900.44054099999994</v>
      </c>
      <c r="Q67" s="3">
        <f>0+(911.7-8.6)+(0+(0.929934-0.008772))+0-0-0</f>
        <v>904.021162</v>
      </c>
      <c r="R67" s="3">
        <f>0+(899.6-10.1)+(0+(-0.917592--0.010302))+0-0-0</f>
        <v>888.59271000000001</v>
      </c>
      <c r="S67" s="3">
        <f>0+(873.6-14.8)+(0+(-2.22768--0.03774))+0-0-0</f>
        <v>856.61006000000009</v>
      </c>
      <c r="T67" s="3">
        <f>0+(876.3-19.8)+(0+(-2.234565--0.05049))+0-0-0</f>
        <v>854.31592499999999</v>
      </c>
      <c r="U67" s="3">
        <f>0+(872.7-28.2)+(0+(-1.335231--0.043146))+0-0-0</f>
        <v>843.20791499999996</v>
      </c>
      <c r="V67" s="3">
        <f>0+(948.3-109.4)+(0+(-0.967266--0.111588))+0-0-0</f>
        <v>838.04432199999997</v>
      </c>
      <c r="W67" s="3">
        <f>0+(1032.4-204)+(0+(-1.053048--0.20808))+0-0-0</f>
        <v>827.5550320000001</v>
      </c>
      <c r="X67" s="3">
        <f>0+(1032.5-229.1)+(0+(-3.15945--0.701046))+0-0-0</f>
        <v>800.941596</v>
      </c>
      <c r="Y67" s="3">
        <f>0+(998.9-195.9)+(0+(-1.018878--0.199818))+0-0-0</f>
        <v>802.18093999999996</v>
      </c>
      <c r="Z67" s="3">
        <f>0+(1000.2-144)+(0+(-1.020204--0.14688))+0-0-0</f>
        <v>855.32667600000002</v>
      </c>
      <c r="AA67" s="3">
        <f>0+(1019.6-144.2)+(0+(-2.079984--0.294168))+0-0-0</f>
        <v>873.61418400000014</v>
      </c>
      <c r="AB67" s="3">
        <f>0+(1061.2-207.8)+(0+(-2.70606--0.52989))+0-0-0</f>
        <v>851.22383000000013</v>
      </c>
      <c r="AC67" s="3">
        <f>0+(999.7-158.8)+(0+(0-0))+0-0-0</f>
        <v>840.90000000000009</v>
      </c>
      <c r="AD67">
        <v>903.90000000000009</v>
      </c>
      <c r="AE67" s="3">
        <f>0+(1052.9-149)+(0+(0-0))+0-0-0</f>
        <v>903.90000000000009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0+(997.3-198)+(0+(-2.034492--0.40392))+0-0-0</f>
        <v>797.66942799999993</v>
      </c>
      <c r="G68" s="3">
        <f>0+(990.1-217.1)+(0+(-1.009902--0.221442))+0-0-0</f>
        <v>772.21154000000001</v>
      </c>
      <c r="H68" s="3">
        <f>0+(1022.5-269)+(0+(-1.564425--0.41157))+0-0-0</f>
        <v>752.34714499999995</v>
      </c>
      <c r="I68" s="3">
        <f>0+(1064.3-313.5)+(0+(0-0))+0-0-0</f>
        <v>750.8</v>
      </c>
      <c r="J68" s="3">
        <f>0+(1071.4-328)+(0+(0.546414-0.16728))+0-0-0</f>
        <v>743.77913400000011</v>
      </c>
      <c r="K68" s="3">
        <f>0+(1086.7-359.7)+(0+(-2.216868--0.733788))+0-0-0</f>
        <v>725.51692000000003</v>
      </c>
      <c r="L68" s="3">
        <f>0+(1107.7-409.9)+(0+(-1.129854--0.418098))+0-0-0</f>
        <v>697.08824400000003</v>
      </c>
      <c r="M68" s="3">
        <f>0+(1089-374.7)+(0+(-1.11078--0.382194))+0-0-0</f>
        <v>713.571414</v>
      </c>
      <c r="N68" s="3">
        <f>0+(1104.4-364.7)+(0+(-1.689732--0.557991))+0-0-0</f>
        <v>738.56825900000001</v>
      </c>
      <c r="O68" s="3">
        <f>0+(1114.7-333.6)+(0+(-1.136994--0.340272))+0-0-0</f>
        <v>780.30327799999998</v>
      </c>
      <c r="P68" s="3">
        <f>0+(1117.5-322.9)+(0+(-1.709775--0.494037))+0-0-0</f>
        <v>793.38426200000004</v>
      </c>
      <c r="Q68" s="3">
        <f>0+(1173.8-362.2)+(0+(-1.795914--0.554166))+0-0-0</f>
        <v>810.35825199999988</v>
      </c>
      <c r="R68" s="3">
        <f>0+(1178.3-393.2)+(0+(-0.600933--0.200532))+0-0-0</f>
        <v>784.69959899999992</v>
      </c>
      <c r="S68" s="3">
        <f>0+(1175.3-405.6)+(0+(-0.599403--0.206856))+0-0-0</f>
        <v>769.3074529999999</v>
      </c>
      <c r="T68" s="3">
        <f>0+(1191.8-428.4)+(0+(-2.431272--0.873936))+0-0-0</f>
        <v>761.84266400000001</v>
      </c>
      <c r="U68" s="3">
        <f>0+(1188-428.3)+(0+(-0.60588--0.218433))+0-0-0</f>
        <v>759.31255300000009</v>
      </c>
      <c r="V68" s="3">
        <f>0+(1142.2-389.4)+(0+(-0.582522--0.198594))+0-0-0</f>
        <v>752.4160720000001</v>
      </c>
      <c r="W68" s="3">
        <f>0+(1062.9-315.6)+(0+(-2.168316--0.643824))+0-0-0</f>
        <v>745.77550800000006</v>
      </c>
      <c r="X68" s="3">
        <f>0+(1025.3-276.7)+(0+(-2.614515--0.705585))+0-0-0</f>
        <v>746.69106999999985</v>
      </c>
      <c r="Y68" s="3">
        <f>0+(1009.5-276.2)+(0+(-1.544535--0.422586))+0-0-0</f>
        <v>732.17805099999998</v>
      </c>
      <c r="Z68" s="3">
        <f>0+(1016.2-226.5)+(0+(-1.554786--0.346545))+0-0-0</f>
        <v>788.491759</v>
      </c>
      <c r="AA68" s="3">
        <f>0+(1018.4-215)+(0+(-1.558152--0.32895))+0-0-0</f>
        <v>802.17079799999999</v>
      </c>
      <c r="AB68" s="3">
        <f>0+(1068.9-256.3)+(0+(-2.180556--0.522852))+0-0-0</f>
        <v>810.94229600000017</v>
      </c>
      <c r="AC68" s="3">
        <f>0+(1147.4-369.4)+(0+(-1.755522--0.565182))+0-0-0</f>
        <v>776.80966000000012</v>
      </c>
      <c r="AD68">
        <v>836.09999999999991</v>
      </c>
      <c r="AE68" s="3">
        <f>0+(1071.8-235.7)+(0+(0-0))+0-0-0</f>
        <v>836.09999999999991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0+(1142.9-403.2)+(0+(-2.331516--0.822528))+0-0-0</f>
        <v>738.191012</v>
      </c>
      <c r="G69" s="3">
        <f>0+(1161.6-444.8)+(0+(-2.369664--0.907392))+0-0-0</f>
        <v>715.33772799999997</v>
      </c>
      <c r="H69" s="3">
        <f>0+(1153.6-457.8)+(0+(-1.176672--0.466956))+0-0-0</f>
        <v>695.090284</v>
      </c>
      <c r="I69" s="3">
        <f>0+(1131.9-442.5)+(0+(-0.577269--0.225675))+0-0-0</f>
        <v>689.04840600000011</v>
      </c>
      <c r="J69" s="3">
        <f>0+(1129.2-433)+(0+(-1.151784--0.44166))+0-0-0</f>
        <v>695.48987600000009</v>
      </c>
      <c r="K69" s="3">
        <f>0+(1139.9-437.7)+(0+(-2.906745--1.116135))+0-0-0</f>
        <v>700.40939000000003</v>
      </c>
      <c r="L69" s="3">
        <f>0+(1143.4-410.3)+(0+(0-0))+0-0-0</f>
        <v>733.10000000000014</v>
      </c>
      <c r="M69" s="3">
        <f>0+(1190.9-404.6)+(0+(-1.214718--0.412692))+0-0-0</f>
        <v>785.49797400000011</v>
      </c>
      <c r="N69" s="3">
        <f>0+(1202.1-355.1)+(0+(-2.452284--0.724404))+0-0-0</f>
        <v>845.27211999999986</v>
      </c>
      <c r="O69" s="3">
        <f>0+(1191.1-305.4)+(0+(-0.607461--0.155754))+0-0-0</f>
        <v>885.24829299999988</v>
      </c>
      <c r="P69" s="3">
        <f>0+(1155.6-244)+(0+(0-0))+0-0-0</f>
        <v>911.59999999999991</v>
      </c>
      <c r="Q69" s="3">
        <f>0+(1121.7-193.9)+(0+(1.144134-0.197778))+0-0-0</f>
        <v>928.74635600000011</v>
      </c>
      <c r="R69" s="3">
        <f>0+(1088.3-163.8)+(0+(-0.555033--0.083538))+0-0-0</f>
        <v>924.028505</v>
      </c>
      <c r="S69" s="3">
        <f>0+(1104-191.4)+(0+(0-0))+0-0-0</f>
        <v>912.6</v>
      </c>
      <c r="T69" s="3">
        <f>0+(1131.4-238.9)+(0+(-0.577014--0.121839))+0-0-0</f>
        <v>892.04482500000006</v>
      </c>
      <c r="U69" s="3">
        <f>0+(1150.9-231.5)+(0+(-2.934795--0.590325))+0-0-0</f>
        <v>917.05553000000009</v>
      </c>
      <c r="V69" s="3">
        <f>0+(1180.5-284.1)+(0+(-1.806165--0.434673))+0-0-0</f>
        <v>895.02850799999999</v>
      </c>
      <c r="W69" s="3">
        <f>0+(1181.5-307.3)+(0+(-4.217955--1.097061))+0-0-0</f>
        <v>871.07910600000002</v>
      </c>
      <c r="X69" s="3">
        <f>0+(1135.1-275.9)+(0+(-4.052307--0.984963))+0-0-0</f>
        <v>856.13265599999988</v>
      </c>
      <c r="Y69" s="3">
        <f>0+(1122.3-275.8)+(0+(-0.572373--0.140658))+0-0-0</f>
        <v>846.06828499999995</v>
      </c>
      <c r="Z69" s="3">
        <f>0+(1123-218.9)+(0+(-1.14546--0.223278))+0-0-0</f>
        <v>903.177818</v>
      </c>
      <c r="AA69" s="3">
        <f>0+(1114.2-185.7)+(0+(-3.409452--0.568242))+0-0-0</f>
        <v>925.65878999999995</v>
      </c>
      <c r="AB69" s="3">
        <f>0+(1155.9-255.7)+(0+(-2.358036--0.521628))+0-0-0</f>
        <v>898.36359200000004</v>
      </c>
      <c r="AC69" s="3">
        <f>0+(1178.3-290.8)+(0+(-3.605598--0.889848))+0-0-0</f>
        <v>884.78425000000004</v>
      </c>
      <c r="AD69">
        <v>960.9</v>
      </c>
      <c r="AE69" s="3">
        <f>0+(1141.8-180.9)+(0+(0-0))+0-0-0</f>
        <v>960.9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0+(1206.9-370.5)+(0+(-1.231038--0.37791))+0-0-0</f>
        <v>835.54687200000012</v>
      </c>
      <c r="G70" s="3">
        <f>0+(1182-395.4)+(0+(-3.0141--1.00827))+0-0-0</f>
        <v>784.59417000000008</v>
      </c>
      <c r="H70" s="3">
        <f>0+(1177.4-409.1)+(0+(-2.401896--0.834564))+0-0-0</f>
        <v>766.7326680000001</v>
      </c>
      <c r="I70" s="3">
        <f>0+(1185.1-419.3)+(0+(-1.813203--0.641529))+0-0-0</f>
        <v>764.6283259999999</v>
      </c>
      <c r="J70" s="3">
        <f>0+(1185.7-410.5)+(0+(-1.814121--0.628065))+0-0-0</f>
        <v>774.01394400000004</v>
      </c>
      <c r="K70" s="3">
        <f>0+(1183.6-407.5)+(0+(-2.414544--0.8313))+0-0-0</f>
        <v>774.51675599999987</v>
      </c>
      <c r="L70" s="3">
        <f>0+(1163-375.3)+(0+(-1.77939--0.574209))+0-0-0</f>
        <v>786.49481900000001</v>
      </c>
      <c r="M70" s="3">
        <f>0+(1159.4-321.2)+(0+(-0.591294--0.163812))+0-0-0</f>
        <v>837.77251799999999</v>
      </c>
      <c r="N70" s="3">
        <f>0+(1241.3-340.2)+(0+(0-0))+0-0-0</f>
        <v>901.09999999999991</v>
      </c>
      <c r="O70" s="3">
        <f>0+(1242.1-298.5)+(0+(0.633471-0.152235))+0-0-0</f>
        <v>944.08123599999988</v>
      </c>
      <c r="P70" s="3">
        <f>0+(1198.8-211.2)+(0+(0.611388-0.107712))+0-0-0</f>
        <v>988.10367599999995</v>
      </c>
      <c r="Q70" s="3">
        <f>0+(1133-136.6)+(0+(0.57783-0.069666))+0-0-0</f>
        <v>996.90816399999994</v>
      </c>
      <c r="R70" s="3">
        <f>0+(1072.5-84.4)+(0+(0-0))+0-0-0</f>
        <v>988.1</v>
      </c>
      <c r="S70" s="3">
        <f>0+(1102.5-150.7)+(0+(0-0))+0-0-0</f>
        <v>951.8</v>
      </c>
      <c r="T70" s="3">
        <f>0+(1183.2-250.5)+(0+(-1.810296--0.383265))+0-0-0</f>
        <v>931.27296899999999</v>
      </c>
      <c r="U70" s="3">
        <f>0+(1196.1-265.1)+(0+(1.220022-0.270402))+0-0-0</f>
        <v>931.94961999999987</v>
      </c>
      <c r="V70" s="3">
        <f>0+(1193.7-263.5)+(0+(-1.217574--0.26877))+0-0-0</f>
        <v>929.25119600000005</v>
      </c>
      <c r="W70" s="3">
        <f>0+(1060.8-303.9)+(0+(-3.787056--1.084923))+0-0-0</f>
        <v>754.19786699999997</v>
      </c>
      <c r="X70" s="3">
        <f>0+(1053.8-329.6)+(0+(-2.68719--0.84048))+0-0-0</f>
        <v>722.3532899999999</v>
      </c>
      <c r="Y70" s="3">
        <f>0+(996.7-285.9)+(0+(-1.524951--0.437427))+0-0-0</f>
        <v>709.71247600000004</v>
      </c>
      <c r="Z70" s="3">
        <f>0+(992-214.4)+(0+(-1.01184--0.218688))+0-0-0</f>
        <v>776.80684800000006</v>
      </c>
      <c r="AA70" s="3">
        <f>0+(1130.4-181.9)+(0+(-2.88252--0.463845))+0-0-0</f>
        <v>946.08132500000011</v>
      </c>
      <c r="AB70" s="3">
        <f>0+(1237.1-288.6)+(0+(-2.523684--0.588744))+0-0-0</f>
        <v>946.5650599999999</v>
      </c>
      <c r="AC70" s="3">
        <f>0+(1263.2-356.7)+(0+(-2.576928--0.727668))+0-0-0</f>
        <v>904.65074000000004</v>
      </c>
      <c r="AD70">
        <v>868.1</v>
      </c>
      <c r="AE70" s="3">
        <f>0+(1033-164.9)+(0+(0-0))+0-0-0</f>
        <v>868.1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0+(1291.2-428.2)+(0+(-1.317024--0.436764))+0-0-0</f>
        <v>862.11973999999998</v>
      </c>
      <c r="G71" s="3">
        <f>0+(1255.7-435.5)+(0+(-2.561628--0.88842))+0-0-0</f>
        <v>818.526792</v>
      </c>
      <c r="H71" s="3">
        <f>0+(1169.9-364.1)+(0+(-2.386596--0.742764))+0-0-0</f>
        <v>804.15616800000009</v>
      </c>
      <c r="I71" s="3">
        <f>0+(1124.8-315)+(0+(-1.720944--0.48195))+0-0-0</f>
        <v>808.56100599999991</v>
      </c>
      <c r="J71" s="3">
        <f>0+(1108.6-306.3)+(0+(-0.565386--0.156213))+0-0-0</f>
        <v>801.89082699999994</v>
      </c>
      <c r="K71" s="3">
        <f>0+(1136.7-326.4)+(0+(-1.739151--0.499392))+0-0-0</f>
        <v>809.06024100000002</v>
      </c>
      <c r="L71" s="3">
        <f>0+(1093.9-287.5)+(0+(-1.115778--0.29325))+0-0-0</f>
        <v>805.57747200000006</v>
      </c>
      <c r="M71" s="3">
        <f>0+(1121.3-278.6)+(0+(0-0))+0-0-0</f>
        <v>842.69999999999993</v>
      </c>
      <c r="N71" s="3">
        <f>0+(1155.9-249.3)+(0+(1.179018-0.254286))+0-0-0</f>
        <v>907.52473200000009</v>
      </c>
      <c r="O71" s="3">
        <f>0+(1177.4-235.4)+(0+(0.600474-0.120054))+0-0-0</f>
        <v>942.48042000000009</v>
      </c>
      <c r="P71" s="3">
        <f>0+(1125.2-152.4)+(0+(0.573852-0.077724))+0-0-0</f>
        <v>973.29612800000007</v>
      </c>
      <c r="Q71" s="3">
        <f>0+(1112.6-140.4)+(0+(1.134852-0.143208))+0-0-0</f>
        <v>973.19164399999988</v>
      </c>
      <c r="R71" s="3">
        <f>0+(1114.2-174.1)+(0+(0.568242-0.088791))+0-0-0</f>
        <v>940.57945100000006</v>
      </c>
      <c r="S71" s="3">
        <f>0+(1158.2-229.8)+(0+(-0.590682--0.117198))+0-0-0</f>
        <v>927.92651600000011</v>
      </c>
      <c r="T71" s="3">
        <f>0+(1182.8-261.9)+(0+(-0.603228--0.133569))+0-0-0</f>
        <v>920.430341</v>
      </c>
      <c r="U71" s="3">
        <f>0+(1175.6-251.2)+(0+(-1.798668--0.384336))+0-0-0</f>
        <v>922.98566799999992</v>
      </c>
      <c r="V71" s="3">
        <f>0+(1190.8-250.2)+(0+(-1.214616--0.255204))+0-0-0</f>
        <v>939.64058799999987</v>
      </c>
      <c r="W71" s="3">
        <f>0+(1184.9-299.8)+(0+(-3.625794--0.917388))+0-0-0</f>
        <v>882.39159400000017</v>
      </c>
      <c r="X71" s="3">
        <f>0+(1180.4-317.4)+(0+(-3.612024--0.971244))+0-0-0</f>
        <v>860.35922000000016</v>
      </c>
      <c r="Y71" s="3">
        <f>0+(1138.6-283.5)+(0+(-2.322744--0.57834))+0-0-0</f>
        <v>853.35559599999988</v>
      </c>
      <c r="Z71" s="3">
        <f>0+(1144.4-245.6)+(0+(-1.167288--0.250512))+0-0-0</f>
        <v>897.88322400000004</v>
      </c>
      <c r="AA71" s="3">
        <f>0+(1127.7-186)+(0+(-3.450762--0.56916))+0-0-0</f>
        <v>938.818398</v>
      </c>
      <c r="AB71" s="3">
        <f>0+(1189.1-270)+(0+(-2.425764--0.5508))+0-0-0</f>
        <v>917.22503599999993</v>
      </c>
      <c r="AC71" s="3">
        <f>0+(1214.6-327.3)+(0+(-0.619446--0.166923))+0-0-0</f>
        <v>886.84747699999991</v>
      </c>
      <c r="AD71">
        <v>947.80000000000007</v>
      </c>
      <c r="AE71" s="3">
        <f>0+(1142.4-194.6)+(0+(0-0))+0-0-0</f>
        <v>947.80000000000007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0+(1261.6-407)+(0+(-1.286832--0.41514))+0-0-0</f>
        <v>853.72830799999986</v>
      </c>
      <c r="G72" s="3">
        <f>0+(1277.3-442.5)+(0+(-2.605692--0.9027))+0-0-0</f>
        <v>833.09700799999996</v>
      </c>
      <c r="H72" s="3">
        <f>0+(1243.1-440)+(0+(-2.535924--0.8976))+0-0-0</f>
        <v>801.4616759999999</v>
      </c>
      <c r="I72" s="3">
        <f>0+(1224.4-431.6)+(0+(-2.497776--0.880464))+0-0-0</f>
        <v>791.1826880000001</v>
      </c>
      <c r="J72" s="3">
        <f>0+(1221.9-431.7)+(0+(-0.623169--0.220167))+0-0-0</f>
        <v>789.79699800000003</v>
      </c>
      <c r="K72" s="3">
        <f>0+(1225-435.5)+(0+(-4.998--1.77684))+0-0-0</f>
        <v>786.27883999999995</v>
      </c>
      <c r="L72" s="3">
        <f>0+(1218.9-421.3)+(0+(-1.243278--0.429726))+0-0-0</f>
        <v>796.78644800000018</v>
      </c>
      <c r="M72" s="3">
        <f>0+(1223.9-356.8)+(0+(-1.248378--0.363936))+0-0-0</f>
        <v>866.2155580000001</v>
      </c>
      <c r="N72" s="3">
        <f>0+(1252.7-332)+(0+(0-0))+0-0-0</f>
        <v>920.7</v>
      </c>
      <c r="O72" s="3">
        <f>0+(1245.6-294.6)+(0+(-1.270512--0.300492))+0-0-0</f>
        <v>950.02997999999991</v>
      </c>
      <c r="P72" s="3">
        <f>0+(1231.2-244.7)+(0+(-1.883736--0.374391))+0-0-0</f>
        <v>984.99065499999995</v>
      </c>
      <c r="Q72" s="3">
        <f>0+(1229-189.1)+(0+(-2.50716--0.385764))+0-0-0</f>
        <v>1037.7786040000001</v>
      </c>
      <c r="R72" s="3">
        <f>0+(1211.3-208.3)+(0+(-1.235526--0.212466))+0-0-0</f>
        <v>1001.97694</v>
      </c>
      <c r="S72" s="3">
        <f>0+(1244.4-276.6)+(0+(-1.269288--0.282132))+0-0-0</f>
        <v>966.81284400000004</v>
      </c>
      <c r="T72" s="3">
        <f>0+(1216.4-272.3)+(0+(0.620364-0.138873))+0-0-0</f>
        <v>944.58149100000014</v>
      </c>
      <c r="U72" s="3">
        <f>0+(1234.9-283.4)+(0+(-1.259598--0.289068))+0-0-0</f>
        <v>950.52947000000006</v>
      </c>
      <c r="V72" s="3">
        <f>0+(1210.5-260.5)+(0+(-4.321485--0.929985))+0-0-0</f>
        <v>946.60850000000005</v>
      </c>
      <c r="W72" s="3">
        <f>0+(1150.9-232.9)+(0+(-1.173918--0.237558))+0-0-0</f>
        <v>917.06364000000008</v>
      </c>
      <c r="X72" s="3">
        <f>0+(1137.2-233)+(0+(-2.89986--0.59415))+0-0-0</f>
        <v>901.89429000000007</v>
      </c>
      <c r="Y72" s="3">
        <f>0+(1183.2-300.8)+(0+(0-0))+0-0-0</f>
        <v>882.40000000000009</v>
      </c>
      <c r="Z72" s="3">
        <f>0+(1166.8-244.9)+(0+(0-0))+0-0-0</f>
        <v>921.9</v>
      </c>
      <c r="AA72" s="3">
        <f>0+(1118.3-161)+(0+(-2.281332--0.32844))+0-0-0</f>
        <v>955.34710799999993</v>
      </c>
      <c r="AB72" s="3">
        <f>0+(1148.1-212.1)+(0+(0-0))+0-0-0</f>
        <v>935.99999999999989</v>
      </c>
      <c r="AC72" s="3">
        <f>0+(1156.6-245.3)+(0+(-2.359464--0.500412))+0-0-0</f>
        <v>909.44094799999993</v>
      </c>
      <c r="AD72">
        <v>978.69999999999993</v>
      </c>
      <c r="AE72" s="3">
        <f>0+(1133.8-155.1)+(0+(0-0))+0-0-0</f>
        <v>978.69999999999993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0+(1152.3-278.9)+(0+(-2.350692--0.568956))+0-0-0</f>
        <v>871.61826399999995</v>
      </c>
      <c r="G73" s="3">
        <f>0+(1175.6-342.9)+(0+(-2.99778--0.874395))+0-0-0</f>
        <v>830.57661499999995</v>
      </c>
      <c r="H73" s="3">
        <f>0+(1260.9-445.7)+(0+(-0.643059--0.227307))+0-0-0</f>
        <v>814.78424800000005</v>
      </c>
      <c r="I73" s="3">
        <f>0+(1302.2-494.2)+(0+(0-0))+0-0-0</f>
        <v>808</v>
      </c>
      <c r="J73" s="3">
        <f>0+(1295.9-491.8)+(0+(-1.321818--0.501636))+0-0-0</f>
        <v>803.27981800000009</v>
      </c>
      <c r="K73" s="3">
        <f>0+(1258-458.2)+(0+(-3.2079--1.16841))+0-0-0</f>
        <v>797.76050999999995</v>
      </c>
      <c r="L73" s="3">
        <f>0+(1137.1-346.1)+(0+(1.159842-0.353022))+0-0-0</f>
        <v>791.8068199999999</v>
      </c>
      <c r="M73" s="3">
        <f>0+(1155.8-317.3)+(0+(-0.589458--0.161823))+0-0-0</f>
        <v>838.07236499999999</v>
      </c>
      <c r="N73" s="3">
        <f>0+(1193.1-274.2)+(0+(1.825443-0.419526))+0-0-0</f>
        <v>920.30591699999991</v>
      </c>
      <c r="O73" s="3">
        <f>0+(1208.3-271.1)+(0+(-0.616233--0.138261))+0-0-0</f>
        <v>936.72202799999991</v>
      </c>
      <c r="P73" s="3">
        <f>0+(1159.5-195.6)+(0+(0-0))+0-0-0</f>
        <v>963.9</v>
      </c>
      <c r="Q73" s="3">
        <f>0+(1140.2-139.1)+(0+(0-0))+0-0-0</f>
        <v>1001.1</v>
      </c>
      <c r="R73" s="3">
        <f>0+(1112.7-124)+(0+(0.567477-0.06324))+0-0-0</f>
        <v>989.20423700000003</v>
      </c>
      <c r="S73" s="3">
        <f>56+(1085-189.5)+(-0.11424+(-2.2134--0.38658))+0-0-0</f>
        <v>949.55894000000001</v>
      </c>
      <c r="T73" s="3">
        <f>108.7+(1069.2-219.1)+(-0.221748+(-2.181168--0.446964))+0-0-0</f>
        <v>956.84404800000004</v>
      </c>
      <c r="U73" s="3">
        <f>109.1+(1091.8-249.5)+(-0.111282+(-1.113636--0.25449))+0-0-0</f>
        <v>950.42957200000001</v>
      </c>
      <c r="V73" s="3">
        <f>109.2+(1089.2-245.1)+(-0.222768+(-2.221968--0.500004))+0-0-0</f>
        <v>951.35526800000002</v>
      </c>
      <c r="W73" s="3">
        <f>109.8+(1128.1-289.8)+(-0.27999+(-2.876655--0.73899))+0-0-0</f>
        <v>945.68234499999994</v>
      </c>
      <c r="X73" s="3">
        <f>112.1+(1146.6-331.4)+(-0.57171+(-5.84766--1.69014))+0-0-0</f>
        <v>922.57076999999992</v>
      </c>
      <c r="Y73" s="3">
        <f>56.7+(1103.7-256.2)+(-0.086751+(-1.688661--0.391986))+0-0-0</f>
        <v>902.81657400000006</v>
      </c>
      <c r="Z73" s="3">
        <f>48.1+(1119.3-232.3)+(0.024531+(0.570843-0.118473))+0-0-0</f>
        <v>935.57690100000002</v>
      </c>
      <c r="AA73" s="3">
        <f>101.7+(1153.5-294)+(-0.207468+(-2.35314--0.59976))+0-0-0</f>
        <v>959.23915199999999</v>
      </c>
      <c r="AB73" s="3">
        <f>115.5+(1121.6-293.3)+(-0.11781+(-1.144032--0.299166))+0-0-0</f>
        <v>942.83732399999997</v>
      </c>
      <c r="AC73" s="3">
        <f>115.7+(1157.5-360.8)+(-0.295035+(-2.951625--0.92004))+0-0-0</f>
        <v>910.07338000000004</v>
      </c>
      <c r="AD73">
        <v>970.30000000000007</v>
      </c>
      <c r="AE73" s="3">
        <f>115+(1170.9-315.6)+(0+(0-0))+0-0-0</f>
        <v>970.30000000000007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89.5+(1117.3-355.8)+(-0.228225+(-2.849115--0.90729))+0-0-0</f>
        <v>848.82995000000005</v>
      </c>
      <c r="G74" s="3">
        <f>0+(1092.4-272.8)+(0+(-2.78562--0.69564))+0-0-0</f>
        <v>817.51002000000017</v>
      </c>
      <c r="H74" s="3">
        <f>0+(1101.8-299.4)+(0+(0.561918-0.152694))+0-0-0</f>
        <v>802.80922399999997</v>
      </c>
      <c r="I74" s="3">
        <f>0+(1145.3-354.7)+(0+(-0.584103--0.180897))+0-0-0</f>
        <v>790.19679399999995</v>
      </c>
      <c r="J74" s="3">
        <f>0+(1158-370.6)+(0+(-4.13406--1.323042))+0-0-0</f>
        <v>784.58898199999999</v>
      </c>
      <c r="K74" s="3">
        <f>0+(1161.8-369.3)+(0+(-5.332662--1.695087))+0-0-0</f>
        <v>788.86242500000003</v>
      </c>
      <c r="L74" s="3">
        <f>0+(1188.9-389.7)+(0+(-3.031695--0.993735))+0-0-0</f>
        <v>797.16204000000005</v>
      </c>
      <c r="M74" s="3">
        <f>0+(1131.4-299.3)+(0+(1.731042-0.457929))+0-0-0</f>
        <v>833.3731130000001</v>
      </c>
      <c r="N74" s="3">
        <f>0+(1124.7-245.8)+(0+(1.720791-0.376074))+0-0-0</f>
        <v>880.24471700000004</v>
      </c>
      <c r="O74" s="3">
        <f>0+(1169.6-241.1)+(0+(2.385984-0.491844))+0-0-0</f>
        <v>930.39413999999988</v>
      </c>
      <c r="P74" s="3">
        <f>0+(1142.6-197.7)+(0+(1.748178-0.302481))+0-0-0</f>
        <v>946.34569699999986</v>
      </c>
      <c r="Q74" s="3">
        <f>0+(1132.3-185.1)+(0+(0-0))+0-0-0</f>
        <v>947.19999999999993</v>
      </c>
      <c r="R74" s="3">
        <f>0+(1217.5-266.5)+(0+(-0.620925--0.135915))+0-0-0</f>
        <v>950.51499000000001</v>
      </c>
      <c r="S74" s="3">
        <f>0+(1244.8-320.7)+(0+(-3.17424--0.817785))+0-0-0</f>
        <v>921.74354499999993</v>
      </c>
      <c r="T74" s="3">
        <f>0+(1240.8-323.1)+(0+(-3.796848--0.988686))+0-0-0</f>
        <v>914.89183799999989</v>
      </c>
      <c r="U74" s="3">
        <f>0+(1219.9-291.6)+(0+(-1.866447--0.446148))+0-0-0</f>
        <v>926.87970100000007</v>
      </c>
      <c r="V74" s="3">
        <f>30.8+(1151.9-296.3)+(0+(0-0))+0-0-0</f>
        <v>886.40000000000009</v>
      </c>
      <c r="W74" s="3">
        <f>26.3+(1022.7-200.8)+(0.026826+(1.043154-0.204816))+0-0-0</f>
        <v>849.0651640000001</v>
      </c>
      <c r="X74" s="3">
        <f>0+(1000.9-163.7)+(0+(-1.531377--0.250461))+0-0-0</f>
        <v>835.919084</v>
      </c>
      <c r="Y74" s="3">
        <f>0+(1027.1-187.5)+(0+(0.523821-0.095625))+0-0-0</f>
        <v>840.02819599999987</v>
      </c>
      <c r="Z74" s="3">
        <f>0+(1078.7-210.6)+(0+(-1.650411--0.322218))+0-0-0</f>
        <v>866.77180699999997</v>
      </c>
      <c r="AA74" s="3">
        <f>0+(1085-181.8)+(0+(-1.1067--0.185436))+0-0-0</f>
        <v>902.27873600000009</v>
      </c>
      <c r="AB74" s="3">
        <f>0+(1143.7-245.2)+(0+(-1.749861--0.375156))+0-0-0</f>
        <v>897.12529500000005</v>
      </c>
      <c r="AC74" s="3">
        <f>0+(1132.1-267.6)+(0+(0-0))+0-0-0</f>
        <v>864.49999999999989</v>
      </c>
      <c r="AD74">
        <v>905.09999999999991</v>
      </c>
      <c r="AE74" s="3">
        <f>0+(1104.6-199.5)+(0+(0-0))+0-0-0</f>
        <v>905.09999999999991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0+(1158.1-324.1)+(0+(-1.181262--0.330582))+0-0-0</f>
        <v>833.14931999999988</v>
      </c>
      <c r="G75" s="3">
        <f>0+(1196.2-396.1)+(0+(-2.440248--0.808044))+0-0-0</f>
        <v>798.46779600000002</v>
      </c>
      <c r="H75" s="3">
        <f>0+(1213.7-453.1)+(0+(-2.475948--0.924324))+0-0-0</f>
        <v>759.04837600000008</v>
      </c>
      <c r="I75" s="3">
        <f>0+(1213.1-459.9)+(0+(0.618681-0.234549))+0-0-0</f>
        <v>753.58413199999995</v>
      </c>
      <c r="J75" s="3">
        <f>0+(1226.2-483.7)+(0+(-1.250724--0.493374))+0-0-0</f>
        <v>741.74265000000003</v>
      </c>
      <c r="K75" s="3">
        <f>0+(1231.2-514)+(0+(-1.255824--0.52428))+0-0-0</f>
        <v>716.46845600000006</v>
      </c>
      <c r="L75" s="3">
        <f>0+(1174.4-509)+(0+(-2.99472--1.29795))+0-0-0</f>
        <v>663.70323000000008</v>
      </c>
      <c r="M75" s="3">
        <f>0+(1155.9-475.7)+(0+(0-0))+0-0-0</f>
        <v>680.2</v>
      </c>
      <c r="N75" s="3">
        <f>0+(1182.2-478.9)+(0+(1.808766-0.732717))+0-0-0</f>
        <v>704.37604900000008</v>
      </c>
      <c r="O75" s="3">
        <f>0+(1217.7-472.1)+(0+(1.863081-0.722313))+0-0-0</f>
        <v>746.740768</v>
      </c>
      <c r="P75" s="3">
        <f>0+(1240.1-461)+(0+(3.162255-1.17555))+0-0-0</f>
        <v>781.08670499999994</v>
      </c>
      <c r="Q75" s="3">
        <f>0+(1186.2-396.2)+(0+(1.814886-0.606186))+0-0-0</f>
        <v>791.20870000000002</v>
      </c>
      <c r="R75" s="3">
        <f>0+(1159.6-354.4)+(0+(-1.182792--0.361488))+0-0-0</f>
        <v>804.37869599999988</v>
      </c>
      <c r="S75" s="3">
        <f>0+(1147.2-344.1)+(0+(-0.585072--0.175491))+0-0-0</f>
        <v>802.69041900000002</v>
      </c>
      <c r="T75" s="3">
        <f>0+(1184.9-397.9)+(0+(0-0))+0-0-0</f>
        <v>787.00000000000011</v>
      </c>
      <c r="U75" s="3">
        <f>0+(1222.1-431.5)+(0+(0-0))+0-0-0</f>
        <v>790.59999999999991</v>
      </c>
      <c r="V75" s="3">
        <f>0+(1225.6-444.5)+(0+(-1.875168--0.680085))+0-0-0</f>
        <v>779.90491699999995</v>
      </c>
      <c r="W75" s="3">
        <f>0+(1234.8-451.7)+(0+(-3.14874--1.151835))+0-0-0</f>
        <v>781.10309499999994</v>
      </c>
      <c r="X75" s="3">
        <f>0+(1179.2-402.3)+(0+(-3.00696--1.025865))+0-0-0</f>
        <v>774.91890500000011</v>
      </c>
      <c r="Y75" s="3">
        <f>0+(1118.2-348.5)+(0+(-1.140564--0.35547))+0-0-0</f>
        <v>768.91490600000009</v>
      </c>
      <c r="Z75" s="3">
        <f>0+(1044.9-243.5)+(0+(-1.065798--0.24837))+0-0-0</f>
        <v>800.58257200000014</v>
      </c>
      <c r="AA75" s="3">
        <f>0+(1029.1-185.1)+(0+(-2.099364--0.377604))+0-0-0</f>
        <v>842.27823999999987</v>
      </c>
      <c r="AB75" s="3">
        <f>0+(1011.7-180.7)+(0+(-2.063868--0.368628))+0-0-0</f>
        <v>829.30475999999999</v>
      </c>
      <c r="AC75" s="3">
        <f>0+(1089-274.1)+(0+(-1.11078--0.279582))+0-0-0</f>
        <v>814.06880200000001</v>
      </c>
      <c r="AD75">
        <v>851.6</v>
      </c>
      <c r="AE75" s="3">
        <f>0+(1008.1-156.5)+(0+(0-0))+0-0-0</f>
        <v>851.6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0+(1183.9-413.9)+(0+(-2.415156--0.844356))+0-0-0</f>
        <v>768.42920000000015</v>
      </c>
      <c r="G76" s="3">
        <f>0+(1257.9-522.3)+(0+(0-0))+0-0-0</f>
        <v>735.60000000000014</v>
      </c>
      <c r="H76" s="3">
        <f>0+(1283.6-563.2)+(0+(-1.963908--0.861696))+0-0-0</f>
        <v>719.29778799999985</v>
      </c>
      <c r="I76" s="3">
        <f>0+(1261.2-547.1)+(0+(-1.286424--0.558042))+0-0-0</f>
        <v>713.37161800000001</v>
      </c>
      <c r="J76" s="3">
        <f>0+(1235.9-524.4)+(0+(0.630309-0.267444))+0-0-0</f>
        <v>711.86286500000017</v>
      </c>
      <c r="K76" s="3">
        <f>0+(1173.7-473.9)+(0+(-3.591522--1.450134))+0-0-0</f>
        <v>697.65861200000006</v>
      </c>
      <c r="L76" s="3">
        <f>0+(1140.8-465.1)+(0+(-1.745424--0.711603))+0-0-0</f>
        <v>674.66617899999994</v>
      </c>
      <c r="M76" s="3">
        <f>0+(1122.3-429.2)+(0+(1.144746-0.437784))+0-0-0</f>
        <v>693.80696199999988</v>
      </c>
      <c r="N76" s="3">
        <f>0+(1210.5-404.8)+(0+(-3.086775--1.03224))+0-0-0</f>
        <v>803.64546500000006</v>
      </c>
      <c r="O76" s="3">
        <f>0+(1219.1-404.9)+(0+(-0.621741--0.206499))+0-0-0</f>
        <v>813.7847579999999</v>
      </c>
      <c r="P76" s="3">
        <f>0+(1290.2-422.5)+(0+(0-0))+0-0-0</f>
        <v>867.7</v>
      </c>
      <c r="Q76" s="3">
        <f>0+(1331.2-443.8)+(0+(0.678912-0.226338))+0-0-0</f>
        <v>887.85257400000012</v>
      </c>
      <c r="R76" s="3">
        <f>0+(1284.8-464.8)+(0+(0-0))+0-0-0</f>
        <v>820</v>
      </c>
      <c r="S76" s="3">
        <f>0+(1290.1-484.9)+(0+(-0.657951--0.247299))+0-0-0</f>
        <v>804.7893479999999</v>
      </c>
      <c r="T76" s="3">
        <f>0+(1300.6-498.8)+(0+(-3.31653--1.27194))+0-0-0</f>
        <v>799.75540999999998</v>
      </c>
      <c r="U76" s="3">
        <f>0+(1273.6-470.6)+(0+(-1.299072--0.480012))+0-0-0</f>
        <v>802.18093999999985</v>
      </c>
      <c r="V76" s="3">
        <f>0+(1237.1-415.7)+(0+(-3.154605--1.060035))+0-0-0</f>
        <v>819.30542999999989</v>
      </c>
      <c r="W76" s="3">
        <f>0+(1190.2-399.1)+(0+(-2.428008--0.814164))+0-0-0</f>
        <v>789.48615600000005</v>
      </c>
      <c r="X76" s="3">
        <f>0+(1182.8-402.3)+(0+(-3.619368--1.231038))+0-0-0</f>
        <v>778.11167</v>
      </c>
      <c r="Y76" s="3">
        <f>0+(1167.3-405.9)+(0+(-1.785969--0.621027))+0-0-0</f>
        <v>760.23505799999998</v>
      </c>
      <c r="Z76" s="3">
        <f>0+(1112.9-308.6)+(0+(-1.135158--0.314772))+0-0-0</f>
        <v>803.47961400000008</v>
      </c>
      <c r="AA76" s="3">
        <f>0+(1104.5-247.3)+(0+(-2.25318--0.504492))+0-0-0</f>
        <v>855.45131200000003</v>
      </c>
      <c r="AB76" s="3">
        <f>0+(1089.2-247)+(0+(-1.666476--0.37791))+0-0-0</f>
        <v>840.9114340000001</v>
      </c>
      <c r="AC76" s="3">
        <f>0+(1069.7-254.7)+(0+(-1.636641--0.389691))+0-0-0</f>
        <v>813.75305000000003</v>
      </c>
      <c r="AD76">
        <v>881.7</v>
      </c>
      <c r="AE76" s="3">
        <f>0+(1124.2-242.5)+(0+(0-0))+0-0-0</f>
        <v>881.7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0+(1104.1-324.4)+(0+(-2.252364--0.661776))+0-0-0</f>
        <v>778.10941199999991</v>
      </c>
      <c r="G77" s="3">
        <f>0+(1104.7-359.1)+(0+(0.563397-0.183141))+0-0-0</f>
        <v>745.98025600000005</v>
      </c>
      <c r="H77" s="3">
        <f>0+(1139-411.5)+(0+(-1.16178--0.41973))+0-0-0</f>
        <v>726.75795000000005</v>
      </c>
      <c r="I77" s="3">
        <f>0+(1150.3-428.1)+(0+(0-0))+0-0-0</f>
        <v>722.19999999999993</v>
      </c>
      <c r="J77" s="3">
        <f>0+(1179.1-466.4)+(0+(1.804023-0.713592))+0-0-0</f>
        <v>713.7904309999999</v>
      </c>
      <c r="K77" s="3">
        <f>0+(1154-442.8)+(0+(-3.53124--1.354968))+0-0-0</f>
        <v>709.02372800000001</v>
      </c>
      <c r="L77" s="3">
        <f>0+(1096.9-404.2)+(0+(-1.118838--0.412284))+0-0-0</f>
        <v>691.99344600000006</v>
      </c>
      <c r="M77" s="3">
        <f>0+(1063.6-351.7)+(0+(0.542436-0.179367))+0-0-0</f>
        <v>712.26306899999986</v>
      </c>
      <c r="N77" s="3">
        <f>0+(1101.2-353.6)+(0+(0-0))+0-0-0</f>
        <v>747.6</v>
      </c>
      <c r="O77" s="3">
        <f>0+(1228.9-442.7)+(0+(-1.253478--0.451554))+0-0-0</f>
        <v>785.39807600000006</v>
      </c>
      <c r="P77" s="3">
        <f>0+(1286.8-455.5)+(0+(0-0))+0-0-0</f>
        <v>831.3</v>
      </c>
      <c r="Q77" s="3">
        <f>0+(1298-449.4)+(0+(0.66198-0.229194))+0-0-0</f>
        <v>849.03278599999999</v>
      </c>
      <c r="R77" s="3">
        <f>0+(1287.2-437.6)+(0+(1.312944-0.446352))+0-0-0</f>
        <v>850.46659199999999</v>
      </c>
      <c r="S77" s="3">
        <f>0+(1237.3-411.5)+(0+(-0.631023--0.209865))+0-0-0</f>
        <v>825.37884199999996</v>
      </c>
      <c r="T77" s="3">
        <f>0+(1251.5-422.4)+(0+(0.638265-0.215424))+0-0-0</f>
        <v>829.52284099999997</v>
      </c>
      <c r="U77" s="3">
        <f>0+(1248-423.1)+(0+(-1.27296--0.431562))+0-0-0</f>
        <v>824.05860199999995</v>
      </c>
      <c r="V77" s="3">
        <f>0+(1258.9-431.6)+(0+(-1.284078--0.440232))+0-0-0</f>
        <v>826.45615400000008</v>
      </c>
      <c r="W77" s="3">
        <f>0+(1230.2-412.1)+(0+(-3.13701--1.050855))+0-0-0</f>
        <v>816.01384500000006</v>
      </c>
      <c r="X77" s="3">
        <f>0+(1186.5-370)+(0+(-4.235805--1.3209))+0-0-0</f>
        <v>813.58509500000002</v>
      </c>
      <c r="Y77" s="3">
        <f>0+(1108.9-311.8)+(0+(-1.131078--0.318036))+0-0-0</f>
        <v>796.28695800000014</v>
      </c>
      <c r="Z77" s="3">
        <f>0+(1095.2-265.3)+(0+(0.558552-0.135303))+0-0-0</f>
        <v>830.32324900000015</v>
      </c>
      <c r="AA77" s="3">
        <f>0+(1114.2-237.4)+(0+(-1.704726--0.363222))+0-0-0</f>
        <v>875.45849600000008</v>
      </c>
      <c r="AB77" s="3">
        <f>0+(1155-284.7)+(0+(-2.3562--0.580788))+0-0-0</f>
        <v>868.52458799999999</v>
      </c>
      <c r="AC77" s="3">
        <f>0+(1208.6-360.5)+(0+(-3.08193--0.919275))+0-0-0</f>
        <v>845.93734499999994</v>
      </c>
      <c r="AD77">
        <v>888.3</v>
      </c>
      <c r="AE77" s="3">
        <f>0+(1160.3-272)+(0+(0-0))+0-0-0</f>
        <v>888.3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0+(1198-402)+(0+(-1.83294--0.61506))+0-0-0</f>
        <v>794.78211999999996</v>
      </c>
      <c r="G78" s="3">
        <f>0+(1165.6-402.3)+(0+(-1.188912--0.410346))+0-0-0</f>
        <v>762.521434</v>
      </c>
      <c r="H78" s="3">
        <f>0+(1192.9-444.7)+(0+(-1.216758--0.453594))+0-0-0</f>
        <v>747.43683600000008</v>
      </c>
      <c r="I78" s="3">
        <f>0+(1191.9-449)+(0+(0.607869-0.22899))+0-0-0</f>
        <v>743.27887900000007</v>
      </c>
      <c r="J78" s="3">
        <f>0+(1164.5-425.3)+(0+(-2.969475--1.084515))+0-0-0</f>
        <v>737.31504000000007</v>
      </c>
      <c r="K78" s="3">
        <f>0+(1161.6-424.9)+(0+(-4.146912--1.516893))+0-0-0</f>
        <v>734.06998099999998</v>
      </c>
      <c r="L78" s="3">
        <f>0+(1150.6-397.5)+(0+(1.173612-0.40545))+0-0-0</f>
        <v>753.86816199999987</v>
      </c>
      <c r="M78" s="3">
        <f>0+(1158.3-345.5)+(0+(0-0))+0-0-0</f>
        <v>812.8</v>
      </c>
      <c r="N78" s="3">
        <f>0+(1260.4-385.1)+(0+(0-0))+0-0-0</f>
        <v>875.30000000000007</v>
      </c>
      <c r="O78" s="3">
        <f>0+(1307.7-382)+(0+(0.666927-0.19482))+0-0-0</f>
        <v>926.1721070000001</v>
      </c>
      <c r="P78" s="3">
        <f>0+(1271.8-310.1)+(0+(1.297236-0.316302))+0-0-0</f>
        <v>962.68093399999998</v>
      </c>
      <c r="Q78" s="3">
        <f>0+(1239.8-225.5)+(0+(0.632298-0.115005))+0-0-0</f>
        <v>1014.8172929999999</v>
      </c>
      <c r="R78" s="3">
        <f>0+(1229.1-233.9)+(0+(0.626841-0.119289))+0-0-0</f>
        <v>995.70755199999996</v>
      </c>
      <c r="S78" s="3">
        <f>0+(1230.8-265.7)+(0+(-1.255416--0.271014))+0-0-0</f>
        <v>964.11559799999986</v>
      </c>
      <c r="T78" s="3">
        <f>0+(1260.7-284.3)+(0+(-0.642957--0.144993))+0-0-0</f>
        <v>975.90203600000007</v>
      </c>
      <c r="U78" s="3">
        <f>0+(1291-315)+(0+(-2.63364--0.6426))+0-0-0</f>
        <v>974.00896</v>
      </c>
      <c r="V78" s="3">
        <f>0+(1319-335.1)+(0+(-4.70883--1.196307))+0-0-0</f>
        <v>980.38747699999999</v>
      </c>
      <c r="W78" s="3">
        <f>0+(1231-275.9)+(0+(-1.88343--0.422127))+0-0-0</f>
        <v>953.63869699999998</v>
      </c>
      <c r="X78" s="3">
        <f>0+(1253.3-311.1)+(0+(-3.195915--0.793305))+0-0-0</f>
        <v>939.79738999999995</v>
      </c>
      <c r="Y78" s="3">
        <f>0+(1179.9-262.5)+(0+(-1.805247--0.401625))+0-0-0</f>
        <v>915.99637800000005</v>
      </c>
      <c r="Z78" s="3">
        <f>0+(1226.8-247.8)+(0+(-1.251336--0.252756))+0-0-0</f>
        <v>978.00142000000005</v>
      </c>
      <c r="AA78" s="3">
        <f>0+(1222.8-205.6)+(0+(-2.494512--0.419424))+0-0-0</f>
        <v>1015.1249119999999</v>
      </c>
      <c r="AB78" s="3">
        <f>0+(1259.7-270.9)+(0+(-2.569788--0.552636))+0-0-0</f>
        <v>986.78284800000006</v>
      </c>
      <c r="AC78" s="3">
        <f>0+(1329.3-363.2)+(0+(-2.033829--0.555696))+0-0-0</f>
        <v>964.62186699999995</v>
      </c>
      <c r="AD78">
        <v>1022.8999999999999</v>
      </c>
      <c r="AE78" s="3">
        <f>0+(1216.6-193.7)+(0+(0-0))+0-0-0</f>
        <v>1022.8999999999999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0+(1331.4-415.5)+(0+(-3.39507--1.059525))+0-0-0</f>
        <v>913.56445500000007</v>
      </c>
      <c r="G79" s="3">
        <f>0+(1331.8-456.2)+(0+(-2.716872--0.930648))+0-0-0</f>
        <v>873.81377599999996</v>
      </c>
      <c r="H79" s="3">
        <f>0+(1354.3-493.9)+(0+(-1.381386--0.503778))+0-0-0</f>
        <v>859.52239199999997</v>
      </c>
      <c r="I79" s="3">
        <f>0+(1342.2-482.1)+(0+(-3.42261--1.229355))+0-0-0</f>
        <v>857.906745</v>
      </c>
      <c r="J79" s="3">
        <f>0+(1305.2-448.5)+(0+(-3.32826--1.143675))+0-0-0</f>
        <v>854.51541500000008</v>
      </c>
      <c r="K79" s="3">
        <f>0+(1316.1-462)+(0+(-3.356055--1.1781))+0-0-0</f>
        <v>851.92204499999991</v>
      </c>
      <c r="L79" s="3">
        <f>0+(1226-376.5)+(0+(0.62526-0.192015))+0-0-0</f>
        <v>849.93324500000006</v>
      </c>
      <c r="M79" s="3">
        <f>0+(1192.2-309.8)+(0+(0-0))+0-0-0</f>
        <v>882.40000000000009</v>
      </c>
      <c r="N79" s="3">
        <f>0+(1205.4-305.2)+(0+(-1.229508--0.311304))+0-0-0</f>
        <v>899.2817960000001</v>
      </c>
      <c r="O79" s="3">
        <f>0+(1255.7-314.4)+(0+(-1.280814--0.320688))+0-0-0</f>
        <v>940.33987400000012</v>
      </c>
      <c r="P79" s="3">
        <f>0+(1267-264.7)+(0+(-1.93851--0.404991))+0-0-0</f>
        <v>1000.766481</v>
      </c>
      <c r="Q79" s="3">
        <f>0+(1246.7-236.5)+(0+(0.635817-0.120615))+0-0-0</f>
        <v>1010.7152020000001</v>
      </c>
      <c r="R79" s="3">
        <f>0+(1202.9-205.4)+(0+(1.226958-0.209508))+0-0-0</f>
        <v>998.51745000000017</v>
      </c>
      <c r="S79" s="3">
        <f>0+(1211.5-231.9)+(0+(-1.23573--0.236538))+0-0-0</f>
        <v>978.60080800000003</v>
      </c>
      <c r="T79" s="3">
        <f>0+(1220.4-230.6)+(0+(-0.622404--0.117606))+0-0-0</f>
        <v>989.29520200000002</v>
      </c>
      <c r="U79" s="3">
        <f>0+(1206-226.6)+(0+(-0.61506--0.115566))+0-0-0</f>
        <v>978.90050599999995</v>
      </c>
      <c r="V79" s="3">
        <f>0+(1222.4-233.6)+(0+(-1.246848--0.238272))+0-0-0</f>
        <v>987.79142400000012</v>
      </c>
      <c r="W79" s="3">
        <f>0+(1244.9-272.4)+(0+(-1.904697--0.416772))+0-0-0</f>
        <v>971.0120750000001</v>
      </c>
      <c r="X79" s="3">
        <f>0+(1243-289.2)+(0+(-3.16965--0.73746))+0-0-0</f>
        <v>951.36780999999996</v>
      </c>
      <c r="Y79" s="3">
        <f>0+(1199.1-267.1)+(0+(-2.446164--0.544884))+0-0-0</f>
        <v>930.09871999999984</v>
      </c>
      <c r="Z79" s="3">
        <f>0+(1195.7-230.7)+(0+(0-0))+0-0-0</f>
        <v>965</v>
      </c>
      <c r="AA79" s="3">
        <f>0+(1224.6-221.2)+(0+(-1.249092--0.225624))+0-0-0</f>
        <v>1002.3765319999999</v>
      </c>
      <c r="AB79" s="3">
        <f>0+(1272.2-277.1)+(0+(-1.946466--0.423963))+0-0-0</f>
        <v>993.57749699999999</v>
      </c>
      <c r="AC79" s="3">
        <f>0+(1298.9-329.2)+(0+(-0.662439--0.167892))+0-0-0</f>
        <v>969.20545300000003</v>
      </c>
      <c r="AD79">
        <v>1009.6</v>
      </c>
      <c r="AE79" s="3">
        <f>0+(1210.7-201.1)+(0+(0-0))+0-0-0</f>
        <v>1009.6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0+(1344.8-429.8)+(0+(-0.685848--0.219198))+0-0-0</f>
        <v>914.53335000000004</v>
      </c>
      <c r="G80" s="3">
        <f>0+(1398.6-504.7)+(0+(-1.426572--0.514794))+0-0-0</f>
        <v>892.98822199999984</v>
      </c>
      <c r="H80" s="3">
        <f>0+(1302-429.3)+(0+(-1.32804--0.437886))+0-0-0</f>
        <v>871.80984599999999</v>
      </c>
      <c r="I80" s="3">
        <f>0+(1278.4-419.8)+(0+(-3.911904--1.284588))+0-0-0</f>
        <v>855.97268400000019</v>
      </c>
      <c r="J80" s="3">
        <f>0+(1277.3-418)+(0+(0.651423-0.21318))+0-0-0</f>
        <v>859.73824300000001</v>
      </c>
      <c r="K80" s="3">
        <f>0+(1280.6-424)+(0+(-1.306212--0.43248))+0-0-0</f>
        <v>855.72626799999989</v>
      </c>
      <c r="L80" s="3">
        <f>0+(1260.6-411.4)+(0+(-1.285812--0.419628))+0-0-0</f>
        <v>848.33381599999996</v>
      </c>
      <c r="M80" s="3">
        <f>0+(1247-353.3)+(0+(1.27194-0.360366))+0-0-0</f>
        <v>894.61157400000002</v>
      </c>
      <c r="N80" s="3">
        <f>0+(1243.8-294)+(0+(1.903014-0.44982))+0-0-0</f>
        <v>951.25319400000001</v>
      </c>
      <c r="O80" s="3">
        <f>0+(1313.6-312)+(0+(0.669936-0.15912))+0-0-0</f>
        <v>1002.1108159999999</v>
      </c>
      <c r="P80" s="3">
        <f>0+(1327.6-303.1)+(0+(0.677076-0.154581))+0-0-0</f>
        <v>1025.0224949999999</v>
      </c>
      <c r="Q80" s="3">
        <f>0+(1250.3-218.9)+(0+(0-0))+0-0-0</f>
        <v>1031.3999999999999</v>
      </c>
      <c r="R80" s="3">
        <f>0+(1241-226)+(0+(0.63291-0.11526))+0-0-0</f>
        <v>1015.51765</v>
      </c>
      <c r="S80" s="3">
        <f>0+(1236.1-235.8)+(0+(-1.891233--0.360774))+0-0-0</f>
        <v>998.769541</v>
      </c>
      <c r="T80" s="3">
        <f>0+(1218.5-225.6)+(0+(1.24287-0.230112))+0-0-0</f>
        <v>993.91275799999994</v>
      </c>
      <c r="U80" s="3">
        <f>0+(1204.5-215.6)+(0+(-2.45718--0.439824))+0-0-0</f>
        <v>986.88264400000003</v>
      </c>
      <c r="V80" s="3">
        <f>0+(1215-243.6)+(0+(-1.85895--0.372708))+0-0-0</f>
        <v>969.91375800000003</v>
      </c>
      <c r="W80" s="3">
        <f>0+(1225.8-271.5)+(0+(-1.250316--0.27693))+0-0-0</f>
        <v>953.32661399999995</v>
      </c>
      <c r="X80" s="3">
        <f>0+(1198.5-276.4)+(0+(-4.88988--1.127712))+0-0-0</f>
        <v>918.33783200000005</v>
      </c>
      <c r="Y80" s="3">
        <f>0+(1136.8-224)+(0+(-1.159536--0.22848))+0-0-0</f>
        <v>911.86894399999994</v>
      </c>
      <c r="Z80" s="3">
        <f>0+(1104.6-167.8)+(0+(-2.253384--0.342312))+0-0-0</f>
        <v>934.88892799999996</v>
      </c>
      <c r="AA80" s="3">
        <f>0+(1113.8-132.6)+(0+(-2.84019--0.33813))+0-0-0</f>
        <v>978.6979399999999</v>
      </c>
      <c r="AB80" s="3">
        <f>0+(1103.5-143.3)+(0+(-2.25114--0.292332))+0-0-0</f>
        <v>958.24119200000007</v>
      </c>
      <c r="AC80" s="3">
        <f>0+(1125.6-186.6)+(0+(-2.296224--0.380664))+0-0-0</f>
        <v>937.08443999999986</v>
      </c>
      <c r="AD80">
        <v>980.19999999999993</v>
      </c>
      <c r="AE80" s="3">
        <f>0+(1122.3-142.1)+(0+(0-0))+0-0-0</f>
        <v>980.19999999999993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0+(1141.5-236.9)+(0+(0-0))+0-0-0</f>
        <v>904.6</v>
      </c>
      <c r="G81" s="3">
        <f>0+(1123.5-260.3)+(0+(-0.572985--0.132753))+0-0-0</f>
        <v>862.75976800000001</v>
      </c>
      <c r="H81" s="3">
        <f>0+(1254.5-400.2)+(0+(0.639795-0.204102))+0-0-0</f>
        <v>854.73569299999997</v>
      </c>
      <c r="I81" s="3">
        <f>0+(1264.3-410.6)+(0+(-0.644793--0.209406))+0-0-0</f>
        <v>853.26461299999994</v>
      </c>
      <c r="J81" s="3">
        <f>0+(1263.8-420.4)+(0+(-0.644538--0.214404))+0-0-0</f>
        <v>842.96986600000002</v>
      </c>
      <c r="K81" s="3">
        <f>0+(1236.4-402)+(0+(-3.15282--1.0251))+0-0-0</f>
        <v>832.27228000000014</v>
      </c>
      <c r="L81" s="3">
        <f>0+(1213.2-380.4)+(0+(-1.237464--0.388008))+0-0-0</f>
        <v>831.95054400000004</v>
      </c>
      <c r="M81" s="3">
        <f>0+(1242.5-375)+(0+(1.26735-0.3825))+0-0-0</f>
        <v>868.38485000000003</v>
      </c>
      <c r="N81" s="3">
        <f>0+(1312.6-393.8)+(0+(2.008278-0.602514))+0-0-0</f>
        <v>920.20576399999993</v>
      </c>
      <c r="O81" s="3">
        <f>0+(1342.8-387)+(0+(0-0))+0-0-0</f>
        <v>955.8</v>
      </c>
      <c r="P81" s="3">
        <f>0+(1272.6-302)+(0+(0-0))+0-0-0</f>
        <v>970.59999999999991</v>
      </c>
      <c r="Q81" s="3">
        <f>0+(1173.8-198.7)+(0+(1.197276-0.202674))+0-0-0</f>
        <v>976.0946019999999</v>
      </c>
      <c r="R81" s="3">
        <f>0+(1152.2-178)+(0+(-0.587622--0.09078))+0-0-0</f>
        <v>973.70315800000003</v>
      </c>
      <c r="S81" s="3">
        <f>0+(1179.6-228.3)+(0+(-2.406384--0.465732))+0-0-0</f>
        <v>949.35934799999995</v>
      </c>
      <c r="T81" s="3">
        <f>0+(1230.2-293.7)+(0+(-2.509608--0.599148))+0-0-0</f>
        <v>934.58954000000006</v>
      </c>
      <c r="U81" s="3">
        <f>0+(1266.8-333.9)+(0+(-0.646068--0.170289))+0-0-0</f>
        <v>932.42422099999999</v>
      </c>
      <c r="V81" s="3">
        <f>0+(1262.1-354.3)+(0+(-3.218355--0.903465))+0-0-0</f>
        <v>905.48510999999996</v>
      </c>
      <c r="W81" s="3">
        <f>0+(1330.1-429.5)+(0+(-1.356702--0.43809))+0-0-0</f>
        <v>899.68138799999986</v>
      </c>
      <c r="X81" s="3">
        <f>0+(1332.1-444.9)+(0+(-4.076226--1.361394))+0-0-0</f>
        <v>884.48516799999993</v>
      </c>
      <c r="Y81" s="3">
        <f>0+(1243.6-345.8)+(0+(-0.634236--0.176358))+0-0-0</f>
        <v>897.3421219999999</v>
      </c>
      <c r="Z81" s="3">
        <f>0+(1214.5-272.1)+(0+(-1.858185--0.416313))+0-0-0</f>
        <v>940.95812799999999</v>
      </c>
      <c r="AA81" s="3">
        <f>0+(1191.8-249.8)+(0+(-1.823454--0.382194))+0-0-0</f>
        <v>940.55873999999994</v>
      </c>
      <c r="AB81" s="3">
        <f>0+(1166.3-256.6)+(0+(-3.568878--0.785196))+0-0-0</f>
        <v>906.91631799999993</v>
      </c>
      <c r="AC81" s="3">
        <f>0+(1206.3-322.5)+(0+(-1.230426--0.32895))+0-0-0</f>
        <v>882.89852399999995</v>
      </c>
      <c r="AD81">
        <v>903</v>
      </c>
      <c r="AE81" s="3">
        <f>0+(1142.2-239.2)+(0+(0-0))+0-0-0</f>
        <v>903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0+(1244.8-387.4)+(0+(-2.539392--0.790296))+0-0-0</f>
        <v>855.65090399999997</v>
      </c>
      <c r="G82" s="3">
        <f>0+(1228.4-381.7)+(0+(-3.13242--0.973335))+0-0-0</f>
        <v>844.54091500000004</v>
      </c>
      <c r="H82" s="3">
        <f>0+(1178.7-345.2)+(0+(-1.202274--0.352104))+0-0-0</f>
        <v>832.64982999999995</v>
      </c>
      <c r="I82" s="3">
        <f>0+(1145.4-330.1)+(0+(-0.584154--0.168351))+0-0-0</f>
        <v>814.88419700000009</v>
      </c>
      <c r="J82" s="3">
        <f>0+(1181.8-368.8)+(0+(-1.205436--0.376176))+0-0-0</f>
        <v>812.17074000000002</v>
      </c>
      <c r="K82" s="3">
        <f>0+(1211.9-412.2)+(0+(-3.090345--1.05111))+0-0-0</f>
        <v>797.66076500000008</v>
      </c>
      <c r="L82" s="3">
        <f>0+(1242.5-466.8)+(0+(0-0))+0-0-0</f>
        <v>775.7</v>
      </c>
      <c r="M82" s="3">
        <f>0+(1211.7-418.1)+(0+(0.617967-0.213231))+0-0-0</f>
        <v>794.00473599999998</v>
      </c>
      <c r="N82" s="3">
        <f>0+(1170.5-332.4)+(0+(-0.596955--0.169524))+0-0-0</f>
        <v>837.67256900000007</v>
      </c>
      <c r="O82" s="3">
        <f>0+(1153.7-322.7)+(0+(-0.588387--0.164577))+0-0-0</f>
        <v>830.57619</v>
      </c>
      <c r="P82" s="3">
        <f>0+(1239.1-391.6)+(0+(-0.631941--0.199716))+0-0-0</f>
        <v>847.06777499999987</v>
      </c>
      <c r="Q82" s="3">
        <f>0+(1250.6-387.4)+(0+(0.637806-0.197574))+0-0-0</f>
        <v>863.64023199999997</v>
      </c>
      <c r="R82" s="3">
        <f>0+(1239.2-401.2)+(0+(-0.631992--0.204612))+0-0-0</f>
        <v>837.57262000000003</v>
      </c>
      <c r="S82" s="3">
        <f>0+(1257.3-435.6)+(0+(-1.282446--0.444312))+0-0-0</f>
        <v>820.86186599999996</v>
      </c>
      <c r="T82" s="3">
        <f>0+(1272.1-458.6)+(0+(-2.595084--0.935544))+0-0-0</f>
        <v>811.84045999999989</v>
      </c>
      <c r="U82" s="3">
        <f>0+(1283.4-477.6)+(0+(-1.963602--0.730728))+0-0-0</f>
        <v>804.56712600000003</v>
      </c>
      <c r="V82" s="3">
        <f>0+(1231.6-442.8)+(0+(-1.884348--0.677484))+0-0-0</f>
        <v>787.59313599999996</v>
      </c>
      <c r="W82" s="3">
        <f>0+(1185.9-353.8)+(0+(-3.024045--0.90219))+0-0-0</f>
        <v>829.97814500000015</v>
      </c>
      <c r="X82" s="3">
        <f>0+(1204.6-386.3)+(0+(-3.07173--0.985065))+0-0-0</f>
        <v>816.21333499999992</v>
      </c>
      <c r="Y82" s="3">
        <f>0+(1240-419.7)+(0+(-1.2648--0.428094))+0-0-0</f>
        <v>819.46329399999991</v>
      </c>
      <c r="Z82" s="3">
        <f>0+(1240.7-382)+(0+(0.632757-0.19482))+0-0-0</f>
        <v>859.13793700000008</v>
      </c>
      <c r="AA82" s="3">
        <f>0+(1189.9-280.4)+(0+(-2.427396--0.572016))+0-0-0</f>
        <v>907.64462000000015</v>
      </c>
      <c r="AB82" s="3">
        <f>0+(1229.1-329.4)+(0+(-1.253682--0.335988))+0-0-0</f>
        <v>898.78230599999995</v>
      </c>
      <c r="AC82" s="3">
        <f>0+(1271.6-392.6)+(0+(-1.297032--0.400452))+0-0-0</f>
        <v>878.10341999999991</v>
      </c>
      <c r="AD82">
        <v>929.99999999999989</v>
      </c>
      <c r="AE82" s="3">
        <f>0+(1195.6-265.6)+(0+(0-0))+0-0-0</f>
        <v>929.99999999999989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0+(1286.2-444.1)+(0+(-1.311924--0.452982))+0-0-0</f>
        <v>841.24105800000007</v>
      </c>
      <c r="G83" s="3">
        <f>0+(1177.5-374.4)+(0+(-3.002625--0.95472))+0-0-0</f>
        <v>801.05209500000001</v>
      </c>
      <c r="H83" s="3">
        <f>0+(1134.4-349.2)+(0+(-2.89272--0.89046))+0-0-0</f>
        <v>783.19774000000007</v>
      </c>
      <c r="I83" s="3">
        <f>0+(1180.6-395)+(0+(0.602106-0.20145))+0-0-0</f>
        <v>786.00065599999994</v>
      </c>
      <c r="J83" s="3">
        <f>0+(1180.3-395.4)+(0+(0-0))+0-0-0</f>
        <v>784.9</v>
      </c>
      <c r="K83" s="3">
        <f>0+(1217.4-431.6)+(0+(-3.725244--1.320696))+0-0-0</f>
        <v>783.39545200000009</v>
      </c>
      <c r="L83" s="3">
        <f>0+(1252.7-468.8)+(0+(1.916631-0.717264))+0-0-0</f>
        <v>785.09936700000014</v>
      </c>
      <c r="M83" s="3">
        <f>0+(1203.3-361.6)+(0+(-1.841049--0.553248))+0-0-0</f>
        <v>840.41219899999999</v>
      </c>
      <c r="N83" s="3">
        <f>0+(1202.8-311.1)+(0+(1.226856-0.317322))+0-0-0</f>
        <v>892.60953399999994</v>
      </c>
      <c r="O83" s="3">
        <f>0+(1237.5-301.9)+(0+(1.26225-0.307938))+0-0-0</f>
        <v>936.55431199999998</v>
      </c>
      <c r="P83" s="3">
        <f>0+(1251.4-283.1)+(0+(1.914642-0.433143))+0-0-0</f>
        <v>969.78149900000005</v>
      </c>
      <c r="Q83" s="3">
        <f>0+(1186.2-214.1)+(0+(0-0))+0-0-0</f>
        <v>972.1</v>
      </c>
      <c r="R83" s="3">
        <f>0+(1114.5-165)+(0+(0.568395-0.08415))+0-0-0</f>
        <v>949.98424499999999</v>
      </c>
      <c r="S83" s="3">
        <f>0+(1107.8-173.5)+(0+(-0.564978--0.088485))+0-0-0</f>
        <v>933.82350699999995</v>
      </c>
      <c r="T83" s="3">
        <f>0+(1114.4-176.6)+(0+(-0.568344--0.090066))+0-0-0</f>
        <v>937.32172200000002</v>
      </c>
      <c r="U83" s="3">
        <f>0+(1147.5-203.1)+(0+(-1.17045--0.207162))+0-0-0</f>
        <v>943.43671199999994</v>
      </c>
      <c r="V83" s="3">
        <f>0+(1151.9-202.9)+(0+(-1.174938--0.206958))+0-0-0</f>
        <v>948.0320200000001</v>
      </c>
      <c r="W83" s="3">
        <f>0+(1194.2-250.5)+(0+(-2.436168--0.51102))+0-0-0</f>
        <v>941.77485200000001</v>
      </c>
      <c r="X83" s="3">
        <f>0+(1204.6-276.1)+(0+(-3.07173--0.704055))+0-0-0</f>
        <v>926.13232499999992</v>
      </c>
      <c r="Y83" s="3">
        <f>0+(1109.6-212.3)+(0+(-1.697688--0.324819))+0-0-0</f>
        <v>895.92713099999992</v>
      </c>
      <c r="Z83" s="3">
        <f>0+(1104.1-174.4)+(0+(-1.689273--0.266832))+0-0-0</f>
        <v>928.27755899999988</v>
      </c>
      <c r="AA83" s="3">
        <f>0+(1106.3-139.3)+(0+(-1.692639--0.213129))+0-0-0</f>
        <v>965.52049</v>
      </c>
      <c r="AB83" s="3">
        <f>0+(1146.1-207.8)+(0+(-0.584511--0.105978))+0-0-0</f>
        <v>937.82146699999998</v>
      </c>
      <c r="AC83" s="3">
        <f>0+(1190.9-273.4)+(0+(-1.214718--0.278868))+0-0-0</f>
        <v>916.56415000000015</v>
      </c>
      <c r="AD83">
        <v>982.3</v>
      </c>
      <c r="AE83" s="3">
        <f>0+(1137.1-154.8)+(0+(0-0))+0-0-0</f>
        <v>982.3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0+(1212.2-311.6)+(0+(-0.618222--0.158916))+0-0-0</f>
        <v>900.14069400000005</v>
      </c>
      <c r="G84" s="3">
        <f>0+(1225.6-339.5)+(0+(-1.875168--0.519435))+0-0-0</f>
        <v>884.74426699999992</v>
      </c>
      <c r="H84" s="3">
        <f>0+(1220.5-350.5)+(0+(-0.622455--0.178755))+0-0-0</f>
        <v>869.55629999999996</v>
      </c>
      <c r="I84" s="3">
        <f>0+(1247-382.9)+(0+(-1.90791--0.585837))+0-0-0</f>
        <v>862.77792699999998</v>
      </c>
      <c r="J84" s="3">
        <f>0+(1254.5-403.9)+(0+(-2.55918--0.823956))+0-0-0</f>
        <v>848.86477600000001</v>
      </c>
      <c r="K84" s="3">
        <f>0+(1266.5-414.5)+(0+(-5.813235--1.902555))+0-0-0</f>
        <v>848.08932000000004</v>
      </c>
      <c r="L84" s="3">
        <f>0+(1258.8-417)+(0+(-5.135904--1.70136))+0-0-0</f>
        <v>838.36545599999999</v>
      </c>
      <c r="M84" s="3">
        <f>0+(1248.2-370.1)+(0+(-1.273164--0.377502))+0-0-0</f>
        <v>877.20433800000001</v>
      </c>
      <c r="N84" s="3">
        <f>0+(1231.9-296.9)+(0+(-2.513076--0.605676))+0-0-0</f>
        <v>933.09260000000006</v>
      </c>
      <c r="O84" s="3">
        <f>0+(1248.8-274.1)+(0+(-1.910664--0.419373))+0-0-0</f>
        <v>973.20870899999989</v>
      </c>
      <c r="P84" s="3">
        <f>0+(1238.5-238)+(0+(-1.26327--0.24276))+0-0-0</f>
        <v>999.47949000000006</v>
      </c>
      <c r="Q84" s="3">
        <f>0+(1259.2-252.1)+(0+(-0.642192--0.128571))+0-0-0</f>
        <v>1006.5863790000001</v>
      </c>
      <c r="R84" s="3">
        <f>0+(1241.2-239.7)+(0+(-1.899036--0.366741))+0-0-0</f>
        <v>999.96770500000002</v>
      </c>
      <c r="S84" s="3">
        <f>0+(1319.5-335.5)+(0+(-2.018835--0.513315))+0-0-0</f>
        <v>982.49447999999995</v>
      </c>
      <c r="T84" s="3">
        <f>0+(1399.6-410.2)+(0+(0.713796-0.209202))+0-0-0</f>
        <v>989.90459399999986</v>
      </c>
      <c r="U84" s="3">
        <f>0+(1305.9-318.4)+(0+(-3.330045--0.81192))+0-0-0</f>
        <v>984.98187500000006</v>
      </c>
      <c r="V84" s="3">
        <f>0+(1253.3-270)+(0+(0-0))+0-0-0</f>
        <v>983.3</v>
      </c>
      <c r="W84" s="3">
        <f>0+(1177.4-228.7)+(0+(-1.200948--0.233274))+0-0-0</f>
        <v>947.73232600000006</v>
      </c>
      <c r="X84" s="3">
        <f>0+(1115.7-173)+(0+(-1.707021--0.26469))+0-0-0</f>
        <v>941.25766900000008</v>
      </c>
      <c r="Y84" s="3">
        <f>0+(1131.8-209.6)+(0+(-0.577218--0.106896))+0-0-0</f>
        <v>921.72967799999992</v>
      </c>
      <c r="Z84" s="3">
        <f>0+(1156.9-207.7)+(0+(-0.590019--0.105927))+0-0-0</f>
        <v>948.71590800000001</v>
      </c>
      <c r="AA84" s="3">
        <f>0+(1106.6-128.9)+(0+(-2.257464--0.262956))+0-0-0</f>
        <v>975.70549199999994</v>
      </c>
      <c r="AB84" s="3">
        <f>0+(1148.8-165.4)+(0+(-0.585888--0.084354))+0-0-0</f>
        <v>982.89846599999998</v>
      </c>
      <c r="AC84" s="3">
        <f>0+(1213.6-243.4)+(0+(0.618936-0.124134))+0-0-0</f>
        <v>970.69480199999998</v>
      </c>
      <c r="AD84">
        <v>979.6</v>
      </c>
      <c r="AE84" s="3">
        <f>0+(1108.5-128.9)+(0+(0-0))+0-0-0</f>
        <v>979.6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0+(1237.5-341.8)+(0+(-2.5245--0.697272))+0-0-0</f>
        <v>893.87277200000005</v>
      </c>
      <c r="G85" s="3">
        <f>0+(1169.2-297.4)+(0+(-1.192584--0.303348))+0-0-0</f>
        <v>870.91076400000009</v>
      </c>
      <c r="H85" s="3">
        <f>0+(1175.1-328)+(0+(-2.397204--0.66912))+0-0-0</f>
        <v>845.37191599999994</v>
      </c>
      <c r="I85" s="3">
        <f>0+(1237.9-355.7)+(0+(-3.156645--0.907035))+0-0-0</f>
        <v>879.95039000000008</v>
      </c>
      <c r="J85" s="3">
        <f>0+(1215-367.2)+(0+(1.2393-0.374544))+0-0-0</f>
        <v>848.66475600000001</v>
      </c>
      <c r="K85" s="3">
        <f>0+(1193.8-339.5)+(0+(-3.04419--0.865725))+0-0-0</f>
        <v>852.12153499999999</v>
      </c>
      <c r="L85" s="3">
        <f>0+(1141.3-292.8)+(0+(-2.910315--0.74664))+0-0-0</f>
        <v>846.33632499999999</v>
      </c>
      <c r="M85" s="3">
        <f>0+(1096.9-217.9)+(0+(1.118838-0.222258))+0-0-0</f>
        <v>879.89658000000009</v>
      </c>
      <c r="N85" s="3">
        <f>0+(1098.7-264.2)+(0+(0-0))+0-0-0</f>
        <v>834.5</v>
      </c>
      <c r="O85" s="3">
        <f>0+(1221.6-257.9)+(0+(0.623016-0.131529))+0-0-0</f>
        <v>964.19148699999994</v>
      </c>
      <c r="P85" s="3">
        <f>0+(1099.2-220.8)+(0+(-1.121184--0.225216))+0-0-0</f>
        <v>877.50403200000005</v>
      </c>
      <c r="Q85" s="3">
        <f>0+(1142.3-78.4)+(0+(0.582573-0.039984))+0-0-0</f>
        <v>1064.4425889999998</v>
      </c>
      <c r="R85" s="3">
        <f>0+(1100.9-105.4)+(0+(-1.122918--0.107508))+0-0-0</f>
        <v>994.48459000000014</v>
      </c>
      <c r="S85" s="3">
        <f>0+(1055.4-96.4)+(0+(-0.538254--0.049164))+0-0-0</f>
        <v>958.51091000000008</v>
      </c>
      <c r="T85" s="3">
        <f>0+(1075.8-111.5)+(0+(0-0))+0-0-0</f>
        <v>964.3</v>
      </c>
      <c r="U85" s="3">
        <f>0+(1129.7-165.7)+(0+(-1.728441--0.253521))+0-0-0</f>
        <v>962.52508</v>
      </c>
      <c r="V85" s="3">
        <f>0+(1175.4-216.3)+(0+(0-0))+0-0-0</f>
        <v>959.10000000000014</v>
      </c>
      <c r="W85" s="3">
        <f>0+(1158.9-220.5)+(0+(-1.182078--0.22491))+0-0-0</f>
        <v>937.44283200000007</v>
      </c>
      <c r="X85" s="3">
        <f>0+(1116.2-196.6)+(0+(-2.277048--0.401064))+0-0-0</f>
        <v>917.72401600000001</v>
      </c>
      <c r="Y85" s="3">
        <f>0+(1089.6-206)+(0+(-1.111392--0.21012))+0-0-0</f>
        <v>882.69872799999996</v>
      </c>
      <c r="Z85" s="3">
        <f>0+(1108-183.3)+(0+(-0.56508--0.093483))+0-0-0</f>
        <v>924.22840300000007</v>
      </c>
      <c r="AA85" s="3">
        <f>0+(1094.8-129.5)+(0+(-1.675044--0.198135))+0-0-0</f>
        <v>963.82309099999998</v>
      </c>
      <c r="AB85" s="3">
        <f>0+(1103-150.8)+(0+(-2.81265--0.38454))+0-0-0</f>
        <v>949.7718900000001</v>
      </c>
      <c r="AC85" s="3">
        <f>0+(1144.9-218.1)+(0+(-1.167798--0.222462))+0-0-0</f>
        <v>925.85466400000007</v>
      </c>
      <c r="AD85">
        <v>962.1</v>
      </c>
      <c r="AE85" s="3">
        <f>0+(1119.5-157.4)+(0+(0-0))+0-0-0</f>
        <v>962.1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0+(1197.4-299.4)+(0+(-1.832022--0.458082))+0-0-0</f>
        <v>896.62606000000017</v>
      </c>
      <c r="G86" s="3">
        <f>0+(1105.2-264)+(0+(-2.81826--0.6732))+0-0-0</f>
        <v>839.0549400000001</v>
      </c>
      <c r="H86" s="3">
        <f>0+(1101.5-275.3)+(0+(-0.561765--0.140403))+0-0-0</f>
        <v>825.778638</v>
      </c>
      <c r="I86" s="3">
        <f>0+(1087.7-274.9)+(0+(-2.218908--0.560796))+0-0-0</f>
        <v>811.14188800000011</v>
      </c>
      <c r="J86" s="3">
        <f>0+(1105.7-290)+(0+(-2.819535--0.7395))+0-0-0</f>
        <v>813.61996500000009</v>
      </c>
      <c r="K86" s="3">
        <f>0+(1119.1-315.5)+(0+(-4.565928--1.28724))+0-0-0</f>
        <v>800.32131199999992</v>
      </c>
      <c r="L86" s="3">
        <f>0+(1116.8-313.8)+(0+(-1.708704--0.480114))+0-0-0</f>
        <v>801.77140999999995</v>
      </c>
      <c r="M86" s="3">
        <f>0+(1066.6-229.3)+(0+(0.543966-0.116943))+0-0-0</f>
        <v>837.72702299999992</v>
      </c>
      <c r="N86" s="3">
        <f>0+(1130.3-220.3)+(0+(0.576453-0.112353))+0-0-0</f>
        <v>910.46410000000003</v>
      </c>
      <c r="O86" s="3">
        <f>0+(1142.6-112.5)+(0+(0.582726-0.057375))+0-0-0</f>
        <v>1030.6253509999999</v>
      </c>
      <c r="P86" s="3">
        <f>0+(1119.9-69)+(0+(0.571149-0.03519))+0-0-0</f>
        <v>1051.4359590000001</v>
      </c>
      <c r="Q86" s="3">
        <f>0+(1075.1-75.4)+(0+(0.548301-0.038454))+0-0-0</f>
        <v>1000.209847</v>
      </c>
      <c r="R86" s="3">
        <f>0+(1036.8-41.2)+(0+(0.528768-0.021012))+0-0-0</f>
        <v>996.10775599999988</v>
      </c>
      <c r="S86" s="3">
        <f>0+(1044.6-68.1)+(0+(-1.065492--0.069462))+0-0-0</f>
        <v>975.50396999999987</v>
      </c>
      <c r="T86" s="3">
        <f>0+(1114.5-149.8)+(0+(-0.568395--0.076398))+0-0-0</f>
        <v>964.20800300000008</v>
      </c>
      <c r="U86" s="3">
        <f>0+(1036-73)+(0+(-2.11344--0.14892))+0-0-0</f>
        <v>961.03548000000001</v>
      </c>
      <c r="V86" s="3">
        <f>0+(1053.6-98.2)+(0+(0-0))+0-0-0</f>
        <v>955.39999999999986</v>
      </c>
      <c r="W86" s="3">
        <f>0+(1053-110.1)+(0+(-3.22218--0.336906))+0-0-0</f>
        <v>940.014726</v>
      </c>
      <c r="X86" s="3">
        <f>0+(1081.9-190.1)+(0+(-3.862383--0.678657))+0-0-0</f>
        <v>888.61627400000009</v>
      </c>
      <c r="Y86" s="3">
        <f>0+(991-118.8)+(0+(-2.52705--0.30294))+0-0-0</f>
        <v>869.97589000000005</v>
      </c>
      <c r="Z86" s="3">
        <f>0+(1063.3-147.5)+(0+(0-0))+0-0-0</f>
        <v>915.8</v>
      </c>
      <c r="AA86" s="3">
        <f>0+(1032.4-61.8)+(0+(-3.159144--0.189108))+0-0-0</f>
        <v>967.62996400000009</v>
      </c>
      <c r="AB86" s="3">
        <f>0+(1012.6-69.7)+(0+(-1.032852--0.071094))+0-0-0</f>
        <v>941.93824199999995</v>
      </c>
      <c r="AC86" s="3">
        <f>0+(1076.6-154.3)+(0+(0.549066-0.078693))+0-0-0</f>
        <v>922.77037299999995</v>
      </c>
      <c r="AD86">
        <v>978.10000000000014</v>
      </c>
      <c r="AE86" s="3">
        <f>0+(1031.4-53.3)+(0+(0-0))+0-0-0</f>
        <v>978.10000000000014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0+(1133.1-244.7)+(0+(-2.889405--0.623985))+0-0-0</f>
        <v>886.13457999999991</v>
      </c>
      <c r="G87" s="3">
        <f>0+(1156-305.3)+(0+(-1.76868--0.467109))+0-0-0</f>
        <v>849.39842900000008</v>
      </c>
      <c r="H87" s="3">
        <f>0+(1153.1-323.1)+(0+(-1.176162--0.329562))+0-0-0</f>
        <v>829.15339999999992</v>
      </c>
      <c r="I87" s="3">
        <f>0+(1157-332.3)+(0+(-2.36028--0.677892))+0-0-0</f>
        <v>823.0176120000001</v>
      </c>
      <c r="J87" s="3">
        <f>0+(1129.2-313.9)+(0+(0.575892-0.160089))+0-0-0</f>
        <v>815.71580300000005</v>
      </c>
      <c r="K87" s="3">
        <f>0+(1157.5-347)+(0+(-0.590325--0.17697))+0-0-0</f>
        <v>810.08664499999998</v>
      </c>
      <c r="L87" s="3">
        <f>0+(1122.3-302.8)+(0+(0.572373-0.154428))+0-0-0</f>
        <v>819.91794500000003</v>
      </c>
      <c r="M87" s="3">
        <f>0+(1112.8-248.8)+(0+(0.567528-0.126888))+0-0-0</f>
        <v>864.44064000000003</v>
      </c>
      <c r="N87" s="3">
        <f>0+(1125.4-182.2)+(0+(-0.573954--0.092922))+0-0-0</f>
        <v>942.71896800000002</v>
      </c>
      <c r="O87" s="3">
        <f>0+(1123.7-145.8)+(0+(-0.573087--0.074358))+0-0-0</f>
        <v>977.40127100000007</v>
      </c>
      <c r="P87" s="3">
        <f>0+(1083.4-85.4)+(0+(-0.552534--0.043554))+0-0-0</f>
        <v>997.49102000000016</v>
      </c>
      <c r="Q87" s="3">
        <f>0+(1078.6-52.2)+(0+(-1.650258--0.079866))+0-0-0</f>
        <v>1024.8296079999998</v>
      </c>
      <c r="R87" s="3">
        <f>0+(1058.9-56.6)+(0+(-0.540039--0.028866))+0-0-0</f>
        <v>1001.7888270000001</v>
      </c>
      <c r="S87" s="3">
        <f>0+(1033.9-66.7)+(0+(-1.054578--0.068034))+0-0-0</f>
        <v>966.21345600000006</v>
      </c>
      <c r="T87" s="3">
        <f>0+(1082.7-116)+(0+(-1.656531--0.17748))+0-0-0</f>
        <v>965.22094900000002</v>
      </c>
      <c r="U87" s="3">
        <f>0+(1102.9-116.8)+(0+(-2.812395--0.29784))+0-0-0</f>
        <v>983.58544500000016</v>
      </c>
      <c r="V87" s="3">
        <f>0+(1050.1-93.2)+(0+(-2.142204--0.190128))+0-0-0</f>
        <v>954.94792399999983</v>
      </c>
      <c r="W87" s="3">
        <f>0+(1020.7-105.2)+(0+(-1.561671--0.160956))+0-0-0</f>
        <v>914.09928500000001</v>
      </c>
      <c r="X87" s="3">
        <f>0+(1037.5-146.8)+(0+(-3.17475--0.449208))+0-0-0</f>
        <v>887.97445800000003</v>
      </c>
      <c r="Y87" s="3">
        <f>0+(1006.5-172.8)+(0+(-1.539945--0.264384))+0-0-0</f>
        <v>832.42443900000001</v>
      </c>
      <c r="Z87" s="3">
        <f>0+(1044.3-117.5)+(0+(-0.532593--0.059925))+0-0-0</f>
        <v>926.32733199999996</v>
      </c>
      <c r="AA87" s="3">
        <f>0+(1009-62.2)+(0+(-1.54377--0.095166))+0-0-0</f>
        <v>945.35139599999991</v>
      </c>
      <c r="AB87" s="3">
        <f>0+(1035.1-105.7)+(0+(-1.055802--0.107814))+0-0-0</f>
        <v>928.45201199999985</v>
      </c>
      <c r="AC87" s="3">
        <f>0+(1066.6-165.3)+(0+(-1.087932--0.168606))+0-0-0</f>
        <v>900.380674</v>
      </c>
      <c r="AD87">
        <v>949.3</v>
      </c>
      <c r="AE87" s="3">
        <f>0+(1027.1-77.8)+(0+(0-0))+0-0-0</f>
        <v>949.3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0+(1106-228)+(0+(-1.69218--0.34884))+0-0-0</f>
        <v>876.65665999999999</v>
      </c>
      <c r="G88" s="3">
        <f>0+(1117.7-281.6)+(0+(-1.140054--0.287232))+0-0-0</f>
        <v>835.24717800000008</v>
      </c>
      <c r="H88" s="3">
        <f>0+(1103.6-283.3)+(0+(-2.81418--0.722415))+0-0-0</f>
        <v>818.20823499999995</v>
      </c>
      <c r="I88" s="3">
        <f>0+(1092.1-283.3)+(0+(0-0))+0-0-0</f>
        <v>808.8</v>
      </c>
      <c r="J88" s="3">
        <f>0+(1082.1-280.5)+(0+(-3.311226--0.85833))+0-0-0</f>
        <v>799.1471039999999</v>
      </c>
      <c r="K88" s="3">
        <f>0+(1085.7-312.1)+(0+(-2.768535--0.795855))+0-0-0</f>
        <v>771.62732000000005</v>
      </c>
      <c r="L88" s="3">
        <f>0+(1084.3-338.5)+(0+(-1.658979--0.517905))+0-0-0</f>
        <v>744.65892599999995</v>
      </c>
      <c r="M88" s="3">
        <f>0+(1077.8-282)+(0+(-1.649034--0.43146))+0-0-0</f>
        <v>794.58242599999994</v>
      </c>
      <c r="N88" s="3">
        <f>0+(1114.4-272.7)+(0+(-1.136688--0.278154))+0-0-0</f>
        <v>840.84146600000008</v>
      </c>
      <c r="O88" s="3">
        <f>0+(1127-247)+(0+(-2.29908--0.50388))+0-0-0</f>
        <v>878.20479999999998</v>
      </c>
      <c r="P88" s="3">
        <f>0+(1083.1-197.7)+(0+(0.552381-0.100827))+0-0-0</f>
        <v>885.85155399999985</v>
      </c>
      <c r="Q88" s="3">
        <f>0+(986.9-83.2)+(0+(-1.006638--0.084864))+0-0-0</f>
        <v>902.7782259999999</v>
      </c>
      <c r="R88" s="3">
        <f>0+(933.6-37.2)+(0+(-0.476136--0.018972))+0-0-0</f>
        <v>895.94283599999994</v>
      </c>
      <c r="S88" s="3">
        <f>0+(908.1-38.5)+(0+(-1.389393--0.058905))+0-0-0</f>
        <v>868.26951200000008</v>
      </c>
      <c r="T88" s="3">
        <f>0+(924.7-65.9)+(0+(-0.943194--0.067218))+0-0-0</f>
        <v>857.92402400000003</v>
      </c>
      <c r="U88" s="3">
        <f>0+(942.8-74.9)+(0+(-1.442484--0.114597))+0-0-0</f>
        <v>866.57211299999994</v>
      </c>
      <c r="V88" s="3">
        <f>0+(952.4-98)+(0+(-1.457172--0.14994))+0-0-0</f>
        <v>853.09276799999998</v>
      </c>
      <c r="W88" s="3">
        <f>0+(975.8-133.8)+(0+(-1.492974--0.204714))+0-0-0</f>
        <v>840.71173999999996</v>
      </c>
      <c r="X88" s="3">
        <f>0+(1016.5-189.3)+(0+(-3.11049--0.579258))+0-0-0</f>
        <v>824.668768</v>
      </c>
      <c r="Y88" s="3">
        <f>0+(1007.5-207.3)+(0+(-1.541475--0.317169))+0-0-0</f>
        <v>798.97569400000009</v>
      </c>
      <c r="Z88" s="3">
        <f>0+(940.9-108.5)+(0+(0.959718-0.11067))+0-0-0</f>
        <v>833.24904800000002</v>
      </c>
      <c r="AA88" s="3">
        <f>0+(934.7-37.6)+(0+(-2.860182--0.115056))+0-0-0</f>
        <v>894.354874</v>
      </c>
      <c r="AB88" s="3">
        <f>0+(919.9-42.6)+(0+(-0.938298--0.043452))+0-0-0</f>
        <v>876.40515399999992</v>
      </c>
      <c r="AC88" s="3">
        <f>0+(945.8-89.8)+(0+(-0.964716--0.091596))+0-0-0</f>
        <v>855.12688000000003</v>
      </c>
      <c r="AD88">
        <v>933.7</v>
      </c>
      <c r="AE88" s="3">
        <f>0+(963.1-29.4)+(0+(0-0))+0-0-0</f>
        <v>933.7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0+(989.9-152.9)+(0+(1.009698-0.155958))+0-0-0</f>
        <v>837.85374000000002</v>
      </c>
      <c r="G89" s="3">
        <f>0+(1040.4-236.4)+(0+(-2.122416--0.482256))+0-0-0</f>
        <v>802.35984000000008</v>
      </c>
      <c r="H89" s="3">
        <f>0+(1091.2-293.4)+(0+(0-0))+0-0-0</f>
        <v>797.80000000000007</v>
      </c>
      <c r="I89" s="3">
        <f>0+(1119.3-337.8)+(0+(-1.141686--0.344556))+0-0-0</f>
        <v>780.70286999999996</v>
      </c>
      <c r="J89" s="3">
        <f>0+(1157.3-391.3)+(0+(0-0))+0-0-0</f>
        <v>766</v>
      </c>
      <c r="K89" s="3">
        <f>0+(1178-428.1)+(0+(-3.60468--1.309986))+0-0-0</f>
        <v>747.60530599999993</v>
      </c>
      <c r="L89" s="3">
        <f>0+(1188-462.4)+(0+(-3.0294--1.17912))+0-0-0</f>
        <v>723.74972000000002</v>
      </c>
      <c r="M89" s="3">
        <f>0+(1132.7-394.8)+(0+(-1.155354--0.402696))+0-0-0</f>
        <v>737.14734200000009</v>
      </c>
      <c r="N89" s="3">
        <f>0+(1078.5-311.8)+(0+(0.550035-0.159018))+0-0-0</f>
        <v>767.09101700000008</v>
      </c>
      <c r="O89" s="3">
        <f>0+(1079.9-264.9)+(0+(-2.202996--0.540396))+0-0-0</f>
        <v>813.33740000000012</v>
      </c>
      <c r="P89" s="3">
        <f>0+(1116.7-277.6)+(0+(0.569517-0.141576))+0-0-0</f>
        <v>839.52794100000006</v>
      </c>
      <c r="Q89" s="3">
        <f>0+(1034.4-195.3)+(0+(0-0))+0-0-0</f>
        <v>839.10000000000014</v>
      </c>
      <c r="R89" s="3">
        <f>0+(953.6-118.6)+(0+(0-0))+0-0-0</f>
        <v>835</v>
      </c>
      <c r="S89" s="3">
        <f>0+(956.9-121.9)+(0+(-0.488019--0.062169))+0-0-0</f>
        <v>834.57415000000003</v>
      </c>
      <c r="T89" s="3">
        <f>0+(937.4-118.8)+(0+(0.478074-0.060588))+0-0-0</f>
        <v>819.01748600000008</v>
      </c>
      <c r="U89" s="3">
        <f>0+(936.1-123.7)+(0+(-0.477411--0.063087))+0-0-0</f>
        <v>811.98567600000001</v>
      </c>
      <c r="V89" s="3">
        <f>0+(951.7-136.8)+(0+(-1.941468--0.279072))+0-0-0</f>
        <v>813.23760400000015</v>
      </c>
      <c r="W89" s="3">
        <f>0+(977-159.4)+(0+(-0.49827--0.081294))+0-0-0</f>
        <v>817.18302400000005</v>
      </c>
      <c r="X89" s="3">
        <f>0+(995.8-177.4)+(0+(-3.047148--0.542844))+0-0-0</f>
        <v>815.89569599999993</v>
      </c>
      <c r="Y89" s="3">
        <f>0+(935.9-150.8)+(0+(-1.431927--0.230724))+0-0-0</f>
        <v>783.89879699999995</v>
      </c>
      <c r="Z89" s="3">
        <f>0+(936.6-105.7)+(0+(2.865996-0.323442))+0-0-0</f>
        <v>833.44255399999997</v>
      </c>
      <c r="AA89" s="3">
        <f>0+(1018.2-120.4)+(0+(-0.519282--0.061404))+0-0-0</f>
        <v>897.34212200000002</v>
      </c>
      <c r="AB89" s="3">
        <f>0+(1026.6-137.8)+(0+(-1.047132--0.140556))+0-0-0</f>
        <v>887.89342399999998</v>
      </c>
      <c r="AC89" s="3">
        <f>0+(1041.4-181.3)+(0+(-1.062228--0.184926))+0-0-0</f>
        <v>859.22269800000015</v>
      </c>
      <c r="AD89">
        <v>907.39999999999986</v>
      </c>
      <c r="AE89" s="3">
        <f>0+(1033.6-126.2)+(0+(0-0))+0-0-0</f>
        <v>907.39999999999986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0+(980.6-186.4)+(0+(-2.50053--0.47532))+0-0-0</f>
        <v>792.17479000000003</v>
      </c>
      <c r="G90" s="3">
        <f>0+(936.6-169.4)+(0+(-2.865996--0.518364))+0-0-0</f>
        <v>764.85236800000007</v>
      </c>
      <c r="H90" s="3">
        <f>0+(949.7-205.1)+(0+(-1.937388--0.418404))+0-0-0</f>
        <v>743.08101599999998</v>
      </c>
      <c r="I90" s="3">
        <f>0+(1000.3-263.9)+(0+(-1.020306--0.269178))+0-0-0</f>
        <v>735.64887199999998</v>
      </c>
      <c r="J90" s="3">
        <f>0+(974.2-243.7)+(0+(-2.48421--0.621435))+0-0-0</f>
        <v>728.63722499999994</v>
      </c>
      <c r="K90" s="3">
        <f>0+(984.7-253.7)+(0+(-1.004394--0.258774))+0-0-0</f>
        <v>730.25437999999997</v>
      </c>
      <c r="L90" s="3">
        <f>0+(980.1-239.3)+(0+(-0.499851--0.122043))+0-0-0</f>
        <v>740.422192</v>
      </c>
      <c r="M90" s="3">
        <f>0+(1038-218.1)+(0+(0.52938-0.111231))+0-0-0</f>
        <v>820.31814899999995</v>
      </c>
      <c r="N90" s="3">
        <f>0+(1073.4-162.3)+(0+(1.094868-0.165546))+0-0-0</f>
        <v>912.02932200000009</v>
      </c>
      <c r="O90" s="3">
        <f>0+(1080-130)+(0+(1.1016-0.1326))+0-0-0</f>
        <v>950.96900000000005</v>
      </c>
      <c r="P90" s="3">
        <f>0+(1016.1-27.7)+(0+(-1.036422--0.028254))+0-0-0</f>
        <v>987.39183200000002</v>
      </c>
      <c r="Q90" s="3">
        <f>0+(1037.4-24.1)+(0+(1.058148-0.024582))+0-0-0</f>
        <v>1014.333566</v>
      </c>
      <c r="R90" s="3">
        <f>0+(1065.5-51.8)+(0+(0-0))+0-0-0</f>
        <v>1013.7</v>
      </c>
      <c r="S90" s="3">
        <f>131.8+(1051.1-191.5)+(0.134436+(1.072122-0.19533))+0-0-0</f>
        <v>992.41122799999982</v>
      </c>
      <c r="T90" s="3">
        <f>249.9+(1049.9-320.1)+(-0.254898+(-1.070898--0.326502))+0-0-0</f>
        <v>978.70070600000008</v>
      </c>
      <c r="U90" s="3">
        <f>323+(1070.8-395.4)+(-0.32946+(-1.092216--0.403308))+0-0-0</f>
        <v>997.38163199999997</v>
      </c>
      <c r="V90" s="3">
        <f>323.2+(1063-390.2)+(-0.659328+(-2.16852--0.796008))+0-0-0</f>
        <v>993.96816000000001</v>
      </c>
      <c r="W90" s="3">
        <f>326.7+(1092-428.5)+(-0.999702+(-3.34152--1.31121))+0-0-0</f>
        <v>987.16998799999999</v>
      </c>
      <c r="X90" s="3">
        <f>308.1+(1122.2-478.3)+(-0.942786+(-3.433932--1.463598))+0-0-0</f>
        <v>949.08688000000006</v>
      </c>
      <c r="Y90" s="3">
        <f>4.1+(1130.4-207.4)+(-0.006273+(-1.729512--0.317322))+0-0-0</f>
        <v>925.68153700000016</v>
      </c>
      <c r="Z90" s="3">
        <f>0+(1108.5-154.6)+(0+(0-0))+0-0-0</f>
        <v>953.9</v>
      </c>
      <c r="AA90" s="3">
        <f>0+(1174.7-175.7)+(0+(-1.797291--0.268821))+0-0-0</f>
        <v>997.47153000000003</v>
      </c>
      <c r="AB90" s="3">
        <f>0+(1215.4-242.2)+(0+(-3.09927--0.61761))+0-0-0</f>
        <v>970.71834000000001</v>
      </c>
      <c r="AC90" s="3">
        <f>0+(1319-350)+(0+(0-0))+0-0-0</f>
        <v>969</v>
      </c>
      <c r="AD90">
        <v>1029.0999999999999</v>
      </c>
      <c r="AE90" s="3">
        <f>0+(1211.3-182.2)+(0+(0-0))+0-0-0</f>
        <v>1029.0999999999999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0+(1278.6-353.2)+(0+(-0.652086--0.180132))+0-0-0</f>
        <v>924.92804599999988</v>
      </c>
      <c r="G91" s="3">
        <f>0+(1309.9-426.1)+(0+(-1.336098--0.434622))+0-0-0</f>
        <v>882.89852400000007</v>
      </c>
      <c r="H91" s="3">
        <f>0+(1261.3-392.6)+(0+(-2.573052--0.800904))+0-0-0</f>
        <v>866.92785199999992</v>
      </c>
      <c r="I91" s="3">
        <f>0+(1239.7-384.8)+(0+(0-0))+0-0-0</f>
        <v>854.90000000000009</v>
      </c>
      <c r="J91" s="3">
        <f>0+(1231.9-388.5)+(0+(-2.513076--0.79254))+0-0-0</f>
        <v>841.67946400000005</v>
      </c>
      <c r="K91" s="3">
        <f>0+(1234.9-403.4)+(0+(-3.778794--1.234404))+0-0-0</f>
        <v>828.95561000000009</v>
      </c>
      <c r="L91" s="3">
        <f>0+(1228.4-386.3)+(0+(-4.385388--1.379091))+0-0-0</f>
        <v>839.09370300000012</v>
      </c>
      <c r="M91" s="3">
        <f>0+(1246.5-346.9)+(0+(0.635715-0.176919))+0-0-0</f>
        <v>900.05879600000003</v>
      </c>
      <c r="N91" s="3">
        <f>0+(1220.3-264.4)+(0+(1.867059-0.404532))+0-0-0</f>
        <v>957.362527</v>
      </c>
      <c r="O91" s="3">
        <f>0+(1204.2-204.6)+(0+(0.614142-0.104346))+0-0-0</f>
        <v>1000.1097960000001</v>
      </c>
      <c r="P91" s="3">
        <f>0+(1197-162.7)+(0+(0-0))+0-0-0</f>
        <v>1034.3</v>
      </c>
      <c r="Q91" s="3">
        <f>64.2+(1147.8-182)+(0.065484+(1.170756-0.18564))+0-0-0</f>
        <v>1031.0506</v>
      </c>
      <c r="R91" s="3">
        <f>108.5+(1112.4-217.7)+(0+(0-0))+0-0-0</f>
        <v>1003.2</v>
      </c>
      <c r="S91" s="3">
        <f>108.1+(1117.6-257.2)+(0+(0-0))+0-0-0</f>
        <v>968.49999999999989</v>
      </c>
      <c r="T91" s="3">
        <f>107.2+(1163.7-286.1)+(0+(0-0))+0-0-0</f>
        <v>984.80000000000007</v>
      </c>
      <c r="U91" s="3">
        <f>106.3+(1169.9-288)+(-0.108426+(-1.193298--0.29376))+0-0-0</f>
        <v>987.19203600000003</v>
      </c>
      <c r="V91" s="3">
        <f>103.2+(1162.9-284)+(-0.052632+(-0.593079--0.14484))+0-0-0</f>
        <v>981.59912900000018</v>
      </c>
      <c r="W91" s="3">
        <f>100+(1206.3-322.4)+(0+(0-0))+0-0-0</f>
        <v>983.9</v>
      </c>
      <c r="X91" s="3">
        <f>81.1+(1239.5-369.1)+(-0.041361+(-0.632145--0.188241))+0-0-0</f>
        <v>951.01473499999997</v>
      </c>
      <c r="Y91" s="3">
        <f>0+(1142.8-225.2)+(0+(0-0))+0-0-0</f>
        <v>917.59999999999991</v>
      </c>
      <c r="Z91" s="3">
        <f>0+(1078.1-151.1)+(0+(-1.099662--0.154122))+0-0-0</f>
        <v>926.05445999999984</v>
      </c>
      <c r="AA91" s="3">
        <f>0+(1062.8-69.1)+(0+(-1.626084--0.105723))+0-0-0</f>
        <v>992.17963899999995</v>
      </c>
      <c r="AB91" s="3">
        <f>0+(1093.1-119.8)+(0+(-1.114962--0.122196))+0-0-0</f>
        <v>972.30723399999999</v>
      </c>
      <c r="AC91" s="3">
        <f>0+(1181.6-216.8)+(0+(-1.205232--0.221136))+0-0-0</f>
        <v>963.81590399999993</v>
      </c>
      <c r="AD91">
        <v>1005.8</v>
      </c>
      <c r="AE91" s="3">
        <f>0+(1069.1-63.3)+(0+(0-0))+0-0-0</f>
        <v>1005.8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0+(1257.8-333.3)+(0+(-3.848868--1.019898))+0-0-0</f>
        <v>921.67102999999997</v>
      </c>
      <c r="G92" s="3">
        <f>0+(1183.9-302.4)+(0+(-2.415156--0.616896))+0-0-0</f>
        <v>879.70174000000009</v>
      </c>
      <c r="H92" s="3">
        <f>0+(1126.3-273.7)+(0+(-1.723239--0.418761))+0-0-0</f>
        <v>851.29552199999989</v>
      </c>
      <c r="I92" s="3">
        <f>0+(1063.9-211.8)+(0+(1.085178-0.216036))+0-0-0</f>
        <v>852.96914200000015</v>
      </c>
      <c r="J92" s="3">
        <f>0+(1072.2-223.4)+(0+(-2.187288--0.455736))+0-0-0</f>
        <v>847.0684480000001</v>
      </c>
      <c r="K92" s="3">
        <f>0+(1106.8-268.4)+(0+(-2.82234--0.68442))+0-0-0</f>
        <v>836.26207999999997</v>
      </c>
      <c r="L92" s="3">
        <f>0+(1134.3-304.1)+(0+(-1.156986--0.310182))+0-0-0</f>
        <v>829.35319599999991</v>
      </c>
      <c r="M92" s="3">
        <f>0+(1083.9-197.7)+(0+(2.763945-0.504135))+0-0-0</f>
        <v>888.45981000000006</v>
      </c>
      <c r="N92" s="3">
        <f>0+(1150-179.3)+(0+(0.5865-0.091443))+0-0-0</f>
        <v>971.19505700000002</v>
      </c>
      <c r="O92" s="3">
        <f>25.9+(1213.1-219.2)+(-0.013209+(-0.618681--0.111792))+0-0-0</f>
        <v>1019.2799019999999</v>
      </c>
      <c r="P92" s="3">
        <f>109.6+(1152.6-217.8)+(0.167688+(1.763478-0.333234))+0-0-0</f>
        <v>1045.9979319999998</v>
      </c>
      <c r="Q92" s="3">
        <f>109.3+(1204.2-255.2)+(0.222972+(2.456568-0.520608))+0-0-0</f>
        <v>1060.458932</v>
      </c>
      <c r="R92" s="3">
        <f>190.2+(1136.1-284.5)+(0.097002+(0.579411-0.145095))+0-0-0</f>
        <v>1042.331318</v>
      </c>
      <c r="S92" s="3">
        <f>216.8+(1119.8-320.2)+(0.110568+(0.571098-0.163302))+0-0-0</f>
        <v>1016.9183639999999</v>
      </c>
      <c r="T92" s="3">
        <f>216.1+(1148.5-336.4)+(0.220422+(1.17147-0.343128))+0-0-0</f>
        <v>1029.2487639999999</v>
      </c>
      <c r="U92" s="3">
        <f>216.4+(1162.9-342.6)+(0+(0-0))+0-0-0</f>
        <v>1036.7</v>
      </c>
      <c r="V92" s="3">
        <f>215.9+(1100.9-292.6)+(0.110109+(0.561459-0.149226))+0-0-0</f>
        <v>1024.722342</v>
      </c>
      <c r="W92" s="3">
        <f>215.6+(1106.7-320.3)+(-0.329868+(-1.693251--0.490059))+0-0-0</f>
        <v>1000.4669400000001</v>
      </c>
      <c r="X92" s="3">
        <f>154+(1136.2-311.9)+(-0.31416+(-2.317848--0.636276))+0-0-0</f>
        <v>976.30426800000009</v>
      </c>
      <c r="Y92" s="3">
        <f>53.1+(1106.9-212.4)+(-0.135405+(-2.822595--0.54162))+0-0-0</f>
        <v>945.18362000000013</v>
      </c>
      <c r="Z92" s="3">
        <f>70.9+(1143.3-260.5)+(0+(0-0))+0-0-0</f>
        <v>953.69999999999993</v>
      </c>
      <c r="AA92" s="3">
        <f>114+(1183-264.5)+(-0.05814+(-0.60333--0.134895))+0-0-0</f>
        <v>1031.9734249999999</v>
      </c>
      <c r="AB92" s="3">
        <f>105.9+(1189.7-284.9)+(-0.108018+(-1.213494--0.290598))+0-0-0</f>
        <v>1009.669086</v>
      </c>
      <c r="AC92" s="3">
        <f>4.2+(1273.3-301.5)+(-0.004284+(-1.298766--0.30753))+0-0-0</f>
        <v>975.00447999999994</v>
      </c>
      <c r="AD92">
        <v>1033.6000000000001</v>
      </c>
      <c r="AE92" s="3">
        <f>114+(1180.4-260.8)+(0+(0-0))+0-0-0</f>
        <v>1033.6000000000001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0+(1305.3-378)+(0+(-1.331406--0.38556))+0-0-0</f>
        <v>926.35415399999999</v>
      </c>
      <c r="G93" s="3">
        <f>0+(1367.6-481.7)+(0+(0-0))+0-0-0</f>
        <v>885.89999999999986</v>
      </c>
      <c r="H93" s="3">
        <f>0+(1296.6-438.6)+(0+(-1.983798--0.671058))+0-0-0</f>
        <v>856.68725999999992</v>
      </c>
      <c r="I93" s="3">
        <f>0+(1234.6-397.7)+(0+(-1.259292--0.405654))+0-0-0</f>
        <v>836.04636199999982</v>
      </c>
      <c r="J93" s="3">
        <f>0+(1203.4-355.8)+(0+(-3.06867--0.90729))+0-0-0</f>
        <v>845.43862000000013</v>
      </c>
      <c r="K93" s="3">
        <f>0+(1170.3-338.4)+(0+(-2.984265--0.86292))+0-0-0</f>
        <v>829.77865499999996</v>
      </c>
      <c r="L93" s="3">
        <f>0+(1235.3-396.4)+(0+(0-0))+0-0-0</f>
        <v>838.9</v>
      </c>
      <c r="M93" s="3">
        <f>0+(1376.5-493.7)+(0+(0.702015-0.251787))+0-0-0</f>
        <v>883.25022799999999</v>
      </c>
      <c r="N93" s="3">
        <f>0+(1412.3-427.8)+(0+(-1.440546--0.436356))+0-0-0</f>
        <v>983.49581000000001</v>
      </c>
      <c r="O93" s="3">
        <f>0+(1331.3-342.2)+(0+(-1.357926--0.349044))+0-0-0</f>
        <v>988.09111799999994</v>
      </c>
      <c r="P93" s="3">
        <f>0+(1358.4-328.5)+(0+(0.692784-0.167535))+0-0-0</f>
        <v>1030.4252490000001</v>
      </c>
      <c r="Q93" s="3">
        <f>92+(1226-277.5)+(0+(0-0))+0-0-0</f>
        <v>1040.5</v>
      </c>
      <c r="R93" s="3">
        <f>115+(1169.6-244.6)+(-0.1173+(-1.192992--0.249492))+0-0-0</f>
        <v>1038.9392</v>
      </c>
      <c r="S93" s="3">
        <f>114.3+(1174.6-282.4)+(-0.058293+(-0.599046--0.144024))+0-0-0</f>
        <v>1005.9866849999999</v>
      </c>
      <c r="T93" s="3">
        <f>113.6+(1166.7-230.9)+(0+(0-0))+0-0-0</f>
        <v>1049.4000000000001</v>
      </c>
      <c r="U93" s="3">
        <f>111.2+(1123.8-222.9)+(-0.056712+(-0.573138--0.113679))+0-0-0</f>
        <v>1011.583829</v>
      </c>
      <c r="V93" s="3">
        <f>100+(1215.6-307.2)+(-0.051+(-0.619956--0.156672))+0-0-0</f>
        <v>1007.8857159999999</v>
      </c>
      <c r="W93" s="3">
        <f>99.9+(1212.8-342.3)+(-0.101898+(-1.237056--0.349146))+0-0-0</f>
        <v>969.41019199999994</v>
      </c>
      <c r="X93" s="3">
        <f>99.7+(1248.7-395)+(-0.152541+(-1.910511--0.60435))+0-0-0</f>
        <v>951.94129800000007</v>
      </c>
      <c r="Y93" s="3">
        <f>97.9+(1136.7-328.3)+(-0.399432+(-4.637736--1.339464))+0-0-0</f>
        <v>902.60229600000002</v>
      </c>
      <c r="Z93" s="3">
        <f>100.7+(1185.1-352.1)+(0.102714+(1.208802-0.359142))+0-0-0</f>
        <v>934.6523739999999</v>
      </c>
      <c r="AA93" s="3">
        <f>99.9+(1190.5-310.6)+(-0.050949+(-0.607155--0.158406))+0-0-0</f>
        <v>979.30030199999999</v>
      </c>
      <c r="AB93" s="3">
        <f>99.9+(1220.3-358.6)+(-0.050949+(-0.622353--0.182886))+0-0-0</f>
        <v>961.10958399999993</v>
      </c>
      <c r="AC93" s="3">
        <f>99+(1245.7-414.1)+(-0.20196+(-2.541228--0.844764))+0-0-0</f>
        <v>928.70157600000005</v>
      </c>
      <c r="AD93">
        <v>995.59999999999991</v>
      </c>
      <c r="AE93" s="3">
        <f>100+(1233.1-337.5)+(0+(0-0))+0-0-0</f>
        <v>995.59999999999991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17.5+(1184.6-294.2)+(-0.044625+(-3.02073--0.75021))+0-0-0</f>
        <v>905.58485499999983</v>
      </c>
      <c r="G94" s="3">
        <f>0+(1233.9-361.7)+(0+(-2.517156--0.737868))+0-0-0</f>
        <v>870.42071200000009</v>
      </c>
      <c r="H94" s="3">
        <f>0+(1268.2-411.3)+(0+(-3.23391--1.048815))+0-0-0</f>
        <v>854.71490500000004</v>
      </c>
      <c r="I94" s="3">
        <f>0+(1300.7-452.8)+(0+(-2.653428--0.923712))+0-0-0</f>
        <v>846.17028400000004</v>
      </c>
      <c r="J94" s="3">
        <f>0+(1191.4-343.9)+(0+(-0.607614--0.175389))+0-0-0</f>
        <v>847.0677750000001</v>
      </c>
      <c r="K94" s="3">
        <f>0+(1148.6-328.5)+(0+(-2.343144--0.67014))+0-0-0</f>
        <v>818.42699599999992</v>
      </c>
      <c r="L94" s="3">
        <f>0+(1098.7-286.5)+(0+(-1.120674--0.29223))+0-0-0</f>
        <v>811.37155600000006</v>
      </c>
      <c r="M94" s="3">
        <f>0+(1125-254.8)+(0+(0.57375-0.129948))+0-0-0</f>
        <v>870.64380200000005</v>
      </c>
      <c r="N94" s="3">
        <f>0+(1214.8-284.3)+(0+(-0.619548--0.144993))+0-0-0</f>
        <v>930.02544499999999</v>
      </c>
      <c r="O94" s="3">
        <f>21.2+(1273.6-327.9)+(0+(0-0))+0-0-0</f>
        <v>966.9</v>
      </c>
      <c r="P94" s="3">
        <f>75.6+(1292-367.8)+(0+(0-0))+0-0-0</f>
        <v>999.80000000000007</v>
      </c>
      <c r="Q94" s="3">
        <f>119.7+(1241.9-361)+(0+(0-0))+0-0-0</f>
        <v>1000.6000000000001</v>
      </c>
      <c r="R94" s="3">
        <f>156.2+(1203-351.3)+(0+(0-0))+0-0-0</f>
        <v>1007.9000000000001</v>
      </c>
      <c r="S94" s="3">
        <f>235.3+(1216.6-479.5)+(-0.240006+(-1.240932--0.48909))+0-0-0</f>
        <v>971.40815199999986</v>
      </c>
      <c r="T94" s="3">
        <f>235.2+(1207.4-459.5)+(0.119952+(0.615774-0.234345))+0-0-0</f>
        <v>983.60138100000017</v>
      </c>
      <c r="U94" s="3">
        <f>213.8+(1179.9-421.5)+(-0.109038+(-0.601749--0.214965))+0-0-0</f>
        <v>971.70417800000007</v>
      </c>
      <c r="V94" s="3">
        <f>162.3+(1187.4-369.9)+(-0.165546+(-1.211148--0.377298))+0-0-0</f>
        <v>978.80060400000013</v>
      </c>
      <c r="W94" s="3">
        <f>162.3+(1212.2-415.2)+(-0.165546+(-1.236444--0.423504))+0-0-0</f>
        <v>958.32151399999998</v>
      </c>
      <c r="X94" s="3">
        <f>116.8+(1228.6-414.7)+(-0.416976+(-4.386102--1.480479))+0-0-0</f>
        <v>927.37740099999985</v>
      </c>
      <c r="Y94" s="3">
        <f>0+(1192.9-306.5)+(0+(-1.216758--0.31263))+0-0-0</f>
        <v>885.49587200000008</v>
      </c>
      <c r="Z94" s="3">
        <f>0+(1252.2-330.1)+(0+(-1.277244--0.336702))+0-0-0</f>
        <v>921.15945799999997</v>
      </c>
      <c r="AA94" s="3">
        <f>0+(1209.8-236.6)+(0+(-3.701988--0.723996))+0-0-0</f>
        <v>970.22200799999996</v>
      </c>
      <c r="AB94" s="3">
        <f>0+(1256.3-302.2)+(0+(-1.281426--0.308244))+0-0-0</f>
        <v>953.12681799999996</v>
      </c>
      <c r="AC94" s="3">
        <f>0+(1253.9-320.3)+(0+(0-0))+0-0-0</f>
        <v>933.60000000000014</v>
      </c>
      <c r="AD94">
        <v>986.00000000000011</v>
      </c>
      <c r="AE94" s="3">
        <f>0+(1219.9-233.9)+(0+(0-0))+0-0-0</f>
        <v>986.00000000000011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0+(1299.3-403.5)+(0+(-0.662643--0.205785))+0-0-0</f>
        <v>895.34314199999994</v>
      </c>
      <c r="G95" s="3">
        <f>0+(1282.4-427.5)+(0+(-0.654024--0.218025))+0-0-0</f>
        <v>854.46400100000005</v>
      </c>
      <c r="H95" s="3">
        <f>0+(1279-448.9)+(0+(-0.65229--0.228939))+0-0-0</f>
        <v>829.676649</v>
      </c>
      <c r="I95" s="3">
        <f>0+(1222.3-397)+(0+(-1.246746--0.40494))+0-0-0</f>
        <v>824.45819399999993</v>
      </c>
      <c r="J95" s="3">
        <f>0+(1168.3-359.2)+(0+(1.191666-0.366384))+0-0-0</f>
        <v>809.92528199999992</v>
      </c>
      <c r="K95" s="3">
        <f>0+(1151.6-343.8)+(0+(-3.523896--1.052028))+0-0-0</f>
        <v>805.32813199999998</v>
      </c>
      <c r="L95" s="3">
        <f>0+(1136.9-345.8)+(0+(-1.739457--0.529074))+0-0-0</f>
        <v>789.88961700000016</v>
      </c>
      <c r="M95" s="3">
        <f>0+(1135.3-291.7)+(0+(1.158006-0.297534))+0-0-0</f>
        <v>844.46047199999987</v>
      </c>
      <c r="N95" s="3">
        <f>22.8+(1167-299.4)+(0.034884+(1.78551-0.458082))+0-0-0</f>
        <v>891.76231199999995</v>
      </c>
      <c r="O95" s="3">
        <f>76+(1237.6-386.9)+(0.11628+(1.893528-0.591957))+0-0-0</f>
        <v>928.11785099999997</v>
      </c>
      <c r="P95" s="3">
        <f>121+(1190.5-350.6)+(0+(0-0))+0-0-0</f>
        <v>960.9</v>
      </c>
      <c r="Q95" s="3">
        <f>121.1+(1165.4-320.4)+(-0.061761+(-0.594354--0.163404))+0-0-0</f>
        <v>965.60728900000015</v>
      </c>
      <c r="R95" s="3">
        <f>121.1+(1178-333.3)+(0+(0-0))+0-0-0</f>
        <v>965.80000000000007</v>
      </c>
      <c r="S95" s="3">
        <f>121+(1182.4-362.9)+(-0.43197+(-4.221168--1.295553))+0-0-0</f>
        <v>937.14241500000014</v>
      </c>
      <c r="T95" s="3">
        <f>120.2+(1215-405.2)+(-0.122604+(-1.2393--0.413304))+0-0-0</f>
        <v>929.05139999999994</v>
      </c>
      <c r="U95" s="3">
        <f>119.9+(1245.7-447.4)+(-0.183447+(-1.905921--0.684522))+0-0-0</f>
        <v>916.79515400000003</v>
      </c>
      <c r="V95" s="3">
        <f>90.6+(1255.1-431.3)+(-0.092412+(-1.280202--0.439926))+0-0-0</f>
        <v>913.46731199999999</v>
      </c>
      <c r="W95" s="3">
        <f>0+(1246.7-351.2)+(0+(-2.543268--0.716448))+0-0-0</f>
        <v>893.67318</v>
      </c>
      <c r="X95" s="3">
        <f>0+(1198.1-327.5)+(0+(-3.666186--1.00215))+0-0-0</f>
        <v>867.9359639999999</v>
      </c>
      <c r="Y95" s="3">
        <f>0+(1193.9-342.7)+(0+(-3.653334--1.048662))+0-0-0</f>
        <v>848.59532799999999</v>
      </c>
      <c r="Z95" s="3">
        <f>0+(1230.3-352)+(0+(0-0))+0-0-0</f>
        <v>878.3</v>
      </c>
      <c r="AA95" s="3">
        <f>0+(1291.3-381.8)+(0+(-4.609941--1.363026))+0-0-0</f>
        <v>906.25308500000006</v>
      </c>
      <c r="AB95" s="3">
        <f>0+(1202.2-331.2)+(0+(-1.839366--0.506736))+0-0-0</f>
        <v>869.66737000000001</v>
      </c>
      <c r="AC95" s="3">
        <f>0+(1192.1-342.2)+(0+(-0.607971--0.174522))+0-0-0</f>
        <v>849.46655099999987</v>
      </c>
      <c r="AD95">
        <v>903.5</v>
      </c>
      <c r="AE95" s="3">
        <f>0+(1314-410.5)+(0+(0-0))+0-0-0</f>
        <v>903.5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0+(1234.7-418.7)+(0+(0-0))+0-0-0</f>
        <v>816</v>
      </c>
      <c r="G96" s="3">
        <f>0+(1193.3-417.5)+(0+(-1.217166--0.42585))+0-0-0</f>
        <v>775.0086839999999</v>
      </c>
      <c r="H96" s="3">
        <f>0+(1157.7-404.7)+(0+(-0.590427--0.206397))+0-0-0</f>
        <v>752.61596999999995</v>
      </c>
      <c r="I96" s="3">
        <f>0+(1114.9-378.7)+(0+(-2.274396--0.772548))+0-0-0</f>
        <v>734.69815200000005</v>
      </c>
      <c r="J96" s="3">
        <f>0+(1125.4-393.1)+(0+(1.147908-0.400962))+0-0-0</f>
        <v>733.04694600000005</v>
      </c>
      <c r="K96" s="3">
        <f>0+(1129.4-406.7)+(0+(-1.727982--0.622251))+0-0-0</f>
        <v>721.59426900000005</v>
      </c>
      <c r="L96" s="3">
        <f>0+(1143.6-451.2)+(0+(-1.166472--0.460224))+0-0-0</f>
        <v>691.6937519999999</v>
      </c>
      <c r="M96" s="3">
        <f>0+(1146.5-449.8)+(0+(1.754145-0.688194))+0-0-0</f>
        <v>697.76595100000009</v>
      </c>
      <c r="N96" s="3">
        <f>0+(1123-404.1)+(0+(0-0))+0-0-0</f>
        <v>718.9</v>
      </c>
      <c r="O96" s="3">
        <f>0+(1164.6-396.7)+(0+(-1.187892--0.404634))+0-0-0</f>
        <v>767.11674199999982</v>
      </c>
      <c r="P96" s="3">
        <f>0+(1226.8-448.9)+(0+(1.251336-0.457878))+0-0-0</f>
        <v>778.69345799999996</v>
      </c>
      <c r="Q96" s="3">
        <f>0+(1203-407.1)+(0+(0.61353-0.207621))+0-0-0</f>
        <v>796.30590899999993</v>
      </c>
      <c r="R96" s="3">
        <f>0+(1321.2-532.3)+(0+(0.673812-0.271473))+0-0-0</f>
        <v>789.30233900000007</v>
      </c>
      <c r="S96" s="3">
        <f>0+(1342.9-561.3)+(0+(-0.684879--0.286263))+0-0-0</f>
        <v>781.20138400000019</v>
      </c>
      <c r="T96" s="3">
        <f>0+(1331.2-538.2)+(0+(0-0))+0-0-0</f>
        <v>793</v>
      </c>
      <c r="U96" s="3">
        <f>0+(1225.7-430.4)+(0+(-1.250214--0.439008))+0-0-0</f>
        <v>794.4887940000001</v>
      </c>
      <c r="V96" s="3">
        <f>0+(1207.9-425.9)+(0+(1.232058-0.434418))+0-0-0</f>
        <v>782.79764000000011</v>
      </c>
      <c r="W96" s="3">
        <f>0+(1219.2-439.4)+(0+(-0.621792--0.224094))+0-0-0</f>
        <v>779.40230200000008</v>
      </c>
      <c r="X96" s="3">
        <f>0+(1206.1-428.6)+(0+(-1.230222--0.437172))+0-0-0</f>
        <v>776.70694999999989</v>
      </c>
      <c r="Y96" s="3">
        <f>0+(1075.8-321)+(0+(-1.097316--0.32742))+0-0-0</f>
        <v>754.03010399999994</v>
      </c>
      <c r="Z96" s="3">
        <f>0+(1052.6-266.9)+(0+(-1.073652--0.272238))+0-0-0</f>
        <v>784.89858599999991</v>
      </c>
      <c r="AA96" s="3">
        <f>0+(1098.7-246.5)+(0+(-3.362022--0.75429))+0-0-0</f>
        <v>849.59226799999999</v>
      </c>
      <c r="AB96" s="3">
        <f>0+(1093.8-243.6)+(0+(-1.115676--0.248472))+0-0-0</f>
        <v>849.33279599999992</v>
      </c>
      <c r="AC96" s="3">
        <f>0+(1101.9-276.2)+(0+(-0.561969--0.140862))+0-0-0</f>
        <v>825.27889300000004</v>
      </c>
      <c r="AD96">
        <v>858.7</v>
      </c>
      <c r="AE96" s="3">
        <f>0+(1111-252.3)+(0+(0-0))+0-0-0</f>
        <v>858.7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0+(1149.9-370.7)+(0+(-2.932245--0.945285))+0-0-0</f>
        <v>777.21304000000009</v>
      </c>
      <c r="G97" s="3">
        <f>0+(1156.3-415.1)+(0+(-2.358852--0.846804))+0-0-0</f>
        <v>739.68795199999988</v>
      </c>
      <c r="H97" s="3">
        <f>0+(1182.8-462)+(0+(-0.603228--0.23562))+0-0-0</f>
        <v>720.43239199999994</v>
      </c>
      <c r="I97" s="3">
        <f>0+(1176.8-454.3)+(0+(-1.800504--0.695079))+0-0-0</f>
        <v>721.39457500000003</v>
      </c>
      <c r="J97" s="3">
        <f>0+(1198.4-473.1)+(0+(-1.222368--0.482562))+0-0-0</f>
        <v>724.56019400000002</v>
      </c>
      <c r="K97" s="3">
        <f>0+(1199.3-473.1)+(0+(-3.669858--1.447686))+0-0-0</f>
        <v>723.97782799999993</v>
      </c>
      <c r="L97" s="3">
        <f>0+(1169.2-423)+(0+(-2.385168--0.86292))+0-0-0</f>
        <v>744.67775200000005</v>
      </c>
      <c r="M97" s="3">
        <f>0+(1229.7-418)+(0+(0-0))+0-0-0</f>
        <v>811.7</v>
      </c>
      <c r="N97" s="3">
        <f>0+(1340.6-496.4)+(0+(-2.051118--0.759492))+0-0-0</f>
        <v>842.90837399999998</v>
      </c>
      <c r="O97" s="3">
        <f>0+(1399.2-493.3)+(0+(1.427184-0.503166))+0-0-0</f>
        <v>906.82401800000014</v>
      </c>
      <c r="P97" s="3">
        <f>0+(1382.9-403.1)+(0+(-0.705279--0.205581))+0-0-0</f>
        <v>979.3003020000001</v>
      </c>
      <c r="Q97" s="3">
        <f>0+(1327.1-315.6)+(0+(-0.676821--0.160956))+0-0-0</f>
        <v>1010.9841349999999</v>
      </c>
      <c r="R97" s="3">
        <f>0+(1281.4-294.9)+(0+(0.653514-0.150399))+0-0-0</f>
        <v>987.00311500000009</v>
      </c>
      <c r="S97" s="3">
        <f>0+(1296-333)+(0+(-0.66096--0.16983))+0-0-0</f>
        <v>962.50887</v>
      </c>
      <c r="T97" s="3">
        <f>0+(1281.3-315.5)+(0+(-1.306926--0.32181))+0-0-0</f>
        <v>964.81488400000001</v>
      </c>
      <c r="U97" s="3">
        <f>0+(1294.4-322.8)+(0+(-1.980432--0.493884))+0-0-0</f>
        <v>970.11345200000017</v>
      </c>
      <c r="V97" s="3">
        <f>0+(1285.9-319.8)+(0+(-3.279045--0.81549))+0-0-0</f>
        <v>963.63644500000009</v>
      </c>
      <c r="W97" s="3">
        <f>0+(1259.9-318.3)+(0+(-4.497843--1.136331))+0-0-0</f>
        <v>938.23848800000019</v>
      </c>
      <c r="X97" s="3">
        <f>0+(1268.5-336.8)+(0+(-3.88161--1.030608))+0-0-0</f>
        <v>928.84899800000005</v>
      </c>
      <c r="Y97" s="3">
        <f>0+(1196.6-301.1)+(0+(-2.441064--0.614244))+0-0-0</f>
        <v>893.67317999999989</v>
      </c>
      <c r="Z97" s="3">
        <f>0+(1255.9-337.9)+(0+(0-0))+0-0-0</f>
        <v>918.00000000000011</v>
      </c>
      <c r="AA97" s="3">
        <f>0+(1344.9-387)+(0+(-1.371798--0.39474))+0-0-0</f>
        <v>956.92294200000003</v>
      </c>
      <c r="AB97" s="3">
        <f>0+(1322.8-398.3)+(0+(-2.023884--0.609399))+0-0-0</f>
        <v>923.08551499999999</v>
      </c>
      <c r="AC97" s="3">
        <f>0+(1302.8-406)+(0+(-0.664428--0.20706))+0-0-0</f>
        <v>896.34263199999998</v>
      </c>
      <c r="AD97">
        <v>966.5</v>
      </c>
      <c r="AE97" s="3">
        <f>0+(1350.8-384.3)+(0+(0-0))+0-0-0</f>
        <v>966.5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0+(1271.7-407.3)+(0+(-1.945701--0.623169))+0-0-0</f>
        <v>863.07746800000007</v>
      </c>
      <c r="G98" s="3">
        <f>0+(1315.3-473.7)+(0+(-2.012409--0.724761))+0-0-0</f>
        <v>840.31235199999992</v>
      </c>
      <c r="H98" s="3">
        <f>0+(1239.8-422.9)+(0+(-1.264596--0.431358))+0-0-0</f>
        <v>816.06676199999993</v>
      </c>
      <c r="I98" s="3">
        <f>0+(1204.2-401.4)+(0+(1.842426-0.614142))+0-0-0</f>
        <v>804.0282840000001</v>
      </c>
      <c r="J98" s="3">
        <f>0+(1206.6-405.1)+(0+(0-0))+0-0-0</f>
        <v>801.49999999999989</v>
      </c>
      <c r="K98" s="3">
        <f>0+(1208.1-413.5)+(0+(-1.232262--0.42177))+0-0-0</f>
        <v>793.78950799999996</v>
      </c>
      <c r="L98" s="3">
        <f>0+(1193.1-393.1)+(0+(-2.433924--0.801924))+0-0-0</f>
        <v>798.36799999999994</v>
      </c>
      <c r="M98" s="3">
        <f>0+(1190.7-343.5)+(0+(3.643542-1.05111))+0-0-0</f>
        <v>849.79243200000008</v>
      </c>
      <c r="N98" s="3">
        <f>0+(1268.5-345.8)+(0+(-2.58774--0.705432))+0-0-0</f>
        <v>920.81769200000008</v>
      </c>
      <c r="O98" s="3">
        <f>0+(1359.4-388.3)+(0+(-0.693294--0.198033))+0-0-0</f>
        <v>970.60473900000011</v>
      </c>
      <c r="P98" s="3">
        <f>0+(1337.4-337.3)+(0+(-0.682074--0.172023))+0-0-0</f>
        <v>999.58994900000016</v>
      </c>
      <c r="Q98" s="3">
        <f>78.5+(1219.7-290)+(-0.040035+(-0.622047--0.1479))+0-0-0</f>
        <v>1007.685818</v>
      </c>
      <c r="R98" s="3">
        <f>195.1+(1125.9-284.3)+(0+(0-0))+0-0-0</f>
        <v>1036.7</v>
      </c>
      <c r="S98" s="3">
        <f>209.4+(1093.8-303.5)+(-0.213588+(-1.115676--0.30957))+0-0-0</f>
        <v>998.68030599999997</v>
      </c>
      <c r="T98" s="3">
        <f>208.9+(1075.5-283.3)+(-0.426156+(-2.19402--0.577932))+0-0-0</f>
        <v>999.05775600000004</v>
      </c>
      <c r="U98" s="3">
        <f>209.3+(1083.1-302)+(-0.320229+(-1.657143--0.46206))+0-0-0</f>
        <v>988.88468799999987</v>
      </c>
      <c r="V98" s="3">
        <f>210+(1065.4-307.3)+(-0.1071+(-0.543354--0.156723))+0-0-0</f>
        <v>967.60626900000011</v>
      </c>
      <c r="W98" s="3">
        <f>210+(1073.3-338)+(-0.1071+(-0.547383--0.17238))+0-0-0</f>
        <v>944.8178969999999</v>
      </c>
      <c r="X98" s="3">
        <f>190.5+(1132.9-396.6)+(-0.58293+(-3.466674--1.213596))+0-0-0</f>
        <v>923.96399200000008</v>
      </c>
      <c r="Y98" s="3">
        <f>86.1+(1146.5-337.4)+(-0.131733+(-1.754145--0.516222))+0-0-0</f>
        <v>893.83034400000008</v>
      </c>
      <c r="Z98" s="3">
        <f>86.1+(1141-300.5)+(-0.131733+(-1.74573--0.459765))+0-0-0</f>
        <v>925.18230200000005</v>
      </c>
      <c r="AA98" s="3">
        <f>86.1+(1146.5-265)+(-0.043911+(-0.584715--0.13515))+0-0-0</f>
        <v>967.10652400000004</v>
      </c>
      <c r="AB98" s="3">
        <f>86+(1185.5-310)+(-0.17544+(-2.41842--0.6324))+0-0-0</f>
        <v>959.53854000000001</v>
      </c>
      <c r="AC98" s="3">
        <f>69.5+(1248.6-363.6)+(-0.07089+(-1.273572--0.370872))+0-0-0</f>
        <v>953.52640999999994</v>
      </c>
      <c r="AD98">
        <v>961.59999999999991</v>
      </c>
      <c r="AE98" s="3">
        <f>86+(1145.8-270.2)+(0+(0-0))+0-0-0</f>
        <v>961.59999999999991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0+(1296.4-407)+(0+(-1.983492--0.62271))+0-0-0</f>
        <v>888.03921800000012</v>
      </c>
      <c r="G99" s="3">
        <f>0+(1279.1-411.7)+(0+(-2.609364--0.839868))+0-0-0</f>
        <v>865.63050399999986</v>
      </c>
      <c r="H99" s="3">
        <f>0+(1234.8-396.4)+(0+(-2.518992--0.808656))+0-0-0</f>
        <v>836.68966399999999</v>
      </c>
      <c r="I99" s="3">
        <f>0+(1158.1-335.4)+(0+(-2.953155--0.85527))+0-0-0</f>
        <v>820.60211499999991</v>
      </c>
      <c r="J99" s="3">
        <f>0+(1144.1-323.1)+(0+(-3.500946--0.988686))+0-0-0</f>
        <v>818.48773999999992</v>
      </c>
      <c r="K99" s="3">
        <f>0+(1128.7-328.5)+(0+(-2.878185--0.837675))+0-0-0</f>
        <v>798.15949000000001</v>
      </c>
      <c r="L99" s="3">
        <f>0+(1125.2-328.8)+(0+(-0.573852--0.167688))+0-0-0</f>
        <v>795.9938360000001</v>
      </c>
      <c r="M99" s="3">
        <f>0+(1128.2-278.3)+(0+(-0.575382--0.141933))+0-0-0</f>
        <v>849.46655100000009</v>
      </c>
      <c r="N99" s="3">
        <f>0+(1175.3-258.6)+(0+(0.599403-0.131886))+0-0-0</f>
        <v>917.16751699999998</v>
      </c>
      <c r="O99" s="3">
        <f>5.7+(1194.2-237.2)+(-0.002907+(-0.609042--0.120972))+0-0-0</f>
        <v>962.209023</v>
      </c>
      <c r="P99" s="3">
        <f>94.4+(1089.6-203.6)+(-0.048144+(-0.555696--0.103836))+0-0-0</f>
        <v>979.89999599999987</v>
      </c>
      <c r="Q99" s="3">
        <f>170.2+(1012.3-165.9)+(0+(0-0))+0-0-0</f>
        <v>1016.5999999999999</v>
      </c>
      <c r="R99" s="3">
        <f>217.7+(982.6-188.2)+(0+(0-0))+0-0-0</f>
        <v>1012.1000000000001</v>
      </c>
      <c r="S99" s="3">
        <f>216.7+(958.7-193.3)+(-0.221034+(-0.977874--0.197166))+0-0-0</f>
        <v>981.0982580000001</v>
      </c>
      <c r="T99" s="3">
        <f>214.9+(1011.9-248.5)+(-0.109599+(-0.516069--0.126735))+0-0-0</f>
        <v>977.80106699999999</v>
      </c>
      <c r="U99" s="3">
        <f>213.7+(1025.6-258)+(0.108987+(0.523056-0.13158))+0-0-0</f>
        <v>981.80046299999992</v>
      </c>
      <c r="V99" s="3">
        <f>213.6+(1019.4-261.5)+(-0.108936+(-0.519894--0.133365))+0-0-0</f>
        <v>971.00453500000003</v>
      </c>
      <c r="W99" s="3">
        <f>213.7+(1014.2-265.2)+(-0.762909+(-3.620694--0.946764))+0-0-0</f>
        <v>959.26316100000008</v>
      </c>
      <c r="X99" s="3">
        <f>214.2+(1057.5-332.9)+(-0.655452+(-3.23595--1.018674))+0-0-0</f>
        <v>935.9272719999999</v>
      </c>
      <c r="Y99" s="3">
        <f>214.7+(982.9-293.4)+(-0.109497+(-0.501279--0.149634))+0-0-0</f>
        <v>903.73885800000005</v>
      </c>
      <c r="Z99" s="3">
        <f>218.2+(1053.6-331.1)+(0.111282+(0.537336-0.168861))+0-0-0</f>
        <v>941.17975699999977</v>
      </c>
      <c r="AA99" s="3">
        <f>221.7+(1049-269.9)+(-0.452268+(-2.13996--0.550596))+0-0-0</f>
        <v>998.7583679999999</v>
      </c>
      <c r="AB99" s="3">
        <f>223.5+(1083.7-317.8)+(-0.113985+(-0.552687--0.162078))+0-0-0</f>
        <v>988.89540600000009</v>
      </c>
      <c r="AC99" s="3">
        <f>223.2+(1115.9-375)+(0+(0-0))+0-0-0</f>
        <v>964.10000000000014</v>
      </c>
      <c r="AD99">
        <v>999.30000000000007</v>
      </c>
      <c r="AE99" s="3">
        <f>221+(1043.9-265.6)+(0+(0-0))+0-0-0</f>
        <v>999.30000000000007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62.4+(1226-356.5)+(-0.15912+(-3.1263--0.909075))+0-0-0</f>
        <v>929.52365499999996</v>
      </c>
      <c r="G100" s="3">
        <f>0+(1159.8-276.3)+(0+(-2.365992--0.563652))+0-0-0</f>
        <v>881.69766000000004</v>
      </c>
      <c r="H100" s="3">
        <f>0+(1087-231.2)+(0+(-1.10874--0.235824))+0-0-0</f>
        <v>854.92708399999992</v>
      </c>
      <c r="I100" s="3">
        <f>0+(1122.8-279.6)+(0+(-1.717884--0.427788))+0-0-0</f>
        <v>841.90990399999998</v>
      </c>
      <c r="J100" s="3">
        <f>0+(1141.3-307)+(0+(-2.910315--0.78285))+0-0-0</f>
        <v>832.17253499999993</v>
      </c>
      <c r="K100" s="3">
        <f>0+(1114.1-295.8)+(0+(-2.840955--0.75429))+0-0-0</f>
        <v>816.21333499999992</v>
      </c>
      <c r="L100" s="3">
        <f>0+(1126-302.4)+(0+(0.57426-0.154224))+0-0-0</f>
        <v>824.020036</v>
      </c>
      <c r="M100" s="3">
        <f>0+(1153.4-275.3)+(0+(-1.764702--0.421209))+0-0-0</f>
        <v>876.75650700000017</v>
      </c>
      <c r="N100" s="3">
        <f>0+(1163.2-220.7)+(0+(0.593232-0.112557))+0-0-0</f>
        <v>942.98067500000002</v>
      </c>
      <c r="O100" s="3">
        <f>58.2+(1187.4-251.9)+(0+(0-0))+0-0-0</f>
        <v>993.70000000000016</v>
      </c>
      <c r="P100" s="3">
        <f>111.2+(1236.5-311)+(-0.056712+(-0.630615--0.15861))+0-0-0</f>
        <v>1036.1712830000001</v>
      </c>
      <c r="Q100" s="3">
        <f>110.2+(1193.3-259.5)+(0.112404+(1.217166-0.26469))+0-0-0</f>
        <v>1045.0648799999999</v>
      </c>
      <c r="R100" s="3">
        <f>154.6+(1148.4-267.4)+(0.157692+(1.171368-0.272748))+0-0-0</f>
        <v>1036.6563120000001</v>
      </c>
      <c r="S100" s="3">
        <f>219+(1144.7-349.8)+(0+(0-0))+0-0-0</f>
        <v>1013.9000000000001</v>
      </c>
      <c r="T100" s="3">
        <f>274.1+(1137.8-391.5)+(-0.139791+(-0.580278--0.199665))+0-0-0</f>
        <v>1019.879596</v>
      </c>
      <c r="U100" s="3">
        <f>323.6+(1141.6-439.1)+(-0.165036+(-0.582216--0.223941))+0-0-0</f>
        <v>1025.576689</v>
      </c>
      <c r="V100" s="3">
        <f>322.8+(1129.3-444.1)+(-0.493884+(-1.727829--0.679473))+0-0-0</f>
        <v>1006.45776</v>
      </c>
      <c r="W100" s="3">
        <f>322.6+(1136.2-465.6)+(0.329052+(1.158924-0.474912))+0-0-0</f>
        <v>994.21306400000003</v>
      </c>
      <c r="X100" s="3">
        <f>323.5+(1170.5-514.8)+(-0.65994+(-2.38782--1.050192))+0-0-0</f>
        <v>977.20243200000004</v>
      </c>
      <c r="Y100" s="3">
        <f>225.3+(1034.5-314.9)+(-0.229806+(-1.05519--0.321198))+0-0-0</f>
        <v>943.93620200000009</v>
      </c>
      <c r="Z100" s="3">
        <f>201.7+(1093.9-338.8)+(0+(0-0))+0-0-0</f>
        <v>956.80000000000018</v>
      </c>
      <c r="AA100" s="3">
        <f>329.6+(1122.1-427.8)+(-0.168096+(-0.572271--0.218178))+0-0-0</f>
        <v>1023.377811</v>
      </c>
      <c r="AB100" s="3">
        <f>328.2+(1154.9-481.3)+(-0.502146+(-1.766997--0.736389))+0-0-0</f>
        <v>1000.2672460000002</v>
      </c>
      <c r="AC100" s="3">
        <f>314.1+(1189.9-519.1)+(0+(0-0))+0-0-0</f>
        <v>984.90000000000009</v>
      </c>
      <c r="AD100">
        <v>1020</v>
      </c>
      <c r="AE100" s="3">
        <f>330+(1103.7-413.7)+(0+(0-0))+0-0-0</f>
        <v>1020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129.8+(1234.1-418.8)+(-0.198594+(-1.888173--0.640764))+0-0-0</f>
        <v>943.65399699999989</v>
      </c>
      <c r="G101" s="3">
        <f>19.5+(1288.7-416.5)+(0+(0-0))+0-0-0</f>
        <v>891.7</v>
      </c>
      <c r="H101" s="3">
        <f>0+(1284.4-416.5)+(0+(-3.27522--1.062075))+0-0-0</f>
        <v>865.68685500000004</v>
      </c>
      <c r="I101" s="3">
        <f>0+(1267.2-402.6)+(0+(-1.938816--0.615978))+0-0-0</f>
        <v>863.27716199999998</v>
      </c>
      <c r="J101" s="3">
        <f>0+(1253.4-405.6)+(0+(-1.917702--0.620568))+0-0-0</f>
        <v>846.50286600000004</v>
      </c>
      <c r="K101" s="3">
        <f>0+(1225.2-392.9)+(0+(-3.749112--1.202274))+0-0-0</f>
        <v>829.75316200000009</v>
      </c>
      <c r="L101" s="3">
        <f>0+(1227.2-409.5)+(0+(-1.251744--0.41769))+0-0-0</f>
        <v>816.86594600000001</v>
      </c>
      <c r="M101" s="3">
        <f>0+(1223.7-356.7)+(0+(0.624087-0.181917))+0-0-0</f>
        <v>867.44217000000003</v>
      </c>
      <c r="N101" s="3">
        <f>31.1+(1170.4-258.2)+(0.031722+(1.193808-0.263364))+0-0-0</f>
        <v>944.26216600000009</v>
      </c>
      <c r="O101" s="3">
        <f>181.5+(1137.3-329.8)+(-0.277695+(-1.740069--0.504594))+0-0-0</f>
        <v>987.48683000000005</v>
      </c>
      <c r="P101" s="3">
        <f>235.3+(1217.3-420.8)+(0+(0-0))+0-0-0</f>
        <v>1031.8</v>
      </c>
      <c r="Q101" s="3">
        <f>317.4+(1192.1-474.6)+(0.161874+(0.607971-0.242046))+0-0-0</f>
        <v>1035.4277989999998</v>
      </c>
      <c r="R101" s="3">
        <f>314.3+(1152.8-415.4)+(-0.160293+(-0.587928--0.211854))+0-0-0</f>
        <v>1051.1636330000001</v>
      </c>
      <c r="S101" s="3">
        <f>312.9+(1133.9-418)+(-0.638316+(-2.313156--0.85272))+0-0-0</f>
        <v>1026.7012480000001</v>
      </c>
      <c r="T101" s="3">
        <f>315.8+(1164.9-433.2)+(0.161058+(0.594099-0.220932))+0-0-0</f>
        <v>1048.0342250000001</v>
      </c>
      <c r="U101" s="3">
        <f>313.2+(1134.5-440.3)+(-0.79866+(-2.892975--1.122765))+0-0-0</f>
        <v>1004.8311300000001</v>
      </c>
      <c r="V101" s="3">
        <f>315.3+(1167.1-448.8)+(0+(0-0))+0-0-0</f>
        <v>1033.5999999999999</v>
      </c>
      <c r="W101" s="3">
        <f>313.9+(1195.4-494.7)+(-0.480267+(-1.828962--0.756891))+0-0-0</f>
        <v>1013.0476620000001</v>
      </c>
      <c r="X101" s="3">
        <f>287.4+(1230.3-530.1)+(-0.586296+(-2.509812--1.081404))+0-0-0</f>
        <v>985.58529599999986</v>
      </c>
      <c r="Y101" s="3">
        <f>134.4+(1209.9-398.9)+(-0.137088+(-1.234098--0.406878))+0-0-0</f>
        <v>944.43569200000013</v>
      </c>
      <c r="Z101" s="3">
        <f>165.4+(1200.5-398.5)+(-0.337416+(-2.44902--0.81294))+0-0-0</f>
        <v>965.42650400000002</v>
      </c>
      <c r="AA101" s="3">
        <f>286.9+(1176.9-439.3)+(-0.438957+(-1.800657--0.672129))+0-0-0</f>
        <v>1022.932515</v>
      </c>
      <c r="AB101" s="3">
        <f>204.5+(1176.5-382.7)+(-0.312885+(-1.800045--0.585531))+0-0-0</f>
        <v>996.77260100000001</v>
      </c>
      <c r="AC101" s="3">
        <f>190.9+(1211.1-417.7)+(0.194718+(1.235322-0.426054))+0-0-0</f>
        <v>985.3039859999999</v>
      </c>
      <c r="AD101">
        <v>1008.5</v>
      </c>
      <c r="AE101" s="3">
        <f>254+(1146-391.5)+(0+(0-0))+0-0-0</f>
        <v>1008.5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190+(1179.3-424.5)+(-0.0969+(-0.601443--0.216495))+0-0-0</f>
        <v>944.31815199999994</v>
      </c>
      <c r="G102" s="3">
        <f>189.9+(1181.2-472.1)+(-0.193698+(-1.204824--0.481542))+0-0-0</f>
        <v>898.08302000000003</v>
      </c>
      <c r="H102" s="3">
        <f>189.8+(1143.3-460.8)+(-0.193596+(-1.166166--0.470016))+0-0-0</f>
        <v>871.41025400000001</v>
      </c>
      <c r="I102" s="3">
        <f>190.2+(1101.2-435.6)+(0.097002+(0.561612-0.222156))+0-0-0</f>
        <v>856.23645799999997</v>
      </c>
      <c r="J102" s="3">
        <f>189.5+(1091.4-437.4)+(-0.289935+(-1.669842--0.669222))+0-0-0</f>
        <v>842.20944500000007</v>
      </c>
      <c r="K102" s="3">
        <f>173.9+(1092.3-441.4)+(-0.443445+(-2.785365--1.12557))+0-0-0</f>
        <v>822.69675999999993</v>
      </c>
      <c r="L102" s="3">
        <f>129+(1090.8-418.6)+(-0.39474+(-3.337848--1.280916))+0-0-0</f>
        <v>798.7483279999999</v>
      </c>
      <c r="M102" s="3">
        <f>130.7+(1097.2-408.6)+(-0.066657+(-0.559572--0.208386))+0-0-0</f>
        <v>818.88215700000001</v>
      </c>
      <c r="N102" s="3">
        <f>131.2+(1109.9-379)+(-0.066912+(-0.566049--0.19329))+0-0-0</f>
        <v>861.66032900000016</v>
      </c>
      <c r="O102" s="3">
        <f>131.1+(1095.7-323)+(0+(0-0))+0-0-0</f>
        <v>903.80000000000007</v>
      </c>
      <c r="P102" s="3">
        <f>200.7+(1038.9-299.2)+(0+(0-0))+0-0-0</f>
        <v>940.40000000000009</v>
      </c>
      <c r="Q102" s="3">
        <f>327.2+(924.4-294.2)+(-0.500616+(-1.414332--0.450126))+0-0-0</f>
        <v>955.93517800000006</v>
      </c>
      <c r="R102" s="3">
        <f>325.7+(911-274.7)+(-0.166107+(-0.46461--0.140097))+0-0-0</f>
        <v>961.50937999999996</v>
      </c>
      <c r="S102" s="3">
        <f>323.7+(918.8-303.1)+(-0.825435+(-2.34294--0.772905))+0-0-0</f>
        <v>937.00452999999982</v>
      </c>
      <c r="T102" s="3">
        <f>301.4+(956.3-332)+(0.153714+(0.487713-0.16932))+0-0-0</f>
        <v>926.17210699999998</v>
      </c>
      <c r="U102" s="3">
        <f>218+(989.1-283)+(0.11118+(0.504441-0.14433))+0-0-0</f>
        <v>924.57129099999997</v>
      </c>
      <c r="V102" s="3">
        <f>199.8+(984.6-271.5)+(-0.203796+(-1.004292--0.27693))+0-0-0</f>
        <v>911.96884200000011</v>
      </c>
      <c r="W102" s="3">
        <f>160.2+(1018.7-273.6)+(-0.245106+(-1.558611--0.418608))+0-0-0</f>
        <v>903.9148909999999</v>
      </c>
      <c r="X102" s="3">
        <f>116.9+(1022.2-251.9)+(-0.238476+(-2.085288--0.513876))+0-0-0</f>
        <v>885.39011200000004</v>
      </c>
      <c r="Y102" s="3">
        <f>99.9+(954.1-191.9)+(-0.152847+(-1.459773--0.293607))+0-0-0</f>
        <v>860.78098699999998</v>
      </c>
      <c r="Z102" s="3">
        <f>101.8+(978.4-189.7)+(0.051918+(0.498984-0.096747))+0-0-0</f>
        <v>890.95415500000001</v>
      </c>
      <c r="AA102" s="3">
        <f>104.7+(1011.1-178.7)+(-0.160191+(-1.546983--0.273411))+0-0-0</f>
        <v>935.66623700000014</v>
      </c>
      <c r="AB102" s="3">
        <f>65.1+(1061.1-196.1)+(-0.066402+(-1.082322--0.200022))+0-0-0</f>
        <v>929.15129799999988</v>
      </c>
      <c r="AC102" s="3">
        <f>43.1+(1106.8-227.7)+(0.043962+(1.128936-0.232254))+0-0-0</f>
        <v>923.14064399999995</v>
      </c>
      <c r="AD102">
        <v>972.69999999999993</v>
      </c>
      <c r="AE102" s="3">
        <f>105+(1036.6-168.9)+(0+(0-0))+0-0-0</f>
        <v>972.69999999999993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30+(1139.3-301.9)+(-0.0306+(-1.162086--0.307938))+0-0-0</f>
        <v>866.51525200000003</v>
      </c>
      <c r="G103" s="3">
        <f>0+(1195.9-285.4)+(0+(-0.609909--0.145554))+0-0-0</f>
        <v>910.03564500000016</v>
      </c>
      <c r="H103" s="3">
        <f>0+(1167.4-274.5)+(0+(-2.381496--0.55998))+0-0-0</f>
        <v>891.07848400000012</v>
      </c>
      <c r="I103" s="3">
        <f>0+(1130.6-266.2)+(0+(-2.88303--0.67881))+0-0-0</f>
        <v>862.1957799999999</v>
      </c>
      <c r="J103" s="3">
        <f>0+(1052.1-254.1)+(0+(1.073142-0.259182))+0-0-0</f>
        <v>798.81395999999984</v>
      </c>
      <c r="K103" s="3">
        <f>0+(1026.5-237.9)+(0+(-2.617575--0.606645))+0-0-0</f>
        <v>786.58906999999999</v>
      </c>
      <c r="L103" s="3">
        <f>0+(1009.4-257.9)+(0+(-0.514794--0.131529))+0-0-0</f>
        <v>751.11673499999995</v>
      </c>
      <c r="M103" s="3">
        <f>0+(1016.3-266.4)+(0+(-1.036626--0.271728))+0-0-0</f>
        <v>749.13510199999996</v>
      </c>
      <c r="N103" s="3">
        <f>0+(989.8-120.3)+(0+(-1.009596--0.122706))+0-0-0</f>
        <v>868.61311000000001</v>
      </c>
      <c r="O103" s="3">
        <f>0+(940.1-117.1)+(0+(0.479451-0.059721))+0-0-0</f>
        <v>823.41972999999996</v>
      </c>
      <c r="P103" s="3">
        <f>0+(987.1-175.3)+(0+(-1.006842--0.178806))+0-0-0</f>
        <v>810.97196399999996</v>
      </c>
      <c r="Q103" s="3">
        <f>0+(1076.4-180.6)+(0+(0-0))+0-0-0</f>
        <v>895.80000000000007</v>
      </c>
      <c r="R103" s="3">
        <f>0+(1059.3-170.2)+(0+(1.620729-0.260406))+0-0-0</f>
        <v>890.4603229999999</v>
      </c>
      <c r="S103" s="3">
        <f>0+(1037.8-171.5)+(0+(0-0))+0-0-0</f>
        <v>866.3</v>
      </c>
      <c r="T103" s="3">
        <f>0+(1043.3-198.9)+(0+(0.532083-0.101439))+0-0-0</f>
        <v>844.83064400000001</v>
      </c>
      <c r="U103" s="3">
        <f>0+(1049-216.5)+(0+(-3.20994--0.66249))+0-0-0</f>
        <v>829.95254999999997</v>
      </c>
      <c r="V103" s="3">
        <f>0+(1059.4-201)+(0+(1.620882-0.30753))+0-0-0</f>
        <v>859.7133520000001</v>
      </c>
      <c r="W103" s="3">
        <f>0+(1065.2-236.3)+(0+(-2.71626--0.602565))+0-0-0</f>
        <v>826.78630500000008</v>
      </c>
      <c r="X103" s="3">
        <f>0+(1078.2-207.7)+(0+(-2.74941--0.529635))+0-0-0</f>
        <v>868.28022499999997</v>
      </c>
      <c r="Y103" s="3">
        <f>0+(1047.4-224.2)+(0+(-1.068348--0.228684))+0-0-0</f>
        <v>822.36033600000007</v>
      </c>
      <c r="Z103" s="3">
        <f>0+(1114.4-263.9)+(0+(-1.136688--0.269178))+0-0-0</f>
        <v>849.63249000000008</v>
      </c>
      <c r="AA103" s="3">
        <f>0+(1107-190.5)+(0+(-2.25828--0.38862))+0-0-0</f>
        <v>914.63034000000005</v>
      </c>
      <c r="AB103" s="3">
        <f>0+(1101.8-188.9)+(0+(-1.123836--0.192678))+0-0-0</f>
        <v>911.968842</v>
      </c>
      <c r="AC103" s="3">
        <f>0+(1114.7-221)+(0+(-1.705491--0.33813))+0-0-0</f>
        <v>892.33263900000009</v>
      </c>
      <c r="AD103">
        <v>919.69999999999993</v>
      </c>
      <c r="AE103" s="3">
        <f>0+(1103.6-183.9)+(0+(0-0))+0-0-0</f>
        <v>919.69999999999993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0+(1185.2-327.9)+(0+(-0.604452--0.167229))+0-0-0</f>
        <v>856.86277700000005</v>
      </c>
      <c r="G104" s="3">
        <f>0+(1220.6-400.3)+(0+(-1.245012--0.408306))+0-0-0</f>
        <v>819.46329399999991</v>
      </c>
      <c r="H104" s="3">
        <f>0+(1155.7-359.2)+(0+(1.178814-0.366384))+0-0-0</f>
        <v>797.31242999999995</v>
      </c>
      <c r="I104" s="3">
        <f>0+(1111.4-324.5)+(0+(-0.566814--0.165495))+0-0-0</f>
        <v>786.49868100000015</v>
      </c>
      <c r="J104" s="3">
        <f>0+(1103.8-322.7)+(0+(-1.688814--0.493731))+0-0-0</f>
        <v>779.90491699999995</v>
      </c>
      <c r="K104" s="3">
        <f>0+(1110.3-339)+(0+(-4.530024--1.38312))+0-0-0</f>
        <v>768.15309600000001</v>
      </c>
      <c r="L104" s="3">
        <f>0+(1165.2-370.1)+(0+(-2.377008--0.755004))+0-0-0</f>
        <v>793.47799600000008</v>
      </c>
      <c r="M104" s="3">
        <f>0+(1175.1-324)+(0+(1.797903-0.49572))+0-0-0</f>
        <v>852.40218299999992</v>
      </c>
      <c r="N104" s="3">
        <f>0+(1248.8-326.5)+(0+(0.636888-0.166515))+0-0-0</f>
        <v>922.77037299999995</v>
      </c>
      <c r="O104" s="3">
        <f>0+(1280.5-301.2)+(0+(0.653055-0.153612))+0-0-0</f>
        <v>979.799443</v>
      </c>
      <c r="P104" s="3">
        <f>0+(1279.8-264.5)+(0+(-1.305396--0.26979))+0-0-0</f>
        <v>1014.2643939999999</v>
      </c>
      <c r="Q104" s="3">
        <f>3.9+(1252.5-221.1)+(-0.001989+(-0.638775--0.112761))+0-0-0</f>
        <v>1034.7719970000003</v>
      </c>
      <c r="R104" s="3">
        <f>101.6+(1214.1-241)+(-0.103632+(-1.238382--0.24582))+0-0-0</f>
        <v>1073.6038059999998</v>
      </c>
      <c r="S104" s="3">
        <f>206.5+(1162.1-331.3)+(-0.105315+(-0.592671--0.168963))+0-0-0</f>
        <v>1036.7709769999999</v>
      </c>
      <c r="T104" s="3">
        <f>210.2+(1183.2-350.5)+(-0.321606+(-1.810296--0.536265))+0-0-0</f>
        <v>1041.3043630000002</v>
      </c>
      <c r="U104" s="3">
        <f>210.2+(1199.1-362.9)+(0+(0-0))+0-0-0</f>
        <v>1046.3999999999999</v>
      </c>
      <c r="V104" s="3">
        <f>209.2+(1193.4-367)+(-0.213384+(-1.217268--0.37434))+0-0-0</f>
        <v>1034.5436880000002</v>
      </c>
      <c r="W104" s="3">
        <f>208.2+(1196.8-388)+(-0.53091+(-3.05184--0.9894))+0-0-0</f>
        <v>1014.40665</v>
      </c>
      <c r="X104" s="3">
        <f>207.7+(1205.5-434.8)+(-0.529635+(-3.074025--1.10874))+0-0-0</f>
        <v>975.90508000000011</v>
      </c>
      <c r="Y104" s="3">
        <f>92.7+(1161-299.7)+(-0.283662+(-3.55266--0.917082))+0-0-0</f>
        <v>951.08076000000005</v>
      </c>
      <c r="Z104" s="3">
        <f>126.4+(1156.3-308.2)+(0.128928+(1.179426-0.314364))+0-0-0</f>
        <v>975.49398999999994</v>
      </c>
      <c r="AA104" s="3">
        <f>216.9+(1208-380.2)+(-0.331857+(-1.84824--0.581706))+0-0-0</f>
        <v>1043.1016090000001</v>
      </c>
      <c r="AB104" s="3">
        <f>215.2+(1212.1-403)+(-0.219504+(-1.236342--0.41106))+0-0-0</f>
        <v>1023.2552139999999</v>
      </c>
      <c r="AC104" s="3">
        <f>157.6+(1218.6-361.6)+(0.080376+(0.621486-0.184416))+0-0-0</f>
        <v>1015.1174459999999</v>
      </c>
      <c r="AD104">
        <v>1029.5</v>
      </c>
      <c r="AE104" s="3">
        <f>220+(1210.3-400.8)+(0+(0-0))+0-0-0</f>
        <v>1029.5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120.1+(1177.9-331.1)+(0+(0-0))+0-0-0</f>
        <v>966.90000000000009</v>
      </c>
      <c r="G105" s="3">
        <f>113+(1148.9-341.8)+(-0.05763+(-0.585939--0.174318))+0-0-0</f>
        <v>919.63074900000015</v>
      </c>
      <c r="H105" s="3">
        <f>114.6+(1206.8-419.5)+(-0.175338+(-1.846404--0.641835))+0-0-0</f>
        <v>900.52009299999997</v>
      </c>
      <c r="I105" s="3">
        <f>115.5+(1239.6-470.5)+(-0.176715+(-1.896588--0.719865))+0-0-0</f>
        <v>883.24656199999993</v>
      </c>
      <c r="J105" s="3">
        <f>100.6+(1232.3-467.1)+(-0.25653+(-3.142365--1.191105))+0-0-0</f>
        <v>863.59220999999991</v>
      </c>
      <c r="K105" s="3">
        <f>45.1+(1240.4-429.2)+(-0.115005+(-3.16302--1.09446))+0-0-0</f>
        <v>854.11643500000002</v>
      </c>
      <c r="L105" s="3">
        <f>45.1+(1175-375.3)+(-0.046002+(-1.1985--0.382806))+0-0-0</f>
        <v>843.93830400000002</v>
      </c>
      <c r="M105" s="3">
        <f>58.3+(1126.5-297.9)+(-0.029733+(-0.574515--0.151929))+0-0-0</f>
        <v>886.44768099999999</v>
      </c>
      <c r="N105" s="3">
        <f>86.4+(1165.6-295.3)+(0.044064+(0.594456-0.150603))+0-0-0</f>
        <v>957.18791699999997</v>
      </c>
      <c r="O105" s="3">
        <f>82.6+(1269.2-308.5)+(0+(0-0))+0-0-0</f>
        <v>1043.3</v>
      </c>
      <c r="P105" s="3">
        <f>151.8+(1211.1-309.3)+(0.154836+(1.235322-0.315486))+0-0-0</f>
        <v>1054.6746719999999</v>
      </c>
      <c r="Q105" s="3">
        <f>222.4+(1197.6-340.3)+(-0.113424+(-0.610776--0.173553))+0-0-0</f>
        <v>1079.149353</v>
      </c>
      <c r="R105" s="3">
        <f>237.8+(1134.6-295.3)+(-0.242556+(-1.157292--0.301206))+0-0-0</f>
        <v>1076.001358</v>
      </c>
      <c r="S105" s="3">
        <f>324.6+(1088.8-373.2)+(-0.331092+(-1.110576--0.380664))+0-0-0</f>
        <v>1039.1389959999999</v>
      </c>
      <c r="T105" s="3">
        <f>320.5+(1137.3-415.7)+(0+(0-0))+0-0-0</f>
        <v>1042.0999999999999</v>
      </c>
      <c r="U105" s="3">
        <f>317.8+(1115.7-389.4)+(0+(0-0))+0-0-0</f>
        <v>1044.1000000000001</v>
      </c>
      <c r="V105" s="3">
        <f>317.4+(1142.7-425.5)+(0.161874+(0.582777-0.217005))+0-0-0</f>
        <v>1035.1276459999999</v>
      </c>
      <c r="W105" s="3">
        <f>318.3+(1167.3-470.6)+(-0.649332+(-2.381292--0.960024))+0-0-0</f>
        <v>1012.9294</v>
      </c>
      <c r="X105" s="3">
        <f>250.3+(1228.4-489.2)+(-0.893571+(-4.385388--1.746444))+0-0-0</f>
        <v>985.96748500000001</v>
      </c>
      <c r="Y105" s="3">
        <f>43+(1079.9-187.4)+(-0.10965+(-2.753745--0.47787))+0-0-0</f>
        <v>933.11447500000008</v>
      </c>
      <c r="Z105" s="3">
        <f>99.2+(1184.1-313.3)+(-0.050592+(-0.603891--0.159783))+0-0-0</f>
        <v>969.50530000000003</v>
      </c>
      <c r="AA105" s="3">
        <f>114.3+(1180.5-268.7)+(-0.233172+(-2.40822--0.548148))+0-0-0</f>
        <v>1024.006756</v>
      </c>
      <c r="AB105" s="3">
        <f>114.9+(1175.4-274.1)+(-0.175797+(-1.798362--0.419373))+0-0-0</f>
        <v>1014.645214</v>
      </c>
      <c r="AC105" s="3">
        <f>115.7+(1130.2-263.8)+(0.059007+(0.576402-0.134538))+0-0-0</f>
        <v>982.6008710000001</v>
      </c>
      <c r="AD105">
        <v>1031.8</v>
      </c>
      <c r="AE105" s="3">
        <f>115+(1191.1-274.3)+(0+(0-0))+0-0-0</f>
        <v>1031.8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116.1+(1091.4-276)+(0+(0-0))+0-0-0</f>
        <v>931.50000000000011</v>
      </c>
      <c r="G106" s="3">
        <f>115.6+(1121.3-350.2)+(-0.235824+(-2.287452--0.714408))+0-0-0</f>
        <v>884.89113199999997</v>
      </c>
      <c r="H106" s="3">
        <f>110.1+(1131.9-375.1)+(0.056151+(0.577269-0.191301))+0-0-0</f>
        <v>867.34211900000014</v>
      </c>
      <c r="I106" s="3">
        <f>109.3+(1135-391.8)+(-0.222972+(-2.3154--0.799272))+0-0-0</f>
        <v>850.76089999999999</v>
      </c>
      <c r="J106" s="3">
        <f>92+(1101.1-351.2)+(0+(0-0))+0-0-0</f>
        <v>841.89999999999986</v>
      </c>
      <c r="K106" s="3">
        <f>45+(1134.9-349.5)+(-0.11475+(-2.893995--0.891225))+0-0-0</f>
        <v>828.28248000000008</v>
      </c>
      <c r="L106" s="3">
        <f>45+(1112.8-333)+(-0.11475+(-2.83764--0.84915))+0-0-0</f>
        <v>822.69675999999993</v>
      </c>
      <c r="M106" s="3">
        <f>61+(1109.2-295.7)+(0+(0-0))+0-0-0</f>
        <v>874.5</v>
      </c>
      <c r="N106" s="3">
        <f>133.5+(1054.4-246.9)+(0.204255+(1.613232-0.377757))+0-0-0</f>
        <v>942.43973000000017</v>
      </c>
      <c r="O106" s="3">
        <f>301.8+(1057.9-390.5)+(0.307836+(1.079058-0.39831))+0-0-0</f>
        <v>970.18858399999999</v>
      </c>
      <c r="P106" s="3">
        <f>331.3+(1105.8-433.1)+(0.506889+(1.691874-0.662643))+0-0-0</f>
        <v>1005.53612</v>
      </c>
      <c r="Q106" s="3">
        <f>327.7+(1030.3-314.2)+(0.501381+(1.576359-0.480726))+0-0-0</f>
        <v>1045.3970139999999</v>
      </c>
      <c r="R106" s="3">
        <f>315+(1005.1-257.7)+(-0.16065+(-0.512601--0.131427))+0-0-0</f>
        <v>1061.8581760000002</v>
      </c>
      <c r="S106" s="3">
        <f>313.5+(1017.9-292.5)+(-0.63954+(-2.076516--0.5967))+0-0-0</f>
        <v>1036.7806440000002</v>
      </c>
      <c r="T106" s="3">
        <f>315.9+(1041.5-300.5)+(0.483327+(1.593495-0.459765))+0-0-0</f>
        <v>1058.517057</v>
      </c>
      <c r="U106" s="3">
        <f>314.5+(1025.8-292.4)+(-0.32079+(-1.046316--0.298248))+0-0-0</f>
        <v>1046.831142</v>
      </c>
      <c r="V106" s="3">
        <f>313.1+(1040.2-320.8)+(-0.638724+(-2.122008--0.654432))+0-0-0</f>
        <v>1030.3937000000001</v>
      </c>
      <c r="W106" s="3">
        <f>314.1+(1039.8-350.5)+(-0.640764+(-2.121192--0.71502))+0-0-0</f>
        <v>1001.353064</v>
      </c>
      <c r="X106" s="3">
        <f>280.7+(1106.4-403.5)+(-0.572628+(-2.257056--0.82314))+0-0-0</f>
        <v>981.59345600000017</v>
      </c>
      <c r="Y106" s="3">
        <f>101.2+(1149-300.7)+(-0.206448+(-2.34396--0.613428))+0-0-0</f>
        <v>947.56302000000005</v>
      </c>
      <c r="Z106" s="3">
        <f>136.6+(1203.1-362.5)+(-0.069666+(-0.613581--0.184875))+0-0-0</f>
        <v>976.70162799999991</v>
      </c>
      <c r="AA106" s="3">
        <f>224.8+(1119.6-315.7)+(-0.343944+(-1.712988--0.483021))+0-0-0</f>
        <v>1027.1260889999999</v>
      </c>
      <c r="AB106" s="3">
        <f>225.3+(1106-334)+(-0.459612+(-2.25624--0.68136))+0-0-0</f>
        <v>995.26550799999995</v>
      </c>
      <c r="AC106" s="3">
        <f>227.2+(1131.2-373.2)+(0+(0-0))+0-0-0</f>
        <v>985.2</v>
      </c>
      <c r="AD106">
        <v>1037.5</v>
      </c>
      <c r="AE106" s="3">
        <f>224+(1130.4-316.9)+(0+(0-0))+0-0-0</f>
        <v>1037.5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190.7+(1140-382.1)+(-0.291771+(-1.7442--0.584613))+0-0-0</f>
        <v>947.14864199999988</v>
      </c>
      <c r="G107" s="3">
        <f>113.6+(1168-382.1)+(-0.405552+(-4.16976--1.364097))+0-0-0</f>
        <v>896.28878499999996</v>
      </c>
      <c r="H107" s="3">
        <f>113.4+(1155.2-388.6)+(-0.347004+(-3.534912--1.189116))+0-0-0</f>
        <v>877.30719999999997</v>
      </c>
      <c r="I107" s="3">
        <f>113.4+(1133-382.6)+(-0.28917+(-2.88915--0.97563))+0-0-0</f>
        <v>861.59730999999999</v>
      </c>
      <c r="J107" s="3">
        <f>92.7+(1191-431.6)+(0.141831+(1.82223-0.660348))+0-0-0</f>
        <v>853.40371300000004</v>
      </c>
      <c r="K107" s="3">
        <f>44.1+(1186.4-385.6)+(-0.067473+(-1.815192--0.589968))+0-0-0</f>
        <v>843.60730300000012</v>
      </c>
      <c r="L107" s="3">
        <f>44+(1170-374)+(-0.08976+(-2.3868--0.76296))+0-0-0</f>
        <v>838.28639999999996</v>
      </c>
      <c r="M107" s="3">
        <f>44+(1159.2-318)+(0+(0-0))+0-0-0</f>
        <v>885.2</v>
      </c>
      <c r="N107" s="3">
        <f>99.1+(1197.4-350.4)+(-0.151623+(-1.832022--0.536112))+0-0-0</f>
        <v>944.65246700000012</v>
      </c>
      <c r="O107" s="3">
        <f>154.1+(1244.7-378)+(0.078591+(0.634797-0.19278))+0-0-0</f>
        <v>1021.3206080000001</v>
      </c>
      <c r="P107" s="3">
        <f>180.6+(1213.3-351.4)+(0+(0-0))+0-0-0</f>
        <v>1042.5</v>
      </c>
      <c r="Q107" s="3">
        <f>333.7+(1162.6-440.9)+(-0.340374+(-1.185852--0.449718))+0-0-0</f>
        <v>1054.3234919999998</v>
      </c>
      <c r="R107" s="3">
        <f>332.9+(1153.5-426.6)+(0+(0-0))+0-0-0</f>
        <v>1059.8</v>
      </c>
      <c r="S107" s="3">
        <f>331.5+(1127.4-429.5)+(-0.33813+(-1.149948--0.43809))+0-0-0</f>
        <v>1028.3500120000001</v>
      </c>
      <c r="T107" s="3">
        <f>329.3+(1109.1-399.9)+(-0.335886+(-1.131282--0.407898))+0-0-0</f>
        <v>1037.44073</v>
      </c>
      <c r="U107" s="3">
        <f>327.8+(1117.3-399.3)+(-0.501534+(-1.709469--0.610929))+0-0-0</f>
        <v>1044.199926</v>
      </c>
      <c r="V107" s="3">
        <f>328.4+(1126.9-420.1)+(-0.167484+(-0.574719--0.214251))+0-0-0</f>
        <v>1034.6720480000001</v>
      </c>
      <c r="W107" s="3">
        <f>306.6+(1142.9-430.7)+(-0.469098+(-1.748637--0.658971))+0-0-0</f>
        <v>1017.2412360000001</v>
      </c>
      <c r="X107" s="3">
        <f>151.4+(1199.4-364.4)+(-0.38607+(-3.05847--0.92922))+0-0-0</f>
        <v>983.88468000000012</v>
      </c>
      <c r="Y107" s="3">
        <f>0+(1215.4-266.7)+(0+(-1.859562--0.408051))+0-0-0</f>
        <v>947.24848900000006</v>
      </c>
      <c r="Z107" s="3">
        <f>0+(1187.4-243.2)+(0+(-1.211148--0.248064))+0-0-0</f>
        <v>943.23691600000006</v>
      </c>
      <c r="AA107" s="3">
        <f>0+(1186-165.5)+(0+(-1.20972--0.16881))+0-0-0</f>
        <v>1019.4590899999999</v>
      </c>
      <c r="AB107" s="3">
        <f>0+(1212.6-197.1)+(0+(-2.473704--0.402084))+0-0-0</f>
        <v>1013.4283799999998</v>
      </c>
      <c r="AC107" s="3">
        <f>0+(1216.8-200.8)+(0+(-1.241136--0.204816))+0-0-0</f>
        <v>1014.96368</v>
      </c>
      <c r="AD107">
        <v>1026.3999999999999</v>
      </c>
      <c r="AE107" s="3">
        <f>0+(1192.1-165.7)+(0+(0-0))+0-0-0</f>
        <v>1026.3999999999999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0+(1203.6-258.4)+(0+(-1.841508--0.395352))+0-0-0</f>
        <v>943.75384399999996</v>
      </c>
      <c r="G108" s="3">
        <f>0+(1192.3-296.7)+(0+(-1.824219--0.453951))+0-0-0</f>
        <v>894.2297319999999</v>
      </c>
      <c r="H108" s="3">
        <f>0+(1209.6-334.8)+(0+(0-0))+0-0-0</f>
        <v>874.8</v>
      </c>
      <c r="I108" s="3">
        <f>0+(1181.3-316)+(0+(-2.409852--0.64464))+0-0-0</f>
        <v>863.53478799999993</v>
      </c>
      <c r="J108" s="3">
        <f>0+(1138.5-290.4)+(0+(-2.32254--0.592416))+0-0-0</f>
        <v>846.36987599999998</v>
      </c>
      <c r="K108" s="3">
        <f>0+(1127.2-291.2)+(0+(-2.299488--0.594048))+0-0-0</f>
        <v>834.29456000000005</v>
      </c>
      <c r="L108" s="3">
        <f>0+(1118-282.2)+(0+(-2.28072--0.575688))+0-0-0</f>
        <v>834.09496799999999</v>
      </c>
      <c r="M108" s="3">
        <f>0+(1102.7-223.3)+(0+(1.687131-0.341649))+0-0-0</f>
        <v>880.74548200000004</v>
      </c>
      <c r="N108" s="3">
        <f>0+(1141.5-194.1)+(0+(1.16433-0.197982))+0-0-0</f>
        <v>948.36634800000002</v>
      </c>
      <c r="O108" s="3">
        <f>0+(1182.7-188.2)+(0+(0-0))+0-0-0</f>
        <v>994.5</v>
      </c>
      <c r="P108" s="3">
        <f>93+(1102.9-235)+(0.04743+(0.562479-0.11985))+0-0-0</f>
        <v>961.39005900000006</v>
      </c>
      <c r="Q108" s="3">
        <f>243+(1038.3-280.9)+(0+(0-0))+0-0-0</f>
        <v>1000.4</v>
      </c>
      <c r="R108" s="3">
        <f>330.5+(1060.5-320.4)+(0.168555+(0.540855-0.163404))+0-0-0</f>
        <v>1071.1460059999999</v>
      </c>
      <c r="S108" s="3">
        <f>330.4+(1054.6-337.7)+(0.337008+(1.075692-0.344454))+0-0-0</f>
        <v>1048.3682459999998</v>
      </c>
      <c r="T108" s="3">
        <f>329.6+(1043.3-311.5)+(-0.336192+(-1.064166--0.31773))+0-0-0</f>
        <v>1060.317372</v>
      </c>
      <c r="U108" s="3">
        <f>329.6+(1062-352.2)+(0.336192+(1.08324-0.359244))+0-0-0</f>
        <v>1040.460188</v>
      </c>
      <c r="V108" s="3">
        <f>328+(1055.5-358.5)+(-0.8364+(-2.691525--0.914175))+0-0-0</f>
        <v>1022.38625</v>
      </c>
      <c r="W108" s="3">
        <f>326.1+(1055.2-370.6)+(-0.997866+(-3.228912--1.134036))+0-0-0</f>
        <v>1007.607258</v>
      </c>
      <c r="X108" s="3">
        <f>260.4+(1141-407.4)+(-0.796824+(-3.49146--1.246644))+0-0-0</f>
        <v>990.95835999999997</v>
      </c>
      <c r="Y108" s="3">
        <f>50+(1100.5-203.4)+(-0.051+(-1.12251--0.207468))+0-0-0</f>
        <v>946.13395800000001</v>
      </c>
      <c r="Z108" s="3">
        <f>43.1+(1140.1-223.5)+(-0.065943+(-1.744353--0.341955))+0-0-0</f>
        <v>958.23165899999992</v>
      </c>
      <c r="AA108" s="3">
        <f>77.2+(1168.2-231.5)+(-0.19686+(-2.97891--0.590325))+0-0-0</f>
        <v>1011.314555</v>
      </c>
      <c r="AB108" s="3">
        <f>33.8+(1182.9-221.1)+(-0.034476+(-1.206558--0.225522))+0-0-0</f>
        <v>994.58448800000008</v>
      </c>
      <c r="AC108" s="3">
        <f>0+(1205.3-223.8)+(0+(2.458812-0.456552))+0-0-0</f>
        <v>983.50225999999998</v>
      </c>
      <c r="AD108">
        <v>1009.3000000000001</v>
      </c>
      <c r="AE108" s="3">
        <f>103+(1160.4-254.1)+(0+(0-0))+0-0-0</f>
        <v>1009.3000000000001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0+(1198.2-259.2)+(0+(-1.222164--0.264384))+0-0-0</f>
        <v>938.04222000000004</v>
      </c>
      <c r="G109" s="3">
        <f>0+(1228-343.2)+(0+(0-0))+0-0-0</f>
        <v>884.8</v>
      </c>
      <c r="H109" s="3">
        <f>0+(1240.4-374.9)+(0+(-1.265208--0.382398))+0-0-0</f>
        <v>864.61719000000016</v>
      </c>
      <c r="I109" s="3">
        <f>0+(1278-421.1)+(0+(0-0))+0-0-0</f>
        <v>856.9</v>
      </c>
      <c r="J109" s="3">
        <f>0+(1267.1-420.9)+(0+(0-0))+0-0-0</f>
        <v>846.19999999999993</v>
      </c>
      <c r="K109" s="3">
        <f>0+(1244.8-412.9)+(0+(-3.17424--1.052895))+0-0-0</f>
        <v>829.77865499999996</v>
      </c>
      <c r="L109" s="3">
        <f>0+(1235.9-411.8)+(0+(-1.260618--0.420036))+0-0-0</f>
        <v>823.2594180000001</v>
      </c>
      <c r="M109" s="3">
        <f>0+(1191.8-330.6)+(0+(1.215636-0.337212))+0-0-0</f>
        <v>862.07842399999993</v>
      </c>
      <c r="N109" s="3">
        <f>0+(1211.7-291.2)+(0+(0.617967-0.148512))+0-0-0</f>
        <v>920.96945500000004</v>
      </c>
      <c r="O109" s="3">
        <f>89.3+(1210.2-335.6)+(0.091086+(1.234404-0.342312))+0-0-0</f>
        <v>964.88317799999993</v>
      </c>
      <c r="P109" s="3">
        <f>326+(1011.7-340.3)+(0.16626+(0.515967-0.173553))+0-0-0</f>
        <v>997.90867400000013</v>
      </c>
      <c r="Q109" s="3">
        <f>329.1+(1034.1-345.8)+(0.335682+(1.054782-0.352716))+0-0-0</f>
        <v>1018.4377479999999</v>
      </c>
      <c r="R109" s="3">
        <f>318+(1019.7-312.8)+(0+(0-0))+0-0-0</f>
        <v>1024.9000000000001</v>
      </c>
      <c r="S109" s="3">
        <f>314.4+(972.7-292.2)+(0+(0-0))+0-0-0</f>
        <v>994.9</v>
      </c>
      <c r="T109" s="3">
        <f>313.9+(949.9-278)+(-0.160089+(-0.484449--0.14178))+0-0-0</f>
        <v>985.29724199999998</v>
      </c>
      <c r="U109" s="3">
        <f>312.2+(938.1-263.8)+(-0.318444+(-0.956862--0.269076))+0-0-0</f>
        <v>985.49377000000004</v>
      </c>
      <c r="V109" s="3">
        <f>312.7+(930-271.5)+(0+(0-0))+0-0-0</f>
        <v>971.2</v>
      </c>
      <c r="W109" s="3">
        <f>311.6+(979.2-331.9)+(-0.317832+(-0.998784--0.338538))+0-0-0</f>
        <v>957.92192200000011</v>
      </c>
      <c r="X109" s="3">
        <f>314.1+(1040.8-424.8)+(0+(0-0))+0-0-0</f>
        <v>930.1</v>
      </c>
      <c r="Y109" s="3">
        <f>311.3+(1027.5-434)+(-0.793815+(-2.620125--1.1067))+0-0-0</f>
        <v>902.49275999999998</v>
      </c>
      <c r="Z109" s="3">
        <f>315.6+(1092.6-471.3)+(0.160956+(0.557226-0.240363))+0-0-0</f>
        <v>937.37781899999993</v>
      </c>
      <c r="AA109" s="3">
        <f>327.3+(1026.3-366.6)+(-0.333846+(-1.046826--0.373932))+0-0-0</f>
        <v>985.99325999999996</v>
      </c>
      <c r="AB109" s="3">
        <f>329.3+(1019.1-376.9)+(0+(0-0))+0-0-0</f>
        <v>971.5</v>
      </c>
      <c r="AC109" s="3">
        <f>330.7+(978.5-348.6)+(-0.337314+(-0.99807--0.355572))+0-0-0</f>
        <v>959.62018799999987</v>
      </c>
      <c r="AD109">
        <v>995.2</v>
      </c>
      <c r="AE109" s="3">
        <f>330+(1024.5-359.3)+(0+(0-0))+0-0-0</f>
        <v>995.2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308.5+(969.8-348.1)+(-0.62934+(-1.978392--0.710124))+0-0-0</f>
        <v>928.30239199999994</v>
      </c>
      <c r="G110" s="3">
        <f>67.2+(1119.1-292.1)+(-0.102816+(-1.712223--0.446913))+0-0-0</f>
        <v>892.83187399999997</v>
      </c>
      <c r="H110" s="3">
        <f>0+(1176.5-306.2)+(0+(-1.800045--0.468486))+0-0-0</f>
        <v>868.96844099999998</v>
      </c>
      <c r="I110" s="3">
        <f>0+(1199.4-348.1)+(0+(-3.05847--0.887655))+0-0-0</f>
        <v>849.12918500000012</v>
      </c>
      <c r="J110" s="3">
        <f>0+(1177.6-346.4)+(0+(-0.600576--0.176664))+0-0-0</f>
        <v>830.77608799999996</v>
      </c>
      <c r="K110" s="3">
        <f>0+(1188-376)+(0+(-1.81764--0.57528))+0-0-0</f>
        <v>810.75764000000004</v>
      </c>
      <c r="L110" s="3">
        <f>0+(1039.5-276)+(0+(-2.12058--0.56304))+0-0-0</f>
        <v>761.94245999999998</v>
      </c>
      <c r="M110" s="3">
        <f>0+(1029.4-261.8)+(0+(-1.049988--0.267036))+0-0-0</f>
        <v>766.81704800000011</v>
      </c>
      <c r="N110" s="3">
        <f>0+(1047.9-250.4)+(0+(0.534429-0.127704))+0-0-0</f>
        <v>797.90672500000016</v>
      </c>
      <c r="O110" s="3">
        <f>0+(1075.1-237.7)+(0+(0-0))+0-0-0</f>
        <v>837.39999999999986</v>
      </c>
      <c r="P110" s="3">
        <f>0+(1141.2-265.9)+(0+(1.164024-0.271218))+0-0-0</f>
        <v>876.19280600000002</v>
      </c>
      <c r="Q110" s="3">
        <f>57.6+(1112.9-269.8)+(0.058752+(1.135158-0.275196))+0-0-0</f>
        <v>901.61871400000018</v>
      </c>
      <c r="R110" s="3">
        <f>211.8+(1036.9-347)+(0.108018+(0.528819-0.17697))+0-0-0</f>
        <v>902.15986700000008</v>
      </c>
      <c r="S110" s="3">
        <f>211+(1041.2-361.1)+(0+(0-0))+0-0-0</f>
        <v>891.1</v>
      </c>
      <c r="T110" s="3">
        <f>210.5+(1025.1-361.4)+(-0.21471+(-1.045602--0.368628))+0-0-0</f>
        <v>873.30831599999988</v>
      </c>
      <c r="U110" s="3">
        <f>213.8+(1029.1-374.2)+(-0.327114+(-1.574523--0.572526))+0-0-0</f>
        <v>867.37088899999981</v>
      </c>
      <c r="V110" s="3">
        <f>213+(1051.4-395.6)+(0+(0-0))+0-0-0</f>
        <v>868.80000000000007</v>
      </c>
      <c r="W110" s="3">
        <f>248.4+(1055.1-439.6)+(-0.126684+(-0.538101--0.224196))+0-0-0</f>
        <v>863.45941099999982</v>
      </c>
      <c r="X110" s="3">
        <f>201.2+(1095.1-440)+(-0.51306+(-2.792505--1.122))+0-0-0</f>
        <v>854.11643499999991</v>
      </c>
      <c r="Y110" s="3">
        <f>131.1+(1063.8-351.7)+(-0.267444+(-2.170152--0.717468))+0-0-0</f>
        <v>841.47987199999989</v>
      </c>
      <c r="Z110" s="3">
        <f>139.3+(1065.6-329.9)+(0.071043+(0.543456-0.168249))+0-0-0</f>
        <v>875.44624999999996</v>
      </c>
      <c r="AA110" s="3">
        <f>312.6+(953.2-338.5)+(-0.79713+(-2.43066--0.863175))+0-0-0</f>
        <v>924.93538500000011</v>
      </c>
      <c r="AB110" s="3">
        <f>315.9+(926.1-304.2)+(-0.644436+(-1.889244--0.620568))+0-0-0</f>
        <v>935.88688800000011</v>
      </c>
      <c r="AC110" s="3">
        <f>308.7+(929.1-320.1)+(-0.157437+(-0.473841--0.163251))+0-0-0</f>
        <v>917.23197300000004</v>
      </c>
      <c r="AD110">
        <v>947.09999999999991</v>
      </c>
      <c r="AE110" s="3">
        <f>324+(935.1-312)+(0+(0-0))+0-0-0</f>
        <v>947.1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143.8+(1026.8-303.4)+(0+(0-0))+0-0-0</f>
        <v>867.2</v>
      </c>
      <c r="G111" s="3">
        <f>5.2+(1101.5-276)+(-0.010608+(-2.24706--0.56304))+0-0-0</f>
        <v>829.00537200000008</v>
      </c>
      <c r="H111" s="3">
        <f>0+(1119.5-313.5)+(0+(1.14189-0.31977))+0-0-0</f>
        <v>806.82212000000004</v>
      </c>
      <c r="I111" s="3">
        <f>0+(1167.2-368.3)+(0+(-0.595272--0.187833))+0-0-0</f>
        <v>798.49256100000014</v>
      </c>
      <c r="J111" s="3">
        <f>0+(1144.2-350)+(0+(-1.750626--0.5355))+0-0-0</f>
        <v>792.98487399999999</v>
      </c>
      <c r="K111" s="3">
        <f>0+(1142.6-356.9)+(0+(-2.330904--0.728076))+0-0-0</f>
        <v>784.09717199999989</v>
      </c>
      <c r="L111" s="3">
        <f>0+(1162.7-356.6)+(0+(-1.185954--0.363732))+0-0-0</f>
        <v>805.27777800000001</v>
      </c>
      <c r="M111" s="3">
        <f>14.1+(1199.1-346.8)+(-0.021573+(-1.834623--0.530604))+0-0-0</f>
        <v>865.07440799999995</v>
      </c>
      <c r="N111" s="3">
        <f>95.4+(1269.7-413.8)+(0+(0-0))+0-0-0</f>
        <v>951.30000000000007</v>
      </c>
      <c r="O111" s="3">
        <f>270.9+(1280.6-531.3)+(0.138159+(0.653106-0.270963))+0-0-0</f>
        <v>1020.7203019999999</v>
      </c>
      <c r="P111" s="3">
        <f>329.7+(1149.7-412.3)+(0.336294+(1.172694-0.420546))+0-0-0</f>
        <v>1068.1884420000001</v>
      </c>
      <c r="Q111" s="3">
        <f>328.5+(1034.1-283.8)+(0+(0-0))+0-0-0</f>
        <v>1078.8</v>
      </c>
      <c r="R111" s="3">
        <f>325.3+(982.7-228)+(-0.165903+(-0.501177--0.11628))+0-0-0</f>
        <v>1079.4492</v>
      </c>
      <c r="S111" s="3">
        <f>323.6+(949.4-204.3)+(-0.165036+(-0.484194--0.104193))+0-0-0</f>
        <v>1068.1549629999997</v>
      </c>
      <c r="T111" s="3">
        <f>324.2+(936.6-199.8)+(-0.165342+(-0.477666--0.101898))+0-0-0</f>
        <v>1060.4588900000001</v>
      </c>
      <c r="U111" s="3">
        <f>323.3+(929-193.1)+(-0.494649+(-1.42137--0.295443))+0-0-0</f>
        <v>1057.579424</v>
      </c>
      <c r="V111" s="3">
        <f>324.2+(940.5-206.2)+(0+(0-0))+0-0-0</f>
        <v>1058.5</v>
      </c>
      <c r="W111" s="3">
        <f>325.5+(995.1-283.3)+(-0.498015+(-1.522503--0.433449))+0-0-0</f>
        <v>1035.712931</v>
      </c>
      <c r="X111" s="3">
        <f>320.4+(1077.8-387.1)+(-0.980424+(-3.298068--1.184526))+0-0-0</f>
        <v>1008.0060339999999</v>
      </c>
      <c r="Y111" s="3">
        <f>140.4+(1076.6-244.7)+(-0.143208+(-1.098132--0.249594))+0-0-0</f>
        <v>971.30825399999981</v>
      </c>
      <c r="Z111" s="3">
        <f>131.1+(1103.6-244.4)+(0.066861+(0.562836-0.124644))+0-0-0</f>
        <v>990.80505299999993</v>
      </c>
      <c r="AA111" s="3">
        <f>254.8+(1074.7-274.4)+(-0.129948+(-0.548097--0.139944))+0-0-0</f>
        <v>1054.561899</v>
      </c>
      <c r="AB111" s="3">
        <f>329.7+(1029.8-318.8)+(-0.168147+(-0.525198--0.162588))+0-0-0</f>
        <v>1040.1692430000001</v>
      </c>
      <c r="AC111" s="3">
        <f>324.1+(1080.6-385.4)+(0.165291+(0.551106-0.196554))+0-0-0</f>
        <v>1019.819843</v>
      </c>
      <c r="AD111">
        <v>1072.5</v>
      </c>
      <c r="AE111" s="3">
        <f>330+(1046.4-303.9)+(0+(0-0))+0-0-0</f>
        <v>1072.5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88.8+(1280.7-390.7)+(0.045288+(0.653157-0.199257))+0-0-0</f>
        <v>979.29918799999996</v>
      </c>
      <c r="G112" s="3">
        <f>0+(1409-466.8)+(0+(0-0))+0-0-0</f>
        <v>942.2</v>
      </c>
      <c r="H112" s="3">
        <f>0+(1401.4-485)+(0+(0.714714-0.24735))+0-0-0</f>
        <v>916.86736400000007</v>
      </c>
      <c r="I112" s="3">
        <f>0+(1398.1-495.6)+(0+(-1.426062--0.505512))+0-0-0</f>
        <v>901.57944999999984</v>
      </c>
      <c r="J112" s="3">
        <f>0+(1386.6-494.1)+(0+(-1.414332--0.503982))+0-0-0</f>
        <v>891.58964999999989</v>
      </c>
      <c r="K112" s="3">
        <f>0+(1334.3-456.5)+(0+(-3.402465--1.164075))+0-0-0</f>
        <v>875.56160999999997</v>
      </c>
      <c r="L112" s="3">
        <f>0+(1331-464)+(0+(-2.03643--0.70992))+0-0-0</f>
        <v>865.67349000000002</v>
      </c>
      <c r="M112" s="3">
        <f>0+(1346-430)+(0+(0.68646-0.2193))+0-0-0</f>
        <v>916.46716000000004</v>
      </c>
      <c r="N112" s="3">
        <f>26+(1315.1-367.9)+(0+(0-0))+0-0-0</f>
        <v>973.19999999999993</v>
      </c>
      <c r="O112" s="3">
        <f>229.3+(1224.2-427.8)+(-0.233886+(-1.248684--0.436356))+0-0-0</f>
        <v>1024.6537860000001</v>
      </c>
      <c r="P112" s="3">
        <f>330+(1152.8-411.9)+(0+(0-0))+0-0-0</f>
        <v>1070.9000000000001</v>
      </c>
      <c r="Q112" s="3">
        <f>329.3+(1114.6-344.9)+(-0.335886+(-1.136892--0.351798))+0-0-0</f>
        <v>1097.8790200000001</v>
      </c>
      <c r="R112" s="3">
        <f>322.6+(1020.4-299.7)+(-0.164526+(-0.520404--0.152847))+0-0-0</f>
        <v>1042.7679170000001</v>
      </c>
      <c r="S112" s="3">
        <f>319.4+(974.1-271.3)+(-0.162894+(-0.496791--0.138363))+0-0-0</f>
        <v>1021.6786779999999</v>
      </c>
      <c r="T112" s="3">
        <f>318.3+(948.8-207.5)+(-0.486999+(-1.451664--0.317475))+0-0-0</f>
        <v>1057.9788119999998</v>
      </c>
      <c r="U112" s="3">
        <f>317.9+(959-196.5)+(0+(0-0))+0-0-0</f>
        <v>1080.4000000000001</v>
      </c>
      <c r="V112" s="3">
        <f>315.9+(981.3-236.3)+(-0.161109+(-0.500463--0.120513))+0-0-0</f>
        <v>1060.3589410000002</v>
      </c>
      <c r="W112" s="3">
        <f>312.4+(1014.1-270.4)+(-0.79662+(-2.585955--0.68952))+0-0-0</f>
        <v>1053.406945</v>
      </c>
      <c r="X112" s="3">
        <f>311.6+(1003.5-290.7)+(-1.112412+(-3.582495--1.037799))+0-0-0</f>
        <v>1020.7428920000001</v>
      </c>
      <c r="Y112" s="3">
        <f>259+(1019.2-299.7)+(0.13209+(0.519792-0.152847))+0-0-0</f>
        <v>978.99903500000005</v>
      </c>
      <c r="Z112" s="3">
        <f>208+(1171.7-380.8)+(0.21216+(1.195134-0.388416))+0-0-0</f>
        <v>999.91887800000006</v>
      </c>
      <c r="AA112" s="3">
        <f>313.4+(1119.1-377.3)+(-0.79917+(-2.853705--0.962115))+0-0-0</f>
        <v>1052.5092399999999</v>
      </c>
      <c r="AB112" s="3">
        <f>284.4+(1120.1-363.9)+(-0.435132+(-1.713753--0.556767))+0-0-0</f>
        <v>1039.0078819999999</v>
      </c>
      <c r="AC112" s="3">
        <f>220+(1148.8-346.8)+(-0.1122+(-0.585888--0.176868))+0-0-0</f>
        <v>1021.47878</v>
      </c>
      <c r="AD112">
        <v>1051.9000000000001</v>
      </c>
      <c r="AE112" s="3">
        <f>315+(1097.5-360.6)+(0+(0-0))+0-0-0</f>
        <v>1051.9000000000001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0+(1281.9-307.6)+(0+(-1.961307--0.470628))+0-0-0</f>
        <v>972.80932100000007</v>
      </c>
      <c r="G113" s="3">
        <f>0+(1323-377)+(0+(-3.37365--0.96135))+0-0-0</f>
        <v>943.58770000000004</v>
      </c>
      <c r="H113" s="3">
        <f>0+(1314.4-399.3)+(0+(-0.670344--0.203643))+0-0-0</f>
        <v>914.63329900000019</v>
      </c>
      <c r="I113" s="3">
        <f>0+(1319.5-430.4)+(0+(-2.018835--0.658512))+0-0-0</f>
        <v>887.73967700000003</v>
      </c>
      <c r="J113" s="3">
        <f>0+(1320.5-436.2)+(0+(-0.673455--0.222462))+0-0-0</f>
        <v>883.84900699999992</v>
      </c>
      <c r="K113" s="3">
        <f>0+(1265.3-397.8)+(0+(-6.45303--2.02878))+0-0-0</f>
        <v>863.07574999999997</v>
      </c>
      <c r="L113" s="3">
        <f>0+(1301.5-443.8)+(0+(-3.98259--1.358028))+0-0-0</f>
        <v>855.07543800000008</v>
      </c>
      <c r="M113" s="3">
        <f>0+(1346.8-441.3)+(0+(1.373736-0.450126))+0-0-0</f>
        <v>906.42361000000005</v>
      </c>
      <c r="N113" s="3">
        <f>27.6+(1357.9-409.9)+(0.028152+(1.385058-0.418098))+0-0-0</f>
        <v>976.59511200000009</v>
      </c>
      <c r="O113" s="3">
        <f>294.8+(1218.8-493.2)+(-0.300696+(-1.243176--0.503064))+0-0-0</f>
        <v>1019.3591919999999</v>
      </c>
      <c r="P113" s="3">
        <f>320+(1116-362)+(0.1632+(0.56916-0.18462))+0-0-0</f>
        <v>1074.54774</v>
      </c>
      <c r="Q113" s="3">
        <f>315.4+(1049.3-318)+(0.160854+(0.535143-0.16218))+0-0-0</f>
        <v>1047.2338169999998</v>
      </c>
      <c r="R113" s="3">
        <f>314.6+(1085.7-342.3)+(0+(0-0))+0-0-0</f>
        <v>1058</v>
      </c>
      <c r="S113" s="3">
        <f>314.3+(1125.2-396.8)+(0.160293+(0.573852-0.202368))+0-0-0</f>
        <v>1043.231777</v>
      </c>
      <c r="T113" s="3">
        <f>315.6+(1140.1-401.6)+(0.321912+(1.162902-0.409632))+0-0-0</f>
        <v>1055.1751819999999</v>
      </c>
      <c r="U113" s="3">
        <f>312.6+(1125.7-388.8)+(-0.478278+(-1.722321--0.594864))+0-0-0</f>
        <v>1047.8942649999999</v>
      </c>
      <c r="V113" s="3">
        <f>312.9+(1143.5-402.7)+(-0.159579+(-0.583185--0.205377))+0-0-0</f>
        <v>1053.1626129999997</v>
      </c>
      <c r="W113" s="3">
        <f>310.9+(1196.2-470.3)+(-0.634236+(-2.440248--0.959412))+0-0-0</f>
        <v>1034.6849280000001</v>
      </c>
      <c r="X113" s="3">
        <f>294.4+(1189.9-478.1)+(-0.600576+(-2.427396--0.975324))+0-0-0</f>
        <v>1004.1473520000001</v>
      </c>
      <c r="Y113" s="3">
        <f>189.7+(1239.9-471.1)+(-0.290241+(-1.897047--0.720783))+0-0-0</f>
        <v>957.03349500000002</v>
      </c>
      <c r="Z113" s="3">
        <f>214.8+(1255-473.8)+(0.109548+(0.64005-0.241638))+0-0-0</f>
        <v>996.50796000000003</v>
      </c>
      <c r="AA113" s="3">
        <f>320.9+(1218.2-496.8)+(-0.490977+(-1.863846--0.760104))+0-0-0</f>
        <v>1040.7052810000002</v>
      </c>
      <c r="AB113" s="3">
        <f>293.8+(1234-504.4)+(-0.149838+(-0.62934--0.257244))+0-0-0</f>
        <v>1022.8780660000001</v>
      </c>
      <c r="AC113" s="3">
        <f>146.5+(1309.5-439.5)+(-0.14943+(-1.33569--0.44829))+0-0-0</f>
        <v>1015.46317</v>
      </c>
      <c r="AD113">
        <v>1049.7</v>
      </c>
      <c r="AE113" s="3">
        <f>335+(1228.2-513.5)+(0+(0-0))+0-0-0</f>
        <v>1049.7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45.3+(1357.9-437.5)+(-0.046206+(-1.385058--0.44625))+0-0-0</f>
        <v>964.71498600000007</v>
      </c>
      <c r="G114" s="3">
        <f>0+(1321.7-409.8)+(0+(-4.044402--1.253988))+0-0-0</f>
        <v>909.10958600000004</v>
      </c>
      <c r="H114" s="3">
        <f>0+(1326.8-443.1)+(0+(-0.676668--0.225981))+0-0-0</f>
        <v>883.24931299999992</v>
      </c>
      <c r="I114" s="3">
        <f>0+(1309.9-439.1)+(0+(-2.672196--0.895764))+0-0-0</f>
        <v>869.02356800000007</v>
      </c>
      <c r="J114" s="3">
        <f>0+(1326.1-464.1)+(0+(0.676311-0.236691))+0-0-0</f>
        <v>862.43961999999988</v>
      </c>
      <c r="K114" s="3">
        <f>0+(1343.7-491.6)+(0+(-0.685287--0.250716))+0-0-0</f>
        <v>851.66542900000002</v>
      </c>
      <c r="L114" s="3">
        <f>0+(1314-464)+(0+(-3.3507--1.1832))+0-0-0</f>
        <v>847.83249999999998</v>
      </c>
      <c r="M114" s="3">
        <f>0+(1324.6-425.8)+(0+(0-0))+0-0-0</f>
        <v>898.8</v>
      </c>
      <c r="N114" s="3">
        <f>8.6+(1382.9-435.7)+(0+(0-0))+0-0-0</f>
        <v>955.80000000000007</v>
      </c>
      <c r="O114" s="3">
        <f>70.7+(1371.3-428.5)+(0.036057+(0.699363-0.218535))+0-0-0</f>
        <v>1014.016885</v>
      </c>
      <c r="P114" s="3">
        <f>172.6+(1352.3-483.7)+(-0.088026+(-0.689673--0.246687))+0-0-0</f>
        <v>1040.6689879999999</v>
      </c>
      <c r="Q114" s="3">
        <f>328.7+(1298-563.6)+(0.335274+(1.32396-0.574872))+0-0-0</f>
        <v>1064.184362</v>
      </c>
      <c r="R114" s="3">
        <f>331.5+(1293.6-550.3)+(0.67626+(2.638944-1.122612))+0-0-0</f>
        <v>1076.9925920000001</v>
      </c>
      <c r="S114" s="3">
        <f>330.3+(1265.6-558.6)+(-0.168453+(-0.645456--0.284886))+0-0-0</f>
        <v>1036.7709769999999</v>
      </c>
      <c r="T114" s="3">
        <f>330.1+(1275.4-529.8)+(-0.168351+(-0.650454--0.270198))+0-0-0</f>
        <v>1075.1513930000003</v>
      </c>
      <c r="U114" s="3">
        <f>328.5+(1252.5-505.9)+(-0.33507+(-1.27755--0.516018))+0-0-0</f>
        <v>1074.0033979999998</v>
      </c>
      <c r="V114" s="3">
        <f>329.7+(1245.2-498.5)+(-0.336294+(-1.270104--0.50847))+0-0-0</f>
        <v>1075.3020720000002</v>
      </c>
      <c r="W114" s="3">
        <f>328.2+(1237-530.9)+(-0.502146+(-1.89261--0.812277))+0-0-0</f>
        <v>1032.717521</v>
      </c>
      <c r="X114" s="3">
        <f>272.1+(1253.6-531.1)+(-0.832626+(-3.836016--1.625166))+0-0-0</f>
        <v>991.55652399999985</v>
      </c>
      <c r="Y114" s="3">
        <f>94.1+(1281.1-411.7)+(-0.095982+(-1.306722--0.419934))+0-0-0</f>
        <v>962.51722999999993</v>
      </c>
      <c r="Z114" s="3">
        <f>154.5+(1322.5-490.7)+(0.236385+(2.023425-0.750771))+0-0-0</f>
        <v>987.80903899999998</v>
      </c>
      <c r="AA114" s="3">
        <f>219.2+(1257.4-440.2)+(-0.335376+(-1.923822--0.673506))+0-0-0</f>
        <v>1034.814308</v>
      </c>
      <c r="AB114" s="3">
        <f>220.4+(1225.6-437.4)+(0.224808+(1.250112-0.446148))+0-0-0</f>
        <v>1009.6287719999999</v>
      </c>
      <c r="AC114" s="3">
        <f>209+(1228.2-443.1)+(-0.42636+(-2.505528--0.903924))+0-0-0</f>
        <v>992.07203600000003</v>
      </c>
      <c r="AD114">
        <v>1032.6999999999998</v>
      </c>
      <c r="AE114" s="3">
        <f>220+(1256.8-444.1)+(0+(0-0))+0-0-0</f>
        <v>1032.6999999999998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9.9+(1326.8-396.4)+(0+(0-0))+0-0-0</f>
        <v>940.3</v>
      </c>
      <c r="G115" s="3">
        <f>0+(1334.4-434.5)+(0+(0-0))+0-0-0</f>
        <v>899.90000000000009</v>
      </c>
      <c r="H115" s="3">
        <f>0+(1356.5-476.4)+(0+(-2.075445--0.728892))+0-0-0</f>
        <v>878.75344700000005</v>
      </c>
      <c r="I115" s="3">
        <f>0+(1317.5-452)+(0+(-2.6877--0.92208))+0-0-0</f>
        <v>863.73437999999999</v>
      </c>
      <c r="J115" s="3">
        <f>0+(1285.1-434.9)+(0+(-1.966203--0.665397))+0-0-0</f>
        <v>848.89919399999997</v>
      </c>
      <c r="K115" s="3">
        <f>0+(1282-434.1)+(0+(-4.57674--1.549737))+0-0-0</f>
        <v>844.87299699999994</v>
      </c>
      <c r="L115" s="3">
        <f>0+(1357.1-510.5)+(0+(-4.844847--1.822485))+0-0-0</f>
        <v>843.57763799999987</v>
      </c>
      <c r="M115" s="3">
        <f>0+(1351.8-464.2)+(0+(1.378836-0.473484))+0-0-0</f>
        <v>888.5053519999999</v>
      </c>
      <c r="N115" s="3">
        <f>40.8+(1338-425)+(0.062424+(2.04714-0.65025))+0-0-0</f>
        <v>955.2593139999999</v>
      </c>
      <c r="O115" s="3">
        <f>134.7+(1257.5-398.1)+(0+(0-0))+0-0-0</f>
        <v>994.09999999999991</v>
      </c>
      <c r="P115" s="3">
        <f>290.9+(1286.7-545.4)+(0+(0-0))+0-0-0</f>
        <v>1032.2</v>
      </c>
      <c r="Q115" s="3">
        <f>338.5+(1227.3-526)+(-0.517905+(-1.877769--0.80478))+0-0-0</f>
        <v>1038.209106</v>
      </c>
      <c r="R115" s="3">
        <f>334.5+(1200.7-489.2)+(-0.511785+(-1.837071--0.748476))+0-0-0</f>
        <v>1044.3996199999999</v>
      </c>
      <c r="S115" s="3">
        <f>331.2+(1180-476.9)+(-0.337824+(-1.2036--0.486438))+0-0-0</f>
        <v>1033.2450139999999</v>
      </c>
      <c r="T115" s="3">
        <f>329.7+(1194.6-468.2)+(-0.672588+(-2.436984--0.955128))+0-0-0</f>
        <v>1053.9455559999999</v>
      </c>
      <c r="U115" s="3">
        <f>326.9+(1181.9-451.2)+(-0.833595+(-3.013845--1.15056))+0-0-0</f>
        <v>1054.9031199999999</v>
      </c>
      <c r="V115" s="3">
        <f>328.5+(1174.3-452)+(-1.00521+(-3.593358--1.38312))+0-0-0</f>
        <v>1047.584552</v>
      </c>
      <c r="W115" s="3">
        <f>331.1+(1215.1-516.8)+(-1.013166+(-3.718206--1.581408))+0-0-0</f>
        <v>1026.2500360000001</v>
      </c>
      <c r="X115" s="3">
        <f>333.2+(1265.9-593.3)+(-1.019592+(-3.873654--1.815498))+0-0-0</f>
        <v>1002.7222520000001</v>
      </c>
      <c r="Y115" s="3">
        <f>336.4+(1201.6-561.4)+(-0.85782+(-3.06408--1.43157))+0-0-0</f>
        <v>974.10966999999994</v>
      </c>
      <c r="Z115" s="3">
        <f>344.2+(1292.7-634.3)+(0+(0-0))+0-0-0</f>
        <v>1002.6000000000001</v>
      </c>
      <c r="AA115" s="3">
        <f>347.9+(1193.9-497.5)+(-0.887145+(-3.044445--1.268625))+0-0-0</f>
        <v>1041.6370350000002</v>
      </c>
      <c r="AB115" s="3">
        <f>336.7+(1180.8-494.1)+(-1.373736+(-4.817664--2.015928))+0-0-0</f>
        <v>1019.2245279999999</v>
      </c>
      <c r="AC115" s="3">
        <f>277+(1224.2-501.7)+(-0.14127+(-0.624342--0.255867))+0-0-0</f>
        <v>998.99025500000005</v>
      </c>
      <c r="AD115">
        <v>1056.6999999999998</v>
      </c>
      <c r="AE115" s="3">
        <f>347+(1199.3-489.6)+(0+(0-0))+0-0-0</f>
        <v>1056.6999999999998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162.1+(1265.4-467.4)+(0+(0-0))+0-0-0</f>
        <v>960.10000000000014</v>
      </c>
      <c r="G116" s="3">
        <f>0+(1401.4-489)+(0+(0.714714-0.24939))+0-0-0</f>
        <v>912.8653240000001</v>
      </c>
      <c r="H116" s="3">
        <f>0+(1361.6-470.5)+(0+(-0.694416--0.239955))+0-0-0</f>
        <v>890.64553899999987</v>
      </c>
      <c r="I116" s="3">
        <f>0+(1322.1-448.3)+(0+(-0.674271--0.228633))+0-0-0</f>
        <v>873.35436199999992</v>
      </c>
      <c r="J116" s="3">
        <f>0+(1301.2-432.6)+(0+(-1.990836--0.661878))+0-0-0</f>
        <v>867.27104200000008</v>
      </c>
      <c r="K116" s="3">
        <f>0+(1228.8-396.4)+(0+(-3.13344--1.01082))+0-0-0</f>
        <v>830.27737999999999</v>
      </c>
      <c r="L116" s="3">
        <f>0+(1215.1-412)+(0+(-1.239402--0.42024))+0-0-0</f>
        <v>802.2808379999999</v>
      </c>
      <c r="M116" s="3">
        <f>0+(1227-360.1)+(0+(0.62577-0.183651))+0-0-0</f>
        <v>867.34211900000003</v>
      </c>
      <c r="N116" s="3">
        <f>0+(1243.7-313.3)+(0+(0.634287-0.159783))+0-0-0</f>
        <v>930.87450400000012</v>
      </c>
      <c r="O116" s="3">
        <f>14.6+(1313.1-364.2)+(-0.014892+(-1.339362--0.371484))+0-0-0</f>
        <v>962.51722999999993</v>
      </c>
      <c r="P116" s="3">
        <f>156+(1180.4-330.1)+(0+(0-0))+0-0-0</f>
        <v>1006.3000000000001</v>
      </c>
      <c r="Q116" s="3">
        <f>284.4+(1143.8-399.5)+(0.290088+(1.166676-0.40749))+0-0-0</f>
        <v>1029.7492739999998</v>
      </c>
      <c r="R116" s="3">
        <f>314.9+(1204.2-484.1)+(0+(0-0))+0-0-0</f>
        <v>1035</v>
      </c>
      <c r="S116" s="3">
        <f>313.5+(1215.1-523.3)+(-0.63954+(-2.478804--1.067532))+0-0-0</f>
        <v>1003.249188</v>
      </c>
      <c r="T116" s="3">
        <f>314.2+(1206.5-518.9)+(-0.640968+(-2.46126--1.058556))+0-0-0</f>
        <v>999.75632799999994</v>
      </c>
      <c r="U116" s="3">
        <f>312.8+(1215.8-524.3)+(-0.79764+(-3.10029--1.336965))+0-0-0</f>
        <v>1001.7390349999999</v>
      </c>
      <c r="V116" s="3">
        <f>313.1+(1212.7-534.5)+(-0.638724+(-2.473908--1.09038))+0-0-0</f>
        <v>989.27774800000009</v>
      </c>
      <c r="W116" s="3">
        <f>313.4+(1224.2-567.2)+(-0.79917+(-3.12171--1.44636))+0-0-0</f>
        <v>967.92547999999999</v>
      </c>
      <c r="X116" s="3">
        <f>252.2+(1241.6-541.2)+(-1.028976+(-5.065728--2.208096))+0-0-0</f>
        <v>948.71339199999989</v>
      </c>
      <c r="Y116" s="3">
        <f>59.5+(1176.3-319.2)+(-0.18207+(-3.599478--0.976752))+0-0-0</f>
        <v>913.7952039999999</v>
      </c>
      <c r="Z116" s="3">
        <f>60.5+(1227.2-336.5)+(-0.030855+(-0.625872--0.171615))+0-0-0</f>
        <v>950.71488800000009</v>
      </c>
      <c r="AA116" s="3">
        <f>115.5+(1159.5-279)+(-0.35343+(-3.54807--0.85374))+0-0-0</f>
        <v>992.95223999999996</v>
      </c>
      <c r="AB116" s="3">
        <f>116.7+(1181.6-323.4)+(-0.238068+(-2.410464--0.659736))+0-0-0</f>
        <v>972.911204</v>
      </c>
      <c r="AC116" s="3">
        <f>116.6+(1166.7-315.7)+(0.059466+(0.595017-0.161007))+0-0-0</f>
        <v>968.09347600000001</v>
      </c>
      <c r="AD116">
        <v>998.80000000000007</v>
      </c>
      <c r="AE116" s="3">
        <f>116+(1180.2-297.4)+(0+(0-0))+0-0-0</f>
        <v>998.80000000000007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85+(1147.1-302.1)+(0.04335+(0.585021-0.154071))+0-0-0</f>
        <v>930.47429999999986</v>
      </c>
      <c r="G117" s="3">
        <f>33.1+(1167-307)+(-0.033762+(-1.19034--0.31314))+0-0-0</f>
        <v>892.18903799999998</v>
      </c>
      <c r="H117" s="3">
        <f>0+(1173.7-325)+(0+(-1.795761--0.49725))+0-0-0</f>
        <v>847.40148900000008</v>
      </c>
      <c r="I117" s="3">
        <f>0+(1183.8-357)+(0+(-0.603738--0.18207))+0-0-0</f>
        <v>826.378332</v>
      </c>
      <c r="J117" s="3">
        <f>0+(1183.3-367.4)+(0+(0.603483-0.187374))+0-0-0</f>
        <v>816.31610899999998</v>
      </c>
      <c r="K117" s="3">
        <f>0+(1169.7-377.2)+(0+(-4.175829--1.346604))+0-0-0</f>
        <v>789.67077500000005</v>
      </c>
      <c r="L117" s="3">
        <f>0+(1096.1-343.6)+(0+(-1.677033--0.525708))+0-0-0</f>
        <v>751.34867499999984</v>
      </c>
      <c r="M117" s="3">
        <f>0+(1110.8-342.1)+(0+(-2.266032--0.697884))+0-0-0</f>
        <v>767.13185199999998</v>
      </c>
      <c r="N117" s="3">
        <f>0+(1196-394.6)+(0+(-1.21992--0.402492))+0-0-0</f>
        <v>800.58257200000003</v>
      </c>
      <c r="O117" s="3">
        <f>0+(1222.4-381.1)+(0+(0-0))+0-0-0</f>
        <v>841.30000000000007</v>
      </c>
      <c r="P117" s="3">
        <f>0+(1292.5-427.3)+(0+(1.977525-0.653769))+0-0-0</f>
        <v>866.52375600000005</v>
      </c>
      <c r="Q117" s="3">
        <f>0+(1321.7-448.6)+(0+(1.348134-0.457572))+0-0-0</f>
        <v>873.99056200000007</v>
      </c>
      <c r="R117" s="3">
        <f>0+(1323.8-432.2)+(0+(-0.675138--0.220422))+0-0-0</f>
        <v>891.14528399999995</v>
      </c>
      <c r="S117" s="3">
        <f>0+(1243.5-376.9)+(0+(1.26837-0.384438))+0-0-0</f>
        <v>867.48393199999998</v>
      </c>
      <c r="T117" s="3">
        <f>0+(1212.8-375)+(0+(0-0))+0-0-0</f>
        <v>837.8</v>
      </c>
      <c r="U117" s="3">
        <f>0+(1217.1-369)+(0+(-1.241442--0.37638))+0-0-0</f>
        <v>847.23493799999994</v>
      </c>
      <c r="V117" s="3">
        <f>0+(1231.5-362.8)+(0+(-2.51226--0.740112))+0-0-0</f>
        <v>866.92785200000003</v>
      </c>
      <c r="W117" s="3">
        <f>0+(1248.9-385.6)+(0+(-0.636939--0.196656))+0-0-0</f>
        <v>862.85971700000005</v>
      </c>
      <c r="X117" s="3">
        <f>0+(1247.8-403.1)+(0+(-0.636378--0.205581))+0-0-0</f>
        <v>844.26920299999995</v>
      </c>
      <c r="Y117" s="3">
        <f>0+(1209.1-379.4)+(0+(-2.466564--0.773976))+0-0-0</f>
        <v>828.00741199999993</v>
      </c>
      <c r="Z117" s="3">
        <f>0+(1235.8-366.5)+(0+(-1.260516--0.37383))+0-0-0</f>
        <v>868.4133139999999</v>
      </c>
      <c r="AA117" s="3">
        <f>0+(1231.6-299.2)+(0+(-1.884348--0.457776))+0-0-0</f>
        <v>930.9734279999999</v>
      </c>
      <c r="AB117" s="3">
        <f>0+(1166.9-248.4)+(0+(-3.570714--0.760104))+0-0-0</f>
        <v>915.68939000000012</v>
      </c>
      <c r="AC117" s="3">
        <f>0+(1239.3-330.2)+(0+(1.896129-0.505206))+0-0-0</f>
        <v>910.49092299999995</v>
      </c>
      <c r="AD117">
        <v>948</v>
      </c>
      <c r="AE117" s="3">
        <f>0+(1226.2-278.2)+(0+(0-0))+0-0-0</f>
        <v>948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0+(1245.2-368.6)+(0+(-1.270104--0.375972))+0-0-0</f>
        <v>875.70586800000001</v>
      </c>
      <c r="G118" s="3">
        <f>0+(1247.1-412.3)+(0+(-4.452147--1.471911))+0-0-0</f>
        <v>831.81976399999996</v>
      </c>
      <c r="H118" s="3">
        <f>0+(1276.1-458.5)+(0+(0-0))+0-0-0</f>
        <v>817.59999999999991</v>
      </c>
      <c r="I118" s="3">
        <f>0+(1267.5-471.9)+(0+(-0.646425--0.240669))+0-0-0</f>
        <v>795.19424400000003</v>
      </c>
      <c r="J118" s="3">
        <f>0+(1252.5-452.8)+(0+(0-0))+0-0-0</f>
        <v>799.7</v>
      </c>
      <c r="K118" s="3">
        <f>0+(1217.1-437)+(0+(0.620721-0.22287))+0-0-0</f>
        <v>780.49785099999986</v>
      </c>
      <c r="L118" s="3">
        <f>0+(1239.4-454.6)+(0+(-2.528376--0.927384))+0-0-0</f>
        <v>783.19900800000005</v>
      </c>
      <c r="M118" s="3">
        <f>0+(1235-408.7)+(0+(0-0))+0-0-0</f>
        <v>826.3</v>
      </c>
      <c r="N118" s="3">
        <f>5.5+(1263.6-384.2)+(-0.002805+(-0.644436--0.195942))+0-0-0</f>
        <v>884.44870099999991</v>
      </c>
      <c r="O118" s="3">
        <f>149.5+(1201.1-418.8)+(0+(0-0))+0-0-0</f>
        <v>931.8</v>
      </c>
      <c r="P118" s="3">
        <f>320+(1245.4-595.3)+(0+(0-0))+0-0-0</f>
        <v>970.10000000000014</v>
      </c>
      <c r="Q118" s="3">
        <f>330.5+(1198.4-545.2)+(0.168555+(0.611184-0.278052))+0-0-0</f>
        <v>984.20168699999999</v>
      </c>
      <c r="R118" s="3">
        <f>329.5+(1157.2-493.6)+(0+(0-0))+0-0-0</f>
        <v>993.1</v>
      </c>
      <c r="S118" s="3">
        <f>327.7+(1114.3-479.6)+(0+(0-0))+0-0-0</f>
        <v>962.39999999999986</v>
      </c>
      <c r="T118" s="3">
        <f>319.6+(1119.3-470.1)+(-0.325992+(-1.141686--0.479502))+0-0-0</f>
        <v>967.811824</v>
      </c>
      <c r="U118" s="3">
        <f>319.1+(1140.8-486.1)+(-0.325482+(-1.163616--0.495822))+0-0-0</f>
        <v>972.80672399999992</v>
      </c>
      <c r="V118" s="3">
        <f>320+(1127.5-468.1)+(0+(0-0))+0-0-0</f>
        <v>979.4</v>
      </c>
      <c r="W118" s="3">
        <f>320.1+(1195.7-551.8)+(-0.163251+(-0.609807--0.281418))+0-0-0</f>
        <v>963.50836000000015</v>
      </c>
      <c r="X118" s="3">
        <f>319.5+(1182-566.8)+(-0.32589+(-1.20564--0.578136))+0-0-0</f>
        <v>933.74660600000004</v>
      </c>
      <c r="Y118" s="3">
        <f>158.2+(1212.8-458.2)+(-0.080682+(-0.618528--0.233682))+0-0-0</f>
        <v>912.33447200000001</v>
      </c>
      <c r="Z118" s="3">
        <f>216.6+(1211.5-490.1)+(0.110466+(0.617865-0.249951))+0-0-0</f>
        <v>938.47838000000002</v>
      </c>
      <c r="AA118" s="3">
        <f>326.2+(1172-514.8)+(-0.998172+(-3.58632--1.575288))+0-0-0</f>
        <v>980.39079600000014</v>
      </c>
      <c r="AB118" s="3">
        <f>328.9+(1158.9-528)+(-0.503217+(-1.773117--0.80784))+0-0-0</f>
        <v>958.3315060000001</v>
      </c>
      <c r="AC118" s="3">
        <f>329.4+(1195.4-575.9)+(-0.335988+(-1.219308--0.587418))+0-0-0</f>
        <v>947.93212200000005</v>
      </c>
      <c r="AD118">
        <v>977.90000000000009</v>
      </c>
      <c r="AE118" s="3">
        <f>330+(1161.7-513.8)+(0+(0-0))+0-0-0</f>
        <v>977.90000000000009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293.8+(1087.6-471.1)+(-0.299676+(-1.109352--0.480522))+0-0-0</f>
        <v>909.37149399999998</v>
      </c>
      <c r="G119" s="3">
        <f>107.4+(1154.8-395.5)+(-0.219096+(-2.355792--0.80682))+0-0-0</f>
        <v>864.93193199999996</v>
      </c>
      <c r="H119" s="3">
        <f>0+(1209.9-380.3)+(0+(-1.851147--0.581859))+0-0-0</f>
        <v>828.33071200000018</v>
      </c>
      <c r="I119" s="3">
        <f>0+(1247.6-428.9)+(0+(-1.272552--0.437478))+0-0-0</f>
        <v>817.86492599999997</v>
      </c>
      <c r="J119" s="3">
        <f>0+(1291-469.7)+(0+(-3.29205--1.197735))+0-0-0</f>
        <v>819.2056849999999</v>
      </c>
      <c r="K119" s="3">
        <f>0+(1245.6-439)+(0+(-3.17628--1.11945))+0-0-0</f>
        <v>804.54316999999992</v>
      </c>
      <c r="L119" s="3">
        <f>0+(1201.1-430.2)+(0+(-3.675366--1.316412))+0-0-0</f>
        <v>768.54104599999982</v>
      </c>
      <c r="M119" s="3">
        <f>0+(1222.6-431.8)+(0+(-0.623526--0.220218))+0-0-0</f>
        <v>790.39669199999992</v>
      </c>
      <c r="N119" s="3">
        <f>0+(1266.9-451)+(0+(-0.646119--0.23001))+0-0-0</f>
        <v>815.48389100000009</v>
      </c>
      <c r="O119" s="3">
        <f>0+(1262.5-413)+(0+(-0.643875--0.21063))+0-0-0</f>
        <v>849.06675499999994</v>
      </c>
      <c r="P119" s="3">
        <f>0+(1281.8-397.3)+(0+(0-0))+0-0-0</f>
        <v>884.5</v>
      </c>
      <c r="Q119" s="3">
        <f>0+(1263-356.4)+(0+(-0.64413--0.181764))+0-0-0</f>
        <v>906.13763400000005</v>
      </c>
      <c r="R119" s="3">
        <f>0+(1211.1-312.3)+(0+(-1.852983--0.477819))+0-0-0</f>
        <v>897.42483599999991</v>
      </c>
      <c r="S119" s="3">
        <f>0+(1173.4-282.4)+(0+(-1.196868--0.288048))+0-0-0</f>
        <v>890.09118000000012</v>
      </c>
      <c r="T119" s="3">
        <f>0+(1142.7-257.6)+(0+(-1.165554--0.262752))+0-0-0</f>
        <v>884.19719800000007</v>
      </c>
      <c r="U119" s="3">
        <f>0+(1148.7-257.7)+(0+(-0.585837--0.131427))+0-0-0</f>
        <v>890.54558999999995</v>
      </c>
      <c r="V119" s="3">
        <f>0+(1180.9-293)+(0+(-2.409036--0.59772))+0-0-0</f>
        <v>886.08868400000006</v>
      </c>
      <c r="W119" s="3">
        <f>0+(1236.1-349.5)+(0+(-3.782466--1.06947))+0-0-0</f>
        <v>883.88700399999993</v>
      </c>
      <c r="X119" s="3">
        <f>0+(1287.8-412.5)+(0+(-2.627112--0.8415))+0-0-0</f>
        <v>873.51438799999994</v>
      </c>
      <c r="Y119" s="3">
        <f>0+(1259.8-397.7)+(0+(-0.642498--0.202827))+0-0-0</f>
        <v>861.66032899999993</v>
      </c>
      <c r="Z119" s="3">
        <f>0+(1229.3-324.9)+(0+(-0.626943--0.165699))+0-0-0</f>
        <v>903.93875600000001</v>
      </c>
      <c r="AA119" s="3">
        <f>0+(1136.6-196.1)+(0+(-2.318664--0.400044))+0-0-0</f>
        <v>938.58137999999985</v>
      </c>
      <c r="AB119" s="3">
        <f>0+(1156.7-229.6)+(0+(-2.359668--0.468384))+0-0-0</f>
        <v>925.20871599999998</v>
      </c>
      <c r="AC119" s="3">
        <f>0+(1175.6-267.8)+(0+(-1.798668--0.409734))+0-0-0</f>
        <v>906.41106600000001</v>
      </c>
      <c r="AD119">
        <v>971.6</v>
      </c>
      <c r="AE119" s="3">
        <f>0+(1157-185.4)+(0+(0-0))+0-0-0</f>
        <v>971.6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0+(1199.2-319.5)+(0+(-3.05796--0.814725))+0-0-0</f>
        <v>877.45676500000002</v>
      </c>
      <c r="G120" s="3">
        <f>0+(1224.7-382.9)+(0+(-4.372179--1.366953))+0-0-0</f>
        <v>838.79477400000007</v>
      </c>
      <c r="H120" s="3">
        <f>0+(1248.5-429.4)+(0+(0-0))+0-0-0</f>
        <v>819.1</v>
      </c>
      <c r="I120" s="3">
        <f>0+(1238.4-420.5)+(0+(-5.684256--1.930095))+0-0-0</f>
        <v>814.14583900000014</v>
      </c>
      <c r="J120" s="3">
        <f>0+(1271.3-469)+(0+(-1.296726--0.47838))+0-0-0</f>
        <v>801.48165399999993</v>
      </c>
      <c r="K120" s="3">
        <f>0+(1246.9-452.3)+(0+(-5.723271--2.076057))+0-0-0</f>
        <v>790.95278600000017</v>
      </c>
      <c r="L120" s="3">
        <f>0+(1258.1-453.6)+(0+(-5.133048--1.850688))+0-0-0</f>
        <v>801.21763999999985</v>
      </c>
      <c r="M120" s="3">
        <f>0+(1254.5-390.3)+(0+(0.639795-0.199053))+0-0-0</f>
        <v>864.64074200000005</v>
      </c>
      <c r="N120" s="3">
        <f>1.2+(1331-396)+(0+(0-0))+0-0-0</f>
        <v>936.2</v>
      </c>
      <c r="O120" s="3">
        <f>103.7+(1340.9-464.5)+(0+(0-0))+0-0-0</f>
        <v>980.10000000000014</v>
      </c>
      <c r="P120" s="3">
        <f>325.3+(1300.2-663.8)+(0.165903+(0.663102-0.338538))+0-0-0</f>
        <v>962.19046700000001</v>
      </c>
      <c r="Q120" s="3">
        <f>330.5+(1257.7-551.6)+(0.168555+(0.641427-0.281316))+0-0-0</f>
        <v>1037.1286659999998</v>
      </c>
      <c r="R120" s="3">
        <f>330.2+(1227.1-512.7)+(0+(0-0))+0-0-0</f>
        <v>1044.5999999999999</v>
      </c>
      <c r="S120" s="3">
        <f>328.3+(1186.9-500.1)+(-0.167433+(-0.605319--0.255051))+0-0-0</f>
        <v>1014.5822990000001</v>
      </c>
      <c r="T120" s="3">
        <f>329.2+(1154.5-457.3)+(-0.167892+(-0.588795--0.233223))+0-0-0</f>
        <v>1025.876536</v>
      </c>
      <c r="U120" s="3">
        <f>319.5+(1153.1-445.8)+(-0.32589+(-1.176162--0.454716))+0-0-0</f>
        <v>1025.7526639999999</v>
      </c>
      <c r="V120" s="3">
        <f>319.9+(1172.2-472.2)+(0.163149+(0.597822-0.240822))+0-0-0</f>
        <v>1020.4201489999999</v>
      </c>
      <c r="W120" s="3">
        <f>319.9+(1219.7-535.9)+(-0.163149+(-0.622047--0.273309))+0-0-0</f>
        <v>1003.188113</v>
      </c>
      <c r="X120" s="3">
        <f>287.7+(1182.9-489.3)+(-0.733635+(-3.016395--1.247715))+0-0-0</f>
        <v>978.79768500000023</v>
      </c>
      <c r="Y120" s="3">
        <f>129.3+(1154.3-340.8)+(-0.329715+(-2.943465--0.86904))+0-0-0</f>
        <v>940.39585999999997</v>
      </c>
      <c r="Z120" s="3">
        <f>212.3+(1236.8-468.5)+(0.216546+(1.261536-0.47787))+0-0-0</f>
        <v>981.60021199999994</v>
      </c>
      <c r="AA120" s="3">
        <f>330+(1206.5-521.4)+(-0.3366+(-1.23063--0.531828))+0-0-0</f>
        <v>1014.064598</v>
      </c>
      <c r="AB120" s="3">
        <f>304.6+(1212.1-523.3)+(-0.155346+(-0.618171--0.266883))+0-0-0</f>
        <v>992.89336600000001</v>
      </c>
      <c r="AC120" s="3">
        <f>220.7+(1274.7-510.5)+(0+(0-0))+0-0-0</f>
        <v>984.90000000000009</v>
      </c>
      <c r="AD120">
        <v>1019.3</v>
      </c>
      <c r="AE120" s="3">
        <f>330+(1197.8-508.5)+(0+(0-0))+0-0-0</f>
        <v>1019.3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82.7+(1301.6-444.2)+(-0.253062+(-3.982896--1.359252))+0-0-0</f>
        <v>937.2232939999999</v>
      </c>
      <c r="G121" s="3">
        <f>0+(1283-389.2)+(0+(-0.65433--0.198492))+0-0-0</f>
        <v>893.34416199999998</v>
      </c>
      <c r="H121" s="3">
        <f>0+(1292.9-419.9)+(0+(-1.318758--0.428298))+0-0-0</f>
        <v>872.10954000000015</v>
      </c>
      <c r="I121" s="3">
        <f>0+(1319.8-455.7)+(0+(-2.019294--0.697221))+0-0-0</f>
        <v>862.77792699999986</v>
      </c>
      <c r="J121" s="3">
        <f>0+(1292-436.2)+(0+(-3.2946--1.11231))+0-0-0</f>
        <v>853.61770999999999</v>
      </c>
      <c r="K121" s="3">
        <f>0+(1236.8-391.4)+(0+(-2.523072--0.798456))+0-0-0</f>
        <v>843.67538400000001</v>
      </c>
      <c r="L121" s="3">
        <f>0+(1261.7-424.4)+(0+(-1.930401--0.649332))+0-0-0</f>
        <v>836.01893100000007</v>
      </c>
      <c r="M121" s="3">
        <f>0+(1246.1-357.5)+(0+(-0.635511--0.182325))+0-0-0</f>
        <v>888.14681399999995</v>
      </c>
      <c r="N121" s="3">
        <f>12.6+(1192.4-257.2)+(0.012852+(1.216248-0.262344))+0-0-0</f>
        <v>948.7667560000001</v>
      </c>
      <c r="O121" s="3">
        <f>156+(1147.3-305.9)+(0+(0-0))+0-0-0</f>
        <v>997.4</v>
      </c>
      <c r="P121" s="3">
        <f>291.8+(1215.9-474.1)+(0.297636+(1.240218-0.483582))+0-0-0</f>
        <v>1034.6542720000002</v>
      </c>
      <c r="Q121" s="3">
        <f>330.4+(1202.8-476.2)+(0.337008+(1.226856-0.485724))+0-0-0</f>
        <v>1058.0781400000001</v>
      </c>
      <c r="R121" s="3">
        <f>323.7+(1156.1-443.1)+(0+(0-0))+0-0-0</f>
        <v>1036.6999999999998</v>
      </c>
      <c r="S121" s="3">
        <f>319.6+(1108.9-415.8)+(-0.325992+(-1.131078--0.424116))+0-0-0</f>
        <v>1011.6670460000001</v>
      </c>
      <c r="T121" s="3">
        <f>317.3+(1087.3-376.3)+(0.161823+(0.554523-0.191913))+0-0-0</f>
        <v>1028.824433</v>
      </c>
      <c r="U121" s="3">
        <f>314.6+(1065.5-345.2)+(-0.481338+(-1.630215--0.528156))+0-0-0</f>
        <v>1033.316603</v>
      </c>
      <c r="V121" s="3">
        <f>313.8+(1096.9-407.8)+(-0.640152+(-2.237676--0.831912))+0-0-0</f>
        <v>1000.8540840000001</v>
      </c>
      <c r="W121" s="3">
        <f>315.7+(1141.4-468.9)+(0+(0-0))+0-0-0</f>
        <v>988.2</v>
      </c>
      <c r="X121" s="3">
        <f>312.9+(1256.9-603.5)+(-0.319158+(-1.282038--0.61557))+0-0-0</f>
        <v>965.31437400000004</v>
      </c>
      <c r="Y121" s="3">
        <f>272.4+(1105.4-437.7)+(-0.416772+(-1.691262--0.669681))+0-0-0</f>
        <v>938.66164700000002</v>
      </c>
      <c r="Z121" s="3">
        <f>252+(1199.1-493.1)+(0+(0-0))+0-0-0</f>
        <v>957.99999999999989</v>
      </c>
      <c r="AA121" s="3">
        <f>330+(1233-536)+(0+(0-0))+0-0-0</f>
        <v>1027</v>
      </c>
      <c r="AB121" s="3">
        <f>268.7+(1236.6-504.5)+(-0.548148+(-2.522664--1.02918))+0-0-0</f>
        <v>998.7583679999999</v>
      </c>
      <c r="AC121" s="3">
        <f>220.2+(1297.8-541.2)+(0+(0-0))+0-0-0</f>
        <v>976.8</v>
      </c>
      <c r="AD121">
        <v>1035.9000000000001</v>
      </c>
      <c r="AE121" s="3">
        <f>330+(1226.7-520.8)+(0+(0-0))+0-0-0</f>
        <v>1035.9000000000001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218.7+(1220.4-499.4)+(-0.334611+(-1.867212--0.764082))+0-0-0</f>
        <v>938.26225900000009</v>
      </c>
      <c r="G122" s="3">
        <f>165.3+(1304.3-566)+(-0.168606+(-1.330386--0.57732))+0-0-0</f>
        <v>902.67832799999996</v>
      </c>
      <c r="H122" s="3">
        <f>154.8+(1338.1-606.1)+(-0.315792+(-2.729724--1.236444))+0-0-0</f>
        <v>884.99092799999994</v>
      </c>
      <c r="I122" s="3">
        <f>103.3+(1327.5-566.3)+(-0.158049+(-2.031075--0.866439))+0-0-0</f>
        <v>863.17731500000002</v>
      </c>
      <c r="J122" s="3">
        <f>90.1+(1236.4-478.9)+(-0.183804+(-2.522256--0.976956))+0-0-0</f>
        <v>845.87089600000013</v>
      </c>
      <c r="K122" s="3">
        <f>90.2+(1237.5-480.8)+(-0.184008+(-2.5245--0.980832))+0-0-0</f>
        <v>845.17232400000012</v>
      </c>
      <c r="L122" s="3">
        <f>90.1+(1225.1-468.2)+(-0.321657+(-4.373607--1.671474))+0-0-0</f>
        <v>843.97620999999992</v>
      </c>
      <c r="M122" s="3">
        <f>89.7+(1157.7-368.8)+(0+(0-0))+0-0-0</f>
        <v>878.60000000000014</v>
      </c>
      <c r="N122" s="3">
        <f>89.2+(1162.3-300.8)+(0+(0-0))+0-0-0</f>
        <v>950.7</v>
      </c>
      <c r="O122" s="3">
        <f>90.6+(1265.7-361.5)+(0+(0-0))+0-0-0</f>
        <v>994.80000000000007</v>
      </c>
      <c r="P122" s="3">
        <f>187.9+(1310.1-465)+(0.191658+(1.336302-0.4743))+0-0-0</f>
        <v>1034.05366</v>
      </c>
      <c r="Q122" s="3">
        <f>278.8+(1288.8-508.6)+(0.142188+(0.657288-0.259386))+0-0-0</f>
        <v>1059.54009</v>
      </c>
      <c r="R122" s="3">
        <f>330.3+(1188.3-467.9)+(0.336906+(1.212066-0.477258))+0-0-0</f>
        <v>1051.771714</v>
      </c>
      <c r="S122" s="3">
        <f>328.2+(1076.7-381.1)+(-0.167382+(-0.549117--0.194361))+0-0-0</f>
        <v>1023.2778619999999</v>
      </c>
      <c r="T122" s="3">
        <f>330.6+(975.6-271.7)+(0.168606+(0.497556-0.138567))+0-0-0</f>
        <v>1035.027595</v>
      </c>
      <c r="U122" s="3">
        <f>327.3+(1002.8-311.6)+(-0.834615+(-2.55714--0.79458))+0-0-0</f>
        <v>1015.902825</v>
      </c>
      <c r="V122" s="3">
        <f>327.6+(1087.9-411.1)+(-0.668304+(-2.219316--0.838644))+0-0-0</f>
        <v>1002.3510240000001</v>
      </c>
      <c r="W122" s="3">
        <f>264.7+(1203.2-489.3)+(-1.079976+(-4.909056--1.996344))+0-0-0</f>
        <v>974.60731200000009</v>
      </c>
      <c r="X122" s="3">
        <f>181.3+(1200.1-433.6)+(-0.647241+(-4.284357--1.547952))+0-0-0</f>
        <v>944.41635399999996</v>
      </c>
      <c r="Y122" s="3">
        <f>90.1+(1142.7-298.5)+(-0.091902+(-1.165554--0.30447))+0-0-0</f>
        <v>933.34701400000006</v>
      </c>
      <c r="Z122" s="3">
        <f>142.7+(1224.7-404.9)+(-0.072777+(-0.624597--0.206499))+0-0-0</f>
        <v>962.00912500000004</v>
      </c>
      <c r="AA122" s="3">
        <f>218.9+(1216-454)+(-0.446556+(-2.48064--0.92616))+0-0-0</f>
        <v>978.89896399999998</v>
      </c>
      <c r="AB122" s="3">
        <f>217.2+(1210.2-472.4)+(-0.55386+(-3.08601--1.20462))+0-0-0</f>
        <v>952.56475</v>
      </c>
      <c r="AC122" s="3">
        <f>220.8+(1196.3-468.2)+(0.112608+(0.610113-0.238782))+0-0-0</f>
        <v>949.38393899999983</v>
      </c>
      <c r="AD122">
        <v>971.90000000000009</v>
      </c>
      <c r="AE122" s="3">
        <f>219+(1208.2-455.3)+(0+(0-0))+0-0-0</f>
        <v>971.90000000000009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219.4+(1200.4-493.2)+(-0.111894+(-0.612204--0.251532))+0-0-0</f>
        <v>926.12743399999999</v>
      </c>
      <c r="G123" s="3">
        <f>220+(1223.6-551)+(-0.2244+(-1.248072--0.56202))+0-0-0</f>
        <v>891.68954799999995</v>
      </c>
      <c r="H123" s="3">
        <f>219.8+(1204.2-560.1)+(-0.112098+(-0.614142--0.285651))+0-0-0</f>
        <v>863.45941100000005</v>
      </c>
      <c r="I123" s="3">
        <f>172.5+(1175.2-496.7)+(-0.52785+(-3.596112--1.519902))+0-0-0</f>
        <v>848.39594</v>
      </c>
      <c r="J123" s="3">
        <f>90.1+(1229.1-476.5)+(-0.229755+(-3.134205--1.215075))+0-0-0</f>
        <v>840.55111499999998</v>
      </c>
      <c r="K123" s="3">
        <f>90.1+(1196.2-446.6)+(-0.321657+(-4.270434--1.594362))+0-0-0</f>
        <v>836.702271</v>
      </c>
      <c r="L123" s="3">
        <f>90+(1258.6-521.1)+(-0.3213+(-4.493202--1.860327))+0-0-0</f>
        <v>824.54582499999992</v>
      </c>
      <c r="M123" s="3">
        <f>164.6+(1265.7-567.8)+(-0.083946+(-0.645507--0.289578))+0-0-0</f>
        <v>862.06012500000008</v>
      </c>
      <c r="N123" s="3">
        <f>220.8+(1282.7-576.4)+(0.225216+(1.308354-0.587928))+0-0-0</f>
        <v>928.04564200000016</v>
      </c>
      <c r="O123" s="3">
        <f>220.7+(1257.9-499.5)+(0.225114+(1.283058-0.50949))+0-0-0</f>
        <v>980.09868200000017</v>
      </c>
      <c r="P123" s="3">
        <f>220.4+(1317.6-529.5)+(0.224808+(1.343952-0.54009))+0-0-0</f>
        <v>1009.5286699999999</v>
      </c>
      <c r="Q123" s="3">
        <f>220+(1002.7-180.9)+(0+(0-0))+0-0-0</f>
        <v>1041.8000000000002</v>
      </c>
      <c r="R123" s="3">
        <f>219.3+(882.1-75.5)+(-0.335529+(-1.349613--0.115515))+0-0-0</f>
        <v>1024.330373</v>
      </c>
      <c r="S123" s="3">
        <f>217.7+(907.8-146.4)+(-0.555135+(-2.31489--0.37332))+0-0-0</f>
        <v>976.60329499999989</v>
      </c>
      <c r="T123" s="3">
        <f>219.7+(1029.6-280.4)+(0+(0-0))+0-0-0</f>
        <v>968.89999999999986</v>
      </c>
      <c r="U123" s="3">
        <f>218.5+(1067-325.3)+(-0.44574+(-2.17668--0.663612))+0-0-0</f>
        <v>958.24119200000007</v>
      </c>
      <c r="V123" s="3">
        <f>218.9+(1095.1-380)+(-0.223278+(-1.117002--0.3876))+0-0-0</f>
        <v>933.0473199999999</v>
      </c>
      <c r="W123" s="3">
        <f>218.6+(1178.2-486.3)+(-0.334458+(-1.802646--0.744039))+0-0-0</f>
        <v>909.10693500000014</v>
      </c>
      <c r="X123" s="3">
        <f>128.5+(1220.6-452.6)+(-0.327675+(-3.11253--1.15413))+0-0-0</f>
        <v>894.2139249999999</v>
      </c>
      <c r="Y123" s="3">
        <f>90.9+(1206.8-420.4)+(-0.092718+(-1.230936--0.428808))+0-0-0</f>
        <v>876.40515399999992</v>
      </c>
      <c r="Z123" s="3">
        <f>125.5+(1121.7-332.6)+(0+(0-0))+0-0-0</f>
        <v>914.6</v>
      </c>
      <c r="AA123" s="3">
        <f>213.7+(1143.3-401.2)+(-0.544935+(-2.915415--1.02306))+0-0-0</f>
        <v>953.36270999999999</v>
      </c>
      <c r="AB123" s="3">
        <f>9.8+(1172.4-243.8)+(-0.004998+(-0.597924--0.124338))+0-0-0</f>
        <v>937.92141600000014</v>
      </c>
      <c r="AC123" s="3">
        <f>0+(1201.2-274.4)+(0+(-0.612612--0.139944))+0-0-0</f>
        <v>926.32733200000007</v>
      </c>
      <c r="AD123">
        <v>961.7</v>
      </c>
      <c r="AE123" s="3">
        <f>217+(1173.4-428.7)+(0+(0-0))+0-0-0</f>
        <v>961.7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0+(1194.5-301.5)+(0+(-0.609195--0.153765))+0-0-0</f>
        <v>892.54457000000002</v>
      </c>
      <c r="G124" s="3">
        <f>0+(1165.6-307.6)+(0+(1.188912-0.313752))+0-0-0</f>
        <v>858.87515999999994</v>
      </c>
      <c r="H124" s="3">
        <f>0+(1094.2-265.1)+(0+(1.116084-0.270402))+0-0-0</f>
        <v>829.94568200000003</v>
      </c>
      <c r="I124" s="3">
        <f>0+(1041.9-240.7)+(0+(0.531369-0.122757))+0-0-0</f>
        <v>801.60861199999999</v>
      </c>
      <c r="J124" s="3">
        <f>0+(1092.6-301.9)+(0+(1.671678-0.461907))+0-0-0</f>
        <v>791.90977099999998</v>
      </c>
      <c r="K124" s="3">
        <f>0+(1128.7-343)+(0+(-1.151274--0.34986))+0-0-0</f>
        <v>784.89858600000002</v>
      </c>
      <c r="L124" s="3">
        <f>0+(1099.5-348.9)+(0+(1.12149-0.355878))+0-0-0</f>
        <v>751.36561200000006</v>
      </c>
      <c r="M124" s="3">
        <f>0+(1056.5-317.1)+(0+(-0.538815--0.161721))+0-0-0</f>
        <v>739.02290599999992</v>
      </c>
      <c r="N124" s="3">
        <f>0+(1018-263.9)+(0+(1.55754-0.403767))+0-0-0</f>
        <v>755.25377300000002</v>
      </c>
      <c r="O124" s="3">
        <f>0+(1073.7-274.6)+(0+(0.547587-0.140046))+0-0-0</f>
        <v>799.50754100000006</v>
      </c>
      <c r="P124" s="3">
        <f>0+(1163.8-329.3)+(0+(1.780614-0.503829))+0-0-0</f>
        <v>835.77678500000002</v>
      </c>
      <c r="Q124" s="3">
        <f>0+(1077.6-223.6)+(0+(1.099152-0.228072))+0-0-0</f>
        <v>854.87107999999989</v>
      </c>
      <c r="R124" s="3">
        <f>0+(1056.3-207.6)+(0+(-0.538713--0.105876))+0-0-0</f>
        <v>848.26716299999998</v>
      </c>
      <c r="S124" s="3">
        <f>0+(1034.2-198.3)+(0+(-0.527442--0.101133))+0-0-0</f>
        <v>835.47369100000014</v>
      </c>
      <c r="T124" s="3">
        <f>0+(1012.2-181.3)+(0+(-1.548666--0.277389))+0-0-0</f>
        <v>829.62872300000004</v>
      </c>
      <c r="U124" s="3">
        <f>0+(1048.2-210.7)+(0+(0.534582-0.107457))+0-0-0</f>
        <v>837.92712500000005</v>
      </c>
      <c r="V124" s="3">
        <f>0+(1043.3-212.7)+(0+(-0.532083--0.108477))+0-0-0</f>
        <v>830.17639399999996</v>
      </c>
      <c r="W124" s="3">
        <f>0+(1088.9-262.5)+(0+(-2.776695--0.669375))+0-0-0</f>
        <v>824.29268000000013</v>
      </c>
      <c r="X124" s="3">
        <f>0+(1125.6-310.6)+(0+(-1.722168--0.475218))+0-0-0</f>
        <v>813.75304999999992</v>
      </c>
      <c r="Y124" s="3">
        <f>0+(1078.7-276.2)+(0+(-3.850959--0.986034))+0-0-0</f>
        <v>799.63507500000003</v>
      </c>
      <c r="Z124" s="3">
        <f>0+(1102.1-255.9)+(0+(1.686213-0.391527))+0-0-0</f>
        <v>847.49468599999989</v>
      </c>
      <c r="AA124" s="3">
        <f>0+(1043.6-110.9)+(0+(-1.596708--0.169677))+0-0-0</f>
        <v>931.27296899999988</v>
      </c>
      <c r="AB124" s="3">
        <f>0+(1015.4-122.7)+(0+(-1.035708--0.125154))+0-0-0</f>
        <v>891.78944599999988</v>
      </c>
      <c r="AC124" s="3">
        <f>0+(1043.3-166.2)+(0+(0.532083-0.084762))+0-0-0</f>
        <v>877.5473209999999</v>
      </c>
      <c r="AD124">
        <v>922.90000000000009</v>
      </c>
      <c r="AE124" s="3">
        <f>0+(1024.2-101.3)+(0+(0-0))+0-0-0</f>
        <v>922.90000000000009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0+(1046.7-212.3)+(0+(-1.067634--0.216546))+0-0-0</f>
        <v>833.54891200000009</v>
      </c>
      <c r="G125" s="3">
        <f>0+(1120.8-313.4)+(0+(-1.143216--0.319668))+0-0-0</f>
        <v>806.57645200000002</v>
      </c>
      <c r="H125" s="3">
        <f>0+(1163.4-381.8)+(0+(-1.780002--0.584154))+0-0-0</f>
        <v>780.40415200000018</v>
      </c>
      <c r="I125" s="3">
        <f>0+(1163.4-390.3)+(0+(-1.780002--0.597159))+0-0-0</f>
        <v>771.91715700000009</v>
      </c>
      <c r="J125" s="3">
        <f>0+(1127.3-369.2)+(0+(-2.299692--0.753168))+0-0-0</f>
        <v>756.55347599999993</v>
      </c>
      <c r="K125" s="3">
        <f>0+(1152.8-387.3)+(0+(-2.351712--0.790092))+0-0-0</f>
        <v>763.93838000000005</v>
      </c>
      <c r="L125" s="3">
        <f>0+(1123.7-345.8)+(0+(-0.573087--0.176358))+0-0-0</f>
        <v>777.50327100000004</v>
      </c>
      <c r="M125" s="3">
        <f>0+(1172-337.2)+(0+(0-0))+0-0-0</f>
        <v>834.8</v>
      </c>
      <c r="N125" s="3">
        <f>18.2+(1195.1-310.2)+(0.018564+(1.219002-0.316404))+0-0-0</f>
        <v>904.02116199999989</v>
      </c>
      <c r="O125" s="3">
        <f>92.5+(1199-336.1)+(-0.047175+(-0.61149--0.171411))+0-0-0</f>
        <v>954.91274599999997</v>
      </c>
      <c r="P125" s="3">
        <f>186+(1125.4-338.9)+(-0.09486+(-0.573954--0.172839))+0-0-0</f>
        <v>972.00402500000007</v>
      </c>
      <c r="Q125" s="3">
        <f>210.5+(1104.1-314.5)+(0.322065+(1.689273-0.481185))+0-0-0</f>
        <v>1001.630153</v>
      </c>
      <c r="R125" s="3">
        <f>210.2+(1118.8-293.6)+(0.107202+(0.570588-0.149736))+0-0-0</f>
        <v>1035.928054</v>
      </c>
      <c r="S125" s="3">
        <f>209.6+(1148.4-354.6)+(0+(0-0))+0-0-0</f>
        <v>1003.4000000000001</v>
      </c>
      <c r="T125" s="3">
        <f>209.5+(1150.6-361.2)+(-0.21369+(-1.173612--0.368424))+0-0-0</f>
        <v>997.88112199999989</v>
      </c>
      <c r="U125" s="3">
        <f>209.5+(1164.8-370.3)+(-0.320535+(-1.782144--0.566559))+0-0-0</f>
        <v>1002.46388</v>
      </c>
      <c r="V125" s="3">
        <f>209.2+(1138.4-387.4)+(-0.426768+(-2.322336--0.790296))+0-0-0</f>
        <v>958.24119200000007</v>
      </c>
      <c r="W125" s="3">
        <f>208.4+(1172.2-460.5)+(-0.318852+(-1.793466--0.704565))+0-0-0</f>
        <v>918.69224700000007</v>
      </c>
      <c r="X125" s="3">
        <f>52.2+(1057.9-367.1)+(-0.159732+(-3.237174--1.123326))+0-0-0</f>
        <v>740.72642000000008</v>
      </c>
      <c r="Y125" s="3">
        <f>0+(1067.2-315.5)+(0+(-0.544272--0.160905))+0-0-0</f>
        <v>751.31663300000002</v>
      </c>
      <c r="Z125" s="3">
        <f>0+(1096.7-260.8)+(0+(-1.118634--0.266016))+0-0-0</f>
        <v>835.04738200000008</v>
      </c>
      <c r="AA125" s="3">
        <f>0+(1059.8-181.6)+(0+(0-0))+0-0-0</f>
        <v>878.19999999999993</v>
      </c>
      <c r="AB125" s="3">
        <f>0+(1074.7-201.7)+(0+(-1.644291--0.308601))+0-0-0</f>
        <v>871.66431</v>
      </c>
      <c r="AC125" s="3">
        <f>0+(1121.7-249.4)+(0+(0-0))+0-0-0</f>
        <v>872.30000000000007</v>
      </c>
      <c r="AD125">
        <v>878.89999999999986</v>
      </c>
      <c r="AE125" s="3">
        <f>0+(1073.1-194.2)+(0+(0-0))+0-0-0</f>
        <v>878.89999999999986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0+(1139.4-289.4)+(0+(-1.162188--0.295188))+0-0-0</f>
        <v>849.13300000000015</v>
      </c>
      <c r="G126" s="3">
        <f>0+(1106.4-280.1)+(0+(-2.82132--0.714255))+0-0-0</f>
        <v>824.19293500000003</v>
      </c>
      <c r="H126" s="3">
        <f>0+(1165.1-354.3)+(0+(-1.188402--0.361386))+0-0-0</f>
        <v>809.972984</v>
      </c>
      <c r="I126" s="3">
        <f>0+(1138.9-349.5)+(0+(-2.323356--0.71298))+0-0-0</f>
        <v>787.78962400000012</v>
      </c>
      <c r="J126" s="3">
        <f>0+(1153.5-367.7)+(0+(-1.764855--0.562581))+0-0-0</f>
        <v>784.59772599999997</v>
      </c>
      <c r="K126" s="3">
        <f>0+(1155-382.9)+(0+(-1.1781--0.390558))+0-0-0</f>
        <v>771.31245799999999</v>
      </c>
      <c r="L126" s="3">
        <f>0+(1189.9-408.5)+(0+(-3.034245--1.041675))+0-0-0</f>
        <v>779.40743000000009</v>
      </c>
      <c r="M126" s="3">
        <f>0+(1195.9-374.3)+(0+(1.829727-0.572679))+0-0-0</f>
        <v>822.85704800000019</v>
      </c>
      <c r="N126" s="3">
        <f>0+(1210.8-323.8)+(0+(0-0))+0-0-0</f>
        <v>887</v>
      </c>
      <c r="O126" s="3">
        <f>62.4+(1261.3-392.6)+(0.031824+(0.643263-0.200226))+0-0-0</f>
        <v>931.57486099999994</v>
      </c>
      <c r="P126" s="3">
        <f>211+(1236.7-486.1)+(0.10761+(0.630717-0.247911))+0-0-0</f>
        <v>962.090416</v>
      </c>
      <c r="Q126" s="3">
        <f>291.2+(1201.4-511.9)+(0.445536+(1.838142-0.783207))+0-0-0</f>
        <v>982.20047099999999</v>
      </c>
      <c r="R126" s="3">
        <f>329.4+(1165.1-498)+(0+(0-0))+0-0-0</f>
        <v>996.49999999999989</v>
      </c>
      <c r="S126" s="3">
        <f>317.8+(1107.5-449.7)+(0+(0-0))+0-0-0</f>
        <v>975.59999999999991</v>
      </c>
      <c r="T126" s="3">
        <f>315.7+(1105.5-444.2)+(0.483021+(1.691415-0.679626))+0-0-0</f>
        <v>978.49481000000003</v>
      </c>
      <c r="U126" s="3">
        <f>314.5+(1087.1-449.8)+(-0.32079+(-1.108842--0.458796))+0-0-0</f>
        <v>950.82916399999999</v>
      </c>
      <c r="V126" s="3">
        <f>313+(1098.6-470.9)+(-0.63852+(-2.241144--0.960636))+0-0-0</f>
        <v>938.78097199999991</v>
      </c>
      <c r="W126" s="3">
        <f>311.7+(1111.5-519.9)+(-0.953802+(-3.40119--1.590894))+0-0-0</f>
        <v>900.53590199999996</v>
      </c>
      <c r="X126" s="3">
        <f>173.1+(1093.5-539.3)+(-0.529686+(-3.34611--1.650258))+0-0-0</f>
        <v>725.07446200000004</v>
      </c>
      <c r="Y126" s="3">
        <f>44.1+(1007.5-249.6)+(-0.044982+(-1.02765--0.254592))+0-0-0</f>
        <v>801.18196</v>
      </c>
      <c r="Z126" s="3">
        <f>45.6+(1022.2-211.4)+(0+(0-0))+0-0-0</f>
        <v>856.40000000000009</v>
      </c>
      <c r="AA126" s="3">
        <f>108.2+(1095.5-274.8)+(-0.331092+(-3.35223--0.840888))+0-0-0</f>
        <v>926.05756600000007</v>
      </c>
      <c r="AB126" s="3">
        <f>66.7+(1068.3-219)+(-0.034017+(-0.544833--0.11169))+0-0-0</f>
        <v>915.53283999999996</v>
      </c>
      <c r="AC126" s="3">
        <f>45.1+(1082-226.9)+(-0.023001+(-0.55182--0.115719))+0-0-0</f>
        <v>899.74089800000002</v>
      </c>
      <c r="AD126">
        <v>936.80000000000007</v>
      </c>
      <c r="AE126" s="3">
        <f>110+(1095.4-268.6)+(0+(0-0))+0-0-0</f>
        <v>936.80000000000007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24.7+(1175.3-335.4)+(-0.037791+(-1.798209--0.513162))+0-0-0</f>
        <v>863.27716199999998</v>
      </c>
      <c r="G127" s="3">
        <f>0+(1236.6-401.2)+(0+(-1.891998--0.613836))+0-0-0</f>
        <v>834.12183799999991</v>
      </c>
      <c r="H127" s="3">
        <f>0+(1296.9-479.9)+(0+(-1.322838--0.489498))+0-0-0</f>
        <v>816.16666000000009</v>
      </c>
      <c r="I127" s="3">
        <f>0+(1334.8-522)+(0+(-1.361496--0.53244))+0-0-0</f>
        <v>811.97094399999992</v>
      </c>
      <c r="J127" s="3">
        <f>0+(1270.2-465.2)+(0+(1.295604-0.474504))+0-0-0</f>
        <v>805.8211</v>
      </c>
      <c r="K127" s="3">
        <f>0+(1160.1-367.2)+(0+(0.591651-0.187272))+0-0-0</f>
        <v>793.30437899999981</v>
      </c>
      <c r="L127" s="3">
        <f>0+(1151.6-366)+(0+(-0.587316--0.18666))+0-0-0</f>
        <v>785.19934399999988</v>
      </c>
      <c r="M127" s="3">
        <f>0+(1188.4-361.1)+(0+(-0.606084--0.184161))+0-0-0</f>
        <v>826.87807700000008</v>
      </c>
      <c r="N127" s="3">
        <f>0+(1187.3-296.6)+(0+(0-0))+0-0-0</f>
        <v>890.69999999999993</v>
      </c>
      <c r="O127" s="3">
        <f>28.1+(1232.5-312.2)+(-0.028662+(-1.25715--0.318444))+0-0-0</f>
        <v>947.43263200000001</v>
      </c>
      <c r="P127" s="3">
        <f>117.8+(1187.9-323.7)+(-0.060078+(-0.605829--0.165087))+0-0-0</f>
        <v>981.49918000000002</v>
      </c>
      <c r="Q127" s="3">
        <f>189.7+(1152-340.3)+(0+(0-0))+0-0-0</f>
        <v>1001.4000000000001</v>
      </c>
      <c r="R127" s="3">
        <f>266.9+(1069-335.7)+(-0.544476+(-2.18076--0.684828))+0-0-0</f>
        <v>998.15959199999998</v>
      </c>
      <c r="S127" s="3">
        <f>266.7+(1037-349.2)+(-0.408051+(-1.58661--0.534276))+0-0-0</f>
        <v>953.03961500000003</v>
      </c>
      <c r="T127" s="3">
        <f>252+(1026.2-299.2)+(0.12852+(0.523362-0.152592))+0-0-0</f>
        <v>979.49928999999997</v>
      </c>
      <c r="U127" s="3">
        <f>173.8+(1060.5-261.3)+(-0.177276+(-1.08171--0.266526))+0-0-0</f>
        <v>972.00753999999995</v>
      </c>
      <c r="V127" s="3">
        <f>166.2+(1081.9-325.4)+(0.169524+(1.103538-0.331908))+0-0-0</f>
        <v>923.64115400000003</v>
      </c>
      <c r="W127" s="3">
        <f>164+(1134.3-356.7)+(-0.33456+(-2.313972--0.727668))+0-0-0</f>
        <v>939.67913599999986</v>
      </c>
      <c r="X127" s="3">
        <f>155.1+(1207.7-432.2)+(-0.237303+(-1.847781--0.661266))+0-0-0</f>
        <v>929.17618200000004</v>
      </c>
      <c r="Y127" s="3">
        <f>109.3+(1174.9-371.7)+(-0.111486+(-1.198398--0.379134))+0-0-0</f>
        <v>911.56925000000001</v>
      </c>
      <c r="Z127" s="3">
        <f>132.8+(1173.1-343.3)+(0+(0-0))+0-0-0</f>
        <v>962.59999999999991</v>
      </c>
      <c r="AA127" s="3">
        <f>164.9+(1051.3-215.9)+(-0.168198+(-1.072326--0.220218))+0-0-0</f>
        <v>999.27969399999995</v>
      </c>
      <c r="AB127" s="3">
        <f>164.4+(1027.4-217)+(-0.167688+(-1.047948--0.22134))+0-0-0</f>
        <v>973.80570400000011</v>
      </c>
      <c r="AC127" s="3">
        <f>164.7+(1061.8-264.4)+(-0.083997+(-0.541518--0.134844))+0-0-0</f>
        <v>961.60932899999989</v>
      </c>
      <c r="AD127">
        <v>1002.9000000000001</v>
      </c>
      <c r="AE127" s="3">
        <f>164+(1080.4-241.5)+(0+(0-0))+0-0-0</f>
        <v>1002.9000000000001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129.2+(1054.2-300.7)+(0+(0-0))+0-0-0</f>
        <v>882.7</v>
      </c>
      <c r="G128" s="3">
        <f>0+(1148.1-290.9)+(0+(0.585531-0.148359))+0-0-0</f>
        <v>857.63717199999996</v>
      </c>
      <c r="H128" s="3">
        <f>0+(1085.5-267.3)+(0+(-2.21442--0.545292))+0-0-0</f>
        <v>816.53087200000004</v>
      </c>
      <c r="I128" s="3">
        <f>0+(1103.5-296.5)+(0+(1.12557-0.30243))+0-0-0</f>
        <v>807.82313999999997</v>
      </c>
      <c r="J128" s="3">
        <f>0+(1139-323.1)+(0+(-2.32356--0.659124))+0-0-0</f>
        <v>814.23556399999995</v>
      </c>
      <c r="K128" s="3">
        <f>0+(1158-366)+(0+(-1.77174--0.55998))+0-0-0</f>
        <v>790.78823999999997</v>
      </c>
      <c r="L128" s="3">
        <f>0+(1140.1-346.6)+(0+(-2.907255--0.88383))+0-0-0</f>
        <v>791.47657499999991</v>
      </c>
      <c r="M128" s="3">
        <f>0+(1159.2-311.2)+(0+(0-0))+0-0-0</f>
        <v>848</v>
      </c>
      <c r="N128" s="3">
        <f>0+(1253.5-333.1)+(0+(3.196425-0.849405))+0-0-0</f>
        <v>922.74702000000002</v>
      </c>
      <c r="O128" s="3">
        <f>26.8+(1241.9-299.1)+(0+(0-0))+0-0-0</f>
        <v>969.6</v>
      </c>
      <c r="P128" s="3">
        <f>112.7+(1157-245.3)+(0.172431+(1.77021-0.375309))+0-0-0</f>
        <v>1025.9673320000002</v>
      </c>
      <c r="Q128" s="3">
        <f>305.3+(1044.2-288)+(0.467109+(1.597626-0.44064))+0-0-0</f>
        <v>1063.1240949999999</v>
      </c>
      <c r="R128" s="3">
        <f>319.6+(941.4-219.7)+(0.325992+(0.960228-0.224094))+0-0-0</f>
        <v>1042.3621260000002</v>
      </c>
      <c r="S128" s="3">
        <f>314.9+(879.1-160.4)+(-0.160599+(-0.448341--0.081804))+0-0-0</f>
        <v>1033.072864</v>
      </c>
      <c r="T128" s="3">
        <f>315.2+(898.6-178.1)+(0.160752+(0.458286-0.090831))+0-0-0</f>
        <v>1036.2282070000001</v>
      </c>
      <c r="U128" s="3">
        <f>315.2+(936.3-225.8)+(0+(0-0))+0-0-0</f>
        <v>1025.7</v>
      </c>
      <c r="V128" s="3">
        <f>312.5+(948.5-245)+(-0.796875+(-2.418675--0.62475))+0-0-0</f>
        <v>1013.4092000000001</v>
      </c>
      <c r="W128" s="3">
        <f>312.3+(1025.5-327.9)+(-0.796365+(-2.615025--0.836145))+0-0-0</f>
        <v>1007.3247550000001</v>
      </c>
      <c r="X128" s="3">
        <f>261.1+(1091.6-382.3)+(-0.399483+(-1.670148--0.584919))+0-0-0</f>
        <v>968.91528800000003</v>
      </c>
      <c r="Y128" s="3">
        <f>53.3+(1072.9-196)+(0.027183+(0.547179-0.09996))+0-0-0</f>
        <v>930.6744020000001</v>
      </c>
      <c r="Z128" s="3">
        <f>62.8+(1165.8-252.5)+(0+(0-0))+0-0-0</f>
        <v>976.09999999999991</v>
      </c>
      <c r="AA128" s="3">
        <f>109.7+(1018-101.2)+(-0.111894+(-1.03836--0.103224))+0-0-0</f>
        <v>1025.4529700000001</v>
      </c>
      <c r="AB128" s="3">
        <f>109.6+(1022.8-128.7)+(-0.167688+(-1.564884--0.196911))+0-0-0</f>
        <v>1002.1643389999999</v>
      </c>
      <c r="AC128" s="3">
        <f>109.8+(1055.4-180.9)+(-0.055998+(-0.538254--0.092259))+0-0-0</f>
        <v>983.7980070000001</v>
      </c>
      <c r="AD128">
        <v>1040.5</v>
      </c>
      <c r="AE128" s="3">
        <f>110+(1040.7-110.2)+(0+(0-0))+0-0-0</f>
        <v>1040.5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94.2+(1073.9-219.7)+(-0.144126+(-1.643067--0.336141))+0-0-0</f>
        <v>946.94894800000009</v>
      </c>
      <c r="G129" s="3">
        <f>0+(1123.7-223.3)+(0+(0-0))+0-0-0</f>
        <v>900.40000000000009</v>
      </c>
      <c r="H129" s="3">
        <f>0+(1188.4-313.3)+(0+(-1.212168--0.319566))+0-0-0</f>
        <v>874.20739800000013</v>
      </c>
      <c r="I129" s="3">
        <f>0+(1156.7-297.2)+(0+(1.179834-0.303144))+0-0-0</f>
        <v>860.37669000000005</v>
      </c>
      <c r="J129" s="3">
        <f>0+(1200.3-349.5)+(0+(0-0))+0-0-0</f>
        <v>850.8</v>
      </c>
      <c r="K129" s="3">
        <f>0+(1234.6-388.7)+(0+(-1.888938--0.594711))+0-0-0</f>
        <v>844.60577299999989</v>
      </c>
      <c r="L129" s="3">
        <f>0+(1224.1-384.8)+(0+(-1.872873--0.588744))+0-0-0</f>
        <v>838.01587099999995</v>
      </c>
      <c r="M129" s="3">
        <f>0+(1288.9-407.9)+(0+(1.972017-0.624087))+0-0-0</f>
        <v>882.34793000000013</v>
      </c>
      <c r="N129" s="3">
        <f>78+(1250.6-373.3)+(0.03978+(0.637806-0.190383))+0-0-0</f>
        <v>955.78720299999998</v>
      </c>
      <c r="O129" s="3">
        <f>316.5+(1208.9-519.6)+(-0.161415+(-0.616539--0.264996))+0-0-0</f>
        <v>1005.287042</v>
      </c>
      <c r="P129" s="3">
        <f>330.3+(1246.5-540.1)+(0.336906+(1.27143-0.550902))+0-0-0</f>
        <v>1037.7574340000001</v>
      </c>
      <c r="Q129" s="3">
        <f>323.2+(1177.2-450.3)+(0.82416+(3.00186-1.148265))+0-0-0</f>
        <v>1052.7777550000001</v>
      </c>
      <c r="R129" s="3">
        <f>320.3+(1087.9-362.2)+(-0.163353+(-0.554829--0.184722))+0-0-0</f>
        <v>1045.4665399999999</v>
      </c>
      <c r="S129" s="3">
        <f>320+(999.7-299.1)+(0.1632+(0.509847-0.152541))+0-0-0</f>
        <v>1021.120506</v>
      </c>
      <c r="T129" s="3">
        <f>317.6+(1024-297)+(0+(0-0))+0-0-0</f>
        <v>1044.5999999999999</v>
      </c>
      <c r="U129" s="3">
        <f>314.8+(985.9-251.7)+(-0.160548+(-0.502809--0.128367))+0-0-0</f>
        <v>1048.4650099999999</v>
      </c>
      <c r="V129" s="3">
        <f>314+(980.5-257.2)+(-0.32028+(-1.00011--0.262344))+0-0-0</f>
        <v>1036.2419539999999</v>
      </c>
      <c r="W129" s="3">
        <f>312.9+(1009.6-322.5)+(-0.478737+(-1.544688--0.493425))+0-0-0</f>
        <v>998.47</v>
      </c>
      <c r="X129" s="3">
        <f>173.9+(1075.5-271.7)+(-0.620823+(-3.839535--0.969969))+0-0-0</f>
        <v>974.20961099999988</v>
      </c>
      <c r="Y129" s="3">
        <f>0+(1067.8-135.3)+(0+(-0.544578--0.069003))+0-0-0</f>
        <v>932.02442499999995</v>
      </c>
      <c r="Z129" s="3">
        <f>0+(1172.4-183)+(0+(-1.793772--0.27999))+0-0-0</f>
        <v>987.8862180000001</v>
      </c>
      <c r="AA129" s="3">
        <f>0+(1158.6-149.1)+(0+(-4.136202--0.532287))+0-0-0</f>
        <v>1005.8960849999999</v>
      </c>
      <c r="AB129" s="3">
        <f>0+(1163.5-173.5)+(0+(-1.780155--0.265455))+0-0-0</f>
        <v>988.48530000000005</v>
      </c>
      <c r="AC129" s="3">
        <f>0+(1188.4-224.1)+(0+(-1.212168--0.228582))+0-0-0</f>
        <v>963.31641400000012</v>
      </c>
      <c r="AD129">
        <v>1035.8999999999999</v>
      </c>
      <c r="AE129" s="3">
        <f>0+(1187.1-151.2)+(0+(0-0))+0-0-0</f>
        <v>1035.8999999999999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0+(1154.7-229.9)+(0+(-0.588897--0.117249))+0-0-0</f>
        <v>924.32835200000011</v>
      </c>
      <c r="G130" s="3">
        <f>0+(1235-329.9)+(0+(-1.88955--0.504747))+0-0-0</f>
        <v>903.71519699999999</v>
      </c>
      <c r="H130" s="3">
        <f>0+(1222.9-333.2)+(0+(-1.247358--0.339864))+0-0-0</f>
        <v>888.792506</v>
      </c>
      <c r="I130" s="3">
        <f>0+(1169.2-328.4)+(0+(1.192584-0.334968))+0-0-0</f>
        <v>841.65761600000008</v>
      </c>
      <c r="J130" s="3">
        <f>0+(920.7-80.9)+(0+(-0.939114--0.082518))+0-0-0</f>
        <v>838.9434040000001</v>
      </c>
      <c r="K130" s="3">
        <f>0+(961.6-141)+(0+(0.490416-0.07191))+0-0-0</f>
        <v>821.018506</v>
      </c>
      <c r="L130" s="3">
        <f>0+(1034.3-194.7)+(0+(-3.164958--0.595782))+0-0-0</f>
        <v>837.03082399999994</v>
      </c>
      <c r="M130" s="3">
        <f>0+(1000-133)+(0+(0-0))+0-0-0</f>
        <v>867</v>
      </c>
      <c r="N130" s="3">
        <f>0+(943.7-1.1)+(0+(0-0))+0-0-0</f>
        <v>942.6</v>
      </c>
      <c r="O130" s="3">
        <f>0+(1002.9-41.7)+(0+(-0.511479--0.021267))+0-0-0</f>
        <v>960.70978799999989</v>
      </c>
      <c r="P130" s="3">
        <f>0+(1074.3-77.2)+(0+(-0.547893--0.039372))+0-0-0</f>
        <v>996.59147899999994</v>
      </c>
      <c r="Q130" s="3">
        <f>81.8+(1018.3-74.3)+(-0.083436+(-1.038666--0.075786))+0-0-0</f>
        <v>1024.753684</v>
      </c>
      <c r="R130" s="3">
        <f>104.1+(948.3-50.1)+(-0.212364+(-1.934532--0.102204))+0-0-0</f>
        <v>1000.2553079999999</v>
      </c>
      <c r="S130" s="3">
        <f>150.2+(885.9-46.6)+(-0.38301+(-2.259045--0.11883))+0-0-0</f>
        <v>986.97677499999998</v>
      </c>
      <c r="T130" s="3">
        <f>143.9+(856.9-14.2)+(-0.220167+(-1.311057--0.021726))+0-0-0</f>
        <v>985.0905019999999</v>
      </c>
      <c r="U130" s="3">
        <f>110.2+(875.4-9.3)+(0+(0-0))+0-0-0</f>
        <v>976.30000000000007</v>
      </c>
      <c r="V130" s="3">
        <f>59.7+(907.8-0)+(-0.030447+(-0.462978-0))+0-0-0</f>
        <v>967.006575</v>
      </c>
      <c r="W130" s="3">
        <f>9.5+(925.8-0)+(-0.03876+(-3.777264-0))+0-0-0</f>
        <v>931.48397599999998</v>
      </c>
      <c r="X130" s="3">
        <f>0+(909.6-0)+(0+(-2.783376-0))+0-0-0</f>
        <v>906.81662400000005</v>
      </c>
      <c r="Y130" s="3">
        <f>0+(878.1-0)+(0+(-2.239155-0))+0-0-0</f>
        <v>875.86084500000004</v>
      </c>
      <c r="Z130" s="3">
        <f>44.7+(884.6-5.7)+(0.022797+(0.451146-0.002907))+0-0-0</f>
        <v>924.07103600000005</v>
      </c>
      <c r="AA130" s="3">
        <f>114.5+(878.9-20.2)+(-0.291975+(-2.241195--0.05151))+0-0-0</f>
        <v>970.7183399999999</v>
      </c>
      <c r="AB130" s="3">
        <f>115.4+(854.7-18.7)+(-0.29427+(-2.179485--0.047685))+0-0-0</f>
        <v>948.97393</v>
      </c>
      <c r="AC130" s="3">
        <f>115.3+(886.1-67)+(-0.058803+(-0.451911--0.03417))+0-0-0</f>
        <v>933.92345599999999</v>
      </c>
      <c r="AD130">
        <v>991.80000000000007</v>
      </c>
      <c r="AE130" s="3">
        <f>115+(910.7-33.9)+(0+(0-0))+0-0-0</f>
        <v>991.80000000000007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48.2+(887.2-28.9)+(-0.024582+(-0.452472--0.014739))+0-0-0</f>
        <v>906.03768500000012</v>
      </c>
      <c r="G131" s="3">
        <f>45+(874.8-42.4)+(-0.0459+(-0.892296--0.043248))+0-0-0</f>
        <v>876.50505199999998</v>
      </c>
      <c r="H131" s="3">
        <f>20.7+(820.3-2.7)+(0+(0-0))+0-0-0</f>
        <v>838.3</v>
      </c>
      <c r="I131" s="3">
        <f>0+(829.3-8.4)+(0+(-1.691772--0.017136))+0-0-0</f>
        <v>819.22536400000001</v>
      </c>
      <c r="J131" s="3">
        <f>0+(871-55.5)+(0+(-2.22105--0.141525))+0-0-0</f>
        <v>813.42047500000001</v>
      </c>
      <c r="K131" s="3">
        <f>0+(871.5-84.3)+(0+(-2.222325--0.214965))+0-0-0</f>
        <v>785.1926400000001</v>
      </c>
      <c r="L131" s="3">
        <f>0+(874.4-123.6)+(0+(-2.22972--0.31518))+0-0-0</f>
        <v>748.88545999999997</v>
      </c>
      <c r="M131" s="3">
        <f>0+(923-164.1)+(0+(-1.41219--0.251073))+0-0-0</f>
        <v>757.73888299999999</v>
      </c>
      <c r="N131" s="3">
        <f>0+(948.8-170.1)+(0+(-0.967776--0.173502))+0-0-0</f>
        <v>777.90572599999996</v>
      </c>
      <c r="O131" s="3">
        <f>0+(965.7-147.5)+(0+(-0.492507--0.075225))+0-0-0</f>
        <v>817.78271800000005</v>
      </c>
      <c r="P131" s="3">
        <f>0+(986.1-148.8)+(0+(0.502911-0.075888))+0-0-0</f>
        <v>837.72702299999992</v>
      </c>
      <c r="Q131" s="3">
        <f>0+(989.7-133.8)+(0+(0-0))+0-0-0</f>
        <v>855.90000000000009</v>
      </c>
      <c r="R131" s="3">
        <f>0+(977.4-107.7)+(0+(0.498474-0.054927))+0-0-0</f>
        <v>870.1435469999999</v>
      </c>
      <c r="S131" s="3">
        <f>0+(922-61.1)+(0+(1.41066-0.093483))+0-0-0</f>
        <v>862.21717699999999</v>
      </c>
      <c r="T131" s="3">
        <f>0+(863.6-6.1)+(0+(-0.440436--0.003111))+0-0-0</f>
        <v>857.06267500000001</v>
      </c>
      <c r="U131" s="3">
        <f>0+(895.9-42)+(0+(-1.827636--0.08568))+0-0-0</f>
        <v>852.15804400000002</v>
      </c>
      <c r="V131" s="3">
        <f>0+(915.4-67.9)+(0+(-0.466854--0.034629))+0-0-0</f>
        <v>847.06777499999998</v>
      </c>
      <c r="W131" s="3">
        <f>0+(896.1-56.2)+(0+(-2.285055--0.14331))+0-0-0</f>
        <v>837.75825499999996</v>
      </c>
      <c r="X131" s="3">
        <f>0+(856.5-31.7)+(0+(-0.87363--0.032334))+0-0-0</f>
        <v>823.9587039999999</v>
      </c>
      <c r="Y131" s="3">
        <f>0+(839.8-34.9)+(0+(-1.713192--0.071196))+0-0-0</f>
        <v>803.25800400000003</v>
      </c>
      <c r="Z131" s="3">
        <f>0+(884.3-27.9)+(0+(-1.803972--0.056916))+0-0-0</f>
        <v>854.65294399999993</v>
      </c>
      <c r="AA131" s="3">
        <f>0+(954.3-40.3)+(0+(-1.460079--0.061659))+0-0-0</f>
        <v>912.60158000000001</v>
      </c>
      <c r="AB131" s="3">
        <f>0+(947.8-43)+(0+(-1.450134--0.06579))+0-0-0</f>
        <v>903.4156559999999</v>
      </c>
      <c r="AC131" s="3">
        <f>0+(940.5-45.3)+(0+(0-0))+0-0-0</f>
        <v>895.2</v>
      </c>
      <c r="AD131">
        <v>935.7</v>
      </c>
      <c r="AE131" s="3">
        <f>0+(992.5-56.8)+(0+(0-0))+0-0-0</f>
        <v>935.7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0+(967.8-130.6)+(0+(-1.974312--0.266424))+0-0-0</f>
        <v>835.49211199999991</v>
      </c>
      <c r="G132" s="3">
        <f>0+(975.1-159.5)+(0+(-1.491903--0.244035))+0-0-0</f>
        <v>814.35213199999998</v>
      </c>
      <c r="H132" s="3">
        <f>0+(1028.1-228.6)+(0+(0-0))+0-0-0</f>
        <v>799.49999999999989</v>
      </c>
      <c r="I132" s="3">
        <f>0+(1096.9-319.5)+(0+(-2.237676--0.65178))+0-0-0</f>
        <v>775.81410400000004</v>
      </c>
      <c r="J132" s="3">
        <f>0+(1092-316.4)+(0+(-2.22768--0.645456))+0-0-0</f>
        <v>774.01777600000003</v>
      </c>
      <c r="K132" s="3">
        <f>0+(1130.2-367)+(0+(-2.88201--0.93585))+0-0-0</f>
        <v>761.25384000000008</v>
      </c>
      <c r="L132" s="3">
        <f>0+(1201-422)+(0+(-3.06255--1.0761))+0-0-0</f>
        <v>777.01355000000001</v>
      </c>
      <c r="M132" s="3">
        <f>0+(1243.6-393.2)+(0+(1.902708-0.601596))+0-0-0</f>
        <v>851.70111199999985</v>
      </c>
      <c r="N132" s="3">
        <f>0+(1244.7-313.5)+(0+(-0.634797--0.159885))+0-0-0</f>
        <v>930.72508800000003</v>
      </c>
      <c r="O132" s="3">
        <f>91.7+(1203-316)+(0+(0-0))+0-0-0</f>
        <v>978.7</v>
      </c>
      <c r="P132" s="3">
        <f>319.7+(1102.7-405.7)+(0.326094+(1.124754-0.413814))+0-0-0</f>
        <v>1017.737034</v>
      </c>
      <c r="Q132" s="3">
        <f>330.6+(1000.8-307.4)+(0.337212+(1.020816-0.313548))+0-0-0</f>
        <v>1025.04448</v>
      </c>
      <c r="R132" s="3">
        <f>330.5+(969.8-253.2)+(0.33711+(0.989196-0.258264))+0-0-0</f>
        <v>1048.168042</v>
      </c>
      <c r="S132" s="3">
        <f>328.9+(1016.9-300.3)+(-0.167739+(-0.518619--0.153153))+0-0-0</f>
        <v>1044.966795</v>
      </c>
      <c r="T132" s="3">
        <f>329+(1083.9-359.8)+(-0.33558+(-1.105578--0.366996))+0-0-0</f>
        <v>1052.0258380000002</v>
      </c>
      <c r="U132" s="3">
        <f>327+(1078.2-354)+(0.50031+(1.649646-0.54162))+0-0-0</f>
        <v>1052.8083360000001</v>
      </c>
      <c r="V132" s="3">
        <f>325.9+(1028.1-309.4)+(0+(0-0))+0-0-0</f>
        <v>1044.5999999999999</v>
      </c>
      <c r="W132" s="3">
        <f>324.4+(1062-357)+(0.165444+(0.54162-0.18207))+0-0-0</f>
        <v>1029.9249940000002</v>
      </c>
      <c r="X132" s="3">
        <f>324.5+(1087.4-411.9)+(-0.496485+(-1.663722--0.630207))+0-0-0</f>
        <v>998.47000000000014</v>
      </c>
      <c r="Y132" s="3">
        <f>322.7+(1150.5-505.6)+(-0.329154+(-1.17351--0.515712))+0-0-0</f>
        <v>966.61304799999994</v>
      </c>
      <c r="Z132" s="3">
        <f>315.5+(1226.9-533.9)+(0.160905+(0.625719-0.272289))+0-0-0</f>
        <v>1009.0143350000001</v>
      </c>
      <c r="AA132" s="3">
        <f>317.3+(1144.6-413.3)+(-0.323646+(-1.167492--0.421566))+0-0-0</f>
        <v>1047.5304279999998</v>
      </c>
      <c r="AB132" s="3">
        <f>323.6+(1129.3-427.1)+(-0.330072+(-1.151886--0.435642))+0-0-0</f>
        <v>1024.753684</v>
      </c>
      <c r="AC132" s="3">
        <f>325.4+(1152.4-478)+(0.331908+(1.175448-0.48756))+0-0-0</f>
        <v>1000.8197960000001</v>
      </c>
      <c r="AD132">
        <v>1045.7</v>
      </c>
      <c r="AE132" s="3">
        <f>312+(1144.2-410.5)+(0+(0-0))+0-0-0</f>
        <v>1045.7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322+(1118.3-488.1)+(-0.8211+(-2.851665--1.244655))+0-0-0</f>
        <v>949.77188999999998</v>
      </c>
      <c r="G133" s="3">
        <f>325+(1176.2-616.8)+(-0.49725+(-1.799586--0.943704))+0-0-0</f>
        <v>883.04686800000013</v>
      </c>
      <c r="H133" s="3">
        <f>325.7+(1247.6-683.5)+(-0.830535+(-3.18138--1.742925))+0-0-0</f>
        <v>887.53100999999992</v>
      </c>
      <c r="I133" s="3">
        <f>326.4+(1279.5-723)+(-0.665856+(-2.61018--1.47492))+0-0-0</f>
        <v>881.098884</v>
      </c>
      <c r="J133" s="3">
        <f>326.5+(1184.6-637)+(-0.499545+(-1.812438--0.97461))+0-0-0</f>
        <v>872.76262699999995</v>
      </c>
      <c r="K133" s="3">
        <f>273+(1158.8-575.8)+(-0.41769+(-1.772964--0.880974))+0-0-0</f>
        <v>854.69032000000004</v>
      </c>
      <c r="L133" s="3">
        <f>135.1+(1124.4-441.3)+(-0.137802+(-1.146888--0.450126))+0-0-0</f>
        <v>817.36543600000016</v>
      </c>
      <c r="M133" s="3">
        <f>135.1+(1185.3-458)+(0.137802+(1.209006-0.46716))+0-0-0</f>
        <v>863.27964799999995</v>
      </c>
      <c r="N133" s="3">
        <f>189.4+(1202.4-495.4)+(-0.386376+(-2.452896--1.010616))+0-0-0</f>
        <v>894.57134400000007</v>
      </c>
      <c r="O133" s="3">
        <f>283.7+(1196.2-551.1)+(0.144687+(0.610062-0.281061))+0-0-0</f>
        <v>929.27368799999999</v>
      </c>
      <c r="P133" s="3">
        <f>331.7+(1205.4-649)+(0.338334+(1.229508-0.66198))+0-0-0</f>
        <v>889.00586200000009</v>
      </c>
      <c r="Q133" s="3">
        <f>330+(1101-442.8)+(0.5049+(1.68453-0.677484))+0-0-0</f>
        <v>989.71194600000001</v>
      </c>
      <c r="R133" s="3">
        <f>326.8+(1047.2-306.4)+(0.166668+(0.534072-0.156264))+0-0-0</f>
        <v>1068.1444760000002</v>
      </c>
      <c r="S133" s="3">
        <f>324.7+(967.8-238.1)+(-0.165597+(-0.493578--0.121431))+0-0-0</f>
        <v>1053.8622559999999</v>
      </c>
      <c r="T133" s="3">
        <f>323.5+(942.1-204.5)+(0+(0-0))+0-0-0</f>
        <v>1061.0999999999999</v>
      </c>
      <c r="U133" s="3">
        <f>322.7+(937-208.2)+(-0.493731+(-1.43361--0.318546))+0-0-0</f>
        <v>1049.8912049999999</v>
      </c>
      <c r="V133" s="3">
        <f>323.4+(945.9-224.6)+(-0.329868+(-0.964818--0.229092))+0-0-0</f>
        <v>1043.6344059999999</v>
      </c>
      <c r="W133" s="3">
        <f>323.6+(922.4-216.1)+(-0.165036+(-0.470424--0.110211))+0-0-0</f>
        <v>1029.3747510000001</v>
      </c>
      <c r="X133" s="3">
        <f>309.1+(1035.4-340.5)+(-0.315282+(-1.056108--0.34731))+0-0-0</f>
        <v>1002.9759200000001</v>
      </c>
      <c r="Y133" s="3">
        <f>215.6+(1061.4-306.3)+(0.219912+(1.082628-0.312426))+0-0-0</f>
        <v>971.69011400000011</v>
      </c>
      <c r="Z133" s="3">
        <f>320.1+(1123.5-420)+(-0.163251+(-0.572985--0.2142))+0-0-0</f>
        <v>1023.0779640000001</v>
      </c>
      <c r="AA133" s="3">
        <f>335.2+(993-279.6)+(-0.85476+(-2.53215--0.71298))+0-0-0</f>
        <v>1045.92607</v>
      </c>
      <c r="AB133" s="3">
        <f>335.9+(977.4-288)+(0.171309+(0.498474-0.14688))+0-0-0</f>
        <v>1025.822903</v>
      </c>
      <c r="AC133" s="3">
        <f>339+(1012.7-340.8)+(-0.17289+(-0.516477--0.173808))+0-0-0</f>
        <v>1010.384441</v>
      </c>
      <c r="AD133">
        <v>1072.5</v>
      </c>
      <c r="AE133" s="3">
        <f>336+(1018-281.5)+(0+(0-0))+0-0-0</f>
        <v>1072.5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340.5+(1051.6-426.2)+(-0.868275+(-2.68158--1.08681))+0-0-0</f>
        <v>963.4369549999999</v>
      </c>
      <c r="G134" s="3">
        <f>302.4+(1066.9-440)+(-0.616896+(-2.176476--0.8976))+0-0-0</f>
        <v>927.4042280000001</v>
      </c>
      <c r="H134" s="3">
        <f>149.2+(1152-399.3)+(-0.532644+(-4.11264--1.425501))+0-0-0</f>
        <v>898.68021700000008</v>
      </c>
      <c r="I134" s="3">
        <f>131.4+(1120.8-365.5)+(-0.067014+(-0.571608--0.186405))+0-0-0</f>
        <v>886.24778299999991</v>
      </c>
      <c r="J134" s="3">
        <f>131.1+(1113.7-359.6)+(-0.066861+(-0.567987--0.183396))+0-0-0</f>
        <v>884.74854800000003</v>
      </c>
      <c r="K134" s="3">
        <f>131.2+(1075.2-348.5)+(-0.066912+(-0.548352--0.177735))+0-0-0</f>
        <v>857.46247100000005</v>
      </c>
      <c r="L134" s="3">
        <f>131+(1124-404)+(-0.13362+(-1.14648--0.41208))+0-0-0</f>
        <v>850.13198</v>
      </c>
      <c r="M134" s="3">
        <f>131.6+(1095.6-331)+(0.201348+(1.676268-0.50643))+0-0-0</f>
        <v>897.5711859999999</v>
      </c>
      <c r="N134" s="3">
        <f>150.6+(1149.8-352.2)+(-0.076806+(-0.586398--0.179622))+0-0-0</f>
        <v>947.71641799999998</v>
      </c>
      <c r="O134" s="3">
        <f>306.5+(1195.9-496.1)+(0.468945+(1.829727-0.759033))+0-0-0</f>
        <v>1007.839639</v>
      </c>
      <c r="P134" s="3">
        <f>328.5+(1078-364.5)+(0.33507+(1.09956-0.37179))+0-0-0</f>
        <v>1043.0628400000001</v>
      </c>
      <c r="Q134" s="3">
        <f>321.3+(978.2-239.1)+(0.327726+(0.997764-0.243882))+0-0-0</f>
        <v>1061.4816080000001</v>
      </c>
      <c r="R134" s="3">
        <f>320.9+(915.9-164.2)+(0+(0-0))+0-0-0</f>
        <v>1072.5999999999999</v>
      </c>
      <c r="S134" s="3">
        <f>319.7+(833.1-105.8)+(-0.163047+(-0.424881--0.053958))+0-0-0</f>
        <v>1046.46603</v>
      </c>
      <c r="T134" s="3">
        <f>312.4+(835.4-89.5)+(-0.318648+(-0.852108--0.09129))+0-0-0</f>
        <v>1057.220534</v>
      </c>
      <c r="U134" s="3">
        <f>308.5+(809.1-65.3)+(-0.62934+(-1.650564--0.133212))+0-0-0</f>
        <v>1050.1533080000002</v>
      </c>
      <c r="V134" s="3">
        <f>311.1+(829.1-102.5)+(-0.158661+(-0.422841--0.052275))+0-0-0</f>
        <v>1037.1707730000001</v>
      </c>
      <c r="W134" s="3">
        <f>310.3+(878.1-177.1)+(-0.316506+(-0.895662--0.180642))+0-0-0</f>
        <v>1010.268474</v>
      </c>
      <c r="X134" s="3">
        <f>310.2+(971-295.5)+(-0.474606+(-1.48563--0.452115))+0-0-0</f>
        <v>984.19187900000009</v>
      </c>
      <c r="Y134" s="3">
        <f>312.7+(914.8-251.8)+(0.318954+(0.933096-0.256836))+0-0-0</f>
        <v>976.69521400000008</v>
      </c>
      <c r="Z134" s="3">
        <f>316+(1058.1-346.4)+(0.16116+(0.539631-0.176664))+0-0-0</f>
        <v>1028.2241269999997</v>
      </c>
      <c r="AA134" s="3">
        <f>332.4+(998.2-273.1)+(-0.169524+(-0.509082--0.139281))+0-0-0</f>
        <v>1056.960675</v>
      </c>
      <c r="AB134" s="3">
        <f>334.2+(991.3-283.3)+(-0.340884+(-1.011126--0.288966))+0-0-0</f>
        <v>1041.1369560000001</v>
      </c>
      <c r="AC134" s="3">
        <f>335.1+(949.2-263.5)+(0.170901+(0.484092-0.134385))+0-0-0</f>
        <v>1021.3206080000001</v>
      </c>
      <c r="AD134">
        <v>1084</v>
      </c>
      <c r="AE134" s="3">
        <f>332+(1000.4-248.4)+(0+(0-0))+0-0-0</f>
        <v>1084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310.5+(967.2-303.9)+(0.158355+(0.493272-0.154989))+0-0-0</f>
        <v>974.29663800000003</v>
      </c>
      <c r="G135" s="3">
        <f>155.3+(1135.2-351.6)+(-0.316812+(-2.315808--0.717264))+0-0-0</f>
        <v>936.98464400000012</v>
      </c>
      <c r="H135" s="3">
        <f>118.7+(1117.8-329.7)+(-0.060537+(-0.570078--0.168147))+0-0-0</f>
        <v>906.33753200000001</v>
      </c>
      <c r="I135" s="3">
        <f>113.3+(1120.7-334.9)+(0.173349+(1.714671-0.512397))+0-0-0</f>
        <v>900.47562300000004</v>
      </c>
      <c r="J135" s="3">
        <f>113.8+(1118.5-322.2)+(-0.058038+(-0.570435--0.164322))+0-0-0</f>
        <v>909.63584899999989</v>
      </c>
      <c r="K135" s="3">
        <f>53.7+(1131.9-306.8)+(0+(0-0))+0-0-0</f>
        <v>878.80000000000018</v>
      </c>
      <c r="L135" s="3">
        <f>42.1+(1117.4-303.1)+(-0.042942+(-1.139748--0.309162))+0-0-0</f>
        <v>855.52647200000013</v>
      </c>
      <c r="M135" s="3">
        <f>78.2+(1101.3-282)+(0+(0-0))+0-0-0</f>
        <v>897.5</v>
      </c>
      <c r="N135" s="3">
        <f>155+(1117.3-275.1)+(0.07905+(0.569823-0.140301))+0-0-0</f>
        <v>997.70857199999989</v>
      </c>
      <c r="O135" s="3">
        <f>212.3+(1162.6-375.7)+(0.433092+(2.371704-0.766428))+0-0-0</f>
        <v>1001.2383679999998</v>
      </c>
      <c r="P135" s="3">
        <f>328.6+(1096.7-377.6)+(0.335172+(1.118634-0.385152))+0-0-0</f>
        <v>1048.768654</v>
      </c>
      <c r="Q135" s="3">
        <f>327+(1017-275)+(0.33354+(1.03734-0.2805))+0-0-0</f>
        <v>1070.0903800000001</v>
      </c>
      <c r="R135" s="3">
        <f>325.8+(907-171.5)+(-0.498474+(-1.38771--0.262395))+0-0-0</f>
        <v>1059.676211</v>
      </c>
      <c r="S135" s="3">
        <f>323.9+(798.8-79.5)+(-0.330378+(-0.814776--0.08109))+0-0-0</f>
        <v>1042.1359359999999</v>
      </c>
      <c r="T135" s="3">
        <f>323.1+(787.7-53.2)+(0+(0-0))+0-0-0</f>
        <v>1057.5999999999999</v>
      </c>
      <c r="U135" s="3">
        <f>320.4+(791-62.8)+(-0.326808+(-0.80682--0.064056))+0-0-0</f>
        <v>1047.5304279999998</v>
      </c>
      <c r="V135" s="3">
        <f>319.1+(755.7-36.5)+(0.488223+(1.156221-0.055845))+0-0-0</f>
        <v>1039.8885990000001</v>
      </c>
      <c r="W135" s="3">
        <f>319.4+(778.6-74.7)+(-0.488682+(-1.191258--0.114291))+0-0-0</f>
        <v>1021.7343509999999</v>
      </c>
      <c r="X135" s="3">
        <f>320.5+(828-153.7)+(-0.65382+(-1.68912--0.313548))+0-0-0</f>
        <v>992.77060799999992</v>
      </c>
      <c r="Y135" s="3">
        <f>324.8+(909.3-255.4)+(0.165648+(0.463743-0.130254))+0-0-0</f>
        <v>979.19913700000006</v>
      </c>
      <c r="Z135" s="3">
        <f>329.6+(955.4-243.8)+(0.168096+(0.487254-0.124338))+0-0-0</f>
        <v>1041.7310119999997</v>
      </c>
      <c r="AA135" s="3">
        <f>332.7+(933-205.5)+(-0.848385+(-2.37915--0.524025))+0-0-0</f>
        <v>1057.49649</v>
      </c>
      <c r="AB135" s="3">
        <f>333.9+(951.4-233.8)+(-0.340578+(-0.970428--0.238476))+0-0-0</f>
        <v>1050.4274700000001</v>
      </c>
      <c r="AC135" s="3">
        <f>335.8+(958-257.7)+(-0.171258+(-0.48858--0.131427))+0-0-0</f>
        <v>1035.5715889999999</v>
      </c>
      <c r="AD135">
        <v>1078.8</v>
      </c>
      <c r="AE135" s="3">
        <f>334+(940.2-195.4)+(0+(0-0))+0-0-0</f>
        <v>1078.8000000000002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334.4+(962.1-321.1)+(-0.170544+(-0.490671--0.163761))+0-0-0</f>
        <v>974.90254600000003</v>
      </c>
      <c r="G136" s="3">
        <f>335.2+(1049.8-458.8)+(-0.85476+(-2.67699--1.16994))+0-0-0</f>
        <v>923.83819000000005</v>
      </c>
      <c r="H136" s="3">
        <f>336.1+(1067.3-507.6)+(-0.342822+(-1.088646--0.517752))+0-0-0</f>
        <v>894.88628399999993</v>
      </c>
      <c r="I136" s="3">
        <f>338.1+(1110-546.1)+(0.172431+(0.5661-0.278511))+0-0-0</f>
        <v>902.46001999999999</v>
      </c>
      <c r="J136" s="3">
        <f>329.6+(1108.7-524.1)+(-0.168096+(-0.565437--0.267291))+0-0-0</f>
        <v>913.73375800000008</v>
      </c>
      <c r="K136" s="3">
        <f>189.9+(1118.9-423.8)+(-0.096849+(-0.570639--0.216138))+0-0-0</f>
        <v>884.54865000000007</v>
      </c>
      <c r="L136" s="3">
        <f>131.2+(1123.2-379.9)+(-0.200736+(-1.718496--0.581247))+0-0-0</f>
        <v>873.162015</v>
      </c>
      <c r="M136" s="3">
        <f>131.2+(1080.2-305.8)+(0.066912+(0.550902-0.155958))+0-0-0</f>
        <v>906.06185600000015</v>
      </c>
      <c r="N136" s="3">
        <f>235.9+(1118.4-390.7)+(0+(0-0))+0-0-0</f>
        <v>963.6</v>
      </c>
      <c r="O136" s="3">
        <f>331.2+(1153.5-461.2)+(0.506736+(1.764855-0.705636))+0-0-0</f>
        <v>1025.065955</v>
      </c>
      <c r="P136" s="3">
        <f>329.2+(1062.9-344.3)+(0.335784+(1.084158-0.351186))+0-0-0</f>
        <v>1048.8687560000001</v>
      </c>
      <c r="Q136" s="3">
        <f>326.1+(958.7-217.6)+(0.498933+(1.466811-0.332928))+0-0-0</f>
        <v>1068.8328160000001</v>
      </c>
      <c r="R136" s="3">
        <f>324+(875.9-134.1)+(-0.16524+(-0.446709--0.068391))+0-0-0</f>
        <v>1065.2564419999999</v>
      </c>
      <c r="S136" s="3">
        <f>321.4+(795.4-68.6)+(-0.163914+(-0.405654--0.034986))+0-0-0</f>
        <v>1047.6654179999998</v>
      </c>
      <c r="T136" s="3">
        <f>320.1+(805.8-73.3)+(0.163251+(0.410958-0.037383))+0-0-0</f>
        <v>1053.1368259999999</v>
      </c>
      <c r="U136" s="3">
        <f>318.8+(813.4-85.8)+(0.162588+(0.414834-0.043758))+0-0-0</f>
        <v>1046.9336640000001</v>
      </c>
      <c r="V136" s="3">
        <f>317.2+(769-55.6)+(-0.161772+(-0.39219--0.028356))+0-0-0</f>
        <v>1030.074394</v>
      </c>
      <c r="W136" s="3">
        <f>316.4+(813.2-109.9)+(-0.484092+(-1.244196--0.168147))+0-0-0</f>
        <v>1018.139859</v>
      </c>
      <c r="X136" s="3">
        <f>316.7+(922.5-235)+(-0.161517+(-0.470475--0.11985))+0-0-0</f>
        <v>1003.687858</v>
      </c>
      <c r="Y136" s="3">
        <f>318.5+(1018.7-343.4)+(-0.32487+(-1.039074--0.350268))+0-0-0</f>
        <v>992.78632400000004</v>
      </c>
      <c r="Z136" s="3">
        <f>323.8+(1009-292.4)+(-0.330276+(-1.02918--0.298248))+0-0-0</f>
        <v>1039.338792</v>
      </c>
      <c r="AA136" s="3">
        <f>328.1+(955.2-224.5)+(-0.501993+(-1.461456--0.343485))+0-0-0</f>
        <v>1057.1800360000002</v>
      </c>
      <c r="AB136" s="3">
        <f>327.8+(1058.3-331.7)+(0.167178+(0.539733-0.169167))+0-0-0</f>
        <v>1054.9377439999998</v>
      </c>
      <c r="AC136" s="3">
        <f>331.1+(1099.3-389.8)+(-0.168861+(-0.560643--0.198798))+0-0-0</f>
        <v>1040.0692939999999</v>
      </c>
      <c r="AD136">
        <v>1079</v>
      </c>
      <c r="AE136" s="3">
        <f>325+(947.6-193.6)+(0+(0-0))+0-0-0</f>
        <v>1079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330.7+(1078.7-402.8)+(0+(0-0))+0-0-0</f>
        <v>1006.6000000000001</v>
      </c>
      <c r="G137" s="3">
        <f>298.4+(1097.1-435.2)+(-0.152184+(-0.559521--0.221952))+0-0-0</f>
        <v>959.81024699999989</v>
      </c>
      <c r="H137" s="3">
        <f>205.7+(1116.4-393.1)+(-0.209814+(-1.138728--0.400962))+0-0-0</f>
        <v>928.05241999999998</v>
      </c>
      <c r="I137" s="3">
        <f>218+(1094.8-398.1)+(-0.22236+(-1.116696--0.406062))+0-0-0</f>
        <v>913.76700599999992</v>
      </c>
      <c r="J137" s="3">
        <f>299.3+(1067.9-445.4)+(-0.610572+(-2.178516--0.908616))+0-0-0</f>
        <v>919.91952800000013</v>
      </c>
      <c r="K137" s="3">
        <f>186.1+(1119.1-411.2)+(-0.379644+(-2.282964--0.838848))+0-0-0</f>
        <v>892.17623999999989</v>
      </c>
      <c r="L137" s="3">
        <f>137.1+(1109.1-387.9)+(-0.279684+(-2.262564--0.791316))+0-0-0</f>
        <v>856.54906799999992</v>
      </c>
      <c r="M137" s="3">
        <f>137.1+(1116.6-385.4)+(0.349605+(2.84733-0.98277))+0-0-0</f>
        <v>870.51416499999993</v>
      </c>
      <c r="N137" s="3">
        <f>200.5+(1112.6-392.5)+(0.20451+(1.134852-0.40035))+0-0-0</f>
        <v>921.53901199999996</v>
      </c>
      <c r="O137" s="3">
        <f>316.8+(1076.7-407.4)+(0.323136+(1.098234-0.415548))+0-0-0</f>
        <v>987.1058220000001</v>
      </c>
      <c r="P137" s="3">
        <f>316.9+(989.7-300.4)+(0.484857+(1.514241-0.459612))+0-0-0</f>
        <v>1007.7394860000001</v>
      </c>
      <c r="Q137" s="3">
        <f>316.3+(910.3-207.7)+(0.645252+(1.857012-0.423708))+0-0-0</f>
        <v>1020.9785559999999</v>
      </c>
      <c r="R137" s="3">
        <f>315.6+(854.3-139.9)+(0.321912+(0.871386-0.142698))+0-0-0</f>
        <v>1031.0506</v>
      </c>
      <c r="S137" s="3">
        <f>314.6+(787.5-87.3)+(-0.160446+(-0.401625--0.044523))+0-0-0</f>
        <v>1014.282452</v>
      </c>
      <c r="T137" s="3">
        <f>317.1+(763.2-63.8)+(-0.161721+(-0.389232--0.032538))+0-0-0</f>
        <v>1015.9815850000001</v>
      </c>
      <c r="U137" s="3">
        <f>315.9+(772-66.6)+(-0.644436+(-1.57488--0.135864))+0-0-0</f>
        <v>1019.216548</v>
      </c>
      <c r="V137" s="3">
        <f>313.9+(812.6-119.5)+(0.160089+(0.414426-0.060945))+0-0-0</f>
        <v>1007.51357</v>
      </c>
      <c r="W137" s="3">
        <f>315.5+(872-196.8)+(-0.482715+(-1.33416--0.301104))+0-0-0</f>
        <v>989.18422900000007</v>
      </c>
      <c r="X137" s="3">
        <f>306.2+(939.3-275.5)+(-0.312324+(-0.958086--0.28101))+0-0-0</f>
        <v>969.01059999999995</v>
      </c>
      <c r="Y137" s="3">
        <f>250.6+(986.1-293.7)+(0+(0-0))+0-0-0</f>
        <v>943.00000000000011</v>
      </c>
      <c r="Z137" s="3">
        <f>285.1+(946.6-225.8)+(-0.290802+(-0.965532--0.230316))+0-0-0</f>
        <v>1004.873982</v>
      </c>
      <c r="AA137" s="3">
        <f>324.9+(914.5-214.4)+(-0.828495+(-2.331975--0.54672))+0-0-0</f>
        <v>1022.38625</v>
      </c>
      <c r="AB137" s="3">
        <f>328.1+(981.4-292.2)+(-0.334662+(-1.001028--0.298044))+0-0-0</f>
        <v>1016.2623540000001</v>
      </c>
      <c r="AC137" s="3">
        <f>329+(1022.9-344.5)+(-0.33558+(-1.043358--0.35139))+0-0-0</f>
        <v>1006.372452</v>
      </c>
      <c r="AD137">
        <v>1035.2</v>
      </c>
      <c r="AE137" s="3">
        <f>331+(915.5-211.3)+(0+(0-0))+0-0-0</f>
        <v>1035.2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329.5+(977-328.3)+(-0.168045+(-0.49827--0.167433))+0-0-0</f>
        <v>977.70111800000006</v>
      </c>
      <c r="G138" s="3">
        <f>329+(981-381.3)+(-0.33558+(-1.00062--0.388926))+0-0-0</f>
        <v>927.75272600000005</v>
      </c>
      <c r="H138" s="3">
        <f>326.4+(995.8-416)+(-0.998784+(-3.047148--1.27296))+0-0-0</f>
        <v>903.42702799999995</v>
      </c>
      <c r="I138" s="3">
        <f>277.1+(1014.1-404.2)+(0.282642+(1.034382-0.412284))+0-0-0</f>
        <v>887.90474000000006</v>
      </c>
      <c r="J138" s="3">
        <f>262.9+(1049.8-421.4)+(-0.134079+(-0.535398--0.214914))+0-0-0</f>
        <v>890.84543699999995</v>
      </c>
      <c r="K138" s="3">
        <f>179.5+(1090.7-418.1)+(-0.091545+(-0.556257--0.213231))+0-0-0</f>
        <v>851.66542900000002</v>
      </c>
      <c r="L138" s="3">
        <f>131.7+(1072.8-408.8)+(-0.268668+(-2.188512--0.833952))+0-0-0</f>
        <v>794.07677200000001</v>
      </c>
      <c r="M138" s="3">
        <f>131.1+(1049.9-382.3)+(-0.267444+(-2.141796--0.779892))+0-0-0</f>
        <v>797.07065200000011</v>
      </c>
      <c r="N138" s="3">
        <f>131.1+(1021.9-332.8)+(0+(0-0))+0-0-0</f>
        <v>820.19999999999993</v>
      </c>
      <c r="O138" s="3">
        <f>131.1+(1043.7-317.8)+(0+(0-0))+0-0-0</f>
        <v>857.00000000000011</v>
      </c>
      <c r="P138" s="3">
        <f>168.3+(1062-344.5)+(-0.171666+(-1.08324--0.35139))+0-0-0</f>
        <v>884.89648399999999</v>
      </c>
      <c r="Q138" s="3">
        <f>277.2+(1042.4-415.2)+(0.282744+(1.063248-0.423504))+0-0-0</f>
        <v>905.32248800000013</v>
      </c>
      <c r="R138" s="3">
        <f>294.2+(1037.3-415)+(-0.300084+(-1.058046--0.4233))+0-0-0</f>
        <v>915.56516999999997</v>
      </c>
      <c r="S138" s="3">
        <f>304+(1027.5-420.3)+(0.15504+(0.524025-0.214353))+0-0-0</f>
        <v>911.66471200000001</v>
      </c>
      <c r="T138" s="3">
        <f>319.9+(1063.7-471.9)+(-0.163149+(-0.542487--0.240669))+0-0-0</f>
        <v>911.23503300000004</v>
      </c>
      <c r="U138" s="3">
        <f>317.2+(1084.3-491.6)+(-0.161772+(-0.552993--0.250716))+0-0-0</f>
        <v>909.43595099999982</v>
      </c>
      <c r="V138" s="3">
        <f>315.7+(1080.2-501.9)+(0+(0-0))+0-0-0</f>
        <v>894</v>
      </c>
      <c r="W138" s="3">
        <f>315.5+(1128.8-546.1)+(-0.64362+(-2.302752--1.114044))+0-0-0</f>
        <v>896.36767199999997</v>
      </c>
      <c r="X138" s="3">
        <f>285.5+(1073.5-482.3)+(-0.29121+(-1.09497--0.491946))+0-0-0</f>
        <v>875.80576600000006</v>
      </c>
      <c r="Y138" s="3">
        <f>243+(1103.5-479.4)+(-0.24786+(-1.12557--0.488988))+0-0-0</f>
        <v>866.21555799999999</v>
      </c>
      <c r="Z138" s="3">
        <f>294.1+(1218.2-566.8)+(-0.299982+(-1.242564--0.578136))+0-0-0</f>
        <v>944.53559000000007</v>
      </c>
      <c r="AA138" s="3">
        <f>314+(1171-504.8)+(-0.48042+(-1.79163--0.772344))+0-0-0</f>
        <v>978.7002940000001</v>
      </c>
      <c r="AB138" s="3">
        <f>323.9+(1158.1-513.4)+(-0.330378+(-1.181262--0.523668))+0-0-0</f>
        <v>967.6120279999999</v>
      </c>
      <c r="AC138" s="3">
        <f>327.6+(1178.9-555.2)+(0.167076+(0.601239-0.283152))+0-0-0</f>
        <v>951.78516300000001</v>
      </c>
      <c r="AD138">
        <v>978.59999999999991</v>
      </c>
      <c r="AE138" s="3">
        <f>328+(1169.8-519.2)+(0+(0-0))+0-0-0</f>
        <v>978.59999999999991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330.2+(1150.6-573.4)+(0+(0-0))+0-0-0</f>
        <v>907.39999999999986</v>
      </c>
      <c r="G139" s="3">
        <f>288.1+(1211.3-635.3)+(-0.146931+(-0.617763--0.324003))+0-0-0</f>
        <v>863.65930900000001</v>
      </c>
      <c r="H139" s="3">
        <f>220.3+(1244.3-628.8)+(-0.112353+(-0.634593--0.320688))+0-0-0</f>
        <v>835.37374199999999</v>
      </c>
      <c r="I139" s="3">
        <f>220+(1232.3-615.1)+(-0.2244+(-1.256946--0.627402))+0-0-0</f>
        <v>836.34605599999998</v>
      </c>
      <c r="J139" s="3">
        <f>219.5+(1183.4-536.1)+(-0.335835+(-1.810602--0.820233))+0-0-0</f>
        <v>865.47379600000011</v>
      </c>
      <c r="K139" s="3">
        <f>116.2+(1144.9-424)+(-0.177786+(-1.751697--0.64872))+0-0-0</f>
        <v>835.81923700000016</v>
      </c>
      <c r="L139" s="3">
        <f>87.1+(1125.8-378.2)+(-0.044421+(-0.574158--0.192882))+0-0-0</f>
        <v>834.27430299999992</v>
      </c>
      <c r="M139" s="3">
        <f>88.2+(1186-393.7)+(0.089964+(1.20972-0.401574))+0-0-0</f>
        <v>881.39810999999997</v>
      </c>
      <c r="N139" s="3">
        <f>111+(1167.5-326)+(0.16983+(1.786275-0.49878))+0-0-0</f>
        <v>953.95732499999997</v>
      </c>
      <c r="O139" s="3">
        <f>227.8+(1277-498.4)+(0.116178+(0.65127-0.254184))+0-0-0</f>
        <v>1006.9132640000001</v>
      </c>
      <c r="P139" s="3">
        <f>330.1+(1236.4-518.5)+(0+(0-0))+0-0-0</f>
        <v>1048</v>
      </c>
      <c r="Q139" s="3">
        <f>329.5+(1189.4-462)+(0.168045+(0.606594-0.23562))+0-0-0</f>
        <v>1057.4390190000001</v>
      </c>
      <c r="R139" s="3">
        <f>326.5+(1133.5-383.2)+(0.166515+(0.578085-0.195432))+0-0-0</f>
        <v>1077.349168</v>
      </c>
      <c r="S139" s="3">
        <f>325.2+(1162.5-395.2)+(-0.165852+(-0.592875--0.201552))+0-0-0</f>
        <v>1091.9428250000001</v>
      </c>
      <c r="T139" s="3">
        <f>323.5+(1197.1-390.2)+(0.164985+(0.610521-0.199002))+0-0-0</f>
        <v>1130.9765039999997</v>
      </c>
      <c r="U139" s="3">
        <f>321.3+(1145.1-404.4)+(-0.491589+(-1.752003--0.618732))+0-0-0</f>
        <v>1060.3751400000001</v>
      </c>
      <c r="V139" s="3">
        <f>320+(1149.4-418.1)+(-0.1632+(-0.586194--0.213231))+0-0-0</f>
        <v>1050.7638370000002</v>
      </c>
      <c r="W139" s="3">
        <f>324.3+(1190.8-485.3)+(-0.661572+(-2.429232--0.990012))+0-0-0</f>
        <v>1027.699208</v>
      </c>
      <c r="X139" s="3">
        <f>328+(1212.4-535.8)+(0+(0-0))+0-0-0</f>
        <v>1004.6000000000001</v>
      </c>
      <c r="Y139" s="3">
        <f>315.9+(1246.6-588.3)+(0.483327+(1.907298-0.900099))+0-0-0</f>
        <v>975.69052599999998</v>
      </c>
      <c r="Z139" s="3">
        <f>315.3+(1214.8-494.4)+(0.160803+(0.619548-0.252144))+0-0-0</f>
        <v>1036.2282070000001</v>
      </c>
      <c r="AA139" s="3">
        <f>312+(1162.5-421.8)+(-0.47736+(-1.778625--0.645354))+0-0-0</f>
        <v>1051.089369</v>
      </c>
      <c r="AB139" s="3">
        <f>316.1+(1213.8-489.5)+(0.483633+(1.857114-0.748935))+0-0-0</f>
        <v>1041.991812</v>
      </c>
      <c r="AC139" s="3">
        <f>314.9+(1201.3-482.1)+(-0.160599+(-0.612663--0.245871))+0-0-0</f>
        <v>1033.5726089999998</v>
      </c>
      <c r="AD139">
        <v>1038</v>
      </c>
      <c r="AE139" s="3">
        <f>317+(1149.2-428.2)+(0+(0-0))+0-0-0</f>
        <v>1038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315.7+(1151.7-488.4)+(0.161007+(0.587367-0.249084))+0-0-0</f>
        <v>979.49928999999997</v>
      </c>
      <c r="G140" s="3">
        <f>310.4+(1218-593.4)+(0+(0-0))+0-0-0</f>
        <v>935</v>
      </c>
      <c r="H140" s="3">
        <f>256.1+(1271.8-623.5)+(0.391833+(1.945854-0.953955))+0-0-0</f>
        <v>905.78373199999999</v>
      </c>
      <c r="I140" s="3">
        <f>254.9+(1303.4-663.2)+(0+(0-0))+0-0-0</f>
        <v>895.1</v>
      </c>
      <c r="J140" s="3">
        <f>255.4+(1323.7-665.5)+(0.130254+(0.675087-0.339405))+0-0-0</f>
        <v>914.06593600000008</v>
      </c>
      <c r="K140" s="3">
        <f>162.9+(1315.2-596.3)+(-0.083079+(-0.670752--0.304113))+0-0-0</f>
        <v>881.35028200000011</v>
      </c>
      <c r="L140" s="3">
        <f>131.2+(1301.7-557.6)+(-0.468384+(-4.647069--1.990632))+0-0-0</f>
        <v>872.17517899999996</v>
      </c>
      <c r="M140" s="3">
        <f>131.1+(1311.1-544.9)+(0.066861+(0.668661-0.277899))+0-0-0</f>
        <v>897.75762299999997</v>
      </c>
      <c r="N140" s="3">
        <f>131.1+(1313.4-479.1)+(0.133722+(1.339668-0.488682))+0-0-0</f>
        <v>966.38470800000005</v>
      </c>
      <c r="O140" s="3">
        <f>221.5+(1329.8-542.2)+(0.112965+(0.678198-0.276522))+0-0-0</f>
        <v>1009.6146409999999</v>
      </c>
      <c r="P140" s="3">
        <f>331.1+(1381.5-649.6)+(0.337722+(1.40913-0.662592))+0-0-0</f>
        <v>1064.0842600000001</v>
      </c>
      <c r="Q140" s="3">
        <f>329.9+(1366.5-598.7)+(-0.168249+(-0.696915--0.305337))+0-0-0</f>
        <v>1097.1401729999998</v>
      </c>
      <c r="R140" s="3">
        <f>330+(1324.5-563.6)+(0+(0-0))+0-0-0</f>
        <v>1090.9000000000001</v>
      </c>
      <c r="S140" s="3">
        <f>326.1+(1336.3-599.6)+(-0.831555+(-3.407565--1.52898))+0-0-0</f>
        <v>1060.08986</v>
      </c>
      <c r="T140" s="3">
        <f>328.8+(1344.2-597.6)+(-0.335376+(-1.371084--0.609552))+0-0-0</f>
        <v>1074.3030920000001</v>
      </c>
      <c r="U140" s="3">
        <f>328.9+(1334.2-600.4)+(-0.167739+(-0.680442--0.306204))+0-0-0</f>
        <v>1062.158023</v>
      </c>
      <c r="V140" s="3">
        <f>330.6+(1271.8-553.8)+(0.505818+(1.945854-0.847314))+0-0-0</f>
        <v>1050.204358</v>
      </c>
      <c r="W140" s="3">
        <f>329.2+(1282.3-581.9)+(-0.167892+(-0.653973--0.296769))+0-0-0</f>
        <v>1029.0749039999998</v>
      </c>
      <c r="X140" s="3">
        <f>326.8+(1256.6-596.6)+(-0.666672+(-2.563464--1.217064))+2.9-0-0</f>
        <v>987.68692799999997</v>
      </c>
      <c r="Y140" s="3">
        <f>328.8+(1310.5-670.4)+(-0.503064+(-2.005065--1.025712))+0-0-0</f>
        <v>967.41758300000004</v>
      </c>
      <c r="Z140" s="3">
        <f>329.6+(1242.1-556.5)+(-0.168096+(-0.633471--0.283815))+0-0-0</f>
        <v>1014.682248</v>
      </c>
      <c r="AA140" s="3">
        <f>326.6+(1189.5-486.3)+(-0.666264+(-2.42658--0.992052))+0-0-0</f>
        <v>1027.6992080000002</v>
      </c>
      <c r="AB140" s="3">
        <f>328.8+(1173.5-482.9)+(-0.335376+(-1.19697--0.492558))+0-0-0</f>
        <v>1018.360212</v>
      </c>
      <c r="AC140" s="3">
        <f>330.3+(1145.7-470.3)+(0+(0-0))+0-0-0</f>
        <v>1005.7</v>
      </c>
      <c r="AD140">
        <v>1027</v>
      </c>
      <c r="AE140" s="3">
        <f>329+(1205-507)+(0+(0-0))+0-0-0</f>
        <v>1027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327.6+(1100-457)+(-1.002456+(-3.366--1.39842))+0-0-0</f>
        <v>967.62996399999997</v>
      </c>
      <c r="G141" s="3">
        <f>324.1+(1134.3-529.4)+(-0.826455+(-2.892465--1.34997))+0-0-0</f>
        <v>926.63104999999996</v>
      </c>
      <c r="H141" s="3">
        <f>177.7+(1191.5-469)+(-0.090627+(-0.607665--0.23919))+0-0-0</f>
        <v>899.74089800000002</v>
      </c>
      <c r="I141" s="3">
        <f>128.2+(1229.9-468.9)+(0.065382+(0.627249-0.239139))+0-0-0</f>
        <v>889.65349200000003</v>
      </c>
      <c r="J141" s="3">
        <f>140+(1221.5-458)+(-0.1428+(-1.24593--0.46716))+0-0-0</f>
        <v>902.57843000000003</v>
      </c>
      <c r="K141" s="3">
        <f>140.1+(1181-445.7)+(-0.214353+(-1.80693--0.681921))+0-0-0</f>
        <v>874.06063799999993</v>
      </c>
      <c r="L141" s="3">
        <f>140.1+(1173.3-445.9)+(-0.428706+(-3.590298--1.364454))+0-0-0</f>
        <v>864.84545000000003</v>
      </c>
      <c r="M141" s="3">
        <f>140+(1179.3-417.1)+(-0.1428+(-1.202886--0.425442))+0-0-0</f>
        <v>901.27975599999991</v>
      </c>
      <c r="N141" s="3">
        <f>130+(1241.6-410.8)+(0.1326+(1.266432-0.419016))+0-0-0</f>
        <v>961.78001599999993</v>
      </c>
      <c r="O141" s="3">
        <f>173.5+(1288.5-457.9)+(-0.265455+(-1.971405--0.700587))+0-0-0</f>
        <v>1002.563727</v>
      </c>
      <c r="P141" s="3">
        <f>298.2+(1223.1-488.2)+(0.152082+(0.623781-0.248982))+0-0-0</f>
        <v>1033.6268809999999</v>
      </c>
      <c r="Q141" s="3">
        <f>330.3+(1154.3-400.4)+(0+(0-0))+0-0-0</f>
        <v>1084.2</v>
      </c>
      <c r="R141" s="3">
        <f>329.8+(1118.3-399.8)+(-0.168198+(-0.570333--0.203898))+0-0-0</f>
        <v>1047.765367</v>
      </c>
      <c r="S141" s="3">
        <f>329.7+(1137.4-414.6)+(-0.336294+(-1.160148--0.422892))+0-0-0</f>
        <v>1051.4264499999999</v>
      </c>
      <c r="T141" s="3">
        <f>264.1+(1172.5-385.8)+(0.134691+(0.597975-0.196758))+0-0-0</f>
        <v>1051.3359080000002</v>
      </c>
      <c r="U141" s="3">
        <f>220+(1216.3-387.7)+(-0.3366+(-1.860939--0.593181))+0-0-0</f>
        <v>1046.9956419999999</v>
      </c>
      <c r="V141" s="3">
        <f>243.6+(1190.3-409.2)+(-0.62118+(-3.035265--1.04346))+0-0-0</f>
        <v>1022.0870149999998</v>
      </c>
      <c r="W141" s="3">
        <f>260.8+(1232.6-494.5)+(-0.532032+(-2.514504--1.00878))+0-0-0</f>
        <v>996.86224399999992</v>
      </c>
      <c r="X141" s="3">
        <f>260.3+(1162.7-464.7)+(-0.796518+(-3.557862--1.421982))+0-0-0</f>
        <v>955.36760199999992</v>
      </c>
      <c r="Y141" s="3">
        <f>149.5+(1099.7-300.3)+(-0.15249+(-1.121694--0.306306))+0-0-0</f>
        <v>947.93212200000005</v>
      </c>
      <c r="Z141" s="3">
        <f>247.1+(1168.9-425.4)+(0+(0-0))+0-0-0</f>
        <v>990.60000000000014</v>
      </c>
      <c r="AA141" s="3">
        <f>326.1+(1109-449.7)+(-1.164177+(-3.95913--1.605429))+0-0-0</f>
        <v>981.88212199999998</v>
      </c>
      <c r="AB141" s="3">
        <f>329.9+(1091.3-425.7)+(-0.504747+(-1.669689--0.651321))+0-0-0</f>
        <v>993.97688499999992</v>
      </c>
      <c r="AC141" s="3">
        <f>328.7+(1142.3-487.7)+(-0.335274+(-1.165146--0.497454))+0-0-0</f>
        <v>982.29703399999994</v>
      </c>
      <c r="AD141">
        <v>953.2</v>
      </c>
      <c r="AE141" s="3">
        <f>327+(1172.4-546.2)+(0+(0-0))+0-0-0</f>
        <v>953.2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213.1+(1210-474.3)+(-0.217362+(-1.2342--0.483786))+0-0-0</f>
        <v>947.83222400000011</v>
      </c>
      <c r="G142" s="3">
        <f>137+(1278.8-512.1)+(-0.06987+(-0.652188--0.261171))+0-0-0</f>
        <v>903.23911299999997</v>
      </c>
      <c r="H142" s="3">
        <f>137.1+(1259.1-507.7)+(0+(0-0))+0-0-0</f>
        <v>888.49999999999989</v>
      </c>
      <c r="I142" s="3">
        <f>137+(1188.9-454.6)+(-0.20961+(-1.819017--0.695538))+0-0-0</f>
        <v>869.9669110000001</v>
      </c>
      <c r="J142" s="3">
        <f>137.2+(1178.9-421.6)+(0.209916+(1.803717-0.645048))+0-0-0</f>
        <v>895.86858500000005</v>
      </c>
      <c r="K142" s="3">
        <f>137.2+(1171.7-436.6)+(-0.279888+(-2.390268--0.890664))+0-0-0</f>
        <v>870.52050799999995</v>
      </c>
      <c r="L142" s="3">
        <f>137.1+(1177.3-448.3)+(-0.209763+(-1.801269--0.685899))+0-0-0</f>
        <v>864.77486699999997</v>
      </c>
      <c r="M142" s="3">
        <f>137+(1219.7-457.9)+(0.06987+(0.622047-0.233529))+0-0-0</f>
        <v>899.25838800000008</v>
      </c>
      <c r="N142" s="3">
        <f>137.1+(1271.7-449.7)+(0.069921+(0.648567-0.229347))+0-0-0</f>
        <v>959.58914100000004</v>
      </c>
      <c r="O142" s="3">
        <f>199.9+(1291.7-503)+(0.203898+(1.317534-0.51306))+0-0-0</f>
        <v>989.60837200000003</v>
      </c>
      <c r="P142" s="3">
        <f>216.3+(1344.2-530)+(0+(0-0))+0-0-0</f>
        <v>1030.5</v>
      </c>
      <c r="Q142" s="3">
        <f>330.4+(1355.8-625.2)+(0.337008+(1.382916-0.637704))+0-0-0</f>
        <v>1062.08222</v>
      </c>
      <c r="R142" s="3">
        <f>330.6+(1343.9-612.5)+(0.168606+(0.685389-0.312375))+0-0-0</f>
        <v>1062.54162</v>
      </c>
      <c r="S142" s="3">
        <f>328.6+(1396.7-651.4)+(-0.502758+(-2.136951--0.996642))+0-0-0</f>
        <v>1072.2569330000001</v>
      </c>
      <c r="T142" s="3">
        <f>330+(1425.9-675.4)+(0+(0-0))+0-0-0</f>
        <v>1080.5</v>
      </c>
      <c r="U142" s="3">
        <f>329.4+(1439.2-697.9)+(-0.503982+(-2.201976--1.067787))+0-0-0</f>
        <v>1069.061829</v>
      </c>
      <c r="V142" s="3">
        <f>328.4+(1466.1-712.1)+(-0.83742+(-3.738555--1.815855))+0-0-0</f>
        <v>1079.6398799999999</v>
      </c>
      <c r="W142" s="3">
        <f>329+(1421.5-701.5)+(-0.50337+(-2.174895--1.073295))+0-0-0</f>
        <v>1047.3950299999999</v>
      </c>
      <c r="X142" s="3">
        <f>308.2+(1331.2-645.4)+(-0.314364+(-1.357824--0.658308))+0-0-0</f>
        <v>992.98612000000003</v>
      </c>
      <c r="Y142" s="3">
        <f>221.5+(1336.3-553.2)+(0.22593+(1.363026-0.564264))+0-0-0</f>
        <v>1005.6246919999999</v>
      </c>
      <c r="Z142" s="3">
        <f>328.2+(1368.5-657.2)+(-0.669528+(-2.79174--1.340688))+0-0-0</f>
        <v>1037.37942</v>
      </c>
      <c r="AA142" s="3">
        <f>299.8+(1337.6-602.8)+(-0.76449+(-3.41088--1.53714))+0-0-0</f>
        <v>1031.9617699999999</v>
      </c>
      <c r="AB142" s="3">
        <f>259.6+(1382.2-602.5)+(-0.264792+(-1.409844--0.61455))+0-0-0</f>
        <v>1038.2399140000002</v>
      </c>
      <c r="AC142" s="3">
        <f>239.4+(1356.2-591.2)+(-0.244188+(-1.383324--0.603024))+0-0-0</f>
        <v>1003.375512</v>
      </c>
      <c r="AD142">
        <v>1001.3</v>
      </c>
      <c r="AE142" s="3">
        <f>330+(1321-649.7)+(0+(0-0))+0-0-0</f>
        <v>1001.3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130.1+(1313-507.1)+(-0.331755+(-3.34815--1.293105))+0-0-0</f>
        <v>933.61320000000001</v>
      </c>
      <c r="G143" s="3">
        <f>88.7+(1331.5-523.8)+(-0.226185+(-3.395325--1.33569))+0-0-0</f>
        <v>894.11418000000015</v>
      </c>
      <c r="H143" s="3">
        <f>85+(1399.7-611.4)+(-0.21675+(-3.569235--1.55907))+0-0-0</f>
        <v>871.07308500000011</v>
      </c>
      <c r="I143" s="3">
        <f>85+(1385.1-603.5)+(-0.0867+(-1.412802--0.61557))+0-0-0</f>
        <v>865.71606799999995</v>
      </c>
      <c r="J143" s="3">
        <f>85+(1287.3-500.7)+(-0.13005+(-1.969569--0.766071))+0-0-0</f>
        <v>870.26645199999996</v>
      </c>
      <c r="K143" s="3">
        <f>85+(1172.2-408)+(-0.04335+(-0.597822--0.20808))+0-0-0</f>
        <v>848.76690800000006</v>
      </c>
      <c r="L143" s="3">
        <f>85.1+(1175.9-408)+(-0.260406+(-3.598254--1.24848))+0-0-0</f>
        <v>850.3898200000001</v>
      </c>
      <c r="M143" s="3">
        <f>87.2+(1197.7-409.2)+(0+(0-0))+0-0-0</f>
        <v>875.7</v>
      </c>
      <c r="N143" s="3">
        <f>134.2+(1318.1-547.7)+(0+(0-0))+0-0-0</f>
        <v>904.59999999999991</v>
      </c>
      <c r="O143" s="3">
        <f>230+(1303.6-561.6)+(0+(0-0))+0-0-0</f>
        <v>971.99999999999989</v>
      </c>
      <c r="P143" s="3">
        <f>229.5+(1288.6-514.6)+(-0.117045+(-0.657186--0.262446))+0-0-0</f>
        <v>1002.9882149999999</v>
      </c>
      <c r="Q143" s="3">
        <f>230.7+(1360.6-564)+(0.470628+(2.775624-1.15056))+0-0-0</f>
        <v>1029.3956920000001</v>
      </c>
      <c r="R143" s="3">
        <f>228.3+(1409.1-614)+(-0.465732+(-2.874564--1.25256))+0-0-0</f>
        <v>1021.3122639999999</v>
      </c>
      <c r="S143" s="3">
        <f>226.3+(1420.4-635)+(-0.577065+(-3.62202--1.61925))+0-0-0</f>
        <v>1009.120165</v>
      </c>
      <c r="T143" s="3">
        <f>240.4+(1404.5-635.1)+(-0.122604+(-0.716295--0.323901))+0-0-0</f>
        <v>1009.285002</v>
      </c>
      <c r="U143" s="3">
        <f>272.3+(1374.6-634.2)+(-0.277746+(-1.402092--0.646884))+0-0-0</f>
        <v>1011.6670459999998</v>
      </c>
      <c r="V143" s="3">
        <f>199.4+(1349.3-546.3)+(-0.101694+(-0.688143--0.278613))+0-0-0</f>
        <v>1001.888776</v>
      </c>
      <c r="W143" s="3">
        <f>151.6+(1313.8-488.7)+(-0.154632+(-1.340076--0.498474))+0-0-0</f>
        <v>975.70376599999997</v>
      </c>
      <c r="X143" s="3">
        <f>131.1+(1273.2-469)+(-0.200583+(-1.947996--0.71757))+0-0-0</f>
        <v>933.86899100000005</v>
      </c>
      <c r="Y143" s="3">
        <f>183.8+(1269.3-539.9)+(-0.187476+(-1.294686--0.550698))+0-0-0</f>
        <v>912.26853600000004</v>
      </c>
      <c r="Z143" s="3">
        <f>272.8+(1280.6-588.6)+(-0.556512+(-2.612424--1.200744))+0-0-0</f>
        <v>962.83180799999991</v>
      </c>
      <c r="AA143" s="3">
        <f>271.3+(1250.1-539.6)+(-0.691815+(-3.187755--1.37598))+0-0-0</f>
        <v>979.29640999999992</v>
      </c>
      <c r="AB143" s="3">
        <f>235.1+(1209.2-480.1)+(-0.359703+(-1.850076--0.734553))+0-0-0</f>
        <v>962.72477400000002</v>
      </c>
      <c r="AC143" s="3">
        <f>202.1+(1226-467.9)+(-0.206142+(-1.25052--0.477258))+0-0-0</f>
        <v>959.220596</v>
      </c>
      <c r="AD143">
        <v>997.7</v>
      </c>
      <c r="AE143" s="3">
        <f>272+(1281.2-555.5)+(0+(0-0))+0-0-0</f>
        <v>997.7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149.6+(1243.1-462.3)+(-0.38148+(-3.169905--1.178865))+0-0-0</f>
        <v>928.02747999999997</v>
      </c>
      <c r="G144" s="3">
        <f>132.1+(1075.9-328.5)+(-0.134742+(-1.097418--0.33507))+0-0-0</f>
        <v>878.60291000000007</v>
      </c>
      <c r="H144" s="3">
        <f>132.1+(1068-341.1)+(-0.067371+(-0.54468--0.173961))+0-0-0</f>
        <v>858.56191000000001</v>
      </c>
      <c r="I144" s="3">
        <f>103.8+(1134.2-380.8)+(0+(0-0))+0-0-0</f>
        <v>857.2</v>
      </c>
      <c r="J144" s="3">
        <f>88.1+(1122.5-345.9)+(0.134793+(1.717425-0.529227))+0-0-0</f>
        <v>866.02299100000005</v>
      </c>
      <c r="K144" s="3">
        <f>88.1+(1154.5-400.6)+(-0.314517+(-4.121565--1.430142))+0-0-0</f>
        <v>838.99405999999999</v>
      </c>
      <c r="L144" s="3">
        <f>88.1+(1184.5-438)+(-0.269586+(-3.62457--1.34028))+0-0-0</f>
        <v>832.04612400000008</v>
      </c>
      <c r="M144" s="3">
        <f>87.1+(1186.2-419.2)+(-0.044421+(-0.604962--0.213792))+0-0-0</f>
        <v>853.66440899999998</v>
      </c>
      <c r="N144" s="3">
        <f>87.2+(1262.4-447.6)+(0.133416+(1.931472-0.684828))+0-0-0</f>
        <v>903.38006000000007</v>
      </c>
      <c r="O144" s="3">
        <f>98.8+(1382.2-544.2)+(-0.100776+(-1.409844--0.555084))+0-0-0</f>
        <v>935.8444639999999</v>
      </c>
      <c r="P144" s="3">
        <f>214.9+(1305.6-520.4)+(0.109599+(0.665856-0.265404))+0-0-0</f>
        <v>1000.6100509999999</v>
      </c>
      <c r="Q144" s="3">
        <f>219.9+(1280.6-479.9)+(-0.224298+(-1.306212--0.489498))+0-0-0</f>
        <v>1019.5589879999999</v>
      </c>
      <c r="R144" s="3">
        <f>219.9+(1279.6-512.1)+(-0.112149+(-0.652596--0.261171))+0-0-0</f>
        <v>986.89642599999991</v>
      </c>
      <c r="S144" s="3">
        <f>218.8+(1314.5-568.4)+(-0.223176+(-1.34079--0.579768))+0-0-0</f>
        <v>963.9158020000001</v>
      </c>
      <c r="T144" s="3">
        <f>219.5+(1326.7-584.7)+(0.111945+(0.676617-0.298197))+0-0-0</f>
        <v>961.990365</v>
      </c>
      <c r="U144" s="3">
        <f>217.8+(1351-601.2)+(-0.222156+(-1.37802--0.613224))+0-0-0</f>
        <v>966.61304799999994</v>
      </c>
      <c r="V144" s="3">
        <f>210.5+(1325.9-591.1)+(0+(0-0))+0-0-0</f>
        <v>945.30000000000007</v>
      </c>
      <c r="W144" s="3">
        <f>209.8+(1281.4-551.9)+(-0.106998+(-0.653514--0.281469))+0-0-0</f>
        <v>938.82095700000013</v>
      </c>
      <c r="X144" s="3">
        <f>167.1+(1219.9-469.9)+(-0.596547+(-4.355043--1.677543))+0-0-0</f>
        <v>913.82595300000014</v>
      </c>
      <c r="Y144" s="3">
        <f>88.1+(1229.3-408.3)+(-0.089862+(-1.253886--0.416466))+0-0-0</f>
        <v>908.17271800000003</v>
      </c>
      <c r="Z144" s="3">
        <f>216.1+(1244.8-500.5)+(-0.661266+(-3.809088--1.53153))+0-0-0</f>
        <v>957.46117600000002</v>
      </c>
      <c r="AA144" s="3">
        <f>168.7+(1273.8-465.8)+(-0.086037+(-0.649638--0.237558))+0-0-0</f>
        <v>976.20188300000007</v>
      </c>
      <c r="AB144" s="3">
        <f>90.1+(1318.7-437.1)+(0+(0-0))+0-0-0</f>
        <v>971.7</v>
      </c>
      <c r="AC144" s="3">
        <f>71.1+(1305.4-419.1)+(0+(0-0))+0-0-0</f>
        <v>957.40000000000009</v>
      </c>
      <c r="AD144">
        <v>964.8</v>
      </c>
      <c r="AE144" s="3">
        <f>234+(1274.3-543.5)+(0+(0-0))+0-0-0</f>
        <v>964.8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44.9+(1291.6-409.5)+(0.022899+(0.658716-0.208845))+0-0-0</f>
        <v>927.47276999999985</v>
      </c>
      <c r="G145" s="3">
        <f>45+(1263.9-422)+(-0.02295+(-0.644589--0.21522))+0-0-0</f>
        <v>886.4476810000001</v>
      </c>
      <c r="H145" s="3">
        <f>45+(1278.8-467.6)+(0.02295+(0.652188-0.238476))+0-0-0</f>
        <v>856.63666199999989</v>
      </c>
      <c r="I145" s="3">
        <f>45+(1223.5-426.5)+(-0.02295+(-0.623985--0.217515))+0-0-0</f>
        <v>841.57057999999995</v>
      </c>
      <c r="J145" s="3">
        <f>45+(1197.8-395.1)+(0.0459+(1.221756-0.403002))+0-0-0</f>
        <v>848.5646539999999</v>
      </c>
      <c r="K145" s="3">
        <f>45.1+(1219.7-455.1)+(-0.115005+(-3.110235--1.160505))+0-0-0</f>
        <v>807.635265</v>
      </c>
      <c r="L145" s="3">
        <f>45+(1171-460.3)+(-0.0459+(-1.19442--0.469506))+0-0-0</f>
        <v>754.92918600000007</v>
      </c>
      <c r="M145" s="3">
        <f>45+(1170.3-463.3)+(0.02295+(0.596853-0.236283))+0-0-0</f>
        <v>752.38351999999998</v>
      </c>
      <c r="N145" s="3">
        <f>45+(1136-409.9)+(-0.02295+(-0.57936--0.209049))+0-0-0</f>
        <v>770.70673899999997</v>
      </c>
      <c r="O145" s="3">
        <f>45+(1173-417.7)+(0.02295+(0.59823-0.213027))+0-0-0</f>
        <v>800.70815299999992</v>
      </c>
      <c r="P145" s="3">
        <f>55.6+(1193.9-425.4)+(0.113424+(2.435556-0.867816))+0-0-0</f>
        <v>825.7811640000001</v>
      </c>
      <c r="Q145" s="3">
        <f>107.5+(1159.2-415.6)+(0.164475+(1.773576-0.635868))+0-0-0</f>
        <v>852.40218300000004</v>
      </c>
      <c r="R145" s="3">
        <f>104.9+(1190.2-432.3)+(-0.106998+(-1.214004--0.440946))+0-0-0</f>
        <v>861.9199440000001</v>
      </c>
      <c r="S145" s="3">
        <f>104.9+(1149.5-396.7)+(-0.053499+(-0.586245--0.202317))+0-0-0</f>
        <v>857.26257299999997</v>
      </c>
      <c r="T145" s="3">
        <f>107.3+(1121.3-378)+(0.109446+(1.143726-0.38556))+0-0-0</f>
        <v>851.46761199999992</v>
      </c>
      <c r="U145" s="3">
        <f>110.2+(1144.7-406.7)+(-0.112404+(-1.167594--0.414834))+0-0-0</f>
        <v>847.334836</v>
      </c>
      <c r="V145" s="3">
        <f>112+(1145.8-421.4)+(-0.11424+(-1.168716--0.429828))+0-0-0</f>
        <v>835.54687200000001</v>
      </c>
      <c r="W145" s="3">
        <f>110.6+(1128.4-408.1)+(-0.112812+(-1.150968--0.416262))+0-0-0</f>
        <v>830.05248200000005</v>
      </c>
      <c r="X145" s="3">
        <f>101.8+(1049.6-326)+(-0.25959+(-2.67648--0.8313))+0-0-0</f>
        <v>823.29522999999983</v>
      </c>
      <c r="Y145" s="3">
        <f>86.1+(1005-262.5)+(0+(0-0))+0-0-0</f>
        <v>828.6</v>
      </c>
      <c r="Z145" s="3">
        <f>220.2+(953-283.3)+(0.112302+(0.48603-0.144483))+0-0-0</f>
        <v>890.35384900000008</v>
      </c>
      <c r="AA145" s="3">
        <f>217.9+(972.1-291.7)+(-0.444516+(-1.983084--0.595068))+0-0-0</f>
        <v>896.46746800000005</v>
      </c>
      <c r="AB145" s="3">
        <f>218.6+(996.3-309.6)+(-0.334458+(-1.524339--0.473688))+0-0-0</f>
        <v>903.9148909999999</v>
      </c>
      <c r="AC145" s="3">
        <f>220.5+(1021.8-345.3)+(0.22491+(1.042236-0.352206))+0-0-0</f>
        <v>897.91494</v>
      </c>
      <c r="AD145">
        <v>905.4</v>
      </c>
      <c r="AE145" s="3">
        <f>220+(974.5-289.1)+(0+(0-0))+0-0-0</f>
        <v>905.4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220.2+(1019.3-378.7)+(0.112302+(0.519843-0.193137))+0-0-0</f>
        <v>861.2390079999999</v>
      </c>
      <c r="G146" s="3">
        <f>219.5+(1040-437.5)+(-0.22389+(-1.0608--0.44625))+0-0-0</f>
        <v>821.16156000000001</v>
      </c>
      <c r="H146" s="3">
        <f>219.7+(1032.1-453.6)+(-0.224094+(-1.052742--0.462672))+0-0-0</f>
        <v>797.38583599999981</v>
      </c>
      <c r="I146" s="3">
        <f>220.5+(992.3-420.2)+(0.112455+(0.506073-0.214302))+0-0-0</f>
        <v>793.0042259999999</v>
      </c>
      <c r="J146" s="3">
        <f>220.2+(1016.5-432)+(-0.112302+(-0.518415--0.22032))+0-0-0</f>
        <v>804.28960300000006</v>
      </c>
      <c r="K146" s="3">
        <f>119.9+(1065.5-385.8)+(-0.305745+(-2.717025--0.98379))+0-0-0</f>
        <v>797.56101999999998</v>
      </c>
      <c r="L146" s="3">
        <f>87.3+(1121.9-405.9)+(-0.089046+(-1.144338--0.414018))+0-0-0</f>
        <v>802.48063400000012</v>
      </c>
      <c r="M146" s="3">
        <f>85.3+(1066.7-306.9)+(0.087006+(1.088034-0.313038))+0-0-0</f>
        <v>845.96200199999998</v>
      </c>
      <c r="N146" s="3">
        <f>139.6+(1127.8-352)+(0.35598+(2.87589-0.8976))+0-0-0</f>
        <v>917.73426999999992</v>
      </c>
      <c r="O146" s="3">
        <f>330.4+(1088.3-447.9)+(0.168504+(0.555033-0.228429))+0-0-0</f>
        <v>971.29510799999991</v>
      </c>
      <c r="P146" s="3">
        <f>330.6+(1142.4-462.1)+(0.168606+(0.582624-0.235671))+0-0-0</f>
        <v>1011.4155590000001</v>
      </c>
      <c r="Q146" s="3">
        <f>330.7+(1161.1-457.8)+(0+(0-0))+0-0-0</f>
        <v>1034</v>
      </c>
      <c r="R146" s="3">
        <f>332+(1129.4-425)+(0.50796+(1.727982-0.65025))+0-0-0</f>
        <v>1037.9856920000002</v>
      </c>
      <c r="S146" s="3">
        <f>330.3+(1023-346.2)+(-0.168453+(-0.52173--0.176562))+0-0-0</f>
        <v>1006.586379</v>
      </c>
      <c r="T146" s="3">
        <f>327.4+(1052.3-364.2)+(0+(0-0))+0-0-0</f>
        <v>1015.4999999999999</v>
      </c>
      <c r="U146" s="3">
        <f>326.7+(1135.6-437.5)+(-0.666468+(-2.316624--0.8925))+0-0-0</f>
        <v>1022.7094079999999</v>
      </c>
      <c r="V146" s="3">
        <f>324.1+(1175.9-479.5)+(-0.330582+(-1.199418--0.48909))+0-0-0</f>
        <v>1019.4590900000001</v>
      </c>
      <c r="W146" s="3">
        <f>323.7+(1233.5-562.9)+(-0.825435+(-3.145425--1.435395))+0-0-0</f>
        <v>991.76453499999991</v>
      </c>
      <c r="X146" s="3">
        <f>328+(1213.6-564.9)+(-1.33824+(-4.951488--2.304792))+0-0-0</f>
        <v>972.71506399999998</v>
      </c>
      <c r="Y146" s="3">
        <f>330.1+(1107-482.6)+(-0.168351+(-0.56457--0.246126))+0-0-0</f>
        <v>954.01320499999997</v>
      </c>
      <c r="Z146" s="3">
        <f>332.6+(1208.6-527.1)+(0.339252+(1.232772-0.537642))+0-0-0</f>
        <v>1015.134382</v>
      </c>
      <c r="AA146" s="3">
        <f>334.8+(1194.4-503)+(-0.341496+(-1.218288--0.51306))+0-0-0</f>
        <v>1025.153276</v>
      </c>
      <c r="AB146" s="3">
        <f>336.5+(1238.7-554)+(-0.34323+(-1.263474--0.56508))+0-0-0</f>
        <v>1020.1583760000001</v>
      </c>
      <c r="AC146" s="3">
        <f>336+(1249.5-576.7)+(-0.34272+(-1.27449--0.588234))+0-0-0</f>
        <v>1007.771024</v>
      </c>
      <c r="AD146">
        <v>1045.0999999999999</v>
      </c>
      <c r="AE146" s="3">
        <f>330+(1199-483.9)+(0+(0-0))+0-0-0</f>
        <v>1045.0999999999999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338.2+(1212-582.5)+(-0.172482+(-0.61812--0.297075))+0-0-0</f>
        <v>967.20647300000007</v>
      </c>
      <c r="G147" s="3">
        <f>234.8+(1237.7-547.6)+(-0.359244+(-1.893681--0.837828))+0-0-0</f>
        <v>923.48490300000014</v>
      </c>
      <c r="H147" s="3">
        <f>194.8+(1292.6-594.6)+(0.099348+(0.659226-0.303246))+0-0-0</f>
        <v>893.25532799999996</v>
      </c>
      <c r="I147" s="3">
        <f>194.6+(1255.8-563.5)+(-0.198492+(-1.280916--0.57477))+0-0-0</f>
        <v>885.995362</v>
      </c>
      <c r="J147" s="3">
        <f>195.8+(1199.2-506.6)+(-0.399432+(-2.446368--1.033464))+0-0-0</f>
        <v>886.58766400000013</v>
      </c>
      <c r="K147" s="3">
        <f>181.9+(1108.7-419.8)+(-0.371076+(-2.261748--0.856392))+0-0-0</f>
        <v>869.02356800000007</v>
      </c>
      <c r="L147" s="3">
        <f>124.1+(1119-374.1)+(-0.189873+(-1.71207--0.572373))+0-0-0</f>
        <v>867.67043000000001</v>
      </c>
      <c r="M147" s="3">
        <f>127+(1065.8-307.4)+(0.06477+(0.543558-0.156774))+0-0-0</f>
        <v>885.85155399999996</v>
      </c>
      <c r="N147" s="3">
        <f>151.2+(1121.9-331.4)+(0+(0-0))+0-0-0</f>
        <v>941.7</v>
      </c>
      <c r="O147" s="3">
        <f>291.7+(1133.6-435.1)+(0.297534+(1.156272-0.443802))+0-0-0</f>
        <v>991.2100039999998</v>
      </c>
      <c r="P147" s="3">
        <f>331.4+(1224.5-512.7)+(0.507042+(1.873485-0.784431))+0-0-0</f>
        <v>1044.7960959999998</v>
      </c>
      <c r="Q147" s="3">
        <f>329.8+(1220.9-496.9)+(0.336396+(1.245318-0.506838))+0-0-0</f>
        <v>1054.8748760000001</v>
      </c>
      <c r="R147" s="3">
        <f>327.8+(1154.7-423.9)+(0.668712+(2.355588-0.864756))+0-0-0</f>
        <v>1060.7595440000002</v>
      </c>
      <c r="S147" s="3">
        <f>326.7+(1096.3-396.1)+(0+(0-0))+0-0-0</f>
        <v>1026.8999999999999</v>
      </c>
      <c r="T147" s="3">
        <f>323.8+(1087.6-378.2)+(-0.330276+(-1.109352--0.385764))+0-0-0</f>
        <v>1032.1461359999998</v>
      </c>
      <c r="U147" s="3">
        <f>322.3+(1118-407.3)+(0.164373+(0.57018-0.207723))+0-0-0</f>
        <v>1033.52683</v>
      </c>
      <c r="V147" s="3">
        <f>322.2+(1195.4-495.3)+(-0.164322+(-0.609654--0.252603))+0-0-0</f>
        <v>1021.7786270000001</v>
      </c>
      <c r="W147" s="3">
        <f>323+(1240-558.5)+(-0.32946+(-1.2648--0.56967))+0-0-0</f>
        <v>1003.47541</v>
      </c>
      <c r="X147" s="3">
        <f>320.3+(1273.8-603)+(-0.980118+(-3.897828--1.84518))+0-0-0</f>
        <v>988.06723399999987</v>
      </c>
      <c r="Y147" s="3">
        <f>299.9+(1257.9-580.5)+(0+(0-0))+0-0-0</f>
        <v>977.30000000000007</v>
      </c>
      <c r="Z147" s="3">
        <f>304.9+(1282.3-549.2)+(-0.310998+(-1.307946--0.560184))+0-0-0</f>
        <v>1036.9412400000001</v>
      </c>
      <c r="AA147" s="3">
        <f>325.3+(1259.7-535.7)+(-0.829515+(-3.212235--1.366035))+0-0-0</f>
        <v>1046.6242849999999</v>
      </c>
      <c r="AB147" s="3">
        <f>326.1+(1270.4-562.2)+(0.166311+(0.647904-0.286722))+0-0-0</f>
        <v>1034.8274930000002</v>
      </c>
      <c r="AC147" s="3">
        <f>312.7+(1261.9-555.9)+(-0.637908+(-2.574276--1.134036))+0-0-0</f>
        <v>1016.621852</v>
      </c>
      <c r="AD147">
        <v>1059.6999999999998</v>
      </c>
      <c r="AE147" s="3">
        <f>330+(1277.1-547.4)+(0+(0-0))+0-0-0</f>
        <v>1059.6999999999998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314.4+(1116.8-455.6)+(-0.481032+(-1.708704--0.697068))+0-0-0</f>
        <v>974.10733199999993</v>
      </c>
      <c r="G148" s="3">
        <f>311.7+(1158.9-530)+(-0.635868+(-2.364156--1.0812))+0-0-0</f>
        <v>938.68117600000016</v>
      </c>
      <c r="H148" s="3">
        <f>273.4+(1187.8-552.8)+(-0.418302+(-1.817334--0.845784))+0-0-0</f>
        <v>907.01014799999996</v>
      </c>
      <c r="I148" s="3">
        <f>253+(1156.4-514.3)+(-0.12903+(-0.589764--0.262293))+0-0-0</f>
        <v>894.64349900000013</v>
      </c>
      <c r="J148" s="3">
        <f>252.5+(1122.7-476.5)+(-0.5151+(-2.290308--0.97206))+0-0-0</f>
        <v>896.86665200000004</v>
      </c>
      <c r="K148" s="3">
        <f>251.6+(1142-513.2)+(-0.513264+(-2.32968--1.046928))+0-0-0</f>
        <v>878.60398399999997</v>
      </c>
      <c r="L148" s="3">
        <f>149.4+(1123.9-402.7)+(-0.457164+(-3.439134--1.232262))+0-0-0</f>
        <v>867.93596400000001</v>
      </c>
      <c r="M148" s="3">
        <f>133.1+(1091.9-332.1)+(-0.135762+(-1.113738--0.338742))+0-0-0</f>
        <v>891.9892420000001</v>
      </c>
      <c r="N148" s="3">
        <f>132.1+(1096.9-276.8)+(0.269484+(2.237676-0.564672))+0-0-0</f>
        <v>954.14248800000018</v>
      </c>
      <c r="O148" s="3">
        <f>132+(1189.6-370.9)+(0+(0-0))+0-0-0</f>
        <v>950.69999999999993</v>
      </c>
      <c r="P148" s="3">
        <f>266.3+(1166-424.1)+(-0.271626+(-1.18932--0.432582))+0-0-0</f>
        <v>1007.171636</v>
      </c>
      <c r="Q148" s="3">
        <f>329.9+(1129.8-405.2)+(0+(0-0))+0-0-0</f>
        <v>1054.5</v>
      </c>
      <c r="R148" s="3">
        <f>251.1+(1110.9-294.5)+(0.128061+(0.566559-0.150195))+0-0-0</f>
        <v>1068.044425</v>
      </c>
      <c r="S148" s="3">
        <f>217+(1097.8-282.4)+(-0.22134+(-1.119756--0.288048))+0-0-0</f>
        <v>1031.3469520000001</v>
      </c>
      <c r="T148" s="3">
        <f>258.7+(1091.4-300.7)+(-0.395811+(-1.669842--0.460071))+0-0-0</f>
        <v>1047.7944180000002</v>
      </c>
      <c r="U148" s="3">
        <f>318.7+(1099-372.8)+(-0.650148+(-2.24196--0.760512))+0-0-0</f>
        <v>1042.7684040000001</v>
      </c>
      <c r="V148" s="3">
        <f>318.3+(1122-404.7)+(-0.649332+(-2.28888--0.825588))+0-0-0</f>
        <v>1033.4873759999998</v>
      </c>
      <c r="W148" s="3">
        <f>319.8+(1185.9-494.1)+(-0.163098+(-0.604809--0.251991))+0-0-0</f>
        <v>1011.0840840000002</v>
      </c>
      <c r="X148" s="3">
        <f>304.8+(1230.1-537.9)+(-0.310896+(-1.254702--0.548658))+0-0-0</f>
        <v>995.98306000000002</v>
      </c>
      <c r="Y148" s="3">
        <f>192+(1181-396)+(0.19584+(1.20462-0.40392))+0-0-0</f>
        <v>977.99653999999998</v>
      </c>
      <c r="Z148" s="3">
        <f>301.9+(1199-472.7)+(0+(0-0))+0-0-0</f>
        <v>1028.1999999999998</v>
      </c>
      <c r="AA148" s="3">
        <f>313.3+(1185.9-466.9)+(-0.319566+(-1.209618--0.476238))+0-0-0</f>
        <v>1031.2470540000002</v>
      </c>
      <c r="AB148" s="3">
        <f>313.7+(1214.2-495.7)+(-0.639948+(-2.476968--1.011228))+0-0-0</f>
        <v>1030.0943119999999</v>
      </c>
      <c r="AC148" s="3">
        <f>314.8+(1247-534.7)+(-0.321096+(-1.27194--0.545394))+0-0-0</f>
        <v>1026.0523579999999</v>
      </c>
      <c r="AD148">
        <v>1037.3000000000002</v>
      </c>
      <c r="AE148" s="3">
        <f>315+(1194.7-472.4)+(0+(0-0))+0-0-0</f>
        <v>1037.3000000000002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314.5+(1128.1-462.4)+(-0.32079+(-1.150662--0.471648))+0-0-0</f>
        <v>979.20019599999989</v>
      </c>
      <c r="G149" s="3">
        <f>314.2+(1052.9-433.6)+(-0.480726+(-1.610937--0.663408))+0-0-0</f>
        <v>932.07174499999996</v>
      </c>
      <c r="H149" s="3">
        <f>313+(1065.8-512.6)+(-0.63852+(-2.174232--1.045704))+0-0-0</f>
        <v>864.43295199999989</v>
      </c>
      <c r="I149" s="3">
        <f>314+(1054.8-485.7)+(-0.32028+(-1.075896--0.495414))+0-0-0</f>
        <v>882.19923799999992</v>
      </c>
      <c r="J149" s="3">
        <f>314.4+(1020.7-448.3)+(0+(0-0))+0-0-0</f>
        <v>886.80000000000007</v>
      </c>
      <c r="K149" s="3">
        <f>151.4+(1105.6-381.9)+(-0.38607+(-2.81928--0.973845))+0-0-0</f>
        <v>872.86849499999994</v>
      </c>
      <c r="L149" s="3">
        <f>133.1+(1144.7-409)+(-0.135762+(-1.167594--0.41718))+0-0-0</f>
        <v>867.91382400000009</v>
      </c>
      <c r="M149" s="3">
        <f>133.2+(1159.6-394.6)+(0.135864+(1.182792-0.402492))+0-0-0</f>
        <v>899.1161639999998</v>
      </c>
      <c r="N149" s="3">
        <f>151.8+(1211.3-410.3)+(0.077418+(0.617763-0.209253))+0-0-0</f>
        <v>953.2859279999999</v>
      </c>
      <c r="O149" s="3">
        <f>265.6+(1171.6-435.4)+(0.270912+(1.195032-0.444108))+0-0-0</f>
        <v>1002.821836</v>
      </c>
      <c r="P149" s="3">
        <f>328.2+(1251.9-525.9)+(-0.334764+(-1.276938--0.536418))+0-0-0</f>
        <v>1053.124716</v>
      </c>
      <c r="Q149" s="3">
        <f>323.8+(1209.9-464.8)+(0.165138+(0.617049-0.237048))+0-0-0</f>
        <v>1069.4451390000002</v>
      </c>
      <c r="R149" s="3">
        <f>319.2+(1133.7-390.1)+(-0.325584+(-1.156374--0.397902))+0-0-0</f>
        <v>1061.715944</v>
      </c>
      <c r="S149" s="3">
        <f>319+(1089.6-376.3)+(-0.32538+(-1.111392--0.383826))+0-0-0</f>
        <v>1031.2470539999999</v>
      </c>
      <c r="T149" s="3">
        <f>320.3+(1064.3-349.7)+(0.163353+(0.542793-0.178347))+0-0-0</f>
        <v>1035.4277989999998</v>
      </c>
      <c r="U149" s="3">
        <f>319.4+(1074.2-402.2)+(0+(0-0))+0-0-0</f>
        <v>991.4</v>
      </c>
      <c r="V149" s="3">
        <f>314+(1109.7-477.8)+(-0.32028+(-1.131894--0.487356))+0-0-0</f>
        <v>944.93518200000005</v>
      </c>
      <c r="W149" s="3">
        <f>314.3+(1167.4-489.1)+(-0.320586+(-1.190748--0.498882))+0-0-0</f>
        <v>991.58754800000008</v>
      </c>
      <c r="X149" s="3">
        <f>197.3+(1197.2-415.3)+(-0.301869+(-1.831716--0.635409))+0-0-0</f>
        <v>977.7018240000001</v>
      </c>
      <c r="Y149" s="3">
        <f>174.7+(1157.5-366.5)+(-0.178194+(-1.18065--0.37383))+0-0-0</f>
        <v>964.71498600000007</v>
      </c>
      <c r="Z149" s="3">
        <f>330+(1202.7-514)+(-0.1683+(-0.613377--0.26214))+0-0-0</f>
        <v>1018.180463</v>
      </c>
      <c r="AA149" s="3">
        <f>327.2+(1200.9-501.1)+(-0.83436+(-3.062295--1.277805))+0-0-0</f>
        <v>1024.3811499999999</v>
      </c>
      <c r="AB149" s="3">
        <f>329.3+(1220.6-530)+(-0.335886+(-1.245012--0.5406))+0-0-0</f>
        <v>1018.8597019999999</v>
      </c>
      <c r="AC149" s="3">
        <f>330.6+(1248-561.1)+(0+(0-0))+0-0-0</f>
        <v>1017.5</v>
      </c>
      <c r="AD149">
        <v>1011.0999999999999</v>
      </c>
      <c r="AE149" s="3">
        <f>327+(1184.3-500.2)+(0+(0-0))+0-0-0</f>
        <v>1011.0999999999999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328.3+(1187.2-538.3)+(-0.837165+(-3.02736--1.372665))+0-0-0</f>
        <v>974.70814000000007</v>
      </c>
      <c r="G150" s="3">
        <f>327.3+(1112.4-509.6)+(-0.667692+(-2.269296--1.039584))+0-0-0</f>
        <v>928.20259600000009</v>
      </c>
      <c r="H150" s="3">
        <f>326.7+(1154.9-575.3)+(-0.499851+(-1.766997--0.880209))+0-0-0</f>
        <v>904.91336100000024</v>
      </c>
      <c r="I150" s="3">
        <f>147+(1172.9-427.1)+(-0.07497+(-0.598179--0.217821))+0-0-0</f>
        <v>892.34467200000006</v>
      </c>
      <c r="J150" s="3">
        <f>132.1+(1117.4-352.1)+(0+(0-0))+0-0-0</f>
        <v>897.40000000000009</v>
      </c>
      <c r="K150" s="3">
        <f>132.2+(1094.5-336.6)+(-0.404532+(-3.34917--1.029996))+0-0-0</f>
        <v>887.37629399999992</v>
      </c>
      <c r="L150" s="3">
        <f>132+(1072.4-331.9)+(-0.13464+(-1.093848--0.338538))+0-0-0</f>
        <v>871.61005000000011</v>
      </c>
      <c r="M150" s="3">
        <f>132.1+(1112.7-313.8)+(0.202113+(1.702431-0.480114))+0-0-0</f>
        <v>932.42443000000014</v>
      </c>
      <c r="N150" s="3">
        <f>132.1+(1164.3-316.3)+(0.067371+(0.593793-0.161313))+0-0-0</f>
        <v>980.59985100000006</v>
      </c>
      <c r="O150" s="3">
        <f>196+(1157.9-377.5)+(-0.09996+(-0.590529--0.192525))+0-0-0</f>
        <v>975.90203600000007</v>
      </c>
      <c r="P150" s="3">
        <f>329.2+(1130.9-416.9)+(-0.167892+(-0.576759--0.212619))+0-0-0</f>
        <v>1042.667968</v>
      </c>
      <c r="Q150" s="3">
        <f>332.6+(1152.2-407.3)+(-0.339252+(-1.175244--0.415446))+0-0-0</f>
        <v>1076.40095</v>
      </c>
      <c r="R150" s="3">
        <f>330.1+(1158.4-424.2)+(0.168351+(0.590784-0.216342))+0-0-0</f>
        <v>1064.8427930000003</v>
      </c>
      <c r="S150" s="3">
        <f>328.5+(1108.6-396.2)+(-0.502605+(-1.696158--0.606186))+0-0-0</f>
        <v>1039.307423</v>
      </c>
      <c r="T150" s="3">
        <f>326+(1118.8-414.7)+(0+(0-0))+0-0-0</f>
        <v>1030.0999999999999</v>
      </c>
      <c r="U150" s="3">
        <f>323.2+(1109.5-391.2)+(0.329664+(1.13169-0.399024))+0-0-0</f>
        <v>1042.56233</v>
      </c>
      <c r="V150" s="3">
        <f>321.9+(1110.6-438)+(0+(0-0))+0-0-0</f>
        <v>994.49999999999989</v>
      </c>
      <c r="W150" s="3">
        <f>320.7+(1144.8-522.3)+(-0.490671+(-1.751544--0.799119))+0-0-0</f>
        <v>941.75690400000008</v>
      </c>
      <c r="X150" s="3">
        <f>255.7+(1237.5-479.7)+(-0.521628+(-2.5245--0.978588))+0-0-0</f>
        <v>1011.43246</v>
      </c>
      <c r="Y150" s="3">
        <f>151.2+(1235-500.3)+(0.077112+(0.62985-0.255153))+0-0-0</f>
        <v>886.35180900000012</v>
      </c>
      <c r="Z150" s="3">
        <f>327.7+(1235.1-548)+(0.501381+(1.889703-0.83844))+0-0-0</f>
        <v>1016.3526439999999</v>
      </c>
      <c r="AA150" s="3">
        <f>327.7+(1224.7-513.8)+(-0.501381+(-1.873791--0.786114))+0-0-0</f>
        <v>1037.0109420000001</v>
      </c>
      <c r="AB150" s="3">
        <f>330.4+(1251.6-555.6)+(-0.168504+(-0.638316--0.283356))+0-0-0</f>
        <v>1025.8765359999998</v>
      </c>
      <c r="AC150" s="3">
        <f>330.1+(1240.3-565.7)+(0+(0-0))+0-0-0</f>
        <v>1004.6999999999999</v>
      </c>
      <c r="AD150">
        <v>1046.5</v>
      </c>
      <c r="AE150" s="3">
        <f>330+(1243.4-526.9)+(0+(0-0))+0-0-0</f>
        <v>1046.5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329.9+(1159.1-516.1)+(-0.336498+(-1.182282--0.526422))+0-0-0</f>
        <v>971.9076419999999</v>
      </c>
      <c r="G151" s="3">
        <f>330.3+(1168.1-568.2)+(0+(0-0))+0-0-0</f>
        <v>930.19999999999982</v>
      </c>
      <c r="H151" s="3">
        <f>331.3+(1215.3-640.8)+(0.168963+(0.619803-0.326808))+0-0-0</f>
        <v>906.26195799999994</v>
      </c>
      <c r="I151" s="3">
        <f>329.9+(1152.3-596.5)+(-0.168249+(-0.587673--0.304215))+0-0-0</f>
        <v>885.24829299999988</v>
      </c>
      <c r="J151" s="3">
        <f>331+(1156.6-594.6)+(0.50643+(1.769598-0.909738))+0-0-0</f>
        <v>894.36628999999994</v>
      </c>
      <c r="K151" s="3">
        <f>220.9+(1188.9-528.4)+(-0.675954+(-3.638034--1.616904))+0-0-0</f>
        <v>878.70291600000007</v>
      </c>
      <c r="L151" s="3">
        <f>129.1+(1205.5-471.6)+(-0.329205+(-3.074025--1.20258))+0-0-0</f>
        <v>860.79935</v>
      </c>
      <c r="M151" s="3">
        <f>130.8+(1197.7-457.3)+(0.066708+(0.610827-0.233223))+0-0-0</f>
        <v>871.64431200000001</v>
      </c>
      <c r="N151" s="3">
        <f>163.7+(1160.9-412.6)+(0.083487+(0.592059-0.210426))+0-0-0</f>
        <v>912.46511999999996</v>
      </c>
      <c r="O151" s="3">
        <f>329.4+(1219-584.8)+(0.335988+(1.24338-0.596496))+0-0-0</f>
        <v>964.58287200000007</v>
      </c>
      <c r="P151" s="3">
        <f>330.7+(1204-541.1)+(0.337314+(1.22808-0.551922))+0-0-0</f>
        <v>994.61347199999989</v>
      </c>
      <c r="Q151" s="3">
        <f>331.4+(1188.2-504.3)+(0.507042+(1.817946-0.771579))+0-0-0</f>
        <v>1016.8534090000001</v>
      </c>
      <c r="R151" s="3">
        <f>329.4+(1134.4-440.3)+(-0.167994+(-0.578544--0.224553))+0-0-0</f>
        <v>1022.9780150000001</v>
      </c>
      <c r="S151" s="3">
        <f>323.7+(1091.2-425.6)+(-0.660348+(-2.226048--0.868224))+0-0-0</f>
        <v>987.2818279999999</v>
      </c>
      <c r="T151" s="3">
        <f>318.8+(1125.5-452)+(-0.325176+(-1.14801--0.46104))+0-0-0</f>
        <v>991.28785399999992</v>
      </c>
      <c r="U151" s="3">
        <f>318.8+(1152.1-469.8)+(-0.487764+(-1.762713--0.718794))+0-0-0</f>
        <v>999.56831699999987</v>
      </c>
      <c r="V151" s="3">
        <f>318.6+(1118-450.4)+(-0.487458+(-1.71054--0.689112))+0-0-0</f>
        <v>984.69111400000008</v>
      </c>
      <c r="W151" s="3">
        <f>317.6+(1110-462)+(-0.647904+(-2.2644--0.94248))+0-0-0</f>
        <v>963.63017600000001</v>
      </c>
      <c r="X151" s="3">
        <f>317.9+(1023.8-398.6)+(-0.486387+(-1.566414--0.609858))+0-0-0</f>
        <v>941.6570569999999</v>
      </c>
      <c r="Y151" s="3">
        <f>319.7+(998.5-391.4)+(-0.163047+(-0.509235--0.199614))+0-0-0</f>
        <v>926.32733199999996</v>
      </c>
      <c r="Z151" s="3">
        <f>320+(1168.7-510)+(-0.3264+(-1.192074--0.5202))+0-0-0</f>
        <v>977.70172600000001</v>
      </c>
      <c r="AA151" s="3">
        <f>249.5+(1170.7-422.8)+(-0.381735+(-1.791171--0.646884))+0-0-0</f>
        <v>995.87397800000008</v>
      </c>
      <c r="AB151" s="3">
        <f>197.9+(1204.9-415.2)+(-0.100929+(-0.614499--0.211752))+0-0-0</f>
        <v>987.09632399999998</v>
      </c>
      <c r="AC151" s="3">
        <f>197.9+(1215.1-431.6)+(-0.100929+(-0.619701--0.220116))+0-0-0</f>
        <v>980.89948599999991</v>
      </c>
      <c r="AD151">
        <v>1012.5000000000001</v>
      </c>
      <c r="AE151" s="3">
        <f>320+(1194.4-501.9)+(0+(0-0))+0-0-0</f>
        <v>1012.5000000000001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197.9+(1201.6-446.7)+(-0.201858+(-1.225632--0.455634))+0-0-0</f>
        <v>951.82814399999984</v>
      </c>
      <c r="G152" s="3">
        <f>171.2+(1164.1-421.2)+(-0.174624+(-1.187382--0.429624))+0-0-0</f>
        <v>913.16761799999995</v>
      </c>
      <c r="H152" s="3">
        <f>90.3+(1260.3-462.5)+(-0.184212+(-2.571012--0.9435))+0-0-0</f>
        <v>886.28827599999988</v>
      </c>
      <c r="I152" s="3">
        <f>18.4+(1313.8-462.4)+(-0.009384+(-0.670038--0.235824))+0-0-0</f>
        <v>869.356402</v>
      </c>
      <c r="J152" s="3">
        <f>0+(1285.7-402.1)+(0+(-1.967121--0.615213))+0-0-0</f>
        <v>882.24809200000004</v>
      </c>
      <c r="K152" s="3">
        <f>0+(1243.7-386.7)+(0+(-1.268574--0.394434))+0-0-0</f>
        <v>856.12585999999999</v>
      </c>
      <c r="L152" s="3">
        <f>0+(1157.1-353.3)+(0+(-4.720968--1.441464))+0-0-0</f>
        <v>800.52049599999998</v>
      </c>
      <c r="M152" s="3">
        <f>0+(1076-297.8)+(0+(0-0))+0-0-0</f>
        <v>778.2</v>
      </c>
      <c r="N152" s="3">
        <f>0+(1102.4-300.2)+(0+(1.124448-0.306204))+0-0-0</f>
        <v>803.0182440000001</v>
      </c>
      <c r="O152" s="3">
        <f>0+(1146.4-323.5)+(0+(-1.169328--0.32997))+0-0-0</f>
        <v>822.06064200000014</v>
      </c>
      <c r="P152" s="3">
        <f>0+(1169.8-323)+(0+(0-0))+0-0-0</f>
        <v>846.8</v>
      </c>
      <c r="Q152" s="3">
        <f>0+(1213.9-340)+(0+(0.619089-0.1734))+0-0-0</f>
        <v>874.34568900000011</v>
      </c>
      <c r="R152" s="3">
        <f>0+(1209.4-321.6)+(0+(2.467176-0.656064))+0-0-0</f>
        <v>889.61111200000005</v>
      </c>
      <c r="S152" s="3">
        <f>0+(1144.7-257.5)+(0+(0-0))+0-0-0</f>
        <v>887.2</v>
      </c>
      <c r="T152" s="3">
        <f>0+(1116.4-233.4)+(0+(-0.569364--0.119034))+0-0-0</f>
        <v>882.54967000000011</v>
      </c>
      <c r="U152" s="3">
        <f>0+(1165.7-283.1)+(0+(-0.594507--0.144381))+0-0-0</f>
        <v>882.14987400000007</v>
      </c>
      <c r="V152" s="3">
        <f>0+(1212.4-332.1)+(0+(-2.473296--0.677484))+0-0-0</f>
        <v>878.50418800000011</v>
      </c>
      <c r="W152" s="3">
        <f>0+(1215.3-339)+(0+(-1.239606--0.34578))+0-0-0</f>
        <v>875.40617399999996</v>
      </c>
      <c r="X152" s="3">
        <f>0+(1152.7-284.2)+(0+(-1.763631--0.434826))+0-0-0</f>
        <v>867.17119500000001</v>
      </c>
      <c r="Y152" s="3">
        <f>0+(1096.4-229.9)+(0+(0.559164-0.117249))+0-0-0</f>
        <v>866.94191500000011</v>
      </c>
      <c r="Z152" s="3">
        <f>0+(1196.2-267.7)+(0+(-1.220124--0.273054))+0-0-0</f>
        <v>927.55292999999995</v>
      </c>
      <c r="AA152" s="3">
        <f>0+(1211.1-273.8)+(0+(-2.470644--0.558552))+0-0-0</f>
        <v>935.38790799999992</v>
      </c>
      <c r="AB152" s="3">
        <f>0+(1201.7-264.6)+(0+(0-0))+0-0-0</f>
        <v>937.1</v>
      </c>
      <c r="AC152" s="3">
        <f>0+(1170.8-246.4)+(0+(0.597108-0.125664))+0-0-0</f>
        <v>924.871444</v>
      </c>
      <c r="AD152">
        <v>947</v>
      </c>
      <c r="AE152" s="3">
        <f>0+(1213.7-266.7)+(0+(0-0))+0-0-0</f>
        <v>947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0+(1216.8-314.8)+(0+(1.861704-0.481644))+0-0-0</f>
        <v>903.38005999999996</v>
      </c>
      <c r="G153" s="3">
        <f>0+(1271.5-414.6)+(0+(-1.945395--0.634338))+0-0-0</f>
        <v>855.58894299999997</v>
      </c>
      <c r="H153" s="3">
        <f>0+(1266.1-429.1)+(0+(-0.645711--0.218841))+0-0-0</f>
        <v>836.57312999999988</v>
      </c>
      <c r="I153" s="3">
        <f>0+(1248.3-418.8)+(0+(2.546532-0.854352))+0-0-0</f>
        <v>831.19218000000001</v>
      </c>
      <c r="J153" s="3">
        <f>0+(1242.7-397.1)+(0+(0-0))+0-0-0</f>
        <v>845.6</v>
      </c>
      <c r="K153" s="3">
        <f>0+(1176.9-345.8)+(0+(-2.400876--0.705432))+0-0-0</f>
        <v>829.40455600000018</v>
      </c>
      <c r="L153" s="3">
        <f>0+(1138.3-311.7)+(0+(-2.322132--0.635868))+0-0-0</f>
        <v>824.91373599999986</v>
      </c>
      <c r="M153" s="3">
        <f>0+(1114.1-263.7)+(0+(-0.568191--0.134487))+0-0-0</f>
        <v>849.96629599999983</v>
      </c>
      <c r="N153" s="3">
        <f>91.9+(1203.8-387.4)+(-0.093738+(-1.227876--0.395148))+0-0-0</f>
        <v>907.37353399999995</v>
      </c>
      <c r="O153" s="3">
        <f>219.7+(1210.3-469.2)+(0.112047+(0.617253-0.239292))+0-0-0</f>
        <v>961.29000799999994</v>
      </c>
      <c r="P153" s="3">
        <f>330.9+(1207.6-529.1)+(0.337518+(1.231752-0.539682))+0-0-0</f>
        <v>1010.4295879999999</v>
      </c>
      <c r="Q153" s="3">
        <f>330.2+(1186.8-490.9)+(-0.168402+(-0.605268--0.250359))+0-0-0</f>
        <v>1025.576689</v>
      </c>
      <c r="R153" s="3">
        <f>330.3+(1187.1-490.2)+(0+(0-0))+0-0-0</f>
        <v>1027.1999999999998</v>
      </c>
      <c r="S153" s="3">
        <f>329.8+(1173.7-502.3)+(-0.504594+(-1.795761--0.768519))+0-0-0</f>
        <v>999.66816400000005</v>
      </c>
      <c r="T153" s="3">
        <f>330.5+(1181-494.5)+(0.168555+(0.60231-0.252195))+0-0-0</f>
        <v>1017.51867</v>
      </c>
      <c r="U153" s="3">
        <f>329.8+(1133.7-447.5)+(0.336396+(1.156374-0.45645))+0-0-0</f>
        <v>1017.03632</v>
      </c>
      <c r="V153" s="3">
        <f>320.3+(1092.8-401.8)+(-0.653412+(-2.229312--0.819672))+0-0-0</f>
        <v>1009.236948</v>
      </c>
      <c r="W153" s="3">
        <f>320.5+(1147.7-471.9)+(-0.32691+(-1.170654--0.481338))+0-0-0</f>
        <v>995.28377400000011</v>
      </c>
      <c r="X153" s="3">
        <f>316.8+(1165.7-498.5)+(-1.130976+(-4.161549--1.779645))+0-0-0</f>
        <v>980.48712</v>
      </c>
      <c r="Y153" s="3">
        <f>319.5+(1122.3-468.2)+(-0.162945+(-0.572373--0.238782))+0-0-0</f>
        <v>973.10346399999992</v>
      </c>
      <c r="Z153" s="3">
        <f>333.6+(1191.4-510.8)+(0+(0-0))+0-0-0</f>
        <v>1014.2000000000002</v>
      </c>
      <c r="AA153" s="3">
        <f>343.5+(1186.8-515.9)+(-0.70074+(-2.421072--1.052436))+0-0-0</f>
        <v>1012.3306239999999</v>
      </c>
      <c r="AB153" s="3">
        <f>148.2+(1254.1-402)+(0+(0-0))+0-0-0</f>
        <v>1000.3</v>
      </c>
      <c r="AC153" s="3">
        <f>133.2+(1277.2-417.4)+(-0.203796+(-1.954116--0.638622))+0-0-0</f>
        <v>991.48071000000004</v>
      </c>
      <c r="AD153">
        <v>1030.9000000000001</v>
      </c>
      <c r="AE153" s="3">
        <f>348+(1218.5-535.6)+(0+(0-0))+0-0-0</f>
        <v>1030.9000000000001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71+(1251.9-362.5)+(0.10863+(1.915407-0.554625))+0-0-0</f>
        <v>961.86941200000012</v>
      </c>
      <c r="G154" s="3">
        <f>0+(1299.4-375)+(0+(0.662694-0.19125))+0-0-0</f>
        <v>924.87144400000011</v>
      </c>
      <c r="H154" s="3">
        <f>0+(1293.5-395.4)+(0+(-1.979055--0.604962))+0-0-0</f>
        <v>896.72590700000001</v>
      </c>
      <c r="I154" s="3">
        <f>0+(1313.4-425.3)+(0+(0.669834-0.216903))+0-0-0</f>
        <v>888.55293100000017</v>
      </c>
      <c r="J154" s="3">
        <f>0+(1304.2-405)+(0+(0-0))+0-0-0</f>
        <v>899.2</v>
      </c>
      <c r="K154" s="3">
        <f>0+(1251.7-369.5)+(0+(-2.553468--0.75378))+0-0-0</f>
        <v>880.4003120000001</v>
      </c>
      <c r="L154" s="3">
        <f>0+(1144-285.1)+(0+(-3.50064--0.872406))+0-0-0</f>
        <v>856.27176599999996</v>
      </c>
      <c r="M154" s="3">
        <f>0+(1182.8-299.3)+(0+(0.603228-0.152643))+0-0-0</f>
        <v>883.95058500000005</v>
      </c>
      <c r="N154" s="3">
        <f>0+(1339.9-403.5)+(0+(0.683349-0.205785))+0-0-0</f>
        <v>936.87756400000012</v>
      </c>
      <c r="O154" s="3">
        <f>0+(1423-443.9)+(0+(0.72573-0.226389))+0-0-0</f>
        <v>979.59934099999998</v>
      </c>
      <c r="P154" s="3">
        <f>0+(1547-535.9)+(0+(3.15588-1.093236))+0-0-0</f>
        <v>1013.162644</v>
      </c>
      <c r="Q154" s="3">
        <f>120.1+(1449.9-537.8)+(0.061251+(0.739449-0.274278))+0-0-0</f>
        <v>1032.726422</v>
      </c>
      <c r="R154" s="3">
        <f>318.6+(1379.2-671)+(0.324972+(1.406784-0.68442))+0-0-0</f>
        <v>1027.8473360000003</v>
      </c>
      <c r="S154" s="3">
        <f>328.6+(1363.9-683)+(-0.335172+(-1.391178--0.69666))+0-0-0</f>
        <v>1008.4703100000002</v>
      </c>
      <c r="T154" s="3">
        <f>329.2+(1381.9-686.6)+(-0.335784+(-1.409538--0.700332))+0-0-0</f>
        <v>1023.45501</v>
      </c>
      <c r="U154" s="3">
        <f>327.4+(1371.8-721.3)+(-0.667896+(-2.798472--1.471452))+0-0-0</f>
        <v>975.90508399999999</v>
      </c>
      <c r="V154" s="3">
        <f>316.5+(1307.7-636.6)+(-0.64566+(-2.667708--1.298664))+0-0-0</f>
        <v>985.58529599999997</v>
      </c>
      <c r="W154" s="3">
        <f>266.2+(1122-599.3)+(-0.950334+(-4.00554--2.139501))+0-0-0</f>
        <v>786.08362700000009</v>
      </c>
      <c r="X154" s="3">
        <f>18.3+(1230.3-380.6)+(-0.055998+(-3.764718--1.164636))+0-0-0</f>
        <v>865.34391999999991</v>
      </c>
      <c r="Y154" s="3">
        <f>0+(1190.8-376.1)+(0+(0.607308-0.191811))+0-0-0</f>
        <v>815.11549699999989</v>
      </c>
      <c r="Z154" s="3">
        <f>0+(1308.2-287)+(0+(-0.667182--0.14637))+0-0-0</f>
        <v>1020.6791880000001</v>
      </c>
      <c r="AA154" s="3">
        <f>0+(1312.7-287)+(0+(-4.686339--1.02459))+0-0-0</f>
        <v>1022.0382510000001</v>
      </c>
      <c r="AB154" s="3">
        <f>0+(1237.3-361)+(0+(-3.155115--0.92055))+0-0-0</f>
        <v>874.06543499999998</v>
      </c>
      <c r="AC154" s="3">
        <f>0+(1222.2-263)+(0+(0.623322-0.13413))+0-0-0</f>
        <v>959.68919200000005</v>
      </c>
      <c r="AD154">
        <v>995.7</v>
      </c>
      <c r="AE154" s="3">
        <f>0+(1337.7-342)+(0+(0-0))+0-0-0</f>
        <v>995.7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0+(1183.2-349)+(0+(-0.603432--0.17799))+0-0-0</f>
        <v>833.77455800000007</v>
      </c>
      <c r="G155" s="3">
        <f>0+(1191-375.3)+(0+(-1.82223--0.574209))+0-0-0</f>
        <v>814.45197900000005</v>
      </c>
      <c r="H155" s="3">
        <f>0+(1200.3-389.4)+(0+(-1.224306--0.397188))+0-0-0</f>
        <v>810.07288199999994</v>
      </c>
      <c r="I155" s="3">
        <f>0+(1180.5-374.5)+(0+(1.806165-0.572985))+0-0-0</f>
        <v>807.23317999999995</v>
      </c>
      <c r="J155" s="3">
        <f>0+(1164.2-294.1)+(0+(0.593742-0.149991))+0-0-0</f>
        <v>870.54375100000004</v>
      </c>
      <c r="K155" s="3">
        <f>0+(1034.4-247)+(0+(-1.582632--0.37791))+0-0-0</f>
        <v>786.19527800000014</v>
      </c>
      <c r="L155" s="3">
        <f>0+(957.9-242.5)+(0+(-3.908232--0.9894))+0-0-0</f>
        <v>712.48116800000003</v>
      </c>
      <c r="M155" s="3">
        <f>0+(909.5-217.2)+(0+(0-0))+0-0-0</f>
        <v>692.3</v>
      </c>
      <c r="N155" s="3">
        <f>0+(861.3-197)+(0+(1.757052-0.40188))+0-0-0</f>
        <v>665.65517199999999</v>
      </c>
      <c r="O155" s="3">
        <f>0+(923.6-302)+(0+(1.884144-0.61608))+0-0-0</f>
        <v>622.868064</v>
      </c>
      <c r="P155" s="3">
        <f>0+(1095.5-385.9)+(0+(0-0))+0-0-0</f>
        <v>709.6</v>
      </c>
      <c r="Q155" s="3">
        <f>0+(1112.7-355)+(0+(0.567477-0.18105))+0-0-0</f>
        <v>758.08642700000007</v>
      </c>
      <c r="R155" s="3">
        <f>0+(1162.9-407.5)+(0+(0-0))+0-0-0</f>
        <v>755.40000000000009</v>
      </c>
      <c r="S155" s="3">
        <f>0+(1137.4-339.4)+(0+(-1.740222--0.519282))+0-0-0</f>
        <v>796.77906000000007</v>
      </c>
      <c r="T155" s="3">
        <f>0+(1205.4-404.6)+(0+(0.614754-0.206346))+0-0-0</f>
        <v>801.20840800000008</v>
      </c>
      <c r="U155" s="3">
        <f>0+(1156.9-340.2)+(0+(-1.180038--0.347004))+0-0-0</f>
        <v>815.86696600000005</v>
      </c>
      <c r="V155" s="3">
        <f>0+(1129.2-330.6)+(0+(0.575892-0.168606))+0-0-0</f>
        <v>799.00728600000002</v>
      </c>
      <c r="W155" s="3">
        <f>0+(1151.7-342.2)+(0+(-2.349468--0.698088))+0-0-0</f>
        <v>807.84861999999998</v>
      </c>
      <c r="X155" s="3">
        <f>0+(1108.4-287.9)+(0+(-0.565284--0.146829))+0-0-0</f>
        <v>820.08154500000012</v>
      </c>
      <c r="Y155" s="3">
        <f>0+(1139.9-296.3)+(0+(-0.581349--0.151113))+0-0-0</f>
        <v>843.1697640000001</v>
      </c>
      <c r="Z155" s="3">
        <f>0+(1241.7-328.2)+(0+(-2.533068--0.669528))+0-0-0</f>
        <v>911.63646000000006</v>
      </c>
      <c r="AA155" s="3">
        <f>0+(1233.6-306.7)+(0+(-1.258272--0.312834))+0-0-0</f>
        <v>925.9545619999999</v>
      </c>
      <c r="AB155" s="3">
        <f>0+(1201.3-284.6)+(0+(0-0))+0-0-0</f>
        <v>916.69999999999993</v>
      </c>
      <c r="AC155" s="3">
        <f>0+(1262.9-351.4)+(0+(-2.576316--0.716856))+0-0-0</f>
        <v>909.6405400000001</v>
      </c>
      <c r="AD155">
        <v>930.7</v>
      </c>
      <c r="AE155" s="3">
        <f>0+(1273.9-343.2)+(0+(0-0))+0-0-0</f>
        <v>930.7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0+(1253.6-366.4)+(0+(-2.557344--0.747456))+0-0-0</f>
        <v>885.39011199999993</v>
      </c>
      <c r="G156" s="3">
        <f>0+(1242.3-394.4)+(0+(-2.534292--0.804576))+0-0-0</f>
        <v>846.17028399999992</v>
      </c>
      <c r="H156" s="3">
        <f>0+(1185.2-362.6)+(0+(-0.604452--0.184926))+0-0-0</f>
        <v>822.180474</v>
      </c>
      <c r="I156" s="3">
        <f>0+(1132.3-319.7)+(0+(1.154946-0.326094))+0-0-0</f>
        <v>813.42885199999989</v>
      </c>
      <c r="J156" s="3">
        <f>0+(1110.6-287)+(0+(1.132812-0.29274))+0-0-0</f>
        <v>824.44007199999987</v>
      </c>
      <c r="K156" s="3">
        <f>0+(1134.6-315)+(0+(-1.735938--0.48195))+0-0-0</f>
        <v>818.34601199999986</v>
      </c>
      <c r="L156" s="3">
        <f>0+(1167.7-331.4)+(0+(0-0))+0-0-0</f>
        <v>836.30000000000007</v>
      </c>
      <c r="M156" s="3">
        <f>0+(1203.8-325)+(0+(0-0))+0-0-0</f>
        <v>878.8</v>
      </c>
      <c r="N156" s="3">
        <f>0+(1366.4-414)+(0+(2.090592-0.63342))+0-0-0</f>
        <v>953.85717200000011</v>
      </c>
      <c r="O156" s="3">
        <f>69.5+(1471.3-537.4)+(0.07089+(1.500726-0.548148))+0-0-0</f>
        <v>1004.423468</v>
      </c>
      <c r="P156" s="3">
        <f>209.9+(1414.8-581.5)+(0.428196+(2.886192-1.18626))+0-0-0</f>
        <v>1045.3281280000001</v>
      </c>
      <c r="Q156" s="3">
        <f>328.1+(1364.3-639.2)+(0.334662+(1.391586-0.651984))+0-0-0</f>
        <v>1054.2742639999999</v>
      </c>
      <c r="R156" s="3">
        <f>327.8+(1379.6-646.6)+(0.501534+(2.110788-0.989298))+0-0-0</f>
        <v>1062.4230239999999</v>
      </c>
      <c r="S156" s="3">
        <f>325.7+(1419-693)+(0+(0-0))+0-0-0</f>
        <v>1051.7</v>
      </c>
      <c r="T156" s="3">
        <f>325.1+(1393.7-674.3)+(0+(0-0))+0-0-0</f>
        <v>1044.5</v>
      </c>
      <c r="U156" s="3">
        <f>324+(1369.1-656.1)+(-0.99144+(-4.189446--2.007666))+0-0-0</f>
        <v>1033.8267800000001</v>
      </c>
      <c r="V156" s="3">
        <f>290.2+(1265.6-523.7)+(-0.444006+(-1.936368--0.801261))+0-0-0</f>
        <v>1030.5208869999999</v>
      </c>
      <c r="W156" s="3">
        <f>224.7+(1278.4-491.1)+(-0.229194+(-1.303968--0.500922))+0-0-0</f>
        <v>1010.96776</v>
      </c>
      <c r="X156" s="3">
        <f>134.1+(1323.2-459.6)+(-0.205173+(-2.024496--0.703188))+0-0-0</f>
        <v>996.17351900000006</v>
      </c>
      <c r="Y156" s="3">
        <f>164.2+(1286.4-453.4)+(0.167484+(1.312128-0.462468))+0-0-0</f>
        <v>998.21714400000008</v>
      </c>
      <c r="Z156" s="3">
        <f>325.2+(1256.9-558.5)+(-0.331704+(-1.282038--0.56967))+0-0-0</f>
        <v>1022.5559280000001</v>
      </c>
      <c r="AA156" s="3">
        <f>268.2+(1306.6-542.3)+(-0.410346+(-1.999098--0.829719))+0-0-0</f>
        <v>1030.9202749999999</v>
      </c>
      <c r="AB156" s="3">
        <f>260.4+(1299.9-534.2)+(-0.398412+(-1.988847--0.817326))+0-0-0</f>
        <v>1024.5300669999999</v>
      </c>
      <c r="AC156" s="3">
        <f>192+(1286.3-474)+(-0.19584+(-1.312026--0.48348))+0-0-0</f>
        <v>1003.2756139999999</v>
      </c>
      <c r="AD156">
        <v>1017.3000000000001</v>
      </c>
      <c r="AE156" s="3">
        <f>340+(1224.9-547.6)+(0+(0-0))+0-0-0</f>
        <v>1017.3000000000001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19.3+(1353.5-409)+(-0.009843+(-0.690285--0.20859))+0-0-0</f>
        <v>963.30846199999996</v>
      </c>
      <c r="G157" s="3">
        <f>0+(1337.1-404)+(0+(-2.045763--0.61812))+0-0-0</f>
        <v>931.67235699999992</v>
      </c>
      <c r="H157" s="3">
        <f>0+(1339.9-434.5)+(0+(-1.366698--0.44319))+0-0-0</f>
        <v>904.47649200000012</v>
      </c>
      <c r="I157" s="3">
        <f>0+(1341.5-442.5)+(0+(-3.420825--1.128375))+0-0-0</f>
        <v>896.70754999999997</v>
      </c>
      <c r="J157" s="3">
        <f>0+(1351.5-459.4)+(0+(0.689265-0.234294))+0-0-0</f>
        <v>892.55497100000002</v>
      </c>
      <c r="K157" s="3">
        <f>0+(1299.9-415.2)+(0+(-3.314745--1.05876))+0-0-0</f>
        <v>882.44401500000004</v>
      </c>
      <c r="L157" s="3">
        <f>0+(1227.3-354.4)+(0+(-1.877769--0.542232))+0-0-0</f>
        <v>871.56446299999993</v>
      </c>
      <c r="M157" s="3">
        <f>0+(1221.5-336.1)+(0+(-1.24593--0.342822))+0-0-0</f>
        <v>884.496892</v>
      </c>
      <c r="N157" s="3">
        <f>0+(1285.4-352.5)+(0+(1.311108-0.35955))+0-0-0</f>
        <v>933.85155800000007</v>
      </c>
      <c r="O157" s="3">
        <f>35.7+(1373.5-441.5)+(0.036414+(1.40097-0.45033))+0-0-0</f>
        <v>968.68705399999999</v>
      </c>
      <c r="P157" s="3">
        <f>230+(1368.7-563.3)+(0.1173+(0.698037-0.287283))+0-0-0</f>
        <v>1035.9280540000002</v>
      </c>
      <c r="Q157" s="3">
        <f>305.2+(1337.1-592)+(-0.311304+(-1.363842--0.60384))+0-0-0</f>
        <v>1049.2286939999999</v>
      </c>
      <c r="R157" s="3">
        <f>334.7+(1277.1-551.7)+(-0.170697+(-0.651321--0.281367))+0-0-0</f>
        <v>1059.5593489999999</v>
      </c>
      <c r="S157" s="3">
        <f>330+(1259.6-547.6)+(-0.8415+(-3.21198--1.39638))+0-0-0</f>
        <v>1039.3429000000001</v>
      </c>
      <c r="T157" s="3">
        <f>332.3+(1282.7-559.7)+(-0.847365+(-3.270885--1.427235))+0-0-0</f>
        <v>1052.6089849999998</v>
      </c>
      <c r="U157" s="3">
        <f>333.2+(1226.4-523.9)+(-0.509796+(-1.876392--0.801567))+0-0-0</f>
        <v>1034.1153790000001</v>
      </c>
      <c r="V157" s="3">
        <f>333.5+(1175.1-496.5)+(-0.510255+(-1.797903--0.759645))+0-0-0</f>
        <v>1010.551487</v>
      </c>
      <c r="W157" s="3">
        <f>276+(1163.4-448.5)+(-0.28152+(-1.186668--0.45747))+0-0-0</f>
        <v>989.88928200000009</v>
      </c>
      <c r="X157" s="3">
        <f>252.2+(1160.1-442.7)+(-0.64311+(-2.958255--1.128885))+0-0-0</f>
        <v>967.12751999999989</v>
      </c>
      <c r="Y157" s="3">
        <f>122.4+(1247.4-414.9)+(-0.062424+(-0.636174--0.211599))+0-0-0</f>
        <v>954.41300100000012</v>
      </c>
      <c r="Z157" s="3">
        <f>230.3+(1205.6-445.4)+(0+(0-0))+0-0-0</f>
        <v>990.5</v>
      </c>
      <c r="AA157" s="3">
        <f>229.5+(1200.7-429.1)+(-0.46818+(-2.449428--0.875364))+0-0-0</f>
        <v>999.05775600000004</v>
      </c>
      <c r="AB157" s="3">
        <f>196.8+(1230.7-440.7)+(0.100368+(0.627657-0.224757))+0-0-0</f>
        <v>987.303268</v>
      </c>
      <c r="AC157" s="3">
        <f>152.2+(1255.2-430.2)+(-0.310488+(-2.560608--0.877608))+0-0-0</f>
        <v>975.20651200000009</v>
      </c>
      <c r="AD157">
        <v>1024.2</v>
      </c>
      <c r="AE157" s="3">
        <f>229+(1239.4-444.2)+(0+(0-0))+0-0-0</f>
        <v>1024.2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15+(1329.7-405.9)+(-0.00765+(-0.678147--0.207009))+0-0-0</f>
        <v>938.32121200000006</v>
      </c>
      <c r="G158" s="3">
        <f>0+(1315.5-417.3)+(0+(0-0))+0-0-0</f>
        <v>898.2</v>
      </c>
      <c r="H158" s="3">
        <f>0+(1260.6-395.7)+(0+(0-0))+0-0-0</f>
        <v>864.89999999999986</v>
      </c>
      <c r="I158" s="3">
        <f>0+(1256.4-396.7)+(0+(1.922292-0.606951))+0-0-0</f>
        <v>861.01534100000003</v>
      </c>
      <c r="J158" s="3">
        <f>0+(1235.1-366.4)+(0+(-0.629901--0.186864))+0-0-0</f>
        <v>868.25696299999993</v>
      </c>
      <c r="K158" s="3">
        <f>0+(1216.5-351.2)+(0+(-3.102075--0.89556))+0-0-0</f>
        <v>863.09348499999999</v>
      </c>
      <c r="L158" s="3">
        <f>0+(1186.1-337.2)+(0+(-2.419644--0.687888))+0-0-0</f>
        <v>847.16824399999985</v>
      </c>
      <c r="M158" s="3">
        <f>0+(1165.6-300.1)+(0+(1.188912-0.306102))+0-0-0</f>
        <v>866.38280999999984</v>
      </c>
      <c r="N158" s="3">
        <f>0+(1286.9-388.3)+(0+(0-0))+0-0-0</f>
        <v>898.60000000000014</v>
      </c>
      <c r="O158" s="3">
        <f>86.5+(1380.9-511.4)+(0.044115+(0.704259-0.260814))+0-0-0</f>
        <v>956.48756000000014</v>
      </c>
      <c r="P158" s="3">
        <f>187.3+(1221.2-426.2)+(0.382092+(2.491248-0.869448))+0-0-0</f>
        <v>984.30389199999991</v>
      </c>
      <c r="Q158" s="3">
        <f>337.5+(1186.3-506)+(-0.860625+(-3.025065--1.2903))+0-0-0</f>
        <v>1015.20461</v>
      </c>
      <c r="R158" s="3">
        <f>331+(1203.7-519.7)+(0.33762+(1.227774-0.530094))+0-0-0</f>
        <v>1016.0353</v>
      </c>
      <c r="S158" s="3">
        <f>329.1+(1183.8-536.7)+(-0.503523+(-1.811214--0.821151))+0-0-0</f>
        <v>974.70641399999988</v>
      </c>
      <c r="T158" s="3">
        <f>329.9+(1222-560.3)+(0.168249+(0.62322-0.285753))+0-0-0</f>
        <v>992.10571600000003</v>
      </c>
      <c r="U158" s="3">
        <f>329.7+(1145.7-499)+(0+(0-0))+0-0-0</f>
        <v>976.40000000000009</v>
      </c>
      <c r="V158" s="3">
        <f>295.3+(1141-465)+(-0.753015+(-2.90955--1.18575))+0-0-0</f>
        <v>968.82318499999997</v>
      </c>
      <c r="W158" s="3">
        <f>116.1+(1235.6-393.5)+(-0.177633+(-1.890468--0.602055))+0-0-0</f>
        <v>956.73395399999993</v>
      </c>
      <c r="X158" s="3">
        <f>6.6+(1271.9-366.3)+(-0.010098+(-1.946007--0.560439))+0-0-0</f>
        <v>910.80433400000015</v>
      </c>
      <c r="Y158" s="3">
        <f>0+(1273.7-364.5)+(0+(1.299174-0.37179))+0-0-0</f>
        <v>910.12738400000001</v>
      </c>
      <c r="Z158" s="3">
        <f>0+(1391-445.6)+(0+(-4.96587--1.590792))+0-0-0</f>
        <v>942.02492199999995</v>
      </c>
      <c r="AA158" s="3">
        <f>0+(1373.4-429.7)+(0+(-2.101302--0.657441))+0-0-0</f>
        <v>942.25613900000008</v>
      </c>
      <c r="AB158" s="3">
        <f>0+(1306.8-376.2)+(0+(0.666468-0.191862))+0-0-0</f>
        <v>931.0746059999999</v>
      </c>
      <c r="AC158" s="3">
        <f>0+(1268.3-355.5)+(0+(-3.234165--0.906525))+0-0-0</f>
        <v>910.47235999999998</v>
      </c>
      <c r="AD158">
        <v>943.6</v>
      </c>
      <c r="AE158" s="3">
        <f>0+(1396.7-453.1)+(0+(0-0))+0-0-0</f>
        <v>943.6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0+(1275.7-380.8)+(0+(-3.253035--0.97104))+0-0-0</f>
        <v>892.61800500000004</v>
      </c>
      <c r="G159" s="3">
        <f>0+(1302.5-436.8)+(0+(-3.321375--1.11384))+0-0-0</f>
        <v>863.49246500000004</v>
      </c>
      <c r="H159" s="3">
        <f>0+(1256.7-419.9)+(0+(1.281834-0.428298))+0-0-0</f>
        <v>837.65353600000003</v>
      </c>
      <c r="I159" s="3">
        <f>0+(1220.2-400.2)+(0+(-1.866906--0.612306))+0-0-0</f>
        <v>818.74540000000002</v>
      </c>
      <c r="J159" s="3">
        <f>0+(1216.7-396.2)+(0+(0-0))+0-0-0</f>
        <v>820.5</v>
      </c>
      <c r="K159" s="3">
        <f>0+(1222.8-413.3)+(0+(-3.11814--1.053915))+0-0-0</f>
        <v>807.43577500000004</v>
      </c>
      <c r="L159" s="3">
        <f>0+(1134.7-364.4)+(0+(-4.050879--1.300908))+0-0-0</f>
        <v>767.55002900000011</v>
      </c>
      <c r="M159" s="3">
        <f>0+(1146-395.6)+(0+(0.58446-0.201756))+0-0-0</f>
        <v>750.78270399999997</v>
      </c>
      <c r="N159" s="3">
        <f>0+(1104.5-333.7)+(0+(0.563295-0.170187))+0-0-0</f>
        <v>771.19310799999994</v>
      </c>
      <c r="O159" s="3">
        <f>0+(1121-313.4)+(0+(-1.14342--0.319668))+0-0-0</f>
        <v>806.77624800000001</v>
      </c>
      <c r="P159" s="3">
        <f>0+(1145.2-317.8)+(0+(1.168104-0.324156))+0-0-0</f>
        <v>828.24394800000005</v>
      </c>
      <c r="Q159" s="3">
        <f>0+(1160.5-320.1)+(0+(2.36742-0.653004))+0-0-0</f>
        <v>842.11441600000001</v>
      </c>
      <c r="R159" s="3">
        <f>0+(1191.9-354.1)+(0+(-1.823607--0.541773))+0-0-0</f>
        <v>836.51816600000006</v>
      </c>
      <c r="S159" s="3">
        <f>0+(1196.2-358.5)+(0+(-1.220124--0.36567))+0-0-0</f>
        <v>836.84554600000001</v>
      </c>
      <c r="T159" s="3">
        <f>0+(1222-380.4)+(0+(0.62322-0.194004))+0-0-0</f>
        <v>842.02921600000002</v>
      </c>
      <c r="U159" s="3">
        <f>0+(1237.4-408.3)+(0+(0-0))+0-0-0</f>
        <v>829.10000000000014</v>
      </c>
      <c r="V159" s="3">
        <f>0+(1253-430.1)+(0+(0-0))+0-0-0</f>
        <v>822.9</v>
      </c>
      <c r="W159" s="3">
        <f>0+(1271.4-446.8)+(0+(0-0))+0-0-0</f>
        <v>824.60000000000014</v>
      </c>
      <c r="X159" s="3">
        <f>0+(1212.4-394.8)+(0+(-1.854972--0.604044))+0-0-0</f>
        <v>816.34907200000009</v>
      </c>
      <c r="Y159" s="3">
        <f>0+(1179.1-335.1)+(0+(1.804023-0.512703))+0-0-0</f>
        <v>845.29131999999993</v>
      </c>
      <c r="Z159" s="3">
        <f>0+(1330-437)+(0+(-1.3566--0.44574))+0-0-0</f>
        <v>892.08914000000004</v>
      </c>
      <c r="AA159" s="3">
        <f>0+(1343.3-453.3)+(0+(-0.685083--0.231183))+0-0-0</f>
        <v>889.54610000000002</v>
      </c>
      <c r="AB159" s="3">
        <f>0+(1332.5-435.4)+(0+(-1.35915--0.444108))+0-0-0</f>
        <v>896.18495800000005</v>
      </c>
      <c r="AC159" s="3">
        <f>0+(1300-417.7)+(0+(0.663-0.213027))+0-0-0</f>
        <v>882.74997299999995</v>
      </c>
      <c r="AD159">
        <v>735.2</v>
      </c>
      <c r="AE159" s="3">
        <f>0+(1326.4-443.2)+(0+(0-0))+0-0-0</f>
        <v>883.2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0+(1241-410.2)+(0+(-0.63291--0.209202))+0-0-0</f>
        <v>830.37629199999992</v>
      </c>
      <c r="G160" s="3">
        <f>0+(1227.9-420.9)+(0+(-3.757374--1.287954))+0-0-0</f>
        <v>804.5305800000001</v>
      </c>
      <c r="H160" s="3">
        <f>0+(1182.7-400.2)+(0+(-2.412708--0.816408))+0-0-0</f>
        <v>780.90369999999996</v>
      </c>
      <c r="I160" s="3">
        <f>0+(1162.8-383.6)+(0+(0.593028-0.195636))+0-0-0</f>
        <v>779.5973919999999</v>
      </c>
      <c r="J160" s="3">
        <f>0+(1077-286)+(0+(1.09854-0.29172))+0-0-0</f>
        <v>791.80682000000002</v>
      </c>
      <c r="K160" s="3">
        <f>0+(1084.1-294.8)+(0+(-0.552891--0.150348))+0-0-0</f>
        <v>788.89745699999992</v>
      </c>
      <c r="L160" s="3">
        <f>0+(1087-288.3)+(0+(-2.77185--0.735165))+0-0-0</f>
        <v>796.66331500000001</v>
      </c>
      <c r="M160" s="3">
        <f>0+(1095.5-263.9)+(0+(-1.11741--0.269178))+0-0-0</f>
        <v>830.75176799999997</v>
      </c>
      <c r="N160" s="3">
        <f>2.1+(1234.7-359.4)+(-0.002142+(-1.259394--0.366588))+0-0-0</f>
        <v>876.50505200000009</v>
      </c>
      <c r="O160" s="3">
        <f>0+(1376.3-427.3)+(0+(1.403826-0.435846))+0-0-0</f>
        <v>949.96798000000001</v>
      </c>
      <c r="P160" s="3">
        <f>0+(1419.7-437.8)+(0+(0.724047-0.223278))+0-0-0</f>
        <v>982.40076900000008</v>
      </c>
      <c r="Q160" s="3">
        <f>6.8+(1356.3-362.7)+(0.006936+(1.383426-0.369954))+0-0-0</f>
        <v>1001.4204079999998</v>
      </c>
      <c r="R160" s="3">
        <f>171.3+(1218.9-385.6)+(-0.087363+(-0.621639--0.196656))+0-0-0</f>
        <v>1004.0876540000002</v>
      </c>
      <c r="S160" s="3">
        <f>219.9+(1192.2-430.2)+(-0.336447+(-1.824066--0.658206))+0-0-0</f>
        <v>980.397693</v>
      </c>
      <c r="T160" s="3">
        <f>220.1+(1196.2-422)+(-0.112251+(-0.610062--0.21522))+0-0-0</f>
        <v>993.79290700000001</v>
      </c>
      <c r="U160" s="3">
        <f>220.1+(1221.6-454.1)+(-0.224502+(-1.246032--0.463182))+0-0-0</f>
        <v>986.59264799999994</v>
      </c>
      <c r="V160" s="3">
        <f>215.9+(1231.1-470.9)+(-0.660654+(-3.767166--1.440954))+0-0-0</f>
        <v>973.11313399999995</v>
      </c>
      <c r="W160" s="3">
        <f>68.5+(1332.5-449.8)+(-0.06987+(-1.35915--0.458796))+0-0-0</f>
        <v>950.22977600000002</v>
      </c>
      <c r="X160" s="3">
        <f>0+(1323.5-383.4)+(0+(-2.024955--0.586602))+0-0-0</f>
        <v>938.66164700000002</v>
      </c>
      <c r="Y160" s="3">
        <f>0+(1264.4-330.9)+(0+(0-0))+0-0-0</f>
        <v>933.50000000000011</v>
      </c>
      <c r="Z160" s="3">
        <f>0+(1403.8-428.7)+(0+(-1.431876--0.437274))+0-0-0</f>
        <v>974.10539799999992</v>
      </c>
      <c r="AA160" s="3">
        <f>0+(1385.7-410.2)+(0+(-3.533535--1.04601))+0-0-0</f>
        <v>973.01247499999999</v>
      </c>
      <c r="AB160" s="3">
        <f>0+(1343.6-384.3)+(0+(-2.055708--0.587979))+0-0-0</f>
        <v>957.83227099999999</v>
      </c>
      <c r="AC160" s="3">
        <f>0+(1314.1-371)+(0+(0.670191-0.18921))+0-0-0</f>
        <v>943.58098099999995</v>
      </c>
      <c r="AD160">
        <v>983.9</v>
      </c>
      <c r="AE160" s="3">
        <f>0+(1416.8-432.9)+(0+(0-0))+0-0-0</f>
        <v>983.9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0+(1280-371.7)+(0+(-1.3056--0.379134))+0-0-0</f>
        <v>907.37353399999995</v>
      </c>
      <c r="G161" s="3">
        <f>0+(1215.9-349.9)+(0+(-1.240218--0.356898))+0-0-0</f>
        <v>865.11668000000009</v>
      </c>
      <c r="H161" s="3">
        <f>0+(1175.5-333.8)+(0+(-2.39802--0.680952))+0-0-0</f>
        <v>839.98293200000001</v>
      </c>
      <c r="I161" s="3">
        <f>0+(1143.9-310.5)+(0+(0.583389-0.158355))+0-0-0</f>
        <v>833.82503400000007</v>
      </c>
      <c r="J161" s="3">
        <f>0+(1123.6-283.7)+(0+(1.146072-0.289374))+0-0-0</f>
        <v>840.75669799999991</v>
      </c>
      <c r="K161" s="3">
        <f>0+(1144.3-301.2)+(0+(-2.917965--0.76806))+0-0-0</f>
        <v>840.95009499999992</v>
      </c>
      <c r="L161" s="3">
        <f>0+(1164.1-330.5)+(0+(-2.374764--0.67422))+0-0-0</f>
        <v>831.89945599999987</v>
      </c>
      <c r="M161" s="3">
        <f>0+(1199.9-340.4)+(0+(0.611949-0.173604))+0-0-0</f>
        <v>859.93834500000014</v>
      </c>
      <c r="N161" s="3">
        <f>0+(1232.3-320.9)+(0+(0.628473-0.163659))+0-0-0</f>
        <v>911.86481400000002</v>
      </c>
      <c r="O161" s="3">
        <f>0+(1267.2-328.4)+(0+(-1.292544--0.334968))+0-0-0</f>
        <v>937.84242400000005</v>
      </c>
      <c r="P161" s="3">
        <f>0+(1331.5-366)+(0+(0.679065-0.18666))+0-0-0</f>
        <v>965.99240499999996</v>
      </c>
      <c r="Q161" s="3">
        <f>0+(1372.9-394.3)+(0+(-0.700179--0.201093))+0-0-0</f>
        <v>978.1009140000001</v>
      </c>
      <c r="R161" s="3">
        <f>0+(1399.8-396.1)+(0+(0.713898-0.202011))+0-0-0</f>
        <v>1004.2118869999999</v>
      </c>
      <c r="S161" s="3">
        <f>0+(1380.3-424.8)+(0+(-2.815812--0.866592))+0-0-0</f>
        <v>953.55078000000003</v>
      </c>
      <c r="T161" s="3">
        <f>0+(1380.7-408.4)+(0+(-2.112471--0.624852))+0-0-0</f>
        <v>970.81238100000007</v>
      </c>
      <c r="U161" s="3">
        <f>0+(1355.1-402.2)+(0+(-1.382202--0.410244))+0-0-0</f>
        <v>951.92804199999989</v>
      </c>
      <c r="V161" s="3">
        <f>0+(1362.1-407.9)+(0+(-1.389342--0.416058))+0-0-0</f>
        <v>953.2267159999999</v>
      </c>
      <c r="W161" s="3">
        <f>0+(1328.4-386.2)+(0+(-3.38742--0.98481))+0-0-0</f>
        <v>939.79739000000006</v>
      </c>
      <c r="X161" s="3">
        <f>0+(1247.4-323.1)+(0+(-3.817044--0.988686))+0-0-0</f>
        <v>921.47164200000009</v>
      </c>
      <c r="Y161" s="3">
        <f>0+(1237.2-295.3)+(0+(0-0))+0-0-0</f>
        <v>941.90000000000009</v>
      </c>
      <c r="Z161" s="3">
        <f>0+(1343.9-377)+(0+(-2.741556--0.76908))+0-0-0</f>
        <v>964.92752400000006</v>
      </c>
      <c r="AA161" s="3">
        <f>0+(1321.4-353.4)+(0+(-3.36957--0.90117))+0-0-0</f>
        <v>965.53160000000014</v>
      </c>
      <c r="AB161" s="3">
        <f>0+(1265.4-314)+(0+(-2.581416--0.64056))+0-0-0</f>
        <v>949.45914400000004</v>
      </c>
      <c r="AC161" s="3">
        <f>0+(1222.9-282.7)+(0+(-1.871037--0.432531))+0-0-0</f>
        <v>938.76149400000008</v>
      </c>
      <c r="AD161">
        <v>967</v>
      </c>
      <c r="AE161" s="3">
        <f>0+(1328.5-361.5)+(0+(0-0))+0-0-0</f>
        <v>967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0+(1245.8-347)+(0+(-0.635358--0.17697))+0-0-0</f>
        <v>898.34161199999994</v>
      </c>
      <c r="G162" s="3">
        <f>0+(1138.9-286.8)+(0+(0-0))+0-0-0</f>
        <v>852.10000000000014</v>
      </c>
      <c r="H162" s="3">
        <f>0+(1090.3-261)+(0+(0-0))+0-0-0</f>
        <v>829.3</v>
      </c>
      <c r="I162" s="3">
        <f>0+(1050-239.3)+(0+(-1.6065--0.366129))+0-0-0</f>
        <v>809.45962900000006</v>
      </c>
      <c r="J162" s="3">
        <f>0+(1053-237)+(0+(0.53703-0.12087))+0-0-0</f>
        <v>816.41615999999999</v>
      </c>
      <c r="K162" s="3">
        <f>0+(1093.5-277)+(0+(-0.557685--0.14127))+0-0-0</f>
        <v>816.08358499999997</v>
      </c>
      <c r="L162" s="3">
        <f>0+(1117.9-305.1)+(0+(-2.280516--0.622404))+0-0-0</f>
        <v>811.14188800000011</v>
      </c>
      <c r="M162" s="3">
        <f>0+(1125.1-295.7)+(0+(-2.295204--0.603228))+0-0-0</f>
        <v>827.70802399999991</v>
      </c>
      <c r="N162" s="3">
        <f>0+(1291.8-404.1)+(0+(1.317636-0.412182))+0-0-0</f>
        <v>888.6054539999999</v>
      </c>
      <c r="O162" s="3">
        <f>0+(1366.5-427.7)+(0+(0.696915-0.218127))+0-0-0</f>
        <v>939.27878799999996</v>
      </c>
      <c r="P162" s="3">
        <f>0+(1373.3-413.2)+(0+(0-0))+0-0-0</f>
        <v>960.09999999999991</v>
      </c>
      <c r="Q162" s="3">
        <f>0+(1409.3-423.8)+(0+(-0.718743--0.216138))+0-0-0</f>
        <v>984.99739499999998</v>
      </c>
      <c r="R162" s="3">
        <f>0+(1359.4-383)+(0+(-2.773176--0.78132))+0-0-0</f>
        <v>974.40814400000011</v>
      </c>
      <c r="S162" s="3">
        <f>0+(1227.9-293.9)+(0+(-4.383603--1.049223))+0-0-0</f>
        <v>930.6656200000001</v>
      </c>
      <c r="T162" s="3">
        <f>0+(1254.7-319.1)+(0+(-3.199485--0.813705))+0-0-0</f>
        <v>933.21422000000007</v>
      </c>
      <c r="U162" s="3">
        <f>0+(1259.9-348.1)+(0+(-1.927647--0.532593))+0-0-0</f>
        <v>910.40494600000011</v>
      </c>
      <c r="V162" s="3">
        <f>0+(1316.4-401.8)+(0+(-2.014092--0.614754))+0-0-0</f>
        <v>913.20066200000019</v>
      </c>
      <c r="W162" s="3">
        <f>0+(1304.7-401.5)+(0+(-1.996191--0.614295))+0-0-0</f>
        <v>901.81810400000006</v>
      </c>
      <c r="X162" s="3">
        <f>0+(1332.4-433.2)+(0+(0.679524-0.220932))+0-0-0</f>
        <v>899.658592</v>
      </c>
      <c r="Y162" s="3">
        <f>0+(1344.8-427.9)+(0+(-1.371696--0.436458))+0-0-0</f>
        <v>915.96476199999995</v>
      </c>
      <c r="Z162" s="3">
        <f>0+(1407.3-447.4)+(0+(-4.306338--1.369044))+0-0-0</f>
        <v>956.96270600000003</v>
      </c>
      <c r="AA162" s="3">
        <f>0+(1388.2-429.9)+(0+(-2.831928--0.876996))+0-0-0</f>
        <v>956.34506800000008</v>
      </c>
      <c r="AB162" s="3">
        <f>0+(1387.9-442.9)+(0+(0.707829-0.225879))+0-0-0</f>
        <v>945.4819500000001</v>
      </c>
      <c r="AC162" s="3">
        <f>0+(1379.3-439)+(0+(-1.406886--0.44778))+0-0-0</f>
        <v>939.34089399999993</v>
      </c>
      <c r="AD162">
        <v>954.5</v>
      </c>
      <c r="AE162" s="3">
        <f>0+(1416.2-461.7)+(0+(0-0))+0-0-0</f>
        <v>954.5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0+(1405.3-514.9)+(0+(0-0))+0-0-0</f>
        <v>890.4</v>
      </c>
      <c r="G163" s="3">
        <f>0+(1239.6-396.4)+(0+(0-0))+0-0-0</f>
        <v>843.19999999999993</v>
      </c>
      <c r="H163" s="3">
        <f>0+(1151-325)+(0+(1.76103-0.49725))+0-0-0</f>
        <v>827.26378</v>
      </c>
      <c r="I163" s="3">
        <f>0+(1139.6-321.7)+(0+(0-0))+0-0-0</f>
        <v>817.89999999999986</v>
      </c>
      <c r="J163" s="3">
        <f>0+(1137.2-310.1)+(0+(0-0))+0-0-0</f>
        <v>827.1</v>
      </c>
      <c r="K163" s="3">
        <f>0+(1168.8-336.4)+(0+(-4.172616--1.200948))+0-0-0</f>
        <v>829.42833199999995</v>
      </c>
      <c r="L163" s="3">
        <f>0+(1211.2-385.8)+(0+(-4.323984--1.377306))+0-0-0</f>
        <v>822.45332200000007</v>
      </c>
      <c r="M163" s="3">
        <f>0+(1250.7-406.5)+(0+(0-0))+0-0-0</f>
        <v>844.2</v>
      </c>
      <c r="N163" s="3">
        <f>0+(1259.8-363.5)+(0+(1.284996-0.37077))+0-0-0</f>
        <v>897.21422599999994</v>
      </c>
      <c r="O163" s="3">
        <f>0+(1271.1-359)+(0+(1.296522-0.36618))+0-0-0</f>
        <v>913.03034199999991</v>
      </c>
      <c r="P163" s="3">
        <f>0+(1285.1-331.5)+(0+(0.655401-0.169065))+0-0-0</f>
        <v>954.08633599999996</v>
      </c>
      <c r="Q163" s="3">
        <f>0+(1278.4-327.4)+(0+(0.651984-0.166974))+0-0-0</f>
        <v>951.4850100000001</v>
      </c>
      <c r="R163" s="3">
        <f>0+(1255.8-295.6)+(0+(-1.921374--0.452268))+0-0-0</f>
        <v>958.73089399999992</v>
      </c>
      <c r="S163" s="3">
        <f>0+(1244.7-314.6)+(0+(-2.539188--0.641784))+0-0-0</f>
        <v>928.20259599999997</v>
      </c>
      <c r="T163" s="3">
        <f>0+(1232.4-307.2)+(0+(-0.628524--0.156672))+0-0-0</f>
        <v>924.72814800000003</v>
      </c>
      <c r="U163" s="3">
        <f>0+(1223-299.7)+(0+(0.62373-0.152847))+0-0-0</f>
        <v>923.77088299999991</v>
      </c>
      <c r="V163" s="3">
        <f>0+(1223-312.3)+(0+(-1.87119--0.477819))+0-0-0</f>
        <v>909.30662900000004</v>
      </c>
      <c r="W163" s="3">
        <f>0+(1195.6-300.4)+(0+(-3.658536--0.919224))+0-0-0</f>
        <v>892.46068799999989</v>
      </c>
      <c r="X163" s="3">
        <f>0+(1191.8-317.7)+(0+(-3.646908--0.972162))+0-0-0</f>
        <v>871.42525399999988</v>
      </c>
      <c r="Y163" s="3">
        <f>0+(1178-287.6)+(0+(-1.80234--0.440028))+0-0-0</f>
        <v>889.037688</v>
      </c>
      <c r="Z163" s="3">
        <f>0+(1211.6-272)+(0+(-3.08958--0.6936))+0-0-0</f>
        <v>937.2040199999999</v>
      </c>
      <c r="AA163" s="3">
        <f>0+(1221.4-279.6)+(0+(-4.983312--1.140768))+0-0-0</f>
        <v>937.95745600000009</v>
      </c>
      <c r="AB163" s="3">
        <f>0+(1232-312.9)+(0+(0-0))+0-0-0</f>
        <v>919.1</v>
      </c>
      <c r="AC163" s="3">
        <f>0+(1268.3-349.6)+(0+(0.646833-0.178296))+0-0-0</f>
        <v>919.1685369999999</v>
      </c>
      <c r="AD163">
        <v>956.90000000000009</v>
      </c>
      <c r="AE163" s="3">
        <f>0+(1232.7-275.8)+(0+(0-0))+0-0-0</f>
        <v>956.90000000000009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0+(1356.5-464.1)+(0+(0-0))+0-0-0</f>
        <v>892.4</v>
      </c>
      <c r="G164" s="3">
        <f>0+(1277.6-428.2)+(0+(-0.651576--0.218382))+0-0-0</f>
        <v>848.96680599999991</v>
      </c>
      <c r="H164" s="3">
        <f>0+(1209.8-392.8)+(0+(-1.233996--0.400656))+0-0-0</f>
        <v>816.16665999999998</v>
      </c>
      <c r="I164" s="3">
        <f>0+(1197.9-404.6)+(0+(0.610929-0.206346))+0-0-0</f>
        <v>793.70458300000007</v>
      </c>
      <c r="J164" s="3">
        <f>0+(1168.7-381.6)+(0+(0-0))+0-0-0</f>
        <v>787.1</v>
      </c>
      <c r="K164" s="3">
        <f>0+(1060.7-293.6)+(0+(0-0))+0-0-0</f>
        <v>767.1</v>
      </c>
      <c r="L164" s="3">
        <f>0+(1002.9-283.1)+(0+(-3.580353--1.010667))+0-0-0</f>
        <v>717.23031399999991</v>
      </c>
      <c r="M164" s="3">
        <f>0+(1018.1-322.8)+(0+(-1.557693--0.493884))+0-0-0</f>
        <v>694.23619099999996</v>
      </c>
      <c r="N164" s="3">
        <f>0+(1074.6-351.3)+(0+(1.644138-0.537489))+0-0-0</f>
        <v>724.4066489999999</v>
      </c>
      <c r="O164" s="3">
        <f>0+(1105.6-352.3)+(0+(1.127712-0.359346))+0-0-0</f>
        <v>754.06836599999997</v>
      </c>
      <c r="P164" s="3">
        <f>0+(1135.5-363.4)+(0+(-0.579105--0.185334))+0-0-0</f>
        <v>771.70622900000001</v>
      </c>
      <c r="Q164" s="3">
        <f>0+(1150.5-361.8)+(0+(0-0))+0-0-0</f>
        <v>788.7</v>
      </c>
      <c r="R164" s="3">
        <f>0+(1107.7-319.9)+(0+(-0.564927--0.163149))+0-0-0</f>
        <v>787.39822200000003</v>
      </c>
      <c r="S164" s="3">
        <f>0+(1073.2-304.9)+(0+(0-0))+0-0-0</f>
        <v>768.30000000000007</v>
      </c>
      <c r="T164" s="3">
        <f>0+(1078.2-308.2)+(0+(-2.74941--0.78591))+0-0-0</f>
        <v>768.03650000000005</v>
      </c>
      <c r="U164" s="3">
        <f>0+(1106-341.3)+(0+(-2.8203--0.870315))+0-0-0</f>
        <v>762.75001500000008</v>
      </c>
      <c r="V164" s="3">
        <f>0+(1128.6-366.2)+(0+(0-0))+0-0-0</f>
        <v>762.39999999999986</v>
      </c>
      <c r="W164" s="3">
        <f>0+(1104.5-336.7)+(0+(-3.37977--1.030302))+0-0-0</f>
        <v>765.45053199999995</v>
      </c>
      <c r="X164" s="3">
        <f>0+(1123-355.2)+(0+(-1.71819--0.543456))+0-0-0</f>
        <v>766.62526600000001</v>
      </c>
      <c r="Y164" s="3">
        <f>0+(1099-316.8)+(0+(-0.56049--0.161568))+0-0-0</f>
        <v>781.80107800000008</v>
      </c>
      <c r="Z164" s="3">
        <f>0+(1228-359.1)+(0+(-3.1314--0.915705))+0-0-0</f>
        <v>866.68430499999999</v>
      </c>
      <c r="AA164" s="3">
        <f>0+(1280.5-412.9)+(0+(-3.265275--1.052895))+0-0-0</f>
        <v>865.38761999999997</v>
      </c>
      <c r="AB164" s="3">
        <f>0+(1456.2-592.2)+(0+(-2.970648--1.208088))+0-0-0</f>
        <v>862.23743999999999</v>
      </c>
      <c r="AC164" s="3">
        <f>0+(1393-550.8)+(0+(0-0))+0-0-0</f>
        <v>842.2</v>
      </c>
      <c r="AD164">
        <v>873.50000000000011</v>
      </c>
      <c r="AE164" s="3">
        <f>0+(1270.4-396.9)+(0+(0-0))+0-0-0</f>
        <v>873.50000000000011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0+(1293.9-499.3)+(0+(-0.659889--0.254643))+0-0-0</f>
        <v>794.1947540000001</v>
      </c>
      <c r="G165" s="3">
        <f>0+(1177.5-423.9)+(0+(-1.801575--0.648567))+0-0-0</f>
        <v>752.44699200000002</v>
      </c>
      <c r="H165" s="3">
        <f>0+(1097-368.1)+(0+(-0.55947--0.187731))+0-0-0</f>
        <v>728.52826099999993</v>
      </c>
      <c r="I165" s="3">
        <f>0+(1041-326.5)+(0+(-1.06182--0.33303))+0-0-0</f>
        <v>713.77121</v>
      </c>
      <c r="J165" s="3">
        <f>0+(988.1-285.9)+(0+(-0.503931--0.145809))+0-0-0</f>
        <v>701.84187800000007</v>
      </c>
      <c r="K165" s="3">
        <f>0+(976.1-273.3)+(0+(-1.991244--0.557532))+0-0-0</f>
        <v>701.36628799999994</v>
      </c>
      <c r="L165" s="3">
        <f>0+(1017.6-306.9)+(0+(-3.632832--1.095633))+0-0-0</f>
        <v>708.16280100000006</v>
      </c>
      <c r="M165" s="3">
        <f>0+(1060.7-336.6)+(0+(-1.081914--0.343332))+0-0-0</f>
        <v>723.36141800000007</v>
      </c>
      <c r="N165" s="3">
        <f>0+(1074.9-310.1)+(0+(0-0))+0-0-0</f>
        <v>764.80000000000007</v>
      </c>
      <c r="O165" s="3">
        <f>0+(1092.3-306.4)+(0+(0.557073-0.156264))+0-0-0</f>
        <v>786.30080899999996</v>
      </c>
      <c r="P165" s="3">
        <f>0+(1180.2-338.5)+(0+(-0.601902--0.172635))+0-0-0</f>
        <v>841.27073300000006</v>
      </c>
      <c r="Q165" s="3">
        <f>0+(1199.3-344.9)+(0+(-1.834929--0.527697))+0-0-0</f>
        <v>853.09276799999998</v>
      </c>
      <c r="R165" s="3">
        <f>0+(1202.3-342.2)+(0+(-0.613173--0.174522))+0-0-0</f>
        <v>859.66134899999986</v>
      </c>
      <c r="S165" s="3">
        <f>0+(1156.8-326.8)+(0+(-1.179936--0.333336))+0-0-0</f>
        <v>829.15340000000003</v>
      </c>
      <c r="T165" s="3">
        <f>0+(1152-324.5)+(0+(-0.58752--0.165495))+0-0-0</f>
        <v>827.07797500000004</v>
      </c>
      <c r="U165" s="3">
        <f>0+(1152.8-332)+(0+(-2.351712--0.67728))+0-0-0</f>
        <v>819.12556799999993</v>
      </c>
      <c r="V165" s="3">
        <f>0+(1137.8-324.9)+(0+(1.740834-0.497097))+0-0-0</f>
        <v>814.14373699999999</v>
      </c>
      <c r="W165" s="3">
        <f>0+(1147.2-325.6)+(0+(-2.340288--0.664224))+0-0-0</f>
        <v>819.92393600000003</v>
      </c>
      <c r="X165" s="3">
        <f>0+(1147.2-331.4)+(0+(-1.170144--0.338028))+0-0-0</f>
        <v>814.96788400000003</v>
      </c>
      <c r="Y165" s="3">
        <f>0+(1149-323.7)+(0+(0-0))+0-0-0</f>
        <v>825.3</v>
      </c>
      <c r="Z165" s="3">
        <f>0+(1235.1-325.7)+(0+(-1.889703--0.498321))+0-0-0</f>
        <v>908.00861799999984</v>
      </c>
      <c r="AA165" s="3">
        <f>0+(1275.6-372.1)+(0+(-3.25278--0.948855))+0-0-0</f>
        <v>901.19607499999984</v>
      </c>
      <c r="AB165" s="3">
        <f>0+(1290.8-406.5)+(0+(-1.974924--0.621945))+0-0-0</f>
        <v>882.94702099999995</v>
      </c>
      <c r="AC165" s="3">
        <f>0+(1265.1-405.6)+(0+(0.645201-0.206856))+0-0-0</f>
        <v>859.93834499999991</v>
      </c>
      <c r="AD165">
        <v>911.7</v>
      </c>
      <c r="AE165" s="3">
        <f>0+(1283.7-372)+(0+(0-0))+0-0-0</f>
        <v>911.7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0+(1293.7-474.4)+(0+(1.319574-0.483888))+0-0-0</f>
        <v>820.13568600000008</v>
      </c>
      <c r="G166" s="3">
        <f>0+(1216.1-432.6)+(0+(-1.860633--0.661878))+0-0-0</f>
        <v>782.30124499999988</v>
      </c>
      <c r="H166" s="3">
        <f>0+(1179.9-419.1)+(0+(-1.203498--0.427482))+0-0-0</f>
        <v>760.02398400000004</v>
      </c>
      <c r="I166" s="3">
        <f>0+(1154.3-403.6)+(0+(-2.943465--1.02918))+0-0-0</f>
        <v>748.78571499999998</v>
      </c>
      <c r="J166" s="3">
        <f>0+(1148.4-412.3)+(0+(-2.92842--1.051365))+0-0-0</f>
        <v>734.2229450000001</v>
      </c>
      <c r="K166" s="3">
        <f>0+(1168.2-442.4)+(0+(1.787346-0.676872))+0-0-0</f>
        <v>726.91047400000002</v>
      </c>
      <c r="L166" s="3">
        <f>0+(1161.9-442.3)+(0+(-3.555414--1.353438))+0-0-0</f>
        <v>717.39802400000019</v>
      </c>
      <c r="M166" s="3">
        <f>0+(1126.8-413)+(0+(0.574668-0.21063))+0-0-0</f>
        <v>714.16403800000001</v>
      </c>
      <c r="N166" s="3">
        <f>0+(1094.8-365.5)+(0+(1.675044-0.559215))+0-0-0</f>
        <v>730.41582899999992</v>
      </c>
      <c r="O166" s="3">
        <f>0+(1119.6-349.4)+(0+(0-0))+0-0-0</f>
        <v>770.19999999999993</v>
      </c>
      <c r="P166" s="3">
        <f>0+(1229.2-423.6)+(0+(1.880676-0.648108))+0-0-0</f>
        <v>806.83256800000004</v>
      </c>
      <c r="Q166" s="3">
        <f>0+(1289.5-463.5)+(0+(1.31529-0.47277))+0-0-0</f>
        <v>826.84252000000004</v>
      </c>
      <c r="R166" s="3">
        <f>0+(1256.9-430)+(0+(-2.564076--0.8772))+0-0-0</f>
        <v>825.21312400000011</v>
      </c>
      <c r="S166" s="3">
        <f>0+(1217.1-415.5)+(0+(0-0))+0-0-0</f>
        <v>801.59999999999991</v>
      </c>
      <c r="T166" s="3">
        <f>0+(1190.5-390.9)+(0+(0.607155-0.199359))+0-0-0</f>
        <v>800.00779599999998</v>
      </c>
      <c r="U166" s="3">
        <f>0+(1186.1-391.3)+(0+(-1.814733--0.598689))+0-0-0</f>
        <v>793.58395599999994</v>
      </c>
      <c r="V166" s="3">
        <f>0+(1174-378.4)+(0+(-2.39496--0.771936))+0-0-0</f>
        <v>793.97697600000004</v>
      </c>
      <c r="W166" s="3">
        <f>0+(1160-362.4)+(0+(-1.7748--0.554472))+0-0-0</f>
        <v>796.37967200000003</v>
      </c>
      <c r="X166" s="3">
        <f>0+(1102.7-312.1)+(0+(-2.811885--0.795855))+0-0-0</f>
        <v>788.58397000000002</v>
      </c>
      <c r="Y166" s="3">
        <f>0+(994.7-191.7)+(0+(0-0))+0-0-0</f>
        <v>803</v>
      </c>
      <c r="Z166" s="3">
        <f>0+(1102.3-230.8)+(0+(-1.686519--0.353124))+0-0-0</f>
        <v>870.166605</v>
      </c>
      <c r="AA166" s="3">
        <f>0+(1165.4-285.9)+(0+(-1.783062--0.437427))+0-0-0</f>
        <v>878.1543650000001</v>
      </c>
      <c r="AB166" s="3">
        <f>0+(1172.5-305.9)+(0+(-1.19595--0.312018))+0-0-0</f>
        <v>865.71606800000006</v>
      </c>
      <c r="AC166" s="3">
        <f>0+(1170.3-338.2)+(0+(-2.984265--0.86241))+0-0-0</f>
        <v>829.97814499999993</v>
      </c>
      <c r="AD166">
        <v>920.3</v>
      </c>
      <c r="AE166" s="3">
        <f>0+(1185.6-265.3)+(0+(0-0))+0-0-0</f>
        <v>920.3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0+(1222.4-387.5)+(0+(-2.493696--0.7905))+0-0-0</f>
        <v>833.19680400000004</v>
      </c>
      <c r="G167" s="3">
        <f>0+(1199.7-443.1)+(0+(-3.059235--1.129905))+0-0-0</f>
        <v>754.67066999999997</v>
      </c>
      <c r="H167" s="3">
        <f>0+(1203.5-459.5)+(0+(-2.45514--0.93738))+0-0-0</f>
        <v>742.48224000000005</v>
      </c>
      <c r="I167" s="3">
        <f>0+(1246.7-504.5)+(0+(-0.635817--0.257295))+0-0-0</f>
        <v>741.82147800000007</v>
      </c>
      <c r="J167" s="3">
        <f>0+(1215.4-478.9)+(0+(0-0))+0-0-0</f>
        <v>736.50000000000011</v>
      </c>
      <c r="K167" s="3">
        <f>0+(1195.5-454.6)+(0+(1.829115-0.695538))+0-0-0</f>
        <v>742.03357699999992</v>
      </c>
      <c r="L167" s="3">
        <f>0+(1187.4-417.8)+(0+(-3.633444--1.278468))+0-0-0</f>
        <v>767.24502400000017</v>
      </c>
      <c r="M167" s="3">
        <f>0+(1200.6-383.9)+(0+(1.224612-0.391578))+0-0-0</f>
        <v>817.53303399999993</v>
      </c>
      <c r="N167" s="3">
        <f>0+(1252-371.8)+(0+(1.91556-0.568854))+0-0-0</f>
        <v>881.54670600000009</v>
      </c>
      <c r="O167" s="3">
        <f>0+(1192-263.8)+(0+(0.60792-0.134538))+0-0-0</f>
        <v>928.67338200000006</v>
      </c>
      <c r="P167" s="3">
        <f>0+(1222.4-254.4)+(0+(0.623424-0.129744))+0-0-0</f>
        <v>968.49368000000015</v>
      </c>
      <c r="Q167" s="3">
        <f>0+(1273.8-349.5)+(0+(0-0))+0-0-0</f>
        <v>924.3</v>
      </c>
      <c r="R167" s="3">
        <f>0+(1386.6-401.6)+(0+(0-0))+0-0-0</f>
        <v>984.99999999999989</v>
      </c>
      <c r="S167" s="3">
        <f>0+(1401.1-444.4)+(0+(-2.143683--0.679932))+0-0-0</f>
        <v>955.23624899999993</v>
      </c>
      <c r="T167" s="3">
        <f>0+(1410.8-443.3)+(0+(0.719508-0.226083))+0-0-0</f>
        <v>967.993425</v>
      </c>
      <c r="U167" s="3">
        <f>0+(1395.9-419.2)+(0+(-2.135727--0.641376))+0-0-0</f>
        <v>975.20564899999999</v>
      </c>
      <c r="V167" s="3">
        <f>0+(1305.8-342.8)+(0+(-2.663832--0.699312))+0-0-0</f>
        <v>961.03548000000001</v>
      </c>
      <c r="W167" s="3">
        <f>0+(1194.3-260.1)+(0+(-3.045465--0.663255))+0-0-0</f>
        <v>931.81778999999995</v>
      </c>
      <c r="X167" s="3">
        <f>0+(1153.3-227.8)+(0+(-4.117281--0.813246))+0-0-0</f>
        <v>922.195965</v>
      </c>
      <c r="Y167" s="3">
        <f>0+(1090.9-164.7)+(0+(-1.112718--0.167994))+0-0-0</f>
        <v>925.25527600000009</v>
      </c>
      <c r="Z167" s="3">
        <f>0+(1160.6-173.5)+(0+(-0.591906--0.088485))+0-0-0</f>
        <v>986.59657899999991</v>
      </c>
      <c r="AA167" s="3">
        <f>0+(1172.5-206.8)+(0+(-4.185825--0.738276))+0-0-0</f>
        <v>962.25245100000006</v>
      </c>
      <c r="AB167" s="3">
        <f>0+(1161-226.1)+(0+(-1.18422--0.230622))+0-0-0</f>
        <v>933.94640199999992</v>
      </c>
      <c r="AC167" s="3">
        <f>0+(1144.5-230.1)+(0+(-1.16739--0.234702))+0-0-0</f>
        <v>913.46731199999999</v>
      </c>
      <c r="AD167">
        <v>1000.2</v>
      </c>
      <c r="AE167" s="3">
        <f>0+(1193.4-193.2)+(0+(0-0))+0-0-0</f>
        <v>1000.2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0+(1188.1-311.9)+(0+(-1.211862--0.318138))+0-0-0</f>
        <v>875.30627599999991</v>
      </c>
      <c r="G168" s="3">
        <f>0+(1174-339.5)+(0+(0-0))+0-0-0</f>
        <v>834.5</v>
      </c>
      <c r="H168" s="3">
        <f>0+(1086.1-271)+(0+(-0.553911--0.13821))+0-0-0</f>
        <v>814.6842989999999</v>
      </c>
      <c r="I168" s="3">
        <f>0+(1097.2-293.6)+(0+(-1.678716--0.449208))+0-0-0</f>
        <v>802.37049200000001</v>
      </c>
      <c r="J168" s="3">
        <f>0+(1097.2-300)+(0+(-1.119144--0.306))+0-0-0</f>
        <v>796.38685600000008</v>
      </c>
      <c r="K168" s="3">
        <f>0+(1093.3-300.8)+(0+(-1.115166--0.306816))+0-0-0</f>
        <v>791.69164999999998</v>
      </c>
      <c r="L168" s="3">
        <f>0+(1102.5-286.7)+(0+(-2.2491--0.584868))+0-0-0</f>
        <v>814.13576799999998</v>
      </c>
      <c r="M168" s="3">
        <f>0+(1097.3-260.2)+(0+(1.119246-0.265404))+0-0-0</f>
        <v>837.9538419999999</v>
      </c>
      <c r="N168" s="3">
        <f>0+(1142.5-250.7)+(0+(1.16535-0.255714))+0-0-0</f>
        <v>892.70963599999993</v>
      </c>
      <c r="O168" s="3">
        <f>0+(1184.6-239.2)+(0+(0-0))+0-0-0</f>
        <v>945.39999999999986</v>
      </c>
      <c r="P168" s="3">
        <f>0+(1258.6-288)+(0+(-1.283772--0.29376))+0-0-0</f>
        <v>969.60998799999993</v>
      </c>
      <c r="Q168" s="3">
        <f>0+(1261.5-263.3)+(0+(0.643365-0.134283))+0-0-0</f>
        <v>998.70908200000008</v>
      </c>
      <c r="R168" s="3">
        <f>0+(1261.5-265.9)+(0+(-0.643365--0.135609))+0-0-0</f>
        <v>995.09224400000005</v>
      </c>
      <c r="S168" s="3">
        <f>0+(1261.5-295.9)+(0+(-1.28673--0.301818))+0-0-0</f>
        <v>964.61508800000001</v>
      </c>
      <c r="T168" s="3">
        <f>0+(1270.3-287.9)+(0+(0.647853-0.146829))+0-0-0</f>
        <v>982.90102400000001</v>
      </c>
      <c r="U168" s="3">
        <f>0+(1222.2-245.8)+(0+(-1.246644--0.250716))+0-0-0</f>
        <v>975.40407200000004</v>
      </c>
      <c r="V168" s="3">
        <f>0+(1174.4-213.8)+(0+(-0.598944--0.109038))+0-0-0</f>
        <v>960.11009400000012</v>
      </c>
      <c r="W168" s="3">
        <f>0+(1198.8-249.8)+(0+(-1.834164--0.382194))+0-0-0</f>
        <v>947.54803000000004</v>
      </c>
      <c r="X168" s="3">
        <f>0+(1122.2-188.9)+(0+(-1.716966--0.289017))+0-0-0</f>
        <v>931.87205100000006</v>
      </c>
      <c r="Y168" s="3">
        <f>0+(1075.9-141.7)+(0+(-1.097418--0.144534))+0-0-0</f>
        <v>933.24711600000001</v>
      </c>
      <c r="Z168" s="3">
        <f>0+(1129.7-126.9)+(0+(-0.576147--0.064719))+0-0-0</f>
        <v>1002.288572</v>
      </c>
      <c r="AA168" s="3">
        <f>0+(1129.1-153)+(0+(-2.303364--0.31212))+0-0-0</f>
        <v>974.10875599999986</v>
      </c>
      <c r="AB168" s="3">
        <f>0+(1169.6-218.6)+(0+(-3.578976--0.668916))+0-0-0</f>
        <v>948.08993999999984</v>
      </c>
      <c r="AC168" s="3">
        <f>0+(1183.5-248.6)+(0+(-0.603585--0.126786))+0-0-0</f>
        <v>934.42320099999995</v>
      </c>
      <c r="AD168">
        <v>1015.8000000000001</v>
      </c>
      <c r="AE168" s="3">
        <f>0+(1185.2-169.4)+(0+(0-0))+0-0-0</f>
        <v>1015.8000000000001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0+(1204.6-303.1)+(0+(-0.614346--0.154581))+0-0-0</f>
        <v>901.04023499999994</v>
      </c>
      <c r="G169" s="3">
        <f>0+(1189.8-332.8)+(0+(-1.820394--0.509184))+0-0-0</f>
        <v>855.68879000000004</v>
      </c>
      <c r="H169" s="3">
        <f>0+(1069.9-243.2)+(0+(-0.545649--0.124032))+0-0-0</f>
        <v>826.27838300000008</v>
      </c>
      <c r="I169" s="3">
        <f>0+(1028.6-211.9)+(0+(-1.049172--0.216138))+0-0-0</f>
        <v>815.86696599999993</v>
      </c>
      <c r="J169" s="3">
        <f>0+(1041.3-238.7)+(0+(1.593189-0.365211))+0-0-0</f>
        <v>803.82797799999992</v>
      </c>
      <c r="K169" s="3">
        <f>0+(1032.9-235.5)+(0+(0-0))+0-0-0</f>
        <v>797.40000000000009</v>
      </c>
      <c r="L169" s="3">
        <f>0+(1010-199.6)+(0+(-3.0906--0.610776))+0-0-0</f>
        <v>807.92017599999997</v>
      </c>
      <c r="M169" s="3">
        <f>0+(1036.9-195)+(0+(0.528819-0.09945))+0-0-0</f>
        <v>842.32936900000004</v>
      </c>
      <c r="N169" s="3">
        <f>0+(1195-292)+(0+(-0.60945--0.14892))+0-0-0</f>
        <v>902.53947000000005</v>
      </c>
      <c r="O169" s="3">
        <f>0+(1342-402.4)+(0+(0.68442-0.205224))+0-0-0</f>
        <v>940.07919600000002</v>
      </c>
      <c r="P169" s="3">
        <f>0+(1274-362.9)+(0+(0.64974-0.185079))+0-0-0</f>
        <v>911.564661</v>
      </c>
      <c r="Q169" s="3">
        <f>0+(1202.3-220.6)+(0+(1.839519-0.337518))+0-0-0</f>
        <v>983.20200099999988</v>
      </c>
      <c r="R169" s="3">
        <f>0+(1303.9-301.2)+(0+(-1.994967--0.460836))+0-0-0</f>
        <v>1001.165869</v>
      </c>
      <c r="S169" s="3">
        <f>0+(1358.3-306.4)+(0+(0-0))+0-0-0</f>
        <v>1051.9000000000001</v>
      </c>
      <c r="T169" s="3">
        <f>0+(1295.9-306.8)+(0+(-0.660909--0.156468))+0-0-0</f>
        <v>988.59555900000009</v>
      </c>
      <c r="U169" s="3">
        <f>0+(1218.9-238.5)+(0+(1.243278-0.24327))+0-0-0</f>
        <v>981.40000800000007</v>
      </c>
      <c r="V169" s="3">
        <f>0+(1221.8-223)+(0+(0-0))+0-0-0</f>
        <v>998.8</v>
      </c>
      <c r="W169" s="3">
        <f>0+(1243.5-204.3)+(0+(-2.53674--0.416772))+0-0-0</f>
        <v>1037.0800320000001</v>
      </c>
      <c r="X169" s="3">
        <f>0+(1113.9-173.1)+(0+(-1.704267--0.264843))+0-0-0</f>
        <v>939.36057600000004</v>
      </c>
      <c r="Y169" s="3">
        <f>0+(1084.4-139.7)+(0+(0.553044-0.071247))+0-0-0</f>
        <v>945.18179700000007</v>
      </c>
      <c r="Z169" s="3">
        <f>0+(1190.7-176.8)+(0+(-1.214514--0.180336))+0-0-0</f>
        <v>1012.8658220000001</v>
      </c>
      <c r="AA169" s="3">
        <f>0+(1177.9-186.6)+(0+(-3.003645--0.47583))+0-0-0</f>
        <v>988.77218500000004</v>
      </c>
      <c r="AB169" s="3">
        <f>0+(1185-233.2)+(0+(-1.81305--0.356796))+0-0-0</f>
        <v>950.34374600000001</v>
      </c>
      <c r="AC169" s="3">
        <f>0+(1166.8-239.6)+(0+(-1.190136--0.244392))+0-0-0</f>
        <v>926.25425599999994</v>
      </c>
      <c r="AD169">
        <v>1032.5</v>
      </c>
      <c r="AE169" s="3">
        <f>0+(1219.6-187.1)+(0+(0-0))+0-0-0</f>
        <v>1032.5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0+(1151.7-268.5)+(0+(-1.762101--0.410805))+0-0-0</f>
        <v>881.848704</v>
      </c>
      <c r="G170" s="3">
        <f>0+(1183.3-321.6)+(0+(-1.810449--0.492048))+0-0-0</f>
        <v>860.38159899999994</v>
      </c>
      <c r="H170" s="3">
        <f>0+(1082.3-241.6)+(0+(-1.103946--0.246432))+0-0-0</f>
        <v>839.84248599999989</v>
      </c>
      <c r="I170" s="3">
        <f>0+(1084.5-254.5)+(0+(-1.659285--0.389385))+0-0-0</f>
        <v>828.73009999999999</v>
      </c>
      <c r="J170" s="3">
        <f>0+(1097-284.8)+(0+(0.55947-0.145248))+0-0-0</f>
        <v>812.61422200000004</v>
      </c>
      <c r="K170" s="3">
        <f>0+(1093.5-285.2)+(0+(1.11537-0.290904))+0-0-0</f>
        <v>809.12446599999998</v>
      </c>
      <c r="L170" s="3">
        <f>0+(1111.5-282.8)+(0+(-0.566865--0.144228))+0-0-0</f>
        <v>828.27736300000004</v>
      </c>
      <c r="M170" s="3">
        <f>0+(1071.6-213.4)+(0+(-1.093032--0.217668))+0-0-0</f>
        <v>857.32463599999994</v>
      </c>
      <c r="N170" s="3">
        <f>0+(1162.2-252.7)+(0+(-1.185444--0.257754))+0-0-0</f>
        <v>908.57231000000002</v>
      </c>
      <c r="O170" s="3">
        <f>0+(1224.4-269)+(0+(0.624444-0.13719))+0-0-0</f>
        <v>955.8872540000001</v>
      </c>
      <c r="P170" s="3">
        <f>0+(1284.4-238)+(0+(1.310088-0.24276))+0-0-0</f>
        <v>1047.4673280000002</v>
      </c>
      <c r="Q170" s="3">
        <f>0+(1232.1-231.6)+(0+(0-0))+0-0-0</f>
        <v>1000.4999999999999</v>
      </c>
      <c r="R170" s="3">
        <f>0+(1222.5-223.7)+(0+(0.623475-0.114087))+0-0-0</f>
        <v>999.3093879999999</v>
      </c>
      <c r="S170" s="3">
        <f>0+(1258.5-279.1)+(0+(-2.56734--0.569364))+0-0-0</f>
        <v>977.40202399999998</v>
      </c>
      <c r="T170" s="3">
        <f>0+(1295.9-302)+(0+(0.660909-0.15402))+0-0-0</f>
        <v>994.40688900000009</v>
      </c>
      <c r="U170" s="3">
        <f>0+(1281.4-294.2)+(0+(-1.960542--0.450126))+0-0-0</f>
        <v>985.68958400000008</v>
      </c>
      <c r="V170" s="3">
        <f>0+(1198.9-270)+(0+(-0.611439--0.1377))+0-0-0</f>
        <v>928.42626100000007</v>
      </c>
      <c r="W170" s="3">
        <f>0+(1165.5-195.1)+(0+(-1.783215--0.298503))+0-0-0</f>
        <v>968.91528800000003</v>
      </c>
      <c r="X170" s="3">
        <f>0+(1096.7-154.9)+(0+(-1.118634--0.157998))+0-0-0</f>
        <v>940.83936400000005</v>
      </c>
      <c r="Y170" s="3">
        <f>0+(1084.3-143.2)+(0+(0-0))+0-0-0</f>
        <v>941.09999999999991</v>
      </c>
      <c r="Z170" s="3">
        <f>0+(1218.9-178.2)+(0+(0-0))+0-0-0</f>
        <v>1040.7</v>
      </c>
      <c r="AA170" s="3">
        <f>0+(1242-225.7)+(0+(-3.1671--0.575535))+0-0-0</f>
        <v>1013.708435</v>
      </c>
      <c r="AB170" s="3">
        <f>0+(1232.7-278.6)+(0+(-3.143385--0.71043))+0-0-0</f>
        <v>951.66704500000003</v>
      </c>
      <c r="AC170" s="3">
        <f>0+(1267.5-296.4)+(0+(-1.939275--0.453492))+0-0-0</f>
        <v>969.61421700000005</v>
      </c>
      <c r="AD170">
        <v>1017.1999999999999</v>
      </c>
      <c r="AE170" s="3">
        <f>0+(1218.1-200.9)+(0+(0-0))+0-0-0</f>
        <v>1017.1999999999999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0+(1225.2-336.2)+(0+(-2.499408--0.685848))+0-0-0</f>
        <v>887.18643999999995</v>
      </c>
      <c r="G171" s="3">
        <f>0+(1213.2-359.8)+(0+(-1.856196--0.550494))+0-0-0</f>
        <v>852.09429800000009</v>
      </c>
      <c r="H171" s="3">
        <f>0+(1206.9-364.7)+(0+(-0.615519--0.185997))+0-0-0</f>
        <v>841.77047800000003</v>
      </c>
      <c r="I171" s="3">
        <f>0+(1203.7-367.3)+(0+(-2.455548--0.749292))+0-0-0</f>
        <v>834.69374400000004</v>
      </c>
      <c r="J171" s="3">
        <f>0+(1180.1-359.5)+(0+(-1.203702--0.36669))+0-0-0</f>
        <v>819.76298799999995</v>
      </c>
      <c r="K171" s="3">
        <f>0+(1171.2-364.8)+(0+(0.597312-0.186048))+0-0-0</f>
        <v>806.81126400000005</v>
      </c>
      <c r="L171" s="3">
        <f>0+(1146.4-320.1)+(0+(-4.092648--1.142757))+0-0-0</f>
        <v>823.35010900000009</v>
      </c>
      <c r="M171" s="3">
        <f>0+(1131.7-277.8)+(0+(1.154334-0.283356))+0-0-0</f>
        <v>854.77097800000013</v>
      </c>
      <c r="N171" s="3">
        <f>0+(1225.5-311.6)+(0+(-0.625005--0.158916))+0-0-0</f>
        <v>913.43391099999997</v>
      </c>
      <c r="O171" s="3">
        <f>0+(1237-288.7)+(0+(0-0))+0-0-0</f>
        <v>948.3</v>
      </c>
      <c r="P171" s="3">
        <f>0+(1176.9-220.6)+(0+(-0.600219--0.112506))+0-0-0</f>
        <v>955.81228700000008</v>
      </c>
      <c r="Q171" s="3">
        <f>0+(1167.5-201.7)+(0+(-0.595425--0.102867))+0-0-0</f>
        <v>965.30744199999992</v>
      </c>
      <c r="R171" s="3">
        <f>0+(1179.8-214.2)+(0+(-0.601698--0.109242))+0-0-0</f>
        <v>965.10754399999996</v>
      </c>
      <c r="S171" s="3">
        <f>0+(1198.9-265.9)+(0+(-1.834317--0.406827))+0-0-0</f>
        <v>931.57251000000008</v>
      </c>
      <c r="T171" s="3">
        <f>0+(1218.3-271.2)+(0+(-1.863999--0.414936))+0-0-0</f>
        <v>945.65093699999989</v>
      </c>
      <c r="U171" s="3">
        <f>0+(1211.9-268.4)+(0+(-3.090345--0.68442))+0-0-0</f>
        <v>941.09407500000009</v>
      </c>
      <c r="V171" s="3">
        <f>0+(1213.5-257.1)+(0+(-2.47554--0.524484))+0-0-0</f>
        <v>954.44894399999998</v>
      </c>
      <c r="W171" s="3">
        <f>0+(1217.4-282)+(0+(-3.725244--0.86292))+0-0-0</f>
        <v>932.53767600000015</v>
      </c>
      <c r="X171" s="3">
        <f>0+(1187.7-273.1)+(0+(-4.240089--0.974967))+0-0-0</f>
        <v>911.334878</v>
      </c>
      <c r="Y171" s="3">
        <f>0+(1118.6-183.3)+(0+(-0.570486--0.093483))+0-0-0</f>
        <v>934.82299699999999</v>
      </c>
      <c r="Z171" s="3">
        <f>0+(1158.6-167.6)+(0+(-2.363544--0.341904))+0-0-0</f>
        <v>988.97835999999984</v>
      </c>
      <c r="AA171" s="3">
        <f>0+(1184.1-216.1)+(0+(-3.623346--0.661266))+0-0-0</f>
        <v>965.03791999999987</v>
      </c>
      <c r="AB171" s="3">
        <f>0+(1198-255.8)+(0+(-3.0549--0.65229))+0-0-0</f>
        <v>939.79739000000006</v>
      </c>
      <c r="AC171" s="3">
        <f>0+(1161.4-246.6)+(0+(-1.184628--0.251532))+0-0-0</f>
        <v>913.86690400000009</v>
      </c>
      <c r="AD171">
        <v>999.7</v>
      </c>
      <c r="AE171" s="3">
        <f>0+(1205.5-205.8)+(0+(0-0))+0-0-0</f>
        <v>999.7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0+(1434.5-530.2)+(0+(-1.46319--0.540804))+0-0-0</f>
        <v>903.37761399999999</v>
      </c>
      <c r="G172" s="3">
        <f>0+(1353.2-488.4)+(0+(-2.070396--0.747252))+0-0-0</f>
        <v>863.47685600000011</v>
      </c>
      <c r="H172" s="3">
        <f>0+(1248.3-410.5)+(0+(-0.636633--0.209355))+0-0-0</f>
        <v>837.37272199999995</v>
      </c>
      <c r="I172" s="3">
        <f>0+(1124.7-304.6)+(0+(-1.147194--0.310692))+0-0-0</f>
        <v>819.26349800000003</v>
      </c>
      <c r="J172" s="3">
        <f>0+(1079-265.4)+(0+(0.55029-0.135354))+0-0-0</f>
        <v>814.01493600000003</v>
      </c>
      <c r="K172" s="3">
        <f>0+(1053.7-247.7)+(0+(-2.686935--0.631635))+0-0-0</f>
        <v>803.94470000000001</v>
      </c>
      <c r="L172" s="3">
        <f>0+(1078.9-264.6)+(0+(-2.200956--0.539784))+0-0-0</f>
        <v>812.6388280000001</v>
      </c>
      <c r="M172" s="3">
        <f>0+(1094.3-257.2)+(0+(-0.558093--0.131172))+0-0-0</f>
        <v>836.67307899999992</v>
      </c>
      <c r="N172" s="3">
        <f>0+(1152.1-243)+(0+(0.587571-0.12393))+0-0-0</f>
        <v>909.56364099999996</v>
      </c>
      <c r="O172" s="3">
        <f>0+(1128.6-199.6)+(0+(1.151172-0.203592))+0-0-0</f>
        <v>929.9475799999999</v>
      </c>
      <c r="P172" s="3">
        <f>0+(1167.7-217.5)+(0+(0.595527-0.110925))+0-0-0</f>
        <v>950.68460200000004</v>
      </c>
      <c r="Q172" s="3">
        <f>0+(1123-156.2)+(0+(1.14546-0.159324))+0-0-0</f>
        <v>967.78613599999994</v>
      </c>
      <c r="R172" s="3">
        <f>0+(1100.3-136.6)+(0+(0-0))+0-0-0</f>
        <v>963.69999999999993</v>
      </c>
      <c r="S172" s="3">
        <f>0+(1129.7-199.5)+(0+(-2.880735--0.508725))+0-0-0</f>
        <v>927.82799</v>
      </c>
      <c r="T172" s="3">
        <f>0+(1210.3-277.7)+(0+(1.234506-0.283254))+0-0-0</f>
        <v>933.55125199999986</v>
      </c>
      <c r="U172" s="3">
        <f>0+(1226.4-300)+(0+(-1.250928--0.306))+0-0-0</f>
        <v>925.45507200000009</v>
      </c>
      <c r="V172" s="3">
        <f>0+(1219.8-289.9)+(0+(-4.354686--1.034943))+0-0-0</f>
        <v>926.58025699999996</v>
      </c>
      <c r="W172" s="3">
        <f>0+(1159.9-249.5)+(0+(-2.957745--0.636225))+0-0-0</f>
        <v>908.07848000000013</v>
      </c>
      <c r="X172" s="3">
        <f>0+(1101-211.7)+(0+(-1.68453--0.323901))+0-0-0</f>
        <v>887.93937099999994</v>
      </c>
      <c r="Y172" s="3">
        <f>0+(1042.1-129.9)+(0+(-0.531471--0.066249))+0-0-0</f>
        <v>911.73477799999989</v>
      </c>
      <c r="Z172" s="3">
        <f>0+(1129.2-149.8)+(0+(-2.87946--0.38199))+0-0-0</f>
        <v>976.90253000000007</v>
      </c>
      <c r="AA172" s="3">
        <f>0+(1120.4-170.6)+(0+(-1.714212--0.261018))+0-0-0</f>
        <v>948.34680600000002</v>
      </c>
      <c r="AB172" s="3">
        <f>0+(1111.2-184.4)+(0+(-2.83356--0.47022))+0-0-0</f>
        <v>924.43666000000007</v>
      </c>
      <c r="AC172" s="3">
        <f>0+(1134.5-236.2)+(0+(0-0))+0-0-0</f>
        <v>898.3</v>
      </c>
      <c r="AD172">
        <v>985.7</v>
      </c>
      <c r="AE172" s="3">
        <f>0+(1155.2-169.5)+(0+(0-0))+0-0-0</f>
        <v>985.7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0+(1112.5-247.8)+(0+(0.567375-0.126378))+0-0-0</f>
        <v>865.14099700000008</v>
      </c>
      <c r="G173" s="3">
        <f>0+(1133.5-309.4)+(0+(-1.734255--0.473382))+0-0-0</f>
        <v>822.83912700000008</v>
      </c>
      <c r="H173" s="3">
        <f>0+(1148-353.2)+(0+(1.75644-0.540396))+0-0-0</f>
        <v>796.01604399999997</v>
      </c>
      <c r="I173" s="3">
        <f>0+(1142.2-365.5)+(0+(-1.165044--0.37281))+0-0-0</f>
        <v>775.90776600000004</v>
      </c>
      <c r="J173" s="3">
        <f>0+(1027.1-296.7)+(0+(0.523821-0.151317))+0-0-0</f>
        <v>730.77250399999991</v>
      </c>
      <c r="K173" s="3">
        <f>0+(1006.9-280.1)+(0+(-1.027038--0.285702))+0-0-0</f>
        <v>726.05866399999991</v>
      </c>
      <c r="L173" s="3">
        <f>0+(1003.2-292.8)+(0+(-1.023264--0.298656))+0-0-0</f>
        <v>709.6753920000001</v>
      </c>
      <c r="M173" s="3">
        <f>0+(989.7-290.7)+(0+(-1.009494--0.296514))+0-0-0</f>
        <v>698.28701999999998</v>
      </c>
      <c r="N173" s="3">
        <f>0+(1020.9-298.3)+(0+(-2.082636--0.608532))+0-0-0</f>
        <v>721.1258959999999</v>
      </c>
      <c r="O173" s="3">
        <f>0+(1057.4-300.8)+(0+(1.617822-0.460224))+0-0-0</f>
        <v>757.75759800000014</v>
      </c>
      <c r="P173" s="3">
        <f>0+(1114.5-324.8)+(0+(-1.705185--0.496944))+0-0-0</f>
        <v>788.491759</v>
      </c>
      <c r="Q173" s="3">
        <f>0+(1085.6-291.4)+(0+(-0.553656--0.148614))+0-0-0</f>
        <v>793.79495799999995</v>
      </c>
      <c r="R173" s="3">
        <f>0+(1055.4-263.4)+(0+(-2.153016--0.537336))+0-0-0</f>
        <v>790.38432000000012</v>
      </c>
      <c r="S173" s="3">
        <f>0+(1067.5-283.9)+(0+(0-0))+0-0-0</f>
        <v>783.6</v>
      </c>
      <c r="T173" s="3">
        <f>0+(1072-298.3)+(0+(-1.09344--0.304266))+0-0-0</f>
        <v>772.91082600000004</v>
      </c>
      <c r="U173" s="3">
        <f>0+(1107.7-317)+(0+(-1.129854--0.32334))+0-0-0</f>
        <v>789.89348600000005</v>
      </c>
      <c r="V173" s="3">
        <f>0+(1122.2-318.3)+(0+(-1.144644--0.324666))+0-0-0</f>
        <v>803.0800220000001</v>
      </c>
      <c r="W173" s="3">
        <f>0+(1103.2-299.4)+(0+(-2.250528--0.610776))+0-0-0</f>
        <v>802.16024800000002</v>
      </c>
      <c r="X173" s="3">
        <f>0+(1096.5-299.4)+(0+(-1.677645--0.458082))+0-0-0</f>
        <v>795.88043700000003</v>
      </c>
      <c r="Y173" s="3">
        <f>0+(1033.4-202.9)+(0+(-0.527034--0.103479))+0-0-0</f>
        <v>830.07644500000015</v>
      </c>
      <c r="Z173" s="3">
        <f>0+(999.2-100.6)+(0+(-2.038368--0.205224))+0-0-0</f>
        <v>896.76685600000008</v>
      </c>
      <c r="AA173" s="3">
        <f>0+(965.1-95.6)+(0+(-3.445407--0.341292))+0-0-0</f>
        <v>866.39588500000002</v>
      </c>
      <c r="AB173" s="3">
        <f>0+(893.7-34.2)+(0+(0.911574-0.034884))+0-0-0</f>
        <v>860.37669000000005</v>
      </c>
      <c r="AC173" s="3">
        <f>0+(891.2-59)+(0+(-0.454512--0.03009))+0-0-0</f>
        <v>831.775578</v>
      </c>
      <c r="AD173">
        <v>920</v>
      </c>
      <c r="AE173" s="3">
        <f>0+(1017.5-97.5)+(0+(0-0))+0-0-0</f>
        <v>920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0+(927.6-122.9)+(0+(0-0))+0-0-0</f>
        <v>804.7</v>
      </c>
      <c r="G174" s="3">
        <f>0+(1008.7-240.1)+(0+(-0.514437--0.122451))+0-0-0</f>
        <v>768.20801400000005</v>
      </c>
      <c r="H174" s="3">
        <f>0+(1074-316.2)+(0+(0-0))+0-0-0</f>
        <v>757.8</v>
      </c>
      <c r="I174" s="3">
        <f>0+(1036.7-287.1)+(0+(-2.114868--0.585684))+0-0-0</f>
        <v>748.07081600000004</v>
      </c>
      <c r="J174" s="3">
        <f>0+(1041.8-302.9)+(0+(-3.187908--0.926874))+0-0-0</f>
        <v>736.63896599999998</v>
      </c>
      <c r="K174" s="3">
        <f>0+(1029.9-283.6)+(0+(-1.050498--0.289272))+0-0-0</f>
        <v>745.5387740000001</v>
      </c>
      <c r="L174" s="3">
        <f>0+(1037.8-258.3)+(0+(-2.64639--0.658665))+0-0-0</f>
        <v>777.51227500000005</v>
      </c>
      <c r="M174" s="3">
        <f>0+(1033.8-202)+(0+(-0.527238--0.10302))+0-0-0</f>
        <v>831.37578199999996</v>
      </c>
      <c r="N174" s="3">
        <f>0+(1066.3-175.5)+(0+(0-0))+0-0-0</f>
        <v>890.8</v>
      </c>
      <c r="O174" s="3">
        <f>0+(1152.2-206.8)+(0+(-0.587622--0.105468))+0-0-0</f>
        <v>944.91784600000005</v>
      </c>
      <c r="P174" s="3">
        <f>0+(1264.1-272.5)+(0+(2.578764-0.5559))+0-0-0</f>
        <v>993.62286399999994</v>
      </c>
      <c r="Q174" s="3">
        <f>1.2+(1296.6-285.9)+(0.000612+(0.661266-0.145809))+0-0-0</f>
        <v>1012.416069</v>
      </c>
      <c r="R174" s="3">
        <f>112.1+(1170.7-277.5)+(-0.114342+(-1.194114--0.28305))+0-0-0</f>
        <v>1004.2745940000001</v>
      </c>
      <c r="S174" s="3">
        <f>220+(1096.1-349.2)+(-0.4488+(-2.236044--0.712368))+0-0-0</f>
        <v>964.92752399999983</v>
      </c>
      <c r="T174" s="3">
        <f>220.1+(1139.1-369.8)+(-0.112251+(-0.580941--0.188598))+0-0-0</f>
        <v>988.89540599999998</v>
      </c>
      <c r="U174" s="3">
        <f>219.1+(1146-378.1)+(-0.111741+(-0.58446--0.192831))+0-0-0</f>
        <v>986.49662999999998</v>
      </c>
      <c r="V174" s="3">
        <f>220+(1147.4-390.4)+(-0.3366+(-1.755522--0.597312))+0-0-0</f>
        <v>975.50519000000008</v>
      </c>
      <c r="W174" s="3">
        <f>158.1+(1196.3-407)+(-0.403155+(-3.050565--1.03785))+0-0-0</f>
        <v>944.98412999999994</v>
      </c>
      <c r="X174" s="3">
        <f>0+(1202.7-270.9)+(0+(-1.840131--0.414477))+0-0-0</f>
        <v>930.37434600000006</v>
      </c>
      <c r="Y174" s="3">
        <f>0+(1226.9-270.2)+(0+(0-0))+0-0-0</f>
        <v>956.7</v>
      </c>
      <c r="Z174" s="3">
        <f>0+(1381.5-360.6)+(0+(-3.522825--0.91953))+0-0-0</f>
        <v>1018.296705</v>
      </c>
      <c r="AA174" s="3">
        <f>0+(1321-332.6)+(0+(-3.36855--0.84813))+0-0-0</f>
        <v>985.87958000000003</v>
      </c>
      <c r="AB174" s="3">
        <f>0+(1246.3-297)+(0+(-2.542452--0.60588))+0-0-0</f>
        <v>947.363428</v>
      </c>
      <c r="AC174" s="3">
        <f>0+(1247.1-323.9)+(0+(0-0))+0-0-0</f>
        <v>923.19999999999993</v>
      </c>
      <c r="AD174">
        <v>1022.6999999999999</v>
      </c>
      <c r="AE174" s="3">
        <f>0+(1388.8-366.1)+(0+(0-0))+0-0-0</f>
        <v>1022.6999999999999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0+(1183.5-298.7)+(0+(-3.017925--0.761685))+0-0-0</f>
        <v>882.54375999999991</v>
      </c>
      <c r="G175" s="3">
        <f>0+(1218.5-366.7)+(0+(-2.48574--0.748068))+0-0-0</f>
        <v>850.06232799999998</v>
      </c>
      <c r="H175" s="3">
        <f>0+(1173.7-343.2)+(0+(-1.197174--0.350064))+0-0-0</f>
        <v>829.65288999999996</v>
      </c>
      <c r="I175" s="3">
        <f>0+(1146.7-324.8)+(0+(-2.924085--0.82824))+0-0-0</f>
        <v>819.80415500000004</v>
      </c>
      <c r="J175" s="3">
        <f>0+(1136.7-334.5)+(0+(1.739151-0.511785))+0-0-0</f>
        <v>803.42736600000001</v>
      </c>
      <c r="K175" s="3">
        <f>0+(1119.2-316.7)+(0+(1.712376-0.484551))+0-0-0</f>
        <v>803.72782500000005</v>
      </c>
      <c r="L175" s="3">
        <f>0+(1135.7-307.9)+(0+(-1.158414--0.314058))+0-0-0</f>
        <v>826.95564400000012</v>
      </c>
      <c r="M175" s="3">
        <f>0+(1119.4-261.7)+(0+(0.570894-0.133467))+0-0-0</f>
        <v>858.137427</v>
      </c>
      <c r="N175" s="3">
        <f>0+(1136.4-213.3)+(0+(-0.579564--0.108783))+0-0-0</f>
        <v>922.62921900000015</v>
      </c>
      <c r="O175" s="3">
        <f>0+(1201.5-242.8)+(0+(0-0))+0-0-0</f>
        <v>958.7</v>
      </c>
      <c r="P175" s="3">
        <f>0+(1280.6-282.1)+(0+(0.653106-0.143871))+0-0-0</f>
        <v>999.00923499999988</v>
      </c>
      <c r="Q175" s="3">
        <f>0+(1291.3-283.9)+(0+(0.658563-0.144789))+0-0-0</f>
        <v>1007.913774</v>
      </c>
      <c r="R175" s="3">
        <f>0+(1293-289.8)+(0+(-0.65943--0.147798))+0-0-0</f>
        <v>1002.6883680000001</v>
      </c>
      <c r="S175" s="3">
        <f>0+(1280.4-312.3)+(0+(-3.918024--0.955638))+0-0-0</f>
        <v>965.1376140000001</v>
      </c>
      <c r="T175" s="3">
        <f>0+(1342.7-364.6)+(0+(0-0))+0-0-0</f>
        <v>978.1</v>
      </c>
      <c r="U175" s="3">
        <f>0+(1329.1-344.1)+(0+(-2.711364--0.701964))+0-0-0</f>
        <v>982.99059999999986</v>
      </c>
      <c r="V175" s="3">
        <f>0+(1278.9-297.1)+(0+(0-0))+0-0-0</f>
        <v>981.80000000000007</v>
      </c>
      <c r="W175" s="3">
        <f>0+(1217.9-258.2)+(0+(-1.863387--0.395046))+0-0-0</f>
        <v>958.23165900000004</v>
      </c>
      <c r="X175" s="3">
        <f>0+(1148.5-207)+(0+(0-0))+0-0-0</f>
        <v>941.5</v>
      </c>
      <c r="Y175" s="3">
        <f>0+(1076-102.9)+(0+(-0.54876--0.052479))+0-0-0</f>
        <v>972.60371900000007</v>
      </c>
      <c r="Z175" s="3">
        <f>0+(1127-106.2)+(0+(-2.87385--0.27081))+0-0-0</f>
        <v>1018.19696</v>
      </c>
      <c r="AA175" s="3">
        <f>0+(1182.4-191.5)+(0+(-3.618144--0.58599))+0-0-0</f>
        <v>987.8678460000001</v>
      </c>
      <c r="AB175" s="3">
        <f>0+(1214.3-261.8)+(0+(-1.857879--0.400554))+0-0-0</f>
        <v>951.04267500000003</v>
      </c>
      <c r="AC175" s="3">
        <f>0+(1243.4-312.8)+(0+(-1.902402--0.478584))+0-0-0</f>
        <v>929.17618200000015</v>
      </c>
      <c r="AD175">
        <v>1026.5</v>
      </c>
      <c r="AE175" s="3">
        <f>0+(1123.9-97.4)+(0+(0-0))+0-0-0</f>
        <v>1026.5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0+(1179-286.6)+(0+(-2.40516--0.584664))+0-0-0</f>
        <v>890.57950399999993</v>
      </c>
      <c r="G176" s="3">
        <f>0+(1153.7-303.6)+(0+(0-0))+0-0-0</f>
        <v>850.1</v>
      </c>
      <c r="H176" s="3">
        <f>0+(1116.4-288)+(0+(0-0))+0-0-0</f>
        <v>828.40000000000009</v>
      </c>
      <c r="I176" s="3">
        <f>0+(1096.4-278.5)+(0+(-0.559164--0.142035))+0-0-0</f>
        <v>817.48287100000005</v>
      </c>
      <c r="J176" s="3">
        <f>0+(1083.9-271.3)+(0+(-2.211156--0.553452))+0-0-0</f>
        <v>810.94229600000017</v>
      </c>
      <c r="K176" s="3">
        <f>0+(1073.2-274)+(0+(0.547332-0.13974))+0-0-0</f>
        <v>799.60759200000007</v>
      </c>
      <c r="L176" s="3">
        <f>0+(1063.5-245.2)+(0+(-2.711925--0.62526))+0-0-0</f>
        <v>816.21333499999992</v>
      </c>
      <c r="M176" s="3">
        <f>0+(1011.9-159.3)+(0+(-0.516069--0.081243))+0-0-0</f>
        <v>852.16517399999987</v>
      </c>
      <c r="N176" s="3">
        <f>0+(1087.9-167.3)+(0+(1.109658-0.170646))+0-0-0</f>
        <v>921.53901200000018</v>
      </c>
      <c r="O176" s="3">
        <f>0+(1200.5-242.4)+(0+(-1.836765--0.370872))+0-0-0</f>
        <v>956.63410699999997</v>
      </c>
      <c r="P176" s="3">
        <f>0+(1237.1-258.7)+(0+(-0.630921--0.131937))+0-0-0</f>
        <v>977.90101599999991</v>
      </c>
      <c r="Q176" s="3">
        <f>0+(1318-313.9)+(0+(0-0))+0-0-0</f>
        <v>1004.1</v>
      </c>
      <c r="R176" s="3">
        <f>0+(1347.1-342.8)+(0+(0-0))+0-0-0</f>
        <v>1004.3</v>
      </c>
      <c r="S176" s="3">
        <f>0+(1305.8-337.4)+(0+(-1.997874--0.516222))+0-0-0</f>
        <v>966.91834799999992</v>
      </c>
      <c r="T176" s="3">
        <f>0+(1287.6-313.5)+(0+(-1.313352--0.31977))+0-0-0</f>
        <v>973.10641799999996</v>
      </c>
      <c r="U176" s="3">
        <f>55+(1247.1-312.9)+(-0.02805+(-0.636021--0.159579))+0-0-0</f>
        <v>988.6955079999999</v>
      </c>
      <c r="V176" s="3">
        <f>0+(1204.9-276.9)+(0+(-2.457996--0.564876))+0-0-0</f>
        <v>926.10688000000016</v>
      </c>
      <c r="W176" s="3">
        <f>0+(1147.8-205.6)+(0+(-3.512268--0.629136))+0-0-0</f>
        <v>939.31686799999989</v>
      </c>
      <c r="X176" s="3">
        <f>0+(1129.4-199.4)+(0+(-2.303976--0.406776))+0-0-0</f>
        <v>928.10280000000012</v>
      </c>
      <c r="Y176" s="3">
        <f>0+(1141.4-170.9)+(0+(-1.164228--0.174318))+0-0-0</f>
        <v>969.5100900000001</v>
      </c>
      <c r="Z176" s="3">
        <f>0+(1234.9-230.5)+(0+(-1.889397--0.352665))+0-0-0</f>
        <v>1002.8632680000001</v>
      </c>
      <c r="AA176" s="3">
        <f>0+(1216.7-244.1)+(0+(-1.861551--0.373473))+0-0-0</f>
        <v>971.11192200000005</v>
      </c>
      <c r="AB176" s="3">
        <f>0+(1165.1-216)+(0+(-1.188402--0.22032))+0-0-0</f>
        <v>948.13191799999993</v>
      </c>
      <c r="AC176" s="3">
        <f>0+(1160.3-246.4)+(0+(-0.591753--0.125664))+0-0-0</f>
        <v>913.43391099999997</v>
      </c>
      <c r="AD176">
        <v>1017.6000000000001</v>
      </c>
      <c r="AE176" s="3">
        <f>0+(1255.9-238.3)+(0+(0-0))+0-0-0</f>
        <v>1017.6000000000001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0+(1180.5-296.9)+(0+(-1.806165--0.454257))+0-0-0</f>
        <v>882.24809200000004</v>
      </c>
      <c r="G177" s="3">
        <f>0+(1197-343.9)+(0+(-1.83141--0.526167))+0-0-0</f>
        <v>851.794757</v>
      </c>
      <c r="H177" s="3">
        <f>0+(1155.6-320.1)+(0+(-2.357424--0.653004))+0-0-0</f>
        <v>833.79557999999986</v>
      </c>
      <c r="I177" s="3">
        <f>0+(1133.3-314.4)+(0+(-0.577983--0.160344))+0-0-0</f>
        <v>818.48236099999997</v>
      </c>
      <c r="J177" s="3">
        <f>0+(1150.8-340.4)+(0+(0.586908-0.173604))+0-0-0</f>
        <v>810.81330400000002</v>
      </c>
      <c r="K177" s="3">
        <f>0+(1135.1-327.5)+(0+(-0.578901--0.167025))+0-0-0</f>
        <v>807.1881239999999</v>
      </c>
      <c r="L177" s="3">
        <f>0+(1089.4-277.1)+(0+(-0.555594--0.141321))+0-0-0</f>
        <v>811.88572700000009</v>
      </c>
      <c r="M177" s="3">
        <f>0+(1072.5-221.7)+(0+(0.546975-0.113067))+0-0-0</f>
        <v>851.23390799999993</v>
      </c>
      <c r="N177" s="3">
        <f>0+(1150.2-233.8)+(0+(-2.346408--0.476952))+0-0-0</f>
        <v>914.53054400000008</v>
      </c>
      <c r="O177" s="3">
        <f>0+(1180.9-227.9)+(0+(0-0))+0-0-0</f>
        <v>953.00000000000011</v>
      </c>
      <c r="P177" s="3">
        <f>0+(1209.8-231)+(0+(1.233996-0.23562))+0-0-0</f>
        <v>979.79837599999996</v>
      </c>
      <c r="Q177" s="3">
        <f>0+(1225.7-232.6)+(0+(1.250214-0.237252))+0-0-0</f>
        <v>994.11296200000004</v>
      </c>
      <c r="R177" s="3">
        <f>0+(1163.4-238)+(0+(0-0))+0-0-0</f>
        <v>925.40000000000009</v>
      </c>
      <c r="S177" s="3">
        <f>0+(1256.2-278)+(0+(0-0))+0-0-0</f>
        <v>978.2</v>
      </c>
      <c r="T177" s="3">
        <f>0+(1278.8-244)+(0+(0-0))+0-0-0</f>
        <v>1034.8</v>
      </c>
      <c r="U177" s="3">
        <f>0+(1280.9-267)+(0+(0-0))+0-0-0</f>
        <v>1013.9000000000001</v>
      </c>
      <c r="V177" s="3">
        <f>0+(1264.1-259)+(0+(0-0))+0-0-0</f>
        <v>1005.0999999999999</v>
      </c>
      <c r="W177" s="3">
        <f>0+(1246.3-266)+(0+(0-0))+0-0-0</f>
        <v>980.3</v>
      </c>
      <c r="X177" s="3">
        <f>0+(1168-177)+(0+(-2.9784--0.45135))+0-0-0</f>
        <v>988.47294999999997</v>
      </c>
      <c r="Y177" s="3">
        <f>0+(1175.7-173)+(0+(-1.199214--0.17646))+0-0-0</f>
        <v>1001.6772460000001</v>
      </c>
      <c r="Z177" s="3">
        <f>0+(1231.3-192)+(0+(-3.139815--0.4896))+0-0-0</f>
        <v>1036.6497850000001</v>
      </c>
      <c r="AA177" s="3">
        <f>0+(1212.1-230)+(0+(-3.709026--0.7038))+0-0-0</f>
        <v>979.09477399999992</v>
      </c>
      <c r="AB177" s="3">
        <f>0+(1250.2-238)+(0+(-2.550408--0.48552))+0-0-0</f>
        <v>1010.135112</v>
      </c>
      <c r="AC177" s="3">
        <f>0+(1184.5-212)+(0+(-0.604095--0.10812))+0-0-0</f>
        <v>972.00402499999996</v>
      </c>
      <c r="AD177">
        <v>1029.5999999999999</v>
      </c>
      <c r="AE177" s="3">
        <f>0+(1265.3-235.7)+(0+(0-0))+0-0-0</f>
        <v>1029.5999999999999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0+(1144.6-257.1)+(0+(0-0))+0-0-0</f>
        <v>887.49999999999989</v>
      </c>
      <c r="G178" s="3">
        <f>0+(1120.4-275.9)+(0+(0-0))+0-0-0</f>
        <v>844.50000000000011</v>
      </c>
      <c r="H178" s="3">
        <f>0+(1118.4-298)+(0+(0-0))+0-0-0</f>
        <v>820.40000000000009</v>
      </c>
      <c r="I178" s="3">
        <f>0+(1105.4-287.1)+(0+(0-0))+0-0-0</f>
        <v>818.30000000000007</v>
      </c>
      <c r="J178" s="3">
        <f>0+(1107.8-305.3)+(0+(0-0))+0-0-0</f>
        <v>802.5</v>
      </c>
      <c r="K178" s="3">
        <f>0+(1072.4-266.7)+(0+(0-0))+0-0-0</f>
        <v>805.7</v>
      </c>
      <c r="L178" s="3">
        <f>0+(1083-263)+(0+(0-0))+0-0-0</f>
        <v>820</v>
      </c>
      <c r="M178" s="3">
        <f>0+(1087.4-230.2)+(0+(0.554574-0.117402))+0-0-0</f>
        <v>857.63717200000008</v>
      </c>
      <c r="N178" s="3">
        <f>0+(1233.4-322.8)+(0+(-1.258068--0.329256))+0-0-0</f>
        <v>909.67118800000014</v>
      </c>
      <c r="O178" s="3">
        <f>0+(1333.1-376)+(0+(0.679881-0.19176))+0-0-0</f>
        <v>957.58812099999989</v>
      </c>
      <c r="P178" s="3">
        <f>0+(1404.1-386)+(0+(2.148273-0.59058))+0-0-0</f>
        <v>1019.6576929999999</v>
      </c>
      <c r="Q178" s="3">
        <f>0+(1329.2-287.4)+(0+(0.677892-0.146574))+0-0-0</f>
        <v>1042.3313180000002</v>
      </c>
      <c r="R178" s="3">
        <f>0+(1322.1-286)+(0+(1.348542-0.29172))+0-0-0</f>
        <v>1037.1568219999999</v>
      </c>
      <c r="S178" s="3">
        <f>0+(1319.9-325.6)+(0+(-0.673149--0.166056))+0-0-0</f>
        <v>993.79290700000001</v>
      </c>
      <c r="T178" s="3">
        <f>0+(1311.5-299.1)+(0+(-0.668865--0.152541))+0-0-0</f>
        <v>1011.8836759999999</v>
      </c>
      <c r="U178" s="3">
        <f>0+(1301-290.6)+(0+(-0.66351--0.148206))+0-0-0</f>
        <v>1009.884696</v>
      </c>
      <c r="V178" s="3">
        <f>0+(1329.2-321.7)+(0+(-3.38946--0.820335))+0-0-0</f>
        <v>1004.930875</v>
      </c>
      <c r="W178" s="3">
        <f>0+(1293.1-308.4)+(0+(-3.956886--0.943704))+0-0-0</f>
        <v>981.6868179999999</v>
      </c>
      <c r="X178" s="3">
        <f>0+(1165-203.6)+(0+(-2.97075--0.51918))+0-0-0</f>
        <v>958.94843000000003</v>
      </c>
      <c r="Y178" s="3">
        <f>0+(1162.7-160.2)+(0+(-1.185954--0.163404))+0-0-0</f>
        <v>1001.47745</v>
      </c>
      <c r="Z178" s="3">
        <f>0+(1277.9-234.7)+(0+(-3.910374--0.718182))+0-0-0</f>
        <v>1040.0078080000001</v>
      </c>
      <c r="AA178" s="3">
        <f>0+(1265.1-260.4)+(0+(-3.226005--0.66402))+0-0-0</f>
        <v>1002.1380149999999</v>
      </c>
      <c r="AB178" s="3">
        <f>0+(1268.5-299.4)+(0+(-1.940805--0.458082))+0-0-0</f>
        <v>967.61727700000006</v>
      </c>
      <c r="AC178" s="3">
        <f>0+(1307.4-364.7)+(0+(-0.666774--0.185997))+0-0-0</f>
        <v>942.21922300000006</v>
      </c>
      <c r="AD178">
        <v>1012.5</v>
      </c>
      <c r="AE178" s="3">
        <f>0+(1278.5-266)+(0+(0-0))+0-0-0</f>
        <v>1012.5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0+(1234.5-327.2)+(0+(0-0))+0-0-0</f>
        <v>907.3</v>
      </c>
      <c r="G179" s="3">
        <f>0+(1221-345.3)+(0+(-0.62271--0.176103))+0-0-0</f>
        <v>875.25339300000007</v>
      </c>
      <c r="H179" s="3">
        <f>0+(1237.7-385.5)+(0+(1.893681-0.589815))+0-0-0</f>
        <v>853.50386600000002</v>
      </c>
      <c r="I179" s="3">
        <f>0+(1180.5-346.7)+(0+(-1.20411--0.353634))+0-0-0</f>
        <v>832.949524</v>
      </c>
      <c r="J179" s="3">
        <f>0+(1121.3-300.2)+(0+(-1.715589--0.459306))+0-0-0</f>
        <v>819.84371699999986</v>
      </c>
      <c r="K179" s="3">
        <f>0+(1091.6-271.4)+(0+(-0.556716--0.138414))+0-0-0</f>
        <v>819.78169799999989</v>
      </c>
      <c r="L179" s="3">
        <f>0+(1083.8-254.2)+(0+(-2.76369--0.64821))+0-0-0</f>
        <v>827.48451999999986</v>
      </c>
      <c r="M179" s="3">
        <f>0+(1073.4-218.8)+(0+(0-0))+0-0-0</f>
        <v>854.60000000000014</v>
      </c>
      <c r="N179" s="3">
        <f>0+(1142-221.9)+(0+(0-0))+0-0-0</f>
        <v>920.1</v>
      </c>
      <c r="O179" s="3">
        <f>0+(1209.8-239.5)+(0+(0-0))+0-0-0</f>
        <v>970.3</v>
      </c>
      <c r="P179" s="3">
        <f>0+(1135.4-152.5)+(0+(2.316216-0.3111))+0-0-0</f>
        <v>984.90511600000013</v>
      </c>
      <c r="Q179" s="3">
        <f>0+(1095.1-98.4)+(0+(0-0))+0-0-0</f>
        <v>996.69999999999993</v>
      </c>
      <c r="R179" s="3">
        <f>0+(1131.8-134.5)+(0+(-1.154436--0.13719))+0-0-0</f>
        <v>996.28275399999995</v>
      </c>
      <c r="S179" s="3">
        <f>0+(1171.4-211.3)+(0+(-2.389656--0.431052))+0-0-0</f>
        <v>958.1413960000001</v>
      </c>
      <c r="T179" s="3">
        <f>0+(1246.6-285.9)+(0+(-0.635766--0.145809))+0-0-0</f>
        <v>960.21004299999993</v>
      </c>
      <c r="U179" s="3">
        <f>0+(1267.5-314.3)+(0+(-1.939275--0.480879))+0-0-0</f>
        <v>951.74160400000005</v>
      </c>
      <c r="V179" s="3">
        <f>0+(1284-336.8)+(0+(-0.65484--0.171768))+0-0-0</f>
        <v>946.71692800000005</v>
      </c>
      <c r="W179" s="3">
        <f>0+(1182.8-252)+(0+(-3.01614--0.6426))+0-0-0</f>
        <v>928.42645999999991</v>
      </c>
      <c r="X179" s="3">
        <f>0+(1110.7-204)+(0+(0-0))+0-0-0</f>
        <v>906.7</v>
      </c>
      <c r="Y179" s="3">
        <f>0+(1145.2-201.7)+(0+(0-0))+0-0-0</f>
        <v>943.5</v>
      </c>
      <c r="Z179" s="3">
        <f>0+(1213.9-246)+(0+(-1.857267--0.37638))+0-0-0</f>
        <v>966.41911300000004</v>
      </c>
      <c r="AA179" s="3">
        <f>0+(1197.9-229)+(0+(-3.054645--0.58395))+0-0-0</f>
        <v>966.42930500000011</v>
      </c>
      <c r="AB179" s="3">
        <f>0+(1174-264)+(0+(-2.9937--0.6732))+0-0-0</f>
        <v>907.67949999999996</v>
      </c>
      <c r="AC179" s="3">
        <f>0+(1212.6-303)+(0+(-1.855278--0.46359))+0-0-0</f>
        <v>908.20831199999986</v>
      </c>
      <c r="AD179">
        <v>967.3</v>
      </c>
      <c r="AE179" s="3">
        <f>0+(1218.3-251)+(0+(0-0))+0-0-0</f>
        <v>967.3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0+(1252.4-325.2)+(0+(-1.916172--0.497556))+0-0-0</f>
        <v>925.781384</v>
      </c>
      <c r="G180" s="3">
        <f>0+(1152.9-302.1)+(0+(-0.587979--0.154071))+0-0-0</f>
        <v>850.36609200000009</v>
      </c>
      <c r="H180" s="3">
        <f>0+(1149.5-315.2)+(0+(-2.931225--0.80376))+0-0-0</f>
        <v>832.17253499999993</v>
      </c>
      <c r="I180" s="3">
        <f>0+(1129.2-310.3)+(0+(0-0))+0-0-0</f>
        <v>818.90000000000009</v>
      </c>
      <c r="J180" s="3">
        <f>0+(1085.7-299.4)+(0+(0-0))+0-0-0</f>
        <v>786.30000000000007</v>
      </c>
      <c r="K180" s="3">
        <f>0+(1079-268.8)+(0+(1.65087-0.411264))+0-0-0</f>
        <v>811.43960600000003</v>
      </c>
      <c r="L180" s="3">
        <f>0+(1068.8-324.9)+(0+(1.635264-0.497097))+0-0-0</f>
        <v>745.03816699999993</v>
      </c>
      <c r="M180" s="3">
        <f>0+(1064.9-275.6)+(0+(-2.715495--0.70278))+0-0-0</f>
        <v>787.28728500000011</v>
      </c>
      <c r="N180" s="3">
        <f>0+(1086.3-330.9)+(0+(0-0))+0-0-0</f>
        <v>755.4</v>
      </c>
      <c r="O180" s="3">
        <f>0+(1200.7-384.1)+(0+(-1.837071--0.587673))+0-0-0</f>
        <v>815.35060199999998</v>
      </c>
      <c r="P180" s="3">
        <f>0+(1208.6-356)+(0+(-1.232772--0.36312))+0-0-0</f>
        <v>851.73034799999994</v>
      </c>
      <c r="Q180" s="3">
        <f>0+(1218.4-353.4)+(0+(-1.242768--0.360468))+0-0-0</f>
        <v>864.11770000000013</v>
      </c>
      <c r="R180" s="3">
        <f>0+(1204-335.7)+(0+(-1.22808--0.342414))+0-0-0</f>
        <v>867.41433399999994</v>
      </c>
      <c r="S180" s="3">
        <f>0+(1195.2-338.2)+(0+(-1.219104--0.344964))+0-0-0</f>
        <v>856.12585999999999</v>
      </c>
      <c r="T180" s="3">
        <f>0+(1177-333.9)+(0+(0.60027-0.170289))+0-0-0</f>
        <v>843.52998100000002</v>
      </c>
      <c r="U180" s="3">
        <f>0+(1150.3-342.9)+(0+(0-0))+0-0-0</f>
        <v>807.4</v>
      </c>
      <c r="V180" s="3">
        <f>0+(1136.8-340.7)+(0+(-2.89884--0.868785))+0-0-0</f>
        <v>794.06994499999996</v>
      </c>
      <c r="W180" s="3">
        <f>0+(1099.9-308.7)+(0+(-1.121898--0.314874))+0-0-0</f>
        <v>790.39297600000009</v>
      </c>
      <c r="X180" s="3">
        <f>0+(989.2-197.6)+(0+(-1.513476--0.302328))+0-0-0</f>
        <v>790.38885200000004</v>
      </c>
      <c r="Y180" s="3">
        <f>0+(1025.1-185.8)+(0+(0-0))+0-0-0</f>
        <v>839.3</v>
      </c>
      <c r="Z180" s="3">
        <f>0+(1175.3-290)+(0+(-1.798209--0.4437))+0-0-0</f>
        <v>883.94549099999995</v>
      </c>
      <c r="AA180" s="3">
        <f>0+(1156.3-293.9)+(0+(-2.948565--0.749445))+0-0-0</f>
        <v>860.20087999999998</v>
      </c>
      <c r="AB180" s="3">
        <f>0+(1092.1-255)+(0+(-2.227884--0.5202))+0-0-0</f>
        <v>835.39231599999994</v>
      </c>
      <c r="AC180" s="3">
        <f>0+(1065-256.7)+(0+(-1.0863--0.261834))+0-0-0</f>
        <v>807.47553399999993</v>
      </c>
      <c r="AD180">
        <v>905.3</v>
      </c>
      <c r="AE180" s="3">
        <f>0+(1206.5-301.2)+(0+(0-0))+0-0-0</f>
        <v>905.3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0+(1039.7-262)+(0+(-2.120988--0.53448))+0-0-0</f>
        <v>776.11349200000006</v>
      </c>
      <c r="G181" s="3">
        <f>0+(1093-331.3)+(0+(0-0))+0-0-0</f>
        <v>761.7</v>
      </c>
      <c r="H181" s="3">
        <f>0+(1041.6-319.4)+(0+(-1.593648--0.488682))+0-0-0</f>
        <v>721.09503399999994</v>
      </c>
      <c r="I181" s="3">
        <f>0+(1004.8-282.5)+(0+(-1.024896--0.28815))+0-0-0</f>
        <v>721.56325399999992</v>
      </c>
      <c r="J181" s="3">
        <f>0+(1049.7-333.3)+(0+(-0.535347--0.169983))+0-0-0</f>
        <v>716.03463600000009</v>
      </c>
      <c r="K181" s="3">
        <f>0+(1055.8-333.2)+(0+(-2.69229--0.84966))+0-0-0</f>
        <v>720.75736999999992</v>
      </c>
      <c r="L181" s="3">
        <f>0+(1048.9-286)+(0+(-3.744573--1.02102))+0-0-0</f>
        <v>760.17644700000005</v>
      </c>
      <c r="M181" s="3">
        <f>0+(1011.4-206.7)+(0+(1.547442-0.316251))+0-0-0</f>
        <v>805.93119100000001</v>
      </c>
      <c r="N181" s="3">
        <f>0+(1082.1-211.8)+(0+(-1.103742--0.216036))+0-0-0</f>
        <v>869.41229399999997</v>
      </c>
      <c r="O181" s="3">
        <f>0+(1177.6-256.2)+(0+(-0.600576--0.130662))+0-0-0</f>
        <v>920.93008599999985</v>
      </c>
      <c r="P181" s="3">
        <f>0+(1164.4-201)+(0+(0-0))+0-0-0</f>
        <v>963.40000000000009</v>
      </c>
      <c r="Q181" s="3">
        <f>0+(1160.3-182.2)+(0+(0.591753-0.092922))+0-0-0</f>
        <v>978.5988309999999</v>
      </c>
      <c r="R181" s="3">
        <f>0+(1119.1-141.6)+(0+(-1.141482--0.144432))+0-0-0</f>
        <v>976.50294999999994</v>
      </c>
      <c r="S181" s="3">
        <f>0+(1141.4-189.4)+(0+(0.582114-0.096594))+0-0-0</f>
        <v>952.48552000000007</v>
      </c>
      <c r="T181" s="3">
        <f>0+(1155.4-198.7)+(0+(0.589254-0.101337))+0-0-0</f>
        <v>957.18791700000008</v>
      </c>
      <c r="U181" s="3">
        <f>0+(1171.6-219.4)+(0+(-0.597516--0.111894))+0-0-0</f>
        <v>951.7143779999999</v>
      </c>
      <c r="V181" s="3">
        <f>0+(1212.9-262)+(0+(-1.855737--0.40086))+0-0-0</f>
        <v>949.44512300000008</v>
      </c>
      <c r="W181" s="3">
        <f>0+(1233-296.3)+(0+(-2.51532--0.604452))+0-0-0</f>
        <v>934.789132</v>
      </c>
      <c r="X181" s="3">
        <f>0+(1154.2-238)+(0+(-1.177284--0.24276))+0-0-0</f>
        <v>915.26547600000004</v>
      </c>
      <c r="Y181" s="3">
        <f>0+(1173.6-221.1)+(0+(-0.598536--0.112761))+0-0-0</f>
        <v>952.0142249999999</v>
      </c>
      <c r="Z181" s="3">
        <f>0+(1242.3-256.5)+(0+(-1.267146--0.26163))+0-0-0</f>
        <v>984.79448400000001</v>
      </c>
      <c r="AA181" s="3">
        <f>0+(1255.5-300.7)+(0+(-3.84183--0.920142))+0-0-0</f>
        <v>951.87831199999994</v>
      </c>
      <c r="AB181" s="3">
        <f>0+(1238-325.7)+(0+(0.63138-0.166107))+0-0-0</f>
        <v>912.76527299999998</v>
      </c>
      <c r="AC181" s="3">
        <f>0+(1248.7-344.5)+(0+(0.636837-0.175695))+0-0-0</f>
        <v>904.66114200000004</v>
      </c>
      <c r="AD181">
        <v>977.19999999999993</v>
      </c>
      <c r="AE181" s="3">
        <f>0+(1253.3-276.1)+(0+(0-0))+0-0-0</f>
        <v>977.19999999999993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0+(1244.2-385.5)+(0+(-0.634542--0.196605))+0-0-0</f>
        <v>858.26206300000001</v>
      </c>
      <c r="G182" s="3">
        <f>0+(1119.5-308.8)+(0+(0.570945-0.157488))+0-0-0</f>
        <v>811.11345700000004</v>
      </c>
      <c r="H182" s="3">
        <f>0+(1142.1-350.5)+(0+(2.329884-0.71502))+0-0-0</f>
        <v>793.21486399999992</v>
      </c>
      <c r="I182" s="3">
        <f>0+(1139.2-358.6)+(0+(-1.742976--0.548658))+0-0-0</f>
        <v>779.40568200000007</v>
      </c>
      <c r="J182" s="3">
        <f>0+(1147.3-371.2)+(0+(2.340492-0.757248))+0-0-0</f>
        <v>777.68324399999995</v>
      </c>
      <c r="K182" s="3">
        <f>0+(1101.4-325.2)+(0+(1.123428-0.331704))+0-0-0</f>
        <v>776.99172400000009</v>
      </c>
      <c r="L182" s="3">
        <f>0+(1090-291.3)+(0+(-1.1118--0.297126))+0-0-0</f>
        <v>797.88532600000008</v>
      </c>
      <c r="M182" s="3">
        <f>0+(1073.2-242.7)+(0+(0.547332-0.123777))+0-0-0</f>
        <v>830.92355499999996</v>
      </c>
      <c r="N182" s="3">
        <f>0+(1148.7-250.3)+(0+(-0.585837--0.127653))+0-0-0</f>
        <v>897.94181600000013</v>
      </c>
      <c r="O182" s="3">
        <f>0+(1182.8-252.8)+(0+(0.603228-0.128928))+0-0-0</f>
        <v>930.47429999999997</v>
      </c>
      <c r="P182" s="3">
        <f>0+(1157.9-193.6)+(0+(0-0))+0-0-0</f>
        <v>964.30000000000007</v>
      </c>
      <c r="Q182" s="3">
        <f>0+(1135.4-154.6)+(0+(1.737162-0.236538))+0-0-0</f>
        <v>982.30062400000008</v>
      </c>
      <c r="R182" s="3">
        <f>0+(1120.4-141.9)+(0+(0.571404-0.072369))+0-0-0</f>
        <v>978.99903500000016</v>
      </c>
      <c r="S182" s="3">
        <f>0+(1117.1-169.8)+(0+(-0.569721--0.086598))+0-0-0</f>
        <v>946.81687699999998</v>
      </c>
      <c r="T182" s="3">
        <f>0+(1126.4-181.7)+(0+(0.574464-0.092667))+0-0-0</f>
        <v>945.18179700000007</v>
      </c>
      <c r="U182" s="3">
        <f>0+(1116.7-167.6)+(0+(-1.708551--0.256428))+0-0-0</f>
        <v>947.64787699999999</v>
      </c>
      <c r="V182" s="3">
        <f>0+(1148.6-201)+(0+(-2.343144--0.41004))+0-0-0</f>
        <v>945.66689599999995</v>
      </c>
      <c r="W182" s="3">
        <f>0+(1137.1-203)+(0+(-3.479526--0.62118))+0-0-0</f>
        <v>931.24165399999993</v>
      </c>
      <c r="X182" s="3">
        <f>0+(1072.5-166.4)+(0+(0.546975-0.084864))+0-0-0</f>
        <v>906.56211100000007</v>
      </c>
      <c r="Y182" s="3">
        <f>0+(1122.2-161.9)+(0+(0.572322-0.082569))+0-0-0</f>
        <v>960.78975300000002</v>
      </c>
      <c r="Z182" s="3">
        <f>0+(1204.7-213.6)+(0+(0-0))+0-0-0</f>
        <v>991.1</v>
      </c>
      <c r="AA182" s="3">
        <f>0+(1183.4-231.4)+(0+(-3.01767--0.59007))+0-0-0</f>
        <v>949.57240000000013</v>
      </c>
      <c r="AB182" s="3">
        <f>0+(1143.1-237.6)+(0+(-2.914905--0.60588))+0-0-0</f>
        <v>903.19097499999987</v>
      </c>
      <c r="AC182" s="3">
        <f>0+(1127.5-247.3)+(0+(1.15005-0.252246))+0-0-0</f>
        <v>881.097804</v>
      </c>
      <c r="AD182">
        <v>999.8</v>
      </c>
      <c r="AE182" s="3">
        <f>0+(1208.8-209)+(0+(0-0))+0-0-0</f>
        <v>999.8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0+(1151.7-307.1)+(0+(-1.174734--0.313242))+0-0-0</f>
        <v>843.73850800000002</v>
      </c>
      <c r="G183" s="3">
        <f>0+(1116.4-300.5)+(0+(-2.277456--0.61302))+0-0-0</f>
        <v>814.23556400000007</v>
      </c>
      <c r="H183" s="3">
        <f>0+(1108.7-316.9)+(0+(-0.565437--0.161619))+0-0-0</f>
        <v>791.39618200000007</v>
      </c>
      <c r="I183" s="3">
        <f>0+(1114.2-343.2)+(0+(-2.272968--0.700128))+0-0-0</f>
        <v>769.42715999999996</v>
      </c>
      <c r="J183" s="3">
        <f>0+(1104.2-336.8)+(0+(2.81571-0.85884))+0-0-0</f>
        <v>769.35687000000007</v>
      </c>
      <c r="K183" s="3">
        <f>0+(1090.5-322.3)+(0+(1.668465-0.493119))+0-0-0</f>
        <v>769.37534600000004</v>
      </c>
      <c r="L183" s="3">
        <f>0+(1063.3-270.1)+(0+(-2.169132--0.551004))+0-0-0</f>
        <v>791.58187199999998</v>
      </c>
      <c r="M183" s="3">
        <f>0+(1018.3-200.4)+(0+(0-0))+0-0-0</f>
        <v>817.9</v>
      </c>
      <c r="N183" s="3">
        <f>0+(1063.8-166.3)+(0+(0.542538-0.084813))+0-0-0</f>
        <v>897.95772499999998</v>
      </c>
      <c r="O183" s="3">
        <f>0+(1111.4-172.3)+(0+(0.566814-0.087873))+0-0-0</f>
        <v>939.5789410000001</v>
      </c>
      <c r="P183" s="3">
        <f>0+(1112-138.4)+(0+(0.56712-0.070584))+0-0-0</f>
        <v>974.09653600000001</v>
      </c>
      <c r="Q183" s="3">
        <f>0+(1102.1-106.2)+(0+(1.124142-0.108324))+0-0-0</f>
        <v>996.91581799999983</v>
      </c>
      <c r="R183" s="3">
        <f>0+(1100.8-114.9)+(0+(-0.561408--0.058599))+0-0-0</f>
        <v>985.39719100000002</v>
      </c>
      <c r="S183" s="3">
        <f>0+(1097.3-147.6)+(0+(-1.678869--0.225828))+0-0-0</f>
        <v>948.24695899999995</v>
      </c>
      <c r="T183" s="3">
        <f>0+(1120.6-171.2)+(0+(0-0))+0-0-0</f>
        <v>949.39999999999986</v>
      </c>
      <c r="U183" s="3">
        <f>0+(1135.9-178.5)+(0+(-2.317236--0.36414))+0-0-0</f>
        <v>955.44690400000013</v>
      </c>
      <c r="V183" s="3">
        <f>0+(1157.1-197.8)+(0+(-1.180242--0.201756))+0-0-0</f>
        <v>958.32151399999998</v>
      </c>
      <c r="W183" s="3">
        <f>0+(1100.4-165.8)+(0+(-2.244816--0.338232))+0-0-0</f>
        <v>932.69341600000018</v>
      </c>
      <c r="X183" s="3">
        <f>0+(1054.1-136.2)+(0+(-0.537591--0.069462))+0-0-0</f>
        <v>917.43187099999989</v>
      </c>
      <c r="Y183" s="3">
        <f>0+(1110.4-140.4)+(0+(0.566304-0.071604))+0-0-0</f>
        <v>970.49470000000008</v>
      </c>
      <c r="Z183" s="3">
        <f>0+(1214.7-217.2)+(0+(-2.477988--0.443088))+0-0-0</f>
        <v>995.46510000000001</v>
      </c>
      <c r="AA183" s="3">
        <f>0+(1173.9-216.1)+(0+(-2.394756--0.440844))+0-0-0</f>
        <v>955.84608800000012</v>
      </c>
      <c r="AB183" s="3">
        <f>0+(1134-212.1)+(0+(-2.31336--0.432684))+0-0-0</f>
        <v>920.01932399999998</v>
      </c>
      <c r="AC183" s="3">
        <f>0+(1118.9-209.9)+(0+(0-0))+0-0-0</f>
        <v>909.00000000000011</v>
      </c>
      <c r="AD183">
        <v>1007.3000000000001</v>
      </c>
      <c r="AE183" s="3">
        <f>0+(1225.9-218.6)+(0+(0-0))+0-0-0</f>
        <v>1007.3000000000001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0+(1218.8-330.7)+(0+(-2.486352--0.674628))+0-0-0</f>
        <v>886.28827599999988</v>
      </c>
      <c r="G184" s="3">
        <f>0+(1173.1-335.7)+(0+(-1.794843--0.513621))+0-0-0</f>
        <v>836.11877799999991</v>
      </c>
      <c r="H184" s="3">
        <f>0+(1076.5-273)+(0+(-1.647045--0.41769))+0-0-0</f>
        <v>802.27064499999994</v>
      </c>
      <c r="I184" s="3">
        <f>0+(1015.2-209.4)+(0+(1.035504-0.213588))+0-0-0</f>
        <v>806.62191600000006</v>
      </c>
      <c r="J184" s="3">
        <f>0+(1043.2-253.9)+(0+(2.66016-0.647445))+0-0-0</f>
        <v>791.31271500000003</v>
      </c>
      <c r="K184" s="3">
        <f>0+(1020.8-235.1)+(0+(0-0))+0-0-0</f>
        <v>785.69999999999993</v>
      </c>
      <c r="L184" s="3">
        <f>0+(1048.4-230.9)+(0+(-0.534684--0.117759))+0-0-0</f>
        <v>817.08307500000012</v>
      </c>
      <c r="M184" s="3">
        <f>0+(1033.1-182.9)+(0+(-0.526881--0.093279))+0-0-0</f>
        <v>849.76639799999998</v>
      </c>
      <c r="N184" s="3">
        <f>0+(1153.4-238.1)+(0+(0-0))+0-0-0</f>
        <v>915.30000000000007</v>
      </c>
      <c r="O184" s="3">
        <f>0+(1231.3-276.2)+(0+(1.883889-0.422586))+0-0-0</f>
        <v>956.56130299999995</v>
      </c>
      <c r="P184" s="3">
        <f>0+(1187.7-216.4)+(0+(1.211454-0.220728))+0-0-0</f>
        <v>972.29072600000006</v>
      </c>
      <c r="Q184" s="3">
        <f>0+(1187.4-201.6)+(0+(1.816722-0.308448))+0-0-0</f>
        <v>987.3082740000001</v>
      </c>
      <c r="R184" s="3">
        <f>0+(1240.7-262.1)+(0+(0-0))+0-0-0</f>
        <v>978.6</v>
      </c>
      <c r="S184" s="3">
        <f>0+(1301.6-343.3)+(0+(-0.663816--0.175083))+0-0-0</f>
        <v>957.81126699999993</v>
      </c>
      <c r="T184" s="3">
        <f>0+(1332-372.5)+(0+(0.67932-0.189975))+0-0-0</f>
        <v>959.98934499999996</v>
      </c>
      <c r="U184" s="3">
        <f>0+(1328-370.7)+(0+(1.35456-0.378114))+0-0-0</f>
        <v>958.27644599999996</v>
      </c>
      <c r="V184" s="3">
        <f>0+(1291.2-343.6)+(0+(-3.29256--0.87618))+0-0-0</f>
        <v>945.18362000000002</v>
      </c>
      <c r="W184" s="3">
        <f>0+(1232.7-292.7)+(0+(-1.257354--0.298554))+0-0-0</f>
        <v>939.0412</v>
      </c>
      <c r="X184" s="3">
        <f>0+(1129.2-209.5)+(0+(0-0))+0-0-0</f>
        <v>919.7</v>
      </c>
      <c r="Y184" s="3">
        <f>0+(1170.1-204.5)+(0+(0-0))+0-0-0</f>
        <v>965.59999999999991</v>
      </c>
      <c r="Z184" s="3">
        <f>0+(1347.2-334.3)+(0+(-1.374144--0.340986))+0-0-0</f>
        <v>1011.8668420000001</v>
      </c>
      <c r="AA184" s="3">
        <f>0+(1306.2-341.1)+(0+(-3.33081--0.869805))+0-0-0</f>
        <v>962.63899500000002</v>
      </c>
      <c r="AB184" s="3">
        <f>0+(1254.7-317)+(0+(-3.199485--0.80835))+0-0-0</f>
        <v>935.30886500000008</v>
      </c>
      <c r="AC184" s="3">
        <f>0+(1210.9-320.6)+(0+(-0.617559--0.163506))+0-0-0</f>
        <v>889.84594700000002</v>
      </c>
      <c r="AD184">
        <v>1002.3</v>
      </c>
      <c r="AE184" s="3">
        <f>0+(1369.3-367)+(0+(0-0))+0-0-0</f>
        <v>1002.3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0+(1201.2-346.6)+(0+(-4.288284--1.237362))+0-0-0</f>
        <v>851.54907800000001</v>
      </c>
      <c r="G185" s="3">
        <f>0+(1203.9-386)+(0+(-4.911912--1.57488))+0-0-0</f>
        <v>814.56296800000007</v>
      </c>
      <c r="H185" s="3">
        <f>0+(1211.7-414.7)+(0+(-3.707802--1.268982))+0-0-0</f>
        <v>794.56118000000004</v>
      </c>
      <c r="I185" s="3">
        <f>0+(1064.2-282)+(0+(0.542742-0.14382))+0-0-0</f>
        <v>782.59892200000002</v>
      </c>
      <c r="J185" s="3">
        <f>0+(1037.5-261.4)+(0+(0.529125-0.133314))+0-0-0</f>
        <v>776.495811</v>
      </c>
      <c r="K185" s="3">
        <f>0+(1001.8-238.7)+(0+(1.021836-0.243474))+0-0-0</f>
        <v>763.87836199999992</v>
      </c>
      <c r="L185" s="3">
        <f>0+(1006.3-206.9)+(0+(-2.052852--0.422076))+0-0-0</f>
        <v>797.76922400000001</v>
      </c>
      <c r="M185" s="3">
        <f>0+(1003-173.4)+(0+(1.02306-0.176868))+0-0-0</f>
        <v>830.446192</v>
      </c>
      <c r="N185" s="3">
        <f>0+(1125.9-232.7)+(0+(-2.296836--0.474708))+0-0-0</f>
        <v>891.37787200000002</v>
      </c>
      <c r="O185" s="3">
        <f>0+(1234.4-299)+(0+(-0.629544--0.15249))+0-0-0</f>
        <v>934.92294600000014</v>
      </c>
      <c r="P185" s="3">
        <f>0+(1264.7-301.2)+(0+(-1.289994--0.307224))+0-0-0</f>
        <v>962.51723000000004</v>
      </c>
      <c r="Q185" s="3">
        <f>0+(1305.8-334.4)+(0+(1.331916-0.341088))+0-0-0</f>
        <v>972.39082799999994</v>
      </c>
      <c r="R185" s="3">
        <f>0+(1268.2-314.9)+(0+(-1.293564--0.321198))+0-0-0</f>
        <v>952.3276340000001</v>
      </c>
      <c r="S185" s="3">
        <f>0+(1327.9-396.7)+(0+(-1.354458--0.404634))+0-0-0</f>
        <v>930.25017600000001</v>
      </c>
      <c r="T185" s="3">
        <f>0+(1369.7-423.6)+(0+(-1.397094--0.432072))+0-0-0</f>
        <v>945.13497800000005</v>
      </c>
      <c r="U185" s="3">
        <f>0+(1360.1-415)+(0+(-2.774604--0.8466))+0-0-0</f>
        <v>943.17199599999992</v>
      </c>
      <c r="V185" s="3">
        <f>0+(1329.9-396)+(0+(-2.712996--0.80784))+0-0-0</f>
        <v>931.99484400000006</v>
      </c>
      <c r="W185" s="3">
        <f>0+(1291.8-372.5)+(0+(-3.29409--0.949875))+0-0-0</f>
        <v>916.95578499999999</v>
      </c>
      <c r="X185" s="3">
        <f>0+(1211.8-299.4)+(0+(-1.854054--0.458082))+0-0-0</f>
        <v>911.00402799999995</v>
      </c>
      <c r="Y185" s="3">
        <f>0+(1249.4-296.4)+(0+(-2.548776--0.604656))+0-0-0</f>
        <v>951.05588000000012</v>
      </c>
      <c r="Z185" s="3">
        <f>0+(1233.9-265.3)+(0+(-2.517156--0.541212))+0-0-0</f>
        <v>966.62405600000011</v>
      </c>
      <c r="AA185" s="3">
        <f>0+(1157-220.1)+(0+(-4.72056--0.898008))+0-0-0</f>
        <v>933.077448</v>
      </c>
      <c r="AB185" s="3">
        <f>0+(1179.7-277.2)+(0+(-3.008235--0.70686))+0-0-0</f>
        <v>900.19862499999999</v>
      </c>
      <c r="AC185" s="3">
        <f>0+(1138.1-259)+(0+(-1.160862--0.26418))+0-0-0</f>
        <v>878.20331799999985</v>
      </c>
      <c r="AD185">
        <v>973.5</v>
      </c>
      <c r="AE185" s="3">
        <f>0+(1274.2-300.7)+(0+(0-0))+0-0-0</f>
        <v>973.5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0+(1171.5-343.4)+(0+(-1.19493--0.350268))+0-0-0</f>
        <v>827.25533800000005</v>
      </c>
      <c r="G186" s="3">
        <f>0+(1135.1-351.5)+(0+(1.736703-0.537795))+0-0-0</f>
        <v>784.79890799999987</v>
      </c>
      <c r="H186" s="3">
        <f>0+(1099.5-326.5)+(0+(1.682235-0.499545))+0-0-0</f>
        <v>774.18268999999998</v>
      </c>
      <c r="I186" s="3">
        <f>0+(1021.6-258.1)+(0+(1.042032-0.263262))+0-0-0</f>
        <v>764.27877000000001</v>
      </c>
      <c r="J186" s="3">
        <f>0+(1033.6-269.7)+(0+(2.63568-0.687735))+0-0-0</f>
        <v>765.84794499999987</v>
      </c>
      <c r="K186" s="3">
        <f>0+(977.9-207.9)+(0+(-2.493645--0.530145))+0-0-0</f>
        <v>768.03650000000005</v>
      </c>
      <c r="L186" s="3">
        <f>0+(977.6-206)+(0+(0.498576-0.10506))+0-0-0</f>
        <v>771.993516</v>
      </c>
      <c r="M186" s="3">
        <f>0+(1047.9-221.2)+(0+(-0.534429--0.112812))+0-0-0</f>
        <v>826.27838300000008</v>
      </c>
      <c r="N186" s="3">
        <f>0+(1127.5-244.6)+(0+(-1.15005--0.249492))+0-0-0</f>
        <v>881.99944199999993</v>
      </c>
      <c r="O186" s="3">
        <f>0+(1225.3-297.9)+(0+(0-0))+0-0-0</f>
        <v>927.4</v>
      </c>
      <c r="P186" s="3">
        <f>0+(1142-215.7)+(0+(-0.58242--0.110007))+0-0-0</f>
        <v>925.82758699999999</v>
      </c>
      <c r="Q186" s="3">
        <f>0+(1063.5-143.7)+(0+(-2.16954--0.293148))+0-0-0</f>
        <v>917.92360799999994</v>
      </c>
      <c r="R186" s="3">
        <f>0+(1096.7-184.2)+(0+(-2.796585--0.46971))+0-0-0</f>
        <v>910.17312500000003</v>
      </c>
      <c r="S186" s="3">
        <f>0+(1153-260.7)+(0+(-2.35212--0.531828))+0-0-0</f>
        <v>890.47970799999996</v>
      </c>
      <c r="T186" s="3">
        <f>0+(1194.8-302.2)+(0+(0-0))+0-0-0</f>
        <v>892.59999999999991</v>
      </c>
      <c r="U186" s="3">
        <f>0+(1157.8-271.6)+(0+(-2.361912--0.554064))+0-0-0</f>
        <v>884.3921519999999</v>
      </c>
      <c r="V186" s="3">
        <f>0+(1156.5-276)+(0+(-2.949075--0.7038))+0-0-0</f>
        <v>878.25472500000001</v>
      </c>
      <c r="W186" s="3">
        <f>0+(1167.8-290.9)+(0+(-1.191156--0.296718))+0-0-0</f>
        <v>876.00556199999994</v>
      </c>
      <c r="X186" s="3">
        <f>0+(1165.2-235.4)+(0+(-2.377008--0.480216))+0-0-0</f>
        <v>927.90320800000006</v>
      </c>
      <c r="Y186" s="3">
        <f>0+(1281.5-339.2)+(0+(-3.92139--1.037952))+0-0-0</f>
        <v>939.416562</v>
      </c>
      <c r="Z186" s="3">
        <f>0+(1207.2-285)+(0+(-3.07836--0.72675))+0-0-0</f>
        <v>919.84838999999999</v>
      </c>
      <c r="AA186" s="3">
        <f>0+(1154.3-262.7)+(0+(-2.354772--0.535908))+0-0-0</f>
        <v>889.78113599999995</v>
      </c>
      <c r="AB186" s="3">
        <f>0+(1156.1-302.2)+(0+(-1.768833--0.462366))+0-0-0</f>
        <v>852.59353299999987</v>
      </c>
      <c r="AC186" s="3">
        <f>0+(1108.9-297.3)+(0+(-2.827695--0.758115))+0-0-0</f>
        <v>809.53042000000016</v>
      </c>
      <c r="AD186">
        <v>947.3</v>
      </c>
      <c r="AE186" s="3">
        <f>0+(1298.5-351.2)+(0+(0-0))+0-0-0</f>
        <v>947.3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0+(1097.6-322.2)+(0+(-1.119552--0.328644))+0-0-0</f>
        <v>774.60909199999992</v>
      </c>
      <c r="G187" s="3">
        <f>0+(1088.1-331)+(0+(0.554931-0.16881))+0-0-0</f>
        <v>757.48612099999991</v>
      </c>
      <c r="H187" s="3">
        <f>0+(1029.9-292.4)+(0+(1.050498-0.298248))+0-0-0</f>
        <v>738.25225000000012</v>
      </c>
      <c r="I187" s="3">
        <f>0+(979.2-255.5)+(0+(0-0))+0-0-0</f>
        <v>723.7</v>
      </c>
      <c r="J187" s="3">
        <f>0+(917.9-199.5)+(0+(-1.404387--0.305235))+0-0-0</f>
        <v>717.30084799999997</v>
      </c>
      <c r="K187" s="3">
        <f>0+(894.6-187.6)+(0+(-2.737476--0.574056))+0-0-0</f>
        <v>704.83658000000003</v>
      </c>
      <c r="L187" s="3">
        <f>0+(912.8-239.4)+(0+(0.465528-0.122094))+0-0-0</f>
        <v>673.74343399999998</v>
      </c>
      <c r="M187" s="3">
        <f>0+(908.8-214.8)+(0+(1.853952-0.438192))+0-0-0</f>
        <v>695.41575999999998</v>
      </c>
      <c r="N187" s="3">
        <f>0+(993.8-250.4)+(0+(0-0))+0-0-0</f>
        <v>743.4</v>
      </c>
      <c r="O187" s="3">
        <f>0+(1096.5-319.2)+(0+(1.11843-0.325584))+0-0-0</f>
        <v>778.09284600000001</v>
      </c>
      <c r="P187" s="3">
        <f>0+(1180.6-383)+(0+(0-0))+0-0-0</f>
        <v>797.59999999999991</v>
      </c>
      <c r="Q187" s="3">
        <f>0+(1168.5-374)+(0+(-1.19187--0.38148))+0-0-0</f>
        <v>793.68961000000002</v>
      </c>
      <c r="R187" s="3">
        <f>0+(1190.1-395.6)+(0+(0.606951-0.201756))+0-0-0</f>
        <v>794.90519499999994</v>
      </c>
      <c r="S187" s="3">
        <f>0+(1179.4-398.4)+(0+(-1.202988--0.406368))+0-0-0</f>
        <v>780.20338000000015</v>
      </c>
      <c r="T187" s="3">
        <f>0+(1143.1-367.7)+(0+(-1.748943--0.562581))+0-0-0</f>
        <v>774.21363799999983</v>
      </c>
      <c r="U187" s="3">
        <f>0+(1136.4-360.8)+(0+(-2.318256--0.736032))+0-0-0</f>
        <v>774.01777600000014</v>
      </c>
      <c r="V187" s="3">
        <f>0+(1136-362.7)+(0+(-1.73808--0.554931))+0-0-0</f>
        <v>772.116851</v>
      </c>
      <c r="W187" s="3">
        <f>0+(1104.5-331.2)+(0+(0-0))+0-0-0</f>
        <v>773.3</v>
      </c>
      <c r="X187" s="3">
        <f>0+(1133.5-301.6)+(0+(0-0))+0-0-0</f>
        <v>831.9</v>
      </c>
      <c r="Y187" s="3">
        <f>0+(1201.9-356.6)+(0+(-0.612969--0.181866))+0-0-0</f>
        <v>844.86889700000006</v>
      </c>
      <c r="Z187" s="3">
        <f>0+(1186-347.4)+(0+(-1.81458--0.531522))+0-0-0</f>
        <v>837.31694200000004</v>
      </c>
      <c r="AA187" s="3">
        <f>0+(1159.7-352.4)+(0+(-1.182894--0.359448))+0-0-0</f>
        <v>806.47655400000008</v>
      </c>
      <c r="AB187" s="3">
        <f>0+(1128.2-349.7)+(0+(0.575382-0.178347))+0-0-0</f>
        <v>778.89703499999996</v>
      </c>
      <c r="AC187" s="3">
        <f>0+(1099.2-344.3)+(0+(-0.560592--0.175593))+0-0-0</f>
        <v>754.5150010000001</v>
      </c>
      <c r="AD187">
        <v>858.3</v>
      </c>
      <c r="AE187" s="3">
        <f>0+(1226.3-368)+(0+(0-0))+0-0-0</f>
        <v>858.3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0+(1083.5-366.9)+(0+(0-0))+0-0-0</f>
        <v>716.6</v>
      </c>
      <c r="G188" s="3">
        <f>0+(1027.6-331.8)+(0+(0.524076-0.169218))+0-0-0</f>
        <v>696.15485799999999</v>
      </c>
      <c r="H188" s="3">
        <f>0+(954.7-274.9)+(0+(0.973794-0.280398))+0-0-0</f>
        <v>680.49339600000008</v>
      </c>
      <c r="I188" s="3">
        <f>0+(945.1-273.9)+(0+(0.482001-0.139689))+0-0-0</f>
        <v>671.54231200000004</v>
      </c>
      <c r="J188" s="3">
        <f>0+(902.3-240.3)+(0+(-0.920346--0.245106))+0-0-0</f>
        <v>661.32475999999997</v>
      </c>
      <c r="K188" s="3">
        <f>0+(916.9-245.7)+(0+(-2.338095--0.626535))+0-0-0</f>
        <v>669.48844000000008</v>
      </c>
      <c r="L188" s="3">
        <f>0+(934.4-263.7)+(0+(0-0))+0-0-0</f>
        <v>670.7</v>
      </c>
      <c r="M188" s="3">
        <f>0+(1000.3-285.9)+(0+(0-0))+0-0-0</f>
        <v>714.4</v>
      </c>
      <c r="N188" s="3">
        <f>0+(1190.2-420.8)+(0+(-0.607002--0.214608))+0-0-0</f>
        <v>769.00760600000012</v>
      </c>
      <c r="O188" s="3">
        <f>0+(1183.6-430)+(0+(0-0))+0-0-0</f>
        <v>753.59999999999991</v>
      </c>
      <c r="P188" s="3">
        <f>0+(1212.5-373.8)+(0+(0.618375-0.190638))+0-0-0</f>
        <v>839.12773700000002</v>
      </c>
      <c r="Q188" s="3">
        <f>0+(1223.2-371.7)+(0+(-1.871496--0.568701))+0-0-0</f>
        <v>850.19720500000005</v>
      </c>
      <c r="R188" s="3">
        <f>0+(1222.7-388.2)+(0+(0-0))+0-0-0</f>
        <v>834.5</v>
      </c>
      <c r="S188" s="3">
        <f>0+(1146.6-334.3)+(0+(0.584766-0.170493))+0-0-0</f>
        <v>812.71427299999993</v>
      </c>
      <c r="T188" s="3">
        <f>0+(1129.2-313.1)+(0+(0-0))+0-0-0</f>
        <v>816.1</v>
      </c>
      <c r="U188" s="3">
        <f>0+(1169.8-353.9)+(0+(-1.193196--0.360978))+0-0-0</f>
        <v>815.06778199999997</v>
      </c>
      <c r="V188" s="3">
        <f>0+(1219.4-396.8)+(0+(-1.865682--0.607104))+0-0-0</f>
        <v>821.34142200000019</v>
      </c>
      <c r="W188" s="3">
        <f>0+(1216.4-385.9)+(0+(-1.240728--0.393618))+0-0-0</f>
        <v>829.65289000000007</v>
      </c>
      <c r="X188" s="3">
        <f>0+(1104.4-226.8)+(0+(0-0))+0-0-0</f>
        <v>877.60000000000014</v>
      </c>
      <c r="Y188" s="3">
        <f>0+(1148.6-252.8)+(0+(-0.585786--0.128928))+0-0-0</f>
        <v>895.34314199999994</v>
      </c>
      <c r="Z188" s="3">
        <f>0+(1119.2-238.9)+(0+(-2.283168--0.487356))+0-0-0</f>
        <v>878.50418800000011</v>
      </c>
      <c r="AA188" s="3">
        <f>0+(1101.9-244.6)+(0+(0.561969-0.124746))+0-0-0</f>
        <v>857.73722300000009</v>
      </c>
      <c r="AB188" s="3">
        <f>0+(1090.7-267)+(0+(-1.668771--0.40851))+0-0-0</f>
        <v>822.43973900000003</v>
      </c>
      <c r="AC188" s="3">
        <f>0+(1066.6-281.5)+(0+(-0.543966--0.143565))+0-0-0</f>
        <v>784.69959899999992</v>
      </c>
      <c r="AD188">
        <v>905.7</v>
      </c>
      <c r="AE188" s="3">
        <f>0+(1137.5-231.8)+(0+(0-0))+0-0-0</f>
        <v>905.7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0+(1047.5-276.2)+(0+(-0.534225--0.140862))+0-0-0</f>
        <v>770.90663699999993</v>
      </c>
      <c r="G189" s="3">
        <f>0+(1047.8-341.1)+(0+(-1.603134--0.521883))+0-0-0</f>
        <v>705.61874899999998</v>
      </c>
      <c r="H189" s="3">
        <f>0+(1026.8-325.1)+(0+(0.523668-0.165801))+0-0-0</f>
        <v>702.05786699999999</v>
      </c>
      <c r="I189" s="3">
        <f>0+(1011.7-307.8)+(0+(-0.515967--0.156978))+0-0-0</f>
        <v>703.54101100000014</v>
      </c>
      <c r="J189" s="3">
        <f>0+(970.3-267.7)+(0+(-0.494853--0.136527))+0-0-0</f>
        <v>702.24167399999988</v>
      </c>
      <c r="K189" s="3">
        <f>0+(972.3-259.4)+(0+(-1.983492--0.529176))+0-0-0</f>
        <v>711.44568400000003</v>
      </c>
      <c r="L189" s="3">
        <f>0+(934.3-194.4)+(0+(-0.952986--0.198288))+0-0-0</f>
        <v>739.14530200000002</v>
      </c>
      <c r="M189" s="3">
        <f>0+(986.1-168)+(0+(1.005822-0.17136))+0-0-0</f>
        <v>818.93446200000005</v>
      </c>
      <c r="N189" s="3">
        <f>0+(1101.7-173.4)+(0+(0-0))+0-0-0</f>
        <v>928.30000000000007</v>
      </c>
      <c r="O189" s="3">
        <f>0+(1006.9-27)+(0+(0.513519-0.01377))+0-0-0</f>
        <v>980.39974899999993</v>
      </c>
      <c r="P189" s="3">
        <f>0+(1027.8-76)+(0+(-0.524178--0.03876))+0-0-0</f>
        <v>951.31458199999997</v>
      </c>
      <c r="Q189" s="3">
        <f>0+(1013-97.6)+(0+(0.51663-0.049776))+0-0-0</f>
        <v>915.86685399999999</v>
      </c>
      <c r="R189" s="3">
        <f>108+(1019.9-149.4)+(-0.11016+(-1.040298--0.152388))+0-0-0</f>
        <v>977.50193000000002</v>
      </c>
      <c r="S189" s="3">
        <f>111+(1032.9-219.9)+(0.11322+(1.053558-0.224298))+0-0-0</f>
        <v>924.94248000000016</v>
      </c>
      <c r="T189" s="3">
        <f>110+(1108.3-276.6)+(-0.0561+(-0.565233--0.141066))+0-0-0</f>
        <v>941.21973299999991</v>
      </c>
      <c r="U189" s="3">
        <f>110+(1100.2-284.9)+(-0.2244+(-2.244408--0.581196))+0-0-0</f>
        <v>923.41238800000008</v>
      </c>
      <c r="V189" s="3">
        <f>105+(1072.5-258)+(-0.1071+(-1.09395--0.26316))+0-0-0</f>
        <v>918.56210999999996</v>
      </c>
      <c r="W189" s="3">
        <f>45+(1012.1-169)+(0.02295+(0.516171-0.08619))+0-0-0</f>
        <v>888.55293100000006</v>
      </c>
      <c r="X189" s="3">
        <f>45+(1070.9-158.7)+(-0.02295+(-0.546159--0.080937))+0-0-0</f>
        <v>956.71182800000008</v>
      </c>
      <c r="Y189" s="3">
        <f>0+(1120.3-179.3)+(0+(-2.856765--0.457215))+0-0-0</f>
        <v>938.60045000000002</v>
      </c>
      <c r="Z189" s="3">
        <f>0+(1150.5-211)+(0+(-1.17351--0.21522))+0-0-0</f>
        <v>938.54170999999997</v>
      </c>
      <c r="AA189" s="3">
        <f>0+(1151.3-233.8)+(0+(-0.587163--0.119238))+0-0-0</f>
        <v>917.03207499999996</v>
      </c>
      <c r="AB189" s="3">
        <f>0+(1086.2-216.6)+(0+(-1.661886--0.331398))+0-0-0</f>
        <v>868.26951200000008</v>
      </c>
      <c r="AC189" s="3">
        <f>0+(993.9-160.5)+(0+(-2.534445--0.409275))+0-0-0</f>
        <v>831.27482999999995</v>
      </c>
      <c r="AD189">
        <v>979</v>
      </c>
      <c r="AE189" s="3">
        <f>55+(1107.2-183.2)+(0+(0-0))+0-0-0</f>
        <v>979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0+(1005.4-206.7)+(0+(-2.56377--0.527085))+0-0-0</f>
        <v>796.66331500000001</v>
      </c>
      <c r="G190" s="3">
        <f>0+(907-139.1)+(0+(1.85028-0.283764))+0-0-0</f>
        <v>769.46651599999996</v>
      </c>
      <c r="H190" s="3">
        <f>0+(894.4-134.5)+(0+(-0.912288--0.13719))+0-0-0</f>
        <v>759.12490200000002</v>
      </c>
      <c r="I190" s="3">
        <f>0+(867.2-116)+(0+(-0.884544--0.11832))+0-0-0</f>
        <v>750.43377600000008</v>
      </c>
      <c r="J190" s="3">
        <f>0+(875.4-118.9)+(0+(-0.892908--0.121278))+0-0-0</f>
        <v>755.72837000000004</v>
      </c>
      <c r="K190" s="3">
        <f>0+(902.5-136.4)+(0+(-2.301375--0.34782))+0-0-0</f>
        <v>764.14644499999997</v>
      </c>
      <c r="L190" s="3">
        <f>0+(937.2-147.9)+(0+(-1.433916--0.226287))+0-0-0</f>
        <v>788.09237100000007</v>
      </c>
      <c r="M190" s="3">
        <f>0+(1004.4-167.7)+(0+(0.512244-0.085527))+0-0-0</f>
        <v>837.1267170000001</v>
      </c>
      <c r="N190" s="3">
        <f>0+(1017.7-125.2)+(0+(0-0))+0-0-0</f>
        <v>892.5</v>
      </c>
      <c r="O190" s="3">
        <f>0+(1004.5-77.2)+(0+(0.512295-0.039372))+0-0-0</f>
        <v>927.77292299999999</v>
      </c>
      <c r="P190" s="3">
        <f>0+(1096.3-156.3)+(0+(1.118226-0.159426))+0-0-0</f>
        <v>940.9588</v>
      </c>
      <c r="Q190" s="3">
        <f>119+(1065.1-177.7)+(0+(0-0))+0-0-0</f>
        <v>1006.3999999999999</v>
      </c>
      <c r="R190" s="3">
        <f>115+(1095.6-287.7)+(-0.17595+(-1.676268--0.440181))+0-0-0</f>
        <v>921.48796299999981</v>
      </c>
      <c r="S190" s="3">
        <f>114+(1095.4-316.3)+(-0.23256+(-2.234616--0.645252))+0-0-0</f>
        <v>891.27807600000017</v>
      </c>
      <c r="T190" s="3">
        <f>113+(1108.7-328)+(-0.28815+(-2.827185--0.8364))+0-0-0</f>
        <v>891.421065</v>
      </c>
      <c r="U190" s="3">
        <f>114+(1088.1-303)+(-0.40698+(-3.884517--1.08171))+0-0-0</f>
        <v>895.8902129999999</v>
      </c>
      <c r="V190" s="3">
        <f>114+(975.7-194.2)+(-0.40698+(-3.483249--0.693294))+0-0-0</f>
        <v>892.30306499999995</v>
      </c>
      <c r="W190" s="3">
        <f>113+(889.9-103.5)+(-0.23052+(-1.815396--0.21114))+0-0-0</f>
        <v>897.56522399999994</v>
      </c>
      <c r="X190" s="3">
        <f>114+(953.7-107.7)+(-0.23256+(-1.945548--0.219708))+0-0-0</f>
        <v>958.04160000000002</v>
      </c>
      <c r="Y190" s="3">
        <f>115+(1048.4-208.5)+(-0.2346+(-2.138736--0.42534))+0-0-0</f>
        <v>952.9520040000001</v>
      </c>
      <c r="Z190" s="3">
        <f>115+(914.6-112.1)+(0+(0-0))+0-0-0</f>
        <v>917.5</v>
      </c>
      <c r="AA190" s="3">
        <f>48+(943.2-170.6)+(-0.1224+(-2.40516--0.43503))+0-0-0</f>
        <v>818.50747000000001</v>
      </c>
      <c r="AB190" s="3">
        <f>0+(980.1-175.8)+(0+(-2.499255--0.44829))+0-0-0</f>
        <v>802.24903499999994</v>
      </c>
      <c r="AC190" s="3">
        <f>0+(1034.5-211.3)+(0+(-2.637975--0.538815))+0-0-0</f>
        <v>821.10084000000006</v>
      </c>
      <c r="AD190">
        <v>957.6</v>
      </c>
      <c r="AE190" s="3">
        <f>115+(1074.7-232.1)+(0+(0-0))+0-0-0</f>
        <v>957.6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0+(1093.4-302.7)+(0+(-2.230536--0.617508))+0-0-0</f>
        <v>789.08697200000006</v>
      </c>
      <c r="G191" s="3">
        <f>0+(1028.4-256.5)+(0+(0-0))+0-0-0</f>
        <v>771.90000000000009</v>
      </c>
      <c r="H191" s="3">
        <f>0+(1013.8-250.7)+(0+(0-0))+0-0-0</f>
        <v>763.09999999999991</v>
      </c>
      <c r="I191" s="3">
        <f>0+(1009.7-233.9)+(0+(0-0))+0-0-0</f>
        <v>775.80000000000007</v>
      </c>
      <c r="J191" s="3">
        <f>0+(993.7-216.6)+(0+(-1.013574--0.220932))+0-0-0</f>
        <v>776.30735800000002</v>
      </c>
      <c r="K191" s="3">
        <f>0+(964.6-162.2)+(0+(-0.491946--0.082722))+0-0-0</f>
        <v>801.9907760000001</v>
      </c>
      <c r="L191" s="3">
        <f>0+(939.1-113.7)+(0+(-0.957882--0.115974))+0-0-0</f>
        <v>824.55809199999999</v>
      </c>
      <c r="M191" s="3">
        <f>0+(968.2-56)+(0+(1.481346-0.08568))+0-0-0</f>
        <v>913.59566600000005</v>
      </c>
      <c r="N191" s="3">
        <f>0+(1156.8-224.7)+(0+(1.179936-0.229194))+0-0-0</f>
        <v>933.0507419999999</v>
      </c>
      <c r="O191" s="3">
        <f>0+(1187.7-206.8)+(0+(0-0))+0-0-0</f>
        <v>980.90000000000009</v>
      </c>
      <c r="P191" s="3">
        <f>0+(1190.1-196.6)+(0+(-3.034755--0.50133))+0-0-0</f>
        <v>990.96657499999992</v>
      </c>
      <c r="Q191" s="3">
        <f>0+(1173.1-198)+(0+(0.598281-0.10098))+0-0-0</f>
        <v>975.5973009999999</v>
      </c>
      <c r="R191" s="3">
        <f>0+(1160.3-223.6)+(0+(1.183506-0.228072))+0-0-0</f>
        <v>937.6554339999999</v>
      </c>
      <c r="S191" s="3">
        <f>0+(1151.9-253)+(0+(2.349876-0.51612))+0-0-0</f>
        <v>900.73375600000008</v>
      </c>
      <c r="T191" s="3">
        <f>0+(1179.8-276.8)+(0+(-1.805094--0.423504))+0-0-0</f>
        <v>901.61841000000004</v>
      </c>
      <c r="U191" s="3">
        <f>0+(1158.4-247.3)+(0+(-2.95392--0.630615))+0-0-0</f>
        <v>908.77669500000013</v>
      </c>
      <c r="V191" s="3">
        <f>0+(1075.2-156.1)+(0+(-2.74176--0.398055))+0-0-0</f>
        <v>916.75629500000002</v>
      </c>
      <c r="W191" s="3">
        <f>0+(965.4-8.1)+(0+(-1.477062--0.012393))+0-0-0</f>
        <v>955.835331</v>
      </c>
      <c r="X191" s="3">
        <f>0+(1001.2-0)+(0+(1.531836-0))+0-0-0</f>
        <v>1002.731836</v>
      </c>
      <c r="Y191" s="3">
        <f>0+(1131.8-101.7)+(0+(-2.88609--0.259335))+0-0-0</f>
        <v>1027.4732449999999</v>
      </c>
      <c r="Z191" s="3">
        <f>0+(1044.9-62)+(0+(-1.065798--0.06324))+0-0-0</f>
        <v>981.89744200000007</v>
      </c>
      <c r="AA191" s="3">
        <f>0+(1024.2-71)+(0+(-1.567026--0.10863))+0-0-0</f>
        <v>951.74160400000005</v>
      </c>
      <c r="AB191" s="3">
        <f>0+(1037.6-144.9)+(0+(-2.116704--0.295596))+0-0-0</f>
        <v>890.87889199999995</v>
      </c>
      <c r="AC191" s="3">
        <f>0+(1038.3-225.4)+(0+(-2.647665--0.57477))+0-0-0</f>
        <v>810.82710499999996</v>
      </c>
      <c r="AD191">
        <v>1006.1000000000001</v>
      </c>
      <c r="AE191" s="3">
        <f>0+(1071.9-65.8)+(0+(0-0))+0-0-0</f>
        <v>1006.1000000000001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0+(1046.5-298)+(0+(-2.13486--0.60792))+0-0-0</f>
        <v>746.97306000000003</v>
      </c>
      <c r="G192" s="3">
        <f>0+(1052.7-339.1)+(0+(-0.536877--0.172941))+0-0-0</f>
        <v>713.23606400000006</v>
      </c>
      <c r="H192" s="3">
        <f>0+(1016.8-323.2)+(0+(-2.074272--0.659328))+0-0-0</f>
        <v>692.18505599999992</v>
      </c>
      <c r="I192" s="3">
        <f>0+(1023.1-342.8)+(0+(0.521781-0.174828))+0-0-0</f>
        <v>680.64695299999994</v>
      </c>
      <c r="J192" s="3">
        <f>0+(995.2-315.6)+(0+(-1.015104--0.321912))+0-0-0</f>
        <v>678.90680800000007</v>
      </c>
      <c r="K192" s="3">
        <f>0+(991.2-310.3)+(0+(-2.52756--0.791265))+0-0-0</f>
        <v>679.16370500000005</v>
      </c>
      <c r="L192" s="3">
        <f>0+(1000.6-262.5)+(0+(-0.510306--0.133875))+0-0-0</f>
        <v>737.723569</v>
      </c>
      <c r="M192" s="3">
        <f>0+(1102.4-256.6)+(0+(0.562224-0.130866))+0-0-0</f>
        <v>846.23135800000011</v>
      </c>
      <c r="N192" s="3">
        <f>0+(1144-199.4)+(0+(1.16688-0.203388))+0-0-0</f>
        <v>945.563492</v>
      </c>
      <c r="O192" s="3">
        <f>0+(1206.9-225)+(0+(1.846557-0.34425))+0-0-0</f>
        <v>983.40230700000006</v>
      </c>
      <c r="P192" s="3">
        <f>0+(1158.7-190.7)+(0+(0-0))+0-0-0</f>
        <v>968</v>
      </c>
      <c r="Q192" s="3">
        <f>0+(1072.9-195.1)+(0+(0.547179-0.099501))+0-0-0</f>
        <v>878.24767800000006</v>
      </c>
      <c r="R192" s="3">
        <f>0+(1072.7-209.7)+(0+(-1.641231--0.320841))+0-0-0</f>
        <v>861.67961000000003</v>
      </c>
      <c r="S192" s="3">
        <f>0+(1091.6-261)+(0+(0.556716-0.13311))+0-0-0</f>
        <v>831.02360599999986</v>
      </c>
      <c r="T192" s="3">
        <f>0+(1099-277)+(0+(-2.24196--0.56508))+0-0-0</f>
        <v>820.32312000000002</v>
      </c>
      <c r="U192" s="3">
        <f>0+(1080.2-253.3)+(0+(-2.75451--0.645915))+0-0-0</f>
        <v>824.79140500000005</v>
      </c>
      <c r="V192" s="3">
        <f>0+(1117.1-247.4)+(0+(-1.139442--0.252348))+0-0-0</f>
        <v>868.81290599999988</v>
      </c>
      <c r="W192" s="3">
        <f>0+(1055.5-144.6)+(0+(0-0))+0-0-0</f>
        <v>910.9</v>
      </c>
      <c r="X192" s="3">
        <f>0+(1124.6-119.9)+(0+(-1.147092--0.122298))+0-0-0</f>
        <v>1003.6752059999999</v>
      </c>
      <c r="Y192" s="3">
        <f>0+(1248-192.6)+(0+(-1.90944--0.294678))+0-0-0</f>
        <v>1053.7852380000002</v>
      </c>
      <c r="Z192" s="3">
        <f>0+(1164.4-172.6)+(0+(-1.781532--0.264078))+0-0-0</f>
        <v>990.28254600000002</v>
      </c>
      <c r="AA192" s="3">
        <f>0+(1150.5-223.8)+(0+(-1.17351--0.228276))+0-0-0</f>
        <v>925.75476600000002</v>
      </c>
      <c r="AB192" s="3">
        <f>0+(1120.6-264.3)+(0+(-0.571506--0.134793))+0-0-0</f>
        <v>855.8632869999999</v>
      </c>
      <c r="AC192" s="3">
        <f>0+(1104-302.7)+(0+(-0.56304--0.154377))+0-0-0</f>
        <v>800.89133699999991</v>
      </c>
      <c r="AD192">
        <v>1052.3000000000002</v>
      </c>
      <c r="AE192" s="3">
        <f>0+(1261.9-209.6)+(0+(0-0))+0-0-0</f>
        <v>1052.3000000000002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0+(1098.4-315)+(0+(-2.240736--0.6426))+0-0-0</f>
        <v>781.80186400000014</v>
      </c>
      <c r="G193" s="3">
        <f>0+(1021.9-260.3)+(0+(-2.605845--0.663765))+0-0-0</f>
        <v>759.65791999999988</v>
      </c>
      <c r="H193" s="3">
        <f>0+(1020.9-243.9)+(0+(-1.041318--0.248778))+0-0-0</f>
        <v>776.20745999999997</v>
      </c>
      <c r="I193" s="3">
        <f>0+(979-183.5)+(0+(-1.99716--0.37434))+0-0-0</f>
        <v>793.87717999999995</v>
      </c>
      <c r="J193" s="3">
        <f>0+(917-114.6)+(0+(2.33835-0.29223))+0-0-0</f>
        <v>804.44611999999995</v>
      </c>
      <c r="K193" s="3">
        <f>0+(918.5-138.2)+(0+(-0.93687--0.140964))+0-0-0</f>
        <v>779.50409400000001</v>
      </c>
      <c r="L193" s="3">
        <f>0+(977.1-193.1)+(0+(1.993284-0.393924))+0-0-0</f>
        <v>785.59936000000005</v>
      </c>
      <c r="M193" s="3">
        <f>0+(1001-137.1)+(0+(1.53153-0.209763))+0-0-0</f>
        <v>865.221767</v>
      </c>
      <c r="N193" s="3">
        <f>0+(1219.9-243.2)+(0+(-1.244298--0.248064))+0-0-0</f>
        <v>975.70376600000009</v>
      </c>
      <c r="O193" s="3">
        <f>0+(1266.4-250.6)+(0+(0.645864-0.127806))+0-0-0</f>
        <v>1016.3180580000001</v>
      </c>
      <c r="P193" s="3">
        <f>0+(1274.5-253.8)+(0+(1.29999-0.258876))+0-0-0</f>
        <v>1021.741114</v>
      </c>
      <c r="Q193" s="3">
        <f>0+(1192.4-222.7)+(0+(0-0))+0-0-0</f>
        <v>969.7</v>
      </c>
      <c r="R193" s="3">
        <f>0+(1176.6-224.7)+(0+(-3.00033--0.572985))+0-0-0</f>
        <v>949.47265499999992</v>
      </c>
      <c r="S193" s="3">
        <f>0+(1133.5-190.9)+(0+(-2.31234--0.389436))+0-0-0</f>
        <v>940.67709600000001</v>
      </c>
      <c r="T193" s="3">
        <f>0+(1119.5-193.4)+(0+(-2.854725--0.49317))+0-0-0</f>
        <v>923.73844500000007</v>
      </c>
      <c r="U193" s="3">
        <f>0+(1118.2-198.4)+(0+(-2.281128--0.404736))+0-0-0</f>
        <v>917.92360800000006</v>
      </c>
      <c r="V193" s="3">
        <f>0+(1146.7-185.8)+(0+(-2.339268--0.379032))+0-0-0</f>
        <v>958.93976400000008</v>
      </c>
      <c r="W193" s="3">
        <f>0+(1175.8-139.6)+(0+(-1.199316--0.142392))+0-0-0</f>
        <v>1035.1430760000001</v>
      </c>
      <c r="X193" s="3">
        <f>0+(1227.2-144.7)+(0+(1.251744-0.147594))+0-0-0</f>
        <v>1083.6041499999999</v>
      </c>
      <c r="Y193" s="3">
        <f>0+(1299.2-201.5)+(0+(-1.987776--0.308295))+0-0-0</f>
        <v>1096.0205190000001</v>
      </c>
      <c r="Z193" s="3">
        <f>0+(1271.7-183.9)+(0+(-1.945701--0.281367))+0-0-0</f>
        <v>1086.1356659999999</v>
      </c>
      <c r="AA193" s="3">
        <f>0+(1217.4-177.9)+(0+(-1.862622--0.272187))+0-0-0</f>
        <v>1037.9095649999999</v>
      </c>
      <c r="AB193" s="3">
        <f>0+(1119.3-126.3)+(0+(-0.570843--0.064413))+0-0-0</f>
        <v>992.49356999999998</v>
      </c>
      <c r="AC193" s="3">
        <f>0+(1083.2-137.4)+(0+(-1.104864--0.140148))+0-0-0</f>
        <v>944.83528400000012</v>
      </c>
      <c r="AD193">
        <v>927.09999999999991</v>
      </c>
      <c r="AE193" s="3">
        <f>0+(1270.3-343.2)+(0+(0-0))+0-0-0</f>
        <v>927.09999999999991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0+(1000.3-172.2)+(0+(1.020306-0.175644))+0-0-0</f>
        <v>828.94466199999988</v>
      </c>
      <c r="G194" s="3">
        <f>0+(998.3-224.7)+(0+(0.509133-0.114597))+0-0-0</f>
        <v>773.99453599999993</v>
      </c>
      <c r="H194" s="3">
        <f>0+(941-188.7)+(0+(0.95982-0.192474))+0-0-0</f>
        <v>753.06734599999993</v>
      </c>
      <c r="I194" s="3">
        <f>0+(923.8-184.1)+(0+(-0.471138--0.093891))+0-0-0</f>
        <v>739.32275299999992</v>
      </c>
      <c r="J194" s="3">
        <f>0+(837.4-105.8)+(0+(0.427074-0.053958))+0-0-0</f>
        <v>731.973116</v>
      </c>
      <c r="K194" s="3">
        <f>0+(825.5-95.6)+(0+(-2.105025--0.24378))+0-0-0</f>
        <v>728.03875499999992</v>
      </c>
      <c r="L194" s="3">
        <f>0+(807.8-101.1)+(0+(0.823956-0.103122))+0-0-0</f>
        <v>707.4208339999999</v>
      </c>
      <c r="M194" s="3">
        <f>0+(843.4-105.2)+(0+(0-0))+0-0-0</f>
        <v>738.19999999999993</v>
      </c>
      <c r="N194" s="3">
        <f>0+(958-174)+(0+(-1.46574--0.26622))+0-0-0</f>
        <v>782.80047999999999</v>
      </c>
      <c r="O194" s="3">
        <f>0+(1046.2-215.4)+(0+(1.600686-0.329562))+0-0-0</f>
        <v>832.07112400000005</v>
      </c>
      <c r="P194" s="3">
        <f>0+(1087.1-231.2)+(0+(-1.108842--0.235824))+0-0-0</f>
        <v>855.02698199999986</v>
      </c>
      <c r="Q194" s="3">
        <f>0+(1093-231.6)+(0+(0-0))+0-0-0</f>
        <v>861.4</v>
      </c>
      <c r="R194" s="3">
        <f>0+(1136.2-219.8)+(0+(0-0))+0-0-0</f>
        <v>916.40000000000009</v>
      </c>
      <c r="S194" s="3">
        <f>0+(1076.2-201.9)+(0+(-1.097724--0.205938))+0-0-0</f>
        <v>873.40821400000004</v>
      </c>
      <c r="T194" s="3">
        <f>0+(1082.8-211.1)+(0+(-2.208912--0.430644))+0-0-0</f>
        <v>869.92173199999991</v>
      </c>
      <c r="U194" s="3">
        <f>0+(1074.3-188)+(0+(-3.287358--0.57528))+0-0-0</f>
        <v>883.58792199999993</v>
      </c>
      <c r="V194" s="3">
        <f>0+(1019.9-117.1)+(0+(-2.080596--0.238884))+0-0-0</f>
        <v>900.95828799999992</v>
      </c>
      <c r="W194" s="3">
        <f>0+(1017.6-93.1)+(0+(1.037952-0.094962))+0-0-0</f>
        <v>925.44299000000001</v>
      </c>
      <c r="X194" s="3">
        <f>0+(1098.9-92.5)+(0+(0.560439-0.047175))+0-0-0</f>
        <v>1006.9132640000001</v>
      </c>
      <c r="Y194" s="3">
        <f>0+(1130.6-105.6)+(0+(-1.153212--0.107712))+0-0-0</f>
        <v>1023.9545000000001</v>
      </c>
      <c r="Z194" s="3">
        <f>0+(995.2-61.1)+(0+(-1.015104--0.062322))+0-0-0</f>
        <v>933.14721800000007</v>
      </c>
      <c r="AA194" s="3">
        <f>0+(977-125.7)+(0+(-0.49827--0.064107))+0-0-0</f>
        <v>850.86583699999994</v>
      </c>
      <c r="AB194" s="3">
        <f>0+(987-188.9)+(0+(-1.51011--0.289017))+0-0-0</f>
        <v>796.87890700000003</v>
      </c>
      <c r="AC194" s="3">
        <f>0+(993.8-234.5)+(0+(-1.520514--0.358785))+0-0-0</f>
        <v>758.13827099999992</v>
      </c>
      <c r="AD194">
        <v>851.4</v>
      </c>
      <c r="AE194" s="3">
        <f>0+(979.4-128)+(0+(0-0))+0-0-0</f>
        <v>851.4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0+(922.8-240.6)+(0+(-4.235652--1.104354))+0-0-0</f>
        <v>679.06870199999992</v>
      </c>
      <c r="G195" s="3">
        <f>0+(961.7-291)+(0+(-0.980934--0.29682))+0-0-0</f>
        <v>670.01588600000002</v>
      </c>
      <c r="H195" s="3">
        <f>0+(921.6-268)+(0+(-2.820096--0.82008))+0-0-0</f>
        <v>651.59998400000006</v>
      </c>
      <c r="I195" s="3">
        <f>0+(865.6-218.7)+(0+(-1.324368--0.334611))+0-0-0</f>
        <v>645.91024300000004</v>
      </c>
      <c r="J195" s="3">
        <f>0+(823.6-173.7)+(0+(0-0))+0-0-0</f>
        <v>649.90000000000009</v>
      </c>
      <c r="K195" s="3">
        <f>0+(824.8-175.8)+(0+(-1.261944--0.268974))+0-0-0</f>
        <v>648.00702999999999</v>
      </c>
      <c r="L195" s="3">
        <f>0+(847.1-150.5)+(0+(0.432021-0.076755))+0-0-0</f>
        <v>696.95526600000005</v>
      </c>
      <c r="M195" s="3">
        <f>0+(982.5-223.9)+(0+(0-0))+0-0-0</f>
        <v>758.6</v>
      </c>
      <c r="N195" s="3">
        <f>0+(1172.7-312.6)+(0+(1.196154-0.318852))+0-0-0</f>
        <v>860.97730200000001</v>
      </c>
      <c r="O195" s="3">
        <f>0+(1172-290.5)+(0+(2.39088-0.59262))+0-0-0</f>
        <v>883.29826000000003</v>
      </c>
      <c r="P195" s="3">
        <f>0+(1117.4-215.9)+(0+(1.139748-0.220218))+0-0-0</f>
        <v>902.41953000000012</v>
      </c>
      <c r="Q195" s="3">
        <f>0+(1075.5-165.4)+(0+(0.548505-0.084354))+0-0-0</f>
        <v>910.56415100000004</v>
      </c>
      <c r="R195" s="3">
        <f>0+(1092-198.5)+(0+(-0.55692--0.101235))+0-0-0</f>
        <v>893.04431499999998</v>
      </c>
      <c r="S195" s="3">
        <f>0+(1123.9-261)+(0+(2.292756-0.53244))+0-0-0</f>
        <v>864.66031600000008</v>
      </c>
      <c r="T195" s="3">
        <f>0+(1117.9-253)+(0+(-0.570129--0.12903))+0-0-0</f>
        <v>864.45890100000008</v>
      </c>
      <c r="U195" s="3">
        <f>0+(1121-265.2)+(0+(-2.28684--0.541008))+0-0-0</f>
        <v>854.054168</v>
      </c>
      <c r="V195" s="3">
        <f>0+(1134.7-278)+(0+(-2.314788--0.56712))+0-0-0</f>
        <v>854.95233200000007</v>
      </c>
      <c r="W195" s="3">
        <f>0+(1028.8-168.5)+(0+(-1.574064--0.257805))+0-0-0</f>
        <v>858.98374100000001</v>
      </c>
      <c r="X195" s="3">
        <f>0+(1101.4-170.6)+(0+(0-0))+0-0-0</f>
        <v>930.80000000000007</v>
      </c>
      <c r="Y195" s="3">
        <f>0+(1121.4-202.6)+(0+(-2.85957--0.51663))+0-0-0</f>
        <v>916.45706000000007</v>
      </c>
      <c r="Z195" s="3">
        <f>0+(1129.7-241.2)+(0+(-1.152294--0.246024))+0-0-0</f>
        <v>887.59373000000005</v>
      </c>
      <c r="AA195" s="3">
        <f>0+(1140.6-281.5)+(0+(-2.326824--0.57426))+0-0-0</f>
        <v>857.3474359999999</v>
      </c>
      <c r="AB195" s="3">
        <f>0+(1125.1-298.4)+(0+(-1.147602--0.304368))+0-0-0</f>
        <v>825.85676599999988</v>
      </c>
      <c r="AC195" s="3">
        <f>0+(1082.4-295.9)+(0+(-3.312144--0.905454))+0-0-0</f>
        <v>784.09331000000009</v>
      </c>
      <c r="AD195">
        <v>943.8</v>
      </c>
      <c r="AE195" s="3">
        <f>0+(1110.1-166.3)+(0+(0-0))+0-0-0</f>
        <v>943.8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0+(1031-272.5)+(0+(-2.62905--0.694875))+0-0-0</f>
        <v>756.56582500000002</v>
      </c>
      <c r="G196" s="3">
        <f>0+(913.7-184.7)+(0+(0-0))+0-0-0</f>
        <v>729</v>
      </c>
      <c r="H196" s="3">
        <f>0+(959.6-229.8)+(0+(-1.468188--0.351594))+0-0-0</f>
        <v>728.68340599999999</v>
      </c>
      <c r="I196" s="3">
        <f>0+(969.1-242.5)+(0+(-1.482723--0.371025))+0-0-0</f>
        <v>725.48830199999998</v>
      </c>
      <c r="J196" s="3">
        <f>0+(932.5-213.9)+(0+(-1.426725--0.327267))+0-0-0</f>
        <v>717.500542</v>
      </c>
      <c r="K196" s="3">
        <f>0+(906.4-178.8)+(0+(-0.924528--0.182376))+0-0-0</f>
        <v>726.85784799999988</v>
      </c>
      <c r="L196" s="3">
        <f>0+(885.4-142.6)+(0+(0-0))+0-0-0</f>
        <v>742.8</v>
      </c>
      <c r="M196" s="3">
        <f>0+(939-137.7)+(0+(1.43667-0.210681))+0-0-0</f>
        <v>802.52598899999998</v>
      </c>
      <c r="N196" s="3">
        <f>0+(1071.9-203.4)+(0+(1.093338-0.207468))+0-0-0</f>
        <v>869.38587000000007</v>
      </c>
      <c r="O196" s="3">
        <f>0+(1133.7-229)+(0+(-1.156374--0.23358))+0-0-0</f>
        <v>903.77720600000009</v>
      </c>
      <c r="P196" s="3">
        <f>0+(1116.5-193.1)+(0+(-0.569415--0.098481))+0-0-0</f>
        <v>922.92906599999992</v>
      </c>
      <c r="Q196" s="3">
        <f>0+(1065-154.1)+(0+(1.0863-0.157182))+0-0-0</f>
        <v>911.82911799999999</v>
      </c>
      <c r="R196" s="3">
        <f>0+(1056-168.7)+(0+(-0.53856--0.086037))+0-0-0</f>
        <v>886.84747699999991</v>
      </c>
      <c r="S196" s="3">
        <f>0+(1094.3-220.5)+(0+(0-0))+0-0-0</f>
        <v>873.8</v>
      </c>
      <c r="T196" s="3">
        <f>0+(1091-218.3)+(0+(-2.78205--0.556665))+0-0-0</f>
        <v>870.47461500000009</v>
      </c>
      <c r="U196" s="3">
        <f>0+(1093.1-223.5)+(0+(-2.229924--0.45594))+0-0-0</f>
        <v>867.82601599999987</v>
      </c>
      <c r="V196" s="3">
        <f>0+(1052.6-186.3)+(0+(-2.68413--0.475065))+0-0-0</f>
        <v>864.09093499999994</v>
      </c>
      <c r="W196" s="3">
        <f>0+(995.9-140.4)+(0+(-1.015818--0.143208))+0-0-0</f>
        <v>854.62738999999999</v>
      </c>
      <c r="X196" s="3">
        <f>0+(1030.9-108.9)+(0+(-1.577277--0.166617))+0-0-0</f>
        <v>920.58934000000011</v>
      </c>
      <c r="Y196" s="3">
        <f>0+(1099.3-170.5)+(0+(-1.681929--0.260865))+0-0-0</f>
        <v>927.37893599999995</v>
      </c>
      <c r="Z196" s="3">
        <f>0+(1076.5-160.3)+(0+(-2.19606--0.327012))+0-0-0</f>
        <v>914.33095200000002</v>
      </c>
      <c r="AA196" s="3">
        <f>0+(1028.7-153.6)+(0+(-1.573911--0.235008))+0-0-0</f>
        <v>873.76109700000006</v>
      </c>
      <c r="AB196" s="3">
        <f>0+(1019.5-183.6)+(0+(-1.03989--0.187272))+0-0-0</f>
        <v>835.04738199999997</v>
      </c>
      <c r="AC196" s="3">
        <f>0+(1040-241.2)+(0+(-2.652--0.61506))+0-0-0</f>
        <v>796.76306</v>
      </c>
      <c r="AD196">
        <v>929.30000000000007</v>
      </c>
      <c r="AE196" s="3">
        <f>0+(1116.2-186.9)+(0+(0-0))+0-0-0</f>
        <v>929.30000000000007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0+(1081-313)+(0+(0.55131-0.15963))+0-0-0</f>
        <v>768.39167999999995</v>
      </c>
      <c r="G197" s="3">
        <f>0+(1065.9-327.8)+(0+(-2.718045--0.83589))+0-0-0</f>
        <v>736.21784500000012</v>
      </c>
      <c r="H197" s="3">
        <f>0+(1004.3-278.5)+(0+(-0.512193--0.142035))+0-0-0</f>
        <v>725.42984200000001</v>
      </c>
      <c r="I197" s="3">
        <f>0+(945.5-224.1)+(0+(-0.482205--0.114291))+0-0-0</f>
        <v>721.03208599999994</v>
      </c>
      <c r="J197" s="3">
        <f>0+(927.3-211.3)+(0+(-2.364615--0.538815))+0-0-0</f>
        <v>714.17420000000004</v>
      </c>
      <c r="K197" s="3">
        <f>0+(920.9-200.3)+(0+(-1.878636--0.408612))+0-0-0</f>
        <v>719.12997599999994</v>
      </c>
      <c r="L197" s="3">
        <f>0+(929-193.9)+(0+(-0.47379--0.098889))+0-0-0</f>
        <v>734.725099</v>
      </c>
      <c r="M197" s="3">
        <f>0+(1024.1-227.5)+(0+(0.522291-0.116025))+0-0-0</f>
        <v>797.00626599999987</v>
      </c>
      <c r="N197" s="3">
        <f>0+(1168.2-308.7)+(0+(1.191564-0.314874))+0-0-0</f>
        <v>860.37669000000005</v>
      </c>
      <c r="O197" s="3">
        <f>0+(1183.3-307.4)+(0+(1.206966-0.313548))+0-0-0</f>
        <v>876.79341799999997</v>
      </c>
      <c r="P197" s="3">
        <f>0+(1161.8-254.8)+(0+(-0.592518--0.129948))+0-0-0</f>
        <v>906.53742999999997</v>
      </c>
      <c r="Q197" s="3">
        <f>0+(1119.4-202.2)+(0+(-1.712682--0.309366))+0-0-0</f>
        <v>915.79668400000003</v>
      </c>
      <c r="R197" s="3">
        <f>0+(1083.5-188.3)+(0+(-2.21034--0.384132))+0-0-0</f>
        <v>893.37379200000009</v>
      </c>
      <c r="S197" s="3">
        <f>0+(1096.9-235.5)+(0+(-1.118838--0.24021))+0-0-0</f>
        <v>860.52137200000004</v>
      </c>
      <c r="T197" s="3">
        <f>0+(1133.9-248.7)+(0+(-2.313156--0.507348))+0-0-0</f>
        <v>883.39419200000009</v>
      </c>
      <c r="U197" s="3">
        <f>0+(1134.5-253.2)+(0+(-2.892975--0.64566))+0-0-0</f>
        <v>879.052685</v>
      </c>
      <c r="V197" s="3">
        <f>0+(1005.8-134)+(0+(-2.051832--0.27336))+0-0-0</f>
        <v>870.02152799999999</v>
      </c>
      <c r="W197" s="3">
        <f>0+(896.4-35.6)+(0+(0.914328-0.036312))+0-0-0</f>
        <v>861.67801599999996</v>
      </c>
      <c r="X197" s="3">
        <f>0+(1020.3-83)+(0+(-1.561059--0.12699))+0-0-0</f>
        <v>935.86593099999993</v>
      </c>
      <c r="Y197" s="3">
        <f>0+(1051.8-115.4)+(0+(-1.072836--0.117708))+0-0-0</f>
        <v>935.44487200000003</v>
      </c>
      <c r="Z197" s="3">
        <f>0+(1030.4-121.2)+(0+(-0.525504--0.061812))+0-0-0</f>
        <v>908.73630800000001</v>
      </c>
      <c r="AA197" s="3">
        <f>0+(1070.7-203.7)+(0+(0.546057-0.103887))+0-0-0</f>
        <v>867.44217000000003</v>
      </c>
      <c r="AB197" s="3">
        <f>0+(1134.4-302.2)+(0+(-1.735632--0.462366))+0-0-0</f>
        <v>830.92673400000001</v>
      </c>
      <c r="AC197" s="3">
        <f>0+(1132-324.2)+(0+(-1.73196--0.496026))+0-0-0</f>
        <v>806.56406599999991</v>
      </c>
      <c r="AD197">
        <v>934.89999999999986</v>
      </c>
      <c r="AE197" s="3">
        <f>0+(1047.1-112.2)+(0+(0-0))+0-0-0</f>
        <v>934.89999999999986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0+(1081.9-310.8)+(0+(-2.207076--0.634032))+0-0-0</f>
        <v>769.52695600000015</v>
      </c>
      <c r="G198" s="3">
        <f>0+(1040-289.4)+(0+(-1.0608--0.295188))+0-0-0</f>
        <v>749.83438799999999</v>
      </c>
      <c r="H198" s="3">
        <f>0+(996.3-258.9)+(0+(-0.508113--0.132039))+0-0-0</f>
        <v>737.02392599999996</v>
      </c>
      <c r="I198" s="3">
        <f>0+(987.5-254.2)+(0+(-1.00725--0.259284))+0-0-0</f>
        <v>732.55203399999994</v>
      </c>
      <c r="J198" s="3">
        <f>0+(964.3-232.5)+(0+(0-0))+0-0-0</f>
        <v>731.8</v>
      </c>
      <c r="K198" s="3">
        <f>0+(938.9-205.4)+(0+(-1.915356--0.419016))+0-0-0</f>
        <v>732.00365999999997</v>
      </c>
      <c r="L198" s="3">
        <f>0+(953.2-207.9)+(0+(-0.486132--0.106029))+0-0-0</f>
        <v>744.91989700000011</v>
      </c>
      <c r="M198" s="3">
        <f>0+(1010.6-210.4)+(0+(0-0))+0-0-0</f>
        <v>800.2</v>
      </c>
      <c r="N198" s="3">
        <f>0+(1150.7-295)+(0+(0.586857-0.15045))+0-0-0</f>
        <v>856.13640700000008</v>
      </c>
      <c r="O198" s="3">
        <f>0+(1221.5-327.9)+(0+(0-0))+0-0-0</f>
        <v>893.6</v>
      </c>
      <c r="P198" s="3">
        <f>0+(1183.2-276.3)+(0+(-1.206864--0.281826))+0-0-0</f>
        <v>905.97496200000012</v>
      </c>
      <c r="Q198" s="3">
        <f>0+(1142.1-227.4)+(0+(-0.582471--0.115974))+0-0-0</f>
        <v>914.23350299999993</v>
      </c>
      <c r="R198" s="3">
        <f>0+(1176.4-276.8)+(0+(-1.799892--0.423504))+0-0-0</f>
        <v>898.22361200000012</v>
      </c>
      <c r="S198" s="3">
        <f>0+(1208.1-327.1)+(0+(-1.232262--0.333642))+0-0-0</f>
        <v>880.10137999999984</v>
      </c>
      <c r="T198" s="3">
        <f>0+(1171.9-283.9)+(0+(-1.195338--0.289578))+0-0-0</f>
        <v>887.09424000000013</v>
      </c>
      <c r="U198" s="3">
        <f>0+(1099.2-225.9)+(0+(0-0))+0-0-0</f>
        <v>873.30000000000007</v>
      </c>
      <c r="V198" s="3">
        <f>0+(1005.4-132.3)+(0+(-1.025508--0.134946))+0-0-0</f>
        <v>872.20943799999986</v>
      </c>
      <c r="W198" s="3">
        <f>0+(937.7-69.2)+(0+(-1.434681--0.105876))+0-0-0</f>
        <v>867.17119500000001</v>
      </c>
      <c r="X198" s="3">
        <f>0+(1022-84.1)+(0+(-1.56366--0.128673))+0-0-0</f>
        <v>936.465013</v>
      </c>
      <c r="Y198" s="3">
        <f>0+(1058.3-136.5)+(0+(-2.698665--0.348075))+0-0-0</f>
        <v>919.44940999999994</v>
      </c>
      <c r="Z198" s="3">
        <f>0+(1036.5-126.1)+(0+(0-0))+0-0-0</f>
        <v>910.4</v>
      </c>
      <c r="AA198" s="3">
        <f>0+(981.1-112)+(0+(-1.000722--0.11424))+0-0-0</f>
        <v>868.21351800000002</v>
      </c>
      <c r="AB198" s="3">
        <f>0+(944.2-115.6)+(0+(-2.40771--0.29478))+0-0-0</f>
        <v>826.48707000000002</v>
      </c>
      <c r="AC198" s="3">
        <f>0+(937.7-130.7)+(0+(0-0))+0-0-0</f>
        <v>807</v>
      </c>
      <c r="AD198">
        <v>939.30000000000007</v>
      </c>
      <c r="AE198" s="3">
        <f>0+(1058.2-118.9)+(0+(0-0))+0-0-0</f>
        <v>939.30000000000007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0+(877.4-117.6)+(0+(-0.447474--0.059976))+0-0-0</f>
        <v>759.4125019999999</v>
      </c>
      <c r="G199" s="3">
        <f>0+(879.2-137.8)+(0+(-0.448392--0.070278))+0-0-0</f>
        <v>741.02188600000011</v>
      </c>
      <c r="H199" s="3">
        <f>0+(877.6-156.8)+(0+(0.895152-0.159936))+0-0-0</f>
        <v>721.53521599999999</v>
      </c>
      <c r="I199" s="3">
        <f>0+(842.5-126.8)+(0+(-0.429675--0.064668))+0-0-0</f>
        <v>715.33499300000005</v>
      </c>
      <c r="J199" s="3">
        <f>0+(818.7-101.5)+(0+(-1.252611--0.155295))+0-0-0</f>
        <v>716.10268400000007</v>
      </c>
      <c r="K199" s="3">
        <f>0+(793.5-78.3)+(0+(-1.214055--0.119799))+0-0-0</f>
        <v>714.10574400000007</v>
      </c>
      <c r="L199" s="3">
        <f>0+(800.8-74.8)+(0+(0-0))+0-0-0</f>
        <v>726</v>
      </c>
      <c r="M199" s="3">
        <f>0+(876.5-87.1)+(0+(0-0))+0-0-0</f>
        <v>789.4</v>
      </c>
      <c r="N199" s="3">
        <f>0+(1025.2-165.3)+(0+(0.522852-0.084303))+0-0-0</f>
        <v>860.33854900000006</v>
      </c>
      <c r="O199" s="3">
        <f>0+(1040.3-152)+(0+(-1.591659--0.23256))+0-0-0</f>
        <v>886.94090099999994</v>
      </c>
      <c r="P199" s="3">
        <f>0+(997.1-105.4)+(0+(-0.508521--0.053754))+0-0-0</f>
        <v>891.2452330000001</v>
      </c>
      <c r="Q199" s="3">
        <f>0+(1098.4-192.5)+(0+(-1.120368--0.19635))+0-0-0</f>
        <v>904.97598200000004</v>
      </c>
      <c r="R199" s="3">
        <f>0+(1088.2-204.6)+(0+(-3.884874--0.730422))+0-0-0</f>
        <v>880.44554800000003</v>
      </c>
      <c r="S199" s="3">
        <f>0+(1075.4-213.5)+(0+(-1.096908--0.21777))+0-0-0</f>
        <v>861.02086200000008</v>
      </c>
      <c r="T199" s="3">
        <f>0+(1077-209.6)+(0+(-2.19708--0.427584))+0-0-0</f>
        <v>865.63050399999997</v>
      </c>
      <c r="U199" s="3">
        <f>0+(1029.8-167.5)+(0+(-0.525198--0.085425))+0-0-0</f>
        <v>861.86022700000001</v>
      </c>
      <c r="V199" s="3">
        <f>0+(988.5-137.3)+(0+(-1.512405--0.210069))+0-0-0</f>
        <v>849.89766400000008</v>
      </c>
      <c r="W199" s="3">
        <f>0+(968.3-116.5)+(0+(0.493833-0.059415))+0-0-0</f>
        <v>852.23441800000001</v>
      </c>
      <c r="X199" s="3">
        <f>0+(1046.3-112.1)+(0+(-1.067226--0.114342))+0-0-0</f>
        <v>933.24711599999989</v>
      </c>
      <c r="Y199" s="3">
        <f>0+(1116.8-183.1)+(0+(-1.708704--0.280143))+0-0-0</f>
        <v>932.27143899999999</v>
      </c>
      <c r="Z199" s="3">
        <f>0+(1098.2-184.4)+(0+(-0.560082--0.094044))+0-0-0</f>
        <v>913.33396200000004</v>
      </c>
      <c r="AA199" s="3">
        <f>0+(1058.4-173.8)+(0+(-1.619352--0.265914))+0-0-0</f>
        <v>883.24656200000015</v>
      </c>
      <c r="AB199" s="3">
        <f>0+(985.2-140.5)+(0+(-2.009808--0.28662))+0-0-0</f>
        <v>842.976812</v>
      </c>
      <c r="AC199" s="3">
        <f>0+(927-119.2)+(0+(-0.94554--0.121584))+0-0-0</f>
        <v>806.976044</v>
      </c>
      <c r="AD199">
        <v>938.00000000000011</v>
      </c>
      <c r="AE199" s="3">
        <f>0+(1101.9-163.9)+(0+(0-0))+0-0-0</f>
        <v>938.00000000000011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0+(932.5-167.5)+(0+(-1.9023--0.3417))+0-0-0</f>
        <v>763.43939999999998</v>
      </c>
      <c r="G200" s="3">
        <f>0+(919.1-180)+(0+(-2.343705--0.459))+0-0-0</f>
        <v>737.21529499999997</v>
      </c>
      <c r="H200" s="3">
        <f>0+(919.7-198.4)+(0+(-2.345235--0.50592))+0-0-0</f>
        <v>719.46068500000001</v>
      </c>
      <c r="I200" s="3">
        <f>0+(911.3-200.2)+(0+(-1.859052--0.408408))+0-0-0</f>
        <v>709.6493559999999</v>
      </c>
      <c r="J200" s="3">
        <f>0+(902.4-190.9)+(0+(1.380672-0.292077))+0-0-0</f>
        <v>712.58859500000005</v>
      </c>
      <c r="K200" s="3">
        <f>0+(900.7-180)+(0+(-2.296785--0.459))+0-0-0</f>
        <v>718.86221499999999</v>
      </c>
      <c r="L200" s="3">
        <f>0+(943.1-224.5)+(0+(-0.480981--0.114495))+0-0-0</f>
        <v>718.23351400000001</v>
      </c>
      <c r="M200" s="3">
        <f>0+(1036.3-272.5)+(0+(0.528513-0.138975))+0-0-0</f>
        <v>764.18953799999997</v>
      </c>
      <c r="N200" s="3">
        <f>0+(1104.8-287.4)+(0+(0.563448-0.146574))+0-0-0</f>
        <v>817.81687399999998</v>
      </c>
      <c r="O200" s="3">
        <f>0+(1123.8-258.5)+(0+(0-0))+0-0-0</f>
        <v>865.3</v>
      </c>
      <c r="P200" s="3">
        <f>0+(1094.4-214.5)+(0+(0-0))+0-0-0</f>
        <v>879.90000000000009</v>
      </c>
      <c r="Q200" s="3">
        <f>0+(1035.9-145)+(0+(-1.584927--0.22185))+0-0-0</f>
        <v>889.53692300000012</v>
      </c>
      <c r="R200" s="3">
        <f>0+(1036.2-178.3)+(0+(-0.528462--0.090933))+0-0-0</f>
        <v>857.46247100000005</v>
      </c>
      <c r="S200" s="3">
        <f>0+(1047.3-214.6)+(0+(1.068246-0.218892))+0-0-0</f>
        <v>833.54935399999988</v>
      </c>
      <c r="T200" s="3">
        <f>0+(1039.9-205)+(0+(-1.060698--0.2091))+0-0-0</f>
        <v>834.04840200000012</v>
      </c>
      <c r="U200" s="3">
        <f>0+(1029.7-196.9)+(0+(-2.625735--0.502095))+0-0-0</f>
        <v>830.67636000000005</v>
      </c>
      <c r="V200" s="3">
        <f>0+(1037.3-209.3)+(0+(-2.645115--0.533715))+0-0-0</f>
        <v>825.8886</v>
      </c>
      <c r="W200" s="3">
        <f>0+(1005.9-181.7)+(0+(-0.513009--0.092667))+0-0-0</f>
        <v>823.77965800000004</v>
      </c>
      <c r="X200" s="3">
        <f>0+(1048.4-162.5)+(0+(-0.534684--0.082875))+0-0-0</f>
        <v>885.44819100000007</v>
      </c>
      <c r="Y200" s="3">
        <f>0+(1085.4-199.2)+(0+(-3.874878--0.711144))+0-0-0</f>
        <v>883.03626600000007</v>
      </c>
      <c r="Z200" s="3">
        <f>0+(1102.5-238)+(0+(-2.2491--0.48552))+0-0-0</f>
        <v>862.73641999999995</v>
      </c>
      <c r="AA200" s="3">
        <f>0+(1055.9-218.5)+(0+(-2.692545--0.557175))+0-0-0</f>
        <v>835.26463000000012</v>
      </c>
      <c r="AB200" s="3">
        <f>0+(1069.4-256.6)+(0+(-1.636182--0.392598))+0-0-0</f>
        <v>811.55641600000001</v>
      </c>
      <c r="AC200" s="3">
        <f>0+(1096.1-309.4)+(0+(-1.677033--0.473382))+0-0-0</f>
        <v>785.4963489999999</v>
      </c>
      <c r="AD200">
        <v>888.5</v>
      </c>
      <c r="AE200" s="3">
        <f>0+(1056.5-168)+(0+(0-0))+0-0-0</f>
        <v>888.5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0+(1046.9-284.1)+(0+(1.067838-0.289782))+0-0-0</f>
        <v>763.57805600000006</v>
      </c>
      <c r="G201" s="3">
        <f>0+(1013.1-265.4)+(0+(0-0))+0-0-0</f>
        <v>747.7</v>
      </c>
      <c r="H201" s="3">
        <f>0+(975.1-257.7)+(0+(-0.994602--0.262854))+0-0-0</f>
        <v>716.66825200000005</v>
      </c>
      <c r="I201" s="3">
        <f>0+(948.5-244.9)+(0+(0.483735-0.124899))+0-0-0</f>
        <v>703.95883600000002</v>
      </c>
      <c r="J201" s="3">
        <f>0+(932.8-237.2)+(0+(0.475728-0.120972))+0-0-0</f>
        <v>695.95475599999986</v>
      </c>
      <c r="K201" s="3">
        <f>0+(935.8-262.4)+(0+(-0.477258--0.133824))+0-0-0</f>
        <v>673.05656599999998</v>
      </c>
      <c r="L201" s="3">
        <f>0+(906.2-260.1)+(0+(0-0))+0-0-0</f>
        <v>646.1</v>
      </c>
      <c r="M201" s="3">
        <f>0+(934-271.1)+(0+(0-0))+0-0-0</f>
        <v>662.9</v>
      </c>
      <c r="N201" s="3">
        <f>0+(1030.7-328.7)+(0+(-3.153942--1.005822))+0-0-0</f>
        <v>699.85188000000005</v>
      </c>
      <c r="O201" s="3">
        <f>0+(933.6-209.6)+(0+(-0.476136--0.106896))+0-0-0</f>
        <v>723.63076000000001</v>
      </c>
      <c r="P201" s="3">
        <f>0+(868.5-140)+(0+(-0.88587--0.1428))+0-0-0</f>
        <v>727.75693000000001</v>
      </c>
      <c r="Q201" s="3">
        <f>0+(866.5-128.5)+(0+(-0.88383--0.13107))+0-0-0</f>
        <v>737.24724000000003</v>
      </c>
      <c r="R201" s="3">
        <f>0+(891.4-160.5)+(0+(-1.818456--0.32742))+0-0-0</f>
        <v>729.40896399999997</v>
      </c>
      <c r="S201" s="3">
        <f>0+(871.3-167)+(0+(-0.888726--0.17034))+0-0-0</f>
        <v>703.58161399999995</v>
      </c>
      <c r="T201" s="3">
        <f>0+(883.4-180)+(0+(-0.901068--0.1836))+0-0-0</f>
        <v>702.68253199999992</v>
      </c>
      <c r="U201" s="3">
        <f>0+(889.5-185.6)+(0+(-2.72187--0.567936))+0-0-0</f>
        <v>701.74606599999993</v>
      </c>
      <c r="V201" s="3">
        <f>0+(860.2-161.6)+(0+(-1.754808--0.329664))+0-0-0</f>
        <v>697.17485599999998</v>
      </c>
      <c r="W201" s="3">
        <f>0+(842.3-129.4)+(0+(-1.288719--0.197982))+0-0-0</f>
        <v>711.80926299999999</v>
      </c>
      <c r="X201" s="3">
        <f>0+(920.8-143.6)+(0+(-2.817648--0.439416))+0-0-0</f>
        <v>774.82176799999991</v>
      </c>
      <c r="Y201" s="3">
        <f>0+(885.8-98.2)+(0+(-2.25879--0.25041))+0-0-0</f>
        <v>785.59161999999992</v>
      </c>
      <c r="Z201" s="3">
        <f>0+(896.7-111.8)+(0+(-1.829268--0.228072))+0-0-0</f>
        <v>783.29880400000013</v>
      </c>
      <c r="AA201" s="3">
        <f>0+(909.8-144.7)+(0+(-1.855992--0.295188))+0-0-0</f>
        <v>763.53919599999995</v>
      </c>
      <c r="AB201" s="3">
        <f>0+(905-166.7)+(0+(0-0))+0-0-0</f>
        <v>738.3</v>
      </c>
      <c r="AC201" s="3">
        <f>0+(875.3-179)+(0+(-2.232015--0.45645))+0-0-0</f>
        <v>694.52443499999993</v>
      </c>
      <c r="AD201">
        <v>804.7</v>
      </c>
      <c r="AE201" s="3">
        <f>0+(968.9-164.2)+(0+(0-0))+0-0-0</f>
        <v>804.7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0+(865.4-204.6)+(0+(-1.765416--0.417384))+0-0-0</f>
        <v>659.45196799999997</v>
      </c>
      <c r="G202" s="3">
        <f>0+(873.4-233.4)+(0+(-1.781736--0.476136))+0-0-0</f>
        <v>638.69439999999997</v>
      </c>
      <c r="H202" s="3">
        <f>0+(872.5-235.3)+(0+(-0.444975--0.120003))+0-0-0</f>
        <v>636.87502800000004</v>
      </c>
      <c r="I202" s="3">
        <f>0+(840.3-206.3)+(0+(-0.857106--0.210426))+0-0-0</f>
        <v>633.35332000000005</v>
      </c>
      <c r="J202" s="3">
        <f>0+(832.4-197.1)+(0+(0-0))+0-0-0</f>
        <v>635.29999999999995</v>
      </c>
      <c r="K202" s="3">
        <f>0+(859.7-205.3)+(0+(0.438447-0.104703))+0-0-0</f>
        <v>654.73374400000012</v>
      </c>
      <c r="L202" s="3">
        <f>0+(845.3-222.1)+(0+(0.431103-0.113271))+0-0-0</f>
        <v>623.51783199999988</v>
      </c>
      <c r="M202" s="3">
        <f>0+(942.8-237.4)+(0+(-0.480828--0.121074))+0-0-0</f>
        <v>705.04024600000002</v>
      </c>
      <c r="N202" s="3">
        <f>0+(1027-205.7)+(0+(-0.52377--0.104907))+0-0-0</f>
        <v>820.88113699999997</v>
      </c>
      <c r="O202" s="3">
        <f>0+(1023.7-162.6)+(0+(-1.044174--0.165852))+0-0-0</f>
        <v>860.221678</v>
      </c>
      <c r="P202" s="3">
        <f>0+(998.6-120.3)+(0+(0-0))+0-0-0</f>
        <v>878.30000000000007</v>
      </c>
      <c r="Q202" s="3">
        <f>0+(992.3-105.7)+(0+(-1.518219--0.161721))+0-0-0</f>
        <v>885.24350199999992</v>
      </c>
      <c r="R202" s="3">
        <f>0+(1013.4-143.2)+(0+(-2.58417--0.36516))+0-0-0</f>
        <v>867.98099000000002</v>
      </c>
      <c r="S202" s="3">
        <f>0+(1050.8-197.5)+(0+(-1.607724--0.302175))+0-0-0</f>
        <v>851.99445099999991</v>
      </c>
      <c r="T202" s="3">
        <f>0+(1050.4-195)+(0+(0-0))+0-0-0</f>
        <v>855.40000000000009</v>
      </c>
      <c r="U202" s="3">
        <f>0+(1040.8-184.8)+(0+(-1.061616--0.188496))+0-0-0</f>
        <v>855.12688000000003</v>
      </c>
      <c r="V202" s="3">
        <f>0+(1010.7-171)+(0+(-1.546371--0.26163))+0-0-0</f>
        <v>838.41525899999999</v>
      </c>
      <c r="W202" s="3">
        <f>0+(992.5-150)+(0+(-0.506175--0.0765))+0-0-0</f>
        <v>842.07032500000003</v>
      </c>
      <c r="X202" s="3">
        <f>0+(1073.5-157.2)+(0+(-2.737425--0.40086))+0-0-0</f>
        <v>913.963435</v>
      </c>
      <c r="Y202" s="3">
        <f>0+(1065.2-154.4)+(0+(-2.173008--0.314976))+0-0-0</f>
        <v>908.94196800000009</v>
      </c>
      <c r="Z202" s="3">
        <f>0+(1039.3-155.7)+(0+(-0.530043--0.079407))+0-0-0</f>
        <v>883.14936399999988</v>
      </c>
      <c r="AA202" s="3">
        <f>0+(1050.2-196)+(0+(-2.67801--0.4998))+0-0-0</f>
        <v>852.02179000000001</v>
      </c>
      <c r="AB202" s="3">
        <f>0+(1065.8-239.3)+(0+(-2.174232--0.488172))+0-0-0</f>
        <v>824.81394</v>
      </c>
      <c r="AC202" s="3">
        <f>0+(1099.1-310.7)+(0+(-2.802705--0.792285))+0-0-0</f>
        <v>786.38957999999991</v>
      </c>
      <c r="AD202">
        <v>939.09999999999991</v>
      </c>
      <c r="AE202" s="3">
        <f>0+(1110.1-171)+(0+(0-0))+0-0-0</f>
        <v>939.09999999999991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0+(1096-327.7)+(0+(-0.55896--0.167127))+0-0-0</f>
        <v>767.90816699999993</v>
      </c>
      <c r="G203" s="3">
        <f>0+(1016.4-272.1)+(0+(-2.59182--0.693855))+0-0-0</f>
        <v>742.40203499999996</v>
      </c>
      <c r="H203" s="3">
        <f>0+(950.5-229.9)+(0+(-0.484755--0.117249))+0-0-0</f>
        <v>720.23249399999997</v>
      </c>
      <c r="I203" s="3">
        <f>0+(950.7-231.9)+(0+(-0.484857--0.118269))+0-0-0</f>
        <v>718.43341200000009</v>
      </c>
      <c r="J203" s="3">
        <f>0+(980.9-257.2)+(0+(-1.000518--0.262344))+0-0-0</f>
        <v>722.96182600000009</v>
      </c>
      <c r="K203" s="3">
        <f>0+(994.6-267.5)+(0+(-1.521738--0.409275))+0-0-0</f>
        <v>725.98753699999997</v>
      </c>
      <c r="L203" s="3">
        <f>0+(1013.6-277.8)+(0+(-0.516936--0.141678))+0-0-0</f>
        <v>735.42474199999992</v>
      </c>
      <c r="M203" s="3">
        <f>0+(1091.9-301.4)+(0+(-0.556869--0.153714))+0-0-0</f>
        <v>790.09684500000014</v>
      </c>
      <c r="N203" s="3">
        <f>0+(1162-307.3)+(0+(1.18524-0.313446))+0-0-0</f>
        <v>855.57179400000007</v>
      </c>
      <c r="O203" s="3">
        <f>0+(1126.8-247.1)+(0+(-1.149336--0.252042))+0-0-0</f>
        <v>878.80270599999994</v>
      </c>
      <c r="P203" s="3">
        <f>0+(1116.1-224.4)+(0+(-0.569211--0.114444))+0-0-0</f>
        <v>891.24523299999998</v>
      </c>
      <c r="Q203" s="3">
        <f>0+(1094.6-186.6)+(0+(-1.116492--0.190332))+0-0-0</f>
        <v>907.0738399999999</v>
      </c>
      <c r="R203" s="3">
        <f>0+(1093.8-211.1)+(0+(-1.673514--0.322983))+0-0-0</f>
        <v>881.34946899999989</v>
      </c>
      <c r="S203" s="3">
        <f>0+(1091-232.1)+(0+(-2.22564--0.473484))+0-0-0</f>
        <v>857.14784399999996</v>
      </c>
      <c r="T203" s="3">
        <f>0+(1092.3-227.3)+(0+(-0.557073--0.115923))+0-0-0</f>
        <v>864.55885000000001</v>
      </c>
      <c r="U203" s="3">
        <f>0+(1016.2-168.7)+(0+(-2.59131--0.430185))+0-0-0</f>
        <v>845.33887500000003</v>
      </c>
      <c r="V203" s="3">
        <f>0+(905.4-70.3)+(0+(-1.385262--0.107559))+0-0-0</f>
        <v>833.82229700000005</v>
      </c>
      <c r="W203" s="3">
        <f>0+(988.2-125.2)+(0+(0.503982-0.063852))+0-0-0</f>
        <v>863.44012999999995</v>
      </c>
      <c r="X203" s="3">
        <f>0+(1055.1-127.1)+(0+(-1.076202--0.129642))+0-0-0</f>
        <v>927.05343999999991</v>
      </c>
      <c r="Y203" s="3">
        <f>0+(1077.3-152.6)+(0+(-2.197692--0.311304))+0-0-0</f>
        <v>922.81361199999992</v>
      </c>
      <c r="Z203" s="3">
        <f>0+(1023.5-131.2)+(0+(-2.08794--0.267648))+0-0-0</f>
        <v>890.47970799999996</v>
      </c>
      <c r="AA203" s="3">
        <f>0+(987.7-128)+(0+(-1.007454--0.13056))+0-0-0</f>
        <v>858.82310600000005</v>
      </c>
      <c r="AB203" s="3">
        <f>0+(1020.2-186.7)+(0+(-1.040604--0.190434))+0-0-0</f>
        <v>832.64982999999995</v>
      </c>
      <c r="AC203" s="3">
        <f>0+(1015.7-208.3)+(0+(-2.590035--0.531165))+0-0-0</f>
        <v>805.34113000000013</v>
      </c>
      <c r="AD203">
        <v>931.90000000000009</v>
      </c>
      <c r="AE203" s="3">
        <f>0+(1055.7-123.8)+(0+(0-0))+0-0-0</f>
        <v>931.90000000000009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0+(992.6-221.5)+(0+(-1.012452--0.22593))+0-0-0</f>
        <v>770.31347800000003</v>
      </c>
      <c r="G204" s="3">
        <f>0+(994.1-240.6)+(0+(-1.520973--0.368118))+0-0-0</f>
        <v>752.34714499999995</v>
      </c>
      <c r="H204" s="3">
        <f>0+(952.4-220.2)+(0+(0-0))+0-0-0</f>
        <v>732.2</v>
      </c>
      <c r="I204" s="3">
        <f>0+(913.1-192.3)+(0+(0-0))+0-0-0</f>
        <v>720.8</v>
      </c>
      <c r="J204" s="3">
        <f>0+(898.8-185.6)+(0+(-1.375164--0.283968))+0-0-0</f>
        <v>712.10880399999996</v>
      </c>
      <c r="K204" s="3">
        <f>0+(905.6-188.5)+(0+(0.461856-0.096135))+0-0-0</f>
        <v>717.46572100000003</v>
      </c>
      <c r="L204" s="3">
        <f>0+(968-228.7)+(0+(0-0))+0-0-0</f>
        <v>739.3</v>
      </c>
      <c r="M204" s="3">
        <f>0+(1011.1-221.5)+(0+(-1.031322--0.22593))+0-0-0</f>
        <v>788.79460800000004</v>
      </c>
      <c r="N204" s="3">
        <f>0+(1055.3-198.6)+(0+(1.614609-0.303858))+0-0-0</f>
        <v>858.01075099999991</v>
      </c>
      <c r="O204" s="3">
        <f>0+(1031-177.3)+(0+(-1.57743--0.271269))+0-0-0</f>
        <v>852.39383900000007</v>
      </c>
      <c r="P204" s="3">
        <f>0+(1023.8-108.5)+(0+(-2.088552--0.22134))+0-0-0</f>
        <v>913.43278799999996</v>
      </c>
      <c r="Q204" s="3">
        <f>0+(1028.5-128.3)+(0+(-2.09814--0.261732))+0-0-0</f>
        <v>898.36359200000004</v>
      </c>
      <c r="R204" s="3">
        <f>0+(1043.6-154.8)+(0+(-2.66118--0.39474))+0-0-0</f>
        <v>886.53355999999997</v>
      </c>
      <c r="S204" s="3">
        <f>0+(1043.5-177.7)+(0+(0.532185-0.090627))+0-0-0</f>
        <v>866.24155799999994</v>
      </c>
      <c r="T204" s="3">
        <f>0+(1000.3-137.5)+(0+(-2.040612--0.2805))+0-0-0</f>
        <v>861.03988799999991</v>
      </c>
      <c r="U204" s="3">
        <f>0+(997.2-131.7)+(0+(-2.54286--0.335835))+0-0-0</f>
        <v>863.29297499999996</v>
      </c>
      <c r="V204" s="3">
        <f>0+(1033.9-169)+(0+(-1.581867--0.25857))+0-0-0</f>
        <v>863.57670300000007</v>
      </c>
      <c r="W204" s="3">
        <f>0+(1065.4-192.1)+(0+(1.086708-0.195942))+0-0-0</f>
        <v>874.19076600000005</v>
      </c>
      <c r="X204" s="3">
        <f>0+(1107.9-177.1)+(0+(-2.825145--0.451605))+0-0-0</f>
        <v>928.42646000000002</v>
      </c>
      <c r="Y204" s="3">
        <f>0+(1191.8-268.6)+(0+(-1.215636--0.273972))+0-0-0</f>
        <v>922.25833599999999</v>
      </c>
      <c r="Z204" s="3">
        <f>0+(1192.3-287.2)+(0+(-1.824219--0.439416))+0-0-0</f>
        <v>903.71519699999988</v>
      </c>
      <c r="AA204" s="3">
        <f>0+(1086.1-224.1)+(0+(-2.215644--0.457164))+0-0-0</f>
        <v>860.24151999999992</v>
      </c>
      <c r="AB204" s="3">
        <f>0+(1033.3-193.2)+(0+(0-0))+0-0-0</f>
        <v>840.09999999999991</v>
      </c>
      <c r="AC204" s="3">
        <f>0+(989.7-185.1)+(0+(-2.018988--0.377604))+0-0-0</f>
        <v>802.95861600000001</v>
      </c>
      <c r="AD204">
        <v>936.99999999999989</v>
      </c>
      <c r="AE204" s="3">
        <f>0+(1147.1-210.1)+(0+(0-0))+0-0-0</f>
        <v>936.99999999999989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0+(1007.4-235.2)+(0+(0-0))+0-0-0</f>
        <v>772.2</v>
      </c>
      <c r="G205" s="3">
        <f>0+(982.6-238.7)+(0+(-1.503378--0.365211))+0-0-0</f>
        <v>742.76183300000014</v>
      </c>
      <c r="H205" s="3">
        <f>0+(890.3-160.7)+(0+(0.908106-0.163914))+0-0-0</f>
        <v>730.34419199999991</v>
      </c>
      <c r="I205" s="3">
        <f>0+(873.2-151.3)+(0+(-1.335996--0.231489))+0-0-0</f>
        <v>720.79549300000008</v>
      </c>
      <c r="J205" s="3">
        <f>0+(868.7-151.3)+(0+(0-0))+0-0-0</f>
        <v>717.40000000000009</v>
      </c>
      <c r="K205" s="3">
        <f>0+(869.2-149.9)+(0+(-1.329876--0.229347))+0-0-0</f>
        <v>718.19947100000002</v>
      </c>
      <c r="L205" s="3">
        <f>0+(907.2-166.7)+(0+(-0.925344--0.170034))+0-0-0</f>
        <v>739.74468999999999</v>
      </c>
      <c r="M205" s="3">
        <f>0+(963.2-171.5)+(0+(0.982464-0.17493))+0-0-0</f>
        <v>792.50753400000008</v>
      </c>
      <c r="N205" s="3">
        <f>0+(1084.7-236.6)+(0+(-0.553197--0.120666))+0-0-0</f>
        <v>847.66746899999998</v>
      </c>
      <c r="O205" s="3">
        <f>0+(1105.1-218.7)+(0+(0-0))+0-0-0</f>
        <v>886.39999999999986</v>
      </c>
      <c r="P205" s="3">
        <f>0+(1111.3-224.4)+(0+(-0.566763--0.114444))+0-0-0</f>
        <v>886.44768099999999</v>
      </c>
      <c r="Q205" s="3">
        <f>0+(1099.2-191.8)+(0+(-1.681776--0.293454))+0-0-0</f>
        <v>906.01167800000007</v>
      </c>
      <c r="R205" s="3">
        <f>0+(1062.1-179.8)+(0+(-2.166684--0.366792))+0-0-0</f>
        <v>880.50010799999995</v>
      </c>
      <c r="S205" s="3">
        <f>0+(1052.4-191.1)+(0+(-1.073448--0.194922))+0-0-0</f>
        <v>860.4214740000001</v>
      </c>
      <c r="T205" s="3">
        <f>0+(1062.5-198.9)+(0+(-1.08375--0.202878))+0-0-0</f>
        <v>862.71912800000007</v>
      </c>
      <c r="U205" s="3">
        <f>0+(1030.3-160.1)+(0+(-2.101812--0.326604))+0-0-0</f>
        <v>868.42479199999991</v>
      </c>
      <c r="V205" s="3">
        <f>0+(967.2-118.4)+(0+(-1.479816--0.181152))+0-0-0</f>
        <v>847.50133600000004</v>
      </c>
      <c r="W205" s="3">
        <f>0+(930.3-73.6)+(0+(0-0))+0-0-0</f>
        <v>856.69999999999993</v>
      </c>
      <c r="X205" s="3">
        <f>0+(1078.4-144.1)+(0+(-1.649952--0.220473))+0-0-0</f>
        <v>932.87052100000005</v>
      </c>
      <c r="Y205" s="3">
        <f>0+(1088.8-164.7)+(0+(-1.110576--0.167994))+0-0-0</f>
        <v>923.15741799999989</v>
      </c>
      <c r="Z205" s="3">
        <f>0+(1041.9-142.4)+(0+(-2.125476--0.290496))+0-0-0</f>
        <v>897.66502000000014</v>
      </c>
      <c r="AA205" s="3">
        <f>0+(1026.1-157.8)+(0+(-1.569933--0.241434))+0-0-0</f>
        <v>866.97150099999999</v>
      </c>
      <c r="AB205" s="3">
        <f>0+(1007.4-167.2)+(0+(-2.56887--0.42636))+0-0-0</f>
        <v>838.05749000000003</v>
      </c>
      <c r="AC205" s="3">
        <f>0+(1012.1-201.3)+(0+(-2.580855--0.513315))+0-0-0</f>
        <v>808.73245999999995</v>
      </c>
      <c r="AD205">
        <v>933.5</v>
      </c>
      <c r="AE205" s="3">
        <f>0+(1096.7-163.2)+(0+(0-0))+0-0-0</f>
        <v>933.5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0+(1038.3-270.7)+(0+(-2.118132--0.552228))+0-0-0</f>
        <v>766.03409599999986</v>
      </c>
      <c r="G206" s="3">
        <f>0+(1030.5-292)+(0+(-1.576665--0.44676))+0-0-0</f>
        <v>737.37009499999999</v>
      </c>
      <c r="H206" s="3">
        <f>0+(995.9-268.2)+(0+(-1.523727--0.410346))+0-0-0</f>
        <v>726.58661900000004</v>
      </c>
      <c r="I206" s="3">
        <f>0+(960.5-246.5)+(0+(-1.469565--0.377145))+0-0-0</f>
        <v>712.90758000000005</v>
      </c>
      <c r="J206" s="3">
        <f>0+(1002.5-277.5)+(0+(1.02255-0.28305))+0-0-0</f>
        <v>725.73950000000002</v>
      </c>
      <c r="K206" s="3">
        <f>0+(991-254.9)+(0+(-1.01082--0.259998))+0-0-0</f>
        <v>735.34917800000005</v>
      </c>
      <c r="L206" s="3">
        <f>0+(1011-260.8)+(0+(-1.03122--0.266016))+0-0-0</f>
        <v>749.43479600000001</v>
      </c>
      <c r="M206" s="3">
        <f>0+(1069.5-263.7)+(0+(0.545445-0.134487))+0-0-0</f>
        <v>806.21095800000001</v>
      </c>
      <c r="N206" s="3">
        <f>0+(1118.7-244)+(0+(0-0))+0-0-0</f>
        <v>874.7</v>
      </c>
      <c r="O206" s="3">
        <f>0+(1161.2-257.9)+(0+(-0.592212--0.131529))+0-0-0</f>
        <v>902.83931700000005</v>
      </c>
      <c r="P206" s="3">
        <f>0+(1130.5-222.3)+(0+(-1.15311--0.226746))+0-0-0</f>
        <v>907.27363600000001</v>
      </c>
      <c r="Q206" s="3">
        <f>0+(1126.2-204.8)+(0+(-1.148724--0.208896))+0-0-0</f>
        <v>920.46017200000006</v>
      </c>
      <c r="R206" s="3">
        <f>0+(1143.9-230.8)+(0+(-2.916945--0.58854))+0-0-0</f>
        <v>910.77159500000016</v>
      </c>
      <c r="S206" s="3">
        <f>0+(1149.5-259.7)+(0+(-0.586245--0.132447))+0-0-0</f>
        <v>889.34620199999995</v>
      </c>
      <c r="T206" s="3">
        <f>0+(1120.6-233.1)+(0+(-1.714518--0.356643))+0-0-0</f>
        <v>886.14212499999985</v>
      </c>
      <c r="U206" s="3">
        <f>0+(1077-199.5)+(0+(-2.19708--0.40698))+0-0-0</f>
        <v>875.70989999999995</v>
      </c>
      <c r="V206" s="3">
        <f>0+(1016.6-153.6)+(0+(-1.555398--0.235008))+0-0-0</f>
        <v>861.67961000000003</v>
      </c>
      <c r="W206" s="3">
        <f>0+(1000.3-122)+(0+(-0.510153--0.06222))+0-0-0</f>
        <v>877.85206699999992</v>
      </c>
      <c r="X206" s="3">
        <f>0+(1158.6-214.1)+(0+(0-0))+0-0-0</f>
        <v>944.49999999999989</v>
      </c>
      <c r="Y206" s="3">
        <f>0+(1154.1-224.1)+(0+(-2.942955--0.571455))+0-0-0</f>
        <v>927.62849999999992</v>
      </c>
      <c r="Z206" s="3">
        <f>0+(1118.8-214.5)+(0+(-0.570588--0.109395))+0-0-0</f>
        <v>903.83880699999997</v>
      </c>
      <c r="AA206" s="3">
        <f>0+(1079.6-198.2)+(0+(-2.202384--0.404328))+0-0-0</f>
        <v>879.60194399999989</v>
      </c>
      <c r="AB206" s="3">
        <f>0+(1071.9-225.4)+(0+(-1.640007--0.344862))+0-0-0</f>
        <v>845.20485500000007</v>
      </c>
      <c r="AC206" s="3">
        <f>0+(1020.9-218.5)+(0+(-2.603295--0.557175))+0-0-0</f>
        <v>800.35388</v>
      </c>
      <c r="AD206">
        <v>937.5</v>
      </c>
      <c r="AE206" s="3">
        <f>0+(1179.7-242.2)+(0+(0-0))+0-0-0</f>
        <v>937.5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0+(1031.2-265.8)+(0+(0-0))+0-0-0</f>
        <v>765.40000000000009</v>
      </c>
      <c r="G207" s="3">
        <f>0+(973.6-230)+(0+(0-0))+0-0-0</f>
        <v>743.6</v>
      </c>
      <c r="H207" s="3">
        <f>0+(977.9-250.5)+(0+(0.498729-0.127755))+0-0-0</f>
        <v>727.77097400000002</v>
      </c>
      <c r="I207" s="3">
        <f>0+(974.3-253.8)+(0+(-0.993786--0.258876))+0-0-0</f>
        <v>719.76508999999999</v>
      </c>
      <c r="J207" s="3">
        <f>0+(991-272)+(0+(0-0))+0-0-0</f>
        <v>719</v>
      </c>
      <c r="K207" s="3">
        <f>0+(990.4-274.5)+(0+(-2.52552--0.699975))+0-0-0</f>
        <v>714.07445499999994</v>
      </c>
      <c r="L207" s="3">
        <f>0+(1018.1-290)+(0+(-1.038462--0.2958))+0-0-0</f>
        <v>727.35733800000003</v>
      </c>
      <c r="M207" s="3">
        <f>0+(1067.4-293)+(0+(1.633122-0.44829))+0-0-0</f>
        <v>775.58483200000012</v>
      </c>
      <c r="N207" s="3">
        <f>0+(1144.2-309.5)+(0+(0-0))+0-0-0</f>
        <v>834.7</v>
      </c>
      <c r="O207" s="3">
        <f>0+(1177.3-307.9)+(0+(-1.200846--0.314058))+0-0-0</f>
        <v>868.51321199999995</v>
      </c>
      <c r="P207" s="3">
        <f>0+(1148.8-264.8)+(0+(1.171776-0.270096))+0-0-0</f>
        <v>884.90168000000006</v>
      </c>
      <c r="Q207" s="3">
        <f>0+(1080.9-200.1)+(0+(-1.653777--0.306153))+0-0-0</f>
        <v>879.45237600000007</v>
      </c>
      <c r="R207" s="3">
        <f>0+(1050-192.3)+(0+(-0.5355--0.098073))+0-0-0</f>
        <v>857.26257300000009</v>
      </c>
      <c r="S207" s="3">
        <f>0+(1052.8-222.4)+(0+(1.073856-0.226848))+0-0-0</f>
        <v>831.24700799999994</v>
      </c>
      <c r="T207" s="3">
        <f>0+(1061.3-230.2)+(0+(0.541263-0.117402))+0-0-0</f>
        <v>831.5238609999999</v>
      </c>
      <c r="U207" s="3">
        <f>0+(1046.2-221.2)+(0+(-2.66781--0.56406))+0-0-0</f>
        <v>822.89625000000001</v>
      </c>
      <c r="V207" s="3">
        <f>0+(1064.8-242.2)+(0+(-0.543048--0.123522))+0-0-0</f>
        <v>822.18047399999989</v>
      </c>
      <c r="W207" s="3">
        <f>0+(1024.1-193.2)+(0+(0-0))+0-0-0</f>
        <v>830.89999999999986</v>
      </c>
      <c r="X207" s="3">
        <f>0+(1148.2-248.2)+(0+(-1.756746--0.379746))+0-0-0</f>
        <v>898.62300000000005</v>
      </c>
      <c r="Y207" s="3">
        <f>0+(1141.5-269.6)+(0+(-2.32866--0.549984))+0-0-0</f>
        <v>870.12132399999996</v>
      </c>
      <c r="Z207" s="3">
        <f>0+(1101.1-253.6)+(0+(-2.807805--0.64668))+0-0-0</f>
        <v>845.33887499999992</v>
      </c>
      <c r="AA207" s="3">
        <f>0+(1090-265.8)+(0+(-1.1118--0.271116))+0-0-0</f>
        <v>823.35931600000004</v>
      </c>
      <c r="AB207" s="3">
        <f>0+(1068-272.7)+(0+(-0.54468--0.139077))+0-0-0</f>
        <v>794.89439699999991</v>
      </c>
      <c r="AC207" s="3">
        <f>0+(1039.5-264.6)+(0+(-0.530145--0.134946))+0-0-0</f>
        <v>774.50480099999993</v>
      </c>
      <c r="AD207">
        <v>912.9</v>
      </c>
      <c r="AE207" s="3">
        <f>0+(1171-258.1)+(0+(0-0))+0-0-0</f>
        <v>912.9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0+(1035.4-300.5)+(0+(0-0))+0-0-0</f>
        <v>734.90000000000009</v>
      </c>
      <c r="G208" s="3">
        <f>0+(1048.8-329.2)+(0+(0-0))+0-0-0</f>
        <v>719.59999999999991</v>
      </c>
      <c r="H208" s="3">
        <f>0+(1020.4-300)+(0+(0.520404-0.153))+0-0-0</f>
        <v>720.76740399999994</v>
      </c>
      <c r="I208" s="3">
        <f>0+(968.6-280.5)+(0+(0-0))+0-0-0</f>
        <v>688.1</v>
      </c>
      <c r="J208" s="3">
        <f>0+(965-276.9)+(0+(0.9843-0.282438))+0-0-0</f>
        <v>688.80186200000003</v>
      </c>
      <c r="K208" s="3">
        <f>0+(956.3-272.2)+(0+(-0.975426--0.277644))+0-0-0</f>
        <v>683.40221799999995</v>
      </c>
      <c r="L208" s="3">
        <f>0+(941.5-279.1)+(0+(-0.96033--0.284682))+0-0-0</f>
        <v>661.72435199999995</v>
      </c>
      <c r="M208" s="3">
        <f>0+(984.5-306.8)+(0+(1.506285-0.469404))+0-0-0</f>
        <v>678.73688100000004</v>
      </c>
      <c r="N208" s="3">
        <f>0+(1052.5-342.8)+(0+(0.536775-0.174828))+0-0-0</f>
        <v>710.06194700000003</v>
      </c>
      <c r="O208" s="3">
        <f>0+(1050.5-305.7)+(0+(-1.07151--0.311814))+0-0-0</f>
        <v>744.04030399999999</v>
      </c>
      <c r="P208" s="3">
        <f>0+(1035.2-283.9)+(0+(0-0))+0-0-0</f>
        <v>751.30000000000007</v>
      </c>
      <c r="Q208" s="3">
        <f>0+(1020.6-266.8)+(0+(-2.60253--0.68034))+0-0-0</f>
        <v>751.87780999999995</v>
      </c>
      <c r="R208" s="3">
        <f>0+(1006.4-268.7)+(0+(-1.539792--0.411111))+0-0-0</f>
        <v>736.57131900000002</v>
      </c>
      <c r="S208" s="3">
        <f>0+(1011.1-294.2)+(0+(1.031322-0.300084))+0-0-0</f>
        <v>717.63123800000005</v>
      </c>
      <c r="T208" s="3">
        <f>0+(1040.9-333.7)+(0+(-3.185154--1.021122))+0-0-0</f>
        <v>705.03596800000003</v>
      </c>
      <c r="U208" s="3">
        <f>0+(1003.5-296.9)+(0+(0-0))+0-0-0</f>
        <v>706.6</v>
      </c>
      <c r="V208" s="3">
        <f>0+(964.3-255.2)+(0+(0-0))+0-0-0</f>
        <v>709.09999999999991</v>
      </c>
      <c r="W208" s="3">
        <f>0+(921.7-196.4)+(0+(0.470067-0.100164))+0-0-0</f>
        <v>725.66990300000009</v>
      </c>
      <c r="X208" s="3">
        <f>0+(1012.4-203.2)+(0+(-1.548972--0.310896))+0-0-0</f>
        <v>807.96192400000007</v>
      </c>
      <c r="Y208" s="3">
        <f>0+(1057-250.3)+(0+(-1.61721--0.382959))+0-0-0</f>
        <v>805.46574900000007</v>
      </c>
      <c r="Z208" s="3">
        <f>0+(1082.2-285.5)+(0+(0.551922-0.145605))+0-0-0</f>
        <v>797.10631699999999</v>
      </c>
      <c r="AA208" s="3">
        <f>0+(1075.2-308.5)+(0+(0-0))+0-0-0</f>
        <v>766.7</v>
      </c>
      <c r="AB208" s="3">
        <f>0+(1067.2-317.2)+(0+(-1.632816--0.485316))+0-0-0</f>
        <v>748.85249999999996</v>
      </c>
      <c r="AC208" s="3">
        <f>0+(1020.7-323.4)+(0+(-2.602785--0.82467))+0-0-0</f>
        <v>695.52188500000011</v>
      </c>
      <c r="AD208">
        <v>834.10000000000014</v>
      </c>
      <c r="AE208" s="3">
        <f>0+(1055.9-221.8)+(0+(0-0))+0-0-0</f>
        <v>834.10000000000014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0+(965-307.3)+(0+(-2.46075--0.783615))+0-0-0</f>
        <v>656.02286500000002</v>
      </c>
      <c r="G209" s="3">
        <f>0+(914.7-280.7)+(0+(-1.865988--0.572628))+0-0-0</f>
        <v>632.70663999999999</v>
      </c>
      <c r="H209" s="3">
        <f>0+(913.4-286.3)+(0+(-1.397502--0.438039))+0-0-0</f>
        <v>626.14053699999988</v>
      </c>
      <c r="I209" s="3">
        <f>0+(931.5-305)+(0+(0-0))+0-0-0</f>
        <v>626.5</v>
      </c>
      <c r="J209" s="3">
        <f>0+(918-290.1)+(0+(-1.40454--0.443853))+0-0-0</f>
        <v>626.93931299999997</v>
      </c>
      <c r="K209" s="3">
        <f>0+(883.4-239.8)+(0+(-1.351602--0.366894))+0-0-0</f>
        <v>642.61529199999995</v>
      </c>
      <c r="L209" s="3">
        <f>0+(882.1-197.6)+(0+(0-0))+0-0-0</f>
        <v>684.5</v>
      </c>
      <c r="M209" s="3">
        <f>0+(987-228.1)+(0+(0.50337-0.116331))+0-0-0</f>
        <v>759.28703899999994</v>
      </c>
      <c r="N209" s="3">
        <f>0+(1095.8-258.9)+(0+(0.558858-0.132039))+0-0-0</f>
        <v>837.326819</v>
      </c>
      <c r="O209" s="3">
        <f>0+(1101.6-228.1)+(0+(1.123632-0.232662))+0-0-0</f>
        <v>874.39096999999992</v>
      </c>
      <c r="P209" s="3">
        <f>0+(1035.1-147.9)+(0+(-0.527901--0.075429))+0-0-0</f>
        <v>886.74752799999999</v>
      </c>
      <c r="Q209" s="3">
        <f>0+(964.7-82.4)+(0+(-0.983994--0.084048))+0-0-0</f>
        <v>881.40005400000007</v>
      </c>
      <c r="R209" s="3">
        <f>0+(988-115.3)+(0+(0-0))+0-0-0</f>
        <v>872.7</v>
      </c>
      <c r="S209" s="3">
        <f>0+(1029.5-159)+(0+(-0.525045--0.08109))+0-0-0</f>
        <v>870.05604500000004</v>
      </c>
      <c r="T209" s="3">
        <f>0+(1067.4-190.1)+(0+(0-0))+0-0-0</f>
        <v>877.30000000000007</v>
      </c>
      <c r="U209" s="3">
        <f>0+(1080.8-198.1)+(0+(-1.653624--0.303093))+0-0-0</f>
        <v>881.34946899999989</v>
      </c>
      <c r="V209" s="3">
        <f>0+(1017.3-147.7)+(0+(-1.556469--0.225981))+0-0-0</f>
        <v>868.26951199999996</v>
      </c>
      <c r="W209" s="3">
        <f>0+(924.5-51.4)+(0+(0-0))+0-0-0</f>
        <v>873.1</v>
      </c>
      <c r="X209" s="3">
        <f>0+(988.6-56)+(0+(-2.016744--0.11424))+0-0-0</f>
        <v>930.697496</v>
      </c>
      <c r="Y209" s="3">
        <f>0+(960.7-54.3)+(0+(0-0))+0-0-0</f>
        <v>906.40000000000009</v>
      </c>
      <c r="Z209" s="3">
        <f>0+(934-60.6)+(0+(-1.90536--0.123624))+0-0-0</f>
        <v>871.61826399999995</v>
      </c>
      <c r="AA209" s="3">
        <f>0+(984.9-132.8)+(0+(-0.502299--0.067728))+0-0-0</f>
        <v>851.6654289999999</v>
      </c>
      <c r="AB209" s="3">
        <f>0+(1003.6-191.7)+(0+(-2.55918--0.488835))+0-0-0</f>
        <v>809.82965500000012</v>
      </c>
      <c r="AC209" s="3">
        <f>0+(1048.4-265.5)+(0+(-0.534684--0.135405))+0-0-0</f>
        <v>782.50072100000011</v>
      </c>
      <c r="AD209">
        <v>940</v>
      </c>
      <c r="AE209" s="3">
        <f>0+(1013.7-73.7)+(0+(0-0))+0-0-0</f>
        <v>940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0+(1082.9-337.8)+(0+(-2.761395--0.86139))+0-0-0</f>
        <v>743.19999500000017</v>
      </c>
      <c r="G210" s="3">
        <f>0+(1069.9-323.2)+(0+(-0.545649--0.164832))+0-0-0</f>
        <v>746.31918300000007</v>
      </c>
      <c r="H210" s="3">
        <f>0+(1020.3-295)+(0+(-1.561059--0.45135))+0-0-0</f>
        <v>724.190291</v>
      </c>
      <c r="I210" s="3">
        <f>0+(959.6-251.9)+(0+(-0.489396--0.128469))+0-0-0</f>
        <v>707.3390730000001</v>
      </c>
      <c r="J210" s="3">
        <f>0+(945.1-238.5)+(0+(0-0))+0-0-0</f>
        <v>706.6</v>
      </c>
      <c r="K210" s="3">
        <f>0+(935.1-232.7)+(0+(-1.430703--0.356031))+0-0-0</f>
        <v>701.32532800000013</v>
      </c>
      <c r="L210" s="3">
        <f>0+(959.3-236.4)+(0+(0-0))+0-0-0</f>
        <v>722.9</v>
      </c>
      <c r="M210" s="3">
        <f>0+(1028.5-251.1)+(0+(0.524535-0.128061))+0-0-0</f>
        <v>777.79647399999999</v>
      </c>
      <c r="N210" s="3">
        <f>0+(1091.8-253.3)+(0+(0.556818-0.129183))+0-0-0</f>
        <v>838.92763500000001</v>
      </c>
      <c r="O210" s="3">
        <f>0+(1073.1-216.3)+(0+(0-0))+0-0-0</f>
        <v>856.8</v>
      </c>
      <c r="P210" s="3">
        <f>0+(1067.2-183)+(0+(-0.544272--0.09333))+0-0-0</f>
        <v>883.74905799999999</v>
      </c>
      <c r="Q210" s="3">
        <f>0+(1032.8-145)+(0+(1.053456-0.1479))+0-0-0</f>
        <v>888.705556</v>
      </c>
      <c r="R210" s="3">
        <f>0+(987.6-129.3)+(0+(-2.51838--0.329715))+0-0-0</f>
        <v>856.11133499999994</v>
      </c>
      <c r="S210" s="3">
        <f>0+(1035.8-199.7)+(0+(0-0))+0-0-0</f>
        <v>836.09999999999991</v>
      </c>
      <c r="T210" s="3">
        <f>0+(1004.5-157.3)+(0+(-1.02459--0.160446))+0-0-0</f>
        <v>846.33585600000004</v>
      </c>
      <c r="U210" s="3">
        <f>0+(1014.6-169.7)+(0+(-2.58723--0.432735))+0-0-0</f>
        <v>842.74550500000009</v>
      </c>
      <c r="V210" s="3">
        <f>0+(985.8-131.3)+(0+(-2.51379--0.334815))+0-0-0</f>
        <v>852.32102499999996</v>
      </c>
      <c r="W210" s="3">
        <f>0+(958.9-81.5)+(0+(0.978078-0.08313))+0-0-0</f>
        <v>878.29494799999998</v>
      </c>
      <c r="X210" s="3">
        <f>0+(974.3-60.1)+(0+(-0.993786--0.061302))+0-0-0</f>
        <v>913.26751599999989</v>
      </c>
      <c r="Y210" s="3">
        <f>0+(955.2-65.6)+(0+(0-0))+0-0-0</f>
        <v>889.6</v>
      </c>
      <c r="Z210" s="3">
        <f>0+(958.2-92.5)+(0+(-0.488682--0.047175))+0-0-0</f>
        <v>865.25849300000004</v>
      </c>
      <c r="AA210" s="3">
        <f>0+(993.9-153)+(0+(-2.027556--0.31212))+0-0-0</f>
        <v>839.18456400000002</v>
      </c>
      <c r="AB210" s="3">
        <f>0+(1058.6-239)+(0+(-2.159544--0.48756))+0-0-0</f>
        <v>817.92801599999996</v>
      </c>
      <c r="AC210" s="3">
        <f>0+(1058.5-274.8)+(0+(-3.23901--0.840888))+0-0-0</f>
        <v>781.3018780000001</v>
      </c>
      <c r="AD210">
        <v>925.6</v>
      </c>
      <c r="AE210" s="3">
        <f>0+(994.6-69)+(0+(0-0))+0-0-0</f>
        <v>925.6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0+(1025.9-284.7)+(0+(-2.616045--0.725985))+0-0-0</f>
        <v>739.3099400000001</v>
      </c>
      <c r="G211" s="3">
        <f>0+(1030.1-303.9)+(0+(1.576053-0.464967))+0-0-0</f>
        <v>727.31108599999993</v>
      </c>
      <c r="H211" s="3">
        <f>0+(1014.1-301.1)+(0+(-2.585955--0.767805))+0-0-0</f>
        <v>711.18185000000005</v>
      </c>
      <c r="I211" s="3">
        <f>0+(955.2-252.5)+(0+(-1.461456--0.386325))+0-0-0</f>
        <v>701.62486899999999</v>
      </c>
      <c r="J211" s="3">
        <f>0+(952.5-254.3)+(0+(-0.485775--0.129693))+0-0-0</f>
        <v>697.84391800000003</v>
      </c>
      <c r="K211" s="3">
        <f>0+(939.5-235.9)+(0+(0.479145-0.120309))+0-0-0</f>
        <v>703.95883600000002</v>
      </c>
      <c r="L211" s="3">
        <f>0+(904.5-184.3)+(0+(0-0))+0-0-0</f>
        <v>720.2</v>
      </c>
      <c r="M211" s="3">
        <f>0+(947.6-173)+(0+(0.483276-0.08823))+0-0-0</f>
        <v>774.995046</v>
      </c>
      <c r="N211" s="3">
        <f>0+(1000-161.2)+(0+(0.51-0.082212))+0-0-0</f>
        <v>839.22778799999992</v>
      </c>
      <c r="O211" s="3">
        <f>0+(1119.2-250.2)+(0+(-1.712376--0.382806))+0-0-0</f>
        <v>867.67043000000001</v>
      </c>
      <c r="P211" s="3">
        <f>0+(1113.6-230.7)+(0+(1.135872-0.235314))+0-0-0</f>
        <v>883.80055799999991</v>
      </c>
      <c r="Q211" s="3">
        <f>0+(1088-191.7)+(0+(0-0))+0-0-0</f>
        <v>896.3</v>
      </c>
      <c r="R211" s="3">
        <f>0+(1079.7-206.4)+(0+(-0.550647--0.105264))+0-0-0</f>
        <v>872.85461700000008</v>
      </c>
      <c r="S211" s="3">
        <f>0+(1081.5-233.8)+(0+(-0.551565--0.119238))+0-0-0</f>
        <v>847.26767300000006</v>
      </c>
      <c r="T211" s="3">
        <f>0+(1096.7-241.9)+(0+(0.559317-0.123369))+0-0-0</f>
        <v>855.23594800000012</v>
      </c>
      <c r="U211" s="3">
        <f>0+(1098.1-247.6)+(0+(0-0))+0-0-0</f>
        <v>850.49999999999989</v>
      </c>
      <c r="V211" s="3">
        <f>0+(1023.1-184.5)+(0+(-2.087124--0.37638))+0-0-0</f>
        <v>836.88925600000005</v>
      </c>
      <c r="W211" s="3">
        <f>0+(951.4-80.3)+(0+(1.455642-0.122859))+0-0-0</f>
        <v>872.43278299999997</v>
      </c>
      <c r="X211" s="3">
        <f>0+(971.4-64.8)+(0+(-2.972484--0.198288))+0-0-0</f>
        <v>903.82580400000006</v>
      </c>
      <c r="Y211" s="3">
        <f>0+(994.4-116)+(0+(0.507144-0.05916))+0-0-0</f>
        <v>878.847984</v>
      </c>
      <c r="Z211" s="3">
        <f>0+(1012.9-157.4)+(0+(-0.516579--0.080274))+0-0-0</f>
        <v>855.06369500000005</v>
      </c>
      <c r="AA211" s="3">
        <f>0+(1094.6-258.2)+(0+(-1.674738--0.395046))+0-0-0</f>
        <v>835.12030799999991</v>
      </c>
      <c r="AB211" s="3">
        <f>0+(1068.4-262.9)+(0+(-2.179536--0.536316))+0-0-0</f>
        <v>803.85678000000007</v>
      </c>
      <c r="AC211" s="3">
        <f>0+(1076.7-308.9)+(0+(-1.098234--0.315078))+0-0-0</f>
        <v>767.01684400000011</v>
      </c>
      <c r="AD211">
        <v>906.1</v>
      </c>
      <c r="AE211" s="3">
        <f>0+(970.6-64.5)+(0+(0-0))+0-0-0</f>
        <v>906.1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0+(1100-346.8)+(0+(-2.805--0.88434))+0-0-0</f>
        <v>751.27934000000005</v>
      </c>
      <c r="G212" s="3">
        <f>0+(1072.5-346.8)+(0+(-0.546975--0.176868))+0-0-0</f>
        <v>725.32989300000008</v>
      </c>
      <c r="H212" s="3">
        <f>0+(1045.3-336.3)+(0+(1.066206-0.343026))+0-0-0</f>
        <v>709.72317999999996</v>
      </c>
      <c r="I212" s="3">
        <f>0+(1028-339.2)+(0+(-2.09712--0.691968))+0-0-0</f>
        <v>687.39484799999991</v>
      </c>
      <c r="J212" s="3">
        <f>0+(1020.5-327)+(0+(0.520455-0.16677))+0-0-0</f>
        <v>693.85368500000004</v>
      </c>
      <c r="K212" s="3">
        <f>0+(998.6-299.8)+(0+(-1.018572--0.305796))+0-0-0</f>
        <v>698.08722399999999</v>
      </c>
      <c r="L212" s="3">
        <f>0+(976.1-256.1)+(0+(-1.493433--0.391833))+0-0-0</f>
        <v>718.89840000000004</v>
      </c>
      <c r="M212" s="3">
        <f>0+(1012.9-244.3)+(0+(1.033158-0.249186))+0-0-0</f>
        <v>769.38397199999986</v>
      </c>
      <c r="N212" s="3">
        <f>0+(1067.8-246.3)+(0+(0-0))+0-0-0</f>
        <v>821.5</v>
      </c>
      <c r="O212" s="3">
        <f>0+(1120.6-250.2)+(0+(-0.571506--0.127602))+0-0-0</f>
        <v>869.95609599999989</v>
      </c>
      <c r="P212" s="3">
        <f>0+(1177.4-272.4)+(0+(0.600474-0.138924))+0-0-0</f>
        <v>905.4615500000001</v>
      </c>
      <c r="Q212" s="3">
        <f>0+(1132.5-222.3)+(0+(-2.887875--0.566865))+0-0-0</f>
        <v>907.87899000000004</v>
      </c>
      <c r="R212" s="3">
        <f>0+(1132.5-222.3)+(0+(-0.577575--0.113373))+0-0-0</f>
        <v>909.73579800000005</v>
      </c>
      <c r="S212" s="3">
        <f>0+(1142.5-222.3)+(0+(0-0))+0-0-0</f>
        <v>920.2</v>
      </c>
      <c r="T212" s="3">
        <f>0+(1162.2-312.3)+(0+(-1.778166--0.477819))+0-0-0</f>
        <v>848.5996530000001</v>
      </c>
      <c r="U212" s="3">
        <f>0+(1166.5-312.3)+(0+(0-0))+0-0-0</f>
        <v>854.2</v>
      </c>
      <c r="V212" s="3">
        <f>0+(1138.4-280.6)+(0+(-3.483504--0.858636))+0-0-0</f>
        <v>855.17513200000008</v>
      </c>
      <c r="W212" s="3">
        <f>0+(1036.4-166.2)+(0+(1.057128-0.169524))+0-0-0</f>
        <v>871.08760400000006</v>
      </c>
      <c r="X212" s="3">
        <f>0+(1019.2-101.8)+(0+(-3.118752--0.311508))+0-0-0</f>
        <v>914.59275600000012</v>
      </c>
      <c r="Y212" s="3">
        <f>0+(993.9-100)+(0+(-1.520667--0.153))+0-0-0</f>
        <v>892.53233299999999</v>
      </c>
      <c r="Z212" s="3">
        <f>0+(981.2-118.4)+(0+(-2.50206--0.30192))+0-0-0</f>
        <v>860.59986000000004</v>
      </c>
      <c r="AA212" s="3">
        <f>0+(991-145.1)+(0+(-2.02164--0.296004))+0-0-0</f>
        <v>844.17436399999997</v>
      </c>
      <c r="AB212" s="3">
        <f>0+(957.9-143.7)+(0+(-0.488529--0.073287))+0-0-0</f>
        <v>813.78475800000001</v>
      </c>
      <c r="AC212" s="3">
        <f>0+(955.8-176.8)+(0+(-0.487458--0.090168))+0-0-0</f>
        <v>778.60271</v>
      </c>
      <c r="AD212">
        <v>922.8</v>
      </c>
      <c r="AE212" s="3">
        <f>0+(1043-120.2)+(0+(0-0))+0-0-0</f>
        <v>922.8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0+(1022-276.3)+(0+(-1.56366--0.422739))+0-0-0</f>
        <v>744.559079</v>
      </c>
      <c r="G213" s="3">
        <f>0+(1003.1-284.2)+(0+(1.023162-0.289884))+0-0-0</f>
        <v>719.63327800000013</v>
      </c>
      <c r="H213" s="3">
        <f>0+(987.4-286.9)+(0+(-0.503574--0.146319))+0-0-0</f>
        <v>700.14274499999999</v>
      </c>
      <c r="I213" s="3">
        <f>0+(967.4-275.8)+(0+(1.480122-0.421974))+0-0-0</f>
        <v>692.65814799999987</v>
      </c>
      <c r="J213" s="3">
        <f>0+(951.3-264.7)+(0+(0.485163-0.134997))+0-0-0</f>
        <v>686.95016599999985</v>
      </c>
      <c r="K213" s="3">
        <f>0+(917.4-223.9)+(0+(-1.871496--0.456756))+0-0-0</f>
        <v>692.08525999999995</v>
      </c>
      <c r="L213" s="3">
        <f>0+(926-206.6)+(0+(-1.88904--0.421464))+0-0-0</f>
        <v>717.93242399999997</v>
      </c>
      <c r="M213" s="3">
        <f>0+(956.7-187.8)+(0+(0.487917-0.095778))+0-0-0</f>
        <v>769.29213900000013</v>
      </c>
      <c r="N213" s="3">
        <f>0+(1045-202.9)+(0+(0-0))+0-0-0</f>
        <v>842.1</v>
      </c>
      <c r="O213" s="3">
        <f>0+(1012.7-167.6)+(0+(-1.032954--0.170952))+0-0-0</f>
        <v>844.23799800000006</v>
      </c>
      <c r="P213" s="3">
        <f>0+(991.8-122.6)+(0+(-1.011636--0.125052))+0-0-0</f>
        <v>868.31341599999996</v>
      </c>
      <c r="Q213" s="3">
        <f>0+(990.6-103.3)+(0+(-2.020824--0.210732))+0-0-0</f>
        <v>885.48990800000001</v>
      </c>
      <c r="R213" s="3">
        <f>0+(1014.9-146.7)+(0+(-1.552797--0.224451))+0-0-0</f>
        <v>866.87165400000004</v>
      </c>
      <c r="S213" s="3">
        <f>0+(1018.4-166.7)+(0+(-1.038768--0.170034))+0-0-0</f>
        <v>850.83126600000003</v>
      </c>
      <c r="T213" s="3">
        <f>0+(1093.8-247.9)+(0+(0-0))+0-0-0</f>
        <v>845.9</v>
      </c>
      <c r="U213" s="3">
        <f>0+(1093.7-252.6)+(0+(-1.115574--0.257652))+0-0-0</f>
        <v>840.24207799999999</v>
      </c>
      <c r="V213" s="3">
        <f>0+(990.5-156.3)+(0+(0-0))+0-0-0</f>
        <v>834.2</v>
      </c>
      <c r="W213" s="3">
        <f>0+(901.2-54.8)+(0+(-0.459612--0.027948))+0-0-0</f>
        <v>845.96833600000014</v>
      </c>
      <c r="X213" s="3">
        <f>0+(955.1-63.8)+(0+(-2.435505--0.16269))+0-0-0</f>
        <v>889.02718500000003</v>
      </c>
      <c r="Y213" s="3">
        <f>0+(947.2-69.6)+(0+(-1.449216--0.106488))+0-0-0</f>
        <v>876.25727200000006</v>
      </c>
      <c r="Z213" s="3">
        <f>0+(919.8-69)+(0+(-1.407294--0.10557))+0-0-0</f>
        <v>849.49827599999992</v>
      </c>
      <c r="AA213" s="3">
        <f>0+(982.6-156.2)+(0+(-1.503378--0.238986))+0-0-0</f>
        <v>825.13560800000005</v>
      </c>
      <c r="AB213" s="3">
        <f>0+(1004.3-199.1)+(0+(0-0))+0-0-0</f>
        <v>805.19999999999993</v>
      </c>
      <c r="AC213" s="3">
        <f>0+(1059.7-281.9)+(0+(-2.161788--0.575076))+0-0-0</f>
        <v>776.21328800000003</v>
      </c>
      <c r="AD213">
        <v>898.40000000000009</v>
      </c>
      <c r="AE213" s="3">
        <f>0+(976.2-77.8)+(0+(0-0))+0-0-0</f>
        <v>898.40000000000009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0+(1107.5-358.7)+(0+(-1.694475--0.548811))+0-0-0</f>
        <v>747.65433599999994</v>
      </c>
      <c r="G214" s="3">
        <f>0+(1096.9-375)+(0+(-0.559419--0.19125))+0-0-0</f>
        <v>721.53183100000012</v>
      </c>
      <c r="H214" s="3">
        <f>0+(1010.6-300.3)+(0+(-3.092436--0.918918))+0-0-0</f>
        <v>708.12648200000001</v>
      </c>
      <c r="I214" s="3">
        <f>0+(957.2-254.8)+(0+(-1.464516--0.389844))+0-0-0</f>
        <v>701.32532800000013</v>
      </c>
      <c r="J214" s="3">
        <f>0+(952.6-254.2)+(0+(0-0))+0-0-0</f>
        <v>698.40000000000009</v>
      </c>
      <c r="K214" s="3">
        <f>0+(933.4-235.7)+(0+(-0.476034--0.120207))+0-0-0</f>
        <v>697.34417300000007</v>
      </c>
      <c r="L214" s="3">
        <f>0+(921.8-207.6)+(0+(-1.410354--0.317628))+0-0-0</f>
        <v>713.10727399999996</v>
      </c>
      <c r="M214" s="3">
        <f>0+(947.8-203.9)+(0+(0.483378-0.103989))+0-0-0</f>
        <v>744.27938899999992</v>
      </c>
      <c r="N214" s="3">
        <f>0+(1082.6-278.2)+(0+(1.656378-0.425646))+0-0-0</f>
        <v>805.63073199999985</v>
      </c>
      <c r="O214" s="3">
        <f>0+(1075-241.4)+(0+(0-0))+0-0-0</f>
        <v>833.6</v>
      </c>
      <c r="P214" s="3">
        <f>0+(1016-168.1)+(0+(1.03632-0.171462))+0-0-0</f>
        <v>848.764858</v>
      </c>
      <c r="Q214" s="3">
        <f>0+(981.4-125.5)+(0+(-0.500514--0.064005))+0-0-0</f>
        <v>855.46349099999998</v>
      </c>
      <c r="R214" s="3">
        <f>0+(990.9-152.1)+(0+(-1.516077--0.232713))+0-0-0</f>
        <v>837.51663599999995</v>
      </c>
      <c r="S214" s="3">
        <f>0+(1016-203.3)+(0+(-3.10896--0.622098))+0-0-0</f>
        <v>810.21313800000007</v>
      </c>
      <c r="T214" s="3">
        <f>0+(1013.2-212.1)+(0+(-1.033464--0.216342))+0-0-0</f>
        <v>800.28287799999998</v>
      </c>
      <c r="U214" s="3">
        <f>0+(1038.1-238.4)+(0+(-1.588293--0.364752))+0-0-0</f>
        <v>798.47645899999998</v>
      </c>
      <c r="V214" s="3">
        <f>0+(1034.3-237.9)+(0+(-1.582479--0.363987))+0-0-0</f>
        <v>795.18150800000001</v>
      </c>
      <c r="W214" s="3">
        <f>0+(967.7-148.4)+(0+(-1.480581--0.227052))+0-0-0</f>
        <v>818.04647100000011</v>
      </c>
      <c r="X214" s="3">
        <f>0+(1051.7-177.9)+(0+(-3.218202--0.544374))+0-0-0</f>
        <v>871.12617200000011</v>
      </c>
      <c r="Y214" s="3">
        <f>0+(1036.3-183.7)+(0+(-1.585539--0.281061))+0-0-0</f>
        <v>851.29552199999989</v>
      </c>
      <c r="Z214" s="3">
        <f>0+(1017.5-180.2)+(0+(-0.518925--0.091902))+0-0-0</f>
        <v>836.87297699999999</v>
      </c>
      <c r="AA214" s="3">
        <f>0+(974.5-168.4)+(0+(-0.99399--0.171768))+0-0-0</f>
        <v>805.27777800000001</v>
      </c>
      <c r="AB214" s="3">
        <f>0+(957.3-167.7)+(0+(-1.464669--0.256581))+0-0-0</f>
        <v>788.39191199999993</v>
      </c>
      <c r="AC214" s="3">
        <f>0+(900.2-88.8)+(0+(-2.29551--0.22644))+0-0-0</f>
        <v>809.33093000000008</v>
      </c>
      <c r="AD214">
        <v>883.5</v>
      </c>
      <c r="AE214" s="3">
        <f>0+(1077.7-194.2)+(0+(0-0))+0-0-0</f>
        <v>883.5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0+(962.5-213.3)+(0+(-1.472625--0.326349))+0-0-0</f>
        <v>748.0537240000001</v>
      </c>
      <c r="G215" s="3">
        <f>0+(976-286.9)+(0+(-1.99104--0.585276))+0-0-0</f>
        <v>687.69423600000005</v>
      </c>
      <c r="H215" s="3">
        <f>0+(950.9-209.3)+(0+(-2.424795--0.533715))+0-0-0</f>
        <v>739.70891999999992</v>
      </c>
      <c r="I215" s="3">
        <f>0+(923.1-239.6)+(0+(-1.883124--0.488784))+0-0-0</f>
        <v>682.10565999999994</v>
      </c>
      <c r="J215" s="3">
        <f>0+(924.5-239.5)+(0+(-0.471495--0.122145))+0-0-0</f>
        <v>684.65065000000004</v>
      </c>
      <c r="K215" s="3">
        <f>0+(947.1-281.3)+(0+(-0.483021--0.143463))+0-0-0</f>
        <v>665.46044199999994</v>
      </c>
      <c r="L215" s="3">
        <f>0+(988.8-366.4)+(0+(0-0))+0-0-0</f>
        <v>622.4</v>
      </c>
      <c r="M215" s="3">
        <f>0+(985.7-353.1)+(0+(-0.502707--0.180081))+0-0-0</f>
        <v>632.27737400000001</v>
      </c>
      <c r="N215" s="3">
        <f>0+(1095-366)+(0+(-1.1169--0.37332))+0-0-0</f>
        <v>728.25642000000005</v>
      </c>
      <c r="O215" s="3">
        <f>0+(1156-405)+(0+(-1.17912--0.4131))+0-0-0</f>
        <v>750.23397999999997</v>
      </c>
      <c r="P215" s="3">
        <f>0+(1098.2-332.8)+(0+(-1.680246--0.509184))+0-0-0</f>
        <v>764.22893800000008</v>
      </c>
      <c r="Q215" s="3">
        <f>0+(1070.5-339.6)+(0+(0-0))+0-0-0</f>
        <v>730.9</v>
      </c>
      <c r="R215" s="3">
        <f>0+(1052.9-313.1)+(0+(-2.147916--0.638724))+0-0-0</f>
        <v>738.29080800000008</v>
      </c>
      <c r="S215" s="3">
        <f>0+(1023.7-305.2)+(0+(-2.088348--0.622608))+0-0-0</f>
        <v>717.03426000000002</v>
      </c>
      <c r="T215" s="3">
        <f>0+(1000.5-299.7)+(0+(-1.02051--0.305694))+0-0-0</f>
        <v>700.08518399999991</v>
      </c>
      <c r="U215" s="3">
        <f>0+(973.2-277.8)+(0+(-0.496332--0.141678))+0-0-0</f>
        <v>695.04534600000011</v>
      </c>
      <c r="V215" s="3">
        <f>0+(975.9-272.2)+(0+(0-0))+0-0-0</f>
        <v>703.7</v>
      </c>
      <c r="W215" s="3">
        <f>0+(1087.1-337.3)+(0+(-1.663263--0.516069))+0-0-0</f>
        <v>748.65280599999994</v>
      </c>
      <c r="X215" s="3">
        <f>0+(1200.1-383.7)+(0+(-2.448204--0.782748))+0-0-0</f>
        <v>814.73454399999991</v>
      </c>
      <c r="Y215" s="3">
        <f>0+(1209.3-407.6)+(0+(-1.850229--0.623628))+0-0-0</f>
        <v>800.47339899999997</v>
      </c>
      <c r="Z215" s="3">
        <f>0+(1190.9-407.2)+(0+(-3.036795--1.03836))+0-0-0</f>
        <v>781.70156500000007</v>
      </c>
      <c r="AA215" s="3">
        <f>0+(1072-317.9)+(0+(-2.18688--0.648516))+0-0-0</f>
        <v>752.56163600000002</v>
      </c>
      <c r="AB215" s="3">
        <f>0+(1012.2-275.4)+(0+(-2.58111--0.70227))+0-0-0</f>
        <v>734.9211600000001</v>
      </c>
      <c r="AC215" s="3">
        <f>0+(924.2-219.8)+(0+(-2.35671--0.56049))+0-0-0</f>
        <v>702.60378000000014</v>
      </c>
      <c r="AD215">
        <v>789</v>
      </c>
      <c r="AE215" s="3">
        <f>0+(1198-409)+(0+(0-0))+0-0-0</f>
        <v>789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0+(877.9-209.7)+(0+(-0.895458--0.213894))+0-0-0</f>
        <v>667.51843600000007</v>
      </c>
      <c r="G216" s="3">
        <f>0+(916.5-269.2)+(0+(-0.93483--0.274584))+0-0-0</f>
        <v>646.63975399999993</v>
      </c>
      <c r="H216" s="3">
        <f>0+(900.5-258.2)+(0+(-1.83702--0.526728))+0-0-0</f>
        <v>640.98970799999995</v>
      </c>
      <c r="I216" s="3">
        <f>0+(884.3-252.9)+(0+(-0.901986--0.257958))+0-0-0</f>
        <v>630.75597199999993</v>
      </c>
      <c r="J216" s="3">
        <f>0+(899.8-260.1)+(0+(0.917796-0.265302))+0-0-0</f>
        <v>640.35249399999998</v>
      </c>
      <c r="K216" s="3">
        <f>0+(913.3-264.8)+(0+(2.328915-0.67524))+0-0-0</f>
        <v>650.15367500000002</v>
      </c>
      <c r="L216" s="3">
        <f>0+(897-218.5)+(0+(-0.45747--0.111435))+0-0-0</f>
        <v>678.15396499999997</v>
      </c>
      <c r="M216" s="3">
        <f>0+(860.2-132.7)+(0+(0-0))+0-0-0</f>
        <v>727.5</v>
      </c>
      <c r="N216" s="3">
        <f>0+(924-125.2)+(0+(-0.47124--0.063852))+0-0-0</f>
        <v>798.39261199999999</v>
      </c>
      <c r="O216" s="3">
        <f>0+(1006.5-166.1)+(0+(-2.05326--0.338844))+0-0-0</f>
        <v>838.68558399999995</v>
      </c>
      <c r="P216" s="3">
        <f>0+(1035.3-166.7)+(0+(-0.528003--0.085017))+0-0-0</f>
        <v>868.15701399999989</v>
      </c>
      <c r="Q216" s="3">
        <f>0+(1082.5-204.9)+(0+(-1.656225--0.313497))+0-0-0</f>
        <v>876.25727200000006</v>
      </c>
      <c r="R216" s="3">
        <f>0+(1089.8-226.7)+(0+(-2.77899--0.578085))+0-0-0</f>
        <v>860.89909499999987</v>
      </c>
      <c r="S216" s="3">
        <f>0+(1052.8-215.7)+(0+(-0.536928--0.110007))+0-0-0</f>
        <v>836.67307899999992</v>
      </c>
      <c r="T216" s="3">
        <f>0+(1055.6-211.7)+(0+(0-0))+0-0-0</f>
        <v>843.89999999999986</v>
      </c>
      <c r="U216" s="3">
        <f>0+(1056.5-215.3)+(0+(-0.538815--0.109803))+0-0-0</f>
        <v>840.7709880000001</v>
      </c>
      <c r="V216" s="3">
        <f>0+(1054.6-210.2)+(0+(1.075692-0.214404))+0-0-0</f>
        <v>845.26128799999981</v>
      </c>
      <c r="W216" s="3">
        <f>0+(1078.6-203.4)+(0+(1.100172-0.207468))+0-0-0</f>
        <v>876.09270399999991</v>
      </c>
      <c r="X216" s="3">
        <f>0+(1179-251.4)+(0+(-2.40516--0.512856))+0-0-0</f>
        <v>925.70769600000006</v>
      </c>
      <c r="Y216" s="3">
        <f>0+(1160.3-253.1)+(0+(-2.367012--0.516324))+0-0-0</f>
        <v>905.34931199999994</v>
      </c>
      <c r="Z216" s="3">
        <f>0+(1115.2-229.2)+(0+(-2.275008--0.467568))+0-0-0</f>
        <v>884.19255999999996</v>
      </c>
      <c r="AA216" s="3">
        <f>0+(1051.7-198.4)+(0+(-1.072734--0.202368))+0-0-0</f>
        <v>852.42963400000008</v>
      </c>
      <c r="AB216" s="3">
        <f>0+(1030.1-211.5)+(0+(-2.626755--0.539325))+0-0-0</f>
        <v>816.51256999999987</v>
      </c>
      <c r="AC216" s="3">
        <f>0+(871.5-96.6)+(0+(-0.444465--0.049266))+0-0-0</f>
        <v>774.50480099999993</v>
      </c>
      <c r="AD216">
        <v>934.7</v>
      </c>
      <c r="AE216" s="3">
        <f>0+(1171-236.3)+(0+(0-0))+0-0-0</f>
        <v>934.7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0+(774.8-44.7)+(0+(-0.790296--0.045594))+0-0-0</f>
        <v>729.35529799999995</v>
      </c>
      <c r="G217" s="3">
        <f>0+(733.8-24.8)+(0+(-0.748476--0.025296))+0-0-0</f>
        <v>708.27682000000004</v>
      </c>
      <c r="H217" s="3">
        <f>0+(726.8-30.2)+(0+(0-0))+0-0-0</f>
        <v>696.59999999999991</v>
      </c>
      <c r="I217" s="3">
        <f>0+(714.8-25.9)+(0+(0.729096-0.026418))+0-0-0</f>
        <v>689.60267799999997</v>
      </c>
      <c r="J217" s="3">
        <f>0+(713.8-25.2)+(0+(0.364038-0.012852))+0-0-0</f>
        <v>688.95118599999989</v>
      </c>
      <c r="K217" s="3">
        <f>0+(722.5-32.2)+(0+(0-0))+0-0-0</f>
        <v>690.3</v>
      </c>
      <c r="L217" s="3">
        <f>0+(708.4-16)+(0+(1.445136-0.03264))+0-0-0</f>
        <v>693.81249600000001</v>
      </c>
      <c r="M217" s="3">
        <f>0+(738.5-3.8)+(0+(0.75327-0.003876))+0-0-0</f>
        <v>735.4493940000001</v>
      </c>
      <c r="N217" s="3">
        <f>0+(819.6-30.6)+(0+(-0.417996--0.015606))+0-0-0</f>
        <v>788.59761000000003</v>
      </c>
      <c r="O217" s="3">
        <f>0+(861-45.6)+(0+(0.43911-0.023256))+0-0-0</f>
        <v>815.81585399999994</v>
      </c>
      <c r="P217" s="3">
        <f>0+(860.5-50.9)+(0+(-1.316565--0.077877))+0-0-0</f>
        <v>808.361312</v>
      </c>
      <c r="Q217" s="3">
        <f>0+(899.6-40.5)+(0+(-0.458796--0.020655))+0-0-0</f>
        <v>858.66185900000005</v>
      </c>
      <c r="R217" s="3">
        <f>0+(912.1-61.3)+(0+(-2.325855--0.156315))+0-0-0</f>
        <v>848.63046000000008</v>
      </c>
      <c r="S217" s="3">
        <f>0+(901.1-69.3)+(0+(-0.459561--0.035343))+0-0-0</f>
        <v>831.37578200000007</v>
      </c>
      <c r="T217" s="3">
        <f>0+(870.1-47.1)+(0+(0-0))+0-0-0</f>
        <v>823</v>
      </c>
      <c r="U217" s="3">
        <f>0+(876.5-51.3)+(0+(-2.68209--0.156978))+0-0-0</f>
        <v>822.67488800000001</v>
      </c>
      <c r="V217" s="3">
        <f>0+(882.7-61.7)+(0+(-0.450177--0.031467))+0-0-0</f>
        <v>820.58128999999997</v>
      </c>
      <c r="W217" s="3">
        <f>0+(930-69.1)+(0+(0-0))+0-0-0</f>
        <v>860.9</v>
      </c>
      <c r="X217" s="3">
        <f>0+(1044.6-128.2)+(0+(-3.196476--0.392292))+0-0-0</f>
        <v>913.5958159999999</v>
      </c>
      <c r="Y217" s="3">
        <f>0+(1039.6-140.8)+(0+(-1.060392--0.143616))+0-0-0</f>
        <v>897.88322399999993</v>
      </c>
      <c r="Z217" s="3">
        <f>0+(1003.5-133.1)+(0+(-2.04714--0.271524))+0-0-0</f>
        <v>868.62438399999996</v>
      </c>
      <c r="AA217" s="3">
        <f>0+(932.6-87.5)+(0+(-1.426878--0.133875))+0-0-0</f>
        <v>843.80699700000002</v>
      </c>
      <c r="AB217" s="3">
        <f>0+(954.5-131.9)+(0+(-1.94718--0.269076))+0-0-0</f>
        <v>820.92189600000006</v>
      </c>
      <c r="AC217" s="3">
        <f>0+(856.9-77.7)+(0+(-1.748076--0.158508))+0-0-0</f>
        <v>777.61043199999995</v>
      </c>
      <c r="AD217">
        <v>913.5</v>
      </c>
      <c r="AE217" s="3">
        <f>0+(1047-133.5)+(0+(0-0))+0-0-0</f>
        <v>913.5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0+(749-15.6)+(0+(-0.76398--0.015912))+0-0-0</f>
        <v>732.65193199999999</v>
      </c>
      <c r="G218" s="3">
        <f>0+(724.9-13.5)+(0+(0-0))+0-0-0</f>
        <v>711.4</v>
      </c>
      <c r="H218" s="3">
        <f>0+(712.8-14.9)+(0+(0-0))+0-0-0</f>
        <v>697.9</v>
      </c>
      <c r="I218" s="3">
        <f>0+(752.2-60.7)+(0+(0-0))+0-0-0</f>
        <v>691.5</v>
      </c>
      <c r="J218" s="3">
        <f>0+(772.4-79.7)+(0+(0.393924-0.040647))+0-0-0</f>
        <v>693.05327699999998</v>
      </c>
      <c r="K218" s="3">
        <f>0+(757.4-70.6)+(0+(-1.158822--0.108018))+0-0-0</f>
        <v>685.74919599999998</v>
      </c>
      <c r="L218" s="3">
        <f>0+(794.7-75.8)+(0+(0.405297-0.038658))+0-0-0</f>
        <v>719.26663900000005</v>
      </c>
      <c r="M218" s="3">
        <f>0+(874.2-112.4)+(0+(0.445842-0.057324))+0-0-0</f>
        <v>762.18851800000004</v>
      </c>
      <c r="N218" s="3">
        <f>0+(940.2-117.7)+(0+(-0.479502--0.060027))+0-0-0</f>
        <v>822.08052499999997</v>
      </c>
      <c r="O218" s="3">
        <f>0+(945.3-90.9)+(0+(0.482103-0.046359))+0-0-0</f>
        <v>854.83574399999998</v>
      </c>
      <c r="P218" s="3">
        <f>0+(996.6-113.6)+(0+(0-0))+0-0-0</f>
        <v>883</v>
      </c>
      <c r="Q218" s="3">
        <f>0+(1004.1-125)+(0+(-0.512091--0.06375))+0-0-0</f>
        <v>878.651659</v>
      </c>
      <c r="R218" s="3">
        <f>0+(944.8-120.4)+(0+(-2.40924--0.30702))+0-0-0</f>
        <v>822.29777999999999</v>
      </c>
      <c r="S218" s="3">
        <f>0+(903-75.8)+(0+(-2.76318--0.231948))+0-0-0</f>
        <v>824.668768</v>
      </c>
      <c r="T218" s="3">
        <f>0+(911.9-75.7)+(0+(0-0))+0-0-0</f>
        <v>836.19999999999993</v>
      </c>
      <c r="U218" s="3">
        <f>0+(933.7-92)+(0+(-1.428561--0.14076))+0-0-0</f>
        <v>840.4121990000001</v>
      </c>
      <c r="V218" s="3">
        <f>0+(1006.3-104.5)+(0+(-0.513213--0.053295))+0-0-0</f>
        <v>901.34008199999994</v>
      </c>
      <c r="W218" s="3">
        <f>0+(1044.1-139)+(0+(0-0))+0-0-0</f>
        <v>905.09999999999991</v>
      </c>
      <c r="X218" s="3">
        <f>0+(1074.5-145.8)+(0+(-1.643985--0.223074))+0-0-0</f>
        <v>927.279089</v>
      </c>
      <c r="Y218" s="3">
        <f>0+(1030-153.5)+(0+(-1.5759--0.234855))+0-0-0</f>
        <v>875.15895499999999</v>
      </c>
      <c r="Z218" s="3">
        <f>0+(957.2-126.3)+(0+(-1.464516--0.193239))+0-0-0</f>
        <v>829.62872300000004</v>
      </c>
      <c r="AA218" s="3">
        <f>0+(897.6-88.5)+(0+(-0.915552--0.09027))+0-0-0</f>
        <v>808.27471800000001</v>
      </c>
      <c r="AB218" s="3">
        <f>0+(874.4-94.5)+(0+(-2.22972--0.240975))+0-0-0</f>
        <v>777.91125499999998</v>
      </c>
      <c r="AC218" s="3">
        <f>0+(831.8-70)+(0+(-0.848436--0.0714))+0-0-0</f>
        <v>761.022964</v>
      </c>
      <c r="AD218">
        <v>937.60000000000014</v>
      </c>
      <c r="AE218" s="3">
        <f>0+(1085.9-148.3)+(0+(0-0))+0-0-0</f>
        <v>937.60000000000014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0+(771.5-43.8)+(0+(-0.393465--0.022338))+0-0-0</f>
        <v>727.32887300000004</v>
      </c>
      <c r="G219" s="3">
        <f>0+(740.3-51.5)+(0+(-1.510212--0.10506))+0-0-0</f>
        <v>687.39484799999991</v>
      </c>
      <c r="H219" s="3">
        <f>0+(731.6-19.7)+(0+(-1.86558--0.050235))+0-0-0</f>
        <v>710.084655</v>
      </c>
      <c r="I219" s="3">
        <f>0+(723.1-18.6)+(0+(-0.737562--0.018972))+0-0-0</f>
        <v>703.78141000000005</v>
      </c>
      <c r="J219" s="3">
        <f>0+(726.5-21.3)+(0+(0.370515-0.010863))+0-0-0</f>
        <v>705.55965200000003</v>
      </c>
      <c r="K219" s="3">
        <f>0+(733.5-29.9)+(0+(0.374085-0.015249))+0-0-0</f>
        <v>703.95883600000002</v>
      </c>
      <c r="L219" s="3">
        <f>0+(769.7-49.3)+(0+(1.177641-0.075429))+0-0-0</f>
        <v>721.5022120000001</v>
      </c>
      <c r="M219" s="3">
        <f>0+(868-52.7)+(0+(-0.44268--0.026877))+0-0-0</f>
        <v>814.88419699999997</v>
      </c>
      <c r="N219" s="3">
        <f>0+(940.7-93.9)+(0+(0.959514-0.095778))+0-0-0</f>
        <v>847.66373600000009</v>
      </c>
      <c r="O219" s="3">
        <f>0+(999.6-121)+(0+(-1.019592--0.12342))+0-0-0</f>
        <v>877.70382800000004</v>
      </c>
      <c r="P219" s="3">
        <f>0+(989.8-147.7)+(0+(-2.019192--0.301308))+0-0-0</f>
        <v>840.38211599999988</v>
      </c>
      <c r="Q219" s="3">
        <f>0+(994.6-150)+(0+(-1.014492--0.153))+0-0-0</f>
        <v>843.73850800000002</v>
      </c>
      <c r="R219" s="3">
        <f>0+(1006.7-141)+(0+(-2.053668--0.28764))+0-0-0</f>
        <v>863.93397200000004</v>
      </c>
      <c r="S219" s="3">
        <f>0+(957.8-120.3)+(0+(-0.488478--0.061353))+0-0-0</f>
        <v>837.07287499999995</v>
      </c>
      <c r="T219" s="3">
        <f>0+(991-127.5)+(0+(1.51623-0.195075))+0-0-0</f>
        <v>864.82115499999998</v>
      </c>
      <c r="U219" s="3">
        <f>0+(967.9-134.5)+(0+(-2.468145--0.342975))+0-0-0</f>
        <v>831.27482999999995</v>
      </c>
      <c r="V219" s="3">
        <f>0+(1060.7-149.7)+(0+(-0.540957--0.076347))+0-0-0</f>
        <v>910.53539000000001</v>
      </c>
      <c r="W219" s="3">
        <f>0+(1121-190.9)+(0+(-0.57171--0.097359))+0-0-0</f>
        <v>929.62564900000007</v>
      </c>
      <c r="X219" s="3">
        <f>0+(1030.6-145.1)+(0+(-2.62803--0.370005))+0-0-0</f>
        <v>883.24197499999991</v>
      </c>
      <c r="Y219" s="3">
        <f>0+(944.8-105.8)+(0+(-0.481848--0.053958))+0-0-0</f>
        <v>838.57210999999995</v>
      </c>
      <c r="Z219" s="3">
        <f>0+(925.7-95.8)+(0+(-0.944214--0.097716))+0-0-0</f>
        <v>829.05350200000009</v>
      </c>
      <c r="AA219" s="3">
        <f>0+(980-117.6)+(0+(-1.9992--0.239904))+0-0-0</f>
        <v>860.64070400000003</v>
      </c>
      <c r="AB219" s="3">
        <f>0+(1008.2-201.8)+(0+(-1.542546--0.308754))+0-0-0</f>
        <v>805.1662080000001</v>
      </c>
      <c r="AC219" s="3">
        <f>0+(944.8-184.6)+(0+(-1.927392--0.376584))+0-0-0</f>
        <v>758.64919199999997</v>
      </c>
      <c r="AD219">
        <v>927.5</v>
      </c>
      <c r="AE219" s="3">
        <f>0+(1168-240.5)+(0+(0-0))+0-0-0</f>
        <v>927.5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0+(811.6-64.3)+(0+(-2.06958--0.163965))+0-0-0</f>
        <v>745.39438500000006</v>
      </c>
      <c r="G220" s="3">
        <f>0+(771.2-57.5)+(0+(-0.393312--0.029325))+0-0-0</f>
        <v>713.33601300000009</v>
      </c>
      <c r="H220" s="3">
        <f>0+(764.1-71.3)+(0+(-0.389691--0.036363))+0-0-0</f>
        <v>692.44667200000004</v>
      </c>
      <c r="I220" s="3">
        <f>0+(751.5-50.3)+(0+(-0.76653--0.051306))+0-0-0</f>
        <v>700.48477600000001</v>
      </c>
      <c r="J220" s="3">
        <f>0+(733.3-36.4)+(0+(-0.373983--0.018564))+0-0-0</f>
        <v>696.54458099999999</v>
      </c>
      <c r="K220" s="3">
        <f>0+(776.6-128.5)+(0+(-0.396066--0.065535))+0-0-0</f>
        <v>647.76946900000007</v>
      </c>
      <c r="L220" s="3">
        <f>0+(813.7-80.4)+(0+(-0.829974--0.082008))+0-0-0</f>
        <v>732.55203400000005</v>
      </c>
      <c r="M220" s="3">
        <f>0+(863.8-92.5)+(0+(0-0))+0-0-0</f>
        <v>771.3</v>
      </c>
      <c r="N220" s="3">
        <f>0+(994.5-110.5)+(0+(-1.01439--0.11271))+0-0-0</f>
        <v>883.09831999999994</v>
      </c>
      <c r="O220" s="3">
        <f>0+(1014.4-111.8)+(0+(1.034688-0.114036))+0-0-0</f>
        <v>903.52065200000004</v>
      </c>
      <c r="P220" s="3">
        <f>0+(993.3-116.6)+(0+(-2.026332--0.237864))+0-0-0</f>
        <v>874.91153199999997</v>
      </c>
      <c r="Q220" s="3">
        <f>0+(1017-142)+(0+(-0.51867--0.07242))+0-0-0</f>
        <v>874.55375000000004</v>
      </c>
      <c r="R220" s="3">
        <f>0+(1011.8-146.5)+(0+(-1.032036--0.14943))+0-0-0</f>
        <v>864.41739399999994</v>
      </c>
      <c r="S220" s="3">
        <f>0+(941.4-122.1)+(0+(-1.440342--0.186813))+0-0-0</f>
        <v>818.046471</v>
      </c>
      <c r="T220" s="3">
        <f>0+(997.6-146)+(0+(0-0))+0-0-0</f>
        <v>851.6</v>
      </c>
      <c r="U220" s="3">
        <f>0+(1079.2-209.8)+(0+(0.550392-0.106998))+0-0-0</f>
        <v>869.8433940000001</v>
      </c>
      <c r="V220" s="3">
        <f>0+(1171.2-228.7)+(0+(-1.194624--0.233274))+0-0-0</f>
        <v>941.53864999999996</v>
      </c>
      <c r="W220" s="3">
        <f>0+(1109.7-179)+(0+(0-0))+0-0-0</f>
        <v>930.7</v>
      </c>
      <c r="X220" s="3">
        <f>0+(987.8-126.6)+(0+(-1.511334--0.193698))+0-0-0</f>
        <v>859.88236399999994</v>
      </c>
      <c r="Y220" s="3">
        <f>0+(925.7-96.8)+(0+(-0.944214--0.098736))+0-0-0</f>
        <v>828.05452200000013</v>
      </c>
      <c r="Z220" s="3">
        <f>0+(953.5-119.9)+(0+(-0.97257--0.122298))+0-0-0</f>
        <v>832.749728</v>
      </c>
      <c r="AA220" s="3">
        <f>0+(881.8-75.3)+(0+(-0.899436--0.076806))+0-0-0</f>
        <v>805.67737</v>
      </c>
      <c r="AB220" s="3">
        <f>0+(852.8-88.4)+(0+(0-0))+0-0-0</f>
        <v>764.4</v>
      </c>
      <c r="AC220" s="3">
        <f>0+(814.1-57.7)+(0+(-1.245573--0.088281))+0-0-0</f>
        <v>755.24270799999999</v>
      </c>
      <c r="AD220">
        <v>894.7</v>
      </c>
      <c r="AE220" s="3">
        <f>0+(1106.4-211.7)+(0+(0-0))+0-0-0</f>
        <v>894.7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0+(792.9-49.9)+(0+(-0.808758--0.050898))+0-0-0</f>
        <v>742.24213999999995</v>
      </c>
      <c r="G221" s="3">
        <f>0+(788.2-117.9)+(0+(-0.401982--0.060129))+0-0-0</f>
        <v>669.95814700000005</v>
      </c>
      <c r="H221" s="3">
        <f>0+(769-60.9)+(0+(1.17657-0.093177))+0-0-0</f>
        <v>709.18339300000002</v>
      </c>
      <c r="I221" s="3">
        <f>0+(764.7-72.6)+(0+(-1.559988--0.148104))+0-0-0</f>
        <v>690.68811600000004</v>
      </c>
      <c r="J221" s="3">
        <f>0+(769.1-62.3)+(0+(0.784482-0.063546))+0-0-0</f>
        <v>707.52093600000012</v>
      </c>
      <c r="K221" s="3">
        <f>0+(767.2-97.7)+(0+(-1.173816--0.149481))+0-0-0</f>
        <v>668.47566500000005</v>
      </c>
      <c r="L221" s="3">
        <f>0+(815.6-104.9)+(0+(-0.831912--0.106998))+0-0-0</f>
        <v>709.97508600000003</v>
      </c>
      <c r="M221" s="3">
        <f>0+(898.6-135.1)+(0+(0.458286-0.068901))+0-0-0</f>
        <v>763.88938499999995</v>
      </c>
      <c r="N221" s="3">
        <f>0+(979.4-172.6)+(0+(1.498482-0.264078))+0-0-0</f>
        <v>808.03440399999999</v>
      </c>
      <c r="O221" s="3">
        <f>0+(1080.3-233.9)+(0+(0.550953-0.119289))+0-0-0</f>
        <v>846.83166399999993</v>
      </c>
      <c r="P221" s="3">
        <f>0+(1088.8-261.5)+(0+(0.555288-0.133365))+0-0-0</f>
        <v>827.72192299999995</v>
      </c>
      <c r="Q221" s="3">
        <f>0+(1096.4-271.5)+(0+(-2.79582--0.692325))+0-0-0</f>
        <v>822.79650500000014</v>
      </c>
      <c r="R221" s="3">
        <f>0+(1089.3-263.8)+(0+(-2.222172--0.538152))+0-0-0</f>
        <v>823.81597999999997</v>
      </c>
      <c r="S221" s="3">
        <f>0+(1041.2-233.2)+(0+(-2.65506--0.59466))+0-0-0</f>
        <v>805.93960000000004</v>
      </c>
      <c r="T221" s="3">
        <f>0+(1073.7-253.5)+(0+(-0.547587--0.129285))+0-0-0</f>
        <v>819.78169800000001</v>
      </c>
      <c r="U221" s="3">
        <f>0+(1044.8-226.4)+(0+(-1.598544--0.346392))+0-0-0</f>
        <v>817.14784799999995</v>
      </c>
      <c r="V221" s="3">
        <f>0+(1133.2-262.6)+(0+(-0.577932--0.133926))+0-0-0</f>
        <v>870.15599400000008</v>
      </c>
      <c r="W221" s="3">
        <f>0+(1110.7-323.2)+(0+(0-0))+0-0-0</f>
        <v>787.5</v>
      </c>
      <c r="X221" s="3">
        <f>0+(1115.1-249.4)+(0+(-0.568701--0.127194))+0-0-0</f>
        <v>865.25849299999993</v>
      </c>
      <c r="Y221" s="3">
        <f>0+(1018.3-212.6)+(0+(0.519333-0.108426))+0-0-0</f>
        <v>806.11090699999988</v>
      </c>
      <c r="Z221" s="3">
        <f>0+(965.4-186.1)+(0+(-1.477062--0.284733))+0-0-0</f>
        <v>778.10767099999998</v>
      </c>
      <c r="AA221" s="3">
        <f>0+(886.9-151.7)+(0+(-0.452319--0.077367))+0-0-0</f>
        <v>734.82504800000004</v>
      </c>
      <c r="AB221" s="3">
        <f>0+(893.2-174.1)+(0+(-0.911064--0.177582))+0-0-0</f>
        <v>718.36651800000004</v>
      </c>
      <c r="AC221" s="3">
        <f>0+(817.1-121.4)+(0+(-0.833442--0.123828))+0-0-0</f>
        <v>694.99038600000006</v>
      </c>
      <c r="AD221">
        <v>868.5</v>
      </c>
      <c r="AE221" s="3">
        <f>0+(1137.7-269.2)+(0+(0-0))+0-0-0</f>
        <v>868.5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0+(837.4-133.8)+(0+(-0.854148--0.136476))+0-0-0</f>
        <v>702.88232799999992</v>
      </c>
      <c r="G222" s="3">
        <f>0+(833.4-158.5)+(0+(0.850068-0.16167))+0-0-0</f>
        <v>675.58839799999998</v>
      </c>
      <c r="H222" s="3">
        <f>0+(798.2-132.3)+(0+(0-0))+0-0-0</f>
        <v>665.90000000000009</v>
      </c>
      <c r="I222" s="3">
        <f>0+(794.9-131.7)+(0+(-0.810798--0.134334))+0-0-0</f>
        <v>662.52353600000004</v>
      </c>
      <c r="J222" s="3">
        <f>0+(770.8-108.8)+(0+(2.358648-0.332928))+0-0-0</f>
        <v>664.02571999999998</v>
      </c>
      <c r="K222" s="3">
        <f>0+(757.4-115.3)+(0+(0-0))+0-0-0</f>
        <v>642.1</v>
      </c>
      <c r="L222" s="3">
        <f>0+(727.9-123.1)+(0+(-0.371229--0.062781))+0-0-0</f>
        <v>604.49155199999996</v>
      </c>
      <c r="M222" s="3">
        <f>0+(781.5-167.9)+(0+(-0.398565--0.085629))+0-0-0</f>
        <v>613.28706399999999</v>
      </c>
      <c r="N222" s="3">
        <f>0+(899.5-229.8)+(0+(1.376235-0.351594))+0-0-0</f>
        <v>670.72464100000002</v>
      </c>
      <c r="O222" s="3">
        <f>0+(841.9-178.4)+(0+(0.429369-0.090984))+0-0-0</f>
        <v>663.83838500000002</v>
      </c>
      <c r="P222" s="3">
        <f>0+(890.2-181.8)+(0+(0-0))+0-0-0</f>
        <v>708.40000000000009</v>
      </c>
      <c r="Q222" s="3">
        <f>0+(915.4-154.3)+(0+(-1.400562--0.236079))+0-0-0</f>
        <v>759.93551699999989</v>
      </c>
      <c r="R222" s="3">
        <f>0+(875-184.4)+(0+(-0.8925--0.188088))+0-0-0</f>
        <v>689.89558799999998</v>
      </c>
      <c r="S222" s="3">
        <f>0+(797.1-152.9)+(0+(-1.626084--0.311916))+0-0-0</f>
        <v>642.88583200000005</v>
      </c>
      <c r="T222" s="3">
        <f>0+(755.9-111)+(0+(-1.156527--0.16983))+0-0-0</f>
        <v>643.91330299999993</v>
      </c>
      <c r="U222" s="3">
        <f>0+(760.5-94.7)+(0+(0-0))+0-0-0</f>
        <v>665.8</v>
      </c>
      <c r="V222" s="3">
        <f>0+(899.4-188.7)+(0+(0.458694-0.096237))+0-0-0</f>
        <v>711.06245699999999</v>
      </c>
      <c r="W222" s="3">
        <f>0+(997-263.9)+(0+(0-0))+0-0-0</f>
        <v>733.1</v>
      </c>
      <c r="X222" s="3">
        <f>0+(902.1-182.1)+(0+(-2.300355--0.464355))+0-0-0</f>
        <v>718.16399999999999</v>
      </c>
      <c r="Y222" s="3">
        <f>0+(842.7-142.3)+(0+(-2.148885--0.362865))+0-0-0</f>
        <v>698.61398000000008</v>
      </c>
      <c r="Z222" s="3">
        <f>0+(821.8-135.4)+(0+(-1.676472--0.276216))+0-0-0</f>
        <v>684.99974399999996</v>
      </c>
      <c r="AA222" s="3">
        <f>0+(742.1-41)+(0+(0-0))+0-0-0</f>
        <v>701.1</v>
      </c>
      <c r="AB222" s="3">
        <f>0+(674.1-47.7)+(0+(-1.375164--0.097308))+0-0-0</f>
        <v>625.12214399999993</v>
      </c>
      <c r="AC222" s="3">
        <f>0+(660.1-83.5)+(0+(-1.683255--0.212925))+0-0-0</f>
        <v>575.12967000000003</v>
      </c>
      <c r="AD222">
        <v>762.80000000000007</v>
      </c>
      <c r="AE222" s="3">
        <f>0+(967.7-204.9)+(0+(0-0))+0-0-0</f>
        <v>762.80000000000007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0+(753.1-155.7)+(0+(-1.536324--0.317628))+0-0-0</f>
        <v>596.18130400000007</v>
      </c>
      <c r="G223" s="3">
        <f>0+(688.5-84.6)+(0+(-0.351135--0.043146))+0-0-0</f>
        <v>603.59201099999996</v>
      </c>
      <c r="H223" s="3">
        <f>0+(666.1-81.5)+(0+(0.339711-0.041565))+0-0-0</f>
        <v>584.898146</v>
      </c>
      <c r="I223" s="3">
        <f>0+(663.2-42.6)+(0+(-1.014696--0.065178))+0-0-0</f>
        <v>619.65048200000001</v>
      </c>
      <c r="J223" s="3">
        <f>0+(657.6-54.8)+(0+(-0.335376--0.027948))+0-0-0</f>
        <v>602.49257200000011</v>
      </c>
      <c r="K223" s="3">
        <f>0+(660.2-29.2)+(0+(0-0))+0-0-0</f>
        <v>631</v>
      </c>
      <c r="L223" s="3">
        <f>0+(611.8-53.6)+(0+(0-0))+0-0-0</f>
        <v>558.19999999999993</v>
      </c>
      <c r="M223" s="3">
        <f>0+(690.4-54.3)+(0+(1.056312-0.083079))+0-0-0</f>
        <v>637.07323300000007</v>
      </c>
      <c r="N223" s="3">
        <f>0+(906.3-73.6)+(0+(0.924426-0.075072))+0-0-0</f>
        <v>833.54935399999988</v>
      </c>
      <c r="O223" s="3">
        <f>0+(950.6-110.2)+(0+(0.484806-0.056202))+0-0-0</f>
        <v>840.82860399999993</v>
      </c>
      <c r="P223" s="3">
        <f>0+(1013.2-188.4)+(0+(1.033464-0.192168))+0-0-0</f>
        <v>825.64129600000012</v>
      </c>
      <c r="Q223" s="3">
        <f>0+(1027.5-233.1)+(0+(0.524025-0.118881))+0-0-0</f>
        <v>794.80514399999993</v>
      </c>
      <c r="R223" s="3">
        <f>0+(1036.9-253.3)+(0+(-1.586457--0.387549))+0-0-0</f>
        <v>782.40109200000018</v>
      </c>
      <c r="S223" s="3">
        <f>0+(989.8-207.9)+(0+(-0.504798--0.106029))+0-0-0</f>
        <v>781.50123099999996</v>
      </c>
      <c r="T223" s="3">
        <f>0+(987.2-202.4)+(0+(0-0))+0-0-0</f>
        <v>784.80000000000007</v>
      </c>
      <c r="U223" s="3">
        <f>0+(1024.5-214.9)+(0+(-1.567485--0.328797))+0-0-0</f>
        <v>808.361312</v>
      </c>
      <c r="V223" s="3">
        <f>0+(1110-246.8)+(0+(1.6983-0.377604))+0-0-0</f>
        <v>864.52069600000004</v>
      </c>
      <c r="W223" s="3">
        <f>0+(1113.6-284.1)+(0+(1.135872-0.289782))+0-0-0</f>
        <v>830.34608999999989</v>
      </c>
      <c r="X223" s="3">
        <f>102.3+(997.6-272.8)+(-0.156519+(-1.526328--0.417384))+0-0-0</f>
        <v>825.83453699999995</v>
      </c>
      <c r="Y223" s="3">
        <f>131.7+(921.5-237.5)+(-0.067167+(-0.469965--0.121125))+0-0-0</f>
        <v>815.28399300000001</v>
      </c>
      <c r="Z223" s="3">
        <f>130.9+(885-225.6)+(-0.133518+(-0.9027--0.230112))+0-0-0</f>
        <v>789.49389399999995</v>
      </c>
      <c r="AA223" s="3">
        <f>130.7+(881.6-205.9)+(-0.199971+(-1.348848--0.315027))+0-0-0</f>
        <v>805.1662080000001</v>
      </c>
      <c r="AB223" s="3">
        <f>130.5+(775.5-180.7)+(-0.26622+(-1.58202--0.368628))+0-0-0</f>
        <v>723.82038799999998</v>
      </c>
      <c r="AC223" s="3">
        <f>52.1+(749.1-85.8)+(-0.079713+(-1.146123--0.131274))+0-0-0</f>
        <v>714.30543800000009</v>
      </c>
      <c r="AD223">
        <v>924.40000000000009</v>
      </c>
      <c r="AE223" s="3">
        <f>20+(1213.7-309.3)+(0+(0-0))+0-0-0</f>
        <v>924.40000000000009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0+(760.5-44.8)+(0+(-0.387855--0.022848))+0-0-0</f>
        <v>715.33499300000005</v>
      </c>
      <c r="G224" s="3">
        <f>0+(728.2-35.6)+(0+(-1.114146--0.054468))+0-0-0</f>
        <v>691.54032200000006</v>
      </c>
      <c r="H224" s="3">
        <f>0+(667.3-20.2)+(0+(0.680646-0.020604))+0-0-0</f>
        <v>647.76004199999988</v>
      </c>
      <c r="I224" s="3">
        <f>0+(686.6-22.8)+(0+(0.700332-0.023256))+0-0-0</f>
        <v>664.47707600000012</v>
      </c>
      <c r="J224" s="3">
        <f>0+(688.3-26.1)+(0+(0.351033-0.013311))+0-0-0</f>
        <v>662.53772199999992</v>
      </c>
      <c r="K224" s="3">
        <f>0+(679-25)+(0+(0-0))+0-0-0</f>
        <v>654</v>
      </c>
      <c r="L224" s="3">
        <f>0+(724.3-25.6)+(0+(0-0))+0-0-0</f>
        <v>698.69999999999993</v>
      </c>
      <c r="M224" s="3">
        <f>0+(688.1-17)+(0+(1.403724-0.03468))+0-0-0</f>
        <v>672.46904400000005</v>
      </c>
      <c r="N224" s="3">
        <f>0+(867.3-62.6)+(0+(0.442323-0.031926))+0-0-0</f>
        <v>805.11039699999992</v>
      </c>
      <c r="O224" s="3">
        <f>0+(1006.2-164.3)+(0+(-0.513162--0.083793))+0-0-0</f>
        <v>841.47063100000014</v>
      </c>
      <c r="P224" s="3">
        <f>0+(1069.6-207)+(0+(1.090992-0.21114))+0-0-0</f>
        <v>863.47985199999994</v>
      </c>
      <c r="Q224" s="3">
        <f>0+(1046.9-222.7)+(0+(0-0))+0-0-0</f>
        <v>824.2</v>
      </c>
      <c r="R224" s="3">
        <f>0+(992.8-197)+(0+(-2.53164--0.50235))+0-0-0</f>
        <v>793.77071000000001</v>
      </c>
      <c r="S224" s="3">
        <f>0+(948-158.5)+(0+(0-0))+0-0-0</f>
        <v>789.5</v>
      </c>
      <c r="T224" s="3">
        <f>0+(936.5-155.6)+(0+(0.477615-0.079356))+0-0-0</f>
        <v>781.29825900000003</v>
      </c>
      <c r="U224" s="3">
        <f>0+(941-171.2)+(0+(-0.95982--0.174624))+0-0-0</f>
        <v>769.01480399999991</v>
      </c>
      <c r="V224" s="3">
        <f>0+(980.9-177.7)+(0+(1.500777-0.271881))+0-0-0</f>
        <v>804.42889600000001</v>
      </c>
      <c r="W224" s="3">
        <f>0+(1134.9-280.6)+(0+(1.157598-0.286212))+0-0-0</f>
        <v>855.1713860000001</v>
      </c>
      <c r="X224" s="3">
        <f>0+(1017-206.4)+(0+(-1.55601--0.315792))+0-0-0</f>
        <v>809.359782</v>
      </c>
      <c r="Y224" s="3">
        <f>0+(911.7-131.1)+(0+(-1.859868--0.267444))+0-0-0</f>
        <v>779.00757599999997</v>
      </c>
      <c r="Z224" s="3">
        <f>0+(876.7-118.1)+(0+(-1.341351--0.180693))+0-0-0</f>
        <v>757.43934200000001</v>
      </c>
      <c r="AA224" s="3">
        <f>0+(817.6-85.5)+(0+(-1.667904--0.17442))+0-0-0</f>
        <v>730.60651600000006</v>
      </c>
      <c r="AB224" s="3">
        <f>0+(814.4-64.4)+(0+(-2.07672--0.16422))+0-0-0</f>
        <v>748.08749999999998</v>
      </c>
      <c r="AC224" s="3">
        <f>0+(756.2-69.5)+(0+(-1.156986--0.106335))+0-0-0</f>
        <v>685.64934900000003</v>
      </c>
      <c r="AD224">
        <v>844.40000000000009</v>
      </c>
      <c r="AE224" s="3">
        <f>0+(1034.7-190.3)+(0+(0-0))+0-0-0</f>
        <v>844.40000000000009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0+(683.2-33.9)+(0+(-2.090592--0.103734))+0-0-0</f>
        <v>647.31314200000008</v>
      </c>
      <c r="G225" s="3">
        <f>0+(680.6-23)+(0+(-1.041318--0.03519))+0-0-0</f>
        <v>656.59387200000003</v>
      </c>
      <c r="H225" s="3">
        <f>0+(703.8-70)+(0+(-1.076814--0.1071))+0-0-0</f>
        <v>632.830286</v>
      </c>
      <c r="I225" s="3">
        <f>0+(703.6-13)+(0+(-0.717672--0.01326))+0-0-0</f>
        <v>689.89558799999998</v>
      </c>
      <c r="J225" s="3">
        <f>0+(646.5-11)+(0+(1.648575-0.02805))+0-0-0</f>
        <v>637.12052500000004</v>
      </c>
      <c r="K225" s="3">
        <f>0+(654.5-7)+(0+(0.333795-0.00357))+0-0-0</f>
        <v>647.83022500000004</v>
      </c>
      <c r="L225" s="3">
        <f>0+(703.2-13.5)+(0+(-0.358632--0.006885))+0-0-0</f>
        <v>689.348253</v>
      </c>
      <c r="M225" s="3">
        <f>0+(728.4-20)+(0+(0.742968-0.0204))+0-0-0</f>
        <v>709.122568</v>
      </c>
      <c r="N225" s="3">
        <f>0+(870.6-52.7)+(0+(0.444006-0.026877))+0-0-0</f>
        <v>818.31712900000002</v>
      </c>
      <c r="O225" s="3">
        <f>0+(990.2-165.9)+(0+(1.515006-0.253827))+0-0-0</f>
        <v>825.56117900000004</v>
      </c>
      <c r="P225" s="3">
        <f>0+(1011.5-200.7)+(0+(1.547595-0.307071))+0-0-0</f>
        <v>812.040524</v>
      </c>
      <c r="Q225" s="3">
        <f>0+(925.3-169.1)+(0+(-2.359515--0.431205))+0-0-0</f>
        <v>754.27168999999992</v>
      </c>
      <c r="R225" s="3">
        <f>0+(1009.6-209.8)+(0+(-2.059584--0.427992))+0-0-0</f>
        <v>798.168408</v>
      </c>
      <c r="S225" s="3">
        <f>0+(870.2-82.9)+(0+(-1.775208--0.169116))+0-0-0</f>
        <v>785.69390800000008</v>
      </c>
      <c r="T225" s="3">
        <f>0+(863.7-69.4)+(0+(0.440487-0.035394))+0-0-0</f>
        <v>794.70509300000003</v>
      </c>
      <c r="U225" s="3">
        <f>0+(857-92.7)+(0+(-2.62242--0.283662))+0-0-0</f>
        <v>761.96124199999997</v>
      </c>
      <c r="V225" s="3">
        <f>0+(894.6-72.1)+(0+(1.368738-0.110313))+0-0-0</f>
        <v>823.75842499999999</v>
      </c>
      <c r="W225" s="3">
        <f>0+(996.3-116.9)+(0+(2.032452-0.238476))+0-0-0</f>
        <v>881.19397600000002</v>
      </c>
      <c r="X225" s="3">
        <f>0+(969.4-140.8)+(0+(-2.47197--0.35904))+0-0-0</f>
        <v>826.4870699999999</v>
      </c>
      <c r="Y225" s="3">
        <f>0+(1031.2-185.1)+(0+(-2.62956--0.472005))+0-0-0</f>
        <v>843.94244500000002</v>
      </c>
      <c r="Z225" s="3">
        <f>0+(1066.4-268.3)+(0+(-2.175456--0.547332))+0-0-0</f>
        <v>796.47187600000018</v>
      </c>
      <c r="AA225" s="3">
        <f>0+(1032.3-248.1)+(0+(-2.632365--0.632655))+0-0-0</f>
        <v>782.20028999999988</v>
      </c>
      <c r="AB225" s="3">
        <f>0+(942.5-193.5)+(0+(0.96135-0.19737))+0-0-0</f>
        <v>749.76397999999995</v>
      </c>
      <c r="AC225" s="3">
        <f>0+(834.6-124.2)+(0+(-1.702584--0.253368))+0-0-0</f>
        <v>708.950784</v>
      </c>
      <c r="AD225">
        <v>811.1</v>
      </c>
      <c r="AE225" s="3">
        <f>0+(1000.6-189.5)+(0+(0-0))+0-0-0</f>
        <v>811.1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0+(773.1-97.1)+(0+(-1.577124--0.198084))+0-0-0</f>
        <v>674.62095999999997</v>
      </c>
      <c r="G226" s="3">
        <f>0+(778.3-54.4)+(0+(-1.587732--0.110976))+0-0-0</f>
        <v>722.42324399999995</v>
      </c>
      <c r="H226" s="3">
        <f>0+(721.2-73)+(0+(0-0))+0-0-0</f>
        <v>648.20000000000005</v>
      </c>
      <c r="I226" s="3">
        <f>0+(739-76.9)+(0+(-1.50756--0.156876))+0-0-0</f>
        <v>660.74931600000002</v>
      </c>
      <c r="J226" s="3">
        <f>0+(726.4-95.1)+(0+(1.111392-0.145503))+0-0-0</f>
        <v>632.2658889999999</v>
      </c>
      <c r="K226" s="3">
        <f>0+(716.9-61.2)+(0+(0.365619-0.031212))+0-0-0</f>
        <v>656.03440699999999</v>
      </c>
      <c r="L226" s="3">
        <f>0+(760.7-99.2)+(0+(-0.775914--0.101184))+0-0-0</f>
        <v>660.82527000000005</v>
      </c>
      <c r="M226" s="3">
        <f>0+(875.2-133.3)+(0+(0.892704-0.135966))+0-0-0</f>
        <v>742.65673800000013</v>
      </c>
      <c r="N226" s="3">
        <f>0+(1035.6-234.7)+(0+(1.056312-0.239394))+0-0-0</f>
        <v>801.71691799999985</v>
      </c>
      <c r="O226" s="3">
        <f>0+(1018.8-203.8)+(0+(1.558764-0.311814))+0-0-0</f>
        <v>816.24694999999997</v>
      </c>
      <c r="P226" s="3">
        <f>98.4+(922.8-218.5)+(-0.25092+(-2.35314--0.557175))+0-0-0</f>
        <v>800.65311499999996</v>
      </c>
      <c r="Q226" s="3">
        <f>127.6+(888.5-205.2)+(-0.195228+(-1.359405--0.313956))+0-0-0</f>
        <v>809.65932299999997</v>
      </c>
      <c r="R226" s="3">
        <f>124.3+(855.7-195.5)+(-0.253572+(-1.745628--0.39882))+0-0-0</f>
        <v>782.89962000000003</v>
      </c>
      <c r="S226" s="3">
        <f>53.4+(850.9-165.3)+(0.054468+(0.867918-0.168606))+0-0-0</f>
        <v>739.75377999999989</v>
      </c>
      <c r="T226" s="3">
        <f>48+(839.9-129)+(-0.07344+(-1.285047--0.19737))+0-0-0</f>
        <v>757.73888299999999</v>
      </c>
      <c r="U226" s="3">
        <f>48.1+(876.4-138.6)+(-0.073593+(-1.340892--0.212058))+0-0-0</f>
        <v>784.69757300000003</v>
      </c>
      <c r="V226" s="3">
        <f>48.1+(1028.7-240.9)+(0.024531+(0.524637-0.122859))+0-0-0</f>
        <v>836.32630900000004</v>
      </c>
      <c r="W226" s="3">
        <f>113.4+(953.7-242.8)+(0.057834+(0.486387-0.123828))+0-0-0</f>
        <v>824.72039300000006</v>
      </c>
      <c r="X226" s="3">
        <f>129.5+(926.2-260.4)+(-0.198135+(-1.417086--0.398412))+0-0-0</f>
        <v>794.08319100000006</v>
      </c>
      <c r="Y226" s="3">
        <f>129.1+(894.7-228.7)+(-0.329205+(-2.281485--0.583185))+0-0-0</f>
        <v>793.072495</v>
      </c>
      <c r="Z226" s="3">
        <f>130.1+(836-191.8)+(-0.066351+(-0.42636--0.097818))+0-0-0</f>
        <v>773.90510700000004</v>
      </c>
      <c r="AA226" s="3">
        <f>129.8+(807.5-162.3)+(-0.198594+(-1.235475--0.248319))+0-0-0</f>
        <v>773.81425000000002</v>
      </c>
      <c r="AB226" s="3">
        <f>63+(882.5-153.3)+(-0.09639+(-1.350225--0.234549))+0-0-0</f>
        <v>790.987934</v>
      </c>
      <c r="AC226" s="3">
        <f>0+(862-154.5)+(0+(-2.1981--0.393975))+0-0-0</f>
        <v>705.695875</v>
      </c>
      <c r="AD226">
        <v>891.49999999999989</v>
      </c>
      <c r="AE226" s="3">
        <f>130+(1010.6-249.1)+(0+(0-0))+0-0-0</f>
        <v>891.5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0+(824.2-138.2)+(0+(-0.840684--0.140964))+0-0-0</f>
        <v>685.30028000000004</v>
      </c>
      <c r="G227" s="3">
        <f>0+(789.3-102.3)+(0+(-0.402543--0.052173))+0-0-0</f>
        <v>686.64963</v>
      </c>
      <c r="H227" s="3">
        <f>0+(788.6-95.7)+(0+(-0.402186--0.048807))+0-0-0</f>
        <v>692.54662099999996</v>
      </c>
      <c r="I227" s="3">
        <f>0+(753.1-82.6)+(0+(-0.384081--0.042126))+0-0-0</f>
        <v>670.15804500000002</v>
      </c>
      <c r="J227" s="3">
        <f>0+(760-86.8)+(0+(-0.3876--0.044268))+0-0-0</f>
        <v>672.85666800000001</v>
      </c>
      <c r="K227" s="3">
        <f>0+(742.8-94.6)+(0+(0.757656-0.096492))+0-0-0</f>
        <v>648.86116399999992</v>
      </c>
      <c r="L227" s="3">
        <f>0+(814.2-133.3)+(0+(0.415242-0.067983))+0-0-0</f>
        <v>681.2472590000001</v>
      </c>
      <c r="M227" s="3">
        <f>0+(891-167.5)+(0+(1.36323-0.256275))+0-0-0</f>
        <v>724.60695499999997</v>
      </c>
      <c r="N227" s="3">
        <f>0+(1113.8-301.2)+(0+(0-0))+0-0-0</f>
        <v>812.59999999999991</v>
      </c>
      <c r="O227" s="3">
        <f>0+(1173.4-392.3)+(0+(0-0))+0-0-0</f>
        <v>781.10000000000014</v>
      </c>
      <c r="P227" s="3">
        <f>0+(1209.3-397)+(0+(0-0))+0-0-0</f>
        <v>812.3</v>
      </c>
      <c r="Q227" s="3">
        <f>0+(1150.3-320.3)+(0+(0-0))+0-0-0</f>
        <v>830</v>
      </c>
      <c r="R227" s="3">
        <f>0+(1084.6-273.9)+(0+(-1.106292--0.279378))+0-0-0</f>
        <v>809.87308599999994</v>
      </c>
      <c r="S227" s="3">
        <f>0+(993.9-247.2)+(0+(-0.506889--0.126072))+0-0-0</f>
        <v>746.31918300000007</v>
      </c>
      <c r="T227" s="3">
        <f>0+(987-209)+(0+(-0.50337--0.10659))+0-0-0</f>
        <v>777.60321999999996</v>
      </c>
      <c r="U227" s="3">
        <f>0+(973.6-195.1)+(0+(-1.489608--0.298503))+0-0-0</f>
        <v>777.30889500000001</v>
      </c>
      <c r="V227" s="3">
        <f>0+(976.5-205.6)+(0+(-0.498015--0.104856))+0-0-0</f>
        <v>770.50684100000001</v>
      </c>
      <c r="W227" s="3">
        <f>0+(1073.7-231.1)+(0+(0-0))+0-0-0</f>
        <v>842.6</v>
      </c>
      <c r="X227" s="3">
        <f>0+(1037.6-217.7)+(0+(-2.116704--0.444108))+0-0-0</f>
        <v>818.22740399999986</v>
      </c>
      <c r="Y227" s="3">
        <f>0+(959.9-144.9)+(0+(-0.979098--0.147798))+0-0-0</f>
        <v>814.16869999999994</v>
      </c>
      <c r="Z227" s="3">
        <f>0+(901.9-113.3)+(0+(0-0))+0-0-0</f>
        <v>788.6</v>
      </c>
      <c r="AA227" s="3">
        <f>0+(849.7-74.8)+(0+(-1.300041--0.114444))+0-0-0</f>
        <v>773.71440300000006</v>
      </c>
      <c r="AB227" s="3">
        <f>0+(882-117)+(0+(-1.34946--0.17901))+0-0-0</f>
        <v>763.82955000000004</v>
      </c>
      <c r="AC227" s="3">
        <f>0+(823-122.7)+(0+(-1.25919--0.187731))+0-0-0</f>
        <v>699.22854099999995</v>
      </c>
      <c r="AD227">
        <v>811.3</v>
      </c>
      <c r="AE227" s="3">
        <f>0+(1153.8-342.5)+(0+(0-0))+0-0-0</f>
        <v>811.3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0+(796.1-63.7)+(0+(0-0))+0-0-0</f>
        <v>732.4</v>
      </c>
      <c r="G228" s="3">
        <f>0+(752-72.6)+(0+(-0.76704--0.074052))+0-0-0</f>
        <v>678.70701199999996</v>
      </c>
      <c r="H228" s="3">
        <f>0+(726.4-76.4)+(0+(-1.85232--0.19482))+0-0-0</f>
        <v>648.34249999999997</v>
      </c>
      <c r="I228" s="3">
        <f>0+(737.8-70.8)+(0+(0-0))+0-0-0</f>
        <v>667</v>
      </c>
      <c r="J228" s="3">
        <f>0+(727.9-73.1)+(0+(0-0))+0-0-0</f>
        <v>654.79999999999995</v>
      </c>
      <c r="K228" s="3">
        <f>0+(723-79.6)+(0+(0.36873-0.040596))+0-0-0</f>
        <v>643.72813399999995</v>
      </c>
      <c r="L228" s="3">
        <f>0+(766-96.5)+(0+(-1.17198--0.147645))+0-0-0</f>
        <v>668.47566500000005</v>
      </c>
      <c r="M228" s="3">
        <f>0+(792.7-166.8)+(0+(-0.404277--0.085068))+0-0-0</f>
        <v>625.58079100000009</v>
      </c>
      <c r="N228" s="3">
        <f>0+(922.4-95.3)+(0+(0.470424-0.048603))+0-0-0</f>
        <v>827.52182100000005</v>
      </c>
      <c r="O228" s="3">
        <f>0+(1036.7-215)+(0+(0.528717-0.10965))+0-0-0</f>
        <v>822.11906700000009</v>
      </c>
      <c r="P228" s="3">
        <f>0+(1062.5-268.7)+(0+(0.541875-0.137037))+0-0-0</f>
        <v>794.204838</v>
      </c>
      <c r="Q228" s="3">
        <f>0+(1092.1-279.2)+(0+(0-0))+0-0-0</f>
        <v>812.89999999999986</v>
      </c>
      <c r="R228" s="3">
        <f>0+(1004-266.7)+(0+(-0.51204--0.136017))+0-0-0</f>
        <v>736.92397699999992</v>
      </c>
      <c r="S228" s="3">
        <f>0+(967.6-220.3)+(0+(-1.480428--0.337059))+0-0-0</f>
        <v>746.15663099999995</v>
      </c>
      <c r="T228" s="3">
        <f>0+(950.3-203.1)+(0+(0.969306-0.207162))+0-0-0</f>
        <v>747.96214399999997</v>
      </c>
      <c r="U228" s="3">
        <f>0+(983.6-215.4)+(0+(-1.003272--0.219708))+0-0-0</f>
        <v>767.41643600000009</v>
      </c>
      <c r="V228" s="3">
        <f>0+(1003.5-246.5)+(0+(0-0))+0-0-0</f>
        <v>757</v>
      </c>
      <c r="W228" s="3">
        <f>0+(1065.4-255.5)+(0+(1.086708-0.26061))+0-0-0</f>
        <v>810.72609800000009</v>
      </c>
      <c r="X228" s="3">
        <f>0+(1029.8-208.9)+(0+(0-0))+0-0-0</f>
        <v>820.9</v>
      </c>
      <c r="Y228" s="3">
        <f>0+(956.1-159.7)+(0+(-2.925666--0.488682))+0-0-0</f>
        <v>793.96301600000004</v>
      </c>
      <c r="Z228" s="3">
        <f>0+(926.5-128.7)+(0+(-0.94503--0.131274))+0-0-0</f>
        <v>796.98624399999994</v>
      </c>
      <c r="AA228" s="3">
        <f>0+(858.5-99.7)+(0+(-1.313505--0.152541))+0-0-0</f>
        <v>757.63903599999992</v>
      </c>
      <c r="AB228" s="3">
        <f>0+(780.7-84.1)+(0+(-1.194471--0.128673))+0-0-0</f>
        <v>695.53420200000005</v>
      </c>
      <c r="AC228" s="3">
        <f>0+(764.4-68.7)+(0+(-1.94922--0.175185))+0-0-0</f>
        <v>693.92596499999991</v>
      </c>
      <c r="AD228">
        <v>832</v>
      </c>
      <c r="AE228" s="3">
        <f>0+(1052.3-220.3)+(0+(0-0))+0-0-0</f>
        <v>832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0+(732.5-53.6)+(0+(0-0))+0-0-0</f>
        <v>678.9</v>
      </c>
      <c r="G229" s="3">
        <f>0+(774.6-123.1)+(0+(-0.395046--0.062781))+0-0-0</f>
        <v>651.16773499999999</v>
      </c>
      <c r="H229" s="3">
        <f>0+(754.6-61.9)+(0+(0-0))+0-0-0</f>
        <v>692.7</v>
      </c>
      <c r="I229" s="3">
        <f>0+(716.3-66.4)+(0+(0-0))+0-0-0</f>
        <v>649.9</v>
      </c>
      <c r="J229" s="3">
        <f>0+(709.5-60.8)+(0+(0.361845-0.031008))+0-0-0</f>
        <v>649.03083700000002</v>
      </c>
      <c r="K229" s="3">
        <f>0+(683.6-63)+(0+(-0.697272--0.06426))+0-0-0</f>
        <v>619.96698800000001</v>
      </c>
      <c r="L229" s="3">
        <f>0+(705.4-83.8)+(0+(-1.079262--0.128214))+0-0-0</f>
        <v>620.64895200000001</v>
      </c>
      <c r="M229" s="3">
        <f>0+(676.1-66.3)+(0+(-0.344811--0.033813))+0-0-0</f>
        <v>609.48900200000003</v>
      </c>
      <c r="N229" s="3">
        <f>0+(727.3-82.1)+(0+(0.370923-0.041871))+0-0-0</f>
        <v>645.52905199999998</v>
      </c>
      <c r="O229" s="3">
        <f>0+(809.4-131.8)+(0+(0-0))+0-0-0</f>
        <v>677.59999999999991</v>
      </c>
      <c r="P229" s="3">
        <f>0+(870-182.8)+(0+(-0.8874--0.186456))+0-0-0</f>
        <v>686.499056</v>
      </c>
      <c r="Q229" s="3">
        <f>0+(898-217.6)+(0+(-1.37394--0.332928))+0-0-0</f>
        <v>679.35898799999995</v>
      </c>
      <c r="R229" s="3">
        <f>0+(897.3-209.7)+(0+(-1.372869--0.320841))+0-0-0</f>
        <v>686.54797199999996</v>
      </c>
      <c r="S229" s="3">
        <f>0+(830.8-186.7)+(0+(-1.271124--0.285651))+0-0-0</f>
        <v>643.11452699999995</v>
      </c>
      <c r="T229" s="3">
        <f>0+(823.6-165.3)+(0+(-0.840072--0.168606))+0-0-0</f>
        <v>657.62853399999995</v>
      </c>
      <c r="U229" s="3">
        <f>0+(805.7-146.8)+(0+(-0.410907--0.074868))+0-0-0</f>
        <v>658.56396100000006</v>
      </c>
      <c r="V229" s="3">
        <f>0+(858.9-160.6)+(0+(1.314117-0.245718))+0-0-0</f>
        <v>699.36839899999995</v>
      </c>
      <c r="W229" s="3">
        <f>0+(948-204.4)+(0+(1.45044-0.312732))+0-0-0</f>
        <v>744.737708</v>
      </c>
      <c r="X229" s="3">
        <f>0+(950.9-168.4)+(0+(0.484959-0.085884))+0-0-0</f>
        <v>782.89907500000004</v>
      </c>
      <c r="Y229" s="3">
        <f>0+(909.6-157.5)+(0+(0-0))+0-0-0</f>
        <v>752.1</v>
      </c>
      <c r="Z229" s="3">
        <f>0+(866.9-134.6)+(0+(0.884238-0.137292))+0-0-0</f>
        <v>733.04694599999993</v>
      </c>
      <c r="AA229" s="3">
        <f>0+(815.8-118.4)+(0+(0-0))+0-0-0</f>
        <v>697.4</v>
      </c>
      <c r="AB229" s="3">
        <f>0+(828.4-152.1)+(0+(-0.844968--0.155142))+0-0-0</f>
        <v>675.61017399999992</v>
      </c>
      <c r="AC229" s="3">
        <f>0+(802.4-140.1)+(0+(-1.227672--0.214353))+0-0-0</f>
        <v>661.28668099999993</v>
      </c>
      <c r="AD229">
        <v>802.8</v>
      </c>
      <c r="AE229" s="3">
        <f>0+(970.3-167.5)+(0+(0-0))+0-0-0</f>
        <v>802.8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0+(750.8-156.2)+(0+(0-0))+0-0-0</f>
        <v>594.59999999999991</v>
      </c>
      <c r="G230" s="3">
        <f>0+(750.5-134)+(0+(0.76551-0.13668))+0-0-0</f>
        <v>617.12882999999999</v>
      </c>
      <c r="H230" s="3">
        <f>0+(740.7-130)+(0+(0-0))+0-0-0</f>
        <v>610.70000000000005</v>
      </c>
      <c r="I230" s="3">
        <f>0+(756.9-130)+(0+(-0.772038--0.1326))+0-0-0</f>
        <v>626.26056199999994</v>
      </c>
      <c r="J230" s="3">
        <f>0+(741.1-135.6)+(0+(0-0))+0-0-0</f>
        <v>605.5</v>
      </c>
      <c r="K230" s="3">
        <f>0+(752.8-186.7)+(0+(0.383928-0.095217))+0-0-0</f>
        <v>566.38871099999994</v>
      </c>
      <c r="L230" s="3">
        <f>0+(797.2-197.5)+(0+(-0.813144--0.20145))+0-0-0</f>
        <v>599.0883060000001</v>
      </c>
      <c r="M230" s="3">
        <f>5.3+(853.2-156.9)+(0.002703+(0.435132-0.080019))+0-0-0</f>
        <v>701.95781599999998</v>
      </c>
      <c r="N230" s="3">
        <f>101.6+(814.7-132.3)+(0.155448+(1.246491-0.202419))+0-0-0</f>
        <v>785.19952000000012</v>
      </c>
      <c r="O230" s="3">
        <f>243.5+(797.1-216.8)+(-0.124185+(-0.406521--0.110568))+0-0-0</f>
        <v>823.379862</v>
      </c>
      <c r="P230" s="3">
        <f>250.9+(876.9-256.7)+(0.383877+(1.341657-0.392751))+0-0-0</f>
        <v>872.43278299999997</v>
      </c>
      <c r="Q230" s="3">
        <f>250.2+(848.8-276.8)+(0+(0-0))+0-0-0</f>
        <v>822.2</v>
      </c>
      <c r="R230" s="3">
        <f>250.5+(847.8-275.9)+(0.127755+(0.432378-0.140709))+0-0-0</f>
        <v>822.81942400000003</v>
      </c>
      <c r="S230" s="3">
        <f>250.9+(884.1-337.5)+(0.255918+(0.901782-0.34425))+0-0-0</f>
        <v>798.31344999999999</v>
      </c>
      <c r="T230" s="3">
        <f>250.4+(888.3-326.3)+(0.255408+(0.906066-0.332826))+0-0-0</f>
        <v>813.22864800000002</v>
      </c>
      <c r="U230" s="3">
        <f>249.8+(861.9-317)+(-0.127398+(-0.439569--0.16167))+0-0-0</f>
        <v>794.29470300000003</v>
      </c>
      <c r="V230" s="3">
        <f>250+(853.5-241.5)+(0+(0-0))+0-0-0</f>
        <v>862</v>
      </c>
      <c r="W230" s="3">
        <f>251.6+(910.1-313.2)+(0.256632+(0.928302-0.319464))+0-0-0</f>
        <v>849.36547000000007</v>
      </c>
      <c r="X230" s="3">
        <f>257.9+(906.7-300.3)+(0+(0-0))+0-0-0</f>
        <v>864.30000000000007</v>
      </c>
      <c r="Y230" s="3">
        <f>257.8+(865-263.5)+(0+(0-0))+0-0-0</f>
        <v>859.3</v>
      </c>
      <c r="Z230" s="3">
        <f>254.5+(791-220.5)+(-0.389385+(-1.21023--0.337365))+0-0-0</f>
        <v>823.73775000000001</v>
      </c>
      <c r="AA230" s="3">
        <f>106.9+(888.9-222.9)+(-0.163557+(-1.360017--0.341037))+0-0-0</f>
        <v>771.71746299999995</v>
      </c>
      <c r="AB230" s="3">
        <f>53.4+(934.4-234.7)+(-0.108936+(-1.906176--0.478788))+0-0-0</f>
        <v>751.56367599999999</v>
      </c>
      <c r="AC230" s="3">
        <f>0+(979-230.6)+(0+(-2.49645--0.58803))+0-0-0</f>
        <v>746.49158</v>
      </c>
      <c r="AD230">
        <v>919.50000000000011</v>
      </c>
      <c r="AE230" s="3">
        <f>257+(1009.9-347.4)+(0+(0-0))+0-0-0</f>
        <v>919.5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0+(927.8-201.3)+(0+(-0.946356--0.205326))+0-0-0</f>
        <v>725.75896999999998</v>
      </c>
      <c r="G231" s="3">
        <f>0+(820.8-100)+(0+(-2.09304--0.255))+0-0-0</f>
        <v>718.96195999999998</v>
      </c>
      <c r="H231" s="3">
        <f>0+(751.5-84.2)+(0+(0.383265-0.042942))+0-0-0</f>
        <v>667.64032299999997</v>
      </c>
      <c r="I231" s="3">
        <f>0+(774.9-98.5)+(0+(-1.185597--0.150705))+0-0-0</f>
        <v>675.36510799999996</v>
      </c>
      <c r="J231" s="3">
        <f>0+(771.7-89.7)+(0+(1.180701-0.137241))+0-0-0</f>
        <v>683.04345999999998</v>
      </c>
      <c r="K231" s="3">
        <f>0+(719.7-129.4)+(0+(-1.468188--0.263976))+0-0-0</f>
        <v>589.09578800000008</v>
      </c>
      <c r="L231" s="3">
        <f>0+(791.4-117.6)+(0+(-1.614456--0.239904))+0-0-0</f>
        <v>672.42544799999996</v>
      </c>
      <c r="M231" s="3">
        <f>12.9+(851.1-203.1)+(-0.026316+(-1.736244--0.414324))+0-0-0</f>
        <v>659.55176399999993</v>
      </c>
      <c r="N231" s="3">
        <f>124+(845.3-121)+(-0.25296+(-1.724412--0.24684))+0-0-0</f>
        <v>846.56946799999992</v>
      </c>
      <c r="O231" s="3">
        <f>238+(760.1-197.1)+(-0.48552+(-1.550604--0.402084))+0-0-0</f>
        <v>799.36595999999997</v>
      </c>
      <c r="P231" s="3">
        <f>240.5+(777.5-160)+(0+(0-0))+0-0-0</f>
        <v>858</v>
      </c>
      <c r="Q231" s="3">
        <f>239.8+(787.7-178.7)+(-0.244596+(-0.803454--0.182274))+0-0-0</f>
        <v>847.93422399999997</v>
      </c>
      <c r="R231" s="3">
        <f>239.7+(791.7-213.5)+(-0.244494+(-0.807534--0.21777))+0-0-0</f>
        <v>817.06574200000011</v>
      </c>
      <c r="S231" s="3">
        <f>239.4+(801.6-240.4)+(-0.244188+(-0.817632--0.245208))+0-0-0</f>
        <v>799.78338800000006</v>
      </c>
      <c r="T231" s="3">
        <f>240.2+(757-196.7)+(-0.122502+(-0.38607--0.100317))+0-0-0</f>
        <v>800.09174499999995</v>
      </c>
      <c r="U231" s="3">
        <f>239.3+(768.2-176.6)+(-0.122043+(-0.391782--0.090066))+0-0-0</f>
        <v>830.47624100000007</v>
      </c>
      <c r="V231" s="3">
        <f>240.8+(785.7-164.1)+(0.245616+(0.801414-0.167382))+0-0-0</f>
        <v>863.27964800000007</v>
      </c>
      <c r="W231" s="3">
        <f>239.2+(797.4-215.9)+(-0.243984+(-0.813348--0.220218))+0-0-0</f>
        <v>819.862886</v>
      </c>
      <c r="X231" s="3">
        <f>187.6+(954.2-217.4)+(-0.287028+(-1.459926--0.332622))+0-0-0</f>
        <v>922.98566800000015</v>
      </c>
      <c r="Y231" s="3">
        <f>96.1+(927.3-168.1)+(-0.098022+(-0.945846--0.171462))+0-0-0</f>
        <v>854.427594</v>
      </c>
      <c r="Z231" s="3">
        <f>25+(929.9-137.3)+(-0.01275+(-0.474249--0.070023))+0-0-0</f>
        <v>817.18302399999993</v>
      </c>
      <c r="AA231" s="3">
        <f>0+(870.8-117.2)+(0+(-1.332324--0.179316))+0-0-0</f>
        <v>752.44699199999991</v>
      </c>
      <c r="AB231" s="3">
        <f>0+(901.9-118.1)+(0+(-0.919938--0.120462))+0-0-0</f>
        <v>783.00052399999993</v>
      </c>
      <c r="AC231" s="3">
        <f>0+(816.3-108.4)+(0+(-1.665252--0.221136))+0-0-0</f>
        <v>706.45588399999997</v>
      </c>
      <c r="AD231">
        <v>823.8</v>
      </c>
      <c r="AE231" s="3">
        <f>244+(840.1-260.3)+(0+(0-0))+0-0-0</f>
        <v>823.8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0+(843.2-72.5)+(0+(-0.430032--0.036975))+0-0-0</f>
        <v>770.30694300000005</v>
      </c>
      <c r="G232" s="3">
        <f>0+(846.7-126)+(0+(0.431817-0.06426))+0-0-0</f>
        <v>721.06755700000008</v>
      </c>
      <c r="H232" s="3">
        <f>0+(814.9-117.6)+(0+(0-0))+0-0-0</f>
        <v>697.3</v>
      </c>
      <c r="I232" s="3">
        <f>0+(789.3-140.9)+(0+(-0.805086--0.143718))+0-0-0</f>
        <v>647.73863199999994</v>
      </c>
      <c r="J232" s="3">
        <f>0+(786.7-135.2)+(0+(0.401217-0.068952))+0-0-0</f>
        <v>651.83226500000001</v>
      </c>
      <c r="K232" s="3">
        <f>0+(789.8-147.4)+(0+(-0.805596--0.150348))+0-0-0</f>
        <v>641.74475199999995</v>
      </c>
      <c r="L232" s="3">
        <f>0+(801.6-195.5)+(0+(0.408816-0.099705))+0-0-0</f>
        <v>606.40911100000005</v>
      </c>
      <c r="M232" s="3">
        <f>0+(889.1-228.9)+(0+(-0.453441--0.116739))+0-0-0</f>
        <v>659.8632980000001</v>
      </c>
      <c r="N232" s="3">
        <f>0+(921.1-243.4)+(0+(0.939522-0.248268))+0-0-0</f>
        <v>678.391254</v>
      </c>
      <c r="O232" s="3">
        <f>0+(999-274.9)+(0+(-0.50949--0.140199))+0-0-0</f>
        <v>723.73070900000005</v>
      </c>
      <c r="P232" s="3">
        <f>0+(1043.8-324.2)+(0+(-2.66169--0.82671))+0-0-0</f>
        <v>717.76501999999994</v>
      </c>
      <c r="Q232" s="3">
        <f>0+(1031.4-337)+(0+(-1.052028--0.34374))+0-0-0</f>
        <v>693.69171200000005</v>
      </c>
      <c r="R232" s="3">
        <f>0+(996.1-327.2)+(0+(-2.032044--0.667488))+0-0-0</f>
        <v>667.5354440000001</v>
      </c>
      <c r="S232" s="3">
        <f>0+(949-308.9)+(0+(-1.93596--0.630156))+0-0-0</f>
        <v>638.79419600000006</v>
      </c>
      <c r="T232" s="3">
        <f>0+(923.6-253.6)+(0+(-0.471036--0.129336))+0-0-0</f>
        <v>669.65830000000005</v>
      </c>
      <c r="U232" s="3">
        <f>0+(913.6-226.1)+(0+(0-0))+0-0-0</f>
        <v>687.5</v>
      </c>
      <c r="V232" s="3">
        <f>0+(958.1-216.8)+(0+(-1.465893--0.331704))+0-0-0</f>
        <v>740.16581099999996</v>
      </c>
      <c r="W232" s="3">
        <f>0+(1047.5-287.2)+(0+(-0.534225--0.146472))+0-0-0</f>
        <v>759.91224699999998</v>
      </c>
      <c r="X232" s="3">
        <f>0+(1069.8-274.9)+(0+(-2.182392--0.560796))+0-0-0</f>
        <v>793.27840400000002</v>
      </c>
      <c r="Y232" s="3">
        <f>0+(997.7-264)+(0+(-1.526481--0.40392))+0-0-0</f>
        <v>732.57743900000003</v>
      </c>
      <c r="Z232" s="3">
        <f>0+(929.3-191.2)+(0+(-1.421829--0.292536))+0-0-0</f>
        <v>736.97070699999995</v>
      </c>
      <c r="AA232" s="3">
        <f>0+(817.9-127.3)+(0+(-2.085645--0.324615))+0-0-0</f>
        <v>688.83897000000002</v>
      </c>
      <c r="AB232" s="3">
        <f>0+(817.3-105.1)+(0+(-0.833646--0.107202))+0-0-0</f>
        <v>711.47355599999992</v>
      </c>
      <c r="AC232" s="3">
        <f>0+(769.5-113.1)+(0+(-1.962225--0.288405))+0-0-0</f>
        <v>654.72618</v>
      </c>
      <c r="AD232">
        <v>726.8</v>
      </c>
      <c r="AE232" s="3">
        <f>0+(1078.8-352)+(0+(0-0))+0-0-0</f>
        <v>726.8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0+(770.1-126.4)+(0+(-0.785502--0.128928))+0-0-0</f>
        <v>643.04342600000007</v>
      </c>
      <c r="G233" s="3">
        <f>0+(798-164.5)+(0+(0-0))+0-0-0</f>
        <v>633.5</v>
      </c>
      <c r="H233" s="3">
        <f>0+(802.6-161.8)+(0+(-0.818652--0.165036))+0-0-0</f>
        <v>640.1463839999999</v>
      </c>
      <c r="I233" s="3">
        <f>0+(788.2-152.3)+(0+(-2.00991--0.388365))+0-0-0</f>
        <v>634.27845500000012</v>
      </c>
      <c r="J233" s="3">
        <f>0+(774.3-131.9)+(0+(0.394893-0.067269))+0-0-0</f>
        <v>642.72762399999999</v>
      </c>
      <c r="K233" s="3">
        <f>0+(782.2-189)+(0+(0-0))+0-0-0</f>
        <v>593.20000000000005</v>
      </c>
      <c r="L233" s="3">
        <f>0+(837.3-170.8)+(0+(0.854046-0.174216))+0-0-0</f>
        <v>667.17983000000004</v>
      </c>
      <c r="M233" s="3">
        <f>0+(858.3-146.1)+(0+(0.875466-0.149022))+0-0-0</f>
        <v>712.92644399999995</v>
      </c>
      <c r="N233" s="3">
        <f>0+(887.4-46.6)+(0+(0-0))+0-0-0</f>
        <v>840.8</v>
      </c>
      <c r="O233" s="3">
        <f>0+(962.7-109.3)+(0+(0.981954-0.111486))+0-0-0</f>
        <v>854.27046800000005</v>
      </c>
      <c r="P233" s="3">
        <f>0+(1013-143.8)+(0+(0.51663-0.073338))+0-0-0</f>
        <v>869.64329200000009</v>
      </c>
      <c r="Q233" s="3">
        <f>0+(1002.1-159.3)+(0+(0.511071-0.081243))+0-0-0</f>
        <v>843.229828</v>
      </c>
      <c r="R233" s="3">
        <f>0+(972.4-150.3)+(0+(-1.983696--0.306612))+0-0-0</f>
        <v>820.42291599999987</v>
      </c>
      <c r="S233" s="3">
        <f>0+(939-142.9)+(0+(-1.91556--0.291516))+0-0-0</f>
        <v>794.475956</v>
      </c>
      <c r="T233" s="3">
        <f>0+(910.9-116.7)+(0+(-1.393677--0.178551))+0-0-0</f>
        <v>792.98487399999988</v>
      </c>
      <c r="U233" s="3">
        <f>0+(877.9-109.7)+(0+(-0.447729--0.055947))+0-0-0</f>
        <v>767.8082179999999</v>
      </c>
      <c r="V233" s="3">
        <f>0+(837.2-60.6)+(0+(0.426972-0.030906))+0-0-0</f>
        <v>776.99606600000004</v>
      </c>
      <c r="W233" s="3">
        <f>0+(963.7-124)+(0+(-0.982974--0.12648))+0-0-0</f>
        <v>838.84350600000005</v>
      </c>
      <c r="X233" s="3">
        <f>0+(946.7-110.2)+(0+(-2.896902--0.337212))+0-0-0</f>
        <v>833.94030999999995</v>
      </c>
      <c r="Y233" s="3">
        <f>0+(916-81.6)+(0+(-1.40148--0.124848))+0-0-0</f>
        <v>833.12336800000003</v>
      </c>
      <c r="Z233" s="3">
        <f>0+(883.8-71.6)+(0+(-0.450738--0.036516))+0-0-0</f>
        <v>811.78577799999994</v>
      </c>
      <c r="AA233" s="3">
        <f>0+(843.9-57.7)+(0+(-2.151945--0.147135))+0-0-0</f>
        <v>784.19518999999991</v>
      </c>
      <c r="AB233" s="3">
        <f>0+(890.1-82)+(0+(-1.361853--0.12546))+0-0-0</f>
        <v>806.863607</v>
      </c>
      <c r="AC233" s="3">
        <f>0+(946.2-74.1)+(0+(-0.965124--0.075582))+0-0-0</f>
        <v>871.21045800000002</v>
      </c>
      <c r="AD233">
        <v>859.6</v>
      </c>
      <c r="AE233" s="3">
        <f>0+(1044.5-184.9)+(0+(0-0))+0-0-0</f>
        <v>859.6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0+(747.1-101.8)+(0+(-0.381021--0.051918))+0-0-0</f>
        <v>644.97089700000004</v>
      </c>
      <c r="G234" s="3">
        <f>0+(761.5-87.7)+(0+(-1.941825--0.223635))+0-0-0</f>
        <v>672.0818099999999</v>
      </c>
      <c r="H234" s="3">
        <f>0+(741.6-74.2)+(0+(-0.378216--0.037842))+0-0-0</f>
        <v>667.05962599999998</v>
      </c>
      <c r="I234" s="3">
        <f>0+(752.9-88.1)+(0+(-1.535916--0.179724))+0-0-0</f>
        <v>663.44380799999999</v>
      </c>
      <c r="J234" s="3">
        <f>0+(768.4-109.1)+(0+(-0.391884--0.055641))+0-0-0</f>
        <v>658.96375699999999</v>
      </c>
      <c r="K234" s="3">
        <f>0+(779.9-119.3)+(0+(-0.397749--0.060843))+0-0-0</f>
        <v>660.26309400000002</v>
      </c>
      <c r="L234" s="3">
        <f>0+(793.4-115.6)+(0+(-0.404634--0.058956))+0-0-0</f>
        <v>677.45432199999993</v>
      </c>
      <c r="M234" s="3">
        <f>0+(798.7-106.3)+(0+(0-0))+0-0-0</f>
        <v>692.40000000000009</v>
      </c>
      <c r="N234" s="3">
        <f>0+(797.8-36.4)+(0+(-0.406878--0.018564))+0-0-0</f>
        <v>761.01168599999994</v>
      </c>
      <c r="O234" s="3">
        <f>0+(837.8-47.3)+(0+(-0.854556--0.048246))+0-0-0</f>
        <v>789.69368999999995</v>
      </c>
      <c r="P234" s="3">
        <f>0+(885.3-70.6)+(0+(0-0))+0-0-0</f>
        <v>814.69999999999993</v>
      </c>
      <c r="Q234" s="3">
        <f>0+(898.9-83.4)+(0+(-0.458439--0.042534))+0-0-0</f>
        <v>815.08409500000005</v>
      </c>
      <c r="R234" s="3">
        <f>0+(883.4-81.9)+(0+(-0.450534--0.041769))+0-0-0</f>
        <v>801.09123499999998</v>
      </c>
      <c r="S234" s="3">
        <f>0+(856.3-62)+(0+(-1.310139--0.09486))+0-0-0</f>
        <v>793.08472099999994</v>
      </c>
      <c r="T234" s="3">
        <f>0+(826.4-45.4)+(0+(0.421464-0.023154))+0-0-0</f>
        <v>781.39831000000004</v>
      </c>
      <c r="U234" s="3">
        <f>0+(805.9-41.1)+(0+(-0.822018--0.041922))+0-0-0</f>
        <v>764.019904</v>
      </c>
      <c r="V234" s="3">
        <f>0+(828.5-59.1)+(0+(0-0))+0-0-0</f>
        <v>769.4</v>
      </c>
      <c r="W234" s="3">
        <f>0+(969.2-120.6)+(0+(-0.988584--0.123012))+0-0-0</f>
        <v>847.73442799999998</v>
      </c>
      <c r="X234" s="3">
        <f>0+(953.2-96.3)+(0+(-1.458396--0.147339))+0-0-0</f>
        <v>855.58894300000009</v>
      </c>
      <c r="Y234" s="3">
        <f>0+(896.1-66)+(0+(-1.828044--0.13464))+0-0-0</f>
        <v>828.40659600000004</v>
      </c>
      <c r="Z234" s="3">
        <f>0+(837.9-39.6)+(0+(-0.427329--0.020196))+0-0-0</f>
        <v>797.89286699999991</v>
      </c>
      <c r="AA234" s="3">
        <f>0+(819.5-34.4)+(0+(-1.253835--0.052632))+0-0-0</f>
        <v>783.89879700000006</v>
      </c>
      <c r="AB234" s="3">
        <f>0+(805.9-39.3)+(0+(0-0))+0-0-0</f>
        <v>766.6</v>
      </c>
      <c r="AC234" s="3">
        <f>0+(759.8-22.2)+(0+(-1.93749--0.05661))+0-0-0</f>
        <v>735.71911999999986</v>
      </c>
      <c r="AD234">
        <v>860.2</v>
      </c>
      <c r="AE234" s="3">
        <f>0+(1027.5-167.3)+(0+(0-0))+0-0-0</f>
        <v>860.2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0+(722.4-40.4)+(0+(0-0))+0-0-0</f>
        <v>682</v>
      </c>
      <c r="G235" s="3">
        <f>0+(679.7-18)+(0+(0-0))+0-0-0</f>
        <v>661.7</v>
      </c>
      <c r="H235" s="3">
        <f>0+(673.8-18.5)+(0+(-0.343638--0.009435))+0-0-0</f>
        <v>654.96579699999995</v>
      </c>
      <c r="I235" s="3">
        <f>0+(684.8-28)+(0+(0-0))+0-0-0</f>
        <v>656.8</v>
      </c>
      <c r="J235" s="3">
        <f>0+(663.1-14)+(0+(0.338181-0.00714))+0-0-0</f>
        <v>649.43104100000005</v>
      </c>
      <c r="K235" s="3">
        <f>0+(649.1-13)+(0+(1.655205-0.03315))+0-0-0</f>
        <v>637.72205500000007</v>
      </c>
      <c r="L235" s="3">
        <f>0+(629.7-15)+(0+(-0.963441--0.02295))+0-0-0</f>
        <v>613.75950900000009</v>
      </c>
      <c r="M235" s="3">
        <f>0+(659.3-41.5)+(0+(1.008729-0.063495))+0-0-0</f>
        <v>618.74523399999998</v>
      </c>
      <c r="N235" s="3">
        <f>0+(780-68)+(0+(1.5912-0.13872))+0-0-0</f>
        <v>713.45248000000004</v>
      </c>
      <c r="O235" s="3">
        <f>89.9+(759.1-96.3)+(-0.045849+(-0.387141--0.049113))+0-0-0</f>
        <v>752.31612300000006</v>
      </c>
      <c r="P235" s="3">
        <f>128.2+(753.1-108.9)+(-0.065382+(-0.384081--0.055539))+0-0-0</f>
        <v>772.00607600000012</v>
      </c>
      <c r="Q235" s="3">
        <f>128+(756.4-113)+(0+(0-0))+0-0-0</f>
        <v>771.4</v>
      </c>
      <c r="R235" s="3">
        <f>108.5+(745.3-112.6)+(-0.276675+(-1.900515--0.28713))+0-0-0</f>
        <v>739.30993999999998</v>
      </c>
      <c r="S235" s="3">
        <f>69.4+(791.8-148.6)+(-0.106182+(-1.211454--0.227358))+0-0-0</f>
        <v>711.5097219999999</v>
      </c>
      <c r="T235" s="3">
        <f>70.3+(778.4-150.4)+(0.107559+(1.190952-0.230112))+0-0-0</f>
        <v>699.36839899999995</v>
      </c>
      <c r="U235" s="3">
        <f>69.5+(820.7-164.7)+(-0.07089+(-0.837114--0.167994))+0-0-0</f>
        <v>724.75999000000002</v>
      </c>
      <c r="V235" s="3">
        <f>90.4+(793.2-165.6)+(-0.046104+(-0.404532--0.084456))+0-0-0</f>
        <v>717.63382000000001</v>
      </c>
      <c r="W235" s="3">
        <f>125.4+(799.3-140.1)+(0.127908+(0.815286-0.142902))+0-0-0</f>
        <v>785.40029199999992</v>
      </c>
      <c r="X235" s="3">
        <f>124.2+(820.7-141.1)+(-0.063342+(-0.418557--0.071961))+0-0-0</f>
        <v>803.39006200000006</v>
      </c>
      <c r="Y235" s="3">
        <f>123.2+(748-127.3)+(0+(0-0))+0-0-0</f>
        <v>743.90000000000009</v>
      </c>
      <c r="Z235" s="3">
        <f>119.6+(759.2-104.7)+(-0.243984+(-1.548768--0.213588))+0-0-0</f>
        <v>772.52083600000003</v>
      </c>
      <c r="AA235" s="3">
        <f>119.4+(716.7-69.9)+(-0.121788+(-0.731034--0.071298))+0-0-0</f>
        <v>765.41847600000006</v>
      </c>
      <c r="AB235" s="3">
        <f>74.3+(730.7-68)+(-0.113679+(-1.117971--0.10404))+0-0-0</f>
        <v>735.87239</v>
      </c>
      <c r="AC235" s="3">
        <f>0+(784.4-63.6)+(0+(-0.400044--0.032436))+0-0-0</f>
        <v>720.43239199999994</v>
      </c>
      <c r="AD235">
        <v>827.90000000000009</v>
      </c>
      <c r="AE235" s="3">
        <f>125+(901.4-198.5)+(0+(0-0))+0-0-0</f>
        <v>827.9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0+(752.6-57.1)+(0+(-0.767652--0.058242))+0-0-0</f>
        <v>694.79058999999995</v>
      </c>
      <c r="G236" s="3">
        <f>0+(758.6-96.6)+(0+(0-0))+0-0-0</f>
        <v>662</v>
      </c>
      <c r="H236" s="3">
        <f>0+(745.2-110.4)+(0+(1.520208-0.225216))+0-0-0</f>
        <v>636.09499200000005</v>
      </c>
      <c r="I236" s="3">
        <f>0+(731.7-93.6)+(0+(1.492668-0.190944))+0-0-0</f>
        <v>639.40172400000006</v>
      </c>
      <c r="J236" s="3">
        <f>0+(730.2-93.5)+(0+(0-0))+0-0-0</f>
        <v>636.70000000000005</v>
      </c>
      <c r="K236" s="3">
        <f>0+(734.4-110.2)+(0+(1.123632-0.168606))+0-0-0</f>
        <v>625.15502599999991</v>
      </c>
      <c r="L236" s="3">
        <f>0+(765.7-135.6)+(0+(0-0))+0-0-0</f>
        <v>630.1</v>
      </c>
      <c r="M236" s="3">
        <f>0+(774.7-165.8)+(0+(0.395097-0.084558))+0-0-0</f>
        <v>609.21053900000004</v>
      </c>
      <c r="N236" s="3">
        <f>0+(809-190.1)+(0+(0.41259-0.096951))+0-0-0</f>
        <v>619.21563900000001</v>
      </c>
      <c r="O236" s="3">
        <f>0+(786.1-139.3)+(0+(1.202733-0.213129))+0-0-0</f>
        <v>647.78960399999994</v>
      </c>
      <c r="P236" s="3">
        <f>0+(792.5-111.3)+(0+(-0.80835--0.113526))+0-0-0</f>
        <v>680.50517600000001</v>
      </c>
      <c r="Q236" s="3">
        <f>0+(851.9-128.1)+(0+(0.868938-0.130662))+0-0-0</f>
        <v>724.538276</v>
      </c>
      <c r="R236" s="3">
        <f>0+(753.4-92.1)+(0+(-1.536936--0.187884))+0-0-0</f>
        <v>659.95094799999993</v>
      </c>
      <c r="S236" s="3">
        <f>0+(675-48.1)+(0+(0-0))+0-0-0</f>
        <v>626.9</v>
      </c>
      <c r="T236" s="3">
        <f>0+(664.8-55.7)+(0+(-1.356192--0.113628))+0-0-0</f>
        <v>607.85743599999989</v>
      </c>
      <c r="U236" s="3">
        <f>0+(639.9-38.5)+(0+(-0.326349--0.019635))+0-0-0</f>
        <v>601.09328599999992</v>
      </c>
      <c r="V236" s="3">
        <f>0+(690.9-58.8)+(0+(-0.352359--0.029988))+0-0-0</f>
        <v>631.77762900000005</v>
      </c>
      <c r="W236" s="3">
        <f>0+(876.4-157.8)+(0+(0.446964-0.080478))+0-0-0</f>
        <v>718.96648599999992</v>
      </c>
      <c r="X236" s="3">
        <f>0+(913.7-167.6)+(0+(-0.931974--0.170952))+0-0-0</f>
        <v>745.338978</v>
      </c>
      <c r="Y236" s="3">
        <f>0+(891.6-151)+(0+(-0.454716--0.07701))+0-0-0</f>
        <v>740.22229400000003</v>
      </c>
      <c r="Z236" s="3">
        <f>0+(866.1-145.6)+(0+(-1.325133--0.222768))+0-0-0</f>
        <v>719.39763500000004</v>
      </c>
      <c r="AA236" s="3">
        <f>0+(846.4-128.6)+(0+(-0.431664--0.065586))+0-0-0</f>
        <v>717.43392199999994</v>
      </c>
      <c r="AB236" s="3">
        <f>0+(883.1-188.7)+(0+(-1.351143--0.288711))+0-0-0</f>
        <v>693.33756800000015</v>
      </c>
      <c r="AC236" s="3">
        <f>0+(793.5-123.7)+(0+(-0.80937--0.126174))+0-0-0</f>
        <v>669.116804</v>
      </c>
      <c r="AD236">
        <v>749.9</v>
      </c>
      <c r="AE236" s="3">
        <f>0+(929.8-179.9)+(0+(0-0))+0-0-0</f>
        <v>749.9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0+(746.5-150.5)+(0+(0.76143-0.15351))+0-0-0</f>
        <v>596.60792000000004</v>
      </c>
      <c r="G237" s="3">
        <f>0+(719.8-146.6)+(0+(0-0))+0-0-0</f>
        <v>573.19999999999993</v>
      </c>
      <c r="H237" s="3">
        <f>0+(720.1-153.6)+(0+(-0.734502--0.156672))+0-0-0</f>
        <v>565.92217000000005</v>
      </c>
      <c r="I237" s="3">
        <f>0+(717.2-144)+(0+(-1.097316--0.22032))+0-0-0</f>
        <v>572.32300400000008</v>
      </c>
      <c r="J237" s="3">
        <f>0+(699.4-123.4)+(0+(-0.713388--0.125868))+0-0-0</f>
        <v>575.41247999999996</v>
      </c>
      <c r="K237" s="3">
        <f>0+(722.4-131.3)+(0+(0.368424-0.066963))+0-0-0</f>
        <v>591.40146099999993</v>
      </c>
      <c r="L237" s="3">
        <f>0+(755.1-125.8)+(0+(0.385101-0.064158))+0-0-0</f>
        <v>629.62094300000012</v>
      </c>
      <c r="M237" s="3">
        <f>0+(822.4-145.2)+(0+(0-0))+0-0-0</f>
        <v>677.2</v>
      </c>
      <c r="N237" s="3">
        <f>0+(869.8-132.1)+(0+(1.330794-0.202113))+0-0-0</f>
        <v>738.82868099999996</v>
      </c>
      <c r="O237" s="3">
        <f>0+(1007.7-192.5)+(0+(0.513927-0.098175))+0-0-0</f>
        <v>815.61575200000004</v>
      </c>
      <c r="P237" s="3">
        <f>91.4+(920.9-185.3)+(-0.093228+(-0.939318--0.189006))+0-0-0</f>
        <v>826.15645999999992</v>
      </c>
      <c r="Q237" s="3">
        <f>124.2+(910.8-196.8)+(-0.190026+(-1.393524--0.301104))+0-0-0</f>
        <v>836.917554</v>
      </c>
      <c r="R237" s="3">
        <f>123.1+(862.5-158.6)+(-0.062781+(-0.439875--0.080886))+0-0-0</f>
        <v>826.57822999999996</v>
      </c>
      <c r="S237" s="3">
        <f>122.7+(801.1-127.9)+(-0.125154+(-0.817122--0.130458))+0-0-0</f>
        <v>795.08818200000007</v>
      </c>
      <c r="T237" s="3">
        <f>122.3+(786.1-116.4)+(0+(0-0))+0-0-0</f>
        <v>792</v>
      </c>
      <c r="U237" s="3">
        <f>121.7+(786.3-124.8)+(0.124134+(0.802026-0.127296))+0-0-0</f>
        <v>783.99886400000003</v>
      </c>
      <c r="V237" s="3">
        <f>121.3+(787.8-121.7)+(0.123726+(0.803556-0.124134))+0-0-0</f>
        <v>788.20314799999983</v>
      </c>
      <c r="W237" s="3">
        <f>123.5+(936.6-191.3)+(0.12597+(0.955332-0.195126))+0-0-0</f>
        <v>869.68617599999993</v>
      </c>
      <c r="X237" s="3">
        <f>123.4+(823.4-77.5)+(-0.31467+(-2.09967--0.197625))+0-0-0</f>
        <v>867.08328499999993</v>
      </c>
      <c r="Y237" s="3">
        <f>119.7+(801.3-77.3)+(-0.122094+(-0.817326--0.078846))+0-0-0</f>
        <v>842.839426</v>
      </c>
      <c r="Z237" s="3">
        <f>97.5+(785.1-57.5)+(-0.29835+(-2.402406--0.17595))+0-0-0</f>
        <v>822.57519400000001</v>
      </c>
      <c r="AA237" s="3">
        <f>30.2+(885.6-99.7)+(-0.030804+(-0.903312--0.101694))+0-0-0</f>
        <v>815.26757800000007</v>
      </c>
      <c r="AB237" s="3">
        <f>0+(917.8-128.8)+(0+(-1.404234--0.197064))+0-0-0</f>
        <v>787.79282999999998</v>
      </c>
      <c r="AC237" s="3">
        <f>0+(932.2-164.4)+(0+(-0.950844--0.167688))+0-0-0</f>
        <v>767.01684400000011</v>
      </c>
      <c r="AD237">
        <v>894.99999999999989</v>
      </c>
      <c r="AE237" s="3">
        <f>124+(1013.6-242.6)+(0+(0-0))+0-0-0</f>
        <v>895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0+(834.3-107.7)+(0+(0-0))+0-0-0</f>
        <v>726.59999999999991</v>
      </c>
      <c r="G238" s="3">
        <f>0+(740.7-50.8)+(0+(-0.755514--0.051816))+0-0-0</f>
        <v>689.19630200000006</v>
      </c>
      <c r="H238" s="3">
        <f>0+(708.2-33.1)+(0+(-0.722364--0.033762))+0-0-0</f>
        <v>674.41139800000008</v>
      </c>
      <c r="I238" s="3">
        <f>0+(703.9-29.6)+(0+(0.717978-0.030192))+0-0-0</f>
        <v>674.98778599999991</v>
      </c>
      <c r="J238" s="3">
        <f>0+(693.5-23.7)+(0+(0.353685-0.012087))+0-0-0</f>
        <v>670.14159799999993</v>
      </c>
      <c r="K238" s="3">
        <f>0+(696.9-30)+(0+(0.710838-0.0306))+0-0-0</f>
        <v>667.58023800000001</v>
      </c>
      <c r="L238" s="3">
        <f>0+(764.9-27.9)+(0+(1.170297-0.042687))+0-0-0</f>
        <v>738.12761</v>
      </c>
      <c r="M238" s="3">
        <f>0+(840.6-44.7)+(0+(0.857412-0.045594))+0-0-0</f>
        <v>796.71181799999999</v>
      </c>
      <c r="N238" s="3">
        <f>0+(953.1-117.3)+(0+(0.486081-0.059823))+0-0-0</f>
        <v>836.22625800000003</v>
      </c>
      <c r="O238" s="3">
        <f>0+(977.8-216.5)+(0+(0-0))+0-0-0</f>
        <v>761.3</v>
      </c>
      <c r="P238" s="3">
        <f>0+(1004.1-217.6)+(0+(-0.512091--0.110976))+0-0-0</f>
        <v>786.098885</v>
      </c>
      <c r="Q238" s="3">
        <f>0+(1021.5-233.6)+(0+(-1.562895--0.357408))+0-0-0</f>
        <v>786.69451300000003</v>
      </c>
      <c r="R238" s="3">
        <f>0+(976.6-155.6)+(0+(0-0))+0-0-0</f>
        <v>821</v>
      </c>
      <c r="S238" s="3">
        <f>0+(931.7-118.1)+(0+(0.475167-0.060231))+0-0-0</f>
        <v>814.01493600000003</v>
      </c>
      <c r="T238" s="3">
        <f>0+(910.6-93.3)+(0+(0.928812-0.095166))+0-0-0</f>
        <v>818.13364600000011</v>
      </c>
      <c r="U238" s="3">
        <f>0+(920.1-101.9)+(0+(0.469251-0.051969))+0-0-0</f>
        <v>818.61728200000005</v>
      </c>
      <c r="V238" s="3">
        <f>0+(942.2-90.1)+(0+(1.441566-0.137853))+0-0-0</f>
        <v>853.40371300000004</v>
      </c>
      <c r="W238" s="3">
        <f>0+(1030-151.6)+(0+(0-0))+0-0-0</f>
        <v>878.4</v>
      </c>
      <c r="X238" s="3">
        <f>0+(980.1-104.4)+(0+(-0.999702--0.106488))+0-0-0</f>
        <v>874.8067860000001</v>
      </c>
      <c r="Y238" s="3">
        <f>0+(938.2-81.7)+(0+(-0.478482--0.041667))+0-0-0</f>
        <v>856.06318499999998</v>
      </c>
      <c r="Z238" s="3">
        <f>0+(875.9-48.8)+(0+(-0.446709--0.024888))+0-0-0</f>
        <v>826.678179</v>
      </c>
      <c r="AA238" s="3">
        <f>0+(869.9-54.9)+(0+(-0.887298--0.055998))+0-0-0</f>
        <v>814.16869999999994</v>
      </c>
      <c r="AB238" s="3">
        <f>0+(849.9-57.5)+(0+(0-0))+0-0-0</f>
        <v>792.4</v>
      </c>
      <c r="AC238" s="3">
        <f>0+(861.8-93.3)+(0+(0.879036-0.095166))+0-0-0</f>
        <v>769.28386999999998</v>
      </c>
      <c r="AD238">
        <v>898.59999999999991</v>
      </c>
      <c r="AE238" s="3">
        <f>0+(1115.6-217)+(0+(0-0))+0-0-0</f>
        <v>898.59999999999991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0+(821.6-81.8)+(0+(-0.419016--0.041718))+0-0-0</f>
        <v>739.42270200000007</v>
      </c>
      <c r="G239" s="3">
        <f>0+(807.7-111.1)+(0+(-0.411927--0.056661))+0-0-0</f>
        <v>696.24473399999999</v>
      </c>
      <c r="H239" s="3">
        <f>0+(809.2-119.1)+(0+(-1.650768--0.242964))+0-0-0</f>
        <v>688.69219599999997</v>
      </c>
      <c r="I239" s="3">
        <f>0+(748.6-68.4)+(0+(1.90893-0.17442))+0-0-0</f>
        <v>681.93451000000005</v>
      </c>
      <c r="J239" s="3">
        <f>0+(745-66.5)+(0+(0-0))+0-0-0</f>
        <v>678.5</v>
      </c>
      <c r="K239" s="3">
        <f>0+(791.5-112.3)+(0+(-1.61466--0.229092))+0-0-0</f>
        <v>677.81443200000001</v>
      </c>
      <c r="L239" s="3">
        <f>0+(833.4-145.7)+(0+(0.850068-0.148614))+0-0-0</f>
        <v>688.40145400000006</v>
      </c>
      <c r="M239" s="3">
        <f>0+(890.6-160.5)+(0+(1.362618-0.245565))+0-0-0</f>
        <v>731.21705300000008</v>
      </c>
      <c r="N239" s="3">
        <f>0+(928.3-133)+(0+(0.946866-0.13566))+0-0-0</f>
        <v>796.11120599999992</v>
      </c>
      <c r="O239" s="3">
        <f>0+(994.9-161.4)+(0+(1.522197-0.246942))+0-0-0</f>
        <v>834.77525500000002</v>
      </c>
      <c r="P239" s="3">
        <f>0+(1049.8-212.4)+(0+(0.535398-0.108324))+0-0-0</f>
        <v>837.82707399999993</v>
      </c>
      <c r="Q239" s="3">
        <f>0+(1037.7-199)+(0+(-2.646135--0.50745))+0-0-0</f>
        <v>836.56131500000004</v>
      </c>
      <c r="R239" s="3">
        <f>0+(1029.3-198.3)+(0+(-2.624715--0.505665))+0-0-0</f>
        <v>828.88094999999998</v>
      </c>
      <c r="S239" s="3">
        <f>0+(983.2-176.4)+(0+(-0.501432--0.089964))+0-0-0</f>
        <v>806.38853200000005</v>
      </c>
      <c r="T239" s="3">
        <f>0+(983.8-177)+(0+(0.501738-0.09027))+0-0-0</f>
        <v>807.21146799999997</v>
      </c>
      <c r="U239" s="3">
        <f>0+(984.4-181.1)+(0+(0-0))+0-0-0</f>
        <v>803.3</v>
      </c>
      <c r="V239" s="3">
        <f>0+(993.6-190.2)+(0+(-0.506736--0.097002))+0-0-0</f>
        <v>802.99026600000013</v>
      </c>
      <c r="W239" s="3">
        <f>0+(1105-231.8)+(0+(0-0))+0-0-0</f>
        <v>873.2</v>
      </c>
      <c r="X239" s="3">
        <f>0+(1042.9-161)+(0+(-1.595637--0.24633))+0-0-0</f>
        <v>880.55069300000014</v>
      </c>
      <c r="Y239" s="3">
        <f>0+(1000.3-141)+(0+(-1.530459--0.21573))+0-0-0</f>
        <v>857.9852709999999</v>
      </c>
      <c r="Z239" s="3">
        <f>0+(999.1-161.9)+(0+(-1.528623--0.247707))+0-0-0</f>
        <v>835.919084</v>
      </c>
      <c r="AA239" s="3">
        <f>0+(1005.5-183.6)+(0+(-1.02561--0.187272))+0-0-0</f>
        <v>821.06166199999996</v>
      </c>
      <c r="AB239" s="3">
        <f>0+(998.6-193.3)+(0+(-1.527858--0.295749))+0-0-0</f>
        <v>804.06789099999992</v>
      </c>
      <c r="AC239" s="3">
        <f>0+(912.7-131.1)+(0+(-0.465477--0.066861))+0-0-0</f>
        <v>781.20138400000008</v>
      </c>
      <c r="AD239">
        <v>904</v>
      </c>
      <c r="AE239" s="3">
        <f>0+(1198-294)+(0+(0-0))+0-0-0</f>
        <v>904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0+(849.2-114.2)+(0+(0.433092-0.058242))+0-0-0</f>
        <v>735.37485000000004</v>
      </c>
      <c r="G240" s="3">
        <f>0+(798.5-111.2)+(0+(0.407235-0.056712))+0-0-0</f>
        <v>687.65052299999991</v>
      </c>
      <c r="H240" s="3">
        <f>0+(726.7-47.5)+(0+(0-0))+0-0-0</f>
        <v>679.2</v>
      </c>
      <c r="I240" s="3">
        <f>0+(709.1-34.8)+(0+(0-0))+0-0-0</f>
        <v>674.30000000000007</v>
      </c>
      <c r="J240" s="3">
        <f>0+(700.1-37.3)+(0+(0.357051-0.019023))+0-0-0</f>
        <v>663.13802800000008</v>
      </c>
      <c r="K240" s="3">
        <f>0+(731-69.9)+(0+(0.74562-0.071298))+0-0-0</f>
        <v>661.77432199999998</v>
      </c>
      <c r="L240" s="3">
        <f>0+(737.6-86.8)+(0+(-0.752352--0.088536))+0-0-0</f>
        <v>650.13618400000007</v>
      </c>
      <c r="M240" s="3">
        <f>0+(738.8-93.7)+(0+(-0.376788--0.047787))+0-0-0</f>
        <v>644.77099899999996</v>
      </c>
      <c r="N240" s="3">
        <f>0+(857.9-123.4)+(0+(0-0))+0-0-0</f>
        <v>734.5</v>
      </c>
      <c r="O240" s="3">
        <f>0+(857.8-138.5)+(0+(0.437478-0.070635))+0-0-0</f>
        <v>719.66684299999997</v>
      </c>
      <c r="P240" s="3">
        <f>0+(812.1-80.9)+(0+(1.242513-0.123777))+0-0-0</f>
        <v>732.31873600000006</v>
      </c>
      <c r="Q240" s="3">
        <f>0+(845.9-108.7)+(0+(0.862818-0.110874))+0-0-0</f>
        <v>737.95194399999991</v>
      </c>
      <c r="R240" s="3">
        <f>0+(855.5-125.6)+(0+(-2.61783--0.384336))+0-0-0</f>
        <v>727.66650600000003</v>
      </c>
      <c r="S240" s="3">
        <f>0+(808.7-102.5)+(0+(-1.649748--0.2091))+0-0-0</f>
        <v>704.75935200000004</v>
      </c>
      <c r="T240" s="3">
        <f>0+(803.6-112.4)+(0+(0-0))+0-0-0</f>
        <v>691.2</v>
      </c>
      <c r="U240" s="3">
        <f>0+(806.1-115.8)+(0+(0.411111-0.059058))+0-0-0</f>
        <v>690.65205300000002</v>
      </c>
      <c r="V240" s="3">
        <f>0+(788.7-82)+(0+(-0.402237--0.04182))+0-0-0</f>
        <v>706.33958300000006</v>
      </c>
      <c r="W240" s="3">
        <f>0+(927.5-142.5)+(0+(0-0))+0-0-0</f>
        <v>785</v>
      </c>
      <c r="X240" s="3">
        <f>0+(851.2-57)+(0+(-1.302336--0.08721))+0-0-0</f>
        <v>792.98487399999999</v>
      </c>
      <c r="Y240" s="3">
        <f>0+(814.1-35.7)+(0+(0-0))+0-0-0</f>
        <v>778.4</v>
      </c>
      <c r="Z240" s="3">
        <f>0+(791.9-28.7)+(0+(-0.807738--0.029274))+0-0-0</f>
        <v>762.42153599999995</v>
      </c>
      <c r="AA240" s="3">
        <f>0+(762.4-24.2)+(0+(-0.777648--0.024684))+0-0-0</f>
        <v>737.44703599999991</v>
      </c>
      <c r="AB240" s="3">
        <f>0+(818.4-82.1)+(0+(-1.252152--0.125613))+0-0-0</f>
        <v>735.17346099999997</v>
      </c>
      <c r="AC240" s="3">
        <f>0+(946.2-220.8)+(0+(-1.447686--0.337824))+0-0-0</f>
        <v>724.29013800000007</v>
      </c>
      <c r="AD240">
        <v>816.09999999999991</v>
      </c>
      <c r="AE240" s="3">
        <f>0+(952.4-136.3)+(0+(0-0))+0-0-0</f>
        <v>816.09999999999991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0+(857.9-171.4)+(0+(-1.312587--0.262242))+0-0-0</f>
        <v>685.44965500000001</v>
      </c>
      <c r="G241" s="3">
        <f>0+(803.9-151)+(0+(-0.819978--0.15402))+0-0-0</f>
        <v>652.23404199999993</v>
      </c>
      <c r="H241" s="3">
        <f>0+(767.2-149.3)+(0+(0.782544-0.152286))+0-0-0</f>
        <v>618.53025800000012</v>
      </c>
      <c r="I241" s="3">
        <f>0+(803.9-164.5)+(0+(0-0))+0-0-0</f>
        <v>639.4</v>
      </c>
      <c r="J241" s="3">
        <f>0+(829.8-193.1)+(0+(-0.846396--0.196962))+0-0-0</f>
        <v>636.05056599999989</v>
      </c>
      <c r="K241" s="3">
        <f>0+(809.9-173.6)+(0+(-0.826098--0.177072))+0-0-0</f>
        <v>635.65097399999991</v>
      </c>
      <c r="L241" s="3">
        <f>0+(823.4-156.8)+(0+(-0.419934--0.079968))+0-0-0</f>
        <v>666.26003399999991</v>
      </c>
      <c r="M241" s="3">
        <f>0+(810.1-113.8)+(0+(0-0))+0-0-0</f>
        <v>696.30000000000007</v>
      </c>
      <c r="N241" s="3">
        <f>0+(843.2-79.5)+(0+(0-0))+0-0-0</f>
        <v>763.7</v>
      </c>
      <c r="O241" s="3">
        <f>0+(946.6-145.6)+(0+(1.448298-0.222768))+0-0-0</f>
        <v>802.22553000000005</v>
      </c>
      <c r="P241" s="3">
        <f>0+(977.2-153.8)+(0+(-1.495116--0.235314))+0-0-0</f>
        <v>822.14019800000005</v>
      </c>
      <c r="Q241" s="3">
        <f>0+(983.3-152.2)+(0+(-0.501483--0.077622))+0-0-0</f>
        <v>830.67613899999992</v>
      </c>
      <c r="R241" s="3">
        <f>0+(932.3-124)+(0+(-1.426419--0.18972))+0-0-0</f>
        <v>807.06330099999991</v>
      </c>
      <c r="S241" s="3">
        <f>0+(885.1-93.8)+(0+(-1.354203--0.143514))+0-0-0</f>
        <v>790.08931100000007</v>
      </c>
      <c r="T241" s="3">
        <f>0+(862.2-70.6)+(0+(0-0))+0-0-0</f>
        <v>791.6</v>
      </c>
      <c r="U241" s="3">
        <f>0+(846.1-60.2)+(0+(-0.431511--0.030702))+0-0-0</f>
        <v>785.499191</v>
      </c>
      <c r="V241" s="3">
        <f>0+(876.8-116.5)+(0+(-0.447168--0.059415))+0-0-0</f>
        <v>759.91224699999998</v>
      </c>
      <c r="W241" s="3">
        <f>68.3+(986.7-180.8)+(0+(0-0))+0-0-0</f>
        <v>874.2</v>
      </c>
      <c r="X241" s="3">
        <f>124.2+(856.1-111.4)+(-0.190026+(-1.309833--0.170442))+0-0-0</f>
        <v>867.57058300000006</v>
      </c>
      <c r="Y241" s="3">
        <f>90.5+(846.7-79)+(-0.230775+(-2.159085--0.20145))+0-0-0</f>
        <v>856.01159000000007</v>
      </c>
      <c r="Z241" s="3">
        <f>44.1+(850.9-66.4)+(-0.089964+(-1.735836--0.135456))+0-0-0</f>
        <v>826.90965600000004</v>
      </c>
      <c r="AA241" s="3">
        <f>6.5+(896.5-89.3)+(-0.00663+(-0.91443--0.091086))+0-0-0</f>
        <v>812.87002600000005</v>
      </c>
      <c r="AB241" s="3">
        <f>0+(936.9-148.4)+(0+(-2.389095--0.37842))+0-0-0</f>
        <v>786.48932500000001</v>
      </c>
      <c r="AC241" s="3">
        <f>0+(920-161.5)+(0+(-0.4692--0.082365))+0-0-0</f>
        <v>758.11316499999998</v>
      </c>
      <c r="AD241">
        <v>875.60000000000014</v>
      </c>
      <c r="AE241" s="3">
        <f>126+(997.9-248.3)+(0+(0-0))+0-0-0</f>
        <v>875.59999999999991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0+(856.4-136.2)+(0+(-1.747056--0.277848))+0-0-0</f>
        <v>718.73079200000006</v>
      </c>
      <c r="G242" s="3">
        <f>0+(824.7-135.9)+(0+(-1.682388--0.277236))+0-0-0</f>
        <v>687.39484800000002</v>
      </c>
      <c r="H242" s="3">
        <f>0+(745.5-63.2)+(0+(0-0))+0-0-0</f>
        <v>682.3</v>
      </c>
      <c r="I242" s="3">
        <f>0+(729.3-67.6)+(0+(-1.115829--0.103428))+0-0-0</f>
        <v>660.68759899999998</v>
      </c>
      <c r="J242" s="3">
        <f>0+(759.5-100.2)+(0+(0.387345-0.051102))+0-0-0</f>
        <v>659.63624299999992</v>
      </c>
      <c r="K242" s="3">
        <f>0+(791.1-131)+(0+(-0.403461--0.06681))+0-0-0</f>
        <v>659.76334900000006</v>
      </c>
      <c r="L242" s="3">
        <f>0+(812.1-143.1)+(0+(-2.070855--0.364905))+0-0-0</f>
        <v>667.29404999999997</v>
      </c>
      <c r="M242" s="3">
        <f>0+(777.1-91.8)+(0+(0.396321-0.046818))+0-0-0</f>
        <v>685.6495030000001</v>
      </c>
      <c r="N242" s="3">
        <f>0+(811.6-92.3)+(0+(0.413916-0.047073))+0-0-0</f>
        <v>719.66684300000009</v>
      </c>
      <c r="O242" s="3">
        <f>0+(800.1-37.4)+(0+(-0.816102--0.038148))+0-0-0</f>
        <v>761.92204600000002</v>
      </c>
      <c r="P242" s="3">
        <f>0+(805.8-24.4)+(0+(0.410958-0.012444))+0-0-0</f>
        <v>781.79851399999995</v>
      </c>
      <c r="Q242" s="3">
        <f>0+(822.9-39.9)+(0+(-1.678716--0.081396))+0-0-0</f>
        <v>781.40268000000003</v>
      </c>
      <c r="R242" s="3">
        <f>0+(819.9-59.8)+(0+(-3.345192--0.243984))+0-0-0</f>
        <v>756.99879199999998</v>
      </c>
      <c r="S242" s="3">
        <f>0+(781.7-46.3)+(0+(-0.398667--0.023613))+0-0-0</f>
        <v>735.02494600000011</v>
      </c>
      <c r="T242" s="3">
        <f>0+(764.7-28.7)+(0+(0-0))+0-0-0</f>
        <v>736</v>
      </c>
      <c r="U242" s="3">
        <f>0+(754.6-24.5)+(0+(-1.539384--0.04998))+0-0-0</f>
        <v>728.61059599999999</v>
      </c>
      <c r="V242" s="3">
        <f>0+(691.8-26.2)+(0+(0.352818-0.013362))+0-0-0</f>
        <v>665.93945599999995</v>
      </c>
      <c r="W242" s="3">
        <f>0+(861.2-50.1)+(0+(0-0))+0-0-0</f>
        <v>811.1</v>
      </c>
      <c r="X242" s="3">
        <f>0+(844.1-35.7)+(0+(-2.152455--0.091035))+0-0-0</f>
        <v>806.33857999999998</v>
      </c>
      <c r="Y242" s="3">
        <f>0+(801.9-24)+(0+(0-0))+0-0-0</f>
        <v>777.9</v>
      </c>
      <c r="Z242" s="3">
        <f>0+(778.9-14.7)+(0+(-1.588956--0.029988))+0-0-0</f>
        <v>762.64103199999988</v>
      </c>
      <c r="AA242" s="3">
        <f>0+(772-17)+(0+(-0.39372--0.00867))+0-0-0</f>
        <v>754.61495000000002</v>
      </c>
      <c r="AB242" s="3">
        <f>0+(755.6-20.3)+(0+(-1.156068--0.031059))+0-0-0</f>
        <v>734.17499100000009</v>
      </c>
      <c r="AC242" s="3">
        <f>0+(747.3-32)+(0+(-3.048984--0.13056))+0-0-0</f>
        <v>712.381576</v>
      </c>
      <c r="AD242">
        <v>825.6</v>
      </c>
      <c r="AE242" s="3">
        <f>0+(920.6-95)+(0+(0-0))+0-0-0</f>
        <v>825.6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0+(716.6-32.2)+(0+(-1.82733--0.08211))+0-0-0</f>
        <v>682.65477999999996</v>
      </c>
      <c r="G243" s="3">
        <f>0+(679.1-15.9)+(0+(0.346341-0.008109))+0-0-0</f>
        <v>663.53823199999999</v>
      </c>
      <c r="H243" s="3">
        <f>0+(671-25.3)+(0+(-1.36884--0.051612))+0-0-0</f>
        <v>644.38277200000005</v>
      </c>
      <c r="I243" s="3">
        <f>0+(678.1-39.1)+(0+(0-0))+0-0-0</f>
        <v>639</v>
      </c>
      <c r="J243" s="3">
        <f>0+(690.6-63.4)+(0+(-0.704412--0.064668))+0-0-0</f>
        <v>626.56025600000009</v>
      </c>
      <c r="K243" s="3">
        <f>0+(687.6-78.2)+(0+(0.701352-0.079764))+0-0-0</f>
        <v>610.02158799999995</v>
      </c>
      <c r="L243" s="3">
        <f>0+(649.7-52.8)+(0+(-0.662694--0.053856))+0-0-0</f>
        <v>596.2911620000001</v>
      </c>
      <c r="M243" s="3">
        <f>0+(602.6-23)+(0+(-0.614652--0.02346))+0-0-0</f>
        <v>579.00880800000004</v>
      </c>
      <c r="N243" s="3">
        <f>0+(661.7-61)+(0+(-0.337467--0.03111))+0-0-0</f>
        <v>600.393643</v>
      </c>
      <c r="O243" s="3">
        <f>0+(747.7-111.6)+(0+(-0.762654--0.113832))+0-0-0</f>
        <v>635.45117800000003</v>
      </c>
      <c r="P243" s="3">
        <f>0+(664.7-7.3)+(0+(-1.016991--0.011169))+0-0-0</f>
        <v>656.39417800000012</v>
      </c>
      <c r="Q243" s="3">
        <f>0+(664.5-3)+(0+(-0.67779--0.00306))+0-0-0</f>
        <v>660.82527000000005</v>
      </c>
      <c r="R243" s="3">
        <f>0+(662.1-3.9)+(0+(-1.013013--0.005967))+0-0-0</f>
        <v>657.1929540000001</v>
      </c>
      <c r="S243" s="3">
        <f>0+(657.2-16.9)+(0+(-1.005516--0.025857))+0-0-0</f>
        <v>639.3203410000001</v>
      </c>
      <c r="T243" s="3">
        <f>0+(638.2-19.7)+(0+(-1.301928--0.040188))+0-0-0</f>
        <v>617.23825999999997</v>
      </c>
      <c r="U243" s="3">
        <f>0+(640.2-23.5)+(0+(0-0))+0-0-0</f>
        <v>616.70000000000005</v>
      </c>
      <c r="V243" s="3">
        <f>0+(645.3-10.5)+(0+(0-0))+0-0-0</f>
        <v>634.79999999999995</v>
      </c>
      <c r="W243" s="3">
        <f>0+(759.9-37.8)+(0+(0.387549-0.019278))+0-0-0</f>
        <v>722.46827100000007</v>
      </c>
      <c r="X243" s="3">
        <f>0+(777.6-34)+(0+(0-0))+0-0-0</f>
        <v>743.6</v>
      </c>
      <c r="Y243" s="3">
        <f>0+(752.6-22.5)+(0+(0.383826-0.011475))+0-0-0</f>
        <v>730.472351</v>
      </c>
      <c r="Z243" s="3">
        <f>0+(732.4-17.6)+(0+(-0.747048--0.017952))+0-0-0</f>
        <v>714.07090399999993</v>
      </c>
      <c r="AA243" s="3">
        <f>0+(714.5-10.2)+(0+(-0.72879--0.010404))+0-0-0</f>
        <v>703.58161399999995</v>
      </c>
      <c r="AB243" s="3">
        <f>0+(705.8-9.3)+(0+(-1.439832--0.018972))+0-0-0</f>
        <v>695.07914000000005</v>
      </c>
      <c r="AC243" s="3">
        <f>0+(661.3-1.5)+(0+(-1.349052--0.00306))+0-0-0</f>
        <v>658.45400799999993</v>
      </c>
      <c r="AD243">
        <v>738.80000000000007</v>
      </c>
      <c r="AE243" s="3">
        <f>0+(766.2-27.4)+(0+(0-0))+0-0-0</f>
        <v>738.80000000000007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0+(643.5-18.6)+(0+(0-0))+0-0-0</f>
        <v>624.9</v>
      </c>
      <c r="G244" s="3">
        <f>0+(606.7-3.3)+(0+(-1.547085--0.008415))+0-0-0</f>
        <v>601.86133000000007</v>
      </c>
      <c r="H244" s="3">
        <f>0+(589.5-0)+(0+(0.901935-0))+0-0-0</f>
        <v>590.40193499999998</v>
      </c>
      <c r="I244" s="3">
        <f>0+(601.5-9.1)+(0+(-0.61353--0.009282))+0-0-0</f>
        <v>591.79575199999999</v>
      </c>
      <c r="J244" s="3">
        <f>0+(598.1-4.7)+(0+(1.525155-0.011985))+0-0-0</f>
        <v>594.91316999999992</v>
      </c>
      <c r="K244" s="3">
        <f>0+(608.7-2.4)+(0+(0.310437-0.001224))+0-0-0</f>
        <v>606.60921300000007</v>
      </c>
      <c r="L244" s="3">
        <f>0+(644-0)+(0+(-0.98532-0))+0-0-0</f>
        <v>643.01468</v>
      </c>
      <c r="M244" s="3">
        <f>0+(757.3-65.5)+(0+(0.386223-0.033405))+0-0-0</f>
        <v>692.15281799999991</v>
      </c>
      <c r="N244" s="3">
        <f>0+(767.3-10.7)+(0+(0.391323-0.005457))+0-0-0</f>
        <v>756.98586599999987</v>
      </c>
      <c r="O244" s="3">
        <f>0+(817.8-21.5)+(0+(-1.668312--0.04386))+0-0-0</f>
        <v>794.67554799999994</v>
      </c>
      <c r="P244" s="3">
        <f>0+(857.9-49.3)+(0+(-0.437529--0.025143))+0-0-0</f>
        <v>808.18761400000005</v>
      </c>
      <c r="Q244" s="3">
        <f>0+(884.7-54.4)+(0+(0.451197-0.027744))+0-0-0</f>
        <v>830.72345300000006</v>
      </c>
      <c r="R244" s="3">
        <f>0+(871-57.6)+(0+(-1.33263--0.088128))+0-0-0</f>
        <v>812.15549799999997</v>
      </c>
      <c r="S244" s="3">
        <f>0+(848.7-54.1)+(0+(-1.298511--0.082773))+0-0-0</f>
        <v>793.38426200000004</v>
      </c>
      <c r="T244" s="3">
        <f>0+(848.5-59)+(0+(-0.432735--0.03009))+0-0-0</f>
        <v>789.09735499999999</v>
      </c>
      <c r="U244" s="3">
        <f>0+(875.3-60.9)+(0+(-1.339209--0.093177))+0-0-0</f>
        <v>813.15396799999996</v>
      </c>
      <c r="V244" s="3">
        <f>0+(896.1-66.8)+(0+(-0.457011--0.034068))+0-0-0</f>
        <v>828.87705700000004</v>
      </c>
      <c r="W244" s="3">
        <f>0+(1025.1-132.6)+(0+(0.522801-0.067626))+0-0-0</f>
        <v>892.95517499999994</v>
      </c>
      <c r="X244" s="3">
        <f>0+(948-65)+(0+(-1.93392--0.1326))+0-0-0</f>
        <v>881.19867999999997</v>
      </c>
      <c r="Y244" s="3">
        <f>0+(890.5-35.1)+(0+(0-0))+0-0-0</f>
        <v>855.4</v>
      </c>
      <c r="Z244" s="3">
        <f>0+(845.5-20.9)+(0+(-0.431205--0.010659))+0-0-0</f>
        <v>824.17945400000008</v>
      </c>
      <c r="AA244" s="3">
        <f>0+(805.5-5.5)+(0+(-2.46483--0.01683))+0-0-0</f>
        <v>797.55200000000002</v>
      </c>
      <c r="AB244" s="3">
        <f>0+(797.4-10.1)+(0+(-0.813348--0.010302))+0-0-0</f>
        <v>786.49695399999996</v>
      </c>
      <c r="AC244" s="3">
        <f>0+(779-17.2)+(0+(-2.78103--0.061404))+0-0-0</f>
        <v>759.08037400000001</v>
      </c>
      <c r="AD244">
        <v>907.7</v>
      </c>
      <c r="AE244" s="3">
        <f>0+(1088.4-180.7)+(0+(0-0))+0-0-0</f>
        <v>907.7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0+(750.4-24)+(0+(-1.148112--0.03672))+0-0-0</f>
        <v>725.28860799999995</v>
      </c>
      <c r="G245" s="3">
        <f>0+(730-26.5)+(0+(-0.7446--0.02703))+0-0-0</f>
        <v>702.78242999999998</v>
      </c>
      <c r="H245" s="3">
        <f>0+(718.9-23.6)+(0+(0-0))+0-0-0</f>
        <v>695.3</v>
      </c>
      <c r="I245" s="3">
        <f>0+(717.5-27.3)+(0+(0-0))+0-0-0</f>
        <v>690.2</v>
      </c>
      <c r="J245" s="3">
        <f>0+(701-15.5)+(0+(0.71502-0.01581))+0-0-0</f>
        <v>686.19920999999999</v>
      </c>
      <c r="K245" s="3">
        <f>0+(723.3-31.3)+(0+(0.737766-0.031926))+0-0-0</f>
        <v>692.70583999999997</v>
      </c>
      <c r="L245" s="3">
        <f>0+(723.5-12)+(0+(1.106955-0.01836))+0-0-0</f>
        <v>712.58859500000005</v>
      </c>
      <c r="M245" s="3">
        <f>0+(758.3-17.1)+(0+(1.160199-0.026163))+0-0-0</f>
        <v>742.33403599999997</v>
      </c>
      <c r="N245" s="3">
        <f>0+(803.9-10.9)+(0+(-0.409989--0.005559))+0-0-0</f>
        <v>792.59556999999995</v>
      </c>
      <c r="O245" s="3">
        <f>0+(830.2-5.5)+(0+(-0.423402--0.002805))+0-0-0</f>
        <v>824.279403</v>
      </c>
      <c r="P245" s="3">
        <f>0+(845.7-3.7)+(0+(-0.431307--0.001887))+0-0-0</f>
        <v>841.57057999999995</v>
      </c>
      <c r="Q245" s="3">
        <f>0+(869.7-12.9)+(0+(-1.330641--0.019737))+0-0-0</f>
        <v>855.48909600000002</v>
      </c>
      <c r="R245" s="3">
        <f>0+(865.7-22.2)+(0+(-1.324521--0.033966))+0-0-0</f>
        <v>842.20944499999996</v>
      </c>
      <c r="S245" s="3">
        <f>0+(829.2-10.6)+(0+(-1.691568--0.021624))+0-0-0</f>
        <v>816.93005600000004</v>
      </c>
      <c r="T245" s="3">
        <f>0+(812.3-0)+(0+(-0.414273-0))+0-0-0</f>
        <v>811.88572699999997</v>
      </c>
      <c r="U245" s="3">
        <f>0+(810.9-7.2)+(0+(1.240677-0.011016))+0-0-0</f>
        <v>804.9296609999999</v>
      </c>
      <c r="V245" s="3">
        <f>0+(834.8-22.2)+(0+(-2.12874--0.05661))+0-0-0</f>
        <v>810.52786999999989</v>
      </c>
      <c r="W245" s="3">
        <f>0+(915.9-40.3)+(0+(0.467109-0.020553))+0-0-0</f>
        <v>876.04655600000001</v>
      </c>
      <c r="X245" s="3">
        <f>0+(888.9-16.9)+(0+(-2.720034--0.051714))+0-0-0</f>
        <v>869.33168000000001</v>
      </c>
      <c r="Y245" s="3">
        <f>0+(848.2-0)+(0+(-0.865164-0))+0-0-0</f>
        <v>847.334836</v>
      </c>
      <c r="Z245" s="3">
        <f>0+(823-0)+(0+(-1.67892-0))+0-0-0</f>
        <v>821.32108000000005</v>
      </c>
      <c r="AA245" s="3">
        <f>0+(810.6-0)+(0+(-2.06703-0))+0-0-0</f>
        <v>808.53296999999998</v>
      </c>
      <c r="AB245" s="3">
        <f>0+(782.4-0)+(0+(-1.197072-0))+0-0-0</f>
        <v>781.20292799999993</v>
      </c>
      <c r="AC245" s="3">
        <f>0+(752.8-0)+(0+(-0.767856-0))+0-0-0</f>
        <v>752.0321439999999</v>
      </c>
      <c r="AD245">
        <v>871.1</v>
      </c>
      <c r="AE245" s="3">
        <f>0+(909.6-38.5)+(0+(0-0))+0-0-0</f>
        <v>871.1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0+(716.9-0)+(0+(0.731238-0))+0-0-0</f>
        <v>717.63123799999994</v>
      </c>
      <c r="G246" s="3">
        <f>0+(763.8-61.5)+(0+(-0.779076--0.06273))+0-0-0</f>
        <v>701.58365399999991</v>
      </c>
      <c r="H246" s="3">
        <f>0+(702.3-11.1)+(0+(0.358173-0.005661))+0-0-0</f>
        <v>691.55251199999998</v>
      </c>
      <c r="I246" s="3">
        <f>0+(715-25.5)+(0+(0.36465-0.013005))+0-0-0</f>
        <v>689.85164499999996</v>
      </c>
      <c r="J246" s="3">
        <f>0+(720.6-43.9)+(0+(-0.735012--0.044778))+0-0-0</f>
        <v>676.00976600000001</v>
      </c>
      <c r="K246" s="3">
        <f>0+(740.3-65.5)+(0+(0.755106-0.06681))+0-0-0</f>
        <v>675.48829599999999</v>
      </c>
      <c r="L246" s="3">
        <f>0+(805.4-98.1)+(0+(-0.821508--0.100062))+0-0-0</f>
        <v>706.57855399999994</v>
      </c>
      <c r="M246" s="3">
        <f>0+(835.4-85.5)+(0+(-0.426054--0.043605))+0-0-0</f>
        <v>749.51755100000003</v>
      </c>
      <c r="N246" s="3">
        <f>0+(794.4-4.9)+(0+(0-0))+0-0-0</f>
        <v>789.5</v>
      </c>
      <c r="O246" s="3">
        <f>0+(822.1-0)+(0+(0.419271-0))+0-0-0</f>
        <v>822.519271</v>
      </c>
      <c r="P246" s="3">
        <f>115.6+(721-3.1)+(-0.117912+(-0.73542--0.003162))+0-0-0</f>
        <v>832.64982999999995</v>
      </c>
      <c r="Q246" s="3">
        <f>183.9+(678.4-25.1)+(-0.468945+(-1.72992--0.064005))+0-0-0</f>
        <v>835.06513999999993</v>
      </c>
      <c r="R246" s="3">
        <f>218.7+(667.3-65.5)+(-0.334611+(-1.020969--0.100215))+0-0-0</f>
        <v>819.24463500000002</v>
      </c>
      <c r="S246" s="3">
        <f>218.4+(663.6-89.6)+(-0.222768+(-0.676872--0.091392))+0-0-0</f>
        <v>791.59175199999993</v>
      </c>
      <c r="T246" s="3">
        <f>220.8+(643.2-71.2)+(0.337824+(0.984096-0.108936))+0-0-0</f>
        <v>794.01298399999996</v>
      </c>
      <c r="U246" s="3">
        <f>220.4+(609.1-39)+(0.112404+(0.310641-0.01989))+0-0-0</f>
        <v>790.90315499999997</v>
      </c>
      <c r="V246" s="3">
        <f>220.4+(643.5-55.6)+(0+(0-0))+0-0-0</f>
        <v>808.3</v>
      </c>
      <c r="W246" s="3">
        <f>220.4+(714.3-47.8)+(0+(0-0))+0-0-0</f>
        <v>886.9</v>
      </c>
      <c r="X246" s="3">
        <f>218+(672-18.2)+(-0.33354+(-1.02816--0.027846))+0-0-0</f>
        <v>870.46614599999998</v>
      </c>
      <c r="Y246" s="3">
        <f>217.1+(674.1-23.3)+(-0.553605+(-1.718955--0.059415))+0-0-0</f>
        <v>865.68685500000004</v>
      </c>
      <c r="Z246" s="3">
        <f>220.1+(656-28)+(0+(0-0))+0-0-0</f>
        <v>848.1</v>
      </c>
      <c r="AA246" s="3">
        <f>204.3+(645.4-24.7)+(-0.520965+(-1.64577--0.062985))+0-0-0</f>
        <v>822.89625000000001</v>
      </c>
      <c r="AB246" s="3">
        <f>159+(649.2-5.4)+(-0.32436+(-1.324368--0.011016))+0-0-0</f>
        <v>801.1622880000001</v>
      </c>
      <c r="AC246" s="3">
        <f>45.7+(730.7-5.8)+(-0.093228+(-1.490628--0.011832))+0-0-0</f>
        <v>769.02797600000008</v>
      </c>
      <c r="AD246">
        <v>903.40000000000009</v>
      </c>
      <c r="AE246" s="3">
        <f>219+(758.2-73.8)+(0+(0-0))+0-0-0</f>
        <v>903.40000000000009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0+(731.6-0)+(0+(-1.119348-0))+0-0-0</f>
        <v>730.48065200000008</v>
      </c>
      <c r="G247" s="3">
        <f>0+(701.9-0)+(0+(0-0))+0-0-0</f>
        <v>701.9</v>
      </c>
      <c r="H247" s="3">
        <f>0+(686.3-0)+(0+(0-0))+0-0-0</f>
        <v>686.3</v>
      </c>
      <c r="I247" s="3">
        <f>0+(699.5-14.4)+(0+(0-0))+0-0-0</f>
        <v>685.1</v>
      </c>
      <c r="J247" s="3">
        <f>0+(700.3-22)+(0+(1.428612-0.04488))+0-0-0</f>
        <v>679.68373199999996</v>
      </c>
      <c r="K247" s="3">
        <f>0+(683.8-12.7)+(0+(1.394952-0.025908))+0-0-0</f>
        <v>672.46904399999994</v>
      </c>
      <c r="L247" s="3">
        <f>0+(740-37.7)+(0+(0.7548-0.038454))+0-0-0</f>
        <v>703.016346</v>
      </c>
      <c r="M247" s="3">
        <f>0+(739.8-11.9)+(0+(0-0))+0-0-0</f>
        <v>727.9</v>
      </c>
      <c r="N247" s="3">
        <f>0+(779.6-4.2)+(0+(0.397596-0.002142))+0-0-0</f>
        <v>775.79545399999995</v>
      </c>
      <c r="O247" s="3">
        <f>0+(799.2-1.9)+(0+(0.815184-0.001938))+0-0-0</f>
        <v>798.11324600000012</v>
      </c>
      <c r="P247" s="3">
        <f>0+(810.9-3.3)+(0+(-0.413559--0.001683))+0-0-0</f>
        <v>807.18812400000002</v>
      </c>
      <c r="Q247" s="3">
        <f>0+(818.7-2.6)+(0+(-2.505222--0.007956))+0-0-0</f>
        <v>813.60273400000005</v>
      </c>
      <c r="R247" s="3">
        <f>0+(808.7-0)+(0+(-1.649748-0))+0-0-0</f>
        <v>807.050252</v>
      </c>
      <c r="S247" s="3">
        <f>0+(781.3-8.7)+(0+(-0.398463--0.004437))+0-0-0</f>
        <v>772.20597399999986</v>
      </c>
      <c r="T247" s="3">
        <f>0+(761.5-18.6)+(0+(0-0))+0-0-0</f>
        <v>742.9</v>
      </c>
      <c r="U247" s="3">
        <f>0+(809.7-23)+(0+(0.412947-0.01173))+0-0-0</f>
        <v>787.10121700000002</v>
      </c>
      <c r="V247" s="3">
        <f>0+(812.4-21.6)+(0+(0.414324-0.011016))+0-0-0</f>
        <v>791.20330799999999</v>
      </c>
      <c r="W247" s="3">
        <f>0+(868.7-0)+(0+(-0.443037-0))+0-0-0</f>
        <v>868.25696300000004</v>
      </c>
      <c r="X247" s="3">
        <f>0+(865.2-0)+(0+(0-0))+0-0-0</f>
        <v>865.2</v>
      </c>
      <c r="Y247" s="3">
        <f>0+(849.7-0)+(0+(-1.733388-0))+0-0-0</f>
        <v>847.96661200000005</v>
      </c>
      <c r="Z247" s="3">
        <f>0+(830.2-1)+(0+(-0.423402--0.00051))+0-0-0</f>
        <v>828.777108</v>
      </c>
      <c r="AA247" s="3">
        <f>0+(816-2.7)+(0+(-1.66464--0.005508))+0-0-0</f>
        <v>811.64086799999995</v>
      </c>
      <c r="AB247" s="3">
        <f>0+(800.6-4.4)+(0+(-1.224918--0.006732))+0-0-0</f>
        <v>794.9818140000001</v>
      </c>
      <c r="AC247" s="3">
        <f>0+(761.7-5.5)+(0+(-1.165401--0.008415))+0-0-0</f>
        <v>755.04301400000008</v>
      </c>
      <c r="AD247">
        <v>866.5</v>
      </c>
      <c r="AE247" s="3">
        <f>0+(880.5-14)+(0+(0-0))+0-0-0</f>
        <v>866.5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0+(728.1-2.6)+(0+(-0.742662--0.002652))+0-0-0</f>
        <v>724.75999000000002</v>
      </c>
      <c r="G248" s="3">
        <f>0+(705.9-5.3)+(0+(-0.720018--0.005406))+0-0-0</f>
        <v>699.88538800000003</v>
      </c>
      <c r="H248" s="3">
        <f>0+(687.2-0)+(0+(-0.700944-0))+0-0-0</f>
        <v>686.499056</v>
      </c>
      <c r="I248" s="3">
        <f>0+(684.7-0)+(0+(-0.349197-0))+0-0-0</f>
        <v>684.35080300000004</v>
      </c>
      <c r="J248" s="3">
        <f>0+(682.2-7)+(0+(0.695844-0.00714))+0-0-0</f>
        <v>675.88870400000008</v>
      </c>
      <c r="K248" s="3">
        <f>0+(701.2-27.7)+(0+(0.715224-0.028254))+0-0-0</f>
        <v>674.18696999999997</v>
      </c>
      <c r="L248" s="3">
        <f>0+(751.9-52.3)+(0+(-0.383469--0.026673))+0-0-0</f>
        <v>699.24320399999999</v>
      </c>
      <c r="M248" s="3">
        <f>0+(739.8-13.9)+(0+(0-0))+0-0-0</f>
        <v>725.9</v>
      </c>
      <c r="N248" s="3">
        <f>0+(865.5-10.4)+(0+(-0.441405--0.005304))+0-0-0</f>
        <v>854.66389900000001</v>
      </c>
      <c r="O248" s="3">
        <f>0+(822-3.5)+(0+(0.41922-0.001785))+0-0-0</f>
        <v>818.91743499999995</v>
      </c>
      <c r="P248" s="3">
        <f>0+(830.7-12.3)+(0+(-0.423657--0.006273))+0-0-0</f>
        <v>817.98261600000012</v>
      </c>
      <c r="Q248" s="3">
        <f>0+(876.4-22.8)+(0+(-1.787856--0.046512))+0-0-0</f>
        <v>851.858656</v>
      </c>
      <c r="R248" s="3">
        <f>0+(859.8-18)+(0+(-2.19249--0.0459))+0-0-0</f>
        <v>839.65341000000001</v>
      </c>
      <c r="S248" s="3">
        <f>0+(830.3-25.2)+(0+(-1.693812--0.051408))+0-0-0</f>
        <v>803.45759599999985</v>
      </c>
      <c r="T248" s="3">
        <f>0+(824-27.4)+(0+(-1.26072--0.041922))+0-0-0</f>
        <v>795.38120200000003</v>
      </c>
      <c r="U248" s="3">
        <f>0+(815.9-15.1)+(0+(-0.832218--0.015402))+0-0-0</f>
        <v>799.98318399999994</v>
      </c>
      <c r="V248" s="3">
        <f>0+(795.8-2.8)+(0+(-0.811716--0.002856))+0-0-0</f>
        <v>792.19114000000002</v>
      </c>
      <c r="W248" s="3">
        <f>0+(941-62.8)+(0+(0.47991-0.032028))+0-0-0</f>
        <v>878.6478820000001</v>
      </c>
      <c r="X248" s="3">
        <f>0+(878.7-15.4)+(0+(-2.688822--0.047124))+0-0-0</f>
        <v>860.65830200000005</v>
      </c>
      <c r="Y248" s="3">
        <f>0+(846.1-3.2)+(0+(-3.020577--0.011424))+0-0-0</f>
        <v>839.89084700000001</v>
      </c>
      <c r="Z248" s="3">
        <f>0+(825.2-0)+(0+(-1.262556-0))+0-0-0</f>
        <v>823.93744400000003</v>
      </c>
      <c r="AA248" s="3">
        <f>0+(810.3-0)+(0+(-0.826506-0))+0-0-0</f>
        <v>809.47349399999996</v>
      </c>
      <c r="AB248" s="3">
        <f>0+(801.9-10.8)+(0+(-1.226907--0.016524))+0-0-0</f>
        <v>789.88961700000004</v>
      </c>
      <c r="AC248" s="3">
        <f>0+(829.2-59.1)+(0+(-0.422892--0.030141))+0-0-0</f>
        <v>769.70724900000005</v>
      </c>
      <c r="AD248">
        <v>855.9</v>
      </c>
      <c r="AE248" s="3">
        <f>0+(874.5-18.6)+(0+(0-0))+0-0-0</f>
        <v>855.9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0+(748.3-18)+(0+(-1.144899--0.02754))+0-0-0</f>
        <v>729.18264099999999</v>
      </c>
      <c r="G249" s="3">
        <f>0+(696.3-0)+(0+(-0.710226-0))+0-0-0</f>
        <v>695.58977399999992</v>
      </c>
      <c r="H249" s="3">
        <f>0+(680-0)+(0+(-1.3872-0))+0-0-0</f>
        <v>678.61279999999999</v>
      </c>
      <c r="I249" s="3">
        <f>0+(669-0)+(0+(0.68238-0))+0-0-0</f>
        <v>669.68237999999997</v>
      </c>
      <c r="J249" s="3">
        <f>0+(677.3-2.1)+(0+(-1.381692--0.004284))+0-0-0</f>
        <v>673.82259199999999</v>
      </c>
      <c r="K249" s="3">
        <f>0+(674.2-5.6)+(0+(-1.031526--0.008568))+0-0-0</f>
        <v>667.57704200000001</v>
      </c>
      <c r="L249" s="3">
        <f>0+(701.5-24.4)+(0+(0-0))+0-0-0</f>
        <v>677.1</v>
      </c>
      <c r="M249" s="3">
        <f>0+(703.1-3.7)+(0+(0-0))+0-0-0</f>
        <v>699.4</v>
      </c>
      <c r="N249" s="3">
        <f>0+(755.6-6.3)+(0+(0.770712-0.006426))+0-0-0</f>
        <v>750.06428600000004</v>
      </c>
      <c r="O249" s="3">
        <f>0+(789.5-6.2)+(0+(-0.402645--0.003162))+0-0-0</f>
        <v>782.90051699999992</v>
      </c>
      <c r="P249" s="3">
        <f>0+(825.7-13.4)+(0+(-0.421107--0.006834))+0-0-0</f>
        <v>811.88572700000009</v>
      </c>
      <c r="Q249" s="3">
        <f>0+(841.5-28.7)+(0+(-1.287495--0.043911))+0-0-0</f>
        <v>811.5564159999999</v>
      </c>
      <c r="R249" s="3">
        <f>0+(821.2-22.4)+(0+(-1.675248--0.045696))+0-0-0</f>
        <v>797.17044800000008</v>
      </c>
      <c r="S249" s="3">
        <f>0+(775.1-2.1)+(0+(0.790602-0.002142))+0-0-0</f>
        <v>773.78845999999999</v>
      </c>
      <c r="T249" s="3">
        <f>0+(766.5-8.1)+(0+(-0.390915--0.004131))+0-0-0</f>
        <v>758.01321599999994</v>
      </c>
      <c r="U249" s="3">
        <f>1.7+(765.4-9.2)+(-0.000867+(-0.390354--0.004692))+0-0-0</f>
        <v>757.51347099999998</v>
      </c>
      <c r="V249" s="3">
        <f>111.1+(680.1-20)+(-0.056661+(-0.346851--0.0102))+0-0-0</f>
        <v>770.80668800000001</v>
      </c>
      <c r="W249" s="3">
        <f>128.4+(718.2-10.6)+(0.065484+(0.366282-0.005406))+0-0-0</f>
        <v>836.42636000000005</v>
      </c>
      <c r="X249" s="3">
        <f>126.5+(704.1-0)+(-0.38709+(-2.154546-0))+0-0-0</f>
        <v>828.05836399999998</v>
      </c>
      <c r="Y249" s="3">
        <f>124.4+(701.4-3.7)+(-0.190332+(-1.073142--0.005661))+0-0-0</f>
        <v>820.84218699999985</v>
      </c>
      <c r="Z249" s="3">
        <f>84.4+(724.3-0)+(-0.172176+(-1.477572-0))+0-0-0</f>
        <v>807.05025199999989</v>
      </c>
      <c r="AA249" s="3">
        <f>0+(781.2-0)+(0+(-0.796824-0))+0-0-0</f>
        <v>780.40317600000003</v>
      </c>
      <c r="AB249" s="3">
        <f>0+(767-0)+(0+(-1.17351-0))+0-0-0</f>
        <v>765.82649000000004</v>
      </c>
      <c r="AC249" s="3">
        <f>0+(748.7-1.2)+(0+(-2.291022--0.003672))+0-0-0</f>
        <v>745.21265000000005</v>
      </c>
      <c r="AD249">
        <v>819.9</v>
      </c>
      <c r="AE249" s="3">
        <f>126+(701.9-8)+(0+(0-0))+0-0-0</f>
        <v>819.9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0+(753-24.6)+(0+(0.76806-0.025092))+0-0-0</f>
        <v>729.142968</v>
      </c>
      <c r="G250" s="3">
        <f>0+(730.3-32.3)+(0+(-1.117359--0.049419))+0-0-0</f>
        <v>696.93205999999998</v>
      </c>
      <c r="H250" s="3">
        <f>0+(679.5-2.6)+(0+(-1.039635--0.003978))+0-0-0</f>
        <v>675.86434299999996</v>
      </c>
      <c r="I250" s="3">
        <f>0+(660-0)+(0+(-0.6732-0))+0-0-0</f>
        <v>659.32680000000005</v>
      </c>
      <c r="J250" s="3">
        <f>0+(644-0)+(0+(-0.98532-0))+0-0-0</f>
        <v>643.01468</v>
      </c>
      <c r="K250" s="3">
        <f>0+(638.3-0)+(0+(-0.651066-0))+0-0-0</f>
        <v>637.64893399999994</v>
      </c>
      <c r="L250" s="3">
        <f>0+(652.7-16.7)+(0+(-2.330139--0.059619))+0-0-0</f>
        <v>633.72947999999997</v>
      </c>
      <c r="M250" s="3">
        <f>0+(643.3-26.3)+(0+(-0.656166--0.026826))+0-0-0</f>
        <v>616.37066000000004</v>
      </c>
      <c r="N250" s="3">
        <f>0+(694.5-66.7)+(0+(0.354195-0.034017))+0-0-0</f>
        <v>628.12017800000001</v>
      </c>
      <c r="O250" s="3">
        <f>0+(675.5-26.4)+(0+(-1.722525--0.06732))+0-0-0</f>
        <v>647.444795</v>
      </c>
      <c r="P250" s="3">
        <f>0+(714.2-39.6)+(0+(-1.092726--0.060588))+0-0-0</f>
        <v>673.56786199999999</v>
      </c>
      <c r="Q250" s="3">
        <f>0+(724.8-42.7)+(0+(-0.739296--0.043554))+0-0-0</f>
        <v>681.40425799999991</v>
      </c>
      <c r="R250" s="3">
        <f>0+(698.5-28.4)+(0+(-1.42494--0.057936))+0-0-0</f>
        <v>668.73299600000007</v>
      </c>
      <c r="S250" s="3">
        <f>0+(663-12.6)+(0+(-1.01439--0.019278))+0-0-0</f>
        <v>649.40488800000003</v>
      </c>
      <c r="T250" s="3">
        <f>0+(647-9)+(0+(0-0))+0-0-0</f>
        <v>638</v>
      </c>
      <c r="U250" s="3">
        <f>0+(663.3-19.3)+(0+(-0.338283--0.009843))+0-0-0</f>
        <v>643.67156</v>
      </c>
      <c r="V250" s="3">
        <f>0+(683.1-18.7)+(0+(0.696762-0.019074))+0-0-0</f>
        <v>665.07768799999997</v>
      </c>
      <c r="W250" s="3">
        <f>0+(895.1-123.4)+(0+(1.369503-0.188802))+0-0-0</f>
        <v>772.88070100000004</v>
      </c>
      <c r="X250" s="3">
        <f>0+(832.6-64.3)+(0+(-0.849252--0.065586))+0-0-0</f>
        <v>767.51633400000003</v>
      </c>
      <c r="Y250" s="3">
        <f>0+(789.2-45.3)+(0+(-0.804984--0.046206))+0-0-0</f>
        <v>743.14122200000008</v>
      </c>
      <c r="Z250" s="3">
        <f>0+(769.1-33.9)+(0+(-0.784482--0.034578))+0-0-0</f>
        <v>734.45009600000003</v>
      </c>
      <c r="AA250" s="3">
        <f>0+(759.6-29.4)+(0+(-1.162188--0.044982))+0-0-0</f>
        <v>729.08279400000004</v>
      </c>
      <c r="AB250" s="3">
        <f>0+(828.7-79.1)+(0+(-0.422637--0.040341))+0-0-0</f>
        <v>749.21770400000003</v>
      </c>
      <c r="AC250" s="3">
        <f>0+(763.4-74.4)+(0+(-1.168002--0.113832))+0-0-0</f>
        <v>687.94583</v>
      </c>
      <c r="AD250">
        <v>770.2</v>
      </c>
      <c r="AE250" s="3">
        <f>0+(862.5-92.3)+(0+(0-0))+0-0-0</f>
        <v>770.2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0+(705.9-39.7)+(0+(-0.360009--0.020247))+0-0-0</f>
        <v>665.86023799999998</v>
      </c>
      <c r="G251" s="3">
        <f>0+(705.1-73.5)+(0+(0-0))+0-0-0</f>
        <v>631.6</v>
      </c>
      <c r="H251" s="3">
        <f>0+(699.1-74.5)+(0+(0.713082-0.07599))+0-0-0</f>
        <v>625.23709200000008</v>
      </c>
      <c r="I251" s="3">
        <f>0+(694.1-78.6)+(0+(1.769955-0.20043))+0-0-0</f>
        <v>617.069525</v>
      </c>
      <c r="J251" s="3">
        <f>0+(707.1-76.7)+(0+(-0.360621--0.039117))+0-0-0</f>
        <v>630.07849599999997</v>
      </c>
      <c r="K251" s="3">
        <f>0+(734.5-92.2)+(0+(1.49838-0.188088))+0-0-0</f>
        <v>643.61029199999996</v>
      </c>
      <c r="L251" s="3">
        <f>0+(753.2-101.9)+(0+(1.152396-0.155907))+0-0-0</f>
        <v>652.29648900000007</v>
      </c>
      <c r="M251" s="3">
        <f>0+(791.1-91.7)+(0+(-0.806922--0.093534))+0-0-0</f>
        <v>698.68661199999997</v>
      </c>
      <c r="N251" s="3">
        <f>0+(775.8-19.9)+(0+(0.791316-0.020298))+0-0-0</f>
        <v>756.671018</v>
      </c>
      <c r="O251" s="3">
        <f>0+(900.3-73.5)+(0+(-1.377459--0.112455))+0-0-0</f>
        <v>825.53499599999998</v>
      </c>
      <c r="P251" s="3">
        <f>0+(909.1-97.7)+(0+(0.927282-0.099654))+0-0-0</f>
        <v>812.22762799999998</v>
      </c>
      <c r="Q251" s="3">
        <f>0+(962.7-115.9)+(0+(0-0))+0-0-0</f>
        <v>846.80000000000007</v>
      </c>
      <c r="R251" s="3">
        <f>0+(927.8-109)+(0+(-1.419534--0.16677))+0-0-0</f>
        <v>817.547236</v>
      </c>
      <c r="S251" s="3">
        <f>0+(902.2-73.1)+(0+(-0.460122--0.037281))+0-0-0</f>
        <v>828.67715900000007</v>
      </c>
      <c r="T251" s="3">
        <f>0+(883.7-66.6)+(0+(-0.450687--0.033966))+0-0-0</f>
        <v>816.68327899999997</v>
      </c>
      <c r="U251" s="3">
        <f>0+(895.2-78.7)+(0+(-1.369656--0.120411))+0-0-0</f>
        <v>815.25075500000003</v>
      </c>
      <c r="V251" s="3">
        <f>0+(932.6-98)+(0+(0.951252-0.09996))+0-0-0</f>
        <v>835.45129199999997</v>
      </c>
      <c r="W251" s="3">
        <f>0+(1126.4-226.6)+(0+(0.574464-0.115566))+0-0-0</f>
        <v>900.25889800000004</v>
      </c>
      <c r="X251" s="3">
        <f>0+(968.7-81.9)+(0+(-1.482111--0.125307))+0-0-0</f>
        <v>885.44319600000006</v>
      </c>
      <c r="Y251" s="3">
        <f>0+(870.1-19.4)+(0+(-0.443751--0.009894))+0-0-0</f>
        <v>850.26614300000006</v>
      </c>
      <c r="Z251" s="3">
        <f>0+(841-2.6)+(0+(-0.85782--0.002652))+0-0-0</f>
        <v>837.54483199999993</v>
      </c>
      <c r="AA251" s="3">
        <f>0+(819.6-6)+(0+(-0.835992--0.00612))+0-0-0</f>
        <v>812.770128</v>
      </c>
      <c r="AB251" s="3">
        <f>0+(806.9-19.2)+(0+(-0.411519--0.009792))+0-0-0</f>
        <v>787.29827299999988</v>
      </c>
      <c r="AC251" s="3">
        <f>0+(819.7-53.9)+(0+(-0.418047--0.027489))+0-0-0</f>
        <v>765.40944200000001</v>
      </c>
      <c r="AD251">
        <v>901.80000000000007</v>
      </c>
      <c r="AE251" s="3">
        <f>0+(1070.9-169.1)+(0+(0-0))+0-0-0</f>
        <v>901.80000000000007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0+(832.2-96.7)+(0+(-0.848844--0.098634))+0-0-0</f>
        <v>734.74978999999996</v>
      </c>
      <c r="G252" s="3">
        <f>0+(790.1-83.9)+(0+(-0.805902--0.085578))+0-0-0</f>
        <v>705.47967600000004</v>
      </c>
      <c r="H252" s="3">
        <f>0+(802-109)+(0+(0.81804-0.11118))+0-0-0</f>
        <v>693.70686000000001</v>
      </c>
      <c r="I252" s="3">
        <f>0+(810.8-123)+(0+(1.240524-0.18819))+0-0-0</f>
        <v>688.85233399999993</v>
      </c>
      <c r="J252" s="3">
        <f>0+(810.6-118.4)+(0+(2.06703-0.30192))+0-0-0</f>
        <v>693.9651100000001</v>
      </c>
      <c r="K252" s="3">
        <f>0+(798.7-115.8)+(0+(1.222011-0.177174))+0-0-0</f>
        <v>683.94483700000012</v>
      </c>
      <c r="L252" s="3">
        <f>0+(848-136.3)+(0+(-1.72992--0.278052))+0-0-0</f>
        <v>710.24813200000006</v>
      </c>
      <c r="M252" s="3">
        <f>0+(862.4-120.1)+(0+(-0.439824--0.061251))+0-0-0</f>
        <v>741.92142699999999</v>
      </c>
      <c r="N252" s="3">
        <f>0+(855.1-65)+(0+(0.872202-0.0663))+0-0-0</f>
        <v>790.90590199999997</v>
      </c>
      <c r="O252" s="3">
        <f>0+(836.5-8.4)+(0+(0-0))+0-0-0</f>
        <v>828.1</v>
      </c>
      <c r="P252" s="3">
        <f>0+(845.9-3.6)+(0+(0.431409-0.001836))+0-0-0</f>
        <v>842.72957299999996</v>
      </c>
      <c r="Q252" s="3">
        <f>0+(855.4-1.9)+(0+(-0.872508--0.001938))+0-0-0</f>
        <v>852.62942999999996</v>
      </c>
      <c r="R252" s="3">
        <f>0+(837.9-6.3)+(0+(-2.563974--0.019278))+0-0-0</f>
        <v>829.05530399999998</v>
      </c>
      <c r="S252" s="3">
        <f>0+(813.1-9.8)+(0+(-2.073405--0.02499))+0-0-0</f>
        <v>801.25158500000009</v>
      </c>
      <c r="T252" s="3">
        <f>0+(805.4-18.4)+(0+(-0.821508--0.018768))+0-0-0</f>
        <v>786.19726000000003</v>
      </c>
      <c r="U252" s="3">
        <f>0+(814.4-25.7)+(0+(0.830688-0.026214))+0-0-0</f>
        <v>789.50447399999996</v>
      </c>
      <c r="V252" s="3">
        <f>0+(830.2-30.2)+(0+(0.846804-0.030804))+0-0-0</f>
        <v>800.81600000000003</v>
      </c>
      <c r="W252" s="3">
        <f>0+(1094.6-195.5)+(0+(1.674738-0.299115))+0-0-0</f>
        <v>900.47562299999993</v>
      </c>
      <c r="X252" s="3">
        <f>0+(1011.5-126.4)+(0+(-1.547595--0.193392))+0-0-0</f>
        <v>883.74579700000004</v>
      </c>
      <c r="Y252" s="3">
        <f>0+(969.7-104.2)+(0+(-0.989094--0.106284))+0-0-0</f>
        <v>864.61719000000005</v>
      </c>
      <c r="Z252" s="3">
        <f>0+(953.4-101.8)+(0+(-0.486234--0.051918))+0-0-0</f>
        <v>851.16568400000006</v>
      </c>
      <c r="AA252" s="3">
        <f>0+(912.6-88.8)+(0+(-0.930852--0.090576))+0-0-0</f>
        <v>822.95972400000005</v>
      </c>
      <c r="AB252" s="3">
        <f>0+(897.3-89.5)+(0+(-2.745738--0.27387))+0-0-0</f>
        <v>805.32813199999998</v>
      </c>
      <c r="AC252" s="3">
        <f>0+(863-94.2)+(0+(-2.20065--0.24021))+0-0-0</f>
        <v>766.83956000000001</v>
      </c>
      <c r="AD252">
        <v>901.80000000000007</v>
      </c>
      <c r="AE252" s="3">
        <f>0+(1160.4-258.6)+(0+(0-0))+0-0-0</f>
        <v>901.80000000000007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0+(819.4-84.8)+(0+(-0.417894--0.043248))+0-0-0</f>
        <v>734.22535400000004</v>
      </c>
      <c r="G253" s="3">
        <f>0+(791.3-78.3)+(0+(-1.614252--0.159732))+0-0-0</f>
        <v>711.54548</v>
      </c>
      <c r="H253" s="3">
        <f>0+(793-102.7)+(0+(1.21329-0.157131))+0-0-0</f>
        <v>691.35615899999993</v>
      </c>
      <c r="I253" s="3">
        <f>0+(792.3-105.5)+(0+(-1.212219--0.161415))+0-0-0</f>
        <v>685.74919599999998</v>
      </c>
      <c r="J253" s="3">
        <f>0+(788.3-108.8)+(0+(1.608132-0.221952))+0-0-0</f>
        <v>680.88617999999997</v>
      </c>
      <c r="K253" s="3">
        <f>0+(822.9-144.5)+(0+(0.419679-0.073695))+0-0-0</f>
        <v>678.74598400000002</v>
      </c>
      <c r="L253" s="3">
        <f>0+(879.3-174.2)+(0+(-0.448443--0.088842))+0-0-0</f>
        <v>704.74039899999991</v>
      </c>
      <c r="M253" s="3">
        <f>0+(904.9-179.7)+(0+(-0.461499--0.091647))+0-0-0</f>
        <v>724.83014800000001</v>
      </c>
      <c r="N253" s="3">
        <f>0+(801.2-27.7)+(0+(-0.408612--0.014127))+0-0-0</f>
        <v>773.10551499999997</v>
      </c>
      <c r="O253" s="3">
        <f>0+(841.9-16.5)+(0+(-0.429369--0.008415))+0-0-0</f>
        <v>824.97904599999993</v>
      </c>
      <c r="P253" s="3">
        <f>0+(856.1-16.1)+(0+(-0.436611--0.008211))+0-0-0</f>
        <v>839.57159999999999</v>
      </c>
      <c r="Q253" s="3">
        <f>0+(862.6-18.4)+(0+(-1.319778--0.028152))+0-0-0</f>
        <v>842.90837400000009</v>
      </c>
      <c r="R253" s="3">
        <f>0+(834.3-14.2)+(0+(-1.276479--0.021726))+0-0-0</f>
        <v>818.84524699999986</v>
      </c>
      <c r="S253" s="3">
        <f>0+(827.4-20.3)+(0+(-0.421974--0.010353))+0-0-0</f>
        <v>806.68837900000005</v>
      </c>
      <c r="T253" s="3">
        <f>0+(831-22.7)+(0+(1.27143-0.034731))+0-0-0</f>
        <v>809.536699</v>
      </c>
      <c r="U253" s="3">
        <f>0+(830.5-28.2)+(0+(0-0))+0-0-0</f>
        <v>802.3</v>
      </c>
      <c r="V253" s="3">
        <f>0+(837.4-28.9)+(0+(-1.708296--0.058956))+0-0-0</f>
        <v>806.85065999999995</v>
      </c>
      <c r="W253" s="3">
        <f>0+(963.9-69.7)+(0+(0.491589-0.035547))+0-0-0</f>
        <v>894.65604199999996</v>
      </c>
      <c r="X253" s="3">
        <f>0+(905.1-27.1)+(0+(-1.384803--0.041463))+0-0-0</f>
        <v>876.65665999999999</v>
      </c>
      <c r="Y253" s="3">
        <f>0+(864.7-14.1)+(0+(0-0))+0-0-0</f>
        <v>850.6</v>
      </c>
      <c r="Z253" s="3">
        <f>0+(847-5.8)+(0+(0-0))+0-0-0</f>
        <v>841.2</v>
      </c>
      <c r="AA253" s="3">
        <f>0+(824.8-6.4)+(0+(-1.682592--0.013056))+0-0-0</f>
        <v>816.73046399999998</v>
      </c>
      <c r="AB253" s="3">
        <f>0+(808.1-10.6)+(0+(-2.884917--0.037842))+0-0-0</f>
        <v>794.65292499999998</v>
      </c>
      <c r="AC253" s="3">
        <f>0+(785.5-20)+(0+(-2.003025--0.051))+0-0-0</f>
        <v>763.54797499999995</v>
      </c>
      <c r="AD253">
        <v>908.5</v>
      </c>
      <c r="AE253" s="3">
        <f>0+(1034.7-126.2)+(0+(0-0))+0-0-0</f>
        <v>908.5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0+(812-72)+(0+(-2.89884--0.25704))+0-0-0</f>
        <v>737.35820000000001</v>
      </c>
      <c r="G254" s="3">
        <f>0+(763.5-45.2)+(0+(-1.55754--0.092208))+0-0-0</f>
        <v>716.83466799999997</v>
      </c>
      <c r="H254" s="3">
        <f>0+(740.1-30.4)+(0+(0-0))+0-0-0</f>
        <v>709.7</v>
      </c>
      <c r="I254" s="3">
        <f>0+(797.6-97.6)+(0+(-0.813552--0.099552))+0-0-0</f>
        <v>699.28599999999994</v>
      </c>
      <c r="J254" s="3">
        <f>0+(803.7-100.4)+(0+(0-0))+0-0-0</f>
        <v>703.30000000000007</v>
      </c>
      <c r="K254" s="3">
        <f>0+(815.7-114.9)+(0+(1.248021-0.175797))+0-0-0</f>
        <v>701.87222400000007</v>
      </c>
      <c r="L254" s="3">
        <f>0+(919.1-192.7)+(0+(-1.874964--0.393108))+0-0-0</f>
        <v>724.9181440000001</v>
      </c>
      <c r="M254" s="3">
        <f>0+(923.6-162.3)+(0+(-0.471036--0.082773))+0-0-0</f>
        <v>760.9117369999999</v>
      </c>
      <c r="N254" s="3">
        <f>0+(873.4-67.2)+(0+(0-0))+0-0-0</f>
        <v>806.19999999999993</v>
      </c>
      <c r="O254" s="3">
        <f>0+(897-4.6)+(0+(-0.45747--0.002346))+0-0-0</f>
        <v>891.94487600000002</v>
      </c>
      <c r="P254" s="3">
        <f>0+(853.2-6.9)+(0+(-1.740528--0.014076))+0-0-0</f>
        <v>844.57354800000007</v>
      </c>
      <c r="Q254" s="3">
        <f>0+(880.9-27.5)+(0+(-2.246295--0.070125))+0-0-0</f>
        <v>851.22383000000002</v>
      </c>
      <c r="R254" s="3">
        <f>0+(858.1-17.6)+(0+(-2.188155--0.04488))+0-0-0</f>
        <v>838.35672499999998</v>
      </c>
      <c r="S254" s="3">
        <f>0+(820.5-11.8)+(0+(-1.255365--0.018054))+0-0-0</f>
        <v>807.46268900000007</v>
      </c>
      <c r="T254" s="3">
        <f>0+(824.5-14.5)+(0+(-1.261485--0.022185))+0-0-0</f>
        <v>808.76070000000004</v>
      </c>
      <c r="U254" s="3">
        <f>0+(816.2-14.6)+(0+(-0.832524--0.014892))+0-0-0</f>
        <v>800.78236800000002</v>
      </c>
      <c r="V254" s="3">
        <f>0+(820.1-10.8)+(0+(0-0))+0-0-0</f>
        <v>809.30000000000007</v>
      </c>
      <c r="W254" s="3">
        <f>0+(985.5-103.1)+(0+(2.01042-0.210324))+0-0-0</f>
        <v>884.20009600000003</v>
      </c>
      <c r="X254" s="3">
        <f>0+(921.8-42.8)+(0+(-1.410354--0.065484))+0-0-0</f>
        <v>877.65512999999999</v>
      </c>
      <c r="Y254" s="3">
        <f>0+(884-23.6)+(0+(-2.70504--0.072216))+0-0-0</f>
        <v>857.76717599999995</v>
      </c>
      <c r="Z254" s="3">
        <f>0+(838.3-4.4)+(0+(-1.282599--0.006732))+0-0-0</f>
        <v>832.62413300000003</v>
      </c>
      <c r="AA254" s="3">
        <f>0+(804.9-0)+(0+(-1.231497-0))+0-0-0</f>
        <v>803.66850299999999</v>
      </c>
      <c r="AB254" s="3">
        <f>0+(803.5-2.1)+(0+(-0.409785--0.001071))+0-0-0</f>
        <v>800.99128599999995</v>
      </c>
      <c r="AC254" s="3">
        <f>0+(853.4-88.3)+(0+(-2.17617--0.225165))+0-0-0</f>
        <v>763.14899500000001</v>
      </c>
      <c r="AD254">
        <v>891.69999999999993</v>
      </c>
      <c r="AE254" s="3">
        <f>0+(1041.6-149.9)+(0+(0-0))+0-0-0</f>
        <v>891.69999999999993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0+(778.6-50.6)+(0+(-1.588344--0.103224))+0-0-0</f>
        <v>726.51487999999995</v>
      </c>
      <c r="G255" s="3">
        <f>0+(832.1-122.7)+(0+(0.424371-0.062577))+0-0-0</f>
        <v>709.76179400000001</v>
      </c>
      <c r="H255" s="3">
        <f>0+(832-130.2)+(0+(0.84864-0.132804))+0-0-0</f>
        <v>702.51583599999992</v>
      </c>
      <c r="I255" s="3">
        <f>0+(842.9-151.6)+(0+(-1.289637--0.231948))+0-0-0</f>
        <v>690.24231099999997</v>
      </c>
      <c r="J255" s="3">
        <f>0+(841.4-147.5)+(0+(-0.429114--0.075225))+0-0-0</f>
        <v>693.546111</v>
      </c>
      <c r="K255" s="3">
        <f>0+(861-167.9)+(0+(1.75644-0.342516))+0-0-0</f>
        <v>694.51392399999997</v>
      </c>
      <c r="L255" s="3">
        <f>0+(894.6-178)+(0+(0-0))+0-0-0</f>
        <v>716.6</v>
      </c>
      <c r="M255" s="3">
        <f>0+(941.6-168.9)+(0+(-0.480216--0.086139))+0-0-0</f>
        <v>772.30592300000001</v>
      </c>
      <c r="N255" s="3">
        <f>1.6+(866.7-73.6)+(0+(0-0))+0-0-0</f>
        <v>794.7</v>
      </c>
      <c r="O255" s="3">
        <f>54.9+(785.7-13.1)+(0+(0-0))+0-0-0</f>
        <v>827.5</v>
      </c>
      <c r="P255" s="3">
        <f>160.9+(694.4-16.7)+(-0.082059+(-0.354144--0.008517))+0-0-0</f>
        <v>838.17231399999991</v>
      </c>
      <c r="Q255" s="3">
        <f>239.4+(619.2-17.8)+(-0.122094+(-0.315792--0.009078))+0-0-0</f>
        <v>840.37119200000006</v>
      </c>
      <c r="R255" s="3">
        <f>192.7+(656.7-23.7)+(0+(0-0))+0-0-0</f>
        <v>825.7</v>
      </c>
      <c r="S255" s="3">
        <f>175.2+(638.5-19.7)+(0+(0-0))+0-0-0</f>
        <v>794</v>
      </c>
      <c r="T255" s="3">
        <f>175.7+(630.3-19.4)+(0.179214+(0.642906-0.019788))+0-0-0</f>
        <v>787.40233199999989</v>
      </c>
      <c r="U255" s="3">
        <f>169.9+(644.6-19.9)+(-0.173298+(-0.657492--0.020298))+0-0-0</f>
        <v>793.78950800000007</v>
      </c>
      <c r="V255" s="3">
        <f>170.2+(656.6-20.2)+(0+(0-0))+0-0-0</f>
        <v>806.59999999999991</v>
      </c>
      <c r="W255" s="3">
        <f>225.7+(678.7-28.1)+(0+(0-0))+0-0-0</f>
        <v>876.3</v>
      </c>
      <c r="X255" s="3">
        <f>238.6+(647.1-8.2)+(-0.365058+(-0.990063--0.012546))+0-0-0</f>
        <v>876.15742499999999</v>
      </c>
      <c r="Y255" s="3">
        <f>242.8+(644.3-27.9)+(-0.495312+(-1.314372--0.056916))+0-0-0</f>
        <v>857.4472320000001</v>
      </c>
      <c r="Z255" s="3">
        <f>140.5+(709.4-11.8)+(-0.14331+(-0.723588--0.012036))+0-0-0</f>
        <v>837.245138</v>
      </c>
      <c r="AA255" s="3">
        <f>100.1+(705.2-0)+(-0.153153+(-1.078956-0))+0-0-0</f>
        <v>804.06789100000003</v>
      </c>
      <c r="AB255" s="3">
        <f>97+(709-12.8)+(-0.19788+(-1.44636--0.026112))+0-0-0</f>
        <v>791.58187200000009</v>
      </c>
      <c r="AC255" s="3">
        <f>63.9+(753.6-46.6)+(-0.130356+(-1.537344--0.095064))+0-0-0</f>
        <v>769.32736399999999</v>
      </c>
      <c r="AD255">
        <v>887.59999999999991</v>
      </c>
      <c r="AE255" s="3">
        <f>240+(683.3-35.7)+(0+(0-0))+0-0-0</f>
        <v>887.59999999999991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0+(796.2-71.1)+(0+(-1.218186--0.108783))+0-0-0</f>
        <v>723.99059699999998</v>
      </c>
      <c r="G256" s="3">
        <f>0+(794.9-96.1)+(0+(-3.243192--0.392088))+0-0-0</f>
        <v>695.94889599999999</v>
      </c>
      <c r="H256" s="3">
        <f>0+(727.8-42.4)+(0+(-2.598246--0.151368))+0-0-0</f>
        <v>682.95312200000001</v>
      </c>
      <c r="I256" s="3">
        <f>0+(708.1-27.1)+(0+(-1.444524--0.055284))+0-0-0</f>
        <v>679.61076000000003</v>
      </c>
      <c r="J256" s="3">
        <f>0+(740.5-56.1)+(0+(-0.377655--0.028611))+0-0-0</f>
        <v>684.05095599999993</v>
      </c>
      <c r="K256" s="3">
        <f>0+(721.8-40.3)+(0+(0-0))+0-0-0</f>
        <v>681.5</v>
      </c>
      <c r="L256" s="3">
        <f>0+(759.1-58.6)+(0+(-0.774282--0.059772))+0-0-0</f>
        <v>699.78548999999998</v>
      </c>
      <c r="M256" s="3">
        <f>0+(772.5-47.4)+(0+(0.393975-0.024174))+0-0-0</f>
        <v>725.46980100000007</v>
      </c>
      <c r="N256" s="3">
        <f>0+(829.4-49)+(0+(0.845988-0.04998))+0-0-0</f>
        <v>781.19600800000001</v>
      </c>
      <c r="O256" s="3">
        <f>0+(807.2-0)+(0+(-0.411672-0))+0-0-0</f>
        <v>806.78832800000009</v>
      </c>
      <c r="P256" s="3">
        <f>0+(850.2-20.7)+(0+(0-0))+0-0-0</f>
        <v>829.5</v>
      </c>
      <c r="Q256" s="3">
        <f>0+(866.8-34.7)+(0+(-1.326204--0.053091))+0-0-0</f>
        <v>830.82688699999994</v>
      </c>
      <c r="R256" s="3">
        <f>0+(842.2-30.3)+(0+(-2.577132--0.092718))+0-0-0</f>
        <v>809.41558600000008</v>
      </c>
      <c r="S256" s="3">
        <f>0+(793.1-10.1)+(0+(-2.022405--0.025755))+0-0-0</f>
        <v>781.00334999999995</v>
      </c>
      <c r="T256" s="3">
        <f>0+(765.7-0)+(0+(0.390507-0))+0-0-0</f>
        <v>766.090507</v>
      </c>
      <c r="U256" s="3">
        <f>0+(760.9-0)+(0+(-1.164177-0))+0-0-0</f>
        <v>759.73582299999998</v>
      </c>
      <c r="V256" s="3">
        <f>0+(783.1-0)+(0+(0-0))+0-0-0</f>
        <v>783.1</v>
      </c>
      <c r="W256" s="3">
        <f>0+(912.7-56)+(0+(-0.465477--0.02856))+0-0-0</f>
        <v>856.26308300000005</v>
      </c>
      <c r="X256" s="3">
        <f>0+(856.1-15.9)+(0+(0.873222-0.016218))+0-0-0</f>
        <v>841.05700400000001</v>
      </c>
      <c r="Y256" s="3">
        <f>0+(831.2-4.1)+(0+(-1.695648--0.008364))+0-0-0</f>
        <v>825.41271600000005</v>
      </c>
      <c r="Z256" s="3">
        <f>0+(809.3-8.2)+(0+(-1.650972--0.016728))+0-0-0</f>
        <v>799.46575599999994</v>
      </c>
      <c r="AA256" s="3">
        <f>0+(786.8-0)+(0+(0.401268-0))+0-0-0</f>
        <v>787.20126799999991</v>
      </c>
      <c r="AB256" s="3">
        <f>0+(796.1-18.5)+(0+(-0.406011--0.009435))+0-0-0</f>
        <v>777.20342400000004</v>
      </c>
      <c r="AC256" s="3">
        <f>0+(768.9-15.3)+(0+(-1.176417--0.023409))+0-0-0</f>
        <v>752.44699200000002</v>
      </c>
      <c r="AD256">
        <v>846</v>
      </c>
      <c r="AE256" s="3">
        <f>0+(929.8-83.8)+(0+(0-0))+0-0-0</f>
        <v>846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0+(767.5-35.2)+(0+(-1.957125--0.08976))+0-0-0</f>
        <v>730.432635</v>
      </c>
      <c r="G257" s="3">
        <f>0+(764.3-62.9)+(0+(-0.779586--0.064158))+0-0-0</f>
        <v>700.684572</v>
      </c>
      <c r="H257" s="3">
        <f>0+(755.2-70.9)+(0+(-0.770304--0.072318))+0-0-0</f>
        <v>683.60201400000005</v>
      </c>
      <c r="I257" s="3">
        <f>0+(738.7-70.6)+(0+(-0.376737--0.036006))+0-0-0</f>
        <v>667.75926900000002</v>
      </c>
      <c r="J257" s="3">
        <f>0+(756.5-89.5)+(0+(-0.385815--0.045645))+0-0-0</f>
        <v>666.65983000000006</v>
      </c>
      <c r="K257" s="3">
        <f>0+(751.6-98.2)+(0+(1.533264-0.200328))+0-0-0</f>
        <v>654.732936</v>
      </c>
      <c r="L257" s="3">
        <f>0+(728.5-70.6)+(0+(-0.74307--0.072012))+0-0-0</f>
        <v>657.22894199999996</v>
      </c>
      <c r="M257" s="3">
        <f>0+(721.8-92.4)+(0+(0-0))+0-0-0</f>
        <v>629.4</v>
      </c>
      <c r="N257" s="3">
        <f>0+(762.1-106.3)+(0+(0-0))+0-0-0</f>
        <v>655.80000000000007</v>
      </c>
      <c r="O257" s="3">
        <f>0+(725.1-45.7)+(0+(-0.369801--0.023307))+0-0-0</f>
        <v>679.05350599999997</v>
      </c>
      <c r="P257" s="3">
        <f>0+(709.5-5.1)+(0+(-1.085535--0.007803))+0-0-0</f>
        <v>703.32226800000001</v>
      </c>
      <c r="Q257" s="3">
        <f>0+(709.3-5.2)+(0+(-1.446972--0.010608))+0-0-0</f>
        <v>702.66363599999988</v>
      </c>
      <c r="R257" s="3">
        <f>0+(704-12.6)+(0+(-1.7952--0.03213))+0-0-0</f>
        <v>689.63693000000001</v>
      </c>
      <c r="S257" s="3">
        <f>0+(700.5-22)+(0+(-0.71451--0.02244))+0-0-0</f>
        <v>677.80793000000006</v>
      </c>
      <c r="T257" s="3">
        <f>0+(692.4-25.8)+(0+(0-0))+0-0-0</f>
        <v>666.6</v>
      </c>
      <c r="U257" s="3">
        <f>0+(687.9-28.3)+(0+(1.052487-0.043299))+0-0-0</f>
        <v>660.60918800000002</v>
      </c>
      <c r="V257" s="3">
        <f>0+(688.6-13)+(0+(0-0))+0-0-0</f>
        <v>675.6</v>
      </c>
      <c r="W257" s="3">
        <f>0+(864.8-90.9)+(0+(-0.882096--0.092718))+0-0-0</f>
        <v>773.11062199999992</v>
      </c>
      <c r="X257" s="3">
        <f>0+(799.4-28.3)+(0+(-0.407694--0.014433))+0-0-0</f>
        <v>770.70673899999997</v>
      </c>
      <c r="Y257" s="3">
        <f>0+(787.8-26.3)+(0+(-1.205334--0.040239))+0-0-0</f>
        <v>760.33490500000005</v>
      </c>
      <c r="Z257" s="3">
        <f>0+(777.4-29.5)+(0+(-0.792948--0.03009))+0-0-0</f>
        <v>747.13714199999993</v>
      </c>
      <c r="AA257" s="3">
        <f>0+(745.8-19)+(0+(0.380358-0.00969))+0-0-0</f>
        <v>727.17066799999998</v>
      </c>
      <c r="AB257" s="3">
        <f>0+(865.2-129.1)+(0+(0.882504-0.131682))+0-0-0</f>
        <v>736.85082199999999</v>
      </c>
      <c r="AC257" s="3">
        <f>0+(784.8-76.2)+(0+(0-0))+0-0-0</f>
        <v>708.59999999999991</v>
      </c>
      <c r="AD257">
        <v>776.1</v>
      </c>
      <c r="AE257" s="3">
        <f>0+(813.9-37.8)+(0+(0-0))+0-0-0</f>
        <v>776.1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0+(710.6-45.4)+(0+(-0.724812--0.046308))+0-0-0</f>
        <v>664.52149600000007</v>
      </c>
      <c r="G258" s="3">
        <f>0+(691.8-58.3)+(0+(-0.352818--0.029733))+0-0-0</f>
        <v>633.17691500000001</v>
      </c>
      <c r="H258" s="3">
        <f>0+(683.4-64.6)+(0+(-0.697068--0.065892))+0-0-0</f>
        <v>618.16882399999997</v>
      </c>
      <c r="I258" s="3">
        <f>0+(688.8-76)+(0+(-0.351288--0.03876))+0-0-0</f>
        <v>612.48747199999991</v>
      </c>
      <c r="J258" s="3">
        <f>0+(676.7-61.4)+(0+(0.345117-0.031314))+0-0-0</f>
        <v>615.61380300000008</v>
      </c>
      <c r="K258" s="3">
        <f>0+(705.9-80.1)+(0+(-0.360009--0.040851))+0-0-0</f>
        <v>625.48084199999994</v>
      </c>
      <c r="L258" s="3">
        <f>0+(786.5-119.9)+(0+(-0.401115--0.061149))+0-0-0</f>
        <v>666.26003400000002</v>
      </c>
      <c r="M258" s="3">
        <f>0+(808.1-98.9)+(0+(-1.236393--0.151317))+0-0-0</f>
        <v>708.11492400000009</v>
      </c>
      <c r="N258" s="3">
        <f>0+(775.5-10.4)+(0+(-0.395505--0.005304))+0-0-0</f>
        <v>764.70979899999998</v>
      </c>
      <c r="O258" s="3">
        <f>0+(813.1-0)+(0+(-0.829362-0))+0-0-0</f>
        <v>812.27063800000008</v>
      </c>
      <c r="P258" s="3">
        <f>0+(851.1-18)+(0+(-0.434061--0.00918))+0-0-0</f>
        <v>832.675119</v>
      </c>
      <c r="Q258" s="3">
        <f>0+(860.8-28)+(0+(-0.439008--0.01428))+0-0-0</f>
        <v>832.375272</v>
      </c>
      <c r="R258" s="3">
        <f>0+(830.9-14.9)+(0+(-1.695036--0.030396))+0-0-0</f>
        <v>814.33536000000004</v>
      </c>
      <c r="S258" s="3">
        <f>0+(794.9-0)+(0+(-0.405399-0))+0-0-0</f>
        <v>794.49460099999999</v>
      </c>
      <c r="T258" s="3">
        <f>0+(784-0)+(0+(-1.59936-0))+0-0-0</f>
        <v>782.40063999999995</v>
      </c>
      <c r="U258" s="3">
        <f>0+(782.5-2.3)+(0+(0-0))+0-0-0</f>
        <v>780.2</v>
      </c>
      <c r="V258" s="3">
        <f>0+(813.1-16)+(0+(-0.414681--0.00816))+0-0-0</f>
        <v>796.69347900000002</v>
      </c>
      <c r="W258" s="3">
        <f>0+(946.4-66.5)+(0+(-0.965328--0.06783))+0-0-0</f>
        <v>879.00250199999994</v>
      </c>
      <c r="X258" s="3">
        <f>0+(901.4-33.9)+(0+(-1.838856--0.069156))+0-0-0</f>
        <v>865.73030000000006</v>
      </c>
      <c r="Y258" s="3">
        <f>0+(851-12.4)+(0+(-2.17005--0.03162))+0-0-0</f>
        <v>836.46157000000005</v>
      </c>
      <c r="Z258" s="3">
        <f>0+(820.9-0)+(0+(-1.255977-0))+0-0-0</f>
        <v>819.64402299999995</v>
      </c>
      <c r="AA258" s="3">
        <f>0+(791.3-0)+(0+(-0.807126-0))+0-0-0</f>
        <v>790.49287399999992</v>
      </c>
      <c r="AB258" s="3">
        <f>0+(783.9-4)+(0+(-0.399789--0.00204))+0-0-0</f>
        <v>779.502251</v>
      </c>
      <c r="AC258" s="3">
        <f>0+(775.2-15.5)+(0+(0-0))+0-0-0</f>
        <v>759.7</v>
      </c>
      <c r="AD258">
        <v>900.5</v>
      </c>
      <c r="AE258" s="3">
        <f>0+(1007.5-107)+(0+(0-0))+0-0-0</f>
        <v>900.5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0+(735.3-10.3)+(0+(-0.750006--0.010506))+0-0-0</f>
        <v>724.26049999999998</v>
      </c>
      <c r="G259" s="3">
        <f>0+(709.5-16.8)+(0+(-1.44738--0.034272))+0-0-0</f>
        <v>691.28689200000008</v>
      </c>
      <c r="H259" s="3">
        <f>0+(701.7-19.2)+(0+(-0.357867--0.009792))+0-0-0</f>
        <v>682.15192500000001</v>
      </c>
      <c r="I259" s="3">
        <f>0+(678.2-12.4)+(0+(-0.691764--0.012648))+0-0-0</f>
        <v>665.12088400000005</v>
      </c>
      <c r="J259" s="3">
        <f>0+(683.3-12.9)+(0+(-0.696966--0.013158))+0-0-0</f>
        <v>669.71619199999998</v>
      </c>
      <c r="K259" s="3">
        <f>0+(701.4-32.5)+(0+(1.430856-0.0663))+0-0-0</f>
        <v>670.26455599999997</v>
      </c>
      <c r="L259" s="3">
        <f>0+(748.7-56.2)+(0+(-1.527348--0.114648))+0-0-0</f>
        <v>691.08730000000003</v>
      </c>
      <c r="M259" s="3">
        <f>0+(745.3-22.4)+(0+(-0.760206--0.022848))+0-0-0</f>
        <v>722.16264200000001</v>
      </c>
      <c r="N259" s="3">
        <f>0+(796.3-30.9)+(0+(-0.406113--0.015759))+0-0-0</f>
        <v>765.00964599999998</v>
      </c>
      <c r="O259" s="3">
        <f>0+(818.3-11.6)+(0+(0-0))+0-0-0</f>
        <v>806.69999999999993</v>
      </c>
      <c r="P259" s="3">
        <f>0+(834.8-9.3)+(0+(-2.12874--0.023715))+0-0-0</f>
        <v>823.39497500000004</v>
      </c>
      <c r="Q259" s="3">
        <f>0+(851.5-10.3)+(0+(-0.86853--0.010506))+0-0-0</f>
        <v>840.34197600000005</v>
      </c>
      <c r="R259" s="3">
        <f>0+(810.4-9.2)+(0+(-3.306432--0.037536))+0-0-0</f>
        <v>797.93110399999989</v>
      </c>
      <c r="S259" s="3">
        <f>0+(783.5-11.5)+(0+(-0.79917--0.01173))+0-0-0</f>
        <v>771.21256000000005</v>
      </c>
      <c r="T259" s="3">
        <f>0+(771.9-11.9)+(0+(-1.181007--0.018207))+0-0-0</f>
        <v>758.83720000000005</v>
      </c>
      <c r="U259" s="3">
        <f>0+(765.2-15.1)+(0+(-1.170756--0.023103))+0-0-0</f>
        <v>748.95234700000003</v>
      </c>
      <c r="V259" s="3">
        <f>0+(750.2-4.1)+(0+(1.147806-0.006273))+0-0-0</f>
        <v>747.241533</v>
      </c>
      <c r="W259" s="3">
        <f>0+(868.8-48.1)+(0+(-0.443088--0.024531))+0-0-0</f>
        <v>820.28144299999997</v>
      </c>
      <c r="X259" s="3">
        <f>0+(833.4-26.8)+(0+(-2.975238--0.095676))+0-0-0</f>
        <v>803.72043800000006</v>
      </c>
      <c r="Y259" s="3">
        <f>0+(831.5-45.7)+(0+(-0.84813--0.046614))+0-0-0</f>
        <v>784.99848399999996</v>
      </c>
      <c r="Z259" s="3">
        <f>0+(806.1-35.5)+(0+(-1.644444--0.07242))+0-0-0</f>
        <v>769.02797599999997</v>
      </c>
      <c r="AA259" s="3">
        <f>0+(759.5-18.3)+(0+(-1.162035--0.027999))+0-0-0</f>
        <v>740.06596400000001</v>
      </c>
      <c r="AB259" s="3">
        <f>0+(769.5-33.6)+(0+(-0.78489--0.034272))+0-0-0</f>
        <v>735.14938199999995</v>
      </c>
      <c r="AC259" s="3">
        <f>0+(716.8-0)+(0+(-1.096704-0))+0-0-0</f>
        <v>715.70329599999991</v>
      </c>
      <c r="AD259">
        <v>829.6</v>
      </c>
      <c r="AE259" s="3">
        <f>0+(911.4-81.8)+(0+(0-0))+0-0-0</f>
        <v>829.6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0+(691.2-1.4)+(0+(0.352512-0.000714))+0-0-0</f>
        <v>690.1517980000001</v>
      </c>
      <c r="G260" s="3">
        <f>0+(669.8-5.6)+(0+(0.683196-0.005712))+0-0-0</f>
        <v>664.87748399999998</v>
      </c>
      <c r="H260" s="3">
        <f>0+(652.4-6.5)+(0+(0-0))+0-0-0</f>
        <v>645.9</v>
      </c>
      <c r="I260" s="3">
        <f>0+(633.1-4.1)+(0+(1.291524-0.008364))+0-0-0</f>
        <v>630.28315999999995</v>
      </c>
      <c r="J260" s="3">
        <f>0+(612-3)+(0+(-0.62424--0.00306))+0-0-0</f>
        <v>608.37882000000002</v>
      </c>
      <c r="K260" s="3">
        <f>0+(597.4-3.1)+(0+(0.609348-0.003162))+0-0-0</f>
        <v>594.90618599999993</v>
      </c>
      <c r="L260" s="3">
        <f>0+(587.5-16.2)+(0+(-1.498125--0.04131))+0-0-0</f>
        <v>569.84318499999995</v>
      </c>
      <c r="M260" s="3">
        <f>0+(564.1-28.7)+(0+(-0.287691--0.014637))+0-0-0</f>
        <v>535.12694599999998</v>
      </c>
      <c r="N260" s="3">
        <f>0+(564.9-23)+(0+(0.576198-0.02346))+0-0-0</f>
        <v>542.45273799999995</v>
      </c>
      <c r="O260" s="3">
        <f>0+(594.3-30.4)+(0+(-1.212372--0.062016))+0-0-0</f>
        <v>562.74964399999999</v>
      </c>
      <c r="P260" s="3">
        <f>0+(603.2-35.5)+(0+(-0.307632--0.018105))+0-0-0</f>
        <v>567.41047300000002</v>
      </c>
      <c r="Q260" s="3">
        <f>0+(574.1-22.1)+(0+(-1.756746--0.067626))+0-0-0</f>
        <v>550.31088</v>
      </c>
      <c r="R260" s="3">
        <f>0+(558.2-19)+(0+(0-0))+0-0-0</f>
        <v>539.20000000000005</v>
      </c>
      <c r="S260" s="3">
        <f>0+(533-6.1)+(0+(0-0))+0-0-0</f>
        <v>526.9</v>
      </c>
      <c r="T260" s="3">
        <f>0+(525.1-3.1)+(0+(-1.339005--0.007905))+0-0-0</f>
        <v>520.66890000000001</v>
      </c>
      <c r="U260" s="3">
        <f>0+(519.1-2.8)+(0+(0.794223-0.004284))+0-0-0</f>
        <v>517.08993900000007</v>
      </c>
      <c r="V260" s="3">
        <f>0+(532.1-0)+(0+(-0.271371-0))+0-0-0</f>
        <v>531.82862899999998</v>
      </c>
      <c r="W260" s="3">
        <f>0+(629.2-15.2)+(0+(0-0))+0-0-0</f>
        <v>614</v>
      </c>
      <c r="X260" s="3">
        <f>0+(622.8-0)+(0+(-2.223396-0))+0-0-0</f>
        <v>620.57660399999997</v>
      </c>
      <c r="Y260" s="3">
        <f>0+(607.6-0)+(0+(-1.239504-0))+0-0-0</f>
        <v>606.36049600000001</v>
      </c>
      <c r="Z260" s="3">
        <f>0+(589.3-0)+(0+(-0.901629-0))+0-0-0</f>
        <v>588.398371</v>
      </c>
      <c r="AA260" s="3">
        <f>0+(587.2-1.9)+(0+(0-0))+0-0-0</f>
        <v>585.30000000000007</v>
      </c>
      <c r="AB260" s="3">
        <f>0+(642.4-45.1)+(0+(-0.655248--0.046002))+0-0-0</f>
        <v>596.69075399999997</v>
      </c>
      <c r="AC260" s="3">
        <f>0+(604-22.8)+(0+(-1.84824--0.069768))+0-0-0</f>
        <v>579.42152800000008</v>
      </c>
      <c r="AD260">
        <v>641.20000000000005</v>
      </c>
      <c r="AE260" s="3">
        <f>0+(670.2-29)+(0+(0-0))+0-0-0</f>
        <v>641.20000000000005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0+(567-13.8)+(0+(-0.86751--0.021114))+0-0-0</f>
        <v>552.35360400000002</v>
      </c>
      <c r="G261" s="3">
        <f>0+(543.3-14.2)+(0+(-0.554166--0.014484))+0-0-0</f>
        <v>528.56031799999994</v>
      </c>
      <c r="H261" s="3">
        <f>0+(519.7-7.6)+(0+(-1.060188--0.015504))+0-0-0</f>
        <v>511.055316</v>
      </c>
      <c r="I261" s="3">
        <f>0+(508.5-8.8)+(0+(0-0))+0-0-0</f>
        <v>499.7</v>
      </c>
      <c r="J261" s="3">
        <f>0+(512.3-11.8)+(0+(0.261273-0.006018))+0-0-0</f>
        <v>500.75525499999992</v>
      </c>
      <c r="K261" s="3">
        <f>0+(507.5-9.1)+(0+(-0.776475--0.013923))+0-0-0</f>
        <v>497.63744799999995</v>
      </c>
      <c r="L261" s="3">
        <f>0+(498.1-13.8)+(0+(-0.508062--0.014076))+0-0-0</f>
        <v>483.806014</v>
      </c>
      <c r="M261" s="3">
        <f>0+(473.8-16.1)+(0+(-0.724914--0.024633))+0-0-0</f>
        <v>456.99971899999997</v>
      </c>
      <c r="N261" s="3">
        <f>0+(473.1-13.4)+(0+(-0.241281--0.006834))+0-0-0</f>
        <v>459.46555300000006</v>
      </c>
      <c r="O261" s="3">
        <f>0+(485.5-20.7)+(0+(0-0))+0-0-0</f>
        <v>464.8</v>
      </c>
      <c r="P261" s="3">
        <f>0+(468-12.8)+(0+(-1.43208--0.039168))+0-0-0</f>
        <v>453.80708799999996</v>
      </c>
      <c r="Q261" s="3">
        <f>0+(478.5-29.8)+(0+(-0.244035--0.015198))+0-0-0</f>
        <v>448.47116299999999</v>
      </c>
      <c r="R261" s="3">
        <f>0+(467.9-8)+(0+(0.238629-0.00408))+0-0-0</f>
        <v>460.13454899999999</v>
      </c>
      <c r="S261" s="3">
        <f>0+(453-5)+(0+(0.69309-0.00765))+0-0-0</f>
        <v>448.68544000000003</v>
      </c>
      <c r="T261" s="3">
        <f>0+(501.6-12)+(0+(-0.255816--0.00612))+0-0-0</f>
        <v>489.35030400000005</v>
      </c>
      <c r="U261" s="3">
        <f>0+(489.3-12)+(0+(-0.249543--0.00612))+0-0-0</f>
        <v>477.056577</v>
      </c>
      <c r="V261" s="3">
        <f>0+(566.5-15)+(0+(-0.57783--0.0153))+0-0-0</f>
        <v>550.93746999999996</v>
      </c>
      <c r="W261" s="3">
        <f>0+(582.2-15)+(0+(0-0))+0-0-0</f>
        <v>567.20000000000005</v>
      </c>
      <c r="X261" s="3">
        <f>0+(597.5-2.3)+(0+(-1.523625--0.005865))+0-0-0</f>
        <v>593.68224000000009</v>
      </c>
      <c r="Y261" s="3">
        <f>0+(597.7-5.5)+(0+(0-0))+0-0-0</f>
        <v>592.20000000000005</v>
      </c>
      <c r="Z261" s="3">
        <f>0+(588.5-7.8)+(0+(0-0))+0-0-0</f>
        <v>580.70000000000005</v>
      </c>
      <c r="AA261" s="3">
        <f>0+(588.8-8)+(0+(-0.300288--0.00408))+0-0-0</f>
        <v>580.50379199999998</v>
      </c>
      <c r="AB261" s="3">
        <f>0+(588.6-3.1)+(0+(-0.300186--0.001581))+0-0-0</f>
        <v>585.20139500000005</v>
      </c>
      <c r="AC261" s="3">
        <f>0+(581.3-7)+(0+(0-0))+0-0-0</f>
        <v>574.29999999999995</v>
      </c>
      <c r="AD261">
        <v>636.80000000000007</v>
      </c>
      <c r="AE261" s="3">
        <f>0+(684.7-47.9)+(0+(0-0))+0-0-0</f>
        <v>636.80000000000007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0+(561.5-9.1)+(0+(-1.431825--0.023205))+0-0-0</f>
        <v>550.99137999999994</v>
      </c>
      <c r="G262" s="3">
        <f>0+(537.4-3.8)+(0+(-0.822222--0.005814))+0-0-0</f>
        <v>532.783592</v>
      </c>
      <c r="H262" s="3">
        <f>0+(524-0)+(0+(-0.26724-0))+0-0-0</f>
        <v>523.73275999999998</v>
      </c>
      <c r="I262" s="3">
        <f>0+(521.8-0)+(0+(-1.064472-0))+0-0-0</f>
        <v>520.73552799999993</v>
      </c>
      <c r="J262" s="3">
        <f>0+(523.5-0)+(0+(-0.266985-0))+0-0-0</f>
        <v>523.23301500000002</v>
      </c>
      <c r="K262" s="3">
        <f>0+(530.4-0)+(0+(0.811512-0))+0-0-0</f>
        <v>531.21151199999997</v>
      </c>
      <c r="L262" s="3">
        <f>0+(564.9-0)+(0+(-0.864297-0))+0-0-0</f>
        <v>564.03570300000001</v>
      </c>
      <c r="M262" s="3">
        <f>0+(605.4-8.3)+(0+(0.617508-0.008466))+0-0-0</f>
        <v>597.70904200000007</v>
      </c>
      <c r="N262" s="3">
        <f>0+(664.2-9.4)+(0+(-0.338742--0.004794))+0-0-0</f>
        <v>654.4660520000001</v>
      </c>
      <c r="O262" s="3">
        <f>0+(731.3-23.1)+(0+(0.372963-0.011781))+0-0-0</f>
        <v>708.56118199999992</v>
      </c>
      <c r="P262" s="3">
        <f>0+(769.1-31.3)+(0+(0-0))+0-0-0</f>
        <v>737.80000000000007</v>
      </c>
      <c r="Q262" s="3">
        <f>0+(780.1-28)+(0+(-0.397851--0.01428))+0-0-0</f>
        <v>751.71642900000006</v>
      </c>
      <c r="R262" s="3">
        <f>0+(771-28.3)+(0+(-2.35926--0.086598))+0-0-0</f>
        <v>740.42733800000008</v>
      </c>
      <c r="S262" s="3">
        <f>0+(742.6-21.8)+(0+(-1.514904--0.044472))+0-0-0</f>
        <v>719.32956800000011</v>
      </c>
      <c r="T262" s="3">
        <f>0+(734.8-10.3)+(0+(-1.124244--0.015759))+0-0-0</f>
        <v>723.39151500000003</v>
      </c>
      <c r="U262" s="3">
        <f>0+(729.7-8.8)+(0+(-1.116441--0.013464))+0-0-0</f>
        <v>719.79702300000008</v>
      </c>
      <c r="V262" s="3">
        <f>0+(794-6.6)+(0+(0-0))+0-0-0</f>
        <v>787.4</v>
      </c>
      <c r="W262" s="3">
        <f>0+(911.7-36.1)+(0+(0.464967-0.018411))+0-0-0</f>
        <v>876.04655600000001</v>
      </c>
      <c r="X262" s="3">
        <f>0+(877.5-64.1)+(0+(-2.68515--0.196146))+0-0-0</f>
        <v>810.91099599999995</v>
      </c>
      <c r="Y262" s="3">
        <f>0+(820.3-27.1)+(0+(-1.255059--0.041463))+0-0-0</f>
        <v>791.98640399999988</v>
      </c>
      <c r="Z262" s="3">
        <f>0+(785.2-7)+(0+(-0.400452--0.00357))+0-0-0</f>
        <v>777.80311800000004</v>
      </c>
      <c r="AA262" s="3">
        <f>0+(770.1-3)+(0+(0.392751-0.00153))+0-0-0</f>
        <v>767.491221</v>
      </c>
      <c r="AB262" s="3">
        <f>0+(715.1-18.7)+(0+(-1.094103--0.028611))+0-0-0</f>
        <v>695.33450800000003</v>
      </c>
      <c r="AC262" s="3">
        <f>0+(727.6-10)+(0+(-2.226456--0.0306))+0-0-0</f>
        <v>715.40414399999997</v>
      </c>
      <c r="AD262">
        <v>814.5</v>
      </c>
      <c r="AE262" s="3">
        <f>0+(927.9-113.4)+(0+(0-0))+0-0-0</f>
        <v>814.5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0+(703.5-22.5)+(0+(-1.793925--0.057375))+0-0-0</f>
        <v>679.26345000000003</v>
      </c>
      <c r="G263" s="3">
        <f>0+(672.8-18.8)+(0+(-2.058768--0.057528))+0-0-0</f>
        <v>651.99875999999995</v>
      </c>
      <c r="H263" s="3">
        <f>0+(672.6-27.3)+(0+(1.029078-0.041769))+0-0-0</f>
        <v>646.28730900000005</v>
      </c>
      <c r="I263" s="3">
        <f>0+(669.7-32.8)+(0+(0-0))+0-0-0</f>
        <v>636.90000000000009</v>
      </c>
      <c r="J263" s="3">
        <f>0+(660.1-27.5)+(0+(1.009953-0.042075))+0-0-0</f>
        <v>633.56787800000006</v>
      </c>
      <c r="K263" s="3">
        <f>0+(656.5-31.3)+(0+(-1.004445--0.047889))+0-0-0</f>
        <v>624.24344400000007</v>
      </c>
      <c r="L263" s="3">
        <f>0+(668.6-22.7)+(0+(-0.340986--0.011577))+0-0-0</f>
        <v>645.57059099999992</v>
      </c>
      <c r="M263" s="3">
        <f>0+(688.5-34.1)+(0+(-0.70227--0.034782))+0-0-0</f>
        <v>653.73251199999993</v>
      </c>
      <c r="N263" s="3">
        <f>0+(745.9-47)+(0+(0.760818-0.04794))+0-0-0</f>
        <v>699.61287800000002</v>
      </c>
      <c r="O263" s="3">
        <f>0+(853.1-98.1)+(0+(0.435081-0.050031))+0-0-0</f>
        <v>755.38504999999998</v>
      </c>
      <c r="P263" s="3">
        <f>0+(913.6-143.8)+(0+(1.397808-0.220014))+0-0-0</f>
        <v>770.9777939999999</v>
      </c>
      <c r="Q263" s="3">
        <f>0+(906.6-143.7)+(0+(-0.462366--0.073287))+0-0-0</f>
        <v>762.51092100000005</v>
      </c>
      <c r="R263" s="3">
        <f>0+(876.9-124.7)+(0+(-1.341657--0.190791))+0-0-0</f>
        <v>751.04913399999998</v>
      </c>
      <c r="S263" s="3">
        <f>0+(813.4-110.5)+(0+(-2.07417--0.281775))+0-0-0</f>
        <v>701.10760499999992</v>
      </c>
      <c r="T263" s="3">
        <f>0+(762.1-58.8)+(0+(-1.166013--0.089964))+0-0-0</f>
        <v>702.22395100000006</v>
      </c>
      <c r="U263" s="3">
        <f>0+(807.2-71.8)+(0+(-1.646688--0.146472))+0-0-0</f>
        <v>733.89978400000007</v>
      </c>
      <c r="V263" s="3">
        <f>0+(823.6-87.4)+(0+(-1.260108--0.133722))+0-0-0</f>
        <v>735.07361400000002</v>
      </c>
      <c r="W263" s="3">
        <f>0+(1008.5-193.2)+(0+(0.514335-0.098532))+0-0-0</f>
        <v>815.71580299999994</v>
      </c>
      <c r="X263" s="3">
        <f>0+(1042.1-220.8)+(0+(0-0))+0-0-0</f>
        <v>821.3</v>
      </c>
      <c r="Y263" s="3">
        <f>0+(984.9-183.8)+(0+(-2.511495--0.46869))+0-0-0</f>
        <v>799.05719499999987</v>
      </c>
      <c r="Z263" s="3">
        <f>0+(1014-224.7)+(0+(-2.06856--0.458388))+0-0-0</f>
        <v>787.68982799999992</v>
      </c>
      <c r="AA263" s="3">
        <f>0+(987.8-208.2)+(0+(-1.511334--0.318546))+0-0-0</f>
        <v>778.40721199999996</v>
      </c>
      <c r="AB263" s="3">
        <f>0+(1064-294.9)+(0+(-1.62792--0.451197))+0-0-0</f>
        <v>767.92327699999998</v>
      </c>
      <c r="AC263" s="3">
        <f>0+(1002.3-268.8)+(0+(-1.022346--0.274176))+0-0-0</f>
        <v>732.75183000000004</v>
      </c>
      <c r="AD263">
        <v>826.40000000000009</v>
      </c>
      <c r="AE263" s="3">
        <f>0+(1078.2-251.8)+(0+(0-0))+0-0-0</f>
        <v>826.40000000000009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0+(873.9-170.5)+(0+(-1.337067--0.260865))+0-0-0</f>
        <v>702.32379800000001</v>
      </c>
      <c r="G264" s="3">
        <f>0+(778.9-106)+(0+(-0.794478--0.10812))+0-0-0</f>
        <v>672.21364199999994</v>
      </c>
      <c r="H264" s="3">
        <f>0+(701-47.4)+(0+(0-0))+0-0-0</f>
        <v>653.6</v>
      </c>
      <c r="I264" s="3">
        <f>0+(682-37.6)+(0+(0.34782-0.019176))+0-0-0</f>
        <v>644.72864400000003</v>
      </c>
      <c r="J264" s="3">
        <f>0+(665.8-35.2)+(0+(-0.339558--0.017952))+0-0-0</f>
        <v>630.27839399999993</v>
      </c>
      <c r="K264" s="3">
        <f>0+(660.3-34.6)+(0+(1.683765-0.08823))+0-0-0</f>
        <v>627.29553499999997</v>
      </c>
      <c r="L264" s="3">
        <f>0+(670.4-45)+(0+(-1.70952--0.11475))+0-0-0</f>
        <v>623.80522999999994</v>
      </c>
      <c r="M264" s="3">
        <f>0+(706.2-88.2)+(0+(-1.080486--0.134946))+0-0-0</f>
        <v>617.05445999999995</v>
      </c>
      <c r="N264" s="3">
        <f>0+(742.2-115.9)+(0+(0.757044-0.118218))+0-0-0</f>
        <v>626.93882600000006</v>
      </c>
      <c r="O264" s="3">
        <f>0+(797.7-132.3)+(0+(0.813654-0.134946))+0-0-0</f>
        <v>666.07870800000012</v>
      </c>
      <c r="P264" s="3">
        <f>0+(843.4-158.6)+(0+(-0.860268--0.161772))+0-0-0</f>
        <v>684.10150399999998</v>
      </c>
      <c r="Q264" s="3">
        <f>0+(869.6-178.7)+(0+(-0.886992--0.182274))+0-0-0</f>
        <v>690.19528200000013</v>
      </c>
      <c r="R264" s="3">
        <f>0+(853.4-167.4)+(0+(-1.740936--0.341496))+0-0-0</f>
        <v>684.60055999999997</v>
      </c>
      <c r="S264" s="3">
        <f>0+(811.5-143.9)+(0+(-1.65546--0.293556))+0-0-0</f>
        <v>666.23809600000004</v>
      </c>
      <c r="T264" s="3">
        <f>0+(800.6-145.2)+(0+(-0.408306--0.074052))+0-0-0</f>
        <v>655.0657460000001</v>
      </c>
      <c r="U264" s="3">
        <f>0+(795.9-141.2)+(0+(-1.217727--0.216036))+0-0-0</f>
        <v>653.69830899999999</v>
      </c>
      <c r="V264" s="3">
        <f>0+(821.9-153.8)+(0+(-0.419169--0.078438))+0-0-0</f>
        <v>667.7592689999999</v>
      </c>
      <c r="W264" s="3">
        <f>0+(1033-269.9)+(0+(-1.58049--0.412947))+0-0-0</f>
        <v>761.932457</v>
      </c>
      <c r="X264" s="3">
        <f>0+(991.5-225)+(0+(-0.505665--0.11475))+0-0-0</f>
        <v>766.10908500000005</v>
      </c>
      <c r="Y264" s="3">
        <f>0+(979.4-218.6)+(0+(-0.499494--0.111486))+0-0-0</f>
        <v>760.41199199999994</v>
      </c>
      <c r="Z264" s="3">
        <f>0+(951.2-202.7)+(0+(-0.970224--0.206754))+0-0-0</f>
        <v>747.73653000000002</v>
      </c>
      <c r="AA264" s="3">
        <f>0+(869.6-132.7)+(0+(-1.330488--0.203031))+0-0-0</f>
        <v>735.77254300000004</v>
      </c>
      <c r="AB264" s="3">
        <f>0+(858.1-134.5)+(0+(-1.312893--0.205785))+0-0-0</f>
        <v>722.49289199999998</v>
      </c>
      <c r="AC264" s="3">
        <f>0+(728.1-49.5)+(0+(-2.227986--0.15147))+0-0-0</f>
        <v>676.52348400000005</v>
      </c>
      <c r="AD264">
        <v>770.8</v>
      </c>
      <c r="AE264" s="3">
        <f>0+(993.1-222.3)+(0+(0-0))+0-0-0</f>
        <v>770.8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0+(674-31.9)+(0+(-1.7187--0.081345))+0-0-0</f>
        <v>640.46264500000007</v>
      </c>
      <c r="G265" s="3">
        <f>0+(639.7-21.9)+(0+(-1.304988--0.044676))+0-0-0</f>
        <v>616.53968800000007</v>
      </c>
      <c r="H265" s="3">
        <f>0+(708.7-107)+(0+(0-0))+0-0-0</f>
        <v>601.70000000000005</v>
      </c>
      <c r="I265" s="3">
        <f>0+(726.2-121.3)+(0+(-0.370362--0.061863))+0-0-0</f>
        <v>604.59150100000011</v>
      </c>
      <c r="J265" s="3">
        <f>0+(730.5-123.7)+(0+(0.372555-0.063087))+0-0-0</f>
        <v>607.10946799999999</v>
      </c>
      <c r="K265" s="3">
        <f>0+(763.2-156.9)+(0+(0.389232-0.080019))+0-0-0</f>
        <v>606.60921300000007</v>
      </c>
      <c r="L265" s="3">
        <f>0+(814.7-165.4)+(0+(0-0))+0-0-0</f>
        <v>649.30000000000007</v>
      </c>
      <c r="M265" s="3">
        <f>0+(826.6-125.3)+(0+(1.264698-0.191709))+0-0-0</f>
        <v>702.37298900000008</v>
      </c>
      <c r="N265" s="3">
        <f>0+(786.7-23.6)+(0+(0.802434-0.024072))+0-0-0</f>
        <v>763.87836200000004</v>
      </c>
      <c r="O265" s="3">
        <f>0+(815.2-10.7)+(0+(0-0))+0-0-0</f>
        <v>804.5</v>
      </c>
      <c r="P265" s="3">
        <f>0+(838.5-16.6)+(0+(-1.282905--0.025398))+0-0-0</f>
        <v>820.64249299999994</v>
      </c>
      <c r="Q265" s="3">
        <f>0+(849-34.8)+(0+(-0.86598--0.035496))+0-0-0</f>
        <v>813.36951600000009</v>
      </c>
      <c r="R265" s="3">
        <f>0+(834.5-35.9)+(0+(-2.127975--0.091545))+0-0-0</f>
        <v>796.56357000000003</v>
      </c>
      <c r="S265" s="3">
        <f>0+(832.7-42.4)+(0+(0-0))+0-0-0</f>
        <v>790.30000000000007</v>
      </c>
      <c r="T265" s="3">
        <f>0+(837.2-41.9)+(0+(-0.853944--0.042738))+0-0-0</f>
        <v>794.4887940000001</v>
      </c>
      <c r="U265" s="3">
        <f>0+(837.3-32.9)+(0+(0-0))+0-0-0</f>
        <v>804.4</v>
      </c>
      <c r="V265" s="3">
        <f>0+(842-22.4)+(0+(-0.42942--0.011424))+0-0-0</f>
        <v>819.18200400000001</v>
      </c>
      <c r="W265" s="3">
        <f>0+(944-62.1)+(0+(0.96288-0.063342))+0-0-0</f>
        <v>882.79953799999998</v>
      </c>
      <c r="X265" s="3">
        <f>0+(933.5-66.5)+(0+(-1.428255--0.101745))+0-0-0</f>
        <v>865.67349000000002</v>
      </c>
      <c r="Y265" s="3">
        <f>0+(873.2-40.4)+(0+(-0.445332--0.020604))+0-0-0</f>
        <v>832.37527200000011</v>
      </c>
      <c r="Z265" s="3">
        <f>0+(848.8-27.1)+(0+(-0.432888--0.013821))+0-0-0</f>
        <v>821.28093299999989</v>
      </c>
      <c r="AA265" s="3">
        <f>0+(827.4-22.4)+(0+(0-0))+0-0-0</f>
        <v>805</v>
      </c>
      <c r="AB265" s="3">
        <f>0+(814.7-27.6)+(0+(0-0))+0-0-0</f>
        <v>787.1</v>
      </c>
      <c r="AC265" s="3">
        <f>0+(777.4-38.3)+(0+(0-0))+0-0-0</f>
        <v>739.1</v>
      </c>
      <c r="AD265">
        <v>873.5</v>
      </c>
      <c r="AE265" s="3">
        <f>0+(964.8-91.3)+(0+(0-0))+0-0-0</f>
        <v>873.5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0+(751.5-42.4)+(0+(-1.149795--0.064872))+0-0-0</f>
        <v>708.01507700000002</v>
      </c>
      <c r="G266" s="3">
        <f>0+(734.7-34.9)+(0+(-1.873485--0.088995))+0-0-0</f>
        <v>698.01551000000006</v>
      </c>
      <c r="H266" s="3">
        <f>0+(697.3-13.4)+(0+(0-0))+0-0-0</f>
        <v>683.9</v>
      </c>
      <c r="I266" s="3">
        <f>0+(710-34.2)+(0+(0-0))+0-0-0</f>
        <v>675.8</v>
      </c>
      <c r="J266" s="3">
        <f>0+(692.5-17.5)+(0+(-0.70635--0.01785))+0-0-0</f>
        <v>674.31150000000002</v>
      </c>
      <c r="K266" s="3">
        <f>0+(658.5-23.1)+(0+(1.007505-0.035343))+0-0-0</f>
        <v>636.372162</v>
      </c>
      <c r="L266" s="3">
        <f>0+(730.6-31.5)+(0+(0.745212-0.03213))+0-0-0</f>
        <v>699.81308200000001</v>
      </c>
      <c r="M266" s="3">
        <f>0+(821.2-85.4)+(0+(1.675248-0.174216))+0-0-0</f>
        <v>737.30103200000008</v>
      </c>
      <c r="N266" s="3">
        <f>0+(826.6-42.2)+(0+(-0.843132--0.043044))+0-0-0</f>
        <v>783.59991200000002</v>
      </c>
      <c r="O266" s="3">
        <f>0+(840.6-18.3)+(0+(0.428706-0.009333))+0-0-0</f>
        <v>822.71937300000002</v>
      </c>
      <c r="P266" s="3">
        <f>0+(851.5-10.8)+(0+(0.434265-0.005508))+0-0-0</f>
        <v>841.12875700000006</v>
      </c>
      <c r="Q266" s="3">
        <f>0+(867.2-17.4)+(0+(-1.769088--0.035496))+0-0-0</f>
        <v>848.06640800000002</v>
      </c>
      <c r="R266" s="3">
        <f>0+(857.5-22)+(0+(-1.311975--0.03366))+0-0-0</f>
        <v>834.22168499999998</v>
      </c>
      <c r="S266" s="3">
        <f>0+(836.7-18.4)+(0+(-0.853434--0.018768))+0-0-0</f>
        <v>817.4653340000001</v>
      </c>
      <c r="T266" s="3">
        <f>0+(833.7-17.7)+(0+(0.850374-0.018054))+0-0-0</f>
        <v>816.83231999999998</v>
      </c>
      <c r="U266" s="3">
        <f>0+(812.4-19)+(0+(-0.828648--0.01938))+0-0-0</f>
        <v>792.590732</v>
      </c>
      <c r="V266" s="3">
        <f>0+(832.5-21.4)+(0+(0.84915-0.021828))+0-0-0</f>
        <v>811.927322</v>
      </c>
      <c r="W266" s="3">
        <f>0+(926.5-34.6)+(0+(0.94503-0.035292))+0-0-0</f>
        <v>892.80973799999992</v>
      </c>
      <c r="X266" s="3">
        <f>0+(918.9-36.5)+(0+(-1.874556--0.07446))+0-0-0</f>
        <v>880.59990399999992</v>
      </c>
      <c r="Y266" s="3">
        <f>0+(863.6-19.5)+(0+(-2.642616--0.05967))+0-0-0</f>
        <v>841.51705400000003</v>
      </c>
      <c r="Z266" s="3">
        <f>0+(852.4-10.5)+(0+(-1.304172--0.016065))+0-0-0</f>
        <v>840.61189300000001</v>
      </c>
      <c r="AA266" s="3">
        <f>0+(823.5-2.4)+(0+(-0.83997--0.002448))+0-0-0</f>
        <v>820.26247799999999</v>
      </c>
      <c r="AB266" s="3">
        <f>0+(806.2-8.4)+(0+(-2.466972--0.025704))+0-0-0</f>
        <v>795.35873200000003</v>
      </c>
      <c r="AC266" s="3">
        <f>0+(798.4-30.9)+(0+(-1.221552--0.047277))+0-0-0</f>
        <v>766.32572500000003</v>
      </c>
      <c r="AD266">
        <v>900.4</v>
      </c>
      <c r="AE266" s="3">
        <f>0+(968.5-68.1)+(0+(0-0))+0-0-0</f>
        <v>900.4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0+(753.4-19.7)+(0+(-1.152702--0.030141))+0-0-0</f>
        <v>732.57743899999991</v>
      </c>
      <c r="G267" s="3">
        <f>0+(766.5-56.9)+(0+(1.56366-0.116076))+0-0-0</f>
        <v>711.04758400000003</v>
      </c>
      <c r="H267" s="3">
        <f>0+(746.5-50.7)+(0+(1.142145-0.077571))+0-0-0</f>
        <v>696.86457399999995</v>
      </c>
      <c r="I267" s="3">
        <f>0+(738.1-46.3)+(0+(0.376431-0.023613))+0-0-0</f>
        <v>692.15281800000002</v>
      </c>
      <c r="J267" s="3">
        <f>0+(744-51.7)+(0+(-1.8972--0.131835))+0-0-0</f>
        <v>690.53463499999998</v>
      </c>
      <c r="K267" s="3">
        <f>0+(784.2-92.5)+(0+(0.399942-0.047175))+0-0-0</f>
        <v>692.05276700000002</v>
      </c>
      <c r="L267" s="3">
        <f>0+(879.9-166.1)+(0+(-0.897498--0.169422))+0-0-0</f>
        <v>713.07192399999997</v>
      </c>
      <c r="M267" s="3">
        <f>0+(905.1-157)+(0+(0.461601-0.08007))+0-0-0</f>
        <v>748.48153100000002</v>
      </c>
      <c r="N267" s="3">
        <f>0+(838.3-37.8)+(0+(0-0))+0-0-0</f>
        <v>800.5</v>
      </c>
      <c r="O267" s="3">
        <f>0+(847-15.7)+(0+(0.43197-0.008007))+0-0-0</f>
        <v>831.72396299999991</v>
      </c>
      <c r="P267" s="3">
        <f>0+(849.8-0)+(0+(-0.433398-0))+0-0-0</f>
        <v>849.36660199999994</v>
      </c>
      <c r="Q267" s="3">
        <f>0+(854.3-1.1)+(0+(-1.307079--0.001683))+0-0-0</f>
        <v>851.89460399999996</v>
      </c>
      <c r="R267" s="3">
        <f>0+(840.6-9.2)+(0+(-0.857412--0.009384))+0-0-0</f>
        <v>830.55197199999998</v>
      </c>
      <c r="S267" s="3">
        <f>0+(815.5-3.9)+(0+(-1.66362--0.007956))+0-0-0</f>
        <v>809.94433600000002</v>
      </c>
      <c r="T267" s="3">
        <f>0+(828-13)+(0+(-0.84456--0.01326))+0-0-0</f>
        <v>814.16869999999994</v>
      </c>
      <c r="U267" s="3">
        <f>0+(828.5-12.5)+(0+(-1.267605--0.019125))+0-0-0</f>
        <v>814.75152000000003</v>
      </c>
      <c r="V267" s="3">
        <f>0+(832-12.8)+(0+(-0.84864--0.013056))+0-0-0</f>
        <v>818.36441600000001</v>
      </c>
      <c r="W267" s="3">
        <f>0+(928.5-35.4)+(0+(-0.473535--0.018054))+0-0-0</f>
        <v>892.64451900000006</v>
      </c>
      <c r="X267" s="3">
        <f>0+(918.9-30.5)+(0+(-2.343195--0.077775))+0-0-0</f>
        <v>886.13458000000003</v>
      </c>
      <c r="Y267" s="3">
        <f>0+(872.7-7.2)+(0+(-0.890154--0.007344))+0-0-0</f>
        <v>864.61719000000005</v>
      </c>
      <c r="Z267" s="3">
        <f>0+(864.5-21)+(0+(-1.76358--0.04284))+0-0-0</f>
        <v>841.77926000000002</v>
      </c>
      <c r="AA267" s="3">
        <f>0+(861.5-39)+(0+(-0.87873--0.03978))+0-0-0</f>
        <v>821.66105000000005</v>
      </c>
      <c r="AB267" s="3">
        <f>0+(832-29.1)+(0+(-2.54592--0.089046))+0-0-0</f>
        <v>800.44312600000001</v>
      </c>
      <c r="AC267" s="3">
        <f>0+(849.9-62)+(0+(-1.300347--0.09486))+0-0-0</f>
        <v>786.69451300000003</v>
      </c>
      <c r="AD267">
        <v>901.40000000000009</v>
      </c>
      <c r="AE267" s="3">
        <f>0+(956.2-54.8)+(0+(0-0))+0-0-0</f>
        <v>901.40000000000009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0+(750.6-1.5)+(0+(-0.382806--0.000765))+0-0-0</f>
        <v>748.71795900000006</v>
      </c>
      <c r="G268" s="3">
        <f>0+(726.9-12.8)+(0+(-0.370719--0.006528))+0-0-0</f>
        <v>713.73580900000002</v>
      </c>
      <c r="H268" s="3">
        <f>0+(753.7-53.6)+(0+(0.384387-0.027336))+0-0-0</f>
        <v>700.45705099999998</v>
      </c>
      <c r="I268" s="3">
        <f>0+(759.4-67.8)+(0+(1.161882-0.103734))+0-0-0</f>
        <v>692.65814799999998</v>
      </c>
      <c r="J268" s="3">
        <f>0+(777.5-94.8)+(0+(-0.396525--0.048348))+0-0-0</f>
        <v>682.35182300000008</v>
      </c>
      <c r="K268" s="3">
        <f>0+(789-95.9)+(0+(1.60956-0.195636))+0-0-0</f>
        <v>694.51392399999997</v>
      </c>
      <c r="L268" s="3">
        <f>0+(826.9-112.3)+(0+(0-0))+0-0-0</f>
        <v>714.6</v>
      </c>
      <c r="M268" s="3">
        <f>0+(812.2-64.1)+(0+(0.414222-0.032691))+0-0-0</f>
        <v>748.48153100000002</v>
      </c>
      <c r="N268" s="3">
        <f>0+(806.1-10)+(0+(0.411111-0.0051))+0-0-0</f>
        <v>796.50601100000006</v>
      </c>
      <c r="O268" s="3">
        <f>0+(835.7-5.1)+(0+(0.852414-0.005202))+0-0-0</f>
        <v>831.44721200000004</v>
      </c>
      <c r="P268" s="3">
        <f>0+(860.3-17.6)+(0+(-0.438753--0.008976))+0-0-0</f>
        <v>842.27022299999999</v>
      </c>
      <c r="Q268" s="3">
        <f>0+(873.1-25.5)+(0+(-1.335843--0.039015))+0-0-0</f>
        <v>846.30317200000002</v>
      </c>
      <c r="R268" s="3">
        <f>0+(865-23)+(0+(-1.7646--0.04692))+0-0-0</f>
        <v>840.28232000000003</v>
      </c>
      <c r="S268" s="3">
        <f>0+(815.3-0)+(0+(-0.415803-0))+0-0-0</f>
        <v>814.88419699999997</v>
      </c>
      <c r="T268" s="3">
        <f>0+(829.4-14.2)+(0+(0.845988-0.014484))+0-0-0</f>
        <v>816.03150399999993</v>
      </c>
      <c r="U268" s="3">
        <f>0+(831.7-15)+(0+(0-0))+0-0-0</f>
        <v>816.7</v>
      </c>
      <c r="V268" s="3">
        <f>0+(842.3-18.9)+(0+(0.859146-0.019278))+0-0-0</f>
        <v>824.239868</v>
      </c>
      <c r="W268" s="3">
        <f>0+(981.9-69.7)+(0+(1.502307-0.106641))+0-0-0</f>
        <v>913.59566599999994</v>
      </c>
      <c r="X268" s="3">
        <f>0+(921.5-22.4)+(0+(0-0))+0-0-0</f>
        <v>899.1</v>
      </c>
      <c r="Y268" s="3">
        <f>0+(910.4-32.8)+(0+(-2.32152--0.08364))+0-0-0</f>
        <v>875.36212</v>
      </c>
      <c r="Z268" s="3">
        <f>0+(883.8-28.2)+(0+(-0.901476--0.028764))+0-0-0</f>
        <v>854.72728799999993</v>
      </c>
      <c r="AA268" s="3">
        <f>0+(832.4-0)+(0+(-0.849048-0))+0-0-0</f>
        <v>831.55095199999994</v>
      </c>
      <c r="AB268" s="3">
        <f>0+(978.9-141.4)+(0+(0-0))+0-0-0</f>
        <v>837.5</v>
      </c>
      <c r="AC268" s="3">
        <f>0+(945-124.9)+(0+(-1.44585--0.191097))+0-0-0</f>
        <v>818.84524699999997</v>
      </c>
      <c r="AD268">
        <v>890.40000000000009</v>
      </c>
      <c r="AE268" s="3">
        <f>0+(924.2-33.8)+(0+(0-0))+0-0-0</f>
        <v>890.40000000000009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0+(785.1-31.6)+(0+(-0.800802--0.032232))+0-0-0</f>
        <v>752.73143000000005</v>
      </c>
      <c r="G269" s="3">
        <f>0+(720.2-0)+(0+(-0.734604-0))+0-0-0</f>
        <v>719.46539600000006</v>
      </c>
      <c r="H269" s="3">
        <f>0+(727.6-12.5)+(0+(-0.371076--0.006375))+0-0-0</f>
        <v>714.73529900000005</v>
      </c>
      <c r="I269" s="3">
        <f>0+(729.5-15.7)+(0+(-0.372045--0.008007))+0-0-0</f>
        <v>713.4359619999999</v>
      </c>
      <c r="J269" s="3">
        <f>0+(726.7-18.2)+(0+(2.594319-0.064974))+0-0-0</f>
        <v>711.02934500000003</v>
      </c>
      <c r="K269" s="3">
        <f>0+(715.9-13.6)+(0+(0.730218-0.013872))+0-0-0</f>
        <v>703.016346</v>
      </c>
      <c r="L269" s="3">
        <f>0+(808.9-76)+(0+(-0.412539--0.03876))+0-0-0</f>
        <v>732.52622099999996</v>
      </c>
      <c r="M269" s="3">
        <f>0+(831.3-59.3)+(0+(-0.847926--0.060486))+0-0-0</f>
        <v>771.21256000000005</v>
      </c>
      <c r="N269" s="3">
        <f>0+(807.9-0)+(0+(-0.412029-0))+0-0-0</f>
        <v>807.48797100000002</v>
      </c>
      <c r="O269" s="3">
        <f>0+(859-8.9)+(0+(-0.43809--0.004539))+0-0-0</f>
        <v>849.66644900000006</v>
      </c>
      <c r="P269" s="3">
        <f>0+(873.9-9.9)+(0+(0-0))+0-0-0</f>
        <v>864</v>
      </c>
      <c r="Q269" s="3">
        <f>0+(873.3-10.7)+(0+(-0.890766--0.010914))+0-0-0</f>
        <v>861.72014799999988</v>
      </c>
      <c r="R269" s="3">
        <f>0+(856.4-11.3)+(0+(-1.310292--0.017289))+0-0-0</f>
        <v>843.80699700000002</v>
      </c>
      <c r="S269" s="3">
        <f>0+(835.1-17)+(0+(-1.277703--0.02601))+0-0-0</f>
        <v>816.84830699999998</v>
      </c>
      <c r="T269" s="3">
        <f>0+(844-16.9)+(0+(1.29132-0.025857))+0-0-0</f>
        <v>828.36546299999998</v>
      </c>
      <c r="U269" s="3">
        <f>46+(793.2-19.5)+(0+(0-0))+0-0-0</f>
        <v>819.7</v>
      </c>
      <c r="V269" s="3">
        <f>125.6+(769.1-67.1)+(-0.064056+(-0.392241--0.034221))+0-0-0</f>
        <v>827.17792400000008</v>
      </c>
      <c r="W269" s="3">
        <f>126.5+(864.3-84.7)+(0.12903+(0.881586-0.086394))+0-0-0</f>
        <v>907.0242219999999</v>
      </c>
      <c r="X269" s="3">
        <f>126+(824.3-56.3)+(-0.25704+(-1.681572--0.114852))+0-0-0</f>
        <v>892.17624000000001</v>
      </c>
      <c r="Y269" s="3">
        <f>125.1+(790.4-46.6)+(-0.382806+(-2.418624--0.142596))+0-0-0</f>
        <v>866.24116600000002</v>
      </c>
      <c r="Z269" s="3">
        <f>125.6+(736.3-8)+(-0.064056+(-0.375513--0.00408))+0-0-0</f>
        <v>853.46451100000002</v>
      </c>
      <c r="AA269" s="3">
        <f>127.6+(707.9-0)+(-0.260304+(-1.444116-0))+0-0-0</f>
        <v>833.79557999999997</v>
      </c>
      <c r="AB269" s="3">
        <f>131.2+(695.7-7.8)+(-0.267648+(-1.419228--0.015912))+0-0-0</f>
        <v>817.42903600000011</v>
      </c>
      <c r="AC269" s="3">
        <f>57.6+(769.3-32.7)+(-0.117504+(-1.569372--0.066708))+0-0-0</f>
        <v>792.5798319999999</v>
      </c>
      <c r="AD269">
        <v>919.90000000000009</v>
      </c>
      <c r="AE269" s="3">
        <f>125+(894.2-99.3)+(0+(0-0))+0-0-0</f>
        <v>919.90000000000009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0+(763.4-10.2)+(0+(-1.94667--0.02601))+0-0-0</f>
        <v>751.27933999999993</v>
      </c>
      <c r="G270" s="3">
        <f>0+(728.7-3.3)+(0+(-0.371637--0.001683))+0-0-0</f>
        <v>725.03004600000008</v>
      </c>
      <c r="H270" s="3">
        <f>0+(741-28.8)+(0+(-1.13373--0.044064))+0-0-0</f>
        <v>711.11033400000008</v>
      </c>
      <c r="I270" s="3">
        <f>0+(749.4-41.8)+(0+(1.146582-0.063954))+0-0-0</f>
        <v>708.68262800000002</v>
      </c>
      <c r="J270" s="3">
        <f>0+(789.9-85.3)+(0+(0.402849-0.043503))+0-0-0</f>
        <v>704.95934599999998</v>
      </c>
      <c r="K270" s="3">
        <f>0+(832.2-132.2)+(0+(1.273266-0.202266))+0-0-0</f>
        <v>701.07100000000003</v>
      </c>
      <c r="L270" s="3">
        <f>0+(942-226.1)+(0+(0.48042-0.115311))+0-0-0</f>
        <v>716.26510899999994</v>
      </c>
      <c r="M270" s="3">
        <f>0+(937.9-204.3)+(0+(0.478329-0.104193))+0-0-0</f>
        <v>733.97413599999993</v>
      </c>
      <c r="N270" s="3">
        <f>0+(871.9-84)+(0+(0.444669-0.04284))+0-0-0</f>
        <v>788.301829</v>
      </c>
      <c r="O270" s="3">
        <f>0+(828.7-6.3)+(0+(-0.422637--0.003213))+0-0-0</f>
        <v>821.98057600000004</v>
      </c>
      <c r="P270" s="3">
        <f>0+(847-6.1)+(0+(-0.86394--0.006222))+0-0-0</f>
        <v>840.042282</v>
      </c>
      <c r="Q270" s="3">
        <f>0+(857.9-8.9)+(0+(-1.750116--0.018156))+0-0-0</f>
        <v>847.26804000000004</v>
      </c>
      <c r="R270" s="3">
        <f>0+(838.3-4.3)+(0+(-2.565198--0.013158))+0-0-0</f>
        <v>831.44795999999997</v>
      </c>
      <c r="S270" s="3">
        <f>0+(812-5.1)+(0+(0-0))+0-0-0</f>
        <v>806.9</v>
      </c>
      <c r="T270" s="3">
        <f>0+(816.8-10.9)+(0+(-1.666272--0.022236))+0-0-0</f>
        <v>804.25596399999995</v>
      </c>
      <c r="U270" s="3">
        <f>0+(810.3-12.6)+(0+(0-0))+0-0-0</f>
        <v>797.69999999999993</v>
      </c>
      <c r="V270" s="3">
        <f>0+(828.2-14)+(0+(0-0))+0-0-0</f>
        <v>814.2</v>
      </c>
      <c r="W270" s="3">
        <f>0+(899.1-22.3)+(0+(0-0))+0-0-0</f>
        <v>876.80000000000007</v>
      </c>
      <c r="X270" s="3">
        <f>0+(861.2-3.6)+(0+(-1.756848--0.007344))+0-0-0</f>
        <v>855.85049600000002</v>
      </c>
      <c r="Y270" s="3">
        <f>0+(829.4-0)+(0+(-1.268982-0))+0-0-0</f>
        <v>828.13101799999993</v>
      </c>
      <c r="Z270" s="3">
        <f>0+(816.1-2.9)+(0+(-0.416211--0.001479))+0-0-0</f>
        <v>812.78526800000009</v>
      </c>
      <c r="AA270" s="3">
        <f>0+(802.1-4.9)+(0+(-1.636284--0.009996))+0-0-0</f>
        <v>795.573712</v>
      </c>
      <c r="AB270" s="3">
        <f>0+(783.2-6.9)+(0+(-1.99716--0.017595))+0-0-0</f>
        <v>774.32043500000009</v>
      </c>
      <c r="AC270" s="3">
        <f>0+(803.3-59.2)+(0+(-2.048415--0.15096))+0-0-0</f>
        <v>742.20254499999987</v>
      </c>
      <c r="AD270">
        <v>880.09999999999991</v>
      </c>
      <c r="AE270" s="3">
        <f>0+(923.8-43.7)+(0+(0-0))+0-0-0</f>
        <v>880.09999999999991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0+(803.2-92.6)+(0+(-0.819264--0.094452))+0-0-0</f>
        <v>709.87518799999998</v>
      </c>
      <c r="G271" s="3">
        <f>0+(828.7-142.6)+(0+(-1.690548--0.290904))+0-0-0</f>
        <v>684.70035600000006</v>
      </c>
      <c r="H271" s="3">
        <f>0+(794.7-127)+(0+(-0.405297--0.06477))+0-0-0</f>
        <v>667.35947300000009</v>
      </c>
      <c r="I271" s="3">
        <f>0+(781.2-107.2)+(0+(-0.796824--0.109344))+0-0-0</f>
        <v>673.31251999999995</v>
      </c>
      <c r="J271" s="3">
        <f>0+(797-126.2)+(0+(0.40647-0.064362))+0-0-0</f>
        <v>671.14210800000001</v>
      </c>
      <c r="K271" s="3">
        <f>0+(774.5-119.1)+(0+(0-0))+0-0-0</f>
        <v>655.4</v>
      </c>
      <c r="L271" s="3">
        <f>0+(765-113.7)+(0+(-0.39015--0.057987))+0-0-0</f>
        <v>650.96783699999992</v>
      </c>
      <c r="M271" s="3">
        <f>0+(759.4-114.1)+(0+(-2.711058--0.407337))+0-0-0</f>
        <v>642.99627899999996</v>
      </c>
      <c r="N271" s="3">
        <f>0+(736.7-84)+(0+(0.751434-0.08568))+0-0-0</f>
        <v>653.36575400000004</v>
      </c>
      <c r="O271" s="3">
        <f>0+(712.6-24.8)+(0+(0-0))+0-0-0</f>
        <v>687.80000000000007</v>
      </c>
      <c r="P271" s="3">
        <f>0+(723.2-14.4)+(0+(-1.475328--0.029376))+0-0-0</f>
        <v>707.35404800000003</v>
      </c>
      <c r="Q271" s="3">
        <f>0+(724.7-20.5)+(0+(-0.739194--0.02091))+0-0-0</f>
        <v>703.48171600000001</v>
      </c>
      <c r="R271" s="3">
        <f>0+(739.6-24.6)+(0+(-1.88598--0.06273))+0-0-0</f>
        <v>713.17674999999997</v>
      </c>
      <c r="S271" s="3">
        <f>0+(715.6-15.6)+(0+(-1.094868--0.023868))+0-0-0</f>
        <v>698.92899999999997</v>
      </c>
      <c r="T271" s="3">
        <f>0+(709.8-14.1)+(0+(-0.723996--0.014382))+0-0-0</f>
        <v>694.99038599999994</v>
      </c>
      <c r="U271" s="3">
        <f>0+(703.1-10.4)+(0+(0.358581-0.005304))+0-0-0</f>
        <v>693.05327700000009</v>
      </c>
      <c r="V271" s="3">
        <f>0+(717.2-12)+(0+(0.731544-0.01224))+0-0-0</f>
        <v>705.91930400000001</v>
      </c>
      <c r="W271" s="3">
        <f>0+(765.3-0)+(0+(0-0))+0-0-0</f>
        <v>765.3</v>
      </c>
      <c r="X271" s="3">
        <f>0+(782.7-0)+(0+(-1.995885-0))+0-0-0</f>
        <v>780.704115</v>
      </c>
      <c r="Y271" s="3">
        <f>0+(772.5-4.3)+(0+(0.393975-0.002193))+0-0-0</f>
        <v>768.59178200000008</v>
      </c>
      <c r="Z271" s="3">
        <f>0+(771-9.3)+(0+(-0.78642--0.009486))+0-0-0</f>
        <v>760.92306600000006</v>
      </c>
      <c r="AA271" s="3">
        <f>0+(758.8-3.3)+(0+(-1.93494--0.008415))+0-0-0</f>
        <v>753.57347500000003</v>
      </c>
      <c r="AB271" s="3">
        <f>0+(780.4-36.4)+(0+(-1.194012--0.055692))+0-0-0</f>
        <v>742.86167999999998</v>
      </c>
      <c r="AC271" s="3">
        <f>0+(710.2-11.1)+(0+(-1.81101--0.028305))+0-0-0</f>
        <v>697.31729500000006</v>
      </c>
      <c r="AD271">
        <v>787.2</v>
      </c>
      <c r="AE271" s="3">
        <f>0+(804.6-17.4)+(0+(0-0))+0-0-0</f>
        <v>787.2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0+(695.4-33.2)+(0+(0-0))+0-0-0</f>
        <v>662.19999999999993</v>
      </c>
      <c r="G272" s="3">
        <f>0+(730.4-89.1)+(0+(-1.490016--0.181764))+0-0-0</f>
        <v>639.99174799999992</v>
      </c>
      <c r="H272" s="3">
        <f>0+(750.4-118.1)+(0+(-1.91352--0.301155))+0-0-0</f>
        <v>630.687635</v>
      </c>
      <c r="I272" s="3">
        <f>0+(765.1-136.5)+(0+(1.170603-0.208845))+0-0-0</f>
        <v>629.56175800000005</v>
      </c>
      <c r="J272" s="3">
        <f>0+(767.1-133.2)+(0+(0-0))+0-0-0</f>
        <v>633.90000000000009</v>
      </c>
      <c r="K272" s="3">
        <f>0+(761.1-121.9)+(0+(1.164483-0.186507))+0-0-0</f>
        <v>640.17797600000006</v>
      </c>
      <c r="L272" s="3">
        <f>0+(820.8-122)+(0+(-0.418608--0.06222))+0-0-0</f>
        <v>698.44361199999992</v>
      </c>
      <c r="M272" s="3">
        <f>0+(815.2-75.9)+(0+(0.415752-0.038709))+0-0-0</f>
        <v>739.67704300000003</v>
      </c>
      <c r="N272" s="3">
        <f>0+(834.3-28.1)+(0+(-0.425493--0.014331))+0-0-0</f>
        <v>805.78883799999994</v>
      </c>
      <c r="O272" s="3">
        <f>0+(842.9-5.8)+(0+(-1.289637--0.008874))+0-0-0</f>
        <v>835.81923700000004</v>
      </c>
      <c r="P272" s="3">
        <f>0+(932-14.2)+(0+(-1.42596--0.021726))+0-0-0</f>
        <v>916.39576599999998</v>
      </c>
      <c r="Q272" s="3">
        <f>0+(920-34.7)+(0+(-1.4076--0.053091))+0-0-0</f>
        <v>883.94549099999995</v>
      </c>
      <c r="R272" s="3">
        <f>0+(893.6-38.3)+(0+(-1.367208--0.058599))+0-0-0</f>
        <v>853.99139100000002</v>
      </c>
      <c r="S272" s="3">
        <f>0+(978.8-136.1)+(0+(-0.998376--0.138822))+0-0-0</f>
        <v>841.84044599999993</v>
      </c>
      <c r="T272" s="3">
        <f>0+(909.7-70.4)+(0+(-1.855788--0.143616))+0-0-0</f>
        <v>837.58782800000006</v>
      </c>
      <c r="U272" s="3">
        <f>0+(850.8-21.7)+(0+(-0.433908--0.011067))+0-0-0</f>
        <v>828.67715899999996</v>
      </c>
      <c r="V272" s="3">
        <f>0+(848.5-12.3)+(0+(-0.432735--0.006273))+0-0-0</f>
        <v>835.77353800000003</v>
      </c>
      <c r="W272" s="3">
        <f>0+(977.4-54.9)+(0+(-0.498474--0.027999))+0-0-0</f>
        <v>922.02952500000004</v>
      </c>
      <c r="X272" s="3">
        <f>0+(927.6-23.4)+(0+(-1.892304--0.047736))+0-0-0</f>
        <v>902.35543200000006</v>
      </c>
      <c r="Y272" s="3">
        <f>0+(882.7-5.1)+(0+(-2.250885--0.013005))+0-0-0</f>
        <v>875.36212</v>
      </c>
      <c r="Z272" s="3">
        <f>0+(869-0)+(0+(-2.21595-0))+0-0-0</f>
        <v>866.78404999999998</v>
      </c>
      <c r="AA272" s="3">
        <f>0+(849.1-0)+(0+(-1.299123-0))+0-0-0</f>
        <v>847.80087700000001</v>
      </c>
      <c r="AB272" s="3">
        <f>0+(826.9-5.2)+(0+(-2.108595--0.01326))+0-0-0</f>
        <v>819.60466499999995</v>
      </c>
      <c r="AC272" s="3">
        <f>0+(800-6.6)+(0+(-2.04--0.01683))+0-0-0</f>
        <v>791.37682999999993</v>
      </c>
      <c r="AD272">
        <v>936.30000000000007</v>
      </c>
      <c r="AE272" s="3">
        <f>0+(1038.2-101.9)+(0+(0-0))+0-0-0</f>
        <v>936.30000000000007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0+(809.6-57.7)+(0+(0-0))+0-0-0</f>
        <v>751.9</v>
      </c>
      <c r="G273" s="3">
        <f>0+(781-60.1)+(0+(0-0))+0-0-0</f>
        <v>720.9</v>
      </c>
      <c r="H273" s="3">
        <f>0+(820.5-111.7)+(0+(0-0))+0-0-0</f>
        <v>708.8</v>
      </c>
      <c r="I273" s="3">
        <f>0+(830.7-132.7)+(0+(0-0))+0-0-0</f>
        <v>698</v>
      </c>
      <c r="J273" s="3">
        <f>0+(850.2-145.9)+(0+(0-0))+0-0-0</f>
        <v>704.30000000000007</v>
      </c>
      <c r="K273" s="3">
        <f>0+(840.1-145.6)+(0+(0-0))+0-0-0</f>
        <v>694.5</v>
      </c>
      <c r="L273" s="3">
        <f>0+(892.2-168.6)+(0+(0-0))+0-0-0</f>
        <v>723.6</v>
      </c>
      <c r="M273" s="3">
        <f>28.6+(924.1-189.6)+(0+(0-0))+0-0-0</f>
        <v>763.1</v>
      </c>
      <c r="N273" s="3">
        <f>120.9+(823.7-141.6)+(0+(0-0))+0-0-0</f>
        <v>803</v>
      </c>
      <c r="O273" s="3">
        <f>282.8+(680.3-127.1)+(-0.288456+(-0.693906--0.129642))+0-0-0</f>
        <v>835.14728000000002</v>
      </c>
      <c r="P273" s="3">
        <f>334.8+(635.7-111.9)+(-0.512244+(-0.972621--0.171207))+0-0-0</f>
        <v>857.2863420000001</v>
      </c>
      <c r="Q273" s="3">
        <f>365+(653.4-161.8)+(-0.55845+(-0.999702--0.247554))+0-0-0</f>
        <v>855.28940199999988</v>
      </c>
      <c r="R273" s="3">
        <f>256.6+(680.5-90.4)+(-0.523464+(-1.38822--0.184416))+0-0-0</f>
        <v>844.97273200000006</v>
      </c>
      <c r="S273" s="3">
        <f>221+(678.7-73.9)+(-0.56355+(-1.730685--0.188445))+0-0-0</f>
        <v>823.69421000000011</v>
      </c>
      <c r="T273" s="3">
        <f>195.5+(739.1-107.5)+(0+(0-0))+0-0-0</f>
        <v>827.1</v>
      </c>
      <c r="U273" s="3">
        <f>148.3+(731.8-62.1)+(-0.378165+(-1.86609--0.158355))+0-0-0</f>
        <v>815.91409999999996</v>
      </c>
      <c r="V273" s="3">
        <f>150.3+(737.8-49.1)+(-0.076653+(-0.376278--0.025041))+0-0-0</f>
        <v>838.57210999999995</v>
      </c>
      <c r="W273" s="3">
        <f>236.7+(820.9-137.4)+(0.120717+(0.418659-0.070074))+0-0-0</f>
        <v>920.66930200000002</v>
      </c>
      <c r="X273" s="3">
        <f>254.9+(747-84.7)+(-0.259998+(-0.76194--0.086394))+0-0-0</f>
        <v>916.26445599999988</v>
      </c>
      <c r="Y273" s="3">
        <f>107.1+(817.6-24.9)+(-0.109242+(-0.833952--0.025398))+0-0-0</f>
        <v>898.88220400000012</v>
      </c>
      <c r="Z273" s="3">
        <f>15.9+(854.5-0)+(-0.032436+(-1.74318-0))+0-0-0</f>
        <v>868.62438399999996</v>
      </c>
      <c r="AA273" s="3">
        <f>0+(843.5-0)+(0+(-1.72074-0))+0-0-0</f>
        <v>841.77926000000002</v>
      </c>
      <c r="AB273" s="3">
        <f>0+(846.6-22.5)+(0+(-1.295298--0.034425))+0-0-0</f>
        <v>822.83912700000008</v>
      </c>
      <c r="AC273" s="3">
        <f>0+(961.5-143.1)+(0+(-1.96146--0.291924))+0-0-0</f>
        <v>816.73046399999998</v>
      </c>
      <c r="AD273">
        <v>933.89999999999986</v>
      </c>
      <c r="AE273" s="3">
        <f>250+(856.1-172.2)+(0+(0-0))+0-0-0</f>
        <v>933.90000000000009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0+(848.5-76.5)+(0+(-1.298205--0.117045))+0-0-0</f>
        <v>770.81884000000002</v>
      </c>
      <c r="G274" s="3">
        <f>0+(760.6-22.4)+(0+(-1.93953--0.05712))+0-0-0</f>
        <v>736.31759</v>
      </c>
      <c r="H274" s="3">
        <f>0+(718.8-2.5)+(0+(-0.366588--0.001275))+0-0-0</f>
        <v>715.93468699999994</v>
      </c>
      <c r="I274" s="3">
        <f>0+(713.8-4.5)+(0+(0-0))+0-0-0</f>
        <v>709.3</v>
      </c>
      <c r="J274" s="3">
        <f>0+(726.7-12.3)+(0+(0.370617-0.006273))+0-0-0</f>
        <v>714.76434400000005</v>
      </c>
      <c r="K274" s="3">
        <f>0+(715.9-12.3)+(0+(1.460436-0.025092))+0-0-0</f>
        <v>705.03534400000001</v>
      </c>
      <c r="L274" s="3">
        <f>0+(857-113.4)+(0+(1.31121-0.173502))+0-0-0</f>
        <v>744.737708</v>
      </c>
      <c r="M274" s="3">
        <f>0+(873.4-90.5)+(0+(0-0))+0-0-0</f>
        <v>782.9</v>
      </c>
      <c r="N274" s="3">
        <f>0+(832.4-16.1)+(0+(-0.424524--0.008211))+0-0-0</f>
        <v>815.88368700000001</v>
      </c>
      <c r="O274" s="3">
        <f>0+(874.2-26.3)+(0+(-0.891684--0.026826))+0-0-0</f>
        <v>847.03514200000006</v>
      </c>
      <c r="P274" s="3">
        <f>0+(919.5-49.3)+(0+(-0.93789--0.050286))+0-0-0</f>
        <v>869.31239600000004</v>
      </c>
      <c r="Q274" s="3">
        <f>0+(933.7-59.5)+(0+(-1.904748--0.12138))+0-0-0</f>
        <v>872.41663200000005</v>
      </c>
      <c r="R274" s="3">
        <f>0+(886.8-37.2)+(0+(-1.356804--0.056916))+0-0-0</f>
        <v>848.3001119999999</v>
      </c>
      <c r="S274" s="3">
        <f>0+(894.6-59.2)+(0+(-0.912492--0.060384))+0-0-0</f>
        <v>834.54789199999993</v>
      </c>
      <c r="T274" s="3">
        <f>0+(884.1-55.9)+(0+(-0.901782--0.057018))+0-0-0</f>
        <v>827.35523599999999</v>
      </c>
      <c r="U274" s="3">
        <f>0+(868.2-42.3)+(0+(-0.442782--0.021573))+0-0-0</f>
        <v>825.47879100000011</v>
      </c>
      <c r="V274" s="3">
        <f>0+(857.3-30.2)+(0+(-0.437223--0.015402))+0-0-0</f>
        <v>826.67817899999989</v>
      </c>
      <c r="W274" s="3">
        <f>0+(983.7-66.9)+(0+(1.003374-0.068238))+0-0-0</f>
        <v>917.73513600000001</v>
      </c>
      <c r="X274" s="3">
        <f>0+(939.7-11.2)+(0+(0-0))+0-0-0</f>
        <v>928.5</v>
      </c>
      <c r="Y274" s="3">
        <f>0+(901.1-10.4)+(0+(-2.757366--0.031824))+0-0-0</f>
        <v>887.97445800000003</v>
      </c>
      <c r="Z274" s="3">
        <f>0+(879.7-9)+(0+(0-0))+0-0-0</f>
        <v>870.7</v>
      </c>
      <c r="AA274" s="3">
        <f>0+(866-11.8)+(0+(-1.32498--0.018054))+0-0-0</f>
        <v>852.89307400000007</v>
      </c>
      <c r="AB274" s="3">
        <f>0+(964.3-118.6)+(0+(-1.967172--0.241944))+0-0-0</f>
        <v>843.97477199999992</v>
      </c>
      <c r="AC274" s="3">
        <f>0+(891.3-84.2)+(0+(-2.272815--0.21471))+0-0-0</f>
        <v>805.04189499999995</v>
      </c>
      <c r="AD274">
        <v>918.1</v>
      </c>
      <c r="AE274" s="3">
        <f>0+(941.7-23.6)+(0+(0-0))+0-0-0</f>
        <v>918.1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0+(783.7-10.2)+(0+(-1.598748--0.020808))+0-0-0</f>
        <v>771.92205999999999</v>
      </c>
      <c r="G275" s="3">
        <f>0+(743.4-0)+(0+(-0.758268-0))+0-0-0</f>
        <v>742.64173199999993</v>
      </c>
      <c r="H275" s="3">
        <f>0+(730.6-7.6)+(0+(-0.372606--0.003876))+0-0-0</f>
        <v>722.63126999999997</v>
      </c>
      <c r="I275" s="3">
        <f>0+(727.1-18.2)+(0+(0.370821-0.009282))+0-0-0</f>
        <v>709.26153899999997</v>
      </c>
      <c r="J275" s="3">
        <f>0+(761.6-49.6)+(0+(-2.330496--0.151776))+0-0-0</f>
        <v>709.82128</v>
      </c>
      <c r="K275" s="3">
        <f>0+(789.2-77.3)+(0+(1.609968-0.157692))+0-0-0</f>
        <v>713.35227600000007</v>
      </c>
      <c r="L275" s="3">
        <f>0+(839.6-93.7)+(0+(0.856392-0.095574))+0-0-0</f>
        <v>746.66081799999995</v>
      </c>
      <c r="M275" s="3">
        <f>0+(841.1-55.5)+(0+(-2.144805--0.141525))+0-0-0</f>
        <v>783.59672</v>
      </c>
      <c r="N275" s="3">
        <f>0+(852-28.4)+(0+(0.43452-0.014484))+0-0-0</f>
        <v>824.020036</v>
      </c>
      <c r="O275" s="3">
        <f>0+(921.9-54.5)+(0+(-0.940338--0.05559))+0-0-0</f>
        <v>866.51525200000003</v>
      </c>
      <c r="P275" s="3">
        <f>0+(930.2-49.7)+(0+(0.474402-0.025347))+0-0-0</f>
        <v>880.94905500000004</v>
      </c>
      <c r="Q275" s="3">
        <f>0+(930.8-47.2)+(0+(-0.474708--0.024072))+0-0-0</f>
        <v>883.14936399999988</v>
      </c>
      <c r="R275" s="3">
        <f>0+(906.4-45.3)+(0+(-2.31132--0.115515))+0-0-0</f>
        <v>858.90419500000007</v>
      </c>
      <c r="S275" s="3">
        <f>0+(889.9-43.4)+(0+(-1.361547--0.066402))+0-0-0</f>
        <v>845.20485499999995</v>
      </c>
      <c r="T275" s="3">
        <f>0+(905-52.4)+(0+(-0.46155--0.026724))+0-0-0</f>
        <v>852.16517399999998</v>
      </c>
      <c r="U275" s="3">
        <f>0+(865.8-25.5)+(0+(1.766232-0.05202))+0-0-0</f>
        <v>842.01421199999993</v>
      </c>
      <c r="V275" s="3">
        <f>0+(867.3-20.8)+(0+(-0.884646--0.021216))+0-0-0</f>
        <v>845.63657000000001</v>
      </c>
      <c r="W275" s="3">
        <f>0+(963.8-36.7)+(0+(0.491538-0.018717))+0-0-0</f>
        <v>927.57282099999986</v>
      </c>
      <c r="X275" s="3">
        <f>0+(920.7-2.6)+(0+(-1.878228--0.005304))+0-0-0</f>
        <v>916.22707600000001</v>
      </c>
      <c r="Y275" s="3">
        <f>0+(895.6-0)+(0+(-1.827024-0))+0-0-0</f>
        <v>893.77297599999997</v>
      </c>
      <c r="Z275" s="3">
        <f>0+(882.2-10)+(0+(-1.349766--0.0153))+0-0-0</f>
        <v>870.86553400000003</v>
      </c>
      <c r="AA275" s="3">
        <f>0+(847.7-1.5)+(0+(-1.296981--0.002295))+0-0-0</f>
        <v>844.90531400000009</v>
      </c>
      <c r="AB275" s="3">
        <f>0+(844.6-11.4)+(0+(-1.292238--0.017442))+0-0-0</f>
        <v>831.92520400000001</v>
      </c>
      <c r="AC275" s="3">
        <f>0+(815.9-12.3)+(0+(-2.080545--0.031365))+0-0-0</f>
        <v>801.55082000000004</v>
      </c>
      <c r="AD275">
        <v>914.3</v>
      </c>
      <c r="AE275" s="3">
        <f>0+(975.8-61.5)+(0+(0-0))+0-0-0</f>
        <v>914.3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0+(782.2-24.3)+(0+(-1.196766--0.037179))+0-0-0</f>
        <v>756.7404130000001</v>
      </c>
      <c r="G276" s="3">
        <f>0+(776.6-44.6)+(0+(-0.792132--0.045492))+0-0-0</f>
        <v>731.25336000000004</v>
      </c>
      <c r="H276" s="3">
        <f>0+(803.1-89.3)+(0+(-0.819162--0.091086))+0-0-0</f>
        <v>713.07192400000008</v>
      </c>
      <c r="I276" s="3">
        <f>0+(826-115.6)+(0+(0.42126-0.058956))+0-0-0</f>
        <v>710.76230399999997</v>
      </c>
      <c r="J276" s="3">
        <f>0+(818.5-103.3)+(0+(0.417435-0.052683))+0-0-0</f>
        <v>715.564752</v>
      </c>
      <c r="K276" s="3">
        <f>0+(813.9-109)+(0+(0.415089-0.05559))+0-0-0</f>
        <v>705.25949900000001</v>
      </c>
      <c r="L276" s="3">
        <f>0+(837-89.4)+(0+(0.42687-0.045594))+0-0-0</f>
        <v>747.98127599999998</v>
      </c>
      <c r="M276" s="3">
        <f>0+(879.5-102.5)+(0+(-0.89709--0.10455))+0-0-0</f>
        <v>776.20745999999997</v>
      </c>
      <c r="N276" s="3">
        <f>0+(877.2-53.1)+(0+(1.342116-0.081243))+0-0-0</f>
        <v>825.36087299999997</v>
      </c>
      <c r="O276" s="3">
        <f>0+(912-69.3)+(0+(-2.3256--0.176715))+0-0-0</f>
        <v>840.5511150000001</v>
      </c>
      <c r="P276" s="3">
        <f>0+(912.7-60.2)+(0+(-0.465477--0.030702))+0-0-0</f>
        <v>852.06522500000005</v>
      </c>
      <c r="Q276" s="3">
        <f>0+(916.2-61.4)+(0+(-1.401786--0.093942))+0-0-0</f>
        <v>853.49215600000002</v>
      </c>
      <c r="R276" s="3">
        <f>0+(952.7-103.3)+(0+(-0.971754--0.105366))+0-0-0</f>
        <v>848.53361200000006</v>
      </c>
      <c r="S276" s="3">
        <f>0+(910.8-79)+(0+(-0.929016--0.08058))+0-0-0</f>
        <v>830.95156399999996</v>
      </c>
      <c r="T276" s="3">
        <f>0+(886-68.7)+(0+(-1.35558--0.105111))+0-0-0</f>
        <v>816.049531</v>
      </c>
      <c r="U276" s="3">
        <f>0+(888-81.1)+(0+(-2.2644--0.206805))+0-0-0</f>
        <v>804.84240499999999</v>
      </c>
      <c r="V276" s="3">
        <f>0+(878.1-61.5)+(0+(0.895662-0.06273))+0-0-0</f>
        <v>817.43293200000005</v>
      </c>
      <c r="W276" s="3">
        <f>0+(991.8-95.1)+(0+(-1.517454--0.145503))+0-0-0</f>
        <v>895.32804899999996</v>
      </c>
      <c r="X276" s="3">
        <f>0+(963.4-75.4)+(0+(-1.965336--0.153816))+0-0-0</f>
        <v>886.18848000000003</v>
      </c>
      <c r="Y276" s="3">
        <f>0+(937.6-86.8)+(0+(0.956352-0.088536))+0-0-0</f>
        <v>851.66781600000002</v>
      </c>
      <c r="Z276" s="3">
        <f>0+(870.5-54.6)+(0+(-1.77582--0.111384))+0-0-0</f>
        <v>814.23556399999995</v>
      </c>
      <c r="AA276" s="3">
        <f>0+(834.8-40.8)+(0+(-1.702992--0.083232))+0-0-0</f>
        <v>792.38023999999996</v>
      </c>
      <c r="AB276" s="3">
        <f>0+(899.8-96.9)+(0+(0.458898-0.049419))+0-0-0</f>
        <v>803.30947900000001</v>
      </c>
      <c r="AC276" s="3">
        <f>0+(871.9-86)+(0+(-0.444669--0.04386))+0-0-0</f>
        <v>785.499191</v>
      </c>
      <c r="AD276">
        <v>891.2</v>
      </c>
      <c r="AE276" s="3">
        <f>0+(979.5-88.3)+(0+(0-0))+0-0-0</f>
        <v>891.2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0+(832.8-71)+(0+(-0.424728--0.03621))+0-0-0</f>
        <v>761.41148199999998</v>
      </c>
      <c r="G277" s="3">
        <f>0+(758.4-31)+(0+(-0.386784--0.01581))+0-0-0</f>
        <v>727.02902599999993</v>
      </c>
      <c r="H277" s="3">
        <f>0+(792.4-86.9)+(0+(0-0))+0-0-0</f>
        <v>705.5</v>
      </c>
      <c r="I277" s="3">
        <f>0+(811.3-116.6)+(0+(-0.413763--0.059466))+0-0-0</f>
        <v>694.34570299999996</v>
      </c>
      <c r="J277" s="3">
        <f>0+(813.3-124.4)+(0+(0.414783-0.063444))+0-0-0</f>
        <v>689.25133900000003</v>
      </c>
      <c r="K277" s="3">
        <f>0+(854.8-168.6)+(0+(0-0))+0-0-0</f>
        <v>686.19999999999993</v>
      </c>
      <c r="L277" s="3">
        <f>0+(881.9-178.9)+(0+(0.449769-0.091239))+0-0-0</f>
        <v>703.35852999999997</v>
      </c>
      <c r="M277" s="3">
        <f>0+(853.3-129.6)+(0+(0-0))+0-0-0</f>
        <v>723.69999999999993</v>
      </c>
      <c r="N277" s="3">
        <f>0+(835.2-60.5)+(0+(-0.851904--0.06171))+0-0-0</f>
        <v>773.909806</v>
      </c>
      <c r="O277" s="3">
        <f>0+(932.7-109.4)+(0+(0.475677-0.055794))+0-0-0</f>
        <v>823.7198830000001</v>
      </c>
      <c r="P277" s="3">
        <f>0+(982.2-147.4)+(0+(1.502766-0.225522))+0-0-0</f>
        <v>836.07724400000006</v>
      </c>
      <c r="Q277" s="3">
        <f>0+(1011.8-162.2)+(0+(-0.516018--0.082722))+0-0-0</f>
        <v>849.16670399999987</v>
      </c>
      <c r="R277" s="3">
        <f>0+(987.5-152.7)+(0+(-2.518125--0.389385))+0-0-0</f>
        <v>832.67125999999996</v>
      </c>
      <c r="S277" s="3">
        <f>0+(930.6-135.6)+(0+(-1.898424--0.276624))+0-0-0</f>
        <v>793.37819999999999</v>
      </c>
      <c r="T277" s="3">
        <f>0+(889-100.3)+(0+(-0.45339--0.051153))+0-0-0</f>
        <v>788.29776300000003</v>
      </c>
      <c r="U277" s="3">
        <f>0+(888.4-100.2)+(0+(-2.26542--0.25551))+0-0-0</f>
        <v>786.19008999999994</v>
      </c>
      <c r="V277" s="3">
        <f>0+(897.2-106.1)+(0+(1.372716-0.162333))+0-0-0</f>
        <v>792.310383</v>
      </c>
      <c r="W277" s="3">
        <f>0+(1066.5-191.4)+(0+(0-0))+0-0-0</f>
        <v>875.1</v>
      </c>
      <c r="X277" s="3">
        <f>0+(1029.4-147.4)+(0+(-2.62497--0.37587))+0-0-0</f>
        <v>879.75090000000012</v>
      </c>
      <c r="Y277" s="3">
        <f>0+(981.7-128.8)+(0+(-2.503335--0.32844))+0-0-0</f>
        <v>850.7251050000001</v>
      </c>
      <c r="Z277" s="3">
        <f>0+(964.1-131.8)+(0+(-1.475073--0.201654))+0-0-0</f>
        <v>831.02658099999996</v>
      </c>
      <c r="AA277" s="3">
        <f>0+(949.9-128.9)+(0+(-0.484449--0.065739))+0-0-0</f>
        <v>820.58128999999997</v>
      </c>
      <c r="AB277" s="3">
        <f>0+(967.9-158.7)+(0+(-1.480887--0.242811))+0-0-0</f>
        <v>807.96192400000007</v>
      </c>
      <c r="AC277" s="3">
        <f>0+(913.5-128.6)+(0+(-0.93177--0.131172))+0-0-0</f>
        <v>784.09940199999994</v>
      </c>
      <c r="AD277">
        <v>883.8</v>
      </c>
      <c r="AE277" s="3">
        <f>0+(1139.3-255.5)+(0+(0-0))+0-0-0</f>
        <v>883.8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0+(834.9-92.4)+(0+(0-0))+0-0-0</f>
        <v>742.5</v>
      </c>
      <c r="G278" s="3">
        <f>0+(742.9-38.6)+(0+(-1.894395--0.09843))+0-0-0</f>
        <v>702.50403499999993</v>
      </c>
      <c r="H278" s="3">
        <f>0+(711.1-26.9)+(0+(-1.450644--0.054876))+0-0-0</f>
        <v>682.80423200000007</v>
      </c>
      <c r="I278" s="3">
        <f>0+(685.6-13.7)+(0+(0.349656-0.006987))+0-0-0</f>
        <v>672.24266899999998</v>
      </c>
      <c r="J278" s="3">
        <f>0+(678.8-15.4)+(0+(0.346188-0.007854))+0-0-0</f>
        <v>663.73833400000001</v>
      </c>
      <c r="K278" s="3">
        <f>0+(668.3-22.9)+(0+(0-0))+0-0-0</f>
        <v>645.4</v>
      </c>
      <c r="L278" s="3">
        <f>0+(683.5-42.2)+(0+(-0.348585--0.021522))+0-0-0</f>
        <v>640.972937</v>
      </c>
      <c r="M278" s="3">
        <f>0+(689.8-55.1)+(0+(0.703596-0.056202))+0-0-0</f>
        <v>635.34739399999989</v>
      </c>
      <c r="N278" s="3">
        <f>0+(733.5-76)+(0+(0.74817-0.07752))+0-0-0</f>
        <v>658.17065000000002</v>
      </c>
      <c r="O278" s="3">
        <f>0+(777.4-80)+(0+(0-0))+0-0-0</f>
        <v>697.4</v>
      </c>
      <c r="P278" s="3">
        <f>0+(813.5-78.1)+(0+(-0.82977--0.079662))+0-0-0</f>
        <v>734.64989200000002</v>
      </c>
      <c r="Q278" s="3">
        <f>0+(855.9-106.5)+(0+(0.873018-0.10863))+0-0-0</f>
        <v>750.16438800000003</v>
      </c>
      <c r="R278" s="3">
        <f>0+(848.9-108)+(0+(-1.298817--0.16524))+0-0-0</f>
        <v>739.76642300000003</v>
      </c>
      <c r="S278" s="3">
        <f>0+(796.1-84)+(0+(-2.030055--0.2142))+0-0-0</f>
        <v>710.28414499999997</v>
      </c>
      <c r="T278" s="3">
        <f>0+(764.5-63.3)+(0+(-1.169685--0.096849))+0-0-0</f>
        <v>700.12716399999999</v>
      </c>
      <c r="U278" s="3">
        <f>0+(772.9-80.6)+(0+(-1.576716--0.164424))+0-0-0</f>
        <v>690.88770799999998</v>
      </c>
      <c r="V278" s="3">
        <f>0+(744.2-35.9)+(0+(-0.379542--0.018309))+0-0-0</f>
        <v>707.9387670000001</v>
      </c>
      <c r="W278" s="3">
        <f>0+(926.8-137.4)+(0+(0.472668-0.070074))+0-0-0</f>
        <v>789.802594</v>
      </c>
      <c r="X278" s="3">
        <f>0+(917.2-121.6)+(0+(-1.871088--0.248064))+0-0-0</f>
        <v>793.97697600000004</v>
      </c>
      <c r="Y278" s="3">
        <f>0+(877-98.6)+(0+(1.34181-0.150858))+0-0-0</f>
        <v>779.59095200000002</v>
      </c>
      <c r="Z278" s="3">
        <f>0+(850.3-82.7)+(0+(-0.433653--0.042177))+0-0-0</f>
        <v>767.2085239999999</v>
      </c>
      <c r="AA278" s="3">
        <f>0+(833.5-72.1)+(0+(-1.275255--0.110313))+0-0-0</f>
        <v>760.23505799999998</v>
      </c>
      <c r="AB278" s="3">
        <f>0+(896-144.7)+(0+(-0.91392--0.147594))+0-0-0</f>
        <v>750.53367399999991</v>
      </c>
      <c r="AC278" s="3">
        <f>0+(831.8-113.1)+(0+(-1.272654--0.173043))+0-0-0</f>
        <v>717.60038899999995</v>
      </c>
      <c r="AD278">
        <v>804.2</v>
      </c>
      <c r="AE278" s="3">
        <f>0+(985-180.8)+(0+(0-0))+0-0-0</f>
        <v>804.2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0+(752.3-79.6)+(0+(-1.918365--0.20298))+0-0-0</f>
        <v>670.98461499999996</v>
      </c>
      <c r="G279" s="3">
        <f>0+(831.4-193.1)+(0+(-1.272042--0.295443))+0-0-0</f>
        <v>637.32340099999999</v>
      </c>
      <c r="H279" s="3">
        <f>0+(836.2-205.5)+(0+(-2.13231--0.524025))+0-0-0</f>
        <v>629.09171500000002</v>
      </c>
      <c r="I279" s="3">
        <f>0+(801.7-165.8)+(0+(-0.817734--0.169116))+0-0-0</f>
        <v>635.25138200000004</v>
      </c>
      <c r="J279" s="3">
        <f>0+(824-187.3)+(0+(0-0))+0-0-0</f>
        <v>636.70000000000005</v>
      </c>
      <c r="K279" s="3">
        <f>0+(807.9-172.5)+(0+(-0.824058--0.17595))+0-0-0</f>
        <v>634.751892</v>
      </c>
      <c r="L279" s="3">
        <f>0+(863.3-168.5)+(0+(0.440283-0.085935))+0-0-0</f>
        <v>695.15434799999991</v>
      </c>
      <c r="M279" s="3">
        <f>0+(874.7-127.1)+(0+(0.892194-0.129642))+0-0-0</f>
        <v>748.36255200000005</v>
      </c>
      <c r="N279" s="3">
        <f>0+(897.2-104.1)+(0+(0.457572-0.053091))+0-0-0</f>
        <v>793.50448100000006</v>
      </c>
      <c r="O279" s="3">
        <f>0+(855.6-16.3)+(0+(1.745424-0.033252))+0-0-0</f>
        <v>841.01217200000008</v>
      </c>
      <c r="P279" s="3">
        <f>0+(908.3-13.6)+(0+(0.463233-0.006936))+0-0-0</f>
        <v>895.15629699999988</v>
      </c>
      <c r="Q279" s="3">
        <f>0+(884.6-11.5)+(0+(0.451146-0.005865))+0-0-0</f>
        <v>873.54528100000005</v>
      </c>
      <c r="R279" s="3">
        <f>0+(861.8-12.1)+(0+(-2.19759--0.030855))+0-0-0</f>
        <v>847.53326499999991</v>
      </c>
      <c r="S279" s="3">
        <f>0+(837.4-14.8)+(0+(0.427074-0.007548))+0-0-0</f>
        <v>823.01952600000004</v>
      </c>
      <c r="T279" s="3">
        <f>0+(850-18.9)+(0+(0.867-0.019278))+0-0-0</f>
        <v>831.947722</v>
      </c>
      <c r="U279" s="3">
        <f>0+(825.3-9.4)+(0+(0-0))+0-0-0</f>
        <v>815.9</v>
      </c>
      <c r="V279" s="3">
        <f>86.9+(707.2-0)+(-0.088638+(-0.721344-0))+0-0-0</f>
        <v>793.29001800000003</v>
      </c>
      <c r="W279" s="3">
        <f>121.9+(852.8-74.5)+(0+(0-0))+0-0-0</f>
        <v>900.19999999999993</v>
      </c>
      <c r="X279" s="3">
        <f>123.3+(847.9-70.7)+(-0.125766+(-0.864858--0.072114))+0-0-0</f>
        <v>899.58148999999992</v>
      </c>
      <c r="Y279" s="3">
        <f>124.5+(797.5-43.7)+(-0.25398+(-1.6269--0.089148))+0-0-0</f>
        <v>876.50826799999993</v>
      </c>
      <c r="Z279" s="3">
        <f>127.5+(764.4-31.2)+(-0.065025+(-0.389844--0.015912))+0-0-0</f>
        <v>860.26104299999997</v>
      </c>
      <c r="AA279" s="3">
        <f>55.2+(797.4-7.3)+(-0.056304+(-0.813348--0.007446))+0-0-0</f>
        <v>844.43779400000005</v>
      </c>
      <c r="AB279" s="3">
        <f>49.1+(786.4-8.7)+(-0.025041+(-0.401064--0.004437))+0-0-0</f>
        <v>826.378332</v>
      </c>
      <c r="AC279" s="3">
        <f>3+(797.6-9.6)+(-0.00153+(-0.406776--0.004896))+0-0-0</f>
        <v>790.59658999999999</v>
      </c>
      <c r="AD279">
        <v>890.3</v>
      </c>
      <c r="AE279" s="3">
        <f>122+(908.5-140.2)+(0+(0-0))+0-0-0</f>
        <v>890.3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0+(782.4-23.7)+(0+(-0.798048--0.024174))+0-0-0</f>
        <v>757.92612599999995</v>
      </c>
      <c r="G280" s="3">
        <f>0+(804.6-77.1)+(0+(-0.410346--0.039321))+0-0-0</f>
        <v>727.12897499999997</v>
      </c>
      <c r="H280" s="3">
        <f>0+(821.8-102.3)+(0+(-1.257354--0.156519))+0-0-0</f>
        <v>718.39916500000004</v>
      </c>
      <c r="I280" s="3">
        <f>0+(830.4-115.1)+(0+(-1.270512--0.176103))+0-0-0</f>
        <v>714.20559099999991</v>
      </c>
      <c r="J280" s="3">
        <f>0+(854.8-142.7)+(0+(0-0))+0-0-0</f>
        <v>712.09999999999991</v>
      </c>
      <c r="K280" s="3">
        <f>0+(848.9-140.1)+(0+(0-0))+0-0-0</f>
        <v>708.8</v>
      </c>
      <c r="L280" s="3">
        <f>0+(907.3-164.8)+(0+(0-0))+0-0-0</f>
        <v>742.5</v>
      </c>
      <c r="M280" s="3">
        <f>0+(927.4-144.8)+(0+(0.945948-0.147696))+0-0-0</f>
        <v>783.39825199999996</v>
      </c>
      <c r="N280" s="3">
        <f>0+(894.2-55.6)+(0+(0.912084-0.056712))+0-0-0</f>
        <v>839.45537200000001</v>
      </c>
      <c r="O280" s="3">
        <f>0+(879.4-12.9)+(0+(-0.448494--0.006579))+0-0-0</f>
        <v>866.05808500000001</v>
      </c>
      <c r="P280" s="3">
        <f>0+(894.4-5.7)+(0+(0-0))+0-0-0</f>
        <v>888.69999999999993</v>
      </c>
      <c r="Q280" s="3">
        <f>0+(893.4-1.7)+(0+(-1.366902--0.002601))+0-0-0</f>
        <v>890.33569899999998</v>
      </c>
      <c r="R280" s="3">
        <f>0+(876.1-0)+(0+(-0.893622-0))+0-0-0</f>
        <v>875.20637799999997</v>
      </c>
      <c r="S280" s="3">
        <f>0+(854.4-5.2)+(0+(-1.307232--0.007956))+0-0-0</f>
        <v>847.90072399999997</v>
      </c>
      <c r="T280" s="3">
        <f>0+(860.5-14.5)+(0+(0-0))+0-0-0</f>
        <v>846</v>
      </c>
      <c r="U280" s="3">
        <f>0+(860.9-18.4)+(0+(1.317177-0.028152))+0-0-0</f>
        <v>843.78902500000004</v>
      </c>
      <c r="V280" s="3">
        <f>0+(865.7-17.4)+(0+(0.883014-0.017748))+0-0-0</f>
        <v>849.16526600000009</v>
      </c>
      <c r="W280" s="3">
        <f>0+(957.8-48.9)+(0+(1.465434-0.074817))+0-0-0</f>
        <v>910.290617</v>
      </c>
      <c r="X280" s="3">
        <f>0+(970.9-60.3)+(0+(-0.990318--0.061506))+0-0-0</f>
        <v>909.67118800000003</v>
      </c>
      <c r="Y280" s="3">
        <f>0+(920.2-38.7)+(0+(-2.34651--0.098685))+0-0-0</f>
        <v>879.25217499999997</v>
      </c>
      <c r="Z280" s="3">
        <f>0+(891.7-27.8)+(0+(0.454767-0.014178))+0-0-0</f>
        <v>864.34058900000014</v>
      </c>
      <c r="AA280" s="3">
        <f>0+(865.9-17.1)+(0+(-1.324827--0.026163))+0-0-0</f>
        <v>847.50133599999992</v>
      </c>
      <c r="AB280" s="3">
        <f>0+(851.4-18.3)+(0+(-1.736856--0.037332))+0-0-0</f>
        <v>831.40047600000003</v>
      </c>
      <c r="AC280" s="3">
        <f>0+(839.3-37.2)+(0+(-1.712172--0.075888))+0-0-0</f>
        <v>800.46371599999986</v>
      </c>
      <c r="AD280">
        <v>900</v>
      </c>
      <c r="AE280" s="3">
        <f>0+(1012-112)+(0+(0-0))+0-0-0</f>
        <v>900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0+(862.6-98.1)+(0+(-1.759704--0.200124))+0-0-0</f>
        <v>762.94042000000002</v>
      </c>
      <c r="G281" s="3">
        <f>0+(801.4-66.2)+(0+(-0.817428--0.067524))+0-0-0</f>
        <v>734.45009599999992</v>
      </c>
      <c r="H281" s="3">
        <f>0+(794-67.5)+(0+(-0.40494--0.034425))+0-0-0</f>
        <v>726.12948500000005</v>
      </c>
      <c r="I281" s="3">
        <f>0+(790.6-67.2)+(0+(1.209618-0.102816))+0-0-0</f>
        <v>724.50680199999999</v>
      </c>
      <c r="J281" s="3">
        <f>0+(796.8-82)+(0+(0-0))+0-0-0</f>
        <v>714.8</v>
      </c>
      <c r="K281" s="3">
        <f>0+(810-100.9)+(0+(2.4786-0.308754))+0-0-0</f>
        <v>711.26984600000003</v>
      </c>
      <c r="L281" s="3">
        <f>0+(838.9-98.4)+(0+(0-0))+0-0-0</f>
        <v>740.5</v>
      </c>
      <c r="M281" s="3">
        <f>0+(884.4-95)+(0+(0.902088-0.0969))+0-0-0</f>
        <v>790.20518800000002</v>
      </c>
      <c r="N281" s="3">
        <f>0+(855.7-24.1)+(0+(0-0))+0-0-0</f>
        <v>831.6</v>
      </c>
      <c r="O281" s="3">
        <f>0+(884.2-16.3)+(0+(0.901884-0.016626))+0-0-0</f>
        <v>868.78525800000011</v>
      </c>
      <c r="P281" s="3">
        <f>0+(901.5-16.2)+(0+(1.379295-0.024786))+0-0-0</f>
        <v>886.65450899999996</v>
      </c>
      <c r="Q281" s="3">
        <f>0+(945.9-44.8)+(0+(-0.482409--0.022848))+0-0-0</f>
        <v>900.64043900000001</v>
      </c>
      <c r="R281" s="3">
        <f>0+(895.6-26.3)+(0+(-2.28378--0.067065))+0-0-0</f>
        <v>867.08328500000005</v>
      </c>
      <c r="S281" s="3">
        <f>0+(793.2-26.5)+(0+(-1.213596--0.040545))+0-0-0</f>
        <v>765.52694900000006</v>
      </c>
      <c r="T281" s="3">
        <f>0+(831.9-27.2)+(0+(0.424269-0.013872))+0-0-0</f>
        <v>805.11039699999992</v>
      </c>
      <c r="U281" s="3">
        <f>0+(857.2-26.4)+(0+(-0.437172--0.013464))+0-0-0</f>
        <v>830.37629200000003</v>
      </c>
      <c r="V281" s="3">
        <f>0+(865.6-18.2)+(0+(-0.882912--0.018564))+0-0-0</f>
        <v>846.53565200000003</v>
      </c>
      <c r="W281" s="3">
        <f>0+(937.3-26.8)+(0+(0.956046-0.027336))+0-0-0</f>
        <v>911.42871000000002</v>
      </c>
      <c r="X281" s="3">
        <f>0+(918-13.1)+(0+(-2.3409--0.033405))+0-0-0</f>
        <v>902.59250499999996</v>
      </c>
      <c r="Y281" s="3">
        <f>0+(890.5-6)+(0+(-0.454155--0.00306))+0-0-0</f>
        <v>884.04890499999999</v>
      </c>
      <c r="Z281" s="3">
        <f>0+(866.7-1.9)+(0+(-0.442017--0.000969))+0-0-0</f>
        <v>864.35895200000004</v>
      </c>
      <c r="AA281" s="3">
        <f>0+(842.3-0)+(0+(-0.859146-0))+0-0-0</f>
        <v>841.44085399999994</v>
      </c>
      <c r="AB281" s="3">
        <f>0+(852.3-22.9)+(0+(-2.173365--0.058395))+0-0-0</f>
        <v>827.28503000000001</v>
      </c>
      <c r="AC281" s="3">
        <f>0+(806.2-5.8)+(0+(-0.822324--0.005916))+0-0-0</f>
        <v>799.58359200000007</v>
      </c>
      <c r="AD281">
        <v>927.8</v>
      </c>
      <c r="AE281" s="3">
        <f>0+(996.9-69.1)+(0+(0-0))+0-0-0</f>
        <v>927.8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0+(788.9-19.4)+(0+(-1.609356--0.039576))+0-0-0</f>
        <v>767.93021999999996</v>
      </c>
      <c r="G282" s="3">
        <f>0+(826.6-85.9)+(0+(-0.843132--0.087618))+0-0-0</f>
        <v>739.9444860000001</v>
      </c>
      <c r="H282" s="3">
        <f>0+(865.5-136.9)+(0+(-1.76562--0.279276))+0-0-0</f>
        <v>727.11365599999999</v>
      </c>
      <c r="I282" s="3">
        <f>0+(837.6-102.6)+(0+(-1.708704--0.209304))+0-0-0</f>
        <v>733.50059999999996</v>
      </c>
      <c r="J282" s="3">
        <f>0+(840.9-111.3)+(0+(-0.857718--0.113526))+0-0-0</f>
        <v>728.85580800000002</v>
      </c>
      <c r="K282" s="3">
        <f>0+(819.7-90.8)+(0+(0-0))+0-0-0</f>
        <v>728.90000000000009</v>
      </c>
      <c r="L282" s="3">
        <f>0+(860.6-102.6)+(0+(-0.438906--0.052326))+0-0-0</f>
        <v>757.61342000000002</v>
      </c>
      <c r="M282" s="3">
        <f>0+(888-95.8)+(0+(0.45288-0.048858))+0-0-0</f>
        <v>792.6040220000001</v>
      </c>
      <c r="N282" s="3">
        <f>0+(920.4-91)+(0+(0.938808-0.09282))+0-0-0</f>
        <v>830.24598800000001</v>
      </c>
      <c r="O282" s="3">
        <f>0+(855.7-4.8)+(0+(0.872814-0.004896))+0-0-0</f>
        <v>851.76791800000012</v>
      </c>
      <c r="P282" s="3">
        <f>0+(867.3-0)+(0+(0.442323-0))+0-0-0</f>
        <v>867.74232299999994</v>
      </c>
      <c r="Q282" s="3">
        <f>0+(884.6-1.9)+(0+(0-0))+0-0-0</f>
        <v>882.7</v>
      </c>
      <c r="R282" s="3">
        <f>0+(876.5-8.4)+(0+(-2.235075--0.02142))+0-0-0</f>
        <v>865.88634500000001</v>
      </c>
      <c r="S282" s="3">
        <f>0+(854.3-14.5)+(0+(-3.049851--0.051765))+0-0-0</f>
        <v>836.80191400000001</v>
      </c>
      <c r="T282" s="3">
        <f>0+(855-21.4)+(0+(0-0))+0-0-0</f>
        <v>833.6</v>
      </c>
      <c r="U282" s="3">
        <f>0+(859.3-21.3)+(0+(1.314729-0.032589))+0-0-0</f>
        <v>839.28214000000003</v>
      </c>
      <c r="V282" s="3">
        <f>0+(864.1-19.5)+(0+(-0.881382--0.01989))+0-0-0</f>
        <v>843.73850800000002</v>
      </c>
      <c r="W282" s="3">
        <f>0+(897.9-0)+(0+(1.373787-0))+0-0-0</f>
        <v>899.27378699999997</v>
      </c>
      <c r="X282" s="3">
        <f>0+(904.6-12)+(0+(-2.30673--0.0306))+0-0-0</f>
        <v>890.32387000000006</v>
      </c>
      <c r="Y282" s="3">
        <f>0+(905.8-26.8)+(0+(-2.30979--0.06834))+0-0-0</f>
        <v>876.75855000000001</v>
      </c>
      <c r="Z282" s="3">
        <f>0+(882.7-20.3)+(0+(-1.800708--0.041412))+0-0-0</f>
        <v>860.64070400000014</v>
      </c>
      <c r="AA282" s="3">
        <f>0+(856.4-9.9)+(0+(-1.747056--0.020196))+0-0-0</f>
        <v>844.77314000000001</v>
      </c>
      <c r="AB282" s="3">
        <f>0+(880.1-50.2)+(0+(-0.897702--0.051204))+0-0-0</f>
        <v>829.05350199999998</v>
      </c>
      <c r="AC282" s="3">
        <f>0+(912.7-99.6)+(0+(-3.723816--0.406368))+0-0-0</f>
        <v>809.78255200000001</v>
      </c>
      <c r="AD282">
        <v>890.9</v>
      </c>
      <c r="AE282" s="3">
        <f>0+(929.1-38.2)+(0+(0-0))+0-0-0</f>
        <v>890.9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0+(804.8-46.6)+(0+(-0.820896--0.047532))+0-0-0</f>
        <v>757.42663599999992</v>
      </c>
      <c r="G283" s="3">
        <f>0+(801.4-69.6)+(0+(0.408714-0.035496))+0-0-0</f>
        <v>732.17321799999991</v>
      </c>
      <c r="H283" s="3">
        <f>0+(787.7-71.3)+(0+(0.401727-0.036363))+0-0-0</f>
        <v>716.76536400000009</v>
      </c>
      <c r="I283" s="3">
        <f>0+(791.5-80.2)+(0+(-0.403665--0.040902))+0-0-0</f>
        <v>710.93723699999998</v>
      </c>
      <c r="J283" s="3">
        <f>0+(776.5-67.1)+(0+(-1.980075--0.171105))+0-0-0</f>
        <v>707.59102999999993</v>
      </c>
      <c r="K283" s="3">
        <f>0+(793.2-81.5)+(0+(-0.404532--0.041565))+0-0-0</f>
        <v>711.33703300000002</v>
      </c>
      <c r="L283" s="3">
        <f>0+(892.3-152.3)+(0+(-0.455073--0.077673))+0-0-0</f>
        <v>739.62260000000003</v>
      </c>
      <c r="M283" s="3">
        <f>0+(929.7-155.8)+(0+(0.474147-0.079458))+0-0-0</f>
        <v>774.29468900000006</v>
      </c>
      <c r="N283" s="3">
        <f>0+(904.1-88.9)+(0+(-0.461091--0.045339))+0-0-0</f>
        <v>814.78424800000005</v>
      </c>
      <c r="O283" s="3">
        <f>0+(855.3-11.8)+(0+(0.436203-0.006018))+0-0-0</f>
        <v>843.93018500000005</v>
      </c>
      <c r="P283" s="3">
        <f>0+(870.5-10)+(0+(-0.443955--0.0051))+0-0-0</f>
        <v>860.06114500000001</v>
      </c>
      <c r="Q283" s="3">
        <f>0+(875.3-13.4)+(0+(-0.892806--0.013668))+0-0-0</f>
        <v>861.02086199999997</v>
      </c>
      <c r="R283" s="3">
        <f>0+(883.2-20.5)+(0+(-1.351296--0.031365))+0-0-0</f>
        <v>861.38006900000005</v>
      </c>
      <c r="S283" s="3">
        <f>0+(828.3-0)+(0+(-0.422433-0))+0-0-0</f>
        <v>827.877567</v>
      </c>
      <c r="T283" s="3">
        <f>0+(835.5-3.5)+(0+(-0.85221--0.00357))+0-0-0</f>
        <v>831.15135999999995</v>
      </c>
      <c r="U283" s="3">
        <f>0+(827-9.3)+(0+(-0.42177--0.004743))+0-0-0</f>
        <v>817.28297300000008</v>
      </c>
      <c r="V283" s="3">
        <f>0+(842.1-15.5)+(0+(0-0))+0-0-0</f>
        <v>826.6</v>
      </c>
      <c r="W283" s="3">
        <f>0+(930.9-37)+(0+(0.949518-0.03774))+0-0-0</f>
        <v>894.811778</v>
      </c>
      <c r="X283" s="3">
        <f>0+(935-40.2)+(0+(-2.38425--0.10251))+0-0-0</f>
        <v>892.51825999999994</v>
      </c>
      <c r="Y283" s="3">
        <f>0+(897.8-21.5)+(0+(-2.28939--0.054825))+0-0-0</f>
        <v>874.06543499999998</v>
      </c>
      <c r="Z283" s="3">
        <f>0+(859.7-5.9)+(0+(-1.753788--0.012036))+0-0-0</f>
        <v>852.05824800000005</v>
      </c>
      <c r="AA283" s="3">
        <f>0+(849.4-11.6)+(0+(-1.299582--0.017748))+0-0-0</f>
        <v>836.51816599999995</v>
      </c>
      <c r="AB283" s="3">
        <f>0+(898-60.1)+(0+(-1.37394--0.091953))+0-0-0</f>
        <v>836.61801300000002</v>
      </c>
      <c r="AC283" s="3">
        <f>0+(905-91.1)+(0+(-2.30775--0.232305))+0-0-0</f>
        <v>811.82455500000003</v>
      </c>
      <c r="AD283">
        <v>882.2</v>
      </c>
      <c r="AE283" s="3">
        <f>0+(991.5-109.3)+(0+(0-0))+0-0-0</f>
        <v>882.2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0+(882.8-112)+(0+(-1.350684--0.17136))+0-0-0</f>
        <v>769.620676</v>
      </c>
      <c r="G284" s="3">
        <f>0+(794.3-59.7)+(0+(-2.430558--0.182682))+0-0-0</f>
        <v>732.35212399999989</v>
      </c>
      <c r="H284" s="3">
        <f>0+(780.1-56.2)+(0+(-0.795702--0.057324))+0-0-0</f>
        <v>723.16162199999997</v>
      </c>
      <c r="I284" s="3">
        <f>0+(763.3-53.1)+(0+(-1.167849--0.081243))+0-0-0</f>
        <v>709.11339399999997</v>
      </c>
      <c r="J284" s="3">
        <f>0+(750.7-42.1)+(0+(0.765714-0.042942))+0-0-0</f>
        <v>709.32277199999999</v>
      </c>
      <c r="K284" s="3">
        <f>0+(755-55.2)+(0+(-0.38505--0.028152))+0-0-0</f>
        <v>699.44310199999995</v>
      </c>
      <c r="L284" s="3">
        <f>0+(772-49.5)+(0+(0.39372-0.025245))+0-0-0</f>
        <v>722.86847499999999</v>
      </c>
      <c r="M284" s="3">
        <f>0+(781.3-35.8)+(0+(-0.796926--0.036516))+0-0-0</f>
        <v>744.73959000000002</v>
      </c>
      <c r="N284" s="3">
        <f>0+(832.8-40)+(0+(0-0))+0-0-0</f>
        <v>792.8</v>
      </c>
      <c r="O284" s="3">
        <f>0+(846.7-23.5)+(0+(0.431817-0.011985))+0-0-0</f>
        <v>823.61983200000009</v>
      </c>
      <c r="P284" s="3">
        <f>0+(913.8-53.5)+(0+(-0.466038--0.027285))+0-0-0</f>
        <v>859.86124699999993</v>
      </c>
      <c r="Q284" s="3">
        <f>0+(943.8-81)+(0+(-2.40669--0.20655))+0-0-0</f>
        <v>860.59985999999992</v>
      </c>
      <c r="R284" s="3">
        <f>0+(929.6-87.9)+(0+(-0.948192--0.089658))+0-0-0</f>
        <v>840.84146600000008</v>
      </c>
      <c r="S284" s="3">
        <f>0+(895.6-85.9)+(0+(-0.456756--0.043809))+0-0-0</f>
        <v>809.28705300000001</v>
      </c>
      <c r="T284" s="3">
        <f>0+(899.6-103.9)+(0+(-0.917592--0.105978))+0-0-0</f>
        <v>794.88838600000008</v>
      </c>
      <c r="U284" s="3">
        <f>0+(899-105.7)+(0+(-1.83396--0.215628))+0-0-0</f>
        <v>791.68166799999995</v>
      </c>
      <c r="V284" s="3">
        <f>0+(862.2-70.6)+(0+(0.439722-0.036006))+0-0-0</f>
        <v>792.00371600000005</v>
      </c>
      <c r="W284" s="3">
        <f>0+(1017.2-147.2)+(0+(1.037544-0.150144))+0-0-0</f>
        <v>870.88739999999996</v>
      </c>
      <c r="X284" s="3">
        <f>0+(1020.5-144.3)+(0+(-2.08182--0.294372))+0-0-0</f>
        <v>874.41255200000001</v>
      </c>
      <c r="Y284" s="3">
        <f>0+(1019.9-161.9)+(0+(-2.080596--0.330276))+0-0-0</f>
        <v>856.24968000000001</v>
      </c>
      <c r="Z284" s="3">
        <f>0+(969.9-131.7)+(0+(0-0))+0-0-0</f>
        <v>838.2</v>
      </c>
      <c r="AA284" s="3">
        <f>0+(946.7-119.1)+(0+(-1.931268--0.242964))+0-0-0</f>
        <v>825.91169600000001</v>
      </c>
      <c r="AB284" s="3">
        <f>0+(1018.2-196.8)+(0+(-1.038564--0.200736))+0-0-0</f>
        <v>820.56217200000015</v>
      </c>
      <c r="AC284" s="3">
        <f>0+(932.4-149.6)+(0+(-0.951048--0.152592))+0-0-0</f>
        <v>782.00154399999997</v>
      </c>
      <c r="AD284">
        <v>862.4</v>
      </c>
      <c r="AE284" s="3">
        <f>0+(988.5-126.1)+(0+(0-0))+0-0-0</f>
        <v>862.4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0+(819.1-64)+(0+(-1.253223--0.09792))+0-0-0</f>
        <v>753.94469700000002</v>
      </c>
      <c r="G285" s="3">
        <f>0+(710.6-1.6)+(0+(0.362406-0.000816))+0-0-0</f>
        <v>709.36158999999998</v>
      </c>
      <c r="H285" s="3">
        <f>0+(704-8.2)+(0+(-1.07712--0.012546))+0-0-0</f>
        <v>694.73542599999996</v>
      </c>
      <c r="I285" s="3">
        <f>0+(726.5-38.1)+(0+(-1.48206--0.077724))+0-0-0</f>
        <v>686.99566400000003</v>
      </c>
      <c r="J285" s="3">
        <f>0+(734.1-58.1)+(0+(-1.497564--0.118524))+0-0-0</f>
        <v>674.62095999999997</v>
      </c>
      <c r="K285" s="3">
        <f>0+(732.9-69.2)+(0+(0.373779-0.035292))+0-0-0</f>
        <v>664.03848699999992</v>
      </c>
      <c r="L285" s="3">
        <f>0+(753.7-95.7)+(0+(-1.153161--0.146421))+0-0-0</f>
        <v>656.99325999999996</v>
      </c>
      <c r="M285" s="3">
        <f>0+(757.3-114.3)+(0+(-2.703561--0.408051))+0-0-0</f>
        <v>640.70448999999996</v>
      </c>
      <c r="N285" s="3">
        <f>0+(752.8-103.8)+(0+(0.383928-0.052938))+0-0-0</f>
        <v>649.33099000000004</v>
      </c>
      <c r="O285" s="3">
        <f>0+(692.6-16.6)+(0+(0-0))+0-0-0</f>
        <v>676</v>
      </c>
      <c r="P285" s="3">
        <f>0+(702.1-0)+(0+(0.716142-0))+0-0-0</f>
        <v>702.81614200000001</v>
      </c>
      <c r="Q285" s="3">
        <f>0+(710.9-0)+(0+(-1.087677-0))+0-0-0</f>
        <v>709.81232299999999</v>
      </c>
      <c r="R285" s="3">
        <f>0+(700.1-0)+(0+(0-0))+0-0-0</f>
        <v>700.1</v>
      </c>
      <c r="S285" s="3">
        <f>0+(683.7-0)+(0+(-1.046061-0))+0-0-0</f>
        <v>682.65393900000004</v>
      </c>
      <c r="T285" s="3">
        <f>0+(673.9-0)+(0+(0-0))+0-0-0</f>
        <v>673.9</v>
      </c>
      <c r="U285" s="3">
        <f>0+(668.6-0)+(0+(0.340986-0))+0-0-0</f>
        <v>668.94098600000007</v>
      </c>
      <c r="V285" s="3">
        <f>0+(684.4-0)+(0+(-0.349044-0))+0-0-0</f>
        <v>684.05095599999993</v>
      </c>
      <c r="W285" s="3">
        <f>0+(811.2-34.9)+(0+(0.827424-0.035598))+0-0-0</f>
        <v>777.09182600000008</v>
      </c>
      <c r="X285" s="3">
        <f>0+(863.4-61.5)+(0+(-0.440334--0.031365))+0-0-0</f>
        <v>801.49103100000002</v>
      </c>
      <c r="Y285" s="3">
        <f>0+(826.6-50.9)+(0+(-0.421566--0.025959))+0-0-0</f>
        <v>775.304393</v>
      </c>
      <c r="Z285" s="3">
        <f>0+(809.8-38.9)+(0+(-0.412998--0.019839))+0-0-0</f>
        <v>770.50684100000001</v>
      </c>
      <c r="AA285" s="3">
        <f>0+(788.5-30.5)+(0+(0-0))+0-0-0</f>
        <v>758</v>
      </c>
      <c r="AB285" s="3">
        <f>0+(830.3-75.8)+(0+(-1.693812--0.154632))+0-0-0</f>
        <v>752.96082000000001</v>
      </c>
      <c r="AC285" s="3">
        <f>0+(770.3-46)+(0+(-1.178559--0.07038))+0-0-0</f>
        <v>723.191821</v>
      </c>
      <c r="AD285">
        <v>793.7</v>
      </c>
      <c r="AE285" s="3">
        <f>0+(857.2-63.5)+(0+(0-0))+0-0-0</f>
        <v>793.7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0+(764.8-91.9)+(0+(-0.780096--0.093738))+0-0-0</f>
        <v>672.21364199999994</v>
      </c>
      <c r="G286" s="3">
        <f>0+(743.6-130.6)+(0+(-1.516944--0.266424))+0-0-0</f>
        <v>611.74947999999995</v>
      </c>
      <c r="H286" s="3">
        <f>0+(786.1-140.9)+(0+(0-0))+0-0-0</f>
        <v>645.20000000000005</v>
      </c>
      <c r="I286" s="3">
        <f>0+(750.9-114.1)+(0+(0.382959-0.058191))+0-0-0</f>
        <v>637.1247679999999</v>
      </c>
      <c r="J286" s="3">
        <f>0+(769.5-128.7)+(0+(-0.392445--0.065637))+0-0-0</f>
        <v>640.47319199999993</v>
      </c>
      <c r="K286" s="3">
        <f>0+(816.1-162.9)+(0+(0-0))+0-0-0</f>
        <v>653.20000000000005</v>
      </c>
      <c r="L286" s="3">
        <f>0+(833.4-134.1)+(0+(-0.425034--0.068391))+0-0-0</f>
        <v>698.94335699999999</v>
      </c>
      <c r="M286" s="3">
        <f>9.9+(813.9-70.4)+(0.015147+(1.245267-0.107712))+0-0-0</f>
        <v>754.55270199999995</v>
      </c>
      <c r="N286" s="3">
        <f>185.7+(666.4-43.5)+(-0.094707+(-0.339864--0.022185))+0-0-0</f>
        <v>808.18761399999994</v>
      </c>
      <c r="O286" s="3">
        <f>251.3+(625.4-25.4)+(0.256326+(0.637908-0.025908))+0-0-0</f>
        <v>852.16832599999998</v>
      </c>
      <c r="P286" s="3">
        <f>250+(657-37.5)+(0.1275+(0.33507-0.019125))+0-0-0</f>
        <v>869.943445</v>
      </c>
      <c r="Q286" s="3">
        <f>246.9+(693-52.4)+(-0.251838+(-0.70686--0.053448))+0-0-0</f>
        <v>886.59474999999998</v>
      </c>
      <c r="R286" s="3">
        <f>247.3+(670.8-50.1)+(-0.252246+(-0.684216--0.051102))+0-0-0</f>
        <v>867.11464000000001</v>
      </c>
      <c r="S286" s="3">
        <f>247.7+(633.7-39.1)+(-0.126327+(-0.323187--0.019941))+0-0-0</f>
        <v>841.87042699999995</v>
      </c>
      <c r="T286" s="3">
        <f>247.9+(650-49.3)+(-0.126429+(-0.3315--0.025143))+0-0-0</f>
        <v>848.16721400000006</v>
      </c>
      <c r="U286" s="3">
        <f>246.5+(628.6-39.1)+(-0.25143+(-0.641172--0.039882))+0-0-0</f>
        <v>835.14728000000002</v>
      </c>
      <c r="V286" s="3">
        <f>247.4+(654.5-50.9)+(-0.126174+(-0.333795--0.025959))+0-0-0</f>
        <v>850.56599000000006</v>
      </c>
      <c r="W286" s="3">
        <f>248.4+(828.7-164.7)+(-0.126684+(-0.422637--0.083997))+0-0-0</f>
        <v>911.93467599999997</v>
      </c>
      <c r="X286" s="3">
        <f>250.4+(807-151.7)+(-0.383112+(-1.23471--0.232101))+0-0-0</f>
        <v>904.31427899999994</v>
      </c>
      <c r="Y286" s="3">
        <f>250.6+(769.3-128.2)+(-0.127806+(-0.392343--0.065382))+0-0-0</f>
        <v>891.24523299999998</v>
      </c>
      <c r="Z286" s="3">
        <f>251.7+(734.6-111)+(-0.385101+(-1.123938--0.16983))+0-0-0</f>
        <v>873.96079099999997</v>
      </c>
      <c r="AA286" s="3">
        <f>250.7+(685.5-77.2)+(-0.511428+(-1.39842--0.157488))+0-0-0</f>
        <v>857.24764000000005</v>
      </c>
      <c r="AB286" s="3">
        <f>227.4+(702.4-76.1)+(-0.347922+(-1.074672--0.116433))+0-0-0</f>
        <v>852.39383899999996</v>
      </c>
      <c r="AC286" s="3">
        <f>198.1+(690.1-64.8)+(-0.404124+(-1.407804--0.132192))+0-0-0</f>
        <v>821.72026400000004</v>
      </c>
      <c r="AD286">
        <v>934.40000000000009</v>
      </c>
      <c r="AE286" s="3">
        <f>250+(900.4-216)+(0+(0-0))+0-0-0</f>
        <v>934.4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157.8+(666.8-44.5)+(-0.321912+(-1.360272--0.09078))+0-0-0</f>
        <v>778.5085959999999</v>
      </c>
      <c r="G287" s="3">
        <f>90.1+(674-8.3)+(0.091902+(0.68748-0.008466))+0-0-0</f>
        <v>756.57091600000012</v>
      </c>
      <c r="H287" s="3">
        <f>90.1+(697.5-46.5)+(-0.183804+(-1.4229--0.09486))+0-0-0</f>
        <v>739.58815600000003</v>
      </c>
      <c r="I287" s="3">
        <f>90.2+(688.8-50.3)+(0+(0-0))+0-0-0</f>
        <v>728.7</v>
      </c>
      <c r="J287" s="3">
        <f>90.1+(693.7-61.2)+(0+(0-0))+0-0-0</f>
        <v>722.6</v>
      </c>
      <c r="K287" s="3">
        <f>90.1+(672.6-46.5)+(0+(0-0))+0-0-0</f>
        <v>716.2</v>
      </c>
      <c r="L287" s="3">
        <f>247+(602.5-73)+(0+(0-0))+0-0-0</f>
        <v>776.5</v>
      </c>
      <c r="M287" s="3">
        <f>249+(543.2-44.2)+(-0.12699+(-0.277032--0.022542))+0-0-0</f>
        <v>747.61851999999999</v>
      </c>
      <c r="N287" s="3">
        <f>246.7+(567.7-65.7)+(-0.503268+(-1.158108--0.134028))+0-0-0</f>
        <v>747.17265200000008</v>
      </c>
      <c r="O287" s="3">
        <f>248.2+(731.1-98)+(-0.379746+(-1.118583--0.14994))+0-0-0</f>
        <v>879.95161099999996</v>
      </c>
      <c r="P287" s="3">
        <f>248.5+(722.6-107.2)+(-0.126735+(-0.368526--0.054672))+0-0-0</f>
        <v>863.45941099999993</v>
      </c>
      <c r="Q287" s="3">
        <f>247.2+(725-100)+(-0.504288+(-1.479--0.204))+0-0-0</f>
        <v>870.42071200000009</v>
      </c>
      <c r="R287" s="3">
        <f>246.2+(692.3-81.3)+(-0.62781+(-1.765365--0.207315))+0-0-0</f>
        <v>855.01414</v>
      </c>
      <c r="S287" s="3">
        <f>249.9+(642.9-54.9)+(0.127449+(0.327879-0.027999))+0-0-0</f>
        <v>838.32732899999996</v>
      </c>
      <c r="T287" s="3">
        <f>249+(636.3-54.3)+(0.12699+(0.324513-0.027693))+0-0-0</f>
        <v>831.42381</v>
      </c>
      <c r="U287" s="3">
        <f>248.2+(623-52.2)+(0+(0-0))+0-0-0</f>
        <v>819</v>
      </c>
      <c r="V287" s="3">
        <f>247.1+(658.6-76.1)+(-0.504084+(-1.343544--0.155244))+0-0-0</f>
        <v>827.90761600000008</v>
      </c>
      <c r="W287" s="3">
        <f>248.1+(783.4-142)+(0+(0-0))+0-0-0</f>
        <v>889.5</v>
      </c>
      <c r="X287" s="3">
        <f>237.5+(801.4-143.9)+(-0.4845+(-1.634856--0.293556))+0-0-0</f>
        <v>893.17420000000004</v>
      </c>
      <c r="Y287" s="3">
        <f>148.9+(847.7-116.4)+(-0.303756+(-1.729308--0.237456))+0-0-0</f>
        <v>878.40439200000003</v>
      </c>
      <c r="Z287" s="3">
        <f>148.8+(788.3-81.3)+(-0.303552+(-1.608132--0.165852))+0-0-0</f>
        <v>854.054168</v>
      </c>
      <c r="AA287" s="3">
        <f>148.4+(754.5-67.8)+(-0.227052+(-1.154385--0.103734))+0-0-0</f>
        <v>833.82229700000005</v>
      </c>
      <c r="AB287" s="3">
        <f>148.2+(739.3-67.1)+(-0.302328+(-1.508172--0.136884))+0-0-0</f>
        <v>818.72638399999983</v>
      </c>
      <c r="AC287" s="3">
        <f>148.7+(688.2-45.4)+(-0.227511+(-1.052946--0.069462))+0-0-0</f>
        <v>790.28900499999997</v>
      </c>
      <c r="AD287">
        <v>884.6</v>
      </c>
      <c r="AE287" s="3">
        <f>250+(806-171.4)+(0+(0-0))+0-0-0</f>
        <v>884.6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149+(641-22.8)+(-0.15198+(-0.65382--0.023256))+0-0-0</f>
        <v>766.41745600000002</v>
      </c>
      <c r="G288" s="3">
        <f>148.6+(644.1-63.6)+(-0.075786+(-0.328491--0.032436))+0-0-0</f>
        <v>728.72815900000001</v>
      </c>
      <c r="H288" s="3">
        <f>95.2+(666-39)+(-0.048552+(-0.33966--0.01989))+0-0-0</f>
        <v>721.83167800000001</v>
      </c>
      <c r="I288" s="3">
        <f>95.1+(656.4-38.8)+(0.048501+(0.334764-0.019788))+0-0-0</f>
        <v>713.06347700000003</v>
      </c>
      <c r="J288" s="3">
        <f>95.2+(660.5-43.6)+(-0.194208+(-1.34742--0.088944))+0-0-0</f>
        <v>710.64731600000005</v>
      </c>
      <c r="K288" s="3">
        <f>95.1+(674.9-55.7)+(0.048501+(0.344199-0.028407))+0-0-0</f>
        <v>714.66429299999993</v>
      </c>
      <c r="L288" s="3">
        <f>95.1+(706.6-47.6)+(-0.145503+(-1.081098--0.072828))+0-0-0</f>
        <v>752.94622700000002</v>
      </c>
      <c r="M288" s="3">
        <f>192.2+(687.2-96.1)+(-0.098022+(-0.350472--0.049011))+0-0-0</f>
        <v>782.90051699999992</v>
      </c>
      <c r="N288" s="3">
        <f>311.7+(622.9-112.8)+(0+(0-0))+0-0-0</f>
        <v>821.8</v>
      </c>
      <c r="O288" s="3">
        <f>372.3+(597.4-120.3)+(0+(0-0))+0-0-0</f>
        <v>849.4</v>
      </c>
      <c r="P288" s="3">
        <f>378.3+(645.7-128.1)+(0.192933+(0.329307-0.065331))+0-0-0</f>
        <v>896.35690900000009</v>
      </c>
      <c r="Q288" s="3">
        <f>374.7+(654.3-157.8)+(-0.573291+(-1.001079--0.241434))+0-0-0</f>
        <v>869.86706399999991</v>
      </c>
      <c r="R288" s="3">
        <f>372.9+(630.5-163.1)+(-1.141074+(-1.92933--0.499086))+0-0-0</f>
        <v>837.72868199999994</v>
      </c>
      <c r="S288" s="3">
        <f>374.9+(593.7-136.2)+(-0.764796+(-1.211148--0.277848))+0-0-0</f>
        <v>830.70190400000013</v>
      </c>
      <c r="T288" s="3">
        <f>373.6+(543.9-109.7)+(-0.190536+(-0.277389--0.055947))+0-0-0</f>
        <v>807.38802199999998</v>
      </c>
      <c r="U288" s="3">
        <f>329.7+(544.9-55.4)+(-0.168147+(-0.277899--0.028254))+0-0-0</f>
        <v>818.78220800000008</v>
      </c>
      <c r="V288" s="3">
        <f>360+(631.3-103.4)+(-0.3672+(-0.643926--0.105468))+0-0-0</f>
        <v>886.99434199999996</v>
      </c>
      <c r="W288" s="3">
        <f>385.7+(719-211.2)+(-0.590121+(-1.10007--0.323136))+0-0-0</f>
        <v>892.13294499999995</v>
      </c>
      <c r="X288" s="3">
        <f>389+(681.4-185)+(-0.79356+(-1.390056--0.3774))+0-0-0</f>
        <v>883.59378400000003</v>
      </c>
      <c r="Y288" s="3">
        <f>327.1+(675.8-132.8)+(-0.834105+(-1.72329--0.33864))+0-0-0</f>
        <v>867.88124500000004</v>
      </c>
      <c r="Z288" s="3">
        <f>259.5+(663.8-67.5)+(-0.26469+(-0.677076--0.06885))+0-0-0</f>
        <v>854.92708399999992</v>
      </c>
      <c r="AA288" s="3">
        <f>256.6+(647-72.1)+(-0.785196+(-1.97982--0.220626))+0-0-0</f>
        <v>828.95560999999998</v>
      </c>
      <c r="AB288" s="3">
        <f>258.8+(601.4-55.2)+(-0.527952+(-1.226856--0.112608))+0-0-0</f>
        <v>803.3578</v>
      </c>
      <c r="AC288" s="3">
        <f>258.8+(551-31.3)+(-0.263976+(-0.56202--0.031926))+0-0-0</f>
        <v>777.70592999999997</v>
      </c>
      <c r="AD288">
        <v>883.09999999999991</v>
      </c>
      <c r="AE288" s="3">
        <f>389+(695.1-201)+(0+(0-0))+0-0-0</f>
        <v>883.1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251.4+(554.8-59.6)+(-0.64107+(-1.41474--0.15198))+0-0-0</f>
        <v>744.69616999999994</v>
      </c>
      <c r="G289" s="3">
        <f>203.5+(596.8-86.4)+(0+(0-0))+0-0-0</f>
        <v>713.9</v>
      </c>
      <c r="H289" s="3">
        <f>179.2+(616.8-88.7)+(-0.182784+(-0.629136--0.090474))+0-0-0</f>
        <v>706.57855399999994</v>
      </c>
      <c r="I289" s="3">
        <f>180.9+(610.1-89.8)+(0.184518+(0.622302-0.091596))+0-0-0</f>
        <v>701.91522400000008</v>
      </c>
      <c r="J289" s="3">
        <f>180.4+(589.5-67.9)+(0.092004+(0.300645-0.034629))+0-0-0</f>
        <v>702.35802000000001</v>
      </c>
      <c r="K289" s="3">
        <f>180.2+(641.2-127.3)+(0.183804+(0.654024-0.129846))+0-0-0</f>
        <v>694.80798200000015</v>
      </c>
      <c r="L289" s="3">
        <f>181.2+(656.4-110.1)+(0.369648+(1.339056-0.224604))+0-0-0</f>
        <v>728.98410000000001</v>
      </c>
      <c r="M289" s="3">
        <f>233.7+(638.3-108.4)+(-0.119187+(-0.325533--0.055284))+0-0-0</f>
        <v>763.21056399999986</v>
      </c>
      <c r="N289" s="3">
        <f>258.7+(637.1-96.3)+(0.131937+(0.324921-0.049113))+0-0-0</f>
        <v>799.90774499999998</v>
      </c>
      <c r="O289" s="3">
        <f>258.1+(636.9-56.2)+(0+(0-0))+0-0-0</f>
        <v>838.8</v>
      </c>
      <c r="P289" s="3">
        <f>258.1+(695.5-95.3)+(0+(0-0))+0-0-0</f>
        <v>858.30000000000007</v>
      </c>
      <c r="Q289" s="3">
        <f>256.2+(749.3-128.9)+(-0.522648+(-1.528572--0.262956))+0-0-0</f>
        <v>874.81173599999988</v>
      </c>
      <c r="R289" s="3">
        <f>225+(669.8-70.6)+(-0.34425+(-1.024794--0.108018))+0-0-0</f>
        <v>822.93897399999992</v>
      </c>
      <c r="S289" s="3">
        <f>198.9+(644.5-45)+(-0.304317+(-0.986085--0.06885))+0-0-0</f>
        <v>797.178448</v>
      </c>
      <c r="T289" s="3">
        <f>200.7+(656.8-48.2)+(0.102357+(0.334968-0.024582))+0-0-0</f>
        <v>809.71274299999993</v>
      </c>
      <c r="U289" s="3">
        <f>199.9+(657.5-48.3)+(-0.101949+(-0.335325--0.024633))+0-0-0</f>
        <v>808.68735900000001</v>
      </c>
      <c r="V289" s="3">
        <f>235.6+(608.5-41)+(-0.360468+(-0.931005--0.06273))+0-0-0</f>
        <v>801.87125700000001</v>
      </c>
      <c r="W289" s="3">
        <f>252.1+(729.2-98)+(0+(0-0))+0-0-0</f>
        <v>883.30000000000007</v>
      </c>
      <c r="X289" s="3">
        <f>251.1+(714.2-82.7)+(-0.384183+(-1.092726--0.126531))+0-0-0</f>
        <v>881.24962200000004</v>
      </c>
      <c r="Y289" s="3">
        <f>238.4+(681.1-58.2)+(-0.364752+(-1.042083--0.089046))+0-0-0</f>
        <v>859.98221100000001</v>
      </c>
      <c r="Z289" s="3">
        <f>207.7+(669.1-37.7)+(-0.529635+(-1.706205--0.096135))+0-0-0</f>
        <v>836.96029499999986</v>
      </c>
      <c r="AA289" s="3">
        <f>210.3+(635.4-15.5)+(-0.107253+(-0.324054--0.007905))+0-0-0</f>
        <v>829.77659800000004</v>
      </c>
      <c r="AB289" s="3">
        <f>208.6+(653.4-42.9)+(-0.319158+(-0.999702--0.065637))+0-0-0</f>
        <v>817.84677699999997</v>
      </c>
      <c r="AC289" s="3">
        <f>208+(601.4-23.3)+(-0.42432+(-1.226856--0.047532))+0-0-0</f>
        <v>784.49635599999999</v>
      </c>
      <c r="AD289">
        <v>921.69999999999993</v>
      </c>
      <c r="AE289" s="3">
        <f>250+(836.6-164.9)+(0+(0-0))+0-0-0</f>
        <v>921.7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208.6+(595.1-63.3)+(-0.425544+(-1.214004--0.129132))+0-0-0</f>
        <v>738.88958400000013</v>
      </c>
      <c r="G290" s="3">
        <f>209.6+(624.7-113.7)+(-0.106896+(-0.318597--0.057987))+0-0-0</f>
        <v>720.23249399999997</v>
      </c>
      <c r="H290" s="3">
        <f>208.6+(641.1-141)+(-0.212772+(-0.653922--0.14382))+0-0-0</f>
        <v>707.977126</v>
      </c>
      <c r="I290" s="3">
        <f>155.3+(676.7-135.5)+(0.158406+(0.690234-0.13821))+0-0-0</f>
        <v>697.21042999999997</v>
      </c>
      <c r="J290" s="3">
        <f>171.6+(668.1-140)+(0+(0-0))+0-0-0</f>
        <v>699.7</v>
      </c>
      <c r="K290" s="3">
        <f>181.5+(687-169.3)+(0.18513+(0.70074-0.172686))+0-0-0</f>
        <v>699.913184</v>
      </c>
      <c r="L290" s="3">
        <f>213.8+(718-211.2)+(0.218076+(0.73236-0.215424))+0-0-0</f>
        <v>721.33501200000001</v>
      </c>
      <c r="M290" s="3">
        <f>237.7+(672.2-157.9)+(0.242454+(0.685644-0.161058))+0-0-0</f>
        <v>752.76703999999995</v>
      </c>
      <c r="N290" s="3">
        <f>252.3+(618.6-80.8)+(0+(0-0))+0-0-0</f>
        <v>790.10000000000014</v>
      </c>
      <c r="O290" s="3">
        <f>264.3+(587.4-30.7)+(0+(0-0))+0-0-0</f>
        <v>821</v>
      </c>
      <c r="P290" s="3">
        <f>262.8+(676.4-49.6)+(0.134028+(0.344964-0.025296))+0-0-0</f>
        <v>890.05369599999995</v>
      </c>
      <c r="Q290" s="3">
        <f>258.6+(653-76.5)+(-0.131886+(-0.33303--0.039015))+0-0-0</f>
        <v>834.67409900000007</v>
      </c>
      <c r="R290" s="3">
        <f>261.1+(648.3-69.1)+(-0.532644+(-1.322532--0.140964))+0-0-0</f>
        <v>838.58578799999998</v>
      </c>
      <c r="S290" s="3">
        <f>175.9+(711.1-64.8)+(-0.089709+(-0.362661--0.033048))+0-0-0</f>
        <v>821.78067800000008</v>
      </c>
      <c r="T290" s="3">
        <f>159.9+(707.1-52.3)+(0+(0-0))+0-0-0</f>
        <v>814.7</v>
      </c>
      <c r="U290" s="3">
        <f>165.2+(697.4-58.7)+(-0.168504+(-0.711348--0.059874))+0-0-0</f>
        <v>803.08002199999987</v>
      </c>
      <c r="V290" s="3">
        <f>180.2+(684.9-57.1)+(0.091902+(0.349299-0.029121))+0-0-0</f>
        <v>808.41207999999995</v>
      </c>
      <c r="W290" s="3">
        <f>241.5+(749.1-125.6)+(0.24633+(0.764082-0.128112))+0-0-0</f>
        <v>865.88229999999999</v>
      </c>
      <c r="X290" s="3">
        <f>260+(729.3-108.9)+(-0.1326+(-0.371943--0.055539))+0-0-0</f>
        <v>879.95099600000003</v>
      </c>
      <c r="Y290" s="3">
        <f>258.6+(677.3-86.6)+(-0.527544+(-1.381692--0.176664))+0-0-0</f>
        <v>847.56742799999995</v>
      </c>
      <c r="Z290" s="3">
        <f>257.9+(651.6-77.5)+(-0.394587+(-0.996948--0.118575))+0-0-0</f>
        <v>830.72703999999999</v>
      </c>
      <c r="AA290" s="3">
        <f>223.7+(664.2-58.6)+(-0.342261+(-1.016226--0.089658))+0-0-0</f>
        <v>828.03117099999997</v>
      </c>
      <c r="AB290" s="3">
        <f>198.7+(724.4-102.4)+(-0.304011+(-1.108332--0.156672))+0-0-0</f>
        <v>819.44432900000004</v>
      </c>
      <c r="AC290" s="3">
        <f>197.6+(624.1-31.9)+(-0.604656+(-1.909746--0.097614))+0-0-0</f>
        <v>787.38321200000007</v>
      </c>
      <c r="AD290">
        <v>873.1</v>
      </c>
      <c r="AE290" s="3">
        <f>258+(737.9-122.8)+(0+(0-0))+0-0-0</f>
        <v>873.1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199.4+(573.9-21.5)+(-0.203388+(-0.585378--0.02193))+0-0-0</f>
        <v>751.03316399999994</v>
      </c>
      <c r="G291" s="3">
        <f>185.5+(624.8-79.9)+(-0.283815+(-0.955944--0.122247))+0-0-0</f>
        <v>729.28248799999994</v>
      </c>
      <c r="H291" s="3">
        <f>140.1+(658.3-83)+(-0.071451+(-0.335733--0.04233))+0-0-0</f>
        <v>715.03514599999994</v>
      </c>
      <c r="I291" s="3">
        <f>142.6+(669.4-102.4)+(0.36363+(1.70697-0.26112))+0-0-0</f>
        <v>711.40948000000003</v>
      </c>
      <c r="J291" s="3">
        <f>142.5+(674.6-113.9)+(0.2907+(1.376184-0.232356))+0-0-0</f>
        <v>704.63452800000005</v>
      </c>
      <c r="K291" s="3">
        <f>170.8+(664.8-132.2)+(0.348432+(1.356192-0.269688))+0-0-0</f>
        <v>704.83493599999986</v>
      </c>
      <c r="L291" s="3">
        <f>244+(649.6-177.9)+(0.87108+(2.319072-0.635103))+0-0-0</f>
        <v>718.2550490000001</v>
      </c>
      <c r="M291" s="3">
        <f>257.7+(610.4-145.9)+(-0.394281+(-0.933912--0.223227))+0-0-0</f>
        <v>721.09503400000006</v>
      </c>
      <c r="N291" s="3">
        <f>266.8+(584.8-89)+(0.408204+(0.894744-0.13617))+0-0-0</f>
        <v>763.76677799999993</v>
      </c>
      <c r="O291" s="3">
        <f>266.7+(643.6-101.3)+(0.272034+(0.656472-0.103326))+0-0-0</f>
        <v>809.82518000000005</v>
      </c>
      <c r="P291" s="3">
        <f>266.2+(685.6-132.5)+(0.271524+(0.699312-0.13515))+0-0-0</f>
        <v>820.13568599999996</v>
      </c>
      <c r="Q291" s="3">
        <f>265.7+(704.3-138.2)+(0+(0-0))+0-0-0</f>
        <v>831.8</v>
      </c>
      <c r="R291" s="3">
        <f>261.5+(661.6-113.2)+(-0.400095+(-1.012248--0.173196))+0-0-0</f>
        <v>808.66085299999997</v>
      </c>
      <c r="S291" s="3">
        <f>261.8+(601.8-89.6)+(0+(0-0))+0-0-0</f>
        <v>774</v>
      </c>
      <c r="T291" s="3">
        <f>261.1+(605-103)+(-0.133161+(-0.30855--0.05253))+0-0-0</f>
        <v>762.71081900000001</v>
      </c>
      <c r="U291" s="3">
        <f>262.3+(596.5-98.5)+(0.267546+(0.60843-0.10047))+0-0-0</f>
        <v>761.0755059999999</v>
      </c>
      <c r="V291" s="3">
        <f>262.1+(623-128.9)+(0.133671+(0.31773-0.065739))+0-0-0</f>
        <v>756.58566200000007</v>
      </c>
      <c r="W291" s="3">
        <f>262.8+(694.4-131.6)+(0.402084+(1.062432-0.201348))+0-0-0</f>
        <v>826.86316799999986</v>
      </c>
      <c r="X291" s="3">
        <f>260.6+(694.6-113.6)+(-0.66453+(-1.77123--0.28968))+0-0-0</f>
        <v>839.45392000000004</v>
      </c>
      <c r="Y291" s="3">
        <f>243.7+(674.7-94)+(-0.248574+(-0.688194--0.09588))+0-0-0</f>
        <v>823.55911200000014</v>
      </c>
      <c r="Z291" s="3">
        <f>236.9+(663.4-94.4)+(-0.845733+(-2.368338--0.337008))+0-0-0</f>
        <v>803.02293699999996</v>
      </c>
      <c r="AA291" s="3">
        <f>238+(607-51.8)+(-0.72828+(-1.85742--0.158508))+0-0-0</f>
        <v>790.77280800000005</v>
      </c>
      <c r="AB291" s="3">
        <f>171.8+(610.8-19.7)+(-0.087618+(-0.311508--0.010047))+0-0-0</f>
        <v>762.51092099999983</v>
      </c>
      <c r="AC291" s="3">
        <f>119.7+(639.7-31.4)+(0.061047+(0.326247-0.016014))+0-0-0</f>
        <v>728.37128000000007</v>
      </c>
      <c r="AD291">
        <v>830.5</v>
      </c>
      <c r="AE291" s="3">
        <f>262+(694.5-126)+(0+(0-0))+0-0-0</f>
        <v>830.5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119+(695.6-83.3)+(-0.30345+(-1.77378--0.212415))+0-0-0</f>
        <v>729.43518500000005</v>
      </c>
      <c r="G292" s="3">
        <f>86.6+(730.8-116.6)+(0+(0-0))+0-0-0</f>
        <v>700.8</v>
      </c>
      <c r="H292" s="3">
        <f>79.3+(737.3-116.3)+(-0.040443+(-0.376023--0.059313))+0-0-0</f>
        <v>699.94284699999992</v>
      </c>
      <c r="I292" s="3">
        <f>80.5+(743.4-140.5)+(0.08211+(0.758268-0.14331))+0-0-0</f>
        <v>684.09706799999992</v>
      </c>
      <c r="J292" s="3">
        <f>79.2+(735.6-152.1)+(-0.080784+(-0.750312--0.155142))+0-0-0</f>
        <v>662.024046</v>
      </c>
      <c r="K292" s="3">
        <f>91.2+(717.3-162.8)+(0.139536+(1.097469-0.249084))+0-0-0</f>
        <v>646.68792100000007</v>
      </c>
      <c r="L292" s="3">
        <f>99.8+(708-175.4)+(0+(0-0))+0-0-0</f>
        <v>632.4</v>
      </c>
      <c r="M292" s="3">
        <f>99.3+(736.7-218.2)+(-0.050643+(-0.375717--0.111282))+0-0-0</f>
        <v>617.48492199999998</v>
      </c>
      <c r="N292" s="3">
        <f>100.2+(737.5-199.4)+(0.051102+(0.376125-0.101694))+0-0-0</f>
        <v>638.62553300000002</v>
      </c>
      <c r="O292" s="3">
        <f>100.5+(680.7-115.4)+(0.153765+(1.041471-0.176562))+0-0-0</f>
        <v>666.8186740000001</v>
      </c>
      <c r="P292" s="3">
        <f>99.9+(640.8-56.8)+(0+(0-0))+0-0-0</f>
        <v>683.9</v>
      </c>
      <c r="Q292" s="3">
        <f>118+(591.7-13.7)+(-0.18054+(-0.905301--0.020961))+0-0-0</f>
        <v>694.93511999999998</v>
      </c>
      <c r="R292" s="3">
        <f>128.8+(578-17.8)+(-0.32844+(-1.4739--0.04539))+0-0-0</f>
        <v>687.24305000000004</v>
      </c>
      <c r="S292" s="3">
        <f>128.4+(573.7-30)+(-0.196452+(-0.877761--0.0459))+0-0-0</f>
        <v>671.071687</v>
      </c>
      <c r="T292" s="3">
        <f>128.3+(553.3-13.6)+(-0.196299+(-0.846549--0.020808))+0-0-0</f>
        <v>666.97796000000005</v>
      </c>
      <c r="U292" s="3">
        <f>129.6+(555.7-27.1)+(0.198288+(0.850221-0.041463))+0-0-0</f>
        <v>659.20704599999999</v>
      </c>
      <c r="V292" s="3">
        <f>129.9+(600.2-53.9)+(0+(0-0))+0-0-0</f>
        <v>676.2</v>
      </c>
      <c r="W292" s="3">
        <f>129+(679.6-46.2)+(-0.13158+(-0.693192--0.047124))+0-0-0</f>
        <v>761.62235199999998</v>
      </c>
      <c r="X292" s="3">
        <f>129.5+(680.6-30.7)+(-0.13209+(-0.694212--0.031314))+0-0-0</f>
        <v>778.60501199999999</v>
      </c>
      <c r="Y292" s="3">
        <f>129.7+(685.7-42.7)+(-0.132294+(-0.699414--0.043554))+0-0-0</f>
        <v>771.91184600000008</v>
      </c>
      <c r="Z292" s="3">
        <f>125.8+(686.5-37.3)+(-0.128316+(-0.70023--0.038046))+0-0-0</f>
        <v>774.20950000000005</v>
      </c>
      <c r="AA292" s="3">
        <f>124+(657.4-13.1)+(-0.06324+(-0.335274--0.006681))+0-0-0</f>
        <v>767.90816699999993</v>
      </c>
      <c r="AB292" s="3">
        <f>123.5+(621.3-0)+(-0.12597+(-0.633726-0))+0-0-0</f>
        <v>744.04030399999999</v>
      </c>
      <c r="AC292" s="3">
        <f>123.7+(594-9.7)+(-0.252348+(-1.21176--0.019788))+0-0-0</f>
        <v>706.55568000000005</v>
      </c>
      <c r="AD292">
        <v>771.5</v>
      </c>
      <c r="AE292" s="3">
        <f>130+(667.7-26.2)+(0+(0-0))+0-0-0</f>
        <v>771.5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100.8+(645.1-70.2)+(-0.25704+(-1.645005--0.17901))+0-0-0</f>
        <v>673.97696499999995</v>
      </c>
      <c r="G293" s="3">
        <f>89.6+(702.9-138)+(0+(0-0))+0-0-0</f>
        <v>654.5</v>
      </c>
      <c r="H293" s="3">
        <f>90.5+(742.8-192.8)+(0.09231+(0.757656-0.196656))+0-0-0</f>
        <v>641.15331000000003</v>
      </c>
      <c r="I293" s="3">
        <f>89.5+(730.1-182.1)+(-0.045645+(-0.372351--0.092871))+0-0-0</f>
        <v>637.17487500000004</v>
      </c>
      <c r="J293" s="3">
        <f>111.3+(692.9-161.4)+(0.113526+(0.706758-0.164628))+0-0-0</f>
        <v>643.45565599999998</v>
      </c>
      <c r="K293" s="3">
        <f>146.9+(661.4-163.3)+(-0.224757+(-1.011942--0.249849))+0-0-0</f>
        <v>644.01315</v>
      </c>
      <c r="L293" s="3">
        <f>249.6+(680.8-233)+(-0.254592+(-0.694416--0.23766))+0-0-0</f>
        <v>696.68865199999993</v>
      </c>
      <c r="M293" s="3">
        <f>253.5+(690.8-199)+(-0.129285+(-0.352308--0.10149))+0-0-0</f>
        <v>744.91989699999999</v>
      </c>
      <c r="N293" s="3">
        <f>254.3+(638.7-99.1)+(0.129693+(0.325737-0.050541))+0-0-0</f>
        <v>794.30488900000012</v>
      </c>
      <c r="O293" s="3">
        <f>253.6+(727.9-140.1)+(0+(0-0))+0-0-0</f>
        <v>841.4</v>
      </c>
      <c r="P293" s="3">
        <f>254.3+(731.4-134.2)+(0.129693+(0.373014-0.068442))+0-0-0</f>
        <v>851.93426499999998</v>
      </c>
      <c r="Q293" s="3">
        <f>253.4+(742.4-127)+(-0.387702+(-1.135872--0.19431))+0-0-0</f>
        <v>867.47073599999999</v>
      </c>
      <c r="R293" s="3">
        <f>252.9+(672.8-86.4)+(-0.257958+(-0.686256--0.088128))+0-0-0</f>
        <v>838.44391399999995</v>
      </c>
      <c r="S293" s="3">
        <f>253.1+(643.9-78.8)+(-0.258162+(-0.656778--0.080376))+0-0-0</f>
        <v>817.36543600000005</v>
      </c>
      <c r="T293" s="3">
        <f>254.6+(658.9-104.7)+(0.259692+(0.672078-0.106794))+0-0-0</f>
        <v>809.62497599999995</v>
      </c>
      <c r="U293" s="3">
        <f>253+(689.8-131.7)+(-0.25806+(-0.703596--0.134334))+0-0-0</f>
        <v>810.27267799999993</v>
      </c>
      <c r="V293" s="3">
        <f>253.7+(787.5-226.1)+(0+(0-0))+0-0-0</f>
        <v>815.09999999999991</v>
      </c>
      <c r="W293" s="3">
        <f>259.2+(819-192.2)+(0.264384+(0.83538-0.196044))+0-0-0</f>
        <v>886.90372000000002</v>
      </c>
      <c r="X293" s="3">
        <f>262.9+(796.1-166.4)+(-0.402237+(-1.218033--0.254592))+0-0-0</f>
        <v>891.23432200000002</v>
      </c>
      <c r="Y293" s="3">
        <f>249.5+(756.4-137.1)+(-0.127245+(-0.385764--0.069921))+0-0-0</f>
        <v>868.35691199999997</v>
      </c>
      <c r="Z293" s="3">
        <f>249.5+(722.1-122.1)+(-0.50898+(-1.473084--0.249084))+0-0-0</f>
        <v>847.76702</v>
      </c>
      <c r="AA293" s="3">
        <f>250.5+(627.5-45.3)+(-0.25551+(-0.64005--0.046206))+0-0-0</f>
        <v>831.8506460000001</v>
      </c>
      <c r="AB293" s="3">
        <f>251.2+(581.7-24.3)+(-0.128112+(-0.296667--0.012393))+0-0-0</f>
        <v>808.18761400000017</v>
      </c>
      <c r="AC293" s="3">
        <f>250.9+(624.5-90.2)+(-0.383877+(-0.955485--0.138006))+0-0-0</f>
        <v>783.9986439999999</v>
      </c>
      <c r="AD293">
        <v>905.89999999999986</v>
      </c>
      <c r="AE293" s="3">
        <f>265+(802.1-161.2)+(0+(0-0))+0-0-0</f>
        <v>905.90000000000009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248.8+(604.2-101.7)+(-0.507552+(-1.232568--0.207468))+0-0-0</f>
        <v>749.76734800000008</v>
      </c>
      <c r="G294" s="3">
        <f>250.4+(634-151.2)+(-0.383112+(-0.97002--0.231336))+0-0-0</f>
        <v>732.07820400000003</v>
      </c>
      <c r="H294" s="3">
        <f>251.3+(662.8-198)+(-0.128163+(-0.338028--0.10098))+0-0-0</f>
        <v>715.73478899999986</v>
      </c>
      <c r="I294" s="3">
        <f>187.7+(684.9-159.9)+(-0.287181+(-1.047897--0.244647))+0-0-0</f>
        <v>711.60956900000008</v>
      </c>
      <c r="J294" s="3">
        <f>100.1+(771.1-164.2)+(0+(0-0))+0-0-0</f>
        <v>707.00000000000011</v>
      </c>
      <c r="K294" s="3">
        <f>100+(766.9-154.8)+(-0.153+(-1.173357--0.236844))+0-0-0</f>
        <v>711.0104869999999</v>
      </c>
      <c r="L294" s="3">
        <f>102+(777-156)+(0+(0-0))+0-0-0</f>
        <v>723</v>
      </c>
      <c r="M294" s="3">
        <f>101+(769-128)+(0+(0-0))+0-0-0</f>
        <v>742</v>
      </c>
      <c r="N294" s="3">
        <f>140+(748-77)+(0+(0-0))+0-0-0</f>
        <v>811</v>
      </c>
      <c r="O294" s="3">
        <f>255+(743-29)+(0+(0-0))+0-0-0</f>
        <v>969</v>
      </c>
      <c r="P294" s="3">
        <f>257+(841-53)+(0+(0-0))+0-0-0</f>
        <v>1045</v>
      </c>
      <c r="Q294" s="3">
        <f>255+(864-47)+(0+(0-0))+0-0-0</f>
        <v>1072</v>
      </c>
      <c r="R294" s="3">
        <f>253+(816-35)+(0+(0-0))+0-0-0</f>
        <v>1034</v>
      </c>
      <c r="S294" s="3">
        <f>254+(795.4-25)+(0+(0-0))+0-0-0</f>
        <v>1024.4000000000001</v>
      </c>
      <c r="T294" s="3">
        <f>253+(745.3-20)+(-0.38709+(-1.140309--0.0306))+0-0-0</f>
        <v>976.80320099999994</v>
      </c>
      <c r="U294" s="3">
        <f>253+(689.2-15)+(0+(0-0))+0-0-0</f>
        <v>927.2</v>
      </c>
      <c r="V294" s="3">
        <f>250.5+(624.4-28)+(0.25551+(0.636888-0.02856))+0-0-0</f>
        <v>847.76383799999996</v>
      </c>
      <c r="W294" s="3">
        <f>250.1+(706.6-52.2)+(0.255102+(0.720732-0.053244))+0-0-0</f>
        <v>905.42259000000001</v>
      </c>
      <c r="X294" s="3">
        <f>249.7+(717.3-58.9)+(-0.254694+(-0.731646--0.060078))+0-0-0</f>
        <v>907.17373799999996</v>
      </c>
      <c r="Y294" s="3">
        <f>250.5+(678-39.6)+(-0.127755+(-0.34578--0.020196))+0-0-0</f>
        <v>888.44666099999995</v>
      </c>
      <c r="Z294" s="3">
        <f>250.6+(646.6-23.5)+(-0.127806+(-0.329766--0.011985))+0-0-0</f>
        <v>873.254413</v>
      </c>
      <c r="AA294" s="3">
        <f>250.9+(611.8-0)+(0+(0-0))+0-0-0</f>
        <v>862.69999999999993</v>
      </c>
      <c r="AB294" s="3">
        <f>250.7+(668.9-71.2)+(0+(0-0))+0-0-0</f>
        <v>848.39999999999986</v>
      </c>
      <c r="AC294" s="3">
        <f>250.4+(669.5-107.3)+(-0.383112+(-1.024335--0.164169))+0-0-0</f>
        <v>811.35672199999999</v>
      </c>
      <c r="AD294">
        <v>910.40000000000009</v>
      </c>
      <c r="AE294" s="3">
        <f>249+(748.7-87.3)+(0+(0-0))+0-0-0</f>
        <v>910.40000000000009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189.4+(726.7-131.2)+(-0.193188+(-0.741234--0.133824))+0-0-0</f>
        <v>784.09940199999994</v>
      </c>
      <c r="G295" s="3">
        <f>157.6+(751-166.5)+(-0.482256+(-2.29806--0.50949))+0-0-0</f>
        <v>739.82917399999997</v>
      </c>
      <c r="H295" s="3">
        <f>160.1+(750.7-170.1)+(0+(0-0))+0-0-0</f>
        <v>740.7</v>
      </c>
      <c r="I295" s="3">
        <f>159.2+(762.7-184.8)+(-0.162384+(-0.777954--0.188496))+0-0-0</f>
        <v>736.34815800000013</v>
      </c>
      <c r="J295" s="3">
        <f>159.7+(753.1-187)+(-0.081447+(-0.384081--0.09537))+0-0-0</f>
        <v>725.42984200000001</v>
      </c>
      <c r="K295" s="3">
        <f>161.9+(716.8-151.8)+(0.247707+(1.096704-0.232254))+0-0-0</f>
        <v>728.012157</v>
      </c>
      <c r="L295" s="3">
        <f>159.4+(802.2-203.2)+(-0.081294+(-0.409122--0.103632))+0-0-0</f>
        <v>758.01321599999994</v>
      </c>
      <c r="M295" s="3">
        <f>167.1+(802.5-174.9)+(-0.170442+(-0.81855--0.178398))+0-0-0</f>
        <v>793.88940600000001</v>
      </c>
      <c r="N295" s="3">
        <f>255.3+(699.9-116.9)+(-0.390609+(-1.070847--0.178857))+0-0-0</f>
        <v>837.01740099999995</v>
      </c>
      <c r="O295" s="3">
        <f>256.6+(625.5-10.3)+(-0.130866+(-0.319005--0.005253))+0-0-0</f>
        <v>871.35538200000008</v>
      </c>
      <c r="P295" s="3">
        <f>257.1+(622.9-4.5)+(-0.262242+(-0.635358--0.00459))+0-0-0</f>
        <v>874.60699</v>
      </c>
      <c r="Q295" s="3">
        <f>257.2+(634.8-20.6)+(-0.262344+(-0.647496--0.021012))+0-0-0</f>
        <v>870.51117199999987</v>
      </c>
      <c r="R295" s="3">
        <f>256.6+(607.2-16.1)+(-0.523464+(-1.238688--0.032844))+0-0-0</f>
        <v>845.9706920000001</v>
      </c>
      <c r="S295" s="3">
        <f>256.5+(576-4)+(-0.392445+(-0.88128--0.00612))+0-0-0</f>
        <v>827.232395</v>
      </c>
      <c r="T295" s="3">
        <f>257.6+(570.3-3)+(-0.131376+(-0.290853--0.00153))+0-0-0</f>
        <v>824.47930099999996</v>
      </c>
      <c r="U295" s="3">
        <f>257.5+(570.1-0)+(-0.131325+(-0.290751-0))+0-0-0</f>
        <v>827.17792400000008</v>
      </c>
      <c r="V295" s="3">
        <f>257.2+(576.1-14.6)+(0+(0-0))+0-0-0</f>
        <v>818.7</v>
      </c>
      <c r="W295" s="3">
        <f>142.2+(799.3-52)+(-0.072522+(-0.407643--0.02652))+0-0-0</f>
        <v>889.04635499999995</v>
      </c>
      <c r="X295" s="3">
        <f>187.3+(763.3-52.1)+(-0.286569+(-1.167849--0.079713))+0-0-0</f>
        <v>897.12529500000005</v>
      </c>
      <c r="Y295" s="3">
        <f>152.7+(777-44.6)+(-0.311508+(-1.58508--0.090984))+0-0-0</f>
        <v>883.29439599999989</v>
      </c>
      <c r="Z295" s="3">
        <f>204.3+(702.1-49.5)+(-0.312579+(-1.074213--0.075735))+0-0-0</f>
        <v>855.58894300000009</v>
      </c>
      <c r="AA295" s="3">
        <f>236+(650.6-39.5)+(-0.72216+(-1.990836--0.12087))+0-0-0</f>
        <v>844.50787400000002</v>
      </c>
      <c r="AB295" s="3">
        <f>239+(713.6-114.1)+(-0.24378+(-0.727872--0.116382))+0-0-0</f>
        <v>837.64472999999998</v>
      </c>
      <c r="AC295" s="3">
        <f>239.6+(605.9-46.6)+(-0.122196+(-0.309009--0.023766))+0-0-0</f>
        <v>798.49256100000002</v>
      </c>
      <c r="AD295">
        <v>904.1</v>
      </c>
      <c r="AE295" s="3">
        <f>130+(875.2-101.1)+(0+(0-0))+0-0-0</f>
        <v>904.1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154.8+(757.7-107)+(-0.078948+(-0.386427--0.05457))+0-0-0</f>
        <v>805.08919500000002</v>
      </c>
      <c r="G296" s="3">
        <f>109+(757.9-127.6)+(-0.27795+(-1.932645--0.32538))+0-0-0</f>
        <v>737.41478499999994</v>
      </c>
      <c r="H296" s="3">
        <f>79.8+(729.9-94)+(-0.040698+(-0.372249--0.04794))+0-0-0</f>
        <v>715.33499299999994</v>
      </c>
      <c r="I296" s="3">
        <f>80+(745.5-108.5)+(0+(0-0))+0-0-0</f>
        <v>717</v>
      </c>
      <c r="J296" s="3">
        <f>80+(755.2-121.4)+(0.0408+(0.385152-0.061914))+0-0-0</f>
        <v>714.16403800000012</v>
      </c>
      <c r="K296" s="3">
        <f>80.3+(763.3-138.9)+(0.081906+(0.778566-0.141678))+0-0-0</f>
        <v>705.41879399999993</v>
      </c>
      <c r="L296" s="3">
        <f>79.9+(830.2-171.6)+(-0.040749+(-0.423402--0.087516))+0-0-0</f>
        <v>738.12336500000004</v>
      </c>
      <c r="M296" s="3">
        <f>80.1+(836.2-134.5)+(0+(0-0))+0-0-0</f>
        <v>781.80000000000007</v>
      </c>
      <c r="N296" s="3">
        <f>140.8+(734.5-58)+(0+(0-0))+0-0-0</f>
        <v>817.3</v>
      </c>
      <c r="O296" s="3">
        <f>260.1+(647.9-58.4)+(0+(0-0))+0-0-0</f>
        <v>849.6</v>
      </c>
      <c r="P296" s="3">
        <f>260.1+(707.3-83.8)+(-0.265302+(-0.721446--0.085476))+0-0-0</f>
        <v>882.69872800000007</v>
      </c>
      <c r="Q296" s="3">
        <f>259.9+(714-84.3)+(-0.265098+(-0.72828--0.085986))+0-0-0</f>
        <v>888.69260800000006</v>
      </c>
      <c r="R296" s="3">
        <f>257.1+(686.7-80)+(-0.655605+(-1.751085--0.204))+0-0-0</f>
        <v>861.59731000000011</v>
      </c>
      <c r="S296" s="3">
        <f>161.5+(739.5-50.5)+(0.082365+(0.377145-0.025755))+0-0-0</f>
        <v>850.93375500000002</v>
      </c>
      <c r="T296" s="3">
        <f>160.4+(730.4-37)+(0.081804+(0.372504-0.01887))+0-0-0</f>
        <v>854.23543799999993</v>
      </c>
      <c r="U296" s="3">
        <f>159.7+(717.9-37)+(0+(0-0))+0-0-0</f>
        <v>840.59999999999991</v>
      </c>
      <c r="V296" s="3">
        <f>159.5+(697.9-11.9)+(-0.244035+(-1.067787--0.018207))+0-0-0</f>
        <v>844.20638499999995</v>
      </c>
      <c r="W296" s="3">
        <f>197.8+(737.7-27.8)+(-0.201756+(-0.752454--0.028356))+0-0-0</f>
        <v>906.77414600000009</v>
      </c>
      <c r="X296" s="3">
        <f>252.4+(674.9-22.3)+(-0.386172+(-1.032597--0.034119))+0-0-0</f>
        <v>903.61535000000003</v>
      </c>
      <c r="Y296" s="3">
        <f>252.1+(653.5-18.3)+(-0.642855+(-1.666425--0.046665))+0-0-0</f>
        <v>885.03738500000009</v>
      </c>
      <c r="Z296" s="3">
        <f>181.5+(756.8-59.1)+(-0.092565+(-0.385968--0.030141))+0-0-0</f>
        <v>878.75160799999992</v>
      </c>
      <c r="AA296" s="3">
        <f>173.3+(773.8-74.7)+(-0.353532+(-1.578552--0.152388))+0-0-0</f>
        <v>870.62030399999992</v>
      </c>
      <c r="AB296" s="3">
        <f>173+(803.5-125.8)+(-0.44115+(-2.048925--0.32079))+0-0-0</f>
        <v>848.5307150000001</v>
      </c>
      <c r="AC296" s="3">
        <f>172.3+(716.9-64.5)+(-0.615111+(-2.559333--0.230265))+0-0-0</f>
        <v>821.75582100000008</v>
      </c>
      <c r="AD296">
        <v>909.8</v>
      </c>
      <c r="AE296" s="3">
        <f>253+(761.8-105)+(0+(0-0))+0-0-0</f>
        <v>909.8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173.3+(675.4-75.2)+(-0.176766+(-0.688908--0.076704))+0-0-0</f>
        <v>772.71103000000005</v>
      </c>
      <c r="G297" s="3">
        <f>167.3+(696.1-128.4)+(-0.341292+(-1.420044--0.261936))+0-0-0</f>
        <v>733.50059999999996</v>
      </c>
      <c r="H297" s="3">
        <f>100+(729.1-106.9)+(-0.051+(-0.371841--0.054519))+0-0-0</f>
        <v>721.83167800000001</v>
      </c>
      <c r="I297" s="3">
        <f>100.1+(732.9-104.8)+(-0.153153+(-1.121337--0.160344))+0-0-0</f>
        <v>727.08585400000004</v>
      </c>
      <c r="J297" s="3">
        <f>100.1+(721.3-108.8)+(0+(0-0))+0-0-0</f>
        <v>712.6</v>
      </c>
      <c r="K297" s="3">
        <f>100.1+(736.6-117.8)+(0+(0-0))+0-0-0</f>
        <v>718.90000000000009</v>
      </c>
      <c r="L297" s="3">
        <f>100.1+(826.2-171.7)+(0+(0-0))+0-0-0</f>
        <v>754.6</v>
      </c>
      <c r="M297" s="3">
        <f>126.1+(775.6-118.2)+(0.064311+(0.395556-0.060282))+0-0-0</f>
        <v>783.899585</v>
      </c>
      <c r="N297" s="3">
        <f>264.4+(697.9-130)+(0.269688+(0.711858-0.1326))+0-0-0</f>
        <v>833.14894599999991</v>
      </c>
      <c r="O297" s="3">
        <f>264.9+(705.4-105.6)+(0.405297+(1.079262-0.161568))+0-0-0</f>
        <v>866.02299099999993</v>
      </c>
      <c r="P297" s="3">
        <f>262.5+(688.5-62.7)+(0.26775+(0.70227-0.063954))+0-0-0</f>
        <v>889.20606599999996</v>
      </c>
      <c r="Q297" s="3">
        <f>260.3+(692.5-61.7)+(-0.265506+(-0.70635--0.062934))+0-0-0</f>
        <v>890.19107799999995</v>
      </c>
      <c r="R297" s="3">
        <f>258.4+(663.3-47.4)+(-0.790704+(-2.029698--0.145044))+0-0-0</f>
        <v>871.62464199999999</v>
      </c>
      <c r="S297" s="3">
        <f>259.6+(673.9-95.5)+(0.132396+(0.343689-0.048705))+0-0-0</f>
        <v>838.42737999999997</v>
      </c>
      <c r="T297" s="3">
        <f>259.2+(641.3-65.1)+(0.132192+(0.327063-0.033201))+0-0-0</f>
        <v>835.82605399999989</v>
      </c>
      <c r="U297" s="3">
        <f>257.4+(627.7-61.3)+(0.131274+(0.320127-0.031263))+0-0-0</f>
        <v>824.22013800000002</v>
      </c>
      <c r="V297" s="3">
        <f>255.8+(635.4-53.5)+(-0.130458+(-0.324054--0.027285))+0-0-0</f>
        <v>837.27277300000003</v>
      </c>
      <c r="W297" s="3">
        <f>255.3+(803.1-163.7)+(-0.130203+(-0.409581--0.083487))+0-0-0</f>
        <v>894.2437030000001</v>
      </c>
      <c r="X297" s="3">
        <f>255.5+(777.9-134.3)+(-0.26061+(-0.793458--0.136986))+0-0-0</f>
        <v>898.18291799999986</v>
      </c>
      <c r="Y297" s="3">
        <f>255.7+(724.7-96.9)+(-0.130407+(-0.369597--0.049419))+0-0-0</f>
        <v>883.04941499999995</v>
      </c>
      <c r="Z297" s="3">
        <f>253.7+(684.2-69.6)+(-0.129387+(-0.348942--0.035496))+0-0-0</f>
        <v>867.857167</v>
      </c>
      <c r="AA297" s="3">
        <f>252.9+(662.6-66.9)+(-0.515916+(-1.351704--0.136476))+0-0-0</f>
        <v>846.86885600000005</v>
      </c>
      <c r="AB297" s="3">
        <f>199.5+(736.7-101.2)+(0.101745+(0.375717-0.051612))+0-0-0</f>
        <v>835.42584999999997</v>
      </c>
      <c r="AC297" s="3">
        <f>125.3+(785.3-105.2)+(-0.319515+(-2.002515--0.26826))+0-0-0</f>
        <v>803.34622999999988</v>
      </c>
      <c r="AD297">
        <v>894.7</v>
      </c>
      <c r="AE297" s="3">
        <f>255+(867.7-228)+(0+(0-0))+0-0-0</f>
        <v>894.7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121.3+(806.9-168.8)+(-0.123726+(-0.823038--0.172176))+0-0-0</f>
        <v>758.62541199999987</v>
      </c>
      <c r="G298" s="3">
        <f>80+(834-179.2)+(0.0408+(0.42534-0.091392))+0-0-0</f>
        <v>735.17474799999991</v>
      </c>
      <c r="H298" s="3">
        <f>79.9+(818.6-172.5)+(0+(0-0))+0-0-0</f>
        <v>726</v>
      </c>
      <c r="I298" s="3">
        <f>80.4+(744.1-125)+(0.041004+(0.379491-0.06375))+0-0-0</f>
        <v>699.85674500000005</v>
      </c>
      <c r="J298" s="3">
        <f>78.3+(722.1-101.7)+(-0.199665+(-1.841355--0.259335))+0-0-0</f>
        <v>696.91831499999989</v>
      </c>
      <c r="K298" s="3">
        <f>80.5+(726.4-109)+(0.08211+(0.740928-0.11118))+0-0-0</f>
        <v>698.61185799999998</v>
      </c>
      <c r="L298" s="3">
        <f>107.7+(792-161.3)+(0+(0-0))+0-0-0</f>
        <v>738.40000000000009</v>
      </c>
      <c r="M298" s="3">
        <f>129.8+(773.3-144.9)+(-0.066198+(-0.394383--0.073899))+0-0-0</f>
        <v>757.81331800000009</v>
      </c>
      <c r="N298" s="3">
        <f>128+(699-56.7)+(0.13056+(0.71298-0.057834))+0-0-0</f>
        <v>771.08570599999996</v>
      </c>
      <c r="O298" s="3">
        <f>127.4+(709.5-36.5)+(0.194922+(1.085535-0.055845))+0-0-0</f>
        <v>801.62461199999996</v>
      </c>
      <c r="P298" s="3">
        <f>127.1+(784.7-64.4)+(0+(0-0))+0-0-0</f>
        <v>847.40000000000009</v>
      </c>
      <c r="Q298" s="3">
        <f>126.8+(818.7-76.8)+(-0.129336+(-0.835074--0.078336))+0-0-0</f>
        <v>867.81392600000004</v>
      </c>
      <c r="R298" s="3">
        <f>127.1+(778.9-78.7)+(-0.194463+(-1.191717--0.120411))+0-0-0</f>
        <v>826.03423099999998</v>
      </c>
      <c r="S298" s="3">
        <f>125+(727.7-53.1)+(-0.31875+(-1.855635--0.135405))+0-0-0</f>
        <v>797.56101999999998</v>
      </c>
      <c r="T298" s="3">
        <f>124.7+(696.6-32.5)+(-0.381582+(-2.131596--0.09945))+0-0-0</f>
        <v>786.38627200000008</v>
      </c>
      <c r="U298" s="3">
        <f>87.3+(734.7-42.3)+(-0.178092+(-1.498788--0.086292))+0-0-0</f>
        <v>778.10941200000002</v>
      </c>
      <c r="V298" s="3">
        <f>80+(738.4-45.3)+(-0.0408+(-0.376584--0.023103))+0-0-0</f>
        <v>772.70571900000004</v>
      </c>
      <c r="W298" s="3">
        <f>118.2+(806.3-88.4)+(-0.120564+(-0.822426--0.090168))+0-0-0</f>
        <v>835.24717800000008</v>
      </c>
      <c r="X298" s="3">
        <f>125.3+(839.4-120.8)+(-0.191709+(-1.284282--0.184824))+0-0-0</f>
        <v>842.608833</v>
      </c>
      <c r="Y298" s="3">
        <f>125.9+(791.6-83.3)+(0+(0-0))+0-0-0</f>
        <v>834.2</v>
      </c>
      <c r="Z298" s="3">
        <f>125.8+(751.2-64.6)+(-0.064158+(-0.383112--0.032946))+0-0-0</f>
        <v>811.98567600000001</v>
      </c>
      <c r="AA298" s="3">
        <f>125.5+(715.8-27.1)+(-0.12801+(-0.730116--0.027642))+0-0-0</f>
        <v>813.36951599999998</v>
      </c>
      <c r="AB298" s="3">
        <f>125.3+(762.2-78.8)+(-0.191709+(-1.166166--0.120564))+0-0-0</f>
        <v>807.46268900000007</v>
      </c>
      <c r="AC298" s="3">
        <f>118.8+(734.1-69.3)+(-0.30294+(-1.871955--0.176715))+0-0-0</f>
        <v>781.60181999999998</v>
      </c>
      <c r="AD298">
        <v>856.2</v>
      </c>
      <c r="AE298" s="3">
        <f>126+(816.2-86)+(0+(0-0))+0-0-0</f>
        <v>856.2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47.3+(817.9-117.7)+(-0.024123+(-0.417129--0.060027))+0-0-0</f>
        <v>747.11877499999991</v>
      </c>
      <c r="G299" s="3">
        <f>0+(868.2-148.9)+(0+(-0.442782--0.075939))+0-0-0</f>
        <v>718.93315700000005</v>
      </c>
      <c r="H299" s="3">
        <f>0+(847.6-142.5)+(0+(-0.432276--0.072675))+0-0-0</f>
        <v>704.74039900000002</v>
      </c>
      <c r="I299" s="3">
        <f>0+(811.4-111.9)+(0+(0.827628-0.114138))+0-0-0</f>
        <v>700.21348999999998</v>
      </c>
      <c r="J299" s="3">
        <f>0+(789.2-105.8)+(0+(-0.804984--0.107916))+0-0-0</f>
        <v>682.70293200000015</v>
      </c>
      <c r="K299" s="3">
        <f>0+(810.2-127.3)+(0+(-0.413202--0.064923))+0-0-0</f>
        <v>682.55172100000004</v>
      </c>
      <c r="L299" s="3">
        <f>0+(829.8-148.3)+(0+(0.423198-0.075633))+0-0-0</f>
        <v>681.84756500000003</v>
      </c>
      <c r="M299" s="3">
        <f>0+(798.4-140.2)+(0+(-0.814368--0.143004))+0-0-0</f>
        <v>657.52863600000001</v>
      </c>
      <c r="N299" s="3">
        <f>0+(809.4-135.6)+(0+(0-0))+0-0-0</f>
        <v>673.8</v>
      </c>
      <c r="O299" s="3">
        <f>0+(808.9-102.2)+(0+(-0.825078--0.104244))+0-0-0</f>
        <v>705.97916599999996</v>
      </c>
      <c r="P299" s="3">
        <f>0+(797.1-75.7)+(0+(-0.406521--0.038607))+0-0-0</f>
        <v>721.03208599999994</v>
      </c>
      <c r="Q299" s="3">
        <f>0+(787.5-55.6)+(0+(-0.80325--0.056712))+0-0-0</f>
        <v>731.15346199999999</v>
      </c>
      <c r="R299" s="3">
        <f>0+(771.1-77.1)+(0+(0.393261-0.039321))+0-0-0</f>
        <v>694.35393999999997</v>
      </c>
      <c r="S299" s="3">
        <f>0+(749.8-63.8)+(0+(-1.529592--0.130152))+0-0-0</f>
        <v>684.60055999999997</v>
      </c>
      <c r="T299" s="3">
        <f>0+(717.9-45.9)+(0+(-0.366129--0.023409))+0-0-0</f>
        <v>671.65728000000001</v>
      </c>
      <c r="U299" s="3">
        <f>0+(711.7-37.8)+(0+(0-0))+0-0-0</f>
        <v>673.90000000000009</v>
      </c>
      <c r="V299" s="3">
        <f>0+(680.8-3.2)+(0+(-1.041624--0.004896))+0-0-0</f>
        <v>676.56327199999987</v>
      </c>
      <c r="W299" s="3">
        <f>0+(749.8-2)+(0+(-1.529592--0.00408))+0-0-0</f>
        <v>746.27448799999991</v>
      </c>
      <c r="X299" s="3">
        <f>0+(776.7-0)+(0+(-1.980585-0))+0-0-0</f>
        <v>774.71941500000003</v>
      </c>
      <c r="Y299" s="3">
        <f>0+(776-1.9)+(0+(-0.39576--0.000969))+0-0-0</f>
        <v>773.70520899999997</v>
      </c>
      <c r="Z299" s="3">
        <f>0+(790.2-0)+(0+(-1.612008-0))+0-0-0</f>
        <v>788.5879920000001</v>
      </c>
      <c r="AA299" s="3">
        <f>0+(792-16.8)+(0+(-1.21176--0.025704))+0-0-0</f>
        <v>774.01394400000004</v>
      </c>
      <c r="AB299" s="3">
        <f>0+(862-70.6)+(0+(-0.87924--0.072012))+0-0-0</f>
        <v>790.59277199999997</v>
      </c>
      <c r="AC299" s="3">
        <f>0+(827.9-80)+(0+(-1.266687--0.1224))+0-0-0</f>
        <v>746.75571300000001</v>
      </c>
      <c r="AD299">
        <v>781.9</v>
      </c>
      <c r="AE299" s="3">
        <f>0+(781.9-0)+(0+(0-0))+0-0-0</f>
        <v>781.9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0+(811.3-111.7)+(0+(-0.413763--0.056967))+0-0-0</f>
        <v>699.24320399999988</v>
      </c>
      <c r="G300" s="3">
        <f>0+(853.4-178.4)+(0+(-0.435234--0.090984))+0-0-0</f>
        <v>674.65575000000001</v>
      </c>
      <c r="H300" s="3">
        <f>0+(821.7-159.9)+(0+(-0.838134--0.163098))+0-0-0</f>
        <v>661.12496400000009</v>
      </c>
      <c r="I300" s="3">
        <f>0+(842.4-185.4)+(0+(0-0))+0-0-0</f>
        <v>657</v>
      </c>
      <c r="J300" s="3">
        <f>0+(827.6-177.3)+(0+(-1.266228--0.271269))+0-0-0</f>
        <v>649.30504099999996</v>
      </c>
      <c r="K300" s="3">
        <f>0+(816.1-181.1)+(0+(0-0))+0-0-0</f>
        <v>635</v>
      </c>
      <c r="L300" s="3">
        <f>0+(820.6-176.1)+(0+(0.837012-0.179622))+0-0-0</f>
        <v>645.15738999999996</v>
      </c>
      <c r="M300" s="3">
        <f>0+(820.4-195)+(0+(-0.418404--0.09945))+0-0-0</f>
        <v>625.08104600000001</v>
      </c>
      <c r="N300" s="3">
        <f>0+(804.6-180)+(0+(1.231038-0.2754))+0-0-0</f>
        <v>625.55563800000004</v>
      </c>
      <c r="O300" s="3">
        <f>0+(751.2-98.4)+(0+(0-0))+0-0-0</f>
        <v>652.80000000000007</v>
      </c>
      <c r="P300" s="3">
        <f>0+(739.9-71.1)+(0+(-0.377349--0.036261))+0-0-0</f>
        <v>668.45891199999994</v>
      </c>
      <c r="Q300" s="3">
        <f>0+(729-63.9)+(0+(-0.37179--0.032589))+0-0-0</f>
        <v>664.76079900000002</v>
      </c>
      <c r="R300" s="3">
        <f>0+(743.3-84.5)+(0+(-1.516332--0.17238))+0-0-0</f>
        <v>657.45604800000001</v>
      </c>
      <c r="S300" s="3">
        <f>0+(718.7-69.8)+(0+(0.366537-0.035598))+0-0-0</f>
        <v>649.23093900000003</v>
      </c>
      <c r="T300" s="3">
        <f>0+(668.1-26.9)+(0+(-1.022193--0.041157))+0-0-0</f>
        <v>640.21896400000003</v>
      </c>
      <c r="U300" s="3">
        <f>0+(650.2-21.1)+(0+(-0.331602--0.010761))+0-0-0</f>
        <v>628.77915900000005</v>
      </c>
      <c r="V300" s="3">
        <f>0+(638.5-1.9)+(0+(-0.65127--0.001938))+0-0-0</f>
        <v>635.95066800000006</v>
      </c>
      <c r="W300" s="3">
        <f>0+(738.3-24.6)+(0+(0.753066-0.025092))+0-0-0</f>
        <v>714.42797399999995</v>
      </c>
      <c r="X300" s="3">
        <f>0+(764.5-7.9)+(0+(-1.55958--0.016116))+0-0-0</f>
        <v>755.05653600000005</v>
      </c>
      <c r="Y300" s="3">
        <f>0+(758.8-4.7)+(0+(-1.547952--0.009588))+0-0-0</f>
        <v>752.56163599999991</v>
      </c>
      <c r="Z300" s="3">
        <f>0+(750.3-0)+(0+(0-0))+0-0-0</f>
        <v>750.3</v>
      </c>
      <c r="AA300" s="3">
        <f>0+(750.8-0)+(0+(-0.382908-0))+0-0-0</f>
        <v>750.41709199999991</v>
      </c>
      <c r="AB300" s="3">
        <f>0+(770-11.5)+(0+(-0.3927--0.005865))+0-0-0</f>
        <v>758.11316499999998</v>
      </c>
      <c r="AC300" s="3">
        <f>0+(760.1-32.6)+(0+(-1.550604--0.066504))+0-0-0</f>
        <v>726.01589999999999</v>
      </c>
      <c r="AD300">
        <v>768.9</v>
      </c>
      <c r="AE300" s="3">
        <f>0+(784.6-15.7)+(0+(0-0))+0-0-0</f>
        <v>768.9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0+(780.3-99)+(0+(-1.591812--0.20196))+0-0-0</f>
        <v>679.91014799999994</v>
      </c>
      <c r="G301" s="3">
        <f>0+(761.9-106.5)+(0+(-1.165707--0.162945))+0-0-0</f>
        <v>654.39723800000002</v>
      </c>
      <c r="H301" s="3">
        <f>0+(799.8-148.8)+(0+(-0.407898--0.075888))+0-0-0</f>
        <v>650.66799000000003</v>
      </c>
      <c r="I301" s="3">
        <f>0+(813.1-158.3)+(0+(-1.658724--0.322932))+0-0-0</f>
        <v>653.46420799999999</v>
      </c>
      <c r="J301" s="3">
        <f>0+(800.9-149.8)+(0+(-1.225377--0.229194))+0-0-0</f>
        <v>650.10381699999994</v>
      </c>
      <c r="K301" s="3">
        <f>0+(788.6-131.3)+(0+(0.402186-0.066963))+0-0-0</f>
        <v>657.635223</v>
      </c>
      <c r="L301" s="3">
        <f>0+(812.1-104.5)+(0+(-0.828342--0.10659))+0-0-0</f>
        <v>706.87824799999999</v>
      </c>
      <c r="M301" s="3">
        <f>24.7+(837.6-108.5)+(0.012597+(0.427176-0.055335))+0-0-0</f>
        <v>754.18443800000011</v>
      </c>
      <c r="N301" s="3">
        <f>51.9+(825.7-75.1)+(0+(0-0))+0-0-0</f>
        <v>802.5</v>
      </c>
      <c r="O301" s="3">
        <f>127.5+(730.2-15.2)+(0.065025+(0.372402-0.007752))+0-0-0</f>
        <v>842.92967499999997</v>
      </c>
      <c r="P301" s="3">
        <f>127.9+(769.6-27.4)+(0+(0-0))+0-0-0</f>
        <v>870.1</v>
      </c>
      <c r="Q301" s="3">
        <f>127.5+(788.3-37.3)+(-0.2601+(-1.608132--0.076092))+0-0-0</f>
        <v>876.70785999999998</v>
      </c>
      <c r="R301" s="3">
        <f>127+(763.6-27.5)+(-0.25908+(-1.557744--0.0561))+0-0-0</f>
        <v>861.33927600000004</v>
      </c>
      <c r="S301" s="3">
        <f>87.6+(783.2-37.2)+(-0.178704+(-1.597728--0.075888))+0-0-0</f>
        <v>831.89945599999999</v>
      </c>
      <c r="T301" s="3">
        <f>71.7+(786.1-34.5)+(0.036567+(0.400911-0.017595))+0-0-0</f>
        <v>823.7198830000001</v>
      </c>
      <c r="U301" s="3">
        <f>74.7+(772.2-28.4)+(-0.038097+(-0.393822--0.014484))+0-0-0</f>
        <v>818.08256500000016</v>
      </c>
      <c r="V301" s="3">
        <f>112.9+(741-37.3)+(-0.057579+(-0.37791--0.019023))+0-0-0</f>
        <v>816.18353400000001</v>
      </c>
      <c r="W301" s="3">
        <f>130.2+(783.8-42.2)+(0.199206+(1.199214-0.064566))+0-0-0</f>
        <v>873.13385399999993</v>
      </c>
      <c r="X301" s="3">
        <f>129.7+(843.6-61.4)+(0+(0-0))+0-0-0</f>
        <v>911.90000000000009</v>
      </c>
      <c r="Y301" s="3">
        <f>129.6+(794.3-44.6)+(-0.198288+(-1.215279--0.068238))+0-0-0</f>
        <v>877.95467099999996</v>
      </c>
      <c r="Z301" s="3">
        <f>130+(778.5-36.5)+(0.0663+(0.397035-0.018615))+0-0-0</f>
        <v>872.44471999999996</v>
      </c>
      <c r="AA301" s="3">
        <f>128.9+(750.1-26.4)+(-0.262956+(-1.530204--0.053856))+0-0-0</f>
        <v>850.86069600000008</v>
      </c>
      <c r="AB301" s="3">
        <f>129.7+(749.4-43.3)+(-0.066147+(-0.382194--0.022083))+0-0-0</f>
        <v>835.37374199999999</v>
      </c>
      <c r="AC301" s="3">
        <f>105.2+(706-7.4)+(-0.26826+(-1.8003--0.01887))+0-0-0</f>
        <v>801.75031000000001</v>
      </c>
      <c r="AD301">
        <v>896.30000000000007</v>
      </c>
      <c r="AE301" s="3">
        <f>130+(833.7-67.4)+(0+(0-0))+0-0-0</f>
        <v>896.30000000000007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99.6+(706-38.9)+(0+(0-0))+0-0-0</f>
        <v>766.7</v>
      </c>
      <c r="G302" s="3">
        <f>99.9+(746-104.8)+(-0.101898+(-0.76092--0.106896))+0-0-0</f>
        <v>740.34407799999997</v>
      </c>
      <c r="H302" s="3">
        <f>99.9+(759.1-136.1)+(-0.050949+(-0.387141--0.069411))+0-0-0</f>
        <v>722.53132099999993</v>
      </c>
      <c r="I302" s="3">
        <f>100.9+(795-175.2)+(0.154377+(1.21635-0.268056))+0-0-0</f>
        <v>721.80267099999992</v>
      </c>
      <c r="J302" s="3">
        <f>99.7+(804.1-191.3)+(-0.050847+(-0.410091--0.097563))+0-0-0</f>
        <v>712.13662499999998</v>
      </c>
      <c r="K302" s="3">
        <f>105.4+(830.9-220.4)+(0+(0-0))+0-0-0</f>
        <v>715.9</v>
      </c>
      <c r="L302" s="3">
        <f>120.4+(887.4-258.3)+(0.061404+(0.452574-0.131733))+0-0-0</f>
        <v>749.8822449999999</v>
      </c>
      <c r="M302" s="3">
        <f>119.5+(835.3-171)+(-0.060945+(-0.426003--0.08721))+0-0-0</f>
        <v>783.400262</v>
      </c>
      <c r="N302" s="3">
        <f>120.1+(753.4-41.8)+(0+(0-0))+0-0-0</f>
        <v>831.7</v>
      </c>
      <c r="O302" s="3">
        <f>119.8+(842.6-36.1)+(-0.061098+(-0.429726--0.018411))+0-0-0</f>
        <v>925.82758699999999</v>
      </c>
      <c r="P302" s="3">
        <f>119.6+(871.4-65)+(-0.182988+(-1.333242--0.09945))+0-0-0</f>
        <v>924.58321999999998</v>
      </c>
      <c r="Q302" s="3">
        <f>118.9+(864.2-82.2)+(-0.242556+(-1.762968--0.167688))+0-0-0</f>
        <v>899.06216399999994</v>
      </c>
      <c r="R302" s="3">
        <f>119.5+(840-79.5)+(-0.12189+(-0.8568--0.08109))+0-0-0</f>
        <v>879.10239999999999</v>
      </c>
      <c r="S302" s="3">
        <f>119.7+(795.5-69)+(0+(0-0))+0-0-0</f>
        <v>846.2</v>
      </c>
      <c r="T302" s="3">
        <f>119.9+(768.6-46.9)+(-0.061149+(-0.391986--0.023919))+0-0-0</f>
        <v>841.17078400000003</v>
      </c>
      <c r="U302" s="3">
        <f>120+(750.1-41.4)+(0.0612+(0.382551-0.021114))+0-0-0</f>
        <v>829.12263700000005</v>
      </c>
      <c r="V302" s="3">
        <f>120+(753.5-41.5)+(0.0612+(0.384285-0.021165))+0-0-0</f>
        <v>832.42431999999997</v>
      </c>
      <c r="W302" s="3">
        <f>124.2+(840.1-84)+(0.063342+(0.428451-0.04284))+0-0-0</f>
        <v>880.74895300000003</v>
      </c>
      <c r="X302" s="3">
        <f>126.2+(866.6-83.5)+(-0.257448+(-1.767864--0.17034))+0-0-0</f>
        <v>907.44502800000009</v>
      </c>
      <c r="Y302" s="3">
        <f>126.7+(824.3-58.9)+(-0.064617+(-0.420393--0.030039))+0-0-0</f>
        <v>891.64502900000002</v>
      </c>
      <c r="Z302" s="3">
        <f>126.6+(793.4-40.8)+(-0.193698+(-1.213902--0.062424))+0-0-0</f>
        <v>877.85482400000001</v>
      </c>
      <c r="AA302" s="3">
        <f>126.5+(744.1-19.9)+(-0.193545+(-1.138473--0.030447))+0-0-0</f>
        <v>849.39842900000008</v>
      </c>
      <c r="AB302" s="3">
        <f>126.3+(779.4-71.3)+(-0.193239+(-1.192482--0.109089))+0-0-0</f>
        <v>833.12336800000003</v>
      </c>
      <c r="AC302" s="3">
        <f>126.4+(739.1-60.6)+(-0.193392+(-1.130823--0.092718))+0-0-0</f>
        <v>803.66850299999999</v>
      </c>
      <c r="AD302">
        <v>898.5</v>
      </c>
      <c r="AE302" s="3">
        <f>127+(862.7-91.2)+(0+(0-0))+0-0-0</f>
        <v>898.5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125.8+(741.4-103)+(-0.192474+(-1.134342--0.15759))+0-0-0</f>
        <v>763.03077399999995</v>
      </c>
      <c r="G303" s="3">
        <f>126.7+(762.2-151.1)+(-0.129234+(-0.777444--0.154122))+0-0-0</f>
        <v>737.04744400000004</v>
      </c>
      <c r="H303" s="3">
        <f>67.7+(826.4-164.6)+(0.034527+(0.421464-0.083946))+0-0-0</f>
        <v>729.87204499999996</v>
      </c>
      <c r="I303" s="3">
        <f>64.7+(809.3-148.2)+(-0.098991+(-1.238229--0.226746))+0-0-0</f>
        <v>724.689526</v>
      </c>
      <c r="J303" s="3">
        <f>75.1+(796.9-148.5)+(0.076602+(0.812838-0.15147))+0-0-0</f>
        <v>724.23797000000002</v>
      </c>
      <c r="K303" s="3">
        <f>75.7+(827.9-184.9)+(0.115821+(1.266687-0.282897))+0-0-0</f>
        <v>719.79961100000003</v>
      </c>
      <c r="L303" s="3">
        <f>75.4+(847.1-174.2)+(0.076908+(0.864042-0.177684))+0-0-0</f>
        <v>749.06326600000011</v>
      </c>
      <c r="M303" s="3">
        <f>74.9+(807-97.2)+(0+(0-0))+0-0-0</f>
        <v>784.69999999999993</v>
      </c>
      <c r="N303" s="3">
        <f>82.8+(779.2-23.5)+(0+(0-0))+0-0-0</f>
        <v>838.5</v>
      </c>
      <c r="O303" s="3">
        <f>128.8+(800.6-51.2)+(-0.065688+(-0.408306--0.026112))+0-0-0</f>
        <v>877.752118</v>
      </c>
      <c r="P303" s="3">
        <f>128.6+(854-93.6)+(-0.131172+(-0.87108--0.095472))+0-0-0</f>
        <v>888.09321999999997</v>
      </c>
      <c r="Q303" s="3">
        <f>128.9+(922.3-160.7)+(-0.065739+(-0.470373--0.081957))+0-0-0</f>
        <v>890.04584499999987</v>
      </c>
      <c r="R303" s="3">
        <f>128.3+(998.9-248.2)+(-0.196299+(-1.528317--0.379746))+0-0-0</f>
        <v>877.65512999999999</v>
      </c>
      <c r="S303" s="3">
        <f>128.6+(895.6-165.7)+(-0.065586+(-0.456756--0.084507))+0-0-0</f>
        <v>858.06216500000016</v>
      </c>
      <c r="T303" s="3">
        <f>128.8+(824.6-101.8)+(-0.065688+(-0.420546--0.051918))+0-0-0</f>
        <v>851.16568400000017</v>
      </c>
      <c r="U303" s="3">
        <f>128.6+(773.1-69.5)+(-0.131172+(-0.788562--0.07089))+0-0-0</f>
        <v>831.35115600000006</v>
      </c>
      <c r="V303" s="3">
        <f>129.2+(755.2-53.4)+(0.131784+(0.770304-0.054468))+0-0-0</f>
        <v>831.84762000000001</v>
      </c>
      <c r="W303" s="3">
        <f>128.9+(837.7-85.3)+(0.065739+(0.427227-0.043503))+0-0-0</f>
        <v>881.74946300000011</v>
      </c>
      <c r="X303" s="3">
        <f>129.8+(864.2-79.3)+(-0.132396+(-0.881484--0.080886))+0-0-0</f>
        <v>913.76700600000004</v>
      </c>
      <c r="Y303" s="3">
        <f>129.3+(823.3-58.8)+(-0.263772+(-1.679532--0.119952))+0-0-0</f>
        <v>891.97664799999995</v>
      </c>
      <c r="Z303" s="3">
        <f>127.6+(784.3-41.4)+(-0.195228+(-1.199979--0.063342))+0-0-0</f>
        <v>869.16813500000001</v>
      </c>
      <c r="AA303" s="3">
        <f>128.2+(754.3-27.8)+(-0.130764+(-0.769386--0.028356))+0-0-0</f>
        <v>853.82820600000002</v>
      </c>
      <c r="AB303" s="3">
        <f>127.9+(772.3-60.3)+(-0.195687+(-1.181619--0.092259))+0-0-0</f>
        <v>838.61495300000001</v>
      </c>
      <c r="AC303" s="3">
        <f>126.6+(682.3-13.6)+(-0.258264+(-1.391892--0.027744))+0-0-0</f>
        <v>793.6775879999999</v>
      </c>
      <c r="AD303">
        <v>900</v>
      </c>
      <c r="AE303" s="3">
        <f>130+(848.8-78.8)+(0+(0-0))+0-0-0</f>
        <v>900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125.4+(708.3-66.9)+(-0.191862+(-1.083699--0.102357))+0-0-0</f>
        <v>765.6267959999999</v>
      </c>
      <c r="G304" s="3">
        <f>99.9+(758.9-115.5)+(-0.050949+(-0.387039--0.058905))+0-0-0</f>
        <v>742.92091699999992</v>
      </c>
      <c r="H304" s="3">
        <f>100.5+(768.4-137.8)+(0.10251+(0.783768-0.140556))+0-0-0</f>
        <v>731.84572199999991</v>
      </c>
      <c r="I304" s="3">
        <f>100.2+(751.2-126.9)+(0.102204+(0.766224-0.129438))+0-0-0</f>
        <v>725.23899000000006</v>
      </c>
      <c r="J304" s="3">
        <f>99.7+(745.7-124.1)+(-0.101694+(-0.760614--0.126582))+0-0-0</f>
        <v>720.56427400000007</v>
      </c>
      <c r="K304" s="3">
        <f>99.6+(718.8-97.7)+(-0.050796+(-0.366588--0.049827))+0-0-0</f>
        <v>720.3324429999999</v>
      </c>
      <c r="L304" s="3">
        <f>99.3+(711.9-63)+(-0.151929+(-1.089207--0.09639))+0-0-0</f>
        <v>747.05525399999988</v>
      </c>
      <c r="M304" s="3">
        <f>99+(730.3-46.7)+(-0.15147+(-1.117359--0.071451))+0-0-0</f>
        <v>781.40262199999995</v>
      </c>
      <c r="N304" s="3">
        <f>128.3+(739.3-33.2)+(0.065433+(0.377043-0.016932))+0-0-0</f>
        <v>834.82554399999981</v>
      </c>
      <c r="O304" s="3">
        <f>131.6+(793.6-40.7)+(-0.134232+(-0.809472--0.041514))+0-0-0</f>
        <v>883.59780999999998</v>
      </c>
      <c r="P304" s="3">
        <f>131.6+(835.4-61.5)+(0.067116+(0.426054-0.031365))+0-0-0</f>
        <v>905.96180500000003</v>
      </c>
      <c r="Q304" s="3">
        <f>128.9+(863-84.8)+(-0.131478+(-0.88026--0.086496))+0-0-0</f>
        <v>906.174758</v>
      </c>
      <c r="R304" s="3">
        <f>127.5+(811.5-61)+(-0.065025+(-0.413865--0.03111))+0-0-0</f>
        <v>877.55222000000003</v>
      </c>
      <c r="S304" s="3">
        <f>127.6+(765.7-45.4)+(-0.065076+(-0.390507--0.023154))+0-0-0</f>
        <v>847.46757100000013</v>
      </c>
      <c r="T304" s="3">
        <f>122.6+(759.5-42.5)+(-0.062526+(-0.387345--0.021675))+0-0-0</f>
        <v>839.17180400000007</v>
      </c>
      <c r="U304" s="3">
        <f>99.9+(780-49.4)+(0+(0-0))+0-0-0</f>
        <v>830.5</v>
      </c>
      <c r="V304" s="3">
        <f>113.5+(770.1-41.3)+(0+(0-0))+0-0-0</f>
        <v>842.30000000000007</v>
      </c>
      <c r="W304" s="3">
        <f>124.7+(799.8-35.3)+(0.063597+(0.407898-0.018003))+0-0-0</f>
        <v>889.65349200000003</v>
      </c>
      <c r="X304" s="3">
        <f>123.9+(809.9-26.9)+(-0.252756+(-1.652196--0.054876))+0-0-0</f>
        <v>905.04992400000003</v>
      </c>
      <c r="Y304" s="3">
        <f>124.5+(775.8-16.3)+(-0.25398+(-1.582632--0.033252))+0-0-0</f>
        <v>882.19664</v>
      </c>
      <c r="Z304" s="3">
        <f>124.8+(747.2-4.6)+(0+(0-0))+0-0-0</f>
        <v>867.4</v>
      </c>
      <c r="AA304" s="3">
        <f>124.8+(732.8-7.9)+(-0.381888+(-2.242368--0.024174))+0-0-0</f>
        <v>847.09991799999989</v>
      </c>
      <c r="AB304" s="3">
        <f>126.4+(745.4-40)+(-0.193392+(-1.140462--0.0612))+0-0-0</f>
        <v>830.52734599999997</v>
      </c>
      <c r="AC304" s="3">
        <f>81.9+(771.6-46.2)+(-0.334152+(-3.148128--0.188496))+0-0-0</f>
        <v>804.00621599999999</v>
      </c>
      <c r="AD304">
        <v>926</v>
      </c>
      <c r="AE304" s="3">
        <f>124+(841.5-39.5)+(0+(0-0))+0-0-0</f>
        <v>926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0+(911.1-139)+(0+(-1.858644--0.28356))+0-0-0</f>
        <v>770.52491600000008</v>
      </c>
      <c r="G305" s="3">
        <f>0+(926.8-194.2)+(0+(-1.890672--0.396168))+0-0-0</f>
        <v>731.1054959999999</v>
      </c>
      <c r="H305" s="3">
        <f>0+(932.3-208.5)+(0+(-2.852838--0.63801))+0-0-0</f>
        <v>721.58517199999994</v>
      </c>
      <c r="I305" s="3">
        <f>0+(931.1-203.9)+(0+(0-0))+0-0-0</f>
        <v>727.2</v>
      </c>
      <c r="J305" s="3">
        <f>0+(930.9-215.2)+(0+(0.949518-0.219504))+0-0-0</f>
        <v>716.43001400000003</v>
      </c>
      <c r="K305" s="3">
        <f>0+(912.8-195.3)+(0+(0-0))+0-0-0</f>
        <v>717.5</v>
      </c>
      <c r="L305" s="3">
        <f>0+(943-203.1)+(0+(-0.48093--0.103581))+0-0-0</f>
        <v>739.522651</v>
      </c>
      <c r="M305" s="3">
        <f>0+(961.8-182.4)+(0+(0-0))+0-0-0</f>
        <v>779.4</v>
      </c>
      <c r="N305" s="3">
        <f>0+(934.9-118.3)+(0+(0.953598-0.120666))+0-0-0</f>
        <v>817.43293200000005</v>
      </c>
      <c r="O305" s="3">
        <f>0+(885.1-32.3)+(0+(0.902802-0.032946))+0-0-0</f>
        <v>853.6698560000001</v>
      </c>
      <c r="P305" s="3">
        <f>0+(911.1-48.6)+(0+(1.393983-0.074358))+0-0-0</f>
        <v>863.81962499999997</v>
      </c>
      <c r="Q305" s="3">
        <f>0+(934.9-57.6)+(0+(0.476799-0.029376))+0-0-0</f>
        <v>877.74742299999991</v>
      </c>
      <c r="R305" s="3">
        <f>0+(908.8-56)+(0+(-1.853952--0.11424))+0-0-0</f>
        <v>851.0602879999999</v>
      </c>
      <c r="S305" s="3">
        <f>0+(854.8-41.5)+(0+(-0.871896--0.04233))+0-0-0</f>
        <v>812.47043399999995</v>
      </c>
      <c r="T305" s="3">
        <f>0+(834.5-32.3)+(0+(0-0))+0-0-0</f>
        <v>802.2</v>
      </c>
      <c r="U305" s="3">
        <f>0+(865-73.5)+(0+(0-0))+0-0-0</f>
        <v>791.5</v>
      </c>
      <c r="V305" s="3">
        <f>134.9+(757-104.5)+(-0.206397+(-1.15821--0.159885))+0-0-0</f>
        <v>786.19527800000003</v>
      </c>
      <c r="W305" s="3">
        <f>244.9+(735.1-138.6)+(0.374697+(1.124703-0.212058))+0-0-0</f>
        <v>842.68734199999994</v>
      </c>
      <c r="X305" s="3">
        <f>255.9+(756.5-135.8)+(-0.261018+(-0.77163--0.138516))+0-0-0</f>
        <v>875.70586800000001</v>
      </c>
      <c r="Y305" s="3">
        <f>254.7+(733.9-134.5)+(-0.519588+(-1.497156--0.27438))+0-0-0</f>
        <v>852.35763599999996</v>
      </c>
      <c r="Z305" s="3">
        <f>254.1+(765.6-176.9)+(-0.647955+(-1.95228--0.451095))+0-0-0</f>
        <v>840.65086000000008</v>
      </c>
      <c r="AA305" s="3">
        <f>254.8+(819.8-255.7)+(-0.389844+(-1.254294--0.391221))+0-0-0</f>
        <v>817.64708299999984</v>
      </c>
      <c r="AB305" s="3">
        <f>256.2+(738.3-183.5)+(-0.130662+(-0.376533--0.093585))+0-0-0</f>
        <v>810.58639000000005</v>
      </c>
      <c r="AC305" s="3">
        <f>250.5+(706.8-166.8)+(-0.25551+(-0.720936--0.170136))+0-0-0</f>
        <v>789.69368999999995</v>
      </c>
      <c r="AD305">
        <v>884.1</v>
      </c>
      <c r="AE305" s="3">
        <f>255+(781.2-152.1)+(0+(0-0))+0-0-0</f>
        <v>884.1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12.5+(875.2-117)+(-0.01275+(-0.892704--0.11934))+0-0-0</f>
        <v>769.91388600000005</v>
      </c>
      <c r="G306" s="3">
        <f>0+(822.3-94.1)+(0+(0-0))+0-0-0</f>
        <v>728.19999999999993</v>
      </c>
      <c r="H306" s="3">
        <f>0+(826.2-111.7)+(0+(0.421362-0.056967))+0-0-0</f>
        <v>714.86439499999994</v>
      </c>
      <c r="I306" s="3">
        <f>0+(835-136.1)+(0+(0.8517-0.138822))+0-0-0</f>
        <v>699.61287800000002</v>
      </c>
      <c r="J306" s="3">
        <f>0+(817-128.5)+(0+(0-0))+0-0-0</f>
        <v>688.5</v>
      </c>
      <c r="K306" s="3">
        <f>0+(804.4-121.7)+(0+(0-0))+0-0-0</f>
        <v>682.69999999999993</v>
      </c>
      <c r="L306" s="3">
        <f>0+(833.5-149.2)+(0+(0-0))+0-0-0</f>
        <v>684.3</v>
      </c>
      <c r="M306" s="3">
        <f>0+(831.4-157.7)+(0+(-1.272042--0.241281))+0-0-0</f>
        <v>672.66923900000006</v>
      </c>
      <c r="N306" s="3">
        <f>0+(806.3-131.8)+(0+(0.822426-0.134436))+0-0-0</f>
        <v>675.18799000000001</v>
      </c>
      <c r="O306" s="3">
        <f>0+(825.1-94.4)+(0+(-0.420801--0.048144))+0-0-0</f>
        <v>730.32734300000004</v>
      </c>
      <c r="P306" s="3">
        <f>0+(866.8-117)+(0+(-0.442068--0.05967))+0-0-0</f>
        <v>749.41760199999999</v>
      </c>
      <c r="Q306" s="3">
        <f>0+(885.8-130.7)+(0+(-0.451758--0.066657))+0-0-0</f>
        <v>754.71489899999995</v>
      </c>
      <c r="R306" s="3">
        <f>0+(884.9-140.4)+(0+(-1.353897--0.214812))+0-0-0</f>
        <v>743.36091499999998</v>
      </c>
      <c r="S306" s="3">
        <f>0+(863-135.7)+(0+(-1.76052--0.276828))+0-0-0</f>
        <v>725.81630799999994</v>
      </c>
      <c r="T306" s="3">
        <f>0+(879.3-155.3)+(0+(-1.345329--0.237609))+0-0-0</f>
        <v>722.89228000000003</v>
      </c>
      <c r="U306" s="3">
        <f>0+(844.3-133.1)+(0+(0-0))+0-0-0</f>
        <v>711.19999999999993</v>
      </c>
      <c r="V306" s="3">
        <f>0+(848.7-136.1)+(0+(0-0))+0-0-0</f>
        <v>712.6</v>
      </c>
      <c r="W306" s="3">
        <f>0+(938-168.5)+(0+(-0.47838--0.085935))+0-0-0</f>
        <v>769.10755500000005</v>
      </c>
      <c r="X306" s="3">
        <f>0+(973.3-158.4)+(0+(0-0))+0-0-0</f>
        <v>814.9</v>
      </c>
      <c r="Y306" s="3">
        <f>0+(953.2-151.7)+(0+(-1.944528--0.309468))+0-0-0</f>
        <v>799.86494000000005</v>
      </c>
      <c r="Z306" s="3">
        <f>0+(925.8-129)+(0+(-0.944316--0.13158))+0-0-0</f>
        <v>795.98726399999998</v>
      </c>
      <c r="AA306" s="3">
        <f>0+(889-105.7)+(0+(-0.45339--0.053907))+0-0-0</f>
        <v>782.90051699999992</v>
      </c>
      <c r="AB306" s="3">
        <f>0+(929.4-156.3)+(0+(-2.36997--0.398565))+0-0-0</f>
        <v>771.1285949999999</v>
      </c>
      <c r="AC306" s="3">
        <f>0+(808.9-80.8)+(0+(-1.650156--0.164832))+0-0-0</f>
        <v>726.61467600000003</v>
      </c>
      <c r="AD306">
        <v>816.3</v>
      </c>
      <c r="AE306" s="3">
        <f>0+(973.6-157.3)+(0+(0-0))+0-0-0</f>
        <v>816.3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0+(803.3-122.8)+(0+(-0.819366--0.125256))+0-0-0</f>
        <v>679.80588999999998</v>
      </c>
      <c r="G307" s="3">
        <f>0+(787.3-137.2)+(0+(-0.401523--0.069972))+0-0-0</f>
        <v>649.76844899999992</v>
      </c>
      <c r="H307" s="3">
        <f>0+(752.1-122.9)+(0+(-1.534284--0.250716))+0-0-0</f>
        <v>627.9164320000001</v>
      </c>
      <c r="I307" s="3">
        <f>0+(757.5-123.7)+(0+(0.386325-0.063087))+0-0-0</f>
        <v>634.1232379999999</v>
      </c>
      <c r="J307" s="3">
        <f>0+(747.6-120.7)+(0+(0.762552-0.123114))+0-0-0</f>
        <v>627.53943800000002</v>
      </c>
      <c r="K307" s="3">
        <f>0+(763.3-126.4)+(0+(0.778566-0.128928))+0-0-0</f>
        <v>637.54963799999996</v>
      </c>
      <c r="L307" s="3">
        <f>0+(830.2-154.3)+(0+(0.846804-0.157386))+0-0-0</f>
        <v>676.58941800000014</v>
      </c>
      <c r="M307" s="3">
        <f>0+(849-156.6)+(0+(-0.86598--0.159732))+0-0-0</f>
        <v>691.69375200000002</v>
      </c>
      <c r="N307" s="3">
        <f>0+(792.7-70.1)+(0+(1.617108-0.143004))+0-0-0</f>
        <v>724.07410400000003</v>
      </c>
      <c r="O307" s="3">
        <f>0+(830.2-75.6)+(0+(0.846804-0.077112))+0-0-0</f>
        <v>755.36969199999999</v>
      </c>
      <c r="P307" s="3">
        <f>0+(819.1-60.6)+(0+(-1.253223--0.092718))+0-0-0</f>
        <v>757.33949500000006</v>
      </c>
      <c r="Q307" s="3">
        <f>0+(829.6-50.6)+(0+(-0.846192--0.051612))+0-0-0</f>
        <v>778.20542</v>
      </c>
      <c r="R307" s="3">
        <f>0+(851.7-61.7)+(0+(-1.303101--0.094401))+0-0-0</f>
        <v>788.79129999999998</v>
      </c>
      <c r="S307" s="3">
        <f>0+(786.7-48.5)+(0+(0.401217-0.024735))+0-0-0</f>
        <v>738.57648200000006</v>
      </c>
      <c r="T307" s="3">
        <f>0+(777.8-36.6)+(0+(-1.190034--0.055998))+0-0-0</f>
        <v>740.06596399999989</v>
      </c>
      <c r="U307" s="3">
        <f>0+(785.8-39.9)+(0+(-0.400758--0.020349))+0-0-0</f>
        <v>745.51959099999999</v>
      </c>
      <c r="V307" s="3">
        <f>0+(744-39.8)+(0+(-0.75888--0.040596))+0-0-0</f>
        <v>703.48171600000001</v>
      </c>
      <c r="W307" s="3">
        <f>0+(823-31.9)+(0+(1.25919-0.048807))+0-0-0</f>
        <v>792.310383</v>
      </c>
      <c r="X307" s="3">
        <f>0+(858.1-34.1)+(0+(0-0))+0-0-0</f>
        <v>824</v>
      </c>
      <c r="Y307" s="3">
        <f>0+(834.2-30.2)+(0+(-1.276326--0.046206))+0-0-0</f>
        <v>802.76987999999994</v>
      </c>
      <c r="Z307" s="3">
        <f>0+(819.7-16.9)+(0+(-1.254141--0.025857))+0-0-0</f>
        <v>801.57171600000004</v>
      </c>
      <c r="AA307" s="3">
        <f>0+(804.1-15.3)+(0+(-2.050455--0.039015))+0-0-0</f>
        <v>786.78856000000007</v>
      </c>
      <c r="AB307" s="3">
        <f>0+(772.3-24.9)+(0+(-1.969365--0.063495))+0-0-0</f>
        <v>745.49412999999993</v>
      </c>
      <c r="AC307" s="3">
        <f>0+(777-25.7)+(0+(-0.39627--0.013107))+0-0-0</f>
        <v>750.91683699999999</v>
      </c>
      <c r="AD307">
        <v>811.7</v>
      </c>
      <c r="AE307" s="3">
        <f>0+(858-46.3)+(0+(0-0))+0-0-0</f>
        <v>811.7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0+(757.7-44.7)+(0+(0-0))+0-0-0</f>
        <v>713</v>
      </c>
      <c r="G308" s="3">
        <f>0+(710.4-53.4)+(0+(-0.362304--0.027234))+0-0-0</f>
        <v>656.66493000000003</v>
      </c>
      <c r="H308" s="3">
        <f>0+(757.4-81.1)+(0+(0-0))+0-0-0</f>
        <v>676.3</v>
      </c>
      <c r="I308" s="3">
        <f>0+(748.5-110.2)+(0+(0-0))+0-0-0</f>
        <v>638.29999999999995</v>
      </c>
      <c r="J308" s="3">
        <f>0+(726.5-77.5)+(0+(0.74103-0.07905))+0-0-0</f>
        <v>649.66197999999997</v>
      </c>
      <c r="K308" s="3">
        <f>0+(708.2-58)+(0+(0.361182-0.02958))+0-0-0</f>
        <v>650.53160200000002</v>
      </c>
      <c r="L308" s="3">
        <f>0+(737.8-90)+(0+(0-0))+0-0-0</f>
        <v>647.79999999999995</v>
      </c>
      <c r="M308" s="3">
        <f>0+(746.5-128.9)+(0+(-0.76143--0.131478))+0-0-0</f>
        <v>616.97004800000002</v>
      </c>
      <c r="N308" s="3">
        <f>0+(755.5-125)+(0+(0.77061-0.1275))+0-0-0</f>
        <v>631.14310999999998</v>
      </c>
      <c r="O308" s="3">
        <f>0+(805-169.3)+(0+(-1.23165--0.259029))+0-0-0</f>
        <v>634.72737900000004</v>
      </c>
      <c r="P308" s="3">
        <f>0+(782.5-124.4)+(0+(-1.197225--0.190332))+0-0-0</f>
        <v>657.09310700000003</v>
      </c>
      <c r="Q308" s="3">
        <f>0+(734.8-69.3)+(0+(-1.87374--0.176715))+0-0-0</f>
        <v>663.80297499999995</v>
      </c>
      <c r="R308" s="3">
        <f>0+(708.5-57.7)+(0+(-0.72267--0.058854))+0-0-0</f>
        <v>650.13618399999996</v>
      </c>
      <c r="S308" s="3">
        <f>0+(652.5-42)+(0+(-0.332775--0.02142))+0-0-0</f>
        <v>610.18864499999995</v>
      </c>
      <c r="T308" s="3">
        <f>0+(668.3-43.7)+(0+(-0.340833--0.022287))+0-0-0</f>
        <v>624.28145399999994</v>
      </c>
      <c r="U308" s="3">
        <f>0+(668.8-36.1)+(0+(-1.364352--0.073644))+0-0-0</f>
        <v>631.40929199999994</v>
      </c>
      <c r="V308" s="3">
        <f>0+(742.2-79.7)+(0+(-0.378522--0.040647))+0-0-0</f>
        <v>662.16212499999995</v>
      </c>
      <c r="W308" s="3">
        <f>0+(764.8-64.3)+(0+(0-0))+0-0-0</f>
        <v>700.5</v>
      </c>
      <c r="X308" s="3">
        <f>0+(775.8-16.1)+(0+(0.395658-0.008211))+0-0-0</f>
        <v>760.08744699999988</v>
      </c>
      <c r="Y308" s="3">
        <f>0+(751.8-14.2)+(0+(-0.766836--0.014484))+0-0-0</f>
        <v>736.84764799999994</v>
      </c>
      <c r="Z308" s="3">
        <f>0+(744.5-13)+(0+(-0.75939--0.01326))+0-0-0</f>
        <v>730.75387000000001</v>
      </c>
      <c r="AA308" s="3">
        <f>0+(750.2-13)+(0+(-1.147806--0.01989))+0-0-0</f>
        <v>736.07208400000002</v>
      </c>
      <c r="AB308" s="3">
        <f>0+(743-12.9)+(0+(-1.13679--0.019737))+0-0-0</f>
        <v>728.98294699999997</v>
      </c>
      <c r="AC308" s="3">
        <f>0+(762.8-65.2)+(0+(-1.94514--0.16626))+0-0-0</f>
        <v>695.82111999999995</v>
      </c>
      <c r="AD308">
        <v>762.19999999999993</v>
      </c>
      <c r="AE308" s="3">
        <f>0+(781.3-19.1)+(0+(0-0))+0-0-0</f>
        <v>762.19999999999993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0+(822-167)+(0+(-2.0961--0.42585))+0-0-0</f>
        <v>653.32974999999999</v>
      </c>
      <c r="G309" s="3">
        <f>0+(767.8-140)+(0+(-1.566312--0.2856))+0-0-0</f>
        <v>626.51928799999996</v>
      </c>
      <c r="H309" s="3">
        <f>0+(855.4-153.7)+(0+(0.436254-0.078387))+0-0-0</f>
        <v>702.0578670000001</v>
      </c>
      <c r="I309" s="3">
        <f>0+(845-177.2)+(0+(0.8619-0.180744))+0-0-0</f>
        <v>668.48115599999994</v>
      </c>
      <c r="J309" s="3">
        <f>0+(825.6-171.6)+(0+(0.421056-0.087516))+0-0-0</f>
        <v>654.33353999999997</v>
      </c>
      <c r="K309" s="3">
        <f>0+(798-155.3)+(0+(0.40698-0.079203))+0-0-0</f>
        <v>643.02777700000001</v>
      </c>
      <c r="L309" s="3">
        <f>0+(874.3-201.9)+(0+(0.445893-0.102969))+0-0-0</f>
        <v>672.74292400000002</v>
      </c>
      <c r="M309" s="3">
        <f>0+(828.7-148.3)+(0+(0.422637-0.075633))+0-0-0</f>
        <v>680.74700400000006</v>
      </c>
      <c r="N309" s="3">
        <f>0+(774.3-44.6)+(0+(-0.394893--0.022746))+0-0-0</f>
        <v>729.32785299999989</v>
      </c>
      <c r="O309" s="3">
        <f>0+(814.7-30.6)+(0+(1.246491-0.046818))+0-0-0</f>
        <v>785.29967299999998</v>
      </c>
      <c r="P309" s="3">
        <f>0+(850.9-62.7)+(0+(0.867918-0.063954))+0-0-0</f>
        <v>789.00396399999988</v>
      </c>
      <c r="Q309" s="3">
        <f>0+(887.1-76.1)+(0+(0.904842-0.077622))+0-0-0</f>
        <v>811.82722000000001</v>
      </c>
      <c r="R309" s="3">
        <f>0+(841.6-66.7)+(0+(-1.287648--0.102051))+0-0-0</f>
        <v>773.71440299999995</v>
      </c>
      <c r="S309" s="3">
        <f>0+(789.1-39.5)+(0+(-1.609764--0.08058))+0-0-0</f>
        <v>748.07081600000004</v>
      </c>
      <c r="T309" s="3">
        <f>0+(794.2-37)+(0+(-0.405042--0.01887))+0-0-0</f>
        <v>756.81382800000006</v>
      </c>
      <c r="U309" s="3">
        <f>0+(752.7-45.3)+(0+(-1.151631--0.069309))+0-0-0</f>
        <v>706.31767800000011</v>
      </c>
      <c r="V309" s="3">
        <f>28.2+(803.2-40)+(-0.028764+(-0.819264--0.0408))+0-0-0</f>
        <v>790.59277200000008</v>
      </c>
      <c r="W309" s="3">
        <f>214.7+(790.5-85.5)+(0+(0-0))+0-0-0</f>
        <v>919.7</v>
      </c>
      <c r="X309" s="3">
        <f>258.5+(778.9-78.2)+(-0.52734+(-1.588956--0.159528))+0-0-0</f>
        <v>957.24323199999992</v>
      </c>
      <c r="Y309" s="3">
        <f>258.6+(735.9-70.9)+(-0.65943+(-1.876545--0.180795))+0-0-0</f>
        <v>921.24482</v>
      </c>
      <c r="Z309" s="3">
        <f>258.6+(719.7-63.8)+(-0.263772+(-0.734094--0.065076))+0-0-0</f>
        <v>913.56721000000016</v>
      </c>
      <c r="AA309" s="3">
        <f>259.6+(630.6-42.2)+(-0.132396+(-0.321606--0.021522))+0-0-0</f>
        <v>847.56751999999994</v>
      </c>
      <c r="AB309" s="3">
        <f>223.8+(623.8-76.6)+(-0.57069+(-1.59069--0.19533))+0-0-0</f>
        <v>769.03395</v>
      </c>
      <c r="AC309" s="3">
        <f>79.8+(663.6-42.3)+(-0.081396+(-0.676872--0.043146))+0-0-0</f>
        <v>700.38487800000007</v>
      </c>
      <c r="AD309">
        <v>868.80000000000007</v>
      </c>
      <c r="AE309" s="3">
        <f>260+(712.6-103.8)+(0+(0-0))+0-0-0</f>
        <v>868.80000000000007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40.1+(846.3-122.9)+(-0.102255+(-2.158065--0.313395))+0-0-0</f>
        <v>761.55307500000004</v>
      </c>
      <c r="G310" s="3">
        <f>0+(829.3-113.6)+(0+(-0.845886--0.115872))+0-0-0</f>
        <v>714.96998599999995</v>
      </c>
      <c r="H310" s="3">
        <f>0+(826.7-125.4)+(0+(-2.108085--0.31977))+0-0-0</f>
        <v>699.51168500000006</v>
      </c>
      <c r="I310" s="3">
        <f>0+(834.3-157.2)+(0+(0-0))+0-0-0</f>
        <v>677.09999999999991</v>
      </c>
      <c r="J310" s="3">
        <f>0+(830-154.4)+(0+(0.4233-0.078744))+0-0-0</f>
        <v>675.94455600000003</v>
      </c>
      <c r="K310" s="3">
        <f>0+(837.6-155.3)+(0+(-0.427176--0.079203))+0-0-0</f>
        <v>681.95202699999993</v>
      </c>
      <c r="L310" s="3">
        <f>0+(848.8-175.1)+(0+(-1.298664--0.267903))+0-0-0</f>
        <v>672.66923899999995</v>
      </c>
      <c r="M310" s="3">
        <f>0+(864-185.4)+(0+(-0.88128--0.189108))+0-0-0</f>
        <v>677.90782799999999</v>
      </c>
      <c r="N310" s="3">
        <f>0+(837.7-163.3)+(0+(-0.427227--0.083283))+0-0-0</f>
        <v>674.05605600000013</v>
      </c>
      <c r="O310" s="3">
        <f>0+(815.5-94.8)+(0+(-0.415905--0.048348))+0-0-0</f>
        <v>720.33244300000001</v>
      </c>
      <c r="P310" s="3">
        <f>0+(781.5-44)+(0+(0-0))+0-0-0</f>
        <v>737.5</v>
      </c>
      <c r="Q310" s="3">
        <f>0+(799.9-34.4)+(0+(-0.407949--0.017544))+0-0-0</f>
        <v>765.10959500000001</v>
      </c>
      <c r="R310" s="3">
        <f>0+(772.9-33.6)+(0+(-0.788358--0.034272))+0-0-0</f>
        <v>738.54591399999993</v>
      </c>
      <c r="S310" s="3">
        <f>0+(763.9-40.7)+(0+(-1.558356--0.083028))+0-0-0</f>
        <v>721.72467199999994</v>
      </c>
      <c r="T310" s="3">
        <f>0+(777.6-57.2)+(0+(-0.793152--0.058344))+0-0-0</f>
        <v>719.66519199999993</v>
      </c>
      <c r="U310" s="3">
        <f>0+(787.1-78.9)+(0+(0.401421-0.040239))+0-0-0</f>
        <v>708.56118200000003</v>
      </c>
      <c r="V310" s="3">
        <f>0+(743.9-69.3)+(0+(0-0))+0-0-0</f>
        <v>674.6</v>
      </c>
      <c r="W310" s="3">
        <f>0+(798.7-39.2)+(0+(2.036685-0.09996))+0-0-0</f>
        <v>761.43672500000002</v>
      </c>
      <c r="X310" s="3">
        <f>0+(830.3-25.8)+(0+(-1.270359--0.039474))+0-0-0</f>
        <v>803.26911500000006</v>
      </c>
      <c r="Y310" s="3">
        <f>0+(825-27.1)+(0+(-1.683--0.055284))+0-0-0</f>
        <v>796.27228400000001</v>
      </c>
      <c r="Z310" s="3">
        <f>0+(826.2-25.2)+(0+(-0.421362--0.012852))+0-0-0</f>
        <v>800.59149000000002</v>
      </c>
      <c r="AA310" s="3">
        <f>0+(814.5-23)+(0+(0.415395-0.01173))+0-0-0</f>
        <v>791.90366500000005</v>
      </c>
      <c r="AB310" s="3">
        <f>0+(799.4-26.4)+(0+(-0.815388--0.026928))+0-0-0</f>
        <v>772.21154000000001</v>
      </c>
      <c r="AC310" s="3">
        <f>0+(797.9-46.1)+(0+(-1.627716--0.094044))+0-0-0</f>
        <v>750.26632799999993</v>
      </c>
      <c r="AD310">
        <v>798.69999999999993</v>
      </c>
      <c r="AE310" s="3">
        <f>0+(829.8-31.1)+(0+(0-0))+0-0-0</f>
        <v>798.69999999999993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0+(841.4-113)+(0+(0-0))+0-0-0</f>
        <v>728.4</v>
      </c>
      <c r="G311" s="3">
        <f>0+(764.4-95.3)+(0+(-0.779688--0.097206))+0-0-0</f>
        <v>668.41751799999997</v>
      </c>
      <c r="H311" s="3">
        <f>0+(761.9-75.4)+(0+(-0.388569--0.038454))+0-0-0</f>
        <v>686.14988500000004</v>
      </c>
      <c r="I311" s="3">
        <f>0+(774.9-93.3)+(0+(0.395199-0.047583))+0-0-0</f>
        <v>681.94761600000004</v>
      </c>
      <c r="J311" s="3">
        <f>0+(757.7-89)+(0+(0.386427-0.04539))+0-0-0</f>
        <v>669.04103700000007</v>
      </c>
      <c r="K311" s="3">
        <f>0+(762.5-93.3)+(0+(0.77775-0.095166))+0-0-0</f>
        <v>669.88258400000007</v>
      </c>
      <c r="L311" s="3">
        <f>0+(790.9-79.4)+(0+(0.403359-0.040494))+0-0-0</f>
        <v>711.86286500000006</v>
      </c>
      <c r="M311" s="3">
        <f>0+(842.4-102.7)+(0+(0-0))+0-0-0</f>
        <v>739.69999999999993</v>
      </c>
      <c r="N311" s="3">
        <f>0+(826.8-51.8)+(0+(0.843336-0.052836))+0-0-0</f>
        <v>775.79049999999995</v>
      </c>
      <c r="O311" s="3">
        <f>0+(868.5-58.7)+(0+(0.88587-0.059874))+0-0-0</f>
        <v>810.62599599999999</v>
      </c>
      <c r="P311" s="3">
        <f>78.5+(816.4-79.5)+(0+(0-0))+0-0-0</f>
        <v>815.4</v>
      </c>
      <c r="Q311" s="3">
        <f>133+(772.3-80.4)+(0.06783+(0.393873-0.041004))+0-0-0</f>
        <v>825.32069899999999</v>
      </c>
      <c r="R311" s="3">
        <f>129.4+(755.6-66.2)+(-0.197982+(-1.156068--0.101286))+0-0-0</f>
        <v>817.547236</v>
      </c>
      <c r="S311" s="3">
        <f>129.9+(731.9-60.9)+(0+(0-0))+0-0-0</f>
        <v>800.9</v>
      </c>
      <c r="T311" s="3">
        <f>131.7+(723-59.8)+(0.134334+(0.73746-0.060996))+0-0-0</f>
        <v>795.71079800000007</v>
      </c>
      <c r="U311" s="3">
        <f>250.4+(603.9-64.9)+(-0.127704+(-0.307989--0.033099))+0-0-0</f>
        <v>788.99740599999996</v>
      </c>
      <c r="V311" s="3">
        <f>332.4+(539.4-85.4)+(0+(0-0))+0-0-0</f>
        <v>786.4</v>
      </c>
      <c r="W311" s="3">
        <f>395.6+(566.7-139.3)+(0.201756+(0.289017-0.071043))+0-0-0</f>
        <v>823.41972999999996</v>
      </c>
      <c r="X311" s="3">
        <f>395.8+(598.1-116.1)+(-0.403716+(-0.610062--0.118422))+0-0-0</f>
        <v>876.90464399999996</v>
      </c>
      <c r="Y311" s="3">
        <f>394.7+(574-96.3)+(-0.402594+(-0.58548--0.098226))+0-0-0</f>
        <v>871.51015199999995</v>
      </c>
      <c r="Z311" s="3">
        <f>379.7+(611.2-129.5)+(-0.387294+(-0.623424--0.13209))+0-0-0</f>
        <v>860.52137200000004</v>
      </c>
      <c r="AA311" s="3">
        <f>379.1+(691.4-216.8)+(-0.386682+(-0.705228--0.221136))+0-0-0</f>
        <v>852.82922600000006</v>
      </c>
      <c r="AB311" s="3">
        <f>379.6+(657.6-218.9)+(-0.193596+(-0.335376--0.111639))+0-0-0</f>
        <v>817.88266700000008</v>
      </c>
      <c r="AC311" s="3">
        <f>237+(764.2-201)+(-0.48348+(-1.558968--0.41004))+0-0-0</f>
        <v>798.56759199999999</v>
      </c>
      <c r="AD311">
        <v>892.7</v>
      </c>
      <c r="AE311" s="3">
        <f>393+(613.5-113.8)+(0+(0-0))+0-0-0</f>
        <v>892.7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127.9+(788-189.5)+(0+(0-0))+0-0-0</f>
        <v>726.4</v>
      </c>
      <c r="G312" s="3">
        <f>129+(760.1-187.4)+(-0.06579+(-0.387651--0.095574))+0-0-0</f>
        <v>701.34213299999999</v>
      </c>
      <c r="H312" s="3">
        <f>113+(799.1-211.8)+(0+(0-0))+0-0-0</f>
        <v>700.3</v>
      </c>
      <c r="I312" s="3">
        <f>80.5+(826.2-212.6)+(0.123165+(1.264086-0.325278))+0-0-0</f>
        <v>695.16197299999999</v>
      </c>
      <c r="J312" s="3">
        <f>79.9+(823.6-211.1)+(0+(0-0))+0-0-0</f>
        <v>692.4</v>
      </c>
      <c r="K312" s="3">
        <f>99.8+(824.3-198.9)+(0.305388+(2.522358-0.608634))+0-0-0</f>
        <v>727.41911199999993</v>
      </c>
      <c r="L312" s="3">
        <f>100.1+(883.5-237.9)+(0.051051+(0.450585-0.121329))+0-0-0</f>
        <v>746.08030700000006</v>
      </c>
      <c r="M312" s="3">
        <f>101.2+(863.8-238)+(0.103224+(0.881076-0.24276))+0-0-0</f>
        <v>727.74153999999999</v>
      </c>
      <c r="N312" s="3">
        <f>158.2+(761.4-170.2)+(0.322728+(1.553256-0.347208))+0-0-0</f>
        <v>750.92877600000008</v>
      </c>
      <c r="O312" s="3">
        <f>359.2+(604.2-164.4)+(0.732768+(1.232568-0.335376))+0-0-0</f>
        <v>800.62995999999998</v>
      </c>
      <c r="P312" s="3">
        <f>387.5+(539.6-83.1)+(0.197625+(0.275196-0.042381))+0-0-0</f>
        <v>844.43043999999998</v>
      </c>
      <c r="Q312" s="3">
        <f>387.2+(504.7-67.3)+(0+(0-0))+0-0-0</f>
        <v>824.59999999999991</v>
      </c>
      <c r="R312" s="3">
        <f>384.9+(505.7-62.5)+(-0.981495+(-1.289535--0.159375))+0-0-0</f>
        <v>825.98834499999987</v>
      </c>
      <c r="S312" s="3">
        <f>385.3+(516.9-109.3)+(-0.393006+(-0.527238--0.111486))+0-0-0</f>
        <v>792.09124199999997</v>
      </c>
      <c r="T312" s="3">
        <f>390.6+(548.6-149.8)+(0.398412+(0.559572-0.152796))+0-0-0</f>
        <v>790.20518800000013</v>
      </c>
      <c r="U312" s="3">
        <f>388.1+(550.9-164.1)+(0+(0-0))+0-0-0</f>
        <v>774.9</v>
      </c>
      <c r="V312" s="3">
        <f>384.9+(524.7-141.9)+(0.392598+(0.535194-0.144738))+0-0-0</f>
        <v>768.48305400000004</v>
      </c>
      <c r="W312" s="3">
        <f>385+(515.6-93.2)+(0.58905+(0.788868-0.142596))+0-0-0</f>
        <v>808.63532200000009</v>
      </c>
      <c r="X312" s="3">
        <f>385.6+(583.5-107.9)+(-0.196656+(-0.297585--0.055029))+0-0-0</f>
        <v>860.76078800000005</v>
      </c>
      <c r="Y312" s="3">
        <f>386.4+(556-97.4)+(-0.394128+(-0.56712--0.099348))+0-0-0</f>
        <v>844.13810000000001</v>
      </c>
      <c r="Z312" s="3">
        <f>386.8+(521.1-90)+(-0.394536+(-0.531522--0.0918))+0-0-0</f>
        <v>817.06574200000011</v>
      </c>
      <c r="AA312" s="3">
        <f>384.2+(551.7-128.5)+(-0.195942+(-0.281367--0.065535))+0-0-0</f>
        <v>806.98822600000005</v>
      </c>
      <c r="AB312" s="3">
        <f>377+(509.2-89)+(-1.53816+(-2.077536--0.36312))+0-0-0</f>
        <v>793.94742400000007</v>
      </c>
      <c r="AC312" s="3">
        <f>120+(764.1-108.4)+(-0.1836+(-1.169073--0.165852))+0-0-0</f>
        <v>774.51317900000004</v>
      </c>
      <c r="AD312">
        <v>856.8</v>
      </c>
      <c r="AE312" s="3">
        <f>385+(590.9-119.1)+(0+(0-0))+0-0-0</f>
        <v>856.8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0+(911-174.7)+(0+(0.46461-0.089097))+0-0-0</f>
        <v>736.67551299999991</v>
      </c>
      <c r="G313" s="3">
        <f>0+(954.8-252.7)+(0+(-0.486948--0.128877))+0-0-0</f>
        <v>701.74192899999991</v>
      </c>
      <c r="H313" s="3">
        <f>0+(953-259.9)+(0+(0-0))+0-0-0</f>
        <v>693.1</v>
      </c>
      <c r="I313" s="3">
        <f>0+(951.9-269.6)+(0+(0.970938-0.274992))+0-0-0</f>
        <v>682.995946</v>
      </c>
      <c r="J313" s="3">
        <f>0+(926.1-258.4)+(0+(-1.889244--0.527136))+0-0-0</f>
        <v>666.33789200000001</v>
      </c>
      <c r="K313" s="3">
        <f>0+(909.9-256)+(0+(-1.392147--0.39168))+0-0-0</f>
        <v>652.89953300000002</v>
      </c>
      <c r="L313" s="3">
        <f>0+(904.1-256.6)+(0+(-3.688728--1.046928))+0-0-0</f>
        <v>644.85820000000001</v>
      </c>
      <c r="M313" s="3">
        <f>0+(865.9-242.7)+(0+(-0.441609--0.123777))+0-0-0</f>
        <v>622.88216800000009</v>
      </c>
      <c r="N313" s="3">
        <f>0+(885.4-245.3)+(0+(0-0))+0-0-0</f>
        <v>640.09999999999991</v>
      </c>
      <c r="O313" s="3">
        <f>0+(913-240.1)+(0+(-0.93126--0.244902))+0-0-0</f>
        <v>672.21364199999994</v>
      </c>
      <c r="P313" s="3">
        <f>0+(837.2-145.4)+(0+(0-0))+0-0-0</f>
        <v>691.80000000000007</v>
      </c>
      <c r="Q313" s="3">
        <f>0+(799.2-90.6)+(0+(-0.815184--0.092412))+0-0-0</f>
        <v>707.87722800000006</v>
      </c>
      <c r="R313" s="3">
        <f>0+(781.5-85.1)+(0+(-1.59426--0.173604))+0-0-0</f>
        <v>694.97934399999997</v>
      </c>
      <c r="S313" s="3">
        <f>0+(780.4-95.9)+(0+(-0.796008--0.097818))+0-0-0</f>
        <v>683.80181000000005</v>
      </c>
      <c r="T313" s="3">
        <f>0+(767.6-94.7)+(0+(-1.565904--0.193188))+0-0-0</f>
        <v>671.52728400000001</v>
      </c>
      <c r="U313" s="3">
        <f>0+(768-106.3)+(0+(-0.39168--0.054213))+0-0-0</f>
        <v>661.3625330000001</v>
      </c>
      <c r="V313" s="3">
        <f>0+(745.9-74.3)+(0+(-1.141227--0.113679))+0-0-0</f>
        <v>670.572452</v>
      </c>
      <c r="W313" s="3">
        <f>0+(730-23.7)+(0+(0.3723-0.012087))+0-0-0</f>
        <v>706.660213</v>
      </c>
      <c r="X313" s="3">
        <f>0+(783.9-20.3)+(0+(-0.799578--0.020706))+0-0-0</f>
        <v>762.82112800000004</v>
      </c>
      <c r="Y313" s="3">
        <f>0+(775-21.3)+(0+(0-0))+0-0-0</f>
        <v>753.7</v>
      </c>
      <c r="Z313" s="3">
        <f>0+(773.3-23.6)+(0+(-0.788766--0.024072))+0-0-0</f>
        <v>748.93530599999997</v>
      </c>
      <c r="AA313" s="3">
        <f>0+(763.4-25.3)+(0+(-0.778668--0.025806))+0-0-0</f>
        <v>737.34713799999997</v>
      </c>
      <c r="AB313" s="3">
        <f>0+(787.5-52.6)+(0+(-0.401625--0.026826))+0-0-0</f>
        <v>734.52520099999992</v>
      </c>
      <c r="AC313" s="3">
        <f>0+(819.3-116)+(0+(-1.671372--0.23664))+0-0-0</f>
        <v>701.8652679999999</v>
      </c>
      <c r="AD313">
        <v>755.2</v>
      </c>
      <c r="AE313" s="3">
        <f>0+(776.7-21.5)+(0+(0-0))+0-0-0</f>
        <v>755.2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0+(877.7-204.8)+(0+(-2.238135--0.52224))+0-0-0</f>
        <v>671.18410500000005</v>
      </c>
      <c r="G314" s="3">
        <f>0+(859-210.8)+(0+(-0.87618--0.215016))+0-0-0</f>
        <v>647.53883600000006</v>
      </c>
      <c r="H314" s="3">
        <f>0+(846.1-200.8)+(0+(-1.726044--0.409632))+0-0-0</f>
        <v>643.98358799999994</v>
      </c>
      <c r="I314" s="3">
        <f>0+(833.4-190.2)+(0+(-1.275102--0.291006))+0-0-0</f>
        <v>642.21590400000002</v>
      </c>
      <c r="J314" s="3">
        <f>0+(834.5-205.6)+(0+(0.85119-0.209712))+0-0-0</f>
        <v>629.54147799999998</v>
      </c>
      <c r="K314" s="3">
        <f>0+(844.7-202.4)+(0+(-0.861594--0.206448))+0-0-0</f>
        <v>641.64485400000012</v>
      </c>
      <c r="L314" s="3">
        <f>54.5+(865.3-231)+(0.027795+(0.441303-0.11781))+0-0-0</f>
        <v>689.15128799999991</v>
      </c>
      <c r="M314" s="3">
        <f>192+(835.3-284.9)+(0.09792+(0.426003-0.145299))+0-0-0</f>
        <v>742.77862399999992</v>
      </c>
      <c r="N314" s="3">
        <f>359+(741.7-295.3)+(0.36618+(0.756534-0.301206))+0-0-0</f>
        <v>806.22150800000009</v>
      </c>
      <c r="O314" s="3">
        <f>378+(636.6-167.9)+(-0.19278+(-0.324666--0.085629))+0-0-0</f>
        <v>846.26818300000002</v>
      </c>
      <c r="P314" s="3">
        <f>377.3+(625.2-137.7)+(-0.384846+(-0.637704--0.140454))+0-0-0</f>
        <v>863.91790400000002</v>
      </c>
      <c r="Q314" s="3">
        <f>350+(650.6-111.1)+(-0.357+(-0.663612--0.113322))+0-0-0</f>
        <v>888.59271000000001</v>
      </c>
      <c r="R314" s="3">
        <f>360.1+(601.5-96.4)+(-1.101906+(-1.84059--0.294984))+0-0-0</f>
        <v>862.55248800000004</v>
      </c>
      <c r="S314" s="3">
        <f>379.6+(562.6-108.7)+(-0.580788+(-0.860778--0.166311))+0-0-0</f>
        <v>832.22474499999998</v>
      </c>
      <c r="T314" s="3">
        <f>381.1+(592.5-135.9)+(-0.194361+(-0.302175--0.069309))+0-0-0</f>
        <v>837.27277300000003</v>
      </c>
      <c r="U314" s="3">
        <f>378.6+(614.1-168.8)+(-0.579258+(-0.939573--0.258264))+0-0-0</f>
        <v>822.63943300000005</v>
      </c>
      <c r="V314" s="3">
        <f>381.2+(687.2-237.3)+(0.194412+(0.350472-0.121023))+0-0-0</f>
        <v>831.52386100000001</v>
      </c>
      <c r="W314" s="3">
        <f>380.9+(748-269.9)+(-0.194259+(-0.38148--0.137649))+0-0-0</f>
        <v>858.56191000000001</v>
      </c>
      <c r="X314" s="3">
        <f>381.6+(737.6-228)+(0.389232+(0.752352-0.23256))+0-0-0</f>
        <v>892.10902400000009</v>
      </c>
      <c r="Y314" s="3">
        <f>378.6+(735.1-233.3)+(-0.96543+(-1.874505--0.594915))+0-0-0</f>
        <v>878.15498000000014</v>
      </c>
      <c r="Z314" s="3">
        <f>380.3+(742.9-260.1)+(-0.581859+(-1.136637--0.397953))+0-0-0</f>
        <v>861.77945699999987</v>
      </c>
      <c r="AA314" s="3">
        <f>331.6+(724.8-209.8)+(-1.183812+(-2.587536--0.748986))+0-0-0</f>
        <v>843.57763799999998</v>
      </c>
      <c r="AB314" s="3">
        <f>177.4+(672.6-20.3)+(-0.361896+(-1.372104--0.041412))+0-0-0</f>
        <v>828.00741200000004</v>
      </c>
      <c r="AC314" s="3">
        <f>21.1+(796.9-24.8)+(-0.053805+(-2.032095--0.06324))+0-0-0</f>
        <v>791.17734000000007</v>
      </c>
      <c r="AD314">
        <v>876.4</v>
      </c>
      <c r="AE314" s="3">
        <f>379+(724.3-226.9)+(0+(0-0))+0-0-0</f>
        <v>876.4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0+(863.9-91.7)+(0+(0-0))+0-0-0</f>
        <v>772.19999999999993</v>
      </c>
      <c r="G315" s="3">
        <f>0+(889.8-142.5)+(0+(-2.26899--0.363375))+0-0-0</f>
        <v>745.39438499999994</v>
      </c>
      <c r="H315" s="3">
        <f>0+(924.5-186.8)+(0+(-1.414485--0.285804))+0-0-0</f>
        <v>736.57131900000002</v>
      </c>
      <c r="I315" s="3">
        <f>0+(848.1-126.1)+(0+(-1.730124--0.257244))+0-0-0</f>
        <v>720.52711999999997</v>
      </c>
      <c r="J315" s="3">
        <f>0+(873.8-158.6)+(0+(1.336914-0.242658))+0-0-0</f>
        <v>716.2942559999999</v>
      </c>
      <c r="K315" s="3">
        <f>0+(869.7-154.7)+(0+(-0.443547--0.078897))+0-0-0</f>
        <v>714.63535000000002</v>
      </c>
      <c r="L315" s="3">
        <f>0+(881.9-136.8)+(0+(0-0))+0-0-0</f>
        <v>745.09999999999991</v>
      </c>
      <c r="M315" s="3">
        <f>0+(899.4-116.2)+(0+(0.458694-0.059262))+0-0-0</f>
        <v>783.59943199999998</v>
      </c>
      <c r="N315" s="3">
        <f>0+(920.4-95.8)+(0+(-1.408212--0.146574))+0-0-0</f>
        <v>823.33836200000007</v>
      </c>
      <c r="O315" s="3">
        <f>0+(876-24.5)+(0+(-0.44676--0.012495))+0-0-0</f>
        <v>851.06573500000002</v>
      </c>
      <c r="P315" s="3">
        <f>0+(879.7-9.3)+(0+(-1.794588--0.018972))+0-0-0</f>
        <v>868.62438400000008</v>
      </c>
      <c r="Q315" s="3">
        <f>0+(889.8-20.6)+(0+(-1.361394--0.031518))+0-0-0</f>
        <v>867.87012399999992</v>
      </c>
      <c r="R315" s="3">
        <f>0+(874-21.6)+(0+(-3.12018--0.077112))+0-0-0</f>
        <v>849.35693200000003</v>
      </c>
      <c r="S315" s="3">
        <f>0+(846.2-21.7)+(0+(-1.294686--0.033201))+0-0-0</f>
        <v>823.23851500000001</v>
      </c>
      <c r="T315" s="3">
        <f>0+(848.3-27.2)+(0+(-0.432633--0.013872))+0-0-0</f>
        <v>820.68123899999989</v>
      </c>
      <c r="U315" s="3">
        <f>0+(837.4-2.5)+(0+(0.427074-0.001275))+0-0-0</f>
        <v>835.32579899999996</v>
      </c>
      <c r="V315" s="3">
        <f>0+(845.8-34)+(0+(-0.862716--0.03468))+0-0-0</f>
        <v>810.97196399999996</v>
      </c>
      <c r="W315" s="3">
        <f>0+(875.5-32.9)+(0+(0-0))+0-0-0</f>
        <v>842.6</v>
      </c>
      <c r="X315" s="3">
        <f>0+(927.9-23.8)+(0+(-0.473229--0.012138))+0-0-0</f>
        <v>903.63890900000001</v>
      </c>
      <c r="Y315" s="3">
        <f>0+(911.3-23.7)+(0+(-1.394289--0.036261))+0-0-0</f>
        <v>886.24197199999992</v>
      </c>
      <c r="Z315" s="3">
        <f>0+(893.5-25.6)+(0+(-2.278425--0.06528))+0-0-0</f>
        <v>865.68685499999992</v>
      </c>
      <c r="AA315" s="3">
        <f>0+(878.8-25.6)+(0+(-1.792752--0.052224))+0-0-0</f>
        <v>851.45947199999989</v>
      </c>
      <c r="AB315" s="3">
        <f>0+(846.1-18.1)+(0+(-2.157555--0.046155))+0-0-0</f>
        <v>825.8886</v>
      </c>
      <c r="AC315" s="3">
        <f>0+(872.6-89.1)+(0+(-1.780104--0.181764))+0-0-0</f>
        <v>781.90165999999999</v>
      </c>
      <c r="AD315">
        <v>895.30000000000007</v>
      </c>
      <c r="AE315" s="3">
        <f>0+(937.7-42.4)+(0+(0-0))+0-0-0</f>
        <v>895.30000000000007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0+(890.7-137.4)+(0+(-1.817028--0.280296))+0-0-0</f>
        <v>751.76326800000004</v>
      </c>
      <c r="G316" s="3">
        <f>0+(948.1-217.4)+(0+(-2.417655--0.55437))+0-0-0</f>
        <v>728.83671500000003</v>
      </c>
      <c r="H316" s="3">
        <f>0+(942.1-220.3)+(0+(-1.441413--0.337059))+0-0-0</f>
        <v>720.69564600000001</v>
      </c>
      <c r="I316" s="3">
        <f>0+(904.7-194.9)+(0+(-0.461397--0.099399))+0-0-0</f>
        <v>709.4380020000001</v>
      </c>
      <c r="J316" s="3">
        <f>0+(871-167)+(0+(-1.77684--0.34068))+0-0-0</f>
        <v>702.56384000000003</v>
      </c>
      <c r="K316" s="3">
        <f>0+(888.8-188.2)+(0+(0-0))+0-0-0</f>
        <v>700.59999999999991</v>
      </c>
      <c r="L316" s="3">
        <f>0+(949-211.2)+(0+(-0.96798--0.215424))+0-0-0</f>
        <v>737.04744399999993</v>
      </c>
      <c r="M316" s="3">
        <f>0+(953.5-189.2)+(0+(1.458855-0.289476))+0-0-0</f>
        <v>765.469379</v>
      </c>
      <c r="N316" s="3">
        <f>0+(964.9-155.5)+(0+(0-0))+0-0-0</f>
        <v>809.4</v>
      </c>
      <c r="O316" s="3">
        <f>0+(841.8-4.2)+(0+(0-0))+0-0-0</f>
        <v>837.59999999999991</v>
      </c>
      <c r="P316" s="3">
        <f>0+(845.2-0)+(0+(-1.293156-0))+0-0-0</f>
        <v>843.90684400000009</v>
      </c>
      <c r="Q316" s="3">
        <f>0+(849.6-0)+(0+(-0.866592-0))+0-0-0</f>
        <v>848.73340800000005</v>
      </c>
      <c r="R316" s="3">
        <f>0+(835-0)+(0+(-1.7034-0))+0-0-0</f>
        <v>833.29660000000001</v>
      </c>
      <c r="S316" s="3">
        <f>0+(862.6-43.6)+(0+(-2.19963--0.11118))+0-0-0</f>
        <v>816.91155000000003</v>
      </c>
      <c r="T316" s="3">
        <f>0+(848.9-41.9)+(0+(0.865878-0.042738))+0-0-0</f>
        <v>807.82313999999997</v>
      </c>
      <c r="U316" s="3">
        <f>0+(848.4-50.4)+(0+(0-0))+0-0-0</f>
        <v>798</v>
      </c>
      <c r="V316" s="3">
        <f>0+(826.8-32.7)+(0+(-0.843336--0.033354))+0-0-0</f>
        <v>793.29001799999992</v>
      </c>
      <c r="W316" s="3">
        <f>0+(867.2-40.3)+(0+(0.884544-0.041106))+0-0-0</f>
        <v>827.74343800000008</v>
      </c>
      <c r="X316" s="3">
        <f>0+(918.7-37.2)+(0+(-1.874148--0.075888))+0-0-0</f>
        <v>879.70173999999997</v>
      </c>
      <c r="Y316" s="3">
        <f>0+(903.4-37)+(0+(-1.842936--0.07548))+0-0-0</f>
        <v>864.63254399999994</v>
      </c>
      <c r="Z316" s="3">
        <f>0+(879.4-33.9)+(0+(-0.896988--0.034578))+0-0-0</f>
        <v>844.63759000000005</v>
      </c>
      <c r="AA316" s="3">
        <f>0+(856.7-32.4)+(0+(-0.873834--0.033048))+0-0-0</f>
        <v>823.45921400000009</v>
      </c>
      <c r="AB316" s="3">
        <f>0+(854.9-40.4)+(0+(-1.307997--0.061812))+0-0-0</f>
        <v>813.25381500000003</v>
      </c>
      <c r="AC316" s="3">
        <f>0+(806.3-26.2)+(0+(-2.056065--0.06681))+0-0-0</f>
        <v>778.11074499999995</v>
      </c>
      <c r="AD316">
        <v>879.5</v>
      </c>
      <c r="AE316" s="3">
        <f>0+(928.7-49.2)+(0+(0-0))+0-0-0</f>
        <v>879.5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0+(790.5-51.5)+(0+(-1.61262--0.10506))+0-0-0</f>
        <v>737.49243999999999</v>
      </c>
      <c r="G317" s="3">
        <f>0+(857.1-145.3)+(0+(-1.311363--0.222309))+0-0-0</f>
        <v>710.71094599999992</v>
      </c>
      <c r="H317" s="3">
        <f>0+(861-158)+(0+(-2.19555--0.4029))+0-0-0</f>
        <v>701.20735000000002</v>
      </c>
      <c r="I317" s="3">
        <f>0+(875.1-174.8)+(0+(-0.446301--0.089148))+0-0-0</f>
        <v>699.94284699999992</v>
      </c>
      <c r="J317" s="3">
        <f>0+(866.6-173.2)+(0+(0-0))+0-0-0</f>
        <v>693.40000000000009</v>
      </c>
      <c r="K317" s="3">
        <f>0+(870-173.6)+(0+(-0.4437--0.088536))+0-0-0</f>
        <v>696.04483600000003</v>
      </c>
      <c r="L317" s="3">
        <f>0+(982.9-248.2)+(0+(-1.002558--0.253164))+0-0-0</f>
        <v>733.95060599999999</v>
      </c>
      <c r="M317" s="3">
        <f>0+(969.6-194.3)+(0+(0.988992-0.198186))+0-0-0</f>
        <v>776.09080599999993</v>
      </c>
      <c r="N317" s="3">
        <f>0+(960-140.6)+(0+(0.9792-0.143412))+0-0-0</f>
        <v>820.23578799999996</v>
      </c>
      <c r="O317" s="3">
        <f>34.3+(859.7-49.7)+(0.034986+(0.876894-0.050694))+0-0-0</f>
        <v>845.16118599999993</v>
      </c>
      <c r="P317" s="3">
        <f>256.8+(675.6-60.2)+(0+(0-0))+0-0-0</f>
        <v>872.2</v>
      </c>
      <c r="Q317" s="3">
        <f>255.2+(712.7-85.7)+(0.130152+(0.363477-0.043707))+0-0-0</f>
        <v>882.64992200000006</v>
      </c>
      <c r="R317" s="3">
        <f>255.9+(742.4-123.2)+(-0.391527+(-1.135872--0.188496))+0-0-0</f>
        <v>873.76109699999995</v>
      </c>
      <c r="S317" s="3">
        <f>256.5+(718.9-124)+(-0.26163+(-0.733278--0.12648))+0-0-0</f>
        <v>850.53157199999998</v>
      </c>
      <c r="T317" s="3">
        <f>257.2+(724.6-131.8)+(0.131172+(0.369546-0.067218))+0-0-0</f>
        <v>850.43349999999998</v>
      </c>
      <c r="U317" s="3">
        <f>312+(671.9-147.5)+(-0.7956+(-1.713345--0.376125))+0-0-0</f>
        <v>834.26717999999994</v>
      </c>
      <c r="V317" s="3">
        <f>376.3+(691.3-230.7)+(0+(0-0))+0-0-0</f>
        <v>836.9</v>
      </c>
      <c r="W317" s="3">
        <f>384.3+(655.2-171.6)+(-0.391986+(-0.668304--0.175032))+0-0-0</f>
        <v>867.01474200000007</v>
      </c>
      <c r="X317" s="3">
        <f>385+(636.2-113.5)+(-0.19635+(-0.324462--0.057885))+0-0-0</f>
        <v>907.23707300000001</v>
      </c>
      <c r="Y317" s="3">
        <f>382.5+(622.8-121.6)+(-0.585225+(-0.952884--0.186048))+0-0-0</f>
        <v>882.34793899999988</v>
      </c>
      <c r="Z317" s="3">
        <f>383.5+(616.4-130.1)+(-0.78234+(-1.257456--0.265404))+0-0-0</f>
        <v>868.02560799999992</v>
      </c>
      <c r="AA317" s="3">
        <f>383.1+(667.8-201)+(-0.781524+(-1.362312--0.41004))+0-0-0</f>
        <v>848.16620399999999</v>
      </c>
      <c r="AB317" s="3">
        <f>382+(619.5-186.8)+(-0.58446+(-0.947835--0.285804))+0-0-0</f>
        <v>813.45350900000005</v>
      </c>
      <c r="AC317" s="3">
        <f>382.1+(535.6-130.3)+(-0.584613+(-0.819468--0.199359))+0-0-0</f>
        <v>786.19527800000014</v>
      </c>
      <c r="AD317">
        <v>899.49999999999989</v>
      </c>
      <c r="AE317" s="3">
        <f>385+(649.6-135.1)+(0+(0-0))+0-0-0</f>
        <v>899.5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96.9+(734.3-73.1)+(0+(0-0))+0-0-0</f>
        <v>758.09999999999991</v>
      </c>
      <c r="G318" s="3">
        <f>0+(836.2-112.6)+(0+(0-0))+0-0-0</f>
        <v>723.6</v>
      </c>
      <c r="H318" s="3">
        <f>0+(845-133.9)+(0+(0.43095-0.068289))+0-0-0</f>
        <v>711.46266100000003</v>
      </c>
      <c r="I318" s="3">
        <f>0+(844.8-145.9)+(0+(0-0))+0-0-0</f>
        <v>698.9</v>
      </c>
      <c r="J318" s="3">
        <f>0+(854-157.7)+(0+(0-0))+0-0-0</f>
        <v>696.3</v>
      </c>
      <c r="K318" s="3">
        <f>0+(878-182.4)+(0+(0.89556-0.186048))+0-0-0</f>
        <v>696.30951200000004</v>
      </c>
      <c r="L318" s="3">
        <f>0+(889.4-165.3)+(0+(-0.907188--0.168606))+0-0-0</f>
        <v>723.36141799999996</v>
      </c>
      <c r="M318" s="3">
        <f>51.5+(848.7-146.6)+(0+(0-0))+0-0-0</f>
        <v>753.6</v>
      </c>
      <c r="N318" s="3">
        <f>232+(743.3-175.7)+(0.35496+(1.137249-0.268821))+0-0-0</f>
        <v>800.82338799999991</v>
      </c>
      <c r="O318" s="3">
        <f>260.7+(623.3-44)+(-0.132957+(-0.317883--0.02244))+0-0-0</f>
        <v>839.57159999999999</v>
      </c>
      <c r="P318" s="3">
        <f>257.5+(637.9-36.2)+(0.26265+(0.650658-0.036924))+0-0-0</f>
        <v>860.07638399999996</v>
      </c>
      <c r="Q318" s="3">
        <f>350+(606.7-84.6)+(-0.714+(-1.237668--0.172584))+0-0-0</f>
        <v>870.32091600000001</v>
      </c>
      <c r="R318" s="3">
        <f>378.6+(595-109)+(-0.772344+(-1.2138--0.22236))+0-0-0</f>
        <v>862.83621600000004</v>
      </c>
      <c r="S318" s="3">
        <f>378.4+(627-165.5)+(-0.385968+(-0.63954--0.16881))+0-0-0</f>
        <v>839.04330199999993</v>
      </c>
      <c r="T318" s="3">
        <f>376.9+(677.1-214)+(-0.384438+(-0.690642--0.21828))+0-0-0</f>
        <v>839.14319999999998</v>
      </c>
      <c r="U318" s="3">
        <f>378+(665.8-206.5)+(0+(0-0))+0-0-0</f>
        <v>837.3</v>
      </c>
      <c r="V318" s="3">
        <f>376.7+(674.2-198.1)+(-0.384234+(-0.687684--0.202062))+0-0-0</f>
        <v>851.93014399999993</v>
      </c>
      <c r="W318" s="3">
        <f>371.8+(696.9-183)+(0+(0-0))+0-0-0</f>
        <v>885.7</v>
      </c>
      <c r="X318" s="3">
        <f>366+(704.4-158.7)+(-0.55998+(-1.077732--0.242811))+0-0-0</f>
        <v>910.30509900000004</v>
      </c>
      <c r="Y318" s="3">
        <f>264.4+(686.1-45.4)+(-0.134844+(-0.349911--0.023154))+0-0-0</f>
        <v>904.63839900000005</v>
      </c>
      <c r="Z318" s="3">
        <f>5.8+(882-16.2)+(-0.005916+(-0.89964--0.016524))+0-0-0</f>
        <v>870.71096799999987</v>
      </c>
      <c r="AA318" s="3">
        <f>0+(859.5-12.1)+(0+(-0.87669--0.012342))+0-0-0</f>
        <v>846.53565200000003</v>
      </c>
      <c r="AB318" s="3">
        <f>0+(834.9-8.8)+(0+(-0.851598--0.008976))+0-0-0</f>
        <v>825.25737800000002</v>
      </c>
      <c r="AC318" s="3">
        <f>0+(813.7-18.6)+(0+(-1.244961--0.028458))+0-0-0</f>
        <v>793.88349700000003</v>
      </c>
      <c r="AD318">
        <v>900.7</v>
      </c>
      <c r="AE318" s="3">
        <f>367+(703.9-170.2)+(0+(0-0))+0-0-0</f>
        <v>900.7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0+(765.1-32.7)+(0+(-1.560804--0.066708))+0-0-0</f>
        <v>730.90590399999996</v>
      </c>
      <c r="G319" s="3">
        <f>0+(781.3-81.1)+(0+(-1.992315--0.206805))+0-0-0</f>
        <v>698.41448999999989</v>
      </c>
      <c r="H319" s="3">
        <f>0+(842.9-147.6)+(0+(-0.429879--0.075276))+0-0-0</f>
        <v>694.94539699999996</v>
      </c>
      <c r="I319" s="3">
        <f>0+(867.9-169.1)+(0+(0-0))+0-0-0</f>
        <v>698.8</v>
      </c>
      <c r="J319" s="3">
        <f>0+(830.8-131.6)+(0+(0-0))+0-0-0</f>
        <v>699.19999999999993</v>
      </c>
      <c r="K319" s="3">
        <f>0+(848-151.7)+(0+(-0.43248--0.077367))+0-0-0</f>
        <v>695.94488699999999</v>
      </c>
      <c r="L319" s="3">
        <f>0+(858-151.3)+(0+(-0.87516--0.154326))+0-0-0</f>
        <v>705.97916600000008</v>
      </c>
      <c r="M319" s="3">
        <f>0+(838.6-122.2)+(0+(-0.855372--0.124644))+0-0-0</f>
        <v>715.66927199999998</v>
      </c>
      <c r="N319" s="3">
        <f>0+(873.6-114.2)+(0+(0-0))+0-0-0</f>
        <v>759.4</v>
      </c>
      <c r="O319" s="3">
        <f>0+(834.1-35.3)+(0+(0-0))+0-0-0</f>
        <v>798.80000000000007</v>
      </c>
      <c r="P319" s="3">
        <f>0+(841.2-33.6)+(0+(0.429012-0.017136))+0-0-0</f>
        <v>808.01187600000003</v>
      </c>
      <c r="Q319" s="3">
        <f>0+(860.6-33.9)+(0+(-2.19453--0.086445))+0-0-0</f>
        <v>824.59191500000009</v>
      </c>
      <c r="R319" s="3">
        <f>0+(855.3-32.3)+(0+(-2.181015--0.082365))+0-0-0</f>
        <v>820.90134999999998</v>
      </c>
      <c r="S319" s="3">
        <f>0+(824.1-33.5)+(0+(-1.681164--0.06834))+0-0-0</f>
        <v>788.98717599999998</v>
      </c>
      <c r="T319" s="3">
        <f>0+(818.7-38.8)+(0+(-0.835074--0.039576))+0-0-0</f>
        <v>779.10450200000014</v>
      </c>
      <c r="U319" s="3">
        <f>0+(812.1-42.4)+(0+(-1.242513--0.064872))+0-0-0</f>
        <v>768.52235900000005</v>
      </c>
      <c r="V319" s="3">
        <f>0+(810.5-39.9)+(0+(0.413355-0.020349))+0-0-0</f>
        <v>770.99300600000004</v>
      </c>
      <c r="W319" s="3">
        <f>0+(837.3-39.6)+(0+(0.427023-0.020196))+0-0-0</f>
        <v>798.10682699999995</v>
      </c>
      <c r="X319" s="3">
        <f>0+(884.4-36.1)+(0+(-0.902088--0.036822))+0-0-0</f>
        <v>847.43473399999993</v>
      </c>
      <c r="Y319" s="3">
        <f>0+(873.4-36.2)+(0+(-1.336302--0.055386))+0-0-0</f>
        <v>835.91908399999988</v>
      </c>
      <c r="Z319" s="3">
        <f>0+(856.1-39.9)+(0+(0-0))+0-0-0</f>
        <v>816.2</v>
      </c>
      <c r="AA319" s="3">
        <f>0+(832.1-44.5)+(0+(-0.424371--0.022695))+0-0-0</f>
        <v>787.19832400000007</v>
      </c>
      <c r="AB319" s="3">
        <f>0+(817.4-41.7)+(0+(0.416874-0.021267))+0-0-0</f>
        <v>776.09560699999997</v>
      </c>
      <c r="AC319" s="3">
        <f>0+(876.2-114.5)+(0+(-2.23431--0.291975))+0-0-0</f>
        <v>759.75766500000009</v>
      </c>
      <c r="AD319">
        <v>835.4</v>
      </c>
      <c r="AE319" s="3">
        <f>0+(885.8-50.4)+(0+(0-0))+0-0-0</f>
        <v>835.4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0+(929.6-218.8)+(0+(0-0))+0-0-0</f>
        <v>710.8</v>
      </c>
      <c r="G320" s="3">
        <f>0+(923.7-270.3)+(0+(0.942174-0.275706))+0-0-0</f>
        <v>654.0664680000001</v>
      </c>
      <c r="H320" s="3">
        <f>0+(944-276.5)+(0+(-0.48144--0.141015))+0-0-0</f>
        <v>667.15957500000002</v>
      </c>
      <c r="I320" s="3">
        <f>0+(958.9-295.2)+(0+(-0.978078--0.301104))+0-0-0</f>
        <v>663.02302600000007</v>
      </c>
      <c r="J320" s="3">
        <f>0+(1000.7-345.7)+(0+(1.020714-0.352614))+0-0-0</f>
        <v>655.66809999999998</v>
      </c>
      <c r="K320" s="3">
        <f>0+(952.3-306.2)+(0+(0.485673-0.156162))+0-0-0</f>
        <v>646.42951099999993</v>
      </c>
      <c r="L320" s="3">
        <f>0+(922.8-283.7)+(0+(-3.765024--1.157496))+0-0-0</f>
        <v>636.49247199999991</v>
      </c>
      <c r="M320" s="3">
        <f>0+(806.5-198.1)+(0+(0-0))+0-0-0</f>
        <v>608.4</v>
      </c>
      <c r="N320" s="3">
        <f>0+(771.4-152.8)+(0+(-0.393414--0.077928))+0-0-0</f>
        <v>618.28451399999994</v>
      </c>
      <c r="O320" s="3">
        <f>0+(765.5-116.5)+(0+(0.390405-0.059415))+0-0-0</f>
        <v>649.33099000000004</v>
      </c>
      <c r="P320" s="3">
        <f>0+(733.1-73.6)+(0+(0-0))+0-0-0</f>
        <v>659.5</v>
      </c>
      <c r="Q320" s="3">
        <f>0+(730.7-55)+(0+(0-0))+0-0-0</f>
        <v>675.7</v>
      </c>
      <c r="R320" s="3">
        <f>0+(742.7-2)+(0+(-0.757554--0.00204))+0-0-0</f>
        <v>739.9444860000001</v>
      </c>
      <c r="S320" s="3">
        <f>0+(785.6-37.6)+(0+(-0.801312--0.038352))+0.8-0-0</f>
        <v>748.03703999999993</v>
      </c>
      <c r="T320" s="3">
        <f>0+(798.2-75)+(0+(-1.628328--0.153))+0-0-0</f>
        <v>721.72467200000006</v>
      </c>
      <c r="U320" s="3">
        <f>0+(798.8-72.2)+(0+(-0.407388--0.036822))+0-0-0</f>
        <v>726.22943399999986</v>
      </c>
      <c r="V320" s="3">
        <f>0+(817.7-92.5)+(0+(0.834054-0.09435))+0-0-0</f>
        <v>725.93970400000001</v>
      </c>
      <c r="W320" s="3">
        <f>0+(885.2-121)+(0+(0-0))+0-0-0</f>
        <v>764.2</v>
      </c>
      <c r="X320" s="3">
        <f>0+(854.6-42.2)+(0+(-0.435846--0.021522))+0-0-0</f>
        <v>811.98567600000001</v>
      </c>
      <c r="Y320" s="3">
        <f>0+(810.4-24)+(0+(-0.413304--0.01224))+0-0-0</f>
        <v>785.99893599999996</v>
      </c>
      <c r="Z320" s="3">
        <f>0+(801.9-7.3)+(0+(0-0))+0-0-0</f>
        <v>794.6</v>
      </c>
      <c r="AA320" s="3">
        <f>0+(789.7-5.2)+(0+(-0.805494--0.005304))+0-0-0</f>
        <v>783.69980999999996</v>
      </c>
      <c r="AB320" s="3">
        <f>0+(812.9-12.6)+(0+(-0.414579--0.006426))+0-0-0</f>
        <v>799.89184699999998</v>
      </c>
      <c r="AC320" s="3">
        <f>0+(807.2-51.2)+(0+(-0.411672--0.026112))+0-0-0</f>
        <v>755.61443999999995</v>
      </c>
      <c r="AD320">
        <v>724.30000000000007</v>
      </c>
      <c r="AE320" s="3">
        <f>0+(789.1-64.8)+(0+(0-0))+0-0-0</f>
        <v>724.30000000000007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0+(787.6-132.6)+(0+(-1.205028--0.202878))+0-0-0</f>
        <v>653.99784999999997</v>
      </c>
      <c r="G321" s="3">
        <f>0+(800.1-156.7)+(0+(1.224153-0.239751))+0-0-0</f>
        <v>644.38440200000014</v>
      </c>
      <c r="H321" s="3">
        <f>0+(818.9-204.9)+(0+(-1.252917--0.313497))+0-0-0</f>
        <v>613.06057999999996</v>
      </c>
      <c r="I321" s="3">
        <f>0+(796.6-178.7)+(0+(1.625064-0.364548))+0-0-0</f>
        <v>619.16051600000014</v>
      </c>
      <c r="J321" s="3">
        <f>0+(817.2-176.8)+(0+(-0.416772--0.090168))+0-0-0</f>
        <v>640.07339600000012</v>
      </c>
      <c r="K321" s="3">
        <f>0+(818.3-181.2)+(0+(-1.251999--0.277236))+0-0-0</f>
        <v>636.12523699999986</v>
      </c>
      <c r="L321" s="3">
        <f>50.9+(820.9-210.4)+(-0.025959+(-0.418659--0.107304))+0-0-0</f>
        <v>661.06268599999999</v>
      </c>
      <c r="M321" s="3">
        <f>74.4+(737.8-122.2)+(-0.037944+(-0.376278--0.062322))+0-0-0</f>
        <v>689.64809999999989</v>
      </c>
      <c r="N321" s="3">
        <f>252.1+(676.7-184.5)+(0+(0-0))+0-0-0</f>
        <v>744.30000000000007</v>
      </c>
      <c r="O321" s="3">
        <f>262+(669-158.9)+(0.26724+(0.68238-0.162078))+0-0-0</f>
        <v>772.88754200000005</v>
      </c>
      <c r="P321" s="3">
        <f>261+(705.3-184.6)+(0+(0-0))+0-0-0</f>
        <v>781.69999999999993</v>
      </c>
      <c r="Q321" s="3">
        <f>261+(722.1-192)+(0+(0-0))+0-0-0</f>
        <v>791.1</v>
      </c>
      <c r="R321" s="3">
        <f>260.9+(686.1-179.7)+(0+(0-0))+0-0-0</f>
        <v>767.3</v>
      </c>
      <c r="S321" s="3">
        <f>260.1+(668.3-187.9)+(-0.265302+(-0.681666--0.191658))+0-0-0</f>
        <v>739.74468999999999</v>
      </c>
      <c r="T321" s="3">
        <f>260.4+(640.3-168.2)+(-0.265608+(-0.653106--0.171564))+0-0-0</f>
        <v>731.75284999999997</v>
      </c>
      <c r="U321" s="3">
        <f>261.1+(641.9-165.5)+(0.133161+(0.327369-0.084405))+0-0-0</f>
        <v>737.876125</v>
      </c>
      <c r="V321" s="3">
        <f>260.9+(686.9-175.6)+(-0.133059+(-0.350319--0.089556))+0-0-0</f>
        <v>771.80617799999993</v>
      </c>
      <c r="W321" s="3">
        <f>261.2+(704.8-164.1)+(0+(0-0))+0-0-0</f>
        <v>801.89999999999986</v>
      </c>
      <c r="X321" s="3">
        <f>261+(670.8-94.7)+(-0.39933+(-1.026324--0.144891))+0-0-0</f>
        <v>835.81923699999993</v>
      </c>
      <c r="Y321" s="3">
        <f>260.9+(645-84.7)+(-0.266118+(-0.6579--0.086394))+0-0-0</f>
        <v>820.36237599999993</v>
      </c>
      <c r="Z321" s="3">
        <f>234.6+(676.1-81.7)+(-0.478584+(-1.379244--0.166668))+0-0-0</f>
        <v>827.30884000000003</v>
      </c>
      <c r="AA321" s="3">
        <f>130.4+(745.2-67.1)+(0.066504+(0.380052-0.034221))+0-0-0</f>
        <v>808.91233499999998</v>
      </c>
      <c r="AB321" s="3">
        <f>93.8+(847.1-142.9)+(0.047838+(0.432021-0.072879))+0-0-0</f>
        <v>798.40697999999998</v>
      </c>
      <c r="AC321" s="3">
        <f>51.4+(798-124.7)+(-0.078642+(-1.22094--0.190791))+0-0-0</f>
        <v>723.59120899999994</v>
      </c>
      <c r="AD321">
        <v>867.5</v>
      </c>
      <c r="AE321" s="3">
        <f>260+(706.8-99.3)+(0+(0-0))+0-0-0</f>
        <v>867.5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96.1+(724.9-86.2)+(-0.098022+(-0.739398--0.087924))+0-0-0</f>
        <v>734.05050399999993</v>
      </c>
      <c r="G322" s="3">
        <f>99.5+(752.8-124.3)+(-0.152235+(-1.151784--0.190179))+0-0-0</f>
        <v>726.88616000000002</v>
      </c>
      <c r="H322" s="3">
        <f>100.1+(800.4-181.1)+(0+(0-0))+0-0-0</f>
        <v>719.4</v>
      </c>
      <c r="I322" s="3">
        <f>100.3+(801.5-193.1)+(0+(0-0))+0-0-0</f>
        <v>708.69999999999993</v>
      </c>
      <c r="J322" s="3">
        <f>100.1+(764.4-160.5)+(-0.051051+(-0.389844--0.081855))+0-0-0</f>
        <v>703.64095999999995</v>
      </c>
      <c r="K322" s="3">
        <f>99.9+(803.6-193.3)+(0.050949+(0.409836-0.098583))+0-0-0</f>
        <v>710.56220199999996</v>
      </c>
      <c r="L322" s="3">
        <f>50.8+(855.8-166.2)+(0+(0-0))+0-0-0</f>
        <v>740.39999999999986</v>
      </c>
      <c r="M322" s="3">
        <f>50.1+(864.6-149.9)+(-0.051102+(-0.881892--0.152898))+0-0-0</f>
        <v>764.01990400000011</v>
      </c>
      <c r="N322" s="3">
        <f>50.1+(799.9-43)+(0.051102+(0.815898-0.04386))+0-0-0</f>
        <v>807.82313999999997</v>
      </c>
      <c r="O322" s="3">
        <f>82+(812.5-62.6)+(-0.04182+(-0.414375--0.031926))+0-0-0</f>
        <v>831.475731</v>
      </c>
      <c r="P322" s="3">
        <f>103.2+(846.4-93.1)+(-0.052632+(-0.431664--0.047481))+0-0-0</f>
        <v>856.06318499999998</v>
      </c>
      <c r="Q322" s="3">
        <f>103.1+(865.9-114.1)+(-0.210324+(-1.766436--0.232764))+0-0-0</f>
        <v>853.15600399999994</v>
      </c>
      <c r="R322" s="3">
        <f>103.2+(826.1-95.8)+(-0.26316+(-2.106555--0.24429))+0-0-0</f>
        <v>831.37457500000016</v>
      </c>
      <c r="S322" s="3">
        <f>103.1+(819.2-107.3)+(0+(0-0))+0-0-0</f>
        <v>815.00000000000011</v>
      </c>
      <c r="T322" s="3">
        <f>103.1+(795.6-166.2)+(0+(0-0))+0-0-0</f>
        <v>732.50000000000011</v>
      </c>
      <c r="U322" s="3">
        <f>106.6+(817.6-144.6)+(0.054366+(0.416976-0.073746))+0-0-0</f>
        <v>779.99759600000004</v>
      </c>
      <c r="V322" s="3">
        <f>184.5+(788-183)+(-0.37638+(-1.60752--0.37332))+0-0-0</f>
        <v>787.88941999999997</v>
      </c>
      <c r="W322" s="3">
        <f>230.6+(753.5-174.3)+(0+(0-0))+0-0-0</f>
        <v>809.80000000000007</v>
      </c>
      <c r="X322" s="3">
        <f>263.1+(741.8-130.9)+(-0.268362+(-0.756636--0.133518))+0-0-0</f>
        <v>873.10852</v>
      </c>
      <c r="Y322" s="3">
        <f>268.4+(690.3-96.8)+(-0.68442+(-1.760265--0.24684))+0-0-0</f>
        <v>859.70215499999995</v>
      </c>
      <c r="Z322" s="3">
        <f>268.8+(647.3-75.4)+(-0.411264+(-0.990369--0.115362))+0-0-0</f>
        <v>839.41372899999999</v>
      </c>
      <c r="AA322" s="3">
        <f>262.2+(624.7-64.4)+(-0.133722+(-0.318597--0.032844))+0-0-0</f>
        <v>822.08052499999997</v>
      </c>
      <c r="AB322" s="3">
        <f>237.8+(694.6-58.5)+(-0.242556+(-0.708492--0.05967))+0-0-0</f>
        <v>873.00862200000006</v>
      </c>
      <c r="AC322" s="3">
        <f>126.4+(738.6-56.8)+(-0.128928+(-0.753372--0.057936))+0-0-0</f>
        <v>807.3756360000001</v>
      </c>
      <c r="AD322">
        <v>848.1</v>
      </c>
      <c r="AE322" s="3">
        <f>269+(711-131.9)+(0+(0-0))+0-0-0</f>
        <v>848.1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128+(757.7-127)+(-0.3264+(-1.932135--0.32385))+0-0-0</f>
        <v>756.7653150000001</v>
      </c>
      <c r="G323" s="3">
        <f>107.5+(743.5-163)+(-0.10965+(-0.75837--0.16626))+0-0-0</f>
        <v>687.29823999999996</v>
      </c>
      <c r="H323" s="3">
        <f>99.6+(778.7-201.1)+(-0.152388+(-1.191411--0.307683))+0-0-0</f>
        <v>676.16388400000005</v>
      </c>
      <c r="I323" s="3">
        <f>100.5+(782.3-248)+(0.10251+(0.797946-0.25296))+0-0-0</f>
        <v>635.447496</v>
      </c>
      <c r="J323" s="3">
        <f>99.5+(811-269.2)+(-0.152235+(-1.24083--0.411876))+0-0-0</f>
        <v>640.31881099999998</v>
      </c>
      <c r="K323" s="3">
        <f>100.5+(822.3-261)+(0.051255+(0.419373-0.13311))+0-0-0</f>
        <v>662.137518</v>
      </c>
      <c r="L323" s="3">
        <f>117.7+(882.8-215.6)+(-0.120054+(-0.900456--0.219912))+0-0-0</f>
        <v>784.09940199999994</v>
      </c>
      <c r="M323" s="3">
        <f>128.7+(833.5-246.5)+(-0.196911+(-1.275255--0.377145))+0-0-0</f>
        <v>714.60497900000007</v>
      </c>
      <c r="N323" s="3">
        <f>130.7+(784.9-98.4)+(0.199971+(1.200897-0.150552))+0-0-0</f>
        <v>818.45031600000004</v>
      </c>
      <c r="O323" s="3">
        <f>158.3+(674.9-55.5)+(0.080733+(0.344199-0.028305))+0-0-0</f>
        <v>778.09662700000001</v>
      </c>
      <c r="P323" s="3">
        <f>268.1+(657.5-143.8)+(0.136731+(0.335325-0.073338))+0-0-0</f>
        <v>782.1987180000001</v>
      </c>
      <c r="Q323" s="3">
        <f>267.3+(679.6-158.5)+(-0.136323+(-0.346596--0.080835))+0-0-0</f>
        <v>787.99791600000015</v>
      </c>
      <c r="R323" s="3">
        <f>264.1+(682-165.9)+(0+(0-0))+0-0-0</f>
        <v>780.2</v>
      </c>
      <c r="S323" s="3">
        <f>262.5+(697.4-189.4)+(-0.401625+(-1.067022--0.289782))+0-0-0</f>
        <v>769.32113500000003</v>
      </c>
      <c r="T323" s="3">
        <f>264+(760.5-248.5)+(-0.13464+(-0.387855--0.126735))+0-0-0</f>
        <v>775.60424</v>
      </c>
      <c r="U323" s="3">
        <f>263.6+(729.3-206.1)+(-0.268872+(-0.743886--0.210222))+0-0-0</f>
        <v>785.99746399999992</v>
      </c>
      <c r="V323" s="3">
        <f>264.8+(723.6-227)+(0.270096+(0.738072-0.23154))+0-0-0</f>
        <v>762.17662800000005</v>
      </c>
      <c r="W323" s="3">
        <f>264.5+(814.7-152.7)+(0.404685+(1.246491-0.233631))+0-0-0</f>
        <v>927.91754500000002</v>
      </c>
      <c r="X323" s="3">
        <f>260.3+(756.8-139)+(0+(0-0))+0-0-0</f>
        <v>878.09999999999991</v>
      </c>
      <c r="Y323" s="3">
        <f>258.9+(776.4-120.1)+(-0.396117+(-1.187892--0.183753))+0-0-0</f>
        <v>913.79974399999992</v>
      </c>
      <c r="Z323" s="3">
        <f>258.4+(682.3-167.2)+(-0.131784+(-0.347973--0.085272))+0-0-0</f>
        <v>773.10551499999985</v>
      </c>
      <c r="AA323" s="3">
        <f>255.8+(677.5-142.7)+(-0.130458+(-0.345525--0.072777))+0-0-0</f>
        <v>790.19679399999995</v>
      </c>
      <c r="AB323" s="3">
        <f>253.6+(711.4-92.5)+(-0.388008+(-1.088442--0.141525))+0-0-0</f>
        <v>871.165075</v>
      </c>
      <c r="AC323" s="3">
        <f>254.5+(626.3-98.4)+(-0.389385+(-0.958239--0.150552))+0-0-0</f>
        <v>781.20292799999993</v>
      </c>
      <c r="AD323">
        <v>873.30000000000007</v>
      </c>
      <c r="AE323" s="3">
        <f>260+(765.4-152.1)+(0+(0-0))+0-0-0</f>
        <v>873.3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254.9+(705.7-242)+(0+(0-0))+0-0-0</f>
        <v>718.6</v>
      </c>
      <c r="G324" s="3">
        <f>254.4+(811.2-317)+(-0.129744+(-0.413712--0.16167))+0-0-0</f>
        <v>748.21821399999999</v>
      </c>
      <c r="H324" s="3">
        <f>262.9+(891.8-309.9)+(0.402237+(1.364454-0.474147))+0-0-0</f>
        <v>846.09254399999998</v>
      </c>
      <c r="I324" s="3">
        <f>156+(935.2-289.7)+(-0.23868+(-1.430856--0.443241))+0-0-0</f>
        <v>800.27370499999995</v>
      </c>
      <c r="J324" s="3">
        <f>105.1+(1006.4-307.1)+(0.053601+(0.513264-0.156621))+0-0-0</f>
        <v>804.81024400000001</v>
      </c>
      <c r="K324" s="3">
        <f>129+(1027.9-402.6)+(0.06579+(0.524229-0.205326))+0-0-0</f>
        <v>754.68469300000004</v>
      </c>
      <c r="L324" s="3">
        <f>264+(1046.1-440.7)+(-0.40392+(-1.600533--0.674271))+0-0-0</f>
        <v>868.06981799999983</v>
      </c>
      <c r="M324" s="3">
        <f>263.3+(1017.6-361.9)+(0.134283+(0.518976-0.184569))+0-0-0</f>
        <v>919.46869000000004</v>
      </c>
      <c r="N324" s="3">
        <f>261.5+(933.1-265.6)+(0.26673+(0.951762-0.270912))+0-0-0</f>
        <v>929.94758000000002</v>
      </c>
      <c r="O324" s="3">
        <f>285+(837.6-166.2)+(0.2907+(0.854352-0.169524))+0-0-0</f>
        <v>957.37552800000014</v>
      </c>
      <c r="P324" s="3">
        <f>285+(827-170.2)+(-0.14535+(-0.42177--0.086802))+0-0-0</f>
        <v>941.31968199999994</v>
      </c>
      <c r="Q324" s="3">
        <f>285+(796.9-163.2)+(-0.2907+(-0.812838--0.166464))+0-0-0</f>
        <v>917.76292599999999</v>
      </c>
      <c r="R324" s="3">
        <f>258+(791.4-177.9)+(-0.6579+(-2.01807--0.453645))+0-0-0</f>
        <v>869.27767500000004</v>
      </c>
      <c r="S324" s="3">
        <f>375.4+(747.2-210.5)+(0+(0-0))+0-0-0</f>
        <v>912.1</v>
      </c>
      <c r="T324" s="3">
        <f>391.1+(750.4-221.7)+(0.199461+(0.382704-0.113067))+0-0-0</f>
        <v>920.2690980000001</v>
      </c>
      <c r="U324" s="3">
        <f>389.2+(713.7-205.9)+(-0.198492+(-0.363987--0.105009))+0-0-0</f>
        <v>896.54253000000006</v>
      </c>
      <c r="V324" s="3">
        <f>391.3+(703.2-210.2)+(0.399126+(0.717264-0.214404))+0-0-0</f>
        <v>885.20198600000003</v>
      </c>
      <c r="W324" s="3">
        <f>389+(666.8-195.1)+(0.39678+(0.680136-0.199002))+0-0-0</f>
        <v>861.57791399999996</v>
      </c>
      <c r="X324" s="3">
        <f>385+(662.5-159.5)+(0.19635+(0.337875-0.081345))+0-0-0</f>
        <v>888.45288000000005</v>
      </c>
      <c r="Y324" s="3">
        <f>383.6+(633.8-155.3)+(-0.782544+(-1.292952--0.316812))+0-0-0</f>
        <v>860.34131599999989</v>
      </c>
      <c r="Z324" s="3">
        <f>382.2+(606.9-148.4)+(-0.97461+(-1.547595--0.37842))+0-0-0</f>
        <v>838.55621500000007</v>
      </c>
      <c r="AA324" s="3">
        <f>384.4+(553.2-125.7)+(-0.196044+(-0.282132--0.064107))+0-0-0</f>
        <v>811.48593100000005</v>
      </c>
      <c r="AB324" s="3">
        <f>385.9+(530.5-143.3)+(0+(0-0))+0-0-0</f>
        <v>773.09999999999991</v>
      </c>
      <c r="AC324" s="3">
        <f>389.2+(641.2-79.3)+(-0.396984+(-0.654024--0.080886))+0-0-0</f>
        <v>950.12987800000019</v>
      </c>
      <c r="AD324">
        <v>882</v>
      </c>
      <c r="AE324" s="3">
        <f>386+(673.5-177.5)+(0+(0-0))+0-0-0</f>
        <v>882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176.3+(609.7-141.2)+(0+(0-0))+0-0-0</f>
        <v>644.80000000000007</v>
      </c>
      <c r="G325" s="3">
        <f>129.8+(679.7-185.6)+(0+(0-0))+0-0-0</f>
        <v>623.90000000000009</v>
      </c>
      <c r="H325" s="3">
        <f>128.9+(679.1-209.3)+(0+(0-0))+0-0-0</f>
        <v>598.70000000000005</v>
      </c>
      <c r="I325" s="3">
        <f>127.9+(665.1-189.3)+(-0.195687+(-1.017603--0.289629))+0-0-0</f>
        <v>602.77633900000001</v>
      </c>
      <c r="J325" s="3">
        <f>129.3+(661.9-216.8)+(0.131886+(0.675138-0.221136))+0-0-0</f>
        <v>574.98588799999993</v>
      </c>
      <c r="K325" s="3">
        <f>128.9+(661.3-225.2)+(0.131478+(0.674526-0.229704))+0-0-0</f>
        <v>565.57629999999995</v>
      </c>
      <c r="L325" s="3">
        <f>128.3+(734.4-286.9)+(0+(0-0))+0-0-0</f>
        <v>575.79999999999995</v>
      </c>
      <c r="M325" s="3">
        <f>127.8+(742.1-197.6)+(0+(0-0))+0-0-0</f>
        <v>672.3</v>
      </c>
      <c r="N325" s="3">
        <f>136.7+(676.4-105.3)+(-0.069717+(-0.344964--0.053703))+0-0-0</f>
        <v>707.43902199999991</v>
      </c>
      <c r="O325" s="3">
        <f>261.2+(635.8-144.7)+(-0.133212+(-0.324258--0.073797))+0-0-0</f>
        <v>751.91632699999991</v>
      </c>
      <c r="P325" s="3">
        <f>382.2+(572.2-175.3)+(-0.194922+(-0.291822--0.089403))+0-0-0</f>
        <v>778.70265900000004</v>
      </c>
      <c r="Q325" s="3">
        <f>385+(526.4-170.7)+(-0.3927+(-0.536928--0.174114))+0-0-0</f>
        <v>739.9444860000001</v>
      </c>
      <c r="R325" s="3">
        <f>383.4+(506.7-160.2)+(-0.586602+(-0.775251--0.245106))+0-0-0</f>
        <v>728.78325299999995</v>
      </c>
      <c r="S325" s="3">
        <f>371.7+(516.2-170.4)+(-0.568701+(-0.789786--0.260712))+0-0-0</f>
        <v>716.40222500000004</v>
      </c>
      <c r="T325" s="3">
        <f>302.9+(552.1-159.1)+(0+(0-0))+0-0-0</f>
        <v>695.9</v>
      </c>
      <c r="U325" s="3">
        <f>303+(504.4-152.3)+(0.30906+(0.514488-0.155346))+0-0-0</f>
        <v>655.76820199999986</v>
      </c>
      <c r="V325" s="3">
        <f>323+(530-179)+(0.16473+(0.2703-0.09129))+0-0-0</f>
        <v>674.34374000000003</v>
      </c>
      <c r="W325" s="3">
        <f>375.4+(600.6-194.6)+(0.382908+(0.612612-0.198492))+0-0-0</f>
        <v>782.19702799999993</v>
      </c>
      <c r="X325" s="3">
        <f>375.9+(562.7-165.6)+(-0.958545+(-1.434885--0.42228))+0-0-0</f>
        <v>771.02885000000003</v>
      </c>
      <c r="Y325" s="3">
        <f>228.4+(570.9-64.5)+(-0.349452+(-0.873477--0.098685))+0-0-0</f>
        <v>733.67575599999998</v>
      </c>
      <c r="Z325" s="3">
        <f>108.5+(646.3-22)+(-0.055335+(-0.329613--0.01122))+0-0-0</f>
        <v>732.42627199999993</v>
      </c>
      <c r="AA325" s="3">
        <f>45.1+(682.1-14)+(0.023001+(0.347871-0.00714))+0-0-0</f>
        <v>713.56373200000007</v>
      </c>
      <c r="AB325" s="3">
        <f>45+(677.4-58)+(0.02295+(0.345474-0.02958))+0-0-0</f>
        <v>664.73884399999997</v>
      </c>
      <c r="AC325" s="3">
        <f>45+(729.1-116)+(0+(0-0))+0-0-0</f>
        <v>658.1</v>
      </c>
      <c r="AD325">
        <v>873.30000000000007</v>
      </c>
      <c r="AE325" s="3">
        <f>380+(680.9-187.6)+(0+(0-0))+0-0-0</f>
        <v>873.3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2.1+(890.5-229)+(-0.005355+(-2.270775--0.58395))+0-0-0</f>
        <v>661.90782000000002</v>
      </c>
      <c r="G326" s="3">
        <f>0+(885.2-205)+(0+(-0.902904--0.2091))+0-0-0</f>
        <v>679.50619600000005</v>
      </c>
      <c r="H326" s="3">
        <f>0+(881.9-199)+(0+(-2.698614--0.60894))+0-0-0</f>
        <v>680.81032600000003</v>
      </c>
      <c r="I326" s="3">
        <f>0+(830.9-236.2)+(0+(0.847518-0.240924))+0-0-0</f>
        <v>595.30659400000002</v>
      </c>
      <c r="J326" s="3">
        <f>0+(888-248)+(0+(-0.45288--0.12648))+0-0-0</f>
        <v>639.67359999999996</v>
      </c>
      <c r="K326" s="3">
        <f>0+(891.3-260)+(0+(1.363689-0.3978))+0-0-0</f>
        <v>632.2658889999999</v>
      </c>
      <c r="L326" s="3">
        <f>0+(900.7-210)+(0+(0.918714-0.2142))+0-0-0</f>
        <v>691.40451400000006</v>
      </c>
      <c r="M326" s="3">
        <f>0+(878.6-198)+(0+(0.896172-0.20196))+0-0-0</f>
        <v>681.29421200000002</v>
      </c>
      <c r="N326" s="3">
        <f>8.2+(845.5-30)+(0.004182+(0.431205-0.0153))+0-0-0</f>
        <v>824.12008700000001</v>
      </c>
      <c r="O326" s="3">
        <f>127.9+(740.8-20)+(0.065229+(0.377808-0.0102))+0-0-0</f>
        <v>849.13283699999988</v>
      </c>
      <c r="P326" s="3">
        <f>127.1+(761.6-22.9)+(0.064821+(0.388416-0.011679))+0-0-0</f>
        <v>866.24155800000005</v>
      </c>
      <c r="Q326" s="3">
        <f>127+(726.5-31.3)+(0+(0-0))+0-0-0</f>
        <v>822.2</v>
      </c>
      <c r="R326" s="3">
        <f>125.7+(687.3-31.2)+(-0.192321+(-1.051569--0.047736))+0-0-0</f>
        <v>780.60384599999998</v>
      </c>
      <c r="S326" s="3">
        <f>124.9+(652.1-27.5)+(0+(0-0))+0-0-0</f>
        <v>749.5</v>
      </c>
      <c r="T326" s="3">
        <f>124.9+(647.9-24)+(0+(0-0))+0-0-0</f>
        <v>748.8</v>
      </c>
      <c r="U326" s="3">
        <f>124.6+(661.9-24)+(-0.127092+(-0.675138--0.02448))+0-0-0</f>
        <v>761.72225000000003</v>
      </c>
      <c r="V326" s="3">
        <f>124.4+(678.5-24)+(-0.126888+(-0.69207--0.02448))+0-0-0</f>
        <v>778.10552199999995</v>
      </c>
      <c r="W326" s="3">
        <f>124.8+(738.6-16)+(-0.063648+(-0.376686--0.00816))+0-0-0</f>
        <v>846.96782599999995</v>
      </c>
      <c r="X326" s="3">
        <f>124.6+(727.1-16.7)+(-0.127092+(-0.741642--0.017034))+0-0-0</f>
        <v>834.14829999999995</v>
      </c>
      <c r="Y326" s="3">
        <f>88.2+(764.6-16.2)+(-0.179928+(-1.559784--0.033048))+0-0-0</f>
        <v>834.89333599999998</v>
      </c>
      <c r="Z326" s="3">
        <f>38.5+(767.6-0)+(-0.098175+(-1.95738-0))+0-0-0</f>
        <v>804.044445</v>
      </c>
      <c r="AA326" s="3">
        <f>0+(786.7-0)+(0+(-0.401217-0))+0-0-0</f>
        <v>786.29878300000007</v>
      </c>
      <c r="AB326" s="3">
        <f>0+(780.2-0)+(0+(0.397902-0))+0-0-0</f>
        <v>780.59790200000009</v>
      </c>
      <c r="AC326" s="3">
        <f>0+(802.8-32)+(0+(-0.409428--0.01632))+0-0-0</f>
        <v>770.40689199999997</v>
      </c>
      <c r="AD326">
        <v>850</v>
      </c>
      <c r="AE326" s="3">
        <f>125+(758.1-33.1)+(0+(0-0))+0-0-0</f>
        <v>850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0+(779.4-57.7)+(0+(-1.192482--0.088281))+0-0-0</f>
        <v>720.59579899999994</v>
      </c>
      <c r="G327" s="3">
        <f>0+(788.3-94.4)+(0+(0.402033-0.048144))+0-0-0</f>
        <v>694.25388899999996</v>
      </c>
      <c r="H327" s="3">
        <f>0+(786.5-112.2)+(0+(-0.80223--0.114444))+0-0-0</f>
        <v>673.61221399999999</v>
      </c>
      <c r="I327" s="3">
        <f>0+(808.4-130.3)+(0+(0.412284-0.066453))+0-0-0</f>
        <v>678.44583099999988</v>
      </c>
      <c r="J327" s="3">
        <f>0+(819.4-151.6)+(0+(-0.835788--0.154632))+0-0-0</f>
        <v>667.11884399999997</v>
      </c>
      <c r="K327" s="3">
        <f>0+(838.8-175.2)+(0+(0.855576-0.178704))+0-0-0</f>
        <v>664.27687199999991</v>
      </c>
      <c r="L327" s="3">
        <f>0+(882.8-198.1)+(0+(-0.450228--0.101031))+0-0-0</f>
        <v>684.35080299999993</v>
      </c>
      <c r="M327" s="3">
        <f>0+(875.9-200.5)+(0+(0-0))+0-0-0</f>
        <v>675.4</v>
      </c>
      <c r="N327" s="3">
        <f>0+(877.2-190.2)+(0+(0.894744-0.194004))+0-0-0</f>
        <v>687.70074</v>
      </c>
      <c r="O327" s="3">
        <f>0+(832-128.2)+(0+(0-0))+0-0-0</f>
        <v>703.8</v>
      </c>
      <c r="P327" s="3">
        <f>0+(777-57.2)+(0+(0-0))+0-0-0</f>
        <v>719.8</v>
      </c>
      <c r="Q327" s="3">
        <f>0+(709.3-5.4)+(0+(1.085229-0.008262))+0-0-0</f>
        <v>704.97696699999995</v>
      </c>
      <c r="R327" s="3">
        <f>0+(703.9-3.9)+(0+(-1.435956--0.007956))+0-0-0</f>
        <v>698.572</v>
      </c>
      <c r="S327" s="3">
        <f>0+(703-32.5)+(0+(-0.35853--0.016575))+0-0-0</f>
        <v>670.15804500000002</v>
      </c>
      <c r="T327" s="3">
        <f>0+(682.7-20.8)+(0+(0-0))+0-0-0</f>
        <v>661.90000000000009</v>
      </c>
      <c r="U327" s="3">
        <f>0+(701.8-47.1)+(0+(-1.073754--0.072063))+0-0-0</f>
        <v>653.69830899999988</v>
      </c>
      <c r="V327" s="3">
        <f>0+(722.4-62.8)+(0+(-0.368424--0.032028))+0-0-0</f>
        <v>659.26360399999999</v>
      </c>
      <c r="W327" s="3">
        <f>0+(713.8-15.3)+(0+(-0.728076--0.015606))+0-0-0</f>
        <v>697.78752999999995</v>
      </c>
      <c r="X327" s="3">
        <f>0+(782.6-15.9)+(0+(-0.399126--0.008109))+0-0-0</f>
        <v>766.30898300000001</v>
      </c>
      <c r="Y327" s="3">
        <f>0+(753.7-3.1)+(0+(-1.153161--0.004743))+0-0-0</f>
        <v>749.45158200000003</v>
      </c>
      <c r="Z327" s="3">
        <f>0+(731.8-0)+(0+(-0.746436-0))+0-0-0</f>
        <v>731.05356399999994</v>
      </c>
      <c r="AA327" s="3">
        <f>0+(732.9-0)+(0+(-1.495116-0))+0-0-0</f>
        <v>731.40488399999992</v>
      </c>
      <c r="AB327" s="3">
        <f>0+(715.2-0)+(0+(-0.364752-0))+0-0-0</f>
        <v>714.83524800000009</v>
      </c>
      <c r="AC327" s="3">
        <f>0+(699.4-2.6)+(0+(0.713388-0.002652))+0-0-0</f>
        <v>697.51073599999995</v>
      </c>
      <c r="AD327">
        <v>771.09999999999991</v>
      </c>
      <c r="AE327" s="3">
        <f>0+(786.8-15.7)+(0+(0-0))+0-0-0</f>
        <v>771.09999999999991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0+(681.1-14.3)+(0+(-1.389444--0.029172))+0-0-0</f>
        <v>665.43972800000006</v>
      </c>
      <c r="G328" s="3">
        <f>0+(706.8-68.9)+(0+(-0.720936--0.070278))+0-0-0</f>
        <v>637.24934199999996</v>
      </c>
      <c r="H328" s="3">
        <f>0+(732.6-112.9)+(0+(-1.494504--0.230316))+0-0-0</f>
        <v>618.43581200000006</v>
      </c>
      <c r="I328" s="3">
        <f>0+(752.6-131.5)+(0+(0.383826-0.067065))+0-0-0</f>
        <v>621.41676100000006</v>
      </c>
      <c r="J328" s="3">
        <f>0+(730.8-119.9)+(0+(-1.118124--0.183447))+0-0-0</f>
        <v>609.96532300000001</v>
      </c>
      <c r="K328" s="3">
        <f>0+(728.4-119.6)+(0+(0.371484-0.060996))+0-0-0</f>
        <v>609.11048799999992</v>
      </c>
      <c r="L328" s="3">
        <f>0+(773.4-150.4)+(0+(0.394434-0.076704))+0-0-0</f>
        <v>623.31772999999998</v>
      </c>
      <c r="M328" s="3">
        <f>0+(784.9-173)+(0+(-1.200897--0.26469))+0-0-0</f>
        <v>610.96379300000001</v>
      </c>
      <c r="N328" s="3">
        <f>0+(850.5-212.4)+(0+(-0.433755--0.108324))+0-0-0</f>
        <v>637.77456900000004</v>
      </c>
      <c r="O328" s="3">
        <f>0+(831.9-155.5)+(0+(0-0))+0-0-0</f>
        <v>676.4</v>
      </c>
      <c r="P328" s="3">
        <f>0+(791.2-91.2)+(0+(-0.807024--0.093024))+0-0-0</f>
        <v>699.28599999999994</v>
      </c>
      <c r="Q328" s="3">
        <f>0+(743.4-33.6)+(0+(-1.137402--0.051408))+0-0-0</f>
        <v>708.71400599999993</v>
      </c>
      <c r="R328" s="3">
        <f>0+(721.8-10.1)+(0+(-1.104354--0.015453))+0-0-0</f>
        <v>710.61109899999997</v>
      </c>
      <c r="S328" s="3">
        <f>0+(723.4-27.5)+(0+(-1.475736--0.0561))+0-0-0</f>
        <v>694.48036400000001</v>
      </c>
      <c r="T328" s="3">
        <f>0+(742.5-57.1)+(0+(-0.378675--0.029121))+0-0-0</f>
        <v>685.05044599999997</v>
      </c>
      <c r="U328" s="3">
        <f>0+(745.5-63.2)+(0+(0-0))+0-0-0</f>
        <v>682.3</v>
      </c>
      <c r="V328" s="3">
        <f>0+(745.8-58.4)+(0+(-0.380358--0.029784))+0-0-0</f>
        <v>687.04942599999993</v>
      </c>
      <c r="W328" s="3">
        <f>0+(726-18.8)+(0+(0-0))+0-0-0</f>
        <v>707.2</v>
      </c>
      <c r="X328" s="3">
        <f>0+(792.3-0)+(0+(-0.808146-0))+0-0-0</f>
        <v>791.49185399999999</v>
      </c>
      <c r="Y328" s="3">
        <f>0+(803.3-12.1)+(0+(-0.409683--0.006171))+0-0-0</f>
        <v>790.79648799999995</v>
      </c>
      <c r="Z328" s="3">
        <f>0+(782.6-2.9)+(0+(-0.798252--0.002958))+0-0-0</f>
        <v>778.90470600000003</v>
      </c>
      <c r="AA328" s="3">
        <f>0+(769.4-0)+(0+(0-0))+0-0-0</f>
        <v>769.4</v>
      </c>
      <c r="AB328" s="3">
        <f>0+(775.1-16.3)+(0+(-0.395301--0.008313))+0-0-0</f>
        <v>758.41301200000009</v>
      </c>
      <c r="AC328" s="3">
        <f>0+(739.3-14.1)+(0+(-1.885215--0.035955))+0-0-0</f>
        <v>723.35073999999997</v>
      </c>
      <c r="AD328">
        <v>802.5</v>
      </c>
      <c r="AE328" s="3">
        <f>0+(816.1-13.6)+(0+(0-0))+0-0-0</f>
        <v>802.5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0+(707.5-21)+(0+(-1.082475--0.03213))+0-0-0</f>
        <v>685.44965500000001</v>
      </c>
      <c r="G329" s="3">
        <f>0+(769.5-114)+(0+(-1.177335--0.17442))+0-0-0</f>
        <v>654.49708499999997</v>
      </c>
      <c r="H329" s="3">
        <f>0+(766.4-125.3)+(0+(-1.563456--0.255612))+0-0-0</f>
        <v>639.79215599999998</v>
      </c>
      <c r="I329" s="3">
        <f>0+(773.4-132.9)+(0+(-0.394434--0.067779))+0-0-0</f>
        <v>640.17334500000004</v>
      </c>
      <c r="J329" s="3">
        <f>0+(787-140.2)+(0+(1.20411-0.214506))+0-0-0</f>
        <v>647.78960399999994</v>
      </c>
      <c r="K329" s="3">
        <f>0+(767.2-125.8)+(0+(0.391272-0.064158))+0-0-0</f>
        <v>641.72711400000014</v>
      </c>
      <c r="L329" s="3">
        <f>0+(832.7-166.2)+(0+(0.424677-0.084762))+0-0-0</f>
        <v>666.83991500000002</v>
      </c>
      <c r="M329" s="3">
        <f>0+(885.6-168.7)+(0+(0-0))+0-0-0</f>
        <v>716.90000000000009</v>
      </c>
      <c r="N329" s="3">
        <f>0+(946.9-152.4)+(0+(0.965838-0.155448))+0-0-0</f>
        <v>795.31038999999998</v>
      </c>
      <c r="O329" s="3">
        <f>0+(896.5-81.4)+(0+(0.457215-0.041514))+0-0-0</f>
        <v>815.51570100000004</v>
      </c>
      <c r="P329" s="3">
        <f>0+(885.1-48.1)+(0+(0.451401-0.024531))+0-0-0</f>
        <v>837.42687000000001</v>
      </c>
      <c r="Q329" s="3">
        <f>0+(891-47.4)+(0+(-0.90882--0.048348))+0-0-0</f>
        <v>842.73952800000006</v>
      </c>
      <c r="R329" s="3">
        <f>0+(869.1-32.6)+(0+(-2.216205--0.08313))+0-0-0</f>
        <v>834.36692500000004</v>
      </c>
      <c r="S329" s="3">
        <f>0+(846.5-36.2)+(0+(-0.86343--0.036924))+0-0-0</f>
        <v>809.47349399999996</v>
      </c>
      <c r="T329" s="3">
        <f>0+(840.3-35.1)+(0+(-1.285659--0.053703))+0-0-0</f>
        <v>803.96804399999996</v>
      </c>
      <c r="U329" s="3">
        <f>0+(836.2-35.2)+(0+(-0.426462--0.017952))+0-0-0</f>
        <v>800.59149000000002</v>
      </c>
      <c r="V329" s="3">
        <f>0+(831.8-36)+(0+(0.424218-0.01836))+0-0-0</f>
        <v>796.20585799999992</v>
      </c>
      <c r="W329" s="3">
        <f>0+(830.4-31.1)+(0+(0-0))+0-0-0</f>
        <v>799.3</v>
      </c>
      <c r="X329" s="3">
        <f>0+(896.3-28.5)+(0+(-0.457113--0.014535))+0-0-0</f>
        <v>867.35742199999993</v>
      </c>
      <c r="Y329" s="3">
        <f>0+(875.8-14.3)+(0+(0-0))+0-0-0</f>
        <v>861.5</v>
      </c>
      <c r="Z329" s="3">
        <f>0+(859-7.2)+(0+(-2.19045--0.01836))+0-0-0</f>
        <v>849.62790999999993</v>
      </c>
      <c r="AA329" s="3">
        <f>0+(832.8-4.6)+(0+(0-0))+0-0-0</f>
        <v>828.19999999999993</v>
      </c>
      <c r="AB329" s="3">
        <f>0+(829.1-18.5)+(0+(-2.114205--0.047175))+0-0-0</f>
        <v>808.53296999999998</v>
      </c>
      <c r="AC329" s="3">
        <f>0+(791.4-27.3)+(0+(-2.01807--0.069615))+0-0-0</f>
        <v>762.15154500000006</v>
      </c>
      <c r="AD329">
        <v>864</v>
      </c>
      <c r="AE329" s="3">
        <f>0+(897.7-33.7)+(0+(0-0))+0-0-0</f>
        <v>864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0+(728.4-3.6)+(0+(-0.742968--0.003672))+0-0-0</f>
        <v>724.06070399999999</v>
      </c>
      <c r="G330" s="3">
        <f>0+(720.9-19.7)+(0+(1.470636-0.040188))+0-0-0</f>
        <v>702.63044799999989</v>
      </c>
      <c r="H330" s="3">
        <f>0+(765-78.8)+(0+(1.17045-0.120564))+0-0-0</f>
        <v>687.24988600000006</v>
      </c>
      <c r="I330" s="3">
        <f>0+(772.7-94.9)+(0+(-1.576308--0.193596))+0-0-0</f>
        <v>676.4172880000001</v>
      </c>
      <c r="J330" s="3">
        <f>0+(775.6-106.2)+(0+(0.791112-0.108324))+0-0-0</f>
        <v>670.08278799999994</v>
      </c>
      <c r="K330" s="3">
        <f>0+(791.9-120.6)+(0+(0-0))+0-0-0</f>
        <v>671.3</v>
      </c>
      <c r="L330" s="3">
        <f>0+(830.3-136.9)+(0+(0.423453-0.069819))+0-0-0</f>
        <v>693.75363400000003</v>
      </c>
      <c r="M330" s="3">
        <f>0+(810-95.7)+(0+(-0.8262--0.097614))+0-0-0</f>
        <v>713.571414</v>
      </c>
      <c r="N330" s="3">
        <f>0+(788.6-27)+(0+(-0.402186--0.01377))+0-0-0</f>
        <v>761.21158400000002</v>
      </c>
      <c r="O330" s="3">
        <f>0+(817.2-25.6)+(0+(-0.416772--0.013056))+0-0-0</f>
        <v>791.19628399999999</v>
      </c>
      <c r="P330" s="3">
        <f>0+(875.3-59.4)+(0+(-1.339209--0.090882))+0-0-0</f>
        <v>814.65167299999996</v>
      </c>
      <c r="Q330" s="3">
        <f>0+(902.5-77.7)+(0+(-0.460275--0.039627))+0-0-0</f>
        <v>824.37935199999993</v>
      </c>
      <c r="R330" s="3">
        <f>0+(883.8-73.2)+(0+(-1.352214--0.111996))+0-0-0</f>
        <v>809.35978199999988</v>
      </c>
      <c r="S330" s="3">
        <f>0+(867.4-80.9)+(0+(0-0))+0-0-0</f>
        <v>786.5</v>
      </c>
      <c r="T330" s="3">
        <f>0+(909.6-116.3)+(0+(-0.463896--0.059313))+0-0-0</f>
        <v>792.89541700000007</v>
      </c>
      <c r="U330" s="3">
        <f>0+(921.7-141.2)+(0+(-0.470067--0.072012))+0-0-0</f>
        <v>780.101945</v>
      </c>
      <c r="V330" s="3">
        <f>0+(876.8-104.2)+(0+(0.894336-0.106284))+0-0-0</f>
        <v>773.3880519999999</v>
      </c>
      <c r="W330" s="3">
        <f>0+(947-164.6)+(0+(-0.48297--0.083946))+0-0-0</f>
        <v>782.00097599999992</v>
      </c>
      <c r="X330" s="3">
        <f>0+(924.8-69.8)+(0+(-0.471648--0.035598))+0-0-0</f>
        <v>854.56394999999998</v>
      </c>
      <c r="Y330" s="3">
        <f>0+(888.5-37.8)+(0+(-1.81254--0.077112))+0-0-0</f>
        <v>848.96457200000009</v>
      </c>
      <c r="Z330" s="3">
        <f>0+(852.5-17.8)+(0+(-0.434775--0.009078))+0-0-0</f>
        <v>834.27430300000003</v>
      </c>
      <c r="AA330" s="3">
        <f>0+(826.2-18.5)+(0+(1.685448-0.03774))+0-0-0</f>
        <v>809.34770800000001</v>
      </c>
      <c r="AB330" s="3">
        <f>0+(825.4-15.5)+(0+(-0.841908--0.01581))+0-0-0</f>
        <v>809.07390199999998</v>
      </c>
      <c r="AC330" s="3">
        <f>0+(773.5-5.2)+(0+(-1.57794--0.010608))+0-0-0</f>
        <v>766.73266799999999</v>
      </c>
      <c r="AD330">
        <v>858.3</v>
      </c>
      <c r="AE330" s="3">
        <f>0+(923-64.7)+(0+(0-0))+0-0-0</f>
        <v>858.3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0+(745.3-16.2)+(0+(-1.140309--0.024786))+0-0-0</f>
        <v>727.98447699999986</v>
      </c>
      <c r="G331" s="3">
        <f>0+(785.4-72.8)+(0+(-0.801108--0.074256))+0-0-0</f>
        <v>711.87314800000001</v>
      </c>
      <c r="H331" s="3">
        <f>0+(782.4-87.9)+(0+(0.399024-0.044829))+0-0-0</f>
        <v>694.854195</v>
      </c>
      <c r="I331" s="3">
        <f>0+(793.2-112.8)+(0+(0-0))+0-0-0</f>
        <v>680.40000000000009</v>
      </c>
      <c r="J331" s="3">
        <f>0+(800.1-114.2)+(0+(0.408051-0.058242))+0-0-0</f>
        <v>686.24980900000003</v>
      </c>
      <c r="K331" s="3">
        <f>0+(813.4-128.9)+(0+(2.07417-0.328695))+0-0-0</f>
        <v>686.24547500000006</v>
      </c>
      <c r="L331" s="3">
        <f>0+(846.6-145.7)+(0+(-0.431766--0.074307))+0-0-0</f>
        <v>700.54254100000014</v>
      </c>
      <c r="M331" s="3">
        <f>0+(880.1-147.2)+(0+(0-0))+0-0-0</f>
        <v>732.90000000000009</v>
      </c>
      <c r="N331" s="3">
        <f>0+(902.4-118.7)+(0+(0-0))+0-0-0</f>
        <v>783.69999999999993</v>
      </c>
      <c r="O331" s="3">
        <f>0+(859.9-33.9)+(0+(0.438549-0.017289))+0-0-0</f>
        <v>826.42125999999996</v>
      </c>
      <c r="P331" s="3">
        <f>0+(891.2-49.3)+(0+(-0.909024--0.050286))+0-0-0</f>
        <v>841.04126200000007</v>
      </c>
      <c r="Q331" s="3">
        <f>0+(903.7-54.4)+(0+(-1.382661--0.083232))+0-0-0</f>
        <v>848.00057100000004</v>
      </c>
      <c r="R331" s="3">
        <f>0+(881.8-47.4)+(0+(-0.899436--0.048348))+0-0-0</f>
        <v>833.54891199999997</v>
      </c>
      <c r="S331" s="3">
        <f>0+(851.6-50.8)+(0+(1.302948-0.077724))+0-0-0</f>
        <v>802.02522400000009</v>
      </c>
      <c r="T331" s="3">
        <f>0+(870.1-60.9)+(0+(-0.887502--0.062118))+0-0-0</f>
        <v>808.37461600000006</v>
      </c>
      <c r="U331" s="3">
        <f>0+(844.9-43.7)+(0+(0.430899-0.022287))+0-0-0</f>
        <v>801.60861199999988</v>
      </c>
      <c r="V331" s="3">
        <f>0+(820.4-29.8)+(0+(0.418404-0.015198))+0-0-0</f>
        <v>791.00320599999998</v>
      </c>
      <c r="W331" s="3">
        <f>0+(837.8-26.3)+(0+(0.427278-0.013413))+0-0-0</f>
        <v>811.91386499999999</v>
      </c>
      <c r="X331" s="3">
        <f>0+(908.6-22.1)+(0+(0-0))+0-0-0</f>
        <v>886.5</v>
      </c>
      <c r="Y331" s="3">
        <f>0+(914.8-38.7)+(0+(-2.33274--0.098685))+0-0-0</f>
        <v>873.8659449999999</v>
      </c>
      <c r="Z331" s="3">
        <f>0+(887.7-34.8)+(0+(-0.452727--0.017748))+0-0-0</f>
        <v>852.46502100000009</v>
      </c>
      <c r="AA331" s="3">
        <f>0+(864-19.5)+(0+(-1.32192--0.029835))+0-0-0</f>
        <v>843.20791499999996</v>
      </c>
      <c r="AB331" s="3">
        <f>0+(865.5-41.5)+(0+(-0.441405--0.021165))+0-0-0</f>
        <v>823.57975999999996</v>
      </c>
      <c r="AC331" s="3">
        <f>0+(797.3-11.3)+(0+(-2.033115--0.028815))+0-0-0</f>
        <v>783.99570000000006</v>
      </c>
      <c r="AD331">
        <v>867.2</v>
      </c>
      <c r="AE331" s="3">
        <f>0+(912.5-45.3)+(0+(0-0))+0-0-0</f>
        <v>867.2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0+(760.2-16.6)+(0+(-1.550808--0.033864))+0-0-0</f>
        <v>742.08305600000006</v>
      </c>
      <c r="G332" s="3">
        <f>0+(798-83.6)+(0+(0-0))+0-0-0</f>
        <v>714.4</v>
      </c>
      <c r="H332" s="3">
        <f>0+(835.7-138.3)+(0+(-0.426207--0.070533))+0-0-0</f>
        <v>697.04432600000007</v>
      </c>
      <c r="I332" s="3">
        <f>0+(846.6-155)+(0+(0.863532-0.1581))+0-0-0</f>
        <v>692.305432</v>
      </c>
      <c r="J332" s="3">
        <f>0+(838.6-150.5)+(0+(-0.855372--0.15351))+0-0-0</f>
        <v>687.39813800000002</v>
      </c>
      <c r="K332" s="3">
        <f>109.9+(781-207)+(0.056049+(0.39831-0.10557))+0-0-0</f>
        <v>684.24878899999999</v>
      </c>
      <c r="L332" s="3">
        <f>129.6+(780.3-198.8)+(0+(0-0))+0-0-0</f>
        <v>711.1</v>
      </c>
      <c r="M332" s="3">
        <f>130+(790.5-178.2)+(0.0663+(0.403155-0.090882))+0-0-0</f>
        <v>742.67857299999991</v>
      </c>
      <c r="N332" s="3">
        <f>130.5+(800.8-135)+(0.199665+(1.225224-0.20655))+0-0-0</f>
        <v>797.51833899999997</v>
      </c>
      <c r="O332" s="3">
        <f>130.1+(732.8-40)+(0.199053+(1.121184-0.0612))+0-0-0</f>
        <v>824.15903700000001</v>
      </c>
      <c r="P332" s="3">
        <f>130.4+(759.4-53.2)+(0.266016+(1.549176-0.108528))+0-0-0</f>
        <v>838.30666399999996</v>
      </c>
      <c r="Q332" s="3">
        <f>129.4+(797.2-78)+(-0.131988+(-0.813144--0.07956))+0-0-0</f>
        <v>847.73442799999998</v>
      </c>
      <c r="R332" s="3">
        <f>128.3+(792.7-78.6)+(-0.327165+(-2.021385--0.20043))+0-0-0</f>
        <v>840.25188000000014</v>
      </c>
      <c r="S332" s="3">
        <f>128.8+(740.4-53.8)+(0.065688+(0.377604-0.027438))+0-0-0</f>
        <v>815.81585400000006</v>
      </c>
      <c r="T332" s="3">
        <f>127.7+(728.1-44.5)+(0+(0-0))+0-0-0</f>
        <v>811.30000000000007</v>
      </c>
      <c r="U332" s="3">
        <f>125.6+(730.7-40)+(0.128112+(0.745314-0.0408))+0-0-0</f>
        <v>817.13262600000007</v>
      </c>
      <c r="V332" s="3">
        <f>131.1+(732.8-41.9)+(-0.133722+(-0.747456--0.042738))+0-0-0</f>
        <v>821.16156000000001</v>
      </c>
      <c r="W332" s="3">
        <f>129.5+(750.4-45.6)+(-0.13209+(-0.765408--0.046512))+1.7-0-0</f>
        <v>835.14901399999997</v>
      </c>
      <c r="X332" s="3">
        <f>129.8+(784.2-35.1)+(-0.198594+(-1.199826--0.053703))+0-0-0</f>
        <v>877.55528300000014</v>
      </c>
      <c r="Y332" s="3">
        <f>129.2+(783.5-41.9)+(-0.263568+(-1.59834--0.085476))+0-0-0</f>
        <v>869.02356799999995</v>
      </c>
      <c r="Z332" s="3">
        <f>129.8+(769.6-44.9)+(-0.198594+(-1.177488--0.068697))+0-0-0</f>
        <v>853.19261500000005</v>
      </c>
      <c r="AA332" s="3">
        <f>110+(770.5-37.3)+(-0.1683+(-1.178865--0.057069))+0-0-0</f>
        <v>841.9099040000001</v>
      </c>
      <c r="AB332" s="3">
        <f>59.1+(807-47.3)+(-0.060282+(-0.82314--0.048246))+0-0-0</f>
        <v>817.96482400000002</v>
      </c>
      <c r="AC332" s="3">
        <f>0+(803.7-18.9)+(0+(-0.819774--0.019278))+0-0-0</f>
        <v>783.99950400000012</v>
      </c>
      <c r="AD332">
        <v>872.19999999999993</v>
      </c>
      <c r="AE332" s="3">
        <f>129+(790.4-47.2)+(0+(0-0))+0-0-0</f>
        <v>872.19999999999993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0+(765.1-21.9)+(0+(-1.951005--0.055845))+0-0-0</f>
        <v>741.30484000000001</v>
      </c>
      <c r="G333" s="3">
        <f>0+(791-72)+(0+(-1.21023--0.11016))+0-0-0</f>
        <v>717.89993000000004</v>
      </c>
      <c r="H333" s="3">
        <f>0+(818.6-112.8)+(0+(-1.252458--0.172584))+0-0-0</f>
        <v>704.72012600000005</v>
      </c>
      <c r="I333" s="3">
        <f>0+(830.1-128.7)+(0+(-1.693404--0.262548))+0-0-0</f>
        <v>699.96914400000014</v>
      </c>
      <c r="J333" s="3">
        <f>0+(818.3-122.6)+(0+(0.834666-0.125052))+0-0-0</f>
        <v>696.40961399999992</v>
      </c>
      <c r="K333" s="3">
        <f>0+(876.4-179.1)+(0+(0.446964-0.091341))+0-0-0</f>
        <v>697.65562299999999</v>
      </c>
      <c r="L333" s="3">
        <f>0+(906.9-180.7)+(0+(-0.462519--0.092157))+0-0-0</f>
        <v>725.82963800000005</v>
      </c>
      <c r="M333" s="3">
        <f>0+(915.9-171)+(0+(0-0))+0-0-0</f>
        <v>744.9</v>
      </c>
      <c r="N333" s="3">
        <f>0+(827-52.5)+(0+(0.42177-0.026775))+0-0-0</f>
        <v>774.89499499999999</v>
      </c>
      <c r="O333" s="3">
        <f>0+(874.4-58.8)+(0+(-0.445944--0.029988))+0-0-0</f>
        <v>815.18404399999997</v>
      </c>
      <c r="P333" s="3">
        <f>0+(955.2-109.1)+(0+(0-0))+0-0-0</f>
        <v>846.1</v>
      </c>
      <c r="Q333" s="3">
        <f>0+(993.5-138.1)+(0+(-1.01337--0.140862))+0-0-0</f>
        <v>854.52749199999994</v>
      </c>
      <c r="R333" s="3">
        <f>0+(977-141.8)+(0+(-1.99308--0.289272))+0-0-0</f>
        <v>833.49619200000006</v>
      </c>
      <c r="S333" s="3">
        <f>0+(903.6-98.9)+(0+(-1.843344--0.201756))+0-0-0</f>
        <v>803.05841200000009</v>
      </c>
      <c r="T333" s="3">
        <f>0+(869.2-78)+(0+(-0.886584--0.07956))+0-0-0</f>
        <v>790.39297600000009</v>
      </c>
      <c r="U333" s="3">
        <f>0+(842.7-64)+(0+(-1.719108--0.13056))+0-0-0</f>
        <v>777.1114520000001</v>
      </c>
      <c r="V333" s="3">
        <f>0+(852-65.5)+(0+(-0.43452--0.033405))+0-0-0</f>
        <v>786.098885</v>
      </c>
      <c r="W333" s="3">
        <f>0+(836.5-46.5)+(0+(-1.279845--0.071145))+0-0-0</f>
        <v>788.79129999999998</v>
      </c>
      <c r="X333" s="3">
        <f>0+(856.1-31.8)+(0+(-0.873222--0.032436))+0-0-0</f>
        <v>823.45921400000009</v>
      </c>
      <c r="Y333" s="3">
        <f>0+(876.3-41.8)+(0+(-0.893826--0.042636))+0-0-0</f>
        <v>833.64881000000003</v>
      </c>
      <c r="Z333" s="3">
        <f>0+(858.6-32.1)+(0+(-1.313658--0.049113))+0-0-0</f>
        <v>825.235455</v>
      </c>
      <c r="AA333" s="3">
        <f>0+(825.7-21.2)+(0+(-0.842214--0.021624))+0-0-0</f>
        <v>803.67940999999996</v>
      </c>
      <c r="AB333" s="3">
        <f>0+(819.4-25.9)+(0+(-1.253682--0.039627))+0-0-0</f>
        <v>792.28594499999997</v>
      </c>
      <c r="AC333" s="3">
        <f>0+(816.2-38.6)+(0+(0-0))+0-0-0</f>
        <v>777.6</v>
      </c>
      <c r="AD333">
        <v>839</v>
      </c>
      <c r="AE333" s="3">
        <f>0+(890.4-51.4)+(0+(0-0))+0-0-0</f>
        <v>839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0+(749.4-17)+(0+(-0.764388--0.01734))+0-0-0</f>
        <v>731.65295200000003</v>
      </c>
      <c r="G334" s="3">
        <f>0+(730.9-25.6)+(0+(-0.372759--0.013056))+0-0-0</f>
        <v>704.94029699999999</v>
      </c>
      <c r="H334" s="3">
        <f>0+(748.8-64.3)+(0+(0-0))+0-0-0</f>
        <v>684.5</v>
      </c>
      <c r="I334" s="3">
        <f>0+(759.1-90.9)+(0+(-0.774282--0.092718))+0-0-0</f>
        <v>667.51843600000007</v>
      </c>
      <c r="J334" s="3">
        <f>0+(747.2-87.5)+(0+(1.90536-0.223125))+0-0-0</f>
        <v>661.38223500000004</v>
      </c>
      <c r="K334" s="3">
        <f>0+(713.7-68.1)+(0+(0.363987-0.034731))+0-0-0</f>
        <v>645.92925600000001</v>
      </c>
      <c r="L334" s="3">
        <f>0+(701-71.3)+(0+(-0.71502--0.072726))+0-0-0</f>
        <v>629.05770600000005</v>
      </c>
      <c r="M334" s="3">
        <f>0+(709.9-96.1)+(0+(0.362049-0.049011))+0-0-0</f>
        <v>614.11303799999996</v>
      </c>
      <c r="N334" s="3">
        <f>0+(742.7-109.3)+(0+(0-0))+0-0-0</f>
        <v>633.40000000000009</v>
      </c>
      <c r="O334" s="3">
        <f>0+(711.3-44.2)+(0+(-0.362763--0.022542))+0-0-0</f>
        <v>666.75977899999987</v>
      </c>
      <c r="P334" s="3">
        <f>0+(729.5-34.9)+(0+(-0.372045--0.017799))+0-0-0</f>
        <v>694.24575400000003</v>
      </c>
      <c r="Q334" s="3">
        <f>0+(748.8-41.6)+(0+(-1.527552--0.084864))+0-0-0</f>
        <v>705.75731199999996</v>
      </c>
      <c r="R334" s="3">
        <f>0+(744.1-52.8)+(0+(-1.138473--0.080784))+0-0-0</f>
        <v>690.24231100000009</v>
      </c>
      <c r="S334" s="3">
        <f>0+(726.3-52.2)+(0+(-1.111239--0.079866))+0-0-0</f>
        <v>673.06862699999988</v>
      </c>
      <c r="T334" s="3">
        <f>0+(717.2-39.3)+(0+(-1.463088--0.080172))+0-0-0</f>
        <v>676.51708400000007</v>
      </c>
      <c r="U334" s="3">
        <f>0+(691-31.9)+(0+(-0.35241--0.016269))+0-0-0</f>
        <v>658.76385900000002</v>
      </c>
      <c r="V334" s="3">
        <f>0+(693.6-32.6)+(0+(-0.353736--0.016626))+0-0-0</f>
        <v>660.66288999999995</v>
      </c>
      <c r="W334" s="3">
        <f>0+(701.9-34.6)+(0+(-0.715938--0.035292))+0-0-0</f>
        <v>666.61935399999993</v>
      </c>
      <c r="X334" s="3">
        <f>0+(783.7-23.4)+(0+(0-0))+0-0-0</f>
        <v>760.30000000000007</v>
      </c>
      <c r="Y334" s="3">
        <f>0+(789.6-20.8)+(0+(0.402696-0.010608))+0-0-0</f>
        <v>769.19208800000001</v>
      </c>
      <c r="Z334" s="3">
        <f>0+(775.5-23.4)+(0+(-0.79101--0.023868))+0-0-0</f>
        <v>751.33285799999999</v>
      </c>
      <c r="AA334" s="3">
        <f>0+(760.3-21.8)+(0+(-1.938765--0.05559))+0-0-0</f>
        <v>736.61682499999995</v>
      </c>
      <c r="AB334" s="3">
        <f>0+(780.2-26.3)+(0+(-0.795804--0.026826))+0-0-0</f>
        <v>753.13102200000014</v>
      </c>
      <c r="AC334" s="3">
        <f>0+(698.3-14.5)+(0+(-1.424532--0.02958))+0-0-0</f>
        <v>682.40504799999997</v>
      </c>
      <c r="AD334">
        <v>786.40000000000009</v>
      </c>
      <c r="AE334" s="3">
        <f>0+(807.2-20.8)+(0+(0-0))+0-0-0</f>
        <v>786.40000000000009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0+(689.3-28.6)+(0+(-1.757715--0.07293))+0-0-0</f>
        <v>659.0152149999999</v>
      </c>
      <c r="G335" s="3">
        <f>0+(732.5-100.2)+(0+(-1.867875--0.25551))+0-0-0</f>
        <v>630.687635</v>
      </c>
      <c r="H335" s="3">
        <f>0+(731.4-118.9)+(0+(-1.492056--0.242556))+0-0-0</f>
        <v>611.25049999999999</v>
      </c>
      <c r="I335" s="3">
        <f>0+(695.5-89.5)+(0+(-1.41882--0.18258))+0-0-0</f>
        <v>604.76376000000005</v>
      </c>
      <c r="J335" s="3">
        <f>0+(703-89.2)+(0+(0.35853-0.045492))+0-0-0</f>
        <v>614.11303799999996</v>
      </c>
      <c r="K335" s="3">
        <f>0+(713.1-93.8)+(0+(1.454724-0.191352))+0-0-0</f>
        <v>620.56337200000007</v>
      </c>
      <c r="L335" s="3">
        <f>0+(780.4-116.7)+(0+(-1.99002--0.297585))+0-0-0</f>
        <v>662.00756499999989</v>
      </c>
      <c r="M335" s="3">
        <f>0+(757.8-45.9)+(0+(0.772956-0.046818))+0-0-0</f>
        <v>712.62613799999997</v>
      </c>
      <c r="N335" s="3">
        <f>0+(821.6-38.8)+(0+(0-0))+0-0-0</f>
        <v>782.80000000000007</v>
      </c>
      <c r="O335" s="3">
        <f>0+(856.3-37.3)+(0+(-0.436713--0.019023))+0-0-0</f>
        <v>818.58231000000001</v>
      </c>
      <c r="P335" s="3">
        <f>0+(876.2-39.5)+(0+(-2.23431--0.100725))+0-0-0</f>
        <v>834.56641500000001</v>
      </c>
      <c r="Q335" s="3">
        <f>0+(889.8-42.4)+(0+(0.907596-0.043248))+0-0-0</f>
        <v>848.26434799999993</v>
      </c>
      <c r="R335" s="3">
        <f>0+(873.5-45.5)+(0+(-2.227425--0.116025))+0-0-0</f>
        <v>825.8886</v>
      </c>
      <c r="S335" s="3">
        <f>0+(868.3-52.1)+(0+(-2.214165--0.132855))+0-0-0</f>
        <v>814.1186899999999</v>
      </c>
      <c r="T335" s="3">
        <f>0+(865.5-48.1)+(0+(-0.441405--0.024531))+0-0-0</f>
        <v>816.98312599999997</v>
      </c>
      <c r="U335" s="3">
        <f>0+(857.9-42.3)+(0+(0-0))+0-0-0</f>
        <v>815.6</v>
      </c>
      <c r="V335" s="3">
        <f>0+(862.6-38.4)+(0+(-0.879852--0.039168))+0-0-0</f>
        <v>823.35931600000004</v>
      </c>
      <c r="W335" s="3">
        <f>0+(865.7-36.6)+(0+(0.441507-0.018666))+0-0-0</f>
        <v>829.52284099999997</v>
      </c>
      <c r="X335" s="3">
        <f>0+(912.7-26)+(0+(-0.465477--0.01326))+0-0-0</f>
        <v>886.24778300000003</v>
      </c>
      <c r="Y335" s="3">
        <f>0+(906.1-16.3)+(0+(-0.462111--0.008313))+0-0-0</f>
        <v>889.34620200000006</v>
      </c>
      <c r="Z335" s="3">
        <f>0+(865.2-7.8)+(0+(-1.765008--0.015912))+0-0-0</f>
        <v>855.65090400000008</v>
      </c>
      <c r="AA335" s="3">
        <f>0+(841-10.5)+(0+(0.42891-0.005355))+0-0-0</f>
        <v>830.92355499999996</v>
      </c>
      <c r="AB335" s="3">
        <f>0+(817.4-10.2)+(0+(-1.667496--0.020808))+0-0-0</f>
        <v>805.55331199999989</v>
      </c>
      <c r="AC335" s="3">
        <f>0+(795.7-22.4)+(0+(-2.029035--0.05712))+0-0-0</f>
        <v>771.3280850000001</v>
      </c>
      <c r="AD335">
        <v>894.80000000000007</v>
      </c>
      <c r="AE335" s="3">
        <f>0+(931.7-36.9)+(0+(0-0))+0-0-0</f>
        <v>894.80000000000007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0+(774.4-59.2)+(0+(-1.184832--0.090576))+0-0-0</f>
        <v>714.10574399999996</v>
      </c>
      <c r="G336" s="3">
        <f>0+(776.8-60.7)+(0+(-1.584672--0.123828))+0-0-0</f>
        <v>714.63915599999996</v>
      </c>
      <c r="H336" s="3">
        <f>0+(786.7-80.8)+(0+(0.802434-0.082416))+0-0-0</f>
        <v>706.62001800000007</v>
      </c>
      <c r="I336" s="3">
        <f>0+(777.5-79.5)+(0+(-1.189575--0.121635))+0-0-0</f>
        <v>696.93205999999998</v>
      </c>
      <c r="J336" s="3">
        <f>0+(770.5-74.1)+(0+(-0.392955--0.037791))+0-0-0</f>
        <v>696.04483600000003</v>
      </c>
      <c r="K336" s="3">
        <f>0+(779.1-91)+(0+(0.794682-0.09282))+0-0-0</f>
        <v>688.80186200000003</v>
      </c>
      <c r="L336" s="3">
        <f>0+(862-155.1)+(0+(0.43962-0.079101))+0-0-0</f>
        <v>707.26051899999993</v>
      </c>
      <c r="M336" s="3">
        <f>0+(895-154.3)+(0+(0.45645-0.078693))+0-0-0</f>
        <v>741.07775700000002</v>
      </c>
      <c r="N336" s="3">
        <f>0+(878.6-87.3)+(0+(-0.448086--0.044523))+0-0-0</f>
        <v>790.89643700000011</v>
      </c>
      <c r="O336" s="3">
        <f>0+(910.3-75)+(0+(-0.464253--0.03825))+0-0-0</f>
        <v>834.87399699999992</v>
      </c>
      <c r="P336" s="3">
        <f>0+(881.2-36.3)+(0+(0.449412-0.018513))+0-0-0</f>
        <v>845.33089900000004</v>
      </c>
      <c r="Q336" s="3">
        <f>0+(888.6-36.6)+(0+(-0.906372--0.037332))+0-0-0</f>
        <v>851.13095999999996</v>
      </c>
      <c r="R336" s="3">
        <f>0+(857.2-32.6)+(0+(-1.748688--0.066504))+0-0-0</f>
        <v>822.91781600000002</v>
      </c>
      <c r="S336" s="3">
        <f>0+(844.8-36.8)+(0+(-1.292544--0.056304))+0-0-0</f>
        <v>806.76376000000005</v>
      </c>
      <c r="T336" s="3">
        <f>0+(853.8-50.4)+(0+(0.435438-0.025704))+0-0-0</f>
        <v>803.80973399999993</v>
      </c>
      <c r="U336" s="3">
        <f>0+(851.3-49.1)+(0+(-1.736652--0.100164))+0-0-0</f>
        <v>800.56351199999995</v>
      </c>
      <c r="V336" s="3">
        <f>0+(856.9-50)+(0+(0-0))+0-0-0</f>
        <v>806.9</v>
      </c>
      <c r="W336" s="3">
        <f>0+(915.3-100.4)+(0+(-0.466803--0.051204))+0-0-0</f>
        <v>814.48440099999993</v>
      </c>
      <c r="X336" s="3">
        <f>0+(921-43.6)+(0+(-0.46971--0.022236))+0-0-0</f>
        <v>876.95252599999992</v>
      </c>
      <c r="Y336" s="3">
        <f>0+(913.2-33.6)+(0+(-1.397196--0.051408))+0-0-0</f>
        <v>878.25421200000005</v>
      </c>
      <c r="Z336" s="3">
        <f>0+(892.5-31.9)+(0+(-2.275875--0.081345))+0-0-0</f>
        <v>858.40547000000004</v>
      </c>
      <c r="AA336" s="3">
        <f>0+(863.1-27.5)+(0+(0.440181-0.014025))+0-0-0</f>
        <v>836.02615600000001</v>
      </c>
      <c r="AB336" s="3">
        <f>0+(841.1-24.7)+(0+(-1.715844--0.050388))+0-0-0</f>
        <v>814.73454400000003</v>
      </c>
      <c r="AC336" s="3">
        <f>0+(805.3-22.2)+(0+(-1.642812--0.045288))+0-0-0</f>
        <v>781.50247599999989</v>
      </c>
      <c r="AD336">
        <v>875.3</v>
      </c>
      <c r="AE336" s="3">
        <f>0+(920-44.7)+(0+(0-0))+0-0-0</f>
        <v>875.3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0+(797.8-56.1)+(0+(-1.627512--0.114444))+0-0-0</f>
        <v>740.18693199999996</v>
      </c>
      <c r="G337" s="3">
        <f>0+(808-92.7)+(0+(-1.23624--0.141831))+0-0-0</f>
        <v>714.20559099999991</v>
      </c>
      <c r="H337" s="3">
        <f>0+(797.1-92.9)+(0+(-0.813042--0.094758))+0-0-0</f>
        <v>703.48171600000001</v>
      </c>
      <c r="I337" s="3">
        <f>0+(786.5-92.5)+(0+(-0.80223--0.09435))+0-0-0</f>
        <v>693.29211999999995</v>
      </c>
      <c r="J337" s="3">
        <f>0+(791.9-103.4)+(0+(0.807738-0.105468))+0-0-0</f>
        <v>689.20227</v>
      </c>
      <c r="K337" s="3">
        <f>0+(811.7-116.1)+(0+(1.241901-0.177633))+0-0-0</f>
        <v>696.66426799999999</v>
      </c>
      <c r="L337" s="3">
        <f>0+(888.1-173.9)+(0+(0.905862-0.177378))+0-0-0</f>
        <v>714.92848400000003</v>
      </c>
      <c r="M337" s="3">
        <f>0+(870.3-119.5)+(0+(-0.443853--0.060945))+0-0-0</f>
        <v>750.41709199999991</v>
      </c>
      <c r="N337" s="3">
        <f>0+(846.9-60)+(0+(1.295757-0.0918))+0-0-0</f>
        <v>788.10395699999992</v>
      </c>
      <c r="O337" s="3">
        <f>0+(870-31.6)+(0+(0.8874-0.032232))+0-0-0</f>
        <v>839.25516800000003</v>
      </c>
      <c r="P337" s="3">
        <f>0+(893.4-37.7)+(0+(0.911268-0.038454))+0-0-0</f>
        <v>856.57281399999988</v>
      </c>
      <c r="Q337" s="3">
        <f>0+(904.4-45.3)+(0+(-0.461244--0.023103))+0-0-0</f>
        <v>858.66185900000005</v>
      </c>
      <c r="R337" s="3">
        <f>0+(885.8-42)+(0+(-1.355274--0.06426))+0-0-0</f>
        <v>842.50898599999994</v>
      </c>
      <c r="S337" s="3">
        <f>0+(863.2-39.9)+(0+(0.440232-0.020349))+0-0-0</f>
        <v>823.7198830000001</v>
      </c>
      <c r="T337" s="3">
        <f>0+(866.6-45.5)+(0+(-0.441966--0.023205))+0-0-0</f>
        <v>820.68123900000001</v>
      </c>
      <c r="U337" s="3">
        <f>0+(860.4-51.2)+(0+(-1.755216--0.104448))+0-0-0</f>
        <v>807.54923199999996</v>
      </c>
      <c r="V337" s="3">
        <f>0+(861.8-60.3)+(0+(0.439518-0.030753))+0-0-0</f>
        <v>801.90876500000002</v>
      </c>
      <c r="W337" s="3">
        <f>0+(867.1-58.4)+(0+(0-0))+0-0-0</f>
        <v>808.7</v>
      </c>
      <c r="X337" s="3">
        <f>0+(931.9-50.1)+(0+(-0.950538--0.051102))+0-0-0</f>
        <v>880.90056399999992</v>
      </c>
      <c r="Y337" s="3">
        <f>0+(947.5-61)+(0+(-3.382575--0.21777))+0-0-0</f>
        <v>883.335195</v>
      </c>
      <c r="Z337" s="3">
        <f>0+(914.5-48.4)+(0+(-1.86558--0.098736))+0-0-0</f>
        <v>864.33315600000003</v>
      </c>
      <c r="AA337" s="3">
        <f>0+(858.9-21.4)+(0+(-2.628234--0.065484))+0-0-0</f>
        <v>834.93724999999995</v>
      </c>
      <c r="AB337" s="3">
        <f>0+(855.5-33.7)+(0+(-0.87261--0.034374))+0-0-0</f>
        <v>820.9617639999999</v>
      </c>
      <c r="AC337" s="3">
        <f>0+(813.5-27.6)+(0+(-1.65954--0.056304))+0-0-0</f>
        <v>784.29676399999994</v>
      </c>
      <c r="AD337">
        <v>893.09999999999991</v>
      </c>
      <c r="AE337" s="3">
        <f>0+(959.3-66.2)+(0+(0-0))+0-0-0</f>
        <v>893.09999999999991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0+(756.1-19.9)+(0+(-1.156833--0.030447))+0-0-0</f>
        <v>735.07361400000002</v>
      </c>
      <c r="G338" s="3">
        <f>0+(775.7-60.6)+(0+(-0.395607--0.030906))+0-0-0</f>
        <v>714.73529900000005</v>
      </c>
      <c r="H338" s="3">
        <f>0+(801.4-100.5)+(0+(-2.04357--0.256275))+0-0-0</f>
        <v>699.11270500000001</v>
      </c>
      <c r="I338" s="3">
        <f>0+(795.7-104.7)+(0+(-0.811614--0.106794))+0-0-0</f>
        <v>690.29517999999996</v>
      </c>
      <c r="J338" s="3">
        <f>0+(788-101.2)+(0+(-1.60752--0.206448))+0-0-0</f>
        <v>685.39892799999996</v>
      </c>
      <c r="K338" s="3">
        <f>0+(789.3-100.2)+(0+(0-0))+0-0-0</f>
        <v>689.09999999999991</v>
      </c>
      <c r="L338" s="3">
        <f>0+(868.4-158.4)+(0+(-1.771536--0.323136))+0-0-0</f>
        <v>708.55160000000001</v>
      </c>
      <c r="M338" s="3">
        <f>0+(879.8-138.6)+(0+(-0.448698--0.070686))+0-0-0</f>
        <v>740.82198799999992</v>
      </c>
      <c r="N338" s="3">
        <f>0+(880.6-86)+(0+(1.796424-0.17544))+0-0-0</f>
        <v>796.22098400000004</v>
      </c>
      <c r="O338" s="3">
        <f>0+(860.7-26.6)+(0+(0.438957-0.013566))+0-0-0</f>
        <v>834.52539100000001</v>
      </c>
      <c r="P338" s="3">
        <f>0+(854.1-4.2)+(0+(0-0))+0-0-0</f>
        <v>849.9</v>
      </c>
      <c r="Q338" s="3">
        <f>0+(856-2.3)+(0+(-1.74624--0.004692))+0-0-0</f>
        <v>851.95845200000008</v>
      </c>
      <c r="R338" s="3">
        <f>0+(854.2-3.2)+(0+(-2.17821--0.00816))+0-0-0</f>
        <v>848.82995000000005</v>
      </c>
      <c r="S338" s="3">
        <f>0+(826.8-5.3)+(0+(-1.265004--0.008109))+0-0-0</f>
        <v>820.24310500000001</v>
      </c>
      <c r="T338" s="3">
        <f>0+(840.4-16.1)+(0+(-1.285812--0.024633))+0-0-0</f>
        <v>823.03882099999998</v>
      </c>
      <c r="U338" s="3">
        <f>0+(861.5-40.9)+(0+(-1.318095--0.062577))+0-0-0</f>
        <v>819.34448199999997</v>
      </c>
      <c r="V338" s="3">
        <f>0+(853.5-48.4)+(0+(0.87057-0.049368))+0-0-0</f>
        <v>805.92120199999999</v>
      </c>
      <c r="W338" s="3">
        <f>0+(857.9-45.4)+(0+(0.437529-0.023154))+0-0-0</f>
        <v>812.91437499999995</v>
      </c>
      <c r="X338" s="3">
        <f>0+(904.7-23.7)+(0+(0-0))+0-0-0</f>
        <v>881</v>
      </c>
      <c r="Y338" s="3">
        <f>0+(915.5-34.5)+(0+(-2.334525--0.087975))+0-0-0</f>
        <v>878.75345000000004</v>
      </c>
      <c r="Z338" s="3">
        <f>0+(873.9-15.7)+(0+(0-0))+0-0-0</f>
        <v>858.19999999999993</v>
      </c>
      <c r="AA338" s="3">
        <f>0+(846.7-3.4)+(0+(-1.295451--0.005202))+0-0-0</f>
        <v>842.00975100000005</v>
      </c>
      <c r="AB338" s="3">
        <f>0+(827.8-5.5)+(0+(-1.266534--0.008415))+0-0-0</f>
        <v>821.04188099999999</v>
      </c>
      <c r="AC338" s="3">
        <f>0+(798.9-14.1)+(0+(-0.814878--0.014382))+0-0-0</f>
        <v>783.999504</v>
      </c>
      <c r="AD338">
        <v>869.5</v>
      </c>
      <c r="AE338" s="3">
        <f>0+(918.8-49.3)+(0+(0-0))+0-0-0</f>
        <v>869.5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0+(828.2-84.6)+(0+(-1.267146--0.129438))+0-0-0</f>
        <v>742.46229200000005</v>
      </c>
      <c r="G339" s="3">
        <f>0+(837-117.1)+(0+(0-0))+0-0-0</f>
        <v>719.9</v>
      </c>
      <c r="H339" s="3">
        <f>0+(789.5-89.2)+(0+(-1.207935--0.136476))+0-0-0</f>
        <v>699.22854099999995</v>
      </c>
      <c r="I339" s="3">
        <f>0+(791.5-96.5)+(0+(0.403665-0.049215))+0-0-0</f>
        <v>695.35445000000004</v>
      </c>
      <c r="J339" s="3">
        <f>0+(783.3-85.3)+(0+(-0.399483--0.043503))+0-0-0</f>
        <v>697.64401999999995</v>
      </c>
      <c r="K339" s="3">
        <f>0+(762.6-69)+(0+(1.166778-0.10557))+0-0-0</f>
        <v>694.66120799999999</v>
      </c>
      <c r="L339" s="3">
        <f>0+(794.1-80)+(0+(-0.404991--0.0408))+0-0-0</f>
        <v>713.73580900000002</v>
      </c>
      <c r="M339" s="3">
        <f>0+(856.2-109.3)+(0+(0.436662-0.055743))+0-0-0</f>
        <v>747.28091900000004</v>
      </c>
      <c r="N339" s="3">
        <f>0+(888.3-91.5)+(0+(-0.453033--0.046665))+0-0-0</f>
        <v>796.39363199999991</v>
      </c>
      <c r="O339" s="3">
        <f>0+(866.8-31.8)+(0+(-0.442068--0.016218))+0-0-0</f>
        <v>834.57415000000003</v>
      </c>
      <c r="P339" s="3">
        <f>0+(881.3-30.2)+(0+(0-0))+0-0-0</f>
        <v>851.09999999999991</v>
      </c>
      <c r="Q339" s="3">
        <f>0+(881.4-30.4)+(0+(-0.899028--0.031008))+0-0-0</f>
        <v>850.13198</v>
      </c>
      <c r="R339" s="3">
        <f>0+(804.3-22.3)+(0+(-1.640772--0.045492))+0-0-0</f>
        <v>780.40472</v>
      </c>
      <c r="S339" s="3">
        <f>0+(812-16.7)+(0+(-1.24236--0.025551))+0-0-0</f>
        <v>794.08319099999994</v>
      </c>
      <c r="T339" s="3">
        <f>0+(823.8-24.4)+(0+(-1.680552--0.049776))+0-0-0</f>
        <v>797.76922400000001</v>
      </c>
      <c r="U339" s="3">
        <f>0+(823.7-25.1)+(0+(-1.260261--0.038403))+0-0-0</f>
        <v>797.37814200000003</v>
      </c>
      <c r="V339" s="3">
        <f>0+(822.7-25.2)+(0+(-0.839154--0.025704))+0-0-0</f>
        <v>796.68655000000001</v>
      </c>
      <c r="W339" s="3">
        <f>0+(829.2-28.4)+(0+(-0.845784--0.028968))+0-0-0</f>
        <v>799.98318400000005</v>
      </c>
      <c r="X339" s="3">
        <f>0+(899.2-21.5)+(0+(-1.375776--0.032895))+0-0-0</f>
        <v>876.35711900000001</v>
      </c>
      <c r="Y339" s="3">
        <f>0+(900.1-24.5)+(0+(-0.918102--0.02499))+0-0-0</f>
        <v>874.70688800000005</v>
      </c>
      <c r="Z339" s="3">
        <f>0+(853.7-8.4)+(0+(-2.612322--0.025704))+0-0-0</f>
        <v>842.71338200000002</v>
      </c>
      <c r="AA339" s="3">
        <f>0+(833.2-4.5)+(0+(-0.849864--0.00459))+0-0-0</f>
        <v>827.85472600000003</v>
      </c>
      <c r="AB339" s="3">
        <f>0+(817.6-5.1)+(0+(-2.08488--0.013005))+0-0-0</f>
        <v>810.42812500000002</v>
      </c>
      <c r="AC339" s="3">
        <f>0+(806.4-13.9)+(0+(-1.645056--0.028356))+0-0-0</f>
        <v>790.88329999999996</v>
      </c>
      <c r="AD339">
        <v>882.9</v>
      </c>
      <c r="AE339" s="3">
        <f>0+(920.9-38)+(0+(0-0))+0-0-0</f>
        <v>882.9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0+(787.7-31.6)+(0+(-0.803454--0.032232))+0-0-0</f>
        <v>755.32877800000006</v>
      </c>
      <c r="G340" s="3">
        <f>0+(758.4-37.1)+(0+(0-0))+0-0-0</f>
        <v>721.3</v>
      </c>
      <c r="H340" s="3">
        <f>0+(752.1-45.8)+(0+(-0.383571--0.023358))+0-0-0</f>
        <v>705.93978700000002</v>
      </c>
      <c r="I340" s="3">
        <f>0+(728.9-27.4)+(0+(1.486956-0.055896))+0-0-0</f>
        <v>702.93106</v>
      </c>
      <c r="J340" s="3">
        <f>0+(737.3-37.1)+(0+(1.128069-0.056763))+0-0-0</f>
        <v>701.27130599999998</v>
      </c>
      <c r="K340" s="3">
        <f>0+(767.7-75.3)+(0+(1.957635-0.192015))+0-0-0</f>
        <v>694.1656200000001</v>
      </c>
      <c r="L340" s="3">
        <f>0+(803-97.5)+(0+(-0.40953--0.049725))+0-0-0</f>
        <v>705.14019499999995</v>
      </c>
      <c r="M340" s="3">
        <f>0+(802.4-89.2)+(0+(0-0))+0-0-0</f>
        <v>713.19999999999993</v>
      </c>
      <c r="N340" s="3">
        <f>0+(796.9-33.3)+(0+(1.625676-0.067932))+0-0-0</f>
        <v>765.15774399999998</v>
      </c>
      <c r="O340" s="3">
        <f>0+(876.9-58.9)+(0+(0.894438-0.060078))+0-0-0</f>
        <v>818.83435999999995</v>
      </c>
      <c r="P340" s="3">
        <f>0+(901-59.9)+(0+(0-0))+0-0-0</f>
        <v>841.1</v>
      </c>
      <c r="Q340" s="3">
        <f>0+(881.7-40.5)+(0+(1.349001-0.061965))+0-0-0</f>
        <v>842.48703599999999</v>
      </c>
      <c r="R340" s="3">
        <f>0+(867.6-32.3)+(0+(-2.654856--0.098838))+0-0-0</f>
        <v>832.74398200000007</v>
      </c>
      <c r="S340" s="3">
        <f>0+(830.7-35.7)+(0+(-2.541942--0.109242))+0-0-0</f>
        <v>792.56730000000005</v>
      </c>
      <c r="T340" s="3">
        <f>0+(835.8-41)+(0+(-0.852516--0.04182))+0-0-0</f>
        <v>793.98930399999995</v>
      </c>
      <c r="U340" s="3">
        <f>0+(852.6-63.7)+(0+(-2.17413--0.162435))+0-0-0</f>
        <v>786.88830499999995</v>
      </c>
      <c r="V340" s="3">
        <f>0+(842.4-62.4)+(0+(-0.859248--0.063648))+0-0-0</f>
        <v>779.20439999999996</v>
      </c>
      <c r="W340" s="3">
        <f>0+(827.2-42.1)+(0+(0-0))+0-0-0</f>
        <v>785.1</v>
      </c>
      <c r="X340" s="3">
        <f>0+(882-32.3)+(0+(0-0))+0-0-0</f>
        <v>849.7</v>
      </c>
      <c r="Y340" s="3">
        <f>0+(875.5-22.9)+(0+(-0.89301--0.023358))+0-0-0</f>
        <v>851.73034800000005</v>
      </c>
      <c r="Z340" s="3">
        <f>0+(856.8-18.8)+(0+(-1.747872--0.038352))+0-0-0</f>
        <v>836.29048</v>
      </c>
      <c r="AA340" s="3">
        <f>0+(844.7-24)+(0+(0-0))+0-0-0</f>
        <v>820.7</v>
      </c>
      <c r="AB340" s="3">
        <f>0+(856.3-44.5)+(0+(-1.746852--0.09078))+0-0-0</f>
        <v>810.14392799999996</v>
      </c>
      <c r="AC340" s="3">
        <f>0+(952.1-153.9)+(0+(-0.971142--0.156978))+0-0-0</f>
        <v>797.38583600000004</v>
      </c>
      <c r="AD340">
        <v>842.4</v>
      </c>
      <c r="AE340" s="3">
        <f>0+(875.5-33.1)+(0+(0-0))+0-0-0</f>
        <v>842.4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0+(901-140.8)+(0+(-0.91902--0.143616))+0-0-0</f>
        <v>759.42459600000007</v>
      </c>
      <c r="G341" s="3">
        <f>0+(870.3-141.2)+(0+(-0.443853--0.072012))+0-0-0</f>
        <v>728.72815899999989</v>
      </c>
      <c r="H341" s="3">
        <f>0+(844.6-131.5)+(0+(1.292238-0.201195))+0-0-0</f>
        <v>714.19104300000004</v>
      </c>
      <c r="I341" s="3">
        <f>0+(814.8-107.1)+(0+(-1.246644--0.163863))+0-0-0</f>
        <v>706.61721899999998</v>
      </c>
      <c r="J341" s="3">
        <f>0+(758-66.1)+(0+(-0.38658--0.033711))+0-0-0</f>
        <v>691.54713099999992</v>
      </c>
      <c r="K341" s="3">
        <f>0+(748.1-75.2)+(0+(0-0))+0-0-0</f>
        <v>672.9</v>
      </c>
      <c r="L341" s="3">
        <f>0+(755.6-101.1)+(0+(-1.541424--0.206244))+0-0-0</f>
        <v>653.16481999999996</v>
      </c>
      <c r="M341" s="3">
        <f>0+(744.7-102.9)+(0+(-0.379797--0.052479))+0-0-0</f>
        <v>641.47268200000008</v>
      </c>
      <c r="N341" s="3">
        <f>0+(733.7-77.4)+(0+(-0.374187--0.039474))+0-0-0</f>
        <v>655.9652870000001</v>
      </c>
      <c r="O341" s="3">
        <f>0+(723.7-33.8)+(0+(0-0))+0-0-0</f>
        <v>689.90000000000009</v>
      </c>
      <c r="P341" s="3">
        <f>0+(744.2-35.6)+(0+(0.379542-0.018156))+0-0-0</f>
        <v>708.96138600000006</v>
      </c>
      <c r="Q341" s="3">
        <f>0+(737.1-26.4)+(0+(-1.503684--0.053856))+0-0-0</f>
        <v>709.25017200000002</v>
      </c>
      <c r="R341" s="3">
        <f>0+(727.1-28.1)+(0+(-1.112463--0.042993))+0-0-0</f>
        <v>697.93052999999998</v>
      </c>
      <c r="S341" s="3">
        <f>0+(710.1-35.5)+(0+(-1.086453--0.054315))+0-0-0</f>
        <v>673.56786199999999</v>
      </c>
      <c r="T341" s="3">
        <f>0+(734.3-63.1)+(0+(-1.123479--0.096543))+0-0-0</f>
        <v>670.17306399999995</v>
      </c>
      <c r="U341" s="3">
        <f>0+(725.1-54.9)+(0+(-0.739602--0.055998))+0-0-0</f>
        <v>669.5163960000001</v>
      </c>
      <c r="V341" s="3">
        <f>0+(723.1-55.5)+(0+(0-0))+0-0-0</f>
        <v>667.6</v>
      </c>
      <c r="W341" s="3">
        <f>0+(718.1-35.8)+(0+(-0.732462--0.036516))+0-0-0</f>
        <v>681.60405400000002</v>
      </c>
      <c r="X341" s="3">
        <f>0+(800.3-39.9)+(0+(0-0))+0-0-0</f>
        <v>760.4</v>
      </c>
      <c r="Y341" s="3">
        <f>0+(808.8-35.3)+(0+(0-0))+0-0-0</f>
        <v>773.5</v>
      </c>
      <c r="Z341" s="3">
        <f>0+(798.3-33.1)+(0+(-0.407133--0.016881))+0-0-0</f>
        <v>764.8097479999999</v>
      </c>
      <c r="AA341" s="3">
        <f>0+(788.2-34.2)+(0+(0-0))+0-0-0</f>
        <v>754</v>
      </c>
      <c r="AB341" s="3">
        <f>0+(776.3-33)+(0+(-1.979565--0.08415))+0-0-0</f>
        <v>741.404585</v>
      </c>
      <c r="AC341" s="3">
        <f>0+(766.2-49.6)+(0+(-1.563048--0.101184))+0-0-0</f>
        <v>715.13813600000003</v>
      </c>
      <c r="AD341">
        <v>762</v>
      </c>
      <c r="AE341" s="3">
        <f>0+(804.1-42.1)+(0+(0-0))+0-0-0</f>
        <v>762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0+(743.3-62.1)+(0+(0-0))+0-0-0</f>
        <v>681.19999999999993</v>
      </c>
      <c r="G342" s="3">
        <f>0+(699.6-54)+(0+(0.356796-0.02754))+0-0-0</f>
        <v>645.92925600000001</v>
      </c>
      <c r="H342" s="3">
        <f>0+(701.7-64.4)+(0+(0-0))+0-0-0</f>
        <v>637.30000000000007</v>
      </c>
      <c r="I342" s="3">
        <f>0+(693.7-57.4)+(0+(-0.353787--0.029274))+0-0-0</f>
        <v>635.97548700000004</v>
      </c>
      <c r="J342" s="3">
        <f>0+(700.7-60.9)+(0+(-0.357357--0.031059))+0-0-0</f>
        <v>639.47370200000012</v>
      </c>
      <c r="K342" s="3">
        <f>23.2+(696.9-67.8)+(0.047328+(1.421676-0.138312))+0-0-0</f>
        <v>653.63069200000007</v>
      </c>
      <c r="L342" s="3">
        <f>55+(724.1-88.6)+(0.0561+(0.738582-0.090372))+0-0-0</f>
        <v>691.20430999999996</v>
      </c>
      <c r="M342" s="3">
        <f>53.1+(765.3-82.3)+(0.027081+(0.390303-0.041973))+0-0-0</f>
        <v>736.47541100000001</v>
      </c>
      <c r="N342" s="3">
        <f>105.1+(757.3-55.5)+(0+(0-0))+0-0-0</f>
        <v>806.9</v>
      </c>
      <c r="O342" s="3">
        <f>228.2+(730-108.6)+(0+(0-0))+0-0-0</f>
        <v>849.59999999999991</v>
      </c>
      <c r="P342" s="3">
        <f>324.8+(672.1-118.4)+(0.165648+(0.342771-0.060384))+0-0-0</f>
        <v>878.948035</v>
      </c>
      <c r="Q342" s="3">
        <f>380.9+(647.3-137.6)+(-0.582777+(-0.990369--0.210528))+0-0-0</f>
        <v>889.23738199999991</v>
      </c>
      <c r="R342" s="3">
        <f>380.6+(646.8-151.1)+(-0.582318+(-0.989604--0.231183))+0-0-0</f>
        <v>874.95926099999997</v>
      </c>
      <c r="S342" s="3">
        <f>381.8+(618.2-139.3)+(-0.389436+(-0.630564--0.142086))+0-0-0</f>
        <v>859.82208600000001</v>
      </c>
      <c r="T342" s="3">
        <f>384.7+(611.2-140.3)+(0.196197+(0.311712-0.071553))+0-0-0</f>
        <v>856.03635600000007</v>
      </c>
      <c r="U342" s="3">
        <f>384.7+(619-144.6)+(0+(0-0))+0-0-0</f>
        <v>859.09999999999991</v>
      </c>
      <c r="V342" s="3">
        <f>384.2+(613-139.2)+(-0.195942+(-0.31263--0.070992))+0-0-0</f>
        <v>857.56241999999997</v>
      </c>
      <c r="W342" s="3">
        <f>380.4+(616.3-135)+(0+(0-0))+0-0-0</f>
        <v>861.69999999999993</v>
      </c>
      <c r="X342" s="3">
        <f>380.2+(692.2-155.5)+(0+(0-0))+0-0-0</f>
        <v>916.90000000000009</v>
      </c>
      <c r="Y342" s="3">
        <f>359.6+(744.6-180.7)+(-0.733584+(-1.518984--0.368628))+0-0-0</f>
        <v>921.61606000000006</v>
      </c>
      <c r="Z342" s="3">
        <f>161.3+(966.2-217)+(0.082263+(0.492762-0.11067))+0-0-0</f>
        <v>910.96435499999995</v>
      </c>
      <c r="AA342" s="3">
        <f>125.4+(947.4-197.8)+(-0.191862+(-1.449522--0.302634))+0-0-0</f>
        <v>873.66124999999988</v>
      </c>
      <c r="AB342" s="3">
        <f>124.2+(946.1-212.9)+(-0.443394+(-3.377577--0.760053))+0-0-0</f>
        <v>854.33908200000008</v>
      </c>
      <c r="AC342" s="3">
        <f>124.7+(876.7-177.5)+(-0.381582+(-2.682702--0.54315))+0-0-0</f>
        <v>821.37886600000013</v>
      </c>
      <c r="AD342">
        <v>924.3</v>
      </c>
      <c r="AE342" s="3">
        <f>379+(712-166.7)+(0+(0-0))+0-0-0</f>
        <v>924.3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30.5+(833.8-94.1)+(0+(0-0))+0-0-0</f>
        <v>770.19999999999993</v>
      </c>
      <c r="G343" s="3">
        <f>0+(769.3-35.6)+(0+(-1.569372--0.072624))+0-0-0</f>
        <v>732.20325199999991</v>
      </c>
      <c r="H343" s="3">
        <f>0+(761.7-34.4)+(0+(0.388467-0.017544))+0-0-0</f>
        <v>727.67092300000002</v>
      </c>
      <c r="I343" s="3">
        <f>0+(742.7-24.7)+(0+(-1.136331--0.037791))+0-0-0</f>
        <v>716.90146000000004</v>
      </c>
      <c r="J343" s="3">
        <f>0+(737.4-19.8)+(0+(1.128222-0.030294))+0-0-0</f>
        <v>718.69792800000005</v>
      </c>
      <c r="K343" s="3">
        <f>0+(732.6-20.2)+(0+(1.494504-0.041208))+0-0-0</f>
        <v>713.853296</v>
      </c>
      <c r="L343" s="3">
        <f>0+(758.1-21.8)+(0+(0-0))+0-0-0</f>
        <v>736.30000000000007</v>
      </c>
      <c r="M343" s="3">
        <f>0+(777.5-18.9)+(0+(-0.396525--0.009639))+0-0-0</f>
        <v>758.21311400000002</v>
      </c>
      <c r="N343" s="3">
        <f>93.8+(755.1-34.7)+(-0.095676+(-0.770202--0.035394))+0-0-0</f>
        <v>813.36951599999998</v>
      </c>
      <c r="O343" s="3">
        <f>110+(770.3-49.6)+(-0.1122+(-0.785706--0.050592))+0-0-0</f>
        <v>829.85268599999995</v>
      </c>
      <c r="P343" s="3">
        <f>126+(824.7-81.2)+(-0.3213+(-2.102985--0.20706))+0-0-0</f>
        <v>867.28277500000002</v>
      </c>
      <c r="Q343" s="3">
        <f>126.9+(851.6-96.5)+(0+(0-0))+0-0-0</f>
        <v>882</v>
      </c>
      <c r="R343" s="3">
        <f>126.6+(830.8-85.8)+(-0.064566+(-0.423708--0.043758))+0-0-0</f>
        <v>871.155484</v>
      </c>
      <c r="S343" s="3">
        <f>126.7+(784.9-70)+(-0.129234+(-0.800598--0.0714))+0-0-0</f>
        <v>840.74156800000003</v>
      </c>
      <c r="T343" s="3">
        <f>126.9+(777.7-66.7)+(0+(0-0))+0-0-0</f>
        <v>837.9</v>
      </c>
      <c r="U343" s="3">
        <f>126.9+(773.8-57.7)+(-0.064719+(-0.394638--0.029427))+0-0-0</f>
        <v>842.57006999999987</v>
      </c>
      <c r="V343" s="3">
        <f>126.4+(757.3-55.4)+(-0.193392+(-1.158669--0.084762))+0-0-0</f>
        <v>827.03270099999997</v>
      </c>
      <c r="W343" s="3">
        <f>126.3+(762-65.2)+(-0.128826+(-0.77724--0.066504))+0-0-0</f>
        <v>822.26043799999991</v>
      </c>
      <c r="X343" s="3">
        <f>126.5+(828-62.2)+(-0.193545+(-1.26684--0.095166))+0-0-0</f>
        <v>890.93478099999993</v>
      </c>
      <c r="Y343" s="3">
        <f>126.4+(879.7-100.6)+(-0.128928+(-0.897294--0.102612))+0-0-0</f>
        <v>904.57638999999995</v>
      </c>
      <c r="Z343" s="3">
        <f>124.9+(939.6-162.3)+(0+(0-0))+0-0-0</f>
        <v>902.19999999999993</v>
      </c>
      <c r="AA343" s="3">
        <f>124.6+(891.2-143.9)+(-0.127092+(-0.909024--0.146778))+0-0-0</f>
        <v>871.01066200000014</v>
      </c>
      <c r="AB343" s="3">
        <f>65.5+(997.4-208.9)+(-0.167025+(-2.54337--0.532695))+0-0-0</f>
        <v>851.82230000000004</v>
      </c>
      <c r="AC343" s="3">
        <f>0+(966.6-143.2)+(0+(-0.985932--0.146064))+0-0-0</f>
        <v>822.56013200000007</v>
      </c>
      <c r="AD343">
        <v>911.19999999999993</v>
      </c>
      <c r="AE343" s="3">
        <f>126+(892.8-107.6)+(0+(0-0))+0-0-0</f>
        <v>911.19999999999993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0+(850-70.5)+(0+(-1.3005--0.107865))+0-0-0</f>
        <v>778.307365</v>
      </c>
      <c r="G344" s="3">
        <f>0+(837-88.8)+(0+(-0.42687--0.045288))+0-0-0</f>
        <v>747.81841800000007</v>
      </c>
      <c r="H344" s="3">
        <f>0+(776.8-43.1)+(0+(0.792336-0.043962))+0-0-0</f>
        <v>734.44837399999994</v>
      </c>
      <c r="I344" s="3">
        <f>0+(765.8-48.8)+(0+(0-0))+0-0-0</f>
        <v>717</v>
      </c>
      <c r="J344" s="3">
        <f>0+(778.6-66.9)+(0+(-0.794172--0.068238))+0-0-0</f>
        <v>710.97406599999999</v>
      </c>
      <c r="K344" s="3">
        <f>0+(802.8-95)+(0+(-0.409428--0.04845))+0-0-0</f>
        <v>707.43902199999991</v>
      </c>
      <c r="L344" s="3">
        <f>0+(876.5-139.4)+(0+(-2.235075--0.35547))+0-0-0</f>
        <v>735.22039500000005</v>
      </c>
      <c r="M344" s="3">
        <f>6.8+(880.1-125.3)+(0.006936+(0.897702-0.127806))+0-0-0</f>
        <v>762.37683200000004</v>
      </c>
      <c r="N344" s="3">
        <f>110.3+(783.3-77.5)+(0.168759+(1.198449-0.118575))+0-0-0</f>
        <v>817.34863299999995</v>
      </c>
      <c r="O344" s="3">
        <f>126.3+(809.6-77.5)+(-0.322065+(-2.06448--0.197625))+0-0-0</f>
        <v>856.21107999999992</v>
      </c>
      <c r="P344" s="3">
        <f>127.2+(834.5-82.2)+(0.129744+(0.85119-0.083844))+0-0-0</f>
        <v>880.39709000000005</v>
      </c>
      <c r="Q344" s="3">
        <f>126.7+(850.3-102.3)+(-0.129234+(-0.867306--0.104346))+0-0-0</f>
        <v>873.80780600000003</v>
      </c>
      <c r="R344" s="3">
        <f>126.8+(816.2-91.1)+(-0.064668+(-0.416262--0.046461))+0-0-0</f>
        <v>851.46553099999994</v>
      </c>
      <c r="S344" s="3">
        <f>126.3+(794.9-86.8)+(-0.128826+(-0.810798--0.088536))+0-0-0</f>
        <v>833.54891199999997</v>
      </c>
      <c r="T344" s="3">
        <f>126.6+(771.5-69.5)+(-0.064566+(-0.393465--0.035445))+0-0-0</f>
        <v>828.177414</v>
      </c>
      <c r="U344" s="3">
        <f>126.6+(756.2-64.4)+(-0.258264+(-1.542648--0.131376))+0-0-0</f>
        <v>816.7304640000001</v>
      </c>
      <c r="V344" s="3">
        <f>126.6+(783.9-97.6)+(-0.064566+(-0.399789--0.049776))+0-0-0</f>
        <v>812.48542099999997</v>
      </c>
      <c r="W344" s="3">
        <f>126.1+(785.5-98.2)+(-0.257244+(-1.60242--0.200328))+0-0-0</f>
        <v>811.74066399999992</v>
      </c>
      <c r="X344" s="3">
        <f>126.8+(833.4-82.6)+(-0.064668+(-0.425034--0.042126))+0-0-0</f>
        <v>877.15242399999988</v>
      </c>
      <c r="Y344" s="3">
        <f>125.8+(931.7-153.9)+(-0.32079+(-2.375835--0.392445))+0-0-0</f>
        <v>901.29582000000005</v>
      </c>
      <c r="Z344" s="3">
        <f>126.6+(985.3-217.8)+(-0.193698+(-1.507509--0.333234))+0-0-0</f>
        <v>892.73202700000002</v>
      </c>
      <c r="AA344" s="3">
        <f>127+(944.2-191.5)+(-0.06477+(-0.481542--0.097665))+0-0-0</f>
        <v>879.25135299999999</v>
      </c>
      <c r="AB344" s="3">
        <f>126.8+(999.1-265.8)+(-0.064668+(-0.509541--0.135558))+0-0-0</f>
        <v>859.66134899999986</v>
      </c>
      <c r="AC344" s="3">
        <f>126.8+(862.7-172.3)+(0+(0-0))+0-0-0</f>
        <v>817.2</v>
      </c>
      <c r="AD344">
        <v>896.50000000000011</v>
      </c>
      <c r="AE344" s="3">
        <f>127+(906.9-137.4)+(0+(0-0))+0-0-0</f>
        <v>896.5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124.1+(776.1-133.8)+(-0.316455+(-1.979055--0.34119))+0-0-0</f>
        <v>764.44567999999992</v>
      </c>
      <c r="G345" s="3">
        <f>89.2+(762.4-116)+(-0.136476+(-1.166472--0.17748))+0-0-0</f>
        <v>734.47453200000007</v>
      </c>
      <c r="H345" s="3">
        <f>89.7+(756.3-140.6)+(-0.091494+(-0.771426--0.143412))+0-0-0</f>
        <v>704.68049199999996</v>
      </c>
      <c r="I345" s="3">
        <f>89.3+(746.9-122.7)+(-0.136629+(-1.142757--0.187731))+0-0-0</f>
        <v>712.40834499999994</v>
      </c>
      <c r="J345" s="3">
        <f>91.3+(742.2-121.8)+(0.093126+(0.757044-0.124236))+0-0-0</f>
        <v>712.4259340000001</v>
      </c>
      <c r="K345" s="3">
        <f>125.9+(715-131)+(0.064209+(0.36465-0.06681))+0-0-0</f>
        <v>710.26204899999993</v>
      </c>
      <c r="L345" s="3">
        <f>126.6+(771-161.8)+(0.064566+(0.39321-0.082518))+0-0-0</f>
        <v>736.1752580000001</v>
      </c>
      <c r="M345" s="3">
        <f>127.1+(776.2-136.4)+(0.064821+(0.395862-0.069564))+0-0-0</f>
        <v>767.29111900000009</v>
      </c>
      <c r="N345" s="3">
        <f>127.3+(773.4-72.1)+(0.129846+(0.788868-0.073542))+0-0-0</f>
        <v>829.44517199999996</v>
      </c>
      <c r="O345" s="3">
        <f>127.1+(789.8-62.7)+(0.129642+(0.805596-0.063954))+0-0-0</f>
        <v>855.07128399999988</v>
      </c>
      <c r="P345" s="3">
        <f>126.3+(813.4-58.7)+(-0.193239+(-1.244502--0.089811))+0-0-0</f>
        <v>879.65206999999987</v>
      </c>
      <c r="Q345" s="3">
        <f>126.5+(843.4-92)+(-0.12903+(-0.860268--0.09384))+0-0-0</f>
        <v>877.00454200000001</v>
      </c>
      <c r="R345" s="3">
        <f>125.5+(782.2-44.5)+(-0.320025+(-1.99461--0.113475))+0-0-0</f>
        <v>860.99884000000009</v>
      </c>
      <c r="S345" s="3">
        <f>126.8+(763.5-55.3)+(0.129336+(0.77877-0.056406))+0-0-0</f>
        <v>835.85170000000005</v>
      </c>
      <c r="T345" s="3">
        <f>125.7+(773.9-69.5)+(-0.128214+(-0.789378--0.07089))+0-0-0</f>
        <v>829.25329799999997</v>
      </c>
      <c r="U345" s="3">
        <f>125.2+(814.2-97.8)+(0.255408+(1.660968-0.199512))+0-0-0</f>
        <v>843.31686400000012</v>
      </c>
      <c r="V345" s="3">
        <f>125.4+(822-104)+(-0.127908+(-0.83844--0.10608))+0-0-0</f>
        <v>842.53973199999996</v>
      </c>
      <c r="W345" s="3">
        <f>104.4+(859.2-114.4)+(0.053244+(0.438192-0.058344))+0-0-0</f>
        <v>849.63309200000003</v>
      </c>
      <c r="X345" s="3">
        <f>100.2+(838.5-46.9)+(0.102204+(0.85527-0.047838))+0-0-0</f>
        <v>892.70963600000005</v>
      </c>
      <c r="Y345" s="3">
        <f>100+(891.4-84.7)+(0.051+(0.454614-0.043197))+0-0-0</f>
        <v>907.16241699999989</v>
      </c>
      <c r="Z345" s="3">
        <f>99.4+(885.6-95.9)+(-0.101388+(-0.903312--0.097818))+0-0-0</f>
        <v>888.19311800000003</v>
      </c>
      <c r="AA345" s="3">
        <f>99.6+(851.5-85.6)+(-0.101592+(-0.86853--0.087312))+0-0-0</f>
        <v>864.61719000000005</v>
      </c>
      <c r="AB345" s="3">
        <f>99.4+(855-107.8)+(-0.152082+(-1.30815--0.164934))+0-0-0</f>
        <v>845.30470200000002</v>
      </c>
      <c r="AC345" s="3">
        <f>99.3+(751.2-54.9)+(-0.151929+(-1.149336--0.083997))+0-0-0</f>
        <v>794.38273200000003</v>
      </c>
      <c r="AD345">
        <v>914.90000000000009</v>
      </c>
      <c r="AE345" s="3">
        <f>100+(906.2-91.3)+(0+(0-0))+0-0-0</f>
        <v>914.90000000000009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113+(665.4-65.6)+(0+(0-0))+0-0-0</f>
        <v>712.8</v>
      </c>
      <c r="G346" s="3">
        <f>124.4+(617.1-76.5)+(-0.253776+(-1.258884--0.15606))+0-0-0</f>
        <v>663.64340000000004</v>
      </c>
      <c r="H346" s="3">
        <f>124.3+(687.1-91.7)+(-0.190179+(-1.051263--0.140301))+0-0-0</f>
        <v>718.59885899999995</v>
      </c>
      <c r="I346" s="3">
        <f>116.6+(705.6-110.6)+(-0.118932+(-0.719712--0.112812))+0-0-0</f>
        <v>710.87416800000005</v>
      </c>
      <c r="J346" s="3">
        <f>50+(745.6-85.3)+(0.0255+(0.380256-0.043503))+0-0-0</f>
        <v>710.66225300000008</v>
      </c>
      <c r="K346" s="3">
        <f>50+(744.2-89.1)+(0.0255+(0.379542-0.045441))+0-0-0</f>
        <v>705.45960100000002</v>
      </c>
      <c r="L346" s="3">
        <f>54.7+(791.6-133.1)+(0.027897+(0.403716-0.067881))+0-0-0</f>
        <v>713.56373200000007</v>
      </c>
      <c r="M346" s="3">
        <f>128.3+(752.4-132.5)+(0+(0-0))+0-0-0</f>
        <v>748.2</v>
      </c>
      <c r="N346" s="3">
        <f>127.4+(729.1-48.7)+(0.064974+(0.371841-0.024837))+0-0-0</f>
        <v>808.21197799999993</v>
      </c>
      <c r="O346" s="3">
        <f>126.6+(735.7-9)+(0+(0-0))+0-0-0</f>
        <v>853.30000000000007</v>
      </c>
      <c r="P346" s="3">
        <f>123.6+(776.3-35.5)+(-0.252144+(-1.583652--0.07242))+0-0-0</f>
        <v>862.63662399999998</v>
      </c>
      <c r="Q346" s="3">
        <f>122.9+(814.7-48.2)+(0+(0-0))+0-0-0</f>
        <v>889.4</v>
      </c>
      <c r="R346" s="3">
        <f>121.5+(783.9-53.8)+(-0.12393+(-0.799578--0.054876))+0-0-0</f>
        <v>850.73136799999997</v>
      </c>
      <c r="S346" s="3">
        <f>121.6+(754.4-49.2)+(-0.062016+(-0.384744--0.025092))+0-0-0</f>
        <v>826.378332</v>
      </c>
      <c r="T346" s="3">
        <f>122+(739.1-35.1)+(0.06222+(0.376941-0.017901))+0-0-0</f>
        <v>826.42125999999996</v>
      </c>
      <c r="U346" s="3">
        <f>120.7+(736.7-34.3)+(-0.307785+(-1.878585--0.087465))+0-0-0</f>
        <v>821.00109500000019</v>
      </c>
      <c r="V346" s="3">
        <f>120.4+(726.9-28.4)+(0+(0-0))+0-0-0</f>
        <v>818.9</v>
      </c>
      <c r="W346" s="3">
        <f>120+(729.2-19.9)+(-0.2448+(-1.487568--0.040596))+0-0-0</f>
        <v>827.60822800000005</v>
      </c>
      <c r="X346" s="3">
        <f>119.5+(791.4-29.2)+(-0.12189+(-0.807228--0.029784))+0-0-0</f>
        <v>880.80066599999998</v>
      </c>
      <c r="Y346" s="3">
        <f>118.8+(826-55.6)+(-0.363528+(-2.52756--0.170136))+0-0-0</f>
        <v>886.47904799999992</v>
      </c>
      <c r="Z346" s="3">
        <f>119.7+(826.9-70.1)+(-0.183141+(-1.265157--0.107253))+0-0-0</f>
        <v>875.15895499999999</v>
      </c>
      <c r="AA346" s="3">
        <f>119.8+(776.7-46.6)+(-0.122196+(-0.792234--0.047532))+0-0-0</f>
        <v>849.03310199999999</v>
      </c>
      <c r="AB346" s="3">
        <f>119.5+(813-67.9)+(-0.182835+(-1.24389--0.103887))+0-0-0</f>
        <v>863.27716199999998</v>
      </c>
      <c r="AC346" s="3">
        <f>119.1+(765-62.7)+(-0.303705+(-1.95075--0.159885))+0-0-0</f>
        <v>819.30543</v>
      </c>
      <c r="AD346">
        <v>885.7</v>
      </c>
      <c r="AE346" s="3">
        <f>120+(822.6-56.9)+(0+(0-0))+0-0-0</f>
        <v>885.7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87+(766.6-92.6)+(-0.17748+(-1.563864--0.188904))+0-0-0</f>
        <v>759.44755999999995</v>
      </c>
      <c r="G347" s="3">
        <f>50+(756.3-81.7)+(0.0765+(1.157139-0.125001))+0-0-0</f>
        <v>725.70863799999995</v>
      </c>
      <c r="H347" s="3">
        <f>50+(753-94.8)+(-0.1275+(-1.92015--0.24174))+0-0-0</f>
        <v>706.39409000000001</v>
      </c>
      <c r="I347" s="3">
        <f>50+(771-117.7)+(0.051+(0.78642-0.120054))+0-0-0</f>
        <v>704.01736599999992</v>
      </c>
      <c r="J347" s="3">
        <f>50+(771.2-118.1)+(-0.102+(-1.573248--0.240924))+0-0-0</f>
        <v>701.66567600000008</v>
      </c>
      <c r="K347" s="3">
        <f>50+(775.4-126.9)+(-0.051+(-0.790908--0.129438))+0-0-0</f>
        <v>697.78752999999995</v>
      </c>
      <c r="L347" s="3">
        <f>50.1+(830.6-172.7)+(-0.102204+(-1.694424--0.352308))+0-0-0</f>
        <v>706.55568000000017</v>
      </c>
      <c r="M347" s="3">
        <f>95.9+(810.3-178.2)+(0.293454+(2.479518-0.545292))+0-0-0</f>
        <v>730.22767999999985</v>
      </c>
      <c r="N347" s="3">
        <f>125.4+(728.7-68.1)+(0.255816+(1.486548-0.138924))+0-0-0</f>
        <v>787.60343999999998</v>
      </c>
      <c r="O347" s="3">
        <f>124.9+(825.5-106.2)+(-0.063699+(-0.421005--0.054162))+0-0-0</f>
        <v>843.76945799999999</v>
      </c>
      <c r="P347" s="3">
        <f>125.3+(1020.2-275.4)+(0.127806+(1.040604-0.280908))+0-0-0</f>
        <v>870.98750200000006</v>
      </c>
      <c r="Q347" s="3">
        <f>124.7+(1041.1-286.2)+(0+(0-0))+0-0-0</f>
        <v>879.59999999999991</v>
      </c>
      <c r="R347" s="3">
        <f>123.9+(900.3-171.9)+(-0.379134+(-2.754918--0.526014))+0-0-0</f>
        <v>849.69196199999999</v>
      </c>
      <c r="S347" s="3">
        <f>124+(827.6-132.6)+(-0.37944+(-2.532456--0.405756))+0-0-0</f>
        <v>816.49386000000004</v>
      </c>
      <c r="T347" s="3">
        <f>123.8+(757.1-82.3)+(0.252552+(1.544484-0.167892))+0-0-0</f>
        <v>800.22914400000002</v>
      </c>
      <c r="U347" s="3">
        <f>125.2+(692.2-43.3)+(0.063852+(0.353022-0.022083))+0-0-0</f>
        <v>774.49479100000019</v>
      </c>
      <c r="V347" s="3">
        <f>125.7+(718.9-61.5)+(-0.064107+(-0.366639--0.031365))+0-0-0</f>
        <v>782.70061900000007</v>
      </c>
      <c r="W347" s="3">
        <f>123.3+(709.3-49.9)+(-0.125766+(-0.723486--0.050898))+0-0-0</f>
        <v>781.90164599999991</v>
      </c>
      <c r="X347" s="3">
        <f>123.9+(800.1-71.8)+(-0.063189+(-0.408051--0.036618))+0-0-0</f>
        <v>851.76537800000006</v>
      </c>
      <c r="Y347" s="3">
        <f>124.6+(862.1-112.2)+(-0.190638+(-1.319013--0.171666))+0-0-0</f>
        <v>873.162015</v>
      </c>
      <c r="Z347" s="3">
        <f>123.4+(832.4-98.7)+(-0.251736+(-1.698096--0.201348))+0-0-0</f>
        <v>855.35151599999995</v>
      </c>
      <c r="AA347" s="3">
        <f>57+(855.9-77.1)+(0+(0-0))+0-0-0</f>
        <v>835.8</v>
      </c>
      <c r="AB347" s="3">
        <f>120.8+(830.1-125.4)+(-0.30804+(-2.116755--0.31977))+0-0-0</f>
        <v>823.39497500000004</v>
      </c>
      <c r="AC347" s="3">
        <f>49.2+(884.2-131)+(0+(0-0))+0-0-0</f>
        <v>802.40000000000009</v>
      </c>
      <c r="AD347">
        <v>868.6</v>
      </c>
      <c r="AE347" s="3">
        <f>123+(867.1-121.5)+(0+(0-0))+0-0-0</f>
        <v>868.6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11.9+(862.5-106.7)+(-0.024276+(-1.7595--0.217668))+0-0-0</f>
        <v>766.13389199999995</v>
      </c>
      <c r="G348" s="3">
        <f>0+(825.6-87.3)+(0+(0-0))+0-0-0</f>
        <v>738.30000000000007</v>
      </c>
      <c r="H348" s="3">
        <f>0+(849.5-124.5)+(0+(0.433245-0.063495))+0-0-0</f>
        <v>725.36974999999995</v>
      </c>
      <c r="I348" s="3">
        <f>0+(794.4-80)+(0+(-0.810288--0.0816))+0-0-0</f>
        <v>713.67131199999994</v>
      </c>
      <c r="J348" s="3">
        <f>0+(732.9-39.6)+(0+(-1.868895--0.10098))+0-0-0</f>
        <v>691.53208499999994</v>
      </c>
      <c r="K348" s="3">
        <f>0+(710.9-29.2)+(0+(0.725118-0.029784))+0-0-0</f>
        <v>682.39533399999993</v>
      </c>
      <c r="L348" s="3">
        <f>0+(713.8-40.1)+(0+(0.364038-0.020451))+0-0-0</f>
        <v>674.04358699999989</v>
      </c>
      <c r="M348" s="3">
        <f>0+(712.8-54)+(0+(0-0))+0-0-0</f>
        <v>658.8</v>
      </c>
      <c r="N348" s="3">
        <f>0+(753.3-70.1)+(0+(0.384183-0.035751))+0-0-0</f>
        <v>683.54843199999993</v>
      </c>
      <c r="O348" s="3">
        <f>0+(831.2-99.3)+(0+(0.847824-0.101286))+0-0-0</f>
        <v>732.64653800000008</v>
      </c>
      <c r="P348" s="3">
        <f>0+(981.3-217.2)+(0+(-0.500463--0.110772))+0-0-0</f>
        <v>763.71030899999994</v>
      </c>
      <c r="Q348" s="3">
        <f>0+(1009.2-239.6)+(0+(-0.514692--0.122196))+0-0-0</f>
        <v>769.20750399999997</v>
      </c>
      <c r="R348" s="3">
        <f>0+(1040.8-284)+(0+(0-0))+0-0-0</f>
        <v>756.8</v>
      </c>
      <c r="S348" s="3">
        <f>0+(1041.4-298.2)+(0+(0-0))+0-0-0</f>
        <v>743.2</v>
      </c>
      <c r="T348" s="3">
        <f>0+(1004.4-272.7)+(0+(0-0))+0-0-0</f>
        <v>731.7</v>
      </c>
      <c r="U348" s="3">
        <f>0+(1000.7-268.4)+(0+(0-0))+0-0-0</f>
        <v>732.30000000000007</v>
      </c>
      <c r="V348" s="3">
        <f>0+(1018.8-280.8)+(0+(0-0))+0-0-0</f>
        <v>738</v>
      </c>
      <c r="W348" s="3">
        <f>0+(1083.8-322.8)+(0+(0-0))+0-0-0</f>
        <v>761</v>
      </c>
      <c r="X348" s="3">
        <f>0+(1210.3-392.8)+(0+(0-0))+0-0-0</f>
        <v>817.5</v>
      </c>
      <c r="Y348" s="3">
        <f>0+(1292.7-459.5)+(0+(0-0))+0-0-0</f>
        <v>833.2</v>
      </c>
      <c r="Z348" s="3">
        <f>0+(1260-429)+(0+(0-0))+0-0-0</f>
        <v>831</v>
      </c>
      <c r="AA348" s="3">
        <f>0+(1180.2-379)+(0+(0-0))+0-0-0</f>
        <v>801.2</v>
      </c>
      <c r="AB348" s="3">
        <f>0+(1133.5-348.5)+(0+(0-0))+0-0-0</f>
        <v>785</v>
      </c>
      <c r="AC348" s="3">
        <f>0+(1050.7-290)+(0+(0-0))+0-0-0</f>
        <v>760.7</v>
      </c>
      <c r="AD348">
        <v>809.69999999999993</v>
      </c>
      <c r="AE348" s="3">
        <f>0+(1275.6-465.9)+(0+(0-0))+0-0-0</f>
        <v>809.69999999999993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0+(904.3-188.7)+(0+(0-0))+0-0-0</f>
        <v>715.59999999999991</v>
      </c>
      <c r="G349" s="3">
        <f>0+(797.2-105)+(0+(0-0))+0-0-0</f>
        <v>692.2</v>
      </c>
      <c r="H349" s="3">
        <f>0+(767.1-88.7)+(0+(0-0))+0-0-0</f>
        <v>678.4</v>
      </c>
      <c r="I349" s="3">
        <f>0+(746.9-78)+(0+(0-0))+0-0-0</f>
        <v>668.9</v>
      </c>
      <c r="J349" s="3">
        <f>0+(702.2-50.3)+(0+(0-0))+0-0-0</f>
        <v>651.90000000000009</v>
      </c>
      <c r="K349" s="3">
        <f>0+(698.9-49)+(0+(0-0))+0-0-0</f>
        <v>649.9</v>
      </c>
      <c r="L349" s="3">
        <f>0+(742.9-66.8)+(0+(1.894395-0.17034))+0-0-0</f>
        <v>677.82405500000004</v>
      </c>
      <c r="M349" s="3">
        <f>0+(810.4-79.8)+(0+(1.653216-0.162792))+0-0-0</f>
        <v>732.09042399999998</v>
      </c>
      <c r="N349" s="3">
        <f>0+(873-64)+(0+(0-0))+0-0-0</f>
        <v>809</v>
      </c>
      <c r="O349" s="3">
        <f>0+(1007.9-149.7)+(0+(0.514029-0.076347))+0-0-0</f>
        <v>858.63768200000004</v>
      </c>
      <c r="P349" s="3">
        <f>0+(1089.7-208.7)+(0+(0.555747-0.106437))+0-0-0</f>
        <v>881.44930999999997</v>
      </c>
      <c r="Q349" s="3">
        <f>0+(1118.8-232.6)+(0+(-1.711764--0.355878))+6.7-0-0</f>
        <v>891.54411399999992</v>
      </c>
      <c r="R349" s="3">
        <f>0+(1052.5-225.6)+(0+(0-0))+20-0-0</f>
        <v>846.9</v>
      </c>
      <c r="S349" s="3">
        <f>0+(1055.1-212)+(0+(-1.076202--0.21624))+0-0-0</f>
        <v>842.24003799999991</v>
      </c>
      <c r="T349" s="3">
        <f>0+(1025.8-181.7)+(0+(0-0))+0-0-0</f>
        <v>844.09999999999991</v>
      </c>
      <c r="U349" s="3">
        <f>0+(1023.5-182.5)+(0+(-1.565955--0.279225))+0-0-0</f>
        <v>839.71326999999997</v>
      </c>
      <c r="V349" s="3">
        <f>0+(1022.9-185.3)+(0+(0.521679-0.094503))+0-0-0</f>
        <v>838.02717599999994</v>
      </c>
      <c r="W349" s="3">
        <f>0+(1034.8-194.9)+(0+(-1.055496--0.198798))+0-0-0</f>
        <v>839.04330199999993</v>
      </c>
      <c r="X349" s="3">
        <f>0+(1112.3-214)+(0+(0-0))+0-0-0</f>
        <v>898.3</v>
      </c>
      <c r="Y349" s="3">
        <f>0+(1260.6-343.9)+(0+(-1.928718--0.526167))+0-0-0</f>
        <v>915.29744899999992</v>
      </c>
      <c r="Z349" s="3">
        <f>0+(1297.4-389.5)+(0+(-1.985022--0.595935))+0-0-0</f>
        <v>906.51091300000007</v>
      </c>
      <c r="AA349" s="3">
        <f>0+(1229.7-351.8)+(0+(-0.627147--0.179418))+0-0-0</f>
        <v>877.45227100000011</v>
      </c>
      <c r="AB349" s="3">
        <f>0+(1177.6-328.4)+(0+(-2.402304--0.669936))+0-0-0</f>
        <v>847.46763199999998</v>
      </c>
      <c r="AC349" s="3">
        <f>0+(1057.4-242.1)+(0+(-2.69637--0.617355))+0-0-0</f>
        <v>813.22098500000004</v>
      </c>
      <c r="AD349">
        <v>902.2</v>
      </c>
      <c r="AE349" s="3">
        <f>0+(1199.4-297.2)+(0+(0-0))+0-0-0</f>
        <v>902.2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0+(940.6-164.4)+(0+(-2.39853--0.41922))+0-0-0</f>
        <v>774.22068999999999</v>
      </c>
      <c r="G350" s="3">
        <f>0+(826.5-84.4)+(0+(-2.107575--0.21522))+0-0-0</f>
        <v>740.20764500000007</v>
      </c>
      <c r="H350" s="3">
        <f>0+(777.5-54.2)+(0+(-1.982625--0.13821))+0-0-0</f>
        <v>721.45558499999993</v>
      </c>
      <c r="I350" s="3">
        <f>0+(764.8-46.5)+(0+(-0.390048--0.023715))+0-0-0</f>
        <v>717.9336669999999</v>
      </c>
      <c r="J350" s="3">
        <f>0+(747.5-30.4)+(0+(-1.906125--0.07752))+0-0-0</f>
        <v>715.27139499999998</v>
      </c>
      <c r="K350" s="3">
        <f>0+(730-26.3)+(0+(0.3723-0.013413))+0-0-0</f>
        <v>704.05888700000003</v>
      </c>
      <c r="L350" s="3">
        <f>0+(759.2-40.1)+(0+(-1.161576--0.061353))+0-0-0</f>
        <v>717.99977699999999</v>
      </c>
      <c r="M350" s="3">
        <f>0+(823.4-63.1)+(0+(-0.839868--0.064362))+0-0-0</f>
        <v>759.524494</v>
      </c>
      <c r="N350" s="3">
        <f>0+(906-81.3)+(0+(0.46206-0.041463))+0-0-0</f>
        <v>825.12059700000009</v>
      </c>
      <c r="O350" s="3">
        <f>0+(1045.2-169.5)+(0+(1.066104-0.17289))+0-0-0</f>
        <v>876.59321399999999</v>
      </c>
      <c r="P350" s="3">
        <f>0+(1115.3-220.5)+(0+(-0.568803--0.112455))+0-0-0</f>
        <v>894.34365199999991</v>
      </c>
      <c r="Q350" s="3">
        <f>0+(1156.4-246.2)+(0+(-1.179528--0.251124))+0-0-0</f>
        <v>909.27159600000005</v>
      </c>
      <c r="R350" s="3">
        <f>0+(1102.7-210.7)+(0+(-0.562377--0.107457))+0-0-0</f>
        <v>891.54507999999998</v>
      </c>
      <c r="S350" s="3">
        <f>0+(1039.9-184.6)+(0+(1.060698-0.188292))+0-0-0</f>
        <v>856.17240600000002</v>
      </c>
      <c r="T350" s="3">
        <f>0+(1002.2-158.9)+(0+(0.511122-0.081039))+0-0-0</f>
        <v>843.73008300000004</v>
      </c>
      <c r="U350" s="3">
        <f>0+(991.7-149.8)+(0+(0.505767-0.076398))+0-0-0</f>
        <v>842.32936900000004</v>
      </c>
      <c r="V350" s="3">
        <f>0+(1010.4-168.2)+(0+(-0.515304--0.085782))+0-0-0</f>
        <v>841.77047800000003</v>
      </c>
      <c r="W350" s="3">
        <f>0+(1034.7-186)+(0+(1.583091-0.28458))+0-0-0</f>
        <v>849.99851100000001</v>
      </c>
      <c r="X350" s="3">
        <f>0+(1145.9-229.3)+(0+(0-0))+0-0-0</f>
        <v>916.60000000000014</v>
      </c>
      <c r="Y350" s="3">
        <f>0+(1183.9-266)+(0+(-1.811367--0.40698))+0-0-0</f>
        <v>916.49561300000005</v>
      </c>
      <c r="Z350" s="3">
        <f>0+(1176.1-268.7)+(0+(-1.199622--0.274074))+0-0-0</f>
        <v>906.47445199999981</v>
      </c>
      <c r="AA350" s="3">
        <f>0+(1165.4-281.1)+(0+(-2.97177--0.716805))+0-0-0</f>
        <v>882.0450350000001</v>
      </c>
      <c r="AB350" s="3">
        <f>0+(1199.2-340)+(0+(-1.834776--0.5202))+0-0-0</f>
        <v>857.88542400000006</v>
      </c>
      <c r="AC350" s="3">
        <f>0+(1129.6-305.1)+(0+(-2.304384--0.622404))+0-0-0</f>
        <v>822.81801999999993</v>
      </c>
      <c r="AD350">
        <v>935.3</v>
      </c>
      <c r="AE350" s="3">
        <f>0+(1214.6-279.3)+(0+(0-0))+0-0-0</f>
        <v>935.3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0+(961-185.8)+(0+(0.49011-0.094758))+0-0-0</f>
        <v>775.59535200000005</v>
      </c>
      <c r="G351" s="3">
        <f>0+(866.1-118.9)+(0+(-0.883422--0.121278))+0-0-0</f>
        <v>746.43785600000001</v>
      </c>
      <c r="H351" s="3">
        <f>0+(833.9-101.3)+(0+(-0.425289--0.051663))+0-0-0</f>
        <v>732.22637400000008</v>
      </c>
      <c r="I351" s="3">
        <f>0+(858.2-122.3)+(0+(0.437682-0.062373))+0-0-0</f>
        <v>736.27530900000011</v>
      </c>
      <c r="J351" s="3">
        <f>0+(857.9-125.6)+(0+(-0.875058--0.128112))+0-0-0</f>
        <v>731.55305399999997</v>
      </c>
      <c r="K351" s="3">
        <f>0+(811.9-89.3)+(0+(0-0))+0-0-0</f>
        <v>722.6</v>
      </c>
      <c r="L351" s="3">
        <f>0+(824.3-82.4)+(0+(-0.840786--0.084048))+0-0-0</f>
        <v>741.14326199999994</v>
      </c>
      <c r="M351" s="3">
        <f>0+(918.6-137.5)+(0+(0.468486-0.070125))+0-0-0</f>
        <v>781.49836100000005</v>
      </c>
      <c r="N351" s="3">
        <f>0+(1070.8-229.7)+(0+(1.092216-0.234294))+0-0-0</f>
        <v>841.95792199999994</v>
      </c>
      <c r="O351" s="3">
        <f>0+(1207.8-340.7)+(0+(0.615978-0.173757))+0-0-0</f>
        <v>867.54222099999993</v>
      </c>
      <c r="P351" s="3">
        <f>0+(1278.4-372.9)+(0+(-1.955952--0.570537))+0-0-0</f>
        <v>904.11458500000015</v>
      </c>
      <c r="Q351" s="3">
        <f>0+(1282.1-372.5)+(0+(-2.615484--0.7599))+0-0-0</f>
        <v>907.74441599999989</v>
      </c>
      <c r="R351" s="3">
        <f>0+(1274.5-370.1)+(0+(-1.949985--0.566253))+0-0-0</f>
        <v>903.01626799999997</v>
      </c>
      <c r="S351" s="3">
        <f>0+(1219.4-341.7)+(0+(-3.10947--0.871335))+0-0-0</f>
        <v>875.46186499999999</v>
      </c>
      <c r="T351" s="3">
        <f>0+(1191.2-316.1)+(0+(0.607512-0.161211))+0-0-0</f>
        <v>875.54630099999997</v>
      </c>
      <c r="U351" s="3">
        <f>0+(1151-275.3)+(0+(-2.34804--0.561612))+0-0-0</f>
        <v>873.91357200000004</v>
      </c>
      <c r="V351" s="3">
        <f>0+(1068.8-213.7)+(0+(0-0))+0-0-0</f>
        <v>855.09999999999991</v>
      </c>
      <c r="W351" s="3">
        <f>0+(1025.2-175.8)+(0+(0.522852-0.089658))+0-0-0</f>
        <v>849.83319400000005</v>
      </c>
      <c r="X351" s="3">
        <f>0+(1074-166.4)+(0+(1.09548-0.169728))+0-0-0</f>
        <v>908.52575200000001</v>
      </c>
      <c r="Y351" s="3">
        <f>0+(1171.1-246.3)+(0+(0-0))+0-0-0</f>
        <v>924.8</v>
      </c>
      <c r="Z351" s="3">
        <f>0+(1132.1-230.1)+(0+(0.577371-0.117351))+0-0-0</f>
        <v>902.46001999999987</v>
      </c>
      <c r="AA351" s="3">
        <f>0+(1107.2-224)+(0+(-1.129344--0.22848))+0-0-0</f>
        <v>882.29913600000009</v>
      </c>
      <c r="AB351" s="3">
        <f>0+(1150.8-285.6)+(0+(-0.586908--0.145656))+0-0-0</f>
        <v>864.75874799999997</v>
      </c>
      <c r="AC351" s="3">
        <f>0+(1218.7-374.8)+(0+(-2.486148--0.764592))+0-0-0</f>
        <v>842.17844400000013</v>
      </c>
      <c r="AD351">
        <v>917.59999999999991</v>
      </c>
      <c r="AE351" s="3">
        <f>0+(1170.6-253)+(0+(0-0))+0-0-0</f>
        <v>917.59999999999991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0+(1108-309.2)+(0+(-0.56508--0.157692))+0-0-0</f>
        <v>798.39261199999999</v>
      </c>
      <c r="G352" s="3">
        <f>0+(998.9-234.2)+(0+(0-0))+0-0-0</f>
        <v>764.7</v>
      </c>
      <c r="H352" s="3">
        <f>0+(966.1-213.8)+(0+(-0.492711--0.109038))+0-0-0</f>
        <v>751.91632699999991</v>
      </c>
      <c r="I352" s="3">
        <f>0+(991.3-240.9)+(0+(0-0))+0-0-0</f>
        <v>750.4</v>
      </c>
      <c r="J352" s="3">
        <f>0+(973.7-222.8)+(0+(0.993174-0.227256))+0-0-0</f>
        <v>751.66591800000015</v>
      </c>
      <c r="K352" s="3">
        <f>0+(956.1-207.2)+(0+(-0.487611--0.105672))+0-0-0</f>
        <v>748.5180610000001</v>
      </c>
      <c r="L352" s="3">
        <f>0+(991.4-235)+(0+(-0.505614--0.11985))+0-0-0</f>
        <v>756.01423599999998</v>
      </c>
      <c r="M352" s="3">
        <f>0+(1086.2-282.5)+(0+(1.107924-0.28815))+0-0-0</f>
        <v>804.5197740000001</v>
      </c>
      <c r="N352" s="3">
        <f>0+(1227.7-371.8)+(0+(1.252254-0.379236))+0-0-0</f>
        <v>856.77301800000009</v>
      </c>
      <c r="O352" s="3">
        <f>0+(1314.1-398)+(0+(1.340382-0.40596))+0-0-0</f>
        <v>917.03442199999995</v>
      </c>
      <c r="P352" s="3">
        <f>0+(1401.7-478.9)+(0+(2.144601-0.732717))+0-0-0</f>
        <v>924.21188400000005</v>
      </c>
      <c r="Q352" s="3">
        <f>0+(1412.9-491.5)+(0+(-2.161737--0.751995))+0-0-0</f>
        <v>919.99025800000004</v>
      </c>
      <c r="R352" s="3">
        <f>0+(1380.5-483.4)+(0+(-2.81622--0.986136))+0-0-0</f>
        <v>895.26991599999997</v>
      </c>
      <c r="S352" s="3">
        <f>0+(1337.9-453.7)+(0+(-3.411645--1.156935))+0-0-0</f>
        <v>881.94529</v>
      </c>
      <c r="T352" s="3">
        <f>0+(1316.8-431.8)+(0+(2.014704-0.660654))+0-0-0</f>
        <v>886.35405000000003</v>
      </c>
      <c r="U352" s="3">
        <f>0+(1295.2-416.2)+(0+(1.981656-0.636786))+0-0-0</f>
        <v>880.34487000000001</v>
      </c>
      <c r="V352" s="3">
        <f>0+(1244.2-377)+(0+(-0.634542--0.19227))+0-0-0</f>
        <v>866.75772800000004</v>
      </c>
      <c r="W352" s="3">
        <f>62.6+(1130.9-340.5)+(-0.031926+(-0.576759--0.173655))+0-0-0</f>
        <v>852.56497000000013</v>
      </c>
      <c r="X352" s="3">
        <f>263.9+(1074.7-401.3)+(0+(0-0))+0-0-0</f>
        <v>937.30000000000007</v>
      </c>
      <c r="Y352" s="3">
        <f>269.2+(1151.7-476.1)+(-0.411876+(-1.762101--0.728433))+0-0-0</f>
        <v>943.35445599999991</v>
      </c>
      <c r="Z352" s="3">
        <f>271.1+(1132-472.7)+(-0.276522+(-1.15464--0.482154))+0-0-0</f>
        <v>929.45099199999993</v>
      </c>
      <c r="AA352" s="3">
        <f>270.9+(1072.6-441.5)+(-0.276318+(-1.094052--0.45033))+0-0-0</f>
        <v>901.07995999999991</v>
      </c>
      <c r="AB352" s="3">
        <f>260.3+(973.3-368.3)+(-0.531012+(-1.985532--0.751332))+0-0-0</f>
        <v>863.53478799999993</v>
      </c>
      <c r="AC352" s="3">
        <f>68+(1067.6-295.5)+(-0.10404+(-1.633428--0.452115))+0-0-0</f>
        <v>838.81464699999992</v>
      </c>
      <c r="AD352">
        <v>922.8</v>
      </c>
      <c r="AE352" s="3">
        <f>270+(1142.6-489.8)+(0+(0-0))+0-0-0</f>
        <v>922.8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0+(1082.5-280.2)+(0+(-3.864525--1.000314))+0-0-0</f>
        <v>799.435789</v>
      </c>
      <c r="G353" s="3">
        <f>0+(1007.8-234.6)+(0+(-1.027956--0.239292))+0-0-0</f>
        <v>772.41133599999989</v>
      </c>
      <c r="H353" s="3">
        <f>0+(1054.7-292.3)+(0+(-2.151588--0.596292))+0-0-0</f>
        <v>760.84470400000009</v>
      </c>
      <c r="I353" s="3">
        <f>0+(1041.3-285.6)+(0+(0.531063-0.145656))+0-0-0</f>
        <v>756.08540699999992</v>
      </c>
      <c r="J353" s="3">
        <f>0+(1016.4-272.8)+(0+(0-0))+0-0-0</f>
        <v>743.59999999999991</v>
      </c>
      <c r="K353" s="3">
        <f>0+(1003.7-256.4)+(0+(-1.023774--0.261528))+0-0-0</f>
        <v>746.53775400000006</v>
      </c>
      <c r="L353" s="3">
        <f>0+(1014.8-262.1)+(0+(0.517548-0.133671))+0-0-0</f>
        <v>753.08387699999992</v>
      </c>
      <c r="M353" s="3">
        <f>0+(1071.6-282.4)+(0+(1.093032-0.288048))+0-0-0</f>
        <v>790.00498399999992</v>
      </c>
      <c r="N353" s="3">
        <f>0+(1124.4-268.2)+(0+(1.146888-0.273564))+0-0-0</f>
        <v>857.07332400000007</v>
      </c>
      <c r="O353" s="3">
        <f>0+(1199.7-309.4)+(0+(0-0))+0-0-0</f>
        <v>890.30000000000007</v>
      </c>
      <c r="P353" s="3">
        <f>0+(1163.2-270.1)+(0+(-1.186464--0.275502))+0-0-0</f>
        <v>892.18903799999998</v>
      </c>
      <c r="Q353" s="3">
        <f>0+(1063.7-169.3)+(0+(-2.712435--0.431715))+0-0-0</f>
        <v>892.11928000000012</v>
      </c>
      <c r="R353" s="3">
        <f>0+(1041.4-157.4)+(0+(-1.593342--0.240822))+0-0-0</f>
        <v>882.64748000000009</v>
      </c>
      <c r="S353" s="3">
        <f>0+(982-112.9)+(0+(-2.00328--0.230316))+0-0-0</f>
        <v>867.32703600000002</v>
      </c>
      <c r="T353" s="3">
        <f>0+(867-21.2)+(0+(-0.44217--0.010812))+0-0-0</f>
        <v>845.36864199999991</v>
      </c>
      <c r="U353" s="3">
        <f>0+(877.7-35)+(0+(0-0))+0-0-0</f>
        <v>842.7</v>
      </c>
      <c r="V353" s="3">
        <f>9.2+(907.7-74.5)+(0.014076+(1.388781-0.113985))+0-0-0</f>
        <v>843.68887200000006</v>
      </c>
      <c r="W353" s="3">
        <f>197.3+(714.6-89.5)+(-0.301869+(-1.093338--0.136935))+0-0-0</f>
        <v>821.14172800000006</v>
      </c>
      <c r="X353" s="3">
        <f>328.3+(619.4-57.7)+(0.334866+(0.631788-0.058854))+0-0-0</f>
        <v>890.90779999999995</v>
      </c>
      <c r="Y353" s="3">
        <f>391.9+(635.2-110.7)+(-0.599607+(-0.971856--0.169371))+0-0-0</f>
        <v>914.99790799999994</v>
      </c>
      <c r="Z353" s="3">
        <f>399.5+(616.9-121.2)+(-0.81498+(-1.258476--0.247248))+0-0-0</f>
        <v>893.37379200000009</v>
      </c>
      <c r="AA353" s="3">
        <f>397.9+(653.6-173.5)+(-0.608787+(-1.000008--0.265455))+0-0-0</f>
        <v>876.65665999999999</v>
      </c>
      <c r="AB353" s="3">
        <f>291.3+(768.1-198.8)+(-0.742815+(-1.958655--0.50694))+0-0-0</f>
        <v>858.40546999999992</v>
      </c>
      <c r="AC353" s="3">
        <f>1.9+(993.3-167)+(-0.000969+(-0.506583--0.08517))+0-0-0</f>
        <v>827.77761799999996</v>
      </c>
      <c r="AD353">
        <v>895.09999999999991</v>
      </c>
      <c r="AE353" s="3">
        <f>394+(642.1-141)+(0+(0-0))+0-0-0</f>
        <v>895.1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0+(966.4-175.2)+(0+(-2.46432--0.44676))+0-0-0</f>
        <v>789.18244000000004</v>
      </c>
      <c r="G354" s="3">
        <f>0+(935.4-177.2)+(0+(-2.38527--0.45186))+0-0-0</f>
        <v>756.26659000000006</v>
      </c>
      <c r="H354" s="3">
        <f>0+(879.2-146.2)+(0+(-1.345176--0.223686))+0-0-0</f>
        <v>731.87851000000001</v>
      </c>
      <c r="I354" s="3">
        <f>0+(865.7-140)+(0+(1.324521-0.2142))+0-0-0</f>
        <v>726.81032100000004</v>
      </c>
      <c r="J354" s="3">
        <f>0+(864.5-140.6)+(0+(1.76358-0.286824))+0-0-0</f>
        <v>725.376756</v>
      </c>
      <c r="K354" s="3">
        <f>0+(888-170.7)+(0+(2.2644-0.435285))+0-0-0</f>
        <v>719.12911499999996</v>
      </c>
      <c r="L354" s="3">
        <f>0+(902.5-174.4)+(0+(-0.92055--0.177888))+0-0-0</f>
        <v>727.35733800000003</v>
      </c>
      <c r="M354" s="3">
        <f>10.5+(938.8-183.7)+(0.01071+(0.957576-0.187374))+0-0-0</f>
        <v>766.38091199999985</v>
      </c>
      <c r="N354" s="3">
        <f>128.5+(837.3-145.1)+(0.065535+(0.427023-0.074001))+0-0-0</f>
        <v>821.1185569999999</v>
      </c>
      <c r="O354" s="3">
        <f>127.1+(802.1-67.4)+(0.129642+(0.818142-0.068748))+0-0-0</f>
        <v>862.67903600000011</v>
      </c>
      <c r="P354" s="3">
        <f>126.9+(842.5-90.2)+(-0.129438+(-0.85935--0.092004))+0-0-0</f>
        <v>878.30321599999991</v>
      </c>
      <c r="Q354" s="3">
        <f>125.6+(850.3-96)+(-0.192168+(-1.300959--0.14688))+0-0-0</f>
        <v>878.55375300000003</v>
      </c>
      <c r="R354" s="3">
        <f>125.3+(819.3-84.7)+(-0.255612+(-1.671372--0.172788))+0-0-0</f>
        <v>858.14580399999988</v>
      </c>
      <c r="S354" s="3">
        <f>125.8+(769.4-61.6)+(0.128316+(0.784788-0.062832))+0-0-0</f>
        <v>834.45027199999993</v>
      </c>
      <c r="T354" s="3">
        <f>123.2+(727.1-32.7)+(0.125664+(0.741642-0.033354))+0-0-0</f>
        <v>818.43395199999998</v>
      </c>
      <c r="U354" s="3">
        <f>122.5+(740.3-41.2)+(-0.12495+(-0.755106--0.042024))+0-0-0</f>
        <v>820.76196799999991</v>
      </c>
      <c r="V354" s="3">
        <f>186.5+(682.5-68.1)+(-0.285345+(-1.044225--0.104193))+0-0-0</f>
        <v>799.674623</v>
      </c>
      <c r="W354" s="3">
        <f>248.6+(595.7-56.6)+(-0.63393+(-1.519035--0.14433))+0-0-0</f>
        <v>785.69136500000002</v>
      </c>
      <c r="X354" s="3">
        <f>250+(651.7-45)+(0.1275+(0.332367-0.02295))+0-0-0</f>
        <v>857.13691700000004</v>
      </c>
      <c r="Y354" s="3">
        <f>248.3+(731-92.7)+(-0.759798+(-2.23686--0.283662))+0-0-0</f>
        <v>883.88700399999993</v>
      </c>
      <c r="Z354" s="3">
        <f>249.8+(740.7-120.9)+(0+(0-0))+0-0-0</f>
        <v>869.60000000000014</v>
      </c>
      <c r="AA354" s="3">
        <f>249.4+(785.7-177.4)+(-0.381582+(-1.202121--0.271422))+0-0-0</f>
        <v>856.38771900000006</v>
      </c>
      <c r="AB354" s="3">
        <f>240.2+(815.5-208.2)+(-0.490008+(-1.66362--0.424728))+0-0-0</f>
        <v>845.77110000000005</v>
      </c>
      <c r="AC354" s="3">
        <f>67.9+(927.4-174.7)+(-0.034629+(-0.472974--0.089097))+0-0-0</f>
        <v>820.18149400000004</v>
      </c>
      <c r="AD354">
        <v>894.2</v>
      </c>
      <c r="AE354" s="3">
        <f>249+(716.2-71)+(0+(0-0))+0-0-0</f>
        <v>894.2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4+(991.4-211.2)+(-0.00612+(-1.516842--0.323136))+0-0-0</f>
        <v>783.00017400000002</v>
      </c>
      <c r="G355" s="3">
        <f>0+(972.7-212.1)+(0+(-1.984308--0.432684))+0-0-0</f>
        <v>759.04837600000008</v>
      </c>
      <c r="H355" s="3">
        <f>0+(927.8-194.7)+(0+(-0.473178--0.099297))+0-0-0</f>
        <v>732.72611899999993</v>
      </c>
      <c r="I355" s="3">
        <f>0+(897.7-175)+(0+(-1.373481--0.26775))+0-0-0</f>
        <v>721.59426900000005</v>
      </c>
      <c r="J355" s="3">
        <f>0+(880.4-169)+(0+(0.449004-0.08619))+0-0-0</f>
        <v>711.76281399999993</v>
      </c>
      <c r="K355" s="3">
        <f>0+(872.8-167.2)+(0+(0-0))+0-0-0</f>
        <v>705.59999999999991</v>
      </c>
      <c r="L355" s="3">
        <f>0+(876-192.6)+(0+(-1.78704--0.392904))+0-0-0</f>
        <v>682.00586399999997</v>
      </c>
      <c r="M355" s="3">
        <f>0+(888.1-209)+(0+(0.452931-0.10659))+0-0-0</f>
        <v>679.44634100000007</v>
      </c>
      <c r="N355" s="3">
        <f>0+(906.5-203.7)+(0+(0.92463-0.207774))+0-0-0</f>
        <v>703.51685599999996</v>
      </c>
      <c r="O355" s="3">
        <f>0+(905.3-165.6)+(0+(-0.461703--0.084456))+0-0-0</f>
        <v>739.32275299999992</v>
      </c>
      <c r="P355" s="3">
        <f>0+(860.2-108.3)+(0+(0.438702-0.055233))+0-0-0</f>
        <v>752.28346900000008</v>
      </c>
      <c r="Q355" s="3">
        <f>0+(811.4-56.3)+(0+(-1.241442--0.086139))+0-0-0</f>
        <v>753.94469700000002</v>
      </c>
      <c r="R355" s="3">
        <f>0+(857.6-105)+(0+(-2.624256--0.3213))+0-0-0</f>
        <v>750.29704400000003</v>
      </c>
      <c r="S355" s="3">
        <f>0+(910-159.1)+(0+(-0.4641--0.081141))+0-0-0</f>
        <v>750.51704099999995</v>
      </c>
      <c r="T355" s="3">
        <f>0+(880.5-144)+(0+(0-0))+0-0-0</f>
        <v>736.5</v>
      </c>
      <c r="U355" s="3">
        <f>0+(920.4-190.3)+(0+(-0.469404--0.097053))+0-0-0</f>
        <v>729.72764899999993</v>
      </c>
      <c r="V355" s="3">
        <f>0+(892.3-171.8)+(0+(-0.910146--0.175236))+0-0-0</f>
        <v>719.76508999999999</v>
      </c>
      <c r="W355" s="3">
        <f>0+(774.3-51.6)+(0+(-1.579572--0.105264))+0-0-0</f>
        <v>721.22569199999998</v>
      </c>
      <c r="X355" s="3">
        <f>0+(845.3-61.7)+(0+(0.431103-0.031467))+0-0-0</f>
        <v>783.9996359999999</v>
      </c>
      <c r="Y355" s="3">
        <f>0+(1003-173.4)+(0+(-1.53459--0.265302))+0-0-0</f>
        <v>828.33071200000006</v>
      </c>
      <c r="Z355" s="3">
        <f>0+(1026.2-194.9)+(0+(1.046724-0.198798))+0-0-0</f>
        <v>832.1479260000001</v>
      </c>
      <c r="AA355" s="3">
        <f>0+(988.8-181.2)+(0+(-2.017152--0.369648))+0-0-0</f>
        <v>805.95249599999988</v>
      </c>
      <c r="AB355" s="3">
        <f>0+(964.9-177.9)+(0+(-0.492099--0.090729))+0-0-0</f>
        <v>786.59862999999996</v>
      </c>
      <c r="AC355" s="3">
        <f>0+(870.5-118.2)+(0+(-1.331865--0.180846))+0-0-0</f>
        <v>751.14898099999994</v>
      </c>
      <c r="AD355">
        <v>826.30000000000007</v>
      </c>
      <c r="AE355" s="3">
        <f>0+(972.2-145.9)+(0+(0-0))+0-0-0</f>
        <v>826.30000000000007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0+(888.6-170)+(0+(-0.906372--0.1734))+0-0-0</f>
        <v>717.867028</v>
      </c>
      <c r="G356" s="3">
        <f>0+(909.9-216.7)+(0+(-0.928098--0.221034))+0-0-0</f>
        <v>692.4929360000001</v>
      </c>
      <c r="H356" s="3">
        <f>0+(923.1-242.6)+(0+(0.941562-0.247452))+0-0-0</f>
        <v>681.19411000000002</v>
      </c>
      <c r="I356" s="3">
        <f>0+(907.4-224.6)+(0+(-1.388322--0.343638))+0-0-0</f>
        <v>681.75531599999999</v>
      </c>
      <c r="J356" s="3">
        <f>0+(875.5-204.9)+(0+(-0.89301--0.208998))+0-0-0</f>
        <v>669.91598799999997</v>
      </c>
      <c r="K356" s="3">
        <f>0+(923.1-237.9)+(0+(0-0))+0-0-0</f>
        <v>685.2</v>
      </c>
      <c r="L356" s="3">
        <f>53.1+(966.2-301.5)+(0+(0-0))+0-0-0</f>
        <v>717.80000000000007</v>
      </c>
      <c r="M356" s="3">
        <f>109.6+(954.8-306.3)+(0.111792+(0.973896-0.312426))+0-0-0</f>
        <v>758.87326200000007</v>
      </c>
      <c r="N356" s="3">
        <f>124.9+(932.8-228.5)+(0+(0-0))+0-0-0</f>
        <v>829.19999999999993</v>
      </c>
      <c r="O356" s="3">
        <f>125+(964.3-202)+(0.06375+(0.491793-0.10302))+0-0-0</f>
        <v>887.752523</v>
      </c>
      <c r="P356" s="3">
        <f>124.8+(980.1-210.8)+(0+(0-0))+0-0-0</f>
        <v>894.09999999999991</v>
      </c>
      <c r="Q356" s="3">
        <f>124.7+(1017.3-236.2)+(0+(0-0))+0-0-0</f>
        <v>905.8</v>
      </c>
      <c r="R356" s="3">
        <f>123.8+(989.5-220)+(-0.31569+(-2.523225--0.561))+0-0-0</f>
        <v>891.02208499999995</v>
      </c>
      <c r="S356" s="3">
        <f>124.6+(944.6-199.7)+(-0.063546+(-0.481746--0.101847))+0-0-0</f>
        <v>869.05655500000012</v>
      </c>
      <c r="T356" s="3">
        <f>124.7+(899.3-163.3)+(0+(0-0))+0-0-0</f>
        <v>860.7</v>
      </c>
      <c r="U356" s="3">
        <f>124.6+(894.3-153.2)+(-0.063546+(-0.456093--0.078132))+0-0-0</f>
        <v>865.25849299999993</v>
      </c>
      <c r="V356" s="3">
        <f>124.6+(889.1-154.2)+(-0.127092+(-0.906882--0.157284))+0-0-0</f>
        <v>858.62331000000006</v>
      </c>
      <c r="W356" s="3">
        <f>123.8+(878-152.2)+(-0.189414+(-1.34334--0.232866))+0-0-0</f>
        <v>848.3001119999999</v>
      </c>
      <c r="X356" s="3">
        <f>127.7+(1013.8-238.8)+(0+(0-0))+0-0-0</f>
        <v>902.7</v>
      </c>
      <c r="Y356" s="3">
        <f>127.6+(1142.8-352.7)+(-0.195228+(-1.748484--0.539631))+0-0-0</f>
        <v>916.29591899999991</v>
      </c>
      <c r="Z356" s="3">
        <f>126.9+(1126.8-344.5)+(-0.323595+(-2.87334--0.878475))+0-0-0</f>
        <v>906.88153999999997</v>
      </c>
      <c r="AA356" s="3">
        <f>127.2+(1092.2-328)+(-0.259488+(-2.228088--0.66912))+0-0-0</f>
        <v>889.58154400000012</v>
      </c>
      <c r="AB356" s="3">
        <f>34.5+(1228.9-389.1)+(-0.017595+(-0.626739--0.198441))+0-0-0</f>
        <v>873.85410700000011</v>
      </c>
      <c r="AC356" s="3">
        <f>0+(1168.8-327.4)+(0+(-2.384352--0.667896))+0-0-0</f>
        <v>839.68354399999998</v>
      </c>
      <c r="AD356">
        <v>912.59999999999991</v>
      </c>
      <c r="AE356" s="3">
        <f>127+(1117.8-332.2)+(0+(0-0))+0-0-0</f>
        <v>912.59999999999991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0+(1065.5-273.5)+(0+(-1.08681--0.27897))+0-0-0</f>
        <v>791.19215999999994</v>
      </c>
      <c r="G357" s="3">
        <f>0+(1082.5-311.3)+(0+(-1.10415--0.317526))+0-0-0</f>
        <v>770.41337600000008</v>
      </c>
      <c r="H357" s="3">
        <f>0+(1021.8-269)+(0+(-2.084472--0.54876))+0-0-0</f>
        <v>751.26428799999996</v>
      </c>
      <c r="I357" s="3">
        <f>0+(950.9-201.9)+(0+(0-0))+0-0-0</f>
        <v>749</v>
      </c>
      <c r="J357" s="3">
        <f>0+(931.7-180.8)+(0+(-0.950334--0.184416))+0-0-0</f>
        <v>750.13408200000003</v>
      </c>
      <c r="K357" s="3">
        <f>0+(938.7-189.6)+(0+(0.478737-0.096696))+0-0-0</f>
        <v>749.48204099999998</v>
      </c>
      <c r="L357" s="3">
        <f>0+(963.1-205.6)+(0+(-0.491181--0.104856))+0-0-0</f>
        <v>757.11367499999994</v>
      </c>
      <c r="M357" s="3">
        <f>0+(983.9-197.7)+(0+(0-0))+0-0-0</f>
        <v>786.2</v>
      </c>
      <c r="N357" s="3">
        <f>0+(1011.2-159.5)+(0+(0.515712-0.081345))+0-0-0</f>
        <v>852.134367</v>
      </c>
      <c r="O357" s="3">
        <f>0+(1058.3-166.7)+(0+(-0.539733--0.085017))+0-0-0</f>
        <v>891.14528399999995</v>
      </c>
      <c r="P357" s="3">
        <f>0+(1063.9-165.7)+(0+(-0.542589--0.084507))+0-0-0</f>
        <v>897.74191800000006</v>
      </c>
      <c r="Q357" s="3">
        <f>0+(1065.7-163.1)+(0+(0.543507-0.083181))+0-0-0</f>
        <v>903.06032600000003</v>
      </c>
      <c r="R357" s="3">
        <f>0+(1048.1-169)+(0+(-2.672655--0.43095))+0-0-0</f>
        <v>876.85829499999988</v>
      </c>
      <c r="S357" s="3">
        <f>0+(1041.8-186.9)+(0+(-2.125272--0.381276))+0-0-0</f>
        <v>853.15600399999994</v>
      </c>
      <c r="T357" s="3">
        <f>0+(1100.4-238)+(0+(0.561204-0.12138))+0-0-0</f>
        <v>862.83982400000014</v>
      </c>
      <c r="U357" s="3">
        <f>0+(1023.1-192.4)+(0+(-1.043562--0.196248))+0-0-0</f>
        <v>829.85268600000006</v>
      </c>
      <c r="V357" s="3">
        <f>0+(954.6-102.8)+(0+(-2.43423--0.26214))+0-0-0</f>
        <v>849.62791000000004</v>
      </c>
      <c r="W357" s="3">
        <f>5.4+(861.3-42.7)+(-0.011016+(-1.757052--0.087108))+0-0-0</f>
        <v>822.31903999999986</v>
      </c>
      <c r="X357" s="3">
        <f>78.9+(886.7-87)+(-0.040239+(-0.452217--0.04437))+0-0-0</f>
        <v>878.15191400000003</v>
      </c>
      <c r="Y357" s="3">
        <f>124.5+(970-170.5)+(-0.190485+(-1.4841--0.260865))+0-0-0</f>
        <v>922.58627999999999</v>
      </c>
      <c r="Z357" s="3">
        <f>124.4+(980-195.8)+(-0.190332+(-1.4994--0.299574))+0-0-0</f>
        <v>907.20984199999998</v>
      </c>
      <c r="AA357" s="3">
        <f>58+(1058.5-212.5)+(-0.05916+(-1.07967--0.21675))+0-0-0</f>
        <v>903.07791999999995</v>
      </c>
      <c r="AB357" s="3">
        <f>50+(1002.2-187.9)+(-0.0765+(-1.533366--0.287487))+0-0-0</f>
        <v>862.97762100000011</v>
      </c>
      <c r="AC357" s="3">
        <f>2.1+(1011.6-182.2)+(-0.001071+(-0.515916--0.092922))+0-0-0</f>
        <v>831.07593500000007</v>
      </c>
      <c r="AD357">
        <v>905.99999999999989</v>
      </c>
      <c r="AE357" s="3">
        <f>125+(957.6-176.6)+(0+(0-0))+0-0-0</f>
        <v>906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0+(963.2-169.3)+(0+(-1.473696--0.259029))+0-0-0</f>
        <v>792.68533300000013</v>
      </c>
      <c r="G358" s="3">
        <f>0+(924.7-161.7)+(0+(-0.943194--0.164934))+0-0-0</f>
        <v>762.22173999999995</v>
      </c>
      <c r="H358" s="3">
        <f>0+(874.3-127.5)+(0+(-1.337679--0.195075))+0-0-0</f>
        <v>745.65739599999995</v>
      </c>
      <c r="I358" s="3">
        <f>0+(825.6-84.6)+(0+(-0.842112--0.086292))+0-0-0</f>
        <v>740.24418000000003</v>
      </c>
      <c r="J358" s="3">
        <f>0+(824.5-89.9)+(0+(0.84099-0.091698))+0-0-0</f>
        <v>735.34929199999999</v>
      </c>
      <c r="K358" s="3">
        <f>0+(835.1-97)+(0+(0-0))+0-0-0</f>
        <v>738.1</v>
      </c>
      <c r="L358" s="3">
        <f>0+(892.4-148)+(0+(0.455124-0.07548))+0-0-0</f>
        <v>744.77964399999996</v>
      </c>
      <c r="M358" s="3">
        <f>0+(954.4-164.7)+(0+(0.973488-0.167994))+0-0-0</f>
        <v>790.505494</v>
      </c>
      <c r="N358" s="3">
        <f>0+(1036.4-179)+(0+(1.057128-0.18258))+0-0-0</f>
        <v>858.2745480000001</v>
      </c>
      <c r="O358" s="3">
        <f>0+(1200.2-308.6)+(0+(0.612102-0.157386))+0-0-0</f>
        <v>892.05471599999998</v>
      </c>
      <c r="P358" s="3">
        <f>86.5+(1155.8-332.9)+(0+(0-0))+0-0-0</f>
        <v>909.4</v>
      </c>
      <c r="Q358" s="3">
        <f>126.9+(1138.3-346.4)+(0+(0-0))+0-0-0</f>
        <v>918.8</v>
      </c>
      <c r="R358" s="3">
        <f>126.3+(1143.4-349.5)+(-0.257652+(-2.332536--0.71298))+0-0-0</f>
        <v>918.32279200000005</v>
      </c>
      <c r="S358" s="3">
        <f>126.8+(1072.8-300)+(-0.064668+(-0.547128--0.153))+0-0-0</f>
        <v>899.1412039999999</v>
      </c>
      <c r="T358" s="3">
        <f>127+(1038.5-278.6)+(0+(0-0))+0-0-0</f>
        <v>886.9</v>
      </c>
      <c r="U358" s="3">
        <f>126.5+(1045.5-292.3)+(-0.12903+(-1.06641--0.298146))+0-0-0</f>
        <v>878.80270600000006</v>
      </c>
      <c r="V358" s="3">
        <f>125.1+(1038.5-290.5)+(0.063801+(0.529635-0.148155))+0-0-0</f>
        <v>873.54528100000005</v>
      </c>
      <c r="W358" s="3">
        <f>127.3+(1048.5-297.1)+(0.064923+(0.534735-0.151521))+0-0-0</f>
        <v>879.14813699999991</v>
      </c>
      <c r="X358" s="3">
        <f>130.8+(1067.6-275.3)+(0.066708+(0.544476-0.140403))+0-0-0</f>
        <v>923.5707809999999</v>
      </c>
      <c r="Y358" s="3">
        <f>131.6+(1172.3-364.8)+(-0.067116+(-0.597873--0.186048))+0-0-0</f>
        <v>938.62105900000006</v>
      </c>
      <c r="Z358" s="3">
        <f>130.8+(1141.4-341.1)+(0.066708+(0.582114-0.173961))+0-0-0</f>
        <v>931.57486100000017</v>
      </c>
      <c r="AA358" s="3">
        <f>131.8+(1095.4-321.6)+(-0.067218+(-0.558654--0.164016))+0-0-0</f>
        <v>905.13814400000012</v>
      </c>
      <c r="AB358" s="3">
        <f>130.4+(1103-351.3)+(-0.532032+(-4.50024--1.433304))+0-0-0</f>
        <v>878.50103200000001</v>
      </c>
      <c r="AC358" s="3">
        <f>128.5+(966.1-260)+(-0.39321+(-2.956266--0.7956))+0-0-0</f>
        <v>832.04612400000008</v>
      </c>
      <c r="AD358">
        <v>936.19999999999993</v>
      </c>
      <c r="AE358" s="3">
        <f>133+(1138.3-335.1)+(0+(0-0))+0-0-0</f>
        <v>936.19999999999993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128.3+(912.4-253.1)+(-0.196299+(-1.395972--0.387243))+0-0-0</f>
        <v>786.39497199999994</v>
      </c>
      <c r="G359" s="3">
        <f>128+(853.2-228.5)+(-0.06528+(-0.435132--0.116535))+0-0-0</f>
        <v>752.31612300000006</v>
      </c>
      <c r="H359" s="3">
        <f>91.5+(789.1-133.5)+(0+(0-0))+0-0-0</f>
        <v>747.1</v>
      </c>
      <c r="I359" s="3">
        <f>79.9+(758.5-104.8)+(0.040749+(0.386835-0.053448))+0-0-0</f>
        <v>733.97413600000004</v>
      </c>
      <c r="J359" s="3">
        <f>86.5+(703.7-76.8)+(0+(0-0))+0-0-0</f>
        <v>713.40000000000009</v>
      </c>
      <c r="K359" s="3">
        <f>124+(752.5-156.3)+(0.06324+(0.383775-0.079713))+0-0-0</f>
        <v>720.56730200000004</v>
      </c>
      <c r="L359" s="3">
        <f>123.2+(836.2-220)+(-0.251328+(-1.705848--0.4488))+0-0-0</f>
        <v>737.89162400000009</v>
      </c>
      <c r="M359" s="3">
        <f>124.2+(850.5-204.5)+(0.190026+(1.301265-0.312885))+0-0-0</f>
        <v>771.37840600000004</v>
      </c>
      <c r="N359" s="3">
        <f>123.9+(922.3-206.3)+(0.126378+(0.940746-0.210426))+0-0-0</f>
        <v>840.75669800000003</v>
      </c>
      <c r="O359" s="3">
        <f>124.2+(1008.4-258.1)+(0.253368+(2.057136-0.526524))+0-0-0</f>
        <v>876.28398000000004</v>
      </c>
      <c r="P359" s="3">
        <f>250.1+(865.6-224.6)+(0+(0-0))+0-0-0</f>
        <v>891.1</v>
      </c>
      <c r="Q359" s="3">
        <f>365+(762.4-228.7)+(-0.18615+(-0.388824--0.116637))+0-0-0</f>
        <v>898.24166300000002</v>
      </c>
      <c r="R359" s="3">
        <f>373+(714.1-200.7)+(0+(0-0))+0-0-0</f>
        <v>886.40000000000009</v>
      </c>
      <c r="S359" s="3">
        <f>371+(642.9-163.5)+(0+(0-0))+0-0-0</f>
        <v>850.4</v>
      </c>
      <c r="T359" s="3">
        <f>367+(636.3-147.8)+(0+(0-0))+0-0-0</f>
        <v>855.5</v>
      </c>
      <c r="U359" s="3">
        <f>366.3+(624.8-154.2)+(-0.560439+(-0.955944--0.235926))+0.8-0-0</f>
        <v>836.41954299999998</v>
      </c>
      <c r="V359" s="3">
        <f>369.1+(607.2-139.6)+(0.752964+(1.238688-0.284784))+0-0-0</f>
        <v>838.40686800000003</v>
      </c>
      <c r="W359" s="3">
        <f>367.6+(583.9-133)+(-0.187476+(-0.297789--0.06783))+0-0-0</f>
        <v>818.08256500000005</v>
      </c>
      <c r="X359" s="3">
        <f>365.2+(668.1-157.3)+(0+(0-0))+0-0-0</f>
        <v>876</v>
      </c>
      <c r="Y359" s="3">
        <f>366.8+(765.8-211.9)+(-0.561204+(-1.171674--0.324207))+0-0-0</f>
        <v>919.29132900000002</v>
      </c>
      <c r="Z359" s="3">
        <f>370.3+(736.5-245.3)+(-0.188853+(-0.375615--0.125103))+0-0-0</f>
        <v>861.06063500000005</v>
      </c>
      <c r="AA359" s="3">
        <f>361.9+(704.6-232.4)+(-0.184569+(-0.359346--0.118524))+0-0-0</f>
        <v>833.67460900000003</v>
      </c>
      <c r="AB359" s="3">
        <f>292.5+(788.5-264.1)+(-0.745875+(-2.010675--0.673455))+0-0-0</f>
        <v>814.81690500000002</v>
      </c>
      <c r="AC359" s="3">
        <f>86+(888.7-188.4)+(-0.2193+(-2.266185--0.48042))+0-0-0</f>
        <v>784.29493500000012</v>
      </c>
      <c r="AD359">
        <v>879.2</v>
      </c>
      <c r="AE359" s="3">
        <f>365+(755.9-241.7)+(0+(0-0))+0-0-0</f>
        <v>879.2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0+(955.8-173.7)+(0+(-0.974916--0.177174))+0-0-0</f>
        <v>781.30225799999994</v>
      </c>
      <c r="G360" s="3">
        <f>0+(873.5-120.2)+(0+(-0.445485--0.061302))+0-0-0</f>
        <v>752.91581699999995</v>
      </c>
      <c r="H360" s="3">
        <f>0+(822.7-92.6)+(0+(0-0))+0-0-0</f>
        <v>730.1</v>
      </c>
      <c r="I360" s="3">
        <f>0+(770-51.3)+(0+(0.7854-0.052326))+0-0-0</f>
        <v>719.43307400000003</v>
      </c>
      <c r="J360" s="3">
        <f>0+(764.2-48.3)+(0+(1.94871-0.123165))+0-0-0</f>
        <v>717.72554500000012</v>
      </c>
      <c r="K360" s="3">
        <f>0+(749.4-39.4)+(0+(1.91097-0.10047))+0-0-0</f>
        <v>711.81050000000005</v>
      </c>
      <c r="L360" s="3">
        <f>0+(784.2-62.4)+(0+(0.399942-0.031824))+0-0-0</f>
        <v>722.16811800000005</v>
      </c>
      <c r="M360" s="3">
        <f>94.9+(788-110.3)+(0+(0-0))+0-0-0</f>
        <v>772.6</v>
      </c>
      <c r="N360" s="3">
        <f>356.2+(645.2-158.3)+(0+(0-0))+0-0-0</f>
        <v>843.1</v>
      </c>
      <c r="O360" s="3">
        <f>379.3+(631.8-222.2)+(0.386886+(0.644436-0.226644))+0-0-0</f>
        <v>789.70467799999994</v>
      </c>
      <c r="P360" s="3">
        <f>375.2+(713.3-193.1)+(-0.191352+(-0.363783--0.098481))+0-0-0</f>
        <v>894.94334599999991</v>
      </c>
      <c r="Q360" s="3">
        <f>373.8+(745.9-213.2)+(-0.381276+(-0.760818--0.217464))+0-0-0</f>
        <v>905.57537000000002</v>
      </c>
      <c r="R360" s="3">
        <f>370.1+(712.2-201.5)+(-0.377502+(-0.726444--0.20553))+0-0-0</f>
        <v>879.90158400000007</v>
      </c>
      <c r="S360" s="3">
        <f>367+(703.9-179)+(-0.18717+(-0.358989--0.09129))+0-0-0</f>
        <v>891.44513099999995</v>
      </c>
      <c r="T360" s="3">
        <f>365+(641.3-165.4)+(-0.7446+(-1.308252--0.337416))+0-0-0</f>
        <v>839.18456400000002</v>
      </c>
      <c r="U360" s="3">
        <f>368.6+(667.7-179.6)+(0+(0-0))+0-0-0</f>
        <v>856.7</v>
      </c>
      <c r="V360" s="3">
        <f>366.8+(658.2-173.8)+(-0.374136+(-0.671364--0.177276))+0-0-0</f>
        <v>850.33177599999999</v>
      </c>
      <c r="W360" s="3">
        <f>368.5+(638.7-162.7)+(-0.187935+(-0.325737--0.082977))+0-0-0</f>
        <v>844.06930499999999</v>
      </c>
      <c r="X360" s="3">
        <f>168.1+(1092-367.9)+(-0.085731+(-0.55692--0.187629))+0-0-0</f>
        <v>891.74497800000006</v>
      </c>
      <c r="Y360" s="3">
        <f>368.3+(867.1-319.9)+(-0.375666+(-0.884442--0.326298))+0-0-0</f>
        <v>914.56619000000001</v>
      </c>
      <c r="Z360" s="3">
        <f>366+(839.1-306.4)+(-0.9333+(-2.139705--0.78132))+0-0-0</f>
        <v>896.40831500000002</v>
      </c>
      <c r="AA360" s="3">
        <f>370.2+(786-277.3)+(-0.377604+(-0.80172--0.282846))+0-0-0</f>
        <v>878.00352199999998</v>
      </c>
      <c r="AB360" s="3">
        <f>321.1+(802.6-269.9)+(-0.491283+(-1.227978--0.412947))+0-0-0</f>
        <v>852.49368600000003</v>
      </c>
      <c r="AC360" s="3">
        <f>32.2+(1078.1-282.1)+(-0.049266+(-1.649493--0.431613))+0-0-0</f>
        <v>826.93285399999991</v>
      </c>
      <c r="AD360">
        <v>907.19999999999993</v>
      </c>
      <c r="AE360" s="3">
        <f>370+(862.6-325.4)+(0+(0-0))+0-0-0</f>
        <v>907.2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0+(942.9-181)+(0+(-0.961758--0.18462))+0-0-0</f>
        <v>761.12286199999994</v>
      </c>
      <c r="G361" s="3">
        <f>0+(902.1-167.9)+(0+(0.460071-0.085629))+0-0-0</f>
        <v>734.57444200000009</v>
      </c>
      <c r="H361" s="3">
        <f>0+(886.5-162.8)+(0+(-1.356345--0.249084))+0-0-0</f>
        <v>722.59273900000005</v>
      </c>
      <c r="I361" s="3">
        <f>0+(840.4-130.3)+(0+(-0.857208--0.132906))+0-0-0</f>
        <v>709.37569799999994</v>
      </c>
      <c r="J361" s="3">
        <f>0+(820.6-109)+(0+(-1.255518--0.16677))+0-0-0</f>
        <v>710.51125200000001</v>
      </c>
      <c r="K361" s="3">
        <f>0+(834.1-120.3)+(0+(1.276173-0.184059))+0-0-0</f>
        <v>714.89211400000011</v>
      </c>
      <c r="L361" s="3">
        <f>0+(1017.9-295.6)+(0+(-1.038258--0.301512))+0-0-0</f>
        <v>721.56325399999992</v>
      </c>
      <c r="M361" s="3">
        <f>0+(1086.9-332.7)+(0+(0-0))+0-0-0</f>
        <v>754.2</v>
      </c>
      <c r="N361" s="3">
        <f>0+(1154.9-345.7)+(0+(1.177998-0.352614))+0-0-0</f>
        <v>810.02538400000003</v>
      </c>
      <c r="O361" s="3">
        <f>67.7+(1209.2-450.4)+(0.103581+(1.850076-0.689112))+0-0-0</f>
        <v>827.76454500000011</v>
      </c>
      <c r="P361" s="3">
        <f>121.8+(1214-492.4)+(0+(0-0))+0-0-0</f>
        <v>843.4</v>
      </c>
      <c r="Q361" s="3">
        <f>121.9+(1211-504.3)+(-0.062169+(-0.61761--0.257193))+0-0-0</f>
        <v>828.177414</v>
      </c>
      <c r="R361" s="3">
        <f>119.3+(1161.8-493.4)+(-0.486744+(-4.740144--2.013072))+0-0-0</f>
        <v>784.48618399999998</v>
      </c>
      <c r="S361" s="3">
        <f>120.8+(1068.6-456.2)+(-0.246432+(-2.179944--0.930648))+0-0-0</f>
        <v>731.70427199999983</v>
      </c>
      <c r="T361" s="3">
        <f>121.9+(1021.6-436.9)+(0.062169+(0.521016-0.222819))+0-0-0</f>
        <v>706.96036600000002</v>
      </c>
      <c r="U361" s="3">
        <f>120.3+(1015.2-388.4)+(-0.368118+(-3.106512--1.188504))+0-0-0</f>
        <v>744.81387400000006</v>
      </c>
      <c r="V361" s="3">
        <f>121.1+(952-318.7)+(-0.370566+(-2.91312--0.975222))+0-0-0</f>
        <v>752.09153600000002</v>
      </c>
      <c r="W361" s="3">
        <f>119.5+(951.3-313)+(-0.182835+(-1.455489--0.47889))+0-0-0</f>
        <v>756.64056599999992</v>
      </c>
      <c r="X361" s="3">
        <f>128+(943-279.4)+(-0.06528+(-0.48093--0.142494))+0-0-0</f>
        <v>791.19628399999999</v>
      </c>
      <c r="Y361" s="3">
        <f>130+(943.4-365.9)+(-0.2652+(-1.924536--0.746436))+0-0-0</f>
        <v>706.05669999999998</v>
      </c>
      <c r="Z361" s="3">
        <f>128+(1061-344.1)+(0.06528+(0.54111-0.175491))+0-0-0</f>
        <v>845.33089899999993</v>
      </c>
      <c r="AA361" s="3">
        <f>126.6+(1017.4-316)+(-0.193698+(-1.556622--0.48348))+0-0-0</f>
        <v>826.73316</v>
      </c>
      <c r="AB361" s="3">
        <f>126.9+(1014-341.2)+(-0.064719+(-0.51714--0.174012))+0-0-0</f>
        <v>799.29215299999998</v>
      </c>
      <c r="AC361" s="3">
        <f>94+(1050.6-363.2)+(-0.33558+(-3.750642--1.296624))+0-0-0</f>
        <v>778.61040199999991</v>
      </c>
      <c r="AD361">
        <v>768</v>
      </c>
      <c r="AE361" s="3">
        <f>128+(1037.8-397.8)+(0+(0-0))+0-0-0</f>
        <v>768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0+(1095-349)+(0+(-1.1169--0.35598))+0-0-0</f>
        <v>745.23907999999994</v>
      </c>
      <c r="G362" s="3">
        <f>0+(976.5-254.4)+(0+(-1.99206--0.518976))+0-0-0</f>
        <v>720.62691600000005</v>
      </c>
      <c r="H362" s="3">
        <f>0+(874.4-184.2)+(0+(-1.337832--0.281826))+0-0-0</f>
        <v>689.14399400000002</v>
      </c>
      <c r="I362" s="3">
        <f>0+(831.8-147.5)+(0+(-1.696872--0.3009))+0-0-0</f>
        <v>682.90402799999993</v>
      </c>
      <c r="J362" s="3">
        <f>0+(857.7-176.1)+(0+(1.312281-0.269433))+0-0-0</f>
        <v>682.64284800000007</v>
      </c>
      <c r="K362" s="3">
        <f>0+(872.6-200.6)+(0+(1.780104-0.409224))+0-0-0</f>
        <v>673.37088000000006</v>
      </c>
      <c r="L362" s="3">
        <f>0+(933.6-274.5)+(0+(-0.476136--0.139995))+0-0-0</f>
        <v>658.76385900000002</v>
      </c>
      <c r="M362" s="3">
        <f>0+(958-287.2)+(0+(-0.48858--0.146472))+0-0-0</f>
        <v>670.4578919999999</v>
      </c>
      <c r="N362" s="3">
        <f>0+(968.8-271)+(0+(-1.482264--0.41463))+0-0-0</f>
        <v>696.73236599999996</v>
      </c>
      <c r="O362" s="3">
        <f>0+(1108.3-376.9)+(0+(0-0))+0-0-0</f>
        <v>731.4</v>
      </c>
      <c r="P362" s="3">
        <f>0+(1146.3-389.3)+(0+(2.338452-0.794172))+0-0-0</f>
        <v>758.54427999999996</v>
      </c>
      <c r="Q362" s="3">
        <f>0+(1193.6-431)+(0+(-0.608736--0.21981))+0-0-0</f>
        <v>762.21107399999994</v>
      </c>
      <c r="R362" s="3">
        <f>0+(1194-433.2)+(0+(-3.0447--1.10466))+0-0-0</f>
        <v>758.85996</v>
      </c>
      <c r="S362" s="3">
        <f>0+(1198.3-452.3)+(0+(-0.611133--0.230673))+0-0-0</f>
        <v>745.61954000000003</v>
      </c>
      <c r="T362" s="3">
        <f>0+(1233.5-499.7)+(0+(-3.145425--1.274235))+0-0-0</f>
        <v>731.92881</v>
      </c>
      <c r="U362" s="3">
        <f>0+(1208.4-487.2)+(0+(-0.616284--0.248472))+0-0-0</f>
        <v>720.83218800000009</v>
      </c>
      <c r="V362" s="3">
        <f>0+(1220.2-508.6)+(0+(-0.622302--0.259386))+0-0-0</f>
        <v>711.23708399999998</v>
      </c>
      <c r="W362" s="3">
        <f>0+(1191.7-473.4)+(0+(0.607767-0.241434))+0-0-0</f>
        <v>718.66633300000012</v>
      </c>
      <c r="X362" s="3">
        <f>0+(1150.2-377)+(0+(0-0))+0-0-0</f>
        <v>773.2</v>
      </c>
      <c r="Y362" s="3">
        <f>0+(1191.7-383.5)+(0+(-3.038835--0.977925))+0-0-0</f>
        <v>806.13909000000001</v>
      </c>
      <c r="Z362" s="3">
        <f>0+(1201.4-404.4)+(0+(0-0))+0-0-0</f>
        <v>797.00000000000011</v>
      </c>
      <c r="AA362" s="3">
        <f>0+(1151.3-366.3)+(0+(-3.522978--1.120878))+0-0-0</f>
        <v>782.59789999999998</v>
      </c>
      <c r="AB362" s="3">
        <f>0+(1160.1-396.5)+(0+(-0.591651--0.202215))+0-0-0</f>
        <v>763.21056399999986</v>
      </c>
      <c r="AC362" s="3">
        <f>0+(1043-313.5)+(0+(-2.12772--0.63954))+0-0-0</f>
        <v>728.01181999999994</v>
      </c>
      <c r="AD362">
        <v>814.8</v>
      </c>
      <c r="AE362" s="3">
        <f>0+(1195.5-380.7)+(0+(0-0))+0-0-0</f>
        <v>814.8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0+(966.4-273.6)+(0+(-0.985728--0.279072))+0-0-0</f>
        <v>692.093344</v>
      </c>
      <c r="G363" s="3">
        <f>0+(927.8-260.4)+(0+(-0.946356--0.265608))+0-0-0</f>
        <v>666.71925199999998</v>
      </c>
      <c r="H363" s="3">
        <f>0+(883.7-241.8)+(0+(0-0))+0-0-0</f>
        <v>641.90000000000009</v>
      </c>
      <c r="I363" s="3">
        <f>0+(868.1-222.8)+(0+(-1.328193--0.340884))+0-0-0</f>
        <v>644.31269099999997</v>
      </c>
      <c r="J363" s="3">
        <f>0+(851.6-206)+(0+(0.434316-0.10506))+0-0-0</f>
        <v>645.92925600000001</v>
      </c>
      <c r="K363" s="3">
        <f>0+(917-270.3)+(0+(1.40301-0.413559))+0-0-0</f>
        <v>647.68945100000008</v>
      </c>
      <c r="L363" s="3">
        <f>0+(1007.3-350.1)+(0+(-2.568615--0.892755))+0-0-0</f>
        <v>655.52413999999999</v>
      </c>
      <c r="M363" s="3">
        <f>21.7+(1020.2-360.9)+(-0.044268+(-2.081208--0.736236))+0-0-0</f>
        <v>679.61076000000014</v>
      </c>
      <c r="N363" s="3">
        <f>50.1+(1086.5-411.6)+(0+(0-0))+0-0-0</f>
        <v>725</v>
      </c>
      <c r="O363" s="3">
        <f>105.4+(1129.9-480.2)+(0.053754+(0.576249-0.244902))+0-0-0</f>
        <v>755.48510099999999</v>
      </c>
      <c r="P363" s="3">
        <f>130.2+(1177.6-522.2)+(0+(0-0))+0-0-0</f>
        <v>785.59999999999991</v>
      </c>
      <c r="Q363" s="3">
        <f>129.5+(1150.5-496.8)+(0+(0-0))+0-0-0</f>
        <v>783.2</v>
      </c>
      <c r="R363" s="3">
        <f>50+(1178.8-476.9)+(-0.102+(-2.404752--0.972876))+0-0-0</f>
        <v>750.36612400000001</v>
      </c>
      <c r="S363" s="3">
        <f>50.1+(1020-340.5)+(-0.076653+(-1.5606--0.520965))+0-0-0</f>
        <v>728.48371199999997</v>
      </c>
      <c r="T363" s="3">
        <f>43.4+(982.9-313.3)+(-0.022134+(-0.501279--0.159783))+0-0-0</f>
        <v>712.63636999999994</v>
      </c>
      <c r="U363" s="3">
        <f>43+(984-280)+(0+(0-0))+0-0-0</f>
        <v>747</v>
      </c>
      <c r="V363" s="3">
        <f>0+(984.5-279.5)+(0+(-1.506285--0.427635))+0-0-0</f>
        <v>703.92134999999996</v>
      </c>
      <c r="W363" s="3">
        <f>49.6+(849.8-203.8)+(0+(0-0))+0-0-0</f>
        <v>695.6</v>
      </c>
      <c r="X363" s="3">
        <f>50.1+(797.8-125.5)+(-0.025551+(-0.406878--0.064005))+0-0-0</f>
        <v>722.03157599999997</v>
      </c>
      <c r="Y363" s="3">
        <f>50.1+(896.7-178.8)+(-0.076653+(-1.371951--0.273564))+0-0-0</f>
        <v>766.82496000000015</v>
      </c>
      <c r="Z363" s="3">
        <f>50+(876.7-195.1)+(-0.0765+(-1.341351--0.298503))+0-0-0</f>
        <v>730.48065200000008</v>
      </c>
      <c r="AA363" s="3">
        <f>50.1+(851.2-187.9)+(-0.051102+(-0.868224--0.191658))+0-0-0</f>
        <v>712.6723320000001</v>
      </c>
      <c r="AB363" s="3">
        <f>50+(870.4-207.2)+(-0.1275+(-2.21952--0.52836))+0-0-0</f>
        <v>711.38134000000002</v>
      </c>
      <c r="AC363" s="3">
        <f>47.3+(845.4-217.9)+(-0.072369+(-1.293462--0.333387))+0-0-0</f>
        <v>673.7675559999999</v>
      </c>
      <c r="AD363">
        <v>789.8</v>
      </c>
      <c r="AE363" s="3">
        <f>50+(905.8-166)+(0+(0-0))+0-0-0</f>
        <v>789.8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0+(854.9-217.4)+(0+(-2.179995--0.55437))+0-0-0</f>
        <v>635.87437499999999</v>
      </c>
      <c r="G364" s="3">
        <f>0+(818.8-228.5)+(0+(-2.08794--0.582675))+0-0-0</f>
        <v>588.79473499999995</v>
      </c>
      <c r="H364" s="3">
        <f>0+(836.5-256.5)+(0+(-0.426615--0.130815))+0-0-0</f>
        <v>579.70420000000001</v>
      </c>
      <c r="I364" s="3">
        <f>0+(849.5-279.4)+(0+(-1.299735--0.427482))+0-0-0</f>
        <v>569.22774700000002</v>
      </c>
      <c r="J364" s="3">
        <f>0+(854.7-270.5)+(0+(-1.307691--0.413865))+0-0-0</f>
        <v>583.30617400000006</v>
      </c>
      <c r="K364" s="3">
        <f>0+(832.7-250)+(0+(-1.274031--0.3825))+0-0-0</f>
        <v>581.80846900000006</v>
      </c>
      <c r="L364" s="3">
        <f>0+(828-287.5)+(0+(-0.84456--0.29325))+0-0-0</f>
        <v>539.94869000000006</v>
      </c>
      <c r="M364" s="3">
        <f>0+(790-235.6)+(0+(0.4029-0.120156))+0-0-0</f>
        <v>554.68274399999996</v>
      </c>
      <c r="N364" s="3">
        <f>0+(758-189.8)+(0+(0.38658-0.096798))+0-0-0</f>
        <v>568.48978199999999</v>
      </c>
      <c r="O364" s="3">
        <f>0+(837.3-213.5)+(0+(0-0))+0-0-0</f>
        <v>623.79999999999995</v>
      </c>
      <c r="P364" s="3">
        <f>0+(887.7-234.2)+(0+(-1.358181--0.358326))+0-0-0</f>
        <v>652.50014499999997</v>
      </c>
      <c r="Q364" s="3">
        <f>0+(843.7-193.9)+(0+(0-0))+0-0-0</f>
        <v>649.80000000000007</v>
      </c>
      <c r="R364" s="3">
        <f>0+(829.1-180.8)+(0+(-0.845682--0.184416))+0-0-0</f>
        <v>647.638734</v>
      </c>
      <c r="S364" s="3">
        <f>0+(815.7-208.9)+(0+(-0.832014--0.213078))+0-0-0</f>
        <v>606.18106400000011</v>
      </c>
      <c r="T364" s="3">
        <f>0+(765.7-200.7)+(0+(0-0))+0-0-0</f>
        <v>565</v>
      </c>
      <c r="U364" s="3">
        <f>0+(739.6-166.5)+(0+(-0.377196--0.084915))+0-0-0</f>
        <v>572.80771900000002</v>
      </c>
      <c r="V364" s="3">
        <f>0+(735.9-165.1)+(0+(-0.375309--0.084201))+0-0-0</f>
        <v>570.50889199999995</v>
      </c>
      <c r="W364" s="3">
        <f>0+(694.4-101.3)+(0+(-0.708288--0.103326))+0-0-0</f>
        <v>592.49503800000002</v>
      </c>
      <c r="X364" s="3">
        <f>0+(632.6-84)+(0+(-0.322626--0.04284))+0-0-0</f>
        <v>548.32021400000008</v>
      </c>
      <c r="Y364" s="3">
        <f>0+(813.6-234.5)+(0+(-2.07468--0.597975))+0-0-0</f>
        <v>577.62329499999998</v>
      </c>
      <c r="Z364" s="3">
        <f>0+(815.5-223.7)+(0+(-2.49543--0.684522))+0-0-0</f>
        <v>589.98909199999991</v>
      </c>
      <c r="AA364" s="3">
        <f>0+(767-187.8)+(0+(-0.78234--0.191556))+0-0-0</f>
        <v>578.60921600000006</v>
      </c>
      <c r="AB364" s="3">
        <f>0+(794.5-198.1)+(0+(-1.62078--0.404124))+0-0-0</f>
        <v>595.18334400000003</v>
      </c>
      <c r="AC364" s="3">
        <f>0+(710-109.9)+(0+(-0.7242--0.112098))+0-0-0</f>
        <v>599.48789799999997</v>
      </c>
      <c r="AD364">
        <v>720</v>
      </c>
      <c r="AE364" s="3">
        <f>0+(882.7-162.7)+(0+(0-0))+0-0-0</f>
        <v>720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0+(717.4-100.2)+(0+(0.365874-0.051102))+0-0-0</f>
        <v>617.51477199999988</v>
      </c>
      <c r="G365" s="3">
        <f>0+(718.4-148.3)+(0+(-1.83192--0.378165))+0-0-0</f>
        <v>568.64624499999991</v>
      </c>
      <c r="H365" s="3">
        <f>0+(759.5-211)+(0+(-0.387345--0.10761))+0-0-0</f>
        <v>548.22026500000004</v>
      </c>
      <c r="I365" s="3">
        <f>0+(762-219.7)+(0+(-0.77724--0.224094))+0-0-0</f>
        <v>541.74685399999998</v>
      </c>
      <c r="J365" s="3">
        <f>0+(738.5-209.5)+(0+(1.129905-0.320535))+0-0-0</f>
        <v>529.80936999999994</v>
      </c>
      <c r="K365" s="3">
        <f>0+(738.9-220.6)+(0+(0.376839-0.112506))+0-0-0</f>
        <v>518.56433299999992</v>
      </c>
      <c r="L365" s="3">
        <f>0+(787.1-283.9)+(0+(-1.605684--0.579156))+0-0-0</f>
        <v>502.17347200000006</v>
      </c>
      <c r="M365" s="3">
        <f>0+(759.2-253.5)+(0+(0.387192-0.129285))+0-0-0</f>
        <v>505.95790700000003</v>
      </c>
      <c r="N365" s="3">
        <f>0+(711.9-173.3)+(0+(0.726138-0.176766))+0-0-0</f>
        <v>539.14937199999986</v>
      </c>
      <c r="O365" s="3">
        <f>0+(725.6-145.9)+(0+(-0.370056--0.074409))+0-0-0</f>
        <v>579.40435300000001</v>
      </c>
      <c r="P365" s="3">
        <f>0+(723.8-119.8)+(0+(-1.476552--0.244392))+0-0-0</f>
        <v>602.76783999999998</v>
      </c>
      <c r="Q365" s="3">
        <f>0+(761.1-164)+(0+(-0.388161--0.08364))+0-0-0</f>
        <v>596.795479</v>
      </c>
      <c r="R365" s="3">
        <f>0+(729.9-142.7)+(0+(-2.233494--0.436662))+0-0-0</f>
        <v>585.40316800000005</v>
      </c>
      <c r="S365" s="3">
        <f>0+(723.1-149.6)+(0+(0.368781-0.076296))+0-0-0</f>
        <v>573.79248500000006</v>
      </c>
      <c r="T365" s="3">
        <f>0+(709.3-138.3)+(0+(-0.361743--0.070533))+0-0-0</f>
        <v>570.70879000000002</v>
      </c>
      <c r="U365" s="3">
        <f>0+(654.5-89.3)+(0+(-0.333795--0.045543))+0-0-0</f>
        <v>564.91174799999999</v>
      </c>
      <c r="V365" s="3">
        <f>0+(610.2-49.6)+(0+(0-0))+0-0-0</f>
        <v>560.6</v>
      </c>
      <c r="W365" s="3">
        <f>0+(582.9-21.2)+(0+(-1.189116--0.043248))+0-0-0</f>
        <v>560.55413199999998</v>
      </c>
      <c r="X365" s="3">
        <f>0+(630.4-16.4)+(0+(-0.964512--0.025092))+0-0-0</f>
        <v>613.06057999999996</v>
      </c>
      <c r="Y365" s="3">
        <f>0+(814.1-142.8)+(0+(-1.245573--0.218484))+0-0-0</f>
        <v>670.27291099999991</v>
      </c>
      <c r="Z365" s="3">
        <f>0+(840.3-172.2)+(0+(-2.142765--0.43911))+0-0-0</f>
        <v>666.39634499999988</v>
      </c>
      <c r="AA365" s="3">
        <f>0+(843.3-183.7)+(0+(-1.720332--0.374748))+0-0-0</f>
        <v>658.25441599999988</v>
      </c>
      <c r="AB365" s="3">
        <f>0+(875.5-222.4)+(0+(-1.78602--0.453696))+0-0-0</f>
        <v>651.76767600000005</v>
      </c>
      <c r="AC365" s="3">
        <f>0+(814.2-184)+(0+(-1.245726--0.28152))+0-0-0</f>
        <v>629.23579400000006</v>
      </c>
      <c r="AD365">
        <v>661.40000000000009</v>
      </c>
      <c r="AE365" s="3">
        <f>0+(809.7-148.3)+(0+(0-0))+0-0-0</f>
        <v>661.40000000000009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997.4+(394-146.6)+(-2.54337+(-1.0047--0.37383))+0-28.6--0.0729299999999959</f>
        <v>1213.09869</v>
      </c>
      <c r="G1" s="3">
        <f>995.8+(315.5-170.2)+(-1.523574+(-0.482715--0.260406))+0-28.4--0.0434520000000016</f>
        <v>1110.9975689999997</v>
      </c>
      <c r="H1" s="3">
        <f>958.8+(304.3-168.5)+(-0.488988+(-0.155193--0.085935))+0-28.6--0.0145859999999971</f>
        <v>1065.45634</v>
      </c>
      <c r="I1" s="3">
        <f>809.1+(333.9-140.5)+(-2.063205+(-0.851445--0.358275))+0-28.1--0.0716549999999959</f>
        <v>971.91527999999994</v>
      </c>
      <c r="J1" s="3">
        <f>762.5+(309-147.7)+(-0.388875+(-0.15759--0.075327))+0-28.4--0.0144839999999971</f>
        <v>894.94334600000002</v>
      </c>
      <c r="K1" s="3">
        <f>753.4+(310.6-144.5)+(-1.92117+(-0.79203--0.368475))+0-27.8--0.070889999999996</f>
        <v>889.42616499999997</v>
      </c>
      <c r="L1" s="3">
        <f>703.3+(326-135.7)+(0+(0-0))+0-28-0</f>
        <v>865.59999999999991</v>
      </c>
      <c r="M1" s="3">
        <f>704.7+(326.4-122.7)+(0+(0-0))+0-27.8-0</f>
        <v>880.60000000000014</v>
      </c>
      <c r="N1" s="3">
        <f>773.6+(329-104.7)+(-1.183608+(-0.50337--0.160191))+0-28.2--0.0431460000000016</f>
        <v>968.21635900000001</v>
      </c>
      <c r="O1" s="3">
        <f>793.6+(365.4-98.1)+(-0.404736+(-0.186354--0.050031))+0-28.3--0.0144329999999971</f>
        <v>1032.0733740000003</v>
      </c>
      <c r="P1" s="3">
        <f>792.4+(355.5-103.4)+(-1.212372+(-0.543915--0.158202))+0-28.4--0.0434520000000016</f>
        <v>1014.5453669999999</v>
      </c>
      <c r="Q1" s="3">
        <f>741.7+(379.6-105.5)+(-1.134801+(-0.580788--0.161415))+0-27.6--0.0422280000000016</f>
        <v>986.68805400000008</v>
      </c>
      <c r="R1" s="3">
        <f>705.9+(393.3-110.6)+(-0.360009+(-0.200583--0.056406))+0-27--0.0137699999999973</f>
        <v>961.10958400000004</v>
      </c>
      <c r="S1" s="3">
        <f>705.7+(379.5-115.1)+(0.719814+(0.38709-0.117402))+0-25.9-0.0264180000000041</f>
        <v>945.16308400000003</v>
      </c>
      <c r="T1" s="3">
        <f>706.2+(364.5-106.4)+(-1.080486+(-0.557685--0.162792))+0-27.2--0.0416160000000016</f>
        <v>935.66623700000002</v>
      </c>
      <c r="U1" s="3">
        <f>705+(360.8-105.8)+(-0.7191+(-0.368016--0.107916))+0-26.7--0.0272340000000043</f>
        <v>932.34803399999998</v>
      </c>
      <c r="V1" s="3">
        <f>722.7+(364.3-110.9)+(-0.368577+(-0.185793--0.056559))+0-26--0.0132599999999974</f>
        <v>949.61544900000001</v>
      </c>
      <c r="W1" s="3">
        <f>788.7+(385.3-131.2)+(0+(0-0))+0-28.2-0</f>
        <v>1014.6000000000001</v>
      </c>
      <c r="X1" s="3">
        <f>828.1+(500.1-112.5)+(0+(0-0))+0-27.5-0</f>
        <v>1188.2</v>
      </c>
      <c r="Y1" s="3">
        <f>859.6+(657.4-108.1)+(-0.438396+(-0.335274--0.055131))+0-27.7--0.0141269999999972</f>
        <v>1380.495588</v>
      </c>
      <c r="Z1" s="3">
        <f>847.2+(657.5-107.2)+(0.432072+(0.335325-0.054672))+0-27.5-0.0140249999999972</f>
        <v>1370.6987000000001</v>
      </c>
      <c r="AA1" s="3">
        <f>863.1+(614.8-106.3)+(0+(0-0))+0-26.6-0</f>
        <v>1345</v>
      </c>
      <c r="AB1" s="3">
        <f>845.9+(579.4-111.9)+(0+(0-0))+0-26-0</f>
        <v>1287.4000000000001</v>
      </c>
      <c r="AC1" s="3">
        <f>741.5+(567.6-118.5)+(-0.378165+(-0.289476--0.060435))+0-27.9--0.0142289999999972</f>
        <v>1162.1070229999998</v>
      </c>
      <c r="AD1">
        <v>1376.8999999999999</v>
      </c>
      <c r="AE1" s="3">
        <f>859.2+(657-108.7)+(0+(0-0))+0-26.4-0</f>
        <v>1381.1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1057.5535114999998</v>
      </c>
      <c r="G2" s="3">
        <f>807+(368-193)+(0+(0-0))+0-29-0</f>
        <v>953</v>
      </c>
      <c r="H2" s="3">
        <f>737.8+(361.9-190.3)+(-1.505112+(-0.738276--0.388212))+0-28.3--0.0577319999999988</f>
        <v>879.30255599999987</v>
      </c>
      <c r="I2" s="3">
        <f>705.3+(331.1-183.7)+(-0.719406+(-0.337722--0.187374))+0-28.2--0.0287640000000045</f>
        <v>823.65901000000008</v>
      </c>
      <c r="J2" s="3">
        <f>704.8+(304.6-177.5)+(0+(0-0))+0-27.7-0</f>
        <v>804.19999999999993</v>
      </c>
      <c r="K2" s="3">
        <f>769.4+(249.3-186.8)+(-1.177182+(-0.381429--0.285804))+0-27.4--0.0419220000000016</f>
        <v>803.26911500000006</v>
      </c>
      <c r="L2" s="3">
        <f>705.3+(295.5-166.7)+(-0.719406+(-0.30141--0.170034))+0-28.2--0.0287640000000045</f>
        <v>805.07798199999991</v>
      </c>
      <c r="M2" s="3">
        <f>704.5+(264.5-177)+(-2.515065+(-0.944265--0.63189))+0-28.6--0.102102</f>
        <v>760.6746619999999</v>
      </c>
      <c r="N2" s="3">
        <f>706.8+(257.9-160.6)+(1.081404+(0.394587-0.245718))+0-28.8-0.0440640000000017</f>
        <v>776.48620899999992</v>
      </c>
      <c r="O2" s="3">
        <f>730.7+(285.8-131.4)+(1.117971+(0.437274-0.201042))+0-28.9-0.0442170000000017</f>
        <v>857.50998600000003</v>
      </c>
      <c r="P2" s="3">
        <f>791.1+(312.6-131.8)+(0.806922+(0.318852-0.134436))+0-27.5-0.0280500000000044</f>
        <v>945.36328800000013</v>
      </c>
      <c r="Q2" s="3">
        <f>766.2+(368.6-134.8)+(-2.344572+(-1.127916--0.412488))+0-27.5--0.0841500000000032</f>
        <v>969.52415000000008</v>
      </c>
      <c r="R2" s="3">
        <f>710.4+(404.6-133.1)+(-0.362304+(-0.206346--0.067881))+0-25.5--0.0130049999999974</f>
        <v>955.91223600000001</v>
      </c>
      <c r="S2" s="3">
        <f>707.8+(391.4-136.1)+(0.721956+(0.399228-0.138822))+0-24.7-0.0251940000000039</f>
        <v>939.35716799999977</v>
      </c>
      <c r="T2" s="3">
        <f>708+(368.1-132.5)+(-1.08324+(-0.563193--0.202725))+0-27.3--0.0417690000000016</f>
        <v>914.8980610000001</v>
      </c>
      <c r="U2" s="3">
        <f>705.8+(341.6-136.2)+(0+(0-0))+0-28.3-0</f>
        <v>882.90000000000009</v>
      </c>
      <c r="V2" s="3">
        <f>706.8+(358.7-128)+(-1.081404+(-0.548811--0.19584))+0-27.7--0.0423810000000016</f>
        <v>908.40800599999989</v>
      </c>
      <c r="W2" s="3">
        <f>706.1+(407.4-151.2)+(-1.440444+(-0.831096--0.308448))+0-29.2--0.0595679999999987</f>
        <v>931.19647599999996</v>
      </c>
      <c r="X2" s="3">
        <f>738.4+(437.8-154.2)+(-1.506336+(-0.893112--0.314568))+0-28.5--0.0581399999999988</f>
        <v>991.47325999999998</v>
      </c>
      <c r="Y2" s="3">
        <f>770.1+(551.9-143.1)+(-1.178253+(-0.844407--0.218943))+0-29.9--0.0457470000000017</f>
        <v>1147.2420299999999</v>
      </c>
      <c r="Z2" s="3">
        <f>818.6+(705.7-150)+(-2.08743+(-1.799535--0.3825))+0-29.8--0.0759899999999957</f>
        <v>1341.0715250000003</v>
      </c>
      <c r="AA2" s="3">
        <f>776.8+(724.4-144.1)+(-0.396168+(-0.369444--0.073491))+0-29.4--0.014993999999997</f>
        <v>1327.0228729999997</v>
      </c>
      <c r="AB2" s="3">
        <f>774.3+(694.9-148.2)+(-2.369358+(-2.126394--0.453492))+0-28.7--0.0878220000000033</f>
        <v>1288.345562</v>
      </c>
      <c r="AC2" s="3">
        <f>774.4+(631.6-144.6)+(-0.789888+(-0.644232--0.147492))+0-28.8--0.0293760000000046</f>
        <v>1231.342748</v>
      </c>
      <c r="AD2">
        <v>1375.7</v>
      </c>
      <c r="AE2" s="3">
        <f>820.8+(698.7-107.8)+(0+(0-0))+0-28-0</f>
        <v>1383.7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771.6+(500-150.3)+(-0.787032+(-0.51--0.153306))+0-26.8--0.0273360000000043</f>
        <v>1093.3836100000001</v>
      </c>
      <c r="G3" s="3">
        <f>757.6+(405.5-178.5)+(0+(0-0))+0-29.8-0</f>
        <v>954.80000000000007</v>
      </c>
      <c r="H3" s="3">
        <f>705+(377.7-184.7)+(-1.4382+(-0.770508--0.376788))+0-28.6--0.0583439999999988</f>
        <v>867.62642400000004</v>
      </c>
      <c r="I3" s="3">
        <f>704.9+(336.3-187)+(0+(0-0))+0-27.9-0</f>
        <v>826.30000000000007</v>
      </c>
      <c r="J3" s="3">
        <f>705.8+(319.5-182.1)+(-1.79979+(-0.814725--0.464355))+0-27.4--0.069869999999996</f>
        <v>813.71970999999996</v>
      </c>
      <c r="K3" s="3">
        <f>704.9+(316.6-182)+(1.437996+(0.645864-0.37128))+0-27.7-0.0565079999999988</f>
        <v>813.45607199999995</v>
      </c>
      <c r="L3" s="3">
        <f>704.3+(327.8-177.2)+(-1.077579+(-0.501534--0.271116))+0-27.7--0.0423810000000016</f>
        <v>825.93438399999991</v>
      </c>
      <c r="M3" s="3">
        <f>705.3+(310.9-197.5)+(-0.359703+(-0.158559--0.100725))+0-28--0.0142799999999972</f>
        <v>790.29674299999988</v>
      </c>
      <c r="N3" s="3">
        <f>709.5+(328.4-191.1)+(0+(0-0))+0-29.9-0</f>
        <v>816.9</v>
      </c>
      <c r="O3" s="3">
        <f>705+(392.1-160.2)+(-0.35955+(-0.199971--0.081702))+0-29.5--0.015044999999997</f>
        <v>906.93722600000012</v>
      </c>
      <c r="P3" s="3">
        <f>753.1+(415.9-149.4)+(0+(0-0))+0-28.5-0</f>
        <v>991.1</v>
      </c>
      <c r="Q3" s="3">
        <f>797.4+(392.9-134.6)+(0+(0-0))+0-28-0</f>
        <v>1027.6999999999998</v>
      </c>
      <c r="R3" s="3">
        <f>881.5+(333.6-128.2)+(-0.89913+(-0.340272--0.130764))+0-27.5--0.0280500000000044</f>
        <v>1058.3194120000001</v>
      </c>
      <c r="S3" s="3">
        <f>795.2+(393.4-114.9)+(0+(0-0))+0-27.8-0</f>
        <v>1045.9000000000001</v>
      </c>
      <c r="T3" s="3">
        <f>795.3+(363.3-109.3)+(0.405603+(0.185283-0.055743))+0-28.1-0.0143309999999971</f>
        <v>1021.720812</v>
      </c>
      <c r="U3" s="3">
        <f>793+(342.2-102.4)+(-0.80886+(-0.349044--0.104448))+0-28.9--0.0294780000000046</f>
        <v>1002.8760219999999</v>
      </c>
      <c r="V3" s="3">
        <f>777+(361.4-104.2)+(0.39627+(0.184314-0.053142))+0-28.5-0.0145349999999971</f>
        <v>1006.2129070000001</v>
      </c>
      <c r="W3" s="3">
        <f>762.6+(423.2-115.1)+(-0.388926+(-0.215832--0.058701))+0-29.9--0.015248999999997</f>
        <v>1040.269192</v>
      </c>
      <c r="X3" s="3">
        <f>725.4+(484.8-103.9)+(0.369954+(0.247248-0.052989))+0-29.8-0.015197999999997</f>
        <v>1077.0490150000001</v>
      </c>
      <c r="Y3" s="3">
        <f>827.4+(511.5-96.4)+(0.421974+(0.260865-0.049164))+0-31-0.0158099999999969</f>
        <v>1212.1178649999999</v>
      </c>
      <c r="Z3" s="3">
        <f>879.3+(678.2-109.6)+(-0.448443+(-0.345882--0.055896))+0-30.9--0.0157589999999969</f>
        <v>1416.2773299999999</v>
      </c>
      <c r="AA3" s="3">
        <f>880.2+(660.7-110.6)+(0+(0-0))+0-29-0</f>
        <v>1401.3000000000002</v>
      </c>
      <c r="AB3" s="3">
        <f>880.1+(612-110.6)+(0.448851+(0.31212-0.056406))+0-27.9-0.0142289999999972</f>
        <v>1354.290336</v>
      </c>
      <c r="AC3" s="3">
        <f>877.7+(536.9-109.8)+(-0.447627+(-0.273819--0.055998))+0-27.6--0.0140759999999972</f>
        <v>1276.548628</v>
      </c>
      <c r="AD3">
        <v>1387.6</v>
      </c>
      <c r="AE3" s="3">
        <f>880.8+(670-110.2)+(0+(0-0))+0-29.6-0</f>
        <v>1411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819.6+(462.1-150.3)+(-0.417996+(-0.235671--0.076653))+0-28.5--0.0145349999999971</f>
        <v>1102.3375210000002</v>
      </c>
      <c r="G4" s="3">
        <f>801+(364.3-171.6)+(-1.22553+(-0.557379--0.262548))+0-28.8--0.0440640000000017</f>
        <v>963.42370300000016</v>
      </c>
      <c r="H4" s="3">
        <f>800.8+(303.4-192.6)+(-0.816816+(-0.309468--0.196452))+0-28.3--0.0288660000000045</f>
        <v>882.39903399999992</v>
      </c>
      <c r="I4" s="3">
        <f>714.9+(342.8-187.3)+(0.729198+(0.349656-0.191046))+0-28.1-0.0286620000000045</f>
        <v>843.15914599999985</v>
      </c>
      <c r="J4" s="3">
        <f>707.5+(335.6-183.4)+(-0.72165+(-0.342312--0.187068))+0-28.1--0.0286620000000045</f>
        <v>830.75176800000008</v>
      </c>
      <c r="K4" s="3">
        <f>707.9+(333.7-179.5)+(1.083087+(0.510561-0.274635))+0-28-0.0428400000000016</f>
        <v>835.37617299999999</v>
      </c>
      <c r="L4" s="3">
        <f>710.9+(346.8-176.9)+(-1.812795+(-0.88434--0.451095))+0-28.4--0.0724199999999959</f>
        <v>850.22637999999995</v>
      </c>
      <c r="M4" s="3">
        <f>711.9+(303.2-176.7)+(0.726138+(0.309264-0.180234))+0-29.3-0.0298860000000047</f>
        <v>809.92528200000004</v>
      </c>
      <c r="N4" s="3">
        <f>710.8+(309.3-170.8)+(0+(0-0))+0-30.1-0</f>
        <v>819.19999999999993</v>
      </c>
      <c r="O4" s="3">
        <f>711.6+(382-153.5)+(0.362916+(0.19482-0.078285))+0-28.9-0.0147389999999971</f>
        <v>911.66471200000012</v>
      </c>
      <c r="P4" s="3">
        <f>711.4+(459.2-136)+(-0.362814+(-0.234192--0.06936))+0-27.3--0.0139229999999972</f>
        <v>1006.7862769999999</v>
      </c>
      <c r="Q4" s="3">
        <f>711.1+(500.7-131.3)+(-0.725322+(-0.510714--0.133926))+0-27.8--0.0283560000000044</f>
        <v>1051.626246</v>
      </c>
      <c r="R4" s="3">
        <f>718.3+(499.7-128.6)+(-0.366333+(-0.254847--0.065586))+0-27.4--0.0139739999999972</f>
        <v>1061.45838</v>
      </c>
      <c r="S4" s="3">
        <f>765.9+(425.1-129)+(-1.171827+(-0.650403--0.19737))+0-26.2--0.0400860000000015</f>
        <v>1034.215226</v>
      </c>
      <c r="T4" s="3">
        <f>786.5+(378.6-130.5)+(-2.005575+(-0.96543--0.332775))+0-27.1--0.0691049999999961</f>
        <v>1004.9308749999999</v>
      </c>
      <c r="U4" s="3">
        <f>718.8+(428.9-132.9)+(1.466352+(0.874956-0.271116))+0-27.2-0.0554879999999988</f>
        <v>989.61470399999996</v>
      </c>
      <c r="V4" s="3">
        <f>716.9+(439.5-133)+(0.365619+(0.224145-0.06783))+0-28.3-0.0144329999999971</f>
        <v>995.60750099999996</v>
      </c>
      <c r="W4" s="3">
        <f>715.3+(468.5-150.6)+(-0.729606+(-0.47787--0.153612))+0-30.4--0.0310080000000048</f>
        <v>1001.7771439999999</v>
      </c>
      <c r="X4" s="3">
        <f>733.3+(491.9-149)+(-0.747966+(-0.501738--0.15198))+0-30.1--0.0307020000000048</f>
        <v>1045.032978</v>
      </c>
      <c r="Y4" s="3">
        <f>842.6+(526.4-145.6)+(0.429726+(0.268464-0.074256))+0-30.6-0.0156059999999969</f>
        <v>1193.4083280000002</v>
      </c>
      <c r="Z4" s="3">
        <f>875.4+(701-149.5)+(0+(0-0))+0-30.3-0</f>
        <v>1396.6000000000001</v>
      </c>
      <c r="AA4" s="3">
        <f>876.4+(680.1-151.8)+(-0.893928+(-0.693702--0.154836))+0-28.4--0.0289680000000045</f>
        <v>1374.8961739999997</v>
      </c>
      <c r="AB4" s="3">
        <f>876.7+(648-162.1)+(0.447117+(0.33048-0.082671))+0-27-0.0137699999999973</f>
        <v>1336.2811559999998</v>
      </c>
      <c r="AC4" s="3">
        <f>874.8+(576-151.5)+(0.446148+(0.29376-0.077265))+0-25.5-0.0130049999999974</f>
        <v>1274.4496379999998</v>
      </c>
      <c r="AD4">
        <v>1421.1000000000001</v>
      </c>
      <c r="AE4" s="3">
        <f>875+(710-110.7)+(0+(0-0))+0-29.6-0</f>
        <v>1444.7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840+(468.2-151)+(-1.2852+(-0.716346--0.23103))+0-26.7--0.0408510000000015</f>
        <v>1128.7703349999999</v>
      </c>
      <c r="G5" s="3">
        <f>708.5+(449.4-144.9)+(-0.72267+(-0.458388--0.147798))+0-28--0.0285600000000045</f>
        <v>983.99529999999993</v>
      </c>
      <c r="H5" s="3">
        <f>605.8+(457.1-145.3)+(0+(0-0))+0-28.1-0</f>
        <v>889.49999999999989</v>
      </c>
      <c r="I5" s="3">
        <f>606+(419-151.6)+(0+(0-0))+0-28.5-0</f>
        <v>844.9</v>
      </c>
      <c r="J5" s="3">
        <f>605+(410-153.7)+(0.30855+(0.2091-0.078387))+0-28.4-0.0144839999999971</f>
        <v>833.32477899999992</v>
      </c>
      <c r="K5" s="3">
        <f>586.6+(403.4-155.2)+(0+(0-0))+10.4-28.8-0</f>
        <v>816.4</v>
      </c>
      <c r="L5" s="3">
        <f>508.7+(484.8-151.6)+(0.778311+(0.741744-0.231948))+16-28.1-0.0429930000000016</f>
        <v>831.04511400000001</v>
      </c>
      <c r="M5" s="3">
        <f>512.1+(470.7-152.5)+(-1.044684+(-0.960228--0.3111))+3.7-29.1--0.0593639999999987</f>
        <v>803.26555199999996</v>
      </c>
      <c r="N5" s="3">
        <f>510.9+(480.3-157.3)+(0.260559+(0.244953-0.080223))+0-30-0.015299999999997</f>
        <v>804.30998899999997</v>
      </c>
      <c r="O5" s="3">
        <f>525+(528.4-147)+(-0.80325+(-0.808452--0.22491))+0-29.5--0.0451350000000017</f>
        <v>875.55834299999992</v>
      </c>
      <c r="P5" s="3">
        <f>602.5+(542.6-139.2)+(0+(0-0))+0-29-0</f>
        <v>976.90000000000009</v>
      </c>
      <c r="Q5" s="3">
        <f>602.9+(596.2-138.4)+(0.307479+(0.304062-0.070584))+0-28-0.0142799999999972</f>
        <v>1033.2266769999999</v>
      </c>
      <c r="R5" s="3">
        <f>603.3+(588-131.8)+(-0.923049+(-0.89964--0.201654))+0-27.3--0.0417690000000016</f>
        <v>1030.6207340000001</v>
      </c>
      <c r="S5" s="3">
        <f>609.5+(559.9-128.8)+(-0.62169+(-0.571098--0.131376))+0-27.2--0.0277440000000043</f>
        <v>1012.3663319999998</v>
      </c>
      <c r="T5" s="3">
        <f>607.9+(530.2-131.4)+(-1.550145+(-1.35201--0.33507))+0-27.2--0.0693599999999961</f>
        <v>977.00227499999994</v>
      </c>
      <c r="U5" s="3">
        <f>559.1+(562.4-134.4)+(-0.855423+(-0.860472--0.205632))+0-28.1--0.0429930000000016</f>
        <v>957.53273000000002</v>
      </c>
      <c r="V5" s="3">
        <f>524.4+(574-137.4)+(0+(0-0))+0-28.7-0</f>
        <v>932.3</v>
      </c>
      <c r="W5" s="3">
        <f>529.6+(574.6-125.9)+(-0.270096+(-0.293046--0.064209))+0-30--0.015299999999997</f>
        <v>947.81636700000013</v>
      </c>
      <c r="X5" s="3">
        <f>548.8+(587.5-135.8)+(0+(0-0))+0-29.1-0</f>
        <v>971.4</v>
      </c>
      <c r="Y5" s="3">
        <f>605.6+(670.4-140.9)+(0+(0-0))+0-30.4-0</f>
        <v>1104.6999999999998</v>
      </c>
      <c r="Z5" s="3">
        <f>648.7+(899.8-146.3)+(-0.661674+(-0.917796--0.149226))+0-30.6--0.0312120000000049</f>
        <v>1370.2009680000003</v>
      </c>
      <c r="AA5" s="3">
        <f>651.1+(892-151.4)+(-0.332061+(-0.45492--0.077214))+0-28.9--0.0147389999999971</f>
        <v>1362.1049719999999</v>
      </c>
      <c r="AB5" s="3">
        <f>653.3+(853.3-152.2)+(0+(0-0))+0-25.8-0</f>
        <v>1328.6</v>
      </c>
      <c r="AC5" s="3">
        <f>654.4+(771.3-150.4)+(-0.667488+(-0.786726--0.153408))+0-26.7--0.0272340000000043</f>
        <v>1247.3264279999999</v>
      </c>
      <c r="AD5">
        <v>1378.3</v>
      </c>
      <c r="AE5" s="3">
        <f>651+(890.2-108.7)+(0+(0-0))+0-30.4-0</f>
        <v>1402.1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627.1+(644.3-148.1)+(-0.639642+(-0.657186--0.151062))+0-27.1--0.0276420000000043</f>
        <v>1095.081876</v>
      </c>
      <c r="G6" s="3">
        <f>627.2+(508.7-146.5)+(-0.639744+(-0.518874--0.14943))+0-28.2--0.0287640000000045</f>
        <v>960.21957600000007</v>
      </c>
      <c r="H6" s="3">
        <f>628.2+(426.9-143)+(0+(0-0))+0-28.4-0</f>
        <v>883.7</v>
      </c>
      <c r="I6" s="3">
        <f>630.1+(393.8-150.6)+(0+(0-0))+0-28.1-0</f>
        <v>845.2</v>
      </c>
      <c r="J6" s="3">
        <f>631.5+(379.3-157.7)+(0.64413+(0.386886-0.160854))+0-28.2-0.0287640000000045</f>
        <v>825.741398</v>
      </c>
      <c r="K6" s="3">
        <f>630.7+(374.7-152.9)+(-1.286628+(-0.764388--0.311916))+0-28.4--0.0579359999999988</f>
        <v>822.41883600000006</v>
      </c>
      <c r="L6" s="3">
        <f>628.6+(395.8-151.9)+(-0.320586+(-0.201858--0.077469))+0-28.2--0.0143819999999971</f>
        <v>843.86940699999991</v>
      </c>
      <c r="M6" s="3">
        <f>628.9+(394-151)+(-0.641478+(-0.40188--0.15402))+0-29.4--0.0299880000000047</f>
        <v>841.64065000000005</v>
      </c>
      <c r="N6" s="3">
        <f>627.8+(450.8-134.1)+(0.960534+(0.689724-0.205173))+0-30.7-0.0469710000000018</f>
        <v>915.19811399999992</v>
      </c>
      <c r="O6" s="3">
        <f>628.4+(572.9-131.5)+(-0.320484+(-0.292179--0.067065))+0-30.9--0.0157589999999969</f>
        <v>1038.3701609999998</v>
      </c>
      <c r="P6" s="3">
        <f>635.5+(660.1-132.1)+(-0.64821+(-0.673302--0.134742))+0-30.8--0.0314160000000049</f>
        <v>1131.5446460000001</v>
      </c>
      <c r="Q6" s="3">
        <f>705.4+(664.7-147.7)+(-0.359754+(-0.338997--0.075327))+0-30--0.015299999999997</f>
        <v>1191.7918760000002</v>
      </c>
      <c r="R6" s="3">
        <f>771.7+(622.7-166)+(-0.393567+(-0.317577--0.08466))+0-28.4--0.0144839999999971</f>
        <v>1199.3880000000001</v>
      </c>
      <c r="S6" s="3">
        <f>899.9+(460.3-163.1)+(-1.376847+(-0.704259--0.249543))+0-28.2--0.0431460000000016</f>
        <v>1167.1115829999999</v>
      </c>
      <c r="T6" s="3">
        <f>947.4+(371.7-163)+(-1.932696+(-0.758268--0.33252))+0-30--0.0611999999999987</f>
        <v>1123.802756</v>
      </c>
      <c r="U6" s="3">
        <f>885.8+(401.9-161.9)+(-1.807032+(-0.819876--0.330276))+0-31.2--0.0636479999999986</f>
        <v>1092.3670159999999</v>
      </c>
      <c r="V6" s="3">
        <f>865.3+(416.5-161.1)+(-1.323909+(-0.637245--0.246483))+0-30.4--0.0465120000000018</f>
        <v>1088.6318409999999</v>
      </c>
      <c r="W6" s="3">
        <f>865.7+(416.9-165.9)+(-1.324521+(-0.637857--0.253827))+0-29.8--0.0455940000000017</f>
        <v>1085.2370430000001</v>
      </c>
      <c r="X6" s="3">
        <f>899.3+(393.8-168.3)+(-1.375929+(-0.602514--0.257499))+0-30.6--0.0468180000000018</f>
        <v>1092.5258740000002</v>
      </c>
      <c r="Y6" s="3">
        <f>993.9+(387.2-158.6)+(0+(0-0))+0-30.4-0</f>
        <v>1192.0999999999999</v>
      </c>
      <c r="Z6" s="3">
        <f>1066.5+(581.2-152.3)+(-1.631745+(-0.889236--0.233019))+0-31--0.0474300000000018</f>
        <v>1462.1594680000001</v>
      </c>
      <c r="AA6" s="3">
        <f>983.1+(634.5-155.7)+(-1.504143+(-0.970785--0.238221))+0-30.6--0.0468180000000018</f>
        <v>1429.1101110000002</v>
      </c>
      <c r="AB6" s="3">
        <f>984.5+(565.4-155.1)+(-0.502095+(-0.288354--0.079101))+0-26.9--0.0137189999999973</f>
        <v>1367.2023709999999</v>
      </c>
      <c r="AC6" s="3">
        <f>954.2+(514.3-147.6)+(-0.973284+(-0.524586--0.150552))+0-26.5--0.0270300000000042</f>
        <v>1293.079712</v>
      </c>
      <c r="AD6">
        <v>1499.6</v>
      </c>
      <c r="AE6" s="3">
        <f>1080+(583-113.4)+(0+(0-0))+0-31.2-0</f>
        <v>1518.3999999999999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832.1+(495.1-141.4)+(0+(0-0))+0-27.4-0</f>
        <v>1158.4000000000001</v>
      </c>
      <c r="G7" s="3">
        <f>810.4+(408.1-163.1)+(0+(0-0))+0-29.1-0</f>
        <v>1026.3000000000002</v>
      </c>
      <c r="H7" s="3">
        <f>811.3+(344-193.6)+(-1.241289+(-0.52632--0.296208))+0-28.8--0.0440640000000017</f>
        <v>931.47266300000001</v>
      </c>
      <c r="I7" s="3">
        <f>809.8+(310.8-206.4)+(0.412998+(0.158508-0.105264))+0-28.6-0.0145859999999971</f>
        <v>886.05165599999987</v>
      </c>
      <c r="J7" s="3">
        <f>808.5+(293.4-203.8)+(0+(0-0))+0-28.4-0</f>
        <v>869.69999999999993</v>
      </c>
      <c r="K7" s="3">
        <f>803.3+(299.1-192.6)+(0.819366+(0.305082-0.196452))+0-28.4-0.0289680000000045</f>
        <v>882.29902800000002</v>
      </c>
      <c r="L7" s="3">
        <f>808.9+(323.9-191.6)+(-0.825078+(-0.330378--0.195432))+0-28.7--0.0292740000000046</f>
        <v>911.5692499999999</v>
      </c>
      <c r="M7" s="3">
        <f>804.8+(314.5-199)+(0+(0-0))+0-29.5-0</f>
        <v>890.8</v>
      </c>
      <c r="N7" s="3">
        <f>894+(294.4-190.2)+(0+(0-0))+0-30.7-0</f>
        <v>967.5</v>
      </c>
      <c r="O7" s="3">
        <f>894.5+(373-153.5)+(0+(0-0))+0-30.7-0</f>
        <v>1083.3</v>
      </c>
      <c r="P7" s="3">
        <f>890+(448.7-134.4)+(0.9078+(0.457674-0.137088))+0-31.3-0.031926000000005</f>
        <v>1174.1964599999999</v>
      </c>
      <c r="Q7" s="3">
        <f>885.7+(493.6-134.1)+(-1.806828+(-1.006944--0.273564))+0-31.4--0.0640559999999986</f>
        <v>1211.323848</v>
      </c>
      <c r="R7" s="3">
        <f>881.1+(496-134.5)+(-1.797444+(-1.01184--0.27438))+0-29.2--0.0595679999999987</f>
        <v>1210.9246639999997</v>
      </c>
      <c r="S7" s="3">
        <f>877.3+(461.6-135.9)+(-0.447423+(-0.235416--0.069309))+0-28.3--0.0144329999999971</f>
        <v>1174.100903</v>
      </c>
      <c r="T7" s="3">
        <f>874.7+(418.3-136.2)+(0.892194+(0.426666-0.138924))+0-29.5-0.0300900000000047</f>
        <v>1128.4498460000002</v>
      </c>
      <c r="U7" s="3">
        <f>876.2+(402-137)+(-0.893724+(-0.41004--0.13974))+0-30.9--0.0315180000000049</f>
        <v>1109.167494</v>
      </c>
      <c r="V7" s="3">
        <f>872.5+(394.4-140.4)+(-1.334925+(-0.603432--0.214812))+0-30.9--0.0472770000000018</f>
        <v>1093.9237319999997</v>
      </c>
      <c r="W7" s="3">
        <f>794.4+(469.4-149.1)+(0.810288+(0.478788-0.152082))+0-30.1-0.0307020000000048</f>
        <v>1085.7062919999998</v>
      </c>
      <c r="X7" s="3">
        <f>809.3+(458.6-155.1)+(-0.412743+(-0.233886--0.079101))+0-29.9--0.015248999999997</f>
        <v>1082.3477209999999</v>
      </c>
      <c r="Y7" s="3">
        <f>884+(485.5-147.3)+(1.35252+(0.742815-0.225369))+0-29.7-0.0454410000000017</f>
        <v>1194.324525</v>
      </c>
      <c r="Z7" s="3">
        <f>918.6+(740.6-149.7)+(0.468486+(0.377706-0.076347))+0-30.3-0.0154529999999969</f>
        <v>1479.9543920000001</v>
      </c>
      <c r="AA7" s="3">
        <f>919.9+(724.5-127.6)+(0+(0-0))+0-27.5-0</f>
        <v>1489.3</v>
      </c>
      <c r="AB7" s="3">
        <f>908.3+(661.2-154.2)+(0+(0-0))+0-27.3-0</f>
        <v>1388</v>
      </c>
      <c r="AC7" s="3">
        <f>910.6+(557.3-155.3)+(0.464406+(0.284223-0.079203))+0-25.3-0.0129029999999974</f>
        <v>1287.9565229999998</v>
      </c>
      <c r="AD7">
        <v>1525.6000000000001</v>
      </c>
      <c r="AE7" s="3">
        <f>914+(758-108.2)+(0+(0-0))+0-29.6-0</f>
        <v>1534.2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892.2+(426.6-153.9)+(-2.730132+(-1.305396--0.470934))+0-28.1--0.0859860000000033</f>
        <v>1133.3213920000003</v>
      </c>
      <c r="G8" s="3">
        <f>891.9+(309.4-177.1)+(-1.364607+(-0.473382--0.270963))+0-28.7--0.0439110000000017</f>
        <v>993.97688499999992</v>
      </c>
      <c r="H8" s="3">
        <f>891.7+(257.2-191.9)+(-0.454767+(-0.131172--0.097869))+0-28.3--0.0144329999999971</f>
        <v>928.22636300000011</v>
      </c>
      <c r="I8" s="3">
        <f>890.1+(228.8-198.2)+(-2.269755+(-0.58344--0.50541))+0-28.3--0.0721649999999959</f>
        <v>890.12438000000009</v>
      </c>
      <c r="J8" s="3">
        <f>891.3+(225.6-204.2)+(0+(0-0))+0-28.7-0</f>
        <v>883.99999999999989</v>
      </c>
      <c r="K8" s="3">
        <f>892.7+(223.9-198.3)+(1.365831+(0.342567-0.303399))+0-28.7-0.0439110000000017</f>
        <v>890.96108800000002</v>
      </c>
      <c r="L8" s="3">
        <f>893.2+(236.6-190.1)+(0.911064+(0.241332-0.193902))+0-28.3-0.0288660000000045</f>
        <v>912.32962800000007</v>
      </c>
      <c r="M8" s="3">
        <f>895.3+(224.5-179.1)+(-1.369809+(-0.343485--0.274023))+0-29.3--0.0448290000000017</f>
        <v>910.00555800000006</v>
      </c>
      <c r="N8" s="3">
        <f>1022.8+(195.1-203.2)+(-0.521628+(-0.099501--0.103632))+0-30.2--0.0154019999999969</f>
        <v>983.99790499999983</v>
      </c>
      <c r="O8" s="3">
        <f>1123+(162.9-160.9)+(-1.14546+(-0.166158--0.164118))+0-30.6--0.0312120000000049</f>
        <v>1093.2837120000002</v>
      </c>
      <c r="P8" s="3">
        <f>1138.1+(209.4-134.1)+(-1.160862+(-0.213588--0.136782))+0-30.7--0.0313140000000049</f>
        <v>1181.4936459999999</v>
      </c>
      <c r="Q8" s="3">
        <f>1128.5+(263.6-126.1)+(-0.575535+(-0.134436--0.064311))+0-31.7--0.0161669999999968</f>
        <v>1233.670507</v>
      </c>
      <c r="R8" s="3">
        <f>1118.9+(275.4-130.5)+(-1.141278+(-0.280908--0.13311))+0-30.8--0.0314160000000049</f>
        <v>1231.7423400000002</v>
      </c>
      <c r="S8" s="3">
        <f>1064.5+(298.9-134.4)+(-1.08579+(-0.304878--0.137088))+0-29.7--0.0302940000000047</f>
        <v>1198.0767139999998</v>
      </c>
      <c r="T8" s="3">
        <f>1034.5+(292.2-129.7)+(-2.11038+(-0.596088--0.264588))+0-31.1--0.0634439999999986</f>
        <v>1163.5215639999999</v>
      </c>
      <c r="U8" s="3">
        <f>1032.5+(266.4-128.3)+(-0.526575+(-0.135864--0.065433))+0-31.6--0.0161159999999968</f>
        <v>1138.41911</v>
      </c>
      <c r="V8" s="3">
        <f>1032.3+(256.8-126.6)+(-2.105892+(-0.523872--0.258264))+0-31.8--0.0648719999999986</f>
        <v>1128.393372</v>
      </c>
      <c r="W8" s="3">
        <f>1032+(275.1-146.4)+(-2.10528+(-0.561204--0.298656))+0-30.1--0.0614039999999987</f>
        <v>1128.2935760000003</v>
      </c>
      <c r="X8" s="3">
        <f>1043.7+(284.4-169.8)+(0.532287+(0.145044-0.086598))+0-30.1-0.0153509999999969</f>
        <v>1128.775382</v>
      </c>
      <c r="Y8" s="3">
        <f>1118.4+(314.1-183.4)+(0.570384+(0.160191-0.093534))+0-27.8-0.0141779999999972</f>
        <v>1221.9228630000002</v>
      </c>
      <c r="Z8" s="3">
        <f>1173.6+(492.4-145.6)+(-0.598536+(-0.251124--0.074256))+0-27.8--0.0141779999999972</f>
        <v>1491.8387739999998</v>
      </c>
      <c r="AA8" s="3">
        <f>1174.6+(470.3-150.3)+(-2.396184+(-0.959412--0.306612))+0-26.5--0.0540599999999988</f>
        <v>1465.1050759999998</v>
      </c>
      <c r="AB8" s="3">
        <f>1089.3+(480.9-149)+(-1.111086+(-0.490518--0.15198))+0-27.1--0.0276420000000043</f>
        <v>1392.6780179999998</v>
      </c>
      <c r="AC8" s="3">
        <f>1057.1+(409.8-150.6)+(-0.539121+(-0.208998--0.076806))+0-26--0.0132599999999974</f>
        <v>1289.6419469999998</v>
      </c>
      <c r="AD8">
        <v>1515.2</v>
      </c>
      <c r="AE8" s="3">
        <f>1171.5+(486.4-109.5)+(0+(0-0))+0-27.2-0</f>
        <v>1521.2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1043.4+(316.8-192.3)+(-1.064268+(-0.323136--0.196146))+0-27.7--0.0282540000000044</f>
        <v>1139.036996</v>
      </c>
      <c r="G9" s="3">
        <f>1040.1+(250-252.8)+(-2.652255+(-0.6375--0.64464))+0-28.1--0.0716549999999959</f>
        <v>1006.6265399999999</v>
      </c>
      <c r="H9" s="3">
        <f>1078.7+(240.4-347.8)+(0+(0-0))+0-28.1-0</f>
        <v>943.2</v>
      </c>
      <c r="I9" s="3">
        <f>1129.1+(214-404.9)+(-2.303364+(-0.43656--0.825996))+0-28.5--0.0581399999999988</f>
        <v>907.84421199999986</v>
      </c>
      <c r="J9" s="3">
        <f>1085.5+(207.9-367.8)+(-1.10721+(-0.212058--0.375156))+0-28.4--0.0289680000000045</f>
        <v>896.28485599999999</v>
      </c>
      <c r="K9" s="3">
        <f>1076.4+(206.5-359.2)+(-0.548964+(-0.105315--0.183192))+0-28.4--0.0144839999999971</f>
        <v>894.8433970000001</v>
      </c>
      <c r="L9" s="3">
        <f>1078.4+(212.3-339.7)+(0+(0-0))+0-28.6-0</f>
        <v>922.40000000000009</v>
      </c>
      <c r="M9" s="3">
        <f>1109.2+(161.6-316.5)+(-2.262768+(-0.329664--0.64566))+0-29.5--0.0601799999999987</f>
        <v>922.913408</v>
      </c>
      <c r="N9" s="3">
        <f>1142.4+(141-233.8)+(0.582624+(0.07191-0.119238))+0-31-0.0158099999999969</f>
        <v>1019.1194860000002</v>
      </c>
      <c r="O9" s="3">
        <f>1138+(180.9-169.1)+(0+(0-0))+0-31.6-0</f>
        <v>1118.2</v>
      </c>
      <c r="P9" s="3">
        <f>1135.8+(240.1-143.2)+(-1.158516+(-0.244902--0.146064))+0-31.4--0.032028000000005</f>
        <v>1200.074674</v>
      </c>
      <c r="Q9" s="3">
        <f>1131.4+(276.7-128.4)+(-0.577014+(-0.141117--0.065484))+0-31.1--0.0158609999999968</f>
        <v>1247.9632140000003</v>
      </c>
      <c r="R9" s="3">
        <f>1137.3+(284.6-111)+(-3.480138+(-0.870876--0.33966))+0-28.5--0.0872100000000033</f>
        <v>1278.475856</v>
      </c>
      <c r="S9" s="3">
        <f>1050.5+(318.2-117.4)+(-1.607265+(-0.486846--0.179622))+0-28.1--0.0429930000000016</f>
        <v>1221.3285040000001</v>
      </c>
      <c r="T9" s="3">
        <f>968.4+(364.3-121.4)+(-1.481652+(-0.557379--0.185742))+0-29.3--0.0448290000000017</f>
        <v>1180.19154</v>
      </c>
      <c r="U9" s="3">
        <f>1004.7+(311.5-126.7)+(-1.537191+(-0.476595--0.193851))+0-30.5--0.0466650000000018</f>
        <v>1157.2267300000001</v>
      </c>
      <c r="V9" s="3">
        <f>1026.9+(269.7-115)+(-1.047438+(-0.275094--0.1173))+0-30.9--0.0315180000000049</f>
        <v>1149.526286</v>
      </c>
      <c r="W9" s="3">
        <f>1105.8+(285.5-203.9)+(-1.691874+(-0.436815--0.311967))+0-29.5--0.0451350000000017</f>
        <v>1156.1284129999999</v>
      </c>
      <c r="X9" s="3">
        <f>1105+(289.7-215.9)+(-2.2542+(-0.590988--0.440436))+0-30.1--0.0614039999999987</f>
        <v>1146.3566520000002</v>
      </c>
      <c r="Y9" s="3">
        <f>1137+(305.9-195)+(0.57987+(0.156009-0.09945))+0-28.9-0.0147389999999971</f>
        <v>1219.6216899999999</v>
      </c>
      <c r="Z9" s="3">
        <f>1283.3+(399.1-172.7)+(0+(0-0))+0-27.7-0</f>
        <v>1482</v>
      </c>
      <c r="AA9" s="3">
        <f>1264.6+(385.8-156.2)+(-3.22473+(-0.98379--0.39831))+0-28.3--0.0721649999999959</f>
        <v>1462.1619549999998</v>
      </c>
      <c r="AB9" s="3">
        <f>1234+(347.6-159.9)+(-2.51736+(-0.709104--0.326196))+0-28.7--0.0585479999999987</f>
        <v>1390.1582799999999</v>
      </c>
      <c r="AC9" s="3">
        <f>1207.2+(300.2-163.3)+(-1.847016+(-0.459306--0.249849))+0-28.5--0.0436050000000016</f>
        <v>1313.5871319999999</v>
      </c>
      <c r="AD9">
        <v>1521.0000000000002</v>
      </c>
      <c r="AE9" s="3">
        <f>1280+(421.6-137.2)+(0+(0-0))+0-27.6-0</f>
        <v>1536.8000000000002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1060.2+(323-202.1)+(-1.081404+(-0.32946--0.206142))+0-29--0.0295800000000046</f>
        <v>1150.9248580000001</v>
      </c>
      <c r="G10" s="3">
        <f>1051.5+(264.9-277.9)+(-2.681325+(-0.675495--0.708645))+0-29.2--0.0744599999999958</f>
        <v>1006.726285</v>
      </c>
      <c r="H10" s="3">
        <f>1045.7+(255.3-346.3)+(-0.533307+(-0.130203--0.176613))+0-28.5--0.0145349999999971</f>
        <v>925.72763800000007</v>
      </c>
      <c r="I10" s="3">
        <f>1051.9+(254.5-377)+(-2.145876+(-0.51918--0.76908))+0-29--0.0591599999999987</f>
        <v>898.56318400000009</v>
      </c>
      <c r="J10" s="3">
        <f>1059+(254.6-385.5)+(0+(0-0))+0-28.6-0</f>
        <v>899.5</v>
      </c>
      <c r="K10" s="3">
        <f>1059.2+(258.9-383.6)+(-0.540192+(-0.132039--0.195636))+0-29.1--0.014840999999997</f>
        <v>904.93824600000005</v>
      </c>
      <c r="L10" s="3">
        <f>1058.2+(254.2-344)+(-1.079364+(-0.259284--0.35088))+0-28.5--0.0290700000000045</f>
        <v>938.94130200000018</v>
      </c>
      <c r="M10" s="3">
        <f>1060.2+(200-284.5)+(0.540702+(0.102-0.145095))+0-30.3-0.0154529999999969</f>
        <v>945.88215400000013</v>
      </c>
      <c r="N10" s="3">
        <f>1056.1+(214.3-192.9)+(0+(0-0))+0-31.1-0</f>
        <v>1046.4000000000001</v>
      </c>
      <c r="O10" s="3">
        <f>1120.7+(207.1-154.7)+(0+(0-0))+0-30.7-0</f>
        <v>1142.4000000000001</v>
      </c>
      <c r="P10" s="3">
        <f>1153.4+(235-141.5)+(0.588234+(0.11985-0.072165))+0-30.5-0.0155549999999969</f>
        <v>1217.0203640000002</v>
      </c>
      <c r="Q10" s="3">
        <f>1146.3+(280.9-130.5)+(-1.753839+(-0.429777--0.199665))+0-30.6--0.0468180000000018</f>
        <v>1264.162867</v>
      </c>
      <c r="R10" s="3">
        <f>1138.2+(263.6-117)+(-2.321928+(-0.537744--0.23868))+0-28.7--0.0585479999999987</f>
        <v>1253.5375560000002</v>
      </c>
      <c r="S10" s="3">
        <f>1137.7+(249.8-129.1)+(0+(0-0))+0-28.2-0</f>
        <v>1230.2</v>
      </c>
      <c r="T10" s="3">
        <f>1135.9+(218.2-137.4)+(-0.579309+(-0.111282--0.070074))+0-29.5--0.015044999999997</f>
        <v>1186.5945280000001</v>
      </c>
      <c r="U10" s="3">
        <f>1132.4+(198.2-140.7)+(-1.155048+(-0.202164--0.143514))+0-30.8--0.0314160000000049</f>
        <v>1157.9177180000001</v>
      </c>
      <c r="V10" s="3">
        <f>1131.7+(196.2-150)+(0+(0-0))+0-30.4-0</f>
        <v>1147.5</v>
      </c>
      <c r="W10" s="3">
        <f>1130.6+(279.7-226.8)+(-1.153212+(-0.285294--0.231336))+0-30.8--0.0314160000000049</f>
        <v>1151.5242460000002</v>
      </c>
      <c r="X10" s="3">
        <f>1132.4+(278.7-231.7)+(-2.88762+(-0.710685--0.590835))+0-29.5--0.0752249999999957</f>
        <v>1146.9677550000001</v>
      </c>
      <c r="Y10" s="3">
        <f>1176.5+(305.6-219.9)+(1.20003+(0.311712-0.224298))+0-30-0.0306000000000048</f>
        <v>1233.456844</v>
      </c>
      <c r="Z10" s="3">
        <f>1201.6+(488-156.1)+(-2.451264+(-0.99552--0.318444))+0-30.2--0.0616079999999987</f>
        <v>1500.233268</v>
      </c>
      <c r="AA10" s="3">
        <f>1207.7+(460.9-154.7)+(0.615927+(0.235059-0.078897))+0-29.9-0.015248999999997</f>
        <v>1484.75684</v>
      </c>
      <c r="AB10" s="3">
        <f>1201.6+(399.9-161.8)+(-2.451264+(-0.815796--0.330072))+0-28.3--0.0577319999999988</f>
        <v>1408.5207439999999</v>
      </c>
      <c r="AC10" s="3">
        <f>1080.9+(419-162.5)+(-0.551259+(-0.21369--0.082875))+0-28--0.0142799999999972</f>
        <v>1308.7322060000001</v>
      </c>
      <c r="AD10">
        <v>1507.1</v>
      </c>
      <c r="AE10" s="3">
        <f>1201+(459.5-160.2)+(0+(0-0))+0-29.2-0</f>
        <v>1471.1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873.4+(476.1-118.8)+(-0.445434+(-0.242811--0.060588))+0-28.2--0.0143819999999971</f>
        <v>1201.8867250000001</v>
      </c>
      <c r="G11" s="3">
        <f>721.8+(481.8-124.3)+(-1.104354+(-0.737154--0.190179))+0-28.6--0.0437580000000017</f>
        <v>1049.092429</v>
      </c>
      <c r="H11" s="3">
        <f>651.3+(470.5-132.1)+(-0.332163+(-0.239955--0.067371))+0-28.8--0.0146879999999971</f>
        <v>960.409941</v>
      </c>
      <c r="I11" s="3">
        <f>651.3+(442.3-138.5)+(-1.328652+(-0.902292--0.28254))+0-28.6--0.0583439999999988</f>
        <v>924.60993999999994</v>
      </c>
      <c r="J11" s="3">
        <f>650.8+(433.5-140.6)+(-1.991448+(-1.32651--0.430236))+0-29.1--0.0890460000000034</f>
        <v>911.80132399999991</v>
      </c>
      <c r="K11" s="3">
        <f>652.8+(433.4-138.7)+(-0.332928+(-0.221034--0.070737))+0-28.7--0.0146369999999971</f>
        <v>918.331412</v>
      </c>
      <c r="L11" s="3">
        <f>652.7+(468.9-119.7)+(-0.998631+(-0.717417--0.183141))+0-28.1--0.0429930000000016</f>
        <v>972.31008600000007</v>
      </c>
      <c r="M11" s="3">
        <f>672.5+(437.6-117.3)+(-0.342975+(-0.223176--0.059823))+0-26.2--0.0133619999999973</f>
        <v>966.10703399999989</v>
      </c>
      <c r="N11" s="3">
        <f>800.5+(403-111.6)+(0.408255+(0.20553-0.056916))+0-24-0.0122399999999976</f>
        <v>1068.4446290000001</v>
      </c>
      <c r="O11" s="3">
        <f>860.8+(417-105.4)+(1.317024+(0.63801-0.161262))+0-11.4-0.0174420000000007</f>
        <v>1162.7763299999999</v>
      </c>
      <c r="P11" s="3">
        <f>859+(492.1-103.1)+(-0.43809+(-0.250971--0.052581))+0-8.3--0.00423299999999916</f>
        <v>1239.067753</v>
      </c>
      <c r="Q11" s="3">
        <f>860.7+(524.2-100.2)+(1.316871+(0.802026-0.153306))+0-7.5-0.0114750000000004</f>
        <v>1279.1541159999999</v>
      </c>
      <c r="R11" s="3">
        <f>860.1+(508.8-94.8)+(0+(0-0))+0-7.6-0</f>
        <v>1266.5</v>
      </c>
      <c r="S11" s="3">
        <f>857+(490.6-94)+(-0.87414+(-0.500412--0.09588))+0-24.9--0.025398000000004</f>
        <v>1227.4467259999999</v>
      </c>
      <c r="T11" s="3">
        <f>854.7+(447.5-95.5)+(-1.743588+(-0.9129--0.19482))+0-29.2--0.0595679999999987</f>
        <v>1175.0979</v>
      </c>
      <c r="U11" s="3">
        <f>852.4+(424.2-93.4)+(0.434724+(0.216342-0.047634))+0-28.7-0.0146369999999971</f>
        <v>1155.0887949999999</v>
      </c>
      <c r="V11" s="3">
        <f>844.6+(421.3-92.7)+(-2.15373+(-1.074315--0.236385))+0-28.5--0.0726749999999959</f>
        <v>1141.781015</v>
      </c>
      <c r="W11" s="3">
        <f>856.7+(417.9-117.9)+(-1.310751+(-0.639387--0.180387))+0-28.3--0.0432990000000016</f>
        <v>1126.673548</v>
      </c>
      <c r="X11" s="3">
        <f>885.4+(400.4-132.1)+(-1.806216+(-0.816816--0.269484))+0-28.5--0.0581399999999988</f>
        <v>1122.9045919999999</v>
      </c>
      <c r="Y11" s="3">
        <f>826+(510.8-109.3)+(0.84252+(0.521016-0.111486))+0-30.1-0.0307020000000048</f>
        <v>1198.6213480000001</v>
      </c>
      <c r="Z11" s="3">
        <f>885.5+(734.5-107.8)+(-1.80642+(-1.49838--0.219912))+0-29.6--0.0603839999999987</f>
        <v>1479.5754959999999</v>
      </c>
      <c r="AA11" s="3">
        <f>886.8+(728.1-110.5)+(-1.809072+(-1.485324--0.22542))+0-29.6--0.0603839999999987</f>
        <v>1471.791408</v>
      </c>
      <c r="AB11" s="3">
        <f>888+(659.4-113.6)+(-2.2644+(-1.68147--0.28968))+0-28--0.0713999999999959</f>
        <v>1402.2152100000001</v>
      </c>
      <c r="AC11" s="3">
        <f>877.6+(578.3-114.8)+(0.447576+(0.294933-0.058548))+0-28.4-0.0144839999999971</f>
        <v>1313.3694769999997</v>
      </c>
      <c r="AD11">
        <v>1466.1000000000001</v>
      </c>
      <c r="AE11" s="3">
        <f>884.2+(718-105.3)+(0+(0-0))+0-30.8-0</f>
        <v>1466.1000000000001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852.3+(486.7-149.2)+(0+(0-0))+0-28.2-0</f>
        <v>1161.5999999999999</v>
      </c>
      <c r="G12" s="3">
        <f>851.2+(361.1-161.4)+(-1.302336+(-0.552483--0.246942))+0-28.2--0.0431460000000016</f>
        <v>1021.1352690000001</v>
      </c>
      <c r="H12" s="3">
        <f>852.5+(300.8-177.7)+(-2.60865+(-0.920448--0.543762))+0-27.9--0.0853740000000032</f>
        <v>944.80003800000009</v>
      </c>
      <c r="I12" s="3">
        <f>854.6+(267-183.3)+(-1.743384+(-0.54468--0.373932))+0-27.7--0.0565079999999988</f>
        <v>908.74237599999992</v>
      </c>
      <c r="J12" s="3">
        <f>781.7+(315.9-171)+(-0.398667+(-0.161109--0.08721))+0-27.5--0.0140249999999972</f>
        <v>898.64145899999994</v>
      </c>
      <c r="K12" s="3">
        <f>705.5+(363.2-156.3)+(-0.359805+(-0.185232--0.079713))+0-27.4--0.0139739999999972</f>
        <v>884.54864999999995</v>
      </c>
      <c r="L12" s="3">
        <f>698.3+(382.3-155.8)+(-2.136798+(-1.169838--0.476748))+0-28.3--0.0865980000000033</f>
        <v>893.75671</v>
      </c>
      <c r="M12" s="3">
        <f>702.5+(355-160.5)+(-0.71655+(-0.3621--0.16371))+0-29.3--0.0298860000000047</f>
        <v>866.81494600000008</v>
      </c>
      <c r="N12" s="3">
        <f>769.7+(348.6-161.3)+(0.392547+(0.177786-0.082263))+0-30.5-0.0155549999999969</f>
        <v>926.97251500000004</v>
      </c>
      <c r="O12" s="3">
        <f>769.6+(403.7-133.1)+(-1.177488+(-0.617661--0.203643))+0-30.6--0.0468180000000018</f>
        <v>1008.0553120000001</v>
      </c>
      <c r="P12" s="3">
        <f>820.8+(427.4-127.5)+(-1.255824+(-0.653922--0.195075))+0-30.3--0.0463590000000018</f>
        <v>1088.7316879999998</v>
      </c>
      <c r="Q12" s="3">
        <f>844.9+(444.2-124.3)+(-1.723596+(-0.906168--0.253572))+0-30.6--0.0624239999999987</f>
        <v>1131.8862320000001</v>
      </c>
      <c r="R12" s="3">
        <f>839.9+(440.4-129.3)+(-1.285047+(-0.673812--0.197829))+0-28.8--0.0440640000000017</f>
        <v>1120.4830340000001</v>
      </c>
      <c r="S12" s="3">
        <f>839.1+(413-125.7)+(-0.427941+(-0.21063--0.064107))+0-28.8--0.0146879999999971</f>
        <v>1097.0402240000001</v>
      </c>
      <c r="T12" s="3">
        <f>835.9+(379.2-125.7)+(0+(0-0))+0-29.3-0</f>
        <v>1060.1000000000001</v>
      </c>
      <c r="U12" s="3">
        <f>833.1+(356.5-120.8)+(-1.274643+(-0.545445--0.184824))+0-30.8--0.0471240000000018</f>
        <v>1036.4118599999999</v>
      </c>
      <c r="V12" s="3">
        <f>725.2+(453.4-116.7)+(-1.479408+(-0.924936--0.238068))+0-30.2--0.0616079999999987</f>
        <v>1029.5953320000001</v>
      </c>
      <c r="W12" s="3">
        <f>720.8+(454.2-116.1)+(0.735216+(0.463284-0.118422))+0-30.4-0.0310080000000048</f>
        <v>1029.54907</v>
      </c>
      <c r="X12" s="3">
        <f>762.3+(426-121.5)+(-1.943865+(-1.0863--0.309825))+0-30.5--0.0777749999999956</f>
        <v>1033.6574349999999</v>
      </c>
      <c r="Y12" s="3">
        <f>887+(411.8-129.8)+(0+(0-0))+0-30.7-0</f>
        <v>1138.3</v>
      </c>
      <c r="Z12" s="3">
        <f>1007.2+(617-163.5)+(0+(0-0))+0-30.3-0</f>
        <v>1430.4</v>
      </c>
      <c r="AA12" s="3">
        <f>1023.1+(611-166)+(-2.608905+(-1.55805--0.4233))+0-28.2--0.0719099999999959</f>
        <v>1436.2282549999998</v>
      </c>
      <c r="AB12" s="3">
        <f>1128.3+(466.1-173.5)+(-2.301732+(-0.950844--0.35394))+0-28.3--0.0577319999999988</f>
        <v>1389.7590960000002</v>
      </c>
      <c r="AC12" s="3">
        <f>1206.4+(327.3-180.9)+(-1.845792+(-0.500769--0.276777))+0-28.5--0.0436050000000016</f>
        <v>1322.2738210000002</v>
      </c>
      <c r="AD12">
        <v>1431.9</v>
      </c>
      <c r="AE12" s="3">
        <f>1008.2+(632.2-162.3)+(0+(0-0))+0-29.2-0</f>
        <v>1448.9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995.3+(358.1-116)+(-1.015206+(-0.365262--0.11832))+0-28.1--0.0286620000000045</f>
        <v>1208.0665140000001</v>
      </c>
      <c r="G13" s="3">
        <f>851.6+(349.9-114.7)+(-1.737264+(-0.713796--0.233988))+0-28.7--0.0585479999999987</f>
        <v>1055.941476</v>
      </c>
      <c r="H13" s="3">
        <f>850.5+(311.1-150.3)+(-2.168775+(-0.793305--0.383265))+0-28--0.0713999999999959</f>
        <v>980.79258500000003</v>
      </c>
      <c r="I13" s="3">
        <f>852.2+(306.7-189.1)+(0.869244+(0.312834-0.192882))+0-27.5-0.0280500000000044</f>
        <v>943.26114600000005</v>
      </c>
      <c r="J13" s="3">
        <f>851.5+(310.9-203)+(-0.86853+(-0.317118--0.20706))+0-28.1--0.0286620000000045</f>
        <v>930.35007400000006</v>
      </c>
      <c r="K13" s="3">
        <f>851.6+(309.1-195.1)+(0.434316+(0.157641-0.099501))+0-27.6-0.0140759999999972</f>
        <v>938.4783799999999</v>
      </c>
      <c r="L13" s="3">
        <f>850.6+(300.2-173.2)+(-3.036642+(-1.071714--0.618324))+0-27.6--0.0985320000000004</f>
        <v>946.60849999999994</v>
      </c>
      <c r="M13" s="3">
        <f>851.9+(279-190.3)+(-0.434469+(-0.14229--0.097053))+0-29.2--0.014891999999997</f>
        <v>910.93518599999993</v>
      </c>
      <c r="N13" s="3">
        <f>869.9+(292.2-191.3)+(0.443649+(0.149022-0.097563))+0-30-0.015299999999997</f>
        <v>941.27980799999989</v>
      </c>
      <c r="O13" s="3">
        <f>937.1+(276.6-199.9)+(-1.433763+(-0.423198--0.305847))+0-30.3--0.0463590000000018</f>
        <v>981.99524500000018</v>
      </c>
      <c r="P13" s="3">
        <f>935.1+(274.7-196.8)+(0.953802+(0.280194-0.200736))+0-29.8-0.0303960000000048</f>
        <v>984.20286400000009</v>
      </c>
      <c r="Q13" s="3">
        <f>933.8+(246.4-203.7)+(-0.952476+(-0.251328--0.207774))+0-30.1--0.0307020000000048</f>
        <v>945.43467199999998</v>
      </c>
      <c r="R13" s="3">
        <f>899+(253.6-207.4)+(-0.91698+(-0.258672--0.211548))+0-28.7--0.0292740000000046</f>
        <v>915.56516999999997</v>
      </c>
      <c r="S13" s="3">
        <f>845.4+(276.6-198.8)+(0+(0-0))+0-27.9-0</f>
        <v>895.30000000000007</v>
      </c>
      <c r="T13" s="3">
        <f>842.2+(266.2-197.2)+(-0.429522+(-0.135762--0.100572))+0-27.8--0.0141779999999972</f>
        <v>882.94946600000014</v>
      </c>
      <c r="U13" s="3">
        <f>833.8+(265.8-198.1)+(-0.850476+(-0.271116--0.202062))+0-28.4--0.0289680000000045</f>
        <v>872.20943799999998</v>
      </c>
      <c r="V13" s="3">
        <f>783.1+(273.3-154.6)+(-0.798762+(-0.278766--0.157692))+0-28.4--0.0289680000000045</f>
        <v>872.50913200000002</v>
      </c>
      <c r="W13" s="3">
        <f>786.1+(279-137.7)+(-0.400911+(-0.14229--0.070227))+0-28.9--0.0147389999999971</f>
        <v>898.04176500000005</v>
      </c>
      <c r="X13" s="3">
        <f>814.9+(298.6-135.5)+(-2.077995+(-0.76143--0.345525))+0-28.8--0.0734399999999958</f>
        <v>946.77954</v>
      </c>
      <c r="Y13" s="3">
        <f>975.8+(251-128.7)+(-0.995316+(-0.25602--0.131274))+0-28.3--0.0288660000000045</f>
        <v>1068.7088040000001</v>
      </c>
      <c r="Z13" s="3">
        <f>1159.6+(376.8-124)+(-0.591396+(-0.192168--0.06324))+0-28--0.0142799999999972</f>
        <v>1383.6939560000001</v>
      </c>
      <c r="AA13" s="3">
        <f>1169.7+(406.1-118.8)+(-0.596547+(-0.207111--0.060588))+0-27.9--0.0142289999999972</f>
        <v>1428.3711589999998</v>
      </c>
      <c r="AB13" s="3">
        <f>1170.3+(370.5-126.6)+(-1.790559+(-0.566865--0.193698))+0-27.9--0.0426870000000016</f>
        <v>1384.1789610000001</v>
      </c>
      <c r="AC13" s="3">
        <f>1159.1+(302.9-156.4)+(-1.182282+(-0.308958--0.159528))+0-28.4--0.0289680000000045</f>
        <v>1275.897256</v>
      </c>
      <c r="AD13">
        <v>1418.6</v>
      </c>
      <c r="AE13" s="3">
        <f>1168.6+(413.3-114.3)+(0+(0-0))+0-26.8-0</f>
        <v>1440.8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1150.7+(248.5-283.8)+(-2.347428+(-0.50694--0.578952))+0-28.5--0.0581399999999988</f>
        <v>1084.6827240000002</v>
      </c>
      <c r="G14" s="3">
        <f>1155.4+(255.4-404.4)+(0.589254+(0.130254-0.206244))+0-28.4-0.0144839999999971</f>
        <v>978.49878000000012</v>
      </c>
      <c r="H14" s="3">
        <f>1156.4+(254-439.6)+(-1.179528+(-0.25908--0.448392))+0-28.3--0.0288660000000045</f>
        <v>941.53865000000008</v>
      </c>
      <c r="I14" s="3">
        <f>1146.2+(252.8-453.6)+(-1.169124+(-0.257856--0.462672))+0-27.8--0.0283560000000044</f>
        <v>916.66404800000021</v>
      </c>
      <c r="J14" s="3">
        <f>993.5+(273.5-334.5)+(0+(0-0))+0-27.4-0</f>
        <v>905.1</v>
      </c>
      <c r="K14" s="3">
        <f>933.5+(302.7-288.4)+(0+(0-0))+0-27.8-0</f>
        <v>920</v>
      </c>
      <c r="L14" s="3">
        <f>957.7+(309.8-262.9)+(-1.953708+(-0.631992--0.536316))+0-28.3--0.0577319999999988</f>
        <v>974.30834800000014</v>
      </c>
      <c r="M14" s="3">
        <f>985+(301.6-236)+(-0.50235+(-0.153816--0.12036))+0-28.4--0.0144839999999971</f>
        <v>1021.6786779999999</v>
      </c>
      <c r="N14" s="3">
        <f>1044.2+(320.9-190.2)+(0+(0-0))+0-30.2-0</f>
        <v>1144.7</v>
      </c>
      <c r="O14" s="3">
        <f>1164+(320.6-171.7)+(0+(0-0))+0-30.2-0</f>
        <v>1282.7</v>
      </c>
      <c r="P14" s="3">
        <f>1174.9+(411.3-160.1)+(-0.599199+(-0.209763--0.081651))+0-30.6--0.0156059999999969</f>
        <v>1394.7882950000001</v>
      </c>
      <c r="Q14" s="3">
        <f>1155.4+(489.5-153.7)+(-1.767762+(-0.748935--0.235161))+0-30.8--0.0471240000000018</f>
        <v>1458.1655880000001</v>
      </c>
      <c r="R14" s="3">
        <f>1183.6+(448.4-155.6)+(-1.810908+(-0.686052--0.238068))+0-29.5--0.0451350000000017</f>
        <v>1444.6862429999999</v>
      </c>
      <c r="S14" s="3">
        <f>1215.8+(394.1-158.3)+(-2.480232+(-0.803964--0.322932))+0-27.9--0.0569159999999988</f>
        <v>1420.7956519999998</v>
      </c>
      <c r="T14" s="3">
        <f>1184.1+(412.7-207)+(-1.811673+(-0.631431--0.31671))+0-29.1--0.0445230000000017</f>
        <v>1358.6181290000002</v>
      </c>
      <c r="U14" s="3">
        <f>1152.8+(448.6-238.4)+(-2.351712+(-0.915144--0.486336))+0-30.9--0.0630359999999986</f>
        <v>1329.3825159999999</v>
      </c>
      <c r="V14" s="3">
        <f>1164.3+(425-243.1)+(-3.562758+(-1.3005--0.743886))+0-31.2--0.0954720000000036</f>
        <v>1310.9760999999999</v>
      </c>
      <c r="W14" s="3">
        <f>1167.5+(428.6-262.2)+(-2.977125+(-1.09293--0.66861))+0-30.1--0.0767549999999956</f>
        <v>1300.4753100000003</v>
      </c>
      <c r="X14" s="3">
        <f>1177.3+(401.1-243.7)+(-1.801269+(-0.613683--0.372861))+0-30.2--0.0462060000000017</f>
        <v>1302.504115</v>
      </c>
      <c r="Y14" s="3">
        <f>1259.6+(459.6-301.2)+(0+(0-0))+0-30.6-0</f>
        <v>1387.4</v>
      </c>
      <c r="Z14" s="3">
        <f>1298.1+(499.6-145)+(-2.648124+(-1.019184--0.2958))+0-29.5--0.0601799999999987</f>
        <v>1619.8886719999998</v>
      </c>
      <c r="AA14" s="3">
        <f>1278.3+(483.7-145.3)+(-2.607732+(-0.986748--0.296412))+0-28.4--0.0579359999999988</f>
        <v>1585.0598679999996</v>
      </c>
      <c r="AB14" s="3">
        <f>1173.8+(507.7-142.3)+(-1.795914+(-0.776781--0.217719))+0-27.3--0.0417690000000016</f>
        <v>1509.5867929999997</v>
      </c>
      <c r="AC14" s="3">
        <f>1143.4+(410.7-137.7)+(-2.332536+(-0.837828--0.280908))+0-27.4--0.0558959999999988</f>
        <v>1386.16644</v>
      </c>
      <c r="AD14">
        <v>1588.6999999999998</v>
      </c>
      <c r="AE14" s="3">
        <f>1296.6+(513.3-170.4)+(0+(0-0))+0-30.4-0</f>
        <v>1609.1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1130.9+(265.9-157.6)+(-2.883795+(-0.678045--0.40188))+0-28.8--0.0734399999999958</f>
        <v>1207.31348</v>
      </c>
      <c r="G15" s="3">
        <f>1090.8+(214.8-171.3)+(-2.78154+(-0.54774--0.436815))+0-28.1--0.0716549999999959</f>
        <v>1103.3791900000001</v>
      </c>
      <c r="H15" s="3">
        <f>1048.3+(218.5-175.9)+(-1.603899+(-0.334305--0.269127))+0-28.7--0.0439110000000017</f>
        <v>1060.5748339999998</v>
      </c>
      <c r="I15" s="3">
        <f>1105.5+(164.5-205)+(-1.691415+(-0.251685--0.31365))+0-28.6--0.0437580000000017</f>
        <v>1034.8143080000002</v>
      </c>
      <c r="J15" s="3">
        <f>1139.2+(153.1-240.4)+(-1.161984+(-0.156162--0.245208))+0-29.4--0.0299880000000047</f>
        <v>1021.4570500000001</v>
      </c>
      <c r="K15" s="3">
        <f>1139.5+(146.6-217.3)+(1.16229+(0.149532-0.221646))+0-28.2-0.0287640000000045</f>
        <v>1041.6614119999999</v>
      </c>
      <c r="L15" s="3">
        <f>1123.7+(134.5-150.2)+(-1.146174+(-0.13719--0.153204))+0-28.5--0.0290700000000045</f>
        <v>1078.3989100000001</v>
      </c>
      <c r="M15" s="3">
        <f>1131.9+(124-90.7)+(0+(0-0))+0-27.9-0</f>
        <v>1137.3</v>
      </c>
      <c r="N15" s="3">
        <f>1137.7+(229.7-84.9)+(-0.580227+(-0.117147--0.043299))+0-29.4--0.014993999999997</f>
        <v>1252.4609189999999</v>
      </c>
      <c r="O15" s="3">
        <f>1144.4+(364.9-111.1)+(1.167288+(0.372198-0.113322))+0-29.7-0.0302940000000047</f>
        <v>1369.8958700000001</v>
      </c>
      <c r="P15" s="3">
        <f>1231+(381.5-139.6)+(-0.62781+(-0.194565--0.071196))+0-30.9--0.0157589999999969</f>
        <v>1441.2645799999998</v>
      </c>
      <c r="Q15" s="3">
        <f>1266.4+(426.8-169.3)+(-0.645864+(-0.217668--0.086343))+0-31.2--0.0159119999999968</f>
        <v>1491.9387230000002</v>
      </c>
      <c r="R15" s="3">
        <f>1267.2+(429.8-186.6)+(-0.646272+(-0.219198--0.095166))+0-29.9--0.015248999999997</f>
        <v>1479.7449450000001</v>
      </c>
      <c r="S15" s="3">
        <f>1261+(400.5-191.3)+(-3.21555+(-1.021275--0.487815))+0-29.4--0.0749699999999957</f>
        <v>1437.1259599999998</v>
      </c>
      <c r="T15" s="3">
        <f>1264.6+(369.3-198.4)+(-2.579784+(-0.753372--0.404736))+0-30.1--0.0614039999999987</f>
        <v>1402.5329840000002</v>
      </c>
      <c r="U15" s="3">
        <f>1270.6+(376.8-226.5)+(-1.296012+(-0.384336--0.23103))+0-31.3--0.031926000000005</f>
        <v>1388.1826080000001</v>
      </c>
      <c r="V15" s="3">
        <f>1278.6+(380.9-239.7)+(-1.956258+(-0.582777--0.366741))+0-30.8--0.0471240000000018</f>
        <v>1386.87483</v>
      </c>
      <c r="W15" s="3">
        <f>1277.9+(386-227.2)+(0.651729+(0.19686-0.115872))+0-30.5-0.0155549999999969</f>
        <v>1406.9171620000002</v>
      </c>
      <c r="X15" s="3">
        <f>1285.6+(362-182.3)+(-1.966968+(-0.55386--0.278919))+0-30.7--0.0469710000000018</f>
        <v>1432.4050619999998</v>
      </c>
      <c r="Y15" s="3">
        <f>1310.9+(424.3-193.5)+(-1.337118+(-0.432786--0.19737))+0-31--0.0316200000000049</f>
        <v>1509.1590860000001</v>
      </c>
      <c r="Z15" s="3">
        <f>1283.3+(515-136.4)+(-2.617932+(-1.0506--0.278256))+0-30.6--0.0624239999999987</f>
        <v>1627.9721480000001</v>
      </c>
      <c r="AA15" s="3">
        <f>1234.4+(507.6-143)+(-0.629544+(-0.258876--0.07293))+0-29.9--0.015248999999997</f>
        <v>1568.299759</v>
      </c>
      <c r="AB15" s="3">
        <f>1219.2+(437.5-137.2)+(-3.10896+(-1.115625--0.34986))+0-28.9--0.0736949999999958</f>
        <v>1486.7989700000001</v>
      </c>
      <c r="AC15" s="3">
        <f>1200.4+(337.5-134.9)+(-0.612204+(-0.172125--0.068799))+0-28.8--0.0146879999999971</f>
        <v>1373.4991580000001</v>
      </c>
      <c r="AD15">
        <v>1590.8999999999999</v>
      </c>
      <c r="AE15" s="3">
        <f>1322+(472.1-150)+(0+(0-0))+0-31.2-0</f>
        <v>1612.8999999999999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1155.8+(240.1-118.5)+(-1.768374+(-0.367353--0.181305))+0-29--0.0443700000000017</f>
        <v>1246.4899479999999</v>
      </c>
      <c r="G16" s="3">
        <f>1147.7+(175.6-154)+(0+(0-0))+0-29.3-0</f>
        <v>1140</v>
      </c>
      <c r="H16" s="3">
        <f>1132.8+(170.9-191.3)+(0.577728+(0.087159-0.097563))+0-28.7-0.0146369999999971</f>
        <v>1084.2526869999999</v>
      </c>
      <c r="I16" s="3">
        <f>1103.1+(169.2-182.8)+(0+(0-0))+0-28.8-0</f>
        <v>1060.7</v>
      </c>
      <c r="J16" s="3">
        <f>1041.4+(198.7-167.7)+(-3.186684+(-0.608022--0.513162))+0-28.5--0.0872100000000033</f>
        <v>1040.7056660000001</v>
      </c>
      <c r="K16" s="3">
        <f>982.8+(206.6-124.9)+(1.002456+(0.210732-0.127398))+0-29.1-0.0296820000000046</f>
        <v>1036.4561080000001</v>
      </c>
      <c r="L16" s="3">
        <f>984+(241.1-126.7)+(-0.50184+(-0.122961--0.064617))+0-28.9--0.0147389999999971</f>
        <v>1068.954555</v>
      </c>
      <c r="M16" s="3">
        <f>988.7+(263.2-104.9)+(-1.008474+(-0.268464--0.106998))+0-27.1--0.0276420000000043</f>
        <v>1118.7577020000001</v>
      </c>
      <c r="N16" s="3">
        <f>1099.1+(273.9-105)+(-0.560541+(-0.139689--0.05355))+0-27.4--0.0139739999999972</f>
        <v>1239.9672939999998</v>
      </c>
      <c r="O16" s="3">
        <f>1146.2+(318.2-83.9)+(0.584562+(0.162282-0.042789))+0-28.3-0.0144329999999971</f>
        <v>1352.8896219999999</v>
      </c>
      <c r="P16" s="3">
        <f>1138.1+(420.6-108.6)+(0.580431+(0.214506-0.055386))+0-28.8-0.0146879999999971</f>
        <v>1422.0248629999999</v>
      </c>
      <c r="Q16" s="3">
        <f>1130+(464.6-118.4)+(0+(0-0))+0-28.6-0</f>
        <v>1447.6000000000001</v>
      </c>
      <c r="R16" s="3">
        <f>1126.6+(415.2-77.9)+(-1.149132+(-0.423504--0.079458))+0-28.4--0.0289680000000045</f>
        <v>1434.0357899999999</v>
      </c>
      <c r="S16" s="3">
        <f>1183.7+(347.7-69.5)+(-1.207374+(-0.354654--0.07089))+0-28.2--0.0287640000000045</f>
        <v>1432.2376259999999</v>
      </c>
      <c r="T16" s="3">
        <f>1183.2+(343.3-107.1)+(-1.206864+(-0.350166--0.109242))+0-30.7--0.0313140000000049</f>
        <v>1387.2835260000002</v>
      </c>
      <c r="U16" s="3">
        <f>1180.6+(360.4-141.7)+(0.602106+(0.183804-0.072267))+0-31.1-0.0158609999999968</f>
        <v>1368.897782</v>
      </c>
      <c r="V16" s="3">
        <f>1169.2+(393.8-158.2)+(-0.596292+(-0.200838--0.080682))+0-31.1--0.0158609999999968</f>
        <v>1372.9994130000005</v>
      </c>
      <c r="W16" s="3">
        <f>1153.6+(359.5-137.7)+(-1.765008+(-0.550035--0.210681))+0-30.7--0.0469710000000018</f>
        <v>1342.6426089999998</v>
      </c>
      <c r="X16" s="3">
        <f>1170.7+(324.7-124.1)+(-1.194114+(-0.331194--0.126582))+0-30.4--0.0310080000000048</f>
        <v>1339.5322819999999</v>
      </c>
      <c r="Y16" s="3">
        <f>1255+(331.2-160.8)+(-0.64005+(-0.168912--0.082008))+0-30.4--0.0155039999999969</f>
        <v>1394.28855</v>
      </c>
      <c r="Z16" s="3">
        <f>1290.4+(499.4-106.6)+(-3.29052+(-1.27347--0.27183))+0-30.6--0.0780299999999956</f>
        <v>1648.3858700000001</v>
      </c>
      <c r="AA16" s="3">
        <f>1256.3+(502.1-100.6)+(-1.922139+(-0.768213--0.153918))+0-30.2--0.0462060000000017</f>
        <v>1625.1097719999998</v>
      </c>
      <c r="AB16" s="3">
        <f>1223+(449.8-96.9)+(-1.87119+(-0.688194--0.148257))+0-29.7--0.0454410000000017</f>
        <v>1543.8343139999999</v>
      </c>
      <c r="AC16" s="3">
        <f>1212.8+(322.3-103.2)+(-3.09264+(-0.821865--0.26316))+7-30.4--0.0775199999999956</f>
        <v>1404.9261750000001</v>
      </c>
      <c r="AD16">
        <v>1615.3000000000002</v>
      </c>
      <c r="AE16" s="3">
        <f>1287+(492.3-99.2)+(0+(0-0))+0-29.6-0</f>
        <v>1650.5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1193.5+(206.5-136.7)+(-1.21737+(-0.21063--0.139434))+0-30.4--0.0310080000000048</f>
        <v>1231.6424419999998</v>
      </c>
      <c r="G17" s="3">
        <f>1194.1+(134.2-186.4)+(-4.871928+(-0.547536--0.760512))+0-29.5--0.120359999999997</f>
        <v>1107.8614079999998</v>
      </c>
      <c r="H17" s="3">
        <f>1188.4+(126.6-208.6)+(-1.818252+(-0.193698--0.319158))+0-28.8--0.0440640000000017</f>
        <v>1075.951272</v>
      </c>
      <c r="I17" s="3">
        <f>1113.3+(154.4-175.9)+(-1.135566+(-0.157488--0.179418))+0-28.6--0.0291720000000046</f>
        <v>1062.115536</v>
      </c>
      <c r="J17" s="3">
        <f>1070.4+(159.5-155.2)+(-2.72952+(-0.406725--0.39576))+0-28.1--0.0716549999999959</f>
        <v>1043.9311700000001</v>
      </c>
      <c r="K17" s="3">
        <f>1046.4+(167.6-124.6)+(0.533664+(0.085476-0.063546))+0-28.5-0.0145349999999971</f>
        <v>1061.441059</v>
      </c>
      <c r="L17" s="3">
        <f>1046.2+(195.7-110)+(-1.067124+(-0.199614--0.1122))+0-28.2--0.0287640000000045</f>
        <v>1102.574226</v>
      </c>
      <c r="M17" s="3">
        <f>1123.1+(161.8-102.5)+(-1.145562+(-0.165036--0.10455))+0-27.1--0.0276420000000043</f>
        <v>1154.121594</v>
      </c>
      <c r="N17" s="3">
        <f>1178.8+(215.8-92.6)+(-1.202376+(-0.220116--0.094452))+0-29.1--0.0296820000000046</f>
        <v>1271.6016420000001</v>
      </c>
      <c r="O17" s="3">
        <f>1183+(331.7-91.3)+(-0.60333+(-0.169167--0.046563))+0-29.7--0.015146999999997</f>
        <v>1392.9892130000001</v>
      </c>
      <c r="P17" s="3">
        <f>1183.6+(403.1-98.6)+(0+(0-0))+0-29.5-0</f>
        <v>1458.6</v>
      </c>
      <c r="Q17" s="3">
        <f>1258.3+(401.1-108.5)+(-0.641733+(-0.204561--0.055335))+0-30.6--0.0156059999999969</f>
        <v>1519.5246470000002</v>
      </c>
      <c r="R17" s="3">
        <f>1243.2+(413.1-101.3)+(-0.634032+(-0.210681--0.051663))+0-28.1--0.0143309999999971</f>
        <v>1526.1212810000002</v>
      </c>
      <c r="S17" s="3">
        <f>1210.3+(381.3-92)+(-1.851759+(-0.583389--0.14076))+0-26.9--0.0411570000000016</f>
        <v>1470.4467689999999</v>
      </c>
      <c r="T17" s="3">
        <f>1218.3+(329.3-93.3)+(-0.621333+(-0.167943--0.047583))+0-27.7--0.0141269999999972</f>
        <v>1425.8724339999999</v>
      </c>
      <c r="U17" s="3">
        <f>1219.3+(329.1-120.5)+(-4.352901+(-1.174887--0.430185))+0-28.7--0.102459</f>
        <v>1394.2048560000001</v>
      </c>
      <c r="V17" s="3">
        <f>1151.4+(391.8-122.9)+(-1.761642+(-0.599454--0.188037))+0-29--0.0443700000000017</f>
        <v>1389.1713110000003</v>
      </c>
      <c r="W17" s="3">
        <f>1116.2+(440.3-114.3)+(-3.415572+(-1.347318--0.349758))+0-29.3--0.0896580000000034</f>
        <v>1408.5765260000003</v>
      </c>
      <c r="X17" s="3">
        <f>1111.1+(469.4-117.1)+(-1.699983+(-0.718182--0.179163))+0-29.3--0.0448290000000017</f>
        <v>1431.9058269999998</v>
      </c>
      <c r="Y17" s="3">
        <f>1193.5+(419.5-95.7)+(-1.21737+(-0.42789--0.097614))+0-28.6--0.0291720000000046</f>
        <v>1487.1815260000001</v>
      </c>
      <c r="Z17" s="3">
        <f>1292.4+(505.5-116.6)+(-2.636496+(-1.03122--0.237864))+0-30.8--0.0628319999999987</f>
        <v>1647.1329800000003</v>
      </c>
      <c r="AA17" s="3">
        <f>1201.6+(592-103.7)+(-2.451264+(-1.20768--0.211548))+0-30.9--0.0630359999999986</f>
        <v>1655.6156399999998</v>
      </c>
      <c r="AB17" s="3">
        <f>1175.4+(517.3-102.5)+(-1.198908+(-0.527646--0.10455))+0-29.6--0.0301920000000047</f>
        <v>1559.008188</v>
      </c>
      <c r="AC17" s="3">
        <f>1096+(477.9-103.3)+(-1.11792+(-0.487458--0.105366))+0-30.6--0.0312120000000049</f>
        <v>1438.5312000000001</v>
      </c>
      <c r="AD17">
        <v>1635.3999999999999</v>
      </c>
      <c r="AE17" s="3">
        <f>1330+(495.4-116)+(0+(0-0))+0-30.4-0</f>
        <v>1679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1004.7+(405.4-130.1)+(-2.561985+(-1.03377--0.331755))+0-30.4--0.0775199999999956</f>
        <v>1246.4135200000001</v>
      </c>
      <c r="G18" s="3">
        <f>804.8+(464.1-125.5)+(-1.231344+(-0.710073--0.192015))+0-29.6--0.0452880000000017</f>
        <v>1112.0958860000003</v>
      </c>
      <c r="H18" s="3">
        <f>784.7+(412.4-121.6)+(0+(0-0))+0-28.7-0</f>
        <v>1046.8</v>
      </c>
      <c r="I18" s="3">
        <f>784.2+(387.5-118.4)+(-1.199826+(-0.592875--0.181152))+0-28.7--0.0439110000000017</f>
        <v>1023.0323620000001</v>
      </c>
      <c r="J18" s="3">
        <f>784.2+(374.3-117.7)+(-2.399652+(-1.145358--0.360162))+0-28.5--0.0872100000000033</f>
        <v>1009.2023620000001</v>
      </c>
      <c r="K18" s="3">
        <f>782.7+(383.1-118.8)+(-0.798354+(-0.390762--0.121176))+0-28.7--0.0292740000000046</f>
        <v>1017.261334</v>
      </c>
      <c r="L18" s="3">
        <f>780.7+(415.3-114.7)+(-1.592628+(-0.847212--0.233988))+0-28.5--0.0581399999999988</f>
        <v>1050.6522880000002</v>
      </c>
      <c r="M18" s="3">
        <f>816.2+(424.2-117.9)+(0+(0-0))+0-28.1-0</f>
        <v>1094.4000000000001</v>
      </c>
      <c r="N18" s="3">
        <f>897.2+(464.4-117.4)+(-0.915144+(-0.473688--0.119748))+0-29--0.0295800000000046</f>
        <v>1213.9604959999999</v>
      </c>
      <c r="O18" s="3">
        <f>896.9+(583.9-116.6)+(0+(0-0))+0-29.1-0</f>
        <v>1335.1</v>
      </c>
      <c r="P18" s="3">
        <f>928+(613.5-119.4)+(0.47328+(0.312885-0.060894))+0-28.8-0.0146879999999971</f>
        <v>1394.010583</v>
      </c>
      <c r="Q18" s="3">
        <f>973.8+(615.1-125.2)+(-1.489914+(-0.941103--0.191556))+0-29.3--0.0448290000000017</f>
        <v>1432.2053680000001</v>
      </c>
      <c r="R18" s="3">
        <f>975.8+(634.8-158.6)+(-0.995316+(-0.647496--0.161772))+0-26.7--0.0272340000000043</f>
        <v>1423.846194</v>
      </c>
      <c r="S18" s="3">
        <f>920.2+(644.9-158.7)+(-0.938604+(-0.657798--0.161874))+0-26.9--0.0274380000000043</f>
        <v>1378.0929100000001</v>
      </c>
      <c r="T18" s="3">
        <f>894.7+(574.9-144.8)+(0+(0-0))+0-27.5-0</f>
        <v>1297.3</v>
      </c>
      <c r="U18" s="3">
        <f>894+(552.7-134.8)+(-1.82376+(-1.127508--0.274992))+0-28.7--0.0585479999999987</f>
        <v>1280.5822720000001</v>
      </c>
      <c r="V18" s="3">
        <f>726.8+(692.7-112.5)+(-0.741336+(-0.706554--0.11475))+0-29.1--0.0296820000000046</f>
        <v>1276.5965420000002</v>
      </c>
      <c r="W18" s="3">
        <f>772.3+(650.2-117.3)+(-1.181619+(-0.994806--0.179469))+0-28.2--0.0431460000000016</f>
        <v>1275.04619</v>
      </c>
      <c r="X18" s="3">
        <f>870+(535-116.2)+(-1.7748+(-1.0914--0.237048))+0-30--0.0611999999999987</f>
        <v>1256.2320480000001</v>
      </c>
      <c r="Y18" s="3">
        <f>936.6+(524.7-122.3)+(-0.477666+(-0.267597--0.062373))+0-31--0.0158099999999969</f>
        <v>1307.3329200000001</v>
      </c>
      <c r="Z18" s="3">
        <f>946.8+(790.5-131.9)+(0.482868+(0.403155-0.067269))+0-29.9-0.015248999999997</f>
        <v>1576.3035049999999</v>
      </c>
      <c r="AA18" s="3">
        <f>976.9+(770.1-151.9)+(-1.992876+(-1.571004--0.309876))+0-29.5--0.0601799999999987</f>
        <v>1562.406176</v>
      </c>
      <c r="AB18" s="3">
        <f>920.5+(742.8-141.2)+(-1.87782+(-1.515312--0.288048))+0-27.7--0.0565079999999988</f>
        <v>1491.3514239999997</v>
      </c>
      <c r="AC18" s="3">
        <f>847.4+(714.1-137.9)+(-0.864348+(-0.728382--0.140658))+0-28.4--0.0289680000000045</f>
        <v>1393.7768959999999</v>
      </c>
      <c r="AD18">
        <v>1701.8999999999999</v>
      </c>
      <c r="AE18" s="3">
        <f>978+(867.9-81.4)+(0+(0-0))+0-28.4-0</f>
        <v>1736.1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761.5+(639-126)+(-0.77673+(-0.65178--0.12852))+0-28.3--0.0288660000000045</f>
        <v>1244.9288760000002</v>
      </c>
      <c r="G19" s="3">
        <f>762.5+(515.5-135.5)+(-0.388875+(-0.262905--0.069105))+0-28.8--0.0146879999999971</f>
        <v>1113.1320129999999</v>
      </c>
      <c r="H19" s="3">
        <f>764.1+(456.5-148.9)+(-1.169073+(-0.698445--0.227817))+0-28.7--0.0439110000000017</f>
        <v>1041.4042099999999</v>
      </c>
      <c r="I19" s="3">
        <f>792.5+(394.4-161.7)+(0+(0-0))+0-29-0</f>
        <v>996.2</v>
      </c>
      <c r="J19" s="3">
        <f>867.1+(328.4-181.7)+(-1.326663+(-0.502452--0.278001))+0-28.6--0.0437580000000017</f>
        <v>983.69264399999997</v>
      </c>
      <c r="K19" s="3">
        <f>900.5+(306.9-190.9)+(0.459255+(0.156519-0.097359))+0-28.8-0.0146879999999971</f>
        <v>988.20372700000007</v>
      </c>
      <c r="L19" s="3">
        <f>884.6+(366.9-177.1)+(-1.353438+(-0.561357--0.270963))+0-28.6--0.0437580000000017</f>
        <v>1044.1999260000002</v>
      </c>
      <c r="M19" s="3">
        <f>877.1+(402.6-159.6)+(-1.789284+(-0.821304--0.325584))+0-28.7--0.0585479999999987</f>
        <v>1089.173544</v>
      </c>
      <c r="N19" s="3">
        <f>838.5+(364.9-145)+(-2.138175+(-0.930495--0.36975))+0-29.9--0.0762449999999957</f>
        <v>1025.8773249999999</v>
      </c>
      <c r="O19" s="3">
        <f>823.6+(427.2-119.8)+(-0.420036+(-0.217872--0.061098))+0-30.9--0.0157589999999969</f>
        <v>1099.5389489999998</v>
      </c>
      <c r="P19" s="3">
        <f>814.5+(515.3-99.4)+(-0.83079+(-0.525606--0.101388))+0-30.8--0.0314160000000049</f>
        <v>1198.3764080000001</v>
      </c>
      <c r="Q19" s="3">
        <f>813.5+(550-91.9)+(-0.414885+(-0.2805--0.046869))+0-30.9--0.0157589999999969</f>
        <v>1240.0672429999997</v>
      </c>
      <c r="R19" s="3">
        <f>821.2+(528.1-94)+(-1.256436+(-0.807993--0.14382))+0-29.3--0.0448290000000017</f>
        <v>1224.1242200000002</v>
      </c>
      <c r="S19" s="3">
        <f>817.7+(517.5-106.6)+(-2.502162+(-1.58355--0.326196))+0-28--0.0856800000000032</f>
        <v>1196.9261639999997</v>
      </c>
      <c r="T19" s="3">
        <f>700.1+(597.4-112.3)+(-0.714102+(-0.609348--0.114546))+0-28.2--0.0287640000000045</f>
        <v>1155.8198599999998</v>
      </c>
      <c r="U19" s="3">
        <f>701.2+(596.4-149.8)+(-2.145672+(-1.824984--0.458388))+0-28.5--0.0872100000000033</f>
        <v>1115.8749419999999</v>
      </c>
      <c r="V19" s="3">
        <f>755.7+(548.7-152.2)+(-1.156221+(-0.839511--0.232866))+0-28.6--0.0437580000000017</f>
        <v>1121.8808920000001</v>
      </c>
      <c r="W19" s="3">
        <f>836+(429.6-113.3)+(-0.42636+(-0.219096--0.057783))+0-27.7--0.0141269999999972</f>
        <v>1124.0264539999998</v>
      </c>
      <c r="X19" s="3">
        <f>934.4+(349.2-130.4)+(0+(0-0))+0-28.6-0</f>
        <v>1124.6000000000001</v>
      </c>
      <c r="Y19" s="3">
        <f>1058.8+(300-131.1)+(-0.539988+(-0.153--0.066861))+0-30.3--0.0154529999999969</f>
        <v>1196.7893260000001</v>
      </c>
      <c r="Z19" s="3">
        <f>1142.4+(470.1-133.6)+(-1.747872+(-0.719253--0.204408))+0-30.4--0.0465120000000018</f>
        <v>1446.2837949999998</v>
      </c>
      <c r="AA19" s="3">
        <f>1229.4+(405.7-130.8)+(-0.626994+(-0.206907--0.066708))+0-28.9--0.0147389999999971</f>
        <v>1474.6475460000001</v>
      </c>
      <c r="AB19" s="3">
        <f>1311.5+(307-143)+(-2.67546+(-0.62628--0.29172))+0-28.3--0.0577319999999988</f>
        <v>1444.2477120000001</v>
      </c>
      <c r="AC19" s="3">
        <f>1203+(290.9-157.2)+(-0.61353+(-0.148359--0.080172))+0-28.8--0.0146879999999971</f>
        <v>1307.2329710000001</v>
      </c>
      <c r="AD19">
        <v>1523.4</v>
      </c>
      <c r="AE19" s="3">
        <f>1165+(486.6-95.6)+(0+(0-0))+0-29.6-0</f>
        <v>1526.4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1144.6+(225.5-153.8)+(-2.91873+(-0.575025--0.39219))+0-28--0.0713999999999959</f>
        <v>1185.2698350000001</v>
      </c>
      <c r="G20" s="3">
        <f>1087.6+(191-173.6)+(-1.664028+(-0.29223--0.265608))+0-28.7--0.0439110000000017</f>
        <v>1074.6532609999999</v>
      </c>
      <c r="H20" s="3">
        <f>1135.9+(148.1-232.6)+(1.158618+(0.151062-0.237252))+0-28.2-0.0287640000000045</f>
        <v>1024.2436640000001</v>
      </c>
      <c r="I20" s="3">
        <f>1297.9+(25.5-284.5)+(0+(0-0))+0-27.6-0</f>
        <v>1011.3000000000001</v>
      </c>
      <c r="J20" s="3">
        <f>1280.2+(27-272.7)+(-1.305804+(-0.02754--0.278154))+0-28--0.0285600000000045</f>
        <v>1005.4733699999999</v>
      </c>
      <c r="K20" s="3">
        <f>1226.3+(39.2-228.2)+(-1.876239+(-0.059976--0.349146))+0-27.2--0.0416160000000016</f>
        <v>1008.554547</v>
      </c>
      <c r="L20" s="3">
        <f>1134.1+(112.2-175)+(-2.313564+(-0.228888--0.357))+0-27.1--0.0552839999999988</f>
        <v>1042.0698320000001</v>
      </c>
      <c r="M20" s="3">
        <f>1153.5+(109.8-157.7)+(0+(0-0))+0-26.6-0</f>
        <v>1079</v>
      </c>
      <c r="N20" s="3">
        <f>1208.1+(182.2-127.9)+(0+(0-0))+0-27.6-0</f>
        <v>1234.8</v>
      </c>
      <c r="O20" s="3">
        <f>1286.1+(265.2-83.4)+(0+(0-0))+0-29.1-0</f>
        <v>1438.8</v>
      </c>
      <c r="P20" s="3">
        <f>1281.1+(301.8-90.2)+(0+(0-0))+0-29.1-0</f>
        <v>1463.6</v>
      </c>
      <c r="Q20" s="3">
        <f>1273.6+(328.5-84.3)+(-2.598144+(-0.67014--0.171972))+0-28.6--0.0583439999999988</f>
        <v>1486.1620320000002</v>
      </c>
      <c r="R20" s="3">
        <f>1274.3+(383.5-142.3)+(-0.649893+(-0.195585--0.072573))+0-28.6--0.0145859999999971</f>
        <v>1486.1416810000001</v>
      </c>
      <c r="S20" s="3">
        <f>1222.4+(474.5-217)+(-1.246848+(-0.48399--0.22134))+0-29.6--0.0301920000000047</f>
        <v>1448.8206940000002</v>
      </c>
      <c r="T20" s="3">
        <f>1257.5+(371.4-207.3)+(-1.28265+(-0.378828--0.211446))+0-29.6--0.0301920000000047</f>
        <v>1390.58016</v>
      </c>
      <c r="U20" s="3">
        <f>1201.3+(402.7-215.4)+(0+(0-0))+0-30.1-0</f>
        <v>1358.5</v>
      </c>
      <c r="V20" s="3">
        <f>1177.3+(404.2-213.3)+(-0.600423+(-0.206142--0.108783))+0-30.4--0.0155039999999969</f>
        <v>1337.1177219999997</v>
      </c>
      <c r="W20" s="3">
        <f>1170.8+(408.4-217.1)+(-3.582648+(-1.249704--0.664326))+0-30.2--0.0924120000000035</f>
        <v>1327.8243859999998</v>
      </c>
      <c r="X20" s="3">
        <f>1057+(514.9-219.1)+(-2.15628+(-1.050396--0.446964))+0-29.9--0.0609959999999987</f>
        <v>1320.2012839999998</v>
      </c>
      <c r="Y20" s="3">
        <f>1112.1+(490.1-220.2)+(1.134342+(0.499902-0.224604))+0-29.6-0.0301920000000047</f>
        <v>1353.7794480000002</v>
      </c>
      <c r="Z20" s="3">
        <f>1269.5+(478.2-102.2)+(0+(0-0))+0-28-0</f>
        <v>1617.5</v>
      </c>
      <c r="AA20" s="3">
        <f>1262+(488.3-109.4)+(-3.2181+(-1.245165--0.27897))+0-28.2--0.0719099999999959</f>
        <v>1608.5876149999999</v>
      </c>
      <c r="AB20" s="3">
        <f>1266.7+(409.5-108.6)+(-0.646017+(-0.208845--0.055386))+0-29.2--0.014891999999997</f>
        <v>1537.6154159999999</v>
      </c>
      <c r="AC20" s="3">
        <f>1208.1+(355.9-106.7)+(-1.232262+(-0.363018--0.108834))+0-28.2--0.0287640000000045</f>
        <v>1427.6423179999999</v>
      </c>
      <c r="AD20">
        <v>1622.5</v>
      </c>
      <c r="AE20" s="3">
        <f>1264+(522.7-107.8)+(0+(0-0))+0-32-0</f>
        <v>1646.9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1127.5+(325.6-168.7)+(-1.15005+(-0.332112--0.172074))+0-28.7--0.0292740000000046</f>
        <v>1254.4191860000001</v>
      </c>
      <c r="G21" s="3">
        <f>1150.2+(212.2-198.4)+(0+(0-0))+0-28.2-0</f>
        <v>1135.8</v>
      </c>
      <c r="H21" s="3">
        <f>1106+(192.4-176.3)+(-2.25624+(-0.392496--0.359652))+0-28.9--0.0589559999999987</f>
        <v>1090.9698719999999</v>
      </c>
      <c r="I21" s="3">
        <f>1086.5+(172.8-165.8)+(-2.21646+(-0.352512--0.338232))+0-28.8--0.0587519999999987</f>
        <v>1062.528012</v>
      </c>
      <c r="J21" s="3">
        <f>1084.7+(149.7-158.9)+(-1.659591+(-0.229041--0.243117))+0-27.6--0.0422280000000016</f>
        <v>1046.2967130000002</v>
      </c>
      <c r="K21" s="3">
        <f>1085.4+(159.6-152.4)+(-1.660662+(-0.244188--0.233172))+0-28.3--0.0432990000000016</f>
        <v>1062.6716210000002</v>
      </c>
      <c r="L21" s="3">
        <f>1086.5+(187-144.2)+(-0.554115+(-0.09537--0.073542))+0-27.9--0.0142289999999972</f>
        <v>1100.8382859999997</v>
      </c>
      <c r="M21" s="3">
        <f>1109+(161.8-123)+(0+(0-0))+0-28.3-0</f>
        <v>1119.5</v>
      </c>
      <c r="N21" s="3">
        <f>1227.1+(208.1-120)+(-0.625821+(-0.106131--0.0612))+0-31.5--0.0160649999999968</f>
        <v>1283.0453129999999</v>
      </c>
      <c r="O21" s="3">
        <f>1247.3+(291.3-96.4)+(-1.272246+(-0.297126--0.098328))+0-30.8--0.0314160000000049</f>
        <v>1409.9603720000002</v>
      </c>
      <c r="P21" s="3">
        <f>1274.6+(310.2-85)+(-0.650046+(-0.158202--0.04335))+0-31--0.0158099999999969</f>
        <v>1468.0509120000002</v>
      </c>
      <c r="Q21" s="3">
        <f>1287.1+(337.6-89.2)+(0+(0-0))+0-30.5-0</f>
        <v>1505</v>
      </c>
      <c r="R21" s="3">
        <f>1279.2+(324.5-90)+(0+(0-0))+0-29.2-0</f>
        <v>1484.5</v>
      </c>
      <c r="S21" s="3">
        <f>1256.6+(307.2-89.8)+(-1.281732+(-0.313344--0.091596))+0-27.4--0.0279480000000044</f>
        <v>1445.1244679999998</v>
      </c>
      <c r="T21" s="3">
        <f>1243.4+(265.1-82.8)+(0+(0-0))+0-29-0</f>
        <v>1396.7</v>
      </c>
      <c r="U21" s="3">
        <f>1257.1+(244.3-81.7)+(0+(0-0))+0-29.1-0</f>
        <v>1390.6</v>
      </c>
      <c r="V21" s="3">
        <f>1219.9+(267.8-80.6)+(-1.866447+(-0.409734--0.123318))+0-28.5--0.0436050000000016</f>
        <v>1376.4907420000002</v>
      </c>
      <c r="W21" s="3">
        <f>1188.1+(288.7-84.8)+(-1.817793+(-0.441711--0.129744))+0-28.4--0.0434520000000016</f>
        <v>1361.5136919999998</v>
      </c>
      <c r="X21" s="3">
        <f>1184.2+(272.8-90.5)+(-2.415768+(-0.556512--0.18462))+0-28.7--0.0585479999999987</f>
        <v>1335.070888</v>
      </c>
      <c r="Y21" s="3">
        <f>1244.7+(257.9-95.9)+(0+(0-0))+0-27.5-0</f>
        <v>1379.2</v>
      </c>
      <c r="Z21" s="3">
        <f>1300.8+(466.3-103.5)+(-2.653632+(-0.951252--0.21114))+0-30.3--0.0618119999999987</f>
        <v>1629.9680679999999</v>
      </c>
      <c r="AA21" s="3">
        <f>1309.1+(444.8-100.5)+(-2.002923+(-0.680544--0.153765))+0-28.3--0.0432990000000016</f>
        <v>1622.6135969999998</v>
      </c>
      <c r="AB21" s="3">
        <f>1310.4+(362.3-108.1)+(-2.004912+(-0.554319--0.165393))+0-28.7--0.0439110000000017</f>
        <v>1533.5500730000001</v>
      </c>
      <c r="AC21" s="3">
        <f>1290.8+(279.2-133.2)+(-1.974924+(-0.427176--0.203796))+0-29.1--0.0445230000000017</f>
        <v>1405.5462190000001</v>
      </c>
      <c r="AD21">
        <v>1646.6000000000001</v>
      </c>
      <c r="AE21" s="3">
        <f>1306+(502.5-111.7)+(0+(0-0))+0-29.6-0</f>
        <v>1667.2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1235.7+(214.5-247.7)+(-1.260414+(-0.21879--0.252654))+0-28.5--0.0290700000000045</f>
        <v>1172.80252</v>
      </c>
      <c r="G22" s="3">
        <f>1232.1+(254.8-351.9)+(0+(0-0))+0-28.1-0</f>
        <v>1106.9000000000001</v>
      </c>
      <c r="H22" s="3">
        <f>1222.2+(254.1-400)+(-1.869966+(-0.388773--0.612))+0-28--0.0428400000000016</f>
        <v>1046.696101</v>
      </c>
      <c r="I22" s="3">
        <f>1224.1+(250-414.6)+(-1.248582+(-0.255--0.422892))+0-28--0.0285600000000045</f>
        <v>1030.44787</v>
      </c>
      <c r="J22" s="3">
        <f>1157.8+(240.6-342.2)+(0.590478+(0.122706-0.174522))+0-28.2-0.0143819999999971</f>
        <v>1028.5242799999999</v>
      </c>
      <c r="K22" s="3">
        <f>1158.7+(239-336.5)+(-1.181874+(-0.24378--0.34323))+0-28.2--0.0287640000000045</f>
        <v>1031.94634</v>
      </c>
      <c r="L22" s="3">
        <f>1161.6+(232.5-280.5)+(-1.777248+(-0.355725--0.429165))+0-28.2--0.0431460000000016</f>
        <v>1083.7393379999999</v>
      </c>
      <c r="M22" s="3">
        <f>1166.7+(147.7-153.8)+(0+(0-0))+0-29.3-0</f>
        <v>1131.3</v>
      </c>
      <c r="N22" s="3">
        <f>1290.9+(191-136.5)+(2.633436+(0.38964-0.27846))+0-30.3-0.0618119999999987</f>
        <v>1317.7828040000002</v>
      </c>
      <c r="O22" s="3">
        <f>1292.5+(216.7-118.8)+(0.659175+(0.110517-0.060588))+0-24.8-0.0126479999999975</f>
        <v>1366.2964560000003</v>
      </c>
      <c r="P22" s="3">
        <f>1288.7+(261-110.5)+(0+(0-0))+0-11.1-0</f>
        <v>1428.1000000000001</v>
      </c>
      <c r="Q22" s="3">
        <f>1279.1+(314.9-114.3)+(0+(0-0))+0-8.9-0</f>
        <v>1470.7999999999997</v>
      </c>
      <c r="R22" s="3">
        <f>1287+(316.3-117.6)+(-2.62548+(-0.645252--0.239904))+0-25.8--0.0526319999999989</f>
        <v>1456.9218040000001</v>
      </c>
      <c r="S22" s="3">
        <f>1235.2+(345.5-117.4)+(-1.259904+(-0.35241--0.119748))+0-29--0.0295800000000046</f>
        <v>1432.837014</v>
      </c>
      <c r="T22" s="3">
        <f>1219.1+(309.6-113.4)+(0+(0-0))+0-29.6-0</f>
        <v>1385.7</v>
      </c>
      <c r="U22" s="3">
        <f>1221.4+(280.7-119.3)+(-1.245828+(-0.286314--0.121686))+0-28.2--0.0287640000000045</f>
        <v>1353.218308</v>
      </c>
      <c r="V22" s="3">
        <f>1209.8+(288.1-118.4)+(-1.233996+(-0.293862--0.120768))+0-28.9--0.0294780000000046</f>
        <v>1349.2223879999999</v>
      </c>
      <c r="W22" s="3">
        <f>1198.9+(303.8-127.2)+(0+(0-0))+0-28.3-0</f>
        <v>1347.2</v>
      </c>
      <c r="X22" s="3">
        <f>1233.8+(266-133.2)+(-0.629238+(-0.13566--0.067932))+0-27.7--0.0141269999999972</f>
        <v>1338.2171609999998</v>
      </c>
      <c r="Y22" s="3">
        <f>1291+(254.7-134.3)+(-0.65841+(-0.129897--0.068493))+0-27.1--0.0138209999999973</f>
        <v>1383.5940070000001</v>
      </c>
      <c r="Z22" s="3">
        <f>1312.9+(453.6-129)+(-2.678316+(-0.925344--0.26316))+0-30.4--0.0620159999999987</f>
        <v>1603.821516</v>
      </c>
      <c r="AA22" s="3">
        <f>1299.1+(454.5-131.3)+(-2.650164+(-0.92718--0.267852))+0-29.9--0.0609959999999987</f>
        <v>1589.1515039999997</v>
      </c>
      <c r="AB22" s="3">
        <f>1254.6+(401-121.8)+(-1.919538+(-0.61353--0.186354))+0-27.9--0.0426870000000016</f>
        <v>1503.595973</v>
      </c>
      <c r="AC22" s="3">
        <f>1314.6+(281.6-170.9)+(-2.681784+(-0.574464--0.348636))+0-28.9--0.0589559999999987</f>
        <v>1393.551344</v>
      </c>
      <c r="AD22">
        <v>1646.7</v>
      </c>
      <c r="AE22" s="3">
        <f>1307+(481-94.1)+(0+(0-0))+0-31.2-0</f>
        <v>1662.7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1254.1+(257.4-200.4)+(-1.918773+(-0.393822--0.306612))+0-28--0.0428400000000016</f>
        <v>1281.136857</v>
      </c>
      <c r="G23" s="3">
        <f>1222.1+(286.4-300.2)+(-3.116355+(-0.73032--0.76551))+0-27.9--0.0711449999999959</f>
        <v>1177.3899799999997</v>
      </c>
      <c r="H23" s="3">
        <f>1218.3+(255.4-328.9)+(-0.621333+(-0.130254--0.167739))+0-28.4--0.0144839999999971</f>
        <v>1115.8306359999999</v>
      </c>
      <c r="I23" s="3">
        <f>1220.5+(244.2-343.3)+(-2.48982+(-0.498168--0.700332))+0-29.2--0.0595679999999987</f>
        <v>1089.971912</v>
      </c>
      <c r="J23" s="3">
        <f>1221.3+(239.2-351.5)+(-2.491452+(-0.487968--0.71706))+0-28.6--0.0583439999999988</f>
        <v>1078.1959840000002</v>
      </c>
      <c r="K23" s="3">
        <f>1218.9+(235.5-340.5)+(0.621639+(0.120105-0.173655))+0-28.8-0.0146879999999971</f>
        <v>1085.6534010000003</v>
      </c>
      <c r="L23" s="3">
        <f>1216.8+(236.1-300.3)+(-2.482272+(-0.481644--0.612612))+0-28.7--0.0585479999999987</f>
        <v>1121.6072439999998</v>
      </c>
      <c r="M23" s="3">
        <f>1213.4+(198.6-217.6)+(-1.237668+(-0.202572--0.221952))+0-30.1--0.0307020000000048</f>
        <v>1163.1124140000002</v>
      </c>
      <c r="N23" s="3">
        <f>1248.9+(210.6-131.6)+(0+(0-0))+0-30.8-0</f>
        <v>1297.1000000000001</v>
      </c>
      <c r="O23" s="3">
        <f>1287.9+(216.3-74.2)+(0.656829+(0.110313-0.037842))+0-30.7-0.0156569999999969</f>
        <v>1400.013643</v>
      </c>
      <c r="P23" s="3">
        <f>1332.2+(242.7-63.3)+(0.679422+(0.123777-0.032283))+0-30.8-0.0157079999999969</f>
        <v>1481.555208</v>
      </c>
      <c r="Q23" s="3">
        <f>1297.8+(310.1-55.8)+(-0.661878+(-0.158151--0.028458))+0-30.5--0.0155549999999969</f>
        <v>1520.8239839999999</v>
      </c>
      <c r="R23" s="3">
        <f>1276.7+(326.6-76.8)+(-0.651117+(-0.166566--0.039168))+0-29.4--0.014993999999997</f>
        <v>1496.3364789999998</v>
      </c>
      <c r="S23" s="3">
        <f>1276.3+(282.7-86.2)+(-3.254565+(-0.720885--0.21981))+0-28.7--0.0731849999999958</f>
        <v>1440.4175449999998</v>
      </c>
      <c r="T23" s="3">
        <f>1272.4+(227.6-93.4)+(-1.297848+(-0.232152--0.095268))+0-28.8--0.0293760000000046</f>
        <v>1376.3946440000002</v>
      </c>
      <c r="U23" s="3">
        <f>1265.4+(223.3-96.8)+(-1.290708+(-0.227766--0.098736))+0-29.7--0.0302940000000047</f>
        <v>1360.8105559999999</v>
      </c>
      <c r="V23" s="3">
        <f>1262.8+(243.4-103.2)+(0+(0-0))+0-27.8-0</f>
        <v>1375.2</v>
      </c>
      <c r="W23" s="3">
        <f>1258.6+(229.1-106.3)+(-3.20943+(-0.584205--0.271065))+0-27.8--0.070889999999996</f>
        <v>1350.1483199999998</v>
      </c>
      <c r="X23" s="3">
        <f>1284.4+(210.4-121.8)+(-2.620176+(-0.429216--0.248472))+0-30.1--0.0614039999999987</f>
        <v>1340.1604840000002</v>
      </c>
      <c r="Y23" s="3">
        <f>1320.6+(213.3-105.7)+(0.673506+(0.108783-0.053907))+0-29.2-0.014891999999997</f>
        <v>1399.7134899999999</v>
      </c>
      <c r="Z23" s="3">
        <f>1321.4+(388.2-90.4)+(-2.021742+(-0.593946--0.138312))+0-31.1--0.0475830000000018</f>
        <v>1585.6702070000001</v>
      </c>
      <c r="AA23" s="3">
        <f>1322.9+(366.2-91.6)+(-3.373395+(-0.93381--0.23358))+0-30.3--0.0772649999999956</f>
        <v>1563.20364</v>
      </c>
      <c r="AB23" s="3">
        <f>1293.1+(331.9-98.3)+(-3.297405+(-0.846345--0.250665))+0-26.1--0.0665549999999962</f>
        <v>1496.7734700000001</v>
      </c>
      <c r="AC23" s="3">
        <f>1254.2+(353.4-184.3)+(-1.279284+(-0.360468--0.187986))+0-28.8--0.0293760000000046</f>
        <v>1393.07761</v>
      </c>
      <c r="AD23">
        <v>1614.1</v>
      </c>
      <c r="AE23" s="3">
        <f>1317+(400.1-83.8)+(0+(0-0))+0-30-0</f>
        <v>1603.3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1219.2+(303.8-287.6)+(0+(0-0))+0-28.6-0</f>
        <v>1206.8000000000002</v>
      </c>
      <c r="G24" s="3">
        <f>1217.3+(284.8-385.1)+(1.241646+(0.290496-0.392802))+0-28.4-0.0289680000000045</f>
        <v>1089.7103719999998</v>
      </c>
      <c r="H24" s="3">
        <f>1212+(250-405.8)+(-1.85436+(-0.3825--0.620874))+0-29--0.0443700000000017</f>
        <v>1025.6283840000001</v>
      </c>
      <c r="I24" s="3">
        <f>1217.3+(233.1-422.9)+(-1.241646+(-0.237762--0.431358))+0-28.5--0.0290700000000045</f>
        <v>997.98101999999994</v>
      </c>
      <c r="J24" s="3">
        <f>1222.3+(220.7-421.3)+(-2.493492+(-0.450228--0.859452))+0-29.2--0.0595679999999987</f>
        <v>990.47529999999995</v>
      </c>
      <c r="K24" s="3">
        <f>1223.6+(232.3-419.6)+(0+(0-0))+0-28.8-0</f>
        <v>1007.5</v>
      </c>
      <c r="L24" s="3">
        <f>1220.9+(237.6-381.7)+(-0.622659+(-0.121176--0.194667))+0-26.5--0.0135149999999973</f>
        <v>1049.7643470000003</v>
      </c>
      <c r="M24" s="3">
        <f>1240.6+(201-315.6)+(0+(0-0))+0-28.9-0</f>
        <v>1097.0999999999999</v>
      </c>
      <c r="N24" s="3">
        <f>1264.7+(186.3-189.1)+(-0.644997+(-0.095013--0.096441))+0-31.2--0.0159119999999968</f>
        <v>1230.072343</v>
      </c>
      <c r="O24" s="3">
        <f>1296.4+(183.5-111.6)+(-0.661164+(-0.093585--0.056916))+0-26.6--0.0135659999999973</f>
        <v>1341.0157330000004</v>
      </c>
      <c r="P24" s="3">
        <f>1304.3+(222.9-100.4)+(-1.330386+(-0.227358--0.102408))+0-19.2--0.0195840000000031</f>
        <v>1406.1642479999998</v>
      </c>
      <c r="Q24" s="3">
        <f>1304.1+(297.7-120.4)+(-1.330182+(-0.303654--0.122808))+0-27.1--0.0276420000000043</f>
        <v>1452.8166140000001</v>
      </c>
      <c r="R24" s="3">
        <f>1301.6+(301-125.3)+(-1.327632+(-0.30702--0.127806))+0-29.5--0.0300900000000047</f>
        <v>1446.3232439999999</v>
      </c>
      <c r="S24" s="3">
        <f>1302.8+(282-124.7)+(-1.328856+(-0.28764--0.127194))+0-29.3--0.0298860000000047</f>
        <v>1429.340584</v>
      </c>
      <c r="T24" s="3">
        <f>1303.7+(218.8-133.4)+(0+(0-0))+0-30.1-0</f>
        <v>1359.0000000000002</v>
      </c>
      <c r="U24" s="3">
        <f>1287.9+(231.8-145.7)+(-1.313658+(-0.236436--0.148614))+0-31.3--0.031926000000005</f>
        <v>1341.3304460000002</v>
      </c>
      <c r="V24" s="3">
        <f>1285.6+(230-154.3)+(1.966968+(0.3519-0.236079))+0-31.2-0.0477360000000018</f>
        <v>1332.135053</v>
      </c>
      <c r="W24" s="3">
        <f>1259.7+(255.1-159.4)+(-2.569788+(-0.520404--0.325176))+0-30--0.0611999999999987</f>
        <v>1322.6961840000001</v>
      </c>
      <c r="X24" s="3">
        <f>1237.7+(242.9-166.2)+(0.631227+(0.123879-0.084762))+0-29.9-0.015248999999997</f>
        <v>1285.1550949999998</v>
      </c>
      <c r="Y24" s="3">
        <f>1269.2+(235.5-171.8)+(0.647292+(0.120105-0.087618))+0-31.1-0.0158609999999968</f>
        <v>1302.4639180000001</v>
      </c>
      <c r="Z24" s="3">
        <f>1307.1+(443.4-168.4)+(-2.666484+(-0.904536--0.343536))+0-30.5--0.0622199999999987</f>
        <v>1548.4347359999999</v>
      </c>
      <c r="AA24" s="3">
        <f>1296+(454.5-159.6)+(-3.96576+(-1.39077--0.488376))+0-29.9--0.0914940000000034</f>
        <v>1556.22334</v>
      </c>
      <c r="AB24" s="3">
        <f>1245.6+(443.4-166.5)+(-2.541024+(-0.904536--0.33966))+0-28.4--0.0579359999999988</f>
        <v>1491.0520359999998</v>
      </c>
      <c r="AC24" s="3">
        <f>1234.5+(369.6-183.8)+(-2.51838+(-0.753984--0.374952))+0-28.8--0.0587519999999987</f>
        <v>1388.6613399999999</v>
      </c>
      <c r="AD24">
        <v>1613.3</v>
      </c>
      <c r="AE24" s="3">
        <f>1310.5+(463.1-128.7)+(0+(0-0))+0-32.4-0</f>
        <v>1612.5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1222.7+(244.9-214.9)+(-0.623577+(-0.124899--0.109599))+0-29.1--0.014840999999997</f>
        <v>1222.975964</v>
      </c>
      <c r="G25" s="3">
        <f>1224.4+(225-311.1)+(-2.497776+(-0.459--0.634644))+0-29.6--0.0603839999999987</f>
        <v>1106.4382520000001</v>
      </c>
      <c r="H25" s="3">
        <f>1224.2+(218.9-358.3)+(-1.248684+(-0.223278--0.365466))+0-29.1--0.0296820000000046</f>
        <v>1054.623186</v>
      </c>
      <c r="I25" s="3">
        <f>1226.9+(219.7-389.1)+(0.625719+(0.112047-0.198441))+0-29.4-0.014993999999997</f>
        <v>1028.624331</v>
      </c>
      <c r="J25" s="3">
        <f>1227.5+(228.9-397.6)+(1.25205+(0.233478-0.405552))+0-29.5-0.0300900000000047</f>
        <v>1030.349886</v>
      </c>
      <c r="K25" s="3">
        <f>1216.8+(246.2-392.1)+(-0.620568+(-0.125562--0.199971))+0-29.2--0.014891999999997</f>
        <v>1041.1687329999997</v>
      </c>
      <c r="L25" s="3">
        <f>1132.1+(274.3-311.7)+(-1.732113+(-0.419679--0.476901))+0-29.2--0.0446760000000017</f>
        <v>1063.8697849999999</v>
      </c>
      <c r="M25" s="3">
        <f>1139.5+(270.4-297.7)+(0+(0-0))+0-24-0</f>
        <v>1088.2</v>
      </c>
      <c r="N25" s="3">
        <f>1244+(254.7-234.6)+(0+(0-0))+0-31.3-0</f>
        <v>1232.8</v>
      </c>
      <c r="O25" s="3">
        <f>1288+(280.2-174.3)+(-0.65688+(-0.142902--0.088893))+0-30.8--0.0157079999999969</f>
        <v>1362.4048190000001</v>
      </c>
      <c r="P25" s="3">
        <f>1287+(317.9-155.6)+(1.96911+(0.486387-0.238068))+0-29-0.0443700000000017</f>
        <v>1422.4730589999999</v>
      </c>
      <c r="Q25" s="3">
        <f>1281.1+(323.9-124.1)+(-3.920166+(-0.991134--0.379746))+0-30--0.0918000000000035</f>
        <v>1446.4602459999999</v>
      </c>
      <c r="R25" s="3">
        <f>1289.1+(322.2-125.6)+(-3.287205+(-0.82161--0.32028))+0-29.4--0.0749699999999957</f>
        <v>1452.5864349999997</v>
      </c>
      <c r="S25" s="3">
        <f>1189.6+(351-118.5)+(-0.606696+(-0.17901--0.060435))+0-28.7--0.0146369999999971</f>
        <v>1392.6893659999998</v>
      </c>
      <c r="T25" s="3">
        <f>1192.5+(305-129.8)+(0.608175+(0.15555-0.066198))+0-29.7-0.015146999999997</f>
        <v>1338.68238</v>
      </c>
      <c r="U25" s="3">
        <f>1182.6+(307.6-129.2)+(-0.603126+(-0.156876--0.065892))+0-31.5--0.0160649999999968</f>
        <v>1328.8219550000001</v>
      </c>
      <c r="V25" s="3">
        <f>1179.7+(302.8-141.2)+(-2.406588+(-0.617712--0.288048))+0-30.7--0.0626279999999987</f>
        <v>1307.9263760000001</v>
      </c>
      <c r="W25" s="3">
        <f>1206.7+(290.6-169.5)+(-1.846251+(-0.444618--0.259335))+0-30.4--0.0465120000000018</f>
        <v>1295.414978</v>
      </c>
      <c r="X25" s="3">
        <f>1206.4+(258.7-181.1)+(-1.230528+(-0.263874--0.184722))+0-30.3--0.0309060000000048</f>
        <v>1252.4212259999999</v>
      </c>
      <c r="Y25" s="3">
        <f>1243.9+(250.7-196)+(-2.537556+(-0.511428--0.39984))+0-30.7--0.0626279999999987</f>
        <v>1265.313484</v>
      </c>
      <c r="Z25" s="3">
        <f>1274.8+(484.7-181.9)+(-3.25074+(-1.235985--0.463845))+0-30.3--0.0772649999999956</f>
        <v>1543.3543849999999</v>
      </c>
      <c r="AA25" s="3">
        <f>1267.2+(517.7-191.8)+(-1.938816+(-0.792081--0.293454))+0-29.4--0.0449820000000017</f>
        <v>1561.3075389999999</v>
      </c>
      <c r="AB25" s="3">
        <f>1190.5+(507-185.2)+(-1.21431+(-0.51714--0.188904))+0-27.9--0.0284580000000044</f>
        <v>1482.885912</v>
      </c>
      <c r="AC25" s="3">
        <f>1175.4+(412.2-194.2)+(-0.599454+(-0.210222--0.099042))+0-26.1--0.0133109999999974</f>
        <v>1366.6026770000001</v>
      </c>
      <c r="AD25">
        <v>1590.8</v>
      </c>
      <c r="AE25" s="3">
        <f>1271+(517.4-150.2)+(0+(0-0))+0-28.4-0</f>
        <v>1609.8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1154.3+(304.5-171.6)+(-0.588693+(-0.155295--0.087516))+0-28.7--0.0146369999999971</f>
        <v>1257.8581650000001</v>
      </c>
      <c r="G26" s="3">
        <f>1115.6+(252-203.6)+(-1.137912+(-0.25704--0.207672))+0-29--0.0295800000000046</f>
        <v>1133.8422999999998</v>
      </c>
      <c r="H26" s="3">
        <f>1116.2+(233.6-243.8)+(-1.707786+(-0.357408--0.373014))+0-27.9--0.0426870000000016</f>
        <v>1076.450507</v>
      </c>
      <c r="I26" s="3">
        <f>1117.7+(221.6-257.5)+(0+(0-0))+0-28.3-0</f>
        <v>1053.5</v>
      </c>
      <c r="J26" s="3">
        <f>1117.5+(219.4-277.1)+(0+(0-0))+0-28.1-0</f>
        <v>1031.7</v>
      </c>
      <c r="K26" s="3">
        <f>1116+(216.7-270.2)+(-1.13832+(-0.221034--0.275604))+0-28.9--0.0294780000000046</f>
        <v>1032.5457279999998</v>
      </c>
      <c r="L26" s="3">
        <f>1114.5+(215.8-270.4)+(-4.54716+(-0.880464--1.103232))+0-28.8--0.117503999999997</f>
        <v>1026.8931120000002</v>
      </c>
      <c r="M26" s="3">
        <f>1102.4+(199.8-280.9)+(-1.124448+(-0.203796--0.286518))+0-29.8--0.0303960000000048</f>
        <v>990.48867000000018</v>
      </c>
      <c r="N26" s="3">
        <f>1148.7+(191.8-266.6)+(2.343348+(0.391272-0.543864))+0-30.8-0.0628319999999987</f>
        <v>1045.227924</v>
      </c>
      <c r="O26" s="3">
        <f>1166.3+(210.8-202.6)+(-1.784439+(-0.322524--0.309978))+0-30.9--0.0472770000000018</f>
        <v>1141.8502919999999</v>
      </c>
      <c r="P26" s="3">
        <f>1158+(244.6-162.1)+(1.18116+(0.249492-0.165342))+0-31.2-0.031824000000005</f>
        <v>1210.533486</v>
      </c>
      <c r="Q26" s="3">
        <f>1160.3+(280.7-155.8)+(-1.775259+(-0.429471--0.238374))+0-30.7--0.0469710000000018</f>
        <v>1252.5806149999999</v>
      </c>
      <c r="R26" s="3">
        <f>1158+(275.1-159.6)+(-4.13406+(-0.982107--0.569772))+0-29.3--0.104601</f>
        <v>1239.758206</v>
      </c>
      <c r="S26" s="3">
        <f>1094.6+(288.6-150.7)+(0+(0-0))+0-28.9-0</f>
        <v>1203.5999999999999</v>
      </c>
      <c r="T26" s="3">
        <f>1091.8+(258-149.8)+(-1.113636+(-0.26316--0.152796))+0-29.9--0.0304980000000048</f>
        <v>1168.9064980000001</v>
      </c>
      <c r="U26" s="3">
        <f>1088.9+(249.2-143.3)+(-0.555339+(-0.127092--0.073083))+0-31.1--0.0158609999999968</f>
        <v>1163.1065130000004</v>
      </c>
      <c r="V26" s="3">
        <f>1083.8+(254.7-140.2)+(-2.210952+(-0.519588--0.286008))+0-31.3--0.0638519999999986</f>
        <v>1164.61932</v>
      </c>
      <c r="W26" s="3">
        <f>1110.4+(235.3-150.4)+(-0.566304+(-0.120003--0.076704))+0-30.5--0.0155549999999969</f>
        <v>1164.205952</v>
      </c>
      <c r="X26" s="3">
        <f>1134.1+(228.9-163)+(0.578391+(0.116739-0.08313))+0-30.8-0.0157079999999969</f>
        <v>1169.7962920000002</v>
      </c>
      <c r="Y26" s="3">
        <f>1158+(261.6-172.8)+(-2.36232+(-0.533664--0.352512))+0-30.6--0.0624239999999987</f>
        <v>1213.7189519999999</v>
      </c>
      <c r="Z26" s="3">
        <f>1242.1+(433.3-140.7)+(-0.633471+(-0.220983--0.071757))+0-29.8--0.015197999999997</f>
        <v>1504.1325009999998</v>
      </c>
      <c r="AA26" s="3">
        <f>1198.4+(513.4-129.1)+(-2.444736+(-1.047336--0.263364))+0-29.6--0.0603839999999987</f>
        <v>1549.9316759999999</v>
      </c>
      <c r="AB26" s="3">
        <f>1148.3+(482.6-115.8)+(-1.171266+(-0.492252--0.118116))+0-28.9--0.0294780000000046</f>
        <v>1484.6840759999998</v>
      </c>
      <c r="AC26" s="3">
        <f>1101.9+(428.1-114.9)+(-2.247876+(-0.873324--0.234396))+0-28.5--0.0581399999999988</f>
        <v>1383.7713360000002</v>
      </c>
      <c r="AD26">
        <v>1546.7</v>
      </c>
      <c r="AE26" s="3">
        <f>1239+(497.2-132.9)+(0+(0-0))+0-30-0</f>
        <v>1573.3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1018.2+(350.1-118)+(0+(0-0))+0-28-0</f>
        <v>1222.3000000000002</v>
      </c>
      <c r="G27" s="3">
        <f>1012.3+(262.2-151.5)+(-2.581365+(-0.66861--0.386325))+0-28.8--0.0734399999999958</f>
        <v>1091.4097899999999</v>
      </c>
      <c r="H27" s="3">
        <f>1015.6+(252-191.1)+(-0.517956+(-0.12852--0.097461))+0-28.5--0.0145349999999971</f>
        <v>1047.46552</v>
      </c>
      <c r="I27" s="3">
        <f>1038.4+(247.2-229.6)+(0.529584+(0.126072-0.117096))+0-28.7-0.0146369999999971</f>
        <v>1027.8239229999999</v>
      </c>
      <c r="J27" s="3">
        <f>1025.6+(249.1-225.3)+(-0.523056+(-0.127041--0.114903))+0-29.4--0.014993999999997</f>
        <v>1019.4797999999998</v>
      </c>
      <c r="K27" s="3">
        <f>1024.5+(254.9-212.7)+(0.522495+(0.129999-0.108477))+0-29.1-0.014840999999997</f>
        <v>1038.1291760000001</v>
      </c>
      <c r="L27" s="3">
        <f>1024.6+(249.6-164.2)+(-2.61273+(-0.63648--0.41871))+0-29.9--0.0762449999999957</f>
        <v>1077.3457449999999</v>
      </c>
      <c r="M27" s="3">
        <f>1024.5+(291.5-140.7)+(1.04499+(0.29733-0.143514))+0-30.3-0.0309060000000048</f>
        <v>1146.1679000000001</v>
      </c>
      <c r="N27" s="3">
        <f>1125.3+(331.8-111.6)+(0+(0-0))+0-30.9-0</f>
        <v>1314.6</v>
      </c>
      <c r="O27" s="3">
        <f>1165.4+(416.7-92.3)+(0+(0-0))+0-31.3-0</f>
        <v>1458.5000000000002</v>
      </c>
      <c r="P27" s="3">
        <f>1162+(467.1-77)+(1.18524+(0.476442-0.07854))+0-31.5-0.032130000000005</f>
        <v>1522.1510119999998</v>
      </c>
      <c r="Q27" s="3">
        <f>1150.5+(480.5-71.7)+(-1.17351+(-0.49011--0.073134))+0-30.9--0.0315180000000049</f>
        <v>1526.8410319999998</v>
      </c>
      <c r="R27" s="3">
        <f>1042.8+(587.6-72.2)+(-0.531828+(-0.299676--0.036822))+0-30.2--0.0154019999999969</f>
        <v>1527.2207199999998</v>
      </c>
      <c r="S27" s="3">
        <f>784.3+(789.4-75.6)+(0+(0-0))+0-29.3-0</f>
        <v>1468.8</v>
      </c>
      <c r="T27" s="3">
        <f>900.3+(618.7-73.5)+(-0.459153+(-0.315537--0.037485))+0-29.1--0.014840999999997</f>
        <v>1415.6776360000001</v>
      </c>
      <c r="U27" s="3">
        <f>1004.8+(514-70.8)+(-1.537344+(-0.78642--0.108324))+0-30.1--0.0460530000000017</f>
        <v>1415.7306130000002</v>
      </c>
      <c r="V27" s="3">
        <f>1040.5+(476.3-72.1)+(-0.530655+(-0.242913--0.036771))+0-30.9--0.0157589999999969</f>
        <v>1413.0789619999998</v>
      </c>
      <c r="W27" s="3">
        <f>1082+(440.1-90)+(-2.20728+(-0.897804--0.1836))+0-30--0.0611999999999987</f>
        <v>1399.239716</v>
      </c>
      <c r="X27" s="3">
        <f>987.1+(497.4-84.5)+(-2.517105+(-1.26837--0.215475))+0-29.7--0.0757349999999957</f>
        <v>1366.8057349999999</v>
      </c>
      <c r="Y27" s="3">
        <f>1162.1+(349.6-112.1)+(-0.592671+(-0.178296--0.057171))+0-29.7--0.015146999999997</f>
        <v>1369.2013509999999</v>
      </c>
      <c r="Z27" s="3">
        <f>1331.3+(469.1-116.1)+(-2.715852+(-0.956964--0.236844))+0-29.9--0.0609959999999987</f>
        <v>1651.0250239999998</v>
      </c>
      <c r="AA27" s="3">
        <f>1239.5+(584.8-104.7)+(-1.896435+(-0.894744--0.160191))+0-28.8--0.0440640000000017</f>
        <v>1688.213076</v>
      </c>
      <c r="AB27" s="3">
        <f>1187.5+(549.5-105.7)+(-3.028125+(-1.401225--0.269535))+0-27.9--0.0711449999999959</f>
        <v>1599.3113299999998</v>
      </c>
      <c r="AC27" s="3">
        <f>1189.9+(429.4-118.9)+(-2.427396+(-0.875976--0.242556))+0-28--0.0571199999999988</f>
        <v>1469.3963040000001</v>
      </c>
      <c r="AD27">
        <v>1649.6000000000001</v>
      </c>
      <c r="AE27" s="3">
        <f>1335+(511-143)+(0+(0-0))+0-29.2-0</f>
        <v>1673.8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1222.1+(263.7-191.4)+(-1.869813+(-0.403461--0.292842))+0-28.5--0.0436050000000016</f>
        <v>1263.9631729999999</v>
      </c>
      <c r="G28" s="3">
        <f>1212.6+(246.8-276.6)+(-1.236852+(-0.251736--0.282132))+0-28.8--0.0293760000000046</f>
        <v>1152.8229200000001</v>
      </c>
      <c r="H28" s="3">
        <f>1140.6+(253.6-269.7)+(-2.326824+(-0.517344--0.550188))+0-29--0.0591599999999987</f>
        <v>1093.2651800000001</v>
      </c>
      <c r="I28" s="3">
        <f>1103.2+(264-276.8)+(-1.125264+(-0.26928--0.282336))+0-28.6--0.0291720000000046</f>
        <v>1060.7169640000002</v>
      </c>
      <c r="J28" s="3">
        <f>1101.8+(263.6-288.7)+(-2.247672+(-0.537744--0.588948))+0-29--0.0591599999999987</f>
        <v>1045.562692</v>
      </c>
      <c r="K28" s="3">
        <f>1101.8+(264.9-271.8)+(0+(0-0))+0-28.6-0</f>
        <v>1066.3</v>
      </c>
      <c r="L28" s="3">
        <f>1198.1+(258.8-332.7)+(-4.277217+(-0.923916--1.187739))+0-28.7--0.102459</f>
        <v>1091.5890649999997</v>
      </c>
      <c r="M28" s="3">
        <f>1221.3+(249.8-295.1)+(0+(0-0))+0-30.2-0</f>
        <v>1145.8</v>
      </c>
      <c r="N28" s="3">
        <f>1259.2+(248.1-182.4)+(1.284384+(0.253062-0.186048))+0-31.3-0.031926000000005</f>
        <v>1294.919472</v>
      </c>
      <c r="O28" s="3">
        <f>1289.8+(304.2-163.4)+(-1.315596+(-0.310284--0.166668))+0-25.1--0.025602000000004</f>
        <v>1404.06639</v>
      </c>
      <c r="P28" s="3">
        <f>1289.7+(356.6-141.3)+(0.657747+(0.181866-0.072063))+0-31.2-0.0159119999999968</f>
        <v>1474.5516379999999</v>
      </c>
      <c r="Q28" s="3">
        <f>1280.9+(387.8-124.4)+(0+(0-0))+0-30.5-0</f>
        <v>1513.8000000000002</v>
      </c>
      <c r="R28" s="3">
        <f>1281.7+(380.7-121.1)+(-3.268335+(-0.970785--0.308805))+0-29.6--0.0754799999999957</f>
        <v>1507.8451650000002</v>
      </c>
      <c r="S28" s="3">
        <f>1292.2+(351.1-147.8)+(-2.636088+(-0.716244--0.301512))+0-28.8--0.0587519999999987</f>
        <v>1463.707932</v>
      </c>
      <c r="T28" s="3">
        <f>1374.3+(246.8-173.5)+(1.401786+(0.251736-0.17697))+0-29.8-0.0303960000000048</f>
        <v>1419.2461559999999</v>
      </c>
      <c r="U28" s="3">
        <f>1378.1+(228.5-168)+(-2.811324+(-0.46614--0.34272))+0-31.5--0.0642599999999986</f>
        <v>1404.2295160000001</v>
      </c>
      <c r="V28" s="3">
        <f>1289.4+(272.2-147.7)+(-2.630376+(-0.555288--0.301308))+0-30.8--0.0628319999999987</f>
        <v>1380.2784760000002</v>
      </c>
      <c r="W28" s="3">
        <f>1264.7+(281.4-155.1)+(-3.869982+(-0.861084--0.474606))+0-30.9--0.0945540000000036</f>
        <v>1355.9380939999999</v>
      </c>
      <c r="X28" s="3">
        <f>1201.1+(314.8-148.8)+(-2.450244+(-0.642192--0.303552))+0-30.9--0.0630359999999986</f>
        <v>1333.4741519999998</v>
      </c>
      <c r="Y28" s="3">
        <f>1139.6+(374.2-154.2)+(0.581196+(0.190842-0.078642))+0-31.2-0.0159119999999968</f>
        <v>1329.0774839999997</v>
      </c>
      <c r="Z28" s="3">
        <f>1306+(503.3-177)+(-3.3303+(-1.283415--0.45135))+0-30.4--0.0775199999999956</f>
        <v>1597.815155</v>
      </c>
      <c r="AA28" s="3">
        <f>1310.7+(520.4-173.8)+(-3.342285+(-1.32702--0.44319))+0-29.9--0.0762449999999957</f>
        <v>1623.2501299999999</v>
      </c>
      <c r="AB28" s="3">
        <f>1272+(488.6-184.7)+(-4.54104+(-1.744302--0.659379))+0-28.5--0.101745</f>
        <v>1541.8757820000001</v>
      </c>
      <c r="AC28" s="3">
        <f>1245.2+(413.2-212)+(-3.17526+(-1.05366--0.5406))+0-28.3--0.0721649999999959</f>
        <v>1414.4838450000002</v>
      </c>
      <c r="AD28">
        <v>1677.8</v>
      </c>
      <c r="AE28" s="3">
        <f>1314+(542-133.4)+(0+(0-0))+0-30-0</f>
        <v>1692.6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1229.7+(313.9-262.5)+(-1.881441+(-0.480267--0.401625))+0-28--0.0428400000000016</f>
        <v>1251.182757</v>
      </c>
      <c r="G29" s="3">
        <f>1217.1+(298.7-339.1)+(-4.345047+(-1.066359--1.210587))+0-28--0.0999600000000004</f>
        <v>1144.5991409999999</v>
      </c>
      <c r="H29" s="3">
        <f>1223.7+(299-403.7)+(-1.872261+(-0.45747--0.617661))+0-27.8--0.0425340000000016</f>
        <v>1089.5304639999999</v>
      </c>
      <c r="I29" s="3">
        <f>1224.8+(289.6-418.2)+(0+(0-0))+0-27.9-0</f>
        <v>1068.3</v>
      </c>
      <c r="J29" s="3">
        <f>1218.1+(291.2-421.2)+(-2.484924+(-0.594048--0.859248))+0-28.3--0.0577319999999988</f>
        <v>1057.6380079999999</v>
      </c>
      <c r="K29" s="3">
        <f>1220.5+(276.7-403.8)+(-1.24491+(-0.282234--0.411876))+0-28.4--0.0289680000000045</f>
        <v>1063.9137000000001</v>
      </c>
      <c r="L29" s="3">
        <f>1205.3+(263.3-336.9)+(-2.458812+(-0.537132--0.687276))+0-28.9--0.0589559999999987</f>
        <v>1100.5502880000001</v>
      </c>
      <c r="M29" s="3">
        <f>1164.1+(255.3-230)+(0.593691+(0.130203-0.1173))+0-30.1-0.0153509999999969</f>
        <v>1159.891243</v>
      </c>
      <c r="N29" s="3">
        <f>1181.9+(310.5-162.2)+(0.602769+(0.158355-0.082722))+0-31.2-0.0159119999999968</f>
        <v>1299.6624899999999</v>
      </c>
      <c r="O29" s="3">
        <f>1225.8+(369.8-142.4)+(-1.875474+(-0.565794--0.217872))+0-31.4--0.0480420000000018</f>
        <v>1419.6246459999998</v>
      </c>
      <c r="P29" s="3">
        <f>1222.2+(402.7-127.9)+(-2.493288+(-0.821508--0.260916))+0-31.6--0.0644639999999986</f>
        <v>1462.4105840000002</v>
      </c>
      <c r="Q29" s="3">
        <f>1191.8+(433.2-114.2)+(-0.607818+(-0.220932--0.058242))+0-31.7--0.0161669999999968</f>
        <v>1478.3456589999998</v>
      </c>
      <c r="R29" s="3">
        <f>1163+(443.5-102.6)+(0.59313+(0.226185-0.052326))+0-32-0.0163199999999968</f>
        <v>1472.6506690000001</v>
      </c>
      <c r="S29" s="3">
        <f>1116.1+(483.9-111.1)+(-0.569211+(-0.246789--0.056661))+0-29.7--0.015146999999997</f>
        <v>1458.4558079999999</v>
      </c>
      <c r="T29" s="3">
        <f>1130.6+(426-117)+(-1.153212+(-0.43452--0.11934))+0-30.9--0.0315180000000049</f>
        <v>1407.2631259999998</v>
      </c>
      <c r="U29" s="3">
        <f>1196.3+(375.1-139)+(-1.830339+(-0.573903--0.21267))+0-31.5--0.0481950000000018</f>
        <v>1398.7566230000002</v>
      </c>
      <c r="V29" s="3">
        <f>1258.9+(334.3-156)+(-2.568156+(-0.681972--0.31824))+0-31.3--0.0638519999999986</f>
        <v>1403.031964</v>
      </c>
      <c r="W29" s="3">
        <f>1192.8+(371.3-140)+(-1.216656+(-0.378726--0.1428))+0-30.6--0.0312120000000049</f>
        <v>1392.0786300000002</v>
      </c>
      <c r="X29" s="3">
        <f>1083.1+(411.1-117.5)+(-2.761905+(-1.048305--0.299625))+0-26--0.0662999999999962</f>
        <v>1347.2557149999998</v>
      </c>
      <c r="Y29" s="3">
        <f>1113.9+(385.9-124.6)+(-1.136178+(-0.393618--0.127092))+0-17.5--0.0178500000000028</f>
        <v>1356.3151459999999</v>
      </c>
      <c r="Z29" s="3">
        <f>1248.5+(516.3-133.4)+(-1.27347+(-0.526626--0.136068))+0-27.8--0.0283560000000044</f>
        <v>1601.9643280000003</v>
      </c>
      <c r="AA29" s="3">
        <f>1312.3+(504.9-167.4)+(-2.007819+(-0.772497--0.256122))+0-28.1--0.0429930000000016</f>
        <v>1619.218799</v>
      </c>
      <c r="AB29" s="3">
        <f>1267.3+(491.7-171.8)+(-3.231615+(-1.253835--0.43809))+0-28.3--0.0721649999999959</f>
        <v>1554.9248049999999</v>
      </c>
      <c r="AC29" s="3">
        <f>1252.4+(399.5-198.1)+(-1.277448+(-0.40749--0.202062))+0-28.3--0.0288660000000045</f>
        <v>1424.0459900000003</v>
      </c>
      <c r="AD29">
        <v>1670.7</v>
      </c>
      <c r="AE29" s="3">
        <f>1310+(532-112.9)+(0+(0-0))+0-29.2-0</f>
        <v>1699.8999999999999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1238.1+(284.3-211.7)+(-3.157155+(-0.724965--0.539835))+0-28.6--0.0729299999999959</f>
        <v>1278.830645</v>
      </c>
      <c r="G30" s="3">
        <f>1238.5+(276.3-307.6)+(-1.26327+(-0.281826--0.313752))+0-28.5--0.0290700000000045</f>
        <v>1177.4977260000001</v>
      </c>
      <c r="H30" s="3">
        <f>1238.8+(275.1-368.6)+(-1.263576+(-0.280602--0.375972))+0-28.4--0.0289680000000045</f>
        <v>1115.7607619999999</v>
      </c>
      <c r="I30" s="3">
        <f>1238.2+(270.8-380)+(-2.525928+(-0.552432--0.7752))+0-28.3--0.0577319999999988</f>
        <v>1098.4545720000001</v>
      </c>
      <c r="J30" s="3">
        <f>1238.2+(266.1-386.2)+(-3.15741+(-0.678555--0.98481))+0-28.5--0.0726749999999959</f>
        <v>1086.82152</v>
      </c>
      <c r="K30" s="3">
        <f>1243.2+(264.9-379.5)+(-0.634032+(-0.135099--0.193545))+0-28.7--0.0146369999999971</f>
        <v>1099.3390509999999</v>
      </c>
      <c r="L30" s="3">
        <f>1240.8+(246.6-321.2)+(0+(0-0))+0-29-0</f>
        <v>1137.2</v>
      </c>
      <c r="M30" s="3">
        <f>1237.7+(224.2-241.5)+(0+(0-0))+0-30.1-0</f>
        <v>1190.3000000000002</v>
      </c>
      <c r="N30" s="3">
        <f>1245.8+(285.2-160.8)+(-1.906074+(-0.436356--0.246024))+0-31.4--0.0480420000000018</f>
        <v>1336.7516359999997</v>
      </c>
      <c r="O30" s="3">
        <f>1314+(341-138.2)+(-1.34028+(-0.34782--0.140964))+0-31.3--0.031926000000005</f>
        <v>1483.9847900000002</v>
      </c>
      <c r="P30" s="3">
        <f>1228.7+(431.2-95.8)+(-0.626637+(-0.219912--0.048858))+0-30.7--0.0156569999999969</f>
        <v>1532.6179659999998</v>
      </c>
      <c r="Q30" s="3">
        <f>1221.3+(461.3-87.7)+(-1.868589+(-0.705789--0.134181))+0-31--0.0474300000000018</f>
        <v>1561.5072330000003</v>
      </c>
      <c r="R30" s="3">
        <f>1267.8+(417.1-101.9)+(0.646578+(0.212721-0.051969))+0-28.8-0.0146879999999971</f>
        <v>1554.9926420000002</v>
      </c>
      <c r="S30" s="3">
        <f>1266.3+(387.6-100.8)+(-3.229065+(-0.98838--0.25704))+0-28.6--0.0729299999999959</f>
        <v>1520.612525</v>
      </c>
      <c r="T30" s="3">
        <f>1183.5+(429.5-105.5)+(-0.603585+(-0.219045--0.053805))+0-29.6--0.015095999999997</f>
        <v>1477.1462710000001</v>
      </c>
      <c r="U30" s="3">
        <f>1097.8+(477.6-102)+(0+(0-0))+0-29.9-0</f>
        <v>1443.5</v>
      </c>
      <c r="V30" s="3">
        <f>1177.9+(421.6-122.1)+(-2.402916+(-0.860064--0.249084))+0-30.2--0.0616079999999987</f>
        <v>1444.2477120000001</v>
      </c>
      <c r="W30" s="3">
        <f>1180.3+(407.6-134.6)+(0+(0-0))+0-30.2-0</f>
        <v>1423.1</v>
      </c>
      <c r="X30" s="3">
        <f>1159.1+(402.8-143.3)+(-2.955705+(-1.02714--0.365415))+0-30.4--0.0775199999999956</f>
        <v>1384.6600899999999</v>
      </c>
      <c r="Y30" s="3">
        <f>1203.8+(360.1-118.2)+(-0.613938+(-0.183651--0.060282))+0-30.3--0.0154529999999969</f>
        <v>1414.678146</v>
      </c>
      <c r="Z30" s="3">
        <f>1304.2+(467.3-90.5)+(-1.330284+(-0.476646--0.09231))+0-31--0.0316200000000049</f>
        <v>1648.317</v>
      </c>
      <c r="AA30" s="3">
        <f>1311.2+(508.9-108.1)+(-1.337424+(-0.519078--0.110262))+0-30.3--0.0309060000000048</f>
        <v>1679.9846660000001</v>
      </c>
      <c r="AB30" s="3">
        <f>1311.8+(434.8-125.7)+(-3.34509+(-1.10874--0.320535))+0-28.9--0.0736949999999958</f>
        <v>1587.9404</v>
      </c>
      <c r="AC30" s="3">
        <f>1313.1+(358.6-177)+(0+(0-0))+0-29.1-0</f>
        <v>1465.6</v>
      </c>
      <c r="AD30">
        <v>1706.1000000000001</v>
      </c>
      <c r="AE30" s="3">
        <f>1307+(530.5-84.6)+(0+(0-0))+0-30.8-0</f>
        <v>1722.1000000000001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1302.9+(334.8-337.4)+(-0.664479+(-0.170748--0.172074))+0-28.4--0.0144839999999971</f>
        <v>1271.2513310000002</v>
      </c>
      <c r="G31" s="3">
        <f>1294.4+(303-426.2)+(-3.30072+(-0.77265--1.08681))+0-28--0.0713999999999959</f>
        <v>1140.28484</v>
      </c>
      <c r="H31" s="3">
        <f>1251.9+(310-436.4)+(-0.638469+(-0.1581--0.222564))+0-27.9--0.0142289999999972</f>
        <v>1097.0402239999999</v>
      </c>
      <c r="I31" s="3">
        <f>1227.2+(309-433.8)+(-0.625872+(-0.15759--0.221238))+0-27.4--0.0139739999999972</f>
        <v>1074.4517499999999</v>
      </c>
      <c r="J31" s="3">
        <f>1133.8+(305.7-350.4)+(-1.156476+(-0.311814--0.357408))+0-27.3--0.0278460000000044</f>
        <v>1060.716964</v>
      </c>
      <c r="K31" s="3">
        <f>1101.8+(308.6-309.7)+(0+(0-0))+0-28.3-0</f>
        <v>1072.4000000000001</v>
      </c>
      <c r="L31" s="3">
        <f>1101.7+(317-285.3)+(-2.809335+(-0.80835--0.727515))+0-28.4--0.0724199999999959</f>
        <v>1102.1822500000001</v>
      </c>
      <c r="M31" s="3">
        <f>1134.3+(315.4-251.7)+(-1.156986+(-0.321708--0.256734))+0-28.9--0.0294780000000046</f>
        <v>1167.9075179999998</v>
      </c>
      <c r="N31" s="3">
        <f>1157.2+(378.8-186.6)+(1.180344+(0.386376-0.190332))+0-30.3-0.0309060000000048</f>
        <v>1320.4454820000001</v>
      </c>
      <c r="O31" s="3">
        <f>1167.7+(451.1-146.8)+(-1.191054+(-0.460122--0.149736))+0-30.2--0.0308040000000048</f>
        <v>1440.3293639999999</v>
      </c>
      <c r="P31" s="3">
        <f>1233.3+(442.6-152.9)+(-0.628983+(-0.225726--0.077979))+0-30.2--0.0154019999999969</f>
        <v>1492.0386719999999</v>
      </c>
      <c r="Q31" s="3">
        <f>1281.3+(443.6-149.3)+(-0.653463+(-0.226236--0.076143))+0-27.1--0.0138209999999973</f>
        <v>1547.7102649999999</v>
      </c>
      <c r="R31" s="3">
        <f>1268.8+(429.7-156.9)+(-1.941264+(-0.657441--0.240057))+0-9--0.0137700000000005</f>
        <v>1530.255122</v>
      </c>
      <c r="S31" s="3">
        <f>1205.2+(469-162.7)+(0+(0-0))+0-7.7-0</f>
        <v>1503.8</v>
      </c>
      <c r="T31" s="3">
        <f>1170.2+(448-174.1)+(0+(0-0))+0-9.2-0</f>
        <v>1434.8999999999999</v>
      </c>
      <c r="U31" s="3">
        <f>1202.9+(421.2-196.7)+(-1.226958+(-0.429624--0.200634))+0-12.9--0.0131580000000021</f>
        <v>1413.0572099999999</v>
      </c>
      <c r="V31" s="3">
        <f>1206.2+(445.5-198.4)+(0+(0-0))+0-28.4-0</f>
        <v>1424.8999999999999</v>
      </c>
      <c r="W31" s="3">
        <f>1207.3+(449.1-190.2)+(-3.694338+(-1.374246--0.582012))+0-28.4--0.0869040000000033</f>
        <v>1433.4003319999999</v>
      </c>
      <c r="X31" s="3">
        <f>1226.7+(437.7-210.5)+(-5.004936+(-1.785816--0.85884))+0-28.9--0.117911999999997</f>
        <v>1419.1859999999999</v>
      </c>
      <c r="Y31" s="3">
        <f>1178.2+(440.9-162.9)+(-2.403528+(-0.899436--0.332316))+0-29.2--0.0595679999999987</f>
        <v>1424.0889199999999</v>
      </c>
      <c r="Z31" s="3">
        <f>1223.1+(528.9-127.4)+(-4.366467+(-1.888173--0.454818))+0-29.2--0.104244</f>
        <v>1589.704422</v>
      </c>
      <c r="AA31" s="3">
        <f>1246.4+(496.3-110.6)+(-1.271328+(-0.506226--0.112812))+0-29.4--0.0299880000000047</f>
        <v>1601.0652460000001</v>
      </c>
      <c r="AB31" s="3">
        <f>1279.3+(384.6-122)+(-3.262215+(-0.98073--0.3111))+0-29.2--0.0744599999999958</f>
        <v>1508.842615</v>
      </c>
      <c r="AC31" s="3">
        <f>1264.4+(340.7-174.9)+(0+(0-0))+0-28.1-0</f>
        <v>1402.1000000000001</v>
      </c>
      <c r="AD31">
        <v>1635.5</v>
      </c>
      <c r="AE31" s="3">
        <f>1251+(522.1-103.4)+(0+(0-0))+0-28-0</f>
        <v>1641.7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1232.1+(318.6-264.6)+(0+(0-0))+0-27.7-0</f>
        <v>1258.3999999999999</v>
      </c>
      <c r="G32" s="3">
        <f>1226.2+(303.4-357.4)+(1.250724+(0.309468-0.364548))+0-28.6-0.0291720000000046</f>
        <v>1144.766472</v>
      </c>
      <c r="H32" s="3">
        <f>1223.3+(296.1-394)+(-1.247766+(-0.302022--0.40188))+0-28--0.0285600000000045</f>
        <v>1096.2806520000001</v>
      </c>
      <c r="I32" s="3">
        <f>1205.9+(296.6-405.1)+(-2.460036+(-0.605064--0.826404))+0-28.1--0.0573239999999988</f>
        <v>1067.1186280000004</v>
      </c>
      <c r="J32" s="3">
        <f>1171.5+(300.8-381.9)+(1.792395+(0.460224-0.584307))+0-28.2-0.0431460000000016</f>
        <v>1063.8251660000001</v>
      </c>
      <c r="K32" s="3">
        <f>1172.7+(302.3-388.4)+(0.598077+(0.154173-0.198084))+0-28.4-0.0144839999999971</f>
        <v>1058.7396819999999</v>
      </c>
      <c r="L32" s="3">
        <f>1133.6+(312.4-328.9)+(-1.156272+(-0.318648--0.335478))+0-28.3--0.0288660000000045</f>
        <v>1087.6894240000001</v>
      </c>
      <c r="M32" s="3">
        <f>1096.6+(314.5-251.8)+(1.118532+(0.32079-0.256836))+0-29.5-0.0300900000000047</f>
        <v>1130.9523959999999</v>
      </c>
      <c r="N32" s="3">
        <f>1151.9+(322-172.9)+(0.587469+(0.16422-0.088179))+0-31.1-0.0158609999999968</f>
        <v>1270.5476490000001</v>
      </c>
      <c r="O32" s="3">
        <f>1175.8+(357.2-120.4)+(1.199316+(0.364344-0.122808))+0-30.5-0.0311100000000049</f>
        <v>1383.509742</v>
      </c>
      <c r="P32" s="3">
        <f>1276.3+(330.2-117)+(0+(0-0))+0-30.1-0</f>
        <v>1459.4</v>
      </c>
      <c r="Q32" s="3">
        <f>1285.6+(337.1-97.9)+(2.622624+(0.687684-0.199716))+0-31.2-0.0636479999999986</f>
        <v>1496.6469439999998</v>
      </c>
      <c r="R32" s="3">
        <f>1285.9+(341.6-116.5)+(0+(0-0))+0-29.7-0</f>
        <v>1481.3</v>
      </c>
      <c r="S32" s="3">
        <f>1283.8+(329.2-146.2)+(-1.309476+(-0.335784--0.149124))+0-29.1--0.0296820000000046</f>
        <v>1436.2335460000002</v>
      </c>
      <c r="T32" s="3">
        <f>1288.7+(329.2-195.7)+(1.971711+(0.503676-0.299421))+0-29.9-0.0457470000000017</f>
        <v>1394.4302190000001</v>
      </c>
      <c r="U32" s="3">
        <f>1283.2+(341.7-209)+(-3.27216+(-0.871335--0.53295))+0-31--0.0790499999999955</f>
        <v>1381.3685050000001</v>
      </c>
      <c r="V32" s="3">
        <f>1257+(343.4-201.5)+(0+(0-0))+0-30.9-0</f>
        <v>1368</v>
      </c>
      <c r="W32" s="3">
        <f>1206.3+(365.1-188.9)+(-4.306491+(-1.303407--0.674373))+0-30.6--0.109242</f>
        <v>1347.073717</v>
      </c>
      <c r="X32" s="3">
        <f>1091.9+(384.6-134.3)+(-2.227476+(-0.784584--0.273972))+0-31.4--0.0640559999999986</f>
        <v>1308.1259679999998</v>
      </c>
      <c r="Y32" s="3">
        <f>1115.9+(376.7-143.9)+(-1.138218+(-0.384234--0.146778))+0-31--0.0316200000000049</f>
        <v>1316.3559460000001</v>
      </c>
      <c r="Z32" s="3">
        <f>1187.8+(530.5-140.2)+(-3.02889+(-1.352775--0.35751))+0-28.4--0.0724199999999959</f>
        <v>1545.7482649999997</v>
      </c>
      <c r="AA32" s="3">
        <f>1138.3+(619.9-133.6)+(-4.063731+(-2.213043--0.476952))+0-30.3--0.108171</f>
        <v>1588.6083490000001</v>
      </c>
      <c r="AB32" s="3">
        <f>1134.4+(567.1-143.7)+(-2.314176+(-1.156884--0.293148))+0-29--0.0591599999999987</f>
        <v>1525.6812480000001</v>
      </c>
      <c r="AC32" s="3">
        <f>1172.2+(466.9-173)+(-1.195644+(-0.476238--0.17646))+0-28.7--0.0292740000000046</f>
        <v>1435.9338519999999</v>
      </c>
      <c r="AD32">
        <v>1642.3999999999999</v>
      </c>
      <c r="AE32" s="3">
        <f>1192+(591-99)+(0+(0-0))+0-20.8-0</f>
        <v>1663.2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1176.4+(350.1-213.8)+(-2.99982+(-0.892755--0.54519))+0-29--0.0739499999999958</f>
        <v>1280.426565</v>
      </c>
      <c r="G33" s="3">
        <f>1175.3+(332-312.2)+(-2.997015+(-0.8466--0.79611))+0-29.3--0.0747149999999958</f>
        <v>1162.8272099999999</v>
      </c>
      <c r="H33" s="3">
        <f>1168.7+(309.4-357.9)+(-1.788111+(-0.473382--0.547587))+0-29--0.0443700000000017</f>
        <v>1089.5304640000002</v>
      </c>
      <c r="I33" s="3">
        <f>1172.7+(294.8-374.6)+(-0.598077+(-0.150348--0.191046))+0-28.7--0.0146369999999971</f>
        <v>1063.657258</v>
      </c>
      <c r="J33" s="3">
        <f>1157.9+(296.2-384)+(-1.181058+(-0.302124--0.39168))+0-28.4--0.0289680000000045</f>
        <v>1040.6374660000001</v>
      </c>
      <c r="K33" s="3">
        <f>1085.5+(314-345.2)+(-1.10721+(-0.32028--0.352104))+0-28.7--0.0292740000000046</f>
        <v>1024.5538879999999</v>
      </c>
      <c r="L33" s="3">
        <f>1047.4+(317.8-307.5)+(-2.67087+(-0.81039--0.784125))+0-27.8--0.070889999999996</f>
        <v>1027.2737550000002</v>
      </c>
      <c r="M33" s="3">
        <f>1048.9+(297.2-300.7)+(0+(0-0))+0-29-0</f>
        <v>1016.4000000000001</v>
      </c>
      <c r="N33" s="3">
        <f>1047.9+(324.5-268.3)+(-1.603287+(-0.496485--0.410499))+0-30.5--0.0466650000000018</f>
        <v>1071.9573920000003</v>
      </c>
      <c r="O33" s="3">
        <f>1095.2+(320.5-249)+(-0.558552+(-0.163455--0.12699))+0-29.9--0.015248999999997</f>
        <v>1136.2202319999999</v>
      </c>
      <c r="P33" s="3">
        <f>1172+(328.7-242.8)+(-1.19544+(-0.335274--0.247656))+0-30.3--0.0309060000000048</f>
        <v>1226.3478480000001</v>
      </c>
      <c r="Q33" s="3">
        <f>1185.8+(360.8-227.6)+(0+(0-0))+0-30.5-0</f>
        <v>1288.5</v>
      </c>
      <c r="R33" s="3">
        <f>1172.5+(365.1-218.9)+(-0.597975+(-0.186201--0.111639))+0-29.2--0.014891999999997</f>
        <v>1288.842355</v>
      </c>
      <c r="S33" s="3">
        <f>1165.6+(357.9-246.6)+(-2.377824+(-0.730116--0.503064))+0-28.2--0.0575279999999988</f>
        <v>1246.1526519999998</v>
      </c>
      <c r="T33" s="3">
        <f>1108.2+(368.3-240.3)+(-0.565182+(-0.187833--0.122553))+0-29.7--0.015146999999997</f>
        <v>1205.884685</v>
      </c>
      <c r="U33" s="3">
        <f>1109.7+(354.9-232.5)+(-1.697841+(-0.542997--0.355725))+0-30.5--0.0466650000000018</f>
        <v>1199.7615519999999</v>
      </c>
      <c r="V33" s="3">
        <f>1138.5+(343-258.1)+(-2.903175+(-0.87465--0.658155))+0-30.5--0.0777749999999956</f>
        <v>1189.858105</v>
      </c>
      <c r="W33" s="3">
        <f>1060.9+(343.4-195.8)+(-1.623177+(-0.525402--0.299574))+0-29.9--0.0457470000000017</f>
        <v>1176.7967419999998</v>
      </c>
      <c r="X33" s="3">
        <f>1051.2+(351.9-160.7)+(-2.144448+(-0.717876--0.327828))+0-29.9--0.0609959999999987</f>
        <v>1210.0264999999999</v>
      </c>
      <c r="Y33" s="3">
        <f>1065.5+(384.2-165.6)+(0+(0-0))+0-30.2-0</f>
        <v>1253.8999999999999</v>
      </c>
      <c r="Z33" s="3">
        <f>1136.8+(481-153.6)+(-2.319072+(-0.98124--0.313344))+0-30.5--0.0622199999999987</f>
        <v>1430.7752519999999</v>
      </c>
      <c r="AA33" s="3">
        <f>1195.1+(456-173.7)+(0+(0-0))+0-28.7-0</f>
        <v>1448.6999999999998</v>
      </c>
      <c r="AB33" s="3">
        <f>1141.2+(455-195)+(-0.582012+(-0.23205--0.09945))+0-28.9--0.0147389999999971</f>
        <v>1371.6001269999999</v>
      </c>
      <c r="AC33" s="3">
        <f>1053.9+(444.9-194.2)+(-2.687445+(-1.134495--0.49521))+0-28.8--0.0734399999999958</f>
        <v>1272.5467100000001</v>
      </c>
      <c r="AD33">
        <v>1496.7000000000003</v>
      </c>
      <c r="AE33" s="3">
        <f>1190+(479.9-125.6)+(0+(0-0))+0-31.6-0</f>
        <v>1512.7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1043.6+(359.5-221.2)+(-0.532236+(-0.183345--0.112812))+0-28.2--0.0143819999999971</f>
        <v>1153.1116129999998</v>
      </c>
      <c r="G34" s="3">
        <f>977.4+(339.2-264.9)+(-1.495422+(-0.518976--0.405297))+0-28.3--0.0432990000000016</f>
        <v>1021.8341980000001</v>
      </c>
      <c r="H34" s="3">
        <f>976.3+(305.1-284.3)+(-0.497913+(-0.155601--0.144993))+0-28.9--0.0147389999999971</f>
        <v>967.70621799999992</v>
      </c>
      <c r="I34" s="3">
        <f>976+(303.1-279.3)+(-0.99552+(-0.309162--0.284886))+0-29.2--0.0297840000000047</f>
        <v>969.60998799999982</v>
      </c>
      <c r="J34" s="3">
        <f>973.3+(307.5-271.3)+(-1.489149+(-0.470475--0.415089))+0-28.7--0.0439110000000017</f>
        <v>979.29937599999994</v>
      </c>
      <c r="K34" s="3">
        <f>976.5+(307.1-268.1)+(-0.498015+(-0.156621--0.136731))+0-28.7--0.0146369999999971</f>
        <v>986.29673199999991</v>
      </c>
      <c r="L34" s="3">
        <f>973.8+(307-248.5)+(-1.489914+(-0.46971--0.380205))+0-28.6--0.0437580000000017</f>
        <v>1002.164339</v>
      </c>
      <c r="M34" s="3">
        <f>977.9+(314.2-210.6)+(1.496187+(0.480726-0.322218))+0-29.5-0.0451350000000017</f>
        <v>1053.6095599999999</v>
      </c>
      <c r="N34" s="3">
        <f>1068.9+(371.5-191.7)+(0.545139+(0.189465-0.097767))+0-29.8-0.015197999999997</f>
        <v>1219.5216390000001</v>
      </c>
      <c r="O34" s="3">
        <f>1152.6+(400.3-179.8)+(0+(0-0))+0-31.6-0</f>
        <v>1341.5</v>
      </c>
      <c r="P34" s="3">
        <f>1188.6+(428-161.7)+(-0.606186+(-0.21828--0.082467))+0-30.6--0.0156059999999969</f>
        <v>1423.5736069999998</v>
      </c>
      <c r="Q34" s="3">
        <f>1247.6+(432.7-162.2)+(0.636276+(0.220677-0.082722))+0-29.3-0.014942999999997</f>
        <v>1489.5592880000002</v>
      </c>
      <c r="R34" s="3">
        <f>1308.9+(346.5-185)+(-0.667539+(-0.176715--0.09435))+0-29.2--0.014891999999997</f>
        <v>1440.4649879999999</v>
      </c>
      <c r="S34" s="3">
        <f>1305.5+(345.2-197.7)+(0+(0-0))+0-28.5-0</f>
        <v>1424.5</v>
      </c>
      <c r="T34" s="3">
        <f>1308.9+(330.9-220.6)+(0+(0-0))+0-29.7-0</f>
        <v>1389.5</v>
      </c>
      <c r="U34" s="3">
        <f>1308+(328.8-218.7)+(-2.66832+(-0.670752--0.446148))+0-30.2--0.0616079999999987</f>
        <v>1385.0686839999998</v>
      </c>
      <c r="V34" s="3">
        <f>1303.4+(327.4-231.3)+(-2.658936+(-0.667896--0.471852))+0-30.3--0.0618119999999987</f>
        <v>1366.4068319999999</v>
      </c>
      <c r="W34" s="3">
        <f>1296.9+(329.9-217.9)+(-2.645676+(-0.672996--0.444516))+0-29.8--0.0607919999999987</f>
        <v>1376.286636</v>
      </c>
      <c r="X34" s="3">
        <f>1161.8+(414.6-227.1)+(-1.777554+(-0.634338--0.347463))+0-30.5--0.0466650000000018</f>
        <v>1316.782236</v>
      </c>
      <c r="Y34" s="3">
        <f>1163+(363.1-205.1)+(0+(0-0))+0-30.3-0</f>
        <v>1290.7</v>
      </c>
      <c r="Z34" s="3">
        <f>1373.8+(394-217.9)+(-3.50319+(-1.0047--0.555645))+0-30.4--0.0775199999999956</f>
        <v>1515.6252749999999</v>
      </c>
      <c r="AA34" s="3">
        <f>1287+(506.6-185.4)+(-3.28185+(-1.29183--0.47277))+0-30.1--0.0767549999999956</f>
        <v>1574.0758450000001</v>
      </c>
      <c r="AB34" s="3">
        <f>1190.3+(537.6-199.6)+(-1.214106+(-0.548352--0.203592))+0-28.5--0.0290700000000045</f>
        <v>1498.2702039999999</v>
      </c>
      <c r="AC34" s="3">
        <f>1228.9+(432.5-231.8)+(-1.253478+(-0.44115--0.236436))+0-29.2--0.0297840000000047</f>
        <v>1398.9715920000001</v>
      </c>
      <c r="AD34">
        <v>1624.5</v>
      </c>
      <c r="AE34" s="3">
        <f>1399+(442.6-188.3)+(0+(0-0))+0-30.4-0</f>
        <v>1622.8999999999999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1154.2+(359.2-236.7)+(-1.177284+(-0.366384--0.241434))+0-29.1--0.0296820000000046</f>
        <v>1246.3274480000002</v>
      </c>
      <c r="G35" s="3">
        <f>1072.2+(370.4-274.6)+(-1.093644+(-0.377808--0.280092))+0-29--0.0295800000000046</f>
        <v>1137.8382199999999</v>
      </c>
      <c r="H35" s="3">
        <f>1104.5+(356.5-341.6)+(-1.12659+(-0.36363--0.348432))+0-29--0.0295800000000046</f>
        <v>1089.2877920000001</v>
      </c>
      <c r="I35" s="3">
        <f>1208.3+(336.2-466.3)+(-1.848699+(-0.514386--0.713439))+0-29--0.0443700000000017</f>
        <v>1047.5947239999998</v>
      </c>
      <c r="J35" s="3">
        <f>1251.3+(321.1-493.8)+(-3.190815+(-0.818805--1.25919))+0-28.9--0.0736949999999958</f>
        <v>1047.0232649999998</v>
      </c>
      <c r="K35" s="3">
        <f>1265.7+(315.1-497.9)+(-3.227535+(-0.803505--1.269645))+0-29.7--0.0757349999999957</f>
        <v>1050.5143399999999</v>
      </c>
      <c r="L35" s="3">
        <f>1272.4+(319.1-492.1)+(-3.893544+(-0.976446--1.505826))+0-29.3--0.0896580000000034</f>
        <v>1066.8254940000002</v>
      </c>
      <c r="M35" s="3">
        <f>1272.6+(329.8-459.1)+(0+(0-0))+0-30.9-0</f>
        <v>1112.3999999999999</v>
      </c>
      <c r="N35" s="3">
        <f>1371.7+(340.4-423.6)+(0+(0-0))+0-30.9-0</f>
        <v>1257.5999999999999</v>
      </c>
      <c r="O35" s="3">
        <f>1466.9+(314.5-382.3)+(0+(0-0))+0-30.4-0</f>
        <v>1368.7</v>
      </c>
      <c r="P35" s="3">
        <f>1485+(316.2-355.8)+(0+(0-0))+0-29.4-0</f>
        <v>1416</v>
      </c>
      <c r="Q35" s="3">
        <f>1537.5+(328.3-360.8)+(-2.352375+(-0.502299--0.552024))+0-31.1--0.0475830000000018</f>
        <v>1471.644933</v>
      </c>
      <c r="R35" s="3">
        <f>1524.7+(332.2-352.9)+(-3.887985+(-0.84711--0.899895))+0-29.5--0.0752249999999957</f>
        <v>1470.7400250000001</v>
      </c>
      <c r="S35" s="3">
        <f>1497.9+(343.8-357.2)+(0.763929+(0.175338-0.182172))+0-28.8-0.0146879999999971</f>
        <v>1456.442407</v>
      </c>
      <c r="T35" s="3">
        <f>1493.7+(346.5-376.5)+(-2.285361+(-0.530145--0.576045))+0-30.1--0.0460530000000017</f>
        <v>1431.4065920000003</v>
      </c>
      <c r="U35" s="3">
        <f>1475.4+(344-368.2)+(-3.009816+(-0.70176--0.751128))+0-29.7--0.0605879999999987</f>
        <v>1418.60014</v>
      </c>
      <c r="V35" s="3">
        <f>1566+(324.2-463.2)+(-3.9933+(-0.82671--1.18116))+0-29.6--0.0754799999999957</f>
        <v>1393.83663</v>
      </c>
      <c r="W35" s="3">
        <f>1566.6+(312.1-487.8)+(-3.195864+(-0.636684--0.995112))+0-30.6--0.0624239999999987</f>
        <v>1357.5249879999999</v>
      </c>
      <c r="X35" s="3">
        <f>1464.1+(307.9-417.7)+(-2.986764+(-0.628116--0.852108))+0-30.5--0.0622199999999987</f>
        <v>1321.0994479999999</v>
      </c>
      <c r="Y35" s="3">
        <f>1476.8+(305.9-438.3)+(-3.012672+(-0.624036--0.894132))+0-29.8--0.0607919999999987</f>
        <v>1311.9182159999998</v>
      </c>
      <c r="Z35" s="3">
        <f>1610.5+(336.3-353.8)+(-2.464065+(-0.514539--0.541314))+0-29.2--0.0446760000000017</f>
        <v>1561.4073859999999</v>
      </c>
      <c r="AA35" s="3">
        <f>1511.2+(377.6-228.3)+(-3.85356+(-0.96288--0.582165))+0-29.1--0.0742049999999958</f>
        <v>1627.23993</v>
      </c>
      <c r="AB35" s="3">
        <f>1566.5+(350.9-324)+(-5.592405+(-1.252713--1.15668))+0-28.5--0.101745</f>
        <v>1559.3133070000001</v>
      </c>
      <c r="AC35" s="3">
        <f>1567.2+(330.3-429.5)+(-1.598544+(-0.336906--0.43809))+0-28.9--0.0294780000000046</f>
        <v>1437.6321179999998</v>
      </c>
      <c r="AD35">
        <v>1669.6</v>
      </c>
      <c r="AE35" s="3">
        <f>1624+(351.6-272.8)+(0+(0-0))+0-31.2-0</f>
        <v>1671.6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1549.3+(316.4-574.7)+(-0.790143+(-0.161364--0.293097))+0-29.2--0.014891999999997</f>
        <v>1261.1564819999999</v>
      </c>
      <c r="G36" s="3">
        <f>1525.6+(306.7-670.1)+(-2.334168+(-0.469251--1.025253))+0-28.8--0.0440640000000017</f>
        <v>1131.6658979999997</v>
      </c>
      <c r="H36" s="3">
        <f>1507.4+(303.4-703.5)+(-3.075096+(-0.618936--1.43514))+0-28.9--0.0589559999999987</f>
        <v>1076.2000640000001</v>
      </c>
      <c r="I36" s="3">
        <f>1369.4+(319.5-600.5)+(2.095182+(0.488835-0.918765))+0-28.3-0.0432990000000016</f>
        <v>1061.7219530000002</v>
      </c>
      <c r="J36" s="3">
        <f>1355.3+(323-598.5)+(-1.382406+(-0.32946--0.61047))+0-29--0.0295800000000046</f>
        <v>1049.7281839999998</v>
      </c>
      <c r="K36" s="3">
        <f>1353.5+(323.5-581.7)+(-2.070855+(-0.494955--0.890001))+0-29.5--0.0451350000000017</f>
        <v>1064.169326</v>
      </c>
      <c r="L36" s="3">
        <f>1354.2+(321.7-568.8)+(-2.071926+(-0.492201--0.870264))+0-29.4--0.0449820000000017</f>
        <v>1076.051119</v>
      </c>
      <c r="M36" s="3">
        <f>1366.6+(323.2-537.5)+(-0.696966+(-0.164832--0.274125))+0-30.5--0.0155549999999969</f>
        <v>1121.2278819999999</v>
      </c>
      <c r="N36" s="3">
        <f>1436.2+(335.4-456.7)+(-0.732462+(-0.171054--0.232917))+0-30.6--0.0156059999999969</f>
        <v>1283.6450070000001</v>
      </c>
      <c r="O36" s="3">
        <f>1431.3+(347.7-352.2)+(-1.459926+(-0.354654--0.359244))+0-31.1--0.031722000000005</f>
        <v>1394.276386</v>
      </c>
      <c r="P36" s="3">
        <f>1489.9+(336.6-346.8)+(-1.519698+(-0.343332--0.353736))+0-30--0.0306000000000048</f>
        <v>1448.2213060000001</v>
      </c>
      <c r="Q36" s="3">
        <f>1504.7+(309.9-307)+(-2.302191+(-0.474147--0.46971))+0-30.3--0.0463590000000018</f>
        <v>1475.0397309999998</v>
      </c>
      <c r="R36" s="3">
        <f>1544+(315.6-351.8)+(-3.9372+(-0.80478--0.89709))+0-27.8--0.070889999999996</f>
        <v>1476.2259999999999</v>
      </c>
      <c r="S36" s="3">
        <f>1546.8+(304.7-371.8)+(-1.577736+(-0.310794--0.379236))+0-28.6--0.0291720000000046</f>
        <v>1449.619878</v>
      </c>
      <c r="T36" s="3">
        <f>1546.1+(292.2-406.2)+(-1.577022+(-0.298044--0.414324))+0-29--0.0295800000000046</f>
        <v>1401.6688379999998</v>
      </c>
      <c r="U36" s="3">
        <f>1523.6+(290.8-388.4)+(-3.108144+(-0.593232--0.792336))+0-30.3--0.0618119999999987</f>
        <v>1392.852772</v>
      </c>
      <c r="V36" s="3">
        <f>1472.7+(279.5-313.3)+(-2.253231+(-0.427635--0.479349))+0-30.2--0.0462060000000017</f>
        <v>1406.5446890000001</v>
      </c>
      <c r="W36" s="3">
        <f>1445.4+(272.5-296.3)+(-1.474308+(-0.27795--0.302226))+0-29.6--0.0301920000000047</f>
        <v>1390.5801600000002</v>
      </c>
      <c r="X36" s="3">
        <f>1399.5+(265.3-286.9)+(-2.85498+(-0.541212--0.585276))+0-30.6--0.0624239999999987</f>
        <v>1344.5515080000002</v>
      </c>
      <c r="Y36" s="3">
        <f>1420.7+(277-325.4)+(-1.449114+(-0.28254--0.331908))+0-30.2--0.0308040000000048</f>
        <v>1340.7310580000001</v>
      </c>
      <c r="Z36" s="3">
        <f>1553.9+(363.8-311.7)+(-1.584978+(-0.371076--0.317934))+0-30.7--0.0313140000000049</f>
        <v>1573.6931939999999</v>
      </c>
      <c r="AA36" s="3">
        <f>1526.7+(383.9-246.1)+(-3.893085+(-0.978945--0.627555))+0-29.6--0.0754799999999957</f>
        <v>1630.7310050000001</v>
      </c>
      <c r="AB36" s="3">
        <f>1428.9+(390.6-232.2)+(-2.186217+(-0.597618--0.355266))+0-28--0.0428400000000016</f>
        <v>1556.9142710000003</v>
      </c>
      <c r="AC36" s="3">
        <f>1319+(375.1-227)+(-0.67269+(-0.191301--0.11577))+0-28.9--0.0147389999999971</f>
        <v>1437.4665179999997</v>
      </c>
      <c r="AD36">
        <v>1667.2</v>
      </c>
      <c r="AE36" s="3">
        <f>1565+(391.3-259.5)+(0+(0-0))+0-29.6-0</f>
        <v>1667.2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1303+(336-317.6)+(-1.32906+(-0.34272--0.323952))+0-28.1--0.0286620000000045</f>
        <v>1291.9808340000002</v>
      </c>
      <c r="G37" s="3">
        <f>1293.2+(316.6-417.6)+(-2.638128+(-0.645864--0.851904))+0-29--0.0591599999999987</f>
        <v>1160.827072</v>
      </c>
      <c r="H37" s="3">
        <f>1248.8+(313.6-432.4)+(0+(0-0))+0-29.4-0</f>
        <v>1100.5999999999999</v>
      </c>
      <c r="I37" s="3">
        <f>1249.6+(318.2-460.3)+(-2.549184+(-0.649128--0.939012))+0-29.5--0.0601799999999987</f>
        <v>1075.80088</v>
      </c>
      <c r="J37" s="3">
        <f>1250.5+(319.9-465.8)+(0.637755+(0.163149-0.237558))+0-29-0.0147899999999971</f>
        <v>1076.1485559999999</v>
      </c>
      <c r="K37" s="3">
        <f>1250.4+(318.4-454.7)+(0+(0-0))+0-29.2-0</f>
        <v>1084.9000000000001</v>
      </c>
      <c r="L37" s="3">
        <f>1251.3+(314.4-431.7)+(-1.914489+(-0.481032--0.660501))+0-29--0.0443700000000017</f>
        <v>1103.30935</v>
      </c>
      <c r="M37" s="3">
        <f>1317.8+(292.2-414)+(0+(0-0))+0-30-0</f>
        <v>1166</v>
      </c>
      <c r="N37" s="3">
        <f>1350.5+(325.2-319.7)+(-1.37751+(-0.331704--0.326094))+0-30.8--0.0314160000000049</f>
        <v>1323.8482960000001</v>
      </c>
      <c r="O37" s="3">
        <f>1403+(326.3-270.2)+(1.43106+(0.332826-0.275604))+0-28.6-0.0291720000000046</f>
        <v>1431.95911</v>
      </c>
      <c r="P37" s="3">
        <f>1434.4+(333.9-261.7)+(-1.463088+(-0.340578--0.266934))+0-28.3--0.0288660000000045</f>
        <v>1476.7921340000003</v>
      </c>
      <c r="Q37" s="3">
        <f>1494.9+(325.1-276.3)+(-0.762399+(-0.165801--0.140913))+0-29.3--0.014942999999997</f>
        <v>1513.6276559999999</v>
      </c>
      <c r="R37" s="3">
        <f>1502.9+(324.2-297.1)+(-0.766479+(-0.165342--0.151521))+0-28--0.0142799999999972</f>
        <v>1501.2339800000002</v>
      </c>
      <c r="S37" s="3">
        <f>1445.7+(335.4-272.2)+(-0.737307+(-0.171054--0.138822))+0-27.9--0.0142289999999972</f>
        <v>1480.24469</v>
      </c>
      <c r="T37" s="3">
        <f>1471.7+(305.1-300.7)+(1.501134+(0.311202-0.306714))+0-29.2-0.0297840000000047</f>
        <v>1448.3758379999999</v>
      </c>
      <c r="U37" s="3">
        <f>1486.6+(259.5-281.2)+(1.516332+(0.26469-0.286824))+0-30.8-0.0314160000000049</f>
        <v>1435.562782</v>
      </c>
      <c r="V37" s="3">
        <f>1483.9+(242.2-271.9)+(-3.027156+(-0.494088--0.554676))+0-30.5--0.0622199999999987</f>
        <v>1420.795652</v>
      </c>
      <c r="W37" s="3">
        <f>1490.2+(245.8-217)+(-2.280006+(-0.376074--0.33201))+0-30.9--0.0472770000000018</f>
        <v>1485.8232069999999</v>
      </c>
      <c r="X37" s="3">
        <f>1421.1+(223.3-188)+(-3.623805+(-0.569415--0.4794))+0-30.1--0.0767549999999956</f>
        <v>1422.6629350000001</v>
      </c>
      <c r="Y37" s="3">
        <f>1437.5+(247.7-199)+(-0.733125+(-0.126327--0.10149))+0-30.6--0.0156059999999969</f>
        <v>1454.8576440000002</v>
      </c>
      <c r="Z37" s="3">
        <f>1533+(335.9-240)+(-0.78183+(-0.171309--0.1224))+0-29.6--0.015095999999997</f>
        <v>1598.4843570000003</v>
      </c>
      <c r="AA37" s="3">
        <f>1486.1+(369.9-220.1)+(-3.789555+(-0.943245--0.561255))+0-29.1--0.0742049999999958</f>
        <v>1602.7026599999999</v>
      </c>
      <c r="AB37" s="3">
        <f>1477.9+(371.6-295.4)+(-1.507458+(-0.379032--0.301308))+0-29--0.0295800000000046</f>
        <v>1523.544398</v>
      </c>
      <c r="AC37" s="3">
        <f>1469.3+(345.8-388.7)+(-2.997372+(-0.705432--0.792948))+0-28.7--0.0585479999999987</f>
        <v>1394.848692</v>
      </c>
      <c r="AD37">
        <v>1677.8000000000002</v>
      </c>
      <c r="AE37" s="3">
        <f>1535.5+(367-185.7)+(0+(0-0))+0-30.8-0</f>
        <v>1686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1423.6+(282.2-444.4)+(-1.452072+(-0.287844--0.453288))+0-28.4--0.0289680000000045</f>
        <v>1231.7423399999998</v>
      </c>
      <c r="G38" s="3">
        <f>1337.3+(278-470.2)+(-3.410115+(-0.7089--1.19901))+0-29.2--0.0744599999999958</f>
        <v>1113.054455</v>
      </c>
      <c r="H38" s="3">
        <f>1337.4+(279-511.7)+(-2.046222+(-0.42687--0.782901))+0-29.4--0.0449820000000017</f>
        <v>1073.6547909999999</v>
      </c>
      <c r="I38" s="3">
        <f>1337.1+(270.9-532)+(-1.363842+(-0.276318--0.54264))+0-28.8--0.0293760000000046</f>
        <v>1046.131856</v>
      </c>
      <c r="J38" s="3">
        <f>1336+(272.8-541.3)+(-0.68136+(-0.139128--0.276063))+0-28.8--0.0146879999999971</f>
        <v>1038.170263</v>
      </c>
      <c r="K38" s="3">
        <f>1335.8+(288.3-553)+(-1.362516+(-0.294066--0.56406))+0-28.7--0.0292740000000046</f>
        <v>1041.3367519999999</v>
      </c>
      <c r="L38" s="3">
        <f>1292.6+(300.4-500.8)+(-3.29613+(-0.76602--1.27704))+0-28.2--0.0719099999999959</f>
        <v>1061.2867999999996</v>
      </c>
      <c r="M38" s="3">
        <f>1295.5+(291.6-444.4)+(-0.660705+(-0.148716--0.226644))+0-29.2--0.014891999999997</f>
        <v>1112.9321149999998</v>
      </c>
      <c r="N38" s="3">
        <f>1388.7+(324.5-395.7)+(-2.124711+(-0.496485--0.605421))+0-29.4--0.0449820000000017</f>
        <v>1286.1292069999997</v>
      </c>
      <c r="O38" s="3">
        <f>1432.5+(336.8-337.3)+(-0.730575+(-0.171768--0.172023))+0-26.9--0.0137189999999973</f>
        <v>1404.3833990000001</v>
      </c>
      <c r="P38" s="3">
        <f>1429.8+(339.2-287)+(-0.729198+(-0.172992--0.14637))+0-16.5--0.00841499999999833</f>
        <v>1464.7525949999999</v>
      </c>
      <c r="Q38" s="3">
        <f>1426.6+(362.7-267.2)+(-3.63783+(-0.924885--0.68136))+0-28.4--0.0724199999999959</f>
        <v>1489.8910649999998</v>
      </c>
      <c r="R38" s="3">
        <f>1413.5+(362.6-276.8)+(-1.44177+(-0.369852--0.282336))+0-28.8--0.0293760000000046</f>
        <v>1469.00009</v>
      </c>
      <c r="S38" s="3">
        <f>1426.3+(338.1-288.8)+(-0.727413+(-0.172431--0.147288))+0-28.5--0.0145349999999971</f>
        <v>1446.361979</v>
      </c>
      <c r="T38" s="3">
        <f>1464.2+(290.9-319.5)+(-0.746742+(-0.148359--0.162945))+0-30.2--0.0154019999999969</f>
        <v>1404.6832459999998</v>
      </c>
      <c r="U38" s="3">
        <f>1442.6+(294.5-322.7)+(-3.67863+(-0.750975--0.822885))+0-29.9--0.0762449999999957</f>
        <v>1380.9695249999997</v>
      </c>
      <c r="V38" s="3">
        <f>1432.9+(281.8-322.9)+(-0.730779+(-0.143718--0.164679))+0-31.4--0.0160139999999968</f>
        <v>1359.7061960000001</v>
      </c>
      <c r="W38" s="3">
        <f>1435.9+(270.3-337.4)+(-3.661545+(-0.689265--0.86037))+0-30.8--0.0785399999999955</f>
        <v>1334.5881000000002</v>
      </c>
      <c r="X38" s="3">
        <f>1407.2+(266-318)+(-2.153016+(-0.40698--0.48654))+0-31--0.0474300000000018</f>
        <v>1322.173974</v>
      </c>
      <c r="Y38" s="3">
        <f>1371.3+(301.5-306.7)+(-2.797452+(-0.61506--0.625668))+0-31.6--0.0644639999999986</f>
        <v>1331.7776200000001</v>
      </c>
      <c r="Z38" s="3">
        <f>1375.1+(406-204.5)+(-1.402602+(-0.41412--0.20859))+0-31.4--0.032028000000005</f>
        <v>1543.6238959999998</v>
      </c>
      <c r="AA38" s="3">
        <f>1371.1+(433.7-164.2)+(-2.797044+(-0.884748--0.334968))+0-30.6--0.0624239999999987</f>
        <v>1606.7156</v>
      </c>
      <c r="AB38" s="3">
        <f>1370.3+(402.3-199.3)+(-3.494265+(-1.025865--0.508215))+0-27.8--0.070889999999996</f>
        <v>1541.5589749999999</v>
      </c>
      <c r="AC38" s="3">
        <f>1399.9+(361-289.1)+(-2.141847+(-0.55233--0.442323))+0-28.8--0.0440640000000017</f>
        <v>1440.7922100000001</v>
      </c>
      <c r="AD38">
        <v>1632.8</v>
      </c>
      <c r="AE38" s="3">
        <f>1372+(450.1-150.1)+(0+(0-0))+0-31.2-0</f>
        <v>1640.8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1435.1+(334.2-459.8)+(-2.927604+(-0.681768--0.937992))+0-29.5--0.0601799999999987</f>
        <v>1277.3887999999999</v>
      </c>
      <c r="G39" s="3">
        <f>1436.9+(326.5-580.7)+(-5.129733+(-1.165605--2.073099))+0-29.7--0.106029</f>
        <v>1148.8837900000001</v>
      </c>
      <c r="H39" s="3">
        <f>1436.1+(319.3-636)+(-5.859288+(-1.302744--2.59488))+0-29.2--0.119135999999997</f>
        <v>1085.7519839999998</v>
      </c>
      <c r="I39" s="3">
        <f>1436.1+(315.1-660.2)+(0.732411+(0.160701-0.336702))+0-28.4-0.0144839999999971</f>
        <v>1063.1419259999998</v>
      </c>
      <c r="J39" s="3">
        <f>1436.1+(314.8-663.2)+(-2.929644+(-0.642192--1.352928))+0-28.3--0.0577319999999988</f>
        <v>1057.2388239999998</v>
      </c>
      <c r="K39" s="3">
        <f>1436.4+(318.6-641)+(-1.465128+(-0.324972--0.65382))+0-29.5--0.0300900000000047</f>
        <v>1083.39381</v>
      </c>
      <c r="L39" s="3">
        <f>1438.7+(317.7-634.1)+(-1.467474+(-0.324054--0.646782))+0-28.6--0.0291720000000046</f>
        <v>1092.5844260000001</v>
      </c>
      <c r="M39" s="3">
        <f>1439.2+(318.1-594)+(-0.733992+(-0.162231--0.30294))+0-29.6--0.015095999999997</f>
        <v>1133.1218130000004</v>
      </c>
      <c r="N39" s="3">
        <f>1435.7+(328.4-440.6)+(-1.464414+(-0.334968--0.449412))+0-25.1--0.025602000000004</f>
        <v>1297.075632</v>
      </c>
      <c r="O39" s="3">
        <f>1434.8+(341.9-339.6)+(-0.731748+(-0.174369--0.173196))+0-24.2--0.0123419999999975</f>
        <v>1412.1794209999998</v>
      </c>
      <c r="P39" s="3">
        <f>1432.6+(347.1-306.9)+(-2.191878+(-0.531063--0.469557))+0-21.4--0.0327420000000012</f>
        <v>1449.1793579999999</v>
      </c>
      <c r="Q39" s="3">
        <f>1434.7+(353.8-296.7)+(0+(0-0))+0-21.1-0</f>
        <v>1470.7000000000003</v>
      </c>
      <c r="R39" s="3">
        <f>1494.4+(330.5-337.2)+(-4.572864+(-1.01133--1.031832))+0-19.9--0.0608940000000023</f>
        <v>1463.308532</v>
      </c>
      <c r="S39" s="3">
        <f>1494.8+(327.1-367.8)+(0.762348+(0.166821-0.187578))+0-20.5-0.0104549999999979</f>
        <v>1434.3311359999998</v>
      </c>
      <c r="T39" s="3">
        <f>1493.1+(319.3-418.6)+(0+(0-0))+0-26.4-0</f>
        <v>1367.3999999999999</v>
      </c>
      <c r="U39" s="3">
        <f>1492.7+(313.7-418.7)+(-2.283831+(-0.479961--0.640611))+0-29.3--0.0448290000000017</f>
        <v>1356.3216480000001</v>
      </c>
      <c r="V39" s="3">
        <f>1491.1+(313.4-439.3)+(-2.281383+(-0.479502--0.672129))+0-31.2--0.0477360000000018</f>
        <v>1331.9589799999997</v>
      </c>
      <c r="W39" s="3">
        <f>1483.2+(304-435.5)+(-2.269296+(-0.46512--0.666315))+0-30.5--0.0466650000000018</f>
        <v>1319.1785640000001</v>
      </c>
      <c r="X39" s="3">
        <f>1422.4+(301.4-421)+(-4.352544+(-0.922284--1.28826))+0-29.7--0.0908820000000034</f>
        <v>1269.2043140000001</v>
      </c>
      <c r="Y39" s="3">
        <f>1427.5+(321.3-445.5)+(-2.9121+(-0.655452--0.90882))+0-29.9--0.0609959999999987</f>
        <v>1270.8022639999997</v>
      </c>
      <c r="Z39" s="3">
        <f>1442.6+(382.4-288.4)+(-2.942904+(-0.780096--0.588336))+0-29.9--0.0609959999999987</f>
        <v>1503.6263319999998</v>
      </c>
      <c r="AA39" s="3">
        <f>1456.6+(410.6-246.7)+(-2.228598+(-0.628218--0.377451))+0-30.3--0.0463590000000018</f>
        <v>1587.7669940000001</v>
      </c>
      <c r="AB39" s="3">
        <f>1456.5+(382.7-292.1)+(-2.97126+(-0.780708--0.595884))+0-28.9--0.0589559999999987</f>
        <v>1515.1028719999999</v>
      </c>
      <c r="AC39" s="3">
        <f>1369.8+(370.8-303.4)+(-2.095794+(-0.567324--0.464202))+0-29--0.0443700000000017</f>
        <v>1406.0454540000001</v>
      </c>
      <c r="AD39">
        <v>1608.5000000000002</v>
      </c>
      <c r="AE39" s="3">
        <f>1454+(406.7-214)+(0+(0-0))+0-29.6-0</f>
        <v>1617.1000000000001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1269.3+(340.9-330.7)+(-1.294686+(-0.347718--0.337314))+0-29.1--0.0296820000000046</f>
        <v>1249.1245920000001</v>
      </c>
      <c r="G40" s="3">
        <f>1268.7+(323.4-436.7)+(-3.235185+(-0.82467--1.113585))+0-29.2--0.0744599999999958</f>
        <v>1123.3281900000002</v>
      </c>
      <c r="H40" s="3">
        <f>1270+(307.7-486.7)+(-1.9431+(-0.470781--0.744651))+0-29.5--0.0451350000000017</f>
        <v>1059.8759050000001</v>
      </c>
      <c r="I40" s="3">
        <f>1269.7+(299.7-505)+(-0.647547+(-0.152847--0.25755))+0-29.3--0.014942999999997</f>
        <v>1034.572099</v>
      </c>
      <c r="J40" s="3">
        <f>1268.8+(298.5-514.8)+(-3.882528+(-0.91341--1.575288))+0-29--0.0887400000000034</f>
        <v>1020.3680900000001</v>
      </c>
      <c r="K40" s="3">
        <f>1267.4+(300.2-517.7)+(-2.585496+(-0.612408--1.056108))+0-28.9--0.0589559999999987</f>
        <v>1018.91716</v>
      </c>
      <c r="L40" s="3">
        <f>1268.6+(301.2-554.9)+(-1.940958+(-0.460836--0.848997))+0-28.5--0.0436050000000016</f>
        <v>984.89080799999977</v>
      </c>
      <c r="M40" s="3">
        <f>1297+(294-576.7)+(-0.66147+(-0.14994--0.294117))+0-29.7--0.015146999999997</f>
        <v>984.09785399999987</v>
      </c>
      <c r="N40" s="3">
        <f>1399.5+(301.5-603.6)+(-1.42749+(-0.30753--0.615672))+0-31.6--0.032232000000005</f>
        <v>1064.7128840000003</v>
      </c>
      <c r="O40" s="3">
        <f>1472.7+(315.1-577.8)+(0+(0-0))+0-31-0</f>
        <v>1179</v>
      </c>
      <c r="P40" s="3">
        <f>1518.9+(313.4-542.2)+(-2.323917+(-0.479502--0.829566))+0-29.4--0.0449820000000017</f>
        <v>1258.7711289999997</v>
      </c>
      <c r="Q40" s="3">
        <f>1596+(305.8-571.6)+(-2.44188+(-0.467874--0.874548))+0-28.8--0.0440640000000017</f>
        <v>1299.408858</v>
      </c>
      <c r="R40" s="3">
        <f>1599+(308.7-611.3)+(-1.63098+(-0.314874--0.623526))+0-29--0.0295800000000046</f>
        <v>1266.107252</v>
      </c>
      <c r="S40" s="3">
        <f>1589.9+(306.5-643.1)+(-3.243396+(-0.62526--1.311924))+0-28.5--0.0581399999999988</f>
        <v>1222.3014080000003</v>
      </c>
      <c r="T40" s="3">
        <f>1593.2+(307.4-685.1)+(-1.625064+(-0.313548--0.698802))+0-30.8--0.0314160000000049</f>
        <v>1183.491606</v>
      </c>
      <c r="U40" s="3">
        <f>1560.3+(311-683.8)+(-2.387259+(-0.47583--1.046214))+0-31.1--0.0475830000000018</f>
        <v>1154.6307080000001</v>
      </c>
      <c r="V40" s="3">
        <f>1520+(314.5-637.9)+(-1.5504+(-0.32079--0.650658))+0-31.2--0.031824000000005</f>
        <v>1164.2112919999997</v>
      </c>
      <c r="W40" s="3">
        <f>1514.8+(294.4-608.3)+(-3.86274+(-0.75072--1.551165))+0-30.1--0.0767549999999956</f>
        <v>1167.8144600000003</v>
      </c>
      <c r="X40" s="3">
        <f>1495.5+(299.3-583.4)+(-3.05082+(-0.610572--1.190136))+0-29.9--0.0609959999999987</f>
        <v>1179.0897399999999</v>
      </c>
      <c r="Y40" s="3">
        <f>1561.8+(294-587.4)+(-2.389554+(-0.44982--0.898722))+0-30.2--0.0462060000000017</f>
        <v>1236.305554</v>
      </c>
      <c r="Z40" s="3">
        <f>1631.6+(335.8-468.4)+(-3.328464+(-0.685032--0.955536))+0-30.4--0.0620159999999987</f>
        <v>1465.6040559999999</v>
      </c>
      <c r="AA40" s="3">
        <f>1604.3+(360.2-407.5)+(-1.636386+(-0.367404--0.41565))+0-29.4--0.0299880000000047</f>
        <v>1526.0418479999998</v>
      </c>
      <c r="AB40" s="3">
        <f>1583.5+(358.1-449.5)+(-2.422755+(-0.547893--0.687735))+0-28.8--0.0440640000000017</f>
        <v>1461.0611509999999</v>
      </c>
      <c r="AC40" s="3">
        <f>1599.2+(325.1-556.9)+(-0.815592+(-0.165801--0.284019))+0-29.3--0.014942999999997</f>
        <v>1337.417569</v>
      </c>
      <c r="AD40">
        <v>1551.6000000000001</v>
      </c>
      <c r="AE40" s="3">
        <f>1634+(339-378.2)+(0+(0-0))+0-28.8-0</f>
        <v>1566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1562.2+(301.4-637.4)+(-1.593444+(-0.307428--0.650148))+0-29.2--0.0297840000000047</f>
        <v>1195.7790600000001</v>
      </c>
      <c r="G41" s="3">
        <f>1542+(295-695.1)+(-3.14568+(-0.6018--1.418004))+0-29.5--0.0601799999999987</f>
        <v>1110.1307039999999</v>
      </c>
      <c r="H41" s="3">
        <f>1389.1+(296.5-604)+(-2.125323+(-0.453645--0.92412))+0-29.7--0.0454410000000017</f>
        <v>1050.2905929999999</v>
      </c>
      <c r="I41" s="3">
        <f>1333.2+(306.4-576.4)+(-0.679932+(-0.156264--0.293964))+0-29.4--0.014993999999997</f>
        <v>1033.2727619999998</v>
      </c>
      <c r="J41" s="3">
        <f>1332.7+(299.4-578.7)+(-4.757739+(-1.068858--2.065959))+0-28.5--0.101745</f>
        <v>1021.2411070000002</v>
      </c>
      <c r="K41" s="3">
        <f>1333.9+(312-587)+(-4.081734+(-0.95472--1.79622))+0-29.1--0.0890460000000034</f>
        <v>1026.6488120000001</v>
      </c>
      <c r="L41" s="3">
        <f>1334+(319.9-546.1)+(-2.72136+(-0.652596--1.114044))+0-29.3--0.0597719999999987</f>
        <v>1076.2998600000001</v>
      </c>
      <c r="M41" s="3">
        <f>1412.5+(287.6-543.2)+(-0.720375+(-0.146676--0.277032))+0-30.6--0.0156059999999969</f>
        <v>1125.7255870000001</v>
      </c>
      <c r="N41" s="3">
        <f>1592.8+(313-564.4)+(-1.624656+(-0.31926--0.575688))+0-31.7--0.0323340000000051</f>
        <v>1308.364106</v>
      </c>
      <c r="O41" s="3">
        <f>1630.8+(304.5-448.1)+(-2.495124+(-0.465885--0.685593))+0-30.2--0.0462060000000017</f>
        <v>1454.7707899999998</v>
      </c>
      <c r="P41" s="3">
        <f>1718.9+(294.2-462.5)+(-0.876639+(-0.150042--0.235875))+0-28.7--0.0146369999999971</f>
        <v>1521.1238310000001</v>
      </c>
      <c r="Q41" s="3">
        <f>1764.2+(306-472.5)+(0+(0-0))+0-29-0</f>
        <v>1568.7</v>
      </c>
      <c r="R41" s="3">
        <f>1757.3+(292.9-444.8)+(-0.896223+(-0.149379--0.226848))+0-28.2--0.0143819999999971</f>
        <v>1576.395628</v>
      </c>
      <c r="S41" s="3">
        <f>1752.8+(287.9-456.4)+(-0.893928+(-0.146829--0.232764))+0-28.5--0.0145349999999971</f>
        <v>1555.0065420000001</v>
      </c>
      <c r="T41" s="3">
        <f>1752.7+(293-514)+(-2.681631+(-0.44829--0.78642))+0-28.4--0.0434520000000016</f>
        <v>1500.9999509999998</v>
      </c>
      <c r="U41" s="3">
        <f>1760.3+(294.3-529.4)+(-2.693259+(-0.450279--0.809982))+0-31.3--0.0478890000000018</f>
        <v>1491.614333</v>
      </c>
      <c r="V41" s="3">
        <f>1801+(294.6-597.6)+(-1.83702+(-0.300492--0.609552))+0-31.2--0.031824000000005</f>
        <v>1465.303864</v>
      </c>
      <c r="W41" s="3">
        <f>1755.6+(295.2-582)+(-2.686068+(-0.451656--0.89046))+0-29.6--0.0452880000000017</f>
        <v>1436.998024</v>
      </c>
      <c r="X41" s="3">
        <f>1750.6+(296.7-604.6)+(-3.571224+(-0.605268--1.233384))+0-30.9--0.0630359999999986</f>
        <v>1408.9199279999998</v>
      </c>
      <c r="Y41" s="3">
        <f>1711.4+(310-574.4)+(-0.872814+(-0.1581--0.292944))+0-30.3--0.0154529999999969</f>
        <v>1415.9774830000001</v>
      </c>
      <c r="Z41" s="3">
        <f>1741.9+(325-422.6)+(-5.330214+(-0.9945--1.293156))+0-31.2--0.0954720000000036</f>
        <v>1608.1639140000002</v>
      </c>
      <c r="AA41" s="3">
        <f>1810.6+(321.2-438.1)+(-3.693624+(-0.655248--0.893724))+0-30.7--0.0626279999999987</f>
        <v>1659.6074799999997</v>
      </c>
      <c r="AB41" s="3">
        <f>1706.9+(339.6-433.3)+(-4.352595+(-0.86598--1.104915))+0-29--0.0739499999999958</f>
        <v>1580.16029</v>
      </c>
      <c r="AC41" s="3">
        <f>1592.7+(334-447.7)+(-3.249108+(-0.68136--0.913308))+0-28.5--0.0581399999999988</f>
        <v>1447.54098</v>
      </c>
      <c r="AD41">
        <v>1668.2</v>
      </c>
      <c r="AE41" s="3">
        <f>1842+(305.8-452)+(0+(0-0))+0-32-0</f>
        <v>1663.8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1492.5+(324.7-566)+(-2.283525+(-0.496791--0.86598))+0-27.7--0.0423810000000016</f>
        <v>1221.6280449999999</v>
      </c>
      <c r="G42" s="3">
        <f>1528.3+(311.6-697)+(-4.676598+(-0.953496--2.13282))+0-27.2--0.0832320000000031</f>
        <v>1112.2859579999999</v>
      </c>
      <c r="H42" s="3">
        <f>1549.5+(309.3-780.5)+(-3.16098+(-0.630972--1.59222))+0-28.3--0.0577319999999988</f>
        <v>1047.8579999999999</v>
      </c>
      <c r="I42" s="3">
        <f>1604.9+(308.9-844.3)+(0.818499+(0.157539-0.430593))+0-28.7-0.0146369999999971</f>
        <v>1041.3308079999999</v>
      </c>
      <c r="J42" s="3">
        <f>1602.2+(308-851.2)+(0.817122+(0.15708-0.434112))+0-28.4-0.0144839999999971</f>
        <v>1031.1256059999998</v>
      </c>
      <c r="K42" s="3">
        <f>1608.6+(307.6-848.1)+(0+(0-0))+0-28.3-0</f>
        <v>1039.8</v>
      </c>
      <c r="L42" s="3">
        <f>1546.8+(308.6-754.1)+(-3.94434+(-0.78693--1.922955))+0-29.3--0.0747149999999958</f>
        <v>1069.2664</v>
      </c>
      <c r="M42" s="3">
        <f>1526.5+(310.6-694.5)+(-2.335545+(-0.475218--1.062585))+0-30.6--0.0468180000000018</f>
        <v>1110.29864</v>
      </c>
      <c r="N42" s="3">
        <f>1607.3+(316-642.5)+(-3.278892+(-0.64464--1.3107))+0-31.4--0.0640559999999986</f>
        <v>1246.8512239999998</v>
      </c>
      <c r="O42" s="3">
        <f>1691.4+(292.5-588.9)+(0+(0-0))+0-31.2-0</f>
        <v>1363.8</v>
      </c>
      <c r="P42" s="3">
        <f>1720.3+(296.3-542.3)+(-1.754706+(-0.302226--0.553146))+0-31.1--0.031722000000005</f>
        <v>1441.727936</v>
      </c>
      <c r="Q42" s="3">
        <f>1752.2+(296.9-526.3)+(-2.680866+(-0.454257--0.805239))+0-30.6--0.0468180000000018</f>
        <v>1489.9169340000003</v>
      </c>
      <c r="R42" s="3">
        <f>1792.7+(292.3-564.5)+(-5.485662+(-0.894438--1.72737))+0-29.1--0.0890460000000034</f>
        <v>1486.8363160000001</v>
      </c>
      <c r="S42" s="3">
        <f>1768.8+(299.8-600.6)+(-3.608352+(-0.611592--1.225224))+0-29.5--0.0601799999999987</f>
        <v>1435.56546</v>
      </c>
      <c r="T42" s="3">
        <f>1765.4+(299.2-638.9)+(-5.402124+(-0.915552--1.955034))+0-29.9--0.0914940000000034</f>
        <v>1391.5288519999999</v>
      </c>
      <c r="U42" s="3">
        <f>1764.5+(307.2-666.4)+(-3.59958+(-0.626688--1.359456))+0-31.4--0.0640559999999986</f>
        <v>1371.0972439999998</v>
      </c>
      <c r="V42" s="3">
        <f>1687.8+(309.4-627.5)+(-4.30389+(-0.78897--1.600125))+0-31.1--0.0793049999999955</f>
        <v>1335.1865699999998</v>
      </c>
      <c r="W42" s="3">
        <f>1666.7+(308.2-613)+(-3.400068+(-0.628728--1.25052))+0-31--0.0632399999999986</f>
        <v>1328.184964</v>
      </c>
      <c r="X42" s="3">
        <f>1669.7+(288.9-619.3)+(-5.960829+(-1.031373--2.210901))+0-30.3--0.108171</f>
        <v>1304.3268700000003</v>
      </c>
      <c r="Y42" s="3">
        <f>1680.1+(285.2-613.6)+(0+(0-0))+0-30.9-0</f>
        <v>1320.7999999999997</v>
      </c>
      <c r="Z42" s="3">
        <f>1771.9+(320.3-498.3)+(-4.518345+(-0.816765--1.270665))+0-30.7--0.0782849999999955</f>
        <v>1559.2138400000001</v>
      </c>
      <c r="AA42" s="3">
        <f>1756.4+(323.4-428.7)+(-3.583056+(-0.659736--0.874548))+0-30.1--0.0614039999999987</f>
        <v>1617.6931600000003</v>
      </c>
      <c r="AB42" s="3">
        <f>1714.5+(333.5-470.1)+(-1.74879+(-0.34017--0.479502))+0-28.7--0.0292740000000046</f>
        <v>1547.6198160000001</v>
      </c>
      <c r="AC42" s="3">
        <f>1678.1+(333.7-556.5)+(-1.711662+(-0.340374--0.56763))+0-29.2--0.0297840000000047</f>
        <v>1424.6453779999999</v>
      </c>
      <c r="AD42">
        <v>1688</v>
      </c>
      <c r="AE42" s="3">
        <f>1748+(345.4-374.2)+(0+(0-0))+0-31.2-0</f>
        <v>1688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1560.8+(325.5-614.9)+(-4.776048+(-0.99603--1.881594))+0-29.1--0.0890460000000034</f>
        <v>1238.4985620000002</v>
      </c>
      <c r="G43" s="3">
        <f>1389.4+(315.5-577)+(-2.834376+(-0.64362--1.17708))+0-29.3--0.0597719999999987</f>
        <v>1096.3588560000003</v>
      </c>
      <c r="H43" s="3">
        <f>1378+(310.7-609.8)+(-1.40556+(-0.316914--0.621996))+0-28.9--0.0294780000000046</f>
        <v>1048.9289999999999</v>
      </c>
      <c r="I43" s="3">
        <f>1377.1+(306.9-623)+(-2.106963+(-0.469557--0.95319))+0-29.2--0.0446760000000017</f>
        <v>1030.221346</v>
      </c>
      <c r="J43" s="3">
        <f>1398.9+(306.2-652.1)+(-0.713439+(-0.156162--0.332571))+0-23.1--0.0117809999999977</f>
        <v>1029.3747510000001</v>
      </c>
      <c r="K43" s="3">
        <f>1435.1+(306.4-692.3)+(-2.927604+(-0.625056--1.412292))+0-13.1--0.0267239999999994</f>
        <v>1033.9863559999999</v>
      </c>
      <c r="L43" s="3">
        <f>1421.4+(302.9-666.3)+(-4.349484+(-0.926874--2.038878))+0-5.1--0.0156060000000006</f>
        <v>1049.678126</v>
      </c>
      <c r="M43" s="3">
        <f>1463.6+(305.1-655.1)+(-1.492872+(-0.311202--0.668202))+0-5.2--0.00530400000000083</f>
        <v>1107.2694319999998</v>
      </c>
      <c r="N43" s="3">
        <f>1620.1+(316.6-661.4)+(-2.478753+(-0.484398--1.011942))+0-5.4--0.00826200000000031</f>
        <v>1267.9570529999999</v>
      </c>
      <c r="O43" s="3">
        <f>1775.3+(310-687.9)+(-2.716209+(-0.4743--1.052487))+0-6.1--0.00933300000000035</f>
        <v>1389.1713110000001</v>
      </c>
      <c r="P43" s="3">
        <f>1842.1+(270.6-673.7)+(-3.757884+(-0.552024--1.374348))+0-3.9--0.00795599999999983</f>
        <v>1432.1723959999999</v>
      </c>
      <c r="Q43" s="3">
        <f>1875.6+(265.2-638.7)+(-2.869668+(-0.405756--0.977211))+0-4--0.00612000000000023</f>
        <v>1495.8079069999999</v>
      </c>
      <c r="R43" s="3">
        <f>1759.2+(288.1-556)+(-4.48596+(-0.734655--1.4178))+0-3--0.00764999999999957</f>
        <v>1484.5048350000002</v>
      </c>
      <c r="S43" s="3">
        <f>1702.7+(286.9-513.3)+(-0.868377+(-0.146319--0.261783))+0-3--0.0015299999999997</f>
        <v>1472.5486170000001</v>
      </c>
      <c r="T43" s="3">
        <f>1749+(288.4-604.9)+(-2.67597+(-0.441252--0.925497))+0-2--0.00306000000000012</f>
        <v>1428.3113350000001</v>
      </c>
      <c r="U43" s="3">
        <f>1742.9+(287.7-627.1)+(-4.444395+(-0.733635--1.599105))+0-2--0.00509999999999971</f>
        <v>1397.9261750000001</v>
      </c>
      <c r="V43" s="3">
        <f>1686.1+(296.2-581.7)+(-4.299555+(-0.75531--1.483335))+0-1.8--0.00458999999999974</f>
        <v>1395.23306</v>
      </c>
      <c r="W43" s="3">
        <f>1820.7+(294.6-722.4)+(-3.714228+(-0.600984--1.473696))+0-2.1--0.00428399999999991</f>
        <v>1387.9627680000003</v>
      </c>
      <c r="X43" s="3">
        <f>1824.3+(295.8-755.1)+(-4.651965+(-0.75429--1.925505))+0-2--0.00509999999999971</f>
        <v>1359.5243500000001</v>
      </c>
      <c r="Y43" s="3">
        <f>1825.7+(278.2-761)+(0.931107+(0.141882-0.38811))+0-2-0.0010199999999998</f>
        <v>1341.5838590000001</v>
      </c>
      <c r="Z43" s="3">
        <f>1830.2+(300.7-566.4)+(-1.866804+(-0.306714--0.577728))+0-1.8--0.00183600000000029</f>
        <v>1561.1060459999999</v>
      </c>
      <c r="AA43" s="3">
        <f>1829.1+(326.5-483.3)+(-5.597046+(-0.99909--1.478898))+0-2--0.00612000000000023</f>
        <v>1665.1888819999999</v>
      </c>
      <c r="AB43" s="3">
        <f>1818.2+(333.8-575.2)+(-6.490974+(-1.191666--2.053464))+0--1.6-0.00571200000000002</f>
        <v>1572.765112</v>
      </c>
      <c r="AC43" s="3">
        <f>1635.7+(335.3-530.1)+(-2.502621+(-0.513009--0.811053))+0-2.5--0.00382500000000014</f>
        <v>1436.1992480000001</v>
      </c>
      <c r="AD43">
        <v>1727.4</v>
      </c>
      <c r="AE43" s="3">
        <f>1830+(318.7-430.5)+(0+(0-0))+0-0-0</f>
        <v>1718.2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1610.4+(309.3-663.1)+(0+(0-0))+0-2.4-0</f>
        <v>1254.2</v>
      </c>
      <c r="G44" s="3">
        <f>1510.5+(301.6-664)+(0+(0-0))+0-2.5-0</f>
        <v>1145.5999999999999</v>
      </c>
      <c r="H44" s="3">
        <f>1392.1+(300.7-627.9)+(0+(0-0))+0-2.4-0</f>
        <v>1062.4999999999998</v>
      </c>
      <c r="I44" s="3">
        <f>1391.9+(301.6-637.6)+(0+(0-0))+0-2-0</f>
        <v>1053.9000000000001</v>
      </c>
      <c r="J44" s="3">
        <f>1394.4+(303.1-653)+(-2.133432+(-0.463743--0.99909))+0-2--0.00306000000000012</f>
        <v>1040.9049749999999</v>
      </c>
      <c r="K44" s="3">
        <f>1387.6+(304.9-634.1)+(-1.415352+(-0.310998--0.646782))+0-2.6--0.00265200000000041</f>
        <v>1054.7230839999997</v>
      </c>
      <c r="L44" s="3">
        <f>1321.3+(312-570.2)+(1.347726+(0.31824-0.581604))+0-3.6-0.00367200000000057</f>
        <v>1060.58069</v>
      </c>
      <c r="M44" s="3">
        <f>1384.6+(303-549.4)+(1.412292+(0.30906-0.560388))+0-4.5-0.00459000000000072</f>
        <v>1134.8563739999997</v>
      </c>
      <c r="N44" s="3">
        <f>1623+(319-634.2)+(-0.82773+(-0.16269--0.323442))+0-4.8--0.00244799999999951</f>
        <v>1302.33547</v>
      </c>
      <c r="O44" s="3">
        <f>1774.2+(324.4-667.4)+(0+(0-0))+0-5.2-0</f>
        <v>1426</v>
      </c>
      <c r="P44" s="3">
        <f>1803.7+(328.4-644.7)+(0+(0-0))+0-20.3-0</f>
        <v>1467.1000000000001</v>
      </c>
      <c r="Q44" s="3">
        <f>1952.3+(312.8-744)+(-3.982692+(-0.638112--1.51776))+0-25.1--0.0512039999999989</f>
        <v>1492.9481600000001</v>
      </c>
      <c r="R44" s="3">
        <f>1965.4+(291.2-741.9)+(-1.002354+(-0.148512--0.378369))+0-27.2--0.0138719999999972</f>
        <v>1486.7413750000001</v>
      </c>
      <c r="S44" s="3">
        <f>1937.5+(286.2-740.3)+(0+(0-0))+0-29-0</f>
        <v>1454.4</v>
      </c>
      <c r="T44" s="3">
        <f>1955+(281.7-776.6)+(-0.99705+(-0.143667--0.396066))+0-30--0.015299999999997</f>
        <v>1429.370649</v>
      </c>
      <c r="U44" s="3">
        <f>1950+(281.1-780.2)+(-6.9615+(-1.003527--2.785314))+0-31--0.11067</f>
        <v>1414.8309570000001</v>
      </c>
      <c r="V44" s="3">
        <f>1892.8+(288.5-737.4)+(-5.791968+(-0.88281--2.256444))+0-30.2--0.0924120000000035</f>
        <v>1409.3740780000001</v>
      </c>
      <c r="W44" s="3">
        <f>1808.8+(298.1-700.2)+(-6.457416+(-1.064217--2.499714))+0-30--0.1071</f>
        <v>1371.7851809999997</v>
      </c>
      <c r="X44" s="3">
        <f>1807+(311.7-731.7)+(-4.60785+(-0.794835--1.865835))+0-30.2--0.0770099999999956</f>
        <v>1353.34016</v>
      </c>
      <c r="Y44" s="3">
        <f>1808.9+(317.6-750.8)+(-4.612695+(-0.80988--1.91454))+0-31.1--0.0793049999999955</f>
        <v>1341.1712700000003</v>
      </c>
      <c r="Z44" s="3">
        <f>1824.5+(337.9-586.3)+(-3.72198+(-0.689316--1.196052))+0-30.9--0.0630359999999986</f>
        <v>1542.0477919999998</v>
      </c>
      <c r="AA44" s="3">
        <f>1928.4+(332.2-590.4)+(-3.933936+(-0.677688--1.204416))+0-29.6--0.0603839999999987</f>
        <v>1637.2531759999999</v>
      </c>
      <c r="AB44" s="3">
        <f>1815.1+(332.1-564.2)+(0.925701+(0.169371-0.287742))+0-29.3-0.014942999999997</f>
        <v>1554.4923870000002</v>
      </c>
      <c r="AC44" s="3">
        <f>1791.8+(320.9-662.4)+(-1.827636+(-0.327318--0.675648))+0-28.8--0.0293760000000046</f>
        <v>1420.05007</v>
      </c>
      <c r="AD44">
        <v>1728.2</v>
      </c>
      <c r="AE44" s="3">
        <f>1904.4+(346.2-505.8)+(0+(0-0))+0-31.2-0</f>
        <v>1713.6000000000001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1606.4+(315.7-646.4)+(0+(0-0))+0-29.3-0</f>
        <v>1246.4000000000001</v>
      </c>
      <c r="G45" s="3">
        <f>1574.9+(305.6-725.2)+(-1.606398+(-0.311712--0.739704))+0-28.9--0.0294780000000046</f>
        <v>1125.251072</v>
      </c>
      <c r="H45" s="3">
        <f>1578.6+(302.6-776.8)+(0+(0-0))+0-28.4-0</f>
        <v>1076</v>
      </c>
      <c r="I45" s="3">
        <f>1582.4+(304.3-794.1)+(-2.421072+(-0.465579--1.214973))+0-28.4--0.0434520000000016</f>
        <v>1062.571774</v>
      </c>
      <c r="J45" s="3">
        <f>1583.9+(301.1-805.6)+(1.615578+(0.307122-0.821712))+0-27.7-0.0282540000000044</f>
        <v>1052.7727339999999</v>
      </c>
      <c r="K45" s="3">
        <f>1582+(300-787.5)+(-3.22728+(-0.612--1.6065))+0-27.7--0.0565079999999988</f>
        <v>1064.6237279999998</v>
      </c>
      <c r="L45" s="3">
        <f>1582.5+(302.7-792.6)+(-0.807075+(-0.154377--0.404226))+0-27.9--0.0142289999999972</f>
        <v>1064.1570029999998</v>
      </c>
      <c r="M45" s="3">
        <f>1587.8+(306.6-729.8)+(-0.809778+(-0.156366--0.372198))+0-29.8--0.015197999999997</f>
        <v>1134.221252</v>
      </c>
      <c r="N45" s="3">
        <f>1670.7+(309.4-651.4)+(-0.852057+(-0.157794--0.332214))+0-30.3--0.0154529999999969</f>
        <v>1297.7378160000001</v>
      </c>
      <c r="O45" s="3">
        <f>1790.3+(304.9-662.6)+(-1.826106+(-0.310998--0.675852))+0-29.7--0.0302940000000047</f>
        <v>1401.4690419999997</v>
      </c>
      <c r="P45" s="3">
        <f>1798.7+(303.8-624.1)+(-2.752011+(-0.464814--0.954873))+0-30.2--0.0462060000000017</f>
        <v>1445.984254</v>
      </c>
      <c r="Q45" s="3">
        <f>1803.9+(290.9-560.9)+(0+(0-0))+0-29.9-0</f>
        <v>1504</v>
      </c>
      <c r="R45" s="3">
        <f>1813.1+(287.1-594.3)+(-4.623405+(-0.732105--1.515465))+0-22.9--0.0583949999999967</f>
        <v>1479.2183500000001</v>
      </c>
      <c r="S45" s="3">
        <f>1813.6+(285.5-635.7)+(0+(0-0))+0-21-0</f>
        <v>1442.3999999999999</v>
      </c>
      <c r="T45" s="3">
        <f>1855.5+(273.6-715.3)+(-3.78522+(-0.558144--1.459212))+0-25.4--0.0518159999999989</f>
        <v>1385.5676639999999</v>
      </c>
      <c r="U45" s="3">
        <f>1868.2+(271.4-701.3)+(-4.76391+(-0.69207--1.788315))+0-28.9--0.0736949999999958</f>
        <v>1405.8060300000002</v>
      </c>
      <c r="V45" s="3">
        <f>1869.9+(270.2-710.4)+(-2.860947+(-0.413406--1.086912))+0-28.8--0.0440640000000017</f>
        <v>1398.756623</v>
      </c>
      <c r="W45" s="3">
        <f>1698+(312.6-605.2)+(-2.59794+(-0.478278--0.925956))+0-29.2--0.0446760000000017</f>
        <v>1374.0944139999999</v>
      </c>
      <c r="X45" s="3">
        <f>1661.8+(317.3-617.8)+(-4.23759+(-0.809115--1.57539))+0-29.7--0.0757349999999957</f>
        <v>1328.2044199999998</v>
      </c>
      <c r="Y45" s="3">
        <f>1685+(323.5-669.1)+(-2.57805+(-0.494955--1.023723))+0-30.2--0.0462060000000017</f>
        <v>1307.1969240000001</v>
      </c>
      <c r="Z45" s="3">
        <f>1750.4+(343.9-566.9)+(-0.892704+(-0.175389--0.289119))+0-30.9--0.0157589999999969</f>
        <v>1495.7367849999998</v>
      </c>
      <c r="AA45" s="3">
        <f>1738.2+(368.3-446.7)+(-3.545928+(-0.751332--0.911268))+0-26.4--0.0538559999999988</f>
        <v>1630.0678640000001</v>
      </c>
      <c r="AB45" s="3">
        <f>1644.1+(367.6-399.7)+(-4.192455+(-0.93738--1.019235))+0-29.5--0.0752249999999957</f>
        <v>1578.4646250000001</v>
      </c>
      <c r="AC45" s="3">
        <f>1594.8+(348.6-493.9)+(-2.440044+(-0.533358--0.755667))+0-29--0.0443700000000017</f>
        <v>1418.3266350000001</v>
      </c>
      <c r="AD45">
        <v>1718</v>
      </c>
      <c r="AE45" s="3">
        <f>1760+(365.8-389.4)+(0+(0-0))+0-30.4-0</f>
        <v>1706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1581.3+(318.5-580.8)+(-3.225852+(-0.64974--1.184832))+0-29.1--0.0593639999999987</f>
        <v>1287.2686040000001</v>
      </c>
      <c r="G46" s="3">
        <f>1580.6+(308-699.8)+(-0.806106+(-0.15708--0.356898))+0-28.9--0.0147389999999971</f>
        <v>1159.3084509999999</v>
      </c>
      <c r="H46" s="3">
        <f>1582.4+(300.4-748.1)+(-0.807024+(-0.153204--0.381531))+0-29.5--0.015044999999997</f>
        <v>1104.6363480000002</v>
      </c>
      <c r="I46" s="3">
        <f>1637.5+(301.1-825.8)+(-0.835125+(-0.153561--0.421158))+0-29--0.0147899999999971</f>
        <v>1083.2472620000001</v>
      </c>
      <c r="J46" s="3">
        <f>1719.2+(304.2-915.2)+(-3.507168+(-0.620568--1.867008))+0-29.6--0.0603839999999987</f>
        <v>1076.399656</v>
      </c>
      <c r="K46" s="3">
        <f>1699.3+(304.1-893.4)+(-6.933144+(-1.240728--3.645072))+0-29.1--0.118727999999997</f>
        <v>1076.489928</v>
      </c>
      <c r="L46" s="3">
        <f>1607.2+(304.5-808.8)+(-2.459016+(-0.465885--1.237464))+0-28.2--0.0431460000000016</f>
        <v>1073.055709</v>
      </c>
      <c r="M46" s="3">
        <f>1608.5+(301-733.4)+(0+(0-0))+0-29.2-0</f>
        <v>1146.8999999999999</v>
      </c>
      <c r="N46" s="3">
        <f>1639.4+(299.2-600.6)+(0+(0-0))+0-30.7-0</f>
        <v>1307.3</v>
      </c>
      <c r="O46" s="3">
        <f>1721.1+(296-558.7)+(0.877761+(0.15096-0.284937))+0-30.8-0.0157079999999969</f>
        <v>1428.328076</v>
      </c>
      <c r="P46" s="3">
        <f>1840.2+(256-564.5)+(-2.815506+(-0.39168--0.863685))+0-30.8--0.0471240000000018</f>
        <v>1498.603623</v>
      </c>
      <c r="Q46" s="3">
        <f>1897.1+(255.9-585)+(-2.902563+(-0.391527--0.89505))+0-30.5--0.0466650000000018</f>
        <v>1535.1476250000001</v>
      </c>
      <c r="R46" s="3">
        <f>1922.4+(254.2-615.9)+(-2.941272+(-0.388926--0.942327))+0-28.9--0.0442170000000017</f>
        <v>1529.4563459999999</v>
      </c>
      <c r="S46" s="3">
        <f>1831.7+(260.7-575)+(-1.868334+(-0.265914--0.5865))+0-28.4--0.0289680000000045</f>
        <v>1487.4812200000001</v>
      </c>
      <c r="T46" s="3">
        <f>1804.6+(265.9-612.3)+(0.920346+(0.135609-0.312273))+0-28.7-0.0146369999999971</f>
        <v>1430.2290449999998</v>
      </c>
      <c r="U46" s="3">
        <f>1777.5+(264.4-610.6)+(-2.719575+(-0.404532--0.934218))+0-29.3--0.0448290000000017</f>
        <v>1399.8549399999999</v>
      </c>
      <c r="V46" s="3">
        <f>1804.3+(275.9-661.7)+(-3.680772+(-0.562836--1.349868))+0-29.7--0.0605879999999987</f>
        <v>1385.966848</v>
      </c>
      <c r="W46" s="3">
        <f>1811.5+(315-721.2)+(-2.771595+(-0.48195--1.103436))+0-30.2--0.0462060000000017</f>
        <v>1372.996097</v>
      </c>
      <c r="X46" s="3">
        <f>1692.7+(315.7-639.5)+(-3.453108+(-0.644028--1.30458))+0-30--0.0611999999999987</f>
        <v>1336.1686440000001</v>
      </c>
      <c r="Y46" s="3">
        <f>1710.6+(314.9-677.1)+(-0.872406+(-0.160599--0.345321))+0-30.5--0.0155549999999969</f>
        <v>1317.2278709999998</v>
      </c>
      <c r="Z46" s="3">
        <f>1900.1+(329.8-647.2)+(-4.845255+(-0.84099--1.65036))+0-31.5--0.0803249999999954</f>
        <v>1547.2444399999997</v>
      </c>
      <c r="AA46" s="3">
        <f>1926.9+(342.6-572.6)+(-2.948157+(-0.524178--0.876078))+0-30.3--0.0463590000000018</f>
        <v>1664.0501020000002</v>
      </c>
      <c r="AB46" s="3">
        <f>1871.3+(332.8-577.2)+(-2.863089+(-0.509184--0.883116))+0-29.1--0.0445230000000017</f>
        <v>1595.355366</v>
      </c>
      <c r="AC46" s="3">
        <f>1820.2+(319.6-628.4)+(-1.856604+(-0.325992--0.640968))+0-29.9--0.0304980000000048</f>
        <v>1479.9888700000001</v>
      </c>
      <c r="AD46">
        <v>1646.9999999999998</v>
      </c>
      <c r="AE46" s="3">
        <f>1919.5+(347-565.3)+(0+(0-0))+0-30.4-0</f>
        <v>1670.8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1741.3+(305.2-708.3)+(-2.664189+(-0.466956--1.083699))+0-29.8--0.0455940000000017</f>
        <v>1306.398148</v>
      </c>
      <c r="G47" s="3">
        <f>1368.3+(319.5-509.2)+(-2.093499+(-0.488835--0.779076))+0-29.5--0.0451350000000017</f>
        <v>1147.3418770000001</v>
      </c>
      <c r="H47" s="3">
        <f>1124.4+(333.5-353.8)+(0+(0-0))+0-29.4-0</f>
        <v>1074.7</v>
      </c>
      <c r="I47" s="3">
        <f>1019.5+(339.6-291.7)+(-2.599725+(-0.86598--0.743835))+0-28.9--0.0736949999999958</f>
        <v>1035.851825</v>
      </c>
      <c r="J47" s="3">
        <f>1024.4+(333.2-308.5)+(1.044888+(0.339864-0.31467))+0-27.7-0.0282540000000044</f>
        <v>1022.441828</v>
      </c>
      <c r="K47" s="3">
        <f>1072.4+(314.4-338.3)+(-2.187696+(-0.641376--0.690132))+0-28.1--0.0573239999999988</f>
        <v>1018.3183839999999</v>
      </c>
      <c r="L47" s="3">
        <f>970.7+(317.4-302.6)+(0.495057+(0.161874-0.154326))+0-27.2-0.0138719999999972</f>
        <v>958.78873299999998</v>
      </c>
      <c r="M47" s="3">
        <f>967+(321.7-304.6)+(0+(0-0))+0-29.2-0</f>
        <v>954.89999999999986</v>
      </c>
      <c r="N47" s="3">
        <f>987.5+(321.7-237.1)+(-0.503625+(-0.164067--0.120921))+0-31.6--0.0161159999999968</f>
        <v>1039.969345</v>
      </c>
      <c r="O47" s="3">
        <f>988.5+(341-177.8)+(0+(0-0))+0-30.4-0</f>
        <v>1121.3</v>
      </c>
      <c r="P47" s="3">
        <f>1016.9+(390-182.8)+(-0.518619+(-0.1989--0.093228))+0-31.2--0.0159119999999968</f>
        <v>1192.2916209999999</v>
      </c>
      <c r="Q47" s="3">
        <f>1023.9+(411.1-185.6)+(0.522189+(0.209661-0.094656))+0-31.8-0.0162179999999968</f>
        <v>1218.2209760000001</v>
      </c>
      <c r="R47" s="3">
        <f>1029.7+(368.3-185.4)+(-1.050294+(-0.375666--0.189108))+0-29.4--0.0299880000000047</f>
        <v>1181.993136</v>
      </c>
      <c r="S47" s="3">
        <f>1026.6+(345.6-168.4)+(-1.047132+(-0.352512--0.171768))+0-29.6--0.0301920000000047</f>
        <v>1173.0023160000001</v>
      </c>
      <c r="T47" s="3">
        <f>1028.2+(321.8-188.2)+(-1.573146+(-0.492354--0.287946))+0-29.4--0.0449820000000017</f>
        <v>1130.667428</v>
      </c>
      <c r="U47" s="3">
        <f>1018.9+(318.6-196.6)+(-2.078556+(-0.649944--0.401064))+0-30.6--0.0624239999999987</f>
        <v>1108.0349880000001</v>
      </c>
      <c r="V47" s="3">
        <f>1026.5+(319.1-210.9)+(-2.617575+(-0.813705--0.537795))+0-30.8--0.0785399999999955</f>
        <v>1101.085055</v>
      </c>
      <c r="W47" s="3">
        <f>1016.2+(329-223.2)+(-2.073048+(-0.67116--0.455328))+0-30.6--0.0624239999999987</f>
        <v>1089.173544</v>
      </c>
      <c r="X47" s="3">
        <f>932.5+(356.9-179.8)+(-2.377875+(-0.910095--0.45849))+0-30.4--0.0775199999999956</f>
        <v>1076.4480399999998</v>
      </c>
      <c r="Y47" s="3">
        <f>958.2+(359.4-182.9)+(-1.954728+(-0.733176--0.373116))+0-30.3--0.0618119999999987</f>
        <v>1102.1470240000001</v>
      </c>
      <c r="Z47" s="3">
        <f>1093.2+(429.2-167.1)+(-2.78766+(-1.09446--0.426105))+0-31.1--0.0793049999999955</f>
        <v>1320.8232900000003</v>
      </c>
      <c r="AA47" s="3">
        <f>1089.7+(534.1-131)+(-2.778735+(-1.361955--0.33405))+0-30.9--0.0787949999999955</f>
        <v>1458.172155</v>
      </c>
      <c r="AB47" s="3">
        <f>976.2+(583.5-121.2)+(-0.995724+(-0.59517--0.123624))+0-29.6--0.0301920000000047</f>
        <v>1407.4629219999999</v>
      </c>
      <c r="AC47" s="3">
        <f>1091.9+(410.2-151.4)+(-1.670607+(-0.627606--0.231642))+0-28.9--0.0442170000000017</f>
        <v>1319.7776459999998</v>
      </c>
      <c r="AD47">
        <v>1487.2</v>
      </c>
      <c r="AE47" s="3">
        <f>1147+(487.5-108.7)+(0+(0-0))+0-28.8-0</f>
        <v>1497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1032.1+(369.5-172.4)+(-2.105484+(-0.75378--0.351696))+0-29.2--0.0595679999999987</f>
        <v>1197.5519999999997</v>
      </c>
      <c r="G48" s="3">
        <f>976.1+(342.9-212.9)+(-2.489055+(-0.874395--0.542895))+0-28.8--0.0734399999999958</f>
        <v>1074.5528849999998</v>
      </c>
      <c r="H48" s="3">
        <f>920.1+(354.8-232.1)+(-1.877004+(-0.723792--0.473484))+0-29--0.0591599999999987</f>
        <v>1011.7318479999999</v>
      </c>
      <c r="I48" s="3">
        <f>921.2+(342-247.3)+(-1.409436+(-0.52326--0.378369))+0-28.9--0.0442170000000017</f>
        <v>985.48989000000017</v>
      </c>
      <c r="J48" s="3">
        <f>920.4+(338.1-253.6)+(-1.877616+(-0.689724--0.517344))+0-29.5--0.0601799999999987</f>
        <v>973.41018399999996</v>
      </c>
      <c r="K48" s="3">
        <f>920.2+(337.4-245)+(-1.407906+(-0.516222--0.37485))+0-28.9--0.0442170000000017</f>
        <v>982.19493900000009</v>
      </c>
      <c r="L48" s="3">
        <f>919.5+(332.7-268.3)+(-2.344725+(-0.848385--0.684165))+0-29.1--0.0742049999999958</f>
        <v>952.36525999999992</v>
      </c>
      <c r="M48" s="3">
        <f>924.3+(326.6-264.2)+(0.942786+(0.333132-0.269484))+0-29.2-0.0297840000000047</f>
        <v>958.47665000000006</v>
      </c>
      <c r="N48" s="3">
        <f>980.1+(316.7-205.2)+(-0.499851+(-0.161517--0.104652))+0-30.9--0.0157589999999969</f>
        <v>1060.1590429999997</v>
      </c>
      <c r="O48" s="3">
        <f>1019.3+(323.7-150.1)+(-1.039686+(-0.330174--0.153102))+0-30.8--0.0314160000000049</f>
        <v>1160.9146579999999</v>
      </c>
      <c r="P48" s="3">
        <f>1032.7+(377.3-145.7)+(-2.106708+(-0.769692--0.297228))+0-31.1--0.0634439999999986</f>
        <v>1230.6842720000002</v>
      </c>
      <c r="Q48" s="3">
        <f>1090.7+(390.3-128.6)+(-1.668771+(-0.597159--0.196758))+0-30.2--0.0462060000000017</f>
        <v>1320.177034</v>
      </c>
      <c r="R48" s="3">
        <f>1135.6+(362-132.8)+(-2.316624+(-0.73848--0.270912))+0-29.2--0.0595679999999987</f>
        <v>1332.8753759999997</v>
      </c>
      <c r="S48" s="3">
        <f>1185.2+(322.2-189.3)+(-3.02226+(-0.82161--0.482715))+0-28.6--0.0729299999999959</f>
        <v>1286.211775</v>
      </c>
      <c r="T48" s="3">
        <f>1184.9+(327.5-217.5)+(-1.208598+(-0.33405--0.22185))+0-29.7--0.0302940000000047</f>
        <v>1263.909496</v>
      </c>
      <c r="U48" s="3">
        <f>1180.8+(283-242.7)+(-2.408832+(-0.57732--0.495108))+0-29.4--0.0599759999999987</f>
        <v>1189.2689319999997</v>
      </c>
      <c r="V48" s="3">
        <f>1188.8+(284-229.4)+(0+(0-0))+0-30.6-0</f>
        <v>1212.8</v>
      </c>
      <c r="W48" s="3">
        <f>1188.9+(290.4-191.1)+(-1.819017+(-0.444312--0.292383))+0-30.4--0.0465120000000018</f>
        <v>1255.8755659999999</v>
      </c>
      <c r="X48" s="3">
        <f>1190.4+(318.9-196.1)+(-2.428416+(-0.650556--0.400044))+0-30.5--0.0622199999999987</f>
        <v>1280.083292</v>
      </c>
      <c r="Y48" s="3">
        <f>1217.8+(331.4-199.7)+(-2.484312+(-0.676056--0.407388))+0-29.4--0.0599759999999987</f>
        <v>1317.4069959999999</v>
      </c>
      <c r="Z48" s="3">
        <f>1330+(320.8-138.8)+(-2.0349+(-0.490824--0.212364))+0-29.2--0.0446760000000017</f>
        <v>1480.5313159999998</v>
      </c>
      <c r="AA48" s="3">
        <f>1445.9+(269.7-142.3)+(-2.949636+(-0.550188--0.290292))+0-29--0.0591599999999987</f>
        <v>1541.1496280000001</v>
      </c>
      <c r="AB48" s="3">
        <f>1431.7+(313.3-220.4)+(-1.460334+(-0.319566--0.224808))+0-28.4--0.0289680000000045</f>
        <v>1494.6738760000001</v>
      </c>
      <c r="AC48" s="3">
        <f>1308.4+(356.9-263)+(-2.669136+(-0.728076--0.53652))+0-29.6--0.0603839999999987</f>
        <v>1369.8996920000002</v>
      </c>
      <c r="AD48">
        <v>1579.1999999999998</v>
      </c>
      <c r="AE48" s="3">
        <f>1416+(319.2-132.4)+(0+(0-0))+0-30.4-0</f>
        <v>1572.3999999999999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1227.3+(334-335)+(0+(0-0))+0-29.5-0</f>
        <v>1196.8</v>
      </c>
      <c r="G49" s="3">
        <f>1108.4+(330.7-352.7)+(-0.565284+(-0.168657--0.179877))+0-29.2--0.014891999999997</f>
        <v>1056.660828</v>
      </c>
      <c r="H49" s="3">
        <f>1196.9+(322.1-478.6)+(-4.272933+(-1.149897--1.708602))+0-30.1--0.107457</f>
        <v>1006.693229</v>
      </c>
      <c r="I49" s="3">
        <f>1187.6+(319.3-485.2)+(-1.817028+(-0.488529--0.742356))+0-29.5--0.0451350000000017</f>
        <v>990.68193399999984</v>
      </c>
      <c r="J49" s="3">
        <f>1188.8+(315.3-500.6)+(0+(0-0))+0-26.6-0</f>
        <v>976.9</v>
      </c>
      <c r="K49" s="3">
        <f>1188.1+(308.2-495.4)+(-0.605931+(-0.157182--0.252654))+0-12.6--0.00642599999999872</f>
        <v>987.79596699999991</v>
      </c>
      <c r="L49" s="3">
        <f>1198.2+(311.9-501.7)+(-0.611082+(-0.159069--0.255867))+0-28--0.0142799999999972</f>
        <v>979.8999960000001</v>
      </c>
      <c r="M49" s="3">
        <f>1322.8+(315.3-543.4)+(0.674628+(0.160803-0.277134))+0-30.1-0.0153509999999969</f>
        <v>1065.1429460000002</v>
      </c>
      <c r="N49" s="3">
        <f>1469.4+(318-536.5)+(1.498788+(0.32436-0.54723))+0-31.8-0.0324360000000051</f>
        <v>1220.3434820000002</v>
      </c>
      <c r="O49" s="3">
        <f>1488.2+(322.5-394.3)+(0+(0-0))+0-31.1-0</f>
        <v>1385.3000000000002</v>
      </c>
      <c r="P49" s="3">
        <f>1531.6+(327.4-377.1)+(0+(0-0))+0-31-0</f>
        <v>1450.8999999999999</v>
      </c>
      <c r="Q49" s="3">
        <f>1611.1+(328.2-418.4)+(0.821661+(0.167382-0.213384))+0-31.5-0.0160649999999968</f>
        <v>1490.1595939999997</v>
      </c>
      <c r="R49" s="3">
        <f>1720.6+(320.5-533)+(1.755012+(0.32691-0.54366))+0-29.4-0.0299880000000047</f>
        <v>1480.2082739999998</v>
      </c>
      <c r="S49" s="3">
        <f>1781.7+(315.9-599.3)+(-0.908667+(-0.161109--0.305643))+0-29.4--0.014993999999997</f>
        <v>1468.1508610000001</v>
      </c>
      <c r="T49" s="3">
        <f>1801.3+(308.1-658.8)+(0+(0-0))+0-30.4-0</f>
        <v>1420.1999999999998</v>
      </c>
      <c r="U49" s="3">
        <f>1789.2+(302.9-655.6)+(0+(0-0))+0-31.2-0</f>
        <v>1405.3</v>
      </c>
      <c r="V49" s="3">
        <f>1793+(310.8-628.1)+(-3.65772+(-0.634032--1.281324))+0-31.2--0.0636479999999986</f>
        <v>1441.55322</v>
      </c>
      <c r="W49" s="3">
        <f>1794.1+(317-717.3)+(-3.659964+(-0.64668--1.463292))+0-31--0.0632399999999986</f>
        <v>1360.0198879999998</v>
      </c>
      <c r="X49" s="3">
        <f>1564+(328.2-541.9)+(-6.38112+(-1.339056--2.210952))+0-30--0.122399999999997</f>
        <v>1314.913176</v>
      </c>
      <c r="Y49" s="3">
        <f>1534.1+(328.2-518.7)+(-3.911955+(-0.83691--1.322685))+0-30.4--0.0775199999999956</f>
        <v>1309.8513399999999</v>
      </c>
      <c r="Z49" s="3">
        <f>1712.9+(337.7-510.2)+(-2.620737+(-0.516681--0.780606))+0-28.7--0.0439110000000017</f>
        <v>1509.387099</v>
      </c>
      <c r="AA49" s="3">
        <f>1801.5+(349.8-470)+(-5.51259+(-1.070388--1.4382))+0-28.4--0.0869040000000033</f>
        <v>1647.8421259999998</v>
      </c>
      <c r="AB49" s="3">
        <f>1722.9+(355.5-469.8)+(-1.757358+(-0.36261--0.479196))+0-28.1--0.0286620000000045</f>
        <v>1578.8878900000002</v>
      </c>
      <c r="AC49" s="3">
        <f>1692.5+(338.7-565.7)+(-1.72635+(-0.345474--0.577014))+0-30--0.0306000000000048</f>
        <v>1434.0357900000001</v>
      </c>
      <c r="AD49">
        <v>1725.8999999999999</v>
      </c>
      <c r="AE49" s="3">
        <f>1825+(344.4-420.5)+(0+(0-0))+0-29.6-0</f>
        <v>1719.3000000000002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1593.1+(335.8-634.3)+(-4.062405+(-0.85629--1.617465))+0-29.7--0.0757349999999957</f>
        <v>1261.6745049999997</v>
      </c>
      <c r="G50" s="3">
        <f>1292.5+(351.4-488.9)+(-1.31835+(-0.358428--0.498678))+0-29.4--0.0299880000000047</f>
        <v>1124.4518879999998</v>
      </c>
      <c r="H50" s="3">
        <f>1179.8+(355.3-433)+(-1.203396+(-0.362406--0.44166))+0-29.3--0.0298860000000047</f>
        <v>1071.7057440000001</v>
      </c>
      <c r="I50" s="3">
        <f>1181.7+(355-450.7)+(0+(0-0))+0-29.5-0</f>
        <v>1056.5</v>
      </c>
      <c r="J50" s="3">
        <f>1182.8+(347.5-455.7)+(1.206456+(0.35445-0.464814))+0-29.3-0.0298860000000047</f>
        <v>1046.3662059999999</v>
      </c>
      <c r="K50" s="3">
        <f>1182.9+(342.8-445.2)+(-3.016395+(-0.87414--1.13526))+0-29.6--0.0754799999999957</f>
        <v>1048.2202050000001</v>
      </c>
      <c r="L50" s="3">
        <f>1182.8+(341.9-449.6)+(-3.01614+(-0.871845--1.14648))+0-29.4--0.0749699999999957</f>
        <v>1043.0334649999998</v>
      </c>
      <c r="M50" s="3">
        <f>1321+(340-508.8)+(0+(0-0))+0-30.5-0</f>
        <v>1121.7</v>
      </c>
      <c r="N50" s="3">
        <f>1570.3+(329.8-569.3)+(-1.601706+(-0.336396--0.580686))+0-31.6--0.032232000000005</f>
        <v>1297.874816</v>
      </c>
      <c r="O50" s="3">
        <f>1564.8+(339.4-435.4)+(-3.192192+(-0.692376--0.888216))+0-30.9--0.0630359999999986</f>
        <v>1434.966684</v>
      </c>
      <c r="P50" s="3">
        <f>1561.6+(354.5-379.1)+(-0.796416+(-0.180795--0.193341))+0-31--0.0158099999999969</f>
        <v>1505.2319400000001</v>
      </c>
      <c r="Q50" s="3">
        <f>1558.4+(359.9-339)+(0+(0-0))+0-30.8-0</f>
        <v>1548.5000000000002</v>
      </c>
      <c r="R50" s="3">
        <f>1564.7+(357.3-364.8)+(-3.191988+(-0.728892--0.744192))+0-28.8--0.0587519999999987</f>
        <v>1525.282064</v>
      </c>
      <c r="S50" s="3">
        <f>1612.7+(349.1-426.4)+(-4.934862+(-1.068246--1.304784))+0-29.1--0.0890460000000034</f>
        <v>1501.6907220000003</v>
      </c>
      <c r="T50" s="3">
        <f>1657+(335.2-521.6)+(-3.38028+(-0.683808--1.064064))+0-30.8--0.0628319999999987</f>
        <v>1436.8628080000001</v>
      </c>
      <c r="U50" s="3">
        <f>1679+(340.6-541.1)+(0+(0-0))+0-31-0</f>
        <v>1447.5</v>
      </c>
      <c r="V50" s="3">
        <f>1649.5+(340.1-536.3)+(-4.206225+(-0.867255--1.367565))+0-31.1--0.0793049999999955</f>
        <v>1418.5733900000002</v>
      </c>
      <c r="W50" s="3">
        <f>1626.3+(326.3-522)+(-4.147065+(-0.832065--1.3311))+0-30--0.0764999999999956</f>
        <v>1397.0284699999997</v>
      </c>
      <c r="X50" s="3">
        <f>1603.8+(308.7-477.7)+(-3.271752+(-0.629748--0.974508))+0-29.5--0.0601799999999987</f>
        <v>1402.433188</v>
      </c>
      <c r="Y50" s="3">
        <f>1601.7+(292.3-476.5)+(-0.816867+(-0.149073--0.243015))+0-30.1--0.0153509999999969</f>
        <v>1386.6924260000001</v>
      </c>
      <c r="Z50" s="3">
        <f>1688.3+(341.7-451.8)+(-0.861033+(-0.174267--0.230418))+0-30.2--0.0154019999999969</f>
        <v>1547.2105199999999</v>
      </c>
      <c r="AA50" s="3">
        <f>1636.9+(354.2-281.5)+(-0.834819+(-0.180642--0.143565))+0-26.6--0.0135659999999973</f>
        <v>1682.1416700000002</v>
      </c>
      <c r="AB50" s="3">
        <f>1602.1+(337.2-322.1)+(-0.817071+(-0.171972--0.164271))+0-21.8--0.0111179999999978</f>
        <v>1594.5863459999998</v>
      </c>
      <c r="AC50" s="3">
        <f>1516.3+(325.4-368.3)+(-3.866565+(-0.82977--0.939165))+0-28.7--0.0731849999999958</f>
        <v>1441.0160149999997</v>
      </c>
      <c r="AD50">
        <v>1705.5</v>
      </c>
      <c r="AE50" s="3">
        <f>1705+(337.3-310.8)+(0+(0-0))+0-29.2-0</f>
        <v>1702.3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1371.4+(339.1-390.3)+(-1.398828+(-0.345882--0.398106))+0-28.6--0.0291720000000046</f>
        <v>1290.2825680000001</v>
      </c>
      <c r="G51" s="3">
        <f>1159.4+(371.8-350.6)+(-2.365176+(-0.758472--0.715224))+0-28.8--0.0587519999999987</f>
        <v>1149.4503280000001</v>
      </c>
      <c r="H51" s="3">
        <f>1161.2+(353.9-386)+(0+(0-0))+0-29.1-0</f>
        <v>1100</v>
      </c>
      <c r="I51" s="3">
        <f>1162.3+(343.6-393.2)+(-2.963865+(-0.87618--1.00266))+0-29.3--0.0747149999999958</f>
        <v>1080.63733</v>
      </c>
      <c r="J51" s="3">
        <f>1160.7+(337.8-391.7)+(-2.959785+(-0.86139--0.998835))+0-27.4--0.069869999999996</f>
        <v>1076.6475300000002</v>
      </c>
      <c r="K51" s="3">
        <f>1161.3+(340.6-387.9)+(-1.184526+(-0.347412--0.395658))+0-27.6--0.0281520000000044</f>
        <v>1085.2918720000002</v>
      </c>
      <c r="L51" s="3">
        <f>1163.3+(340.4-396.8)+(-4.152981+(-1.215228--1.416576))+0-28.3--0.101031</f>
        <v>1074.7493979999999</v>
      </c>
      <c r="M51" s="3">
        <f>1221.2+(336.6-360.7)+(1.868436+(0.514998-0.551871))+0-29.5-0.0451350000000017</f>
        <v>1169.386428</v>
      </c>
      <c r="N51" s="3">
        <f>1323.9+(314.6-265.2)+(1.350378+(0.320892-0.270504))+0-28.9-0.0294780000000046</f>
        <v>1345.7712880000001</v>
      </c>
      <c r="O51" s="3">
        <f>1432.9+(293.2-239.8)+(-1.461558+(-0.299064--0.244596))+0-30.2--0.0308040000000048</f>
        <v>1454.6147780000001</v>
      </c>
      <c r="P51" s="3">
        <f>1462.2+(295.9-211.3)+(-2.237166+(-0.452727--0.323289))+0-30.3--0.0463590000000018</f>
        <v>1514.1797549999999</v>
      </c>
      <c r="Q51" s="3">
        <f>1475.3+(254.5-147.6)+(0.752403+(0.129795-0.075276))+0-29.8-0.015197999999997</f>
        <v>1553.191724</v>
      </c>
      <c r="R51" s="3">
        <f>1468.3+(246.3-133.5)+(-1.497666+(-0.251226--0.13617))+0-28.6--0.0291720000000046</f>
        <v>1550.9164499999999</v>
      </c>
      <c r="S51" s="3">
        <f>1521.4+(214.7-201.7)+(-1.551828+(-0.218994--0.205734))+0-28.4--0.0289680000000045</f>
        <v>1504.46388</v>
      </c>
      <c r="T51" s="3">
        <f>1587.4+(194.8-298.2)+(-1.619148+(-0.198696--0.304164))+0-30--0.0306000000000048</f>
        <v>1452.51692</v>
      </c>
      <c r="U51" s="3">
        <f>1572+(196.6-286.1)+(-4.0086+(-0.50133--0.729555))+0-31--0.0790499999999955</f>
        <v>1447.798675</v>
      </c>
      <c r="V51" s="3">
        <f>1576.3+(200.5-291.9)+(-1.607826+(-0.20451--0.297738))+0-30.7--0.0313140000000049</f>
        <v>1452.7167160000001</v>
      </c>
      <c r="W51" s="3">
        <f>1559.7+(199.5-304.8)+(-5.568129+(-0.712215--1.088136))+0-29.9--0.106743</f>
        <v>1419.4145350000001</v>
      </c>
      <c r="X51" s="3">
        <f>1404+(239.9-232.7)+(-5.01228+(-0.856443--0.830739))+0-30--0.1071</f>
        <v>1376.2691159999999</v>
      </c>
      <c r="Y51" s="3">
        <f>1406.9+(241.8-275)+(-1.435038+(-0.246636--0.2805))+0-30.2--0.0308040000000048</f>
        <v>1342.1296299999999</v>
      </c>
      <c r="Z51" s="3">
        <f>1559.6+(293.6-300.4)+(-2.386188+(-0.449208--0.459612))+0-25.4--0.0388620000000015</f>
        <v>1525.0630779999999</v>
      </c>
      <c r="AA51" s="3">
        <f>1602.8+(337-207.9)+(-4.08714+(-0.85935--0.530145))+0-28--0.0713999999999959</f>
        <v>1699.5550549999998</v>
      </c>
      <c r="AB51" s="3">
        <f>1516.3+(365-222.2)+(0+(0-0))+0-27.5-0</f>
        <v>1631.6</v>
      </c>
      <c r="AC51" s="3">
        <f>1505.8+(347.1-315.3)+(-4.607748+(-1.062126--0.964818))+0-28.7--0.0878220000000033</f>
        <v>1504.2827659999998</v>
      </c>
      <c r="AD51">
        <v>1691.9</v>
      </c>
      <c r="AE51" s="3">
        <f>1651+(317.7-236)+(0+(0-0))+0-26.8-0</f>
        <v>1705.9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1441.5+(326.8-422.2)+(0+(0-0))+0-28.8-0</f>
        <v>1317.3</v>
      </c>
      <c r="G52" s="3">
        <f>1344.7+(313.1-452.7)+(-2.743188+(-0.638724--0.923508))+0-29--0.0591599999999987</f>
        <v>1173.7007560000002</v>
      </c>
      <c r="H52" s="3">
        <f>1344.2+(314.3-524.9)+(-2.056626+(-0.480879--0.803097))+0-28.2--0.0431460000000016</f>
        <v>1103.708738</v>
      </c>
      <c r="I52" s="3">
        <f>1344.4+(309.6-547.4)+(-1.371288+(-0.315792--0.558348))+0-28.9--0.0294780000000046</f>
        <v>1076.6007460000001</v>
      </c>
      <c r="J52" s="3">
        <f>1354.5+(304.5-539.4)+(-2.76318+(-0.62118--1.100376))+0-28.5--0.0581399999999988</f>
        <v>1088.8741560000001</v>
      </c>
      <c r="K52" s="3">
        <f>1393.5+(302.7-537.2)+(-3.553425+(-0.771885--1.36986))+0-29.4--0.0749699999999957</f>
        <v>1126.7195199999999</v>
      </c>
      <c r="L52" s="3">
        <f>1458.2+(300.6-613.8)+(-1.487364+(-0.306612--0.626076))+0-28.5--0.0290700000000045</f>
        <v>1115.3611700000001</v>
      </c>
      <c r="M52" s="3">
        <f>1568+(300.6-619)+(-4.79808+(-0.919836--1.89414))+0-29--0.0887400000000034</f>
        <v>1216.8649639999999</v>
      </c>
      <c r="N52" s="3">
        <f>1754.6+(272.7-597.4)+(1.789692+(0.278154-0.609348))+0-29.6-0.0301920000000047</f>
        <v>1401.728306</v>
      </c>
      <c r="O52" s="3">
        <f>1844+(249.4-537.9)+(0+(0-0))+0-29.8-0</f>
        <v>1525.7</v>
      </c>
      <c r="P52" s="3">
        <f>1821.4+(251-472.6)+(-1.857828+(-0.25602--0.482052))+0-30.3--0.0309060000000048</f>
        <v>1567.8991100000003</v>
      </c>
      <c r="Q52" s="3">
        <f>1873.4+(250.6-484.5)+(-1.910868+(-0.255612--0.49419))+0-30.2--0.0308040000000048</f>
        <v>1607.658514</v>
      </c>
      <c r="R52" s="3">
        <f>1961.9+(242.3-581.9)+(-2.001138+(-0.247146--0.593538))+0-28.6--0.0291720000000046</f>
        <v>1592.0744260000004</v>
      </c>
      <c r="S52" s="3">
        <f>1964.6+(237.2-621.7)+(0+(0-0))+0-28.4-0</f>
        <v>1551.6999999999998</v>
      </c>
      <c r="T52" s="3">
        <f>2140.5+(227.6-822.1)+(1.091655+(0.116076-0.419271))+0-28.7-0.0146369999999971</f>
        <v>1518.0738229999999</v>
      </c>
      <c r="U52" s="3">
        <f>2163.9+(223.1-855)+(-1.103589+(-0.113781--0.43605))+0-30--0.015299999999997</f>
        <v>1501.23398</v>
      </c>
      <c r="V52" s="3">
        <f>2160.6+(235.6-862.5)+(-5.50953+(-0.60078--2.199375))+0-30.3--0.0772649999999956</f>
        <v>1499.5663299999997</v>
      </c>
      <c r="W52" s="3">
        <f>2103.6+(247.9-845.9)+(-7.509852+(-0.885003--3.019863))+0-29.3--0.104601</f>
        <v>1471.0296089999999</v>
      </c>
      <c r="X52" s="3">
        <f>2036.6+(203.2-750.5)+(-4.154664+(-0.414528--1.53102))+0-30.1--0.0614039999999987</f>
        <v>1456.2232320000001</v>
      </c>
      <c r="Y52" s="3">
        <f>1883.5+(184.2-624.6)+(-4.802925+(-0.46971--1.59273))+0-30.1--0.0767549999999956</f>
        <v>1409.3968500000001</v>
      </c>
      <c r="Z52" s="3">
        <f>2009.5+(284-680.7)+(-3.074535+(-0.43452--1.041471))+0-30.1--0.0460530000000017</f>
        <v>1580.2784690000001</v>
      </c>
      <c r="AA52" s="3">
        <f>2082.8+(306.9-619.3)+(0+(0-0))+0-29.3-0</f>
        <v>1741.1000000000001</v>
      </c>
      <c r="AB52" s="3">
        <f>2086.6+(306.2-701.1)+(-1.064166+(-0.156162--0.357561))+0-28.1--0.0143309999999971</f>
        <v>1662.7515639999999</v>
      </c>
      <c r="AC52" s="3">
        <f>2057.5+(305.4-805.8)+(-1.049325+(-0.155754--0.410958))+0-28--0.0142799999999972</f>
        <v>1528.3201590000001</v>
      </c>
      <c r="AD52">
        <v>1732.1</v>
      </c>
      <c r="AE52" s="3">
        <f>2081.5+(299.3-604.9)+(0+(0-0))+0-31.2-0</f>
        <v>1744.7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1888.9+(308.3-809.4)+(-0.963339+(-0.157233--0.412794))+0-27.7--0.0141269999999972</f>
        <v>1359.4063490000001</v>
      </c>
      <c r="G53" s="3">
        <f>1701.8+(305.4-756)+(-2.603754+(-0.467262--1.15668))+0-27.5--0.0420750000000016</f>
        <v>1221.8277389999998</v>
      </c>
      <c r="H53" s="3">
        <f>1612.2+(305.1-737.9)+(-4.11111+(-0.778005--1.881645))+0-26.8--0.0683399999999961</f>
        <v>1149.6608700000002</v>
      </c>
      <c r="I53" s="3">
        <f>1594.6+(305-743.6)+(-4.06623+(-0.77775--1.89618))+0-26.7--0.0680849999999961</f>
        <v>1126.4202849999999</v>
      </c>
      <c r="J53" s="3">
        <f>1594.8+(305-754.4)+(0.813348+(0.15555-0.384744))+0-27.6-0.0140759999999972</f>
        <v>1118.3700780000001</v>
      </c>
      <c r="K53" s="3">
        <f>1593.4+(305.1-739.8)+(-0.812634+(-0.155601--0.377298))+0-28--0.0142799999999972</f>
        <v>1130.1233430000004</v>
      </c>
      <c r="L53" s="3">
        <f>1508.2+(307.3-665.8)+(-3.076728+(-0.626892--1.358232))+0-27.9--0.0569159999999988</f>
        <v>1119.511528</v>
      </c>
      <c r="M53" s="3">
        <f>1474.2+(305.4-530)+(1.503684+(0.311508-0.5406))+0-29.2-0.0297840000000047</f>
        <v>1221.6448079999998</v>
      </c>
      <c r="N53" s="3">
        <f>1615+(287.5-481.3)+(1.6473+(0.29325-0.490926))+0-29.8-0.0303960000000048</f>
        <v>1392.8192280000001</v>
      </c>
      <c r="O53" s="3">
        <f>1871.7+(253.5-553.6)+(0.954567+(0.129285-0.282336))+0-29.4-0.014993999999997</f>
        <v>1542.9865219999999</v>
      </c>
      <c r="P53" s="3">
        <f>1873.4+(253.2-498.7)+(-0.955434+(-0.129132--0.254337))+0-29.3--0.014942999999997</f>
        <v>1597.7847140000001</v>
      </c>
      <c r="Q53" s="3">
        <f>1932.1+(250-546.3)+(-2.956113+(-0.3825--0.835839))+0-28.9--0.0442170000000017</f>
        <v>1604.4414429999997</v>
      </c>
      <c r="R53" s="3">
        <f>1922.1+(252.5-522.5)+(-1.960542+(-0.25755--0.53295))+0-27.6--0.0281520000000044</f>
        <v>1622.84301</v>
      </c>
      <c r="S53" s="3">
        <f>1916+(242.8-545.3)+(-1.95432+(-0.247656--0.556206))+0-28.2--0.0287640000000045</f>
        <v>1583.6829939999998</v>
      </c>
      <c r="T53" s="3">
        <f>1897.3+(251-601.9)+(-0.967623+(-0.12801--0.306969))+0-28.7--0.0146369999999971</f>
        <v>1516.9259730000001</v>
      </c>
      <c r="U53" s="3">
        <f>1868.4+(294-626.1)+(-4.76442+(-0.7497--1.596555))+0-28.8--0.0734399999999958</f>
        <v>1503.6558750000002</v>
      </c>
      <c r="V53" s="3">
        <f>1649.4+(308.9-460.2)+(-0.841194+(-0.157539--0.234702))+0-29.2--0.014891999999997</f>
        <v>1468.1508610000001</v>
      </c>
      <c r="W53" s="3">
        <f>1523.7+(324.3-384.8)+(-5.439609+(-1.157751--1.373736))+0-28.7--0.102459</f>
        <v>1429.378835</v>
      </c>
      <c r="X53" s="3">
        <f>1572.2+(300.5-450.2)+(-3.207288+(-0.61302--0.918408))+0-29.3--0.0597719999999987</f>
        <v>1390.357872</v>
      </c>
      <c r="Y53" s="3">
        <f>1573.1+(294.9-464.3)+(-3.209124+(-0.601596--0.947172))+0-28.3--0.0577319999999988</f>
        <v>1372.5941839999998</v>
      </c>
      <c r="Z53" s="3">
        <f>1711.2+(316-453.3)+(-2.618136+(-0.48348--0.693549))+0-29.9--0.0457470000000017</f>
        <v>1541.6376799999998</v>
      </c>
      <c r="AA53" s="3">
        <f>1786.6+(337.8-380.2)+(-3.644664+(-0.689112--0.775608))+0-30--0.0611999999999987</f>
        <v>1710.7030319999999</v>
      </c>
      <c r="AB53" s="3">
        <f>1784.3+(318.3-452.5)+(-1.819986+(-0.324666--0.46155))+0-26.9--0.0274380000000043</f>
        <v>1621.5443359999999</v>
      </c>
      <c r="AC53" s="3">
        <f>1763+(309.7-542.2)+(-3.59652+(-0.631788--1.106088))+0-28.2--0.0575279999999988</f>
        <v>1499.235308</v>
      </c>
      <c r="AD53">
        <v>1702.1</v>
      </c>
      <c r="AE53" s="3">
        <f>1791+(328-364.9)+(0+(0-0))+0-32-0</f>
        <v>1722.1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1598+(292.6-556)+(-2.44494+(-0.447678--0.85068))+0-28.4--0.0434520000000016</f>
        <v>1304.2015139999996</v>
      </c>
      <c r="G54" s="3">
        <f>1558.4+(297.5-654.4)+(-2.384352+(-0.455175--1.001232))+0-27.8--0.0425340000000016</f>
        <v>1171.904239</v>
      </c>
      <c r="H54" s="3">
        <f>1554+(302.2-721.8)+(-3.17016+(-0.616488--1.472472))+0-27.5--0.0560999999999988</f>
        <v>1104.641924</v>
      </c>
      <c r="I54" s="3">
        <f>1501.3+(307.3-706.3)+(0+(0-0))+0-26.9-0</f>
        <v>1075.3999999999999</v>
      </c>
      <c r="J54" s="3">
        <f>1544.9+(301.9-756.5)+(-1.575798+(-0.307938--0.77163))+0-26.3--0.0268260000000042</f>
        <v>1062.9147200000002</v>
      </c>
      <c r="K54" s="3">
        <f>1486.3+(301.9-708.5)+(0+(0-0))+0-27-0</f>
        <v>1052.6999999999998</v>
      </c>
      <c r="L54" s="3">
        <f>1389.9+(302.8-665.6)+(-3.544245+(-0.77214--1.69728))+0-27.7--0.070634999999996</f>
        <v>996.85153000000014</v>
      </c>
      <c r="M54" s="3">
        <f>1383.9+(301.8-640.6)+(1.411578+(0.307836-0.653412))+0-29.5-0.0300900000000047</f>
        <v>1016.6359120000002</v>
      </c>
      <c r="N54" s="3">
        <f>1487.9+(302.2-651.1)+(0.758829+(0.154122-0.332061))+0-30.2-0.0154019999999969</f>
        <v>1109.3654879999999</v>
      </c>
      <c r="O54" s="3">
        <f>1637.4+(317-693.3)+(-1.670148+(-0.32334--0.707166))+0-29.9--0.0304980000000048</f>
        <v>1229.9441760000002</v>
      </c>
      <c r="P54" s="3">
        <f>1700.5+(324.7-678.8)+(-0.867255+(-0.165597--0.346188))+0-29.9--0.015248999999997</f>
        <v>1315.828585</v>
      </c>
      <c r="Q54" s="3">
        <f>1741.1+(325.7-688.2)+(1.775922+(0.332214-0.701964))+0-29.3-0.0298860000000047</f>
        <v>1350.6762859999999</v>
      </c>
      <c r="R54" s="3">
        <f>1738.1+(320-703.6)+(3.545724+(0.6528-1.435344))+0-27.3-0.0556919999999988</f>
        <v>1329.9074880000001</v>
      </c>
      <c r="S54" s="3">
        <f>1634.9+(307.6-627.9)+(-0.833799+(-0.156876--0.320229))+0-27.6--0.0140759999999972</f>
        <v>1286.3436300000001</v>
      </c>
      <c r="T54" s="3">
        <f>1666.1+(300.4-691.3)+(-4.248555+(-0.76602--1.762815))+0-28.7--0.0731849999999958</f>
        <v>1243.3214249999996</v>
      </c>
      <c r="U54" s="3">
        <f>1711.2+(311.5-765)+(-3.490848+(-0.63546--1.5606))+0-29.4--0.0599759999999987</f>
        <v>1225.7942679999999</v>
      </c>
      <c r="V54" s="3">
        <f>1707.2+(317.2-758.5)+(-2.612016+(-0.485316--1.160505))+0-29.4--0.0449820000000017</f>
        <v>1234.6081549999999</v>
      </c>
      <c r="W54" s="3">
        <f>1670.2+(318.5-733.4)+(-5.110812+(-0.97461--2.244204))+0-29.8--0.0911880000000034</f>
        <v>1221.7499700000003</v>
      </c>
      <c r="X54" s="3">
        <f>1540+(301.4-613.8)+(-3.927+(-0.76857--1.56519))+0-29.2--0.0744599999999958</f>
        <v>1195.3440799999998</v>
      </c>
      <c r="Y54" s="3">
        <f>1584.7+(294.4-649.9)+(0+(0-0))+0-28.5-0</f>
        <v>1200.7</v>
      </c>
      <c r="Z54" s="3">
        <f>1705.6+(327.2-608.2)+(-3.479424+(-0.667488--1.240728))+0-29.3--0.0597719999999987</f>
        <v>1392.4535880000001</v>
      </c>
      <c r="AA54" s="3">
        <f>1711.4+(350-469.1)+(-2.618442+(-0.5355--0.717723))+0-29.7--0.0454410000000017</f>
        <v>1560.2092220000002</v>
      </c>
      <c r="AB54" s="3">
        <f>1702.6+(352-504.9)+(0+(0-0))+0-28.4-0</f>
        <v>1521.2999999999997</v>
      </c>
      <c r="AC54" s="3">
        <f>1566.2+(345.7-458.7)+(-1.597524+(-0.352614--0.467874))+0-28.5--0.0290700000000045</f>
        <v>1423.2468060000001</v>
      </c>
      <c r="AD54">
        <v>1575.7999999999997</v>
      </c>
      <c r="AE54" s="3">
        <f>1719+(332.4-446.6)+(0+(0-0))+0-30.4-0</f>
        <v>1574.3999999999999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1470.5+(331.3-517)+(-2.249865+(-0.506889--0.79101))+0-27.3--0.0417690000000016</f>
        <v>1255.5760249999998</v>
      </c>
      <c r="G55" s="3">
        <f>1472+(317.7-633.8)+(-3.7536+(-0.810135--1.61619))+0-27.9--0.0711449999999959</f>
        <v>1125.1235999999999</v>
      </c>
      <c r="H55" s="3">
        <f>1471.1+(313.4-691.4)+(0.750261+(0.159834-0.352614))+0-27.6-0.0140759999999972</f>
        <v>1066.0434050000001</v>
      </c>
      <c r="I55" s="3">
        <f>1472+(311.5-708.4)+(-3.00288+(-0.63546--1.445136))+0-27.9--0.0569159999999988</f>
        <v>1045.0637119999999</v>
      </c>
      <c r="J55" s="3">
        <f>1469.9+(312.1-707.5)+(-2.248947+(-0.477513--1.082475))+0-28.1--0.0429930000000016</f>
        <v>1044.7990080000002</v>
      </c>
      <c r="K55" s="3">
        <f>1470.8+(314.5-688.3)+(-3.000432+(-0.64158--1.404132))+0-27.6--0.0563039999999988</f>
        <v>1067.2184240000001</v>
      </c>
      <c r="L55" s="3">
        <f>1472.5+(316.9-693.7)+(-3.754875+(-0.808095--1.768935))+0-27.8--0.070889999999996</f>
        <v>1065.1768549999999</v>
      </c>
      <c r="M55" s="3">
        <f>1684.1+(313.9-754.6)+(0+(0-0))+0-28.3-0</f>
        <v>1215.0999999999999</v>
      </c>
      <c r="N55" s="3">
        <f>1855.6+(310.1-746.4)+(-4.73178+(-0.790755--1.90332))+0-29.9--0.0762449999999957</f>
        <v>1385.8570299999999</v>
      </c>
      <c r="O55" s="3">
        <f>2011.7+(313.6-762.7)+(-3.077901+(-0.479808--1.166931))+0-30--0.0459000000000017</f>
        <v>1530.255122</v>
      </c>
      <c r="P55" s="3">
        <f>2030.5+(319.6-707.3)+(-2.07111+(-0.325992--0.721446))+0-29.8--0.0303960000000048</f>
        <v>1611.3547400000004</v>
      </c>
      <c r="Q55" s="3">
        <f>2034.7+(320.5-668.6)+(0+(0-0))+0-29.4-0</f>
        <v>1657.1999999999998</v>
      </c>
      <c r="R55" s="3">
        <f>1996+(322.3-638.8)+(-3.05388+(-0.493119--0.977364))+0-28.2--0.0431460000000016</f>
        <v>1648.7735109999999</v>
      </c>
      <c r="S55" s="3">
        <f>1970.6+(322.8-658.2)+(-4.020024+(-0.658512--1.342728))+0-27.9--0.0569159999999988</f>
        <v>1604.0211079999997</v>
      </c>
      <c r="T55" s="3">
        <f>2009.1+(323.3-749.2)+(-4.098564+(-0.659532--1.528368))+0-29.4--0.0599759999999987</f>
        <v>1550.6302479999997</v>
      </c>
      <c r="U55" s="3">
        <f>2038.8+(321.9-782.8)+(-1.039788+(-0.164169--0.399228))+0-30.2--0.0154019999999969</f>
        <v>1546.9106730000001</v>
      </c>
      <c r="V55" s="3">
        <f>1981.4+(315.6-718.3)+(0+(0-0))+0-29.5-0</f>
        <v>1549.2000000000003</v>
      </c>
      <c r="W55" s="3">
        <f>1966.8+(312.9-692.2)+(-6.018408+(-0.957474--2.118132))+0-30.3--0.0927180000000035</f>
        <v>1552.4349680000003</v>
      </c>
      <c r="X55" s="3">
        <f>1807.1+(320.7-586.4)+(-8.294589+(-1.472013--2.691576))+0-29--0.133110000000005</f>
        <v>1505.4580839999999</v>
      </c>
      <c r="Y55" s="3">
        <f>1788.9+(311.4-591.9)+(-1.824678+(-0.317628--0.603738))+0-27.9--0.0284580000000044</f>
        <v>1478.9898900000001</v>
      </c>
      <c r="Z55" s="3">
        <f>1861+(338.1-562.4)+(-2.84733+(-0.517293--0.860472))+0-28.7--0.0439110000000017</f>
        <v>1605.5397599999999</v>
      </c>
      <c r="AA55" s="3">
        <f>1927.3+(338.4-516.6)+(-2.948769+(-0.517752--0.790398))+0-28.1--0.0429930000000016</f>
        <v>1718.3668700000001</v>
      </c>
      <c r="AB55" s="3">
        <f>1930+(325.5-593)+(-0.9843+(-0.166005--0.30243))+0-28.7--0.0146369999999971</f>
        <v>1632.966762</v>
      </c>
      <c r="AC55" s="3">
        <f>1924.5+(315.2-710.1)+(-1.96299+(-0.321504--0.724302))+0-28.9--0.0294780000000046</f>
        <v>1499.1692859999998</v>
      </c>
      <c r="AD55">
        <v>1758.1999999999998</v>
      </c>
      <c r="AE55" s="3">
        <f>1934+(340.9-467.1)+(0+(0-0))+0-28-0</f>
        <v>1779.8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1783.2+(310.3-714.6)+(-1.818864+(-0.316506--0.728892))+0-29.3--0.0298860000000047</f>
        <v>1348.2234080000001</v>
      </c>
      <c r="G56" s="3">
        <f>1643.9+(305.6-684.4)+(-5.030334+(-0.935136--2.094264))+0-29.4--0.0899640000000034</f>
        <v>1231.918758</v>
      </c>
      <c r="H56" s="3">
        <f>1591.9+(306-704.6)+(-2.435607+(-0.46818--1.078038))+0-29.4--0.0449820000000017</f>
        <v>1162.1192329999999</v>
      </c>
      <c r="I56" s="3">
        <f>1593.7+(305.8-743.8)+(-1.625574+(-0.311916--0.758676))+0-27.7--0.0282540000000044</f>
        <v>1126.84944</v>
      </c>
      <c r="J56" s="3">
        <f>1593.9+(306.1-744.4)+(-3.251556+(-0.624444--1.518576))+0-28.3--0.0577319999999988</f>
        <v>1125.0003080000001</v>
      </c>
      <c r="K56" s="3">
        <f>1593.8+(305.7-733)+(-5.689866+(-1.091349--2.61681))+0-28.7--0.102459</f>
        <v>1133.7380539999999</v>
      </c>
      <c r="L56" s="3">
        <f>1593.5+(305.6-744)+(-1.62537+(-0.311712--0.75888))+0-28.8--0.0293760000000046</f>
        <v>1125.1511739999999</v>
      </c>
      <c r="M56" s="3">
        <f>1645.7+(317.4-706.7)+(0.839307+(0.161874-0.360417))+0-30.1-0.0153509999999969</f>
        <v>1226.9254130000002</v>
      </c>
      <c r="N56" s="3">
        <f>2027.8+(310.1-897)+(2.068356+(0.316302-0.91494))+0-30.7-0.0313140000000049</f>
        <v>1411.638404</v>
      </c>
      <c r="O56" s="3">
        <f>2138.5+(303.5-868.6)+(3.271905+(0.464355-1.328958))+0-31-0.0474300000000018</f>
        <v>1544.7598720000001</v>
      </c>
      <c r="P56" s="3">
        <f>2183.6+(317.2-889.2)+(1.113636+(0.161772-0.453492))+0-31-0.0158099999999969</f>
        <v>1581.4061059999999</v>
      </c>
      <c r="Q56" s="3">
        <f>2178.3+(309.4-816.1)+(-3.332799+(-0.473382--1.248633))+0-30.3--0.0463590000000018</f>
        <v>1638.7888110000001</v>
      </c>
      <c r="R56" s="3">
        <f>2167.1+(308.7-804.1)+(3.315663+(0.472311-1.230273))+0-30-0.0459000000000017</f>
        <v>1644.2118009999997</v>
      </c>
      <c r="S56" s="3">
        <f>2153.9+(306.6-840.6)+(-2.196978+(-0.312732--0.857412))+0-29.1--0.0296820000000046</f>
        <v>1589.1773840000003</v>
      </c>
      <c r="T56" s="3">
        <f>2136+(311.8-862.8)+(-1.08936+(-0.159018--0.440028))+0-30.4--0.0155039999999969</f>
        <v>1553.8071539999999</v>
      </c>
      <c r="U56" s="3">
        <f>2140.1+(312.7-862.9)+(-4.365804+(-0.637908--1.760316))+0-30.6--0.0624239999999987</f>
        <v>1556.1190279999998</v>
      </c>
      <c r="V56" s="3">
        <f>2006+(315.9-745.1)+(-2.04612+(-0.322218--0.760002))+0-30.2--0.0308040000000048</f>
        <v>1545.0224679999999</v>
      </c>
      <c r="W56" s="3">
        <f>1932.2+(310.4-673.1)+(-5.912532+(-0.949824--2.059686))+0-29.9--0.0914940000000034</f>
        <v>1534.8888239999999</v>
      </c>
      <c r="X56" s="3">
        <f>1828.5+(305.7-600.7)+(-3.73014+(-0.623628--1.225428))+0-30.6--0.0624239999999987</f>
        <v>1499.8340840000001</v>
      </c>
      <c r="Y56" s="3">
        <f>1844.9+(285.6-665.9)+(-0.940899+(-0.145656--0.339609))+0-29.8--0.015197999999997</f>
        <v>1434.0682520000003</v>
      </c>
      <c r="Z56" s="3">
        <f>2003.5+(292-680.4)+(-2.04357+(-0.29784--0.694008))+0-30.4--0.0310080000000048</f>
        <v>1583.0836059999997</v>
      </c>
      <c r="AA56" s="3">
        <f>1980.3+(330.4-518.4)+(-3.029859+(-0.505512--0.793152))+0-28.1--0.0429930000000016</f>
        <v>1761.5007740000001</v>
      </c>
      <c r="AB56" s="3">
        <f>1888.7+(323.5-510.7)+(0+(0-0))+0-28-0</f>
        <v>1673.5</v>
      </c>
      <c r="AC56" s="3">
        <f>1812.3+(317.9-558.9)+(-2.772819+(-0.486387--0.855117))+0-28.7--0.0439110000000017</f>
        <v>1540.2398219999998</v>
      </c>
      <c r="AD56">
        <v>1765.1</v>
      </c>
      <c r="AE56" s="3">
        <f>2102+(305.7-668)+(0+(0-0))+0-29.6-0</f>
        <v>1710.1000000000001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1765.9+(304.6-683.1)+(-4.503045+(-0.77673--1.741905))+0-28.5--0.0726749999999959</f>
        <v>1355.4348049999999</v>
      </c>
      <c r="G57" s="3">
        <f>1629.2+(304.8-664.8)+(-4.15446+(-0.77724--1.69524))+0-28.1--0.0716549999999959</f>
        <v>1237.935195</v>
      </c>
      <c r="H57" s="3">
        <f>1499.4+(315.2-606.2)+(-3.82347+(-0.80376--1.54581))+0-28.1--0.0716549999999959</f>
        <v>1177.2902350000002</v>
      </c>
      <c r="I57" s="3">
        <f>1500.3+(314-624.1)+(-1.530306+(-0.32028--0.636582))+0-27.9--0.0284580000000044</f>
        <v>1161.1144539999998</v>
      </c>
      <c r="J57" s="3">
        <f>1502.8+(312.4-642.8)+(-0.766428+(-0.159324--0.327828))+0-27.8--0.0141779999999972</f>
        <v>1144.0162540000001</v>
      </c>
      <c r="K57" s="3">
        <f>1501.7+(312.5-639.9)+(-2.297601+(-0.478125--0.979047))+0-28.5--0.0436050000000016</f>
        <v>1144.0469260000002</v>
      </c>
      <c r="L57" s="3">
        <f>1465.5+(311.8-617)+(-1.49481+(-0.318036--0.62934))+0-29.1--0.0296820000000046</f>
        <v>1130.0461760000001</v>
      </c>
      <c r="M57" s="3">
        <f>1460.6+(308.7-494.4)+(0+(0-0))+0-29.9-0</f>
        <v>1244.9999999999998</v>
      </c>
      <c r="N57" s="3">
        <f>1499.3+(321.6-364.6)+(1.529286+(0.328032-0.371892))+0-25.1-0.025602000000004</f>
        <v>1432.6598240000001</v>
      </c>
      <c r="O57" s="3">
        <f>1824.4+(320.2-546.2)+(0+(0-0))+0-24.9-0</f>
        <v>1573.5</v>
      </c>
      <c r="P57" s="3">
        <f>1894.2+(313.7-543.7)+(0+(0-0))+0-30.4-0</f>
        <v>1633.8</v>
      </c>
      <c r="Q57" s="3">
        <f>2029.5+(260.1-582.5)+(1.035045+(0.132651-0.297075))+0-31-0.0158099999999969</f>
        <v>1676.9548109999998</v>
      </c>
      <c r="R57" s="3">
        <f>1993.1+(247.4-541.5)+(-3.049443+(-0.378522--0.828495))+0-29.8--0.0455940000000017</f>
        <v>1666.6461239999999</v>
      </c>
      <c r="S57" s="3">
        <f>2016.4+(240-612.6)+(-1.028364+(-0.1224--0.312426))+0-28.6--0.0145859999999971</f>
        <v>1614.3762480000003</v>
      </c>
      <c r="T57" s="3">
        <f>1991.4+(240.8-622.3)+(-6.093684+(-0.736848--1.904238))+0-30.1--0.0921060000000035</f>
        <v>1574.9658120000001</v>
      </c>
      <c r="U57" s="3">
        <f>1996+(285.8-671.9)+(-6.10776+(-0.874548--2.056014))+0-30.5--0.0933300000000035</f>
        <v>1574.5670359999999</v>
      </c>
      <c r="V57" s="3">
        <f>1983.7+(283-675)+(-7.081809+(-1.01031--2.40975))+0-30.1--0.107457</f>
        <v>1556.0250880000001</v>
      </c>
      <c r="W57" s="3">
        <f>1899.7+(251.2-581.3)+(-7.750776+(-1.024896--2.371704))+0-30.7--0.125255999999997</f>
        <v>1532.621288</v>
      </c>
      <c r="X57" s="3">
        <f>1757.6+(251.3-490.3)+(-6.274632+(-0.897141--1.750371))+0-28.6--0.102102</f>
        <v>1484.6807000000001</v>
      </c>
      <c r="Y57" s="3">
        <f>1721+(263-514.7)+(-3.51084+(-0.53652--1.049988))+0-27.8--0.0567119999999988</f>
        <v>1438.55934</v>
      </c>
      <c r="Z57" s="3">
        <f>1935.4+(335.7-650.6)+(-5.922324+(-1.027242--1.990836))+0-28.1--0.0859860000000033</f>
        <v>1587.5272560000001</v>
      </c>
      <c r="AA57" s="3">
        <f>1971.8+(355-514.2)+(-4.022472+(-0.7242--1.048968))+0-28.3--0.0577319999999988</f>
        <v>1780.660028</v>
      </c>
      <c r="AB57" s="3">
        <f>1954.5+(345.7-547.6)+(-3.98718+(-0.705228--1.117104))+0-29.1--0.0593639999999987</f>
        <v>1719.98406</v>
      </c>
      <c r="AC57" s="3">
        <f>1865.3+(328.5-579)+(-2.853909+(-0.502605--0.88587))+0-29.5--0.0451350000000017</f>
        <v>1582.874491</v>
      </c>
      <c r="AD57">
        <v>1762.3000000000002</v>
      </c>
      <c r="AE57" s="3">
        <f>1966+(349.4-495.1)+(0+(0-0))+0-28.8-0</f>
        <v>1791.5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1641+(299.2-558.3)+(-1.67382+(-0.305184--0.569466))+0-28.8--0.0293760000000046</f>
        <v>1351.719838</v>
      </c>
      <c r="G58" s="3">
        <f>1625.3+(304-655.7)+(-3.315612+(-0.62016--1.337628))+0-28.7--0.0585479999999987</f>
        <v>1242.3604039999998</v>
      </c>
      <c r="H58" s="3">
        <f>1560.6+(314.7-669.2)+(-1.591812+(-0.320994--0.682584))+0-28.1--0.0286620000000045</f>
        <v>1176.79844</v>
      </c>
      <c r="I58" s="3">
        <f>1533+(310.6-670.6)+(-3.12732+(-0.633624--1.368024))+0-28.4--0.0579359999999988</f>
        <v>1142.2650159999998</v>
      </c>
      <c r="J58" s="3">
        <f>1500.6+(310.4-645.2)+(-2.295918+(-0.474912--0.987156))+0-28.1--0.0429930000000016</f>
        <v>1135.9593189999998</v>
      </c>
      <c r="K58" s="3">
        <f>1500.7+(311.4-634.2)+(-4.592142+(-0.952884--1.940652))+0-28.2--0.0862920000000033</f>
        <v>1146.181918</v>
      </c>
      <c r="L58" s="3">
        <f>1475.4+(309.5-623.7)+(-3.76227+(-0.789225--1.590435))+0-28.4--0.0724199999999959</f>
        <v>1129.9113599999998</v>
      </c>
      <c r="M58" s="3">
        <f>1472.1+(293.4-501.3)+(-0.750771+(-0.149634--0.255663))+0-30--0.015299999999997</f>
        <v>1233.5705579999999</v>
      </c>
      <c r="N58" s="3">
        <f>1696.2+(297.6-539.5)+(0+(0-0))+0-29.9-0</f>
        <v>1424.4</v>
      </c>
      <c r="O58" s="3">
        <f>1844+(275.2-530.5)+(-0.94044+(-0.140352--0.270555))+0-30.1--0.0153509999999969</f>
        <v>1557.8051140000002</v>
      </c>
      <c r="P58" s="3">
        <f>1844+(291.4-500.8)+(0.94044+(0.148614-0.255408))+0-30.7-0.0156569999999969</f>
        <v>1604.717989</v>
      </c>
      <c r="Q58" s="3">
        <f>1855.7+(328.5-501.1)+(1.892814+(0.33507-0.511122))+0-30.2-0.0308040000000048</f>
        <v>1654.5859579999999</v>
      </c>
      <c r="R58" s="3">
        <f>1849.6+(319.6-507.2)+(-1.886592+(-0.325992--0.517344))+0-28.7--0.0292740000000046</f>
        <v>1631.6340339999999</v>
      </c>
      <c r="S58" s="3">
        <f>1847+(288.2-528.3)+(-4.70985+(-0.73491--1.347165))+0-28.2--0.0719099999999959</f>
        <v>1574.674315</v>
      </c>
      <c r="T58" s="3">
        <f>1846.5+(289.5-598.2)+(0+(0-0))+0-29.9-0</f>
        <v>1507.8999999999999</v>
      </c>
      <c r="U58" s="3">
        <f>1842.4+(269.7-541.1)+(-2.818872+(-0.412641--0.827883))+0-29.9--0.0457470000000017</f>
        <v>1538.7421169999998</v>
      </c>
      <c r="V58" s="3">
        <f>1837.3+(270.5-522.1)+(-1.874046+(-0.27591--0.532542))+0-30.2--0.0308040000000048</f>
        <v>1553.9133899999997</v>
      </c>
      <c r="W58" s="3">
        <f>1755.7+(292.1-462.5)+(-5.372442+(-0.893826--1.41525))+0-29.5--0.0902700000000034</f>
        <v>1551.039252</v>
      </c>
      <c r="X58" s="3">
        <f>1721.2+(293.5-469)+(-5.266872+(-0.89811--1.43514))+0-29.6--0.0905760000000034</f>
        <v>1511.4607340000002</v>
      </c>
      <c r="Y58" s="3">
        <f>1752.8+(296.2-528.7)+(-2.681784+(-0.453186--0.808911))+0-29.8--0.0455940000000017</f>
        <v>1488.219535</v>
      </c>
      <c r="Z58" s="3">
        <f>1860.9+(340-557.3)+(-3.796236+(-0.6936--1.136892))+0-30.7--0.0626279999999987</f>
        <v>1609.609684</v>
      </c>
      <c r="AA58" s="3">
        <f>1864.8+(373.8-455.8)+(-4.75524+(-0.95319--1.16229))+0-28.7--0.0731849999999958</f>
        <v>1749.627045</v>
      </c>
      <c r="AB58" s="3">
        <f>1764.6+(370.5-430.5)+(0+(0-0))+0-28.6-0</f>
        <v>1676</v>
      </c>
      <c r="AC58" s="3">
        <f>1755.9+(338.5-524.9)+(-3.582036+(-0.69054--1.070796))+0-28.5--0.0581399999999988</f>
        <v>1537.85636</v>
      </c>
      <c r="AD58">
        <v>1778.6000000000004</v>
      </c>
      <c r="AE58" s="3">
        <f>1880.4+(370.9-424.5)+(0+(0-0))+0-28-0</f>
        <v>1798.8000000000002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1515.7+(345.5-462.4)+(-3.092028+(-0.70482--0.943296))+0-28.3--0.0577319999999988</f>
        <v>1367.7041800000002</v>
      </c>
      <c r="G59" s="3">
        <f>1481.7+(315.3-525)+(-1.511334+(-0.321606--0.5355))+0-29--0.0295800000000046</f>
        <v>1241.7321399999998</v>
      </c>
      <c r="H59" s="3">
        <f>1486.1+(310.7-573.5)+(-0.757911+(-0.158457--0.292485))+0-29--0.0147899999999971</f>
        <v>1193.6909069999999</v>
      </c>
      <c r="I59" s="3">
        <f>1486.1+(310-601)+(-1.515822+(-0.3162--0.61302))+0-28.3--0.0288660000000045</f>
        <v>1165.609864</v>
      </c>
      <c r="J59" s="3">
        <f>1489.4+(306-610.9)+(0+(0-0))+0-28.5-0</f>
        <v>1156</v>
      </c>
      <c r="K59" s="3">
        <f>1487+(307.7-598.3)+(-3.03348+(-0.627708--1.220532))+0-28.4--0.0579359999999988</f>
        <v>1165.6172799999999</v>
      </c>
      <c r="L59" s="3">
        <f>1460.8+(308.2-576.9)+(-3.72504+(-0.78591--1.471095))+0-28.4--0.0724199999999959</f>
        <v>1160.7325649999998</v>
      </c>
      <c r="M59" s="3">
        <f>1503.9+(299.8-504.9)+(0+(0-0))+0-29.7-0</f>
        <v>1269.1000000000001</v>
      </c>
      <c r="N59" s="3">
        <f>1629.2+(300.5-443)+(-0.830892+(-0.153255--0.22593))+0-30--0.015299999999997</f>
        <v>1455.957083</v>
      </c>
      <c r="O59" s="3">
        <f>1888.6+(311.6-596.4)+(-0.963186+(-0.158916--0.304164))+0-30.1--0.0153509999999969</f>
        <v>1572.8974130000001</v>
      </c>
      <c r="P59" s="3">
        <f>2115.9+(306-716.9)+(-2.158218+(-0.31212--0.731238))+0-30.5--0.0311100000000049</f>
        <v>1672.7920099999999</v>
      </c>
      <c r="Q59" s="3">
        <f>2141.9+(306.7-702.9)+(1.092369+(0.156417-0.358479))+0-30.5-0.0155549999999969</f>
        <v>1716.074752</v>
      </c>
      <c r="R59" s="3">
        <f>2142.4+(327.9-744.6)+(-1.092624+(-0.167229--0.379746))+0-29--0.0147899999999971</f>
        <v>1695.834683</v>
      </c>
      <c r="S59" s="3">
        <f>2140.7+(319.8-778.1)+(1.091757+(0.163098-0.396831))+0-28.6-0.0145859999999971</f>
        <v>1654.6434379999998</v>
      </c>
      <c r="T59" s="3">
        <f>2130.5+(290.7-762.6)+(-1.086555+(-0.148257--0.388926))+0-29--0.0147899999999971</f>
        <v>1628.7689039999998</v>
      </c>
      <c r="U59" s="3">
        <f>2124.9+(274.6-761.5)+(-5.418495+(-0.70023--1.941825))+0-29.5--0.0752249999999957</f>
        <v>1604.3983250000001</v>
      </c>
      <c r="V59" s="3">
        <f>2126.8+(278.8-767.7)+(-4.338672+(-0.568752--1.566108))+0-29.3--0.0597719999999987</f>
        <v>1605.3184560000002</v>
      </c>
      <c r="W59" s="3">
        <f>2120.6+(265.5-792.6)+(-5.40753+(-0.677025--2.02113))+0-29.5--0.0752249999999957</f>
        <v>1560.0118</v>
      </c>
      <c r="X59" s="3">
        <f>2034.8+(259.8-738.5)+(-7.264236+(-0.927486--2.636445))+0-28.5--0.101745</f>
        <v>1522.1464679999999</v>
      </c>
      <c r="Y59" s="3">
        <f>1838.7+(270.7-596.8)+(-1.875474+(-0.276114--0.608736))+0-29.2--0.0297840000000047</f>
        <v>1481.8869320000001</v>
      </c>
      <c r="Z59" s="3">
        <f>1967+(303.2-619.9)+(-2.00634+(-0.309264--0.632298))+0-29.4--0.0299880000000047</f>
        <v>1619.246682</v>
      </c>
      <c r="AA59" s="3">
        <f>2161.3+(305-663)+(-4.409052+(-0.6222--1.35252))+0-28.4--0.0579359999999988</f>
        <v>1771.2792039999999</v>
      </c>
      <c r="AB59" s="3">
        <f>2082.1+(321-671.1)+(-5.309355+(-0.81855--1.711305))+0-28.7--0.0731849999999958</f>
        <v>1698.9565849999999</v>
      </c>
      <c r="AC59" s="3">
        <f>1945.7+(321.1-681.4)+(-0.992307+(-0.163761--0.347514))+0-28.6--0.0145859999999971</f>
        <v>1556.0060320000002</v>
      </c>
      <c r="AD59">
        <v>1757.2</v>
      </c>
      <c r="AE59" s="3">
        <f>2165.4+(297.7-676.3)+(0+(0-0))+0-29.6-0</f>
        <v>1757.2000000000003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1760+(303.1-668.1)+(-4.488+(-0.772905--1.703655))+0-28.4--0.0724199999999959</f>
        <v>1363.1151699999998</v>
      </c>
      <c r="G60" s="3">
        <f>1466.3+(305.2-530.7)+(-0.747813+(-0.155652--0.270657))+0-28.5--0.0145349999999971</f>
        <v>1211.6817269999999</v>
      </c>
      <c r="H60" s="3">
        <f>1458.7+(304.4-571.6)+(-2.975748+(-0.620976--1.166064))+0-28.7--0.0585479999999987</f>
        <v>1160.4278879999999</v>
      </c>
      <c r="I60" s="3">
        <f>1457.5+(304.1-599.2)+(-3.716625+(-0.775455--1.52796))+0-27.2--0.0693599999999961</f>
        <v>1132.3052399999999</v>
      </c>
      <c r="J60" s="3">
        <f>1438.6+(304-579.6)+(-2.201058+(-0.46512--0.886788))+0-27.8--0.0425340000000016</f>
        <v>1133.4631440000001</v>
      </c>
      <c r="K60" s="3">
        <f>1423.3+(303.6-560.9)+(-2.177649+(-0.464508--0.858177))+0-28.1--0.0429930000000016</f>
        <v>1136.1590130000002</v>
      </c>
      <c r="L60" s="3">
        <f>1423.4+(303.8-578.6)+(-0.725934+(-0.154938--0.295086))+0-28.1--0.0143309999999971</f>
        <v>1119.9285450000002</v>
      </c>
      <c r="M60" s="3">
        <f>1478+(301.7-538.4)+(-0.75378+(-0.153867--0.274584))+0-29.5--0.015044999999997</f>
        <v>1211.1819820000001</v>
      </c>
      <c r="N60" s="3">
        <f>1838.3+(287.4-713.8)+(0.937533+(0.146574-0.364038))+0-30.4-0.0155039999999969</f>
        <v>1382.204565</v>
      </c>
      <c r="O60" s="3">
        <f>1872.2+(287.2-603.2)+(-2.864466+(-0.439416--0.922896))+0-30.7--0.0469710000000018</f>
        <v>1523.1659850000001</v>
      </c>
      <c r="P60" s="3">
        <f>2051+(278-689.5)+(-2.09202+(-0.28356--0.70329))+0-30.3--0.0309060000000048</f>
        <v>1607.558616</v>
      </c>
      <c r="Q60" s="3">
        <f>2054.3+(283.5-652.2)+(-2.095386+(-0.28917--0.665244))+0-30.2--0.0308040000000048</f>
        <v>1653.7114920000001</v>
      </c>
      <c r="R60" s="3">
        <f>2054.5+(272.1-664.2)+(1.047795+(0.138771-0.338742))+0-28.8-0.0146879999999971</f>
        <v>1634.4331360000001</v>
      </c>
      <c r="S60" s="3">
        <f>2052.5+(272-728.9)+(-1.046775+(-0.13872--0.371739))+0-28.3--0.0144329999999971</f>
        <v>1566.500677</v>
      </c>
      <c r="T60" s="3">
        <f>2051.1+(260.2-771.2)+(1.046061+(0.132702-0.393312))+0-30.1-0.0153509999999969</f>
        <v>1510.7701</v>
      </c>
      <c r="U60" s="3">
        <f>2048.6+(249.2-793)+(-3.134358+(-0.381276--1.21329))+0-30.5--0.0466650000000018</f>
        <v>1472.0443210000001</v>
      </c>
      <c r="V60" s="3">
        <f>2047.7+(250-807.5)+(-1.044327+(-0.1275--0.411825))+0-30.2--0.0154019999999969</f>
        <v>1459.2554</v>
      </c>
      <c r="W60" s="3">
        <f>2044.8+(211-762.6)+(-5.21424+(-0.53805--1.94463))+0-30.5--0.0777749999999956</f>
        <v>1458.9701149999999</v>
      </c>
      <c r="X60" s="3">
        <f>1841.8+(159.8-590.9)+(-4.69659+(-0.40749--1.506795))+0-30.7--0.0782849999999955</f>
        <v>1376.481</v>
      </c>
      <c r="Y60" s="3">
        <f>1787.4+(175-569.6)+(-2.734722+(-0.26775--0.871488))+0-31.5--0.0481950000000018</f>
        <v>1359.2172110000004</v>
      </c>
      <c r="Z60" s="3">
        <f>1982.7+(296.9-752.8)+(-3.033531+(-0.454257--1.151784))+0-29.7--0.0454410000000017</f>
        <v>1494.8094370000001</v>
      </c>
      <c r="AA60" s="3">
        <f>1995.9+(323.7-631)+(-5.089545+(-0.825435--1.60905))+0-29.1--0.0742049999999958</f>
        <v>1655.2682750000001</v>
      </c>
      <c r="AB60" s="3">
        <f>1905.5+(333.7-603.2)+(-1.94361+(-0.340374--0.615264))+0-28.5--0.0290700000000045</f>
        <v>1605.8603500000002</v>
      </c>
      <c r="AC60" s="3">
        <f>1789.5+(329.5-593.8)+(0+(0-0))+0-28.8-0</f>
        <v>1496.4</v>
      </c>
      <c r="AD60">
        <v>1675.9</v>
      </c>
      <c r="AE60" s="3">
        <f>2073.5+(302.4-688.8)+(0+(0-0))+0-27.2-0</f>
        <v>1659.8999999999999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1376.7+(336.9-317.6)+(0+(0-0))+0-29.1-0</f>
        <v>1366.9</v>
      </c>
      <c r="G61" s="3">
        <f>1244.5+(326.5-332.4)+(-2.53878+(-0.66606--0.678096))+0-28.7--0.0585479999999987</f>
        <v>1207.4318039999998</v>
      </c>
      <c r="H61" s="3">
        <f>1222.5+(320.4-370.8)+(0+(0-0))+0-29.3-0</f>
        <v>1142.8</v>
      </c>
      <c r="I61" s="3">
        <f>1165.2+(320.6-349.5)+(-0.594252+(-0.163506--0.178245))+0-29.3--0.014942999999997</f>
        <v>1106.4354300000002</v>
      </c>
      <c r="J61" s="3">
        <f>1123.8+(320.5-329.8)+(0+(0-0))+0-29-0</f>
        <v>1085.5</v>
      </c>
      <c r="K61" s="3">
        <f>1123.9+(320.8-324.1)+(-2.292756+(-0.654432--0.661164))+0-28.7--0.0585479999999987</f>
        <v>1089.6725240000001</v>
      </c>
      <c r="L61" s="3">
        <f>1056.7+(319.4-309)+(-4.850253+(-1.466046--1.41831))+0-28.2--0.129438000000005</f>
        <v>1034.1314489999997</v>
      </c>
      <c r="M61" s="3">
        <f>978.8+(327.5-222.8)+(0.499188+(0.167025-0.113628))+0-29.7-0.015146999999997</f>
        <v>1054.3374379999998</v>
      </c>
      <c r="N61" s="3">
        <f>1053.4+(328.5-198.1)+(-1.074468+(-0.33507--0.202062))+0-30.1--0.0307020000000048</f>
        <v>1152.5232260000002</v>
      </c>
      <c r="O61" s="3">
        <f>1219.9+(307.4-237.5)+(0+(0-0))+0-29.7-0</f>
        <v>1260.1000000000001</v>
      </c>
      <c r="P61" s="3">
        <f>1387.4+(314.9-331.9)+(-0.707574+(-0.160599--0.169269))+0-30.2--0.0154019999999969</f>
        <v>1339.516498</v>
      </c>
      <c r="Q61" s="3">
        <f>1420.4+(310.6-327.1)+(1.448808+(0.316812-0.333642))+0-31-0.0316200000000049</f>
        <v>1374.3003580000002</v>
      </c>
      <c r="R61" s="3">
        <f>1414.7+(307.4-327.7)+(-2.164491+(-0.470322--0.501381))+0-29.6--0.0452880000000017</f>
        <v>1362.7118560000001</v>
      </c>
      <c r="S61" s="3">
        <f>1410.7+(302.1-350.8)+(0+(0-0))+0-28.7-0</f>
        <v>1333.3</v>
      </c>
      <c r="T61" s="3">
        <f>1410.4+(301.4-382.7)+(-2.157912+(-0.461142--0.585531))+0-29.3--0.0448290000000017</f>
        <v>1297.8113060000001</v>
      </c>
      <c r="U61" s="3">
        <f>1411.4+(302.6-413)+(-0.719814+(-0.154326--0.21063))+0-30.6--0.0156059999999969</f>
        <v>1269.7520959999999</v>
      </c>
      <c r="V61" s="3">
        <f>1408.7+(300.1-427.5)+(0.718437+(0.153051-0.218025))+0-30.4-0.0155039999999969</f>
        <v>1251.5379590000002</v>
      </c>
      <c r="W61" s="3">
        <f>1334.7+(310.4-358.7)+(-3.403485+(-0.79152--0.914685))+0-30.7--0.0782849999999955</f>
        <v>1252.497965</v>
      </c>
      <c r="X61" s="3">
        <f>1210.8+(325-273.5)+(-3.705048+(-0.9945--0.83691))+0-30.3--0.0927180000000035</f>
        <v>1228.23008</v>
      </c>
      <c r="Y61" s="3">
        <f>1151.6+(333.9-239.2)+(-1.761948+(-0.510867--0.365976))+0-29.9--0.0457470000000017</f>
        <v>1214.5389079999998</v>
      </c>
      <c r="Z61" s="3">
        <f>1335.2+(335.4-273.1)+(0.680952+(0.171054-0.139281))+0-28.1-0.0143309999999971</f>
        <v>1370.0983940000001</v>
      </c>
      <c r="AA61" s="3">
        <f>1436.2+(351.9-185)+(0+(0-0))+0-28.7-0</f>
        <v>1574.3999999999999</v>
      </c>
      <c r="AB61" s="3">
        <f>1437+(343.1-194.1)+(0+(0-0))+0-29.1-0</f>
        <v>1556.9</v>
      </c>
      <c r="AC61" s="3">
        <f>1433.6+(327.3-257.3)+(-2.193408+(-0.500769--0.393669))+0-29.3--0.0448290000000017</f>
        <v>1472.0443209999999</v>
      </c>
      <c r="AD61">
        <v>1583.4999999999998</v>
      </c>
      <c r="AE61" s="3">
        <f>1435+(356.9-170.6)+(0+(0-0))+0-27.2-0</f>
        <v>1594.1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1419.7+(304.7-418)+(-0.724047+(-0.155397--0.21318))+0-27.3--0.0139229999999972</f>
        <v>1278.4476590000002</v>
      </c>
      <c r="G62" s="3">
        <f>1408.5+(303.3-543.3)+(-1.43667+(-0.309366--0.554166))+0-27.5--0.0280500000000044</f>
        <v>1139.8361799999998</v>
      </c>
      <c r="H62" s="3">
        <f>1431.7+(304-610.2)+(-2.190501+(-0.46512--0.933606))+0-28.1--0.0429930000000016</f>
        <v>1095.7209780000001</v>
      </c>
      <c r="I62" s="3">
        <f>1396.8+(305.3-593)+(-1.424736+(-0.311406--0.60486))+0-28.7--0.0292740000000046</f>
        <v>1079.2979919999998</v>
      </c>
      <c r="J62" s="3">
        <f>1386.8+(304-592.2)+(-2.121804+(-0.46512--0.906066))+0-28.4--0.0434520000000016</f>
        <v>1068.5625939999998</v>
      </c>
      <c r="K62" s="3">
        <f>1348.2+(307.2-547.2)+(-3.43791+(-0.78336--1.39536))+0-27.7--0.070634999999996</f>
        <v>1077.744725</v>
      </c>
      <c r="L62" s="3">
        <f>1329+(304.1-558.1)+(-0.67779+(-0.155091--0.284631))+0-28--0.0142799999999972</f>
        <v>1046.46603</v>
      </c>
      <c r="M62" s="3">
        <f>1470.1+(308.1-573.8)+(-0.749751+(-0.157131--0.292638))+0-29.8--0.015197999999997</f>
        <v>1174.0009540000001</v>
      </c>
      <c r="N62" s="3">
        <f>1608.5+(304.1-501.7)+(-0.820335+(-0.155091--0.255867))+0-30.6--0.0156059999999969</f>
        <v>1379.5960470000002</v>
      </c>
      <c r="O62" s="3">
        <f>1761.6+(300.1-512.5)+(0+(0-0))+0-30.7-0</f>
        <v>1518.4999999999998</v>
      </c>
      <c r="P62" s="3">
        <f>1818.1+(307.1-487)+(-0.927231+(-0.156621--0.24837))+0-30.9--0.0157589999999969</f>
        <v>1606.4802769999997</v>
      </c>
      <c r="Q62" s="3">
        <f>1813.5+(317-444.6)+(0+(0-0))+0-31.1-0</f>
        <v>1654.8000000000002</v>
      </c>
      <c r="R62" s="3">
        <f>1837.6+(306.7-484.1)+(0.937176+(0.156417-0.246891))+0-29.7-0.015146999999997</f>
        <v>1631.3315549999998</v>
      </c>
      <c r="S62" s="3">
        <f>1878.4+(310.3-603.5)+(-1.915968+(-0.316506--0.61557))+0-29.2--0.0297840000000047</f>
        <v>1554.4128800000001</v>
      </c>
      <c r="T62" s="3">
        <f>1935.1+(310.4-717.1)+(0.986901+(0.158304-0.365721))+0-29.9-0.015248999999997</f>
        <v>1499.2642349999996</v>
      </c>
      <c r="U62" s="3">
        <f>1932.9+(309-720)+(-0.985779+(-0.15759--0.3672))+0-30.8--0.0157079999999969</f>
        <v>1490.3395390000001</v>
      </c>
      <c r="V62" s="3">
        <f>1966.1+(306.8-730.8)+(-4.010844+(-0.625872--1.490832))+0-30.4--0.0620159999999987</f>
        <v>1508.6161319999999</v>
      </c>
      <c r="W62" s="3">
        <f>2085.8+(311.5-875.8)+(-6.382548+(-0.95319--2.679948))+0-30.1--0.0921060000000035</f>
        <v>1486.8363160000004</v>
      </c>
      <c r="X62" s="3">
        <f>1838.8+(311.3-677)+(-2.813364+(-0.476289--1.03581))+0-29.9--0.0457470000000017</f>
        <v>1440.9919039999997</v>
      </c>
      <c r="Y62" s="3">
        <f>1812.7+(308.3-702)+(-0.924477+(-0.157233--0.35802))+0-30.5--0.0155549999999969</f>
        <v>1387.7918649999999</v>
      </c>
      <c r="Z62" s="3">
        <f>2040.7+(309.1-808.3)+(-1.040757+(-0.157641--0.412233))+0-30.6--0.0156059999999969</f>
        <v>1510.129441</v>
      </c>
      <c r="AA62" s="3">
        <f>2198.3+(308.3-794.2)+(-3.363399+(-0.471699--1.215126))+0-29.9--0.0457470000000017</f>
        <v>1679.9257749999999</v>
      </c>
      <c r="AB62" s="3">
        <f>1956.3+(317.3-646.4)+(-2.993139+(-0.485469--0.988992))+0-28.2--0.0431460000000016</f>
        <v>1596.5535299999999</v>
      </c>
      <c r="AC62" s="3">
        <f>1784.1+(325.4-580.7)+(-3.639564+(-0.663816--1.184628))+0-28.7--0.0585479999999987</f>
        <v>1497.0397959999996</v>
      </c>
      <c r="AD62">
        <v>1781.5</v>
      </c>
      <c r="AE62" s="3">
        <f>2216.5+(306-765)+(0+(0-0))+0-26-0</f>
        <v>1731.5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1635.4+(329.7-636.5)+(-3.336216+(-0.672588--1.29846))+0-28.3--0.0577319999999988</f>
        <v>1297.6473880000001</v>
      </c>
      <c r="G63" s="3">
        <f>1462.4+(317.5-595.2)+(-3.72912+(-0.809625--1.51776))+0-28.5--0.0726749999999959</f>
        <v>1153.2516899999998</v>
      </c>
      <c r="H63" s="3">
        <f>1437.8+(310.8-629.1)+(-1.466556+(-0.317016--0.641682))+0-28.6--0.0291720000000046</f>
        <v>1089.787282</v>
      </c>
      <c r="I63" s="3">
        <f>1428.6+(311.5-636.9)+(-2.914344+(-0.63546--1.299276))+0-29--0.0591599999999987</f>
        <v>1072.0086319999998</v>
      </c>
      <c r="J63" s="3">
        <f>1423.6+(312-637.5)+(-5.082252+(-1.11384--2.275875))+0-28.5--0.101745</f>
        <v>1065.7815279999998</v>
      </c>
      <c r="K63" s="3">
        <f>1422.6+(309.2-636.5)+(-5.078682+(-1.103844--2.272305))+0-28--0.0999600000000004</f>
        <v>1063.4897389999999</v>
      </c>
      <c r="L63" s="3">
        <f>1431.3+(305.5-648.5)+(-2.189889+(-0.467415--0.992205))+0-27.4--0.0419220000000016</f>
        <v>1059.2768229999999</v>
      </c>
      <c r="M63" s="3">
        <f>1455.6+(316.2-577.4)+(1.484712+(0.322524-0.588948))+0-28.6-0.0291720000000046</f>
        <v>1166.989116</v>
      </c>
      <c r="N63" s="3">
        <f>1778.8+(308.6-691.1)+(0.907188+(0.157386-0.352461))+0-30.8-0.0157079999999969</f>
        <v>1366.1964050000001</v>
      </c>
      <c r="O63" s="3">
        <f>1869.1+(310.4-611.8)+(-0.953241+(-0.158304--0.312018))+0-30.4--0.0155039999999969</f>
        <v>1536.5159769999998</v>
      </c>
      <c r="P63" s="3">
        <f>2014.2+(299.1-683.2)+(-1.027242+(-0.152541--0.348432))+0-30.1--0.0153509999999969</f>
        <v>1599.184</v>
      </c>
      <c r="Q63" s="3">
        <f>2016.2+(300.5-647.9)+(-3.084786+(-0.459765--0.991287))+0-31.1--0.0475830000000018</f>
        <v>1635.1943190000004</v>
      </c>
      <c r="R63" s="3">
        <f>2024.7+(300-651.8)+(0+(0-0))+0-29-0</f>
        <v>1643.9</v>
      </c>
      <c r="S63" s="3">
        <f>2015.2+(302.6-688.5)+(-1.027752+(-0.154326--0.351135))+0-28.1--0.0143309999999971</f>
        <v>1600.3833880000004</v>
      </c>
      <c r="T63" s="3">
        <f>2017.7+(304.5-744.4)+(0+(0-0))+0-28.7-0</f>
        <v>1549.1000000000001</v>
      </c>
      <c r="U63" s="3">
        <f>2013.5+(304.7-740.9)+(-4.10754+(-0.621588--1.511436))+0-30--0.0611999999999987</f>
        <v>1544.1435080000001</v>
      </c>
      <c r="V63" s="3">
        <f>2014.1+(305-737.3)+(-3.081573+(-0.46665--1.128069))+0-29.3--0.0448290000000017</f>
        <v>1550.124675</v>
      </c>
      <c r="W63" s="3">
        <f>2012.9+(304.7-766.5)+(-3.079737+(-0.466191--1.172745))+0-29.3--0.0448290000000017</f>
        <v>1519.4716460000002</v>
      </c>
      <c r="X63" s="3">
        <f>1829+(307.8-642.6)+(-8.39511+(-1.412802--2.949534))+0-30.2--0.138618000000005</f>
        <v>1457.28024</v>
      </c>
      <c r="Y63" s="3">
        <f>1790.1+(313.9-661)+(-3.651804+(-0.640356--1.34844))+0-30.8--0.0628319999999987</f>
        <v>1409.3191120000001</v>
      </c>
      <c r="Z63" s="3">
        <f>1918.9+(319.5-683.2)+(-2.935917+(-0.488835--1.045296))+0-30.6--0.0468180000000018</f>
        <v>1522.2673620000003</v>
      </c>
      <c r="AA63" s="3">
        <f>2026.4+(322.6-607.7)+(-6.200784+(-0.987156--1.859562))+0-28.8--0.0881280000000033</f>
        <v>1707.2597500000004</v>
      </c>
      <c r="AB63" s="3">
        <f>2027.6+(317.4-658.9)+(-4.136304+(-0.647496--1.344156))+0-29.5--0.0601799999999987</f>
        <v>1653.2205359999998</v>
      </c>
      <c r="AC63" s="3">
        <f>2031.2+(314.4-778.4)+(-1.035912+(-0.160344--0.396984))+0-28.8--0.0146879999999971</f>
        <v>1537.6154160000001</v>
      </c>
      <c r="AD63">
        <v>1776.5</v>
      </c>
      <c r="AE63" s="3">
        <f>2021.8+(320-561.1)+(0+(0-0))+0-24.8-0</f>
        <v>1755.8999999999999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1844.8+(317.6-776.6)+(-4.70424+(-0.80988--1.98033))+0-28.5--0.0726749999999959</f>
        <v>1353.8388849999999</v>
      </c>
      <c r="G64" s="3">
        <f>1672.9+(317-749.8)+(-0.853179+(-0.16167--0.382398))+0-28.4--0.0144839999999971</f>
        <v>1211.0820330000001</v>
      </c>
      <c r="H64" s="3">
        <f>1538.2+(317.1-691.4)+(1.568964+(0.323442-0.705228))+0-28.8-0.0293760000000046</f>
        <v>1136.2578020000001</v>
      </c>
      <c r="I64" s="3">
        <f>1532.3+(317.4-707.6)+(-2.344419+(-0.485622--1.082628))+0-28.1--0.0429930000000016</f>
        <v>1112.29558</v>
      </c>
      <c r="J64" s="3">
        <f>1523.8+(317.4-694.6)+(-3.108552+(-0.647496--1.416984))+0-28.9--0.0589559999999987</f>
        <v>1115.4198919999999</v>
      </c>
      <c r="K64" s="3">
        <f>1508.7+(317.8-671.5)+(-6.155496+(-1.296624--2.73972))+0-27.5--0.112199999999998</f>
        <v>1122.8998000000001</v>
      </c>
      <c r="L64" s="3">
        <f>1509.5+(317.7-690)+(-5.388915+(-1.134189--2.4633))+0-28--0.0999600000000004</f>
        <v>1105.2401560000001</v>
      </c>
      <c r="M64" s="3">
        <f>1531.7+(314.7-599.3)+(0+(0-0))+0-29.3-0</f>
        <v>1217.8000000000002</v>
      </c>
      <c r="N64" s="3">
        <f>1701.8+(315.5-605.8)+(-3.471672+(-0.64362--1.235832))+0-30.9--0.0630359999999986</f>
        <v>1377.7835759999998</v>
      </c>
      <c r="O64" s="3">
        <f>1909.1+(319.3-661.3)+(1.947282+(0.325686-0.674526))+0-30.4-0.0310080000000048</f>
        <v>1538.2674339999999</v>
      </c>
      <c r="P64" s="3">
        <f>1983+(308.6-665.8)+(1.01133+(0.157386-0.339558))+0-30-0.015299999999997</f>
        <v>1596.6138580000002</v>
      </c>
      <c r="Q64" s="3">
        <f>2024.1+(307.5-662.4)+(-1.032291+(-0.156825--0.337824))+0-30--0.015299999999997</f>
        <v>1638.3640079999998</v>
      </c>
      <c r="R64" s="3">
        <f>2033.9+(310.1-692.1)+(0+(0-0))+0-28.5-0</f>
        <v>1623.4</v>
      </c>
      <c r="S64" s="3">
        <f>2030.8+(308-733.9)+(-3.107124+(-0.47124--1.122867))+0-26.6--0.0406980000000015</f>
        <v>1575.8852010000003</v>
      </c>
      <c r="T64" s="3">
        <f>2034.3+(308.3-814.1)+(-1.037493+(-0.157233--0.415191))+0-28--0.0142799999999972</f>
        <v>1499.7347450000002</v>
      </c>
      <c r="U64" s="3">
        <f>2038.3+(308.4-839.1)+(1.039533+(0.157284-0.427941))+0-29.2-0.014891999999997</f>
        <v>1479.153984</v>
      </c>
      <c r="V64" s="3">
        <f>2034.3+(309.1-839.1)+(-3.112479+(-0.472923--1.283823))+0-28.2--0.0431460000000016</f>
        <v>1473.8415669999999</v>
      </c>
      <c r="W64" s="3">
        <f>2034.5+(313.9-863.8)+(-4.15038+(-0.640356--1.762152))+0-29.7--0.0605879999999987</f>
        <v>1451.932004</v>
      </c>
      <c r="X64" s="3">
        <f>1925.8+(315-806.8)+(-5.892948+(-0.9639--2.468808))+0-30.3--0.0927180000000035</f>
        <v>1399.4046780000001</v>
      </c>
      <c r="Y64" s="3">
        <f>1772.8+(326.5-700.7)+(0+(0-0))+0-30.2-0</f>
        <v>1368.3999999999999</v>
      </c>
      <c r="Z64" s="3">
        <f>1960.4+(316.5-774.1)+(-1.999608+(-0.32283--0.789582))+0-28.1--0.0286620000000045</f>
        <v>1473.1958060000002</v>
      </c>
      <c r="AA64" s="3">
        <f>2098+(314.2-730.2)+(-2.13996+(-0.320484--0.744804))+0-27.9--0.0284580000000044</f>
        <v>1652.412818</v>
      </c>
      <c r="AB64" s="3">
        <f>1983.5+(314.6-667.9)+(-3.034755+(-0.481338--1.021887))+0-27.7--0.0423810000000016</f>
        <v>1600.0481749999999</v>
      </c>
      <c r="AC64" s="3">
        <f>1839.9+(313.4-651)+(-4.691745+(-0.79917--1.66005))+0-27.6--0.070379999999996</f>
        <v>1470.9395150000003</v>
      </c>
      <c r="AD64">
        <v>1738.3000000000002</v>
      </c>
      <c r="AE64" s="3">
        <f>2093.8+(316.9-672.8)+(0+(0-0))+0-26.4-0</f>
        <v>1711.5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1740.3+(300.8-721.1)+(-4.437765+(-0.76704--1.838805))+0-28.2--0.0719099999999959</f>
        <v>1288.5059099999999</v>
      </c>
      <c r="G65" s="3">
        <f>1614.8+(305.1-721.6)+(-4.11774+(-0.778005--1.84008))+0-27.9--0.0711449999999959</f>
        <v>1167.4154799999997</v>
      </c>
      <c r="H65" s="3">
        <f>1508.6+(305.1-673.7)+(-1.538772+(-0.311202--0.687174))+0-28.4--0.0289680000000045</f>
        <v>1110.4661679999999</v>
      </c>
      <c r="I65" s="3">
        <f>1446.5+(305-648.4)+(-2.95086+(-0.6222--1.322736))+0-28.2--0.0575279999999988</f>
        <v>1072.7072039999998</v>
      </c>
      <c r="J65" s="3">
        <f>1446.9+(305.4-650.3)+(-3.689595+(-0.77877--1.658265))+0-28.5--0.0726749999999959</f>
        <v>1070.762575</v>
      </c>
      <c r="K65" s="3">
        <f>1449.4+(305.4-649.7)+(-2.217582+(-0.467262--0.994041))+0-28.3--0.0432990000000016</f>
        <v>1075.1524959999999</v>
      </c>
      <c r="L65" s="3">
        <f>1446.3+(304.9-656.7)+(-2.212839+(-0.466497--1.004751))+0-28.2--0.0431460000000016</f>
        <v>1064.668561</v>
      </c>
      <c r="M65" s="3">
        <f>1517.3+(311.2-632.3)+(2.321469+(0.476136-0.967419))+0-29.5-0.0451350000000017</f>
        <v>1168.4850509999999</v>
      </c>
      <c r="N65" s="3">
        <f>1670.9+(309.4-623.7)+(-3.408636+(-0.631176--1.272348))+0-30.4--0.0620159999999987</f>
        <v>1323.4945519999999</v>
      </c>
      <c r="O65" s="3">
        <f>1922.6+(303.8-733.7)+(-2.941578+(-0.464814--1.122561))+0-30.3--0.0463590000000018</f>
        <v>1460.1625279999998</v>
      </c>
      <c r="P65" s="3">
        <f>1982.8+(305.3-723.4)+(-1.011228+(-0.155703--0.368934))+0-31--0.0158099999999969</f>
        <v>1532.9178130000003</v>
      </c>
      <c r="Q65" s="3">
        <f>1984.6+(305.9-693.5)+(0+(0-0))+0-31.4-0</f>
        <v>1565.6</v>
      </c>
      <c r="R65" s="3">
        <f>1966.4+(306.3-692.6)+(-3.008592+(-0.468639--1.059678))+0-29.4--0.0449820000000017</f>
        <v>1548.3274289999999</v>
      </c>
      <c r="S65" s="3">
        <f>1881.6+(309.6-641.6)+(-1.919232+(-0.315792--0.654432))+0-28.8--0.0293760000000046</f>
        <v>1519.2487839999999</v>
      </c>
      <c r="T65" s="3">
        <f>1852.7+(309.1-639.3)+(-0.944877+(-0.157641--0.326043))+0-28.8--0.0146879999999971</f>
        <v>1492.9382130000001</v>
      </c>
      <c r="U65" s="3">
        <f>1844.8+(314.4-636.3)+(-4.70424+(-0.80172--1.622565))+0-29--0.0739499999999958</f>
        <v>1490.090555</v>
      </c>
      <c r="V65" s="3">
        <f>1835.1+(315.1-627.2)+(-6.551307+(-1.124907--2.239104))+0-28.4--0.101388</f>
        <v>1489.2642779999999</v>
      </c>
      <c r="W65" s="3">
        <f>1832.6+(309-656.7)+(-6.542382+(-1.10313--2.344419))+0-28.2--0.100674</f>
        <v>1451.4995809999998</v>
      </c>
      <c r="X65" s="3">
        <f>1798.2+(311-658.3)+(-7.336656+(-1.26888--2.685864))+0-30.3--0.123623999999997</f>
        <v>1414.8039520000002</v>
      </c>
      <c r="Y65" s="3">
        <f>1751.7+(308.6-685.6)+(-4.466835+(-0.78693--1.74828))+0-31.2--0.0795599999999955</f>
        <v>1340.074075</v>
      </c>
      <c r="Z65" s="3">
        <f>1891+(312-741.6)+(-0.96441+(-0.15912--0.378216))+0-31.2--0.0159119999999968</f>
        <v>1429.4705980000001</v>
      </c>
      <c r="AA65" s="3">
        <f>1931.8+(334-574.2)+(-4.92609+(-0.8517--1.46421))+0-30.9--0.0787949999999955</f>
        <v>1656.4652149999997</v>
      </c>
      <c r="AB65" s="3">
        <f>1836.9+(331.6-531.4)+(-3.747276+(-0.676464--1.084056))+0-30.7--0.0626279999999987</f>
        <v>1603.122944</v>
      </c>
      <c r="AC65" s="3">
        <f>1805.8+(323.9-583.5)+(-3.683832+(-0.660756--1.19034))+0-31.3--0.0638519999999986</f>
        <v>1511.8096039999998</v>
      </c>
      <c r="AD65">
        <v>1733.8000000000002</v>
      </c>
      <c r="AE65" s="3">
        <f>1939.8+(342.8-545)+(0+(0-0))+0-29.6-0</f>
        <v>1708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1585.6+(299.2-498.5)+(0+(0-0))+0-30.2-0</f>
        <v>1356.1</v>
      </c>
      <c r="G66" s="3">
        <f>1541+(292.5-585.8)+(-2.35773+(-0.447525--0.896274))+0-30.5--0.0466650000000018</f>
        <v>1215.3376840000001</v>
      </c>
      <c r="H66" s="3">
        <f>1539.3+(290.6-647)+(-1.570086+(-0.296412--0.65994))+0-30.3--0.0309060000000048</f>
        <v>1151.424348</v>
      </c>
      <c r="I66" s="3">
        <f>1542.4+(285-662.3)+(-0.786624+(-0.14535--0.337773))+0-30--0.015299999999997</f>
        <v>1134.521099</v>
      </c>
      <c r="J66" s="3">
        <f>1541.4+(293-661.2)+(-3.93057+(-0.74715--1.68606))+0-30--0.0764999999999956</f>
        <v>1140.28484</v>
      </c>
      <c r="K66" s="3">
        <f>1543.6+(289-653)+(-3.93618+(-0.73695--1.66515))+0-30--0.0764999999999956</f>
        <v>1146.6685199999997</v>
      </c>
      <c r="L66" s="3">
        <f>1543.4+(300-624.9)+(-0.787134+(-0.153--0.318699))+0-29--0.0147899999999971</f>
        <v>1188.8933549999999</v>
      </c>
      <c r="M66" s="3">
        <f>1599.1+(300-601.2)+(0.815541+(0.153-0.306612))+0-28-0.0142799999999972</f>
        <v>1270.5476489999999</v>
      </c>
      <c r="N66" s="3">
        <f>1749.3+(300-629.5)+(0.892143+(0.153-0.321045))+0-28.6-0.0145859999999971</f>
        <v>1391.9095119999999</v>
      </c>
      <c r="O66" s="3">
        <f>1802+(315.6-538)+(-0.91902+(-0.160956--0.27438))+0-29.2--0.014891999999997</f>
        <v>1549.6092959999999</v>
      </c>
      <c r="P66" s="3">
        <f>1817+(323-476)+(0.92667+(0.16473-0.24276))+0-29.4-0.014993999999997</f>
        <v>1635.433646</v>
      </c>
      <c r="Q66" s="3">
        <f>1860.8+(318.1-386)+(-0.949008+(-0.162231--0.19686))+0-29--0.0147899999999971</f>
        <v>1763.000411</v>
      </c>
      <c r="R66" s="3">
        <f>1871.5+(317.1-479.2)+(-0.954465+(-0.161721--0.244392))+0-29.2--0.014891999999997</f>
        <v>1679.3430980000001</v>
      </c>
      <c r="S66" s="3">
        <f>1898.7+(307.5-532)+(-1.936674+(-0.31365--0.54264))+0-29.3--0.0298860000000047</f>
        <v>1643.2222020000002</v>
      </c>
      <c r="T66" s="3">
        <f>1899.3+(302.9-599.2)+(0+(0-0))+0-28.8-0</f>
        <v>1574.2</v>
      </c>
      <c r="U66" s="3">
        <f>1903.5+(302.8-603.8)+(-5.82471+(-0.926568--1.847628))+0-28.9--0.0884340000000033</f>
        <v>1568.7847839999999</v>
      </c>
      <c r="V66" s="3">
        <f>1897.1+(303.6-612.4)+(-4.837605+(-0.77418--1.56162))+0-31--0.0790499999999955</f>
        <v>1553.3288849999999</v>
      </c>
      <c r="W66" s="3">
        <f>1769+(308.3-507.8)+(-5.41314+(-0.943398--1.553868))+0-30.3--0.0927180000000035</f>
        <v>1534.4900480000001</v>
      </c>
      <c r="X66" s="3">
        <f>1725+(305.3-495.4)+(-4.39875+(-0.778515--1.26327))+0-29.8--0.0759899999999957</f>
        <v>1501.2619950000003</v>
      </c>
      <c r="Y66" s="3">
        <f>1756+(307.4-573.4)+(-0.89556+(-0.156774--0.292434))+0-30.4--0.0155039999999969</f>
        <v>1458.8556039999999</v>
      </c>
      <c r="Z66" s="3">
        <f>1881.8+(308.9-570.9)+(-1.919436+(-0.315078--0.582318))+0-30.9--0.0315180000000049</f>
        <v>1587.2793219999999</v>
      </c>
      <c r="AA66" s="3">
        <f>1931.3+(320.7-470.2)+(-3.939852+(-0.654228--0.959208))+0-31.3--0.0638519999999986</f>
        <v>1746.9289799999999</v>
      </c>
      <c r="AB66" s="3">
        <f>1803.9+(334.5-427.6)+(-4.599945+(-0.852975--1.09038))+0-30.9--0.0787949999999955</f>
        <v>1675.6162549999999</v>
      </c>
      <c r="AC66" s="3">
        <f>1726.9+(342.5-473)+(-2.642157+(-0.524025--0.72369))+0-30.9--0.0472770000000018</f>
        <v>1563.104785</v>
      </c>
      <c r="AD66">
        <v>1666</v>
      </c>
      <c r="AE66" s="3">
        <f>1940.9+(315.8-572.9)+(0+(0-0))+0-30.4-0</f>
        <v>1653.4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1642.9+(308.1-556)+(-4.189395+(-0.785655--1.4178))+0-30.8--0.0785399999999955</f>
        <v>1360.72129</v>
      </c>
      <c r="G67" s="3">
        <f>1558+(310.4-606.4)+(-3.17832+(-0.633216--1.237056))+0-30.9--0.0630359999999986</f>
        <v>1228.5885559999999</v>
      </c>
      <c r="H67" s="3">
        <f>1581.5+(304.8-679.6)+(-2.419695+(-0.466344--1.039788))+0-29.3--0.0448290000000017</f>
        <v>1175.5985780000001</v>
      </c>
      <c r="I67" s="3">
        <f>1528.6+(295.4-647.8)+(-3.118344+(-0.602616--1.321512))+0-28.4--0.0579359999999988</f>
        <v>1145.4584879999998</v>
      </c>
      <c r="J67" s="3">
        <f>1433.7+(305-585.5)+(0.731187+(0.15555-0.298605))+0-28.9-0.0147389999999971</f>
        <v>1124.8733930000001</v>
      </c>
      <c r="K67" s="3">
        <f>1436+(305.7-585.5)+(-3.6618+(-0.779535--1.493025))+0-29.2--0.0744599999999958</f>
        <v>1124.1261500000001</v>
      </c>
      <c r="L67" s="3">
        <f>1436.6+(303.2-601.2)+(-2.197998+(-0.463896--0.919836))+0-27.8--0.0425340000000016</f>
        <v>1109.1004759999998</v>
      </c>
      <c r="M67" s="3">
        <f>1490.5+(306.5-546.6)+(3.800775+(0.781575-1.39383))+0-29.6-0.0754799999999957</f>
        <v>1223.9130400000001</v>
      </c>
      <c r="N67" s="3">
        <f>1580.9+(317.8-474.2)+(-0.806259+(-0.162078--0.241842))+0-30.4--0.0155039999999969</f>
        <v>1393.389009</v>
      </c>
      <c r="O67" s="3">
        <f>1721+(325.3-486.1)+(1.75542+(0.331806-0.495822))+0-30.9-0.0315180000000049</f>
        <v>1530.859886</v>
      </c>
      <c r="P67" s="3">
        <f>1795.3+(316.4-480.4)+(-0.915603+(-0.161364--0.245004))+0-30.4--0.0155039999999969</f>
        <v>1600.0835409999997</v>
      </c>
      <c r="Q67" s="3">
        <f>1801.2+(319.2-437)+(1.837224+(0.325584-0.44574))+0-30.2-0.0308040000000048</f>
        <v>1654.886264</v>
      </c>
      <c r="R67" s="3">
        <f>1778.4+(302.2-401.8)+(-1.813968+(-0.308244--0.409836))+0-28.8--0.0293760000000046</f>
        <v>1648.3170000000002</v>
      </c>
      <c r="S67" s="3">
        <f>1775.7+(279.4-430.7)+(-4.528035+(-0.71247--1.098285))+0-27.8--0.070889999999996</f>
        <v>1592.5286700000001</v>
      </c>
      <c r="T67" s="3">
        <f>1792.9+(258.9-484.5)+(-4.571895+(-0.660195--1.235475))+0-27.9--0.0711449999999959</f>
        <v>1535.47453</v>
      </c>
      <c r="U67" s="3">
        <f>1751+(263.9-454)+(-2.67903+(-0.403767--0.69462))+0-27.9--0.0426870000000016</f>
        <v>1530.6545100000001</v>
      </c>
      <c r="V67" s="3">
        <f>1707.4+(290.7-444.6)+(-1.741548+(-0.296514--0.453492))+0-27.4--0.0279480000000044</f>
        <v>1524.5433779999998</v>
      </c>
      <c r="W67" s="3">
        <f>1719.2+(292.9-487)+(-1.753584+(-0.298758--0.49674))+0-27.5--0.0280500000000044</f>
        <v>1496.0724479999999</v>
      </c>
      <c r="X67" s="3">
        <f>1719.2+(313.7-543.4)+(-5.260752+(-0.959922--1.662804))+0-28.7--0.0878220000000033</f>
        <v>1456.3299519999998</v>
      </c>
      <c r="Y67" s="3">
        <f>1738+(319.5-604.3)+(-1.77276+(-0.32589--0.616386))+0-28.9--0.0294780000000046</f>
        <v>1422.8472139999999</v>
      </c>
      <c r="Z67" s="3">
        <f>1780+(325.9-546.9)+(-1.8156+(-0.332418--0.557838))+0-28.3--0.0288660000000045</f>
        <v>1529.1386860000002</v>
      </c>
      <c r="AA67" s="3">
        <f>1805.2+(340.2-422.1)+(-3.682608+(-0.694008--0.861084))+0-28.6--0.0583439999999988</f>
        <v>1691.2428120000002</v>
      </c>
      <c r="AB67" s="3">
        <f>1797.2+(337.7-467.8)+(-4.58286+(-0.861135--1.19289))+0-29--0.0739499999999958</f>
        <v>1633.9228449999998</v>
      </c>
      <c r="AC67" s="3">
        <f>1500.4+(351-297.8)+(0+(0-0))+0-28.6-0</f>
        <v>1525.0000000000002</v>
      </c>
      <c r="AD67">
        <v>1737.6000000000001</v>
      </c>
      <c r="AE67" s="3">
        <f>1804.4+(342.8-388.2)+(0+(0-0))+0-28.8-0</f>
        <v>1730.2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1445+(323.9-394.3)+(-2.9478+(-0.660756--0.804372))+0-29.4--0.0599759999999987</f>
        <v>1342.4557919999997</v>
      </c>
      <c r="G68" s="3">
        <f>1446.2+(312.3-520.2)+(-1.475124+(-0.318546--0.530604))+0-28.6--0.0291720000000046</f>
        <v>1208.4661060000001</v>
      </c>
      <c r="H68" s="3">
        <f>1445.6+(310.2-591.5)+(-2.211768+(-0.474606--0.904995))+0-28.3--0.0432990000000016</f>
        <v>1134.2619199999999</v>
      </c>
      <c r="I68" s="3">
        <f>1448.6+(309.6-632.4)+(0+(0-0))+0-27.9-0</f>
        <v>1097.8999999999999</v>
      </c>
      <c r="J68" s="3">
        <f>1449.3+(309.8-639.6)+(0.739143+(0.157998-0.326196))+0-28.3-0.0144329999999971</f>
        <v>1091.7565119999999</v>
      </c>
      <c r="K68" s="3">
        <f>1412.1+(310.3-620.8)+(-2.880684+(-0.633012--1.266432))+0-28.1--0.0573239999999988</f>
        <v>1071.31006</v>
      </c>
      <c r="L68" s="3">
        <f>1333+(310.6-606.2)+(-1.35966+(-0.316812--0.618324))+0-27.9--0.0284580000000044</f>
        <v>1008.47031</v>
      </c>
      <c r="M68" s="3">
        <f>1345.3+(312.3-586.7)+(-1.372206+(-0.318546--0.598434))+0-28.3--0.0288660000000045</f>
        <v>1041.536548</v>
      </c>
      <c r="N68" s="3">
        <f>1604.2+(307.7-724.1)+(-2.454426+(-0.470781--1.107873))+0-28.2--0.0431460000000016</f>
        <v>1157.8258119999998</v>
      </c>
      <c r="O68" s="3">
        <f>1679+(307.7-678.7)+(-1.71258+(-0.313854--0.692274))+0-28.4--0.0289680000000045</f>
        <v>1278.2948079999999</v>
      </c>
      <c r="P68" s="3">
        <f>1679.6+(305.6-606.6)+(-2.569788+(-0.467568--0.928098))+0-28.7--0.0439110000000017</f>
        <v>1347.8346529999999</v>
      </c>
      <c r="Q68" s="3">
        <f>1706+(297.7-584)+(-2.61018+(-0.455481--0.89352))+0-28.3--0.0432990000000016</f>
        <v>1389.271158</v>
      </c>
      <c r="R68" s="3">
        <f>1678.2+(314.9-584)+(-0.855882+(-0.160599--0.29784))+0-28.3--0.0144329999999971</f>
        <v>1380.0957920000001</v>
      </c>
      <c r="S68" s="3">
        <f>1676+(288.1-586.1)+(-0.85476+(-0.146931--0.298911))+0-28.4--0.0144839999999971</f>
        <v>1348.9117039999999</v>
      </c>
      <c r="T68" s="3">
        <f>1675.4+(298.8-631.4)+(-3.417816+(-0.609552--1.288056))+0-28.1--0.0573239999999988</f>
        <v>1312.0180120000005</v>
      </c>
      <c r="U68" s="3">
        <f>1641.1+(309.6-625.1)+(-0.836961+(-0.157896--0.318801))+0-28.3--0.0144329999999971</f>
        <v>1296.638377</v>
      </c>
      <c r="V68" s="3">
        <f>1526.2+(309.2-519.3)+(-0.778362+(-0.157692--0.264843))+0-27.9--0.0142289999999972</f>
        <v>1287.5430179999998</v>
      </c>
      <c r="W68" s="3">
        <f>1519.5+(300.6-498.8)+(-3.09978+(-0.613224--1.017552))+0-27.7--0.0565079999999988</f>
        <v>1290.9610559999999</v>
      </c>
      <c r="X68" s="3">
        <f>1519.7+(303.1-493)+(-3.875235+(-0.772905--1.25715))+0-28.3--0.0721649999999959</f>
        <v>1298.1811750000002</v>
      </c>
      <c r="Y68" s="3">
        <f>1525.5+(317.3-521.3)+(-2.334015+(-0.485469--0.797589))+0-27.8--0.0425340000000016</f>
        <v>1291.7206389999999</v>
      </c>
      <c r="Z68" s="3">
        <f>1717+(338.4-591.5)+(-2.62701+(-0.517752--0.904995))+0-28.4--0.0434520000000016</f>
        <v>1433.3036849999999</v>
      </c>
      <c r="AA68" s="3">
        <f>1750+(359.3-499.4)+(-2.6775+(-0.549729--0.764082))+0-28.1--0.0429930000000016</f>
        <v>1579.3798460000003</v>
      </c>
      <c r="AB68" s="3">
        <f>1722+(363.4-495.9)+(-3.51288+(-0.741336--1.011636))+0-28.5--0.0581399999999988</f>
        <v>1557.81556</v>
      </c>
      <c r="AC68" s="3">
        <f>1695.5+(351.5-578.9)+(-2.594115+(-0.537795--0.885717))+0-28.3--0.0432990000000016</f>
        <v>1437.5971059999999</v>
      </c>
      <c r="AD68">
        <v>1640.5</v>
      </c>
      <c r="AE68" s="3">
        <f>1739.4+(365.7-452)+(0+(0-0))+0-26.4-0</f>
        <v>1626.7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1690.7+(312.6-686.3)+(-3.449028+(-0.637704--1.400052))+0-27.8--0.0567119999999988</f>
        <v>1286.5700320000001</v>
      </c>
      <c r="G69" s="3">
        <f>1674.3+(309.3-795.4)+(-3.415572+(-0.630972--1.622616))+0-27.8--0.0567119999999988</f>
        <v>1158.0327840000002</v>
      </c>
      <c r="H69" s="3">
        <f>1473.7+(310.4-678.1)+(-1.503174+(-0.316608--0.691662))+0-28.9--0.0294780000000046</f>
        <v>1076.0013579999998</v>
      </c>
      <c r="I69" s="3">
        <f>1436.4+(309-668.6)+(-0.732564+(-0.15759--0.340986))+0-28.6--0.0145859999999971</f>
        <v>1047.6654180000003</v>
      </c>
      <c r="J69" s="3">
        <f>1435.9+(309.5-658.3)+(-1.464618+(-0.31569--0.671466))+0-28.9--0.0294780000000046</f>
        <v>1057.1206359999999</v>
      </c>
      <c r="K69" s="3">
        <f>1433.3+(310.1-639.1)+(-3.654915+(-0.790755--1.629705))+0-28.9--0.0736949999999958</f>
        <v>1072.6577299999999</v>
      </c>
      <c r="L69" s="3">
        <f>1435.7+(307.9-642.6)+(0+(0-0))+0-28.6-0</f>
        <v>1072.4000000000001</v>
      </c>
      <c r="M69" s="3">
        <f>1547.9+(305.8-636.3)+(-1.578858+(-0.311916--0.649026))+0-28.2--0.0287640000000045</f>
        <v>1187.987016</v>
      </c>
      <c r="N69" s="3">
        <f>1793.8+(294.7-655.8)+(-3.659352+(-0.601188--1.337832))+0-28.2--0.0575279999999988</f>
        <v>1401.63482</v>
      </c>
      <c r="O69" s="3">
        <f>1887.5+(304.4-605.4)+(-0.962625+(-0.155244--0.308754))+0-28.3--0.0144329999999971</f>
        <v>1557.4053180000001</v>
      </c>
      <c r="P69" s="3">
        <f>1954.7+(296.2-587.2)+(0+(0-0))+0-28.3-0</f>
        <v>1635.4</v>
      </c>
      <c r="Q69" s="3">
        <f>1949.4+(317.8-551.1)+(1.988388+(0.324156-0.562122))+0-29-0.0295800000000046</f>
        <v>1688.8208420000003</v>
      </c>
      <c r="R69" s="3">
        <f>1946.1+(317.2-551)+(-0.992511+(-0.161772--0.28101))+0-28.4--0.0144839999999971</f>
        <v>1683.041211</v>
      </c>
      <c r="S69" s="3">
        <f>1930.2+(314.4-579.2)+(0+(0-0))+0-28.5-0</f>
        <v>1636.9</v>
      </c>
      <c r="T69" s="3">
        <f>1944.7+(308.5-625.5)+(-0.991797+(-0.157335--0.319005))+0-28.4--0.0144839999999971</f>
        <v>1598.484357</v>
      </c>
      <c r="U69" s="3">
        <f>1953.1+(301.8-636.6)+(-4.980405+(-0.76959--1.62333))+0-28--0.0713999999999959</f>
        <v>1586.244735</v>
      </c>
      <c r="V69" s="3">
        <f>1939.2+(308.4-656.7)+(-2.966976+(-0.471852--1.004751))+0-28.5--0.0436050000000016</f>
        <v>1560.0095280000003</v>
      </c>
      <c r="W69" s="3">
        <f>1941.4+(314.5-670.9)+(-6.930798+(-1.122765--2.395113))+0-28.4--0.101388</f>
        <v>1551.042938</v>
      </c>
      <c r="X69" s="3">
        <f>1883.2+(318.1-667.2)+(-6.723024+(-1.135617--2.381904))+0-28.3--0.101031</f>
        <v>1500.4242939999999</v>
      </c>
      <c r="Y69" s="3">
        <f>1826.1+(317.5-669.6)+(-0.931311+(-0.161925--0.341496))+0-28.8--0.0146879999999971</f>
        <v>1444.4629480000001</v>
      </c>
      <c r="Z69" s="3">
        <f>1830.4+(333.1-593.3)+(-1.867008+(-0.339762--0.605166))+0-28.4--0.0289680000000045</f>
        <v>1540.2273640000003</v>
      </c>
      <c r="AA69" s="3">
        <f>1906.4+(362-480.4)+(-5.833584+(-1.10772--1.470024))+0-28.4--0.0869040000000033</f>
        <v>1754.2156239999999</v>
      </c>
      <c r="AB69" s="3">
        <f>1911.4+(356.2-534)+(-3.899256+(-0.726648--1.08936))+0-28.2--0.0575279999999988</f>
        <v>1701.9209840000001</v>
      </c>
      <c r="AC69" s="3">
        <f>1757.8+(340.9-461.8)+(-5.378868+(-1.043154--1.413108))+0-29--0.0887400000000034</f>
        <v>1602.9798259999998</v>
      </c>
      <c r="AD69">
        <v>1792.6000000000001</v>
      </c>
      <c r="AE69" s="3">
        <f>1897.3+(363.4-447.9)+(0+(0-0))+0-26.4-0</f>
        <v>1786.3999999999999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1558.3+(319.3-415.1)+(-1.589466+(-0.325686--0.423402))+0-26.6--0.0271320000000042</f>
        <v>1434.4353820000001</v>
      </c>
      <c r="G70" s="3">
        <f>1494.1+(308.5-481.4)+(-3.809955+(-0.786675--1.22757))+0-28.3--0.0721649999999959</f>
        <v>1289.6031049999999</v>
      </c>
      <c r="H70" s="3">
        <f>1403.9+(321.8-497.3)+(-2.863956+(-0.656472--1.014492))+0-28.5--0.0581399999999988</f>
        <v>1197.4522040000002</v>
      </c>
      <c r="I70" s="3">
        <f>1385.8+(325.6-503.7)+(-2.120274+(-0.498168--0.770661))+0-28.3--0.0432990000000016</f>
        <v>1177.5955180000001</v>
      </c>
      <c r="J70" s="3">
        <f>1369+(325.7-495.4)+(-2.09457+(-0.498321--0.757962))+0-28.1--0.0429930000000016</f>
        <v>1169.408064</v>
      </c>
      <c r="K70" s="3">
        <f>1347.1+(325.5-474.8)+(-2.748084+(-0.66402--0.968592))+0-27.9--0.0569159999999988</f>
        <v>1167.5134039999998</v>
      </c>
      <c r="L70" s="3">
        <f>1348.3+(321.7-483.5)+(-2.062899+(-0.492201--0.739755))+0-27.7--0.0423810000000016</f>
        <v>1157.027036</v>
      </c>
      <c r="M70" s="3">
        <f>1460.5+(322.2-487.3)+(-0.744855+(-0.164322--0.248523))+0-29.2--0.014891999999997</f>
        <v>1265.5542379999999</v>
      </c>
      <c r="N70" s="3">
        <f>1759.2+(322.9-581.2)+(0+(0-0))+0-28.8-0</f>
        <v>1472.1000000000001</v>
      </c>
      <c r="O70" s="3">
        <f>1839+(325.5-529.4)+(0.93789+(0.166005-0.269994))+0-29.3-0.014942999999997</f>
        <v>1606.618958</v>
      </c>
      <c r="P70" s="3">
        <f>1872+(325-488.8)+(0.95472+(0.16575-0.249288))+0-29.6-0.015095999999997</f>
        <v>1679.4560860000001</v>
      </c>
      <c r="Q70" s="3">
        <f>1884.5+(334.2-465.8)+(0.961095+(0.170442-0.237558))+0-25.4-0.0129539999999974</f>
        <v>1728.3810249999999</v>
      </c>
      <c r="R70" s="3">
        <f>1894+(326.2-496.9)+(0+(0-0))+0-12.3-0</f>
        <v>1711</v>
      </c>
      <c r="S70" s="3">
        <f>1873.1+(315.7-519.2)+(0+(0-0))+0-13.2-0</f>
        <v>1656.3999999999999</v>
      </c>
      <c r="T70" s="3">
        <f>1991.2+(302.8-669.6)+(-3.046536+(-0.463284--1.024488))+0-27.4--0.0419220000000016</f>
        <v>1594.5565900000001</v>
      </c>
      <c r="U70" s="3">
        <f>2030.4+(303.4-698.5)+(2.071008+(0.309468-0.71247))+0-28.4-0.0289680000000045</f>
        <v>1608.5390380000001</v>
      </c>
      <c r="V70" s="3">
        <f>2031.9+(301.3-711.6)+(-2.072538+(-0.307326--0.725832))+0-28.9--0.0294780000000046</f>
        <v>1591.0754460000001</v>
      </c>
      <c r="W70" s="3">
        <f>2030.8+(306.1-599)+(-7.249956+(-1.092777--2.13843))+0-29--0.10353</f>
        <v>1702.7992270000002</v>
      </c>
      <c r="X70" s="3">
        <f>2002.7+(306.2-600.6)+(-5.106885+(-0.78081--1.53153))+0-28.9--0.0736949999999958</f>
        <v>1675.11753</v>
      </c>
      <c r="Y70" s="3">
        <f>1927+(311.7-584.1)+(-2.94831+(-0.476901--0.893673))+0-29.9--0.0457470000000017</f>
        <v>1622.2142089999998</v>
      </c>
      <c r="Z70" s="3">
        <f>2013.7+(307-577.6)+(-2.053974+(-0.31314--0.589152))+0-29.6--0.0301920000000047</f>
        <v>1711.7522300000001</v>
      </c>
      <c r="AA70" s="3">
        <f>2022.1+(313.8-563.8)+(-5.156355+(-0.80019--1.43769))+0-29.6--0.0754799999999957</f>
        <v>1738.0566249999999</v>
      </c>
      <c r="AB70" s="3">
        <f>2081.8+(306.6-684.2)+(-4.246872+(-0.625464--1.395768))+0-29.8--0.0607919999999987</f>
        <v>1670.9842240000003</v>
      </c>
      <c r="AC70" s="3">
        <f>2017+(309.8-741.5)+(-4.11468+(-0.631992--1.51266))+0-30.1--0.0614039999999987</f>
        <v>1552.0273920000002</v>
      </c>
      <c r="AD70">
        <v>1885.6</v>
      </c>
      <c r="AE70" s="3">
        <f>1977.5+(314.1-392.2)+(0+(0-0))+0-30.4-0</f>
        <v>1869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1720.4+(314.9-634.6)+(-1.754808+(-0.321198--0.647292))+0-29.9--0.0304980000000048</f>
        <v>1369.4017840000001</v>
      </c>
      <c r="G71" s="3">
        <f>1538.7+(320.6-548)+(-3.138948+(-0.654024--1.11792))+0-29.6--0.0603839999999987</f>
        <v>1279.0853320000001</v>
      </c>
      <c r="H71" s="3">
        <f>1452.1+(323.9-550.1)+(-2.962284+(-0.660756--1.122204))+0-29.7--0.0605879999999987</f>
        <v>1193.7597519999999</v>
      </c>
      <c r="I71" s="3">
        <f>1428.2+(260.1-517.8)+(-2.185146+(-0.397953--0.792234))+0-30.4--0.0465120000000018</f>
        <v>1138.3556469999999</v>
      </c>
      <c r="J71" s="3">
        <f>1426.3+(204.2-479.3)+(-0.727413+(-0.104142--0.244443))+0-30.1--0.0153509999999969</f>
        <v>1120.528239</v>
      </c>
      <c r="K71" s="3">
        <f>1418.6+(231.2-492.6)+(-2.170458+(-0.353736--0.753678))+0-30--0.0459000000000017</f>
        <v>1125.4753839999998</v>
      </c>
      <c r="L71" s="3">
        <f>1340.2+(195.7-409.6)+(-1.367004+(-0.199614--0.417792))+0-29.4--0.0299880000000047</f>
        <v>1095.7811619999998</v>
      </c>
      <c r="M71" s="3">
        <f>1523+(209.3-478.3)+(0+(0-0))+0-29.2-0</f>
        <v>1224.8</v>
      </c>
      <c r="N71" s="3">
        <f>1645.7+(224-427.1)+(1.678614+(0.22848-0.435642))+0-30.1-0.0307020000000048</f>
        <v>1413.94075</v>
      </c>
      <c r="O71" s="3">
        <f>1766.9+(237-414.6)+(0.901119+(0.12087-0.211446))+0-28.9-0.0147389999999971</f>
        <v>1561.1958040000002</v>
      </c>
      <c r="P71" s="3">
        <f>1774.3+(285.4-398.3)+(0.904893+(0.145554-0.203133))+0-28.3-0.0144329999999971</f>
        <v>1633.932881</v>
      </c>
      <c r="Q71" s="3">
        <f>1799+(320.9-394.4)+(1.83498+(0.327318-0.402288))+0-29.9-0.0304980000000048</f>
        <v>1697.3295119999998</v>
      </c>
      <c r="R71" s="3">
        <f>1954.3+(298.1-541.5)+(0.996693+(0.152031-0.276165))+0-28.7-0.0146369999999971</f>
        <v>1683.057922</v>
      </c>
      <c r="S71" s="3">
        <f>2012.3+(270.1-611.9)+(-1.026273+(-0.137751--0.312069))+0-28.1--0.0143309999999971</f>
        <v>1641.5623760000001</v>
      </c>
      <c r="T71" s="3">
        <f>2018.7+(275.3-669.2)+(-1.029537+(-0.140403--0.341292))+0-29.4--0.014993999999997</f>
        <v>1594.5863459999998</v>
      </c>
      <c r="U71" s="3">
        <f>1999.9+(274.5-667.9)+(-3.059847+(-0.419985--1.021887))+0-29.8--0.0455940000000017</f>
        <v>1574.2876489999999</v>
      </c>
      <c r="V71" s="3">
        <f>1997.4+(274.6-666.8)+(-2.037348+(-0.280092--0.680136))+0-29.1--0.0296820000000046</f>
        <v>1574.4923780000004</v>
      </c>
      <c r="W71" s="3">
        <f>1992.3+(274.6-680.7)+(-6.096438+(-0.840276--2.082942))+0-28.4--0.0869040000000033</f>
        <v>1553.0331319999998</v>
      </c>
      <c r="X71" s="3">
        <f>1975.6+(274.6-690.3)+(-6.045336+(-0.840276--2.112318))+0-28.7--0.0878220000000033</f>
        <v>1526.5145279999999</v>
      </c>
      <c r="Y71" s="3">
        <f>1826.2+(307.6-640.5)+(-3.725448+(-0.627504--1.30662))+0-29.1--0.0593639999999987</f>
        <v>1461.2130320000003</v>
      </c>
      <c r="Z71" s="3">
        <f>1943.2+(330-713.2)+(-1.982064+(-0.3366--0.727464))+0-28.3--0.0288660000000045</f>
        <v>1530.1376660000001</v>
      </c>
      <c r="AA71" s="3">
        <f>2075.8+(328.6-591.9)+(-6.351948+(-1.005516--1.811214))+0-29.1--0.0890460000000034</f>
        <v>1777.9427960000003</v>
      </c>
      <c r="AB71" s="3">
        <f>2077.7+(320.3-628.6)+(-4.238508+(-0.653412--1.282344))+0-28.4--0.0579359999999988</f>
        <v>1737.4483599999996</v>
      </c>
      <c r="AC71" s="3">
        <f>1972.3+(325.2-653.5)+(-1.005873+(-0.165852--0.333285))+0-29--0.0147899999999971</f>
        <v>1614.17635</v>
      </c>
      <c r="AD71">
        <v>1811.7</v>
      </c>
      <c r="AE71" s="3">
        <f>2064.2+(329.5-560)+(0+(0-0))+0-29.6-0</f>
        <v>1804.1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1748+(293.4-588.8)+(-1.78296+(-0.299268--0.600576))+0-29.2--0.0297840000000047</f>
        <v>1421.948132</v>
      </c>
      <c r="G72" s="3">
        <f>1688+(300.9-676.4)+(-3.44352+(-0.613836--1.379856))+0-28.8--0.0587519999999987</f>
        <v>1281.0812519999999</v>
      </c>
      <c r="H72" s="3">
        <f>1689.4+(294.1-741.8)+(-3.446376+(-0.599964--1.513272))+0-29.3--0.0597719999999987</f>
        <v>1209.9267040000004</v>
      </c>
      <c r="I72" s="3">
        <f>1684.4+(288.2-756)+(-3.436176+(-0.587928--1.54224))+0-29.6--0.0603839999999987</f>
        <v>1184.57852</v>
      </c>
      <c r="J72" s="3">
        <f>1691.7+(290.3-783.8)+(-0.862767+(-0.148053--0.399738))+0-29.7--0.015146999999997</f>
        <v>1167.9040650000002</v>
      </c>
      <c r="K72" s="3">
        <f>1672+(303.6-756.8)+(-6.82176+(-1.238688--3.087744))+0-29.5--0.120359999999997</f>
        <v>1184.4476560000001</v>
      </c>
      <c r="L72" s="3">
        <f>1641.8+(309-747.7)+(-1.674636+(-0.31518--0.762654))+0-28.6--0.0291720000000046</f>
        <v>1173.3020100000001</v>
      </c>
      <c r="M72" s="3">
        <f>1681.4+(302.7-670.1)+(-1.715028+(-0.308754--0.683502))+0-28.9--0.0294780000000046</f>
        <v>1283.7891979999999</v>
      </c>
      <c r="N72" s="3">
        <f>1730+(319-540.6)+(0+(0-0))+0-30-0</f>
        <v>1478.4</v>
      </c>
      <c r="O72" s="3">
        <f>1760.3+(336-430.3)+(-1.795506+(-0.34272--0.438906))+0-30.5--0.0311100000000049</f>
        <v>1633.83179</v>
      </c>
      <c r="P72" s="3">
        <f>1889.1+(303.4-465.6)+(-2.890323+(-0.464202--0.712368))+0-29.8--0.0455940000000017</f>
        <v>1694.5034369999998</v>
      </c>
      <c r="Q72" s="3">
        <f>2006.7+(299-512.7)+(-4.093668+(-0.60996--1.045908))+0-30.2--0.0616079999999987</f>
        <v>1759.203888</v>
      </c>
      <c r="R72" s="3">
        <f>2188.7+(298.5-677.4)+(-2.232474+(-0.30447--0.690948))+0-28.6--0.0291720000000046</f>
        <v>1779.3831759999998</v>
      </c>
      <c r="S72" s="3">
        <f>2218.7+(298.9-755.7)+(-2.263074+(-0.304878--0.770814))+0-28.3--0.0288660000000045</f>
        <v>1731.8317279999999</v>
      </c>
      <c r="T72" s="3">
        <f>2159.9+(291.7-738.4)+(1.101549+(0.148767-0.376584))+0-29.6-0.015095999999997</f>
        <v>1684.4586360000001</v>
      </c>
      <c r="U72" s="3">
        <f>2109+(291-693.3)+(-2.15118+(-0.29682--0.707166))+0-29.3--0.0298860000000047</f>
        <v>1675.6890520000002</v>
      </c>
      <c r="V72" s="3">
        <f>2025.9+(289.9-625.8)+(-7.232463+(-1.034943--2.234106))+0-29--0.10353</f>
        <v>1655.07023</v>
      </c>
      <c r="W72" s="3">
        <f>1867.3+(296.7-477)+(-1.904646+(-0.302634--0.48654))+0-28.8--0.0293760000000046</f>
        <v>1656.508636</v>
      </c>
      <c r="X72" s="3">
        <f>1735.6+(292.4-419)+(-4.42578+(-0.74562--1.06845))+0-29.1--0.0742049999999958</f>
        <v>1575.871255</v>
      </c>
      <c r="Y72" s="3">
        <f>1745.1+(291.1-507.5)+(0+(0-0))+0-29.1-0</f>
        <v>1499.6</v>
      </c>
      <c r="Z72" s="3">
        <f>1897.3+(286.6-580.6)+(0+(0-0))+0-29.1-0</f>
        <v>1574.2</v>
      </c>
      <c r="AA72" s="3">
        <f>1952.3+(306.2-413.1)+(-3.982692+(-0.624648--0.842724))+0-29.4--0.0599759999999987</f>
        <v>1812.2953599999998</v>
      </c>
      <c r="AB72" s="3">
        <f>1893.3+(333.2-420.7)+(0+(0-0))+0-29.7-0</f>
        <v>1776.1</v>
      </c>
      <c r="AC72" s="3">
        <f>1851.2+(326.5-482.1)+(-3.776448+(-0.66606--0.983484))+0-29.9--0.0609959999999987</f>
        <v>1662.3019719999998</v>
      </c>
      <c r="AD72">
        <v>1856.8000000000002</v>
      </c>
      <c r="AE72" s="3">
        <f>1949.5+(304.1-368.4)+(0+(0-0))+0-28.8-0</f>
        <v>1856.4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1635.6+(298.8-419.9)+(-3.336624+(-0.609552--0.856596))+0-29.1--0.0593639999999987</f>
        <v>1482.369784</v>
      </c>
      <c r="G73" s="3">
        <f>1509.4+(292.7-440.9)+(-3.84897+(-0.746385--1.124295))+0-29.4--0.0749699999999957</f>
        <v>1328.4039099999998</v>
      </c>
      <c r="H73" s="3">
        <f>1471.7+(292-484)+(-0.750567+(-0.14892--0.24684))+0-28.6--0.0145859999999971</f>
        <v>1250.4619390000003</v>
      </c>
      <c r="I73" s="3">
        <f>1472.9+(291.4-510)+(0+(0-0))+0-28.9-0</f>
        <v>1225.4000000000001</v>
      </c>
      <c r="J73" s="3">
        <f>1474.2+(291.1-518)+(-1.503684+(-0.296922--0.52836))+0-28--0.0285600000000045</f>
        <v>1218.0563140000002</v>
      </c>
      <c r="K73" s="3">
        <f>1471.6+(283.3-507.5)+(-3.75258+(-0.722415--1.294125))+0-27.2--0.0693599999999961</f>
        <v>1217.0884899999999</v>
      </c>
      <c r="L73" s="3">
        <f>1347.3+(288-415.5)+(1.374246+(0.29376-0.42381))+0-28.2-0.0287640000000045</f>
        <v>1192.8154320000001</v>
      </c>
      <c r="M73" s="3">
        <f>1507.4+(256-436)+(-0.768774+(-0.13056--0.22236))+0-28.7--0.0146369999999971</f>
        <v>1298.0376630000001</v>
      </c>
      <c r="N73" s="3">
        <f>1687.7+(208.9-348.2)+(2.582181+(0.319617-0.532746))+0-30.4-0.0465120000000018</f>
        <v>1520.3225400000001</v>
      </c>
      <c r="O73" s="3">
        <f>1851.5+(171.9-334.9)+(-0.944265+(-0.087669--0.170799))+0-30.8--0.0157079999999969</f>
        <v>1656.8545729999998</v>
      </c>
      <c r="P73" s="3">
        <f>2050.7+(157.9-461.8)+(0+(0-0))+0-28.8-0</f>
        <v>1717.9999999999998</v>
      </c>
      <c r="Q73" s="3">
        <f>2179.2+(154.4-522.9)+(0+(0-0))+0-30.4-0</f>
        <v>1780.2999999999997</v>
      </c>
      <c r="R73" s="3">
        <f>2234.1+(155.9-562.9)+(1.139391+(0.079509-0.287079))+0-29.6-0.015095999999997</f>
        <v>1798.4167249999998</v>
      </c>
      <c r="S73" s="3">
        <f>2223.4+(153.2-589.3)+(-4.535736+(-0.312528--1.202172))+0-29.1--0.0593639999999987</f>
        <v>1754.6132720000003</v>
      </c>
      <c r="T73" s="3">
        <f>2221.3+(149-631.2)+(-4.531452+(-0.30396--1.287648))+0-29.3--0.0597719999999987</f>
        <v>1706.3120080000003</v>
      </c>
      <c r="U73" s="3">
        <f>2224.1+(214-691)+(-2.268582+(-0.21828--0.70482))+0-29.8--0.0303960000000048</f>
        <v>1715.548354</v>
      </c>
      <c r="V73" s="3">
        <f>2194.4+(250.9-705.5)+(-4.476576+(-0.511836--1.43922))+0-29.7--0.0605879999999987</f>
        <v>1706.6113960000002</v>
      </c>
      <c r="W73" s="3">
        <f>2159.8+(283-737.8)+(-5.50749+(-0.72165--1.88139))+0-29.3--0.0747149999999958</f>
        <v>1671.4269650000003</v>
      </c>
      <c r="X73" s="3">
        <f>2078.5+(286.6-695.5)+(-10.60035+(-1.46166--3.54705))+0-29.4--0.149940000000002</f>
        <v>1631.8349799999999</v>
      </c>
      <c r="Y73" s="3">
        <f>1888+(286.5-553.5)+(-2.88864+(-0.438345--0.846855))+0-29.9--0.0457470000000017</f>
        <v>1588.6656169999999</v>
      </c>
      <c r="Z73" s="3">
        <f>2033.6+(303.2-677.5)+(1.037136+(0.154632-0.345525))+0-29.8-0.015197999999997</f>
        <v>1630.3310449999999</v>
      </c>
      <c r="AA73" s="3">
        <f>2261.2+(310.2-720.1)+(-4.612848+(-0.632808--1.469004))+0-29.6--0.0603839999999987</f>
        <v>1817.9837319999997</v>
      </c>
      <c r="AB73" s="3">
        <f>2154.6+(311.4-650.8)+(-2.197692+(-0.317628--0.663816))+0-29.8--0.0303960000000048</f>
        <v>1783.578892</v>
      </c>
      <c r="AC73" s="3">
        <f>2070.6+(311.8-675.3)+(-5.28003+(-0.79509--1.722015))+0-29.1--0.0742049999999958</f>
        <v>1673.7211</v>
      </c>
      <c r="AD73">
        <v>1816.7</v>
      </c>
      <c r="AE73" s="3">
        <f>2280.5+(310.7-750.3)+(0+(0-0))+0-30.4-0</f>
        <v>1810.5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1927.8+(243.3-658.8)+(-4.91589+(-0.620415--1.67994))+0-28.8--0.0734399999999958</f>
        <v>1479.7170749999998</v>
      </c>
      <c r="G74" s="3">
        <f>1744.3+(257.9-628.2)+(-4.447965+(-0.657645--1.60191))+0-28.3--0.0721649999999959</f>
        <v>1342.2684650000001</v>
      </c>
      <c r="H74" s="3">
        <f>1451.1+(266.8-441)+(0.740061+(0.136068-0.22491))+0-28.7-0.0146369999999971</f>
        <v>1248.8365819999999</v>
      </c>
      <c r="I74" s="3">
        <f>1453.5+(270.7-478.8)+(-0.741285+(-0.138057--0.244188))+0-28.7--0.0146369999999971</f>
        <v>1216.079483</v>
      </c>
      <c r="J74" s="3">
        <f>1451.8+(275.5-485.7)+(-5.182926+(-0.983535--1.733949))+0-29.4--0.104958</f>
        <v>1207.8724459999996</v>
      </c>
      <c r="K74" s="3">
        <f>1353.5+(285-396.3)+(-6.212565+(-1.30815--1.819017))+0-27--0.123930000000005</f>
        <v>1209.6222319999999</v>
      </c>
      <c r="L74" s="3">
        <f>1307.8+(296.2-373.1)+(-3.33489+(-0.75531--0.951405))+0-27.5--0.070124999999996</f>
        <v>1200.3313299999998</v>
      </c>
      <c r="M74" s="3">
        <f>1356.9+(287.1-294.2)+(2.076057+(0.439263-0.450126))+0-27.6-0.0422280000000016</f>
        <v>1324.2229660000003</v>
      </c>
      <c r="N74" s="3">
        <f>1549.7+(284.7-279.6)+(2.371041+(0.435591-0.427788))+0-28.5-0.0436050000000016</f>
        <v>1528.635239</v>
      </c>
      <c r="O74" s="3">
        <f>1811.6+(268.2-392.1)+(3.695664+(0.547128-0.799884))+0-28.7-0.0585479999999987</f>
        <v>1662.3843599999998</v>
      </c>
      <c r="P74" s="3">
        <f>1941.9+(280.1-449)+(2.971107+(0.428553-0.68697))+0-28.4-0.0434520000000016</f>
        <v>1747.2692380000001</v>
      </c>
      <c r="Q74" s="3">
        <f>2090.6+(277-539.8)+(0+(0-0))+0-29.3-0</f>
        <v>1798.5</v>
      </c>
      <c r="R74" s="3">
        <f>2164.4+(298.3-632.4)+(-1.103844+(-0.152133--0.322524))+0-28.7--0.0146369999999971</f>
        <v>1800.681184</v>
      </c>
      <c r="S74" s="3">
        <f>2125.3+(286.2-623.6)+(-5.419515+(-0.72981--1.59018))+0-28.5--0.0726749999999959</f>
        <v>1754.91353</v>
      </c>
      <c r="T74" s="3">
        <f>2053.1+(259.2-592.5)+(-6.282486+(-0.793152--1.81305))+0-28.7--0.0878220000000033</f>
        <v>1685.9252339999998</v>
      </c>
      <c r="U74" s="3">
        <f>2022.6+(243.3-555.1)+(-3.094578+(-0.372249--0.849303))+0-29.8--0.0455940000000017</f>
        <v>1678.4280699999999</v>
      </c>
      <c r="V74" s="3">
        <f>1948.5+(245.1-500)+(0+(0-0))+0-28.6-0</f>
        <v>1665</v>
      </c>
      <c r="W74" s="3">
        <f>1759.2+(248-363.6)+(1.794384+(0.25296-0.370872))+0-29.1-0.0296820000000046</f>
        <v>1616.14679</v>
      </c>
      <c r="X74" s="3">
        <f>1589.9+(254.5-256.9)+(-2.432547+(-0.389385--0.393057))+0-29--0.0443700000000017</f>
        <v>1556.115495</v>
      </c>
      <c r="Y74" s="3">
        <f>1533+(295.8-321.9)+(0.78183+(0.150858-0.164169))+0-29.2-0.014891999999997</f>
        <v>1478.4536270000001</v>
      </c>
      <c r="Z74" s="3">
        <f>1826.5+(306.7-553.7)+(-2.794545+(-0.469251--0.847161))+0-28.9--0.0442170000000017</f>
        <v>1548.2275819999998</v>
      </c>
      <c r="AA74" s="3">
        <f>2042.9+(309.5-529.5)+(-2.083758+(-0.31569--0.54009))+0-29.3--0.0298860000000047</f>
        <v>1791.7705280000002</v>
      </c>
      <c r="AB74" s="3">
        <f>2035+(308.9-541)+(-3.11355+(-0.472617--0.82773))+0-29.3--0.0448290000000017</f>
        <v>1770.8863920000001</v>
      </c>
      <c r="AC74" s="3">
        <f>2002.1+(308.3-599.4)+(0+(0-0))+0-28.8-0</f>
        <v>1682.2</v>
      </c>
      <c r="AD74">
        <v>1831.6</v>
      </c>
      <c r="AE74" s="3">
        <f>2054.5+(317.2-494.5)+(0+(0-0))+0-31.2-0</f>
        <v>1846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1973.8+(281.1-687.2)+(-2.013276+(-0.286722--0.700944))+0-29--0.0295800000000046</f>
        <v>1537.1305259999997</v>
      </c>
      <c r="G75" s="3">
        <f>1921.7+(278.7-777.3)+(-3.920268+(-0.568548--1.585692))+0-28.8--0.0587519999999987</f>
        <v>1391.4556280000002</v>
      </c>
      <c r="H75" s="3">
        <f>1866.7+(284.8-814.4)+(-3.808068+(-0.580992--1.661376))+0-29.5--0.0601799999999987</f>
        <v>1304.9324960000001</v>
      </c>
      <c r="I75" s="3">
        <f>1816.6+(285.1-804.4)+(0.926466+(0.145401-0.410244))+0-29-0.0147899999999971</f>
        <v>1268.946833</v>
      </c>
      <c r="J75" s="3">
        <f>1817.5+(288.9-834.4)+(-1.85385+(-0.294678--0.851088))+0-27.7--0.0282540000000044</f>
        <v>1243.030814</v>
      </c>
      <c r="K75" s="3">
        <f>1760.3+(306.2-804.2)+(-1.795506+(-0.312324--0.820284))+0-28.2--0.0287640000000045</f>
        <v>1232.8412179999998</v>
      </c>
      <c r="L75" s="3">
        <f>1605.2+(293.6-699.3)+(-4.09326+(-0.74868--1.783215))+0-28.2--0.0719099999999959</f>
        <v>1168.3131849999997</v>
      </c>
      <c r="M75" s="3">
        <f>1506.6+(270.6-531.7)+(0+(0-0))+0-28.3-0</f>
        <v>1217.2</v>
      </c>
      <c r="N75" s="3">
        <f>1537.5+(286.6-486.6)+(2.352375+(0.438498-0.744498))+0-28.7-0.0439110000000017</f>
        <v>1310.8024639999999</v>
      </c>
      <c r="O75" s="3">
        <f>1703.5+(285.7-554.2)+(2.606355+(0.437121-0.847926))+0-29.9-0.0457470000000017</f>
        <v>1407.2498029999999</v>
      </c>
      <c r="P75" s="3">
        <f>1929.7+(287.3-684.7)+(4.920735+(0.732615-1.745985))+0-30.1-0.0767549999999956</f>
        <v>1506.03061</v>
      </c>
      <c r="Q75" s="3">
        <f>1944.9+(294.3-666.2)+(2.975697+(0.450279-1.019286))+0-30.9-0.0472770000000018</f>
        <v>1544.459413</v>
      </c>
      <c r="R75" s="3">
        <f>1935.8+(295.1-669.6)+(-1.974516+(-0.301002--0.682992))+0-29.7--0.0302940000000047</f>
        <v>1530.0377679999999</v>
      </c>
      <c r="S75" s="3">
        <f>1885.3+(296-638)+(-0.961503+(-0.15096--0.32538))+0-27.6--0.0140759999999972</f>
        <v>1514.926993</v>
      </c>
      <c r="T75" s="3">
        <f>1876.4+(295.8-663.5)+(0+(0-0))+0-28-0</f>
        <v>1480.7</v>
      </c>
      <c r="U75" s="3">
        <f>1874.9+(295.5-690)+(0+(0-0))+0-28.2-0</f>
        <v>1452.2</v>
      </c>
      <c r="V75" s="3">
        <f>1887+(295.5-712.6)+(-2.88711+(-0.452115--1.090278))+0-29.2--0.0446760000000017</f>
        <v>1438.495729</v>
      </c>
      <c r="W75" s="3">
        <f>1934.7+(295-768.4)+(-4.933485+(-0.75225--1.95942))+0-28.7--0.0731849999999958</f>
        <v>1428.94687</v>
      </c>
      <c r="X75" s="3">
        <f>1844+(286.3-676.5)+(-4.7022+(-0.730065--1.725075))+0-28.8--0.0734399999999958</f>
        <v>1421.3662499999998</v>
      </c>
      <c r="Y75" s="3">
        <f>1704+(297.1-589.5)+(-1.73808+(-0.303042--0.60129))+0-28.8--0.0293760000000046</f>
        <v>1381.3895439999999</v>
      </c>
      <c r="Z75" s="3">
        <f>1812.3+(316.9-637.9)+(-1.848546+(-0.323238--0.650658))+0-29.7--0.0302940000000047</f>
        <v>1460.1091679999997</v>
      </c>
      <c r="AA75" s="3">
        <f>1973.4+(330.8-571)+(-4.025736+(-0.674832--1.16484))+0-29--0.0591599999999987</f>
        <v>1700.723432</v>
      </c>
      <c r="AB75" s="3">
        <f>1874.8+(334.5-464.6)+(-3.824592+(-0.68238--0.947784))+0-29.5--0.0601799999999987</f>
        <v>1711.7009919999998</v>
      </c>
      <c r="AC75" s="3">
        <f>1898.1+(321.3-558.1)+(-1.936062+(-0.327726--0.569262))+0-29.3--0.0298860000000047</f>
        <v>1630.33536</v>
      </c>
      <c r="AD75">
        <v>1717.6999999999998</v>
      </c>
      <c r="AE75" s="3">
        <f>1887.5+(335.4-473.8)+(0+(0-0))+0-28-0</f>
        <v>1721.1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2016.2+(280.8-790.7)+(-4.113048+(-0.572832--1.613028))+0-29--0.0591599999999987</f>
        <v>1474.286308</v>
      </c>
      <c r="G76" s="3">
        <f>2055.3+(295.4-988.8)+(0+(0-0))+0-28.8-0</f>
        <v>1333.1000000000001</v>
      </c>
      <c r="H76" s="3">
        <f>1971.3+(299.6-982.6)+(-3.016089+(-0.458388--1.503378))+0-28.6--0.0437580000000017</f>
        <v>1257.772659</v>
      </c>
      <c r="I76" s="3">
        <f>1874.9+(304.3-917.7)+(-1.912398+(-0.310386--0.936054))+0-27.9--0.0284580000000044</f>
        <v>1232.3417279999999</v>
      </c>
      <c r="J76" s="3">
        <f>1783.9+(305.5-855.1)+(0.909789+(0.155805-0.436101))+0-27.4-0.0139739999999972</f>
        <v>1207.515519</v>
      </c>
      <c r="K76" s="3">
        <f>1686.4+(309.1-764.7)+(-5.160384+(-0.945846--2.339982))+0-27.4--0.0838440000000032</f>
        <v>1199.7175960000002</v>
      </c>
      <c r="L76" s="3">
        <f>1648.6+(308.8-786.3)+(-2.522358+(-0.472464--1.203039))+0-27.7--0.0423810000000016</f>
        <v>1141.6505979999999</v>
      </c>
      <c r="M76" s="3">
        <f>1686.4+(292.4-730.1)+(1.720128+(0.298248-0.744702))+0-28.9-0.0294780000000046</f>
        <v>1221.0441960000001</v>
      </c>
      <c r="N76" s="3">
        <f>1763.9+(286.4-664.7)+(-4.497945+(-0.73032--1.694985))+0-30.1--0.0767549999999956</f>
        <v>1352.0434749999999</v>
      </c>
      <c r="O76" s="3">
        <f>1705.3+(312.9-519.5)+(-0.869703+(-0.159579--0.264945))+0-29.4--0.014993999999997</f>
        <v>1468.5506569999995</v>
      </c>
      <c r="P76" s="3">
        <f>1782.4+(311.4-501.5)+(0+(0-0))+0-29-0</f>
        <v>1563.3000000000002</v>
      </c>
      <c r="Q76" s="3">
        <f>1918.4+(306.1-561.6)+(0.978384+(0.156111-0.286416))+0-30.4-0.0155039999999969</f>
        <v>1633.3325750000001</v>
      </c>
      <c r="R76" s="3">
        <f>1951.7+(304.5-616.6)+(0+(0-0))+0-28.7-0</f>
        <v>1610.8999999999999</v>
      </c>
      <c r="S76" s="3">
        <f>1990.1+(306.6-709.8)+(-1.014951+(-0.156366--0.361998))+0-29.1--0.014840999999997</f>
        <v>1557.0055220000002</v>
      </c>
      <c r="T76" s="3">
        <f>2008.1+(308.1-755.4)+(-5.120655+(-0.785655--1.92627))+0-29.4--0.0749699999999957</f>
        <v>1527.4949299999998</v>
      </c>
      <c r="U76" s="3">
        <f>1954.7+(306.6-701.6)+(-1.993794+(-0.312732--0.715632))+0-30.3--0.0309060000000048</f>
        <v>1527.8400120000001</v>
      </c>
      <c r="V76" s="3">
        <f>1754.6+(319-531.4)+(-4.47423+(-0.81345--1.35507))+0-30.1--0.0767549999999956</f>
        <v>1508.2441449999999</v>
      </c>
      <c r="W76" s="3">
        <f>1615.5+(323-436.3)+(-3.29562+(-0.65892--0.890052))+0-30.2--0.0616079999999987</f>
        <v>1468.99712</v>
      </c>
      <c r="X76" s="3">
        <f>1572.1+(328.1-402.3)+(-4.810626+(-1.003986--1.231038))+0-29.7--0.0908820000000034</f>
        <v>1463.7073079999998</v>
      </c>
      <c r="Y76" s="3">
        <f>1573.7+(325.9-466.1)+(-2.407761+(-0.498627--0.713133))+0-30.5--0.0466650000000018</f>
        <v>1400.8534100000002</v>
      </c>
      <c r="Z76" s="3">
        <f>1892.8+(321.5-726.1)+(-1.930656+(-0.32793--0.740622))+0-30.4--0.0310080000000048</f>
        <v>1456.3130439999998</v>
      </c>
      <c r="AA76" s="3">
        <f>2076.1+(333.6-712)+(-4.235244+(-0.680544--1.45248))+0-30.3--0.0618119999999987</f>
        <v>1663.9985039999997</v>
      </c>
      <c r="AB76" s="3">
        <f>1979.3+(328.1-623.2)+(-3.028329+(-0.501993--0.953496))+0-30.2--0.0462060000000017</f>
        <v>1651.4693799999998</v>
      </c>
      <c r="AC76" s="3">
        <f>1727.5+(329.6-460.6)+(-2.643075+(-0.504288--0.704718))+0-29.4--0.0449820000000017</f>
        <v>1564.7023369999997</v>
      </c>
      <c r="AD76">
        <v>1684</v>
      </c>
      <c r="AE76" s="3">
        <f>2080.9+(340.5-685.8)+(0+(0-0))+0-30.4-0</f>
        <v>1705.2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1545.9+(318.1-387.2)+(-3.153636+(-0.648924--0.789888))+0-29.7--0.0605879999999987</f>
        <v>1444.1479160000001</v>
      </c>
      <c r="G77" s="3">
        <f>1528.4+(317.9-493.2)+(0.779484+(0.162129-0.251532))+0-30.9-0.0157589999999969</f>
        <v>1322.8743220000001</v>
      </c>
      <c r="H77" s="3">
        <f>1532.5+(313.2-557.2)+(-1.56315+(-0.319464--0.568344))+0-30.7--0.0313140000000049</f>
        <v>1256.5170439999999</v>
      </c>
      <c r="I77" s="3">
        <f>1531.8+(307.3-586.8)+(0+(0-0))+0-30.3-0</f>
        <v>1222</v>
      </c>
      <c r="J77" s="3">
        <f>1533.2+(305.3-597.3)+(2.345796+(0.467109-0.913869))+0-29-0.0443700000000017</f>
        <v>1214.054666</v>
      </c>
      <c r="K77" s="3">
        <f>1482.2+(301.8-544.8)+(-4.535532+(-0.923508--1.667088))+0-28.4--0.0869040000000033</f>
        <v>1207.0949519999999</v>
      </c>
      <c r="L77" s="3">
        <f>1431.4+(295.7-542.7)+(-1.460028+(-0.301614--0.553554))+0-28.6--0.0291720000000046</f>
        <v>1154.6210840000001</v>
      </c>
      <c r="M77" s="3">
        <f>1471.5+(298.2-506.9)+(0.750465+(0.152082-0.258519))+0-29.2-0.014891999999997</f>
        <v>1234.2291359999999</v>
      </c>
      <c r="N77" s="3">
        <f>1521.3+(305.2-427.6)+(0+(0-0))+0-30.5-0</f>
        <v>1368.3999999999999</v>
      </c>
      <c r="O77" s="3">
        <f>1655.5+(316.9-445.3)+(-1.68861+(-0.323238--0.454206))+0-30.1--0.0307020000000048</f>
        <v>1495.47306</v>
      </c>
      <c r="P77" s="3">
        <f>1718.8+(322.2-441.2)+(0+(0-0))+0-30.4-0</f>
        <v>1569.3999999999999</v>
      </c>
      <c r="Q77" s="3">
        <f>1948.3+(298-603.6)+(0.993633+(0.15198-0.307836))+0-30.1-0.0153509999999969</f>
        <v>1613.4224259999999</v>
      </c>
      <c r="R77" s="3">
        <f>1951.5+(299-590.6)+(1.99053+(0.30498-0.602412))+0-29-0.0295800000000046</f>
        <v>1632.5635180000002</v>
      </c>
      <c r="S77" s="3">
        <f>1948.5+(298.4-621.1)+(-0.993735+(-0.152184--0.316761))+0-28.7--0.0146369999999971</f>
        <v>1596.2854789999999</v>
      </c>
      <c r="T77" s="3">
        <f>1940.8+(297.9-654.2)+(0.989808+(0.151929-0.333642))+0-29.2-0.014891999999997</f>
        <v>1556.0932030000001</v>
      </c>
      <c r="U77" s="3">
        <f>1937.6+(298.4-647.6)+(-1.976352+(-0.304368--0.660552))+0-29.7--0.0302940000000047</f>
        <v>1557.1101259999998</v>
      </c>
      <c r="V77" s="3">
        <f>1937.2+(298.7-626.9)+(-1.975944+(-0.304674--0.639438))+0-30.5--0.0311100000000049</f>
        <v>1576.8899299999998</v>
      </c>
      <c r="W77" s="3">
        <f>1939.2+(298.8-652.2)+(-4.94496+(-0.76194--1.66311))+0-30--0.0764999999999956</f>
        <v>1551.8327099999999</v>
      </c>
      <c r="X77" s="3">
        <f>1868.9+(295.1-607.2)+(-6.671973+(-1.053507--2.167704))+0-29.9--0.106743</f>
        <v>1521.448967</v>
      </c>
      <c r="Y77" s="3">
        <f>1741.2+(300.5-535.3)+(-1.776024+(-0.30651--0.546006))+0-29.4--0.0299880000000047</f>
        <v>1475.4934599999999</v>
      </c>
      <c r="Z77" s="3">
        <f>1875+(324.5-617.8)+(0.95625+(0.165495-0.315078))+0-29.8-0.015197999999997</f>
        <v>1552.6914690000001</v>
      </c>
      <c r="AA77" s="3">
        <f>2130.5+(313.6-625.5)+(-3.259665+(-0.479808--0.957015))+0-30.2--0.0462060000000017</f>
        <v>1785.6637479999999</v>
      </c>
      <c r="AB77" s="3">
        <f>2135.4+(299.8-636.5)+(-4.356216+(-0.611592--1.29846))+0-29.6--0.0603839999999987</f>
        <v>1765.4910360000001</v>
      </c>
      <c r="AC77" s="3">
        <f>2097.9+(306.2-704.2)+(-5.349645+(-0.78081--1.79571))+0-29.3--0.0747149999999958</f>
        <v>1666.33997</v>
      </c>
      <c r="AD77">
        <v>1761.7999999999997</v>
      </c>
      <c r="AE77" s="3">
        <f>2194+(304.7-695.3)+(0+(0-0))+0-30.4-0</f>
        <v>1773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1849.5+(288.6-631.6)+(-2.829735+(-0.441558--0.966348))+0-28.5--0.0436050000000016</f>
        <v>1475.73866</v>
      </c>
      <c r="G78" s="3">
        <f>1693.5+(295.7-640.9)+(-1.72737+(-0.301614--0.653718))+0-28.2--0.0287640000000045</f>
        <v>1318.7534979999998</v>
      </c>
      <c r="H78" s="3">
        <f>1680.2+(304.8-700.6)+(-1.713804+(-0.310896--0.714612))+0-28.2--0.0287640000000045</f>
        <v>1254.918676</v>
      </c>
      <c r="I78" s="3">
        <f>1588.5+(309.7-639.3)+(0.810135+(0.157947-0.326043))+0-27.4-0.0139739999999972</f>
        <v>1232.1280650000001</v>
      </c>
      <c r="J78" s="3">
        <f>1559+(310.6-614.8)+(-3.97545+(-0.79203--1.56774))+0-27.1--0.0691049999999961</f>
        <v>1224.5693650000003</v>
      </c>
      <c r="K78" s="3">
        <f>1557.5+(309.3-609)+(-5.560275+(-1.104201--2.17413))+0-27.1--0.0967470000000004</f>
        <v>1226.3064010000001</v>
      </c>
      <c r="L78" s="3">
        <f>1559.4+(304.1-618.9)+(1.590588+(0.310182-0.631278))+0-26.8-0.0273360000000043</f>
        <v>1219.042156</v>
      </c>
      <c r="M78" s="3">
        <f>1711.8+(308.2-658)+(0+(0-0))+0-28.4-0</f>
        <v>1333.6</v>
      </c>
      <c r="N78" s="3">
        <f>1919.7+(309.8-647.5)+(0+(0-0))+0-30.1-0</f>
        <v>1551.9</v>
      </c>
      <c r="O78" s="3">
        <f>2152.2+(300-759.9)+(1.097622+(0.153-0.387549))+0-30.2-0.0154019999999969</f>
        <v>1662.9476709999997</v>
      </c>
      <c r="P78" s="3">
        <f>2305.5+(302-795.3)+(2.35161+(0.30804-0.811206))+0-30.8-0.0314160000000049</f>
        <v>1783.217028</v>
      </c>
      <c r="Q78" s="3">
        <f>2303.2+(297.4-754.3)+(1.174632+(0.151674-0.384693))+0-30.5-0.0155549999999969</f>
        <v>1816.7260579999997</v>
      </c>
      <c r="R78" s="3">
        <f>2304.2+(296.9-763.1)+(1.175142+(0.151419-0.389181))+0-29-0.0147899999999971</f>
        <v>1809.9225899999999</v>
      </c>
      <c r="S78" s="3">
        <f>2295.1+(295-795.9)+(-2.341002+(-0.3009--0.811818))+0-29.2--0.0297840000000047</f>
        <v>1763.1996999999999</v>
      </c>
      <c r="T78" s="3">
        <f>2284+(293.4-809.6)+(-1.16484+(-0.149634--0.412896))+0-30.3--0.0154529999999969</f>
        <v>1736.613875</v>
      </c>
      <c r="U78" s="3">
        <f>2282.3+(293.2-849.7)+(-4.655892+(-0.598128--1.733388))+0-30.7--0.0626279999999987</f>
        <v>1691.6419960000001</v>
      </c>
      <c r="V78" s="3">
        <f>2291.3+(293.8-878.7)+(-8.179941+(-1.048866--3.136959))+0-30.7--0.109599</f>
        <v>1669.7177509999999</v>
      </c>
      <c r="W78" s="3">
        <f>2098.9+(301.2-719)+(-3.211317+(-0.460836--1.10007))+0-30.3--0.0463590000000018</f>
        <v>1648.2742760000001</v>
      </c>
      <c r="X78" s="3">
        <f>2040.8+(306.1-703.6)+(-5.20404+(-0.780555--1.79418))+0-30.5--0.0777749999999956</f>
        <v>1608.6873599999999</v>
      </c>
      <c r="Y78" s="3">
        <f>1865+(312.2-603.1)+(-2.85345+(-0.477666--0.922743))+0-30.9--0.0472770000000018</f>
        <v>1540.8389039999997</v>
      </c>
      <c r="Z78" s="3">
        <f>2067.3+(303.2-734.6)+(-2.108646+(-0.309264--0.749292))+0-31.4--0.032028000000005</f>
        <v>1602.8634100000002</v>
      </c>
      <c r="AA78" s="3">
        <f>2239.9+(300-707.2)+(-4.569396+(-0.612--1.442688))+0-30.6--0.0624239999999987</f>
        <v>1798.423716</v>
      </c>
      <c r="AB78" s="3">
        <f>2233.1+(301.8-744.8)+(-4.555524+(-0.615672--1.519392))+0-30.8--0.0628319999999987</f>
        <v>1755.7110279999999</v>
      </c>
      <c r="AC78" s="3">
        <f>2211.8+(301.5-813.2)+(-3.384054+(-0.461295--1.244196))+0-30.3--0.0463590000000018</f>
        <v>1667.2452060000001</v>
      </c>
      <c r="AD78">
        <v>1874.5000000000002</v>
      </c>
      <c r="AE78" s="3">
        <f>2259.3+(306-660.4)+(0+(0-0))+0-29.6-0</f>
        <v>1875.3000000000002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2155.5+(295.2-906.2)+(-5.496525+(-0.75276--2.31081))+0-30.4--0.0775199999999956</f>
        <v>1510.239045</v>
      </c>
      <c r="G79" s="3">
        <f>2079.9+(298.1-971.8)+(-4.242996+(-0.608124--1.982472))+0-30.1--0.0614039999999987</f>
        <v>1373.2927560000005</v>
      </c>
      <c r="H79" s="3">
        <f>1996.9+(300.2-968.8)+(-2.036838+(-0.306204--0.988176))+0-28.3--0.0288660000000045</f>
        <v>1298.6740000000004</v>
      </c>
      <c r="I79" s="3">
        <f>1939.8+(300.5-938.8)+(-4.94649+(-0.766275--2.39394))+0-28.5--0.0726749999999959</f>
        <v>1269.7538499999998</v>
      </c>
      <c r="J79" s="3">
        <f>1847.7+(301.6-868.5)+(-4.711635+(-0.76908--2.214675))+0-28.4--0.0724199999999959</f>
        <v>1249.2063800000001</v>
      </c>
      <c r="K79" s="3">
        <f>1848.7+(301.5-858.1)+(-4.714185+(-0.768825--2.188155))+0-28.6--0.0729299999999959</f>
        <v>1260.2780749999999</v>
      </c>
      <c r="L79" s="3">
        <f>1866.8+(300-896)+(0.952068+(0.153-0.45696))+0-28.8-0.0146879999999971</f>
        <v>1242.6334200000001</v>
      </c>
      <c r="M79" s="3">
        <f>1827.7+(298.9-737.8)+(0+(0-0))+0-29-0</f>
        <v>1359.8000000000002</v>
      </c>
      <c r="N79" s="3">
        <f>1819.8+(314.7-558.7)+(-1.856196+(-0.320994--0.569874))+0-30.7--0.0313140000000049</f>
        <v>1543.5239979999999</v>
      </c>
      <c r="O79" s="3">
        <f>2157.5+(304-745)+(-2.20065+(-0.31008--0.7599))+0-31--0.0316200000000049</f>
        <v>1683.78079</v>
      </c>
      <c r="P79" s="3">
        <f>2296.3+(302.4-788.9)+(-3.513339+(-0.462672--1.207017))+0-31.3--0.0478890000000018</f>
        <v>1775.7788950000001</v>
      </c>
      <c r="Q79" s="3">
        <f>2278.8+(301.5-716.5)+(1.162188+(0.153765-0.365415))+0-30.8-0.0157079999999969</f>
        <v>1833.9348300000004</v>
      </c>
      <c r="R79" s="3">
        <f>2264.6+(303.6-696.5)+(2.309892+(0.309672-0.71043))+0-29.4-0.0299880000000047</f>
        <v>1844.1791459999997</v>
      </c>
      <c r="S79" s="3">
        <f>2297.3+(299.1-761.6)+(-2.343246+(-0.305082--0.776832))+0-28.9--0.0294780000000046</f>
        <v>1804.057982</v>
      </c>
      <c r="T79" s="3">
        <f>2275.9+(296.3-776.3)+(-1.160709+(-0.151113--0.395913))+0-29.7--0.015146999999997</f>
        <v>1765.2992380000001</v>
      </c>
      <c r="U79" s="3">
        <f>2268.2+(304.2-773.3)+(-1.156782+(-0.155142--0.394383))+0-30.5--0.0155549999999969</f>
        <v>1767.6980139999998</v>
      </c>
      <c r="V79" s="3">
        <f>2267.3+(304.4-769.5)+(-2.312646+(-0.310488--0.78489))+0-31.3--0.031926000000005</f>
        <v>1769.0936820000004</v>
      </c>
      <c r="W79" s="3">
        <f>2259.4+(305.8-795.2)+(-3.456882+(-0.467874--1.216656))+0-30.8--0.0471240000000018</f>
        <v>1736.5390239999999</v>
      </c>
      <c r="X79" s="3">
        <f>2151.7+(291.6-723.5)+(-5.486835+(-0.74358--1.844925))+0-29.2--0.0744599999999958</f>
        <v>1686.2889699999998</v>
      </c>
      <c r="Y79" s="3">
        <f>1988.7+(299.7-646.9)+(-4.056948+(-0.611388--1.319676))+0-29.8--0.0607919999999987</f>
        <v>1608.4121319999999</v>
      </c>
      <c r="Z79" s="3">
        <f>2121.4+(302.4-745.8)+(0+(0-0))+0-30.5-0</f>
        <v>1647.5</v>
      </c>
      <c r="AA79" s="3">
        <f>2273+(310.7-686)+(-2.31846+(-0.316914--0.69972))+0-30.7--0.0313140000000049</f>
        <v>1865.09566</v>
      </c>
      <c r="AB79" s="3">
        <f>2265.1+(310.7-719.2)+(-3.465603+(-0.475371--1.100376))+0-28.9--0.0442170000000017</f>
        <v>1824.9036189999997</v>
      </c>
      <c r="AC79" s="3">
        <f>2241.2+(307.5-783.4)+(-1.143012+(-0.156825--0.399534))+0-28.5--0.0145349999999971</f>
        <v>1735.9142319999999</v>
      </c>
      <c r="AD79">
        <v>1857.8999999999999</v>
      </c>
      <c r="AE79" s="3">
        <f>2271.5+(306.8-676.4)+(0+(0-0))+0-30.4-0</f>
        <v>1871.5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2231.8+(307.6-960.4)+(-1.138218+(-0.156876--0.489804))+0-28.4--0.0144839999999971</f>
        <v>1549.8091940000002</v>
      </c>
      <c r="G80" s="3">
        <f>2149.9+(307.2-1013.8)+(-2.192898+(-0.313344--1.034076))+0-28.6--0.0291720000000046</f>
        <v>1413.2570060000003</v>
      </c>
      <c r="H80" s="3">
        <f>1952.4+(307.5-906.6)+(-1.991448+(-0.31365--0.924732))+0-28.9--0.0294780000000046</f>
        <v>1323.0491119999999</v>
      </c>
      <c r="I80" s="3">
        <f>1900.9+(307.5-885.4)+(-5.816754+(-0.94095--2.709324))+0-28.8--0.0881280000000033</f>
        <v>1290.2397480000002</v>
      </c>
      <c r="J80" s="3">
        <f>1840.5+(307.5-825.9)+(0.938655+(0.156825-0.421209))+0-28.8-0.0146879999999971</f>
        <v>1293.9595830000001</v>
      </c>
      <c r="K80" s="3">
        <f>1850.8+(308.2-830.4)+(-1.887816+(-0.314364--0.847008))+0-28.6--0.0291720000000046</f>
        <v>1298.674</v>
      </c>
      <c r="L80" s="3">
        <f>1861.7+(312-863.4)+(-1.898934+(-0.31824--0.880668))+0-28.1--0.0286620000000045</f>
        <v>1280.8921560000001</v>
      </c>
      <c r="M80" s="3">
        <f>1969.6+(311.7-856.8)+(2.008992+(0.317934-0.873936))+0-29.4-0.0299880000000047</f>
        <v>1396.5230019999999</v>
      </c>
      <c r="N80" s="3">
        <f>2067.4+(311.6-757.8)+(3.163122+(0.476748-1.159434))+0-30.1-0.0460530000000017</f>
        <v>1593.5343830000004</v>
      </c>
      <c r="O80" s="3">
        <f>2127.4+(310.9-686.3)+(1.084974+(0.158559-0.350013))+0-30.1-0.0153509999999969</f>
        <v>1722.7781690000002</v>
      </c>
      <c r="P80" s="3">
        <f>2182.6+(312.9-649.2)+(1.113126+(0.159579-0.331092))+0-29.4-0.014993999999997</f>
        <v>1817.8266189999997</v>
      </c>
      <c r="Q80" s="3">
        <f>2163.5+(313.5-583.2)+(0+(0-0))+0-30.1-0</f>
        <v>1863.7</v>
      </c>
      <c r="R80" s="3">
        <f>2230.6+(307.3-672.4)+(1.137606+(0.156723-0.342924))+0-29.5-0.015044999999997</f>
        <v>1836.9363599999999</v>
      </c>
      <c r="S80" s="3">
        <f>2228.6+(296.1-694.4)+(-3.409758+(-0.453033--1.062432))+0-26.9--0.0411570000000016</f>
        <v>1800.6407979999999</v>
      </c>
      <c r="T80" s="3">
        <f>2163.6+(299.4-688.7)+(2.206872+(0.305388-0.702474))+0-29.6-0.0301920000000047</f>
        <v>1746.4795939999999</v>
      </c>
      <c r="U80" s="3">
        <f>2109.7+(294.5-663.5)+(-4.303788+(-0.60078--1.35354))+0-30.4--0.0620159999999987</f>
        <v>1706.8109879999997</v>
      </c>
      <c r="V80" s="3">
        <f>2166.9+(299.6-721)+(-3.315357+(-0.458388--1.10313))+0-30--0.0459000000000017</f>
        <v>1712.8752850000001</v>
      </c>
      <c r="W80" s="3">
        <f>2127.3+(301.3-707)+(-2.169846+(-0.307326--0.72114))+0-31.2--0.031824000000005</f>
        <v>1688.675792</v>
      </c>
      <c r="X80" s="3">
        <f>2012.3+(298.9-642.7)+(-8.210184+(-1.219512--2.622216))+0-30.3--0.123623999999997</f>
        <v>1631.5161440000002</v>
      </c>
      <c r="Y80" s="3">
        <f>1881+(308.2-597.7)+(-1.91862+(-0.314364--0.609654))+0-30.8--0.0314160000000049</f>
        <v>1559.1080860000002</v>
      </c>
      <c r="Z80" s="3">
        <f>1915+(319.4-605.9)+(-3.9066+(-0.651576--1.236036))+0-30.4--0.0620159999999987</f>
        <v>1594.839876</v>
      </c>
      <c r="AA80" s="3">
        <f>2161.5+(312-625.3)+(-5.511825+(-0.7956--1.594515))+0-31.2--0.0795599999999955</f>
        <v>1812.3666499999999</v>
      </c>
      <c r="AB80" s="3">
        <f>2008.3+(323.2-520.4)+(-4.096932+(-0.659328--1.061616))+0-29--0.0591599999999987</f>
        <v>1778.464516</v>
      </c>
      <c r="AC80" s="3">
        <f>1920.1+(316.6-536.3)+(-3.917004+(-0.645864--1.094052))+0-29.9--0.0609959999999987</f>
        <v>1667.0921799999999</v>
      </c>
      <c r="AD80">
        <v>1854.1000000000001</v>
      </c>
      <c r="AE80" s="3">
        <f>2187.4+(308.2-599.3)+(0+(0-0))+0-28.8-0</f>
        <v>1867.5000000000002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1812.4+(308.9-590.1)+(0+(0-0))+0-29.3-0</f>
        <v>1501.9</v>
      </c>
      <c r="G81" s="3">
        <f>1685.6+(311.3-617.4)+(-0.859656+(-0.158763--0.314874))+0-28.7--0.0146369999999971</f>
        <v>1350.1110919999999</v>
      </c>
      <c r="H81" s="3">
        <f>1690.8+(311.5-679.8)+(0.862308+(0.158865-0.346698))+0-28.7-0.0146369999999971</f>
        <v>1294.459838</v>
      </c>
      <c r="I81" s="3">
        <f>1655.6+(312.5-663.5)+(-0.844356+(-0.159375--0.338385))+0-28.8--0.0146879999999971</f>
        <v>1275.1493419999999</v>
      </c>
      <c r="J81" s="3">
        <f>1655+(314.1-672.2)+(-0.84405+(-0.160191--0.342822))+0-22.3--0.0113729999999977</f>
        <v>1273.9499540000002</v>
      </c>
      <c r="K81" s="3">
        <f>1614.8+(309.1-639.6)+(-4.11774+(-0.788205--1.63098))+0-24--0.0611999999999965</f>
        <v>1257.086235</v>
      </c>
      <c r="L81" s="3">
        <f>1577.9+(311.8-626.2)+(-1.609458+(-0.318036--0.638724))+0-28.5--0.0290700000000045</f>
        <v>1233.7402999999999</v>
      </c>
      <c r="M81" s="3">
        <f>1745.8+(310.7-665.3)+(1.780716+(0.316914-0.678606))+0-29-0.0295800000000046</f>
        <v>1363.5894440000002</v>
      </c>
      <c r="N81" s="3">
        <f>1986.7+(311.5-717.5)+(3.039651+(0.476595-1.097775))+0-30.5-0.0466650000000018</f>
        <v>1552.5718059999999</v>
      </c>
      <c r="O81" s="3">
        <f>2117.2+(315.2-725.6)+(0+(0-0))+0-18.1-0</f>
        <v>1688.6999999999998</v>
      </c>
      <c r="P81" s="3">
        <f>2135.1+(307.2-674.4)+(0+(0-0))+0-9.3-0</f>
        <v>1758.6</v>
      </c>
      <c r="Q81" s="3">
        <f>2138.6+(306.8-635.2)+(2.181372+(0.312936-0.647904))+0-8.1-0.00826200000000129</f>
        <v>1803.9381419999997</v>
      </c>
      <c r="R81" s="3">
        <f>2137.9+(303.6-636.7)+(-1.090329+(-0.154836--0.324717))+0-6--0.00305999999999939</f>
        <v>1797.8826120000001</v>
      </c>
      <c r="S81" s="3">
        <f>2110.3+(304.6-676.2)+(-4.305012+(-0.621384--1.379448))+0-5.1--0.0104039999999998</f>
        <v>1730.0634560000005</v>
      </c>
      <c r="T81" s="3">
        <f>2132.2+(292.3-749.7)+(-4.349688+(-0.596292--1.529388))+0-4.9--0.00999599999999979</f>
        <v>1666.4934039999996</v>
      </c>
      <c r="U81" s="3">
        <f>2138.5+(293-773.8)+(-1.090635+(-0.14943--0.394638))+0-5.7--0.00290699999999942</f>
        <v>1651.1574800000001</v>
      </c>
      <c r="V81" s="3">
        <f>2133.7+(294.3-782.4)+(-5.440935+(-0.750465--1.99512))+0-5.2--0.0132599999999992</f>
        <v>1636.2169799999999</v>
      </c>
      <c r="W81" s="3">
        <f>2135.8+(295.7-818.2)+(-2.178516+(-0.301614--0.834564))+0-4.9--0.00499800000000078</f>
        <v>1606.7594320000003</v>
      </c>
      <c r="X81" s="3">
        <f>2016+(303.8-740.8)+(-6.16896+(-0.929628--2.266848))+0-4.1--0.0125460000000005</f>
        <v>1570.0808059999999</v>
      </c>
      <c r="Y81" s="3">
        <f>1808.8+(315.3-618)+(-0.922488+(-0.160803--0.31518))+0-4.6--0.00234599999999953</f>
        <v>1500.7342349999999</v>
      </c>
      <c r="Z81" s="3">
        <f>1835.5+(326.1-607.1)+(-2.808315+(-0.498933--0.928863))+0-3.9--0.00596700000000023</f>
        <v>1548.227582</v>
      </c>
      <c r="AA81" s="3">
        <f>1808.8+(360-389.7)+(-2.767464+(-0.5508--0.596241))+0-3.6--0.00550800000000021</f>
        <v>1772.7834849999999</v>
      </c>
      <c r="AB81" s="3">
        <f>1742.2+(345.7-330.2)+(-5.331132+(-1.057842--1.010412))+0-19.2--0.0587520000000022</f>
        <v>1733.1801899999998</v>
      </c>
      <c r="AC81" s="3">
        <f>1746.5+(329-404.7)+(-1.78143+(-0.33558--0.412794))+0-25.6--0.0261120000000041</f>
        <v>1643.521896</v>
      </c>
      <c r="AD81">
        <v>1796.7</v>
      </c>
      <c r="AE81" s="3">
        <f>1789+(369.9-334.2)+(0+(0-0))+0-4-0</f>
        <v>1820.7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1677.3+(316-473.1)+(-3.421692+(-0.64464--0.965124))+0-26.6--0.0542639999999988</f>
        <v>1490.553056</v>
      </c>
      <c r="G82" s="3">
        <f>1530+(310.1-475)+(-3.9015+(-0.790755--1.21125))+0-27.8--0.070889999999996</f>
        <v>1333.8898849999998</v>
      </c>
      <c r="H82" s="3">
        <f>1444.8+(306.3-466.9)+(-1.473696+(-0.312426--0.476238))+0-28.4--0.0289680000000045</f>
        <v>1254.519084</v>
      </c>
      <c r="I82" s="3">
        <f>1442.3+(306.7-503.7)+(-0.735573+(-0.156417--0.256887))+0-28.8--0.0146879999999971</f>
        <v>1215.8795849999999</v>
      </c>
      <c r="J82" s="3">
        <f>1443.3+(306.7-521.7)+(-1.472166+(-0.312834--0.532134))+0-28.3--0.0288660000000045</f>
        <v>1198.7760000000001</v>
      </c>
      <c r="K82" s="3">
        <f>1445.3+(307.3-522.2)+(-3.685515+(-0.783615--1.33161))+0-28--0.0713999999999959</f>
        <v>1199.3338799999999</v>
      </c>
      <c r="L82" s="3">
        <f>1446+(306.5-595.4)+(0+(0-0))+0-28.3-0</f>
        <v>1128.8</v>
      </c>
      <c r="M82" s="3">
        <f>1444.6+(306.5-564)+(0.736746+(0.156315-0.28764))+0-29.5-0.015044999999997</f>
        <v>1158.1903759999998</v>
      </c>
      <c r="N82" s="3">
        <f>1444.4+(309.3-456.3)+(-0.736644+(-0.157743--0.232713))+0-30.1--0.0153509999999969</f>
        <v>1266.6536770000002</v>
      </c>
      <c r="O82" s="3">
        <f>1445.1+(318.2-365.5)+(-0.737001+(-0.162282--0.186405))+0-30.6--0.0156059999999969</f>
        <v>1366.5027279999999</v>
      </c>
      <c r="P82" s="3">
        <f>1854.1+(302.9-684.8)+(-0.945591+(-0.154479--0.349248))+0-29.9--0.015248999999997</f>
        <v>1441.5644269999998</v>
      </c>
      <c r="Q82" s="3">
        <f>1936.8+(303.4-694.9)+(0.987768+(0.154734-0.354399))+0-29.9-0.015248999999997</f>
        <v>1516.1728539999999</v>
      </c>
      <c r="R82" s="3">
        <f>1933.8+(303.6-685.5)+(-0.986238+(-0.154836--0.349605))+0-28--0.0142799999999972</f>
        <v>1523.1228110000002</v>
      </c>
      <c r="S82" s="3">
        <f>1928.6+(303.4-707.9)+(-1.967172+(-0.309468--0.722058))+0-27.6--0.0281520000000044</f>
        <v>1494.9735700000001</v>
      </c>
      <c r="T82" s="3">
        <f>1923.2+(307.8-729.8)+(-3.923328+(-0.627912--1.488792))+0-27.9--0.0569159999999988</f>
        <v>1470.2944680000001</v>
      </c>
      <c r="U82" s="3">
        <f>1927.1+(308.2-768.3)+(-2.948463+(-0.471546--1.175499))+0-28.2--0.0431460000000016</f>
        <v>1436.5986359999999</v>
      </c>
      <c r="V82" s="3">
        <f>1858.5+(308.5-711.7)+(-2.843505+(-0.472005--1.088901))+0-30--0.0459000000000017</f>
        <v>1423.119291</v>
      </c>
      <c r="W82" s="3">
        <f>1705.8+(309.1-548.6)+(-4.34979+(-0.788205--1.39893))+0-30--0.0764999999999956</f>
        <v>1432.6374349999999</v>
      </c>
      <c r="X82" s="3">
        <f>1704.3+(305.8-555.1)+(-4.345965+(-0.77979--1.415505))+0-30--0.0764999999999956</f>
        <v>1421.3662499999998</v>
      </c>
      <c r="Y82" s="3">
        <f>1720.9+(310.4-605.9)+(-1.755318+(-0.316608--0.618018))+0-30.1--0.0307020000000048</f>
        <v>1393.8767940000002</v>
      </c>
      <c r="Z82" s="3">
        <f>1728.5+(324.7-537)+(0.881535+(0.165597-0.27387))+0-29.1-0.014840999999997</f>
        <v>1487.8584210000001</v>
      </c>
      <c r="AA82" s="3">
        <f>1726.6+(362.5-374.2)+(-3.522264+(-0.7395--0.763368))+0-28.7--0.0585479999999987</f>
        <v>1682.7601519999998</v>
      </c>
      <c r="AB82" s="3">
        <f>1728.4+(363.3-377)+(-1.762968+(-0.370566--0.38454))+0-27.7--0.0282540000000044</f>
        <v>1685.27926</v>
      </c>
      <c r="AC82" s="3">
        <f>1736.9+(337.5-457.5)+(-1.771638+(-0.34425--0.46665))+0-28.3--0.0288660000000045</f>
        <v>1586.9796280000003</v>
      </c>
      <c r="AD82">
        <v>1712.2999999999997</v>
      </c>
      <c r="AE82" s="3">
        <f>1709+(376.2-326.5)+(0+(0-0))+0-30.4-0</f>
        <v>1728.3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1556.1+(316.9-428.4)+(-1.587222+(-0.323238--0.436968))+0-27.9--0.0284580000000044</f>
        <v>1415.2549659999997</v>
      </c>
      <c r="G83" s="3">
        <f>1435.5+(315.7-449.2)+(-3.660525+(-0.805035--1.14546))+0-28.5--0.0726749999999959</f>
        <v>1270.252575</v>
      </c>
      <c r="H83" s="3">
        <f>1437.4+(308.1-511)+(-3.66537+(-0.785655--1.30305))+0-28.3--0.0721649999999959</f>
        <v>1203.12419</v>
      </c>
      <c r="I83" s="3">
        <f>1437.9+(306.4-536.8)+(0.733329+(0.156264-0.273768))+0-28.3-0.0144329999999971</f>
        <v>1179.8013920000001</v>
      </c>
      <c r="J83" s="3">
        <f>1441.3+(307.2-542.2)+(0+(0-0))+0-28.7-0</f>
        <v>1177.5999999999999</v>
      </c>
      <c r="K83" s="3">
        <f>1443.7+(307.5-540.1)+(-4.417722+(-0.94095--1.652706))+0-28.6--0.0875160000000033</f>
        <v>1178.8815500000001</v>
      </c>
      <c r="L83" s="3">
        <f>1446+(307.3-552.2)+(2.21238+(0.470169-0.844866))+0-28.7-0.0439110000000017</f>
        <v>1174.1937719999999</v>
      </c>
      <c r="M83" s="3">
        <f>1519.2+(307.9-486.6)+(-2.324376+(-0.471087--0.744498))+0-29.4--0.0449820000000017</f>
        <v>1309.0940169999999</v>
      </c>
      <c r="N83" s="3">
        <f>1558.5+(314.2-324.5)+(1.58967+(0.320484-0.33099))+0-30.1-0.0307020000000048</f>
        <v>1519.6484620000001</v>
      </c>
      <c r="O83" s="3">
        <f>1792.3+(321.5-397.4)+(1.828146+(0.32793-0.405348))+0-30-0.0306000000000048</f>
        <v>1688.120128</v>
      </c>
      <c r="P83" s="3">
        <f>1936.7+(307.4-437.1)+(2.963151+(0.470322-0.668763))+0-29.9-0.0457470000000017</f>
        <v>1779.8189629999999</v>
      </c>
      <c r="Q83" s="3">
        <f>2038.4+(304.8-473.9)+(0+(0-0))+0-30.1-0</f>
        <v>1839.2000000000003</v>
      </c>
      <c r="R83" s="3">
        <f>2044.1+(303.2-468.7)+(1.042491+(0.154632-0.239037))+0-28.8-0.0146879999999971</f>
        <v>1850.7433980000001</v>
      </c>
      <c r="S83" s="3">
        <f>2037.2+(298.1-501)+(-1.038972+(-0.152031--0.25551))+0-27.6--0.0140759999999972</f>
        <v>1805.7785830000003</v>
      </c>
      <c r="T83" s="3">
        <f>2030.1+(298.5-528.9)+(-1.035351+(-0.152235--0.269739))+0-29.1--0.014840999999997</f>
        <v>1769.6969939999999</v>
      </c>
      <c r="U83" s="3">
        <f>2030.8+(299.3-547.4)+(-2.071416+(-0.305286--0.558348))+0-29.9--0.0304980000000048</f>
        <v>1751.012144</v>
      </c>
      <c r="V83" s="3">
        <f>2025.4+(296.9-519.8)+(-2.065908+(-0.302838--0.530196))+0-29.3--0.0298860000000047</f>
        <v>1771.3913360000001</v>
      </c>
      <c r="W83" s="3">
        <f>2011.9+(297.7-543.8)+(-4.104276+(-0.607308--1.109352))+0-29.3--0.0597719999999987</f>
        <v>1732.9575400000003</v>
      </c>
      <c r="X83" s="3">
        <f>1898.7+(307.9-491.2)+(-4.841685+(-0.785145--1.25256))+0-29.5--0.0752249999999957</f>
        <v>1681.6009550000001</v>
      </c>
      <c r="Y83" s="3">
        <f>1718+(314.9-434.1)+(-2.62854+(-0.481797--0.664173))+0-29.5--0.0451350000000017</f>
        <v>1566.8989710000001</v>
      </c>
      <c r="Z83" s="3">
        <f>1769.1+(329.6-479.1)+(-2.706723+(-0.504288--0.733023))+0-29.3--0.0448290000000017</f>
        <v>1587.8668409999998</v>
      </c>
      <c r="AA83" s="3">
        <f>2016.6+(330-476.3)+(-3.085398+(-0.5049--0.728739))+0-28.4--0.0434520000000016</f>
        <v>1839.0818929999998</v>
      </c>
      <c r="AB83" s="3">
        <f>2040.4+(323.4-500.9)+(-1.040604+(-0.164934--0.255459))+0-27.8--0.0141779999999972</f>
        <v>1834.1640990000001</v>
      </c>
      <c r="AC83" s="3">
        <f>1954.8+(322.3-502.1)+(-1.993896+(-0.328746--0.512142))+0-27.9--0.0284580000000044</f>
        <v>1745.3179579999999</v>
      </c>
      <c r="AD83">
        <v>1837.9000000000003</v>
      </c>
      <c r="AE83" s="3">
        <f>2041.3+(328.5-479.1)+(0+(0-0))+0-24.8-0</f>
        <v>1865.8999999999999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1733.5+(286.1-430.6)+(-0.884085+(-0.145911--0.219606))+0-26.4--0.0134639999999973</f>
        <v>1561.8030739999997</v>
      </c>
      <c r="G84" s="3">
        <f>1611.5+(303-485.7)+(-2.465595+(-0.46359--0.743121))+0-27.7--0.0423810000000016</f>
        <v>1398.9563169999999</v>
      </c>
      <c r="H84" s="3">
        <f>1613.9+(306.7-568.4)+(-0.823089+(-0.156417--0.289884))+0-28.1--0.0143309999999971</f>
        <v>1323.4247090000001</v>
      </c>
      <c r="I84" s="3">
        <f>1615.5+(307.6-593.6)+(-2.471715+(-0.470628--0.908208))+0-28--0.0428400000000016</f>
        <v>1299.508705</v>
      </c>
      <c r="J84" s="3">
        <f>1615.2+(310-603.2)+(-3.295008+(-0.6324--1.230528))+0-28.1--0.0573239999999988</f>
        <v>1291.2604440000002</v>
      </c>
      <c r="K84" s="3">
        <f>1605.6+(309.5-596.2)+(-7.369704+(-1.420605--2.736558))+0-27.1--0.124389000000005</f>
        <v>1285.8706380000001</v>
      </c>
      <c r="L84" s="3">
        <f>1555+(309.6-589.1)+(-6.3444+(-1.263168--2.403528))+0-28.2--0.115055999999998</f>
        <v>1242.211016</v>
      </c>
      <c r="M84" s="3">
        <f>1675.6+(311.6-578.7)+(-1.709112+(-0.317832--0.590274))+0-29--0.0295800000000046</f>
        <v>1378.0929099999998</v>
      </c>
      <c r="N84" s="3">
        <f>1795+(308.8-499.2)+(-3.6618+(-0.629952--1.018368))+0-29.5--0.0601799999999987</f>
        <v>1571.8867959999998</v>
      </c>
      <c r="O84" s="3">
        <f>1936.7+(315.2-512.3)+(-2.963151+(-0.482256--0.783819))+0-30--0.0459000000000017</f>
        <v>1706.9843120000003</v>
      </c>
      <c r="P84" s="3">
        <f>2042.5+(325.1-535.6)+(-2.08335+(-0.331602--0.546312))+0-28.5--0.0290700000000045</f>
        <v>1801.6604300000001</v>
      </c>
      <c r="Q84" s="3">
        <f>2175+(313.4-630.4)+(-1.10925+(-0.159834--0.321504))+0-16.2--0.00826199999999836</f>
        <v>1840.860682</v>
      </c>
      <c r="R84" s="3">
        <f>2237.1+(307.2-673.1)+(-3.422763+(-0.470016--1.029843))+0-7.6--0.0116280000000004</f>
        <v>1860.7486919999999</v>
      </c>
      <c r="S84" s="3">
        <f>2232.4+(307.5-713.7)+(-3.415572+(-0.470475--1.091961))+0-9.2--0.0140760000000005</f>
        <v>1814.2199899999998</v>
      </c>
      <c r="T84" s="3">
        <f>2226+(308.9-735.5)+(1.13526+(0.157539-0.375105))+0-24.5-0.0124949999999975</f>
        <v>1775.8051990000001</v>
      </c>
      <c r="U84" s="3">
        <f>2229.8+(310.5-734.7)+(-5.68599+(-0.791775--1.873485))+0-28.1--0.0716549999999959</f>
        <v>1772.9673750000002</v>
      </c>
      <c r="V84" s="3">
        <f>2182.8+(305.6-695.4)+(0+(0-0))+0-28.7-0</f>
        <v>1764.3000000000002</v>
      </c>
      <c r="W84" s="3">
        <f>1948.6+(297.4-484.9)+(-1.987572+(-0.303348--0.494598))+0-27.5--0.0280500000000044</f>
        <v>1731.8317279999999</v>
      </c>
      <c r="X84" s="3">
        <f>1756.2+(316.7-365)+(-2.686986+(-0.484551--0.55845))+0-27.7--0.0423810000000016</f>
        <v>1677.6292940000001</v>
      </c>
      <c r="Y84" s="3">
        <f>1755.1+(311.6-457.6)+(-0.895101+(-0.158916--0.233376))+0-28.4--0.0144839999999971</f>
        <v>1579.8938429999998</v>
      </c>
      <c r="Z84" s="3">
        <f>1901.8+(313.6-573.7)+(-0.969918+(-0.159936--0.292587))+0-29--0.0147899999999971</f>
        <v>1611.8775229999997</v>
      </c>
      <c r="AA84" s="3">
        <f>1991+(324.5-465.3)+(-4.06164+(-0.66198--0.949212))+0-28.8--0.0587519999999987</f>
        <v>1817.684344</v>
      </c>
      <c r="AB84" s="3">
        <f>1991.1+(315.2-492.3)+(-1.015461+(-0.160752--0.251073))+0-28.2--0.0143819999999971</f>
        <v>1784.889242</v>
      </c>
      <c r="AC84" s="3">
        <f>1897.1+(304.8-503.2)+(0.967521+(0.155448-0.256632))+0-28.1-0.0143309999999971</f>
        <v>1671.4520059999998</v>
      </c>
      <c r="AD84">
        <v>1823.4</v>
      </c>
      <c r="AE84" s="3">
        <f>1993.2+(331.9-452.9)+(0+(0-0))+0-29.6-0</f>
        <v>1842.6000000000001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1852.7+(261.8-583.3)+(-3.779508+(-0.534072--1.189932))+0-27.7--0.0565079999999988</f>
        <v>1500.4328599999999</v>
      </c>
      <c r="G85" s="3">
        <f>1814.4+(269.6-693.7)+(-1.850688+(-0.274992--0.707574))+0-27.3--0.0278460000000044</f>
        <v>1361.6097400000001</v>
      </c>
      <c r="H85" s="3">
        <f>1753.1+(277.4-703.9)+(-3.576324+(-0.565896--1.435956))+0-28.5--0.0581399999999988</f>
        <v>1295.4518760000001</v>
      </c>
      <c r="I85" s="3">
        <f>1752.2+(281.5-715.9)+(-4.46811+(-0.717825--1.825545))+0-28.4--0.0724199999999959</f>
        <v>1286.11203</v>
      </c>
      <c r="J85" s="3">
        <f>1759.9+(288.8-770.2)+(1.795098+(0.294576-0.785604))+0-28.8-0.0293760000000046</f>
        <v>1250.974694</v>
      </c>
      <c r="K85" s="3">
        <f>1707.5+(291.4-718.3)+(-4.354125+(-0.74307--1.831665))+0-28.5--0.0726749999999959</f>
        <v>1248.9071449999999</v>
      </c>
      <c r="L85" s="3">
        <f>1555.7+(291-584.8)+(-3.967035+(-0.74205--1.49124))+0-28--0.0713999999999959</f>
        <v>1230.7535550000002</v>
      </c>
      <c r="M85" s="3">
        <f>1632.2+(287.5-546.1)+(1.664844+(0.29325-0.557022))+0-28.5-0.0290700000000045</f>
        <v>1346.472002</v>
      </c>
      <c r="N85" s="3">
        <f>1714.9+(292.4-457.6)+(0+(0-0))+0-28.4-0</f>
        <v>1521.3</v>
      </c>
      <c r="O85" s="3">
        <f>1739.3+(308.5-372.4)+(0.887043+(0.157335-0.189924))+0-29.9-0.015248999999997</f>
        <v>1646.339205</v>
      </c>
      <c r="P85" s="3">
        <f>1792.4+(308.7-323.7)+(-1.828248+(-0.314874--0.330174))+0-29--0.0295800000000046</f>
        <v>1746.616632</v>
      </c>
      <c r="Q85" s="3">
        <f>1838.8+(281-305.5)+(0.937788+(0.14331-0.155805))+0-29.6-0.015095999999997</f>
        <v>1785.610197</v>
      </c>
      <c r="R85" s="3">
        <f>1967.8+(249-385.3)+(-2.007156+(-0.25398--0.393006))+0-28.4--0.0289680000000045</f>
        <v>1801.2608379999999</v>
      </c>
      <c r="S85" s="3">
        <f>1854.1+(255.5-312.4)+(-0.945591+(-0.130305--0.159324))+0-28.2--0.0143819999999971</f>
        <v>1768.0978099999998</v>
      </c>
      <c r="T85" s="3">
        <f>1799.3+(254.7-295.4)+(0+(0-0))+0-29.6-0</f>
        <v>1729</v>
      </c>
      <c r="U85" s="3">
        <f>1857.6+(247.3-357.4)+(-2.842128+(-0.378369--0.546822))+0-29.9--0.0457470000000017</f>
        <v>1714.9720719999998</v>
      </c>
      <c r="V85" s="3">
        <f>1938+(236.5-474.2)+(0+(0-0))+0-29.5-0</f>
        <v>1670.8</v>
      </c>
      <c r="W85" s="3">
        <f>1910.9+(236.6-469.6)+(-1.949118+(-0.241332--0.478992))+0-28.9--0.0294780000000046</f>
        <v>1647.3180199999999</v>
      </c>
      <c r="X85" s="3">
        <f>1854.9+(230.7-437.8)+(-3.783996+(-0.470628--0.893112))+0-28.8--0.0587519999999987</f>
        <v>1615.6972400000002</v>
      </c>
      <c r="Y85" s="3">
        <f>1695.7+(251.3-388.1)+(-1.729614+(-0.256326--0.395862))+0-29.7--0.0302940000000047</f>
        <v>1527.640216</v>
      </c>
      <c r="Z85" s="3">
        <f>1764.8+(323.5-480.1)+(-0.900048+(-0.164985--0.244851))+0-29.2--0.014891999999997</f>
        <v>1578.1947099999998</v>
      </c>
      <c r="AA85" s="3">
        <f>1983.7+(314.8-479.6)+(-3.035061+(-0.481644--0.733788))+0-29.1--0.0445230000000017</f>
        <v>1787.0616060000002</v>
      </c>
      <c r="AB85" s="3">
        <f>1952.6+(312.2-484.9)+(-4.97913+(-0.79611--1.236495))+0-27.2--0.0693599999999961</f>
        <v>1748.2306149999997</v>
      </c>
      <c r="AC85" s="3">
        <f>1946.8+(303.3-556.9)+(-1.985736+(-0.309366--0.568038))+0-27.5--0.0280500000000044</f>
        <v>1664.000986</v>
      </c>
      <c r="AD85">
        <v>1836.5000000000002</v>
      </c>
      <c r="AE85" s="3">
        <f>1991.2+(331.1-450.8)+(0+(0-0))+0-28-0</f>
        <v>1843.5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1839.7+(290.1-596.5)+(-2.814741+(-0.443853--0.912645))+0-27.2--0.0416160000000016</f>
        <v>1503.7956670000001</v>
      </c>
      <c r="G86" s="3">
        <f>1726.2+(288-625.2)+(-4.40181+(-0.7344--1.59426))+0-27.3--0.069614999999996</f>
        <v>1358.2276649999999</v>
      </c>
      <c r="H86" s="3">
        <f>1641.6+(292.9-613.6)+(-0.837216+(-0.149379--0.312936))+0-27.5--0.0140249999999972</f>
        <v>1292.7403659999998</v>
      </c>
      <c r="I86" s="3">
        <f>1541.5+(294.5-545.3)+(-3.14466+(-0.60078--1.112412))+0-27.7--0.0565079999999988</f>
        <v>1260.4234799999999</v>
      </c>
      <c r="J86" s="3">
        <f>1510.2+(295.9-527.4)+(-3.85101+(-0.754545--1.34487))+0-27.9--0.0711449999999959</f>
        <v>1247.6104599999999</v>
      </c>
      <c r="K86" s="3">
        <f>1501.8+(297.9-522.7)+(-6.127344+(-1.215432--2.132616))+0-27.3--0.111383999999998</f>
        <v>1244.601224</v>
      </c>
      <c r="L86" s="3">
        <f>1510.2+(293.5-535)+(-2.310606+(-0.449055--0.81855))+0-28--0.0428400000000016</f>
        <v>1238.801729</v>
      </c>
      <c r="M86" s="3">
        <f>1551.7+(289.2-463.7)+(0.791367+(0.147492-0.236487))+0-28.3-0.0144329999999971</f>
        <v>1349.587939</v>
      </c>
      <c r="N86" s="3">
        <f>1790.2+(296.2-513)+(0.913002+(0.151062-0.26163))+0-29.9-0.015248999999997</f>
        <v>1544.2871849999999</v>
      </c>
      <c r="O86" s="3">
        <f>1828.1+(303.8-429.2)+(0.932331+(0.154938-0.218892))+0-29.6-0.015095999999997</f>
        <v>1673.9532809999998</v>
      </c>
      <c r="P86" s="3">
        <f>1866.2+(305.8-409.6)+(0.951762+(0.155958-0.208896))+0-29.5-0.015044999999997</f>
        <v>1733.7837790000001</v>
      </c>
      <c r="Q86" s="3">
        <f>1942.7+(299.5-410.8)+(0.990777+(0.152745-0.209508))+0-28.9-0.0147389999999971</f>
        <v>1803.419275</v>
      </c>
      <c r="R86" s="3">
        <f>1953.9+(304.2-408.4)+(0.996489+(0.155142-0.208284))+0-29.1-0.014840999999997</f>
        <v>1821.5285060000001</v>
      </c>
      <c r="S86" s="3">
        <f>1942.9+(296.1-434.6)+(-1.981758+(-0.302022--0.443292))+0-28.1--0.0286620000000045</f>
        <v>1774.4881740000001</v>
      </c>
      <c r="T86" s="3">
        <f>1946.6+(290.1-459.3)+(-0.992766+(-0.147951--0.234243))+0-28.4--0.0144839999999971</f>
        <v>1748.1080099999999</v>
      </c>
      <c r="U86" s="3">
        <f>1938.5+(285.7-462.2)+(-3.95454+(-0.582828--0.942888))+0-29.3--0.0597719999999987</f>
        <v>1729.1652920000001</v>
      </c>
      <c r="V86" s="3">
        <f>1954.6+(294.1-491.3)+(0+(0-0))+0-28.8-0</f>
        <v>1728.6</v>
      </c>
      <c r="W86" s="3">
        <f>1870.6+(292.2-431.1)+(-5.724036+(-0.894132--1.319166))+0-29.1--0.0890460000000034</f>
        <v>1697.390044</v>
      </c>
      <c r="X86" s="3">
        <f>1921.8+(289.2-517.1)+(-6.860826+(-1.032444--1.846047))+0-28.8--0.102816</f>
        <v>1659.155593</v>
      </c>
      <c r="Y86" s="3">
        <f>1723.4+(305.8-430.8)+(-4.39467+(-0.77979--1.09854))+0-29.2--0.0744599999999958</f>
        <v>1565.1985400000001</v>
      </c>
      <c r="Z86" s="3">
        <f>1917.5+(303.6-595.2)+(0+(0-0))+0-29.8-0</f>
        <v>1596.1000000000001</v>
      </c>
      <c r="AA86" s="3">
        <f>1968.3+(329.6-441.8)+(-6.022998+(-1.008576--1.351908))+0-29.3--0.0896580000000034</f>
        <v>1821.2099920000001</v>
      </c>
      <c r="AB86" s="3">
        <f>1854.9+(342.6-366.5)+(-1.891998+(-0.349452--0.37383))+0-27.8--0.0283560000000044</f>
        <v>1801.3607360000001</v>
      </c>
      <c r="AC86" s="3">
        <f>1838.6+(326.7-434)+(0.937686+(0.166617-0.22134))+0-27.8-0.0141779999999972</f>
        <v>1704.3687850000001</v>
      </c>
      <c r="AD86">
        <v>1823.2</v>
      </c>
      <c r="AE86" s="3">
        <f>1950.5+(331.5-412.2)+(0+(0-0))+0-27.2-0</f>
        <v>1842.6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1780.3+(298.9-533.4)+(-4.539765+(-0.762195--1.36017))+0-27.5--0.070124999999996</f>
        <v>1514.4283349999998</v>
      </c>
      <c r="G87" s="3">
        <f>1761.5+(293-643.5)+(-2.695095+(-0.44829--0.984555))+0-27.5--0.0420750000000016</f>
        <v>1381.383245</v>
      </c>
      <c r="H87" s="3">
        <f>1732.5+(292.8-681.5)+(-1.76715+(-0.298656--0.69513))+0-28.1--0.0286620000000045</f>
        <v>1314.357986</v>
      </c>
      <c r="I87" s="3">
        <f>1706.5+(293.2-673.9)+(-3.48126+(-0.598128--1.374756))+0-28.1--0.0573239999999988</f>
        <v>1295.0526920000002</v>
      </c>
      <c r="J87" s="3">
        <f>1646.4+(293.7-628.6)+(0.839664+(0.149787-0.320586))+0-28-0.0142799999999972</f>
        <v>1284.154585</v>
      </c>
      <c r="K87" s="3">
        <f>1646.7+(294.1-631.8)+(-0.839817+(-0.149991--0.322218))+0-27.8--0.0141779999999972</f>
        <v>1280.5465879999999</v>
      </c>
      <c r="L87" s="3">
        <f>1660.8+(292-678.3)+(0.847008+(0.14892-0.345933))+0-28.5-0.0145349999999971</f>
        <v>1246.63546</v>
      </c>
      <c r="M87" s="3">
        <f>1737.5+(292.6-627.8)+(0.886125+(0.149226-0.320178))+0-29-0.0147899999999971</f>
        <v>1374.0003830000003</v>
      </c>
      <c r="N87" s="3">
        <f>1768.9+(314.7-484.9)+(-0.902139+(-0.160497--0.247299))+0-29.9--0.015248999999997</f>
        <v>1567.999912</v>
      </c>
      <c r="O87" s="3">
        <f>1811+(330.8-420.3)+(-0.92361+(-0.168708--0.214353))+0-23.4--0.0119339999999976</f>
        <v>1697.2339690000001</v>
      </c>
      <c r="P87" s="3">
        <f>1885.9+(328.2-429.7)+(-0.961809+(-0.167382--0.219147))+0-13.3--0.00678299999999865</f>
        <v>1770.1967390000002</v>
      </c>
      <c r="Q87" s="3">
        <f>1944.1+(319.5-437.1)+(-2.974473+(-0.488835--0.668763))+0-7.8--0.0119340000000005</f>
        <v>1815.9173890000002</v>
      </c>
      <c r="R87" s="3">
        <f>1953.8+(317.4-437)+(-0.996438+(-0.161874--0.22287))+0-4.9--0.0024989999999995</f>
        <v>1828.3670569999997</v>
      </c>
      <c r="S87" s="3">
        <f>1957.3+(289.4-444.3)+(-1.996446+(-0.295188--0.453186))+0-6.1--0.00622200000000097</f>
        <v>1794.467774</v>
      </c>
      <c r="T87" s="3">
        <f>1952.9+(273.1-459.9)+(-2.987937+(-0.417843--0.703647))+0-20.5--0.0313650000000012</f>
        <v>1742.9292320000002</v>
      </c>
      <c r="U87" s="3">
        <f>1945.4+(278.8-464.7)+(-4.96077+(-0.71094--1.184985))+0-20.4--0.052019999999997</f>
        <v>1734.665295</v>
      </c>
      <c r="V87" s="3">
        <f>1943.1+(302-481.9)+(-3.963924+(-0.61608--0.983076))+0-27.9--0.0569159999999988</f>
        <v>1731.7599879999998</v>
      </c>
      <c r="W87" s="3">
        <f>1853.7+(308.2-442.5)+(-2.836161+(-0.471546--0.677025))+0-16.3--0.0249390000000009</f>
        <v>1700.4942570000001</v>
      </c>
      <c r="X87" s="3">
        <f>1775.6+(310.9-411)+(-5.433336+(-0.951354--1.25766))+0-6.8--0.0208080000000008</f>
        <v>1663.5937779999999</v>
      </c>
      <c r="Y87" s="3">
        <f>1719.9+(310.3-437.5)+(-2.631447+(-0.474759--0.669375))+0-4.1--0.00627300000000024</f>
        <v>1586.1694420000001</v>
      </c>
      <c r="Z87" s="3">
        <f>1790.3+(329.9-512)+(-0.913053+(-0.168249--0.26112))+0-3.7--0.00188699999999962</f>
        <v>1603.6817049999997</v>
      </c>
      <c r="AA87" s="3">
        <f>1822.7+(364.8-342.5)+(-2.788731+(-0.558144--0.524025))+0-4--0.00612000000000023</f>
        <v>1838.18327</v>
      </c>
      <c r="AB87" s="3">
        <f>1824.5+(365.1-345.3)+(-1.86099+(-0.372402--0.352206))+0-3.7--0.00377400000000059</f>
        <v>1838.7225879999999</v>
      </c>
      <c r="AC87" s="3">
        <f>1717.1+(355.7-319.8)+(-1.751442+(-0.362814--0.326196))+0-3.8--0.00387600000000061</f>
        <v>1747.4158159999999</v>
      </c>
      <c r="AD87">
        <v>1845.4</v>
      </c>
      <c r="AE87" s="3">
        <f>1839+(369.7-330.3)+(0+(0-0))+0-3.2-0</f>
        <v>1875.2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1549.8+(319.8-291.7)+(-2.371194+(-0.489294--0.446301))+0-7.5--0.0114750000000004</f>
        <v>1567.997288</v>
      </c>
      <c r="G88" s="3">
        <f>1510.7+(303.3-370.4)+(-1.540914+(-0.309366--0.377808))+0-19.8--0.0201960000000032</f>
        <v>1422.3477240000002</v>
      </c>
      <c r="H88" s="3">
        <f>1499+(304.7-436.8)+(-3.82245+(-0.776985--1.11384))+0-25.6--0.0652799999999963</f>
        <v>1337.8796850000001</v>
      </c>
      <c r="I88" s="3">
        <f>1458.9+(304.5-438.5)+(0+(0-0))+0-27.1-0</f>
        <v>1297.8000000000002</v>
      </c>
      <c r="J88" s="3">
        <f>1458.8+(302.4-449.1)+(-4.463928+(-0.925344--1.374246))+0-27.3--0.0835380000000032</f>
        <v>1280.868512</v>
      </c>
      <c r="K88" s="3">
        <f>1458.4+(305.6-466.6)+(-3.71892+(-0.77928--1.18983))+0-27.3--0.069614999999996</f>
        <v>1266.8612450000001</v>
      </c>
      <c r="L88" s="3">
        <f>1459.3+(298.7-513.2)+(-2.232729+(-0.457011--0.785196))+0-26.8--0.0410040000000016</f>
        <v>1216.1364599999999</v>
      </c>
      <c r="M88" s="3">
        <f>1457.6+(302.4-449.5)+(-2.230128+(-0.462672--0.687735))+0-28.1--0.0429930000000016</f>
        <v>1280.4379280000001</v>
      </c>
      <c r="N88" s="3">
        <f>1457.9+(321.6-341.5)+(-1.487058+(-0.328032--0.34833))+0-29--0.0295800000000046</f>
        <v>1407.5628199999999</v>
      </c>
      <c r="O88" s="3">
        <f>1458.4+(347.1-249.6)+(-2.975136+(-0.708084--0.509184))+0-24.4--0.0497759999999989</f>
        <v>1528.3757400000002</v>
      </c>
      <c r="P88" s="3">
        <f>1462.1+(362.4-192.1)+(0.745671+(0.184824-0.097971))+0-11.4-0.00581399999999884</f>
        <v>1621.8267099999996</v>
      </c>
      <c r="Q88" s="3">
        <f>1517.6+(367.7-193.6)+(-1.547952+(-0.375054--0.197472))+0-6.3--0.006426000000001</f>
        <v>1683.6808919999999</v>
      </c>
      <c r="R88" s="3">
        <f>1596+(356.4-265.3)+(-0.81396+(-0.181764--0.135303))+0-9.1--0.00464099999999908</f>
        <v>1677.1442199999999</v>
      </c>
      <c r="S88" s="3">
        <f>1700.1+(305.5-332.5)+(-2.601153+(-0.467415--0.508725))+0-25.7--0.0393210000000015</f>
        <v>1644.8794779999998</v>
      </c>
      <c r="T88" s="3">
        <f>1703.5+(303-385.6)+(-1.73757+(-0.30906--0.393312))+0-27.2--0.0277440000000043</f>
        <v>1592.0744260000001</v>
      </c>
      <c r="U88" s="3">
        <f>1699.2+(300-397.6)+(-2.599776+(-0.459--0.608328))+0-27--0.0413100000000016</f>
        <v>1572.1908619999999</v>
      </c>
      <c r="V88" s="3">
        <f>1691.7+(301-397.1)+(-2.588301+(-0.46053--0.607563))+0-27.9--0.0426870000000016</f>
        <v>1565.3014189999999</v>
      </c>
      <c r="W88" s="3">
        <f>1691.9+(319-425.8)+(-2.588607+(-0.48807--0.651474))+0-27.2--0.0416160000000016</f>
        <v>1555.5164130000001</v>
      </c>
      <c r="X88" s="3">
        <f>1652.1+(300.8-387)+(-5.055426+(-0.920448--1.18422))+0-28.1--0.0859860000000033</f>
        <v>1533.0943319999999</v>
      </c>
      <c r="Y88" s="3">
        <f>1458.7+(314.2-262.3)+(-2.231811+(-0.480726--0.401319))+0-29.2--0.0446760000000017</f>
        <v>1479.1334579999998</v>
      </c>
      <c r="Z88" s="3">
        <f>1482.8+(340.4-299.2)+(1.512456+(0.347208-0.305184))+0-30.2-0.0308040000000048</f>
        <v>1495.323676</v>
      </c>
      <c r="AA88" s="3">
        <f>1707.3+(344.1-289.2)+(-5.224338+(-1.052946--0.884952))+0-29.7--0.0908820000000034</f>
        <v>1727.1985500000001</v>
      </c>
      <c r="AB88" s="3">
        <f>1580.1+(379.5-191.9)+(-1.611702+(-0.38709--0.195738))+0-27.8--0.0283560000000044</f>
        <v>1738.1253019999999</v>
      </c>
      <c r="AC88" s="3">
        <f>1536.9+(371.3-203.2)+(-1.567638+(-0.378726--0.207264))+0-27--0.0275400000000043</f>
        <v>1676.28844</v>
      </c>
      <c r="AD88">
        <v>1748.6000000000001</v>
      </c>
      <c r="AE88" s="3">
        <f>1731.4+(348.9-282.3)+(0+(0-0))+0-27.2-0</f>
        <v>1770.8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1465.2+(329.9-235.8)+(1.494504+(0.336498-0.240516))+0-27-0.0275400000000043</f>
        <v>1533.862946</v>
      </c>
      <c r="G89" s="3">
        <f>1464.8+(302.5-373.5)+(-2.988192+(-0.6171--0.76194))+0-27.4--0.0558959999999988</f>
        <v>1363.6125439999998</v>
      </c>
      <c r="H89" s="3">
        <f>1464.2+(305.3-400.9)+(0+(0-0))+0-27.8-0</f>
        <v>1340.8000000000002</v>
      </c>
      <c r="I89" s="3">
        <f>1400.4+(307.6-427.8)+(-1.428408+(-0.313752--0.436356))+0-28.2--0.0287640000000045</f>
        <v>1250.7229599999998</v>
      </c>
      <c r="J89" s="3">
        <f>1401.3+(293.5-431.1)+(0+(0-0))+0-27.8-0</f>
        <v>1235.8999999999999</v>
      </c>
      <c r="K89" s="3">
        <f>1383.8+(297.3-434.9)+(-4.234428+(-0.909738--1.330794))+0-28.2--0.0862920000000033</f>
        <v>1214.2729199999999</v>
      </c>
      <c r="L89" s="3">
        <f>1299.6+(295-408.6)+(-3.31398+(-0.75225--1.04193))+0-27.8--0.070889999999996</f>
        <v>1155.24659</v>
      </c>
      <c r="M89" s="3">
        <f>1291+(296.2-366.5)+(-1.31682+(-0.302124--0.37383))+0-29.8--0.0303960000000048</f>
        <v>1189.6852820000001</v>
      </c>
      <c r="N89" s="3">
        <f>1355.3+(301.4-335.5)+(0.691203+(0.153714-0.171105))+0-30.3-0.0154529999999969</f>
        <v>1291.5583589999999</v>
      </c>
      <c r="O89" s="3">
        <f>1459.5+(317.9-327)+(-2.97738+(-0.648516--0.66708))+0-30.1--0.0614039999999987</f>
        <v>1417.4025880000002</v>
      </c>
      <c r="P89" s="3">
        <f>1617.8+(299.4-365.6)+(0.825078+(0.152694-0.186456))+0-30-0.015299999999997</f>
        <v>1522.3760159999999</v>
      </c>
      <c r="Q89" s="3">
        <f>1686.2+(298.3-359.9)+(0+(0-0))+0-29.9-0</f>
        <v>1594.7</v>
      </c>
      <c r="R89" s="3">
        <f>1689.4+(294.1-346.8)+(0+(0-0))+0-29.3-0</f>
        <v>1607.4</v>
      </c>
      <c r="S89" s="3">
        <f>1687+(289.3-368.3)+(-0.86037+(-0.147543--0.187833))+0-28.5--0.0145349999999971</f>
        <v>1578.6944550000001</v>
      </c>
      <c r="T89" s="3">
        <f>1685.6+(265.1-376)+(0.859656+(0.135201-0.19176))+0-29.7-0.015146999999997</f>
        <v>1545.7879499999997</v>
      </c>
      <c r="U89" s="3">
        <f>1679.5+(253-375.6)+(-0.856545+(-0.12903--0.191556))+0-29.9--0.015248999999997</f>
        <v>1526.2212300000001</v>
      </c>
      <c r="V89" s="3">
        <f>1675.8+(243.5-393.5)+(-3.418632+(-0.49674--0.80274))+0-29.7--0.0605879999999987</f>
        <v>1493.0479559999999</v>
      </c>
      <c r="W89" s="3">
        <f>1668.9+(240.8-406.8)+(-0.851139+(-0.122808--0.207468))+0-30.4--0.0155039999999969</f>
        <v>1471.7490250000001</v>
      </c>
      <c r="X89" s="3">
        <f>1663.6+(240.6-402)+(-5.090616+(-0.736236--1.23012))+0-29.8--0.0911880000000034</f>
        <v>1467.894456</v>
      </c>
      <c r="Y89" s="3">
        <f>1609.1+(250.3-391.8)+(-2.461923+(-0.382959--0.599454))+0-29.8--0.0455940000000017</f>
        <v>1435.6001659999999</v>
      </c>
      <c r="Z89" s="3">
        <f>1689.1+(310.2-503.9)+(5.168646+(0.949212-1.541934))+0-29.9-0.0914940000000034</f>
        <v>1469.9844299999997</v>
      </c>
      <c r="AA89" s="3">
        <f>1999.2+(318.3-552.9)+(-1.019592+(-0.162333--0.281979))+0-30.1--0.0153509999999969</f>
        <v>1733.6154050000002</v>
      </c>
      <c r="AB89" s="3">
        <f>2050.4+(316.9-552.8)+(-2.091408+(-0.323238--0.563856))+0-28.7--0.0292740000000046</f>
        <v>1783.978484</v>
      </c>
      <c r="AC89" s="3">
        <f>2078.5+(307.1-645)+(-2.12007+(-0.313242--0.6579))+0-28.4--0.0289680000000045</f>
        <v>1710.4535559999999</v>
      </c>
      <c r="AD89">
        <v>1789.7000000000003</v>
      </c>
      <c r="AE89" s="3">
        <f>2034.4+(311.6-521.9)+(0+(0-0))+0-32-0</f>
        <v>1792.1000000000001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1930.6+(287-642.1)+(-4.92303+(-0.73185--1.637355))+0-28.6--0.0729299999999959</f>
        <v>1542.9554050000002</v>
      </c>
      <c r="G90" s="3">
        <f>1774.3+(283.2-641.7)+(-5.429358+(-0.866592--1.963602))+0-28.3--0.0865980000000033</f>
        <v>1383.2542500000002</v>
      </c>
      <c r="H90" s="3">
        <f>1660.3+(289.6-622.2)+(-3.387012+(-0.590784--1.269288))+0-28.6--0.0583439999999988</f>
        <v>1296.449836</v>
      </c>
      <c r="I90" s="3">
        <f>1644.7+(290.9-642.6)+(-1.677594+(-0.296718--0.655452))+0-28.8--0.0293760000000046</f>
        <v>1262.9105159999999</v>
      </c>
      <c r="J90" s="3">
        <f>1571.5+(288.7-580.2)+(-4.007325+(-0.736185--1.47951))+1.2-27.7--0.070634999999996</f>
        <v>1250.3066350000001</v>
      </c>
      <c r="K90" s="3">
        <f>1497.3+(277.4-502.2)+(-1.527246+(-0.282948--0.512244))+0-28.5--0.0290700000000045</f>
        <v>1242.7311200000001</v>
      </c>
      <c r="L90" s="3">
        <f>1451.2+(261.8-455.4)+(-0.740112+(-0.133518--0.232254))+0-27.5--0.0140249999999972</f>
        <v>1229.472649</v>
      </c>
      <c r="M90" s="3">
        <f>1650.3+(251.9-512.1)+(0.841653+(0.128469-0.261171))+0-29.5-0.015044999999997</f>
        <v>1361.2939059999999</v>
      </c>
      <c r="N90" s="3">
        <f>1875.1+(259.1-514.4)+(1.912602+(0.264282-0.524688))+0-30-0.0306000000000048</f>
        <v>1591.4215959999999</v>
      </c>
      <c r="O90" s="3">
        <f>2139.1+(255.6-630.8)+(2.181882+(0.260712-0.643416))+0-29.8-0.0303960000000048</f>
        <v>1735.868782</v>
      </c>
      <c r="P90" s="3">
        <f>2238.9+(264.2-627.6)+(-2.283678+(-0.269484--0.640152))+0-29--0.0295800000000046</f>
        <v>1844.6165699999999</v>
      </c>
      <c r="Q90" s="3">
        <f>2241.4+(247.4-551.9)+(2.286228+(0.252348-0.562938))+0-30.1-0.0307020000000048</f>
        <v>1908.7449360000001</v>
      </c>
      <c r="R90" s="3">
        <f>2371.7+(240.4-647.2)+(0+(0-0))+0-29.1-0</f>
        <v>1935.7999999999997</v>
      </c>
      <c r="S90" s="3">
        <f>2522.6+(241.4-868.8)+(2.573052+(0.246228-0.886176))+0-28.3-0.0288660000000045</f>
        <v>1868.8042379999997</v>
      </c>
      <c r="T90" s="3">
        <f>2620.4+(243.5-924.8)+(-2.672808+(-0.24837--0.943296))+0-31.1--0.031722000000005</f>
        <v>1906.0538400000003</v>
      </c>
      <c r="U90" s="3">
        <f>2597.2+(261-960.1)+(-2.649144+(-0.26622--0.979302))+0-30.1--0.0307020000000048</f>
        <v>1866.09464</v>
      </c>
      <c r="V90" s="3">
        <f>2583.4+(264.7-942.6)+(-5.270136+(-0.539988--1.922904))+0-30.2--0.0616079999999987</f>
        <v>1871.4743879999999</v>
      </c>
      <c r="W90" s="3">
        <f>2565.1+(264.8-962.2)+(-7.849206+(-0.810288--2.944332))+0-28.9--0.0884340000000033</f>
        <v>1833.1732719999998</v>
      </c>
      <c r="X90" s="3">
        <f>2453.5+(264.6-922.8)+(-7.50771+(-0.809676--2.823768))+0-29.9--0.0914940000000034</f>
        <v>1759.9978760000001</v>
      </c>
      <c r="Y90" s="3">
        <f>2351.8+(269.1-845.2)+(-3.598254+(-0.411723--1.293156))+0-30.5--0.0466650000000018</f>
        <v>1742.5298440000004</v>
      </c>
      <c r="Z90" s="3">
        <f>2254.7+(309.9-834.4)+(0+(0-0))+0-30.7-0</f>
        <v>1699.4999999999998</v>
      </c>
      <c r="AA90" s="3">
        <f>2455.7+(318.3-804.9)+(-3.757221+(-0.486999--1.231497))+0-30.4--0.0465120000000018</f>
        <v>1935.7337889999997</v>
      </c>
      <c r="AB90" s="3">
        <f>2504.6+(322.5-865)+(-6.38673+(-0.822375--2.20575))+0-29.1--0.0742049999999958</f>
        <v>1928.0708499999998</v>
      </c>
      <c r="AC90" s="3">
        <f>2493.5+(316.7-953.9)+(0+(0-0))+0-28.7-0</f>
        <v>1827.6</v>
      </c>
      <c r="AD90">
        <v>1920.9000000000003</v>
      </c>
      <c r="AE90" s="3">
        <f>2487.5+(318.4-823)+(0+(0-0))+0-28.8-0</f>
        <v>1954.1000000000001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2213.3+(306.9-865.2)+(-1.128783+(-0.156519--0.441252))+0-27.9--0.0142289999999972</f>
        <v>1626.2701789999999</v>
      </c>
      <c r="G91" s="3">
        <f>2181.9+(277.6-946.8)+(-2.225538+(-0.283152--0.965736))+0-27.8--0.0283560000000044</f>
        <v>1483.3854020000003</v>
      </c>
      <c r="H91" s="3">
        <f>2172.1+(282.5-1026.6)+(-4.431084+(-0.5763--2.094264))+0-27.8--0.0567119999999988</f>
        <v>1397.3435920000002</v>
      </c>
      <c r="I91" s="3">
        <f>2134.4+(289-1013.4)+(0+(0-0))+0-27.4-0</f>
        <v>1382.6</v>
      </c>
      <c r="J91" s="3">
        <f>2134.3+(290.9-1024.8)+(-4.353972+(-0.593436--2.090592))+0-27.7--0.0565079999999988</f>
        <v>1369.899692</v>
      </c>
      <c r="K91" s="3">
        <f>2020.6+(291.1-981.7)+(-6.183036+(-0.890766--3.004002))+0-27.8--0.0850680000000032</f>
        <v>1298.2152680000002</v>
      </c>
      <c r="L91" s="3">
        <f>1947.3+(291.5-880.7)+(-6.951861+(-1.040655--3.144099))+0-27.9--0.0996030000000004</f>
        <v>1325.4511859999998</v>
      </c>
      <c r="M91" s="3">
        <f>1948.6+(282.4-747.9)+(0.993786+(0.144024-0.381429))+0-28.8-0.0146879999999971</f>
        <v>1455.0416929999999</v>
      </c>
      <c r="N91" s="3">
        <f>2107.9+(286.8-614.4)+(3.225087+(0.438804-0.940032))+0-29.3-0.0448290000000017</f>
        <v>1753.6790300000002</v>
      </c>
      <c r="O91" s="3">
        <f>2288.4+(298.8-716.9)+(1.167084+(0.152388-0.365619))+0-29.9-0.015248999999997</f>
        <v>1841.338604</v>
      </c>
      <c r="P91" s="3">
        <f>2394.8+(303.2-781.4)+(0+(0-0))+0-29.5-0</f>
        <v>1887.1000000000001</v>
      </c>
      <c r="Q91" s="3">
        <f>2393.5+(303-723.1)+(2.44137+(0.30906-0.737562))+0-30.1-0.0307020000000048</f>
        <v>1945.2821660000002</v>
      </c>
      <c r="R91" s="3">
        <f>2383.6+(303.3-695.9)+(0+(0-0))+0-29.1-0</f>
        <v>1961.9</v>
      </c>
      <c r="S91" s="3">
        <f>2455.4+(304.6-788.5)+(0+(0-0))+0-28.3-0</f>
        <v>1943.2</v>
      </c>
      <c r="T91" s="3">
        <f>2555.8+(304.2-934.1)+(0+(0-0))+0-29.8-0</f>
        <v>1896.1000000000001</v>
      </c>
      <c r="U91" s="3">
        <f>2552.7+(302.7-931.8)+(-2.603754+(-0.308754--0.950436))+0-29.7--0.0302940000000047</f>
        <v>1891.9682219999997</v>
      </c>
      <c r="V91" s="3">
        <f>2521.7+(303.4-914.9)+(-1.286067+(-0.154734--0.466599))+0-30.6--0.0156059999999969</f>
        <v>1878.6414039999997</v>
      </c>
      <c r="W91" s="3">
        <f>2518.9+(295.2-941.6)+(0+(0-0))+0-30.4-0</f>
        <v>1842.1</v>
      </c>
      <c r="X91" s="3">
        <f>2480.5+(286.2-923.8)+(-1.265055+(-0.145962--0.471138))+0-30--0.015299999999997</f>
        <v>1811.9754210000001</v>
      </c>
      <c r="Y91" s="3">
        <f>2115.9+(300.1-683.2)+(0+(0-0))+0-30.1-0</f>
        <v>1702.7000000000003</v>
      </c>
      <c r="Z91" s="3">
        <f>2079.8+(316.9-695.9)+(-2.121396+(-0.323238--0.709818))+0-30.1--0.0307020000000048</f>
        <v>1668.9958860000004</v>
      </c>
      <c r="AA91" s="3">
        <f>2291.2+(324.4-654)+(-3.505536+(-0.496332--1.00062))+0-29.6--0.0452880000000017</f>
        <v>1929.04404</v>
      </c>
      <c r="AB91" s="3">
        <f>2261.4+(309.3-587.9)+(-2.306628+(-0.315486--0.599658))+0-28.7--0.0292740000000046</f>
        <v>1952.1068180000002</v>
      </c>
      <c r="AC91" s="3">
        <f>2245.8+(289.7-642.6)+(-2.290716+(-0.295494--0.655452))+0-28.7--0.0292740000000046</f>
        <v>1862.2985160000001</v>
      </c>
      <c r="AD91">
        <v>1961.8999999999999</v>
      </c>
      <c r="AE91" s="3">
        <f>2308.1+(329-610.8)+(0+(0-0))+0-29.6-0</f>
        <v>1996.7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2176.5+(221-691.3)+(-6.66009+(-0.67626--2.115378))+0-28.7--0.0878220000000033</f>
        <v>1672.3668499999999</v>
      </c>
      <c r="G92" s="3">
        <f>2155.6+(267.3-882.5)+(-4.397424+(-0.545292--1.8003))+0-28.7--0.0585479999999987</f>
        <v>1508.6161319999999</v>
      </c>
      <c r="H92" s="3">
        <f>1983.1+(277-801.6)+(-3.034143+(-0.42381--1.226448))+0-28.8--0.0440640000000017</f>
        <v>1427.512559</v>
      </c>
      <c r="I92" s="3">
        <f>1935.1+(275.5-793.3)+(1.973802+(0.28101-0.809166))+0-28.3-0.0288660000000045</f>
        <v>1390.4167799999998</v>
      </c>
      <c r="J92" s="3">
        <f>1937.1+(283.6-813.4)+(-3.951684+(-0.578544--1.659336))+0-28.7--0.0585479999999987</f>
        <v>1375.787656</v>
      </c>
      <c r="K92" s="3">
        <f>1938.2+(284.2-829.8)+(-4.94241+(-0.72471--2.11599))+0-28.1--0.0716549999999959</f>
        <v>1361.0205250000001</v>
      </c>
      <c r="L92" s="3">
        <f>1941.9+(286.1-855.7)+(-1.980738+(-0.291822--0.872814))+0-27.8--0.0283560000000044</f>
        <v>1343.1286100000002</v>
      </c>
      <c r="M92" s="3">
        <f>1953.2+(268.6-725.2)+(4.98066+(0.68493-1.84926))+0-29.3-0.0747149999999958</f>
        <v>1471.0416150000001</v>
      </c>
      <c r="N92" s="3">
        <f>2192.4+(243.9-734.2)+(1.118124+(0.124389-0.374442))+0-30.1-0.0153509999999969</f>
        <v>1672.8527200000001</v>
      </c>
      <c r="O92" s="3">
        <f>2357.3+(244.7-748.1)+(-1.202223+(-0.124797--0.381531))+0-30.1--0.0153509999999969</f>
        <v>1822.8698620000002</v>
      </c>
      <c r="P92" s="3">
        <f>2429.1+(229.8-714.9)+(3.716523+(0.351594-1.093797))+0-30-0.0459000000000017</f>
        <v>1916.92842</v>
      </c>
      <c r="Q92" s="3">
        <f>2593.2+(239.1-798.9)+(5.290128+(0.487764-1.629756))+0-30.6-0.0624239999999987</f>
        <v>2006.885712</v>
      </c>
      <c r="R92" s="3">
        <f>2598.1+(235.9-800.1)+(1.325031+(0.120309-0.408051))+0-29.1-0.014840999999997</f>
        <v>2005.8224480000001</v>
      </c>
      <c r="S92" s="3">
        <f>2637.6+(234.6-877.4)+(1.345176+(0.119646-0.447474))+0-28.3-0.0144329999999971</f>
        <v>1967.502915</v>
      </c>
      <c r="T92" s="3">
        <f>2649.8+(231.9-932.5)+(2.702796+(0.236538-0.95115))+0-29-0.0295800000000046</f>
        <v>1922.1586040000004</v>
      </c>
      <c r="U92" s="3">
        <f>2645.2+(214.4-920.6)+(0+(0-0))+0-31.1-0</f>
        <v>1907.8999999999999</v>
      </c>
      <c r="V92" s="3">
        <f>2633.4+(219-925)+(1.343034+(0.11169-0.47175))+0-30.4-0.0155039999999969</f>
        <v>1897.96747</v>
      </c>
      <c r="W92" s="3">
        <f>2632.3+(229.9-972.7)+(-4.027419+(-0.351747--1.488231))+0-29.7--0.0454410000000017</f>
        <v>1856.954506</v>
      </c>
      <c r="X92" s="3">
        <f>2522.4+(219.8-873.8)+(-5.145696+(-0.448392--1.782552))+0-29.7--0.0605879999999987</f>
        <v>1834.9490520000002</v>
      </c>
      <c r="Y92" s="3">
        <f>2076.9+(247.8-610.4)+(-5.296095+(-0.63189--1.55652))+0-30.1--0.0767549999999956</f>
        <v>1679.9052900000004</v>
      </c>
      <c r="Z92" s="3">
        <f>2167+(307.4-786.8)+(0+(0-0))+0-30.2-0</f>
        <v>1657.3999999999999</v>
      </c>
      <c r="AA92" s="3">
        <f>2470.5+(314.7-875.6)+(-1.259955+(-0.160497--0.446556))+0-29--0.0147899999999971</f>
        <v>1879.6408939999999</v>
      </c>
      <c r="AB92" s="3">
        <f>2523.7+(317.3-863.5)+(-2.574174+(-0.323646--0.88077))+0-28.6--0.0291720000000046</f>
        <v>1946.912122</v>
      </c>
      <c r="AC92" s="3">
        <f>2515.3+(309.7-935.3)+(-2.565606+(-0.315894--0.954006))+0-28.5--0.0290700000000045</f>
        <v>1859.3015760000003</v>
      </c>
      <c r="AD92">
        <v>1949.9</v>
      </c>
      <c r="AE92" s="3">
        <f>2521.9+(318.7-835.7)+(0+(0-0))+0-28.8-0</f>
        <v>1976.1000000000001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2378.2+(256.3-935.8)+(-2.425764+(-0.261426--0.954516))+0-28.1--0.0286620000000045</f>
        <v>1668.8959879999998</v>
      </c>
      <c r="G93" s="3">
        <f>2373.2+(278-1104.2)+(0+(0-0))+0-28.4-0</f>
        <v>1518.5999999999997</v>
      </c>
      <c r="H93" s="3">
        <f>2080.8+(289.7-904.8)+(-3.183624+(-0.443241--1.384344))+0-29--0.0443700000000017</f>
        <v>1434.5018490000004</v>
      </c>
      <c r="I93" s="3">
        <f>2002.6+(291.8-869.9)+(-2.042652+(-0.297636--0.887298))+0-28.4--0.0289680000000045</f>
        <v>1394.675978</v>
      </c>
      <c r="J93" s="3">
        <f>2009+(292.3-895.5)+(-5.12295+(-0.745365--2.283525))+0-28.5--0.0726749999999959</f>
        <v>1373.7878849999997</v>
      </c>
      <c r="K93" s="3">
        <f>2007.1+(292-893.7)+(-5.118105+(-0.7446--2.278935))+0-27.8--0.070889999999996</f>
        <v>1374.0871199999999</v>
      </c>
      <c r="L93" s="3">
        <f>2021.2+(297.4-956.9)+(0+(0-0))+0-27.8-0</f>
        <v>1333.9</v>
      </c>
      <c r="M93" s="3">
        <f>2151.7+(277.4-932.4)+(1.097367+(0.141474-0.475524))+0-28.5-0.0145349999999971</f>
        <v>1468.9487819999997</v>
      </c>
      <c r="N93" s="3">
        <f>2337.4+(251.5-891.4)+(-2.384148+(-0.25653--0.909228))+0-29.3--0.0298860000000047</f>
        <v>1666.4984360000001</v>
      </c>
      <c r="O93" s="3">
        <f>2524.8+(257.4-934.6)+(-2.575296+(-0.262548--0.953292))+0-29.1--0.0296820000000046</f>
        <v>1816.6451300000003</v>
      </c>
      <c r="P93" s="3">
        <f>2764.9+(258.5-1084.3)+(1.410099+(0.131835-0.552993))+0-30.8-0.0157079999999969</f>
        <v>1909.2732330000003</v>
      </c>
      <c r="Q93" s="3">
        <f>2765.8+(258.8-1017.8)+(0+(0-0))+0-29.9-0</f>
        <v>1976.9</v>
      </c>
      <c r="R93" s="3">
        <f>2797+(268.6-1037.2)+(-2.85294+(-0.273972--1.057944))+0-29--0.0295800000000046</f>
        <v>1997.3606119999999</v>
      </c>
      <c r="S93" s="3">
        <f>2805.5+(270.8-1080.8)+(-1.430805+(-0.138108--0.551208))+0-27.7--0.0141269999999972</f>
        <v>1966.7964219999999</v>
      </c>
      <c r="T93" s="3">
        <f>2807.8+(267.6-1102.5)+(0+(0-0))+0-29.2-0</f>
        <v>1943.7</v>
      </c>
      <c r="U93" s="3">
        <f>2748.5+(267-1051.9)+(-1.401735+(-0.13617--0.536469))+0-29.7--0.015146999999997</f>
        <v>1932.9137109999999</v>
      </c>
      <c r="V93" s="3">
        <f>2697.5+(286.2-1022.7)+(-1.375725+(-0.145962--0.521577))+0-29.5--0.015044999999997</f>
        <v>1930.5149350000002</v>
      </c>
      <c r="W93" s="3">
        <f>2632.1+(288.4-1017.3)+(-2.684742+(-0.294168--1.037646))+0-29.5--0.0300900000000047</f>
        <v>1871.7888259999997</v>
      </c>
      <c r="X93" s="3">
        <f>2534.8+(291.4-969)+(-3.878244+(-0.445842--1.48257))+0-30--0.0459000000000017</f>
        <v>1824.4043840000004</v>
      </c>
      <c r="Y93" s="3">
        <f>2098.6+(308.7-677.9)+(-8.562288+(-1.259496--2.765832))+0-29.8--0.121583999999997</f>
        <v>1692.665632</v>
      </c>
      <c r="Z93" s="3">
        <f>2180.3+(316.7-801)+(2.223906+(0.323034-0.81702))+0-28.6-0.0291720000000046</f>
        <v>1669.1007480000003</v>
      </c>
      <c r="AA93" s="3">
        <f>2419.4+(325-794.5)+(-1.233894+(-0.16575--0.405195))+0-28.3--0.0144329999999971</f>
        <v>1920.6199840000002</v>
      </c>
      <c r="AB93" s="3">
        <f>2558.3+(319.2-898.6)+(-1.304733+(-0.162792--0.458286))+0-28.3--0.0144329999999971</f>
        <v>1949.6051940000002</v>
      </c>
      <c r="AC93" s="3">
        <f>2542.9+(309.6-936.6)+(-5.187516+(-0.631584--1.910664))+0-28.4--0.0579359999999988</f>
        <v>1883.6495</v>
      </c>
      <c r="AD93">
        <v>1968.9</v>
      </c>
      <c r="AE93" s="3">
        <f>2547.9+(327.6-848.6)+(0+(0-0))+0-28-0</f>
        <v>1998.9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2257.9+(267.8-792.7)+(-5.757645+(-0.68289--2.021385))+0-28.5--0.0726749999999959</f>
        <v>1700.1535249999999</v>
      </c>
      <c r="G94" s="3">
        <f>2175.3+(274.4-878)+(-4.437612+(-0.559776--1.79112))+0-28--0.0571199999999988</f>
        <v>1540.5508520000003</v>
      </c>
      <c r="H94" s="3">
        <f>2175+(286.7-964.4)+(-5.54625+(-0.731085--2.45922))+0-28.3--0.0721649999999959</f>
        <v>1465.25405</v>
      </c>
      <c r="I94" s="3">
        <f>2157.8+(292.1-978.1)+(-4.401912+(-0.595884--1.995324))+0-27.3--0.0556919999999988</f>
        <v>1441.5532200000002</v>
      </c>
      <c r="J94" s="3">
        <f>2056+(292.3-904.9)+(-1.04856+(-0.149073--0.461499))+0-27.8--0.0141779999999972</f>
        <v>1414.878044</v>
      </c>
      <c r="K94" s="3">
        <f>1964.9+(292.5-816.8)+(-4.008396+(-0.5967--1.666272))+0-28.5--0.0581399999999988</f>
        <v>1409.2193160000002</v>
      </c>
      <c r="L94" s="3">
        <f>1817+(292.6-703.5)+(-1.85334+(-0.298452--0.71757))+0-28.3--0.0288660000000045</f>
        <v>1376.394644</v>
      </c>
      <c r="M94" s="3">
        <f>1836.5+(294.5-613)+(0.936615+(0.150195-0.31263))+0-28.9-0.0147389999999971</f>
        <v>1489.8594409999998</v>
      </c>
      <c r="N94" s="3">
        <f>2084.5+(291.1-660.5)+(-1.063095+(-0.148461--0.336855))+0-29.5--0.015044999999997</f>
        <v>1684.7403440000001</v>
      </c>
      <c r="O94" s="3">
        <f>2299.2+(304.9-742)+(0+(0-0))+0-30.1-0</f>
        <v>1832</v>
      </c>
      <c r="P94" s="3">
        <f>2422.3+(317.6-797.5)+(0+(0-0))+0-30.3-0</f>
        <v>1912.1000000000001</v>
      </c>
      <c r="Q94" s="3">
        <f>2491.8+(306.2-791.1)+(0+(0-0))+0-29.5-0</f>
        <v>1977.4</v>
      </c>
      <c r="R94" s="3">
        <f>2492+(296.4-767.5)+(0+(0-0))+0-28.7-0</f>
        <v>1992.2</v>
      </c>
      <c r="S94" s="3">
        <f>2482.9+(293-806.5)+(-2.532558+(-0.29886--0.82263))+0-28.6--0.0291720000000046</f>
        <v>1938.8203840000001</v>
      </c>
      <c r="T94" s="3">
        <f>2480.6+(296.3-836.4)+(1.265106+(0.151113-0.426564))+0-29.2-0.014891999999997</f>
        <v>1912.2747630000001</v>
      </c>
      <c r="U94" s="3">
        <f>2476.9+(285.3-811.1)+(-1.263219+(-0.145503--0.413661))+0-29.5--0.015044999999997</f>
        <v>1920.6199840000002</v>
      </c>
      <c r="V94" s="3">
        <f>2481.3+(272.4-813.2)+(-2.530926+(-0.277848--0.829464))+0-29.7--0.0302940000000047</f>
        <v>1908.8509839999999</v>
      </c>
      <c r="W94" s="3">
        <f>2479.4+(276.3-859.1)+(-2.528988+(-0.281826--0.876282))+0-29.8--0.0303960000000048</f>
        <v>1864.8958640000003</v>
      </c>
      <c r="X94" s="3">
        <f>2346.1+(272.9-880.4)+(-8.375577+(-0.974253--3.143028))+0-29.5--0.105315</f>
        <v>1702.998513</v>
      </c>
      <c r="Y94" s="3">
        <f>2074.5+(278.1-585)+(-2.11599+(-0.283662--0.5967))+0-29--0.0295800000000046</f>
        <v>1736.8266279999998</v>
      </c>
      <c r="Z94" s="3">
        <f>2273.3+(312.8-843.9)+(-2.318766+(-0.319056--0.860778))+0-28.4--0.0289680000000045</f>
        <v>1712.0519240000003</v>
      </c>
      <c r="AA94" s="3">
        <f>2314.6+(323.8-692.5)+(-7.082676+(-0.990828--2.11905))+0-28.2--0.0862920000000033</f>
        <v>1911.8318379999998</v>
      </c>
      <c r="AB94" s="3">
        <f>2286+(318.1-696.7)+(-2.33172+(-0.324462--0.710634))+0-28.5--0.0290700000000045</f>
        <v>1876.9835220000002</v>
      </c>
      <c r="AC94" s="3">
        <f>2265.9+(310.6-726.1)+(0+(0-0))+0-29.1-0</f>
        <v>1821.3000000000002</v>
      </c>
      <c r="AD94">
        <v>1893.4000000000003</v>
      </c>
      <c r="AE94" s="3">
        <f>2310.4+(325.8-688.4)+(0+(0-0))+0-25.6-0</f>
        <v>1922.2000000000003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2180.9+(249.7-792.4)+(-1.112259+(-0.127347--0.404124))+0-27.7--0.0141269999999972</f>
        <v>1609.678645</v>
      </c>
      <c r="G95" s="3">
        <f>2021.5+(275.3-804.6)+(-1.030965+(-0.140403--0.410346))+0-28--0.0142799999999972</f>
        <v>1463.4532580000002</v>
      </c>
      <c r="H95" s="3">
        <f>2020+(281.4-875.4)+(-1.0302+(-0.143514--0.446454))+0-28.5--0.0145349999999971</f>
        <v>1396.7872750000001</v>
      </c>
      <c r="I95" s="3">
        <f>1895.6+(289.5-786.6)+(-1.933512+(-0.29529--0.802332))+0-28.6--0.0291720000000046</f>
        <v>1368.502702</v>
      </c>
      <c r="J95" s="3">
        <f>1788.9+(291.1-698.1)+(1.824678+(0.296922-0.712062))+0-28.1-0.0286620000000045</f>
        <v>1355.1808760000004</v>
      </c>
      <c r="K95" s="3">
        <f>1671.5+(291-652.7)+(-5.11479+(-0.89046--1.997262))+0-28.3--0.0865980000000033</f>
        <v>1277.57861</v>
      </c>
      <c r="L95" s="3">
        <f>1680.6+(290.2-625.4)+(-2.571318+(-0.444006--0.956862))+0-27.8--0.0425340000000016</f>
        <v>1315.5840719999999</v>
      </c>
      <c r="M95" s="3">
        <f>1698.2+(290.1-538.3)+(1.732164+(0.295902-0.549066))+0-29.7-0.0302940000000047</f>
        <v>1421.7487060000001</v>
      </c>
      <c r="N95" s="3">
        <f>1912.7+(293.3-567.6)+(2.926431+(0.448749-0.868428))+0-30.5-0.0466650000000018</f>
        <v>1610.360087</v>
      </c>
      <c r="O95" s="3">
        <f>2145.5+(299.7-677.9)+(3.282615+(0.458541-1.037187))+0-30.2-0.0462060000000017</f>
        <v>1739.7577629999998</v>
      </c>
      <c r="P95" s="3">
        <f>2250.2+(300.3-681.5)+(0+(0-0))+0-30.5-0</f>
        <v>1838.4999999999998</v>
      </c>
      <c r="Q95" s="3">
        <f>2293.3+(291.9-669.5)+(-1.169583+(-0.148869--0.341445))+0-30.6--0.0156059999999969</f>
        <v>1884.1385990000003</v>
      </c>
      <c r="R95" s="3">
        <f>2328.1+(286.7-704.2)+(0+(0-0))+0-28.9-0</f>
        <v>1881.6999999999998</v>
      </c>
      <c r="S95" s="3">
        <f>2312.1+(284.9-730.4)+(-8.254197+(-1.017093--2.607528))+0-28.6--0.102102</f>
        <v>1831.4383400000002</v>
      </c>
      <c r="T95" s="3">
        <f>2321.2+(277.6-790.5)+(-2.367624+(-0.283152--0.80631))+0-29.5--0.0300900000000047</f>
        <v>1776.9856239999997</v>
      </c>
      <c r="U95" s="3">
        <f>2321.2+(274.5-811.1)+(-3.551436+(-0.419985--1.240983))+0-30--0.0459000000000017</f>
        <v>1751.9154619999999</v>
      </c>
      <c r="V95" s="3">
        <f>2303.7+(256.9-777)+(-2.349774+(-0.262038--0.79254))+0-29.7--0.0302940000000047</f>
        <v>1752.1110219999998</v>
      </c>
      <c r="W95" s="3">
        <f>2125.3+(255.3-638)+(-4.335612+(-0.520812--1.30152))+0-29.9--0.0609959999999987</f>
        <v>1709.2060919999999</v>
      </c>
      <c r="X95" s="3">
        <f>1999.1+(253.9-536.3)+(-6.117246+(-0.776934--1.641078))+0-30--0.0918000000000035</f>
        <v>1681.5386979999998</v>
      </c>
      <c r="Y95" s="3">
        <f>1980.4+(289.4-608.8)+(-6.060024+(-0.885564--1.862928))+0-29.9--0.0914940000000034</f>
        <v>1626.1088339999999</v>
      </c>
      <c r="Z95" s="3">
        <f>2041.9+(310-673.7)+(0+(0-0))+0-29.4-0</f>
        <v>1648.8</v>
      </c>
      <c r="AA95" s="3">
        <f>2307.6+(318.9-743.1)+(-8.238132+(-1.138473--2.652867))+0-28.5--0.101745</f>
        <v>1848.2780069999999</v>
      </c>
      <c r="AB95" s="3">
        <f>1958.8+(336-427.3)+(-2.996964+(-0.51408--0.653769))+0-28.1--0.0429930000000016</f>
        <v>1836.585718</v>
      </c>
      <c r="AC95" s="3">
        <f>1692.9+(343.1-276)+(-0.863379+(-0.174981--0.14076))+0-28.2--0.0143819999999971</f>
        <v>1730.916782</v>
      </c>
      <c r="AD95">
        <v>1867</v>
      </c>
      <c r="AE95" s="3">
        <f>2353+(322.3-749.7)+(0+(0-0))+0-28-0</f>
        <v>1897.6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1730.5+(263.4-396.9)+(0+(0-0))+0-28.3-0</f>
        <v>1568.7</v>
      </c>
      <c r="G96" s="3">
        <f>1655.7+(289.5-496.2)+(-1.688814+(-0.29529--0.506124))+0-27.7--0.0282540000000044</f>
        <v>1419.8502740000001</v>
      </c>
      <c r="H96" s="3">
        <f>1588+(294.4-512.8)+(-0.80988+(-0.150144--0.261528))+0-28.3--0.0144329999999971</f>
        <v>1340.615937</v>
      </c>
      <c r="I96" s="3">
        <f>1436+(294.5-476.7)+(-2.92944+(-0.60078--0.972468))+0-28.5--0.0581399999999988</f>
        <v>1222.8003880000001</v>
      </c>
      <c r="J96" s="3">
        <f>1442.5+(291.2-420)+(1.47135+(0.297024-0.4284))+0-27.3-0.0278460000000044</f>
        <v>1287.7121280000001</v>
      </c>
      <c r="K96" s="3">
        <f>1395.2+(292.1-381)+(-2.134656+(-0.446913--0.58293))+0-27.2--0.0416160000000016</f>
        <v>1277.1429770000002</v>
      </c>
      <c r="L96" s="3">
        <f>1380+(299.8-439.4)+(-1.4076+(-0.305796--0.448188))+0-28.3--0.0288660000000045</f>
        <v>1210.8636580000002</v>
      </c>
      <c r="M96" s="3">
        <f>1384.4+(290.4-405.5)+(2.118132+(0.444312-0.620415))+0-28.5-0.0436050000000016</f>
        <v>1242.6984240000002</v>
      </c>
      <c r="N96" s="3">
        <f>1382+(299.5-326.3)+(0+(0-0))+0-29.4-0</f>
        <v>1325.8</v>
      </c>
      <c r="O96" s="3">
        <f>1531.7+(288.2-320.5)+(-1.562334+(-0.293964--0.32691))+0-28.4--0.0289680000000045</f>
        <v>1469.4995800000002</v>
      </c>
      <c r="P96" s="3">
        <f>1648.7+(285-406.4)+(1.681674+(0.2907-0.414528))+0-28.4-0.0289680000000045</f>
        <v>1500.4288779999999</v>
      </c>
      <c r="Q96" s="3">
        <f>1702.3+(287.9-413.6)+(0.868173+(0.146829-0.210936))+0-29.5-0.015044999999997</f>
        <v>1547.8890209999997</v>
      </c>
      <c r="R96" s="3">
        <f>1967.1+(284.3-665.1)+(1.003221+(0.144993-0.339201))+0-27.3-0.0139229999999972</f>
        <v>1559.7950900000001</v>
      </c>
      <c r="S96" s="3">
        <f>1969.7+(283.7-690.1)+(-1.004547+(-0.144687--0.351951))+0-27.1--0.0138209999999973</f>
        <v>1535.4165379999999</v>
      </c>
      <c r="T96" s="3">
        <f>1917.3+(277.6-595.3)+(0+(0-0))+0-28-0</f>
        <v>1571.6</v>
      </c>
      <c r="U96" s="3">
        <f>1713.3+(287.1-418.5)+(-1.747566+(-0.292842--0.42687))+0-29.3--0.0298860000000047</f>
        <v>1551.0163480000001</v>
      </c>
      <c r="V96" s="3">
        <f>1657.7+(292.1-426.1)+(1.690854+(0.297942-0.434622))+0-29.3-0.0298860000000047</f>
        <v>1495.9242880000002</v>
      </c>
      <c r="W96" s="3">
        <f>1654+(289.5-440)+(-0.84354+(-0.147645--0.2244))+0-28.9--0.0147389999999971</f>
        <v>1473.8479539999998</v>
      </c>
      <c r="X96" s="3">
        <f>1614.1+(300.5-411.2)+(-1.646382+(-0.30651--0.419424))+0-28.5--0.0290700000000045</f>
        <v>1473.3956019999998</v>
      </c>
      <c r="Y96" s="3">
        <f>1539.9+(312.5-290.2)+(-1.570698+(-0.31875--0.296004))+0-28.7--0.0292740000000046</f>
        <v>1531.9358299999999</v>
      </c>
      <c r="Z96" s="3">
        <f>1603.1+(336-360)+(-1.635162+(-0.34272--0.3672))+0-29.5--0.0300900000000047</f>
        <v>1548.0194079999999</v>
      </c>
      <c r="AA96" s="3">
        <f>1630.1+(378-299)+(-4.988106+(-1.15668--0.91494))+0-29.3--0.0896580000000034</f>
        <v>1674.6598120000001</v>
      </c>
      <c r="AB96" s="3">
        <f>1633.6+(382.2-261.7)+(-1.666272+(-0.389844--0.266934))+0-27.7--0.0282540000000044</f>
        <v>1724.6390719999999</v>
      </c>
      <c r="AC96" s="3">
        <f>1609.4+(360.4-273.9)+(-0.820794+(-0.183804--0.139689))+0-28.1--0.0143309999999971</f>
        <v>1666.9494220000004</v>
      </c>
      <c r="AD96">
        <v>1694</v>
      </c>
      <c r="AE96" s="3">
        <f>1614+(389.1-256.5)+(0+(0-0))+0-27.2-0</f>
        <v>1719.3999999999999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1575+(259.3-318.7)+(-4.01625+(-0.661215--0.812685))+0-27.8--0.070889999999996</f>
        <v>1484.0061099999998</v>
      </c>
      <c r="G97" s="3">
        <f>1570.1+(250.6-436.1)+(-3.203004+(-0.511224--0.889644))+0-27.5--0.0560999999999988</f>
        <v>1354.331516</v>
      </c>
      <c r="H97" s="3">
        <f>1368.4+(278.2-348.2)+(-0.697884+(-0.141882--0.177582))+0-27.2--0.0138719999999972</f>
        <v>1270.551688</v>
      </c>
      <c r="I97" s="3">
        <f>1365.8+(284.7-365.4)+(-2.089674+(-0.435591--0.559062))+0-27.6--0.0422280000000016</f>
        <v>1255.5760250000001</v>
      </c>
      <c r="J97" s="3">
        <f>1399.7+(274.8-394.1)+(-1.427694+(-0.280296--0.401982))+0-26.5--0.0270300000000042</f>
        <v>1252.621022</v>
      </c>
      <c r="K97" s="3">
        <f>1460.7+(255.1-436.5)+(-4.469742+(-0.780606--1.33569))+0-26.8--0.0820080000000031</f>
        <v>1248.6673500000002</v>
      </c>
      <c r="L97" s="3">
        <f>1505.7+(233.3-471.5)+(-3.071628+(-0.475932--0.96186))+0-27.3--0.0556919999999988</f>
        <v>1237.6699919999999</v>
      </c>
      <c r="M97" s="3">
        <f>1656.6+(243.9-499.7)+(0+(0-0))+0-28.5-0</f>
        <v>1372.3</v>
      </c>
      <c r="N97" s="3">
        <f>1986.9+(222.8-594.4)+(-3.039957+(-0.340884--0.909432))+0-29.2--0.0446760000000017</f>
        <v>1583.6732670000001</v>
      </c>
      <c r="O97" s="3">
        <f>2234.7+(217.4-724.1)+(2.279394+(0.221748-0.738582))+0-29.4-0.0299880000000047</f>
        <v>1700.3325719999996</v>
      </c>
      <c r="P97" s="3">
        <f>2312.3+(211.6-681.9)+(-1.179273+(-0.107916--0.347769))+0-29.7--0.015146999999997</f>
        <v>1811.3757270000003</v>
      </c>
      <c r="Q97" s="3">
        <f>2322.8+(211.2-634.5)+(-1.184628+(-0.107712--0.323595))+0-29.9--0.015248999999997</f>
        <v>1868.6465040000003</v>
      </c>
      <c r="R97" s="3">
        <f>2331.9+(220.7-639.9)+(1.189269+(0.112557-0.326349))+0-28.5-0.0145349999999971</f>
        <v>1885.160942</v>
      </c>
      <c r="S97" s="3">
        <f>2337+(234.6-710.8)+(-1.19187+(-0.119646--0.362508))+0-27.5--0.0140249999999972</f>
        <v>1832.3650170000001</v>
      </c>
      <c r="T97" s="3">
        <f>2338.3+(241-733.8)+(-2.385066+(-0.24582--0.748476))+0-28.8--0.0293760000000046</f>
        <v>1814.8469660000003</v>
      </c>
      <c r="U97" s="3">
        <f>2323.6+(241.5-724.3)+(-3.555108+(-0.369495--1.108179))+0-29.6--0.0452880000000017</f>
        <v>1808.428864</v>
      </c>
      <c r="V97" s="3">
        <f>2324+(243.2-717.7)+(-5.9262+(-0.62016--1.830135))+0-29.6--0.0754799999999957</f>
        <v>1815.2592550000002</v>
      </c>
      <c r="W97" s="3">
        <f>2322.9+(237.4-740.1)+(-8.292753+(-0.847518--2.642157))+0-30--0.1071</f>
        <v>1783.808986</v>
      </c>
      <c r="X97" s="3">
        <f>2289.8+(248.2-771.2)+(-7.006788+(-0.759492--2.359872))+0-29.3--0.0896580000000034</f>
        <v>1732.1832500000003</v>
      </c>
      <c r="Y97" s="3">
        <f>2049.1+(298.8-678.2)+(-4.180164+(-0.609552--1.383528))+0-29.9--0.0609959999999987</f>
        <v>1636.4548079999997</v>
      </c>
      <c r="Z97" s="3">
        <f>2152+(309.6-796)+(0+(0-0))+0-29.9-0</f>
        <v>1635.6999999999998</v>
      </c>
      <c r="AA97" s="3">
        <f>2496.1+(314.2-904.9)+(-2.546022+(-0.320484--0.922998))+0-29.9--0.0304980000000048</f>
        <v>1873.5869899999998</v>
      </c>
      <c r="AB97" s="3">
        <f>2496+(314.4-897.3)+(-3.81888+(-0.481032--1.372869))+0-28.6--0.0437580000000017</f>
        <v>1881.6167150000001</v>
      </c>
      <c r="AC97" s="3">
        <f>2326.3+(308.8-795.5)+(-1.186413+(-0.157488--0.405705))+0-28--0.0142799999999972</f>
        <v>1810.6760840000002</v>
      </c>
      <c r="AD97">
        <v>1892.8999999999999</v>
      </c>
      <c r="AE97" s="3">
        <f>2500+(312.5-871)+(0+(0-0))+0-28.8-0</f>
        <v>1912.7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2061.7+(305.3-758.1)+(-3.154401+(-0.467109--1.159893))+0-27.4--0.0419220000000016</f>
        <v>1579.080305</v>
      </c>
      <c r="G98" s="3">
        <f>1818.5+(306.4-749.5)+(-2.782305+(-0.468792--1.146735))+0-28.5--0.0436050000000016</f>
        <v>1344.8392430000001</v>
      </c>
      <c r="H98" s="3">
        <f>1767.2+(305.9-681.6)+(-1.802544+(-0.312018--0.695232))+0-28.4--0.0289680000000045</f>
        <v>1361.709638</v>
      </c>
      <c r="I98" s="3">
        <f>1768+(306.1-673.5)+(2.70504+(0.468333-1.030455))+0-28.5-0.0436050000000016</f>
        <v>1374.1993129999998</v>
      </c>
      <c r="J98" s="3">
        <f>1770.3+(305.6-700.3)+(0+(0-0))+0-28.6-0</f>
        <v>1347</v>
      </c>
      <c r="K98" s="3">
        <f>1768.5+(298-718.1)+(-1.80387+(-0.30396--0.732462))+0-28.1--0.0286620000000045</f>
        <v>1318.9532940000001</v>
      </c>
      <c r="L98" s="3">
        <f>1768+(284.3-723.8)+(-3.60672+(-0.579972--1.476552))+0-27.5--0.0560999999999988</f>
        <v>1298.3459600000001</v>
      </c>
      <c r="M98" s="3">
        <f>1805.3+(261.6-609.7)+(5.524218+(0.800496-1.865682))+0-28.9-0.0884340000000033</f>
        <v>1432.6705979999997</v>
      </c>
      <c r="N98" s="3">
        <f>2000.8+(266.8-638.8)+(-4.081632+(-0.544272--1.303152))+0-29.2--0.0595679999999987</f>
        <v>1596.3368159999998</v>
      </c>
      <c r="O98" s="3">
        <f>2187.9+(315.2-752.3)+(-1.115829+(-0.160752--0.383673))+0-29.9--0.015248999999997</f>
        <v>1720.0223410000001</v>
      </c>
      <c r="P98" s="3">
        <f>2328.7+(314.3-801.7)+(-1.187637+(-0.160293--0.408867))+0-29.1--0.014840999999997</f>
        <v>1811.2757779999997</v>
      </c>
      <c r="Q98" s="3">
        <f>2315.8+(315-729.2)+(-1.181058+(-0.16065--0.371892))+2.3-29.5--0.015044999999997</f>
        <v>1873.4452290000002</v>
      </c>
      <c r="R98" s="3">
        <f>2311.1+(281.3-673.5)+(0+(0-0))+0-28-0</f>
        <v>1890.8999999999999</v>
      </c>
      <c r="S98" s="3">
        <f>2305+(269.9-676.4)+(-2.3511+(-0.275298--0.689928))+0-27.9--0.0284580000000044</f>
        <v>1868.6919879999998</v>
      </c>
      <c r="T98" s="3">
        <f>2291.3+(243.3-666.3)+(-4.674252+(-0.496332--1.359252))+0-29.1--0.0593639999999987</f>
        <v>1835.4480320000002</v>
      </c>
      <c r="U98" s="3">
        <f>2275.4+(229.6-658.7)+(-3.481362+(-0.351288--1.007811))+0-29.8--0.0455940000000017</f>
        <v>1813.7207550000001</v>
      </c>
      <c r="V98" s="3">
        <f>2286+(236.8-655.6)+(-1.16586+(-0.120768--0.334356))+0-29--0.0147899999999971</f>
        <v>1837.262518</v>
      </c>
      <c r="W98" s="3">
        <f>2272+(235.4-673.3)+(-1.15872+(-0.120054--0.343383))+0-29.2--0.014891999999997</f>
        <v>1803.9795009999998</v>
      </c>
      <c r="X98" s="3">
        <f>2276.4+(234.6-722.1)+(-6.965784+(-0.717876--2.209626))+0-29--0.0887400000000034</f>
        <v>1754.5147059999999</v>
      </c>
      <c r="Y98" s="3">
        <f>2026.6+(268.9-618.1)+(-3.100698+(-0.411417--0.945693))+0-28.6--0.0437580000000017</f>
        <v>1646.2773359999999</v>
      </c>
      <c r="Z98" s="3">
        <f>1999.7+(309.8-600.5)+(-3.059541+(-0.473994--0.918765))+0-27.6--0.0422280000000016</f>
        <v>1678.8274580000002</v>
      </c>
      <c r="AA98" s="3">
        <f>2407.7+(309.6-617.3)+(-1.227927+(-0.157896--0.314823))+0-27.6--0.0140759999999972</f>
        <v>2071.3430760000001</v>
      </c>
      <c r="AB98" s="3">
        <f>2459+(321.2-628.8)+(-5.01636+(-0.655248--1.282752))+0-27.6--0.0563039999999988</f>
        <v>2119.4674480000003</v>
      </c>
      <c r="AC98" s="3">
        <f>2323.6+(315-678.1)+(-2.370072+(-0.3213--0.691662))+0-28.1--0.0286620000000045</f>
        <v>1930.428952</v>
      </c>
      <c r="AD98">
        <v>1943</v>
      </c>
      <c r="AE98" s="3">
        <f>2263+(307.9-583.5)+(0+(0-0))+0-29.6-0</f>
        <v>1957.8000000000002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2211.1+(275.1-795.8)+(-3.382983+(-0.420903--1.217574))+0-28.4--0.0434520000000016</f>
        <v>1659.45714</v>
      </c>
      <c r="G99" s="3">
        <f>2143.8+(284.4-892.6)+(-4.373352+(-0.580176--1.820904))+0-28.4--0.0579359999999988</f>
        <v>1504.1253119999999</v>
      </c>
      <c r="H99" s="3">
        <f>1958.2+(290.7-813.6)+(-3.994728+(-0.593028--1.659744))+0-28--0.0571199999999988</f>
        <v>1404.4291079999998</v>
      </c>
      <c r="I99" s="3">
        <f>1805.8+(290.9-697)+(-4.60479+(-0.741795--1.77735))+0-28.4--0.0724199999999959</f>
        <v>1367.8031849999998</v>
      </c>
      <c r="J99" s="3">
        <f>1679.1+(290.6-671.3)+(-5.138046+(-0.889236--2.054178))+0-27.9--0.0853740000000032</f>
        <v>1266.6122700000001</v>
      </c>
      <c r="K99" s="3">
        <f>1680+(290.9-592.5)+(-4.284+(-0.741795--1.510875))+0-28.3--0.0721649999999959</f>
        <v>1346.6572450000001</v>
      </c>
      <c r="L99" s="3">
        <f>1681.8+(296.1-629.3)+(-0.857718+(-0.151011--0.320943))+0-26.9--0.0137189999999973</f>
        <v>1321.0259329999999</v>
      </c>
      <c r="M99" s="3">
        <f>1791.8+(286.3-624.7)+(-0.913818+(-0.146013--0.318597))+0-28.2--0.0143819999999971</f>
        <v>1424.4731479999998</v>
      </c>
      <c r="N99" s="3">
        <f>1944.9+(266.2-560.1)+(0.991899+(0.135762-0.285651))+0-20.7-0.0105569999999979</f>
        <v>1631.131453</v>
      </c>
      <c r="O99" s="3">
        <f>2118.3+(199.1-528.9)+(-1.080333+(-0.101541--0.269739))+0-9.4--0.00479399999999905</f>
        <v>1778.192659</v>
      </c>
      <c r="P99" s="3">
        <f>2277.4+(184.9-583.8)+(-1.161474+(-0.094299--0.297738))+0-6--0.00305999999999939</f>
        <v>1871.5450249999999</v>
      </c>
      <c r="Q99" s="3">
        <f>2380+(170.8-595)+(0+(0-0))+0-4.8-0</f>
        <v>1951</v>
      </c>
      <c r="R99" s="3">
        <f>2490.9+(191.2-707.6)+(0+(0-0))+0-2.3-0</f>
        <v>1972.2</v>
      </c>
      <c r="S99" s="3">
        <f>2489.5+(195.1-742.5)+(-2.53929+(-0.199002--0.75735))+0-1.5--0.00153000000000024</f>
        <v>1938.620588</v>
      </c>
      <c r="T99" s="3">
        <f>2541.4+(218.6-858)+(-1.296114+(-0.111486--0.43758))+0-1.2--0.000611999999999878</f>
        <v>1899.830592</v>
      </c>
      <c r="U99" s="3">
        <f>2526.3+(226-861.1)+(1.288413+(0.11526-0.439161))+0-1.4-0.000713999999999858</f>
        <v>1890.7637980000002</v>
      </c>
      <c r="V99" s="3">
        <f>2513.7+(265.4-857.7)+(-1.281987+(-0.135354--0.437427))+0-1.3--0.000662999999999868</f>
        <v>1919.1207489999997</v>
      </c>
      <c r="W99" s="3">
        <f>2451.7+(285.2-844.1)+(-8.752569+(-1.018164--3.013437))+0-1.3--0.00464100000000002</f>
        <v>1884.7473449999998</v>
      </c>
      <c r="X99" s="3">
        <f>2412+(294.3-858.5)+(-7.38072+(-0.900558--2.62701))+0-6.8--0.0208080000000008</f>
        <v>1835.36654</v>
      </c>
      <c r="Y99" s="3">
        <f>2077.1+(300.1-645)+(-1.059321+(-0.153051--0.32895))+0-25.7--0.0131069999999974</f>
        <v>1705.6296849999997</v>
      </c>
      <c r="Z99" s="3">
        <f>2225.5+(308.5-820.6)+(1.135005+(0.157335-0.418506))+0-27.7-0.0141269999999972</f>
        <v>1686.5597070000001</v>
      </c>
      <c r="AA99" s="3">
        <f>2474.8+(311.9-821.7)+(-5.048592+(-0.636276--1.676268))+0-27.3--0.0556919999999988</f>
        <v>1933.7470920000001</v>
      </c>
      <c r="AB99" s="3">
        <f>2494.8+(311.9-826.7)+(-1.272348+(-0.159069--0.421617))+0-27--0.0137699999999973</f>
        <v>1952.00397</v>
      </c>
      <c r="AC99" s="3">
        <f>2491.5+(303.3-887.5)+(0+(0-0))+0-27.7-0</f>
        <v>1879.6</v>
      </c>
      <c r="AD99">
        <v>1955.5999999999997</v>
      </c>
      <c r="AE99" s="3">
        <f>2480+(325.5-792.1)+(0+(0-0))+0-27.2-0</f>
        <v>1986.2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2309.1+(223.4-823.6)+(-5.888205+(-0.56967--2.10018))+0-28.2--0.0719099999999959</f>
        <v>1676.4142149999998</v>
      </c>
      <c r="G100" s="3">
        <f>2198+(266.4-914)+(-4.48392+(-0.543456--1.86456))+0-27--0.0550799999999988</f>
        <v>1520.2922640000002</v>
      </c>
      <c r="H100" s="3">
        <f>2159+(277.6-953.8)+(-2.20218+(-0.283152--0.972876))+0-27.3--0.0278460000000044</f>
        <v>1454.0153900000003</v>
      </c>
      <c r="I100" s="3">
        <f>2149.5+(290-993.4)+(-3.288735+(-0.4437--1.519902))+0-27.2--0.0416160000000016</f>
        <v>1416.7290829999999</v>
      </c>
      <c r="J100" s="3">
        <f>2068.8+(294.3-923.5)+(-5.27544+(-0.750465--2.354925))+0-28--0.0713999999999959</f>
        <v>1408.0004200000001</v>
      </c>
      <c r="K100" s="3">
        <f>1948.2+(294.3-817.2)+(-4.96791+(-0.750465--2.08386))+0-27.7--0.070634999999996</f>
        <v>1394.03612</v>
      </c>
      <c r="L100" s="3">
        <f>1920.9+(302.1-843.9)+(0.979659+(0.154071-0.430389))+0-26.6-0.0135659999999973</f>
        <v>1353.1897750000001</v>
      </c>
      <c r="M100" s="3">
        <f>1922.3+(279.7-711.3)+(-2.941119+(-0.427941--1.088289))+0-27.2--0.0416160000000016</f>
        <v>1461.260845</v>
      </c>
      <c r="N100" s="3">
        <f>1991.7+(294.5-566.8)+(1.015767+(0.150195-0.289068))+0-28.7-0.0146369999999971</f>
        <v>1691.562257</v>
      </c>
      <c r="O100" s="3">
        <f>2253.5+(293.5-693.7)+(0+(0-0))+0-29.2-0</f>
        <v>1824.1</v>
      </c>
      <c r="P100" s="3">
        <f>2585.3+(292.2-926.9)+(-1.318503+(-0.149022--0.472719))+0-29.8--0.015197999999997</f>
        <v>1919.8203920000003</v>
      </c>
      <c r="Q100" s="3">
        <f>2648.3+(291.9-916.5)+(2.701266+(0.297738-0.93483))+0-29.2-0.0297840000000047</f>
        <v>1996.5343900000003</v>
      </c>
      <c r="R100" s="3">
        <f>2672.5+(287.6-917.9)+(2.72595+(0.293352-0.936258))+0-28.4-0.0289680000000045</f>
        <v>2015.8540759999998</v>
      </c>
      <c r="S100" s="3">
        <f>2818.9+(279.8-1025.2)+(0+(0-0))+0-26.1-0</f>
        <v>2047.4</v>
      </c>
      <c r="T100" s="3">
        <f>2740.2+(278-1037.2)+(-1.397502+(-0.14178--0.528972))+0-28.7--0.0146369999999971</f>
        <v>1951.3043269999998</v>
      </c>
      <c r="U100" s="3">
        <f>2739.9+(278.3-1040.2)+(-1.397349+(-0.141933--0.530502))+0-29.7--0.015146999999997</f>
        <v>1947.3063670000001</v>
      </c>
      <c r="V100" s="3">
        <f>2727.5+(277.4-1028.8)+(-4.173075+(-0.424422--1.574064))+0-29.2--0.0446760000000017</f>
        <v>1943.9212429999998</v>
      </c>
      <c r="W100" s="3">
        <f>2648.2+(273-981.2)+(2.701164+(0.27846-1.000824))+0-28.6-0.0291720000000046</f>
        <v>1913.3496279999999</v>
      </c>
      <c r="X100" s="3">
        <f>2633.2+(257.6-981.8)+(-5.371728+(-0.525504--2.002872))+0-29--0.0591599999999987</f>
        <v>1876.1648</v>
      </c>
      <c r="Y100" s="3">
        <f>2360+(260.1-783.1)+(-2.4072+(-0.265302--0.798762))+0-29--0.0295800000000046</f>
        <v>1806.1558399999999</v>
      </c>
      <c r="Z100" s="3">
        <f>2379+(307.7-928)+(0+(0-0))+0-28.7-0</f>
        <v>1730</v>
      </c>
      <c r="AA100" s="3">
        <f>2717.3+(318.1-1033.6)+(-1.385823+(-0.162231--0.527136))+0-28.1--0.0143309999999971</f>
        <v>1972.6934130000004</v>
      </c>
      <c r="AB100" s="3">
        <f>2736.5+(321-1034.5)+(-4.186845+(-0.49113--1.582785))+0-28.3--0.0432990000000016</f>
        <v>1991.648109</v>
      </c>
      <c r="AC100" s="3">
        <f>2705.5+(315.8-1064.4)+(0+(0-0))+0-29.4-0</f>
        <v>1927.4999999999998</v>
      </c>
      <c r="AD100">
        <v>1982.8</v>
      </c>
      <c r="AE100" s="3">
        <f>2716+(315.2-990)+(0+(0-0))+0-28-0</f>
        <v>2013.2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2493.9+(223-955.2)+(-3.815667+(-0.34119--1.461456))+0-28.8--0.0440640000000017</f>
        <v>1730.2486630000001</v>
      </c>
      <c r="G101" s="3">
        <f>2345.7+(227.3-974.7)+(0+(0-0))+0-28.4-0</f>
        <v>1569.8999999999996</v>
      </c>
      <c r="H101" s="3">
        <f>2206.9+(243.8-950.7)+(-5.627595+(-0.62169--2.424285))+0-28.6--0.0729299999999959</f>
        <v>1467.6479300000001</v>
      </c>
      <c r="I101" s="3">
        <f>1988.9+(257-820)+(-3.043017+(-0.39321--1.2546))+0-28.4--0.0434520000000016</f>
        <v>1395.361825</v>
      </c>
      <c r="J101" s="3">
        <f>1873.8+(266.2-753.7)+(-2.866914+(-0.407286--1.153161))+0-28.3--0.0432990000000016</f>
        <v>1355.9222599999998</v>
      </c>
      <c r="K101" s="3">
        <f>1728.3+(277.1-665.9)+(-5.288598+(-0.847926--2.037654))+0-27.9--0.0853740000000032</f>
        <v>1307.5865039999999</v>
      </c>
      <c r="L101" s="3">
        <f>1728.5+(289.2-654.5)+(-1.76307+(-0.294984--0.66759))+0-28.3--0.0288660000000045</f>
        <v>1333.5384020000001</v>
      </c>
      <c r="M101" s="3">
        <f>1810.4+(296.6-619.9)+(0.923304+(0.151266-0.316149))+0-29.2-0.014891999999997</f>
        <v>1458.6435290000002</v>
      </c>
      <c r="N101" s="3">
        <f>1895.8+(287.8-489.2)+(1.933716+(0.293556-0.498984))+0-29.7-0.0302940000000047</f>
        <v>1666.3979940000002</v>
      </c>
      <c r="O101" s="3">
        <f>2115.5+(306.5-566.3)+(-3.236715+(-0.468945--0.866439))+0-29.3--0.0448290000000017</f>
        <v>1823.6056080000001</v>
      </c>
      <c r="P101" s="3">
        <f>2458.3+(282.1-764)+(0+(0-0))+0-29.7-0</f>
        <v>1946.7</v>
      </c>
      <c r="Q101" s="3">
        <f>2631.4+(285.1-871.8)+(1.342014+(0.145401-0.444618))+0-29.3-0.014942999999997</f>
        <v>2016.4278540000005</v>
      </c>
      <c r="R101" s="3">
        <f>2660.8+(284.7-857.8)+(-1.357008+(-0.145197--0.437478))+0-28.2--0.0143819999999971</f>
        <v>2058.4496550000003</v>
      </c>
      <c r="S101" s="3">
        <f>2648.3+(272.8-875)+(-5.402532+(-0.556512--1.785))+0-28.1--0.0573239999999988</f>
        <v>2013.8832800000002</v>
      </c>
      <c r="T101" s="3">
        <f>2561+(267.3-923.7)+(1.30611+(0.136323-0.471087))+0-28.7-0.0146369999999971</f>
        <v>1876.8567089999999</v>
      </c>
      <c r="U101" s="3">
        <f>2651.3+(254.3-888.6)+(-6.760815+(-0.648465--2.26593))+0-29.7--0.0757349999999957</f>
        <v>1982.232385</v>
      </c>
      <c r="V101" s="3">
        <f>2654.8+(252-895.5)+(0+(0-0))+0-30.1-0</f>
        <v>1981.2000000000003</v>
      </c>
      <c r="W101" s="3">
        <f>2636.9+(251.5-914.3)+(-4.034457+(-0.384795--1.398879))+0-28.7--0.0439110000000017</f>
        <v>1942.423538</v>
      </c>
      <c r="X101" s="3">
        <f>2613+(249.6-944)+(-5.33052+(-0.509184--1.92576))+0-29.5--0.0601799999999987</f>
        <v>1885.246236</v>
      </c>
      <c r="Y101" s="3">
        <f>2450.6+(256.9-849.6)+(-2.499612+(-0.262038--0.866592))+0-29.5--0.0300900000000047</f>
        <v>1826.5350319999998</v>
      </c>
      <c r="Z101" s="3">
        <f>2398.6+(316.3-889.9)+(-4.893144+(-0.645252--1.815396))+0-29.9--0.0609959999999987</f>
        <v>1791.4379959999999</v>
      </c>
      <c r="AA101" s="3">
        <f>2542.4+(323.7-1001.4)+(-3.889872+(-0.495261--1.532142))+0-29.6--0.0452880000000017</f>
        <v>1832.2922970000002</v>
      </c>
      <c r="AB101" s="3">
        <f>2623.2+(325.6-916.7)+(-4.013496+(-0.498168--1.402551))+0-28.6--0.0437580000000017</f>
        <v>2000.434645</v>
      </c>
      <c r="AC101" s="3">
        <f>2502.2+(316.7-843.6)+(2.552244+(0.323034-0.860472))+0-28.8-0.0293760000000046</f>
        <v>1948.4854299999997</v>
      </c>
      <c r="AD101">
        <v>1961.6000000000001</v>
      </c>
      <c r="AE101" s="3">
        <f>2658+(322-945)+(0+(0-0))+0-27.2-0</f>
        <v>2007.8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2436+(231.1-854.5)+(-1.24236+(-0.117861--0.435795))+0-28.6--0.0145859999999971</f>
        <v>1783.09016</v>
      </c>
      <c r="G102" s="3">
        <f>2336.7+(241.5-920.6)+(-2.383434+(-0.24633--0.939012))+0-28.4--0.0289680000000045</f>
        <v>1627.5382159999999</v>
      </c>
      <c r="H102" s="3">
        <f>2266.9+(245.1-949.3)+(-2.312238+(-0.250002--0.968286))+0-29.1--0.0296820000000046</f>
        <v>1532.0357280000005</v>
      </c>
      <c r="I102" s="3">
        <f>2193.4+(264.8-953.4)+(1.118634+(0.135048-0.486234))+0-28.5-0.0145349999999971</f>
        <v>1477.0529130000002</v>
      </c>
      <c r="J102" s="3">
        <f>2188.7+(267.2-970.2)+(-3.348711+(-0.408816--1.484406))+0-29.1--0.0445230000000017</f>
        <v>1454.371402</v>
      </c>
      <c r="K102" s="3">
        <f>2174+(266.7-967.2)+(-5.5437+(-0.680085--2.46636))+0-28.1--0.0716549999999959</f>
        <v>1441.71423</v>
      </c>
      <c r="L102" s="3">
        <f>2075+(259.6-919.9)+(-6.3495+(-0.794376--2.814894))+0-28.1--0.0859860000000033</f>
        <v>1382.3570040000002</v>
      </c>
      <c r="M102" s="3">
        <f>2127.3+(241.6-917.7)+(-1.084923+(-0.123216--0.468027))+0-28.4--0.0144839999999971</f>
        <v>1422.0743720000003</v>
      </c>
      <c r="N102" s="3">
        <f>2309.4+(228.9-936.6)+(-1.177794+(-0.116739--0.477666))+0-30.1--0.0153509999999969</f>
        <v>1570.7984840000001</v>
      </c>
      <c r="O102" s="3">
        <f>2327.6+(232.2-800.6)+(0+(0-0))+0-29-0</f>
        <v>1730.1999999999998</v>
      </c>
      <c r="P102" s="3">
        <f>2333.9+(232.1-709.4)+(0+(0-0))+0-29.7-0</f>
        <v>1826.9</v>
      </c>
      <c r="Q102" s="3">
        <f>2333.5+(225.7-623.8)+(-3.570255+(-0.345321--0.954414))+0-29.6--0.0452880000000017</f>
        <v>1902.8841260000002</v>
      </c>
      <c r="R102" s="3">
        <f>2331.4+(211.7-589.5)+(-1.189014+(-0.107967--0.300645))+0-28.6--0.0145859999999971</f>
        <v>1924.0182500000003</v>
      </c>
      <c r="S102" s="3">
        <f>2328.2+(204.7-630.5)+(-5.93691+(-0.521985--1.607775))+0-28.5--0.0726749999999959</f>
        <v>1869.1215549999997</v>
      </c>
      <c r="T102" s="3">
        <f>2378.9+(191.1-706.8)+(1.213239+(0.097461-0.360468))+0-30.1-0.0153509999999969</f>
        <v>1834.0348810000003</v>
      </c>
      <c r="U102" s="3">
        <f>2399.4+(187.7-705.8)+(1.223694+(0.095727-0.359958))+0-29.7-0.015146999999997</f>
        <v>1852.544316</v>
      </c>
      <c r="V102" s="3">
        <f>2387.8+(180.2-685.8)+(-2.435556+(-0.183804--0.699516))+0-30--0.0306000000000048</f>
        <v>1850.3107560000003</v>
      </c>
      <c r="W102" s="3">
        <f>2387.2+(158.8-704)+(-3.652416+(-0.242964--1.07712))+0-29.4--0.0449820000000017</f>
        <v>1809.8267219999996</v>
      </c>
      <c r="X102" s="3">
        <f>2289.9+(156-659.9)+(-4.671396+(-0.31824--1.346196))+0-29.1--0.0593639999999987</f>
        <v>1753.315924</v>
      </c>
      <c r="Y102" s="3">
        <f>2140.6+(140.5-550.9)+(-3.275118+(-0.214965--0.842877))+0-28.6--0.0437580000000017</f>
        <v>1698.9965519999998</v>
      </c>
      <c r="Z102" s="3">
        <f>2114.7+(234.4-645)+(1.078497+(0.119544-0.32895))+0-27.9-0.0142289999999972</f>
        <v>1677.054862</v>
      </c>
      <c r="AA102" s="3">
        <f>2130.4+(322.6-593.5)+(-3.259512+(-0.493578--0.908055))+0-28.1--0.0429930000000016</f>
        <v>1828.5979580000001</v>
      </c>
      <c r="AB102" s="3">
        <f>2243.4+(333.3-604.1)+(-2.288268+(-0.339966--0.616182))+0-27.2--0.0277440000000043</f>
        <v>1943.415692</v>
      </c>
      <c r="AC102" s="3">
        <f>2250.2+(321-644.6)+(2.295204+(0.32742-0.657492))+0-28.3-0.0288660000000045</f>
        <v>1900.2362659999999</v>
      </c>
      <c r="AD102">
        <v>1913</v>
      </c>
      <c r="AE102" s="3">
        <f>2230+(340.1-579.7)+(0+(0-0))+0-27.2-0</f>
        <v>1963.2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2205.5+(284.1-721.3)+(-2.24961+(-0.289782--0.735726))+0-28.9--0.0294780000000046</f>
        <v>1737.625812</v>
      </c>
      <c r="G103" s="3">
        <f>2053.5+(252.7-692)+(-1.047285+(-0.128877--0.35292))+0-28.4--0.0144839999999971</f>
        <v>1584.9912420000001</v>
      </c>
      <c r="H103" s="3">
        <f>1863+(259.9-606.2)+(-3.80052+(-0.530196--1.236648))+0-28.3--0.0577319999999988</f>
        <v>1485.3636639999997</v>
      </c>
      <c r="I103" s="3">
        <f>1866.6+(265.1-651.2)+(-4.75983+(-0.676005--1.66056))+0-28.4--0.0724199999999959</f>
        <v>1448.3971449999999</v>
      </c>
      <c r="J103" s="3">
        <f>1773.5+(269.7-597.2)+(1.80897+(0.275094-0.609144))+0-28.1-0.0286620000000045</f>
        <v>1419.3462580000003</v>
      </c>
      <c r="K103" s="3">
        <f>1625.9+(268.6-468.6)+(-4.146045+(-0.68493--1.19493))+0-28.1--0.0716549999999959</f>
        <v>1394.2356100000002</v>
      </c>
      <c r="L103" s="3">
        <f>1548.5+(264-459.7)+(-0.789735+(-0.13464--0.234447))+0-28.2--0.0143819999999971</f>
        <v>1323.924454</v>
      </c>
      <c r="M103" s="3">
        <f>1542.6+(264.5-436.4)+(-1.573452+(-0.26979--0.445128))+0-29.1--0.0296820000000046</f>
        <v>1340.2315679999999</v>
      </c>
      <c r="N103" s="3">
        <f>1544.3+(284.7-363.8)+(-1.575186+(-0.290394--0.371076))+0-29.5--0.0300900000000047</f>
        <v>1434.2355859999998</v>
      </c>
      <c r="O103" s="3">
        <f>1716.5+(306.7-305.4)+(0.875415+(0.156417-0.155754))+0-29.4-0.014993999999997</f>
        <v>1689.261084</v>
      </c>
      <c r="P103" s="3">
        <f>1739.2+(304.8-355.2)+(-1.773984+(-0.310896--0.362304))+0-28.3--0.0288660000000045</f>
        <v>1658.8062900000004</v>
      </c>
      <c r="Q103" s="3">
        <f>1853.3+(309.8-397.3)+(0+(0-0))+0-29.9-0</f>
        <v>1735.8999999999999</v>
      </c>
      <c r="R103" s="3">
        <f>1855.3+(310.8-386.9)+(2.838609+(0.475524-0.591957))+0-28.5-0.0436050000000016</f>
        <v>1753.378571</v>
      </c>
      <c r="S103" s="3">
        <f>1905.5+(301.8-430.7)+(0+(0-0))+0-28-0</f>
        <v>1748.6</v>
      </c>
      <c r="T103" s="3">
        <f>1909+(306.1-465)+(0.97359+(0.156111-0.23715))+0-29.5-0.015044999999997</f>
        <v>1721.4775059999997</v>
      </c>
      <c r="U103" s="3">
        <f>1866.4+(314-439.3)+(-5.711184+(-0.96084--1.344258))+0-29.5--0.0902700000000034</f>
        <v>1706.3625039999999</v>
      </c>
      <c r="V103" s="3">
        <f>1854.3+(304.3-432.7)+(2.837079+(0.465579-0.662031))+0-29.1-0.0445230000000017</f>
        <v>1699.3961040000002</v>
      </c>
      <c r="W103" s="3">
        <f>1849+(301.8-430.2)+(-4.71495+(-0.76959--1.09701))+0-29.3--0.0747149999999958</f>
        <v>1686.987185</v>
      </c>
      <c r="X103" s="3">
        <f>1861.6+(295-492.6)+(-4.74708+(-0.75225--1.25613))+0-29--0.0739499999999958</f>
        <v>1630.8307500000001</v>
      </c>
      <c r="Y103" s="3">
        <f>1897.6+(283.9-609.9)+(-1.935552+(-0.289578--0.622098))+0-29.1--0.0296820000000046</f>
        <v>1540.9266500000001</v>
      </c>
      <c r="Z103" s="3">
        <f>2083.1+(322.5-804.1)+(-2.124762+(-0.32895--0.820182))+0-28.8--0.0293760000000046</f>
        <v>1571.0958459999999</v>
      </c>
      <c r="AA103" s="3">
        <f>2247.8+(327.5-729.8)+(-4.585512+(-0.6681--1.488792))+0-27.9--0.0569159999999988</f>
        <v>1813.892096</v>
      </c>
      <c r="AB103" s="3">
        <f>2249+(328.1-676.2)+(-2.29398+(-0.334662--0.689724))+0-28.4--0.0289680000000045</f>
        <v>1870.59005</v>
      </c>
      <c r="AC103" s="3">
        <f>2226.3+(321.9-676.3)+(-3.406239+(-0.492507--1.034739))+0-28.9--0.0442170000000017</f>
        <v>1840.18021</v>
      </c>
      <c r="AD103">
        <v>1830.1999999999998</v>
      </c>
      <c r="AE103" s="3">
        <f>2234.2+(325.4-660.2)+(0+(0-0))+0-31.2-0</f>
        <v>1868.1999999999996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2203+(263.9-761)+(-1.12353+(-0.134589--0.38811))+0-27.7--0.0141269999999972</f>
        <v>1677.344118</v>
      </c>
      <c r="G104" s="3">
        <f>2057.8+(259.9-751.3)+(-2.098956+(-0.265098--0.766326))+0-28.2--0.0287640000000045</f>
        <v>1536.631036</v>
      </c>
      <c r="H104" s="3">
        <f>1891+(236.5-651.7)+(1.92882+(0.24123-0.664734))+0-28.1-0.0286620000000045</f>
        <v>1449.1766540000001</v>
      </c>
      <c r="I104" s="3">
        <f>1853.2+(236.1-650.6)+(-0.945132+(-0.120411--0.331806))+0-28.2--0.0143819999999971</f>
        <v>1409.780645</v>
      </c>
      <c r="J104" s="3">
        <f>1827.2+(238.6-638.9)+(-2.795616+(-0.365058--0.977517))+0-28.3--0.0432990000000016</f>
        <v>1396.4601420000001</v>
      </c>
      <c r="K104" s="3">
        <f>1818.4+(253-666.1)+(-7.419072+(-1.03224--2.717688))+0-27.9--0.113831999999998</f>
        <v>1371.7802080000001</v>
      </c>
      <c r="L104" s="3">
        <f>1826.5+(265-706.5)+(-3.72606+(-0.5406--1.44126))+0-27.9--0.0569159999999988</f>
        <v>1354.331516</v>
      </c>
      <c r="M104" s="3">
        <f>2004.9+(261-754.5)+(3.067497+(0.39933-1.154385))+0-28-0.0428400000000016</f>
        <v>1485.6696019999999</v>
      </c>
      <c r="N104" s="3">
        <f>2278.1+(260.4-757)+(1.161831+(0.132804-0.38607))+0-28.1-0.0143309999999971</f>
        <v>1754.294234</v>
      </c>
      <c r="O104" s="3">
        <f>2391.6+(283.7-769.4)+(1.219716+(0.144687-0.392394))+0-29.7-0.015146999999997</f>
        <v>1877.1568619999998</v>
      </c>
      <c r="P104" s="3">
        <f>2512.5+(287.8-764.8)+(-2.56275+(-0.293556--0.780096))+0-30.1--0.0307020000000048</f>
        <v>2003.3544920000002</v>
      </c>
      <c r="Q104" s="3">
        <f>2696.1+(287.9-867.1)+(-1.375011+(-0.146829--0.442221))+0-29.8--0.015197999999997</f>
        <v>2086.0355789999994</v>
      </c>
      <c r="R104" s="3">
        <f>2696.4+(291.8-858.2)+(-2.750328+(-0.297636--0.875364))+0-28.8--0.0293760000000046</f>
        <v>2099.0567759999999</v>
      </c>
      <c r="S104" s="3">
        <f>2686.7+(297.6-882.7)+(-1.370217+(-0.151776--0.450177))+0-28.3--0.0144329999999971</f>
        <v>2072.2426169999994</v>
      </c>
      <c r="T104" s="3">
        <f>2662.8+(297.9-887.3)+(-4.074084+(-0.455787--1.357569))+0-29--0.0443700000000017</f>
        <v>2041.2720680000002</v>
      </c>
      <c r="U104" s="3">
        <f>2637.2+(292.4-842.8)+(0+(0-0))+0-29.7-0</f>
        <v>2057.1</v>
      </c>
      <c r="V104" s="3">
        <f>2627.9+(289.5-841.7)+(-2.680458+(-0.29529--0.858534))+0-30.1--0.0307020000000048</f>
        <v>2043.5134880000001</v>
      </c>
      <c r="W104" s="3">
        <f>2606.4+(292-857.7)+(-6.64632+(-0.7446--2.187135))+0-29.7--0.0757349999999957</f>
        <v>2005.87195</v>
      </c>
      <c r="X104" s="3">
        <f>2511.7+(289.1-836.4)+(-6.404835+(-0.737205--2.13282))+0-29--0.0739499999999958</f>
        <v>1930.4647299999999</v>
      </c>
      <c r="Y104" s="3">
        <f>2212.8+(287.3-663.8)+(-6.771168+(-0.879138--2.031228))+0-29.2--0.0893520000000034</f>
        <v>1801.5702740000002</v>
      </c>
      <c r="Z104" s="3">
        <f>2174.6+(322.7-708.5)+(2.218092+(0.329154-0.72267))+0-29.9-0.0304980000000048</f>
        <v>1760.6940779999998</v>
      </c>
      <c r="AA104" s="3">
        <f>2679.6+(332-953.2)+(-4.099788+(-0.50796--1.458396))+0-30.5--0.0466650000000018</f>
        <v>2024.7973129999998</v>
      </c>
      <c r="AB104" s="3">
        <f>2675.8+(332.5-931.6)+(-2.729316+(-0.33915--0.950232))+0-28.5--0.0290700000000045</f>
        <v>2046.1108360000003</v>
      </c>
      <c r="AC104" s="3">
        <f>2565.9+(324.8-867.7)+(1.308609+(0.165648-0.442527))+0-28.2-0.0143819999999971</f>
        <v>1995.8173479999998</v>
      </c>
      <c r="AD104">
        <v>2038.5</v>
      </c>
      <c r="AE104" s="3">
        <f>2713+(339.2-931.1)+(0+(0-0))+0-25.6-0</f>
        <v>2095.5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2388+(219-816.8)+(0+(0-0))+0-27.8-0</f>
        <v>1762.4</v>
      </c>
      <c r="G105" s="3">
        <f>2281.8+(244.1-845)+(-1.163718+(-0.124491--0.43095))+0-27.8--0.0141779999999972</f>
        <v>1652.2569189999999</v>
      </c>
      <c r="H105" s="3">
        <f>2281.3+(253.1-925.8)+(-3.490389+(-0.387243--1.416474))+0-28.3--0.0432990000000016</f>
        <v>1577.8821410000003</v>
      </c>
      <c r="I105" s="3">
        <f>2281.1+(256.9-973.8)+(-3.490083+(-0.393057--1.489914))+0-28.8--0.0440640000000017</f>
        <v>1533.0508379999999</v>
      </c>
      <c r="J105" s="3">
        <f>2244.3+(268.1-969)+(-5.722965+(-0.683655--2.47095))+0-28--0.0713999999999959</f>
        <v>1511.5357300000001</v>
      </c>
      <c r="K105" s="3">
        <f>2175.9+(278-918.9)+(-5.548545+(-0.7089--2.343195))+0-27.2--0.0693599999999961</f>
        <v>1503.9551099999999</v>
      </c>
      <c r="L105" s="3">
        <f>2064.8+(281.5-856.7)+(-2.106096+(-0.28713--0.873834))+0-28--0.0285600000000045</f>
        <v>1460.1091680000002</v>
      </c>
      <c r="M105" s="3">
        <f>2015.2+(304.2-736.5)+(-1.027752+(-0.155142--0.375615))+0-28.8--0.0146879999999971</f>
        <v>1553.307409</v>
      </c>
      <c r="N105" s="3">
        <f>2151+(304.8-673.1)+(1.09701+(0.155448-0.343281))+0-30.2-0.0154019999999969</f>
        <v>1753.393775</v>
      </c>
      <c r="O105" s="3">
        <f>2379.9+(297.4-794.7)+(0+(0-0))+0-30-0</f>
        <v>1852.6</v>
      </c>
      <c r="P105" s="3">
        <f>2576.6+(307-847.7)+(2.628132+(0.31314-0.864654))+0-29.9-0.0304980000000048</f>
        <v>2008.0461199999997</v>
      </c>
      <c r="Q105" s="3">
        <f>2706.4+(309.7-902.3)+(-1.380264+(-0.157947--0.460173))+0-28.7--0.0146369999999971</f>
        <v>2084.0365990000005</v>
      </c>
      <c r="R105" s="3">
        <f>2684.4+(310.7-866.7)+(-2.738088+(-0.316914--0.884034))+0-29.7--0.0302940000000047</f>
        <v>2096.5593260000005</v>
      </c>
      <c r="S105" s="3">
        <f>2676.7+(311.8-914)+(-2.730234+(-0.318036--0.93228))+0-28.3--0.0288660000000045</f>
        <v>2044.1128760000004</v>
      </c>
      <c r="T105" s="3">
        <f>2720.8+(311.3-980.3)+(0+(0-0))+0-29.7-0</f>
        <v>2022.1000000000001</v>
      </c>
      <c r="U105" s="3">
        <f>2707.2+(305-955.6)+(0+(0-0))+0-30.4-0</f>
        <v>2026.1999999999998</v>
      </c>
      <c r="V105" s="3">
        <f>2682+(305.4-946.1)+(1.36782+(0.155754-0.482511))+0-30.1-0.0153509999999969</f>
        <v>2012.2257119999999</v>
      </c>
      <c r="W105" s="3">
        <f>2676+(281.4-946.6)+(-5.45904+(-0.574056--1.931064))+0-28.9--0.0589559999999987</f>
        <v>1977.8569239999999</v>
      </c>
      <c r="X105" s="3">
        <f>2602.9+(260.2-899.8)+(-9.292353+(-0.928914--3.212286))+0-29.6--0.105672</f>
        <v>1926.7966910000002</v>
      </c>
      <c r="Y105" s="3">
        <f>2114.2+(268.1-551.7)+(-5.39121+(-0.683655--1.406835))+0-29.6--0.0754799999999957</f>
        <v>1796.4074499999999</v>
      </c>
      <c r="Z105" s="3">
        <f>2270.4+(299.5-770.4)+(-1.157904+(-0.152745--0.392904))+0-29.5--0.015044999999997</f>
        <v>1769.0973000000001</v>
      </c>
      <c r="AA105" s="3">
        <f>2577.2+(307.3-839)+(-5.257488+(-0.626892--1.71156))+0-27.9--0.0569159999999988</f>
        <v>2013.4840959999997</v>
      </c>
      <c r="AB105" s="3">
        <f>2626.1+(287.5-836.5)+(-4.017933+(-0.439875--1.279845))+0-28--0.0428400000000016</f>
        <v>2045.9648769999999</v>
      </c>
      <c r="AC105" s="3">
        <f>2342.1+(298.6-645.4)+(1.194471+(0.152286-0.329154))+0-27-0.0137699999999973</f>
        <v>1969.3038329999999</v>
      </c>
      <c r="AD105">
        <v>2023.3</v>
      </c>
      <c r="AE105" s="3">
        <f>2655+(307.2-855.3)+(0+(0-0))+0-27.2-0</f>
        <v>2079.7000000000003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2128+(214.4-538.9)+(0+(0-0))+0-28.6-0</f>
        <v>1774.9</v>
      </c>
      <c r="G106" s="3">
        <f>1947.4+(245.2-558.9)+(-3.972696+(-0.500208--1.140156))+0-28.4--0.0579359999999988</f>
        <v>1602.0251879999998</v>
      </c>
      <c r="H106" s="3">
        <f>1906.5+(265.9-618)+(0.972315+(0.135609-0.31518))+0-28.5-0.0145349999999971</f>
        <v>1526.6782090000002</v>
      </c>
      <c r="I106" s="3">
        <f>1848.5+(265.9-599.2)+(-3.77094+(-0.542436--1.222368))+0-28--0.0571199999999988</f>
        <v>1484.1661119999997</v>
      </c>
      <c r="J106" s="3">
        <f>1672.3+(273.8-445.7)+(0+(0-0))+0-27.9-0</f>
        <v>1472.5</v>
      </c>
      <c r="K106" s="3">
        <f>1636.8+(273.1-429.9)+(-4.17384+(-0.696405--1.096245))+0-28--0.0713999999999959</f>
        <v>1448.2974000000002</v>
      </c>
      <c r="L106" s="3">
        <f>1645.7+(267.3-462.8)+(-4.196535+(-0.681615--1.18014))+0-27.4--0.069869999999996</f>
        <v>1419.1718599999999</v>
      </c>
      <c r="M106" s="3">
        <f>1737.2+(268.8-446.1)+(0+(0-0))+0-29.4-0</f>
        <v>1530.5</v>
      </c>
      <c r="N106" s="3">
        <f>1930.2+(288-482.3)+(2.953206+(0.44064-0.737919))+0-29.8-0.0455940000000017</f>
        <v>1708.7103330000002</v>
      </c>
      <c r="O106" s="3">
        <f>2238.7+(295.9-628.5)+(2.283474+(0.301818-0.64107))+0-29.4-0.0299880000000047</f>
        <v>1878.6142339999999</v>
      </c>
      <c r="P106" s="3">
        <f>2345.1+(298-650)+(3.588003+(0.45594-0.9945))+0-27.6-0.0422280000000016</f>
        <v>1968.5072150000001</v>
      </c>
      <c r="Q106" s="3">
        <f>2325.1+(299.2-581.8)+(3.557403+(0.457776-0.890154))+0-26.1-0.0399330000000015</f>
        <v>2019.4850920000001</v>
      </c>
      <c r="R106" s="3">
        <f>2390.8+(299.2-588.2)+(-1.219308+(-0.152592--0.299982))+0-28.2--0.0143819999999971</f>
        <v>2072.5424640000001</v>
      </c>
      <c r="S106" s="3">
        <f>2411.5+(299.3-639.3)+(-4.91946+(-0.610572--1.304172))+0-28.1--0.0573239999999988</f>
        <v>2039.2314640000002</v>
      </c>
      <c r="T106" s="3">
        <f>2464.6+(294.6-711.4)+(3.770838+(0.450738-1.088442))+0-28.4-0.0434520000000016</f>
        <v>2022.4896819999999</v>
      </c>
      <c r="U106" s="3">
        <f>2483.8+(289.7-685.8)+(-2.533476+(-0.295494--0.699516))+0-28.1--0.0286620000000045</f>
        <v>2057.4992080000006</v>
      </c>
      <c r="V106" s="3">
        <f>2477.8+(289.8-692.2)+(-5.054712+(-0.591192--1.412088))+0-29.5--0.0601799999999987</f>
        <v>2041.7263640000001</v>
      </c>
      <c r="W106" s="3">
        <f>2426.8+(284.9-689)+(-4.950672+(-0.581196--1.40556))+0-29.9--0.0609959999999987</f>
        <v>1988.734688</v>
      </c>
      <c r="X106" s="3">
        <f>2413+(291.5-736.2)+(-4.92252+(-0.59466--1.501848))+0-29.3--0.0597719999999987</f>
        <v>1935.0444400000001</v>
      </c>
      <c r="Y106" s="3">
        <f>2175.8+(295.4-627.3)+(-4.438632+(-0.602616--1.279692))+0-29.5--0.0601799999999987</f>
        <v>1810.6986240000001</v>
      </c>
      <c r="Z106" s="3">
        <f>2304.8+(315.5-813.6)+(-1.175448+(-0.160905--0.414936))+0-30.4--0.0155039999999969</f>
        <v>1775.3940870000001</v>
      </c>
      <c r="AA106" s="3">
        <f>2539+(323.9-802.4)+(-3.88467+(-0.495567--1.227672))+0-29.7--0.0454410000000017</f>
        <v>2027.6928760000001</v>
      </c>
      <c r="AB106" s="3">
        <f>2529.7+(326.3-769.5)+(-5.160588+(-0.665652--1.56978))+0-27.8--0.0567119999999988</f>
        <v>2054.5002519999998</v>
      </c>
      <c r="AC106" s="3">
        <f>2457.8+(322.4-754.9)+(0+(0-0))+0-28.4-0</f>
        <v>1996.9</v>
      </c>
      <c r="AD106">
        <v>1997.5</v>
      </c>
      <c r="AE106" s="3">
        <f>2537.8+(348.6-809.9)+(0+(0-0))+0-31.2-0</f>
        <v>2045.3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2271.2+(258.7-692.5)+(-3.474936+(-0.395811--1.059525))+0-28.1--0.0429930000000016</f>
        <v>1806.5317709999999</v>
      </c>
      <c r="G107" s="3">
        <f>2091.5+(258.9-670.8)+(-7.466655+(-0.924273--2.394756))+0-27.5--0.0981750000000004</f>
        <v>1646.2020030000001</v>
      </c>
      <c r="H107" s="3">
        <f>2048.9+(269.7-718.6)+(-6.269634+(-0.825282--2.198916))+0-27.9--0.0853740000000032</f>
        <v>1567.289374</v>
      </c>
      <c r="I107" s="3">
        <f>1926.9+(272.1-621.8)+(-4.913595+(-0.693855--1.58559))+0-28.6--0.0729299999999959</f>
        <v>1544.6510700000003</v>
      </c>
      <c r="J107" s="3">
        <f>1932.5+(270.2-655.1)+(2.956725+(0.413406-1.002303))+0-28-0.0428400000000016</f>
        <v>1521.9249879999998</v>
      </c>
      <c r="K107" s="3">
        <f>1886+(266.8-621.5)+(-2.88558+(-0.408204--0.950895))+0-27.7--0.0423810000000016</f>
        <v>1501.2994919999999</v>
      </c>
      <c r="L107" s="3">
        <f>1732.7+(257.7-495.7)+(-3.534708+(-0.525708--1.011228))+0-27.5--0.0560999999999988</f>
        <v>1464.2069120000001</v>
      </c>
      <c r="M107" s="3">
        <f>1824.4+(270.8-503.5)+(0+(0-0))+0-29-0</f>
        <v>1562.7</v>
      </c>
      <c r="N107" s="3">
        <f>1978.3+(307.8-477.7)+(-3.026799+(-0.470934--0.730881))+0-30.3--0.0463590000000018</f>
        <v>1775.3795070000001</v>
      </c>
      <c r="O107" s="3">
        <f>2268+(291.1-604.5)+(1.15668+(0.148461-0.308295))+0-29.3-0.014942999999997</f>
        <v>1926.2819030000001</v>
      </c>
      <c r="P107" s="3">
        <f>2460.5+(292-659)+(0+(0-0))+0-29.2-0</f>
        <v>2064.3000000000002</v>
      </c>
      <c r="Q107" s="3">
        <f>2522.7+(298-653.4)+(-2.573154+(-0.30396--0.666468))+0-30.1--0.0307020000000048</f>
        <v>2135.0200559999998</v>
      </c>
      <c r="R107" s="3">
        <f>2649.1+(289-732.7)+(0+(0-0))+0-28.9-0</f>
        <v>2176.4999999999995</v>
      </c>
      <c r="S107" s="3">
        <f>2658.5+(291.6-772.3)+(-2.71167+(-0.297432--0.787746))+0-28.2--0.0287640000000045</f>
        <v>2147.4074080000005</v>
      </c>
      <c r="T107" s="3">
        <f>2655.7+(293.6-808.6)+(-2.708814+(-0.299472--0.824772))+0-29.1--0.0296820000000046</f>
        <v>2109.4461679999999</v>
      </c>
      <c r="U107" s="3">
        <f>2694.6+(293.3-815)+(-4.122738+(-0.448749--1.24695))+0-29.3--0.0448290000000017</f>
        <v>2140.3202919999994</v>
      </c>
      <c r="V107" s="3">
        <f>2690.7+(294.1-820.6)+(-1.372257+(-0.149991--0.418506))+0-29.4--0.014993999999997</f>
        <v>2133.7112520000001</v>
      </c>
      <c r="W107" s="3">
        <f>2658.6+(294.3-823.1)+(-4.067658+(-0.450279--1.259343))+0-29.8--0.0455940000000017</f>
        <v>2096.7870000000003</v>
      </c>
      <c r="X107" s="3">
        <f>2560.6+(293.3-788.4)+(-6.52953+(-0.747915--2.01042))+0-29.6--0.0754799999999957</f>
        <v>2030.708455</v>
      </c>
      <c r="Y107" s="3">
        <f>2326.2+(294.2-702.7)+(-3.559086+(-0.450126--1.075131))+0-29.7--0.0454410000000017</f>
        <v>1885.1113599999996</v>
      </c>
      <c r="Z107" s="3">
        <f>2349.3+(328-764.8)+(-2.396286+(-0.33456--0.780096))+0-29.8--0.0303960000000048</f>
        <v>1880.7796460000004</v>
      </c>
      <c r="AA107" s="3">
        <f>2469.6+(339.8-705.4)+(-2.518992+(-0.346596--0.719508))+0-30--0.0306000000000048</f>
        <v>2071.8845200000001</v>
      </c>
      <c r="AB107" s="3">
        <f>2426.2+(338.9-680.4)+(-4.949448+(-0.691356--1.388016))+0-28.4--0.0579359999999988</f>
        <v>2052.1051480000001</v>
      </c>
      <c r="AC107" s="3">
        <f>2303.3+(333.9-615.8)+(-2.349366+(-0.340578--0.628116))+0-28.7--0.0292740000000046</f>
        <v>1990.6674459999999</v>
      </c>
      <c r="AD107">
        <v>2047.1000000000004</v>
      </c>
      <c r="AE107" s="3">
        <f>2497.8+(337.5-708.2)+(0+(0-0))+0-29.6-0</f>
        <v>2097.5000000000005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2177.6+(255.4-556.4)+(-3.331728+(-0.390762--0.851292))+0-27.9--0.0426870000000016</f>
        <v>1845.8714889999999</v>
      </c>
      <c r="G108" s="3">
        <f>2186+(253-708.8)+(-3.34458+(-0.38709--1.084464))+0-28.7--0.0439110000000017</f>
        <v>1698.8967049999999</v>
      </c>
      <c r="H108" s="3">
        <f>2201.8+(237.5-800)+(0+(0-0))+0-29.1-0</f>
        <v>1610.2000000000003</v>
      </c>
      <c r="I108" s="3">
        <f>2138.2+(239.7-775.3)+(-4.361928+(-0.488988--1.581612))+0-28.4--0.0579359999999988</f>
        <v>1570.9886319999998</v>
      </c>
      <c r="J108" s="3">
        <f>2007.1+(244.9-680.1)+(-4.094484+(-0.499596--1.387404))+0-28.7--0.0585479999999987</f>
        <v>1540.0518719999998</v>
      </c>
      <c r="K108" s="3">
        <f>1927.5+(245.9-618.2)+(-3.9321+(-0.501636--1.261128))+0-28.5--0.0581399999999988</f>
        <v>1523.5855319999998</v>
      </c>
      <c r="L108" s="3">
        <f>1723.9+(257.8-472.6)+(-3.516756+(-0.525912--0.964104))+0-28.3--0.0577319999999988</f>
        <v>1477.7791680000003</v>
      </c>
      <c r="M108" s="3">
        <f>1722+(271.8-398.3)+(2.63466+(0.415854-0.609399))+0-29.8-0.0455940000000017</f>
        <v>1568.0955210000002</v>
      </c>
      <c r="N108" s="3">
        <f>1989.4+(257.6-433.9)+(2.029188+(0.262752-0.442578))+0-30.1-0.0307020000000048</f>
        <v>1784.8186600000001</v>
      </c>
      <c r="O108" s="3">
        <f>2375+(256-531.4)+(0+(0-0))+0-30-0</f>
        <v>2069.6</v>
      </c>
      <c r="P108" s="3">
        <f>2489.5+(257.7-682.1)+(1.269645+(0.131427-0.347871))+0-30.1-0.0153509999999969</f>
        <v>2036.0378500000002</v>
      </c>
      <c r="Q108" s="3">
        <f>2531.7+(226.9-649.8)+(0+(0-0))+0-29.2-0</f>
        <v>2079.6</v>
      </c>
      <c r="R108" s="3">
        <f>2630.1+(208.6-695.7)+(1.341351+(0.106386-0.354807))+0-25.3-0.0129029999999974</f>
        <v>2118.7800269999998</v>
      </c>
      <c r="S108" s="3">
        <f>2691.6+(232.1-800.4)+(2.745432+(0.236742-0.816408))+0-28.8-0.0293760000000046</f>
        <v>2096.6363900000001</v>
      </c>
      <c r="T108" s="3">
        <f>2679.1+(258.7-836.2)+(-2.732682+(-0.263874--0.852924))+0-29.7--0.0302940000000047</f>
        <v>2069.7866620000004</v>
      </c>
      <c r="U108" s="3">
        <f>2663+(259.4-816)+(2.71626+(0.264588-0.83232))+0-29.9-0.0304980000000048</f>
        <v>2078.6180300000001</v>
      </c>
      <c r="V108" s="3">
        <f>2629.2+(245.7-792.8)+(-6.70446+(-0.626535--2.02164))+0-28.7--0.0731849999999958</f>
        <v>2048.1638300000004</v>
      </c>
      <c r="W108" s="3">
        <f>2623.4+(241.4-771.6)+(-8.027604+(-0.738684--2.361096))+0-29.9--0.0914940000000034</f>
        <v>2056.9863019999993</v>
      </c>
      <c r="X108" s="3">
        <f>2581.7+(240.9-788.7)+(-7.900002+(-0.737154--2.413422))+0-30.1--0.0921060000000035</f>
        <v>1997.6683719999999</v>
      </c>
      <c r="Y108" s="3">
        <f>2154.4+(251.6-519.7)+(-2.197488+(-0.256632--0.530094))+0-30.2--0.0308040000000048</f>
        <v>1854.2067780000002</v>
      </c>
      <c r="Z108" s="3">
        <f>2219.6+(309.7-686.1)+(-3.395988+(-0.473841--1.049733))+0-30.3--0.0463590000000018</f>
        <v>1810.1262629999999</v>
      </c>
      <c r="AA108" s="3">
        <f>2502.3+(307.2-724.2)+(-6.380865+(-0.78336--1.84671))+0-29.8--0.0759899999999957</f>
        <v>2050.2584749999996</v>
      </c>
      <c r="AB108" s="3">
        <f>2464.6+(311.6-664.8)+(-2.513892+(-0.317832--0.678096))+0-28.7--0.0292740000000046</f>
        <v>2080.5756460000002</v>
      </c>
      <c r="AC108" s="3">
        <f>2346.4+(289.4-587.3)+(4.786656+(0.590376-1.198092))+0-28.9-0.0589559999999987</f>
        <v>2023.7199839999996</v>
      </c>
      <c r="AD108">
        <v>2065.3000000000002</v>
      </c>
      <c r="AE108" s="3">
        <f>2536.8+(300.8-700.7)+(0+(0-0))+0-26.8-0</f>
        <v>2110.1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2233.4+(151.4-509.8)+(-2.278068+(-0.154428--0.519996))+0-29--0.0295800000000046</f>
        <v>1844.11708</v>
      </c>
      <c r="G109" s="3">
        <f>2175.3+(155.2-592.7)+(0+(0-0))+0-28.8-0</f>
        <v>1709.0000000000002</v>
      </c>
      <c r="H109" s="3">
        <f>2052.9+(184.5-592.9)+(-2.093958+(-0.18819--0.604758))+0-29--0.0295800000000046</f>
        <v>1613.8521899999998</v>
      </c>
      <c r="I109" s="3">
        <f>1997.9+(194.5-613.9)+(0+(0-0))+0-29.1-0</f>
        <v>1549.4</v>
      </c>
      <c r="J109" s="3">
        <f>1903.8+(197.5-554.4)+(0+(0-0))+0-28.4-0</f>
        <v>1518.5</v>
      </c>
      <c r="K109" s="3">
        <f>1794.4+(208.4-462.9)+(-4.57572+(-0.53142--1.180395))+0-28.8--0.0734399999999958</f>
        <v>1507.246695</v>
      </c>
      <c r="L109" s="3">
        <f>1751.2+(211.7-461.2)+(-1.786224+(-0.215934--0.470424))+0-28.2--0.0287640000000045</f>
        <v>1471.99703</v>
      </c>
      <c r="M109" s="3">
        <f>1767.3+(208.4-378.6)+(1.802646+(0.212568-0.386172))+0-28.6-0.0291720000000046</f>
        <v>1570.09987</v>
      </c>
      <c r="N109" s="3">
        <f>1866.6+(217.3-311)+(0.951966+(0.110823-0.15861))+0-30.4-0.0155039999999969</f>
        <v>1743.3886749999999</v>
      </c>
      <c r="O109" s="3">
        <f>2205.8+(208.8-427.2)+(2.249916+(0.212976-0.435744))+0-30.2-0.0308040000000048</f>
        <v>1959.196344</v>
      </c>
      <c r="P109" s="3">
        <f>2285.6+(200.9-428.2)+(1.165656+(0.102459-0.218382))+0-30.3-0.0154529999999969</f>
        <v>2029.0342799999996</v>
      </c>
      <c r="Q109" s="3">
        <f>2448.2+(192.8-518.6)+(2.497164+(0.196656-0.528972))+0-21.6-0.0220320000000034</f>
        <v>2102.9428159999998</v>
      </c>
      <c r="R109" s="3">
        <f>2519+(192.4-558.7)+(0+(0-0))+0-28.6-0</f>
        <v>2124.1</v>
      </c>
      <c r="S109" s="3">
        <f>2517.7+(193.4-594.3)+(0+(0-0))+0-28.2-0</f>
        <v>2088.6</v>
      </c>
      <c r="T109" s="3">
        <f>2500.7+(199.3-617.6)+(-1.275357+(-0.101643--0.314976))+0-29--0.0147899999999971</f>
        <v>2052.352766</v>
      </c>
      <c r="U109" s="3">
        <f>2453.5+(199.1-574)+(-2.50257+(-0.203082--0.58548))+0-30.7--0.0313140000000049</f>
        <v>2045.811142</v>
      </c>
      <c r="V109" s="3">
        <f>2434.6+(195.4-563)+(0+(0-0))+0-30.3-0</f>
        <v>2036.7</v>
      </c>
      <c r="W109" s="3">
        <f>2429.5+(188.3-601.1)+(-2.47809+(-0.192066--0.613122))+0-30.1--0.0307020000000048</f>
        <v>1984.5736680000002</v>
      </c>
      <c r="X109" s="3">
        <f>2417.5+(187.4-651.6)+(0+(0-0))+0-29.9-0</f>
        <v>1923.3999999999999</v>
      </c>
      <c r="Y109" s="3">
        <f>2287.4+(176.1-645.4)+(-5.83287+(-0.449055--1.64577))+0-30.2--0.0770099999999956</f>
        <v>1783.3408550000001</v>
      </c>
      <c r="Z109" s="3">
        <f>2347.2+(312.2-840.9)+(1.197072+(0.159222-0.428859))+0-30.4-0.0155039999999969</f>
        <v>1789.0119309999998</v>
      </c>
      <c r="AA109" s="3">
        <f>2463.4+(319.2-755.6)+(-2.512668+(-0.325584--0.770712))+0-30.4--0.0310080000000048</f>
        <v>1994.5634679999998</v>
      </c>
      <c r="AB109" s="3">
        <f>2467.6+(307.2-712.4)+(0+(0-0))+0-28.5-0</f>
        <v>2033.9</v>
      </c>
      <c r="AC109" s="3">
        <f>2365.4+(225.8-572.2)+(-2.412708+(-0.230316--0.583644))+0-28.5--0.0290700000000045</f>
        <v>1988.4696900000001</v>
      </c>
      <c r="AD109">
        <v>2005.6999999999998</v>
      </c>
      <c r="AE109" s="3">
        <f>2480.7+(332.8-724.6)+(0+(0-0))+0-28.8-0</f>
        <v>2060.0999999999995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2269.2+(150.5-527.9)+(-4.629168+(-0.30702--1.076916))+0-28.5--0.0581399999999988</f>
        <v>1859.4988679999999</v>
      </c>
      <c r="G110" s="3">
        <f>2058.3+(175.9-500.3)+(-3.149199+(-0.269127--0.765459))+0-29.1--0.0445230000000017</f>
        <v>1702.1916560000002</v>
      </c>
      <c r="H110" s="3">
        <f>1994.9+(192.2-532.6)+(-3.052197+(-0.294066--0.814878))+0-29.3--0.0448290000000017</f>
        <v>1622.713444</v>
      </c>
      <c r="I110" s="3">
        <f>1944.9+(193.6-545.5)+(-4.959495+(-0.49368--1.391025))+0-28.5--0.0726749999999959</f>
        <v>1560.5105249999999</v>
      </c>
      <c r="J110" s="3">
        <f>1951.9+(195-585.5)+(-0.995469+(-0.09945--0.298605))+0-28.8--0.0146879999999971</f>
        <v>1531.8183740000002</v>
      </c>
      <c r="K110" s="3">
        <f>1843.8+(202.6-504.5)+(-2.821014+(-0.309978--0.771885))+0-28.1--0.0429930000000016</f>
        <v>1511.4838860000002</v>
      </c>
      <c r="L110" s="3">
        <f>1575.1+(203.9-361)+(-3.213204+(-0.415956--0.73644))+0-27.4--0.0558959999999988</f>
        <v>1387.7631759999999</v>
      </c>
      <c r="M110" s="3">
        <f>1581.2+(190.1-339.1)+(-1.612824+(-0.193902--0.345882))+0-28.8--0.0293760000000046</f>
        <v>1401.9685320000001</v>
      </c>
      <c r="N110" s="3">
        <f>1588.3+(238.4-302.1)+(0.810033+(0.121584-0.154071))+0-30.1-0.0153509999999969</f>
        <v>1495.262195</v>
      </c>
      <c r="O110" s="3">
        <f>1643+(237.5-243.9)+(0+(0-0))+0-30.1-0</f>
        <v>1606.5</v>
      </c>
      <c r="P110" s="3">
        <f>1846.3+(228.8-308.6)+(1.883226+(0.233376-0.314772))+0-30.4-0.0310080000000048</f>
        <v>1737.8708220000001</v>
      </c>
      <c r="Q110" s="3">
        <f>1956+(258.3-320.4)+(1.99512+(0.263466-0.326808))+0-29-0.0295800000000046</f>
        <v>1866.8021980000001</v>
      </c>
      <c r="R110" s="3">
        <f>2065.2+(218.7-366.5)+(1.053252+(0.111537-0.186915))+0-27.9-0.0142289999999972</f>
        <v>1890.4636449999998</v>
      </c>
      <c r="S110" s="3">
        <f>2192+(210.4-490.4)+(0+(0-0))+0-28.9-0</f>
        <v>1883.1</v>
      </c>
      <c r="T110" s="3">
        <f>2248+(213.4-561.5)+(-2.29296+(-0.217668--0.57273))+0-29.1--0.0296820000000046</f>
        <v>1868.8917840000004</v>
      </c>
      <c r="U110" s="3">
        <f>2240.4+(221.8-586.1)+(-3.427812+(-0.339354--0.896733))+0-30.5--0.0466650000000018</f>
        <v>1842.7762320000002</v>
      </c>
      <c r="V110" s="3">
        <f>2218.9+(231.9-585.6)+(0+(0-0))+0-28.8-0</f>
        <v>1836.4</v>
      </c>
      <c r="W110" s="3">
        <f>2189.7+(206.9-565.1)+(-1.116747+(-0.105519--0.288201))+0-28.5--0.0145349999999971</f>
        <v>1802.0804699999999</v>
      </c>
      <c r="X110" s="3">
        <f>2140+(204.4-578.1)+(-5.457+(-0.52122--1.474155))+0-22.9--0.0583949999999967</f>
        <v>1738.9543299999998</v>
      </c>
      <c r="Y110" s="3">
        <f>1827+(221.7-343.3)+(-3.72708+(-0.452268--0.700332))+0-29.7--0.0605879999999987</f>
        <v>1672.2815720000001</v>
      </c>
      <c r="Z110" s="3">
        <f>1838.8+(320.1-435.1)+(0.937788+(0.163251-0.221901))+0-27-0.0137699999999973</f>
        <v>1697.6653679999999</v>
      </c>
      <c r="AA110" s="3">
        <f>2188.4+(331.5-544.6)+(-5.58042+(-0.845325--1.38873))+0-29.5--0.0752249999999957</f>
        <v>1940.8382100000001</v>
      </c>
      <c r="AB110" s="3">
        <f>2185.2+(332.2-481.6)+(-4.457808+(-0.677688--0.982464))+0-29.2--0.0595679999999987</f>
        <v>2002.5065359999996</v>
      </c>
      <c r="AC110" s="3">
        <f>2218.6+(323.2-520.7)+(-1.131486+(-0.164832--0.265557))+0-28--0.0142799999999972</f>
        <v>1992.083519</v>
      </c>
      <c r="AD110">
        <v>1973.5</v>
      </c>
      <c r="AE110" s="3">
        <f>2183.9+(336-455)+(0+(0-0))+0-32.8-0</f>
        <v>2032.1000000000001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2210.7+(203.5-540.5)+(0+(0-0))+0-29-0</f>
        <v>1844.6999999999998</v>
      </c>
      <c r="G111" s="3">
        <f>2145.3+(213.1-633.3)+(-4.376412+(-0.434724--1.291932))+0-29.2--0.0595679999999987</f>
        <v>1692.4403640000003</v>
      </c>
      <c r="H111" s="3">
        <f>2128.8+(215.2-700.3)+(2.171376+(0.219504-0.714306))+0-28.8-0.0293760000000046</f>
        <v>1616.5471980000004</v>
      </c>
      <c r="I111" s="3">
        <f>2133.6+(213.3-742.4)+(-1.088136+(-0.108783--0.378624))+0-28.8--0.0146879999999971</f>
        <v>1574.896393</v>
      </c>
      <c r="J111" s="3">
        <f>2018+(217.3-647.4)+(-3.08754+(-0.332469--0.990522))+0-28.7--0.0439110000000017</f>
        <v>1556.8144239999999</v>
      </c>
      <c r="K111" s="3">
        <f>1843.8+(230.5-532.8)+(-3.761352+(-0.47022--1.086912))+0-28.2--0.0575279999999988</f>
        <v>1510.2128680000001</v>
      </c>
      <c r="L111" s="3">
        <f>1812.4+(235.6-500.4)+(-1.848648+(-0.240312--0.510408))+0-28.1--0.0286620000000045</f>
        <v>1517.9501100000002</v>
      </c>
      <c r="M111" s="3">
        <f>2073.5+(243.8-660.5)+(-3.172455+(-0.373014--1.010565))+0-28.5--0.0436050000000016</f>
        <v>1625.8087009999999</v>
      </c>
      <c r="N111" s="3">
        <f>2464+(257.5-833.1)+(0+(0-0))+0-29.4-0</f>
        <v>1859</v>
      </c>
      <c r="O111" s="3">
        <f>2789+(255.1-984.7)+(1.42239+(0.130101-0.502197))+0-30.1-0.0153509999999969</f>
        <v>2030.3349430000003</v>
      </c>
      <c r="P111" s="3">
        <f>2786.4+(265.2-838.5)+(2.842128+(0.270504-0.85527))+0-29.4-0.0299880000000047</f>
        <v>2185.9273739999999</v>
      </c>
      <c r="Q111" s="3">
        <f>2726.5+(269.6-712.4)+(0+(0-0))+0-29.4-0</f>
        <v>2254.2999999999997</v>
      </c>
      <c r="R111" s="3">
        <f>2727+(270.4-682.7)+(-1.39077+(-0.137904--0.348177))+0-28.8--0.0146879999999971</f>
        <v>2284.734191</v>
      </c>
      <c r="S111" s="3">
        <f>2733.1+(264.8-720.4)+(-1.393881+(-0.135048--0.367404))+0-28.2--0.0143819999999971</f>
        <v>2248.152857</v>
      </c>
      <c r="T111" s="3">
        <f>2735.4+(254.5-747.7)+(-1.395054+(-0.129795--0.381327))+0-28.8--0.0146879999999971</f>
        <v>2212.271166</v>
      </c>
      <c r="U111" s="3">
        <f>2693.6+(262.6-695.6)+(-4.121208+(-0.401778--1.064268))+0-30.6--0.0468180000000018</f>
        <v>2226.5880999999999</v>
      </c>
      <c r="V111" s="3">
        <f>2689.1+(252.8-731.7)+(0+(0-0))+0-30.2-0</f>
        <v>2180</v>
      </c>
      <c r="W111" s="3">
        <f>2600.3+(249.9-745.2)+(-3.978459+(-0.382347--1.140156))+0-29.9--0.0457470000000017</f>
        <v>2071.9250969999998</v>
      </c>
      <c r="X111" s="3">
        <f>2629.2+(229.7-805.8)+(-8.045352+(-0.702882--2.465748))+0-30.4--0.0930240000000035</f>
        <v>2016.5105379999998</v>
      </c>
      <c r="Y111" s="3">
        <f>2409.5+(229.3-684.5)+(-2.45769+(-0.233886--0.69819))+0-29.7--0.0302940000000047</f>
        <v>1922.6369079999997</v>
      </c>
      <c r="Z111" s="3">
        <f>2351.3+(313.5-721.7)+(1.199163+(0.159885-0.368067))+0-28.9-0.0147389999999971</f>
        <v>1915.176242</v>
      </c>
      <c r="AA111" s="3">
        <f>2599+(324.2-759.1)+(-1.32549+(-0.165342--0.387141))+0-29.3--0.014942999999997</f>
        <v>2133.7112520000001</v>
      </c>
      <c r="AB111" s="3">
        <f>2581.7+(322.4-737.8)+(-1.316667+(-0.164424--0.376278))+0-28.9--0.0147389999999971</f>
        <v>2136.3099259999999</v>
      </c>
      <c r="AC111" s="3">
        <f>2599+(316.5-793.2)+(1.32549+(0.161415-0.404532))+0-30.3-0.0154529999999969</f>
        <v>2093.0669200000002</v>
      </c>
      <c r="AD111">
        <v>2136.1000000000004</v>
      </c>
      <c r="AE111" s="3">
        <f>2612.8+(325.7-733.2)+(0+(0-0))+0-25.6-0</f>
        <v>2179.7000000000003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2611.8+(226.8-874.2)+(1.332018+(0.115668-0.445842))+0-30.6-0.0156059999999969</f>
        <v>1934.7862380000001</v>
      </c>
      <c r="G112" s="3">
        <f>2609.1+(207.5-996.7)+(0+(0-0))+0-30.1-0</f>
        <v>1789.8</v>
      </c>
      <c r="H112" s="3">
        <f>2538.7+(206.9-1023.7)+(1.294737+(0.105519-0.522087))+0-28.7-0.0146369999999971</f>
        <v>1694.0635319999997</v>
      </c>
      <c r="I112" s="3">
        <f>2440.8+(207.7-982.8)+(-2.489616+(-0.211854--1.002456))+0-28.6--0.0291720000000046</f>
        <v>1635.4301580000003</v>
      </c>
      <c r="J112" s="3">
        <f>2427.5+(223-1001.4)+(-2.47605+(-0.22746--1.021428))+0-27.3--0.0278460000000044</f>
        <v>1620.1457639999999</v>
      </c>
      <c r="K112" s="3">
        <f>2267.9+(240-881.9)+(-5.783145+(-0.612--2.248845))+0-27.7--0.070634999999996</f>
        <v>1594.2243349999999</v>
      </c>
      <c r="L112" s="3">
        <f>2170.6+(269-857.7)+(-3.321018+(-0.41157--1.312281))+0-27.9--0.0426870000000016</f>
        <v>1551.6223799999998</v>
      </c>
      <c r="M112" s="3">
        <f>2351+(294.9-958)+(1.19901+(0.150399-0.48858))+0-29.8-0.015197999999997</f>
        <v>1658.945631</v>
      </c>
      <c r="N112" s="3">
        <f>2389.1+(278-790.3)+(0+(0-0))+0-30.6-0</f>
        <v>1846.2</v>
      </c>
      <c r="O112" s="3">
        <f>2532.4+(269.2-767.9)+(-2.583048+(-0.274584--0.783258))+0-29.9--0.0304980000000048</f>
        <v>2001.756124</v>
      </c>
      <c r="P112" s="3">
        <f>2543.8+(311.1-723.8)+(0+(0-0))+0-30.2-0</f>
        <v>2100.9000000000005</v>
      </c>
      <c r="Q112" s="3">
        <f>2620+(313.4-709.7)+(-2.6724+(-0.319668--0.723894))+0-29.9--0.0304980000000048</f>
        <v>2191.562324</v>
      </c>
      <c r="R112" s="3">
        <f>2614.7+(311.2-683.2)+(-1.333497+(-0.158712--0.348432))+0-29.5--0.015044999999997</f>
        <v>2212.0712680000001</v>
      </c>
      <c r="S112" s="3">
        <f>2613.4+(309.6-667.8)+(-1.332834+(-0.157896--0.340578))+0-30--0.015299999999997</f>
        <v>2224.0651480000001</v>
      </c>
      <c r="T112" s="3">
        <f>2611+(311.6-669.5)+(-3.99483+(-0.476748--1.024335))+0-30--0.0459000000000017</f>
        <v>2219.6986569999999</v>
      </c>
      <c r="U112" s="3">
        <f>2594.3+(318.1-670.7)+(0+(0-0))+0-30.7-0</f>
        <v>2211.0000000000005</v>
      </c>
      <c r="V112" s="3">
        <f>2568.8+(316.8-676.1)+(-1.310088+(-0.161568--0.344811))+0-30.8--0.0157079999999969</f>
        <v>2177.5888629999999</v>
      </c>
      <c r="W112" s="3">
        <f>2473.3+(315.3-633.6)+(-6.306915+(-0.804015--1.61568))+0-30.2--0.0770099999999956</f>
        <v>2119.3817600000002</v>
      </c>
      <c r="X112" s="3">
        <f>2297.7+(300.8-521.1)+(-8.202789+(-1.073856--1.860327))+0-29.9--0.106743</f>
        <v>2040.1904249999995</v>
      </c>
      <c r="Y112" s="3">
        <f>2145.2+(267.8-472.5)+(1.094052+(0.136578-0.240975))+0-29.8-0.015197999999997</f>
        <v>1911.6744569999998</v>
      </c>
      <c r="Z112" s="3">
        <f>2359.8+(315.4-780.8)+(2.406996+(0.321708-0.796416))+0-30.3-0.0309060000000048</f>
        <v>1866.0013820000001</v>
      </c>
      <c r="AA112" s="3">
        <f>2635.5+(320.8-816.7)+(-6.720525+(-0.81804--2.082585))+0-30.2--0.0770099999999956</f>
        <v>2104.0210299999999</v>
      </c>
      <c r="AB112" s="3">
        <f>2681.5+(322.7-845.5)+(-4.102695+(-0.493731--1.293615))+0-28.7--0.0439110000000017</f>
        <v>2126.7411000000002</v>
      </c>
      <c r="AC112" s="3">
        <f>2721.8+(318-924.5)+(-1.388118+(-0.16218--0.471495))+0-28.7--0.0146369999999971</f>
        <v>2085.5358340000007</v>
      </c>
      <c r="AD112">
        <v>2187.4</v>
      </c>
      <c r="AE112" s="3">
        <f>2722.8+(324.6-790)+(0+(0-0))+0-29.6-0</f>
        <v>2227.8000000000002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2657.1+(216.7-925.1)+(-4.065363+(-0.331551--1.415403))+0-28.9--0.0442170000000017</f>
        <v>1916.8627059999997</v>
      </c>
      <c r="G113" s="3">
        <f>2609.8+(250.6-1069.9)+(-6.65499+(-0.63903--2.728245))+0-28.3--0.0721649999999959</f>
        <v>1757.7063900000001</v>
      </c>
      <c r="H113" s="3">
        <f>2499.3+(253.7-1042)+(-1.274643+(-0.129387--0.53142))+0-28.5--0.0145349999999971</f>
        <v>1681.6419250000004</v>
      </c>
      <c r="I113" s="3">
        <f>2418.6+(239.1-1008.7)+(-3.700458+(-0.365823--1.543311))+0-27.4--0.0419220000000016</f>
        <v>1619.118952</v>
      </c>
      <c r="J113" s="3">
        <f>2366.8+(229.3-974.6)+(-1.207068+(-0.116943--0.497046))+0-27.5--0.0140249999999972</f>
        <v>1593.1870600000002</v>
      </c>
      <c r="K113" s="3">
        <f>2098.8+(231.1-729.3)+(-10.70388+(-1.17861--3.71943))+0-28--0.142800000000002</f>
        <v>1564.5797400000004</v>
      </c>
      <c r="L113" s="3">
        <f>2078+(228.9-736)+(-6.35868+(-0.700434--2.25216))+0-27.8--0.0850680000000032</f>
        <v>1538.3781140000003</v>
      </c>
      <c r="M113" s="3">
        <f>2133.3+(239.8-725.2)+(2.175966+(0.244596-0.739704))+0-28.7-0.0292740000000046</f>
        <v>1620.851584</v>
      </c>
      <c r="N113" s="3">
        <f>2381.5+(232.7-754.3)+(2.42913+(0.237354-0.769386))+0-30-0.0306000000000048</f>
        <v>1831.766498</v>
      </c>
      <c r="O113" s="3">
        <f>2609.9+(246.6-849.6)+(-2.662098+(-0.251532--0.866592))+0-29.9--0.0304980000000048</f>
        <v>1974.9834600000002</v>
      </c>
      <c r="P113" s="3">
        <f>2668.8+(241-696)+(1.361088+(0.12291-0.35496))+0-29-0.0147899999999971</f>
        <v>2185.914248</v>
      </c>
      <c r="Q113" s="3">
        <f>2672.8+(269.5-664)+(1.363128+(0.137445-0.33864))+0-27-0.0137699999999973</f>
        <v>2252.448163</v>
      </c>
      <c r="R113" s="3">
        <f>2725.7+(275.6-767.6)+(0+(0-0))+0-29.2-0</f>
        <v>2204.5</v>
      </c>
      <c r="S113" s="3">
        <f>2791.7+(274.1-857)+(1.423767+(0.139791-0.43707))+0-28.4-0.0144839999999971</f>
        <v>2181.5120039999997</v>
      </c>
      <c r="T113" s="3">
        <f>2809.4+(277.8-896.2)+(2.865588+(0.283356-0.914124))+0-28.7-0.0292740000000046</f>
        <v>2164.5055460000003</v>
      </c>
      <c r="U113" s="3">
        <f>2798.3+(277.4-866)+(-4.281399+(-0.424422--1.32498))+0-30--0.0459000000000017</f>
        <v>2176.3650590000002</v>
      </c>
      <c r="V113" s="3">
        <f>2789.4+(278.2-870.4)+(-1.422594+(-0.141882--0.443904))+0-30.1--0.0153509999999969</f>
        <v>2165.9947790000001</v>
      </c>
      <c r="W113" s="3">
        <f>2786.2+(275.8-937.8)+(-5.683848+(-0.562632--1.913112))+0-30.2--0.0616079999999987</f>
        <v>2089.7282399999999</v>
      </c>
      <c r="X113" s="3">
        <f>2639.9+(272-858.9)+(-5.385396+(-0.55488--1.752156))+0-29.6--0.0603839999999987</f>
        <v>2019.2722640000002</v>
      </c>
      <c r="Y113" s="3">
        <f>2569.3+(286.2-936.5)+(-3.931029+(-0.437886--1.432845))+0-29.3--0.0448290000000017</f>
        <v>1886.8087590000002</v>
      </c>
      <c r="Z113" s="3">
        <f>2583.6+(311.7-999.1)+(1.317636+(0.158967-0.509541))+0-29.7-0.015146999999997</f>
        <v>1867.4519149999996</v>
      </c>
      <c r="AA113" s="3">
        <f>2886.7+(320.1-1067.5)+(-4.416651+(-0.489753--1.633275))+0-30.3--0.0463590000000018</f>
        <v>2105.7732299999993</v>
      </c>
      <c r="AB113" s="3">
        <f>2894.4+(321.3-1075.3)+(-1.476144+(-0.163863--0.548403))+0-28.7--0.0146369999999971</f>
        <v>2110.6230330000003</v>
      </c>
      <c r="AC113" s="3">
        <f>2860.6+(306.8-1092.7)+(-2.917812+(-0.312936--1.114554))+0-28.6--0.0291720000000046</f>
        <v>2044.0129779999997</v>
      </c>
      <c r="AD113">
        <v>2100.1</v>
      </c>
      <c r="AE113" s="3">
        <f>2894.8+(319.2-1050.9)+(0+(0-0))+0-28.8-0</f>
        <v>2134.3000000000002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2782.9+(211.8-1090.1)+(-2.838558+(-0.216036--1.111902))+0-28.3--0.0288660000000045</f>
        <v>1874.3861740000002</v>
      </c>
      <c r="G114" s="3">
        <f>2537.4+(232.1-1010)+(-7.764444+(-0.710226--3.0906))+0-27.9--0.0853740000000032</f>
        <v>1726.3013039999998</v>
      </c>
      <c r="H114" s="3">
        <f>2415.4+(237.9-982.1)+(-1.231854+(-0.121329--0.500871))+0-28.3--0.0144329999999971</f>
        <v>1642.0621210000002</v>
      </c>
      <c r="I114" s="3">
        <f>2332.1+(238.6-952)+(-4.757484+(-0.486744--1.94208))+0-27.9--0.0569159999999988</f>
        <v>1587.5547679999997</v>
      </c>
      <c r="J114" s="3">
        <f>2274.5+(246.2-934.8)+(1.159995+(0.125562-0.476748))+0-28.2-0.0143819999999971</f>
        <v>1558.4944270000001</v>
      </c>
      <c r="K114" s="3">
        <f>2185.1+(256-863.8)+(-1.114401+(-0.13056--0.440538))+0-27.7--0.0141269999999972</f>
        <v>1548.8097039999998</v>
      </c>
      <c r="L114" s="3">
        <f>2120+(284.8-867)+(-5.406+(-0.72624--2.21085))+0-28.4--0.0724199999999959</f>
        <v>1505.5510299999999</v>
      </c>
      <c r="M114" s="3">
        <f>2137.2+(304-807.2)+(0+(0-0))+0-29.2-0</f>
        <v>1604.7999999999997</v>
      </c>
      <c r="N114" s="3">
        <f>2392+(283.2-851.5)+(0+(0-0))+0-29.6-0</f>
        <v>1794.1000000000001</v>
      </c>
      <c r="O114" s="3">
        <f>2657.2+(271.8-914.1)+(1.355172+(0.138618-0.466191))+0-30.5-0.0155549999999969</f>
        <v>1985.4120439999999</v>
      </c>
      <c r="P114" s="3">
        <f>2798.7+(265-1000.8)+(-1.427337+(-0.13515--0.510408))+0-29.3--0.014942999999997</f>
        <v>2032.5628639999995</v>
      </c>
      <c r="Q114" s="3">
        <f>2929.3+(263.9-1068.9)+(2.987886+(0.269178-1.090278))+0-30-0.0306000000000048</f>
        <v>2096.4361859999999</v>
      </c>
      <c r="R114" s="3">
        <f>2992.1+(265.3-1085.5)+(6.103884+(0.541212-2.21442))+0-28.4-0.0579359999999988</f>
        <v>2147.8727399999993</v>
      </c>
      <c r="S114" s="3">
        <f>2996.1+(272-1117.9)+(-1.528011+(-0.13872--0.570129))+0-27.6--0.0140759999999972</f>
        <v>2121.5174739999998</v>
      </c>
      <c r="T114" s="3">
        <f>2980.2+(275.2-1138.3)+(-1.519902+(-0.140352--0.580533))+0-27.8--0.0141779999999972</f>
        <v>2088.2344569999996</v>
      </c>
      <c r="U114" s="3">
        <f>2952.5+(267.6-1099)+(-3.01155+(-0.272952--1.12098))+0-27.3--0.0278460000000044</f>
        <v>2091.6643239999999</v>
      </c>
      <c r="V114" s="3">
        <f>2935.1+(267-1080.2)+(-2.993802+(-0.27234--1.101804))+0-27.3--0.0278460000000044</f>
        <v>2092.4635079999994</v>
      </c>
      <c r="W114" s="3">
        <f>2885.7+(235.2-1071)+(-4.415121+(-0.359856--1.63863))+0-29.1--0.0445230000000017</f>
        <v>2017.7081759999999</v>
      </c>
      <c r="X114" s="3">
        <f>2808.7+(223.4-1057.2)+(-8.594622+(-0.683604--3.235032))+0-28.9--0.0884340000000033</f>
        <v>1940.0452399999995</v>
      </c>
      <c r="Y114" s="3">
        <f>2614.7+(229-975.6)+(-2.666994+(-0.23358--0.995112))+0-28--0.0285600000000045</f>
        <v>1838.2230979999999</v>
      </c>
      <c r="Z114" s="3">
        <f>2639.2+(308.8-1092.3)+(4.037976+(0.472464-1.671219))+0-28-0.0428400000000016</f>
        <v>1830.4963809999997</v>
      </c>
      <c r="AA114" s="3">
        <f>2808+(319-1027.7)+(-4.29624+(-0.48807--1.572381))+0-28.7--0.0439110000000017</f>
        <v>2067.4319820000005</v>
      </c>
      <c r="AB114" s="3">
        <f>2691.2+(318.6-911.5)+(2.745024+(0.324972-0.92973))+0-29.8-0.0303960000000048</f>
        <v>2070.6098699999993</v>
      </c>
      <c r="AC114" s="3">
        <f>2598+(266.1-839)+(-5.29992+(-0.542844--1.71156))+0-28.4--0.0579359999999988</f>
        <v>1992.6267319999997</v>
      </c>
      <c r="AD114">
        <v>2065.3999999999996</v>
      </c>
      <c r="AE114" s="3">
        <f>2815.2+(320-999.6)+(0+(0-0))+0-28-0</f>
        <v>2107.6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2353.4+(170.8-676.8)+(0+(0-0))+0-29.1-0</f>
        <v>1818.3000000000002</v>
      </c>
      <c r="G115" s="3">
        <f>2252.9+(184.4-757)+(0+(0-0))+0-29-0</f>
        <v>1651.3000000000002</v>
      </c>
      <c r="H115" s="3">
        <f>2092.1+(238.9-711)+(-3.200913+(-0.365517--1.08783))+0-27.9--0.0426870000000016</f>
        <v>1589.6640870000001</v>
      </c>
      <c r="I115" s="3">
        <f>1878+(260.8-568.4)+(-3.83112+(-0.532032--1.159536))+0-27.9--0.0569159999999988</f>
        <v>1539.3533</v>
      </c>
      <c r="J115" s="3">
        <f>1879.5+(263.8-593.7)+(-2.875635+(-0.403614--0.908361))+0-27.5--0.0420750000000016</f>
        <v>1519.7711870000001</v>
      </c>
      <c r="K115" s="3">
        <f>1875.6+(267.5-609.4)+(-6.695892+(-0.954975--2.175558))+0-28.2--0.100674</f>
        <v>1500.1253649999999</v>
      </c>
      <c r="L115" s="3">
        <f>1883.8+(262-641.5)+(-6.725166+(-0.93534--2.290155))+0-27.6--0.0985320000000004</f>
        <v>1471.428181</v>
      </c>
      <c r="M115" s="3">
        <f>2015.9+(264.4-668.6)+(2.056218+(0.269688-0.681972))+0-27.6-0.0281520000000044</f>
        <v>1585.715782</v>
      </c>
      <c r="N115" s="3">
        <f>2245.9+(273-698.1)+(3.436227+(0.41769-1.068093))+0-27.6-0.0422280000000016</f>
        <v>1795.9435960000003</v>
      </c>
      <c r="O115" s="3">
        <f>2448.1+(276.1-781.8)+(0+(0-0))+0-27.6-0</f>
        <v>1914.8000000000002</v>
      </c>
      <c r="P115" s="3">
        <f>2804.3+(255-1014.7)+(0+(0-0))+0-27.6-0</f>
        <v>2017.0000000000002</v>
      </c>
      <c r="Q115" s="3">
        <f>2897.5+(256.9-1019.9)+(-4.433175+(-0.393057--1.560447))+0-27.8--0.0425340000000016</f>
        <v>2103.4767489999999</v>
      </c>
      <c r="R115" s="3">
        <f>2952.8+(254.3-1030.6)+(-4.517784+(-0.389079--1.576818))+0-27.9--0.0426870000000016</f>
        <v>2145.3126419999999</v>
      </c>
      <c r="S115" s="3">
        <f>2936.5+(253.8-1050.5)+(-2.99523+(-0.258876--1.07151))+0-27.8--0.0283560000000044</f>
        <v>2109.8457599999997</v>
      </c>
      <c r="T115" s="3">
        <f>2911.4+(258.4-1072.4)+(-5.939256+(-0.527136--2.187696))+0-28.1--0.0573239999999988</f>
        <v>2065.0786280000002</v>
      </c>
      <c r="U115" s="3">
        <f>2898.7+(260.1-1033.3)+(-7.391685+(-0.663255--2.634915))+0-28.2--0.0719099999999959</f>
        <v>2091.9518850000004</v>
      </c>
      <c r="V115" s="3">
        <f>2884.9+(259.9-1024.3)+(-8.827794+(-0.795294--3.134358))+0-27.6--0.0844560000000032</f>
        <v>2086.4957260000001</v>
      </c>
      <c r="W115" s="3">
        <f>2886.9+(265.2-1057.6)+(-8.833914+(-0.811512--3.236256))+0-28--0.0856800000000032</f>
        <v>2060.1765100000002</v>
      </c>
      <c r="X115" s="3">
        <f>2863.7+(262.8-1096.3)+(-8.762922+(-0.804168--3.354678))+0-27.8--0.0850680000000032</f>
        <v>1996.2726559999999</v>
      </c>
      <c r="Y115" s="3">
        <f>2608.3+(257.2-981.3)+(-6.651165+(-0.65586--2.502315))+0-27.4--0.069869999999996</f>
        <v>1852.0651600000003</v>
      </c>
      <c r="Z115" s="3">
        <f>2737.5+(309.5-1199.5)+(0+(0-0))+0-28.2-0</f>
        <v>1819.3</v>
      </c>
      <c r="AA115" s="3">
        <f>2871.7+(321.1-1096.5)+(-7.322835+(-0.818805--2.796075))+0-28.3--0.0721649999999959</f>
        <v>2062.7265999999995</v>
      </c>
      <c r="AB115" s="3">
        <f>2837.2+(321.2-1067.6)+(-11.575776+(-1.310496--4.355808))+0-28--0.114239999999998</f>
        <v>2054.3837760000001</v>
      </c>
      <c r="AC115" s="3">
        <f>2806.3+(315.5-1089)+(-1.431213+(-0.160905--0.55539))+0-28.2--0.0143819999999971</f>
        <v>2003.5776540000002</v>
      </c>
      <c r="AD115">
        <v>2073.2999999999997</v>
      </c>
      <c r="AE115" s="3">
        <f>2883.2+(319.7-1076.2)+(0+(0-0))+0-26.4-0</f>
        <v>2100.2999999999997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2673.8+(234.4-1028.8)+(0+(0-0))+0-27.6-0</f>
        <v>1851.8000000000002</v>
      </c>
      <c r="G116" s="3">
        <f>2460.4+(258.9-1007.1)+(1.254804+(0.132039-0.513621))+0-27.2-0.0138719999999972</f>
        <v>1685.8593499999999</v>
      </c>
      <c r="H116" s="3">
        <f>2310.6+(262.1-944.1)+(-1.178406+(-0.133671--0.481491))+0-27.6--0.0140759999999972</f>
        <v>1600.1834899999999</v>
      </c>
      <c r="I116" s="3">
        <f>2251.1+(256.5-928.2)+(-1.148061+(-0.130815--0.473382))+0-27.5--0.0140249999999972</f>
        <v>1551.1085309999999</v>
      </c>
      <c r="J116" s="3">
        <f>2169.9+(256.4-870)+(-3.319947+(-0.392292--1.3311))+0-27.5--0.0420750000000016</f>
        <v>1526.4609360000002</v>
      </c>
      <c r="K116" s="3">
        <f>1983.3+(260.3-707.2)+(-5.057415+(-0.663765--1.80336))+0-28.1--0.0716549999999959</f>
        <v>1504.453835</v>
      </c>
      <c r="L116" s="3">
        <f>1955.5+(267.9-718.9)+(-1.99461+(-0.273258--0.733278))+0-27.4--0.0279480000000044</f>
        <v>1475.5933579999999</v>
      </c>
      <c r="M116" s="3">
        <f>2095.9+(286.2-775.6)+(1.068909+(0.145962-0.395556))+0-27.1-0.0138209999999973</f>
        <v>1580.205494</v>
      </c>
      <c r="N116" s="3">
        <f>2250.5+(303.4-755.7)+(1.147755+(0.154734-0.385407))+0-28-0.0142799999999972</f>
        <v>1771.1028019999997</v>
      </c>
      <c r="O116" s="3">
        <f>2422.3+(302.6-730.1)+(-2.470746+(-0.308652--0.744702))+0-27.9--0.0284580000000044</f>
        <v>1964.8937620000002</v>
      </c>
      <c r="P116" s="3">
        <f>2446.1+(264.1-676.5)+(0+(0-0))+0-28-0</f>
        <v>2005.6999999999998</v>
      </c>
      <c r="Q116" s="3">
        <f>2596.6+(247.3-738.4)+(2.648532+(0.252246-0.753168))+0-28.2-0.0287640000000045</f>
        <v>2079.418846</v>
      </c>
      <c r="R116" s="3">
        <f>2796.5+(265.7-930.8)+(0+(0-0))+0-27.7-0</f>
        <v>2103.7000000000003</v>
      </c>
      <c r="S116" s="3">
        <f>2851.2+(267.7-1038.4)+(-5.816448+(-0.546108--2.118336))+0-27.6--0.0563039999999988</f>
        <v>2048.7120840000002</v>
      </c>
      <c r="T116" s="3">
        <f>2853.5+(263-1069.2)+(-5.82114+(-0.53652--2.181168))+0-27.4--0.0558959999999988</f>
        <v>2015.7794039999999</v>
      </c>
      <c r="U116" s="3">
        <f>2848.5+(264.1-1075.6)+(-7.263675+(-0.673455--2.74278))+0-27.5--0.070124999999996</f>
        <v>2004.375775</v>
      </c>
      <c r="V116" s="3">
        <f>2847+(243.5-1048.3)+(-5.80788+(-0.49674--2.138532))+0-27.4--0.0558959999999988</f>
        <v>2010.6898080000001</v>
      </c>
      <c r="W116" s="3">
        <f>2839+(251.3-1077.1)+(-7.23945+(-0.640815--2.746605))+0-27.2--0.0693599999999961</f>
        <v>1980.9357</v>
      </c>
      <c r="X116" s="3">
        <f>2667.2+(253.3-969.9)+(-10.882176+(-1.033464--3.957192))+0-27.7--0.113015999999998</f>
        <v>1915.0545679999998</v>
      </c>
      <c r="Y116" s="3">
        <f>2231.6+(253.6-657.6)+(-6.828696+(-0.776016--2.012256))+0-27.3--0.0835380000000032</f>
        <v>1794.791082</v>
      </c>
      <c r="Z116" s="3">
        <f>2346+(268.1-797)+(-1.19646+(-0.136731--0.40647))+0-27.5--0.0140249999999972</f>
        <v>1788.6873039999998</v>
      </c>
      <c r="AA116" s="3">
        <f>2604.9+(273.4-815.8)+(-7.970994+(-0.836604--2.496348))+0-27.1--0.0829260000000031</f>
        <v>2029.1716759999999</v>
      </c>
      <c r="AB116" s="3">
        <f>2615.3+(268.9-830)+(-5.335212+(-0.548556--1.6932))+0-26.8--0.0546719999999988</f>
        <v>2023.2641040000003</v>
      </c>
      <c r="AC116" s="3">
        <f>2476.9+(264.3-709.6)+(1.263219+(0.134793-0.361896))+0-27.8-0.0141779999999972</f>
        <v>2004.8219380000003</v>
      </c>
      <c r="AD116">
        <v>2026.2999999999997</v>
      </c>
      <c r="AE116" s="3">
        <f>2611.2+(271.3-796)+(0+(0-0))+0-27.6-0</f>
        <v>2058.9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2241.5+(190.6-533.1)+(1.143165+(0.097206-0.271881))+0-28.3-0.0144329999999971</f>
        <v>1871.654057</v>
      </c>
      <c r="G117" s="3">
        <f>2082.2+(211.2-563.8)+(-2.123844+(-0.215424--0.575076))+0-28.3--0.0288660000000045</f>
        <v>1699.564674</v>
      </c>
      <c r="H117" s="3">
        <f>2079.5+(215.9-648.2)+(-3.181635+(-0.330327--0.991746))+0-28--0.0428400000000016</f>
        <v>1616.722624</v>
      </c>
      <c r="I117" s="3">
        <f>2012.4+(225.2-656.7)+(-1.026324+(-0.114852--0.334917))+0-27.8--0.0141779999999972</f>
        <v>1552.3079190000001</v>
      </c>
      <c r="J117" s="3">
        <f>1875.1+(227.3-562.3)+(0.956301+(0.115923-0.286773))+0-27.7-0.0141269999999972</f>
        <v>1513.1713239999999</v>
      </c>
      <c r="K117" s="3">
        <f>1809.7+(240.2-531.9)+(-6.460629+(-0.857514--1.898883))+0-27.5--0.0981750000000004</f>
        <v>1485.1789150000002</v>
      </c>
      <c r="L117" s="3">
        <f>1651.9+(243.4-496.1)+(-2.527407+(-0.372402--0.759033))+0-27.6--0.0422280000000016</f>
        <v>1369.5014520000002</v>
      </c>
      <c r="M117" s="3">
        <f>1644.4+(251.9-486.5)+(-3.354576+(-0.513876--0.99246))+0-27.2--0.0554879999999988</f>
        <v>1379.7794960000001</v>
      </c>
      <c r="N117" s="3">
        <f>1917.1+(281.9-663.9)+(-1.955442+(-0.287538--0.677178))+0-27.4--0.0279480000000044</f>
        <v>1506.1621459999997</v>
      </c>
      <c r="O117" s="3">
        <f>2032.4+(271.3-638.8)+(0+(0-0))+0-27.3-0</f>
        <v>1637.6000000000001</v>
      </c>
      <c r="P117" s="3">
        <f>2253.2+(246.2-713.7)+(3.447396+(0.376686-1.091961))+0-28.2-0.0431460000000016</f>
        <v>1760.1889749999998</v>
      </c>
      <c r="Q117" s="3">
        <f>2363.3+(219.3-723.2)+(2.410566+(0.223686-0.737664))+0-28.3-0.0288660000000045</f>
        <v>1832.9677220000001</v>
      </c>
      <c r="R117" s="3">
        <f>2323.9+(200.2-658.9)+(-1.185189+(-0.102102--0.336039))+0-28.3--0.0144329999999971</f>
        <v>1835.9631810000001</v>
      </c>
      <c r="S117" s="3">
        <f>2349+(202.4-673.2)+(2.39598+(0.206448-0.686664))+0-28.1-0.0286620000000045</f>
        <v>1851.987102</v>
      </c>
      <c r="T117" s="3">
        <f>2352.1+(199.5-685.1)+(0+(0-0))+0-27.6-0</f>
        <v>1838.9</v>
      </c>
      <c r="U117" s="3">
        <f>2335.3+(186.5-662.9)+(-2.382006+(-0.19023--0.676158))+0-28.6--0.0291720000000046</f>
        <v>1828.4330940000002</v>
      </c>
      <c r="V117" s="3">
        <f>2329.2+(178.9-654.8)+(-4.751568+(-0.364956--1.335792))+0-28.4--0.0579359999999988</f>
        <v>1821.1772039999996</v>
      </c>
      <c r="W117" s="3">
        <f>2329.1+(157.6-673.6)+(-1.187841+(-0.080376--0.343536))+0-28.5--0.0145349999999971</f>
        <v>1783.689854</v>
      </c>
      <c r="X117" s="3">
        <f>2278.3+(131-654)+(-1.161933+(-0.06681--0.33354))+0-27.7--0.0141269999999972</f>
        <v>1726.718924</v>
      </c>
      <c r="Y117" s="3">
        <f>2119.3+(161-596.8)+(-4.323372+(-0.32844--1.217472))+0-27.4--0.0558959999999988</f>
        <v>1652.7215560000002</v>
      </c>
      <c r="Z117" s="3">
        <f>2234.4+(308.5-859.8)+(-2.279088+(-0.31467--0.876996))+0-27.9--0.0284580000000044</f>
        <v>1653.511696</v>
      </c>
      <c r="AA117" s="3">
        <f>2378+(313.1-737)+(-3.63834+(-0.479043--1.12761))+0-27.9--0.0426870000000016</f>
        <v>1923.2529139999999</v>
      </c>
      <c r="AB117" s="3">
        <f>2196.6+(312.6-530.4)+(-6.721596+(-0.956556--1.623024))+0-27.7--0.0847620000000032</f>
        <v>1945.1296339999999</v>
      </c>
      <c r="AC117" s="3">
        <f>2295.6+(313.8-660.5)+(3.512268+(0.480114-1.010565))+0-28.3-0.0432990000000016</f>
        <v>1923.5385180000001</v>
      </c>
      <c r="AD117">
        <v>1915.4999999999995</v>
      </c>
      <c r="AE117" s="3">
        <f>2367.2+(309.4-705.7)+(0+(0-0))+0-28-0</f>
        <v>1942.8999999999996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2265.4+(206.2-679.5)+(-2.310708+(-0.210324--0.69309))+0-27.8--0.0283560000000044</f>
        <v>1762.5004140000003</v>
      </c>
      <c r="G118" s="3">
        <f>2177+(215.3-745.1)+(-7.77189+(-0.768621--2.660007))+0-23.7--0.0846090000000003</f>
        <v>1617.704105</v>
      </c>
      <c r="H118" s="3">
        <f>2164.3+(217.7-825.9)+(0+(0-0))+0-23.1-0</f>
        <v>1533.0000000000002</v>
      </c>
      <c r="I118" s="3">
        <f>2201.4+(226.2-918.3)+(-1.122714+(-0.115362--0.468333))+0-20.7--0.0105569999999979</f>
        <v>1487.8408140000001</v>
      </c>
      <c r="J118" s="3">
        <f>2269.3+(233.5-993.2)+(0+(0-0))+0-20.9-0</f>
        <v>1488.7</v>
      </c>
      <c r="K118" s="3">
        <f>2105.3+(247-847.9)+(1.073703+(0.12597-0.432429))+0-21-0.0107099999999979</f>
        <v>1484.156534</v>
      </c>
      <c r="L118" s="3">
        <f>2055.1+(246.6-843.2)+(-4.192404+(-0.503064--1.720128))+0-20.7--0.0422279999999991</f>
        <v>1434.866888</v>
      </c>
      <c r="M118" s="3">
        <f>2121.3+(266.8-836.1)+(0+(0-0))+0-20.3-0</f>
        <v>1531.7000000000003</v>
      </c>
      <c r="N118" s="3">
        <f>2266.1+(239.9-750.4)+(-1.155711+(-0.122349--0.382704))+0-21.3--0.0108629999999978</f>
        <v>1733.4155069999999</v>
      </c>
      <c r="O118" s="3">
        <f>2607.1+(196.8-894.3)+(0+(0-0))+0-21.7-0</f>
        <v>1887.8999999999999</v>
      </c>
      <c r="P118" s="3">
        <f>2939.5+(191-1088.7)+(0+(0-0))+0-22.4-0</f>
        <v>2019.3999999999999</v>
      </c>
      <c r="Q118" s="3">
        <f>3008.5+(195.8-1063.9)+(1.534335+(0.099858-0.542589))+0-21.4-0.0109139999999978</f>
        <v>2120.0806899999998</v>
      </c>
      <c r="R118" s="3">
        <f>2968.6+(194.9-1019.9)+(0+(0-0))+0-22.4-0</f>
        <v>2121.1999999999998</v>
      </c>
      <c r="S118" s="3">
        <f>2984.5+(195.2-1060.3)+(0+(0-0))+0-21.8-0</f>
        <v>2097.6</v>
      </c>
      <c r="T118" s="3">
        <f>3016.1+(199.7-1106.4)+(-3.076422+(-0.203694--1.128528))+0-21.3--0.0217260000000034</f>
        <v>2085.9701379999992</v>
      </c>
      <c r="U118" s="3">
        <f>3013.4+(201-1096.3)+(-3.073668+(-0.20502--1.118226))+0-21.6--0.0220320000000034</f>
        <v>2094.3615700000005</v>
      </c>
      <c r="V118" s="3">
        <f>2946.5+(200.2-1058.8)+(0+(0-0))+0-21.3-0</f>
        <v>2066.6</v>
      </c>
      <c r="W118" s="3">
        <f>2928.1+(200.4-1110.2)+(-1.493331+(-0.102204--0.566202))+0-20.5--0.0104549999999979</f>
        <v>1996.7811219999999</v>
      </c>
      <c r="X118" s="3">
        <f>2716.3+(220.7-987.8)+(-2.770626+(-0.225114--1.007556))+0-20.5--0.0209100000000033</f>
        <v>1926.7327260000002</v>
      </c>
      <c r="Y118" s="3">
        <f>2415.6+(239.1-835.2)+(-1.231956+(-0.121941--0.425952))+0-20.8--0.0106079999999979</f>
        <v>1797.7826630000002</v>
      </c>
      <c r="Z118" s="3">
        <f>2431.8+(301-938.6)+(1.240218+(0.15351-0.478686))+0-20.1-0.010250999999998</f>
        <v>1775.0047910000005</v>
      </c>
      <c r="AA118" s="3">
        <f>2739+(314.3-1014.7)+(-8.38134+(-0.961758--3.104982))+0-21.9--0.0670140000000025</f>
        <v>2010.5288979999998</v>
      </c>
      <c r="AB118" s="3">
        <f>2705.7+(302.1-1026.3)+(-4.139721+(-0.462213--1.570239))+0-21.9--0.0335070000000013</f>
        <v>1956.6018120000001</v>
      </c>
      <c r="AC118" s="3">
        <f>2716.1+(299.1-1094.6)+(-2.770422+(-0.305082--1.116492))+0-21.7--0.0221340000000035</f>
        <v>1896.9631219999999</v>
      </c>
      <c r="AD118">
        <v>2069.8999999999996</v>
      </c>
      <c r="AE118" s="3">
        <f>2784.9+(310.7-990.5)+(0+(0-0))+0-20.8-0</f>
        <v>2084.3000000000002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2394.8+(229-827.4)+(-2.442696+(-0.23358--0.843948))+0-20.6--0.0210120000000033</f>
        <v>1773.9886840000001</v>
      </c>
      <c r="G119" s="3">
        <f>2177.2+(255.2-765.9)+(-4.441488+(-0.520608--1.562436))+0-20.5--0.0418199999999991</f>
        <v>1642.6421599999996</v>
      </c>
      <c r="H119" s="3">
        <f>2052.1+(260.6-736.2)+(-3.139713+(-0.398718--1.126386))+0-21--0.0321300000000012</f>
        <v>1553.120085</v>
      </c>
      <c r="I119" s="3">
        <f>2043+(260.9-776.7)+(-2.08386+(-0.266118--0.792234))+0-20.7--0.0211140000000033</f>
        <v>1504.9633699999997</v>
      </c>
      <c r="J119" s="3">
        <f>2037+(261.1-787.2)+(-5.19435+(-0.665805--2.00736))+0-20.8--0.053039999999997</f>
        <v>1486.3002450000001</v>
      </c>
      <c r="K119" s="3">
        <f>1882.1+(264.3-668.6)+(-4.799355+(-0.673965--1.70493))+0-21.1--0.0538049999999969</f>
        <v>1452.9854150000001</v>
      </c>
      <c r="L119" s="3">
        <f>1789.6+(275.4-619.9)+(-5.476176+(-0.842724--1.896894))+0-21.6--0.0660960000000025</f>
        <v>1419.14409</v>
      </c>
      <c r="M119" s="3">
        <f>1765.6+(284.6-597.3)+(-0.900456+(-0.145146--0.304623))+0-21.2--0.0108119999999978</f>
        <v>1430.9698330000001</v>
      </c>
      <c r="N119" s="3">
        <f>1883.1+(297.8-600.5)+(-0.960381+(-0.151878--0.306255))+0-21.2--0.0108119999999978</f>
        <v>1558.4048079999998</v>
      </c>
      <c r="O119" s="3">
        <f>2048.9+(285.8-622.1)+(-1.044939+(-0.145758--0.317271))+0-21.9--0.0111689999999978</f>
        <v>1689.837743</v>
      </c>
      <c r="P119" s="3">
        <f>2165.2+(281.7-619.4)+(0+(0-0))+0-20.3-0</f>
        <v>1807.1999999999998</v>
      </c>
      <c r="Q119" s="3">
        <f>2256.6+(286.4-621.2)+(-1.150866+(-0.146064--0.316812))+0-21.3--0.0108629999999978</f>
        <v>1899.5307449999998</v>
      </c>
      <c r="R119" s="3">
        <f>2272+(275.6-605.9)+(-3.47616+(-0.421668--0.927027))+0-22.5--0.0344250000000013</f>
        <v>1916.2636240000002</v>
      </c>
      <c r="S119" s="3">
        <f>2276.8+(278.9-640.4)+(-2.322336+(-0.284478--0.653208))+0-21--0.0214200000000034</f>
        <v>1892.3678140000002</v>
      </c>
      <c r="T119" s="3">
        <f>2272.8+(275.2-662.1)+(-2.318256+(-0.280704--0.675342))+0-13.7--0.0139740000000022</f>
        <v>1870.290356</v>
      </c>
      <c r="U119" s="3">
        <f>2269.8+(249.9-643.6)+(-1.157598+(-0.127449--0.328236))+0-6.1--0.00311099999999938</f>
        <v>1869.0463000000002</v>
      </c>
      <c r="V119" s="3">
        <f>2293.6+(242.7-678)+(-4.678944+(-0.495108--1.38312))+0-8.4--0.0171359999999996</f>
        <v>1846.1262039999997</v>
      </c>
      <c r="W119" s="3">
        <f>2295.3+(243.5-714.4)+(-7.023618+(-0.74511--2.186064))+0-19.7--0.0602820000000023</f>
        <v>1799.1776179999999</v>
      </c>
      <c r="X119" s="3">
        <f>2278.1+(249-736.2)+(-4.647324+(-0.50796--1.501848))+0-21.7--0.0442679999999991</f>
        <v>1765.5908319999999</v>
      </c>
      <c r="Y119" s="3">
        <f>2248.6+(270.9-813.6)+(-1.146786+(-0.138159--0.414936))+0-20.9--0.0106589999999979</f>
        <v>1684.1406499999998</v>
      </c>
      <c r="Z119" s="3">
        <f>2276.1+(305.2-847.9)+(-1.160811+(-0.155652--0.432429))+0-20.1--0.010250999999998</f>
        <v>1712.426217</v>
      </c>
      <c r="AA119" s="3">
        <f>2224.1+(315.2-587.4)+(-4.537164+(-0.643008--1.198296))+0-21--0.0428399999999991</f>
        <v>1926.9609639999999</v>
      </c>
      <c r="AB119" s="3">
        <f>2245.6+(314.5-608)+(-4.581024+(-0.64158--1.24032))+0-20.5--0.0418199999999991</f>
        <v>1927.6595359999999</v>
      </c>
      <c r="AC119" s="3">
        <f>2241.8+(306.6-651.8)+(-3.429954+(-0.469098--0.997254))+0-20.6--0.0315180000000012</f>
        <v>1873.1297200000004</v>
      </c>
      <c r="AD119">
        <v>1926.5000000000002</v>
      </c>
      <c r="AE119" s="3">
        <f>2221.3+(320.7-566.5)+(0+(0-0))+0-23.2-0</f>
        <v>1952.3000000000002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2175.1+(220.1-656.8)+(-5.546505+(-0.561255--1.67484))+0-21--0.053549999999997</f>
        <v>1713.0206300000002</v>
      </c>
      <c r="G120" s="3">
        <f>2092.7+(243.4-726.1)+(-7.470939+(-0.868938--2.592177))+0-20.6--0.0735420000000003</f>
        <v>1583.7258420000001</v>
      </c>
      <c r="H120" s="3">
        <f>2099.2+(253.4-815)+(0+(0-0))+0-21.9-0</f>
        <v>1515.6999999999998</v>
      </c>
      <c r="I120" s="3">
        <f>2089.1+(257.8-848.6)+(-9.588969+(-1.183302--3.895074))+0-21.6--0.0991440000000038</f>
        <v>1469.921947</v>
      </c>
      <c r="J120" s="3">
        <f>2114+(268.8-902.3)+(-2.15628+(-0.274176--0.920346))+0-22.2--0.0226440000000035</f>
        <v>1456.8125339999999</v>
      </c>
      <c r="K120" s="3">
        <f>2094.6+(266.3-879.3)+(-9.614214+(-1.222317--4.035987))+0-21--0.0963900000000037</f>
        <v>1453.8958459999999</v>
      </c>
      <c r="L120" s="3">
        <f>2103.2+(271.6-928)+(-8.581056+(-1.108128--3.78624))+0-21.2--0.0864959999999981</f>
        <v>1419.7835519999996</v>
      </c>
      <c r="M120" s="3">
        <f>2152.9+(265.3-893.8)+(1.097979+(0.135303-0.455838))+0-20.9-0.0106589999999979</f>
        <v>1504.266785</v>
      </c>
      <c r="N120" s="3">
        <f>2260.5+(242.7-805.4)+(0+(0-0))+0-21.1-0</f>
        <v>1676.7</v>
      </c>
      <c r="O120" s="3">
        <f>2527+(218.7-866.7)+(0+(0-0))+0-23.4-0</f>
        <v>1855.6</v>
      </c>
      <c r="P120" s="3">
        <f>2880.9+(220.8-1124.5)+(1.469259+(0.112608-0.573495))+0-23.2-0.0118319999999976</f>
        <v>1954.9965400000001</v>
      </c>
      <c r="Q120" s="3">
        <f>2965.7+(227-1111.7)+(1.512507+(0.11577-0.566967))+0-22.1-0.0112709999999978</f>
        <v>2059.9500390000003</v>
      </c>
      <c r="R120" s="3">
        <f>3020.5+(222.6-1137.5)+(0+(0-0))+0-21.3-0</f>
        <v>2084.2999999999997</v>
      </c>
      <c r="S120" s="3">
        <f>3022.5+(221.1-1175.4)+(-1.541475+(-0.112761--0.599454))+0-22.2--0.0113219999999977</f>
        <v>2044.9565399999997</v>
      </c>
      <c r="T120" s="3">
        <f>3025.2+(176.2-1140.8)+(-1.542852+(-0.089862--0.581808))+0-22.9--0.0116789999999977</f>
        <v>2036.6607729999998</v>
      </c>
      <c r="U120" s="3">
        <f>3017.5+(162.3-1109.9)+(-3.07785+(-0.165546--1.132098))+0-22.5--0.0229500000000036</f>
        <v>2045.3116519999999</v>
      </c>
      <c r="V120" s="3">
        <f>3017.8+(171.5-1121)+(1.539078+(0.087465-0.57171))+0-22-0.0112199999999978</f>
        <v>2047.3436130000002</v>
      </c>
      <c r="W120" s="3">
        <f>3018.3+(171.8-1144.1)+(-1.539333+(-0.087618--0.583491))+0-22--0.0112199999999978</f>
        <v>2022.9677600000002</v>
      </c>
      <c r="X120" s="3">
        <f>2775.1+(170.6-968)+(-7.076505+(-0.43503--2.4684))+0-22.1--0.0563549999999968</f>
        <v>1950.61322</v>
      </c>
      <c r="Y120" s="3">
        <f>2444.6+(187.7-766.5)+(-6.23373+(-0.478635--1.954575))+0-21.4--0.0545699999999969</f>
        <v>1839.69678</v>
      </c>
      <c r="Z120" s="3">
        <f>2505.5+(311-985.9)+(2.55561+(0.31722-1.005618))+0-21.9-0.0223380000000035</f>
        <v>1810.5448739999999</v>
      </c>
      <c r="AA120" s="3">
        <f>2874.5+(324.6-1100.4)+(-2.93199+(-0.331092--1.122408))+0-21.7--0.0221340000000035</f>
        <v>2074.8814599999996</v>
      </c>
      <c r="AB120" s="3">
        <f>2855.8+(321.3-1097.9)+(-1.456458+(-0.163863--0.559929))+0-22.1--0.0112709999999978</f>
        <v>2056.0508789999999</v>
      </c>
      <c r="AC120" s="3">
        <f>2889.8+(290.4-1151.5)+(0+(0-0))+0-20.6-0</f>
        <v>2008.1000000000004</v>
      </c>
      <c r="AD120">
        <v>2058</v>
      </c>
      <c r="AE120" s="3">
        <f>2870.2+(326.5-1075.9)+(0+(0-0))+0-18.4-0</f>
        <v>2102.3999999999996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2690+(208-1042.7)+(-8.2314+(-0.63648--3.190662))+0-21.2--0.0648720000000024</f>
        <v>1828.4876539999998</v>
      </c>
      <c r="G121" s="3">
        <f>2480.7+(238.1-1026.4)+(-1.265157+(-0.121431--0.523464))+0-17.9--0.00912899999999818</f>
        <v>1673.6460049999996</v>
      </c>
      <c r="H121" s="3">
        <f>2451.2+(238.9-1080)+(-2.500224+(-0.243678--1.1016))+0-12.6--0.012852000000002</f>
        <v>1595.8705500000001</v>
      </c>
      <c r="I121" s="3">
        <f>2479.3+(247.4-1152.5)+(-3.793329+(-0.378522--1.763325))+0-14--0.0214200000000008</f>
        <v>1557.8128940000004</v>
      </c>
      <c r="J121" s="3">
        <f>2348.6+(228.4-1027.8)+(-5.98893+(-0.58242--2.62089))+0-7.8--0.0198899999999989</f>
        <v>1537.4694299999999</v>
      </c>
      <c r="K121" s="3">
        <f>2174.4+(236.2-883.8)+(-4.435776+(-0.481848--1.802952))+0-5.9--0.0120359999999997</f>
        <v>1517.7973640000002</v>
      </c>
      <c r="L121" s="3">
        <f>2144.5+(231.1-884.2)+(-3.281085+(-0.353583--1.352826))+0-5.2--0.0079560000000003</f>
        <v>1483.9261139999999</v>
      </c>
      <c r="M121" s="3">
        <f>2147.1+(241.7-813)+(-1.095021+(-0.123267--0.41463))+0-6--0.00305999999999939</f>
        <v>1568.9994019999999</v>
      </c>
      <c r="N121" s="3">
        <f>2285.9+(232.5-747.2)+(2.331618+(0.23715-0.762144))+0-5.7-0.00581400000000091</f>
        <v>1767.30081</v>
      </c>
      <c r="O121" s="3">
        <f>2412.5+(226.6-713.9)+(0+(0-0))+0-5.1-0</f>
        <v>1920.1000000000001</v>
      </c>
      <c r="P121" s="3">
        <f>2675.2+(231.6-872.1)+(2.728704+(0.236232-0.889542))+0-4-0.00408000000000064</f>
        <v>2032.7713139999998</v>
      </c>
      <c r="Q121" s="3">
        <f>2839.8+(232.8-951.5)+(2.896596+(0.237456-0.97053))+0-3.3-0.00336600000000053</f>
        <v>2119.9601560000001</v>
      </c>
      <c r="R121" s="3">
        <f>2885.3+(233-959.1)+(0+(0-0))+0-3-0</f>
        <v>2156.2000000000003</v>
      </c>
      <c r="S121" s="3">
        <f>2879.4+(248.8-1005.1)+(-2.936988+(-0.253776--1.025202))+0-3--0.00306000000000048</f>
        <v>2117.9374980000002</v>
      </c>
      <c r="T121" s="3">
        <f>2875.4+(259-1044.2)+(1.466454+(0.13209-0.532542))+0-2.5-0.00127499999999975</f>
        <v>2088.7647269999998</v>
      </c>
      <c r="U121" s="3">
        <f>2871+(246.1-1030.9)+(-4.39263+(-0.376533--1.577277))+0-2.9--0.00443700000000017</f>
        <v>2080.1125509999997</v>
      </c>
      <c r="V121" s="3">
        <f>2868.5+(233.8-1042.6)+(-5.85174+(-0.476952--2.126904))+0-2.7--0.00550799999999988</f>
        <v>2052.8037200000003</v>
      </c>
      <c r="W121" s="3">
        <f>2795.1+(244.3-1039.6)+(0+(0-0))+0-3-0</f>
        <v>1996.8</v>
      </c>
      <c r="X121" s="3">
        <f>2825.9+(264.5-1171.2)+(-2.882418+(-0.26979--1.194624))+0-0-0</f>
        <v>1917.242416</v>
      </c>
      <c r="Y121" s="3">
        <f>2257.1+(260.5-742.8)+(-3.453363+(-0.398565--1.136484))+0-0-0</f>
        <v>1772.084556</v>
      </c>
      <c r="Z121" s="3">
        <f>2498.7+(316.6-1016.8)+(0+(0-0))+0-0-0</f>
        <v>1798.5</v>
      </c>
      <c r="AA121" s="3">
        <f>2913.6+(322.3-1205)+(0+(0-0))+0-1-0</f>
        <v>2029.8999999999999</v>
      </c>
      <c r="AB121" s="3">
        <f>2885.6+(323.6-1186.8)+(-5.886624+(-0.660144--2.421072))+0-0-0</f>
        <v>2018.274304</v>
      </c>
      <c r="AC121" s="3">
        <f>2879.2+(318.2-1221.2)+(0+(0-0))+0-0-0</f>
        <v>1976.1999999999998</v>
      </c>
      <c r="AD121">
        <v>1997</v>
      </c>
      <c r="AE121" s="3">
        <f>2911.6+(327.9-1194.3)+(0+(0-0))+0-1.6-0</f>
        <v>2043.6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2708.4+(216.7-1117.5)+(-4.143852+(-0.331551--1.709775))+0-0-0</f>
        <v>1804.834372</v>
      </c>
      <c r="G122" s="3">
        <f>2684+(227.2-1245)+(-2.73768+(-0.231744--1.2699))+0-0-0</f>
        <v>1664.5004759999999</v>
      </c>
      <c r="H122" s="3">
        <f>2595.6+(235.4-1246.8)+(-5.295024+(-0.480216--2.543472))+0-0-0</f>
        <v>1580.9682319999997</v>
      </c>
      <c r="I122" s="3">
        <f>2472.9+(244.2-1172.6)+(-3.783537+(-0.373626--1.794078))+0-0-0</f>
        <v>1542.1369150000003</v>
      </c>
      <c r="J122" s="3">
        <f>2300.8+(247.7-1029)+(-4.693632+(-0.505308--2.09916))+0-0-0</f>
        <v>1516.4002200000002</v>
      </c>
      <c r="K122" s="3">
        <f>2213.2+(260.8-965.1)+(-4.514928+(-0.532032--1.968804))+0-0-0</f>
        <v>1505.8218439999998</v>
      </c>
      <c r="L122" s="3">
        <f>2076.5+(283.7-876.2)+(-7.413105+(-1.012809--3.128034))+0-0-0</f>
        <v>1478.7021199999999</v>
      </c>
      <c r="M122" s="3">
        <f>2017.4+(315.6-764.8)+(0+(0-0))+0-0-0</f>
        <v>1568.2000000000003</v>
      </c>
      <c r="N122" s="3">
        <f>2189+(310.1-744.8)+(0+(0-0))+0-0-0</f>
        <v>1754.3000000000002</v>
      </c>
      <c r="O122" s="3">
        <f>2511.1+(296.6-914.2)+(0+(0-0))+0-0-0</f>
        <v>1893.5</v>
      </c>
      <c r="P122" s="3">
        <f>2800.4+(295.8-1106.8)+(2.856408+(0.301716-1.128936))+0-3.1-0.00316200000000049</f>
        <v>1988.3260260000002</v>
      </c>
      <c r="Q122" s="3">
        <f>2969.8+(269.6-1172.3)+(1.514598+(0.137496-0.597873))+0-0-0</f>
        <v>2068.1542210000002</v>
      </c>
      <c r="R122" s="3">
        <f>2985.1+(265.1-1134.9)+(3.044802+(0.270402-1.157598))+0-0-0</f>
        <v>2117.4576059999999</v>
      </c>
      <c r="S122" s="3">
        <f>2866.1+(252.4-1025.1)+(-1.461711+(-0.128724--0.522801))+0-0-0</f>
        <v>2092.3323660000001</v>
      </c>
      <c r="T122" s="3">
        <f>2682.4+(237.9-880.8)+(1.368024+(0.121329-0.449208))+0-1-0.000509999999999899</f>
        <v>2039.5396349999999</v>
      </c>
      <c r="U122" s="3">
        <f>2681.9+(237.1-897.5)+(-6.838845+(-0.604605--2.288625))+0-1.2--0.00305999999999983</f>
        <v>2015.1482349999999</v>
      </c>
      <c r="V122" s="3">
        <f>2787+(241.8-1013.6)+(-5.68548+(-0.493272--2.067744))+0-0-0</f>
        <v>2011.088992</v>
      </c>
      <c r="W122" s="3">
        <f>2882.3+(253.1-1139.3)+(-11.759784+(-1.032648--4.648344))+0-0-0</f>
        <v>1987.9559120000004</v>
      </c>
      <c r="X122" s="3">
        <f>2687.3+(253.1-1010.4)+(-9.593661+(-0.903567--3.607128))+0-0-0</f>
        <v>1923.1099000000002</v>
      </c>
      <c r="Y122" s="3">
        <f>2393.7+(248.8-851.9)+(-2.441574+(-0.253776--0.868938))+0-0-0</f>
        <v>1788.773588</v>
      </c>
      <c r="Z122" s="3">
        <f>2542.9+(315.4-1044)+(-1.296879+(-0.160854--0.53244))+0-0-0</f>
        <v>1813.3747070000002</v>
      </c>
      <c r="AA122" s="3">
        <f>2900.5+(318.2-1193.6)+(-5.91702+(-0.649128--2.434944))+0-0-0</f>
        <v>2020.9687960000001</v>
      </c>
      <c r="AB122" s="3">
        <f>2851.5+(317.4-1176.8)+(-7.271325+(-0.80937--3.00084))+0-0-0</f>
        <v>1987.020145</v>
      </c>
      <c r="AC122" s="3">
        <f>2701.4+(311.9-1090.4)+(1.377714+(0.159069-0.556104))+0-0-0</f>
        <v>1923.8806790000001</v>
      </c>
      <c r="AD122">
        <v>2013.1</v>
      </c>
      <c r="AE122" s="3">
        <f>2898.6+(322.4-1180.5)+(0+(0-0))+0--1.6-0</f>
        <v>2042.1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2610.1+(224.6-1067.1)+(-1.331151+(-0.114546--0.544221))+0-0-0</f>
        <v>1766.6985239999999</v>
      </c>
      <c r="G123" s="3">
        <f>2517.9+(251-1142.3)+(-2.568258+(-0.25602--1.165146))+0-0-0</f>
        <v>1624.9408680000001</v>
      </c>
      <c r="H123" s="3">
        <f>2386.7+(253.8-1089.3)+(-1.217217+(-0.129438--0.555543))+0-0-0</f>
        <v>1550.4088879999997</v>
      </c>
      <c r="I123" s="3">
        <f>2340.4+(269.2-1073)+(-7.161624+(-0.823752--3.28338))+0-0-0</f>
        <v>1531.8980040000001</v>
      </c>
      <c r="J123" s="3">
        <f>2349.3+(257-1115.6)+(-5.990715+(-0.65535--2.84478))+0-0-0</f>
        <v>1486.8987150000003</v>
      </c>
      <c r="K123" s="3">
        <f>2251.1+(263.8-1042.3)+(-8.036427+(-0.941766--3.721011))+0-0-0</f>
        <v>1467.3428179999999</v>
      </c>
      <c r="L123" s="3">
        <f>2251.1+(273.8-1082.9)+(-8.036427+(-0.977466--3.865953))+0-0-0</f>
        <v>1436.8520599999997</v>
      </c>
      <c r="M123" s="3">
        <f>2271.3+(264-1013.2)+(-1.158363+(-0.13464--0.516732))+0-0-0</f>
        <v>1521.3237290000002</v>
      </c>
      <c r="N123" s="3">
        <f>2413.7+(263.3-975.6)+(2.461974+(0.268566-0.995112))+0-1-0.00102000000000016</f>
        <v>1702.1344079999999</v>
      </c>
      <c r="O123" s="3">
        <f>2556.6+(252.1-966.4)+(2.607732+(0.257142-0.985728))+0-0-0</f>
        <v>1844.1791459999999</v>
      </c>
      <c r="P123" s="3">
        <f>2859.8+(215.8-1117.2)+(2.916996+(0.220116-1.139544))+0-0-0</f>
        <v>1960.3975680000001</v>
      </c>
      <c r="Q123" s="3">
        <f>2386.7+(125.6-575)+(0+(0-0))+0-2.5-0</f>
        <v>1934.7999999999997</v>
      </c>
      <c r="R123" s="3">
        <f>2090.2+(217.4-327.2)+(-3.198006+(-0.332622--0.500616))+0-0-0</f>
        <v>1977.3699879999999</v>
      </c>
      <c r="S123" s="3">
        <f>2436.3+(215.3-672.4)+(-6.212565+(-0.549015--1.71462))+0-0-0</f>
        <v>1974.1530400000004</v>
      </c>
      <c r="T123" s="3">
        <f>2700.4+(211-956.8)+(0+(0-0))+0-0-0</f>
        <v>1954.6000000000001</v>
      </c>
      <c r="U123" s="3">
        <f>2694.5+(180.2-931.6)+(-5.49678+(-0.367608--1.900464))+0-0-0</f>
        <v>1939.136076</v>
      </c>
      <c r="V123" s="3">
        <f>2758+(89.3-937.7)+(-2.81316+(-0.091086--0.956454))+0-0-0</f>
        <v>1907.652208</v>
      </c>
      <c r="W123" s="3">
        <f>2736.9+(176.5-1035.7)+(-4.187457+(-0.270045--1.584621))+0-0-0</f>
        <v>1874.827119</v>
      </c>
      <c r="X123" s="3">
        <f>2429.6+(224-849.4)+(-6.19548+(-0.5712--2.16597))+0-0-0</f>
        <v>1799.5992899999999</v>
      </c>
      <c r="Y123" s="3">
        <f>2282.3+(255.6-835.3)+(-2.327946+(-0.260712--0.852006))+0-0-0</f>
        <v>1700.8633480000003</v>
      </c>
      <c r="Z123" s="3">
        <f>2268.8+(267.3-785.2)+(0+(0-0))+0-0-0</f>
        <v>1750.9</v>
      </c>
      <c r="AA123" s="3">
        <f>2701+(291.4-1014.8)+(-6.88755+(-0.74307--2.58774))+0-0-0</f>
        <v>1972.5571199999999</v>
      </c>
      <c r="AB123" s="3">
        <f>2410+(316-765.8)+(-1.2291+(-0.16116--0.390558))+0-0-0</f>
        <v>1959.200298</v>
      </c>
      <c r="AC123" s="3">
        <f>2399.5+(311.8-809)+(-1.223745+(-0.159018--0.41259))+0-0-0</f>
        <v>1901.329827</v>
      </c>
      <c r="AD123">
        <v>1943.8999999999999</v>
      </c>
      <c r="AE123" s="3">
        <f>2750.6+(312.5-1105.4)+(0+(0-0))+0-0.8-0</f>
        <v>1956.8999999999999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2287.8+(224.3-750.2)+(-1.166778+(-0.114393--0.382602))+0-0-0</f>
        <v>1761.0014310000001</v>
      </c>
      <c r="G124" s="3">
        <f>2128.6+(264.3-766.5)+(2.171172+(0.269586-0.78183))+0-0-0</f>
        <v>1628.0589279999999</v>
      </c>
      <c r="H124" s="3">
        <f>1991.1+(271.3-720.9)+(2.030922+(0.276726-0.735318))+0-0-0</f>
        <v>1543.07233</v>
      </c>
      <c r="I124" s="3">
        <f>1826.3+(271.3-623.7)+(0.931413+(0.138363-0.318087))+0-0-0</f>
        <v>1474.6516889999998</v>
      </c>
      <c r="J124" s="3">
        <f>1825.6+(270.3-650.2)+(2.793168+(0.413559-0.994806))+0-0-0</f>
        <v>1447.9119209999999</v>
      </c>
      <c r="K124" s="3">
        <f>1808.8+(265-643.8)+(-1.844976+(-0.2703--0.656676))+0-0-0</f>
        <v>1428.5414000000001</v>
      </c>
      <c r="L124" s="3">
        <f>1707.7+(265.2-613.4)+(1.741854+(0.270504-0.625668))+0-0-0</f>
        <v>1360.88669</v>
      </c>
      <c r="M124" s="3">
        <f>1687.1+(258.8-584.2)+(-0.860421+(-0.131988--0.297942))+0-0-0</f>
        <v>1361.0055329999998</v>
      </c>
      <c r="N124" s="3">
        <f>1707.2+(261.6-498)+(2.612016+(0.400248-0.76194))+0-0-0</f>
        <v>1473.0503240000003</v>
      </c>
      <c r="O124" s="3">
        <f>1915.6+(243.9-596)+(0.976956+(0.124389-0.30396))+0-0-0</f>
        <v>1564.2973850000001</v>
      </c>
      <c r="P124" s="3">
        <f>2041.4+(258.8-628.5)+(3.123342+(0.395964-0.961605))+0-0-0</f>
        <v>1674.257701</v>
      </c>
      <c r="Q124" s="3">
        <f>2034.2+(263-555.4)+(2.074884+(0.26826-0.566508))+0-0-0</f>
        <v>1743.5766360000002</v>
      </c>
      <c r="R124" s="3">
        <f>2028.2+(262.5-539.9)+(-1.034382+(-0.133875--0.275349))+0-0-0</f>
        <v>1749.9070920000001</v>
      </c>
      <c r="S124" s="3">
        <f>2025.1+(265.1-534.7)+(-1.032801+(-0.135201--0.272697))+0-0-0</f>
        <v>1754.604695</v>
      </c>
      <c r="T124" s="3">
        <f>1996+(269.8-535.4)+(-3.05388+(-0.412794--0.819162))+0-0-0</f>
        <v>1727.7524880000001</v>
      </c>
      <c r="U124" s="3">
        <f>2012+(259.6-571.6)+(1.02612+(0.132396-0.291516))+0-0-0</f>
        <v>1700.867</v>
      </c>
      <c r="V124" s="3">
        <f>2014.4+(241.5-570.4)+(-1.027344+(-0.123165--0.290904))+0-0-0</f>
        <v>1684.6403949999999</v>
      </c>
      <c r="W124" s="3">
        <f>2010.6+(240.4-600.7)+(-5.12703+(-0.61302--1.531785))+0-0-0</f>
        <v>1646.0917349999997</v>
      </c>
      <c r="X124" s="3">
        <f>2014.3+(248.9-651.2)+(-3.081879+(-0.380817--0.996336))+0-0-0</f>
        <v>1609.5336400000001</v>
      </c>
      <c r="Y124" s="3">
        <f>2011.3+(237.6-698.9)+(-7.180341+(-0.848232--2.495073))+0--1.6-0.00571200000000002</f>
        <v>1546.060788</v>
      </c>
      <c r="Z124" s="3">
        <f>2030.6+(303.2-746.8)+(3.106818+(0.463896-1.142604))+0-0-0</f>
        <v>1589.4281100000001</v>
      </c>
      <c r="AA124" s="3">
        <f>2026.4+(319.6-569.5)+(-3.100392+(-0.488988--0.871335))+0-0-0</f>
        <v>1773.7819549999999</v>
      </c>
      <c r="AB124" s="3">
        <f>2030.5+(324.3-520)+(-2.07111+(-0.330786--0.5304))+0-0-0</f>
        <v>1832.928504</v>
      </c>
      <c r="AC124" s="3">
        <f>2040.9+(285.5-544)+(1.040859+(0.145605-0.27744))+0-0-0</f>
        <v>1783.3090240000001</v>
      </c>
      <c r="AD124">
        <v>1823</v>
      </c>
      <c r="AE124" s="3">
        <f>2032.6+(327.6-522.2)+(0+(0-0))+0-6.4-0</f>
        <v>1831.6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1991.6+(188.8-551.4)+(-2.031432+(-0.192576--0.562428))+0-0-0</f>
        <v>1627.33842</v>
      </c>
      <c r="G125" s="3">
        <f>1972.7+(223.1-697.8)+(-2.012154+(-0.227562--0.711756))+0-0-0</f>
        <v>1496.4720400000001</v>
      </c>
      <c r="H125" s="3">
        <f>1975.1+(222.7-766.5)+(-3.021903+(-0.340731--1.172745))+0-0-0</f>
        <v>1429.110111</v>
      </c>
      <c r="I125" s="3">
        <f>1972.9+(226.8-808)+(-3.018537+(-0.347004--1.23624))+0-0-0</f>
        <v>1389.5706990000001</v>
      </c>
      <c r="J125" s="3">
        <f>1973.1+(227.5-826.1)+(-4.025124+(-0.4641--1.685244))+0-0-0</f>
        <v>1371.6960200000001</v>
      </c>
      <c r="K125" s="3">
        <f>1967.1+(225.5-820)+(-4.012884+(-0.46002--1.6728))+0-0-0</f>
        <v>1369.799896</v>
      </c>
      <c r="L125" s="3">
        <f>1883.7+(178.7-709.3)+(-0.960687+(-0.091137--0.361743))+0-0-0</f>
        <v>1352.4099190000002</v>
      </c>
      <c r="M125" s="3">
        <f>1932.6+(198.6-690.7)+(0+(0-0))+0-0-0</f>
        <v>1440.5</v>
      </c>
      <c r="N125" s="3">
        <f>2130.7+(207.6-689.2)+(2.173314+(0.211752-0.702984))+0-0-0</f>
        <v>1650.7820819999999</v>
      </c>
      <c r="O125" s="3">
        <f>2404.3+(209-792.9)+(-1.226193+(-0.10659--0.404379))+0-0-0</f>
        <v>1819.4715960000001</v>
      </c>
      <c r="P125" s="3">
        <f>2531.2+(212.9-799.5)+(-1.290912+(-0.108579--0.407745))+0-0-0</f>
        <v>1943.608254</v>
      </c>
      <c r="Q125" s="3">
        <f>2672.3+(215.7-871.9)+(4.088619+(0.330021-1.334007))+0-0-0</f>
        <v>2019.1846330000001</v>
      </c>
      <c r="R125" s="3">
        <f>2737.7+(214-955.7)+(1.396227+(0.10914-0.487407))+0-0-0</f>
        <v>1997.0179599999997</v>
      </c>
      <c r="S125" s="3">
        <f>2924.4+(220-1107.2)+(0+(0-0))+0-0-0</f>
        <v>2037.2</v>
      </c>
      <c r="T125" s="3">
        <f>2975.9+(220.8-1166.8)+(-3.035418+(-0.225216--1.190136))+0-0-0</f>
        <v>2027.829502</v>
      </c>
      <c r="U125" s="3">
        <f>2939.7+(222.7-1168.5)+(-4.497741+(-0.340731--1.787805))+0-0-0</f>
        <v>1990.8493329999999</v>
      </c>
      <c r="V125" s="3">
        <f>2844.6+(215.8-1077.3)+(-5.802984+(-0.440232--2.197692))+0-0-0</f>
        <v>1979.0544759999998</v>
      </c>
      <c r="W125" s="3">
        <f>2806.6+(199.7-1090.4)+(-4.294098+(-0.305541--1.668312))+0-0-0</f>
        <v>1912.9686729999999</v>
      </c>
      <c r="X125" s="3">
        <f>2559.9+(192.4-946.9)+(-7.833294+(-0.588744--2.897514))+0-0-0</f>
        <v>1799.8754760000002</v>
      </c>
      <c r="Y125" s="3">
        <f>2337+(214.5-828.5)+(-1.19187+(-0.109395--0.422535))+0-0-0</f>
        <v>1722.1212700000001</v>
      </c>
      <c r="Z125" s="3">
        <f>2355.6+(302.8-907.2)+(-2.402712+(-0.308856--0.925344))+0-0-0</f>
        <v>1749.4137759999999</v>
      </c>
      <c r="AA125" s="3">
        <f>2391.9+(304.4-763.2)+(0+(0-0))+0-0-0</f>
        <v>1933.1</v>
      </c>
      <c r="AB125" s="3">
        <f>2401.3+(305.7-806.8)+(-3.673989+(-0.467721--1.234404))+0-0-0</f>
        <v>1897.2926940000002</v>
      </c>
      <c r="AC125" s="3">
        <f>2439.7+(301.4-899.9)+(0+(0-0))+0-0-0</f>
        <v>1841.1999999999998</v>
      </c>
      <c r="AD125">
        <v>1938.3999999999999</v>
      </c>
      <c r="AE125" s="3">
        <f>2428.7+(309.4-792.9)+(0+(0-0))+0-0-0</f>
        <v>1945.1999999999998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2294.1+(216.4-821.6)+(-2.339982+(-0.220728--0.838032))+0-1--0.00102000000000016</f>
        <v>1686.1783419999997</v>
      </c>
      <c r="G126" s="3">
        <f>2180.1+(220.9-851)+(-5.559255+(-0.563295--2.17005))+0-0-0</f>
        <v>1546.0474999999999</v>
      </c>
      <c r="H126" s="3">
        <f>2169.1+(234.7-919.9)+(-2.212482+(-0.239394--0.938298))+0-0-0</f>
        <v>1482.3864219999998</v>
      </c>
      <c r="I126" s="3">
        <f>1938.8+(250.2-742.3)+(-3.955152+(-0.510408--1.514292))+0-0-0</f>
        <v>1443.748732</v>
      </c>
      <c r="J126" s="3">
        <f>1901.4+(254.8-738)+(-2.909142+(-0.389844--1.12914))+0-0-0</f>
        <v>1416.030154</v>
      </c>
      <c r="K126" s="3">
        <f>1904+(269.7-754.9)+(-1.94208+(-0.275094--0.769998))+0-0-0</f>
        <v>1417.3528240000001</v>
      </c>
      <c r="L126" s="3">
        <f>1898.8+(269.2-776.3)+(-4.84194+(-0.68646--1.979565))+0-0-0</f>
        <v>1388.151165</v>
      </c>
      <c r="M126" s="3">
        <f>1981.1+(249-765.2)+(3.031083+(0.38097-1.170756))+0-0-0</f>
        <v>1467.1412969999999</v>
      </c>
      <c r="N126" s="3">
        <f>2163.3+(274.5-783.5)+(0+(0-0))+0-0-0</f>
        <v>1654.3000000000002</v>
      </c>
      <c r="O126" s="3">
        <f>2478.6+(274.3-947.2)+(1.264086+(0.139893-0.483072))+0-0-0</f>
        <v>1806.6209069999998</v>
      </c>
      <c r="P126" s="3">
        <f>2707.8+(274.2-1053.3)+(1.380978+(0.139842-0.537183))+0-0-0</f>
        <v>1929.6836370000003</v>
      </c>
      <c r="Q126" s="3">
        <f>2838+(273.6-1099.8)+(4.34214+(0.418608-1.682694))+0-0-0</f>
        <v>2014.8780540000002</v>
      </c>
      <c r="R126" s="3">
        <f>2927.7+(274.3-1148.7)+(0+(0-0))+0-0-0</f>
        <v>2053.2999999999997</v>
      </c>
      <c r="S126" s="3">
        <f>2917.5+(274.3-1171.4)+(0+(0-0))+0-0-0</f>
        <v>2020.3999999999999</v>
      </c>
      <c r="T126" s="3">
        <f>2932.5+(274-1210)+(4.486725+(0.41922-1.8513))+0-0-0</f>
        <v>1999.5546449999999</v>
      </c>
      <c r="U126" s="3">
        <f>2919.6+(274.3-1194.9)+(-2.977992+(-0.279786--1.218798))+0-0-0</f>
        <v>1996.9610199999997</v>
      </c>
      <c r="V126" s="3">
        <f>2906.4+(277.7-1178.9)+(-5.929056+(-0.566508--2.404956))+0-0-0</f>
        <v>2001.1093920000001</v>
      </c>
      <c r="W126" s="3">
        <f>2794.7+(282.4-1141)+(-8.551782+(-0.864144--3.49146))+0-0-0</f>
        <v>1930.175534</v>
      </c>
      <c r="X126" s="3">
        <f>2591.8+(282.8-1012.5)+(-7.930908+(-0.865368--3.09825))+0-0-0</f>
        <v>1856.4019740000001</v>
      </c>
      <c r="Y126" s="3">
        <f>2225.4+(283.8-780)+(-2.269908+(-0.289476--0.7956))+0-0-0</f>
        <v>1727.4362160000001</v>
      </c>
      <c r="Z126" s="3">
        <f>2254.4+(302.1-821.2)+(0+(0-0))+0-0-0</f>
        <v>1735.3000000000002</v>
      </c>
      <c r="AA126" s="3">
        <f>2473.3+(303.6-845.2)+(-7.568298+(-0.929016--2.586312))+0-0-0</f>
        <v>1925.7889980000002</v>
      </c>
      <c r="AB126" s="3">
        <f>2319.5+(306.9-722.1)+(-1.182945+(-0.156519--0.368271))+0-0-0</f>
        <v>1903.3288069999999</v>
      </c>
      <c r="AC126" s="3">
        <f>2218.9+(301.2-708.8)+(-1.131639+(-0.153612--0.361488))+0-0-0</f>
        <v>1810.3762370000002</v>
      </c>
      <c r="AD126">
        <v>1918.1999999999998</v>
      </c>
      <c r="AE126" s="3">
        <f>2384.7+(304.2-777.9)+(0+(0-0))+0-2.4-0</f>
        <v>1908.5999999999997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2230.9+(231.4-803.8)+(-3.413277+(-0.354042--1.229814))+0-0-0</f>
        <v>1655.962495</v>
      </c>
      <c r="G127" s="3">
        <f>2223.7+(244.9-949.7)+(-3.402261+(-0.374697--1.453041))+0-0-0</f>
        <v>1516.5760829999997</v>
      </c>
      <c r="H127" s="3">
        <f>2215.2+(258.2-1022.8)+(-2.259504+(-0.263364--1.043256))+0-0-0</f>
        <v>1449.1203879999998</v>
      </c>
      <c r="I127" s="3">
        <f>2217.3+(264.5-1059.4)+(-2.261646+(-0.26979--1.080588))+0-0-0</f>
        <v>1420.9491520000001</v>
      </c>
      <c r="J127" s="3">
        <f>2096.4+(270.8-965.2)+(2.138328+(0.276216-0.984504))+0-0-0</f>
        <v>1403.43004</v>
      </c>
      <c r="K127" s="3">
        <f>1961.9+(264.9-833.1)+(1.000569+(0.135099-0.424881))+0-0-0</f>
        <v>1394.410787</v>
      </c>
      <c r="L127" s="3">
        <f>1962.1+(247.5-845.5)+(-1.000671+(-0.126225--0.431205))+0-0-0</f>
        <v>1363.404309</v>
      </c>
      <c r="M127" s="3">
        <f>2124.4+(246.8-923.5)+(-1.083444+(-0.125868--0.470985))+0-0-0</f>
        <v>1446.961673</v>
      </c>
      <c r="N127" s="3">
        <f>2233.3+(255.3-834.6)+(0+(0-0))+0-0-0</f>
        <v>1654.0000000000002</v>
      </c>
      <c r="O127" s="3">
        <f>2322.2+(264.2-783.2)+(-2.368644+(-0.269484--0.798864))+0-0-0</f>
        <v>1801.3607359999999</v>
      </c>
      <c r="P127" s="3">
        <f>2455+(282.8-817.8)+(-1.25205+(-0.144228--0.417078))+0-0-0</f>
        <v>1919.0208</v>
      </c>
      <c r="Q127" s="3">
        <f>2595.3+(275.3-868.6)+(0+(0-0))+0-0-0</f>
        <v>2002.0000000000002</v>
      </c>
      <c r="R127" s="3">
        <f>2687+(255.8-908.9)+(-5.48148+(-0.521832--1.854156))+0-0-0</f>
        <v>2029.7508440000001</v>
      </c>
      <c r="S127" s="3">
        <f>2726+(255.4-971.1)+(-4.17078+(-0.390762--1.485783))+0-0-0</f>
        <v>2007.2242409999999</v>
      </c>
      <c r="T127" s="3">
        <f>2728.9+(255.7-989.2)+(1.391739+(0.130407-0.504492))+0-1.3-0.000662999999999868</f>
        <v>1995.1169910000001</v>
      </c>
      <c r="U127" s="3">
        <f>2721.3+(255.8-975.8)+(-2.775726+(-0.260916--0.995316))+0-0-0</f>
        <v>1999.2586740000002</v>
      </c>
      <c r="V127" s="3">
        <f>2695.3+(252.4-940.6)+(2.749206+(0.257448-0.959412))+0-1.3-0.00132600000000021</f>
        <v>2007.8459160000002</v>
      </c>
      <c r="W127" s="3">
        <f>2642.7+(247.1-927.1)+(-5.391108+(-0.504084--1.891284))+0-0-0</f>
        <v>1958.6960919999999</v>
      </c>
      <c r="X127" s="3">
        <f>2566.3+(246.1-911)+(-3.926439+(-0.376533--1.39383))+0-0-0</f>
        <v>1898.4908580000001</v>
      </c>
      <c r="Y127" s="3">
        <f>2304.7+(264-814)+(-2.350794+(-0.26928--0.83028))+0-1.8--0.00183600000000029</f>
        <v>1751.1120419999997</v>
      </c>
      <c r="Z127" s="3">
        <f>2344.9+(305.8-861.4)+(0+(0-0))+0-2.2-0</f>
        <v>1787.1000000000001</v>
      </c>
      <c r="AA127" s="3">
        <f>2458.6+(308.4-760.1)+(-2.507772+(-0.314568--0.775302))+0-1.9--0.0019380000000003</f>
        <v>2002.9549</v>
      </c>
      <c r="AB127" s="3">
        <f>2483.9+(309.5-801.7)+(-2.533578+(-0.31569--0.817734))+0-2.6--0.00265200000000041</f>
        <v>1987.0711180000001</v>
      </c>
      <c r="AC127" s="3">
        <f>2468.4+(306.4-834.1)+(-1.258884+(-0.156264--0.425391))+0-2.2--0.00112199999999978</f>
        <v>1937.5113649999998</v>
      </c>
      <c r="AD127">
        <v>2016.4</v>
      </c>
      <c r="AE127" s="3">
        <f>2515.7+(312.2-798.1)+(0+(0-0))+0-1.6-0</f>
        <v>2028.1999999999998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2249.3+(197-682.7)+(0+(0-0))+0-2.4-0</f>
        <v>1761.2</v>
      </c>
      <c r="G128" s="3">
        <f>1986.3+(224.6-605.2)+(1.013013+(0.114546-0.308652))+0-2.5-0.00127499999999975</f>
        <v>1604.0176319999998</v>
      </c>
      <c r="H128" s="3">
        <f>1841.7+(230.2-564.1)+(-3.757068+(-0.469608--1.150764))+0-1.8--0.00367199999999992</f>
        <v>1502.92776</v>
      </c>
      <c r="I128" s="3">
        <f>1849.4+(215.9-601.5)+(1.886388+(0.220218-0.61353))+0-0-0</f>
        <v>1465.2930760000002</v>
      </c>
      <c r="J128" s="3">
        <f>1846.7+(208-606.7)+(-3.767268+(-0.42432--1.237668))+0-0-0</f>
        <v>1445.0460800000001</v>
      </c>
      <c r="K128" s="3">
        <f>1821.2+(212.9-594.4)+(-2.786436+(-0.325737--0.909432))+0-0-0</f>
        <v>1437.497259</v>
      </c>
      <c r="L128" s="3">
        <f>1666.2+(223.4-449)+(-4.24881+(-0.56967--1.14495))+0-0-0</f>
        <v>1436.9264700000001</v>
      </c>
      <c r="M128" s="3">
        <f>1891.4+(218.3-604.7)+(0+(0-0))+0-1.3-0</f>
        <v>1503.7</v>
      </c>
      <c r="N128" s="3">
        <f>2222.2+(225.6-759.7)+(5.66661+(0.57528-1.937235))+0-2-0.00509999999999971</f>
        <v>1690.3995549999997</v>
      </c>
      <c r="O128" s="3">
        <f>2433+(226.6-804.4)+(0+(0-0))+0-2.8-0</f>
        <v>1852.4</v>
      </c>
      <c r="P128" s="3">
        <f>2569.9+(226.1-809.8)+(3.931947+(0.345933-1.238994))+0-2.9-0.00443700000000017</f>
        <v>1986.3344490000002</v>
      </c>
      <c r="Q128" s="3">
        <f>2664.4+(221.2-811.5)+(4.076532+(0.338436-1.241595))+0-2.8-0.00428400000000016</f>
        <v>2074.4690890000002</v>
      </c>
      <c r="R128" s="3">
        <f>2678.9+(221-787.7)+(2.732478+(0.22542-0.803454))+0-1.4-0.00142800000000022</f>
        <v>2112.9530159999995</v>
      </c>
      <c r="S128" s="3">
        <f>2676.8+(162-755.4)+(-1.365168+(-0.08262--0.385254))+0-1--0.000509999999999899</f>
        <v>2081.3379759999998</v>
      </c>
      <c r="T128" s="3">
        <f>2696.7+(137.9-779.2)+(1.375317+(0.070329-0.397392))+0-0-0</f>
        <v>2056.4482539999995</v>
      </c>
      <c r="U128" s="3">
        <f>2771.4+(135.5-838.9)+(0+(0-0))+0-2.7-0</f>
        <v>2065.3000000000002</v>
      </c>
      <c r="V128" s="3">
        <f>2873.7+(128.1-931.5)+(-7.327935+(-0.326655--2.375325))+0-2.4--0.00611999999999965</f>
        <v>2062.6268549999995</v>
      </c>
      <c r="W128" s="3">
        <f>2880.1+(125.9-968.3)+(-7.344255+(-0.321045--2.469165))+0-2.1--0.0053549999999997</f>
        <v>2030.40922</v>
      </c>
      <c r="X128" s="3">
        <f>2819.3+(122.9-955.5)+(-4.313529+(-0.188037--1.461915))+0-1.4--0.00214200000000008</f>
        <v>1982.2624910000002</v>
      </c>
      <c r="Y128" s="3">
        <f>2451.6+(155.9-768.6)+(1.250316+(0.079509-0.391986))+0-2.3-0.00117299999999977</f>
        <v>1837.5366659999997</v>
      </c>
      <c r="Z128" s="3">
        <f>2518.7+(298.9-966.2)+(0+(0-0))+0-2.2-0</f>
        <v>1849.1999999999996</v>
      </c>
      <c r="AA128" s="3">
        <f>2579.4+(295.4-772.6)+(-2.630988+(-0.301308--0.788052))+0-1.7--0.00173400000000027</f>
        <v>2098.3574899999999</v>
      </c>
      <c r="AB128" s="3">
        <f>2576+(300.6-772.1)+(-3.94128+(-0.459918--1.181313))+0-2.3--0.00351900000000013</f>
        <v>2098.9836339999997</v>
      </c>
      <c r="AC128" s="3">
        <f>2609.9+(291.5-846.6)+(-1.331049+(-0.148665--0.431766))+0-2.2--0.00112199999999978</f>
        <v>2051.5531740000006</v>
      </c>
      <c r="AD128">
        <v>2117</v>
      </c>
      <c r="AE128" s="3">
        <f>2574.3+(294.9-736.4)+(0+(0-0))+0-0.8-0</f>
        <v>2132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2531.4+(155.1-778.1)+(-3.873042+(-0.237303--1.190493))+0-2.4--0.00367200000000014</f>
        <v>1903.0838200000001</v>
      </c>
      <c r="G129" s="3">
        <f>2244+(177.5-708.1)+(0+(0-0))+0-1.6-0</f>
        <v>1711.8000000000002</v>
      </c>
      <c r="H129" s="3">
        <f>2235.4+(187.3-797.5)+(-2.280108+(-0.191046--0.81345))+0-1.5--0.00153000000000024</f>
        <v>1622.0438260000001</v>
      </c>
      <c r="I129" s="3">
        <f>2168.3+(201.6-802.4)+(2.211666+(0.205632-0.818448))+0-2.5-0.0025500000000004</f>
        <v>1566.5963000000004</v>
      </c>
      <c r="J129" s="3">
        <f>2162+(210.6-832.6)+(0+(0-0))+0-2.6-0</f>
        <v>1537.4</v>
      </c>
      <c r="K129" s="3">
        <f>2149.7+(213.4-841.7)+(-3.289041+(-0.326502--1.287801))+0-2.1--0.00321300000000012</f>
        <v>1516.9754709999997</v>
      </c>
      <c r="L129" s="3">
        <f>2082.7+(212.4-819.8)+(-3.186531+(-0.324972--1.254294))+0-1.8--0.0027540000000001</f>
        <v>1471.2455449999998</v>
      </c>
      <c r="M129" s="3">
        <f>2189.7+(238.5-873.8)+(3.350241+(0.364905-1.336914))+0-0-0</f>
        <v>1556.7782319999999</v>
      </c>
      <c r="N129" s="3">
        <f>2431+(254.8-924.9)+(1.23981+(0.129948-0.471699))+0-0-0</f>
        <v>1761.7980590000002</v>
      </c>
      <c r="O129" s="3">
        <f>2723.3+(255.4-1031.5)+(-1.388883+(-0.130254--0.526065))+0-0-0</f>
        <v>1946.2069280000003</v>
      </c>
      <c r="P129" s="3">
        <f>2989.6+(254.9-1174.4)+(3.049392+(0.259998-1.197888))+0-0-0</f>
        <v>2072.2115020000001</v>
      </c>
      <c r="Q129" s="3">
        <f>3006.3+(254-1114.4)+(7.666065+(0.6477-2.84172))+0-0-0</f>
        <v>2151.3720450000001</v>
      </c>
      <c r="R129" s="3">
        <f>3009.3+(242.6-1065.7)+(-1.534743+(-0.123726--0.543507))+0-0-0</f>
        <v>2185.0850380000002</v>
      </c>
      <c r="S129" s="3">
        <f>2974.1+(207.7-1016.3)+(1.516791+(0.105927-0.518313))+0-0-0</f>
        <v>2166.604405</v>
      </c>
      <c r="T129" s="3">
        <f>2955+(233-1045.4)+(0+(0-0))+0-0-0</f>
        <v>2142.6</v>
      </c>
      <c r="U129" s="3">
        <f>2918.4+(239.8-1003.7)+(-1.488384+(-0.122298--0.511887))+0-0-0</f>
        <v>2153.4012050000001</v>
      </c>
      <c r="V129" s="3">
        <f>2893.5+(240.1-981.2)+(-2.95137+(-0.244902--1.000824))+0-0-0</f>
        <v>2150.2045520000001</v>
      </c>
      <c r="W129" s="3">
        <f>2863.3+(234.1-985.8)+(-4.380849+(-0.358173--1.508274))+0-0-0</f>
        <v>2108.3692520000004</v>
      </c>
      <c r="X129" s="3">
        <f>2789+(190.7-955.9)+(-9.95673+(-0.680799--3.412563))+0-1.3--0.00464100000000002</f>
        <v>2015.279675</v>
      </c>
      <c r="Y129" s="3">
        <f>2475.8+(179.1-783.4)+(-1.262658+(-0.091341--0.399534))+0-3.1--0.00158099999999969</f>
        <v>1867.4471160000003</v>
      </c>
      <c r="Z129" s="3">
        <f>2497.2+(300.1-927.7)+(-3.820716+(-0.459153--1.419381))+0-2.2--0.00336600000000013</f>
        <v>1864.5428779999997</v>
      </c>
      <c r="AA129" s="3">
        <f>2621.2+(322-823)+(-9.357684+(-1.14954--2.93811))+0-3.1--0.011067</f>
        <v>2109.5419529999999</v>
      </c>
      <c r="AB129" s="3">
        <f>2590.2+(321.4-810.1)+(-3.963006+(-0.491742--1.239453))+0-3.1--0.00474300000000018</f>
        <v>2095.1894480000001</v>
      </c>
      <c r="AC129" s="3">
        <f>2548.6+(322.2-822.2)+(-2.599572+(-0.328644--0.838644))+0-3.7--0.00377400000000059</f>
        <v>2042.8142019999998</v>
      </c>
      <c r="AD129">
        <v>2094.7000000000007</v>
      </c>
      <c r="AE129" s="3">
        <f>2631.3+(317.3-827.9)+(0+(0-0))+0-3.2-0</f>
        <v>2117.5000000000005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2297.2+(174.4-606.2)+(-1.171572+(-0.088944--0.309162))+0-3.4--0.00173399999999966</f>
        <v>1861.0503799999994</v>
      </c>
      <c r="G130" s="3">
        <f>2257.7+(174.5-708)+(-3.454281+(-0.266985--1.08324))+0-3.4--0.0052020000000002</f>
        <v>1718.1671759999997</v>
      </c>
      <c r="H130" s="3">
        <f>1969.4+(206.2-551)+(-2.008788+(-0.210324--0.56202))+0-2.7--0.00275400000000043</f>
        <v>1620.2456620000003</v>
      </c>
      <c r="I130" s="3">
        <f>1876.8+(222.4-520.1)+(1.914336+(0.226848-0.530502))+0-3.5-0.00357000000000056</f>
        <v>1577.2071119999998</v>
      </c>
      <c r="J130" s="3">
        <f>1756.7+(224.9-439.6)+(-1.791834+(-0.229398--0.448392))+0-4.6--0.00469200000000073</f>
        <v>1535.831852</v>
      </c>
      <c r="K130" s="3">
        <f>1776.7+(206.7-448.8)+(0.906117+(0.105417-0.228888))+0-3.4-0.00173399999999966</f>
        <v>1531.980912</v>
      </c>
      <c r="L130" s="3">
        <f>1773.5+(196.2-459.8)+(-5.42691+(-0.600372--1.406988))+0-3.1--0.00948600000000036</f>
        <v>1502.189192</v>
      </c>
      <c r="M130" s="3">
        <f>1780+(222.2-433.2)+(0+(0-0))+0-2.9-0</f>
        <v>1566.1</v>
      </c>
      <c r="N130" s="3">
        <f>1791.9+(242.6-284.4)+(0+(0-0))+0-4.5-0</f>
        <v>1745.6000000000001</v>
      </c>
      <c r="O130" s="3">
        <f>1956.3+(250.8-298)+(-0.997713+(-0.127908--0.15198))+0-5.5--0.00280499999999944</f>
        <v>1902.6291639999999</v>
      </c>
      <c r="P130" s="3">
        <f>2230+(240.4-429.4)+(-1.1373+(-0.122604--0.218994))+0-5--0.00254999999999949</f>
        <v>2034.96164</v>
      </c>
      <c r="Q130" s="3">
        <f>2342.8+(240-459.6)+(-2.389656+(-0.2448--0.468792))+0-5.7--0.00581400000000091</f>
        <v>2115.3401500000004</v>
      </c>
      <c r="R130" s="3">
        <f>2396.7+(235.6-502)+(-4.889268+(-0.480624--1.02408))+0-4.2--0.00856799999999982</f>
        <v>2121.7627560000001</v>
      </c>
      <c r="S130" s="3">
        <f>2512.5+(227.9-630.8)+(-6.406875+(-0.581145--1.60854))+0-5.2--0.0132599999999992</f>
        <v>2099.0337800000002</v>
      </c>
      <c r="T130" s="3">
        <f>2428.3+(208.3-552.1)+(-3.715299+(-0.318699--0.844713))+0-12.5--0.0191250000000007</f>
        <v>2068.8298399999999</v>
      </c>
      <c r="U130" s="3">
        <f>2432.8+(204.9-551.8)+(0+(0-0))+0-18.8-0</f>
        <v>2067.1</v>
      </c>
      <c r="V130" s="3">
        <f>2373.1+(210.4-501)+(-1.210281+(-0.107304--0.25551))+0-19.5--0.00994499999999802</f>
        <v>2061.94787</v>
      </c>
      <c r="W130" s="3">
        <f>2157.4+(224.9-365)+(-8.802192+(-0.917592--1.4892))+0-21.6--0.0881279999999981</f>
        <v>1987.5575440000005</v>
      </c>
      <c r="X130" s="3">
        <f>2024.5+(226.9-330.1)+(-6.19497+(-0.694314--1.010106))+0-21.9--0.0670140000000025</f>
        <v>1893.5878359999999</v>
      </c>
      <c r="Y130" s="3">
        <f>1867+(230.7-293.8)+(-4.76085+(-0.588285--0.74919))+0-22.6--0.0576299999999967</f>
        <v>1776.7576850000003</v>
      </c>
      <c r="Z130" s="3">
        <f>2002.5+(317.2-471.5)+(1.021275+(0.161772-0.240465))+0-22.8-0.0116279999999977</f>
        <v>1826.330954</v>
      </c>
      <c r="AA130" s="3">
        <f>2112.2+(341.2-379.6)+(-5.38611+(-0.87006--0.96798))+0-22.1--0.0563549999999968</f>
        <v>2046.4681649999995</v>
      </c>
      <c r="AB130" s="3">
        <f>1995.1+(350.1-302.4)+(-5.087505+(-0.892755--0.77112))+0-19.8--0.0504899999999971</f>
        <v>2017.8413500000001</v>
      </c>
      <c r="AC130" s="3">
        <f>1935.2+(343.4-285.6)+(-0.986952+(-0.175134--0.145656))+0-20.4--0.0104039999999979</f>
        <v>1971.5939740000001</v>
      </c>
      <c r="AD130">
        <v>2016.0000000000002</v>
      </c>
      <c r="AE130" s="3">
        <f>2104.3+(338.6-377.7)+(0+(0-0))+0-24.8-0</f>
        <v>2040.4000000000003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1811.5+(212.8-184)+(-0.923865+(-0.108528--0.09384))+0-19.5--0.00994499999999802</f>
        <v>1819.871392</v>
      </c>
      <c r="G131" s="3">
        <f>1724.5+(205.8-230.5)+(-1.75899+(-0.209916--0.23511))+0-19.8--0.0201960000000032</f>
        <v>1678.2864</v>
      </c>
      <c r="H131" s="3">
        <f>1718.3+(209.4-323.7)+(0+(0-0))+0-19.5-0</f>
        <v>1584.5</v>
      </c>
      <c r="I131" s="3">
        <f>1713.1+(220-379.4)+(-3.494724+(-0.4488--0.773976))+0-18.9--0.0385559999999992</f>
        <v>1531.6690079999996</v>
      </c>
      <c r="J131" s="3">
        <f>1713.7+(221.1-396.2)+(-4.369935+(-0.563805--1.01031))+0-19.6--0.0499799999999972</f>
        <v>1515.1265500000002</v>
      </c>
      <c r="K131" s="3">
        <f>1648+(226.6-352.3)+(-4.2024+(-0.57783--0.898365))+0-20.8--0.053039999999997</f>
        <v>1497.6711749999999</v>
      </c>
      <c r="L131" s="3">
        <f>1562.6+(224.6-365.9)+(-3.98463+(-0.57273--0.933045))+0-18.8--0.0479399999999973</f>
        <v>1398.9236249999999</v>
      </c>
      <c r="M131" s="3">
        <f>1569+(221.4-388.1)+(-2.40057+(-0.338742--0.593793))+0-20.2--0.0309060000000012</f>
        <v>1379.9853869999999</v>
      </c>
      <c r="N131" s="3">
        <f>1570.8+(244.2-319.4)+(-1.602216+(-0.249084--0.325788))+0-21.4--0.0218280000000034</f>
        <v>1472.6963159999998</v>
      </c>
      <c r="O131" s="3">
        <f>1726.1+(237.7-364.9)+(-0.880311+(-0.121227--0.186099))+0-22.7--0.0115769999999977</f>
        <v>1575.3961379999998</v>
      </c>
      <c r="P131" s="3">
        <f>1721.5+(264-267.8)+(0.877965+(0.13464-0.136578))+0-27.2-0.0138719999999972</f>
        <v>1691.362155</v>
      </c>
      <c r="Q131" s="3">
        <f>1750.6+(270.4-238.2)+(0+(0-0))+0-26.6-0</f>
        <v>1756.2</v>
      </c>
      <c r="R131" s="3">
        <f>1849.9+(256.1-291.5)+(0.943449+(0.130611-0.148665))+0-27.7-0.0141269999999972</f>
        <v>1787.711268</v>
      </c>
      <c r="S131" s="3">
        <f>1879.4+(253.5-309.1)+(2.875482+(0.387855-0.472923))+0-26.9-0.0411570000000016</f>
        <v>1799.649257</v>
      </c>
      <c r="T131" s="3">
        <f>1895.1+(242.4-336.9)+(-0.966501+(-0.123624--0.171819))+0-27.7--0.0141269999999972</f>
        <v>1771.9958209999998</v>
      </c>
      <c r="U131" s="3">
        <f>2029.9+(231.3-448)+(-4.140996+(-0.471852--0.91392))+0-29.6--0.0603839999999987</f>
        <v>1779.961456</v>
      </c>
      <c r="V131" s="3">
        <f>2063.2+(217.6-473)+(-1.052232+(-0.110976--0.24123))+0-29.3--0.014942999999997</f>
        <v>1777.5929649999996</v>
      </c>
      <c r="W131" s="3">
        <f>2053.3+(221.7-462.3)+(-5.235915+(-0.565335--1.178865))+0-28.5--0.0726749999999959</f>
        <v>1779.6502900000003</v>
      </c>
      <c r="X131" s="3">
        <f>2008.9+(222.9-465.1)+(-2.049078+(-0.227358--0.474402))+0-26.6--0.0271320000000042</f>
        <v>1738.325098</v>
      </c>
      <c r="Y131" s="3">
        <f>2004.6+(219.1-546.8)+(-4.089384+(-0.446964--1.115472))+0-26.4--0.0538559999999988</f>
        <v>1647.1329800000001</v>
      </c>
      <c r="Z131" s="3">
        <f>2094.2+(312.2-680.4)+(-4.272168+(-0.636888--1.388016))+0-28.3--0.0577319999999988</f>
        <v>1694.2366919999997</v>
      </c>
      <c r="AA131" s="3">
        <f>2238.7+(331.3-598.1)+(-3.425211+(-0.506889--0.915093))+0-28--0.0428400000000016</f>
        <v>1940.925833</v>
      </c>
      <c r="AB131" s="3">
        <f>2282.6+(311.1-601.7)+(-3.492378+(-0.475983--0.920601))+0-15.7--0.0240210000000009</f>
        <v>1973.276261</v>
      </c>
      <c r="AC131" s="3">
        <f>2289.6+(263.6-600.6)+(0+(0-0))+0-7.5-0</f>
        <v>1945.1</v>
      </c>
      <c r="AD131">
        <v>1962.1999999999998</v>
      </c>
      <c r="AE131" s="3">
        <f>2286.7+(323.1-606.2)+(0+(0-0))+0-16-0</f>
        <v>1987.6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2271.3+(145.2-616.4)+(-4.633452+(-0.296208--1.257456))+0-11.1--0.0226439999999995</f>
        <v>1785.3504400000002</v>
      </c>
      <c r="G132" s="3">
        <f>2223.7+(162.6-708.9)+(-3.402261+(-0.248778--1.084617))+0-25.4--0.0388620000000015</f>
        <v>1649.4724399999998</v>
      </c>
      <c r="H132" s="3">
        <f>2228.8+(179.7-816.4)+(0+(0-0))+0-25.9-0</f>
        <v>1566.2</v>
      </c>
      <c r="I132" s="3">
        <f>2227.2+(179.8-851.2)+(-4.543488+(-0.366792--1.736448))+0-27--0.0550799999999988</f>
        <v>1525.6812479999999</v>
      </c>
      <c r="J132" s="3">
        <f>2223.5+(186.9-881.8)+(-4.53594+(-0.381276--1.798872))+0-26.6--0.0542639999999988</f>
        <v>1498.9359200000001</v>
      </c>
      <c r="K132" s="3">
        <f>2209.8+(191.2-880.2)+(-5.63499+(-0.48756--2.24451))+0-26.4--0.0673199999999962</f>
        <v>1490.5892800000001</v>
      </c>
      <c r="L132" s="3">
        <f>2130.7+(203.7-846.2)+(-5.433285+(-0.519435--2.15781))+0-25.9--0.0660449999999962</f>
        <v>1458.5711349999997</v>
      </c>
      <c r="M132" s="3">
        <f>2146.9+(219.2-800.2)+(3.284757+(0.335376-1.224306))+0-26.6-0.0406980000000015</f>
        <v>1541.6551290000002</v>
      </c>
      <c r="N132" s="3">
        <f>2194.2+(253.4-667)+(-1.119042+(-0.129234--0.34017))+0-28.1--0.0143309999999971</f>
        <v>1751.606225</v>
      </c>
      <c r="O132" s="3">
        <f>2459+(262.2-768.6)+(0+(0-0))+0-28.6-0</f>
        <v>1924</v>
      </c>
      <c r="P132" s="3">
        <f>2730.4+(249.2-872.9)+(2.785008+(0.254184-0.890358))+0-29.1-0.0296820000000046</f>
        <v>2079.7191520000001</v>
      </c>
      <c r="Q132" s="3">
        <f>2757.3+(232.1-797.8)+(2.812446+(0.236742-0.813756))+0-29.5-0.0300900000000047</f>
        <v>2164.3053420000001</v>
      </c>
      <c r="R132" s="3">
        <f>2761+(245.5-809.7)+(2.81622+(0.25041-0.825894))+0-16.5-0.0168300000000026</f>
        <v>2182.5239060000004</v>
      </c>
      <c r="S132" s="3">
        <f>2806.9+(328.4-929.2)+(-1.431519+(-0.167484--0.473892))+0-20.7--0.0105569999999979</f>
        <v>2184.2854460000003</v>
      </c>
      <c r="T132" s="3">
        <f>2972.1+(316.4-1103.3)+(-3.031542+(-0.322728--1.125366))+0-26.3--0.0268260000000042</f>
        <v>2156.6979219999994</v>
      </c>
      <c r="U132" s="3">
        <f>2981.7+(318.6-1092.8)+(4.562001+(0.487458-1.671984))+0-28.4-0.0434520000000016</f>
        <v>2182.4340229999998</v>
      </c>
      <c r="V132" s="3">
        <f>2970.2+(221-998.3)+(0+(0-0))+0-25.1-0</f>
        <v>2167.7999999999997</v>
      </c>
      <c r="W132" s="3">
        <f>2949.3+(214.2-1013.8)+(1.504143+(0.109242-0.517038))+0-27.7-0.0141269999999972</f>
        <v>2123.0822200000007</v>
      </c>
      <c r="X132" s="3">
        <f>2825.5+(230.7-968)+(-4.323015+(-0.352971--1.48104))+0-27.6--0.0422280000000016</f>
        <v>2057.4472819999996</v>
      </c>
      <c r="Y132" s="3">
        <f>2707.6+(234.5-1003.2)+(-2.761752+(-0.23919--1.023264))+0-26.9--0.0274380000000043</f>
        <v>1910.0497599999999</v>
      </c>
      <c r="Z132" s="3">
        <f>2768.8+(339.8-1136.4)+(1.412088+(0.173298-0.579564))+0-26.3-0.0134129999999973</f>
        <v>1946.8924090000003</v>
      </c>
      <c r="AA132" s="3">
        <f>2903.2+(361.9-1043)+(-2.961264+(-0.369138--1.06386))+0-28--0.0285600000000045</f>
        <v>2191.8620180000003</v>
      </c>
      <c r="AB132" s="3">
        <f>2902.7+(357-1054.3)+(-2.960754+(-0.36414--1.075386))+0-26.6--0.0271320000000042</f>
        <v>2176.577624</v>
      </c>
      <c r="AC132" s="3">
        <f>2896.4+(339.7-1074.7)+(2.954328+(0.346494-1.096194))+0-25.5-0.0260100000000041</f>
        <v>2138.078618</v>
      </c>
      <c r="AD132">
        <v>2130.1</v>
      </c>
      <c r="AE132" s="3">
        <f>2884.1+(362.8-1035.4)+(0+(0-0))+0-28-0</f>
        <v>2183.5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2807.6+(177.4-1004)+(-7.15938+(-0.45237--2.5602))+0-25.3--0.0645149999999963</f>
        <v>1950.7129650000002</v>
      </c>
      <c r="G133" s="3">
        <f>2800.9+(188.1-1161.9)+(-4.285377+(-0.287793--1.777707))+0-26.3--0.0402390000000015</f>
        <v>1798.044776</v>
      </c>
      <c r="H133" s="3">
        <f>2806.5+(204-1266.8)+(-7.156575+(-0.5202--3.23034))+0-25.8--0.0657899999999963</f>
        <v>1713.5193550000001</v>
      </c>
      <c r="I133" s="3">
        <f>2766.8+(199.7-1258.2)+(-5.644272+(-0.407388--2.566728))+0-26.6--0.0542639999999988</f>
        <v>1678.2693320000003</v>
      </c>
      <c r="J133" s="3">
        <f>2503.6+(203.3-1027.2)+(-3.830508+(-0.311049--1.571616))+0-26.8--0.0410040000000016</f>
        <v>1650.3710629999998</v>
      </c>
      <c r="K133" s="3">
        <f>2441.9+(210.4-1006.1)+(-3.736107+(-0.321912--1.539333))+0-26.3--0.0402390000000015</f>
        <v>1617.4215530000001</v>
      </c>
      <c r="L133" s="3">
        <f>2220.8+(212.7-824.9)+(-2.265216+(-0.216954--0.841398))+0-26.1--0.0266220000000042</f>
        <v>1580.8858500000003</v>
      </c>
      <c r="M133" s="3">
        <f>2276+(216.2-824.5)+(2.32152+(0.220524-0.84099))+0-27.4-0.0279480000000044</f>
        <v>1641.9731060000001</v>
      </c>
      <c r="N133" s="3">
        <f>2455.1+(228.6-818.7)+(-5.008404+(-0.466344--1.670148))+0-28.7--0.0585479999999987</f>
        <v>1832.553948</v>
      </c>
      <c r="O133" s="3">
        <f>2680.9+(234.5-904.8)+(1.367259+(0.119595-0.461448))+0-29.1-0.014840999999997</f>
        <v>1982.5105650000003</v>
      </c>
      <c r="P133" s="3">
        <f>2951.7+(246.9-1021)+(3.010734+(0.251838-1.04142))+0-29-0.0295800000000046</f>
        <v>2150.7915720000001</v>
      </c>
      <c r="Q133" s="3">
        <f>2942.9+(245.6-944.2)+(4.502637+(0.375768-1.444626))+0-28-0.0428400000000016</f>
        <v>2219.6909390000001</v>
      </c>
      <c r="R133" s="3">
        <f>2919.5+(257.8-873.4)+(1.488945+(0.131478-0.445434))+0-27.1-0.0138209999999973</f>
        <v>2277.9611680000003</v>
      </c>
      <c r="S133" s="3">
        <f>2884.1+(293.6-895.1)+(-1.470891+(-0.149736--0.456501))+0-27.1--0.0138209999999973</f>
        <v>2254.3496949999999</v>
      </c>
      <c r="T133" s="3">
        <f>2867.5+(308.7-895.7)+(0+(0-0))+0-27.7-0</f>
        <v>2252.8000000000002</v>
      </c>
      <c r="U133" s="3">
        <f>2834.4+(312.1-858.3)+(-4.336632+(-0.477513--1.313199))+0-27.5--0.0420750000000016</f>
        <v>2257.241129</v>
      </c>
      <c r="V133" s="3">
        <f>2824.7+(306.7-862.2)+(-2.881194+(-0.312834--0.879444))+0-29.2--0.0297840000000047</f>
        <v>2237.7151999999996</v>
      </c>
      <c r="W133" s="3">
        <f>2797.2+(302.5-885.7)+(-1.426572+(-0.154275--0.451707))+0-26.9--0.0137189999999973</f>
        <v>2185.9845789999999</v>
      </c>
      <c r="X133" s="3">
        <f>2766+(296.1-942.6)+(-2.82132+(-0.302022--0.961452))+0-26.3--0.0268260000000042</f>
        <v>2091.0649359999998</v>
      </c>
      <c r="Y133" s="3">
        <f>2537.7+(298-828.9)+(2.588454+(0.30396-0.845478))+0-28.1-0.0286620000000045</f>
        <v>1980.7182739999998</v>
      </c>
      <c r="Z133" s="3">
        <f>2767.6+(308-1018.2)+(-1.411476+(-0.15708--0.519282))+0-28.7--0.0146369999999971</f>
        <v>2027.6653629999996</v>
      </c>
      <c r="AA133" s="3">
        <f>2890.8+(320.3-910.6)+(-7.37154+(-0.816765--2.32203))+0-28.3--0.0721649999999959</f>
        <v>2266.40589</v>
      </c>
      <c r="AB133" s="3">
        <f>2848+(316.3-886.6)+(1.45248+(0.161313-0.452166))+0-26.7-0.0136169999999973</f>
        <v>2252.1480099999999</v>
      </c>
      <c r="AC133" s="3">
        <f>2851.6+(316.5-928.5)+(-1.454316+(-0.161415--0.473535))+0-25.6--0.0130559999999974</f>
        <v>2212.87086</v>
      </c>
      <c r="AD133">
        <v>2237.3000000000002</v>
      </c>
      <c r="AE133" s="3">
        <f>2899.1+(320.6-917.2)+(0+(0-0))+0-25.6-0</f>
        <v>2276.9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2860.2+(167.7-958.3)+(-7.29351+(-0.427635--2.443665))+0-26--0.0662999999999962</f>
        <v>2038.3888199999997</v>
      </c>
      <c r="G134" s="3">
        <f>2624.8+(176.9-904.1)+(-5.354592+(-0.360876--1.844364))+0-26.3--0.0536519999999989</f>
        <v>1867.4825480000002</v>
      </c>
      <c r="H134" s="3">
        <f>2421+(206.5-838.2)+(-8.64297+(-0.737205--2.992374))+0-25.8--0.0921060000000004</f>
        <v>1757.204305</v>
      </c>
      <c r="I134" s="3">
        <f>2348.6+(215.2-792.8)+(-1.197786+(-0.109752--0.404328))+0-25.5--0.0130049999999974</f>
        <v>1744.6097950000001</v>
      </c>
      <c r="J134" s="3">
        <f>2336.5+(215.7-743.4)+(-1.191615+(-0.110007--0.379134))+0-25.7--0.0131069999999974</f>
        <v>1782.190619</v>
      </c>
      <c r="K134" s="3">
        <f>2229.4+(219.8-728.9)+(-1.136994+(-0.112098--0.371739))+0-27--0.0137699999999973</f>
        <v>1692.4364170000001</v>
      </c>
      <c r="L134" s="3">
        <f>2243.7+(221.5-788.7)+(-2.288574+(-0.22593--0.804474))+0-27.1--0.0276420000000043</f>
        <v>1647.7176119999999</v>
      </c>
      <c r="M134" s="3">
        <f>2257.6+(233.9-757.3)+(3.454128+(0.357867-1.158669))+0-28.2-0.0431460000000016</f>
        <v>1708.6101799999999</v>
      </c>
      <c r="N134" s="3">
        <f>2437.6+(242.5-762)+(-1.243176+(-0.123675--0.38862))+0-28.6--0.0145859999999971</f>
        <v>1888.536355</v>
      </c>
      <c r="O134" s="3">
        <f>2780.6+(248.4-923.3)+(4.254318+(0.380052-1.412649))+0-27.6-0.0422280000000016</f>
        <v>2081.279493</v>
      </c>
      <c r="P134" s="3">
        <f>2807.9+(254.8-825.2)+(2.864058+(0.259896-0.841704))+0-28.1-0.0286620000000045</f>
        <v>2211.6535880000001</v>
      </c>
      <c r="Q134" s="3">
        <f>2809.3+(259.7-744.7)+(2.865486+(0.264894-0.759594))+0-28-0.0285600000000045</f>
        <v>2298.6422259999999</v>
      </c>
      <c r="R134" s="3">
        <f>2847.3+(265.4-731)+(0+(0-0))+0-26-0</f>
        <v>2355.7000000000003</v>
      </c>
      <c r="S134" s="3">
        <f>2858+(267.8-755.9)+(-1.45758+(-0.136578--0.385509))+0-25.8--0.0131579999999974</f>
        <v>2342.904509</v>
      </c>
      <c r="T134" s="3">
        <f>2805.1+(270.6-747.8)+(-2.861202+(-0.276012--0.762756))+4.7-27--0.0275400000000043</f>
        <v>2303.2530820000002</v>
      </c>
      <c r="U134" s="3">
        <f>2761.7+(270-721.4)+(-5.633868+(-0.5508--1.471656))+2.5-27.3--0.0556919999999988</f>
        <v>2280.8426799999993</v>
      </c>
      <c r="V134" s="3">
        <f>2755.2+(268.2-722.6)+(-1.405152+(-0.136782--0.368526))+7-27.8--0.0141779999999972</f>
        <v>2278.8407699999993</v>
      </c>
      <c r="W134" s="3">
        <f>2740.7+(265.9-759.8)+(-2.795514+(-0.271218--0.774996))+2.3-27.9--0.0284580000000044</f>
        <v>2218.9367219999999</v>
      </c>
      <c r="X134" s="3">
        <f>2779.3+(263.1-842.2)+(-4.252329+(-0.402543--1.288566))+0-27.5--0.0420750000000016</f>
        <v>2169.3757690000002</v>
      </c>
      <c r="Y134" s="3">
        <f>2475.5+(265.4-653.2)+(2.52501+(0.270708-0.666264))+0-26.9-0.0274380000000043</f>
        <v>2062.9020159999995</v>
      </c>
      <c r="Z134" s="3">
        <f>2819.1+(320-983.1)+(1.437741+(0.1632-0.501381))+0-27.9-0.0142289999999972</f>
        <v>2129.1853310000001</v>
      </c>
      <c r="AA134" s="3">
        <f>2943.4+(329.5-924.6)+(-1.501134+(-0.168045--0.471546))+0-25.1--0.0128009999999975</f>
        <v>2322.0151679999999</v>
      </c>
      <c r="AB134" s="3">
        <f>2839.6+(332.6-853.9)+(-2.896392+(-0.339252--0.870978))+0-25.2--0.025704000000004</f>
        <v>2290.7610380000006</v>
      </c>
      <c r="AC134" s="3">
        <f>2661.5+(278-698.2)+(1.357365+(0.14178-0.356082))+0-25.3-0.0129029999999974</f>
        <v>2217.1301600000002</v>
      </c>
      <c r="AD134">
        <v>2274.6999999999998</v>
      </c>
      <c r="AE134" s="3">
        <f>2954.1+(330.1-927.1)+(0+(0-0))+0-26.4-0</f>
        <v>2330.6999999999998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2633.8+(171.4-737.2)+(1.343238+(0.087414-0.375972))+0-25.5-0.0130049999999974</f>
        <v>2043.5416750000002</v>
      </c>
      <c r="G135" s="3">
        <f>2592.4+(160.3-837.1)+(-5.288496+(-0.327012--1.707684))+0-25.9--0.0528359999999989</f>
        <v>1885.8450120000002</v>
      </c>
      <c r="H135" s="3">
        <f>2499.1+(156.2-835.9)+(-1.274541+(-0.079662--0.426309))+0-26.4--0.0134639999999973</f>
        <v>1792.0855699999997</v>
      </c>
      <c r="I135" s="3">
        <f>2517.7+(161-875.6)+(3.852081+(0.24633-1.339668))+0-27.3-0.0417690000000016</f>
        <v>1778.5169740000001</v>
      </c>
      <c r="J135" s="3">
        <f>2543.4+(161.5-839.3)+(-1.297134+(-0.082365--0.428043))+0-27.1--0.0138209999999973</f>
        <v>1837.5623650000002</v>
      </c>
      <c r="K135" s="3">
        <f>2422.4+(162.1-820.6)+(0+(0-0))+0-27-0</f>
        <v>1736.9</v>
      </c>
      <c r="L135" s="3">
        <f>2161.9+(153-630.4)+(-2.205138+(-0.15606--0.643008))+0-27.3--0.0278460000000044</f>
        <v>1655.5096559999999</v>
      </c>
      <c r="M135" s="3">
        <f>2233+(142.8-652.4)+(0+(0-0))+0-28.4-0</f>
        <v>1695</v>
      </c>
      <c r="N135" s="3">
        <f>2433.7+(154.5-668.9)+(1.241187+(0.078795-0.341139))+0-29.3-0.014942999999997</f>
        <v>1890.9639</v>
      </c>
      <c r="O135" s="3">
        <f>2789.4+(166.3-861.8)+(5.690376+(0.339252-1.758072))+0-30.1-0.0614039999999987</f>
        <v>2068.0101520000003</v>
      </c>
      <c r="P135" s="3">
        <f>2932.9+(170.5-857.8)+(2.991558+(0.17391-0.874956))+0-24.1-0.0245820000000038</f>
        <v>2223.7659300000005</v>
      </c>
      <c r="Q135" s="3">
        <f>2943.4+(173.1-783.9)+(3.002268+(0.176562-0.799578))+0-12.2-0.0124440000000019</f>
        <v>2322.7668080000008</v>
      </c>
      <c r="R135" s="3">
        <f>2941+(166.3-751.7)+(-4.49973+(-0.254439--1.150101))+0-8--0.0122400000000005</f>
        <v>2344.0081719999998</v>
      </c>
      <c r="S135" s="3">
        <f>2900.1+(172.6-726.9)+(-2.958102+(-0.176052--0.741438))+0-11.6--0.0118320000000018</f>
        <v>2331.8191160000006</v>
      </c>
      <c r="T135" s="3">
        <f>2769.5+(165-619.5)+(0+(0-0))+0-24.9-0</f>
        <v>2290.1</v>
      </c>
      <c r="U135" s="3">
        <f>2734.2+(159.2-597.4)+(-2.788884+(-0.162384--0.609348))+0-26.2--0.0267240000000042</f>
        <v>2267.4848040000002</v>
      </c>
      <c r="V135" s="3">
        <f>2725.9+(156.6-600.1)+(4.170627+(0.239598-0.918153))+0-26.9-0.0411570000000016</f>
        <v>2258.9509149999999</v>
      </c>
      <c r="W135" s="3">
        <f>2752.7+(154.5-682)+(-4.211631+(-0.236385--1.04346))+0-27.1--0.0414630000000016</f>
        <v>2194.736907</v>
      </c>
      <c r="X135" s="3">
        <f>2805.2+(150.7-779.3)+(-5.722608+(-0.307428--1.589772))+0-28--0.0571199999999988</f>
        <v>2144.216856</v>
      </c>
      <c r="Y135" s="3">
        <f>2828.8+(148.6-893.5)+(1.442688+(0.075786-0.455685))+0-28.2-0.0143819999999971</f>
        <v>2056.7484070000005</v>
      </c>
      <c r="Z135" s="3">
        <f>2869+(306.4-1018.9)+(1.46319+(0.156264-0.519639))+0-27-0.0137699999999973</f>
        <v>2130.586045</v>
      </c>
      <c r="AA135" s="3">
        <f>2915.4+(334.8-932.6)+(-7.43427+(-0.85374--2.37813))+0-26--0.0662999999999962</f>
        <v>2285.7564200000002</v>
      </c>
      <c r="AB135" s="3">
        <f>2843.2+(336.1-864.7)+(-2.900064+(-0.342822--0.881994))+0-27.1--0.0276420000000043</f>
        <v>2285.1667499999999</v>
      </c>
      <c r="AC135" s="3">
        <f>2789.8+(308.3-840.2)+(-1.422798+(-0.157233--0.428502))+0-26.8--0.0136679999999973</f>
        <v>2229.9621389999998</v>
      </c>
      <c r="AD135">
        <v>2250.4</v>
      </c>
      <c r="AE135" s="3">
        <f>2938.6+(332.1-940.7)+(0+(0-0))+0-24-0</f>
        <v>2306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2751.6+(142.8-788.6)+(-1.403316+(-0.072828--0.402186))+0-27--0.0137699999999973</f>
        <v>2077.7398120000003</v>
      </c>
      <c r="G136" s="3">
        <f>2762.8+(156.6-976.1)+(-7.04514+(-0.39933--2.489055))+0-27.2--0.0693599999999961</f>
        <v>1911.2139450000002</v>
      </c>
      <c r="H136" s="3">
        <f>2669.7+(166.9-985.7)+(-2.723094+(-0.170238--1.005414))+0-26.5--0.0270300000000042</f>
        <v>1822.5391119999997</v>
      </c>
      <c r="I136" s="3">
        <f>2664.8+(161.6-1003.9)+(1.359048+(0.082416-0.511989))+0-27.9-0.0142289999999972</f>
        <v>1795.5152460000002</v>
      </c>
      <c r="J136" s="3">
        <f>2690.6+(155.2-963.8)+(-1.372206+(-0.079152--0.491538))+0-28.1--0.0143309999999971</f>
        <v>1852.9545110000001</v>
      </c>
      <c r="K136" s="3">
        <f>2380.4+(148.5-757.5)+(-1.214004+(-0.075735--0.386325))+0-27.8--0.0141779999999972</f>
        <v>1742.7107639999999</v>
      </c>
      <c r="L136" s="3">
        <f>2141+(145.2-592.3)+(-3.27573+(-0.222156--0.906219))+0-27.7--0.0423810000000016</f>
        <v>1663.6507140000001</v>
      </c>
      <c r="M136" s="3">
        <f>2044.6+(146.1-464)+(1.042746+(0.074511-0.23664))+0-28.5-0.0145349999999971</f>
        <v>1699.0660819999998</v>
      </c>
      <c r="N136" s="3">
        <f>2373.9+(153.1-619.2)+(0+(0-0))+0-30.1-0</f>
        <v>1877.7000000000003</v>
      </c>
      <c r="O136" s="3">
        <f>2833.8+(168-880.8)+(4.335714+(0.25704-1.347624))+0-30.9-0.0472770000000018</f>
        <v>2093.2978529999996</v>
      </c>
      <c r="P136" s="3">
        <f>2894.5+(158.6-809.5)+(2.95239+(0.161772-0.82569))+0-29.9-0.0304980000000048</f>
        <v>2215.9579739999999</v>
      </c>
      <c r="Q136" s="3">
        <f>2878.1+(163.1-707.4)+(4.403493+(0.249543-1.082322))+0-28.3-0.0432990000000016</f>
        <v>2309.027415</v>
      </c>
      <c r="R136" s="3">
        <f>2856.9+(162.3-646.1)+(-1.457019+(-0.082773--0.329511))+0-27.4--0.0139739999999972</f>
        <v>2344.5036929999997</v>
      </c>
      <c r="S136" s="3">
        <f>2841.8+(167.7-646.2)+(-1.449318+(-0.085527--0.329562))+0-27.4--0.0139739999999972</f>
        <v>2334.7086910000003</v>
      </c>
      <c r="T136" s="3">
        <f>2837.9+(167.1-665.7)+(1.447329+(0.085221-0.339507))+0-19.9-0.010148999999998</f>
        <v>2320.5828940000001</v>
      </c>
      <c r="U136" s="3">
        <f>2819.5+(163.6-666.1)+(1.437945+(0.083436-0.339711))+0-9-0.00458999999999909</f>
        <v>2309.1770799999999</v>
      </c>
      <c r="V136" s="3">
        <f>2786.8+(156.5-649.4)+(-1.421268+(-0.079815--0.331194))+0-20.5--0.0104549999999979</f>
        <v>2272.2405660000004</v>
      </c>
      <c r="W136" s="3">
        <f>2784.6+(150.6-693.4)+(-4.260438+(-0.230418--1.060902))+0-27.2--0.0416160000000016</f>
        <v>2211.2116620000002</v>
      </c>
      <c r="X136" s="3">
        <f>2785.5+(147.6-745.7)+(-1.420605+(-0.075276--0.380307))+0-29.1--0.014840999999997</f>
        <v>2157.1992670000004</v>
      </c>
      <c r="Y136" s="3">
        <f>2808.5+(142.9-862.7)+(-2.86467+(-0.145758--0.879954))+0-28.5--0.0290700000000045</f>
        <v>2058.0985959999998</v>
      </c>
      <c r="Z136" s="3">
        <f>2850.1+(304.9-1006.8)+(-2.907102+(-0.310998--1.026936))+0-27.1--0.0276420000000043</f>
        <v>2118.9364780000001</v>
      </c>
      <c r="AA136" s="3">
        <f>2929.1+(319.1-957.1)+(-4.481523+(-0.488223--1.464363))+0-26.7--0.0408510000000015</f>
        <v>2260.9354680000001</v>
      </c>
      <c r="AB136" s="3">
        <f>3012.9+(316.1-1039.3)+(1.536579+(0.161211-0.530043))+0-27.5-0.0140249999999972</f>
        <v>2263.3537220000003</v>
      </c>
      <c r="AC136" s="3">
        <f>3028.3+(316.9-1074.4)+(-1.544433+(-0.161619--0.547944))+0-27--0.0137699999999973</f>
        <v>2242.6556620000001</v>
      </c>
      <c r="AD136">
        <v>2202.1</v>
      </c>
      <c r="AE136" s="3">
        <f>2872.8+(318.5-928.2)+(0+(0-0))+0-26.4-0</f>
        <v>2236.7000000000003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2861.8+(151.3-888)+(0+(0-0))+0-26.8-0</f>
        <v>2098.3000000000002</v>
      </c>
      <c r="G137" s="3">
        <f>2641.4+(141.1-824.9)+(-1.347114+(-0.071961--0.420699))+0-28--0.0142799999999972</f>
        <v>1928.6159040000002</v>
      </c>
      <c r="H137" s="3">
        <f>2539.4+(160.6-845.1)+(-2.590188+(-0.163812--0.862002))+0-27.9--0.0284580000000044</f>
        <v>1825.1364599999999</v>
      </c>
      <c r="I137" s="3">
        <f>2518.7+(174-880.4)+(-2.569074+(-0.17748--0.898008))+0-28--0.0285600000000045</f>
        <v>1782.4800139999998</v>
      </c>
      <c r="J137" s="3">
        <f>2502.8+(163-812.8)+(-5.105712+(-0.33252--1.658112))+0-28.5--0.0581399999999988</f>
        <v>1820.7780200000004</v>
      </c>
      <c r="K137" s="3">
        <f>2352.7+(173.4-761)+(-4.799508+(-0.353736--1.55244))+0-27.9--0.0569159999999988</f>
        <v>1733.6561119999999</v>
      </c>
      <c r="L137" s="3">
        <f>2109.1+(178.7-606.9)+(-4.302564+(-0.364548--1.238076))+0-27.3--0.0556919999999988</f>
        <v>1650.2266559999998</v>
      </c>
      <c r="M137" s="3">
        <f>2157+(171.8-626.8)+(5.50035+(0.43809-1.59834))+0-28.8-0.0734399999999958</f>
        <v>1677.46666</v>
      </c>
      <c r="N137" s="3">
        <f>2361.5+(177.6-641.4)+(2.40873+(0.181152-0.654228))+0-29.7-0.0302940000000047</f>
        <v>1869.9053600000002</v>
      </c>
      <c r="O137" s="3">
        <f>2630.5+(177.4-764.6)+(2.68311+(0.180948-0.779892))+0-29.4-0.0299880000000047</f>
        <v>2015.954178</v>
      </c>
      <c r="P137" s="3">
        <f>2681.5+(190.7-693.6)+(4.102695+(0.291771-1.061208))+0-24.3-0.0371790000000014</f>
        <v>2157.5960789999999</v>
      </c>
      <c r="Q137" s="3">
        <f>2681.2+(203.1-604.5)+(5.469648+(0.414324-1.23318))+0-29.3-0.0597719999999987</f>
        <v>2255.0910199999994</v>
      </c>
      <c r="R137" s="3">
        <f>2650.1+(206.9-552.4)+(2.703102+(0.211038-0.563448))+0-28.3-0.0288660000000045</f>
        <v>2278.6218259999996</v>
      </c>
      <c r="S137" s="3">
        <f>2633.9+(208.1-579.3)+(-1.343289+(-0.106131--0.295443))+0-27.4--0.0139739999999972</f>
        <v>2234.1599970000002</v>
      </c>
      <c r="T137" s="3">
        <f>2610+(208.2-594)+(-1.3311+(-0.106182--0.30294))+0-29--0.0147899999999971</f>
        <v>2194.0804480000002</v>
      </c>
      <c r="U137" s="3">
        <f>2609.5+(208.7-583.9)+(-5.32338+(-0.425748--1.191156))+0-29.2--0.0595679999999987</f>
        <v>2200.6015960000004</v>
      </c>
      <c r="V137" s="3">
        <f>2562.8+(206.6-560.3)+(1.307028+(0.105366-0.285753))+0-28.8-0.0146879999999971</f>
        <v>2181.4119529999998</v>
      </c>
      <c r="W137" s="3">
        <f>2550.8+(203.2-589.4)+(-3.902724+(-0.310896--0.901782))+0-29.2--0.0446760000000017</f>
        <v>2132.1328380000004</v>
      </c>
      <c r="X137" s="3">
        <f>2475.7+(215.4-602.6)+(-2.525214+(-0.219708--0.614652))+0-29.1--0.0296820000000046</f>
        <v>2057.2994119999998</v>
      </c>
      <c r="Y137" s="3">
        <f>2395.9+(232.2-625)+(0+(0-0))+0-29.6-0</f>
        <v>1973.5000000000002</v>
      </c>
      <c r="Z137" s="3">
        <f>2524.5+(329.8-775.6)+(-2.57499+(-0.336396--0.791112))+0-28.5--0.0290700000000045</f>
        <v>2048.108796</v>
      </c>
      <c r="AA137" s="3">
        <f>2646.9+(336.8-764.6)+(-6.749595+(-0.85884--1.94973))+0-25.6--0.0652799999999963</f>
        <v>2187.906575</v>
      </c>
      <c r="AB137" s="3">
        <f>2688.3+(333-788.7)+(-2.742066+(-0.33966--0.804474))+0-26.5--0.0270300000000042</f>
        <v>2203.8497780000007</v>
      </c>
      <c r="AC137" s="3">
        <f>2702.5+(325-843.6)+(-2.75655+(-0.3315--0.860472))+0-27.7--0.0282540000000044</f>
        <v>2154.0006760000001</v>
      </c>
      <c r="AD137">
        <v>2113.4000000000005</v>
      </c>
      <c r="AE137" s="3">
        <f>2624.3+(335.1-760.8)+(0+(0-0))+0-27.2-0</f>
        <v>2171.4000000000005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2624.6+(191.5-786.3)+(-1.338546+(-0.097665--0.401013))+0-27.3--0.0139229999999972</f>
        <v>2001.4787249999999</v>
      </c>
      <c r="G138" s="3">
        <f>2484.9+(204.6-811.8)+(-2.534598+(-0.208692--0.828036))+0-27.1--0.0276420000000043</f>
        <v>1848.7123880000004</v>
      </c>
      <c r="H138" s="3">
        <f>2367.8+(216.4-817)+(-7.245468+(-0.662184--2.50002))+0-26.9--0.0823140000000031</f>
        <v>1734.9746820000003</v>
      </c>
      <c r="I138" s="3">
        <f>2341.4+(205.4-818.4)+(2.388228+(0.209508-0.834768))+0-27.2-0.0277440000000043</f>
        <v>1702.9352240000001</v>
      </c>
      <c r="J138" s="3">
        <f>2392.1+(207-813.3)+(-1.219971+(-0.10557--0.414783))+0-27.5--0.0140249999999972</f>
        <v>1757.4032669999999</v>
      </c>
      <c r="K138" s="3">
        <f>2286+(223.4-801.1)+(-1.16586+(-0.113934--0.408561))+0-27.6--0.0140759999999972</f>
        <v>1679.8428429999999</v>
      </c>
      <c r="L138" s="3">
        <f>2127.5+(207.3-791)+(-4.3401+(-0.422892--1.61364))+0-27.2--0.0554879999999988</f>
        <v>1513.506136</v>
      </c>
      <c r="M138" s="3">
        <f>2030.8+(192.5-724.3)+(-4.142832+(-0.3927--1.477572))+0-28.5--0.0581399999999988</f>
        <v>1467.50018</v>
      </c>
      <c r="N138" s="3">
        <f>2110.5+(209.2-738.8)+(0+(0-0))+0-30-0</f>
        <v>1550.9</v>
      </c>
      <c r="O138" s="3">
        <f>2205+(206.4-715.6)+(0+(0-0))+0-30.5-0</f>
        <v>1665.3</v>
      </c>
      <c r="P138" s="3">
        <f>2328.6+(214.4-717.2)+(-2.375172+(-0.218688--0.731544))+0-29.3--0.0298860000000047</f>
        <v>1794.6675699999998</v>
      </c>
      <c r="Q138" s="3">
        <f>2535.8+(216.5-831.8)+(2.586516+(0.22083-0.848436))+0-29.5-0.0300900000000047</f>
        <v>1892.9288200000003</v>
      </c>
      <c r="R138" s="3">
        <f>2546.7+(214.7-792.2)+(-2.597634+(-0.218994--0.808044))+0-28.4--0.0289680000000045</f>
        <v>1938.8203839999999</v>
      </c>
      <c r="S138" s="3">
        <f>2508.5+(169.1-718.3)+(1.279335+(0.086241-0.366333))+0-26.8-0.0136679999999973</f>
        <v>1933.4855750000002</v>
      </c>
      <c r="T138" s="3">
        <f>2650.7+(171.6-802.7)+(-1.351857+(-0.087516--0.409377))+0-28.6--0.0145859999999971</f>
        <v>1989.98459</v>
      </c>
      <c r="U138" s="3">
        <f>2672.3+(173.7-811.7)+(-1.362873+(-0.088587--0.413967))+0-29.3--0.014942999999997</f>
        <v>2003.9774500000001</v>
      </c>
      <c r="V138" s="3">
        <f>2665+(166-817.9)+(0+(0-0))+0-29-0</f>
        <v>1984.1</v>
      </c>
      <c r="W138" s="3">
        <f>2707.7+(160.9-881.1)+(-5.523708+(-0.328236--1.797444))+0-28.9--0.0589559999999987</f>
        <v>1954.6044559999998</v>
      </c>
      <c r="X138" s="3">
        <f>2557.6+(153.1-756.5)+(-2.608752+(-0.156162--0.77163))+0-28.4--0.0289680000000045</f>
        <v>1923.8356839999999</v>
      </c>
      <c r="Y138" s="3">
        <f>2576.1+(173.8-890.4)+(-2.627622+(-0.177276--0.908208))+0-28.9--0.0294780000000046</f>
        <v>1828.7327879999998</v>
      </c>
      <c r="Z138" s="3">
        <f>2843.2+(314-1202.6)+(-2.900064+(-0.32028--1.226652))+0-28.8--0.0293760000000046</f>
        <v>1923.8356839999999</v>
      </c>
      <c r="AA138" s="3">
        <f>2913.9+(323.7-1112.7)+(-4.458267+(-0.495261--1.702431))+0-26.7--0.0408510000000015</f>
        <v>2094.9897540000006</v>
      </c>
      <c r="AB138" s="3">
        <f>2893.1+(320.9-1098.5)+(-2.950962+(-0.327318--1.12047))+0-27--0.0275400000000043</f>
        <v>2086.3697299999999</v>
      </c>
      <c r="AC138" s="3">
        <f>2883.4+(312.5-1129.5)+(1.470534+(0.159375-0.576045))+0-26.9-0.0137189999999973</f>
        <v>2040.5401449999999</v>
      </c>
      <c r="AD138">
        <v>2055.6</v>
      </c>
      <c r="AE138" s="3">
        <f>2891.8+(319.8-1083.8)+(0+(0-0))+0-28.8-0</f>
        <v>2099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2887.4+(163.5-1121.4)+(0+(0-0))+0-27.2-0</f>
        <v>1902.3</v>
      </c>
      <c r="G139" s="3">
        <f>2832+(174.3-1227.6)+(-1.44432+(-0.088893--0.626076))+0-27.7--0.0141269999999972</f>
        <v>1750.10699</v>
      </c>
      <c r="H139" s="3">
        <f>2726.5+(176.8-1215.5)+(-1.390515+(-0.090168--0.619905))+0-28.2--0.0143819999999971</f>
        <v>1658.753604</v>
      </c>
      <c r="I139" s="3">
        <f>2688.8+(185.8-1210.6)+(-2.742576+(-0.189516--1.234812))+0-27.7--0.0282540000000044</f>
        <v>1634.6309740000002</v>
      </c>
      <c r="J139" s="3">
        <f>2655.1+(188.4-1113.5)+(-4.062303+(-0.288252--1.703655))+0-27.3--0.0417690000000016</f>
        <v>1700.094869</v>
      </c>
      <c r="K139" s="3">
        <f>2342.8+(178.7-887.6)+(-3.584484+(-0.273411--1.358028))+0-27.5--0.0420750000000016</f>
        <v>1603.9422080000002</v>
      </c>
      <c r="L139" s="3">
        <f>2216.7+(170.7-810.1)+(-1.130517+(-0.087057--0.413151))+0-27.6--0.0140759999999972</f>
        <v>1548.9096529999997</v>
      </c>
      <c r="M139" s="3">
        <f>2199.2+(158.3-724.8)+(2.243184+(0.161466-0.739296))+0-29-0.0295800000000046</f>
        <v>1605.3357739999999</v>
      </c>
      <c r="N139" s="3">
        <f>2253.2+(194.6-629.8)+(3.447396+(0.297738-0.963594))+0-29.9-0.0457470000000017</f>
        <v>1790.835793</v>
      </c>
      <c r="O139" s="3">
        <f>2796.4+(198.3-1016.9)+(1.426164+(0.101133-0.518619))+0-30.8-0.0157079999999969</f>
        <v>1947.9929700000002</v>
      </c>
      <c r="P139" s="3">
        <f>2953.5+(179.4-1010.6)+(0+(0-0))+0-29.2-0</f>
        <v>2093.1000000000004</v>
      </c>
      <c r="Q139" s="3">
        <f>2954.3+(177.2-963.2)+(1.506693+(0.090372-0.491232))+0-29.6-0.015095999999997</f>
        <v>2139.7907370000003</v>
      </c>
      <c r="R139" s="3">
        <f>2931.8+(181.6-898.2)+(1.495218+(0.092616-0.458082))+0-27.5-0.0140249999999972</f>
        <v>2188.8157270000002</v>
      </c>
      <c r="S139" s="3">
        <f>2987.6+(210.1-974.8)+(-1.523676+(-0.107151--0.497148))+0-27.2--0.0138719999999972</f>
        <v>2194.5801930000002</v>
      </c>
      <c r="T139" s="3">
        <f>3036.1+(233.6-1039.3)+(1.548411+(0.119136-0.530043))+0-29.6-0.015095999999997</f>
        <v>2201.9224079999999</v>
      </c>
      <c r="U139" s="3">
        <f>3028.2+(239.6-1023.9)+(-4.633146+(-0.366588--1.566567))+0-29.9--0.0457470000000017</f>
        <v>2210.6125799999995</v>
      </c>
      <c r="V139" s="3">
        <f>2964.6+(239-989)+(-1.511946+(-0.12189--0.50439))+0-30--0.015299999999997</f>
        <v>2183.485854</v>
      </c>
      <c r="W139" s="3">
        <f>2957.7+(245.9-1042.7)+(-6.033708+(-0.501636--2.127108))+0-29.7--0.0605879999999987</f>
        <v>2126.8523519999994</v>
      </c>
      <c r="X139" s="3">
        <f>2869.2+(266.8-1039.5)+(0+(0-0))+0-29.4-0</f>
        <v>2067.1</v>
      </c>
      <c r="Y139" s="3">
        <f>2880.7+(295.4-1160.3)+(4.407471+(0.451962-1.775259))+0-28.6-0.0437580000000017</f>
        <v>1990.2404159999999</v>
      </c>
      <c r="Z139" s="3">
        <f>2947.7+(321.7-1209.4)+(1.503327+(0.164067-0.616794))+0-27.7-0.0141269999999972</f>
        <v>2033.3364730000001</v>
      </c>
      <c r="AA139" s="3">
        <f>2969.2+(328.1-1111.4)+(-4.542876+(-0.501993--1.700442))+0-27.6--0.0422280000000016</f>
        <v>2154.9978009999995</v>
      </c>
      <c r="AB139" s="3">
        <f>2995.8+(324.1-1154.4)+(4.583574+(0.495873-1.766232))+0-27.3-0.0417690000000016</f>
        <v>2141.471446</v>
      </c>
      <c r="AC139" s="3">
        <f>2938.7+(317.5-1132.8)+(-1.498737+(-0.161925--0.577728))+0-27.8--0.0141779999999972</f>
        <v>2094.5312439999993</v>
      </c>
      <c r="AD139">
        <v>2100.7999999999997</v>
      </c>
      <c r="AE139" s="3">
        <f>2951.5+(320.5-1111)+(0+(0-0))+0-25.6-0</f>
        <v>2135.4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2758.7+(205.2-1005.1)+(1.406937+(0.104652-0.512601))+0-27.6-0.0140759999999972</f>
        <v>1932.1849119999999</v>
      </c>
      <c r="G140" s="3">
        <f>2668.8+(227.3-1078.8)+(0+(0-0))+0-27.4-0</f>
        <v>1789.9</v>
      </c>
      <c r="H140" s="3">
        <f>2619.2+(231-1125.5)+(4.007376+(0.35343-1.722015))+0-27.1-0.0414630000000016</f>
        <v>1700.197328</v>
      </c>
      <c r="I140" s="3">
        <f>2694.4+(227.5-1209.5)+(0+(0-0))+0-27.4-0</f>
        <v>1685</v>
      </c>
      <c r="J140" s="3">
        <f>2771.5+(223.1-1222.1)+(1.413465+(0.113781-0.623271))+0-27.6-0.0140759999999972</f>
        <v>1745.7898990000001</v>
      </c>
      <c r="K140" s="3">
        <f>2564.4+(219.1-1103.6)+(-1.307844+(-0.111741--0.562836))+0-26.7--0.0136169999999973</f>
        <v>1652.3568680000001</v>
      </c>
      <c r="L140" s="3">
        <f>2457.2+(215.1-1048)+(-8.772204+(-0.767907--3.74136))+0-27.6--0.0985320000000004</f>
        <v>1590.9997809999998</v>
      </c>
      <c r="M140" s="3">
        <f>2500.4+(217.3-1044.3)+(1.275204+(0.110823-0.532593))+0-28.7-0.0146369999999971</f>
        <v>1645.5387970000002</v>
      </c>
      <c r="N140" s="3">
        <f>2605.8+(237-1014.7)+(2.657916+(0.24174-1.034994))+0-29.1-0.0296820000000046</f>
        <v>1800.8349800000001</v>
      </c>
      <c r="O140" s="3">
        <f>2756.2+(245.1-1038.3)+(1.405662+(0.125001-0.529533))+0-23-0.0117299999999977</f>
        <v>1940.9894000000002</v>
      </c>
      <c r="P140" s="3">
        <f>2968+(293.5-1170.4)+(3.02736+(0.29937-1.193808))+0-11.6-0.0118320000000018</f>
        <v>2081.6210899999996</v>
      </c>
      <c r="Q140" s="3">
        <f>3025.8+(298.2-1155.3)+(-1.543158+(-0.152082--0.589203))+0-13.7--0.00698699999999861</f>
        <v>2153.9009500000006</v>
      </c>
      <c r="R140" s="3">
        <f>3004.9+(296.5-1104.7)+(0+(0-0))+0-24.2-0</f>
        <v>2172.5</v>
      </c>
      <c r="S140" s="3">
        <f>3026.3+(293.9-1144.6)+(-7.717065+(-0.749445--2.91873))+0-27.3--0.069614999999996</f>
        <v>2142.8218350000002</v>
      </c>
      <c r="T140" s="3">
        <f>3049.2+(274.8-1168.1)+(-3.110184+(-0.280296--1.191462))+0-27--0.0275400000000043</f>
        <v>2126.7285219999999</v>
      </c>
      <c r="U140" s="3">
        <f>3026.9+(262.2-1141.7)+(-1.543719+(-0.133722--0.582267))+0-26.9--0.0137189999999973</f>
        <v>2119.418545</v>
      </c>
      <c r="V140" s="3">
        <f>2867+(261.7-1023.2)+(4.38651+(0.400401-1.565496))+0-27.8-0.0425340000000016</f>
        <v>2080.8788809999996</v>
      </c>
      <c r="W140" s="3">
        <f>2826.8+(260.7-1026.6)+(-1.441668+(-0.132957--0.523566))+0-28.2--0.0143819999999971</f>
        <v>2031.6633230000007</v>
      </c>
      <c r="X140" s="3">
        <f>2837+(255.9-1089.5)+(-5.78748+(-0.522036--2.22258))+12.8-28.5--0.0581399999999988</f>
        <v>1983.6712040000002</v>
      </c>
      <c r="Y140" s="3">
        <f>2958.4+(231.7-1256.7)+(-4.526352+(-0.354501--1.922751))+0-29.2--0.0446760000000017</f>
        <v>1901.286574</v>
      </c>
      <c r="Z140" s="3">
        <f>2934.8+(310.7-1221.6)+(-1.496748+(-0.158457--0.623016))+0-29.8--0.015197999999997</f>
        <v>1993.0830090000004</v>
      </c>
      <c r="AA140" s="3">
        <f>2862.7+(314.7-1059.2)+(-5.839908+(-0.641988--2.160768))+0-28.2--0.0575279999999988</f>
        <v>2085.7363999999998</v>
      </c>
      <c r="AB140" s="3">
        <f>2765.9+(315.6-970.3)+(-2.821218+(-0.321912--0.989706))+0-28.4--0.0289680000000045</f>
        <v>2080.6755440000002</v>
      </c>
      <c r="AC140" s="3">
        <f>2638.9+(313.6-878.7)+(0+(0-0))+0-27.8-0</f>
        <v>2046.0000000000002</v>
      </c>
      <c r="AD140">
        <v>2064.8000000000002</v>
      </c>
      <c r="AE140" s="3">
        <f>2916+(313.7-1120.3)+(0+(0-0))+0-28-0</f>
        <v>2081.4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2474.5+(217.1-791.3)+(-7.57197+(-0.664326--2.421378))+0-27.9--0.0853740000000032</f>
        <v>1866.6704560000001</v>
      </c>
      <c r="G141" s="3">
        <f>2333.5+(201.2-799.3)+(-5.950425+(-0.51306--2.038215))+0-28--0.0713999999999959</f>
        <v>1703.0461300000002</v>
      </c>
      <c r="H141" s="3">
        <f>2223.9+(201.7-787)+(-1.134189+(-0.102867--0.40137))+0-27.7--0.0141269999999972</f>
        <v>1610.0784410000001</v>
      </c>
      <c r="I141" s="3">
        <f>2224.3+(204.9-819.1)+(1.134393+(0.104499-0.417741))+0-27.9-0.0142289999999972</f>
        <v>1583.0069220000003</v>
      </c>
      <c r="J141" s="3">
        <f>2221+(213.5-742.2)+(-2.26542+(-0.21777--0.757044))+0-28--0.0285600000000045</f>
        <v>1662.602414</v>
      </c>
      <c r="K141" s="3">
        <f>2147.3+(217.5-742.3)+(-3.285369+(-0.332775--1.135719))+0-27.5--0.0420750000000016</f>
        <v>1592.5596500000004</v>
      </c>
      <c r="L141" s="3">
        <f>2044.8+(218.2-692.7)+(-6.257088+(-0.667692--2.119662))+0-27.4--0.0838440000000032</f>
        <v>1538.1787259999999</v>
      </c>
      <c r="M141" s="3">
        <f>2050.5+(215-671.8)+(-2.09151+(-0.2193--0.685236))+0-28.5--0.0290700000000045</f>
        <v>1563.6034960000002</v>
      </c>
      <c r="N141" s="3">
        <f>2280.1+(236.8-751.1)+(2.325702+(0.241536-0.766122))+0-29.5-0.0300900000000047</f>
        <v>1738.0710260000001</v>
      </c>
      <c r="O141" s="3">
        <f>2462.6+(239.1-779)+(-3.767778+(-0.365823--1.19187))+0-30--0.0459000000000017</f>
        <v>1889.804169</v>
      </c>
      <c r="P141" s="3">
        <f>2598.7+(251.1-826.6)+(1.325337+(0.128061-0.421566))+0-29.3-0.014942999999997</f>
        <v>1994.9168889999999</v>
      </c>
      <c r="Q141" s="3">
        <f>2606.2+(249-775)+(0+(0-0))+0-29-0</f>
        <v>2051.1999999999998</v>
      </c>
      <c r="R141" s="3">
        <f>2603.2+(255.4-762.7)+(-1.327632+(-0.130254--0.388977))+0-28.8--0.0146879999999971</f>
        <v>2066.0457789999996</v>
      </c>
      <c r="S141" s="3">
        <f>2601+(255.3-810.8)+(-2.65302+(-0.260406--0.827016))+0-28.4--0.0289680000000045</f>
        <v>2015.0425580000001</v>
      </c>
      <c r="T141" s="3">
        <f>2601.8+(259.8-815.6)+(1.326918+(0.132498-0.415956))+0-27.8-0.0141779999999972</f>
        <v>2019.2292820000005</v>
      </c>
      <c r="U141" s="3">
        <f>2639.4+(263.7-864.6)+(-4.038282+(-0.403461--1.322838))+0-29--0.0443700000000017</f>
        <v>2006.425465</v>
      </c>
      <c r="V141" s="3">
        <f>2634.5+(269.6-888.9)+(-6.717975+(-0.68748--2.266695))+0-29.8--0.0759899999999957</f>
        <v>1980.3372300000001</v>
      </c>
      <c r="W141" s="3">
        <f>2644+(265.5-935)+(-5.39376+(-0.54162--1.9074))+0-29.5--0.0601799999999987</f>
        <v>1941.0321999999999</v>
      </c>
      <c r="X141" s="3">
        <f>2583.1+(257.6-902.9)+(-7.904286+(-0.788256--2.762874))+0-29.2--0.0893520000000034</f>
        <v>1902.7596839999999</v>
      </c>
      <c r="Y141" s="3">
        <f>2343.6+(266.7-734.4)+(-2.390472+(-0.272034--0.749088))+0-29.2--0.0297840000000047</f>
        <v>1844.8163659999998</v>
      </c>
      <c r="Z141" s="3">
        <f>2582.8+(320.8-941.1)+(0+(0-0))+0-28.5-0</f>
        <v>1934.0000000000002</v>
      </c>
      <c r="AA141" s="3">
        <f>2663.7+(324.3-910.9)+(-9.509409+(-1.157751--3.251913))+0-27.5--0.0981750000000004</f>
        <v>2042.2829280000001</v>
      </c>
      <c r="AB141" s="3">
        <f>2625.4+(325.4-884.5)+(-4.016862+(-0.497862--1.353285))+0-28.2--0.0431460000000016</f>
        <v>2034.9817070000001</v>
      </c>
      <c r="AC141" s="3">
        <f>2619.6+(319.6-932.9)+(-2.671992+(-0.325992--0.951558))+0-26.8--0.0273360000000043</f>
        <v>1977.48091</v>
      </c>
      <c r="AD141">
        <v>1991.6</v>
      </c>
      <c r="AE141" s="3">
        <f>2677.5+(320.1-951.8)+(0+(0-0))+0-28-0</f>
        <v>2017.8000000000002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2494.8+(252.9-889.9)+(-2.544696+(-0.257958--0.907698))+0-26.5--0.0270300000000042</f>
        <v>1829.4320740000001</v>
      </c>
      <c r="G142" s="3">
        <f>2466+(228.2-984.9)+(-1.25766+(-0.116382--0.502299))+0-27--0.0137699999999973</f>
        <v>1681.4420270000001</v>
      </c>
      <c r="H142" s="3">
        <f>2258+(225.9-877.4)+(0+(0-0))+0-27.1-0</f>
        <v>1579.4</v>
      </c>
      <c r="I142" s="3">
        <f>2127.5+(224.7-763.4)+(-3.255075+(-0.343791--1.168002))+0-26.8--0.0410040000000016</f>
        <v>1559.61014</v>
      </c>
      <c r="J142" s="3">
        <f>2129.2+(221.8-715.2)+(3.257676+(0.339354-1.094256))+0-26.3-0.0402390000000015</f>
        <v>1611.9625349999999</v>
      </c>
      <c r="K142" s="3">
        <f>2111.4+(216.5-747.7)+(-4.307256+(-0.44166--1.525308))+0-26.7--0.0544679999999988</f>
        <v>1550.33086</v>
      </c>
      <c r="L142" s="3">
        <f>2028+(215-713.6)+(-3.10284+(-0.32895--1.091808))+0-26.7--0.0408510000000015</f>
        <v>1500.4008690000001</v>
      </c>
      <c r="M142" s="3">
        <f>2128.1+(247.1-788.2)+(1.085331+(0.126021-0.401982))+0-27.2-0.0138719999999972</f>
        <v>1560.5954979999999</v>
      </c>
      <c r="N142" s="3">
        <f>2243.3+(243.9-751.2)+(1.144083+(0.124389-0.383112))+0-30.2-0.0154019999999969</f>
        <v>1706.669958</v>
      </c>
      <c r="O142" s="3">
        <f>2481.6+(249.4-863.9)+(2.531232+(0.254388-0.881178))+0-30.7-0.0313140000000049</f>
        <v>1838.2731279999998</v>
      </c>
      <c r="P142" s="3">
        <f>2689.5+(246.6-957.1)+(0+(0-0))+0-30.4-0</f>
        <v>1948.6</v>
      </c>
      <c r="Q142" s="3">
        <f>2837.3+(247.6-1041.5)+(2.894046+(0.252552-1.06233))+0-30.5-0.0311100000000049</f>
        <v>2014.9531580000003</v>
      </c>
      <c r="R142" s="3">
        <f>2871.1+(246.4-1067.2)+(1.464261+(0.125664-0.544272))+0-28.5-0.0145349999999971</f>
        <v>2022.8311179999998</v>
      </c>
      <c r="S142" s="3">
        <f>2904.1+(247.5-1151.7)+(-4.443273+(-0.378675--1.762101))+0-27.8--0.0425340000000016</f>
        <v>1969.0826869999999</v>
      </c>
      <c r="T142" s="3">
        <f>2936.6+(253.3-1199.8)+(0+(0-0))+0-29.2-0</f>
        <v>1960.8999999999999</v>
      </c>
      <c r="U142" s="3">
        <f>2946.7+(257.1-1210.1)+(-4.508451+(-0.393363--1.851453))+0-29.9--0.0457470000000017</f>
        <v>1960.7953859999996</v>
      </c>
      <c r="V142" s="3">
        <f>2946.1+(255.7-1225.4)+(-7.512555+(-0.652035--3.12477))+0-29.3--0.0747149999999958</f>
        <v>1942.1348949999999</v>
      </c>
      <c r="W142" s="3">
        <f>2886.1+(251.4-1197.1)+(-4.415733+(-0.384642--1.831563))+0-28.5--0.0436050000000016</f>
        <v>1908.9747930000001</v>
      </c>
      <c r="X142" s="3">
        <f>2735.3+(244.6-1078.7)+(-2.790006+(-0.249492--1.100274))+0-29--0.0295800000000046</f>
        <v>1870.2903560000002</v>
      </c>
      <c r="Y142" s="3">
        <f>2627.9+(253-1039.6)+(2.680458+(0.25806-1.060392))+0-28.8-0.0293760000000046</f>
        <v>1814.3487500000003</v>
      </c>
      <c r="Z142" s="3">
        <f>2879.4+(307.9-1239.4)+(-5.873976+(-0.628116--2.528376))+0-27.8--0.0567119999999988</f>
        <v>1916.1829960000002</v>
      </c>
      <c r="AA142" s="3">
        <f>2896.7+(318.3-1172.9)+(-7.386585+(-0.811665--2.990895))+0-27.8--0.070889999999996</f>
        <v>2009.1635349999997</v>
      </c>
      <c r="AB142" s="3">
        <f>2880.4+(313.3-1158.9)+(-2.938008+(-0.319566--1.182078))+0-28--0.0285600000000045</f>
        <v>2004.753064</v>
      </c>
      <c r="AC142" s="3">
        <f>2820.4+(308.6-1156.5)+(-2.876808+(-0.314772--1.17963))+0-28.1--0.0286620000000045</f>
        <v>1942.416712</v>
      </c>
      <c r="AD142">
        <v>1945.3000000000002</v>
      </c>
      <c r="AE142" s="3">
        <f>2887.5+(316.9-1209.1)+(0+(0-0))+0-28-0</f>
        <v>1967.3000000000002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2712.5+(252.4-1141)+(-6.916875+(-0.64362--2.90955))+0-27.4--0.069869999999996</f>
        <v>1791.9189249999999</v>
      </c>
      <c r="G143" s="3">
        <f>2607.2+(221.7-1132.1)+(-6.64836+(-0.565335--2.886855))+0-26.6--0.0678299999999961</f>
        <v>1665.9409900000001</v>
      </c>
      <c r="H143" s="3">
        <f>2645.3+(218.8-1252.8)+(-6.745515+(-0.55794--3.19464))+0-26.9--0.0685949999999961</f>
        <v>1580.35978</v>
      </c>
      <c r="I143" s="3">
        <f>2619.4+(217.2-1259.6)+(-2.671788+(-0.221544--1.284792))+0-27.6--0.0281520000000044</f>
        <v>1547.8196120000005</v>
      </c>
      <c r="J143" s="3">
        <f>2491.1+(222.9-1084.6)+(-3.811383+(-0.341037--1.659438))+0-26.7--0.0408510000000015</f>
        <v>1600.247869</v>
      </c>
      <c r="K143" s="3">
        <f>2165.4+(225.8-841.3)+(-1.104354+(-0.115158--0.429063))+0-27.3--0.0139229999999972</f>
        <v>1521.823474</v>
      </c>
      <c r="L143" s="3">
        <f>2178.1+(223.2-823.5)+(-6.664986+(-0.682992--2.51991))+0-26.7--0.0817020000000031</f>
        <v>1546.3536339999998</v>
      </c>
      <c r="M143" s="3">
        <f>2182.4+(219.2-788)+(0+(0-0))+0-28.1-0</f>
        <v>1585.5000000000002</v>
      </c>
      <c r="N143" s="3">
        <f>2331.7+(246.6-864.2)+(0+(0-0))+0-29.9-0</f>
        <v>1684.1999999999998</v>
      </c>
      <c r="O143" s="3">
        <f>2415.7+(256.2-842.6)+(0+(0-0))+0-30.1-0</f>
        <v>1799.1999999999998</v>
      </c>
      <c r="P143" s="3">
        <f>2480.1+(259.5-811)+(-1.264851+(-0.132345--0.41361))+0-29.5--0.015044999999997</f>
        <v>1898.1314589999999</v>
      </c>
      <c r="Q143" s="3">
        <f>2729.7+(267.5-1001.9)+(5.568588+(0.5457-2.043876))+0-29-0.0591599999999987</f>
        <v>1970.3112519999997</v>
      </c>
      <c r="R143" s="3">
        <f>2911.8+(277.4-1168)+(-5.940072+(-0.565896--2.38272))+0-27.3--0.0556919999999988</f>
        <v>1989.8324440000001</v>
      </c>
      <c r="S143" s="3">
        <f>2872.4+(279.6-1171.9)+(-7.32462+(-0.71298--2.988345))+0-27.3--0.069614999999996</f>
        <v>1947.8203599999999</v>
      </c>
      <c r="T143" s="3">
        <f>2789.4+(276.7-1105.4)+(-1.422594+(-0.141117--0.563754))+0-29.1--0.014840999999997</f>
        <v>1930.6148840000001</v>
      </c>
      <c r="U143" s="3">
        <f>2727.1+(274.9-1056.6)+(-2.781642+(-0.280398--1.077732))+0-29--0.0295800000000046</f>
        <v>1914.4452719999999</v>
      </c>
      <c r="V143" s="3">
        <f>2595.3+(282.1-940.2)+(-1.323603+(-0.143871--0.479502))+0-22.6--0.0115259999999977</f>
        <v>1913.6235540000005</v>
      </c>
      <c r="W143" s="3">
        <f>2501.7+(286.5-882.7)+(-2.551734+(-0.29223--0.900354))+0-27.8--0.0283560000000044</f>
        <v>1875.7847459999998</v>
      </c>
      <c r="X143" s="3">
        <f>2459.3+(267.6-840)+(-3.762729+(-0.409428--1.2852))+0-28.7--0.0439110000000017</f>
        <v>1855.3569540000001</v>
      </c>
      <c r="Y143" s="3">
        <f>2518.4+(270.5-970)+(-2.568768+(-0.27591--0.9894))+0-28.8--0.0293760000000046</f>
        <v>1788.2740980000001</v>
      </c>
      <c r="Z143" s="3">
        <f>2660.3+(314.6-1046.8)+(-5.427012+(-0.641784--2.135472))+0-27.7--0.0565079999999988</f>
        <v>1896.5231840000001</v>
      </c>
      <c r="AA143" s="3">
        <f>2650.4+(321.9-961.4)+(-6.75852+(-0.820845--2.45157))+0-27.8--0.070889999999996</f>
        <v>1978.043095</v>
      </c>
      <c r="AB143" s="3">
        <f>2510.9+(320.5-816.8)+(-3.841677+(-0.490365--1.249704))+0-27.7--0.0423810000000016</f>
        <v>1983.8600430000001</v>
      </c>
      <c r="AC143" s="3">
        <f>2413.3+(310.6-779.3)+(-2.461566+(-0.316812--0.794886))+0-27.4--0.0279480000000044</f>
        <v>1915.2444560000001</v>
      </c>
      <c r="AD143">
        <v>1975.0999999999997</v>
      </c>
      <c r="AE143" s="3">
        <f>2692.5+(329.2-995.2)+(0+(0-0))+0-26.4-0</f>
        <v>2000.1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2231.7+(225.2-680.2)+(-5.690835+(-0.57426--1.73451))+0-27.4--0.069869999999996</f>
        <v>1744.8392849999998</v>
      </c>
      <c r="G144" s="3">
        <f>2000.7+(225.5-600.8)+(-2.040714+(-0.23001--0.612816))+0-27.5--0.0280500000000044</f>
        <v>1596.2701420000001</v>
      </c>
      <c r="H144" s="3">
        <f>1956.1+(231.3-642.7)+(-0.997611+(-0.117963--0.327777))+0-27.3--0.0139229999999972</f>
        <v>1516.6261259999999</v>
      </c>
      <c r="I144" s="3">
        <f>1960.9+(237.8-671.6)+(0+(0-0))+0-26.8-0</f>
        <v>1500.3000000000002</v>
      </c>
      <c r="J144" s="3">
        <f>1962.5+(243-619.9)+(3.002625+(0.37179-0.948447))+0-26.3-0.0402390000000015</f>
        <v>1561.685729</v>
      </c>
      <c r="K144" s="3">
        <f>1965.7+(249.3-684.5)+(-7.017549+(-0.890001--2.443665))+0-27.6--0.0985320000000004</f>
        <v>1497.5346470000002</v>
      </c>
      <c r="L144" s="3">
        <f>1964.5+(255-745.3)+(-6.01137+(-0.7803--2.280618))+0-27.5--0.0841500000000032</f>
        <v>1442.2730979999999</v>
      </c>
      <c r="M144" s="3">
        <f>2008.6+(226.7-725.7)+(-1.024386+(-0.115617--0.370107))+0-27.5--0.0140249999999972</f>
        <v>1481.3441289999998</v>
      </c>
      <c r="N144" s="3">
        <f>2111.3+(222.5-668.5)+(3.230289+(0.340425-1.022805))+0-27.5-0.0420750000000016</f>
        <v>1640.305834</v>
      </c>
      <c r="O144" s="3">
        <f>2454.9+(230.3-852.4)+(-2.503998+(-0.234906--0.869448))+0-27.2--0.0277440000000043</f>
        <v>1803.7582880000002</v>
      </c>
      <c r="P144" s="3">
        <f>2518.7+(231.5-798.3)+(1.284537+(0.118065-0.407133))+0-27.9-0.0142289999999972</f>
        <v>1924.9812399999998</v>
      </c>
      <c r="Q144" s="3">
        <f>2519.6+(233.4-739.9)+(-2.569992+(-0.238068--0.754698))+0-27.7--0.0282540000000044</f>
        <v>1983.3748919999998</v>
      </c>
      <c r="R144" s="3">
        <f>2634+(208.4-811)+(-1.34334+(-0.106284--0.41361))+0-27--0.0137699999999973</f>
        <v>2003.3777560000001</v>
      </c>
      <c r="S144" s="3">
        <f>2686.7+(208.9-887.6)+(-2.740434+(-0.213078--0.905352))+0-27--0.0275400000000043</f>
        <v>1978.9793799999998</v>
      </c>
      <c r="T144" s="3">
        <f>2670.4+(222.6-939.3)+(1.361904+(0.113526-0.479043))+0-27.8-0.0141779999999972</f>
        <v>1926.8822090000003</v>
      </c>
      <c r="U144" s="3">
        <f>2660.9+(237.7-980.3)+(-2.714118+(-0.242454--0.999906))+0-28.1--0.0286620000000045</f>
        <v>1888.2719960000002</v>
      </c>
      <c r="V144" s="3">
        <f>2589.3+(237.6-930.6)+(0+(0-0))+0-27.8-0</f>
        <v>1868.5000000000002</v>
      </c>
      <c r="W144" s="3">
        <f>2500.6+(236.8-856)+(-1.275306+(-0.120768--0.43656))+0-28.1--0.0143309999999971</f>
        <v>1852.3548170000001</v>
      </c>
      <c r="X144" s="3">
        <f>2341.7+(224-724.6)+(-8.359869+(-0.79968--2.586822))+0-28.7--0.102459</f>
        <v>1805.9297319999998</v>
      </c>
      <c r="Y144" s="3">
        <f>2270.9+(210.7-694.2)+(-2.316318+(-0.214914--0.708084))+0-28.9--0.0294780000000046</f>
        <v>1756.70633</v>
      </c>
      <c r="Z144" s="3">
        <f>2366.6+(314.4-771.5)+(-7.241796+(-0.962064--2.36079))+0-28.6--0.0875160000000033</f>
        <v>1875.1444460000002</v>
      </c>
      <c r="AA144" s="3">
        <f>2362.4+(323-687)+(-1.204824+(-0.16473--0.35037))+0-27.7--0.0141269999999972</f>
        <v>1969.694943</v>
      </c>
      <c r="AB144" s="3">
        <f>2306.5+(337.8-644.2)+(0+(0-0))+0-28.1-0</f>
        <v>1972</v>
      </c>
      <c r="AC144" s="3">
        <f>2210.6+(330.6-585.8)+(0+(0-0))+0-28.4-0</f>
        <v>1927</v>
      </c>
      <c r="AD144">
        <v>1917.9999999999998</v>
      </c>
      <c r="AE144" s="3">
        <f>2428.5+(313.2-765.1)+(0+(0-0))+0-26.4-0</f>
        <v>1950.1999999999998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2043.7+(259.4-447.2)+(1.042287+(0.132294-0.228072))+0-28.1-0.0143309999999971</f>
        <v>1828.7321780000002</v>
      </c>
      <c r="G145" s="3">
        <f>1875.9+(263.7-431.7)+(-0.956709+(-0.134487--0.220167))+0-28.7--0.0146369999999971</f>
        <v>1678.3436080000001</v>
      </c>
      <c r="H145" s="3">
        <f>1898.4+(253.9-544.5)+(0.968184+(0.129489-0.277695))+0-27.2-0.0138719999999972</f>
        <v>1581.4061060000001</v>
      </c>
      <c r="I145" s="3">
        <f>1858.3+(263.4-548.8)+(-0.947733+(-0.134334--0.279888))+0-27.1--0.0138209999999973</f>
        <v>1545.0116420000002</v>
      </c>
      <c r="J145" s="3">
        <f>1864.6+(265.6-512)+(1.901892+(0.270912-0.52224))+0-26.8-0.0273360000000043</f>
        <v>1593.0232279999998</v>
      </c>
      <c r="K145" s="3">
        <f>1852.7+(271.2-572)+(-4.724385+(-0.69156--1.4586))+0-26.5--0.0675749999999962</f>
        <v>1521.5102300000001</v>
      </c>
      <c r="L145" s="3">
        <f>1776.4+(242-596.6)+(-1.811928+(-0.24684--0.608532))+0-26.2--0.0267240000000042</f>
        <v>1394.1764880000003</v>
      </c>
      <c r="M145" s="3">
        <f>1742.9+(227.9-566.9)+(0.888879+(0.116229-0.289119))+0-28.1-0.0143309999999971</f>
        <v>1376.5016580000001</v>
      </c>
      <c r="N145" s="3">
        <f>1739.1+(234-498.6)+(-0.886941+(-0.11934--0.254286))+0-29.4--0.014993999999997</f>
        <v>1444.3629989999997</v>
      </c>
      <c r="O145" s="3">
        <f>1813.6+(253.1-495.3)+(0.924936+(0.129081-0.252603))+0-29.4-0.014993999999997</f>
        <v>1542.7864199999999</v>
      </c>
      <c r="P145" s="3">
        <f>1899.2+(253.5-485.6)+(3.874368+(0.51714-0.990624))+0-28.8-0.0587519999999987</f>
        <v>1641.6421319999999</v>
      </c>
      <c r="Q145" s="3">
        <f>1898.5+(267.1-422.8)+(2.904705+(0.408663-0.646884))+0-27.7-0.0423810000000016</f>
        <v>1717.724103</v>
      </c>
      <c r="R145" s="3">
        <f>1957.9+(272.9-455.1)+(-1.997058+(-0.278358--0.464202))+0-27.6--0.0281520000000044</f>
        <v>1746.3169380000002</v>
      </c>
      <c r="S145" s="3">
        <f>2046.4+(260.1-519.7)+(-1.043664+(-0.132651--0.265047))+0-27.2--0.0138719999999972</f>
        <v>1758.7026040000001</v>
      </c>
      <c r="T145" s="3">
        <f>2070.1+(242.1-540.4)+(2.111502+(0.246942-0.551208))+0-28.7-0.0292740000000046</f>
        <v>1744.877962</v>
      </c>
      <c r="U145" s="3">
        <f>2174+(205.5-618.2)+(-2.21748+(-0.20961--0.630564))+0-26.9--0.0274380000000043</f>
        <v>1732.6309119999999</v>
      </c>
      <c r="V145" s="3">
        <f>2175.3+(209.8-656.6)+(-2.218806+(-0.213996--0.669732))+0-27.2--0.0277440000000043</f>
        <v>1699.5646740000002</v>
      </c>
      <c r="W145" s="3">
        <f>2101.1+(208.4-610)+(-2.143122+(-0.212568--0.6222))+0-29.4--0.0299880000000047</f>
        <v>1668.3964979999998</v>
      </c>
      <c r="X145" s="3">
        <f>1973.8+(222.1-507.8)+(-5.03319+(-0.566355--1.29489))+0-29.2--0.0744599999999958</f>
        <v>1654.669805</v>
      </c>
      <c r="Y145" s="3">
        <f>1922.9+(233.6-475.7)+(0+(0-0))+0-27.7-0</f>
        <v>1653.1000000000001</v>
      </c>
      <c r="Z145" s="3">
        <f>2045.7+(325.2-525.4)+(1.043307+(0.165852-0.267954))+0-26.7-0.0136169999999973</f>
        <v>1819.727588</v>
      </c>
      <c r="AA145" s="3">
        <f>2087.5+(339.8-493.2)+(-4.2585+(-0.693192--1.006128))+0-26.8--0.0546719999999988</f>
        <v>1903.4091079999998</v>
      </c>
      <c r="AB145" s="3">
        <f>2140.8+(336.5-527.8)+(-3.275424+(-0.514845--0.807534))+0-27.1--0.0414630000000016</f>
        <v>1919.4587280000003</v>
      </c>
      <c r="AC145" s="3">
        <f>2088.6+(320.3-496)+(2.130372+(0.326706-0.50592))+0-26.1-0.0266220000000042</f>
        <v>1888.7245359999999</v>
      </c>
      <c r="AD145">
        <v>1859</v>
      </c>
      <c r="AE145" s="3">
        <f>2055.5+(336.7-466.6)+(0+(0-0))+0-28-0</f>
        <v>1897.6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2049.4+(203.9-469.7)+(1.045194+(0.103989-0.239547))+0-26.8-0.0136679999999973</f>
        <v>1757.6959680000002</v>
      </c>
      <c r="G146" s="3">
        <f>1977.1+(216.5-554.2)+(-2.016642+(-0.22083--0.565284))+0-27--0.0275400000000043</f>
        <v>1610.7553519999999</v>
      </c>
      <c r="H146" s="3">
        <f>1985.5+(218.5-652.2)+(-2.02521+(-0.22287--0.665244))+0-27--0.0275400000000043</f>
        <v>1523.244704</v>
      </c>
      <c r="I146" s="3">
        <f>1997.6+(224.8-701)+(1.018776+(0.114648-0.35751))+0-26.8-0.0136679999999973</f>
        <v>1495.3622459999999</v>
      </c>
      <c r="J146" s="3">
        <f>2052.4+(229.7-690.4)+(-1.046724+(-0.117147--0.352104))+0-26.2--0.0133619999999973</f>
        <v>1564.701595</v>
      </c>
      <c r="K146" s="3">
        <f>1897.3+(231.4-612.8)+(-4.838115+(-0.59007--1.56264))+0-26.1--0.0665549999999962</f>
        <v>1486.0010100000002</v>
      </c>
      <c r="L146" s="3">
        <f>1843.2+(227.8-598.1)+(-1.880064+(-0.232356--0.610062))+0-26.4--0.0269280000000042</f>
        <v>1445.02457</v>
      </c>
      <c r="M146" s="3">
        <f>1951.8+(219.4-638.5)+(1.990836+(0.223788-0.65127))+0-27.7-0.0282540000000044</f>
        <v>1506.5350999999996</v>
      </c>
      <c r="N146" s="3">
        <f>2242.6+(231.5-764)+(5.71863+(0.590325-1.9482))+0-28.9-0.0736949999999958</f>
        <v>1685.4870599999997</v>
      </c>
      <c r="O146" s="3">
        <f>2546.2+(240.4-912.3)+(1.298562+(0.122604-0.465273))+0-30.1-0.0153509999999969</f>
        <v>1845.1405419999999</v>
      </c>
      <c r="P146" s="3">
        <f>2787+(240.8-1030)+(1.42137+(0.122808-0.5253))+0-29.4-0.014993999999997</f>
        <v>1969.4038840000001</v>
      </c>
      <c r="Q146" s="3">
        <f>2848.2+(239.9-995.6)+(0+(0-0))+0-29.4-0</f>
        <v>2063.1</v>
      </c>
      <c r="R146" s="3">
        <f>2840.5+(232.7-972.8)+(4.345965+(0.356031-1.488384))+0-27.7-0.0423810000000016</f>
        <v>2075.8712310000001</v>
      </c>
      <c r="S146" s="3">
        <f>2679.7+(237.1-823)+(-1.366647+(-0.120921--0.41973))+0-27.9--0.0142289999999972</f>
        <v>2064.8463909999996</v>
      </c>
      <c r="T146" s="3">
        <f>2740.2+(236.5-900.1)+(0+(0-0))+0-28-0</f>
        <v>2048.6</v>
      </c>
      <c r="U146" s="3">
        <f>2827.2+(237.2-1016.1)+(-5.767488+(-0.483888--2.072844))+0-28.7--0.0585479999999987</f>
        <v>2015.4800159999998</v>
      </c>
      <c r="V146" s="3">
        <f>2836.1+(237.9-1055.8)+(-2.892822+(-0.242658--1.076916))+0-29.4--0.0299880000000047</f>
        <v>1986.7714239999998</v>
      </c>
      <c r="W146" s="3">
        <f>2830.1+(236-1099.9)+(-7.216755+(-0.6018--2.804745))+0-28.2--0.0719099999999959</f>
        <v>1933.0580999999997</v>
      </c>
      <c r="X146" s="3">
        <f>2800.9+(237.2-1087.9)+(-11.427672+(-0.967776--4.438632))+0-27.3--0.111383999999998</f>
        <v>1915.0545680000002</v>
      </c>
      <c r="Y146" s="3">
        <f>2550.5+(236.7-921.6)+(-1.300755+(-0.120717--0.470016))+0-28.2--0.0143819999999971</f>
        <v>1836.4629259999999</v>
      </c>
      <c r="Z146" s="3">
        <f>2880.6+(311.5-1189)+(2.938212+(0.31773-1.21278))+0-28-0.0285600000000045</f>
        <v>1977.1146019999999</v>
      </c>
      <c r="AA146" s="3">
        <f>2954.9+(324.7-1177.1)+(-3.013998+(-0.331194--1.200642))+0-27.7--0.0282540000000044</f>
        <v>2072.683704</v>
      </c>
      <c r="AB146" s="3">
        <f>2947.3+(320.7-1189.7)+(-3.006246+(-0.327114--1.213494))+0-28--0.0285600000000045</f>
        <v>2048.2086940000004</v>
      </c>
      <c r="AC146" s="3">
        <f>2879.9+(298.9-1144.9)+(-2.937498+(-0.304878--1.167798))+0-27.2--0.0277440000000043</f>
        <v>2004.6531660000001</v>
      </c>
      <c r="AD146">
        <v>1958.4</v>
      </c>
      <c r="AE146" s="3">
        <f>2873.5+(327.6-1169.3)+(0+(0-0))+0-24-0</f>
        <v>2007.8000000000002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2806.6+(163.9-1086.7)+(-1.431366+(-0.083589--0.554217))+0-27.5--0.0140249999999972</f>
        <v>1855.3532869999997</v>
      </c>
      <c r="G147" s="3">
        <f>2686.3+(180.1-1139.8)+(-4.110039+(-0.275553--1.743894))+0-27.2--0.0416160000000016</f>
        <v>1696.7999180000004</v>
      </c>
      <c r="H147" s="3">
        <f>2627.7+(208.6-1202.8)+(1.340127+(0.106386-0.613428))+0-27.7-0.0141269999999972</f>
        <v>1606.618958</v>
      </c>
      <c r="I147" s="3">
        <f>2533.1+(217.1-1154.3)+(-2.583762+(-0.221442--1.177386))+0-27.3--0.0278460000000044</f>
        <v>1567.0000280000002</v>
      </c>
      <c r="J147" s="3">
        <f>2479.3+(220.4-1050.2)+(-5.057772+(-0.449616--2.142408))+0-27.4--0.0558959999999988</f>
        <v>1618.7909159999999</v>
      </c>
      <c r="K147" s="3">
        <f>2346.7+(219.9-990.8)+(-4.787268+(-0.448596--2.021232))+0-27.4--0.0558959999999988</f>
        <v>1545.2412639999998</v>
      </c>
      <c r="L147" s="3">
        <f>2253.3+(207.1-947.7)+(-3.447549+(-0.316863--1.449981))+0-28.2--0.0431460000000016</f>
        <v>1482.2287150000002</v>
      </c>
      <c r="M147" s="3">
        <f>2250.2+(209.7-900.4)+(1.147602+(0.106947-0.459204))+0-29.3-0.014942999999997</f>
        <v>1530.9804019999999</v>
      </c>
      <c r="N147" s="3">
        <f>2317.7+(226.8-815.4)+(0+(0-0))+0-29.9-0</f>
        <v>1699.1999999999998</v>
      </c>
      <c r="O147" s="3">
        <f>2579.8+(246.2-937.3)+(2.631396+(0.251124-0.956046))+0-29.5-0.0300900000000047</f>
        <v>1861.0963840000004</v>
      </c>
      <c r="P147" s="3">
        <f>2883.1+(252.7-1115.2)+(4.411143+(0.386631-1.706256))+0-28.8-0.0440640000000017</f>
        <v>1994.847454</v>
      </c>
      <c r="Q147" s="3">
        <f>2924+(271.1-1081.3)+(2.98248+(0.276522-1.102926))+0-29.5-0.0300900000000047</f>
        <v>2086.4259860000002</v>
      </c>
      <c r="R147" s="3">
        <f>2887.5+(269-1054.4)+(5.8905+(0.54876-2.150976))+0-26-0.0530399999999989</f>
        <v>2080.3352440000003</v>
      </c>
      <c r="S147" s="3">
        <f>2860.3+(270.5-1044.2)+(0+(0-0))+0-24-0</f>
        <v>2062.6000000000004</v>
      </c>
      <c r="T147" s="3">
        <f>2863.2+(273.7-1069.5)+(-2.920464+(-0.279174--1.09089))+0-21.6--0.0220320000000034</f>
        <v>2043.7132839999997</v>
      </c>
      <c r="U147" s="3">
        <f>2864.5+(275.1-1104.2)+(1.460895+(0.140301-0.563142))+0-14-0.00713999999999858</f>
        <v>2022.4309140000003</v>
      </c>
      <c r="V147" s="3">
        <f>2895.4+(274.8-1184)+(-1.476654+(-0.140148--0.60384))+6.7-14--0.00713999999999858</f>
        <v>1977.894178</v>
      </c>
      <c r="W147" s="3">
        <f>2899.7+(268.7-1199.6)+(-2.957694+(-0.274074--1.223592))+0-13.7--0.0139740000000022</f>
        <v>1953.1057979999998</v>
      </c>
      <c r="X147" s="3">
        <f>2924.6+(256.5-1225.3)+(-8.949276+(-0.78489--3.749418))+0-26.3--0.080478000000003</f>
        <v>1923.59573</v>
      </c>
      <c r="Y147" s="3">
        <f>2847.7+(246.5-1231.4)+(0+(0-0))+0-18-0</f>
        <v>1844.7999999999997</v>
      </c>
      <c r="Z147" s="3">
        <f>2957.7+(320.1-1298.5)+(-3.016854+(-0.326502--1.32447))+0-12.5--0.012750000000002</f>
        <v>1964.7938639999998</v>
      </c>
      <c r="AA147" s="3">
        <f>3019.7+(330.5-1263.3)+(-7.700235+(-0.842775--3.221415))+0-13--0.0331499999999981</f>
        <v>2068.611555</v>
      </c>
      <c r="AB147" s="3">
        <f>3027.2+(318.2-1277.7)+(1.543872+(0.162282-0.651627))+0-25.3-0.0129029999999974</f>
        <v>2043.4416239999996</v>
      </c>
      <c r="AC147" s="3">
        <f>2940.1+(307.3-1210.1)+(-5.997804+(-0.626892--2.468604))+0-25.7--0.0524279999999989</f>
        <v>2007.4963359999999</v>
      </c>
      <c r="AD147">
        <v>1972.4</v>
      </c>
      <c r="AE147" s="3">
        <f>2990.6+(326-1291.8)+(0+(0-0))+0-8-0</f>
        <v>2016.8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2666.3+(188-964.2)+(-4.079439+(-0.28764--1.475226))+0-27.3--0.0417690000000016</f>
        <v>1859.949916</v>
      </c>
      <c r="G148" s="3">
        <f>2639.5+(173.1-1073.1)+(-5.38458+(-0.353124--2.189124))+0-27.8--0.0567119999999988</f>
        <v>1708.2081320000002</v>
      </c>
      <c r="H148" s="3">
        <f>2644.5+(182.6-1177)+(-4.046085+(-0.279378--1.80081))+0-27.8--0.0425340000000016</f>
        <v>1619.8178809999999</v>
      </c>
      <c r="I148" s="3">
        <f>2648.4+(191.5-1225.3)+(-1.350684+(-0.097665--0.624903))+0-27.7--0.0141269999999972</f>
        <v>1586.0906809999999</v>
      </c>
      <c r="J148" s="3">
        <f>2651+(182.9-1163.7)+(-5.40804+(-0.373116--2.373948))+0-28.4--0.0579359999999988</f>
        <v>1638.4507279999996</v>
      </c>
      <c r="K148" s="3">
        <f>2571.1+(182.7-1136)+(-5.245044+(-0.372708--2.31744))+0-27.9--0.0569159999999988</f>
        <v>1586.6566039999998</v>
      </c>
      <c r="L148" s="3">
        <f>2332+(175-959.6)+(-7.13592+(-0.5355--2.936376))+0-27.9--0.0853740000000032</f>
        <v>1514.85033</v>
      </c>
      <c r="M148" s="3">
        <f>2326.5+(165-907.2)+(-2.37303+(-0.1683--0.925344))+0-28.9--0.0294780000000046</f>
        <v>1553.8134919999998</v>
      </c>
      <c r="N148" s="3">
        <f>2404.8+(171.8-809.3)+(4.905792+(0.350472-1.650972))+0-29.5-0.0601799999999987</f>
        <v>1741.3451120000002</v>
      </c>
      <c r="O148" s="3">
        <f>2696.5+(191.7-965.8)+(0+(0-0))+0-29.3-0</f>
        <v>1893.1000000000001</v>
      </c>
      <c r="P148" s="3">
        <f>2918.8+(197-1013)+(-2.977176+(-0.20094--1.03326))+0-29.3--0.0298860000000047</f>
        <v>2071.3850299999999</v>
      </c>
      <c r="Q148" s="3">
        <f>2995.3+(206.6-1054.2)+(0+(0-0))+0-29.5-0</f>
        <v>2118.2000000000003</v>
      </c>
      <c r="R148" s="3">
        <f>3007+(185-1032)+(1.53357+(0.09435-0.52632))+0-27.9-0.0142289999999972</f>
        <v>2133.187371</v>
      </c>
      <c r="S148" s="3">
        <f>3000.6+(188.4-1088.6)+(-3.060612+(-0.192168--1.110372))+0-16.8--0.0171360000000027</f>
        <v>2081.4747279999997</v>
      </c>
      <c r="T148" s="3">
        <f>3005.9+(203.8-1096)+(-4.599027+(-0.311814--1.67688))+0-28.5--0.0436050000000016</f>
        <v>2082.0096439999998</v>
      </c>
      <c r="U148" s="3">
        <f>3006.4+(223.2-1122.2)+(-6.133056+(-0.455328--2.289288))+0-29--0.0591599999999987</f>
        <v>2074.1600639999997</v>
      </c>
      <c r="V148" s="3">
        <f>3002.1+(213.4-1157.1)+(-6.124284+(-0.435336--2.360484))+0-29.7--0.0605879999999987</f>
        <v>2024.5614519999999</v>
      </c>
      <c r="W148" s="3">
        <f>2994.8+(228-1206.9)+(-1.527348+(-0.11628--0.615519))+0-29.4--0.014993999999997</f>
        <v>1985.4868849999998</v>
      </c>
      <c r="X148" s="3">
        <f>2960.6+(231.9-1215.7)+(-3.019812+(-0.236538--1.240014))+0-28--0.0285600000000045</f>
        <v>1946.8122239999998</v>
      </c>
      <c r="Y148" s="3">
        <f>2767.6+(207.2-1085.8)+(2.822952+(0.211344-1.107516))+0-28.3-0.0288660000000045</f>
        <v>1862.5979139999999</v>
      </c>
      <c r="Z148" s="3">
        <f>2971+(315.1-1260.1)+(0+(0-0))+0-28.1-0</f>
        <v>1997.9</v>
      </c>
      <c r="AA148" s="3">
        <f>3003.8+(321.8-1218.2)+(-3.063876+(-0.328236--1.242564))+0-28--0.0285600000000045</f>
        <v>2077.2790120000004</v>
      </c>
      <c r="AB148" s="3">
        <f>3008.3+(322.7-1237.6)+(-6.136932+(-0.658308--2.524704))+0-27.8--0.0567119999999988</f>
        <v>2061.3861760000004</v>
      </c>
      <c r="AC148" s="3">
        <f>2989+(308.6-1261.2)+(-3.04878+(-0.314772--1.286424))+0-27.7--0.0282540000000044</f>
        <v>2006.6511260000002</v>
      </c>
      <c r="AD148">
        <v>2052.6000000000004</v>
      </c>
      <c r="AE148" s="3">
        <f>2997.8+(319.8-1205.3)+(0+(0-0))+0-28.1-0</f>
        <v>2084.2000000000003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2717.3+(199.7-1009)+(-2.771646+(-0.203694--1.02918))+0-27.9--0.0284580000000044</f>
        <v>1878.1822980000002</v>
      </c>
      <c r="G149" s="3">
        <f>2397.2+(206.1-868.8)+(-3.667716+(-0.315333--1.329264))+0-27.7--0.0423810000000016</f>
        <v>1704.188596</v>
      </c>
      <c r="H149" s="3">
        <f>2312.5+(203.2-891.7)+(-4.7175+(-0.414528--1.819068))+0-28--0.0571199999999988</f>
        <v>1592.74416</v>
      </c>
      <c r="I149" s="3">
        <f>2290.8+(202.1-911.1)+(-2.336616+(-0.206142--0.929322))+0-28--0.0285600000000045</f>
        <v>1552.2151240000001</v>
      </c>
      <c r="J149" s="3">
        <f>2252.4+(210.5-831.9)+(0+(0-0))+0-27.9-0</f>
        <v>1603.1</v>
      </c>
      <c r="K149" s="3">
        <f>2206.8+(218.9-842.6)+(-5.62734+(-0.558195--2.14863))+0-26.8--0.0683399999999961</f>
        <v>1552.3314350000003</v>
      </c>
      <c r="L149" s="3">
        <f>2064.2+(208.2-757.7)+(-2.105484+(-0.212364--0.772854))+0-26.5--0.0270300000000042</f>
        <v>1486.6820359999997</v>
      </c>
      <c r="M149" s="3">
        <f>2141.9+(190.5-785.9)+(2.184738+(0.19431-0.801618))+0-29.4-0.0299880000000047</f>
        <v>1518.647442</v>
      </c>
      <c r="N149" s="3">
        <f>2350.7+(195.2-811.6)+(1.198857+(0.099552-0.413916))+0-30.5-0.0155549999999969</f>
        <v>1704.6689379999998</v>
      </c>
      <c r="O149" s="3">
        <f>2579.1+(201-879.6)+(2.630682+(0.20502-0.897192))+0-31.1-0.031722000000005</f>
        <v>1871.3067880000001</v>
      </c>
      <c r="P149" s="3">
        <f>2907.2+(200-1081.1)+(-2.965344+(-0.204--1.102722))+0-28.2--0.0287640000000045</f>
        <v>1995.8621419999997</v>
      </c>
      <c r="Q149" s="3">
        <f>2989.7+(201-1087.5)+(1.524747+(0.10251-0.554625))+0-14.7-0.00749699999999851</f>
        <v>2089.5651349999998</v>
      </c>
      <c r="R149" s="3">
        <f>2988.5+(187.9-1070.6)+(-3.04827+(-0.191658--1.092012))+0-8--0.00816000000000128</f>
        <v>2095.6602440000001</v>
      </c>
      <c r="S149" s="3">
        <f>2971.2+(163.3-1060.3)+(-3.030624+(-0.166566--1.081506))+0-20--0.0204000000000032</f>
        <v>2052.1047159999998</v>
      </c>
      <c r="T149" s="3">
        <f>2995.1+(154.7-1054.2)+(1.527501+(0.078897-0.537642))+0-27.7-0.0141269999999972</f>
        <v>2068.9546290000003</v>
      </c>
      <c r="U149" s="3">
        <f>2978.3+(161.3-1056.2)+(0+(0-0))+0-29.3-0</f>
        <v>2054.1</v>
      </c>
      <c r="V149" s="3">
        <f>2963.6+(167.2-1076)+(-3.022872+(-0.170544--1.09752))+0-30.1--0.0307020000000048</f>
        <v>2022.6348060000005</v>
      </c>
      <c r="W149" s="3">
        <f>2968.3+(162.7-1120.1)+(-3.027666+(-0.165954--1.142502))+0-29.9--0.0304980000000048</f>
        <v>1978.9793800000002</v>
      </c>
      <c r="X149" s="3">
        <f>2864.1+(171.2-1070.3)+(-4.382073+(-0.261936--1.637559))+0-29.8--0.0455940000000017</f>
        <v>1932.2391439999999</v>
      </c>
      <c r="Y149" s="3">
        <f>2682.7+(199.9-998.2)+(-2.736354+(-0.203898--1.018164))+0-28.4--0.0289680000000045</f>
        <v>1854.1068799999996</v>
      </c>
      <c r="Z149" s="3">
        <f>2960.1+(304.4-1249.8)+(-1.509651+(-0.155244--0.637398))+0-27.7--0.0141269999999972</f>
        <v>1985.9866299999996</v>
      </c>
      <c r="AA149" s="3">
        <f>3021+(316-1239.6)+(-7.70355+(-0.8058--3.16098))+0-28.1--0.0716549999999959</f>
        <v>2064.0232850000002</v>
      </c>
      <c r="AB149" s="3">
        <f>3038.9+(319-1262.9)+(-3.099678+(-0.32538--1.288158))+0-27.9--0.0284580000000044</f>
        <v>2064.9915580000002</v>
      </c>
      <c r="AC149" s="3">
        <f>3044.1+(314.4-1302)+(0+(0-0))+0-27.8-0</f>
        <v>2028.7</v>
      </c>
      <c r="AD149">
        <v>2035.7000000000003</v>
      </c>
      <c r="AE149" s="3">
        <f>2989.5+(305.9-1216.5)+(0+(0-0))+0-27.6-0</f>
        <v>2051.3000000000002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2836+(264.1-1171.2)+(-7.2318+(-0.673455--2.98656))+0-28.2--0.0719099999999959</f>
        <v>1895.8532149999999</v>
      </c>
      <c r="G150" s="3">
        <f>2480.9+(237.7-999.7)+(-5.061036+(-0.484908--2.039388))+0-27.5--0.0560999999999988</f>
        <v>1687.9495440000001</v>
      </c>
      <c r="H150" s="3">
        <f>2482.8+(237.9-1099.2)+(-3.798684+(-0.363987--1.681776))+0-27.8--0.0425340000000016</f>
        <v>1591.2616390000001</v>
      </c>
      <c r="I150" s="3">
        <f>2370.8+(236.3-1004.6)+(-1.209108+(-0.120513--0.512346))+0-27.9--0.0142289999999972</f>
        <v>1573.7969539999999</v>
      </c>
      <c r="J150" s="3">
        <f>2286.3+(217.2-854.4)+(0+(0-0))+0-28-0</f>
        <v>1621.1000000000001</v>
      </c>
      <c r="K150" s="3">
        <f>2204.8+(213.3-808)+(-6.746688+(-0.652698--2.47248))+0-28--0.0856800000000032</f>
        <v>1577.2587740000001</v>
      </c>
      <c r="L150" s="3">
        <f>2085.5+(197.7-740.6)+(-2.12721+(-0.201654--0.755412))+0-28--0.0285600000000045</f>
        <v>1513.0551079999998</v>
      </c>
      <c r="M150" s="3">
        <f>2148+(192.8-751.5)+(3.28644+(0.294984-1.149795))+0-28.7-0.0439110000000017</f>
        <v>1562.9877179999999</v>
      </c>
      <c r="N150" s="3">
        <f>2207.4+(200.4-628.8)+(1.125774+(0.102204-0.320688))+0-30-0.015299999999997</f>
        <v>1749.8919900000001</v>
      </c>
      <c r="O150" s="3">
        <f>2280.7+(209.2-516.5)+(-1.163157+(-0.106692--0.263415))+0-30.1--0.0153509999999969</f>
        <v>1942.3089170000001</v>
      </c>
      <c r="P150" s="3">
        <f>2534.7+(219-730.3)+(-1.292697+(-0.11169--0.372453))+0-29.2--0.014891999999997</f>
        <v>1993.1829579999996</v>
      </c>
      <c r="Q150" s="3">
        <f>2886.3+(236.9-959)+(-2.944026+(-0.241638--0.97818))+0-29.5--0.0300900000000047</f>
        <v>2132.5226060000005</v>
      </c>
      <c r="R150" s="3">
        <f>2953.6+(253.4-1063.6)+(1.506336+(0.129234-0.542436))+0-26.2-0.0133619999999973</f>
        <v>2118.2797720000003</v>
      </c>
      <c r="S150" s="3">
        <f>2945.6+(263.4-1097.2)+(-4.506768+(-0.403002--1.678716))+0-26--0.0397800000000015</f>
        <v>2082.6087259999999</v>
      </c>
      <c r="T150" s="3">
        <f>2997.1+(265.5-1147)+(0+(0-0))+0-29.3-0</f>
        <v>2086.2999999999997</v>
      </c>
      <c r="U150" s="3">
        <f>2923.3+(255.2-1067.8)+(2.981766+(0.260304-1.089156))+0-29.3-0.0298860000000047</f>
        <v>2083.5230280000001</v>
      </c>
      <c r="V150" s="3">
        <f>2848.9+(250-1029.9)+(0+(0-0))+0-29.7-0</f>
        <v>2039.3</v>
      </c>
      <c r="W150" s="3">
        <f>2832.1+(247.2-1032.6)+(-4.333113+(-0.378216--1.579878))+0-29.4--0.0449820000000017</f>
        <v>2014.2135309999999</v>
      </c>
      <c r="X150" s="3">
        <f>2865.3+(230.5-1101.2)+(-5.845212+(-0.47022--2.246448))+0-29.4--0.0599759999999987</f>
        <v>1961.1909920000001</v>
      </c>
      <c r="Y150" s="3">
        <f>2756.6+(221.2-1062.7)+(1.405866+(0.112812-0.541977))+0-29.7-0.015146999999997</f>
        <v>1886.3615539999998</v>
      </c>
      <c r="Z150" s="3">
        <f>2947.3+(316.4-1219.7)+(4.509369+(0.484092-1.866141))+0-29-0.0443700000000017</f>
        <v>2018.08295</v>
      </c>
      <c r="AA150" s="3">
        <f>3013.7+(332.5-1217.8)+(-4.610961+(-0.508725--1.863234))+0-27.8--0.0425340000000016</f>
        <v>2097.3860819999995</v>
      </c>
      <c r="AB150" s="3">
        <f>3005.6+(328.3-1217.2)+(-1.532856+(-0.167433--0.620772))+0-28.1--0.0143309999999971</f>
        <v>2087.5348139999996</v>
      </c>
      <c r="AC150" s="3">
        <f>2956.5+(316.3-1205.8)+(0+(0-0))+0-28.1-0</f>
        <v>2038.9</v>
      </c>
      <c r="AD150">
        <v>2040.9000000000003</v>
      </c>
      <c r="AE150" s="3">
        <f>3009+(328.9-1223.8)+(0+(0-0))+0-28.2-0</f>
        <v>2085.9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2801.1+(190.7-1063.3)+(-2.857122+(-0.194514--1.084566))+0-27.6--0.0281520000000044</f>
        <v>1898.9610820000003</v>
      </c>
      <c r="G151" s="3">
        <f>2699.9+(184-1136.6)+(0+(0-0))+0-27.5-0</f>
        <v>1719.8000000000002</v>
      </c>
      <c r="H151" s="3">
        <f>2663.5+(181.7-1182.2)+(1.358385+(0.092667-0.602922))+0-27.6-0.0140759999999972</f>
        <v>1636.2340540000002</v>
      </c>
      <c r="I151" s="3">
        <f>2498.9+(174.1-1058.1)+(-1.274439+(-0.088791--0.539631))+0-27.7--0.0141269999999972</f>
        <v>1586.3905279999999</v>
      </c>
      <c r="J151" s="3">
        <f>2490.2+(177-1017.2)+(3.810006+(0.27081-1.556316))+0-24.7-0.0377910000000014</f>
        <v>1627.7867089999997</v>
      </c>
      <c r="K151" s="3">
        <f>2421.5+(176.5-988.9)+(-7.40979+(-0.54009--3.026034))+0-19.3--0.0590580000000022</f>
        <v>1584.9352120000001</v>
      </c>
      <c r="L151" s="3">
        <f>2230.3+(165.9-830.4)+(-5.687265+(-0.423045--2.11752))+0-22.7--0.0578849999999967</f>
        <v>1539.1650950000001</v>
      </c>
      <c r="M151" s="3">
        <f>2154.4+(163.4-730.4)+(1.098744+(0.083334-0.372504))+0-11.7-0.00596699999999881</f>
        <v>1576.5036070000001</v>
      </c>
      <c r="N151" s="3">
        <f>2292.6+(167.3-726.2)+(1.169226+(0.085323-0.370362))+0-8.9-0.0045389999999991</f>
        <v>1725.6796479999998</v>
      </c>
      <c r="O151" s="3">
        <f>2716.3+(167.3-971.4)+(2.770626+(0.170646-0.990828))+0-24-0.0244800000000038</f>
        <v>1890.1259640000003</v>
      </c>
      <c r="P151" s="3">
        <f>2830.3+(157.6-938.9)+(2.886906+(0.160752-0.957678))+0-27.5-0.0280500000000044</f>
        <v>2023.5619300000003</v>
      </c>
      <c r="Q151" s="3">
        <f>2848.9+(152.9-902.7)+(4.358817+(0.233937-1.381131))+0-25.2-0.0385560000000015</f>
        <v>2077.0730670000003</v>
      </c>
      <c r="R151" s="3">
        <f>2857.2+(146.9-889.9)+(-1.457172+(-0.074919--0.453849))+0-26.7--0.0136169999999973</f>
        <v>2086.435375</v>
      </c>
      <c r="S151" s="3">
        <f>2849.8+(150.4-922.8)+(-5.813592+(-0.306816--1.882512))+0-26.6--0.0542639999999988</f>
        <v>2046.6163680000002</v>
      </c>
      <c r="T151" s="3">
        <f>2852.1+(139.1-979.6)+(-2.909142+(-0.141882--0.999192))+0-26.6--0.0271320000000042</f>
        <v>1982.9752999999998</v>
      </c>
      <c r="U151" s="3">
        <f>2842.5+(133.9-1004.8)+(-4.349025+(-0.204867--1.537344))+0-23.9--0.0365670000000014</f>
        <v>1944.7200189999999</v>
      </c>
      <c r="V151" s="3">
        <f>2781.5+(135.6-900.8)+(-4.255695+(-0.207468--1.378224))+0-26.3--0.0402390000000015</f>
        <v>1986.9553000000001</v>
      </c>
      <c r="W151" s="3">
        <f>2709.9+(115.4-860.6)+(-5.528196+(-0.235416--1.755624))+0-20.5--0.0418199999999991</f>
        <v>1940.2338319999999</v>
      </c>
      <c r="X151" s="3">
        <f>2538.6+(116.1-603.5)+(-3.884058+(-0.177633--0.923355))+0-24.5--0.0374850000000014</f>
        <v>2023.5991489999999</v>
      </c>
      <c r="Y151" s="3">
        <f>2501.8+(143.1-636.2)+(-1.275918+(-0.072981--0.324462))+0-18.1--0.00923099999999816</f>
        <v>1989.5847940000003</v>
      </c>
      <c r="Z151" s="3">
        <f>2744.2+(295.4-1060.9)+(-2.799084+(-0.301308--1.082118))+0-9.1--0.00928200000000145</f>
        <v>1967.5910079999999</v>
      </c>
      <c r="AA151" s="3">
        <f>2702.9+(306-954.9)+(-4.135437+(-0.46818--1.460997))+0-7.6--0.0116280000000004</f>
        <v>2043.269008</v>
      </c>
      <c r="AB151" s="3">
        <f>2677.2+(302.8-962.2)+(-1.365372+(-0.154428--0.490722))+0-6.4--0.00326399999999935</f>
        <v>2010.3741859999996</v>
      </c>
      <c r="AC151" s="3">
        <f>2680.9+(293.5-1001.1)+(-1.367259+(-0.149685--0.510561))+0-4.6--0.00234599999999953</f>
        <v>1967.6959630000003</v>
      </c>
      <c r="AD151">
        <v>1998.4000000000003</v>
      </c>
      <c r="AE151" s="3">
        <f>2753+(303.1-1009)+(0+(0-0))+0-8.1-0</f>
        <v>2039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2635.3+(150-915.1)+(-2.688006+(-0.153--0.933402))+0-3.5--0.00357000000000056</f>
        <v>1864.7959660000004</v>
      </c>
      <c r="G152" s="3">
        <f>2291+(150.1-724)+(-2.33682+(-0.153102--0.73848))+0-3--0.00306000000000048</f>
        <v>1712.3516179999999</v>
      </c>
      <c r="H152" s="3">
        <f>2242.8+(169.7-770.7)+(-4.575312+(-0.346188--1.572228))+0-14.5--0.0295799999999994</f>
        <v>1623.9803080000002</v>
      </c>
      <c r="I152" s="3">
        <f>2250.1+(185.9-813)+(-1.147551+(-0.094809--0.41463))+0-21.5--0.0109649999999978</f>
        <v>1600.683235</v>
      </c>
      <c r="J152" s="3">
        <f>2247.9+(201.5-786.5)+(-3.439287+(-0.308295--1.203345))+0-24.7--0.0377910000000014</f>
        <v>1635.6935539999999</v>
      </c>
      <c r="K152" s="3">
        <f>2038.8+(191.7-630)+(-2.079576+(-0.195534--0.6426))+0-24.4--0.0248880000000039</f>
        <v>1574.4923779999999</v>
      </c>
      <c r="L152" s="3">
        <f>1898.2+(185.2-594.8)+(-7.744656+(-0.755616--2.426784))+0-16.4--0.0669119999999986</f>
        <v>1466.1934240000001</v>
      </c>
      <c r="M152" s="3">
        <f>1686.3+(158.1-436.8)+(0+(0-0))+0-8.4-0</f>
        <v>1399.1999999999998</v>
      </c>
      <c r="N152" s="3">
        <f>1723.8+(165.4-381.8)+(1.758276+(0.168708-0.389436))+0-15.4-0.0157080000000025</f>
        <v>1493.5218399999999</v>
      </c>
      <c r="O152" s="3">
        <f>2009.4+(164.6-524)+(-2.049588+(-0.167892--0.53448))+0-24.3--0.0247860000000039</f>
        <v>1624.041786</v>
      </c>
      <c r="P152" s="3">
        <f>2087.1+(170.3-506.9)+(0+(0-0))+0-25-0</f>
        <v>1725.5</v>
      </c>
      <c r="Q152" s="3">
        <f>2195.5+(160.7-526.8)+(1.119705+(0.081957-0.268668))+0-28-0.0142799999999972</f>
        <v>1802.318714</v>
      </c>
      <c r="R152" s="3">
        <f>2231.7+(152.5-539)+(4.552668+(0.3111-1.09956))+0-26.4-0.0538559999999988</f>
        <v>1822.5103519999998</v>
      </c>
      <c r="S152" s="3">
        <f>2225.6+(134.9-553.6)+(0+(0-0))+0-26.1-0</f>
        <v>1780.8</v>
      </c>
      <c r="T152" s="3">
        <f>2264.9+(144.7-606.1)+(-1.155099+(-0.073797--0.309111))+0-26.8--0.0136679999999973</f>
        <v>1775.7938830000001</v>
      </c>
      <c r="U152" s="3">
        <f>2316.8+(144.4-733.4)+(-1.181568+(-0.073644--0.374034))+0-24.4--0.0124439999999975</f>
        <v>1702.531266</v>
      </c>
      <c r="V152" s="3">
        <f>2315.8+(146.5-754.7)+(-4.724232+(-0.29886--1.539588))+0-26--0.0530399999999989</f>
        <v>1678.1695360000001</v>
      </c>
      <c r="W152" s="3">
        <f>2291+(127.6-667.8)+(-2.33682+(-0.130152--0.681156))+0-26.9--0.0274380000000043</f>
        <v>1722.1416220000001</v>
      </c>
      <c r="X152" s="3">
        <f>2192.2+(123.6-480.9)+(-3.354066+(-0.189108--0.735777))+0-28.3--0.0432990000000016</f>
        <v>1803.8359019999998</v>
      </c>
      <c r="Y152" s="3">
        <f>2193.7+(141.8-541.3)+(1.118787+(0.072318-0.276063))+0-28.6-0.0145859999999971</f>
        <v>1766.500456</v>
      </c>
      <c r="Z152" s="3">
        <f>2338.6+(303.3-834.2)+(-2.385372+(-0.309366--0.850884))+0-27.7--0.0282540000000044</f>
        <v>1778.1843999999999</v>
      </c>
      <c r="AA152" s="3">
        <f>2344.2+(313.1-784.3)+(-4.782168+(-0.638724--1.599972))+0-25.4--0.0518159999999989</f>
        <v>1843.8308959999999</v>
      </c>
      <c r="AB152" s="3">
        <f>2283.8+(313.9-679.5)+(0+(0-0))+0-26.6-0</f>
        <v>1891.6000000000004</v>
      </c>
      <c r="AC152" s="3">
        <f>2233.4+(307.1-624.7)+(1.139034+(0.156621-0.318597))+0-25.8-0.0131579999999974</f>
        <v>1890.9639000000002</v>
      </c>
      <c r="AD152">
        <v>1907</v>
      </c>
      <c r="AE152" s="3">
        <f>2440+(318.3-804.5)+(0+(0-0))+0-26.6-0</f>
        <v>1927.2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2217+(149.3-577.2)+(3.39201+(0.228429-0.883116))+0-27.2-0.0416160000000016</f>
        <v>1764.5957069999999</v>
      </c>
      <c r="G153" s="3">
        <f>2208.7+(165.2-703.7)+(-3.379311+(-0.252756--1.076661))+0-26.8--0.0410040000000016</f>
        <v>1640.8855979999998</v>
      </c>
      <c r="H153" s="3">
        <f>2217.2+(183.9-803.2)+(-1.130772+(-0.093789--0.409632))+0-26.5--0.0135149999999973</f>
        <v>1570.5985859999998</v>
      </c>
      <c r="I153" s="3">
        <f>2218.9+(195.1-856.1)+(4.526556+(0.398004-1.746444))+0-27.3-0.0556919999999988</f>
        <v>1533.7224240000003</v>
      </c>
      <c r="J153" s="3">
        <f>2216+(203.2-815.9)+(0+(0-0))+0-27.1-0</f>
        <v>1576.2</v>
      </c>
      <c r="K153" s="3">
        <f>1976.4+(201.3-608)+(-4.031856+(-0.410652--1.24032))+0-27.2--0.0554879999999988</f>
        <v>1539.3533</v>
      </c>
      <c r="L153" s="3">
        <f>1895.4+(204.3-593.6)+(-3.866616+(-0.416772--1.210944))+0-27.3--0.0556919999999988</f>
        <v>1475.7832480000002</v>
      </c>
      <c r="M153" s="3">
        <f>1897.9+(164.3-537.2)+(-0.967929+(-0.083793--0.273972))+0-28.3--0.0144329999999971</f>
        <v>1495.9366830000001</v>
      </c>
      <c r="N153" s="3">
        <f>1999.8+(132.7-492.9)+(-2.039796+(-0.135354--0.502758))+0-29.2--0.0297840000000047</f>
        <v>1608.757392</v>
      </c>
      <c r="O153" s="3">
        <f>2221.2+(168.2-558.4)+(1.132812+(0.085782-0.284784))+0-28.8-0.0146879999999971</f>
        <v>1803.1191219999998</v>
      </c>
      <c r="P153" s="3">
        <f>2517.1+(178.6-708.1)+(2.567442+(0.182172-0.722262))+0-27.6-0.0281520000000044</f>
        <v>1961.9992</v>
      </c>
      <c r="Q153" s="3">
        <f>2610.8+(181.1-736)+(-1.331508+(-0.092361--0.37536))+0-27.9--0.0142289999999972</f>
        <v>2026.9657199999997</v>
      </c>
      <c r="R153" s="3">
        <f>2766.7+(176.2-853.3)+(0+(0-0))+0-27.4-0</f>
        <v>2062.1999999999998</v>
      </c>
      <c r="S153" s="3">
        <f>2770.3+(184-903.8)+(-4.238559+(-0.28152--1.382814))+0-27.6--0.0422280000000016</f>
        <v>2019.804963</v>
      </c>
      <c r="T153" s="3">
        <f>2770.2+(184.9-921.5)+(1.412802+(0.094299-0.469965))+0-27.8-0.0141779999999972</f>
        <v>2006.822958</v>
      </c>
      <c r="U153" s="3">
        <f>2744.4+(182-899.6)+(2.799288+(0.18564-0.917592))+0-29.7-0.0302940000000047</f>
        <v>1999.1370420000003</v>
      </c>
      <c r="V153" s="3">
        <f>2723.1+(174.3-909.1)+(-5.555124+(-0.355572--1.854564))+0-29.6--0.0603839999999987</f>
        <v>1954.704252</v>
      </c>
      <c r="W153" s="3">
        <f>2784.7+(180.5-1000.6)+(-2.840394+(-0.18411--1.020612))+0-29.4--0.0299880000000047</f>
        <v>1933.2260959999999</v>
      </c>
      <c r="X153" s="3">
        <f>2775.1+(177.8-1022.1)+(-9.907107+(-0.634746--3.648897))+0-28.4--0.101388</f>
        <v>1895.608432</v>
      </c>
      <c r="Y153" s="3">
        <f>2696+(176.7-1001)+(-1.37496+(-0.090117--0.51051))+0-28.7--0.0146369999999971</f>
        <v>1842.06007</v>
      </c>
      <c r="Z153" s="3">
        <f>2871.3+(310.3-1164)+(0+(0-0))+0-27.9-0</f>
        <v>1989.7</v>
      </c>
      <c r="AA153" s="3">
        <f>2873.4+(322-1119.4)+(-5.861736+(-0.65688--2.283576))+0-27.1--0.0552839999999988</f>
        <v>2044.7202440000001</v>
      </c>
      <c r="AB153" s="3">
        <f>2620.9+(313.1-905)+(0+(0-0))+0-28.3-0</f>
        <v>2000.7</v>
      </c>
      <c r="AC153" s="3">
        <f>2602.7+(307.3-936)+(-3.982131+(-0.470169--1.43208))+0-28.1--0.0429930000000016</f>
        <v>1942.9227729999998</v>
      </c>
      <c r="AD153">
        <v>2037</v>
      </c>
      <c r="AE153" s="3">
        <f>2926+(324-1154.2)+(0+(0-0))+0-27.4-0</f>
        <v>2068.4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2463.4+(153.9-770.1)+(3.769002+(0.235467-1.178253))+0-27.9-0.0426870000000016</f>
        <v>1822.0835289999998</v>
      </c>
      <c r="G154" s="3">
        <f>2273.3+(172.4-736.9)+(1.159383+(0.087924-0.375819))+0-27.8-0.0141779999999972</f>
        <v>1681.8573100000003</v>
      </c>
      <c r="H154" s="3">
        <f>2243.9+(197.7-854.7)+(-3.433167+(-0.302481--1.307691))+0-27.2--0.0416160000000016</f>
        <v>1557.3136589999999</v>
      </c>
      <c r="I154" s="3">
        <f>2278.6+(210.8-933.4)+(1.162086+(0.107508-0.476034))+0-27.1-0.0138209999999973</f>
        <v>1529.6797390000002</v>
      </c>
      <c r="J154" s="3">
        <f>2270.9+(204.9-866.3)+(0+(0-0))+0-27.3-0</f>
        <v>1582.2</v>
      </c>
      <c r="K154" s="3">
        <f>2227.3+(210.5-858)+(-4.543692+(-0.42942--1.75032))+0-27.3--0.0556919999999988</f>
        <v>1549.3329000000001</v>
      </c>
      <c r="L154" s="3">
        <f>1995.7+(207.6-692.1)+(-6.106842+(-0.635256--2.117826))+0-27.4--0.0838440000000032</f>
        <v>1479.2595719999999</v>
      </c>
      <c r="M154" s="3">
        <f>2004.2+(170-655.8)+(1.022142+(0.0867-0.334458))+0-28.5-0.0145349999999971</f>
        <v>1490.6598490000001</v>
      </c>
      <c r="N154" s="3">
        <f>2238.7+(127.3-709.9)+(1.141737+(0.064923-0.362049))+0-29.8-0.015197999999997</f>
        <v>1627.1294129999999</v>
      </c>
      <c r="O154" s="3">
        <f>2479.3+(126.2-797.7)+(1.264443+(0.064362-0.406827))+0-30-0.015299999999997</f>
        <v>1778.7066780000002</v>
      </c>
      <c r="P154" s="3">
        <f>2832.5+(127-1002.3)+(5.7783+(0.25908-2.044692))+0-29.9-0.0609959999999987</f>
        <v>1931.2316920000001</v>
      </c>
      <c r="Q154" s="3">
        <f>2918.2+(128.7-988.6)+(1.488282+(0.065637-0.504186))+0-29.3-0.014942999999997</f>
        <v>2030.0347899999997</v>
      </c>
      <c r="R154" s="3">
        <f>2964.6+(127.7-1045.2)+(3.023892+(0.130254-1.066104))+0-28.4-0.0289680000000045</f>
        <v>2020.7590739999996</v>
      </c>
      <c r="S154" s="3">
        <f>2947.2+(130.1-1083.3)+(-3.006144+(-0.132702--1.104966))+0-27.6--0.0281520000000044</f>
        <v>1964.3942720000002</v>
      </c>
      <c r="T154" s="3">
        <f>2940.8+(130.4-1101.8)+(-2.999616+(-0.133008--1.123836))+0-28.2--0.0287640000000045</f>
        <v>1939.2199759999999</v>
      </c>
      <c r="U154" s="3">
        <f>2904.3+(131.1-1065.7)+(-5.924772+(-0.267444--2.174028))+0-29.7--0.0605879999999987</f>
        <v>1936.0424000000003</v>
      </c>
      <c r="V154" s="3">
        <f>2775.5+(130.2-966.5)+(-5.66202+(-0.265608--1.97166))+0-29--0.0591599999999987</f>
        <v>1906.3031920000001</v>
      </c>
      <c r="W154" s="3">
        <f>2508.2+(130.9-773.7)+(-8.954274+(-0.467313--2.762109))+0-28.5--0.101745</f>
        <v>1830.3422669999995</v>
      </c>
      <c r="X154" s="3">
        <f>2370.4+(134-678.2)+(-7.253424+(-0.41004--2.075292))+0-28.4--0.0869040000000033</f>
        <v>1792.298732</v>
      </c>
      <c r="Y154" s="3">
        <f>2223.5+(160.4-608.4)+(1.133985+(0.081804-0.310284))+0-28.3-0.0144329999999971</f>
        <v>1748.0910719999999</v>
      </c>
      <c r="Z154" s="3">
        <f>2586.9+(304.7-977.5)+(-1.319319+(-0.155397--0.498525))+0-28.2--0.0143819999999971</f>
        <v>1884.9381910000002</v>
      </c>
      <c r="AA154" s="3">
        <f>2665.2+(310.9-992.6)+(-9.514764+(-1.109913--3.543582))+0-27.4--0.0978180000000004</f>
        <v>1949.1167229999996</v>
      </c>
      <c r="AB154" s="3">
        <f>2527.6+(307-859.8)+(-6.44538+(-0.78285--2.19249))+0-27.5--0.070124999999996</f>
        <v>1942.3343849999999</v>
      </c>
      <c r="AC154" s="3">
        <f>2386.9+(302.3-773.3)+(1.217319+(0.154173-0.394383))+0-27.2-0.0138719999999972</f>
        <v>1889.663237</v>
      </c>
      <c r="AD154">
        <v>1934.2</v>
      </c>
      <c r="AE154" s="3">
        <f>2660+(317.1-1004.9)+(0+(0-0))+0-27.4-0</f>
        <v>1944.8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2297.7+(169.7-640.1)+(-1.171827+(-0.086547--0.326451))+0-27--0.0137699999999973</f>
        <v>1799.3818469999997</v>
      </c>
      <c r="G155" s="3">
        <f>2161.5+(184.2-639.2)+(-3.307095+(-0.281826--0.977976))+0-27--0.0413100000000016</f>
        <v>1676.9303650000002</v>
      </c>
      <c r="H155" s="3">
        <f>2107.8+(208.2-692.4)+(-2.149956+(-0.212364--0.706248))+0-27.3--0.0278460000000044</f>
        <v>1594.6717740000001</v>
      </c>
      <c r="I155" s="3">
        <f>2045.8+(211.4-691.6)+(3.130074+(0.323442-1.058148))+0-26.8-0.0410040000000016</f>
        <v>1541.154364</v>
      </c>
      <c r="J155" s="3">
        <f>2037.8+(211.9-645.9)+(1.039278+(0.108069-0.329409))+0-27.1-0.0138209999999973</f>
        <v>1577.504117</v>
      </c>
      <c r="K155" s="3">
        <f>1792.2+(216.7-486.6)+(-2.742066+(-0.331551--0.744498))+0-27.4--0.0419220000000016</f>
        <v>1492.612803</v>
      </c>
      <c r="L155" s="3">
        <f>1686.1+(221.1-504.6)+(-6.879288+(-0.902088--2.058768))+0-27.2--0.110975999999998</f>
        <v>1369.7883679999998</v>
      </c>
      <c r="M155" s="3">
        <f>1622.9+(170-458.1)+(0+(0-0))+0-28.6-0</f>
        <v>1306.2000000000003</v>
      </c>
      <c r="N155" s="3">
        <f>1582+(118.4-315.5)+(3.22728+(0.241536-0.64362))+0-29.4-0.0599759999999987</f>
        <v>1358.26522</v>
      </c>
      <c r="O155" s="3">
        <f>1615.5+(108.8-257.6)+(3.29562+(0.221952-0.525504))+0-29.8-0.0607919999999987</f>
        <v>1439.8312760000001</v>
      </c>
      <c r="P155" s="3">
        <f>1902.1+(121.4-457.4)+(0+(0-0))+0-29.6-0</f>
        <v>1536.5</v>
      </c>
      <c r="Q155" s="3">
        <f>2051.7+(121.8-531.5)+(1.046367+(0.062118-0.271065))+0-29.4-0.014993999999997</f>
        <v>1613.4224259999999</v>
      </c>
      <c r="R155" s="3">
        <f>2131.4+(137.5-596.5)+(0+(0-0))+0-27.5-0</f>
        <v>1644.9</v>
      </c>
      <c r="S155" s="3">
        <f>2144.3+(138.5-621.7)+(-3.280779+(-0.211905--0.951201))+0-27.7--0.0423810000000016</f>
        <v>1630.9008980000001</v>
      </c>
      <c r="T155" s="3">
        <f>2147.6+(139.9-608.1)+(1.095276+(0.071349-0.310131))+0-29.3-0.014942999999997</f>
        <v>1650.9415510000001</v>
      </c>
      <c r="U155" s="3">
        <f>2144.2+(143.7-584)+(-2.187084+(-0.146574--0.59568))+0-29--0.0295800000000046</f>
        <v>1673.1916019999996</v>
      </c>
      <c r="V155" s="3">
        <f>2085.2+(135.8-539)+(1.063452+(0.069258-0.27489))+0-29-0.0147899999999971</f>
        <v>1653.8430299999998</v>
      </c>
      <c r="W155" s="3">
        <f>2065.7+(138.5-539.5)+(-4.214028+(-0.28254--1.10058))+0-28.8--0.0587519999999987</f>
        <v>1632.5627639999998</v>
      </c>
      <c r="X155" s="3">
        <f>1895.6+(162.3-399.9)+(-0.966756+(-0.082773--0.203949))+0-29.1--0.014840999999997</f>
        <v>1628.0692610000001</v>
      </c>
      <c r="Y155" s="3">
        <f>2021.2+(183.9-542.6)+(-1.030812+(-0.093789--0.276726))+0-28.9--0.0147389999999971</f>
        <v>1632.7668639999999</v>
      </c>
      <c r="Z155" s="3">
        <f>2481.3+(317.9-924.2)+(-5.061852+(-0.648516--1.885368))+0-28.6--0.0583439999999988</f>
        <v>1842.6333440000001</v>
      </c>
      <c r="AA155" s="3">
        <f>2435.6+(324.6-806.8)+(-2.484312+(-0.331092--0.822936))+0-27.5--0.0280500000000044</f>
        <v>1923.9355820000001</v>
      </c>
      <c r="AB155" s="3">
        <f>2223.7+(322.4-611.1)+(0+(0-0))+0-27.5-0</f>
        <v>1907.4999999999998</v>
      </c>
      <c r="AC155" s="3">
        <f>2391.7+(308.5-795.3)+(-4.879068+(-0.62934--1.622412))+0-27.5--0.0560999999999988</f>
        <v>1873.5701039999999</v>
      </c>
      <c r="AD155">
        <v>1920.3</v>
      </c>
      <c r="AE155" s="3">
        <f>2655+(326.3-1003.7)+(0+(0-0))+0-27.7-0</f>
        <v>1949.8999999999999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2306+(136.8-643.8)+(-4.70424+(-0.279072--1.313352))+0-27--0.0550799999999988</f>
        <v>1768.3851200000001</v>
      </c>
      <c r="G156" s="3">
        <f>2123.2+(189.1-674)+(-4.331328+(-0.385764--1.37496))+0-27.1--0.0552839999999988</f>
        <v>1607.9131519999999</v>
      </c>
      <c r="H156" s="3">
        <f>1883.1+(216.8-575.5)+(-0.960381+(-0.110568--0.293505))+0-27.4--0.0139739999999972</f>
        <v>1496.2365299999997</v>
      </c>
      <c r="I156" s="3">
        <f>1698.7+(238.9-444)+(1.732674+(0.243678-0.45288))+0-27.2-0.0277440000000043</f>
        <v>1467.8957280000002</v>
      </c>
      <c r="J156" s="3">
        <f>1686.7+(253.1-378.5)+(1.720434+(0.258162-0.38607))+0-27-0.0275400000000043</f>
        <v>1535.8649859999998</v>
      </c>
      <c r="K156" s="3">
        <f>1681.8+(245.4-396.3)+(-2.573154+(-0.375462--0.606339))+0-27.2--0.0416160000000016</f>
        <v>1501.3993389999998</v>
      </c>
      <c r="L156" s="3">
        <f>1627.6+(228.7-363.2)+(0+(0-0))+0-27.1-0</f>
        <v>1466</v>
      </c>
      <c r="M156" s="3">
        <f>1734.2+(192-389)+(0+(0-0))+0-28-0</f>
        <v>1509.2</v>
      </c>
      <c r="N156" s="3">
        <f>2063.8+(165.6-495.5)+(3.157614+(0.253368-0.758115))+0-25.2-0.0385560000000015</f>
        <v>1711.3143110000001</v>
      </c>
      <c r="O156" s="3">
        <f>2465.2+(159.2-722.2)+(2.514504+(0.162384-0.736644))+0-29.4-0.0299880000000047</f>
        <v>1874.7102559999996</v>
      </c>
      <c r="P156" s="3">
        <f>2702.4+(158.1-827.9)+(5.512896+(0.322524-1.688916))+0-30.4-0.0620159999999987</f>
        <v>2006.284488</v>
      </c>
      <c r="Q156" s="3">
        <f>2802.9+(159-872.4)+(2.858958+(0.16218-0.889848))+0-29.8-0.0303960000000048</f>
        <v>2061.8008939999995</v>
      </c>
      <c r="R156" s="3">
        <f>2892.2+(160.7-927.2)+(4.425066+(0.245871-1.418616))+0-28.3-0.0432990000000016</f>
        <v>2100.6090219999996</v>
      </c>
      <c r="S156" s="3">
        <f>2885.3+(168.4-994.3)+(0+(0-0))+0-27.2-0</f>
        <v>2032.2</v>
      </c>
      <c r="T156" s="3">
        <f>2848.1+(170.6-971)+(0+(0-0))+0-29-0</f>
        <v>2018.6999999999998</v>
      </c>
      <c r="U156" s="3">
        <f>2825.3+(170.4-944.1)+(-8.645418+(-0.521424--2.888946))+0-29.3--0.0896580000000034</f>
        <v>2016.1117620000005</v>
      </c>
      <c r="V156" s="3">
        <f>2836.6+(154.5-975.6)+(-4.339998+(-0.236385--1.492668))+0-29.3--0.0448290000000017</f>
        <v>1983.161114</v>
      </c>
      <c r="W156" s="3">
        <f>2747.3+(146.9-913.8)+(-2.802246+(-0.149838--0.932076))+0-29.3--0.0298860000000047</f>
        <v>1949.1098780000002</v>
      </c>
      <c r="X156" s="3">
        <f>2576+(144.7-790.1)+(-3.94128+(-0.221391--1.208853))+0-28.8--0.0440640000000017</f>
        <v>1898.8902459999999</v>
      </c>
      <c r="Y156" s="3">
        <f>2532.5+(145.1-804.7)+(2.58315+(0.148002-0.820794))+0-28.9-0.0294780000000046</f>
        <v>1845.8808800000002</v>
      </c>
      <c r="Z156" s="3">
        <f>2768.6+(313-1061.2)+(-2.823972+(-0.31926--1.082424))+0-28.5--0.0290700000000045</f>
        <v>1989.868262</v>
      </c>
      <c r="AA156" s="3">
        <f>2716.4+(325.4-975.8)+(-4.156092+(-0.497862--1.492974))+0-27.1--0.0414630000000016</f>
        <v>2035.780483</v>
      </c>
      <c r="AB156" s="3">
        <f>2594.7+(319.8-867)+(-3.969891+(-0.489294--1.32651))+0-27--0.0413100000000016</f>
        <v>2017.4086349999998</v>
      </c>
      <c r="AC156" s="3">
        <f>2438+(314.2-757.3)+(-2.48676+(-0.320484--0.772446))+0-27.1--0.0276420000000043</f>
        <v>1965.7928440000003</v>
      </c>
      <c r="AD156">
        <v>1995.0000000000002</v>
      </c>
      <c r="AE156" s="3">
        <f>2715.3+(313-981.8)+(0+(0-0))+0-29.3-0</f>
        <v>2017.2000000000003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2301.2+(174.5-607.8)+(-1.173612+(-0.088995--0.309978))+0-27.3--0.0139229999999972</f>
        <v>1839.661294</v>
      </c>
      <c r="G157" s="3">
        <f>2156.5+(193.5-615.7)+(-3.299445+(-0.296055--0.942021))+0-27.4--0.0419220000000016</f>
        <v>1704.2884429999999</v>
      </c>
      <c r="H157" s="3">
        <f>2094.6+(202.4-660.6)+(-2.136492+(-0.206448--0.673812))+0-27.4--0.0279480000000044</f>
        <v>1607.3588199999997</v>
      </c>
      <c r="I157" s="3">
        <f>2050.1+(212.5-675.1)+(-5.227755+(-0.541875--1.721505))+0-27.5--0.070124999999996</f>
        <v>1556.0219999999999</v>
      </c>
      <c r="J157" s="3">
        <f>2060.2+(215.4-665.4)+(1.050702+(0.109854-0.339354))+0-25.5-0.0130049999999974</f>
        <v>1585.5081969999999</v>
      </c>
      <c r="K157" s="3">
        <f>1970.6+(216.5-609.7)+(-5.02503+(-0.552075--1.554735))+0-27.7--0.070634999999996</f>
        <v>1545.7482649999999</v>
      </c>
      <c r="L157" s="3">
        <f>1813.8+(218.1-498.1)+(-2.775114+(-0.333693--0.762093))+0-27.4--0.0419220000000016</f>
        <v>1504.095208</v>
      </c>
      <c r="M157" s="3">
        <f>1787.7+(172-444.6)+(-1.823454+(-0.17544--0.453492))+0-28.3--0.0288660000000045</f>
        <v>1485.2834640000001</v>
      </c>
      <c r="N157" s="3">
        <f>1819.7+(160.4-350.3)+(1.856094+(0.163608-0.357306))+0-29.9-0.0304980000000048</f>
        <v>1601.5318979999997</v>
      </c>
      <c r="O157" s="3">
        <f>2064.2+(163.9-446)+(2.105484+(0.167178-0.45492))+0-31.3-0.031926000000005</f>
        <v>1752.5858159999998</v>
      </c>
      <c r="P157" s="3">
        <f>2466+(177.5-708.5)+(1.25766+(0.090525-0.361335))+0-29.6-0.015095999999997</f>
        <v>1906.371754</v>
      </c>
      <c r="Q157" s="3">
        <f>2622.2+(176-793.5)+(-2.674644+(-0.17952--0.80937))+0-29.1--0.0296820000000046</f>
        <v>1973.5848880000001</v>
      </c>
      <c r="R157" s="3">
        <f>2546+(165.3-703.8)+(-1.29846+(-0.084303--0.358938))+0-27--0.0137699999999973</f>
        <v>1979.489945</v>
      </c>
      <c r="S157" s="3">
        <f>2520.8+(166.5-700.3)+(-6.42804+(-0.424575--1.785765))+0-28.4--0.0724199999999959</f>
        <v>1953.6055700000002</v>
      </c>
      <c r="T157" s="3">
        <f>2510.4+(163-702.5)+(-6.40152+(-0.41565--1.791375))+0-28.6--0.0729299999999959</f>
        <v>1937.3471350000002</v>
      </c>
      <c r="U157" s="3">
        <f>2513.6+(153.3-702.5)+(-3.845808+(-0.234549--1.074825))+0-29.7--0.0454410000000017</f>
        <v>1931.7399089999999</v>
      </c>
      <c r="V157" s="3">
        <f>2512.9+(159.7-724.7)+(-3.844737+(-0.244341--1.108791))+0-29.3--0.0448290000000017</f>
        <v>1915.664542</v>
      </c>
      <c r="W157" s="3">
        <f>2450.4+(152.5-698.4)+(-2.499408+(-0.15555--0.712368))+0-29.8--0.0303960000000048</f>
        <v>1872.787806</v>
      </c>
      <c r="X157" s="3">
        <f>2377.7+(153.1-651.6)+(-6.063135+(-0.390405--1.66158))+0-29.5--0.0752249999999957</f>
        <v>1844.9832649999998</v>
      </c>
      <c r="Y157" s="3">
        <f>2408.4+(218.7-781.1)+(-1.228284+(-0.111537--0.398361))+0-27.9--0.0142289999999972</f>
        <v>1817.1727689999998</v>
      </c>
      <c r="Z157" s="3">
        <f>2465.4+(316.9-800.6)+(0+(0-0))+0-26.7-0</f>
        <v>1955</v>
      </c>
      <c r="AA157" s="3">
        <f>2455.8+(325.5-762)+(-5.009832+(-0.66402--1.55448))+0-26.9--0.0548759999999988</f>
        <v>1988.3355039999999</v>
      </c>
      <c r="AB157" s="3">
        <f>2447.7+(320.4-774.2)+(1.248327+(0.163404-0.394842))+0-27.5-0.0140249999999972</f>
        <v>1967.4028639999997</v>
      </c>
      <c r="AC157" s="3">
        <f>2377.7+(315-763.7)+(-4.850508+(-0.6426--1.557948))+0-27.4--0.0558959999999988</f>
        <v>1897.7207359999998</v>
      </c>
      <c r="AD157">
        <v>1952.6</v>
      </c>
      <c r="AE157" s="3">
        <f>2431.3+(334.6-758.1)+(0+(0-0))+0-26.4-0</f>
        <v>1981.4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2214.3+(212.3-651.8)+(-1.129293+(-0.108273--0.332418))+0-27.6--0.0140759999999972</f>
        <v>1746.3089280000002</v>
      </c>
      <c r="G158" s="3">
        <f>1922.3+(205-524.1)+(0+(0-0))+0-27.2-0</f>
        <v>1575.9999999999998</v>
      </c>
      <c r="H158" s="3">
        <f>1751.4+(224.8-463.7)+(0+(0-0))+0-27-0</f>
        <v>1485.5</v>
      </c>
      <c r="I158" s="3">
        <f>1703.8+(226.1-452.3)+(2.606814+(0.345933-0.692019))+0-27.5-0.0420750000000016</f>
        <v>1452.3186529999998</v>
      </c>
      <c r="J158" s="3">
        <f>1702.1+(225.9-407.7)+(-0.868071+(-0.115209--0.207927))+0-27.4--0.0139739999999972</f>
        <v>1492.1386209999998</v>
      </c>
      <c r="K158" s="3">
        <f>1679.5+(211.3-374.8)+(-4.282725+(-0.538815--0.95574))+0-27.7--0.070634999999996</f>
        <v>1484.504835</v>
      </c>
      <c r="L158" s="3">
        <f>1641.7+(199.6-381.4)+(-3.349068+(-0.407184--0.778056))+0-27.4--0.0558959999999988</f>
        <v>1429.5777</v>
      </c>
      <c r="M158" s="3">
        <f>1676.7+(166.1-367.1)+(1.710234+(0.169422-0.374442))+0-28.3-0.0288660000000045</f>
        <v>1448.876348</v>
      </c>
      <c r="N158" s="3">
        <f>2055.3+(181.4-573.9)+(0+(0-0))+0-29.7-0</f>
        <v>1633.1000000000001</v>
      </c>
      <c r="O158" s="3">
        <f>2149.5+(189.8-541.6)+(1.096245+(0.096798-0.276216))+0-29-0.0147899999999971</f>
        <v>1769.6020370000001</v>
      </c>
      <c r="P158" s="3">
        <f>2158.2+(187.8-440.8)+(4.402728+(0.383112-0.899232))+0-30-0.0611999999999987</f>
        <v>1879.0254079999997</v>
      </c>
      <c r="Q158" s="3">
        <f>2202.1+(190.3-416.8)+(-5.615355+(-0.485265--1.06284))+0-30.1--0.0767549999999956</f>
        <v>1940.5389749999999</v>
      </c>
      <c r="R158" s="3">
        <f>2255.1+(188.2-479)+(2.300202+(0.191964-0.48858))+0-28.5-0.0290700000000045</f>
        <v>1937.7745159999999</v>
      </c>
      <c r="S158" s="3">
        <f>2278.4+(188.2-541.3)+(-3.485952+(-0.287946--0.828189))+0-27.4--0.0419220000000016</f>
        <v>1894.9962130000001</v>
      </c>
      <c r="T158" s="3">
        <f>2284.3+(192-578.7)+(1.164993+(0.09792-0.295137))+0-29.8-0.015197999999997</f>
        <v>1868.7525780000001</v>
      </c>
      <c r="U158" s="3">
        <f>2283.3+(185.8-596.3)+(0+(0-0))+0-29.9-0</f>
        <v>1842.9</v>
      </c>
      <c r="V158" s="3">
        <f>2265.2+(178.6-592.7)+(-5.77626+(-0.45543--1.511385))+0-29.7--0.0757349999999957</f>
        <v>1816.7554299999997</v>
      </c>
      <c r="W158" s="3">
        <f>2239.7+(171.6-573.4)+(-3.426741+(-0.262548--0.877302))+0-29.3--0.0448290000000017</f>
        <v>1805.8328419999998</v>
      </c>
      <c r="X158" s="3">
        <f>2198.3+(170.2-572.1)+(-3.363399+(-0.260406--0.875313))+0-28--0.0428400000000016</f>
        <v>1765.6943480000002</v>
      </c>
      <c r="Y158" s="3">
        <f>2206.6+(177.1-605.8)+(2.250732+(0.180642-0.617916))+0-28.8-0.0293760000000046</f>
        <v>1750.8840820000003</v>
      </c>
      <c r="Z158" s="3">
        <f>2293.5+(299.6-653.1)+(-8.187795+(-1.069572--2.331567))+0-27.9--0.0996030000000004</f>
        <v>1905.2738029999998</v>
      </c>
      <c r="AA158" s="3">
        <f>2267.4+(327.2-621.6)+(-3.469122+(-0.500616--0.951048))+0-27.5--0.0420750000000016</f>
        <v>1942.523385</v>
      </c>
      <c r="AB158" s="3">
        <f>2106.6+(329.4-489.6)+(1.074366+(0.167994-0.249696))+0-26.9-0.0137189999999973</f>
        <v>1920.4789449999998</v>
      </c>
      <c r="AC158" s="3">
        <f>1994+(314-432)+(-5.0847+(-0.8007--1.1016))+0-26.8--0.0683399999999961</f>
        <v>1844.4845400000002</v>
      </c>
      <c r="AD158">
        <v>1910.2</v>
      </c>
      <c r="AE158" s="3">
        <f>2264.4+(325.7-619.1)+(0+(0-0))+0-27.6-0</f>
        <v>1943.4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1942.5+(195.2-403.3)+(-4.953375+(-0.49776--1.028415))+0-25.4--0.0647699999999963</f>
        <v>1704.6420499999999</v>
      </c>
      <c r="G159" s="3">
        <f>1862.8+(187.4-473.8)+(-4.75014+(-0.47787--1.20819))+0-27.3--0.069614999999996</f>
        <v>1545.149795</v>
      </c>
      <c r="H159" s="3">
        <f>1788.6+(216.9-530.2)+(1.824372+(0.221238-0.540804))+0-26.7-0.0272340000000043</f>
        <v>1450.0775719999997</v>
      </c>
      <c r="I159" s="3">
        <f>1741.1+(222.8-523.1)+(-2.663883+(-0.340884--0.800343))+0-26.7--0.0408510000000015</f>
        <v>1411.9364269999999</v>
      </c>
      <c r="J159" s="3">
        <f>1772.9+(230.8-516.6)+(0+(0-0))+0-27-0</f>
        <v>1460.1000000000001</v>
      </c>
      <c r="K159" s="3">
        <f>1705.4+(232-471.8)+(-4.34877+(-0.5916--1.20309))+0-27.4--0.069869999999996</f>
        <v>1434.53259</v>
      </c>
      <c r="L159" s="3">
        <f>1609.9+(206-438.6)+(-5.747343+(-0.73542--1.565802))+0-27.6--0.0985320000000004</f>
        <v>1344.8815710000003</v>
      </c>
      <c r="M159" s="3">
        <f>1616.3+(186.2-477.5)+(0.824313+(0.094962-0.243525))+0-27.6-0.0140759999999972</f>
        <v>1298.0616740000003</v>
      </c>
      <c r="N159" s="3">
        <f>1607.8+(182.7-389.1)+(0.819978+(0.093177-0.198441))+0-29.3-0.014942999999997</f>
        <v>1372.799771</v>
      </c>
      <c r="O159" s="3">
        <f>1600.2+(193.2-315.1)+(-1.632204+(-0.197064--0.321402))+0-29.6--0.0301920000000047</f>
        <v>1447.2223260000001</v>
      </c>
      <c r="P159" s="3">
        <f>1659+(195.8-290.2)+(1.69218+(0.199716-0.296004))+0-29.7-0.0302940000000047</f>
        <v>1536.465598</v>
      </c>
      <c r="Q159" s="3">
        <f>1828.9+(172.1-366.9)+(3.730956+(0.351084-0.748476))+0-29.3-0.0597719999999987</f>
        <v>1608.0737920000001</v>
      </c>
      <c r="R159" s="3">
        <f>2073.1+(171.5-580.3)+(-3.171843+(-0.262395--0.887859))+0-27.9--0.0426870000000016</f>
        <v>1633.8963080000001</v>
      </c>
      <c r="S159" s="3">
        <f>2100.3+(172.1-633)+(-2.142306+(-0.175542--0.64566))+0-26.7--0.0272340000000043</f>
        <v>1611.0550459999999</v>
      </c>
      <c r="T159" s="3">
        <f>2100.9+(171.7-647.7)+(1.071459+(0.087567-0.330327))+0-28.8-0.0146879999999971</f>
        <v>1596.9140110000001</v>
      </c>
      <c r="U159" s="3">
        <f>2104.9+(138.1-639.8)+(0+(0-0))+0-28.6-0</f>
        <v>1574.6000000000004</v>
      </c>
      <c r="V159" s="3">
        <f>2104.3+(146-655.3)+(0+(0-0))+0-27.8-0</f>
        <v>1567.2000000000003</v>
      </c>
      <c r="W159" s="3">
        <f>2103.8+(150-644.6)+(0+(0-0))+0-26.9-0</f>
        <v>1582.3000000000002</v>
      </c>
      <c r="X159" s="3">
        <f>2068.9+(148.6-608.2)+(-3.165417+(-0.227358--0.930546))+0-28.4--0.0434520000000016</f>
        <v>1578.481223</v>
      </c>
      <c r="Y159" s="3">
        <f>1984.2+(191-553.6)+(3.035826+(0.29223-0.847008))+0-26.9-0.0411570000000016</f>
        <v>1597.1398909999998</v>
      </c>
      <c r="Z159" s="3">
        <f>2303.3+(309-801.4)+(-2.349366+(-0.31518--0.817428))+0-23.4--0.0238680000000037</f>
        <v>1785.6767500000001</v>
      </c>
      <c r="AA159" s="3">
        <f>2299.2+(323.7-777.2)+(-1.172592+(-0.165087--0.396372))+0-24.7--0.0125969999999975</f>
        <v>1820.0712899999996</v>
      </c>
      <c r="AB159" s="3">
        <f>2256+(321.7-732.1)+(-2.30112+(-0.328134--0.746742))+0-26--0.0265200000000041</f>
        <v>1817.7440079999999</v>
      </c>
      <c r="AC159" s="3">
        <f>2195.3+(307-714.7)+(1.119603+(0.15657-0.364497))+0-26.3-0.0134129999999973</f>
        <v>1762.1982630000002</v>
      </c>
      <c r="AD159">
        <v>1790.5</v>
      </c>
      <c r="AE159" s="3">
        <f>2307.8+(326.1-789.1)+(0+(0-0))+0-22.5-0</f>
        <v>1822.3000000000002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2149.8+(140.7-630.3)+(-1.096398+(-0.071757--0.321453))+0-26.5--0.0135149999999973</f>
        <v>1632.8668130000003</v>
      </c>
      <c r="G160" s="3">
        <f>1964.3+(180.3-622.6)+(-6.010758+(-0.551718--1.905156))+0-25.9--0.079254000000003</f>
        <v>1491.5219339999999</v>
      </c>
      <c r="H160" s="3">
        <f>1684.7+(212-494.4)+(-3.436788+(-0.43248--1.008576))+0-25.8--0.0526319999999989</f>
        <v>1373.6919400000002</v>
      </c>
      <c r="I160" s="3">
        <f>1690.7+(206.4-519)+(0.862257+(0.105264-0.26469))+0-26.7-0.0136169999999973</f>
        <v>1352.0892139999999</v>
      </c>
      <c r="J160" s="3">
        <f>1690.2+(206.4-458.7)+(1.724004+(0.210528-0.467874))+0-26.8-0.0273360000000043</f>
        <v>1412.5393220000001</v>
      </c>
      <c r="K160" s="3">
        <f>1689+(207.1-472.3)+(-0.86139+(-0.105621--0.240873))+0-26--0.0132599999999974</f>
        <v>1397.0871219999999</v>
      </c>
      <c r="L160" s="3">
        <f>1683.1+(204.3-497.2)+(-4.291905+(-0.520965--1.26786))+0-25.3--0.0645149999999963</f>
        <v>1361.4195049999998</v>
      </c>
      <c r="M160" s="3">
        <f>1684+(194.9-444)+(-1.71768+(-0.198798--0.45288))+0-27.2--0.0277440000000043</f>
        <v>1406.264146</v>
      </c>
      <c r="N160" s="3">
        <f>1796.8+(196.4-376.2)+(-1.832736+(-0.200328--0.383724))+0-29--0.0295800000000046</f>
        <v>1586.38024</v>
      </c>
      <c r="O160" s="3">
        <f>2068.9+(183.5-477.6)+(2.110278+(0.18717-0.487152))+0-28.1-0.0286620000000045</f>
        <v>1748.4816340000004</v>
      </c>
      <c r="P160" s="3">
        <f>2315.4+(186.4-592.7)+(1.180854+(0.095064-0.302277))+0-28.7-0.0146369999999971</f>
        <v>1881.3590039999999</v>
      </c>
      <c r="Q160" s="3">
        <f>2319.8+(187.4-529.9)+(2.366196+(0.191148-0.540498))+0-28.8-0.0293760000000046</f>
        <v>1950.4874700000003</v>
      </c>
      <c r="R160" s="3">
        <f>2362.4+(185.6-573)+(-1.204824+(-0.094656--0.29223))+0-26.5--0.0135149999999973</f>
        <v>1947.506265</v>
      </c>
      <c r="S160" s="3">
        <f>2433.6+(219.3-728.2)+(-3.723408+(-0.335529--1.114146))+0-25.8--0.0394740000000015</f>
        <v>1895.9946829999999</v>
      </c>
      <c r="T160" s="3">
        <f>2415.2+(206.9-680.4)+(-1.231752+(-0.105519--0.347004))+0-20--0.010199999999998</f>
        <v>1920.7199329999999</v>
      </c>
      <c r="U160" s="3">
        <f>2428.7+(194.4-747.9)+(-2.477274+(-0.198288--0.762858))+0-10.6--0.0108120000000017</f>
        <v>1862.6981079999998</v>
      </c>
      <c r="V160" s="3">
        <f>2411.8+(195-755.8)+(-7.380108+(-0.5967--2.312748))+0-11.7--0.0358020000000013</f>
        <v>1833.6717420000002</v>
      </c>
      <c r="W160" s="3">
        <f>2290.2+(192.3-680.6)+(-2.336004+(-0.196146--0.694212))+0-15.1--0.0154020000000024</f>
        <v>1784.9774640000001</v>
      </c>
      <c r="X160" s="3">
        <f>2162.2+(200.1-585.1)+(-3.308166+(-0.306153--0.895203))+0-22.3--0.0341190000000013</f>
        <v>1752.2150029999998</v>
      </c>
      <c r="Y160" s="3">
        <f>2095.6+(206-542.9)+(0+(0-0))+0-25.4-0</f>
        <v>1733.2999999999997</v>
      </c>
      <c r="Z160" s="3">
        <f>2311.9+(320.9-718.2)+(-2.358138+(-0.327318--0.732564))+0-26.1--0.0266220000000042</f>
        <v>1886.5737300000001</v>
      </c>
      <c r="AA160" s="3">
        <f>2199.6+(329.4-591.1)+(-5.60898+(-0.83997--1.507305))+0-27.3--0.069614999999996</f>
        <v>1905.7279699999997</v>
      </c>
      <c r="AB160" s="3">
        <f>2141.7+(329.1-541.8)+(-3.276801+(-0.503523--0.828954))+0-27.6--0.0422280000000016</f>
        <v>1898.4908580000001</v>
      </c>
      <c r="AC160" s="3">
        <f>2034.8+(324.7-509.4)+(1.037748+(0.165597-0.259794))+0-27.5-0.0140249999999972</f>
        <v>1823.529526</v>
      </c>
      <c r="AD160">
        <v>1867.4</v>
      </c>
      <c r="AE160" s="3">
        <f>2302.4+(325.4-692.3)+(0+(0-0))+0-25.9-0</f>
        <v>1909.6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1997.8+(179.9-483)+(-2.037756+(-0.183498--0.49266))+0-27.5--0.0280500000000044</f>
        <v>1665.4994559999998</v>
      </c>
      <c r="G161" s="3">
        <f>1990.4+(187.5-634.8)+(-2.030208+(-0.19125--0.647496))+0-27.6--0.0281520000000044</f>
        <v>1513.9541900000004</v>
      </c>
      <c r="H161" s="3">
        <f>1873.7+(212.2-611.7)+(-3.822348+(-0.432888--1.247868))+0-27.1--0.0552839999999988</f>
        <v>1444.1479160000001</v>
      </c>
      <c r="I161" s="3">
        <f>1710+(216.1-494.1)+(0.8721+(0.110211-0.251991))+0-27.6-0.0140759999999972</f>
        <v>1405.1162440000001</v>
      </c>
      <c r="J161" s="3">
        <f>1714.1+(211-442.8)+(1.748382+(0.21522-0.451656))+0-27.8-0.0283560000000044</f>
        <v>1455.98359</v>
      </c>
      <c r="K161" s="3">
        <f>1712.8+(219.3-456.3)+(-4.36764+(-0.559215--1.163565))+0-27--0.0688499999999961</f>
        <v>1445.1055599999997</v>
      </c>
      <c r="L161" s="3">
        <f>1645.9+(234-457.1)+(-3.357636+(-0.47736--0.932484))+0-27.2--0.0554879999999988</f>
        <v>1392.7529760000002</v>
      </c>
      <c r="M161" s="3">
        <f>1621.8+(225.5-402)+(0.827118+(0.115005-0.20502))+0-26.8-0.0136679999999973</f>
        <v>1419.2234349999999</v>
      </c>
      <c r="N161" s="3">
        <f>1636.1+(234.6-241.9)+(0.834411+(0.119646-0.123369))+0-27.5-0.0140249999999972</f>
        <v>1602.116663</v>
      </c>
      <c r="O161" s="3">
        <f>1776.6+(251.9-281.1)+(-1.812132+(-0.256938--0.286722))+0-28.3--0.0288660000000045</f>
        <v>1717.3465180000001</v>
      </c>
      <c r="P161" s="3">
        <f>1909.4+(239.4-312.7)+(0.973794+(0.122094-0.159477))+0-28.2-0.0143819999999971</f>
        <v>1808.8220289999999</v>
      </c>
      <c r="Q161" s="3">
        <f>2040.6+(233.6-383.4)+(-1.040706+(-0.119136--0.195534))+0-27.9--0.0142289999999972</f>
        <v>1861.9499209999997</v>
      </c>
      <c r="R161" s="3">
        <f>2078.7+(234.2-417.7)+(1.060137+(0.119442-0.213027))+0-27.6-0.0140759999999972</f>
        <v>1868.5524760000001</v>
      </c>
      <c r="S161" s="3">
        <f>2073.8+(241.3-468.6)+(-4.230552+(-0.492252--0.955944))+0-28.3--0.0577319999999988</f>
        <v>1814.4908720000003</v>
      </c>
      <c r="T161" s="3">
        <f>2073.9+(243-479.3)+(-3.173067+(-0.37179--0.733329))+0-27.8--0.0425340000000016</f>
        <v>1807.0310060000002</v>
      </c>
      <c r="U161" s="3">
        <f>2072.2+(252-480.9)+(-2.113644+(-0.25704--0.490518))+0-30.1--0.0307020000000048</f>
        <v>1811.3505359999999</v>
      </c>
      <c r="V161" s="3">
        <f>2071.4+(252.9-508)+(-2.112828+(-0.257958--0.51816))+0-30.2--0.0308040000000048</f>
        <v>1784.278178</v>
      </c>
      <c r="W161" s="3">
        <f>1916.6+(249.1-371)+(-4.88733+(-0.635205--0.94605))+0-29.4--0.0749699999999957</f>
        <v>1760.7984849999996</v>
      </c>
      <c r="X161" s="3">
        <f>1801+(262.5-292)+(-5.51106+(-0.80325--0.89352))+0-29.5--0.0902700000000034</f>
        <v>1736.66948</v>
      </c>
      <c r="Y161" s="3">
        <f>1733.7+(282-243.3)+(0+(0-0))+0-29.3-0</f>
        <v>1743.1000000000001</v>
      </c>
      <c r="Z161" s="3">
        <f>2079.6+(312.6-492.5)+(-4.242384+(-0.637704--1.0047))+0-27.4--0.0558959999999988</f>
        <v>1868.4805079999999</v>
      </c>
      <c r="AA161" s="3">
        <f>1916.6+(366.6-384.5)+(-4.88733+(-0.93483--0.980475))+0-27--0.0688499999999961</f>
        <v>1866.9271649999996</v>
      </c>
      <c r="AB161" s="3">
        <f>1976.2+(359.3-449.4)+(-4.031448+(-0.732972--0.916776))+0-28.8--0.0587519999999987</f>
        <v>1853.5111080000001</v>
      </c>
      <c r="AC161" s="3">
        <f>1722.2+(372.5-316.5)+(-2.634966+(-0.569925--0.484245))+0-28.9--0.0442170000000017</f>
        <v>1746.6235709999999</v>
      </c>
      <c r="AD161">
        <v>1819.3</v>
      </c>
      <c r="AE161" s="3">
        <f>1921.2+(362-404.7)+(0+(0-0))+0-26.8-0</f>
        <v>1851.7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1449.3+(353.2-214.7)+(-0.739143+(-0.180132--0.109497))+0-29.1--0.014840999999997</f>
        <v>1557.9050629999999</v>
      </c>
      <c r="G162" s="3">
        <f>1397.2+(285.1-224.6)+(0+(0-0))+0-28.7-0</f>
        <v>1429</v>
      </c>
      <c r="H162" s="3">
        <f>1398+(251-262.4)+(0+(0-0))+0-27.9-0</f>
        <v>1358.6999999999998</v>
      </c>
      <c r="I162" s="3">
        <f>1396.7+(242.3-279.4)+(-2.136951+(-0.370719--0.427482))+0-27.9--0.0426870000000016</f>
        <v>1329.6624990000003</v>
      </c>
      <c r="J162" s="3">
        <f>1396.3+(266.5-255.5)+(0.712113+(0.135915-0.130305))+0-28.2-0.0143819999999971</f>
        <v>1379.8033409999998</v>
      </c>
      <c r="K162" s="3">
        <f>1332.7+(299.1-223.3)+(-0.679677+(-0.152541--0.113883))+0-28.2--0.0143819999999971</f>
        <v>1379.596047</v>
      </c>
      <c r="L162" s="3">
        <f>1241.9+(306.1-188.4)+(-2.533476+(-0.624444--0.384336))+0-28.1--0.0573239999999988</f>
        <v>1328.7837400000003</v>
      </c>
      <c r="M162" s="3">
        <f>1239.6+(297.6-174)+(-2.528784+(-0.607104--0.35496))+0-28.3--0.0577319999999988</f>
        <v>1332.1768039999999</v>
      </c>
      <c r="N162" s="3">
        <f>1338.9+(358.1-176.9)+(1.365678+(0.365262-0.180438))+0-30.6-0.0312120000000049</f>
        <v>1491.0192900000002</v>
      </c>
      <c r="O162" s="3">
        <f>1549.6+(315.9-184.5)+(0.790296+(0.161109-0.094095))+0-30.5-0.0155549999999969</f>
        <v>1651.3417550000001</v>
      </c>
      <c r="P162" s="3">
        <f>1685.8+(333.7-207)+(0+(0-0))+0-29.6-0</f>
        <v>1782.9</v>
      </c>
      <c r="Q162" s="3">
        <f>1812.1+(295.2-242.9)+(-0.924171+(-0.150552--0.123879))+0-30.1--0.0153509999999969</f>
        <v>1833.364507</v>
      </c>
      <c r="R162" s="3">
        <f>1834.6+(280.5-244.9)+(-3.742584+(-0.57222--0.499596))+0-28.6--0.0583439999999988</f>
        <v>1837.843136</v>
      </c>
      <c r="S162" s="3">
        <f>1825.3+(233.2-261.1)+(-6.516321+(-0.832524--0.932127))+0-27.9--0.0996030000000004</f>
        <v>1763.1828849999997</v>
      </c>
      <c r="T162" s="3">
        <f>1808.9+(232.5-267.6)+(-4.612695+(-0.592875--0.68238))+0-29.3--0.0747149999999958</f>
        <v>1740.0515250000001</v>
      </c>
      <c r="U162" s="3">
        <f>1767.4+(259.5-255.5)+(-2.704122+(-0.397035--0.390915))+0-29.7--0.0454410000000017</f>
        <v>1739.0351989999999</v>
      </c>
      <c r="V162" s="3">
        <f>1541.5+(400.2-214.1)+(-2.358495+(-0.612306--0.327573))+0-29.7--0.0454410000000017</f>
        <v>1695.3022129999999</v>
      </c>
      <c r="W162" s="3">
        <f>1464.9+(433.6-204.3)+(-2.241297+(-0.663408--0.312579))+0-29--0.0443700000000017</f>
        <v>1662.6522440000001</v>
      </c>
      <c r="X162" s="3">
        <f>1466.5+(453.2-244)+(0.747915+(0.231132-0.12444))+0-29.3-0.014942999999997</f>
        <v>1647.2396640000002</v>
      </c>
      <c r="Y162" s="3">
        <f>1462.6+(450-253.5)+(-1.491852+(-0.459--0.25857))+0-29.2--0.0297840000000047</f>
        <v>1628.2375019999999</v>
      </c>
      <c r="Z162" s="3">
        <f>1459.4+(580.1-201.6)+(-4.465764+(-1.775106--0.616896))+0-28.3--0.0865980000000033</f>
        <v>1804.0626240000001</v>
      </c>
      <c r="AA162" s="3">
        <f>1466.4+(585.3-193.6)+(-2.991456+(-1.194012--0.394944))+0-27.6--0.0563039999999988</f>
        <v>1826.7657799999999</v>
      </c>
      <c r="AB162" s="3">
        <f>1391.5+(621.2-174.1)+(0.709665+(0.316812-0.088791))+0-27.6-0.0140759999999972</f>
        <v>1811.9236100000001</v>
      </c>
      <c r="AC162" s="3">
        <f>1348.6+(596.3-162.8)+(-1.375572+(-0.608226--0.166056))+0-27.9--0.0284580000000044</f>
        <v>1752.4107159999999</v>
      </c>
      <c r="AD162">
        <v>1816.1</v>
      </c>
      <c r="AE162" s="3">
        <f>1465+(609.4-194.4)+(0+(0-0))+0-27.5-0</f>
        <v>1852.5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1329.5+(476.5-171.3)+(0+(0-0))+0-27.7-0</f>
        <v>1607</v>
      </c>
      <c r="G163" s="3">
        <f>1264.7+(388.4-162.4)+(0+(0-0))+0-27.7-0</f>
        <v>1463</v>
      </c>
      <c r="H163" s="3">
        <f>1206.8+(340.5-149.6)+(1.846404+(0.520965-0.228888))+0-27.5-0.0420750000000016</f>
        <v>1372.2964059999999</v>
      </c>
      <c r="I163" s="3">
        <f>1209.4+(314.5-149.7)+(0+(0-0))+0-28-0</f>
        <v>1346.2</v>
      </c>
      <c r="J163" s="3">
        <f>1206.4+(340.4-132.9)+(0+(0-0))+0-27.8-0</f>
        <v>1386.1000000000001</v>
      </c>
      <c r="K163" s="3">
        <f>1206.8+(347.9-133.4)+(-4.308276+(-1.242003--0.476238))+0-27.8--0.0992460000000004</f>
        <v>1388.5252049999999</v>
      </c>
      <c r="L163" s="3">
        <f>1200.2+(336.7-153.8)+(-4.284714+(-1.202019--0.549066))+0-27.7--0.0988890000000004</f>
        <v>1350.561222</v>
      </c>
      <c r="M163" s="3">
        <f>1203.9+(360.1-161.5)+(0+(0-0))+0-28.7-0</f>
        <v>1373.8</v>
      </c>
      <c r="N163" s="3">
        <f>1409.7+(358.9-167.6)+(1.437894+(0.366078-0.170952))+0-30.5-0.0311100000000049</f>
        <v>1572.1019100000001</v>
      </c>
      <c r="O163" s="3">
        <f>1622.1+(306.3-205.1)+(1.654542+(0.312426-0.209202))+0-30.5-0.0311100000000049</f>
        <v>1694.526656</v>
      </c>
      <c r="P163" s="3">
        <f>1730.5+(271.1-204.2)+(0.882555+(0.138261-0.104142))+0-29.5-0.015044999999997</f>
        <v>1768.801629</v>
      </c>
      <c r="Q163" s="3">
        <f>1923.9+(195.7-248.7)+(0.981189+(0.099807-0.126837))+0-29.7-0.015146999999997</f>
        <v>1842.1390119999999</v>
      </c>
      <c r="R163" s="3">
        <f>1985.1+(155.7-257.7)+(-3.037203+(-0.238221--0.394281))+0-28.4--0.0434520000000016</f>
        <v>1851.8623089999996</v>
      </c>
      <c r="S163" s="3">
        <f>1964.2+(136.6-274.6)+(-4.006968+(-0.278664--0.560184))+0-27.6--0.0563039999999988</f>
        <v>1794.9308560000002</v>
      </c>
      <c r="T163" s="3">
        <f>1851.5+(179.6-232.6)+(-0.944265+(-0.091596--0.118626))+0-29.1--0.014840999999997</f>
        <v>1768.4976060000001</v>
      </c>
      <c r="U163" s="3">
        <f>1797.6+(207.5-232.1)+(0.916776+(0.105825-0.118371))+0-29.9-0.015248999999997</f>
        <v>1743.988981</v>
      </c>
      <c r="V163" s="3">
        <f>1785.2+(194.2-233.2)+(-2.731356+(-0.297126--0.356796))+0-30--0.0459000000000017</f>
        <v>1713.5742140000002</v>
      </c>
      <c r="W163" s="3">
        <f>1776+(174.6-225.8)+(-5.43456+(-0.534276--0.690948))+0-29.5--0.0902700000000034</f>
        <v>1690.1123819999998</v>
      </c>
      <c r="X163" s="3">
        <f>1775.9+(170.6-265.2)+(-5.434254+(-0.522036--0.811512))+0-29.5--0.0902700000000034</f>
        <v>1646.745492</v>
      </c>
      <c r="Y163" s="3">
        <f>1861.3+(142.7-336.8)+(-2.847789+(-0.218331--0.515304))+0-29.1--0.0445230000000017</f>
        <v>1635.593707</v>
      </c>
      <c r="Z163" s="3">
        <f>1949.8+(252.6-318.6)+(-4.97199+(-0.64413--0.81243))+0-28.3--0.0721649999999959</f>
        <v>1850.7684750000001</v>
      </c>
      <c r="AA163" s="3">
        <f>1935.8+(282.3-292)+(-7.898064+(-1.151784--1.19136))+0-27.7--0.113015999999998</f>
        <v>1890.6545279999998</v>
      </c>
      <c r="AB163" s="3">
        <f>1922.6+(274.5-315.2)+(0+(0-0))+0-27.5-0</f>
        <v>1854.3999999999999</v>
      </c>
      <c r="AC163" s="3">
        <f>1722.6+(314.2-241.5)+(0.878526+(0.160242-0.123165))+0-27.8-0.0141779999999972</f>
        <v>1768.401425</v>
      </c>
      <c r="AD163">
        <v>1880.0000000000002</v>
      </c>
      <c r="AE163" s="3">
        <f>1962.4+(276.6-293)+(0+(0-0))+0-27.4-0</f>
        <v>1918.6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1443.4+(395.5-195.3)+(0+(0-0))+0-27.8-0</f>
        <v>1615.8000000000002</v>
      </c>
      <c r="G164" s="3">
        <f>1246+(398-174.9)+(-0.63546+(-0.20298--0.089199))+0-27.5--0.0140249999999972</f>
        <v>1440.8647839999999</v>
      </c>
      <c r="H164" s="3">
        <f>1208.6+(343.2-176.3)+(-1.232772+(-0.350064--0.179826))+0-27.7--0.0282540000000044</f>
        <v>1346.425244</v>
      </c>
      <c r="I164" s="3">
        <f>1211+(304.1-189.1)+(0.61761+(0.155091-0.096441))+0-27.9-0.0142289999999972</f>
        <v>1298.762031</v>
      </c>
      <c r="J164" s="3">
        <f>1209.7+(292-189.2)+(0+(0-0))+0-27.6-0</f>
        <v>1284.9000000000001</v>
      </c>
      <c r="K164" s="3">
        <f>1203+(293.3-179.4)+(0+(0-0))+0-27.5-0</f>
        <v>1289.4000000000001</v>
      </c>
      <c r="L164" s="3">
        <f>1164.7+(283-165)+(-4.157979+(-1.01031--0.58905))+0-27.8--0.0992460000000004</f>
        <v>1250.4200070000002</v>
      </c>
      <c r="M164" s="3">
        <f>1168.8+(229.5-177.5)+(-1.788264+(-0.351135--0.271575))+0-28.7--0.0439110000000017</f>
        <v>1190.276087</v>
      </c>
      <c r="N164" s="3">
        <f>1183.2+(282-182)+(1.810296+(0.43146-0.27846))+0-29.6-0.0452880000000017</f>
        <v>1255.518008</v>
      </c>
      <c r="O164" s="3">
        <f>1206.3+(334.9-174.9)+(1.230426+(0.341598-0.178398))+0-29.8-0.0303960000000048</f>
        <v>1337.8632299999999</v>
      </c>
      <c r="P164" s="3">
        <f>1208.5+(359.2-158.5)+(-0.616335+(-0.183192--0.080835))+0-29.4--0.014993999999997</f>
        <v>1379.0963019999999</v>
      </c>
      <c r="Q164" s="3">
        <f>1206+(337-137.5)+(0+(0-0))+0-29.5-0</f>
        <v>1376</v>
      </c>
      <c r="R164" s="3">
        <f>1206+(320.2-139.2)+(-0.61506+(-0.163302--0.070992))+0-27.1--0.0138209999999973</f>
        <v>1359.206451</v>
      </c>
      <c r="S164" s="3">
        <f>1206.7+(310.5-140.3)+(0+(0-0))+0-26.8-0</f>
        <v>1350.1000000000001</v>
      </c>
      <c r="T164" s="3">
        <f>1204.1+(302.4-138.6)+(-3.070455+(-0.77112--0.35343))+0-28.2--0.0719099999999959</f>
        <v>1336.2837649999997</v>
      </c>
      <c r="U164" s="3">
        <f>1203.7+(317.2-141.9)+(-3.069435+(-0.80886--0.361845))+0-29.7--0.0757349999999957</f>
        <v>1345.8592849999998</v>
      </c>
      <c r="V164" s="3">
        <f>1201.8+(325.5-140)+(0+(0-0))+0-29.8-0</f>
        <v>1357.5</v>
      </c>
      <c r="W164" s="3">
        <f>1127.6+(392.2-120.5)+(-3.450456+(-1.200132--0.36873))+0-28.8--0.0881280000000033</f>
        <v>1366.30627</v>
      </c>
      <c r="X164" s="3">
        <f>1196.6+(356.1-151.2)+(-1.830798+(-0.544833--0.231336))+0-28.9--0.0442170000000017</f>
        <v>1370.4999219999997</v>
      </c>
      <c r="Y164" s="3">
        <f>1345.3+(270.8-200.3)+(-0.686103+(-0.138108--0.102153))+0-29.1--0.014840999999997</f>
        <v>1385.9927829999999</v>
      </c>
      <c r="Z164" s="3">
        <f>1424.8+(448.2-214.7)+(-3.63324+(-1.14291--0.547485))+0-29.4--0.0749699999999957</f>
        <v>1624.7463049999997</v>
      </c>
      <c r="AA164" s="3">
        <f>1473.8+(464.2-220.5)+(-3.75819+(-1.18371--0.562275))+0-28.7--0.0731849999999958</f>
        <v>1684.4935599999999</v>
      </c>
      <c r="AB164" s="3">
        <f>1060.8+(760.3-142.7)+(-2.164032+(-1.551012--0.291108))+0-27.2--0.0554879999999988</f>
        <v>1647.8315519999999</v>
      </c>
      <c r="AC164" s="3">
        <f>1128.7+(650.9-147.8)+(0+(0-0))+0-27.7-0</f>
        <v>1604.1</v>
      </c>
      <c r="AD164">
        <v>1652.7</v>
      </c>
      <c r="AE164" s="3">
        <f>1486.4+(470.1-228.5)+(0+(0-0))+0-27.7-0</f>
        <v>1700.3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1193.7+(461.6-155.1)+(-0.608787+(-0.235416--0.079101))+0-27.7--0.0141269999999972</f>
        <v>1471.7490249999998</v>
      </c>
      <c r="G165" s="3">
        <f>1224.9+(317.2-173.9)+(-1.874097+(-0.485316--0.266067))+0-27.7--0.0423810000000016</f>
        <v>1338.4490349999999</v>
      </c>
      <c r="H165" s="3">
        <f>1212+(275.5-183.3)+(-0.61812+(-0.140505--0.093483))+0-27.3--0.0139229999999972</f>
        <v>1276.248781</v>
      </c>
      <c r="I165" s="3">
        <f>1215.6+(251.7-193.8)+(-1.239912+(-0.256734--0.197676))+0-27.7--0.0282540000000044</f>
        <v>1244.529284</v>
      </c>
      <c r="J165" s="3">
        <f>1212.8+(240.1-200.8)+(-0.618528+(-0.122451--0.102408))+0-27.5--0.0140249999999972</f>
        <v>1223.9754539999999</v>
      </c>
      <c r="K165" s="3">
        <f>1211.2+(242.8-193.7)+(-2.470848+(-0.495312--0.395148))+0-27.5--0.0560999999999988</f>
        <v>1230.2850880000001</v>
      </c>
      <c r="L165" s="3">
        <f>1208.3+(251.4-184.9)+(-4.313631+(-0.897498--0.660093))+0-27.6--0.0985320000000004</f>
        <v>1242.747496</v>
      </c>
      <c r="M165" s="3">
        <f>1184+(231.5-160.7)+(-1.20768+(-0.23613--0.163914))+0-28.6--0.0291720000000046</f>
        <v>1224.9492760000001</v>
      </c>
      <c r="N165" s="3">
        <f>1227+(277.6-126.9)+(0+(0-0))+0-29.9-0</f>
        <v>1347.8</v>
      </c>
      <c r="O165" s="3">
        <f>1398.5+(271.7-126.2)+(0.713235+(0.138567-0.064362))+0-29.5-0.015044999999997</f>
        <v>1515.272395</v>
      </c>
      <c r="P165" s="3">
        <f>1425.3+(353-124.8)+(-0.726903+(-0.18003--0.063648))+0-29.8--0.015197999999997</f>
        <v>1622.8719130000002</v>
      </c>
      <c r="Q165" s="3">
        <f>1488.4+(349.9-136)+(-2.277252+(-0.535347--0.20808))+0-29.4--0.0449820000000017</f>
        <v>1670.340463</v>
      </c>
      <c r="R165" s="3">
        <f>1547.7+(319.1-138.4)+(-0.789327+(-0.162741--0.070584))+0-27--0.0137699999999973</f>
        <v>1700.5322860000001</v>
      </c>
      <c r="S165" s="3">
        <f>1540.6+(300.7-142)+(-1.571412+(-0.306714--0.14484))+0-26.6--0.0271320000000042</f>
        <v>1670.9938460000001</v>
      </c>
      <c r="T165" s="3">
        <f>1537.9+(289.9-142.9)+(-0.784329+(-0.147849--0.072879))+0-28.9--0.0147389999999971</f>
        <v>1655.15544</v>
      </c>
      <c r="U165" s="3">
        <f>1538.8+(277.9-138.3)+(-3.139152+(-0.566916--0.282132))+0-29--0.0591599999999987</f>
        <v>1646.035224</v>
      </c>
      <c r="V165" s="3">
        <f>1536.1+(290.7-165.3)+(2.350233+(0.444771-0.252909))+0-28.7-0.0439110000000017</f>
        <v>1635.298184</v>
      </c>
      <c r="W165" s="3">
        <f>1501.3+(319.9-156.5)+(-3.062652+(-0.652596--0.31926))+0-28.5--0.0581399999999988</f>
        <v>1632.8621519999999</v>
      </c>
      <c r="X165" s="3">
        <f>1416.7+(374.3-149.9)+(-1.445034+(-0.381786--0.152898))+0-28.2--0.0287640000000045</f>
        <v>1611.2548420000001</v>
      </c>
      <c r="Y165" s="3">
        <f>1421.5+(366-169.3)+(0+(0-0))+0-28-0</f>
        <v>1590.2</v>
      </c>
      <c r="Z165" s="3">
        <f>1551+(506.7-184.2)+(-2.37303+(-0.775251--0.281826))+0-28.3--0.0432990000000016</f>
        <v>1842.3768439999999</v>
      </c>
      <c r="AA165" s="3">
        <f>1557.2+(544.7-199.4)+(-3.97086+(-1.388985--0.50847))+0-29.1--0.0742049999999958</f>
        <v>1868.62283</v>
      </c>
      <c r="AB165" s="3">
        <f>1462.6+(565.6-186.7)+(-2.237778+(-0.865368--0.285651))+0-27.3--0.0417690000000016</f>
        <v>1811.424274</v>
      </c>
      <c r="AC165" s="3">
        <f>1449.4+(507.9-188.7)+(0.739194+(0.259029-0.096237))+0-27.2-0.0138719999999972</f>
        <v>1742.2881140000002</v>
      </c>
      <c r="AD165">
        <v>1826.4999999999998</v>
      </c>
      <c r="AE165" s="3">
        <f>1556.4+(564.9-195.4)+(0+(0-0))+0-29.2-0</f>
        <v>1896.7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1269.4+(524.3-153.9)+(1.294788+(0.534786-0.156978))+0-27.6-0.0281520000000044</f>
        <v>1613.8444440000003</v>
      </c>
      <c r="G166" s="3">
        <f>1136.9+(492.5-135.4)+(-1.739457+(-0.753525--0.207162))+0-27.7--0.0423810000000016</f>
        <v>1464.0565609999999</v>
      </c>
      <c r="H166" s="3">
        <f>1052.4+(474.3-126.4)+(-1.073448+(-0.483786--0.128928))+0-27.8--0.0283560000000044</f>
        <v>1371.1000500000002</v>
      </c>
      <c r="I166" s="3">
        <f>1054.8+(431.8-128.7)+(-2.68974+(-1.10109--0.328185))+0-27.7--0.070634999999996</f>
        <v>1326.80799</v>
      </c>
      <c r="J166" s="3">
        <f>1057+(409.2-134.1)+(-2.69535+(-1.04346--0.341955))+0-27.5--0.070124999999996</f>
        <v>1301.2732699999999</v>
      </c>
      <c r="K166" s="3">
        <f>1060.5+(414.8-150.3)+(1.622565+(0.634644-0.229959))+0-27.6-0.0422280000000016</f>
        <v>1299.3850220000002</v>
      </c>
      <c r="L166" s="3">
        <f>1095.8+(392.5-157.1)+(-3.353148+(-1.20105--0.480726))+0-27.4--0.0838440000000032</f>
        <v>1299.8103719999999</v>
      </c>
      <c r="M166" s="3">
        <f>1109.4+(361.5-158.6)+(0.565794+(0.184365-0.080886))+0-28.5-0.0145349999999971</f>
        <v>1284.4547380000001</v>
      </c>
      <c r="N166" s="3">
        <f>1239.3+(328.6-166.1)+(1.896129+(0.502758-0.254133))+0-29.5-0.0451350000000017</f>
        <v>1374.3996189999998</v>
      </c>
      <c r="O166" s="3">
        <f>1344.3+(346.8-162.9)+(0+(0-0))+0-29.6-0</f>
        <v>1498.6000000000001</v>
      </c>
      <c r="P166" s="3">
        <f>1345.1+(442.3-158.8)+(2.058003+(0.676719-0.242964))+0-29.8-0.0455940000000017</f>
        <v>1601.2461639999999</v>
      </c>
      <c r="Q166" s="3">
        <f>1280.7+(580.1-140.1)+(1.306314+(0.591702-0.142902))+0-29.3-0.0298860000000047</f>
        <v>1693.1252280000001</v>
      </c>
      <c r="R166" s="3">
        <f>1288.9+(578.6-148.3)+(-2.629356+(-1.180344--0.302532))+0-27.3--0.0556919999999988</f>
        <v>1688.4485239999999</v>
      </c>
      <c r="S166" s="3">
        <f>1288.5+(541.2-147.2)+(0+(0-0))+0-27-0</f>
        <v>1655.5</v>
      </c>
      <c r="T166" s="3">
        <f>1289.8+(492.2-135.3)+(0.657798+(0.251022-0.069003))+0-28.7-0.0146369999999971</f>
        <v>1618.8251799999998</v>
      </c>
      <c r="U166" s="3">
        <f>1293.4+(471.3-132)+(-1.978902+(-0.721089--0.20196))+0-29--0.0443700000000017</f>
        <v>1601.246339</v>
      </c>
      <c r="V166" s="3">
        <f>1345+(431.5-139)+(-2.7438+(-0.88026--0.28356))+0-29.4--0.0599759999999987</f>
        <v>1604.8194759999999</v>
      </c>
      <c r="W166" s="3">
        <f>1407.2+(371.1-154.2)+(-2.153016+(-0.567783--0.235926))+0-28.4--0.0434520000000016</f>
        <v>1593.2585789999998</v>
      </c>
      <c r="X166" s="3">
        <f>1381.3+(337-138.9)+(-3.522315+(-0.85935--0.354195))+0-27.3--0.069614999999996</f>
        <v>1548.1421449999998</v>
      </c>
      <c r="Y166" s="3">
        <f>1560.6+(214.8-176.8)+(0+(0-0))+0-27.4-0</f>
        <v>1571.1999999999998</v>
      </c>
      <c r="Z166" s="3">
        <f>1765.8+(390.7-280.1)+(-2.701674+(-0.597771--0.428553))+0-27.4--0.0419220000000016</f>
        <v>1846.17103</v>
      </c>
      <c r="AA166" s="3">
        <f>1615.1+(477.5-207.6)+(-2.471103+(-0.730575--0.317628))+0-27.4--0.0419220000000016</f>
        <v>1854.7578720000001</v>
      </c>
      <c r="AB166" s="3">
        <f>1640.3+(427.6-212.8)+(-1.673106+(-0.436152--0.217056))+0-27.4--0.0279480000000044</f>
        <v>1825.8357459999997</v>
      </c>
      <c r="AC166" s="3">
        <f>1669.9+(371.7-278)+(-4.258245+(-0.947835--0.7089))+0-28--0.0713999999999959</f>
        <v>1731.1742200000001</v>
      </c>
      <c r="AD166">
        <v>1884.1</v>
      </c>
      <c r="AE166" s="3">
        <f>1698.4+(463.3-213.2)+(0+(0-0))+0-27.2-0</f>
        <v>1921.3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1622.4+(266.9-313.1)+(-3.309696+(-0.544476--0.638724))+0-27.8--0.0567119999999988</f>
        <v>1545.2412640000002</v>
      </c>
      <c r="G167" s="3">
        <f>1604.7+(244.4-361.3)+(-4.091985+(-0.62322--0.921315))+0-28--0.0713999999999959</f>
        <v>1456.0775100000001</v>
      </c>
      <c r="H167" s="3">
        <f>1590.2+(243.7-419.5)+(-3.244008+(-0.497148--0.85578))+0-27.7--0.0565079999999988</f>
        <v>1383.871132</v>
      </c>
      <c r="I167" s="3">
        <f>1562.1+(243.3-430.2)+(-0.796671+(-0.124083--0.219402))+0-27.4--0.0139739999999972</f>
        <v>1347.1126219999996</v>
      </c>
      <c r="J167" s="3">
        <f>1337.2+(277.2-259.1)+(0+(0-0))+0-27.3-0</f>
        <v>1328</v>
      </c>
      <c r="K167" s="3">
        <f>1333.4+(283.2-248.4)+(2.040102+(0.433296-0.380052))+0-27.2-0.0416160000000016</f>
        <v>1343.0517300000001</v>
      </c>
      <c r="L167" s="3">
        <f>1335.7+(280-229.1)+(-4.087242+(-0.8568--0.701046))+0-27--0.0826200000000031</f>
        <v>1355.4396240000001</v>
      </c>
      <c r="M167" s="3">
        <f>1399.8+(279-222.3)+(1.427796+(0.28458-0.226746))+0-28.3-0.0288660000000045</f>
        <v>1429.6567639999998</v>
      </c>
      <c r="N167" s="3">
        <f>1768.9+(214.7-319.4)+(2.706417+(0.328491-0.488682))+0-30.1-0.0460530000000017</f>
        <v>1636.600173</v>
      </c>
      <c r="O167" s="3">
        <f>1789.9+(242-221.9)+(0.912849+(0.12342-0.113169))+0-30.2-0.0154019999999969</f>
        <v>1780.7076979999999</v>
      </c>
      <c r="P167" s="3">
        <f>1957.4+(212.8-249.3)+(0.998274+(0.108528-0.127143))+0-29.7-0.015146999999997</f>
        <v>1892.1645120000001</v>
      </c>
      <c r="Q167" s="3">
        <f>2161.9+(197.1-390.8)+(0+(0-0))+0-28.5-0</f>
        <v>1939.7</v>
      </c>
      <c r="R167" s="3">
        <f>2415.7+(201.7-609.8)+(0+(0-0))+0-27.6-0</f>
        <v>1980</v>
      </c>
      <c r="S167" s="3">
        <f>2490.5+(204.5-720.6)+(-3.810465+(-0.312885--1.102518))+0-27.1--0.0414630000000016</f>
        <v>1944.3206310000003</v>
      </c>
      <c r="T167" s="3">
        <f>2465.4+(205.6-720)+(1.257354+(0.104856-0.3672))+0-28.5-0.0145349999999971</f>
        <v>1923.4804750000001</v>
      </c>
      <c r="U167" s="3">
        <f>2452+(198.5-691.5)+(-3.75156+(-0.303705--1.057995))+0-29.2--0.0446760000000017</f>
        <v>1926.8474059999999</v>
      </c>
      <c r="V167" s="3">
        <f>2287.6+(178-519.5)+(-4.666704+(-0.36312--1.05978))+0-28.9--0.0589559999999987</f>
        <v>1913.288912</v>
      </c>
      <c r="W167" s="3">
        <f>2019+(204-315.1)+(-5.14845+(-0.5202--0.803505))+0-28.4--0.0724199999999959</f>
        <v>1874.707275</v>
      </c>
      <c r="X167" s="3">
        <f>1830.6+(254.9-225.8)+(-6.535242+(-0.909993--0.806106))+0-29.2--0.104244</f>
        <v>1823.965115</v>
      </c>
      <c r="Y167" s="3">
        <f>1763.5+(261.3-215.8)+(-1.79877+(-0.266526--0.220116))+0-29.1--0.0296820000000046</f>
        <v>1778.0845020000002</v>
      </c>
      <c r="Z167" s="3">
        <f>2009.9+(323.4-298.1)+(-1.025049+(-0.164934--0.152031))+0-28.6--0.0145859999999971</f>
        <v>2005.5766340000002</v>
      </c>
      <c r="AA167" s="3">
        <f>2043+(337.9-329.7)+(-7.29351+(-1.206303--1.177029))+0-28.5--0.101745</f>
        <v>2015.4789609999998</v>
      </c>
      <c r="AB167" s="3">
        <f>1885.2+(377.8-280.1)+(-1.922904+(-0.385356--0.285702))+0-26.9--0.0274380000000043</f>
        <v>1954.0048800000002</v>
      </c>
      <c r="AC167" s="3">
        <f>1823.4+(365.1-290.3)+(-1.859868+(-0.372402--0.296106))+0-27.3--0.0278460000000044</f>
        <v>1868.9916820000001</v>
      </c>
      <c r="AD167">
        <v>2000.3999999999999</v>
      </c>
      <c r="AE167" s="3">
        <f>2048.5+(334.5-302.7)+(0+(0-0))+0-28.9-0</f>
        <v>2051.4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1603.4+(278.7-284.1)+(-1.635468+(-0.284274--0.289782))+0-26.8--0.0273360000000043</f>
        <v>1569.5973760000002</v>
      </c>
      <c r="G168" s="3">
        <f>1421.8+(290.4-257.4)+(0+(0-0))+0-27.8-0</f>
        <v>1427</v>
      </c>
      <c r="H168" s="3">
        <f>1343.8+(268.1-244.1)+(-0.685338+(-0.136731--0.124491))+0-27.8--0.0141779999999972</f>
        <v>1339.3165999999999</v>
      </c>
      <c r="I168" s="3">
        <f>1340.5+(259.1-261.2)+(-2.050965+(-0.396423--0.399636))+0-27.7--0.0423810000000016</f>
        <v>1308.6946290000001</v>
      </c>
      <c r="J168" s="3">
        <f>1340.7+(263.3-225.1)+(-1.367514+(-0.268566--0.229602))+0-27.7--0.0282540000000044</f>
        <v>1349.821776</v>
      </c>
      <c r="K168" s="3">
        <f>1343.5+(272.5-228.5)+(-1.37037+(-0.27795--0.23307))+0-27.4--0.0279480000000044</f>
        <v>1358.7126979999998</v>
      </c>
      <c r="L168" s="3">
        <f>1394.8+(263.6-193.8)+(-2.845392+(-0.537744--0.395352))+0-26.7--0.0544679999999988</f>
        <v>1434.966684</v>
      </c>
      <c r="M168" s="3">
        <f>1421.5+(240.6-164.2)+(1.44993+(0.245412-0.167484))+0-28.6-0.0291720000000046</f>
        <v>1470.7986860000001</v>
      </c>
      <c r="N168" s="3">
        <f>1720+(184.7-202.3)+(1.7544+(0.188394-0.206346))+0-30-0.0306000000000048</f>
        <v>1674.1058480000002</v>
      </c>
      <c r="O168" s="3">
        <f>1963.4+(99-217.2)+(0+(0-0))+0-30.3-0</f>
        <v>1814.9</v>
      </c>
      <c r="P168" s="3">
        <f>2167.6+(86.3-310.4)+(-2.210952+(-0.088026--0.316608))+0-23.1--0.0235620000000037</f>
        <v>1918.4411920000002</v>
      </c>
      <c r="Q168" s="3">
        <f>2293.4+(77.9-350.8)+(1.169634+(0.039729-0.178908))+0-22-0.0112199999999978</f>
        <v>1999.519235</v>
      </c>
      <c r="R168" s="3">
        <f>2364.9+(66.3-398.2)+(-1.206099+(-0.033813--0.203082))+0-21--0.0107099999999979</f>
        <v>2010.97388</v>
      </c>
      <c r="S168" s="3">
        <f>2389.9+(60.5-482.5)+(-2.437698+(-0.06171--0.49215))+0-21.5--0.0219300000000034</f>
        <v>1944.4146720000001</v>
      </c>
      <c r="T168" s="3">
        <f>2385.9+(66.5-519.4)+(1.216809+(0.033915-0.264894))+0-20.5-0.0104549999999979</f>
        <v>1913.475375</v>
      </c>
      <c r="U168" s="3">
        <f>2384.9+(67.1-516)+(-2.432598+(-0.068442--0.52632))+0-23.6--0.0240720000000038</f>
        <v>1910.4493520000001</v>
      </c>
      <c r="V168" s="3">
        <f>2380.2+(66.5-508.8)+(-1.213902+(-0.033915--0.259488))+0-27.5--0.0140249999999972</f>
        <v>1909.4256959999998</v>
      </c>
      <c r="W168" s="3">
        <f>2377.7+(67.1-533.5)+(-3.637881+(-0.102663--0.816255))+0-28--0.0428400000000016</f>
        <v>1880.4185509999998</v>
      </c>
      <c r="X168" s="3">
        <f>2082.4+(89.1-312.7)+(-3.186072+(-0.136323--0.478431))+0-28.8--0.0440640000000017</f>
        <v>1827.2001000000002</v>
      </c>
      <c r="Y168" s="3">
        <f>1985.9+(92.5-280.9)+(-2.025618+(-0.09435--0.286518))+0-20.7--0.0211140000000033</f>
        <v>1774.9876639999998</v>
      </c>
      <c r="Z168" s="3">
        <f>2208.6+(155.4-318.7)+(-1.126386+(-0.079254--0.162537))+0-29.4--0.014993999999997</f>
        <v>2014.8718909999998</v>
      </c>
      <c r="AA168" s="3">
        <f>2146.5+(197.6-322.2)+(-4.37886+(-0.403104--0.657288))+0-27.7--0.0565079999999988</f>
        <v>1990.131832</v>
      </c>
      <c r="AB168" s="3">
        <f>2081.9+(290.7-416)+(-6.370614+(-0.889542--1.27296))+0-26.7--0.0817020000000031</f>
        <v>1923.994506</v>
      </c>
      <c r="AC168" s="3">
        <f>1853.4+(351.4-327.6)+(-0.945234+(-0.179214--0.167076))+0-27.2--0.0138719999999972</f>
        <v>1849.0564999999999</v>
      </c>
      <c r="AD168">
        <v>1973.1999999999998</v>
      </c>
      <c r="AE168" s="3">
        <f>2194.5+(186.1-339.5)+(0+(0-0))+0-29.1-0</f>
        <v>2012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1549.5+(329.4-198.7)+(-0.790245+(-0.167994--0.101337))+0-27.6--0.0140759999999972</f>
        <v>1651.7571740000001</v>
      </c>
      <c r="G169" s="3">
        <f>1542.7+(263.7-261.7)+(-2.360331+(-0.403461--0.400401))+0-28.1--0.0429930000000016</f>
        <v>1514.2796020000001</v>
      </c>
      <c r="H169" s="3">
        <f>1524.4+(251.2-288.1)+(-0.777444+(-0.128112--0.146931))+0-27.8--0.0141779999999972</f>
        <v>1458.955553</v>
      </c>
      <c r="I169" s="3">
        <f>1462.1+(257.6-289.7)+(-1.491342+(-0.262752--0.295494))+0-27.6--0.0281520000000044</f>
        <v>1400.9695520000002</v>
      </c>
      <c r="J169" s="3">
        <f>1466.6+(262.4-311.5)+(2.243898+(0.401472-0.476595))+0-28.3-0.0432990000000016</f>
        <v>1391.3254760000002</v>
      </c>
      <c r="K169" s="3">
        <f>1465+(263.4-309.2)+(0+(0-0))+0-28.3-0</f>
        <v>1390.9</v>
      </c>
      <c r="L169" s="3">
        <f>1462.8+(266.4-246.4)+(-4.476168+(-0.815184--0.753984))+0-28.3--0.0865980000000033</f>
        <v>1450.0492300000001</v>
      </c>
      <c r="M169" s="3">
        <f>1513+(227.6-232.3)+(0.77163+(0.116076-0.118473))+0-29.2-0.014891999999997</f>
        <v>1479.854341</v>
      </c>
      <c r="N169" s="3">
        <f>1806.6+(198.9-323)+(-0.921366+(-0.101439--0.16473))+0-30.3--0.0154529999999969</f>
        <v>1651.3573779999999</v>
      </c>
      <c r="O169" s="3">
        <f>2078.7+(179.2-437.7)+(1.060137+(0.091392-0.223227))+0-30-0.015299999999997</f>
        <v>1791.1130019999998</v>
      </c>
      <c r="P169" s="3">
        <f>2239.8+(168.1-515.1)+(1.142298+(0.085731-0.262701))+0-30-0.015299999999997</f>
        <v>1863.7500280000002</v>
      </c>
      <c r="Q169" s="3">
        <f>2316.6+(208.9-536.2)+(3.544398+(0.319617-0.820386))+0-30.9-0.0472770000000018</f>
        <v>1961.3963519999998</v>
      </c>
      <c r="R169" s="3">
        <f>2671.6+(229-890.9)+(-4.087548+(-0.35037--1.363077))+0-28.8--0.0440640000000017</f>
        <v>1977.8692229999997</v>
      </c>
      <c r="S169" s="3">
        <f>2750.3+(229.9-994.4)+(0+(0-0))+0-28.6-0</f>
        <v>1957.2000000000003</v>
      </c>
      <c r="T169" s="3">
        <f>2559.3+(229.1-862.5)+(-1.305243+(-0.116841--0.439875))+0-29.3--0.014942999999997</f>
        <v>1895.632734</v>
      </c>
      <c r="U169" s="3">
        <f>2527+(231.5-823.6)+(2.57754+(0.23613-0.840072))+0-30-0.0306000000000048</f>
        <v>1906.8429980000001</v>
      </c>
      <c r="V169" s="3">
        <f>2540.2+(210.9-824.1)+(0+(0-0))+0-30.1-0</f>
        <v>1896.8999999999999</v>
      </c>
      <c r="W169" s="3">
        <f>2637.1+(177-884.1)+(-5.379684+(-0.36108--1.803564))+0-29.7--0.0605879999999987</f>
        <v>1896.4233879999999</v>
      </c>
      <c r="X169" s="3">
        <f>2189.4+(190.4-488.8)+(-3.349782+(-0.291312--0.747864))+0-29.8--0.0455940000000017</f>
        <v>1858.3523640000001</v>
      </c>
      <c r="Y169" s="3">
        <f>2087.2+(245-504.9)+(1.064472+(0.12495-0.257499))+0-28.5-0.0145349999999971</f>
        <v>1799.7173879999998</v>
      </c>
      <c r="Z169" s="3">
        <f>2405.7+(323.4-652.5)+(-2.453814+(-0.329868--0.66555))+0-28.4--0.0289680000000045</f>
        <v>2046.1108359999998</v>
      </c>
      <c r="AA169" s="3">
        <f>2338.2+(332.4-613.6)+(-5.96241+(-0.84762--1.56468))+0-28.2--0.0719099999999959</f>
        <v>2023.6265599999997</v>
      </c>
      <c r="AB169" s="3">
        <f>2296.5+(328.2-647.5)+(-3.513645+(-0.502146--0.990675))+0-28.3--0.0432990000000016</f>
        <v>1945.918183</v>
      </c>
      <c r="AC169" s="3">
        <f>2137.2+(320.9-578.9)+(-2.179944+(-0.327318--0.590478))+0-27.7--0.0282540000000044</f>
        <v>1849.6114699999998</v>
      </c>
      <c r="AD169">
        <v>2015.5</v>
      </c>
      <c r="AE169" s="3">
        <f>2418.5+(334.7-658.1)+(0+(0-0))+0-28.6-0</f>
        <v>2066.5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2061.8+(210.2-566.3)+(-3.154554+(-0.321606--0.866439))+0-27.8--0.0425340000000016</f>
        <v>1675.3328130000002</v>
      </c>
      <c r="G170" s="3">
        <f>1994.1+(245.9-667.1)+(-3.050973+(-0.376227--1.020663))+0-28--0.0428400000000016</f>
        <v>1542.5363029999999</v>
      </c>
      <c r="H170" s="3">
        <f>1751.4+(254.7-527.5)+(-1.786428+(-0.259794--0.53805))+0-28.1--0.0286620000000045</f>
        <v>1449.0204900000001</v>
      </c>
      <c r="I170" s="3">
        <f>1710.3+(255.4-520.9)+(-2.616759+(-0.390762--0.796977))+0-28.2--0.0431460000000016</f>
        <v>1414.4326019999999</v>
      </c>
      <c r="J170" s="3">
        <f>1713.5+(235.9-512.3)+(0.873885+(0.120309-0.261273))+0-28.2-0.0143819999999971</f>
        <v>1409.6185389999998</v>
      </c>
      <c r="K170" s="3">
        <f>1713.6+(234.5-514.3)+(1.747872+(0.23919-0.524586))+0-28.1-0.0286620000000045</f>
        <v>1407.133814</v>
      </c>
      <c r="L170" s="3">
        <f>1709.3+(234.5-477.1)+(-0.871743+(-0.119595--0.243321))+0-28.3--0.0144329999999971</f>
        <v>1437.666416</v>
      </c>
      <c r="M170" s="3">
        <f>1744.3+(209.8-447.9)+(-1.779186+(-0.213996--0.456858))+0-28.6--0.0291720000000046</f>
        <v>1476.0928480000002</v>
      </c>
      <c r="N170" s="3">
        <f>2005.3+(241.2-539.6)+(-2.045406+(-0.246024--0.550392))+0-28--0.0285600000000045</f>
        <v>1677.1875219999999</v>
      </c>
      <c r="O170" s="3">
        <f>2205.1+(228.1-596.4)+(1.124601+(0.116331-0.304164))+0-29-0.0147899999999971</f>
        <v>1808.721978</v>
      </c>
      <c r="P170" s="3">
        <f>2450.8+(207.9-742.5)+(2.499816+(0.212058-0.75735))+0-31.1-0.031722000000005</f>
        <v>1887.0228020000004</v>
      </c>
      <c r="Q170" s="3">
        <f>2550.3+(192.5-749.5)+(0+(0-0))+0-28.5-0</f>
        <v>1964.8000000000002</v>
      </c>
      <c r="R170" s="3">
        <f>2551.7+(171.1-714.4)+(1.301367+(0.087261-0.364344))+0-26.1-0.0133109999999974</f>
        <v>1983.3109730000001</v>
      </c>
      <c r="S170" s="3">
        <f>2543.6+(170.3-774.5)+(-5.188944+(-0.347412--1.57998))+0-27.9--0.0569159999999988</f>
        <v>1907.6005399999997</v>
      </c>
      <c r="T170" s="3">
        <f>2552.9+(172.2-824.4)+(1.301979+(0.087822-0.420444))+0-29-0.0147899999999971</f>
        <v>1872.654567</v>
      </c>
      <c r="U170" s="3">
        <f>2542.6+(172.7-804.9)+(-3.890178+(-0.264231--1.231497))+0-29.8--0.0455940000000017</f>
        <v>1877.7226819999998</v>
      </c>
      <c r="V170" s="3">
        <f>2450.3+(169.8-698.4)+(-1.249653+(-0.086598--0.356184))+0-29.7--0.015146999999997</f>
        <v>1891.0350800000003</v>
      </c>
      <c r="W170" s="3">
        <f>2365.7+(155.6-649.5)+(-3.619521+(-0.238068--0.993735))+0-29.7--0.0454410000000017</f>
        <v>1839.2815869999997</v>
      </c>
      <c r="X170" s="3">
        <f>2141.8+(129-436)+(-2.184636+(-0.13158--0.44472))+0-30--0.0306000000000048</f>
        <v>1802.9591040000003</v>
      </c>
      <c r="Y170" s="3">
        <f>2152.4+(138.9-477)+(0+(0-0))+0-25.3-0</f>
        <v>1789.0000000000002</v>
      </c>
      <c r="Z170" s="3">
        <f>2317.7+(242.5-522)+(0+(0-0))+0-29.7-0</f>
        <v>2008.4999999999998</v>
      </c>
      <c r="AA170" s="3">
        <f>2276.6+(246.2-500.8)+(-5.80533+(-0.62781--1.27704))+0-29.9--0.0762449999999957</f>
        <v>1987.020145</v>
      </c>
      <c r="AB170" s="3">
        <f>2157.2+(246.8-457.8)+(-5.50086+(-0.62934--1.16739))+0-28.6--0.0729299999999959</f>
        <v>1912.71012</v>
      </c>
      <c r="AC170" s="3">
        <f>2029.2+(239.6-426.4)+(-3.104676+(-0.366588--0.652392))+0-28.3--0.0432990000000016</f>
        <v>1811.324427</v>
      </c>
      <c r="AD170">
        <v>2034.4</v>
      </c>
      <c r="AE170" s="3">
        <f>2333.5+(263.4-510.9)+(0+(0-0))+0-29.6-0</f>
        <v>2056.4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1705.2+(203.9-253.7)+(-3.478608+(-0.415956--0.517548))+0-28.1--0.0573239999999988</f>
        <v>1623.9803080000004</v>
      </c>
      <c r="G171" s="3">
        <f>1710.1+(180.4-360.3)+(-2.616453+(-0.276012--0.551259))+0-28.1--0.0429930000000016</f>
        <v>1499.8017869999999</v>
      </c>
      <c r="H171" s="3">
        <f>1711.6+(199.9-453.7)+(-0.872916+(-0.101949--0.231387))+0-28--0.0142799999999972</f>
        <v>1429.070802</v>
      </c>
      <c r="I171" s="3">
        <f>1650.5+(209.2-462.7)+(-3.36702+(-0.426768--0.943908))+0-27.9--0.0569159999999988</f>
        <v>1366.3070359999999</v>
      </c>
      <c r="J171" s="3">
        <f>1588.8+(215.4-402.7)+(-1.620576+(-0.219708--0.410754))+0-28.2--0.0287640000000045</f>
        <v>1371.8992339999998</v>
      </c>
      <c r="K171" s="3">
        <f>1602.8+(212.7-407.2)+(0.817428+(0.108477-0.207672))+0-28-0.0142799999999972</f>
        <v>1381.0039529999999</v>
      </c>
      <c r="L171" s="3">
        <f>1593.4+(214.7-375.1)+(-5.688438+(-0.766479--1.339107))+0-28.3--0.101031</f>
        <v>1399.685221</v>
      </c>
      <c r="M171" s="3">
        <f>1641.3+(214.2-385.7)+(1.674126+(0.218484-0.393414))+0-28.9-0.0294780000000046</f>
        <v>1442.3697179999999</v>
      </c>
      <c r="N171" s="3">
        <f>2069.3+(196.2-602.9)+(-1.055343+(-0.100062--0.307479))+0-30.2--0.0154019999999969</f>
        <v>1631.5674760000002</v>
      </c>
      <c r="O171" s="3">
        <f>2118.3+(198.4-521.8)+(0+(0-0))+0-30.5-0</f>
        <v>1764.4</v>
      </c>
      <c r="P171" s="3">
        <f>2188.1+(203.2-515.3)+(-1.115931+(-0.103632--0.262803))+0-30.7--0.0156569999999969</f>
        <v>1844.3588969999998</v>
      </c>
      <c r="Q171" s="3">
        <f>2296.6+(209.5-565.4)+(-1.171266+(-0.106845--0.288354))+0-30.6--0.0156059999999969</f>
        <v>1909.1258489999998</v>
      </c>
      <c r="R171" s="3">
        <f>2397.3+(235.3-675.7)+(-1.222623+(-0.120003--0.344607))+0-29.1--0.014840999999997</f>
        <v>1926.816822</v>
      </c>
      <c r="S171" s="3">
        <f>2391.1+(250.6-731.4)+(-3.658383+(-0.383418--1.119042))+0-28.3--0.0432990000000016</f>
        <v>1879.1205399999999</v>
      </c>
      <c r="T171" s="3">
        <f>2396.3+(229.7-753)+(-3.666339+(-0.351441--1.15209))+0-28.8--0.0440640000000017</f>
        <v>1841.3783740000001</v>
      </c>
      <c r="U171" s="3">
        <f>2388.2+(196.6-739.7)+(-6.08991+(-0.50133--1.886235))+0-29.6--0.0754799999999957</f>
        <v>1810.8704749999999</v>
      </c>
      <c r="V171" s="3">
        <f>2388.7+(190.3-715.1)+(-4.872948+(-0.388212--1.458804))+0-30--0.0611999999999987</f>
        <v>1830.158844</v>
      </c>
      <c r="W171" s="3">
        <f>2366.9+(190.7-703.8)+(-7.242714+(-0.583542--2.153628))+0-29.5--0.0902700000000034</f>
        <v>1818.7176420000001</v>
      </c>
      <c r="X171" s="3">
        <f>2212.7+(200.9-613.9)+(-7.899339+(-0.717213--2.191623))+0-29.6--0.105672</f>
        <v>1763.7807429999998</v>
      </c>
      <c r="Y171" s="3">
        <f>2180.3+(197.2-599.6)+(-1.111953+(-0.100572--0.305796))+0-29.8--0.015197999999997</f>
        <v>1747.2084690000002</v>
      </c>
      <c r="Z171" s="3">
        <f>2310.3+(277.5-580.4)+(-4.713012+(-0.5661--1.184016))+0-30--0.0611999999999987</f>
        <v>1973.3661040000002</v>
      </c>
      <c r="AA171" s="3">
        <f>2293.1+(277.8-590.9)+(-7.016886+(-0.850068--1.808154))+0-28.9--0.0884340000000033</f>
        <v>1945.1296339999999</v>
      </c>
      <c r="AB171" s="3">
        <f>2118.1+(274.7-496.8)+(-5.401155+(-0.700485--1.26684))+0-27.8--0.070889999999996</f>
        <v>1863.4360899999999</v>
      </c>
      <c r="AC171" s="3">
        <f>1917.6+(280.6-391.2)+(-1.955952+(-0.286212--0.399024))+0-27.5--0.0280500000000044</f>
        <v>1777.6849099999999</v>
      </c>
      <c r="AD171">
        <v>1975.0000000000002</v>
      </c>
      <c r="AE171" s="3">
        <f>2327.5+(274.4-580.2)+(0+(0-0))+0-30.5-0</f>
        <v>1991.1999999999998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1179.3+(563.9-155.4)+(-1.202886+(-0.575178--0.158508))+0-27.4--0.0279480000000044</f>
        <v>1558.8083919999997</v>
      </c>
      <c r="G172" s="3">
        <f>1137.7+(479.9-175.9)+(-1.740681+(-0.734247--0.269127))+0-27.8--0.0425340000000016</f>
        <v>1411.736733</v>
      </c>
      <c r="H172" s="3">
        <f>1177+(389.6-192.9)+(-0.60027+(-0.198696--0.098379))+0-28.1--0.0143309999999971</f>
        <v>1344.9137440000002</v>
      </c>
      <c r="I172" s="3">
        <f>1290.8+(276.7-212.5)+(-1.316616+(-0.282234--0.21675))+0-27.6--0.0281520000000044</f>
        <v>1326.0460520000001</v>
      </c>
      <c r="J172" s="3">
        <f>1410+(221.2-269.8)+(0.7191+(0.112812-0.137598))+0-27.6-0.0140759999999972</f>
        <v>1334.4802380000003</v>
      </c>
      <c r="K172" s="3">
        <f>1440.6+(215.2-278.5)+(-3.67353+(-0.54876--0.710175))+0-27.4--0.069869999999996</f>
        <v>1346.4577549999999</v>
      </c>
      <c r="L172" s="3">
        <f>1457+(217.5-250.5)+(-2.97228+(-0.4437--0.51102))+0-27.8--0.0567119999999988</f>
        <v>1393.351752</v>
      </c>
      <c r="M172" s="3">
        <f>1445.1+(205.6-205.7)+(-0.737001+(-0.104856--0.104907))+0-28.7--0.0146369999999971</f>
        <v>1415.577687</v>
      </c>
      <c r="N172" s="3">
        <f>1530.4+(260.6-187.3)+(0.780504+(0.132906-0.095523))+0-28.8-0.0146879999999971</f>
        <v>1575.703199</v>
      </c>
      <c r="O172" s="3">
        <f>1888.1+(174.4-308.1)+(1.925862+(0.177888-0.314262))+0-30.4-0.0310080000000048</f>
        <v>1725.7584799999997</v>
      </c>
      <c r="P172" s="3">
        <f>2135.3+(168.9-454.5)+(1.089003+(0.086139-0.231795))+0-30.4-0.0155039999999969</f>
        <v>1820.2278430000001</v>
      </c>
      <c r="Q172" s="3">
        <f>2181.4+(178.1-454.2)+(2.225028+(0.181662-0.463284))+0-29.8-0.0303960000000048</f>
        <v>1877.4130100000002</v>
      </c>
      <c r="R172" s="3">
        <f>2202.3+(179.8-466.3)+(0+(0-0))+0-27.8-0</f>
        <v>1888.0000000000002</v>
      </c>
      <c r="S172" s="3">
        <f>2202.4+(175.2-520.2)+(-5.61612+(-0.44676--1.32651))+0-26.9--0.0685949999999961</f>
        <v>1825.8322249999999</v>
      </c>
      <c r="T172" s="3">
        <f>2213.9+(162-559.3)+(2.258178+(0.16524-0.570486))+0-27.3-0.0278460000000044</f>
        <v>1791.1250860000002</v>
      </c>
      <c r="U172" s="3">
        <f>2233.2+(130.9-568.7)+(-2.277864+(-0.133518--0.580074))+0-28.3--0.0288660000000045</f>
        <v>1765.2975579999998</v>
      </c>
      <c r="V172" s="3">
        <f>2183.1+(126-529.2)+(-7.793667+(-0.44982--1.889244))+0-28--0.0999600000000004</f>
        <v>1745.6457169999999</v>
      </c>
      <c r="W172" s="3">
        <f>2095.3+(130.9-446)+(-5.343015+(-0.333795--1.1373))+0-28--0.0713999999999959</f>
        <v>1747.7318900000002</v>
      </c>
      <c r="X172" s="3">
        <f>1912.1+(158.1-351.1)+(-2.925513+(-0.241893--0.537183))+0-29.7--0.0454410000000017</f>
        <v>1686.815218</v>
      </c>
      <c r="Y172" s="3">
        <f>1848+(184.3-313.4)+(-0.94248+(-0.093993--0.159834))+0-29.9--0.015248999999997</f>
        <v>1688.13861</v>
      </c>
      <c r="Z172" s="3">
        <f>1986.1+(271.3-297.5)+(-5.064555+(-0.691815--0.758625))+0-30--0.0764999999999956</f>
        <v>1924.9787549999999</v>
      </c>
      <c r="AA172" s="3">
        <f>1962.6+(272.2-294.4)+(-3.002778+(-0.416466--0.450432))+0-29.6--0.0452880000000017</f>
        <v>1907.8764759999999</v>
      </c>
      <c r="AB172" s="3">
        <f>1928.5+(251.9-321.9)+(-4.917675+(-0.642345--0.820845))+0-27.9--0.0711449999999959</f>
        <v>1825.9319699999999</v>
      </c>
      <c r="AC172" s="3">
        <f>1900.3+(238.4-378)+(0+(0-0))+0-27.7-0</f>
        <v>1733</v>
      </c>
      <c r="AD172">
        <v>1920</v>
      </c>
      <c r="AE172" s="3">
        <f>2014.5+(269.3-308)+(0+(0-0))+0-30-0</f>
        <v>1945.8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1628.7+(179.7-211.5)+(0.830637+(0.091647-0.107865))+0-27.6-0.0140759999999972</f>
        <v>1570.1003430000003</v>
      </c>
      <c r="G173" s="3">
        <f>1559.9+(180.9-266.7)+(-2.386647+(-0.276777--0.408051))+0-27.7--0.0423810000000016</f>
        <v>1444.1870080000001</v>
      </c>
      <c r="H173" s="3">
        <f>1528.3+(188.4-330)+(2.338299+(0.288252-0.5049))+0-27.8-0.0425340000000016</f>
        <v>1360.9791170000001</v>
      </c>
      <c r="I173" s="3">
        <f>1519.3+(189.1-358)+(-1.549686+(-0.192882--0.36516))+0-27.9--0.0284580000000044</f>
        <v>1321.1510499999997</v>
      </c>
      <c r="J173" s="3">
        <f>1521.5+(188.4-390.6)+(0.775965+(0.096084-0.199206))+0-27.5-0.0140249999999972</f>
        <v>1292.4588180000001</v>
      </c>
      <c r="K173" s="3">
        <f>1458.7+(190-342.3)+(-1.487874+(-0.1938--0.349146))+0-27.5--0.0280500000000044</f>
        <v>1277.5955220000001</v>
      </c>
      <c r="L173" s="3">
        <f>1383+(188.4-284.1)+(-1.41066+(-0.192168--0.289782))+0-27.7--0.0282540000000044</f>
        <v>1258.315208</v>
      </c>
      <c r="M173" s="3">
        <f>1391.3+(134.8-287)+(-1.419126+(-0.137496--0.29274))+0-28.2--0.0287640000000045</f>
        <v>1209.6648819999998</v>
      </c>
      <c r="N173" s="3">
        <f>1565.9+(120.2-360.7)+(-3.194436+(-0.245208--0.735828))+0-29.7--0.0605879999999987</f>
        <v>1293.0567720000001</v>
      </c>
      <c r="O173" s="3">
        <f>1784.9+(127.1-456)+(2.730897+(0.194463-0.69768))+0-29.9-0.0457470000000017</f>
        <v>1428.281933</v>
      </c>
      <c r="P173" s="3">
        <f>1784.5+(158.3-386)+(-2.730285+(-0.242199--0.59058))+0-30--0.0459000000000017</f>
        <v>1524.463996</v>
      </c>
      <c r="Q173" s="3">
        <f>1814.7+(166.3-361)+(-0.925497+(-0.084813--0.18411))+0-30.1--0.0153509999999969</f>
        <v>1589.0891510000001</v>
      </c>
      <c r="R173" s="3">
        <f>1826+(158.4-374.2)+(-3.72504+(-0.323136--0.763368))+0-28.1--0.0573239999999988</f>
        <v>1578.8725160000001</v>
      </c>
      <c r="S173" s="3">
        <f>1826.2+(146.4-384.1)+(0+(0-0))+0-27.6-0</f>
        <v>1560.9</v>
      </c>
      <c r="T173" s="3">
        <f>1822+(131.6-374.8)+(-1.85844+(-0.134232--0.382296))+0-29.4--0.0299880000000047</f>
        <v>1547.8196119999998</v>
      </c>
      <c r="U173" s="3">
        <f>1821.2+(123.4-379.4)+(-1.857624+(-0.125868--0.386988))+0-29.8--0.0303960000000048</f>
        <v>1533.8338920000001</v>
      </c>
      <c r="V173" s="3">
        <f>1817.5+(116.6-378.3)+(-1.85385+(-0.118932--0.385866))+0-29.9--0.0304980000000048</f>
        <v>1524.343582</v>
      </c>
      <c r="W173" s="3">
        <f>1740.8+(141.5-331)+(-3.551232+(-0.28866--0.67524))+0-28.5--0.0581399999999988</f>
        <v>1519.6934880000001</v>
      </c>
      <c r="X173" s="3">
        <f>1740.7+(142.8-343.2)+(-2.663271+(-0.218484--0.525096))+0-28.1--0.0429930000000016</f>
        <v>1509.8863340000003</v>
      </c>
      <c r="Y173" s="3">
        <f>1810.5+(117.4-325.9)+(-0.923355+(-0.059874--0.166209))+0-28--0.0142799999999972</f>
        <v>1573.1972600000001</v>
      </c>
      <c r="Z173" s="3">
        <f>1889.5+(243.1-272.9)+(-3.85458+(-0.495924--0.556716))+0-27.6--0.0563039999999988</f>
        <v>1828.3625160000001</v>
      </c>
      <c r="AA173" s="3">
        <f>1853+(257.6-281.4)+(-6.61521+(-0.919632--1.004598))+0-27.9--0.0996030000000004</f>
        <v>1794.8693589999998</v>
      </c>
      <c r="AB173" s="3">
        <f>1737.6+(268.4-228.8)+(1.772352+(0.273768-0.233376))+0-27.9-0.0284580000000044</f>
        <v>1751.0842859999998</v>
      </c>
      <c r="AC173" s="3">
        <f>1723+(226.8-289.8)+(-0.87873+(-0.115668--0.147798))+12.3-27.5--0.0140249999999972</f>
        <v>1643.9674249999998</v>
      </c>
      <c r="AD173">
        <v>1839.1000000000001</v>
      </c>
      <c r="AE173" s="3">
        <f>1901+(263.6-272.5)+(0+(0-0))+0-27.6-0</f>
        <v>1864.5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1650.2+(198.2-318.6)+(0+(0-0))+0-27.6-0</f>
        <v>1502.2</v>
      </c>
      <c r="G174" s="3">
        <f>1583.6+(193.8-379.5)+(-0.807636+(-0.098838--0.193545))+0-27.7--0.0141269999999972</f>
        <v>1369.5011979999997</v>
      </c>
      <c r="H174" s="3">
        <f>1585.6+(198.9-458.5)+(0+(0-0))+0-28-0</f>
        <v>1298</v>
      </c>
      <c r="I174" s="3">
        <f>1544.3+(213.3-466)+(-3.150372+(-0.435132--0.95064))+0-27.7--0.0565079999999988</f>
        <v>1261.3216439999997</v>
      </c>
      <c r="J174" s="3">
        <f>1531.1+(226.6-485.4)+(-4.685166+(-0.693396--1.485324))+0-28.1--0.0859860000000033</f>
        <v>1240.392748</v>
      </c>
      <c r="K174" s="3">
        <f>1499.6+(226.5-454.6)+(-1.529592+(-0.23103--0.463692))+0-27.9--0.0284580000000044</f>
        <v>1242.3315279999999</v>
      </c>
      <c r="L174" s="3">
        <f>1497.6+(223.1-406.9)+(-3.81888+(-0.568905--1.037595))+0-28.1--0.0716549999999959</f>
        <v>1282.4214649999999</v>
      </c>
      <c r="M174" s="3">
        <f>1541.8+(199.9-361)+(-0.786318+(-0.101949--0.18411))+0-28.9--0.0147389999999971</f>
        <v>1351.110582</v>
      </c>
      <c r="N174" s="3">
        <f>1853.7+(173.3-439.9)+(0+(0-0))+0-29.5-0</f>
        <v>1557.6000000000001</v>
      </c>
      <c r="O174" s="3">
        <f>2073.8+(179.2-500.5)+(-1.057638+(-0.091392--0.255255))+0-29.6--0.015095999999997</f>
        <v>1722.0213210000004</v>
      </c>
      <c r="P174" s="3">
        <f>2296.9+(176.3-617.7)+(4.685676+(0.359652-1.260108))+0-29.8-0.0607919999999987</f>
        <v>1829.424428</v>
      </c>
      <c r="Q174" s="3">
        <f>2593.8+(178.6-814.8)+(1.322838+(0.091086-0.415548))+0-29.9-0.015248999999997</f>
        <v>1928.6831270000002</v>
      </c>
      <c r="R174" s="3">
        <f>2613.8+(177.4-819.2)+(-2.666076+(-0.180948--0.835584))+0-28.2--0.0287640000000045</f>
        <v>1941.8173239999999</v>
      </c>
      <c r="S174" s="3">
        <f>2665.7+(169.1-915.7)+(-5.438028+(-0.344964--1.868028))+0-27.7--0.0565079999999988</f>
        <v>1887.5415439999997</v>
      </c>
      <c r="T174" s="3">
        <f>2704.5+(139.5-964)+(-1.379295+(-0.071145--0.49164))+0-27.4--0.0139739999999972</f>
        <v>1851.6551739999998</v>
      </c>
      <c r="U174" s="3">
        <f>2704+(134.6-954.1)+(-1.37904+(-0.068646--0.486591))+0-27--0.0137699999999973</f>
        <v>1856.5526750000001</v>
      </c>
      <c r="V174" s="3">
        <f>2701.2+(120.8-925.7)+(-4.132836+(-0.184824--1.416321))+0-27.7--0.0423810000000016</f>
        <v>1865.7410419999997</v>
      </c>
      <c r="W174" s="3">
        <f>2713.9+(113.2-954.6)+(-6.920445+(-0.28866--2.43423))+0-28.2--0.0719099999999959</f>
        <v>1839.5970349999998</v>
      </c>
      <c r="X174" s="3">
        <f>2231.9+(106.1-534)+(-3.414807+(-0.162333--0.81702))+0-29--0.0443700000000017</f>
        <v>1772.2842500000002</v>
      </c>
      <c r="Y174" s="3">
        <f>2325.2+(127.7-658)+(0+(0-0))+0-29.9-0</f>
        <v>1764.9999999999998</v>
      </c>
      <c r="Z174" s="3">
        <f>2759.6+(274.4-1012.4)+(-7.03698+(-0.69972--2.58162))+0-30--0.0764999999999956</f>
        <v>1986.5214199999998</v>
      </c>
      <c r="AA174" s="3">
        <f>2595.8+(313.5-931.1)+(-6.61929+(-0.799425--2.374305))+0-29--0.0739499999999958</f>
        <v>1944.2295400000003</v>
      </c>
      <c r="AB174" s="3">
        <f>2269.3+(311-681.8)+(-4.629372+(-0.63444--1.390872))+0-27.4--0.0558959999999988</f>
        <v>1867.2829560000002</v>
      </c>
      <c r="AC174" s="3">
        <f>2091+(306.1-614.3)+(0+(0-0))+0-27-0</f>
        <v>1755.8000000000002</v>
      </c>
      <c r="AD174">
        <v>1984.0000000000002</v>
      </c>
      <c r="AE174" s="3">
        <f>2749.4+(295.4-1013.6)+(0+(0-0))+0-30-0</f>
        <v>2001.2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1845.7+(196.2-431.8)+(-4.706535+(-0.50031--1.10109))+0-27.4--0.069869999999996</f>
        <v>1578.6641149999998</v>
      </c>
      <c r="G175" s="3">
        <f>1814.3+(54-405.7)+(-3.701172+(-0.11016--0.827628))+0-28.1--0.0573239999999988</f>
        <v>1431.5736200000001</v>
      </c>
      <c r="H175" s="3">
        <f>1834.1+(10.9-463.4)+(-1.870782+(-0.011118--0.472668))+0-28.2--0.0287640000000045</f>
        <v>1352.0195319999998</v>
      </c>
      <c r="I175" s="3">
        <f>1911.1+(11.4-578.1)+(-4.873305+(-0.02907--1.474155))+0-27.9--0.0711449999999959</f>
        <v>1313.1429249999997</v>
      </c>
      <c r="J175" s="3">
        <f>1870.8+(10.3-549.2)+(2.862324+(0.015759-0.840276))+0-27.8-0.0425340000000016</f>
        <v>1306.0952729999999</v>
      </c>
      <c r="K175" s="3">
        <f>1829.8+(10.1-484.3)+(2.799594+(0.015453-0.740979))+0-28.1-0.0429930000000016</f>
        <v>1329.5310749999999</v>
      </c>
      <c r="L175" s="3">
        <f>1824+(10.8-443.5)+(-1.86048+(-0.011016--0.45237))+0-28--0.0285600000000045</f>
        <v>1361.9094339999999</v>
      </c>
      <c r="M175" s="3">
        <f>1852.4+(11.2-428.8)+(0.944724+(0.005712-0.218688))+0-29.2-0.014891999999997</f>
        <v>1406.3168560000001</v>
      </c>
      <c r="N175" s="3">
        <f>1960.4+(25.9-368.8)+(-0.999804+(-0.013209--0.188088))+0-30--0.015299999999997</f>
        <v>1586.6903750000001</v>
      </c>
      <c r="O175" s="3">
        <f>2094.7+(33-381.5)+(0+(0-0))+0-30.4-0</f>
        <v>1715.7999999999997</v>
      </c>
      <c r="P175" s="3">
        <f>2363.7+(45-559.1)+(1.205487+(0.02295-0.285141))+0-30.3-0.0154529999999969</f>
        <v>1820.2278429999999</v>
      </c>
      <c r="Q175" s="3">
        <f>2551.4+(48.7-682.4)+(1.301214+(0.024837-0.348024))+0-30.1-0.0153509999999969</f>
        <v>1888.5626760000005</v>
      </c>
      <c r="R175" s="3">
        <f>2719.7+(61.2-846.9)+(-1.387047+(-0.031212--0.431919))+0-28.6--0.0145859999999971</f>
        <v>1904.4282460000002</v>
      </c>
      <c r="S175" s="3">
        <f>2701.3+(51.2-895.9)+(-8.265978+(-0.156672--2.741454))+0-27.5--0.0841500000000032</f>
        <v>1823.5029540000003</v>
      </c>
      <c r="T175" s="3">
        <f>2690+(43.6-917.3)+(0+(0-0))+0-29.4-0</f>
        <v>1786.9</v>
      </c>
      <c r="U175" s="3">
        <f>2674.9+(38-875.9)+(-5.456796+(-0.07752--1.786836))+0-30.1--0.0614039999999987</f>
        <v>1803.2139240000001</v>
      </c>
      <c r="V175" s="3">
        <f>2448.2+(39.5-658.6)+(0+(0-0))+0-30.2-0</f>
        <v>1798.8999999999999</v>
      </c>
      <c r="W175" s="3">
        <f>2201+(43.5-433.8)+(-3.36753+(-0.066555--0.663714))+0-29.5--0.0451350000000017</f>
        <v>1778.4747640000001</v>
      </c>
      <c r="X175" s="3">
        <f>2056.3+(53.2-322.9)+(0+(0-0))+0-29.9-0</f>
        <v>1756.7</v>
      </c>
      <c r="Y175" s="3">
        <f>2027.8+(62.6-295.5)+(-1.034178+(-0.031926--0.150705))+0-29.8--0.015197999999997</f>
        <v>1764.199799</v>
      </c>
      <c r="Z175" s="3">
        <f>2068.6+(181.4-254.8)+(-5.27493+(-0.46257--0.64974))+0-28.5--0.0726749999999959</f>
        <v>1961.6849149999998</v>
      </c>
      <c r="AA175" s="3">
        <f>2020.1+(190.4-262.5)+(-6.181506+(-0.582624--0.80325))+0-28--0.0856800000000032</f>
        <v>1914.1247999999998</v>
      </c>
      <c r="AB175" s="3">
        <f>1929.6+(204.8-262.8)+(-2.952288+(-0.313344--0.402084))+0-27.8--0.0425340000000016</f>
        <v>1840.9789859999998</v>
      </c>
      <c r="AC175" s="3">
        <f>1890.6+(168.5-309.8)+(-2.892618+(-0.257805--0.473994))+0-27.7--0.0423810000000016</f>
        <v>1718.9659519999998</v>
      </c>
      <c r="AD175">
        <v>1976.5</v>
      </c>
      <c r="AE175" s="3">
        <f>2088.9+(177.4-257.4)+(0+(0-0))+0-27.8-0</f>
        <v>1981.1000000000001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1870.4+(26.9-305.7)+(-3.815616+(-0.054876--0.623628))+0-28--0.0571199999999988</f>
        <v>1560.4102560000001</v>
      </c>
      <c r="G176" s="3">
        <f>1871.7+(10.1-417.5)+(0+(0-0))+0-27.9-0</f>
        <v>1436.4</v>
      </c>
      <c r="H176" s="3">
        <f>1782.2+(15.5-406.8)+(0+(0-0))+0-28.4-0</f>
        <v>1362.5</v>
      </c>
      <c r="I176" s="3">
        <f>1770.6+(21-431.4)+(-0.903006+(-0.01071--0.220014))+0-28--0.0142799999999972</f>
        <v>1331.5205779999999</v>
      </c>
      <c r="J176" s="3">
        <f>1728.3+(24.1-405.3)+(-3.525732+(-0.049164--0.826812))+0-27.8--0.0567119999999988</f>
        <v>1316.608628</v>
      </c>
      <c r="K176" s="3">
        <f>1719.7+(27.6-393.1)+(0.877047+(0.014076-0.200481))+0-27.6-0.0140759999999972</f>
        <v>1327.2765660000002</v>
      </c>
      <c r="L176" s="3">
        <f>1709.7+(36.7-357.8)+(-4.359735+(-0.093585--0.91239))+0-27.1--0.0691049999999961</f>
        <v>1358.0281750000001</v>
      </c>
      <c r="M176" s="3">
        <f>1680.2+(28.7-265.3)+(-0.856902+(-0.014637--0.135303))+0-28.9--0.0147389999999971</f>
        <v>1413.9785029999998</v>
      </c>
      <c r="N176" s="3">
        <f>1838.2+(55-278.1)+(1.874964+(0.0561-0.283662))+0-30.2-0.0308040000000048</f>
        <v>1586.5165979999999</v>
      </c>
      <c r="O176" s="3">
        <f>1927.3+(94-264.8)+(-2.948769+(-0.14382--0.405144))+0-20.8--0.0318240000000012</f>
        <v>1733.0443789999999</v>
      </c>
      <c r="P176" s="3">
        <f>2025.9+(95.6-279.1)+(-1.033209+(-0.048756--0.142341))+0-9.9--0.005048999999999</f>
        <v>1831.565425</v>
      </c>
      <c r="Q176" s="3">
        <f>2225.7+(71.5-396.8)+(0+(0-0))+0-9.1-0</f>
        <v>1891.3</v>
      </c>
      <c r="R176" s="3">
        <f>2401.5+(62.9-543.5)+(0+(0-0))+0-5-0</f>
        <v>1915.9</v>
      </c>
      <c r="S176" s="3">
        <f>2398.2+(51.2-616.3)+(-3.669246+(-0.078336--0.942939))+0-3--0.00459000000000017</f>
        <v>1827.299947</v>
      </c>
      <c r="T176" s="3">
        <f>2337.4+(39.1-583.5)+(-2.384148+(-0.039882--0.59517))+0-3.9--0.00397800000000062</f>
        <v>1787.2751179999998</v>
      </c>
      <c r="U176" s="3">
        <f>2266.5+(31.7-501.8)+(-1.155915+(-0.016167--0.255918))+0-8.6--0.00438599999999913</f>
        <v>1786.8882220000003</v>
      </c>
      <c r="V176" s="3">
        <f>2225+(23.8-441.8)+(-4.539+(-0.048552--0.901272))+0-24.3--0.0495719999999989</f>
        <v>1779.063292</v>
      </c>
      <c r="W176" s="3">
        <f>2018.1+(40.7-281.5)+(-6.175386+(-0.124542--0.86139))+0-24.6--0.0752760000000029</f>
        <v>1747.336738</v>
      </c>
      <c r="X176" s="3">
        <f>1905.8+(64.3-248.9)+(-3.887832+(-0.131172--0.507756))+0-29--0.0591599999999987</f>
        <v>1688.7479119999998</v>
      </c>
      <c r="Y176" s="3">
        <f>2011.4+(47.4-300.9)+(-2.051628+(-0.048348--0.306918))+0-29.4--0.0299880000000047</f>
        <v>1726.73693</v>
      </c>
      <c r="Z176" s="3">
        <f>2193+(97.1-334.5)+(-3.35529+(-0.148563--0.511785))+0-28--0.0428400000000016</f>
        <v>1924.650772</v>
      </c>
      <c r="AA176" s="3">
        <f>2180.4+(89.7-343.3)+(-3.336012+(-0.137241--0.525249))+0-27.4--0.0419220000000016</f>
        <v>1896.4939180000001</v>
      </c>
      <c r="AB176" s="3">
        <f>2102.7+(84.6-333.8)+(-2.144754+(-0.086292--0.340476))+0-27.5--0.0280500000000044</f>
        <v>1824.1374799999996</v>
      </c>
      <c r="AC176" s="3">
        <f>1946.2+(103.7-319.1)+(-0.992562+(-0.052887--0.162741))+0-27.4--0.0139739999999972</f>
        <v>1702.5312659999997</v>
      </c>
      <c r="AD176">
        <v>1942.1</v>
      </c>
      <c r="AE176" s="3">
        <f>2223.5+(89.4-350.8)+(0+(0-0))+0-27.4-0</f>
        <v>1934.6999999999998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1897.7+(13.1-340)+(-2.903481+(-0.020043--0.5202))+0-27.1--0.0414630000000016</f>
        <v>1541.3381390000002</v>
      </c>
      <c r="G177" s="3">
        <f>1860+(8.1-420.5)+(-2.8458+(-0.012393--0.643365))+0-27.3--0.0417690000000016</f>
        <v>1418.126941</v>
      </c>
      <c r="H177" s="3">
        <f>1817.9+(10.1-446.6)+(-3.708516+(-0.020604--0.911064))+0-27.6--0.0563039999999988</f>
        <v>1351.0382480000001</v>
      </c>
      <c r="I177" s="3">
        <f>1775.7+(13.3-446.7)+(-0.905607+(-0.006783--0.227817))+0-27.5--0.0140249999999972</f>
        <v>1314.1294520000001</v>
      </c>
      <c r="J177" s="3">
        <f>1779.1+(18.8-472.8)+(0.907341+(0.009588-0.241128))+0-27.2-0.0138719999999972</f>
        <v>1298.561929</v>
      </c>
      <c r="K177" s="3">
        <f>1741+(24.3-443)+(-0.88791+(-0.012393--0.22593))+0-27.2--0.0138719999999972</f>
        <v>1294.4394989999998</v>
      </c>
      <c r="L177" s="3">
        <f>1662.6+(24.5-327.2)+(-0.847926+(-0.012495--0.166872))+0-26.9--0.0137189999999973</f>
        <v>1332.3201699999997</v>
      </c>
      <c r="M177" s="3">
        <f>1666.7+(21.3-280.1)+(0.850017+(0.010863-0.142851))+0-28.9-0.0147389999999971</f>
        <v>1379.7032899999999</v>
      </c>
      <c r="N177" s="3">
        <f>1835.5+(55.5-323.7)+(-3.74442+(-0.11322--0.660348))+0-29.8--0.0607919999999987</f>
        <v>1534.3634999999999</v>
      </c>
      <c r="O177" s="3">
        <f>2115.4+(44-430.5)+(0+(0-0))+0-29.8-0</f>
        <v>1699.1000000000001</v>
      </c>
      <c r="P177" s="3">
        <f>2111.8+(52.7-328.5)+(2.154036+(0.053754-0.33507))+0-29.4-0.0299880000000047</f>
        <v>1808.4427320000002</v>
      </c>
      <c r="Q177" s="3">
        <f>2298.9+(23.4-421.8)+(2.344878+(0.023868-0.430236))+0-28.9-0.0294780000000046</f>
        <v>1873.5090319999999</v>
      </c>
      <c r="R177" s="3">
        <f>2298.8+(25-529)+(0+(0-0))+0-28.9-0</f>
        <v>1765.9</v>
      </c>
      <c r="S177" s="3">
        <f>2298.8+(26-576)+(0+(0-0))+0-28.9-0</f>
        <v>1719.9</v>
      </c>
      <c r="T177" s="3">
        <f>2298.8+(25-602)+(0+(0-0))+0-28.9-0</f>
        <v>1692.9</v>
      </c>
      <c r="U177" s="3">
        <f>2332.9+(25-577)+(0+(0-0))+0-28.9-0</f>
        <v>1752</v>
      </c>
      <c r="V177" s="3">
        <f>2310.5+(24-528)+(0+(0-0))+0-28.9-0</f>
        <v>1777.6</v>
      </c>
      <c r="W177" s="3">
        <f>2188.3+(23-446)+(0+(0-0))+0-28.9-0</f>
        <v>1736.4</v>
      </c>
      <c r="X177" s="3">
        <f>2072+(28-353)+(-5.2836+(-0.0714--0.90015))+0-28.9--0.0736949999999958</f>
        <v>1713.7188449999999</v>
      </c>
      <c r="Y177" s="3">
        <f>2071+(23-360)+(-2.11242+(-0.02346--0.3672))+0-28.9--0.0294780000000046</f>
        <v>1703.3607979999999</v>
      </c>
      <c r="Z177" s="3">
        <f>2198.5+(23-414)+(-5.606175+(-0.05865--1.0557))+0-28.9--0.0736949999999958</f>
        <v>1774.06457</v>
      </c>
      <c r="AA177" s="3">
        <f>2104.3+(22-474)+(-6.439158+(-0.06732--1.45044))+0-28.9--0.0884340000000033</f>
        <v>1618.4323960000002</v>
      </c>
      <c r="AB177" s="3">
        <f>2043.4+(24-352)+(-4.168536+(-0.04896--0.71808))+0-28.9--0.0589559999999987</f>
        <v>1683.05954</v>
      </c>
      <c r="AC177" s="3">
        <f>1724.7+(48-316.5)+(-0.879597+(-0.02448--0.161415))+0-28.9--0.0147389999999971</f>
        <v>1426.5720769999998</v>
      </c>
      <c r="AD177">
        <v>1959.4999999999998</v>
      </c>
      <c r="AE177" s="3">
        <f>2208.5+(159.8-371.1)+(0+(0-0))+0-27.5-0</f>
        <v>1969.7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1724.5+(115.6-204.7)+(0+(0-0))+0-27.9-0</f>
        <v>1607.5</v>
      </c>
      <c r="G178" s="3">
        <f>1724.5+(38.9-275.1)+(0+(0-0))+0-27.6-0</f>
        <v>1460.7</v>
      </c>
      <c r="H178" s="3">
        <f>1664.5+(23.7-342.9)+(0+(0-0))+0-27.1-0</f>
        <v>1318.2</v>
      </c>
      <c r="I178" s="3">
        <f>1634.5+(28.1-375.9)+(0+(0-0))+0-27.3-0</f>
        <v>1259.4000000000001</v>
      </c>
      <c r="J178" s="3">
        <f>1634.5+(29.5-393.9)+(0+(0-0))+0-27.1-0</f>
        <v>1243</v>
      </c>
      <c r="K178" s="3">
        <f>1634.5+(21.3-369.5)+(0+(0-0))+0-27.4-0</f>
        <v>1258.8999999999999</v>
      </c>
      <c r="L178" s="3">
        <f>1677+(21.1-330.1)+(0+(0-0))+0-27.2-0</f>
        <v>1340.8</v>
      </c>
      <c r="M178" s="3">
        <f>1741.4+(10.5-333.2)+(0.888114+(0.005355-0.169932))+0-28.1-0.0143309999999971</f>
        <v>1391.3092060000001</v>
      </c>
      <c r="N178" s="3">
        <f>2019.1+(11.8-402.4)+(-2.059482+(-0.012036--0.410448))+0-29.5--0.0300900000000047</f>
        <v>1597.3690199999999</v>
      </c>
      <c r="O178" s="3">
        <f>2212.1+(18.1-457.5)+(1.128171+(0.009231-0.233325))+0-30.3-0.0154529999999969</f>
        <v>1743.2886239999998</v>
      </c>
      <c r="P178" s="3">
        <f>2400.9+(20.2-538.5)+(3.673377+(0.030906-0.823905))+0-29.9-0.0457470000000017</f>
        <v>1855.5346310000002</v>
      </c>
      <c r="Q178" s="3">
        <f>2400.1+(16.8-477.7)+(1.224051+(0.008568-0.243627))+0-29.3-0.014942999999997</f>
        <v>1910.874049</v>
      </c>
      <c r="R178" s="3">
        <f>2413.7+(13.2-498.9)+(2.461974+(0.013464-0.508878))+0-27.8-0.0283560000000044</f>
        <v>1902.1382039999999</v>
      </c>
      <c r="S178" s="3">
        <f>2409.1+(13.2-563.3)+(-1.228641+(-0.006732--0.287283))+0-27.5--0.0140249999999972</f>
        <v>1830.5659349999999</v>
      </c>
      <c r="T178" s="3">
        <f>2407.6+(14.8-604)+(-1.227876+(-0.007548--0.30804))+0-28.9--0.0147389999999971</f>
        <v>1788.5873549999997</v>
      </c>
      <c r="U178" s="3">
        <f>2410.4+(15.6-594.3)+(-1.229304+(-0.007956--0.303093))+0-29.2--0.014891999999997</f>
        <v>1801.5807250000003</v>
      </c>
      <c r="V178" s="3">
        <f>2400.6+(16.3-585.3)+(-6.12153+(-0.041565--1.492515))+0-29.1--0.0742049999999958</f>
        <v>1797.9036249999999</v>
      </c>
      <c r="W178" s="3">
        <f>2233.1+(18.4-457.2)+(-6.833286+(-0.056304--1.399032))+0-28.3--0.0865980000000033</f>
        <v>1760.5960400000001</v>
      </c>
      <c r="X178" s="3">
        <f>1993.2+(39.2-292.8)+(-5.08266+(-0.09996--0.74664))+0-27.2--0.0693599999999961</f>
        <v>1708.0333799999999</v>
      </c>
      <c r="Y178" s="3">
        <f>1973.8+(68.9-264.2)+(-2.013276+(-0.070278--0.269484))+0-26.9--0.0274380000000043</f>
        <v>1749.8133680000001</v>
      </c>
      <c r="Z178" s="3">
        <f>2214.2+(163.2-382.8)+(-6.775452+(-0.499392--1.171368))+0-26.4--0.080784000000003</f>
        <v>1962.1773079999998</v>
      </c>
      <c r="AA178" s="3">
        <f>2197+(151.2-406.1)+(-5.60235+(-0.38556--1.035555))+0-27.2--0.0693599999999961</f>
        <v>1910.0170049999999</v>
      </c>
      <c r="AB178" s="3">
        <f>2122.8+(147.8-420.4)+(-3.247884+(-0.226134--0.643212))+0-27.2--0.0416160000000016</f>
        <v>1820.2108100000003</v>
      </c>
      <c r="AC178" s="3">
        <f>1940.3+(158.6-374.6)+(-0.989553+(-0.080886--0.191046))+0-27.4--0.0139739999999972</f>
        <v>1696.0345809999999</v>
      </c>
      <c r="AD178">
        <v>1947.6</v>
      </c>
      <c r="AE178" s="3">
        <f>2170+(181.2-358.6)+(0+(0-0))+0-26.4-0</f>
        <v>1966.1999999999998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1912.7+(53.7-397.1)+(0+(0-0))+0-27.6-0</f>
        <v>1541.7</v>
      </c>
      <c r="G179" s="3">
        <f>1914.5+(11.4-485.9)+(-0.976395+(-0.005814--0.247809))+0-27.2--0.0138719999999972</f>
        <v>1412.0794719999999</v>
      </c>
      <c r="H179" s="3">
        <f>1920.9+(11.9-555.9)+(2.938977+(0.018207-0.850527))+0-27.3-0.0417690000000016</f>
        <v>1351.6648880000002</v>
      </c>
      <c r="I179" s="3">
        <f>1798.2+(16.8-474.7)+(-1.834164+(-0.017136--0.484194))+0-27.4--0.0279480000000044</f>
        <v>1311.5608420000001</v>
      </c>
      <c r="J179" s="3">
        <f>1734.8+(25.5-426.5)+(-2.654244+(-0.039015--0.652545))+0-27.4--0.0419220000000016</f>
        <v>1304.401208</v>
      </c>
      <c r="K179" s="3">
        <f>1662.2+(18.3-342.4)+(-0.847722+(-0.009333--0.174624))+0-27.7--0.0141269999999972</f>
        <v>1309.7316960000001</v>
      </c>
      <c r="L179" s="3">
        <f>1579.8+(40-245.8)+(-4.02849+(-0.102--0.62679))+0-27.5--0.070124999999996</f>
        <v>1343.066425</v>
      </c>
      <c r="M179" s="3">
        <f>1559.3+(63.8-217.4)+(0+(0-0))+0-28.3-0</f>
        <v>1377.3999999999999</v>
      </c>
      <c r="N179" s="3">
        <f>1757.3+(66.1-245.5)+(0+(0-0))+0-29.4-0</f>
        <v>1548.4999999999998</v>
      </c>
      <c r="O179" s="3">
        <f>1926.7+(76.5-263.4)+(0+(0-0))+0-29.7-0</f>
        <v>1710.1000000000001</v>
      </c>
      <c r="P179" s="3">
        <f>2173.3+(45.2-376.2)+(4.433532+(0.092208-0.767448))+0-30-0.0611999999999987</f>
        <v>1815.9970920000001</v>
      </c>
      <c r="Q179" s="3">
        <f>2255.1+(39.1-402.2)+(0+(0-0))+0-29.1-0</f>
        <v>1862.9</v>
      </c>
      <c r="R179" s="3">
        <f>2253.1+(42.1-401.4)+(-2.298162+(-0.042942--0.409428))+0-27--0.0275400000000043</f>
        <v>1864.8958640000001</v>
      </c>
      <c r="S179" s="3">
        <f>2282.2+(24.1-483.6)+(-4.655688+(-0.049164--0.986544))+0-26.8--0.0546719999999988</f>
        <v>1792.2363639999999</v>
      </c>
      <c r="T179" s="3">
        <f>2376+(21.3-628)+(-1.21176+(-0.010863--0.32028))+0-28.2--0.0143819999999971</f>
        <v>1740.212039</v>
      </c>
      <c r="U179" s="3">
        <f>2385.1+(20.5-645.3)+(-3.649203+(-0.031365--0.987309))+0-29.1--0.0445230000000017</f>
        <v>1728.5512640000002</v>
      </c>
      <c r="V179" s="3">
        <f>2394.8+(21.4-663.2)+(-1.221348+(-0.010914--0.338232))+0-29.5--0.015044999999997</f>
        <v>1722.6210150000002</v>
      </c>
      <c r="W179" s="3">
        <f>2193.8+(20.7-506.9)+(-5.59419+(-0.052785--1.292595))+0-28.9--0.0736949999999958</f>
        <v>1674.4193150000001</v>
      </c>
      <c r="X179" s="3">
        <f>2113.6+(19.5-470.7)+(0+(0-0))+0-29.1-0</f>
        <v>1633.3</v>
      </c>
      <c r="Y179" s="3">
        <f>2193+(23-465.9)+(0+(0-0))+0-28.2-0</f>
        <v>1721.8999999999999</v>
      </c>
      <c r="Z179" s="3">
        <f>2266.9+(127.1-437.1)+(-3.468357+(-0.194463--0.668763))+0-27.5--0.0420750000000016</f>
        <v>1926.448018</v>
      </c>
      <c r="AA179" s="3">
        <f>2193.2+(158.2-459.2)+(-5.59266+(-0.40341--1.17096))+0-27.4--0.069869999999996</f>
        <v>1860.0447599999998</v>
      </c>
      <c r="AB179" s="3">
        <f>1973.4+(187.5-357.6)+(-5.03217+(-0.478125--0.91188))+0-27.6--0.070379999999996</f>
        <v>1771.1719650000002</v>
      </c>
      <c r="AC179" s="3">
        <f>1921.1+(180.8-389.9)+(-2.939283+(-0.276624--0.596547))+0-27.7--0.0423810000000016</f>
        <v>1681.723021</v>
      </c>
      <c r="AD179">
        <v>1878.9</v>
      </c>
      <c r="AE179" s="3">
        <f>2211.6+(130.6-425)+(0+(0-0))+0-27.7-0</f>
        <v>1889.4999999999998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1754.2+(94.7-275.9)+(-2.683926+(-0.144891--0.422127))+0-26.8--0.0410040000000016</f>
        <v>1543.8343139999999</v>
      </c>
      <c r="G180" s="3">
        <f>1631.9+(84.9-255.9)+(-0.832269+(-0.043299--0.130509))+0-27--0.0137699999999973</f>
        <v>1433.168711</v>
      </c>
      <c r="H180" s="3">
        <f>1459.3+(132.8-200)+(-3.721215+(-0.33864--0.51))+0-27.1--0.0691049999999961</f>
        <v>1361.5192500000001</v>
      </c>
      <c r="I180" s="3">
        <f>1417.6+(128.2-201.4)+(0+(0-0))+0-27.1-0</f>
        <v>1317.3</v>
      </c>
      <c r="J180" s="3">
        <f>1416.3+(104.4-211)+(0+(0-0))+0-27.5-0</f>
        <v>1282.2</v>
      </c>
      <c r="K180" s="3">
        <f>1420.8+(103.4-206.2)+(2.173824+(0.158202-0.315486))+0-27.2-0.0416160000000016</f>
        <v>1292.7749240000001</v>
      </c>
      <c r="L180" s="3">
        <f>1351.5+(169.7-197)+(2.067795+(0.259641-0.30141))+0-26.9-0.0411570000000016</f>
        <v>1299.2848689999998</v>
      </c>
      <c r="M180" s="3">
        <f>1344.7+(154.8-206.4)+(-3.428985+(-0.39474--0.52632))+0-28.1--0.0716549999999959</f>
        <v>1261.7742500000002</v>
      </c>
      <c r="N180" s="3">
        <f>1377.6+(186.8-200.5)+(0+(0-0))+0-28.9-0</f>
        <v>1334.9999999999998</v>
      </c>
      <c r="O180" s="3">
        <f>1428.1+(263.8-212.8)+(-2.184993+(-0.403614--0.325584))+0-29.8--0.0455940000000017</f>
        <v>1447.0825709999999</v>
      </c>
      <c r="P180" s="3">
        <f>1446.8+(319.8-191.9)+(-1.475736+(-0.326196--0.195738))+0-29.6--0.0301920000000047</f>
        <v>1543.5239980000001</v>
      </c>
      <c r="Q180" s="3">
        <f>1533+(273.9-185.1)+(-1.56366+(-0.279378--0.188802))+0-29.7--0.0302940000000047</f>
        <v>1590.4760579999997</v>
      </c>
      <c r="R180" s="3">
        <f>1550.3+(235.2-178.1)+(-1.581306+(-0.239904--0.181662))+0-28--0.0285600000000045</f>
        <v>1577.7890119999997</v>
      </c>
      <c r="S180" s="3">
        <f>1548.6+(208-182.3)+(-1.579572+(-0.21216--0.185946))+0-27.7--0.0282540000000044</f>
        <v>1545.0224679999999</v>
      </c>
      <c r="T180" s="3">
        <f>1565.5+(166.6-191.2)+(0.798405+(0.084966-0.097512))+0-28.9-0.0147389999999971</f>
        <v>1512.7711200000001</v>
      </c>
      <c r="U180" s="3">
        <f>1565.9+(149.6-192.9)+(0+(0-0))+0-29.5-0</f>
        <v>1493.1000000000001</v>
      </c>
      <c r="V180" s="3">
        <f>1608+(115.1-207)+(-4.1004+(-0.293505--0.52785))+0-29.1--0.0742049999999958</f>
        <v>1483.2081499999999</v>
      </c>
      <c r="W180" s="3">
        <f>1643.8+(97.4-215.6)+(-1.676676+(-0.099348--0.219912))+0-28.8--0.0293760000000046</f>
        <v>1495.2732639999999</v>
      </c>
      <c r="X180" s="3">
        <f>1579.6+(121.1-182.9)+(-2.416788+(-0.185283--0.279837))+0-29.3--0.0448290000000017</f>
        <v>1486.222595</v>
      </c>
      <c r="Y180" s="3">
        <f>1712.8+(129.6-225.5)+(0+(0-0))+0-27.3-0</f>
        <v>1589.6</v>
      </c>
      <c r="Z180" s="3">
        <f>1829.3+(280.3-273.8)+(-2.798829+(-0.428859--0.418914))+0-27.1--0.0414630000000016</f>
        <v>1805.932689</v>
      </c>
      <c r="AA180" s="3">
        <f>1849.5+(257.6-305.2)+(-4.716225+(-0.65688--0.77826))+0-26.9--0.0685949999999961</f>
        <v>1770.4737499999999</v>
      </c>
      <c r="AB180" s="3">
        <f>1714.6+(263.8-231.4)+(-3.497784+(-0.538152--0.472056))+0-26.7--0.0544679999999988</f>
        <v>1716.7905880000001</v>
      </c>
      <c r="AC180" s="3">
        <f>1699.2+(218.6-274.3)+(-1.733184+(-0.222972--0.279786))+0-27.3--0.0278460000000044</f>
        <v>1614.5514760000001</v>
      </c>
      <c r="AD180">
        <v>1799.8</v>
      </c>
      <c r="AE180" s="3">
        <f>1846.6+(276.9-277.3)+(0+(0-0))+0-27.4-0</f>
        <v>1818.7999999999997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1575.6+(129.7-220.5)+(-3.214224+(-0.264588--0.44982))+0-27.4--0.0558959999999988</f>
        <v>1454.4269039999999</v>
      </c>
      <c r="G181" s="3">
        <f>1406.6+(121.4-188)+(0+(0-0))+0-26.8-0</f>
        <v>1313.2</v>
      </c>
      <c r="H181" s="3">
        <f>1342.1+(129-181.3)+(-2.053413+(-0.19737--0.277389))+0-26.9--0.0411570000000016</f>
        <v>1260.9677629999999</v>
      </c>
      <c r="I181" s="3">
        <f>1344.5+(111.4-195.3)+(-1.37139+(-0.113628--0.199206))+0-27.5--0.0280500000000044</f>
        <v>1231.8422379999997</v>
      </c>
      <c r="J181" s="3">
        <f>1344.8+(123.8-213.6)+(-0.685848+(-0.063138--0.108936))+0-27.6--0.0140759999999972</f>
        <v>1226.774026</v>
      </c>
      <c r="K181" s="3">
        <f>1342.9+(131.6-204.2)+(-3.424395+(-0.33558--0.52071))+0-27.5--0.070124999999996</f>
        <v>1239.6308600000002</v>
      </c>
      <c r="L181" s="3">
        <f>1344.7+(151-192.7)+(-4.800579+(-0.53907--0.687939))+0-27.6--0.0985320000000004</f>
        <v>1270.846822</v>
      </c>
      <c r="M181" s="3">
        <f>1409.1+(110.7-178.5)+(2.155923+(0.169371-0.273105))+0-28.4-0.0434520000000016</f>
        <v>1314.908737</v>
      </c>
      <c r="N181" s="3">
        <f>1810.1+(36.6-301.5)+(-1.846302+(-0.037332--0.30753))+0-30.2--0.0308040000000048</f>
        <v>1513.4546999999998</v>
      </c>
      <c r="O181" s="3">
        <f>1965.9+(78.9-322.9)+(-1.002609+(-0.040239--0.164679))+0-29.8--0.015197999999997</f>
        <v>1691.2370290000001</v>
      </c>
      <c r="P181" s="3">
        <f>2049.1+(74.1-292.1)+(0+(0-0))+0-30.1-0</f>
        <v>1801</v>
      </c>
      <c r="Q181" s="3">
        <f>2106.2+(75.9-285.8)+(1.074162+(0.038709-0.145758))+0-29.3-0.014942999999997</f>
        <v>1867.9521699999998</v>
      </c>
      <c r="R181" s="3">
        <f>2145.6+(75.5-304.3)+(-2.188512+(-0.07701--0.310386))+0-28.4--0.0289680000000045</f>
        <v>1886.4738319999999</v>
      </c>
      <c r="S181" s="3">
        <f>2168.5+(36.3-355)+(1.105935+(0.018513-0.18105))+0-27.1-0.0138209999999973</f>
        <v>1823.6295769999999</v>
      </c>
      <c r="T181" s="3">
        <f>2169.6+(31.9-392.7)+(1.106496+(0.016269-0.200277))+0-28.4-0.0144839999999971</f>
        <v>1781.3080039999998</v>
      </c>
      <c r="U181" s="3">
        <f>2170.4+(36-400.3)+(-1.106904+(-0.01836--0.204153))+0-29.4--0.014993999999997</f>
        <v>1775.7938829999998</v>
      </c>
      <c r="V181" s="3">
        <f>2167.7+(42.3-410)+(-3.316581+(-0.064719--0.6273))+0-28.9--0.0442170000000017</f>
        <v>1768.3902169999997</v>
      </c>
      <c r="W181" s="3">
        <f>2154.3+(39.4-411.8)+(-4.394772+(-0.080376--0.840072))+0-28.6--0.0583439999999988</f>
        <v>1749.7232680000002</v>
      </c>
      <c r="X181" s="3">
        <f>2006+(69.8-330.5)+(-2.04612+(-0.071196--0.33711))+0-27.9--0.0284580000000044</f>
        <v>1715.648252</v>
      </c>
      <c r="Y181" s="3">
        <f>2088+(80.3-363.1)+(-1.06488+(-0.040953--0.185181))+0-29.1--0.014840999999997</f>
        <v>1775.1941890000001</v>
      </c>
      <c r="Z181" s="3">
        <f>2179.7+(176-355.5)+(-2.223294+(-0.17952--0.36261))+0-28--0.0285600000000045</f>
        <v>1970.1883559999999</v>
      </c>
      <c r="AA181" s="3">
        <f>2149.4+(186.3-385.8)+(-6.577164+(-0.570078--1.180548))+0-27--0.0826200000000031</f>
        <v>1917.015926</v>
      </c>
      <c r="AB181" s="3">
        <f>2015.1+(213.4-368.8)+(1.027701+(0.108834-0.188088))+0-27-0.0137699999999973</f>
        <v>1833.6346769999998</v>
      </c>
      <c r="AC181" s="3">
        <f>1795.6+(214.4-270.6)+(0.915756+(0.109344-0.138006))+0-26.8-0.0136679999999973</f>
        <v>1713.4734259999998</v>
      </c>
      <c r="AD181">
        <v>1948.0999999999997</v>
      </c>
      <c r="AE181" s="3">
        <f>2173.6+(194.5-365.4)+(0+(0-0))+0-27-0</f>
        <v>1975.6999999999998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1757.3+(75.6-271.5)+(-0.896223+(-0.038556--0.138465))+0-26--0.0132599999999974</f>
        <v>1534.6169459999999</v>
      </c>
      <c r="G182" s="3">
        <f>1753.5+(28.6-346.5)+(0.894285+(0.014586-0.176715))+0-27.2-0.0138719999999972</f>
        <v>1409.1182839999999</v>
      </c>
      <c r="H182" s="3">
        <f>1758.5+(30.1-415.2)+(3.58734+(0.061404-0.847008))+0-28-0.0571199999999988</f>
        <v>1348.144616</v>
      </c>
      <c r="I182" s="3">
        <f>1682.9+(38-380.3)+(-2.574837+(-0.05814--0.581859))+0-27.5--0.0420750000000016</f>
        <v>1311.0909570000001</v>
      </c>
      <c r="J182" s="3">
        <f>1600.6+(47.5-323.2)+(3.265224+(0.0969-0.659328))+0-26.8-0.0546719999999988</f>
        <v>1300.748124</v>
      </c>
      <c r="K182" s="3">
        <f>1570.7+(48.7-290.4)+(1.602114+(0.049674-0.296208))+0-27-0.0275400000000043</f>
        <v>1303.3280399999999</v>
      </c>
      <c r="L182" s="3">
        <f>1567.1+(51.7-251.7)+(-1.598442+(-0.052734--0.256734))+0-27.2--0.0277440000000043</f>
        <v>1338.5333019999998</v>
      </c>
      <c r="M182" s="3">
        <f>1656.5+(42.4-289.1)+(0.844815+(0.021624-0.147441))+0-28.1-0.0143309999999971</f>
        <v>1382.404667</v>
      </c>
      <c r="N182" s="3">
        <f>1840.5+(41.6-278.9)+(-0.938655+(-0.021216--0.142239))+0-29.4--0.014993999999997</f>
        <v>1572.9973619999998</v>
      </c>
      <c r="O182" s="3">
        <f>1922.7+(89.9-247.2)+(0.980577+(0.045849-0.126072))+0-30.4-0.0155039999999969</f>
        <v>1735.8848500000001</v>
      </c>
      <c r="P182" s="3">
        <f>2005.8+(69.7-252)+(0+(0-0))+0-30.4-0</f>
        <v>1793.1</v>
      </c>
      <c r="Q182" s="3">
        <f>2044.5+(69.7-241)+(3.128085+(0.106641-0.36873))+0-29.4-0.0449820000000017</f>
        <v>1846.6210140000001</v>
      </c>
      <c r="R182" s="3">
        <f>2038.5+(73.8-231.7)+(1.039635+(0.037638-0.118167))+0-27.7-0.0141269999999972</f>
        <v>1853.844979</v>
      </c>
      <c r="S182" s="3">
        <f>2033.6+(45.2-273.9)+(-1.037136+(-0.023052--0.139689))+0-26.6--0.0135659999999973</f>
        <v>1777.393067</v>
      </c>
      <c r="T182" s="3">
        <f>2033.5+(38.4-331)+(1.037085+(0.019584-0.16881))+0-25.9-0.0132089999999974</f>
        <v>1715.87465</v>
      </c>
      <c r="U182" s="3">
        <f>2023+(44.6-297.9)+(-3.09519+(-0.068238--0.455787))+0-29.2--0.0446760000000017</f>
        <v>1737.837035</v>
      </c>
      <c r="V182" s="3">
        <f>2027.3+(40.7-310)+(-4.135692+(-0.083028--0.6324))+0-26--0.0530399999999989</f>
        <v>1728.4667200000001</v>
      </c>
      <c r="W182" s="3">
        <f>2027.7+(38.3-308.9)+(-6.204762+(-0.117198--0.945234))+0-27.4--0.0838440000000032</f>
        <v>1724.4071180000001</v>
      </c>
      <c r="X182" s="3">
        <f>1952.2+(53.6-278.6)+(0.995622+(0.027336-0.142086))+0-27.4-0.0139739999999972</f>
        <v>1700.6668979999999</v>
      </c>
      <c r="Y182" s="3">
        <f>1954.2+(95.6-244)+(0.996642+(0.048756-0.12444))+0-27.2-0.0138719999999972</f>
        <v>1779.5070859999998</v>
      </c>
      <c r="Z182" s="3">
        <f>2046.9+(168.9-220.1)+(0+(0-0))+0-27.1-0</f>
        <v>1968.6000000000001</v>
      </c>
      <c r="AA182" s="3">
        <f>2037+(147.3-258)+(-5.19435+(-0.375615--0.6579))+0-26.6--0.0678299999999961</f>
        <v>1894.855765</v>
      </c>
      <c r="AB182" s="3">
        <f>2034.7+(130.2-309.4)+(-5.188485+(-0.33201--0.78897))+0-27.3--0.069614999999996</f>
        <v>1823.53809</v>
      </c>
      <c r="AC182" s="3">
        <f>2050+(116.6-423.8)+(2.091+(0.118932-0.432276))+0-27.6-0.0281520000000044</f>
        <v>1716.9495039999999</v>
      </c>
      <c r="AD182">
        <v>1950.9</v>
      </c>
      <c r="AE182" s="3">
        <f>2044.2+(172.8-215.1)+(0+(0-0))+0-27-0</f>
        <v>1974.9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2001+(35.2-459)+(-2.04102+(-0.035904--0.46818))+0-27.4--0.0279480000000044</f>
        <v>1548.219204</v>
      </c>
      <c r="G183" s="3">
        <f>1921.6+(16.9-495.9)+(-3.920064+(-0.034476--1.011636))+0-27--0.0550799999999988</f>
        <v>1412.712176</v>
      </c>
      <c r="H183" s="3">
        <f>1889.2+(16.6-534.2)+(-0.963492+(-0.008466--0.272442))+0-26.7--0.0136169999999973</f>
        <v>1344.214101</v>
      </c>
      <c r="I183" s="3">
        <f>1881.3+(17-548.6)+(-3.837852+(-0.03468--1.119144))+0-27.5--0.0560999999999988</f>
        <v>1319.5027119999997</v>
      </c>
      <c r="J183" s="3">
        <f>1797.7+(29.4-497.6)+(4.584135+(0.07497-1.26888))+0-26.9-0.0685949999999961</f>
        <v>1305.9216300000001</v>
      </c>
      <c r="K183" s="3">
        <f>1797.9+(30.1-481.2)+(2.750787+(0.046053-0.736236))+0-27.1-0.0414630000000016</f>
        <v>1321.7191410000003</v>
      </c>
      <c r="L183" s="3">
        <f>1789+(29.4-425.9)+(-3.64956+(-0.059976--0.868836))+0-26.9--0.0548759999999988</f>
        <v>1362.8141759999999</v>
      </c>
      <c r="M183" s="3">
        <f>1794.8+(28.8-387.9)+(0+(0-0))+0-28.3-0</f>
        <v>1407.4</v>
      </c>
      <c r="N183" s="3">
        <f>1929.7+(35.1-359.5)+(0.984147+(0.017901-0.183345))+0-29.2-0.014891999999997</f>
        <v>1576.9038110000001</v>
      </c>
      <c r="O183" s="3">
        <f>2015.5+(56.2-311.1)+(1.027905+(0.028662-0.158661))+0-29.4-0.014993999999997</f>
        <v>1732.0829119999999</v>
      </c>
      <c r="P183" s="3">
        <f>2049.2+(68.6-264.2)+(1.045092+(0.034986-0.134742))+0-29.5-0.015044999999997</f>
        <v>1825.0302909999998</v>
      </c>
      <c r="Q183" s="3">
        <f>2056.4+(101.9-233.6)+(2.097528+(0.103938-0.238272))+0-29.1-0.0296820000000046</f>
        <v>1897.533512</v>
      </c>
      <c r="R183" s="3">
        <f>2163+(63.6-289.9)+(-1.10313+(-0.032436--0.147849))+0-27.7--0.0141269999999972</f>
        <v>1908.0264099999999</v>
      </c>
      <c r="S183" s="3">
        <f>2157.4+(46.3-314.6)+(-3.300822+(-0.070839--0.481338))+0-27.1--0.0414630000000016</f>
        <v>1859.1511400000002</v>
      </c>
      <c r="T183" s="3">
        <f>2163.2+(35-360.6)+(0+(0-0))+0-28.1-0</f>
        <v>1809.5</v>
      </c>
      <c r="U183" s="3">
        <f>2148.6+(35.7-339.4)+(-4.383144+(-0.072828--0.692376))+0-28.6--0.0583439999999988</f>
        <v>1812.594748</v>
      </c>
      <c r="V183" s="3">
        <f>2098.8+(45.7-312.3)+(-2.140776+(-0.046614--0.318546))+0-28.7--0.0292740000000046</f>
        <v>1801.6604300000001</v>
      </c>
      <c r="W183" s="3">
        <f>2028.8+(50.7-282.5)+(-4.138752+(-0.103428--0.5763))+0-27.7--0.0565079999999988</f>
        <v>1765.6906279999998</v>
      </c>
      <c r="X183" s="3">
        <f>1962.5+(65.3-261.6)+(-1.000875+(-0.033303--0.133416))+0-27.8--0.0141779999999972</f>
        <v>1737.513416</v>
      </c>
      <c r="Y183" s="3">
        <f>2023+(84.8-268)+(1.03173+(0.043248-0.13668))+0-28.2-0.0143819999999971</f>
        <v>1812.5239159999999</v>
      </c>
      <c r="Z183" s="3">
        <f>2074.5+(174-254.3)+(-4.23198+(-0.35496--0.518772))+0-27.8--0.0567119999999988</f>
        <v>1962.3885440000001</v>
      </c>
      <c r="AA183" s="3">
        <f>2077.5+(123-255.7)+(-4.2381+(-0.25092--0.521628))+0-27.3--0.0556919999999988</f>
        <v>1913.5882999999999</v>
      </c>
      <c r="AB183" s="3">
        <f>1963.8+(134.7-241.4)+(-4.006152+(-0.274788--0.492456))+0-26.5--0.0540599999999988</f>
        <v>1826.8655759999999</v>
      </c>
      <c r="AC183" s="3">
        <f>1724.2+(190.9-198.7)+(0+(0-0))+0-26-0</f>
        <v>1690.4</v>
      </c>
      <c r="AD183">
        <v>1945.2999999999997</v>
      </c>
      <c r="AE183" s="3">
        <f>2077.2+(169.6-247.4)+(0+(0-0))+0-27.1-0</f>
        <v>1972.3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1485.4+(221.7-176)+(-3.030216+(-0.452268--0.35904))+0-26.9--0.0548759999999988</f>
        <v>1501.1314319999999</v>
      </c>
      <c r="G184" s="3">
        <f>1472.7+(132.8-190.2)+(-2.253231+(-0.203184--0.291006))+0-27--0.0413100000000016</f>
        <v>1386.1759010000003</v>
      </c>
      <c r="H184" s="3">
        <f>1467.2+(85-195.8)+(-2.244816+(-0.13005--0.299574))+0-26.7--0.0408510000000015</f>
        <v>1327.665559</v>
      </c>
      <c r="I184" s="3">
        <f>1413.2+(79.8-174.3)+(1.441464+(0.081396-0.177786))+0-27.1-0.0276420000000043</f>
        <v>1292.9174320000002</v>
      </c>
      <c r="J184" s="3">
        <f>1414.4+(76.2-182.9)+(3.60672+(0.19431-0.466395))+0-26.4-0.0673199999999962</f>
        <v>1284.5673149999998</v>
      </c>
      <c r="K184" s="3">
        <f>1417.5+(78.6-175.5)+(0+(0-0))+0-26.8-0</f>
        <v>1293.8</v>
      </c>
      <c r="L184" s="3">
        <f>1416.9+(106.7-160.6)+(-0.722619+(-0.054417--0.081906))+0-26.9--0.0137189999999973</f>
        <v>1335.4185889999999</v>
      </c>
      <c r="M184" s="3">
        <f>1418.9+(125.1-145.9)+(-0.723639+(-0.063801--0.074409))+0-28.1--0.0143309999999971</f>
        <v>1369.3013000000003</v>
      </c>
      <c r="N184" s="3">
        <f>1592.1+(149.5-167.6)+(0+(0-0))+0-28.6-0</f>
        <v>1545.4</v>
      </c>
      <c r="O184" s="3">
        <f>1820.6+(129.9-243.9)+(2.785518+(0.198747-0.373167))+0-28.7-0.0439110000000017</f>
        <v>1680.467187</v>
      </c>
      <c r="P184" s="3">
        <f>2281.2+(6.4-480.4)+(2.326824+(0.006528-0.490008))+0-29.2-0.0297840000000047</f>
        <v>1779.8135599999996</v>
      </c>
      <c r="Q184" s="3">
        <f>2365.9+(5.9-500.1)+(3.619827+(0.009027-0.765153))+0-24.4-0.0373320000000014</f>
        <v>1850.1263689999998</v>
      </c>
      <c r="R184" s="3">
        <f>2536.1+(4.7-655)+(0+(0-0))+0-27-0</f>
        <v>1858.8</v>
      </c>
      <c r="S184" s="3">
        <f>2653.7+(6-816.9)+(-1.353387+(-0.00306--0.416619))+0-26.6--0.0135659999999973</f>
        <v>1815.2737379999999</v>
      </c>
      <c r="T184" s="3">
        <f>2686.2+(9.4-883.9)+(1.369962+(0.004794-0.450789))+0-28.8-0.0146879999999971</f>
        <v>1783.8092789999998</v>
      </c>
      <c r="U184" s="3">
        <f>2638.1+(8.8-834.5)+(2.690862+(0.008976-0.85119))+0-29-0.0295800000000046</f>
        <v>1785.2190679999999</v>
      </c>
      <c r="V184" s="3">
        <f>2590+(10.9-782.8)+(-6.6045+(-0.027795--1.99614))+0-29.5--0.0752249999999957</f>
        <v>1784.03907</v>
      </c>
      <c r="W184" s="3">
        <f>2352.3+(9.8-568.5)+(-2.399346+(-0.009996--0.57987))+0-28.7--0.0292740000000046</f>
        <v>1763.0998020000002</v>
      </c>
      <c r="X184" s="3">
        <f>2129.6+(14.4-400)+(0+(0-0))+0-28.9-0</f>
        <v>1715.1</v>
      </c>
      <c r="Y184" s="3">
        <f>2305+(11.6-494)+(0+(0-0))+0-28.4-0</f>
        <v>1794.1999999999998</v>
      </c>
      <c r="Z184" s="3">
        <f>2138.5+(169.1-360.8)+(-2.18127+(-0.172482--0.368016))+0-28.4--0.0289680000000045</f>
        <v>1916.4432319999999</v>
      </c>
      <c r="AA184" s="3">
        <f>2014.9+(195.4-324.8)+(-5.137995+(-0.49827--0.82824))+0-26.8--0.0683399999999961</f>
        <v>1853.960315</v>
      </c>
      <c r="AB184" s="3">
        <f>1962+(150.3-315.1)+(-5.0031+(-0.383265--0.803505))+0-26.8--0.0683399999999961</f>
        <v>1765.8854800000001</v>
      </c>
      <c r="AC184" s="3">
        <f>1970.6+(62.7-357.2)+(-1.005006+(-0.031977--0.182172))+0-22.7--0.0115769999999977</f>
        <v>1652.5567659999999</v>
      </c>
      <c r="AD184">
        <v>1886.4</v>
      </c>
      <c r="AE184" s="3">
        <f>2103.6+(201-365.8)+(0+(0-0))+0-28-0</f>
        <v>1910.8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1933.9+(6.9-421.6)+(-6.904023+(-0.024633--1.505112))+0-18.2--0.0649740000000003</f>
        <v>1495.6414299999999</v>
      </c>
      <c r="G185" s="3">
        <f>1928.1+(4-522)+(-7.866648+(-0.01632--2.12976))+0-20.4--0.0832319999999982</f>
        <v>1384.0300239999997</v>
      </c>
      <c r="H185" s="3">
        <f>1826.7+(8.3-488)+(-5.589702+(-0.025398--1.49328))+0-26--0.079560000000003</f>
        <v>1316.9577399999998</v>
      </c>
      <c r="I185" s="3">
        <f>1598.5+(9.9-309.5)+(0.815235+(0.005049-0.157845))+0-26.6-0.0135659999999973</f>
        <v>1272.948873</v>
      </c>
      <c r="J185" s="3">
        <f>1629.6+(13.9-345.4)+(0.831096+(0.007089-0.176154))+0-26.7-0.0136169999999973</f>
        <v>1272.0484139999999</v>
      </c>
      <c r="K185" s="3">
        <f>1639.9+(21.9-354.7)+(1.672698+(0.022338-0.361794))+0-26.9-0.0274380000000043</f>
        <v>1281.5058039999999</v>
      </c>
      <c r="L185" s="3">
        <f>1638.7+(40.2-342.3)+(-3.342948+(-0.082008--0.698292))+0-27.4--0.0558959999999988</f>
        <v>1306.5292319999999</v>
      </c>
      <c r="M185" s="3">
        <f>1678.9+(31.2-311.1)+(1.712478+(0.031824-0.317322))+0-28.5-0.0290700000000045</f>
        <v>1371.8979099999999</v>
      </c>
      <c r="N185" s="3">
        <f>1929.3+(30-394.1)+(-3.935772+(-0.0612--0.803964))+0-29.9--0.0609959999999987</f>
        <v>1532.1679879999997</v>
      </c>
      <c r="O185" s="3">
        <f>2279.4+(30.1-578)+(-1.162494+(-0.015351--0.29478))+0-29.7--0.015146999999997</f>
        <v>1700.932082</v>
      </c>
      <c r="P185" s="3">
        <f>2462.7+(34.1-681.7)+(-2.511954+(-0.034782--0.695334))+0-29.8--0.0303960000000048</f>
        <v>1783.4789940000001</v>
      </c>
      <c r="Q185" s="3">
        <f>2630.7+(40.1-793.2)+(2.683314+(0.040902-0.809064))+0-28.4-0.0289680000000045</f>
        <v>1851.0861839999998</v>
      </c>
      <c r="R185" s="3">
        <f>2652.3+(33.1-805.6)+(-2.705346+(-0.033762--0.821712))+0-27.6--0.0281520000000044</f>
        <v>1850.3107560000003</v>
      </c>
      <c r="S185" s="3">
        <f>2693+(35.6-907.6)+(-2.74686+(-0.036312--0.925752))+0-27.1--0.0276420000000043</f>
        <v>1792.0702220000001</v>
      </c>
      <c r="T185" s="3">
        <f>2701.6+(33.8-958)+(-2.755632+(-0.034476--0.97716))+0-28.8--0.0293760000000046</f>
        <v>1746.8164279999999</v>
      </c>
      <c r="U185" s="3">
        <f>2735.4+(27.4-968)+(-5.580216+(-0.055896--1.97472))+0-29.8--0.0607919999999987</f>
        <v>1761.3994000000002</v>
      </c>
      <c r="V185" s="3">
        <f>2744+(28.2-972.7)+(-5.59776+(-0.057528--1.984308))+0-28.8--0.0587519999999987</f>
        <v>1767.0877719999999</v>
      </c>
      <c r="W185" s="3">
        <f>2571.4+(28-802.9)+(-6.55707+(-0.0714--2.047395))+0-27.8--0.070889999999996</f>
        <v>1764.189815</v>
      </c>
      <c r="X185" s="3">
        <f>2270.6+(16.6-558.9)+(-3.474018+(-0.025398--0.855117))+0-28.7--0.0439110000000017</f>
        <v>1696.9996119999998</v>
      </c>
      <c r="Y185" s="3">
        <f>2436.7+(12.7-628.9)+(-4.970868+(-0.025908--1.282956))+0-28.7--0.0585479999999987</f>
        <v>1788.144728</v>
      </c>
      <c r="Z185" s="3">
        <f>2425.8+(21.2-476.9)+(-4.948632+(-0.043248--0.972876))+0-28.5--0.0581399999999988</f>
        <v>1937.6391360000002</v>
      </c>
      <c r="AA185" s="3">
        <f>2175.2+(72.7-335.8)+(-8.874816+(-0.296616--1.370064))+0-28.1--0.114647999999998</f>
        <v>1876.3132800000001</v>
      </c>
      <c r="AB185" s="3">
        <f>1957+(127-264.1)+(-4.99035+(-0.32385--0.673455))+0-26.4--0.0673199999999962</f>
        <v>1788.9265750000002</v>
      </c>
      <c r="AC185" s="3">
        <f>1765.3+(138.9-219.7)+(-1.800606+(-0.141678--0.224094))+0-25.8--0.0263160000000041</f>
        <v>1657.0081259999999</v>
      </c>
      <c r="AD185">
        <v>1914.2000000000003</v>
      </c>
      <c r="AE185" s="3">
        <f>2486+(16.5-540.6)+(0+(0-0))+0-28.3-0</f>
        <v>1933.6000000000001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1713.5+(36.1-345.8)+(-1.74777+(-0.036822--0.352716))+0-25.9--0.0264180000000041</f>
        <v>1376.4945419999997</v>
      </c>
      <c r="G186" s="3">
        <f>1717.7+(46.1-401.8)+(2.628081+(0.070533-0.614754))+0-25.9-0.0396270000000015</f>
        <v>1338.1442329999998</v>
      </c>
      <c r="H186" s="3">
        <f>1715.7+(36.6-434.3)+(2.625021+(0.055998-0.664479))+0-25.8-0.0394740000000015</f>
        <v>1294.1770660000002</v>
      </c>
      <c r="I186" s="3">
        <f>1594.8+(41.4-339.1)+(1.626696+(0.042228-0.345882))+0-26.1-0.0266220000000042</f>
        <v>1272.2964199999999</v>
      </c>
      <c r="J186" s="3">
        <f>1636.9+(34-368.7)+(4.174095+(0.0867-0.940185))+0-26.7-0.0680849999999961</f>
        <v>1278.7525250000001</v>
      </c>
      <c r="K186" s="3">
        <f>1487.4+(89.8-243.4)+(-3.79287+(-0.22899--0.62067))+0-27.3--0.069614999999996</f>
        <v>1303.1684250000001</v>
      </c>
      <c r="L186" s="3">
        <f>1511.8+(64.8-251.8)+(0.771018+(0.033048-0.128418))+0-27-0.0137699999999973</f>
        <v>1298.4618779999998</v>
      </c>
      <c r="M186" s="3">
        <f>1610.7+(77.9-226.5)+(-0.821457+(-0.039729--0.115515))+0-28.3--0.0144329999999971</f>
        <v>1433.0687620000003</v>
      </c>
      <c r="N186" s="3">
        <f>1837.7+(78.5-258.8)+(-1.874454+(-0.08007--0.263976))+0-29.5--0.0300900000000047</f>
        <v>1626.239542</v>
      </c>
      <c r="O186" s="3">
        <f>1903.5+(108.3-255.7)+(0+(0-0))+0-29.7-0</f>
        <v>1726.3999999999999</v>
      </c>
      <c r="P186" s="3">
        <f>2192.4+(36.1-408)+(-1.118124+(-0.018411--0.20808))+0-29.9--0.015248999999997</f>
        <v>1789.686794</v>
      </c>
      <c r="Q186" s="3">
        <f>2219+(23.8-425.7)+(-4.52676+(-0.048552--0.868428))+0-29.8--0.0607919999999987</f>
        <v>1783.653908</v>
      </c>
      <c r="R186" s="3">
        <f>2215.4+(17.2-448)+(-5.64927+(-0.04386--1.1424))+0-28.2--0.0719099999999959</f>
        <v>1751.92118</v>
      </c>
      <c r="S186" s="3">
        <f>2227.9+(18.2-535.4)+(-4.544916+(-0.037128--1.092216))+0-27.6--0.0563039999999988</f>
        <v>1679.6664760000003</v>
      </c>
      <c r="T186" s="3">
        <f>2228.2+(17.3-547.7)+(0+(0-0))+0-28.8-0</f>
        <v>1668.9999999999998</v>
      </c>
      <c r="U186" s="3">
        <f>2059.8+(15.8-382.2)+(-4.201992+(-0.032232--0.779688))+0-29.8--0.0607919999999987</f>
        <v>1660.2062560000002</v>
      </c>
      <c r="V186" s="3">
        <f>1815.1+(82.8-240.7)+(-4.628505+(-0.21114--0.613785))+0-29.6--0.0754799999999957</f>
        <v>1623.4496199999999</v>
      </c>
      <c r="W186" s="3">
        <f>1580.7+(212.8-172)+(-1.612314+(-0.217056--0.17544))+0-28.8--0.0293760000000046</f>
        <v>1591.0754460000001</v>
      </c>
      <c r="X186" s="3">
        <f>1716.9+(219-185.8)+(-3.502476+(-0.44676--0.379032))+0-29.9--0.0609959999999987</f>
        <v>1716.6907919999999</v>
      </c>
      <c r="Y186" s="3">
        <f>1730.9+(343.1-189.2)+(-5.296554+(-1.049886--0.578952))+0-29.4--0.0899640000000034</f>
        <v>1849.7224760000001</v>
      </c>
      <c r="Z186" s="3">
        <f>1728.9+(283.6-188.9)+(-4.408695+(-0.72318--0.481695))+0-27.8--0.070889999999996</f>
        <v>1791.2207100000001</v>
      </c>
      <c r="AA186" s="3">
        <f>1731+(209-197.2)+(-3.53124+(-0.42636--0.402288))+0-27.9--0.0569159999999988</f>
        <v>1711.4016039999999</v>
      </c>
      <c r="AB186" s="3">
        <f>1648.6+(180.8-197.5)+(-2.522358+(-0.276624--0.302175))+0-27.9--0.0426870000000016</f>
        <v>1601.5458799999999</v>
      </c>
      <c r="AC186" s="3">
        <f>1628.3+(102.8-217)+(-4.152165+(-0.26214--0.55335))+0-27.2--0.0693599999999961</f>
        <v>1483.1084049999997</v>
      </c>
      <c r="AD186">
        <v>1825.2</v>
      </c>
      <c r="AE186" s="3">
        <f>1722.4+(348.1-191.8)+(0+(0-0))+0-29.5-0</f>
        <v>1849.2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1582.6+(60.1-236.3)+(-1.614252+(-0.061302--0.241026))+0-27.2--0.0277440000000043</f>
        <v>1377.7932159999998</v>
      </c>
      <c r="G187" s="3">
        <f>1565+(27.3-269.2)+(0.79815+(0.013923-0.137292))+0-27.4-0.0139739999999972</f>
        <v>1296.3608069999998</v>
      </c>
      <c r="H187" s="3">
        <f>1563.5+(17.7-303.9)+(1.59477+(0.018054-0.309978))+0-27.3-0.0278460000000044</f>
        <v>1251.2750000000001</v>
      </c>
      <c r="I187" s="3">
        <f>1565.8+(13.6-324.9)+(0+(0-0))+0-27.3-0</f>
        <v>1227.2</v>
      </c>
      <c r="J187" s="3">
        <f>1551.6+(13.3-314.2)+(-2.373948+(-0.020349--0.480726))+0-26.9--0.0411570000000016</f>
        <v>1221.9275859999998</v>
      </c>
      <c r="K187" s="3">
        <f>1379.5+(55.9-188)+(-4.22127+(-0.171054--0.57528))+0-27.5--0.0841500000000032</f>
        <v>1216.1671060000001</v>
      </c>
      <c r="L187" s="3">
        <f>1369.1+(42.5-201.9)+(0.698241+(0.021675-0.102969))+0-27.6-0.0140759999999972</f>
        <v>1182.702871</v>
      </c>
      <c r="M187" s="3">
        <f>1400+(63.2-208.2)+(2.856+(0.128928-0.424728))+0-29.3-0.0597719999999987</f>
        <v>1228.2004279999999</v>
      </c>
      <c r="N187" s="3">
        <f>1425.5+(133.5-189.3)+(0+(0-0))+0-30.3-0</f>
        <v>1339.4</v>
      </c>
      <c r="O187" s="3">
        <f>1527.4+(150.2-204.9)+(1.557948+(0.153204-0.208998))+0-29.6-0.0301920000000047</f>
        <v>1444.5719620000002</v>
      </c>
      <c r="P187" s="3">
        <f>1439.1+(248.5-168)+(0+(0-0))+0-29.3-0</f>
        <v>1490.3</v>
      </c>
      <c r="Q187" s="3">
        <f>1402.8+(300.4-161.8)+(-1.430856+(-0.306408--0.165036))+0-28.9--0.0294780000000046</f>
        <v>1510.9572499999997</v>
      </c>
      <c r="R187" s="3">
        <f>1400.2+(288.7-156.6)+(0.714102+(0.147237-0.079866))+0-27.6-0.0140759999999972</f>
        <v>1505.4673970000001</v>
      </c>
      <c r="S187" s="3">
        <f>1393.6+(253.3-156)+(-1.421472+(-0.258366--0.15912))+0-26.2--0.0267240000000042</f>
        <v>1463.2060059999999</v>
      </c>
      <c r="T187" s="3">
        <f>1389.1+(248.4-165.8)+(-2.125323+(-0.380052--0.253674))+0-28.6--0.0437580000000017</f>
        <v>1440.892057</v>
      </c>
      <c r="U187" s="3">
        <f>1364.7+(255.9-163.9)+(-2.783988+(-0.522036--0.334356))+0-29.8--0.0607919999999987</f>
        <v>1423.9891240000002</v>
      </c>
      <c r="V187" s="3">
        <f>1273.2+(311.5-157.6)+(-1.947996+(-0.476595--0.241128))+0-29.7--0.0454410000000017</f>
        <v>1395.261978</v>
      </c>
      <c r="W187" s="3">
        <f>1256.5+(328.7-161.7)+(0+(0-0))+0-29.5-0</f>
        <v>1394</v>
      </c>
      <c r="X187" s="3">
        <f>1326.8+(435.7-180.6)+(0+(0-0))+0-29.8-0</f>
        <v>1552.1</v>
      </c>
      <c r="Y187" s="3">
        <f>1402+(503.3-171.8)+(-0.71502+(-0.256683--0.087618))+0-29.4--0.014993999999997</f>
        <v>1703.2309089999999</v>
      </c>
      <c r="Z187" s="3">
        <f>1408.5+(454.7-164.5)+(-2.155005+(-0.695691--0.251685))+0-27.3--0.0417690000000016</f>
        <v>1668.842758</v>
      </c>
      <c r="AA187" s="3">
        <f>1352+(427.9-151.3)+(-1.37904+(-0.436458--0.154326))+0-27.3--0.0278460000000044</f>
        <v>1599.6666739999998</v>
      </c>
      <c r="AB187" s="3">
        <f>1298.4+(388.1-150.6)+(0.662184+(0.197931-0.076806))+0-26.8-0.0136679999999973</f>
        <v>1509.869641</v>
      </c>
      <c r="AC187" s="3">
        <f>1300.5+(268.4-158.7)+(-0.663255+(-0.136884--0.080937))+0-27--0.0137699999999973</f>
        <v>1382.4945680000001</v>
      </c>
      <c r="AD187">
        <v>1682.1</v>
      </c>
      <c r="AE187" s="3">
        <f>1403+(498.3-168.4)+(0+(0-0))+0-28.8-0</f>
        <v>1704.1000000000001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1295+(181.4-187.2)+(0+(0-0))+0-26.3-0</f>
        <v>1262.9000000000001</v>
      </c>
      <c r="G188" s="3">
        <f>1291.2+(120.8-191)+(0.658512+(0.061608-0.09741))+0-26.2-0.0133619999999973</f>
        <v>1195.4093480000001</v>
      </c>
      <c r="H188" s="3">
        <f>1294+(85.9-185.5)+(1.31988+(0.087618-0.18921))+0-26.4-0.0269280000000042</f>
        <v>1169.19136</v>
      </c>
      <c r="I188" s="3">
        <f>1292.2+(66-186.1)+(0.659022+(0.03366-0.094911))+0-26.7-0.0136169999999973</f>
        <v>1145.984154</v>
      </c>
      <c r="J188" s="3">
        <f>1292.5+(61.3-179.3)+(-1.31835+(-0.062526--0.182886))+0-27.6--0.0281520000000044</f>
        <v>1145.7301620000003</v>
      </c>
      <c r="K188" s="3">
        <f>1245+(106-165.4)+(-3.17475+(-0.2703--0.42177))+0-27.4--0.069869999999996</f>
        <v>1155.24659</v>
      </c>
      <c r="L188" s="3">
        <f>1230.8+(124.8-177.1)+(0+(0-0))+0-26.9-0</f>
        <v>1151.5999999999999</v>
      </c>
      <c r="M188" s="3">
        <f>1231.2+(182.9-164.8)+(0+(0-0))+0-28.8-0</f>
        <v>1220.5</v>
      </c>
      <c r="N188" s="3">
        <f>1230.7+(362.8-170.6)+(-0.627657+(-0.185028--0.087006))+0-29.6--0.015095999999997</f>
        <v>1392.5894170000004</v>
      </c>
      <c r="O188" s="3">
        <f>1317.2+(397-177.5)+(0+(0-0))+0-29.6-0</f>
        <v>1507.1000000000001</v>
      </c>
      <c r="P188" s="3">
        <f>1410.8+(396.9-184.3)+(0.719508+(0.202419-0.093993))+0-29.7-0.015146999999997</f>
        <v>1594.5127869999997</v>
      </c>
      <c r="Q188" s="3">
        <f>1427.7+(396.4-168.2)+(-2.184381+(-0.606492--0.257346))+0-29.3--0.0448290000000017</f>
        <v>1624.111302</v>
      </c>
      <c r="R188" s="3">
        <f>1418.6+(370.6-158)+(0+(0-0))+0-27.7-0</f>
        <v>1603.4999999999998</v>
      </c>
      <c r="S188" s="3">
        <f>1753.2+(144.3-302.4)+(0.894132+(0.073593-0.154224))+0-27-0.0137699999999973</f>
        <v>1568.8997310000002</v>
      </c>
      <c r="T188" s="3">
        <f>1763.1+(124.8-323.1)+(0+(0-0))+0-28.2-0</f>
        <v>1536.6</v>
      </c>
      <c r="U188" s="3">
        <f>1690.8+(168.9-309)+(-1.724616+(-0.172278--0.31518))+0-29.7--0.0302940000000047</f>
        <v>1519.44858</v>
      </c>
      <c r="V188" s="3">
        <f>1481.6+(272.5-219.6)+(-2.266848+(-0.416925--0.335988))+0-29.4--0.0449820000000017</f>
        <v>1502.7971969999999</v>
      </c>
      <c r="W188" s="3">
        <f>1359.9+(367-190.2)+(-1.387098+(-0.37434--0.194004))+0-28.9--0.0294780000000046</f>
        <v>1506.2620439999998</v>
      </c>
      <c r="X188" s="3">
        <f>1619.4+(294.9-223.2)+(0+(0-0))+0-29.9-0</f>
        <v>1661.2</v>
      </c>
      <c r="Y188" s="3">
        <f>1692.9+(333.9-205)+(-0.863379+(-0.170289--0.10455))+0-29.3--0.014942999999997</f>
        <v>1791.5858250000001</v>
      </c>
      <c r="Z188" s="3">
        <f>1664.3+(314.5-195.4)+(-3.395172+(-0.64158--0.398616))+0-21.4--0.0436559999999991</f>
        <v>1758.4055199999998</v>
      </c>
      <c r="AA188" s="3">
        <f>1632.5+(275.3-185.3)+(0.832575+(0.140403-0.094503))+0-27.2-0.0138719999999972</f>
        <v>1696.1646029999999</v>
      </c>
      <c r="AB188" s="3">
        <f>1668.6+(169.6-226.4)+(-2.552958+(-0.259488--0.346392))+0-27.1--0.0414630000000016</f>
        <v>1582.2754090000001</v>
      </c>
      <c r="AC188" s="3">
        <f>1687.2+(57.7-278.5)+(-0.860472+(-0.029427--0.142035))+0-27.7--0.0141269999999972</f>
        <v>1437.966263</v>
      </c>
      <c r="AD188">
        <v>1762.0000000000002</v>
      </c>
      <c r="AE188" s="3">
        <f>1687+(308.8-201.9)+(0+(0-0))+0-19.1-0</f>
        <v>1774.8000000000002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1750.2+(4.6-445.6)+(-0.892602+(-0.002346--0.227256))+0-27.6--0.0140759999999972</f>
        <v>1280.9463840000001</v>
      </c>
      <c r="G189" s="3">
        <f>1790+(6-530.5)+(-2.7387+(-0.00918--0.811665))+0-27.5--0.0420750000000016</f>
        <v>1236.1058600000001</v>
      </c>
      <c r="H189" s="3">
        <f>1726.3+(11.9-510.8)+(0.880413+(0.006069-0.260508))+0-27.6-0.0140759999999972</f>
        <v>1200.4118980000001</v>
      </c>
      <c r="I189" s="3">
        <f>1643+(23-458.5)+(-0.83793+(-0.01173--0.233835))+0-27.3--0.0139229999999972</f>
        <v>1179.5980979999999</v>
      </c>
      <c r="J189" s="3">
        <f>1568.1+(37.6-396.5)+(-0.799731+(-0.019176--0.202215))+0-27.4--0.0139739999999972</f>
        <v>1181.1972819999996</v>
      </c>
      <c r="K189" s="3">
        <f>1534.9+(31.5-341.2)+(-3.131196+(-0.06426--0.696048))+0-27.4--0.0558959999999988</f>
        <v>1195.3564880000001</v>
      </c>
      <c r="L189" s="3">
        <f>1538.3+(10.1-291)+(-1.569066+(-0.010302--0.29682))+0-27.4--0.0279480000000044</f>
        <v>1228.7454</v>
      </c>
      <c r="M189" s="3">
        <f>1544.9+(56.8-233.9)+(1.575798+(0.057936-0.238578))+0-29.1-0.0296820000000046</f>
        <v>1340.0654740000002</v>
      </c>
      <c r="N189" s="3">
        <f>1699.1+(82.6-254.2)+(0+(0-0))+0-29.8-0</f>
        <v>1497.7</v>
      </c>
      <c r="O189" s="3">
        <f>1902.3+(47-265.1)+(0.970173+(0.02397-0.135201))+0-29.8-0.015197999999997</f>
        <v>1655.2437439999999</v>
      </c>
      <c r="P189" s="3">
        <f>2026.4+(53.7-325.5)+(-1.033464+(-0.027387--0.166005))+0-29.8--0.015197999999997</f>
        <v>1723.9203520000003</v>
      </c>
      <c r="Q189" s="3">
        <f>2141.6+(63-400.1)+(1.092216+(0.03213-0.204051))+0-29.8-0.015197999999997</f>
        <v>1775.6050969999999</v>
      </c>
      <c r="R189" s="3">
        <f>2351.8+(9.6-577.6)+(-2.398836+(-0.009792--0.589152))+0-28.4--0.0289680000000045</f>
        <v>1753.6094920000003</v>
      </c>
      <c r="S189" s="3">
        <f>2436.9+(9.3-722.2)+(2.485638+(0.009486-0.736644))+0-27.2-0.0277440000000043</f>
        <v>1698.5307359999999</v>
      </c>
      <c r="T189" s="3">
        <f>2544.3+(5-787.3)+(-1.297593+(-0.00255--0.401523))+0-29.7--0.015146999999997</f>
        <v>1731.4165270000003</v>
      </c>
      <c r="U189" s="3">
        <f>2449.2+(0-723.3)+(-4.996368+(0--1.475532))+0-28.1--0.0573239999999988</f>
        <v>1694.3364880000001</v>
      </c>
      <c r="V189" s="3">
        <f>2367.8+(0-648.3)+(-2.415156+(0--0.661266))+0-27.4--0.0279480000000044</f>
        <v>1690.3740580000001</v>
      </c>
      <c r="W189" s="3">
        <f>2207.7+(7.4-509.8)+(1.125927+(0.003774-0.259998))+0-27.8-0.0141779999999972</f>
        <v>1678.3555249999999</v>
      </c>
      <c r="X189" s="3">
        <f>2368.3+(12.4-549.5)+(-1.207833+(-0.006324--0.280245))+0-29.4--0.014993999999997</f>
        <v>1800.8810820000001</v>
      </c>
      <c r="Y189" s="3">
        <f>2412.7+(23.1-502.3)+(-6.152385+(-0.058905--1.280865))+0-29.3--0.0747149999999958</f>
        <v>1899.3442899999998</v>
      </c>
      <c r="Z189" s="3">
        <f>2373.4+(19.3-521.4)+(-2.420868+(-0.019686--0.531828))+0-29.6--0.0301920000000047</f>
        <v>1839.8214660000003</v>
      </c>
      <c r="AA189" s="3">
        <f>2033.2+(66.7-319)+(-1.036932+(-0.034017--0.16269))+0-29.5--0.015044999999997</f>
        <v>1750.5067860000001</v>
      </c>
      <c r="AB189" s="3">
        <f>1891.5+(61.9-292.3)+(-2.893995+(-0.094707--0.447219))+0-27.3--0.0417690000000016</f>
        <v>1631.3002859999999</v>
      </c>
      <c r="AC189" s="3">
        <f>1834.7+(23.2-341.7)+(-4.678485+(-0.05916--0.871335))+0-27.3--0.069614999999996</f>
        <v>1485.1033049999999</v>
      </c>
      <c r="AD189">
        <v>1923.8000000000002</v>
      </c>
      <c r="AE189" s="3">
        <f>2446+(22.6-509.9)+(0+(0-0))+0-29.5-0</f>
        <v>1929.2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1723.9+(13.8-361.9)+(-4.395945+(-0.03519--0.922845))+0-27.5--0.070124999999996</f>
        <v>1344.8618350000002</v>
      </c>
      <c r="G190" s="3">
        <f>1492.2+(58.1-258.1)+(3.044088+(0.118524-0.526524))+0-27.7-0.0565079999999988</f>
        <v>1267.0795800000001</v>
      </c>
      <c r="H190" s="3">
        <f>1399.2+(66.7-228)+(-1.427184+(-0.068034--0.23256))+0-27.1--0.0276420000000043</f>
        <v>1209.5649840000001</v>
      </c>
      <c r="I190" s="3">
        <f>1399.2+(53.4-223.1)+(-1.427184+(-0.054468--0.227562))+0-27.1--0.0276420000000043</f>
        <v>1201.1735520000002</v>
      </c>
      <c r="J190" s="3">
        <f>1345+(69.5-187.2)+(-1.3719+(-0.07089--0.190944))+0-27.4--0.0279480000000044</f>
        <v>1198.6761019999999</v>
      </c>
      <c r="K190" s="3">
        <f>1271.1+(115-150.8)+(-3.241305+(-0.29325--0.38454))+0-27.5--0.070124999999996</f>
        <v>1204.72011</v>
      </c>
      <c r="L190" s="3">
        <f>1241.5+(170-143.7)+(-1.899495+(-0.2601--0.219861))+0-27.5--0.0420750000000016</f>
        <v>1238.402341</v>
      </c>
      <c r="M190" s="3">
        <f>1368.1+(167-160.8)+(0.697731+(0.08517-0.082008))+0-28.3-0.0144329999999971</f>
        <v>1346.6864599999999</v>
      </c>
      <c r="N190" s="3">
        <f>1856.9+(29.7-285.6)+(0+(0-0))+0-29.4-0</f>
        <v>1571.6</v>
      </c>
      <c r="O190" s="3">
        <f>2048.3+(12.6-362.2)+(1.044633+(0.006426-0.184722))+0-30.3-0.0154529999999969</f>
        <v>1669.2508840000003</v>
      </c>
      <c r="P190" s="3">
        <f>2365.4+(8.6-622)+(2.412708+(0.008772-0.63444))+0-30.1-0.0307020000000048</f>
        <v>1723.656338</v>
      </c>
      <c r="Q190" s="3">
        <f>2440.5+(7.8-663.6)+(0+(0-0))+0-29.1-0</f>
        <v>1755.6</v>
      </c>
      <c r="R190" s="3">
        <f>2537.7+(8.7-769.2)+(-3.882681+(-0.013311--1.176876))+0-28.5--0.0436050000000016</f>
        <v>1746.0244889999999</v>
      </c>
      <c r="S190" s="3">
        <f>2554.1+(13.4-839.1)+(-5.210364+(-0.027336--1.711764))+0-27.8--0.0567119999999988</f>
        <v>1697.130776</v>
      </c>
      <c r="T190" s="3">
        <f>2550.3+(27.5-883.7)+(-6.503265+(-0.070125--2.253435))+0-28.9--0.0736949999999958</f>
        <v>1660.9537400000002</v>
      </c>
      <c r="U190" s="3">
        <f>2469.9+(9.7-782.8)+(-8.817543+(-0.034629--2.794596))+0-29.5--0.105315</f>
        <v>1661.3477390000003</v>
      </c>
      <c r="V190" s="3">
        <f>2173.3+(15.5-524.8)+(-7.758681+(-0.055335--1.873536))+0-29.9--0.106743</f>
        <v>1628.2662630000002</v>
      </c>
      <c r="W190" s="3">
        <f>1775+(132.9-239)+(-3.621+(-0.271116--0.48756))+0-29.3--0.0597719999999987</f>
        <v>1636.2552160000002</v>
      </c>
      <c r="X190" s="3">
        <f>2226.7+(55.3-459.8)+(-4.542468+(-0.112812--0.937992))+0-29.5--0.0601799999999987</f>
        <v>1789.0428919999997</v>
      </c>
      <c r="Y190" s="3">
        <f>2439.8+(23.1-584.3)+(-4.977192+(-0.047124--1.191972))+0-29.6--0.0603839999999987</f>
        <v>1845.2280400000004</v>
      </c>
      <c r="Z190" s="3">
        <f>2342.1+(27-557.9)+(0+(0-0))+0-29.2-0</f>
        <v>1781.9999999999998</v>
      </c>
      <c r="AA190" s="3">
        <f>2221.8+(12-517.2)+(-5.66559+(-0.0306--1.31886))+0-28.2--0.0719099999999959</f>
        <v>1684.09458</v>
      </c>
      <c r="AB190" s="3">
        <f>2072.6+(32-531)+(-5.28513+(-0.0816--1.35405))+0-27.9--0.0711449999999959</f>
        <v>1541.7584649999997</v>
      </c>
      <c r="AC190" s="3">
        <f>1885.9+(21.5-487)+(-4.809045+(-0.054825--1.24185))+0-27.9--0.0711449999999959</f>
        <v>1388.9491249999999</v>
      </c>
      <c r="AD190">
        <v>1812.9</v>
      </c>
      <c r="AE190" s="3">
        <f>2449+(36.2-636.1)+(0+(0-0))+0-29.8-0</f>
        <v>1819.3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1828.3+(17.5-544.8)+(-3.729732+(-0.0357--1.111392))+0-27.4--0.0558959999999988</f>
        <v>1271.0018560000001</v>
      </c>
      <c r="G191" s="3">
        <f>1705.3+(31.1-532.8)+(0+(0-0))+0-27.1-0</f>
        <v>1176.5</v>
      </c>
      <c r="H191" s="3">
        <f>1657.7+(28.9-513.7)+(0+(0-0))+0-27.1-0</f>
        <v>1145.8000000000002</v>
      </c>
      <c r="I191" s="3">
        <f>1552.7+(26.2-435.3)+(0+(0-0))+0-27.4-0</f>
        <v>1116.1999999999998</v>
      </c>
      <c r="J191" s="3">
        <f>1543.4+(31.4-424)+(-1.574268+(-0.032028--0.43248))+0-26.8--0.0273360000000043</f>
        <v>1122.8535200000003</v>
      </c>
      <c r="K191" s="3">
        <f>1454.7+(21.2-332.6)+(-0.741897+(-0.010812--0.169626))+0-26.3--0.0134129999999973</f>
        <v>1116.4303299999999</v>
      </c>
      <c r="L191" s="3">
        <f>1454.4+(16.7-314.9)+(-1.483488+(-0.017034--0.321198))+0-26.5--0.0270300000000042</f>
        <v>1128.5477060000001</v>
      </c>
      <c r="M191" s="3">
        <f>1533.6+(16.8-299.4)+(2.346408+(0.025704-0.458082))+0-28.2-0.0431460000000016</f>
        <v>1224.6708839999999</v>
      </c>
      <c r="N191" s="3">
        <f>1946.7+(12-494.1)+(1.985634+(0.01224-0.503982))+0-24.5-0.0249900000000039</f>
        <v>1441.5689019999998</v>
      </c>
      <c r="O191" s="3">
        <f>1991.3+(13.9-447.5)+(0+(0-0))+0-28.4-0</f>
        <v>1529.2999999999997</v>
      </c>
      <c r="P191" s="3">
        <f>2112+(13.4-498)+(-5.3856+(-0.03417--1.2699))+0-29.3--0.0747149999999958</f>
        <v>1594.0248450000001</v>
      </c>
      <c r="Q191" s="3">
        <f>2303.6+(10.8-629.9)+(1.174836+(0.005508-0.321249))+0-29.6-0.015095999999997</f>
        <v>1655.743999</v>
      </c>
      <c r="R191" s="3">
        <f>2362.7+(10.2-689.8)+(2.409954+(0.010404-0.703596))+0-27.8-0.0283560000000044</f>
        <v>1656.9884059999999</v>
      </c>
      <c r="S191" s="3">
        <f>2389.7+(9.7-742.8)+(4.874988+(0.019788-1.515312))+0-26.5-0.0540599999999988</f>
        <v>1633.4254040000001</v>
      </c>
      <c r="T191" s="3">
        <f>2499.3+(10.1-856.6)+(-3.823929+(-0.015453--1.310598))+0-27.3--0.0417690000000016</f>
        <v>1623.0129850000001</v>
      </c>
      <c r="U191" s="3">
        <f>2419+(9.2-792.5)+(-6.16845+(-0.02346--2.020875))+0-26.7--0.0680849999999961</f>
        <v>1604.8970499999998</v>
      </c>
      <c r="V191" s="3">
        <f>2223.6+(13.2-613.8)+(-5.67018+(-0.03366--1.56519))+0-28.1--0.0716549999999959</f>
        <v>1590.833005</v>
      </c>
      <c r="W191" s="3">
        <f>1947.7+(19.1-378.6)+(-2.979981+(-0.029223--0.579258))+0-28.6--0.0437580000000017</f>
        <v>1557.2138120000002</v>
      </c>
      <c r="X191" s="3">
        <f>2177+(12.3-449.5)+(3.33081+(0.018819-0.687735))+0-28.9-0.0442170000000017</f>
        <v>1713.517677</v>
      </c>
      <c r="Y191" s="3">
        <f>2275.1+(11.3-487.4)+(-5.801505+(-0.028815--1.24287))+0-27--0.0688499999999961</f>
        <v>1767.4813999999999</v>
      </c>
      <c r="Z191" s="3">
        <f>2105.9+(14.6-399.6)+(-2.148018+(-0.014892--0.407592))+0-26.8--0.0273360000000043</f>
        <v>1692.3720180000003</v>
      </c>
      <c r="AA191" s="3">
        <f>2020.9+(13.8-399.3)+(-3.091977+(-0.021114--0.610929))+0-27.4--0.0419220000000016</f>
        <v>1605.5397600000001</v>
      </c>
      <c r="AB191" s="3">
        <f>1969.9+(12.1-446.3)+(-4.018596+(-0.024684--0.910452))+0-27.3--0.0556919999999988</f>
        <v>1505.322864</v>
      </c>
      <c r="AC191" s="3">
        <f>1945.5+(21.6-539.9)+(-4.961025+(-0.05508--1.376745))+0-26.7--0.0680849999999961</f>
        <v>1396.928725</v>
      </c>
      <c r="AD191">
        <v>1788.1000000000001</v>
      </c>
      <c r="AE191" s="3">
        <f>2281+(10.2-470.1)+(0+(0-0))+0-28.6-0</f>
        <v>1792.5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1894+(15.1-610.8)+(-3.86376+(-0.030804--1.246032))+0-26.8--0.0546719999999988</f>
        <v>1268.9061400000003</v>
      </c>
      <c r="G192" s="3">
        <f>1889.9+(10.1-654.4)+(-0.963849+(-0.005151--0.333744))+0-26.7--0.0136169999999973</f>
        <v>1218.2783610000001</v>
      </c>
      <c r="H192" s="3">
        <f>1822.4+(16.4-624.4)+(-3.717696+(-0.033456--1.273776))+0-25.9--0.0528359999999989</f>
        <v>1186.07546</v>
      </c>
      <c r="I192" s="3">
        <f>1814.3+(13.6-626.7)+(0.925293+(0.006936-0.319617))+0-26.4-0.0134639999999973</f>
        <v>1175.3991479999997</v>
      </c>
      <c r="J192" s="3">
        <f>1802.4+(9.9-607.3)+(-1.838448+(-0.010098--0.619446))+0-26.6--0.0271320000000042</f>
        <v>1177.198032</v>
      </c>
      <c r="K192" s="3">
        <f>1866.4+(8.9-649.8)+(-4.75932+(-0.022695--1.65699))+0-27.1--0.0691049999999961</f>
        <v>1195.3440800000001</v>
      </c>
      <c r="L192" s="3">
        <f>1767+(6.6-558.9)+(-0.90117+(-0.003366--0.285039))+0-27--0.0137699999999973</f>
        <v>1187.0942730000002</v>
      </c>
      <c r="M192" s="3">
        <f>1752.3+(11.7-466.1)+(0.893673+(0.005967-0.237711))+0-27.1-0.0138209999999973</f>
        <v>1271.448108</v>
      </c>
      <c r="N192" s="3">
        <f>1777.5+(12.4-366.1)+(1.81305+(0.012648-0.373422))+0-28.5-0.0290700000000045</f>
        <v>1396.7232059999999</v>
      </c>
      <c r="O192" s="3">
        <f>1944.7+(8.5-432.4)+(2.975391+(0.013005-0.661572))+0-28-0.0428400000000016</f>
        <v>1495.0839840000001</v>
      </c>
      <c r="P192" s="3">
        <f>2037.8+(5.8-468.4)+(0+(0-0))+0-27.7-0</f>
        <v>1547.5</v>
      </c>
      <c r="Q192" s="3">
        <f>2233.6+(3-552.4)+(1.139136+(0.00153-0.281724))+0-28.2-0.0143819999999971</f>
        <v>1656.8445599999998</v>
      </c>
      <c r="R192" s="3">
        <f>2235.6+(2.7-562.4)+(-3.420468+(-0.004131--0.860472))+0-26.3--0.0402390000000015</f>
        <v>1647.076112</v>
      </c>
      <c r="S192" s="3">
        <f>2229.3+(2.7-578.9)+(1.136943+(0.001377-0.295239))+0-26.3-0.0134129999999973</f>
        <v>1627.6296680000005</v>
      </c>
      <c r="T192" s="3">
        <f>2244.4+(2.6-610.6)+(-4.578576+(-0.005304--1.245624))+0-28--0.0571199999999988</f>
        <v>1605.118864</v>
      </c>
      <c r="U192" s="3">
        <f>2255.7+(2.6-611.4)+(-5.752035+(-0.00663--1.55907))+0-28.5--0.0726749999999959</f>
        <v>1614.2730799999997</v>
      </c>
      <c r="V192" s="3">
        <f>2261.5+(6.6-684.8)+(-2.30673+(-0.006732--0.698496))+0-29.1--0.0296820000000046</f>
        <v>1552.6147160000003</v>
      </c>
      <c r="W192" s="3">
        <f>2039.6+(11.2-521.6)+(0+(0-0))+0-28.4-0</f>
        <v>1500.7999999999997</v>
      </c>
      <c r="X192" s="3">
        <f>2096.3+(6.8-452.1)+(-2.138226+(-0.006936--0.461142))+0-29.2--0.0297840000000047</f>
        <v>1620.1457640000003</v>
      </c>
      <c r="Y192" s="3">
        <f>2178+(17.4-456.5)+(-3.33234+(-0.026622--0.698445))+0-29--0.0443700000000017</f>
        <v>1707.2838530000001</v>
      </c>
      <c r="Z192" s="3">
        <f>2161.3+(12.5-456.8)+(-3.306789+(-0.019125--0.698904))+0-28--0.0428400000000016</f>
        <v>1686.4158300000004</v>
      </c>
      <c r="AA192" s="3">
        <f>2158.3+(7.8-510.7)+(-2.201466+(-0.007956--0.520914))+0-27.4--0.0279480000000044</f>
        <v>1626.33944</v>
      </c>
      <c r="AB192" s="3">
        <f>2155.3+(8.8-610.8)+(-1.099203+(-0.004488--0.311508))+0-27--0.0137699999999973</f>
        <v>1525.5215870000002</v>
      </c>
      <c r="AC192" s="3">
        <f>2091+(13.1-668.2)+(-1.06641+(-0.006681--0.340782))+0-26.8--0.0136679999999973</f>
        <v>1408.3813590000002</v>
      </c>
      <c r="AD192">
        <v>1706</v>
      </c>
      <c r="AE192" s="3">
        <f>2181+(22.8-459.9)+(0+(0-0))+0-29.5-0</f>
        <v>1714.4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1885.2+(9.5-599.4)+(-3.845808+(-0.01938--1.222776))+0-25.7--0.0524279999999989</f>
        <v>1267.0100160000002</v>
      </c>
      <c r="G193" s="3">
        <f>1779.6+(11.5-578.9)+(-4.53798+(-0.029325--1.476195))+0-26.3--0.0670649999999962</f>
        <v>1182.8759549999997</v>
      </c>
      <c r="H193" s="3">
        <f>1556.1+(17.7-438.2)+(-1.587222+(-0.018054--0.446964))+0-26.3--0.0268260000000042</f>
        <v>1108.168514</v>
      </c>
      <c r="I193" s="3">
        <f>1403.6+(17.5-324.3)+(-2.863344+(-0.0357--0.661572))+0-26.9--0.0548759999999988</f>
        <v>1067.7174039999998</v>
      </c>
      <c r="J193" s="3">
        <f>1296.1+(18.6-251.8)+(3.305055+(0.04743-0.64209))+0-26.9-0.0685949999999961</f>
        <v>1038.6417999999999</v>
      </c>
      <c r="K193" s="3">
        <f>1398+(12.3-322.8)+(-1.42596+(-0.012546--0.329256))+0-26.9--0.0274380000000043</f>
        <v>1059.518188</v>
      </c>
      <c r="L193" s="3">
        <f>1456.6+(8.5-371.1)+(2.971464+(0.01734-0.757044))+0-26.1-0.0532439999999989</f>
        <v>1070.078516</v>
      </c>
      <c r="M193" s="3">
        <f>1523.2+(14.9-344.2)+(2.330496+(0.022797-0.526626))+0-27.9-0.0426870000000016</f>
        <v>1167.7839799999999</v>
      </c>
      <c r="N193" s="3">
        <f>1609.3+(33.8-342.3)+(-1.641486+(-0.034476--0.349146))+0-28.2--0.0287640000000045</f>
        <v>1271.3019479999998</v>
      </c>
      <c r="O193" s="3">
        <f>1779.4+(34.1-362.3)+(0.907494+(0.017391-0.184773))+0-28.5-0.0145349999999971</f>
        <v>1423.425577</v>
      </c>
      <c r="P193" s="3">
        <f>1847.1+(32.8-394.9)+(1.884042+(0.033456-0.402798))+0-28.4-0.0289680000000045</f>
        <v>1458.0857319999998</v>
      </c>
      <c r="Q193" s="3">
        <f>1952.6+(30.8-406.9)+(0+(0-0))+0-27.8-0</f>
        <v>1548.7</v>
      </c>
      <c r="R193" s="3">
        <f>1929.3+(38.1-443.8)+(-4.919715+(-0.097155--1.13169))+0-26.5--0.0675749999999962</f>
        <v>1493.282395</v>
      </c>
      <c r="S193" s="3">
        <f>1819.9+(18.5-372.2)+(-3.712596+(-0.03774--0.759288))+0-25.9--0.0528359999999989</f>
        <v>1437.3617879999999</v>
      </c>
      <c r="T193" s="3">
        <f>1807.4+(12.4-386.9)+(-4.60887+(-0.03162--0.986595))+0-27.9--0.0711449999999959</f>
        <v>1401.41725</v>
      </c>
      <c r="U193" s="3">
        <f>1807.3+(12.3-394.1)+(-3.686892+(-0.025092--0.803964))+0-28--0.0571199999999988</f>
        <v>1394.6490999999999</v>
      </c>
      <c r="V193" s="3">
        <f>1614.5+(43.6-300.6)+(-3.29358+(-0.088944--0.613224))+0-29--0.0591599999999987</f>
        <v>1325.7898600000001</v>
      </c>
      <c r="W193" s="3">
        <f>1182.4+(245.8-169.9)+(-1.206048+(-0.250716--0.173298))+0-28.1--0.0286620000000045</f>
        <v>1228.9451960000001</v>
      </c>
      <c r="X193" s="3">
        <f>1514.8+(201.6-233.5)+(1.545096+(0.205632-0.23817))+0-28.6-0.0291720000000046</f>
        <v>1455.7833859999998</v>
      </c>
      <c r="Y193" s="3">
        <f>1674.8+(196.6-275.8)+(-2.562444+(-0.300798--0.421974))+0-28.6--0.0437580000000017</f>
        <v>1564.60249</v>
      </c>
      <c r="Z193" s="3">
        <f>1507.1+(273.2-245.3)+(-2.305863+(-0.417996--0.375309))+0-28.2--0.0431460000000016</f>
        <v>1504.494596</v>
      </c>
      <c r="AA193" s="3">
        <f>1412.6+(240.9-208)+(-2.161278+(-0.368577--0.31824))+0-26.6--0.0406980000000015</f>
        <v>1416.7290830000002</v>
      </c>
      <c r="AB193" s="3">
        <f>1340+(225.3-198.7)+(-0.6834+(-0.114903--0.101337))+0-26.8--0.0136679999999973</f>
        <v>1339.116702</v>
      </c>
      <c r="AC193" s="3">
        <f>1272+(196.9-196.8)+(-1.29744+(-0.200838--0.200736))+0-27.1--0.0276420000000043</f>
        <v>1243.7301</v>
      </c>
      <c r="AD193">
        <v>1727.1</v>
      </c>
      <c r="AE193" s="3">
        <f>1679+(320-232)+(0+(0-0))+0-28.9-0</f>
        <v>1738.1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1277+(130.5-161.1)+(1.30254+(0.13311-0.164322))+0-27.4-0.0279480000000044</f>
        <v>1220.2433800000001</v>
      </c>
      <c r="G194" s="3">
        <f>1271.4+(101.4-196.4)+(0.648414+(0.051714-0.100164))+0-27.5-0.0140249999999972</f>
        <v>1149.4859390000001</v>
      </c>
      <c r="H194" s="3">
        <f>1275.4+(87.3-230.5)+(1.300908+(0.089046-0.23511))+0-27.4-0.0279480000000044</f>
        <v>1105.9268959999999</v>
      </c>
      <c r="I194" s="3">
        <f>1266.4+(69.2-252)+(-0.645864+(-0.035292--0.12852))+0-23.6--0.0120359999999976</f>
        <v>1059.4594000000004</v>
      </c>
      <c r="J194" s="3">
        <f>1269.9+(53.9-243.5)+(0.647649+(0.027489-0.124185))+0-26.7-0.0136169999999973</f>
        <v>1054.137336</v>
      </c>
      <c r="K194" s="3">
        <f>1271.1+(56.5-232.6)+(-3.241305+(-0.144075--0.59313))+0-27.2--0.0693599999999961</f>
        <v>1065.0771099999999</v>
      </c>
      <c r="L194" s="3">
        <f>1133.5+(74-159.3)+(1.15617+(0.07548-0.162486))+0-27.2-0.0277440000000043</f>
        <v>1022.04142</v>
      </c>
      <c r="M194" s="3">
        <f>1078.9+(101.1-112.8)+(0+(0-0))+0-28.4-0</f>
        <v>1038.8</v>
      </c>
      <c r="N194" s="3">
        <f>1082.6+(184.7-134.5)+(-1.656378+(-0.282591--0.205785))+0-29.4--0.0449820000000017</f>
        <v>1101.7117979999998</v>
      </c>
      <c r="O194" s="3">
        <f>1087.5+(262.6-142.7)+(1.663875+(0.401778-0.218331))+0-28.3-0.0432990000000016</f>
        <v>1180.9040230000003</v>
      </c>
      <c r="P194" s="3">
        <f>1224.1+(228-160.1)+(-1.248582+(-0.23256--0.163302))+0-28--0.0285600000000045</f>
        <v>1262.71072</v>
      </c>
      <c r="Q194" s="3">
        <f>1376.5+(147.1-204.3)+(0+(0-0))+0-29-0</f>
        <v>1290.3</v>
      </c>
      <c r="R194" s="3">
        <f>1420.9+(85.2-266.6)+(0+(0-0))+0-27.4-0</f>
        <v>1212.0999999999999</v>
      </c>
      <c r="S194" s="3">
        <f>1457+(55-270)+(-1.48614+(-0.0561--0.2754))+0-26.5--0.0270300000000042</f>
        <v>1214.26019</v>
      </c>
      <c r="T194" s="3">
        <f>1455.1+(63.3-294.5)+(-2.968404+(-0.129132--0.60078))+0-28.5--0.0581399999999988</f>
        <v>1192.961384</v>
      </c>
      <c r="U194" s="3">
        <f>1374.4+(84.2-283.1)+(-4.205664+(-0.257652--0.866286))+0-29--0.0887400000000034</f>
        <v>1142.99171</v>
      </c>
      <c r="V194" s="3">
        <f>1336.9+(112.5-273.6)+(-2.727276+(-0.2295--0.558144))+0-29.3--0.0597719999999987</f>
        <v>1144.1611400000004</v>
      </c>
      <c r="W194" s="3">
        <f>1255.5+(204.4-249.1)+(1.28061+(0.208488-0.254082))+0-28.9-0.0294780000000046</f>
        <v>1183.105538</v>
      </c>
      <c r="X194" s="3">
        <f>1487+(196.5-269.6)+(0.75837+(0.100215-0.137496))+0-28.7-0.0146369999999971</f>
        <v>1385.9064519999999</v>
      </c>
      <c r="Y194" s="3">
        <f>1548.2+(210-257.5)+(-1.579164+(-0.2142--0.26265))+0-28.7--0.0292740000000046</f>
        <v>1470.49856</v>
      </c>
      <c r="Z194" s="3">
        <f>1625.3+(166.2-245)+(-1.657806+(-0.169524--0.2499))+0-29--0.0295800000000046</f>
        <v>1515.9521499999998</v>
      </c>
      <c r="AA194" s="3">
        <f>1715+(115.4-308.2)+(-0.87465+(-0.058854--0.157182))+0-27.3--0.0139229999999972</f>
        <v>1494.1376010000001</v>
      </c>
      <c r="AB194" s="3">
        <f>1770+(101.9-391.2)+(-2.7081+(-0.155907--0.598536))+0-26.9--0.0411570000000016</f>
        <v>1451.5756860000001</v>
      </c>
      <c r="AC194" s="3">
        <f>1683+(45-386.3)+(-2.57499+(-0.06885--0.591039))+0-26.5--0.0405450000000015</f>
        <v>1313.1877440000001</v>
      </c>
      <c r="AD194">
        <v>1607.9</v>
      </c>
      <c r="AE194" s="3">
        <f>1590+(250.4-189.2)+(0+(0-0))+0-29.3-0</f>
        <v>1621.9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1603+(15.1-354.2)+(-7.35777+(-0.069309--1.625778))+0-27--0.123930000000005</f>
        <v>1231.2226290000001</v>
      </c>
      <c r="G195" s="3">
        <f>1549+(11.3-383.6)+(-1.57998+(-0.011526--0.391272))+0-27.7--0.0282540000000044</f>
        <v>1147.8280200000002</v>
      </c>
      <c r="H195" s="3">
        <f>1483.9+(32.4-359.5)+(-4.540734+(-0.099144--1.10007))+0-27.9--0.0853740000000032</f>
        <v>1125.4455660000001</v>
      </c>
      <c r="I195" s="3">
        <f>1280.6+(48.3-203.2)+(-1.959318+(-0.073899--0.310896))+0-27.1--0.0414630000000016</f>
        <v>1096.919142</v>
      </c>
      <c r="J195" s="3">
        <f>1272.7+(34.1-199.2)+(0+(0-0))+0-27.2-0</f>
        <v>1080.4000000000001</v>
      </c>
      <c r="K195" s="3">
        <f>1327.8+(32.3-207.3)+(-2.031534+(-0.049419--0.317169))+0-27.5--0.0420750000000016</f>
        <v>1123.578291</v>
      </c>
      <c r="L195" s="3">
        <f>1366.1+(30.3-239.8)+(0.696711+(0.015453-0.122298))+0-27.1-0.0138209999999973</f>
        <v>1130.076045</v>
      </c>
      <c r="M195" s="3">
        <f>1769.5+(11.5-482.8)+(0+(0-0))+0-28.8-0</f>
        <v>1269.4000000000001</v>
      </c>
      <c r="N195" s="3">
        <f>2169+(3.2-667.6)+(2.21238+(0.003264-0.680952))+0-30.7-0.0313140000000049</f>
        <v>1475.4033779999997</v>
      </c>
      <c r="O195" s="3">
        <f>2423.4+(9.1-791.7)+(4.943736+(0.018564-1.615068))+0-29.6-0.0603839999999987</f>
        <v>1614.4868480000005</v>
      </c>
      <c r="P195" s="3">
        <f>2486.9+(10.9-805.1)+(2.536638+(0.011118-0.821202))+0-29-0.0295800000000046</f>
        <v>1665.3969740000002</v>
      </c>
      <c r="Q195" s="3">
        <f>2499.7+(4.3-804.1)+(1.274847+(0.002193-0.410091))+0-28.9-0.0147389999999971</f>
        <v>1671.8522099999996</v>
      </c>
      <c r="R195" s="3">
        <f>2498.2+(5.1-818.5)+(-1.274082+(-0.002601--0.417435))+0-28.1--0.0143309999999971</f>
        <v>1655.8550829999999</v>
      </c>
      <c r="S195" s="3">
        <f>2497.1+(3-869.5)+(5.094084+(0.00612-1.77378))+0-26.9-0.0548759999999988</f>
        <v>1606.971548</v>
      </c>
      <c r="T195" s="3">
        <f>2460.8+(1.3-854.6)+(-1.255008+(-0.000663--0.435846))+0-27.5--0.0140249999999972</f>
        <v>1579.1941999999999</v>
      </c>
      <c r="U195" s="3">
        <f>2495.7+(1.4-870.1)+(-5.091228+(-0.002856--1.775004))+0-28.3--0.0577319999999988</f>
        <v>1595.4386519999998</v>
      </c>
      <c r="V195" s="3">
        <f>2504.5+(0-881)+(-5.10918+(0--1.79724))+0-28.7--0.0585479999999987</f>
        <v>1591.5466079999999</v>
      </c>
      <c r="W195" s="3">
        <f>2367.5+(9.9-726)+(-3.622275+(-0.015147--1.11078))+0-28.4--0.0434520000000016</f>
        <v>1620.5168099999999</v>
      </c>
      <c r="X195" s="3">
        <f>2510.5+(147.1-830.5)+(0+(0-0))+0-28.9-0</f>
        <v>1798.1999999999998</v>
      </c>
      <c r="Y195" s="3">
        <f>2493.9+(91.1-706.1)+(-6.359445+(-0.232305--1.800555))+0-27.9--0.0711449999999959</f>
        <v>1846.2799499999999</v>
      </c>
      <c r="Z195" s="3">
        <f>2488.6+(96-769.5)+(-2.538372+(-0.09792--0.78489))+0-26.2--0.0267240000000042</f>
        <v>1787.0753219999999</v>
      </c>
      <c r="AA195" s="3">
        <f>2401.5+(69.2-739.2)+(-4.89906+(-0.141168--1.507968))+0-26.9--0.0548759999999988</f>
        <v>1701.1226159999999</v>
      </c>
      <c r="AB195" s="3">
        <f>2219.1+(19.2-618.7)+(-2.263482+(-0.019584--0.631074))+0-27.3--0.0278460000000044</f>
        <v>1590.6758539999998</v>
      </c>
      <c r="AC195" s="3">
        <f>2002.8+(21.2-562)+(-6.128568+(-0.064872--1.71972))+0-27.6--0.0844560000000032</f>
        <v>1430.0107360000002</v>
      </c>
      <c r="AD195">
        <v>1863.2999999999997</v>
      </c>
      <c r="AE195" s="3">
        <f>2494+(119.4-719.3)+(0+(0-0))+0-29.4-0</f>
        <v>1864.6999999999998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1875.4+(20.8-584.8)+(-4.78227+(-0.05304--1.49124))+0-27.1--0.0691049999999961</f>
        <v>1281.0250350000001</v>
      </c>
      <c r="G196" s="3">
        <f>1824.8+(17.3-620.4)+(0+(0-0))+0-27.6-0</f>
        <v>1194.0999999999999</v>
      </c>
      <c r="H196" s="3">
        <f>1821.4+(18.1-649)+(-2.786742+(-0.027693--0.99297))+0-27.8--0.0425340000000016</f>
        <v>1160.921069</v>
      </c>
      <c r="I196" s="3">
        <f>1831.8+(22.6-679.2)+(-2.802654+(-0.034578--1.039176))+0-27.3--0.0417690000000016</f>
        <v>1146.1437129999997</v>
      </c>
      <c r="J196" s="3">
        <f>1741.3+(36.7-602.3)+(-2.664189+(-0.056151--0.921519))+0-26.5--0.0405450000000015</f>
        <v>1147.441724</v>
      </c>
      <c r="K196" s="3">
        <f>1645+(33.4-491.4)+(-1.6779+(-0.034068--0.501228))+0-26.6--0.0271320000000042</f>
        <v>1159.216392</v>
      </c>
      <c r="L196" s="3">
        <f>1559.2+(24-385.6)+(0+(0-0))+0-26.9-0</f>
        <v>1170.6999999999998</v>
      </c>
      <c r="M196" s="3">
        <f>1648.6+(20.7-383.2)+(2.522358+(0.031671-0.586296))+0-28.3-0.0432990000000016</f>
        <v>1259.724434</v>
      </c>
      <c r="N196" s="3">
        <f>1808.5+(38.6-403.1)+(1.84467+(0.039372-0.411162))+0-29.4-0.0299880000000047</f>
        <v>1416.0428919999999</v>
      </c>
      <c r="O196" s="3">
        <f>1980.3+(48-453.6)+(-2.019906+(-0.04896--0.462672))+0-29.5--0.0300900000000047</f>
        <v>1543.6238959999998</v>
      </c>
      <c r="P196" s="3">
        <f>2008.4+(17.1-405.8)+(-1.024284+(-0.008721--0.206958))+0-29--0.0147899999999971</f>
        <v>1589.888743</v>
      </c>
      <c r="Q196" s="3">
        <f>2008.3+(18.3-382.8)+(2.048466+(0.018666-0.390456))+0-28.4-0.0289680000000045</f>
        <v>1617.0477079999998</v>
      </c>
      <c r="R196" s="3">
        <f>2005.2+(16.6-394)+(-1.022652+(-0.008466--0.20094))+0-27.4--0.0139739999999972</f>
        <v>1599.5837960000001</v>
      </c>
      <c r="S196" s="3">
        <f>2008+(17.3-438.5)+(0+(0-0))+0-26.5-0</f>
        <v>1560.3</v>
      </c>
      <c r="T196" s="3">
        <f>1976.8+(17.1-437.4)+(-5.04084+(-0.043605--1.11537))+0-28.4--0.0724199999999959</f>
        <v>1524.2033449999999</v>
      </c>
      <c r="U196" s="3">
        <f>1980.3+(17.5-445.2)+(-4.039812+(-0.0357--0.908208))+0-28.1--0.0573239999999988</f>
        <v>1521.39002</v>
      </c>
      <c r="V196" s="3">
        <f>1888.4+(19.2-371.3)+(-4.81542+(-0.04896--0.946815))+0-29--0.0739499999999958</f>
        <v>1503.4563850000002</v>
      </c>
      <c r="W196" s="3">
        <f>1782.1+(38.2-295.9)+(-1.817742+(-0.038964--0.301818))+0-27.7--0.0282540000000044</f>
        <v>1495.173366</v>
      </c>
      <c r="X196" s="3">
        <f>2030.8+(121.8-381.3)+(-3.107124+(-0.186354--0.583389))+0-28.7--0.0439110000000017</f>
        <v>1739.933822</v>
      </c>
      <c r="Y196" s="3">
        <f>2061.4+(134.7-328.3)+(-3.153942+(-0.206091--0.502299))+0-28.6--0.0437580000000017</f>
        <v>1836.3860240000004</v>
      </c>
      <c r="Z196" s="3">
        <f>1890.6+(171.7-260.9)+(-3.856824+(-0.350268--0.532236))+0-27.9--0.0569159999999988</f>
        <v>1769.8820599999997</v>
      </c>
      <c r="AA196" s="3">
        <f>1846.8+(145.3-267)+(-2.825604+(-0.222309--0.40851))+0-28.3--0.0432990000000016</f>
        <v>1694.203896</v>
      </c>
      <c r="AB196" s="3">
        <f>1901.9+(50.2-338.3)+(-1.939938+(-0.051204--0.345066))+0-26.7--0.0272340000000043</f>
        <v>1585.4811580000001</v>
      </c>
      <c r="AC196" s="3">
        <f>1782.6+(25.4-350)+(-4.54563+(-0.06477--0.8925))+0-26.5--0.0675749999999962</f>
        <v>1427.8496749999999</v>
      </c>
      <c r="AD196">
        <v>1807.7000000000003</v>
      </c>
      <c r="AE196" s="3">
        <f>2054.9+(144.2-329.4)+(0+(0-0))+0-29.2-0</f>
        <v>1840.5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1672+(15.1-372.9)+(0.85272+(0.007701-0.190179))+0-25.6-0.0130559999999974</f>
        <v>1289.257186</v>
      </c>
      <c r="G197" s="3">
        <f>1616+(16.9-406.9)+(-4.1208+(-0.043095--1.037595))+0-26.3--0.0670649999999962</f>
        <v>1196.6407650000001</v>
      </c>
      <c r="H197" s="3">
        <f>1512.6+(24.6-342.8)+(-0.771426+(-0.012546--0.174828))+0-26.3--0.0134129999999973</f>
        <v>1167.5042689999998</v>
      </c>
      <c r="I197" s="3">
        <f>1508.3+(27.5-355.1)+(-0.769233+(-0.014025--0.181101))+0-27.2--0.0138719999999972</f>
        <v>1152.9117149999997</v>
      </c>
      <c r="J197" s="3">
        <f>1503.3+(25.4-345.9)+(-3.833415+(-0.06477--0.882045))+0-27.1--0.0691049999999961</f>
        <v>1152.7529650000001</v>
      </c>
      <c r="K197" s="3">
        <f>1448.2+(17.4-268.6)+(-2.954328+(-0.035496--0.547944))+0-26.7--0.0544679999999988</f>
        <v>1167.9125879999999</v>
      </c>
      <c r="L197" s="3">
        <f>1451.4+(22.4-268.8)+(-0.740214+(-0.011424--0.137088))+0-27.5--0.0140249999999972</f>
        <v>1176.8994749999999</v>
      </c>
      <c r="M197" s="3">
        <f>1536.7+(37-272.3)+(0.783717+(0.01887-0.138873))+0-29-0.0147899999999971</f>
        <v>1273.0489240000002</v>
      </c>
      <c r="N197" s="3">
        <f>1765.1+(36-313.3)+(1.800402+(0.03672-0.319566))+0-29.6-0.0301920000000047</f>
        <v>1459.6873640000001</v>
      </c>
      <c r="O197" s="3">
        <f>1948.7+(23.3-360.5)+(1.987674+(0.023766-0.36771))+0-29.4-0.0299880000000047</f>
        <v>1583.7137419999999</v>
      </c>
      <c r="P197" s="3">
        <f>1983.2+(19.4-361.9)+(-1.011432+(-0.009894--0.184569))+0-29.1--0.014840999999997</f>
        <v>1610.778084</v>
      </c>
      <c r="Q197" s="3">
        <f>1940.8+(49.3-312.7)+(-2.969424+(-0.075429--0.478431))+0-28.9--0.0442170000000017</f>
        <v>1645.9777949999998</v>
      </c>
      <c r="R197" s="3">
        <f>1911+(43.8-300.9)+(-3.89844+(-0.089352--0.613836))+0-27.5--0.0560999999999988</f>
        <v>1623.0821440000002</v>
      </c>
      <c r="S197" s="3">
        <f>1971+(10.4-376.3)+(-2.01042+(-0.010608--0.383826))+0-22--0.0224400000000035</f>
        <v>1581.485238</v>
      </c>
      <c r="T197" s="3">
        <f>2018.2+(0-450.3)+(-4.117128+(0--0.918612))+0-24.2--0.0493679999999989</f>
        <v>1540.5508520000001</v>
      </c>
      <c r="U197" s="3">
        <f>2010.7+(0-429.7)+(-5.127285+(0--1.095735))+0-26.6--0.0678299999999961</f>
        <v>1550.4362800000001</v>
      </c>
      <c r="V197" s="3">
        <f>1865.8+(38.8-315.8)+(-3.806232+(-0.079152--0.644232))+0-26--0.0530399999999989</f>
        <v>1559.6118879999999</v>
      </c>
      <c r="W197" s="3">
        <f>1805.9+(42.2-278.2)+(1.842018+(0.043044-0.283764))+0-26.3-0.0268260000000042</f>
        <v>1545.1744720000002</v>
      </c>
      <c r="X197" s="3">
        <f>2012.4+(112.8-335.7)+(-3.078972+(-0.172584--0.513621))+0-26.6--0.0406980000000015</f>
        <v>1760.202763</v>
      </c>
      <c r="Y197" s="3">
        <f>2069.5+(120.5-321.5)+(-2.11089+(-0.12291--0.32793))+0-28.1--0.0286620000000045</f>
        <v>1838.522792</v>
      </c>
      <c r="Z197" s="3">
        <f>2072.3+(113-356.2)+(-1.056873+(-0.05763--0.181662))+0-29.2--0.014891999999997</f>
        <v>1798.982051</v>
      </c>
      <c r="AA197" s="3">
        <f>2061.7+(126.3-450)+(1.051467+(0.064413-0.2295))+0-28.5-0.0145349999999971</f>
        <v>1710.3718449999997</v>
      </c>
      <c r="AB197" s="3">
        <f>2141.3+(60-570.2)+(-3.276189+(-0.0918--0.872406))+0-27.4--0.0419220000000016</f>
        <v>1601.2463390000003</v>
      </c>
      <c r="AC197" s="3">
        <f>1963.4+(28.5-511.8)+(-3.004002+(-0.043605--0.783054))+0-27.1--0.0414630000000016</f>
        <v>1450.7769100000003</v>
      </c>
      <c r="AD197">
        <v>1807.8999999999999</v>
      </c>
      <c r="AE197" s="3">
        <f>2049.6+(125.2-327.7)+(0+(0-0))+0-20-0</f>
        <v>1827.1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1782.3+(17.6-460.1)+(-3.635892+(-0.035904--0.938604))+0-26.9--0.0548759999999988</f>
        <v>1310.2216839999999</v>
      </c>
      <c r="G198" s="3">
        <f>1740.6+(20.8-497.1)+(-1.775412+(-0.021216--0.507042))+0-27.1--0.0276420000000043</f>
        <v>1235.938056</v>
      </c>
      <c r="H198" s="3">
        <f>1744.5+(19.6-533)+(-0.889695+(-0.009996--0.27183))+0-26.7--0.0136169999999973</f>
        <v>1203.785756</v>
      </c>
      <c r="I198" s="3">
        <f>1727.9+(10.4-529.1)+(-1.762458+(-0.010608--0.539682))+0-26.6--0.0271320000000042</f>
        <v>1181.3937480000002</v>
      </c>
      <c r="J198" s="3">
        <f>1674.4+(16-486.1)+(0+(0-0))+0-26.4-0</f>
        <v>1177.9000000000001</v>
      </c>
      <c r="K198" s="3">
        <f>1611.8+(17.4-399.5)+(-3.288072+(-0.035496--0.81498))+0-26.6--0.0542639999999988</f>
        <v>1200.6456760000001</v>
      </c>
      <c r="L198" s="3">
        <f>1596+(23.8-364.5)+(-0.81396+(-0.012138--0.185895))+0-26.8--0.0136679999999973</f>
        <v>1227.8734650000001</v>
      </c>
      <c r="M198" s="3">
        <f>1687.6+(12.8-376)+(0+(0-0))+0-28-0</f>
        <v>1296.3999999999999</v>
      </c>
      <c r="N198" s="3">
        <f>1914.9+(13.2-422)+(0.976599+(0.006732-0.21522))+0-29.2-0.014891999999997</f>
        <v>1477.6532190000003</v>
      </c>
      <c r="O198" s="3">
        <f>2047.4+(10.4-446.1)+(0+(0-0))+0-28.9-0</f>
        <v>1582.8</v>
      </c>
      <c r="P198" s="3">
        <f>2043+(8.5-406.3)+(-2.08386+(-0.00867--0.414426))+0-29.1--0.0296820000000046</f>
        <v>1614.4515780000002</v>
      </c>
      <c r="Q198" s="3">
        <f>2062.4+(18.6-423.8)+(-1.051824+(-0.009486--0.216138))+0-28.9--0.0147389999999971</f>
        <v>1627.4695669999999</v>
      </c>
      <c r="R198" s="3">
        <f>2124.1+(19-493.6)+(-3.249873+(-0.02907--0.755208))+0-27.2--0.0416160000000016</f>
        <v>1619.8178809999999</v>
      </c>
      <c r="S198" s="3">
        <f>2117.2+(6.4-501.7)+(-2.159544+(-0.006528--0.511734))+0-26.3--0.0268260000000042</f>
        <v>1593.9724879999999</v>
      </c>
      <c r="T198" s="3">
        <f>2083.6+(2.3-491.8)+(-2.125272+(-0.002346--0.501636))+0-26.8--0.0273360000000043</f>
        <v>1565.701354</v>
      </c>
      <c r="U198" s="3">
        <f>2070.1+(3-469.9)+(0+(0-0))+0-26.8-0</f>
        <v>1576.3999999999999</v>
      </c>
      <c r="V198" s="3">
        <f>1848.4+(29.7-293.4)+(-1.885368+(-0.030294--0.299268))+0-26.7--0.0272340000000043</f>
        <v>1556.41084</v>
      </c>
      <c r="W198" s="3">
        <f>1790.3+(45.9-249.9)+(-2.739159+(-0.070227--0.382347))+0-26.9--0.0411570000000016</f>
        <v>1557.0141180000001</v>
      </c>
      <c r="X198" s="3">
        <f>1927.2+(119.4-253.9)+(-2.948616+(-0.182682--0.388467))+0-26.6--0.0406980000000015</f>
        <v>1763.3978670000001</v>
      </c>
      <c r="Y198" s="3">
        <f>2046.9+(134.2-283.6)+(-5.219595+(-0.34221--0.72318))+0-27.3--0.069614999999996</f>
        <v>1865.4309899999998</v>
      </c>
      <c r="Z198" s="3">
        <f>1859.3+(178-222.8)+(0+(0-0))+0-27-0</f>
        <v>1787.5</v>
      </c>
      <c r="AA198" s="3">
        <f>1838.8+(121-244.7)+(-1.875576+(-0.12342--0.249594))+0-26.5--0.0270300000000042</f>
        <v>1686.877628</v>
      </c>
      <c r="AB198" s="3">
        <f>1813.6+(64.1-266.8)+(-4.62468+(-0.163455--0.68034))+0-26.6--0.0678299999999961</f>
        <v>1580.260035</v>
      </c>
      <c r="AC198" s="3">
        <f>1762+(28.6-310.2)+(0+(0-0))+0-26.9-0</f>
        <v>1453.5</v>
      </c>
      <c r="AD198">
        <v>1833.3</v>
      </c>
      <c r="AE198" s="3">
        <f>2032+(121.7-277.1)+(0+(0-0))+0-26.7-0</f>
        <v>1849.8999999999999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1567.2+(50.9-250.8)+(-0.799272+(-0.025959--0.127908))+0-26.4--0.0134639999999973</f>
        <v>1340.2161409999997</v>
      </c>
      <c r="G199" s="3">
        <f>1411+(99.8-252.5)+(-0.71961+(-0.050898--0.128775))+0-26.8--0.0136679999999973</f>
        <v>1230.8719350000001</v>
      </c>
      <c r="H199" s="3">
        <f>1413.6+(94.4-281.5)+(1.441872+(0.096288-0.28713))+0-26.6-0.0271320000000042</f>
        <v>1201.1238980000001</v>
      </c>
      <c r="I199" s="3">
        <f>1414.6+(90.2-290.2)+(-0.721446+(-0.046002--0.148002))+0-26.4--0.0134639999999973</f>
        <v>1187.5940179999998</v>
      </c>
      <c r="J199" s="3">
        <f>1382.2+(87.6-266.6)+(-2.114766+(-0.134028--0.407898))+0-26.3--0.0402390000000015</f>
        <v>1175.0993430000001</v>
      </c>
      <c r="K199" s="3">
        <f>1370.7+(90.9-238.2)+(-2.097171+(-0.139077--0.364446))+0-26.7--0.0408510000000015</f>
        <v>1194.8690490000001</v>
      </c>
      <c r="L199" s="3">
        <f>1349.2+(90.9-237)+(0+(0-0))+0-27-0</f>
        <v>1176.1000000000001</v>
      </c>
      <c r="M199" s="3">
        <f>1392.1+(105.7-208.5)+(0+(0-0))+0-27.5-0</f>
        <v>1261.8</v>
      </c>
      <c r="N199" s="3">
        <f>1569.4+(112.3-231.4)+(0.800394+(0.057273-0.118014))+0-28.3-0.0144329999999971</f>
        <v>1422.7252200000003</v>
      </c>
      <c r="O199" s="3">
        <f>1624.6+(132.3-214.4)+(-2.485638+(-0.202419--0.328032))+0-29.2--0.0446760000000017</f>
        <v>1510.984651</v>
      </c>
      <c r="P199" s="3">
        <f>1714.2+(94.3-211.9)+(-0.874242+(-0.048093--0.108069))+0-29.2--0.014891999999997</f>
        <v>1566.6006259999999</v>
      </c>
      <c r="Q199" s="3">
        <f>2006.3+(5-379)+(-2.046426+(-0.0051--0.38658))+0-29.1--0.0296820000000046</f>
        <v>1601.564736</v>
      </c>
      <c r="R199" s="3">
        <f>2029.8+(5-419.7)+(-7.246386+(-0.01785--1.498329))+0-27.2--0.0971040000000004</f>
        <v>1582.2311969999998</v>
      </c>
      <c r="S199" s="3">
        <f>2037.8+(6-438)+(-2.078556+(-0.00612--0.44676))+0-26.4--0.0269280000000042</f>
        <v>1577.789012</v>
      </c>
      <c r="T199" s="3">
        <f>2010+(6-433.8)+(-4.1004+(-0.01224--0.884952))+0-27.8--0.0567119999999988</f>
        <v>1551.2290240000002</v>
      </c>
      <c r="U199" s="3">
        <f>1841.1+(29.9-299)+(-0.938961+(-0.015249--0.15249))+0-29.2--0.014891999999997</f>
        <v>1542.0131719999999</v>
      </c>
      <c r="V199" s="3">
        <f>1670.4+(102.8-212.5)+(-2.555712+(-0.157284--0.325125))+0-29.1--0.0445230000000017</f>
        <v>1529.2566520000003</v>
      </c>
      <c r="W199" s="3">
        <f>1708.6+(77.8-222.6)+(0.871386+(0.039678-0.113526))+0-27.1-0.0138209999999973</f>
        <v>1537.4837170000001</v>
      </c>
      <c r="X199" s="3">
        <f>1869.3+(166.9-231.1)+(-1.906686+(-0.170238--0.235722))+0-28.5--0.0290700000000045</f>
        <v>1774.7878679999999</v>
      </c>
      <c r="Y199" s="3">
        <f>1832.9+(246.9-232.1)+(-2.804337+(-0.377757--0.355113))+0-28.1--0.0429930000000016</f>
        <v>1816.8160120000002</v>
      </c>
      <c r="Z199" s="3">
        <f>1763.8+(252.1-221)+(-0.899538+(-0.128571--0.11271))+0-28.5--0.0145349999999971</f>
        <v>1765.4991359999999</v>
      </c>
      <c r="AA199" s="3">
        <f>1753.1+(187.6-228.5)+(-2.682243+(-0.287028--0.349605))+0-28.9--0.0442170000000017</f>
        <v>1680.7245509999996</v>
      </c>
      <c r="AB199" s="3">
        <f>1748.2+(112.8-253.2)+(-3.566328+(-0.230112--0.516528))+0-28.3--0.0577319999999988</f>
        <v>1576.2778200000002</v>
      </c>
      <c r="AC199" s="3">
        <f>1761.2+(35.4-316.3)+(-1.796424+(-0.036108--0.322626))+0-27.7--0.0282540000000044</f>
        <v>1451.118348</v>
      </c>
      <c r="AD199">
        <v>1839.5</v>
      </c>
      <c r="AE199" s="3">
        <f>1865+(235.3-218)+(0+(0-0))+0-28.6-0</f>
        <v>1853.7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1700.5+(21.9-382.3)+(-3.46902+(-0.044676--0.779892))+0-26.2--0.0534479999999989</f>
        <v>1311.2196439999998</v>
      </c>
      <c r="G200" s="3">
        <f>1564.8+(19.8-331.8)+(-3.99024+(-0.05049--0.84609))+0-26.5--0.0675749999999962</f>
        <v>1223.1729350000001</v>
      </c>
      <c r="H200" s="3">
        <f>1514.8+(17-334.2)+(-3.86274+(-0.04335--0.85221))+0-25.7--0.0655349999999963</f>
        <v>1168.9116549999999</v>
      </c>
      <c r="I200" s="3">
        <f>1455+(23.2-287.6)+(-2.9682+(-0.047328--0.586704))+0-25.5--0.0520199999999989</f>
        <v>1162.7231959999999</v>
      </c>
      <c r="J200" s="3">
        <f>1393.8+(38-253.8)+(2.132514+(0.05814-0.388314))+0-24.7-0.0377910000000014</f>
        <v>1155.0645489999999</v>
      </c>
      <c r="K200" s="3">
        <f>1332.7+(76.6-219.3)+(-3.398385+(-0.19533--0.559215))+0-25.8--0.0657899999999963</f>
        <v>1161.2312900000002</v>
      </c>
      <c r="L200" s="3">
        <f>1299.7+(100-237.5)+(-0.662847+(-0.051--0.121125))+0-27.3--0.0139229999999972</f>
        <v>1134.321201</v>
      </c>
      <c r="M200" s="3">
        <f>1613.7+(17.9-362)+(0.822987+(0.009129-0.18462))+0-28.3-0.0144329999999971</f>
        <v>1241.9330629999999</v>
      </c>
      <c r="N200" s="3">
        <f>1757.1+(28.1-304.1)+(0.896121+(0.014331-0.155091))+0-29.3-0.014942999999997</f>
        <v>1452.540418</v>
      </c>
      <c r="O200" s="3">
        <f>1646.2+(151.9-230.6)+(0+(0-0))+0-29.6-0</f>
        <v>1537.9</v>
      </c>
      <c r="P200" s="3">
        <f>1640+(199-216.6)+(0+(0-0))+0-29-0</f>
        <v>1593.4</v>
      </c>
      <c r="Q200" s="3">
        <f>1639.1+(201-209.6)+(-2.507823+(-0.30753--0.320688))+0-29--0.0443700000000017</f>
        <v>1599.0497050000001</v>
      </c>
      <c r="R200" s="3">
        <f>1569.3+(237.9-197.4)+(-0.800343+(-0.121329--0.100674))+0-29--0.0147899999999971</f>
        <v>1579.993792</v>
      </c>
      <c r="S200" s="3">
        <f>1571.1+(198.8-205.4)+(1.602522+(0.202776-0.209508))+0-26.6-0.0271320000000042</f>
        <v>1539.4686580000002</v>
      </c>
      <c r="T200" s="3">
        <f>1571.2+(169.5-214.7)+(-1.602624+(-0.17289--0.218994))+0-27.1--0.0276420000000043</f>
        <v>1497.371122</v>
      </c>
      <c r="U200" s="3">
        <f>1555.6+(175.9-220.6)+(-3.96678+(-0.448545--0.56253))+0-27--0.0688499999999961</f>
        <v>1480.1160549999997</v>
      </c>
      <c r="V200" s="3">
        <f>1496.2+(217-228.6)+(-3.81531+(-0.55335--0.58293))+0-27.1--0.0691049999999961</f>
        <v>1453.7833750000002</v>
      </c>
      <c r="W200" s="3">
        <f>1449.9+(231.2-197.3)+(-0.739449+(-0.117912--0.100623))+0-27.3--0.0139229999999972</f>
        <v>1455.7571850000002</v>
      </c>
      <c r="X200" s="3">
        <f>1686.5+(247.5-213)+(-0.860115+(-0.126225--0.10863))+0-28.2--0.0143819999999971</f>
        <v>1691.936672</v>
      </c>
      <c r="Y200" s="3">
        <f>1670.3+(306.7-191.3)+(-5.962971+(-1.094919--0.682941))+0-28.4--0.101388</f>
        <v>1751.0264389999998</v>
      </c>
      <c r="Z200" s="3">
        <f>1521.8+(364.2-174.5)+(-3.104472+(-0.742968--0.35598))+0-21--0.0428399999999991</f>
        <v>1687.0513800000001</v>
      </c>
      <c r="AA200" s="3">
        <f>1425.6+(351.7-165.9)+(-3.63528+(-0.896835--0.423045))+0-11.7--0.0298349999999983</f>
        <v>1595.6207649999999</v>
      </c>
      <c r="AB200" s="3">
        <f>1312.1+(377.8-184.6)+(-2.007513+(-0.578034--0.282438))+0-13.8--0.0211140000000008</f>
        <v>1489.2180049999999</v>
      </c>
      <c r="AC200" s="3">
        <f>1115.6+(436.2-158)+(-1.706868+(-0.667386--0.24174))+0-26--0.0397800000000015</f>
        <v>1365.7072660000001</v>
      </c>
      <c r="AD200">
        <v>1740.8000000000002</v>
      </c>
      <c r="AE200" s="3">
        <f>1745+(253.3-210)+(0+(0-0))+0-28.3-0</f>
        <v>1760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1065.5+(365.5-143.6)+(1.08681+(0.37281-0.146472))+0-26.5-0.0270300000000042</f>
        <v>1262.1861180000001</v>
      </c>
      <c r="G201" s="3">
        <f>1060.8+(277.5-139.4)+(0+(0-0))+0-26.8-0</f>
        <v>1172.0999999999999</v>
      </c>
      <c r="H201" s="3">
        <f>1030.2+(270.6-137.2)+(-1.050804+(-0.276012--0.139944))+0-26.2--0.0267240000000042</f>
        <v>1136.2398520000002</v>
      </c>
      <c r="I201" s="3">
        <f>1028.8+(248.8-135.5)+(0.524688+(0.126888-0.069105))+0-26.4-0.0134639999999973</f>
        <v>1116.2690069999999</v>
      </c>
      <c r="J201" s="3">
        <f>1028.8+(238.3-137.1)+(0.524688+(0.121533-0.069921))+0-26.5-0.0135149999999973</f>
        <v>1104.0627849999998</v>
      </c>
      <c r="K201" s="3">
        <f>1027.9+(250.7-139.1)+(-0.524229+(-0.127857--0.070941))+0-26.6--0.0135659999999973</f>
        <v>1112.3324210000001</v>
      </c>
      <c r="L201" s="3">
        <f>1031.1+(217.6-154.4)+(0+(0-0))+0-26.6-0</f>
        <v>1067.7</v>
      </c>
      <c r="M201" s="3">
        <f>1033.9+(248.3-164.3)+(0+(0-0))+0-28.1-0</f>
        <v>1089.8000000000002</v>
      </c>
      <c r="N201" s="3">
        <f>1066+(317.8-178.3)+(-3.26196+(-0.972468--0.545598))+0-29.4--0.0899640000000034</f>
        <v>1172.5011339999999</v>
      </c>
      <c r="O201" s="3">
        <f>1347.8+(164.8-189.2)+(-0.687378+(-0.084048--0.096492))+0-28.3--0.0144329999999971</f>
        <v>1294.4394990000003</v>
      </c>
      <c r="P201" s="3">
        <f>1412.1+(152.4-163.8)+(-1.440342+(-0.155448--0.167076))+0-28.9--0.0294780000000046</f>
        <v>1370.4007639999998</v>
      </c>
      <c r="Q201" s="3">
        <f>1442.9+(142.2-168.2)+(-1.471758+(-0.145044--0.171564))+0-28.7--0.0292740000000046</f>
        <v>1386.784036</v>
      </c>
      <c r="R201" s="3">
        <f>1432+(142.1-190.5)+(-2.92128+(-0.289884--0.38862))+0-27.4--0.0558959999999988</f>
        <v>1353.4333519999998</v>
      </c>
      <c r="S201" s="3">
        <f>1453.1+(111.7-211.5)+(-1.482162+(-0.113934--0.21573))+0-27.4--0.0279480000000044</f>
        <v>1324.5475819999997</v>
      </c>
      <c r="T201" s="3">
        <f>1443.6+(103.7-221.9)+(-1.472472+(-0.105774--0.226338))+0-26.5--0.0270300000000042</f>
        <v>1297.5751219999997</v>
      </c>
      <c r="U201" s="3">
        <f>1351.9+(149.7-202.1)+(-4.136814+(-0.458082--0.618426))+0-26.5--0.0810900000000031</f>
        <v>1269.1046199999998</v>
      </c>
      <c r="V201" s="3">
        <f>1352.9+(140.7-185.4)+(-2.759916+(-0.287028--0.378216))+0-26.6--0.0542639999999988</f>
        <v>1278.9855360000001</v>
      </c>
      <c r="W201" s="3">
        <f>1340.2+(177.5-184.3)+(-2.050506+(-0.271575--0.281979))+0-27.4--0.0419220000000016</f>
        <v>1304.0018200000002</v>
      </c>
      <c r="X201" s="3">
        <f>1705+(165.7-238.4)+(-5.2173+(-0.507042--0.729504))+0-28.9--0.0884340000000033</f>
        <v>1598.4935959999998</v>
      </c>
      <c r="Y201" s="3">
        <f>1726+(194.2-215.1)+(-4.4013+(-0.49521--0.548505))+0-28.3--0.0721649999999959</f>
        <v>1672.5241599999999</v>
      </c>
      <c r="Z201" s="3">
        <f>1652.6+(229.1-208.4)+(-3.371304+(-0.467364--0.425136))+0-28.6--0.0583439999999988</f>
        <v>1641.344812</v>
      </c>
      <c r="AA201" s="3">
        <f>1579.8+(221.7-200.7)+(-3.222792+(-0.452268--0.409428))+0-28.5--0.0581399999999988</f>
        <v>1569.092508</v>
      </c>
      <c r="AB201" s="3">
        <f>1571.2+(182.1-243.1)+(0+(0-0))+0-26.6-0</f>
        <v>1483.6000000000001</v>
      </c>
      <c r="AC201" s="3">
        <f>1571.9+(75.1-262)+(-4.008345+(-0.191505--0.6681))+0-26.4--0.0673199999999962</f>
        <v>1355.1355699999999</v>
      </c>
      <c r="AD201">
        <v>1646.5000000000002</v>
      </c>
      <c r="AE201" s="3">
        <f>1755+(182.7-239)+(0+(0-0))+0-28.6-0</f>
        <v>1670.1000000000001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1427.3+(61.9-244.2)+(-2.911692+(-0.126276--0.498168))+0-26.2--0.0534479999999989</f>
        <v>1216.3136479999998</v>
      </c>
      <c r="G202" s="3">
        <f>1325.8+(58-237.6)+(-2.704632+(-0.11832--0.484704))+0-26--0.0530399999999989</f>
        <v>1117.914792</v>
      </c>
      <c r="H202" s="3">
        <f>1282.4+(63.3-226.4)+(-0.654024+(-0.032283--0.115464))+0-26.4--0.0134639999999973</f>
        <v>1092.342621</v>
      </c>
      <c r="I202" s="3">
        <f>1245.5+(70.4-224.7)+(-1.27041+(-0.071808--0.229194))+0-26.3--0.0268260000000042</f>
        <v>1063.8138020000001</v>
      </c>
      <c r="J202" s="3">
        <f>1246.1+(71.9-218.3)+(0+(0-0))+0-26.7-0</f>
        <v>1072.9999999999998</v>
      </c>
      <c r="K202" s="3">
        <f>1236.6+(90.4-207.9)+(0.630666+(0.046104-0.106029))+0-27-0.0137699999999973</f>
        <v>1092.6569709999999</v>
      </c>
      <c r="L202" s="3">
        <f>1166.8+(160.3-188.2)+(0.595068+(0.081753-0.095982))+0-26.8-0.0136679999999973</f>
        <v>1112.6671710000001</v>
      </c>
      <c r="M202" s="3">
        <f>1396.2+(104-236.4)+(-0.712062+(-0.05304--0.120564))+0-28.2--0.0143819999999971</f>
        <v>1234.969844</v>
      </c>
      <c r="N202" s="3">
        <f>1579.3+(113.9-233.7)+(-0.805443+(-0.058089--0.119187))+0-29--0.0147899999999971</f>
        <v>1429.7704449999999</v>
      </c>
      <c r="O202" s="3">
        <f>1751.9+(67.1-253.5)+(-1.786938+(-0.068442--0.25857))+0-29.3--0.0298860000000047</f>
        <v>1534.6330760000001</v>
      </c>
      <c r="P202" s="3">
        <f>1871.9+(51-275.3)+(0+(0-0))+0-29.3-0</f>
        <v>1618.3000000000002</v>
      </c>
      <c r="Q202" s="3">
        <f>1982.6+(19-321.8)+(-3.033378+(-0.02907--0.492354))+0-28.9--0.0442170000000017</f>
        <v>1648.3741229999998</v>
      </c>
      <c r="R202" s="3">
        <f>2040+(5.9-391.6)+(-5.202+(-0.015045--0.99858))+0-28.1--0.0716549999999959</f>
        <v>1622.0531900000001</v>
      </c>
      <c r="S202" s="3">
        <f>2041.4+(4.6-418.6)+(-3.123342+(-0.007038--0.640458))+0-27.1--0.0414630000000016</f>
        <v>1597.8515410000002</v>
      </c>
      <c r="T202" s="3">
        <f>2026.5+(4.3-419.4)+(0+(0-0))+0-26.7-0</f>
        <v>1584.7</v>
      </c>
      <c r="U202" s="3">
        <f>2007.6+(4.2-426.8)+(-2.047752+(-0.004284--0.435336))+0-27--0.0275400000000043</f>
        <v>1556.41084</v>
      </c>
      <c r="V202" s="3">
        <f>1998+(3.8-411.7)+(-3.05694+(-0.005814--0.629901))+0-26.8--0.0410040000000016</f>
        <v>1560.9081509999999</v>
      </c>
      <c r="W202" s="3">
        <f>1948.8+(13.7-358.8)+(-0.993888+(-0.006987--0.182988))+0-27--0.0137699999999973</f>
        <v>1575.8958829999999</v>
      </c>
      <c r="X202" s="3">
        <f>2071.5+(76.6-316.1)+(-5.282325+(-0.19533--0.806055))+0-29.3--0.0747149999999958</f>
        <v>1798.1031150000001</v>
      </c>
      <c r="Y202" s="3">
        <f>2056.3+(110.3-309.5)+(-4.194852+(-0.225012--0.63138))+0-29.1--0.0593639999999987</f>
        <v>1824.2708800000003</v>
      </c>
      <c r="Z202" s="3">
        <f>2045.6+(84.8-330.5)+(-1.043256+(-0.043248--0.168555))+0-29.3--0.014942999999997</f>
        <v>1769.6969939999999</v>
      </c>
      <c r="AA202" s="3">
        <f>2027+(50.7-352.7)+(-5.16885+(-0.129285--0.899385))+0-28.5--0.0726749999999959</f>
        <v>1692.1739249999998</v>
      </c>
      <c r="AB202" s="3">
        <f>1832.1+(67.3-282.5)+(-3.737484+(-0.137292--0.5763))+0-27.5--0.0560999999999988</f>
        <v>1586.1576239999999</v>
      </c>
      <c r="AC202" s="3">
        <f>1678.5+(60.5-265.2)+(-4.280175+(-0.154275--0.67626))+0-27.2--0.0693599999999961</f>
        <v>1442.9111699999999</v>
      </c>
      <c r="AD202">
        <v>1683</v>
      </c>
      <c r="AE202" s="3">
        <f>1980+(74.7-326.5)+(0+(0-0))+0-29.8-0</f>
        <v>1698.4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1430.1+(111.5-219.2)+(-0.729351+(-0.056865--0.111792))+0-27--0.0137699999999973</f>
        <v>1294.7393459999998</v>
      </c>
      <c r="G203" s="3">
        <f>1358.2+(89.3-207.9)+(-3.46341+(-0.227715--0.530145))+0-26.4--0.0673199999999962</f>
        <v>1210.10634</v>
      </c>
      <c r="H203" s="3">
        <f>1305.6+(89.9-185.5)+(-0.665856+(-0.045849--0.094605))+0-26.5--0.0135149999999973</f>
        <v>1182.8964150000002</v>
      </c>
      <c r="I203" s="3">
        <f>1207.6+(133.5-159.5)+(-0.615876+(-0.068085--0.081345))+0-27.1--0.0138209999999973</f>
        <v>1153.9112050000001</v>
      </c>
      <c r="J203" s="3">
        <f>1166.2+(166-157.5)+(-1.189524+(-0.16932--0.16065))+0-26.5--0.0270300000000042</f>
        <v>1147.028836</v>
      </c>
      <c r="K203" s="3">
        <f>1164.7+(180.4-158.3)+(-1.781991+(-0.276012--0.242199))+0-26.4--0.0403920000000015</f>
        <v>1158.6245879999999</v>
      </c>
      <c r="L203" s="3">
        <f>1170.8+(187.2-171.1)+(-0.597108+(-0.095472--0.087261))+0-26.2--0.0133619999999973</f>
        <v>1160.1080429999997</v>
      </c>
      <c r="M203" s="3">
        <f>1283.9+(184.6-169.8)+(-0.654789+(-0.094146--0.086598))+0-27.9--0.0142289999999972</f>
        <v>1270.1518919999999</v>
      </c>
      <c r="N203" s="3">
        <f>1497.1+(168.6-181.9)+(1.527042+(0.171972-0.185538))+0-28.8-0.0293760000000046</f>
        <v>1456.4841000000001</v>
      </c>
      <c r="O203" s="3">
        <f>1579.5+(178-169.8)+(-1.61109+(-0.18156--0.173196))+0-29.6--0.0301920000000047</f>
        <v>1556.5107380000002</v>
      </c>
      <c r="P203" s="3">
        <f>1642+(164.4-169)+(-0.83742+(-0.083844--0.08619))+0-29.9--0.015248999999997</f>
        <v>1606.680175</v>
      </c>
      <c r="Q203" s="3">
        <f>1846.7+(71.3-205.1)+(-1.883634+(-0.072726--0.209202))+0-27.8--0.0283560000000044</f>
        <v>1683.3811980000003</v>
      </c>
      <c r="R203" s="3">
        <f>1855+(54.2-210.8)+(-2.83815+(-0.082926--0.322524))+0-27.1--0.0414630000000016</f>
        <v>1668.7429110000003</v>
      </c>
      <c r="S203" s="3">
        <f>1850.5+(37.5-236.6)+(-3.77502+(-0.0765--0.482664))+0-27.2--0.0554879999999988</f>
        <v>1620.886632</v>
      </c>
      <c r="T203" s="3">
        <f>1854.5+(32.5-256.5)+(-0.945795+(-0.016575--0.130815))+0-27.3--0.0139229999999972</f>
        <v>1602.382368</v>
      </c>
      <c r="U203" s="3">
        <f>1811.7+(44.5-225.4)+(-4.619835+(-0.113475--0.57477))+0-27.6--0.070379999999996</f>
        <v>1599.11184</v>
      </c>
      <c r="V203" s="3">
        <f>1571.2+(130.3-136.2)+(-2.403936+(-0.199359--0.208386))+0-27.6--0.0422280000000016</f>
        <v>1535.3473190000002</v>
      </c>
      <c r="W203" s="3">
        <f>1439.5+(254.3-129.6)+(0.734145+(0.129693-0.066096))+0-27.8-0.0141779999999972</f>
        <v>1537.1835640000002</v>
      </c>
      <c r="X203" s="3">
        <f>1833.3+(191.9-201.9)+(-1.869966+(-0.195738--0.205938))+0-29.3--0.0298860000000047</f>
        <v>1792.17012</v>
      </c>
      <c r="Y203" s="3">
        <f>1833.2+(225.8-206)+(-3.739728+(-0.460632--0.42024))+0-28.4--0.0579359999999988</f>
        <v>1820.8778159999999</v>
      </c>
      <c r="Z203" s="3">
        <f>1773.2+(213.4-198.9)+(-3.617328+(-0.435336--0.405756))+0-28.1--0.0573239999999988</f>
        <v>1756.0104160000003</v>
      </c>
      <c r="AA203" s="3">
        <f>1756.7+(174.3-208.4)+(-1.791834+(-0.177786--0.212568))+0-29--0.0295800000000046</f>
        <v>1691.8725280000001</v>
      </c>
      <c r="AB203" s="3">
        <f>1588.3+(203.9-193.5)+(-1.620066+(-0.207978--0.19737))+0-27.5--0.0280500000000044</f>
        <v>1569.5973759999999</v>
      </c>
      <c r="AC203" s="3">
        <f>1352.4+(260-164)+(-3.44862+(-0.663--0.4182))+0-27.3--0.069614999999996</f>
        <v>1417.476195</v>
      </c>
      <c r="AD203">
        <v>1820.6000000000001</v>
      </c>
      <c r="AE203" s="3">
        <f>1883+(198.3-216)+(0+(0-0))+0-29.7-0</f>
        <v>1835.6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1261.2+(204.6-145.4)+(-1.286424+(-0.208692--0.148308))+0-27.3--0.0278460000000044</f>
        <v>1291.7810380000001</v>
      </c>
      <c r="G204" s="3">
        <f>1175.4+(193.6-138.2)+(-1.798362+(-0.296208--0.211446))+0-27--0.0413100000000016</f>
        <v>1201.9581860000003</v>
      </c>
      <c r="H204" s="3">
        <f>1176.1+(159.5-135.6)+(0+(0-0))+0-26.9-0</f>
        <v>1173.0999999999999</v>
      </c>
      <c r="I204" s="3">
        <f>1177.6+(139.7-134.2)+(0+(0-0))+0-26.7-0</f>
        <v>1156.3999999999999</v>
      </c>
      <c r="J204" s="3">
        <f>1177.9+(134.7-132.5)+(-1.802187+(-0.206091--0.202725))+0-26.9--0.0411570000000016</f>
        <v>1151.4356040000002</v>
      </c>
      <c r="K204" s="3">
        <f>1178.3+(153.4-129.7)+(0.600933+(0.078234-0.066147))+0-26.9-0.0137189999999973</f>
        <v>1175.6993009999999</v>
      </c>
      <c r="L204" s="3">
        <f>1179.3+(189.4-151.8)+(0+(0-0))+0-27.1-0</f>
        <v>1189.8</v>
      </c>
      <c r="M204" s="3">
        <f>1267.8+(207.9-151.7)+(-1.293156+(-0.212058--0.154734))+0-28.4--0.0289680000000045</f>
        <v>1294.2784879999999</v>
      </c>
      <c r="N204" s="3">
        <f>1467.3+(187.4-150.9)+(2.244969+(0.286722-0.230877))+0-29.2-0.0446760000000017</f>
        <v>1476.8561379999999</v>
      </c>
      <c r="O204" s="3">
        <f>1612.9+(168.8-160.1)+(-2.467737+(-0.258264--0.244953))+0-31.4--0.0480420000000018</f>
        <v>1587.7669939999998</v>
      </c>
      <c r="P204" s="3">
        <f>1716.9+(178.4-246.2)+(-3.502476+(-0.363936--0.502248))+0-29.9--0.0609959999999987</f>
        <v>1615.8968319999999</v>
      </c>
      <c r="Q204" s="3">
        <f>1730.8+(205.4-226)+(-3.530832+(-0.419016--0.46104))+0-28.5--0.0581399999999988</f>
        <v>1678.2693320000001</v>
      </c>
      <c r="R204" s="3">
        <f>1725.1+(170.6-196.7)+(-4.399005+(-0.43503--0.501585))+0-27.1--0.0691049999999961</f>
        <v>1667.636655</v>
      </c>
      <c r="S204" s="3">
        <f>1730.7+(127-198.8)+(0.882657+(0.06477-0.101388))+0-26.7-0.0136169999999973</f>
        <v>1633.032422</v>
      </c>
      <c r="T204" s="3">
        <f>1722.7+(90.1-190.5)+(-3.514308+(-0.183804--0.38862))+0-28.2--0.0575279999999988</f>
        <v>1590.8480359999999</v>
      </c>
      <c r="U204" s="3">
        <f>1685.8+(112.4-174.5)+(-4.29879+(-0.28662--0.444975))+0-29--0.0739499999999958</f>
        <v>1590.633515</v>
      </c>
      <c r="V204" s="3">
        <f>1446.7+(321.5-147)+(-2.213451+(-0.491895--0.22491))+0-29--0.0443700000000017</f>
        <v>1589.7639340000001</v>
      </c>
      <c r="W204" s="3">
        <f>1425.4+(449.7-155)+(1.453908+(0.458694-0.1581))+0-28.9-0.0294780000000046</f>
        <v>1692.9250240000001</v>
      </c>
      <c r="X204" s="3">
        <f>1760.5+(286.3-179.2)+(-4.489275+(-0.730065--0.45696))+0-29.4--0.0749699999999957</f>
        <v>1833.5125899999998</v>
      </c>
      <c r="Y204" s="3">
        <f>1618.8+(452.7-189.3)+(-1.651176+(-0.461754--0.193086))+0-28.9--0.0294780000000046</f>
        <v>1851.4096339999996</v>
      </c>
      <c r="Z204" s="3">
        <f>1500.9+(508.3-195.8)+(-2.296377+(-0.777699--0.299574))+0-27.4--0.0419220000000016</f>
        <v>1783.2674200000001</v>
      </c>
      <c r="AA204" s="3">
        <f>1500.4+(402.5-176)+(-3.060816+(-0.8211--0.35904))+0-27.3--0.0556919999999988</f>
        <v>1696.132816</v>
      </c>
      <c r="AB204" s="3">
        <f>1496.9+(315.6-194.4)+(0+(0-0))+0-26.8-0</f>
        <v>1591.3000000000002</v>
      </c>
      <c r="AC204" s="3">
        <f>1433.4+(248.4-201.8)+(-2.924136+(-0.506736--0.411672))+0-26.8--0.0546719999999988</f>
        <v>1450.2354720000001</v>
      </c>
      <c r="AD204">
        <v>1863.1</v>
      </c>
      <c r="AE204" s="3">
        <f>1780+(332.2-193.2)+(0+(0-0))+0-29.5-0</f>
        <v>1889.5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1269+(216.2-153.3)+(0+(0-0))+0-26.7-0</f>
        <v>1305.2</v>
      </c>
      <c r="G205" s="3">
        <f>1252.9+(156.3-148.9)+(-1.916937+(-0.239139--0.227817))+0-26.9--0.0411570000000016</f>
        <v>1231.5128980000002</v>
      </c>
      <c r="H205" s="3">
        <f>1185.4+(163.5-136.3)+(1.209108+(0.16677-0.139026))+0-24.9-0.025398000000004</f>
        <v>1188.911454</v>
      </c>
      <c r="I205" s="3">
        <f>1181.1+(146.6-134.5)+(-1.807083+(-0.224298--0.205785))+0-26.2--0.0400860000000015</f>
        <v>1165.2144899999998</v>
      </c>
      <c r="J205" s="3">
        <f>1181.1+(131.8-117.4)+(0+(0-0))+0-26.9-0</f>
        <v>1168.5999999999999</v>
      </c>
      <c r="K205" s="3">
        <f>1181.5+(150.5-126.6)+(-1.807695+(-0.230265--0.193698))+0-27--0.0413100000000016</f>
        <v>1176.5970480000001</v>
      </c>
      <c r="L205" s="3">
        <f>1183.2+(187.8-146.6)+(-1.206864+(-0.191556--0.149532))+0-27.4--0.0279480000000044</f>
        <v>1195.7790599999998</v>
      </c>
      <c r="M205" s="3">
        <f>1232.5+(232.2-155.4)+(1.25715+(0.236844-0.158508))+0-28.8-0.0293760000000046</f>
        <v>1281.80611</v>
      </c>
      <c r="N205" s="3">
        <f>1500.1+(221.6-200.2)+(-0.765051+(-0.113016--0.102102))+0-29.5--0.015044999999997</f>
        <v>1491.2390800000001</v>
      </c>
      <c r="O205" s="3">
        <f>1632.4+(187-193.8)+(0+(0-0))+0-29.2-0</f>
        <v>1596.4</v>
      </c>
      <c r="P205" s="3">
        <f>1722.1+(162-193.3)+(-0.878271+(-0.08262--0.098583))+0-28--0.0142799999999972</f>
        <v>1661.9519720000001</v>
      </c>
      <c r="Q205" s="3">
        <f>1765.5+(145-196.3)+(-2.701215+(-0.22185--0.300339))+0-29.5--0.0451350000000017</f>
        <v>1682.1224090000001</v>
      </c>
      <c r="R205" s="3">
        <f>1750.7+(139.7-197.8)+(-3.571428+(-0.284988--0.403512))+0-28.1--0.0573239999999988</f>
        <v>1661.1044200000001</v>
      </c>
      <c r="S205" s="3">
        <f>1756.4+(114.2-212.7)+(-1.791528+(-0.116484--0.216954))+0-27.2--0.0277440000000043</f>
        <v>1629.0366859999999</v>
      </c>
      <c r="T205" s="3">
        <f>1750.7+(100.4-231.1)+(-1.785714+(-0.102408--0.235722))+0-27.9--0.0284580000000044</f>
        <v>1590.476058</v>
      </c>
      <c r="U205" s="3">
        <f>1750.1+(103.4-225.6)+(-3.570204+(-0.210936--0.460224))+0-27.6--0.0563039999999988</f>
        <v>1597.035388</v>
      </c>
      <c r="V205" s="3">
        <f>1750.3+(103.1-220.9)+(-2.677959+(-0.157743--0.337977))+0-27.5--0.0420750000000016</f>
        <v>1602.5443500000001</v>
      </c>
      <c r="W205" s="3">
        <f>1734.3+(116.8-220)+(0+(0-0))+0-28.1-0</f>
        <v>1603</v>
      </c>
      <c r="X205" s="3">
        <f>1839.2+(212.7-192.7)+(-2.813976+(-0.325431--0.294831))+0-28.5--0.0436050000000016</f>
        <v>1827.8990290000002</v>
      </c>
      <c r="Y205" s="3">
        <f>1908+(201.5-232.6)+(-1.94616+(-0.20553--0.237252))+0-27--0.0275400000000043</f>
        <v>1848.0131020000001</v>
      </c>
      <c r="Z205" s="3">
        <f>1906.9+(151-250.2)+(-3.890076+(-0.30804--0.510408))+0-25.4--0.0518159999999989</f>
        <v>1778.6641079999999</v>
      </c>
      <c r="AA205" s="3">
        <f>1759.7+(167.1-206)+(-2.692341+(-0.255663--0.31518))+0-26.2--0.0400860000000015</f>
        <v>1692.0072619999999</v>
      </c>
      <c r="AB205" s="3">
        <f>1613.9+(176.7-187.3)+(-4.115445+(-0.450585--0.477615))+0-26.8--0.0683399999999961</f>
        <v>1572.4799250000003</v>
      </c>
      <c r="AC205" s="3">
        <f>1439.6+(192.5-173.1)+(-3.67098+(-0.490875--0.441405))+0-26.5--0.0675749999999962</f>
        <v>1428.847125</v>
      </c>
      <c r="AD205">
        <v>1833.8000000000002</v>
      </c>
      <c r="AE205" s="3">
        <f>1889+(222.5-221.7)+(0+(0-0))+0-28.6-0</f>
        <v>1861.2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1434.4+(103.4-203.5)+(-2.926176+(-0.210936--0.41514))+0-26.1--0.0532439999999989</f>
        <v>1305.5312720000002</v>
      </c>
      <c r="G206" s="3">
        <f>1420.7+(57.9-211.1)+(-2.173671+(-0.088587--0.322983))+0-26.3--0.0402390000000015</f>
        <v>1239.300964</v>
      </c>
      <c r="H206" s="3">
        <f>1390.6+(52.1-213.4)+(-2.127618+(-0.079713--0.326502))+0-26.5--0.0405450000000015</f>
        <v>1200.9597160000001</v>
      </c>
      <c r="I206" s="3">
        <f>1392.6+(47.4-219.3)+(-2.130678+(-0.072522--0.335529))+0-26.2--0.0400860000000015</f>
        <v>1192.6724149999998</v>
      </c>
      <c r="J206" s="3">
        <f>1201.3+(140.8-148.1)+(1.225326+(0.143616-0.151062))+0-26-0.0265200000000041</f>
        <v>1169.19136</v>
      </c>
      <c r="K206" s="3">
        <f>1191.8+(159.7-138.3)+(-1.215636+(-0.162894--0.141066))+0-19.3--0.0196860000000031</f>
        <v>1192.6822219999999</v>
      </c>
      <c r="L206" s="3">
        <f>1193+(205.9-149.2)+(-1.21686+(-0.210018--0.152184))+0-13.2--0.0134640000000021</f>
        <v>1235.2387700000002</v>
      </c>
      <c r="M206" s="3">
        <f>1252.2+(235.4-156.6)+(0.638622+(0.120054-0.079866))+0-8.1-0.00413099999999918</f>
        <v>1323.5746790000003</v>
      </c>
      <c r="N206" s="3">
        <f>1412.5+(250.6-161.6)+(0+(0-0))+0-8.2-0</f>
        <v>1493.3</v>
      </c>
      <c r="O206" s="3">
        <f>1617.6+(186.9-175.3)+(-0.824976+(-0.095319--0.089403))+0-6.3--0.00321299999999936</f>
        <v>1622.0723209999999</v>
      </c>
      <c r="P206" s="3">
        <f>1711.1+(154.8-190.9)+(-1.745322+(-0.157896--0.194718))+0-5.2--0.00530400000000083</f>
        <v>1668.096804</v>
      </c>
      <c r="Q206" s="3">
        <f>1744.3+(153.6-202.2)+(-1.779186+(-0.156672--0.206244))+0-3.6--0.00367200000000057</f>
        <v>1690.3740580000001</v>
      </c>
      <c r="R206" s="3">
        <f>1701.2+(192.8-207.5)+(-4.33806+(-0.49164--0.529125))+0-2.7--0.00688499999999961</f>
        <v>1679.50631</v>
      </c>
      <c r="S206" s="3">
        <f>1685.4+(170.3-206.8)+(-0.859554+(-0.086853--0.105468))+0-1.2--0.000611999999999878</f>
        <v>1646.8596730000002</v>
      </c>
      <c r="T206" s="3">
        <f>1724.7+(107.7-217.3)+(-2.638791+(-0.164781--0.332469))+0-1.1--0.00168300000000006</f>
        <v>1611.5305800000001</v>
      </c>
      <c r="U206" s="3">
        <f>1660.7+(147.1-195.5)+(-3.387828+(-0.300084--0.39882))+0-0-0</f>
        <v>1609.010908</v>
      </c>
      <c r="V206" s="3">
        <f>1607.7+(179.7-187.2)+(-2.459781+(-0.274941--0.286416))+0-1.2--0.00183600000000007</f>
        <v>1596.5535299999999</v>
      </c>
      <c r="W206" s="3">
        <f>1657.6+(166.1-199.9)+(-0.845376+(-0.084711--0.101949))+0-1.8--0.000917999999999817</f>
        <v>1621.1727799999999</v>
      </c>
      <c r="X206" s="3">
        <f>1738.8+(315.7-196.7)+(0+(0-0))+0-2.3-0</f>
        <v>1855.5</v>
      </c>
      <c r="Y206" s="3">
        <f>1736.9+(334.7-202.5)+(-4.429095+(-0.853485--0.516375))+0-2.5--0.00637499999999964</f>
        <v>1861.8401700000002</v>
      </c>
      <c r="Z206" s="3">
        <f>1650.8+(337-180.9)+(-0.841908+(-0.17187--0.092259))+0-4.5--0.00229499999999954</f>
        <v>1801.4807759999999</v>
      </c>
      <c r="AA206" s="3">
        <f>1593.5+(301.7-179.3)+(-3.25074+(-0.615468--0.365772))+0-7.6--0.0155039999999997</f>
        <v>1704.8150680000001</v>
      </c>
      <c r="AB206" s="3">
        <f>1518.5+(296.3-192.5)+(-2.323305+(-0.453339--0.294525))+0-23.3--0.0356490000000013</f>
        <v>1596.5535299999999</v>
      </c>
      <c r="AC206" s="3">
        <f>1484.9+(191.5-176.4)+(-3.786495+(-0.488325--0.44982))+0-25.2--0.0642599999999963</f>
        <v>1471.03926</v>
      </c>
      <c r="AD206">
        <v>1868.4</v>
      </c>
      <c r="AE206" s="3">
        <f>1745+(361.3-204)+(0+(0-0))+0-2.3-0</f>
        <v>1900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1354.1+(169.7-159.3)+(0+(0-0))+0-25.6-0</f>
        <v>1338.9</v>
      </c>
      <c r="G207" s="3">
        <f>1274.2+(146.1-149)+(0+(0-0))+0-26-0</f>
        <v>1245.3</v>
      </c>
      <c r="H207" s="3">
        <f>1262.8+(121.3-161.6)+(0.644028+(0.061863-0.082416))+0-26.5-0.0135149999999973</f>
        <v>1196.60996</v>
      </c>
      <c r="I207" s="3">
        <f>1256.1+(118.6-167.1)+(-1.281222+(-0.120972--0.170442))+0-26.9--0.0274380000000043</f>
        <v>1179.495686</v>
      </c>
      <c r="J207" s="3">
        <f>1228.7+(131.7-158.3)+(0+(0-0))+0-20.8-0</f>
        <v>1181.3</v>
      </c>
      <c r="K207" s="3">
        <f>1203.3+(149.6-141)+(-3.068415+(-0.38148--0.35955))+0-14.3--0.0364649999999979</f>
        <v>1194.5461199999997</v>
      </c>
      <c r="L207" s="3">
        <f>1208.6+(161.7-146.7)+(-1.232772+(-0.164934--0.149634))+0-8.3--0.00846600000000132</f>
        <v>1214.0603939999999</v>
      </c>
      <c r="M207" s="3">
        <f>1292.1+(203.8-171.4)+(1.976913+(0.311814-0.262242))+0-11.3-0.0172890000000007</f>
        <v>1315.2091960000002</v>
      </c>
      <c r="N207" s="3">
        <f>1424.6+(299.6-199.1)+(0+(0-0))+0-17.6-0</f>
        <v>1507.5</v>
      </c>
      <c r="O207" s="3">
        <f>1505.5+(367-208.3)+(-1.53561+(-0.37434--0.212466))+0-24.3--0.0247860000000039</f>
        <v>1638.227302</v>
      </c>
      <c r="P207" s="3">
        <f>1568.9+(335.5-218)+(1.600278+(0.34221-0.22236))+0-18.5-0.018870000000003</f>
        <v>1669.6012579999999</v>
      </c>
      <c r="Q207" s="3">
        <f>1885.2+(125.6-305.8)+(-2.884356+(-0.192168--0.467874))+0-11.2--0.0171360000000006</f>
        <v>1691.208486</v>
      </c>
      <c r="R207" s="3">
        <f>1955.3+(71-319.8)+(-0.997203+(-0.03621--0.163098))+0-26.1--0.0133109999999974</f>
        <v>1679.5429960000001</v>
      </c>
      <c r="S207" s="3">
        <f>1915+(59.4-324.2)+(1.9533+(0.060588-0.330684))+0-26.5-0.0270300000000042</f>
        <v>1625.356174</v>
      </c>
      <c r="T207" s="3">
        <f>1855.3+(64.6-324.4)+(0.946203+(0.032946-0.165444))+0-26.1-0.0133109999999974</f>
        <v>1570.2003940000002</v>
      </c>
      <c r="U207" s="3">
        <f>1771.4+(90.9-277.8)+(-4.51707+(-0.231795--0.70839))+0-26.3--0.0670649999999962</f>
        <v>1554.22659</v>
      </c>
      <c r="V207" s="3">
        <f>1639.1+(209.4-278.1)+(-0.835941+(-0.106794--0.141831))+0-25.7--0.0131069999999974</f>
        <v>1543.9122029999999</v>
      </c>
      <c r="W207" s="3">
        <f>1564.6+(279.5-254.4)+(0+(0-0))+0-26-0</f>
        <v>1563.6999999999998</v>
      </c>
      <c r="X207" s="3">
        <f>1640.8+(369.7-191.2)+(-2.510424+(-0.565641--0.292536))+0-28.6--0.0437580000000017</f>
        <v>1787.960229</v>
      </c>
      <c r="Y207" s="3">
        <f>1616.6+(398-182)+(-3.297864+(-0.81192--0.37128))+0-28.6--0.0583439999999988</f>
        <v>1800.3198400000001</v>
      </c>
      <c r="Z207" s="3">
        <f>1590.3+(368.9-180.1)+(-4.055265+(-0.940695--0.459255))+0-28.1--0.0716549999999959</f>
        <v>1746.53495</v>
      </c>
      <c r="AA207" s="3">
        <f>1517.7+(347.9-170.3)+(-1.548054+(-0.354858--0.173706))+0-20.7--0.0211140000000033</f>
        <v>1672.8919079999998</v>
      </c>
      <c r="AB207" s="3">
        <f>1565.4+(244.1-221.6)+(-0.798354+(-0.124491--0.113016))+0-6.7--0.00341699999999932</f>
        <v>1580.3935879999999</v>
      </c>
      <c r="AC207" s="3">
        <f>1599.9+(138-251)+(-0.815949+(-0.07038--0.12801))+0-4.9--0.0024989999999995</f>
        <v>1481.2441799999999</v>
      </c>
      <c r="AD207">
        <v>1743.5</v>
      </c>
      <c r="AE207" s="3">
        <f>1640+(369.4-207.6)+(0+(0-0))+0-29.1-0</f>
        <v>1772.7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1471+(102.4-209.6)+(0+(0-0))+0-4.1-0</f>
        <v>1359.7</v>
      </c>
      <c r="G208" s="3">
        <f>1362.4+(94.2-192.2)+(0+(0-0))+0-4.7-0</f>
        <v>1259.7</v>
      </c>
      <c r="H208" s="3">
        <f>1210.6+(152.9-169.3)+(0.617406+(0.077979-0.086343))+0-10-0.00509999999999899</f>
        <v>1184.8039419999998</v>
      </c>
      <c r="I208" s="3">
        <f>1187.5+(165.6-165.8)+(0+(0-0))+0-22-0</f>
        <v>1165.3</v>
      </c>
      <c r="J208" s="3">
        <f>1147.8+(190.7-152.5)+(1.170756+(0.194514-0.15555))+0-25-0.025500000000004</f>
        <v>1162.1842200000001</v>
      </c>
      <c r="K208" s="3">
        <f>1109.1+(223-144.6)+(-1.131282+(-0.22746--0.147492))+0-26--0.0265200000000041</f>
        <v>1160.3152699999998</v>
      </c>
      <c r="L208" s="3">
        <f>1113.6+(210.9-158.7)+(-1.135872+(-0.215118--0.161874))+0-25.6--0.0261120000000041</f>
        <v>1139.036996</v>
      </c>
      <c r="M208" s="3">
        <f>1122.1+(216.9-163)+(1.716813+(0.331857-0.24939))+0-27-0.0413100000000016</f>
        <v>1150.7579699999999</v>
      </c>
      <c r="N208" s="3">
        <f>1308.7+(195.5-218.2)+(0.667437+(0.099705-0.111282))+0-28.3-0.0144329999999971</f>
        <v>1258.3414270000001</v>
      </c>
      <c r="O208" s="3">
        <f>1371.1+(244.9-230.3)+(-1.398522+(-0.249798--0.234906))+0-28.6--0.0291720000000046</f>
        <v>1355.7157579999998</v>
      </c>
      <c r="P208" s="3">
        <f>1494+(205.8-243.7)+(0+(0-0))+0-28.7-0</f>
        <v>1427.3999999999999</v>
      </c>
      <c r="Q208" s="3">
        <f>1551.8+(173.6-241.7)+(-3.95709+(-0.44268--0.616335))+0-28.3--0.0721649999999959</f>
        <v>1451.6887300000001</v>
      </c>
      <c r="R208" s="3">
        <f>1582.9+(128.9-240.8)+(-2.421837+(-0.197217--0.368424))+0-26.5--0.0405450000000015</f>
        <v>1442.2899150000001</v>
      </c>
      <c r="S208" s="3">
        <f>1583.6+(107-255)+(1.615272+(0.10914-0.2601))+0-26.6-0.0271320000000042</f>
        <v>1410.4371800000001</v>
      </c>
      <c r="T208" s="3">
        <f>1579.9+(98.7-272.1)+(-4.834494+(-0.302022--0.832626))+0-25.9--0.079254000000003</f>
        <v>1376.375364</v>
      </c>
      <c r="U208" s="3">
        <f>1556.2+(96-262.3)+(0+(0-0))+0-26.7-0</f>
        <v>1363.2</v>
      </c>
      <c r="V208" s="3">
        <f>1474.8+(126.9-220.4)+(0+(0-0))+0-25.3-0</f>
        <v>1356</v>
      </c>
      <c r="W208" s="3">
        <f>1546.5+(117.3-229.9)+(0.788715+(0.059823-0.117249))+0-24.4-0.0124439999999975</f>
        <v>1410.2188450000001</v>
      </c>
      <c r="X208" s="3">
        <f>1632.5+(255.7-181.5)+(-2.497725+(-0.391221--0.277695))+0-28--0.0428400000000016</f>
        <v>1676.1315890000001</v>
      </c>
      <c r="Y208" s="3">
        <f>1638.2+(295.8-191.2)+(-2.506446+(-0.452574--0.292536))+0-28.6--0.0437580000000017</f>
        <v>1711.5772740000002</v>
      </c>
      <c r="Z208" s="3">
        <f>1642.4+(271.5-197.2)+(0.837624+(0.138465-0.100572))+0-29.3-0.014942999999997</f>
        <v>1688.2605740000001</v>
      </c>
      <c r="AA208" s="3">
        <f>1608.1+(236-202.1)+(0+(0-0))+0-28.9-0</f>
        <v>1613.1</v>
      </c>
      <c r="AB208" s="3">
        <f>1567.4+(238-249.7)+(-2.398122+(-0.36414--0.382041))+0-27.3--0.0417690000000016</f>
        <v>1526.0615480000001</v>
      </c>
      <c r="AC208" s="3">
        <f>1611.4+(96.9-274.5)+(-4.10907+(-0.247095--0.699975))+0-27.3--0.069614999999996</f>
        <v>1402.9134250000002</v>
      </c>
      <c r="AD208">
        <v>1692.7</v>
      </c>
      <c r="AE208" s="3">
        <f>1632+(303.8-187.8)+(0+(0-0))+0-28.7-0</f>
        <v>1719.3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1476.9+(66-237.9)+(-3.766095+(-0.1683--0.606645))+0-27.5--0.070124999999996</f>
        <v>1274.242375</v>
      </c>
      <c r="G209" s="3">
        <f>1461.8+(38.9-274.5)+(-2.982072+(-0.079356--0.55998))+0-27.2--0.0554879999999988</f>
        <v>1196.55404</v>
      </c>
      <c r="H209" s="3">
        <f>1463.5+(29.8-307.5)+(-2.239155+(-0.045594--0.470475))+0-26.8--0.0410040000000016</f>
        <v>1157.2267299999999</v>
      </c>
      <c r="I209" s="3">
        <f>1411.3+(33.2-276.5)+(0+(0-0))+0-25.1-0</f>
        <v>1142.9000000000001</v>
      </c>
      <c r="J209" s="3">
        <f>1401+(31.5-265.5)+(-2.14353+(-0.048195--0.406215))+0-24.2--0.0370260000000014</f>
        <v>1141.051516</v>
      </c>
      <c r="K209" s="3">
        <f>1400.5+(35.1-239.7)+(-2.142765+(-0.053703--0.366741))+0-27--0.0413100000000016</f>
        <v>1167.1115830000001</v>
      </c>
      <c r="L209" s="3">
        <f>1312.4+(99.5-177.5)+(0+(0-0))+0-27.7-0</f>
        <v>1206.7</v>
      </c>
      <c r="M209" s="3">
        <f>1374.2+(135.7-175.8)+(0.700842+(0.069207-0.089658))+0-28-0.0142799999999972</f>
        <v>1306.7661109999999</v>
      </c>
      <c r="N209" s="3">
        <f>1509.7+(211.4-201.6)+(0.769947+(0.107814-0.102816))+0-28.7-0.0146369999999971</f>
        <v>1491.5603079999998</v>
      </c>
      <c r="O209" s="3">
        <f>1693+(180-233.5)+(1.72686+(0.1836-0.23817))+0-28.9-0.0294780000000046</f>
        <v>1612.242812</v>
      </c>
      <c r="P209" s="3">
        <f>1790.6+(137.4-240.4)+(-0.913206+(-0.070074--0.122604))+0-31.4--0.0160139999999968</f>
        <v>1655.3553379999998</v>
      </c>
      <c r="Q209" s="3">
        <f>2016.2+(41.1-342.3)+(-2.056524+(-0.041922--0.349146))+0-29.6--0.0301920000000047</f>
        <v>1683.6808920000001</v>
      </c>
      <c r="R209" s="3">
        <f>1972+(41.2-315.6)+(0+(0-0))+0-28-0</f>
        <v>1669.6</v>
      </c>
      <c r="S209" s="3">
        <f>1806.6+(84.7-276.6)+(-0.921366+(-0.043197--0.141066))+0-27.7--0.0141269999999972</f>
        <v>1586.1906299999996</v>
      </c>
      <c r="T209" s="3">
        <f>1691.2+(120.3-243.3)+(0+(0-0))+0-25.4-0</f>
        <v>1542.8</v>
      </c>
      <c r="U209" s="3">
        <f>1679.7+(137.3-232.3)+(-2.569941+(-0.210069--0.355419))+0-21.3--0.0325890000000012</f>
        <v>1561.007998</v>
      </c>
      <c r="V209" s="3">
        <f>1804.5+(57.5-261.6)+(-2.760885+(-0.087975--0.400248))+0-28.8--0.0440640000000017</f>
        <v>1569.1954520000002</v>
      </c>
      <c r="W209" s="3">
        <f>1901.2+(41-286.5)+(0+(0-0))+0-28-0</f>
        <v>1627.7</v>
      </c>
      <c r="X209" s="3">
        <f>2085.4+(87.5-267)+(-4.254216+(-0.1785--0.54468))+0-27.4--0.0558959999999988</f>
        <v>1874.66786</v>
      </c>
      <c r="Y209" s="3">
        <f>2091.3+(91.3-277.8)+(0+(0-0))+0-27.3-0</f>
        <v>1877.5000000000002</v>
      </c>
      <c r="Z209" s="3">
        <f>2090.7+(66.6-303.1)+(-4.265028+(-0.135864--0.618324))+0-27.4--0.0558959999999988</f>
        <v>1823.0733279999997</v>
      </c>
      <c r="AA209" s="3">
        <f>2090.2+(37.9-344.5)+(-1.066002+(-0.019329--0.175695))+0-27.3--0.0139229999999972</f>
        <v>1755.4042869999998</v>
      </c>
      <c r="AB209" s="3">
        <f>2076.8+(10.6-411.5)+(-5.29584+(-0.02703--1.049325))+0-26.7--0.0680849999999961</f>
        <v>1644.9945399999999</v>
      </c>
      <c r="AC209" s="3">
        <f>1940+(2.5-403.2)+(-0.9894+(-0.001275--0.205632))+0-27.1--0.0138209999999973</f>
        <v>1511.428778</v>
      </c>
      <c r="AD209">
        <v>1874.7</v>
      </c>
      <c r="AE209" s="3">
        <f>2090+(103.1-268.6)+(0+(0-0))+0-27.6-0</f>
        <v>1896.9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1809.2+(9.3-417.8)+(-4.61346+(-0.023715--1.06539))+0-27.1--0.0691049999999961</f>
        <v>1370.0973200000001</v>
      </c>
      <c r="G210" s="3">
        <f>1374.9+(94.2-196.4)+(-0.701199+(-0.048042--0.100164))+0-27.4--0.0139739999999972</f>
        <v>1244.6648969999999</v>
      </c>
      <c r="H210" s="3">
        <f>1360.8+(70.3-189.9)+(-2.082024+(-0.107559--0.290547))+0-27.3--0.0417690000000016</f>
        <v>1212.042733</v>
      </c>
      <c r="I210" s="3">
        <f>1362.5+(53.2-196.7)+(-0.694875+(-0.027132--0.100317))+0-27.1--0.0138209999999973</f>
        <v>1191.2921310000002</v>
      </c>
      <c r="J210" s="3">
        <f>1363.3+(49.8-203.3)+(0+(0-0))+0-26.6-0</f>
        <v>1183.2</v>
      </c>
      <c r="K210" s="3">
        <f>1361.4+(56.3-190.6)+(-2.082942+(-0.086139--0.291618))+0-27--0.0413100000000016</f>
        <v>1198.2638470000002</v>
      </c>
      <c r="L210" s="3">
        <f>1362.2+(73.8-176.7)+(0+(0-0))+0-27.1-0</f>
        <v>1232.2</v>
      </c>
      <c r="M210" s="3">
        <f>1370.4+(129.6-160.1)+(0.698904+(0.066096-0.081651))+0-28.5-0.0145349999999971</f>
        <v>1312.068814</v>
      </c>
      <c r="N210" s="3">
        <f>1638.8+(95.4-218.4)+(0.835788+(0.048654-0.111384))+0-29.2-0.014891999999997</f>
        <v>1487.358166</v>
      </c>
      <c r="O210" s="3">
        <f>1850.8+(52.5-272.2)+(0+(0-0))+0-29.9-0</f>
        <v>1601.1999999999998</v>
      </c>
      <c r="P210" s="3">
        <f>2012.8+(17.8-343.2)+(-1.026528+(-0.009078--0.175032))+0-29.8--0.015197999999997</f>
        <v>1656.7546240000001</v>
      </c>
      <c r="Q210" s="3">
        <f>2043.8+(22.5-333)+(2.084676+(0.02295-0.33966))+0-30.2-0.0308040000000048</f>
        <v>1704.8371619999998</v>
      </c>
      <c r="R210" s="3">
        <f>2030.2+(21.9-327.2)+(-5.17701+(-0.055845--0.83436))+0-28.4--0.0724199999999959</f>
        <v>1692.1739250000001</v>
      </c>
      <c r="S210" s="3">
        <f>2041.2+(7-380.9)+(0+(0-0))+0-27.7-0</f>
        <v>1639.6000000000001</v>
      </c>
      <c r="T210" s="3">
        <f>1992.9+(9.8-360.3)+(-2.032758+(-0.009996--0.367506))+0-28.8--0.0293760000000046</f>
        <v>1611.9541280000001</v>
      </c>
      <c r="U210" s="3">
        <f>1981+(19.9-330.3)+(-5.05155+(-0.050745--0.842265))+0-29.8--0.0759899999999957</f>
        <v>1636.6159600000001</v>
      </c>
      <c r="V210" s="3">
        <f>1896.5+(58.8-286.1)+(-4.836075+(-0.14994--0.729555))+0-29.9--0.0762449999999957</f>
        <v>1635.1197849999999</v>
      </c>
      <c r="W210" s="3">
        <f>1832.9+(111.2-235.8)+(1.869558+(0.113424-0.240516))+0-29.3-0.0298860000000047</f>
        <v>1680.7125800000001</v>
      </c>
      <c r="X210" s="3">
        <f>2077.7+(103.1-255.7)+(-2.119254+(-0.105162--0.260814))+0-29.3--0.0298860000000047</f>
        <v>1893.866284</v>
      </c>
      <c r="Y210" s="3">
        <f>2130.5+(72-291.6)+(0+(0-0))+0-29.6-0</f>
        <v>1881.3000000000002</v>
      </c>
      <c r="Z210" s="3">
        <f>2119.9+(55.1-330.6)+(-1.081149+(-0.028101--0.168606))+0-30--0.015299999999997</f>
        <v>1813.4746560000001</v>
      </c>
      <c r="AA210" s="3">
        <f>2111.3+(34.2-381.2)+(-4.307052+(-0.069768--0.777648))+0-30--0.0611999999999987</f>
        <v>1730.7620280000003</v>
      </c>
      <c r="AB210" s="3">
        <f>2074.5+(11.8-426.2)+(-4.23198+(-0.024072--0.869448))+0-27.9--0.0569159999999988</f>
        <v>1628.8703119999998</v>
      </c>
      <c r="AC210" s="3">
        <f>1969.7+(4.8-449.8)+(-6.027282+(-0.014688--1.376388))+0-28--0.0856800000000032</f>
        <v>1492.1200979999999</v>
      </c>
      <c r="AD210">
        <v>1874.3999999999999</v>
      </c>
      <c r="AE210" s="3">
        <f>2058+(115.8-246.8)+(0+(0-0))+0-28.2-0</f>
        <v>1898.8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1866.7+(0-486.7)+(-4.760085+(0--1.241085))+0-28--0.0713999999999959</f>
        <v>1348.5524</v>
      </c>
      <c r="G211" s="3">
        <f>1824+(7.3-552.2)+(2.79072+(0.011169-0.844866))+0-27.7-0.0423810000000016</f>
        <v>1253.3146419999998</v>
      </c>
      <c r="H211" s="3">
        <f>1815.9+(9.9-579.6)+(-4.630545+(-0.025245--1.47798))+0-25.9--0.0660449999999962</f>
        <v>1217.1882350000001</v>
      </c>
      <c r="I211" s="3">
        <f>1675.5+(9.4-458)+(-2.563515+(-0.014382--0.70074))+0-27.4--0.0419220000000016</f>
        <v>1197.6647650000002</v>
      </c>
      <c r="J211" s="3">
        <f>1645.3+(7.2-430.2)+(-0.839103+(-0.003672--0.219402))+0-26.8--0.0136679999999973</f>
        <v>1194.8902950000002</v>
      </c>
      <c r="K211" s="3">
        <f>1660.7+(7.1-412.4)+(0.846957+(0.003621-0.210324))+0-27.3-0.0139229999999972</f>
        <v>1228.7263310000001</v>
      </c>
      <c r="L211" s="3">
        <f>1528.5+(23.8-265.2)+(0+(0-0))+0-27.7-0</f>
        <v>1259.3999999999999</v>
      </c>
      <c r="M211" s="3">
        <f>1689.7+(15.9-333.5)+(0.861747+(0.008109-0.170085))+0-27.5-0.0140249999999972</f>
        <v>1345.285746</v>
      </c>
      <c r="N211" s="3">
        <f>1910.8+(15.4-370.6)+(0.974508+(0.007854-0.189006))+0-28-0.0142799999999972</f>
        <v>1528.3790759999997</v>
      </c>
      <c r="O211" s="3">
        <f>2122.5+(5.6-463.2)+(-3.247425+(-0.008568--0.708696))+0-28.3--0.0432990000000016</f>
        <v>1634.096002</v>
      </c>
      <c r="P211" s="3">
        <f>2166.9+(12.1-458.6)+(2.210238+(0.012342-0.467772))+0-28.3-0.0288660000000045</f>
        <v>1693.8259419999999</v>
      </c>
      <c r="Q211" s="3">
        <f>2182.2+(10.3-439)+(0+(0-0))+0-28.3-0</f>
        <v>1725.1999999999998</v>
      </c>
      <c r="R211" s="3">
        <f>2190.1+(7.3-460.5)+(-1.116951+(-0.003723--0.234855))+0-27.9--0.0142289999999972</f>
        <v>1708.1284099999996</v>
      </c>
      <c r="S211" s="3">
        <f>2189.7+(7.8-503.1)+(-1.116747+(-0.003978--0.256581))+0-28.2--0.0143819999999971</f>
        <v>1665.350238</v>
      </c>
      <c r="T211" s="3">
        <f>2190.5+(11.3-532.3)+(1.117155+(0.005763-0.271473))+0-29.3-0.014942999999997</f>
        <v>1641.0365020000002</v>
      </c>
      <c r="U211" s="3">
        <f>2181.1+(7.9-531.6)+(0+(0-0))+0-30.1-0</f>
        <v>1627.3</v>
      </c>
      <c r="V211" s="3">
        <f>2101.9+(9.4-438.3)+(-4.287876+(-0.019176--0.894132))+0-29.5--0.0601799999999987</f>
        <v>1640.14726</v>
      </c>
      <c r="W211" s="3">
        <f>2115.3+(26.8-404.6)+(3.236409+(0.041004-0.619038))+0-28.8-0.0440640000000017</f>
        <v>1711.3143110000003</v>
      </c>
      <c r="X211" s="3">
        <f>2218.2+(66.9-339.7)+(-6.787692+(-0.204714--1.039482))+0-29.4--0.0899640000000034</f>
        <v>1910.1370399999998</v>
      </c>
      <c r="Y211" s="3">
        <f>2234.2+(53.8-371.4)+(1.139442+(0.027438-0.189414))+0-29.3-0.014942999999997</f>
        <v>1888.2625230000001</v>
      </c>
      <c r="Z211" s="3">
        <f>2235.4+(30.5-410.8)+(-1.140054+(-0.015555--0.209508))+0-29.7--0.015146999999997</f>
        <v>1824.4690460000002</v>
      </c>
      <c r="AA211" s="3">
        <f>2232.7+(13.3-476.4)+(-3.416031+(-0.020349--0.728892))+0-29.6--0.0452880000000017</f>
        <v>1737.3378</v>
      </c>
      <c r="AB211" s="3">
        <f>2157.7+(1-491.5)+(-4.401708+(-0.00204--1.00266))+0-29.4--0.0599759999999987</f>
        <v>1634.4588879999997</v>
      </c>
      <c r="AC211" s="3">
        <f>2075.1+(0-539.7)+(-2.116602+(0--0.550494))+0-29.4--0.0299880000000047</f>
        <v>1504.4638799999998</v>
      </c>
      <c r="AD211">
        <v>1919.6</v>
      </c>
      <c r="AE211" s="3">
        <f>2219.2+(71.5-322.6)+(0+(0-0))+0-29.5-0</f>
        <v>1938.6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1878.5+(0-497.4)+(-4.790175+(0--1.26837))+0-28--0.0713999999999959</f>
        <v>1349.6495949999999</v>
      </c>
      <c r="G212" s="3">
        <f>1733.3+(2.1-451.5)+(-0.883983+(-0.001071--0.230265))+0-29.4--0.014993999999997</f>
        <v>1253.860205</v>
      </c>
      <c r="H212" s="3">
        <f>1667.3+(1.8-432)+(1.700646+(0.001836-0.44064))+0-27.6-0.0281520000000044</f>
        <v>1210.7336899999998</v>
      </c>
      <c r="I212" s="3">
        <f>1668.5+(3-450.7)+(-3.40374+(-0.00612--0.919428))+0-27.5--0.0560999999999988</f>
        <v>1190.8656679999999</v>
      </c>
      <c r="J212" s="3">
        <f>1669.6+(9.9-464)+(0.851496+(0.005049-0.23664))+0-27.5-0.0140249999999972</f>
        <v>1188.6058800000001</v>
      </c>
      <c r="K212" s="3">
        <f>1660.5+(5.2-425.1)+(-1.69371+(-0.005304--0.433602))+0-27.4--0.0279480000000044</f>
        <v>1211.9625359999998</v>
      </c>
      <c r="L212" s="3">
        <f>1575.6+(14.1-310.8)+(-2.410668+(-0.021573--0.475524))+0-22.1--0.0338130000000013</f>
        <v>1254.8770959999999</v>
      </c>
      <c r="M212" s="3">
        <f>1756.6+(7.7-391.7)+(1.791732+(0.007854-0.399534))+0-14.3-0.0145860000000023</f>
        <v>1359.6854659999999</v>
      </c>
      <c r="N212" s="3">
        <f>1903.2+(6.2-375.9)+(0+(0-0))+0-10.4-0</f>
        <v>1523.1</v>
      </c>
      <c r="O212" s="3">
        <f>2071.8+(13.7-438.2)+(-1.056618+(-0.006987--0.223482))+0-7.8--0.00397799999999921</f>
        <v>1638.6638550000002</v>
      </c>
      <c r="P212" s="3">
        <f>2128.8+(13.2-434.5)+(1.085688+(0.006732-0.221595))+0-5.6-0.00285599999999943</f>
        <v>1702.7679690000002</v>
      </c>
      <c r="Q212" s="3">
        <f>2127.8+(11.2-434.5)+(-5.42589+(-0.02856--1.107975))+0-5.6--0.0142799999999992</f>
        <v>1694.5678050000004</v>
      </c>
      <c r="R212" s="3">
        <f>2003.3+(14-436.3)+(-1.021683+(-0.00714--0.222513))+0-5--0.00254999999999949</f>
        <v>1575.19624</v>
      </c>
      <c r="S212" s="3">
        <f>2005.5+(10-454.9)+(0+(0-0))+0-5-0</f>
        <v>1555.6</v>
      </c>
      <c r="T212" s="3">
        <f>2137.7+(9.2-534.1)+(-3.270681+(-0.014076--0.817173))+0-0-0</f>
        <v>1610.3324159999997</v>
      </c>
      <c r="U212" s="3">
        <f>2043+(9-538.3)+(0+(0-0))+0-3-0</f>
        <v>1510.7</v>
      </c>
      <c r="V212" s="3">
        <f>2156+(5.2-543.9)+(-6.59736+(-0.015912--1.664334))+0-3.3--0.0100980000000004</f>
        <v>1609.0611600000002</v>
      </c>
      <c r="W212" s="3">
        <f>2178.7+(9.7-471.8)+(2.222274+(0.009894-0.481236))+0-5.1-0.00520200000000081</f>
        <v>1713.2457299999999</v>
      </c>
      <c r="X212" s="3">
        <f>2223.1+(41.2-348.2)+(-6.802686+(-0.126072--1.065492))+0-10.2--0.0312120000000012</f>
        <v>1900.0679459999999</v>
      </c>
      <c r="Y212" s="3">
        <f>2250+(24.5-395.4)+(-3.4425+(-0.037485--0.604962))+0-15.2--0.0232560000000009</f>
        <v>1861.0482329999998</v>
      </c>
      <c r="Z212" s="3">
        <f>2237.1+(22.7-428.6)+(-5.704605+(-0.057885--1.09293))+0-23.7--0.0604349999999966</f>
        <v>1802.8908749999998</v>
      </c>
      <c r="AA212" s="3">
        <f>2004.5+(46.1-297.4)+(-4.08918+(-0.094044--0.606696))+0-26.5--0.0540599999999988</f>
        <v>1723.1775319999999</v>
      </c>
      <c r="AB212" s="3">
        <f>1925.4+(45.4-313.8)+(-0.981954+(-0.023154--0.160038))+0-26.2--0.0133619999999973</f>
        <v>1629.9682919999998</v>
      </c>
      <c r="AC212" s="3">
        <f>1876.4+(9-361)+(-0.956964+(-0.00459--0.18411))+0-26.6--0.0135659999999973</f>
        <v>1497.0361220000002</v>
      </c>
      <c r="AD212">
        <v>1940</v>
      </c>
      <c r="AE212" s="3">
        <f>2245.5+(48.6-318.7)+(0+(0-0))+0-13-0</f>
        <v>1962.4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1776.1+(1.7-401.9)+(-2.717433+(-0.002601--0.614907))+0-27.3--0.0417690000000016</f>
        <v>1346.5366419999998</v>
      </c>
      <c r="G213" s="3">
        <f>1699.8+(2.3-421.6)+(1.733796+(0.002346-0.430032))+0-20.5-0.0209100000000033</f>
        <v>1261.2852</v>
      </c>
      <c r="H213" s="3">
        <f>1695.5+(5.3-466.8)+(-0.864705+(-0.002703--0.238068))+0-10.9--0.00555899999999889</f>
        <v>1222.4762189999999</v>
      </c>
      <c r="I213" s="3">
        <f>1636.5+(7.6-442.2)+(2.503845+(0.011628-0.676566))+0-7.6-0.0116280000000004</f>
        <v>1196.1272790000003</v>
      </c>
      <c r="J213" s="3">
        <f>1629.2+(9.4-418.3)+(0.830892+(0.004794-0.213333))+0-26-0.0132599999999974</f>
        <v>1194.909093</v>
      </c>
      <c r="K213" s="3">
        <f>1570.8+(6.4-325.3)+(-3.204432+(-0.013056--0.663612))+0-27--0.0550799999999988</f>
        <v>1222.401204</v>
      </c>
      <c r="L213" s="3">
        <f>1546.3+(26-281.1)+(-3.154452+(-0.05304--0.573444))+0-24.9--0.0507959999999989</f>
        <v>1263.7167479999998</v>
      </c>
      <c r="M213" s="3">
        <f>1600.6+(37.7-266.5)+(0.816306+(0.019227-0.135915))+0-17.6-0.00897599999999821</f>
        <v>1354.8906420000001</v>
      </c>
      <c r="N213" s="3">
        <f>1787.9+(61.3-289.9)+(0+(0-0))+0-10-0</f>
        <v>1549.3000000000002</v>
      </c>
      <c r="O213" s="3">
        <f>1950.1+(65-337)+(-1.989102+(-0.0663--0.34374))+0-10.4--0.0106080000000017</f>
        <v>1665.9989459999999</v>
      </c>
      <c r="P213" s="3">
        <f>2117.1+(36.8-425.9)+(-2.159442+(-0.037536--0.434418))+0-14.2--0.0144840000000023</f>
        <v>1712.0519240000001</v>
      </c>
      <c r="Q213" s="3">
        <f>2169.2+(26.2-435)+(-4.425168+(-0.053448--0.8874))+0-15.5--0.0316199999999993</f>
        <v>1741.3404039999998</v>
      </c>
      <c r="R213" s="3">
        <f>2149.7+(23.9-451.3)+(-3.289041+(-0.036567--0.690489))+0-19.2--0.0293760000000011</f>
        <v>1700.4942569999996</v>
      </c>
      <c r="S213" s="3">
        <f>2122.3+(22.3-482.9)+(-2.164746+(-0.022746--0.492558))+0-26.9--0.0274380000000043</f>
        <v>1633.1325040000002</v>
      </c>
      <c r="T213" s="3">
        <f>2173.3+(8.1-553.8)+(0+(0-0))+0-26.8-0</f>
        <v>1600.8000000000004</v>
      </c>
      <c r="U213" s="3">
        <f>2143.3+(9.5-531.7)+(-2.186166+(-0.00969--0.542334))+0-26.7--0.0272340000000043</f>
        <v>1592.7737119999999</v>
      </c>
      <c r="V213" s="3">
        <f>2130.1+(11.6-499.5)+(0+(0-0))+0-27.1-0</f>
        <v>1615.1</v>
      </c>
      <c r="W213" s="3">
        <f>2166.8+(20.3-441.7)+(-1.105068+(-0.010353--0.225267))+0-27.6--0.0140759999999972</f>
        <v>1716.9239220000002</v>
      </c>
      <c r="X213" s="3">
        <f>2226.8+(47.8-331.5)+(-5.67834+(-0.12189--0.845325))+0-28.6--0.0729299999999959</f>
        <v>1909.6180250000002</v>
      </c>
      <c r="Y213" s="3">
        <f>2227.9+(42.3-352.5)+(-3.408687+(-0.064719--0.539325))+0-29.2--0.0446760000000017</f>
        <v>1885.6105949999999</v>
      </c>
      <c r="Z213" s="3">
        <f>2117.2+(56.1-324.1)+(-3.239316+(-0.085833--0.495873))+0-28.8--0.0440640000000017</f>
        <v>1817.6147879999999</v>
      </c>
      <c r="AA213" s="3">
        <f>2078.5+(39.1-359.5)+(-3.180105+(-0.059823--0.550035))+0-28.5--0.0436050000000016</f>
        <v>1726.953712</v>
      </c>
      <c r="AB213" s="3">
        <f>1992.9+(17.8-357.6)+(0+(0-0))+0-26.9-0</f>
        <v>1626.2</v>
      </c>
      <c r="AC213" s="3">
        <f>1935.3+(26.2-435.5)+(-3.948012+(-0.053448--0.88842))+0-26.8--0.0546719999999988</f>
        <v>1496.1416320000001</v>
      </c>
      <c r="AD213">
        <v>1903.9000000000003</v>
      </c>
      <c r="AE213" s="3">
        <f>2231.3+(55.3-323.1)+(0+(0-0))+0-28.8-0</f>
        <v>1934.7000000000003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1862.9+(68.8-552)+(-2.850237+(-0.105264--0.84456))+0-26.4--0.0403920000000015</f>
        <v>1351.2294510000002</v>
      </c>
      <c r="G214" s="3">
        <f>1781.8+(83-563.2)+(-0.908718+(-0.04233--0.287232))+0-26.6--0.0135659999999973</f>
        <v>1274.3497500000001</v>
      </c>
      <c r="H214" s="3">
        <f>1562+(97-405.3)+(-4.77972+(-0.29682--1.240218))+0-26.1--0.079866000000003</f>
        <v>1223.8435440000001</v>
      </c>
      <c r="I214" s="3">
        <f>1451.8+(100.2-319.9)+(-2.221254+(-0.153306--0.489447))+0-26.3--0.0402390000000015</f>
        <v>1203.9551259999998</v>
      </c>
      <c r="J214" s="3">
        <f>1450.4+(98.2-332.6)+(0+(0-0))+0-26.7-0</f>
        <v>1189.3</v>
      </c>
      <c r="K214" s="3">
        <f>1443.4+(80.4-282.7)+(-0.736134+(-0.041004--0.144177))+0-26.8--0.0136679999999973</f>
        <v>1213.6807070000002</v>
      </c>
      <c r="L214" s="3">
        <f>1407.6+(62.3-207.9)+(-2.153628+(-0.095319--0.318087))+0-26.9--0.0411570000000016</f>
        <v>1233.2102970000001</v>
      </c>
      <c r="M214" s="3">
        <f>1493.5+(59.4-228.4)+(0.761685+(0.030294-0.116484))+0-28.1-0.0143309999999971</f>
        <v>1297.061164</v>
      </c>
      <c r="N214" s="3">
        <f>1711.8+(91.8-288.9)+(2.619054+(0.140454-0.442017))+0-28.5-0.0436050000000016</f>
        <v>1488.473886</v>
      </c>
      <c r="O214" s="3">
        <f>1965.5+(53-373.1)+(0+(0-0))+0-29-0</f>
        <v>1616.4</v>
      </c>
      <c r="P214" s="3">
        <f>2003.4+(63.1-381.5)+(2.043468+(0.064362-0.38913))+0-29.4-0.0299880000000047</f>
        <v>1657.2887119999998</v>
      </c>
      <c r="Q214" s="3">
        <f>1997.9+(117.3-403.8)+(-1.018929+(-0.059823--0.205938))+0-28.9--0.0147389999999971</f>
        <v>1681.6419249999999</v>
      </c>
      <c r="R214" s="3">
        <f>2001.2+(128.3-456.2)+(-3.061836+(-0.196299--0.697986))+0-27.3--0.0417690000000016</f>
        <v>1643.4816200000002</v>
      </c>
      <c r="S214" s="3">
        <f>1994.2+(91.4-464.6)+(-6.102252+(-0.279684--1.421676))+0-26.4--0.080784000000003</f>
        <v>1589.7205239999998</v>
      </c>
      <c r="T214" s="3">
        <f>2000.7+(66.9-473.8)+(-2.040714+(-0.068238--0.483276))+0-26--0.0265200000000041</f>
        <v>1566.200844</v>
      </c>
      <c r="U214" s="3">
        <f>1982.5+(80.7-465.9)+(-3.033225+(-0.123471--0.712827))+0-26.4--0.0403920000000015</f>
        <v>1568.496523</v>
      </c>
      <c r="V214" s="3">
        <f>1781.4+(225-398.8)+(-2.725542+(-0.34425--0.610164))+0-26.4--0.0403920000000015</f>
        <v>1578.7807640000001</v>
      </c>
      <c r="W214" s="3">
        <f>1958.6+(141.7-398.3)+(-2.996658+(-0.216801--0.609399))+0-26.7--0.0408510000000015</f>
        <v>1672.736791</v>
      </c>
      <c r="X214" s="3">
        <f>2016.2+(233.4-388.1)+(-6.169572+(-0.714204--1.187586))+0-29.2--0.0893520000000034</f>
        <v>1826.693162</v>
      </c>
      <c r="Y214" s="3">
        <f>1931.2+(216.7-322.2)+(-2.954736+(-0.331551--0.492966))+0-28.7--0.0439110000000017</f>
        <v>1794.2505899999999</v>
      </c>
      <c r="Z214" s="3">
        <f>1736.6+(237.6-214)+(-0.885666+(-0.121176--0.10914))+0-29.1--0.014840999999997</f>
        <v>1730.2171389999999</v>
      </c>
      <c r="AA214" s="3">
        <f>1640.9+(213.6-174.5)+(-1.673718+(-0.217872--0.17799))+0-28.1--0.0286620000000045</f>
        <v>1650.215062</v>
      </c>
      <c r="AB214" s="3">
        <f>1598.3+(186.5-204.1)+(-2.445399+(-0.285345--0.312273))+0-27--0.0413100000000016</f>
        <v>1551.3228390000002</v>
      </c>
      <c r="AC214" s="3">
        <f>1587.4+(85.9-206.6)+(-4.04787+(-0.219045--0.52683))+0-27.1--0.0691049999999961</f>
        <v>1435.9290200000003</v>
      </c>
      <c r="AD214">
        <v>1821.5</v>
      </c>
      <c r="AE214" s="3">
        <f>2018+(238-379.2)+(0+(0-0))+0-29.3-0</f>
        <v>1847.5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1391.6+(136.9-211)+(-2.129148+(-0.209457--0.32283))+0-27.2--0.0416160000000016</f>
        <v>1288.3258409999999</v>
      </c>
      <c r="G215" s="3">
        <f>1290.2+(150.7-220.9)+(-2.632008+(-0.307428--0.450636))+0-27.4--0.0558959999999988</f>
        <v>1190.1670959999999</v>
      </c>
      <c r="H215" s="3">
        <f>1275.7+(126.5-229.6)+(-3.253035+(-0.322575--0.58548))+0-27.5--0.070124999999996</f>
        <v>1142.1799950000002</v>
      </c>
      <c r="I215" s="3">
        <f>1225.3+(137.4-213.8)+(-2.499612+(-0.280296--0.436152))+0-27.5--0.0560999999999988</f>
        <v>1119.1123439999999</v>
      </c>
      <c r="J215" s="3">
        <f>1162.6+(173.6-193.4)+(-0.592926+(-0.088536--0.098634))+0-27.6--0.0140759999999972</f>
        <v>1114.6312479999999</v>
      </c>
      <c r="K215" s="3">
        <f>1074.4+(239.5-174.8)+(-0.547944+(-0.122145--0.089148))+0-27.5--0.0140249999999972</f>
        <v>1111.0330840000001</v>
      </c>
      <c r="L215" s="3">
        <f>1042.8+(257.3-175)+(0+(0-0))+0-27.1-0</f>
        <v>1098</v>
      </c>
      <c r="M215" s="3">
        <f>1090.4+(230.2-196.8)+(-0.556104+(-0.117402--0.100368))+0-28.8--0.0146879999999971</f>
        <v>1094.4415500000002</v>
      </c>
      <c r="N215" s="3">
        <f>1271.5+(260-300.3)+(-1.29693+(-0.2652--0.306306))+0-29.7--0.0302940000000047</f>
        <v>1200.2744699999998</v>
      </c>
      <c r="O215" s="3">
        <f>1299.9+(366-336.8)+(-1.325898+(-0.37332--0.343536))+0-29.6--0.0301920000000047</f>
        <v>1298.1745100000003</v>
      </c>
      <c r="P215" s="3">
        <f>1356+(366.4-314.3)+(-2.07468+(-0.560592--0.480879))+0-29.9--0.0457470000000017</f>
        <v>1376.0913539999997</v>
      </c>
      <c r="Q215" s="3">
        <f>1363.7+(357.6-292.3)+(0+(0-0))+0-29.7-0</f>
        <v>1399.3</v>
      </c>
      <c r="R215" s="3">
        <f>1282.8+(407.4-283)+(-2.616912+(-0.831096--0.57732))+0-27.6--0.0563039999999988</f>
        <v>1376.7856159999999</v>
      </c>
      <c r="S215" s="3">
        <f>1226.7+(410.3-278.9)+(-2.502468+(-0.837012--0.568956))+0-26.9--0.0548759999999988</f>
        <v>1328.4843519999999</v>
      </c>
      <c r="T215" s="3">
        <f>1229.1+(366.9-272.5)+(-1.253682+(-0.374238--0.27795))+0-27.4--0.0279480000000044</f>
        <v>1294.7779779999998</v>
      </c>
      <c r="U215" s="3">
        <f>1198.1+(372.6-266.1)+(-0.611031+(-0.190026--0.135711))+0-27.4--0.0139739999999972</f>
        <v>1276.5486279999998</v>
      </c>
      <c r="V215" s="3">
        <f>1180+(373.7-244)+(0+(0-0))+0-27.5-0</f>
        <v>1282.2</v>
      </c>
      <c r="W215" s="3">
        <f>1190.7+(444.2-223.5)+(-1.821771+(-0.679626--0.341955))+0-28--0.0428400000000016</f>
        <v>1381.2833980000003</v>
      </c>
      <c r="X215" s="3">
        <f>1241.9+(627-178.2)+(-2.533476+(-1.27908--0.363528))+0-29.6--0.0603839999999987</f>
        <v>1657.711356</v>
      </c>
      <c r="Y215" s="3">
        <f>1209.7+(716-217.8)+(-1.850841+(-1.09548--0.333234))+0-29.9--0.0457470000000017</f>
        <v>1675.4326599999999</v>
      </c>
      <c r="Z215" s="3">
        <f>1176.7+(715.1-213.5)+(-3.000585+(-1.823505--0.544425))+0-28.3--0.0721649999999959</f>
        <v>1645.7925000000002</v>
      </c>
      <c r="AA215" s="3">
        <f>1237.8+(541.9-178.6)+(-2.525112+(-1.105476--0.364344))+0-27.8--0.0567119999999988</f>
        <v>1570.0904680000001</v>
      </c>
      <c r="AB215" s="3">
        <f>1193.5+(487.6-162.3)+(-3.043425+(-1.24338--0.413865))+0-27.8--0.070889999999996</f>
        <v>1487.19795</v>
      </c>
      <c r="AC215" s="3">
        <f>1121.4+(399.8-145.6)+(-2.85957+(-1.01949--0.37128))+0-27.8--0.070889999999996</f>
        <v>1344.3631100000002</v>
      </c>
      <c r="AD215">
        <v>1648</v>
      </c>
      <c r="AE215" s="3">
        <f>1246+(675-219)+(0+(0-0))+0-30-0</f>
        <v>1672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1098+(284.8-143.8)+(-1.11996+(-0.290496--0.146676))+0-27.8--0.0283560000000044</f>
        <v>1209.9645760000001</v>
      </c>
      <c r="G216" s="3">
        <f>1014.2+(314-168.7)+(-1.034484+(-0.32028--0.172074))+0-27.6--0.0281520000000044</f>
        <v>1130.7454620000001</v>
      </c>
      <c r="H216" s="3">
        <f>1015.3+(277.2-168.1)+(-2.071212+(-0.565488--0.342924))+0-27.6--0.0563039999999988</f>
        <v>1094.5625279999999</v>
      </c>
      <c r="I216" s="3">
        <f>988.9+(283.4-163.7)+(-1.008678+(-0.289068--0.166974))+0-27.8--0.0283560000000044</f>
        <v>1079.697584</v>
      </c>
      <c r="J216" s="3">
        <f>958.9+(303.6-160.7)+(0.978078+(0.309672-0.163914))+0-27.6-0.0281520000000044</f>
        <v>1075.2956839999999</v>
      </c>
      <c r="K216" s="3">
        <f>959.4+(325.8-159.8)+(2.44647+(0.83079-0.40749))+0-27.8-0.070889999999996</f>
        <v>1100.3988800000002</v>
      </c>
      <c r="L216" s="3">
        <f>1043.2+(225.5-94)+(-0.532032+(-0.115005--0.04794))+0-27.7--0.0141269999999972</f>
        <v>1146.4150299999999</v>
      </c>
      <c r="M216" s="3">
        <f>1156.6+(192.2-66.7)+(0+(0-0))+0-28.5-0</f>
        <v>1253.5999999999999</v>
      </c>
      <c r="N216" s="3">
        <f>1398.5+(172.7-80.2)+(-0.713235+(-0.088077--0.040902))+0-29.8--0.015197999999997</f>
        <v>1460.454788</v>
      </c>
      <c r="O216" s="3">
        <f>1467.5+(237.5-103.9)+(-2.9937+(-0.4845--0.211956))+0-30.4--0.0620159999999987</f>
        <v>1567.495772</v>
      </c>
      <c r="P216" s="3">
        <f>1505.2+(266.1-120.9)+(-0.767652+(-0.135711--0.061659))+0-30--0.015299999999997</f>
        <v>1619.5735960000002</v>
      </c>
      <c r="Q216" s="3">
        <f>1559.2+(352.1-220.9)+(-2.385576+(-0.538713--0.337977))+0-29.5--0.0451350000000017</f>
        <v>1658.3588230000003</v>
      </c>
      <c r="R216" s="3">
        <f>1560+(377.1-268.1)+(-3.978+(-0.961605--0.683655))+0-28.1--0.0716549999999959</f>
        <v>1636.7157050000001</v>
      </c>
      <c r="S216" s="3">
        <f>1504.3+(350.1-254.6)+(-0.767193+(-0.178551--0.129846))+0-27.9--0.0142289999999972</f>
        <v>1571.0983309999997</v>
      </c>
      <c r="T216" s="3">
        <f>1505+(324.8-243.6)+(0+(0-0))+0-29.6-0</f>
        <v>1556.6000000000001</v>
      </c>
      <c r="U216" s="3">
        <f>1501.4+(317-223.4)+(-0.765714+(-0.16167--0.113934))+0-29.8--0.015197999999997</f>
        <v>1564.401748</v>
      </c>
      <c r="V216" s="3">
        <f>1504.8+(313.5-223.5)+(1.534896+(0.31977-0.22797))+0-29.8-0.0303960000000048</f>
        <v>1566.5962999999999</v>
      </c>
      <c r="W216" s="3">
        <f>1509+(389.6-213.7)+(1.53918+(0.397392-0.217974))+0-29.1-0.0296820000000046</f>
        <v>1657.488916</v>
      </c>
      <c r="X216" s="3">
        <f>1510.5+(526-145.4)+(-3.08142+(-1.07304--0.296616))+0-29.9--0.0609959999999987</f>
        <v>1857.4031519999996</v>
      </c>
      <c r="Y216" s="3">
        <f>1484.6+(503.6-143.8)+(-3.028584+(-1.027344--0.293352))+0-29.9--0.0609959999999987</f>
        <v>1810.7984199999996</v>
      </c>
      <c r="Z216" s="3">
        <f>1459.7+(463.7-150.8)+(-2.977788+(-0.945948--0.307632))+0-29.5--0.0601799999999987</f>
        <v>1739.5440759999999</v>
      </c>
      <c r="AA216" s="3">
        <f>1461.5+(399.9-156)+(-1.49073+(-0.407898--0.15912))+0-29.1--0.0296820000000046</f>
        <v>1674.5901740000004</v>
      </c>
      <c r="AB216" s="3">
        <f>1449.4+(350.9-179)+(-3.69597+(-0.894795--0.45645))+0-27.4--0.069869999999996</f>
        <v>1589.8355550000001</v>
      </c>
      <c r="AC216" s="3">
        <f>1474.6+(158.6-152.6)+(-0.752046+(-0.080886--0.077826))+0-27.5--0.0140249999999972</f>
        <v>1452.3589189999998</v>
      </c>
      <c r="AD216">
        <v>1832.4</v>
      </c>
      <c r="AE216" s="3">
        <f>1513+(514.8-140.9)+(0+(0-0))+0-30.3-0</f>
        <v>1856.6000000000001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1457.7+(100.4-210.9)+(-1.486854+(-0.102408--0.215118))+0-27.5--0.0280500000000044</f>
        <v>1318.3539060000001</v>
      </c>
      <c r="G217" s="3">
        <f>1431.6+(90-260.4)+(-1.460232+(-0.0918--0.265608))+0-27.5--0.0280500000000044</f>
        <v>1232.4416259999998</v>
      </c>
      <c r="H217" s="3">
        <f>1297.5+(123.3-203.9)+(0+(0-0))+0-27.3-0</f>
        <v>1189.6000000000001</v>
      </c>
      <c r="I217" s="3">
        <f>1299.4+(132.6-223.3)+(1.325388+(0.135252-0.227766))+0-27.4-0.0279480000000044</f>
        <v>1182.5049260000001</v>
      </c>
      <c r="J217" s="3">
        <f>1299.5+(131.2-227.5)+(0.662745+(0.066912-0.116025))+0-27.6-0.0140759999999972</f>
        <v>1176.1995560000003</v>
      </c>
      <c r="K217" s="3">
        <f>1298.1+(126.6-207.9)+(0+(0-0))+0-27.6-0</f>
        <v>1189.2</v>
      </c>
      <c r="L217" s="3">
        <f>1366.2+(94.2-201.6)+(2.787048+(0.192168-0.411264))+0-27.7-0.0565079999999988</f>
        <v>1233.6114440000001</v>
      </c>
      <c r="M217" s="3">
        <f>1423.9+(51.4-134.7)+(1.452378+(0.052428-0.137394))+0-28.9-0.0294780000000046</f>
        <v>1313.0379340000002</v>
      </c>
      <c r="N217" s="3">
        <f>1652.6+(50.2-173.8)+(-0.842826+(-0.025602--0.088638))+0-29.8--0.015197999999997</f>
        <v>1498.4354080000001</v>
      </c>
      <c r="O217" s="3">
        <f>1690.3+(82.4-150.6)+(0.862053+(0.042024-0.076806))+0-30-0.015299999999997</f>
        <v>1592.911971</v>
      </c>
      <c r="P217" s="3">
        <f>1679.1+(91.2-109.6)+(-2.569023+(-0.139536--0.167688))+0-29.9--0.0457470000000017</f>
        <v>1628.3048759999997</v>
      </c>
      <c r="Q217" s="3">
        <f>1722.5+(83.2-115.6)+(-0.878475+(-0.042432--0.058956))+0-30.2--0.0154019999999969</f>
        <v>1659.0534509999998</v>
      </c>
      <c r="R217" s="3">
        <f>1660.7+(119.3-107.6)+(-4.234785+(-0.304215--0.27438))+0-28.3--0.0721649999999959</f>
        <v>1639.9075450000003</v>
      </c>
      <c r="S217" s="3">
        <f>1598.6+(127.2-102.5)+(-0.815286+(-0.064872--0.052275))+0-28.2--0.0143819999999971</f>
        <v>1594.286499</v>
      </c>
      <c r="T217" s="3">
        <f>1597.5+(88.4-90.3)+(0+(0-0))+0-29-0</f>
        <v>1566.6</v>
      </c>
      <c r="U217" s="3">
        <f>1579.9+(96.5-79.6)+(-4.834494+(-0.29529--0.243576))+0-29.8--0.0911880000000034</f>
        <v>1562.2049800000004</v>
      </c>
      <c r="V217" s="3">
        <f>1534.6+(139.6-84.1)+(-0.782646+(-0.071196--0.042891))+0-30.5--0.0155549999999969</f>
        <v>1558.8046039999999</v>
      </c>
      <c r="W217" s="3">
        <f>1636.5+(213.9-176.3)+(0+(0-0))+0-30.1-0</f>
        <v>1644</v>
      </c>
      <c r="X217" s="3">
        <f>1730.3+(326.3-169.3)+(-5.294718+(-0.998478--0.518058))+0-30.2--0.0924120000000035</f>
        <v>1851.4172739999999</v>
      </c>
      <c r="Y217" s="3">
        <f>1646.4+(367.8-166.9)+(-1.679328+(-0.375156--0.170238))+0-28.4--0.0289680000000045</f>
        <v>1817.0447220000001</v>
      </c>
      <c r="Z217" s="3">
        <f>1620.9+(342.3-168.7)+(-3.306636+(-0.698292--0.344148))+0-28.1--0.0573239999999988</f>
        <v>1762.7965440000003</v>
      </c>
      <c r="AA217" s="3">
        <f>1633.2+(261.4-170.9)+(-2.498796+(-0.399942--0.261477))+0-27.7--0.0423810000000016</f>
        <v>1693.4051199999999</v>
      </c>
      <c r="AB217" s="3">
        <f>1554.7+(261.4-208.4)+(-3.171588+(-0.533256--0.425136))+0-28--0.0571199999999988</f>
        <v>1576.477412</v>
      </c>
      <c r="AC217" s="3">
        <f>1475.7+(161.8-177.4)+(-3.010428+(-0.330072--0.361896))+0-27.5--0.0560999999999988</f>
        <v>1429.6774960000002</v>
      </c>
      <c r="AD217">
        <v>1852.9</v>
      </c>
      <c r="AE217" s="3">
        <f>1745.8+(327-170.5)+(0+(0-0))+0-29.8-0</f>
        <v>1872.5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1466.5+(81.2-227.4)+(-1.49583+(-0.082824--0.231948))+0-26.7--0.0272340000000043</f>
        <v>1292.2805279999998</v>
      </c>
      <c r="G218" s="3">
        <f>1423.8+(76.4-267)+(0+(0-0))+0-27-0</f>
        <v>1206.2</v>
      </c>
      <c r="H218" s="3">
        <f>1397.8+(91.6-283.7)+(0+(0-0))+0-27.4-0</f>
        <v>1178.3</v>
      </c>
      <c r="I218" s="3">
        <f>1351.2+(111.5-269.5)+(0+(0-0))+0-27.3-0</f>
        <v>1165.9000000000001</v>
      </c>
      <c r="J218" s="3">
        <f>1287+(125.9-225.6)+(0.65637+(0.064209-0.115056))+0-26.7-0.0136169999999973</f>
        <v>1161.1919059999998</v>
      </c>
      <c r="K218" s="3">
        <f>1326.6+(106.1-221.2)+(-2.029698+(-0.162333--0.338436))+0-27.2--0.0416160000000016</f>
        <v>1182.4880209999999</v>
      </c>
      <c r="L218" s="3">
        <f>1325.7+(114.9-180.3)+(0.676107+(0.058599-0.091953))+0-27.9-0.0142289999999972</f>
        <v>1233.0285240000001</v>
      </c>
      <c r="M218" s="3">
        <f>1463.5+(85.2-192.8)+(0.746385+(0.043452-0.098328))+0-29.2-0.014891999999997</f>
        <v>1327.3766170000001</v>
      </c>
      <c r="N218" s="3">
        <f>1727.6+(93.3-278.1)+(-0.881076+(-0.047583--0.141831))+0-29.6--0.015095999999997</f>
        <v>1512.4282680000001</v>
      </c>
      <c r="O218" s="3">
        <f>1749.6+(158.2-275.8)+(0.892296+(0.080682-0.140658))+0-30.6-0.0156059999999969</f>
        <v>1602.2167140000001</v>
      </c>
      <c r="P218" s="3">
        <f>1741.8+(211.4-283.1)+(0+(0-0))+0-30.6-0</f>
        <v>1639.5</v>
      </c>
      <c r="Q218" s="3">
        <f>1746.7+(227.7-277.7)+(-0.890817+(-0.116127--0.141627))+0-30.2--0.0154019999999969</f>
        <v>1665.650085</v>
      </c>
      <c r="R218" s="3">
        <f>1744.4+(215.6-263.5)+(-4.44822+(-0.54978--0.671925))+0-28.6--0.0729299999999959</f>
        <v>1663.6468550000002</v>
      </c>
      <c r="S218" s="3">
        <f>1737+(127.6-268.6)+(-5.31522+(-0.390456--0.821916))+0-29.9--0.0914940000000034</f>
        <v>1561.307734</v>
      </c>
      <c r="T218" s="3">
        <f>1748.3+(124.7-273.2)+(0+(0-0))+0-28.6-0</f>
        <v>1571.2</v>
      </c>
      <c r="U218" s="3">
        <f>1742.1+(154.3-285.6)+(-2.665413+(-0.236079--0.436968))+0-29.4--0.0449820000000017</f>
        <v>1578.9804579999998</v>
      </c>
      <c r="V218" s="3">
        <f>1744.6+(177.7-290.8)+(-0.889746+(-0.090627--0.148308))+0-29.9--0.015248999999997</f>
        <v>1600.7831839999999</v>
      </c>
      <c r="W218" s="3">
        <f>1758.1+(279.8-288.9)+(0+(0-0))+0-29.4-0</f>
        <v>1719.6</v>
      </c>
      <c r="X218" s="3">
        <f>1771.2+(326.7-186.7)+(-2.709936+(-0.499851--0.285651))+0-29.6--0.0452880000000017</f>
        <v>1878.7211520000001</v>
      </c>
      <c r="Y218" s="3">
        <f>1658+(368.5-164.6)+(-2.53674+(-0.563805--0.251838))+0-30--0.0459000000000017</f>
        <v>1829.0971930000001</v>
      </c>
      <c r="Z218" s="3">
        <f>1668.2+(304.2-163.1)+(-2.552346+(-0.465426--0.249543))+0-29.7--0.0454410000000017</f>
        <v>1776.8772119999999</v>
      </c>
      <c r="AA218" s="3">
        <f>1676.2+(222.6-165.2)+(-1.709724+(-0.227052--0.168504))+0-29.3--0.0298860000000047</f>
        <v>1702.5616140000002</v>
      </c>
      <c r="AB218" s="3">
        <f>1640.4+(216.7-225.4)+(-4.18302+(-0.552585--0.57477))+0-28--0.0713999999999959</f>
        <v>1599.6105650000002</v>
      </c>
      <c r="AC218" s="3">
        <f>1483.2+(167.6-162.8)+(-1.512864+(-0.170952--0.166056))+0-27.9--0.0284580000000044</f>
        <v>1458.610698</v>
      </c>
      <c r="AD218">
        <v>1844.4</v>
      </c>
      <c r="AE218" s="3">
        <f>1779+(324.9-208.7)+(0+(0-0))+0-30-0</f>
        <v>1865.2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1342+(164.1-163.9)+(-0.68442+(-0.083691--0.083589))+0-28--0.0142799999999972</f>
        <v>1313.5297580000001</v>
      </c>
      <c r="G219" s="3">
        <f>1290.7+(161.6-185.6)+(-2.633028+(-0.329664--0.378624))+0-27.8--0.0567119999999988</f>
        <v>1236.3726440000003</v>
      </c>
      <c r="H219" s="3">
        <f>1289.2+(128.2-198)+(-3.28746+(-0.32691--0.5049))+0-27.9--0.0711449999999959</f>
        <v>1188.4616749999998</v>
      </c>
      <c r="I219" s="3">
        <f>1289.3+(115.8-194.5)+(-1.315086+(-0.118116--0.19839))+0-28.2--0.0287640000000045</f>
        <v>1181.1939519999999</v>
      </c>
      <c r="J219" s="3">
        <f>1287.9+(112-190.8)+(0.656829+(0.05712-0.097308))+0-28.1-0.0143309999999971</f>
        <v>1181.6023100000002</v>
      </c>
      <c r="K219" s="3">
        <f>1285+(118.4-171.1)+(0.65535+(0.060384-0.087261))+0-27.8-0.0141779999999972</f>
        <v>1205.1142950000001</v>
      </c>
      <c r="L219" s="3">
        <f>1285.7+(144.2-163.2)+(1.967121+(0.220626-0.249696))+0-28-0.0428400000000016</f>
        <v>1240.5952110000001</v>
      </c>
      <c r="M219" s="3">
        <f>1449+(100.3-179.9)+(-0.73899+(-0.051153--0.091749))+0-29.6--0.015095999999997</f>
        <v>1339.1167020000003</v>
      </c>
      <c r="N219" s="3">
        <f>1740.2+(154.2-318.4)+(1.775004+(0.157284-0.324768))+0-30-0.0306000000000048</f>
        <v>1547.57692</v>
      </c>
      <c r="O219" s="3">
        <f>1819.1+(235.6-380.7)+(-1.855482+(-0.240312--0.388314))+0-30.8--0.0314160000000049</f>
        <v>1641.523936</v>
      </c>
      <c r="P219" s="3">
        <f>1812.5+(277.2-389.1)+(-3.6975+(-0.565488--0.793764))+0-30.5--0.0622199999999987</f>
        <v>1666.692996</v>
      </c>
      <c r="Q219" s="3">
        <f>1814.2+(284.4-387.5)+(-1.850484+(-0.290088--0.39525))+0-29.9--0.0304980000000048</f>
        <v>1679.4851759999999</v>
      </c>
      <c r="R219" s="3">
        <f>1810.5+(263.6-370.7)+(-3.69342+(-0.537744--0.756228))+0-28.7--0.0585479999999987</f>
        <v>1671.2836119999999</v>
      </c>
      <c r="S219" s="3">
        <f>1806.7+(202.3-372.5)+(-0.921417+(-0.103173--0.189975))+0-28--0.0142799999999972</f>
        <v>1607.6796650000001</v>
      </c>
      <c r="T219" s="3">
        <f>1785.6+(203.1-374.3)+(2.731968+(0.310743-0.572679))+0-29.6-0.0452880000000017</f>
        <v>1587.2247439999999</v>
      </c>
      <c r="U219" s="3">
        <f>1781.8+(218.3-364.9)+(-4.54359+(-0.556665--0.930495))+0-30.2--0.0770099999999956</f>
        <v>1600.90725</v>
      </c>
      <c r="V219" s="3">
        <f>1741.2+(269.3-403.4)+(-0.888012+(-0.137343--0.205734))+0-29.8--0.015197999999997</f>
        <v>1576.4955770000001</v>
      </c>
      <c r="W219" s="3">
        <f>1755.9+(373.2-411)+(-0.895509+(-0.190332--0.20961))+0-29.5--0.015044999999997</f>
        <v>1687.7388140000003</v>
      </c>
      <c r="X219" s="3">
        <f>1798.2+(290.9-186.2)+(-4.58541+(-0.741795--0.47481))+0-29--0.0739499999999958</f>
        <v>1869.1215550000002</v>
      </c>
      <c r="Y219" s="3">
        <f>1791.8+(241.1-176.3)+(-0.913818+(-0.122961--0.089913))+0-28.2--0.0143819999999971</f>
        <v>1827.4675159999999</v>
      </c>
      <c r="Z219" s="3">
        <f>1748.5+(215.4-173.2)+(-1.78347+(-0.219708--0.176664))+0-28.1--0.0286620000000045</f>
        <v>1760.802148</v>
      </c>
      <c r="AA219" s="3">
        <f>1611.9+(253.9-159.3)+(-3.288276+(-0.517956--0.324972))+0-28.4--0.0579359999999988</f>
        <v>1674.6766759999998</v>
      </c>
      <c r="AB219" s="3">
        <f>1471.1+(389.3-249.4)+(-2.250783+(-0.595629--0.381582))+0-28.5--0.0436050000000016</f>
        <v>1580.0787750000002</v>
      </c>
      <c r="AC219" s="3">
        <f>1401.3+(263.5-189.4)+(-2.858652+(-0.53754--0.386376))+0-28.4--0.0579359999999988</f>
        <v>1444.0481199999997</v>
      </c>
      <c r="AD219">
        <v>1857.1</v>
      </c>
      <c r="AE219" s="3">
        <f>1794+(448.7-361.3)+(0+(0-0))+0-28.3-0</f>
        <v>1853.1000000000001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1368+(120.9-150.7)+(-3.4884+(-0.308295--0.384285))+0-28.1--0.0716549999999959</f>
        <v>1306.7592450000002</v>
      </c>
      <c r="G220" s="3">
        <f>1281.3+(113.7-149.4)+(-0.653463+(-0.057987--0.076194))+0-28.4--0.0144839999999971</f>
        <v>1216.5792279999998</v>
      </c>
      <c r="H220" s="3">
        <f>1263.8+(107.1-152.7)+(-0.644538+(-0.054621--0.077877))+0-28.5--0.0145349999999971</f>
        <v>1189.093253</v>
      </c>
      <c r="I220" s="3">
        <f>1262.6+(97.7-169.5)+(-1.287852+(-0.099654--0.17289))+0-28.4--0.0289680000000045</f>
        <v>1161.214352</v>
      </c>
      <c r="J220" s="3">
        <f>1232.9+(113.4-166.6)+(-0.628779+(-0.057834--0.084966))+0-28.4--0.0144839999999971</f>
        <v>1150.712837</v>
      </c>
      <c r="K220" s="3">
        <f>1226.6+(106.8-150.3)+(-0.625566+(-0.054468--0.076653))+0-28--0.0142799999999972</f>
        <v>1154.5108990000001</v>
      </c>
      <c r="L220" s="3">
        <f>1410.9+(41.9-195.3)+(-1.439118+(-0.042738--0.199206))+0-28--0.0285600000000045</f>
        <v>1228.2459099999999</v>
      </c>
      <c r="M220" s="3">
        <f>1528.5+(73.4-256.6)+(0+(0-0))+0-29.1-0</f>
        <v>1316.2</v>
      </c>
      <c r="N220" s="3">
        <f>1637.1+(191.6-330.6)+(-1.669842+(-0.195432--0.337212))+0-30.7--0.0313140000000049</f>
        <v>1465.9032519999998</v>
      </c>
      <c r="O220" s="3">
        <f>1710.9+(209.7-333.8)+(1.745118+(0.213894-0.340476))+0-30.8-0.0314160000000049</f>
        <v>1557.5871200000001</v>
      </c>
      <c r="P220" s="3">
        <f>1746.3+(221.4-338.5)+(-3.562452+(-0.451656--0.69054))+0-31--0.0632399999999986</f>
        <v>1594.939672</v>
      </c>
      <c r="Q220" s="3">
        <f>1749.8+(242.1-359.1)+(-0.892398+(-0.123471--0.183141))+0-29.8--0.015197999999997</f>
        <v>1602.18247</v>
      </c>
      <c r="R220" s="3">
        <f>1749.5+(250.6-353.5)+(-1.78449+(-0.255612--0.36057))+0-29.1--0.0296820000000046</f>
        <v>1615.85015</v>
      </c>
      <c r="S220" s="3">
        <f>1775+(194.8-358.1)+(-2.71575+(-0.298044--0.547893))+0-28.6--0.0437580000000017</f>
        <v>1580.6778570000001</v>
      </c>
      <c r="T220" s="3">
        <f>1655.6+(264.9-324.3)+(0+(0-0))+0-29.6-0</f>
        <v>1566.6</v>
      </c>
      <c r="U220" s="3">
        <f>1514.4+(401.1-281.1)+(0.772344+(0.204561-0.143361))+0-30.3-0.0154529999999969</f>
        <v>1604.9180910000002</v>
      </c>
      <c r="V220" s="3">
        <f>1576.5+(416.8-331.1)+(-1.60803+(-0.425136--0.337722))+0-30--0.0306000000000048</f>
        <v>1630.5351560000001</v>
      </c>
      <c r="W220" s="3">
        <f>1733.6+(370.6-325)+(0+(0-0))+0-29.5-0</f>
        <v>1749.6999999999998</v>
      </c>
      <c r="X220" s="3">
        <f>1763.3+(305.6-173.2)+(-2.697849+(-0.467568--0.264996))+0-29.5--0.0451350000000017</f>
        <v>1863.3447140000001</v>
      </c>
      <c r="Y220" s="3">
        <f>1765.1+(260.4-182)+(-1.800402+(-0.265608--0.18564))+0-29.8--0.0303960000000048</f>
        <v>1811.8500260000001</v>
      </c>
      <c r="Z220" s="3">
        <f>1628.8+(317.7-161.7)+(-1.661376+(-0.324054--0.164934))+0-30.2--0.0308040000000048</f>
        <v>1752.8103079999998</v>
      </c>
      <c r="AA220" s="3">
        <f>1613.4+(265.1-166.4)+(-1.645668+(-0.270402--0.169728))+0-29.3--0.0298860000000047</f>
        <v>1681.0835440000003</v>
      </c>
      <c r="AB220" s="3">
        <f>1605+(217.2-208.3)+(0+(0-0))+0-28.2-0</f>
        <v>1585.7</v>
      </c>
      <c r="AC220" s="3">
        <f>1593.4+(103.5-212.9)+(-2.437902+(-0.158355--0.325737))+0-28--0.0428400000000016</f>
        <v>1453.77232</v>
      </c>
      <c r="AD220">
        <v>1818.1999999999998</v>
      </c>
      <c r="AE220" s="3">
        <f>1758+(405-308.4)+(0+(0-0))+0-28.8-0</f>
        <v>1825.8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1484.6+(77.6-229.3)+(-1.514292+(-0.079152--0.233886))+0-23.1--0.0235620000000037</f>
        <v>1308.4640039999999</v>
      </c>
      <c r="G221" s="3">
        <f>1472.4+(61.7-298.7)+(-0.750924+(-0.031467--0.152337))+0-23.9--0.0121889999999976</f>
        <v>1210.8821350000001</v>
      </c>
      <c r="H221" s="3">
        <f>1351.8+(70-224.5)+(2.068254+(0.1071-0.343485))+0-28-0.0428400000000016</f>
        <v>1171.089029</v>
      </c>
      <c r="I221" s="3">
        <f>1274.1+(96.5-196.1)+(-2.599164+(-0.19686--0.400044))+0-28--0.0571199999999988</f>
        <v>1144.1611399999999</v>
      </c>
      <c r="J221" s="3">
        <f>1236.6+(111.2-184.2)+(1.261332+(0.113424-0.187884))+0-28-0.0285600000000045</f>
        <v>1136.7583119999999</v>
      </c>
      <c r="K221" s="3">
        <f>1236.4+(121-168.2)+(-1.891692+(-0.18513--0.257346))+0-27.8--0.0425340000000016</f>
        <v>1159.6230580000001</v>
      </c>
      <c r="L221" s="3">
        <f>1234.5+(166-174.1)+(-1.25919+(-0.16932--0.177582))+0-28.2--0.0287640000000045</f>
        <v>1196.977836</v>
      </c>
      <c r="M221" s="3">
        <f>1309.6+(263.9-292.7)+(0.667896+(0.134589-0.149277))+0-28.6-0.0145859999999971</f>
        <v>1252.838622</v>
      </c>
      <c r="N221" s="3">
        <f>1489.6+(359.8-369.1)+(2.279088+(0.550494-0.564723))+0-30.1-0.0460530000000017</f>
        <v>1452.4188059999999</v>
      </c>
      <c r="O221" s="3">
        <f>1508.7+(477.5-370.6)+(0.769437+(0.243525-0.189006))+0-30.5-0.0155549999999969</f>
        <v>1585.9084009999999</v>
      </c>
      <c r="P221" s="3">
        <f>1523.5+(525.3-376.7)+(0.776985+(0.267903-0.192117))+0-30.5-0.0155549999999969</f>
        <v>1642.437216</v>
      </c>
      <c r="Q221" s="3">
        <f>1528.4+(537.5-372.6)+(-3.89742+(-1.370625--0.95013))+0-30.1--0.0767549999999956</f>
        <v>1658.9588400000002</v>
      </c>
      <c r="R221" s="3">
        <f>1526.2+(517-374.4)+(-3.113448+(-1.05468--0.763776))+0-28.7--0.0585479999999987</f>
        <v>1636.7541960000001</v>
      </c>
      <c r="S221" s="3">
        <f>1524.6+(460.8-375.7)+(-3.88773+(-1.17504--0.958035))+0-28--0.0713999999999959</f>
        <v>1577.666665</v>
      </c>
      <c r="T221" s="3">
        <f>1464.7+(484.6-392.1)+(-0.746997+(-0.247146--0.199971))+0-29.1--0.014840999999997</f>
        <v>1527.3206690000002</v>
      </c>
      <c r="U221" s="3">
        <f>1486+(474.3-395.9)+(-2.27358+(-0.725679--0.605727))+0-29.9--0.0457470000000017</f>
        <v>1532.1522149999998</v>
      </c>
      <c r="V221" s="3">
        <f>1430+(564.1-399.3)+(-0.7293+(-0.287691--0.203643))+0-29.7--0.015146999999997</f>
        <v>1564.3017990000001</v>
      </c>
      <c r="W221" s="3">
        <f>1425.4+(676-378.7)+(0+(0-0))+0-29.3-0</f>
        <v>1693.4</v>
      </c>
      <c r="X221" s="3">
        <f>1490.1+(524.1-163.2)+(-0.759951+(-0.267291--0.083232))+0-29.6--0.015095999999997</f>
        <v>1820.4710860000002</v>
      </c>
      <c r="Y221" s="3">
        <f>1430.6+(523.6-151.2)+(0.729606+(0.267036-0.077112))+0-29.7-0.015146999999997</f>
        <v>1774.2043829999998</v>
      </c>
      <c r="Z221" s="3">
        <f>1413.3+(468.2-146.3)+(-2.162349+(-0.716346--0.223839))+0-29--0.0443700000000017</f>
        <v>1703.5895139999998</v>
      </c>
      <c r="AA221" s="3">
        <f>1425.7+(374.9-144.8)+(-0.727107+(-0.191199--0.073848))+0-27.6--0.0140759999999972</f>
        <v>1627.3696179999999</v>
      </c>
      <c r="AB221" s="3">
        <f>1420.9+(373.6-229.3)+(-1.449318+(-0.381072--0.233886))+0-27.1--0.0276420000000043</f>
        <v>1536.5311380000001</v>
      </c>
      <c r="AC221" s="3">
        <f>1406.9+(234.3-192.1)+(-1.435038+(-0.238986--0.195942))+0-26.7--0.0272340000000043</f>
        <v>1420.9491519999999</v>
      </c>
      <c r="AD221">
        <v>1804</v>
      </c>
      <c r="AE221" s="3">
        <f>1520+(542-199.4)+(0+(0-0))+0-30-0</f>
        <v>1832.6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1273.9+(201.1-175.5)+(-1.299378+(-0.205122--0.17901))+0-26.9--0.0274380000000043</f>
        <v>1271.301948</v>
      </c>
      <c r="G222" s="3">
        <f>1118.5+(242.1-164.5)+(1.14087+(0.246942-0.16779))+0-27.4-0.0279480000000044</f>
        <v>1169.8920739999999</v>
      </c>
      <c r="H222" s="3">
        <f>1119.2+(197.7-161)+(0+(0-0))+0-28-0</f>
        <v>1127.9000000000001</v>
      </c>
      <c r="I222" s="3">
        <f>1117.8+(180.9-161.4)+(-1.140156+(-0.184518--0.164628))+0-27.2--0.0277440000000043</f>
        <v>1108.9676979999999</v>
      </c>
      <c r="J222" s="3">
        <f>1124+(162-159.1)+(3.43944+(0.49572-0.486846))+0-27.3-0.0835380000000032</f>
        <v>1102.964776</v>
      </c>
      <c r="K222" s="3">
        <f>1121.4+(167.9-154.9)+(0+(0-0))+0-27.5-0</f>
        <v>1106.9000000000001</v>
      </c>
      <c r="L222" s="3">
        <f>1121.6+(168.1-155.4)+(-0.572016+(-0.085731--0.079254))+0-28.1--0.0143309999999971</f>
        <v>1105.6358380000001</v>
      </c>
      <c r="M222" s="3">
        <f>1120.3+(263.3-269.8)+(-0.571353+(-0.134283--0.137598))+0-28.3--0.0144329999999971</f>
        <v>1084.9463950000002</v>
      </c>
      <c r="N222" s="3">
        <f>1122.6+(443.4-377.1)+(1.717578+(0.678402-0.576963))+0-29.6-0.0452880000000017</f>
        <v>1161.073729</v>
      </c>
      <c r="O222" s="3">
        <f>1266.1+(368.2-343.7)+(0.645711+(0.187782-0.175287))+0-29.8-0.015197999999997</f>
        <v>1261.443008</v>
      </c>
      <c r="P222" s="3">
        <f>1374.3+(394.3-394.4)+(0+(0-0))+0-29.6-0</f>
        <v>1344.6000000000001</v>
      </c>
      <c r="Q222" s="3">
        <f>1476.2+(342.9-406)+(-2.258586+(-0.524637--0.62118))+0-29.2--0.0446760000000017</f>
        <v>1381.7826329999998</v>
      </c>
      <c r="R222" s="3">
        <f>1390.8+(430.8-398)+(-1.418616+(-0.439416--0.40596))+0-28.3--0.0288660000000045</f>
        <v>1393.876794</v>
      </c>
      <c r="S222" s="3">
        <f>1368.9+(386.9-370.2)+(-2.792556+(-0.789276--0.755208))+0-27.7--0.0565079999999988</f>
        <v>1355.1298839999999</v>
      </c>
      <c r="T222" s="3">
        <f>1371.7+(304.2-309.2)+(-2.098701+(-0.465426--0.473076))+0-28.2--0.0431460000000016</f>
        <v>1336.4520949999999</v>
      </c>
      <c r="U222" s="3">
        <f>1368+(265.6-269.8)+(0+(0-0))+0-28.4-0</f>
        <v>1335.3999999999999</v>
      </c>
      <c r="V222" s="3">
        <f>1362.6+(335.5-300.2)+(0.694926+(0.171105-0.153102))+0-27.8-0.0141779999999972</f>
        <v>1370.798751</v>
      </c>
      <c r="W222" s="3">
        <f>1449.7+(440.5-333)+(0+(0-0))+0-28.5-0</f>
        <v>1528.7</v>
      </c>
      <c r="X222" s="3">
        <f>1517.4+(333.5-169.8)+(-3.86937+(-0.850425--0.43299))+0-29.7--0.0757349999999957</f>
        <v>1647.18893</v>
      </c>
      <c r="Y222" s="3">
        <f>1523.6+(363.7-208.9)+(-3.88518+(-0.927435--0.532695))+0-30.4--0.0775199999999956</f>
        <v>1643.7975999999999</v>
      </c>
      <c r="Z222" s="3">
        <f>1520.1+(342.8-201.7)+(-3.101004+(-0.699312--0.411468))+0-29.9--0.0609959999999987</f>
        <v>1627.9721479999996</v>
      </c>
      <c r="AA222" s="3">
        <f>1441.1+(352.2-203.9)+(0+(0-0))+0-28.5-0</f>
        <v>1560.8999999999999</v>
      </c>
      <c r="AB222" s="3">
        <f>1429+(266.5-182.6)+(-2.91516+(-0.54366--0.372504))+0-28.6--0.0583439999999988</f>
        <v>1481.2720280000003</v>
      </c>
      <c r="AC222" s="3">
        <f>1361.4+(240.6-214.8)+(-3.47157+(-0.61353--0.54774))+0-28.7--0.0731849999999958</f>
        <v>1355.0358249999999</v>
      </c>
      <c r="AD222">
        <v>1637.8000000000002</v>
      </c>
      <c r="AE222" s="3">
        <f>1512.3+(346.2-165.6)+(0+(0-0))+0-29.1-0</f>
        <v>1663.8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1314+(264.8-339.1)+(-2.68056+(-0.540192--0.691764))+0-28--0.0571199999999988</f>
        <v>1209.228132</v>
      </c>
      <c r="G223" s="3">
        <f>1179.3+(262.9-289.9)+(-0.601443+(-0.134079--0.147849))+0-28--0.0142799999999972</f>
        <v>1123.7266070000001</v>
      </c>
      <c r="H223" s="3">
        <f>1115.9+(243.9-255.8)+(0.569109+(0.124389-0.130458))+0-27.8-0.0141779999999972</f>
        <v>1076.7488620000001</v>
      </c>
      <c r="I223" s="3">
        <f>1116.7+(246.6-275.5)+(-1.708551+(-0.377298--0.421515))+0-27.4--0.0419220000000016</f>
        <v>1058.7775879999999</v>
      </c>
      <c r="J223" s="3">
        <f>1119.8+(252.9-289.2)+(-0.571098+(-0.128979--0.147492))+0-28.2--0.0143819999999971</f>
        <v>1054.7617970000001</v>
      </c>
      <c r="K223" s="3">
        <f>1120+(248.9-252.2)+(0+(0-0))+0-28.4-0</f>
        <v>1088.3</v>
      </c>
      <c r="L223" s="3">
        <f>1139.6+(245.8-203.5)+(0+(0-0))+0-28.2-0</f>
        <v>1153.6999999999998</v>
      </c>
      <c r="M223" s="3">
        <f>1311.8+(155.9-164.7)+(2.007054+(0.238527-0.251991))+0-28.8-0.0440640000000017</f>
        <v>1276.1495260000002</v>
      </c>
      <c r="N223" s="3">
        <f>1417.7+(195.5-134.5)+(1.446054+(0.19941-0.13719))+0-29.6-0.0301920000000047</f>
        <v>1450.5780820000002</v>
      </c>
      <c r="O223" s="3">
        <f>1494+(280.8-179.3)+(0.76194+(0.143208-0.091443))+0-30.3-0.0154529999999969</f>
        <v>1565.9982520000001</v>
      </c>
      <c r="P223" s="3">
        <f>1399.9+(413.9-153.6)+(1.427898+(0.422178-0.156672))+0-30.6-0.0312120000000049</f>
        <v>1631.2621920000001</v>
      </c>
      <c r="Q223" s="3">
        <f>1351.5+(474-134.8)+(0.689265+(0.24174-0.068748))+0-30.2-0.0154019999999969</f>
        <v>1661.346855</v>
      </c>
      <c r="R223" s="3">
        <f>1392.1+(424.1-131.6)+(-2.129913+(-0.648873--0.201348))+0-28.5--0.0436050000000016</f>
        <v>1653.566167</v>
      </c>
      <c r="S223" s="3">
        <f>1506.9+(285.5-133.1)+(-0.768519+(-0.145605--0.067881))+0-27.6--0.0140759999999972</f>
        <v>1630.8678330000002</v>
      </c>
      <c r="T223" s="3">
        <f>1507.8+(262.7-140.7)+(0+(0-0))+0-29.3-0</f>
        <v>1600.5</v>
      </c>
      <c r="U223" s="3">
        <f>1505.5+(283.9-151.3)+(-2.303415+(-0.434367--0.231489))+0-30.8--0.0471240000000018</f>
        <v>1604.840831</v>
      </c>
      <c r="V223" s="3">
        <f>1509.4+(355.1-182.8)+(2.309382+(0.543303-0.279684))+0-30.7-0.0469710000000018</f>
        <v>1653.52603</v>
      </c>
      <c r="W223" s="3">
        <f>1516.9+(486.3-185.6)+(1.547238+(0.496026-0.189312))+0-29.6-0.0301920000000047</f>
        <v>1789.8237600000002</v>
      </c>
      <c r="X223" s="3">
        <f>1513.7+(504.4-124.5)+(-2.315961+(-0.771732--0.190485))+0-29.7--0.0454410000000017</f>
        <v>1861.0482329999998</v>
      </c>
      <c r="Y223" s="3">
        <f>1516.7+(446.4-128.7)+(-0.773517+(-0.227664--0.065637))+0-30.2--0.0154019999999969</f>
        <v>1803.2798580000001</v>
      </c>
      <c r="Z223" s="3">
        <f>1479.7+(436.9-133)+(-1.509294+(-0.445638--0.13566))+0-30.5--0.0311100000000049</f>
        <v>1751.3118379999999</v>
      </c>
      <c r="AA223" s="3">
        <f>1465.1+(385-137.5)+(-2.241603+(-0.58905--0.210375))+0-30.6--0.0468180000000018</f>
        <v>1679.4265399999999</v>
      </c>
      <c r="AB223" s="3">
        <f>1458.2+(296.9-138.6)+(-2.974728+(-0.605676--0.282744))+0-30.2--0.0616079999999987</f>
        <v>1583.063948</v>
      </c>
      <c r="AC223" s="3">
        <f>1408.5+(215.3-143.5)+(-2.155005+(-0.329409--0.219555))+0-29.4--0.0449820000000017</f>
        <v>1448.6801229999999</v>
      </c>
      <c r="AD223">
        <v>1867.1000000000001</v>
      </c>
      <c r="AE223" s="3">
        <f>1515+(531-132.9)+(0+(0-0))+0-29.6-0</f>
        <v>1883.5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1302.7+(209.7-173.3)+(-0.664377+(-0.106947--0.088383))+0-29.2--0.014891999999997</f>
        <v>1309.2319509999998</v>
      </c>
      <c r="G224" s="3">
        <f>1236.3+(216.1-213.6)+(-1.891539+(-0.330633--0.326808))+0-29.6--0.0452880000000017</f>
        <v>1207.3499240000001</v>
      </c>
      <c r="H224" s="3">
        <f>1205+(226-236)+(1.2291+(0.23052-0.24072))+0-28.1-0.0286620000000045</f>
        <v>1168.0902380000002</v>
      </c>
      <c r="I224" s="3">
        <f>1203.7+(224.5-253.8)+(1.227774+(0.22899-0.258876))+0-27.9-0.0284580000000044</f>
        <v>1147.6694299999999</v>
      </c>
      <c r="J224" s="3">
        <f>1260.3+(222.1-304.3)+(0.642753+(0.113271-0.155193))+0-28.2-0.0143819999999971</f>
        <v>1150.4864489999998</v>
      </c>
      <c r="K224" s="3">
        <f>1259.2+(227.2-292.7)+(0+(0-0))+0-28.4-0</f>
        <v>1165.3</v>
      </c>
      <c r="L224" s="3">
        <f>1261.3+(224.6-260.8)+(0+(0-0))+0-28.5-0</f>
        <v>1196.5999999999999</v>
      </c>
      <c r="M224" s="3">
        <f>1352.4+(169.6-209.6)+(2.758896+(0.345984-0.427584))+0-29.9-0.0609959999999987</f>
        <v>1285.1163000000001</v>
      </c>
      <c r="N224" s="3">
        <f>1463.6+(145.7-143.1)+(0.746436+(0.074307-0.072981))+0-30.3-0.0154529999999969</f>
        <v>1436.6323089999999</v>
      </c>
      <c r="O224" s="3">
        <f>1471.1+(261.7-153.7)+(-0.750261+(-0.133467--0.078387))+0-30--0.015299999999997</f>
        <v>1548.3099589999999</v>
      </c>
      <c r="P224" s="3">
        <f>1484.6+(324.2-158.4)+(1.514292+(0.330684-0.161568))+0-31.1-0.031722000000005</f>
        <v>1620.9516860000001</v>
      </c>
      <c r="Q224" s="3">
        <f>1482.1+(353.5-147.5)+(0+(0-0))+0-30.6-0</f>
        <v>1657.5</v>
      </c>
      <c r="R224" s="3">
        <f>1482.4+(327.3-156.9)+(-3.78012+(-0.834615--0.400095))+0-29.2--0.0744599999999958</f>
        <v>1619.4598200000003</v>
      </c>
      <c r="S224" s="3">
        <f>1485.8+(265.3-152.9)+(0+(0-0))+0-28.6-0</f>
        <v>1569.6000000000001</v>
      </c>
      <c r="T224" s="3">
        <f>1486.1+(242.6-162.2)+(0.757911+(0.123726-0.082722))+0-28.6-0.0145859999999971</f>
        <v>1538.6843290000002</v>
      </c>
      <c r="U224" s="3">
        <f>1485.1+(260.1-166.3)+(-1.514802+(-0.265302--0.169626))+0-30.7--0.0313140000000049</f>
        <v>1546.6208359999998</v>
      </c>
      <c r="V224" s="3">
        <f>1491.4+(278.6-174.3)+(2.281842+(0.426258-0.266679))+0-30.8-0.0471240000000018</f>
        <v>1567.2942970000001</v>
      </c>
      <c r="W224" s="3">
        <f>1519.2+(413.4-181.4)+(1.549584+(0.421668-0.185028))+0-29.9-0.0304980000000048</f>
        <v>1723.0557259999998</v>
      </c>
      <c r="X224" s="3">
        <f>1596+(450-172.1)+(-2.44188+(-0.6885--0.263313))+0-30.8--0.0471240000000018</f>
        <v>1840.2800570000002</v>
      </c>
      <c r="Y224" s="3">
        <f>1655.8+(327.8-162.4)+(-3.377832+(-0.668712--0.331296))+0-30.4--0.0620159999999987</f>
        <v>1787.1467680000001</v>
      </c>
      <c r="Z224" s="3">
        <f>1654+(262-144.5)+(-2.53062+(-0.40086--0.221085))+0-31.2--0.0477360000000018</f>
        <v>1737.6373409999999</v>
      </c>
      <c r="AA224" s="3">
        <f>1656.7+(180.7-142.4)+(-3.379668+(-0.368628--0.290496))+0-31--0.0632399999999986</f>
        <v>1660.60544</v>
      </c>
      <c r="AB224" s="3">
        <f>1626.5+(130.1-145.1)+(-4.147575+(-0.331755--0.370005))+0-31.1--0.0793049999999955</f>
        <v>1576.3699800000002</v>
      </c>
      <c r="AC224" s="3">
        <f>1425.1+(186.3-135.9)+(-2.180403+(-0.285039--0.207927))+0-30.7--0.0469710000000018</f>
        <v>1442.5894559999999</v>
      </c>
      <c r="AD224">
        <v>1947.8000000000002</v>
      </c>
      <c r="AE224" s="3">
        <f>1670+(483.2-159)+(0+(0-0))+0-30.8-0</f>
        <v>1963.4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1311.5+(182.2-164)+(-4.01319+(-0.557532--0.50184))+0-29.4--0.0899640000000034</f>
        <v>1296.3210819999999</v>
      </c>
      <c r="G225" s="3">
        <f>1253.8+(199.2-224.5)+(-1.918314+(-0.304776--0.343485))+0-30--0.0459000000000017</f>
        <v>1196.666295</v>
      </c>
      <c r="H225" s="3">
        <f>1251.9+(220.2-288.1)+(-1.915407+(-0.336906--0.440793))+0-28.7--0.0439110000000017</f>
        <v>1153.532391</v>
      </c>
      <c r="I225" s="3">
        <f>1209.3+(227.1-267.8)+(-1.233486+(-0.231642--0.273156))+0-28.7--0.0292740000000046</f>
        <v>1138.7373019999998</v>
      </c>
      <c r="J225" s="3">
        <f>1160.9+(238.1-237.4)+(2.960295+(0.607155-0.60537))+0-28.6-0.0729299999999959</f>
        <v>1135.8891500000002</v>
      </c>
      <c r="K225" s="3">
        <f>1165.5+(240.2-229.2)+(0.594405+(0.122502-0.116892))+0-28.8-0.0146879999999971</f>
        <v>1148.2853270000001</v>
      </c>
      <c r="L225" s="3">
        <f>1163.4+(233.7-168.6)+(-0.593334+(-0.119187--0.085986))+0-28.8--0.0146879999999971</f>
        <v>1199.0881529999999</v>
      </c>
      <c r="M225" s="3">
        <f>1315.8+(139.2-156.6)+(1.342116+(0.141984-0.159732))+0-29.8-0.0303960000000048</f>
        <v>1269.8939719999998</v>
      </c>
      <c r="N225" s="3">
        <f>1468.3+(130.6-144)+(0.748833+(0.066606-0.07344))+0-30.3-0.0154529999999969</f>
        <v>1425.326546</v>
      </c>
      <c r="O225" s="3">
        <f>1480.1+(281.5-182.1)+(2.264553+(0.430695-0.278613))+0-31.8-0.0486540000000018</f>
        <v>1550.0679810000001</v>
      </c>
      <c r="P225" s="3">
        <f>1478.1+(326.1-190)+(2.261493+(0.498933-0.2907))+0-26.3-0.0402390000000015</f>
        <v>1590.329487</v>
      </c>
      <c r="Q225" s="3">
        <f>1587.7+(248.2-176.5)+(-4.048635+(-0.63291--0.450075))+0-31--0.0790499999999955</f>
        <v>1624.2475800000002</v>
      </c>
      <c r="R225" s="3">
        <f>1503.5+(283.3-176.5)+(-3.06714+(-0.577932--0.36006))+0-29.8--0.0607919999999987</f>
        <v>1577.2757799999999</v>
      </c>
      <c r="S225" s="3">
        <f>1672.6+(124.9-190.1)+(-3.412104+(-0.254796--0.387804))+0-28.8--0.0587519999999987</f>
        <v>1575.3796559999998</v>
      </c>
      <c r="T225" s="3">
        <f>1726+(85.9-231.2)+(0.88026+(0.043809-0.117912))+0-28.9-0.0147389999999971</f>
        <v>1552.591418</v>
      </c>
      <c r="U225" s="3">
        <f>1713.7+(118.7-232)+(-5.243922+(-0.363222--0.70992))+0-28.9--0.0884340000000033</f>
        <v>1566.69121</v>
      </c>
      <c r="V225" s="3">
        <f>1728.6+(111.7-213.9)+(2.644758+(0.170901-0.327267))+0-28.6-0.0437580000000017</f>
        <v>1600.2446339999999</v>
      </c>
      <c r="W225" s="3">
        <f>1735.7+(239.5-219.4)+(3.540828+(0.48858-0.447576))+0-28.5-0.0581399999999988</f>
        <v>1730.8236919999999</v>
      </c>
      <c r="X225" s="3">
        <f>1725.9+(323.1-174.5)+(-4.401045+(-0.823905--0.444975))+0-30--0.0764999999999956</f>
        <v>1839.796525</v>
      </c>
      <c r="Y225" s="3">
        <f>1621.5+(374.2-174.6)+(-4.134825+(-0.95421--0.44523))+0-30.5--0.0777749999999956</f>
        <v>1786.03397</v>
      </c>
      <c r="Z225" s="3">
        <f>1428.6+(467.7-160.6)+(-2.914344+(-0.954108--0.327624))+0-31.1--0.0634439999999986</f>
        <v>1701.1226159999999</v>
      </c>
      <c r="AA225" s="3">
        <f>1427.8+(424.9-163.5)+(-3.64089+(-1.083495--0.416925))+0-30.3--0.0772649999999956</f>
        <v>1654.6698049999998</v>
      </c>
      <c r="AB225" s="3">
        <f>1428.8+(325.9-169.7)+(1.457376+(0.332418-0.173094))+0-27.9-0.0284580000000044</f>
        <v>1558.6882419999999</v>
      </c>
      <c r="AC225" s="3">
        <f>1397.6+(237.4-179.2)+(-2.851104+(-0.484296--0.365568))+0-28.4--0.0579359999999988</f>
        <v>1424.4881039999998</v>
      </c>
      <c r="AD225">
        <v>1816.7</v>
      </c>
      <c r="AE225" s="3">
        <f>1724+(344.6-205.7)+(0+(0-0))+0-28.8-0</f>
        <v>1834.1000000000001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1186.9+(295-167.3)+(-2.421276+(-0.6018--0.341292))+0-28.5--0.0581399999999988</f>
        <v>1283.4763560000001</v>
      </c>
      <c r="G226" s="3">
        <f>1130.3+(258.8-164.2)+(-2.305812+(-0.527952--0.334968))+0-28.3--0.0577319999999988</f>
        <v>1194.158936</v>
      </c>
      <c r="H226" s="3">
        <f>1047.8+(292.9-173.7)+(0+(0-0))+0-28.5-0</f>
        <v>1138.5</v>
      </c>
      <c r="I226" s="3">
        <f>1018.3+(305.6-195.3)+(-2.077332+(-0.623424--0.398412))+0-28.6--0.0583439999999988</f>
        <v>1097.7560000000001</v>
      </c>
      <c r="J226" s="3">
        <f>980.3+(324.2-191.4)+(1.499859+(0.496026-0.292842))+0-28.6-0.0437580000000017</f>
        <v>1086.159285</v>
      </c>
      <c r="K226" s="3">
        <f>1047+(288.5-206.2)+(0.53397+(0.147135-0.105162))+0-28.6-0.0145859999999971</f>
        <v>1101.2613570000001</v>
      </c>
      <c r="L226" s="3">
        <f>1054.7+(304.9-190.9)+(-1.075794+(-0.310998--0.194718))+0-28.2--0.0287640000000045</f>
        <v>1139.3366899999999</v>
      </c>
      <c r="M226" s="3">
        <f>1150.7+(257.9-165)+(1.173714+(0.263058-0.1683))+0-29.5-0.0300900000000047</f>
        <v>1215.3383819999999</v>
      </c>
      <c r="N226" s="3">
        <f>1307.9+(281.3-168.5)+(1.334058+(0.286926-0.17187))+0-30.4-0.0310080000000048</f>
        <v>1391.718106</v>
      </c>
      <c r="O226" s="3">
        <f>1557.1+(213.2-228.2)+(2.382363+(0.326196-0.349146))+0-31.4-0.0480420000000018</f>
        <v>1513.0113709999998</v>
      </c>
      <c r="P226" s="3">
        <f>1633.5+(230.3-238.7)+(-4.165425+(-0.587265--0.608685))+0-30.2--0.0770099999999956</f>
        <v>1590.8330049999997</v>
      </c>
      <c r="Q226" s="3">
        <f>1628.6+(215.8-242.2)+(-2.491758+(-0.330174--0.370566))+0-31.1--0.0475830000000018</f>
        <v>1568.6962169999999</v>
      </c>
      <c r="R226" s="3">
        <f>1634.8+(209.6-240)+(-3.334992+(-0.427584--0.4896))+0-29.8--0.0607919999999987</f>
        <v>1571.3878159999999</v>
      </c>
      <c r="S226" s="3">
        <f>1682+(180.4-251.2)+(1.71564+(0.184008-0.256224))+0-30.3-0.0309060000000048</f>
        <v>1582.5125180000002</v>
      </c>
      <c r="T226" s="3">
        <f>1640.9+(139-249.7)+(-2.510577+(-0.21267--0.382041))+0-30.3--0.0463590000000018</f>
        <v>1497.605153</v>
      </c>
      <c r="U226" s="3">
        <f>1656.1+(141.7-262.1)+(-2.533833+(-0.216801--0.401013))+0-30.8--0.0471240000000018</f>
        <v>1502.5975029999997</v>
      </c>
      <c r="V226" s="3">
        <f>1499.2+(264.8-213.3)+(0.764592+(0.135048-0.108783))+0-29.5-0.015044999999997</f>
        <v>1521.9758119999999</v>
      </c>
      <c r="W226" s="3">
        <f>1647.6+(308-243.8)+(0.840276+(0.15708-0.124338))+0-27.6-0.0140759999999972</f>
        <v>1685.0589420000001</v>
      </c>
      <c r="X226" s="3">
        <f>1745.4+(382.7-261.8)+(-2.670462+(-0.585531--0.400554))+0-29.9--0.0457470000000017</f>
        <v>1833.5903080000001</v>
      </c>
      <c r="Y226" s="3">
        <f>1742.3+(352.7-272.7)+(-4.442865+(-0.899385--0.695385))+0-29.2--0.0744599999999958</f>
        <v>1788.527595</v>
      </c>
      <c r="Z226" s="3">
        <f>1750.5+(296.5-285)+(-0.892755+(-0.151215--0.14535))+0-28.3--0.0144329999999971</f>
        <v>1732.8158130000002</v>
      </c>
      <c r="AA226" s="3">
        <f>1747.8+(235.1-292.3)+(-2.674134+(-0.359703--0.447219))+0-28.4--0.0434520000000016</f>
        <v>1659.6568339999997</v>
      </c>
      <c r="AB226" s="3">
        <f>1570.8+(256.3-216.8)+(-2.403324+(-0.392139--0.331704))+0-28.2--0.0431460000000016</f>
        <v>1579.6793869999999</v>
      </c>
      <c r="AC226" s="3">
        <f>1372.9+(278.5-175.7)+(-3.500895+(-0.710175--0.448035))+0-28.6--0.0729299999999959</f>
        <v>1443.4098950000002</v>
      </c>
      <c r="AD226">
        <v>1797.7</v>
      </c>
      <c r="AE226" s="3">
        <f>1747+(383.9-268.5)+(0+(0-0))+0-30.1-0</f>
        <v>1832.3000000000002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1206.4+(277.5-180.8)+(-1.230528+(-0.28305--0.184416))+0-28.8--0.0293760000000046</f>
        <v>1273.0002140000001</v>
      </c>
      <c r="G227" s="3">
        <f>1114.1+(280-179.2)+(-0.568191+(-0.1428--0.091392))+0-28.5--0.0145349999999971</f>
        <v>1185.7949359999998</v>
      </c>
      <c r="H227" s="3">
        <f>1030.7+(313.1-167.8)+(-0.525657+(-0.159681--0.085578))+0-28.4--0.0144839999999971</f>
        <v>1147.0147239999999</v>
      </c>
      <c r="I227" s="3">
        <f>1031+(303-169.2)+(-0.52581+(-0.15453--0.086292))+0-28.4--0.0144839999999971</f>
        <v>1135.820436</v>
      </c>
      <c r="J227" s="3">
        <f>1030+(300.4-169.7)+(-0.5253+(-0.153204--0.086547))+0-28.5--0.0145349999999971</f>
        <v>1131.622578</v>
      </c>
      <c r="K227" s="3">
        <f>1030.6+(306.1-166.4)+(1.051212+(0.312222-0.169728))+0-28.6-0.0291720000000046</f>
        <v>1142.864534</v>
      </c>
      <c r="L227" s="3">
        <f>1028.5+(334.4-153.5)+(0.524535+(0.170544-0.078285))+0-28.4-0.0144839999999971</f>
        <v>1181.60231</v>
      </c>
      <c r="M227" s="3">
        <f>1099.1+(313.8-140.6)+(1.681623+(0.480114-0.215118))+0-29.4-0.0449820000000017</f>
        <v>1244.801637</v>
      </c>
      <c r="N227" s="3">
        <f>1173.4+(414.2-131.8)+(0+(0-0))+0-30.2-0</f>
        <v>1425.6000000000001</v>
      </c>
      <c r="O227" s="3">
        <f>1327.4+(442.7-194.6)+(0+(0-0))+0-33.9-0</f>
        <v>1541.6</v>
      </c>
      <c r="P227" s="3">
        <f>1362.3+(513.6-218.6)+(0+(0-0))+0-32.1-0</f>
        <v>1625.2</v>
      </c>
      <c r="Q227" s="3">
        <f>1457.9+(425.9-212.2)+(0+(0-0))+0-31.4-0</f>
        <v>1640.2</v>
      </c>
      <c r="R227" s="3">
        <f>1489.8+(375-196.4)+(-1.519596+(-0.3825--0.200328))+0-29.6--0.0301920000000047</f>
        <v>1637.128424</v>
      </c>
      <c r="S227" s="3">
        <f>1453.5+(352.8-180.5)+(-0.741285+(-0.179928--0.092055))+0-29.1--0.014840999999997</f>
        <v>1595.885683</v>
      </c>
      <c r="T227" s="3">
        <f>1464.2+(292.8-193.5)+(-0.746742+(-0.149328--0.098685))+0-30.8--0.0157079999999969</f>
        <v>1531.9183229999999</v>
      </c>
      <c r="U227" s="3">
        <f>1502.3+(272.3-204.9)+(-2.298519+(-0.416619--0.313497))+0-30.1--0.0460530000000017</f>
        <v>1537.2444120000002</v>
      </c>
      <c r="V227" s="3">
        <f>1531.7+(272.4-224.7)+(-0.781167+(-0.138924--0.114597))+0-30.9--0.0157589999999969</f>
        <v>1547.7102649999999</v>
      </c>
      <c r="W227" s="3">
        <f>1562.9+(370.7-212.7)+(0+(0-0))+0-30.6-0</f>
        <v>1690.3000000000002</v>
      </c>
      <c r="X227" s="3">
        <f>1589.2+(438.9-172.5)+(-3.241968+(-0.895356--0.3519))+0-30.4--0.0620159999999987</f>
        <v>1821.476592</v>
      </c>
      <c r="Y227" s="3">
        <f>1632.2+(364.2-188.8)+(-1.664844+(-0.371484--0.192576))+0-31--0.0316200000000049</f>
        <v>1774.7878679999999</v>
      </c>
      <c r="Z227" s="3">
        <f>1634.5+(310.1-194.1)+(0+(0-0))+0-30.5-0</f>
        <v>1720</v>
      </c>
      <c r="AA227" s="3">
        <f>1633.7+(246.1-201.4)+(-2.499561+(-0.376533--0.308142))+0-30.1--0.0460530000000017</f>
        <v>1645.7781010000001</v>
      </c>
      <c r="AB227" s="3">
        <f>1511.8+(262-178.1)+(-2.313054+(-0.40086--0.272493))+0-28.8--0.0440640000000017</f>
        <v>1564.502643</v>
      </c>
      <c r="AC227" s="3">
        <f>1373.2+(264-165.7)+(-2.100996+(-0.40392--0.253521))+0-28.9--0.0442170000000017</f>
        <v>1440.3928219999998</v>
      </c>
      <c r="AD227">
        <v>1789.5</v>
      </c>
      <c r="AE227" s="3">
        <f>1499+(531.5-201.4)+(0+(0-0))+0-29.8-0</f>
        <v>1799.3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1298+(207.8-174.3)+(0+(0-0))+0-28.8-0</f>
        <v>1302.7</v>
      </c>
      <c r="G228" s="3">
        <f>1170.9+(226.7-177.5)+(-1.194318+(-0.231234--0.18105))+0-28.9--0.0294780000000046</f>
        <v>1189.984976</v>
      </c>
      <c r="H228" s="3">
        <f>1168.7+(223.2-197.5)+(-2.980185+(-0.56916--0.503625))+0-28.6--0.0729299999999959</f>
        <v>1162.8272100000002</v>
      </c>
      <c r="I228" s="3">
        <f>1167.7+(219-224.2)+(0+(0-0))+0-28.6-0</f>
        <v>1133.9000000000001</v>
      </c>
      <c r="J228" s="3">
        <f>1168.2+(217.9-230.4)+(0+(0-0))+0-28.7-0</f>
        <v>1127</v>
      </c>
      <c r="K228" s="3">
        <f>1167.6+(215.3-213.8)+(0.595476+(0.109803-0.109038))+0-28.6-0.0145859999999971</f>
        <v>1141.081655</v>
      </c>
      <c r="L228" s="3">
        <f>1166.9+(217.1-191.6)+(-1.785357+(-0.332163--0.293148))+0-28.7--0.0439110000000017</f>
        <v>1161.919539</v>
      </c>
      <c r="M228" s="3">
        <f>1261.5+(159.9-183.7)+(-0.643365+(-0.081549--0.093687))+0-29.5--0.015044999999997</f>
        <v>1207.5838180000001</v>
      </c>
      <c r="N228" s="3">
        <f>1466.2+(159.4-191)+(0.747762+(0.081294-0.09741))+0-30.5-0.0155549999999969</f>
        <v>1404.8160910000001</v>
      </c>
      <c r="O228" s="3">
        <f>1463.3+(306.6-203)+(0.746283+(0.156366-0.10353))+0-30.5-0.0155549999999969</f>
        <v>1537.1835640000002</v>
      </c>
      <c r="P228" s="3">
        <f>1453.3+(395.5-225)+(0.741183+(0.201705-0.11475))+0-31-0.0158099999999969</f>
        <v>1593.6123279999999</v>
      </c>
      <c r="Q228" s="3">
        <f>1454.6+(417.2-214.3)+(0+(0-0))+0-30.4-0</f>
        <v>1627.1</v>
      </c>
      <c r="R228" s="3">
        <f>1447.2+(408.2-224.3)+(-0.738072+(-0.208182--0.114393))+0-29.1--0.014840999999997</f>
        <v>1601.18298</v>
      </c>
      <c r="S228" s="3">
        <f>1481.8+(313.7-221.3)+(-2.267154+(-0.479961--0.338589))+0-28.9--0.0442170000000017</f>
        <v>1542.9356909999997</v>
      </c>
      <c r="T228" s="3">
        <f>1479.7+(287-231.8)+(1.509294+(0.29274-0.236436))+0-29.6-0.0301920000000047</f>
        <v>1506.8354060000001</v>
      </c>
      <c r="U228" s="3">
        <f>1442.4+(332.1-252.9)+(-1.471248+(-0.338742--0.257958))+0-30.1--0.0307020000000048</f>
        <v>1489.9786700000002</v>
      </c>
      <c r="V228" s="3">
        <f>1406.4+(405.8-266.9)+(0+(0-0))+0-30.4-0</f>
        <v>1514.9</v>
      </c>
      <c r="W228" s="3">
        <f>1505.3+(457.8-244.3)+(1.535406+(0.466956-0.249186))+0-29.9-0.0304980000000048</f>
        <v>1690.6226779999997</v>
      </c>
      <c r="X228" s="3">
        <f>1506.3+(488.2-166.2)+(0+(0-0))+0-28.3-0</f>
        <v>1800</v>
      </c>
      <c r="Y228" s="3">
        <f>1509.7+(431.2-157.2)+(-4.619682+(-1.319472--0.481032))+0-28.4--0.0869040000000033</f>
        <v>1749.928782</v>
      </c>
      <c r="Z228" s="3">
        <f>1512.8+(367.6-162.1)+(-1.543056+(-0.374952--0.165342))+0-28.6--0.0291720000000046</f>
        <v>1687.976506</v>
      </c>
      <c r="AA228" s="3">
        <f>1512+(313.2-164.7)+(-2.31336+(-0.479196--0.251991))+0-28.3--0.0432990000000016</f>
        <v>1629.702734</v>
      </c>
      <c r="AB228" s="3">
        <f>1497+(243.4-162.6)+(-2.29041+(-0.372402--0.248778))+0-28.4--0.0434520000000016</f>
        <v>1547.0294179999999</v>
      </c>
      <c r="AC228" s="3">
        <f>1486+(172.7-192.3)+(-3.7893+(-0.440385--0.490365))+0-28.8--0.0734399999999958</f>
        <v>1433.9341200000001</v>
      </c>
      <c r="AD228">
        <v>1792.4</v>
      </c>
      <c r="AE228" s="3">
        <f>1498+(507.3-167.8)+(0+(0-0))+0-28.5-0</f>
        <v>1809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1378+(173-222.2)+(0+(0-0))+0-29-0</f>
        <v>1299.8</v>
      </c>
      <c r="G229" s="3">
        <f>1356.2+(182.8-309.9)+(-0.691662+(-0.093228--0.158049))+0-28.9--0.0147389999999971</f>
        <v>1199.587898</v>
      </c>
      <c r="H229" s="3">
        <f>1321.4+(191.2-332.7)+(0+(0-0))+0-28.9-0</f>
        <v>1151</v>
      </c>
      <c r="I229" s="3">
        <f>1214.7+(207.4-264.2)+(0+(0-0))+0-28.9-0</f>
        <v>1129</v>
      </c>
      <c r="J229" s="3">
        <f>1214.8+(204.9-275.2)+(0.619548+(0.104499-0.140352))+0-28.5-0.0145349999999971</f>
        <v>1116.56916</v>
      </c>
      <c r="K229" s="3">
        <f>1215.4+(206.1-262.9)+(-1.239708+(-0.210222--0.268158))+0-28.6--0.0291720000000046</f>
        <v>1128.8474000000003</v>
      </c>
      <c r="L229" s="3">
        <f>1214.8+(196.5-245.6)+(-1.858644+(-0.300645--0.375768))+0-28.8--0.0440640000000017</f>
        <v>1135.160543</v>
      </c>
      <c r="M229" s="3">
        <f>1240.8+(126.8-201.2)+(-0.632808+(-0.064668--0.102612))+0-29.6--0.015095999999997</f>
        <v>1136.2202320000001</v>
      </c>
      <c r="N229" s="3">
        <f>1316.9+(136.7-183.4)+(0.671619+(0.069717-0.093534))+0-30.6-0.0156059999999969</f>
        <v>1240.2321960000002</v>
      </c>
      <c r="O229" s="3">
        <f>1414.4+(199-239.6)+(0+(0-0))+0-30.1-0</f>
        <v>1343.7000000000003</v>
      </c>
      <c r="P229" s="3">
        <f>1463.2+(286.5-287.6)+(-1.492464+(-0.29223--0.293352))+0-30.3--0.0309060000000048</f>
        <v>1430.3395639999999</v>
      </c>
      <c r="Q229" s="3">
        <f>1461.6+(349.3-300.9)+(-2.236248+(-0.534429--0.460377))+0-30.2--0.0462060000000017</f>
        <v>1477.5359059999998</v>
      </c>
      <c r="R229" s="3">
        <f>1450.6+(338.1-300.5)+(-2.219418+(-0.517293--0.459765))+0-28.9--0.0442170000000017</f>
        <v>1457.0672709999997</v>
      </c>
      <c r="S229" s="3">
        <f>1403.9+(299.1-266.3)+(-2.147967+(-0.457623--0.407439))+0-28.5--0.0436050000000016</f>
        <v>1406.0454540000001</v>
      </c>
      <c r="T229" s="3">
        <f>1406.9+(274.2-270.8)+(-1.435038+(-0.279684--0.276216))+0-30.1--0.0307020000000048</f>
        <v>1378.7921960000003</v>
      </c>
      <c r="U229" s="3">
        <f>1405.4+(245.5-251.5)+(-0.716754+(-0.125205--0.128265))+0-30.2--0.0154019999999969</f>
        <v>1368.501708</v>
      </c>
      <c r="V229" s="3">
        <f>1410.7+(273.5-242.1)+(2.158371+(0.418455-0.370413))+0-29.8-0.0455940000000017</f>
        <v>1414.4608190000004</v>
      </c>
      <c r="W229" s="3">
        <f>1479.6+(360-237)+(2.263788+(0.5508-0.36261))+0-30.3-0.0463590000000018</f>
        <v>1574.7056190000001</v>
      </c>
      <c r="X229" s="3">
        <f>1507.9+(369.3-164.8)+(0.769029+(0.188343-0.084048))+0-30.1-0.0153509999999969</f>
        <v>1683.1579730000001</v>
      </c>
      <c r="Y229" s="3">
        <f>1506.3+(350.1-164.2)+(0+(0-0))+0-30.1-0</f>
        <v>1662.1000000000001</v>
      </c>
      <c r="Z229" s="3">
        <f>1507.3+(309.8-165.8)+(1.537446+(0.315996-0.169116))+0-30.2-0.0308040000000048</f>
        <v>1622.753522</v>
      </c>
      <c r="AA229" s="3">
        <f>1506.3+(282.6-167.3)+(0+(0-0))+0-29.9-0</f>
        <v>1591.6999999999998</v>
      </c>
      <c r="AB229" s="3">
        <f>1498+(232.6-183.5)+(-1.52796+(-0.237252--0.18717))+0-28.5--0.0290700000000045</f>
        <v>1517.0510279999999</v>
      </c>
      <c r="AC229" s="3">
        <f>1497+(147.3-215.8)+(-2.29041+(-0.225369--0.330174))+0-28.5--0.0436050000000016</f>
        <v>1397.8580000000002</v>
      </c>
      <c r="AD229">
        <v>1675.5</v>
      </c>
      <c r="AE229" s="3">
        <f>1506+(375.1-166.1)+(0+(0-0))+0-28.7-0</f>
        <v>1686.3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1426.8+(125.9-268.5)+(0+(0-0))+0-28.3-0</f>
        <v>1255.9000000000001</v>
      </c>
      <c r="G230" s="3">
        <f>1351.4+(186.9-336.8)+(1.378428+(0.190638-0.343536))+0-28.6-0.0291720000000046</f>
        <v>1174.096358</v>
      </c>
      <c r="H230" s="3">
        <f>1332.1+(199.2-365.5)+(0+(0-0))+0-28.6-0</f>
        <v>1137.2</v>
      </c>
      <c r="I230" s="3">
        <f>1329.8+(206.5-378.4)+(-1.356396+(-0.21063--0.385968))+0-28.6--0.0291720000000046</f>
        <v>1128.1481140000003</v>
      </c>
      <c r="J230" s="3">
        <f>1329.7+(207.4-391.5)+(0+(0-0))+0-28.7-0</f>
        <v>1116.9000000000001</v>
      </c>
      <c r="K230" s="3">
        <f>1398.4+(196.3-436.9)+(0.713184+(0.100113-0.222819))+0-28.3-0.0144329999999971</f>
        <v>1130.0760450000002</v>
      </c>
      <c r="L230" s="3">
        <f>1450.6+(189.4-401.6)+(-1.479612+(-0.193188--0.409632))+0-28.2--0.0287640000000045</f>
        <v>1208.9655959999998</v>
      </c>
      <c r="M230" s="3">
        <f>1457.2+(125.4-255.3)+(0.743172+(0.063954-0.130203))+0-29.6-0.015095999999997</f>
        <v>1298.3618269999999</v>
      </c>
      <c r="N230" s="3">
        <f>1478.4+(165.2-174.2)+(2.261952+(0.252756-0.266526))+0-30.1-0.0460530000000017</f>
        <v>1441.5021290000002</v>
      </c>
      <c r="O230" s="3">
        <f>1488.8+(316.1-212.6)+(-0.759288+(-0.161211--0.108426))+0-31--0.0158099999999969</f>
        <v>1560.503737</v>
      </c>
      <c r="P230" s="3">
        <f>1491.1+(419.9-256.8)+(2.281383+(0.642447-0.392904))+0-30.8-0.0471240000000018</f>
        <v>1625.8838019999998</v>
      </c>
      <c r="Q230" s="3">
        <f>1522+(457.8-284.2)+(0+(0-0))+0-31-0</f>
        <v>1664.6</v>
      </c>
      <c r="R230" s="3">
        <f>1532.4+(442.1-290.8)+(0.781524+(0.225471-0.148308))+0-29.2-0.014891999999997</f>
        <v>1655.343795</v>
      </c>
      <c r="S230" s="3">
        <f>1534.2+(414.8-285.2)+(1.564884+(0.423096-0.290904))+0-28-0.0285600000000045</f>
        <v>1637.4685160000001</v>
      </c>
      <c r="T230" s="3">
        <f>1534.5+(390.1-277.3)+(1.56519+(0.397902-0.282846))+0-28-0.0285600000000045</f>
        <v>1620.9516859999999</v>
      </c>
      <c r="U230" s="3">
        <f>1532.8+(391.8-269.3)+(-0.781728+(-0.199818--0.137343))+0-30.4--0.0155039999999969</f>
        <v>1624.0713009999997</v>
      </c>
      <c r="V230" s="3">
        <f>1535.3+(353.2-224.4)+(0+(0-0))+0-30.4-0</f>
        <v>1633.6999999999998</v>
      </c>
      <c r="W230" s="3">
        <f>1559.3+(493.9-266.8)+(1.590486+(0.503778-0.272136))+0-29.4-0.0299880000000047</f>
        <v>1758.7921399999998</v>
      </c>
      <c r="X230" s="3">
        <f>1569+(466.8-152.3)+(0+(0-0))+0-30.1-0</f>
        <v>1853.4</v>
      </c>
      <c r="Y230" s="3">
        <f>1568+(422.3-150.9)+(0+(0-0))+0-29.4-0</f>
        <v>1810</v>
      </c>
      <c r="Z230" s="3">
        <f>1569.4+(372.5-150.3)+(-2.401182+(-0.569925--0.229959))+0-29.5--0.0451350000000017</f>
        <v>1759.4039870000001</v>
      </c>
      <c r="AA230" s="3">
        <f>1568.4+(315.2-163.3)+(-2.399652+(-0.482256--0.249849))+0-28.9--0.0442170000000017</f>
        <v>1688.812158</v>
      </c>
      <c r="AB230" s="3">
        <f>1559.8+(275-179.8)+(-3.181992+(-0.561--0.366792))+0-28--0.0571199999999988</f>
        <v>1623.68092</v>
      </c>
      <c r="AC230" s="3">
        <f>1557.5+(203.2-219.9)+(-3.971625+(-0.51816--0.560745))+0-27.3--0.069614999999996</f>
        <v>1509.6405749999999</v>
      </c>
      <c r="AD230">
        <v>1829.3999999999999</v>
      </c>
      <c r="AE230" s="3">
        <f>1574.4+(582.2-286.7)+(0+(0-0))+0-28.7-0</f>
        <v>1841.2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1334.1+(239.2-210.7)+(-1.360782+(-0.243984--0.214914))+0-28.4--0.0289680000000045</f>
        <v>1332.8391159999999</v>
      </c>
      <c r="G231" s="3">
        <f>1260.1+(220.1-224.7)+(-3.213255+(-0.561255--0.572985))+0-28.4--0.0724199999999959</f>
        <v>1223.9708949999999</v>
      </c>
      <c r="H231" s="3">
        <f>1142.8+(253.9-185.2)+(0.582828+(0.129489-0.094452))+0-28.6-0.0145859999999971</f>
        <v>1183.503279</v>
      </c>
      <c r="I231" s="3">
        <f>1123+(268.4-200.9)+(-1.71819+(-0.410652--0.307377))+0-28.6--0.0437580000000017</f>
        <v>1160.1222930000001</v>
      </c>
      <c r="J231" s="3">
        <f>1123.3+(270.8-208)+(1.718649+(0.414324-0.31824))+0-28.4-0.0434520000000016</f>
        <v>1159.4712809999999</v>
      </c>
      <c r="K231" s="3">
        <f>1126.8+(281.1-203)+(-2.298672+(-0.573444--0.41412))+0-28.1--0.0573239999999988</f>
        <v>1174.3993280000002</v>
      </c>
      <c r="L231" s="3">
        <f>1193.2+(272.2-214.2)+(-2.434128+(-0.555288--0.436968))+0-28.1--0.0573239999999988</f>
        <v>1220.6048760000003</v>
      </c>
      <c r="M231" s="3">
        <f>1416+(198.1-283.8)+(-2.88864+(-0.404124--0.578952))+0-28.8--0.0587519999999987</f>
        <v>1298.84494</v>
      </c>
      <c r="N231" s="3">
        <f>1473.4+(224.3-218.3)+(-3.005736+(-0.457572--0.445332))+0-30.1--0.0614039999999987</f>
        <v>1446.3434280000001</v>
      </c>
      <c r="O231" s="3">
        <f>1468.6+(300.7-179.6)+(-2.995944+(-0.613428--0.366384))+0-29.7--0.0605879999999987</f>
        <v>1556.8175999999999</v>
      </c>
      <c r="P231" s="3">
        <f>1494.4+(320.3-181.1)+(0+(0-0))+0-30.5-0</f>
        <v>1603.1000000000001</v>
      </c>
      <c r="Q231" s="3">
        <f>1519.6+(325.5-176.5)+(-1.549992+(-0.33201--0.18003))+0-29.7--0.0302940000000047</f>
        <v>1637.2283219999997</v>
      </c>
      <c r="R231" s="3">
        <f>1466.8+(353.6-171.6)+(-1.496136+(-0.360672--0.175032))+0-28.7--0.0292740000000046</f>
        <v>1618.447498</v>
      </c>
      <c r="S231" s="3">
        <f>1460+(318-177.2)+(-1.4892+(-0.32436--0.180744))+0-28--0.0285600000000045</f>
        <v>1571.1957439999999</v>
      </c>
      <c r="T231" s="3">
        <f>1526.3+(261.7-185.3)+(-0.778413+(-0.133467--0.094503))+0-29.2--0.014891999999997</f>
        <v>1572.6975149999996</v>
      </c>
      <c r="U231" s="3">
        <f>1489.9+(318-176.9)+(-0.759849+(-0.16218--0.090219))+0-29.6--0.015095999999997</f>
        <v>1600.5832860000003</v>
      </c>
      <c r="V231" s="3">
        <f>1483.6+(295.9-166.6)+(1.513272+(0.301818-0.169932))+0-30.1-0.0307020000000048</f>
        <v>1584.414456</v>
      </c>
      <c r="W231" s="3">
        <f>1540.9+(363.8-169.1)+(-1.571718+(-0.371076--0.172482))+0-29.2--0.0297840000000047</f>
        <v>1704.6594720000001</v>
      </c>
      <c r="X231" s="3">
        <f>1519+(460.4-148.3)+(-2.32407+(-0.704412--0.226899))+0-29.4--0.0449820000000017</f>
        <v>1798.9433989999998</v>
      </c>
      <c r="Y231" s="3">
        <f>1472.8+(450.9-146)+(-1.502256+(-0.459918--0.14892))+0-29.8--0.0303960000000048</f>
        <v>1746.1171420000001</v>
      </c>
      <c r="Z231" s="3">
        <f>1472.3+(405-145.9)+(-0.750873+(-0.20655--0.074409))+0-28.9--0.0147389999999971</f>
        <v>1701.631725</v>
      </c>
      <c r="AA231" s="3">
        <f>1471.5+(358.3-150)+(-2.251395+(-0.548199--0.2295))+0-27.9--0.0426870000000016</f>
        <v>1649.3725930000001</v>
      </c>
      <c r="AB231" s="3">
        <f>1464.9+(304.1-160.7)+(-1.494198+(-0.310182--0.163914))+0-28--0.0285600000000045</f>
        <v>1578.6880940000001</v>
      </c>
      <c r="AC231" s="3">
        <f>1461+(238.8-182.3)+(-2.98044+(-0.487152--0.371892))+0-28--0.0571199999999988</f>
        <v>1486.4614199999999</v>
      </c>
      <c r="AD231">
        <v>1761.3999999999999</v>
      </c>
      <c r="AE231" s="3">
        <f>1545.8+(419.9-183.6)+(0+(0-0))+0-28.5-0</f>
        <v>1753.6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1325.5+(233-197.2)+(-0.676005+(-0.11883--0.100572))+0-27.7--0.0141269999999972</f>
        <v>1332.9198639999997</v>
      </c>
      <c r="G232" s="3">
        <f>1062.3+(341.8-154.9)+(0.541773+(0.174318-0.078999))+0-27.9-0.0142289999999972</f>
        <v>1221.922863</v>
      </c>
      <c r="H232" s="3">
        <f>1024.6+(329.1-163)+(0+(0-0))+0-28-0</f>
        <v>1162.6999999999998</v>
      </c>
      <c r="I232" s="3">
        <f>1024.9+(323.8-184.1)+(-1.045398+(-0.330276--0.187782))+0-28--0.0285600000000045</f>
        <v>1135.4406680000002</v>
      </c>
      <c r="J232" s="3">
        <f>1028.4+(314.4-187.8)+(0.524484+(0.160344-0.095778))+0-27.4-0.0139739999999972</f>
        <v>1128.175076</v>
      </c>
      <c r="K232" s="3">
        <f>1026.2+(318.6-187.9)+(-1.046724+(-0.324972--0.191658))+0-27.6--0.0281520000000044</f>
        <v>1128.1481140000003</v>
      </c>
      <c r="L232" s="3">
        <f>1025.6+(311.7-189.1)+(0.523056+(0.158967-0.096441))+0-27.9-0.0142289999999972</f>
        <v>1120.8713529999998</v>
      </c>
      <c r="M232" s="3">
        <f>1061.5+(258.5-196.2)+(-0.541365+(-0.131835--0.100062))+0-29.5--0.015044999999997</f>
        <v>1093.7419070000001</v>
      </c>
      <c r="N232" s="3">
        <f>1041.8+(317.2-176.7)+(1.062636+(0.323544-0.180234))+0-30.3-0.0309060000000048</f>
        <v>1153.1750400000001</v>
      </c>
      <c r="O232" s="3">
        <f>1075.4+(447.7-259.2)+(-0.548454+(-0.228327--0.132192))+0-30.4--0.0155039999999969</f>
        <v>1232.870915</v>
      </c>
      <c r="P232" s="3">
        <f>1069.3+(536.6-301.4)+(-2.726715+(-1.36833--0.76857))+0-30.2--0.0770099999999956</f>
        <v>1271.0505349999999</v>
      </c>
      <c r="Q232" s="3">
        <f>1054.8+(561.2-302)+(-1.075896+(-0.572424--0.30804))+0-29.7--0.0302940000000047</f>
        <v>1282.990014</v>
      </c>
      <c r="R232" s="3">
        <f>1050.4+(537.5-304.1)+(-2.142816+(-1.0965--0.620364))+0-28.7--0.0585479999999987</f>
        <v>1252.5395960000001</v>
      </c>
      <c r="S232" s="3">
        <f>1059.1+(504.3-298.2)+(-2.160564+(-1.028772--0.608328))+0-28.2--0.0575279999999988</f>
        <v>1234.4765199999997</v>
      </c>
      <c r="T232" s="3">
        <f>1156.6+(412-299.6)+(-0.589866+(-0.21012--0.152796))+0-28.9--0.0147389999999971</f>
        <v>1239.467549</v>
      </c>
      <c r="U232" s="3">
        <f>1185.3+(375.5-289.5)+(0+(0-0))+0-28.3-0</f>
        <v>1243</v>
      </c>
      <c r="V232" s="3">
        <f>1236+(351.7-274.7)+(-1.89108+(-0.538101--0.420291))+0-28.6--0.0437580000000017</f>
        <v>1282.4348680000001</v>
      </c>
      <c r="W232" s="3">
        <f>1332.1+(471.9-289)+(-0.679371+(-0.240669--0.14739))+0-28.7--0.0146369999999971</f>
        <v>1485.5419869999998</v>
      </c>
      <c r="X232" s="3">
        <f>1343.7+(459.1-156.2)+(-2.741148+(-0.936564--0.318648))+0-29--0.0591599999999987</f>
        <v>1614.3000960000002</v>
      </c>
      <c r="Y232" s="3">
        <f>1296.3+(479.7-149.3)+(-1.983339+(-0.733941--0.228429))+0-27.6--0.0422280000000016</f>
        <v>1596.6533769999999</v>
      </c>
      <c r="Z232" s="3">
        <f>1377.4+(366-148.2)+(-2.107422+(-0.55998--0.226746))+0-27.4--0.0419220000000016</f>
        <v>1565.4012660000001</v>
      </c>
      <c r="AA232" s="3">
        <f>1471.4+(249.7-157)+(-3.75207+(-0.636735--0.40035))+0-28.1--0.0716549999999959</f>
        <v>1532.0832000000003</v>
      </c>
      <c r="AB232" s="3">
        <f>1474.5+(216.3-177.6)+(-1.50399+(-0.220626--0.181152))+0-28.1--0.0286620000000045</f>
        <v>1483.585198</v>
      </c>
      <c r="AC232" s="3">
        <f>1398.1+(185.3-192.9)+(-3.565155+(-0.472515--0.491895))+0-27.9--0.0711449999999959</f>
        <v>1359.1253699999997</v>
      </c>
      <c r="AD232">
        <v>1600.6</v>
      </c>
      <c r="AE232" s="3">
        <f>1371+(548.4-284.6)+(0+(0-0))+0-28.6-0</f>
        <v>1606.2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1298.9+(170-244.6)+(-1.324878+(-0.1734--0.249492))+0-28.1--0.0286620000000045</f>
        <v>1194.9798760000001</v>
      </c>
      <c r="G233" s="3">
        <f>1294.6+(192.7-333.5)+(0+(0-0))+0-28.2-0</f>
        <v>1125.5999999999999</v>
      </c>
      <c r="H233" s="3">
        <f>1295.3+(202-376.8)+(-1.321206+(-0.20604--0.384336))+0-28.1--0.0286620000000045</f>
        <v>1091.285752</v>
      </c>
      <c r="I233" s="3">
        <f>1292.4+(197.7-375.4)+(-3.29562+(-0.504135--0.95727))+0-28.2--0.0719099999999959</f>
        <v>1083.729425</v>
      </c>
      <c r="J233" s="3">
        <f>1298.7+(196.5-384.5)+(0.662337+(0.100215-0.196095))+0-28.3-0.0144329999999971</f>
        <v>1082.9520239999999</v>
      </c>
      <c r="K233" s="3">
        <f>1299.3+(205.3-374.2)+(0+(0-0))+0-28.1-0</f>
        <v>1102.3000000000002</v>
      </c>
      <c r="L233" s="3">
        <f>1354.2+(196.2-371)+(1.381284+(0.200124-0.37842))+0-27.7-0.0282540000000044</f>
        <v>1152.874734</v>
      </c>
      <c r="M233" s="3">
        <f>1421.1+(116.1-297.3)+(1.449522+(0.118422-0.303246))+0-28.1-0.0286620000000045</f>
        <v>1213.036036</v>
      </c>
      <c r="N233" s="3">
        <f>1526.7+(89.3-255.2)+(0+(0-0))+0-29.1-0</f>
        <v>1331.7000000000003</v>
      </c>
      <c r="O233" s="3">
        <f>1573.8+(170.2-258)+(1.605276+(0.173604-0.26316))+0-29.6-0.0301920000000047</f>
        <v>1457.8855280000002</v>
      </c>
      <c r="P233" s="3">
        <f>1600.2+(240.7-277.4)+(0.816102+(0.122757-0.141474))+0-30.7-0.0156569999999969</f>
        <v>1533.5817280000001</v>
      </c>
      <c r="Q233" s="3">
        <f>1631.3+(273.2-301)+(0.831963+(0.139332-0.15351))+0-31-0.0158099999999969</f>
        <v>1573.3019749999999</v>
      </c>
      <c r="R233" s="3">
        <f>1635+(255-288.4)+(-3.3354+(-0.5202--0.588336))+0-29.4--0.0599759999999987</f>
        <v>1568.9927119999998</v>
      </c>
      <c r="S233" s="3">
        <f>1633.1+(232.8-290.9)+(-3.331524+(-0.474912--0.593436))+0-27.9--0.0569159999999988</f>
        <v>1543.9439159999999</v>
      </c>
      <c r="T233" s="3">
        <f>1666.5+(181.3-302.8)+(-2.549745+(-0.277389--0.463284))+0-28.8--0.0440640000000017</f>
        <v>1513.880214</v>
      </c>
      <c r="U233" s="3">
        <f>1726.9+(165.8-297.9)+(-0.880719+(-0.084558--0.151929))+0-29.8--0.015197999999997</f>
        <v>1564.2018500000004</v>
      </c>
      <c r="V233" s="3">
        <f>1760.2+(132.3-309.5)+(0.897702+(0.067473-0.157845))+0-29.5-0.015044999999997</f>
        <v>1554.292285</v>
      </c>
      <c r="W233" s="3">
        <f>1788.7+(253.9-290.1)+(-1.824474+(-0.258978--0.295902))+0-28.5--0.0290700000000045</f>
        <v>1722.24152</v>
      </c>
      <c r="X233" s="3">
        <f>1782.5+(255.3-159.9)+(-5.45445+(-0.781218--0.489294))+0-29--0.0887400000000034</f>
        <v>1843.2423659999999</v>
      </c>
      <c r="Y233" s="3">
        <f>1778.8+(228.1-160.6)+(-2.721564+(-0.348993--0.245718))+0-29.8--0.0455940000000017</f>
        <v>1813.7207549999998</v>
      </c>
      <c r="Z233" s="3">
        <f>1736.7+(209.8-158.2)+(-0.885717+(-0.106998--0.080682))+0-30.2--0.0154019999999969</f>
        <v>1757.2033690000001</v>
      </c>
      <c r="AA233" s="3">
        <f>1728.9+(147.9-158.5)+(-4.408695+(-0.377145--0.404175))+0-29--0.0739499999999958</f>
        <v>1684.992285</v>
      </c>
      <c r="AB233" s="3">
        <f>1609.9+(159.3-162.3)+(-2.463147+(-0.243729--0.248319))+0-19.8--0.0302940000000011</f>
        <v>1584.6717370000001</v>
      </c>
      <c r="AC233" s="3">
        <f>1477.4+(166.3-176.5)+(-1.506948+(-0.169626--0.18003))+0-13.7--0.0139740000000022</f>
        <v>1452.0174299999999</v>
      </c>
      <c r="AD233">
        <v>1852.8999999999999</v>
      </c>
      <c r="AE233" s="3">
        <f>1811+(345-265.4)+(0+(0-0))+0-28.1-0</f>
        <v>1862.5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1391.1+(168.6-212.1)+(-0.709461+(-0.085986--0.108171))+0-13.2--0.00673199999999866</f>
        <v>1333.7194559999998</v>
      </c>
      <c r="G234" s="3">
        <f>1303.4+(189.8-286.8)+(-3.32367+(-0.48399--0.73134))+0-25.5--0.0650249999999963</f>
        <v>1177.8887050000003</v>
      </c>
      <c r="H234" s="3">
        <f>1311.9+(201-312.6)+(-0.669069+(-0.10251--0.159426))+0-26.3--0.0134129999999973</f>
        <v>1173.4012600000001</v>
      </c>
      <c r="I234" s="3">
        <f>1312.9+(210.8-348.7)+(-2.678316+(-0.430032--0.711348))+0-27.9--0.0569159999999988</f>
        <v>1144.759916</v>
      </c>
      <c r="J234" s="3">
        <f>1312.7+(200.3-352.4)+(-0.669477+(-0.102153--0.179724))+0-28.3--0.0144329999999971</f>
        <v>1131.7225270000001</v>
      </c>
      <c r="K234" s="3">
        <f>1341.4+(205.5-380.9)+(-0.684114+(-0.104805--0.194259))+0-28.2--0.0143819999999971</f>
        <v>1137.219722</v>
      </c>
      <c r="L234" s="3">
        <f>1427.2+(179.4-394.5)+(-0.727872+(-0.091494--0.201195))+0-28.1--0.0143309999999971</f>
        <v>1183.3961600000002</v>
      </c>
      <c r="M234" s="3">
        <f>1601.1+(92.7-425.9)+(0+(0-0))+0-29.2-0</f>
        <v>1238.6999999999998</v>
      </c>
      <c r="N234" s="3">
        <f>1672.8+(70.6-310.1)+(-0.853128+(-0.036006--0.158151))+0-30.3--0.0154529999999969</f>
        <v>1402.2844700000001</v>
      </c>
      <c r="O234" s="3">
        <f>1808.6+(95.7-348.4)+(-1.844772+(-0.097614--0.355368))+0-31.1--0.031722000000005</f>
        <v>1523.244704</v>
      </c>
      <c r="P234" s="3">
        <f>1814.5+(153.2-343.4)+(0+(0-0))+0-31.3-0</f>
        <v>1593</v>
      </c>
      <c r="Q234" s="3">
        <f>1811.5+(181.6-320.2)+(-0.923865+(-0.092616--0.163302))+0-30.3--0.0154529999999969</f>
        <v>1641.7622740000002</v>
      </c>
      <c r="R234" s="3">
        <f>1805+(163.2-312.6)+(-0.92055+(-0.083232--0.159426))+0-27--0.0137699999999973</f>
        <v>1627.7694139999999</v>
      </c>
      <c r="S234" s="3">
        <f>1802.1+(106.6-287.2)+(-2.757213+(-0.163098--0.439416))+0-26.9--0.0411570000000016</f>
        <v>1592.1602620000001</v>
      </c>
      <c r="T234" s="3">
        <f>1809.6+(101.7-316.5)+(0.922896+(0.051867-0.161415))+2.5-27.1-0.0138209999999973</f>
        <v>1570.9995269999999</v>
      </c>
      <c r="U234" s="3">
        <f>1805.1+(100.5-350.3)+(-1.841202+(-0.10251--0.357306))+10.3-27--0.0275400000000043</f>
        <v>1537.0411340000001</v>
      </c>
      <c r="V234" s="3">
        <f>1696.8+(213.5-324.1)+(0+(0-0))+3.9-26.9-0</f>
        <v>1563.1999999999998</v>
      </c>
      <c r="W234" s="3">
        <f>1709.9+(347.1-267.8)+(-1.744098+(-0.354042--0.273156))+0-27.1--0.0276420000000043</f>
        <v>1760.3026580000001</v>
      </c>
      <c r="X234" s="3">
        <f>1821.2+(260.7-169.5)+(-2.786436+(-0.398871--0.259335))+0-29.5--0.0451350000000017</f>
        <v>1880.0191630000002</v>
      </c>
      <c r="Y234" s="3">
        <f>1836.1+(204.9-177.4)+(-3.745644+(-0.417996--0.361896))+0-30.4--0.0620159999999987</f>
        <v>1829.4602719999998</v>
      </c>
      <c r="Z234" s="3">
        <f>1823.1+(165.5-182.1)+(-0.929781+(-0.084405--0.092871))+0-29.8--0.015197999999997</f>
        <v>1775.7938830000001</v>
      </c>
      <c r="AA234" s="3">
        <f>1786.3+(146.4-191.1)+(-2.733039+(-0.223992--0.292383))+0-28.2--0.0431460000000016</f>
        <v>1710.7784979999999</v>
      </c>
      <c r="AB234" s="3">
        <f>1734+(110.4-189.4)+(0+(0-0))+0-28.2-0</f>
        <v>1626.8</v>
      </c>
      <c r="AC234" s="3">
        <f>1657.1+(97-215.3)+(-4.225605+(-0.24735--0.549015))+0-28.3--0.0721649999999959</f>
        <v>1506.6482250000001</v>
      </c>
      <c r="AD234">
        <v>1872.3999999999999</v>
      </c>
      <c r="AE234" s="3">
        <f>1698+(422.6-215.8)+(0+(0-0))+0-27.4-0</f>
        <v>1877.3999999999999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1406.6+(152.4-199.4)+(0+(0-0))+0-28.3-0</f>
        <v>1331.3</v>
      </c>
      <c r="G235" s="3">
        <f>1312+(175.7-237.8)+(0+(0-0))+0-28.7-0</f>
        <v>1221.2</v>
      </c>
      <c r="H235" s="3">
        <f>1301.8+(187.3-282.8)+(-0.663918+(-0.095523--0.144228))+0-28.5--0.0145349999999971</f>
        <v>1177.1993219999999</v>
      </c>
      <c r="I235" s="3">
        <f>1273.7+(184.5-279.2)+(0+(0-0))+0-28.2-0</f>
        <v>1150.8</v>
      </c>
      <c r="J235" s="3">
        <f>1238.8+(195.2-271.3)+(0.631788+(0.099552-0.138363))+0-28.1-0.0143309999999971</f>
        <v>1135.1786459999998</v>
      </c>
      <c r="K235" s="3">
        <f>1250.1+(199-261.8)+(3.187755+(0.50745-0.66759))+0-27.8-0.070889999999996</f>
        <v>1162.456725</v>
      </c>
      <c r="L235" s="3">
        <f>1300.6+(183.7-260.1)+(-1.989918+(-0.281061--0.397953))+0-28.1--0.0429930000000016</f>
        <v>1194.269967</v>
      </c>
      <c r="M235" s="3">
        <f>1336.9+(108.5-203.6)+(2.045457+(0.166005-0.311508))+0-29.1-0.0445230000000017</f>
        <v>1214.5554310000002</v>
      </c>
      <c r="N235" s="3">
        <f>1476.8+(126.7-201.2)+(3.012672+(0.258468-0.410448))+0-30.6-0.0624239999999987</f>
        <v>1374.4982680000001</v>
      </c>
      <c r="O235" s="3">
        <f>1585+(126.8-194.4)+(-0.80835+(-0.064668--0.099144))+0-30.1--0.0153509999999969</f>
        <v>1486.5414770000002</v>
      </c>
      <c r="P235" s="3">
        <f>1659.8+(142.6-215.9)+(-0.846498+(-0.072726--0.110109))+0-30.8--0.0157079999999969</f>
        <v>1554.9065929999999</v>
      </c>
      <c r="Q235" s="3">
        <f>1758.1+(102.4-243.7)+(0+(0-0))+0-30.3-0</f>
        <v>1586.5</v>
      </c>
      <c r="R235" s="3">
        <f>1744+(121.8-250.1)+(-4.4472+(-0.31059--0.637755))+0-28.2--0.0719099999999959</f>
        <v>1583.451875</v>
      </c>
      <c r="S235" s="3">
        <f>1570+(210.4-230.4)+(-2.4021+(-0.321912--0.352512))+0-27.9--0.0426870000000016</f>
        <v>1519.7711870000001</v>
      </c>
      <c r="T235" s="3">
        <f>1538.2+(206.5-228.5)+(2.353446+(0.315945-0.349605))+0-28.2-0.0431460000000016</f>
        <v>1490.27664</v>
      </c>
      <c r="U235" s="3">
        <f>1527.2+(216.3-227.4)+(-1.557744+(-0.220626--0.231948))+0-28.6--0.0291720000000046</f>
        <v>1485.9827500000004</v>
      </c>
      <c r="V235" s="3">
        <f>1559+(201.6-227)+(-0.79509+(-0.102816--0.11577))+0-28.1--0.0143309999999971</f>
        <v>1504.732195</v>
      </c>
      <c r="W235" s="3">
        <f>1766.9+(177-201.3)+(1.802238+(0.18054-0.205326))+0-28-0.0285600000000045</f>
        <v>1716.3488920000002</v>
      </c>
      <c r="X235" s="3">
        <f>1780.8+(229.1-169.6)+(-0.908208+(-0.116841--0.086496))+0-30.5--0.0155549999999969</f>
        <v>1808.8770019999999</v>
      </c>
      <c r="Y235" s="3">
        <f>1785.4+(192.2-182.8)+(0+(0-0))+0-30.8-0</f>
        <v>1764.0000000000002</v>
      </c>
      <c r="Z235" s="3">
        <f>1781.2+(164.2-210.8)+(-3.633648+(-0.334968--0.430032))+0-30.5--0.0622199999999987</f>
        <v>1700.623636</v>
      </c>
      <c r="AA235" s="3">
        <f>1784.2+(120.8-239.2)+(-1.819884+(-0.123216--0.243984))+0-28.8--0.0293760000000046</f>
        <v>1635.33026</v>
      </c>
      <c r="AB235" s="3">
        <f>1687.3+(110.8-215.6)+(-2.581569+(-0.169524--0.329868))+0-27.9--0.0426870000000016</f>
        <v>1552.221462</v>
      </c>
      <c r="AC235" s="3">
        <f>1505.6+(136.2-192.2)+(-0.767856+(-0.069462--0.098022))+0-27.6--0.0140759999999972</f>
        <v>1421.27478</v>
      </c>
      <c r="AD235">
        <v>1804.5</v>
      </c>
      <c r="AE235" s="3">
        <f>1775.5+(263.3-193)+(0+(0-0))+0-28.5-0</f>
        <v>1817.3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1482+(113.4-252.6)+(-1.51164+(-0.115668--0.257652))+0-27.4--0.0279480000000044</f>
        <v>1314.0582919999997</v>
      </c>
      <c r="G236" s="3">
        <f>1247.3+(190.3-217.3)+(0+(0-0))+0-27.3-0</f>
        <v>1193</v>
      </c>
      <c r="H236" s="3">
        <f>1184.7+(193.1-214)+(2.416788+(0.393924-0.43656))+0-28-0.0571199999999988</f>
        <v>1138.1170320000001</v>
      </c>
      <c r="I236" s="3">
        <f>1184.9+(183.9-223.8)+(2.417196+(0.375156-0.456552))+0-27.9-0.0569159999999988</f>
        <v>1119.378884</v>
      </c>
      <c r="J236" s="3">
        <f>1183.7+(191.6-247)+(0+(0-0))+0-28.2-0</f>
        <v>1100.0999999999999</v>
      </c>
      <c r="K236" s="3">
        <f>1183.8+(194.5-248.9)+(1.811214+(0.297585-0.380817))+0-28.1-0.0429930000000016</f>
        <v>1102.984989</v>
      </c>
      <c r="L236" s="3">
        <f>1183.5+(183.2-227.5)+(0+(0-0))+0-28.4-0</f>
        <v>1110.8</v>
      </c>
      <c r="M236" s="3">
        <f>1222+(106.6-219.2)+(0.62322+(0.054366-0.111792))+0-29.3-0.014942999999997</f>
        <v>1080.6508510000003</v>
      </c>
      <c r="N236" s="3">
        <f>1335.3+(111.6-246.7)+(0.681003+(0.056916-0.125817))+0-30.6-0.0156059999999969</f>
        <v>1170.1964960000003</v>
      </c>
      <c r="O236" s="3">
        <f>1428.5+(204.8-316.2)+(2.185605+(0.313344-0.483786))+0-31-0.0474300000000018</f>
        <v>1288.0677329999999</v>
      </c>
      <c r="P236" s="3">
        <f>1522+(226.8-349.1)+(-1.55244+(-0.231336--0.356082))+0-29.4--0.0299880000000047</f>
        <v>1368.902294</v>
      </c>
      <c r="Q236" s="3">
        <f>1525.1+(253.1-348.8)+(1.555602+(0.258162-0.355776))+0-29.9-0.0304980000000048</f>
        <v>1400.9274899999996</v>
      </c>
      <c r="R236" s="3">
        <f>1518.2+(183.1-282.1)+(-3.097128+(-0.373524--0.575484))+0-28.4--0.0579359999999988</f>
        <v>1387.9627679999999</v>
      </c>
      <c r="S236" s="3">
        <f>1520+(100.7-225)+(0+(0-0))+0-27.9-0</f>
        <v>1367.8</v>
      </c>
      <c r="T236" s="3">
        <f>1516.2+(88.6-237.6)+(-3.093048+(-0.180744--0.484704))+0-30--0.0611999999999987</f>
        <v>1334.4721120000002</v>
      </c>
      <c r="U236" s="3">
        <f>1519.3+(87.3-249.9)+(-0.774843+(-0.044523--0.127449))+0-30.6--0.0156059999999969</f>
        <v>1325.4236889999997</v>
      </c>
      <c r="V236" s="3">
        <f>1493.9+(120.6-255.4)+(-0.761889+(-0.061506--0.130254))+0-30.7--0.0156569999999969</f>
        <v>1327.722516</v>
      </c>
      <c r="W236" s="3">
        <f>1514.9+(316.4-243.7)+(0.772599+(0.161364-0.124287))+0-30.3-0.0154529999999969</f>
        <v>1558.0942230000003</v>
      </c>
      <c r="X236" s="3">
        <f>1516.7+(359.5-165.5)+(-1.547034+(-0.36669--0.16881))+0-29--0.0295800000000046</f>
        <v>1679.9846659999998</v>
      </c>
      <c r="Y236" s="3">
        <f>1519.6+(333-164.4)+(-0.774996+(-0.16983--0.083844))+0-28.6--0.0145859999999971</f>
        <v>1658.753604</v>
      </c>
      <c r="Z236" s="3">
        <f>1518.2+(314.8-163.6)+(-2.322846+(-0.481644--0.250308))+0-28.4--0.0434520000000016</f>
        <v>1638.4892699999998</v>
      </c>
      <c r="AA236" s="3">
        <f>1508.6+(282.6-162.6)+(-0.769386+(-0.144126--0.082926))+0-28.7--0.0146369999999971</f>
        <v>1599.0840509999998</v>
      </c>
      <c r="AB236" s="3">
        <f>1341.9+(350.5-160.8)+(-2.053107+(-0.536265--0.246024))+0-28.5--0.0436050000000016</f>
        <v>1500.8002570000001</v>
      </c>
      <c r="AC236" s="3">
        <f>1336.2+(233.5-165.4)+(-1.362924+(-0.23817--0.168708))+0-28.5--0.0290700000000045</f>
        <v>1374.3966840000001</v>
      </c>
      <c r="AD236">
        <v>1686.1</v>
      </c>
      <c r="AE236" s="3">
        <f>1524+(369.6-164.8)+(0+(0-0))+0-28.5-0</f>
        <v>1700.3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1282.6+(165.8-180.7)+(1.308252+(0.169116-0.184314))+0-28.4-0.0289680000000045</f>
        <v>1240.5640859999996</v>
      </c>
      <c r="G237" s="3">
        <f>1210.5+(177-205.7)+(0+(0-0))+0-28.5-0</f>
        <v>1153.3</v>
      </c>
      <c r="H237" s="3">
        <f>1231.2+(175.9-255.7)+(-1.255824+(-0.179418--0.260814))+0-28.5--0.0290700000000045</f>
        <v>1121.7546420000001</v>
      </c>
      <c r="I237" s="3">
        <f>1159.7+(200.1-232.8)+(-1.774341+(-0.306153--0.356184))+0-28.1--0.0429930000000016</f>
        <v>1097.2186830000001</v>
      </c>
      <c r="J237" s="3">
        <f>1160.9+(199.3-232.7)+(-1.184118+(-0.203286--0.237354))+0-28--0.0285600000000045</f>
        <v>1098.37851</v>
      </c>
      <c r="K237" s="3">
        <f>1160.7+(206.3-217.9)+(0.591957+(0.105213-0.111129))+0-27.7-0.0141269999999972</f>
        <v>1121.9719140000002</v>
      </c>
      <c r="L237" s="3">
        <f>1282.5+(193.4-256.8)+(0.654075+(0.098634-0.130968))+0-28-0.0142799999999972</f>
        <v>1191.7074609999997</v>
      </c>
      <c r="M237" s="3">
        <f>1424.9+(129.3-244.8)+(0+(0-0))+0-29.1-0</f>
        <v>1280.3000000000002</v>
      </c>
      <c r="N237" s="3">
        <f>1482.1+(167.2-173.9)+(2.267613+(0.255816-0.266067))+0-30.1-0.0460530000000017</f>
        <v>1447.511309</v>
      </c>
      <c r="O237" s="3">
        <f>1484.2+(362.6-257.9)+(0.756942+(0.184926-0.131529))+0-30.2-0.0154019999999969</f>
        <v>1559.4949370000002</v>
      </c>
      <c r="P237" s="3">
        <f>1670.2+(309.1-315.9)+(-1.703604+(-0.315282--0.322218))+0-29.8--0.0303960000000048</f>
        <v>1631.9337280000002</v>
      </c>
      <c r="Q237" s="3">
        <f>1785.6+(252.9-332.5)+(-2.731968+(-0.386937--0.508725))+0-28--0.0428400000000016</f>
        <v>1675.4326600000002</v>
      </c>
      <c r="R237" s="3">
        <f>1870+(177.1-351.8)+(-0.9537+(-0.090321--0.179418))+0-27.7--0.0141269999999972</f>
        <v>1666.7495239999998</v>
      </c>
      <c r="S237" s="3">
        <f>1881.1+(124.4-363)+(-1.918722+(-0.126888--0.37026))+0-27.8--0.0283560000000044</f>
        <v>1613.0530060000001</v>
      </c>
      <c r="T237" s="3">
        <f>1877.1+(100-356.8)+(0+(0-0))+0-28.4-0</f>
        <v>1591.8999999999999</v>
      </c>
      <c r="U237" s="3">
        <f>1895.6+(103.4-346.1)+(1.933512+(0.105468-0.353022))+0-30-0.0306000000000048</f>
        <v>1624.5553579999998</v>
      </c>
      <c r="V237" s="3">
        <f>1899.2+(118.5-358.7)+(1.937184+(0.12087-0.365874))+0-30.2-0.0308040000000048</f>
        <v>1630.461376</v>
      </c>
      <c r="W237" s="3">
        <f>1961+(241.5-366.6)+(2.00022+(0.24633-0.373932))+0-29.5-0.0300900000000047</f>
        <v>1808.2425280000002</v>
      </c>
      <c r="X237" s="3">
        <f>2065.4+(151.4-278.1)+(-5.26677+(-0.38607--0.709155))+0-30.1--0.0767549999999956</f>
        <v>1903.7330700000002</v>
      </c>
      <c r="Y237" s="3">
        <f>1928+(178.9-255.4)+(-1.96656+(-0.182478--0.260508))+0-29.8--0.0303960000000048</f>
        <v>1819.8418660000002</v>
      </c>
      <c r="Z237" s="3">
        <f>1891.7+(159.5-258.7)+(-5.788602+(-0.48807--0.791622))+0-30.4--0.0930240000000035</f>
        <v>1756.7079739999999</v>
      </c>
      <c r="AA237" s="3">
        <f>1705.3+(215-194.2)+(-1.739406+(-0.2193--0.198084))+0-29.3--0.0298860000000047</f>
        <v>1695.069264</v>
      </c>
      <c r="AB237" s="3">
        <f>1568.1+(225.3-174)+(-2.399193+(-0.344709--0.26622))+0-28.7--0.0439110000000017</f>
        <v>1588.2662289999998</v>
      </c>
      <c r="AC237" s="3">
        <f>1321.2+(308.4-163.7)+(-1.347624+(-0.314568--0.166974))+0-27.9--0.0284580000000044</f>
        <v>1436.53324</v>
      </c>
      <c r="AD237">
        <v>1872.1999999999998</v>
      </c>
      <c r="AE237" s="3">
        <f>1988+(283.9-354.6)+(0+(0-0))+0-28.7-0</f>
        <v>1888.6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1246.3+(233.9-164.3)+(0+(0-0))+0-27-0</f>
        <v>1288.8999999999999</v>
      </c>
      <c r="G238" s="3">
        <f>1185.3+(209.5-182.6)+(-1.209006+(-0.21369--0.186252))+0-27.4--0.0279480000000044</f>
        <v>1183.591504</v>
      </c>
      <c r="H238" s="3">
        <f>1185.8+(196.1-209.9)+(-1.209516+(-0.200022--0.214098))+0-27.3--0.0278460000000044</f>
        <v>1143.532406</v>
      </c>
      <c r="I238" s="3">
        <f>1127.4+(232.9-201.6)+(1.149948+(0.237558-0.205632))+0-26.9-0.0274380000000043</f>
        <v>1132.954436</v>
      </c>
      <c r="J238" s="3">
        <f>1126.2+(234.6-212.9)+(0.574362+(0.119646-0.108579))+0-27-0.0137699999999973</f>
        <v>1121.471659</v>
      </c>
      <c r="K238" s="3">
        <f>1125.6+(237.8-208.5)+(1.148112+(0.242556-0.21267))+0-27.3-0.0278460000000044</f>
        <v>1128.7501519999998</v>
      </c>
      <c r="L238" s="3">
        <f>1210.2+(177.3-231.6)+(1.851606+(0.271269-0.354348))+0-28.4-0.0434520000000016</f>
        <v>1129.2250750000001</v>
      </c>
      <c r="M238" s="3">
        <f>1438.6+(124.8-203.3)+(1.467372+(0.127296-0.207366))+0-30.4-0.0310080000000048</f>
        <v>1331.056294</v>
      </c>
      <c r="N238" s="3">
        <f>1492.8+(223.1-178.2)+(0.761328+(0.113781-0.090882))+0-30.7-0.0156569999999969</f>
        <v>1507.7685700000002</v>
      </c>
      <c r="O238" s="3">
        <f>1493+(332.5-178)+(0+(0-0))+0-30.7-0</f>
        <v>1616.8</v>
      </c>
      <c r="P238" s="3">
        <f>1609.3+(328.5-252.2)+(-0.820743+(-0.167535--0.128622))+0-30.6--0.0156059999999969</f>
        <v>1654.1559499999998</v>
      </c>
      <c r="Q238" s="3">
        <f>1609.5+(337.9-264.6)+(-2.462535+(-0.516987--0.404838))+0-30.7--0.0469710000000018</f>
        <v>1649.572287</v>
      </c>
      <c r="R238" s="3">
        <f>1615.6+(233.9-242.9)+(0+(0-0))+0-29.1-0</f>
        <v>1577.5</v>
      </c>
      <c r="S238" s="3">
        <f>1583.9+(196.4-219)+(0.807789+(0.100164-0.11169))+0-28.5-0.0145349999999971</f>
        <v>1533.5817280000001</v>
      </c>
      <c r="T238" s="3">
        <f>1586.8+(151.7-220.4)+(1.618536+(0.154734-0.224808))+0-28.2-0.0287640000000045</f>
        <v>1491.4196979999999</v>
      </c>
      <c r="U238" s="3">
        <f>1571.1+(174.3-235)+(0.801261+(0.088893-0.11985))+0-27.8-0.0141779999999972</f>
        <v>1483.3561259999999</v>
      </c>
      <c r="V238" s="3">
        <f>1589.4+(172.2-256.5)+(2.431782+(0.263466-0.392445))+0-27.9-0.0426870000000016</f>
        <v>1479.460116</v>
      </c>
      <c r="W238" s="3">
        <f>1787.5+(238-279.2)+(0+(0-0))+0-28-0</f>
        <v>1718.3</v>
      </c>
      <c r="X238" s="3">
        <f>1833.7+(216.5-188.4)+(-1.870374+(-0.22083--0.192168))+0-30--0.0306000000000048</f>
        <v>1829.931564</v>
      </c>
      <c r="Y238" s="3">
        <f>1829.6+(182.8-196.1)+(-0.933096+(-0.093228--0.100011))+0-30.6--0.0156059999999969</f>
        <v>1784.789293</v>
      </c>
      <c r="Z238" s="3">
        <f>1830.4+(144.5-212.9)+(-0.933504+(-0.073695--0.108579))+0-30.3--0.0154529999999969</f>
        <v>1730.8168330000001</v>
      </c>
      <c r="AA238" s="3">
        <f>1725.5+(169.8-188)+(-1.76001+(-0.173196--0.19176))+0-28.9--0.0294780000000046</f>
        <v>1676.6880319999998</v>
      </c>
      <c r="AB238" s="3">
        <f>1623.9+(169.4-180.1)+(0+(0-0))+0-28.3-0</f>
        <v>1584.9</v>
      </c>
      <c r="AC238" s="3">
        <f>1465.5+(180.2-174.8)+(1.49481+(0.183804-0.178296))+0-28.1-0.0286620000000045</f>
        <v>1444.2716560000003</v>
      </c>
      <c r="AD238">
        <v>1822</v>
      </c>
      <c r="AE238" s="3">
        <f>1831+(317.6-284.3)+(0+(0-0))+0-28.1-0</f>
        <v>1836.2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1359.4+(145.9-200)+(-0.693294+(-0.074409--0.102))+0-27.9--0.0142289999999972</f>
        <v>1276.7485260000001</v>
      </c>
      <c r="G239" s="3">
        <f>1298.3+(168.9-257.2)+(-0.662133+(-0.086139--0.131172))+0-28--0.0142799999999972</f>
        <v>1181.3971800000002</v>
      </c>
      <c r="H239" s="3">
        <f>1189.3+(226.5-244)+(-2.426172+(-0.46206--0.49776))+0-27.8--0.0567119999999988</f>
        <v>1141.66624</v>
      </c>
      <c r="I239" s="3">
        <f>1181+(229.2-251.1)+(3.01155+(0.58446-0.640305))+0-28.2-0.0719099999999959</f>
        <v>1133.7837950000001</v>
      </c>
      <c r="J239" s="3">
        <f>1203.2+(222.3-275)+(0+(0-0))+0-28.3-0</f>
        <v>1122.2</v>
      </c>
      <c r="K239" s="3">
        <f>1399.5+(204.7-433.2)+(-2.85498+(-0.417588--0.883728))+0-26.9--0.0548759999999988</f>
        <v>1141.7660359999998</v>
      </c>
      <c r="L239" s="3">
        <f>1440.5+(171.4-375.5)+(1.46931+(0.174828-0.38301))+0-27.1-0.0276420000000043</f>
        <v>1210.5334860000003</v>
      </c>
      <c r="M239" s="3">
        <f>1448.8+(85.3-224.7)+(2.216664+(0.130509-0.343791))+0-28.1-0.0429930000000016</f>
        <v>1283.2603890000003</v>
      </c>
      <c r="N239" s="3">
        <f>1471.8+(171.2-218.8)+(1.501236+(0.174624-0.223176))+0-29.8-0.0303960000000048</f>
        <v>1395.8222879999998</v>
      </c>
      <c r="O239" s="3">
        <f>1500+(304.2-271)+(2.295+(0.465426-0.41463))+0-30-0.0459000000000017</f>
        <v>1505.499896</v>
      </c>
      <c r="P239" s="3">
        <f>1522+(398.9-306.2)+(0.77622+(0.203439-0.156162))+0-30.7-0.0156569999999969</f>
        <v>1584.8078400000002</v>
      </c>
      <c r="Q239" s="3">
        <f>1629.7+(362.2-319.8)+(-4.155735+(-0.92361--0.81549))+0-30.6--0.0780299999999956</f>
        <v>1637.314175</v>
      </c>
      <c r="R239" s="3">
        <f>1606+(352.7-302.6)+(-4.0953+(-0.899385--0.77163))+0-28.4--0.0724199999999959</f>
        <v>1623.5493649999999</v>
      </c>
      <c r="S239" s="3">
        <f>1583.5+(308.2-272.3)+(-0.807585+(-0.157182--0.138873))+0-28.3--0.0144329999999971</f>
        <v>1590.2885390000001</v>
      </c>
      <c r="T239" s="3">
        <f>1581.6+(305.6-301.5)+(0.806616+(0.155856-0.153765))+0-29.4-0.014993999999997</f>
        <v>1557.0937129999998</v>
      </c>
      <c r="U239" s="3">
        <f>1584.7+(305.9-304.3)+(0+(0-0))+0-29-0</f>
        <v>1557.3</v>
      </c>
      <c r="V239" s="3">
        <f>1584+(331.4-319.3)+(-0.80784+(-0.169014--0.162843))+0-30.1--0.0153509999999969</f>
        <v>1565.2013400000001</v>
      </c>
      <c r="W239" s="3">
        <f>1695.7+(419.5-338.8)+(0+(0-0))+0-29.8-0</f>
        <v>1746.6000000000001</v>
      </c>
      <c r="X239" s="3">
        <f>1707.3+(325-166.9)+(-2.612169+(-0.49725--0.255357))+0-30--0.0459000000000017</f>
        <v>1832.5918379999998</v>
      </c>
      <c r="Y239" s="3">
        <f>1649.6+(319.7-158.2)+(-2.523888+(-0.489141--0.242046))+0-29.7--0.0454410000000017</f>
        <v>1778.674458</v>
      </c>
      <c r="Z239" s="3">
        <f>1518.5+(381.7-156.6)+(-2.323305+(-0.584001--0.239598))+0-28.5--0.0436050000000016</f>
        <v>1712.475897</v>
      </c>
      <c r="AA239" s="3">
        <f>1382.3+(436.2-156.9)+(-1.409946+(-0.444924--0.160038))+0-28.5--0.0290700000000045</f>
        <v>1631.4342380000001</v>
      </c>
      <c r="AB239" s="3">
        <f>1373.8+(390-169.3)+(-2.101914+(-0.5967--0.259029))+0-28.6--0.0437580000000017</f>
        <v>1563.504173</v>
      </c>
      <c r="AC239" s="3">
        <f>1362.4+(286-166.6)+(-0.694824+(-0.14586--0.084966))+0-27.7--0.0141269999999972</f>
        <v>1453.3584090000002</v>
      </c>
      <c r="AD239">
        <v>1808.1000000000004</v>
      </c>
      <c r="AE239" s="3">
        <f>1702+(507.6-357.3)+(0+(0-0))+0-28.6-0</f>
        <v>1823.7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1328.8+(198.5-192.6)+(0.677688+(0.101235-0.098226))+0-26.7-0.0136169999999973</f>
        <v>1308.6670799999999</v>
      </c>
      <c r="G240" s="3">
        <f>1318.1+(181-258.6)+(0.672231+(0.09231-0.131886))+0-27.4-0.0139739999999972</f>
        <v>1213.7186810000001</v>
      </c>
      <c r="H240" s="3">
        <f>1163.2+(209.4-193.9)+(0+(0-0))+0-27.9-0</f>
        <v>1150.8</v>
      </c>
      <c r="I240" s="3">
        <f>1104.9+(213.3-173.8)+(0+(0-0))+0-28.2-0</f>
        <v>1116.2</v>
      </c>
      <c r="J240" s="3">
        <f>1170.9+(185.1-216.1)+(0.597159+(0.094401-0.110211))+0-27.8-0.0141779999999972</f>
        <v>1112.6671710000003</v>
      </c>
      <c r="K240" s="3">
        <f>1257+(166.7-276.5)+(1.28214+(0.170034-0.28203))+0-25.6-0.0261120000000041</f>
        <v>1122.7440320000001</v>
      </c>
      <c r="L240" s="3">
        <f>1254+(155.1-243.4)+(-1.27908+(-0.158202--0.248268))+0-28.5--0.0290700000000045</f>
        <v>1136.040056</v>
      </c>
      <c r="M240" s="3">
        <f>1254+(90.1-206.4)+(-0.63954+(-0.045951--0.105264))+0-28.7--0.0146369999999971</f>
        <v>1108.4344100000001</v>
      </c>
      <c r="N240" s="3">
        <f>1311.4+(140.2-271)+(0+(0-0))+0-29.3-0</f>
        <v>1151.3000000000002</v>
      </c>
      <c r="O240" s="3">
        <f>1453.6+(222.8-317.8)+(0.741336+(0.113628-0.162078))+0-29.2-0.014891999999997</f>
        <v>1330.077994</v>
      </c>
      <c r="P240" s="3">
        <f>1589+(192.8-326.2)+(2.43117+(0.294984-0.499086))+0-29.6-0.0452880000000017</f>
        <v>1428.1817799999999</v>
      </c>
      <c r="Q240" s="3">
        <f>1592.3+(231.5-320)+(1.624146+(0.23613-0.3264))+0-30.3-0.0309060000000048</f>
        <v>1475.00297</v>
      </c>
      <c r="R240" s="3">
        <f>1583.3+(254.5-342)+(-4.844898+(-0.77877--1.04652))+0-28.5--0.0872100000000033</f>
        <v>1462.8100619999998</v>
      </c>
      <c r="S240" s="3">
        <f>1619+(203.9-355.3)+(-3.30276+(-0.415956--0.724812))+0-26.9--0.0548759999999988</f>
        <v>1437.7609719999998</v>
      </c>
      <c r="T240" s="3">
        <f>1660.1+(110.6-337.6)+(0+(0-0))+0-29.7-0</f>
        <v>1403.3999999999999</v>
      </c>
      <c r="U240" s="3">
        <f>1669.9+(94.7-329.1)+(0.851649+(0.048297-0.167841))+0-29.6-0.015095999999997</f>
        <v>1406.6170090000001</v>
      </c>
      <c r="V240" s="3">
        <f>1729.8+(111.6-337.7)+(-0.882198+(-0.056916--0.172227))+0-29.7--0.015146999999997</f>
        <v>1473.2482600000001</v>
      </c>
      <c r="W240" s="3">
        <f>1764.4+(219.2-293.9)+(0+(0-0))+0-29.2-0</f>
        <v>1660.5</v>
      </c>
      <c r="X240" s="3">
        <f>1801.2+(140.7-204.9)+(-2.755836+(-0.215271--0.313497))+0-29.7--0.0454410000000017</f>
        <v>1704.687831</v>
      </c>
      <c r="Y240" s="3">
        <f>1804.9+(115.2-229.6)+(0+(0-0))+0-29.5-0</f>
        <v>1661</v>
      </c>
      <c r="Z240" s="3">
        <f>1803.6+(99.5-264.9)+(-1.839672+(-0.10149--0.270198))+0-29.7--0.0302940000000047</f>
        <v>1606.8593299999998</v>
      </c>
      <c r="AA240" s="3">
        <f>1806.6+(93.1-282.4)+(-1.842732+(-0.094962--0.288048))+0-28.4--0.0289680000000045</f>
        <v>1587.2793219999999</v>
      </c>
      <c r="AB240" s="3">
        <f>1664.4+(81-213)+(-2.546532+(-0.12393--0.32589))+0-27.9--0.0426870000000016</f>
        <v>1502.1981150000001</v>
      </c>
      <c r="AC240" s="3">
        <f>1445.7+(159.4-219.7)+(-2.211921+(-0.243882--0.336141))+0-18.9--0.0289170000000011</f>
        <v>1364.409255</v>
      </c>
      <c r="AD240">
        <v>1717.1</v>
      </c>
      <c r="AE240" s="3">
        <f>1808+(206.1-254.8)+(0+(0-0))+0-29-0</f>
        <v>1730.3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1367.1+(98.3-211.6)+(-2.091663+(-0.150399--0.323748))+0-11.7--0.0179010000000007</f>
        <v>1240.1995869999998</v>
      </c>
      <c r="G241" s="3">
        <f>1242+(150.6-222.5)+(-1.26684+(-0.153612--0.22695))+0-18.5--0.018870000000003</f>
        <v>1150.4253679999999</v>
      </c>
      <c r="H241" s="3">
        <f>1244.4+(131.8-253.4)+(1.269288+(0.134436-0.258468))+0-26.9-0.0274380000000043</f>
        <v>1097.017818</v>
      </c>
      <c r="I241" s="3">
        <f>1260.5+(127.9-319.2)+(0+(0-0))+0-27.6-0</f>
        <v>1041.6000000000001</v>
      </c>
      <c r="J241" s="3">
        <f>1400.9+(138.7-441.5)+(-1.428918+(-0.141474--0.45033))+0-28--0.0285600000000045</f>
        <v>1069.0084980000001</v>
      </c>
      <c r="K241" s="3">
        <f>1443+(150.8-469.8)+(-1.47186+(-0.153816--0.479196))+0-27.7--0.0282540000000044</f>
        <v>1095.1817739999999</v>
      </c>
      <c r="L241" s="3">
        <f>1458.2+(110.6-388.1)+(-0.743682+(-0.056406--0.197931))+0-27.8--0.0141779999999972</f>
        <v>1152.312021</v>
      </c>
      <c r="M241" s="3">
        <f>1524.9+(21.5-283.2)+(0+(0-0))+0-28-0</f>
        <v>1235.2</v>
      </c>
      <c r="N241" s="3">
        <f>1585+(106.1-283.8)+(0+(0-0))+0-28.9-0</f>
        <v>1378.3999999999999</v>
      </c>
      <c r="O241" s="3">
        <f>1633.2+(236-314.4)+(2.498796+(0.36108-0.481032))+0-28-0.0428400000000016</f>
        <v>1529.1360040000002</v>
      </c>
      <c r="P241" s="3">
        <f>1593.8+(319.6-312.2)+(-2.438514+(-0.488988--0.477666))+0-30--0.0459000000000017</f>
        <v>1568.7960640000001</v>
      </c>
      <c r="Q241" s="3">
        <f>1642.2+(316.1-308.3)+(-0.837522+(-0.161211--0.157233))+0-29.9--0.015248999999997</f>
        <v>1619.273749</v>
      </c>
      <c r="R241" s="3">
        <f>1698+(230.8-293.4)+(-2.59794+(-0.353124--0.448902))+0-28.8--0.0440640000000017</f>
        <v>1604.1419020000001</v>
      </c>
      <c r="S241" s="3">
        <f>1762.4+(142-309.1)+(-2.696472+(-0.21726--0.472923))+0-27.6--0.0422280000000016</f>
        <v>1565.3014190000004</v>
      </c>
      <c r="T241" s="3">
        <f>1748.8+(96.9-285.4)+(0+(0-0))+0-28.5-0</f>
        <v>1531.8</v>
      </c>
      <c r="U241" s="3">
        <f>1782.4+(68-267.2)+(-0.909024+(-0.03468--0.136272))+0-29--0.0147899999999971</f>
        <v>1553.4073579999999</v>
      </c>
      <c r="V241" s="3">
        <f>1785.2+(176-323.6)+(-0.910452+(-0.08976--0.165036))+0-29--0.0147899999999971</f>
        <v>1607.7796139999998</v>
      </c>
      <c r="W241" s="3">
        <f>1801.3+(309.3-304.5)+(0+(0-0))+0-28.4-0</f>
        <v>1777.6999999999998</v>
      </c>
      <c r="X241" s="3">
        <f>1813.3+(240.3-198)+(-2.774349+(-0.367659--0.30294))+0-29.8--0.0455940000000017</f>
        <v>1823.0065259999999</v>
      </c>
      <c r="Y241" s="3">
        <f>1796.9+(224.7-200.2)+(-4.582095+(-0.572985--0.51051))+0-30.5--0.0777749999999956</f>
        <v>1786.3332050000001</v>
      </c>
      <c r="Z241" s="3">
        <f>1696.1+(240.2-184.2)+(-3.460044+(-0.490008--0.375768))+0-30.6--0.0624239999999987</f>
        <v>1717.9881399999999</v>
      </c>
      <c r="AA241" s="3">
        <f>1561.3+(293.8-159.3)+(-1.592526+(-0.299676--0.162486))+0-30.3--0.0309060000000048</f>
        <v>1663.8011899999999</v>
      </c>
      <c r="AB241" s="3">
        <f>1526.6+(256.4-162.6)+(-3.89283+(-0.65382--0.41463))+0-28.4--0.0724199999999959</f>
        <v>1587.9403999999997</v>
      </c>
      <c r="AC241" s="3">
        <f>1499.1+(173.1-175.4)+(-0.764541+(-0.088281--0.089454))+0-28--0.0142799999999972</f>
        <v>1468.0509120000002</v>
      </c>
      <c r="AD241">
        <v>1812.8</v>
      </c>
      <c r="AE241" s="3">
        <f>1801+(388.3-318.3)+(0+(0-0))+0-28.8-0</f>
        <v>1842.2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1432.9+(128.4-209.5)+(-2.923116+(-0.261936--0.42738))+0-28--0.0571199999999988</f>
        <v>1321.0994480000002</v>
      </c>
      <c r="G242" s="3">
        <f>1384.6+(146.7-283.7)+(-2.824584+(-0.299268--0.578748))+0-28.3--0.0577319999999988</f>
        <v>1216.8126279999999</v>
      </c>
      <c r="H242" s="3">
        <f>1343.4+(159.6-313.1)+(0+(0-0))+0-28.3-0</f>
        <v>1161.6000000000001</v>
      </c>
      <c r="I242" s="3">
        <f>1351.8+(153.2-333)+(-2.068254+(-0.234396--0.50949))+0-28.1--0.0429930000000016</f>
        <v>1142.1498330000002</v>
      </c>
      <c r="J242" s="3">
        <f>1409.5+(141.8-390.1)+(0.718845+(0.072318-0.198951))+0-28.4-0.0144839999999971</f>
        <v>1133.3777279999999</v>
      </c>
      <c r="K242" s="3">
        <f>1422.1+(139.1-387.6)+(-0.725271+(-0.070941--0.197676))+0-28.3--0.0144329999999971</f>
        <v>1144.715897</v>
      </c>
      <c r="L242" s="3">
        <f>1438.6+(124.6-344.2)+(-3.66843+(-0.31773--0.87771))+0-28.1--0.0716549999999959</f>
        <v>1187.8632050000001</v>
      </c>
      <c r="M242" s="3">
        <f>1525.2+(35.4-292.4)+(0.777852+(0.018054-0.149124))+0-28.5-0.0145349999999971</f>
        <v>1240.3322470000001</v>
      </c>
      <c r="N242" s="3">
        <f>1618.8+(43.6-260.4)+(0.825588+(0.022236-0.132804))+0-30.3-0.0154529999999969</f>
        <v>1372.3995670000002</v>
      </c>
      <c r="O242" s="3">
        <f>1753.2+(40.7-255.4)+(-1.788264+(-0.041514--0.260508))+0-30.8--0.0314160000000049</f>
        <v>1506.1621460000001</v>
      </c>
      <c r="P242" s="3">
        <f>1786.2+(48.6-236.8)+(0.910962+(0.024786-0.120768))+0-29.9-0.015248999999997</f>
        <v>1568.899731</v>
      </c>
      <c r="Q242" s="3">
        <f>1775.7+(79-202.1)+(-3.622428+(-0.16116--0.412284))+0-30.6--0.0624239999999987</f>
        <v>1618.6911200000002</v>
      </c>
      <c r="R242" s="3">
        <f>1668.2+(114.4-166.5)+(-6.806256+(-0.466752--0.67932))+0-28.6--0.116687999999998</f>
        <v>1581.0230000000004</v>
      </c>
      <c r="S242" s="3">
        <f>1664.2+(74.8-182.1)+(-0.848742+(-0.038148--0.092871))+0-28.1--0.0143309999999971</f>
        <v>1528.0203120000003</v>
      </c>
      <c r="T242" s="3">
        <f>1749.9+(27.2-245.7)+(0+(0-0))+0-29.5-0</f>
        <v>1501.9</v>
      </c>
      <c r="U242" s="3">
        <f>1753.8+(28.8-253.2)+(-3.577752+(-0.058752--0.516528))+0-30--0.0611999999999987</f>
        <v>1496.3412240000002</v>
      </c>
      <c r="V242" s="3">
        <f>1760.8+(76.6-284.9)+(0.898008+(0.039066-0.145299))+0-30.2-0.0154019999999969</f>
        <v>1523.0763729999999</v>
      </c>
      <c r="W242" s="3">
        <f>1765.1+(194.7-211.1)+(0+(0-0))+0-29.8-0</f>
        <v>1718.8999999999999</v>
      </c>
      <c r="X242" s="3">
        <f>1764.1+(323.8-253.2)+(-4.498455+(-0.82569--0.64566))+0-29.5--0.0752249999999957</f>
        <v>1800.59674</v>
      </c>
      <c r="Y242" s="3">
        <f>1769.7+(275.4-272.6)+(0+(0-0))+0-28.8-0</f>
        <v>1743.7</v>
      </c>
      <c r="Z242" s="3">
        <f>1764.9+(260.7-295.8)+(-3.600396+(-0.531828--0.603432))+0-28.7--0.0585479999999987</f>
        <v>1697.629756</v>
      </c>
      <c r="AA242" s="3">
        <f>1706.6+(256-301.7)+(-0.870366+(-0.13056--0.153867))+0-28.6--0.0145859999999971</f>
        <v>1631.467527</v>
      </c>
      <c r="AB242" s="3">
        <f>1694.2+(251.7-350.8)+(-2.592126+(-0.385101--0.536724))+0-28.4--0.0434520000000016</f>
        <v>1564.3029489999997</v>
      </c>
      <c r="AC242" s="3">
        <f>1608.7+(240.4-367.8)+(-6.563496+(-0.980832--1.500624))+0-28.3--0.115463999999998</f>
        <v>1447.07176</v>
      </c>
      <c r="AD242">
        <v>1807</v>
      </c>
      <c r="AE242" s="3">
        <f>1769+(273.2-193.7)+(0+(0-0))+0-29.3-0</f>
        <v>1819.2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1439.2+(250.4-340.7)+(-3.66996+(-0.63852--0.868785))+0-28.5--0.0726749999999959</f>
        <v>1317.03298</v>
      </c>
      <c r="G243" s="3">
        <f>1317+(259.7-328.4)+(0.67167+(0.132447-0.167484))+0-28.5-0.0145349999999971</f>
        <v>1220.422098</v>
      </c>
      <c r="H243" s="3">
        <f>1309.8+(256-375.9)+(-2.671992+(-0.52224--0.766836))+0-28.5--0.0581399999999988</f>
        <v>1159.0307440000001</v>
      </c>
      <c r="I243" s="3">
        <f>1429.3+(244.7-509.5)+(0+(0-0))+0-28.4-0</f>
        <v>1136.0999999999999</v>
      </c>
      <c r="J243" s="3">
        <f>1481.6+(239.1-572.9)+(-1.511232+(-0.243882--0.584358))+0-28.4--0.0289680000000045</f>
        <v>1118.258212</v>
      </c>
      <c r="K243" s="3">
        <f>1483.7+(238.4-576)+(1.513374+(0.243168-0.58752))+0-28.5-0.0290700000000045</f>
        <v>1118.7399519999999</v>
      </c>
      <c r="L243" s="3">
        <f>1397.6+(230.7-464.8)+(-1.425552+(-0.235314--0.474096))+0-28.4--0.0289680000000045</f>
        <v>1133.942198</v>
      </c>
      <c r="M243" s="3">
        <f>1301.3+(188.4-362.9)+(-1.327326+(-0.192168--0.370158))+0-29.5--0.0300900000000047</f>
        <v>1096.180754</v>
      </c>
      <c r="N243" s="3">
        <f>1345+(194.8-364.4)+(-0.68595+(-0.099348--0.185844))+0-30.4--0.0155039999999969</f>
        <v>1144.41605</v>
      </c>
      <c r="O243" s="3">
        <f>1441.8+(229.6-387)+(-1.470636+(-0.234192--0.39474))+0-30.4--0.0310080000000048</f>
        <v>1252.7209199999998</v>
      </c>
      <c r="P243" s="3">
        <f>1383.1+(282-290.5)+(-2.116143+(-0.43146--0.444465))+0-30--0.0459000000000017</f>
        <v>1342.542762</v>
      </c>
      <c r="Q243" s="3">
        <f>1353.2+(308.6-235.8)+(-1.380264+(-0.314772--0.240516))+0-29.8--0.0303960000000048</f>
        <v>1394.7758760000002</v>
      </c>
      <c r="R243" s="3">
        <f>1387.4+(258.9-232.1)+(-2.122722+(-0.396117--0.355113))+0-28.9--0.0442170000000017</f>
        <v>1383.1804909999998</v>
      </c>
      <c r="S243" s="3">
        <f>1334.4+(235.7-186.4)+(-2.041632+(-0.360621--0.285192))+0-28.3--0.0432990000000016</f>
        <v>1353.3262380000001</v>
      </c>
      <c r="T243" s="3">
        <f>1301.9+(223-166)+(-2.655876+(-0.45492--0.33864))+0-28.5--0.0581399999999988</f>
        <v>1327.6859840000002</v>
      </c>
      <c r="U243" s="3">
        <f>1304.6+(231.6-164.8)+(0+(0-0))+0-30.3-0</f>
        <v>1341.1</v>
      </c>
      <c r="V243" s="3">
        <f>1354.1+(260.5-196.2)+(0+(0-0))+0-30.1-0</f>
        <v>1388.3</v>
      </c>
      <c r="W243" s="3">
        <f>1483+(312.9-186)+(0.75633+(0.159579-0.09486))+0-30.1-0.0153509999999969</f>
        <v>1580.6056980000001</v>
      </c>
      <c r="X243" s="3">
        <f>1514.4+(378.6-194.6)+(0+(0-0))+0-30.1-0</f>
        <v>1668.3000000000002</v>
      </c>
      <c r="Y243" s="3">
        <f>1508.9+(367.5-211.4)+(0.769539+(0.187425-0.107814))+0-30.1-0.0153509999999969</f>
        <v>1635.7337990000001</v>
      </c>
      <c r="Z243" s="3">
        <f>1501+(351.3-216.5)+(-1.53102+(-0.358326--0.22083))+0-30.1--0.0307020000000048</f>
        <v>1604.0621860000001</v>
      </c>
      <c r="AA243" s="3">
        <f>1499.6+(334.7-223.8)+(-1.529592+(-0.341394--0.228276))+0-30--0.0306000000000048</f>
        <v>1578.88789</v>
      </c>
      <c r="AB243" s="3">
        <f>1492.8+(249.4-211.3)+(-3.045312+(-0.508776--0.431052))+0-28.3--0.0577319999999988</f>
        <v>1499.5346959999999</v>
      </c>
      <c r="AC243" s="3">
        <f>1427.5+(234.6-248.7)+(-2.9121+(-0.478584--0.507348))+0-28.4--0.0579359999999988</f>
        <v>1382.1745999999998</v>
      </c>
      <c r="AD243">
        <v>1670.9</v>
      </c>
      <c r="AE243" s="3">
        <f>1529+(384.5-200.1)+(0+(0-0))+0-30.5-0</f>
        <v>1682.9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1316.3+(239.2-292.1)+(0+(0-0))+0-28.3-0</f>
        <v>1235.0999999999999</v>
      </c>
      <c r="G244" s="3">
        <f>1231.9+(251.2-314.2)+(-3.141345+(-0.64056--0.80121))+0-28.1--0.0716549999999959</f>
        <v>1137.8909600000002</v>
      </c>
      <c r="H244" s="3">
        <f>1182.5+(243.2-313.3)+(1.809225+(0.372096-0.479349))+0-28.3-0.0432990000000016</f>
        <v>1085.7586730000003</v>
      </c>
      <c r="I244" s="3">
        <f>1230.6+(249-375)+(-1.255212+(-0.25398--0.3825))+0-28.3--0.0288660000000045</f>
        <v>1075.202174</v>
      </c>
      <c r="J244" s="3">
        <f>1204.1+(256.6-363.9)+(3.070455+(0.65433-0.927945))+0-28.3-0.0721649999999959</f>
        <v>1071.2246749999999</v>
      </c>
      <c r="K244" s="3">
        <f>1200.8+(249.9-336)+(0.612408+(0.127449-0.17136))+0-28-0.0142799999999972</f>
        <v>1087.2542169999999</v>
      </c>
      <c r="L244" s="3">
        <f>1270.1+(241.3-322.9)+(-1.943253+(-0.369189--0.494037))+0-28.4--0.0434520000000016</f>
        <v>1158.3250469999998</v>
      </c>
      <c r="M244" s="3">
        <f>1330.6+(215.9-261.4)+(0.678606+(0.110109-0.133314))+0-29.4-0.014993999999997</f>
        <v>1256.3404069999999</v>
      </c>
      <c r="N244" s="3">
        <f>1501.5+(155.4-217.5)+(0.765765+(0.079254-0.110925))+0-30.2-0.0154019999999969</f>
        <v>1409.918692</v>
      </c>
      <c r="O244" s="3">
        <f>1594.3+(188.2-199.3)+(-3.252372+(-0.383928--0.406572))+0-30.7--0.0626279999999987</f>
        <v>1549.3328999999997</v>
      </c>
      <c r="P244" s="3">
        <f>1593.9+(193.6-169.7)+(-0.812889+(-0.098736--0.086547))+0-23.7--0.0120869999999976</f>
        <v>1593.2870090000001</v>
      </c>
      <c r="Q244" s="3">
        <f>1609.8+(191.6-165.6)+(0.820998+(0.097716-0.084456))+0-13-0.00662999999999868</f>
        <v>1623.627628</v>
      </c>
      <c r="R244" s="3">
        <f>1632.2+(168.9-164)+(-2.497266+(-0.258417--0.25092))+0-27.1--0.0414630000000016</f>
        <v>1607.5367000000003</v>
      </c>
      <c r="S244" s="3">
        <f>1633.3+(150-168.2)+(-2.498949+(-0.2295--0.257346))+0-27.8--0.0425340000000016</f>
        <v>1584.8714309999998</v>
      </c>
      <c r="T244" s="3">
        <f>1615.6+(160.3-169.9)+(-0.823956+(-0.081753--0.086649))+0-28--0.0142799999999972</f>
        <v>1577.1952200000001</v>
      </c>
      <c r="U244" s="3">
        <f>1566.9+(170.7-166.3)+(-2.397357+(-0.261171--0.254439))+0-28.8--0.0440640000000017</f>
        <v>1540.139975</v>
      </c>
      <c r="V244" s="3">
        <f>1606.1+(182.1-174.4)+(-0.819111+(-0.092871--0.088944))+0-28.3--0.0144329999999971</f>
        <v>1584.6913950000001</v>
      </c>
      <c r="W244" s="3">
        <f>1666.3+(324.2-165.4)+(0.849813+(0.165342-0.084354))+0-28.2-0.0143819999999971</f>
        <v>1797.8164189999998</v>
      </c>
      <c r="X244" s="3">
        <f>1669+(387.4-185.2)+(-3.40476+(-0.790296--0.377808))+0-28.2--0.0575279999999988</f>
        <v>1839.24028</v>
      </c>
      <c r="Y244" s="3">
        <f>1653.2+(363.1-196)+(0+(0-0))+0-29.4-0</f>
        <v>1790.9</v>
      </c>
      <c r="Z244" s="3">
        <f>1642.7+(340.6-218.2)+(-0.837777+(-0.173706--0.111282))+0-30.1--0.0153509999999969</f>
        <v>1734.1151500000003</v>
      </c>
      <c r="AA244" s="3">
        <f>1672.1+(291.2-250.2)+(-5.116626+(-0.891072--0.765612))+0-30.2--0.0924120000000035</f>
        <v>1677.7503259999999</v>
      </c>
      <c r="AB244" s="3">
        <f>1642.9+(220.1-235.7)+(-1.675758+(-0.224502--0.240414))+0-28.4--0.0289680000000045</f>
        <v>1597.2691220000002</v>
      </c>
      <c r="AC244" s="3">
        <f>1506.8+(243.7-236)+(-5.379276+(-0.870009--0.84252))+0-28.5--0.101745</f>
        <v>1480.69498</v>
      </c>
      <c r="AD244">
        <v>1882.5</v>
      </c>
      <c r="AE244" s="3">
        <f>1672+(412-163.5)+(0+(0-0))+0-28-0</f>
        <v>1892.5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1439+(207.7-263.6)+(-2.20167+(-0.317781--0.403308))+0-28--0.0428400000000016</f>
        <v>1353.026697</v>
      </c>
      <c r="G245" s="3">
        <f>1431.5+(206.9-362.8)+(-1.46013+(-0.211038--0.370056))+0-28.6--0.0291720000000046</f>
        <v>1245.7280599999999</v>
      </c>
      <c r="H245" s="3">
        <f>1419+(227-421.3)+(0+(0-0))+0-28.7-0</f>
        <v>1196</v>
      </c>
      <c r="I245" s="3">
        <f>1374.6+(254.3-432.1)+(0+(0-0))+0-28.5-0</f>
        <v>1168.3</v>
      </c>
      <c r="J245" s="3">
        <f>1455.9+(248.7-512)+(1.485018+(0.253674-0.52224))+0-28.5-0.0290700000000045</f>
        <v>1165.287382</v>
      </c>
      <c r="K245" s="3">
        <f>1479.3+(252.4-514.5)+(1.508886+(0.257448-0.52479))+0-28.3-0.0288660000000045</f>
        <v>1190.1126779999997</v>
      </c>
      <c r="L245" s="3">
        <f>1539.8+(233-516)+(2.355894+(0.35649-0.78948))+0-28.2-0.0431460000000016</f>
        <v>1230.4797579999999</v>
      </c>
      <c r="M245" s="3">
        <f>1649.8+(209.7-492.5)+(2.524194+(0.320841-0.753525))+0-29.5-0.0451350000000017</f>
        <v>1339.5463749999999</v>
      </c>
      <c r="N245" s="3">
        <f>1698+(186.3-378.9)+(-0.86598+(-0.095013--0.193239))+0-30.6--0.0156059999999969</f>
        <v>1474.0478520000001</v>
      </c>
      <c r="O245" s="3">
        <f>1730.7+(182.9-295.6)+(-0.882657+(-0.093279--0.150756))+0-30--0.015299999999997</f>
        <v>1587.19012</v>
      </c>
      <c r="P245" s="3">
        <f>1760.1+(155-277.3)+(-0.897651+(-0.07905--0.141423))+0-30--0.015299999999997</f>
        <v>1606.980022</v>
      </c>
      <c r="Q245" s="3">
        <f>1761.6+(171.4-263.4)+(-2.695248+(-0.262242--0.403002))+0-30.3--0.0463590000000018</f>
        <v>1636.7918709999999</v>
      </c>
      <c r="R245" s="3">
        <f>1761.4+(211.7-246)+(-2.694942+(-0.323901--0.37638))+0-27.9--0.0426870000000016</f>
        <v>1696.6002240000003</v>
      </c>
      <c r="S245" s="3">
        <f>1705+(214.7-239.2)+(-3.4782+(-0.437988--0.487968))+0-27--0.0550799999999988</f>
        <v>1650.1268600000001</v>
      </c>
      <c r="T245" s="3">
        <f>1667.9+(220.6-238.1)+(-0.850629+(-0.112506--0.121431))+0-29.7--0.015146999999997</f>
        <v>1619.8734430000002</v>
      </c>
      <c r="U245" s="3">
        <f>1641.9+(224.5-220.4)+(2.512107+(0.343485-0.337212))+0-29.9-0.0457470000000017</f>
        <v>1618.572633</v>
      </c>
      <c r="V245" s="3">
        <f>1648.3+(251.1-208.6)+(-4.203165+(-0.640305--0.53193))+0-28.9--0.0736949999999958</f>
        <v>1657.662155</v>
      </c>
      <c r="W245" s="3">
        <f>1839+(261-217.8)+(0.93789+(0.13311-0.111078))+0-29.5-0.015044999999997</f>
        <v>1853.644877</v>
      </c>
      <c r="X245" s="3">
        <f>1846.9+(341.2-264.5)+(-5.651514+(-1.044072--0.80937))+0-29.9--0.0914940000000034</f>
        <v>1887.905278</v>
      </c>
      <c r="Y245" s="3">
        <f>1852.3+(316.8-293.4)+(-1.889346+(-0.323136--0.299268))+0-30.4--0.0310080000000048</f>
        <v>1843.417794</v>
      </c>
      <c r="Z245" s="3">
        <f>1813.1+(287.7-271.7)+(-3.698724+(-0.586908--0.554268))+0-29.8--0.0607919999999987</f>
        <v>1795.629428</v>
      </c>
      <c r="AA245" s="3">
        <f>1792.7+(258.1-272.8)+(-4.571385+(-0.658155--0.69564))+0-30--0.0764999999999956</f>
        <v>1743.5426</v>
      </c>
      <c r="AB245" s="3">
        <f>1794.7+(211.5-307.5)+(-2.745891+(-0.323595--0.470475))+0-29.5--0.0451350000000017</f>
        <v>1666.6461240000001</v>
      </c>
      <c r="AC245" s="3">
        <f>1633.8+(201.4-276.1)+(-1.666476+(-0.205428--0.281622))+0-30.3--0.0309060000000048</f>
        <v>1527.240624</v>
      </c>
      <c r="AD245">
        <v>1888.4</v>
      </c>
      <c r="AE245" s="3">
        <f>1916+(265.5-259)+(0+(0-0))+0-28.7-0</f>
        <v>1893.8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1560.3+(173.1-342.7)+(1.591506+(0.176562-0.349554))+0-30.4-0.0310080000000048</f>
        <v>1361.687506</v>
      </c>
      <c r="G246" s="3">
        <f>1555.2+(225.9-486)+(-1.586304+(-0.230418--0.49572))+0-29.9--0.0304980000000048</f>
        <v>1263.909496</v>
      </c>
      <c r="H246" s="3">
        <f>1425+(246.6-423.7)+(0.72675+(0.125766-0.216087))+0-29.4-0.014993999999997</f>
        <v>1219.121435</v>
      </c>
      <c r="I246" s="3">
        <f>1443.9+(245.7-479.1)+(0.736389+(0.125307-0.244341))+0-29.6-0.015095999999997</f>
        <v>1181.5022590000001</v>
      </c>
      <c r="J246" s="3">
        <f>1442.1+(246.3-475)+(-1.470942+(-0.251226--0.4845))+0-29.8--0.0303960000000048</f>
        <v>1182.392728</v>
      </c>
      <c r="K246" s="3">
        <f>1443.7+(250.3-462.4)+(1.472574+(0.255306-0.471648))+0-29.9-0.0304980000000048</f>
        <v>1202.9257339999999</v>
      </c>
      <c r="L246" s="3">
        <f>1441.3+(248.1-393.1)+(-1.470126+(-0.253062--0.400962))+0-28.4--0.0289680000000045</f>
        <v>1266.6067419999999</v>
      </c>
      <c r="M246" s="3">
        <f>1610.8+(147.2-375.5)+(-0.821508+(-0.075072--0.191505))+0-28.7--0.0146369999999971</f>
        <v>1353.1095619999999</v>
      </c>
      <c r="N246" s="3">
        <f>1759+(65.7-306.6)+(0+(0-0))+0-29.3-0</f>
        <v>1488.8</v>
      </c>
      <c r="O246" s="3">
        <f>1767.6+(85.6-242.8)+(0.901476+(0.043656-0.123828))+0-30-0.015299999999997</f>
        <v>1581.2060039999999</v>
      </c>
      <c r="P246" s="3">
        <f>1814.8+(126.5-266.9)+(-1.851096+(-0.12903--0.272238))+0-30.7--0.0313140000000049</f>
        <v>1642.0234260000002</v>
      </c>
      <c r="Q246" s="3">
        <f>1896+(130-301)+(-4.8348+(-0.3315--0.76755))+0-29.8--0.0759899999999957</f>
        <v>1690.87724</v>
      </c>
      <c r="R246" s="3">
        <f>1863.4+(150.3-315.5)+(-2.851002+(-0.229959--0.482715))+0-28.7--0.0439110000000017</f>
        <v>1666.945665</v>
      </c>
      <c r="S246" s="3">
        <f>1856.6+(154-365.6)+(-1.893732+(-0.15708--0.372912))+0-27.6--0.0281520000000044</f>
        <v>1615.7502520000003</v>
      </c>
      <c r="T246" s="3">
        <f>1824.9+(108.1-323.9)+(2.792097+(0.165393-0.495567))+0-28.2-0.0431460000000016</f>
        <v>1583.3187770000002</v>
      </c>
      <c r="U246" s="3">
        <f>1854.8+(89.5-322.9)+(0.945948+(0.045645-0.164679))+0-30.1-0.0153509999999969</f>
        <v>1592.1115630000002</v>
      </c>
      <c r="V246" s="3">
        <f>1899.3+(126.3-344)+(0+(0-0))+0-30.3-0</f>
        <v>1651.3</v>
      </c>
      <c r="W246" s="3">
        <f>1956.1+(157.4-224)+(0+(0-0))+0-28.9-0</f>
        <v>1860.6</v>
      </c>
      <c r="X246" s="3">
        <f>1951.8+(286.8-291.6)+(-2.986254+(-0.438804--0.446148))+0-28.7--0.0439110000000017</f>
        <v>1915.3650009999999</v>
      </c>
      <c r="Y246" s="3">
        <f>1953+(296.2-348)+(-4.98015+(-0.75531--0.8874))+0-29.6--0.0754799999999957</f>
        <v>1866.8274200000001</v>
      </c>
      <c r="Z246" s="3">
        <f>1958.2+(291.9-408)+(0+(0-0))+0-29.5-0</f>
        <v>1812.6</v>
      </c>
      <c r="AA246" s="3">
        <f>1946.2+(286.5-445.7)+(-4.96281+(-0.730575--1.136535))+0-29.5--0.0752249999999957</f>
        <v>1753.0183750000001</v>
      </c>
      <c r="AB246" s="3">
        <f>1945.5+(184.6-434.5)+(-3.96882+(-0.376584--0.88638))+0-28--0.0571199999999988</f>
        <v>1664.1980959999999</v>
      </c>
      <c r="AC246" s="3">
        <f>1801.5+(194.2-421.1)+(-3.67506+(-0.396168--0.859044))+0-28.3--0.0577319999999988</f>
        <v>1543.145548</v>
      </c>
      <c r="AD246">
        <v>1880.9999999999998</v>
      </c>
      <c r="AE246" s="3">
        <f>1947+(178.3-190.4)+(0+(0-0))+0-28.7-0</f>
        <v>1906.2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1447.8+(227.2-263)+(-2.215134+(-0.347616--0.40239))+0-28.1--0.0429930000000016</f>
        <v>1381.782633</v>
      </c>
      <c r="G247" s="3">
        <f>1306.9+(257.4-265.9)+(0+(0-0))+0-28.1-0</f>
        <v>1270.3000000000002</v>
      </c>
      <c r="H247" s="3">
        <f>1314.4+(252.5-318.2)+(0+(0-0))+0-28-0</f>
        <v>1220.7</v>
      </c>
      <c r="I247" s="3">
        <f>1386.5+(248.1-411.1)+(0+(0-0))+0-28-0</f>
        <v>1195.5</v>
      </c>
      <c r="J247" s="3">
        <f>1387.3+(252.5-429.7)+(2.830092+(0.5151-0.876588))+0-28-0.0571199999999988</f>
        <v>1184.5114839999999</v>
      </c>
      <c r="K247" s="3">
        <f>1397.3+(250.2-432.2)+(2.850492+(0.510408-0.881688))+0-28.1-0.0573239999999988</f>
        <v>1189.6218879999999</v>
      </c>
      <c r="L247" s="3">
        <f>1502.6+(224.8-448)+(1.532652+(0.229296-0.45696))+0-28.2-0.0287640000000045</f>
        <v>1252.476224</v>
      </c>
      <c r="M247" s="3">
        <f>1581.4+(133.5-343.5)+(0+(0-0))+0-29.1-0</f>
        <v>1342.3000000000002</v>
      </c>
      <c r="N247" s="3">
        <f>1760.3+(90.1-341.1)+(0.897753+(0.045951-0.173961))+0-30.4-0.0155039999999969</f>
        <v>1479.654239</v>
      </c>
      <c r="O247" s="3">
        <f>1874.8+(38.6-288.4)+(1.912296+(0.039372-0.294168))+0-30.5-0.0311100000000049</f>
        <v>1596.1263900000001</v>
      </c>
      <c r="P247" s="3">
        <f>1901.4+(47.1-285.3)+(-0.969714+(-0.024021--0.145503))+0-29.3--0.014942999999997</f>
        <v>1633.0667109999999</v>
      </c>
      <c r="Q247" s="3">
        <f>1910.4+(53.5-274.1)+(-5.845824+(-0.16371--0.838746))+0-30--0.0918000000000035</f>
        <v>1654.7210120000002</v>
      </c>
      <c r="R247" s="3">
        <f>1861.3+(75.9-252.5)+(-3.797052+(-0.154836--0.5151))+0-28.5--0.0581399999999988</f>
        <v>1652.8213520000002</v>
      </c>
      <c r="S247" s="3">
        <f>1942.5+(64.4-351.3)+(-0.990675+(-0.032844--0.179163))+0-28.5--0.0145349999999971</f>
        <v>1626.2701789999999</v>
      </c>
      <c r="T247" s="3">
        <f>2064.9+(38-407.1)+(0+(0-0))+0-29-0</f>
        <v>1666.8000000000002</v>
      </c>
      <c r="U247" s="3">
        <f>2088.6+(28.4-466.7)+(1.065186+(0.014484-0.238017))+0-29.4-0.014993999999997</f>
        <v>1621.7266589999999</v>
      </c>
      <c r="V247" s="3">
        <f>2089.1+(33-448.4)+(1.065441+(0.01683-0.228684))+0-29.6-0.015095999999997</f>
        <v>1644.9384909999999</v>
      </c>
      <c r="W247" s="3">
        <f>2092.4+(123.5-334)+(-1.067124+(-0.062985--0.17034))+0-29.1--0.014840999999997</f>
        <v>1851.8550720000001</v>
      </c>
      <c r="X247" s="3">
        <f>2096.6+(276.4-436.2)+(0+(0-0))+0-29.3-0</f>
        <v>1907.5</v>
      </c>
      <c r="Y247" s="3">
        <f>2089.1+(294.4-478)+(-4.261764+(-0.600576--0.97512))+0-29.9--0.0609959999999987</f>
        <v>1871.7737759999998</v>
      </c>
      <c r="Z247" s="3">
        <f>2091.4+(285.4-531.9)+(-1.066614+(-0.145554--0.271269))+0-30.2--0.0154019999999969</f>
        <v>1813.7745030000001</v>
      </c>
      <c r="AA247" s="3">
        <f>2079.1+(279.3-570.9)+(-4.241364+(-0.569772--1.164636))+0-29.4--0.0599759999999987</f>
        <v>1754.5134759999999</v>
      </c>
      <c r="AB247" s="3">
        <f>2002.8+(144.1-455.8)+(-3.064284+(-0.220473--0.697374))+0-28.2--0.0431460000000016</f>
        <v>1660.3557629999998</v>
      </c>
      <c r="AC247" s="3">
        <f>1808.9+(136.6-400.4)+(-2.767617+(-0.208998--0.612612))+0-28.3--0.0432990000000016</f>
        <v>1514.4792960000002</v>
      </c>
      <c r="AD247">
        <v>1902.2999999999997</v>
      </c>
      <c r="AE247" s="3">
        <f>2099+(281-432.6)+(0+(0-0))+0-28.5-0</f>
        <v>1918.9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1568.7+(184.4-368.1)+(-1.600074+(-0.188088--0.375462))+0-28.3--0.0288660000000045</f>
        <v>1355.3161660000001</v>
      </c>
      <c r="G248" s="3">
        <f>1484.2+(210.2-423.9)+(-1.513884+(-0.214404--0.432378))+0-28.3--0.0288660000000045</f>
        <v>1240.9329560000001</v>
      </c>
      <c r="H248" s="3">
        <f>1419+(228.6-407.2)+(-1.44738+(-0.233172--0.415344))+0-28.2--0.0287640000000045</f>
        <v>1210.9635559999999</v>
      </c>
      <c r="I248" s="3">
        <f>1419.1+(237.8-437)+(-0.723741+(-0.121278--0.22287))+0-27.8--0.0141779999999972</f>
        <v>1191.4920289999998</v>
      </c>
      <c r="J248" s="3">
        <f>1437.7+(241.8-464.8)+(1.466454+(0.246636-0.474096))+0-27.9-0.0284580000000044</f>
        <v>1188.010536</v>
      </c>
      <c r="K248" s="3">
        <f>1553+(229.8-550.1)+(1.58406+(0.234396-0.561102))+0-27.8-0.0283560000000044</f>
        <v>1206.1289980000001</v>
      </c>
      <c r="L248" s="3">
        <f>1652.7+(218.8-568.7)+(-0.842877+(-0.111588--0.290037))+0-28--0.0142799999999972</f>
        <v>1274.149852</v>
      </c>
      <c r="M248" s="3">
        <f>1662.6+(127.1-435.7)+(0+(0-0))+0-29.3-0</f>
        <v>1324.7</v>
      </c>
      <c r="N248" s="3">
        <f>1758.6+(106.4-396.8)+(-0.896886+(-0.054264--0.202368))+0-30.1--0.0153509999999969</f>
        <v>1437.366569</v>
      </c>
      <c r="O248" s="3">
        <f>1803.1+(58.4-282)+(0.919581+(0.029784-0.14382))+0-30.8-0.0157079999999969</f>
        <v>1549.4898370000001</v>
      </c>
      <c r="P248" s="3">
        <f>1788.7+(76.4-234.1)+(-0.912237+(-0.038964--0.119391))+0-31--0.0158099999999969</f>
        <v>1599.1840000000002</v>
      </c>
      <c r="Q248" s="3">
        <f>1788.6+(101.5-219.8)+(-3.648744+(-0.20706--0.448392))+0-30.5--0.0622199999999987</f>
        <v>1636.454808</v>
      </c>
      <c r="R248" s="3">
        <f>1786.9+(97.9-222.2)+(-4.556595+(-0.249645--0.56661))+0-28.7--0.0731849999999958</f>
        <v>1629.733555</v>
      </c>
      <c r="S248" s="3">
        <f>1650.3+(140.7-196)+(-3.366612+(-0.287028--0.39984))+0-28.4--0.0579359999999988</f>
        <v>1563.4041359999999</v>
      </c>
      <c r="T248" s="3">
        <f>1634.2+(143.4-204.2)+(-2.500326+(-0.219402--0.312426))+0-29.2--0.0446760000000017</f>
        <v>1541.837374</v>
      </c>
      <c r="U248" s="3">
        <f>1634.2+(145.1-195.6)+(-1.666884+(-0.148002--0.199512))+0-30.1--0.0307020000000048</f>
        <v>1552.0153280000002</v>
      </c>
      <c r="V248" s="3">
        <f>1773+(80.5-224.9)+(-1.80846+(-0.08211--0.229398))+0-30.4--0.0310080000000048</f>
        <v>1596.5698359999997</v>
      </c>
      <c r="W248" s="3">
        <f>1791.6+(220.7-179.6)+(0.913716+(0.112557-0.091596))+0-30-0.015299999999997</f>
        <v>1803.6193769999998</v>
      </c>
      <c r="X248" s="3">
        <f>1792.2+(374.1-251.9)+(-5.484132+(-1.144746--0.770814))+0-29.6--0.0905760000000034</f>
        <v>1879.0325120000002</v>
      </c>
      <c r="Y248" s="3">
        <f>1791.8+(349.8-269.7)+(-6.396726+(-1.248786--0.962829))+0-30.5--0.108885</f>
        <v>1834.8262020000002</v>
      </c>
      <c r="Z248" s="3">
        <f>1796.3+(313.5-293.2)+(-2.748339+(-0.479655--0.448596))+0-30.3--0.0463590000000018</f>
        <v>1783.566961</v>
      </c>
      <c r="AA248" s="3">
        <f>1743.9+(303.4-282.1)+(-1.778778+(-0.309468--0.287742))+0-29.8--0.0303960000000048</f>
        <v>1733.6298920000002</v>
      </c>
      <c r="AB248" s="3">
        <f>1616.9+(267.8-216.2)+(-2.473857+(-0.409734--0.330786))+0-28.8--0.0440640000000017</f>
        <v>1637.1912589999999</v>
      </c>
      <c r="AC248" s="3">
        <f>1348.4+(350.3-171.6)+(-0.687684+(-0.178653--0.087516))+0-28.8--0.0146879999999971</f>
        <v>1497.5358670000001</v>
      </c>
      <c r="AD248">
        <v>1854.2000000000003</v>
      </c>
      <c r="AE248" s="3">
        <f>1797+(377.8-260.3)+(0+(0-0))+0-30.3-0</f>
        <v>1884.2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1293+(296.1-193.1)+(-1.97829+(-0.453033--0.295443))+0-28.3--0.0432990000000016</f>
        <v>1365.6074189999999</v>
      </c>
      <c r="G249" s="3">
        <f>1288.2+(267.7-277.8)+(-1.313964+(-0.273054--0.283356))+0-28.1--0.0286620000000045</f>
        <v>1248.7249999999999</v>
      </c>
      <c r="H249" s="3">
        <f>1289+(267.5-331.1)+(-2.62956+(-0.5457--0.675444))+0-28.1--0.0573239999999988</f>
        <v>1194.8575080000003</v>
      </c>
      <c r="I249" s="3">
        <f>1307.8+(258.4-357.3)+(1.333956+(0.263568-0.364446))+0-28.5-0.0290700000000045</f>
        <v>1181.6040079999998</v>
      </c>
      <c r="J249" s="3">
        <f>1401.7+(243.8-445.2)+(-2.859468+(-0.497352--0.908208))+0-28.2--0.0575279999999988</f>
        <v>1169.7089160000003</v>
      </c>
      <c r="K249" s="3">
        <f>1462.9+(244.3-499.5)+(-2.238237+(-0.373779--0.764235))+0-28.3--0.0432990000000016</f>
        <v>1177.5955180000001</v>
      </c>
      <c r="L249" s="3">
        <f>1542.7+(228.9-511)+(0+(0-0))+0-28-0</f>
        <v>1232.5999999999999</v>
      </c>
      <c r="M249" s="3">
        <f>1625.9+(135.6-439.5)+(0+(0-0))+0-29.6-0</f>
        <v>1292.4000000000001</v>
      </c>
      <c r="N249" s="3">
        <f>1658.2+(119.7-328.7)+(1.691364+(0.122094-0.335274))+0-30.8-0.0314160000000049</f>
        <v>1419.8467680000001</v>
      </c>
      <c r="O249" s="3">
        <f>1765.5+(89-271.6)+(-0.900405+(-0.04539--0.138516))+0-31.2--0.0159119999999968</f>
        <v>1550.908633</v>
      </c>
      <c r="P249" s="3">
        <f>1764.6+(90.2-206.1)+(-0.899946+(-0.046002--0.105111))+0-30.1--0.0153509999999969</f>
        <v>1617.774514</v>
      </c>
      <c r="Q249" s="3">
        <f>1769.1+(116.5-185.3)+(-2.706723+(-0.178245--0.283509))+0-31--0.0474300000000018</f>
        <v>1666.7459710000001</v>
      </c>
      <c r="R249" s="3">
        <f>1769.7+(110.2-192.6)+(-3.610188+(-0.224808--0.392904))+0-29.2--0.0595679999999987</f>
        <v>1654.7174759999998</v>
      </c>
      <c r="S249" s="3">
        <f>1774.5+(66.2-217.8)+(1.80999+(0.067524-0.222156))+3.5-28.7-0.0292740000000046</f>
        <v>1599.326084</v>
      </c>
      <c r="T249" s="3">
        <f>1803.2+(65.7-277.8)+(-0.919632+(-0.033507--0.141678))+0-30--0.015299999999997</f>
        <v>1560.3038389999999</v>
      </c>
      <c r="U249" s="3">
        <f>1836.4+(38.9-287)+(-0.936564+(-0.019839--0.14637))+0-30.8--0.0157079999999969</f>
        <v>1556.7056750000002</v>
      </c>
      <c r="V249" s="3">
        <f>2036.3+(16.6-415.2)+(-1.038513+(-0.008466--0.211752))+0-31--0.0158099999999969</f>
        <v>1605.8805830000001</v>
      </c>
      <c r="W249" s="3">
        <f>2067.5+(44.6-288.9)+(1.054425+(0.022746-0.147339))+0-30-0.015299999999997</f>
        <v>1794.1145320000001</v>
      </c>
      <c r="X249" s="3">
        <f>2068.5+(252.4-461.1)+(-6.32961+(-0.772344--1.410966))+0-28.7--0.0878220000000033</f>
        <v>1825.4968339999998</v>
      </c>
      <c r="Y249" s="3">
        <f>2007.4+(266.2-461)+(-3.071322+(-0.407286--0.70533))+0-29--0.0443700000000017</f>
        <v>1780.8710920000003</v>
      </c>
      <c r="Z249" s="3">
        <f>1965.4+(289.5-452.7)+(-4.009416+(-0.59058--0.923508))+0-29.4--0.0599759999999987</f>
        <v>1769.1834879999999</v>
      </c>
      <c r="AA249" s="3">
        <f>1910.1+(301.2-422.3)+(-1.948302+(-0.307224--0.430746))+0-29--0.0295800000000046</f>
        <v>1758.2048</v>
      </c>
      <c r="AB249" s="3">
        <f>1767.3+(237.2-390.2)+(-2.703969+(-0.362916--0.597006))+0-28.9--0.0442170000000017</f>
        <v>1582.9743379999998</v>
      </c>
      <c r="AC249" s="3">
        <f>1504.8+(226.7-247.8)+(-4.604688+(-0.693702--0.758268))+0-28.4--0.0869040000000033</f>
        <v>1450.8467819999996</v>
      </c>
      <c r="AD249">
        <v>1828.8999999999999</v>
      </c>
      <c r="AE249" s="3">
        <f>2070+(146.2-330.2)+(0+(0-0))+0-29.1-0</f>
        <v>1856.9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1220.6+(253.1-202.3)+(1.245012+(0.258162-0.206346))+0-28.3-0.0288660000000045</f>
        <v>1244.3679619999998</v>
      </c>
      <c r="G250" s="3">
        <f>1143.8+(276.8-172.9)+(-1.750014+(-0.423504--0.264537))+0-28.3--0.0432990000000016</f>
        <v>1217.534318</v>
      </c>
      <c r="H250" s="3">
        <f>1184.8+(240.3-224.1)+(-1.812744+(-0.367659--0.342873))+0-28.4--0.0434520000000016</f>
        <v>1170.8059219999998</v>
      </c>
      <c r="I250" s="3">
        <f>1211.4+(227.2-288.1)+(-1.235628+(-0.231744--0.293862))+0-28.3--0.0288660000000045</f>
        <v>1121.0553560000001</v>
      </c>
      <c r="J250" s="3">
        <f>1211.8+(238.5-309.7)+(-1.854054+(-0.364905--0.473841))+0-28.4--0.0434520000000016</f>
        <v>1110.4983339999997</v>
      </c>
      <c r="K250" s="3">
        <f>1156.1+(231.5-302.2)+(-1.179222+(-0.23613--0.308244))+0-28.4--0.0289680000000045</f>
        <v>1055.9218599999999</v>
      </c>
      <c r="L250" s="3">
        <f>1082.8+(245-184.4)+(-3.865596+(-0.87465--0.658308))+0-28.5--0.101745</f>
        <v>1110.9198069999998</v>
      </c>
      <c r="M250" s="3">
        <f>1079.7+(182.7-164.8)+(-1.101294+(-0.186354--0.168096))+0-29--0.0295800000000046</f>
        <v>1067.5100279999997</v>
      </c>
      <c r="N250" s="3">
        <f>1080.9+(195.2-153.4)+(0.551259+(0.099552-0.078234))+0-30.1-0.0153509999999969</f>
        <v>1093.157226</v>
      </c>
      <c r="O250" s="3">
        <f>1338+(90.1-187.5)+(-3.4119+(-0.229755--0.478125))+0-30.2--0.0770099999999956</f>
        <v>1207.3134799999998</v>
      </c>
      <c r="P250" s="3">
        <f>1406.9+(91.7-172.3)+(-2.152557+(-0.140301--0.263619))+0-30.7--0.0469710000000018</f>
        <v>1293.6177320000002</v>
      </c>
      <c r="Q250" s="3">
        <f>1459+(97.6-187.8)+(-1.48818+(-0.099552--0.191556))+0-30.5--0.0311100000000049</f>
        <v>1336.9349339999999</v>
      </c>
      <c r="R250" s="3">
        <f>1465.2+(72.8-179.8)+(-2.989008+(-0.148512--0.366792))+0-29--0.0591599999999987</f>
        <v>1326.4884320000001</v>
      </c>
      <c r="S250" s="3">
        <f>1465.1+(56.5-184.3)+(-2.241603+(-0.086445--0.281979))+0-28.2--0.0431460000000016</f>
        <v>1307.0970769999999</v>
      </c>
      <c r="T250" s="3">
        <f>1466.2+(57.1-195.9)+(0+(0-0))+0-29.7-0</f>
        <v>1297.7</v>
      </c>
      <c r="U250" s="3">
        <f>1423.8+(75.5-179.8)+(-0.726138+(-0.038505--0.091698))+0-30.2--0.0154019999999969</f>
        <v>1288.6424569999999</v>
      </c>
      <c r="V250" s="3">
        <f>1486.9+(80.9-174.2)+(1.516638+(0.082518-0.177684))+0-30.1-0.0307020000000048</f>
        <v>1364.8907700000002</v>
      </c>
      <c r="W250" s="3">
        <f>1504.7+(249-170.7)+(2.302191+(0.38097-0.261171))+0-29.2-0.0446760000000017</f>
        <v>1556.177314</v>
      </c>
      <c r="X250" s="3">
        <f>1515.2+(352-177.5)+(-1.545504+(-0.35904--0.18105))+0-29.8--0.0303960000000048</f>
        <v>1658.2069020000001</v>
      </c>
      <c r="Y250" s="3">
        <f>1514.2+(337.5-186.1)+(-1.544484+(-0.34425--0.189822))+0-30.3--0.0309060000000048</f>
        <v>1633.6319940000001</v>
      </c>
      <c r="Z250" s="3">
        <f>1512.6+(321.2-197.6)+(-1.542852+(-0.327624--0.201552))+0-30.3--0.0309060000000048</f>
        <v>1604.2619819999998</v>
      </c>
      <c r="AA250" s="3">
        <f>1510.8+(311.4-201.4)+(-2.311524+(-0.476442--0.308142))+0-30.5--0.0466650000000018</f>
        <v>1587.866841</v>
      </c>
      <c r="AB250" s="3">
        <f>1418.5+(288.2-171.4)+(-0.723435+(-0.146982--0.087414))+0-28.6--0.0145859999999971</f>
        <v>1505.931583</v>
      </c>
      <c r="AC250" s="3">
        <f>1285.6+(282.6-173.6)+(-1.966968+(-0.432378--0.265608))+0-27.8--0.0425340000000016</f>
        <v>1364.7087959999999</v>
      </c>
      <c r="AD250">
        <v>1648.1</v>
      </c>
      <c r="AE250" s="3">
        <f>1515+(355.8-169.3)+(0+(0-0))+0-30.2-0</f>
        <v>1671.3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1288.5+(188.8-215.2)+(-0.657135+(-0.096288--0.109752))+0-28--0.0142799999999972</f>
        <v>1233.470609</v>
      </c>
      <c r="G251" s="3">
        <f>1256.2+(173.1-259.4)+(0+(0-0))+0-28-0</f>
        <v>1141.9000000000001</v>
      </c>
      <c r="H251" s="3">
        <f>1162.5+(211.4-253.5)+(1.18575+(0.215628-0.25857))+0-28.2-0.0287640000000045</f>
        <v>1093.3140440000002</v>
      </c>
      <c r="I251" s="3">
        <f>1163.2+(215.9-265.2)+(2.96616+(0.550545-0.67626))+0-27.9-0.0711449999999959</f>
        <v>1088.7693000000002</v>
      </c>
      <c r="J251" s="3">
        <f>1154.3+(246.5-280.6)+(-0.588693+(-0.125715--0.143106))+0-28.3--0.0144329999999971</f>
        <v>1091.3431309999999</v>
      </c>
      <c r="K251" s="3">
        <f>1203.4+(235.1-316.5)+(2.454936+(0.479604-0.64566))+0-28.5-0.0581399999999988</f>
        <v>1095.73074</v>
      </c>
      <c r="L251" s="3">
        <f>1306.1+(208.7-332.3)+(1.998333+(0.319311-0.508419))+0-28.1-0.0429930000000016</f>
        <v>1156.166232</v>
      </c>
      <c r="M251" s="3">
        <f>1420.8+(164.1-319.8)+(-1.449216+(-0.167382--0.326196))+0-29.4--0.0299880000000047</f>
        <v>1234.4395859999997</v>
      </c>
      <c r="N251" s="3">
        <f>1448.9+(153.1-214.5)+(1.477878+(0.156162-0.21879))+0-30.3-0.0309060000000048</f>
        <v>1358.5843440000001</v>
      </c>
      <c r="O251" s="3">
        <f>1552.7+(139-165.7)+(-2.375631+(-0.21267--0.253521))+0-30.5--0.0466650000000018</f>
        <v>1493.2118850000002</v>
      </c>
      <c r="P251" s="3">
        <f>1603.1+(172.2-188.2)+(1.635162+(0.175644-0.191964))+0-30.6-0.0312120000000049</f>
        <v>1558.08763</v>
      </c>
      <c r="Q251" s="3">
        <f>1615.7+(209.8-206)+(0+(0-0))+0-30.1-0</f>
        <v>1589.4</v>
      </c>
      <c r="R251" s="3">
        <f>1619.3+(193.6-199.8)+(-2.477529+(-0.296208--0.305694))+0-29.1--0.0445230000000017</f>
        <v>1581.5764799999999</v>
      </c>
      <c r="S251" s="3">
        <f>1640.9+(134.8-207.8)+(-0.836859+(-0.068748--0.105978))+0-28.3--0.0144329999999971</f>
        <v>1538.8148040000001</v>
      </c>
      <c r="T251" s="3">
        <f>1621.9+(120.4-212.9)+(-0.827169+(-0.061404--0.108579))+0-29.7--0.015146999999997</f>
        <v>1498.9351530000001</v>
      </c>
      <c r="U251" s="3">
        <f>1623+(134.8-210.3)+(-2.48319+(-0.206244--0.321759))+0-31.1--0.0475830000000018</f>
        <v>1514.0799080000002</v>
      </c>
      <c r="V251" s="3">
        <f>1624.3+(175.1-217.8)+(1.656786+(0.178602-0.222156))+0-30.7-0.0313140000000049</f>
        <v>1552.4819179999997</v>
      </c>
      <c r="W251" s="3">
        <f>1655.3+(365.8-211.2)+(0.844203+(0.186558-0.107712))+0-29.7-0.015146999999997</f>
        <v>1781.107902</v>
      </c>
      <c r="X251" s="3">
        <f>1771.8+(350.5-221.4)+(-2.710854+(-0.536265--0.338742))+0-30--0.0459000000000017</f>
        <v>1868.037523</v>
      </c>
      <c r="Y251" s="3">
        <f>1872.7+(266.1-272.6)+(-0.955077+(-0.135711--0.139026))+0-30.4--0.0155039999999969</f>
        <v>1834.863742</v>
      </c>
      <c r="Z251" s="3">
        <f>1878.5+(243-319.1)+(-1.91607+(-0.24786--0.325482))+0-30.7--0.0313140000000049</f>
        <v>1769.8928660000001</v>
      </c>
      <c r="AA251" s="3">
        <f>1874.6+(232-368.4)+(-1.912092+(-0.23664--0.375768))+0-30.4--0.0310080000000048</f>
        <v>1706.0580439999997</v>
      </c>
      <c r="AB251" s="3">
        <f>1862.5+(145.5-351.7)+(-0.949875+(-0.074205--0.179367))+0-28.7--0.0146369999999971</f>
        <v>1626.7699239999999</v>
      </c>
      <c r="AC251" s="3">
        <f>1744.2+(157.7-380.5)+(-0.889542+(-0.080427--0.194055))+0-28.9--0.0147389999999971</f>
        <v>1491.7388249999999</v>
      </c>
      <c r="AD251">
        <v>1858.6999999999998</v>
      </c>
      <c r="AE251" s="3">
        <f>1700+(409.7-203.6)+(0+(0-0))+0-28.2-0</f>
        <v>1877.8999999999999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1659.6+(134.8-421.6)+(-1.692792+(-0.137496--0.430032))+0-28.9--0.0294780000000046</f>
        <v>1342.5292219999999</v>
      </c>
      <c r="G252" s="3">
        <f>1478.1+(185.1-401.4)+(-1.507662+(-0.188802--0.409428))+0-28.2--0.0287640000000045</f>
        <v>1232.3417279999999</v>
      </c>
      <c r="H252" s="3">
        <f>1398.9+(219.6-405.4)+(1.426878+(0.223992-0.413508))+0-28.2-0.0287640000000045</f>
        <v>1186.1085980000003</v>
      </c>
      <c r="I252" s="3">
        <f>1399.4+(227.6-432.1)+(2.141082+(0.348228-0.661113))+0-28-0.0428400000000016</f>
        <v>1168.6853570000001</v>
      </c>
      <c r="J252" s="3">
        <f>1406.6+(230.6-444.3)+(3.58683+(0.58803-1.132965))+0-28.1-0.0716549999999959</f>
        <v>1167.7702400000001</v>
      </c>
      <c r="K252" s="3">
        <f>1429.4+(244.5-476.4)+(2.186982+(0.374085-0.728892))+0-19.8-0.0302940000000011</f>
        <v>1179.5018810000001</v>
      </c>
      <c r="L252" s="3">
        <f>1545.3+(233-519.8)+(-3.152412+(-0.47532--1.060392))+0-7.8--0.0159119999999997</f>
        <v>1248.1485720000001</v>
      </c>
      <c r="M252" s="3">
        <f>1636.8+(188.9-511.7)+(-0.834768+(-0.096339--0.260967))+0-6.4--0.00326399999999935</f>
        <v>1306.9331239999999</v>
      </c>
      <c r="N252" s="3">
        <f>1796+(152.9-513.9)+(1.83192+(0.155958-0.524178))+0-5.6-0.00571200000000089</f>
        <v>1430.8579880000002</v>
      </c>
      <c r="O252" s="3">
        <f>1815+(107-374.1)+(0+(0-0))+0-4.9-0</f>
        <v>1543</v>
      </c>
      <c r="P252" s="3">
        <f>1813.9+(79-294.1)+(0.925089+(0.04029-0.149991))+0-3-0.0015299999999997</f>
        <v>1596.6138580000002</v>
      </c>
      <c r="Q252" s="3">
        <f>1815.6+(91.9-262.9)+(-1.851912+(-0.093738--0.268158))+0-3.8--0.00387600000000061</f>
        <v>1639.1263839999999</v>
      </c>
      <c r="R252" s="3">
        <f>1812+(56.4-252.5)+(-5.54472+(-0.172584--0.77265))+0-1.9--0.00581400000000022</f>
        <v>1609.0611600000002</v>
      </c>
      <c r="S252" s="3">
        <f>1815.1+(35-285.2)+(-4.628505+(-0.08925--0.72726))+0-1.5--0.00382499999999978</f>
        <v>1559.4133299999999</v>
      </c>
      <c r="T252" s="3">
        <f>1813.9+(31.1-309)+(-1.850178+(-0.031722--0.31518))+0-1.5--0.00153000000000024</f>
        <v>1532.93481</v>
      </c>
      <c r="U252" s="3">
        <f>1815.2+(29.7-309)+(1.851504+(0.030294-0.31518))+0-1.5-0.00153000000000024</f>
        <v>1535.9650880000002</v>
      </c>
      <c r="V252" s="3">
        <f>1658.4+(108.6-175.1)+(1.691568+(0.110772-0.178602))+0-1.8-0.00183600000000029</f>
        <v>1591.7219020000002</v>
      </c>
      <c r="W252" s="3">
        <f>1499.2+(450.4-162.6)+(2.293776+(0.689112-0.248778))+0-2.7-0.00413100000000016</f>
        <v>1787.0299790000001</v>
      </c>
      <c r="X252" s="3">
        <f>1510.3+(512.7-168.2)+(-2.310759+(-0.784431--0.257346))+0-4.4--0.00673200000000026</f>
        <v>1847.568888</v>
      </c>
      <c r="Y252" s="3">
        <f>1533.8+(459.1-171.2)+(-1.564476+(-0.468282--0.174624))+0-5.4--0.00550800000000086</f>
        <v>1814.4473739999999</v>
      </c>
      <c r="Z252" s="3">
        <f>1531.7+(408.2-178.8)+(-0.781167+(-0.208182--0.091188))+0-5.6--0.00285599999999943</f>
        <v>1754.604695</v>
      </c>
      <c r="AA252" s="3">
        <f>1532.1+(349.2-177.5)+(-1.562742+(-0.356184--0.18105))+0-7.9--0.00805800000000126</f>
        <v>1694.1701819999998</v>
      </c>
      <c r="AB252" s="3">
        <f>1518.7+(303.4-174.5)+(-4.647222+(-0.928404--0.53397))+0-23.8--0.0728280000000028</f>
        <v>1618.8311719999999</v>
      </c>
      <c r="AC252" s="3">
        <f>1503.6+(221.4-199.6)+(-3.83418+(-0.56457--0.50898))+0-26.6--0.0678299999999961</f>
        <v>1494.9780599999999</v>
      </c>
      <c r="AD252">
        <v>1850.4</v>
      </c>
      <c r="AE252" s="3">
        <f>1500.5+(534-160.3)+(0+(0-0))+0-3.2-0</f>
        <v>1871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1342.2+(221.7-202.7)+(-0.684522+(-0.113067--0.103377))+0-26.8--0.0136679999999973</f>
        <v>1333.719456</v>
      </c>
      <c r="G253" s="3">
        <f>1312.5+(209.3-258.1)+(-2.6775+(-0.426972--0.526524))+0-27.2--0.0554879999999988</f>
        <v>1233.9775399999999</v>
      </c>
      <c r="H253" s="3">
        <f>1317.2+(226.7-329.4)+(2.015316+(0.346851-0.503982))+0-26.5-0.0405450000000015</f>
        <v>1189.81764</v>
      </c>
      <c r="I253" s="3">
        <f>1368.5+(238.3-403.7)+(-2.093805+(-0.364599--0.617661))+0-26.7--0.0408510000000015</f>
        <v>1174.6001079999999</v>
      </c>
      <c r="J253" s="3">
        <f>1435+(241.2-478)+(2.9274+(0.492048-0.97512))+0-26.4-0.0538559999999988</f>
        <v>1174.190472</v>
      </c>
      <c r="K253" s="3">
        <f>1477.3+(222.2-491.4)+(0.753423+(0.113322-0.250614))+0-26.8-0.0136679999999973</f>
        <v>1181.9024629999999</v>
      </c>
      <c r="L253" s="3">
        <f>1575.8+(185.4-480.2)+(-0.803658+(-0.094554--0.244902))+0-26.6--0.0135659999999973</f>
        <v>1253.7602560000003</v>
      </c>
      <c r="M253" s="3">
        <f>1729+(99.6-464.6)+(-0.88179+(-0.050796--0.236946))+0-27--0.0137699999999973</f>
        <v>1336.3181300000001</v>
      </c>
      <c r="N253" s="3">
        <f>1806.1+(69.2-369.5)+(-0.921111+(-0.035292--0.188445))+0-29.3--0.014942999999997</f>
        <v>1475.746985</v>
      </c>
      <c r="O253" s="3">
        <f>1835.2+(49.2-248.6)+(-0.935952+(-0.025092--0.126786))+0-30--0.015299999999997</f>
        <v>1604.9810420000001</v>
      </c>
      <c r="P253" s="3">
        <f>1848.1+(64.5-241.4)+(-0.942531+(-0.032895--0.123114))+0-30.4--0.0155039999999969</f>
        <v>1639.9631919999997</v>
      </c>
      <c r="Q253" s="3">
        <f>1857.1+(69.7-226.6)+(-2.841363+(-0.106641--0.346698))+0-30.2--0.0462060000000017</f>
        <v>1667.4448999999997</v>
      </c>
      <c r="R253" s="3">
        <f>1859.5+(58.6-227.9)+(-2.845035+(-0.089658--0.348687))+0-29.2--0.0446760000000017</f>
        <v>1658.45867</v>
      </c>
      <c r="S253" s="3">
        <f>1874.9+(39-292.4)+(-0.956199+(-0.01989--0.149124))+0-28.5--0.0145349999999971</f>
        <v>1592.1875700000001</v>
      </c>
      <c r="T253" s="3">
        <f>1697.2+(104.1-222.6)+(2.596716+(0.159273-0.340578))+0-29.7-0.0454410000000017</f>
        <v>1551.36997</v>
      </c>
      <c r="U253" s="3">
        <f>1733.7+(92.6-233.8)+(0+(0-0))+0-29.8-0</f>
        <v>1562.7</v>
      </c>
      <c r="V253" s="3">
        <f>1830.8+(65.6-260.3)+(-3.734832+(-0.133824--0.531012))+0-29.3--0.0597719999999987</f>
        <v>1603.5221280000001</v>
      </c>
      <c r="W253" s="3">
        <f>1865.3+(209.4-192)+(0.951303+(0.106794-0.09792))+0-29.1-0.014840999999997</f>
        <v>1854.5453360000001</v>
      </c>
      <c r="X253" s="3">
        <f>1880.9+(317.9-228.7)+(-2.877777+(-0.486387--0.349911))+0-29.4--0.0449820000000017</f>
        <v>1937.7307289999999</v>
      </c>
      <c r="Y253" s="3">
        <f>1877.6+(296.8-254)+(0+(0-0))+0-30.3-0</f>
        <v>1890.1</v>
      </c>
      <c r="Z253" s="3">
        <f>1882.6+(274.4-293.6)+(0+(0-0))+0-29.9-0</f>
        <v>1833.4999999999998</v>
      </c>
      <c r="AA253" s="3">
        <f>1865.4+(239.7-313.6)+(-3.805416+(-0.488988--0.639744))+0-29.4--0.0599759999999987</f>
        <v>1758.505316</v>
      </c>
      <c r="AB253" s="3">
        <f>1862.6+(157.6-307.8)+(-6.649482+(-0.562632--1.098846))+0-28--0.0999600000000004</f>
        <v>1678.3866919999998</v>
      </c>
      <c r="AC253" s="3">
        <f>1776.7+(169.8-388.1)+(-4.530585+(-0.43299--0.989655))+0-27.8--0.070889999999996</f>
        <v>1526.6969700000002</v>
      </c>
      <c r="AD253">
        <v>1923.5</v>
      </c>
      <c r="AE253" s="3">
        <f>1862.5+(326.4-213.5)+(0+(0-0))+0-27.9-0</f>
        <v>1947.5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1675.6+(171.5-436.2)+(-5.981892+(-0.612255--1.557234))+0-28.4--0.101388</f>
        <v>1377.5644749999999</v>
      </c>
      <c r="G254" s="3">
        <f>1406.4+(209.9-314.2)+(-2.869056+(-0.428196--0.640968))+0-28.1--0.0573239999999988</f>
        <v>1271.4010400000004</v>
      </c>
      <c r="H254" s="3">
        <f>1418.2+(190.9-352.6)+(0+(0-0))+0-28-0</f>
        <v>1228.5</v>
      </c>
      <c r="I254" s="3">
        <f>1486+(212.8-479.1)+(-1.51572+(-0.217056--0.488682))+0-27.6--0.0281520000000044</f>
        <v>1190.8840580000003</v>
      </c>
      <c r="J254" s="3">
        <f>1512.4+(204.5-505.7)+(0+(0-0))+0-27.9-0</f>
        <v>1183.3</v>
      </c>
      <c r="K254" s="3">
        <f>1555.6+(216.2-544.9)+(2.380068+(0.330786-0.833697))+0-28.1-0.0429930000000016</f>
        <v>1200.6341639999998</v>
      </c>
      <c r="L254" s="3">
        <f>1697.7+(212.1-613.8)+(-3.463308+(-0.432684--1.252152))+0-28.3--0.0577319999999988</f>
        <v>1265.1138920000001</v>
      </c>
      <c r="M254" s="3">
        <f>1726.4+(130.9-497.9)+(-0.880464+(-0.066759--0.253929))+0-28.5--0.0145349999999971</f>
        <v>1330.2212410000002</v>
      </c>
      <c r="N254" s="3">
        <f>1800.1+(87.5-413.6)+(0+(0-0))+0-29.5-0</f>
        <v>1444.5</v>
      </c>
      <c r="O254" s="3">
        <f>1803.1+(44.8-265)+(-0.919581+(-0.022848--0.13515))+0-29.6--0.015095999999997</f>
        <v>1552.5078169999999</v>
      </c>
      <c r="P254" s="3">
        <f>1802.7+(76.1-207.8)+(-3.677508+(-0.155244--0.423912))+0-30.2--0.0616079999999987</f>
        <v>1637.4527679999999</v>
      </c>
      <c r="Q254" s="3">
        <f>1794.1+(123.6-197.4)+(-4.574955+(-0.31518--0.50337))+0-31.1--0.0793049999999955</f>
        <v>1684.8925400000001</v>
      </c>
      <c r="R254" s="3">
        <f>1797.8+(89.1-197.3)+(-4.58439+(-0.227205--0.503115))+0-29.9--0.0762449999999957</f>
        <v>1655.4677649999999</v>
      </c>
      <c r="S254" s="3">
        <f>1816.4+(54.9-244.9)+(-2.779092+(-0.083997--0.374697))+0-29.2--0.0446760000000017</f>
        <v>1594.7562840000001</v>
      </c>
      <c r="T254" s="3">
        <f>1819.6+(52.6-261)+(-2.783988+(-0.080478--0.39933))+0-30.2--0.0462060000000017</f>
        <v>1578.5810699999997</v>
      </c>
      <c r="U254" s="3">
        <f>1821+(48.1-266.9)+(-1.85742+(-0.049062--0.272238))+0-30.2--0.0308040000000048</f>
        <v>1570.3965599999999</v>
      </c>
      <c r="V254" s="3">
        <f>1827.1+(55.2-243.2)+(0+(0-0))+0-29.9-0</f>
        <v>1609.1999999999998</v>
      </c>
      <c r="W254" s="3">
        <f>1827.5+(232.5-185.5)+(3.7281+(0.4743-0.37842))+0-29.6-0.0603839999999987</f>
        <v>1848.6635960000001</v>
      </c>
      <c r="X254" s="3">
        <f>1822.5+(321.1-196.7)+(-2.788425+(-0.491283--0.300951))+0-30.1--0.0460530000000017</f>
        <v>1913.8672960000001</v>
      </c>
      <c r="Y254" s="3">
        <f>1818.2+(304-226)+(-5.563692+(-0.93024--0.69156))+0-30.3--0.0927180000000035</f>
        <v>1860.1903460000001</v>
      </c>
      <c r="Z254" s="3">
        <f>1825.1+(276.4-267.2)+(-2.792403+(-0.422892--0.408816))+0-30.3--0.0463590000000018</f>
        <v>1801.2398799999999</v>
      </c>
      <c r="AA254" s="3">
        <f>1825.3+(230-274.6)+(-2.792709+(-0.3519--0.420138))+0-30--0.0459000000000017</f>
        <v>1748.0214289999999</v>
      </c>
      <c r="AB254" s="3">
        <f>1828.2+(165.2-288.3)+(-0.932382+(-0.084252--0.147033))+0-28.3--0.0144329999999971</f>
        <v>1675.9448319999999</v>
      </c>
      <c r="AC254" s="3">
        <f>1817.8+(133-381.4)+(-4.63539+(-0.33915--0.97257))+0-28.2--0.0719099999999959</f>
        <v>1537.2699399999999</v>
      </c>
      <c r="AD254">
        <v>1906.1999999999998</v>
      </c>
      <c r="AE254" s="3">
        <f>1833+(289.7-168.6)+(0+(0-0))+0-28.7-0</f>
        <v>1925.3999999999999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1703.8+(123.8-427.6)+(-3.475752+(-0.252552--0.872304))+0-28.1--0.0573239999999988</f>
        <v>1369.1013240000002</v>
      </c>
      <c r="G255" s="3">
        <f>1625+(187.1-521.7)+(0.82875+(0.095421-0.266067))+0-27.8-0.0141779999999972</f>
        <v>1263.2439260000003</v>
      </c>
      <c r="H255" s="3">
        <f>1550.9+(210.2-522.1)+(1.581918+(0.214404-0.532542))+0-27.6-0.0281520000000044</f>
        <v>1212.635628</v>
      </c>
      <c r="I255" s="3">
        <f>1543.8+(210.9-538.1)+(-2.362014+(-0.322677--0.823293))+0-27.4--0.0419220000000016</f>
        <v>1187.3805239999999</v>
      </c>
      <c r="J255" s="3">
        <f>1547.2+(212.6-542.8)+(-0.789072+(-0.108426--0.276828))+0-27.9--0.0142289999999972</f>
        <v>1188.4935589999998</v>
      </c>
      <c r="K255" s="3">
        <f>1573.9+(207.5-561.3)+(3.210756+(0.4233-1.145052))+0-28-0.0571199999999988</f>
        <v>1194.5318840000002</v>
      </c>
      <c r="L255" s="3">
        <f>1743.9+(196.1-651.5)+(0+(0-0))+0-28-0</f>
        <v>1260.5</v>
      </c>
      <c r="M255" s="3">
        <f>1753.5+(97.5-518.7)+(-0.894285+(-0.049725--0.264537))+0-29.5--0.015044999999997</f>
        <v>1302.1355720000001</v>
      </c>
      <c r="N255" s="3">
        <f>1779.1+(49.9-352.9)+(0+(0-0))+0-30.5-0</f>
        <v>1445.6</v>
      </c>
      <c r="O255" s="3">
        <f>1846.3+(49.1-310)+(0+(0-0))+0-30.9-0</f>
        <v>1554.5</v>
      </c>
      <c r="P255" s="3">
        <f>1936.7+(46.3-344.7)+(-0.987717+(-0.023613--0.175797))+0-31.5--0.0160649999999968</f>
        <v>1605.9805320000003</v>
      </c>
      <c r="Q255" s="3">
        <f>1935.9+(56-314.8)+(-0.987309+(-0.02856--0.160548))+0-30.9--0.0157589999999969</f>
        <v>1645.3604379999999</v>
      </c>
      <c r="R255" s="3">
        <f>1873.1+(71.4-288.4)+(0+(0-0))+0-29.2-0</f>
        <v>1626.8999999999999</v>
      </c>
      <c r="S255" s="3">
        <f>1826.5+(72-290.4)+(0+(0-0))+0-28.7-0</f>
        <v>1579.3999999999999</v>
      </c>
      <c r="T255" s="3">
        <f>1800.7+(75.7-299.7)+(1.836714+(0.077214-0.305694))+0-29.5-0.0300900000000047</f>
        <v>1548.7781440000001</v>
      </c>
      <c r="U255" s="3">
        <f>1797.1+(72.1-295.2)+(-1.833042+(-0.073542--0.301104))+0-29.8--0.0303960000000048</f>
        <v>1542.6249160000002</v>
      </c>
      <c r="V255" s="3">
        <f>1884.4+(57.1-325.4)+(0+(0-0))+0-29.3-0</f>
        <v>1586.8000000000002</v>
      </c>
      <c r="W255" s="3">
        <f>2126.5+(54.9-317.7)+(0+(0-0))+0-28.9-0</f>
        <v>1834.8</v>
      </c>
      <c r="X255" s="3">
        <f>2035.5+(234.4-343.3)+(-3.114315+(-0.358632--0.525249))+0-29.3--0.0448290000000017</f>
        <v>1894.3971309999999</v>
      </c>
      <c r="Y255" s="3">
        <f>1819.6+(283-236.8)+(-3.711984+(-0.57732--0.483072))+0-29.6--0.0603839999999987</f>
        <v>1832.454152</v>
      </c>
      <c r="Z255" s="3">
        <f>1799.5+(262.3-254.7)+(-1.83549+(-0.267546--0.259794))+0-29.5--0.0300900000000047</f>
        <v>1775.786848</v>
      </c>
      <c r="AA255" s="3">
        <f>1800.6+(239.2-285.8)+(-2.754918+(-0.365976--0.437274))+0-29.6--0.0452880000000017</f>
        <v>1721.7616680000001</v>
      </c>
      <c r="AB255" s="3">
        <f>1781+(155.4-251)+(-3.63324+(-0.317016--0.51204))+0-28.1--0.0573239999999988</f>
        <v>1653.9191080000003</v>
      </c>
      <c r="AC255" s="3">
        <f>1603.7+(166.3-218)+(-3.271548+(-0.339252--0.44472))+0-28.1--0.0573239999999988</f>
        <v>1520.7912440000002</v>
      </c>
      <c r="AD255">
        <v>1904.7000000000003</v>
      </c>
      <c r="AE255" s="3">
        <f>2186.4+(70.9-308.3)+(0+(0-0))+0-28.1-0</f>
        <v>1920.9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1591+(165.4-346.3)+(-2.43423+(-0.253062--0.529839))+0-28--0.0428400000000016</f>
        <v>1379.9853869999999</v>
      </c>
      <c r="G256" s="3">
        <f>1534.1+(195-462.5)+(-6.259128+(-0.7956--1.887))+0-27.6--0.112607999999998</f>
        <v>1233.94488</v>
      </c>
      <c r="H256" s="3">
        <f>1473.1+(205.6-451.8)+(-5.258967+(-0.733992--1.612926))+0-27.5--0.0981750000000004</f>
        <v>1195.118142</v>
      </c>
      <c r="I256" s="3">
        <f>1458.3+(205.4-436.8)+(-2.974932+(-0.419016--0.891072))+0-27.4--0.0558959999999988</f>
        <v>1197.0530199999998</v>
      </c>
      <c r="J256" s="3">
        <f>1463+(207.2-449.1)+(-0.74613+(-0.105672--0.229041))+0-27.5--0.0140249999999972</f>
        <v>1192.9912639999998</v>
      </c>
      <c r="K256" s="3">
        <f>1464.5+(209.1-445.5)+(0+(0-0))+0-27.3-0</f>
        <v>1200.8</v>
      </c>
      <c r="L256" s="3">
        <f>1547+(192.1-476.1)+(-1.57794+(-0.195942--0.485622))+0-27.8--0.0283560000000044</f>
        <v>1233.940096</v>
      </c>
      <c r="M256" s="3">
        <f>1703.9+(84.3-459)+(0.868989+(0.042993-0.23409))+0-29.1-0.014840999999997</f>
        <v>1300.7630510000001</v>
      </c>
      <c r="N256" s="3">
        <f>1793.2+(57.5-387.9)+(1.829064+(0.05865-0.395658))+0-30.5-0.0311100000000049</f>
        <v>1433.7609460000003</v>
      </c>
      <c r="O256" s="3">
        <f>1809.5+(57.9-270.8)+(-0.922845+(-0.029529--0.138108))+0-30.6--0.0156059999999969</f>
        <v>1565.2013399999998</v>
      </c>
      <c r="P256" s="3">
        <f>1812.1+(89.8-242.4)+(0+(0-0))+0-30.3-0</f>
        <v>1629.2</v>
      </c>
      <c r="Q256" s="3">
        <f>1804.8+(110.7-217.3)+(-2.761344+(-0.169371--0.332469))+0-29.4--0.0449820000000017</f>
        <v>1666.2467359999998</v>
      </c>
      <c r="R256" s="3">
        <f>1795.4+(118.7-231.7)+(-5.493924+(-0.363222--0.709002))+0-28.2--0.0862920000000033</f>
        <v>1649.138148</v>
      </c>
      <c r="S256" s="3">
        <f>1800.2+(95.3-279.3)+(-4.59051+(-0.243015--0.712215))+0-28.5--0.0726749999999959</f>
        <v>1583.6513649999999</v>
      </c>
      <c r="T256" s="3">
        <f>1805.8+(54.4-294.5)+(0.920958+(0.027744-0.150195))+0-29.4-0.014993999999997</f>
        <v>1537.083513</v>
      </c>
      <c r="U256" s="3">
        <f>1803.3+(53.1-286.9)+(-2.759049+(-0.081243--0.438957))+0-29.7--0.0454410000000017</f>
        <v>1537.4441059999999</v>
      </c>
      <c r="V256" s="3">
        <f>1810.7+(59.9-266.1)+(0+(0-0))+0-30.2-0</f>
        <v>1574.3</v>
      </c>
      <c r="W256" s="3">
        <f>1840.7+(168.5-199)+(-0.938757+(-0.085935--0.10149))+0-30--0.015299999999997</f>
        <v>1779.2920980000001</v>
      </c>
      <c r="X256" s="3">
        <f>1853.5+(281.6-242.7)+(1.89057+(0.287232-0.247554))+0-30.4-0.0310080000000048</f>
        <v>1863.89924</v>
      </c>
      <c r="Y256" s="3">
        <f>1850.2+(273.6-269.1)+(-3.774408+(-0.558144--0.548964))+0-29.9--0.0609959999999987</f>
        <v>1821.0774079999999</v>
      </c>
      <c r="Z256" s="3">
        <f>1763+(278.1-241.1)+(-3.59652+(-0.567324--0.491844))+0-30.5--0.0622199999999987</f>
        <v>1765.89022</v>
      </c>
      <c r="AA256" s="3">
        <f>1755.9+(251.4-274.8)+(0.895509+(0.128214-0.140148))+0-30.1-0.0153509999999969</f>
        <v>1703.2682240000001</v>
      </c>
      <c r="AB256" s="3">
        <f>1756+(129.5-219.6)+(-0.89556+(-0.066045--0.111996))+0-28.4--0.0144839999999971</f>
        <v>1636.6648749999999</v>
      </c>
      <c r="AC256" s="3">
        <f>1670.2+(151.7-256.5)+(-2.555406+(-0.232101--0.392445))+0-28.1--0.0429930000000016</f>
        <v>1534.9479310000002</v>
      </c>
      <c r="AD256">
        <v>1838.5</v>
      </c>
      <c r="AE256" s="3">
        <f>1849.5+(218.6-184.4)+(0+(0-0))+0-29-0</f>
        <v>1854.7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1401.3+(190.8-203.3)+(-3.573315+(-0.48654--0.518415))+0-27.7--0.070634999999996</f>
        <v>1357.629195</v>
      </c>
      <c r="G257" s="3">
        <f>1381.2+(199.7-302.3)+(-1.408824+(-0.203694--0.308346))+0-27.4--0.0279480000000044</f>
        <v>1249.9237759999996</v>
      </c>
      <c r="H257" s="3">
        <f>1359.8+(239.7-370.3)+(-1.386996+(-0.244494--0.377706))+0-27.6--0.0281520000000044</f>
        <v>1200.374368</v>
      </c>
      <c r="I257" s="3">
        <f>1319.2+(272.9-388.9)+(-0.672792+(-0.139179--0.198339))+0-27.9--0.0142289999999972</f>
        <v>1174.7005969999998</v>
      </c>
      <c r="J257" s="3">
        <f>1328.1+(213.7-356.8)+(-0.677331+(-0.108987--0.181968))+0-28.1--0.0143309999999971</f>
        <v>1156.3099810000001</v>
      </c>
      <c r="K257" s="3">
        <f>1333.4+(220.3-359.1)+(2.720136+(0.449412-0.732564))+0-27.7-0.0565079999999988</f>
        <v>1169.2804760000001</v>
      </c>
      <c r="L257" s="3">
        <f>1329.5+(204.2-314)+(-1.35609+(-0.208284--0.32028))+0-28--0.0285600000000045</f>
        <v>1190.4844660000001</v>
      </c>
      <c r="M257" s="3">
        <f>1367.6+(105-284)+(0+(0-0))+0-30.1-0</f>
        <v>1158.5</v>
      </c>
      <c r="N257" s="3">
        <f>1478.4+(77.8-307.9)+(0+(0-0))+0-30.8-0</f>
        <v>1217.5000000000002</v>
      </c>
      <c r="O257" s="3">
        <f>1562.7+(62.9-260.6)+(-0.796977+(-0.032079--0.132906))+0-31.3--0.0159629999999968</f>
        <v>1333.0198130000001</v>
      </c>
      <c r="P257" s="3">
        <f>1605.2+(65-246)+(-2.455956+(-0.09945--0.37638))+0-31.5--0.0481950000000018</f>
        <v>1390.5691690000001</v>
      </c>
      <c r="Q257" s="3">
        <f>1652.1+(67.1-248.8)+(-3.370284+(-0.136884--0.507552))+0-31.2--0.0636479999999986</f>
        <v>1436.2640319999998</v>
      </c>
      <c r="R257" s="3">
        <f>1652.8+(66.8-253.8)+(-4.21464+(-0.17034--0.64719))+0-29.1--0.0742049999999958</f>
        <v>1433.036415</v>
      </c>
      <c r="S257" s="3">
        <f>1656.4+(66.4-289.4)+(-1.689528+(-0.067728--0.295188))+0-29--0.0295800000000046</f>
        <v>1402.9675119999999</v>
      </c>
      <c r="T257" s="3">
        <f>1660.2+(61.2-323.3)+(0+(0-0))+0-30.5-0</f>
        <v>1367.6</v>
      </c>
      <c r="U257" s="3">
        <f>1658.5+(58.6-328.6)+(2.537505+(0.089658-0.502758))+0-30.7-0.0469710000000018</f>
        <v>1359.877434</v>
      </c>
      <c r="V257" s="3">
        <f>1657.7+(75.2-294)+(0+(0-0))+0-30.3-0</f>
        <v>1408.6000000000001</v>
      </c>
      <c r="W257" s="3">
        <f>1672.3+(248-237.8)+(-1.705746+(-0.25296--0.242556))+0-29.7--0.0302940000000047</f>
        <v>1651.1141439999999</v>
      </c>
      <c r="X257" s="3">
        <f>1666.3+(315.3-216.4)+(-0.849813+(-0.160803--0.110364))+0-30.6--0.0156059999999969</f>
        <v>1733.7153540000002</v>
      </c>
      <c r="Y257" s="3">
        <f>1635.9+(308.9-215)+(-2.502927+(-0.472617--0.32895))+0-30.6--0.0468180000000018</f>
        <v>1696.6002240000003</v>
      </c>
      <c r="Z257" s="3">
        <f>1594.4+(299-208.3)+(-1.626288+(-0.30498--0.212466))+0-30.4--0.0310080000000048</f>
        <v>1653.0122059999999</v>
      </c>
      <c r="AA257" s="3">
        <f>1591.4+(278.4-220.8)+(0.811614+(0.141984-0.112608))+0-30.4-0.0155039999999969</f>
        <v>1619.4254859999999</v>
      </c>
      <c r="AB257" s="3">
        <f>1429.7+(299.1-175)+(1.458294+(0.305082-0.1785))+0-29-0.0295800000000046</f>
        <v>1526.3552960000002</v>
      </c>
      <c r="AC257" s="3">
        <f>1357.1+(269.8-174.6)+(0+(0-0))+0-28.8-0</f>
        <v>1423.5</v>
      </c>
      <c r="AD257">
        <v>1731.1000000000001</v>
      </c>
      <c r="AE257" s="3">
        <f>1662.5+(330.6-207.3)+(0+(0-0))+0-30.3-0</f>
        <v>1755.5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1321.4+(192.1-187.4)+(-1.347828+(-0.195942--0.191148))+0-28.3--0.0288660000000045</f>
        <v>1296.4762440000002</v>
      </c>
      <c r="G258" s="3">
        <f>1310.4+(194.3-290.6)+(-0.668304+(-0.099093--0.148206))+0-28.5--0.0145349999999971</f>
        <v>1184.9953440000002</v>
      </c>
      <c r="H258" s="3">
        <f>1307.2+(267.3-402.5)+(-1.333344+(-0.272646--0.41055))+0-28.5--0.0290700000000045</f>
        <v>1142.3336300000001</v>
      </c>
      <c r="I258" s="3">
        <f>1307.1+(266.3-421.5)+(-0.666621+(-0.135813--0.214965))+0-28.3--0.0144329999999971</f>
        <v>1123.0269639999999</v>
      </c>
      <c r="J258" s="3">
        <f>1307.3+(213.4-381.2)+(0.666723+(0.108834-0.194412))+0-28.5-0.0145349999999971</f>
        <v>1111.5666100000001</v>
      </c>
      <c r="K258" s="3">
        <f>1384.3+(203.4-437.6)+(-0.705993+(-0.103734--0.223176))+0-28.4--0.0144839999999971</f>
        <v>1121.1279329999998</v>
      </c>
      <c r="L258" s="3">
        <f>1498.2+(199.5-453.2)+(-0.764082+(-0.101745--0.231132))+0-28.4--0.0144839999999971</f>
        <v>1215.479789</v>
      </c>
      <c r="M258" s="3">
        <f>1697.6+(131.2-518.4)+(-2.597328+(-0.200736--0.793152))+0-29.9--0.0457470000000017</f>
        <v>1278.5408349999996</v>
      </c>
      <c r="N258" s="3">
        <f>1770.6+(96.4-441.8)+(-0.903006+(-0.049164--0.225318))+0-31--0.0158099999999969</f>
        <v>1393.4889579999999</v>
      </c>
      <c r="O258" s="3">
        <f>1776+(76.1-273.5)+(-1.81152+(-0.077622--0.27897))+0-29.7--0.0302940000000047</f>
        <v>1547.3201219999999</v>
      </c>
      <c r="P258" s="3">
        <f>1777.3+(68-248.7)+(-0.906423+(-0.03468--0.126837))+0-0-0</f>
        <v>1595.7857339999998</v>
      </c>
      <c r="Q258" s="3">
        <f>1778.3+(77-247.9)+(-0.906933+(-0.03927--0.126429))+0-0-0</f>
        <v>1606.5802259999998</v>
      </c>
      <c r="R258" s="3">
        <f>1798.5+(80.5-228.7)+(-3.66894+(-0.16422--0.466548))+0-28.7--0.0585479999999987</f>
        <v>1618.2919359999999</v>
      </c>
      <c r="S258" s="3">
        <f>1812.3+(45.7-254.8)+(-0.924273+(-0.023307--0.129948))+0-28.2--0.0143819999999971</f>
        <v>1574.1967499999998</v>
      </c>
      <c r="T258" s="3">
        <f>1809.7+(49.2-279.4)+(-3.691788+(-0.100368--0.569976))+0-29.3--0.0597719999999987</f>
        <v>1547.0375920000001</v>
      </c>
      <c r="U258" s="3">
        <f>1817.9+(44-274.8)+(0+(0-0))+0-29.8-0</f>
        <v>1557.3000000000002</v>
      </c>
      <c r="V258" s="3">
        <f>1815.9+(62.3-258.1)+(-0.926109+(-0.031773--0.131631))+0-30.1--0.0153509999999969</f>
        <v>1589.1891000000003</v>
      </c>
      <c r="W258" s="3">
        <f>1809.6+(221.5-178.8)+(-1.845792+(-0.22593--0.182376))+0-29.8--0.0303960000000048</f>
        <v>1820.6410500000002</v>
      </c>
      <c r="X258" s="3">
        <f>1810.1+(323.6-208.8)+(-3.692604+(-0.660144--0.425952))+0-30.6--0.0624239999999987</f>
        <v>1890.435628</v>
      </c>
      <c r="Y258" s="3">
        <f>1805.1+(306.5-251.4)+(-4.603005+(-0.781575--0.64107))+0-30.3--0.0772649999999956</f>
        <v>1825.2337549999997</v>
      </c>
      <c r="Z258" s="3">
        <f>1810.2+(275.7-283.1)+(-2.769606+(-0.421821--0.433143))+0-30.7--0.0469710000000018</f>
        <v>1769.3886869999999</v>
      </c>
      <c r="AA258" s="3">
        <f>1809.6+(261.4-337.2)+(-1.845792+(-0.266628--0.343944))+0-30.3--0.0309060000000048</f>
        <v>1701.76243</v>
      </c>
      <c r="AB258" s="3">
        <f>1789.7+(116.4-245.7)+(-0.912747+(-0.059364--0.125307))+0-26.8--0.0136679999999973</f>
        <v>1632.7668640000002</v>
      </c>
      <c r="AC258" s="3">
        <f>1644+(114.1-218.8)+(0+(0-0))+0-24.3-0</f>
        <v>1515</v>
      </c>
      <c r="AD258">
        <v>1880.2</v>
      </c>
      <c r="AE258" s="3">
        <f>1813.5+(287.8-174.1)+(0+(0-0))+0-29.2-0</f>
        <v>1898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1571.8+(108.3-302.2)+(-1.603236+(-0.110466--0.308244))+0-24.2--0.0246840000000039</f>
        <v>1352.3192260000001</v>
      </c>
      <c r="G259" s="3">
        <f>1423.5+(180.4-336.3)+(-2.90394+(-0.368016--0.686052))+0-24--0.0489599999999989</f>
        <v>1241.063056</v>
      </c>
      <c r="H259" s="3">
        <f>1400.4+(198.8-355.6)+(-0.714204+(-0.101388--0.181356))+0-27.4--0.0139739999999972</f>
        <v>1215.5797379999999</v>
      </c>
      <c r="I259" s="3">
        <f>1368.7+(199.3-331.7)+(-1.396074+(-0.203286--0.338334))+0-25.7--0.0262140000000041</f>
        <v>1209.3651880000002</v>
      </c>
      <c r="J259" s="3">
        <f>1338.9+(212.9-357.3)+(-1.365678+(-0.217158--0.364446))+0-15.6--0.0159120000000025</f>
        <v>1177.6975220000002</v>
      </c>
      <c r="K259" s="3">
        <f>1360.9+(214.4-389.2)+(2.776236+(0.437376-0.793968))+0-6.1-0.0124439999999997</f>
        <v>1182.4072000000003</v>
      </c>
      <c r="L259" s="3">
        <f>1467.3+(201-405.8)+(-2.993292+(-0.41004--0.827832))+0-7.4--0.0150959999999997</f>
        <v>1252.5395960000001</v>
      </c>
      <c r="M259" s="3">
        <f>1586.6+(163.5-422.4)+(-1.618332+(-0.16677--0.430848))+0-10.2--0.0104040000000016</f>
        <v>1316.1561499999998</v>
      </c>
      <c r="N259" s="3">
        <f>1766.3+(141.4-465.6)+(-0.900813+(-0.072114--0.237456))+0-17.6--0.00897599999999821</f>
        <v>1423.7735050000001</v>
      </c>
      <c r="O259" s="3">
        <f>1791+(103.4-328.4)+(0+(0-0))+0-30.6-0</f>
        <v>1535.4</v>
      </c>
      <c r="P259" s="3">
        <f>1788.1+(93-265.7)+(-4.559655+(-0.23715--0.677535))+0-30.3--0.0772649999999956</f>
        <v>1581.0579949999999</v>
      </c>
      <c r="Q259" s="3">
        <f>1791.1+(100-274.7)+(-1.826922+(-0.102--0.280194))+0-30--0.0306000000000048</f>
        <v>1584.781872</v>
      </c>
      <c r="R259" s="3">
        <f>1785.8+(92.3-263.9)+(-7.286064+(-0.376584--1.076712))+0-29.2--0.119135999999997</f>
        <v>1578.5332000000001</v>
      </c>
      <c r="S259" s="3">
        <f>1691.5+(119.8-253.2)+(-1.72533+(-0.122196--0.258264))+0-28.9--0.0294780000000046</f>
        <v>1527.6402159999998</v>
      </c>
      <c r="T259" s="3">
        <f>1658.1+(123.5-249.3)+(-2.536893+(-0.188955--0.381429))+0-28.8--0.0440640000000017</f>
        <v>1501.1996449999999</v>
      </c>
      <c r="U259" s="3">
        <f>1656.7+(102.9-244.6)+(-2.534751+(-0.157437--0.374238))+0-28.8--0.0440640000000017</f>
        <v>1483.9261139999999</v>
      </c>
      <c r="V259" s="3">
        <f>1712+(75.6-254.9)+(2.61936+(0.115668-0.389997))+0-29.1-0.0445230000000017</f>
        <v>1505.9005080000002</v>
      </c>
      <c r="W259" s="3">
        <f>1806.8+(176.9-210.6)+(-0.921468+(-0.090219--0.107406))+0-29--0.0147899999999971</f>
        <v>1743.2105089999998</v>
      </c>
      <c r="X259" s="3">
        <f>1763+(322.7-222.6)+(-6.29391+(-1.152039--0.794682))+0-30.7--0.109599</f>
        <v>1825.8583319999998</v>
      </c>
      <c r="Y259" s="3">
        <f>1662+(337.8-210.6)+(-1.69524+(-0.344556--0.214812))+0-30.6--0.0312120000000049</f>
        <v>1756.8062280000001</v>
      </c>
      <c r="Z259" s="3">
        <f>1577.5+(334.2-193.9)+(-3.2181+(-0.681768--0.395556))+0-31--0.0632399999999986</f>
        <v>1683.3589279999999</v>
      </c>
      <c r="AA259" s="3">
        <f>1566.1+(297.1-205.1)+(-2.396133+(-0.454563--0.313803))+0-30.1--0.0460530000000017</f>
        <v>1625.5091600000001</v>
      </c>
      <c r="AB259" s="3">
        <f>1564.1+(214.1-185.3)+(-1.595382+(-0.218382--0.189006))+0-28.6--0.0291720000000046</f>
        <v>1562.704414</v>
      </c>
      <c r="AC259" s="3">
        <f>1564.4+(172.8-232.2)+(-2.393532+(-0.264384--0.355266))+0-28.8--0.0440640000000017</f>
        <v>1473.9414139999999</v>
      </c>
      <c r="AD259">
        <v>1811.5</v>
      </c>
      <c r="AE259" s="3">
        <f>1812+(236.7-192.6)+(0+(0-0))+0-29-0</f>
        <v>1827.1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1457.8+(182.1-270.4)+(0.743478+(0.092871-0.137904))+0-28.7-0.0146369999999971</f>
        <v>1341.483808</v>
      </c>
      <c r="G260" s="3">
        <f>1329.2+(222.7-296.7)+(1.355784+(0.227154-0.302634))+0-28.8-0.0293760000000046</f>
        <v>1227.650928</v>
      </c>
      <c r="H260" s="3">
        <f>1217.6+(248.1-282)+(0+(0-0))+0-28.4-0</f>
        <v>1155.2999999999997</v>
      </c>
      <c r="I260" s="3">
        <f>1170+(241.7-261.8)+(2.3868+(0.493068-0.534072))+0-28.5-0.0581399999999988</f>
        <v>1123.6876560000001</v>
      </c>
      <c r="J260" s="3">
        <f>1167.3+(240.3-276.9)+(-1.190646+(-0.245106--0.282438))+0-28.7--0.0292740000000046</f>
        <v>1100.8759600000001</v>
      </c>
      <c r="K260" s="3">
        <f>1163+(243.5-282.4)+(1.18626+(0.24837-0.288048))+0-28.7-0.0292740000000046</f>
        <v>1096.517308</v>
      </c>
      <c r="L260" s="3">
        <f>1162.9+(207.6-255.7)+(-2.965395+(-0.52938--0.652035))+0-28.5--0.0726749999999959</f>
        <v>1083.529935</v>
      </c>
      <c r="M260" s="3">
        <f>1163.4+(131.2-219.6)+(-0.593334+(-0.066912--0.111996))+0-29.7--0.015146999999997</f>
        <v>1044.766897</v>
      </c>
      <c r="N260" s="3">
        <f>1176.5+(115.3-185.8)+(1.20003+(0.117606-0.189516))+0-31.1-0.031722000000005</f>
        <v>1075.9963980000002</v>
      </c>
      <c r="O260" s="3">
        <f>1211.4+(148.3-176.1)+(-2.471256+(-0.302532--0.359244))+0-30.8--0.0628319999999987</f>
        <v>1150.4482880000003</v>
      </c>
      <c r="P260" s="3">
        <f>1226+(157.8-173.2)+(-0.62526+(-0.080478--0.088332))+0-30.4--0.0155039999999969</f>
        <v>1179.5980979999997</v>
      </c>
      <c r="Q260" s="3">
        <f>1235.2+(133.6-167.9)+(-3.779712+(-0.408816--0.513774))+0-30.5--0.0933300000000035</f>
        <v>1166.8185760000001</v>
      </c>
      <c r="R260" s="3">
        <f>1234.9+(118.8-170.2)+(0+(0-0))+0-28.1-0</f>
        <v>1155.4000000000001</v>
      </c>
      <c r="S260" s="3">
        <f>1236.1+(100.7-178.3)+(0+(0-0))+0-28.4-0</f>
        <v>1130.0999999999999</v>
      </c>
      <c r="T260" s="3">
        <f>1235.7+(98-177.4)+(-3.151035+(-0.2499--0.45237))+0-29.5--0.0752249999999957</f>
        <v>1123.9266600000001</v>
      </c>
      <c r="U260" s="3">
        <f>1236.4+(97.4-178.8)+(1.891692+(0.149022-0.273564))+0-30.1-0.0460530000000017</f>
        <v>1126.621097</v>
      </c>
      <c r="V260" s="3">
        <f>1302.1+(92.2-206.7)+(-0.664071+(-0.047022--0.105417))+0-30.6--0.0156059999999969</f>
        <v>1156.40993</v>
      </c>
      <c r="W260" s="3">
        <f>1480.1+(154.8-187)+(0+(0-0))+0-30.1-0</f>
        <v>1417.8</v>
      </c>
      <c r="X260" s="3">
        <f>1533+(240.9-228.7)+(-5.47281+(-0.860013--0.816459))+0-30.8--0.109956</f>
        <v>1508.993592</v>
      </c>
      <c r="Y260" s="3">
        <f>1539.9+(257.8-265.6)+(-3.141396+(-0.525912--0.541824))+0-30.2--0.0616079999999987</f>
        <v>1498.8361240000002</v>
      </c>
      <c r="Z260" s="3">
        <f>1536.3+(268.3-300.1)+(-2.350539+(-0.410499--0.459153))+0-30.3--0.0463590000000018</f>
        <v>1471.9444739999999</v>
      </c>
      <c r="AA260" s="3">
        <f>1397.8+(280.4-206.3)+(0+(0-0))+0-29.9-0</f>
        <v>1441.9999999999998</v>
      </c>
      <c r="AB260" s="3">
        <f>1339.5+(239.4-168.9)+(-1.36629+(-0.244188--0.172278))+0-28.8--0.0293760000000046</f>
        <v>1379.791176</v>
      </c>
      <c r="AC260" s="3">
        <f>1334.8+(197.4-181.9)+(-4.084488+(-0.604044--0.556614))+0-28.5--0.0872100000000033</f>
        <v>1317.7552919999998</v>
      </c>
      <c r="AD260">
        <v>1485.4</v>
      </c>
      <c r="AE260" s="3">
        <f>1540+(189.8-180.3)+(0+(0-0))+0-29.1-0</f>
        <v>1520.4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1325.1+(171.8-253.5)+(-2.027403+(-0.262854--0.387855))+0-28.5--0.0436050000000016</f>
        <v>1213.041203</v>
      </c>
      <c r="G261" s="3">
        <f>1305.7+(191-352.9)+(-1.331814+(-0.19482--0.359958))+0-28.8--0.0293760000000046</f>
        <v>1113.8627000000001</v>
      </c>
      <c r="H261" s="3">
        <f>1275+(197.4-381.8)+(-2.601+(-0.402696--0.778872))+0-28.8--0.0587519999999987</f>
        <v>1059.633928</v>
      </c>
      <c r="I261" s="3">
        <f>1281.1+(203.3-409.5)+(0+(0-0))+0-28.8-0</f>
        <v>1046.0999999999999</v>
      </c>
      <c r="J261" s="3">
        <f>1279.7+(208.3-424.5)+(0.652647+(0.106233-0.216495))+0-28.3-0.0144329999999971</f>
        <v>1035.727952</v>
      </c>
      <c r="K261" s="3">
        <f>1274.5+(209.3-413)+(-1.949985+(-0.320229--0.63189))+0-28.1--0.0429930000000016</f>
        <v>1041.1046690000001</v>
      </c>
      <c r="L261" s="3">
        <f>1277.1+(191.6-387.9)+(-1.302642+(-0.195432--0.395658))+0-28.3--0.0288660000000045</f>
        <v>1051.4264500000002</v>
      </c>
      <c r="M261" s="3">
        <f>1231.9+(114.7-305.2)+(-1.884807+(-0.175491--0.466956))+0-28.2--0.0431460000000016</f>
        <v>1011.6498040000001</v>
      </c>
      <c r="N261" s="3">
        <f>1228.8+(92.9-278.2)+(-0.626688+(-0.047379--0.141882))+0-29.2--0.014891999999997</f>
        <v>1013.782707</v>
      </c>
      <c r="O261" s="3">
        <f>1230.3+(98.3-234.2)+(0+(0-0))+0-29.4-0</f>
        <v>1065</v>
      </c>
      <c r="P261" s="3">
        <f>1206.5+(91.6-210.2)+(-3.69189+(-0.280296--0.643212))+0-29.3--0.0896580000000034</f>
        <v>1055.3606840000002</v>
      </c>
      <c r="Q261" s="3">
        <f>1183.5+(85-223)+(-0.603585+(-0.04335--0.11373))+0-28.9--0.0147389999999971</f>
        <v>1016.081534</v>
      </c>
      <c r="R261" s="3">
        <f>1180+(68.9-227.5)+(0.6018+(0.035139-0.116025))+0-28.9-0.0147389999999971</f>
        <v>993.00617499999998</v>
      </c>
      <c r="S261" s="3">
        <f>1179.5+(65.1-226.7)+(1.804635+(0.099603-0.346851))+0-28.9-0.0442170000000017</f>
        <v>990.51316999999995</v>
      </c>
      <c r="T261" s="3">
        <f>1181.5+(83.9-216.7)+(-0.602565+(-0.042789--0.110517))+0-28.9--0.0147389999999971</f>
        <v>1019.2799020000001</v>
      </c>
      <c r="U261" s="3">
        <f>1184.9+(93.9-209.8)+(-0.604299+(-0.047889--0.106998))+0-28.9--0.0147389999999971</f>
        <v>1039.5695489999998</v>
      </c>
      <c r="V261" s="3">
        <f>1353.3+(87.7-316.1)+(-1.380366+(-0.089454--0.322422))+0-28.9--0.0294780000000046</f>
        <v>1094.8820799999996</v>
      </c>
      <c r="W261" s="3">
        <f>1403.8+(161.2-193.2)+(0+(0-0))+0-28.9-0</f>
        <v>1342.8999999999999</v>
      </c>
      <c r="X261" s="3">
        <f>1487+(302.5-277)+(-3.79185+(-0.771375--0.70635))+0-27.9--0.0711449999999959</f>
        <v>1480.8142699999999</v>
      </c>
      <c r="Y261" s="3">
        <f>1494.7+(315.5-312.6)+(0+(0-0))+0-28.4-0</f>
        <v>1469.1999999999998</v>
      </c>
      <c r="Z261" s="3">
        <f>1492.6+(312.2-319.4)+(0+(0-0))+0-28.6-0</f>
        <v>1456.8</v>
      </c>
      <c r="AA261" s="3">
        <f>1494+(282.6-308.4)+(-0.76194+(-0.144126--0.157284))+0-28.6--0.0145859999999971</f>
        <v>1438.8658040000003</v>
      </c>
      <c r="AB261" s="3">
        <f>1478.9+(190-222.5)+(-0.754239+(-0.0969--0.113475))+0-28.4--0.0144839999999971</f>
        <v>1417.27682</v>
      </c>
      <c r="AC261" s="3">
        <f>1393.4+(190.8-229.3)+(0+(0-0))+0-28.6-0</f>
        <v>1326.3000000000002</v>
      </c>
      <c r="AD261">
        <v>1374.7</v>
      </c>
      <c r="AE261" s="3">
        <f>1407+(226.4-206.4)+(0+(0-0))+0-28.3-0</f>
        <v>1398.7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1336.2+(184.8-303.3)+(-3.40731+(-0.47124--0.773415))+0-28.6--0.0729299999999959</f>
        <v>1186.0677950000002</v>
      </c>
      <c r="G262" s="3">
        <f>1306.7+(195.4-377.4)+(-1.999251+(-0.298962--0.577422))+0-28.3--0.0432990000000016</f>
        <v>1094.7225080000001</v>
      </c>
      <c r="H262" s="3">
        <f>1261.8+(208.8-388.1)+(-0.643518+(-0.106488--0.197931))+0-27.8--0.0141779999999972</f>
        <v>1054.1621029999999</v>
      </c>
      <c r="I262" s="3">
        <f>1179.8+(226.4-337.5)+(-2.406792+(-0.461856--0.6885))+0-28.1--0.0573239999999988</f>
        <v>1038.4771760000003</v>
      </c>
      <c r="J262" s="3">
        <f>1167.5+(230.2-325.3)+(-0.595425+(-0.117402--0.165903))+0-28.2--0.0143819999999971</f>
        <v>1043.6674580000001</v>
      </c>
      <c r="K262" s="3">
        <f>1168.2+(235.2-323.2)+(1.787346+(0.359856-0.494496))+0-28.1-0.0429930000000016</f>
        <v>1053.7097130000002</v>
      </c>
      <c r="L262" s="3">
        <f>1202+(220.8-294.5)+(-1.83906+(-0.337824--0.450585))+0-27.8--0.0425340000000016</f>
        <v>1098.816235</v>
      </c>
      <c r="M262" s="3">
        <f>1393.1+(107.7-318.7)+(1.420962+(0.109854-0.325074))+0-29.1-0.0296820000000046</f>
        <v>1154.17606</v>
      </c>
      <c r="N262" s="3">
        <f>1638.3+(80.3-393.9)+(-0.835533+(-0.040953--0.200889))+0-30.3--0.0154529999999969</f>
        <v>1293.7398560000001</v>
      </c>
      <c r="O262" s="3">
        <f>1751.7+(85.3-366.6)+(0.893367+(0.043503-0.186966))+0-30.8-0.0157079999999969</f>
        <v>1440.3341960000002</v>
      </c>
      <c r="P262" s="3">
        <f>1812.9+(87.2-320.1)+(0+(0-0))+0-29.6-0</f>
        <v>1550.4</v>
      </c>
      <c r="Q262" s="3">
        <f>1808.3+(94.7-282.8)+(-0.922233+(-0.048297--0.144228))+0-30.3--0.0154529999999969</f>
        <v>1589.0891509999999</v>
      </c>
      <c r="R262" s="3">
        <f>1799.9+(143.8-341)+(-5.507694+(-0.440028--1.04346))+0-29.2--0.0893520000000034</f>
        <v>1568.6850899999999</v>
      </c>
      <c r="S262" s="3">
        <f>1765.5+(174.7-371.9)+(-3.60162+(-0.356388--0.758676))+0-28.2--0.0575279999999988</f>
        <v>1536.958196</v>
      </c>
      <c r="T262" s="3">
        <f>1648.3+(120.4-252.1)+(-2.521899+(-0.184212--0.385713))+0-28.9--0.0442170000000017</f>
        <v>1485.4238189999996</v>
      </c>
      <c r="U262" s="3">
        <f>1650+(141.8-278.4)+(-2.5245+(-0.216954--0.425952))+0-30.2--0.0462060000000017</f>
        <v>1480.9307040000001</v>
      </c>
      <c r="V262" s="3">
        <f>1654.6+(161.2-242.7)+(0+(0-0))+0-30.1-0</f>
        <v>1543</v>
      </c>
      <c r="W262" s="3">
        <f>1766.2+(230.6-195.8)+(0.900762+(0.117606-0.099858))+0-29.6-0.015095999999997</f>
        <v>1772.303414</v>
      </c>
      <c r="X262" s="3">
        <f>1799.3+(308-234.6)+(-5.505858+(-0.94248--0.717876))+0-30.1--0.0921060000000035</f>
        <v>1836.9616440000002</v>
      </c>
      <c r="Y262" s="3">
        <f>1806.2+(284.6-285.6)+(-2.763486+(-0.435438--0.436968))+6-30.6--0.0468180000000018</f>
        <v>1777.8848620000001</v>
      </c>
      <c r="Z262" s="3">
        <f>1806.7+(274.1-310.4)+(-0.921417+(-0.139791--0.158304))+0-30.3--0.0154529999999969</f>
        <v>1739.2125490000001</v>
      </c>
      <c r="AA262" s="3">
        <f>1794.7+(244.8-309)+(0.915297+(0.124848-0.15759))+0-29.4-0.014993999999997</f>
        <v>1701.9675609999999</v>
      </c>
      <c r="AB262" s="3">
        <f>1724.7+(183.8-245.5)+(-2.638791+(-0.281214--0.375615))+0-27.8--0.0425340000000016</f>
        <v>1632.698144</v>
      </c>
      <c r="AC262" s="3">
        <f>1639.2+(200.8-298.8)+(-5.015952+(-0.614448--0.914328))+0-28.4--0.0869040000000033</f>
        <v>1508.170832</v>
      </c>
      <c r="AD262">
        <v>1815.1999999999998</v>
      </c>
      <c r="AE262" s="3">
        <f>1801.5+(268-194.3)+(0+(0-0))+0-29.4-0</f>
        <v>1845.8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1323.4+(299.1-245)+(-3.37467+(-0.762705--0.62475))+0-28.5--0.0726749999999959</f>
        <v>1345.5600499999998</v>
      </c>
      <c r="G263" s="3">
        <f>1235.4+(286.3-263.4)+(-3.780324+(-0.876078--0.806004))+0-28.1--0.0859860000000033</f>
        <v>1226.4355880000003</v>
      </c>
      <c r="H263" s="3">
        <f>1176.5+(241.4-213.7)+(1.800045+(0.369342-0.326961))+0-28.2-0.0431460000000016</f>
        <v>1177.79928</v>
      </c>
      <c r="I263" s="3">
        <f>1129.9+(261.8-202.1)+(0+(0-0))+0-27.6-0</f>
        <v>1162.0000000000002</v>
      </c>
      <c r="J263" s="3">
        <f>1163.9+(239.1-215.3)+(1.780767+(0.365823-0.329409))+0-27.6-0.0422280000000016</f>
        <v>1161.874953</v>
      </c>
      <c r="K263" s="3">
        <f>1150.1+(258-199.7)+(-1.759653+(-0.39474--0.305541))+0-28.9--0.0442170000000017</f>
        <v>1177.6953649999996</v>
      </c>
      <c r="L263" s="3">
        <f>1231+(222.2-215.6)+(-0.62781+(-0.113322--0.109956))+0-28.8--0.0146879999999971</f>
        <v>1208.1835119999998</v>
      </c>
      <c r="M263" s="3">
        <f>1326.2+(156.8-192.4)+(-1.352724+(-0.159936--0.196248))+0-29.7--0.0302940000000047</f>
        <v>1259.6138820000001</v>
      </c>
      <c r="N263" s="3">
        <f>1413+(139.5-184.3)+(1.44126+(0.14229-0.187986))+0-30.4-0.0310080000000048</f>
        <v>1339.1645559999999</v>
      </c>
      <c r="O263" s="3">
        <f>1485.5+(216.1-180.7)+(0.757605+(0.110211-0.092157))+0-30.9-0.0157589999999969</f>
        <v>1490.7599</v>
      </c>
      <c r="P263" s="3">
        <f>1496.3+(273.8-177.9)+(2.289339+(0.418914-0.272187))+0-31.1-0.0475830000000018</f>
        <v>1563.4884830000001</v>
      </c>
      <c r="Q263" s="3">
        <f>1488.8+(269.6-165)+(-0.759288+(-0.137496--0.08415))+0-30.8--0.0157079999999969</f>
        <v>1561.8030740000002</v>
      </c>
      <c r="R263" s="3">
        <f>1482.4+(246.2-165.4)+(-2.268072+(-0.376686--0.253062))+0-28.7--0.0439110000000017</f>
        <v>1532.1522150000001</v>
      </c>
      <c r="S263" s="3">
        <f>1437.3+(211.8-153.8)+(-3.665115+(-0.54009--0.39219))+0-28.2--0.0719099999999959</f>
        <v>1463.3588949999998</v>
      </c>
      <c r="T263" s="3">
        <f>1442.6+(181.8-160.2)+(-2.207178+(-0.278154--0.245106))+0-30--0.0459000000000017</f>
        <v>1432.005674</v>
      </c>
      <c r="U263" s="3">
        <f>1403.4+(210.7-154.5)+(-2.862936+(-0.429828--0.31518))+0-30.5--0.0622199999999987</f>
        <v>1426.1846360000002</v>
      </c>
      <c r="V263" s="3">
        <f>1400+(252.2-165.3)+(-2.142+(-0.385866--0.252909))+0-30.1--0.0460530000000017</f>
        <v>1454.5710960000001</v>
      </c>
      <c r="W263" s="3">
        <f>1497.9+(426.9-174.4)+(0.763929+(0.217719-0.088944))+0-29.5-0.015044999999997</f>
        <v>1721.7776590000001</v>
      </c>
      <c r="X263" s="3">
        <f>1511.8+(474.4-174.9)+(0+(0-0))+0-30.2-0</f>
        <v>1781.1</v>
      </c>
      <c r="Y263" s="3">
        <f>1487.8+(476.6-187.1)+(-3.79389+(-1.21533--0.477105))+0-29.7--0.0757349999999957</f>
        <v>1743.1436199999998</v>
      </c>
      <c r="Z263" s="3">
        <f>1342.2+(558.3-172.6)+(-2.738088+(-1.138932--0.352104))+0-29.9--0.0609959999999987</f>
        <v>1694.5360799999999</v>
      </c>
      <c r="AA263" s="3">
        <f>1280.5+(562.9-176.1)+(-1.959165+(-0.861237--0.269433))+0-30.5--0.0466650000000018</f>
        <v>1634.2956960000001</v>
      </c>
      <c r="AB263" s="3">
        <f>1167.9+(607.5-174.3)+(-1.786887+(-0.929475--0.266679))+0-28.9--0.0442170000000017</f>
        <v>1569.7945339999999</v>
      </c>
      <c r="AC263" s="3">
        <f>1069.9+(575.5-173.4)+(-1.091298+(-0.58701--0.176868))+0-28.8--0.0293760000000046</f>
        <v>1441.727936</v>
      </c>
      <c r="AD263">
        <v>1738.7000000000003</v>
      </c>
      <c r="AE263" s="3">
        <f>1497.5+(476.6-176.9)+(0+(0-0))+0-28.1-0</f>
        <v>1769.1000000000001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1054.3+(447.2-170.7)+(-1.613079+(-0.684216--0.261171))+0-28.9--0.0442170000000017</f>
        <v>1299.9080929999998</v>
      </c>
      <c r="G264" s="3">
        <f>1044.3+(347.5-174.9)+(-1.065186+(-0.35445--0.178398))+0-28.9--0.0294780000000046</f>
        <v>1186.7882399999996</v>
      </c>
      <c r="H264" s="3">
        <f>1046.1+(285.6-175.1)+(0+(0-0))+0-28.4-0</f>
        <v>1128.1999999999998</v>
      </c>
      <c r="I264" s="3">
        <f>1048.2+(268.3-171.7)+(0.534582+(0.136833-0.087567))+0-28.6-0.0145859999999971</f>
        <v>1116.7692620000003</v>
      </c>
      <c r="J264" s="3">
        <f>1045.2+(259.9-174.6)+(-0.533052+(-0.132549--0.089046))+0-28.7--0.0146369999999971</f>
        <v>1101.2380819999998</v>
      </c>
      <c r="K264" s="3">
        <f>1053.8+(258.7-179.7)+(2.68719+(0.659685-0.458235))+0-28.9-0.0736949999999958</f>
        <v>1106.7149449999997</v>
      </c>
      <c r="L264" s="3">
        <f>1039+(266.2-144.4)+(-2.64945+(-0.67881--0.36822))+0-28.5--0.0726749999999959</f>
        <v>1129.4126349999999</v>
      </c>
      <c r="M264" s="3">
        <f>1014.6+(237.2-113)+(-1.552338+(-0.362916--0.17289))+0-29.5--0.0451350000000017</f>
        <v>1107.6027710000001</v>
      </c>
      <c r="N264" s="3">
        <f>1082.6+(225.5-142)+(1.104252+(0.23001-0.14484))+0-30.6-0.0312120000000049</f>
        <v>1136.6582099999998</v>
      </c>
      <c r="O264" s="3">
        <f>1189.4+(251.4-176.8)+(1.213188+(0.256428-0.180336))+0-30.6-0.0312120000000049</f>
        <v>1234.658068</v>
      </c>
      <c r="P264" s="3">
        <f>1306+(267-206.9)+(-1.33212+(-0.27234--0.211038))+0-30.3--0.0309060000000048</f>
        <v>1334.4374839999998</v>
      </c>
      <c r="Q264" s="3">
        <f>1306.7+(302.8-189.2)+(-1.332834+(-0.308856--0.192984))+0-30.6--0.0312120000000049</f>
        <v>1388.2825060000005</v>
      </c>
      <c r="R264" s="3">
        <f>1305.7+(282.4-189)+(-2.663628+(-0.576096--0.38556))+0-28.5--0.0581399999999988</f>
        <v>1367.8039759999999</v>
      </c>
      <c r="S264" s="3">
        <f>1294.8+(258.5-201.6)+(-2.641392+(-0.52734--0.411264))+0-28.2--0.0575279999999988</f>
        <v>1320.80006</v>
      </c>
      <c r="T264" s="3">
        <f>1232.8+(279.3-186.1)+(-0.628728+(-0.142443--0.094911))+0-30.2--0.0154019999999969</f>
        <v>1295.139142</v>
      </c>
      <c r="U264" s="3">
        <f>1214.3+(284.9-185.7)+(-1.857879+(-0.435897--0.284121))+0-30.6--0.0468180000000018</f>
        <v>1280.9371630000001</v>
      </c>
      <c r="V264" s="3">
        <f>1275.8+(263.6-182.1)+(-0.650658+(-0.134436--0.092871))+0-30.4--0.0155039999999969</f>
        <v>1326.2232809999998</v>
      </c>
      <c r="W264" s="3">
        <f>1309.6+(479.1-171.1)+(-2.003688+(-0.733023--0.261783))+0-30--0.0459000000000017</f>
        <v>1585.1709719999999</v>
      </c>
      <c r="X264" s="3">
        <f>1316.6+(578-186.8)+(-0.671466+(-0.29478--0.095268))+0-30.9--0.0157589999999969</f>
        <v>1676.0447809999998</v>
      </c>
      <c r="Y264" s="3">
        <f>1319.6+(568.3-186.1)+(-0.672996+(-0.289833--0.094911))+0-30.5--0.0155549999999969</f>
        <v>1670.4476369999998</v>
      </c>
      <c r="Z264" s="3">
        <f>1318.5+(548.6-186.4)+(-1.34487+(-0.559572--0.190128))+0-29.4--0.0299880000000047</f>
        <v>1649.6156739999999</v>
      </c>
      <c r="AA264" s="3">
        <f>1390.5+(439.8-198.7)+(-2.127465+(-0.672894--0.304011))+0-28.8--0.0440640000000017</f>
        <v>1600.347716</v>
      </c>
      <c r="AB264" s="3">
        <f>1479.4+(260.2-176.4)+(-2.263482+(-0.398106--0.269892))+0-28.7--0.0439110000000017</f>
        <v>1532.1522150000001</v>
      </c>
      <c r="AC264" s="3">
        <f>1401.1+(212.4-159.7)+(-4.287366+(-0.649944--0.488682))+0-27.6--0.0844560000000032</f>
        <v>1421.835828</v>
      </c>
      <c r="AD264">
        <v>1677.9</v>
      </c>
      <c r="AE264" s="3">
        <f>1322+(588.4-191)+(0+(0-0))+0-30.5-0</f>
        <v>1688.9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1257.8+(221.4-175.1)+(-3.20739+(-0.56457--0.446505))+0-27.8--0.070889999999996</f>
        <v>1273.045435</v>
      </c>
      <c r="G265" s="3">
        <f>1179.2+(239.9-205.4)+(-2.405568+(-0.489396--0.419016))+0-27.5--0.0560999999999988</f>
        <v>1183.780152</v>
      </c>
      <c r="H265" s="3">
        <f>1236+(255.2-309.8)+(0+(0-0))+0-28-0</f>
        <v>1153.4000000000001</v>
      </c>
      <c r="I265" s="3">
        <f>1244.4+(249.9-343.5)+(-0.634644+(-0.127449--0.175185))+0-27.4--0.0139739999999972</f>
        <v>1122.8270660000001</v>
      </c>
      <c r="J265" s="3">
        <f>1289.5+(244.6-388.1)+(0.657645+(0.124746-0.197931))+0-27.4-0.0139739999999972</f>
        <v>1119.170486</v>
      </c>
      <c r="K265" s="3">
        <f>1430+(233.3-501.3)+(0.7293+(0.118983-0.255663))+0-28.1-0.0143309999999971</f>
        <v>1134.4782889999999</v>
      </c>
      <c r="L265" s="3">
        <f>1634.6+(232.6-621.5)+(0+(0-0))+0-28.4-0</f>
        <v>1217.2999999999997</v>
      </c>
      <c r="M265" s="3">
        <f>1687.5+(192.7-559.3)+(2.581875+(0.294831-0.855729))+0-29.5-0.0451350000000017</f>
        <v>1293.3758419999999</v>
      </c>
      <c r="N265" s="3">
        <f>1775.3+(152.1-476.1)+(1.810806+(0.155142-0.485622))+0-30.3-0.0309060000000048</f>
        <v>1422.4494200000001</v>
      </c>
      <c r="O265" s="3">
        <f>1808.5+(92.7-301.5)+(0+(0-0))+0-29.9-0</f>
        <v>1569.8</v>
      </c>
      <c r="P265" s="3">
        <f>1840.5+(72.9-241.9)+(-2.815965+(-0.111537--0.370107))+0-29.6--0.0452880000000017</f>
        <v>1639.3878930000001</v>
      </c>
      <c r="Q265" s="3">
        <f>1811.4+(127-224.9)+(-1.847628+(-0.12954--0.229398))+0-30.5--0.0311100000000049</f>
        <v>1681.28334</v>
      </c>
      <c r="R265" s="3">
        <f>1811+(125.8-228.9)+(-4.61805+(-0.32079--0.583695))+0-29.4--0.0749699999999957</f>
        <v>1674.2198249999999</v>
      </c>
      <c r="S265" s="3">
        <f>1725.6+(155.8-197.8)+(0+(0-0))+0-28.7-0</f>
        <v>1654.8999999999999</v>
      </c>
      <c r="T265" s="3">
        <f>1700.9+(152.2-203.9)+(-1.734918+(-0.155244--0.207978))+0-28.8--0.0293760000000046</f>
        <v>1618.747192</v>
      </c>
      <c r="U265" s="3">
        <f>1763.2+(102.8-215.7)+(0+(0-0))+0-28.4-0</f>
        <v>1621.8999999999999</v>
      </c>
      <c r="V265" s="3">
        <f>1915.9+(64.7-266.5)+(-0.977109+(-0.032997--0.135915))+0-27.9--0.0142289999999972</f>
        <v>1685.3400379999998</v>
      </c>
      <c r="W265" s="3">
        <f>1955.6+(166.5-224.1)+(1.994712+(0.16983-0.228582))+0-28.2-0.0287640000000045</f>
        <v>1871.7071960000001</v>
      </c>
      <c r="X265" s="3">
        <f>1950+(176.5-214.8)+(-2.9835+(-0.270045--0.328644))+0-29.8--0.0455940000000017</f>
        <v>1879.0206929999999</v>
      </c>
      <c r="Y265" s="3">
        <f>1953.8+(140.5-237.6)+(-0.996438+(-0.071655--0.121176))+0-30--0.015299999999997</f>
        <v>1825.7683830000001</v>
      </c>
      <c r="Z265" s="3">
        <f>1909.2+(136.4-230.8)+(-0.973692+(-0.069564--0.117708))+0-30.3--0.0154529999999969</f>
        <v>1783.589905</v>
      </c>
      <c r="AA265" s="3">
        <f>1863.3+(130.7-227.9)+(0+(0-0))+0-30.3-0</f>
        <v>1735.8</v>
      </c>
      <c r="AB265" s="3">
        <f>1821.7+(103.9-215.8)+(0+(0-0))+0-29.2-0</f>
        <v>1680.6</v>
      </c>
      <c r="AC265" s="3">
        <f>1615.2+(154.3-202.7)+(0+(0-0))+0-29.1-0</f>
        <v>1537.7000000000003</v>
      </c>
      <c r="AD265">
        <v>1846.1000000000001</v>
      </c>
      <c r="AE265" s="3">
        <f>1953.5+(170.5-236.1)+(0+(0-0))+0-28.8-0</f>
        <v>1859.1000000000001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1563.3+(128.1-266.3)+(-2.391849+(-0.195993--0.407439))+0-27.1--0.0414630000000016</f>
        <v>1395.86106</v>
      </c>
      <c r="G266" s="3">
        <f>1432.3+(162.4-288.3)+(-3.652365+(-0.41412--0.735165))+0-27.4--0.069869999999996</f>
        <v>1275.7385499999998</v>
      </c>
      <c r="H266" s="3">
        <f>1434.2+(173.2-347.7)+(0+(0-0))+0-27.3-0</f>
        <v>1232.4000000000001</v>
      </c>
      <c r="I266" s="3">
        <f>1434.7+(183.6-389.9)+(0+(0-0))+0-26.7-0</f>
        <v>1201.7</v>
      </c>
      <c r="J266" s="3">
        <f>1433.7+(192.1-403.9)+(-1.462374+(-0.195942--0.411978))+0-26.3--0.0268260000000042</f>
        <v>1194.3804880000002</v>
      </c>
      <c r="K266" s="3">
        <f>1450.1+(205.8-425.9)+(2.218653+(0.314874-0.651627))+0-26.8-0.0410040000000016</f>
        <v>1205.0408960000002</v>
      </c>
      <c r="L266" s="3">
        <f>1570.1+(197.2-489.1)+(1.601502+(0.201144-0.498882))+0-26.3-0.0268260000000042</f>
        <v>1253.1769379999998</v>
      </c>
      <c r="M266" s="3">
        <f>1725.3+(149.5-528.2)+(3.519612+(0.30498-1.077528))+0-27.9-0.0569159999999988</f>
        <v>1321.3901479999997</v>
      </c>
      <c r="N266" s="3">
        <f>1841.5+(138.7-515.9)+(-1.87833+(-0.141474--0.526218))+0-29.9--0.0304980000000048</f>
        <v>1432.9369119999999</v>
      </c>
      <c r="O266" s="3">
        <f>1948.3+(71.4-437.1)+(0.993633+(0.036414-0.222921))+0-30.6-0.0156059999999969</f>
        <v>1552.79152</v>
      </c>
      <c r="P266" s="3">
        <f>1955.4+(28.7-336.9)+(0.997254+(0.014637-0.171819))+0-31.1-0.0158609999999968</f>
        <v>1616.924211</v>
      </c>
      <c r="Q266" s="3">
        <f>1925.9+(57.1-301.2)+(-3.928836+(-0.116484--0.614448))+0-26.3--0.0536519999999989</f>
        <v>1652.1227800000004</v>
      </c>
      <c r="R266" s="3">
        <f>1896+(64.4-297.2)+(-2.90088+(-0.098532--0.454716))+0-12.8--0.0195840000000007</f>
        <v>1647.8748880000001</v>
      </c>
      <c r="S266" s="3">
        <f>1791.6+(71.7-263.7)+(-1.827432+(-0.073134--0.268974))+0-9.3--0.00948600000000148</f>
        <v>1588.6778939999999</v>
      </c>
      <c r="T266" s="3">
        <f>1839.3+(64.2-264.6)+(1.876086+(0.065484-0.269892))+0-27.3-0.0278460000000044</f>
        <v>1613.2438319999999</v>
      </c>
      <c r="U266" s="3">
        <f>1954.8+(32.3-401.1)+(-1.993896+(-0.032946--0.409122))+0-28.4--0.0289680000000045</f>
        <v>1556.011248</v>
      </c>
      <c r="V266" s="3">
        <f>1976.8+(34.1-395.5)+(2.016336+(0.034782-0.40341))+0-28.4-0.0289680000000045</f>
        <v>1588.6187399999999</v>
      </c>
      <c r="W266" s="3">
        <f>1991.1+(123.8-279.1)+(2.030922+(0.126276-0.284682))+0-28.6-0.0291720000000046</f>
        <v>1809.0433439999999</v>
      </c>
      <c r="X266" s="3">
        <f>1989.5+(182.3-266.4)+(-4.05858+(-0.371892--0.543456))+0-29.5--0.0601799999999987</f>
        <v>1872.0731640000001</v>
      </c>
      <c r="Y266" s="3">
        <f>1989.5+(165.4-291.1)+(-6.08787+(-0.506124--0.890766))+0-30--0.0918000000000035</f>
        <v>1828.1885719999998</v>
      </c>
      <c r="Z266" s="3">
        <f>1904.4+(183.7-282.2)+(-2.913732+(-0.281061--0.431766))+0-29.8--0.0455940000000017</f>
        <v>1773.3825670000001</v>
      </c>
      <c r="AA266" s="3">
        <f>1871.4+(182.6-297.7)+(-1.908828+(-0.186252--0.303654))+0-29.7--0.0302940000000047</f>
        <v>1724.838868</v>
      </c>
      <c r="AB266" s="3">
        <f>1865.1+(101.9-269.9)+(-5.707206+(-0.311814--0.825894))+0-28.1--0.0859860000000033</f>
        <v>1663.8928600000002</v>
      </c>
      <c r="AC266" s="3">
        <f>1677.3+(131.7-234.5)+(-2.566269+(-0.201501--0.358785))+0-28.3--0.0432990000000016</f>
        <v>1543.8343139999999</v>
      </c>
      <c r="AD266">
        <v>1860.5</v>
      </c>
      <c r="AE266" s="3">
        <f>1979.5+(167.3-247.1)+(0+(0-0))+0-28.4-0</f>
        <v>1871.3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1498.1+(116.7-252.6)+(-2.292093+(-0.178551--0.386478))+0-28.2--0.0431460000000016</f>
        <v>1331.9589799999997</v>
      </c>
      <c r="G267" s="3">
        <f>1491+(157.8-392)+(3.04164+(0.321912-0.79968))+0-28.3-0.0577319999999988</f>
        <v>1231.00614</v>
      </c>
      <c r="H267" s="3">
        <f>1469.4+(168.3-412.2)+(2.248182+(0.257499-0.630666))+0-28.3-0.0432990000000016</f>
        <v>1199.0317160000002</v>
      </c>
      <c r="I267" s="3">
        <f>1395.6+(168.6-406.9)+(0.711756+(0.085986-0.207519))+0-28.6-0.0145859999999971</f>
        <v>1129.275637</v>
      </c>
      <c r="J267" s="3">
        <f>1304.7+(188.1-474.4)+(-3.326985+(-0.479655--1.20972))+0-28.6--0.0729299999999959</f>
        <v>987.27601000000016</v>
      </c>
      <c r="K267" s="3">
        <f>1547.2+(183.5-520.1)+(0.789072+(0.093585-0.265251))+0-21.9-0.0111689999999978</f>
        <v>1189.3062369999998</v>
      </c>
      <c r="L267" s="3">
        <f>1691.9+(167.3-605.8)+(-1.725738+(-0.170646--0.617916))+0-10.2--0.0104040000000016</f>
        <v>1241.9319360000002</v>
      </c>
      <c r="M267" s="3">
        <f>1942.5+(54.1-629.9)+(0.990675+(0.027591-0.321249))+0-8.7-0.00443699999999912</f>
        <v>1358.6925799999999</v>
      </c>
      <c r="N267" s="3">
        <f>1954.9+(32.5-505)+(0+(0-0))+0-9-0</f>
        <v>1473.4</v>
      </c>
      <c r="O267" s="3">
        <f>1957.5+(47.9-391.3)+(0.998325+(0.024429-0.199563))+0-7.4-0.00377399999999925</f>
        <v>1607.5194169999997</v>
      </c>
      <c r="P267" s="3">
        <f>1952.7+(47.2-324.6)+(-0.995877+(-0.024072--0.165546))+0-4.5--0.00229499999999954</f>
        <v>1669.9478919999999</v>
      </c>
      <c r="Q267" s="3">
        <f>1963.4+(47.9-300.2)+(-3.004002+(-0.073287--0.459306))+0-4.2--0.00642600000000024</f>
        <v>1704.2884429999999</v>
      </c>
      <c r="R267" s="3">
        <f>1969.7+(56-286.6)+(-2.009094+(-0.05712--0.292332))+0-2.6--0.00265200000000041</f>
        <v>1734.7287699999999</v>
      </c>
      <c r="S267" s="3">
        <f>1969+(35-316.2)+(-4.01676+(-0.0714--0.645048))+0-1.9--0.00387599999999992</f>
        <v>1682.4607639999999</v>
      </c>
      <c r="T267" s="3">
        <f>1848.3+(41.1-244.3)+(-1.885266+(-0.041922--0.249186))+0-2--0.00204000000000032</f>
        <v>1641.4240379999999</v>
      </c>
      <c r="U267" s="3">
        <f>1839.6+(50.2-247.6)+(-2.814588+(-0.076806--0.378828))+0-1.8--0.0027540000000001</f>
        <v>1637.8901879999999</v>
      </c>
      <c r="V267" s="3">
        <f>1931.7+(42.5-307.5)+(-1.970334+(-0.04335--0.31365))+0-2.1--0.00214200000000034</f>
        <v>1662.9021080000002</v>
      </c>
      <c r="W267" s="3">
        <f>1985.3+(113.1-263.7)+(-1.012503+(-0.057681--0.134487))+5.8-1.9--0.000968999999999807</f>
        <v>1837.665272</v>
      </c>
      <c r="X267" s="3">
        <f>1994.1+(151.6-276.3)+(-5.084955+(-0.38658--0.704565))+0-1.7--0.00433499999999975</f>
        <v>1862.937365</v>
      </c>
      <c r="Y267" s="3">
        <f>1994+(201.1-328.4)+(-2.03388+(-0.205122--0.334968))+0-2--0.00204000000000032</f>
        <v>1862.7980060000002</v>
      </c>
      <c r="Z267" s="3">
        <f>1956.6+(171.5-278)+(-3.991464+(-0.34986--0.56712))+0-2--0.00407999999999991</f>
        <v>1844.3298759999998</v>
      </c>
      <c r="AA267" s="3">
        <f>1844.3+(158.9-208.9)+(-1.881186+(-0.162078--0.213078))+0-2.5--0.0025500000000004</f>
        <v>1789.972364</v>
      </c>
      <c r="AB267" s="3">
        <f>1842.2+(108.7-218.6)+(-5.637132+(-0.332622--0.668916))+0-3.6--0.0110160000000004</f>
        <v>1723.4101779999999</v>
      </c>
      <c r="AC267" s="3">
        <f>1624.4+(168.4-190.2)+(-2.485332+(-0.257652--0.291006))+0-4.3--0.00657900000000025</f>
        <v>1595.8546010000002</v>
      </c>
      <c r="AD267">
        <v>1886.3999999999999</v>
      </c>
      <c r="AE267" s="3">
        <f>1992.1+(128.3-233.5)+(0+(0-0))+15-1.7-0</f>
        <v>1900.1999999999998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1538.3+(217.3-291.6)+(-0.784533+(-0.110823--0.148716))+0-7.4--0.00377399999999925</f>
        <v>1455.8571339999999</v>
      </c>
      <c r="G268" s="3">
        <f>1521.9+(234.3-377)+(-0.776169+(-0.119493--0.19227))+0-18.4--0.00938399999999813</f>
        <v>1360.105992</v>
      </c>
      <c r="H268" s="3">
        <f>1525.7+(252.7-439.8)+(0.778107+(0.128877-0.224298))+0-23.5-0.0119849999999976</f>
        <v>1315.7707009999999</v>
      </c>
      <c r="I268" s="3">
        <f>1526.7+(252.2-464.5)+(2.335851+(0.385866-0.710685))+0-27.6-0.0422280000000016</f>
        <v>1288.768804</v>
      </c>
      <c r="J268" s="3">
        <f>1575.1+(260.5-527.1)+(-0.803301+(-0.132855--0.268821))+0-28--0.0142799999999972</f>
        <v>1279.846945</v>
      </c>
      <c r="K268" s="3">
        <f>1612.9+(258.1-550.1)+(3.290316+(0.526524-1.122204))+0-27.5-0.0560999999999988</f>
        <v>1296.038536</v>
      </c>
      <c r="L268" s="3">
        <f>1696+(225.4-507.1)+(0+(0-0))+0-27.5-0</f>
        <v>1386.8</v>
      </c>
      <c r="M268" s="3">
        <f>1733.7+(134-405.9)+(0.884187+(0.06834-0.207009))+0-27.6-0.0140759999999972</f>
        <v>1434.9314420000003</v>
      </c>
      <c r="N268" s="3">
        <f>1830.7+(76.5-360.1)+(0.933657+(0.039015-0.183651))+0-28.2-0.0143819999999971</f>
        <v>1519.6746389999998</v>
      </c>
      <c r="O268" s="3">
        <f>1834.9+(78.5-246.7)+(1.871598+(0.08007-0.251634))+0-28.8-0.0293760000000046</f>
        <v>1639.5706580000001</v>
      </c>
      <c r="P268" s="3">
        <f>1834.9+(121.1-227)+(-0.935799+(-0.061761--0.11577))+0-29--0.0147899999999971</f>
        <v>1699.133</v>
      </c>
      <c r="Q268" s="3">
        <f>1834.2+(126.7-211.7)+(-2.806326+(-0.193851--0.323901))+0-28.9--0.0442170000000017</f>
        <v>1717.6679409999999</v>
      </c>
      <c r="R268" s="3">
        <f>1832.3+(116.5-218.1)+(-3.737892+(-0.23766--0.444924))+0-28.8--0.0587519999999987</f>
        <v>1698.428124</v>
      </c>
      <c r="S268" s="3">
        <f>1829.8+(74.6-236.5)+(-0.933198+(-0.038046--0.120615))+0-28.2--0.0143819999999971</f>
        <v>1638.8637529999999</v>
      </c>
      <c r="T268" s="3">
        <f>1833.4+(60.7-251.9)+(1.870068+(0.061914-0.256938))+0-29.7-0.0302940000000047</f>
        <v>1614.1447500000002</v>
      </c>
      <c r="U268" s="3">
        <f>1832.4+(67.6-246.3)+(0+(0-0))+0-30.6-0</f>
        <v>1623.1000000000001</v>
      </c>
      <c r="V268" s="3">
        <f>1878.8+(90.1-271.6)+(1.916376+(0.091902-0.277032))+0-30.6-0.0312120000000049</f>
        <v>1668.400034</v>
      </c>
      <c r="W268" s="3">
        <f>1973.9+(192.3-264)+(3.020067+(0.294219-0.40392))+0-30.3-0.0463590000000018</f>
        <v>1874.7640070000002</v>
      </c>
      <c r="X268" s="3">
        <f>2007.8+(289.4-341.2)+(0+(0-0))+0-30.4-0</f>
        <v>1925.6</v>
      </c>
      <c r="Y268" s="3">
        <f>1987.6+(304.6-395.6)+(-5.06838+(-0.77673--1.00878))+0-30.1--0.0767549999999956</f>
        <v>1861.740425</v>
      </c>
      <c r="Z268" s="3">
        <f>1888.6+(339.4-386.9)+(-1.926372+(-0.346188--0.394638))+0-30.4--0.0310080000000048</f>
        <v>1808.8530859999998</v>
      </c>
      <c r="AA268" s="3">
        <f>1847.1+(349.4-396.4)+(-1.884042+(-0.356388--0.404328))+0-30.2--0.0308040000000048</f>
        <v>1768.0947019999999</v>
      </c>
      <c r="AB268" s="3">
        <f>1667.8+(289.3-192.6)+(0+(0-0))+0-28.6-0</f>
        <v>1735.9</v>
      </c>
      <c r="AC268" s="3">
        <f>1534.1+(294.9-180.9)+(-2.347173+(-0.451197--0.276777))+0-28.3--0.0432990000000016</f>
        <v>1617.3217059999999</v>
      </c>
      <c r="AD268">
        <v>1920.4999999999998</v>
      </c>
      <c r="AE268" s="3">
        <f>2004.6+(305.3-346.4)+(0+(0-0))+0-30.4-0</f>
        <v>1933.1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1410.4+(211.3-194.2)+(-1.438608+(-0.215526--0.198084))+0-28.1--0.0286620000000045</f>
        <v>1397.972612</v>
      </c>
      <c r="G269" s="3">
        <f>1369.1+(204.9-274.4)+(-1.396482+(-0.208998--0.279888))+0-28.2--0.0287640000000045</f>
        <v>1270.1031719999999</v>
      </c>
      <c r="H269" s="3">
        <f>1364+(196.4-335)+(-0.69564+(-0.100164--0.17085))+0-28.5--0.0145349999999971</f>
        <v>1196.2895810000002</v>
      </c>
      <c r="I269" s="3">
        <f>1371.4+(190.7-346.8)+(-0.699414+(-0.097257--0.176868))+0-28.5--0.0145349999999971</f>
        <v>1186.1947320000002</v>
      </c>
      <c r="J269" s="3">
        <f>1381.5+(188.9-355.5)+(4.931955+(0.674373-1.269135))+0-28.3-0.101031</f>
        <v>1190.8361620000003</v>
      </c>
      <c r="K269" s="3">
        <f>1402.7+(174.7-355.5)+(1.430754+(0.178194-0.36261))+0-28.3-0.0288660000000045</f>
        <v>1194.817472</v>
      </c>
      <c r="L269" s="3">
        <f>1523+(151-349.1)+(-0.77673+(-0.07701--0.178041))+0-28.2--0.0143819999999971</f>
        <v>1296.0386830000002</v>
      </c>
      <c r="M269" s="3">
        <f>1574.2+(95.8-270.9)+(-1.605684+(-0.097716--0.276318))+0-29.6--0.0301920000000047</f>
        <v>1368.1031100000002</v>
      </c>
      <c r="N269" s="3">
        <f>1936.1+(38-337.2)+(-0.987411+(-0.01938--0.171972))+0-30.6--0.0156059999999969</f>
        <v>1605.480787</v>
      </c>
      <c r="O269" s="3">
        <f>1963.2+(57.7-306.1)+(-1.001232+(-0.029427--0.156111))+0-31.1--0.0158609999999968</f>
        <v>1682.8413130000001</v>
      </c>
      <c r="P269" s="3">
        <f>1954+(59.1-339.5)+(0+(0-0))+0-31.2-0</f>
        <v>1642.3999999999999</v>
      </c>
      <c r="Q269" s="3">
        <f>1952.5+(63.7-326.6)+(-1.99155+(-0.064974--0.333132))+0-30.8--0.0314160000000049</f>
        <v>1657.1080239999999</v>
      </c>
      <c r="R269" s="3">
        <f>1979.3+(48.7-343.6)+(-3.028329+(-0.074511--0.525708))+0-29.1--0.0445230000000017</f>
        <v>1652.7673910000001</v>
      </c>
      <c r="S269" s="3">
        <f>2094.1+(28-447.3)+(-3.203973+(-0.04284--0.684369))+0-29--0.0443700000000017</f>
        <v>1643.2819260000001</v>
      </c>
      <c r="T269" s="3">
        <f>1976.1+(37.1-377.6)+(3.023433+(0.056763-0.577728))+0-30.3-0.0463590000000018</f>
        <v>1607.7561089999999</v>
      </c>
      <c r="U269" s="3">
        <f>1961.3+(44.2-342)+(0+(0-0))+0-30.6-0</f>
        <v>1632.9</v>
      </c>
      <c r="V269" s="3">
        <f>2054.6+(50.6-371.8)+(-1.047846+(-0.025806--0.189618))+0-30.4--0.0155039999999969</f>
        <v>1702.1314699999998</v>
      </c>
      <c r="W269" s="3">
        <f>1983.5+(148.5-207.6)+(2.02317+(0.15147-0.211752))+0-30-0.0306000000000048</f>
        <v>1896.3322880000001</v>
      </c>
      <c r="X269" s="3">
        <f>1967.5+(204.8-212.8)+(-4.0137+(-0.417792--0.434112))+0-30.2--0.0616079999999987</f>
        <v>1925.3642279999999</v>
      </c>
      <c r="Y269" s="3">
        <f>1943.8+(211.5-245.2)+(-5.948028+(-0.64719--0.750312))+0-30.4--0.0930240000000035</f>
        <v>1873.9481179999998</v>
      </c>
      <c r="Z269" s="3">
        <f>1941.2+(200.4-277.7)+(-0.990012+(-0.102204--0.141627))+0-31.2--0.0159119999999968</f>
        <v>1831.7653230000001</v>
      </c>
      <c r="AA269" s="3">
        <f>1937.1+(216.7-339.4)+(-3.951684+(-0.442068--0.692376))+0-30.5--0.0622199999999987</f>
        <v>1780.2608439999999</v>
      </c>
      <c r="AB269" s="3">
        <f>1905+(137.4-289.8)+(-3.8862+(-0.280296--0.591192))+0-28.7--0.0585479999999987</f>
        <v>1720.3832439999999</v>
      </c>
      <c r="AC269" s="3">
        <f>1617+(195.3-232.1)+(-3.29868+(-0.398412--0.473484))+0-27.9--0.0569159999999988</f>
        <v>1549.1333079999999</v>
      </c>
      <c r="AD269">
        <v>1930.0999999999997</v>
      </c>
      <c r="AE269" s="3">
        <f>1965+(194.5-184.1)+(0+(0-0))+0-29.7-0</f>
        <v>1945.7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1543.6+(167.8-280.5)+(-3.93618+(-0.42789--0.715275))+0-28.3--0.0721649999999959</f>
        <v>1399.0233699999999</v>
      </c>
      <c r="G270" s="3">
        <f>1436.1+(202.9-322.4)+(-0.732411+(-0.103479--0.164424))+0-28.2--0.0143819999999971</f>
        <v>1287.7429159999999</v>
      </c>
      <c r="H270" s="3">
        <f>1436.4+(220.7-382.2)+(-2.197692+(-0.337671--0.584766))+0-28.2--0.0431460000000016</f>
        <v>1244.792549</v>
      </c>
      <c r="I270" s="3">
        <f>1452.4+(217.8-409.3)+(2.222172+(0.333234-0.626229))+0-28.3-0.0432990000000016</f>
        <v>1234.4858780000002</v>
      </c>
      <c r="J270" s="3">
        <f>1491.9+(210-452.5)+(0.760869+(0.1071-0.230775))+0-28.4-0.0144839999999971</f>
        <v>1221.6227099999999</v>
      </c>
      <c r="K270" s="3">
        <f>1500.1+(203.2-454.7)+(2.295153+(0.310896-0.695691))+0-28.2-0.0431460000000016</f>
        <v>1222.267212</v>
      </c>
      <c r="L270" s="3">
        <f>1868.6+(151.9-713.9)+(0.952986+(0.077469-0.364089))+0-28.8-0.0146879999999971</f>
        <v>1278.4516779999999</v>
      </c>
      <c r="M270" s="3">
        <f>1942+(57.2-616.2)+(0.99042+(0.029172-0.314262))+0-29.4-0.014993999999997</f>
        <v>1354.290336</v>
      </c>
      <c r="N270" s="3">
        <f>1943.2+(26.5-477.2)+(0.991032+(0.013515-0.243372))+0-30.2-0.0154019999999969</f>
        <v>1463.0457730000001</v>
      </c>
      <c r="O270" s="3">
        <f>1953+(42.9-352.6)+(-0.99603+(-0.021879--0.179826))+0-30.4--0.0155039999999969</f>
        <v>1612.0774209999997</v>
      </c>
      <c r="P270" s="3">
        <f>1961.1+(55.4-299.2)+(-2.000322+(-0.056508--0.305184))+0-30.4--0.0310080000000048</f>
        <v>1685.1793619999999</v>
      </c>
      <c r="Q270" s="3">
        <f>1961.4+(60.9-271.1)+(-4.001256+(-0.124236--0.553044))+0-29.9--0.0609959999999987</f>
        <v>1717.788548</v>
      </c>
      <c r="R270" s="3">
        <f>1953.2+(51.4-293.2)+(-5.976792+(-0.157284--0.897192))+0-28.7--0.0878220000000033</f>
        <v>1677.5509380000001</v>
      </c>
      <c r="S270" s="3">
        <f>1905.6+(43.1-319.4)+(0+(0-0))+0-28.4-0</f>
        <v>1600.8999999999999</v>
      </c>
      <c r="T270" s="3">
        <f>1938.4+(34.2-390.1)+(-3.954336+(-0.069768--0.795804))+0-29.4--0.0599759999999987</f>
        <v>1549.9316759999999</v>
      </c>
      <c r="U270" s="3">
        <f>1945.2+(44.4-419.9)+(0+(0-0))+0-30.5-0</f>
        <v>1539.2</v>
      </c>
      <c r="V270" s="3">
        <f>1964.8+(85.3-422.2)+(0+(0-0))+0-31-0</f>
        <v>1596.9</v>
      </c>
      <c r="W270" s="3">
        <f>1979.4+(110.6-252.1)+(0+(0-0))+0-30.5-0</f>
        <v>1807.4</v>
      </c>
      <c r="X270" s="3">
        <f>1977.9+(254.7-370.7)+(-4.034916+(-0.519588--0.756228))+0-30.6--0.0624239999999987</f>
        <v>1827.5641480000002</v>
      </c>
      <c r="Y270" s="3">
        <f>1978.4+(300.4-464.7)+(-3.026952+(-0.459612--0.710991))+0-30.2--0.0462060000000017</f>
        <v>1781.1706330000002</v>
      </c>
      <c r="Z270" s="3">
        <f>1976.9+(304.3-517)+(-1.008219+(-0.155193--0.26367))+0-30.3--0.0154529999999969</f>
        <v>1733.015711</v>
      </c>
      <c r="AA270" s="3">
        <f>1975.3+(294.9-545.4)+(-4.029612+(-0.601596--1.112616))+0-30--0.0611999999999987</f>
        <v>1691.3426080000002</v>
      </c>
      <c r="AB270" s="3">
        <f>1963.3+(236.9-541.4)+(-5.006415+(-0.604095--1.38057))+0-28.7--0.0731849999999958</f>
        <v>1625.9432449999999</v>
      </c>
      <c r="AC270" s="3">
        <f>1769.2+(259.4-482.1)+(-4.51146+(-0.66147--1.229355))+0-28.3--0.0721649999999959</f>
        <v>1514.3285900000001</v>
      </c>
      <c r="AD270">
        <v>1843.7</v>
      </c>
      <c r="AE270" s="3">
        <f>1988+(127.1-231.2)+(0+(0-0))+0-29.8-0</f>
        <v>1854.1000000000001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1565.1+(252.2-440.5)+(-1.596402+(-0.257244--0.44931))+0-28.2--0.0287640000000045</f>
        <v>1347.2244279999998</v>
      </c>
      <c r="G271" s="3">
        <f>1540.5+(260.5-527.2)+(-3.14262+(-0.53142--1.075488))+0-28.5--0.0581399999999988</f>
        <v>1242.7595880000001</v>
      </c>
      <c r="H271" s="3">
        <f>1496.7+(260.1-535.2)+(-0.763317+(-0.132651--0.272952))+0-28.5--0.0145349999999971</f>
        <v>1192.4915189999999</v>
      </c>
      <c r="I271" s="3">
        <f>1425.8+(254.8-492.6)+(-1.454316+(-0.259896--0.502452))+0-28.6--0.0291720000000046</f>
        <v>1158.2174120000002</v>
      </c>
      <c r="J271" s="3">
        <f>1421.8+(249.5-500)+(0.725118+(0.127245-0.255))+0-28.8-0.0146879999999971</f>
        <v>1143.0826750000001</v>
      </c>
      <c r="K271" s="3">
        <f>1421.7+(249.2-495.9)+(0+(0-0))+0-28.7-0</f>
        <v>1146.3</v>
      </c>
      <c r="L271" s="3">
        <f>1424.9+(257.8-486.8)+(-0.726699+(-0.131478--0.248268))+0-28.6--0.0145859999999971</f>
        <v>1166.7046770000002</v>
      </c>
      <c r="M271" s="3">
        <f>1414.4+(260-484.4)+(-5.049408+(-0.9282--1.729308))+0-30.5--0.108885</f>
        <v>1155.3605850000001</v>
      </c>
      <c r="N271" s="3">
        <f>1420.3+(243-449.2)+(1.448706+(0.24786-0.458184))+0-30.9-0.0315180000000049</f>
        <v>1184.4068639999998</v>
      </c>
      <c r="O271" s="3">
        <f>1502.8+(252.4-420.2)+(0+(0-0))+0-31.2-0</f>
        <v>1303.8</v>
      </c>
      <c r="P271" s="3">
        <f>1743.2+(250.7-578.2)+(-3.556128+(-0.511428--1.179528))+0-30.9--0.0630359999999986</f>
        <v>1381.9750079999999</v>
      </c>
      <c r="Q271" s="3">
        <f>1787.8+(145.1-486)+(-1.823556+(-0.148002--0.49572))+0-31.1--0.031722000000005</f>
        <v>1414.3558840000001</v>
      </c>
      <c r="R271" s="3">
        <f>1792.1+(96.4-445.3)+(-4.569855+(-0.24582--1.135515))+0-29.3--0.0747149999999958</f>
        <v>1410.2945549999999</v>
      </c>
      <c r="S271" s="3">
        <f>1794.3+(108.8-493.9)+(-2.745279+(-0.166464--0.755667))+0-28.6--0.0437580000000017</f>
        <v>1378.4876820000002</v>
      </c>
      <c r="T271" s="3">
        <f>1793.4+(66.7-489.6)+(-1.829268+(-0.068034--0.499392))+0-30.7--0.0313140000000049</f>
        <v>1338.4334040000001</v>
      </c>
      <c r="U271" s="3">
        <f>1793.2+(28.9-476)+(0.914532+(0.014739-0.24276))+0-30.2-0.0154019999999969</f>
        <v>1316.571109</v>
      </c>
      <c r="V271" s="3">
        <f>1807.6+(59.8-455.6)+(1.843752+(0.060996-0.464712))+0-30-0.0306000000000048</f>
        <v>1383.2094359999999</v>
      </c>
      <c r="W271" s="3">
        <f>1844.1+(77.8-280)+(0+(0-0))+0-29.9-0</f>
        <v>1611.9999999999998</v>
      </c>
      <c r="X271" s="3">
        <f>1803+(292.5-372.3)+(-4.59765+(-0.745875--0.949365))+0-30.5--0.0777749999999956</f>
        <v>1688.383615</v>
      </c>
      <c r="Y271" s="3">
        <f>1634+(331.2-267.3)+(0.83334+(0.168912-0.136323))+0-30.5-0.0155549999999969</f>
        <v>1668.2503740000002</v>
      </c>
      <c r="Z271" s="3">
        <f>1578.4+(338.4-250.9)+(-1.609968+(-0.345168--0.255918))+0-29.8--0.0303960000000048</f>
        <v>1634.4311780000003</v>
      </c>
      <c r="AA271" s="3">
        <f>1581.9+(322.9-262.2)+(-4.033845+(-0.823395--0.66861))+0-29--0.0739499999999958</f>
        <v>1609.48532</v>
      </c>
      <c r="AB271" s="3">
        <f>1581.8+(212.4-201.5)+(-2.420154+(-0.324972--0.308295))+0-28.4--0.0434520000000016</f>
        <v>1561.9066209999999</v>
      </c>
      <c r="AC271" s="3">
        <f>1559.1+(160.8-238.3)+(-3.975705+(-0.41004--0.607665))+0-28.6--0.0729299999999959</f>
        <v>1449.29485</v>
      </c>
      <c r="AD271">
        <v>1666.6999999999998</v>
      </c>
      <c r="AE271" s="3">
        <f>1843+(96.3-234.2)+(0+(0-0))+0-29.4-0</f>
        <v>1675.6999999999998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1464.1+(149.2-305.3)+(0+(0-0))+0-27.8-0</f>
        <v>1280.2</v>
      </c>
      <c r="G272" s="3">
        <f>1458.6+(191.8-451.2)+(-2.975544+(-0.391272--0.920448))+0-28.5--0.0581399999999988</f>
        <v>1168.311772</v>
      </c>
      <c r="H272" s="3">
        <f>1437.3+(224.7-493.2)+(-3.665115+(-0.572985--1.25766))+0-28.7--0.0731849999999958</f>
        <v>1137.1927449999998</v>
      </c>
      <c r="I272" s="3">
        <f>1409.5+(233.9-490)+(2.156535+(0.357867-0.7497))+0-28.6-0.0437580000000017</f>
        <v>1126.5209440000001</v>
      </c>
      <c r="J272" s="3">
        <f>1409.9+(238.6-491.8)+(0+(0-0))+0-28.3-0</f>
        <v>1128.4000000000001</v>
      </c>
      <c r="K272" s="3">
        <f>1410.8+(240.1-473.5)+(2.158524+(0.367353-0.724455))+0-28.7-0.0439110000000017</f>
        <v>1150.4575109999998</v>
      </c>
      <c r="L272" s="3">
        <f>1448.4+(247.2-430.4)+(-0.738684+(-0.126072--0.219504))+0-28.9--0.0147389999999971</f>
        <v>1235.6694869999999</v>
      </c>
      <c r="M272" s="3">
        <f>1571.5+(245.4-443)+(0.801465+(0.125154-0.22593))+0-29.6-0.015095999999997</f>
        <v>1344.9855930000001</v>
      </c>
      <c r="N272" s="3">
        <f>1735.7+(218.7-470.7)+(-0.885207+(-0.111537--0.240057))+0-30.7--0.0156569999999969</f>
        <v>1452.2589699999999</v>
      </c>
      <c r="O272" s="3">
        <f>1809.1+(143.2-336.1)+(-2.767923+(-0.219096--0.514233))+0-31.2--0.0477360000000018</f>
        <v>1582.5749499999997</v>
      </c>
      <c r="P272" s="3">
        <f>1828.3+(114.5-210.7)+(-2.797299+(-0.175185--0.322371))+0-31.3--0.0478890000000018</f>
        <v>1698.197776</v>
      </c>
      <c r="Q272" s="3">
        <f>1832.4+(117.3-177)+(-2.803572+(-0.179469--0.27081))+0-31.2--0.0477360000000018</f>
        <v>1738.835505</v>
      </c>
      <c r="R272" s="3">
        <f>1776.1+(137.1-168.5)+(-2.717433+(-0.209763--0.257805))+0-29.3--0.0448290000000017</f>
        <v>1712.7754379999999</v>
      </c>
      <c r="S272" s="3">
        <f>1473.2+(325.8-123.9)+(-1.502664+(-0.332316--0.126378))+0-28.8--0.0293760000000046</f>
        <v>1644.6207740000002</v>
      </c>
      <c r="T272" s="3">
        <f>1562.7+(214.2-137.1)+(-3.187908+(-0.436968--0.279684))+0-29.6--0.0603839999999987</f>
        <v>1606.9151919999999</v>
      </c>
      <c r="U272" s="3">
        <f>1695+(134.6-184.9)+(-0.86445+(-0.068646--0.094299))+0-30.3--0.0154529999999969</f>
        <v>1613.576656</v>
      </c>
      <c r="V272" s="3">
        <f>1778.6+(151.4-204.4)+(-0.907086+(-0.077214--0.104244))+0-30.7--0.0156569999999969</f>
        <v>1694.0356009999998</v>
      </c>
      <c r="W272" s="3">
        <f>1866.3+(258.5-201.3)+(-0.951813+(-0.131835--0.102663))+0-30.2--0.0154019999999969</f>
        <v>1892.334417</v>
      </c>
      <c r="X272" s="3">
        <f>1875.2+(349.4-257)+(-3.825408+(-0.712776--0.52428))+0-30.9--0.0630359999999986</f>
        <v>1932.7491319999999</v>
      </c>
      <c r="Y272" s="3">
        <f>1865.6+(333.2-293)+(-4.75728+(-0.84966--0.74715))+0-30.7--0.0782849999999955</f>
        <v>1870.318495</v>
      </c>
      <c r="Z272" s="3">
        <f>1876.1+(318.7-345.4)+(-4.784055+(-0.812685--0.88077))+0-30.7--0.0782849999999955</f>
        <v>1814.0623149999999</v>
      </c>
      <c r="AA272" s="3">
        <f>1878.1+(295.2-384.2)+(-2.873493+(-0.451656--0.587826))+0-30.7--0.0469710000000018</f>
        <v>1755.7096479999998</v>
      </c>
      <c r="AB272" s="3">
        <f>1871.7+(124.7-280.3)+(-4.772835+(-0.317985--0.714765))+0-29.6--0.0754799999999957</f>
        <v>1682.199425</v>
      </c>
      <c r="AC272" s="3">
        <f>1708.8+(137.3-275.2)+(-4.35744+(-0.350115--0.70176))+0-29.1--0.0742049999999958</f>
        <v>1537.86841</v>
      </c>
      <c r="AD272">
        <v>1934.8</v>
      </c>
      <c r="AE272" s="3">
        <f>1866+(308.5-200.5)+(0+(0-0))+0-29.2-0</f>
        <v>1944.8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1584+(144.3-327.6)+(0+(0-0))+0-29.1-0</f>
        <v>1371.6000000000001</v>
      </c>
      <c r="G273" s="3">
        <f>1528.3+(214.3-456.5)+(0+(0-0))+0-28.8-0</f>
        <v>1257.3</v>
      </c>
      <c r="H273" s="3">
        <f>1513.9+(237.2-513.3)+(0+(0-0))+0-28.6-0</f>
        <v>1209.2000000000003</v>
      </c>
      <c r="I273" s="3">
        <f>1513.4+(242.9-530.7)+(0+(0-0))+0-28.5-0</f>
        <v>1197.0999999999999</v>
      </c>
      <c r="J273" s="3">
        <f>1586.8+(249.8-617.8)+(0+(0-0))+0-28.3-0</f>
        <v>1190.5</v>
      </c>
      <c r="K273" s="3">
        <f>1599.3+(240.6-614)+(0+(0-0))+0-28.7-0</f>
        <v>1197.2</v>
      </c>
      <c r="L273" s="3">
        <f>1789.3+(240.4-730.3)+(0+(0-0))+0-28.3-0</f>
        <v>1271.1000000000001</v>
      </c>
      <c r="M273" s="3">
        <f>1828+(233.8-671.4)+(0+(0-0))+0-28.9-0</f>
        <v>1361.5</v>
      </c>
      <c r="N273" s="3">
        <f>1826+(220.5-570.2)+(0+(0-0))+0-28.5-0</f>
        <v>1447.8</v>
      </c>
      <c r="O273" s="3">
        <f>1842.2+(183.2-424.8)+(-1.879044+(-0.186864--0.433296))+0-28.6--0.0291720000000046</f>
        <v>1570.3965599999999</v>
      </c>
      <c r="P273" s="3">
        <f>1852.7+(123.8-321.1)+(-2.834631+(-0.189414--0.491283))+0-29.1--0.0445230000000017</f>
        <v>1623.8117610000002</v>
      </c>
      <c r="Q273" s="3">
        <f>1834.2+(134.3-302.4)+(-2.806326+(-0.205479--0.462672))+0-28.3--0.0432990000000016</f>
        <v>1635.2941660000001</v>
      </c>
      <c r="R273" s="3">
        <f>1743.9+(157.4-219.9)+(-3.557556+(-0.321096--0.448596))+0-28.5--0.0581399999999988</f>
        <v>1649.5280840000003</v>
      </c>
      <c r="S273" s="3">
        <f>1736.2+(134.1-223.7)+(-4.42731+(-0.341955--0.570435))+0-28.5--0.0726749999999959</f>
        <v>1613.973845</v>
      </c>
      <c r="T273" s="3">
        <f>1737.8+(128.5-248.2)+(0+(0-0))+0-29.6-0</f>
        <v>1588.5</v>
      </c>
      <c r="U273" s="3">
        <f>1716.9+(134.9-234.1)+(-4.378095+(-0.343995--0.596955))+0-30.9--0.0787949999999955</f>
        <v>1582.7536599999999</v>
      </c>
      <c r="V273" s="3">
        <f>1746.5+(154.7-253.9)+(-0.890715+(-0.078897--0.129489))+0-30.4--0.0155039999999969</f>
        <v>1616.0753809999999</v>
      </c>
      <c r="W273" s="3">
        <f>1804+(273.5-211.4)+(0.92004+(0.139485-0.107814))+0-30.4-0.0155039999999969</f>
        <v>1836.6362069999998</v>
      </c>
      <c r="X273" s="3">
        <f>1836+(358.4-262)+(-1.87272+(-0.365568--0.26724))+0-30.2--0.0308040000000048</f>
        <v>1900.2597559999999</v>
      </c>
      <c r="Y273" s="3">
        <f>1826.3+(337.6-282)+(-1.862826+(-0.344352--0.28764))+0-30--0.0306000000000048</f>
        <v>1850.011062</v>
      </c>
      <c r="Z273" s="3">
        <f>1834.4+(312.7-304.1)+(-3.742176+(-0.637908--0.620364))+0-30.4--0.0620159999999987</f>
        <v>1808.902296</v>
      </c>
      <c r="AA273" s="3">
        <f>1822.2+(243.4-290.4)+(-3.717288+(-0.496536--0.592416))+0-30.7--0.0626279999999987</f>
        <v>1740.9412199999999</v>
      </c>
      <c r="AB273" s="3">
        <f>1810.4+(122.3-231.9)+(-2.769912+(-0.187119--0.354807))+0-28.4--0.0434520000000016</f>
        <v>1669.841228</v>
      </c>
      <c r="AC273" s="3">
        <f>1381.6+(334.6-187.5)+(-2.818464+(-0.682584--0.3825))+0-28.6--0.0583439999999988</f>
        <v>1497.039796</v>
      </c>
      <c r="AD273">
        <v>1907.4</v>
      </c>
      <c r="AE273" s="3">
        <f>1835+(315.6-206.8)+(0+(0-0))+0-30-0</f>
        <v>1913.8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1291.5+(287.3-199.8)+(-1.975995+(-0.439569--0.305694))+0-28.7--0.0439110000000017</f>
        <v>1348.2340409999999</v>
      </c>
      <c r="G274" s="3">
        <f>1285.6+(242.5-247.1)+(-3.27828+(-0.618375--0.630105))+0-28.7--0.0731849999999958</f>
        <v>1249.1066349999999</v>
      </c>
      <c r="H274" s="3">
        <f>1233.2+(264.9-260.7)+(-0.628932+(-0.135099--0.132957))+0-28.5--0.0145349999999971</f>
        <v>1208.2834610000002</v>
      </c>
      <c r="I274" s="3">
        <f>1229.4+(264.7-279.4)+(0+(0-0))+0-28.4-0</f>
        <v>1186.3</v>
      </c>
      <c r="J274" s="3">
        <f>1230.9+(262.8-274.7)+(0.627759+(0.134028-0.140097))+0-28.7-0.0146369999999971</f>
        <v>1190.9070529999999</v>
      </c>
      <c r="K274" s="3">
        <f>1231.5+(259.9-261.7)+(2.51226+(0.530196-0.533868))+0-28.6-0.0583439999999988</f>
        <v>1203.550244</v>
      </c>
      <c r="L274" s="3">
        <f>1576.5+(234.7-493.3)+(2.412045+(0.359091-0.754749))+0-28.9-0.0442170000000017</f>
        <v>1290.97217</v>
      </c>
      <c r="M274" s="3">
        <f>1671.8+(217.6-494.2)+(0+(0-0))+0-29.6-0</f>
        <v>1365.6</v>
      </c>
      <c r="N274" s="3">
        <f>1729+(173.2-420.6)+(-0.88179+(-0.088332--0.214506))+0-31.1--0.0158609999999968</f>
        <v>1449.7602450000002</v>
      </c>
      <c r="O274" s="3">
        <f>1827.1+(69.5-296.5)+(-1.863642+(-0.07089--0.30243))+0-31.2--0.031824000000005</f>
        <v>1567.2997219999997</v>
      </c>
      <c r="P274" s="3">
        <f>1837.2+(58.1-236.9)+(-1.873944+(-0.059262--0.241638))+0-31--0.0316200000000049</f>
        <v>1625.7400520000001</v>
      </c>
      <c r="Q274" s="3">
        <f>1837.7+(71.2-228.1)+(-3.748908+(-0.145248--0.465324))+0-30.8--0.0628319999999987</f>
        <v>1646.6340000000002</v>
      </c>
      <c r="R274" s="3">
        <f>1817+(68.6-230.6)+(-2.78001+(-0.104958--0.352818))+0-29.3--0.0448290000000017</f>
        <v>1623.212679</v>
      </c>
      <c r="S274" s="3">
        <f>1696.8+(142.9-203.9)+(-1.730736+(-0.145758--0.207978))+0-28.5--0.0290700000000045</f>
        <v>1605.660554</v>
      </c>
      <c r="T274" s="3">
        <f>1681.9+(133.3-212.7)+(-1.715538+(-0.135966--0.216954))+0-29.5--0.0300900000000047</f>
        <v>1571.39554</v>
      </c>
      <c r="U274" s="3">
        <f>1684.5+(155.3-219.8)+(-0.859095+(-0.079203--0.112098))+0-30.6--0.0156059999999969</f>
        <v>1588.5894060000001</v>
      </c>
      <c r="V274" s="3">
        <f>1779.6+(136.4-245)+(-0.907596+(-0.069564--0.12495))+0-30.9--0.0157589999999969</f>
        <v>1639.2635489999998</v>
      </c>
      <c r="W274" s="3">
        <f>1853.3+(227-202.2)+(1.890366+(0.23154-0.206244))+0-29.9-0.0304980000000048</f>
        <v>1850.0851639999998</v>
      </c>
      <c r="X274" s="3">
        <f>1936.1+(313.1-305.8)+(0+(0-0))+0-30.1-0</f>
        <v>1913.3</v>
      </c>
      <c r="Y274" s="3">
        <f>1906.7+(322.5-334.9)+(-5.834502+(-0.98685--1.024794))+0-29.8--0.0911880000000034</f>
        <v>1858.7946300000003</v>
      </c>
      <c r="Z274" s="3">
        <f>1758.1+(353-273.5)+(0+(0-0))+0-30-0</f>
        <v>1807.6</v>
      </c>
      <c r="AA274" s="3">
        <f>1686.6+(366.7-252.3)+(-2.580498+(-0.561051--0.386019))+0-30.6--0.0468180000000018</f>
        <v>1767.6912880000002</v>
      </c>
      <c r="AB274" s="3">
        <f>1553.1+(386.9-147.4)+(-3.168324+(-0.789276--0.300696))+0-29--0.0591599999999987</f>
        <v>1760.002256</v>
      </c>
      <c r="AC274" s="3">
        <f>1521+(319.5-185.1)+(-3.87855+(-0.814725--0.472005))+0-28.8--0.0734399999999958</f>
        <v>1622.45217</v>
      </c>
      <c r="AD274">
        <v>1900.7999999999997</v>
      </c>
      <c r="AE274" s="3">
        <f>1930+(336.3-326.2)+(0+(0-0))+0-29.9-0</f>
        <v>1910.1999999999998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1347.8+(269.4-236)+(-2.749512+(-0.549576--0.48144))+0-28.4--0.0579359999999988</f>
        <v>1350.0402879999997</v>
      </c>
      <c r="G275" s="3">
        <f>1325.5+(276.6-317.9)+(-1.35201+(-0.282132--0.324258))+0-27--0.0275400000000043</f>
        <v>1255.9176560000001</v>
      </c>
      <c r="H275" s="3">
        <f>1324.3+(278.9-381.5)+(-0.675393+(-0.142239--0.194565))+0-27.4--0.0139739999999972</f>
        <v>1193.6909069999997</v>
      </c>
      <c r="I275" s="3">
        <f>1361.7+(268.7-392.1)+(0.694467+(0.137037-0.199971))+0-28.3-0.0144329999999971</f>
        <v>1210.6170999999999</v>
      </c>
      <c r="J275" s="3">
        <f>1397.4+(264.8-386.4)+(-4.276044+(-0.810288--1.182384))+0-28.6--0.0875160000000033</f>
        <v>1243.3835680000004</v>
      </c>
      <c r="K275" s="3">
        <f>1439.5+(253.7-449.8)+(2.93658+(0.517548-0.917592))+0-28.2-0.0575279999999988</f>
        <v>1217.6790080000001</v>
      </c>
      <c r="L275" s="3">
        <f>1477.2+(252-438.2)+(1.506744+(0.25704-0.446964))+0-28.3-0.0288660000000045</f>
        <v>1263.9879539999999</v>
      </c>
      <c r="M275" s="3">
        <f>1609+(204.8-429.2)+(-4.10295+(-0.52224--1.09446))+0-28.2--0.0719099999999959</f>
        <v>1352.9411799999998</v>
      </c>
      <c r="N275" s="3">
        <f>1859.1+(131.6-491.6)+(0.948141+(0.067116-0.250716))+0-30.3-0.0154529999999969</f>
        <v>1469.549088</v>
      </c>
      <c r="O275" s="3">
        <f>1860.4+(179.4-442.7)+(-1.897608+(-0.182988--0.451554))+0-30--0.0306000000000048</f>
        <v>1565.5015580000002</v>
      </c>
      <c r="P275" s="3">
        <f>1871.6+(190.2-383.5)+(0.954516+(0.097002-0.195585))+0-30.6-0.0156059999999969</f>
        <v>1648.5403270000002</v>
      </c>
      <c r="Q275" s="3">
        <f>1869.2+(188.6-354.4)+(-0.953292+(-0.096186--0.180744))+0-25.5--0.0130049999999974</f>
        <v>1677.0442710000002</v>
      </c>
      <c r="R275" s="3">
        <f>1846.9+(181.7-338.6)+(-4.709595+(-0.463335--0.86343))+0-9.7--0.0247349999999986</f>
        <v>1676.0152349999998</v>
      </c>
      <c r="S275" s="3">
        <f>1781.9+(177.3-304.7)+(-2.726307+(-0.271269--0.466191))+0-23.8--0.0364140000000014</f>
        <v>1628.205029</v>
      </c>
      <c r="T275" s="3">
        <f>1779.4+(148.7-321.7)+(-0.907494+(-0.075837--0.164067))+0-28.4--0.0144839999999971</f>
        <v>1577.1952200000001</v>
      </c>
      <c r="U275" s="3">
        <f>1781.4+(117.7-301.3)+(3.634056+(0.240108-0.614652))+0-29.8-0.0607919999999987</f>
        <v>1571.1987200000003</v>
      </c>
      <c r="V275" s="3">
        <f>1909.9+(92.7-350.5)+(-1.948098+(-0.094554--0.35751))+0-29.1--0.0296820000000046</f>
        <v>1621.3445400000003</v>
      </c>
      <c r="W275" s="3">
        <f>1917+(179.9-252.2)+(0.97767+(0.091749-0.128622))+0-29.4-0.014993999999997</f>
        <v>1816.225803</v>
      </c>
      <c r="X275" s="3">
        <f>1913.6+(333.5-331.9)+(-3.903744+(-0.68034--0.677076))+0-30.5--0.0622199999999987</f>
        <v>1880.8552119999999</v>
      </c>
      <c r="Y275" s="3">
        <f>1880.1+(330.1-327.8)+(-3.835404+(-0.673404--0.668712))+0-30.7--0.0626279999999987</f>
        <v>1847.9225319999998</v>
      </c>
      <c r="Z275" s="3">
        <f>1728.8+(372-269.6)+(-2.645064+(-0.56916--0.412488))+0-29.9--0.0457470000000017</f>
        <v>1798.5440109999997</v>
      </c>
      <c r="AA275" s="3">
        <f>1727+(340.5-295.2)+(-2.64231+(-0.520965--0.451656))+0-28.8--0.0440640000000017</f>
        <v>1740.832445</v>
      </c>
      <c r="AB275" s="3">
        <f>1726.7+(215.1-256)+(-2.641851+(-0.329103--0.39168))+0-28.4--0.0434520000000016</f>
        <v>1654.8641779999998</v>
      </c>
      <c r="AC275" s="3">
        <f>1725.4+(176.1-321.6)+(-4.39977+(-0.449055--0.82008))+0-28.2--0.0719099999999959</f>
        <v>1547.7431649999999</v>
      </c>
      <c r="AD275">
        <v>1868.4</v>
      </c>
      <c r="AE275" s="3">
        <f>1916.5+(228-239.7)+(0+(0-0))+0-29-0</f>
        <v>1875.8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1729.3+(179.7-446.9)+(-2.645829+(-0.274941--0.683757))+0-28.2--0.0431460000000016</f>
        <v>1431.7061329999999</v>
      </c>
      <c r="G276" s="3">
        <f>1588.6+(218.8-465.7)+(-1.620372+(-0.223176--0.475014))+0-28.1--0.0286620000000045</f>
        <v>1312.2601279999999</v>
      </c>
      <c r="H276" s="3">
        <f>1566.4+(248-515.6)+(-1.597728+(-0.25296--0.525912))+0-27.9--0.0284580000000044</f>
        <v>1269.6036820000002</v>
      </c>
      <c r="I276" s="3">
        <f>1568+(267.6-554.1)+(0.79968+(0.136476-0.282591))+0-28-0.0142799999999972</f>
        <v>1254.139285</v>
      </c>
      <c r="J276" s="3">
        <f>1571.2+(257.6-562.3)+(0.801312+(0.131376-0.286773))+0-28-0.0142799999999972</f>
        <v>1239.131635</v>
      </c>
      <c r="K276" s="3">
        <f>1623.8+(251.7-614)+(0.828138+(0.128367-0.31314))+0-28.1-0.0143309999999971</f>
        <v>1234.0290339999999</v>
      </c>
      <c r="L276" s="3">
        <f>1764.5+(254.7-655.8)+(0.899895+(0.129897-0.334458))+0-28.3-0.0144329999999971</f>
        <v>1335.7809010000001</v>
      </c>
      <c r="M276" s="3">
        <f>1931.4+(193.9-697.2)+(-1.970028+(-0.197778--0.711144))+0-28.8--0.0293760000000046</f>
        <v>1397.8727139999999</v>
      </c>
      <c r="N276" s="3">
        <f>1965.5+(236.2-663.9)+(3.007215+(0.361386-1.015767))+0-30.3-0.0463590000000018</f>
        <v>1509.8064750000001</v>
      </c>
      <c r="O276" s="3">
        <f>1951.7+(277.1-567.5)+(-4.976835+(-0.706605--1.447125))+0-30.8--0.0785399999999955</f>
        <v>1626.3422250000001</v>
      </c>
      <c r="P276" s="3">
        <f>1894.8+(252.4-424.8)+(-0.966348+(-0.128724--0.216648))+0-30.1--0.0153509999999969</f>
        <v>1691.436927</v>
      </c>
      <c r="Q276" s="3">
        <f>1883.9+(220.8-319.9)+(-2.882367+(-0.337824--0.489447))+0-28.9--0.0442170000000017</f>
        <v>1753.213473</v>
      </c>
      <c r="R276" s="3">
        <f>1676.8+(319.6-165.2)+(-1.710336+(-0.325992--0.168504))+0-28--0.0285600000000045</f>
        <v>1801.3607360000001</v>
      </c>
      <c r="S276" s="3">
        <f>1541.7+(277.4-152.4)+(-1.572534+(-0.282948--0.155448))+0-26.5--0.0270300000000042</f>
        <v>1638.5269960000001</v>
      </c>
      <c r="T276" s="3">
        <f>1542.4+(201.2-119.2)+(-2.359872+(-0.307836--0.182376))+0-26.1--0.0399330000000015</f>
        <v>1595.8546010000002</v>
      </c>
      <c r="U276" s="3">
        <f>1540.1+(185-131)+(-3.927255+(-0.47175--0.33405))+0-28.6--0.0729299999999959</f>
        <v>1561.507975</v>
      </c>
      <c r="V276" s="3">
        <f>1544.5+(242.4-175.7)+(1.57539+(0.247248-0.179214))+0-29.8-0.0303960000000048</f>
        <v>1583.0130280000001</v>
      </c>
      <c r="W276" s="3">
        <f>1567.3+(442.1-224)+(-2.397969+(-0.676413--0.34272))+0-28.9--0.0442170000000017</f>
        <v>1753.812555</v>
      </c>
      <c r="X276" s="3">
        <f>1600.2+(461.8-233.3)+(-3.264408+(-0.942072--0.475932))+0-28.4--0.0579359999999988</f>
        <v>1796.6273879999999</v>
      </c>
      <c r="Y276" s="3">
        <f>1454.8+(504.5-215.4)+(1.483896+(0.51459-0.219708))+0-28-0.0285600000000045</f>
        <v>1717.6502180000002</v>
      </c>
      <c r="Z276" s="3">
        <f>1434.1+(457.3-221.2)+(-2.925564+(-0.932892--0.451248))+0-27.2--0.0554879999999988</f>
        <v>1639.6482799999997</v>
      </c>
      <c r="AA276" s="3">
        <f>1404.2+(424.7-222.2)+(-2.864568+(-0.866388--0.453288))+0-27.3--0.0556919999999988</f>
        <v>1576.1780240000001</v>
      </c>
      <c r="AB276" s="3">
        <f>1331.6+(417-206)+(0.679116+(0.21267-0.10506))+0-27.7-0.0141269999999972</f>
        <v>1515.672599</v>
      </c>
      <c r="AC276" s="3">
        <f>1331.3+(357.9-210.6)+(-0.678963+(-0.182529--0.107406))+0-28--0.0142799999999972</f>
        <v>1449.8601940000001</v>
      </c>
      <c r="AD276">
        <v>1811.8999999999999</v>
      </c>
      <c r="AE276" s="3">
        <f>1602+(481-235.2)+(0+(0-0))+0-28.9-0</f>
        <v>1818.8999999999999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1293.6+(278.9-209.9)+(-0.659736+(-0.142239--0.107049))+0-28.2--0.0143819999999971</f>
        <v>1333.719456</v>
      </c>
      <c r="G277" s="3">
        <f>1281.8+(215.9-246.5)+(-0.653718+(-0.110109--0.125715))+0-28.5--0.0145349999999971</f>
        <v>1222.076423</v>
      </c>
      <c r="H277" s="3">
        <f>1281.3+(215.2-308.9)+(0+(0-0))+0-28.4-0</f>
        <v>1159.1999999999998</v>
      </c>
      <c r="I277" s="3">
        <f>1282.3+(220.6-342.5)+(-0.653973+(-0.112506--0.174675))+0-28.2--0.0143819999999971</f>
        <v>1131.622578</v>
      </c>
      <c r="J277" s="3">
        <f>1358.1+(219.4-383.5)+(0.692631+(0.111894-0.195585))+0-28.2-0.0143819999999971</f>
        <v>1166.394558</v>
      </c>
      <c r="K277" s="3">
        <f>1410+(233.2-467.9)+(0+(0-0))+0-28.1-0</f>
        <v>1147.2</v>
      </c>
      <c r="L277" s="3">
        <f>1534.4+(217.1-524)+(0.782544+(0.110721-0.26724))+0-27.5-0.0140249999999972</f>
        <v>1200.6120000000001</v>
      </c>
      <c r="M277" s="3">
        <f>1568.5+(116.5-412.6)+(0+(0-0))+0-29.1-0</f>
        <v>1243.3000000000002</v>
      </c>
      <c r="N277" s="3">
        <f>1579.7+(65.5-261.2)+(-1.611294+(-0.06681--0.266424))+0-29.6--0.0301920000000047</f>
        <v>1353.0185120000001</v>
      </c>
      <c r="O277" s="3">
        <f>1580.7+(137-221.2)+(0.806157+(0.06987-0.112812))+0-29.7-0.015146999999997</f>
        <v>1467.5480679999998</v>
      </c>
      <c r="P277" s="3">
        <f>1583.1+(192.5-213.5)+(2.422143+(0.294525-0.326655))+0-29.5-0.0451350000000017</f>
        <v>1534.9448779999998</v>
      </c>
      <c r="Q277" s="3">
        <f>1583.8+(216-205.9)+(-0.807738+(-0.11016--0.105009))+0-30--0.015299999999997</f>
        <v>1563.1024109999998</v>
      </c>
      <c r="R277" s="3">
        <f>1576.7+(201.4-206.5)+(-4.020585+(-0.51357--0.526575))+0-28.6--0.0729299999999959</f>
        <v>1539.0653500000003</v>
      </c>
      <c r="S277" s="3">
        <f>1573.7+(164.1-212)+(-3.210348+(-0.334764--0.43248))+0-27.9--0.0569159999999988</f>
        <v>1494.8442839999998</v>
      </c>
      <c r="T277" s="3">
        <f>1575.2+(129.4-219.3)+(-0.803352+(-0.065994--0.111843))+0-28.8--0.0146879999999971</f>
        <v>1455.7571849999999</v>
      </c>
      <c r="U277" s="3">
        <f>1573.6+(149.4-236.1)+(-4.01268+(-0.38097--0.602055))+0-29.4--0.0749699999999957</f>
        <v>1453.7833749999998</v>
      </c>
      <c r="V277" s="3">
        <f>1578.3+(186.4-230.7)+(2.414799+(0.285192-0.352971))+0-29.6-0.0452880000000017</f>
        <v>1506.701732</v>
      </c>
      <c r="W277" s="3">
        <f>1644.6+(323.8-231.6)+(0+(0-0))+0-30-0</f>
        <v>1706.8</v>
      </c>
      <c r="X277" s="3">
        <f>1659.2+(349.3-211.7)+(-4.23096+(-0.890715--0.539835))+0-30.3--0.0772649999999956</f>
        <v>1761.9954250000001</v>
      </c>
      <c r="Y277" s="3">
        <f>1614.6+(361-209)+(-4.11723+(-0.92055--0.53295))+0-30.9--0.0787949999999955</f>
        <v>1731.2739649999996</v>
      </c>
      <c r="Z277" s="3">
        <f>1480.3+(401.7-185.1)+(-2.264859+(-0.614601--0.283203))+0-30.8--0.0471240000000018</f>
        <v>1663.5508669999999</v>
      </c>
      <c r="AA277" s="3">
        <f>1455.1+(373.8-182.2)+(-0.742101+(-0.190638--0.092922))+0-30.2--0.0154019999999969</f>
        <v>1615.6755849999997</v>
      </c>
      <c r="AB277" s="3">
        <f>1460.1+(311.6-177.9)+(-2.233953+(-0.476748--0.272187))+0-28.5--0.0436050000000016</f>
        <v>1562.9050910000001</v>
      </c>
      <c r="AC277" s="3">
        <f>1416.9+(244.1-181)+(-1.445238+(-0.248982--0.18462))+0-28.4--0.0289680000000045</f>
        <v>1450.1193679999999</v>
      </c>
      <c r="AD277">
        <v>1775.1999999999998</v>
      </c>
      <c r="AE277" s="3">
        <f>1648+(407.1-242.3)+(0+(0-0))+0-29.4-0</f>
        <v>1783.3999999999999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1312.7+(212.9-182.6)+(0+(0-0))+0-27.6-0</f>
        <v>1315.4</v>
      </c>
      <c r="G278" s="3">
        <f>1257+(177.7-211.6)+(-3.20535+(-0.453135--0.53958))+0-27.7--0.070634999999996</f>
        <v>1192.3517299999999</v>
      </c>
      <c r="H278" s="3">
        <f>1227.1+(155.5-241.9)+(-2.503284+(-0.31722--0.493476))+0-28.3--0.0577319999999988</f>
        <v>1110.1307039999999</v>
      </c>
      <c r="I278" s="3">
        <f>1240.6+(160.2-268.4)+(0.632706+(0.081702-0.136884))+0-28.3-0.0144329999999971</f>
        <v>1104.6630909999999</v>
      </c>
      <c r="J278" s="3">
        <f>1305.1+(177.3-261.3)+(0.665601+(0.090423-0.133263))+0-28.1-0.0143309999999971</f>
        <v>1193.60843</v>
      </c>
      <c r="K278" s="3">
        <f>1350.5+(166-332.6)+(0+(0-0))+0-25.6-0</f>
        <v>1158.3000000000002</v>
      </c>
      <c r="L278" s="3">
        <f>1350.1+(170.8-340.8)+(-0.688551+(-0.087108--0.173808))+0-27.7--0.0141269999999972</f>
        <v>1151.8122759999999</v>
      </c>
      <c r="M278" s="3">
        <f>1366.8+(105.4-297)+(1.394136+(0.107508-0.30294))+0-24.8-0.025296000000004</f>
        <v>1151.573408</v>
      </c>
      <c r="N278" s="3">
        <f>1373.1+(100.3-278.3)+(1.400562+(0.102306-0.283866))+0-29.5-0.0300900000000047</f>
        <v>1166.788912</v>
      </c>
      <c r="O278" s="3">
        <f>1378.6+(97.5-187.7)+(0+(0-0))+0-29.9-0</f>
        <v>1258.4999999999998</v>
      </c>
      <c r="P278" s="3">
        <f>1375.6+(172.9-185.2)+(-1.403112+(-0.176358--0.188904))+0-30.5--0.0311100000000049</f>
        <v>1331.4405439999998</v>
      </c>
      <c r="Q278" s="3">
        <f>1371+(223.7-178.9)+(1.39842+(0.228174-0.182478))+0-30-0.0306000000000048</f>
        <v>1387.2135159999998</v>
      </c>
      <c r="R278" s="3">
        <f>1363.8+(220.1-180.4)+(-2.086614+(-0.336753--0.276012))+0-29.2--0.0446760000000017</f>
        <v>1372.1973209999999</v>
      </c>
      <c r="S278" s="3">
        <f>1361.4+(180.2-186.2)+(-3.47157+(-0.45951--0.47481))+0-28.8--0.0734399999999958</f>
        <v>1323.2171700000001</v>
      </c>
      <c r="T278" s="3">
        <f>1362.4+(152-184.9)+(-2.084472+(-0.23256--0.282897))+0-30.2--0.0462060000000017</f>
        <v>1297.3120709999998</v>
      </c>
      <c r="U278" s="3">
        <f>1362.2+(172.3-211.8)+(-2.778888+(-0.351492--0.432072))+0-30.9--0.0630359999999986</f>
        <v>1289.164728</v>
      </c>
      <c r="V278" s="3">
        <f>1371.4+(203.1-204.3)+(-0.699414+(-0.103581--0.104193))+0-30.8--0.0157079999999969</f>
        <v>1338.7169060000001</v>
      </c>
      <c r="W278" s="3">
        <f>1383.8+(398.4-190.5)+(0.705738+(0.203184-0.097155))+0-30-0.015299999999997</f>
        <v>1562.4964669999997</v>
      </c>
      <c r="X278" s="3">
        <f>1393+(519.5-199.6)+(-2.84172+(-1.05978--0.407184))+0-28.7--0.0585479999999987</f>
        <v>1680.764232</v>
      </c>
      <c r="Y278" s="3">
        <f>1397.1+(498.3-203.5)+(2.137563+(0.762399-0.311355))+0-27.9-0.0426870000000016</f>
        <v>1666.5459199999996</v>
      </c>
      <c r="Z278" s="3">
        <f>1397+(475.5-204.9)+(-0.71247+(-0.242505--0.104499))+0-27.6--0.0140759999999972</f>
        <v>1639.1635999999999</v>
      </c>
      <c r="AA278" s="3">
        <f>1393.7+(457.2-202)+(-2.132361+(-0.699516--0.30906))+0-27.6--0.0422280000000016</f>
        <v>1618.8194110000002</v>
      </c>
      <c r="AB278" s="3">
        <f>1314.3+(458.8-186.3)+(-1.340586+(-0.467976--0.190026))+0-28.3--0.0288660000000045</f>
        <v>1556.9103300000002</v>
      </c>
      <c r="AC278" s="3">
        <f>1191.3+(452-191.3)+(-1.822689+(-0.69156--0.292689))+0-28.4--0.0434520000000016</f>
        <v>1421.4218919999998</v>
      </c>
      <c r="AD278">
        <v>1677</v>
      </c>
      <c r="AE278" s="3">
        <f>1395+(507.9-191.1)+(0+(0-0))+0-28.4-0</f>
        <v>1683.3999999999999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1277.2+(292.5-248.7)+(-3.25686+(-0.745875--0.634185))+0-28.6--0.0729299999999959</f>
        <v>1289.1043800000002</v>
      </c>
      <c r="G279" s="3">
        <f>1367.6+(275.7-420.2)+(-2.092428+(-0.421821--0.642906))+0-28.6--0.0437580000000017</f>
        <v>1192.672415</v>
      </c>
      <c r="H279" s="3">
        <f>1384.6+(276.7-477.2)+(-3.53073+(-0.705585--1.21686))+0-28.6--0.0729299999999959</f>
        <v>1152.5534749999999</v>
      </c>
      <c r="I279" s="3">
        <f>1466.6+(273.5-573.1)+(-1.495932+(-0.27897--0.584562))+0-28.3--0.0288660000000045</f>
        <v>1137.538526</v>
      </c>
      <c r="J279" s="3">
        <f>1476.2+(272.3-580.4)+(0+(0-0))+0-28.2-0</f>
        <v>1139.9000000000001</v>
      </c>
      <c r="K279" s="3">
        <f>1502+(265.8-582.2)+(-1.53204+(-0.271116--0.593844))+0-28.1--0.0286620000000045</f>
        <v>1156.31935</v>
      </c>
      <c r="L279" s="3">
        <f>1498.9+(261.2-520.7)+(0.764439+(0.133212-0.265557))+0-28-0.0142799999999972</f>
        <v>1212.017814</v>
      </c>
      <c r="M279" s="3">
        <f>1558.4+(262.2-455.4)+(1.589568+(0.267444-0.464508))+0-29.6-0.0301920000000047</f>
        <v>1336.9623120000001</v>
      </c>
      <c r="N279" s="3">
        <f>1664.6+(252-432.7)+(0.848946+(0.12852-0.220677))+0-30.4-0.0155039999999969</f>
        <v>1454.2412849999998</v>
      </c>
      <c r="O279" s="3">
        <f>1698.4+(253.1-358.5)+(3.464736+(0.516324-0.73134))+0-30.7-0.0626279999999987</f>
        <v>1565.4870920000001</v>
      </c>
      <c r="P279" s="3">
        <f>1743.6+(280.3-315.6)+(0.889236+(0.142953-0.160956))+0-32-0.0163199999999968</f>
        <v>1677.1549130000001</v>
      </c>
      <c r="Q279" s="3">
        <f>1690+(246.3-242.9)+(0.8619+(0.125613-0.123879))+0-30.3-0.0154529999999969</f>
        <v>1663.9481810000002</v>
      </c>
      <c r="R279" s="3">
        <f>1679.7+(237.6-262.3)+(-4.283235+(-0.60588--0.668865))+0-28.9--0.0736949999999958</f>
        <v>1621.9534449999999</v>
      </c>
      <c r="S279" s="3">
        <f>1685.2+(241.7-316.1)+(0.859452+(0.123267-0.161211))+0-28.7-0.0146369999999971</f>
        <v>1582.9068709999999</v>
      </c>
      <c r="T279" s="3">
        <f>1669.4+(243.3-321.7)+(1.702788+(0.248166-0.328134))+0-28.9-0.0294780000000046</f>
        <v>1563.693342</v>
      </c>
      <c r="U279" s="3">
        <f>1663.9+(245.2-318.4)+(0+(0-0))+0-30.5-0</f>
        <v>1560.2</v>
      </c>
      <c r="V279" s="3">
        <f>1666.6+(258.2-277.4)+(-1.699932+(-0.263364--0.282948))+0-30.5--0.0311100000000049</f>
        <v>1615.2507619999997</v>
      </c>
      <c r="W279" s="3">
        <f>1681.4+(388-223.5)+(0+(0-0))+0-29.8-0</f>
        <v>1816.1000000000001</v>
      </c>
      <c r="X279" s="3">
        <f>1708.6+(424.6-216.8)+(-1.742772+(-0.433092--0.221136))+0-30.2--0.0308040000000048</f>
        <v>1884.2760759999999</v>
      </c>
      <c r="Y279" s="3">
        <f>1690.4+(401.9-219.5)+(-3.448416+(-0.819876--0.44778))+0-30.8--0.0628319999999987</f>
        <v>1838.2423200000003</v>
      </c>
      <c r="Z279" s="3">
        <f>1657.5+(393.8-234.2)+(-0.845325+(-0.200838--0.119442))+0-31--0.0158099999999969</f>
        <v>1785.189089</v>
      </c>
      <c r="AA279" s="3">
        <f>1656.6+(355.4-271.7)+(-1.689732+(-0.362508--0.277134))+0-29.8--0.0303960000000048</f>
        <v>1708.7552900000001</v>
      </c>
      <c r="AB279" s="3">
        <f>1658.3+(272-265.1)+(-0.845733+(-0.13872--0.135201))+0-28.3--0.0144329999999971</f>
        <v>1636.0651809999999</v>
      </c>
      <c r="AC279" s="3">
        <f>1564+(244.5-257.9)+(-0.79764+(-0.124695--0.131529))+0-28.7--0.0146369999999971</f>
        <v>1521.1238309999999</v>
      </c>
      <c r="AD279">
        <v>1913.9000000000003</v>
      </c>
      <c r="AE279" s="3">
        <f>1708+(444-207.1)+(0+(0-0))+0-28.6-0</f>
        <v>1916.3000000000002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1331.7+(269.9-223.7)+(-1.358334+(-0.275298--0.228174))+0-28.5--0.0290700000000045</f>
        <v>1348.0236120000002</v>
      </c>
      <c r="G280" s="3">
        <f>1318.3+(278.6-337.4)+(-0.672333+(-0.142086--0.172074))+0-28.5--0.0145349999999971</f>
        <v>1230.37219</v>
      </c>
      <c r="H280" s="3">
        <f>1318+(290.6-385.1)+(-2.01654+(-0.444618--0.589203))+0-28.9--0.0442170000000017</f>
        <v>1192.7722619999997</v>
      </c>
      <c r="I280" s="3">
        <f>1317.6+(295.6-398.7)+(-2.015928+(-0.452268--0.610011))+0-28.6--0.0437580000000017</f>
        <v>1184.0855730000001</v>
      </c>
      <c r="J280" s="3">
        <f>1318.8+(303.9-426.1)+(0+(0-0))+0-28.8-0</f>
        <v>1167.8</v>
      </c>
      <c r="K280" s="3">
        <f>1313.8+(307.6-418)+(0+(0-0))+0-28.8-0</f>
        <v>1174.6000000000001</v>
      </c>
      <c r="L280" s="3">
        <f>1314.9+(309.1-351.7)+(0+(0-0))+0-28.9-0</f>
        <v>1243.4000000000001</v>
      </c>
      <c r="M280" s="3">
        <f>1577.1+(290.8-483.5)+(1.608642+(0.296616-0.49317))+0-29-0.0295800000000046</f>
        <v>1356.782508</v>
      </c>
      <c r="N280" s="3">
        <f>1680.7+(272.7-468.8)+(1.714314+(0.278154-0.478176))+0-30.5-0.0311100000000049</f>
        <v>1455.5831820000001</v>
      </c>
      <c r="O280" s="3">
        <f>1691.9+(257.8-356.7)+(-0.862869+(-0.131478--0.181917))+0-31--0.0158099999999969</f>
        <v>1561.2033800000002</v>
      </c>
      <c r="P280" s="3">
        <f>1708.1+(216.3-268.5)+(0+(0-0))+0-28-0</f>
        <v>1627.8999999999999</v>
      </c>
      <c r="Q280" s="3">
        <f>1707.7+(208.4-244.8)+(-2.612781+(-0.318852--0.374544))+0-13.2--0.0201960000000008</f>
        <v>1655.5631069999999</v>
      </c>
      <c r="R280" s="3">
        <f>1705.5+(200.7-245.9)+(-1.73961+(-0.204714--0.250818))+0-5.4--0.00550800000000086</f>
        <v>1653.2120019999998</v>
      </c>
      <c r="S280" s="3">
        <f>1701.8+(190.4-280.5)+(-2.603754+(-0.291312--0.429165))+0-4.4--0.00673200000000026</f>
        <v>1604.840831</v>
      </c>
      <c r="T280" s="3">
        <f>1704.8+(226.9-348.7)+(0+(0-0))+0-20.2-0</f>
        <v>1562.8</v>
      </c>
      <c r="U280" s="3">
        <f>1707.3+(221.1-335.8)+(2.612169+(0.338283-0.513774))+0-27-0.0413100000000016</f>
        <v>1567.9953679999999</v>
      </c>
      <c r="V280" s="3">
        <f>1716.3+(223.9-306.9)+(1.750626+(0.228378-0.313038))+0-28.1-0.0286620000000045</f>
        <v>1606.8373040000001</v>
      </c>
      <c r="W280" s="3">
        <f>1742.6+(316.7-218.2)+(2.666178+(0.484551-0.333846))+0-28.7-0.0439110000000017</f>
        <v>1815.1729719999998</v>
      </c>
      <c r="X280" s="3">
        <f>1740.7+(398.4-214.8)+(-1.775514+(-0.406368--0.219096))+0-30.3--0.0309060000000048</f>
        <v>1892.0681199999999</v>
      </c>
      <c r="Y280" s="3">
        <f>1740.4+(372.4-228.1)+(-4.43802+(-0.94962--0.581655))+0-30.6--0.0780299999999956</f>
        <v>1849.3720450000001</v>
      </c>
      <c r="Z280" s="3">
        <f>1744+(329.9-237.4)+(0.88944+(0.168249-0.121074))+0-30.4-0.0155039999999969</f>
        <v>1807.021111</v>
      </c>
      <c r="AA280" s="3">
        <f>1744.2+(289.2-260.9)+(-2.668626+(-0.442476--0.399177))+0-30.7--0.0469710000000018</f>
        <v>1739.1350459999999</v>
      </c>
      <c r="AB280" s="3">
        <f>1734.6+(221.3-254.8)+(-3.538584+(-0.451452--0.519792))+0-27.9--0.0569159999999988</f>
        <v>1669.7866719999997</v>
      </c>
      <c r="AC280" s="3">
        <f>1647.8+(243.8-309.3)+(-3.361512+(-0.497352--0.630972))+0-28.8--0.0587519999999987</f>
        <v>1550.3308599999998</v>
      </c>
      <c r="AD280">
        <v>1883.6999999999998</v>
      </c>
      <c r="AE280" s="3">
        <f>1739+(381.2-206.7)+(0+(0-0))+0-28.8-0</f>
        <v>1884.7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1306.6+(300.7-211)+(-2.665464+(-0.613428--0.43044))+0-28.8--0.0587519999999987</f>
        <v>1364.7103</v>
      </c>
      <c r="G281" s="3">
        <f>1254+(294.7-264.7)+(-1.27908+(-0.300594--0.269994))+0-28.5--0.0290700000000045</f>
        <v>1254.21939</v>
      </c>
      <c r="H281" s="3">
        <f>1216.2+(305.6-282.8)+(-0.620262+(-0.155856--0.144228))+0-28.4--0.0144839999999971</f>
        <v>1209.9825939999998</v>
      </c>
      <c r="I281" s="3">
        <f>1217.6+(306.4-304.9)+(1.862928+(0.468792-0.466497))+0-28.5-0.0436050000000016</f>
        <v>1192.4216179999999</v>
      </c>
      <c r="J281" s="3">
        <f>1239.6+(308.4-338.1)+(0+(0-0))+0-28.5-0</f>
        <v>1181.3999999999999</v>
      </c>
      <c r="K281" s="3">
        <f>1359.2+(299.4-439.3)+(4.159152+(0.916164-1.344258))+0-28.3-0.0865980000000033</f>
        <v>1194.64446</v>
      </c>
      <c r="L281" s="3">
        <f>1561.4+(291.4-552.7)+(0+(0-0))+0-28.5-0</f>
        <v>1271.5999999999999</v>
      </c>
      <c r="M281" s="3">
        <f>1658.1+(247.3-502.5)+(1.691262+(0.252246-0.51255))+0-29.7-0.0302940000000047</f>
        <v>1374.6006639999998</v>
      </c>
      <c r="N281" s="3">
        <f>1708.9+(217.4-434)+(0+(0-0))+0-31-0</f>
        <v>1461.3000000000002</v>
      </c>
      <c r="O281" s="3">
        <f>1734.5+(193.2-316.4)+(1.76919+(0.197064-0.322728))+0-31.5-0.032130000000005</f>
        <v>1581.411396</v>
      </c>
      <c r="P281" s="3">
        <f>1746.9+(180.9-248.3)+(2.672757+(0.276777-0.379899))+0-31.2-0.0477360000000018</f>
        <v>1650.821899</v>
      </c>
      <c r="Q281" s="3">
        <f>1744.9+(192.1-241.7)+(-0.889899+(-0.097971--0.123267))+0-31.1--0.0158609999999968</f>
        <v>1663.3512580000004</v>
      </c>
      <c r="R281" s="3">
        <f>1741.4+(169.2-230)+(-4.44057+(-0.43146--0.5865))+0-29.1--0.0742049999999958</f>
        <v>1647.288675</v>
      </c>
      <c r="S281" s="3">
        <f>1745.5+(124.8-250.7)+(-2.670615+(-0.190944--0.383571))+0-28.7--0.0439110000000017</f>
        <v>1588.4659229999997</v>
      </c>
      <c r="T281" s="3">
        <f>1752.8+(88.9-262)+(0.893928+(0.045339-0.13362))+0-29.9-0.015248999999997</f>
        <v>1550.5903979999998</v>
      </c>
      <c r="U281" s="3">
        <f>1868.3+(80-339.2)+(-0.952833+(-0.0408--0.172992))+0-30.9--0.0157589999999969</f>
        <v>1577.3951179999997</v>
      </c>
      <c r="V281" s="3">
        <f>1875.8+(90.7-300.3)+(-1.913316+(-0.092514--0.306306))+0-30.6--0.0312120000000049</f>
        <v>1633.9316879999999</v>
      </c>
      <c r="W281" s="3">
        <f>1865.1+(210-221.3)+(1.902402+(0.2142-0.225726))+0-30.3-0.0309060000000048</f>
        <v>1825.35997</v>
      </c>
      <c r="X281" s="3">
        <f>1853+(346.6-283.1)+(-4.72515+(-0.88383--0.721905))+0-29.4--0.0749699999999957</f>
        <v>1882.2878949999997</v>
      </c>
      <c r="Y281" s="3">
        <f>1791.1+(354.5-271.9)+(-0.913461+(-0.180795--0.138669))+0-28.4--0.0144839999999971</f>
        <v>1844.3588969999998</v>
      </c>
      <c r="Z281" s="3">
        <f>1744.2+(346.9-280)+(-0.889542+(-0.176919--0.1428))+0-28.8--0.0146879999999971</f>
        <v>1781.3910269999999</v>
      </c>
      <c r="AA281" s="3">
        <f>1742.1+(316.5-310)+(-1.776942+(-0.32283--0.3162))+0-28.6--0.0291720000000046</f>
        <v>1718.2456</v>
      </c>
      <c r="AB281" s="3">
        <f>1696.9+(210.2-227.4)+(-4.327095+(-0.53601--0.57987))+0-28.5--0.0726749999999959</f>
        <v>1646.9894399999998</v>
      </c>
      <c r="AC281" s="3">
        <f>1610.1+(204.5-257.8)+(-1.642302+(-0.20859--0.262956))+0-28.4--0.0289680000000045</f>
        <v>1526.841032</v>
      </c>
      <c r="AD281">
        <v>1884.8000000000002</v>
      </c>
      <c r="AE281" s="3">
        <f>1861.2+(270.2-211.3)+(0+(0-0))+0-29.3-0</f>
        <v>1890.8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1377.3+(236.5-242.7)+(-2.809692+(-0.48246--0.495108))+0-28.6--0.0583439999999988</f>
        <v>1339.7613000000001</v>
      </c>
      <c r="G282" s="3">
        <f>1260.7+(278.6-263.6)+(-1.285914+(-0.284172--0.268872))+0-28.7--0.0292740000000046</f>
        <v>1245.7280599999999</v>
      </c>
      <c r="H282" s="3">
        <f>1218.2+(299.7-292.5)+(-2.485128+(-0.611388--0.5967))+0-28.3--0.0577319999999988</f>
        <v>1194.6579160000001</v>
      </c>
      <c r="I282" s="3">
        <f>1216.9+(308.5-320)+(-2.482476+(-0.62934--0.6528))+0-28.6--0.0583439999999988</f>
        <v>1174.3993280000002</v>
      </c>
      <c r="J282" s="3">
        <f>1217.3+(306.9-335.2)+(-1.241646+(-0.313038--0.341904))+0-28.9--0.0294780000000046</f>
        <v>1158.9166979999998</v>
      </c>
      <c r="K282" s="3">
        <f>1218.2+(310.7-323)+(0+(0-0))+0-28.5-0</f>
        <v>1177.4000000000001</v>
      </c>
      <c r="L282" s="3">
        <f>1285.4+(311.4-323.7)+(-0.655554+(-0.158814--0.165087))+0-28.6--0.0145859999999971</f>
        <v>1243.8653050000003</v>
      </c>
      <c r="M282" s="3">
        <f>1524.9+(274.1-406.4)+(0.777699+(0.139791-0.207264))+0-29.6-0.015095999999997</f>
        <v>1363.6951300000001</v>
      </c>
      <c r="N282" s="3">
        <f>1699.6+(212.8-419)+(1.733592+(0.217056-0.42738))+0-30.6-0.0312120000000049</f>
        <v>1464.2920559999998</v>
      </c>
      <c r="O282" s="3">
        <f>1697.3+(219.1-327.3)+(1.731246+(0.223482-0.333846))+0-31.3-0.031926000000005</f>
        <v>1559.3889559999998</v>
      </c>
      <c r="P282" s="3">
        <f>1697.8+(262.2-292.8)+(0.865878+(0.133722-0.149328))+0-31.3-0.0159629999999968</f>
        <v>1636.7343089999997</v>
      </c>
      <c r="Q282" s="3">
        <f>1697.1+(283.9-280.4)+(0+(0-0))+0-30.8-0</f>
        <v>1669.8</v>
      </c>
      <c r="R282" s="3">
        <f>1698.7+(283.9-298.9)+(-4.331685+(-0.723945--0.762195))+0-29.1--0.0742049999999958</f>
        <v>1650.38077</v>
      </c>
      <c r="S282" s="3">
        <f>1778.1+(269.8-391.2)+(-6.347817+(-0.963186--1.396584))+0-28.6--0.102102</f>
        <v>1622.287683</v>
      </c>
      <c r="T282" s="3">
        <f>1784.8+(263.9-442.9)+(0+(0-0))+0-30.5-0</f>
        <v>1575.3</v>
      </c>
      <c r="U282" s="3">
        <f>1798.8+(269.5-464.5)+(2.752164+(0.412335-0.710685))+0-30.8-0.0471240000000018</f>
        <v>1575.40669</v>
      </c>
      <c r="V282" s="3">
        <f>1798.9+(289.1-466.2)+(-1.834878+(-0.294882--0.475524))+0-31--0.0316200000000049</f>
        <v>1589.1773840000001</v>
      </c>
      <c r="W282" s="3">
        <f>1842.1+(281.9-304.6)+(2.818413+(0.431307-0.466038))+0-29.6-0.0452880000000017</f>
        <v>1792.5383939999999</v>
      </c>
      <c r="X282" s="3">
        <f>1845.8+(365.5-274.6)+(-4.70679+(-0.932025--0.70023))+0-29.6--0.0754799999999957</f>
        <v>1902.2368949999998</v>
      </c>
      <c r="Y282" s="3">
        <f>1828.3+(397.5-245.7)+(-4.662165+(-1.013625--0.626535))+0-29.3--0.0747149999999958</f>
        <v>1945.82546</v>
      </c>
      <c r="Z282" s="3">
        <f>1800.4+(374.5-251)+(-3.672816+(-0.76398--0.51204))+0-29--0.0591599999999987</f>
        <v>1891.0344040000002</v>
      </c>
      <c r="AA282" s="3">
        <f>1670.6+(344.2-253.2)+(-3.408024+(-0.702168--0.516528))+0-29.2--0.0595679999999987</f>
        <v>1728.8659039999998</v>
      </c>
      <c r="AB282" s="3">
        <f>1478.7+(395-202.3)+(-1.508274+(-0.4029--0.206346))+0-27.9--0.0284580000000044</f>
        <v>1641.8236300000001</v>
      </c>
      <c r="AC282" s="3">
        <f>1336.4+(382.5-190.9)+(-5.452512+(-1.5606--0.778872))+0-27.9--0.113831999999998</f>
        <v>1493.9795919999999</v>
      </c>
      <c r="AD282">
        <v>1891.7</v>
      </c>
      <c r="AE282" s="3">
        <f>1847.2+(337.9-261.8)+(0+(0-0))+0-29.2-0</f>
        <v>1894.1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1341.5+(264.9-241.3)+(-1.36833+(-0.270198--0.246126))+0-28.4--0.0289680000000045</f>
        <v>1335.3365659999999</v>
      </c>
      <c r="G283" s="3">
        <f>1267.6+(278-302.9)+(0.646476+(0.14178-0.154479))+0-28.3-0.0144329999999971</f>
        <v>1215.0193439999998</v>
      </c>
      <c r="H283" s="3">
        <f>1269.8+(288.5-363.8)+(0.647598+(0.147135-0.185538))+0-28.5-0.0145349999999971</f>
        <v>1166.59466</v>
      </c>
      <c r="I283" s="3">
        <f>1267.3+(298.4-389.8)+(-0.646323+(-0.152184--0.198798))+0-28.4--0.0144839999999971</f>
        <v>1146.9147749999997</v>
      </c>
      <c r="J283" s="3">
        <f>1258.9+(302.8-391.3)+(-3.210195+(-0.77214--0.997815))+0-28.7--0.0731849999999958</f>
        <v>1138.788665</v>
      </c>
      <c r="K283" s="3">
        <f>1332.5+(296.3-443.4)+(-0.679575+(-0.151113--0.226134))+0-28.3--0.0144329999999971</f>
        <v>1156.5098790000002</v>
      </c>
      <c r="L283" s="3">
        <f>1546.9+(274.7-564.2)+(-0.788919+(-0.140097--0.287742))+0-28.8--0.0146879999999971</f>
        <v>1227.973414</v>
      </c>
      <c r="M283" s="3">
        <f>1680.2+(243-565.3)+(0.856902+(0.12393-0.288303))+0-29.9-0.015248999999997</f>
        <v>1328.6772799999999</v>
      </c>
      <c r="N283" s="3">
        <f>1683.6+(234.8-470)+(-0.858636+(-0.119748--0.2397))+0-30.5--0.0155549999999969</f>
        <v>1417.1768709999999</v>
      </c>
      <c r="O283" s="3">
        <f>1714.2+(262.8-410.5)+(0.874242+(0.134028-0.209355))+0-31.2-0.0159119999999968</f>
        <v>1536.083003</v>
      </c>
      <c r="P283" s="3">
        <f>1729+(305.9-405.2)+(-0.88179+(-0.156009--0.206652))+0-30.7--0.0156569999999969</f>
        <v>1598.1845099999998</v>
      </c>
      <c r="Q283" s="3">
        <f>1729.5+(326.6-390.6)+(-1.76409+(-0.333132--0.398412))+0-30.9--0.0315180000000049</f>
        <v>1632.9327079999998</v>
      </c>
      <c r="R283" s="3">
        <f>1661.4+(339-356.6)+(-2.541942+(-0.51867--0.545598))+0-29.3--0.0448290000000017</f>
        <v>1612.0298150000001</v>
      </c>
      <c r="S283" s="3">
        <f>1547.4+(287.2-262.5)+(-0.789174+(-0.146472--0.133875))+0-28.8--0.0146879999999971</f>
        <v>1542.5129170000002</v>
      </c>
      <c r="T283" s="3">
        <f>1541.8+(238.7-249.7)+(-1.572636+(-0.243474--0.254694))+0-30--0.0306000000000048</f>
        <v>1499.269184</v>
      </c>
      <c r="U283" s="3">
        <f>1543.4+(235.7-252.8)+(-0.787134+(-0.120207--0.128928))+0-30.4--0.0155039999999969</f>
        <v>1495.1370910000001</v>
      </c>
      <c r="V283" s="3">
        <f>1603.2+(234.6-275)+(0+(0-0))+0-30.5-0</f>
        <v>1532.3</v>
      </c>
      <c r="W283" s="3">
        <f>1709.6+(271.1-219.3)+(1.743792+(0.276522-0.223686))+0-30.4-0.0310080000000048</f>
        <v>1732.7656199999999</v>
      </c>
      <c r="X283" s="3">
        <f>1721.5+(383.9-226)+(-4.389825+(-0.978945--0.5763))+0-30.6--0.0780299999999956</f>
        <v>1844.08556</v>
      </c>
      <c r="Y283" s="3">
        <f>1707.4+(362.4-252.7)+(-4.35387+(-0.92412--0.644385))+0-30.6--0.0780299999999956</f>
        <v>1781.9444250000001</v>
      </c>
      <c r="Z283" s="3">
        <f>1712.6+(325.3-274.4)+(-3.493704+(-0.663612--0.559776))+0-29.6--0.0603839999999987</f>
        <v>1730.362844</v>
      </c>
      <c r="AA283" s="3">
        <f>1686.7+(285.8-252)+(-2.580651+(-0.437274--0.38556))+0-29--0.0443700000000017</f>
        <v>1688.9120050000001</v>
      </c>
      <c r="AB283" s="3">
        <f>1625.7+(210.8-201.5)+(-2.487321+(-0.322524--0.308295))+0-28.4--0.0434520000000016</f>
        <v>1604.1419019999998</v>
      </c>
      <c r="AC283" s="3">
        <f>1437.2+(273.7-197.6)+(-3.66486+(-0.697935--0.50388))+0-28.1--0.0716549999999959</f>
        <v>1481.41274</v>
      </c>
      <c r="AD283">
        <v>1843.3</v>
      </c>
      <c r="AE283" s="3">
        <f>1726.2+(349-197.4)+(0+(0-0))+0-30.3-0</f>
        <v>1847.5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1189.3+(365.9-203.6)+(-1.819629+(-0.559827--0.311508))+0-28.2--0.0431460000000016</f>
        <v>1321.375198</v>
      </c>
      <c r="G284" s="3">
        <f>1156.4+(324.8-230.7)+(-3.538584+(-0.993888--0.705942))+0-28.6--0.0875160000000033</f>
        <v>1218.1609860000001</v>
      </c>
      <c r="H284" s="3">
        <f>1131.5+(312.1-248.1)+(-1.15413+(-0.318342--0.253062))+0-28.1--0.0286620000000045</f>
        <v>1166.2092520000001</v>
      </c>
      <c r="I284" s="3">
        <f>1129.2+(304.8-252.9)+(-1.727676+(-0.466344--0.386937))+0-28.5--0.0436050000000016</f>
        <v>1150.8365220000003</v>
      </c>
      <c r="J284" s="3">
        <f>1137.7+(295.2-258)+(1.160454+(0.301104-0.26316))+0-28.6-0.0291720000000046</f>
        <v>1147.4692260000002</v>
      </c>
      <c r="K284" s="3">
        <f>1225.1+(286.2-328.8)+(-0.624801+(-0.145962--0.167688))+0-28.6--0.0145859999999971</f>
        <v>1153.3115110000001</v>
      </c>
      <c r="L284" s="3">
        <f>1321.5+(288.5-311.5)+(0.673965+(0.147135-0.158865))+0-28.8-0.0146879999999971</f>
        <v>1270.3475470000001</v>
      </c>
      <c r="M284" s="3">
        <f>1372.2+(274.8-312.2)+(-1.399644+(-0.280296--0.318444))+0-29.7--0.0302940000000047</f>
        <v>1303.7687980000001</v>
      </c>
      <c r="N284" s="3">
        <f>1429.3+(276-239.4)+(0+(0-0))+0-30.9-0</f>
        <v>1434.9999999999998</v>
      </c>
      <c r="O284" s="3">
        <f>1500+(268.8-207.6)+(0.765+(0.137088-0.105876))+0-29.4-0.014993999999997</f>
        <v>1532.581218</v>
      </c>
      <c r="P284" s="3">
        <f>1514.4+(280-200.4)+(-0.772344+(-0.1428--0.102204))+0-16.2--0.00826199999999836</f>
        <v>1576.995322</v>
      </c>
      <c r="Q284" s="3">
        <f>1508.3+(317.5-188.7)+(-3.846165+(-0.809625--0.481185))+0-28.1--0.0716549999999959</f>
        <v>1604.89705</v>
      </c>
      <c r="R284" s="3">
        <f>1479.1+(327.7-188.2)+(-1.508682+(-0.334254--0.191964))+0-28.3--0.0288660000000045</f>
        <v>1588.6778940000002</v>
      </c>
      <c r="S284" s="3">
        <f>1396.2+(345.7-182.7)+(-0.712062+(-0.176307--0.093177))+0-27.6--0.0140759999999972</f>
        <v>1530.818884</v>
      </c>
      <c r="T284" s="3">
        <f>1320.5+(362.2-178.3)+(-1.34691+(-0.369444--0.181866))+0-28.3--0.0288660000000045</f>
        <v>1474.5943780000002</v>
      </c>
      <c r="U284" s="3">
        <f>1320.1+(347.7-179.2)+(-2.693004+(-0.709308--0.365568))+0-28.3--0.0577319999999988</f>
        <v>1457.3209879999999</v>
      </c>
      <c r="V284" s="3">
        <f>1403.5+(296-186.2)+(0.715785+(0.15096-0.094962))+0-28.4-0.0144839999999971</f>
        <v>1485.6572989999997</v>
      </c>
      <c r="W284" s="3">
        <f>1470.7+(424.1-191.5)+(1.500114+(0.432582-0.19533))+0-28.4-0.0289680000000045</f>
        <v>1676.6083980000001</v>
      </c>
      <c r="X284" s="3">
        <f>1438.9+(576.8-198.6)+(-2.935356+(-1.176672--0.405144))+0-30.2--0.0616079999999987</f>
        <v>1783.2547239999999</v>
      </c>
      <c r="Y284" s="3">
        <f>1317.8+(640.8-186.8)+(-2.688312+(-1.307232--0.381072))+0-30.3--0.0618119999999987</f>
        <v>1737.9473399999999</v>
      </c>
      <c r="Z284" s="3">
        <f>1321.3+(586.4-188.7)+(0+(0-0))+0-30.3-0</f>
        <v>1688.7</v>
      </c>
      <c r="AA284" s="3">
        <f>1318.6+(550.4-189.7)+(-2.689944+(-1.122816--0.386988))+0-30--0.0611999999999987</f>
        <v>1645.935428</v>
      </c>
      <c r="AB284" s="3">
        <f>1330.9+(448-181.5)+(-1.357518+(-0.45696--0.18513))+0-29--0.0295800000000046</f>
        <v>1566.8002320000001</v>
      </c>
      <c r="AC284" s="3">
        <f>1332.1+(363.2-183.6)+(-1.358742+(-0.370464--0.187272))+0-28.7--0.0292740000000046</f>
        <v>1481.4873399999997</v>
      </c>
      <c r="AD284">
        <v>1791.5</v>
      </c>
      <c r="AE284" s="3">
        <f>1497.2+(532.4-201.8)+(0+(0-0))+0-30.3-0</f>
        <v>1797.5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1295.4+(286.4-196.9)+(-1.981962+(-0.438192--0.301257))+0-28.9--0.0442170000000017</f>
        <v>1353.9253199999998</v>
      </c>
      <c r="G285" s="3">
        <f>1297.6+(244.7-276.4)+(0.661776+(0.124797-0.140964))+0-28.8-0.0146879999999971</f>
        <v>1237.7309209999999</v>
      </c>
      <c r="H285" s="3">
        <f>1292+(244.9-309.7)+(-1.97676+(-0.374697--0.473841))+0-29--0.0443700000000017</f>
        <v>1196.3667540000001</v>
      </c>
      <c r="I285" s="3">
        <f>1284.6+(252.6-329.8)+(-2.620584+(-0.515304--0.672792))+0-28.6--0.0583439999999988</f>
        <v>1176.395248</v>
      </c>
      <c r="J285" s="3">
        <f>1308.3+(260.4-372.9)+(-2.668932+(-0.531216--0.760716))+0-29--0.0591599999999987</f>
        <v>1164.4197280000001</v>
      </c>
      <c r="K285" s="3">
        <f>1316.3+(267.5-398.4)+(0.671313+(0.136425-0.203184))+0-28.6-0.0145859999999971</f>
        <v>1157.3899680000002</v>
      </c>
      <c r="L285" s="3">
        <f>1314.4+(258.7-383.7)+(-2.011032+(-0.395811--0.587061))+0-28.9--0.0442170000000017</f>
        <v>1158.7244349999999</v>
      </c>
      <c r="M285" s="3">
        <f>1308.8+(217.2-350)+(-4.672416+(-0.775404--1.2495))+0-30.2--0.107814</f>
        <v>1141.7094939999999</v>
      </c>
      <c r="N285" s="3">
        <f>1399+(215.8-444.4)+(0.71349+(0.110058-0.226644))+0-31.1-0.0158609999999968</f>
        <v>1139.8810430000001</v>
      </c>
      <c r="O285" s="3">
        <f>1540+(219.9-462.3)+(0+(0-0))+0-31.5-0</f>
        <v>1266.0999999999999</v>
      </c>
      <c r="P285" s="3">
        <f>1540.9+(232.6-397.6)+(1.571718+(0.237252-0.405552))+0-31.5-0.032130000000005</f>
        <v>1345.7712880000001</v>
      </c>
      <c r="Q285" s="3">
        <f>1535.1+(240.4-375.1)+(-2.348703+(-0.367812--0.573903))+0-30.3--0.0463590000000018</f>
        <v>1368.0037469999997</v>
      </c>
      <c r="R285" s="3">
        <f>1448.7+(247.3-316.1)+(0+(0-0))+0-28.7-0</f>
        <v>1351.2</v>
      </c>
      <c r="S285" s="3">
        <f>1367.1+(265.3-283.2)+(-2.091663+(-0.405909--0.433296))+0-28.7--0.0439110000000017</f>
        <v>1318.4796349999997</v>
      </c>
      <c r="T285" s="3">
        <f>1362.2+(280.7-323)+(0+(0-0))+0-30.5-0</f>
        <v>1289.4000000000001</v>
      </c>
      <c r="U285" s="3">
        <f>1343.4+(287.2-324.9)+(0.685134+(0.146472-0.165699))+0-30.3-0.0154529999999969</f>
        <v>1276.0504540000002</v>
      </c>
      <c r="V285" s="3">
        <f>1334.3+(286-280.4)+(-0.680493+(-0.14586--0.143004))+0-30.6--0.0156059999999969</f>
        <v>1308.6322570000002</v>
      </c>
      <c r="W285" s="3">
        <f>1464.5+(347-230.8)+(1.49379+(0.35394-0.235416))+0-30.2-0.0308040000000048</f>
        <v>1552.08151</v>
      </c>
      <c r="X285" s="3">
        <f>1534.7+(400.9-219.3)+(-0.782697+(-0.204459--0.111843))+0-30.1--0.0153509999999969</f>
        <v>1685.340038</v>
      </c>
      <c r="Y285" s="3">
        <f>1534.4+(390.5-223.9)+(-0.782544+(-0.199155--0.114189))+0-30.2--0.0154019999999969</f>
        <v>1669.9478919999999</v>
      </c>
      <c r="Z285" s="3">
        <f>1534.4+(378.4-233.2)+(-0.782544+(-0.192984--0.118932))+0-29.2--0.014891999999997</f>
        <v>1649.5582959999999</v>
      </c>
      <c r="AA285" s="3">
        <f>1537.1+(361.6-244.8)+(0+(0-0))+0-28.7-0</f>
        <v>1625.1999999999998</v>
      </c>
      <c r="AB285" s="3">
        <f>1529.2+(259.1-201.9)+(-3.119568+(-0.528564--0.411876))+0-28.6--0.0583439999999988</f>
        <v>1554.6220880000003</v>
      </c>
      <c r="AC285" s="3">
        <f>1492.5+(184.4-207.4)+(-2.283525+(-0.282132--0.317322))+0-28.6--0.0437580000000017</f>
        <v>1438.6954230000001</v>
      </c>
      <c r="AD285">
        <v>1689.1</v>
      </c>
      <c r="AE285" s="3">
        <f>1533+(411.7-219.2)+(0+(0-0))+0-30.4-0</f>
        <v>1695.1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1443.4+(198.5-299.2)+(-1.472268+(-0.20247--0.305184))+0-28.6--0.0291720000000046</f>
        <v>1312.759618</v>
      </c>
      <c r="G286" s="3">
        <f>1538.1+(241.3-503.2)+(-3.137724+(-0.492252--1.026528))+0-28.3--0.0577319999999988</f>
        <v>1245.3542839999998</v>
      </c>
      <c r="H286" s="3">
        <f>1517.6+(246.5-569.2)+(0+(0-0))+0-28.2-0</f>
        <v>1166.6999999999998</v>
      </c>
      <c r="I286" s="3">
        <f>1463.3+(246.8-540.4)+(0.746283+(0.125868-0.275604))+0-28.5-0.0145349999999971</f>
        <v>1141.7820120000001</v>
      </c>
      <c r="J286" s="3">
        <f>1520.7+(259.5-618.3)+(-0.775557+(-0.132345--0.315333))+0-28.8--0.0146879999999971</f>
        <v>1132.5221190000002</v>
      </c>
      <c r="K286" s="3">
        <f>1588.2+(272.9-686.8)+(0+(0-0))+0-28.7-0</f>
        <v>1145.6000000000001</v>
      </c>
      <c r="L286" s="3">
        <f>1558.9+(286.7-601.6)+(-0.795039+(-0.146217--0.306816))+0-28.7--0.0146369999999971</f>
        <v>1214.6801969999999</v>
      </c>
      <c r="M286" s="3">
        <f>1556.1+(251.1-439.9)+(2.380833+(0.384183-0.673047))+0-29.9-0.0457470000000017</f>
        <v>1339.446222</v>
      </c>
      <c r="N286" s="3">
        <f>1547.9+(250-326.3)+(-0.789429+(-0.1275--0.166413))+0-31.3--0.0159629999999968</f>
        <v>1439.5654470000002</v>
      </c>
      <c r="O286" s="3">
        <f>1557.7+(283.8-264.2)+(1.588854+(0.289476-0.269484))+0-30-0.0306000000000048</f>
        <v>1548.8782460000002</v>
      </c>
      <c r="P286" s="3">
        <f>1586.1+(324.9-260.3)+(0.808911+(0.165699-0.132753))+0-30.6-0.0156059999999969</f>
        <v>1620.9262509999999</v>
      </c>
      <c r="Q286" s="3">
        <f>1666.4+(305.9-295.9)+(-1.699728+(-0.312018--0.301818))+0-31--0.0316200000000049</f>
        <v>1643.7216920000001</v>
      </c>
      <c r="R286" s="3">
        <f>1706.5+(277.4-312.4)+(-1.74063+(-0.282948--0.318648))+0-28.6--0.0291720000000046</f>
        <v>1641.224242</v>
      </c>
      <c r="S286" s="3">
        <f>1706.1+(273.5-347)+(-0.870111+(-0.139485--0.17697))+0-28.7--0.0146369999999971</f>
        <v>1603.082011</v>
      </c>
      <c r="T286" s="3">
        <f>1702.1+(264.8-381.2)+(-0.868071+(-0.135048--0.194412))+0-30.2--0.0154019999999969</f>
        <v>1554.7066949999999</v>
      </c>
      <c r="U286" s="3">
        <f>1693+(266.8-366.2)+(-1.72686+(-0.272136--0.373524))+0-30.6--0.0312120000000049</f>
        <v>1561.4057400000002</v>
      </c>
      <c r="V286" s="3">
        <f>1697+(272.1-311.6)+(-0.86547+(-0.138771--0.158916))+0-31--0.0158099999999969</f>
        <v>1625.6704850000001</v>
      </c>
      <c r="W286" s="3">
        <f>1701.7+(364-229)+(-0.867867+(-0.18564--0.11679))+0-30.5--0.0155549999999969</f>
        <v>1805.278838</v>
      </c>
      <c r="X286" s="3">
        <f>1693.6+(418-227.1)+(-2.591208+(-0.63954--0.347463))+0-30.4--0.0465120000000018</f>
        <v>1851.2632269999999</v>
      </c>
      <c r="Y286" s="3">
        <f>1691.5+(390.7-247.3)+(-0.862665+(-0.199257--0.126123))+0-30.5--0.0155549999999969</f>
        <v>1803.479756</v>
      </c>
      <c r="Z286" s="3">
        <f>1688.6+(363.1-265.4)+(-2.583558+(-0.555543--0.406062))+0-28.3--0.0432990000000016</f>
        <v>1755.31026</v>
      </c>
      <c r="AA286" s="3">
        <f>1688.7+(333.7-284.2)+(-3.444948+(-0.680748--0.579768))+0-29--0.0591599999999987</f>
        <v>1705.7132320000001</v>
      </c>
      <c r="AB286" s="3">
        <f>1618.2+(263.5-210.4)+(-2.475846+(-0.403155--0.321912))+0-28.8--0.0440640000000017</f>
        <v>1639.986975</v>
      </c>
      <c r="AC286" s="3">
        <f>1505.8+(251.6-205.2)+(-3.071832+(-0.513264--0.418608))+0-28.5--0.0581399999999988</f>
        <v>1520.5916520000001</v>
      </c>
      <c r="AD286">
        <v>1857.6000000000001</v>
      </c>
      <c r="AE286" s="3">
        <f>1692+(408.7-213.2)+(0+(0-0))+0-30.3-0</f>
        <v>1857.2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1411.1+(216-233.5)+(-2.878644+(-0.44064--0.47634))+0-28.7--0.0585479999999987</f>
        <v>1362.1156039999998</v>
      </c>
      <c r="G287" s="3">
        <f>1365.5+(199-286.4)+(1.39281+(0.20298-0.292128))+0-29-0.0295800000000046</f>
        <v>1250.374082</v>
      </c>
      <c r="H287" s="3">
        <f>1363.8+(240.9-379.7)+(-2.782152+(-0.491436--0.774588))+0-28.8--0.0587519999999987</f>
        <v>1193.7597519999999</v>
      </c>
      <c r="I287" s="3">
        <f>1366.4+(248.2-411.5)+(0+(0-0))+0-28.4-0</f>
        <v>1174.7</v>
      </c>
      <c r="J287" s="3">
        <f>1344.4+(266.3-416.9)+(0+(0-0))+0-28.4-0</f>
        <v>1165.4000000000001</v>
      </c>
      <c r="K287" s="3">
        <f>1338.3+(284.8-421)+(0+(0-0))+0-28.9-0</f>
        <v>1173.1999999999998</v>
      </c>
      <c r="L287" s="3">
        <f>1338.3+(287.8-388.9)+(0+(0-0))+0-28.9-0</f>
        <v>1208.3</v>
      </c>
      <c r="M287" s="3">
        <f>1336.6+(291.2-366.8)+(-0.681666+(-0.148512--0.187068))+0-28.8--0.0146879999999971</f>
        <v>1231.571578</v>
      </c>
      <c r="N287" s="3">
        <f>1453.9+(286.6-372.8)+(-2.965956+(-0.584664--0.760512))+0-30.1--0.0614039999999987</f>
        <v>1334.8712960000003</v>
      </c>
      <c r="O287" s="3">
        <f>1669.3+(301.5-382.4)+(-2.554029+(-0.461295--0.585072))+0-30.6--0.0468180000000018</f>
        <v>1555.4165660000001</v>
      </c>
      <c r="P287" s="3">
        <f>1667.9+(302.3-331.9)+(-0.850629+(-0.154173--0.169269))+0-30.8--0.0157079999999969</f>
        <v>1606.6801750000002</v>
      </c>
      <c r="Q287" s="3">
        <f>1663.2+(315.3-315)+(-3.392928+(-0.643212--0.6426))+0-29.4--0.0599759999999987</f>
        <v>1630.7664359999999</v>
      </c>
      <c r="R287" s="3">
        <f>1675.5+(305.4-325.2)+(-4.272525+(-0.77877--0.82926))+0-29.1--0.0742049999999958</f>
        <v>1622.45217</v>
      </c>
      <c r="S287" s="3">
        <f>1693.2+(279.6-372.4)+(0.863532+(0.142596-0.189924))+0-28.1-0.0143309999999971</f>
        <v>1573.1018730000001</v>
      </c>
      <c r="T287" s="3">
        <f>1692+(277.8-398)+(0.86292+(0.141678-0.20298))+0-28.4-0.0144839999999971</f>
        <v>1544.1871339999998</v>
      </c>
      <c r="U287" s="3">
        <f>1692.6+(277.8-397.7)+(0+(0-0))+0-28.7-0</f>
        <v>1543.9999999999998</v>
      </c>
      <c r="V287" s="3">
        <f>1688.3+(286.8-352)+(-3.444132+(-0.585072--0.71808))+0-28.6--0.0583439999999988</f>
        <v>1591.24722</v>
      </c>
      <c r="W287" s="3">
        <f>1721.5+(366.6-286.9)+(0+(0-0))+0-28.5-0</f>
        <v>1772.7</v>
      </c>
      <c r="X287" s="3">
        <f>1724.9+(417.4-262.4)+(-3.518796+(-0.851496--0.535296))+0-30.2--0.0616079999999987</f>
        <v>1845.926612</v>
      </c>
      <c r="Y287" s="3">
        <f>1727.7+(391.2-287.6)+(-3.524508+(-0.798048--0.586704))+0-30.3--0.0618119999999987</f>
        <v>1797.3259599999999</v>
      </c>
      <c r="Z287" s="3">
        <f>1727.8+(352.7-307.3)+(-3.524712+(-0.719508--0.626892))+0-30.4--0.0620159999999987</f>
        <v>1739.2446879999998</v>
      </c>
      <c r="AA287" s="3">
        <f>1668.8+(353.4-305.3)+(-2.553264+(-0.540702--0.467109))+0-30--0.0459000000000017</f>
        <v>1684.319043</v>
      </c>
      <c r="AB287" s="3">
        <f>1660.9+(282.2-296.2)+(-3.388236+(-0.575688--0.604248))+0-27.9--0.0569159999999988</f>
        <v>1615.69724</v>
      </c>
      <c r="AC287" s="3">
        <f>1594+(236.9-306.1)+(-2.43882+(-0.362457--0.468333))+0-28.2--0.0431460000000016</f>
        <v>1494.3102019999999</v>
      </c>
      <c r="AD287">
        <v>1869.6000000000001</v>
      </c>
      <c r="AE287" s="3">
        <f>1728.5+(404.1-240.9)+(0+(0-0))+0-28.5-0</f>
        <v>1863.2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1560.1+(204-405.6)+(-1.591302+(-0.20808--0.413712))+0-28.3--0.0288660000000045</f>
        <v>1328.8431960000003</v>
      </c>
      <c r="G288" s="3">
        <f>1555.1+(252.2-549.8)+(-0.793101+(-0.128622--0.280398))+0-27.7--0.0141269999999972</f>
        <v>1229.1728019999998</v>
      </c>
      <c r="H288" s="3">
        <f>1453.3+(275.2-531.8)+(-0.741183+(-0.140352--0.271218))+0-28.2--0.0143819999999971</f>
        <v>1167.9040650000002</v>
      </c>
      <c r="I288" s="3">
        <f>1447.6+(261.1-534.2)+(0.738276+(0.133161-0.272442))+0-28.2-0.0143819999999971</f>
        <v>1146.8846129999999</v>
      </c>
      <c r="J288" s="3">
        <f>1485.1+(235-554.8)+(-3.029604+(-0.4794--1.131792))+0-28.1--0.0573239999999988</f>
        <v>1134.8801120000001</v>
      </c>
      <c r="K288" s="3">
        <f>1496+(241.6-574.3)+(0.76296+(0.123216-0.292893))+0-19.8-0.010097999999998</f>
        <v>1144.0831850000002</v>
      </c>
      <c r="L288" s="3">
        <f>1515.1+(252.8-533.5)+(-2.318103+(-0.386784--0.816255))+0-9--0.0137700000000005</f>
        <v>1223.525138</v>
      </c>
      <c r="M288" s="3">
        <f>1645.9+(269.1-586.1)+(-0.839409+(-0.137241--0.298911))+0-6.3--0.00321299999999936</f>
        <v>1321.9254740000001</v>
      </c>
      <c r="N288" s="3">
        <f>1681.9+(291.4-542.8)+(0+(0-0))+0-4.6-0</f>
        <v>1425.9</v>
      </c>
      <c r="O288" s="3">
        <f>1743+(264.1-447.3)+(0+(0-0))+0-4.2-0</f>
        <v>1555.6</v>
      </c>
      <c r="P288" s="3">
        <f>1748.5+(185.2-321.6)+(0.891735+(0.094452-0.164016))+0-3.1-0.00158099999999969</f>
        <v>1609.82059</v>
      </c>
      <c r="Q288" s="3">
        <f>1678+(207.7-259.5)+(-2.56734+(-0.317781--0.397035))+0-1.7--0.0026010000000001</f>
        <v>1622.0145149999998</v>
      </c>
      <c r="R288" s="3">
        <f>1673.4+(196.9-247.7)+(-5.120604+(-0.602514--0.757962))+0-1.8--0.00550800000000021</f>
        <v>1615.8403520000002</v>
      </c>
      <c r="S288" s="3">
        <f>1677.3+(162.5-249.9)+(-3.421692+(-0.3315--0.509796))+0-1.7--0.00346799999999993</f>
        <v>1584.9600719999999</v>
      </c>
      <c r="T288" s="3">
        <f>1680.5+(133.7-274.7)+(-0.857055+(-0.068187--0.140097))+0-2.6--0.00132599999999974</f>
        <v>1536.1161810000001</v>
      </c>
      <c r="U288" s="3">
        <f>1678.3+(129.3-284)+(-0.855933+(-0.065943--0.14484))+0-2--0.0010199999999998</f>
        <v>1520.8239839999999</v>
      </c>
      <c r="V288" s="3">
        <f>1689.3+(149.2-271.6)+(-1.723086+(-0.152184--0.277032))+0-1.7--0.00173400000000027</f>
        <v>1563.6034959999997</v>
      </c>
      <c r="W288" s="3">
        <f>1698.6+(278.7-223.9)+(-2.598858+(-0.426411--0.342567))+0-1.8--0.0027540000000001</f>
        <v>1748.9200519999999</v>
      </c>
      <c r="X288" s="3">
        <f>1700.4+(388.5-250.9)+(-3.468816+(-0.79254--0.511836))+0-1.7--0.00346799999999993</f>
        <v>1832.553948</v>
      </c>
      <c r="Y288" s="3">
        <f>1696.1+(378.7-267.5)+(-4.325055+(-0.965685--0.682125))+0-1.7--0.00433499999999975</f>
        <v>1800.9957199999999</v>
      </c>
      <c r="Z288" s="3">
        <f>1705.4+(340.7-289.6)+(-1.739508+(-0.347514--0.295392))+0-1.7--0.00173400000000027</f>
        <v>1753.010104</v>
      </c>
      <c r="AA288" s="3">
        <f>1697.8+(309.8-313.9)+(-5.195268+(-0.947988--0.960534))+0-1.7--0.0052020000000002</f>
        <v>1686.82248</v>
      </c>
      <c r="AB288" s="3">
        <f>1703.3+(177.6-253.8)+(-3.474732+(-0.362304--0.517752))+0-1.7--0.00346799999999993</f>
        <v>1622.0841840000001</v>
      </c>
      <c r="AC288" s="3">
        <f>1655.8+(125.5-270.9)+(-1.688916+(-0.12801--0.276318))+0-1.7--0.00173400000000027</f>
        <v>1507.161126</v>
      </c>
      <c r="AD288">
        <v>1841.5000000000002</v>
      </c>
      <c r="AE288" s="3">
        <f>1707.4+(394.8-261)+(0+(0-0))+0-1.7-0</f>
        <v>1839.5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1490.7+(148-297.3)+(-3.801285+(-0.3774--0.758115))+0-1.6--0.00407999999999977</f>
        <v>1336.3835100000001</v>
      </c>
      <c r="G289" s="3">
        <f>1421.6+(220.8-400.4)+(0+(0-0))+0-1.6-0</f>
        <v>1240.4000000000001</v>
      </c>
      <c r="H289" s="3">
        <f>1385.9+(262.4-461.2)+(-1.413618+(-0.267648--0.470424))+0-1.6--0.00163200000000026</f>
        <v>1184.2907900000002</v>
      </c>
      <c r="I289" s="3">
        <f>1387.5+(266.9-479.1)+(1.41525+(0.272238-0.488682))+0-1.6-0.00163200000000026</f>
        <v>1174.8971740000002</v>
      </c>
      <c r="J289" s="3">
        <f>1388.5+(257-480.6)+(0.708135+(0.13107-0.245106))+0-1.5-0.000764999999999848</f>
        <v>1163.993334</v>
      </c>
      <c r="K289" s="3">
        <f>1543.2+(253.8-615.9)+(1.574064+(0.258876-0.628218))+0-1.6-0.00163200000000026</f>
        <v>1180.7030900000002</v>
      </c>
      <c r="L289" s="3">
        <f>1574.7+(258-584.2)+(3.212388+(0.52632-1.191768))+0-1.6-0.00326399999999993</f>
        <v>1249.4436760000001</v>
      </c>
      <c r="M289" s="3">
        <f>1575.7+(266.5-508.1)+(-0.803607+(-0.135915--0.259131))+0-2--0.0010199999999998</f>
        <v>1331.4206289999997</v>
      </c>
      <c r="N289" s="3">
        <f>1672.2+(291-516.8)+(0.852822+(0.14841-0.263568))+0-2.9-0.00147899999999971</f>
        <v>1444.236185</v>
      </c>
      <c r="O289" s="3">
        <f>1676.8+(222-330.1)+(0+(0-0))+0-3.2-0</f>
        <v>1565.4999999999998</v>
      </c>
      <c r="P289" s="3">
        <f>1676.2+(192.6-242.9)+(0+(0-0))+0-5.3-0</f>
        <v>1620.6000000000001</v>
      </c>
      <c r="Q289" s="3">
        <f>1676.6+(209.1-209)+(-3.420264+(-0.426564--0.42636))+0-24.3--0.0495719999999989</f>
        <v>1649.0291039999997</v>
      </c>
      <c r="R289" s="3">
        <f>1690.3+(177.2-205.7)+(-2.586159+(-0.271116--0.314721))+0-26.9--0.0411570000000016</f>
        <v>1632.3986029999999</v>
      </c>
      <c r="S289" s="3">
        <f>1670+(161.3-203.1)+(-2.5551+(-0.246789--0.310743))+0-19.5--0.0298350000000011</f>
        <v>1606.238689</v>
      </c>
      <c r="T289" s="3">
        <f>1616.7+(165.9-199.9)+(0.824517+(0.084609-0.101949))+0-17.9-0.00912899999999818</f>
        <v>1565.5980479999998</v>
      </c>
      <c r="U289" s="3">
        <f>1615.4+(181.2-206.6)+(-0.823854+(-0.092412--0.105366))+0-21.5--0.0109649999999978</f>
        <v>1567.700065</v>
      </c>
      <c r="V289" s="3">
        <f>1586.4+(122.3-188.8)+(-2.427192+(-0.187119--0.288864))+90.8-8.6--0.0131580000000005</f>
        <v>1599.7877110000002</v>
      </c>
      <c r="W289" s="3">
        <f>1646.3+(235.7-169.8)+(0+(0-0))+55-13.3-0</f>
        <v>1753.8999999999999</v>
      </c>
      <c r="X289" s="3">
        <f>1780.5+(335.6-235.5)+(-2.724165+(-0.513468--0.360315))+0-28.3--0.0432990000000016</f>
        <v>1849.4659809999998</v>
      </c>
      <c r="Y289" s="3">
        <f>1868.2+(298.6-314.5)+(-2.858346+(-0.456858--0.481185))+0-28.1--0.0429930000000016</f>
        <v>1821.4089740000004</v>
      </c>
      <c r="Z289" s="3">
        <f>1816.4+(280.2-308.9)+(-4.63182+(-0.71451--0.787695))+0-27.9--0.0711449999999959</f>
        <v>1755.3125099999997</v>
      </c>
      <c r="AA289" s="3">
        <f>1756.9+(255.9-280.3)+(-0.896019+(-0.130509--0.142953))+0-28.4--0.0144839999999971</f>
        <v>1703.2309089999999</v>
      </c>
      <c r="AB289" s="3">
        <f>1720.7+(134.8-208.3)+(-2.632671+(-0.206244--0.318699))+0-28.4--0.0434520000000016</f>
        <v>1616.323236</v>
      </c>
      <c r="AC289" s="3">
        <f>1691+(98.2-270.5)+(-3.44964+(-0.200328--0.55182))+0-28.3--0.0577319999999988</f>
        <v>1487.359584</v>
      </c>
      <c r="AD289">
        <v>1854.1000000000001</v>
      </c>
      <c r="AE289" s="3">
        <f>1681+(407.3-184.9)+(0+(0-0))+0-25.3-0</f>
        <v>1878.1000000000001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1597+(158.4-393.4)+(-3.25788+(-0.323136--0.802536))+0-27.7--0.0565079999999988</f>
        <v>1331.5780279999999</v>
      </c>
      <c r="G290" s="3">
        <f>1577.4+(217.4-531.5)+(-0.804474+(-0.110874--0.271065))+0-28.1--0.0143309999999971</f>
        <v>1234.5700480000003</v>
      </c>
      <c r="H290" s="3">
        <f>1526.2+(243.7-540.5)+(-1.556724+(-0.248574--0.55131))+0-28.1--0.0286620000000045</f>
        <v>1200.0746740000002</v>
      </c>
      <c r="I290" s="3">
        <f>1516.9+(254.1-569.4)+(1.547238+(0.259182-0.580788))+0-27.7-0.0282540000000044</f>
        <v>1175.0973779999999</v>
      </c>
      <c r="J290" s="3">
        <f>1529.1+(266.4-604.1)+(0+(0-0))+0-28-0</f>
        <v>1163.3999999999999</v>
      </c>
      <c r="K290" s="3">
        <f>1538.4+(271.9-601.4)+(1.569168+(0.277338-0.613428))+0-28.3-0.0288660000000045</f>
        <v>1181.804212</v>
      </c>
      <c r="L290" s="3">
        <f>1614.6+(273.5-618)+(1.646892+(0.27897-0.63036))+0-28.1-0.0286620000000045</f>
        <v>1243.26684</v>
      </c>
      <c r="M290" s="3">
        <f>1626.6+(264.4-533.2)+(1.659132+(0.269688-0.543864))+0-29.5-0.0300900000000047</f>
        <v>1329.6548659999999</v>
      </c>
      <c r="N290" s="3">
        <f>1619.4+(253.5-431)+(0+(0-0))+0-29.4-0</f>
        <v>1412.5</v>
      </c>
      <c r="O290" s="3">
        <f>1617.2+(215.4-278.6)+(0+(0-0))+0-29.9-0</f>
        <v>1524.1</v>
      </c>
      <c r="P290" s="3">
        <f>1636.9+(206.2-230.9)+(0.834819+(0.105162-0.117759))+0-29.7-0.015146999999997</f>
        <v>1583.3070749999999</v>
      </c>
      <c r="Q290" s="3">
        <f>1637.8+(224.2-215)+(-0.835278+(-0.114342--0.10965))+0-29--0.0147899999999971</f>
        <v>1617.17482</v>
      </c>
      <c r="R290" s="3">
        <f>1630.4+(204.8-209.3)+(-3.326016+(-0.417792--0.426972))+0-28--0.0571199999999988</f>
        <v>1594.6402840000001</v>
      </c>
      <c r="S290" s="3">
        <f>1539.7+(250.3-195.9)+(-0.785247+(-0.127653--0.099909))+0-28.1--0.0143309999999971</f>
        <v>1565.2013400000003</v>
      </c>
      <c r="T290" s="3">
        <f>1536+(224.3-200.7)+(0+(0-0))+0-29.3-0</f>
        <v>1530.3</v>
      </c>
      <c r="U290" s="3">
        <f>1536.1+(217.2-200.4)+(-1.566822+(-0.221544--0.204408))+0-30--0.0306000000000048</f>
        <v>1521.346642</v>
      </c>
      <c r="V290" s="3">
        <f>1585.8+(206.2-217.3)+(0.808758+(0.105162-0.110823))+0-29.5-0.015044999999997</f>
        <v>1545.9880519999997</v>
      </c>
      <c r="W290" s="3">
        <f>1716.3+(267.4-218.4)+(1.750626+(0.272748-0.222768))+0-29.5-0.0300900000000047</f>
        <v>1737.570516</v>
      </c>
      <c r="X290" s="3">
        <f>1741.8+(385.5-225.7)+(-0.888318+(-0.196605--0.115107))+0-29.7--0.015146999999997</f>
        <v>1870.9453309999999</v>
      </c>
      <c r="Y290" s="3">
        <f>1740.5+(371.4-259.5)+(-3.55062+(-0.757656--0.52938))+0-29.5--0.0601799999999987</f>
        <v>1819.181284</v>
      </c>
      <c r="Z290" s="3">
        <f>1676.1+(357.9-240)+(-2.564433+(-0.547587--0.3672))+0-29.6--0.0452880000000017</f>
        <v>1761.7004680000002</v>
      </c>
      <c r="AA290" s="3">
        <f>1609.9+(353.9-228)+(-2.463147+(-0.541467--0.34884))+0-29.7--0.0454410000000017</f>
        <v>1703.4896670000001</v>
      </c>
      <c r="AB290" s="3">
        <f>1609.9+(257.5-194)+(-2.463147+(-0.393975--0.29682))+0-27.9--0.0426870000000016</f>
        <v>1642.982385</v>
      </c>
      <c r="AC290" s="3">
        <f>1609.8+(161.9-226)+(-4.925988+(-0.495414--0.69156))+0-28.2--0.0862920000000033</f>
        <v>1512.85645</v>
      </c>
      <c r="AD290">
        <v>1888</v>
      </c>
      <c r="AE290" s="3">
        <f>1743+(380.2-210.1)+(0+(0-0))+0-28.5-0</f>
        <v>1884.6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1589.3+(185.7-371.5)+(-1.621086+(-0.189414--0.37893))+0-28.1--0.0286620000000045</f>
        <v>1373.9970920000001</v>
      </c>
      <c r="G291" s="3">
        <f>1572.5+(221.7-502.1)+(-2.405925+(-0.339201--0.768213))+0-28.1--0.0429930000000016</f>
        <v>1262.0660800000001</v>
      </c>
      <c r="H291" s="3">
        <f>1533+(258.1-555.3)+(-0.78183+(-0.131631--0.283203))+0-28.4--0.0144839999999971</f>
        <v>1206.7842260000002</v>
      </c>
      <c r="I291" s="3">
        <f>1535.6+(260.3-582.9)+(3.91578+(0.663765-1.486395))+0-28.3-0.0721649999999959</f>
        <v>1187.7209849999999</v>
      </c>
      <c r="J291" s="3">
        <f>1548.3+(260.9-605.8)+(3.158532+(0.532236-1.235832))+0-28.2-0.0575279999999988</f>
        <v>1177.5974080000001</v>
      </c>
      <c r="K291" s="3">
        <f>1581.7+(261.5-630.8)+(3.226668+(0.53346-1.286832))+0-27.8-0.0567119999999988</f>
        <v>1187.016584</v>
      </c>
      <c r="L291" s="3">
        <f>1634.8+(261.3-639.7)+(5.836236+(0.932841-2.283729))+0-28.4-0.101388</f>
        <v>1232.3839599999997</v>
      </c>
      <c r="M291" s="3">
        <f>1635.9+(248.9-560.4)+(-2.502927+(-0.380817--0.857412))+0-29.2--0.0446760000000017</f>
        <v>1293.2183440000001</v>
      </c>
      <c r="N291" s="3">
        <f>1645.2+(262.3-501.7)+(2.517156+(0.401319-0.767601))+0-30.2-0.0462060000000017</f>
        <v>1377.7046680000001</v>
      </c>
      <c r="O291" s="3">
        <f>1653.3+(213.7-351.4)+(1.686366+(0.217974-0.358428))+0-30.1-0.0307020000000048</f>
        <v>1487.01521</v>
      </c>
      <c r="P291" s="3">
        <f>1769.1+(169.2-328.7)+(1.804482+(0.172584-0.335274))+0-30-0.0306000000000048</f>
        <v>1581.2111919999998</v>
      </c>
      <c r="Q291" s="3">
        <f>1837.3+(123.5-315.6)+(0+(0-0))+0-29.4-0</f>
        <v>1615.7999999999997</v>
      </c>
      <c r="R291" s="3">
        <f>1831.7+(104-309.3)+(-2.802501+(-0.15912--0.473229))+0-28.3--0.0432990000000016</f>
        <v>1595.6549070000001</v>
      </c>
      <c r="S291" s="3">
        <f>1841.7+(83.1-354.3)+(0+(0-0))+0-28.2-0</f>
        <v>1542.3</v>
      </c>
      <c r="T291" s="3">
        <f>1917.3+(73.6-470.6)+(-0.977823+(-0.037536--0.240006))+0-27.9--0.0142289999999972</f>
        <v>1491.6388759999998</v>
      </c>
      <c r="U291" s="3">
        <f>1920.4+(72.4-502.1)+(1.958808+(0.073848-0.512142))+0-27.4-0.0279480000000044</f>
        <v>1464.7925660000001</v>
      </c>
      <c r="V291" s="3">
        <f>1936.2+(78.8-502.5)+(0.987462+(0.040188-0.256275))+0-28.3-0.0144329999999971</f>
        <v>1484.956942</v>
      </c>
      <c r="W291" s="3">
        <f>1940.3+(119.1-356.9)+(2.968659+(0.182223-0.546057))+0-28.6-0.0437580000000017</f>
        <v>1676.461067</v>
      </c>
      <c r="X291" s="3">
        <f>1956.6+(282.8-384.5)+(-4.98933+(-0.72114--0.980475))+0-30.4--0.0775199999999956</f>
        <v>1819.8475249999999</v>
      </c>
      <c r="Y291" s="3">
        <f>1961+(299.1-445)+(-2.00022+(-0.305082--0.4539))+0-30.8--0.0314160000000049</f>
        <v>1782.480014</v>
      </c>
      <c r="Z291" s="3">
        <f>1957.9+(291.4-480.9)+(-6.989703+(-1.040298--1.716813))+0-30.5--0.108885</f>
        <v>1731.6956970000001</v>
      </c>
      <c r="AA291" s="3">
        <f>1960.3+(240-490.5)+(-5.998518+(-0.7344--1.50093))+0-29.7--0.0908820000000034</f>
        <v>1674.9588939999999</v>
      </c>
      <c r="AB291" s="3">
        <f>1786.9+(113-266.7)+(-0.911319+(-0.05763--0.136017))+0-28.1--0.0143309999999971</f>
        <v>1604.2813990000002</v>
      </c>
      <c r="AC291" s="3">
        <f>1604.3+(123.2-220.8)+(0.818193+(0.062832-0.112608))+0-28.4-0.0144839999999971</f>
        <v>1479.0539329999999</v>
      </c>
      <c r="AD291">
        <v>1823.4</v>
      </c>
      <c r="AE291" s="3">
        <f>1954.4+(240.8-338.8)+(0+(0-0))+0-30.6-0</f>
        <v>1825.8000000000002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1493+(165.5-305.9)+(-3.80715+(-0.422025--0.780045))+0-27.3--0.069614999999996</f>
        <v>1321.9204849999999</v>
      </c>
      <c r="G292" s="3">
        <f>1418.1+(241.9-405.8)+(0+(0-0))+0-28.3-0</f>
        <v>1225.8999999999999</v>
      </c>
      <c r="H292" s="3">
        <f>1394.8+(270-485.1)+(-0.711348+(-0.1377--0.247401))+0-28.5--0.0145349999999971</f>
        <v>1150.6128879999999</v>
      </c>
      <c r="I292" s="3">
        <f>1392.7+(274.4-508.8)+(1.420554+(0.279888-0.518976))+0-28.5-0.0290700000000045</f>
        <v>1130.9523959999999</v>
      </c>
      <c r="J292" s="3">
        <f>1389.6+(276.2-517.3)+(-1.417392+(-0.281724--0.527646))+0-28.2--0.0287640000000045</f>
        <v>1119.1572939999999</v>
      </c>
      <c r="K292" s="3">
        <f>1415+(269.4-534.6)+(2.16495+(0.412182-0.817938))+0-28.3-0.0432990000000016</f>
        <v>1123.215895</v>
      </c>
      <c r="L292" s="3">
        <f>1452.1+(260.2-550.9)+(0+(0-0))+0-28-0</f>
        <v>1133.3999999999999</v>
      </c>
      <c r="M292" s="3">
        <f>1418+(250.2-514.3)+(-0.72318+(-0.127602--0.262293))+0-28--0.0142799999999972</f>
        <v>1125.3257910000002</v>
      </c>
      <c r="N292" s="3">
        <f>1405.8+(249.8-491.2)+(0.716958+(0.127398-0.250512))+0-27.8-0.0141779999999972</f>
        <v>1137.1796660000002</v>
      </c>
      <c r="O292" s="3">
        <f>1442.7+(188.9-356.5)+(2.207331+(0.289017-0.545445))+0-28.4-0.0434520000000016</f>
        <v>1248.6074510000001</v>
      </c>
      <c r="P292" s="3">
        <f>1477.9+(140.4-263.5)+(0+(0-0))+0-29.2-0</f>
        <v>1325.6000000000001</v>
      </c>
      <c r="Q292" s="3">
        <f>1516.9+(126.9-255.8)+(-2.320857+(-0.194157--0.391374))+0-29.4--0.0449820000000017</f>
        <v>1356.5213419999998</v>
      </c>
      <c r="R292" s="3">
        <f>1517.1+(104.1-257.2)+(-3.868605+(-0.265455--0.65586))+0-28.4--0.0724199999999959</f>
        <v>1332.1942199999999</v>
      </c>
      <c r="S292" s="3">
        <f>1480.3+(114.6-255.3)+(-2.264859+(-0.175338--0.390609))+0-28.5--0.0436050000000016</f>
        <v>1309.0940169999999</v>
      </c>
      <c r="T292" s="3">
        <f>1423.4+(121.3-233.8)+(-2.177802+(-0.185589--0.357714))+0-30--0.0459000000000017</f>
        <v>1278.9402230000001</v>
      </c>
      <c r="U292" s="3">
        <f>1419.4+(108.7-224)+(2.171682+(0.166311-0.34272))+0-29.1-0.0445230000000017</f>
        <v>1276.9507500000002</v>
      </c>
      <c r="V292" s="3">
        <f>1403.8+(168.8-202.4)+(0+(0-0))+0-29.1-0</f>
        <v>1341.1000000000001</v>
      </c>
      <c r="W292" s="3">
        <f>1617+(177.8-216)+(-1.64934+(-0.181356--0.22032))+0-29.5--0.0300900000000047</f>
        <v>1547.7197139999998</v>
      </c>
      <c r="X292" s="3">
        <f>1809.9+(297.1-394.1)+(-1.846098+(-0.303042--0.401982))+0-30.2--0.0308040000000048</f>
        <v>1680.9836460000001</v>
      </c>
      <c r="Y292" s="3">
        <f>1810.9+(288-393)+(-1.847118+(-0.29376--0.40086))+0-30.1--0.0307020000000048</f>
        <v>1674.0906840000002</v>
      </c>
      <c r="Z292" s="3">
        <f>1811.2+(276.7-406.3)+(-1.847424+(-0.282234--0.414426))+0-30--0.0306000000000048</f>
        <v>1649.9153679999999</v>
      </c>
      <c r="AA292" s="3">
        <f>1812.5+(239.2-414.5)+(-0.924375+(-0.121992--0.211395))+0-30.1--0.0153509999999969</f>
        <v>1606.280379</v>
      </c>
      <c r="AB292" s="3">
        <f>1810.5+(104-353.7)+(-1.84671+(-0.10608--0.360774))+0-28.1--0.0286620000000045</f>
        <v>1531.1366459999999</v>
      </c>
      <c r="AC292" s="3">
        <f>1790.1+(101-445.8)+(-3.651804+(-0.20604--0.909432))+0-27.8--0.0567119999999988</f>
        <v>1414.6083000000001</v>
      </c>
      <c r="AD292">
        <v>1673.9999999999998</v>
      </c>
      <c r="AE292" s="3">
        <f>1806+(292.4-392.2)+(0+(0-0))+0-29.8-0</f>
        <v>1676.4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1668.9+(184.6-563)+(-4.255695+(-0.47073--1.43565))+0-28.3--0.0721649999999959</f>
        <v>1258.9813900000001</v>
      </c>
      <c r="G293" s="3">
        <f>1655+(246.5-725.3)+(0+(0-0))+0-28.3-0</f>
        <v>1147.9000000000001</v>
      </c>
      <c r="H293" s="3">
        <f>1656+(272.4-788.7)+(1.68912+(0.277848-0.804474))+0-28.7-0.0292740000000046</f>
        <v>1112.1332199999997</v>
      </c>
      <c r="I293" s="3">
        <f>1627.5+(273-770.1)+(-0.830025+(-0.13923--0.392751))+0-28.4--0.0144839999999971</f>
        <v>1101.4379799999999</v>
      </c>
      <c r="J293" s="3">
        <f>1534.6+(273.1-694.9)+(1.565292+(0.278562-0.708798))+0-28.4-0.0289680000000045</f>
        <v>1085.5060879999999</v>
      </c>
      <c r="K293" s="3">
        <f>1532.1+(270.1-660.4)+(-2.344113+(-0.413253--1.010412))+0-28.6--0.0437580000000017</f>
        <v>1111.4968040000001</v>
      </c>
      <c r="L293" s="3">
        <f>1687.1+(254.4-730.9)+(-1.720842+(-0.259488--0.745518))+0-28.8--0.0293760000000046</f>
        <v>1180.594564</v>
      </c>
      <c r="M293" s="3">
        <f>1784.2+(264.1-731.6)+(-0.909942+(-0.134691--0.373116))+0-30--0.015299999999997</f>
        <v>1286.0437830000001</v>
      </c>
      <c r="N293" s="3">
        <f>1784.6+(234.2-600.7)+(0.910146+(0.119442-0.306357))+0-31.1-0.0158609999999968</f>
        <v>1387.7073699999999</v>
      </c>
      <c r="O293" s="3">
        <f>1799.6+(146.4-389.3)+(0+(0-0))+0-31.6-0</f>
        <v>1525.1</v>
      </c>
      <c r="P293" s="3">
        <f>1797.3+(139-309.4)+(0.916623+(0.07089-0.157794))+0-31.3-0.0159629999999968</f>
        <v>1596.4137560000001</v>
      </c>
      <c r="Q293" s="3">
        <f>1855.1+(108.7-299.2)+(-2.838303+(-0.166311--0.457776))+0-31.5--0.0481950000000018</f>
        <v>1630.601357</v>
      </c>
      <c r="R293" s="3">
        <f>1862.1+(90.3-292)+(-1.899342+(-0.092106--0.29784))+0-29.9--0.0304980000000048</f>
        <v>1628.8368899999998</v>
      </c>
      <c r="S293" s="3">
        <f>1916.9+(75-380.4)+(-1.955238+(-0.0765--0.388008))+0-28.4--0.0289680000000045</f>
        <v>1581.485238</v>
      </c>
      <c r="T293" s="3">
        <f>1932.8+(79.7-452.8)+(1.971456+(0.081294-0.461856))+0-29.3-0.0298860000000047</f>
        <v>1531.9610079999998</v>
      </c>
      <c r="U293" s="3">
        <f>2031.1+(77.7-548.5)+(-2.071722+(-0.079254--0.55947))+0-30.6--0.0312120000000049</f>
        <v>1528.1397060000002</v>
      </c>
      <c r="V293" s="3">
        <f>2209.3+(82.9-715.2)+(0+(0-0))+0-30.7-0</f>
        <v>1546.3</v>
      </c>
      <c r="W293" s="3">
        <f>2231.3+(70.5-544.3)+(2.275926+(0.07191-0.555186))+0-29.8-0.0303960000000048</f>
        <v>1729.4622540000003</v>
      </c>
      <c r="X293" s="3">
        <f>2240.4+(240-579.4)+(-3.427812+(-0.3672--0.886482))+0-30.3--0.0463590000000018</f>
        <v>1867.8378290000001</v>
      </c>
      <c r="Y293" s="3">
        <f>2204.9+(247.9-587.8)+(-1.124499+(-0.126429--0.299778))+0-30.4--0.0155039999999969</f>
        <v>1833.6643539999998</v>
      </c>
      <c r="Z293" s="3">
        <f>2199+(271.9-651.6)+(-4.48596+(-0.554676--1.329264))+0-30.2--0.0616079999999987</f>
        <v>1785.4502359999999</v>
      </c>
      <c r="AA293" s="3">
        <f>2139.1+(274-655.6)+(-2.181882+(-0.27948--0.668712))+0-30.6--0.0312120000000049</f>
        <v>1725.1385620000001</v>
      </c>
      <c r="AB293" s="3">
        <f>2042.6+(95.9-459)+(-1.041726+(-0.048909--0.23409))+0-28.3--0.0144329999999971</f>
        <v>1650.357888</v>
      </c>
      <c r="AC293" s="3">
        <f>1952+(86.7-491.4)+(-2.98656+(-0.132651--0.751842))+0-27.8--0.0425340000000016</f>
        <v>1517.1751649999999</v>
      </c>
      <c r="AD293">
        <v>1847.3999999999999</v>
      </c>
      <c r="AE293" s="3">
        <f>2245+(59.6-431.7)+(0+(0-0))+0-28.7-0</f>
        <v>1844.2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1768.3+(180.5-551.2)+(-3.607332+(-0.36822--1.124448))+0-27.7--0.0565079999999988</f>
        <v>1367.1054039999997</v>
      </c>
      <c r="G294" s="3">
        <f>1658.9+(238.1-624.5)+(-2.538117+(-0.364293--0.955485))+0-28.3--0.0432990000000016</f>
        <v>1242.296374</v>
      </c>
      <c r="H294" s="3">
        <f>1659.5+(250.8-684)+(-0.846345+(-0.127908--0.34884))+0-28.3--0.0144329999999971</f>
        <v>1197.3890200000001</v>
      </c>
      <c r="I294" s="3">
        <f>1659.3+(267.2-724.3)+(-2.538729+(-0.408816--1.108179))+0-28.2--0.0431460000000016</f>
        <v>1172.2037800000001</v>
      </c>
      <c r="J294" s="3">
        <f>1828.4+(268.7-898.9)+(0+(0-0))+0-28.2-0</f>
        <v>1170</v>
      </c>
      <c r="K294" s="3">
        <f>1825.4+(274-883)+(-2.792862+(-0.41922--1.35099))+0-28.6--0.0437580000000017</f>
        <v>1185.9826660000001</v>
      </c>
      <c r="L294" s="3">
        <f>1878+(248.2-788.2)+(0+(0-0))+0-27-0</f>
        <v>1311</v>
      </c>
      <c r="M294" s="3">
        <f>1870.3+(236.5-754.2)+(0+(0-0))+0-30-0</f>
        <v>1322.6</v>
      </c>
      <c r="N294" s="3">
        <f>1944.6+(234.9-677.5)+(0+(0-0))+0-30-0</f>
        <v>1472</v>
      </c>
      <c r="O294" s="3">
        <f>2020.9+(150.2-654.3)+(0+(0-0))+0-30-0</f>
        <v>1486.8000000000002</v>
      </c>
      <c r="P294" s="3">
        <f>2030.5+(97.9-479.9)+(0+(0-0))+0-30-0</f>
        <v>1618.5</v>
      </c>
      <c r="Q294" s="3">
        <f>2020.5+(90.9-454.3)+(0+(0-0))+0-30-0</f>
        <v>1627.1</v>
      </c>
      <c r="R294" s="3">
        <f>2017.1+(74.6-470.6)+(0+(0-0))+0-30-0</f>
        <v>1591.1</v>
      </c>
      <c r="S294" s="3">
        <f>2025.6+(74.9-503.1)+(0+(0-0))+0-30-0</f>
        <v>1567.3999999999999</v>
      </c>
      <c r="T294" s="3">
        <f>1943.9+(74-483)+(-2.974167+(-0.11322--0.73899))+0-30--0.0459000000000017</f>
        <v>1502.5975030000002</v>
      </c>
      <c r="U294" s="3">
        <f>1978.8+(75.2-502.5)+(0+(0-0))+0-30-0</f>
        <v>1521.5</v>
      </c>
      <c r="V294" s="3">
        <f>2027.9+(75.4-493.5)+(2.068458+(0.076908-0.50337))+0-27.7-0.0282540000000044</f>
        <v>1583.7137420000001</v>
      </c>
      <c r="W294" s="3">
        <f>2033.5+(69.3-281.9)+(2.07417+(0.070686-0.287538))+0-28.2-0.0287640000000045</f>
        <v>1794.5285540000002</v>
      </c>
      <c r="X294" s="3">
        <f>2048.9+(236.4-368.4)+(-2.089878+(-0.241128--0.375768))+0-29.7--0.0302940000000047</f>
        <v>1885.2750559999999</v>
      </c>
      <c r="Y294" s="3">
        <f>2055.9+(251.2-435.2)+(-1.048509+(-0.128112--0.221952))+0-29.4--0.014993999999997</f>
        <v>1841.5603249999999</v>
      </c>
      <c r="Z294" s="3">
        <f>2058.2+(251.1-482.6)+(-1.049682+(-0.128061--0.246126))+0-29.9--0.015248999999997</f>
        <v>1795.8836319999998</v>
      </c>
      <c r="AA294" s="3">
        <f>2057.1+(244.6-530.1)+(0+(0-0))+0-29.7-0</f>
        <v>1741.8999999999999</v>
      </c>
      <c r="AB294" s="3">
        <f>2006.2+(53.7-353.6)+(0+(0-0))+0-27.5-0</f>
        <v>1678.8</v>
      </c>
      <c r="AC294" s="3">
        <f>1842+(104.3-355.2)+(-2.81826+(-0.159579--0.543456))+0-28.7--0.0439110000000017</f>
        <v>1560.0095279999998</v>
      </c>
      <c r="AD294">
        <v>1890.9000000000003</v>
      </c>
      <c r="AE294" s="3">
        <f>2036+(71.8-191.3)+(0+(0-0))+0-27.6-0</f>
        <v>1888.9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1641.2+(170.9-390.1)+(-1.674024+(-0.174318--0.397902))+0-28.9--0.0294780000000046</f>
        <v>1391.6790379999998</v>
      </c>
      <c r="G295" s="3">
        <f>1555+(231.7-500.9)+(-4.7583+(-0.709002--1.532754))+0-28.4--0.0869040000000033</f>
        <v>1253.5523559999999</v>
      </c>
      <c r="H295" s="3">
        <f>1429+(256.8-469.6)+(0+(0-0))+0-28.9-0</f>
        <v>1187.3</v>
      </c>
      <c r="I295" s="3">
        <f>1427.7+(259.1-492.4)+(-1.456254+(-0.264282--0.502248))+0-28.5--0.0290700000000045</f>
        <v>1164.7107820000001</v>
      </c>
      <c r="J295" s="3">
        <f>1428.5+(262.5-503)+(-0.728535+(-0.133875--0.25653))+0-28.4--0.0144839999999971</f>
        <v>1159.0086039999999</v>
      </c>
      <c r="K295" s="3">
        <f>1436.4+(264.7-500.3)+(2.197692+(0.404991-0.765459))+0-28.5-0.0436050000000016</f>
        <v>1174.0936190000002</v>
      </c>
      <c r="L295" s="3">
        <f>1624.1+(259-617.5)+(-0.828291+(-0.13209--0.314925))+0-28.3--0.0144329999999971</f>
        <v>1236.668977</v>
      </c>
      <c r="M295" s="3">
        <f>1765.2+(195-587.1)+(-1.800504+(-0.1989--0.598842))+0-29.4--0.0299880000000047</f>
        <v>1342.3294259999998</v>
      </c>
      <c r="N295" s="3">
        <f>1871.9+(126.5-534.8)+(-2.864007+(-0.193545--0.818244))+0-30.9--0.0472770000000018</f>
        <v>1430.507969</v>
      </c>
      <c r="O295" s="3">
        <f>1868.4+(42-350.7)+(-0.952884+(-0.02142--0.178857))+0-31--0.0158099999999969</f>
        <v>1527.9203630000002</v>
      </c>
      <c r="P295" s="3">
        <f>1877.1+(26.7-277.3)+(-1.914642+(-0.027234--0.282846))+0-31.3--0.031926000000005</f>
        <v>1593.5728960000001</v>
      </c>
      <c r="Q295" s="3">
        <f>1797.1+(52.1-227.6)+(-1.833042+(-0.053142--0.232152))+0-30.9--0.0315180000000049</f>
        <v>1589.0774859999999</v>
      </c>
      <c r="R295" s="3">
        <f>1843+(40.1-248.7)+(-3.75972+(-0.081804--0.507348))+0-20.8--0.0424319999999991</f>
        <v>1610.308256</v>
      </c>
      <c r="S295" s="3">
        <f>1848.2+(25.2-276.5)+(-2.827746+(-0.038556--0.423045))+0-28.3--0.0432990000000016</f>
        <v>1566.2000420000002</v>
      </c>
      <c r="T295" s="3">
        <f>1806.3+(24.6-272.1)+(-0.921213+(-0.012546--0.138771))+0-29.7--0.015146999999997</f>
        <v>1528.3201589999999</v>
      </c>
      <c r="U295" s="3">
        <f>1806.7+(23.4-280.7)+(-0.921417+(-0.011934--0.143157))+0-29.6--0.015095999999997</f>
        <v>1519.0249020000003</v>
      </c>
      <c r="V295" s="3">
        <f>1839.1+(37.9-303.1)+(0+(0-0))+0-29.7-0</f>
        <v>1544.1999999999998</v>
      </c>
      <c r="W295" s="3">
        <f>1890+(110.8-259.3)+(-0.9639+(-0.056508--0.132243))+0-29.6--0.015095999999997</f>
        <v>1711.0269310000001</v>
      </c>
      <c r="X295" s="3">
        <f>1949.9+(225.1-282.2)+(-2.983347+(-0.344403--0.431766))+0-29.8--0.0455940000000017</f>
        <v>1860.1496100000002</v>
      </c>
      <c r="Y295" s="3">
        <f>1861.9+(275.8-282.3)+(-3.798276+(-0.562632--0.575892))+0-30--0.0611999999999987</f>
        <v>1821.6761840000001</v>
      </c>
      <c r="Z295" s="3">
        <f>1775+(297.9-278.1)+(-2.71575+(-0.455787--0.425493))+0-30.4--0.0465120000000018</f>
        <v>1761.7004679999998</v>
      </c>
      <c r="AA295" s="3">
        <f>1677.8+(309.7-256.6)+(-5.134068+(-0.947682--0.785196))+0-29.6--0.0905760000000034</f>
        <v>1696.094022</v>
      </c>
      <c r="AB295" s="3">
        <f>1628.4+(229.6-192.4)+(-1.660968+(-0.234192--0.196248))+0-28.4--0.0289680000000045</f>
        <v>1635.5300560000001</v>
      </c>
      <c r="AC295" s="3">
        <f>1649+(137-238.8)+(-0.84099+(-0.06987--0.121788))+0-29--0.0147899999999971</f>
        <v>1517.425718</v>
      </c>
      <c r="AD295">
        <v>1838.2999999999997</v>
      </c>
      <c r="AE295" s="3">
        <f>1948+(161.3-242.2)+(0+(0-0))+0-28.4-0</f>
        <v>1838.6999999999998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1610.5+(175.3-438.1)+(-0.821355+(-0.089403--0.223431))+0-28.5--0.0145349999999971</f>
        <v>1318.527208</v>
      </c>
      <c r="G296" s="3">
        <f>1572.1+(235.4-527.5)+(-4.008855+(-0.60027--1.345125))+0-27.7--0.070634999999996</f>
        <v>1249.1066350000001</v>
      </c>
      <c r="H296" s="3">
        <f>1480.2+(232.3-491.6)+(-0.754902+(-0.118473--0.250716))+0-27.7--0.0141269999999972</f>
        <v>1192.5914679999998</v>
      </c>
      <c r="I296" s="3">
        <f>1482+(212-495.3)+(0+(0-0))+0-28.1-0</f>
        <v>1170.6000000000001</v>
      </c>
      <c r="J296" s="3">
        <f>1484.6+(203.3-500.4)+(0.757146+(0.103683-0.255204))+0-27.8-0.0141779999999972</f>
        <v>1160.2914470000001</v>
      </c>
      <c r="K296" s="3">
        <f>1486.8+(203.5-486.4)+(1.516536+(0.20757-0.496128))+0-28.6-0.0291720000000046</f>
        <v>1176.4988060000001</v>
      </c>
      <c r="L296" s="3">
        <f>1482.5+(225.4-446.3)+(-0.756075+(-0.114954--0.227613))+0-28.2--0.0143819999999971</f>
        <v>1232.770966</v>
      </c>
      <c r="M296" s="3">
        <f>1519.2+(199.7-415.6)+(0+(0-0))+0-28.3-0</f>
        <v>1275</v>
      </c>
      <c r="N296" s="3">
        <f>1544+(132.9-305.3)+(0+(0-0))+0-29.6-0</f>
        <v>1342</v>
      </c>
      <c r="O296" s="3">
        <f>1558.5+(141.8-201.7)+(0+(0-0))+0-30.8-0</f>
        <v>1467.8</v>
      </c>
      <c r="P296" s="3">
        <f>1558.9+(168.1-184.6)+(-1.590078+(-0.171462--0.188292))+0-30.8--0.0314160000000049</f>
        <v>1510.0581680000003</v>
      </c>
      <c r="Q296" s="3">
        <f>1560.4+(188.1-184)+(-1.591608+(-0.191862--0.18768))+0-30.1--0.0307020000000048</f>
        <v>1532.834912</v>
      </c>
      <c r="R296" s="3">
        <f>1572.8+(193.7-156.3)+(-4.01064+(-0.493935--0.398565))+0-29--0.0739499999999958</f>
        <v>1577.1679399999998</v>
      </c>
      <c r="S296" s="3">
        <f>1571.4+(136.8-138.2)+(0.801414+(0.069768-0.070482))+0-28.5-0.0145349999999971</f>
        <v>1542.286165</v>
      </c>
      <c r="T296" s="3">
        <f>1522+(128.6-120.3)+(0.77622+(0.065586-0.061353))+0-30.1-0.0153509999999969</f>
        <v>1500.9651020000001</v>
      </c>
      <c r="U296" s="3">
        <f>1518.2+(123-121.3)+(0+(0-0))+0-30.2-0</f>
        <v>1489.7</v>
      </c>
      <c r="V296" s="3">
        <f>1618.1+(73.5-153.2)+(-2.475693+(-0.112455--0.234396))+0-30.3--0.0463590000000018</f>
        <v>1505.7926069999999</v>
      </c>
      <c r="W296" s="3">
        <f>1796+(91.8-186.4)+(-1.83192+(-0.093636--0.190128))+0-29--0.0295800000000046</f>
        <v>1670.694152</v>
      </c>
      <c r="X296" s="3">
        <f>1932.9+(258.8-322.4)+(-2.957337+(-0.395964--0.493272))+0-29.8--0.0455940000000017</f>
        <v>1836.6855650000002</v>
      </c>
      <c r="Y296" s="3">
        <f>1929.2+(246.4-331.9)+(-4.91946+(-0.62832--0.846345))+0-30.2--0.0770099999999956</f>
        <v>1808.875575</v>
      </c>
      <c r="Z296" s="3">
        <f>1650.9+(342.6-208.5)+(-0.841959+(-0.174726--0.106335))+0-29.1--0.014840999999997</f>
        <v>1755.0044909999999</v>
      </c>
      <c r="AA296" s="3">
        <f>1544.1+(367.1-195.6)+(-3.149964+(-0.748884--0.399024))+0-28.2--0.0575279999999988</f>
        <v>1683.9577039999999</v>
      </c>
      <c r="AB296" s="3">
        <f>1543.9+(286.7-182.9)+(-3.936945+(-0.731085--0.466395))+0-28--0.0713999999999959</f>
        <v>1615.5697650000002</v>
      </c>
      <c r="AC296" s="3">
        <f>1509.8+(218.6-195.7)+(-5.389986+(-0.780402--0.698649))+0-28.1--0.100317</f>
        <v>1499.228578</v>
      </c>
      <c r="AD296">
        <v>1817.2</v>
      </c>
      <c r="AE296" s="3">
        <f>1922+(153.9-230.9)+(0+(0-0))+0-27.8-0</f>
        <v>1817.2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1402.6+(217.3-254.1)+(-1.430652+(-0.221646--0.259182))+0-28.1--0.0286620000000045</f>
        <v>1336.335546</v>
      </c>
      <c r="G297" s="3">
        <f>1368+(216.4-329.2)+(-2.79072+(-0.441456--0.671568))+0-27.4--0.0558959999999988</f>
        <v>1225.295288</v>
      </c>
      <c r="H297" s="3">
        <f>1370.4+(210.4-372.7)+(-0.698904+(-0.107304--0.190077))+0-27.8--0.0141779999999972</f>
        <v>1179.6980470000001</v>
      </c>
      <c r="I297" s="3">
        <f>1371.9+(208.5-384.3)+(-2.099007+(-0.319005--0.587979))+0-28--0.0428400000000016</f>
        <v>1166.3128070000002</v>
      </c>
      <c r="J297" s="3">
        <f>1375.4+(213.3-411.4)+(0+(0-0))+0-28.2-0</f>
        <v>1149.1000000000001</v>
      </c>
      <c r="K297" s="3">
        <f>1373.8+(219.4-404.7)+(0+(0-0))+0-28.2-0</f>
        <v>1160.3</v>
      </c>
      <c r="L297" s="3">
        <f>1440.3+(212.9-402.3)+(0+(0-0))+0-28.5-0</f>
        <v>1222.3999999999999</v>
      </c>
      <c r="M297" s="3">
        <f>1456+(189.8-305)+(0.74256+(0.096798-0.15555))+0-30-0.015299999999997</f>
        <v>1311.4685079999999</v>
      </c>
      <c r="N297" s="3">
        <f>1516.5+(160.2-256)+(1.54683+(0.163404-0.26112))+0-30.2-0.0308040000000048</f>
        <v>1391.91831</v>
      </c>
      <c r="O297" s="3">
        <f>1524.5+(195.8-186.5)+(2.332485+(0.299574-0.285345))+0-31.6-0.0483480000000018</f>
        <v>1504.498366</v>
      </c>
      <c r="P297" s="3">
        <f>1645+(143.4-189.4)+(1.6779+(0.146268-0.193188))+0-21.2-0.0216240000000034</f>
        <v>1579.4093559999999</v>
      </c>
      <c r="Q297" s="3">
        <f>1634.4+(139-178.5)+(-1.667088+(-0.14178--0.18207))+0-9.2--0.00938400000000147</f>
        <v>1584.082586</v>
      </c>
      <c r="R297" s="3">
        <f>1630.9+(150-180.2)+(-4.990554+(-0.459--0.551412))+0-3.9--0.0119340000000005</f>
        <v>1591.9137920000001</v>
      </c>
      <c r="S297" s="3">
        <f>1563.2+(182.5-179.8)+(0.797232+(0.093075-0.091698))+0-2.2-0.00112199999999978</f>
        <v>1564.4974870000001</v>
      </c>
      <c r="T297" s="3">
        <f>1562.6+(144.7-181.5)+(0.796926+(0.073797-0.092565))+0-2.5-0.00127499999999975</f>
        <v>1524.076883</v>
      </c>
      <c r="U297" s="3">
        <f>1610+(122.4-194)+(0.8211+(0.062424-0.09894))+0-2.6-0.00132599999999974</f>
        <v>1536.5832580000001</v>
      </c>
      <c r="V297" s="3">
        <f>1621.1+(129.7-178)+(-0.826761+(-0.066147--0.09078))+0-9.1--0.00464099999999908</f>
        <v>1562.902513</v>
      </c>
      <c r="W297" s="3">
        <f>1639.4+(323.2-172.3)+(-0.836094+(-0.164832--0.087873))+0-23.8--0.0121379999999976</f>
        <v>1765.5990850000003</v>
      </c>
      <c r="X297" s="3">
        <f>1668.9+(422.3-184.4)+(-1.702278+(-0.430746--0.188088))+0-27.1--0.0276420000000043</f>
        <v>1877.7827060000002</v>
      </c>
      <c r="Y297" s="3">
        <f>1668.9+(394.9-193.2)+(-0.851139+(-0.201399--0.098532))+0-26.7--0.0136169999999973</f>
        <v>1842.9596110000002</v>
      </c>
      <c r="Z297" s="3">
        <f>1664.4+(347.1-202.4)+(-0.848844+(-0.177021--0.103224))+0-26.4--0.0134639999999973</f>
        <v>1781.7908229999998</v>
      </c>
      <c r="AA297" s="3">
        <f>1662.7+(327.3-236)+(-3.391908+(-0.667692--0.48144))+0-25.8--0.0526319999999989</f>
        <v>1724.6744719999999</v>
      </c>
      <c r="AB297" s="3">
        <f>1666.1+(235.2-205.7)+(0.849711+(0.119952-0.104907))+0-25.4-0.0129539999999974</f>
        <v>1671.0518019999997</v>
      </c>
      <c r="AC297" s="3">
        <f>1652.4+(163.5-235.6)+(-4.21362+(-0.416925--0.60078))+0-27--0.0688499999999961</f>
        <v>1549.3390850000001</v>
      </c>
      <c r="AD297">
        <v>1854.9</v>
      </c>
      <c r="AE297" s="3">
        <f>1661+(400-165.7)+(0+(0-0))+0-26-0</f>
        <v>1869.3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1634+(189.7-400.7)+(-1.66668+(-0.193494--0.408714))+0-27.6--0.0281520000000044</f>
        <v>1393.9766920000002</v>
      </c>
      <c r="G298" s="3">
        <f>1627.7+(195.4-518.5)+(0.830127+(0.099654-0.264435))+0-27.8-0.0141779999999972</f>
        <v>1277.4511680000001</v>
      </c>
      <c r="H298" s="3">
        <f>1617.1+(195.3-552.5)+(0+(0-0))+0-27.1-0</f>
        <v>1232.8</v>
      </c>
      <c r="I298" s="3">
        <f>1504.4+(202.8-466.4)+(0.767244+(0.103428-0.237864))+0-27.7-0.0141269999999972</f>
        <v>1213.7186810000003</v>
      </c>
      <c r="J298" s="3">
        <f>1492.4+(205.4-473.3)+(-3.80562+(-0.52377--1.206915))+0-27.8--0.070889999999996</f>
        <v>1193.6484150000001</v>
      </c>
      <c r="K298" s="3">
        <f>1521.5+(202.7-511.1)+(1.55193+(0.206754-0.521322))+0-27.6-0.0281520000000044</f>
        <v>1186.70921</v>
      </c>
      <c r="L298" s="3">
        <f>1565.7+(195.1-506.7)+(0+(0-0))+0-28.2-0</f>
        <v>1225.8999999999999</v>
      </c>
      <c r="M298" s="3">
        <f>1575.7+(179.5-435.5)+(-0.803607+(-0.091545--0.222105))+0-28.7--0.0146369999999971</f>
        <v>1290.34159</v>
      </c>
      <c r="N298" s="3">
        <f>1619.3+(119.6-321.9)+(1.651686+(0.121992-0.328338))+0-30.5-0.0311100000000049</f>
        <v>1387.9142300000001</v>
      </c>
      <c r="O298" s="3">
        <f>1622.7+(124.5-212.2)+(2.482731+(0.190485-0.324666))+0-29.7-0.0454410000000017</f>
        <v>1507.6031089999999</v>
      </c>
      <c r="P298" s="3">
        <f>1647.7+(175-201.7)+(0+(0-0))+0-29.9-0</f>
        <v>1591.1</v>
      </c>
      <c r="Q298" s="3">
        <f>1649.9+(193-197)+(-1.682898+(-0.19686--0.20094))+0-29.3--0.0298860000000047</f>
        <v>1614.9510680000001</v>
      </c>
      <c r="R298" s="3">
        <f>1640.6+(184.7-188.1)+(-2.510118+(-0.282591--0.287793))+0-28--0.0428400000000016</f>
        <v>1606.7379239999998</v>
      </c>
      <c r="S298" s="3">
        <f>1626.2+(137.7-190.8)+(-4.14681+(-0.351135--0.48654))+0-28--0.0713999999999959</f>
        <v>1541.159995</v>
      </c>
      <c r="T298" s="3">
        <f>1624.6+(101.1-197.9)+(-4.971276+(-0.309366--0.605574))+0-29.4--0.0899640000000034</f>
        <v>1493.8148959999999</v>
      </c>
      <c r="U298" s="3">
        <f>1547.2+(132-182.5)+(-3.156288+(-0.26928--0.3723))+0-29.2--0.0595679999999987</f>
        <v>1464.5063</v>
      </c>
      <c r="V298" s="3">
        <f>1548.8+(146-181.4)+(-0.789888+(-0.07446--0.092514))+0-29.1--0.014840999999997</f>
        <v>1483.543007</v>
      </c>
      <c r="W298" s="3">
        <f>1645.6+(211.4-184.2)+(-1.678512+(-0.215628--0.187884))+0-25--0.025500000000004</f>
        <v>1646.119244</v>
      </c>
      <c r="X298" s="3">
        <f>1633.7+(397.4-194.9)+(-2.499561+(-0.608022--0.298197))+0-29.6--0.0452880000000017</f>
        <v>1803.8359020000003</v>
      </c>
      <c r="Y298" s="3">
        <f>1631.5+(375.1-209.1)+(0+(0-0))+0-29.6-0</f>
        <v>1767.9</v>
      </c>
      <c r="Z298" s="3">
        <f>1637.1+(340.6-220.8)+(-0.834921+(-0.173706--0.112608))+0-29.8--0.015197999999997</f>
        <v>1726.2191789999999</v>
      </c>
      <c r="AA298" s="3">
        <f>1637+(296.2-243.1)+(-1.66974+(-0.302124--0.247962))+0-29.7--0.0302940000000047</f>
        <v>1658.7063919999998</v>
      </c>
      <c r="AB298" s="3">
        <f>1637.8+(182.1-199.4)+(-2.505834+(-0.278613--0.305082))+0-28.4--0.0434520000000016</f>
        <v>1589.6640869999999</v>
      </c>
      <c r="AC298" s="3">
        <f>1630.5+(140.1-244.3)+(-4.157775+(-0.357255--0.622965))+0-27.6--0.070379999999996</f>
        <v>1494.8783149999999</v>
      </c>
      <c r="AD298">
        <v>1793.4</v>
      </c>
      <c r="AE298" s="3">
        <f>1663+(364.2-203.5)+(0+(0-0))+0-29.7-0</f>
        <v>1794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1602+(180.7-403)+(-0.81702+(-0.092157--0.20553))+0-28--0.0142799999999972</f>
        <v>1351.0106330000001</v>
      </c>
      <c r="G299" s="3">
        <f>1417.7+(212.1-363)+(-0.723027+(-0.108171--0.18513))+0-26.9--0.0137189999999973</f>
        <v>1239.2676509999999</v>
      </c>
      <c r="H299" s="3">
        <f>1233.4+(225.2-273.6)+(-0.629034+(-0.114852--0.139536))+0-26.1--0.0133109999999974</f>
        <v>1158.308961</v>
      </c>
      <c r="I299" s="3">
        <f>1241.2+(217.8-294.8)+(1.266024+(0.222156-0.300696))+0-26.5-0.0270300000000042</f>
        <v>1138.8604540000001</v>
      </c>
      <c r="J299" s="3">
        <f>1237.2+(219.6-298.8)+(-1.261944+(-0.223992--0.304776))+0-26.7--0.0272340000000043</f>
        <v>1130.1460739999998</v>
      </c>
      <c r="K299" s="3">
        <f>1341.4+(217.9-404.9)+(-0.684114+(-0.111129--0.206499))+0-26.8--0.0136679999999973</f>
        <v>1127.0249240000003</v>
      </c>
      <c r="L299" s="3">
        <f>1422.4+(210.9-455.5)+(0.725424+(0.107559-0.232305))+0-27.1-0.0138209999999973</f>
        <v>1151.2868570000003</v>
      </c>
      <c r="M299" s="3">
        <f>1423.8+(177.1-430.9)+(-1.452276+(-0.180642--0.439518))+0-28.8--0.0293760000000046</f>
        <v>1140.0359759999999</v>
      </c>
      <c r="N299" s="3">
        <f>1423.4+(112.1-344.9)+(0+(0-0))+0-29.9-0</f>
        <v>1160.7</v>
      </c>
      <c r="O299" s="3">
        <f>1440.2+(85.6-233.7)+(-1.469004+(-0.087312--0.238374))+0-30.7--0.0313140000000049</f>
        <v>1260.1133720000003</v>
      </c>
      <c r="P299" s="3">
        <f>1467.6+(100-191.4)+(-0.748476+(-0.051--0.097614))+0-30.5--0.0155549999999969</f>
        <v>1345.0136929999999</v>
      </c>
      <c r="Q299" s="3">
        <f>1508.7+(101-196.9)+(-1.538874+(-0.10302--0.200838))+0-28.5--0.0290700000000045</f>
        <v>1382.8880140000001</v>
      </c>
      <c r="R299" s="3">
        <f>1615.5+(72.1-257.9)+(0.823905+(0.036771-0.131529))+0-26.6-0.0135659999999973</f>
        <v>1403.8155810000001</v>
      </c>
      <c r="S299" s="3">
        <f>1576.8+(82-256.1)+(-3.216672+(-0.16728--0.522444))+0-27.4--0.0558959999999988</f>
        <v>1372.4943879999998</v>
      </c>
      <c r="T299" s="3">
        <f>1560.4+(70.4-258.5)+(-0.795804+(-0.035904--0.131835))+0-28.2--0.0143819999999971</f>
        <v>1343.4145090000002</v>
      </c>
      <c r="U299" s="3">
        <f>1563.5+(67.2-275.7)+(0+(0-0))+0-28.3-0</f>
        <v>1326.7</v>
      </c>
      <c r="V299" s="3">
        <f>1576.4+(67.5-268.7)+(-2.411892+(-0.103275--0.411111))+0-29.4--0.0449820000000017</f>
        <v>1343.7409259999999</v>
      </c>
      <c r="W299" s="3">
        <f>1633.3+(75.6-276.6)+(-3.331932+(-0.154224--0.564264))+0-29.1--0.0593639999999987</f>
        <v>1400.3374719999999</v>
      </c>
      <c r="X299" s="3">
        <f>1644.9+(233.2-309.9)+(-4.194495+(-0.59466--0.790245))+0-29--0.0739499999999958</f>
        <v>1535.27504</v>
      </c>
      <c r="Y299" s="3">
        <f>1613.2+(266.7-282.5)+(-0.822732+(-0.136017--0.144075))+0-28.9--0.0147389999999971</f>
        <v>1567.700065</v>
      </c>
      <c r="Z299" s="3">
        <f>1598.2+(280.9-292.4)+(-3.260328+(-0.573036--0.596496))+0-29.5--0.0601799999999987</f>
        <v>1554.023312</v>
      </c>
      <c r="AA299" s="3">
        <f>1493+(313.4-240.6)+(-2.28429+(-0.479502--0.368118))+0-29.4--0.0449820000000017</f>
        <v>1534.0493079999997</v>
      </c>
      <c r="AB299" s="3">
        <f>1423.6+(250.4-192.7)+(-1.452072+(-0.255408--0.196554))+0-27.4--0.0279480000000044</f>
        <v>1452.4170219999999</v>
      </c>
      <c r="AC299" s="3">
        <f>1414.2+(240.8-194.1)+(-2.163726+(-0.368424--0.296973))+0-27.7--0.0423810000000016</f>
        <v>1431.007204</v>
      </c>
      <c r="AD299">
        <v>1671.4</v>
      </c>
      <c r="AE299" s="3">
        <f>1792.5+(228.8-319.6)+(0+(0-0))+0-29.5-0</f>
        <v>1672.2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1385.6+(209.1-257.2)+(-0.706656+(-0.106641--0.131172))+0-27.6--0.0140759999999972</f>
        <v>1309.231951</v>
      </c>
      <c r="G300" s="3">
        <f>1385.5+(191.1-365.4)+(-0.706605+(-0.097461--0.186354))+0-27.2--0.0138719999999972</f>
        <v>1183.39616</v>
      </c>
      <c r="H300" s="3">
        <f>1384+(199.7-430.2)+(-1.41168+(-0.203694--0.438804))+0-26.8--0.0273360000000043</f>
        <v>1125.5507660000001</v>
      </c>
      <c r="I300" s="3">
        <f>1387.6+(201.5-466.6)+(0+(0-0))+0-27.2-0</f>
        <v>1095.3</v>
      </c>
      <c r="J300" s="3">
        <f>1387.1+(208.4-477.1)+(-2.122263+(-0.318852--0.729963))+0-26.7--0.0408510000000015</f>
        <v>1090.0296989999997</v>
      </c>
      <c r="K300" s="3">
        <f>1388.6+(212.6-488.4)+(0+(0-0))+0-16.7-0</f>
        <v>1096.0999999999999</v>
      </c>
      <c r="L300" s="3">
        <f>1392.5+(209.8-469.2)+(1.42035+(0.213996-0.478584))+0-8.9-0.00907800000000142</f>
        <v>1125.3466839999999</v>
      </c>
      <c r="M300" s="3">
        <f>1389.9+(203-467)+(-0.708849+(-0.10353--0.23817))+0-13.4--0.00683399999999864</f>
        <v>1111.9326249999999</v>
      </c>
      <c r="N300" s="3">
        <f>1389.5+(169.9-427.8)+(2.125935+(0.259947-0.654534))+0-7.5-0.0114750000000004</f>
        <v>1125.8198729999999</v>
      </c>
      <c r="O300" s="3">
        <f>1386.9+(93.6-253.8)+(0+(0-0))+0-11.4-0</f>
        <v>1215.3</v>
      </c>
      <c r="P300" s="3">
        <f>1472.7+(75.2-258.6)+(-0.751077+(-0.038352--0.131886))+0-8.2--0.00418199999999917</f>
        <v>1280.4466389999998</v>
      </c>
      <c r="Q300" s="3">
        <f>1505.4+(83-283.3)+(-0.767754+(-0.04233--0.144483))+0-6.1--0.00311099999999938</f>
        <v>1298.3375100000003</v>
      </c>
      <c r="R300" s="3">
        <f>1482.5+(90.9-285.8)+(-3.0243+(-0.185436--0.583032))+0-4.1--0.00836399999999982</f>
        <v>1280.88166</v>
      </c>
      <c r="S300" s="3">
        <f>1420.4+(85.4-273.3)+(0.724404+(0.043554-0.139383))+0-3.9-0.0019889999999996</f>
        <v>1229.2265859999998</v>
      </c>
      <c r="T300" s="3">
        <f>1412.5+(83.2-273.3)+(-2.161125+(-0.127296--0.418149))+0-9.1--0.0139230000000005</f>
        <v>1211.443651</v>
      </c>
      <c r="U300" s="3">
        <f>1428.2+(121.6-291.3)+(-0.728382+(-0.062016--0.148563))+0-6.9--0.0035189999999993</f>
        <v>1250.9616840000001</v>
      </c>
      <c r="V300" s="3">
        <f>1432.9+(84.7-266.6)+(-1.461558+(-0.086394--0.271932))+0-5.7--0.00581400000000091</f>
        <v>1244.029794</v>
      </c>
      <c r="W300" s="3">
        <f>1515.1+(126.9-213.1)+(1.545402+(0.129438-0.217362))+0-10.3-0.0105060000000016</f>
        <v>1420.0469719999999</v>
      </c>
      <c r="X300" s="3">
        <f>1628+(276.6-239.3)+(-3.32112+(-0.564264--0.488172))+0-26.3--0.0536519999999989</f>
        <v>1635.65644</v>
      </c>
      <c r="Y300" s="3">
        <f>1638.8+(278.4-260.2)+(-3.343152+(-0.567936--0.530808))+0-27.6--0.0563039999999988</f>
        <v>1626.076024</v>
      </c>
      <c r="Z300" s="3">
        <f>1657.9+(271.8-287)+(0+(0-0))+0-28.2-0</f>
        <v>1614.5</v>
      </c>
      <c r="AA300" s="3">
        <f>1643.9+(267.4-305)+(-0.838389+(-0.136374--0.15555))+0-28.6--0.0145859999999971</f>
        <v>1576.8953730000003</v>
      </c>
      <c r="AB300" s="3">
        <f>1644.1+(116.1-212.4)+(-0.838491+(-0.059211--0.108324))+0-28.5--0.0145349999999971</f>
        <v>1518.525157</v>
      </c>
      <c r="AC300" s="3">
        <f>1546.1+(121.5-230.7)+(-3.154044+(-0.24786--0.470628))+0-28.4--0.0579359999999988</f>
        <v>1405.6266599999997</v>
      </c>
      <c r="AD300">
        <v>1627.1000000000001</v>
      </c>
      <c r="AE300" s="3">
        <f>1619+(295.1-257)+(0+(0-0))+0-28.2-0</f>
        <v>1628.8999999999999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1350.3+(183.2-313.7)+(-2.754612+(-0.373728--0.639948))+0-28.7--0.0585479999999987</f>
        <v>1188.6701559999999</v>
      </c>
      <c r="G301" s="3">
        <f>1302.5+(203.9-354.1)+(-1.992825+(-0.311967--0.541773))+0-28.2--0.0431460000000016</f>
        <v>1122.3801269999999</v>
      </c>
      <c r="H301" s="3">
        <f>1333.4+(197.8-420.6)+(-0.680034+(-0.100878--0.214506))+0-28.1--0.0143309999999971</f>
        <v>1081.9479250000004</v>
      </c>
      <c r="I301" s="3">
        <f>1332.9+(203-439.7)+(-2.719116+(-0.41412--0.896988))+0-27.9--0.0569159999999988</f>
        <v>1066.120668</v>
      </c>
      <c r="J301" s="3">
        <f>1316.4+(211.3-425.5)+(-2.014092+(-0.323289--0.651015))+0-27.7--0.0423810000000016</f>
        <v>1072.8560150000001</v>
      </c>
      <c r="K301" s="3">
        <f>1324+(216.4-482.4)+(0.67524+(0.110364-0.246024))+0-28.1-0.0143309999999971</f>
        <v>1030.4252489999999</v>
      </c>
      <c r="L301" s="3">
        <f>1501.8+(214.7-530.3)+(-1.531836+(-0.218994--0.540906))+0-28--0.0285600000000045</f>
        <v>1157.018636</v>
      </c>
      <c r="M301" s="3">
        <f>1648.3+(194.5-551.2)+(0.840633+(0.099195-0.281112))+0-29.8-0.015197999999997</f>
        <v>1262.4435179999998</v>
      </c>
      <c r="N301" s="3">
        <f>1646.3+(192.3-444.3)+(0+(0-0))+0-30.7-0</f>
        <v>1363.6</v>
      </c>
      <c r="O301" s="3">
        <f>1644.5+(169.7-281.4)+(0.838695+(0.086547-0.143514))+0-31.2-0.0159119999999968</f>
        <v>1502.3658159999998</v>
      </c>
      <c r="P301" s="3">
        <f>1666.7+(182.7-239.1)+(0+(0-0))+0-31.2-0</f>
        <v>1579.1</v>
      </c>
      <c r="Q301" s="3">
        <f>1660.8+(194.8-220.4)+(-3.388032+(-0.397392--0.449616))+0-31.1--0.0634439999999986</f>
        <v>1600.827636</v>
      </c>
      <c r="R301" s="3">
        <f>1651.5+(165.3-214.1)+(-3.36906+(-0.337212--0.436764))+0-29.4--0.0599759999999987</f>
        <v>1570.0904679999999</v>
      </c>
      <c r="S301" s="3">
        <f>1555.6+(183.7-182.4)+(-3.173424+(-0.374748--0.372096))+0-28.4--0.0579359999999988</f>
        <v>1525.3818599999997</v>
      </c>
      <c r="T301" s="3">
        <f>1557.8+(150.8-187)+(0.794478+(0.076908-0.09537))+0-29.5-0.015044999999997</f>
        <v>1492.8609709999998</v>
      </c>
      <c r="U301" s="3">
        <f>1555.2+(144.8-170.6)+(-0.793152+(-0.073848--0.087006))+0-30.7--0.0156569999999969</f>
        <v>1497.935663</v>
      </c>
      <c r="V301" s="3">
        <f>1617.6+(146.3-234)+(-0.824976+(-0.074613--0.11934))+0-29.9--0.015248999999997</f>
        <v>1499.2349999999999</v>
      </c>
      <c r="W301" s="3">
        <f>1665.4+(207.6-190.8)+(2.548062+(0.317628-0.291924))+0-29.8-0.0455940000000017</f>
        <v>1654.9281720000001</v>
      </c>
      <c r="X301" s="3">
        <f>1697.7+(378.6-201.2)+(0+(0-0))+0-30-0</f>
        <v>1845.1000000000001</v>
      </c>
      <c r="Y301" s="3">
        <f>1700.5+(356.7-208.3)+(-2.601765+(-0.545751--0.318699))+0-29.7--0.0454410000000017</f>
        <v>1816.416624</v>
      </c>
      <c r="Z301" s="3">
        <f>1697.6+(325.1-232.3)+(0.865776+(0.165801-0.118473))+0-28.4-0.0144839999999971</f>
        <v>1762.8986199999997</v>
      </c>
      <c r="AA301" s="3">
        <f>1695.3+(288.5-249.6)+(-3.458412+(-0.58854--0.509184))+0-28.4--0.0579359999999988</f>
        <v>1702.320168</v>
      </c>
      <c r="AB301" s="3">
        <f>1696.7+(159.7-212)+(-0.865317+(-0.081447--0.10812))+0-28.3--0.0144329999999971</f>
        <v>1615.2757890000003</v>
      </c>
      <c r="AC301" s="3">
        <f>1675.6+(121-281.5)+(-4.27278+(-0.30855--0.717825))+0-28.2--0.0719099999999959</f>
        <v>1483.1084049999997</v>
      </c>
      <c r="AD301">
        <v>1848.4999999999998</v>
      </c>
      <c r="AE301" s="3">
        <f>1693+(379.7-196.1)+(0+(0-0))+0-29.9-0</f>
        <v>1846.6999999999998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1603.3+(182.7-431.1)+(0+(0-0))+0-28-0</f>
        <v>1326.8999999999999</v>
      </c>
      <c r="G302" s="3">
        <f>1520.1+(196.6-466.6)+(-1.550502+(-0.200532--0.475932))+0-28.1--0.0286620000000045</f>
        <v>1220.7535599999999</v>
      </c>
      <c r="H302" s="3">
        <f>1524+(199.1-527.9)+(-0.77724+(-0.101541--0.269229))+0-25.3--0.0129029999999974</f>
        <v>1169.3033510000002</v>
      </c>
      <c r="I302" s="3">
        <f>1568.5+(210-607.6)+(2.399805+(0.3213-0.929628))+0-20.2-0.0309060000000012</f>
        <v>1152.4605710000001</v>
      </c>
      <c r="J302" s="3">
        <f>1587.9+(220.2-638.7)+(-0.809829+(-0.112302--0.325737))+0-19.9--0.010148999999998</f>
        <v>1148.913755</v>
      </c>
      <c r="K302" s="3">
        <f>1596.9+(224.4-625.7)+(0+(0-0))+0-26.2-0</f>
        <v>1169.3999999999999</v>
      </c>
      <c r="L302" s="3">
        <f>1610.9+(205.7-561.2)+(0.821559+(0.104907-0.286212))+0-27.3-0.0139229999999972</f>
        <v>1228.7263310000001</v>
      </c>
      <c r="M302" s="3">
        <f>1608.9+(187-449.1)+(-0.820539+(-0.09537--0.229041))+0-29.2--0.014891999999997</f>
        <v>1316.9280240000001</v>
      </c>
      <c r="N302" s="3">
        <f>1627.5+(100.4-279.6)+(0+(0-0))+0-30.2-0</f>
        <v>1418.1</v>
      </c>
      <c r="O302" s="3">
        <f>1644.9+(116.2-203.2)+(-0.838899+(-0.059262--0.103632))+0-30.7--0.0156569999999969</f>
        <v>1526.421128</v>
      </c>
      <c r="P302" s="3">
        <f>1643.4+(160.2-193.7)+(-2.514402+(-0.245106--0.296361))+0-30.5--0.0466650000000018</f>
        <v>1576.9835180000002</v>
      </c>
      <c r="Q302" s="3">
        <f>1637.3+(189.7-190.8)+(-3.340092+(-0.386988--0.389232))+0-30.9--0.0630359999999986</f>
        <v>1602.0251879999998</v>
      </c>
      <c r="R302" s="3">
        <f>1642.3+(178.8-199.6)+(-1.675146+(-0.182376--0.203592))+0-29.1--0.0296820000000046</f>
        <v>1590.7757520000002</v>
      </c>
      <c r="S302" s="3">
        <f>1639.9+(144.5-203.5)+(0+(0-0))+0-28.7-0</f>
        <v>1552.2</v>
      </c>
      <c r="T302" s="3">
        <f>1642.7+(117.9-207.2)+(-0.837777+(-0.060129--0.105672))+0-29.4--0.014993999999997</f>
        <v>1523.2227599999999</v>
      </c>
      <c r="U302" s="3">
        <f>1644+(114.1-198.5)+(0.83844+(0.058191-0.101235))+0-29.6-0.015095999999997</f>
        <v>1530.7802999999999</v>
      </c>
      <c r="V302" s="3">
        <f>1667.6+(115.9-209.1)+(0.850476+(0.059109-0.106641))+0-30-0.015299999999997</f>
        <v>1545.1876439999999</v>
      </c>
      <c r="W302" s="3">
        <f>1688.5+(221.8-197.5)+(0.861135+(0.113118-0.100725))+0-29.6-0.015095999999997</f>
        <v>1684.058432</v>
      </c>
      <c r="X302" s="3">
        <f>1712.1+(387.6-208.6)+(-3.492684+(-0.790704--0.425544))+0-30.3--0.0618119999999987</f>
        <v>1857.0039679999998</v>
      </c>
      <c r="Y302" s="3">
        <f>1715.7+(362.3-213.5)+(-0.875007+(-0.184773--0.108885))+0-30.1--0.0153509999999969</f>
        <v>1833.4644560000002</v>
      </c>
      <c r="Z302" s="3">
        <f>1717.8+(322.5-227.8)+(-2.628234+(-0.493425--0.348534))+0-30.2--0.0462060000000017</f>
        <v>1779.573081</v>
      </c>
      <c r="AA302" s="3">
        <f>1717.5+(289.3-265.6)+(-2.627775+(-0.442629--0.406368))+0-29.9--0.0457470000000017</f>
        <v>1708.681711</v>
      </c>
      <c r="AB302" s="3">
        <f>1711.5+(172.3-198.9)+(-2.618595+(-0.263619--0.304317))+0-28.3--0.0432990000000016</f>
        <v>1654.0654020000002</v>
      </c>
      <c r="AC302" s="3">
        <f>1709.2+(127.6-279.1)+(-2.615076+(-0.195228--0.427023))+0-28.1--0.0429930000000016</f>
        <v>1527.2597120000003</v>
      </c>
      <c r="AD302">
        <v>1868.6000000000001</v>
      </c>
      <c r="AE302" s="3">
        <f>1719+(389.3-209.3)+(0+(0-0))+0-30.4-0</f>
        <v>1868.6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1671.6+(177.6-442.8)+(-2.557548+(-0.271728--0.677484))+0-27.8--0.0425340000000016</f>
        <v>1376.490742</v>
      </c>
      <c r="G303" s="3">
        <f>1542.8+(192.9-452.6)+(-1.573656+(-0.196758--0.461652))+0-28--0.0285600000000045</f>
        <v>1253.819798</v>
      </c>
      <c r="H303" s="3">
        <f>1523+(203.5-499.1)+(0.77673+(0.103785-0.254541))+0-28.2-0.0143819999999971</f>
        <v>1199.811592</v>
      </c>
      <c r="I303" s="3">
        <f>1423.5+(204.4-423.7)+(-2.177955+(-0.312732--0.648261))+0-28--0.0428400000000016</f>
        <v>1174.4004140000002</v>
      </c>
      <c r="J303" s="3">
        <f>1418.1+(204.3-421.2)+(1.446462+(0.208386-0.429624))+0-27.9-0.0284580000000044</f>
        <v>1174.4967659999998</v>
      </c>
      <c r="K303" s="3">
        <f>1432.3+(214.3-431.4)+(2.191419+(0.327879-0.660042))+0-28.2-0.0431460000000016</f>
        <v>1188.81611</v>
      </c>
      <c r="L303" s="3">
        <f>1481.7+(220.1-420.3)+(1.511334+(0.224502-0.428706))+0-28.3-0.0288660000000045</f>
        <v>1254.4782639999999</v>
      </c>
      <c r="M303" s="3">
        <f>1490+(180.2-292.4)+(0+(0-0))+0-29.8-0</f>
        <v>1348</v>
      </c>
      <c r="N303" s="3">
        <f>1513.7+(174.9-218)+(0+(0-0))+0-30.4-0</f>
        <v>1440.2</v>
      </c>
      <c r="O303" s="3">
        <f>1609.3+(150.1-194.2)+(-0.820743+(-0.076551--0.099042))+0-30.9--0.0157589999999969</f>
        <v>1533.5175069999998</v>
      </c>
      <c r="P303" s="3">
        <f>1605.7+(208.4-182.9)+(-1.637814+(-0.212568--0.186558))+0-31--0.0316200000000049</f>
        <v>1598.567796</v>
      </c>
      <c r="Q303" s="3">
        <f>1546.2+(280.9-171.7)+(-0.788562+(-0.143259--0.087567))+0-30.6--0.0156059999999969</f>
        <v>1623.971352</v>
      </c>
      <c r="R303" s="3">
        <f>1395.1+(383.9-160.8)+(-2.134503+(-0.587367--0.246024))+0-29--0.0443700000000017</f>
        <v>1586.7685239999998</v>
      </c>
      <c r="S303" s="3">
        <f>1471.5+(268.6-154.8)+(-0.750465+(-0.136986--0.078948))+0-28.4--0.0144839999999971</f>
        <v>1556.1059809999999</v>
      </c>
      <c r="T303" s="3">
        <f>1525.5+(185.2-154.7)+(-0.778005+(-0.094452--0.078897))+0-28.3--0.0144329999999971</f>
        <v>1526.920873</v>
      </c>
      <c r="U303" s="3">
        <f>1597.8+(135.5-179)+(-1.629756+(-0.13821--0.18258))+0-28.8--0.0293760000000046</f>
        <v>1523.94399</v>
      </c>
      <c r="V303" s="3">
        <f>1667.1+(118.1-204.3)+(1.700442+(0.120462-0.208386))+0-30.3-0.0309060000000048</f>
        <v>1552.1816119999999</v>
      </c>
      <c r="W303" s="3">
        <f>1680.6+(233-184.2)+(0.857106+(0.11883-0.093942))+0-29.5-0.015044999999997</f>
        <v>1700.7669489999998</v>
      </c>
      <c r="X303" s="3">
        <f>1688.1+(412.1-194)+(-1.721862+(-0.420342--0.19788))+0-30.3--0.0309060000000048</f>
        <v>1873.9865819999998</v>
      </c>
      <c r="Y303" s="3">
        <f>1685.5+(379.2-191.3)+(-3.43842+(-0.773568--0.390252))+0-30.4--0.0620159999999987</f>
        <v>1839.24028</v>
      </c>
      <c r="Z303" s="3">
        <f>1691.5+(338.5-213.9)+(-2.587995+(-0.517905--0.327267))+0-30.2--0.0462060000000017</f>
        <v>1783.1675729999999</v>
      </c>
      <c r="AA303" s="3">
        <f>1690.5+(304.4-235.3)+(-1.72431+(-0.310488--0.240006))+0-29.9--0.0304980000000048</f>
        <v>1727.935706</v>
      </c>
      <c r="AB303" s="3">
        <f>1691.5+(161.9-197.7)+(-2.587995+(-0.247707--0.302481))+0-28.2--0.0431460000000016</f>
        <v>1625.0099250000001</v>
      </c>
      <c r="AC303" s="3">
        <f>1683.9+(114.6-259.9)+(-3.435156+(-0.233784--0.530196))+0-28.1--0.0573239999999988</f>
        <v>1507.4185800000002</v>
      </c>
      <c r="AD303">
        <v>1882.1000000000001</v>
      </c>
      <c r="AE303" s="3">
        <f>1691+(412-195.5)+(0+(0-0))+0-30-0</f>
        <v>1877.5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1647.9+(178.1-449.4)+(-2.521287+(-0.272493--0.687582))+0-28.1--0.0429930000000016</f>
        <v>1346.4367950000003</v>
      </c>
      <c r="G304" s="3">
        <f>1580.4+(190.4-507.4)+(-0.806004+(-0.097104--0.258774))+0-27.9--0.0142289999999972</f>
        <v>1234.8698949999998</v>
      </c>
      <c r="H304" s="3">
        <f>1581.3+(201.6-561)+(1.612926+(0.205632-0.57222))+0-27.7-0.0282540000000044</f>
        <v>1195.4180839999999</v>
      </c>
      <c r="I304" s="3">
        <f>1573.4+(206.9-564.7)+(1.604868+(0.211038-0.575994))+0-27.9-0.0284580000000044</f>
        <v>1188.9114539999998</v>
      </c>
      <c r="J304" s="3">
        <f>1569.3+(215-567.1)+(-1.600686+(-0.2193--0.578442))+0-28--0.0285600000000045</f>
        <v>1187.9870159999998</v>
      </c>
      <c r="K304" s="3">
        <f>1570.9+(223.9-566.9)+(-0.801159+(-0.114189--0.289119))+0-28.4--0.0144839999999971</f>
        <v>1198.8882550000001</v>
      </c>
      <c r="L304" s="3">
        <f>1569.3+(215.6-485.3)+(-2.401029+(-0.329868--0.742509))+0-27.9--0.0426870000000016</f>
        <v>1269.7542989999999</v>
      </c>
      <c r="M304" s="3">
        <f>1572.4+(196.4-376)+(-2.405772+(-0.300492--0.57528))+0-29--0.0443700000000017</f>
        <v>1361.7133860000004</v>
      </c>
      <c r="N304" s="3">
        <f>1635.6+(128.6-258.9)+(0.834156+(0.065586-0.132039))+0-30.4-0.0155039999999969</f>
        <v>1475.6521989999999</v>
      </c>
      <c r="O304" s="3">
        <f>1665.4+(114.3-197.9)+(-1.698708+(-0.116586--0.201858))+0-31.3--0.031926000000005</f>
        <v>1548.9184900000002</v>
      </c>
      <c r="P304" s="3">
        <f>1667.6+(158.8-187.5)+(0.850476+(0.080988-0.095625))+0-31-0.0158099999999969</f>
        <v>1608.7200289999998</v>
      </c>
      <c r="Q304" s="3">
        <f>1658.5+(196.9-181.2)+(-1.69167+(-0.200838--0.184824))+0-26.9--0.0274380000000043</f>
        <v>1645.6197540000001</v>
      </c>
      <c r="R304" s="3">
        <f>1664.3+(155.7-166.9)+(-0.848793+(-0.079407--0.085119))+0-9.3--0.00474299999999906</f>
        <v>1642.9616619999999</v>
      </c>
      <c r="S304" s="3">
        <f>1671.4+(122.9-177.3)+(-0.852414+(-0.062679--0.090423))+0-4.6--0.00234599999999953</f>
        <v>1611.5776760000001</v>
      </c>
      <c r="T304" s="3">
        <f>1663.8+(102.6-188.6)+(-0.848538+(-0.052326--0.096186))+0-7.6--0.00387599999999923</f>
        <v>1569.3991980000001</v>
      </c>
      <c r="U304" s="3">
        <f>1635.5+(117.3-174.6)+(0+(0-0))+0-23.3-0</f>
        <v>1554.9</v>
      </c>
      <c r="V304" s="3">
        <f>1696.7+(101.7-189.6)+(0+(0-0))+0-30.1-0</f>
        <v>1578.7</v>
      </c>
      <c r="W304" s="3">
        <f>1888.5+(100.2-232.5)+(0.963135+(0.051102-0.118575))+0-29.5-0.015044999999997</f>
        <v>1727.5806169999998</v>
      </c>
      <c r="X304" s="3">
        <f>1934.1+(242.2-274.2)+(-3.945564+(-0.494088--0.559368))+0-28.4--0.0579359999999988</f>
        <v>1869.8776519999997</v>
      </c>
      <c r="Y304" s="3">
        <f>1941.6+(231.5-303.3)+(-3.960864+(-0.47226--0.618732))+0-28.8--0.0587519999999987</f>
        <v>1837.2443599999999</v>
      </c>
      <c r="Z304" s="3">
        <f>1947+(247-387)+(0+(0-0))+0-28.6-0</f>
        <v>1778.4</v>
      </c>
      <c r="AA304" s="3">
        <f>1916.1+(276.9-426.3)+(-5.863266+(-0.847314--1.304478))+0-28.4--0.0869040000000033</f>
        <v>1732.9808019999998</v>
      </c>
      <c r="AB304" s="3">
        <f>1797.1+(109.7-224.3)+(-2.749563+(-0.167841--0.343179))+0-28.6--0.0437580000000017</f>
        <v>1651.369533</v>
      </c>
      <c r="AC304" s="3">
        <f>1707.5+(119.6-263.6)+(-6.9666+(-0.487968--1.075488))+0-28.6--0.116687999999998</f>
        <v>1528.6376080000002</v>
      </c>
      <c r="AD304">
        <v>1867.8000000000002</v>
      </c>
      <c r="AE304" s="3">
        <f>1937+(239.8-280.5)+(0+(0-0))+0-28.5-0</f>
        <v>1867.8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1641.4+(194.7-422.1)+(-3.348456+(-0.397188--0.861084))+0-27.8--0.0567119999999988</f>
        <v>1383.3721520000001</v>
      </c>
      <c r="G305" s="3">
        <f>1643.8+(230.7-576.6)+(-3.353352+(-0.470628--1.176264))+0-28--0.0571199999999988</f>
        <v>1267.3094039999999</v>
      </c>
      <c r="H305" s="3">
        <f>1625.9+(233.1-625.1)+(-4.975254+(-0.713286--1.912806))+0-27.9--0.0853740000000032</f>
        <v>1202.3096399999999</v>
      </c>
      <c r="I305" s="3">
        <f>1559.1+(238.8-590.9)+(0+(0-0))+0-28-0</f>
        <v>1179</v>
      </c>
      <c r="J305" s="3">
        <f>1534.8+(240-574.7)+(1.565496+(0.2448-0.586194))+0-28.2-0.0287640000000045</f>
        <v>1173.0953379999999</v>
      </c>
      <c r="K305" s="3">
        <f>1532.2+(240-564.2)+(0+(0-0))+0-28.4-0</f>
        <v>1179.5999999999999</v>
      </c>
      <c r="L305" s="3">
        <f>1533.3+(254.9-532.5)+(-0.781983+(-0.129999--0.271575))+0-28--0.0142799999999972</f>
        <v>1227.0738729999998</v>
      </c>
      <c r="M305" s="3">
        <f>1566.3+(204.5-449.5)+(0+(0-0))+0-29.8-0</f>
        <v>1291.5</v>
      </c>
      <c r="N305" s="3">
        <f>1743+(89.6-400.8)+(1.77786+(0.091392-0.408816))+0-25.8-0.0263160000000041</f>
        <v>1407.4341200000001</v>
      </c>
      <c r="O305" s="3">
        <f>1791.2+(40.3-297.2)+(1.827024+(0.041106-0.303144))+0-14.9-0.0151980000000024</f>
        <v>1520.9497880000001</v>
      </c>
      <c r="P305" s="3">
        <f>1802+(80.7-262)+(2.75706+(0.123471-0.40086))+0-9.4-0.0143820000000005</f>
        <v>1613.7652889999999</v>
      </c>
      <c r="Q305" s="3">
        <f>1797.7+(107-244.2)+(0.916827+(0.05457-0.124542))+0-27.2-0.0138719999999972</f>
        <v>1634.132983</v>
      </c>
      <c r="R305" s="3">
        <f>1790.9+(97.6-250)+(-3.653436+(-0.199104--0.51))+0-28.3--0.0577319999999988</f>
        <v>1606.9151919999999</v>
      </c>
      <c r="S305" s="3">
        <f>1790.5+(56.4-274.3)+(-1.82631+(-0.057528--0.279786))+0-27.5--0.0280500000000044</f>
        <v>1543.5239979999999</v>
      </c>
      <c r="T305" s="3">
        <f>1831.2+(25.1-318.4)+(0+(0-0))+0-28.8-0</f>
        <v>1509.1000000000001</v>
      </c>
      <c r="U305" s="3">
        <f>1971.9+(19.9-450.7)+(0+(0-0))+0-29.6-0</f>
        <v>1511.5000000000002</v>
      </c>
      <c r="V305" s="3">
        <f>2089.3+(35.7-551.7)+(-3.196629+(-0.054621--0.844101))+0-29.5--0.0451350000000017</f>
        <v>1541.4379860000004</v>
      </c>
      <c r="W305" s="3">
        <f>2304.8+(103.1-692.7)+(3.526344+(0.157743-1.059831))+0-30.1-0.0460530000000017</f>
        <v>1687.6782030000004</v>
      </c>
      <c r="X305" s="3">
        <f>2321.7+(239-702.3)+(-2.368134+(-0.24378--0.716346))+0-29.8--0.0303960000000048</f>
        <v>1826.7348280000001</v>
      </c>
      <c r="Y305" s="3">
        <f>2318.1+(245-730.6)+(-4.728924+(-0.4998--1.490424))+0-29.2--0.0595679999999987</f>
        <v>1799.6212679999999</v>
      </c>
      <c r="Z305" s="3">
        <f>2313.4+(251.3-784.7)+(-5.89917+(-0.640815--2.000985))+0-29.3--0.0747149999999958</f>
        <v>1746.235715</v>
      </c>
      <c r="AA305" s="3">
        <f>2299.3+(250.5-824.9)+(-3.517929+(-0.383265--1.262097))+0-29.3--0.0448290000000017</f>
        <v>1693.0057320000001</v>
      </c>
      <c r="AB305" s="3">
        <f>2244.8+(24.6-596.9)+(-1.144848+(-0.012546--0.304419))+0-28.4--0.0144839999999971</f>
        <v>1643.2615090000002</v>
      </c>
      <c r="AC305" s="3">
        <f>1878.4+(64.2-383.9)+(-1.915968+(-0.065484--0.391578))+0-28.4--0.0289680000000045</f>
        <v>1528.739094</v>
      </c>
      <c r="AD305">
        <v>1797.3000000000002</v>
      </c>
      <c r="AE305" s="3">
        <f>2323+(243.1-718.9)+(0+(0-0))+0-30.5-0</f>
        <v>1816.7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1380.5+(189.7-325.1)+(-1.40811+(-0.193494--0.331602))+0-28.2--0.0287640000000045</f>
        <v>1215.6587619999998</v>
      </c>
      <c r="G306" s="3">
        <f>1240.3+(243.4-246.4)+(0+(0-0))+0-28.3-0</f>
        <v>1209</v>
      </c>
      <c r="H306" s="3">
        <f>1221.2+(246-281.3)+(0.622812+(0.12546-0.143463))+0-28.2-0.0143819999999971</f>
        <v>1158.2904269999999</v>
      </c>
      <c r="I306" s="3">
        <f>1221+(245-294.7)+(1.24542+(0.2499-0.300594))+0-28.3-0.0288660000000045</f>
        <v>1144.1658599999998</v>
      </c>
      <c r="J306" s="3">
        <f>1210.1+(246.1-294.4)+(0+(0-0))+0-28.3-0</f>
        <v>1133.5</v>
      </c>
      <c r="K306" s="3">
        <f>1193.8+(245.6-279.9)+(0+(0-0))+0-28.3-0</f>
        <v>1131.2</v>
      </c>
      <c r="L306" s="3">
        <f>1317.9+(235.2-358.6)+(0+(0-0))+0-28.2-0</f>
        <v>1166.3</v>
      </c>
      <c r="M306" s="3">
        <f>1350+(184.3-337.4)+(-2.0655+(-0.281979--0.516222))+0-28.4--0.0434520000000016</f>
        <v>1166.7121949999998</v>
      </c>
      <c r="N306" s="3">
        <f>1348+(124-256.9)+(1.37496+(0.12648-0.262038))+0-29.3-0.0298860000000047</f>
        <v>1187.0095159999998</v>
      </c>
      <c r="O306" s="3">
        <f>1354.2+(137.9-190.9)+(-0.690642+(-0.070329--0.097359))+0-30.3--0.0154529999999969</f>
        <v>1270.251841</v>
      </c>
      <c r="P306" s="3">
        <f>1351.4+(211.8-179.3)+(-0.689214+(-0.108018--0.091443))+0-30.8--0.0157079999999969</f>
        <v>1352.4099189999999</v>
      </c>
      <c r="Q306" s="3">
        <f>1368.8+(228.9-159.6)+(-0.698088+(-0.116739--0.081396))+0-30.5--0.0155549999999969</f>
        <v>1406.8821239999997</v>
      </c>
      <c r="R306" s="3">
        <f>1370.6+(237.8-178.6)+(-2.097018+(-0.363834--0.273258))+0-28.3--0.0432990000000016</f>
        <v>1399.3557049999999</v>
      </c>
      <c r="S306" s="3">
        <f>1369.3+(221.2-198.8)+(-2.793372+(-0.451248--0.405552))+0-27.9--0.0569159999999988</f>
        <v>1361.0178479999997</v>
      </c>
      <c r="T306" s="3">
        <f>1288.3+(274.2-195.8)+(-1.971099+(-0.419526--0.299574))+0-28.6--0.0437580000000017</f>
        <v>1336.0527069999998</v>
      </c>
      <c r="U306" s="3">
        <f>1273.6+(249.6-190.5)+(0+(0-0))+0-29.5-0</f>
        <v>1303.1999999999998</v>
      </c>
      <c r="V306" s="3">
        <f>1277.5+(269.7-191.3)+(0+(0-0))+0-30.4-0</f>
        <v>1325.5</v>
      </c>
      <c r="W306" s="3">
        <f>1347.9+(326.7-178.7)+(-0.687429+(-0.166617--0.091137))+0-29.8--0.015197999999997</f>
        <v>1465.3522890000002</v>
      </c>
      <c r="X306" s="3">
        <f>1377.7+(495.7-197.5)+(0+(0-0))+0-30.1-0</f>
        <v>1645.8000000000002</v>
      </c>
      <c r="Y306" s="3">
        <f>1373.2+(503.7-200.4)+(-2.801328+(-1.027548--0.408816))+0-30.1--0.0614039999999987</f>
        <v>1643.0413440000002</v>
      </c>
      <c r="Z306" s="3">
        <f>1372.9+(482.6-203.6)+(-1.400358+(-0.492252--0.207672))+0-29.7--0.0302940000000047</f>
        <v>1620.5453559999999</v>
      </c>
      <c r="AA306" s="3">
        <f>1376+(458.5-205.8)+(-0.70176+(-0.233835--0.104958))+0-29.2--0.014891999999997</f>
        <v>1598.6842549999999</v>
      </c>
      <c r="AB306" s="3">
        <f>1371.2+(387.7-191.1)+(-3.49656+(-0.988635--0.487305))+0-28.2--0.0719099999999959</f>
        <v>1535.6740199999997</v>
      </c>
      <c r="AC306" s="3">
        <f>1370.6+(296.2-206.8)+(-2.796024+(-0.604248--0.421872))+0-28.1--0.0573239999999988</f>
        <v>1428.9789240000002</v>
      </c>
      <c r="AD306">
        <v>1648.6000000000001</v>
      </c>
      <c r="AE306" s="3">
        <f>1381+(514.1-199.8)+(0+(0-0))+0-30.3-0</f>
        <v>1665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1348.5+(291.7-313.9)+(-1.37547+(-0.297534--0.320178))+0-27.9--0.0284580000000044</f>
        <v>1297.0756319999998</v>
      </c>
      <c r="G307" s="3">
        <f>1347.3+(287.3-423.5)+(-0.687123+(-0.146523--0.215985))+0-28--0.0142799999999972</f>
        <v>1182.496619</v>
      </c>
      <c r="H307" s="3">
        <f>1254.4+(297.3-386.9)+(-2.558976+(-0.606492--0.789276))+0-28.4--0.0579359999999988</f>
        <v>1134.0817440000001</v>
      </c>
      <c r="I307" s="3">
        <f>1201.8+(299.6-355.7)+(0.612918+(0.152796-0.181407))+0-28.5-0.0145349999999971</f>
        <v>1117.7697720000001</v>
      </c>
      <c r="J307" s="3">
        <f>1203.8+(292.7-364.1)+(1.227876+(0.298554-0.371382))+0-28.3-0.0288660000000045</f>
        <v>1105.2261819999999</v>
      </c>
      <c r="K307" s="3">
        <f>1278.1+(284.1-421.6)+(1.303662+(0.289782-0.430032))+0-27.9-0.0284580000000044</f>
        <v>1113.8349539999999</v>
      </c>
      <c r="L307" s="3">
        <f>1344.8+(285.8-428.2)+(1.371696+(0.291516-0.436764))+0-28-0.0285600000000045</f>
        <v>1175.597888</v>
      </c>
      <c r="M307" s="3">
        <f>1338.4+(268.4-354.8)+(-1.365168+(-0.273768--0.361896))+0-27.9--0.0284580000000044</f>
        <v>1222.851418</v>
      </c>
      <c r="N307" s="3">
        <f>1357.9+(266.3-280.9)+(2.770116+(0.543252-0.573036))+0-28.4-0.0579359999999988</f>
        <v>1317.5823960000002</v>
      </c>
      <c r="O307" s="3">
        <f>1376.8+(269.2-184.1)+(1.404336+(0.274584-0.187782))+0-28.9-0.0294780000000046</f>
        <v>1434.4616599999999</v>
      </c>
      <c r="P307" s="3">
        <f>1516+(301-247.4)+(-2.31948+(-0.46053--0.378522))+0-29--0.0443700000000017</f>
        <v>1538.242882</v>
      </c>
      <c r="Q307" s="3">
        <f>1614.2+(312.6-296.8)+(-1.646484+(-0.318852--0.302736))+0-28.9--0.0294780000000046</f>
        <v>1599.4668779999997</v>
      </c>
      <c r="R307" s="3">
        <f>1457.4+(380.7-219.3)+(-2.229822+(-0.582471--0.335529))+0-28.6--0.0437580000000017</f>
        <v>1587.7669940000003</v>
      </c>
      <c r="S307" s="3">
        <f>1449.6+(347.9-251.6)+(0.739296+(0.177429-0.128316))+0-27.6-0.0140759999999972</f>
        <v>1519.074333</v>
      </c>
      <c r="T307" s="3">
        <f>1492.7+(317.7-286.2)+(-2.283831+(-0.486081--0.437886))+0-29.1--0.0445230000000017</f>
        <v>1492.8124970000001</v>
      </c>
      <c r="U307" s="3">
        <f>1529.6+(312.9-328.1)+(-0.780096+(-0.159579--0.167331))+0-30.1--0.0153509999999969</f>
        <v>1483.543007</v>
      </c>
      <c r="V307" s="3">
        <f>1582.9+(310.6-375.8)+(-1.614558+(-0.316812--0.383316))+0-29.8--0.0303960000000048</f>
        <v>1486.3823420000001</v>
      </c>
      <c r="W307" s="3">
        <f>1647.8+(338.3-341.5)+(2.521134+(0.517599-0.522495))+0-28.7-0.0439110000000017</f>
        <v>1618.3723269999998</v>
      </c>
      <c r="X307" s="3">
        <f>1708.2+(388.6-254.5)+(0+(0-0))+0-29.5-0</f>
        <v>1812.8000000000002</v>
      </c>
      <c r="Y307" s="3">
        <f>1708.9+(374.5-255.7)+(-2.614617+(-0.572985--0.391221))+0-30.4--0.0465120000000018</f>
        <v>1794.5501309999997</v>
      </c>
      <c r="Z307" s="3">
        <f>1709.1+(342-267.1)+(-2.614923+(-0.52326--0.408663))+0-30.3--0.0463590000000018</f>
        <v>1751.0168389999999</v>
      </c>
      <c r="AA307" s="3">
        <f>1706.6+(333.9-305.5)+(-4.35183+(-0.851445--0.779025))+0-30.2--0.0770099999999956</f>
        <v>1700.4527599999999</v>
      </c>
      <c r="AB307" s="3">
        <f>1672+(305.5-302.2)+(-4.2636+(-0.779025--0.77061))+0-29.9--0.0762449999999957</f>
        <v>1641.2042299999998</v>
      </c>
      <c r="AC307" s="3">
        <f>1563.9+(278.4-279.7)+(-0.797589+(-0.141984--0.142647))+0-30.2--0.0154019999999969</f>
        <v>1531.6184760000001</v>
      </c>
      <c r="AD307">
        <v>1801.2999999999997</v>
      </c>
      <c r="AE307" s="3">
        <f>1705+(400.1-253)+(0+(0-0))+0-30-0</f>
        <v>1822.1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1250.1+(351-219.2)+(0+(0-0))+0-29.6-0</f>
        <v>1352.3</v>
      </c>
      <c r="G308" s="3">
        <f>1234+(298-263.2)+(-0.62934+(-0.15198--0.134232))+0-28.6--0.0145859999999971</f>
        <v>1239.5674980000001</v>
      </c>
      <c r="H308" s="3">
        <f>1234+(288-312.1)+(0+(0-0))+0-27.9-0</f>
        <v>1182</v>
      </c>
      <c r="I308" s="3">
        <f>1219.3+(299.1-335.4)+(0+(0-0))+0-27.7-0</f>
        <v>1155.3</v>
      </c>
      <c r="J308" s="3">
        <f>1188.5+(297.5-312.1)+(1.21227+(0.30345-0.318342))+0-27.5-0.0280500000000044</f>
        <v>1147.5693280000003</v>
      </c>
      <c r="K308" s="3">
        <f>1186+(293.9-294.8)+(0.60486+(0.149889-0.150348))+0-27.1-0.0138209999999973</f>
        <v>1158.59058</v>
      </c>
      <c r="L308" s="3">
        <f>1248.9+(287.9-347)+(0+(0-0))+0-27.2-0</f>
        <v>1162.6000000000001</v>
      </c>
      <c r="M308" s="3">
        <f>1301+(265.5-392.3)+(-1.32702+(-0.27081--0.400146))+0-28.5--0.0290700000000045</f>
        <v>1144.5313860000001</v>
      </c>
      <c r="N308" s="3">
        <f>1361+(284.7-459.4)+(1.38822+(0.290394-0.468588))+0-29.7-0.0302940000000047</f>
        <v>1157.779732</v>
      </c>
      <c r="O308" s="3">
        <f>1608.9+(290.9-595.2)+(-2.461617+(-0.445077--0.910656))+0-30.5--0.0466650000000018</f>
        <v>1272.150627</v>
      </c>
      <c r="P308" s="3">
        <f>1621.6+(289.4-524)+(-2.481048+(-0.442782--0.80172))+0-30--0.0459000000000017</f>
        <v>1354.9237900000001</v>
      </c>
      <c r="Q308" s="3">
        <f>1581.3+(279.6-431.4)+(-4.032315+(-0.71298--1.10007))+0-29.9--0.0762449999999957</f>
        <v>1396.0310199999999</v>
      </c>
      <c r="R308" s="3">
        <f>1566.6+(305.9-423.6)+(-1.597932+(-0.312018--0.432072))+0-28.6--0.0291720000000046</f>
        <v>1418.8512940000001</v>
      </c>
      <c r="S308" s="3">
        <f>1520.9+(308-427.6)+(-0.775659+(-0.15708--0.218076))+0-28--0.0142799999999972</f>
        <v>1372.5996170000003</v>
      </c>
      <c r="T308" s="3">
        <f>1523.2+(283.2-454.4)+(-0.776832+(-0.144432--0.231744))+0-29.4--0.014993999999997</f>
        <v>1321.9254739999999</v>
      </c>
      <c r="U308" s="3">
        <f>1537.3+(281.6-470.3)+(-3.136092+(-0.574464--0.959412))+0-29.7--0.0605879999999987</f>
        <v>1316.2094439999998</v>
      </c>
      <c r="V308" s="3">
        <f>1566+(281.5-481.2)+(-0.79866+(-0.143565--0.245412))+0-29.1--0.014840999999997</f>
        <v>1336.518028</v>
      </c>
      <c r="W308" s="3">
        <f>1682.5+(303.6-464.8)+(0+(0-0))+0-28.8-0</f>
        <v>1492.5</v>
      </c>
      <c r="X308" s="3">
        <f>1686+(347.9-295.5)+(0.85986+(0.177429-0.150705))+0-29.5-0.015044999999997</f>
        <v>1709.7715390000001</v>
      </c>
      <c r="Y308" s="3">
        <f>1681.7+(349.7-296.9)+(-1.715334+(-0.356694--0.302838))+0-29.5--0.0300900000000047</f>
        <v>1703.2609</v>
      </c>
      <c r="Z308" s="3">
        <f>1658.5+(350.4-303.1)+(-1.69167+(-0.357408--0.309162))+0-29.5--0.0300900000000047</f>
        <v>1674.5901739999999</v>
      </c>
      <c r="AA308" s="3">
        <f>1624.9+(351.6-304.4)+(-2.486097+(-0.537948--0.465732))+0-28.4--0.0434520000000016</f>
        <v>1641.1851389999999</v>
      </c>
      <c r="AB308" s="3">
        <f>1624.5+(235.4-262.1)+(-2.485485+(-0.360162--0.401013))+0-27.3--0.0417690000000016</f>
        <v>1568.097135</v>
      </c>
      <c r="AC308" s="3">
        <f>1603.7+(243.7-382)+(-4.089435+(-0.621435--0.9741))+0-27.8--0.070889999999996</f>
        <v>1433.9341200000001</v>
      </c>
      <c r="AD308">
        <v>1691.5000000000002</v>
      </c>
      <c r="AE308" s="3">
        <f>1676.4+(354.1-290.4)+(0+(0-0))+0-29.8-0</f>
        <v>1710.3000000000002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1591.2+(269.1-542.9)+(-4.05756+(-0.686205--1.384395))+0-28.2--0.0719099999999959</f>
        <v>1285.91254</v>
      </c>
      <c r="G309" s="3">
        <f>1593.7+(268.9-639.6)+(-3.251148+(-0.548556--1.304784))+0-28.2--0.0575279999999988</f>
        <v>1192.3626079999999</v>
      </c>
      <c r="H309" s="3">
        <f>1601.9+(266.9-700.3)+(0.816969+(0.136119-0.357153))+0-28-0.0142799999999972</f>
        <v>1141.081655</v>
      </c>
      <c r="I309" s="3">
        <f>1601.5+(272.6-713.4)+(1.63353+(0.278052-0.727668))+0-28.1-0.0286620000000045</f>
        <v>1133.7552520000002</v>
      </c>
      <c r="J309" s="3">
        <f>1585.8+(272.4-692.9)+(0.808758+(0.138924-0.353379))+0-27.6-0.0140759999999972</f>
        <v>1138.2802270000002</v>
      </c>
      <c r="K309" s="3">
        <f>1546.2+(275.8-632.7)+(0.788562+(0.140658-0.322677))+0-27.9-0.0142289999999972</f>
        <v>1161.9923140000001</v>
      </c>
      <c r="L309" s="3">
        <f>1546+(274.7-569.9)+(0.78846+(0.140097-0.290649))+0-28.1-0.0143309999999971</f>
        <v>1223.3235769999999</v>
      </c>
      <c r="M309" s="3">
        <f>1579.6+(254-494)+(0.805596+(0.12954-0.25194))+0-29.4-0.014993999999997</f>
        <v>1310.8682019999999</v>
      </c>
      <c r="N309" s="3">
        <f>1643.5+(233.1-454.9)+(-0.838185+(-0.118881--0.231999))+0-30.1--0.0153509999999969</f>
        <v>1390.8902840000001</v>
      </c>
      <c r="O309" s="3">
        <f>1654.1+(158.1-290.1)+(2.530773+(0.241893-0.443853))+0-30.3-0.0463590000000018</f>
        <v>1494.0824540000001</v>
      </c>
      <c r="P309" s="3">
        <f>1655.5+(158-221.6)+(1.68861+(0.16116-0.226032))+0-30.9-0.0315180000000049</f>
        <v>1562.59222</v>
      </c>
      <c r="Q309" s="3">
        <f>1654.9+(183-210.8)+(1.687998+(0.18666-0.215016))+0-30.4-0.0310080000000048</f>
        <v>1598.3286340000002</v>
      </c>
      <c r="R309" s="3">
        <f>1646.6+(181.6-208.7)+(-2.519298+(-0.277848--0.319311))+0-28.2--0.0431460000000016</f>
        <v>1588.865311</v>
      </c>
      <c r="S309" s="3">
        <f>1645.9+(228.7-277.1)+(-3.357636+(-0.466548--0.565284))+0-27.6--0.0563039999999988</f>
        <v>1566.697404</v>
      </c>
      <c r="T309" s="3">
        <f>1648.1+(222.9-312.7)+(-0.840531+(-0.113679--0.159477))+0-29.5--0.015044999999997</f>
        <v>1528.0203120000001</v>
      </c>
      <c r="U309" s="3">
        <f>1648.5+(211.4-309.9)+(-2.522205+(-0.323442--0.474147))+0-30.7--0.0469710000000018</f>
        <v>1516.975471</v>
      </c>
      <c r="V309" s="3">
        <f>1692.2+(227.4-350.3)+(-1.726044+(-0.231948--0.357306))+0-30.6--0.0312120000000049</f>
        <v>1537.1305260000001</v>
      </c>
      <c r="W309" s="3">
        <f>1701.2+(271.5-285)+(0+(0-0))+0-29.3-0</f>
        <v>1658.4</v>
      </c>
      <c r="X309" s="3">
        <f>1693+(414.9-234.8)+(-3.45372+(-0.846396--0.478992))+0-29.9--0.0609959999999987</f>
        <v>1839.4398719999997</v>
      </c>
      <c r="Y309" s="3">
        <f>1696.7+(403.5-246.4)+(-4.326585+(-1.028925--0.62832))+0-30.2--0.0770099999999956</f>
        <v>1818.9498199999998</v>
      </c>
      <c r="Z309" s="3">
        <f>1688+(374.3-269.1)+(-1.72176+(-0.381786--0.274482))+0-29.6--0.0301920000000047</f>
        <v>1761.8011280000001</v>
      </c>
      <c r="AA309" s="3">
        <f>1701.9+(346.4-315.2)+(-0.867969+(-0.176664--0.160752))+0-28.9--0.0147389999999971</f>
        <v>1703.330858</v>
      </c>
      <c r="AB309" s="3">
        <f>1675.3+(189.1-199.1)+(-4.272015+(-0.482205--0.507705))+0-27.6--0.070379999999996</f>
        <v>1633.5238649999999</v>
      </c>
      <c r="AC309" s="3">
        <f>1649.8+(126.4-235.9)+(-1.682796+(-0.128928--0.240618))+0-28.3--0.0288660000000045</f>
        <v>1510.45776</v>
      </c>
      <c r="AD309">
        <v>1787.4000000000003</v>
      </c>
      <c r="AE309" s="3">
        <f>1703+(406-252.9)+(0+(0-0))+0-29.3-0</f>
        <v>1826.8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1649+(239.5-498.6)+(-4.20495+(-0.610725--1.27143))+0-28.4--0.0724199999999959</f>
        <v>1358.0281749999999</v>
      </c>
      <c r="G310" s="3">
        <f>1328.1+(271.9-340.9)+(-1.354662+(-0.277338--0.347718))+0-28--0.0285600000000045</f>
        <v>1229.8442779999998</v>
      </c>
      <c r="H310" s="3">
        <f>1314.9+(170.3-285.5)+(-3.352995+(-0.434265--0.728025))+0-28.5--0.0726749999999959</f>
        <v>1168.21344</v>
      </c>
      <c r="I310" s="3">
        <f>1316.5+(273.3-407.6)+(0+(0-0))+0-28.2-0</f>
        <v>1154</v>
      </c>
      <c r="J310" s="3">
        <f>1314.1+(269.5-410.8)+(0.670191+(0.137445-0.209508))+0-27.9-0.0142289999999972</f>
        <v>1145.4838990000001</v>
      </c>
      <c r="K310" s="3">
        <f>1314.3+(263.6-391.7)+(-0.670293+(-0.134436--0.199767))+0-28--0.0142799999999972</f>
        <v>1157.6093180000003</v>
      </c>
      <c r="L310" s="3">
        <f>1344.1+(269-403.9)+(-2.056473+(-0.41157--0.617967))+0-27.9--0.0426870000000016</f>
        <v>1179.4926109999999</v>
      </c>
      <c r="M310" s="3">
        <f>1453.7+(213.1-452.1)+(-1.482774+(-0.217362--0.461142))+0-29--0.0295800000000046</f>
        <v>1184.4905859999999</v>
      </c>
      <c r="N310" s="3">
        <f>1650.8+(208.5-592.4)+(-0.841908+(-0.106335--0.302124))+0-29.1--0.014840999999997</f>
        <v>1237.1687220000001</v>
      </c>
      <c r="O310" s="3">
        <f>1722.3+(237.5-551.9)+(-0.878373+(-0.121125--0.281469))+0-30.3--0.0154529999999969</f>
        <v>1376.8974240000002</v>
      </c>
      <c r="P310" s="3">
        <f>1784+(254.5-533.1)+(0+(0-0))+0-31.2-0</f>
        <v>1474.2</v>
      </c>
      <c r="Q310" s="3">
        <f>1681.5+(254.5-395.1)+(-0.857565+(-0.129795--0.201501))+0-30.5--0.0155549999999969</f>
        <v>1509.629696</v>
      </c>
      <c r="R310" s="3">
        <f>1679.5+(256.7-392.2)+(-1.71309+(-0.261834--0.400044))+0-27.9--0.0284580000000044</f>
        <v>1514.553578</v>
      </c>
      <c r="S310" s="3">
        <f>1680.5+(255.4-441.1)+(-3.42822+(-0.521016--0.899844))+0-27.5--0.0560999999999988</f>
        <v>1464.3067080000001</v>
      </c>
      <c r="T310" s="3">
        <f>1698.5+(256-481.2)+(-1.73247+(-0.26112--0.490824))+0-29.2--0.0297840000000047</f>
        <v>1442.6270179999999</v>
      </c>
      <c r="U310" s="3">
        <f>1702.8+(260.7-504.7)+(0.868428+(0.132957-0.257397))+0-30.2-0.0154019999999969</f>
        <v>1429.3285859999999</v>
      </c>
      <c r="V310" s="3">
        <f>1707.4+(270.3-510.8)+(0+(0-0))+0-30.1-0</f>
        <v>1436.8000000000002</v>
      </c>
      <c r="W310" s="3">
        <f>1730.3+(294.2-441)+(4.412265+(0.75021-1.12455))+0-29.1-0.0742049999999958</f>
        <v>1558.3637200000003</v>
      </c>
      <c r="X310" s="3">
        <f>1731.7+(350.9-269.1)+(-2.649501+(-0.536877--0.411723))+0-30--0.0459000000000017</f>
        <v>1780.7712450000001</v>
      </c>
      <c r="Y310" s="3">
        <f>1731+(349.5-272.9)+(-3.53124+(-0.71298--0.556716))+0-30.2--0.0616079999999987</f>
        <v>1773.7741039999999</v>
      </c>
      <c r="Z310" s="3">
        <f>1735.2+(341.2-289.6)+(-0.884952+(-0.174012--0.147696))+0-30.1--0.0153509999999969</f>
        <v>1755.804083</v>
      </c>
      <c r="AA310" s="3">
        <f>1735.7+(333.5-328.6)+(0.885207+(0.170085-0.167586))+0-29.3-0.014942999999997</f>
        <v>1712.172763</v>
      </c>
      <c r="AB310" s="3">
        <f>1735.2+(202.1-255.2)+(-1.769904+(-0.206142--0.260304))+0-27.6--0.0281520000000044</f>
        <v>1652.8124100000002</v>
      </c>
      <c r="AC310" s="3">
        <f>1732.7+(251-423.7)+(-3.534708+(-0.51204--0.864348))+0-27.6--0.0563039999999988</f>
        <v>1529.2739040000001</v>
      </c>
      <c r="AD310">
        <v>1739.9</v>
      </c>
      <c r="AE310" s="3">
        <f>1730+(347.9-269.6)+(0+(0-0))+0-30.2-0</f>
        <v>1778.1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1560.6+(306.3-466.8)+(0+(0-0))+0-28.1-0</f>
        <v>1372</v>
      </c>
      <c r="G311" s="3">
        <f>1393.6+(316.9-427.8)+(-1.421472+(-0.323238--0.436356))+0-28.5--0.0290700000000045</f>
        <v>1252.9207159999999</v>
      </c>
      <c r="H311" s="3">
        <f>1329.4+(308.4-407)+(-0.677994+(-0.157284--0.20757))+0-28.2--0.0143819999999971</f>
        <v>1201.9866740000002</v>
      </c>
      <c r="I311" s="3">
        <f>1330+(307.7-423.7)+(0.6783+(0.156927-0.216087))+0-28.3-0.0144329999999971</f>
        <v>1186.304707</v>
      </c>
      <c r="J311" s="3">
        <f>1327.6+(297.2-414.9)+(0.677076+(0.151572-0.211599))+0-28-0.0142799999999972</f>
        <v>1182.5027689999997</v>
      </c>
      <c r="K311" s="3">
        <f>1328.6+(297.1-412.8)+(1.355172+(0.303042-0.421056))+0-28.2-0.0287640000000045</f>
        <v>1185.9083939999998</v>
      </c>
      <c r="L311" s="3">
        <f>1331.5+(277.7-339)+(0.679065+(0.141627-0.17289))+0-28.5-0.0145349999999971</f>
        <v>1242.333267</v>
      </c>
      <c r="M311" s="3">
        <f>1552.8+(252.1-431)+(0+(0-0))+0-29.7-0</f>
        <v>1344.1999999999998</v>
      </c>
      <c r="N311" s="3">
        <f>1807.4+(245.6-573.9)+(1.843548+(0.250512-0.585378))+0-30.7-0.0313140000000049</f>
        <v>1449.8773679999999</v>
      </c>
      <c r="O311" s="3">
        <f>1815.6+(255-470.6)+(1.851912+(0.2601-0.480012))+0-30.9-0.0315180000000049</f>
        <v>1570.700482</v>
      </c>
      <c r="P311" s="3">
        <f>1815.4+(256.4-399.7)+(0+(0-0))+0-30.8-0</f>
        <v>1641.3000000000002</v>
      </c>
      <c r="Q311" s="3">
        <f>1823+(186.9-301.2)+(0.92973+(0.095319-0.153612))+0-30.5-0.0155549999999969</f>
        <v>1679.0558820000001</v>
      </c>
      <c r="R311" s="3">
        <f>1816.6+(116.1-257.8)+(-2.779398+(-0.177633--0.394434))+0-28.6--0.0437580000000017</f>
        <v>1643.7811609999999</v>
      </c>
      <c r="S311" s="3">
        <f>1819.8+(76.7-269.9)+(0+(0-0))+0-28-0</f>
        <v>1598.6</v>
      </c>
      <c r="T311" s="3">
        <f>1819.6+(66.4-284.4)+(1.855992+(0.067728-0.290088))+0-27.9-0.0284580000000044</f>
        <v>1575.3051739999999</v>
      </c>
      <c r="U311" s="3">
        <f>1804.5+(91.6-293.4)+(-0.920295+(-0.046716--0.149634))+0-29.6--0.015095999999997</f>
        <v>1572.2977190000001</v>
      </c>
      <c r="V311" s="3">
        <f>1815.6+(77.3-252.4)+(0+(0-0))+0-30.1-0</f>
        <v>1610.4</v>
      </c>
      <c r="W311" s="3">
        <f>1904+(91.8-236)+(0.97104+(0.046818-0.12036))+0-29.4-0.014993999999997</f>
        <v>1731.282504</v>
      </c>
      <c r="X311" s="3">
        <f>2139+(244.9-429.9)+(-2.18178+(-0.249798--0.438498))+0-30.1--0.0307020000000048</f>
        <v>1921.9376220000001</v>
      </c>
      <c r="Y311" s="3">
        <f>2134.2+(239.9-457)+(-2.176884+(-0.244698--0.46614))+0-30.1--0.0307020000000048</f>
        <v>1885.0752600000001</v>
      </c>
      <c r="Z311" s="3">
        <f>2132.1+(276-532.5)+(-2.174742+(-0.28152--0.54315))+0-30.1--0.0307020000000048</f>
        <v>1843.6175900000001</v>
      </c>
      <c r="AA311" s="3">
        <f>2106.7+(303-589.4)+(-2.148834+(-0.30906--0.601188))+0-29.9--0.0304980000000048</f>
        <v>1788.5737919999997</v>
      </c>
      <c r="AB311" s="3">
        <f>1968.6+(110.6-348.8)+(-1.003986+(-0.056406--0.177888))+0-28.4--0.0144839999999971</f>
        <v>1701.1319799999999</v>
      </c>
      <c r="AC311" s="3">
        <f>1855.5+(156.3-403.2)+(-3.78522+(-0.318852--0.822528))+0-28.5--0.0581399999999988</f>
        <v>1576.8765960000001</v>
      </c>
      <c r="AD311">
        <v>1890.1999999999998</v>
      </c>
      <c r="AE311" s="3">
        <f>2137+(255.6-432.4)+(0+(0-0))+0-30-0</f>
        <v>1930.2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1631.4+(203.3-379.8)+(0+(0-0))+0-28.4-0</f>
        <v>1426.5</v>
      </c>
      <c r="G312" s="3">
        <f>1602.1+(228.4-489.9)+(-0.817071+(-0.116484--0.249849))+0-28.4--0.0144839999999971</f>
        <v>1311.5307779999998</v>
      </c>
      <c r="H312" s="3">
        <f>1643.4+(242.9-606.1)+(0+(0-0))+0-28.4-0</f>
        <v>1251.8</v>
      </c>
      <c r="I312" s="3">
        <f>1642.7+(271.8-666.4)+(2.513331+(0.415854-1.019592))+0-28.4-0.0434520000000016</f>
        <v>1221.5661410000002</v>
      </c>
      <c r="J312" s="3">
        <f>1637.2+(264.9-669.2)+(0+(0-0))+0-28.2-0</f>
        <v>1204.7</v>
      </c>
      <c r="K312" s="3">
        <f>1623.7+(266.7-659.5)+(4.968522+(0.816102-2.01807))+0-28.5-0.0872100000000033</f>
        <v>1206.0793440000002</v>
      </c>
      <c r="L312" s="3">
        <f>1623.1+(266.1-601.9)+(0.827781+(0.135711-0.306969))+0-28.7-0.0146369999999971</f>
        <v>1259.241886</v>
      </c>
      <c r="M312" s="3">
        <f>1685.4+(170.1-490.6)+(1.719108+(0.173502-0.500412))+0-29.8-0.0303960000000048</f>
        <v>1336.461802</v>
      </c>
      <c r="N312" s="3">
        <f>1810.5+(129.7-400.5)+(3.69342+(0.264588-0.81702))+0-30.6-0.0624239999999987</f>
        <v>1512.1785640000003</v>
      </c>
      <c r="O312" s="3">
        <f>1844.1+(115.1-394.5)+(3.761964+(0.234804-0.80478))+0-31.3-0.0638519999999986</f>
        <v>1536.5281359999999</v>
      </c>
      <c r="P312" s="3">
        <f>1839.9+(112.6-309.3)+(0.938349+(0.057426-0.157743))+0-31-0.0158099999999969</f>
        <v>1613.0222220000001</v>
      </c>
      <c r="Q312" s="3">
        <f>1837.6+(94-252.4)+(0+(0-0))+0-30.4-0</f>
        <v>1648.7999999999997</v>
      </c>
      <c r="R312" s="3">
        <f>1836+(80.2-234.7)+(-4.6818+(-0.20451--0.598485))+0-28.7--0.0731849999999958</f>
        <v>1648.5853599999998</v>
      </c>
      <c r="S312" s="3">
        <f>1838.4+(67-283.4)+(-1.875168+(-0.06834--0.289068))+0-28.6--0.0291720000000046</f>
        <v>1591.7747320000001</v>
      </c>
      <c r="T312" s="3">
        <f>1839.4+(59.2-326.8)+(1.876188+(0.060384-0.333336))+0-29.7-0.0302940000000047</f>
        <v>1543.6729420000001</v>
      </c>
      <c r="U312" s="3">
        <f>1836.5+(55.4-340.5)+(0+(0-0))+0-29.6-0</f>
        <v>1521.8000000000002</v>
      </c>
      <c r="V312" s="3">
        <f>1836.5+(56.7-326.2)+(1.87323+(0.057834-0.332724))+0-30-0.0306000000000048</f>
        <v>1538.56774</v>
      </c>
      <c r="W312" s="3">
        <f>1846.2+(92.5-249.9)+(2.824686+(0.141525-0.382347))+0-30.3-0.0463590000000018</f>
        <v>1661.037505</v>
      </c>
      <c r="X312" s="3">
        <f>1860.3+(284.6-267.1)+(-0.948753+(-0.145146--0.136221))+0-30.5--0.0155549999999969</f>
        <v>1846.3578769999999</v>
      </c>
      <c r="Y312" s="3">
        <f>1857.2+(284.2-288.5)+(-1.894344+(-0.289884--0.29427))+0-29.1--0.0296820000000046</f>
        <v>1821.9397240000003</v>
      </c>
      <c r="Z312" s="3">
        <f>1858.6+(270.9-322.1)+(-1.895772+(-0.276318--0.328542))+0-28.8--0.0293760000000046</f>
        <v>1776.7858279999998</v>
      </c>
      <c r="AA312" s="3">
        <f>1857.2+(290.4-396.1)+(-0.947172+(-0.148104--0.202011))+0-28.6--0.0145859999999971</f>
        <v>1722.0213210000002</v>
      </c>
      <c r="AB312" s="3">
        <f>1848.7+(120.1-289.3)+(-7.542696+(-0.490008--1.180344))+0-28.5--0.116279999999998</f>
        <v>1644.2639199999999</v>
      </c>
      <c r="AC312" s="3">
        <f>1727.7+(173.5-349)+(-2.643381+(-0.265455--0.53397))+0-25.5--0.0390150000000015</f>
        <v>1524.364149</v>
      </c>
      <c r="AD312">
        <v>1815.7000000000003</v>
      </c>
      <c r="AE312" s="3">
        <f>1855+(288.4-256.2)+(0+(0-0))+0-30.3-0</f>
        <v>1856.9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1692.3+(224-512.1)+(0.863073+(0.11424-0.261171))+0-25.5-0.0130049999999974</f>
        <v>1379.4031369999998</v>
      </c>
      <c r="G313" s="3">
        <f>1688.3+(236.2-638.6)+(-0.861033+(-0.120462--0.325686))+0-27.6--0.0140759999999972</f>
        <v>1257.6582669999998</v>
      </c>
      <c r="H313" s="3">
        <f>1677.5+(253-718.3)+(0+(0-0))+0-27.6-0</f>
        <v>1184.6000000000001</v>
      </c>
      <c r="I313" s="3">
        <f>1636.9+(260.6-709.9)+(1.669638+(0.265812-0.724098))+0-27.3-0.0278460000000044</f>
        <v>1161.4835060000003</v>
      </c>
      <c r="J313" s="3">
        <f>1580.8+(251.3-659.1)+(-3.224832+(-0.512652--1.344564))+0-27.3--0.0556919999999988</f>
        <v>1143.3627719999999</v>
      </c>
      <c r="K313" s="3">
        <f>1596.8+(241.9-667.3)+(-2.443104+(-0.370107--1.020969))+0-27.5--0.0420750000000016</f>
        <v>1142.1498330000002</v>
      </c>
      <c r="L313" s="3">
        <f>1621.8+(242.2-673.7)+(-6.616944+(-0.988176--2.748696))+0-27.9--0.113831999999998</f>
        <v>1157.6574079999998</v>
      </c>
      <c r="M313" s="3">
        <f>1606.9+(156.7-586)+(-0.819519+(-0.079917--0.29886))+0-29--0.0147899999999971</f>
        <v>1148.014214</v>
      </c>
      <c r="N313" s="3">
        <f>1603.2+(135.1-538.6)+(0+(0-0))+0-30.5-0</f>
        <v>1169.2</v>
      </c>
      <c r="O313" s="3">
        <f>1675.1+(136.6-520.8)+(-1.708602+(-0.139332--0.531216))+0-31--0.0316200000000049</f>
        <v>1258.614902</v>
      </c>
      <c r="P313" s="3">
        <f>1682.2+(93.7-390)+(0+(0-0))+0-30.7-0</f>
        <v>1355.2</v>
      </c>
      <c r="Q313" s="3">
        <f>1685.3+(92.3-336.8)+(-1.719006+(-0.094146--0.343536))+0-30.3--0.0309060000000048</f>
        <v>1409.0612899999999</v>
      </c>
      <c r="R313" s="3">
        <f>1682.8+(101.2-350.2)+(-3.432912+(-0.206448--0.714408))+0-28.5--0.0581399999999988</f>
        <v>1402.433188</v>
      </c>
      <c r="S313" s="3">
        <f>1677.7+(75.2-371.3)+(-1.711254+(-0.076704--0.378726))+0-28.2--0.0287640000000045</f>
        <v>1352.0195319999998</v>
      </c>
      <c r="T313" s="3">
        <f>1650.2+(124-424.2)+(-3.366408+(-0.25296--0.865368))+0-29.7--0.0605879999999987</f>
        <v>1317.6065880000001</v>
      </c>
      <c r="U313" s="3">
        <f>1641.5+(129-439.8)+(-0.837165+(-0.06579--0.224298))+0-30--0.015299999999997</f>
        <v>1300.0366430000001</v>
      </c>
      <c r="V313" s="3">
        <f>1644.9+(115.1-395.9)+(-2.516697+(-0.176103--0.605727))+0-29.8--0.0455940000000017</f>
        <v>1332.2585210000002</v>
      </c>
      <c r="W313" s="3">
        <f>1690.2+(143.3-306.6)+(0.862002+(0.073083-0.156366))+0-28.7-0.0146369999999971</f>
        <v>1498.964082</v>
      </c>
      <c r="X313" s="3">
        <f>1705.9+(322.4-305.5)+(-1.740018+(-0.328848--0.31161))+0-27.7--0.0282540000000044</f>
        <v>1693.3709980000001</v>
      </c>
      <c r="Y313" s="3">
        <f>1711.6+(328.3-309.4)+(0+(0-0))+0-28.5-0</f>
        <v>1702</v>
      </c>
      <c r="Z313" s="3">
        <f>1708.9+(324.2-330.6)+(-1.743078+(-0.330684--0.337212))+0-28.7--0.0292740000000046</f>
        <v>1672.0927239999999</v>
      </c>
      <c r="AA313" s="3">
        <f>1707.7+(319.6-354.3)+(-1.741854+(-0.325992--0.361386))+0-28.3--0.0288660000000045</f>
        <v>1643.022406</v>
      </c>
      <c r="AB313" s="3">
        <f>1707.1+(196.6-292.7)+(-0.870621+(-0.100266--0.149277))+0-28.1--0.0143309999999971</f>
        <v>1582.0927210000002</v>
      </c>
      <c r="AC313" s="3">
        <f>1719.2+(173.2-404.6)+(-3.507168+(-0.353328--0.825384))+0-28.3--0.0577319999999988</f>
        <v>1456.52262</v>
      </c>
      <c r="AD313">
        <v>1639.6999999999998</v>
      </c>
      <c r="AE313" s="3">
        <f>1703+(310.7-321.7)+(0+(0-0))+0-27.5-0</f>
        <v>1664.5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1631.6+(204.1-541.6)+(-4.16058+(-0.520455--1.38108))+0-28--0.0713999999999959</f>
        <v>1262.871445</v>
      </c>
      <c r="G314" s="3">
        <f>1579.6+(239.7-572.3)+(-1.611192+(-0.244494--0.583746))+0-28.1--0.0286620000000045</f>
        <v>1217.6567219999999</v>
      </c>
      <c r="H314" s="3">
        <f>1579.7+(250.9-623.7)+(-3.222588+(-0.511836--1.272348))+0-28.5--0.0581399999999988</f>
        <v>1175.9960640000002</v>
      </c>
      <c r="I314" s="3">
        <f>1569+(250.8-638.4)+(-2.40057+(-0.383724--0.976752))+0-28.2--0.0431460000000016</f>
        <v>1151.435604</v>
      </c>
      <c r="J314" s="3">
        <f>1546.9+(249.3-629.6)+(1.577838+(0.254286-0.642192))+0-28.2-0.0287640000000045</f>
        <v>1139.5611680000002</v>
      </c>
      <c r="K314" s="3">
        <f>1549.9+(255.5-609.8)+(-1.580898+(-0.26061--0.621996))+0-28.1--0.0286620000000045</f>
        <v>1166.3091500000003</v>
      </c>
      <c r="L314" s="3">
        <f>1673.8+(249.8-662.1)+(0.853638+(0.127398-0.337671))+0-28.1-0.0143309999999971</f>
        <v>1234.0290339999999</v>
      </c>
      <c r="M314" s="3">
        <f>1766.9+(243.2-655.9)+(0.901119+(0.124032-0.334509))+0-28.6-0.0145859999999971</f>
        <v>1326.2760560000002</v>
      </c>
      <c r="N314" s="3">
        <f>1800.1+(236-576.7)+(1.836102+(0.24072-0.588234))+0-30.6-0.0312120000000049</f>
        <v>1430.2573759999998</v>
      </c>
      <c r="O314" s="3">
        <f>1799.4+(227.1-437.5)+(-0.917694+(-0.115821--0.223125))+0-31.1--0.0158609999999968</f>
        <v>1557.1054710000001</v>
      </c>
      <c r="P314" s="3">
        <f>1797.2+(179-303.1)+(-1.833144+(-0.18258--0.309162))+0-31.2--0.031824000000005</f>
        <v>1640.2252619999997</v>
      </c>
      <c r="Q314" s="3">
        <f>1748.9+(182-229)+(-1.783878+(-0.18564--0.23358))+0-30.8--0.0314160000000049</f>
        <v>1669.3954780000001</v>
      </c>
      <c r="R314" s="3">
        <f>1817.1+(121.8-244.2)+(-5.560326+(-0.372708--0.747252))+0-28.9--0.0884340000000033</f>
        <v>1660.7026519999997</v>
      </c>
      <c r="S314" s="3">
        <f>1903.7+(104.9-346.2)+(-2.912661+(-0.160497--0.529686))+0-28.2--0.0431460000000016</f>
        <v>1631.699674</v>
      </c>
      <c r="T314" s="3">
        <f>1801.7+(109.2-310.5)+(-0.918867+(-0.055692--0.158355))+0-16.3--0.00831299999999835</f>
        <v>1583.2921090000002</v>
      </c>
      <c r="U314" s="3">
        <f>1798.7+(174.6-387.3)+(-2.752011+(-0.267138--0.592569))+0-12.6--0.0192780000000007</f>
        <v>1570.992698</v>
      </c>
      <c r="V314" s="3">
        <f>1938.5+(273.1-571.6)+(0.988635+(0.139281-0.291516))+0-26.6-0.0135659999999973</f>
        <v>1614.2228339999999</v>
      </c>
      <c r="W314" s="3">
        <f>1965.2+(275.1-476.8)+(-1.002252+(-0.140301--0.243168))+0-28.6--0.0145859999999971</f>
        <v>1734.0152010000002</v>
      </c>
      <c r="X314" s="3">
        <f>2035.2+(290.3-386.4)+(2.075904+(0.296106-0.394128))+0-29.5-0.0300900000000047</f>
        <v>1911.5477920000001</v>
      </c>
      <c r="Y314" s="3">
        <f>2045.8+(307.9-438.1)+(-5.21679+(-0.785145--1.117155))+0-29.8--0.0759899999999957</f>
        <v>1880.9912099999999</v>
      </c>
      <c r="Z314" s="3">
        <f>2066.8+(302.8-510.7)+(-3.162204+(-0.463284--0.781371))+0-30.1--0.0460530000000017</f>
        <v>1826.0019360000001</v>
      </c>
      <c r="AA314" s="3">
        <f>2047.2+(303.8-547.4)+(-7.308504+(-1.084566--1.954218))+0-28.3--0.101031</f>
        <v>1768.9621790000001</v>
      </c>
      <c r="AB314" s="3">
        <f>1983.8+(170.8-426.5)+(-4.046952+(-0.348432--0.87006))+0-27.8--0.0567119999999988</f>
        <v>1696.8313880000001</v>
      </c>
      <c r="AC314" s="3">
        <f>1958.5+(160.3-529.5)+(-4.994175+(-0.408765--1.350225))+0-27.9--0.0711449999999959</f>
        <v>1557.4184299999997</v>
      </c>
      <c r="AD314">
        <v>1889.8999999999999</v>
      </c>
      <c r="AE314" s="3">
        <f>2019+(268.2-342.8)+(0+(0-0))+0-30.3-0</f>
        <v>1914.1000000000001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1903.1+(229.7-714.3)+(0+(0-0))+0-28.1-0</f>
        <v>1390.4</v>
      </c>
      <c r="G315" s="3">
        <f>1888.6+(241.8-821.3)+(-4.81593+(-0.61659--2.094315))+0-27.8--0.070889999999996</f>
        <v>1278.0326849999999</v>
      </c>
      <c r="H315" s="3">
        <f>1908.4+(246.5-890.6)+(-2.919852+(-0.377145--1.362618))+0-28.1--0.0429930000000016</f>
        <v>1234.3086140000003</v>
      </c>
      <c r="I315" s="3">
        <f>1795.2+(261-819.1)+(-3.662208+(-0.53244--1.670964))+0-28.2--0.0575279999999988</f>
        <v>1206.4338439999999</v>
      </c>
      <c r="J315" s="3">
        <f>1776.1+(274.5-825.8)+(2.717433+(0.419985-1.263474))+0-28-0.0428400000000016</f>
        <v>1198.6311039999998</v>
      </c>
      <c r="K315" s="3">
        <f>1774+(285.5-823.2)+(-0.90474+(-0.145605--0.419832))+0-28--0.0142799999999972</f>
        <v>1207.683767</v>
      </c>
      <c r="L315" s="3">
        <f>1774.2+(285.1-765.3)+(0+(0-0))+0-28.2-0</f>
        <v>1265.8</v>
      </c>
      <c r="M315" s="3">
        <f>1807.6+(279.2-713.8)+(0.921876+(0.142392-0.364038))+0-28.7-0.0146369999999971</f>
        <v>1344.9855929999999</v>
      </c>
      <c r="N315" s="3">
        <f>1926.3+(265-723.2)+(-2.947239+(-0.40545--1.106496))+0-30.3--0.0463590000000018</f>
        <v>1435.6001659999999</v>
      </c>
      <c r="O315" s="3">
        <f>2054+(229.5-698.7)+(-1.04754+(-0.117045--0.356337))+0-31--0.0158099999999969</f>
        <v>1553.007562</v>
      </c>
      <c r="P315" s="3">
        <f>2039.4+(177-557.5)+(-4.160376+(-0.36108--1.1373))+0-31--0.0632399999999986</f>
        <v>1624.579084</v>
      </c>
      <c r="Q315" s="3">
        <f>2041+(187.2-523.6)+(-3.12273+(-0.286416--0.801108))+0-30.2--0.0462060000000017</f>
        <v>1671.8381679999998</v>
      </c>
      <c r="R315" s="3">
        <f>2026.6+(177.7-520.3)+(-7.234962+(-0.634389--1.857471))+0-28.9--0.103173</f>
        <v>1649.1912929999999</v>
      </c>
      <c r="S315" s="3">
        <f>1980.1+(175.2-514.2)+(-3.029553+(-0.268056--0.786726))+0-28.4--0.0434520000000016</f>
        <v>1610.2325689999998</v>
      </c>
      <c r="T315" s="3">
        <f>1917.6+(171.9-501.2)+(-0.977976+(-0.087669--0.255612))+0-30--0.015299999999997</f>
        <v>1557.505267</v>
      </c>
      <c r="U315" s="3">
        <f>1724.2+(191.5-452.7)+(0.879342+(0.097665-0.230877))+0-29.8-0.015197999999997</f>
        <v>1433.930932</v>
      </c>
      <c r="V315" s="3">
        <f>1752.4+(242.2-396)+(-1.787448+(-0.247044--0.40392))+0-29.3--0.0298860000000047</f>
        <v>1567.6993140000002</v>
      </c>
      <c r="W315" s="3">
        <f>1831.2+(292.2-421.6)+(0+(0-0))+0-29-0</f>
        <v>1672.8</v>
      </c>
      <c r="X315" s="3">
        <f>1938.4+(329.2-357.8)+(-0.988584+(-0.167892--0.182478))+0-29.4--0.014993999999997</f>
        <v>1879.440996</v>
      </c>
      <c r="Y315" s="3">
        <f>1943.1+(324.2-371.8)+(-2.972943+(-0.496026--0.568854))+0-30--0.0459000000000017</f>
        <v>1862.6457850000002</v>
      </c>
      <c r="Z315" s="3">
        <f>1942.8+(314.2-421.1)+(-4.95414+(-0.80121--1.073805))+0-29.9--0.0762449999999957</f>
        <v>1801.3946999999998</v>
      </c>
      <c r="AA315" s="3">
        <f>1945.2+(310.3-475.2)+(-3.968208+(-0.633012--0.969408))+0-29.5--0.0601799999999987</f>
        <v>1747.228368</v>
      </c>
      <c r="AB315" s="3">
        <f>1913.6+(158.4-361.7)+(-4.87968+(-0.40392--0.922335))+0-28.5--0.0726749999999959</f>
        <v>1677.5114099999998</v>
      </c>
      <c r="AC315" s="3">
        <f>1929.6+(181.6-545)+(-3.936384+(-0.370464--1.1118))+0-28.1--0.0573239999999988</f>
        <v>1534.962276</v>
      </c>
      <c r="AD315">
        <v>1849.1000000000001</v>
      </c>
      <c r="AE315" s="3">
        <f>1949+(319.9-369.3)+(0+(0-0))+0-29.5-0</f>
        <v>1870.1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1840.6+(218.4-665.8)+(-3.754824+(-0.445536--1.358232))+0-28.5--0.0581399999999988</f>
        <v>1361.9160119999999</v>
      </c>
      <c r="G316" s="3">
        <f>1718.3+(276.2-717.8)+(-4.381665+(-0.70431--1.83039))+0-28.2--0.0719099999999959</f>
        <v>1245.3163249999998</v>
      </c>
      <c r="H316" s="3">
        <f>1657.2+(280.6-711.2)+(-2.535516+(-0.429318--1.088136))+0-27.9--0.0426870000000016</f>
        <v>1196.8659889999999</v>
      </c>
      <c r="I316" s="3">
        <f>1662.3+(256-700.8)+(-0.847773+(-0.13056--0.357408))+0-27.7--0.0141269999999972</f>
        <v>1189.1932019999999</v>
      </c>
      <c r="J316" s="3">
        <f>1692.5+(245.7-717)+(-3.4527+(-0.501228--1.46268))+0-28--0.0571199999999988</f>
        <v>1190.7658719999999</v>
      </c>
      <c r="K316" s="3">
        <f>1696.8+(244.7-722.9)+(0+(0-0))+0-28-0</f>
        <v>1190.5999999999999</v>
      </c>
      <c r="L316" s="3">
        <f>1684.1+(259.4-652.8)+(-1.717782+(-0.264588--0.665856))+0-28--0.0285600000000045</f>
        <v>1261.4120459999997</v>
      </c>
      <c r="M316" s="3">
        <f>1675.4+(234.9-525.7)+(2.563362+(0.359397-0.804321))+0-29.4-0.0449820000000017</f>
        <v>1357.2734559999999</v>
      </c>
      <c r="N316" s="3">
        <f>1924.2+(198.8-636.3)+(0+(0-0))+0-30.7-0</f>
        <v>1456</v>
      </c>
      <c r="O316" s="3">
        <f>1925.4+(135.7-450.7)+(0+(0-0))+0-30.9-0</f>
        <v>1579.5</v>
      </c>
      <c r="P316" s="3">
        <f>1918.1+(141.6-394.4)+(-2.934693+(-0.216648--0.603432))+0-30.4--0.0465120000000018</f>
        <v>1632.3986029999999</v>
      </c>
      <c r="Q316" s="3">
        <f>1921.5+(147.7-376.5)+(-1.95993+(-0.150654--0.38403))+0-30.3--0.0309060000000048</f>
        <v>1660.704352</v>
      </c>
      <c r="R316" s="3">
        <f>1916+(147.9-390.1)+(-3.90864+(-0.301716--0.795804))+0-28.9--0.0589559999999987</f>
        <v>1641.544404</v>
      </c>
      <c r="S316" s="3">
        <f>1913.4+(137.5-428.9)+(-4.87917+(-0.350625--1.093695))+0-28.3--0.0721649999999959</f>
        <v>1589.6360650000001</v>
      </c>
      <c r="T316" s="3">
        <f>1926.8+(131-461.9)+(1.965336+(0.13362-0.471138))+0-29.9-0.0304980000000048</f>
        <v>1567.5973199999999</v>
      </c>
      <c r="U316" s="3">
        <f>1882.1+(154.9-438.3)+(0+(0-0))+0-30.7-0</f>
        <v>1567.9999999999998</v>
      </c>
      <c r="V316" s="3">
        <f>1833.1+(157.6-407.8)+(-1.869762+(-0.160752--0.415956))+0-30.2--0.0308040000000048</f>
        <v>1551.1162459999998</v>
      </c>
      <c r="W316" s="3">
        <f>1904.7+(172.4-401.9)+(1.942794+(0.175848-0.409938))+0-29.4-0.0299880000000047</f>
        <v>1647.4787159999998</v>
      </c>
      <c r="X316" s="3">
        <f>1956.5+(317-358.2)+(-3.99126+(-0.64668--0.730728))+0-28.9--0.0589559999999987</f>
        <v>1882.5517439999999</v>
      </c>
      <c r="Y316" s="3">
        <f>1957.7+(319.2-385.7)+(-3.993708+(-0.651168--0.786828))+0-28.4--0.0579359999999988</f>
        <v>1858.9998879999998</v>
      </c>
      <c r="Z316" s="3">
        <f>1813.3+(330.5-299.9)+(-1.849566+(-0.33711--0.305898))+0-28.3--0.0288660000000045</f>
        <v>1813.7480880000003</v>
      </c>
      <c r="AA316" s="3">
        <f>1736.9+(326.8-285.5)+(-1.771638+(-0.333336--0.29121))+0-28.1--0.0286620000000045</f>
        <v>1748.3148980000001</v>
      </c>
      <c r="AB316" s="3">
        <f>1629.7+(256-190.8)+(-2.493441+(-0.39168--0.291924))+0-28.4--0.0434520000000016</f>
        <v>1663.950255</v>
      </c>
      <c r="AC316" s="3">
        <f>1595.4+(228.3-247.6)+(-4.06827+(-0.582165--0.63138))+0-28.5--0.0726749999999959</f>
        <v>1543.65362</v>
      </c>
      <c r="AD316">
        <v>1867.6</v>
      </c>
      <c r="AE316" s="3">
        <f>1957.5+(319.5-357.5)+(0+(0-0))+0-28.9-0</f>
        <v>1890.6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1546.7+(227.4-363.3)+(-3.155268+(-0.463896--0.741132))+0-28.3--0.0577319999999988</f>
        <v>1379.6796999999999</v>
      </c>
      <c r="G317" s="3">
        <f>1545.9+(254.7-494.6)+(-2.365227+(-0.389691--0.756738))+0-28.4--0.0434520000000016</f>
        <v>1275.6452719999997</v>
      </c>
      <c r="H317" s="3">
        <f>1509.1+(254.6-514.9)+(-3.848205+(-0.64923--1.312995))+0-28.2--0.0719099999999959</f>
        <v>1217.4874699999998</v>
      </c>
      <c r="I317" s="3">
        <f>1510.3+(259.3-540.1)+(-0.770253+(-0.132243--0.275451))+0-28.3--0.0144329999999971</f>
        <v>1200.5873880000001</v>
      </c>
      <c r="J317" s="3">
        <f>1511.9+(268.3-556)+(0+(0-0))+0-28.4-0</f>
        <v>1195.8</v>
      </c>
      <c r="K317" s="3">
        <f>1510.5+(271.6-541.9)+(-0.770355+(-0.138516--0.276369))+0-28.1--0.0143309999999971</f>
        <v>1211.4818290000003</v>
      </c>
      <c r="L317" s="3">
        <f>1510.6+(267.3-482)+(-1.540812+(-0.272646--0.49164))+0-28.6--0.0291720000000046</f>
        <v>1266.0073540000001</v>
      </c>
      <c r="M317" s="3">
        <f>1511.5+(244.1-365.8)+(1.54173+(0.248982-0.373116))+0-30-0.0306000000000048</f>
        <v>1361.1869959999999</v>
      </c>
      <c r="N317" s="3">
        <f>1638+(186.1-347.2)+(1.67076+(0.189822-0.354144))+0-30.5-0.0311100000000049</f>
        <v>1447.8753280000001</v>
      </c>
      <c r="O317" s="3">
        <f>1654.5+(166.1-238.7)+(1.68759+(0.169422-0.243474))+0-31-0.0316200000000049</f>
        <v>1552.4819180000002</v>
      </c>
      <c r="P317" s="3">
        <f>1731.2+(177.9-244.5)+(0+(0-0))+0-30.9-0</f>
        <v>1633.7</v>
      </c>
      <c r="Q317" s="3">
        <f>1801.7+(153.1-253.9)+(0.918867+(0.078081-0.129489))+0-30.4-0.0155039999999969</f>
        <v>1671.3519550000001</v>
      </c>
      <c r="R317" s="3">
        <f>1803.5+(129.8-239.1)+(-2.759355+(-0.198594--0.365823))+0-29.2--0.0446760000000017</f>
        <v>1662.45255</v>
      </c>
      <c r="S317" s="3">
        <f>1802.6+(119.6-248.1)+(-1.838652+(-0.121992--0.253062))+0-28.4--0.0289680000000045</f>
        <v>1644.0213859999999</v>
      </c>
      <c r="T317" s="3">
        <f>1805.8+(110.8-266.5)+(0.920958+(0.056508-0.135915))+0-30.6-0.0156059999999969</f>
        <v>1620.325945</v>
      </c>
      <c r="U317" s="3">
        <f>1800.9+(117.3-310)+(-4.592295+(-0.299115--0.7905))+0-31--0.0790499999999955</f>
        <v>1573.17814</v>
      </c>
      <c r="V317" s="3">
        <f>1807.6+(130.4-392.9)+(0+(0-0))+0-29.1-0</f>
        <v>1516</v>
      </c>
      <c r="W317" s="3">
        <f>1824.8+(137-319.4)+(-1.861296+(-0.13974--0.325788))+0-29--0.0295800000000046</f>
        <v>1611.754332</v>
      </c>
      <c r="X317" s="3">
        <f>1825.6+(322.2-329.8)+(-0.931056+(-0.164322--0.168198))+0-30.8--0.0157079999999969</f>
        <v>1786.288528</v>
      </c>
      <c r="Y317" s="3">
        <f>1823.1+(327.7-347.4)+(-2.789343+(-0.501381--0.531522))+0-30.3--0.0463590000000018</f>
        <v>1770.3871569999999</v>
      </c>
      <c r="Z317" s="3">
        <f>1823.1+(316.5-383.2)+(-3.719124+(-0.64566--0.781728))+0-30.4--0.0620159999999987</f>
        <v>1722.4789599999999</v>
      </c>
      <c r="AA317" s="3">
        <f>1822.6+(307.5-440.5)+(-3.718104+(-0.6273--0.89862))+0-30.2--0.0616079999999987</f>
        <v>1656.0148239999999</v>
      </c>
      <c r="AB317" s="3">
        <f>1822.8+(230.9-326.1)+(-2.788884+(-0.353277--0.498933))+0-28.7--0.0439110000000017</f>
        <v>1696.3006829999999</v>
      </c>
      <c r="AC317" s="3">
        <f>1642.6+(205.7-254.9)+(-2.513178+(-0.314721--0.389997))+0-28.6--0.0437580000000017</f>
        <v>1562.4058560000001</v>
      </c>
      <c r="AD317">
        <v>1878.5000000000002</v>
      </c>
      <c r="AE317" s="3">
        <f>1944+(327.9-341.1)+(0+(0-0))+0-31.1-0</f>
        <v>1899.7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1624.4+(210.2-415.9)+(0+(0-0))+0-28.3-0</f>
        <v>1390.4</v>
      </c>
      <c r="G318" s="3">
        <f>1621.9+(252.2-564)+(0+(0-0))+0-28.2-0</f>
        <v>1281.9000000000001</v>
      </c>
      <c r="H318" s="3">
        <f>1563.5+(282.9-581.7)+(0.797385+(0.144279-0.296667))+0-28-0.0142799999999972</f>
        <v>1237.3307169999998</v>
      </c>
      <c r="I318" s="3">
        <f>1542.9+(286.2-581.2)+(0+(0-0))+0-28.5-0</f>
        <v>1219.4000000000001</v>
      </c>
      <c r="J318" s="3">
        <f>1556.5+(274.1-600.5)+(0+(0-0))+0-28.5-0</f>
        <v>1201.5999999999999</v>
      </c>
      <c r="K318" s="3">
        <f>1660.3+(265.8-683.9)+(1.693506+(0.271116-0.697578))+0-28.6-0.0291720000000046</f>
        <v>1214.8378720000001</v>
      </c>
      <c r="L318" s="3">
        <f>1663.1+(258.3-628.2)+(-1.696362+(-0.263466--0.640764))+0-28.3--0.0288660000000045</f>
        <v>1263.6098019999999</v>
      </c>
      <c r="M318" s="3">
        <f>1756.6+(186.8-571)+(0+(0-0))+0-28.4-0</f>
        <v>1343.9999999999998</v>
      </c>
      <c r="N318" s="3">
        <f>1793.4+(157.4-498.6)+(2.743902+(0.240822-0.762858))+0-30.3-0.0463590000000018</f>
        <v>1424.0755070000002</v>
      </c>
      <c r="O318" s="3">
        <f>1865.2+(62.5-351.6)+(-0.951252+(-0.031875--0.179316))+0-30.6--0.0156059999999969</f>
        <v>1544.7117949999999</v>
      </c>
      <c r="P318" s="3">
        <f>1936.2+(36.7-324.5)+(1.974924+(0.037434-0.33099))+0-30.6-0.0312120000000049</f>
        <v>1619.4501560000001</v>
      </c>
      <c r="Q318" s="3">
        <f>1927.2+(47.4-274.4)+(-3.931488+(-0.096696--0.559776))+0-31.5--0.0642599999999986</f>
        <v>1665.2958520000002</v>
      </c>
      <c r="R318" s="3">
        <f>1958.4+(37.5-310.6)+(-3.995136+(-0.0765--0.633624))+0-29.4--0.0599759999999987</f>
        <v>1652.521964</v>
      </c>
      <c r="S318" s="3">
        <f>2029.2+(43.1-421.4)+(-2.069784+(-0.043962--0.429828))+0-27.3--0.0278460000000044</f>
        <v>1621.9439280000001</v>
      </c>
      <c r="T318" s="3">
        <f>2025.7+(72.9-483.8)+(-2.066214+(-0.074358--0.493476))+0-30.3--0.0309060000000048</f>
        <v>1582.8838100000003</v>
      </c>
      <c r="U318" s="3">
        <f>2028.5+(60.4-473.7)+(0+(0-0))+0-30.3-0</f>
        <v>1584.9</v>
      </c>
      <c r="V318" s="3">
        <f>2033.2+(64.2-466.5)+(-2.073864+(-0.065484--0.47583))+0-30.5--0.0311100000000049</f>
        <v>1598.7675919999999</v>
      </c>
      <c r="W318" s="3">
        <f>2068.6+(84.5-431.7)+(0+(0-0))+0-29.5-0</f>
        <v>1691.8999999999999</v>
      </c>
      <c r="X318" s="3">
        <f>2064.6+(301.5-422.2)+(-3.158838+(-0.461295--0.645966))+0-30--0.0459000000000017</f>
        <v>1910.9717329999999</v>
      </c>
      <c r="Y318" s="3">
        <f>1942.3+(327.7-353)+(-0.990573+(-0.167127--0.18003))+0-29.7--0.015146999999997</f>
        <v>1886.337477</v>
      </c>
      <c r="Z318" s="3">
        <f>1876.3+(323.3-334.1)+(-1.913826+(-0.329766--0.340782))+0-29.7--0.0302940000000047</f>
        <v>1833.9274839999998</v>
      </c>
      <c r="AA318" s="3">
        <f>1945.8+(310.1-440)+(-1.984716+(-0.316302--0.4488))+0-29.7--0.0302940000000047</f>
        <v>1784.378076</v>
      </c>
      <c r="AB318" s="3">
        <f>1941.9+(132.2-336.4)+(-1.980738+(-0.134844--0.343128))+0-28.3--0.0288660000000045</f>
        <v>1707.6564120000003</v>
      </c>
      <c r="AC318" s="3">
        <f>1863.5+(153.5-399.8)+(-2.851155+(-0.234855--0.611694))+0-28--0.0428400000000016</f>
        <v>1586.7685240000001</v>
      </c>
      <c r="AD318">
        <v>1887.6999999999998</v>
      </c>
      <c r="AE318" s="3">
        <f>2084+(287.9-433.8)+(0+(0-0))+0-30-0</f>
        <v>1908.1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1755.6+(225.3-511.8)+(-3.581424+(-0.459612--1.044072))+0-27.8--0.0567119999999988</f>
        <v>1438.3597480000001</v>
      </c>
      <c r="G319" s="3">
        <f>1755.9+(243.5-660.1)+(-4.477545+(-0.620925--1.683255))+0-27.7--0.070634999999996</f>
        <v>1308.2554200000002</v>
      </c>
      <c r="H319" s="3">
        <f>1758.3+(255.4-749.5)+(-0.896733+(-0.130254--0.382245))+0-28--0.0142799999999972</f>
        <v>1235.569538</v>
      </c>
      <c r="I319" s="3">
        <f>1759.7+(263.7-772)+(0+(0-0))+0-28-0</f>
        <v>1223.4000000000001</v>
      </c>
      <c r="J319" s="3">
        <f>1695.5+(263.4-724.8)+(0+(0-0))+0-28.2-0</f>
        <v>1205.8999999999999</v>
      </c>
      <c r="K319" s="3">
        <f>1764+(267.8-781.9)+(-0.89964+(-0.136578--0.398769))+0-28.2--0.0143819999999971</f>
        <v>1221.0769330000001</v>
      </c>
      <c r="L319" s="3">
        <f>1775.9+(267.5-744.7)+(-1.811418+(-0.27285--0.759594))+0-28.2--0.0287640000000045</f>
        <v>1269.20409</v>
      </c>
      <c r="M319" s="3">
        <f>1803.4+(200.9-646.9)+(-1.839468+(-0.204918--0.659838))+0-28.2--0.0287640000000045</f>
        <v>1327.844216</v>
      </c>
      <c r="N319" s="3">
        <f>1866.8+(147.9-556.2)+(0+(0-0))+0-29.6-0</f>
        <v>1428.9</v>
      </c>
      <c r="O319" s="3">
        <f>1865.5+(117.7-393.9)+(0+(0-0))+0-30.5-0</f>
        <v>1558.8</v>
      </c>
      <c r="P319" s="3">
        <f>1864.2+(128.1-316.6)+(0.950742+(0.065331-0.161466))+0-31-0.0158099999999969</f>
        <v>1645.5387969999999</v>
      </c>
      <c r="Q319" s="3">
        <f>1917.1+(125.5-314.2)+(-4.888605+(-0.320025--0.80121))+0-30.8--0.0785399999999955</f>
        <v>1693.2711199999999</v>
      </c>
      <c r="R319" s="3">
        <f>1894.3+(121.2-303.4)+(-4.830465+(-0.30906--0.77367))+0-28.5--0.0726749999999959</f>
        <v>1679.3068199999998</v>
      </c>
      <c r="S319" s="3">
        <f>1880.1+(119.2-353.8)+(-3.835404+(-0.243168--0.721752))+0-28.1--0.0573239999999988</f>
        <v>1614.1005040000002</v>
      </c>
      <c r="T319" s="3">
        <f>1931+(108-463.9)+(-1.96962+(-0.11016--0.473178))+0-29.8--0.0303960000000048</f>
        <v>1543.723794</v>
      </c>
      <c r="U319" s="3">
        <f>1982.7+(112.4-536)+(-3.033531+(-0.171972--0.82008))+0-30.4--0.0465120000000018</f>
        <v>1526.3610889999998</v>
      </c>
      <c r="V319" s="3">
        <f>1994.7+(134.2-559.3)+(1.017297+(0.068442-0.285243))+0-30.3-0.0154529999999969</f>
        <v>1540.0850430000003</v>
      </c>
      <c r="W319" s="3">
        <f>1971.3+(148.1-457.1)+(1.005363+(0.075531-0.233121))+0-29.3-0.014942999999997</f>
        <v>1633.8328300000001</v>
      </c>
      <c r="X319" s="3">
        <f>2019.9+(294.4-426.6)+(-2.060298+(-0.300288--0.435132))+0-30.3--0.0309060000000048</f>
        <v>1855.5054520000001</v>
      </c>
      <c r="Y319" s="3">
        <f>1968.4+(323.2-416.8)+(-3.011652+(-0.494496--0.637704))+0-30.4--0.0465120000000018</f>
        <v>1841.578068</v>
      </c>
      <c r="Z319" s="3">
        <f>1974.6+(316.3-479.1)+(0+(0-0))+0-30-0</f>
        <v>1781.8</v>
      </c>
      <c r="AA319" s="3">
        <f>1971.5+(310.6-526.2)+(-1.005465+(-0.158406--0.268362))+0-28.7--0.0146369999999971</f>
        <v>1726.3191280000001</v>
      </c>
      <c r="AB319" s="3">
        <f>1974.6+(129.3-416.2)+(1.007046+(0.065943-0.212262))+0-28.5-0.0145349999999971</f>
        <v>1660.0461919999998</v>
      </c>
      <c r="AC319" s="3">
        <f>1866.6+(185.1-479.1)+(-4.75983+(-0.472005--1.221705))+0-28.6--0.0729299999999959</f>
        <v>1540.0628000000002</v>
      </c>
      <c r="AD319">
        <v>1830.5000000000005</v>
      </c>
      <c r="AE319" s="3">
        <f>2100.3+(305.6-522.9)+(0+(0-0))+0-30.1-0</f>
        <v>1852.9000000000003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1735.4+(241.4-536)+(0+(0-0))+0-28-0</f>
        <v>1412.8000000000002</v>
      </c>
      <c r="G320" s="3">
        <f>1681.6+(265.9-604.6)+(1.715232+(0.271218-0.616692))+0-28-0.0285600000000045</f>
        <v>1316.2411979999999</v>
      </c>
      <c r="H320" s="3">
        <f>1680.6+(268.4-685.9)+(-0.857106+(-0.136884--0.349809))+0-28--0.0142799999999972</f>
        <v>1234.4700990000001</v>
      </c>
      <c r="I320" s="3">
        <f>1683.3+(272.7-726.1)+(-1.716966+(-0.278154--0.740622))+0-28.1--0.0286620000000045</f>
        <v>1200.5741639999999</v>
      </c>
      <c r="J320" s="3">
        <f>1782.1+(258.7-837)+(1.817742+(0.263874-0.85374))+0-28.1-0.0286620000000045</f>
        <v>1176.899214</v>
      </c>
      <c r="K320" s="3">
        <f>1662.9+(254.5-723.6)+(0.848079+(0.129795-0.369036))+0-28.2-0.0143819999999971</f>
        <v>1166.1944560000002</v>
      </c>
      <c r="L320" s="3">
        <f>1561.4+(273.5-644.1)+(-6.370512+(-1.11588--2.627928))+0-28.3--0.115463999999998</f>
        <v>1157.7570000000003</v>
      </c>
      <c r="M320" s="3">
        <f>1533+(187-545.7)+(0+(0-0))+0-29.4-0</f>
        <v>1144.8999999999999</v>
      </c>
      <c r="N320" s="3">
        <f>1617.5+(154.9-540.6)+(-0.824925+(-0.078999--0.275706))+0-30.5--0.0155549999999969</f>
        <v>1200.6873369999998</v>
      </c>
      <c r="O320" s="3">
        <f>1673.8+(97.6-471.2)+(0.853638+(0.049776-0.240312))+0-30.5-0.0155549999999969</f>
        <v>1270.3475469999998</v>
      </c>
      <c r="P320" s="3">
        <f>1672.7+(108.1-384.9)+(0+(0-0))+0-30.5-0</f>
        <v>1365.4</v>
      </c>
      <c r="Q320" s="3">
        <f>1672.1+(121.3-351.6)+(0+(0-0))+0-30.2-0</f>
        <v>1411.6</v>
      </c>
      <c r="R320" s="3">
        <f>1672.1+(126.4-371.2)+(-1.705542+(-0.128928--0.378624))+0-28.3--0.0288660000000045</f>
        <v>1397.57302</v>
      </c>
      <c r="S320" s="3">
        <f>1658.8+(134.5-412.5)+(-1.691976+(-0.13719--0.42075))+3.2-28.4--0.0289680000000045</f>
        <v>1354.220552</v>
      </c>
      <c r="T320" s="3">
        <f>1672.4+(136-456.5)+(-3.411696+(-0.27744--0.93126))+0-29.2--0.0595679999999987</f>
        <v>1320.001692</v>
      </c>
      <c r="U320" s="3">
        <f>1622.2+(152.3-446.3)+(-0.827322+(-0.077673--0.227613))+0-30.1--0.0153509999999969</f>
        <v>1297.4379690000001</v>
      </c>
      <c r="V320" s="3">
        <f>1648.4+(165.1-463)+(1.681368+(0.168402-0.47226))+0-29.8-0.0303960000000048</f>
        <v>1322.047114</v>
      </c>
      <c r="W320" s="3">
        <f>1768.7+(174.6-508.3)+(0+(0-0))+0-29.6-0</f>
        <v>1405.4</v>
      </c>
      <c r="X320" s="3">
        <f>1847.7+(318.1-462.8)+(-0.942327+(-0.162231--0.236028))+0-29.8--0.015197999999997</f>
        <v>1672.3466680000001</v>
      </c>
      <c r="Y320" s="3">
        <f>1831.9+(339.7-435.3)+(-0.934269+(-0.173247--0.222003))+0-29.6--0.015095999999997</f>
        <v>1705.8295830000004</v>
      </c>
      <c r="Z320" s="3">
        <f>1828.7+(336.5-451.2)+(0+(0-0))+0-29.9-0</f>
        <v>1684.1</v>
      </c>
      <c r="AA320" s="3">
        <f>1792.7+(334-431)+(-1.828554+(-0.34068--0.43962))+0-29.8--0.0303960000000048</f>
        <v>1664.2007820000001</v>
      </c>
      <c r="AB320" s="3">
        <f>1594.7+(258.8-226.7)+(-0.813297+(-0.131988--0.115617))+0-28--0.0142799999999972</f>
        <v>1597.9846120000002</v>
      </c>
      <c r="AC320" s="3">
        <f>1534.7+(220.3-249.9)+(-0.782697+(-0.112353--0.127449))+0-28.2--0.0143819999999971</f>
        <v>1476.1467810000001</v>
      </c>
      <c r="AD320">
        <v>1710.0000000000002</v>
      </c>
      <c r="AE320" s="3">
        <f>1846+(341.4-426.2)+(0+(0-0))+0-30-0</f>
        <v>1731.2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1522.1+(242.2-398)+(-2.328813+(-0.370566--0.60894))+0-28.4--0.0434520000000016</f>
        <v>1335.8530129999997</v>
      </c>
      <c r="G321" s="3">
        <f>1524.1+(251.8-523.1)+(2.331873+(0.385254-0.800343))+0-28.5-0.0436050000000016</f>
        <v>1226.1731789999999</v>
      </c>
      <c r="H321" s="3">
        <f>1522.5+(267.2-582.7)+(-2.329425+(-0.408816--0.891531))+0-28.2--0.0431460000000016</f>
        <v>1176.9964359999999</v>
      </c>
      <c r="I321" s="3">
        <f>1468.8+(264.4-549.3)+(2.996352+(0.539376-1.120572))+0-28.3-0.0577319999999988</f>
        <v>1157.9574240000002</v>
      </c>
      <c r="J321" s="3">
        <f>1493.6+(270.9-582.5)+(-0.761736+(-0.138159--0.297075))+0-28.5--0.0145349999999971</f>
        <v>1152.911715</v>
      </c>
      <c r="K321" s="3">
        <f>1474.1+(280.1-570.8)+(-2.255373+(-0.428553--0.873324))+0-28.6--0.0437580000000017</f>
        <v>1153.0331560000002</v>
      </c>
      <c r="L321" s="3">
        <f>1497.7+(281.7-518.8)+(-0.763827+(-0.143667--0.264588))+0-28.2--0.0143819999999971</f>
        <v>1231.7714760000001</v>
      </c>
      <c r="M321" s="3">
        <f>1456.9+(272.2-392.9)+(-0.743019+(-0.138822--0.200379))+0-28.7--0.0146369999999971</f>
        <v>1306.833175</v>
      </c>
      <c r="N321" s="3">
        <f>1606.8+(226-392.6)+(0+(0-0))+0-30.4-0</f>
        <v>1409.7999999999997</v>
      </c>
      <c r="O321" s="3">
        <f>1630.5+(212-294.5)+(1.66311+(0.21624-0.30039))+0-31.3-0.031926000000005</f>
        <v>1518.247034</v>
      </c>
      <c r="P321" s="3">
        <f>1628.4+(203.1-203.5)+(0+(0-0))+0-31.5-0</f>
        <v>1596.5</v>
      </c>
      <c r="Q321" s="3">
        <f>1625.3+(224-183)+(0+(0-0))+0-30.5-0</f>
        <v>1635.8</v>
      </c>
      <c r="R321" s="3">
        <f>1621.8+(210.9-172.1)+(0+(0-0))+0-28.6-0</f>
        <v>1632</v>
      </c>
      <c r="S321" s="3">
        <f>1620.4+(196.5-202.7)+(-1.652808+(-0.20043--0.206754))+0-28.6--0.0291720000000046</f>
        <v>1583.9826880000001</v>
      </c>
      <c r="T321" s="3">
        <f>1554.5+(224.3-187.5)+(-1.58559+(-0.228786--0.19125))+0-29.8--0.0303960000000048</f>
        <v>1559.9072700000002</v>
      </c>
      <c r="U321" s="3">
        <f>1528+(238.9-196.4)+(0.77928+(0.121839-0.100164))+0-30.7-0.0156569999999969</f>
        <v>1540.585298</v>
      </c>
      <c r="V321" s="3">
        <f>1532.4+(249.7-201.6)+(-0.781524+(-0.127347--0.102816))+0-30.5--0.0155549999999969</f>
        <v>1549.2094999999999</v>
      </c>
      <c r="W321" s="3">
        <f>1569.9+(267.2-197.5)+(0+(0-0))+0-29.8-0</f>
        <v>1609.8000000000002</v>
      </c>
      <c r="X321" s="3">
        <f>1770.7+(349.1-231)+(-2.709171+(-0.534123--0.35343))+0-30.2--0.0462060000000017</f>
        <v>1855.7563420000001</v>
      </c>
      <c r="Y321" s="3">
        <f>1758.4+(366.7-226.5)+(-1.793568+(-0.374034--0.23103))+0-30.7--0.0313140000000049</f>
        <v>1865.9947420000001</v>
      </c>
      <c r="Z321" s="3">
        <f>1614.5+(411.3-170)+(-3.29358+(-0.839052--0.3468))+0-30.4--0.0620159999999987</f>
        <v>1821.6761839999999</v>
      </c>
      <c r="AA321" s="3">
        <f>1564.6+(413.8-179.1)+(0.797946+(0.211038-0.091341))+0-30.4-0.0155039999999969</f>
        <v>1769.8021389999999</v>
      </c>
      <c r="AB321" s="3">
        <f>1505.8+(453.1-160.6)+(0.767958+(0.231081-0.081906))+0-30.4-0.0155039999999969</f>
        <v>1768.8016289999998</v>
      </c>
      <c r="AC321" s="3">
        <f>1506.3+(386.1-166.4)+(-2.304639+(-0.590733--0.254592))+0-30.4--0.0465120000000018</f>
        <v>1693.0057319999999</v>
      </c>
      <c r="AD321">
        <v>1864.2000000000003</v>
      </c>
      <c r="AE321" s="3">
        <f>1768.5+(368.2-220.7)+(0+(0-0))+0-30-0</f>
        <v>1886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1487.9+(275.5-264.4)+(-1.517658+(-0.28101--0.269688))+0-29.3--0.0298860000000047</f>
        <v>1468.200906</v>
      </c>
      <c r="G322" s="3">
        <f>1479.4+(276-426.6)+(-2.263482+(-0.42228--0.652698))+0-27.6--0.0422280000000016</f>
        <v>1299.2091640000003</v>
      </c>
      <c r="H322" s="3">
        <f>1484+(287.8-485.3)+(0+(0-0))+0-28-0</f>
        <v>1258.5</v>
      </c>
      <c r="I322" s="3">
        <f>1483+(293.6-511.7)+(0+(0-0))+0-28-0</f>
        <v>1236.9000000000001</v>
      </c>
      <c r="J322" s="3">
        <f>1441.8+(309.6-502)+(-0.735318+(-0.157896--0.25602))+0-28--0.0142799999999972</f>
        <v>1220.7770860000003</v>
      </c>
      <c r="K322" s="3">
        <f>1453.7+(315.7-511.4)+(0.741387+(0.161007-0.260814))+0-28.1-0.0143309999999971</f>
        <v>1230.527249</v>
      </c>
      <c r="L322" s="3">
        <f>1448.9+(326.6-468.4)+(0+(0-0))+0-26.5-0</f>
        <v>1280.6000000000001</v>
      </c>
      <c r="M322" s="3">
        <f>1445.1+(323.4-408.4)+(-1.474002+(-0.329868--0.416568))+0-16.7--0.0170340000000027</f>
        <v>1342.0297319999997</v>
      </c>
      <c r="N322" s="3">
        <f>1542.4+(295-394.5)+(1.573248+(0.3009-0.40239))+0-9.7-0.00989400000000155</f>
        <v>1434.6618639999999</v>
      </c>
      <c r="O322" s="3">
        <f>1635.9+(263.6-361.3)+(-0.834309+(-0.134436--0.184263))+0-6.2--0.00316199999999937</f>
        <v>1531.2186799999999</v>
      </c>
      <c r="P322" s="3">
        <f>1632.4+(183.6-215.5)+(-0.832524+(-0.093636--0.109905))+0-4.6--0.00234599999999953</f>
        <v>1595.0860910000001</v>
      </c>
      <c r="Q322" s="3">
        <f>1649.8+(214.1-237.7)+(-3.365592+(-0.436764--0.484908))+0-2.7--0.00550799999999988</f>
        <v>1620.18806</v>
      </c>
      <c r="R322" s="3">
        <f>1770.5+(135.5-271.5)+(-4.514775+(-0.345525--0.692325))+0-1.7--0.00433499999999975</f>
        <v>1628.63636</v>
      </c>
      <c r="S322" s="3">
        <f>1803.8+(112.5-313)+(0+(0-0))+0-1.7-0</f>
        <v>1601.6</v>
      </c>
      <c r="T322" s="3">
        <f>1821.5+(87-349.8)+(0+(0-0))+0-1.8-0</f>
        <v>1556.9</v>
      </c>
      <c r="U322" s="3">
        <f>1866.7+(94-408)+(0.952017+(0.04794-0.20808))+0-1.9-0.000968999999999807</f>
        <v>1551.5909080000001</v>
      </c>
      <c r="V322" s="3">
        <f>1969.9+(58.7-478)+(-4.018596+(-0.119748--0.97512))+0-4.7--0.00958799999999979</f>
        <v>1542.7463640000001</v>
      </c>
      <c r="W322" s="3">
        <f>2066.9+(22.6-457.9)+(0+(0-0))+0-13.3-0</f>
        <v>1618.3000000000002</v>
      </c>
      <c r="X322" s="3">
        <f>2095.8+(49.5-254.9)+(-2.137716+(-0.05049--0.259998))+0-26.7--0.0272340000000043</f>
        <v>1861.7990259999999</v>
      </c>
      <c r="Y322" s="3">
        <f>2087.7+(62.5-247.9)+(-5.323635+(-0.159375--0.632145))+0-28--0.0713999999999959</f>
        <v>1869.5205349999997</v>
      </c>
      <c r="Z322" s="3">
        <f>2097.3+(41.3-286.3)+(-3.208869+(-0.063189--0.438039))+0-28.3--0.0432990000000016</f>
        <v>1821.2092800000003</v>
      </c>
      <c r="AA322" s="3">
        <f>2096.3+(55.3-371.1)+(-1.069113+(-0.028203--0.189261))+0-28.6--0.0145859999999971</f>
        <v>1751.0065310000002</v>
      </c>
      <c r="AB322" s="3">
        <f>2008.5+(111.3-389.9)+(-2.04867+(-0.113526--0.397698))+0-28.4--0.0289680000000045</f>
        <v>1699.7644700000001</v>
      </c>
      <c r="AC322" s="3">
        <f>1785+(102.5-297.1)+(-1.8207+(-0.10455--0.303042))+0-28.4--0.0289680000000045</f>
        <v>1560.4067600000001</v>
      </c>
      <c r="AD322">
        <v>1873.4</v>
      </c>
      <c r="AE322" s="3">
        <f>2094+(67.7-241.4)+(0+(0-0))+0-27.3-0</f>
        <v>1893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1739.1+(108.5-408.3)+(-4.434705+(-0.276675--1.041165))+0-28.1--0.0716549999999959</f>
        <v>1407.6014399999999</v>
      </c>
      <c r="G323" s="3">
        <f>1743.1+(134.6-550.7)+(-1.777962+(-0.137292--0.561714))+0-27.9--0.0284580000000044</f>
        <v>1297.7749179999998</v>
      </c>
      <c r="H323" s="3">
        <f>1742.9+(167.2-634)+(-2.666637+(-0.255816--0.97002))+0-27.7--0.0423810000000016</f>
        <v>1246.4899480000001</v>
      </c>
      <c r="I323" s="3">
        <f>1747.8+(193-689.3)+(1.782756+(0.19686-0.703086))+0-27.2-0.0277440000000043</f>
        <v>1225.5487860000001</v>
      </c>
      <c r="J323" s="3">
        <f>1738.6+(196.6-679.4)+(-2.660058+(-0.300798--1.039482))+0-28--0.0428400000000016</f>
        <v>1225.921466</v>
      </c>
      <c r="K323" s="3">
        <f>1743.1+(198.6-678.3)+(0.888981+(0.101286-0.345933))+0-28.2-0.0143819999999971</f>
        <v>1235.829952</v>
      </c>
      <c r="L323" s="3">
        <f>1790.1+(173.9-644.6)+(-1.825902+(-0.177378--0.657492))+0-28.2--0.0287640000000045</f>
        <v>1289.8829759999996</v>
      </c>
      <c r="M323" s="3">
        <f>1915+(78.8-603.9)+(-2.92995+(-0.120564--0.923967))+0-29.4--0.0449820000000017</f>
        <v>1358.4184349999998</v>
      </c>
      <c r="N323" s="3">
        <f>1993.4+(34.6-541.8)+(3.049902+(0.052938-0.828954))+0-29.9-0.0457470000000017</f>
        <v>1458.5281390000002</v>
      </c>
      <c r="O323" s="3">
        <f>1983.1+(20-395.3)+(1.011381+(0.0102-0.201603))+0-30.5-0.0155549999999969</f>
        <v>1578.104423</v>
      </c>
      <c r="P323" s="3">
        <f>2081.4+(20.1-423.7)+(1.061514+(0.010251-0.216087))+0-30.3-0.0154529999999969</f>
        <v>1648.3402250000001</v>
      </c>
      <c r="Q323" s="3">
        <f>2121.1+(20-424.2)+(-1.081761+(-0.0102--0.216342))+0-29.7--0.015146999999997</f>
        <v>1686.339528</v>
      </c>
      <c r="R323" s="3">
        <f>2142.6+(17.8-449)+(0+(0-0))+0-28.1-0</f>
        <v>1683.3</v>
      </c>
      <c r="S323" s="3">
        <f>2134.1+(13.6-498.7)+(-3.265173+(-0.020808--0.763011))+0-27.4--0.0419220000000016</f>
        <v>1619.118952</v>
      </c>
      <c r="T323" s="3">
        <f>2198.5+(15.1-596.9)+(-1.121235+(-0.007701--0.304419))+0-28.2--0.0143819999999971</f>
        <v>1587.6898650000001</v>
      </c>
      <c r="U323" s="3">
        <f>2185.9+(14.2-588.6)+(-2.229618+(-0.014484--0.600372))+0-29.7--0.0302940000000047</f>
        <v>1580.1865639999999</v>
      </c>
      <c r="V323" s="3">
        <f>2186+(12.7-604.4)+(2.22972+(0.012954-0.616488))+0-30.1-0.0307020000000048</f>
        <v>1565.7954840000002</v>
      </c>
      <c r="W323" s="3">
        <f>2210.4+(18.5-579.3)+(3.381912+(0.028305-0.886329))+0-30.1-0.0460530000000017</f>
        <v>1621.9778350000001</v>
      </c>
      <c r="X323" s="3">
        <f>2226.4+(21.6-578)+(0+(0-0))+0-30.1-0</f>
        <v>1639.9</v>
      </c>
      <c r="Y323" s="3">
        <f>2226+(21.3-595.2)+(-3.40578+(-0.032589--0.910656))+0-30.1--0.0460530000000017</f>
        <v>1619.5183400000001</v>
      </c>
      <c r="Z323" s="3">
        <f>2230+(18.8-609.3)+(-1.1373+(-0.009588--0.310743))+0-30.1--0.0153509999999969</f>
        <v>1608.5792060000001</v>
      </c>
      <c r="AA323" s="3">
        <f>2200.6+(18.4-637.4)+(-1.122306+(-0.009384--0.325074))+0-30.1--0.0153509999999969</f>
        <v>1550.7087349999999</v>
      </c>
      <c r="AB323" s="3">
        <f>1979.3+(18.7-599.1)+(-3.028329+(-0.028611--0.916623))+0-30.1--0.0460530000000017</f>
        <v>1366.7057360000001</v>
      </c>
      <c r="AC323" s="3">
        <f>1688.8+(262.1-463.1)+(-2.583864+(-0.401013--0.708543))+0-30.1--0.0460530000000017</f>
        <v>1455.4697190000002</v>
      </c>
      <c r="AD323">
        <v>1896.2</v>
      </c>
      <c r="AE323" s="3">
        <f>2230+(288.2-576.5)+(0+(0-0))+0-30.1-0</f>
        <v>1911.6000000000001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1658.1+(286.3-416)+(0+(0-0))+0-27.7-0</f>
        <v>1500.6999999999998</v>
      </c>
      <c r="G324" s="3">
        <f>1655.8+(281.9-528.5)+(-0.844458+(-0.143769--0.269535))+0-27.9--0.0142289999999972</f>
        <v>1380.5955369999997</v>
      </c>
      <c r="H324" s="3">
        <f>1657.1+(278.7-654.5)+(2.535363+(0.426411-1.001385))+0-27.9-0.0426870000000016</f>
        <v>1255.3177019999998</v>
      </c>
      <c r="I324" s="3">
        <f>1676+(279.6-666.5)+(-2.56428+(-0.427788--1.019745))+0-27.8--0.0425340000000016</f>
        <v>1259.3702109999999</v>
      </c>
      <c r="J324" s="3">
        <f>1724.2+(279.8-737.6)+(0.879342+(0.142698-0.376176))+0-27.7-0.0141269999999972</f>
        <v>1239.3317370000002</v>
      </c>
      <c r="K324" s="3">
        <f>1783.7+(286.9-796.8)+(0.909687+(0.146319-0.406368))+0-27.7-0.0141269999999972</f>
        <v>1246.7355110000003</v>
      </c>
      <c r="L324" s="3">
        <f>1922.3+(292.8-879.8)+(-2.941119+(-0.447984--1.346094))+0-27.6--0.0422280000000016</f>
        <v>1305.6992190000001</v>
      </c>
      <c r="M324" s="3">
        <f>2073.7+(231-901.2)+(1.057587+(0.11781-0.459612))+0-29-0.0147899999999971</f>
        <v>1375.2009949999999</v>
      </c>
      <c r="N324" s="3">
        <f>2071.9+(231.5-798.8)+(2.113338+(0.23613-0.814776))+0-30-0.0306000000000048</f>
        <v>1476.104092</v>
      </c>
      <c r="O324" s="3">
        <f>2071.9+(242.7-692.6)+(2.113338+(0.247554-0.706452))+0-30.5-0.0311100000000049</f>
        <v>1593.1233300000001</v>
      </c>
      <c r="P324" s="3">
        <f>2069.6+(222.2-598.5)+(-1.055496+(-0.113322--0.305235))+0-30.7--0.0156569999999969</f>
        <v>1661.7520739999998</v>
      </c>
      <c r="Q324" s="3">
        <f>2072.6+(215.8-548.4)+(-2.114052+(-0.220116--0.559368))+0-30--0.0306000000000048</f>
        <v>1708.2558000000001</v>
      </c>
      <c r="R324" s="3">
        <f>2066.2+(210.4-553.1)+(-5.26881+(-0.53652--1.410405))+0-28.1--0.0716549999999959</f>
        <v>1691.0767299999998</v>
      </c>
      <c r="S324" s="3">
        <f>2070.4+(166.2-555.9)+(0+(0-0))+0-27.6-0</f>
        <v>1653.1000000000001</v>
      </c>
      <c r="T324" s="3">
        <f>2071+(122-553.3)+(1.05621+(0.06222-0.282183))+0-28.6-0.0145859999999971</f>
        <v>1611.9216610000001</v>
      </c>
      <c r="U324" s="3">
        <f>2065.6+(106.3-520.9)+(-1.053456+(-0.054213--0.265659))+0-29--0.0147899999999971</f>
        <v>1621.1727799999999</v>
      </c>
      <c r="V324" s="3">
        <f>2073+(133.5-530.4)+(2.11446+(0.13617-0.541008))+0-29.2-0.0297840000000047</f>
        <v>1648.5798379999999</v>
      </c>
      <c r="W324" s="3">
        <f>2085.1+(32.3-353.1)+(2.126802+(0.032946-0.360162))+0-28.7-0.0292740000000046</f>
        <v>1737.370312</v>
      </c>
      <c r="X324" s="3">
        <f>2100.3+(84.1-240.5)+(1.071153+(0.042891-0.122655))+0-29.1-0.014840999999997</f>
        <v>1915.7765480000003</v>
      </c>
      <c r="Y324" s="3">
        <f>2093.8+(87.5-237.2)+(-4.271352+(-0.1785--0.483888))+0-29.4--0.0599759999999987</f>
        <v>1910.7940120000001</v>
      </c>
      <c r="Z324" s="3">
        <f>2094.7+(65.9-260.9)+(-5.341485+(-0.168045--0.665295))+0-29.6--0.0754799999999957</f>
        <v>1865.3312449999999</v>
      </c>
      <c r="AA324" s="3">
        <f>2024.5+(88.4-271.5)+(-1.032495+(-0.045084--0.138465))+0-28.8--0.0146879999999971</f>
        <v>1811.6755740000001</v>
      </c>
      <c r="AB324" s="3">
        <f>1982.7+(83.4-321.6)+(0+(0-0))+0-26.9-0</f>
        <v>1717.6</v>
      </c>
      <c r="AC324" s="3">
        <f>1894.1+(56.3-334.8)+(-1.931982+(-0.057426--0.341496))+0-26.7--0.0272340000000043</f>
        <v>1587.2793219999999</v>
      </c>
      <c r="AD324">
        <v>1908.9</v>
      </c>
      <c r="AE324" s="3">
        <f>2107+(91.6-238.4)+(0+(0-0))+0-28.7-0</f>
        <v>1931.5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1800.4+(88.8-438.2)+(0+(0-0))+0-26.6-0</f>
        <v>1424.4</v>
      </c>
      <c r="G325" s="3">
        <f>1794.1+(124.5-584.5)+(0+(0-0))+0-27-0</f>
        <v>1307.0999999999999</v>
      </c>
      <c r="H325" s="3">
        <f>1696.6+(153.8-578)+(0+(0-0))+0-27.6-0</f>
        <v>1244.8</v>
      </c>
      <c r="I325" s="3">
        <f>1681.5+(153.9-575.1)+(-2.572695+(-0.235467--0.879903))+0-27.8--0.0425340000000016</f>
        <v>1230.6142749999999</v>
      </c>
      <c r="J325" s="3">
        <f>1690.8+(151.5-590.7)+(1.724616+(0.15453-0.602514))+0-27.3-0.0278460000000044</f>
        <v>1225.5487860000001</v>
      </c>
      <c r="K325" s="3">
        <f>1690.9+(151-602)+(1.724718+(0.15402-0.61404))+0-27.8-0.0283560000000044</f>
        <v>1213.3363420000001</v>
      </c>
      <c r="L325" s="3">
        <f>1721.6+(134.7-564.2)+(0+(0-0))+0-27.6-0</f>
        <v>1264.5</v>
      </c>
      <c r="M325" s="3">
        <f>1879.3+(67.4-564.8)+(0+(0-0))+0-28.5-0</f>
        <v>1353.4</v>
      </c>
      <c r="N325" s="3">
        <f>1927.5+(50.3-479.5)+(-0.983025+(-0.025653--0.244545))+0-29.7--0.015146999999997</f>
        <v>1467.8510140000001</v>
      </c>
      <c r="O325" s="3">
        <f>1932.5+(49.3-381.6)+(-0.985575+(-0.025143--0.194616))+0-30.1--0.0153509999999969</f>
        <v>1569.2992490000001</v>
      </c>
      <c r="P325" s="3">
        <f>1921.7+(73-315.4)+(-0.980067+(-0.03723--0.160854))+0-30.4--0.0155039999999969</f>
        <v>1648.0590610000002</v>
      </c>
      <c r="Q325" s="3">
        <f>1900.2+(108.2-303.1)+(-1.938204+(-0.110364--0.309162))+0-30.1--0.0307020000000048</f>
        <v>1673.4912960000001</v>
      </c>
      <c r="R325" s="3">
        <f>1908.9+(90.7-314.3)+(-2.920617+(-0.138771--0.480879))+0-28.8--0.0440640000000017</f>
        <v>1653.9655550000002</v>
      </c>
      <c r="S325" s="3">
        <f>1923.1+(67-362.2)+(-2.942343+(-0.10251--0.554166))+0-27.3--0.0417690000000016</f>
        <v>1598.1510819999999</v>
      </c>
      <c r="T325" s="3">
        <f>1929.9+(71.4-396.4)+(0+(0-0))+0-29.1-0</f>
        <v>1575.8000000000002</v>
      </c>
      <c r="U325" s="3">
        <f>1932.4+(76-416.1)+(1.971048+(0.07752-0.424422))+0-29.4-0.0299880000000047</f>
        <v>1564.4941580000002</v>
      </c>
      <c r="V325" s="3">
        <f>1950+(60.8-394.8)+(0.9945+(0.031008-0.201348))+0-29.9-0.015248999999997</f>
        <v>1586.9089109999998</v>
      </c>
      <c r="W325" s="3">
        <f>1984.1+(60.4-369.3)+(2.023782+(0.061608-0.376686))+0-28.6-0.0291720000000046</f>
        <v>1648.2795319999998</v>
      </c>
      <c r="X325" s="3">
        <f>1988.4+(142.6-237.6)+(-5.07042+(-0.36363--0.60588))+0-29.3--0.0747149999999958</f>
        <v>1859.3465450000001</v>
      </c>
      <c r="Y325" s="3">
        <f>1933.1+(183.5-216.7)+(-2.957643+(-0.280755--0.331551))+0-29--0.0443700000000017</f>
        <v>1868.037523</v>
      </c>
      <c r="Z325" s="3">
        <f>1906.5+(231.1-273.3)+(-0.972315+(-0.117861--0.139383))+0-27.9--0.0142289999999972</f>
        <v>1835.4634359999998</v>
      </c>
      <c r="AA325" s="3">
        <f>1892.5+(218.4-320.6)+(0.965175+(0.111384-0.163506))+0-26.9-0.0137189999999973</f>
        <v>1764.2993339999998</v>
      </c>
      <c r="AB325" s="3">
        <f>1894+(126.3-292.3)+(0.96594+(0.064413-0.149073))+0-27.2-0.0138719999999972</f>
        <v>1701.667408</v>
      </c>
      <c r="AC325" s="3">
        <f>1895.5+(122.4-424.2)+(0+(0-0))+0-27.3-0</f>
        <v>1566.4</v>
      </c>
      <c r="AD325">
        <v>1883.6000000000001</v>
      </c>
      <c r="AE325" s="3">
        <f>1995+(151.8-208.9)+(0+(0-0))+0-29.3-0</f>
        <v>1908.6000000000001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1853.3+(143.7-565.2)+(-4.725915+(-0.366435--1.44126))+0-27.4--0.069869999999996</f>
        <v>1400.8187799999998</v>
      </c>
      <c r="G326" s="3">
        <f>1698.4+(202.3-599.1)+(-1.732368+(-0.206346--0.611082))+0-27.2--0.0277440000000043</f>
        <v>1273.1001120000001</v>
      </c>
      <c r="H326" s="3">
        <f>1691.2+(219.7-666.9)+(-5.175072+(-0.672282--2.040714))+0-27.7--0.0847620000000032</f>
        <v>1212.5781219999999</v>
      </c>
      <c r="I326" s="3">
        <f>1702.9+(238.3-733.3)+(1.736958+(0.243066-0.747966))+0-27.5-0.0280500000000044</f>
        <v>1181.6040080000002</v>
      </c>
      <c r="J326" s="3">
        <f>1722.2+(246.5-755.9)+(-0.878322+(-0.125715--0.385509))+0-27.7--0.0141269999999972</f>
        <v>1184.4955990000001</v>
      </c>
      <c r="K326" s="3">
        <f>1728.1+(235.7-739.8)+(2.643993+(0.360621-1.131894))+0-27.6-0.0422280000000016</f>
        <v>1198.2304920000001</v>
      </c>
      <c r="L326" s="3">
        <f>1735.8+(213.7-675.1)+(1.770516+(0.217974-0.688602))+0-27.9-0.0284580000000044</f>
        <v>1247.7714299999998</v>
      </c>
      <c r="M326" s="3">
        <f>1796.2+(121.6-590.6)+(1.832124+(0.124032-0.602412))+0-29.3-0.0298860000000047</f>
        <v>1299.2238580000001</v>
      </c>
      <c r="N326" s="3">
        <f>1811.5+(125-488.3)+(0.923865+(0.06375-0.249033))+0-28.8-0.0146879999999971</f>
        <v>1420.1238940000001</v>
      </c>
      <c r="O326" s="3">
        <f>1813.7+(87.8-307.1)+(0.924987+(0.044778-0.156621))+0-29.9-0.015248999999997</f>
        <v>1565.2978949999999</v>
      </c>
      <c r="P326" s="3">
        <f>1807.9+(87.1-230)+(0.922029+(0.044421-0.1173))+0-29.4-0.014993999999997</f>
        <v>1636.434156</v>
      </c>
      <c r="Q326" s="3">
        <f>1808+(99.5-209.6)+(0+(0-0))+0-29.8-0</f>
        <v>1668.1000000000001</v>
      </c>
      <c r="R326" s="3">
        <f>1802.1+(100-230.3)+(-2.757213+(-0.153--0.352359))+0-28--0.0428400000000016</f>
        <v>1641.2849860000001</v>
      </c>
      <c r="S326" s="3">
        <f>1798.6+(80.3-262.1)+(0+(0-0))+0-27-0</f>
        <v>1589.8</v>
      </c>
      <c r="T326" s="3">
        <f>1798+(66.7-295.2)+(0+(0-0))+0-27.9-0</f>
        <v>1541.6</v>
      </c>
      <c r="U326" s="3">
        <f>1795+(75-319.3)+(-1.8309+(-0.0765--0.325686))+0-29.3--0.0298860000000047</f>
        <v>1519.8481720000002</v>
      </c>
      <c r="V326" s="3">
        <f>1798.7+(90.5-344.4)+(-1.834674+(-0.09231--0.351288))+0-29--0.0295800000000046</f>
        <v>1514.253884</v>
      </c>
      <c r="W326" s="3">
        <f>1819.3+(94.6-336.4)+(-0.927843+(-0.048246--0.171564))+0-28.5--0.0145349999999971</f>
        <v>1548.21001</v>
      </c>
      <c r="X326" s="3">
        <f>1824.9+(272.3-269.8)+(-1.861398+(-0.277746--0.275196))+0-29.2--0.0297840000000047</f>
        <v>1796.3658360000002</v>
      </c>
      <c r="Y326" s="3">
        <f>1822.3+(283.2-259.3)+(-3.717492+(-0.577728--0.528972))+0-29.4--0.0599759999999987</f>
        <v>1813.0937279999998</v>
      </c>
      <c r="Z326" s="3">
        <f>1816+(259.3-282.8)+(-4.6308+(-0.661215--0.72114))+0-29.6--0.0754799999999957</f>
        <v>1758.4046050000002</v>
      </c>
      <c r="AA326" s="3">
        <f>1819.6+(252.7-341.9)+(-0.927996+(-0.128877--0.174369))+0-28--0.0142799999999972</f>
        <v>1701.531776</v>
      </c>
      <c r="AB326" s="3">
        <f>1823.4+(128.6-277.6)+(0.929934+(0.065586-0.141576))+0-27.2-0.0138719999999972</f>
        <v>1648.040072</v>
      </c>
      <c r="AC326" s="3">
        <f>1814.7+(113.9-342.7)+(-0.925497+(-0.058089--0.174777))+0-26.9--0.0137189999999973</f>
        <v>1558.2049099999999</v>
      </c>
      <c r="AD326">
        <v>1815.3999999999999</v>
      </c>
      <c r="AE326" s="3">
        <f>1830+(294-254)+(0+(0-0))+0-29-0</f>
        <v>1841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1701.6+(161.8-385.8)+(-2.603448+(-0.247554--0.590274))+0-27.6--0.0422280000000016</f>
        <v>1447.7815000000001</v>
      </c>
      <c r="G327" s="3">
        <f>1644.6+(188.5-506.1)+(0.838746+(0.096135-0.258111))+0-28.1-0.0143309999999971</f>
        <v>1299.562439</v>
      </c>
      <c r="H327" s="3">
        <f>1595.6+(214.2-554)+(-1.627512+(-0.218484--0.56508))+0-28--0.0285600000000045</f>
        <v>1226.547644</v>
      </c>
      <c r="I327" s="3">
        <f>1599.8+(224.8-601.4)+(0.815898+(0.114648-0.306714))+0-28-0.0142799999999972</f>
        <v>1195.8095519999999</v>
      </c>
      <c r="J327" s="3">
        <f>1612.8+(225-621.3)+(-1.645056+(-0.2295--0.633726))+0-27.8--0.0283560000000044</f>
        <v>1187.4875260000001</v>
      </c>
      <c r="K327" s="3">
        <f>1698.4+(228.1-709.5)+(1.732368+(0.232662-0.72369))+0-27.4-0.0279480000000044</f>
        <v>1190.813392</v>
      </c>
      <c r="L327" s="3">
        <f>1688.9+(198.3-679.8)+(-0.861339+(-0.101133--0.346698))+0-26.6--0.0135659999999973</f>
        <v>1180.1977920000002</v>
      </c>
      <c r="M327" s="3">
        <f>1689.5+(124-632.3)+(0+(0-0))+0-28.8-0</f>
        <v>1152.4000000000001</v>
      </c>
      <c r="N327" s="3">
        <f>1712.5+(131.4-627.8)+(1.74675+(0.134028-0.640356))+0-29.6-0.0301920000000047</f>
        <v>1187.7102300000001</v>
      </c>
      <c r="O327" s="3">
        <f>1803.9+(95.9-582.1)+(0+(0-0))+0-29.7-0</f>
        <v>1288</v>
      </c>
      <c r="P327" s="3">
        <f>1815+(101.3-506)+(0+(0-0))+0-29.7-0</f>
        <v>1380.6</v>
      </c>
      <c r="Q327" s="3">
        <f>1816.1+(123.3-465.2)+(2.778633+(0.188649-0.711756))+0-29.7-0.0454410000000017</f>
        <v>1446.7100849999997</v>
      </c>
      <c r="R327" s="3">
        <f>1798.6+(123-461.9)+(-3.669144+(-0.25092--0.942276))+0-28.2--0.0575279999999988</f>
        <v>1428.5797399999999</v>
      </c>
      <c r="S327" s="3">
        <f>1792.7+(124.1-504.7)+(-0.914277+(-0.063291--0.257397))+0-27.4--0.0139739999999972</f>
        <v>1383.9938029999998</v>
      </c>
      <c r="T327" s="3">
        <f>1715.5+(134.1-472.5)+(0+(0-0))+0-28.8-0</f>
        <v>1348.3</v>
      </c>
      <c r="U327" s="3">
        <f>1713+(129.7-479)+(-2.62089+(-0.198441--0.73287))+0-30--0.0459000000000017</f>
        <v>1331.659439</v>
      </c>
      <c r="V327" s="3">
        <f>1718+(134-485.9)+(-0.87618+(-0.06834--0.247809))+0-29.6--0.015095999999997</f>
        <v>1335.818385</v>
      </c>
      <c r="W327" s="3">
        <f>1730.6+(160.5-426.5)+(-1.765212+(-0.16371--0.43503))+0-28.8--0.0293760000000046</f>
        <v>1434.335484</v>
      </c>
      <c r="X327" s="3">
        <f>1825.2+(285.1-405.4)+(-0.930852+(-0.145401--0.206754))+0-29.1--0.014840999999997</f>
        <v>1674.9453420000002</v>
      </c>
      <c r="Y327" s="3">
        <f>1798.4+(294.5-347.5)+(-2.751552+(-0.450585--0.531675))+0-29.6--0.0452880000000017</f>
        <v>1713.1748260000002</v>
      </c>
      <c r="Z327" s="3">
        <f>1730+(294.9-326.6)+(-1.7646+(-0.300798--0.333132))+0-29.7--0.0302940000000047</f>
        <v>1666.8980279999998</v>
      </c>
      <c r="AA327" s="3">
        <f>1737.1+(287.5-353.3)+(-3.543684+(-0.5865--0.720732))+0-28.2--0.0575279999999988</f>
        <v>1639.7480759999999</v>
      </c>
      <c r="AB327" s="3">
        <f>1707+(173.9-254.6)+(-0.87057+(-0.088689--0.129846))+0-27.2--0.0138719999999972</f>
        <v>1598.284459</v>
      </c>
      <c r="AC327" s="3">
        <f>1698.6+(194.2-369.9)+(1.732572+(0.198084-0.377298))+0-26.7-0.0272340000000043</f>
        <v>1497.7261239999998</v>
      </c>
      <c r="AD327">
        <v>1694.8000000000002</v>
      </c>
      <c r="AE327" s="3">
        <f>1836.1+(299.8-376.5)+(0+(0-0))+0-27.6-0</f>
        <v>1731.8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1641.3+(168.6-410.7)+(-3.348252+(-0.343944--0.837828))+0-27.3--0.0556919999999988</f>
        <v>1369.101324</v>
      </c>
      <c r="G328" s="3">
        <f>1631.9+(175.9-549.1)+(-1.664538+(-0.179418--0.560082))+0-28.2--0.0287640000000045</f>
        <v>1229.2448899999999</v>
      </c>
      <c r="H328" s="3">
        <f>1633+(207.4-642.9)+(-3.33132+(-0.423096--1.311516))+0-27.6--0.0563039999999988</f>
        <v>1167.513404</v>
      </c>
      <c r="I328" s="3">
        <f>1638.9+(227.9-681.5)+(0.835839+(0.116229-0.347565))+0-27.6-0.0140759999999972</f>
        <v>1158.2904270000004</v>
      </c>
      <c r="J328" s="3">
        <f>1563.8+(234.5-650.4)+(-2.392614+(-0.358785--0.995112))+0-27.6--0.0422280000000016</f>
        <v>1118.5859410000003</v>
      </c>
      <c r="K328" s="3">
        <f>1569.7+(217.8-634.4)+(0.800547+(0.111078-0.323544))+0-27.8-0.0141779999999972</f>
        <v>1125.8739030000004</v>
      </c>
      <c r="L328" s="3">
        <f>1583.1+(210.2-601.2)+(0.807381+(0.107202-0.306612))+0-27.4-0.0139739999999972</f>
        <v>1165.2939969999998</v>
      </c>
      <c r="M328" s="3">
        <f>1597.1+(202.7-623.1)+(-2.443563+(-0.310131--0.953343))+0-28.5--0.0436050000000016</f>
        <v>1146.4432539999998</v>
      </c>
      <c r="N328" s="3">
        <f>1687.4+(222.4-682.8)+(-0.860574+(-0.113424--0.348228))+0-29.6--0.015095999999997</f>
        <v>1196.7893260000001</v>
      </c>
      <c r="O328" s="3">
        <f>1741.8+(208.1-591.1)+(0+(0-0))+0-30-0</f>
        <v>1328.8</v>
      </c>
      <c r="P328" s="3">
        <f>1801.7+(192.8-545.4)+(-1.837734+(-0.196656--0.556308))+0-29.9--0.0304980000000048</f>
        <v>1417.752416</v>
      </c>
      <c r="Q328" s="3">
        <f>1789.7+(193-485.8)+(-2.738241+(-0.29529--0.743274))+0-29.3--0.0448290000000017</f>
        <v>1465.354572</v>
      </c>
      <c r="R328" s="3">
        <f>1650.7+(210.8-358.8)+(-2.525571+(-0.322524--0.548964))+0-27--0.0413100000000016</f>
        <v>1473.4421790000001</v>
      </c>
      <c r="S328" s="3">
        <f>1636.3+(208.7-380.7)+(-3.338052+(-0.425748--0.776628))+0-26.4--0.0538559999999988</f>
        <v>1434.9666839999998</v>
      </c>
      <c r="T328" s="3">
        <f>1639.9+(201.8-414.5)+(-0.836349+(-0.102918--0.211395))+0-25.1--0.0128009999999975</f>
        <v>1401.3849290000003</v>
      </c>
      <c r="U328" s="3">
        <f>1641.6+(208.6-448.9)+(0+(0-0))+0-17.3-0</f>
        <v>1384</v>
      </c>
      <c r="V328" s="3">
        <f>1639.8+(231.7-445)+(-0.836298+(-0.118167--0.22695))+0-26.1--0.0133109999999974</f>
        <v>1399.685796</v>
      </c>
      <c r="W328" s="3">
        <f>1654.1+(232.9-383.5)+(0+(0-0))+0-26.9-0</f>
        <v>1476.6</v>
      </c>
      <c r="X328" s="3">
        <f>1660.6+(332.6-257.6)+(-1.693812+(-0.339252--0.262752))+0-29.5--0.0300900000000047</f>
        <v>1704.3597779999998</v>
      </c>
      <c r="Y328" s="3">
        <f>1660.3+(345.2-232)+(-0.846753+(-0.176052--0.11832))+0-29.8--0.015197999999997</f>
        <v>1742.8107130000001</v>
      </c>
      <c r="Z328" s="3">
        <f>1659+(316.6-246.5)+(-1.69218+(-0.322932--0.25143))+0-29.4--0.0299880000000047</f>
        <v>1697.9663059999998</v>
      </c>
      <c r="AA328" s="3">
        <f>1660.9+(308-266.8)+(0+(0-0))+0-28.3-0</f>
        <v>1673.8000000000002</v>
      </c>
      <c r="AB328" s="3">
        <f>1641.5+(228.2-219)+(-0.837165+(-0.116382--0.11169))+0-26.9--0.0137189999999973</f>
        <v>1622.9718620000001</v>
      </c>
      <c r="AC328" s="3">
        <f>1534.4+(223.6-235.1)+(-3.91272+(-0.57018--0.599505))+0-26.8--0.0683399999999961</f>
        <v>1492.2849450000001</v>
      </c>
      <c r="AD328">
        <v>1733</v>
      </c>
      <c r="AE328" s="3">
        <f>1657+(363.8-237.6)+(0+(0-0))+0-30-0</f>
        <v>1753.2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1518.5+(179.6-330)+(-2.323305+(-0.274788--0.5049))+0-26.9--0.0411570000000016</f>
        <v>1339.147964</v>
      </c>
      <c r="G329" s="3">
        <f>1519.6+(193.6-449.3)+(-2.324988+(-0.296208--0.687429))+0-27.4--0.0419220000000016</f>
        <v>1234.6081549999999</v>
      </c>
      <c r="H329" s="3">
        <f>1518.2+(213.4-523.3)+(-3.097128+(-0.435336--1.067532))+0-27.4--0.0558959999999988</f>
        <v>1178.4909640000001</v>
      </c>
      <c r="I329" s="3">
        <f>1520.2+(221.1-562)+(-0.775302+(-0.112761--0.28662))+0-27.6--0.0140759999999972</f>
        <v>1151.1126330000002</v>
      </c>
      <c r="J329" s="3">
        <f>1524.8+(216.1-575.5)+(2.332944+(0.330633-0.880515))+0-27.6-0.0422280000000016</f>
        <v>1139.5408340000001</v>
      </c>
      <c r="K329" s="3">
        <f>1531.6+(230.6-580.4)+(0.781116+(0.117606-0.296004))+0-27.3-0.0139229999999972</f>
        <v>1155.0887950000001</v>
      </c>
      <c r="L329" s="3">
        <f>1693.7+(228.5-669)+(0.863787+(0.116535-0.34119))+0-27.5-0.0140249999999972</f>
        <v>1226.3251070000001</v>
      </c>
      <c r="M329" s="3">
        <f>1789.9+(204.9-664.2)+(0+(0-0))+0-29.1-0</f>
        <v>1301.5</v>
      </c>
      <c r="N329" s="3">
        <f>1806.9+(225.5-595.1)+(1.843038+(0.23001-0.607002))+0-29.6-0.0301920000000047</f>
        <v>1409.1358540000003</v>
      </c>
      <c r="O329" s="3">
        <f>1834.9+(203.9-467.2)+(0.935799+(0.103989-0.238272))+0-29.5-0.015044999999997</f>
        <v>1542.886471</v>
      </c>
      <c r="P329" s="3">
        <f>1839.2+(204.3-412.1)+(0.937992+(0.104193-0.210171))+0-30-0.015299999999997</f>
        <v>1602.2167140000001</v>
      </c>
      <c r="Q329" s="3">
        <f>1835.7+(198.9-356.7)+(-1.872414+(-0.202878--0.363834))+0-29.3--0.0298860000000047</f>
        <v>1646.9184280000002</v>
      </c>
      <c r="R329" s="3">
        <f>1767.8+(207.7-310.5)+(-4.50789+(-0.529635--0.791775))+0-27.9--0.0711449999999959</f>
        <v>1632.9253949999998</v>
      </c>
      <c r="S329" s="3">
        <f>1726.9+(221.7-326.5)+(-1.761438+(-0.226134--0.33303))+0-26.7--0.0272340000000043</f>
        <v>1593.772692</v>
      </c>
      <c r="T329" s="3">
        <f>1670.4+(230.1-323.7)+(-2.555712+(-0.352053--0.495261))+0-28.5--0.0436050000000016</f>
        <v>1545.9311010000004</v>
      </c>
      <c r="U329" s="3">
        <f>1671.5+(228.3-317.9)+(-0.852465+(-0.116433--0.162129))+0-29.6--0.015095999999997</f>
        <v>1551.5083270000002</v>
      </c>
      <c r="V329" s="3">
        <f>1672.4+(231.9-319.5)+(0.852924+(0.118269-0.162945))+0-29.4-0.014993999999997</f>
        <v>1556.1932540000003</v>
      </c>
      <c r="W329" s="3">
        <f>1672.3+(254.2-310.6)+(0+(0-0))+0-28.2-0</f>
        <v>1587.6999999999998</v>
      </c>
      <c r="X329" s="3">
        <f>1809.7+(331.9-283.2)+(-0.922947+(-0.169269--0.144432))+0-28.6--0.0145859999999971</f>
        <v>1828.8668020000002</v>
      </c>
      <c r="Y329" s="3">
        <f>1838.6+(331-262.4)+(0+(0-0))+0-28.2-0</f>
        <v>1878.9999999999998</v>
      </c>
      <c r="Z329" s="3">
        <f>1838.4+(296.9-285.9)+(-4.68792+(-0.757095--0.729045))+0-27.8--0.070889999999996</f>
        <v>1816.9549200000001</v>
      </c>
      <c r="AA329" s="3">
        <f>1798.6+(271.9-275.6)+(0+(0-0))+0-28-0</f>
        <v>1766.8999999999999</v>
      </c>
      <c r="AB329" s="3">
        <f>1731.7+(231.6-244.6)+(-4.415835+(-0.59058--0.62373))+0-26.5--0.0675749999999962</f>
        <v>1687.88489</v>
      </c>
      <c r="AC329" s="3">
        <f>1729.8+(187.2-348.4)+(-4.41099+(-0.47736--0.88842))+0-26.5--0.0675749999999962</f>
        <v>1538.167645</v>
      </c>
      <c r="AD329">
        <v>1853.1000000000001</v>
      </c>
      <c r="AE329" s="3">
        <f>1847+(341.6-274.1)+(0+(0-0))+0-28.8-0</f>
        <v>1885.7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1710.5+(172-452.9)+(-1.74471+(-0.17544--0.461958))+0-26.9--0.0274380000000043</f>
        <v>1401.2692459999998</v>
      </c>
      <c r="G330" s="3">
        <f>1714+(214-595)+(3.49656+(0.43656-1.2138))+0-27.7-0.0565079999999988</f>
        <v>1307.962812</v>
      </c>
      <c r="H330" s="3">
        <f>1714.3+(240.2-678.1)+(2.622879+(0.367506-1.037493))+0-27.4-0.0419220000000016</f>
        <v>1250.9109699999997</v>
      </c>
      <c r="I330" s="3">
        <f>1711.2+(246.4-702)+(-3.490848+(-0.502656--1.43208))+0-27.6--0.0563039999999988</f>
        <v>1225.49488</v>
      </c>
      <c r="J330" s="3">
        <f>1712.7+(246.6-708.6)+(1.746954+(0.251532-0.722772))+0-27.9-0.0284580000000044</f>
        <v>1224.0472560000001</v>
      </c>
      <c r="K330" s="3">
        <f>1712.8+(241.5-705.3)+(0+(0-0))+0-28-0</f>
        <v>1221</v>
      </c>
      <c r="L330" s="3">
        <f>1712.1+(227.7-628.5)+(0.873171+(0.116127-0.320535))+0-27.8-0.0141779999999972</f>
        <v>1284.154585</v>
      </c>
      <c r="M330" s="3">
        <f>1727.6+(141.8-503.8)+(-1.762152+(-0.144636--0.513876))+0-27.9--0.0284580000000044</f>
        <v>1336.3355459999998</v>
      </c>
      <c r="N330" s="3">
        <f>1813.9+(168.9-506.8)+(-0.925089+(-0.086139--0.258468))+0-28.4--0.0144839999999971</f>
        <v>1446.8617239999999</v>
      </c>
      <c r="O330" s="3">
        <f>1863.5+(168.1-439)+(-0.950385+(-0.085731--0.22389))+0-29.2--0.014891999999997</f>
        <v>1562.6026659999998</v>
      </c>
      <c r="P330" s="3">
        <f>1890.1+(193.4-439.1)+(-2.891853+(-0.295902--0.671823))+0-29.7--0.0454410000000017</f>
        <v>1612.2295089999998</v>
      </c>
      <c r="Q330" s="3">
        <f>1901.9+(191.4-421.8)+(-0.969969+(-0.097614--0.215118))+0-28.4--0.0144839999999971</f>
        <v>1642.262019</v>
      </c>
      <c r="R330" s="3">
        <f>1847.8+(207.1-382.8)+(-2.827134+(-0.316863--0.585684))+0-27.1--0.0414630000000016</f>
        <v>1642.48315</v>
      </c>
      <c r="S330" s="3">
        <f>1823.5+(193.4-408.4)+(0+(0-0))+0-27.3-0</f>
        <v>1581.2</v>
      </c>
      <c r="T330" s="3">
        <f>1894.6+(183-522)+(-0.966246+(-0.09333--0.26622))+0-29.2--0.014891999999997</f>
        <v>1525.6215359999999</v>
      </c>
      <c r="U330" s="3">
        <f>1989.4+(200.6-631.8)+(-1.014594+(-0.102306--0.322218))+0-30.3--0.0154529999999969</f>
        <v>1527.1207710000003</v>
      </c>
      <c r="V330" s="3">
        <f>1994.3+(220-636.1)+(2.034186+(0.2244-0.648822))+0-30.1-0.0307020000000048</f>
        <v>1549.6790619999999</v>
      </c>
      <c r="W330" s="3">
        <f>1991.2+(229.5-585)+(-1.015512+(-0.117045--0.29835))+0-28.4--0.0144839999999971</f>
        <v>1606.4802769999999</v>
      </c>
      <c r="X330" s="3">
        <f>1991.1+(327.9-443.4)+(-1.015461+(-0.167229--0.226134))+0-28.9--0.0147389999999971</f>
        <v>1845.7581829999997</v>
      </c>
      <c r="Y330" s="3">
        <f>1907.3+(349.7-348.7)+(-3.890892+(-0.713388--0.711348))+0-29.1--0.0593639999999987</f>
        <v>1875.366432</v>
      </c>
      <c r="Z330" s="3">
        <f>1788.1+(365.6-298)+(-0.911931+(-0.186456--0.15198))+0-28.8--0.0146879999999971</f>
        <v>1825.9682809999999</v>
      </c>
      <c r="AA330" s="3">
        <f>1740.5+(352.1-295.9)+(3.55062+(0.718284-0.603636))+0-28.4-0.0579359999999988</f>
        <v>1771.907332</v>
      </c>
      <c r="AB330" s="3">
        <f>1714+(246.9-231)+(-1.74828+(-0.251838--0.23562))+0-26.5--0.0270300000000042</f>
        <v>1701.6625320000001</v>
      </c>
      <c r="AC330" s="3">
        <f>1739.5+(159.4-300.2)+(-3.54858+(-0.325176--0.612408))+0-26.3--0.0536519999999989</f>
        <v>1569.1923040000001</v>
      </c>
      <c r="AD330">
        <v>1878.6</v>
      </c>
      <c r="AE330" s="3">
        <f>1988+(336.2-401.3)+(0+(0-0))+0-29.3-0</f>
        <v>1893.6000000000001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1695.1+(145-408.3)+(-2.593503+(-0.22185--0.624699))+0-26.2--0.0400860000000015</f>
        <v>1403.4494319999999</v>
      </c>
      <c r="G331" s="3">
        <f>1689.4+(178.1-533.1)+(-1.723188+(-0.181662--0.543762))+0-27.4--0.0279480000000044</f>
        <v>1305.6668599999998</v>
      </c>
      <c r="H331" s="3">
        <f>1688.1+(201.2-610.2)+(0.860931+(0.102612-0.311202))+0-27.6-0.0140759999999972</f>
        <v>1252.138265</v>
      </c>
      <c r="I331" s="3">
        <f>1688.5+(207.5-639.7)+(0+(0-0))+0-27.5-0</f>
        <v>1228.8</v>
      </c>
      <c r="J331" s="3">
        <f>1690.4+(212.4-656)+(0.862104+(0.108324-0.33456))+0-27.4-0.0139739999999972</f>
        <v>1220.0218940000002</v>
      </c>
      <c r="K331" s="3">
        <f>1692.4+(210.1-654.4)+(4.31562+(0.535755-1.66872))+0-27.6-0.070379999999996</f>
        <v>1223.6122750000004</v>
      </c>
      <c r="L331" s="3">
        <f>1692+(197.9-583.4)+(-0.86292+(-0.100929--0.297534))+0-27.2--0.0138719999999972</f>
        <v>1278.647557</v>
      </c>
      <c r="M331" s="3">
        <f>1720.1+(119.8-483.1)+(0+(0-0))+0-29.2-0</f>
        <v>1327.6</v>
      </c>
      <c r="N331" s="3">
        <f>1801.9+(149.1-480.1)+(0+(0-0))+0-30-0</f>
        <v>1440.9</v>
      </c>
      <c r="O331" s="3">
        <f>1818.1+(161.6-384.3)+(0.927231+(0.082416-0.195993))+0-29.8-0.015197999999997</f>
        <v>1566.3984559999999</v>
      </c>
      <c r="P331" s="3">
        <f>1812.5+(173.6-345.9)+(-1.84875+(-0.177072--0.352818))+0-19.2--0.0195840000000031</f>
        <v>1619.3465799999999</v>
      </c>
      <c r="Q331" s="3">
        <f>1744.6+(189.9-258)+(-2.669238+(-0.290547--0.39474))+0-12--0.0183600000000007</f>
        <v>1661.953315</v>
      </c>
      <c r="R331" s="3">
        <f>1661.6+(199.2-221.3)+(-1.694832+(-0.203184--0.225726))+0-8.1--0.00826200000000129</f>
        <v>1629.7359720000002</v>
      </c>
      <c r="S331" s="3">
        <f>1627.2+(196.5-242.3)+(2.489616+(0.300645-0.370719))+0-5-0.00765000000000029</f>
        <v>1578.8118920000002</v>
      </c>
      <c r="T331" s="3">
        <f>1585.4+(200.3-247.8)+(-1.617108+(-0.204306--0.252756))+0-4.9--0.00499800000000078</f>
        <v>1531.4363400000002</v>
      </c>
      <c r="U331" s="3">
        <f>1586.8+(195.5-252.2)+(0.809268+(0.099705-0.128622))+0-4.7-0.00239699999999952</f>
        <v>1526.177954</v>
      </c>
      <c r="V331" s="3">
        <f>1587.6+(220.1-266.4)+(0.809676+(0.112251-0.135864))+0-3.9-0.0019889999999996</f>
        <v>1538.1840739999998</v>
      </c>
      <c r="W331" s="3">
        <f>1645+(228.9-283.8)+(0.83895+(0.116739-0.144738))+0-3-0.0015299999999997</f>
        <v>1587.9094209999998</v>
      </c>
      <c r="X331" s="3">
        <f>1685.1+(400.8-253.9)+(0+(0-0))+0-2.1-0</f>
        <v>1829.9</v>
      </c>
      <c r="Y331" s="3">
        <f>1685.5+(421.5-237.3)+(-4.298025+(-1.074825--0.605115))+0-2.1--0.0053549999999997</f>
        <v>1862.8376200000002</v>
      </c>
      <c r="Z331" s="3">
        <f>1632.1+(429.4-236.2)+(-0.832371+(-0.218994--0.120462))+0-2.2--0.00112199999999978</f>
        <v>1822.1702189999999</v>
      </c>
      <c r="AA331" s="3">
        <f>1622.4+(395.4-258.3)+(-2.482272+(-0.604962--0.395199))+0-2.1--0.00321300000000012</f>
        <v>1754.711178</v>
      </c>
      <c r="AB331" s="3">
        <f>1625.1+(262.5-207.5)+(-0.828801+(-0.133875--0.105825))+0-2.2--0.00112199999999978</f>
        <v>1677.0442709999998</v>
      </c>
      <c r="AC331" s="3">
        <f>1610.8+(203.6-253.2)+(-4.10754+(-0.51918--0.64566))+0-2.2--0.00560999999999968</f>
        <v>1555.0245499999999</v>
      </c>
      <c r="AD331">
        <v>1864.3000000000002</v>
      </c>
      <c r="AE331" s="3">
        <f>1680+(429.3-226.9)+(0+(0-0))+0-2.3-0</f>
        <v>1880.1000000000001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1604.9+(140.3-336.5)+(-3.273996+(-0.286212--0.68646))+0-2.1--0.00428399999999991</f>
        <v>1403.7305360000003</v>
      </c>
      <c r="G332" s="3">
        <f>1605.1+(182.6-490.9)+(0+(0-0))+0-2-0</f>
        <v>1294.8</v>
      </c>
      <c r="H332" s="3">
        <f>1605.7+(219.5-551.9)+(-0.818907+(-0.111945--0.281469))+0-1.9--0.000968999999999807</f>
        <v>1270.7515860000001</v>
      </c>
      <c r="I332" s="3">
        <f>1616.5+(213.4-589.7)+(1.64883+(0.217668-0.601494))+0-2-0.00204000000000032</f>
        <v>1239.4629639999998</v>
      </c>
      <c r="J332" s="3">
        <f>1605.5+(212.7-601)+(-1.63761+(-0.216954--0.61302))+0-2--0.00204000000000032</f>
        <v>1213.9604960000001</v>
      </c>
      <c r="K332" s="3">
        <f>1757.4+(212.7-702.3)+(0.896274+(0.108477-0.358173))+0-2-0.0010199999999998</f>
        <v>1266.4455580000003</v>
      </c>
      <c r="L332" s="3">
        <f>1785.3+(193.8-694.4)+(0+(0-0))+0-1.9-0</f>
        <v>1282.8</v>
      </c>
      <c r="M332" s="3">
        <f>1786+(103.6-535.1)+(0.91086+(0.052836-0.272901))+0-2-0.0010199999999998</f>
        <v>1353.1897750000001</v>
      </c>
      <c r="N332" s="3">
        <f>1784.1+(160.9-475.7)+(2.729673+(0.246177-0.727821))+0-2.2-0.00336600000000013</f>
        <v>1469.3446630000001</v>
      </c>
      <c r="O332" s="3">
        <f>1782.1+(168-368.6)+(2.726613+(0.25704-0.563958))+0-2.6-0.00397800000000015</f>
        <v>1581.3157170000002</v>
      </c>
      <c r="P332" s="3">
        <f>1787.1+(140.2-283.3)+(3.645684+(0.286008-0.577932))+0-3.1-0.00632399999999986</f>
        <v>1644.2474360000001</v>
      </c>
      <c r="Q332" s="3">
        <f>1783.6+(155.9-254.5)+(-1.819272+(-0.159018--0.25959))+0-3.3--0.00336600000000053</f>
        <v>1679.9846660000001</v>
      </c>
      <c r="R332" s="3">
        <f>1775.2+(150.8-250.6)+(-4.52676+(-0.38454--0.63903))+0-2.1--0.0053549999999997</f>
        <v>1669.0330850000003</v>
      </c>
      <c r="S332" s="3">
        <f>1778.1+(123.6-269.5)+(0.906831+(0.063036-0.137445))+0-2.4-0.00122399999999976</f>
        <v>1630.6311979999996</v>
      </c>
      <c r="T332" s="3">
        <f>1782.7+(109-294.3)+(0+(0-0))+0-2-0</f>
        <v>1595.4</v>
      </c>
      <c r="U332" s="3">
        <f>1782.8+(120.8-311.1)+(1.818456+(0.123216-0.317322))+0-2-0.00204000000000032</f>
        <v>1592.12231</v>
      </c>
      <c r="V332" s="3">
        <f>1789.8+(156.4-347.3)+(-1.825596+(-0.159528--0.354246))+0-1.8--0.00183600000000029</f>
        <v>1595.4709579999999</v>
      </c>
      <c r="W332" s="3">
        <f>1821.5+(200.7-365.2)+(-1.85793+(-0.204714--0.372504))+0-2.1--0.00214200000000034</f>
        <v>1653.2120020000002</v>
      </c>
      <c r="X332" s="3">
        <f>1833.5+(347.3-314.9)+(-2.805255+(-0.531369--0.481797))+0-2.1--0.00321300000000012</f>
        <v>1860.9483860000003</v>
      </c>
      <c r="Y332" s="3">
        <f>1832.7+(366.4-296.7)+(-3.738708+(-0.747456--0.605268))+0-2.5--0.00509999999999989</f>
        <v>1896.0242040000003</v>
      </c>
      <c r="Z332" s="3">
        <f>1782.2+(366.4-298.5)+(-2.726766+(-0.560592--0.456705))+0-2.3--0.00351900000000013</f>
        <v>1844.9728660000001</v>
      </c>
      <c r="AA332" s="3">
        <f>1726.2+(348.7-283.9)+(-2.641086+(-0.533511--0.434367))+0-3.9--0.00596700000000023</f>
        <v>1784.3657369999999</v>
      </c>
      <c r="AB332" s="3">
        <f>1707+(244.7-236.5)+(-1.74114+(-0.249594--0.24123))+0-3.7--0.00377400000000059</f>
        <v>1709.7542700000001</v>
      </c>
      <c r="AC332" s="3">
        <f>1666.6+(179.1-268)+(-1.699932+(-0.182682--0.27336))+0-3.8--0.00387600000000061</f>
        <v>1572.2946219999999</v>
      </c>
      <c r="AD332">
        <v>1872.2</v>
      </c>
      <c r="AE332" s="3">
        <f>1833+(360-296.2)+(0+(0-0))+0-2.4-0</f>
        <v>1894.3999999999999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1634.9+(152.6-358.4)+(-4.168995+(-0.38913--0.91392))+0-3.8--0.00968999999999945</f>
        <v>1421.6654850000002</v>
      </c>
      <c r="G333" s="3">
        <f>1629.3+(167-484.5)+(-2.492829+(-0.25551--0.741285))+0-3.8--0.00581400000000022</f>
        <v>1305.9987600000002</v>
      </c>
      <c r="H333" s="3">
        <f>1629.1+(199.1-569.7)+(-2.492523+(-0.304623--0.871641))+0-3.8--0.00581400000000022</f>
        <v>1252.7803090000002</v>
      </c>
      <c r="I333" s="3">
        <f>1630.4+(212.4-598.9)+(-3.326016+(-0.433296--1.221756))+0-3.8--0.00775199999999983</f>
        <v>1237.5701960000001</v>
      </c>
      <c r="J333" s="3">
        <f>1553.4+(212.1-537.2)+(1.584468+(0.216342-0.547944))+0-3.7-0.00377400000000059</f>
        <v>1225.8490920000002</v>
      </c>
      <c r="K333" s="3">
        <f>1674.8+(211.4-643.3)+(0.854148+(0.107814-0.328083))+0-3.7-0.00188699999999962</f>
        <v>1239.8319920000001</v>
      </c>
      <c r="L333" s="3">
        <f>1667.9+(193.2-572.2)+(-0.850629+(-0.098532--0.291822))+0-4.8--0.00244799999999951</f>
        <v>1283.445109</v>
      </c>
      <c r="M333" s="3">
        <f>1669+(131.1-462.7)+(0+(0-0))+0-7.6-0</f>
        <v>1329.8000000000002</v>
      </c>
      <c r="N333" s="3">
        <f>1659.8+(140.7-319.3)+(0.846498+(0.071757-0.162843))+0-21.6-0.0110159999999978</f>
        <v>1460.344396</v>
      </c>
      <c r="O333" s="3">
        <f>1654.5+(225.2-270.7)+(-0.843795+(-0.114852--0.138057))+0-27.2--0.0138719999999972</f>
        <v>1580.9932819999999</v>
      </c>
      <c r="P333" s="3">
        <f>1641.6+(288.2-252)+(0+(0-0))+0-28.2-0</f>
        <v>1649.6</v>
      </c>
      <c r="Q333" s="3">
        <f>1639.3+(321.5-240.4)+(-1.672086+(-0.32793--0.245208))+0-28.3--0.0288660000000045</f>
        <v>1690.3740580000001</v>
      </c>
      <c r="R333" s="3">
        <f>1635.3+(295.2-226)+(-3.336012+(-0.602208--0.46104))+0-28.2--0.0575279999999988</f>
        <v>1672.8803479999999</v>
      </c>
      <c r="S333" s="3">
        <f>1632.1+(221.1-239.3)+(-3.329484+(-0.451044--0.488172))+0-28.3--0.0577319999999988</f>
        <v>1582.365376</v>
      </c>
      <c r="T333" s="3">
        <f>1636.3+(180.4-240.6)+(-1.669026+(-0.184008--0.245412))+0-28.2--0.0287640000000045</f>
        <v>1546.3211419999998</v>
      </c>
      <c r="U333" s="3">
        <f>1621.2+(171.5-196.5)+(-3.307248+(-0.34986--0.40086))+0-27.5--0.0560999999999988</f>
        <v>1565.4998520000001</v>
      </c>
      <c r="V333" s="3">
        <f>1581.6+(243.9-181.5)+(-0.806616+(-0.124389--0.092565))+0-21.8--0.0111179999999978</f>
        <v>1621.372678</v>
      </c>
      <c r="W333" s="3">
        <f>1555.3+(244-224)+(-2.379609+(-0.37332--0.34272))+0-9.4--0.0143820000000005</f>
        <v>1563.504173</v>
      </c>
      <c r="X333" s="3">
        <f>1672.2+(382.1-247.4)+(-1.705644+(-0.389742--0.252348))+0-18.3--0.0186660000000029</f>
        <v>1786.7756280000001</v>
      </c>
      <c r="Y333" s="3">
        <f>1674.4+(409.5-235.3)+(-1.707888+(-0.41769--0.240006))+0-27.3--0.0278460000000044</f>
        <v>1819.4422740000002</v>
      </c>
      <c r="Z333" s="3">
        <f>1671.4+(385.1-253.7)+(-2.557242+(-0.589203--0.388161))+0-28.2--0.0431460000000016</f>
        <v>1771.8848620000001</v>
      </c>
      <c r="AA333" s="3">
        <f>1703.7+(317.4-311.8)+(-1.737774+(-0.323748--0.318036))+0-27.9--0.0284580000000044</f>
        <v>1679.6849719999998</v>
      </c>
      <c r="AB333" s="3">
        <f>1748.6+(235.8-270.2)+(-2.675358+(-0.360774--0.413406))+0-27.4--0.0419220000000016</f>
        <v>1684.2191959999998</v>
      </c>
      <c r="AC333" s="3">
        <f>1598.9+(233.9-227.1)+(0+(0-0))+0-26.6-0</f>
        <v>1579.1000000000001</v>
      </c>
      <c r="AD333">
        <v>1809.6000000000001</v>
      </c>
      <c r="AE333" s="3">
        <f>1675+(403.4-226.1)+(0+(0-0))+0-22.5-0</f>
        <v>1829.8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1531.5+(169.6-277)+(-1.56213+(-0.172992--0.28254))+0-26.4--0.0269280000000042</f>
        <v>1396.2743459999999</v>
      </c>
      <c r="G334" s="3">
        <f>1538.2+(187.6-419.4)+(-0.784482+(-0.095676--0.213894))+0-27.3--0.0139229999999972</f>
        <v>1278.4476590000002</v>
      </c>
      <c r="H334" s="3">
        <f>1537+(209.4-502.2)+(0+(0-0))+0-27.7-0</f>
        <v>1216.5</v>
      </c>
      <c r="I334" s="3">
        <f>1520.9+(205.8-507.1)+(-1.551318+(-0.209916--0.517242))+0-27.3--0.0278460000000044</f>
        <v>1191.0838540000002</v>
      </c>
      <c r="J334" s="3">
        <f>1421.7+(208.6-419.1)+(3.625335+(0.53193-1.068705))+0-27-0.0688499999999961</f>
        <v>1187.2197100000001</v>
      </c>
      <c r="K334" s="3">
        <f>1407.8+(216.9-408.8)+(0.717978+(0.110619-0.208488))+0-27.3-0.0139229999999972</f>
        <v>1189.2061859999999</v>
      </c>
      <c r="L334" s="3">
        <f>1404.6+(206.2-393.1)+(-1.432692+(-0.210324--0.400962))+0-27.8--0.0283560000000044</f>
        <v>1188.6863019999998</v>
      </c>
      <c r="M334" s="3">
        <f>1407+(109.3-344.8)+(0.71757+(0.055743-0.175848))+0-27.5-0.0140249999999972</f>
        <v>1144.5834400000001</v>
      </c>
      <c r="N334" s="3">
        <f>1459.2+(134.3-366.1)+(0+(0-0))+0-29.9-0</f>
        <v>1197.5</v>
      </c>
      <c r="O334" s="3">
        <f>1489.7+(140.6-285.8)+(-0.759747+(-0.071706--0.145758))+0-29.9--0.015248999999997</f>
        <v>1313.9295540000001</v>
      </c>
      <c r="P334" s="3">
        <f>1482.9+(174.8-237.4)+(-0.756279+(-0.089148--0.121074))+0-30.3--0.0154529999999969</f>
        <v>1389.2911000000001</v>
      </c>
      <c r="Q334" s="3">
        <f>1479.8+(196.6-213.3)+(-3.018792+(-0.401064--0.435132))+0-30.1--0.0614039999999987</f>
        <v>1430.0766800000001</v>
      </c>
      <c r="R334" s="3">
        <f>1473.3+(182.7-215.5)+(-2.254149+(-0.279531--0.329715))+0-27.9--0.0426870000000016</f>
        <v>1410.4387220000001</v>
      </c>
      <c r="S334" s="3">
        <f>1464.8+(166-228.3)+(-2.241144+(-0.25398--0.349299))+0-28--0.0428400000000016</f>
        <v>1372.397015</v>
      </c>
      <c r="T334" s="3">
        <f>1441.8+(151-226)+(-2.941272+(-0.30804--0.46104))+0-29.5--0.0601799999999987</f>
        <v>1334.5719079999999</v>
      </c>
      <c r="U334" s="3">
        <f>1443.5+(175.6-279.9)+(-0.736185+(-0.089556--0.142749))+0-29.8--0.015197999999997</f>
        <v>1308.7322060000001</v>
      </c>
      <c r="V334" s="3">
        <f>1445+(180.8-283.1)+(-0.73695+(-0.092208--0.144381))+0-29.9--0.015248999999997</f>
        <v>1312.1304720000001</v>
      </c>
      <c r="W334" s="3">
        <f>1527.1+(170.6-295.2)+(-1.557642+(-0.174012--0.301104))+0-29.3--0.0298860000000047</f>
        <v>1371.799336</v>
      </c>
      <c r="X334" s="3">
        <f>1691.3+(319.2-354.1)+(0+(0-0))+0-27.4-0</f>
        <v>1628.9999999999998</v>
      </c>
      <c r="Y334" s="3">
        <f>1752.2+(317.3-322.5)+(0.893622+(0.161823-0.164475))+0-27.4-0.0139739999999972</f>
        <v>1720.4769959999999</v>
      </c>
      <c r="Z334" s="3">
        <f>1739.2+(313.1-333.8)+(-1.773984+(-0.319362--0.340476))+0-25.5--0.0260100000000041</f>
        <v>1691.27314</v>
      </c>
      <c r="AA334" s="3">
        <f>1688.3+(317.4-310)+(-4.305165+(-0.80937--0.7905))+0-25.6--0.0652799999999963</f>
        <v>1665.8412449999998</v>
      </c>
      <c r="AB334" s="3">
        <f>1631.8+(200.4-260.8)+(-1.664436+(-0.204408--0.266016))+0-26--0.0265200000000041</f>
        <v>1543.8236919999997</v>
      </c>
      <c r="AC334" s="3">
        <f>1631.7+(161.4-264.5)+(-3.328668+(-0.329256--0.53958))+0-25--0.0509999999999989</f>
        <v>1500.5326560000001</v>
      </c>
      <c r="AD334">
        <v>1681.1</v>
      </c>
      <c r="AE334" s="3">
        <f>1746+(312-329.2)+(0+(0-0))+0-26.7-0</f>
        <v>1702.1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1633.1+(168.4-435.8)+(-4.164405+(-0.42942--1.11129))+0-27.4--0.069869999999996</f>
        <v>1334.8873349999997</v>
      </c>
      <c r="G335" s="3">
        <f>1623.4+(191.2-562.2)+(-4.13967+(-0.48756--1.43361))+0-27.7--0.070634999999996</f>
        <v>1221.5770150000001</v>
      </c>
      <c r="H335" s="3">
        <f>1561+(215.8-585.8)+(-3.18444+(-0.440232--1.195032))+0-27.5--0.0560999999999988</f>
        <v>1161.12646</v>
      </c>
      <c r="I335" s="3">
        <f>1433.6+(226.3-470.4)+(-2.924544+(-0.461652--0.959616))+0-27.7--0.0565079999999988</f>
        <v>1159.4299279999998</v>
      </c>
      <c r="J335" s="3">
        <f>1392.4+(234.3-456.6)+(0.710124+(0.119493-0.232866))+0-27.1-0.0138209999999973</f>
        <v>1143.5829300000003</v>
      </c>
      <c r="K335" s="3">
        <f>1455.9+(233.1-510.1)+(2.970036+(0.475524-1.040604))+0-27.4-0.0558959999999988</f>
        <v>1153.84906</v>
      </c>
      <c r="L335" s="3">
        <f>1653.8+(211.1-604.3)+(-4.21719+(-0.538305--1.540965))+0-26.9--0.0685949999999961</f>
        <v>1230.5540649999998</v>
      </c>
      <c r="M335" s="3">
        <f>1692.7+(182.3-548.3)+(1.726554+(0.185946-0.559266))+0-25.5-0.0260100000000041</f>
        <v>1302.5272239999999</v>
      </c>
      <c r="N335" s="3">
        <f>1761+(194.5-482.1)+(0+(0-0))+0-29.7-0</f>
        <v>1443.7</v>
      </c>
      <c r="O335" s="3">
        <f>1818.5+(164.9-357.9)+(-0.927435+(-0.084099--0.182529))+0-29.9--0.015248999999997</f>
        <v>1594.7862439999999</v>
      </c>
      <c r="P335" s="3">
        <f>1843.6+(149.4-310.8)+(-4.70118+(-0.38097--0.79254))+0-29.9--0.0762449999999957</f>
        <v>1648.0866349999997</v>
      </c>
      <c r="Q335" s="3">
        <f>1983.9+(117.6-383.8)+(2.023578+(0.119952-0.391476))+0-29.2-0.0297840000000047</f>
        <v>1690.22227</v>
      </c>
      <c r="R335" s="3">
        <f>1965.8+(109.4-376.8)+(-5.01279+(-0.27897--0.96084))+0-27.9--0.0711449999999959</f>
        <v>1666.2402249999998</v>
      </c>
      <c r="S335" s="3">
        <f>1946.1+(115.1-409.6)+(-4.962555+(-0.293505--1.04448))+0-25.7--0.0655349999999963</f>
        <v>1621.7539549999999</v>
      </c>
      <c r="T335" s="3">
        <f>1890.6+(129.9-400.2)+(-0.964206+(-0.066249--0.204102))+0-28.4--0.0144839999999971</f>
        <v>1591.088131</v>
      </c>
      <c r="U335" s="3">
        <f>1840.7+(151.4-392.7)+(0+(0-0))+0-30.5-0</f>
        <v>1568.9</v>
      </c>
      <c r="V335" s="3">
        <f>1839+(208-442.3)+(-1.87578+(-0.21216--0.451146))+0-30.1--0.0307020000000048</f>
        <v>1572.9939080000001</v>
      </c>
      <c r="W335" s="3">
        <f>1902.1+(232.8-491.1)+(0.970071+(0.118728-0.250461))+0-29.3-0.014942999999997</f>
        <v>1615.3233950000001</v>
      </c>
      <c r="X335" s="3">
        <f>2079.5+(314.5-520)+(-1.060545+(-0.160395--0.2652))+0-29.8--0.015197999999997</f>
        <v>1843.259458</v>
      </c>
      <c r="Y335" s="3">
        <f>1947.2+(329.4-375.3)+(-0.993072+(-0.167994--0.191403))+0-29.4--0.014993999999997</f>
        <v>1870.9453309999997</v>
      </c>
      <c r="Z335" s="3">
        <f>1797.8+(345.1-288.3)+(-3.667512+(-0.704004--0.588132))+0-29.3--0.0597719999999987</f>
        <v>1821.576388</v>
      </c>
      <c r="AA335" s="3">
        <f>1805.4+(338.6-343)+(0.920754+(0.172686-0.17493))+0-27.6-0.0140759999999972</f>
        <v>1774.3044340000001</v>
      </c>
      <c r="AB335" s="3">
        <f>1800.8+(195.1-269.7)+(-3.673632+(-0.398004--0.550188))+0-27.2--0.0554879999999988</f>
        <v>1695.53404</v>
      </c>
      <c r="AC335" s="3">
        <f>1799.1+(196.3-383)+(-4.587705+(-0.500565--0.97665))+0-27.5--0.070124999999996</f>
        <v>1580.8585049999999</v>
      </c>
      <c r="AD335">
        <v>1850.7</v>
      </c>
      <c r="AE335" s="3">
        <f>2078+(314.4-487.3)+(0+(0-0))+0-30.4-0</f>
        <v>1874.6999999999998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1790.9+(144.9-496.5)+(-2.740077+(-0.221697--0.759645))+0-27.8--0.0425340000000016</f>
        <v>1409.3404050000001</v>
      </c>
      <c r="G336" s="3">
        <f>1740.2+(180.2-598.1)+(-3.550008+(-0.367608--1.220124))+0-27.6--0.0563039999999988</f>
        <v>1292.058812</v>
      </c>
      <c r="H336" s="3">
        <f>1588.5+(211.3-546.1)+(1.62027+(0.215526-0.557022))+0-27-0.0275400000000043</f>
        <v>1227.9512340000001</v>
      </c>
      <c r="I336" s="3">
        <f>1562.3+(228-574.6)+(-2.390319+(-0.34884--0.879138))+0-27.3--0.0417690000000016</f>
        <v>1186.5817479999998</v>
      </c>
      <c r="J336" s="3">
        <f>1548.3+(235.2-581.5)+(-0.789633+(-0.119952--0.296565))+0-27.4--0.0139739999999972</f>
        <v>1174.0009539999999</v>
      </c>
      <c r="K336" s="3">
        <f>1589.5+(238.8-616.7)+(1.62129+(0.243576-0.629034))+0-27.6-0.0281520000000044</f>
        <v>1185.20768</v>
      </c>
      <c r="L336" s="3">
        <f>1677.9+(242.3-646.9)+(0.855729+(0.123573-0.329919))+0-27.8-0.0141779999999972</f>
        <v>1246.1352050000003</v>
      </c>
      <c r="M336" s="3">
        <f>1783.9+(224.4-686.2)+(0.909789+(0.114444-0.349962))+0-28.6-0.0145859999999971</f>
        <v>1294.1596850000001</v>
      </c>
      <c r="N336" s="3">
        <f>1896.4+(236.8-689)+(-0.967164+(-0.120768--0.35139))+0-29.5--0.015044999999997</f>
        <v>1413.978503</v>
      </c>
      <c r="O336" s="3">
        <f>2015.6+(241-688.4)+(-1.027956+(-0.12291--0.351084))+0-30.4--0.0155039999999969</f>
        <v>1537.0157219999996</v>
      </c>
      <c r="P336" s="3">
        <f>2067.8+(210.3-623.3)+(1.054578+(0.107253-0.317883))+0-30.6-0.0156059999999969</f>
        <v>1625.0283420000003</v>
      </c>
      <c r="Q336" s="3">
        <f>2069.6+(214.5-574.5)+(-2.110992+(-0.21879--0.58599))+0-30.1--0.0307020000000048</f>
        <v>1677.78691</v>
      </c>
      <c r="R336" s="3">
        <f>1986.5+(219.7-520)+(-4.05246+(-0.448188--1.0608))+0-28.5--0.0581399999999988</f>
        <v>1654.3182920000002</v>
      </c>
      <c r="S336" s="3">
        <f>1951.8+(236.2-557.1)+(-2.986254+(-0.361386--0.852363))+0-28.2--0.0431460000000016</f>
        <v>1600.2478689999998</v>
      </c>
      <c r="T336" s="3">
        <f>1876.6+(250.9-548.5)+(0.957066+(0.127959-0.279735))+0-29.1-0.014840999999997</f>
        <v>1550.6904490000002</v>
      </c>
      <c r="U336" s="3">
        <f>1898.9+(242.2-560.2)+(-3.873756+(-0.494088--1.142808))+0-29.6--0.0603839999999987</f>
        <v>1548.135348</v>
      </c>
      <c r="V336" s="3">
        <f>1961.9+(235-618.6)+(0+(0-0))+0-29.6-0</f>
        <v>1548.7000000000003</v>
      </c>
      <c r="W336" s="3">
        <f>2068.7+(227.3-671.7)+(-1.055037+(-0.115923--0.342567))+0-28.4--0.0144839999999971</f>
        <v>1595.0860909999997</v>
      </c>
      <c r="X336" s="3">
        <f>2154.3+(313.7-620.8)+(-1.098693+(-0.159987--0.316608))+0-27.8--0.0141779999999972</f>
        <v>1818.4721060000002</v>
      </c>
      <c r="Y336" s="3">
        <f>2171.4+(315.4-593.3)+(-3.322242+(-0.482562--0.907749))+0-27.7--0.0423810000000016</f>
        <v>1862.945326</v>
      </c>
      <c r="Z336" s="3">
        <f>2136.9+(305.4-606.7)+(-5.449095+(-0.77877--1.547085))+0-27.8--0.070889999999996</f>
        <v>1803.19011</v>
      </c>
      <c r="AA336" s="3">
        <f>2008.7+(304.5-522.7)+(1.024437+(0.155295-0.266577))+0-27.8-0.0141779999999972</f>
        <v>1763.5989770000001</v>
      </c>
      <c r="AB336" s="3">
        <f>1722.3+(236.5-244.9)+(-3.513492+(-0.48246--0.499596))+0-27.9--0.0569159999999988</f>
        <v>1682.5605599999997</v>
      </c>
      <c r="AC336" s="3">
        <f>1671.4+(240.7-314.1)+(-3.409656+(-0.491028--0.640764))+0-28.2--0.0575279999999988</f>
        <v>1566.597608</v>
      </c>
      <c r="AD336">
        <v>1835.8000000000002</v>
      </c>
      <c r="AE336" s="3">
        <f>2132+(318.6-571)+(0+(0-0))+0-27.6-0</f>
        <v>1852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1522.2+(225.3-322.1)+(-3.105288+(-0.459612--0.657084))+0-28.3--0.0577319999999988</f>
        <v>1394.2499160000002</v>
      </c>
      <c r="G337" s="3">
        <f>1485.9+(238-417)+(-2.273427+(-0.36414--0.63801))+0-28--0.0428400000000016</f>
        <v>1276.9432830000001</v>
      </c>
      <c r="H337" s="3">
        <f>1495.9+(250.7-493.2)+(-1.525818+(-0.255714--0.503064))+0-28--0.0285600000000045</f>
        <v>1224.1500920000001</v>
      </c>
      <c r="I337" s="3">
        <f>1487.8+(256.9-527.5)+(-1.517556+(-0.262038--0.53805))+0-27.6--0.0281520000000044</f>
        <v>1188.386608</v>
      </c>
      <c r="J337" s="3">
        <f>1497.6+(259-535)+(1.527552+(0.26418-0.5457))+0-28.2-0.0287640000000045</f>
        <v>1194.617268</v>
      </c>
      <c r="K337" s="3">
        <f>1488.2+(248.5-518.7)+(2.276946+(0.380205-0.793611))+0-28-0.0428400000000016</f>
        <v>1191.8207</v>
      </c>
      <c r="L337" s="3">
        <f>1532.1+(228.6-486.6)+(1.562742+(0.233172-0.496332))+0-28-0.0285600000000045</f>
        <v>1247.371022</v>
      </c>
      <c r="M337" s="3">
        <f>1535.5+(176.9-391.4)+(-0.783105+(-0.090219--0.199614))+0-29.2--0.014891999999997</f>
        <v>1291.1411819999998</v>
      </c>
      <c r="N337" s="3">
        <f>1587.4+(240.3-384.6)+(2.428722+(0.367659-0.588438))+0-29.8-0.0455940000000017</f>
        <v>1415.4623490000004</v>
      </c>
      <c r="O337" s="3">
        <f>1631.3+(231.1-295)+(1.663926+(0.235722-0.3009))+0-30.8-0.0314160000000049</f>
        <v>1538.1673319999998</v>
      </c>
      <c r="P337" s="3">
        <f>1633.6+(227.8-237.3)+(1.666272+(0.232356-0.242046))+0-31.4-0.032028000000005</f>
        <v>1594.3245539999998</v>
      </c>
      <c r="Q337" s="3">
        <f>1638.1+(254.9-233.1)+(-0.835431+(-0.129999--0.118881))+0-30.6--0.0156059999999969</f>
        <v>1628.4690569999998</v>
      </c>
      <c r="R337" s="3">
        <f>1635.6+(245-247.7)+(-2.502468+(-0.37485--0.378981))+0-28.9--0.0442170000000017</f>
        <v>1601.5458799999997</v>
      </c>
      <c r="S337" s="3">
        <f>1618.4+(234.7-232.7)+(0.825384+(0.119697-0.118677))+0-28.2-0.0143819999999971</f>
        <v>1593.0120219999999</v>
      </c>
      <c r="T337" s="3">
        <f>1617.8+(201.6-223.9)+(-0.825078+(-0.102816--0.114189))+0-29.4--0.014993999999997</f>
        <v>1565.3012889999998</v>
      </c>
      <c r="U337" s="3">
        <f>1609.8+(194.2-203.9)+(-3.283992+(-0.396168--0.415956))+0-30.2--0.0616079999999987</f>
        <v>1566.6974039999998</v>
      </c>
      <c r="V337" s="3">
        <f>1583.3+(206.8-189.3)+(0.807483+(0.105468-0.096543))+0-29.8-0.015197999999997</f>
        <v>1571.8012099999999</v>
      </c>
      <c r="W337" s="3">
        <f>1593.2+(233.6-203.9)+(0+(0-0))+0-28.8-0</f>
        <v>1594.1000000000001</v>
      </c>
      <c r="X337" s="3">
        <f>1682.4+(375-225.3)+(-1.716048+(-0.3825--0.229806))+0-29.4--0.0299880000000047</f>
        <v>1800.8612459999999</v>
      </c>
      <c r="Y337" s="3">
        <f>1628.3+(405.7-209.2)+(-5.813031+(-1.448349--0.746844))+0-28.9--0.103173</f>
        <v>1789.4886369999999</v>
      </c>
      <c r="Z337" s="3">
        <f>1636.8+(368.6-212.5)+(-3.339072+(-0.751944--0.4335))+0-29.2--0.0595679999999987</f>
        <v>1760.102052</v>
      </c>
      <c r="AA337" s="3">
        <f>1711.5+(304-264.5)+(-5.23719+(-0.93024--0.80937))+0-29.2--0.0893520000000034</f>
        <v>1716.5312919999999</v>
      </c>
      <c r="AB337" s="3">
        <f>1662.3+(255.2-203.1)+(-1.695546+(-0.260304--0.207162))+0-27.8--0.0283560000000044</f>
        <v>1684.879668</v>
      </c>
      <c r="AC337" s="3">
        <f>1570.4+(214.7-218.8)+(-3.203616+(-0.437988--0.446352))+0-18.7--0.0381479999999992</f>
        <v>1544.4428960000002</v>
      </c>
      <c r="AD337">
        <v>1831.6</v>
      </c>
      <c r="AE337" s="3">
        <f>1692+(397.7-210.3)+(0+(0-0))+0-28.8-0</f>
        <v>1850.6000000000001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1523.7+(199.2-293.9)+(-2.331261+(-0.304776--0.449667))+0-26.8--0.0410040000000016</f>
        <v>1400.0546340000001</v>
      </c>
      <c r="G338" s="3">
        <f>1519.3+(229.1-423.1)+(-0.774843+(-0.116841--0.215781))+0-27--0.0137699999999973</f>
        <v>1297.6378669999999</v>
      </c>
      <c r="H338" s="3">
        <f>1513.4+(250.5-494.4)+(-3.85917+(-0.638775--1.26072))+0-27.4--0.069869999999996</f>
        <v>1238.9326449999999</v>
      </c>
      <c r="I338" s="3">
        <f>1518.5+(248.1-527.4)+(-1.54887+(-0.253062--0.537948))+0-27.6--0.0281520000000044</f>
        <v>1210.3641680000003</v>
      </c>
      <c r="J338" s="3">
        <f>1514.1+(240.6-519.2)+(-3.088764+(-0.490824--1.059168))+0-27.5--0.0560999999999988</f>
        <v>1205.53568</v>
      </c>
      <c r="K338" s="3">
        <f>1519.2+(230.3-497.1)+(0+(0-0))+0-27.8-0</f>
        <v>1224.6000000000001</v>
      </c>
      <c r="L338" s="3">
        <f>1514.5+(224.9-432.4)+(-3.08958+(-0.458796--0.882096))+0-27.7--0.0565079999999988</f>
        <v>1276.6902279999999</v>
      </c>
      <c r="M338" s="3">
        <f>1553.4+(163.7-357.2)+(-0.792234+(-0.083487--0.182172))+0-27.9--0.0142289999999972</f>
        <v>1331.3206799999998</v>
      </c>
      <c r="N338" s="3">
        <f>1688.2+(189.6-394.6)+(3.443928+(0.386784-0.804984))+0-29.4-0.0599759999999987</f>
        <v>1456.765752</v>
      </c>
      <c r="O338" s="3">
        <f>1737.4+(211.9-343.5)+(0.886074+(0.108069-0.175185))+0-22.9-0.0116789999999977</f>
        <v>1583.7072790000002</v>
      </c>
      <c r="P338" s="3">
        <f>1811.9+(187.1-346)+(0+(0-0))+0-11-0</f>
        <v>1642</v>
      </c>
      <c r="Q338" s="3">
        <f>1806+(185.6-309.5)+(-3.68424+(-0.378624--0.63138))+0-10.6--0.0216239999999995</f>
        <v>1668.09014</v>
      </c>
      <c r="R338" s="3">
        <f>1801.6+(181.7-303.3)+(-4.59408+(-0.463335--0.773415))+0-23.5--0.0599249999999966</f>
        <v>1652.2759249999999</v>
      </c>
      <c r="S338" s="3">
        <f>1754+(194.1-325.2)+(-2.68362+(-0.296973--0.497556))+0-26.9--0.0411570000000016</f>
        <v>1593.5581200000001</v>
      </c>
      <c r="T338" s="3">
        <f>1756.3+(191-363)+(-2.687139+(-0.29223--0.55539))+0-27.6--0.0422280000000016</f>
        <v>1554.3182490000002</v>
      </c>
      <c r="U338" s="3">
        <f>1755.4+(201.8-378.8)+(-2.685762+(-0.308754--0.579564))+0-27.4--0.0419220000000016</f>
        <v>1548.62697</v>
      </c>
      <c r="V338" s="3">
        <f>1762.9+(237.6-424.3)+(1.798158+(0.242352-0.432786))+0-27.1-0.0276420000000043</f>
        <v>1550.6800820000001</v>
      </c>
      <c r="W338" s="3">
        <f>1764.3+(304.1-464.7)+(0.899793+(0.155091-0.236997))+0-27.3-0.0139229999999972</f>
        <v>1577.203964</v>
      </c>
      <c r="X338" s="3">
        <f>1792+(361.1-328.9)+(0+(0-0))+0-29-0</f>
        <v>1795.2</v>
      </c>
      <c r="Y338" s="3">
        <f>1789.4+(390.4-274.4)+(-4.56297+(-0.99552--0.69972))+0-28.9--0.0736949999999958</f>
        <v>1871.714925</v>
      </c>
      <c r="Z338" s="3">
        <f>1796.2+(370.8-303.7)+(0+(0-0))+0-29.9-0</f>
        <v>1833.4</v>
      </c>
      <c r="AA338" s="3">
        <f>1828.5+(335.1-352.9)+(-2.797605+(-0.512703--0.539937))+0-29.7--0.0454410000000017</f>
        <v>1778.2750699999999</v>
      </c>
      <c r="AB338" s="3">
        <f>1837.8+(258.2-368.5)+(-2.811834+(-0.395046--0.563805))+0-27.5--0.0420750000000016</f>
        <v>1697.3990000000001</v>
      </c>
      <c r="AC338" s="3">
        <f>1824.9+(218.6-447.2)+(-1.861398+(-0.222972--0.456144))+0-27.6--0.0281520000000044</f>
        <v>1567.0999260000003</v>
      </c>
      <c r="AD338">
        <v>1844.8</v>
      </c>
      <c r="AE338" s="3">
        <f>1786.7+(391.4-289.8)+(0+(0-0))+0-29.3-0</f>
        <v>1859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1798.4+(238.9-605.4)+(-2.751552+(-0.365517--0.926262))+0-27.4--0.0419220000000016</f>
        <v>1402.3511150000002</v>
      </c>
      <c r="G339" s="3">
        <f>1762.2+(257-705.1)+(0+(0-0))+0-27-0</f>
        <v>1287.0999999999999</v>
      </c>
      <c r="H339" s="3">
        <f>1648.5+(262.4-639.2)+(-2.522205+(-0.401472--0.977976))+0-27.8--0.0425340000000016</f>
        <v>1241.9968329999997</v>
      </c>
      <c r="I339" s="3">
        <f>1607.3+(265.4-627.9)+(0.819723+(0.135354-0.320229))+0-27.5-0.0140249999999972</f>
        <v>1217.9208229999999</v>
      </c>
      <c r="J339" s="3">
        <f>1609.9+(265.4-640.1)+(-0.821049+(-0.135354--0.326451))+0-27.6--0.0140759999999972</f>
        <v>1206.9841240000001</v>
      </c>
      <c r="K339" s="3">
        <f>1612.8+(265.7-625.7)+(2.467584+(0.406521-0.957321))+0-27.7-0.0423810000000016</f>
        <v>1226.9744029999999</v>
      </c>
      <c r="L339" s="3">
        <f>1600.4+(267.7-571.6)+(-0.816204+(-0.136527--0.291516))+0-27.8--0.0141779999999972</f>
        <v>1268.0529629999999</v>
      </c>
      <c r="M339" s="3">
        <f>1638.2+(220.9-527.5)+(0.835482+(0.112659-0.269025))+0-27.4-0.0139739999999972</f>
        <v>1304.8651419999999</v>
      </c>
      <c r="N339" s="3">
        <f>1748+(226.5-498.6)+(-0.89148+(-0.115515--0.254286))+0-28.7--0.0146369999999971</f>
        <v>1446.4619279999999</v>
      </c>
      <c r="O339" s="3">
        <f>1760.6+(290.3-449.5)+(-0.897906+(-0.148053--0.229245))+0-30.3--0.0154529999999969</f>
        <v>1570.2987389999998</v>
      </c>
      <c r="P339" s="3">
        <f>1749.6+(299.4-399.9)+(0+(0-0))+0-30.5-0</f>
        <v>1618.6</v>
      </c>
      <c r="Q339" s="3">
        <f>1739.2+(321.1-370.3)+(-1.773984+(-0.327522--0.377706))+0-30--0.0306000000000048</f>
        <v>1658.3068000000001</v>
      </c>
      <c r="R339" s="3">
        <f>1662.9+(339.7-319.2)+(-3.392316+(-0.692988--0.651168))+0-28.6--0.0583439999999988</f>
        <v>1651.4242080000001</v>
      </c>
      <c r="S339" s="3">
        <f>1610.2+(334.8-306.3)+(-2.463606+(-0.512244--0.468639))+0-27.9--0.0426870000000016</f>
        <v>1608.335476</v>
      </c>
      <c r="T339" s="3">
        <f>1608.7+(304.2-318.4)+(-3.281748+(-0.620568--0.649536))+0-27.9--0.0569159999999988</f>
        <v>1563.4041359999999</v>
      </c>
      <c r="U339" s="3">
        <f>1608.1+(303.9-323.1)+(-2.460393+(-0.464967--0.494343))+0-27.2--0.0416160000000016</f>
        <v>1559.3105989999997</v>
      </c>
      <c r="V339" s="3">
        <f>1613.7+(303.7-325.7)+(-1.645974+(-0.309774--0.332214))+0-27.7--0.0282540000000044</f>
        <v>1562.40472</v>
      </c>
      <c r="W339" s="3">
        <f>1619.2+(313.1-326.5)+(-1.651584+(-0.319362--0.33303))+0-27.1--0.0276420000000043</f>
        <v>1577.0897260000004</v>
      </c>
      <c r="X339" s="3">
        <f>1767.7+(351.7-300)+(-2.704581+(-0.538101--0.459))+0-27.6--0.0422280000000016</f>
        <v>1789.0585460000002</v>
      </c>
      <c r="Y339" s="3">
        <f>1798.5+(367-272.4)+(-1.83447+(-0.37434--0.277848))+0-27.5--0.0280500000000044</f>
        <v>1863.6970879999999</v>
      </c>
      <c r="Z339" s="3">
        <f>1792.4+(354-297.4)+(-5.484744+(-1.08324--0.910044))+0-27.8--0.0850680000000032</f>
        <v>1815.6271280000001</v>
      </c>
      <c r="AA339" s="3">
        <f>1798.6+(336.8-346.4)+(-1.834572+(-0.343536--0.353328))+0-27.3--0.0278460000000044</f>
        <v>1759.9030660000001</v>
      </c>
      <c r="AB339" s="3">
        <f>1768.3+(283.9-334.7)+(-4.509165+(-0.723945--0.853485))+0-27.6--0.070379999999996</f>
        <v>1685.5907549999999</v>
      </c>
      <c r="AC339" s="3">
        <f>1695.3+(260.9-363.3)+(-3.458412+(-0.532236--0.741132))+0-27.3--0.0556919999999988</f>
        <v>1562.4061759999997</v>
      </c>
      <c r="AD339">
        <v>1854.5999999999997</v>
      </c>
      <c r="AE339" s="3">
        <f>1804+(372.9-274.2)+(0+(0-0))+0-27.7-0</f>
        <v>1875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1455.5+(273.4-305.6)+(-1.48461+(-0.278868--0.311712))+0-27.4--0.0279480000000044</f>
        <v>1394.4761819999999</v>
      </c>
      <c r="G340" s="3">
        <f>1361.6+(269.4-335.8)+(0+(0-0))+0-27.4-0</f>
        <v>1267.7999999999997</v>
      </c>
      <c r="H340" s="3">
        <f>1349.1+(267.2-376.2)+(-0.688041+(-0.136272--0.191862))+0-27.8--0.0141779999999972</f>
        <v>1211.6817269999999</v>
      </c>
      <c r="I340" s="3">
        <f>1302.8+(275.8-357)+(2.657712+(0.562632-0.72828))+0-26.7-0.0544679999999988</f>
        <v>1197.3375959999998</v>
      </c>
      <c r="J340" s="3">
        <f>1303.5+(276.5-364.5)+(1.994355+(0.423045-0.557685))+0-27.6-0.0422280000000016</f>
        <v>1189.7174870000001</v>
      </c>
      <c r="K340" s="3">
        <f>1457.4+(255.8-484.5)+(3.71637+(0.65229-1.235475))+0-27.5-0.070124999999996</f>
        <v>1204.26306</v>
      </c>
      <c r="L340" s="3">
        <f>1461.3+(263.7-452.7)+(-0.745263+(-0.134487--0.230877))+0-27.5--0.0140249999999972</f>
        <v>1244.1651519999998</v>
      </c>
      <c r="M340" s="3">
        <f>1403.5+(254-373.4)+(0+(0-0))+0-27.1-0</f>
        <v>1257</v>
      </c>
      <c r="N340" s="3">
        <f>1434.5+(266.8-278.8)+(2.92638+(0.544272-0.568752))+3.1-28.8-0.0587519999999987</f>
        <v>1399.6431480000001</v>
      </c>
      <c r="O340" s="3">
        <f>1371.5+(352.7-179.6)+(1.39893+(0.359754-0.183192))+0-30.2-0.0308040000000048</f>
        <v>1515.9446879999998</v>
      </c>
      <c r="P340" s="3">
        <f>1503.5+(317.4-204.3)+(0+(0-0))+0-29.3-0</f>
        <v>1587.3</v>
      </c>
      <c r="Q340" s="3">
        <f>1619.2+(314.7-245.7)+(2.477376+(0.481491-0.375921))+0-24-0.0367200000000014</f>
        <v>1666.746226</v>
      </c>
      <c r="R340" s="3">
        <f>1642.4+(291.8-274.3)+(-5.025744+(-0.892908--0.839358))+0-25--0.0765000000000029</f>
        <v>1629.8972060000001</v>
      </c>
      <c r="S340" s="3">
        <f>1673.8+(270.2-345.7)+(-5.121828+(-0.826812--1.057842))+0-26.6--0.0813960000000031</f>
        <v>1566.8905980000002</v>
      </c>
      <c r="T340" s="3">
        <f>1739.3+(262.7-450.9)+(-1.774086+(-0.267954--0.459918))+0-26.2--0.0267240000000042</f>
        <v>1523.3446019999999</v>
      </c>
      <c r="U340" s="3">
        <f>1728.5+(280.2-468.3)+(-4.407675+(-0.71451--1.194165))+0-26.8--0.0683399999999961</f>
        <v>1509.7403200000001</v>
      </c>
      <c r="V340" s="3">
        <f>1648.6+(307-420.5)+(-1.681572+(-0.31314--0.42891))+0-27.5--0.0280500000000044</f>
        <v>1506.0622479999997</v>
      </c>
      <c r="W340" s="3">
        <f>1695.7+(294-438.3)+(0+(0-0))+0-27.7-0</f>
        <v>1523.7</v>
      </c>
      <c r="X340" s="3">
        <f>1793.7+(332.6-344.6)+(0+(0-0))+0-29.3-0</f>
        <v>1752.4</v>
      </c>
      <c r="Y340" s="3">
        <f>1713.9+(355.8-209.4)+(-1.748178+(-0.362916--0.213588))+0-29.8--0.0303960000000048</f>
        <v>1828.6328900000003</v>
      </c>
      <c r="Z340" s="3">
        <f>1669.1+(361.7-206.8)+(-3.404964+(-0.737868--0.421872))+0-29.8--0.0607919999999987</f>
        <v>1790.5398319999999</v>
      </c>
      <c r="AA340" s="3">
        <f>1597.3+(376-218.4)+(0+(0-0))+0-28.5-0</f>
        <v>1726.3999999999999</v>
      </c>
      <c r="AB340" s="3">
        <f>1517.2+(341-176.3)+(-3.095088+(-0.69564--0.359652))+0-28.3--0.0577319999999988</f>
        <v>1650.226656</v>
      </c>
      <c r="AC340" s="3">
        <f>1184.9+(513.1-158)+(-1.208598+(-0.523362--0.16116))+0-30.1--0.0307020000000048</f>
        <v>1508.3599020000001</v>
      </c>
      <c r="AD340">
        <v>1810.1</v>
      </c>
      <c r="AE340" s="3">
        <f>1796+(345.3-282.2)+(0+(0-0))+0-28.4-0</f>
        <v>1830.6999999999998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1066.4+(470.4-158)+(-1.087728+(-0.479808--0.16116))+0-28.6--0.0291720000000046</f>
        <v>1348.8227960000004</v>
      </c>
      <c r="G341" s="3">
        <f>942.5+(467-154.2)+(-0.480675+(-0.23817--0.078642))+0-28.1--0.0143309999999971</f>
        <v>1226.5741280000002</v>
      </c>
      <c r="H341" s="3">
        <f>925.5+(423.8-152)+(1.416015+(0.648414-0.23256))+0-28.2-0.0431460000000016</f>
        <v>1170.888723</v>
      </c>
      <c r="I341" s="3">
        <f>948+(386.3-153.2)+(-1.45044+(-0.591039--0.234396))+0-27.8--0.0425340000000016</f>
        <v>1151.535451</v>
      </c>
      <c r="J341" s="3">
        <f>1098.3+(293.1-205.1)+(-0.560133+(-0.149481--0.104601))+0-27.9--0.0142289999999972</f>
        <v>1157.8092159999997</v>
      </c>
      <c r="K341" s="3">
        <f>1144.4+(285.3-241.3)+(0+(0-0))+0-28.3-0</f>
        <v>1160.1000000000001</v>
      </c>
      <c r="L341" s="3">
        <f>1193.7+(278.7-265.1)+(-2.435148+(-0.568548--0.540804))+0-28.1--0.0573239999999988</f>
        <v>1176.7944320000001</v>
      </c>
      <c r="M341" s="3">
        <f>1197+(257-298.9)+(-0.61047+(-0.13107--0.152439))+0-29.2--0.014891999999997</f>
        <v>1125.3257909999998</v>
      </c>
      <c r="N341" s="3">
        <f>1246.5+(281.6-291.4)+(-0.635715+(-0.143616--0.148614))+0-30.1--0.0153509999999969</f>
        <v>1205.9846340000001</v>
      </c>
      <c r="O341" s="3">
        <f>1293.9+(302.2-246.3)+(0+(0-0))+0-30.4-0</f>
        <v>1319.4</v>
      </c>
      <c r="P341" s="3">
        <f>1296.9+(329.6-202.3)+(0.661419+(0.168096-0.103173))+0-30.7-0.0156569999999969</f>
        <v>1394.210685</v>
      </c>
      <c r="Q341" s="3">
        <f>1376.9+(301.2-219.9)+(-2.808876+(-0.614448--0.448596))+0-29.5--0.0601799999999987</f>
        <v>1425.7854520000001</v>
      </c>
      <c r="R341" s="3">
        <f>1415.7+(302.3-279)+(-2.166021+(-0.462519--0.42687))+0-27.7--0.0423810000000016</f>
        <v>1409.140711</v>
      </c>
      <c r="S341" s="3">
        <f>1459.4+(296.3-361.8)+(-2.232882+(-0.453339--0.553554))+0-24.5--0.0374850000000014</f>
        <v>1367.3048180000001</v>
      </c>
      <c r="T341" s="3">
        <f>1459.6+(277.5-389.4)+(-2.233188+(-0.424575--0.595782))+0-17.1--0.026163000000001</f>
        <v>1328.5641819999998</v>
      </c>
      <c r="U341" s="3">
        <f>1465.1+(279.3-405.5)+(-1.494402+(-0.284886--0.41361))+0-17.7--0.0180540000000028</f>
        <v>1319.8523759999998</v>
      </c>
      <c r="V341" s="3">
        <f>1467.7+(259-374)+(0+(0-0))+0-28.7-0</f>
        <v>1324</v>
      </c>
      <c r="W341" s="3">
        <f>1505.8+(267.8-377)+(-1.535916+(-0.273156--0.38454))+0-28.6--0.0291720000000046</f>
        <v>1366.60464</v>
      </c>
      <c r="X341" s="3">
        <f>1641.1+(338-339)+(0+(0-0))+0-28.9-0</f>
        <v>1611.1999999999998</v>
      </c>
      <c r="Y341" s="3">
        <f>1649.5+(348.1-243.9)+(0+(0-0))+0-28-0</f>
        <v>1725.7</v>
      </c>
      <c r="Z341" s="3">
        <f>1649.3+(346.1-257.9)+(-0.841143+(-0.176511--0.131529))+0-27.7--0.0141269999999972</f>
        <v>1708.9280019999999</v>
      </c>
      <c r="AA341" s="3">
        <f>1650.7+(336.7-288.8)+(0+(0-0))+0-27.6-0</f>
        <v>1671</v>
      </c>
      <c r="AB341" s="3">
        <f>1608.6+(275.7-248.4)+(-4.10193+(-0.703035--0.63342))+0-27.8--0.070889999999996</f>
        <v>1603.9993449999999</v>
      </c>
      <c r="AC341" s="3">
        <f>1481.4+(204.6-188.2)+(-3.022056+(-0.417384--0.383928))+0-27--0.0550799999999988</f>
        <v>1467.7995680000004</v>
      </c>
      <c r="AD341">
        <v>1719.1</v>
      </c>
      <c r="AE341" s="3">
        <f>1649+(356.2-235.7)+(0+(0-0))+0-29.4-0</f>
        <v>1740.1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1309.2+(266.4-234.7)+(0+(0-0))+0-25-0</f>
        <v>1315.9</v>
      </c>
      <c r="G342" s="3">
        <f>1274.1+(275.5-329.5)+(0.649791+(0.140505-0.168045))+0-25.8-0.0131579999999974</f>
        <v>1194.909093</v>
      </c>
      <c r="H342" s="3">
        <f>1272.7+(272.5-383.4)+(0+(0-0))+0-26-0</f>
        <v>1135.8000000000002</v>
      </c>
      <c r="I342" s="3">
        <f>1272.8+(270.3-399.4)+(-0.649128+(-0.137853--0.203694))+0-26.4--0.0134639999999973</f>
        <v>1116.7301769999999</v>
      </c>
      <c r="J342" s="3">
        <f>1271.7+(281.5-411.6)+(-0.648567+(-0.143565--0.209916))+0-26.4--0.0134639999999973</f>
        <v>1114.6312479999997</v>
      </c>
      <c r="K342" s="3">
        <f>1289.6+(278.2-408.7)+(2.630784+(0.567528-0.833748))+0-27.1-0.0552839999999988</f>
        <v>1134.3092799999999</v>
      </c>
      <c r="L342" s="3">
        <f>1407.3+(278.1-463.6)+(1.435446+(0.283662-0.472872))+0-27.9-0.0284580000000044</f>
        <v>1195.1177779999998</v>
      </c>
      <c r="M342" s="3">
        <f>1463.4+(268.4-442.5)+(0.746334+(0.136884-0.225675))+0-27.8-0.0141779999999972</f>
        <v>1262.1433650000004</v>
      </c>
      <c r="N342" s="3">
        <f>1458.8+(243.8-260.8)+(0+(0-0))+0-28.4-0</f>
        <v>1413.3999999999999</v>
      </c>
      <c r="O342" s="3">
        <f>1559.7+(243.5-234.9)+(0+(0-0))+0-28.8-0</f>
        <v>1539.5</v>
      </c>
      <c r="P342" s="3">
        <f>1664.3+(226.4-242.6)+(0.848793+(0.115464-0.123726))+0-29-0.0147899999999971</f>
        <v>1619.925741</v>
      </c>
      <c r="Q342" s="3">
        <f>1714.3+(212.3-239.4)+(-2.622879+(-0.324819--0.366282))+0-29.1--0.0445230000000017</f>
        <v>1655.5631070000002</v>
      </c>
      <c r="R342" s="3">
        <f>1641.1+(282.3-244.2)+(-2.510883+(-0.431919--0.373626))+0-28.2--0.0431460000000016</f>
        <v>1648.4739699999998</v>
      </c>
      <c r="S342" s="3">
        <f>1598.9+(259.4-246.3)+(-1.630878+(-0.264588--0.251226))+0-27.9--0.0284580000000044</f>
        <v>1582.4842179999998</v>
      </c>
      <c r="T342" s="3">
        <f>1604.7+(238.7-256.7)+(0.818397+(0.121737-0.130917))+0-28.4-0.0144839999999971</f>
        <v>1559.0947329999999</v>
      </c>
      <c r="U342" s="3">
        <f>1605.9+(251.5-258)+(0+(0-0))+0-29-0</f>
        <v>1570.4</v>
      </c>
      <c r="V342" s="3">
        <f>1601.1+(258.5-274.1)+(-0.816561+(-0.131835--0.139791))+0-30.3--0.0154529999999969</f>
        <v>1554.4068480000001</v>
      </c>
      <c r="W342" s="3">
        <f>1602.4+(250.4-268.9)+(0+(0-0))+0-29-0</f>
        <v>1554.9</v>
      </c>
      <c r="X342" s="3">
        <f>1618+(446-261.5)+(0+(0-0))+0-29.2-0</f>
        <v>1773.3</v>
      </c>
      <c r="Y342" s="3">
        <f>1580.6+(556.3-233.8)+(-3.224424+(-1.134852--0.476952))+0-29.2--0.0595679999999987</f>
        <v>1870.0772439999998</v>
      </c>
      <c r="Z342" s="3">
        <f>1373.7+(667.6-195.3)+(0.700587+(0.340476-0.099603))+0-29.7-0.015146999999997</f>
        <v>1817.2263129999999</v>
      </c>
      <c r="AA342" s="3">
        <f>1347.7+(627.1-194.9)+(-2.061981+(-0.959463--0.298197))+0-29.8--0.0455940000000017</f>
        <v>1747.4223470000002</v>
      </c>
      <c r="AB342" s="3">
        <f>1343.8+(556-187.6)+(-4.797366+(-1.98492--0.669732))+0-29.4--0.104958</f>
        <v>1676.7924039999996</v>
      </c>
      <c r="AC342" s="3">
        <f>1346.5+(398.3-183.8)+(-4.12029+(-1.218798--0.562428))+0-29.7--0.0908820000000034</f>
        <v>1526.6142219999999</v>
      </c>
      <c r="AD342">
        <v>1826.4000000000003</v>
      </c>
      <c r="AE342" s="3">
        <f>1616+(513-255.1)+(0+(0-0))+0-29.1-0</f>
        <v>1844.8000000000002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1334.5+(286.3-220.2)+(0+(0-0))+0-29.4-0</f>
        <v>1371.1999999999998</v>
      </c>
      <c r="G343" s="3">
        <f>1268.9+(292.2-270.8)+(-2.588556+(-0.596088--0.552432))+0-29.1--0.0593639999999987</f>
        <v>1258.6271520000003</v>
      </c>
      <c r="H343" s="3">
        <f>1219.9+(294.9-277.1)+(0.622149+(0.150399-0.141321))+0-29.5-0.015044999999997</f>
        <v>1208.816182</v>
      </c>
      <c r="I343" s="3">
        <f>1214.4+(294.7-286.8)+(-1.858032+(-0.450891--0.438804))+0-29.9--0.0457470000000017</f>
        <v>1190.5756280000001</v>
      </c>
      <c r="J343" s="3">
        <f>1219.2+(291.4-304.2)+(1.865376+(0.445842-0.465426))+0-28.1-0.0429930000000016</f>
        <v>1180.1027990000002</v>
      </c>
      <c r="K343" s="3">
        <f>1222+(290.2-301.2)+(2.49288+(0.592008-0.614448))+0-27.4-0.0558959999999988</f>
        <v>1186.0145439999999</v>
      </c>
      <c r="L343" s="3">
        <f>1247.6+(285.6-276.6)+(0+(0-0))+0-27.1-0</f>
        <v>1229.5</v>
      </c>
      <c r="M343" s="3">
        <f>1331+(285.4-307.5)+(-0.67881+(-0.145554--0.156825))+0-28.3--0.0144329999999971</f>
        <v>1279.9468940000002</v>
      </c>
      <c r="N343" s="3">
        <f>1498.5+(263.1-322.6)+(-1.52847+(-0.268362--0.329052))+0-29.8--0.0303960000000048</f>
        <v>1407.7626160000002</v>
      </c>
      <c r="O343" s="3">
        <f>1585+(268.2-278.3)+(-1.6167+(-0.273564--0.283866))+0-31.1--0.031722000000005</f>
        <v>1542.2253240000002</v>
      </c>
      <c r="P343" s="3">
        <f>1580.7+(283.1-246.4)+(-4.030785+(-0.721905--0.62832))+0-30.4--0.0775199999999956</f>
        <v>1582.9531500000001</v>
      </c>
      <c r="Q343" s="3">
        <f>1583+(297.9-243.1)+(0+(0-0))+0-27.1-0</f>
        <v>1610.7</v>
      </c>
      <c r="R343" s="3">
        <f>1585.1+(279.7-247)+(-0.808401+(-0.142647--0.12597))+0-28.7--0.0146369999999971</f>
        <v>1588.2895589999998</v>
      </c>
      <c r="S343" s="3">
        <f>1603.1+(242.6-270.5)+(-1.635162+(-0.247452--0.27591))+0-28--0.0285600000000045</f>
        <v>1545.6218559999998</v>
      </c>
      <c r="T343" s="3">
        <f>1534+(243.7-237.7)+(0+(0-0))+0-28.6-0</f>
        <v>1511.4</v>
      </c>
      <c r="U343" s="3">
        <f>1552.1+(226-244.1)+(-0.791571+(-0.11526--0.124491))+0-30.1--0.0153509999999969</f>
        <v>1503.1330110000001</v>
      </c>
      <c r="V343" s="3">
        <f>1603.6+(213.6-271.5)+(-2.453508+(-0.326808--0.415395))+0-30--0.0459000000000017</f>
        <v>1513.3809789999998</v>
      </c>
      <c r="W343" s="3">
        <f>1605.7+(228.2-268.8)+(-1.637814+(-0.232764--0.274176))+0-29.5--0.0300900000000047</f>
        <v>1534.033688</v>
      </c>
      <c r="X343" s="3">
        <f>1683.9+(357.6-263.5)+(-2.576367+(-0.547128--0.403155))+0-29.4--0.0449820000000017</f>
        <v>1745.9246419999997</v>
      </c>
      <c r="Y343" s="3">
        <f>1679.8+(439.6-239.2)+(-1.713396+(-0.448392--0.243984))+0-29.6--0.0301920000000047</f>
        <v>1848.7123880000001</v>
      </c>
      <c r="Z343" s="3">
        <f>1448.3+(567.2-191.4)+(0+(0-0))+0-29.6-0</f>
        <v>1794.5</v>
      </c>
      <c r="AA343" s="3">
        <f>1444.7+(529.4-197.2)+(-1.473594+(-0.539988--0.201144))+0-29.4--0.0299880000000047</f>
        <v>1745.7175500000001</v>
      </c>
      <c r="AB343" s="3">
        <f>1437.4+(441-178.2)+(-3.66537+(-1.12455--0.45441))+0-27.4--0.069869999999996</f>
        <v>1668.5343599999999</v>
      </c>
      <c r="AC343" s="3">
        <f>1324.9+(407.6-163.2)+(-1.351398+(-0.415752--0.166464))+0-28.2--0.0287640000000045</f>
        <v>1539.5280780000001</v>
      </c>
      <c r="AD343">
        <v>1823.3</v>
      </c>
      <c r="AE343" s="3">
        <f>1704+(417.3-251.5)+(0+(0-0))+0-29.7-0</f>
        <v>1840.1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1287.7+(311.3-182.6)+(-1.970181+(-0.476289--0.279378))+0-28.1--0.0429930000000016</f>
        <v>1386.1759010000003</v>
      </c>
      <c r="G344" s="3">
        <f>1285.7+(199.7-176.1)+(-0.655707+(-0.101847--0.089811))+0-27.9--0.0142289999999972</f>
        <v>1280.7464859999998</v>
      </c>
      <c r="H344" s="3">
        <f>1284.7+(163.2-180.5)+(1.310394+(0.166464-0.18411))+0-27.9-0.0284580000000044</f>
        <v>1240.7642900000001</v>
      </c>
      <c r="I344" s="3">
        <f>1280.5+(220.8-268)+(0+(0-0))+0-28.1-0</f>
        <v>1205.2</v>
      </c>
      <c r="J344" s="3">
        <f>1312.6+(248.7-329.9)+(-1.338852+(-0.253674--0.336498))+0-28.1--0.0286620000000045</f>
        <v>1202.0726339999999</v>
      </c>
      <c r="K344" s="3">
        <f>1348.6+(267-355.9)+(-0.687786+(-0.13617--0.181509))+0-28.2--0.0143819999999971</f>
        <v>1230.8719349999999</v>
      </c>
      <c r="L344" s="3">
        <f>1385+(266.1-340.9)+(-3.53175+(-0.678555--0.869295))+0-28.1--0.0716549999999959</f>
        <v>1278.830645</v>
      </c>
      <c r="M344" s="3">
        <f>1466.9+(233.4-348.4)+(1.496238+(0.238068-0.355368))+0-29.7-0.0302940000000047</f>
        <v>1323.5486440000002</v>
      </c>
      <c r="N344" s="3">
        <f>1529.8+(222.3-245.7)+(2.340594+(0.340119-0.375921))+0-30.8-0.0471240000000018</f>
        <v>1477.8576680000001</v>
      </c>
      <c r="O344" s="3">
        <f>1533.5+(264.1-183.9)+(-3.910425+(-0.673455--0.468945))+0-30.8--0.0785399999999955</f>
        <v>1578.863605</v>
      </c>
      <c r="P344" s="3">
        <f>1555.8+(288.4-173.7)+(1.586916+(0.294168-0.177174))+0-30.3-0.0309060000000048</f>
        <v>1641.873004</v>
      </c>
      <c r="Q344" s="3">
        <f>1553.2+(320.4-172)+(-1.584264+(-0.326808--0.17544))+0-30.5--0.0311100000000049</f>
        <v>1669.3954779999999</v>
      </c>
      <c r="R344" s="3">
        <f>1555.2+(295.6-174.2)+(-0.793152+(-0.150756--0.088842))+0-28.7--0.0146369999999971</f>
        <v>1647.059571</v>
      </c>
      <c r="S344" s="3">
        <f>1498.5+(288.7-175.9)+(-1.52847+(-0.294474--0.179418))+0-28.1--0.0286620000000045</f>
        <v>1581.5851359999999</v>
      </c>
      <c r="T344" s="3">
        <f>1526.6+(224.1-178.1)+(-0.778566+(-0.114291--0.090831))+0-28.8--0.0146879999999971</f>
        <v>1543.0126619999999</v>
      </c>
      <c r="U344" s="3">
        <f>1551.7+(198.6-191.2)+(-3.165468+(-0.405144--0.390048))+0-29.6--0.0603839999999987</f>
        <v>1526.3798200000001</v>
      </c>
      <c r="V344" s="3">
        <f>1466.5+(278-185.2)+(-0.747915+(-0.14178--0.094452))+0-29.7--0.015146999999997</f>
        <v>1528.819904</v>
      </c>
      <c r="W344" s="3">
        <f>1508.8+(265.6-202.9)+(-3.077952+(-0.541824--0.413916))+0-29.4--0.0599759999999987</f>
        <v>1538.9541159999999</v>
      </c>
      <c r="X344" s="3">
        <f>1635.4+(410.7-244.3)+(-0.834054+(-0.209457--0.124593))+0-29.5--0.015044999999997</f>
        <v>1771.3961270000002</v>
      </c>
      <c r="Y344" s="3">
        <f>1560.7+(540-210.8)+(-3.979785+(-1.377--0.53754))+0-29--0.0739499999999958</f>
        <v>1856.1547050000001</v>
      </c>
      <c r="Z344" s="3">
        <f>1364.2+(652.8-190.4)+(-2.087226+(-0.998784--0.291312))+0-28.8--0.0440640000000017</f>
        <v>1795.049366</v>
      </c>
      <c r="AA344" s="3">
        <f>1356.5+(603.5-190.6)+(-0.691815+(-0.307785--0.097206))+0-28--0.0142799999999972</f>
        <v>1740.5118860000002</v>
      </c>
      <c r="AB344" s="3">
        <f>1359.2+(512.8-182.2)+(-0.693192+(-0.261528--0.092922))+0-27.2--0.0138719999999972</f>
        <v>1661.752074</v>
      </c>
      <c r="AC344" s="3">
        <f>1374.9+(362.8-181.4)+(0+(0-0))+0-28-0</f>
        <v>1528.3000000000002</v>
      </c>
      <c r="AD344">
        <v>1857.3000000000002</v>
      </c>
      <c r="AE344" s="3">
        <f>1661+(476.3-232.3)+(0+(0-0))+0-29.1-0</f>
        <v>1875.9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1388.9+(274.3-262.3)+(-3.541695+(-0.699465--0.668865))+0-28.3--0.0721649999999959</f>
        <v>1369.0998700000002</v>
      </c>
      <c r="G345" s="3">
        <f>1339.7+(277.3-314.2)+(-2.049741+(-0.424269--0.480726))+0-28--0.0428400000000016</f>
        <v>1272.8495560000003</v>
      </c>
      <c r="H345" s="3">
        <f>1339.3+(273.4-370.2)+(-1.366086+(-0.278868--0.377604))+0-28.1--0.0286620000000045</f>
        <v>1213.161312</v>
      </c>
      <c r="I345" s="3">
        <f>1339.6+(273.3-393.9)+(-2.049588+(-0.418149--0.602667))+0-27.9--0.0426870000000016</f>
        <v>1189.277617</v>
      </c>
      <c r="J345" s="3">
        <f>1301.9+(283.8-375.1)+(1.327938+(0.289476-0.382602))+0-27.9-0.0284580000000044</f>
        <v>1183.906354</v>
      </c>
      <c r="K345" s="3">
        <f>1300.8+(276.5-353.4)+(0.663408+(0.141015-0.180234))+0-27.9-0.0142289999999972</f>
        <v>1196.60996</v>
      </c>
      <c r="L345" s="3">
        <f>1268+(276.9-270.6)+(0.64668+(0.141219-0.138006))+0-28.3-0.0144329999999971</f>
        <v>1246.63546</v>
      </c>
      <c r="M345" s="3">
        <f>1351.6+(240.5-274.5)+(0.689316+(0.122655-0.139995))+0-28.2-0.0143819999999971</f>
        <v>1290.0575939999999</v>
      </c>
      <c r="N345" s="3">
        <f>1545.4+(198-272.2)+(1.576308+(0.20196-0.277644))+0-28.4-0.0289680000000045</f>
        <v>1444.2716559999999</v>
      </c>
      <c r="O345" s="3">
        <f>1537.4+(241.6-199.8)+(1.568148+(0.246432-0.203796))+0-28.4-0.0289680000000045</f>
        <v>1552.3818159999998</v>
      </c>
      <c r="P345" s="3">
        <f>1615.5+(233.2-201)+(-2.471715+(-0.356796--0.30753))+0-28.6--0.0437580000000017</f>
        <v>1616.6227770000003</v>
      </c>
      <c r="Q345" s="3">
        <f>1556.3+(298.1-187.3)+(-1.587426+(-0.304062--0.191046))+0-28.4--0.0289680000000045</f>
        <v>1637.0285259999998</v>
      </c>
      <c r="R345" s="3">
        <f>1651.6+(210.5-204.6)+(-4.21158+(-0.536775--0.52173))+0-28--0.0713999999999959</f>
        <v>1625.344775</v>
      </c>
      <c r="S345" s="3">
        <f>1591.8+(227.7-200.7)+(1.623636+(0.232254-0.204714))+1.6-28.3-0.0288660000000045</f>
        <v>1593.7223099999999</v>
      </c>
      <c r="T345" s="3">
        <f>1568.5+(217.9-207.2)+(-1.59987+(-0.222258--0.211344))+0-28.7--0.0292740000000046</f>
        <v>1548.91849</v>
      </c>
      <c r="U345" s="3">
        <f>1501+(248.4-181.5)+(3.06204+(0.506736-0.37026))+0-28.2-0.0575279999999988</f>
        <v>1542.8409879999999</v>
      </c>
      <c r="V345" s="3">
        <f>1477.9+(295.1-193.2)+(-1.507458+(-0.301002--0.197064))+0-28.2--0.0287640000000045</f>
        <v>1550.017368</v>
      </c>
      <c r="W345" s="3">
        <f>1418.4+(369.7-188.9)+(0.723384+(0.188547-0.096339))+0-28.2-0.0143819999999971</f>
        <v>1571.8012099999999</v>
      </c>
      <c r="X345" s="3">
        <f>1616.9+(409.8-222.6)+(1.649238+(0.417996-0.227052))+0-28.3-0.0288660000000045</f>
        <v>1777.611316</v>
      </c>
      <c r="Y345" s="3">
        <f>1641.8+(459.5-211.1)+(0.837318+(0.234345-0.107661))+0-28.2-0.0143819999999971</f>
        <v>1862.9496199999999</v>
      </c>
      <c r="Z345" s="3">
        <f>1573.2+(484.1-209.1)+(-1.604664+(-0.493782--0.213282))+0-27.7--0.0282540000000044</f>
        <v>1818.64309</v>
      </c>
      <c r="AA345" s="3">
        <f>1531.4+(465.7-211.4)+(-1.562028+(-0.475014--0.215628))+0-27.6--0.0281520000000044</f>
        <v>1756.3067380000002</v>
      </c>
      <c r="AB345" s="3">
        <f>1529.4+(358.7-196.5)+(-2.339982+(-0.548811--0.300645))+0-27.1--0.0414630000000016</f>
        <v>1661.9533150000002</v>
      </c>
      <c r="AC345" s="3">
        <f>1494.2+(268.6-207)+(-2.286126+(-0.410958--0.31671))+0-28.1--0.0429930000000016</f>
        <v>1525.3626190000002</v>
      </c>
      <c r="AD345">
        <v>1825.5000000000002</v>
      </c>
      <c r="AE345" s="3">
        <f>1640+(452.8-216.1)+(0+(0-0))+0-28.2-0</f>
        <v>1848.5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1435.2+(297.5-312.2)+(0+(0-0))+0-28.1-0</f>
        <v>1392.4</v>
      </c>
      <c r="G346" s="3">
        <f>1435.5+(285.1-386.8)+(-2.92842+(-0.581604--0.789072))+0-28--0.0571199999999988</f>
        <v>1303.136168</v>
      </c>
      <c r="H346" s="3">
        <f>1434.1+(308.9-523.1)+(-2.194173+(-0.472617--0.800343))+0-27.9--0.0426870000000016</f>
        <v>1190.1762399999998</v>
      </c>
      <c r="I346" s="3">
        <f>1441.2+(270.4-508.8)+(-1.470024+(-0.275808--0.518976))+0-27.7--0.0282540000000044</f>
        <v>1173.901398</v>
      </c>
      <c r="J346" s="3">
        <f>1441.7+(272.8-519.6)+(0.735267+(0.139128-0.264996))+0-27.7-0.0141269999999972</f>
        <v>1167.7952720000001</v>
      </c>
      <c r="K346" s="3">
        <f>1516.4+(270.5-578.5)+(0.773364+(0.137955-0.295035))+0-27.9-0.0142289999999972</f>
        <v>1181.1020550000001</v>
      </c>
      <c r="L346" s="3">
        <f>1607.8+(271.1-617)+(0.819978+(0.138261-0.31467))+0-27.8-0.0141779999999972</f>
        <v>1234.7293910000003</v>
      </c>
      <c r="M346" s="3">
        <f>1604.7+(216-493.3)+(0+(0-0))+0-28-0</f>
        <v>1299.4000000000001</v>
      </c>
      <c r="N346" s="3">
        <f>1696.1+(197.7-422.5)+(0.865011+(0.100827-0.215475))+0-28-0.0142799999999972</f>
        <v>1444.036083</v>
      </c>
      <c r="O346" s="3">
        <f>1739.1+(182-325)+(0+(0-0))+0-28.7-0</f>
        <v>1567.3999999999999</v>
      </c>
      <c r="P346" s="3">
        <f>1731.2+(176.4-255.5)+(-3.531648+(-0.359856--0.52122))+0-28.8--0.0587519999999987</f>
        <v>1619.988468</v>
      </c>
      <c r="Q346" s="3">
        <f>1733.9+(181.5-246.6)+(0+(0-0))+0-28.3-0</f>
        <v>1640.5000000000002</v>
      </c>
      <c r="R346" s="3">
        <f>1722.7+(173-241.9)+(-1.757154+(-0.17646--0.246738))+0-28.2--0.0287640000000045</f>
        <v>1623.9418879999998</v>
      </c>
      <c r="S346" s="3">
        <f>1724.5+(144.8-248.8)+(-0.879495+(-0.073848--0.126888))+0-27.8--0.0141779999999972</f>
        <v>1591.8877230000001</v>
      </c>
      <c r="T346" s="3">
        <f>1727.8+(114.5-275.8)+(0.881178+(0.058395-0.140658))+0-28-0.0142799999999972</f>
        <v>1539.284635</v>
      </c>
      <c r="U346" s="3">
        <f>1717.8+(114.5-271.6)+(-4.38039+(-0.291975--0.69258))+0-27.7--0.070634999999996</f>
        <v>1529.0908499999998</v>
      </c>
      <c r="V346" s="3">
        <f>1733.8+(134.1-297.4)+(0+(0-0))+0-27.7-0</f>
        <v>1542.8</v>
      </c>
      <c r="W346" s="3">
        <f>1753.3+(172-310.6)+(-3.576732+(-0.35088--0.633624))+0-27.5--0.0560999999999988</f>
        <v>1583.9621119999999</v>
      </c>
      <c r="X346" s="3">
        <f>1768.5+(344-296.5)+(-1.80387+(-0.35088--0.30243))+0-27.6--0.0281520000000044</f>
        <v>1786.5758320000002</v>
      </c>
      <c r="Y346" s="3">
        <f>1766.7+(382.2-257.3)+(-5.406102+(-1.169532--0.787338))+0-27.9--0.0853740000000032</f>
        <v>1857.9970779999999</v>
      </c>
      <c r="Z346" s="3">
        <f>1656.6+(406.2-227.9)+(-2.534598+(-0.621486--0.348687))+0-28.1--0.0429930000000016</f>
        <v>1804.0355959999999</v>
      </c>
      <c r="AA346" s="3">
        <f>1654.1+(371.5-249.9)+(-1.687182+(-0.37893--0.254898))+0-27.8--0.0283560000000044</f>
        <v>1746.1171419999998</v>
      </c>
      <c r="AB346" s="3">
        <f>1592.1+(276.9-207.1)+(-2.435913+(-0.423657--0.316863))+0-27.7--0.0423810000000016</f>
        <v>1631.6996739999997</v>
      </c>
      <c r="AC346" s="3">
        <f>1476.3+(264.4-201.3)+(-3.764565+(-0.67422--0.513315))+0-27.8--0.070889999999996</f>
        <v>1507.74542</v>
      </c>
      <c r="AD346">
        <v>1852.3</v>
      </c>
      <c r="AE346" s="3">
        <f>1769+(378.9-251.9)+(0+(0-0))+0-27.9-0</f>
        <v>1868.1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1415.9+(282.4-283.4)+(-2.888436+(-0.576096--0.578136))+0-27.7--0.0565079999999988</f>
        <v>1384.3701119999998</v>
      </c>
      <c r="G347" s="3">
        <f>1359+(287.5-359)+(2.07927+(0.439875-0.54927))+0-27.1-0.0414630000000016</f>
        <v>1262.3284120000001</v>
      </c>
      <c r="H347" s="3">
        <f>1313.8+(288.3-368.3)+(-3.35019+(-0.735165--0.939165))+0-27.1--0.0691049999999961</f>
        <v>1203.6229150000001</v>
      </c>
      <c r="I347" s="3">
        <f>1317+(275.1-376.9)+(1.34334+(0.280602-0.384438))+0-27.8-0.0283560000000044</f>
        <v>1188.611148</v>
      </c>
      <c r="J347" s="3">
        <f>1313.8+(275.8-384.4)+(-2.680152+(-0.562632--0.784176))+0-27.9--0.0569159999999988</f>
        <v>1174.898308</v>
      </c>
      <c r="K347" s="3">
        <f>1316.8+(287.3-387.2)+(-1.343136+(-0.293046--0.394944))+0-27.8--0.0283560000000044</f>
        <v>1187.8871180000001</v>
      </c>
      <c r="L347" s="3">
        <f>1317+(282.4-354.8)+(-2.68668+(-0.576096--0.723792))+0-27.7--0.0565079999999988</f>
        <v>1214.4175239999997</v>
      </c>
      <c r="M347" s="3">
        <f>1441+(236.5-403)+(4.40946+(0.72369-1.23318))+0-27.7-0.0847620000000032</f>
        <v>1250.6152079999999</v>
      </c>
      <c r="N347" s="3">
        <f>1479.7+(206.7-251.3)+(3.018588+(0.421668-0.512652))+0-27.4-0.0558959999999988</f>
        <v>1410.5717079999997</v>
      </c>
      <c r="O347" s="3">
        <f>1482+(260.6-164.8)+(-0.75582+(-0.132906--0.084048))+0-27.8--0.0141779999999972</f>
        <v>1549.2094999999999</v>
      </c>
      <c r="P347" s="3">
        <f>1388.1+(474.4-210.5)+(1.415862+(0.483888-0.21471))+0-27.8-0.0283560000000044</f>
        <v>1625.8566840000001</v>
      </c>
      <c r="Q347" s="3">
        <f>1330.3+(496.3-158.4)+(0+(0-0))+0-27.8-0</f>
        <v>1640.3999999999999</v>
      </c>
      <c r="R347" s="3">
        <f>1392.4+(385.4-135.4)+(-4.260744+(-1.179324--0.414324))+0-26.7--0.0817020000000031</f>
        <v>1610.755958</v>
      </c>
      <c r="S347" s="3">
        <f>1371.8+(352.9-143.1)+(-4.197708+(-1.079874--0.437886))+0-26.9--0.0823140000000031</f>
        <v>1549.9426179999998</v>
      </c>
      <c r="T347" s="3">
        <f>1397.4+(254.8-132.7)+(2.850696+(0.519792-0.270708))+0-27.7-0.0565079999999988</f>
        <v>1494.8432720000001</v>
      </c>
      <c r="U347" s="3">
        <f>1483.8+(208.2-195)+(0.756738+(0.106182-0.09945))+0-27.2-0.0138719999999972</f>
        <v>1470.5495980000001</v>
      </c>
      <c r="V347" s="3">
        <f>1427.8+(265.2-186.5)+(-0.728178+(-0.135252--0.095115))+0-27.2--0.0138719999999972</f>
        <v>1478.5455569999999</v>
      </c>
      <c r="W347" s="3">
        <f>1424+(303.5-198.1)+(-1.45248+(-0.30957--0.202062))+0-27.3--0.0278460000000044</f>
        <v>1500.5678580000001</v>
      </c>
      <c r="X347" s="3">
        <f>1494.3+(439.9-209.6)+(-0.762093+(-0.224349--0.106896))+0-27.7--0.0141269999999972</f>
        <v>1696.0345809999999</v>
      </c>
      <c r="Y347" s="3">
        <f>1503.4+(498-199.8)+(-2.300202+(-0.76194--0.305694))+0-27.9--0.0426870000000016</f>
        <v>1770.9862390000001</v>
      </c>
      <c r="Z347" s="3">
        <f>1502+(469.7-197.2)+(-3.06408+(-0.958188--0.402288))+0-27.7--0.0565079999999988</f>
        <v>1743.2365279999999</v>
      </c>
      <c r="AA347" s="3">
        <f>1507.5+(429.9-207.1)+(0+(0-0))+0-28.2-0</f>
        <v>1702.1</v>
      </c>
      <c r="AB347" s="3">
        <f>1488.7+(357.3-192.9)+(-3.796185+(-0.911115--0.491895))+0-27.8--0.070889999999996</f>
        <v>1621.1554850000002</v>
      </c>
      <c r="AC347" s="3">
        <f>1306.2+(410.7-180.6)+(0+(0-0))+0-27-0</f>
        <v>1509.3</v>
      </c>
      <c r="AD347">
        <v>1750.8999999999999</v>
      </c>
      <c r="AE347" s="3">
        <f>1491.3+(499.8-197.3)+(0+(0-0))+0-27.9-0</f>
        <v>1765.8999999999999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1132.2+(432.9-185.6)+(-2.309688+(-0.883116--0.378624))+0-27.1--0.0552839999999988</f>
        <v>1349.641104</v>
      </c>
      <c r="G348" s="3">
        <f>1066.3+(366.7-183.6)+(0+(0-0))+0-27.4-0</f>
        <v>1221.9999999999998</v>
      </c>
      <c r="H348" s="3">
        <f>1032.2+(317.8-173.6)+(0.526422+(0.162078-0.088536))+0-27.5-0.0140249999999972</f>
        <v>1149.4859390000001</v>
      </c>
      <c r="I348" s="3">
        <f>1002.7+(319.1-172.8)+(-1.022754+(-0.325482--0.176256))+0-27.7--0.0282540000000044</f>
        <v>1120.1562739999999</v>
      </c>
      <c r="J348" s="3">
        <f>996.8+(324.4-179.5)+(-2.54184+(-0.82722--0.457725))+0-27.1--0.0691049999999961</f>
        <v>1111.7577699999999</v>
      </c>
      <c r="K348" s="3">
        <f>1007+(333.3-192)+(1.02714+(0.339966-0.19584))+0-27.2-0.0277440000000043</f>
        <v>1122.243522</v>
      </c>
      <c r="L348" s="3">
        <f>999.5+(328-187)+(0.509745+(0.16728-0.09537))+0-27-0.0137699999999973</f>
        <v>1114.0678849999999</v>
      </c>
      <c r="M348" s="3">
        <f>1005.8+(284.2-190.2)+(0+(0-0))+0-26.3-0</f>
        <v>1073.5</v>
      </c>
      <c r="N348" s="3">
        <f>1062.5+(275.3-182.7)+(0.541875+(0.140403-0.093177))+0-27.4-0.0139739999999972</f>
        <v>1128.2751269999999</v>
      </c>
      <c r="O348" s="3">
        <f>1123.2+(315.5-172)+(1.145664+(0.32181-0.17544))+0-28.4-0.0289680000000045</f>
        <v>1239.5630659999999</v>
      </c>
      <c r="P348" s="3">
        <f>1173.9+(378.2-217.7)+(-0.598689+(-0.192882--0.111027))+0-28.8--0.0146879999999971</f>
        <v>1304.9341440000001</v>
      </c>
      <c r="Q348" s="3">
        <f>1183.1+(427-222.1)+(-0.603381+(-0.21777--0.113271))+0-27.8--0.0141779999999972</f>
        <v>1359.506298</v>
      </c>
      <c r="R348" s="3">
        <f>1172.9+(530.8-252.8)+(0+(0-0))+0-27.7-0</f>
        <v>1423.2</v>
      </c>
      <c r="S348" s="3">
        <f>1154+(545.1-283.9)+(0+(0-0))+0-27.7-0</f>
        <v>1387.5</v>
      </c>
      <c r="T348" s="3">
        <f>1118.6+(502.6-278.8)+(0+(0-0))+0-25.9-0</f>
        <v>1316.4999999999998</v>
      </c>
      <c r="U348" s="3">
        <f>1101.3+(501.8-290.6)+(0+(0-0))+0-27.6-0</f>
        <v>1284.9000000000001</v>
      </c>
      <c r="V348" s="3">
        <f>1102.7+(523.3-296.6)+(0+(0-0))+0-28.1-0</f>
        <v>1301.3000000000002</v>
      </c>
      <c r="W348" s="3">
        <f>1100+(600.8-304.7)+(0+(0-0))+0-28-0</f>
        <v>1368.1</v>
      </c>
      <c r="X348" s="3">
        <f>1140.3+(721.7-265.6)+(0+(0-0))+0-27.4-0</f>
        <v>1569</v>
      </c>
      <c r="Y348" s="3">
        <f>1160.9+(828.3-284.6)+(0+(0-0))+0-27.5-0</f>
        <v>1677.1</v>
      </c>
      <c r="Z348" s="3">
        <f>1165.3+(782.1-260.7)+(0+(0-0))+0-28.2-0</f>
        <v>1658.5</v>
      </c>
      <c r="AA348" s="3">
        <f>1208.4+(664.9-226.2)+(0+(0-0))+0-27.7-0</f>
        <v>1619.4</v>
      </c>
      <c r="AB348" s="3">
        <f>1159.2+(617.3-187.3)+(0+(0-0))+0-28.3-0</f>
        <v>1560.9</v>
      </c>
      <c r="AC348" s="3">
        <f>1099.7+(540.7-176.8)+(0+(0-0))+0-28.4-0</f>
        <v>1435.2</v>
      </c>
      <c r="AD348">
        <v>1664</v>
      </c>
      <c r="AE348" s="3">
        <f>1164+(828.2-285.6)+(0+(0-0))+0-27.6-0</f>
        <v>1679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1066.6+(421.5-177.2)+(0+(0-0))+0-28.1-0</f>
        <v>1282.8</v>
      </c>
      <c r="G349" s="3">
        <f>1057.5+(300.2-177.7)+(0+(0-0))+0-27.7-0</f>
        <v>1152.3</v>
      </c>
      <c r="H349" s="3">
        <f>983.8+(320.5-176.3)+(0+(0-0))+0-27.5-0</f>
        <v>1100.5</v>
      </c>
      <c r="I349" s="3">
        <f>981.9+(307-174.6)+(0+(0-0))+0-27.9-0</f>
        <v>1086.3999999999999</v>
      </c>
      <c r="J349" s="3">
        <f>1100.9+(189.2-182.3)+(0+(0-0))+0-27.3-0</f>
        <v>1080.5000000000002</v>
      </c>
      <c r="K349" s="3">
        <f>1181.4+(146.3-213)+(0+(0-0))+0-26.8-0</f>
        <v>1087.9000000000001</v>
      </c>
      <c r="L349" s="3">
        <f>1299.4+(114.2-259.4)+(3.31347+(0.29121-0.66147))+0-27.3-0.069614999999996</f>
        <v>1129.7735950000001</v>
      </c>
      <c r="M349" s="3">
        <f>1403.1+(69.8-277)+(2.862324+(0.142392-0.56508))+0-27.5-0.0560999999999988</f>
        <v>1170.7835359999999</v>
      </c>
      <c r="N349" s="3">
        <f>1433.5+(149.1-221.7)+(0+(0-0))+0-27.8-0</f>
        <v>1333.1000000000001</v>
      </c>
      <c r="O349" s="3">
        <f>1430.4+(252.6-200.3)+(0.729504+(0.128826-0.102153))+0-28.1-0.0143309999999971</f>
        <v>1455.341846</v>
      </c>
      <c r="P349" s="3">
        <f>1430+(340.1-195.7)+(0.7293+(0.173451-0.099807))+0-27.3-0.0139229999999972</f>
        <v>1547.8890210000002</v>
      </c>
      <c r="Q349" s="3">
        <f>1425.4+(368.1-170.2)+(-2.180862+(-0.563193--0.260406))+0-27.9--0.0426870000000016</f>
        <v>1592.9590380000002</v>
      </c>
      <c r="R349" s="3">
        <f>1437.8+(343.4-165)+(0+(0-0))+0-28-0</f>
        <v>1588.1999999999998</v>
      </c>
      <c r="S349" s="3">
        <f>1447.2+(320-192.1)+(-1.476144+(-0.3264--0.195942))+0-28--0.0285600000000045</f>
        <v>1545.521958</v>
      </c>
      <c r="T349" s="3">
        <f>1431.5+(279-187.3)+(0+(0-0))+0-28-0</f>
        <v>1495.2</v>
      </c>
      <c r="U349" s="3">
        <f>1435.6+(281.4-181.2)+(-2.196468+(-0.430542--0.277236))+0-28--0.0428400000000016</f>
        <v>1505.493066</v>
      </c>
      <c r="V349" s="3">
        <f>1423.4+(286.1-172.9)+(0.725934+(0.145911-0.088179))+0-27-0.0137699999999973</f>
        <v>1510.3698960000002</v>
      </c>
      <c r="W349" s="3">
        <f>1436.9+(294.9-184.8)+(-1.465638+(-0.300798--0.188496))+0-27.1--0.0276420000000043</f>
        <v>1518.3497020000002</v>
      </c>
      <c r="X349" s="3">
        <f>1463+(488.9-199.2)+(0+(0-0))+0-27.6-0</f>
        <v>1725.1000000000001</v>
      </c>
      <c r="Y349" s="3">
        <f>1366.8+(642.3-181.5)+(-2.091204+(-0.982719--0.277695))+0-27.9--0.0426870000000016</f>
        <v>1796.946459</v>
      </c>
      <c r="Z349" s="3">
        <f>1219.2+(721.5-175.2)+(-1.865376+(-1.103895--0.268056))+0-27.5--0.0420750000000016</f>
        <v>1735.34086</v>
      </c>
      <c r="AA349" s="3">
        <f>1219.6+(676.5-178.3)+(-0.621996+(-0.345015--0.090933))+0-27.6--0.0140759999999972</f>
        <v>1689.337998</v>
      </c>
      <c r="AB349" s="3">
        <f>1214.2+(565.5-178.9)+(-2.476968+(-1.15362--0.364956))+0-28.4--0.0579359999999988</f>
        <v>1569.1923039999999</v>
      </c>
      <c r="AC349" s="3">
        <f>1191+(479.4-180)+(-3.03705+(-1.22247--0.459))+0-28.3--0.0721649999999959</f>
        <v>1458.3716450000002</v>
      </c>
      <c r="AD349">
        <v>1768.1000000000001</v>
      </c>
      <c r="AE349" s="3">
        <f>1481+(535.8-198.5)+(0+(0-0))+0-27.6-0</f>
        <v>1790.7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1165.3+(334.2-180.9)+(-2.971515+(-0.85221--0.461295))+0-28--0.0713999999999959</f>
        <v>1287.30897</v>
      </c>
      <c r="G350" s="3">
        <f>1165.7+(262.2-186.6)+(-2.972535+(-0.66861--0.47583))+0-28.2--0.0719099999999959</f>
        <v>1210.0065949999998</v>
      </c>
      <c r="H350" s="3">
        <f>1168.8+(192.5-187.3)+(-2.98044+(-0.490875--0.477615))+0-28.3--0.0721649999999959</f>
        <v>1142.7784650000001</v>
      </c>
      <c r="I350" s="3">
        <f>1170.2+(201.6-198.2)+(-0.596802+(-0.102816--0.101082))+0-27.5--0.0140249999999972</f>
        <v>1145.5154890000001</v>
      </c>
      <c r="J350" s="3">
        <f>1166.4+(208-200.9)+(-2.97432+(-0.5304--0.512295))+0-27.1--0.0691049999999961</f>
        <v>1143.4766800000002</v>
      </c>
      <c r="K350" s="3">
        <f>1169.7+(214.1-199)+(0.596547+(0.109191-0.10149))+0-27.6-0.0140759999999972</f>
        <v>1157.7901720000002</v>
      </c>
      <c r="L350" s="3">
        <f>1169.4+(227.7-182.5)+(-1.789182+(-0.348381--0.279225))+0-27.5--0.0420750000000016</f>
        <v>1185.2837370000002</v>
      </c>
      <c r="M350" s="3">
        <f>1215.7+(215.5-182.9)+(-1.240014+(-0.21981--0.186558))+0-27.8--0.0283560000000044</f>
        <v>1219.2550900000001</v>
      </c>
      <c r="N350" s="3">
        <f>1427.8+(202.6-211.6)+(0.728178+(0.103326-0.107916))+0-28-0.0142799999999972</f>
        <v>1391.5093079999999</v>
      </c>
      <c r="O350" s="3">
        <f>1429.8+(265.9-180.3)+(1.458396+(0.271218-0.183906))+0-28.5-0.0290700000000045</f>
        <v>1488.4166379999999</v>
      </c>
      <c r="P350" s="3">
        <f>1432.3+(309.1-178.7)+(-0.730473+(-0.157641--0.091137))+0-28.3--0.0144329999999971</f>
        <v>1533.6174560000002</v>
      </c>
      <c r="Q350" s="3">
        <f>1442.9+(327.8-179.6)+(-1.471758+(-0.334356--0.183192))+0-27.5--0.0280500000000044</f>
        <v>1562.005128</v>
      </c>
      <c r="R350" s="3">
        <f>1443.6+(322.6-186.8)+(-0.736236+(-0.164526--0.095268))+0-22.8--0.0116279999999977</f>
        <v>1555.8061339999999</v>
      </c>
      <c r="S350" s="3">
        <f>1443+(291.7-187.9)+(1.47186+(0.297534-0.191658))+0-16.8-0.0171360000000027</f>
        <v>1531.5606</v>
      </c>
      <c r="T350" s="3">
        <f>1442.3+(249-162.3)+(0.735573+(0.12699-0.082773))+0-8.3-0.00423299999999916</f>
        <v>1521.4755570000002</v>
      </c>
      <c r="U350" s="3">
        <f>1442.1+(240-160.4)+(0.735471+(0.1224-0.081804))+0-7.6-0.00387599999999923</f>
        <v>1514.8721909999999</v>
      </c>
      <c r="V350" s="3">
        <f>1441.4+(261.9-178)+(-0.735114+(-0.133569--0.09078))+0-5.7--0.00290699999999942</f>
        <v>1518.8250040000003</v>
      </c>
      <c r="W350" s="3">
        <f>1456.5+(292.1-186.7)+(2.228445+(0.446913-0.285651))+0-4.3-0.00657900000000025</f>
        <v>1559.9831280000001</v>
      </c>
      <c r="X350" s="3">
        <f>1479+(465.5-197.2)+(0+(0-0))+0-3.8-0</f>
        <v>1743.5</v>
      </c>
      <c r="Y350" s="3">
        <f>1487.3+(515.5-186)+(-2.275569+(-0.788715--0.28458))+0-3.9--0.00596700000000023</f>
        <v>1810.1262629999999</v>
      </c>
      <c r="Z350" s="3">
        <f>1438.5+(502.2-179.3)+(-1.46727+(-0.512244--0.182886))+0-4--0.00408000000000064</f>
        <v>1755.607452</v>
      </c>
      <c r="AA350" s="3">
        <f>1359.3+(508.9-173.2)+(-3.466215+(-1.297695--0.44166))+0-4.1--0.0104549999999994</f>
        <v>1686.5882050000002</v>
      </c>
      <c r="AB350" s="3">
        <f>1147.8+(591.8-172.6)+(-1.756134+(-0.905454--0.264078))+0-4--0.00612000000000023</f>
        <v>1560.60861</v>
      </c>
      <c r="AC350" s="3">
        <f>977.9+(605.9-182.3)+(-1.994916+(-1.236036--0.371892))+0-4--0.00815999999999983</f>
        <v>1394.6491000000001</v>
      </c>
      <c r="AD350">
        <v>1743.7</v>
      </c>
      <c r="AE350" s="3">
        <f>1473+(495.7-197.6)+(0+(0-0))+0-3.8-0</f>
        <v>1767.3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976.9+(397.6-180.9)+(0.498219+(0.202776-0.092259))+0-3.6-0.00183599999999963</f>
        <v>1190.6069</v>
      </c>
      <c r="G351" s="3">
        <f>931.1+(343.3-161)+(-0.949722+(-0.350166--0.16422))+0-3.5--0.00357000000000056</f>
        <v>1108.7679020000003</v>
      </c>
      <c r="H351" s="3">
        <f>887.3+(342.9-149.8)+(-0.452523+(-0.174879--0.076398))+0-2--0.0010199999999998</f>
        <v>1077.8500159999999</v>
      </c>
      <c r="I351" s="3">
        <f>835.2+(364.8-140.7)+(0.425952+(0.186048-0.071757))+0-1.9-0.000968999999999807</f>
        <v>1057.9392740000001</v>
      </c>
      <c r="J351" s="3">
        <f>831.9+(368.9-137.5)+(-0.848538+(-0.376278--0.14025))+0-1.9--0.0019380000000003</f>
        <v>1060.317372</v>
      </c>
      <c r="K351" s="3">
        <f>929.4+(270.6-146.3)+(0+(0-0))+0-1.9-0</f>
        <v>1051.8</v>
      </c>
      <c r="L351" s="3">
        <f>994.7+(273.5-153.4)+(-1.014594+(-0.27897--0.156468))+0-2--0.00204000000000032</f>
        <v>1111.6649440000001</v>
      </c>
      <c r="M351" s="3">
        <f>997+(286.6-147.5)+(0.50847+(0.146166-0.075225))+0-1.9-0.000968999999999807</f>
        <v>1134.7784419999998</v>
      </c>
      <c r="N351" s="3">
        <f>996.9+(513-143.9)+(1.016838+(0.52326-0.146778))+0-1.8-0.00183600000000029</f>
        <v>1365.591484</v>
      </c>
      <c r="O351" s="3">
        <f>1010.2+(598.1-150.2)+(0.515202+(0.305031-0.076602))+0-2.3-0.00117299999999977</f>
        <v>1456.5424580000001</v>
      </c>
      <c r="P351" s="3">
        <f>1011.9+(689.2-160.3)+(-1.548207+(-1.054476--0.245259))+0-2.4--0.00367200000000014</f>
        <v>1536.0462480000001</v>
      </c>
      <c r="Q351" s="3">
        <f>1020.7+(700.9-172.2)+(-2.082228+(-1.429836--0.351288))+0-2.6--0.00530399999999989</f>
        <v>1543.6445280000003</v>
      </c>
      <c r="R351" s="3">
        <f>1021.4+(667.7-163)+(-1.562742+(-1.021581--0.24939))+0-3.5--0.0053550000000002</f>
        <v>1520.2704219999998</v>
      </c>
      <c r="S351" s="3">
        <f>1050.6+(609.9-169)+(-2.67903+(-1.555245--0.43095))+0-2.6--0.00662999999999962</f>
        <v>1485.1033050000001</v>
      </c>
      <c r="T351" s="3">
        <f>1048.6+(583.5-170.2)+(0.534786+(0.297585-0.086802))+0-1.6-0.000815999999999838</f>
        <v>1461.0447529999999</v>
      </c>
      <c r="U351" s="3">
        <f>1090.9+(527.3-170.7)+(-2.225436+(-1.075692--0.348228))+0-1.6--0.00326399999999993</f>
        <v>1442.950364</v>
      </c>
      <c r="V351" s="3">
        <f>1181.6+(364.6-164)+(0+(0-0))+0-1.6-0</f>
        <v>1380.6</v>
      </c>
      <c r="W351" s="3">
        <f>1354.3+(308.5-171.2)+(0.690693+(0.157335-0.087312))+0-1.5-0.000764999999999848</f>
        <v>1490.8599509999999</v>
      </c>
      <c r="X351" s="3">
        <f>1444.4+(427-185)+(1.473288+(0.43554-0.1887))+0-1.5-0.00153000000000024</f>
        <v>1686.618598</v>
      </c>
      <c r="Y351" s="3">
        <f>1483.3+(523.1-187.7)+(0+(0-0))+0-1.6-0</f>
        <v>1817.1000000000001</v>
      </c>
      <c r="Z351" s="3">
        <f>1477.1+(475.3-188.2)+(0.753321+(0.242403-0.095982))+0-1.6-0.000815999999999838</f>
        <v>1763.498926</v>
      </c>
      <c r="AA351" s="3">
        <f>1430.3+(455.6-182.2)+(-1.458906+(-0.464712--0.185844))+0-1.6--0.00163200000000026</f>
        <v>1700.3638580000002</v>
      </c>
      <c r="AB351" s="3">
        <f>1315+(516-178.8)+(-0.67065+(-0.26316--0.091188))+0-1.6--0.000815999999999838</f>
        <v>1649.7581940000002</v>
      </c>
      <c r="AC351" s="3">
        <f>968.3+(667.2-180)+(-1.975332+(-1.361088--0.3672))+0-1.5--0.00305999999999993</f>
        <v>1451.0338400000001</v>
      </c>
      <c r="AD351">
        <v>1799.8</v>
      </c>
      <c r="AE351" s="3">
        <f>1485.7+(516.3-188.3)+(0+(0-0))+0-1.7-0</f>
        <v>1812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889.6+(561.8-177.4)+(-0.453696+(-0.286518--0.090474))+0-1.5--0.000764999999999848</f>
        <v>1271.8510249999999</v>
      </c>
      <c r="G352" s="3">
        <f>883.9+(487.6-177.9)+(0+(0-0))+0-1.5-0</f>
        <v>1192.0999999999999</v>
      </c>
      <c r="H352" s="3">
        <f>873+(467.1-177)+(-0.44523+(-0.238221--0.09027))+0-1.5--0.000764999999999848</f>
        <v>1161.007584</v>
      </c>
      <c r="I352" s="3">
        <f>780.2+(516.2-174.1)+(0+(0-0))+0-1.5-0</f>
        <v>1120.8000000000002</v>
      </c>
      <c r="J352" s="3">
        <f>810+(465.3-171)+(0.8262+(0.474606-0.17442))+0-1.5-0.00153000000000024</f>
        <v>1103.9248559999999</v>
      </c>
      <c r="K352" s="3">
        <f>879.5+(416.4-169)+(-0.448545+(-0.212364--0.08619))+0-1.5--0.000764999999999848</f>
        <v>1124.8260460000001</v>
      </c>
      <c r="L352" s="3">
        <f>879.8+(449.1-171.6)+(-0.448698+(-0.229041--0.087516))+0-1.5--0.000764999999999848</f>
        <v>1155.210542</v>
      </c>
      <c r="M352" s="3">
        <f>881.2+(519.2-172.9)+(0.898824+(0.529584-0.176358))+0-1.5-0.00153000000000024</f>
        <v>1227.2505200000001</v>
      </c>
      <c r="N352" s="3">
        <f>907.9+(628.8-175)+(0.926058+(0.641376-0.1785))+0-1.9-0.0019380000000003</f>
        <v>1361.1869959999997</v>
      </c>
      <c r="O352" s="3">
        <f>1006.3+(650.5-178)+(1.026426+(0.66351-0.18156))+0-2-0.00204000000000032</f>
        <v>1478.3063359999999</v>
      </c>
      <c r="P352" s="3">
        <f>1010.3+(742.9-179.5)+(1.545759+(1.136637-0.274635))+0-2.1-0.00321300000000012</f>
        <v>1574.0045479999999</v>
      </c>
      <c r="Q352" s="3">
        <f>1037.9+(725.3-175.6)+(-1.587987+(-1.109709--0.268668))+0-1.7--0.0026010000000001</f>
        <v>1583.4735729999998</v>
      </c>
      <c r="R352" s="3">
        <f>1060.1+(721.8-159.2)+(-2.162604+(-1.472472--0.324768))+0-1.5--0.00305999999999993</f>
        <v>1617.8927519999997</v>
      </c>
      <c r="S352" s="3">
        <f>1057.8+(615.4-169.7)+(-2.69739+(-1.56927--0.432735))+0-1.4--0.0035699999999998</f>
        <v>1498.2696450000001</v>
      </c>
      <c r="T352" s="3">
        <f>1064.5+(548.6-171.4)+(1.628685+(0.839358-0.262242))+0-1.4-0.00214200000000008</f>
        <v>1442.503659</v>
      </c>
      <c r="U352" s="3">
        <f>1066.2+(586.8-170.8)+(1.631286+(0.897804-0.261324))+0-1.4-0.00214200000000008</f>
        <v>1483.0656239999998</v>
      </c>
      <c r="V352" s="3">
        <f>1129.3+(521.5-171.4)+(-0.575943+(-0.265965--0.087414))+0-1.5--0.000764999999999848</f>
        <v>1477.1462710000001</v>
      </c>
      <c r="W352" s="3">
        <f>1280.3+(432.6-216.2)+(-0.652953+(-0.220626--0.110262))+0-1.4--0.000713999999999858</f>
        <v>1494.5373970000001</v>
      </c>
      <c r="X352" s="3">
        <f>1304.7+(604-225.4)+(0+(0-0))+0-1.4-0</f>
        <v>1681.9</v>
      </c>
      <c r="Y352" s="3">
        <f>1328.4+(710.2-223.3)+(-2.032452+(-1.086606--0.341649))+0-1.4--0.00214200000000008</f>
        <v>1811.1247330000001</v>
      </c>
      <c r="Z352" s="3">
        <f>1330.2+(682.5-220.6)+(-1.356804+(-0.69615--0.225012))+0-1.4--0.00142800000000022</f>
        <v>1788.873486</v>
      </c>
      <c r="AA352" s="3">
        <f>1294.8+(641.5-223.4)+(-1.320696+(-0.65433--0.227868))+0-1.4--0.00142800000000022</f>
        <v>1709.7542700000001</v>
      </c>
      <c r="AB352" s="3">
        <f>1291+(581.7-236.2)+(-2.63364+(-1.186668--0.481848))+0-1.4--0.00285599999999994</f>
        <v>1631.764396</v>
      </c>
      <c r="AC352" s="3">
        <f>1057.8+(645.5-208.6)+(-1.618434+(-0.987615--0.319158))+0-1.4--0.00214200000000008</f>
        <v>1491.0152509999998</v>
      </c>
      <c r="AD352">
        <v>1781.9999999999998</v>
      </c>
      <c r="AE352" s="3">
        <f>1321+(708.5-221.7)+(0+(0-0))+0-1.4-0</f>
        <v>1806.3999999999999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865.4+(625.3-178.4)+(-3.089478+(-2.232321--0.636888))+0-1.4--0.00499800000000002</f>
        <v>1306.2200869999997</v>
      </c>
      <c r="G353" s="3">
        <f>801.3+(530.3-180)+(-0.817326+(-0.540906--0.1836))+0-1.4--0.00142800000000022</f>
        <v>1149.0267959999999</v>
      </c>
      <c r="H353" s="3">
        <f>770.1+(536.2-178.1)+(-1.571004+(-1.093848--0.363324))+0-1.4--0.00285599999999994</f>
        <v>1124.5013280000001</v>
      </c>
      <c r="I353" s="3">
        <f>734+(570.6-169.4)+(0.37434+(0.291006-0.086394))+0-1.4-0.000713999999999858</f>
        <v>1134.378238</v>
      </c>
      <c r="J353" s="3">
        <f>759.4+(544.5-168.2)+(0+(0-0))+0-1.4-0</f>
        <v>1134.3</v>
      </c>
      <c r="K353" s="3">
        <f>862.7+(480.4-187.9)+(-0.879954+(-0.490008--0.191658))+0-1.4--0.00142800000000022</f>
        <v>1152.623124</v>
      </c>
      <c r="L353" s="3">
        <f>863.5+(499.1-180.5)+(0.440385+(0.254541-0.092055))+0-1.4-0.000713999999999858</f>
        <v>1181.3021569999999</v>
      </c>
      <c r="M353" s="3">
        <f>970.1+(466-203.5)+(0.989502+(0.47532-0.20757))+0-1.4-0.00142800000000022</f>
        <v>1232.4558239999999</v>
      </c>
      <c r="N353" s="3">
        <f>1096.2+(517.6-244.8)+(1.118124+(0.527952-0.249696))+0-1.6-0.00163200000000026</f>
        <v>1368.794748</v>
      </c>
      <c r="O353" s="3">
        <f>1125.7+(599.5-247.8)+(0+(0-0))+0-1.9-0</f>
        <v>1475.5</v>
      </c>
      <c r="P353" s="3">
        <f>1187.7+(574.8-258.5)+(-1.211454+(-0.586296--0.26367))+0-1.4--0.00142800000000022</f>
        <v>1501.067348</v>
      </c>
      <c r="Q353" s="3">
        <f>1368.3+(465.7-275.8)+(-3.489165+(-1.187535--0.70329))+0-1.3--0.00331499999999981</f>
        <v>1552.9299049999997</v>
      </c>
      <c r="R353" s="3">
        <f>1371.2+(452.2-220.4)+(-2.097936+(-0.691866--0.337212))+0-1.3--0.00198900000000008</f>
        <v>1599.249399</v>
      </c>
      <c r="S353" s="3">
        <f>1422+(385.1-250.9)+(-2.90088+(-0.785604--0.511836))+0-1.3--0.00265199999999994</f>
        <v>1551.7280040000001</v>
      </c>
      <c r="T353" s="3">
        <f>1593.2+(270.5-343.8)+(-0.812532+(-0.137955--0.175338))+0-1.4--0.000713999999999858</f>
        <v>1517.725565</v>
      </c>
      <c r="U353" s="3">
        <f>1600.4+(281.5-354.4)+(0+(0-0))+0-1.6-0</f>
        <v>1525.9</v>
      </c>
      <c r="V353" s="3">
        <f>1620.5+(305.4-404.9)+(2.479365+(0.467262-0.619497))+0-1.4-0.00214200000000008</f>
        <v>1521.9249879999998</v>
      </c>
      <c r="W353" s="3">
        <f>1655.7+(312.3-437.5)+(-2.533221+(-0.477819--0.669375))+0-1.3--0.00198900000000008</f>
        <v>1526.8603240000002</v>
      </c>
      <c r="X353" s="3">
        <f>1729.7+(362.6-387.7)+(1.764294+(0.369852-0.395454))+0-1.4-0.00142800000000022</f>
        <v>1704.9372639999999</v>
      </c>
      <c r="Y353" s="3">
        <f>1895.1+(396.2-440.2)+(-2.899503+(-0.606186--0.673506))+0-1.4--0.00214200000000008</f>
        <v>1846.8699589999999</v>
      </c>
      <c r="Z353" s="3">
        <f>1902.6+(377.5-460.4)+(-3.881304+(-0.7701--0.939216))+0-1.4--0.00285599999999994</f>
        <v>1814.5906679999998</v>
      </c>
      <c r="AA353" s="3">
        <f>1887.9+(346.6-463.1)+(-2.888487+(-0.530298--0.708543))+0-1.4--0.00214200000000008</f>
        <v>1767.2918999999999</v>
      </c>
      <c r="AB353" s="3">
        <f>1792.3+(327.9-434.8)+(-4.570365+(-0.836145--1.10874))+0-1.4--0.0035699999999998</f>
        <v>1679.7058</v>
      </c>
      <c r="AC353" s="3">
        <f>1705.4+(298-448.8)+(-0.869754+(-0.15198--0.228888))+0-1.4--0.000713999999999858</f>
        <v>1552.407868</v>
      </c>
      <c r="AD353">
        <v>1829.6999999999998</v>
      </c>
      <c r="AE353" s="3">
        <f>1905+(403.5-453.4)+(0+(0-0))+0-1.4-0</f>
        <v>1853.6999999999998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1673.6+(221.8-494.3)+(-4.26768+(-0.56559--1.260465))+0-1.4--0.0035699999999998</f>
        <v>1396.1307649999999</v>
      </c>
      <c r="G354" s="3">
        <f>1638.2+(151-505.5)+(-4.17741+(-0.38505--1.289025))+0-1.4--0.0035699999999998</f>
        <v>1279.030135</v>
      </c>
      <c r="H354" s="3">
        <f>1521.7+(180.5-489.6)+(-2.328201+(-0.276165--0.749088))+0-1.4--0.00214200000000008</f>
        <v>1209.3468639999999</v>
      </c>
      <c r="I354" s="3">
        <f>1430.4+(202.9-450.1)+(2.188512+(0.310437-0.688653))+0-1.3-0.00198900000000008</f>
        <v>1183.7083070000001</v>
      </c>
      <c r="J354" s="3">
        <f>1379.3+(211.2-427.4)+(2.813772+(0.430848-0.871896))+0-1.3-0.00265199999999994</f>
        <v>1164.1700720000001</v>
      </c>
      <c r="K354" s="3">
        <f>1506.1+(214.9-543.3)+(3.840555+(0.547995-1.385415))+0-1.3-0.00331499999999981</f>
        <v>1179.3998199999999</v>
      </c>
      <c r="L354" s="3">
        <f>1442.2+(200.5-453.9)+(-1.471044+(-0.20451--0.462978))+0-1.3--0.00132600000000021</f>
        <v>1186.2887500000004</v>
      </c>
      <c r="M354" s="3">
        <f>1425.4+(174.9-383.7)+(1.453908+(0.178398-0.391374))+0-1.4-0.00142800000000022</f>
        <v>1216.4395039999999</v>
      </c>
      <c r="N354" s="3">
        <f>1568+(239.6-407.2)+(0.79968+(0.122196-0.207672))+0-1.5-0.000764999999999848</f>
        <v>1399.6134390000002</v>
      </c>
      <c r="O354" s="3">
        <f>1572.3+(288.4-329.9)+(1.603746+(0.294168-0.336498))+0-1.9-0.0019380000000003</f>
        <v>1530.4594779999998</v>
      </c>
      <c r="P354" s="3">
        <f>1569.2+(292.3-270.2)+(-1.600584+(-0.298146--0.275604))+0-1.3--0.00132600000000021</f>
        <v>1588.3782000000003</v>
      </c>
      <c r="Q354" s="3">
        <f>1568.7+(290.9-242.3)+(-2.400111+(-0.445077--0.370719))+0-1.7--0.0026010000000001</f>
        <v>1613.1281319999998</v>
      </c>
      <c r="R354" s="3">
        <f>1567.2+(274.7-248.5)+(-3.197088+(-0.560388--0.50694))+0-1.6--0.00326399999999993</f>
        <v>1588.5527280000001</v>
      </c>
      <c r="S354" s="3">
        <f>1571.8+(249.2-287.5)+(1.603236+(0.254184-0.29325))+0-1.4-0.00142800000000022</f>
        <v>1533.662742</v>
      </c>
      <c r="T354" s="3">
        <f>1573.3+(236.6-318.2)+(1.604766+(0.241332-0.324564))+0-1.8-0.00183600000000029</f>
        <v>1491.4196980000002</v>
      </c>
      <c r="U354" s="3">
        <f>1568.9+(237-333.9)+(-1.600278+(-0.24174--0.340578))+0-3.4--0.00346800000000054</f>
        <v>1467.102028</v>
      </c>
      <c r="V354" s="3">
        <f>1630.1+(238.2-410.8)+(-2.494053+(-0.364446--0.628524))+0-3.4--0.0052020000000002</f>
        <v>1451.875227</v>
      </c>
      <c r="W354" s="3">
        <f>1690.6+(236.6-464)+(-4.31103+(-0.60333--1.1832))+0-2.3--0.00586499999999967</f>
        <v>1457.1747049999999</v>
      </c>
      <c r="X354" s="3">
        <f>1788.4+(332.9-497.4)+(0.912084+(0.169779-0.253674))+0-3.2-0.00163199999999968</f>
        <v>1621.5265570000001</v>
      </c>
      <c r="Y354" s="3">
        <f>1822.4+(385.8-436.1)+(-5.576544+(-1.180548--1.334466))+0-3.5--0.0107100000000004</f>
        <v>1763.1880840000001</v>
      </c>
      <c r="Z354" s="3">
        <f>1824.4+(358.3-443.1)+(0+(0-0))+0-3.5-0</f>
        <v>1736.1000000000001</v>
      </c>
      <c r="AA354" s="3">
        <f>1820.8+(327.2-438.3)+(-2.785824+(-0.500616--0.670599))+0-3.5--0.0053550000000002</f>
        <v>1703.5895139999998</v>
      </c>
      <c r="AB354" s="3">
        <f>1785.1+(247.7-399.1)+(-3.641604+(-0.505308--0.814164))+0-3.5--0.00713999999999985</f>
        <v>1626.8743919999997</v>
      </c>
      <c r="AC354" s="3">
        <f>1637.5+(263.5-396.2)+(-0.835125+(-0.134385--0.202062))+0-3.5--0.00178499999999964</f>
        <v>1500.5343369999998</v>
      </c>
      <c r="AD354">
        <v>1731.1000000000001</v>
      </c>
      <c r="AE354" s="3">
        <f>1832+(374.8-450.3)+(0+(0-0))+0-3.4-0</f>
        <v>1753.1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1518.6+(242.6-396.7)+(-2.323458+(-0.371178--0.606951))+0-3.5--0.0053550000000002</f>
        <v>1358.91767</v>
      </c>
      <c r="G355" s="3">
        <f>1284.5+(240.9-288.1)+(-2.62038+(-0.491436--0.587724))+0-3.2--0.00652799999999986</f>
        <v>1231.5824359999997</v>
      </c>
      <c r="H355" s="3">
        <f>1096.5+(289.3-219.1)+(-0.559215+(-0.147543--0.111741))+0-3.1--0.00158099999999969</f>
        <v>1163.006564</v>
      </c>
      <c r="I355" s="3">
        <f>1091.6+(281.6-228.5)+(-1.670148+(-0.430848--0.349605))+0-1.8--0.0027540000000001</f>
        <v>1141.1513629999999</v>
      </c>
      <c r="J355" s="3">
        <f>1097.5+(274.9-235.9)+(0.559725+(0.140199-0.120309))+0-1.4-0.000713999999999858</f>
        <v>1135.678901</v>
      </c>
      <c r="K355" s="3">
        <f>1105.1+(269.2-237)+(0+(0-0))+0-1.4-0</f>
        <v>1135.8999999999999</v>
      </c>
      <c r="L355" s="3">
        <f>1130+(232.9-248.5)+(-2.3052+(-0.475116--0.50694))+0-1.4--0.00285599999999994</f>
        <v>1110.72948</v>
      </c>
      <c r="M355" s="3">
        <f>1225.2+(169.8-310.7)+(0.624852+(0.086598-0.158457))+0-2.5-0.00127499999999975</f>
        <v>1082.3517180000001</v>
      </c>
      <c r="N355" s="3">
        <f>1327.6+(269.3-380.8)+(1.354152+(0.274686-0.388416))+0-3.4-0.00346800000000054</f>
        <v>1213.9369539999998</v>
      </c>
      <c r="O355" s="3">
        <f>1409+(253.5-339.4)+(-0.71859+(-0.129285--0.173094))+0-4.1--0.00209099999999958</f>
        <v>1318.3273100000001</v>
      </c>
      <c r="P355" s="3">
        <f>1420.7+(245.7-272.9)+(0.724557+(0.125307-0.139179))+0-4-0.00203999999999959</f>
        <v>1390.2086449999999</v>
      </c>
      <c r="Q355" s="3">
        <f>1374.2+(266-223.5)+(-2.102526+(-0.40698--0.341955))+0-4.2--0.00642600000000024</f>
        <v>1410.3388749999999</v>
      </c>
      <c r="R355" s="3">
        <f>1305.3+(343.9-176.5)+(-3.994218+(-1.052334--0.54009))+0-2.7--0.00826200000000031</f>
        <v>1465.5017999999998</v>
      </c>
      <c r="S355" s="3">
        <f>1251.9+(402.6-175.3)+(-0.638469+(-0.205326--0.089403))+0-1.9--0.000968999999999807</f>
        <v>1476.5465769999998</v>
      </c>
      <c r="T355" s="3">
        <f>1283.9+(331.6-194.2)+(0+(0-0))+0-1-0</f>
        <v>1420.3000000000002</v>
      </c>
      <c r="U355" s="3">
        <f>1293.5+(286.7-196.7)+(-0.659685+(-0.146217--0.100317))+0-1.4--0.000713999999999858</f>
        <v>1381.395129</v>
      </c>
      <c r="V355" s="3">
        <f>1294.9+(260-214.9)+(-1.320798+(-0.2652--0.219198))+0-2.8--0.00285600000000045</f>
        <v>1335.8360560000001</v>
      </c>
      <c r="W355" s="3">
        <f>1351.6+(229.9-266)+(-2.757264+(-0.468996--0.54264))+0-3.4--0.00693599999999985</f>
        <v>1309.4233159999999</v>
      </c>
      <c r="X355" s="3">
        <f>1408.9+(350.9-266.2)+(0.718539+(0.178959-0.135762))+0-5.7-0.00290699999999942</f>
        <v>1488.658829</v>
      </c>
      <c r="Y355" s="3">
        <f>1427.7+(459.5-235.6)+(-2.184381+(-0.703035--0.360468))+0-4.6--0.00703800000000027</f>
        <v>1644.4800900000002</v>
      </c>
      <c r="Z355" s="3">
        <f>1394+(478.2-221.8)+(1.42188+(0.487764-0.226236))+0-4.6-0.00469200000000073</f>
        <v>1647.4787160000003</v>
      </c>
      <c r="AA355" s="3">
        <f>1391.8+(439.1-220.1)+(-2.839272+(-0.895764--0.449004))+0-6.1--0.0124439999999997</f>
        <v>1601.426412</v>
      </c>
      <c r="AB355" s="3">
        <f>1389.9+(363.3-215.9)+(-0.708849+(-0.185283--0.110109))+0-7.3--0.00372299999999926</f>
        <v>1529.2197000000003</v>
      </c>
      <c r="AC355" s="3">
        <f>1291.8+(352.5-233.6)+(-1.976454+(-0.539325--0.357408))+0-19.4--0.0296820000000011</f>
        <v>1389.1713110000001</v>
      </c>
      <c r="AD355">
        <v>1650.9999999999998</v>
      </c>
      <c r="AE355" s="3">
        <f>1461+(437.2-240.1)+(0+(0-0))+0-5.9-0</f>
        <v>1652.1999999999998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1082.8+(370.6-219.3)+(-1.104456+(-0.378012--0.223686))+0-25.7--0.0262140000000041</f>
        <v>1207.1674319999997</v>
      </c>
      <c r="G356" s="3">
        <f>1072.8+(313.7-254.7)+(-1.094256+(-0.319974--0.259794))+0-25.2--0.025704000000004</f>
        <v>1105.4712679999998</v>
      </c>
      <c r="H356" s="3">
        <f>1095.4+(280.5-294.4)+(1.117308+(0.28611-0.300288))+0-28.9-0.0294780000000046</f>
        <v>1053.6736519999999</v>
      </c>
      <c r="I356" s="3">
        <f>1104.3+(270.3-308.4)+(-1.689579+(-0.413559--0.471852))+0-28.1--0.0429930000000016</f>
        <v>1036.5117070000001</v>
      </c>
      <c r="J356" s="3">
        <f>1106.6+(269.7-315.2)+(-1.128732+(-0.275094--0.321504))+0-27.7--0.0282540000000044</f>
        <v>1032.3459319999999</v>
      </c>
      <c r="K356" s="3">
        <f>1094.2+(284.3-304.9)+(0+(0-0))+0-26.8-0</f>
        <v>1046.8000000000002</v>
      </c>
      <c r="L356" s="3">
        <f>1131.8+(319.4-329)+(0+(0-0))+0-26.1-0</f>
        <v>1096.0999999999999</v>
      </c>
      <c r="M356" s="3">
        <f>1173.4+(336.6-323.8)+(1.196868+(0.343332-0.330276))+0-28.2-0.0287640000000045</f>
        <v>1159.1811600000001</v>
      </c>
      <c r="N356" s="3">
        <f>1225+(434.3-289.5)+(0+(0-0))+0-28.5-0</f>
        <v>1341.3</v>
      </c>
      <c r="O356" s="3">
        <f>1348.2+(419.4-259.3)+(0.687582+(0.213894-0.132243))+0-28.8-0.0146879999999971</f>
        <v>1480.254545</v>
      </c>
      <c r="P356" s="3">
        <f>1408+(406.5-237.9)+(0+(0-0))+0-29.3-0</f>
        <v>1547.3</v>
      </c>
      <c r="Q356" s="3">
        <f>1408.7+(418.6-232.9)+(0+(0-0))+0-25.6-0</f>
        <v>1568.8000000000002</v>
      </c>
      <c r="R356" s="3">
        <f>1417.1+(399-233.3)+(-3.613605+(-1.01745--0.594915))+0-25.3--0.0645149999999963</f>
        <v>1553.5283750000001</v>
      </c>
      <c r="S356" s="3">
        <f>1422+(376.4-254.7)+(-0.72522+(-0.191964--0.129897))+0-26--0.0132599999999974</f>
        <v>1516.9259729999999</v>
      </c>
      <c r="T356" s="3">
        <f>1420.6+(346.1-270.5)+(0+(0-0))+0-27.5-0</f>
        <v>1468.6999999999998</v>
      </c>
      <c r="U356" s="3">
        <f>1423.7+(337.8-265.4)+(-0.726087+(-0.172278--0.135354))+0-28.6--0.0145859999999971</f>
        <v>1466.7515750000002</v>
      </c>
      <c r="V356" s="3">
        <f>1421+(338.8-261.8)+(-1.44942+(-0.345576--0.267036))+0-28.5--0.0290700000000045</f>
        <v>1468.0011100000002</v>
      </c>
      <c r="W356" s="3">
        <f>1416.1+(355.8-265.1)+(-2.166633+(-0.544374--0.405603))+0-27.3--0.0417690000000016</f>
        <v>1477.236365</v>
      </c>
      <c r="X356" s="3">
        <f>1429.7+(514-257.5)+(0+(0-0))+0-28.3-0</f>
        <v>1657.9</v>
      </c>
      <c r="Y356" s="3">
        <f>1430.6+(640.3-249.1)+(-2.188818+(-0.979659--0.381123))+0-29.3--0.0448290000000017</f>
        <v>1789.7574749999997</v>
      </c>
      <c r="Z356" s="3">
        <f>1416.1+(623.6-250.2)+(-3.611055+(-1.59018--0.63801))+0-29.8--0.0759899999999957</f>
        <v>1755.212765</v>
      </c>
      <c r="AA356" s="3">
        <f>1413.7+(567.9-251.3)+(-2.883948+(-1.158516--0.512652))+0-29.5--0.0601799999999987</f>
        <v>1697.3303679999999</v>
      </c>
      <c r="AB356" s="3">
        <f>1231.8+(606.8-206.3)+(-0.628218+(-0.309468--0.105213))+0-29.4--0.014993999999997</f>
        <v>1602.0825209999998</v>
      </c>
      <c r="AC356" s="3">
        <f>1131+(568.5-210.1)+(-2.30724+(-1.15974--0.428604))+0-29.7--0.0605879999999987</f>
        <v>1456.7222120000001</v>
      </c>
      <c r="AD356">
        <v>1759.5</v>
      </c>
      <c r="AE356" s="3">
        <f>1431+(602.7-249.7)+(0+(0-0))+0-28.9-0</f>
        <v>1755.1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1073.9+(427.2-209.4)+(-1.095378+(-0.435744--0.213588))+0-28.8--0.0293760000000046</f>
        <v>1261.611842</v>
      </c>
      <c r="G357" s="3">
        <f>1072.8+(321.3-201.6)+(-1.094256+(-0.327726--0.205632))+0-28.5--0.0290700000000045</f>
        <v>1162.8127200000001</v>
      </c>
      <c r="H357" s="3">
        <f>1038.6+(334.7-201.8)+(-2.118744+(-0.682788--0.411672))+0-28.8--0.0587519999999987</f>
        <v>1140.368892</v>
      </c>
      <c r="I357" s="3">
        <f>1033.9+(336.8-232.2)+(0+(0-0))+0-27.8-0</f>
        <v>1110.7</v>
      </c>
      <c r="J357" s="3">
        <f>1032.2+(335.1-237.1)+(-1.052844+(-0.341802--0.241842))+0-26.8--0.0273360000000043</f>
        <v>1102.2745320000001</v>
      </c>
      <c r="K357" s="3">
        <f>1033.2+(345.2-231.6)+(0.526932+(0.176052-0.118116))+0-27-0.0137699999999973</f>
        <v>1120.3710979999998</v>
      </c>
      <c r="L357" s="3">
        <f>1030.7+(358.5-223.9)+(-0.525657+(-0.182835--0.114189))+0-27.1--0.0138209999999973</f>
        <v>1137.619518</v>
      </c>
      <c r="M357" s="3">
        <f>1121.3+(335-244.1)+(0+(0-0))+0-23.2-0</f>
        <v>1189</v>
      </c>
      <c r="N357" s="3">
        <f>1185.6+(422.3-226.3)+(0.604656+(0.215373-0.115413))+0-17-0.00866999999999828</f>
        <v>1365.295946</v>
      </c>
      <c r="O357" s="3">
        <f>1305.3+(423.7-216.4)+(-0.665703+(-0.216087--0.110364))+0-11.9--0.00606899999999879</f>
        <v>1499.9346429999998</v>
      </c>
      <c r="P357" s="3">
        <f>1398.9+(374.1-208.2)+(-0.713439+(-0.190791--0.106182))+0-14.9--0.00759899999999849</f>
        <v>1549.109551</v>
      </c>
      <c r="Q357" s="3">
        <f>1442.7+(364.1-210.9)+(0.735777+(0.185691-0.107559))+0-18.7-0.0095369999999981</f>
        <v>1578.0043720000001</v>
      </c>
      <c r="R357" s="3">
        <f>1437.4+(362.2-215.7)+(-3.66537+(-0.92361--0.550035))+0-26.5--0.0675749999999962</f>
        <v>1553.4286300000001</v>
      </c>
      <c r="S357" s="3">
        <f>1347.9+(390.6-199.7)+(-2.749716+(-0.796824--0.407388))+0-26.6--0.0542639999999988</f>
        <v>1509.1151120000004</v>
      </c>
      <c r="T357" s="3">
        <f>1158.4+(501.8-186.8)+(0.590784+(0.255918-0.095268))+0-27.7-0.0141269999999972</f>
        <v>1446.4373070000001</v>
      </c>
      <c r="U357" s="3">
        <f>1226.5+(451-188)+(-1.25103+(-0.46002--0.19176))+0-28.8--0.0293760000000046</f>
        <v>1459.210086</v>
      </c>
      <c r="V357" s="3">
        <f>1378.8+(303.9-220.8)+(-3.51594+(-0.774945--0.56304))+0-29.7--0.0757349999999957</f>
        <v>1428.5478899999998</v>
      </c>
      <c r="W357" s="3">
        <f>1536.6+(242.1-275.9)+(-3.134664+(-0.493884--0.562836))+0-28.8--0.0587519999999987</f>
        <v>1470.9930399999998</v>
      </c>
      <c r="X357" s="3">
        <f>1618.5+(352.6-292)+(-0.825435+(-0.179826--0.14892))+0-29.3--0.014942999999997</f>
        <v>1648.9586019999999</v>
      </c>
      <c r="Y357" s="3">
        <f>1719.5+(397.9-277)+(-2.630835+(-0.608787--0.42381))+0-29.7--0.0454410000000017</f>
        <v>1807.929629</v>
      </c>
      <c r="Z357" s="3">
        <f>1652.8+(406.9-250)+(-2.528784+(-0.622557--0.3825))+0-29.5--0.0451350000000017</f>
        <v>1777.4762939999998</v>
      </c>
      <c r="AA357" s="3">
        <f>1565.2+(423.2-234.9)+(-1.596504+(-0.431664--0.239598))+0-29.4--0.0299880000000047</f>
        <v>1722.341418</v>
      </c>
      <c r="AB357" s="3">
        <f>1551.8+(364.7-243.4)+(-2.374254+(-0.557991--0.372402))+0-29.2--0.0446760000000017</f>
        <v>1641.3848329999998</v>
      </c>
      <c r="AC357" s="3">
        <f>1281.7+(443.2-205.4)+(-0.653667+(-0.226032--0.104754))+0-29.3--0.014942999999997</f>
        <v>1489.4399980000001</v>
      </c>
      <c r="AD357">
        <v>1807.6</v>
      </c>
      <c r="AE357" s="3">
        <f>1715+(403.1-282.1)+(0+(0-0))+0-29.6-0</f>
        <v>1806.4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1128.2+(383.7-194.6)+(-1.726146+(-0.587061--0.297738))+0-28.9--0.0442170000000017</f>
        <v>1286.4287479999998</v>
      </c>
      <c r="G358" s="3">
        <f>1126.6+(295.1-213.9)+(-1.149132+(-0.301002--0.218178))+0-28.6--0.0291720000000046</f>
        <v>1177.997216</v>
      </c>
      <c r="H358" s="3">
        <f>1053+(291.7-211.4)+(-1.61109+(-0.446301--0.323442))+0-28--0.0428400000000016</f>
        <v>1103.6088910000001</v>
      </c>
      <c r="I358" s="3">
        <f>1049.3+(304-195.8)+(-1.070286+(-0.31008--0.199716))+0-26.6--0.0271320000000042</f>
        <v>1129.746482</v>
      </c>
      <c r="J358" s="3">
        <f>1052.5+(297.5-200.4)+(1.07355+(0.30345-0.204408))+0-26.6-0.0271320000000042</f>
        <v>1124.14546</v>
      </c>
      <c r="K358" s="3">
        <f>1053.2+(300.2-195.6)+(0+(0-0))+0-26.8-0</f>
        <v>1131</v>
      </c>
      <c r="L358" s="3">
        <f>1127.6+(305.3-197.3)+(0.575076+(0.155703-0.100623))+0-26.8-0.0136679999999973</f>
        <v>1209.4164879999998</v>
      </c>
      <c r="M358" s="3">
        <f>1142.6+(292-190.1)+(1.165452+(0.29784-0.193902))+0-28.3-0.0288660000000045</f>
        <v>1217.4405239999999</v>
      </c>
      <c r="N358" s="3">
        <f>1163.4+(428.7-174.2)+(1.186668+(0.437274-0.177684))+0-29.3-0.0298860000000047</f>
        <v>1390.016372</v>
      </c>
      <c r="O358" s="3">
        <f>1158.4+(596.9-172.7)+(0.590784+(0.304419-0.088077))+0-29.8-0.015197999999997</f>
        <v>1553.5919280000001</v>
      </c>
      <c r="P358" s="3">
        <f>1244.3+(601-172.4)+(0+(0-0))+0-29.7-0</f>
        <v>1643.2</v>
      </c>
      <c r="Q358" s="3">
        <f>1282.4+(592.7-176.1)+(0+(0-0))+0-29.5-0</f>
        <v>1669.5</v>
      </c>
      <c r="R358" s="3">
        <f>1281.5+(567-183.8)+(-2.61426+(-1.15668--0.374952))+0-27.6--0.0563039999999988</f>
        <v>1633.7603160000001</v>
      </c>
      <c r="S358" s="3">
        <f>1284.6+(476.6-192.2)+(-0.655146+(-0.243066--0.098022))+0-27.1--0.0138209999999973</f>
        <v>1541.1136310000002</v>
      </c>
      <c r="T358" s="3">
        <f>1287+(419.3-186.8)+(0+(0-0))+0-28.8-0</f>
        <v>1490.7</v>
      </c>
      <c r="U358" s="3">
        <f>1282.2+(429.5-182.7)+(-1.307844+(-0.43809--0.186354))+0-29.4--0.0299880000000047</f>
        <v>1498.0704079999998</v>
      </c>
      <c r="V358" s="3">
        <f>1281.5+(429.2-172)+(0.653565+(0.218892-0.08772))+0-29-0.0147899999999971</f>
        <v>1510.469947</v>
      </c>
      <c r="W358" s="3">
        <f>1287.1+(455.8-187.2)+(0.656421+(0.232458-0.095472))+0-28-0.0142799999999972</f>
        <v>1528.4791269999996</v>
      </c>
      <c r="X358" s="3">
        <f>1324.1+(576-195)+(0.675291+(0.29376-0.09945))+0-28.6-0.0145859999999971</f>
        <v>1677.3550150000001</v>
      </c>
      <c r="Y358" s="3">
        <f>1335.3+(705.2-193.8)+(-0.681003+(-0.359652--0.098838))+0-28.9--0.0147389999999971</f>
        <v>1816.872922</v>
      </c>
      <c r="Z358" s="3">
        <f>1336.8+(674.4-197.5)+(0.681768+(0.343944-0.100725))+0-29.2-0.014891999999997</f>
        <v>1785.410095</v>
      </c>
      <c r="AA358" s="3">
        <f>1327.6+(634.9-199.3)+(-0.677076+(-0.323799--0.101643))+0-29.4--0.014993999999997</f>
        <v>1732.9157619999996</v>
      </c>
      <c r="AB358" s="3">
        <f>1303.2+(565-189.4)+(-5.317056+(-2.3052--0.772752))+0-29.1--0.118727999999997</f>
        <v>1642.9692240000002</v>
      </c>
      <c r="AC358" s="3">
        <f>1211+(511.3-186)+(-3.70566+(-1.564578--0.56916))+0-27.4--0.0838440000000032</f>
        <v>1504.2827659999998</v>
      </c>
      <c r="AD358">
        <v>1765.1</v>
      </c>
      <c r="AE358" s="3">
        <f>1336+(651.2-190.9)+(0+(0-0))+0-29-0</f>
        <v>1767.3000000000002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1152.7+(394.2-192.6)+(-1.763631+(-0.603126--0.294678))+0-17.1--0.026163000000001</f>
        <v>1335.154084</v>
      </c>
      <c r="G359" s="3">
        <f>1095.4+(350.5-194.6)+(-0.558654+(-0.178755--0.099246))+0-22.9--0.0116789999999977</f>
        <v>1227.773516</v>
      </c>
      <c r="H359" s="3">
        <f>1030.6+(329.2-180.4)+(0+(0-0))+0-26.3-0</f>
        <v>1153.0999999999999</v>
      </c>
      <c r="I359" s="3">
        <f>1029.1+(317.3-184.3)+(0.524841+(0.161823-0.093993))+0-26.5-0.0135149999999973</f>
        <v>1136.1791559999999</v>
      </c>
      <c r="J359" s="3">
        <f>1087.4+(268.5-203.6)+(0+(0-0))+0-27.5-0</f>
        <v>1124.8000000000002</v>
      </c>
      <c r="K359" s="3">
        <f>1150.7+(212-200.2)+(0.586857+(0.10812-0.102102))+0-27.6-0.0140759999999972</f>
        <v>1135.4787990000002</v>
      </c>
      <c r="L359" s="3">
        <f>1149.5+(213.6-192)+(-2.34498+(-0.435744--0.39168))+0-21.8--0.044471999999999</f>
        <v>1146.955428</v>
      </c>
      <c r="M359" s="3">
        <f>1226.5+(195.5-189.4)+(1.876545+(0.299115-0.289782))+0-24.5-0.0374850000000014</f>
        <v>1209.9483929999999</v>
      </c>
      <c r="N359" s="3">
        <f>1273.8+(315.6-190.4)+(1.299276+(0.321912-0.194208))+0-28.2-0.0287640000000045</f>
        <v>1372.198216</v>
      </c>
      <c r="O359" s="3">
        <f>1272.4+(428.3-183.6)+(2.595696+(0.873732-0.374544))+0-29.5-0.0601799999999987</f>
        <v>1490.6347040000003</v>
      </c>
      <c r="P359" s="3">
        <f>1377.7+(371.3-183.1)+(0+(0-0))+0-30.2-0</f>
        <v>1535.7</v>
      </c>
      <c r="Q359" s="3">
        <f>1401.7+(371-184.8)+(-0.714867+(-0.18921--0.094248))+0-29.9--0.015248999999997</f>
        <v>1557.20542</v>
      </c>
      <c r="R359" s="3">
        <f>1398.1+(334.9-191.9)+(0+(0-0))+0-27.9-0</f>
        <v>1513.1999999999998</v>
      </c>
      <c r="S359" s="3">
        <f>1407.5+(285.3-207.1)+(0+(0-0))+0-27.6-0</f>
        <v>1458.1000000000001</v>
      </c>
      <c r="T359" s="3">
        <f>1410.8+(259.4-210.7)+(0+(0-0))+0-27.7-0</f>
        <v>1431.8</v>
      </c>
      <c r="U359" s="3">
        <f>1408.4+(243.2-214.1)+(-2.154852+(-0.372096--0.327573))+0-27.7--0.0423810000000016</f>
        <v>1407.643006</v>
      </c>
      <c r="V359" s="3">
        <f>1410.4+(217.4-219.7)+(2.877216+(0.443496-0.448188))+0-27.6-0.0563039999999988</f>
        <v>1383.3162200000004</v>
      </c>
      <c r="W359" s="3">
        <f>1397.1+(221.4-224.1)+(-0.712521+(-0.112914--0.114291))+0-27.4--0.0139739999999972</f>
        <v>1366.3028299999996</v>
      </c>
      <c r="X359" s="3">
        <f>1416.1+(364.8-223.8)+(0+(0-0))+0-26.8-0</f>
        <v>1530.3</v>
      </c>
      <c r="Y359" s="3">
        <f>1427.2+(465.8-212.5)+(-2.183616+(-0.712674--0.325125))+0-27.2--0.0416160000000016</f>
        <v>1650.7704509999999</v>
      </c>
      <c r="Z359" s="3">
        <f>1429.9+(480.7-217.1)+(-0.729249+(-0.245157--0.110721))+0-27--0.0137699999999973</f>
        <v>1665.650085</v>
      </c>
      <c r="AA359" s="3">
        <f>1430.2+(421.1-214.1)+(-0.729402+(-0.214761--0.109191))+0-26.8--0.0136679999999973</f>
        <v>1609.578696</v>
      </c>
      <c r="AB359" s="3">
        <f>1424.8+(369.9-203.5)+(-3.63324+(-0.943245--0.518925))+0-27.4--0.069869999999996</f>
        <v>1559.8123099999998</v>
      </c>
      <c r="AC359" s="3">
        <f>1398.1+(296.6-208.9)+(-3.565155+(-0.75633--0.532695))+0-27.2--0.0693599999999961</f>
        <v>1454.8805699999998</v>
      </c>
      <c r="AD359">
        <v>1671.1</v>
      </c>
      <c r="AE359" s="3">
        <f>1409+(499.1-216.5)+(0+(0-0))+0-26.9-0</f>
        <v>1664.6999999999998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1192.8+(335.9-193.4)+(-1.216656+(-0.342618--0.197268))+0-27.2--0.0277440000000043</f>
        <v>1306.7657379999998</v>
      </c>
      <c r="G360" s="3">
        <f>1063.4+(325.6-183.6)+(-0.542334+(-0.166056--0.093636))+0-26.8--0.0136679999999973</f>
        <v>1177.9989140000002</v>
      </c>
      <c r="H360" s="3">
        <f>1042.3+(294.4-182.1)+(0+(0-0))+0-27.3-0</f>
        <v>1127.3</v>
      </c>
      <c r="I360" s="3">
        <f>1044.8+(272.6-182.4)+(1.065696+(0.278052-0.186048))+0-26.8-0.0273360000000043</f>
        <v>1109.3303639999999</v>
      </c>
      <c r="J360" s="3">
        <f>1047.2+(267.7-189.7)+(2.67036+(0.682635-0.483735))+0-27.4-0.069869999999996</f>
        <v>1100.5993899999999</v>
      </c>
      <c r="K360" s="3">
        <f>1077.8+(254.1-191.8)+(2.74839+(0.647955-0.48909))+0-27.4-0.069869999999996</f>
        <v>1115.5373849999999</v>
      </c>
      <c r="L360" s="3">
        <f>1074.9+(247.4-170.1)+(0.548199+(0.126174-0.086751))+0-27.4-0.0139739999999972</f>
        <v>1125.373648</v>
      </c>
      <c r="M360" s="3">
        <f>1150.4+(232.9-183)+(0+(0-0))+0-26.8-0</f>
        <v>1173.5000000000002</v>
      </c>
      <c r="N360" s="3">
        <f>1270+(300.7-195.5)+(0+(0-0))+0-28.4-0</f>
        <v>1346.8</v>
      </c>
      <c r="O360" s="3">
        <f>1325+(367.6-173.4)+(1.3515+(0.374952-0.176868))+0-29.9-0.0304980000000048</f>
        <v>1490.819086</v>
      </c>
      <c r="P360" s="3">
        <f>1337+(415.7-170.3)+(-0.68187+(-0.212007--0.086853))+0-29.9--0.015248999999997</f>
        <v>1551.7082250000001</v>
      </c>
      <c r="Q360" s="3">
        <f>1333+(445.2-166.4)+(-1.35966+(-0.454104--0.169728))+0-30.1--0.0307020000000048</f>
        <v>1580.0866660000002</v>
      </c>
      <c r="R360" s="3">
        <f>1325.8+(422.3-171.9)+(-1.352316+(-0.430746--0.175338))+0-28.3--0.0288660000000045</f>
        <v>1546.3211420000002</v>
      </c>
      <c r="S360" s="3">
        <f>1322.4+(384.5-172.6)+(-0.674424+(-0.196095--0.088026))+0-58--0.0295799999999941</f>
        <v>1475.5470870000001</v>
      </c>
      <c r="T360" s="3">
        <f>1316.2+(349.9-169.3)+(-2.685048+(-0.713796--0.345372))+0-29.3--0.0597719999999987</f>
        <v>1464.5063</v>
      </c>
      <c r="U360" s="3">
        <f>1313.8+(332.6-169.9)+(0+(0-0))+0-29.3-0</f>
        <v>1447.2</v>
      </c>
      <c r="V360" s="3">
        <f>1313.3+(327-173.5)+(-1.339566+(-0.33354--0.17697))+0-28.9--0.0294780000000046</f>
        <v>1436.4333419999998</v>
      </c>
      <c r="W360" s="3">
        <f>1398.8+(287-201.4)+(-0.713388+(-0.14637--0.102714))+0-28.2--0.0143819999999971</f>
        <v>1455.4573379999999</v>
      </c>
      <c r="X360" s="3">
        <f>1356.2+(583.5-189.8)+(-0.691662+(-0.297585--0.096798))+0-16--0.00815999999999838</f>
        <v>1733.0157110000002</v>
      </c>
      <c r="Y360" s="3">
        <f>1453.6+(551.4-191.3)+(-1.482672+(-0.562428--0.195126))+0-29--0.0295800000000046</f>
        <v>1782.8796059999997</v>
      </c>
      <c r="Z360" s="3">
        <f>1420.2+(552-188.5)+(-3.62151+(-1.4076--0.480675))+0-28.7--0.0731849999999958</f>
        <v>1750.52475</v>
      </c>
      <c r="AA360" s="3">
        <f>1387.8+(527.9-185)+(-1.415556+(-0.538458--0.1887))+0-29.2--0.0297840000000047</f>
        <v>1699.7644699999998</v>
      </c>
      <c r="AB360" s="3">
        <f>1350.2+(475-180.2)+(-2.065806+(-0.72675--0.275706))+0-27.4--0.0419220000000016</f>
        <v>1615.125072</v>
      </c>
      <c r="AC360" s="3">
        <f>1229.6+(457.5-180.5)+(-1.881288+(-0.699975--0.276165))+0-27.2--0.0416160000000016</f>
        <v>1477.1365179999998</v>
      </c>
      <c r="AD360">
        <v>1789</v>
      </c>
      <c r="AE360" s="3">
        <f>1453+(550-183.8)+(0+(0-0))+0-29.2-0</f>
        <v>1790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1148.7+(289.2-174)+(-1.171674+(-0.294984--0.17748))+0-27--0.0275400000000043</f>
        <v>1235.6383620000001</v>
      </c>
      <c r="G361" s="3">
        <f>1152.1+(223.4-178.3)+(0.587571+(0.113934-0.090933))+0-26.9-0.0137189999999973</f>
        <v>1170.8968529999997</v>
      </c>
      <c r="H361" s="3">
        <f>1068.2+(249.1-174.8)+(-1.634346+(-0.381123--0.267444))+0-27--0.0413100000000016</f>
        <v>1113.793285</v>
      </c>
      <c r="I361" s="3">
        <f>1049.8+(240.6-174)+(-1.070796+(-0.245412--0.17748))+0-26.9--0.0274380000000043</f>
        <v>1088.3887099999999</v>
      </c>
      <c r="J361" s="3">
        <f>1048.9+(228.3-165.8)+(-1.604817+(-0.349299--0.253674))+0-27.2--0.0416160000000016</f>
        <v>1082.541174</v>
      </c>
      <c r="K361" s="3">
        <f>1049.4+(228.2-156.6)+(1.605582+(0.349146-0.239598))+0-26.9-0.0411570000000016</f>
        <v>1095.7739729999998</v>
      </c>
      <c r="L361" s="3">
        <f>951.2+(333.5-150.6)+(-0.970224+(-0.34017--0.153612))+0-26.9--0.0274380000000043</f>
        <v>1106.0706560000001</v>
      </c>
      <c r="M361" s="3">
        <f>1007.7+(348.7-175.2)+(0+(0-0))+0-28.3-0</f>
        <v>1152.9000000000001</v>
      </c>
      <c r="N361" s="3">
        <f>1014.4+(549.2-231)+(1.034688+(0.560184-0.23562))+0-29.6-0.0301920000000047</f>
        <v>1304.32906</v>
      </c>
      <c r="O361" s="3">
        <f>986.8+(714.9-243.4)+(1.509804+(1.093797-0.372402))+0-29.7-0.0454410000000017</f>
        <v>1430.785758</v>
      </c>
      <c r="P361" s="3">
        <f>983+(780.3-243.2)+(0+(0-0))+0-30-0</f>
        <v>1490.1</v>
      </c>
      <c r="Q361" s="3">
        <f>997.1+(805-250.8)+(-0.508521+(-0.41055--0.127908))+0-29.3--0.014942999999997</f>
        <v>1521.22378</v>
      </c>
      <c r="R361" s="3">
        <f>993.6+(781-248.6)+(-4.053888+(-3.18648--1.014288))+0-27.6--0.112607999999998</f>
        <v>1492.2865280000001</v>
      </c>
      <c r="S361" s="3">
        <f>996.6+(721.7-248.3)+(-2.033064+(-1.472268--0.506532))+0-27.5--0.0560999999999988</f>
        <v>1439.5572999999999</v>
      </c>
      <c r="T361" s="3">
        <f>993.9+(685.9-245.9)+(0.506889+(0.349809-0.125409))+0-28.7-0.0146369999999971</f>
        <v>1405.9166520000001</v>
      </c>
      <c r="U361" s="3">
        <f>1083.6+(605-247.5)+(-3.315816+(-1.8513--0.75735))+0-29--0.0887400000000034</f>
        <v>1407.7789739999998</v>
      </c>
      <c r="V361" s="3">
        <f>1162.1+(510.1-228.6)+(-3.556026+(-1.560906--0.699516))+0-21.8--0.0667080000000025</f>
        <v>1417.449292</v>
      </c>
      <c r="W361" s="3">
        <f>1109.2+(523.6-196.6)+(-1.697076+(-0.801108--0.300798))+0-12.9--0.0197370000000007</f>
        <v>1421.122351</v>
      </c>
      <c r="X361" s="3">
        <f>1206.9+(546.2-170.9)+(-0.615519+(-0.278562--0.087159))+0-26.9--0.0137189999999973</f>
        <v>1554.5067970000002</v>
      </c>
      <c r="Y361" s="3">
        <f>1229.8+(691.7-175.5)+(-2.508792+(-1.411068--0.35802))+0-28.5--0.0581399999999988</f>
        <v>1713.9963</v>
      </c>
      <c r="Z361" s="3">
        <f>1228+(666-175)+(0.62628+(0.33966-0.08925))+0-27.9-0.0142289999999972</f>
        <v>1691.9624610000001</v>
      </c>
      <c r="AA361" s="3">
        <f>1226.5+(616.8-174.1)+(-1.876545+(-0.943704--0.266373))+0-28.5--0.0436050000000016</f>
        <v>1638.1897289999999</v>
      </c>
      <c r="AB361" s="3">
        <f>1224.2+(552-176.9)+(-0.624342+(-0.28152--0.090219))+0-26.5--0.0135149999999973</f>
        <v>1571.9978720000004</v>
      </c>
      <c r="AC361" s="3">
        <f>1140.3+(519.5-178.7)+(-4.070871+(-1.854615--0.637959))+0-26.6--0.0949620000000004</f>
        <v>1449.3074349999999</v>
      </c>
      <c r="AD361">
        <v>1672.6</v>
      </c>
      <c r="AE361" s="3">
        <f>1239.5+(646.7-175.6)+(0+(0-0))+0-28.3-0</f>
        <v>1682.3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948.5+(557.9-179.4)+(-0.96747+(-0.569058--0.182988))+0-27.4--0.0279480000000044</f>
        <v>1298.2744079999998</v>
      </c>
      <c r="G362" s="3">
        <f>937.7+(447.6-175.9)+(-1.912908+(-0.913104--0.358836))+0-27.2--0.0554879999999988</f>
        <v>1179.7883119999999</v>
      </c>
      <c r="H362" s="3">
        <f>937.1+(378.2-168.5)+(-1.433763+(-0.578646--0.257805))+0-27.6--0.0422280000000016</f>
        <v>1117.4876240000001</v>
      </c>
      <c r="I362" s="3">
        <f>937.2+(348.6-165.2)+(-1.911888+(-0.711144--0.337008))+0-26.8--0.0546719999999988</f>
        <v>1091.5686480000002</v>
      </c>
      <c r="J362" s="3">
        <f>939.1+(322.4-154.5)+(1.436823+(0.493272-0.236385))+0-26.7-0.0408510000000015</f>
        <v>1081.952859</v>
      </c>
      <c r="K362" s="3">
        <f>939.4+(329.3-158.5)+(1.916376+(0.671772-0.32334))+0-27-0.0550799999999988</f>
        <v>1085.4097279999999</v>
      </c>
      <c r="L362" s="3">
        <f>937.3+(337.3-164.1)+(-0.478023+(-0.172023--0.083691))+0-27.2--0.0138719999999972</f>
        <v>1082.747517</v>
      </c>
      <c r="M362" s="3">
        <f>978.9+(297.8-164.3)+(-0.499239+(-0.151878--0.083793))+0-28.2--0.0143819999999971</f>
        <v>1083.647058</v>
      </c>
      <c r="N362" s="3">
        <f>1061.7+(292.9-169.1)+(-1.624401+(-0.448137--0.258723))+0-29.1--0.0445230000000017</f>
        <v>1154.6307080000001</v>
      </c>
      <c r="O362" s="3">
        <f>1040.9+(438.1-176.2)+(0+(0-0))+0-29.4-0</f>
        <v>1273.4000000000001</v>
      </c>
      <c r="P362" s="3">
        <f>1025.9+(553.2-167.7)+(2.092836+(1.128528-0.342108))+0-28.9-0.0589559999999987</f>
        <v>1385.3202999999999</v>
      </c>
      <c r="Q362" s="3">
        <f>1016.3+(626.5-179.4)+(-0.518313+(-0.319515--0.091494))+0-28.4--0.0144839999999971</f>
        <v>1434.2681500000001</v>
      </c>
      <c r="R362" s="3">
        <f>1012.7+(631.9-207.5)+(-2.582385+(-1.611345--0.529125))+0-27--0.0688499999999961</f>
        <v>1406.5042449999999</v>
      </c>
      <c r="S362" s="3">
        <f>945.4+(692.2-223.3)+(-0.482154+(-0.353022--0.113883))+0-27--0.0137699999999973</f>
        <v>1386.5924769999999</v>
      </c>
      <c r="T362" s="3">
        <f>791.9+(816.4-227)+(-2.019345+(-2.08182--0.57885))+0-28.6--0.0729299999999959</f>
        <v>1349.2506150000002</v>
      </c>
      <c r="U362" s="3">
        <f>791.9+(797.1-223)+(-0.403869+(-0.406521--0.11373))+0-29.4--0.014993999999997</f>
        <v>1335.9183339999997</v>
      </c>
      <c r="V362" s="3">
        <f>793.6+(887.8-241.4)+(-0.404736+(-0.452778--0.123114))+0-29.4--0.014993999999997</f>
        <v>1409.8805939999997</v>
      </c>
      <c r="W362" s="3">
        <f>904+(748.5-240.2)+(0.46104+(0.381735-0.122502))+0-28-0.0142799999999972</f>
        <v>1385.0059929999998</v>
      </c>
      <c r="X362" s="3">
        <f>1109.6+(628.8-175.9)+(0+(0-0))+0-28.7-0</f>
        <v>1533.8</v>
      </c>
      <c r="Y362" s="3">
        <f>1228.6+(662.5-183.8)+(-3.13293+(-1.689375--0.46869))+0-28.4--0.0724199999999959</f>
        <v>1674.6188049999998</v>
      </c>
      <c r="Z362" s="3">
        <f>1166.5+(706.3-185)+(0+(0-0))+0-29.1-0</f>
        <v>1658.7</v>
      </c>
      <c r="AA362" s="3">
        <f>1159.7+(657.3-179.7)+(-3.548682+(-2.011338--0.549882))+0-25.4--0.0777240000000029</f>
        <v>1606.9675859999998</v>
      </c>
      <c r="AB362" s="3">
        <f>1160.7+(627.3-219)+(-0.591957+(-0.319923--0.11169))+0-28.3--0.0144329999999971</f>
        <v>1539.9142430000002</v>
      </c>
      <c r="AC362" s="3">
        <f>1146.3+(491.7-203.9)+(-2.338452+(-1.003068--0.415956))+0-28.4--0.0579359999999988</f>
        <v>1402.8323719999999</v>
      </c>
      <c r="AD362">
        <v>1673.6</v>
      </c>
      <c r="AE362" s="3">
        <f>1228+(663.8-180.9)+(0+(0-0))+0-28.9-0</f>
        <v>1682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1037.7+(418.9-182.2)+(-1.058454+(-0.427278--0.185844))+0-28--0.0285600000000045</f>
        <v>1245.1286720000001</v>
      </c>
      <c r="G363" s="3">
        <f>967.3+(365.6-172.5)+(-0.986646+(-0.372912--0.17595))+0-27.7--0.0282540000000044</f>
        <v>1131.5446460000001</v>
      </c>
      <c r="H363" s="3">
        <f>967.7+(292.5-167.5)+(0+(0-0))+0-27.1-0</f>
        <v>1065.6000000000001</v>
      </c>
      <c r="I363" s="3">
        <f>967.1+(279.4-164.2)+(-1.479663+(-0.427482--0.251226))+0-27.1--0.0414630000000016</f>
        <v>1053.585544</v>
      </c>
      <c r="J363" s="3">
        <f>968.1+(257.2-162.1)+(0.493731+(0.131172-0.082671))+0-26.8-0.0136679999999973</f>
        <v>1036.9285640000001</v>
      </c>
      <c r="K363" s="3">
        <f>885.7+(322.8-143.9)+(1.355121+(0.493884-0.220167))+0-27-0.0413100000000016</f>
        <v>1039.1875280000002</v>
      </c>
      <c r="L363" s="3">
        <f>709.8+(483.8-151.6)+(-1.80999+(-1.23369--0.38658))+0-26.7--0.0680849999999961</f>
        <v>1012.7109850000001</v>
      </c>
      <c r="M363" s="3">
        <f>744.5+(471.6-151.3)+(-1.51878+(-0.962064--0.308652))+0-26.9--0.0548759999999988</f>
        <v>1035.7826839999998</v>
      </c>
      <c r="N363" s="3">
        <f>855.9+(477.8-148.3)+(0+(0-0))+0-28.6-0</f>
        <v>1156.8000000000002</v>
      </c>
      <c r="O363" s="3">
        <f>882.9+(628.2-180.7)+(0.450279+(0.320382-0.092157))+0-29-0.0147899999999971</f>
        <v>1302.0637140000001</v>
      </c>
      <c r="P363" s="3">
        <f>906.1+(765.2-241.8)+(0+(0-0))+0-23.3-0</f>
        <v>1406.2</v>
      </c>
      <c r="Q363" s="3">
        <f>973.2+(724.2-242.7)+(0+(0-0))+0-10.2-0</f>
        <v>1444.5</v>
      </c>
      <c r="R363" s="3">
        <f>988+(664.1-265.3)+(-2.01552+(-1.354764--0.541212))+0-7.7--0.0157079999999997</f>
        <v>1376.2866359999998</v>
      </c>
      <c r="S363" s="3">
        <f>1165.9+(489-197.1)+(-1.783827+(-0.74817--0.301563))+0-24.5--0.0374850000000014</f>
        <v>1431.1070510000002</v>
      </c>
      <c r="T363" s="3">
        <f>1154.4+(452.3-196.3)+(-0.588744+(-0.230673--0.100113))+0-26.6--0.0135659999999973</f>
        <v>1383.0942620000003</v>
      </c>
      <c r="U363" s="3">
        <f>1074.4+(387-198)+(0+(0-0))+0-27-0</f>
        <v>1236.4000000000001</v>
      </c>
      <c r="V363" s="3">
        <f>1203.7+(333.4-197.6)+(-1.841661+(-0.510102--0.302328))+0-27.1--0.0414630000000016</f>
        <v>1310.3920280000002</v>
      </c>
      <c r="W363" s="3">
        <f>1300.8+(251.8-184.7)+(0+(0-0))+0-27.4-0</f>
        <v>1340.5</v>
      </c>
      <c r="X363" s="3">
        <f>1445.4+(333.6-231)+(-0.737154+(-0.170136--0.11781))+0-27.9--0.0142289999999972</f>
        <v>1519.3247489999999</v>
      </c>
      <c r="Y363" s="3">
        <f>1483.9+(455.9-207.4)+(-2.270367+(-0.697527--0.317322))+0-28.4--0.0434520000000016</f>
        <v>1701.3928799999999</v>
      </c>
      <c r="Z363" s="3">
        <f>1485.4+(431.6-213.2)+(-2.272662+(-0.660348--0.326196))+0-29.5--0.0451350000000017</f>
        <v>1671.7383210000003</v>
      </c>
      <c r="AA363" s="3">
        <f>1491.7+(379.7-222.6)+(-1.521534+(-0.387294--0.227052))+0-29.7--0.0302940000000047</f>
        <v>1617.4485179999999</v>
      </c>
      <c r="AB363" s="3">
        <f>1455.1+(338.6-214.5)+(-3.710505+(-0.86343--0.546975))+0-28.4--0.0724199999999959</f>
        <v>1546.8454599999998</v>
      </c>
      <c r="AC363" s="3">
        <f>1385.4+(278.3-220.9)+(-2.119662+(-0.425799--0.337977))+0-27.5--0.0420750000000016</f>
        <v>1413.1345910000002</v>
      </c>
      <c r="AD363">
        <v>1681.9</v>
      </c>
      <c r="AE363" s="3">
        <f>1472+(447.9-200.7)+(0+(0-0))+0-28.5-0</f>
        <v>1690.7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1357.1+(197.8-269.1)+(-3.460605+(-0.50439--0.686205))+0-27.7--0.070634999999996</f>
        <v>1254.8918449999999</v>
      </c>
      <c r="G364" s="3">
        <f>1319+(185.2-337.8)+(-3.36345+(-0.47226--0.86139))+0-27.4--0.069869999999996</f>
        <v>1136.09555</v>
      </c>
      <c r="H364" s="3">
        <f>1318.9+(207.3-413.3)+(-0.672639+(-0.105723--0.210783))+0-27.7--0.0141269999999972</f>
        <v>1084.6465479999999</v>
      </c>
      <c r="I364" s="3">
        <f>1318+(216.9-452.8)+(-2.01654+(-0.331857--0.692784))+0-27.4--0.0419220000000016</f>
        <v>1053.086309</v>
      </c>
      <c r="J364" s="3">
        <f>1320+(223.4-459.2)+(-2.0196+(-0.341802--0.702576))+0-27.7--0.0423810000000016</f>
        <v>1054.8835549999999</v>
      </c>
      <c r="K364" s="3">
        <f>1318.8+(221.4-443.2)+(-2.017764+(-0.338742--0.678096))+0-27.7--0.0423810000000016</f>
        <v>1067.6639709999999</v>
      </c>
      <c r="L364" s="3">
        <f>1320.6+(205.3-458)+(-1.347012+(-0.209406--0.46716))+0-27.7--0.0282540000000044</f>
        <v>1039.1389959999999</v>
      </c>
      <c r="M364" s="3">
        <f>1319+(183-400.5)+(0.67269+(0.09333-0.204255))+0-28.6-0.0145859999999971</f>
        <v>1073.447179</v>
      </c>
      <c r="N364" s="3">
        <f>1318.3+(208.1-323.3)+(0.672333+(0.106131-0.164883))+0-29.2-0.014891999999997</f>
        <v>1174.498689</v>
      </c>
      <c r="O364" s="3">
        <f>1319+(204.4-237.2)+(0+(0-0))+0-28.9-0</f>
        <v>1257.3</v>
      </c>
      <c r="P364" s="3">
        <f>1375.4+(209.9-220.3)+(-2.104362+(-0.321147--0.337059))+0-25.8--0.0394740000000015</f>
        <v>1337.151024</v>
      </c>
      <c r="Q364" s="3">
        <f>1443+(183-214.6)+(0+(0-0))+0-29.1-0</f>
        <v>1382.3000000000002</v>
      </c>
      <c r="R364" s="3">
        <f>1442.7+(179.1-224.6)+(-1.471554+(-0.182682--0.229092))+0-28--0.0285600000000045</f>
        <v>1367.803416</v>
      </c>
      <c r="S364" s="3">
        <f>1441.1+(162.3-251)+(-1.469922+(-0.165546--0.25602))+0-27.6--0.0281520000000044</f>
        <v>1323.4487040000001</v>
      </c>
      <c r="T364" s="3">
        <f>1433.3+(144.2-261.1)+(0+(0-0))+0-28.3-0</f>
        <v>1288.0999999999999</v>
      </c>
      <c r="U364" s="3">
        <f>1365.5+(173-234.3)+(-0.696405+(-0.08823--0.119493))+0-28.8--0.0146879999999971</f>
        <v>1274.749546</v>
      </c>
      <c r="V364" s="3">
        <f>1367.7+(165.2-234.1)+(-0.697527+(-0.084252--0.119391))+0-28--0.0142799999999972</f>
        <v>1270.1518920000001</v>
      </c>
      <c r="W364" s="3">
        <f>1367.3+(167.2-214.8)+(-1.394646+(-0.170544--0.219096))+0-28.9--0.0294780000000046</f>
        <v>1289.4833839999997</v>
      </c>
      <c r="X364" s="3">
        <f>1391+(269.6-194)+(-0.70941+(-0.137496--0.09894))+0-29.6--0.015095999999997</f>
        <v>1436.2671300000002</v>
      </c>
      <c r="Y364" s="3">
        <f>1438.2+(427.4-179.4)+(-3.66741+(-1.08987--0.45747))+0-29.2--0.0744599999999958</f>
        <v>1652.7746500000001</v>
      </c>
      <c r="Z364" s="3">
        <f>1423.7+(427.5-178.2)+(-4.356522+(-1.30815--0.545292))+0-30--0.0918000000000035</f>
        <v>1637.9724199999998</v>
      </c>
      <c r="AA364" s="3">
        <f>1416.5+(388.7-180.6)+(-1.44483+(-0.396474--0.184212))+0-29.6--0.0301920000000047</f>
        <v>1593.3731</v>
      </c>
      <c r="AB364" s="3">
        <f>1377.8+(371.6-180.1)+(-2.810712+(-0.758064--0.367404))+0-27.2--0.0554879999999988</f>
        <v>1538.9541159999999</v>
      </c>
      <c r="AC364" s="3">
        <f>1371.2+(276-186.7)+(-1.398624+(-0.28152--0.190434))+0-27--0.0275400000000043</f>
        <v>1432.03783</v>
      </c>
      <c r="AD364">
        <v>1648.2</v>
      </c>
      <c r="AE364" s="3">
        <f>1448+(418-180.1)+(0+(0-0))+0-29.1-0</f>
        <v>1656.8000000000002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1291.5+(184.5-192.9)+(0.658665+(0.094095-0.098379))+0-27.1-0.0138209999999973</f>
        <v>1256.6405600000001</v>
      </c>
      <c r="G365" s="3">
        <f>1281+(184.6-297.1)+(-3.26655+(-0.47073--0.757605))+0-27--0.0688499999999961</f>
        <v>1138.5891749999998</v>
      </c>
      <c r="H365" s="3">
        <f>1228.6+(208.6-334.5)+(-0.626586+(-0.106386--0.170595))+0-27.4--0.0139739999999972</f>
        <v>1074.7515969999997</v>
      </c>
      <c r="I365" s="3">
        <f>1170.2+(216.3-321.9)+(-1.193604+(-0.220626--0.328338))+0-27.3--0.0278460000000044</f>
        <v>1036.2419540000001</v>
      </c>
      <c r="J365" s="3">
        <f>1171.9+(213.4-340.6)+(1.793007+(0.326502-0.521118))+0-27.2-0.0416160000000016</f>
        <v>1019.056775</v>
      </c>
      <c r="K365" s="3">
        <f>1171.7+(211.8-333.3)+(0.597567+(0.108018-0.169983))+0-27-0.0137699999999973</f>
        <v>1023.7218319999999</v>
      </c>
      <c r="L365" s="3">
        <f>1171.1+(184.9-336.3)+(-2.389044+(-0.377196--0.686052))+0-27.2--0.0554879999999988</f>
        <v>990.47529999999983</v>
      </c>
      <c r="M365" s="3">
        <f>1168.3+(135.4-272)+(0.595833+(0.069054-0.13872))+0-28.5-0.0145349999999971</f>
        <v>1003.711632</v>
      </c>
      <c r="N365" s="3">
        <f>1173.1+(169.4-216.5)+(1.196562+(0.172788-0.22083))+0-29.5-0.0300900000000047</f>
        <v>1097.61843</v>
      </c>
      <c r="O365" s="3">
        <f>1350.9+(120.8-210.2)+(-0.688959+(-0.061608--0.107202))+0-29.7--0.015146999999997</f>
        <v>1231.1717820000001</v>
      </c>
      <c r="P365" s="3">
        <f>1383.2+(141.8-193.7)+(-2.821728+(-0.289272--0.395148))+0-30--0.0611999999999987</f>
        <v>1298.6453480000002</v>
      </c>
      <c r="Q365" s="3">
        <f>1386.7+(168.7-190.3)+(-0.707217+(-0.086037--0.097053))+0-29.4--0.014993999999997</f>
        <v>1335.0187929999997</v>
      </c>
      <c r="R365" s="3">
        <f>1378.7+(139.1-192.5)+(-4.218822+(-0.425646--0.58905))+0-15.4--0.0471240000000018</f>
        <v>1305.8917059999999</v>
      </c>
      <c r="S365" s="3">
        <f>1390.3+(118.7-223.5)+(0.709053+(0.060537-0.113985))+0-6.5-0.00331499999999934</f>
        <v>1279.65229</v>
      </c>
      <c r="T365" s="3">
        <f>1388+(114-245.6)+(-0.70788+(-0.05814--0.125256))+0-4.9--0.0024989999999995</f>
        <v>1250.861735</v>
      </c>
      <c r="U365" s="3">
        <f>1384.7+(115.4-253)+(-0.706197+(-0.058854--0.12903))+0-4.3--0.00219299999999956</f>
        <v>1242.1661720000002</v>
      </c>
      <c r="V365" s="3">
        <f>1385.8+(115.5-241)+(0+(0-0))+0-11.7-0</f>
        <v>1248.5999999999999</v>
      </c>
      <c r="W365" s="3">
        <f>1381.8+(134.6-211.9)+(-2.818872+(-0.274584--0.432276))+0-27.5--0.0560999999999988</f>
        <v>1274.39492</v>
      </c>
      <c r="X365" s="3">
        <f>1429.1+(240-209.4)+(-2.186523+(-0.3672--0.320382))+0-27.5--0.0420750000000016</f>
        <v>1430.0087339999998</v>
      </c>
      <c r="Y365" s="3">
        <f>1491.3+(393.7-182.5)+(-2.281689+(-0.602361--0.279225))+0-27.8--0.0425340000000016</f>
        <v>1672.1377090000001</v>
      </c>
      <c r="Z365" s="3">
        <f>1443.3+(430.7-181.4)+(-3.680415+(-1.098285--0.46257))+0-27.9--0.0711449999999959</f>
        <v>1660.4550149999998</v>
      </c>
      <c r="AA365" s="3">
        <f>1385.4+(449.6-181.3)+(-2.826216+(-0.917184--0.369852))+0-27.6--0.0563039999999988</f>
        <v>1622.7827560000001</v>
      </c>
      <c r="AB365" s="3">
        <f>1349.7+(436.3-178.6)+(-2.753388+(-0.890052--0.364344))+0-27.7--0.0565079999999988</f>
        <v>1576.477412</v>
      </c>
      <c r="AC365" s="3">
        <f>1257.6+(431.3-177.6)+(-1.924128+(-0.659889--0.271728))+0-27.2--0.0416160000000016</f>
        <v>1481.8293269999999</v>
      </c>
      <c r="AD365">
        <v>1664.2</v>
      </c>
      <c r="AE365" s="3">
        <f>1499+(390.4-185.1)+(0+(0-0))+0-27.7-0</f>
        <v>1676.6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1253.2+(1293.8-926.3)+(-3.19566+(-3.29919--2.362065))+0-382.1--0.974354999999945</f>
        <v>1235.44157</v>
      </c>
      <c r="G1" s="3">
        <f>1168.5+(1208.3-949.9)+(-1.787805+(-1.848699--1.453347))+0-379.1--0.580023000000022</f>
        <v>1046.1968660000002</v>
      </c>
      <c r="H1" s="3">
        <f>1036+(1448.5-1112.3)+(-0.52836+(-0.738735--0.567273))+0-378.7--0.193136999999962</f>
        <v>992.99331499999994</v>
      </c>
      <c r="I1" s="3">
        <f>962.5+(1453.1-987.4)+(-2.454375+(-3.705405--2.51787))+0-377.9--0.963644999999945</f>
        <v>1047.6217349999999</v>
      </c>
      <c r="J1" s="3">
        <f>784.3+(1413-810.4)+(-0.399993+(-0.72063--0.413304))+0-380.8--0.194207999999961</f>
        <v>1005.586889</v>
      </c>
      <c r="K1" s="3">
        <f>766.5+(1412.8-807.5)+(-1.954575+(-3.60264--2.059125))+0-379.6--0.967979999999945</f>
        <v>989.66988999999978</v>
      </c>
      <c r="L1" s="3">
        <f>757.3+(1268.9-774.3)+(0+(0-0))+0-380.7-0</f>
        <v>871.2</v>
      </c>
      <c r="M1" s="3">
        <f>757.3+(1423.8-870.8)+(0+(0-0))+0-385.9-0</f>
        <v>924.4</v>
      </c>
      <c r="N1" s="3">
        <f>799.2+(1341.8-797.2)+(-1.222776+(-2.052954--1.219716))+0-380.6--0.582318000000022</f>
        <v>961.72630399999991</v>
      </c>
      <c r="O1" s="3">
        <f>835.3+(1282.3-845.6)+(-0.426003+(-0.653973--0.431256))+0-375.4--0.191453999999962</f>
        <v>896.14273400000002</v>
      </c>
      <c r="P1" s="3">
        <f>841.3+(1387.8-923.4)+(-1.287189+(-2.123334--1.412802))+0-375.4--0.574362000000022</f>
        <v>928.87664099999995</v>
      </c>
      <c r="Q1" s="3">
        <f>846.4+(1254.8-782)+(-1.294992+(-1.919844--1.19646))+0-376.9--0.576657000000022</f>
        <v>940.85828099999992</v>
      </c>
      <c r="R1" s="3">
        <f>846.5+(1103.9-650.4)+(-0.431715+(-0.562989--0.331704))+0-374.1--0.190790999999962</f>
        <v>925.42779099999996</v>
      </c>
      <c r="S1" s="3">
        <f>847.5+(1086.4-662.8)+(0.86445+(1.108128-0.676056))+0-370.9-0.378318000000059</f>
        <v>901.11820400000022</v>
      </c>
      <c r="T1" s="3">
        <f>847.5+(1036.3-661.6)+(-1.296675+(-1.585539--1.012248))+0-375.1--0.573903000000022</f>
        <v>845.80393699999979</v>
      </c>
      <c r="U1" s="3">
        <f>847.3+(1038-655.6)+(-0.864246+(-1.05876--0.668712))+0-376.7--0.38423400000006</f>
        <v>852.12993999999981</v>
      </c>
      <c r="V1" s="3">
        <f>847.6+(1150.2-682.6)+(-0.432276+(-0.586602--0.348126))+0-383.9--0.195788999999961</f>
        <v>930.82503700000007</v>
      </c>
      <c r="W1" s="3">
        <f>850.5+(1085.7-654.9)+(0+(0-0))+0-387.1-0</f>
        <v>894.20000000000016</v>
      </c>
      <c r="X1" s="3">
        <f>994.7+(999.1-629.2)+(0+(0-0))+0-387.4-0</f>
        <v>977.19999999999993</v>
      </c>
      <c r="Y1" s="3">
        <f>1192.6+(1339.2-997)+(-0.608226+(-0.682992--0.50847))+0-386.4--0.197063999999961</f>
        <v>1147.814316</v>
      </c>
      <c r="Z1" s="3">
        <f>1102.7+(1494.4-1100.9)+(0.562377+(0.762144-0.561459))+0-387.5-0.197624999999961</f>
        <v>1109.265437</v>
      </c>
      <c r="AA1" s="3">
        <f>1008.1+(1707.1-1112.6)+(0+(0-0))+0-385.1-0</f>
        <v>1217.5</v>
      </c>
      <c r="AB1" s="3">
        <f>1009.5+(1637-1128.4)+(0+(0-0))+0-388-0</f>
        <v>1130.0999999999999</v>
      </c>
      <c r="AC1" s="3">
        <f>1007+(1684.6-1075.2)+(-0.51357+(-0.859146--0.548352))+0-388.9--0.198338999999961</f>
        <v>1226.873975</v>
      </c>
      <c r="AD1">
        <v>1178.8999999999999</v>
      </c>
      <c r="AE1" s="3">
        <f>1195+(1392.5-1001.3)+(0+(0-0))+0-384.7-0</f>
        <v>1201.5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1155.4369875</v>
      </c>
      <c r="G2" s="3">
        <f>984+(1135-649)+(0+(0-0))+0-386-0</f>
        <v>1084</v>
      </c>
      <c r="H2" s="3">
        <f>983.9+(1123-645.4)+(-2.007156+(-2.29092--1.316616))+0-388.2--0.791927999999983</f>
        <v>1071.1104679999999</v>
      </c>
      <c r="I2" s="3">
        <f>985.2+(1099.9-620)+(-1.004904+(-1.121898--0.6324))+0-388.5--0.396270000000062</f>
        <v>1075.5018680000001</v>
      </c>
      <c r="J2" s="3">
        <f>987.8+(1048.4-575.5)+(0+(0-0))+0-389.5-0</f>
        <v>1071.2</v>
      </c>
      <c r="K2" s="3">
        <f>985.4+(986.6-571.3)+(-1.507662+(-1.509498--0.874089))+0-388.7--0.594711000000022</f>
        <v>1010.4516400000001</v>
      </c>
      <c r="L2" s="3">
        <f>975.9+(1070.2-608.3)+(-0.995418+(-1.091604--0.620466))+0-389.8--0.397596000000062</f>
        <v>1046.9310400000002</v>
      </c>
      <c r="M2" s="3">
        <f>971.6+(985.3-605.6)+(-3.468612+(-3.517521--2.161992))+0-390.8--1.39515600000001</f>
        <v>957.07101499999999</v>
      </c>
      <c r="N2" s="3">
        <f>982.3+(1042.8-639.1)+(1.502919+(1.595484-0.977823))+0-387.2-0.592416000000022</f>
        <v>1000.3281639999999</v>
      </c>
      <c r="O2" s="3">
        <f>981.1+(1087.8-686.6)+(1.501083+(1.664334-1.050498))+0-386.5-0.591345000000022</f>
        <v>997.32357400000001</v>
      </c>
      <c r="P2" s="3">
        <f>982.3+(1180.4-757.7)+(1.001946+(1.204008-0.772854))+0-391.5-0.399330000000062</f>
        <v>1014.5337699999999</v>
      </c>
      <c r="Q2" s="3">
        <f>974.2+(1165.4-734.6)+(-2.981052+(-3.566124--2.247876))+0-389.1--1.19064600000004</f>
        <v>1012.7913460000001</v>
      </c>
      <c r="R2" s="3">
        <f>982.8+(1273.9-748.4)+(-0.501228+(-0.649689--0.381684))+0-387--0.197369999999961</f>
        <v>1120.7281370000001</v>
      </c>
      <c r="S2" s="3">
        <f>984.6+(1331.3-805.1)+(1.004292+(1.357926-0.821202))+0-385.1-0.392802000000061</f>
        <v>1126.8482139999999</v>
      </c>
      <c r="T2" s="3">
        <f>983.2+(1287.5-787.1)+(-1.504296+(-1.969875--1.204263))+0-383.8--0.587214000000022</f>
        <v>1098.1173060000001</v>
      </c>
      <c r="U2" s="3">
        <f>985.8+(1245.4-753.5)+(0+(0-0))+0-387.9-0</f>
        <v>1089.8000000000002</v>
      </c>
      <c r="V2" s="3">
        <f>984.2+(1170.4-755.7)+(-1.505826+(-1.790712--1.156221))+0-388.6--0.594558000000022</f>
        <v>1008.754241</v>
      </c>
      <c r="W2" s="3">
        <f>983.2+(1243.9-831.1)+(-2.005728+(-2.537556--1.695444))+0-385.9--0.787235999999983</f>
        <v>1008.0393960000001</v>
      </c>
      <c r="X2" s="3">
        <f>982.9+(1416.8-924.4)+(-2.005116+(-2.890272--1.885776))+0-358.1--0.730523999999984</f>
        <v>1114.920912</v>
      </c>
      <c r="Y2" s="3">
        <f>1197.3+(1328.3-921.2)+(-1.831869+(-2.032299--1.409436))+0-356.1--0.544833000000021</f>
        <v>1246.390101</v>
      </c>
      <c r="Z2" s="3">
        <f>1362.8+(1333.4-959.3)+(-3.47514+(-3.40017--2.446215))+0-357--0.910349999999948</f>
        <v>1376.381255</v>
      </c>
      <c r="AA2" s="3">
        <f>1323+(1404.9-998.6)+(-0.67473+(-0.716499--0.509286))+0-375--0.191249999999962</f>
        <v>1353.6093069999999</v>
      </c>
      <c r="AB2" s="3">
        <f>1192.3+(1395.9-888.4)+(-3.648438+(-4.271454--2.718504))+0-379.3--1.16065800000004</f>
        <v>1316.4592700000003</v>
      </c>
      <c r="AC2" s="3">
        <f>1189.7+(1253.1-701)+(-1.213494+(-1.278162--0.71502))+0-389.1--0.396882000000062</f>
        <v>1351.3202459999998</v>
      </c>
      <c r="AD2">
        <v>1264.3</v>
      </c>
      <c r="AE2" s="3">
        <f>1365+(1292.1-1035.1)+(0+(0-0))+0-357.7-0</f>
        <v>1264.3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1056+(1215.8-760)+(-1.07712+(-1.240116--0.7752))+0-390.2--0.398004000000062</f>
        <v>1120.455968</v>
      </c>
      <c r="G3" s="3">
        <f>957.3+(1183-688.8)+(0+(0-0))+0-387.5-0</f>
        <v>1064</v>
      </c>
      <c r="H3" s="3">
        <f>866.4+(1123.4-632.4)+(-1.767456+(-2.291736--1.290096))+0-388.3--0.792131999999983</f>
        <v>967.12303600000018</v>
      </c>
      <c r="I3" s="3">
        <f>868.4+(1029.1-587.1)+(0+(0-0))+0-387.7-0</f>
        <v>922.69999999999982</v>
      </c>
      <c r="J3" s="3">
        <f>789.7+(1008.1-555.3)+(-2.013735+(-2.570655--1.416015))+0-388.4--0.990419999999944</f>
        <v>851.92204500000003</v>
      </c>
      <c r="K3" s="3">
        <f>776.9+(998.1-557.6)+(1.584876+(2.036124-1.137504))+0-390.2-0.796007999999983</f>
        <v>828.88748800000008</v>
      </c>
      <c r="L3" s="3">
        <f>767.8+(1064.1-590.3)+(-1.174734+(-1.628073--0.903159))+0-390.2--0.597006000000023</f>
        <v>850.09735799999987</v>
      </c>
      <c r="M3" s="3">
        <f>774.7+(1138.4-645.9)+(-0.395097+(-0.580584--0.329409))+0-391.3--0.19956299999996</f>
        <v>875.45329100000038</v>
      </c>
      <c r="N3" s="3">
        <f>762.8+(1118.9-742.3)+(0+(0-0))+0-388-0</f>
        <v>751.40000000000009</v>
      </c>
      <c r="O3" s="3">
        <f>793.2+(1161.4-826.7)+(-0.404532+(-0.592314--0.421617))+0-387.7--0.197726999999961</f>
        <v>739.822498</v>
      </c>
      <c r="P3" s="3">
        <f>926.7+(1284.9-908.2)+(0+(0-0))+0-387.1-0</f>
        <v>916.30000000000007</v>
      </c>
      <c r="Q3" s="3">
        <f>976.9+(1278.6-958.5)+(0+(0-0))+0-385.4-0</f>
        <v>911.6</v>
      </c>
      <c r="R3" s="3">
        <f>984.1+(1471.5-934.8)+(-1.003782+(-1.50093--0.953496))+15.3-250--0.25500000000004</f>
        <v>1284.8037840000002</v>
      </c>
      <c r="S3" s="3">
        <f>984.6+(1430.4-993.3)+(0+(0-0))+0-361.7-0</f>
        <v>1060.0000000000002</v>
      </c>
      <c r="T3" s="3">
        <f>985.6+(1453.2-886.2)+(0.502656+(0.741132-0.451962))+0-362.4-0.184823999999963</f>
        <v>1190.807002</v>
      </c>
      <c r="U3" s="3">
        <f>983.8+(1389.5-874.2)+(-1.003476+(-1.41729--0.891684))+0-382.6--0.390252000000061</f>
        <v>1115.3611700000001</v>
      </c>
      <c r="V3" s="3">
        <f>986.4+(1485.9-1018.7)+(0.503064+(0.757809-0.519537))+0-385.6-0.196655999999961</f>
        <v>1068.5446800000002</v>
      </c>
      <c r="W3" s="3">
        <f>985.4+(1499-1037.3)+(-0.502554+(-0.76449--0.529023))+0-387.2--0.197471999999961</f>
        <v>1059.359451</v>
      </c>
      <c r="X3" s="3">
        <f>1010.9+(1638.3-1128.2)+(0.515559+(0.835533-0.575382))+0-387.3-0.197522999999961</f>
        <v>1134.2781869999999</v>
      </c>
      <c r="Y3" s="3">
        <f>1302.3+(1352-1008.1)+(0.664173+(0.68952-0.514131))+0-387-0.197369999999961</f>
        <v>1259.8421919999998</v>
      </c>
      <c r="Z3" s="3">
        <f>1368.9+(1583-1219.3)+(-0.698139+(-0.80733--0.621843))+0-387.8--0.197777999999961</f>
        <v>1344.1141520000001</v>
      </c>
      <c r="AA3" s="3">
        <f>1365+(1487.7-1104.6)+(0+(0-0))+0-385.8-0</f>
        <v>1362.3000000000002</v>
      </c>
      <c r="AB3" s="3">
        <f>1368.6+(1293.8-931.8)+(0.697986+(0.659838-0.475218))+0-385.3-0.196502999999961</f>
        <v>1345.986103</v>
      </c>
      <c r="AC3" s="3">
        <f>1368+(1137.6-842.2)+(-0.69768+(-0.580176--0.429522))+0-389.2--0.198491999999961</f>
        <v>1273.5501579999998</v>
      </c>
      <c r="AD3">
        <v>1176.2999999999997</v>
      </c>
      <c r="AE3" s="3">
        <f>1365+(1467.2-1268.4)+(0+(0-0))+0-387.5-0</f>
        <v>1176.3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1188.2+(1143.2-835.4)+(-0.605982+(-0.583032--0.426054))+0-388.3--0.198032999999961</f>
        <v>1107.1350729999999</v>
      </c>
      <c r="G4" s="3">
        <f>1015+(1141-708.1)+(-1.55295+(-1.74573--1.083393))+0-388.6--0.594558000000022</f>
        <v>1057.6792710000002</v>
      </c>
      <c r="H4" s="3">
        <f>979.6+(1076.5-674.9)+(-0.999192+(-1.09803--0.688398))+0-389.8--0.397596000000062</f>
        <v>990.38877200000002</v>
      </c>
      <c r="I4" s="3">
        <f>980.3+(1018-666.9)+(0.999906+(1.03836-0.680238))+0-388.8-0.396576000000062</f>
        <v>943.56145200000014</v>
      </c>
      <c r="J4" s="3">
        <f>978.9+(941.4-630)+(-0.998478+(-0.960228--0.6426))+0-388--0.395760000000062</f>
        <v>901.37965400000007</v>
      </c>
      <c r="K4" s="3">
        <f>980.5+(890.2-581.8)+(1.500165+(1.362006-0.890154))+0-388-0.593640000000022</f>
        <v>902.27837700000009</v>
      </c>
      <c r="L4" s="3">
        <f>976.5+(879.3-573.7)+(-2.490075+(-2.242215--1.462935))+0-386.8--0.986339999999944</f>
        <v>893.01698499999998</v>
      </c>
      <c r="M4" s="3">
        <f>978.2+(768.3-535.1)+(0.997764+(0.783666-0.545802))+0-386.2-0.393924000000062</f>
        <v>826.04170399999987</v>
      </c>
      <c r="N4" s="3">
        <f>978.1+(861.1-577.6)+(0+(0-0))+0-390.1-0</f>
        <v>871.49999999999989</v>
      </c>
      <c r="O4" s="3">
        <f>979.2+(939-634.3)+(0.499392+(0.47889-0.323493))+0-378.1-0.192830999999962</f>
        <v>906.26195800000005</v>
      </c>
      <c r="P4" s="3">
        <f>977.4+(931.4-693.9)+(-0.498474+(-0.475014--0.353889))+0-376.1--0.191810999999962</f>
        <v>838.37221199999988</v>
      </c>
      <c r="Q4" s="3">
        <f>977.2+(767.9-505.8)+(-0.996744+(-0.783258--0.515916))+0-373.4--0.380868000000059</f>
        <v>865.01678200000015</v>
      </c>
      <c r="R4" s="3">
        <f>978.7+(665.8-452.7)+(-0.499137+(-0.339558--0.230877))+0-374.8--0.191147999999962</f>
        <v>816.58333000000005</v>
      </c>
      <c r="S4" s="3">
        <f>976.5+(794.3-494.6)+(-1.494045+(-1.215279--0.756738))+0-374.5--0.572985000000022</f>
        <v>900.32039899999972</v>
      </c>
      <c r="T4" s="3">
        <f>975.5+(615-344.3)+(-2.487525+(-1.56825--0.877965))+0-374.7--0.955484999999946</f>
        <v>869.27767500000004</v>
      </c>
      <c r="U4" s="3">
        <f>980.1+(905.7-620.4)+(1.999404+(1.847628-1.265616))+0-375.5-0.766019999999984</f>
        <v>891.71539600000006</v>
      </c>
      <c r="V4" s="3">
        <f>978.3+(994.1-708.4)+(0.498933+(0.506991-0.361284))+0-372.4-0.189923999999962</f>
        <v>892.0547160000001</v>
      </c>
      <c r="W4" s="3">
        <f>977+(944.1-693.3)+(-0.99654+(-0.962982--0.707166))+0-375.5--0.38301000000006</f>
        <v>851.43065400000023</v>
      </c>
      <c r="X4" s="3">
        <f>1045.1+(1047.2-807.6)+(-1.066002+(-1.068144--0.823752))+0-375.5--0.38301000000006</f>
        <v>908.27261599999974</v>
      </c>
      <c r="Y4" s="3">
        <f>1300.9+(1198.3-1236)+(0.663459+(0.611133-0.63036))+0-380.9-0.194258999999961</f>
        <v>882.74997300000018</v>
      </c>
      <c r="Z4" s="3">
        <f>1363.7+(1923.5-1686.9)+(0+(0-0))+0-386.3-0</f>
        <v>1214</v>
      </c>
      <c r="AA4" s="3">
        <f>1363.1+(1846-1582.7)+(-1.390362+(-1.88292--1.614354))+0-387--0.394740000000062</f>
        <v>1238.1358119999998</v>
      </c>
      <c r="AB4" s="3">
        <f>1363.9+(1569.8-1345.6)+(0.695589+(0.800598-0.686256))+0-388.9-0.198338999999961</f>
        <v>1199.811592</v>
      </c>
      <c r="AC4" s="3">
        <f>1364+(1379.4-1145.7)+(0.69564+(0.703494-0.584307))+0-389.4-0.19859399999996</f>
        <v>1208.9162329999999</v>
      </c>
      <c r="AD4">
        <v>1214.3000000000002</v>
      </c>
      <c r="AE4" s="3">
        <f>1370+(1926.4-1693.7)+(0+(0-0))+0-388.4-0</f>
        <v>1214.3000000000002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1268.4+(990.4-718.4)+(-1.940652+(-1.515312--1.099152))+0-390.4--0.597312000000022</f>
        <v>1148.2405000000001</v>
      </c>
      <c r="G5" s="3">
        <f>1119.3+(1098-732.2)+(-1.141686+(-1.11996--0.746844))+0-390.8--0.398616000000062</f>
        <v>1093.1838140000002</v>
      </c>
      <c r="H5" s="3">
        <f>1024.1+(1039-667.2)+(0+(0-0))+0-392.8-0</f>
        <v>1003.0999999999999</v>
      </c>
      <c r="I5" s="3">
        <f>977.6+(1005.9-609)+(0+(0-0))+0-392.4-0</f>
        <v>982.1</v>
      </c>
      <c r="J5" s="3">
        <f>977.3+(906-599.1)+(0.498423+(0.46206-0.305541))+6-391.8-0.19981799999996</f>
        <v>898.85512399999982</v>
      </c>
      <c r="K5" s="3">
        <f>977.2+(951.4-604.5)+(0+(0-0))+0-388.9-0</f>
        <v>935.19999999999993</v>
      </c>
      <c r="L5" s="3">
        <f>987.5+(980.7-660.7)+(1.510875+(1.500471-1.010871))+0-389.4-0.595782000000022</f>
        <v>919.50469300000009</v>
      </c>
      <c r="M5" s="3">
        <f>985.7+(965-717.8)+(-2.010828+(-1.9686--1.464312))+0-388.2--0.791927999999983</f>
        <v>842.976812</v>
      </c>
      <c r="N5" s="3">
        <f>987.7+(1009-748.3)+(0.503727+(0.51459-0.381633))+0-388.4-0.198083999999961</f>
        <v>860.43860000000018</v>
      </c>
      <c r="O5" s="3">
        <f>985.6+(971.2-735.4)+(-1.507968+(-1.485936--1.125162))+0-385.7--0.590121000000022</f>
        <v>834.421379</v>
      </c>
      <c r="P5" s="3">
        <f>1033.2+(974.1-691.2)+(0+(0-0))+0-384.3-0</f>
        <v>931.8</v>
      </c>
      <c r="Q5" s="3">
        <f>1116.4+(992.4-738.2)+(0.569364+(0.506124-0.376482))+0-387.8-0.197777999999961</f>
        <v>983.30122800000004</v>
      </c>
      <c r="R5" s="3">
        <f>1221.2+(941.8-681.8)+(-1.868436+(-1.440954--1.043154))+0-387.8--0.593334000000022</f>
        <v>1091.7270980000001</v>
      </c>
      <c r="S5" s="3">
        <f>1229.7+(867.5-724.4)+(-1.254294+(-0.88485--0.738888))+0-391.5--0.399330000000062</f>
        <v>980.29907400000036</v>
      </c>
      <c r="T5" s="3">
        <f>1228.7+(880.6-709.8)+(-3.133185+(-2.24553--1.80999))+0-391--0.997049999999943</f>
        <v>1005.9283249999999</v>
      </c>
      <c r="U5" s="3">
        <f>1228.4+(937.8-720.4)+(-1.879452+(-1.434834--1.102212))+0-392.9--0.601137000000023</f>
        <v>1051.2890630000002</v>
      </c>
      <c r="V5" s="3">
        <f>1231.4+(852.1-758.4)+(0+(0-0))+0-394-0</f>
        <v>931.10000000000014</v>
      </c>
      <c r="W5" s="3">
        <f>1230.8+(806.5-717.3)+(-0.627708+(-0.411315--0.365823))+0-393.7--0.20078699999996</f>
        <v>925.82758699999999</v>
      </c>
      <c r="X5" s="3">
        <f>1231.9+(818.1-735.4)+(0+(0-0))+0-394.8-0</f>
        <v>919.80000000000018</v>
      </c>
      <c r="Y5" s="3">
        <f>1350.1+(1309.2-1409.6)+(0+(0-0))+0-394.3-0</f>
        <v>855.40000000000009</v>
      </c>
      <c r="Z5" s="3">
        <f>1374.7+(2048.6-1866.2)+(-1.402194+(-2.089572--1.903524))+0-393.3--0.401166000000063</f>
        <v>1162.612924</v>
      </c>
      <c r="AA5" s="3">
        <f>1374.4+(2058.9-1768.4)+(-0.700944+(-1.050039--0.901884))+0-394.5--0.20119499999996</f>
        <v>1269.7520959999999</v>
      </c>
      <c r="AB5" s="3">
        <f>1374.5+(1848-1561.9)+(0+(0-0))+0-391.9-0</f>
        <v>1268.6999999999998</v>
      </c>
      <c r="AC5" s="3">
        <f>1374+(1662.9-1367.7)+(-1.40148+(-1.696158--1.395054))+0-395.1--0.403002000000063</f>
        <v>1272.8004180000003</v>
      </c>
      <c r="AD5">
        <v>1275.8000000000002</v>
      </c>
      <c r="AE5" s="3">
        <f>1385+(2148.3-1861.8)+(0+(0-0))+0-395.7-0</f>
        <v>1275.8000000000002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1348.7+(1358.5-1108.2)+(-1.375674+(-1.38567--1.130364))+0-386--0.393720000000062</f>
        <v>1211.7627400000001</v>
      </c>
      <c r="G6" s="3">
        <f>1203.7+(1280.1-984.5)+(-1.227774+(-1.305702--1.00419))+0-385--0.392700000000061</f>
        <v>1113.1634140000001</v>
      </c>
      <c r="H6" s="3">
        <f>1051.7+(1204.1-851.8)+(0+(0-0))+0-385-0</f>
        <v>1019</v>
      </c>
      <c r="I6" s="3">
        <f>935+(1276.9-772.8)+(0+(0-0))+0-389.1-0</f>
        <v>1050</v>
      </c>
      <c r="J6" s="3">
        <f>933.9+(1122.8-743.1)+(0.952578+(1.145256-0.757962))+0-384-0.391680000000061</f>
        <v>930.54819199999986</v>
      </c>
      <c r="K6" s="3">
        <f>933.3+(1040-755.8)+(-1.903932+(-2.1216--1.541832))+0-382--0.779279999999983</f>
        <v>833.79557999999997</v>
      </c>
      <c r="L6" s="3">
        <f>942.2+(1134-675.8)+(-0.480522+(-0.57834--0.344658))+0-371--0.189209999999962</f>
        <v>1028.875006</v>
      </c>
      <c r="M6" s="3">
        <f>977.7+(1008.4-684.1)+(-0.997254+(-1.028568--0.697782))+0-373.1--0.38056200000006</f>
        <v>927.95252199999993</v>
      </c>
      <c r="N6" s="3">
        <f>978.8+(970.4-698.8)+(1.497564+(1.484712-1.069164))+0-371-0.567630000000021</f>
        <v>880.74548200000004</v>
      </c>
      <c r="O6" s="3">
        <f>1055.1+(919-735.6)+(-0.538101+(-0.46869--0.375156))+0-373.1--0.190280999999962</f>
        <v>864.95864599999993</v>
      </c>
      <c r="P6" s="3">
        <f>1292.5+(1114.3-1083.2)+(-1.31835+(-1.136586--1.104864))+0-373--0.380460000000059</f>
        <v>949.63038800000004</v>
      </c>
      <c r="Q6" s="3">
        <f>1329.2+(1193.2-1135.7)+(-0.677892+(-0.608532--0.579207))+0-370--0.188699999999962</f>
        <v>1016.1814830000001</v>
      </c>
      <c r="R6" s="3">
        <f>1335.8+(1208.2-1033.8)+(-0.681258+(-0.616182--0.527238))+0-370--0.188699999999962</f>
        <v>1139.618498</v>
      </c>
      <c r="S6" s="3">
        <f>1335.2+(1069.5-882.5)+(-2.042856+(-1.636335--1.350225))+0-372--0.569160000000022</f>
        <v>1148.440194</v>
      </c>
      <c r="T6" s="3">
        <f>1334.6+(799.7-715.6)+(-2.722584+(-1.631388--1.459824))+0-370--0.754799999999984</f>
        <v>1046.5606519999997</v>
      </c>
      <c r="U6" s="3">
        <f>1334+(743.7-654.1)+(-2.72136+(-1.517148--1.334364))+0-384.5--0.784379999999983</f>
        <v>1036.9802359999999</v>
      </c>
      <c r="V6" s="3">
        <f>1335.6+(731.6-660.2)+(-2.043468+(-1.119348--1.010106))+0-384--0.587520000000022</f>
        <v>1021.43481</v>
      </c>
      <c r="W6" s="3">
        <f>1344.6+(756.5-628.3)+(-2.057238+(-1.157445--0.961299))+0-384--0.587520000000022</f>
        <v>1087.1341359999999</v>
      </c>
      <c r="X6" s="3">
        <f>1356+(707-632)+(-2.07468+(-1.08171--0.96696))+0-383--0.585990000000022</f>
        <v>1046.3965600000001</v>
      </c>
      <c r="Y6" s="3">
        <f>1356.1+(942.5-995.3)+(0+(0-0))+0-384-0</f>
        <v>919.3</v>
      </c>
      <c r="Z6" s="3">
        <f>1353.6+(1707.8-1517.9)+(-2.071008+(-2.612934--2.322387))+0-383--0.585990000000022</f>
        <v>1158.7244349999999</v>
      </c>
      <c r="AA6" s="3">
        <f>1258.8+(1908.6-1649.2)+(-1.925964+(-2.920158--2.523276))+0-383--0.585990000000022</f>
        <v>1133.4631439999998</v>
      </c>
      <c r="AB6" s="3">
        <f>1241.7+(1817.6-1387.7)+(-0.633267+(-0.926976--0.707727))+0-382--0.194819999999961</f>
        <v>1288.9423039999999</v>
      </c>
      <c r="AC6" s="3">
        <f>1241+(1615.6-1108.2)+(-1.26582+(-1.647912--1.130364))+0-384.1--0.391782000000061</f>
        <v>1362.908414</v>
      </c>
      <c r="AD6">
        <v>1176</v>
      </c>
      <c r="AE6" s="3">
        <f>1373+(1749.3-1561.7)+(0+(0-0))+0-384.6-0</f>
        <v>1176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1222.8+(1252.2-910)+(0+(0-0))+0-382-0</f>
        <v>1183</v>
      </c>
      <c r="G7" s="3">
        <f>1018.8+(1298.8-749)+(0+(0-0))+0-382-0</f>
        <v>1186.5999999999999</v>
      </c>
      <c r="H7" s="3">
        <f>986.2+(1065.5-565.6)+(-1.508886+(-1.630215--0.865368))+0-384--0.587520000000022</f>
        <v>1100.413787</v>
      </c>
      <c r="I7" s="3">
        <f>985.5+(982.8-556.4)+(0.502605+(0.501228-0.283764))+0-384.2-0.195941999999961</f>
        <v>1028.224127</v>
      </c>
      <c r="J7" s="3">
        <f>984.4+(908.7-562.3)+(0+(0-0))+0-383-0</f>
        <v>947.80000000000018</v>
      </c>
      <c r="K7" s="3">
        <f>985+(882.2-558.7)+(1.0047+(0.899844-0.569874))+0-384.8-0.392496000000061</f>
        <v>924.64217399999995</v>
      </c>
      <c r="L7" s="3">
        <f>970.6+(965.4-610.7)+(-0.990012+(-0.984708--0.622914))+0-383--0.390660000000061</f>
        <v>941.33885400000008</v>
      </c>
      <c r="M7" s="3">
        <f>977.3+(979-637.6)+(0+(0-0))+0-385.6-0</f>
        <v>933.0999999999998</v>
      </c>
      <c r="N7" s="3">
        <f>975.8+(885.1-557.6)+(0+(0-0))+0-383-0</f>
        <v>920.3</v>
      </c>
      <c r="O7" s="3">
        <f>1023.4+(839.5-615.3)+(0+(0-0))+0-384.1-0</f>
        <v>863.49999999999989</v>
      </c>
      <c r="P7" s="3">
        <f>1172.6+(1168-985.7)+(1.196052+(1.19136-1.005414))+0-384.7-0.392394000000061</f>
        <v>971.1896039999998</v>
      </c>
      <c r="Q7" s="3">
        <f>1219.7+(1444.5-1264)+(-2.488188+(-2.94678--2.57856))+0-384--0.783359999999983</f>
        <v>1014.126952</v>
      </c>
      <c r="R7" s="3">
        <f>1220.1+(1527.3-1236.6)+(-2.489004+(-3.115692--2.522664))+0-384.9--0.785195999999983</f>
        <v>1123.6031639999999</v>
      </c>
      <c r="S7" s="3">
        <f>1220+(1371.9-1090.5)+(-0.6222+(-0.699669--0.556155))+0-383.4--0.195533999999961</f>
        <v>1117.4298200000003</v>
      </c>
      <c r="T7" s="3">
        <f>1220.5+(1169.2-930.7)+(1.24491+(1.192584-0.949314))+0-382-0.389640000000061</f>
        <v>1078.09854</v>
      </c>
      <c r="U7" s="3">
        <f>1219.3+(1117-877)+(-1.243686+(-1.13934--0.89454))+0-383--0.390660000000061</f>
        <v>1075.202174</v>
      </c>
      <c r="V7" s="3">
        <f>1219.8+(1094.4-866.8)+(-1.866294+(-1.674432--1.326204))+0-384--0.587520000000022</f>
        <v>1061.7729980000001</v>
      </c>
      <c r="W7" s="3">
        <f>1220.5+(1001.3-775.2)+(1.24491+(1.021326-0.790704))+0-385-0.392700000000061</f>
        <v>1062.6828319999997</v>
      </c>
      <c r="X7" s="3">
        <f>1260.4+(973.4-828.6)+(-0.642804+(-0.496434--0.422586))+0-385--0.196349999999961</f>
        <v>1019.6796979999999</v>
      </c>
      <c r="Y7" s="3">
        <f>1322.5+(1434.5-1473.6)+(2.023425+(2.194785-2.254608))+0-385-0.589050000000022</f>
        <v>899.77455200000009</v>
      </c>
      <c r="Z7" s="3">
        <f>1385.3+(2313.9-1945.4)+(0.706503+(1.180089-0.992154))+0-382-0.194819999999961</f>
        <v>1372.4996180000001</v>
      </c>
      <c r="AA7" s="3">
        <f>1383.9+(2177.6-1747.9)+(0+(0-0))+0-382-0</f>
        <v>1431.6</v>
      </c>
      <c r="AB7" s="3">
        <f>1385.3+(1736-1369.1)+(0+(0-0))+0-385-0</f>
        <v>1367.2</v>
      </c>
      <c r="AC7" s="3">
        <f>1368.9+(1443-953.6)+(0.698139+(0.73593-0.486336))+0-383-0.195329999999961</f>
        <v>1476.0524030000001</v>
      </c>
      <c r="AD7">
        <v>1309</v>
      </c>
      <c r="AE7" s="3">
        <f>1379+(2406-2091.1)+(0+(0-0))+0-384.9-0</f>
        <v>1309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1357.3+(794.2-440.1)+(-4.153338+(-2.430252--1.346706))+0-384--1.17504000000004</f>
        <v>1323.3381560000003</v>
      </c>
      <c r="G8" s="3">
        <f>1139.9+(824.8-301.4)+(-1.744047+(-1.261944--0.461142))+0-385--0.589050000000022</f>
        <v>1276.3442010000001</v>
      </c>
      <c r="H8" s="3">
        <f>984.5+(727.7-238.3)+(-0.502095+(-0.371127--0.121533))+0-386.1--0.196910999999961</f>
        <v>1087.245222</v>
      </c>
      <c r="I8" s="3">
        <f>981.9+(734-277)+(-2.503845+(-1.8717--0.70635))+0-386.2--0.984809999999944</f>
        <v>1050.015615</v>
      </c>
      <c r="J8" s="3">
        <f>984.2+(769.3-375.3)+(0+(0-0))+0-384.3-0</f>
        <v>993.90000000000009</v>
      </c>
      <c r="K8" s="3">
        <f>984.2+(767.7-407.8)+(1.505826+(1.174581-0.623934))+0-385.3-0.589509000000022</f>
        <v>960.26696400000026</v>
      </c>
      <c r="L8" s="3">
        <f>961.2+(789-430.6)+(0.980424+(0.80478-0.439212))+0-381-0.388620000000061</f>
        <v>939.55737199999987</v>
      </c>
      <c r="M8" s="3">
        <f>970.3+(870.8-517.7)+(-1.484559+(-1.332324--0.792081))+0-361--0.552330000000021</f>
        <v>960.92752799999994</v>
      </c>
      <c r="N8" s="3">
        <f>1062.4+(842.1-619.7)+(-0.541824+(-0.429471--0.316047))+0-362--0.184619999999963</f>
        <v>922.32937200000015</v>
      </c>
      <c r="O8" s="3">
        <f>1204.8+(520.1-370.8)+(-1.228896+(-0.530502--0.378216))+0-361--0.368220000000058</f>
        <v>992.08703799999989</v>
      </c>
      <c r="P8" s="3">
        <f>1289.1+(498.4-557)+(-1.314882+(-0.508368--0.56814))+0-360--0.367200000000057</f>
        <v>869.61208999999997</v>
      </c>
      <c r="Q8" s="3">
        <f>1341.2+(807.9-656.5)+(-0.684012+(-0.412029--0.334815))+0-361--0.184109999999963</f>
        <v>1131.0228839999997</v>
      </c>
      <c r="R8" s="3">
        <f>1349.7+(843.7-633.4)+(-1.376694+(-0.860574--0.646068))+0-361.5--0.368730000000058</f>
        <v>1197.2775300000001</v>
      </c>
      <c r="S8" s="3">
        <f>1349.7+(705.1-520.3)+(-1.376694+(-0.719202--0.530706))+0-361.5--0.368730000000058</f>
        <v>1171.8035400000001</v>
      </c>
      <c r="T8" s="3">
        <f>1348.7+(585.1-481.4)+(-2.751348+(-1.193604--0.982056))+0-361.5--0.737459999999984</f>
        <v>1088.6745640000001</v>
      </c>
      <c r="U8" s="3">
        <f>1351.3+(562.8-455.9)+(-0.689163+(-0.287028--0.232509))+0-363.5--0.185384999999963</f>
        <v>1094.1417029999998</v>
      </c>
      <c r="V8" s="3">
        <f>1348.3+(614-440.8)+(-2.750532+(-1.25256--0.899232))+0-362.5--0.739499999999984</f>
        <v>1156.63564</v>
      </c>
      <c r="W8" s="3">
        <f>1350.4+(547.2-386.5)+(-2.754816+(-1.116288--0.78846))+0-362.5--0.739499999999984</f>
        <v>1146.256856</v>
      </c>
      <c r="X8" s="3">
        <f>1351.4+(432.8-366.1)+(0.689214+(0.220728-0.186711))+0-361.5-0.184364999999963</f>
        <v>1057.138866</v>
      </c>
      <c r="Y8" s="3">
        <f>1367.8+(790.6-822)+(0.697578+(0.403206-0.41922))+0-361.5-0.184364999999963</f>
        <v>975.39719900000011</v>
      </c>
      <c r="Z8" s="3">
        <f>1381.2+(1754.1-1374)+(-0.704412+(-0.894591--0.70074))+0-350.5--0.178754999999964</f>
        <v>1410.0804919999998</v>
      </c>
      <c r="AA8" s="3">
        <f>1378.3+(1752.8-1335.6)+(-2.811732+(-3.575712--2.724624))+0-352.5--0.719099999999985</f>
        <v>1440.05628</v>
      </c>
      <c r="AB8" s="3">
        <f>1312.3+(1588.8-1113.1)+(-1.338546+(-1.620576--1.135362))+0-361.5--0.368730000000058</f>
        <v>1425.0449700000001</v>
      </c>
      <c r="AC8" s="3">
        <f>1260.4+(1432.7-878.3)+(-0.642804+(-0.730677--0.447933))+0-362.5--0.184874999999963</f>
        <v>1451.5593270000002</v>
      </c>
      <c r="AD8">
        <v>1281.8</v>
      </c>
      <c r="AE8" s="3">
        <f>1381+(1745.1-1482.8)+(0+(0-0))+0-361.5-0</f>
        <v>1281.8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1111.4+(1000-393.6)+(-1.133628+(-1.02--0.401472))+0-362.5--0.369750000000058</f>
        <v>1353.9175940000002</v>
      </c>
      <c r="G9" s="3">
        <f>983.5+(983.1-328.5)+(-2.507925+(-2.506905--0.837675))+0-362.5--0.924374999999947</f>
        <v>1272.3472199999999</v>
      </c>
      <c r="H9" s="3">
        <f>985.4+(1124.6-654)+(0+(0-0))+0-362.5-0</f>
        <v>1093.5</v>
      </c>
      <c r="I9" s="3">
        <f>983.8+(1078.8-708.9)+(-2.006952+(-2.200752--1.446156))+0-360.5--0.735419999999984</f>
        <v>991.17387199999985</v>
      </c>
      <c r="J9" s="3">
        <f>984.2+(1018.1-620.5)+(-1.003884+(-1.038462--0.63291))+0-382.5--0.390150000000061</f>
        <v>998.28071400000033</v>
      </c>
      <c r="K9" s="3">
        <f>984.2+(927-564.2)+(-0.501942+(-0.47277--0.287742))+0-383.5--0.195584999999961</f>
        <v>963.00861499999996</v>
      </c>
      <c r="L9" s="3">
        <f>977.1+(928.3-556.6)+(0+(0-0))+0-384-0</f>
        <v>964.8</v>
      </c>
      <c r="M9" s="3">
        <f>975.7+(865.8-529.8)+(-1.990428+(-1.766232--1.080792))+0-383--0.781319999999983</f>
        <v>926.80545199999995</v>
      </c>
      <c r="N9" s="3">
        <f>978.8+(876.7-509.4)+(0.499188+(0.447117-0.259794))+0-390.1-0.19895099999996</f>
        <v>956.48756000000003</v>
      </c>
      <c r="O9" s="3">
        <f>1090.6+(704.6-478.6)+(0+(0-0))+0-395.8-0</f>
        <v>920.8</v>
      </c>
      <c r="P9" s="3">
        <f>1206.3+(715.6-468.9)+(-1.230426+(-0.729912--0.478278))+0-396.2--0.404124000000063</f>
        <v>1055.722064</v>
      </c>
      <c r="Q9" s="3">
        <f>1268.9+(727.1-514.1)+(-0.647139+(-0.370821--0.262191))+0-391.7--0.19976699999996</f>
        <v>1089.643998</v>
      </c>
      <c r="R9" s="3">
        <f>1284.3+(776.6-508.3)+(-3.929958+(-2.376396--1.555398))+0-391.6--1.19829600000005</f>
        <v>1157.4473399999997</v>
      </c>
      <c r="S9" s="3">
        <f>1285.8+(677.4-458.8)+(-1.967274+(-1.036422--0.701964))+0-391.8--0.599454000000023</f>
        <v>1110.8977219999999</v>
      </c>
      <c r="T9" s="3">
        <f>1284.3+(696.6-498.6)+(-1.964979+(-1.065798--0.762858))+0-391.4--0.598842000000023</f>
        <v>1089.2309230000003</v>
      </c>
      <c r="U9" s="3">
        <f>1284.7+(690.5-488.8)+(-1.965591+(-1.056465--0.747864))+0-389.7--0.596241000000023</f>
        <v>1095.0220489999999</v>
      </c>
      <c r="V9" s="3">
        <f>1285.5+(641-462.9)+(-1.31121+(-0.65382--0.472158))+0-392.1--0.399942000000063</f>
        <v>1070.4070699999997</v>
      </c>
      <c r="W9" s="3">
        <f>1284.1+(594.6-422.5)+(-1.964673+(-0.909738--0.646425))+0-389.8--0.596394000000023</f>
        <v>1064.7684079999997</v>
      </c>
      <c r="X9" s="3">
        <f>1284.6+(619.9-459.7)+(-2.620584+(-1.264596--0.937788))+0-382.7--0.780707999999983</f>
        <v>1059.9333159999999</v>
      </c>
      <c r="Y9" s="3">
        <f>1314.6+(858-759.2)+(0.670446+(0.43758-0.387192))+0-383.1-0.195380999999961</f>
        <v>1030.8254529999999</v>
      </c>
      <c r="Z9" s="3">
        <f>1372.7+(1369.8-1085)+(0+(0-0))+0-383.1-0</f>
        <v>1274.4000000000001</v>
      </c>
      <c r="AA9" s="3">
        <f>1369.4+(1421.9-1102.7)+(-3.49197+(-3.625845--2.811885))+0-382.5--0.975374999999944</f>
        <v>1302.7694450000001</v>
      </c>
      <c r="AB9" s="3">
        <f>1366.2+(1238.1-863.7)+(-2.787048+(-2.525724--1.761948))+0-382.1--0.779483999999983</f>
        <v>1355.72866</v>
      </c>
      <c r="AC9" s="3">
        <f>1361.6+(1033.1-702)+(-2.083248+(-1.580643--1.07406))+0-367.7--0.562581000000021</f>
        <v>1322.9727499999997</v>
      </c>
      <c r="AD9">
        <v>1309.9000000000001</v>
      </c>
      <c r="AE9" s="3">
        <f>1369+(1425.5-1100.6)+(0+(0-0))+0-384-0</f>
        <v>1309.9000000000001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1140+(972.3-414.7)+(-1.1628+(-0.991746--0.422994))+0-375--0.38250000000006</f>
        <v>1321.2509480000001</v>
      </c>
      <c r="G10" s="3">
        <f>980.4+(945.7-292.3)+(-2.50002+(-2.411535--0.745365))+0-384.8--0.981239999999944</f>
        <v>1245.8150500000002</v>
      </c>
      <c r="H10" s="3">
        <f>982.8+(671.8-208)+(-0.501228+(-0.342618--0.10608))+0-395.9--0.20190899999996</f>
        <v>1050.164143</v>
      </c>
      <c r="I10" s="3">
        <f>981.1+(709.8-293.8)+(-2.001444+(-1.447992--0.599352))+0-395--0.805799999999983</f>
        <v>1000.055716</v>
      </c>
      <c r="J10" s="3">
        <f>983+(810.8-391.1)+(0+(0-0))+0-393.4-0</f>
        <v>1009.2999999999998</v>
      </c>
      <c r="K10" s="3">
        <f>983.4+(859.5-406.4)+(-0.501534+(-0.438345--0.207264))+0-387.7--0.197726999999961</f>
        <v>1048.265112</v>
      </c>
      <c r="L10" s="3">
        <f>983.4+(808.1-408.7)+(-1.003068+(-0.824262--0.416874))+0-390.3--0.398106000000062</f>
        <v>991.48765000000003</v>
      </c>
      <c r="M10" s="3">
        <f>985+(849.4-511.7)+(0.50235+(0.433194-0.260967))+0-394.5-0.20119499999996</f>
        <v>928.67338200000006</v>
      </c>
      <c r="N10" s="3">
        <f>984.6+(786.5-449.6)+(0+(0-0))+0-389.3-0</f>
        <v>932.2</v>
      </c>
      <c r="O10" s="3">
        <f>1000.2+(793.7-452.8)+(0+(0-0))+0-394.4-0</f>
        <v>946.70000000000016</v>
      </c>
      <c r="P10" s="3">
        <f>1106.2+(863.5-574.7)+(0.564162+(0.440385-0.293097))+0-392.5-0.20017499999996</f>
        <v>1003.0112750000001</v>
      </c>
      <c r="Q10" s="3">
        <f>1108.2+(1187.5-850.1)+(-1.695546+(-1.816875--1.300653))+0-391--0.598230000000023</f>
        <v>1052.9864620000001</v>
      </c>
      <c r="R10" s="3">
        <f>1108.3+(1207.7-720.2)+(-2.260932+(-2.463708--1.469208))+0-392.2--0.800087999999983</f>
        <v>1201.1446559999999</v>
      </c>
      <c r="S10" s="3">
        <f>1110.3+(1011.9-518.2)+(0+(0-0))+0-392.6-0</f>
        <v>1211.4000000000001</v>
      </c>
      <c r="T10" s="3">
        <f>1109.9+(850.7-416.3)+(-0.566049+(-0.433857--0.212313))+0-391.8--0.19981799999996</f>
        <v>1151.9122250000003</v>
      </c>
      <c r="U10" s="3">
        <f>1109.6+(819.7-350.2)+(-1.131792+(-0.836094--0.357204))+0-390.7--0.398514000000062</f>
        <v>1187.1878319999998</v>
      </c>
      <c r="V10" s="3">
        <f>1112+(763-339.5)+(0+(0-0))+0-392.3-0</f>
        <v>1143.2</v>
      </c>
      <c r="W10" s="3">
        <f>1154.5+(737.5-338.9)+(-1.17759+(-0.75225--0.345678))+0-395--0.402900000000063</f>
        <v>1156.9187379999998</v>
      </c>
      <c r="X10" s="3">
        <f>1232.3+(568.6-375.9)+(-3.142365+(-1.44993--0.958545))+0-392.8--1.00163999999994</f>
        <v>1029.56789</v>
      </c>
      <c r="Y10" s="3">
        <f>1310.2+(542.2-434.1)+(1.336404+(0.553044-0.442782))+0-392.8-0.400656000000063</f>
        <v>1026.5460100000003</v>
      </c>
      <c r="Z10" s="3">
        <f>1383.3+(1343.4-942.7)+(-2.821932+(-2.740536--1.923108))+0-388.1--0.791723999999983</f>
        <v>1393.0523639999999</v>
      </c>
      <c r="AA10" s="3">
        <f>1378.9+(1280.1-811.4)+(0.703239+(0.652851-0.413814))+0-390.8-0.19930799999996</f>
        <v>1457.542968</v>
      </c>
      <c r="AB10" s="3">
        <f>1371.8+(1146.4-701)+(-2.798472+(-2.338656--1.43004))+0-386.9--0.789275999999983</f>
        <v>1427.382188</v>
      </c>
      <c r="AC10" s="3">
        <f>1369.6+(1139.3-689.7)+(-0.698496+(-0.581043--0.351747))+0-392.6--0.20022599999996</f>
        <v>1425.8724339999999</v>
      </c>
      <c r="AD10">
        <v>1411.4999999999998</v>
      </c>
      <c r="AE10" s="3">
        <f>1382+(1311.1-889.4)+(0+(0-0))+0-392.2-0</f>
        <v>1411.4999999999998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1281+(905.3-463.1)+(-0.65331+(-0.461703--0.236181))+0-389.7--0.19874699999996</f>
        <v>1332.8199149999996</v>
      </c>
      <c r="G11" s="3">
        <f>1139.5+(898.7-378.6)+(-1.743435+(-1.375011--0.579258))+0-395.7--0.605421000000023</f>
        <v>1261.9662329999999</v>
      </c>
      <c r="H11" s="3">
        <f>985.8+(976-447.8)+(-0.502758+(-0.49776--0.228378))+0-394.3--0.20109299999996</f>
        <v>1119.1289529999999</v>
      </c>
      <c r="I11" s="3">
        <f>983.2+(1073.5-614.4)+(-2.005728+(-2.18994--1.253376))+0-394.2--0.804167999999983</f>
        <v>1045.9618760000001</v>
      </c>
      <c r="J11" s="3">
        <f>979.4+(1086.7-631.6)+(-2.996964+(-3.325302--1.932696))+0-395.5--1.21023000000005</f>
        <v>1035.8206600000001</v>
      </c>
      <c r="K11" s="3">
        <f>984.8+(1105.8-692.6)+(-0.502248+(-0.563958--0.353226))+0-393.8--0.20083799999996</f>
        <v>1003.687858</v>
      </c>
      <c r="L11" s="3">
        <f>975.3+(1123.8-682.1)+(-1.492209+(-1.719414--1.043613))+0-393.4--0.601902000000023</f>
        <v>1022.0338919999999</v>
      </c>
      <c r="M11" s="3">
        <f>976.5+(1107.4-776.4)+(-0.498015+(-0.564774--0.395964))+0-392.8--0.20032799999996</f>
        <v>914.23350300000004</v>
      </c>
      <c r="N11" s="3">
        <f>969.9+(946.1-615.6)+(0.494649+(0.482511-0.313956))+0-391.7-0.19976699999996</f>
        <v>909.16343700000004</v>
      </c>
      <c r="O11" s="3">
        <f>991.9+(791.1-519.9)+(1.517607+(1.210383-0.795447))+0-395.7-0.605421000000023</f>
        <v>868.72712199999978</v>
      </c>
      <c r="P11" s="3">
        <f>1164.1+(650.7-432)+(-0.593691+(-0.331857--0.22032))+0-385.9--0.196808999999961</f>
        <v>996.39158099999986</v>
      </c>
      <c r="Q11" s="3">
        <f>1218.1+(801.1-545)+(1.863693+(1.225683-0.83385))+0-394.5-0.603585000000023</f>
        <v>1081.3519409999997</v>
      </c>
      <c r="R11" s="3">
        <f>1228.6+(882.6-524.4)+(0+(0-0))+0-394.7-0</f>
        <v>1192.0999999999999</v>
      </c>
      <c r="S11" s="3">
        <f>1227.5+(786.5-429.9)+(-1.25205+(-0.80223--0.438498))+0-392.9--0.400758000000063</f>
        <v>1189.984976</v>
      </c>
      <c r="T11" s="3">
        <f>1228.1+(592.4-333)+(-2.505324+(-1.208496--0.67932))+0-393.2--0.802127999999983</f>
        <v>1092.067628</v>
      </c>
      <c r="U11" s="3">
        <f>1229+(637.1-417.6)+(0.62679+(0.324921-0.212976))+0-389.3-0.198542999999961</f>
        <v>1059.740192</v>
      </c>
      <c r="V11" s="3">
        <f>1222.6+(596.4-388.7)+(-3.11763+(-1.52082--0.991185))+0-394.4--1.00571999999994</f>
        <v>1033.2584549999999</v>
      </c>
      <c r="W11" s="3">
        <f>1227.4+(586.6-409.8)+(-1.877922+(-0.897498--0.626994))+0-391.6--0.599148000000023</f>
        <v>1011.0507220000001</v>
      </c>
      <c r="X11" s="3">
        <f>1225.3+(512.3-399.3)+(-2.499612+(-1.045092--0.814572))+0-394.1--0.803963999999983</f>
        <v>942.27383199999997</v>
      </c>
      <c r="Y11" s="3">
        <f>1310.3+(709.9-787.1)+(1.336506+(0.724098-0.802842))+0-392.7-0.400554000000063</f>
        <v>841.25720799999976</v>
      </c>
      <c r="Z11" s="3">
        <f>1372.6+(1698.8-1334.2)+(-2.800104+(-3.465552--2.721768))+0-393.4--0.802535999999983</f>
        <v>1341.0586479999999</v>
      </c>
      <c r="AA11" s="3">
        <f>1370.8+(1670-1178.7)+(-2.796432+(-3.4068--2.404548))+0-389.1--0.793763999999983</f>
        <v>1469.9950799999997</v>
      </c>
      <c r="AB11" s="3">
        <f>1370.1+(1433.6-970.5)+(-3.493755+(-3.65568--2.474775))+0-391.1--0.997304999999943</f>
        <v>1438.4226449999996</v>
      </c>
      <c r="AC11" s="3">
        <f>1371.6+(1180.4-740.2)+(0.699516+(0.602004-0.377502))+0-390.8-0.19930799999996</f>
        <v>1421.72471</v>
      </c>
      <c r="AD11">
        <v>1297.0999999999999</v>
      </c>
      <c r="AE11" s="3">
        <f>1374+(1732.2-1411.5)+(0+(0-0))+0-397.6-0</f>
        <v>1297.0999999999999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1338+(947.8-509.6)+(0+(0-0))+0-392-0</f>
        <v>1384.1999999999998</v>
      </c>
      <c r="G12" s="3">
        <f>1066.4+(895.2-241.5)+(-1.631592+(-1.369656--0.369495))+0-384.6--0.588438000000022</f>
        <v>1333.4566850000003</v>
      </c>
      <c r="H12" s="3">
        <f>979.8+(925.7-399)+(-2.998188+(-2.832642--1.22094))+0-381.1--1.16616600000004</f>
        <v>1121.9562759999999</v>
      </c>
      <c r="I12" s="3">
        <f>982.5+(1109.1-606.8)+(-2.0043+(-2.262564--1.237872))+0-391.6--0.798863999999983</f>
        <v>1090.9698719999999</v>
      </c>
      <c r="J12" s="3">
        <f>985+(1021.8-604.3)+(-0.50235+(-0.521118--0.308193))+0-393.9--0.20088899999996</f>
        <v>1008.085614</v>
      </c>
      <c r="K12" s="3">
        <f>985.2+(916.8-536.2)+(-0.502452+(-0.467568--0.273462))+0-389.8--0.19879799999996</f>
        <v>975.50223999999992</v>
      </c>
      <c r="L12" s="3">
        <f>964.1+(974.1-603.1)+(-2.950146+(-2.980746--1.845486))+0-391.1--1.19676600000005</f>
        <v>941.11135999999999</v>
      </c>
      <c r="M12" s="3">
        <f>971.4+(1057.7-752.5)+(-0.990828+(-1.078854--0.76755))+0-392.6--0.400452000000063</f>
        <v>883.09831999999994</v>
      </c>
      <c r="N12" s="3">
        <f>1000.6+(948.6-689)+(0.510306+(0.483786-0.35139))+0-394.2-0.20104199999996</f>
        <v>866.44166000000018</v>
      </c>
      <c r="O12" s="3">
        <f>1099+(687.3-417.1)+(-1.68147+(-1.051569--0.638163))+0-391.4--0.598842000000023</f>
        <v>976.30396599999972</v>
      </c>
      <c r="P12" s="3">
        <f>1140.6+(598.2-314.9)+(-1.745118+(-0.915246--0.481797))+0-390.7--0.597771000000023</f>
        <v>1031.6192040000001</v>
      </c>
      <c r="Q12" s="3">
        <f>1216.7+(594.3-318.9)+(-2.482068+(-1.212372--0.650556))+0-391.6--0.798863999999983</f>
        <v>1098.2549799999999</v>
      </c>
      <c r="R12" s="3">
        <f>1214.3+(560.8-311.6)+(-1.857879+(-0.858024--0.476748))+0-391.3--0.598689000000023</f>
        <v>1070.559534</v>
      </c>
      <c r="S12" s="3">
        <f>1222.1+(564.3-373.9)+(-0.623271+(-0.287793--0.190689))+0-392--0.19991999999996</f>
        <v>1019.9795449999998</v>
      </c>
      <c r="T12" s="3">
        <f>1232.8+(662.3-474.9)+(0+(0-0))+0-390.3-0</f>
        <v>1029.8999999999999</v>
      </c>
      <c r="U12" s="3">
        <f>1230.4+(806.5-648.9)+(-1.882512+(-1.233945--0.992817))+0-391.3--0.598689000000023</f>
        <v>995.17504900000006</v>
      </c>
      <c r="V12" s="3">
        <f>1231+(665.3-498.2)+(-2.51124+(-1.357212--1.016328))+0-386.8--0.789071999999983</f>
        <v>1009.236948</v>
      </c>
      <c r="W12" s="3">
        <f>1265.7+(644.4-539.3)+(1.291014+(0.657288-0.550086))+0-388.4-0.396168000000062</f>
        <v>983.40204800000015</v>
      </c>
      <c r="X12" s="3">
        <f>1344.2+(506-474.9)+(-3.42771+(-1.2903--1.210995))+0-385.4--0.982769999999944</f>
        <v>987.37575500000025</v>
      </c>
      <c r="Y12" s="3">
        <f>1366.3+(497.6-359.7)+(0+(0-0))+0-382.3-0</f>
        <v>1121.9000000000001</v>
      </c>
      <c r="Z12" s="3">
        <f>1379+(1031.6-712.2)+(0+(0-0))+0-383-0</f>
        <v>1315.3999999999999</v>
      </c>
      <c r="AA12" s="3">
        <f>1376.9+(917.4-658.9)+(-3.511095+(-2.33937--1.680195))+0-392--0.999599999999943</f>
        <v>1240.2293299999999</v>
      </c>
      <c r="AB12" s="3">
        <f>1374.1+(630.6-367.1)+(-2.803164+(-1.286424--0.748884))+0-378.8--0.772751999999983</f>
        <v>1256.2320480000001</v>
      </c>
      <c r="AC12" s="3">
        <f>1370.1+(557.4-341.3)+(-2.096253+(-0.852822--0.522189))+0-373.3--0.571149000000022</f>
        <v>1211.044263</v>
      </c>
      <c r="AD12">
        <v>1300.6999999999998</v>
      </c>
      <c r="AE12" s="3">
        <f>1381+(1045.2-740.3)+(0+(0-0))+0-385.2-0</f>
        <v>1300.7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1213.1+(577.1-297.9)+(-1.237362+(-0.588642--0.303858))+0-388.1--0.395862000000062</f>
        <v>1103.0737160000001</v>
      </c>
      <c r="G13" s="3">
        <f>969.1+(692.4-256.7)+(-1.976964+(-1.412496--0.523668))+0-396.9--0.809675999999983</f>
        <v>1005.8438839999999</v>
      </c>
      <c r="H13" s="3">
        <f>935.1+(619.9-167.2)+(-2.384505+(-1.580745--0.42636))+0-397.5--1.01362499999994</f>
        <v>987.77473499999985</v>
      </c>
      <c r="I13" s="3">
        <f>936.8+(710-239)+(0.955536+(0.7242-0.24378))+0-393.1-0.400962000000063</f>
        <v>1015.7349939999999</v>
      </c>
      <c r="J13" s="3">
        <f>936.4+(674.5-285.7)+(-0.955128+(-0.68799--0.291414))+0-394.2--0.402084000000063</f>
        <v>930.05038000000013</v>
      </c>
      <c r="K13" s="3">
        <f>936.5+(668.2-291.2)+(0.477615+(0.340782-0.148512))+0-392.7-0.20027699999996</f>
        <v>921.26960800000006</v>
      </c>
      <c r="L13" s="3">
        <f>933.9+(715.8-285.4)+(-3.334023+(-2.555406--1.018878))+0-388.5--1.38694500000001</f>
        <v>972.31639399999995</v>
      </c>
      <c r="M13" s="3">
        <f>921.6+(745.7-429.4)+(-0.470016+(-0.380307--0.218994))+0-390.1--0.19895099999996</f>
        <v>847.36762199999998</v>
      </c>
      <c r="N13" s="3">
        <f>923.4+(781.5-511.1)+(0.470934+(0.398565-0.260661))+0-389.9-0.19884899999996</f>
        <v>804.30998900000009</v>
      </c>
      <c r="O13" s="3">
        <f>914.7+(1001.8-596.8)+(-1.399491+(-1.532754--0.913104))+0-391.7--0.599301000000023</f>
        <v>926.58015999999998</v>
      </c>
      <c r="P13" s="3">
        <f>922.4+(1017.6-674.9)+(0.940848+(1.037952-0.688398))+0-389.9-0.397698000000062</f>
        <v>876.09270399999991</v>
      </c>
      <c r="Q13" s="3">
        <f>927.5+(893.4-602.2)+(-0.94605+(-0.911268--0.614244))+0-388--0.395760000000062</f>
        <v>829.85268599999995</v>
      </c>
      <c r="R13" s="3">
        <f>935.8+(888.1-565.4)+(-0.954516+(-0.905862--0.576708))+0-386.7--0.394434000000062</f>
        <v>870.91076399999997</v>
      </c>
      <c r="S13" s="3">
        <f>935.6+(899-590.5)+(0+(0-0))+0-388.4-0</f>
        <v>855.69999999999993</v>
      </c>
      <c r="T13" s="3">
        <f>935.1+(976.2-673.4)+(-0.476901+(-0.497862--0.343434))+0-368.9--0.188138999999963</f>
        <v>868.55681000000004</v>
      </c>
      <c r="U13" s="3">
        <f>934+(1015-710.7)+(-0.95268+(-1.0353--0.724914))+0-382.2--0.389844000000061</f>
        <v>855.22677799999997</v>
      </c>
      <c r="V13" s="3">
        <f>937+(960.4-675.6)+(-0.95574+(-0.979608--0.689112))+0-388.3--0.396066000000062</f>
        <v>832.64983000000007</v>
      </c>
      <c r="W13" s="3">
        <f>960+(927.3-666.7)+(-0.4896+(-0.472923--0.340017))+0-386.3--0.197012999999961</f>
        <v>833.87450699999999</v>
      </c>
      <c r="X13" s="3">
        <f>1116.8+(743.1-608.9)+(-2.84784+(-1.894905--1.552695))+0-385.6--0.983279999999944</f>
        <v>863.19322999999997</v>
      </c>
      <c r="Y13" s="3">
        <f>1199.4+(448.9-408.7)+(-1.223388+(-0.457878--0.416874))+0-379.7--0.387294000000061</f>
        <v>859.02290200000016</v>
      </c>
      <c r="Z13" s="3">
        <f>1369.4+(549.2-375.8)+(-0.698394+(-0.280092--0.191658))+0-383.7--0.195686999999961</f>
        <v>1158.508859</v>
      </c>
      <c r="AA13" s="3">
        <f>1371+(718.9-450.4)+(-0.69921+(-0.366639--0.229704))+0-389.9--0.19884899999996</f>
        <v>1248.962704</v>
      </c>
      <c r="AB13" s="3">
        <f>1359.8+(737.9-379.8)+(-2.080494+(-1.128987--0.581094))+0-393.7--0.602361000000023</f>
        <v>1322.1739739999998</v>
      </c>
      <c r="AC13" s="3">
        <f>1298.8+(732.6-346.2)+(-1.324776+(-0.747252--0.353124))+0-394.4--0.402288000000063</f>
        <v>1289.4833839999999</v>
      </c>
      <c r="AD13">
        <v>1231</v>
      </c>
      <c r="AE13" s="3">
        <f>1370+(661.6-413)+(0+(0-0))+0-387.6-0</f>
        <v>1231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1169.5+(922-453.9)+(-2.38578+(-1.88088--0.925956))+0-396.6--0.809063999999983</f>
        <v>1238.4683599999998</v>
      </c>
      <c r="G14" s="3">
        <f>1169.7+(1285.2-911.1)+(0.596547+(0.655452-0.464661))+0-395.4-0.20165399999996</f>
        <v>1148.9856840000002</v>
      </c>
      <c r="H14" s="3">
        <f>1044.2+(1342.5-994.7)+(-1.065084+(-1.36935--1.014594))+0-397--0.404940000000063</f>
        <v>993.98509999999999</v>
      </c>
      <c r="I14" s="3">
        <f>979.9+(1361.3-1024)+(-0.999498+(-1.388526--1.04448))+0-394.6--0.402492000000063</f>
        <v>921.65894799999978</v>
      </c>
      <c r="J14" s="3">
        <f>979.9+(1279.7-934.1)+(0+(0-0))+0-394.7-0</f>
        <v>930.8</v>
      </c>
      <c r="K14" s="3">
        <f>978.9+(1296.3-891.2)+(0+(0-0))+0-392.8-0</f>
        <v>991.2</v>
      </c>
      <c r="L14" s="3">
        <f>978.4+(1195.6-819.4)+(-1.995936+(-2.439024--1.671576))+0-391.1--0.797843999999983</f>
        <v>961.53445999999974</v>
      </c>
      <c r="M14" s="3">
        <f>979.4+(936.4-611.5)+(-0.499494+(-0.477564--0.311865))+0-394--0.20093999999996</f>
        <v>909.83574699999986</v>
      </c>
      <c r="N14" s="3">
        <f>979.5+(954.7-476.5)+(0+(0-0))+0-394.9-0</f>
        <v>1062.8000000000002</v>
      </c>
      <c r="O14" s="3">
        <f>1049.4+(893.1-426.1)+(0+(0-0))+0-438.5-0</f>
        <v>1077.9000000000001</v>
      </c>
      <c r="P14" s="3">
        <f>1312.4+(674-383.1)+(-0.669324+(-0.34374--0.195381))+0-392--0.19991999999996</f>
        <v>1210.6822370000002</v>
      </c>
      <c r="Q14" s="3">
        <f>1321.5+(881.5-511.9)+(-2.021895+(-1.348695--0.783207))+0-382.8--0.585684000000022</f>
        <v>1306.298301</v>
      </c>
      <c r="R14" s="3">
        <f>1327.5+(850.5-536.7)+(-2.031075+(-1.301265--0.821151))+0-395.8--0.605574000000023</f>
        <v>1243.5943849999999</v>
      </c>
      <c r="S14" s="3">
        <f>1249.7+(875.9-458.9)+(-2.549388+(-1.786836--0.936156))+0-408.2--0.832727999999982</f>
        <v>1255.9326600000002</v>
      </c>
      <c r="T14" s="3">
        <f>1221.8+(847.1-457.1)+(-1.869354+(-1.296063--0.699363))+0-398.5--0.609705000000023</f>
        <v>1211.443651</v>
      </c>
      <c r="U14" s="3">
        <f>1221.6+(830-382.6)+(-2.492064+(-1.6932--0.780504))+0-396.9--0.809675999999983</f>
        <v>1269.5049160000001</v>
      </c>
      <c r="V14" s="3">
        <f>1219.9+(768.6-321.1)+(-3.732894+(-2.351916--0.982566))+0-406.1--1.24266600000005</f>
        <v>1257.4404220000001</v>
      </c>
      <c r="W14" s="3">
        <f>1222.2+(779-278.1)+(-3.11661+(-1.98645--0.709155))+0-411.3--1.04881499999994</f>
        <v>1308.4549099999999</v>
      </c>
      <c r="X14" s="3">
        <f>1223.2+(646.3-292.9)+(-1.871496+(-0.988839--0.448137))+1.4-413.3--0.632349000000024</f>
        <v>1162.920151</v>
      </c>
      <c r="Y14" s="3">
        <f>1324.8+(663.8-493.3)+(0+(0-0))+4.5-392.3-0</f>
        <v>1107.5</v>
      </c>
      <c r="Z14" s="3">
        <f>1370.7+(1185.1-726)+(-2.796228+(-2.417604--1.48104))+0-387.6--0.790703999999983</f>
        <v>1439.257912</v>
      </c>
      <c r="AA14" s="3">
        <f>1370.2+(1037.2-514.9)+(-2.795208+(-2.115888--1.050396))+0-389.5--0.794579999999983</f>
        <v>1499.93388</v>
      </c>
      <c r="AB14" s="3">
        <f>1331.4+(912.6-450.7)+(-2.037042+(-1.396278--0.689571))+0-379.7--0.580941000000022</f>
        <v>1411.4371920000001</v>
      </c>
      <c r="AC14" s="3">
        <f>1246.1+(924.3-354.3)+(-2.542044+(-1.885572--0.722772))+0-400.1--0.816203999999983</f>
        <v>1413.1113599999996</v>
      </c>
      <c r="AD14">
        <v>1252.6000000000001</v>
      </c>
      <c r="AE14" s="3">
        <f>1370+(1025.3-757.5)+(0+(0-0))+0-385.2-0</f>
        <v>1252.5999999999999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1227.3+(960.6-441.2)+(-3.129615+(-2.44953--1.12506))+0-395.6--1.00877999999994</f>
        <v>1347.6546949999999</v>
      </c>
      <c r="G15" s="3">
        <f>1139.5+(1284.2-751.2)+(-2.905725+(-3.27471--1.91556))+0-408.2--1.04090999999994</f>
        <v>1261.0760349999998</v>
      </c>
      <c r="H15" s="3">
        <f>983.2+(1187.7-703.5)+(-1.504296+(-1.817181--1.076355))+0-419.4--0.641682000000024</f>
        <v>1046.3965600000001</v>
      </c>
      <c r="I15" s="3">
        <f>984.4+(991.4-572.7)+(-1.506132+(-1.516842--0.876231))+0-414.3--0.633879000000024</f>
        <v>987.28713599999992</v>
      </c>
      <c r="J15" s="3">
        <f>983.6+(1021.8-556.8)+(-1.003272+(-1.042236--0.567936))+0-417--0.425340000000067</f>
        <v>1030.5477679999999</v>
      </c>
      <c r="K15" s="3">
        <f>986.6+(897-451.4)+(1.006332+(0.91494-0.460428))+0-426.4-0.434928000000068</f>
        <v>1006.825916</v>
      </c>
      <c r="L15" s="3">
        <f>963.9+(702.1-160)+(-0.983178+(-0.716142--0.1632))+0-428.9--0.437478000000068</f>
        <v>1076.0013580000002</v>
      </c>
      <c r="M15" s="3">
        <f>971.6+(755.4-215.4)+(0+(0-0))+0-426.2-0</f>
        <v>1085.3999999999999</v>
      </c>
      <c r="N15" s="3">
        <f>1127.3+(675.5-286.9)+(-0.574923+(-0.344505--0.146319))+0-423.4--0.215933999999957</f>
        <v>1091.9428250000003</v>
      </c>
      <c r="O15" s="3">
        <f>1321.8+(740.3-541.9)+(1.348236+(0.755106-0.552738))+0-425.5-0.434010000000068</f>
        <v>1095.8165939999997</v>
      </c>
      <c r="P15" s="3">
        <f>1333.1+(1008.7-634.8)+(-0.679881+(-0.514437--0.323748))+0-433.2--0.220931999999956</f>
        <v>1273.1503619999999</v>
      </c>
      <c r="Q15" s="3">
        <f>1322.1+(1136.4-696.1)+(-0.674271+(-0.579564--0.355011))+0-427.4--0.217973999999957</f>
        <v>1334.31915</v>
      </c>
      <c r="R15" s="3">
        <f>1343.4+(1105.4-681.9)+(-0.685134+(-0.563754--0.347769))+0-430--0.219299999999956</f>
        <v>1336.218181</v>
      </c>
      <c r="S15" s="3">
        <f>1338.2+(840.9-406.4)+(-3.41241+(-2.144295--1.03632))+0-429.1--1.09420499999994</f>
        <v>1340.17382</v>
      </c>
      <c r="T15" s="3">
        <f>1378.8+(519.2-229.4)+(-2.812752+(-1.059168--0.467976))+0-429.1--0.875363999999981</f>
        <v>1236.9714199999999</v>
      </c>
      <c r="U15" s="3">
        <f>1394+(554.9-319.7)+(-1.42188+(-0.565998--0.326094))+0-432.4--0.441048000000069</f>
        <v>1195.5792640000004</v>
      </c>
      <c r="V15" s="3">
        <f>1394.2+(613-335.8)+(-2.133126+(-0.93789--0.513774))+0-430.1--0.658053000000025</f>
        <v>1239.400811</v>
      </c>
      <c r="W15" s="3">
        <f>1395.1+(686.3-400.2)+(0.711501+(0.350013-0.204102))+0-429.1-0.218840999999956</f>
        <v>1252.7385709999999</v>
      </c>
      <c r="X15" s="3">
        <f>1402.4+(528.5-325.1)+(-2.145672+(-0.808605--0.497403))+0-427.7--0.654381000000025</f>
        <v>1176.2975070000002</v>
      </c>
      <c r="Y15" s="3">
        <f>1470.4+(841.4-628.2)+(-1.499808+(-0.858228--0.640764))+0-408.7--0.416874000000065</f>
        <v>1273.5996019999998</v>
      </c>
      <c r="Z15" s="3">
        <f>1495+(1473.8-1025.5)+(-3.0498+(-3.006552--2.09202))+0-395.5--0.806819999999983</f>
        <v>1544.642488</v>
      </c>
      <c r="AA15" s="3">
        <f>1417.7+(1274.3-840.3)+(-0.723027+(-0.649893--0.428553))+0-390.9--0.19935899999996</f>
        <v>1460.0549920000001</v>
      </c>
      <c r="AB15" s="3">
        <f>1341.4+(625.6-208.7)+(-3.42057+(-1.59528--0.532185))+0-387.4--0.987869999999944</f>
        <v>1367.4042050000003</v>
      </c>
      <c r="AC15" s="3">
        <f>1344.4+(566.5-157.7)+(-0.685644+(-0.288915--0.080427))+0-428--0.218279999999957</f>
        <v>1324.5241480000002</v>
      </c>
      <c r="AD15">
        <v>1437.6</v>
      </c>
      <c r="AE15" s="3">
        <f>1497+(1372.6-1030.8)+(0+(0-0))+0-401.2-0</f>
        <v>1437.6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1319.3+(864.8-492.9)+(-2.018529+(-1.323144--0.754137))+0-422.8--0.646884000000024</f>
        <v>1266.4593479999999</v>
      </c>
      <c r="G16" s="3">
        <f>1159.4+(1020.6-566.4)+(0+(0-0))+0-430.8-0</f>
        <v>1182.8000000000002</v>
      </c>
      <c r="H16" s="3">
        <f>1156.7+(1204.9-780.1)+(0.589917+(0.614499-0.397851))+0-431.3-0.219962999999956</f>
        <v>1150.7866020000001</v>
      </c>
      <c r="I16" s="3">
        <f>1165.4+(1294-908.3)+(0+(0-0))+0-429.3-0</f>
        <v>1121.8000000000002</v>
      </c>
      <c r="J16" s="3">
        <f>1160.8+(1139.6-819.6)+(-3.552048+(-3.487176--2.507976))+0-427.5--1.30815000000005</f>
        <v>1050.0769019999998</v>
      </c>
      <c r="K16" s="3">
        <f>1167.3+(1128.1-778)+(1.190646+(1.150662-0.79356))+0-431.2-0.439824000000069</f>
        <v>1087.3079239999997</v>
      </c>
      <c r="L16" s="3">
        <f>1168.7+(884.8-587.6)+(-0.596037+(-0.451248--0.299676))+0-439.6--0.224195999999955</f>
        <v>1025.7765870000001</v>
      </c>
      <c r="M16" s="3">
        <f>1175.1+(776.6-404.7)+(-1.198602+(-0.792132--0.412794))+0-440.6--0.44941200000007</f>
        <v>1105.2714720000001</v>
      </c>
      <c r="N16" s="3">
        <f>1177.4+(668.3-264.7)+(-0.600474+(-0.340833--0.134997))+0-438--0.223379999999956</f>
        <v>1142.41707</v>
      </c>
      <c r="O16" s="3">
        <f>1287.7+(1076.3-667.6)+(0.656727+(0.548913-0.340476))+0-438.4-0.223583999999956</f>
        <v>1258.6415800000004</v>
      </c>
      <c r="P16" s="3">
        <f>1410.3+(1441.2-1086.9)+(0.719253+(0.735012-0.554319))+0-432.9-0.220778999999956</f>
        <v>1332.3791669999998</v>
      </c>
      <c r="Q16" s="3">
        <f>1519.1+(1645.7-1300.9)+(0+(0-0))+0-420.3-0</f>
        <v>1443.6</v>
      </c>
      <c r="R16" s="3">
        <f>1592.1+(1108.4-1087.5)+(-1.623942+(-1.130568--1.10925))+0-397.6--0.405552000000063</f>
        <v>1214.160292</v>
      </c>
      <c r="S16" s="3">
        <f>1594.8+(686.4-665.5)+(-1.626696+(-0.700128--0.67881))+0-406.3--0.414426000000065</f>
        <v>1208.1664119999998</v>
      </c>
      <c r="T16" s="3">
        <f>1594.3+(566.6-539.6)+(-1.626186+(-0.577932--0.550392))+0-419.2--0.427584000000067</f>
        <v>1200.8738579999999</v>
      </c>
      <c r="U16" s="3">
        <f>1604+(656.9-519.3)+(0.81804+(0.335019-0.264843))+0-417.2-0.212771999999958</f>
        <v>1325.0754440000001</v>
      </c>
      <c r="V16" s="3">
        <f>1681.1+(594.3-469.5)+(-0.857361+(-0.303093--0.239445))+0-419--0.213689999999957</f>
        <v>1386.192681</v>
      </c>
      <c r="W16" s="3">
        <f>1661+(618.5-489)+(-2.54133+(-0.946305--0.74817))+0-425.6--0.651168000000025</f>
        <v>1362.8117030000001</v>
      </c>
      <c r="X16" s="3">
        <f>1638.8+(521.3-413.3)+(-1.671576+(-0.531726--0.421566))+0-424--0.432480000000068</f>
        <v>1321.4507440000002</v>
      </c>
      <c r="Y16" s="3">
        <f>1675.8+(673.7-717.3)+(-0.854658+(-0.343587--0.365823))+0-421.8--0.215117999999957</f>
        <v>1209.782696</v>
      </c>
      <c r="Z16" s="3">
        <f>1674.7+(1110.2-1067.4)+(-4.270485+(-2.83101--2.72187))+0-387.9--0.989144999999944</f>
        <v>1326.2095199999999</v>
      </c>
      <c r="AA16" s="3">
        <f>1675.4+(914.4-826.2)+(-2.563362+(-1.399032--1.264086))+0-387.8--0.593334000000022</f>
        <v>1373.6950259999999</v>
      </c>
      <c r="AB16" s="3">
        <f>1543.6+(752.6-527.8)+(-2.361708+(-1.151478--0.807534))+0-386.4--0.591192000000022</f>
        <v>1379.88554</v>
      </c>
      <c r="AC16" s="3">
        <f>1457.1+(767.8-418.9)+(-3.715605+(-1.95789--1.068195))+0-426.5--1.08757499999994</f>
        <v>1375.9822750000001</v>
      </c>
      <c r="AD16">
        <v>1521.2000000000003</v>
      </c>
      <c r="AE16" s="3">
        <f>1675+(1259.3-1018.8)+(0+(0-0))+0-394.3-0</f>
        <v>1521.2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1316.2+(855.1-478.9)+(-1.342524+(-0.872202--0.488478))+0-415.8--0.424116000000066</f>
        <v>1275.2978680000003</v>
      </c>
      <c r="G17" s="3">
        <f>1281.4+(1225.4-854.6)+(-5.228112+(-4.999632--3.486768))+0-420.6--1.71604799999996</f>
        <v>1226.5750720000003</v>
      </c>
      <c r="H17" s="3">
        <f>1238.7+(1341.5-1058.9)+(-1.895211+(-2.052495--1.620117))+0-425.7--0.651321000000025</f>
        <v>1093.923732</v>
      </c>
      <c r="I17" s="3">
        <f>1242.6+(1404.7-1139.4)+(-1.267452+(-1.432794--1.162188))+0-423.1--0.431562000000068</f>
        <v>1083.6935039999996</v>
      </c>
      <c r="J17" s="3">
        <f>1284.5+(1197.5-996)+(-3.275475+(-3.053625--2.5398))+0-422.4--1.07711999999994</f>
        <v>1060.8878199999999</v>
      </c>
      <c r="K17" s="3">
        <f>1238+(1146.1-904.6)+(0.63138+(0.584511-0.461346))+0-427.5-0.218024999999957</f>
        <v>1052.5365200000001</v>
      </c>
      <c r="L17" s="3">
        <f>1228.9+(994.4-720.7)+(-1.253478+(-1.014288--0.735114))+0-417.4--0.425748000000067</f>
        <v>1084.0930960000001</v>
      </c>
      <c r="M17" s="3">
        <f>1199.1+(909-619.5)+(-1.223082+(-0.92718--0.63189))+0-420.8--0.429216000000067</f>
        <v>1066.710844</v>
      </c>
      <c r="N17" s="3">
        <f>1174.7+(799.5-363.8)+(-1.198194+(-0.81549--0.371076))+0-419.9--0.428298000000067</f>
        <v>1189.2856899999999</v>
      </c>
      <c r="O17" s="3">
        <f>1223.2+(803.3-396.2)+(-0.623832+(-0.409683--0.202062))+0-417--0.212669999999958</f>
        <v>1212.6812169999998</v>
      </c>
      <c r="P17" s="3">
        <f>1287.7+(1058.2-597.1)+(0+(0-0))+0-426.2-0</f>
        <v>1322.6000000000001</v>
      </c>
      <c r="Q17" s="3">
        <f>1349.2+(1157.1-744.5)+(-0.688092+(-0.590121--0.379695))+0-417--0.212669999999958</f>
        <v>1344.1141519999999</v>
      </c>
      <c r="R17" s="3">
        <f>1323.1+(836-492.6)+(-0.674781+(-0.42636--0.251226))+0-430--0.219299999999956</f>
        <v>1235.869385</v>
      </c>
      <c r="S17" s="3">
        <f>1327.9+(699-376)+(-2.031687+(-1.06947--0.57528))+0-391--0.598230000000023</f>
        <v>1257.9723530000001</v>
      </c>
      <c r="T17" s="3">
        <f>1328.4+(785.9-418.3)+(-0.677484+(-0.400809--0.213333))+0-434--0.221339999999956</f>
        <v>1261.3563799999999</v>
      </c>
      <c r="U17" s="3">
        <f>1324.6+(645.8-368.1)+(-4.728822+(-2.305506--1.314117))+0-436--1.55652000000001</f>
        <v>1162.1363089999998</v>
      </c>
      <c r="V17" s="3">
        <f>1334+(770.7-433.1)+(-2.04102+(-1.179171--0.662643))+0-434--0.664020000000025</f>
        <v>1235.7064719999998</v>
      </c>
      <c r="W17" s="3">
        <f>1327+(800.6-464)+(-4.06062+(-2.449836--1.41984))+0-431--1.31886000000005</f>
        <v>1228.828244</v>
      </c>
      <c r="X17" s="3">
        <f>1327.9+(872.9-503.8)+(-2.031687+(-1.335537--0.770814))+0-448--0.685440000000026</f>
        <v>1247.0890299999999</v>
      </c>
      <c r="Y17" s="3">
        <f>1346.4+(874.2-537.4)+(-1.373328+(-0.891684--0.548148))+0-398.6--0.406572000000064</f>
        <v>1283.2897080000005</v>
      </c>
      <c r="Z17" s="3">
        <f>1344.1+(1244.9-744.8)+(-2.741964+(-2.539596--1.519392))+0-396.8--0.809471999999983</f>
        <v>1444.447304</v>
      </c>
      <c r="AA17" s="3">
        <f>1259.8+(1280.9-773.2)+(-2.569992+(-2.613036--1.577328))+0-397.9--0.811715999999983</f>
        <v>1366.8060159999998</v>
      </c>
      <c r="AB17" s="3">
        <f>1241.1+(1255.7-659.2)+(-1.265922+(-1.280814--0.672384))+0-398.5--0.406470000000064</f>
        <v>1437.632118</v>
      </c>
      <c r="AC17" s="3">
        <f>1147.4+(1182.4-428.7)+(-1.170348+(-1.206048--0.437274))+0-430.9--0.439518000000069</f>
        <v>1468.7003960000002</v>
      </c>
      <c r="AD17">
        <v>1462.6000000000001</v>
      </c>
      <c r="AE17" s="3">
        <f>1363+(1266.5-770.1)+(0+(0-0))+0-396.8-0</f>
        <v>1462.6000000000001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956.8+(1079.7-326.6)+(-2.43984+(-2.753235--0.83283))+0-397.7--1.01413499999994</f>
        <v>1308.8538899999999</v>
      </c>
      <c r="G18" s="3">
        <f>938+(1010.2-301.2)+(-1.43514+(-1.545606--0.460836))+0-443.9--0.679167000000026</f>
        <v>1201.2592569999999</v>
      </c>
      <c r="H18" s="3">
        <f>938.4+(996.5-393.6)+(0+(0-0))+0-398.8-0</f>
        <v>1142.5</v>
      </c>
      <c r="I18" s="3">
        <f>938.4+(979.5-418.5)+(-1.435752+(-1.498635--0.640305))+0-442.1--0.676413000000026</f>
        <v>1055.6823310000004</v>
      </c>
      <c r="J18" s="3">
        <f>937.1+(983.3-453.2)+(-2.867526+(-3.008898--1.386792))+0-422.4--1.29254400000005</f>
        <v>1041.6029120000001</v>
      </c>
      <c r="K18" s="3">
        <f>938.6+(901.5-476.1)+(-0.957372+(-0.91953--0.485622))+0-428.4--0.436968000000068</f>
        <v>934.64568800000006</v>
      </c>
      <c r="L18" s="3">
        <f>935.2+(828.7-385.5)+(-1.907808+(-1.690548--0.78642))+0-438.7--0.894947999999981</f>
        <v>937.78301199999999</v>
      </c>
      <c r="M18" s="3">
        <f>975.4+(862.3-375.9)+(0+(0-0))+0-437.2-0</f>
        <v>1024.5999999999999</v>
      </c>
      <c r="N18" s="3">
        <f>968.8+(861.7-399.1)+(-0.988176+(-0.878934--0.407082))+0-440.8--0.44961600000007</f>
        <v>989.58958800000028</v>
      </c>
      <c r="O18" s="3">
        <f>1041.9+(939-503)+(0+(0-0))+0-443.9-0</f>
        <v>1034</v>
      </c>
      <c r="P18" s="3">
        <f>1119.6+(1200.8-671.3)+(0.570996+(0.612408-0.342363))+0-443-0.225929999999955</f>
        <v>1206.7151109999998</v>
      </c>
      <c r="Q18" s="3">
        <f>1316.5+(1051.7-656.1)+(-2.014245+(-1.609101--1.003833))+0-437.2--0.668916000000025</f>
        <v>1272.9494029999998</v>
      </c>
      <c r="R18" s="3">
        <f>1344.6+(878.9-505.2)+(-1.371492+(-0.896478--0.515304))+0-443.3--0.452166000000071</f>
        <v>1273.6994999999999</v>
      </c>
      <c r="S18" s="3">
        <f>1340.8+(933.7-458.4)+(-1.367616+(-0.952374--0.467568))+0-443.4--0.452268000000071</f>
        <v>1371.2998459999999</v>
      </c>
      <c r="T18" s="3">
        <f>1343.5+(752.5-434.7)+(0+(0-0))+0-441.4-0</f>
        <v>1219.9000000000001</v>
      </c>
      <c r="U18" s="3">
        <f>1339.8+(720-391.5)+(-2.733192+(-1.4688--0.79866))+0-442.2--0.902087999999981</f>
        <v>1223.5987559999999</v>
      </c>
      <c r="V18" s="3">
        <f>1340.4+(704.5-454.9)+(-1.367208+(-0.71859--0.463998))+0-442.3--0.451146000000071</f>
        <v>1146.5293460000003</v>
      </c>
      <c r="W18" s="3">
        <f>1341.4+(727.4-473.6)+(-2.052342+(-1.112922--0.724608))+0-425.4--0.650862000000025</f>
        <v>1168.0102059999999</v>
      </c>
      <c r="X18" s="3">
        <f>1339.6+(695.8-374.5)+(-2.732784+(-1.419432--0.76398))+0-443.4--0.904535999999981</f>
        <v>1215.0162999999998</v>
      </c>
      <c r="Y18" s="3">
        <f>1344+(637.6-452.9)+(-0.68544+(-0.325176--0.230979))+0-403.6--0.205835999999959</f>
        <v>1124.5261989999997</v>
      </c>
      <c r="Z18" s="3">
        <f>1361.5+(1294-811.3)+(0.694365+(0.65994-0.413763))+0-396.5-0.20221499999996</f>
        <v>1448.4383270000001</v>
      </c>
      <c r="AA18" s="3">
        <f>1358.7+(1224.4-667.1)+(-2.771748+(-2.497776--1.360884))+0-394.4--0.804575999999983</f>
        <v>1518.4959359999998</v>
      </c>
      <c r="AB18" s="3">
        <f>1360.6+(974.8-539.1)+(-2.775624+(-1.988592--1.099764))+0-394.7--0.805187999999983</f>
        <v>1398.7407359999997</v>
      </c>
      <c r="AC18" s="3">
        <f>1359.9+(911.7-466.6)+(-1.387098+(-0.929934--0.475932))+0-393.8--0.401676000000063</f>
        <v>1409.7605759999999</v>
      </c>
      <c r="AD18">
        <v>1464.8000000000002</v>
      </c>
      <c r="AE18" s="3">
        <f>1359+(1435.4-917.7)+(0+(0-0))+0-411.9-0</f>
        <v>1464.8000000000002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1207.8+(1023.6-548.9)+(-1.231956+(-1.044072--0.559878))+0-408.6--0.416772000000065</f>
        <v>1272.6006219999999</v>
      </c>
      <c r="G19" s="3">
        <f>1049.9+(1269.5-698.9)+(-0.535449+(-0.647445--0.356439))+0-444.3--0.226592999999955</f>
        <v>1175.600138</v>
      </c>
      <c r="H19" s="3">
        <f>1050+(1468.5-963.1)+(-1.6065+(-2.246805--1.473543))+0-440--0.673200000000025</f>
        <v>1113.693438</v>
      </c>
      <c r="I19" s="3">
        <f>1009.3+(1540.2-1048.5)+(0+(0-0))+0-424.2-0</f>
        <v>1076.8</v>
      </c>
      <c r="J19" s="3">
        <f>987+(1594-1095.9)+(-1.51011+(-2.43882--1.676727))+0-421.6--0.645048000000024</f>
        <v>1061.8728450000001</v>
      </c>
      <c r="K19" s="3">
        <f>986.8+(1650.1-1170.4)+(0.503268+(0.841551-0.596904))+0-413.9-0.211088999999958</f>
        <v>1053.1368259999999</v>
      </c>
      <c r="L19" s="3">
        <f>972.2+(1617.6-1126.9)+(-1.487466+(-2.474928--1.724157))+0-391.6--0.599148000000023</f>
        <v>1069.6609109999997</v>
      </c>
      <c r="M19" s="3">
        <f>974.3+(1500.5-1084.8)+(-1.987572+(-3.06102--2.212992))+0-392.6--0.800903999999983</f>
        <v>995.36530399999981</v>
      </c>
      <c r="N19" s="3">
        <f>972.3+(1316.9-898.7)+(-2.479365+(-3.358095--2.291685))+0-393.7--1.00393499999994</f>
        <v>994.25815999999986</v>
      </c>
      <c r="O19" s="3">
        <f>972.8+(1133.9-730.5)+(-0.496128+(-0.578289--0.372555))+0-393--0.20042999999996</f>
        <v>982.69856800000014</v>
      </c>
      <c r="P19" s="3">
        <f>972.4+(1124.7-659.8)+(-0.991848+(-1.147194--0.672996))+0-393.7--0.401574000000063</f>
        <v>1042.5355280000001</v>
      </c>
      <c r="Q19" s="3">
        <f>1005.2+(1073.4-519.8)+(-0.512652+(-0.547434--0.265098))+0-392.9--0.20037899999996</f>
        <v>1165.3053909999999</v>
      </c>
      <c r="R19" s="3">
        <f>1106.3+(1124.7-502.5)+(-1.692639+(-1.720791--0.768825))+0-395--0.604350000000023</f>
        <v>1331.4597450000001</v>
      </c>
      <c r="S19" s="3">
        <f>1104.6+(899.4-498)+(-3.380076+(-2.752164--1.52388))+0-391.6--1.19829600000005</f>
        <v>1110.9899359999999</v>
      </c>
      <c r="T19" s="3">
        <f>1107.8+(885-509.8)+(-1.129956+(-0.9027--0.519996))+0-389.1--0.396882000000062</f>
        <v>1092.7842219999998</v>
      </c>
      <c r="U19" s="3">
        <f>1103.5+(907-533.1)+(-3.37671+(-2.77542--1.631286))+0-393.4--1.20380400000005</f>
        <v>1080.6829600000003</v>
      </c>
      <c r="V19" s="3">
        <f>1107.5+(901.1-532.7)+(-1.694475+(-1.378683--0.815031))+0-382.1--0.584613000000022</f>
        <v>1092.1264860000001</v>
      </c>
      <c r="W19" s="3">
        <f>1106.6+(886.7-519.9)+(-0.564366+(-0.452217--0.265149))+0-382.4--0.195023999999961</f>
        <v>1090.4435900000001</v>
      </c>
      <c r="X19" s="3">
        <f>1108.6+(824.1-477.9)+(0+(0-0))+0-382.5-0</f>
        <v>1072.3</v>
      </c>
      <c r="Y19" s="3">
        <f>1257.3+(501.2-371.1)+(-0.641223+(-0.255612--0.189261))+0-382.9--0.195278999999961</f>
        <v>1003.9877049999998</v>
      </c>
      <c r="Z19" s="3">
        <f>1358.9+(1194.2-832)+(-2.079117+(-1.827126--1.27296))+0-382--0.584460000000022</f>
        <v>1337.0511770000003</v>
      </c>
      <c r="AA19" s="3">
        <f>1361.2+(1088.1-681.4)+(-0.694212+(-0.554931--0.347514))+0-382--0.194819999999961</f>
        <v>1385.1931910000001</v>
      </c>
      <c r="AB19" s="3">
        <f>1360.6+(939.4-491.3)+(-2.775624+(-1.916376--1.002252))+0-381.6--0.778463999999983</f>
        <v>1424.1887159999997</v>
      </c>
      <c r="AC19" s="3">
        <f>1359+(917.6-421.9)+(-0.69309+(-0.467976--0.215169))+0-426.4--0.217463999999957</f>
        <v>1427.5715670000002</v>
      </c>
      <c r="AD19">
        <v>1450.7999999999997</v>
      </c>
      <c r="AE19" s="3">
        <f>1360+(1287.2-812.2)+(0+(0-0))+0-384.2-0</f>
        <v>1450.8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1266.1+(965.7-552.4)+(-3.228555+(-2.462535--1.40862))+0-440--1.12199999999994</f>
        <v>1236.2395299999998</v>
      </c>
      <c r="G20" s="3">
        <f>1086.7+(821.8-417.7)+(-1.662651+(-1.257354--0.639081))+0-436--0.667080000000025</f>
        <v>1053.186156</v>
      </c>
      <c r="H20" s="3">
        <f>987.9+(871.1-369.3)+(1.007658+(0.888522-0.376686))+0-438.5-0.44727000000007</f>
        <v>1052.2722239999998</v>
      </c>
      <c r="I20" s="3">
        <f>984.7+(895.6-345.6)+(0+(0-0))+0-434.8-0</f>
        <v>1099.9000000000001</v>
      </c>
      <c r="J20" s="3">
        <f>983.2+(864.7-370.9)+(-1.002864+(-0.881994--0.378318))+0-444.3--0.453186000000071</f>
        <v>1031.6466459999999</v>
      </c>
      <c r="K20" s="3">
        <f>980.8+(1023.2-486.5)+(-1.500624+(-1.565496--0.744345))+0-441.8--0.675954000000026</f>
        <v>1074.0541790000002</v>
      </c>
      <c r="L20" s="3">
        <f>967.4+(1198.8-670.4)+(-1.973496+(-2.445552--1.367616))+0-408.2--0.832727999999982</f>
        <v>1085.381296</v>
      </c>
      <c r="M20" s="3">
        <f>1006.1+(1040.3-540.5)+(0+(0-0))+0-435.3-0</f>
        <v>1070.6000000000001</v>
      </c>
      <c r="N20" s="3">
        <f>969.1+(1080.6-454.8)+(0+(0-0))+0-443.2-0</f>
        <v>1151.7</v>
      </c>
      <c r="O20" s="3">
        <f>1118.5+(1068-547.1)+(0+(0-0))+0-431.4-0</f>
        <v>1208</v>
      </c>
      <c r="P20" s="3">
        <f>1222.6+(1127.8-619.6)+(0+(0-0))+0-423-0</f>
        <v>1307.7999999999997</v>
      </c>
      <c r="Q20" s="3">
        <f>1154.8+(1334.8-754.9)+(-2.355792+(-2.722992--1.539996))+0.5-435.8--0.889031999999981</f>
        <v>1296.7502439999998</v>
      </c>
      <c r="R20" s="3">
        <f>1165+(1217.6-628.6)+(-0.59415+(-0.620976--0.320586))+0-425--0.216749999999957</f>
        <v>1328.32221</v>
      </c>
      <c r="S20" s="3">
        <f>1162.9+(981.2-446.4)+(-1.186158+(-1.000824--0.455328))+0-427--0.435540000000068</f>
        <v>1269.4038860000005</v>
      </c>
      <c r="T20" s="3">
        <f>1163.5+(797-315.1)+(-1.18677+(-0.81294--0.321402))+0-425.1--0.433602000000068</f>
        <v>1219.0552940000002</v>
      </c>
      <c r="U20" s="3">
        <f>1227.7+(786-387.5)+(0+(0-0))+0-384-0</f>
        <v>1242.2</v>
      </c>
      <c r="V20" s="3">
        <f>1334.4+(693.1-403.4)+(-0.680544+(-0.353481--0.205734))+0-383.9--0.195788999999961</f>
        <v>1239.5674979999999</v>
      </c>
      <c r="W20" s="3">
        <f>1337+(653.9-334.1)+(-4.09122+(-2.000934--1.022346))+0-383.8--1.17442800000004</f>
        <v>1269.1046200000001</v>
      </c>
      <c r="X20" s="3">
        <f>1342.4+(576.9-347.2)+(-2.738496+(-1.176876--0.708288))+0-383.6--0.782543999999983</f>
        <v>1186.0754600000002</v>
      </c>
      <c r="Y20" s="3">
        <f>1375.7+(719.3-483)+(1.403214+(0.733686-0.49266))+0-394.5-0.402390000000063</f>
        <v>1218.7418500000001</v>
      </c>
      <c r="Z20" s="3">
        <f>1379.5+(1474.5-999.6)+(0+(0-0))+0-395.5-0</f>
        <v>1458.9</v>
      </c>
      <c r="AA20" s="3">
        <f>1379.6+(1351.3-802.2)+(-3.51798+(-3.445815--2.04561))+0-431.7--1.10083499999994</f>
        <v>1493.1826499999997</v>
      </c>
      <c r="AB20" s="3">
        <f>1379.3+(903.4-370.2)+(-0.703443+(-0.460734--0.188802))+0-436.9--0.222818999999956</f>
        <v>1474.8474439999998</v>
      </c>
      <c r="AC20" s="3">
        <f>1370.5+(847.8-322.7)+(-1.39791+(-0.864756--0.329154))+0-438.4--0.44716800000007</f>
        <v>1455.7136559999999</v>
      </c>
      <c r="AD20">
        <v>1499.8999999999996</v>
      </c>
      <c r="AE20" s="3">
        <f>1378+(1581.2-1060.9)+(0+(0-0))+0-398.4-0</f>
        <v>1499.9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1289.5+(947.5-513.4)+(-1.31529+(-0.96645--0.523668))+0-427.9--0.436458000000068</f>
        <v>1294.3783859999999</v>
      </c>
      <c r="G21" s="3">
        <f>1024.6+(1176.7-544.2)+(0+(0-0))+0-431.1-0</f>
        <v>1226</v>
      </c>
      <c r="H21" s="3">
        <f>968+(984.2-415.5)+(-1.97472+(-2.007768--0.84762))+0-440.5--0.898619999999981</f>
        <v>1093.9637519999999</v>
      </c>
      <c r="I21" s="3">
        <f>964.7+(1017.7-472.2)+(-1.967988+(-2.076108--0.963288))+0-433.5--0.884339999999981</f>
        <v>1074.5035320000002</v>
      </c>
      <c r="J21" s="3">
        <f>963.9+(1046-493.6)+(-1.474767+(-1.60038--0.755208))+0-433--0.662490000000025</f>
        <v>1081.6425509999999</v>
      </c>
      <c r="K21" s="3">
        <f>961.5+(1033.8-475.9)+(-1.471095+(-1.581714--0.728127))+0-434.8--0.665244000000025</f>
        <v>1082.9405620000002</v>
      </c>
      <c r="L21" s="3">
        <f>952.9+(902.6-365.8)+(-0.485979+(-0.460326--0.186558))+0-405.3--0.206702999999959</f>
        <v>1083.8469559999999</v>
      </c>
      <c r="M21" s="3">
        <f>953.9+(795.3-276.4)+(0+(0-0))+0-403.5-0</f>
        <v>1069.3</v>
      </c>
      <c r="N21" s="3">
        <f>947.4+(867.6-252.4)+(-0.483174+(-0.442476--0.128724))+0-396.9--0.20241899999996</f>
        <v>1165.1054929999998</v>
      </c>
      <c r="O21" s="3">
        <f>1070.9+(888-252.9)+(-1.092318+(-0.90576--0.257958))+0-435.9--0.444618000000069</f>
        <v>1268.804498</v>
      </c>
      <c r="P21" s="3">
        <f>1193.6+(1099.1-500.6)+(-0.608736+(-0.560541--0.255306))+0-438.2--0.223481999999956</f>
        <v>1353.2095109999998</v>
      </c>
      <c r="Q21" s="3">
        <f>1290.4+(1110.9-561.5)+(0+(0-0))+0-434.8-0</f>
        <v>1405.0000000000002</v>
      </c>
      <c r="R21" s="3">
        <f>1325.9+(1053-548.8)+(0+(0-0))+0-421.9-0</f>
        <v>1408.2000000000003</v>
      </c>
      <c r="S21" s="3">
        <f>1325.3+(870.6-458.3)+(-1.351806+(-0.888012--0.467466))+0-427.4--0.435948000000068</f>
        <v>1308.8635959999999</v>
      </c>
      <c r="T21" s="3">
        <f>1324.9+(843.6-416.6)+(0+(0-0))+0-434-0</f>
        <v>1317.9</v>
      </c>
      <c r="U21" s="3">
        <f>1326.1+(784.9-353.4)+(0+(0-0))+0-436.3-0</f>
        <v>1321.3</v>
      </c>
      <c r="V21" s="3">
        <f>1327.5+(774-340.7)+(-2.031075+(-1.18422--0.521271))+0-382.6--0.585378000000022</f>
        <v>1376.0913539999999</v>
      </c>
      <c r="W21" s="3">
        <f>1340.1+(667.1-256)+(-2.050353+(-1.020663--0.39168))+0-394.7--0.603891000000023</f>
        <v>1354.4245549999998</v>
      </c>
      <c r="X21" s="3">
        <f>1338.6+(610.2-204.8)+(-2.730744+(-1.244808--0.417792))+0-436--0.889439999999981</f>
        <v>1305.33168</v>
      </c>
      <c r="Y21" s="3">
        <f>1354.7+(692.5-273.2)+(0+(0-0))+0-382.5-0</f>
        <v>1391.5</v>
      </c>
      <c r="Z21" s="3">
        <f>1358.2+(1640.9-1054.6)+(-2.770728+(-3.347436--2.151384))+0-383.9--0.783155999999983</f>
        <v>1557.4163760000001</v>
      </c>
      <c r="AA21" s="3">
        <f>1358.3+(1361.9-795.9)+(-2.078199+(-2.083707--1.217727))+0-381.8--0.584154000000022</f>
        <v>1540.1399750000003</v>
      </c>
      <c r="AB21" s="3">
        <f>1359.2+(955.5-479.1)+(-2.079576+(-1.461915--0.733023))+0-425--0.650250000000025</f>
        <v>1408.4417819999999</v>
      </c>
      <c r="AC21" s="3">
        <f>1358+(721.6-264.4)+(-2.07774+(-1.104048--0.404532))+0-428--0.654840000000025</f>
        <v>1385.0775839999999</v>
      </c>
      <c r="AD21">
        <v>1562.4</v>
      </c>
      <c r="AE21" s="3">
        <f>1359+(1683.5-1097.6)+(0+(0-0))+0-382.5-0</f>
        <v>1562.4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1316.1+(915.3-571.1)+(-1.342422+(-0.933606--0.582522))+0-434.3--0.442986000000069</f>
        <v>1224.7494799999997</v>
      </c>
      <c r="G22" s="3">
        <f>1129+(1265.6-805.8)+(0+(0-0))+0-436.1-0</f>
        <v>1152.6999999999998</v>
      </c>
      <c r="H22" s="3">
        <f>983.1+(1490.2-902.9)+(-1.504143+(-2.280006--1.381437))+0-435.8--0.666774000000025</f>
        <v>1132.8640620000001</v>
      </c>
      <c r="I22" s="3">
        <f>982.5+(1413.8-812.9)+(-1.00215+(-1.442076--0.829158))+0-432.4--0.441048000000069</f>
        <v>1149.8259800000001</v>
      </c>
      <c r="J22" s="3">
        <f>984.1+(1209.6-608.7)+(0.501891+(0.616896-0.310437))+0-421.3-0.214862999999957</f>
        <v>1164.2934870000001</v>
      </c>
      <c r="K22" s="3">
        <f>983.6+(1018.1-423.3)+(-1.003272+(-1.038462--0.431766))+0-430.9--0.439518000000069</f>
        <v>1146.3295500000004</v>
      </c>
      <c r="L22" s="3">
        <f>975+(794.2-280)+(-1.49175+(-1.215126--0.4284))+0-433.8--0.663714000000025</f>
        <v>1053.7852380000002</v>
      </c>
      <c r="M22" s="3">
        <f>965.3+(739.7-157.4)+(0+(0-0))+0-437.3-0</f>
        <v>1110.3</v>
      </c>
      <c r="N22" s="3">
        <f>973.2+(806.5-128.5)+(1.985328+(1.64526-0.26214))+0-432.8-0.882911999999981</f>
        <v>1220.885536</v>
      </c>
      <c r="O22" s="3">
        <f>1030.9+(917.6-289.6)+(0.525759+(0.467976-0.147696))+0-432.4-0.220523999999956</f>
        <v>1227.125515</v>
      </c>
      <c r="P22" s="3">
        <f>1312.2+(1035.3-512.3)+(0+(0-0))+0-421.2-0</f>
        <v>1414</v>
      </c>
      <c r="Q22" s="3">
        <f>1333.1+(1077-621.5)+(0+(0-0))+0-419.6-0</f>
        <v>1369</v>
      </c>
      <c r="R22" s="3">
        <f>1353.8+(1008.4-455.6)+(-2.761752+(-2.057136--0.929424))+0-425.8--0.868631999999981</f>
        <v>1477.7791679999998</v>
      </c>
      <c r="S22" s="3">
        <f>1354.2+(756.1-302.8)+(-1.381284+(-0.771222--0.308856))+0-422.3--0.430746000000067</f>
        <v>1383.787096</v>
      </c>
      <c r="T22" s="3">
        <f>1354.2+(748.4-265)+(0+(0-0))+0-384.5-0</f>
        <v>1453.1</v>
      </c>
      <c r="U22" s="3">
        <f>1354.1+(728.7-229.2)+(-1.381182+(-0.743274--0.233784))+0-405.8--0.413916000000065</f>
        <v>1446.3232439999999</v>
      </c>
      <c r="V22" s="3">
        <f>1354+(656.6-206.6)+(-1.38108+(-0.669732--0.210732))+0-373.3--0.38076600000006</f>
        <v>1429.2406860000001</v>
      </c>
      <c r="W22" s="3">
        <f>1354.2+(682.3-229.1)+(0+(0-0))+0-374.6-0</f>
        <v>1432.8000000000002</v>
      </c>
      <c r="X22" s="3">
        <f>1353.5+(487.5-260.7)+(-0.690285+(-0.248625--0.132957))+0-425.9--0.217208999999957</f>
        <v>1153.811256</v>
      </c>
      <c r="Y22" s="3">
        <f>1367.4+(587.5-402.7)+(-0.697374+(-0.299625--0.205377))+0-358.5--0.182834999999964</f>
        <v>1193.0912130000002</v>
      </c>
      <c r="Z22" s="3">
        <f>1371.7+(1227.2-665.2)+(-2.798268+(-2.503488--1.357008))+0-358.7--0.731747999999984</f>
        <v>1571.787</v>
      </c>
      <c r="AA22" s="3">
        <f>1372.8+(1155.5-523.3)+(-2.800512+(-2.35722--1.067532))+0-355.4--0.725015999999984</f>
        <v>1646.2348159999999</v>
      </c>
      <c r="AB22" s="3">
        <f>1332+(905-406.3)+(-2.03796+(-1.38465--0.621639))+0-398.4--0.609552000000023</f>
        <v>1430.1085810000002</v>
      </c>
      <c r="AC22" s="3">
        <f>1189.4+(962.4-198.2)+(-2.426376+(-1.963296--0.404328))+0-356.4--0.727055999999984</f>
        <v>1593.9417120000001</v>
      </c>
      <c r="AD22">
        <v>1608.7</v>
      </c>
      <c r="AE22" s="3">
        <f>1369+(1322.4-726.7)+(0+(0-0))+0-356-0</f>
        <v>1608.7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1181.1+(1141.4-512.6)+(-1.807083+(-1.746342--0.784278))+0-399.5--0.611235000000023</f>
        <v>1408.2420880000002</v>
      </c>
      <c r="G23" s="3">
        <f>1171.4+(1665.9-1154.6)+(-2.98707+(-4.248045--2.94423))+0-400--1.01999999999994</f>
        <v>1279.4291150000004</v>
      </c>
      <c r="H23" s="3">
        <f>1027.7+(1695.1-1123)+(-0.524127+(-0.864501--0.57273))+0-400.3--0.204152999999959</f>
        <v>1198.8882549999998</v>
      </c>
      <c r="I23" s="3">
        <f>954.6+(1645.9-1089)+(-1.947384+(-3.357636--2.22156))+0-415.8--0.848231999999982</f>
        <v>1093.464772</v>
      </c>
      <c r="J23" s="3">
        <f>938.3+(1593.2-982.2)+(-1.914132+(-3.250128--2.003688))+0-415.7--0.848027999999982</f>
        <v>1131.2874559999998</v>
      </c>
      <c r="K23" s="3">
        <f>938.7+(1520.1-913.7)+(0.478737+(0.775251-0.465987))+0-412.5-0.210374999999958</f>
        <v>1133.1776259999999</v>
      </c>
      <c r="L23" s="3">
        <f>928.8+(1332.9-762.7)+(-1.894752+(-2.719116--1.555908))+0-436.2--0.889847999999981</f>
        <v>1060.6318879999999</v>
      </c>
      <c r="M23" s="3">
        <f>951.8+(1121.3-600)+(-0.970836+(-1.143726--0.612))+0-440.2--0.44900400000007</f>
        <v>1031.846442</v>
      </c>
      <c r="N23" s="3">
        <f>1058+(903.6-297)+(0+(0-0))+0-447.7-0</f>
        <v>1216.8999999999999</v>
      </c>
      <c r="O23" s="3">
        <f>1174.7+(768.8-233.2)+(0.599097+(0.392088-0.118932))+0-430.8-0.219707999999956</f>
        <v>1280.1525450000001</v>
      </c>
      <c r="P23" s="3">
        <f>1328.7+(748.4-278.7)+(0.677637+(0.381684-0.142137))+0-436.9-0.222818999999956</f>
        <v>1362.1943650000001</v>
      </c>
      <c r="Q23" s="3">
        <f>1344.8+(836.1-376.3)+(-0.685848+(-0.426411--0.191913))+0-439.1--0.223940999999955</f>
        <v>1364.8035949999996</v>
      </c>
      <c r="R23" s="3">
        <f>1348.1+(870.3-341.2)+(-0.687531+(-0.443853--0.174012))+0-447.9--0.228428999999955</f>
        <v>1428.5710569999999</v>
      </c>
      <c r="S23" s="3">
        <f>1342.1+(804.4-294.4)+(-3.422355+(-2.05122--0.75072))+0-439.3--1.12021499999994</f>
        <v>1409.1973599999999</v>
      </c>
      <c r="T23" s="3">
        <f>1345.5+(744.8-299.9)+(-1.37241+(-0.759696--0.305898))+0-402.9--0.410958000000064</f>
        <v>1386.0847500000002</v>
      </c>
      <c r="U23" s="3">
        <f>1366.4+(759.8-294.6)+(-1.393728+(-0.774996--0.300492))+0-439.5--0.44829000000007</f>
        <v>1390.6800579999999</v>
      </c>
      <c r="V23" s="3">
        <f>1365.5+(785-284)+(0+(0-0))+0-427.8-0</f>
        <v>1438.7</v>
      </c>
      <c r="W23" s="3">
        <f>1363.5+(799.6-293.7)+(-3.476925+(-2.03898--0.748935))+0-421.1--1.07380499999994</f>
        <v>1444.606835</v>
      </c>
      <c r="X23" s="3">
        <f>1365.1+(763.2-286.6)+(-2.784804+(-1.556928--0.584664))+0-435.1--0.887603999999981</f>
        <v>1403.730536</v>
      </c>
      <c r="Y23" s="3">
        <f>1366.4+(662.2-325.3)+(0.696864+(0.337722-0.165903))+0-389.2-0.198491999999961</f>
        <v>1314.7701910000001</v>
      </c>
      <c r="Z23" s="3">
        <f>1365.7+(983.7-449.4)+(-2.089521+(-1.505061--0.687582))+0-380.8--0.582624000000022</f>
        <v>1516.8756240000002</v>
      </c>
      <c r="AA23" s="3">
        <f>1365.5+(936.6-306.6)+(-3.482025+(-2.38833--0.78183))+0-390.2--0.995009999999943</f>
        <v>1601.2064849999999</v>
      </c>
      <c r="AB23" s="3">
        <f>1363.8+(782.3-276.2)+(-3.47769+(-1.994865--0.70431))+0-429.1--1.09420499999994</f>
        <v>1437.1259599999998</v>
      </c>
      <c r="AC23" s="3">
        <f>1359.7+(1121-672.5)+(-1.386894+(-1.14342--0.68595))+0-438.5--0.44727000000007</f>
        <v>1368.3029060000001</v>
      </c>
      <c r="AD23">
        <v>1582</v>
      </c>
      <c r="AE23" s="3">
        <f>1364+(1040.9-437.3)+(0+(0-0))+0-385.6-0</f>
        <v>1582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1134.3+(1254.7-826.5)+(0+(0-0))+0-436.7-0</f>
        <v>1125.8</v>
      </c>
      <c r="G24" s="3">
        <f>1108+(1328.7-829.1)+(1.13016+(1.355274-0.845682))+0-426.6-0.435132000000068</f>
        <v>1182.20462</v>
      </c>
      <c r="H24" s="3">
        <f>1106.9+(1654.8-1042.9)+(-1.693557+(-2.531844--1.595637))+0-442.6--0.677178000000026</f>
        <v>1274.2474139999999</v>
      </c>
      <c r="I24" s="3">
        <f>1004.2+(1610-1141.9)+(-1.024284+(-1.6422--1.164738))+0-431.3--0.439926000000069</f>
        <v>1039.9381800000001</v>
      </c>
      <c r="J24" s="3">
        <f>983.5+(1515.8-1015)+(-2.00634+(-3.092232--2.0706))+0-443.9--0.905555999999981</f>
        <v>1038.2775839999997</v>
      </c>
      <c r="K24" s="3">
        <f>983.4+(1450.5-956.9)+(0+(0-0))+0-444.8-0</f>
        <v>1032.2</v>
      </c>
      <c r="L24" s="3">
        <f>964.6+(1213.8-735.5)+(-0.491946+(-0.619038--0.375105))+0-436.5--0.222614999999956</f>
        <v>1005.8867359999999</v>
      </c>
      <c r="M24" s="3">
        <f>976.3+(1195.2-620.3)+(0+(0-0))+0-439.1-0</f>
        <v>1112.0999999999999</v>
      </c>
      <c r="N24" s="3">
        <f>1045.5+(1048.2-451.7)+(-0.533205+(-0.534582--0.230367))+0-406.9--0.207518999999959</f>
        <v>1234.4700990000001</v>
      </c>
      <c r="O24" s="3">
        <f>1202.4+(849.4-388.7)+(-0.613224+(-0.433194--0.198237))+0-411.1--0.209660999999958</f>
        <v>1251.36148</v>
      </c>
      <c r="P24" s="3">
        <f>1196.8+(903.2-332.8)+(-1.220736+(-0.921264--0.339456))+0-409.3--0.417486000000065</f>
        <v>1356.5149420000002</v>
      </c>
      <c r="Q24" s="3">
        <f>1205.9+(830-292.3)+(-1.230018+(-0.8466--0.298146))+0-408.7--0.416874000000065</f>
        <v>1333.5384020000001</v>
      </c>
      <c r="R24" s="3">
        <f>1218.7+(855.1-270.3)+(-1.243074+(-0.872202--0.275706))+0-379.1--0.38668200000006</f>
        <v>1422.9471120000001</v>
      </c>
      <c r="S24" s="3">
        <f>1218.3+(830.2-225.8)+(-1.242666+(-0.846804--0.230316))+0-418.8--0.427176000000067</f>
        <v>1402.4680220000002</v>
      </c>
      <c r="T24" s="3">
        <f>1219.3+(831.3-299.7)+(0+(0-0))+0-403.8-0</f>
        <v>1347.1</v>
      </c>
      <c r="U24" s="3">
        <f>1217.7+(801.3-306.7)+(-1.242054+(-0.817326--0.312834))+0-376.2--0.38372400000006</f>
        <v>1334.7371779999999</v>
      </c>
      <c r="V24" s="3">
        <f>1220.6+(795.9-277.8)+(1.867518+(1.217727-0.425034))+0-415.9-0.636327000000024</f>
        <v>1324.8238839999997</v>
      </c>
      <c r="W24" s="3">
        <f>1208.2+(772.4-265.5)+(-2.464728+(-1.575696--0.54162))+0-423.9--0.864755999999981</f>
        <v>1288.5659519999999</v>
      </c>
      <c r="X24" s="3">
        <f>1217.4+(744.2-236)+(0.620874+(0.379542-0.12036))+0-422.4-0.215423999999957</f>
        <v>1303.8646320000003</v>
      </c>
      <c r="Y24" s="3">
        <f>1236.2+(743.7-314.8)+(0.630462+(0.379287-0.160548))+0-371.1-0.189260999999962</f>
        <v>1294.65994</v>
      </c>
      <c r="Z24" s="3">
        <f>1274.7+(1091.6-436.3)+(-2.600388+(-2.226864--0.890052))+0-372.1--0.759083999999984</f>
        <v>1554.7218839999998</v>
      </c>
      <c r="AA24" s="3">
        <f>1354.6+(1047.6-414.2)+(-4.145076+(-3.205656--1.267452))+0-326.9--1.00031400000004</f>
        <v>1656.0170339999997</v>
      </c>
      <c r="AB24" s="3">
        <f>1357.1+(886.5-387.5)+(-2.768484+(-1.80846--0.7905))+0-367.8--0.750311999999984</f>
        <v>1485.2638679999998</v>
      </c>
      <c r="AC24" s="3">
        <f>1323.9+(805.8-328.4)+(-2.700756+(-1.643832--0.669936))+0-370.1--0.755003999999984</f>
        <v>1428.280352</v>
      </c>
      <c r="AD24">
        <v>1546.1</v>
      </c>
      <c r="AE24" s="3">
        <f>1273+(1069.7-422.8)+(0+(0-0))+0-373.8-0</f>
        <v>1546.1000000000001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1083+(895.4-442)+(-0.55233+(-0.456654--0.22542))+0-370.5--0.188954999999962</f>
        <v>1165.3053909999999</v>
      </c>
      <c r="G25" s="3">
        <f>950.6+(1304.5-569)+(-1.939224+(-2.66118--1.16076))+0-367.4--0.749495999999984</f>
        <v>1316.0098519999997</v>
      </c>
      <c r="H25" s="3">
        <f>934.6+(1502.7-800)+(-0.953292+(-1.532754--0.816))+0-368.3--0.375666000000059</f>
        <v>1267.7056200000004</v>
      </c>
      <c r="I25" s="3">
        <f>935.6+(1595.7-941.6)+(0.477156+(0.813807-0.480216))+0-369.5-0.188444999999963</f>
        <v>1220.822302</v>
      </c>
      <c r="J25" s="3">
        <f>935.5+(1588.8-975.7)+(0.95421+(1.620576-0.995214))+0-370.1-0.377502000000059</f>
        <v>1179.70207</v>
      </c>
      <c r="K25" s="3">
        <f>934.4+(1587.3-951.5)+(-0.476544+(-0.809523--0.485265))+0-369.2--0.188291999999963</f>
        <v>1200.3874899999998</v>
      </c>
      <c r="L25" s="3">
        <f>915.8+(1395.8-812)+(-1.401174+(-2.135574--1.24236))+0-368.3--0.563499000000021</f>
        <v>1129.569111</v>
      </c>
      <c r="M25" s="3">
        <f>929.4+(1347.9-764.9)+(0+(0-0))+0-375.8-0</f>
        <v>1136.6000000000001</v>
      </c>
      <c r="N25" s="3">
        <f>990.1+(1267.2-676.7)+(0+(0-0))+0-380.1-0</f>
        <v>1200.5</v>
      </c>
      <c r="O25" s="3">
        <f>1161.1+(1168.1-666.2)+(-0.592161+(-0.595731--0.339762))+0-383.8--0.195737999999961</f>
        <v>1278.5476079999996</v>
      </c>
      <c r="P25" s="3">
        <f>1304.7+(1082.1-665)+(1.996191+(1.655613-1.01745))+0-380.1-0.581553000000022</f>
        <v>1343.7528010000001</v>
      </c>
      <c r="Q25" s="3">
        <f>1332.3+(1067.9-656.5)+(-4.076838+(-3.267774--2.00889))+0-370.2--1.13281200000004</f>
        <v>1369.29709</v>
      </c>
      <c r="R25" s="3">
        <f>1332.6+(1061.2-535.4)+(-3.39813+(-2.70606--1.36527))+0-363.6--0.927179999999947</f>
        <v>1490.9882599999999</v>
      </c>
      <c r="S25" s="3">
        <f>1195.5+(950.3-316.7)+(-0.609705+(-0.484653--0.161517))+0-362.8--0.185027999999963</f>
        <v>1465.5521869999998</v>
      </c>
      <c r="T25" s="3">
        <f>1166.6+(1022-459.3)+(0.594966+(0.52122-0.234243))+0-343.1-0.174980999999965</f>
        <v>1386.9069620000002</v>
      </c>
      <c r="U25" s="3">
        <f>1165.4+(1095.8-578.3)+(-0.594354+(-0.558858--0.294933))+0-352.3--0.179672999999964</f>
        <v>1329.921394</v>
      </c>
      <c r="V25" s="3">
        <f>1164.1+(1159.6-574.3)+(-2.374764+(-2.365584--1.171572))+0-365.1--0.744803999999984</f>
        <v>1381.4760279999996</v>
      </c>
      <c r="W25" s="3">
        <f>1163.5+(1242-635.2)+(-1.780155+(-1.90026--0.971856))+0-369.5--0.565335000000021</f>
        <v>1398.656776</v>
      </c>
      <c r="X25" s="3">
        <f>1199.4+(1222.8-660.4)+(-1.223388+(-1.247256--0.673608))+0-374.2--0.38168400000006</f>
        <v>1386.1846480000002</v>
      </c>
      <c r="Y25" s="3">
        <f>1267.5+(1142.3-651.3)+(-2.5857+(-2.330292--1.328652))+0-382.8--0.780911999999983</f>
        <v>1372.8935719999999</v>
      </c>
      <c r="Z25" s="3">
        <f>1367.8+(1364.9-728.6)+(-3.48789+(-3.480495--1.85793))+0-391--0.997049999999943</f>
        <v>1608.9865949999999</v>
      </c>
      <c r="AA25" s="3">
        <f>1368+(1318.2-698.3)+(-2.09304+(-2.016846--1.068399))+0-374.1--0.572373000000022</f>
        <v>1611.3308860000002</v>
      </c>
      <c r="AB25" s="3">
        <f>1369.6+(1289.2-774.3)+(-1.396992+(-1.314984--0.789786))+0-380.6--0.388212000000061</f>
        <v>1502.3660219999999</v>
      </c>
      <c r="AC25" s="3">
        <f>1368.7+(1234.8-753)+(-0.698037+(-0.629748--0.38403))+0-393.6--0.20073599999996</f>
        <v>1456.1569809999999</v>
      </c>
      <c r="AD25">
        <v>1564.4</v>
      </c>
      <c r="AE25" s="3">
        <f>1363+(1385.8-791.9)+(0+(0-0))+0-392.5-0</f>
        <v>1564.4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1319+(1273.2-802.3)+(-0.67269+(-0.649332--0.409173))+0-394.5--0.20119499999996</f>
        <v>1394.6883459999999</v>
      </c>
      <c r="G26" s="3">
        <f>1199.5+(1234.2-759)+(-1.22349+(-1.258884--0.77418))+0-395.9--0.403818000000063</f>
        <v>1277.4956239999999</v>
      </c>
      <c r="H26" s="3">
        <f>1062.4+(1261.1-735.4)+(-1.625472+(-1.929483--1.125162))+0-395.8--0.605574000000023</f>
        <v>1190.4757809999999</v>
      </c>
      <c r="I26" s="3">
        <f>985.2+(1183.5-673.2)+(0+(0-0))+0-394.9-0</f>
        <v>1100.5999999999999</v>
      </c>
      <c r="J26" s="3">
        <f>984.9+(1155.3-665.3)+(0+(0-0))+0-395.5-0</f>
        <v>1079.4000000000001</v>
      </c>
      <c r="K26" s="3">
        <f>983.1+(1184.6-642.1)+(-1.002762+(-1.208292--0.654942))+0-397.7--0.405654000000063</f>
        <v>1126.749542</v>
      </c>
      <c r="L26" s="3">
        <f>973.9+(1224.4-720.7)+(-3.973512+(-4.995552--2.940456))+0-396--1.61567999999997</f>
        <v>1077.1870719999997</v>
      </c>
      <c r="M26" s="3">
        <f>971.4+(1077.8-635.3)+(-0.990828+(-1.099356--0.648006))+0-396.9--0.404838000000063</f>
        <v>1015.9626600000001</v>
      </c>
      <c r="N26" s="3">
        <f>979.5+(1140.1-549.1)+(1.99818+(2.325804-1.120164))+0-423.2-0.863327999999982</f>
        <v>1149.640492</v>
      </c>
      <c r="O26" s="3">
        <f>976.7+(1223.4-580.2)+(-1.494351+(-1.871802--0.887706))+0-428.5--0.655605000000025</f>
        <v>1189.5771580000001</v>
      </c>
      <c r="P26" s="3">
        <f>972.3+(1292.5-549.4)+(0.991746+(1.31835-0.560388))+0-426.9-0.435438000000068</f>
        <v>1289.8142700000003</v>
      </c>
      <c r="Q26" s="3">
        <f>976.3+(1337.8-541.2)+(-1.493739+(-2.046834--0.828036))+0-427.9--0.654687000000025</f>
        <v>1342.9421499999996</v>
      </c>
      <c r="R26" s="3">
        <f>973.3+(1337.1-553)+(-3.474681+(-4.773447--1.97421))+0-431.5--1.54045500000001</f>
        <v>1321.1665369999998</v>
      </c>
      <c r="S26" s="3">
        <f>978.2+(1294.5-570.5)+(0+(0-0))+0-420.9-0</f>
        <v>1281.3000000000002</v>
      </c>
      <c r="T26" s="3">
        <f>976.4+(1198.1-536.7)+(-0.995928+(-1.222062--0.547434))+0-418.9--0.427278000000067</f>
        <v>1217.6567219999997</v>
      </c>
      <c r="U26" s="3">
        <f>976.3+(1168-530.1)+(-0.497913+(-0.59568--0.270351))+0-416.9--0.212618999999958</f>
        <v>1196.6893769999997</v>
      </c>
      <c r="V26" s="3">
        <f>975.6+(1195.8-521.5)+(-1.990224+(-2.439432--1.06386))+0-424.7--0.866387999999981</f>
        <v>1222.7005919999999</v>
      </c>
      <c r="W26" s="3">
        <f>1006.3+(1233.8-552.4)+(-0.513213+(-0.629238--0.281724))+0-432.3--0.220472999999956</f>
        <v>1254.7597459999997</v>
      </c>
      <c r="X26" s="3">
        <f>1010.5+(1179.1-528.2)+(0.515355+(0.601341-0.269382))+0-427.9-0.218228999999957</f>
        <v>1234.129085</v>
      </c>
      <c r="Y26" s="3">
        <f>1195.9+(978.5-418.2)+(-2.439636+(-1.99614--0.853128))+0-429.1--0.875363999999981</f>
        <v>1324.3927159999998</v>
      </c>
      <c r="Z26" s="3">
        <f>1307.6+(974.8-407.2)+(-0.666876+(-0.497148--0.207672))+0-432.1--0.220370999999956</f>
        <v>1442.3640189999996</v>
      </c>
      <c r="AA26" s="3">
        <f>1304.9+(1024.4-469.5)+(-2.661996+(-2.089776--0.95778))+0-427.9--0.872915999999981</f>
        <v>1428.9789240000002</v>
      </c>
      <c r="AB26" s="3">
        <f>1307+(1027-545.4)+(-1.33314+(-1.04754--0.556308))+0-426.5--0.435030000000068</f>
        <v>1360.710658</v>
      </c>
      <c r="AC26" s="3">
        <f>1303.7+(983.9-447.8)+(-2.659548+(-2.007156--0.913512))+0-427.8--0.872711999999981</f>
        <v>1409.1195200000002</v>
      </c>
      <c r="AD26">
        <v>1504.2</v>
      </c>
      <c r="AE26" s="3">
        <f>1303+(1050-418.3)+(0+(0-0))+0-430.5-0</f>
        <v>1504.2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1270.7+(921.3-399)+(0+(0-0))+0-426.8-0</f>
        <v>1366.2</v>
      </c>
      <c r="G27" s="3">
        <f>1117.7+(1003-367.4)+(-2.850135+(-2.55765--0.93687))+0-431.5--1.10032499999994</f>
        <v>1318.42941</v>
      </c>
      <c r="H27" s="3">
        <f>987.4+(1149.8-455.7)+(-0.503574+(-0.586398--0.232407))+0-431.9--0.220268999999956</f>
        <v>1248.962704</v>
      </c>
      <c r="I27" s="3">
        <f>983.3+(1315.5-641.2)+(0.501483+(0.670905-0.327012))+0-423.4-0.215933999999957</f>
        <v>1234.829442</v>
      </c>
      <c r="J27" s="3">
        <f>982+(1326.1-765.8)+(-0.50082+(-0.676311--0.390558))+0-427.7--0.218126999999957</f>
        <v>1114.0315539999997</v>
      </c>
      <c r="K27" s="3">
        <f>984.4+(1379.3-865.5)+(0.502044+(0.703443-0.441405))+0-426.2-0.217361999999957</f>
        <v>1072.5467199999998</v>
      </c>
      <c r="L27" s="3">
        <f>973.5+(1198.1-669.6)+(-2.482425+(-3.055155--1.70748))+0-426.4--1.08731999999994</f>
        <v>1072.8572200000001</v>
      </c>
      <c r="M27" s="3">
        <f>978.7+(960.9-471.8)+(0.998274+(0.980118-0.481236))+0-419.9-0.428298000000067</f>
        <v>1048.968858</v>
      </c>
      <c r="N27" s="3">
        <f>989.8+(851.2-204.2)+(0+(0-0))+0-396.1-0</f>
        <v>1240.6999999999998</v>
      </c>
      <c r="O27" s="3">
        <f>1103.8+(948.3-260.8)+(0+(0-0))+0-393.5-0</f>
        <v>1397.8</v>
      </c>
      <c r="P27" s="3">
        <f>1183.6+(987.7-297)+(1.207272+(1.007454-0.30294))+0-390.1-0.397902000000062</f>
        <v>1485.7138839999998</v>
      </c>
      <c r="Q27" s="3">
        <f>1222.4+(1000.4-369.4)+(-1.246848+(-1.020408--0.376788))+0-391.8--0.399636000000063</f>
        <v>1460.1091680000002</v>
      </c>
      <c r="R27" s="3">
        <f>1230+(1087.8-439.1)+(-0.6273+(-0.554778--0.223941))+0-386.4--0.197063999999961</f>
        <v>1491.5389269999996</v>
      </c>
      <c r="S27" s="3">
        <f>1341.6+(950.8-455.7)+(0+(0-0))+0-389-0</f>
        <v>1447.6999999999998</v>
      </c>
      <c r="T27" s="3">
        <f>1348.2+(845.6-374)+(-0.687582+(-0.431256--0.19074))+0-369.3--0.188342999999963</f>
        <v>1449.7602450000002</v>
      </c>
      <c r="U27" s="3">
        <f>1346.5+(812.3-315.7)+(-2.060145+(-1.242819--0.483021))+0-367.6--0.562428000000021</f>
        <v>1473.242485</v>
      </c>
      <c r="V27" s="3">
        <f>1336.1+(808.4-342.7)+(-0.681411+(-0.412284--0.174777))+0-384.8--0.196247999999961</f>
        <v>1416.2773299999999</v>
      </c>
      <c r="W27" s="3">
        <f>1335.4+(901.1-390.1)+(-2.724216+(-1.838244--0.795804))+0-394.8--0.805391999999983</f>
        <v>1448.6387360000001</v>
      </c>
      <c r="X27" s="3">
        <f>1336.1+(1062.2-585.8)+(-3.407055+(-2.70861--1.49379))+0-402.5--1.02637499999994</f>
        <v>1406.4044999999999</v>
      </c>
      <c r="Y27" s="3">
        <f>1360.8+(913.1-512.4)+(-0.694008+(-0.465681--0.261324))+0-387.2--0.197471999999961</f>
        <v>1373.599107</v>
      </c>
      <c r="Z27" s="3">
        <f>1359.7+(1033.5-462.5)+(-2.773788+(-2.10834--0.9435))+0-378.1--0.771323999999984</f>
        <v>1549.4326960000001</v>
      </c>
      <c r="AA27" s="3">
        <f>1361.3+(1121.5-514.6)+(-2.082789+(-1.715895--0.787338))+0-376--0.575280000000022</f>
        <v>1589.7639339999998</v>
      </c>
      <c r="AB27" s="3">
        <f>1358.2+(991.8-449.3)+(-3.46341+(-2.52909--1.145715))+0-375.3--0.957014999999946</f>
        <v>1521.5102300000001</v>
      </c>
      <c r="AC27" s="3">
        <f>1333.3+(884.9-368.8)+(-2.719932+(-1.805196--0.752352))+0-404--0.824159999999982</f>
        <v>1442.4513839999997</v>
      </c>
      <c r="AD27">
        <v>1611.5</v>
      </c>
      <c r="AE27" s="3">
        <f>1362+(1127.9-500.3)+(0+(0-0))+0-378.1-0</f>
        <v>1611.5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1337.5+(1000.1-537.2)+(-2.046375+(-1.530153--0.821916))+0-410.7--0.628371000000024</f>
        <v>1387.5737590000001</v>
      </c>
      <c r="G28" s="3">
        <f>1146.6+(1425.8-872.8)+(-1.169532+(-1.454316--0.890256))+0-410.5--0.418710000000065</f>
        <v>1287.785118</v>
      </c>
      <c r="H28" s="3">
        <f>983.1+(1403.6-748)+(-2.005524+(-2.863344--1.52592))+0-409.3--0.834971999999982</f>
        <v>1226.8920239999998</v>
      </c>
      <c r="I28" s="3">
        <f>983.9+(1342.2-722.3)+(-1.003578+(-1.369044--0.736746))+0-406.1--0.414222000000065</f>
        <v>1196.4783460000001</v>
      </c>
      <c r="J28" s="3">
        <f>980.1+(1266.9-631.9)+(-1.999404+(-2.584476--1.289076))+0-407--0.830279999999982</f>
        <v>1205.6354759999999</v>
      </c>
      <c r="K28" s="3">
        <f>983.1+(1326.1-664.7)+(0+(0-0))+0-408.9-0</f>
        <v>1235.5999999999999</v>
      </c>
      <c r="L28" s="3">
        <f>964.5+(1184.7-570.4)+(-3.443265+(-4.229379--2.036328))+0-410.6--1.46584200000001</f>
        <v>1164.0295260000003</v>
      </c>
      <c r="M28" s="3">
        <f>976.2+(1141.6-495)+(0+(0-0))+0-410.9-0</f>
        <v>1211.9000000000001</v>
      </c>
      <c r="N28" s="3">
        <f>998.6+(1117.1-394.1)+(1.018572+(1.139442-0.401982))+0-397.3-0.405246000000063</f>
        <v>1325.6507859999999</v>
      </c>
      <c r="O28" s="3">
        <f>1183.7+(985.4-363.9)+(-1.207374+(-1.005108--0.371178))+0-403.3--0.411366000000064</f>
        <v>1400.4700620000001</v>
      </c>
      <c r="P28" s="3">
        <f>1335.8+(945.5-417.6)+(0.681258+(0.482205-0.212976))+0-411.9-0.210068999999958</f>
        <v>1452.5404179999998</v>
      </c>
      <c r="Q28" s="3">
        <f>1342.2+(1121-636.2)+(0+(0-0))+0-411.9-0</f>
        <v>1415.1</v>
      </c>
      <c r="R28" s="3">
        <f>1373.9+(1157-564.4)+(-3.503445+(-2.95035--1.43922))+0-403.3--1.02841499999994</f>
        <v>1559.2138400000001</v>
      </c>
      <c r="S28" s="3">
        <f>1279.7+(1018.4-351.5)+(-2.610588+(-2.077536--0.71706))+0-396.7--0.809267999999983</f>
        <v>1546.7382039999998</v>
      </c>
      <c r="T28" s="3">
        <f>1217.8+(936-302.2)+(1.242156+(0.95472-0.308244))+0-409.2-0.417384000000065</f>
        <v>1443.8712479999997</v>
      </c>
      <c r="U28" s="3">
        <f>1175+(1011.7-289.2)+(-2.397+(-2.063868--0.589968))+0-402--0.820079999999982</f>
        <v>1492.4491800000001</v>
      </c>
      <c r="V28" s="3">
        <f>1172.2+(1029-328.4)+(-2.391288+(-2.09916--0.669936))+0-411.8--0.840071999999982</f>
        <v>1458.0195600000002</v>
      </c>
      <c r="W28" s="3">
        <f>1169.6+(1090.3-380.3)+(-3.578976+(-3.336318--1.163718))+0-412.1--1.26102600000005</f>
        <v>1463.00945</v>
      </c>
      <c r="X28" s="3">
        <f>1171.8+(1062.8-387.7)+(-2.390472+(-2.168112--0.790908))+0-406.5--0.829259999999982</f>
        <v>1437.4615839999999</v>
      </c>
      <c r="Y28" s="3">
        <f>1270.2+(973.6-426.2)+(0.647802+(0.496536-0.217362))+0-380.6-0.194105999999961</f>
        <v>1437.7328700000003</v>
      </c>
      <c r="Z28" s="3">
        <f>1361.8+(1174.8-532.6)+(-3.47259+(-2.99574--1.35813))+0-379.2--0.966959999999945</f>
        <v>1620.6567599999998</v>
      </c>
      <c r="AA28" s="3">
        <f>1352.1+(1209.1-538.9)+(-3.447855+(-3.083205--1.374195))+0-379.1--0.966704999999945</f>
        <v>1639.0098399999999</v>
      </c>
      <c r="AB28" s="3">
        <f>1194.8+(1287.5-505.6)+(-4.265436+(-4.596375--1.804992))+0-384.8--1.37373600000001</f>
        <v>1586.216917</v>
      </c>
      <c r="AC28" s="3">
        <f>1189.6+(1253.5-443)+(-3.03348+(-3.196425--1.12965))+0-419.6--1.06997999999994</f>
        <v>1576.4697249999997</v>
      </c>
      <c r="AD28">
        <v>1651</v>
      </c>
      <c r="AE28" s="3">
        <f>1363+(1280.9-614.9)+(0+(0-0))+0-378-0</f>
        <v>1651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1142+(1300.2-616.8)+(-1.74726+(-1.989306--0.943704))+0-422.7--0.646731000000024</f>
        <v>1400.5538690000001</v>
      </c>
      <c r="G29" s="3">
        <f>1001.9+(1230.2-594.5)+(-3.576783+(-4.391814--2.122365))+0-396.5--1.41550500000001</f>
        <v>1236.6692729999997</v>
      </c>
      <c r="H29" s="3">
        <f>984.2+(1574.6-904.4)+(-1.505826+(-2.409138--1.383732))+0-417.8--0.639234000000024</f>
        <v>1234.7080020000001</v>
      </c>
      <c r="I29" s="3">
        <f>983.5+(1594.1-964.2)+(0+(0-0))+0-420.7-0</f>
        <v>1192.6999999999998</v>
      </c>
      <c r="J29" s="3">
        <f>982.6+(1524.6-897.3)+(-2.004504+(-3.110184--1.830492))+0-427.1--0.871283999999981</f>
        <v>1180.3870880000002</v>
      </c>
      <c r="K29" s="3">
        <f>983.2+(1459.3-822.8)+(-1.002864+(-1.488486--0.839256))+0-426.5--0.435030000000068</f>
        <v>1191.9829360000001</v>
      </c>
      <c r="L29" s="3">
        <f>974.6+(1148.6-540.9)+(-1.988184+(-2.343144--1.103436))+0-397.2--0.810287999999983</f>
        <v>1182.6823959999997</v>
      </c>
      <c r="M29" s="3">
        <f>976.4+(1051.9-366.4)+(0.497964+(0.536469-0.186864))+0-419-0.213689999999957</f>
        <v>1243.5338790000001</v>
      </c>
      <c r="N29" s="3">
        <f>976.7+(1189.3-384.7)+(0.498117+(0.606543-0.196197))+0-431.8-0.220217999999956</f>
        <v>1350.1882450000001</v>
      </c>
      <c r="O29" s="3">
        <f>1143.8+(1120.7-375)+(-1.750014+(-1.714671--0.57375))+0-411.6--0.629748000000024</f>
        <v>1475.6388130000003</v>
      </c>
      <c r="P29" s="3">
        <f>1323.5+(980.5-376.3)+(-2.69994+(-2.00022--0.767652))+0-408.8--0.833951999999982</f>
        <v>1515.8014439999999</v>
      </c>
      <c r="Q29" s="3">
        <f>1336.5+(950.6-443.4)+(-0.681615+(-0.484806--0.226134))+0-405.5--0.206804999999959</f>
        <v>1437.4665180000002</v>
      </c>
      <c r="R29" s="3">
        <f>1344+(869.7-388)+(0.68544+(0.443547-0.19788))+0-421-0.214709999999957</f>
        <v>1405.4163970000002</v>
      </c>
      <c r="S29" s="3">
        <f>1344.1+(1008.5-387.3)+(-0.685491+(-0.514335--0.197523))+0-405--0.206549999999959</f>
        <v>1559.5042469999999</v>
      </c>
      <c r="T29" s="3">
        <f>1344.2+(949.7-402.2)+(-1.371084+(-0.968694--0.410244))+0-407.6--0.415752000000065</f>
        <v>1482.5862180000001</v>
      </c>
      <c r="U29" s="3">
        <f>1342.3+(970.6-464)+(-2.053719+(-1.485018--0.70992))+0-417--0.638010000000024</f>
        <v>1429.7091930000001</v>
      </c>
      <c r="V29" s="3">
        <f>1343.7+(905.4-424.5)+(-2.741148+(-1.847016--0.86598))+0-407.7--0.831707999999982</f>
        <v>1414.0095239999998</v>
      </c>
      <c r="W29" s="3">
        <f>1342.9+(939.5-456)+(-1.369758+(-0.95829--0.46512))+0-413--0.421260000000066</f>
        <v>1411.9583320000002</v>
      </c>
      <c r="X29" s="3">
        <f>1343.3+(929.4-496.8)+(-3.425415+(-2.36997--1.26684))+0-402.3--1.02586499999994</f>
        <v>1370.0973199999999</v>
      </c>
      <c r="Y29" s="3">
        <f>1357.9+(951.2-464.7)+(-1.385058+(-0.970224--0.473994))+0-393.4--0.401268000000063</f>
        <v>1449.51998</v>
      </c>
      <c r="Z29" s="3">
        <f>1387.8+(1213.8-627.7)+(-1.415556+(-1.238076--0.640254))+0-379.6--0.387192000000061</f>
        <v>1592.6738139999998</v>
      </c>
      <c r="AA29" s="3">
        <f>1409.4+(1207.6-528.3)+(-2.156382+(-1.847628--0.808299))+0-379.8--0.581094000000022</f>
        <v>1706.2853830000001</v>
      </c>
      <c r="AB29" s="3">
        <f>1409.7+(1156-453.3)+(-3.594735+(-2.9478--1.155915))+0-379.5--0.967724999999945</f>
        <v>1728.4811049999998</v>
      </c>
      <c r="AC29" s="3">
        <f>1349.6+(1231.9-664.1)+(-1.376592+(-1.256538--0.677382))+0-396.1--0.404022000000063</f>
        <v>1519.748274</v>
      </c>
      <c r="AD29">
        <v>1556.2</v>
      </c>
      <c r="AE29" s="3">
        <f>1377+(1198.9-641.2)+(0+(0-0))+0-378.5-0</f>
        <v>1556.2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1108+(1596.2-851.6)+(-2.8254+(-4.07031--2.17158))+0-408.5--1.04167499999994</f>
        <v>1440.4175449999998</v>
      </c>
      <c r="G30" s="3">
        <f>1107.7+(1966.6-1344.9)+(-1.129854+(-2.005932--1.371798))+0-409.6--0.417792000000065</f>
        <v>1318.453804</v>
      </c>
      <c r="H30" s="3">
        <f>1071.3+(1797.5-1235.1)+(-1.092726+(-1.83345--1.259802))+0-414.5--0.422790000000066</f>
        <v>1217.9564160000002</v>
      </c>
      <c r="I30" s="3">
        <f>939.6+(1629.8-976.9)+(-1.916784+(-3.324792--1.992876))+0-420--0.856799999999982</f>
        <v>1170.1080999999999</v>
      </c>
      <c r="J30" s="3">
        <f>932.8+(1382.7-789.3)+(-2.37864+(-3.525885--2.012715))+0-417.5--1.06462499999994</f>
        <v>1105.8728149999999</v>
      </c>
      <c r="K30" s="3">
        <f>933.3+(1316-680.3)+(-0.475983+(-0.67116--0.346953))+0-421.8--0.215117999999957</f>
        <v>1146.614928</v>
      </c>
      <c r="L30" s="3">
        <f>920.5+(1170.1-550.6)+(0+(0-0))+0-417-0</f>
        <v>1123</v>
      </c>
      <c r="M30" s="3">
        <f>926.4+(1100.7-344)+(0+(0-0))+0-422.1-0</f>
        <v>1261</v>
      </c>
      <c r="N30" s="3">
        <f>1009.9+(1162.6-315.2)+(-1.545147+(-1.778778--0.482256))+0-414--0.633420000000024</f>
        <v>1441.0917509999999</v>
      </c>
      <c r="O30" s="3">
        <f>1161.2+(1131-381.3)+(-1.184424+(-1.15362--0.388926))+0-406.9--0.415038000000065</f>
        <v>1502.4659200000001</v>
      </c>
      <c r="P30" s="3">
        <f>1290.7+(1100.6-468.3)+(-0.658257+(-0.561306--0.238833))+0-406.9--0.207518999999959</f>
        <v>1515.3267890000002</v>
      </c>
      <c r="Q30" s="3">
        <f>1328.7+(1074.4-413.4)+(-2.032911+(-1.643832--0.632502))+0-415.9--0.636327000000024</f>
        <v>1571.3920860000001</v>
      </c>
      <c r="R30" s="3">
        <f>1344.3+(1089.4-375.1)+(0.685593+(0.555594-0.191301))+0-430.5-0.219554999999956</f>
        <v>1628.9303309999998</v>
      </c>
      <c r="S30" s="3">
        <f>1341.5+(1050.7-465.8)+(-3.420825+(-2.679285--1.18779))+0-416.7--1.06258499999994</f>
        <v>1505.850265</v>
      </c>
      <c r="T30" s="3">
        <f>1344.6+(1064.6-507.6)+(-0.685746+(-0.542946--0.258876))+0-414.5--0.211394999999958</f>
        <v>1486.3415789999999</v>
      </c>
      <c r="U30" s="3">
        <f>1344.9+(1083-533.9)+(0+(0-0))+0-413.5-0</f>
        <v>1480.5</v>
      </c>
      <c r="V30" s="3">
        <f>1344.9+(1118.8-542.1)+(-2.743596+(-2.282352--1.105884))+0-406.5--0.829259999999982</f>
        <v>1512.009196</v>
      </c>
      <c r="W30" s="3">
        <f>1345.2+(1089.2-586)+(0+(0-0))+0-396.9-0</f>
        <v>1451.5</v>
      </c>
      <c r="X30" s="3">
        <f>1343.2+(1096.5-600.3)+(-3.42516+(-2.796075--1.530765))+0-405--1.03274999999994</f>
        <v>1430.7422799999999</v>
      </c>
      <c r="Y30" s="3">
        <f>1361.9+(1037.8-617.2)+(-0.694569+(-0.529278--0.314772))+0-361.3--0.184262999999963</f>
        <v>1420.4751879999999</v>
      </c>
      <c r="Z30" s="3">
        <f>1366.5+(1013-453.5)+(-1.39383+(-1.03326--0.46257))+0-366.9--0.374238000000058</f>
        <v>1557.509718</v>
      </c>
      <c r="AA30" s="3">
        <f>1364.9+(1037.6-438.4)+(-1.392198+(-1.058352--0.447168))+0-367.9--0.375258000000059</f>
        <v>1594.571876</v>
      </c>
      <c r="AB30" s="3">
        <f>1361.2+(1149.8-540.9)+(-3.47106+(-2.93199--1.379295))+0-376.5--0.960074999999945</f>
        <v>1589.5363199999999</v>
      </c>
      <c r="AC30" s="3">
        <f>1333.9+(1405.5-851.8)+(0+(0-0))+0-417.6-0</f>
        <v>1470</v>
      </c>
      <c r="AD30">
        <v>1583.4</v>
      </c>
      <c r="AE30" s="3">
        <f>1365+(1086.9-499.4)+(0+(0-0))+0-369.1-0</f>
        <v>1583.4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1030.6+(1943.4-1160.8)+(-0.525606+(-0.991134--0.592008))+0-412.6--0.210425999999958</f>
        <v>1399.8856939999998</v>
      </c>
      <c r="G31" s="3">
        <f>855.4+(2127.9-1333.9)+(-2.18127+(-5.426145--3.401445))+0-413.9--1.05544499999994</f>
        <v>1232.349475</v>
      </c>
      <c r="H31" s="3">
        <f>851.7+(2140.6-1415.9)+(-0.434367+(-1.091706--0.722109))+0-411.9--0.210068999999958</f>
        <v>1163.9061049999998</v>
      </c>
      <c r="I31" s="3">
        <f>851.7+(1999.3-1333.6)+(-0.434367+(-1.019643--0.680136))+0-404.3--0.206192999999959</f>
        <v>1112.5323190000001</v>
      </c>
      <c r="J31" s="3">
        <f>851.5+(1495.6-925)+(-0.86853+(-1.525512--0.9435))+0-416.9--0.425238000000066</f>
        <v>1004.1746959999999</v>
      </c>
      <c r="K31" s="3">
        <f>851.7+(1327.1-646.8)+(0+(0-0))+0-412.7-0</f>
        <v>1119.3</v>
      </c>
      <c r="L31" s="3">
        <f>844.7+(1073-413.7)+(-2.153985+(-2.73615--1.054935))+0-416.1--1.06105499999994</f>
        <v>1085.125855</v>
      </c>
      <c r="M31" s="3">
        <f>854.4+(1055.9-244.8)+(-0.871488+(-1.077018--0.249696))+0-417--0.425340000000067</f>
        <v>1247.2265299999999</v>
      </c>
      <c r="N31" s="3">
        <f>971.8+(1105.4-306.5)+(0.991236+(1.127508-0.31263))+0-414.1-0.422382000000066</f>
        <v>1357.9837319999999</v>
      </c>
      <c r="O31" s="3">
        <f>1190.2+(1047.4-361.8)+(-1.214004+(-1.068348--0.369036))+0-411.9--0.420138000000066</f>
        <v>1462.4068220000006</v>
      </c>
      <c r="P31" s="3">
        <f>1321.7+(995.4-330.6)+(-0.674067+(-0.507654--0.168606))+0-412.6--0.210425999999958</f>
        <v>1573.0973109999998</v>
      </c>
      <c r="Q31" s="3">
        <f>1338.5+(1127-478.7)+(-0.682635+(-0.57477--0.244137))+0-403.6--0.205835999999959</f>
        <v>1582.392568</v>
      </c>
      <c r="R31" s="3">
        <f>1400.2+(1261-616.4)+(-2.142306+(-1.92933--0.943092))+0-400.8--0.613224000000023</f>
        <v>1641.4846800000003</v>
      </c>
      <c r="S31" s="3">
        <f>1401.3+(1113.9-653.5)+(0+(0-0))+0-411.1-0</f>
        <v>1450.6</v>
      </c>
      <c r="T31" s="3">
        <f>1391.2+(1188.5-697.5)+(0+(0-0))+0-402.9-0</f>
        <v>1479.3000000000002</v>
      </c>
      <c r="U31" s="3">
        <f>1383.5+(1255.2-747.8)+(-1.41117+(-1.280304--0.762756))+0-406.3--0.414426000000065</f>
        <v>1483.0857080000003</v>
      </c>
      <c r="V31" s="3">
        <f>1381.4+(1388-836.8)+(0+(0-0))+0-406-0</f>
        <v>1526.6000000000001</v>
      </c>
      <c r="W31" s="3">
        <f>1375.7+(1428.4-855.7)+(-4.209642+(-4.370904--2.618442))+0-413.4--1.26500400000005</f>
        <v>1530.3029000000004</v>
      </c>
      <c r="X31" s="3">
        <f>1381+(1386.2-873.6)+(-5.63448+(-5.655696--3.564288))+0-420.9--1.71727199999996</f>
        <v>1466.6913839999997</v>
      </c>
      <c r="Y31" s="3">
        <f>1388+(1095.6-771.5)+(-2.83152+(-2.235024--1.57386))+0-384.7--0.784787999999983</f>
        <v>1324.6921039999997</v>
      </c>
      <c r="Z31" s="3">
        <f>1404+(1031-417.8)+(-5.01228+(-3.68067--1.491546))+0-380.5--1.35838500000001</f>
        <v>1630.8569810000001</v>
      </c>
      <c r="AA31" s="3">
        <f>1405+(824.1-214)+(-1.4331+(-0.840582--0.21828))+0-382--0.389640000000061</f>
        <v>1631.4342380000001</v>
      </c>
      <c r="AB31" s="3">
        <f>1332+(880-263.5)+(-3.3966+(-2.244--0.671925))+0-383.2--0.977159999999944</f>
        <v>1561.3084849999998</v>
      </c>
      <c r="AC31" s="3">
        <f>1224+(974.2-259.8)+(0+(0-0))+0-422.1-0</f>
        <v>1516.3000000000002</v>
      </c>
      <c r="AD31">
        <v>1749.7</v>
      </c>
      <c r="AE31" s="3">
        <f>1412+(1163.3-446.8)+(0+(0-0))+0-378.8-0</f>
        <v>1749.7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1224+(1447.2-763.6)+(0+(0-0))+10.5-418-0</f>
        <v>1500.1</v>
      </c>
      <c r="G32" s="3">
        <f>1049.7+(1769.6-979.1)+(1.070694+(1.804992-0.998682))+0-424.1-0.432582000000068</f>
        <v>1417.5444219999997</v>
      </c>
      <c r="H32" s="3">
        <f>857.7+(1965.2-1042.8)+(-0.874854+(-2.004504--1.063656))+0-429.2--0.437784000000068</f>
        <v>1349.522082</v>
      </c>
      <c r="I32" s="3">
        <f>857.7+(1808.3-1042)+(-1.749708+(-3.688932--2.12568))+0-423.2--0.863327999999982</f>
        <v>1198.3503679999999</v>
      </c>
      <c r="J32" s="3">
        <f>857.8+(1725.2-921.2)+(1.312434+(2.639556-1.409436))+0-417.3-0.638469000000024</f>
        <v>1246.4040850000001</v>
      </c>
      <c r="K32" s="3">
        <f>857.7+(1444.4-683)+(0.437427+(0.736644-0.34833))+0-425-0.216749999999957</f>
        <v>1194.7089910000002</v>
      </c>
      <c r="L32" s="3">
        <f>838.6+(1080.1-379.3)+(-0.855372+(-1.101702--0.386886))+0-418.9--0.427278000000067</f>
        <v>1119.3570900000004</v>
      </c>
      <c r="M32" s="3">
        <f>899.6+(1000.7-270.4)+(0.917592+(1.020714-0.275808))+0-402.3-0.410346000000064</f>
        <v>1228.8521519999999</v>
      </c>
      <c r="N32" s="3">
        <f>1107.9+(866.6-269.9)+(0.565029+(0.441966-0.137649))+0-405.4-0.206753999999959</f>
        <v>1299.8625920000002</v>
      </c>
      <c r="O32" s="3">
        <f>1261.8+(1162.1-667)+(1.287036+(1.185342-0.68034))+0-402.6-0.410652000000064</f>
        <v>1355.6813859999997</v>
      </c>
      <c r="P32" s="3">
        <f>1337.6+(1499.1-899.9)+(0+(0-0))+0-407.5-0</f>
        <v>1529.2999999999997</v>
      </c>
      <c r="Q32" s="3">
        <f>1339.2+(1616.9-944.9)+(2.731968+(3.298476-1.927596))+0-381.4-0.778055999999983</f>
        <v>1633.1247920000003</v>
      </c>
      <c r="R32" s="3">
        <f>1368.3+(1420.6-770)+(0+(0-0))+0-388.2-0</f>
        <v>1630.6999999999998</v>
      </c>
      <c r="S32" s="3">
        <f>1364+(1191-496.1)+(-1.39128+(-1.21482--0.506022))+0-398.4--0.406368000000064</f>
        <v>1658.8062900000002</v>
      </c>
      <c r="T32" s="3">
        <f>1366.2+(986.3-321.9)+(2.090286+(1.509039-0.492507))+0-395.5-0.605115000000023</f>
        <v>1637.6017029999998</v>
      </c>
      <c r="U32" s="3">
        <f>1389+(922.7-282.2)+(-3.54195+(-2.352885--0.71961))+0-405.6--1.03427999999994</f>
        <v>1619.759055</v>
      </c>
      <c r="V32" s="3">
        <f>1412.6+(852-404.4)+(0+(0-0))+0-402.8-0</f>
        <v>1457.3999999999999</v>
      </c>
      <c r="W32" s="3">
        <f>1432+(799-478.9)+(-5.11224+(-2.85243--1.709673))+0-411.8--1.47012600000001</f>
        <v>1335.5151289999999</v>
      </c>
      <c r="X32" s="3">
        <f>1448.1+(773.3-423.6)+(-2.954124+(-1.577532--0.864144))+0-414.6--0.845783999999982</f>
        <v>1380.3782719999999</v>
      </c>
      <c r="Y32" s="3">
        <f>1472.8+(758.2-365.8)+(-1.502256+(-0.773364--0.373116))+0-403--0.411060000000064</f>
        <v>1460.7085560000003</v>
      </c>
      <c r="Z32" s="3">
        <f>1489.9+(938.1-419.3)+(-3.799245+(-2.392155--1.069215))+0-378.4--0.964919999999945</f>
        <v>1626.1427349999999</v>
      </c>
      <c r="AA32" s="3">
        <f>1452.6+(979.3-413.6)+(-5.185782+(-3.496101--1.476552))+0-344.9--1.231293</f>
        <v>1667.425962</v>
      </c>
      <c r="AB32" s="3">
        <f>1167.8+(1108.9-323.3)+(-2.382312+(-2.262156--0.659532))+0-361.7--0.737867999999984</f>
        <v>1588.4529319999999</v>
      </c>
      <c r="AC32" s="3">
        <f>1137.3+(1214.6-367.9)+(-1.160046+(-1.238892--0.375258))+0-396.3--0.404226000000063</f>
        <v>1586.0805460000001</v>
      </c>
      <c r="AD32">
        <v>1636.6999999999998</v>
      </c>
      <c r="AE32" s="3">
        <f>1496+(959.5-437.7)+(0+(0-0))+0-381.1-0</f>
        <v>1636.6999999999998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1138.6+(1587.9-775.9)+(-2.90343+(-4.049145--1.978545))+0-398.3--1.01566499999994</f>
        <v>1548.3416349999998</v>
      </c>
      <c r="G33" s="3">
        <f>1136.4+(1941.9-1225.7)+(-2.89782+(-4.951845--3.125535))+0-411.7--1.04983499999994</f>
        <v>1437.2257050000001</v>
      </c>
      <c r="H33" s="3">
        <f>1137.9+(2118.5-1496.1)+(-1.740987+(-3.241305--2.289033))+0-416.9--0.637857000000024</f>
        <v>1341.3445980000004</v>
      </c>
      <c r="I33" s="3">
        <f>1139.6+(1906.6-1445.4)+(-0.581196+(-0.972366--0.737154))+0-415.4--0.211853999999958</f>
        <v>1184.7954459999999</v>
      </c>
      <c r="J33" s="3">
        <f>1138.5+(1866.9-1349.8)+(-1.16127+(-1.904238--1.376796))+0-423.1--0.431562000000068</f>
        <v>1231.2428500000003</v>
      </c>
      <c r="K33" s="3">
        <f>1138.4+(1872.6-1342.2)+(-1.161168+(-1.910052--1.369044))+0-421.4--0.429828000000067</f>
        <v>1246.1276519999999</v>
      </c>
      <c r="L33" s="3">
        <f>1118.2+(1793.3-1398.6)+(-2.85141+(-4.572915--3.56643))+0-420.9--1.07329499999994</f>
        <v>1089.2153999999998</v>
      </c>
      <c r="M33" s="3">
        <f>1122.1+(1891.3-1320.2)+(0+(0-0))+0-427.6-0</f>
        <v>1265.5999999999999</v>
      </c>
      <c r="N33" s="3">
        <f>1112.7+(1419.9-959.2)+(-1.702431+(-2.172447--1.467576))+0-423.5--0.647955000000024</f>
        <v>1148.1406529999999</v>
      </c>
      <c r="O33" s="3">
        <f>1126.8+(1130.2-656.8)+(-0.574668+(-0.576402--0.334968))+0-422.7--0.215576999999957</f>
        <v>1176.8994749999999</v>
      </c>
      <c r="P33" s="3">
        <f>1130.4+(1071.4-493.1)+(-1.153008+(-1.092828--0.502962))+0-403.8--0.411876000000064</f>
        <v>1303.5690020000004</v>
      </c>
      <c r="Q33" s="3">
        <f>1157.7+(1007.2-400.7)+(0+(0-0))+0-402.9-0</f>
        <v>1361.3000000000002</v>
      </c>
      <c r="R33" s="3">
        <f>1203.4+(975.8-334.9)+(-0.613734+(-0.497658--0.170799))+0-409.3--0.208742999999958</f>
        <v>1434.2681500000001</v>
      </c>
      <c r="S33" s="3">
        <f>1221.8+(1059.4-432.7)+(-2.492472+(-2.161176--0.882708))+0-410.7--0.837827999999982</f>
        <v>1434.8668879999998</v>
      </c>
      <c r="T33" s="3">
        <f>1226.7+(1239.4-649.9)+(-0.625617+(-0.632094--0.331449))+0-404.7--0.206396999999959</f>
        <v>1410.7801350000002</v>
      </c>
      <c r="U33" s="3">
        <f>1226.2+(1287.2-765.7)+(-1.876086+(-1.969416--1.171521))+0-416.2--0.636786000000024</f>
        <v>1329.4628050000001</v>
      </c>
      <c r="V33" s="3">
        <f>1224.2+(1072-643.4)+(-3.12171+(-2.7336--1.64067))+0-412.8--1.05263999999994</f>
        <v>1236.8380000000002</v>
      </c>
      <c r="W33" s="3">
        <f>1246.6+(966-570.8)+(-1.907298+(-1.47798--0.873324))+0-422.3--0.646119000000024</f>
        <v>1217.6341649999999</v>
      </c>
      <c r="X33" s="3">
        <f>1265.3+(769.8-349.2)+(-2.581212+(-1.570392--0.712368))+0-429.5--0.876179999999981</f>
        <v>1253.8369439999999</v>
      </c>
      <c r="Y33" s="3">
        <f>1422.5+(946.3-494.1)+(0+(0-0))+0-428.2-0</f>
        <v>1446.4999999999998</v>
      </c>
      <c r="Z33" s="3">
        <f>1665.5+(1088.5-719.6)+(-3.39762+(-2.22054--1.467984))+0-427.2--0.871487999999981</f>
        <v>1603.9213119999999</v>
      </c>
      <c r="AA33" s="3">
        <f>1671.8+(1030-791.9)+(0+(0-0))+0-418.2-0</f>
        <v>1491.7</v>
      </c>
      <c r="AB33" s="3">
        <f>1652.7+(800.1-667.9)+(-0.842877+(-0.408051--0.340629))+0-407.3--0.207722999999959</f>
        <v>1376.8974240000002</v>
      </c>
      <c r="AC33" s="3">
        <f>1530.6+(873.9-620.5)+(-3.90303+(-2.228445--1.582275))+0-378.5--0.965174999999945</f>
        <v>1401.9159750000001</v>
      </c>
      <c r="AD33">
        <v>1632.9000000000003</v>
      </c>
      <c r="AE33" s="3">
        <f>1674+(1116.8-719.2)+(0+(0-0))+0-438.7-0</f>
        <v>1632.8999999999999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1322+(1346.4-928.5)+(-0.67422+(-0.686664--0.473535))+0-392--0.19991999999996</f>
        <v>1347.212571</v>
      </c>
      <c r="G34" s="3">
        <f>1207.6+(1588.9-1054.6)+(-1.847628+(-2.431017--1.613538))+0-401.6--0.614448000000023</f>
        <v>1338.249341</v>
      </c>
      <c r="H34" s="3">
        <f>1091.9+(1660.7-1128.4)+(-0.556869+(-0.846957--0.575484))+0-404--0.206039999999959</f>
        <v>1219.5776980000001</v>
      </c>
      <c r="I34" s="3">
        <f>1093.9+(1631.6-1138.7)+(-1.115778+(-1.664232--1.161474))+0-420.8--0.429216000000067</f>
        <v>1164.81068</v>
      </c>
      <c r="J34" s="3">
        <f>1091.4+(1521-1007)+(-1.669842+(-2.32713--1.54071))+0-430.2--0.658206000000025</f>
        <v>1173.4019440000002</v>
      </c>
      <c r="K34" s="3">
        <f>1093.5+(1388.8-902.5)+(-0.557685+(-0.708288--0.460275))+0-429.6--0.219095999999956</f>
        <v>1149.6133980000002</v>
      </c>
      <c r="L34" s="3">
        <f>1071.5+(1112.9-671.8)+(-1.639395+(-1.702737--1.027854))+0-426.5--0.652545000000025</f>
        <v>1084.438267</v>
      </c>
      <c r="M34" s="3">
        <f>1113.5+(1013.7-547)+(1.703655+(1.550961-0.83691))+0-427.1-0.653463000000025</f>
        <v>1154.864243</v>
      </c>
      <c r="N34" s="3">
        <f>1273.2+(1055.3-586.4)+(0.649332+(0.538203-0.299064))+0-427.2-0.217871999999957</f>
        <v>1315.5705989999999</v>
      </c>
      <c r="O34" s="3">
        <f>1409.9+(972.6-584.8)+(0+(0-0))+0-424.7-0</f>
        <v>1373.0000000000002</v>
      </c>
      <c r="P34" s="3">
        <f>1614.4+(886.8-595.8)+(-0.823344+(-0.452268--0.303858))+0-423.1--0.215780999999957</f>
        <v>1481.5440269999999</v>
      </c>
      <c r="Q34" s="3">
        <f>1637.4+(912.2-579)+(0.835074+(0.465222-0.29529))+0-431.4-0.220013999999956</f>
        <v>1539.9849920000001</v>
      </c>
      <c r="R34" s="3">
        <f>1636.7+(1082.3-730)+(-0.834717+(-0.551973--0.3723))+0-421.9--0.215168999999957</f>
        <v>1566.3007790000001</v>
      </c>
      <c r="S34" s="3">
        <f>1636.6+(1295.1-1062.7)+(0+(0-0))+0-424.1-0</f>
        <v>1444.8999999999996</v>
      </c>
      <c r="T34" s="3">
        <f>1637.4+(1237.9-1047.6)+(0+(0-0))+0-421.2-0</f>
        <v>1406.5000000000002</v>
      </c>
      <c r="U34" s="3">
        <f>1634.9+(1263-979.1)+(-3.335196+(-2.57652--1.997364))+0-426.6--0.870263999999981</f>
        <v>1489.1559119999999</v>
      </c>
      <c r="V34" s="3">
        <f>1635.9+(1344.5-1049.2)+(-3.337236+(-2.74278--2.140368))+0-439.7--0.896987999999981</f>
        <v>1488.4573399999999</v>
      </c>
      <c r="W34" s="3">
        <f>1635+(1479.3-1186.1)+(-3.3354+(-3.017772--2.419644))+0-442.9--0.903515999999981</f>
        <v>1482.2699880000002</v>
      </c>
      <c r="X34" s="3">
        <f>1656.3+(1571.1-1327.7)+(-2.534139+(-2.403783--2.031381))+0-442--0.676260000000026</f>
        <v>1455.4697189999997</v>
      </c>
      <c r="Y34" s="3">
        <f>1666.8+(1787.5-1664.7)+(0+(0-0))+0-392.1-0</f>
        <v>1397.5</v>
      </c>
      <c r="Z34" s="3">
        <f>1666.4+(1412.7-1118.7)+(-4.24932+(-3.602385--2.852685))+0-387--0.986849999999944</f>
        <v>1569.3878300000001</v>
      </c>
      <c r="AA34" s="3">
        <f>1666+(1520.6-1182.5)+(-4.2483+(-3.87753--3.015375))+0-386.4--0.985319999999944</f>
        <v>1613.5748649999998</v>
      </c>
      <c r="AB34" s="3">
        <f>1668.5+(1789.6-1463.1)+(-1.70187+(-1.825392--1.492362))+0-429.6--0.438192000000069</f>
        <v>1563.8032920000001</v>
      </c>
      <c r="AC34" s="3">
        <f>1668.7+(2292.6-1940.4)+(-1.702074+(-2.338452--1.979208))+0-433.1--0.441762000000069</f>
        <v>1586.1804439999999</v>
      </c>
      <c r="AD34">
        <v>1663.0000000000002</v>
      </c>
      <c r="AE34" s="3">
        <f>1701+(1446.9-1097.6)+(0+(0-0))+0-387.3-0</f>
        <v>1663.0000000000002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1667.8+(2478.8-2334.7)+(-1.701156+(-2.528376--2.381394))+0-432.7--0.441354000000069</f>
        <v>1377.7932160000003</v>
      </c>
      <c r="G35" s="3">
        <f>1357.7+(2423.4-2161.6)+(-1.384854+(-2.471868--2.204832))+0-433--0.441660000000069</f>
        <v>1185.2897700000001</v>
      </c>
      <c r="H35" s="3">
        <f>1240.4+(2421.7-2003.1)+(-1.265208+(-2.470134--2.043162))+0-432.5--0.441150000000069</f>
        <v>1225.2489700000001</v>
      </c>
      <c r="I35" s="3">
        <f>1238.5+(2386.6-1954.9)+(-1.894905+(-3.651498--2.990997))+0-428.2--0.655146000000025</f>
        <v>1240.0997399999999</v>
      </c>
      <c r="J35" s="3">
        <f>1237.1+(2381.5-1986.7)+(-3.154605+(-6.072825--5.066085))+0-428.5--1.09267499999994</f>
        <v>1200.3313299999998</v>
      </c>
      <c r="K35" s="3">
        <f>1238.3+(2318.4-1954.2)+(-3.157665+(-5.91192--4.98321))+0-435.5--1.11052499999994</f>
        <v>1164.02415</v>
      </c>
      <c r="L35" s="3">
        <f>1223+(2021.4-1710.7)+(-3.74238+(-6.185484--5.234742))+0-437.7--1.33936200000005</f>
        <v>1092.64624</v>
      </c>
      <c r="M35" s="3">
        <f>1217.2+(1484.1-1100.3)+(0+(0-0))+0-390.6-0</f>
        <v>1210.4000000000001</v>
      </c>
      <c r="N35" s="3">
        <f>1229.9+(1086.1-662.3)+(0+(0-0))+0-437.9-0</f>
        <v>1215.8000000000002</v>
      </c>
      <c r="O35" s="3">
        <f>1255.1+(965.9-458.5)+(0+(0-0))+0-418.8-0</f>
        <v>1343.7</v>
      </c>
      <c r="P35" s="3">
        <f>1250.5+(915.1-274.9)+(0+(0-0))+0-410.5-0</f>
        <v>1480.2</v>
      </c>
      <c r="Q35" s="3">
        <f>1349.9+(832.4-265.1)+(-2.065347+(-1.273572--0.405603))+0-422--0.645660000000024</f>
        <v>1492.9123440000001</v>
      </c>
      <c r="R35" s="3">
        <f>1468.9+(889.2-332)+(-3.745695+(-2.26746--0.8466))+0-434.6--1.10822999999994</f>
        <v>1587.4416750000003</v>
      </c>
      <c r="S35" s="3">
        <f>1473.5+(1112.8-575.7)+(0.751485+(0.567528-0.293607))+0-426.6-0.217565999999957</f>
        <v>1584.8078399999997</v>
      </c>
      <c r="T35" s="3">
        <f>1473.7+(1156.7-638.8)+(-2.254761+(-1.769751--0.977364))+0-430.4--0.658512000000025</f>
        <v>1558.8113640000001</v>
      </c>
      <c r="U35" s="3">
        <f>1473.2+(1175.1-670.3)+(-3.005328+(-2.397204--1.367412))+0-425.7--0.868427999999981</f>
        <v>1549.1333079999999</v>
      </c>
      <c r="V35" s="3">
        <f>1473.1+(1032.4-616.2)+(-3.756405+(-2.63262--1.57131))+0-426.1--1.08655499999994</f>
        <v>1459.46884</v>
      </c>
      <c r="W35" s="3">
        <f>1472+(873.1-465.6)+(-3.00288+(-1.781124--0.949824))+0-423.6--0.864143999999982</f>
        <v>1452.9299639999997</v>
      </c>
      <c r="X35" s="3">
        <f>1473.5+(562.4-177.7)+(-3.00594+(-1.147296--0.362508))+0-378.3--0.771731999999984</f>
        <v>1476.8810040000001</v>
      </c>
      <c r="Y35" s="3">
        <f>1632.4+(576-314.7)+(-3.330096+(-1.17504--0.641988))+0-384.2--0.783767999999983</f>
        <v>1506.4206200000001</v>
      </c>
      <c r="Z35" s="3">
        <f>1676.7+(848-522.6)+(-2.565351+(-1.29744--0.799578))+0-385.2--0.589356000000022</f>
        <v>1614.4261429999999</v>
      </c>
      <c r="AA35" s="3">
        <f>1652.9+(936-605.7)+(-4.214895+(-2.3868--1.544535))+0-384.3--0.979964999999944</f>
        <v>1594.822805</v>
      </c>
      <c r="AB35" s="3">
        <f>1553.1+(1013.8-470.1)+(-5.544567+(-3.619266--1.678257))+0-383.9--1.37052300000001</f>
        <v>1706.7849469999996</v>
      </c>
      <c r="AC35" s="3">
        <f>1439.8+(1333.8-741.3)+(-1.468596+(-1.360476--0.756126))+0-388.2--0.395964000000062</f>
        <v>1642.423018</v>
      </c>
      <c r="AD35">
        <v>1647.2</v>
      </c>
      <c r="AE35" s="3">
        <f>1676+(935.5-576.6)+(0+(0-0))+0-387.7-0</f>
        <v>1647.2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1260.1+(1757.4-1186.8)+(-0.642651+(-0.896274--0.605268))+0-375.4--0.191453999999962</f>
        <v>1454.5577970000002</v>
      </c>
      <c r="G36" s="3">
        <f>1164.3+(1767.7-1259.3)+(-1.781379+(-2.704581--1.926729))+0-388.2--0.593946000000022</f>
        <v>1282.534715</v>
      </c>
      <c r="H36" s="3">
        <f>1143+(1906-1397.5)+(-2.33172+(-3.88824--2.8509))+0-388.4--0.792335999999983</f>
        <v>1260.5232759999999</v>
      </c>
      <c r="I36" s="3">
        <f>1142.9+(1930.8-1403.2)+(1.748637+(2.954124-2.146896))+0-384.2-0.587826000000022</f>
        <v>1288.268039</v>
      </c>
      <c r="J36" s="3">
        <f>1118.9+(1915.1-1411.4)+(-1.141278+(-1.953402--1.439628))+0-388.6--0.396372000000062</f>
        <v>1232.7413200000001</v>
      </c>
      <c r="K36" s="3">
        <f>1111.8+(1579.8-1154.3)+(-1.701054+(-2.417094--1.766079))+0-385.4--0.589662000000022</f>
        <v>1150.1375930000002</v>
      </c>
      <c r="L36" s="3">
        <f>1104.9+(1412.8-925.4)+(-1.690497+(-2.161584--1.415862))+0-366.5--0.560745000000021</f>
        <v>1223.9245260000002</v>
      </c>
      <c r="M36" s="3">
        <f>1116.4+(1154.4-664.1)+(-0.569364+(-0.588744--0.338691))+0-376.5--0.192014999999962</f>
        <v>1229.5725980000002</v>
      </c>
      <c r="N36" s="3">
        <f>1320.3+(855-529.2)+(-0.673353+(-0.43605--0.269892))+0-374--0.190739999999962</f>
        <v>1271.451229</v>
      </c>
      <c r="O36" s="3">
        <f>1411.3+(641.6-292)+(-1.439526+(-0.654432--0.29784))+0-374.1--0.38158200000006</f>
        <v>1385.385464</v>
      </c>
      <c r="P36" s="3">
        <f>1484.8+(628-264)+(-1.514496+(-0.64056--0.26928))+0-371--0.378420000000059</f>
        <v>1476.2926439999999</v>
      </c>
      <c r="Q36" s="3">
        <f>1483.9+(710.1-254.8)+(-2.270367+(-1.086453--0.389844))+0-368.3--0.563499000000021</f>
        <v>1568.4965230000003</v>
      </c>
      <c r="R36" s="3">
        <f>1444.9+(733.9-227.3)+(-3.684495+(-1.871445--0.579615))+0-368.5--0.939674999999947</f>
        <v>1578.9633499999998</v>
      </c>
      <c r="S36" s="3">
        <f>1447.3+(864.8-401.2)+(-1.476246+(-0.882096--0.409224))+0-367.2--0.374544000000059</f>
        <v>1542.1254259999998</v>
      </c>
      <c r="T36" s="3">
        <f>1468+(799.4-398.5)+(-1.49736+(-0.815388--0.40647))+0-366.8--0.374136000000058</f>
        <v>1500.5678580000003</v>
      </c>
      <c r="U36" s="3">
        <f>1485+(860-494.4)+(-3.0294+(-1.7544--1.008576))+0-362.6--0.739703999999984</f>
        <v>1484.9644800000001</v>
      </c>
      <c r="V36" s="3">
        <f>1568.5+(761.2-423.5)+(-2.399805+(-1.164636--0.647955))+0-355.9--0.544527000000021</f>
        <v>1547.9280410000001</v>
      </c>
      <c r="W36" s="3">
        <f>1609.2+(615-316.3)+(-1.641384+(-0.6273--0.322626))+0-359.2--0.366384000000057</f>
        <v>1547.1203260000002</v>
      </c>
      <c r="X36" s="3">
        <f>1746.2+(602.1-356.5)+(-3.562248+(-1.228284--0.72726))+0-368--0.750719999999984</f>
        <v>1620.4874480000001</v>
      </c>
      <c r="Y36" s="3">
        <f>1776.6+(466.5-365)+(-1.812132+(-0.47583--0.3723))+0-372.2--0.379644000000059</f>
        <v>1504.3639819999999</v>
      </c>
      <c r="Z36" s="3">
        <f>1827.3+(553.5-407.6)+(-1.863846+(-0.56457--0.415752))+0-368.4--0.375768000000059</f>
        <v>1603.163104</v>
      </c>
      <c r="AA36" s="3">
        <f>1682.9+(754.1-548.2)+(-4.291395+(-1.922955--1.39791))+0-353.8--0.902189999999949</f>
        <v>1531.0857500000002</v>
      </c>
      <c r="AB36" s="3">
        <f>1430+(906.2-502.3)+(-2.1879+(-1.386486--0.768519))+0-372.5--0.569925000000022</f>
        <v>1459.1640580000001</v>
      </c>
      <c r="AC36" s="3">
        <f>1418.6+(878.1-406)+(-0.723486+(-0.447831--0.20706))+0-416.5--0.212414999999958</f>
        <v>1473.4481579999997</v>
      </c>
      <c r="AD36">
        <v>1603.0000000000002</v>
      </c>
      <c r="AE36" s="3">
        <f>1841+(680.3-570)+(0+(0-0))+0-348.3-0</f>
        <v>1603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1423.4+(1135.4-642.6)+(-1.451868+(-1.158108--0.655452))+0-425.6--0.434112000000068</f>
        <v>1489.0795880000003</v>
      </c>
      <c r="G37" s="3">
        <f>1322.4+(1348.6-853.2)+(-2.697696+(-2.751144--1.740528))+0-413.4--0.843335999999982</f>
        <v>1401.5350239999998</v>
      </c>
      <c r="H37" s="3">
        <f>1317.3+(1399.8-936.4)+(0+(0-0))+0-432.7-0</f>
        <v>1347.9999999999998</v>
      </c>
      <c r="I37" s="3">
        <f>1316.5+(1506.9-1055.5)+(-2.68566+(-3.074076--2.15322))+0-425.4--0.867815999999981</f>
        <v>1339.7613000000001</v>
      </c>
      <c r="J37" s="3">
        <f>1318.3+(1652.6-1278)+(0.672333+(0.842826-0.65178))+0-433.9-0.221288999999956</f>
        <v>1259.6420900000001</v>
      </c>
      <c r="K37" s="3">
        <f>1319.2+(1545.7-1230.2)+(0+(0-0))+0-419.7-0</f>
        <v>1215</v>
      </c>
      <c r="L37" s="3">
        <f>1311.3+(1342-951.2)+(-2.006289+(-2.05326--1.455336))+0-398.4--0.609552000000023</f>
        <v>1301.7053389999999</v>
      </c>
      <c r="M37" s="3">
        <f>1312.5+(1097.6-630.6)+(0+(0-0))+0-429-0</f>
        <v>1350.5</v>
      </c>
      <c r="N37" s="3">
        <f>1363.8+(1000.3-466.9)+(-1.391076+(-1.020306--0.476238))+0-432.4--0.441048000000069</f>
        <v>1463.3059039999998</v>
      </c>
      <c r="O37" s="3">
        <f>1427.9+(843.6-370.8)+(1.456458+(0.860472-0.378216))+0-443.7-0.452574000000071</f>
        <v>1458.4861399999998</v>
      </c>
      <c r="P37" s="3">
        <f>1435+(868.5-316.9)+(-1.4637+(-0.88587--0.323238))+0-431.5--0.440130000000069</f>
        <v>1553.5137980000002</v>
      </c>
      <c r="Q37" s="3">
        <f>1483.6+(887.5-303.9)+(-0.756636+(-0.452625--0.154989))+0-433.6--0.221135999999956</f>
        <v>1632.7668639999999</v>
      </c>
      <c r="R37" s="3">
        <f>1521.9+(832.2-316.5)+(-0.776169+(-0.424422--0.161415))+0-398.8--0.20338799999996</f>
        <v>1637.9642120000001</v>
      </c>
      <c r="S37" s="3">
        <f>1521.6+(828.4-374.2)+(-0.776016+(-0.422484--0.190842))+0-440.9--0.224858999999955</f>
        <v>1534.117201</v>
      </c>
      <c r="T37" s="3">
        <f>1523.2+(789.3-422.8)+(1.553664+(0.805086-0.431256))+0-427.9-0.436458000000068</f>
        <v>1463.2910360000001</v>
      </c>
      <c r="U37" s="3">
        <f>1473.5+(793.1-391.5)+(1.50297+(0.808962-0.39933))+0-436.5-0.44523000000007</f>
        <v>1440.067372</v>
      </c>
      <c r="V37" s="3">
        <f>1426.5+(815.5-348.8)+(-2.91006+(-1.66362--0.711552))+0-434.1--0.885563999999981</f>
        <v>1456.1234360000001</v>
      </c>
      <c r="W37" s="3">
        <f>1427.3+(833.9-355.5)+(-2.183769+(-1.275867--0.543915))+0-418.1--0.639693000000024</f>
        <v>1485.3239719999997</v>
      </c>
      <c r="X37" s="3">
        <f>1436.3+(770.6-318.2)+(-3.662565+(-1.96503--0.81141))+0-442.2--1.12760999999994</f>
        <v>1442.8114250000001</v>
      </c>
      <c r="Y37" s="3">
        <f>1564.4+(702-384.9)+(-0.797844+(-0.35802--0.196299))+0-442--0.225419999999955</f>
        <v>1438.7658549999999</v>
      </c>
      <c r="Z37" s="3">
        <f>1893.8+(581-486.7)+(-0.965838+(-0.29631--0.248217))+0-391.9--0.19986899999996</f>
        <v>1595.3859379999999</v>
      </c>
      <c r="AA37" s="3">
        <f>1916.5+(642.5-537.7)+(-4.887075+(-1.638375--1.371135))+0-377.8--0.963389999999945</f>
        <v>1639.3090749999999</v>
      </c>
      <c r="AB37" s="3">
        <f>1632.5+(876.7-560.2)+(-1.66515+(-0.894234--0.571404))+0-418.6--0.426972000000067</f>
        <v>1528.8389919999997</v>
      </c>
      <c r="AC37" s="3">
        <f>1439.8+(928.7-517.1)+(-2.937192+(-1.894548--1.054884))+0-433.6--0.884543999999981</f>
        <v>1414.9076880000002</v>
      </c>
      <c r="AD37">
        <v>1617.7000000000003</v>
      </c>
      <c r="AE37" s="3">
        <f>1920+(656.8-514.6)+(0+(0-0))+0-444.5-0</f>
        <v>1617.6999999999998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1364.5+(1308-860.3)+(-1.39179+(-1.33416--0.877506))+0-436.1--0.44482200000007</f>
        <v>1374.6963780000003</v>
      </c>
      <c r="G38" s="3">
        <f>1313.2+(1375.4-974.7)+(-3.34866+(-3.50727--2.485485))+0-434.8--1.10873999999994</f>
        <v>1275.838295</v>
      </c>
      <c r="H38" s="3">
        <f>1311.3+(1758.1-1345.3)+(-2.006289+(-2.689893--2.058309))+0-419--0.641070000000024</f>
        <v>1303.1031970000001</v>
      </c>
      <c r="I38" s="3">
        <f>1311.7+(1762.9-1392.8)+(-1.337934+(-1.798158--1.420656))+0-424.9--0.433398000000068</f>
        <v>1255.6179620000003</v>
      </c>
      <c r="J38" s="3">
        <f>1311.4+(1582.9-1223.1)+(-0.668814+(-0.807279--0.623781))+0-431.2--0.219911999999956</f>
        <v>1239.3676000000003</v>
      </c>
      <c r="K38" s="3">
        <f>1311.2+(1495.4-1149)+(-1.337424+(-1.525308--1.17198))+0-429.2--0.437784000000068</f>
        <v>1227.1470320000001</v>
      </c>
      <c r="L38" s="3">
        <f>1302.4+(1326.6-987.8)+(-3.32112+(-3.38283--2.51889))+0-432.9--1.10389499999994</f>
        <v>1205.2188349999999</v>
      </c>
      <c r="M38" s="3">
        <f>1297.6+(1111.3-728.4)+(-0.661776+(-0.566763--0.371484))+0-431.1--0.219860999999956</f>
        <v>1248.7628060000002</v>
      </c>
      <c r="N38" s="3">
        <f>1325.1+(1191.5-679.8)+(-2.027403+(-1.822995--1.040094))+0-428.8--0.656064000000025</f>
        <v>1405.8457599999999</v>
      </c>
      <c r="O38" s="3">
        <f>1469.3+(964.3-566.7)+(-0.749343+(-0.491793--0.289017))+0-416.9--0.212618999999958</f>
        <v>1449.2604999999999</v>
      </c>
      <c r="P38" s="3">
        <f>1508.5+(614.7-268.2)+(-0.769335+(-0.313497--0.136782))+0-436.4--0.222563999999956</f>
        <v>1417.8765139999998</v>
      </c>
      <c r="Q38" s="3">
        <f>1512.9+(558.1-248.3)+(-3.857895+(-1.423155--0.633165))+0-415.5--1.05952499999994</f>
        <v>1403.6116399999999</v>
      </c>
      <c r="R38" s="3">
        <f>1528.7+(724.9-333.9)+(-1.559274+(-0.739398--0.340578))+0-425.7--0.434214000000068</f>
        <v>1492.47612</v>
      </c>
      <c r="S38" s="3">
        <f>1534.3+(836.3-448.6)+(-0.782493+(-0.426513--0.228786))+0-379.5--0.193544999999961</f>
        <v>1541.7133249999999</v>
      </c>
      <c r="T38" s="3">
        <f>1534.5+(893.4-554.4)+(-0.782595+(-0.455634--0.282744))+0-410.1--0.209150999999958</f>
        <v>1462.6536660000002</v>
      </c>
      <c r="U38" s="3">
        <f>1530.7+(907.6-556.5)+(-3.903285+(-2.31438--1.419075))+0-427.3--1.08961499999994</f>
        <v>1450.791025</v>
      </c>
      <c r="V38" s="3">
        <f>1535.4+(974.1-619.5)+(-0.783054+(-0.496791--0.315945))+0-381.1--0.194360999999961</f>
        <v>1508.130461</v>
      </c>
      <c r="W38" s="3">
        <f>1532.6+(1055.4-703.2)+(-3.90813+(-2.69127--1.79316))+0-423.9--1.08094499999994</f>
        <v>1457.1747050000001</v>
      </c>
      <c r="X38" s="3">
        <f>1533.2+(939.7-621.2)+(-2.345796+(-1.437741--0.950436))+0-363--0.555390000000021</f>
        <v>1486.4222890000001</v>
      </c>
      <c r="Y38" s="3">
        <f>1484.3+(961.7-635.3)+(-3.027972+(-1.961868--1.296012))+0-370.4--0.755615999999984</f>
        <v>1437.3617880000002</v>
      </c>
      <c r="Z38" s="3">
        <f>1589.8+(918.8-534.2)+(-1.621596+(-0.937176--0.544884))+0-366.8--0.374136000000058</f>
        <v>1605.9602480000001</v>
      </c>
      <c r="AA38" s="3">
        <f>1614.8+(906.3-545.1)+(-3.294192+(-1.848852--1.112004))+0-375.1--0.765203999999984</f>
        <v>1597.6341639999998</v>
      </c>
      <c r="AB38" s="3">
        <f>1591.2+(894.3-558.1)+(-4.05756+(-2.280465--1.423155))+0-380.1--0.969254999999945</f>
        <v>1543.3543850000001</v>
      </c>
      <c r="AC38" s="3">
        <f>1497.7+(882.6-502.2)+(-2.291481+(-1.350378--0.768366))+0-385.6--0.589968000000022</f>
        <v>1490.2164749999999</v>
      </c>
      <c r="AD38">
        <v>1626.6</v>
      </c>
      <c r="AE38" s="3">
        <f>1613+(931.1-553.4)+(0+(0-0))+0-364.1-0</f>
        <v>1626.6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1436.1+(1345.6-1044.1)+(-2.929644+(-2.745024--2.129964))+0-420.4--0.857615999999982</f>
        <v>1314.5129119999999</v>
      </c>
      <c r="G39" s="3">
        <f>1176.4+(1843.7-1364.7)+(-4.199748+(-6.582009--4.871979))+0-434.7--1.55187900000001</f>
        <v>1216.3421010000002</v>
      </c>
      <c r="H39" s="3">
        <f>1125.5+(2110.1-1604.7)+(-4.59204+(-8.609208--6.547176))+0-430.7--1.75725599999996</f>
        <v>1195.3031839999996</v>
      </c>
      <c r="I39" s="3">
        <f>941.4+(1735-1022.6)+(0.480114+(0.88485-0.521526))+0-422-0.215219999999957</f>
        <v>1232.428218</v>
      </c>
      <c r="J39" s="3">
        <f>953+(1628.9-919.5)+(-1.94412+(-3.322956--1.87578))+0-419.7--0.856187999999982</f>
        <v>1240.164892</v>
      </c>
      <c r="K39" s="3">
        <f>1031.8+(1475.8-828.8)+(-1.052436+(-1.505316--0.845376))+0-423--0.431460000000067</f>
        <v>1254.519084</v>
      </c>
      <c r="L39" s="3">
        <f>1088.3+(1363.7-789.4)+(-1.110066+(-1.390974--0.805188))+0-376.8--0.38433600000006</f>
        <v>1284.488484</v>
      </c>
      <c r="M39" s="3">
        <f>1103.1+(1249.5-631)+(-0.562581+(-0.637245--0.32181))+0-423.3--0.215882999999957</f>
        <v>1297.6378669999999</v>
      </c>
      <c r="N39" s="3">
        <f>1300.6+(1345.4-811.4)+(-1.326612+(-1.372308--0.827628))+0-425.6--0.434112000000068</f>
        <v>1407.5628199999999</v>
      </c>
      <c r="O39" s="3">
        <f>1464+(1237.7-758.1)+(-0.74664+(-0.631227--0.386631))+0-427.6--0.218075999999957</f>
        <v>1515.2268399999996</v>
      </c>
      <c r="P39" s="3">
        <f>1493.7+(912.5-446)+(-2.285361+(-1.396125--0.68238))+0-423.9--0.648567000000024</f>
        <v>1533.9494609999999</v>
      </c>
      <c r="Q39" s="3">
        <f>1513.2+(787.2-350.4)+(0+(0-0))+0-416.7-0</f>
        <v>1533.3</v>
      </c>
      <c r="R39" s="3">
        <f>1525+(830.5-423.6)+(-4.6665+(-2.54133--1.296216))+0-405.2--1.23991200000005</f>
        <v>1522.0282979999999</v>
      </c>
      <c r="S39" s="3">
        <f>1534.1+(1091.4-736.2)+(0.782391+(0.556614-0.375462))+0-421-0.214709999999957</f>
        <v>1469.0488330000001</v>
      </c>
      <c r="T39" s="3">
        <f>1535.9+(1239.7-907)+(0+(0-0))+0-418.9-0</f>
        <v>1449.7000000000003</v>
      </c>
      <c r="U39" s="3">
        <f>1532.5+(1120-824)+(-2.344725+(-1.7136--1.26072))+0-425.8--0.651474000000025</f>
        <v>1400.5538690000001</v>
      </c>
      <c r="V39" s="3">
        <f>1534.3+(907.7-585.6)+(-2.347479+(-1.388781--0.895968))+0-415.6--0.635868000000024</f>
        <v>1438.5955759999999</v>
      </c>
      <c r="W39" s="3">
        <f>1534.5+(825.4-506)+(-2.347785+(-1.262862--0.77418))+0-425.9--0.651627000000025</f>
        <v>1425.8151599999999</v>
      </c>
      <c r="X39" s="3">
        <f>1531.4+(884.9-554.8)+(-4.686084+(-2.707794--1.697688))+0-427.8--1.30906800000005</f>
        <v>1429.3128780000002</v>
      </c>
      <c r="Y39" s="3">
        <f>1573.3+(650.2-424.4)+(-3.209532+(-1.326408--0.865776))+0-381--0.777239999999983</f>
        <v>1415.2070759999997</v>
      </c>
      <c r="Z39" s="3">
        <f>1830.6+(913-718.9)+(-3.734424+(-1.86252--1.466556))+0-374.5--0.763979999999984</f>
        <v>1646.8335919999997</v>
      </c>
      <c r="AA39" s="3">
        <f>1861.9+(1037.6-877.9)+(-2.848707+(-1.587528--1.343187))+0-364--0.556920000000021</f>
        <v>1655.0638719999999</v>
      </c>
      <c r="AB39" s="3">
        <f>1755.5+(1171.4-967.6)+(-3.58122+(-2.389656--1.973904))+0-413.4--0.843335999999982</f>
        <v>1542.7463640000001</v>
      </c>
      <c r="AC39" s="3">
        <f>1673+(1073.8-801.5)+(-2.55969+(-1.642914--1.226295))+0-425.4--0.650862000000025</f>
        <v>1517.5745529999999</v>
      </c>
      <c r="AD39">
        <v>1658.0000000000002</v>
      </c>
      <c r="AE39" s="3">
        <f>1863+(946.4-776.6)+(0+(0-0))+0-374.8-0</f>
        <v>1658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1421.7+(1198.2-763.1)+(-1.450134+(-1.222164--0.778362))+0-431.1--0.439722000000069</f>
        <v>1424.2457860000004</v>
      </c>
      <c r="G40" s="3">
        <f>1312.5+(1392.5-933.4)+(-3.346875+(-3.550875--2.38017))+0-441.4--1.12556999999994</f>
        <v>1326.80799</v>
      </c>
      <c r="H40" s="3">
        <f>1312.8+(1522.3-1104.4)+(-2.008584+(-2.329119--1.689732))+0-392.1--0.599913000000023</f>
        <v>1336.5519419999996</v>
      </c>
      <c r="I40" s="3">
        <f>1312.6+(1455.7-1058.4)+(-0.669426+(-0.742407--0.539784))+0-434.9--0.221798999999956</f>
        <v>1274.3497499999999</v>
      </c>
      <c r="J40" s="3">
        <f>1311.1+(1358-973.5)+(-4.011966+(-4.15548--2.97891))+0-430.9--1.31855400000005</f>
        <v>1260.8300179999997</v>
      </c>
      <c r="K40" s="3">
        <f>1310.5+(1391.8-1028.4)+(-2.67342+(-2.839272--2.097936))+0-431.7--0.880667999999981</f>
        <v>1239.6659119999999</v>
      </c>
      <c r="L40" s="3">
        <f>1297.9+(1420.5-1122)+(-1.985787+(-2.173365--1.71666))+0-394.8--0.604044000000023</f>
        <v>1199.7615520000002</v>
      </c>
      <c r="M40" s="3">
        <f>1298.2+(1299.6-1027.7)+(-0.662082+(-0.662796--0.524127))+0-388.3--0.198032999999961</f>
        <v>1181.1972819999999</v>
      </c>
      <c r="N40" s="3">
        <f>1293.8+(1354.2-1021.9)+(-1.319676+(-1.381284--1.042338))+0-388.8--0.396576000000062</f>
        <v>1236.0379540000001</v>
      </c>
      <c r="O40" s="3">
        <f>1307.8+(1657.6-1252.1)+(0+(0-0))+0-375.9-0</f>
        <v>1337.4</v>
      </c>
      <c r="P40" s="3">
        <f>1301.4+(1384.2-948.8)+(-1.991142+(-2.117826--1.451664))+0-418.8--0.640764000000024</f>
        <v>1315.9834600000002</v>
      </c>
      <c r="Q40" s="3">
        <f>1301.4+(1440.3-990.3)+(-1.991142+(-2.203659--1.515159))+0-422.6--0.646578000000024</f>
        <v>1326.7669360000002</v>
      </c>
      <c r="R40" s="3">
        <f>1315.1+(1475-1051.8)+(-1.341402+(-1.5045--1.072836))+0-366.5--0.373830000000058</f>
        <v>1370.400764</v>
      </c>
      <c r="S40" s="3">
        <f>1314.9+(1618.5-1214.8)+(-2.682396+(-3.30174--2.478192))+0-413.7--0.843947999999982</f>
        <v>1302.238004</v>
      </c>
      <c r="T40" s="3">
        <f>1314.9+(2126.8-1743.5)+(-1.341198+(-2.169336--1.77837))+0-399.2--0.407184000000064</f>
        <v>1297.6750200000004</v>
      </c>
      <c r="U40" s="3">
        <f>1315+(2235.3-1834)+(-2.01195+(-3.420009--2.80602))+0-367.9--0.562887000000021</f>
        <v>1346.3369480000001</v>
      </c>
      <c r="V40" s="3">
        <f>1315.3+(2072.8-1668)+(-1.341606+(-2.114256--1.70136))+0-406.7--0.414834000000065</f>
        <v>1312.0603320000002</v>
      </c>
      <c r="W40" s="3">
        <f>1315.6+(1843.4-1428.8)+(-3.35478+(-4.70067--3.64344))+0-422.6--1.07762999999994</f>
        <v>1304.2656199999999</v>
      </c>
      <c r="X40" s="3">
        <f>1317.5+(1664.5-1237.6)+(-2.6877+(-3.39558--2.524704))+0-392.7--0.801107999999983</f>
        <v>1348.942532</v>
      </c>
      <c r="Y40" s="3">
        <f>1540.2+(1620.7-1412.7)+(-2.356506+(-2.479671--2.161431))+0-387.9--0.593487000000022</f>
        <v>1358.2187410000001</v>
      </c>
      <c r="Z40" s="3">
        <f>1900.8+(1037-988.1)+(-3.877632+(-2.11548--2.015724))+0-357.2--0.728687999999984</f>
        <v>1589.2512999999997</v>
      </c>
      <c r="AA40" s="3">
        <f>1921.6+(1010.7-974.6)+(-1.960032+(-1.030914--0.994092))+0-367.7--0.375054000000059</f>
        <v>1588.3781999999999</v>
      </c>
      <c r="AB40" s="3">
        <f>1847.9+(1134.4-1052.6)+(-2.827287+(-1.735632--1.610478))+0-367.3--0.561969000000021</f>
        <v>1560.0095280000005</v>
      </c>
      <c r="AC40" s="3">
        <f>1450.7+(1245.4-858.6)+(-0.739857+(-0.635154--0.437886))+0-366.4--0.186863999999963</f>
        <v>1470.349739</v>
      </c>
      <c r="AD40">
        <v>1514.1</v>
      </c>
      <c r="AE40" s="3">
        <f>1914+(917.6-907.9)+(0+(0-0))+0-409.6-0</f>
        <v>1514.1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1382.4+(1613.3-1296.7)+(-1.410048+(-1.645566--1.322634))+0-410.8--0.419016000000066</f>
        <v>1286.8860360000001</v>
      </c>
      <c r="G41" s="3">
        <f>1356.5+(2127.3-1873.8)+(-2.76726+(-4.339692--3.822552))+0-370.3--0.755411999999984</f>
        <v>1237.1710120000002</v>
      </c>
      <c r="H41" s="3">
        <f>1340.2+(2112.8-1860.8)+(-2.050506+(-3.232584--2.847024))+0-371--0.567630000000021</f>
        <v>1219.3315640000003</v>
      </c>
      <c r="I41" s="3">
        <f>1179.2+(2099-1682.8)+(-0.601392+(-1.07049--0.858228))+0-420.2--0.214301999999957</f>
        <v>1174.6006479999999</v>
      </c>
      <c r="J41" s="3">
        <f>1173.3+(2093.7-1692.1)+(-4.188681+(-7.474509--6.040797))+0-413.9--1.47762300000001</f>
        <v>1156.8552299999999</v>
      </c>
      <c r="K41" s="3">
        <f>1173+(1891.5-1414.1)+(-3.58938+(-5.78799--4.327146))+0-373--1.14138000000004</f>
        <v>1273.491156</v>
      </c>
      <c r="L41" s="3">
        <f>1191+(1659.6-1239.7)+(-2.42964+(-3.385584--2.528988))+0-399.1--0.814163999999983</f>
        <v>1209.3279279999997</v>
      </c>
      <c r="M41" s="3">
        <f>1209.1+(1449.2-1089.6)+(-0.616641+(-0.739092--0.555696))+0-374.2--0.190841999999962</f>
        <v>1193.890805</v>
      </c>
      <c r="N41" s="3">
        <f>1356+(1634.3-1225)+(-1.38312+(-1.666986--1.2495))+0-424.4--0.432888000000068</f>
        <v>1339.5322819999999</v>
      </c>
      <c r="O41" s="3">
        <f>1502.9+(1396.5-1059.1)+(-2.299437+(-2.136645--1.620423))+0-419.1--0.641223000000024</f>
        <v>1419.025564</v>
      </c>
      <c r="P41" s="3">
        <f>1516.4+(1024.9-621.9)+(-0.773364+(-0.522699--0.317169))+0-419.4--0.213893999999957</f>
        <v>1499.2350000000001</v>
      </c>
      <c r="Q41" s="3">
        <f>1515.8+(856.2-466.9)+(0+(0-0))+0-383.9-0</f>
        <v>1521.1999999999998</v>
      </c>
      <c r="R41" s="3">
        <f>1538.1+(844.3-406.7)+(-0.784431+(-0.430593--0.207417))+0-402.8--0.205427999999959</f>
        <v>1572.0978209999998</v>
      </c>
      <c r="S41" s="3">
        <f>1537.1+(827.5-447.1)+(-0.783921+(-0.422025--0.228021))+0-426.4--0.217463999999957</f>
        <v>1490.3395390000003</v>
      </c>
      <c r="T41" s="3">
        <f>1536.6+(878.8-511.9)+(-2.350998+(-1.344564--0.783207))+0-376--0.575280000000022</f>
        <v>1525.1629250000001</v>
      </c>
      <c r="U41" s="3">
        <f>1536.8+(1230.7-923.9)+(-2.351304+(-1.882971--1.413567))+0-366--0.559980000000021</f>
        <v>1475.3392719999999</v>
      </c>
      <c r="V41" s="3">
        <f>1537.9+(1369.9-1148.1)+(-1.568658+(-1.397298--1.171062))+0-375--0.38250000000006</f>
        <v>1383.2876060000003</v>
      </c>
      <c r="W41" s="3">
        <f>1536.2+(1502.3-1195.7)+(-2.350386+(-2.298519--1.829421))+0-373.9--0.572067000000022</f>
        <v>1466.652583</v>
      </c>
      <c r="X41" s="3">
        <f>1534.4+(1527.2-1252.1)+(-3.130176+(-3.115488--2.554284))+0-386.1--0.787643999999983</f>
        <v>1420.4962640000003</v>
      </c>
      <c r="Y41" s="3">
        <f>1689.2+(1399.9-1296)+(-0.861492+(-0.713949--0.66096))+0-382.4--0.195023999999961</f>
        <v>1409.9805429999999</v>
      </c>
      <c r="Z41" s="3">
        <f>1912.6+(905.6-787)+(-5.852556+(-2.771136--2.40822))+0-386.6--1.18299600000004</f>
        <v>1639.5675239999996</v>
      </c>
      <c r="AA41" s="3">
        <f>1920+(1215.8-1164.1)+(-3.9168+(-2.480232--2.374764))+0-388.2--0.791927999999983</f>
        <v>1580.2696599999999</v>
      </c>
      <c r="AB41" s="3">
        <f>1862+(1563.2-1473.3)+(-4.7481+(-3.98616--3.756915))+0-371.7--0.947834999999946</f>
        <v>1576.17049</v>
      </c>
      <c r="AC41" s="3">
        <f>1704.7+(1741.9-1692.9)+(-3.477588+(-3.553476--3.453516))+0-400.9--0.817835999999982</f>
        <v>1350.0402879999999</v>
      </c>
      <c r="AD41">
        <v>1523.6999999999998</v>
      </c>
      <c r="AE41" s="3">
        <f>1923+(1190.7-1202.1)+(0+(0-0))+0-387.9-0</f>
        <v>1523.7000000000003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1508.8+(1814-1596)+(-2.308464+(-2.77542--2.44188))+21-426.2--0.652086000000025</f>
        <v>1319.6100819999999</v>
      </c>
      <c r="G42" s="3">
        <f>1431.9+(1975-1809)+(-4.381614+(-6.0435--5.53554))+0-386.3--1.18207800000004</f>
        <v>1207.8925040000001</v>
      </c>
      <c r="H42" s="3">
        <f>1239.4+(2052.4-1651.2)+(-2.528376+(-4.186896--3.368448))+0-428.3--0.873731999999981</f>
        <v>1209.8269080000002</v>
      </c>
      <c r="I42" s="3">
        <f>1211.8+(2029.1-1662.1)+(0.618018+(1.034841-0.847671))+0-437.3-0.223022999999956</f>
        <v>1142.082165</v>
      </c>
      <c r="J42" s="3">
        <f>1214.6+(1851.1-1447.8)+(0.619446+(0.944061-0.738378))+0-431.9-0.220268999999956</f>
        <v>1186.6048599999999</v>
      </c>
      <c r="K42" s="3">
        <f>1214.4+(1829.3-1471.2)+(0+(0-0))+0-431.2-0</f>
        <v>1141.3</v>
      </c>
      <c r="L42" s="3">
        <f>1203.3+(1368.1-1068.7)+(-3.068415+(-3.488655--2.725185))+0-389.1--0.992204999999944</f>
        <v>1110.7603199999999</v>
      </c>
      <c r="M42" s="3">
        <f>1200.4+(1347-891.2)+(-1.836612+(-2.06091--1.363536))+0-391.8--0.599454000000023</f>
        <v>1262.4654680000001</v>
      </c>
      <c r="N42" s="3">
        <f>1218.5+(1389.9-892.8)+(-2.48574+(-2.835396--1.821312))+0-437.1--0.891683999999981</f>
        <v>1275.89186</v>
      </c>
      <c r="O42" s="3">
        <f>1390.7+(1389.1-987.9)+(0+(0-0))+0-424.7-0</f>
        <v>1367.2</v>
      </c>
      <c r="P42" s="3">
        <f>1439.1+(1163.5-764.6)+(-1.467882+(-1.18677--0.779892))+0-437.6--0.44635200000007</f>
        <v>1398.9715920000001</v>
      </c>
      <c r="Q42" s="3">
        <f>1443.9+(1044.3-591.7)+(-2.209167+(-1.597779--0.905301))+0-436.9--0.668457000000025</f>
        <v>1457.366812</v>
      </c>
      <c r="R42" s="3">
        <f>1477.4+(1224.5-769.1)+(-4.520844+(-3.74697--2.353446))+0-425.2--1.30111200000005</f>
        <v>1502.9867440000003</v>
      </c>
      <c r="S42" s="3">
        <f>1471.3+(1442.7-1130.2)+(-3.001452+(-2.943108--2.305608))+0-423.8--0.864551999999982</f>
        <v>1357.2256</v>
      </c>
      <c r="T42" s="3">
        <f>1481.1+(1978.6-1581.5)+(-4.532166+(-6.054516--4.83939))+0-422.1--1.29162600000005</f>
        <v>1451.6443339999998</v>
      </c>
      <c r="U42" s="3">
        <f>1485.2+(2394.3-2230.1)+(-3.029808+(-4.884372--4.549404))+0-422.3--0.861491999999982</f>
        <v>1224.5967160000005</v>
      </c>
      <c r="V42" s="3">
        <f>1484+(2023.4-1826.5)+(-3.7842+(-5.15967--4.657575))+0-405.1--1.03300499999994</f>
        <v>1272.5467099999998</v>
      </c>
      <c r="W42" s="3">
        <f>1488+(1748.6-1526.8)+(-3.03552+(-3.567144--3.114672))+0-421.9--0.860675999999982</f>
        <v>1285.2726839999998</v>
      </c>
      <c r="X42" s="3">
        <f>1528.9+(1432.9-1293.3)+(-5.458173+(-5.115453--4.617081))+0-426.9--1.52403300000001</f>
        <v>1237.1674880000003</v>
      </c>
      <c r="Y42" s="3">
        <f>1589.5+(1332.3-1218.7)+(0+(0-0))+0-406.2-0</f>
        <v>1296.8999999999999</v>
      </c>
      <c r="Z42" s="3">
        <f>1892.1+(1108.8-1096.3)+(-4.824855+(-2.82744--2.795565))+0-388.9--0.991694999999943</f>
        <v>1511.8349649999998</v>
      </c>
      <c r="AA42" s="3">
        <f>1918.6+(1162.2-1143.5)+(-3.913944+(-2.370888--2.33274))+0-368--0.750719999999984</f>
        <v>1566.098628</v>
      </c>
      <c r="AB42" s="3">
        <f>1836.9+(1369.6-1288.5)+(-1.873638+(-1.396992--1.31427))+0-342.8--0.349656000000055</f>
        <v>1573.5932960000002</v>
      </c>
      <c r="AC42" s="3">
        <f>1740.1+(1789.9-1720.6)+(-1.774902+(-1.825698--1.755012))+0-355.8--0.362916000000057</f>
        <v>1452.1173280000003</v>
      </c>
      <c r="AD42">
        <v>1638.7</v>
      </c>
      <c r="AE42" s="3">
        <f>1920+(1134.9-1035.7)+(0+(0-0))+0-380.5-0</f>
        <v>1638.7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1708.3+(2009-2079)+(-5.227398+(-6.14754--6.36174))+0-382.2--1.16953200000004</f>
        <v>1252.2563339999999</v>
      </c>
      <c r="G43" s="3">
        <f>1609.8+(1854.5-1888.7)+(-3.283992+(-3.78318--3.852948))+0-385.8--0.787031999999983</f>
        <v>1187.3728079999998</v>
      </c>
      <c r="H43" s="3">
        <f>1449.2+(1746.2-1618.1)+(-1.478184+(-1.781124--1.650462))+0-385.6--0.393312000000062</f>
        <v>1190.4844660000003</v>
      </c>
      <c r="I43" s="3">
        <f>1361.4+(1794-1599.7)+(-2.082942+(-2.74482--2.447541))+0-367.7--0.562581000000021</f>
        <v>1186.18236</v>
      </c>
      <c r="J43" s="3">
        <f>1234.9+(1866.5-1522.6)+(-0.629799+(-0.951915--0.776526))+0-390.4--0.19910399999996</f>
        <v>1187.7939160000003</v>
      </c>
      <c r="K43" s="3">
        <f>1221.1+(1903.7-1526.5)+(-2.491044+(-3.883548--3.11406))+0-386.1--0.787643999999983</f>
        <v>1209.727112</v>
      </c>
      <c r="L43" s="3">
        <f>1208.1+(1593.9-1235.7)+(-3.696786+(-4.877334--3.781242))+0-385.8--1.18054800000004</f>
        <v>1176.8876700000001</v>
      </c>
      <c r="M43" s="3">
        <f>1245.4+(1212.6-866)+(-1.270308+(-1.236852--0.88332))+0-388.9--0.396678000000062</f>
        <v>1201.8728380000002</v>
      </c>
      <c r="N43" s="3">
        <f>1343.9+(1373.6-938.2)+(-2.056167+(-2.101608--1.435446))+0-387.6--0.593028000000022</f>
        <v>1389.5706990000001</v>
      </c>
      <c r="O43" s="3">
        <f>1399.6+(1386.2-988.2)+(-2.141388+(-2.120886--1.511946))+0-388.2--0.593946000000022</f>
        <v>1407.2436179999997</v>
      </c>
      <c r="P43" s="3">
        <f>1389.9+(1187.4-867.1)+(-2.835396+(-2.422296--1.768884))+0-383.8--0.782951999999983</f>
        <v>1323.6941440000003</v>
      </c>
      <c r="Q43" s="3">
        <f>1374.7+(1017.3-608.8)+(-2.103291+(-1.556469--0.931464))+0-383.6--0.586908000000022</f>
        <v>1397.4586120000001</v>
      </c>
      <c r="R43" s="3">
        <f>1404.3+(957.4-559.3)+(-3.580965+(-2.44137--1.426215))+0-370.5--0.944774999999946</f>
        <v>1428.2486550000001</v>
      </c>
      <c r="S43" s="3">
        <f>1408.4+(1087.5-737.9)+(-0.718284+(-0.554625--0.376329))+0-359.5--0.183344999999964</f>
        <v>1397.7867649999998</v>
      </c>
      <c r="T43" s="3">
        <f>1408.7+(967.6-683.2)+(-2.155311+(-1.480428--1.045296))+0-362.3--0.554319000000021</f>
        <v>1328.763876</v>
      </c>
      <c r="U43" s="3">
        <f>1409.2+(1146.3-801.6)+(-3.59346+(-2.923065--2.04408))+0-364.2--0.928709999999947</f>
        <v>1386.1562649999998</v>
      </c>
      <c r="V43" s="3">
        <f>1406.1+(1253.9-868.2)+(-3.585555+(-3.197445--2.21391))+0-366.2--0.933809999999947</f>
        <v>1421.9647199999999</v>
      </c>
      <c r="W43" s="3">
        <f>1408.1+(1318.7-931.3)+(-2.872524+(-2.690148--1.899852))+0-382.3--0.779891999999983</f>
        <v>1410.3170720000001</v>
      </c>
      <c r="X43" s="3">
        <f>1403.5+(1279-936.5)+(-3.578925+(-3.26145--2.388075))+0-385.4--0.982769999999944</f>
        <v>1357.1304699999998</v>
      </c>
      <c r="Y43" s="3">
        <f>1460.2+(1058.8-801.1)+(0.744702+(0.539988-0.408561))+0-382.3-0.194972999999961</f>
        <v>1336.2811560000002</v>
      </c>
      <c r="Z43" s="3">
        <f>1824.3+(1003.3-865.9)+(-1.860786+(-1.023366--0.883218))+0-388.9--0.396678000000062</f>
        <v>1571.1957440000001</v>
      </c>
      <c r="AA43" s="3">
        <f>1799.8+(965.5-792.9)+(-5.507388+(-2.95443--2.426274))+0-389.2--1.19095200000004</f>
        <v>1578.3554080000001</v>
      </c>
      <c r="AB43" s="3">
        <f>1683.9+(1218.2-1002.8)+(-6.011523+(-4.348974--3.579996))+0-386.1--1.37837700000001</f>
        <v>1507.7978760000001</v>
      </c>
      <c r="AC43" s="3">
        <f>1440.7+(1477.4-1141.9)+(-2.204271+(-2.260422--1.747107))+0-419.2--0.641376000000024</f>
        <v>1354.9237900000001</v>
      </c>
      <c r="AD43">
        <v>1633.4</v>
      </c>
      <c r="AE43" s="3">
        <f>1874+(914.4-768.5)+(0+(0-0))+0-386.5-0</f>
        <v>1633.4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1228.3+(1654.1-1210.7)+(0+(0-0))+0-431.2-0</f>
        <v>1240.4999999999998</v>
      </c>
      <c r="G44" s="3">
        <f>1212.7+(1590.3-1106)+(0+(0-0))+0-436.9-0</f>
        <v>1260.0999999999999</v>
      </c>
      <c r="H44" s="3">
        <f>1212.5+(1689.5-1242.5)+(0+(0-0))+0-430.8-0</f>
        <v>1228.7</v>
      </c>
      <c r="I44" s="3">
        <f>1212.6+(1756.7-1279.3)+(0+(0-0))+0-431.3-0</f>
        <v>1258.7</v>
      </c>
      <c r="J44" s="3">
        <f>1212.5+(1743.3-1283)+(-1.855125+(-2.667249--1.96299))+0-405.2--0.619956000000023</f>
        <v>1265.660572</v>
      </c>
      <c r="K44" s="3">
        <f>1212.6+(1776.4-1318.9)+(-1.236852+(-1.811928--1.345278))+0-402.1--0.410142000000064</f>
        <v>1266.7066399999997</v>
      </c>
      <c r="L44" s="3">
        <f>1190.7+(1440.5-1071.9)+(1.214514+(1.46931-1.093338))+0-364.6-0.371892000000058</f>
        <v>1195.9185939999998</v>
      </c>
      <c r="M44" s="3">
        <f>1202.9+(1077.8-604.5)+(1.226958+(1.099356-0.61659))+0-418.6-0.426972000000067</f>
        <v>1258.8827520000002</v>
      </c>
      <c r="N44" s="3">
        <f>1202.9+(1172.1-607.9)+(-0.613479+(-0.597771--0.310029))+0-420.4--0.214403999999957</f>
        <v>1346.0131829999998</v>
      </c>
      <c r="O44" s="3">
        <f>1191.3+(1031.5-439.7)+(0+(0-0))+0-401.1-0</f>
        <v>1382</v>
      </c>
      <c r="P44" s="3">
        <f>1196.8+(921.8-331)+(0+(0-0))+0-412.8-0</f>
        <v>1374.8</v>
      </c>
      <c r="Q44" s="3">
        <f>1349.3+(927.7-429.8)+(-2.752572+(-1.892508--0.876792))+0-401.5--0.819059999999982</f>
        <v>1442.7507720000001</v>
      </c>
      <c r="R44" s="3">
        <f>1449.3+(1176.5-643.1)+(-0.739143+(-0.600015--0.327981))+0-400.8--0.204407999999959</f>
        <v>1581.0932309999998</v>
      </c>
      <c r="S44" s="3">
        <f>1536.3+(1324.1-1011.7)+(0+(0-0))+0-393.1-0</f>
        <v>1455.6</v>
      </c>
      <c r="T44" s="3">
        <f>1539.4+(1322.6-1096.6)+(-0.785094+(-0.674526--0.559266))+0-398.5--0.20323499999996</f>
        <v>1366.2028809999999</v>
      </c>
      <c r="U44" s="3">
        <f>1534.7+(1331.3-1039)+(-5.478879+(-4.752741--3.70923))+0-361.8--1.29162600000001</f>
        <v>1459.9692359999999</v>
      </c>
      <c r="V44" s="3">
        <f>1536+(1346.2-1081.3)+(-4.70016+(-4.119372--3.308778))+15.9-392.9--1.20227400000005</f>
        <v>1419.5915200000002</v>
      </c>
      <c r="W44" s="3">
        <f>1531.4+(1128.7-922.1)+(-5.467098+(-4.029459--3.291897))+18-353.1--1.26056700000001</f>
        <v>1397.9559069999998</v>
      </c>
      <c r="X44" s="3">
        <f>1535.1+(937.1-762)+(-3.914505+(-2.389605--1.9431))+18-402--1.02509999999994</f>
        <v>1322.8640899999996</v>
      </c>
      <c r="Y44" s="3">
        <f>1561.4+(942-848.5)+(-3.98157+(-2.4021--2.163675))+8.7-355--0.905249999999948</f>
        <v>1305.2852550000002</v>
      </c>
      <c r="Z44" s="3">
        <f>1849.2+(706.9-718.4)+(-3.772368+(-1.442076--1.465536))+0-356.7--0.727667999999984</f>
        <v>1477.97876</v>
      </c>
      <c r="AA44" s="3">
        <f>1752.1+(559.4-429.6)+(-3.574284+(-1.141176--0.876384))+0-354--0.722159999999985</f>
        <v>1524.7830839999999</v>
      </c>
      <c r="AB44" s="3">
        <f>1652.5+(743-397.7)+(0.842775+(0.37893-0.202827))+0-350.7-0.178856999999964</f>
        <v>1647.9400210000001</v>
      </c>
      <c r="AC44" s="3">
        <f>1562.6+(1216.2-818.2)+(-1.593852+(-1.240524--0.834564))+0-398--0.405960000000063</f>
        <v>1561.0061479999999</v>
      </c>
      <c r="AD44">
        <v>1618</v>
      </c>
      <c r="AE44" s="3">
        <f>1901+(884.1-809.7)+(0+(0-0))+0-357.4-0</f>
        <v>1618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1482.1+(1463.7-1129.3)+(0+(0-0))+0-414.8-0</f>
        <v>1401.7</v>
      </c>
      <c r="G45" s="3">
        <f>1304+(1585.7-1156.8)+(-1.33008+(-1.617414--1.179936))+0-417.1--0.425442000000067</f>
        <v>1314.4578840000001</v>
      </c>
      <c r="H45" s="3">
        <f>1235.2+(1684.4-1194.3)+(0+(0-0))+0-419.4-0</f>
        <v>1305.9000000000001</v>
      </c>
      <c r="I45" s="3">
        <f>1235.2+(1818.2-1330.2)+(-1.889856+(-2.781846--2.035206))+0-372.7--0.570231000000021</f>
        <v>1348.4337349999998</v>
      </c>
      <c r="J45" s="3">
        <f>1215.1+(1861.2-1443.8)+(1.239402+(1.898424-1.472676))+0-419.4-0.427788000000067</f>
        <v>1214.3373620000002</v>
      </c>
      <c r="K45" s="3">
        <f>1215.2+(1734.9-1312.1)+(-2.479008+(-3.539196--2.676684))+0-412.8--0.842111999999982</f>
        <v>1222.7005920000004</v>
      </c>
      <c r="L45" s="3">
        <f>1208.9+(1547.4-1212.8)+(-0.616539+(-0.789174--0.618528))+0-363.5--0.185384999999963</f>
        <v>1179.3982000000003</v>
      </c>
      <c r="M45" s="3">
        <f>1209.4+(1181.6-725.6)+(-0.616794+(-0.602616--0.370056))+0-399.6--0.203795999999959</f>
        <v>1265.1544420000002</v>
      </c>
      <c r="N45" s="3">
        <f>1317.1+(959.6-491.5)+(-0.671721+(-0.489396--0.250665))+0-403.8--0.205937999999959</f>
        <v>1380.6954859999998</v>
      </c>
      <c r="O45" s="3">
        <f>1389.4+(901.3-395.9)+(-1.417188+(-0.919326--0.403818))+0-417.3--0.425646000000067</f>
        <v>1475.9929500000003</v>
      </c>
      <c r="P45" s="3">
        <f>1398.8+(723.5-217.3)+(-2.140164+(-1.106955--0.332469))+0-371.1--0.567783000000021</f>
        <v>1531.5531329999999</v>
      </c>
      <c r="Q45" s="3">
        <f>1402.8+(723.9-219.7)+(0+(0-0))+0-364-0</f>
        <v>1543</v>
      </c>
      <c r="R45" s="3">
        <f>1422.1+(803.9-327)+(-3.626355+(-2.049945--0.83385))+0-389--0.991949999999944</f>
        <v>1506.1494999999998</v>
      </c>
      <c r="S45" s="3">
        <f>1425.9+(1134.5-705.8)+(0+(0-0))+0-345.5-0</f>
        <v>1509.1000000000001</v>
      </c>
      <c r="T45" s="3">
        <f>1423.1+(1439-1046)+(-2.903124+(-2.93556--2.13384))+0-383--0.781319999999983</f>
        <v>1430.1764759999999</v>
      </c>
      <c r="U45" s="3">
        <f>1408.4+(1523.6-1195)+(-3.59142+(-3.88518--3.04725))+0-384--0.979199999999944</f>
        <v>1349.5498500000001</v>
      </c>
      <c r="V45" s="3">
        <f>1411.7+(1481-1113.8)+(-2.159901+(-2.26593--1.704114))+0-353.7--0.54116100000002</f>
        <v>1423.0194440000002</v>
      </c>
      <c r="W45" s="3">
        <f>1431.1+(1158.5-811.6)+(-2.189583+(-1.772505--1.241748))+0-394.7--0.603891000000023</f>
        <v>1381.1835509999999</v>
      </c>
      <c r="X45" s="3">
        <f>1448.6+(1021.4-757.3)+(-3.69393+(-2.60457--1.931115))+0-408.7--1.04218499999994</f>
        <v>1300.6747999999998</v>
      </c>
      <c r="Y45" s="3">
        <f>1489.8+(1077.6-854.5)+(-2.279394+(-1.648728--1.307385))+0-381.3--0.583389000000022</f>
        <v>1329.5626520000001</v>
      </c>
      <c r="Z45" s="3">
        <f>1754.3+(645.9-600.6)+(-0.894693+(-0.329409--0.306306))+0-363.8--0.185537999999963</f>
        <v>1435.067742</v>
      </c>
      <c r="AA45" s="3">
        <f>1787.7+(695.1-481.2)+(-3.646908+(-1.418004--0.981648))+0-365.6--0.745823999999984</f>
        <v>1632.6625600000002</v>
      </c>
      <c r="AB45" s="3">
        <f>1797.3+(724-543.3)+(-4.583115+(-1.8462--1.385415))+0-361--0.920549999999948</f>
        <v>1612.8766500000002</v>
      </c>
      <c r="AC45" s="3">
        <f>1800.7+(1099.1-922.2)+(-2.755071+(-1.681623--1.410966))+0-364.6--0.557838000000021</f>
        <v>1610.5321099999999</v>
      </c>
      <c r="AD45">
        <v>1637.6000000000001</v>
      </c>
      <c r="AE45" s="3">
        <f>1792+(638.4-448.8)+(0+(0-0))+0-344-0</f>
        <v>1637.6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1712+(1710.8-1535)+(-3.49248+(-3.490032--3.1314))+0-413--0.842519999999982</f>
        <v>1471.7914079999998</v>
      </c>
      <c r="G46" s="3">
        <f>1639.3+(2208.2-2083.5)+(-0.836043+(-1.126182--1.062585))+0-414.8--0.211547999999958</f>
        <v>1348.5119079999997</v>
      </c>
      <c r="H46" s="3">
        <f>1460.8+(2293.1-2104)+(-0.745008+(-1.169481--1.07304))+0-367.8--0.187577999999963</f>
        <v>1281.4461289999999</v>
      </c>
      <c r="I46" s="3">
        <f>1369.2+(2068-1812.2)+(-0.698292+(-1.05468--0.924222))+0-408.9--0.208538999999959</f>
        <v>1215.4797890000002</v>
      </c>
      <c r="J46" s="3">
        <f>1369.5+(2046.2-1857.2)+(-2.79378+(-4.174248--3.788688))+0-406--0.828239999999982</f>
        <v>1150.1489000000001</v>
      </c>
      <c r="K46" s="3">
        <f>1369.1+(1857.2-1651.2)+(-5.585928+(-7.577376--6.736896))+0-370.8--1.51286399999997</f>
        <v>1199.386456</v>
      </c>
      <c r="L46" s="3">
        <f>1367.2+(1477-1303.5)+(-2.091816+(-2.25981--1.994355))+0-409.7--0.626841000000024</f>
        <v>1129.2695699999999</v>
      </c>
      <c r="M46" s="3">
        <f>1397.3+(1037.3-868)+(0+(0-0))+0-411.1-0</f>
        <v>1155.5</v>
      </c>
      <c r="N46" s="3">
        <f>1498.2+(777.6-603.4)+(0+(0-0))+0-404.2-0</f>
        <v>1268.2</v>
      </c>
      <c r="O46" s="3">
        <f>1557+(676.4-362.9)+(0.79407+(0.344964-0.185079))+0-405.8-0.206957999999959</f>
        <v>1465.446997</v>
      </c>
      <c r="P46" s="3">
        <f>1581.3+(486.5-205.4)+(-2.419389+(-0.744345--0.314262))+0-407.4--0.623322000000023</f>
        <v>1452.77385</v>
      </c>
      <c r="Q46" s="3">
        <f>1581.1+(573.8-205)+(-2.419083+(-0.877914--0.31365))+0-395.6--0.605268000000023</f>
        <v>1551.9219209999999</v>
      </c>
      <c r="R46" s="3">
        <f>1597.8+(733.2-363)+(-2.444634+(-1.121796--0.55539))+0-405.7--0.620721000000023</f>
        <v>1559.9096809999999</v>
      </c>
      <c r="S46" s="3">
        <f>1602.4+(953.9-689.4)+(-1.634448+(-0.972978--0.703188))+0-400.4--0.408408000000064</f>
        <v>1465.0041699999999</v>
      </c>
      <c r="T46" s="3">
        <f>1597.4+(1038.5-770)+(0.814674+(0.529635-0.3927))+0-398.1-0.20303099999996</f>
        <v>1468.5485779999999</v>
      </c>
      <c r="U46" s="3">
        <f>1596.4+(1101-832.7)+(-2.442492+(-1.68453--1.274031))+0-400.3--0.612459000000023</f>
        <v>1462.1594680000001</v>
      </c>
      <c r="V46" s="3">
        <f>1596+(1206.8-949.5)+(-3.25584+(-2.461872--1.93698))+0-409--0.834359999999982</f>
        <v>1441.3536280000001</v>
      </c>
      <c r="W46" s="3">
        <f>1598.3+(1417.3-1127.9)+(-2.445399+(-2.168469--1.725687))+0-410.3--0.627759000000024</f>
        <v>1475.1395779999998</v>
      </c>
      <c r="X46" s="3">
        <f>1612.7+(1218.7-1057.8)+(-3.289908+(-2.486148--2.157912))+0-410.8--0.838031999999982</f>
        <v>1360.019888</v>
      </c>
      <c r="Y46" s="3">
        <f>1733.8+(1050.2-985.4)+(-0.884238+(-0.535602--0.502554))+0-362.1--0.184670999999963</f>
        <v>1435.7673849999996</v>
      </c>
      <c r="Z46" s="3">
        <f>2134+(1062.8-1168.3)+(-5.4417+(-2.71014--2.979165))+0-365.2--0.931259999999947</f>
        <v>1659.0585849999998</v>
      </c>
      <c r="AA46" s="3">
        <f>2166.9+(1257.9-1377.4)+(-3.315357+(-1.924587--2.107422))+0-366.3--0.560439000000021</f>
        <v>1678.5279170000001</v>
      </c>
      <c r="AB46" s="3">
        <f>2139.7+(1409.2-1570.8)+(-3.273741+(-2.156076--2.403324))+0-391.1--0.598383000000023</f>
        <v>1584.5718899999997</v>
      </c>
      <c r="AC46" s="3">
        <f>2012.4+(1613.5-1607.8)+(-2.052648+(-1.64577--1.639956))+0-403.9--0.411978000000064</f>
        <v>1612.5535160000004</v>
      </c>
      <c r="AD46">
        <v>1797.1000000000001</v>
      </c>
      <c r="AE46" s="3">
        <f>2172+(1365.5-1374.2)+(0+(0-0))+0-366.2-0</f>
        <v>1797.1000000000001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1959.5+(1976.7-2088.3)+(-2.998035+(-3.024351--3.195099))+0-415.8--0.636174000000024</f>
        <v>1429.9088869999998</v>
      </c>
      <c r="G47" s="3">
        <f>1911.9+(2058.9-2322.2)+(-2.925207+(-3.150117--3.552966))+0-408.1--0.624393000000024</f>
        <v>1238.6020350000003</v>
      </c>
      <c r="H47" s="3">
        <f>1665.7+(2210.8-2244.9)+(0+(0-0))+0-415.6-0</f>
        <v>1216</v>
      </c>
      <c r="I47" s="3">
        <f>1623+(2180.3-2204.2)+(-4.13865+(-5.559765--5.62071))+0-413.9--1.05544499999994</f>
        <v>1182.1777400000005</v>
      </c>
      <c r="J47" s="3">
        <f>1605.3+(1977.5-1918.2)+(1.637406+(2.01705-1.956564))+0-421.9-0.430338000000067</f>
        <v>1243.9675539999998</v>
      </c>
      <c r="K47" s="3">
        <f>1576.5+(1461.7-1484.6)+(-3.21606+(-2.981868--3.028584))+0-361.6--0.737663999999984</f>
        <v>1189.5683200000001</v>
      </c>
      <c r="L47" s="3">
        <f>1579.7+(1042-1168.5)+(0.805647+(0.53142-0.595935))+0-368.8-0.188087999999963</f>
        <v>1084.9530440000003</v>
      </c>
      <c r="M47" s="3">
        <f>1579.5+(968.3-1018.2)+(0+(0-0))+0-413.4-0</f>
        <v>1116.1999999999998</v>
      </c>
      <c r="N47" s="3">
        <f>1574.7+(882.9-754.4)+(-0.803097+(-0.450279--0.384744))+2.3-400.6--0.204305999999959</f>
        <v>1304.2356739999998</v>
      </c>
      <c r="O47" s="3">
        <f>1514.2+(847.6-596.6)+(0+(0-0))+0-399-0</f>
        <v>1366.2</v>
      </c>
      <c r="P47" s="3">
        <f>1412.1+(953.8-529.1)+(-0.720171+(-0.486438--0.269841))+0-401.2--0.204611999999959</f>
        <v>1434.8678439999996</v>
      </c>
      <c r="Q47" s="3">
        <f>1388.5+(1051.6-650)+(0.708135+(0.536316-0.3315))+0-399.4-0.203693999999959</f>
        <v>1391.409257</v>
      </c>
      <c r="R47" s="3">
        <f>1456.4+(1130.3-871.3)+(-1.485528+(-1.152906--0.888726))+0-382.2--0.389844000000061</f>
        <v>1331.840136</v>
      </c>
      <c r="S47" s="3">
        <f>1573.1+(1392.1-1154)+(-1.604562+(-1.419942--1.17708))+0-365.5--0.372810000000058</f>
        <v>1444.2253859999998</v>
      </c>
      <c r="T47" s="3">
        <f>1598.2+(1709.5-1457.9)+(-2.445246+(-2.615535--2.230587))+0-367.7--0.562581000000021</f>
        <v>1479.8323869999999</v>
      </c>
      <c r="U47" s="3">
        <f>1599.7+(1843.6-1715)+(-3.263388+(-3.760944--3.4986))+0-379.5--0.774179999999983</f>
        <v>1346.0484479999998</v>
      </c>
      <c r="V47" s="3">
        <f>1600+(2028.6-1887.9)+(-4.08+(-5.17293--4.814145))+0-385.4--0.982769999999944</f>
        <v>1351.8439849999997</v>
      </c>
      <c r="W47" s="3">
        <f>1600.5+(2076.5-1980)+(-3.26502+(-4.23606--4.0392))+0-398.8--0.813551999999983</f>
        <v>1295.5516720000001</v>
      </c>
      <c r="X47" s="3">
        <f>1602.1+(1692.4-1721)+(-4.085355+(-4.31562--4.38855))+0-394.7--1.00648499999994</f>
        <v>1175.7940599999999</v>
      </c>
      <c r="Y47" s="3">
        <f>1670.9+(1361.6-1314.3)+(-3.408636+(-2.777664--2.681172))+0-394.9--0.805595999999983</f>
        <v>1320.6004679999999</v>
      </c>
      <c r="Z47" s="3">
        <f>2041.1+(1393.8-1475)+(-5.204805+(-3.55419--3.76125))+0-404.3--1.03096499999994</f>
        <v>1551.6332199999999</v>
      </c>
      <c r="AA47" s="3">
        <f>2234.9+(1501.6-1796.6)+(-5.698995+(-3.82908--4.58133))+0-411.8--1.05008999999994</f>
        <v>1524.2033450000001</v>
      </c>
      <c r="AB47" s="3">
        <f>2205.6+(1599.5-1831.3)+(-2.249712+(-1.63149--1.867926))+0-413.2--0.421464000000066</f>
        <v>1559.008188</v>
      </c>
      <c r="AC47" s="3">
        <f>2119.2+(2055.6-2217.5)+(-3.242376+(-3.145068--3.392775))+0-411.5--0.629595000000024</f>
        <v>1543.4349259999999</v>
      </c>
      <c r="AD47">
        <v>1550.1999999999998</v>
      </c>
      <c r="AE47" s="3">
        <f>2239+(1535.2-1817.5)+(0+(0-0))+0-406.5-0</f>
        <v>1550.2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2054+(2547.4-2722.9)+(-4.19016+(-5.196696--5.554716))+0-413.6--0.843743999999982</f>
        <v>1461.9116040000001</v>
      </c>
      <c r="G48" s="3">
        <f>1818.2+(2564.1-2710.2)+(-4.63641+(-6.538455--6.91101))+0-428.8--1.09343999999994</f>
        <v>1240.1295850000001</v>
      </c>
      <c r="H48" s="3">
        <f>1663.7+(2343.1-2485.2)+(-3.393948+(-4.779924--5.069808))+0-423.8--0.864551999999982</f>
        <v>1095.5604880000001</v>
      </c>
      <c r="I48" s="3">
        <f>1609.1+(2158-2245.7)+(-2.461923+(-3.30174--3.435921))+0-409.9--0.627147000000024</f>
        <v>1109.799405</v>
      </c>
      <c r="J48" s="3">
        <f>1610.6+(2119.1-2192)+(-3.285624+(-4.322964--4.47168))+0-396.9--0.809675999999983</f>
        <v>1138.4727679999999</v>
      </c>
      <c r="K48" s="3">
        <f>1613.2+(1927.6-2024.4)+(-2.468196+(-2.949228--3.097332))+0-408.7--0.625311000000024</f>
        <v>1106.0052189999999</v>
      </c>
      <c r="L48" s="3">
        <f>1608.7+(1757.8-1884.2)+(-4.102185+(-4.48239--4.80471))+0-401.8--1.02458999999994</f>
        <v>1077.744725</v>
      </c>
      <c r="M48" s="3">
        <f>1616.5+(1466-1566.7)+(1.64883+(1.49532-1.598034))+0-417.9-0.426258000000067</f>
        <v>1099.0198580000001</v>
      </c>
      <c r="N48" s="3">
        <f>1689.4+(1340.7-1420.2)+(-0.861594+(-0.683757--0.724302))+0-415.1--0.211700999999958</f>
        <v>1194.190652</v>
      </c>
      <c r="O48" s="3">
        <f>1693.3+(1472.3-1458.5)+(-1.727166+(-1.501746--1.48767))+4.3-408.7--0.416874000000065</f>
        <v>1301.3756319999998</v>
      </c>
      <c r="P48" s="3">
        <f>1694.4+(1330.3-1277.7)+(-3.456576+(-2.713812--2.606508))+0-394.9--0.805595999999983</f>
        <v>1349.3417160000001</v>
      </c>
      <c r="Q48" s="3">
        <f>1704.6+(1244.4-1145.5)+(-2.608038+(-1.903932--1.752615))+0-377.6--0.577728000000022</f>
        <v>1423.7183729999999</v>
      </c>
      <c r="R48" s="3">
        <f>1713+(1436.9-1239.3)+(-3.49452+(-2.931276--2.528172))+0-378.8--0.772751999999983</f>
        <v>1528.6751280000003</v>
      </c>
      <c r="S48" s="3">
        <f>1712.7+(1663.4-1645)+(-4.367385+(-4.24167--4.19475))+0-379.1--0.966704999999945</f>
        <v>1348.5524000000003</v>
      </c>
      <c r="T48" s="3">
        <f>1711+(1657.1-1621.3)+(-1.74522+(-1.690242--1.653726))+0-382.5--0.390150000000061</f>
        <v>1362.908414</v>
      </c>
      <c r="U48" s="3">
        <f>1690.7+(1577.6-1557.9)+(-3.449028+(-3.218304--3.178116))+0-378.4--0.771935999999983</f>
        <v>1329.2827200000002</v>
      </c>
      <c r="V48" s="3">
        <f>1697.2+(1412.9-1454.2)+(0+(0-0))+0-374.6-0</f>
        <v>1281.3000000000002</v>
      </c>
      <c r="W48" s="3">
        <f>1695.6+(1310.5-1323.4)+(-2.594268+(-2.005065--2.024802))+0-374.9--0.573597000000022</f>
        <v>1305.799066</v>
      </c>
      <c r="X48" s="3">
        <f>1694.9+(1011.7-1033.4)+(-3.457596+(-2.063868--2.108136))+0-377.4--0.769895999999983</f>
        <v>1293.1565680000001</v>
      </c>
      <c r="Y48" s="3">
        <f>1798.2+(1040.9-1031.6)+(-3.668328+(-2.123436--2.104464))+0-377.2--0.769487999999984</f>
        <v>1427.382188</v>
      </c>
      <c r="Z48" s="3">
        <f>2142.4+(1022.8-1199.5)+(-3.277872+(-1.564884--1.835235))+0-365.4--0.559062000000021</f>
        <v>1597.8515410000002</v>
      </c>
      <c r="AA48" s="3">
        <f>2153.2+(1184.7-1273.9)+(-4.392528+(-2.416788--2.598756))+0-365.2--0.745007999999984</f>
        <v>1695.3344479999998</v>
      </c>
      <c r="AB48" s="3">
        <f>2002.5+(1538.5-1556.4)+(-2.04255+(-1.56927--1.587528))+0-376.1--0.38362200000006</f>
        <v>1606.85933</v>
      </c>
      <c r="AC48" s="3">
        <f>1996.3+(1842.8-1870.2)+(-4.072452+(-3.759312--3.815208))+0-413.8--0.844151999999982</f>
        <v>1551.9275959999998</v>
      </c>
      <c r="AD48">
        <v>1674.9</v>
      </c>
      <c r="AE48" s="3">
        <f>2235+(938.1-1135.3)+(0+(0-0))+0-362.9-0</f>
        <v>1674.9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1942.8+(2033.6-2189.4)+(0+(0-0))+0-431.7-0</f>
        <v>1355.2999999999997</v>
      </c>
      <c r="G49" s="3">
        <f>1704.7+(2061-2058.8)+(-0.869397+(-1.05111--1.049988))+0-438.1--0.223430999999956</f>
        <v>1268.1529119999996</v>
      </c>
      <c r="H49" s="3">
        <f>1695.1+(2224.6-2308.2)+(-6.051507+(-7.941822--8.240274))+0-391.4--1.39729800000001</f>
        <v>1215.7442430000003</v>
      </c>
      <c r="I49" s="3">
        <f>1692.5+(1937.5-2095.1)+(-2.589525+(-2.964375--3.205503))+0-433.3--0.662949000000025</f>
        <v>1099.9145520000002</v>
      </c>
      <c r="J49" s="3">
        <f>1516.1+(1660.3-1611.6)+(0+(0-0))+0-421-0</f>
        <v>1143.8</v>
      </c>
      <c r="K49" s="3">
        <f>1500.8+(1607.9-1513.3)+(-0.765408+(-0.820029--0.771783))+0-423.5--0.215984999999957</f>
        <v>1171.3023310000001</v>
      </c>
      <c r="L49" s="3">
        <f>1500.8+(1402.4-1303.8)+(-0.765408+(-0.715224--0.664938))+0-431.9--0.220268999999956</f>
        <v>1166.904575</v>
      </c>
      <c r="M49" s="3">
        <f>1501.4+(1421.3-1227.5)+(0.765714+(0.724863-0.626025))+0-427.3-0.217922999999957</f>
        <v>1268.5466290000002</v>
      </c>
      <c r="N49" s="3">
        <f>1549.9+(1544.2-1248.2)+(1.580898+(1.575084-1.273164))+0-435.3-0.444006000000069</f>
        <v>1412.038812</v>
      </c>
      <c r="O49" s="3">
        <f>1631.7+(1413.9-1149.3)+(0+(0-0))+0-388.7-0</f>
        <v>1507.6000000000001</v>
      </c>
      <c r="P49" s="3">
        <f>1698.9+(1205.4-992.9)+(0+(0-0))+0-400.3-0</f>
        <v>1511.1000000000001</v>
      </c>
      <c r="Q49" s="3">
        <f>1697.8+(1136.5-872.3)+(0.865878+(0.579615-0.444873))+0-429.7-0.219146999999956</f>
        <v>1533.081473</v>
      </c>
      <c r="R49" s="3">
        <f>1708.7+(1276.6-973.4)+(1.742874+(1.302132-0.992868))+0-428.2-0.436764000000068</f>
        <v>1585.315374</v>
      </c>
      <c r="S49" s="3">
        <f>1703.3+(1470.2-1230.7)+(-0.868683+(-0.749802--0.627657))+0-410.1--0.209150999999958</f>
        <v>1531.9183229999999</v>
      </c>
      <c r="T49" s="3">
        <f>1699.3+(1523-1312.9)+(0+(0-0))+0-417.1-0</f>
        <v>1492.2999999999997</v>
      </c>
      <c r="U49" s="3">
        <f>1697.7+(1668.3-1435.8)+(0+(0-0))+0-416.7-0</f>
        <v>1513.5</v>
      </c>
      <c r="V49" s="3">
        <f>1697.8+(1824.6-1568.1)+(-3.463512+(-3.722184--3.198924))+0-421.7--0.860267999999982</f>
        <v>1529.4734959999998</v>
      </c>
      <c r="W49" s="3">
        <f>1698.5+(1989.9-1756.5)+(-3.46494+(-4.059396--3.58326))+0-415.8--0.848231999999982</f>
        <v>1513.0071560000001</v>
      </c>
      <c r="X49" s="3">
        <f>1691.3+(1605.5-1483)+(-6.900504+(-6.55044--6.05064))+0-390.5--1.59323999999997</f>
        <v>1417.4929359999999</v>
      </c>
      <c r="Y49" s="3">
        <f>1725.9+(1236.1-1122.1)+(-4.401045+(-3.152055--2.861355))+0-389--0.991949999999944</f>
        <v>1447.2002049999999</v>
      </c>
      <c r="Z49" s="3">
        <f>2133.5+(1390.3-1380.1)+(-3.264255+(-2.127159--2.111553))+0-390.2--0.597006000000023</f>
        <v>1750.8171449999998</v>
      </c>
      <c r="AA49" s="3">
        <f>2222.1+(1426.3-1574.6)+(-6.799626+(-4.364478--4.818276))+0-375.8--1.14994800000004</f>
        <v>1692.8041200000002</v>
      </c>
      <c r="AB49" s="3">
        <f>2223.8+(1478.7-1773.6)+(-2.268276+(-1.508274--1.809072))+0-364.8--0.372096000000058</f>
        <v>1562.5046180000004</v>
      </c>
      <c r="AC49" s="3">
        <f>2226.1+(1993.4-2344.8)+(-2.270622+(-2.033268--2.391696))+0-378.3--0.38586600000006</f>
        <v>1494.8736719999999</v>
      </c>
      <c r="AD49">
        <v>1810.4</v>
      </c>
      <c r="AE49" s="3">
        <f>2240+(1329.4-1373.9)+(0+(0-0))+0-385.1-0</f>
        <v>1810.4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2205.8+(2092.8-2550.1)+(-5.62479+(-5.33664--6.502755))+0-386.9--0.986594999999944</f>
        <v>1358.1279200000004</v>
      </c>
      <c r="G50" s="3">
        <f>2086.4+(1744.6-2145.2)+(-2.128128+(-1.779492--2.188104))+0-390.2--0.398004000000062</f>
        <v>1294.2784880000002</v>
      </c>
      <c r="H50" s="3">
        <f>1851.3+(1785-1941.5)+(-1.888326+(-1.8207--1.98033))+0-387.6--0.395352000000062</f>
        <v>1305.8666560000001</v>
      </c>
      <c r="I50" s="3">
        <f>1760.4+(1965.8-2067.6)+(0+(0-0))+0-390.9-0</f>
        <v>1267.7000000000003</v>
      </c>
      <c r="J50" s="3">
        <f>1598.2+(1893.8-1897.5)+(1.630164+(1.931676-1.93545))+0-388.5-0.396270000000062</f>
        <v>1207.2301199999999</v>
      </c>
      <c r="K50" s="3">
        <f>1500.3+(1590.4-1513.5)+(-3.825765+(-4.05552--3.859425))+0-376.8--0.960839999999945</f>
        <v>1197.33898</v>
      </c>
      <c r="L50" s="3">
        <f>1499.9+(1399.3-1324.1)+(-3.824745+(-3.568215--3.376455))+0-372.7--0.950384999999946</f>
        <v>1199.3338799999999</v>
      </c>
      <c r="M50" s="3">
        <f>1517.4+(1322-1200.9)+(0+(0-0))+0-374.3-0</f>
        <v>1264.2</v>
      </c>
      <c r="N50" s="3">
        <f>1671.6+(1459.1-1326.6)+(-1.705032+(-1.488282--1.353132))+0-367.2--0.374544000000059</f>
        <v>1435.434362</v>
      </c>
      <c r="O50" s="3">
        <f>1754.6+(1248.6-1143.6)+(-3.579384+(-2.547144--2.332944))+0-365.9--0.746435999999984</f>
        <v>1490.6528519999997</v>
      </c>
      <c r="P50" s="3">
        <f>1683.5+(1130.7-965.9)+(-0.858585+(-0.576657--0.492609))+0-366.8--0.187067999999963</f>
        <v>1480.7444350000003</v>
      </c>
      <c r="Q50" s="3">
        <f>1623.4+(1068.9-809)+(0+(0-0))+0-366.2-0</f>
        <v>1517.1000000000001</v>
      </c>
      <c r="R50" s="3">
        <f>1634.9+(1091.1-799.7)+(-3.335196+(-2.225844--1.631388))+0-358.6--0.731543999999984</f>
        <v>1564.501892</v>
      </c>
      <c r="S50" s="3">
        <f>1741+(1655.3-1481.1)+(-5.32746+(-5.065218--4.532166))+0-352.4--1.07834400000004</f>
        <v>1558.017832</v>
      </c>
      <c r="T50" s="3">
        <f>1828.6+(1937-1843.9)+(-3.730344+(-3.95148--3.761556))+0-359.2--0.732767999999984</f>
        <v>1559.3124999999998</v>
      </c>
      <c r="U50" s="3">
        <f>1789.5+(1944.2-1837.8)+(0+(0-0))+0-364.8-0</f>
        <v>1531.1000000000001</v>
      </c>
      <c r="V50" s="3">
        <f>1832.5+(1840.9-1814.6)+(-4.672875+(-4.694295--4.62723))+0-375.1--0.956504999999946</f>
        <v>1479.9165650000002</v>
      </c>
      <c r="W50" s="3">
        <f>1830.5+(1699.8-1685.1)+(-4.667775+(-4.33449--4.297005))+0-374.6--0.955229999999946</f>
        <v>1466.8499700000002</v>
      </c>
      <c r="X50" s="3">
        <f>1839.1+(1197.5-1278.4)+(-3.751764+(-2.4429--2.607936))+0-380.6--0.776423999999983</f>
        <v>1374.7896959999996</v>
      </c>
      <c r="Y50" s="3">
        <f>1869.4+(945.7-1038.1)+(-0.953394+(-0.482307--0.529431))+0-382.4--0.195023999999961</f>
        <v>1393.8887540000003</v>
      </c>
      <c r="Z50" s="3">
        <f>2143.9+(1023.7-1124.2)+(-1.093389+(-0.522087--0.573342))+0-383.5--0.195584999999961</f>
        <v>1659.053451</v>
      </c>
      <c r="AA50" s="3">
        <f>2093.5+(739.7-813.3)+(-1.067685+(-0.377247--0.414783))+0-372.6--0.190025999999962</f>
        <v>1646.459877</v>
      </c>
      <c r="AB50" s="3">
        <f>1944.8+(1121.5-997.1)+(-0.991848+(-0.571965--0.508521))+0-378.2--0.192881999999962</f>
        <v>1690.1375899999998</v>
      </c>
      <c r="AC50" s="3">
        <f>1894.8+(1739.1-1600.6)+(-4.83174+(-4.434705--4.08153))+0-424.3--1.08196499999994</f>
        <v>1604.8970499999998</v>
      </c>
      <c r="AD50">
        <v>1702.1</v>
      </c>
      <c r="AE50" s="3">
        <f>2216+(942.4-1078.4)+(0+(0-0))+0-377.9-0</f>
        <v>1702.1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1811.9+(2123.6-2048)+(-1.848138+(-2.166072--2.08896))+0-424.9--0.433398000000068</f>
        <v>1461.1081480000003</v>
      </c>
      <c r="G51" s="3">
        <f>1684.7+(2118.4-2016.8)+(-3.436788+(-4.321536--4.114272))+0-430--0.877199999999981</f>
        <v>1353.533148</v>
      </c>
      <c r="H51" s="3">
        <f>1557+(2099.4-1962.4)+(0+(0-0))+0-394.8-0</f>
        <v>1299.2</v>
      </c>
      <c r="I51" s="3">
        <f>1521.4+(2022.5-1871)+(-3.87957+(-5.157375--4.77105))+0-423.4--1.07966999999994</f>
        <v>1246.3137749999999</v>
      </c>
      <c r="J51" s="3">
        <f>1520.9+(1884.8-1757.6)+(-3.878295+(-4.80624--4.48188))+0-429.8--1.09598999999994</f>
        <v>1215.1933350000002</v>
      </c>
      <c r="K51" s="3">
        <f>1522.5+(2002.7-1848.4)+(-1.55295+(-2.042754--1.885368))+0-424--0.432480000000068</f>
        <v>1251.522144</v>
      </c>
      <c r="L51" s="3">
        <f>1521.2+(1491.5-1479.6)+(-5.430684+(-5.324655--5.282172))+0-416.7--1.48761900000001</f>
        <v>1112.414452</v>
      </c>
      <c r="M51" s="3">
        <f>1529.7+(1380.6-1263.1)+(2.340441+(2.112318-1.932543))+0-423.6-0.648108000000025</f>
        <v>1225.4721079999997</v>
      </c>
      <c r="N51" s="3">
        <f>1566.4+(1426.3-1144.9)+(1.597728+(1.454826-1.167798))+0-426.4-0.434928000000068</f>
        <v>1422.8498279999999</v>
      </c>
      <c r="O51" s="3">
        <f>1736+(1108.7-904.8)+(-1.77072+(-1.130874--0.922896))+0-427.6--0.436152000000068</f>
        <v>1510.7574540000003</v>
      </c>
      <c r="P51" s="3">
        <f>1775.2+(915.5-699.4)+(-2.716056+(-1.400715--1.070082))+0-426--0.651780000000025</f>
        <v>1562.9050910000001</v>
      </c>
      <c r="Q51" s="3">
        <f>1775.9+(750.8-496.2)+(0.905709+(0.382908-0.253062))+0-420.8-0.214607999999957</f>
        <v>1610.520947</v>
      </c>
      <c r="R51" s="3">
        <f>1774.9+(780.5-536.9)+(-1.810398+(-0.79611--0.547638))+0-442.3--0.451146000000071</f>
        <v>1574.5922760000001</v>
      </c>
      <c r="S51" s="3">
        <f>1777.5+(1325.4-1121.3)+(-1.81305+(-1.351908--1.143726))+0-387.9--0.395658000000062</f>
        <v>1592.0744260000004</v>
      </c>
      <c r="T51" s="3">
        <f>1802.5+(1496-1334.9)+(-1.83855+(-1.52592--1.361598))+0-433.7--0.442374000000069</f>
        <v>1528.3395019999998</v>
      </c>
      <c r="U51" s="3">
        <f>1833+(1616.4-1425.7)+(-4.67415+(-4.12182--3.635535))+0-440--1.12199999999994</f>
        <v>1579.6615649999999</v>
      </c>
      <c r="V51" s="3">
        <f>1836+(1754-1630.5)+(-1.87272+(-1.78908--1.66311))+0-425--0.433500000000068</f>
        <v>1532.9348100000002</v>
      </c>
      <c r="W51" s="3">
        <f>1841.2+(1683.9-1590.7)+(-6.573084+(-6.011523--5.678799))+0-433.8--1.54866600000001</f>
        <v>1495.2428580000001</v>
      </c>
      <c r="X51" s="3">
        <f>1838.5+(1439.3-1363.2)+(-6.563445+(-5.138301--4.866624))+0-439.7--1.56972900000001</f>
        <v>1469.634607</v>
      </c>
      <c r="Y51" s="3">
        <f>1881.2+(1085.3-1113.9)+(-1.918824+(-1.107006--1.136178))+0-387.4--0.395148000000062</f>
        <v>1463.705496</v>
      </c>
      <c r="Z51" s="3">
        <f>2148.3+(926.5-1013.2)+(-3.286899+(-1.417545--1.550196))+0-387.5--0.592875000000022</f>
        <v>1671.5386270000006</v>
      </c>
      <c r="AA51" s="3">
        <f>2208.5+(1098.1-1167.1)+(-5.631675+(-2.800155--2.976105))+0-385.5--0.983024999999944</f>
        <v>1749.5273000000002</v>
      </c>
      <c r="AB51" s="3">
        <f>2083.7+(1224.1-1240.8)+(0+(0-0))+0-422.3-0</f>
        <v>1644.7</v>
      </c>
      <c r="AC51" s="3">
        <f>2006.9+(1654.3-1596.6)+(-6.141114+(-5.062158--4.885596))+0-434.4--1.32926400000005</f>
        <v>1625.2115880000001</v>
      </c>
      <c r="AD51">
        <v>1764.8999999999999</v>
      </c>
      <c r="AE51" s="3">
        <f>2239+(1180.7-1268.1)+(0+(0-0))+0-386.7-0</f>
        <v>1764.9000000000003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1903.3+(2071.9-2127.2)+(0+(0-0))+0-436-0</f>
        <v>1412.0000000000002</v>
      </c>
      <c r="G52" s="3">
        <f>1717.8+(2086.2-2022.9)+(-3.504312+(-4.255848--4.126716))+0-435.7--0.888827999999981</f>
        <v>1342.6553839999995</v>
      </c>
      <c r="H52" s="3">
        <f>1520.6+(2129-1912.4)+(-2.326518+(-3.25737--2.925972))+0-443.1--0.677943000000026</f>
        <v>1292.1200269999997</v>
      </c>
      <c r="I52" s="3">
        <f>1516.7+(2167.3-1996.6)+(-1.547034+(-2.210646--2.036532))+0-434.3--0.442986000000069</f>
        <v>1251.8218380000003</v>
      </c>
      <c r="J52" s="3">
        <f>1515.1+(1919.9-1720.5)+(-3.090804+(-3.916596--3.50982))+0-429.5--0.876179999999981</f>
        <v>1282.3786</v>
      </c>
      <c r="K52" s="3">
        <f>1463.4+(1656.1-1428.6)+(-3.73167+(-4.223055--3.64293))+0-433--1.10414999999994</f>
        <v>1254.6923549999999</v>
      </c>
      <c r="L52" s="3">
        <f>1376.8+(1306.3-1008.1)+(-1.404336+(-1.332426--1.028262))+0-420.1--0.428502000000067</f>
        <v>1253.6200019999999</v>
      </c>
      <c r="M52" s="3">
        <f>1364.3+(1303.8-933.4)+(-4.174758+(-3.989628--2.856204))+0-412.7--1.26286200000005</f>
        <v>1317.9546799999998</v>
      </c>
      <c r="N52" s="3">
        <f>1426.4+(1168.6-673)+(1.454928+(1.191972-0.68646))+0-420.8-0.429216000000067</f>
        <v>1502.7312240000001</v>
      </c>
      <c r="O52" s="3">
        <f>1565.8+(1222.6-871.6)+(0+(0-0))+0-426.3-0</f>
        <v>1490.4999999999998</v>
      </c>
      <c r="P52" s="3">
        <f>1631.2+(1029.6-749.2)+(-1.663824+(-1.050192--0.764184))+0-381.2--0.388824000000061</f>
        <v>1528.838992</v>
      </c>
      <c r="Q52" s="3">
        <f>1712.1+(1010.3-656.8)+(-1.746342+(-1.030506--0.669936))+0-427--0.435540000000068</f>
        <v>1636.9286279999999</v>
      </c>
      <c r="R52" s="3">
        <f>1712.4+(1091.8-805.4)+(-1.746648+(-1.113636--0.821508))+0-423.2--0.431664000000067</f>
        <v>1573.992888</v>
      </c>
      <c r="S52" s="3">
        <f>1712.3+(1460.7-1247.3)+(0+(0-0))+0-378.4-0</f>
        <v>1547.3000000000002</v>
      </c>
      <c r="T52" s="3">
        <f>1715.1+(1844.9-1688.3)+(0.874701+(0.940899-0.861033))+0-423.5-0.215984999999957</f>
        <v>1448.938582</v>
      </c>
      <c r="U52" s="3">
        <f>1667.9+(1887.5-1640.2)+(-0.850629+(-0.962625--0.836502))+0-414.3--0.211292999999958</f>
        <v>1500.1345410000001</v>
      </c>
      <c r="V52" s="3">
        <f>1530+(1874.4-1472.4)+(-3.9015+(-4.77972--3.75462))+0-399.6--1.01897999999994</f>
        <v>1528.4923799999997</v>
      </c>
      <c r="W52" s="3">
        <f>1600+(2046.3-1689.6)+(-5.712+(-7.305291--6.031872))+0-377.8--1.34874600000001</f>
        <v>1573.2633270000001</v>
      </c>
      <c r="X52" s="3">
        <f>1712.5+(2027.7-1840.2)+(-3.4935+(-4.136508--3.754008))+0-377.8--0.770711999999984</f>
        <v>1519.0947120000001</v>
      </c>
      <c r="Y52" s="3">
        <f>1799.1+(1814.8-1825.8)+(-4.587705+(-4.62774--4.65579))+0-381.9--0.973844999999945</f>
        <v>1402.6141899999998</v>
      </c>
      <c r="Z52" s="3">
        <f>2209+(1457.7-1671.1)+(-3.37977+(-2.230281--2.556783))+0-385.3--0.589509000000022</f>
        <v>1607.8362410000004</v>
      </c>
      <c r="AA52" s="3">
        <f>2243.2+(1716.5-1887)+(0+(0-0))+0-382.2-0</f>
        <v>1690.4999999999998</v>
      </c>
      <c r="AB52" s="3">
        <f>2233.8+(2026.5-2319.2)+(-1.139238+(-1.033515--1.182792))+0-371--0.189209999999962</f>
        <v>1569.2992490000004</v>
      </c>
      <c r="AC52" s="3">
        <f>2235.3+(2306.1-2584.1)+(-1.140003+(-1.176111--1.317891))+0-419.9--0.214148999999957</f>
        <v>1536.6159259999999</v>
      </c>
      <c r="AD52">
        <v>1731.7000000000003</v>
      </c>
      <c r="AE52" s="3">
        <f>2238+(1618.9-1743.3)+(0+(0-0))+0-381.9-0</f>
        <v>1731.7000000000003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2230.2+(2206.5-2585)+(-1.137402+(-1.125315--1.31835))+0-442.3--0.225572999999955</f>
        <v>1408.6812059999997</v>
      </c>
      <c r="G53" s="3">
        <f>2225.2+(2051.4-2483.8)+(-3.404556+(-3.138642--3.800214))+0-424.9--0.650097000000025</f>
        <v>1365.8071129999996</v>
      </c>
      <c r="H53" s="3">
        <f>2044.8+(1723.9-2024)+(-5.21424+(-4.395945--5.1612))+0-439.4--1.12046999999994</f>
        <v>1301.971485</v>
      </c>
      <c r="I53" s="3">
        <f>1912.4+(1815.8-2004.9)+(-4.87662+(-4.63029--5.112495))+0-422.2--1.07660999999994</f>
        <v>1297.7821949999998</v>
      </c>
      <c r="J53" s="3">
        <f>1728.5+(1790.9-1809.3)+(0.881535+(0.913359-0.922743))+0-432.9-0.220778999999956</f>
        <v>1277.8513720000003</v>
      </c>
      <c r="K53" s="3">
        <f>1712.5+(1769.1-1785.2)+(-0.873375+(-0.902241--0.910452))+0-417.8--0.213077999999958</f>
        <v>1277.9479139999999</v>
      </c>
      <c r="L53" s="3">
        <f>1712.4+(1667.3-1696.1)+(-3.493296+(-3.401292--3.460044))+0-430.8--0.878831999999981</f>
        <v>1250.2442880000001</v>
      </c>
      <c r="M53" s="3">
        <f>1716.5+(1332.3-1272.2)+(1.75083+(1.358946-1.297644))+0-435.5-0.444210000000069</f>
        <v>1342.4679219999998</v>
      </c>
      <c r="N53" s="3">
        <f>1713.4+(1381.5-1234.2)+(1.747668+(1.40913-1.258884))+0-417.8-0.426156000000067</f>
        <v>1444.371758</v>
      </c>
      <c r="O53" s="3">
        <f>1716.3+(1179.9-927.7)+(0.875313+(0.601749-0.473127))+0-422.1-0.215270999999957</f>
        <v>1547.1886639999998</v>
      </c>
      <c r="P53" s="3">
        <f>1721.7+(1109.1-824)+(-0.878067+(-0.565641--0.42024))+0-438.1--0.223430999999956</f>
        <v>1567.8999629999998</v>
      </c>
      <c r="Q53" s="3">
        <f>1693.6+(1115.9-858.2)+(-2.591208+(-1.707327--1.313046))+0-394.4--0.603432000000023</f>
        <v>1554.5179430000001</v>
      </c>
      <c r="R53" s="3">
        <f>1680.7+(1317.4-1052)+(-1.714314+(-1.343748--1.07304))+0-389.7--0.397494000000062</f>
        <v>1554.8124720000001</v>
      </c>
      <c r="S53" s="3">
        <f>1712.6+(1782.8-1646.8)+(-1.746852+(-1.818456--1.679736))+0-437.9--0.44665800000007</f>
        <v>1409.2610860000002</v>
      </c>
      <c r="T53" s="3">
        <f>1691.7+(2391.7-2272.6)+(-0.862767+(-1.219767--1.159026))+0-372.8--0.190127999999962</f>
        <v>1437.2666199999999</v>
      </c>
      <c r="U53" s="3">
        <f>1556.8+(2618-2352.9)+(-3.96984+(-6.6759--5.999895))+0-434.7--1.10848499999994</f>
        <v>1383.6626399999998</v>
      </c>
      <c r="V53" s="3">
        <f>1533.3+(2617.2-2297.6)+(-0.781983+(-1.334772--1.171776))+0-438.8--0.223787999999955</f>
        <v>1413.3788089999998</v>
      </c>
      <c r="W53" s="3">
        <f>1604+(2197.5-1965.2)+(-5.72628+(-7.845075--7.015764))+0-430.7--1.53759900000001</f>
        <v>1400.5820079999999</v>
      </c>
      <c r="X53" s="3">
        <f>1597.7+(1503.6-1259.7)+(-3.259308+(-3.067344--2.569788))+0-398.2--0.812327999999983</f>
        <v>1440.4554639999999</v>
      </c>
      <c r="Y53" s="3">
        <f>1714.9+(1373.6-1231.2)+(-3.498396+(-2.802144--2.511648))+0-419.3--0.855371999999982</f>
        <v>1435.06648</v>
      </c>
      <c r="Z53" s="3">
        <f>2115.9+(1199.6-1331.1)+(-3.237327+(-1.835388--2.036583))+0-385.4--0.589662000000022</f>
        <v>1596.5535300000004</v>
      </c>
      <c r="AA53" s="3">
        <f>2249.6+(1350-1577.1)+(-4.589184+(-2.754--3.217284))+0-388.1--0.791723999999983</f>
        <v>1631.065824</v>
      </c>
      <c r="AB53" s="3">
        <f>2240+(1365.6-1652.3)+(-2.2848+(-1.392912--1.685346))+0-431--0.439620000000069</f>
        <v>1520.7472540000001</v>
      </c>
      <c r="AC53" s="3">
        <f>2238.8+(1703.5-2036.7)+(-4.567152+(-3.47514--4.154868))+0-430.4--0.878015999999981</f>
        <v>1472.1905920000002</v>
      </c>
      <c r="AD53">
        <v>1719.7999999999997</v>
      </c>
      <c r="AE53" s="3">
        <f>2250+(1385.6-1527.4)+(0+(0-0))+0-388.4-0</f>
        <v>1719.7999999999997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2169.2+(1740.6-2066.9)+(-3.318876+(-2.663118--3.162357))+0-444.5--0.680085000000026</f>
        <v>1396.2604479999995</v>
      </c>
      <c r="G54" s="3">
        <f>1921.4+(1801.9-1971.7)+(-2.939742+(-2.756907--3.016701))+0-410.2--0.627606000000024</f>
        <v>1339.3476580000001</v>
      </c>
      <c r="H54" s="3">
        <f>1715.6+(2093.2-2084.1)+(-3.499824+(-4.270128--4.251564))+0-442.7--0.903107999999981</f>
        <v>1279.3847199999998</v>
      </c>
      <c r="I54" s="3">
        <f>1559.5+(1969.9-1812.7)+(0+(0-0))+0-423.2-0</f>
        <v>1293.5</v>
      </c>
      <c r="J54" s="3">
        <f>1525.1+(1939.4-1776.8)+(-1.555602+(-1.978188--1.812336))+0-436.6--0.44533200000007</f>
        <v>1249.8238779999999</v>
      </c>
      <c r="K54" s="3">
        <f>1530.8+(1546.1-1369.9)+(0+(0-0))+0-418.5-0</f>
        <v>1288.4999999999998</v>
      </c>
      <c r="L54" s="3">
        <f>1531+(1381-1262.7)+(-3.90405+(-3.52155--3.219885))+0-446.5--1.13857499999994</f>
        <v>1199.7328599999998</v>
      </c>
      <c r="M54" s="3">
        <f>1532.2+(1467.8-1301)+(1.562844+(1.497156-1.32702))+0-442.1-0.450942000000071</f>
        <v>1258.1820379999997</v>
      </c>
      <c r="N54" s="3">
        <f>1506.6+(1610.5-1379.9)+(0.768366+(0.821355-0.703749))+0-415.1-0.211700999999958</f>
        <v>1322.774271</v>
      </c>
      <c r="O54" s="3">
        <f>1463.9+(1869.1-1538.5)+(-1.493178+(-1.906482--1.56927))+0-432.3--0.440946000000069</f>
        <v>1360.8105560000001</v>
      </c>
      <c r="P54" s="3">
        <f>1520.9+(1699.2-1377)+(-0.775659+(-0.866592--0.70227))+0-431.9--0.220268999999956</f>
        <v>1410.4802880000002</v>
      </c>
      <c r="Q54" s="3">
        <f>1664.3+(1634.7-1440)+(1.697586+(1.667394-1.4688))+0-440.2-0.44900400000007</f>
        <v>1420.2471759999999</v>
      </c>
      <c r="R54" s="3">
        <f>1707.5+(1700.4-1583.1)+(3.4833+(3.468816-3.229524))+0-431.5-0.880259999999981</f>
        <v>1396.1423320000004</v>
      </c>
      <c r="S54" s="3">
        <f>1691.7+(1750-1633.6)+(-0.862767+(-0.8925--0.833136))+0-436.7--0.222716999999956</f>
        <v>1370.7005859999999</v>
      </c>
      <c r="T54" s="3">
        <f>1693.9+(1825.3-1769.9)+(-4.319445+(-4.654515--4.513245))+0-434.3--1.10746499999994</f>
        <v>1311.6467500000001</v>
      </c>
      <c r="U54" s="3">
        <f>1712+(2069.4-1961)+(-3.49248+(-4.221576--4.00044))+0-440.5--0.898619999999981</f>
        <v>1377.085004</v>
      </c>
      <c r="V54" s="3">
        <f>1712.7+(2032.3-1885.8)+(-2.620431+(-3.109419--2.885274))+0-429.8--0.657594000000025</f>
        <v>1427.2130180000001</v>
      </c>
      <c r="W54" s="3">
        <f>1709.4+(1670.3-1532.4)+(-5.230764+(-5.111118--4.689144))+0-392.2--1.20013200000005</f>
        <v>1450.6473939999998</v>
      </c>
      <c r="X54" s="3">
        <f>1710.6+(1271.7-1113.6)+(-4.36203+(-3.242835--2.83968))+0-437.4--1.11536999999994</f>
        <v>1427.650185</v>
      </c>
      <c r="Y54" s="3">
        <f>1719+(926.5-783)+(0+(0-0))+0-422.8-0</f>
        <v>1439.7</v>
      </c>
      <c r="Z54" s="3">
        <f>2023.8+(649.4-665.4)+(-4.128552+(-1.324776--1.357416))+0-395.2--0.806207999999983</f>
        <v>1609.3102959999999</v>
      </c>
      <c r="AA54" s="3">
        <f>2162.2+(621.6-783.5)+(-3.308166+(-0.951048--1.198755))+0-438.5--0.670905000000025</f>
        <v>1559.4104459999996</v>
      </c>
      <c r="AB54" s="3">
        <f>2162.7+(902.1-1046.2)+(0+(0-0))+0-434.7-0</f>
        <v>1583.8999999999999</v>
      </c>
      <c r="AC54" s="3">
        <f>2139.1+(1226.5-1517.1)+(-2.181882+(-1.25103--1.547442))+0-432.4--0.441048000000069</f>
        <v>1414.6555780000003</v>
      </c>
      <c r="AD54">
        <v>1699.3999999999999</v>
      </c>
      <c r="AE54" s="3">
        <f>2158+(503.6-563.5)+(0+(0-0))+0-398.7-0</f>
        <v>1699.3999999999999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1932.5+(1794.6-1919.4)+(-2.956725+(-2.745738--2.936682))+0-434.3--0.664479000000025</f>
        <v>1371.2986979999998</v>
      </c>
      <c r="G55" s="3">
        <f>1799.7+(1899.6-1970)+(-4.589235+(-4.84398--5.0235))+0-430.4--1.09751999999994</f>
        <v>1295.5878049999999</v>
      </c>
      <c r="H55" s="3">
        <f>1607.8+(2013.7-1944)+(0.819978+(1.026987-0.99144))+0-432.9-0.220778999999956</f>
        <v>1245.2347459999999</v>
      </c>
      <c r="I55" s="3">
        <f>1518.1+(2074.6-1930.2)+(-3.096924+(-4.232184--3.937608))+0-433.6--0.884543999999981</f>
        <v>1226.3930439999999</v>
      </c>
      <c r="J55" s="3">
        <f>1518+(2132.9-1992.1)+(-2.32254+(-3.263337--3.047913))+0-434.4--0.664632000000025</f>
        <v>1222.526668</v>
      </c>
      <c r="K55" s="3">
        <f>1519.6+(2070.3-1933.3)+(-3.099984+(-4.223412--3.943932))+0-416.6--0.849863999999982</f>
        <v>1237.4703999999999</v>
      </c>
      <c r="L55" s="3">
        <f>1518.9+(1553.5-1362.2)+(-3.873195+(-3.961425--3.47361))+0-424.9--1.08349499999994</f>
        <v>1282.022485</v>
      </c>
      <c r="M55" s="3">
        <f>1516.2+(1265.8-985.2)+(0+(0-0))+0-406.6-0</f>
        <v>1390.1999999999998</v>
      </c>
      <c r="N55" s="3">
        <f>1520.2+(1231.6-835.2)+(-3.87651+(-3.14058--2.12976))+0-423--1.07864999999994</f>
        <v>1489.7913199999998</v>
      </c>
      <c r="O55" s="3">
        <f>1518.4+(1191-692.3)+(-2.323152+(-1.82223--1.059219))+0-417.8--0.639234000000024</f>
        <v>1596.8530710000002</v>
      </c>
      <c r="P55" s="3">
        <f>1517.7+(927.5-349.7)+(-1.548054+(-0.94605--0.356694))+0-384--0.391680000000061</f>
        <v>1709.7542700000001</v>
      </c>
      <c r="Q55" s="3">
        <f>1519.6+(793.7-333.7)+(0+(0-0))+0-407.1-0</f>
        <v>1572.5</v>
      </c>
      <c r="R55" s="3">
        <f>1528.6+(834.2-399.2)+(-2.338758+(-1.276326--0.610776))+0-407.7--0.623781000000024</f>
        <v>1553.5194729999998</v>
      </c>
      <c r="S55" s="3">
        <f>1537.7+(985.1-592)+(-3.136908+(-2.009604--1.20768))+0-424.2--0.865367999999981</f>
        <v>1503.5265360000001</v>
      </c>
      <c r="T55" s="3">
        <f>1706.6+(982.1-756.3)+(-3.481464+(-2.003484--1.542852))+0-422--0.860879999999982</f>
        <v>1507.3187840000001</v>
      </c>
      <c r="U55" s="3">
        <f>1711.4+(1220.1-948)+(-0.872814+(-0.622251--0.48348))+0-426.4--0.217463999999957</f>
        <v>1556.3058790000002</v>
      </c>
      <c r="V55" s="3">
        <f>1696.3+(865.9-649.6)+(0+(0-0))+0-412.5-0</f>
        <v>1500.1</v>
      </c>
      <c r="W55" s="3">
        <f>1700+(947.7-673)+(-5.202+(-2.899962--2.05938))+0-435.2--1.33171200000005</f>
        <v>1534.7891300000001</v>
      </c>
      <c r="X55" s="3">
        <f>1704.3+(646.7-424)+(-7.822737+(-2.968353--1.94616))+0-423.8--1.94524200000007</f>
        <v>1496.3003120000001</v>
      </c>
      <c r="Y55" s="3">
        <f>1753.5+(670.1-413.5)+(-1.78857+(-0.683502--0.42177))+0-386.7--0.394434000000062</f>
        <v>1621.7441319999998</v>
      </c>
      <c r="Z55" s="3">
        <f>2149.9+(671.1-746.8)+(-3.289347+(-1.026783--1.142604))+0-386--0.590580000000022</f>
        <v>1685.6170540000003</v>
      </c>
      <c r="AA55" s="3">
        <f>2245.3+(710.1-898.2)+(-3.435309+(-1.086453--1.374246))+0-385.1--0.589203000000022</f>
        <v>1669.5416870000004</v>
      </c>
      <c r="AB55" s="3">
        <f>2048.8+(814.4-850.2)+(-1.044888+(-0.415344--0.433602))+0-388.1--0.197930999999961</f>
        <v>1624.0713009999997</v>
      </c>
      <c r="AC55" s="3">
        <f>1933.1+(1150.1-1183.5)+(-1.971762+(-1.173102--1.20717))+0-389.1--0.396882000000062</f>
        <v>1509.0591879999997</v>
      </c>
      <c r="AD55">
        <v>1781.0000000000002</v>
      </c>
      <c r="AE55" s="3">
        <f>2242+(744.1-820.8)+(0+(0-0))+0-384.3-0</f>
        <v>1781.0000000000002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1725.5+(1330.4-1263.2)+(-1.76001+(-1.357008--1.288464))+0-385.9--0.393618000000062</f>
        <v>1405.3650640000001</v>
      </c>
      <c r="G56" s="3">
        <f>1642.5+(1552.7-1484.9)+(-5.02605+(-4.751262--4.543794))+0-389.5--1.19187000000005</f>
        <v>1316.7583520000001</v>
      </c>
      <c r="H56" s="3">
        <f>1526.1+(1567.1-1406.9)+(-2.334933+(-2.397663--2.152557))+0-387.2--0.592416000000022</f>
        <v>1297.1123769999997</v>
      </c>
      <c r="I56" s="3">
        <f>1525.9+(1729.5-1544.8)+(-1.556418+(-1.76409--1.575696))+0-432.8--0.441456000000069</f>
        <v>1276.4966440000003</v>
      </c>
      <c r="J56" s="3">
        <f>1524.6+(1680.5-1498.6)+(-3.110184+(-3.42822--3.057144))+0-420.9--0.858635999999982</f>
        <v>1282.9773759999998</v>
      </c>
      <c r="K56" s="3">
        <f>1524.6+(1534.7-1387.4)+(-5.442822+(-5.478879--4.953018))+0-423.9--1.51332300000001</f>
        <v>1243.5446399999998</v>
      </c>
      <c r="L56" s="3">
        <f>1526.2+(1210.4-1122)+(-1.556724+(-1.234608--1.14444))+0-436.2--0.44492400000007</f>
        <v>1177.1980320000002</v>
      </c>
      <c r="M56" s="3">
        <f>1526.1+(745.3-526.6)+(0.778311+(0.380103-0.268566))+0-436.2-0.222461999999956</f>
        <v>1309.2673859999998</v>
      </c>
      <c r="N56" s="3">
        <f>1525.8+(1014.6-615.3)+(1.556316+(1.034892-0.627606))+0-428.3-0.436866000000068</f>
        <v>1498.326736</v>
      </c>
      <c r="O56" s="3">
        <f>1516.8+(893.9-356.4)+(2.320704+(1.367667-0.545292))+0-437.2-0.668916000000025</f>
        <v>1619.574163</v>
      </c>
      <c r="P56" s="3">
        <f>1509.9+(815-286.3)+(0.770049+(0.41565-0.146013))+0-424.9-0.216698999999957</f>
        <v>1614.5229870000003</v>
      </c>
      <c r="Q56" s="3">
        <f>1539.6+(831.6-289.6)+(-2.355588+(-1.272348--0.443088))+0-434--0.664020000000025</f>
        <v>1645.079172</v>
      </c>
      <c r="R56" s="3">
        <f>1627.1+(926.3-604)+(2.489463+(1.417239-0.92412))+0-436-0.667080000000025</f>
        <v>1515.715502</v>
      </c>
      <c r="S56" s="3">
        <f>1785.4+(1314.3-1108.1)+(-1.821108+(-1.340586--1.130262))+0-412.7--0.420954000000066</f>
        <v>1577.2895220000003</v>
      </c>
      <c r="T56" s="3">
        <f>1773.5+(1348.5-1196)+(-0.904485+(-0.687735--0.60996))+0-425.4--0.216953999999957</f>
        <v>1499.8346940000001</v>
      </c>
      <c r="U56" s="3">
        <f>1774.3+(1471.1-1316.5)+(-3.619572+(-3.001044--2.68566))+0-417.5--0.851699999999982</f>
        <v>1508.3167439999997</v>
      </c>
      <c r="V56" s="3">
        <f>1774.6+(1479.9-1296.3)+(-1.810092+(-1.509498--1.322226))+0-416.4--0.424728000000066</f>
        <v>1540.2273639999999</v>
      </c>
      <c r="W56" s="3">
        <f>1773.3+(1282.5-1119.2)+(-5.426298+(-3.92445--3.424752))+0-421.9--1.29101400000005</f>
        <v>1510.065018</v>
      </c>
      <c r="X56" s="3">
        <f>1773.5+(813-643.6)+(-3.61794+(-1.65852--1.312944))+0-420.2--0.857207999999982</f>
        <v>1519.5936919999999</v>
      </c>
      <c r="Y56" s="3">
        <f>1846+(912.1-877)+(-0.94146+(-0.465171--0.44727))+0-380.6--0.194105999999961</f>
        <v>1499.7347449999997</v>
      </c>
      <c r="Z56" s="3">
        <f>2203.6+(994.3-1227.9)+(-2.247672+(-1.014186--1.252458))+0-385.5--0.393210000000061</f>
        <v>1582.8838099999998</v>
      </c>
      <c r="AA56" s="3">
        <f>2153.6+(656.8-831.8)+(-3.295008+(-1.004904--1.272654))+0-389.4--0.595782000000022</f>
        <v>1586.7685239999998</v>
      </c>
      <c r="AB56" s="3">
        <f>2014.5+(814.3-776.1)+(0+(0-0))+0-388.1-0</f>
        <v>1664.6</v>
      </c>
      <c r="AC56" s="3">
        <f>1996.6+(1019.8-1027.2)+(-3.054798+(-1.560294--1.571616))+0-386.2--0.590886000000022</f>
        <v>1600.5474099999997</v>
      </c>
      <c r="AD56">
        <v>1646.8000000000002</v>
      </c>
      <c r="AE56" s="3">
        <f>2238+(830.4-1035.2)+(0+(0-0))+0-386.4-0</f>
        <v>1646.7999999999997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1867.3+(1667-1660.6)+(-4.761615+(-4.25085--4.23453))+0-383.6--0.978179999999944</f>
        <v>1486.3002449999997</v>
      </c>
      <c r="G57" s="3">
        <f>1740.2+(1503.4-1487.7)+(-4.43751+(-3.83367--3.793635))+0-390.1--0.994754999999943</f>
        <v>1362.3172099999999</v>
      </c>
      <c r="H57" s="3">
        <f>1622.3+(1588.6-1473.6)+(-4.136865+(-4.05093--3.75768))+0-386.5--0.985574999999944</f>
        <v>1347.35546</v>
      </c>
      <c r="I57" s="3">
        <f>1614+(1673.9-1559.1)+(-1.64628+(-1.707378--1.590282))+0-366.3--0.373626000000058</f>
        <v>1361.1102500000002</v>
      </c>
      <c r="J57" s="3">
        <f>1556.8+(1529.6-1417.8)+(-0.793968+(-0.780096--0.723078))+0-378.6--0.193085999999962</f>
        <v>1289.3421000000001</v>
      </c>
      <c r="K57" s="3">
        <f>1516.9+(1487.5-1337.7)+(-2.320857+(-2.275875--2.046681))+0-372.7--0.570231000000021</f>
        <v>1292.02018</v>
      </c>
      <c r="L57" s="3">
        <f>1515.9+(1302.1-1201.4)+(-1.546218+(-1.328142--1.225428))+0-372--0.379440000000059</f>
        <v>1243.330508</v>
      </c>
      <c r="M57" s="3">
        <f>1516.7+(795.4-678.6)+(0+(0-0))+0-368.7-0</f>
        <v>1264.8</v>
      </c>
      <c r="N57" s="3">
        <f>1515.7+(661.3-309.6)+(1.546014+(0.674526-0.315792))+0-370.7-0.378114000000059</f>
        <v>1498.2266339999999</v>
      </c>
      <c r="O57" s="3">
        <f>1516.7+(765.3-413.5)+(0+(0-0))+0-370.8-0</f>
        <v>1497.7</v>
      </c>
      <c r="P57" s="3">
        <f>1517.4+(903.6-378.1)+(0+(0-0))+0-380.4-0</f>
        <v>1662.5</v>
      </c>
      <c r="Q57" s="3">
        <f>1541.6+(832.2-390.8)+(0.786216+(0.424422-0.199308))+0-380.7-0.194156999999961</f>
        <v>1603.1171730000001</v>
      </c>
      <c r="R57" s="3">
        <f>1657.5+(670.8-292.1)+(-2.535975+(-1.026324--0.446913))+0-387.2--0.592416000000022</f>
        <v>1646.4770299999998</v>
      </c>
      <c r="S57" s="3">
        <f>1706.8+(861.1-596.4)+(-0.870468+(-0.439161--0.304164))+0-385.9--0.196808999999961</f>
        <v>1584.7913440000002</v>
      </c>
      <c r="T57" s="3">
        <f>1882.5+(746.6-737.6)+(-5.76045+(-2.284596--2.257056))+0-387--1.18422000000004</f>
        <v>1499.8962300000001</v>
      </c>
      <c r="U57" s="3">
        <f>1897.8+(1001.5-977.9)+(-5.807268+(-3.06459--2.992374))+0-374.2--1.14505200000004</f>
        <v>1542.4655680000001</v>
      </c>
      <c r="V57" s="3">
        <f>1895.8+(1227.1-1172.2)+(-6.768006+(-4.380747--4.184754))+0-373.1--1.33196700000001</f>
        <v>1571.9679679999999</v>
      </c>
      <c r="W57" s="3">
        <f>1896.3+(1093.5-1037.7)+(-7.736904+(-4.46148--4.233816))+0-371.4--1.51531199999997</f>
        <v>1574.2507439999999</v>
      </c>
      <c r="X57" s="3">
        <f>1896+(1069.5-989.7)+(-6.76872+(-3.818115--3.533229))+0-356.6--1.27306200000001</f>
        <v>1613.4194559999999</v>
      </c>
      <c r="Y57" s="3">
        <f>1905.5+(1078.3-976.8)+(-3.88722+(-2.199732--1.992672))+0-375.6--0.766223999999984</f>
        <v>1628.0719439999998</v>
      </c>
      <c r="Z57" s="3">
        <f>1968.9+(906.7-842.4)+(-6.024834+(-2.774502--2.577744))+0-369.1--1.12944600000004</f>
        <v>1659.0078540000002</v>
      </c>
      <c r="AA57" s="3">
        <f>2013.1+(1033.1-985)+(-4.106724+(-2.107524--2.0094))+0-363.6--0.741743999999984</f>
        <v>1694.136896</v>
      </c>
      <c r="AB57" s="3">
        <f>2013.3+(1351.2-1393.6)+(-4.107132+(-2.756448--2.842944))+0-380.3--0.775811999999983</f>
        <v>1587.3551760000003</v>
      </c>
      <c r="AC57" s="3">
        <f>2010.5+(1663-1724)+(-3.076065+(-2.54439--2.63772))+0-427.6--0.654228000000025</f>
        <v>1519.5714930000001</v>
      </c>
      <c r="AD57">
        <v>1712.1999999999998</v>
      </c>
      <c r="AE57" s="3">
        <f>2007+(1031.7-970.5)+(0+(0-0))+0-356-0</f>
        <v>1712.1999999999998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1961.5+(1781-1874.5)+(-2.00073+(-1.81662--1.91199))+0-433.9--0.442578000000069</f>
        <v>1432.6372180000003</v>
      </c>
      <c r="G58" s="3">
        <f>1814.3+(1780.1-1812.2)+(-3.701172+(-3.631404--3.696888))+0-426--0.869039999999981</f>
        <v>1353.4333519999998</v>
      </c>
      <c r="H58" s="3">
        <f>1550.9+(1599.2-1468.3)+(-1.581918+(-1.631184--1.497666))+0-442.7--0.451554000000071</f>
        <v>1237.8361180000002</v>
      </c>
      <c r="I58" s="3">
        <f>1520.8+(1680.6-1506)+(-3.102432+(-3.428424--3.07224))+0-427.6--0.872303999999981</f>
        <v>1265.2136879999998</v>
      </c>
      <c r="J58" s="3">
        <f>1520.1+(1495.7-1356)+(-2.325753+(-2.288421--2.07468))+0-420.9--0.643977000000024</f>
        <v>1237.0044829999999</v>
      </c>
      <c r="K58" s="3">
        <f>1520.6+(1418.3-1281.1)+(-4.653036+(-4.339998--3.920166))+0-417.2--1.27663200000005</f>
        <v>1236.803764</v>
      </c>
      <c r="L58" s="3">
        <f>1520.7+(1041.1-943.6)+(-3.877785+(-2.654805--2.40618))+0-411.1--1.04830499999994</f>
        <v>1204.0218949999996</v>
      </c>
      <c r="M58" s="3">
        <f>1519.5+(910.6-717.9)+(-0.774945+(-0.464406--0.366129))+0-376.4--0.191963999999962</f>
        <v>1335.1187419999999</v>
      </c>
      <c r="N58" s="3">
        <f>1520.3+(1207.3-766.7)+(0+(0-0))+0-412.2-0</f>
        <v>1548.6999999999998</v>
      </c>
      <c r="O58" s="3">
        <f>1521.2+(1002-538.9)+(-0.775812+(-0.51102--0.274839))+0-425.7--0.217106999999957</f>
        <v>1557.805114</v>
      </c>
      <c r="P58" s="3">
        <f>1657.5+(808.2-413.9)+(0.845325+(0.412182-0.211089))+0-421-0.214709999999957</f>
        <v>1631.6317080000001</v>
      </c>
      <c r="Q58" s="3">
        <f>1739.3+(610.3-314.7)+(1.774086+(0.622506-0.320994))+0-421.4-0.429828000000067</f>
        <v>1615.1457699999999</v>
      </c>
      <c r="R58" s="3">
        <f>1836.1+(621-442)+(-1.872822+(-0.63342--0.45084))+0-423.4--0.431868000000067</f>
        <v>1590.076466</v>
      </c>
      <c r="S58" s="3">
        <f>1888.5+(991-885.8)+(-4.815675+(-2.52705--2.25879))+0-421.6--1.07507999999994</f>
        <v>1568.0911449999996</v>
      </c>
      <c r="T58" s="3">
        <f>1897.9+(1168.5-1085.5)+(0+(0-0))+0-425.6-0</f>
        <v>1555.3000000000002</v>
      </c>
      <c r="U58" s="3">
        <f>1897.9+(1340.2-1217.2)+(-2.903787+(-2.050506--1.862316))+0-422.6--0.646578000000024</f>
        <v>1595.8546010000002</v>
      </c>
      <c r="V58" s="3">
        <f>1897.6+(1440.8-1403.8)+(-1.935552+(-1.469616--1.431876))+0-410.9--0.419118000000065</f>
        <v>1522.1458260000002</v>
      </c>
      <c r="W58" s="3">
        <f>1893.2+(1199.4-1116.9)+(-5.793192+(-3.670164--3.417714))+0-419.6--1.28397600000005</f>
        <v>1551.3383339999998</v>
      </c>
      <c r="X58" s="3">
        <f>1892.3+(1045.7-988.1)+(-5.790438+(-3.199842--3.023586))+0-420.1--1.28550600000005</f>
        <v>1525.1188119999999</v>
      </c>
      <c r="Y58" s="3">
        <f>1914.2+(1091.8-1116.6)+(-2.928726+(-1.670454--1.708398))+0-383.3--0.586449000000022</f>
        <v>1503.7956670000003</v>
      </c>
      <c r="Z58" s="3">
        <f>2068.1+(1005-1055.9)+(-4.218924+(-2.0502--2.154036))+0-388.8--0.793151999999983</f>
        <v>1625.0780639999998</v>
      </c>
      <c r="AA58" s="3">
        <f>2067.7+(1253.5-1299.9)+(-5.272635+(-3.196425--3.314745))+0-389.8--0.993989999999943</f>
        <v>1627.3396749999997</v>
      </c>
      <c r="AB58" s="3">
        <f>2071.7+(1716.7-1777.3)+(0+(0-0))+0-379.7-0</f>
        <v>1631.3999999999999</v>
      </c>
      <c r="AC58" s="3">
        <f>2069.2+(1980.4-2090.7)+(-4.221168+(-4.040016--4.265028))+0-419.3--0.855371999999982</f>
        <v>1536.4592160000002</v>
      </c>
      <c r="AD58">
        <v>1696.8000000000004</v>
      </c>
      <c r="AE58" s="3">
        <f>2070+(1126.3-1107.7)+(0+(0-0))+0-391.8-0</f>
        <v>1696.8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2064.9+(2026.2-2296.1)+(-4.212396+(-4.133448--4.684044))+0-423.6--0.864143999999982</f>
        <v>1368.6023440000001</v>
      </c>
      <c r="G59" s="3">
        <f>2002.3+(1883.6-2183.9)+(-2.042346+(-1.921272--2.227578))+0-415.5--0.423810000000066</f>
        <v>1285.1877699999998</v>
      </c>
      <c r="H59" s="3">
        <f>1724.4+(1626.4-1767.8)+(-0.879444+(-0.829464--0.901578))+0-392.9--0.20037899999996</f>
        <v>1189.4930490000002</v>
      </c>
      <c r="I59" s="3">
        <f>1546.3+(1743.5-1717.3)+(-1.577226+(-1.77837--1.751646))+0-389.2--0.396984000000062</f>
        <v>1182.093034</v>
      </c>
      <c r="J59" s="3">
        <f>1545.2+(1631.6-1599.9)+(0+(0-0))+0-412.1-0</f>
        <v>1164.7999999999997</v>
      </c>
      <c r="K59" s="3">
        <f>1523.1+(1694.1-1606)+(-3.107124+(-3.455964--3.27624))+0-410.3--0.837011999999982</f>
        <v>1198.4501639999999</v>
      </c>
      <c r="L59" s="3">
        <f>1515.7+(1463.9-1393.3)+(-3.865035+(-3.732945--3.552915))+0-406.2--1.03580999999994</f>
        <v>1177.090745</v>
      </c>
      <c r="M59" s="3">
        <f>1515+(1227.6-1132.4)+(0+(0-0))+0-403.5-0</f>
        <v>1206.6999999999998</v>
      </c>
      <c r="N59" s="3">
        <f>1517.2+(1200.1-918.1)+(-0.773772+(-0.612051--0.468231))+0-403.6--0.205835999999959</f>
        <v>1394.8882439999995</v>
      </c>
      <c r="O59" s="3">
        <f>1497.8+(1099.1-650)+(-0.763878+(-0.560541--0.3315))+0-398.5--0.20323499999996</f>
        <v>1547.6103159999998</v>
      </c>
      <c r="P59" s="3">
        <f>1553.3+(976.8-634.6)+(-1.584366+(-0.996336--0.647292))+0-404.1--0.412182000000064</f>
        <v>1489.878772</v>
      </c>
      <c r="Q59" s="3">
        <f>1706+(761.7-563)+(0.87006+(0.388467-0.28713))+0-399-0.20348999999996</f>
        <v>1506.4679070000002</v>
      </c>
      <c r="R59" s="3">
        <f>1812.8+(732.3-669.9)+(-0.924528+(-0.373473--0.341649))+0-391.8--0.19981799999996</f>
        <v>1482.643466</v>
      </c>
      <c r="S59" s="3">
        <f>1815.3+(1094-1121.3)+(0.925803+(0.55794-0.571863))+0-387.2-0.197471999999961</f>
        <v>1401.514408</v>
      </c>
      <c r="T59" s="3">
        <f>1814.4+(1168.8-1176.2)+(-0.925344+(-0.596088--0.599862))+0-397.1--0.20252099999996</f>
        <v>1409.1809510000001</v>
      </c>
      <c r="U59" s="3">
        <f>1810.2+(1260.9-1271.1)+(-4.61601+(-3.215295--3.241305))+0-406.6--1.03682999999994</f>
        <v>1389.8468300000004</v>
      </c>
      <c r="V59" s="3">
        <f>1808.3+(1292-1269.9)+(-3.688932+(-2.63568--2.590596))+0-369.1--0.752963999999984</f>
        <v>1458.3189479999999</v>
      </c>
      <c r="W59" s="3">
        <f>1812.1+(1516.4-1504.8)+(-4.620855+(-3.86682--3.83724))+0-418--1.06589999999994</f>
        <v>1402.1154649999999</v>
      </c>
      <c r="X59" s="3">
        <f>1820.1+(1554.4-1573.1)+(-6.497757+(-5.549208--5.615967))+0-373.7--1.33410900000001</f>
        <v>1422.6031109999999</v>
      </c>
      <c r="Y59" s="3">
        <f>1902.7+(1565.2-1659)+(-1.940754+(-1.596504--1.69218))+0-358.5--0.365670000000057</f>
        <v>1448.9205920000002</v>
      </c>
      <c r="Z59" s="3">
        <f>2211.7+(1444.4-1716.8)+(-2.255934+(-1.473288--1.751136))+0-360.3--0.367506000000057</f>
        <v>1577.38942</v>
      </c>
      <c r="AA59" s="3">
        <f>2240.1+(1678.9-1996.5)+(-4.569804+(-3.424956--4.07286))+0-351.4--0.716855999999985</f>
        <v>1567.8949560000001</v>
      </c>
      <c r="AB59" s="3">
        <f>2237.2+(1981.7-2332)+(-5.70486+(-5.053335--5.9466))+0-354.7--0.904484999999948</f>
        <v>1528.2928899999999</v>
      </c>
      <c r="AC59" s="3">
        <f>2241+(2165.5-2501.2)+(-1.14291+(-1.104405--1.275612))+0-403.8--0.205937999999959</f>
        <v>1500.7342350000004</v>
      </c>
      <c r="AD59">
        <v>1662.6999999999998</v>
      </c>
      <c r="AE59" s="3">
        <f>2235+(1481.1-1701.8)+(0+(0-0))+0-351.6-0</f>
        <v>1662.6999999999998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2229.2+(1958.8-2349.9)+(-5.68446+(-4.99494--5.992245))+0-403.8--1.02968999999994</f>
        <v>1430.6425349999995</v>
      </c>
      <c r="G60" s="3">
        <f>2238.9+(1714.4-2152.7)+(-1.141839+(-0.874344--1.097877))+0-406.8--0.207467999999959</f>
        <v>1393.0891620000004</v>
      </c>
      <c r="H60" s="3">
        <f>2208.1+(1656.6-2068.1)+(-4.504524+(-3.379464--4.218924))+0-395.8--0.807431999999983</f>
        <v>1397.942368</v>
      </c>
      <c r="I60" s="3">
        <f>2045.2+(1691-1941)+(-5.21526+(-4.31205--4.94955))+0-406.8--1.03733999999994</f>
        <v>1384.8595800000001</v>
      </c>
      <c r="J60" s="3">
        <f>1883.9+(1621.6-1758.8)+(-2.882367+(-2.481048--2.690964))+0-367.8--0.562734000000021</f>
        <v>1376.7902830000003</v>
      </c>
      <c r="K60" s="3">
        <f>1612.7+(1645.6-1539.2)+(-2.467431+(-2.517768--2.354976))+0-407.8--0.623934000000024</f>
        <v>1309.293711</v>
      </c>
      <c r="L60" s="3">
        <f>1455.2+(1609.8-1340.6)+(-0.742152+(-0.820998--0.683706))+0-394.8--0.20134799999996</f>
        <v>1328.9219040000003</v>
      </c>
      <c r="M60" s="3">
        <f>1477.3+(1625.7-1490.4)+(-0.753423+(-0.829107--0.760104))+0-406.8--0.207467999999959</f>
        <v>1205.1850420000001</v>
      </c>
      <c r="N60" s="3">
        <f>1538.9+(1617-1225.7)+(0.784839+(0.82467-0.625107))+0-367.8-0.187577999999963</f>
        <v>1563.1968240000001</v>
      </c>
      <c r="O60" s="3">
        <f>1572.9+(1288.5-813.3)+(-2.406537+(-1.971405--1.244349))+0-402.8--0.616284000000023</f>
        <v>1642.7826910000003</v>
      </c>
      <c r="P60" s="3">
        <f>1674.9+(843.8-495.7)+(-1.708398+(-0.860676--0.505614))+0-401.8--0.409836000000064</f>
        <v>1619.546376</v>
      </c>
      <c r="Q60" s="3">
        <f>1837.5+(587-553.8)+(-1.87425+(-0.59874--0.564876))+0-399.8--0.407796000000064</f>
        <v>1469.399682</v>
      </c>
      <c r="R60" s="3">
        <f>1890.1+(864.8-898.3)+(0.963951+(0.441048-0.458133))+0-369-0.188189999999963</f>
        <v>1488.3586760000001</v>
      </c>
      <c r="S60" s="3">
        <f>1830.9+(1425.3-1333.5)+(-0.933759+(-0.726903--0.680085))+0-399--0.20348999999996</f>
        <v>1522.9229129999999</v>
      </c>
      <c r="T60" s="3">
        <f>1789.2+(1547.5-1463)+(0.912492+(0.789225-0.74613))+0-365-0.186149999999963</f>
        <v>1509.469437</v>
      </c>
      <c r="U60" s="3">
        <f>1886.3+(1667.2-1614.5)+(-2.886039+(-2.550816--2.470185))+0-420--0.642600000000024</f>
        <v>1516.6759300000001</v>
      </c>
      <c r="V60" s="3">
        <f>1987.1+(2006.5-2046.6)+(-1.013421+(-1.023315--1.043766))+0-436--0.222359999999956</f>
        <v>1510.22939</v>
      </c>
      <c r="W60" s="3">
        <f>2076.8+(1950.8-2112.1)+(-5.29584+(-4.97454--5.385855))+0-433--1.10414999999994</f>
        <v>1478.7196250000002</v>
      </c>
      <c r="X60" s="3">
        <f>2166.1+(1522.6-1872.4)+(-5.523555+(-3.88263--4.77462))+0-434--1.10669999999994</f>
        <v>1378.7751349999999</v>
      </c>
      <c r="Y60" s="3">
        <f>2183.6+(1403.1-1790.9)+(-3.340908+(-2.146743--2.740077))+0-400--0.612000000000023</f>
        <v>1393.6644259999998</v>
      </c>
      <c r="Z60" s="3">
        <f>2235.4+(1372.4-1688.5)+(-3.420162+(-2.099772--2.583405))+0-390--0.596700000000023</f>
        <v>1526.9601710000002</v>
      </c>
      <c r="AA60" s="3">
        <f>2236.7+(1897.5-2054.3)+(-5.703585+(-4.838625--5.238465))+0-388--0.989399999999944</f>
        <v>1687.5856549999994</v>
      </c>
      <c r="AB60" s="3">
        <f>2131.2+(1855.3-1937)+(-2.173824+(-1.892406--1.97574))+0-422--0.430440000000067</f>
        <v>1625.83995</v>
      </c>
      <c r="AC60" s="3">
        <f>2015.2+(2012.3-2085.9)+(0+(0-0))+0-432-0</f>
        <v>1509.6</v>
      </c>
      <c r="AD60">
        <v>1583.1</v>
      </c>
      <c r="AE60" s="3">
        <f>2249+(1500.5-1776.4)+(0+(0-0))+0-390-0</f>
        <v>1583.1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2001.9+(2140.9-2149.4)+(0+(0-0))+0-440-0</f>
        <v>1553.4</v>
      </c>
      <c r="G61" s="3">
        <f>1930+(2202.6-2236.4)+(-3.9372+(-4.493304--4.562256))+0-440--0.897599999999981</f>
        <v>1453.2293519999998</v>
      </c>
      <c r="H61" s="3">
        <f>1732.1+(2127.3-2082.3)+(0+(0-0))+0-437-0</f>
        <v>1340.1</v>
      </c>
      <c r="I61" s="3">
        <f>1666.9+(1876.4-1803.1)+(-0.850119+(-0.956964--0.919581))+0-437--0.222869999999956</f>
        <v>1302.5353680000003</v>
      </c>
      <c r="J61" s="3">
        <f>1283.1+(1677.5-1327.6)+(0+(0-0))+0-436-0</f>
        <v>1197</v>
      </c>
      <c r="K61" s="3">
        <f>1239.4+(1759.8-1294.7)+(-2.528376+(-3.589992--2.641188))+0-431--0.879239999999981</f>
        <v>1270.9020599999999</v>
      </c>
      <c r="L61" s="3">
        <f>1261.8+(1884.1-1480.2)+(-5.791662+(-8.648019--6.794118))+0-423--1.94157000000007</f>
        <v>1236.996007</v>
      </c>
      <c r="M61" s="3">
        <f>1261.6+(1875.8-1478.7)+(0.643416+(0.956658-0.754137))+0-441-0.224909999999955</f>
        <v>1218.321027</v>
      </c>
      <c r="N61" s="3">
        <f>1263.9+(1711.6-1237.2)+(-1.289178+(-1.745832--1.261944))+0-449--0.457980000000072</f>
        <v>1287.9849140000001</v>
      </c>
      <c r="O61" s="3">
        <f>1267.8+(1625-1221.6)+(0+(0-0))+0-419-0</f>
        <v>1252.2</v>
      </c>
      <c r="P61" s="3">
        <f>1298.9+(1638.6-1131.6)+(-0.662439+(-0.835686--0.577116))+0-432--0.220319999999956</f>
        <v>1373.1993110000001</v>
      </c>
      <c r="Q61" s="3">
        <f>1412.8+(1436.1-993.1)+(1.441056+(1.464822-1.012962))+0-443-0.451860000000071</f>
        <v>1414.2410559999996</v>
      </c>
      <c r="R61" s="3">
        <f>1513.6+(1519.3-1230.1)+(-2.315808+(-2.324529--1.882053))+0-437--0.668610000000025</f>
        <v>1363.7103259999999</v>
      </c>
      <c r="S61" s="3">
        <f>1602.6+(1948.3-1680.4)+(0+(0-0))+0-432-0</f>
        <v>1438.4999999999998</v>
      </c>
      <c r="T61" s="3">
        <f>1634+(2423.5-2048.1)+(-2.50002+(-3.707955--3.133593))+0-388--0.593640000000022</f>
        <v>1618.9192580000001</v>
      </c>
      <c r="U61" s="3">
        <f>1716.2+(2341.2-2119.2)+(-0.875262+(-1.194012--1.080792))+0-434--0.221339999999956</f>
        <v>1503.4328580000001</v>
      </c>
      <c r="V61" s="3">
        <f>1742.3+(2339.1-2212.3)+(0.888573+(1.192941-1.128273))+0-433-0.220829999999956</f>
        <v>1436.8324109999996</v>
      </c>
      <c r="W61" s="3">
        <f>1784+(2138.5-2022.7)+(-4.5492+(-5.453175--5.157885))+0-429--1.09394999999994</f>
        <v>1467.04946</v>
      </c>
      <c r="X61" s="3">
        <f>1814.7+(1787.5-1760.4)+(-5.552982+(-5.46975--5.386824))+0-432--1.32192000000005</f>
        <v>1405.4860120000001</v>
      </c>
      <c r="Y61" s="3">
        <f>1881.9+(1547.2-1584.9)+(-2.879307+(-2.367216--2.424897))+0-431--0.659430000000025</f>
        <v>1411.0378040000001</v>
      </c>
      <c r="Z61" s="3">
        <f>2014.4+(1434.4-1508.3)+(1.027344+(0.731544-0.769233))+0-386-0.196859999999961</f>
        <v>1555.2927950000003</v>
      </c>
      <c r="AA61" s="3">
        <f>2077.9+(1326.8-1421.3)+(0+(0-0))+0-384-0</f>
        <v>1599.4</v>
      </c>
      <c r="AB61" s="3">
        <f>2084.4+(1518.6-1639.8)+(0+(0-0))+0-378-0</f>
        <v>1585.2</v>
      </c>
      <c r="AC61" s="3">
        <f>2095.7+(1979-2033.2)+(-3.206421+(-3.02787--3.110796))+0-379--0.579870000000022</f>
        <v>1659.9563749999998</v>
      </c>
      <c r="AD61">
        <v>1529</v>
      </c>
      <c r="AE61" s="3">
        <f>2081+(1181.5-1348.5)+(0+(0-0))+0-385-0</f>
        <v>1529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1762.4+(2094.1-2020.4)+(-0.898824+(-1.067991--1.030404))+0-386--0.196859999999961</f>
        <v>1449.360449</v>
      </c>
      <c r="G62" s="3">
        <f>1552.2+(2183-2092.3)+(-1.583244+(-2.22666--2.134146))+0-387--0.394740000000062</f>
        <v>1254.6189819999997</v>
      </c>
      <c r="H62" s="3">
        <f>1527.8+(2117.2-2074)+(-2.337534+(-3.239316--3.17322))+0-385--0.589050000000022</f>
        <v>1184.1854199999998</v>
      </c>
      <c r="I62" s="3">
        <f>1529+(2146-2062.5)+(-1.55958+(-2.18892--2.10375))+0-385--0.392700000000061</f>
        <v>1226.2479500000002</v>
      </c>
      <c r="J62" s="3">
        <f>1527.9+(2196.8-2128.4)+(-2.337687+(-3.361104--3.256452))+0-384--0.587520000000022</f>
        <v>1210.4451810000003</v>
      </c>
      <c r="K62" s="3">
        <f>1527.6+(2144-1976.1)+(-3.89538+(-5.4672--5.039055))+0-384--0.979199999999944</f>
        <v>1308.155675</v>
      </c>
      <c r="L62" s="3">
        <f>1526.9+(1656.3-1611.1)+(-0.778719+(-0.844713--0.821661))+0-383.9--0.195788999999961</f>
        <v>1187.5940180000002</v>
      </c>
      <c r="M62" s="3">
        <f>1528.9+(1487.2-1362.2)+(-0.779739+(-0.758472--0.694722))+0-382.7--0.195176999999961</f>
        <v>1270.551688</v>
      </c>
      <c r="N62" s="3">
        <f>1527.7+(1427.4-1078.8)+(-0.779127+(-0.727974--0.550188))+0-382.5--0.195074999999961</f>
        <v>1493.0381620000001</v>
      </c>
      <c r="O62" s="3">
        <f>1527.3+(1072.4-618.3)+(0+(0-0))+0-382.8-0</f>
        <v>1598.6000000000001</v>
      </c>
      <c r="P62" s="3">
        <f>1664.8+(920.8-562)+(-0.849048+(-0.469608--0.28662))+0-382.6--0.195125999999961</f>
        <v>1640.16309</v>
      </c>
      <c r="Q62" s="3">
        <f>1928+(814.1-701.5)+(0+(0-0))+0-379.9-0</f>
        <v>1660.6999999999998</v>
      </c>
      <c r="R62" s="3">
        <f>1960.9+(1206.9-1082)+(1.000059+(0.615519-0.55182))+0-380.6-0.194105999999961</f>
        <v>1706.0696520000001</v>
      </c>
      <c r="S62" s="3">
        <f>1951.2+(1835.1-1709.7)+(-1.990224+(-1.871802--1.743894))+0-382.8--0.390456000000061</f>
        <v>1692.072324</v>
      </c>
      <c r="T62" s="3">
        <f>1953.4+(1939-1897.1)+(0.996234+(0.98889-0.967521))+0-381.1-0.194360999999961</f>
        <v>1615.023242</v>
      </c>
      <c r="U62" s="3">
        <f>1959.3+(2089.1-2146.6)+(-0.999243+(-1.065441--1.094766))+0-383.8--0.195737999999961</f>
        <v>1517.2258199999999</v>
      </c>
      <c r="V62" s="3">
        <f>1944.4+(2143.5-2148.8)+(-3.966576+(-4.37274--4.383552))+0-379.6--0.774383999999984</f>
        <v>1556.3186199999998</v>
      </c>
      <c r="W62" s="3">
        <f>1909.4+(2138-2301.1)+(-5.842764+(-6.54228--7.041366))+0-367.6--1.12485600000004</f>
        <v>1374.4811780000002</v>
      </c>
      <c r="X62" s="3">
        <f>1811.5+(1315.2-1363.8)+(-2.771595+(-2.012256--2.086614))+0-368.4--0.563652000000021</f>
        <v>1392.3664150000002</v>
      </c>
      <c r="Y62" s="3">
        <f>1835.5+(1159.4-1221.4)+(-0.936105+(-0.591294--0.622914))+0-369--0.188189999999963</f>
        <v>1403.7837049999998</v>
      </c>
      <c r="Z62" s="3">
        <f>2112.5+(1252.7-1308.3)+(-1.077375+(-0.638877--0.667233))+0-370.3--0.188852999999962</f>
        <v>1685.739834</v>
      </c>
      <c r="AA62" s="3">
        <f>2240.7+(1580.5-1771.7)+(-3.428271+(-2.418165--2.710701))+0-375.9--0.575127000000022</f>
        <v>1671.0393920000001</v>
      </c>
      <c r="AB62" s="3">
        <f>2228.3+(1729.5-1901.5)+(-3.409299+(-2.646135--2.909295))+0-379.6--0.580788000000022</f>
        <v>1674.1346490000003</v>
      </c>
      <c r="AC62" s="3">
        <f>2016.3+(2146.8-2134.9)+(-4.113252+(-4.379472--4.355196))+0-382.5--0.780299999999983</f>
        <v>1642.342772</v>
      </c>
      <c r="AD62">
        <v>1750</v>
      </c>
      <c r="AE62" s="3">
        <f>2234+(1512-1621)+(0+(0-0))+0-375-0</f>
        <v>1750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1690.2+(2252.4-2195.4)+(-3.448008+(-4.594896--4.478616))+0-382.2--0.779687999999983</f>
        <v>1362.2154</v>
      </c>
      <c r="G63" s="3">
        <f>1521+(1951.6-1900.7)+(-3.87855+(-4.97658--4.846785))+0-380.2--0.969509999999945</f>
        <v>1188.6611649999998</v>
      </c>
      <c r="H63" s="3">
        <f>1517.7+(1969.1-1835.6)+(-1.548054+(-2.008482--1.872312))+0-384--0.391680000000061</f>
        <v>1265.9074559999999</v>
      </c>
      <c r="I63" s="3">
        <f>1517.8+(2093.7-1927)+(-3.096312+(-4.271148--3.93108))+0-384.1--0.783563999999983</f>
        <v>1297.7471839999996</v>
      </c>
      <c r="J63" s="3">
        <f>1517.8+(2112.5-1950.1)+(-5.418546+(-7.541625--6.961857))+0-382.9--1.36695300000001</f>
        <v>1292.6686390000002</v>
      </c>
      <c r="K63" s="3">
        <f>1517.7+(2022.2-1911.9)+(-5.418189+(-7.219254--6.825483))+0-385.8--1.37730600000001</f>
        <v>1237.7653460000001</v>
      </c>
      <c r="L63" s="3">
        <f>1518.1+(1705.9-1657.9)+(-2.322693+(-2.610027--2.536587))+0-384.8--0.588744000000022</f>
        <v>1179.4926110000001</v>
      </c>
      <c r="M63" s="3">
        <f>1516.8+(1365.1-1212.7)+(1.547136+(1.392402-1.236954))+0-383.7-0.391374000000061</f>
        <v>1286.8112099999996</v>
      </c>
      <c r="N63" s="3">
        <f>1517+(1293.2-960.7)+(0.77367+(0.659532-0.489957))+0-382.9-0.195278999999961</f>
        <v>1467.3479659999998</v>
      </c>
      <c r="O63" s="3">
        <f>1519.6+(1375.4-836.4)+(-0.774996+(-0.701454--0.426564))+0-382.9--0.195278999999961</f>
        <v>1674.8453930000001</v>
      </c>
      <c r="P63" s="3">
        <f>1609.9+(1159.6-812)+(-0.821049+(-0.591396--0.41412))+0-372.9--0.190178999999962</f>
        <v>1583.7918539999998</v>
      </c>
      <c r="Q63" s="3">
        <f>1698.2+(952-586.7)+(-2.598246+(-1.45656--0.897651))+0-203.1--0.310743000000012</f>
        <v>1857.5535880000002</v>
      </c>
      <c r="R63" s="3">
        <f>1853.8+(1204.4-1045.2)+(0+(0-0))+0-200.3-0</f>
        <v>1812.7</v>
      </c>
      <c r="S63" s="3">
        <f>1845.6+(1407.8-1270.5)+(-0.941256+(-0.717978--0.647955))+0-373.9--0.190688999999962</f>
        <v>1608.1794099999997</v>
      </c>
      <c r="T63" s="3">
        <f>1920.8+(1370.5-1269)+(0+(0-0))+0-377.2-0</f>
        <v>1645.1</v>
      </c>
      <c r="U63" s="3">
        <f>1991.9+(1476.6-1412.1)+(-4.063476+(-3.012264--2.880684))+0-376.6--0.768263999999984</f>
        <v>1676.3732080000002</v>
      </c>
      <c r="V63" s="3">
        <f>1988.3+(1653.3-1546.5)+(-3.042099+(-2.529549--2.366145))+0-354.5--0.54238500000002</f>
        <v>1737.9368819999997</v>
      </c>
      <c r="W63" s="3">
        <f>2002.9+(1896.9-1795.4)+(-3.064437+(-2.902257--2.746962))+0-367--0.561510000000021</f>
        <v>1734.7417780000001</v>
      </c>
      <c r="X63" s="3">
        <f>2002.2+(1720.3-1838)+(-9.190098+(-7.896177--8.43642))+0-352.8--1.61935200000006</f>
        <v>1524.6694970000003</v>
      </c>
      <c r="Y63" s="3">
        <f>2015+(1360.1-1602.5)+(-4.1106+(-2.774604--3.2691))+0-354.8--0.723791999999985</f>
        <v>1414.907688</v>
      </c>
      <c r="Z63" s="3">
        <f>2252.2+(1508.3-1768.3)+(-3.445866+(-2.307699--2.705499))+0-348.4--0.53305200000002</f>
        <v>1641.2849859999999</v>
      </c>
      <c r="AA63" s="3">
        <f>2254.6+(1701-1848.7)+(-6.899076+(-5.20506--5.657022))+0-352--1.07712000000004</f>
        <v>1749.5300059999997</v>
      </c>
      <c r="AB63" s="3">
        <f>2163.9+(1817.9-2031.6)+(-4.414356+(-3.708516--4.144464))+0-360--0.734399999999984</f>
        <v>1586.9559920000004</v>
      </c>
      <c r="AC63" s="3">
        <f>2161.5+(1988.1-2071.9)+(-1.102365+(-1.013931--1.056669))+0-364.2--0.185741999999963</f>
        <v>1712.6261149999996</v>
      </c>
      <c r="AD63">
        <v>1836</v>
      </c>
      <c r="AE63" s="3">
        <f>2243+(1768.3-1821.3)+(0+(0-0))+0-354-0</f>
        <v>1836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1909.5+(2010.3-2034.2)+(-4.869225+(-5.126265--5.18721))+0-355--0.905249999999948</f>
        <v>1526.69697</v>
      </c>
      <c r="G64" s="3">
        <f>1741.9+(1917.8-1959)+(-0.888369+(-0.978078--0.99909))+0-378.1--0.192830999999962</f>
        <v>1321.9254739999999</v>
      </c>
      <c r="H64" s="3">
        <f>1555.7+(1795.4-1698)+(1.586814+(1.831308-1.73196))+0-384.5-0.392190000000061</f>
        <v>1269.8939720000001</v>
      </c>
      <c r="I64" s="3">
        <f>1512+(1672.8-1537.7)+(-2.31336+(-2.559384--2.352681))+0-382--0.584460000000022</f>
        <v>1263.164397</v>
      </c>
      <c r="J64" s="3">
        <f>1513.7+(1694.3-1581.8)+(-3.087948+(-3.456372--3.226872))+0-382.3--0.779891999999983</f>
        <v>1241.3624440000001</v>
      </c>
      <c r="K64" s="3">
        <f>1513.3+(1630.9-1542.1)+(-6.174264+(-6.654072--6.291768))+0-377.2--1.53897599999997</f>
        <v>1219.9024080000002</v>
      </c>
      <c r="L64" s="3">
        <f>1513.6+(1407.1-1321.3)+(-5.403552+(-5.023347--4.717041))+0-381.7--1.36266900000001</f>
        <v>1213.352811</v>
      </c>
      <c r="M64" s="3">
        <f>1511.9+(1071.8-895.6)+(0+(0-0))+0-383.6-0</f>
        <v>1304.5</v>
      </c>
      <c r="N64" s="3">
        <f>1498.8+(1049.8-716.4)+(-3.057552+(-2.141592--1.461456))+0-381.9--0.779075999999983</f>
        <v>1447.3413880000001</v>
      </c>
      <c r="O64" s="3">
        <f>1512.3+(1139.2-656.1)+(1.542546+(1.161984-0.669222))+0-373.3-0.38076600000006</f>
        <v>1623.7545420000001</v>
      </c>
      <c r="P64" s="3">
        <f>1669.6+(901.7-533.5)+(0.851496+(0.459867-0.272085))+0-377.5-0.192524999999962</f>
        <v>1661.146753</v>
      </c>
      <c r="Q64" s="3">
        <f>1699.7+(589.9-320.9)+(-0.866847+(-0.300849--0.163659))+0-378--0.192779999999962</f>
        <v>1589.888743</v>
      </c>
      <c r="R64" s="3">
        <f>1930+(851.4-726)+(0+(0-0))+0-370.5-0</f>
        <v>1684.9</v>
      </c>
      <c r="S64" s="3">
        <f>2007.1+(1646-1517.6)+(-3.070863+(-2.51838--2.321928))+0-373.6--0.571608000000022</f>
        <v>1759.204293</v>
      </c>
      <c r="T64" s="3">
        <f>2028.2+(1608.8-1474.5)+(-1.034382+(-0.820488--0.751995))+0-376.9--0.192218999999962</f>
        <v>1784.6893439999999</v>
      </c>
      <c r="U64" s="3">
        <f>2093.9+(1822-1896.6)+(1.067889+(0.92922-0.967266))+0-377-0.192269999999962</f>
        <v>1643.1375730000002</v>
      </c>
      <c r="V64" s="3">
        <f>2094+(1651.6-1734.2)+(-3.20382+(-2.526948--2.653326))+0-379--0.579870000000022</f>
        <v>1629.9024279999999</v>
      </c>
      <c r="W64" s="3">
        <f>2098.7+(1957.6-1964.3)+(-4.281348+(-3.993504--4.007172))+0-384.7--0.784787999999983</f>
        <v>1703.817108</v>
      </c>
      <c r="X64" s="3">
        <f>1997+(1380.3-1404.1)+(-6.11082+(-4.223718--4.296546))+0-387.4--1.18544400000004</f>
        <v>1580.9474520000001</v>
      </c>
      <c r="Y64" s="3">
        <f>1952.7+(912.9-1016.4)+(0+(0-0))+0-376-0</f>
        <v>1473.2</v>
      </c>
      <c r="Z64" s="3">
        <f>1992.8+(1020.9-990.3)+(-2.032656+(-1.041318--1.010106))+0-362.6--0.369852000000058</f>
        <v>1659.105984</v>
      </c>
      <c r="AA64" s="3">
        <f>1938.9+(1268.7-1005.7)+(-1.977678+(-1.294074--1.025814))+0-374.9--0.38239800000006</f>
        <v>1825.1364599999999</v>
      </c>
      <c r="AB64" s="3">
        <f>1729.4+(1391.7-1035.3)+(-2.645982+(-2.129301--1.584009))+0-378.7--0.579411000000022</f>
        <v>1704.4881370000003</v>
      </c>
      <c r="AC64" s="3">
        <f>1662+(1246.8-945.9)+(-4.2381+(-3.17934--2.412045))+0-392.8--1.00163999999994</f>
        <v>1566.0962450000002</v>
      </c>
      <c r="AD64">
        <v>1830</v>
      </c>
      <c r="AE64" s="3">
        <f>2013+(1171.8-989.3)+(0+(0-0))+0-365.5-0</f>
        <v>1830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1570.4+(1653.1-1283.4)+(-4.00452+(-4.215405--3.27267))+0-411.9--1.05034499999994</f>
        <v>1524.3030899999997</v>
      </c>
      <c r="G65" s="3">
        <f>1569.5+(1304-1099.7)+(-4.002225+(-3.3252--2.804235))+0-398.1--1.01515499999994</f>
        <v>1372.191965</v>
      </c>
      <c r="H65" s="3">
        <f>1564.7+(1406.5-1194.5)+(-1.595994+(-1.43463--1.21839))+0-423.7--0.432174000000068</f>
        <v>1351.61994</v>
      </c>
      <c r="I65" s="3">
        <f>1517.1+(1553.2-1218.4)+(-3.094884+(-3.168528--2.485536))+0-411.5--0.839459999999982</f>
        <v>1437.4615839999997</v>
      </c>
      <c r="J65" s="3">
        <f>1519.2+(1600.2-1279)+(-3.87396+(-4.08051--3.26145))+0-414.3--1.05646499999994</f>
        <v>1422.4634450000001</v>
      </c>
      <c r="K65" s="3">
        <f>1518.2+(1530.2-1344.3)+(-2.322846+(-2.341206--2.056779))+0-410.6--0.628218000000024</f>
        <v>1291.520945</v>
      </c>
      <c r="L65" s="3">
        <f>1518.2+(1187.1-1073.7)+(-2.322846+(-1.816263--1.642761))+0-412.9--0.631737000000024</f>
        <v>1216.8353890000001</v>
      </c>
      <c r="M65" s="3">
        <f>1517.5+(809.4-622.3)+(2.321775+(1.238382-0.952119))+0-399.2-0.610776000000023</f>
        <v>1307.397262</v>
      </c>
      <c r="N65" s="3">
        <f>1517.9+(626.2-209.4)+(-3.096516+(-1.277448--0.427176))+0-386.7--0.788867999999983</f>
        <v>1544.8420800000004</v>
      </c>
      <c r="O65" s="3">
        <f>1511.7+(911.7-309.7)+(-2.312901+(-1.394901--0.473841))+0-392.1--0.599913000000023</f>
        <v>1718.965952</v>
      </c>
      <c r="P65" s="3">
        <f>1422.4+(1095.4-371.3)+(-0.725424+(-0.558654--0.189363))+0-419--0.213689999999957</f>
        <v>1726.6189749999999</v>
      </c>
      <c r="Q65" s="3">
        <f>1497+(942.6-348.6)+(0+(0-0))+0-420.4-0</f>
        <v>1670.6</v>
      </c>
      <c r="R65" s="3">
        <f>1555.3+(838.3-316.9)+(-2.379609+(-1.282599--0.484857))+0-423.7--0.648261000000025</f>
        <v>1650.47091</v>
      </c>
      <c r="S65" s="3">
        <f>1573.3+(1109.1-680.5)+(-1.604766+(-1.131282--0.69411))+0-425--0.433500000000068</f>
        <v>1575.2915619999999</v>
      </c>
      <c r="T65" s="3">
        <f>1651.3+(1033.7-659.9)+(-0.842163+(-0.527187--0.336549))+0-420.3--0.214352999999957</f>
        <v>1603.9815519999997</v>
      </c>
      <c r="U65" s="3">
        <f>1703.1+(1063.6-725.2)+(-4.342905+(-2.71218--1.84926))+0-406.8--1.03733999999994</f>
        <v>1630.5315149999997</v>
      </c>
      <c r="V65" s="3">
        <f>1706.4+(940.1-584.3)+(-6.091848+(-3.356157--2.085951))+0-396.4--1.41514800000001</f>
        <v>1659.8530940000001</v>
      </c>
      <c r="W65" s="3">
        <f>1704.3+(835.1-454.1)+(-6.084351+(-2.981307--1.621137))+0-409.7--1.46262900000001</f>
        <v>1669.6181080000003</v>
      </c>
      <c r="X65" s="3">
        <f>1702.1+(823.8-478.5)+(-6.944568+(-3.361104--1.95228))+0-423.4--1.72747199999996</f>
        <v>1617.37408</v>
      </c>
      <c r="Y65" s="3">
        <f>1704.8+(1124.5-842.8)+(-4.34724+(-2.867475--2.14914))+0-406.5--1.03657499999994</f>
        <v>1575.9709999999998</v>
      </c>
      <c r="Z65" s="3">
        <f>1828.3+(965.7-744.3)+(-0.932433+(-0.492507--0.379593))+0-389.5--0.19864499999996</f>
        <v>1659.3532979999995</v>
      </c>
      <c r="AA65" s="3">
        <f>1890.8+(913.3-631.8)+(-4.82154+(-2.328915--1.61109))+0-387.6--0.988379999999944</f>
        <v>1780.1490150000002</v>
      </c>
      <c r="AB65" s="3">
        <f>1888.2+(1048.9-820)+(-3.851928+(-2.139756--1.6728))+0-388.2--0.791927999999983</f>
        <v>1725.3730440000004</v>
      </c>
      <c r="AC65" s="3">
        <f>1887.9+(1316.8-1200)+(-3.851316+(-2.686272--2.448))+0-421.4--0.859655999999982</f>
        <v>1580.070068</v>
      </c>
      <c r="AD65">
        <v>1784.3000000000002</v>
      </c>
      <c r="AE65" s="3">
        <f>1888+(941.1-654.8)+(0+(0-0))+0-390-0</f>
        <v>1784.3000000000002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1848.4+(1261.6-1133.4)+(0+(0-0))+0-422.8-0</f>
        <v>1553.8</v>
      </c>
      <c r="G66" s="3">
        <f>1676.9+(1652.8-1454.3)+(-2.565657+(-2.528784--2.225079))+0-410.8--0.628524000000024</f>
        <v>1462.3591620000002</v>
      </c>
      <c r="H66" s="3">
        <f>1519.1+(1814.5-1584.5)+(-1.549482+(-1.85079--1.61619))+0-409.6--0.417792000000065</f>
        <v>1338.1337099999998</v>
      </c>
      <c r="I66" s="3">
        <f>1517.6+(1845.5-1621.5)+(-0.773976+(-0.941205--0.826965))+0-404.3--0.206192999999959</f>
        <v>1336.6179769999999</v>
      </c>
      <c r="J66" s="3">
        <f>1517.9+(1805.3-1577.6)+(-3.870645+(-4.603515--4.02288))+0-407.2--1.03835999999994</f>
        <v>1334.9870800000001</v>
      </c>
      <c r="K66" s="3">
        <f>1517.2+(1658.3-1413.9)+(-3.86886+(-4.228665--3.605445))+0-414--1.05569999999994</f>
        <v>1344.1636199999998</v>
      </c>
      <c r="L66" s="3">
        <f>1517.8+(1305.3-1160.4)+(-0.774078+(-0.665703--0.591804))+0-417.9--0.213128999999958</f>
        <v>1244.1651519999998</v>
      </c>
      <c r="M66" s="3">
        <f>1518+(1021.2-655.9)+(0.77418+(0.520812-0.334509))+0-419.1-0.213740999999957</f>
        <v>1464.9467420000001</v>
      </c>
      <c r="N66" s="3">
        <f>1519.1+(987.7-495.6)+(0.774741+(0.503727-0.252756))+0-422.7-0.215576999999957</f>
        <v>1589.3101349999999</v>
      </c>
      <c r="O66" s="3">
        <f>1526.1+(898.4-318.3)+(-0.778311+(-0.458184--0.162333))+0-436.4--0.222563999999956</f>
        <v>1668.9484019999998</v>
      </c>
      <c r="P66" s="3">
        <f>1700+(710.3-266.4)+(0.867+(0.362253-0.135864))+0-422.3-0.215372999999957</f>
        <v>1722.4780160000003</v>
      </c>
      <c r="Q66" s="3">
        <f>1710.8+(572.6-97.8)+(-0.872508+(-0.292026--0.049878))+0-426.3--0.217412999999957</f>
        <v>1758.4027569999996</v>
      </c>
      <c r="R66" s="3">
        <f>1743.7+(505-121.9)+(-0.889287+(-0.25755--0.062169))+0-422.9--0.215678999999957</f>
        <v>1703.031011</v>
      </c>
      <c r="S66" s="3">
        <f>1892.4+(867.6-668.1)+(-1.930248+(-0.884952--0.681462))+0-417.9--0.426258000000067</f>
        <v>1672.29252</v>
      </c>
      <c r="T66" s="3">
        <f>1810.5+(936.1-603.5)+(0+(0-0))+0-422.1-0</f>
        <v>1721</v>
      </c>
      <c r="U66" s="3">
        <f>1808.6+(960.7-654.5)+(-5.534316+(-2.939742--2.00277))+0-400.8--1.22644800000005</f>
        <v>1708.7551600000002</v>
      </c>
      <c r="V66" s="3">
        <f>1833.7+(1047.4-728.5)+(-4.675935+(-2.67087--1.857675))+0-397.5--1.01362499999994</f>
        <v>1750.6244950000005</v>
      </c>
      <c r="W66" s="3">
        <f>1858.2+(748-457.2)+(-5.686092+(-2.28888--1.399032))+0-405.7--1.24144200000005</f>
        <v>1737.9655019999998</v>
      </c>
      <c r="X66" s="3">
        <f>1832+(566.3-379.2)+(-4.6716+(-1.444065--0.96696))+0-418--1.06589999999994</f>
        <v>1597.0171949999997</v>
      </c>
      <c r="Y66" s="3">
        <f>1833.6+(592.9-404.4)+(-0.935136+(-0.302379--0.206244))+0-396.2--0.20206199999996</f>
        <v>1625.0707909999999</v>
      </c>
      <c r="Z66" s="3">
        <f>1886.9+(615.8-390.3)+(-1.924638+(-0.628116--0.398106))+0-387.7--0.395454000000062</f>
        <v>1722.9408059999998</v>
      </c>
      <c r="AA66" s="3">
        <f>1887.2+(712.2-400.3)+(-3.849888+(-1.452888--0.816612))+0-387.9--0.791315999999983</f>
        <v>1807.505152</v>
      </c>
      <c r="AB66" s="3">
        <f>1885.3+(796.8-543.7)+(-4.807515+(-2.03184--1.386435))+0-390.2--0.995009999999943</f>
        <v>1743.7420899999993</v>
      </c>
      <c r="AC66" s="3">
        <f>1887.1+(1264.3-1043.7)+(-2.887263+(-1.934379--1.596861))+0-416.7--0.637551000000024</f>
        <v>1688.4127699999999</v>
      </c>
      <c r="AD66">
        <v>1872.1999999999998</v>
      </c>
      <c r="AE66" s="3">
        <f>1893+(846.2-479)+(0+(0-0))+0-388-0</f>
        <v>1872.1999999999998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1798.3+(1659.4-1478.6)+(-4.585665+(-4.23147--3.77043))+0-420--1.07099999999994</f>
        <v>1555.1242950000001</v>
      </c>
      <c r="G67" s="3">
        <f>1697.9+(1755.3-1540.1)+(-3.463716+(-3.580812--3.141804))+0-423--0.862919999999981</f>
        <v>1487.0601960000001</v>
      </c>
      <c r="H67" s="3">
        <f>1658.6+(1988.9-1871.9)+(-2.537658+(-3.043017--2.864007))+0-421.5--0.644895000000024</f>
        <v>1352.028227</v>
      </c>
      <c r="I67" s="3">
        <f>1705.1+(2026.7-1931.1)+(-3.478404+(-4.134468--3.939444))+0-418.7--0.854147999999982</f>
        <v>1379.1807199999998</v>
      </c>
      <c r="J67" s="3">
        <f>1702.5+(1850.7-1750.7)+(0.868275+(0.943857-0.892857))+0-420.1-0.214250999999957</f>
        <v>1383.105024</v>
      </c>
      <c r="K67" s="3">
        <f>1591.3+(1731.6-1529.6)+(-4.057815+(-4.41558--3.90048))+0-425.3--1.08451499999994</f>
        <v>1364.5116</v>
      </c>
      <c r="L67" s="3">
        <f>1524.2+(1428-1229.2)+(-2.332026+(-2.18484--1.880676))+0-421.3--0.644589000000024</f>
        <v>1299.7083990000001</v>
      </c>
      <c r="M67" s="3">
        <f>1537.4+(1177.4-900.8)+(3.92037+(3.00237-2.29704))+0-420.6-1.07252999999994</f>
        <v>1396.9531700000002</v>
      </c>
      <c r="N67" s="3">
        <f>1590.5+(1083.4-621.6)+(-0.811155+(-0.552534--0.317016))+0-420.5--0.214454999999957</f>
        <v>1630.9677820000004</v>
      </c>
      <c r="O67" s="3">
        <f>1726.2+(1125.9-701.4)+(1.760724+(1.148418-0.715428))+0-421.5-0.429930000000067</f>
        <v>1730.9637840000003</v>
      </c>
      <c r="P67" s="3">
        <f>1817.1+(834.3-579.9)+(-0.926721+(-0.425493--0.295749))+0-423.9--0.216188999999957</f>
        <v>1646.7597239999998</v>
      </c>
      <c r="Q67" s="3">
        <f>1898.9+(707.1-511.8)+(1.936878+(0.721242-0.522036))+0-421-0.429420000000067</f>
        <v>1674.9066640000003</v>
      </c>
      <c r="R67" s="3">
        <f>2088+(665.4-563.6)+(-2.12976+(-0.678708--0.574872))+0-424.7--0.433194000000068</f>
        <v>1763.2995980000001</v>
      </c>
      <c r="S67" s="3">
        <f>2131.2+(914.9-682.7)+(-5.43456+(-2.332995--1.740885))+0-413.2--1.05365999999994</f>
        <v>1945.2269899999994</v>
      </c>
      <c r="T67" s="3">
        <f>2130.5+(1007.9-861.4)+(-5.432775+(-2.570145--2.19657))+0-417.4--1.06436999999994</f>
        <v>1854.8580200000001</v>
      </c>
      <c r="U67" s="3">
        <f>2134.7+(1151-1124.4)+(-3.266091+(-1.76103--1.720332))+0-416.1--0.636633000000024</f>
        <v>1742.5298439999997</v>
      </c>
      <c r="V67" s="3">
        <f>2052.3+(1222.6-1201.8)+(-2.093346+(-1.247052--1.225836))+0-415.2--0.423504000000066</f>
        <v>1656.2089420000002</v>
      </c>
      <c r="W67" s="3">
        <f>1875.5+(1362.4-1200.1)+(-1.91301+(-1.389648--1.224102))+0-415.6--0.423912000000066</f>
        <v>1620.5453560000003</v>
      </c>
      <c r="X67" s="3">
        <f>1833.6+(1230.8-1069.9)+(-5.610816+(-3.766248--3.273894))+0-393.9--1.20533400000005</f>
        <v>1595.7021639999996</v>
      </c>
      <c r="Y67" s="3">
        <f>1846+(1040.5-953.5)+(-1.88292+(-1.06131--0.97257))+0-366.6--0.373932000000059</f>
        <v>1564.8022719999999</v>
      </c>
      <c r="Z67" s="3">
        <f>1891.5+(728.7-555)+(-1.92933+(-0.743274--0.5661))+0-370.2--0.377604000000059</f>
        <v>1693.2710999999999</v>
      </c>
      <c r="AA67" s="3">
        <f>1889.3+(667.6-410.2)+(-3.854172+(-1.361904--0.836808))+0-374.5--0.763979999999984</f>
        <v>1768.5847119999996</v>
      </c>
      <c r="AB67" s="3">
        <f>1864.8+(1062.7-836)+(-4.75524+(-2.709885--2.1318))+0-377.1--0.961604999999945</f>
        <v>1710.02828</v>
      </c>
      <c r="AC67" s="3">
        <f>1848.6+(1129.9-932.9)+(0+(0-0))+0-412.4-0</f>
        <v>1633.1999999999998</v>
      </c>
      <c r="AD67">
        <v>1806.4999999999998</v>
      </c>
      <c r="AE67" s="3">
        <f>1886+(714.2-419)+(0+(0-0))+0-374.7-0</f>
        <v>1806.4999999999998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1834.4+(1490.8-1346.9)+(-3.742176+(-3.041232--2.747676))+0-410.8--0.838031999999982</f>
        <v>1564.3022999999998</v>
      </c>
      <c r="G68" s="3">
        <f>1837.2+(1735.7-1668.9)+(-1.873944+(-1.770414--1.702278))+0-411.4--0.419628000000066</f>
        <v>1491.0775480000002</v>
      </c>
      <c r="H68" s="3">
        <f>1785.6+(1747.4-1692.4)+(-2.731968+(-2.673522--2.589372))+0-403.4--0.617202000000023</f>
        <v>1435.0010840000002</v>
      </c>
      <c r="I68" s="3">
        <f>1602.4+(1685.4-1486.4)+(0+(0-0))+0-395.3-0</f>
        <v>1406.1000000000001</v>
      </c>
      <c r="J68" s="3">
        <f>1574+(1606.8-1389.4)+(0.80274+(0.819468-0.708594))+0-408.5-0.208334999999959</f>
        <v>1383.6052789999999</v>
      </c>
      <c r="K68" s="3">
        <f>1475.4+(1548.7-1243.6)+(-3.009816+(-3.159348--2.536944))+0-410.6--0.837623999999982</f>
        <v>1367.1054040000001</v>
      </c>
      <c r="L68" s="3">
        <f>1480.8+(1681.4-1362)+(-1.510416+(-1.715028--1.38924))+0-394.5--0.402390000000063</f>
        <v>1404.2661860000001</v>
      </c>
      <c r="M68" s="3">
        <f>1480.1+(1548.1-1208.2)+(-1.509702+(-1.579062--1.232364))+0-405.6--0.413712000000065</f>
        <v>1412.957312</v>
      </c>
      <c r="N68" s="3">
        <f>1542.8+(1520.5-1190.3)+(-2.360484+(-2.326365--1.821159))+0-410.8--0.628524000000024</f>
        <v>1459.9628339999999</v>
      </c>
      <c r="O68" s="3">
        <f>1602.2+(1410.5-1098.4)+(-1.634244+(-1.43871--1.120368))+0-399.7--0.407694000000064</f>
        <v>1513.0551079999998</v>
      </c>
      <c r="P68" s="3">
        <f>1593.1+(1364.1-985.8)+(-2.437443+(-2.087073--1.508274))+0-409.8--0.626994000000024</f>
        <v>1559.210752</v>
      </c>
      <c r="Q68" s="3">
        <f>1712.7+(1706.9-1369.9)+(-2.620431+(-2.611557--2.095947))+0-420.9--0.643977000000024</f>
        <v>1626.3079359999999</v>
      </c>
      <c r="R68" s="3">
        <f>1778.2+(1890.8-1664.4)+(-0.906882+(-0.964308--0.848844))+0-422.2--0.215321999999957</f>
        <v>1581.5929759999999</v>
      </c>
      <c r="S68" s="3">
        <f>1779.4+(2055.1-1851.4)+(-0.907494+(-1.048101--0.944214))+0-415--0.211649999999958</f>
        <v>1567.3002689999998</v>
      </c>
      <c r="T68" s="3">
        <f>1777.1+(2070.8-1921.4)+(-3.625284+(-4.224432--3.919656))+0-410.2--0.836807999999982</f>
        <v>1513.2067480000001</v>
      </c>
      <c r="U68" s="3">
        <f>1775+(2051.2-1900.4)+(-0.90525+(-1.046112--0.969204))+0-405.9--0.207008999999959</f>
        <v>1519.1248509999998</v>
      </c>
      <c r="V68" s="3">
        <f>1775.7+(1863.6-1690)+(-0.905607+(-0.950436--0.8619))+0-410.5--0.209354999999958</f>
        <v>1538.015212</v>
      </c>
      <c r="W68" s="3">
        <f>1775.4+(1564.7-1427.5)+(-3.621816+(-3.191988--2.9121))+0-406.2--0.828647999999982</f>
        <v>1503.3269439999999</v>
      </c>
      <c r="X68" s="3">
        <f>1774.3+(1152.9-1025.6)+(-4.524465+(-2.939895--2.61528))+0-415.2--1.05875999999994</f>
        <v>1482.60968</v>
      </c>
      <c r="Y68" s="3">
        <f>1795.5+(1089.4-954.3)+(-2.747115+(-1.666782--1.460079))+0-416.1--0.636633000000024</f>
        <v>1512.1828150000001</v>
      </c>
      <c r="Z68" s="3">
        <f>2142.7+(951.8-939.7)+(-3.278331+(-1.456254--1.437741))+0-414.7--0.634491000000024</f>
        <v>1737.4376469999997</v>
      </c>
      <c r="AA68" s="3">
        <f>2234.8+(1112.6-1182.3)+(-3.419244+(-1.702278--1.808919))+0-402.7--0.616131000000023</f>
        <v>1759.7035280000005</v>
      </c>
      <c r="AB68" s="3">
        <f>2235.1+(1346.2-1482.4)+(-4.559604+(-2.746248--3.024096))+0-401.6--0.819263999999983</f>
        <v>1693.8375079999998</v>
      </c>
      <c r="AC68" s="3">
        <f>2201.9+(2039.9-2159.3)+(-3.368907+(-3.121047--3.303729))+0-404.4--0.618732000000023</f>
        <v>1675.5325070000001</v>
      </c>
      <c r="AD68">
        <v>1738.8</v>
      </c>
      <c r="AE68" s="3">
        <f>2235+(1216.3-1313.3)+(0+(0-0))+0-399.2-0</f>
        <v>1738.8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2163.2+(2252.9-2417.8)+(-4.412928+(-4.595916--4.932312))+0-402.4--0.820895999999982</f>
        <v>1592.6443639999995</v>
      </c>
      <c r="G69" s="3">
        <f>1815.3+(2023.4-1940.2)+(-3.703212+(-4.127736--3.958008))+0-400.3--0.816611999999983</f>
        <v>1495.1436720000002</v>
      </c>
      <c r="H69" s="3">
        <f>1635.1+(1996.5-1760.2)+(-1.667802+(-2.03643--1.795404))+0-406.7--0.414834000000065</f>
        <v>1463.2060059999999</v>
      </c>
      <c r="I69" s="3">
        <f>1616.4+(1842-1610.3)+(-0.824364+(-0.93942--0.821253))+0-397.1--0.20252099999996</f>
        <v>1450.2599900000002</v>
      </c>
      <c r="J69" s="3">
        <f>1616.9+(1840.7-1608.9)+(-1.649238+(-1.877514--1.641078))+0-393.4--0.401268000000063</f>
        <v>1453.8155940000001</v>
      </c>
      <c r="K69" s="3">
        <f>1616.4+(1758.8-1528.1)+(-4.12182+(-4.48494--3.896655))+0-400.4--1.02101999999994</f>
        <v>1443.0109150000001</v>
      </c>
      <c r="L69" s="3">
        <f>1615.5+(1534.5-1342.3)+(0+(0-0))+0-405.7-0</f>
        <v>1402</v>
      </c>
      <c r="M69" s="3">
        <f>1615.3+(1421.4-1139.4)+(-1.647606+(-1.449828--1.162188))+0-398--0.405960000000063</f>
        <v>1497.770714</v>
      </c>
      <c r="N69" s="3">
        <f>1597.7+(1162.3-799.3)+(-3.259308+(-2.371092--1.630572))+0-396.2--0.808247999999983</f>
        <v>1561.3084200000001</v>
      </c>
      <c r="O69" s="3">
        <f>1618.7+(1110-547.4)+(-0.825537+(-0.5661--0.279174))+0-400.6--0.204305999999959</f>
        <v>1779.7918430000002</v>
      </c>
      <c r="P69" s="3">
        <f>1652.6+(951.5-362.3)+(0+(0-0))+0-401.9-0</f>
        <v>1839.9</v>
      </c>
      <c r="Q69" s="3">
        <f>1718.9+(757.3-215)+(1.753278+(0.772446-0.2193))+0-403-0.411060000000064</f>
        <v>1860.0953639999996</v>
      </c>
      <c r="R69" s="3">
        <f>1817.8+(676.2-259.6)+(-0.927078+(-0.344862--0.132396))+0-394.1--0.20099099999996</f>
        <v>1839.361447</v>
      </c>
      <c r="S69" s="3">
        <f>1966.2+(849.3-622.9)+(0+(0-0))+0-399.8-0</f>
        <v>1792.8</v>
      </c>
      <c r="T69" s="3">
        <f>2060.6+(980.4-850.2)+(-1.050906+(-0.500004--0.433602))+0-401.2--0.204611999999959</f>
        <v>1788.6873039999998</v>
      </c>
      <c r="U69" s="3">
        <f>2069.9+(1066.6-939.1)+(-5.278245+(-2.71983--2.394705))+0-398.8--1.01693999999994</f>
        <v>1794.0135700000003</v>
      </c>
      <c r="V69" s="3">
        <f>2069.8+(1192.6-1056.9)+(-3.166794+(-1.824678--1.617057))+0-385.4--0.589662000000022</f>
        <v>1817.3152469999998</v>
      </c>
      <c r="W69" s="3">
        <f>2068.1+(1355.3-1224.6)+(-7.383117+(-4.838421--4.371822))+0-384.5--1.37266500000001</f>
        <v>1807.8229490000001</v>
      </c>
      <c r="X69" s="3">
        <f>2067.9+(1136.3-1081.3)+(-7.382403+(-4.056591--3.860241))+0-405.5--1.44763500000001</f>
        <v>1711.2688820000003</v>
      </c>
      <c r="Y69" s="3">
        <f>2085.2+(1045-1083.6)+(-1.063452+(-0.53295--0.552636))+0-374--0.190739999999962</f>
        <v>1671.7469739999999</v>
      </c>
      <c r="Z69" s="3">
        <f>2228.2+(1084.6-1179.1)+(-2.272764+(-1.106292--1.202682))+0-363.1--0.370362000000058</f>
        <v>1768.7939879999999</v>
      </c>
      <c r="AA69" s="3">
        <f>2231.7+(1098-1095.5)+(-6.829002+(-3.35988--3.35223))+0-354.7--1.08538200000004</f>
        <v>1873.7487299999998</v>
      </c>
      <c r="AB69" s="3">
        <f>2232.9+(1544.4-1584.3)+(-4.555116+(-3.150576--3.231972))+0-347.3--0.708491999999985</f>
        <v>1841.9347720000001</v>
      </c>
      <c r="AC69" s="3">
        <f>2042.4+(1567.4-1510.2)+(-6.249744+(-4.796244--4.621212))+0-380.1--1.16310600000004</f>
        <v>1714.2383300000006</v>
      </c>
      <c r="AD69">
        <v>1816.6000000000001</v>
      </c>
      <c r="AE69" s="3">
        <f>2233+(1157.8-1221)+(0+(0-0))+0-353.2-0</f>
        <v>1816.6000000000001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1694.7+(1807.9-1560.1)+(-1.728594+(-1.844058--1.591302))+0-395--0.402900000000063</f>
        <v>1545.9215500000003</v>
      </c>
      <c r="G70" s="3">
        <f>1569.3+(1875.1-1522.3)+(-4.001715+(-4.781505--3.881865))+0-395--1.00724999999994</f>
        <v>1523.2058949999998</v>
      </c>
      <c r="H70" s="3">
        <f>1568.1+(1951.9-1764.5)+(-3.198924+(-3.981876--3.59958))+0-392.2--0.800087999999983</f>
        <v>1360.5188679999999</v>
      </c>
      <c r="I70" s="3">
        <f>1568.9+(1966-1800.8)+(-2.400417+(-3.00798--2.755224))+0-391.7--0.599301000000023</f>
        <v>1340.3461280000001</v>
      </c>
      <c r="J70" s="3">
        <f>1568.4+(1962.3-1716.4)+(-2.399652+(-3.002319--2.626092))+0-392.4--0.600372000000023</f>
        <v>1419.7244929999999</v>
      </c>
      <c r="K70" s="3">
        <f>1568+(1878.4-1529.6)+(-3.19872+(-3.831936--3.120384))+0-391--0.797639999999983</f>
        <v>1522.6873680000001</v>
      </c>
      <c r="L70" s="3">
        <f>1567.2+(1494.1-1139.1)+(-2.397816+(-2.285973--1.742823))+0-391--0.598230000000023</f>
        <v>1528.8572640000002</v>
      </c>
      <c r="M70" s="3">
        <f>1567+(1176.3-899)+(-0.79917+(-0.599913--0.45849))+0-388.2--0.197981999999961</f>
        <v>1455.3573889999998</v>
      </c>
      <c r="N70" s="3">
        <f>1569.1+(1112.6-570)+(0+(0-0))+0-396.1-0</f>
        <v>1715.6</v>
      </c>
      <c r="O70" s="3">
        <f>1568.7+(978.5-388.7)+(0.800037+(0.499035-0.198237))+0-387.1-0.197420999999961</f>
        <v>1772.3034140000004</v>
      </c>
      <c r="P70" s="3">
        <f>1614.1+(932.8-287.6)+(0.823191+(0.475728-0.146676))+0-386.3-0.197012999999961</f>
        <v>1873.9552299999998</v>
      </c>
      <c r="Q70" s="3">
        <f>1736.8+(876.2-395)+(0.885768+(0.446862-0.20145))+12.7-355.7-0.181406999999964</f>
        <v>1875.9497729999996</v>
      </c>
      <c r="R70" s="3">
        <f>2046.9+(571.6-394.4)+(0+(0-0))+0-351.2-0</f>
        <v>1872.9000000000003</v>
      </c>
      <c r="S70" s="3">
        <f>2186.1+(842.4-745.3)+(0+(0-0))+0-368.7-0</f>
        <v>1914.4999999999998</v>
      </c>
      <c r="T70" s="3">
        <f>2167.1+(921.6-924.2)+(-3.315663+(-1.410048--1.414026))+0-385.9--0.590427000000022</f>
        <v>1775.8787419999999</v>
      </c>
      <c r="U70" s="3">
        <f>2166.2+(1007.3-990.8)+(2.209524+(1.027446-1.010616))+0-374.6-0.38209200000006</f>
        <v>1809.9442619999998</v>
      </c>
      <c r="V70" s="3">
        <f>2184.9+(1074.8-1062.4)+(-2.228598+(-1.096296--1.083648))+0-367--0.374340000000059</f>
        <v>1828.4330940000002</v>
      </c>
      <c r="W70" s="3">
        <f>2181.8+(1226.5-1214.2)+(-7.789026+(-4.378605--4.334694))+0-363.3--1.29698100000001</f>
        <v>1824.2640440000002</v>
      </c>
      <c r="X70" s="3">
        <f>2176+(1317.2-1369.9)+(-5.5488+(-3.35886--3.493245))+0-365.4--0.931769999999947</f>
        <v>1753.4173549999998</v>
      </c>
      <c r="Y70" s="3">
        <f>2183.2+(1218.3-1312.7)+(-3.340296+(-1.863999--2.008431))+0-354.7--0.54269100000002</f>
        <v>1731.446827</v>
      </c>
      <c r="Z70" s="3">
        <f>2237.2+(971.2-967.6)+(-2.281944+(-0.990624--0.986952))+0-333.5--0.340170000000053</f>
        <v>1905.3545539999996</v>
      </c>
      <c r="AA70" s="3">
        <f>2236.5+(723.1-912.6)+(-5.703075+(-1.843905--2.32713))+0-331.9--0.846344999999952</f>
        <v>1710.7264949999999</v>
      </c>
      <c r="AB70" s="3">
        <f>2236.7+(1464-1547.5)+(-4.562868+(-2.98656--3.1569))+0-331.4--0.676055999999985</f>
        <v>1818.0835279999999</v>
      </c>
      <c r="AC70" s="3">
        <f>2205.8+(1832.9-1887.2)+(-4.499832+(-3.739116--3.849888))+0-360.9--0.736235999999984</f>
        <v>1786.9471759999999</v>
      </c>
      <c r="AD70">
        <v>1817.3000000000002</v>
      </c>
      <c r="AE70" s="3">
        <f>2233+(656.9-735)+(0+(0-0))+0-337.6-0</f>
        <v>1817.3000000000002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1885.8+(2001.3-1790.5)+(-1.923516+(-2.041326--1.82631))+0-372.6--0.380052000000059</f>
        <v>1722.24152</v>
      </c>
      <c r="G71" s="3">
        <f>1601.3+(1743-1359)+(-3.266652+(-3.55572--2.77236))+0-370.3--0.755411999999984</f>
        <v>1611.7054000000001</v>
      </c>
      <c r="H71" s="3">
        <f>1562.2+(1469.6-1175.9)+(-3.186888+(-2.997984--2.398836))+0-375.6--0.766223999999984</f>
        <v>1477.2801879999997</v>
      </c>
      <c r="I71" s="3">
        <f>1571.1+(1456.7-1197.7)+(-2.403783+(-2.228751--1.832481))+0-373.1--0.570843000000022</f>
        <v>1454.77079</v>
      </c>
      <c r="J71" s="3">
        <f>1571.5+(1533.8-1253.4)+(-0.801465+(-0.782238--0.639234))+0-370.2--0.188801999999962</f>
        <v>1480.9443329999997</v>
      </c>
      <c r="K71" s="3">
        <f>1571.4+(1642.3-1355.7)+(-2.404242+(-2.512719--2.074221))+0-374.8--0.573444000000022</f>
        <v>1480.9307040000001</v>
      </c>
      <c r="L71" s="3">
        <f>1570.9+(1316.3-1170.2)+(-1.602318+(-1.342626--1.193604))+0-372--0.379440000000059</f>
        <v>1343.6281000000001</v>
      </c>
      <c r="M71" s="3">
        <f>1570.3+(1184.9-940.6)+(0+(0-0))+0-372.2-0</f>
        <v>1442.3999999999999</v>
      </c>
      <c r="N71" s="3">
        <f>1570.4+(1064.6-596.7)+(1.601808+(1.085892-0.608634))+0-364.3-0.371586000000058</f>
        <v>1675.70748</v>
      </c>
      <c r="O71" s="3">
        <f>1541.5+(941.5-241.6)+(0.786165+(0.480165-0.123216))+0-385.9-0.196808999999961</f>
        <v>1856.4463049999999</v>
      </c>
      <c r="P71" s="3">
        <f>1602.3+(734.9-225.6)+(0.817173+(0.374799-0.115056))+0-371.5-0.189464999999962</f>
        <v>1740.987451</v>
      </c>
      <c r="Q71" s="3">
        <f>1733.1+(635-250.2)+(1.767762+(0.6477-0.255204))+0-371-0.378420000000059</f>
        <v>1748.681838</v>
      </c>
      <c r="R71" s="3">
        <f>1897.6+(656.7-398.7)+(0.967776+(0.334917-0.203337))+0-390.3-0.19905299999996</f>
        <v>1766.2003030000001</v>
      </c>
      <c r="S71" s="3">
        <f>1950.5+(1116.8-980.5)+(-0.994755+(-0.569568--0.500055))+0-387--0.197369999999961</f>
        <v>1698.933102</v>
      </c>
      <c r="T71" s="3">
        <f>2014.6+(1126.5-999.1)+(-1.027446+(-0.574515--0.509541))+0-391.4--0.19961399999996</f>
        <v>1749.7071939999998</v>
      </c>
      <c r="U71" s="3">
        <f>2008.9+(954.2-864.3)+(-3.073617+(-1.459926--1.322379))+0-368.8--0.564264000000021</f>
        <v>1727.3531000000005</v>
      </c>
      <c r="V71" s="3">
        <f>1998.4+(1023.6-842.7)+(-2.038368+(-1.044072--0.859554))+0-370.4--0.377808000000059</f>
        <v>1807.054922</v>
      </c>
      <c r="W71" s="3">
        <f>1995.1+(1218.8-1159.2)+(-6.105006+(-3.729528--3.547152))+0-368.1--1.12638600000004</f>
        <v>1681.4390040000001</v>
      </c>
      <c r="X71" s="3">
        <f>1995.8+(1584.8-1422.1)+(-6.107148+(-4.849488--4.351626))+0-370.6--1.13403600000004</f>
        <v>1782.429026</v>
      </c>
      <c r="Y71" s="3">
        <f>2019.2+(1505.9-1532.9)+(-4.119168+(-3.072036--3.127116))+0-343.1--0.699923999999985</f>
        <v>1645.7358359999998</v>
      </c>
      <c r="Z71" s="3">
        <f>2230.7+(1308.8-1434)+(-2.275314+(-1.334976--1.46268))+0-339.2--0.345984000000054</f>
        <v>1764.498374</v>
      </c>
      <c r="AA71" s="3">
        <f>2235.6+(1270.2-1293.1)+(-6.840936+(-3.886812--3.956886))+0-338.2--1.03489200000004</f>
        <v>1868.76403</v>
      </c>
      <c r="AB71" s="3">
        <f>2220.9+(1883.4-1960.9)+(-4.530636+(-3.842136--4.000236))+0-339--0.691559999999985</f>
        <v>1800.7190240000002</v>
      </c>
      <c r="AC71" s="3">
        <f>2114+(2140.4-2209.8)+(-1.07814+(-1.091604--1.126998))+0-342.5--0.174674999999965</f>
        <v>1701.2319289999998</v>
      </c>
      <c r="AD71">
        <v>1963.3</v>
      </c>
      <c r="AE71" s="3">
        <f>2236+(1361.7-1293.2)+(0+(0-0))+0-341.2-0</f>
        <v>1963.3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1828.6+(2264.2-2123)+(-1.865172+(-2.309484--2.16546))+0-340--0.346800000000054</f>
        <v>1628.1376039999998</v>
      </c>
      <c r="G72" s="3">
        <f>1538+(2162.6-1827.9)+(-3.13752+(-4.411704--3.728916))+0-345.3--0.704411999999985</f>
        <v>1524.2841039999998</v>
      </c>
      <c r="H72" s="3">
        <f>1520.7+(2154-1810.7)+(-3.102228+(-4.39416--3.693828))+0-353.8--0.721751999999985</f>
        <v>1507.1191919999999</v>
      </c>
      <c r="I72" s="3">
        <f>1518.3+(1905.8-1577.3)+(-3.097332+(-3.887832--3.217692))+0-350.1--0.714203999999985</f>
        <v>1493.6467319999997</v>
      </c>
      <c r="J72" s="3">
        <f>1518.9+(1899.3-1623.2)+(-0.774639+(-0.968643--0.827832))+0-353.7--0.180386999999964</f>
        <v>1440.5649369999999</v>
      </c>
      <c r="K72" s="3">
        <f>1519.4+(1844.9-1535.9)+(-6.199152+(-7.527192--6.266472))+0-350.6--1.43044799999997</f>
        <v>1471.7705760000003</v>
      </c>
      <c r="L72" s="3">
        <f>1519.5+(1657.9-1385)+(-1.54989+(-1.691058--1.4127))+0-348.5--0.355470000000056</f>
        <v>1442.427222</v>
      </c>
      <c r="M72" s="3">
        <f>1518.7+(1132.7-713.3)+(-1.549074+(-1.155354--0.727566))+0-349.7--0.356694000000056</f>
        <v>1586.7798320000002</v>
      </c>
      <c r="N72" s="3">
        <f>1517.9+(1007.1-456.6)+(0+(0-0))+0-350.8-0</f>
        <v>1717.6000000000001</v>
      </c>
      <c r="O72" s="3">
        <f>1551.4+(1078.1-465.3)+(-1.582428+(-1.099662--0.474606))+0-349.2--0.356184000000056</f>
        <v>1813.1486999999997</v>
      </c>
      <c r="P72" s="3">
        <f>1756.8+(920.6-476.8)+(-2.687904+(-1.408518--0.729504))+0-348.7--0.53351100000002</f>
        <v>1849.0665929999998</v>
      </c>
      <c r="Q72" s="3">
        <f>1988.7+(820.9-430.9)+(-4.056948+(-1.674636--0.879036))+0-351.2--0.716447999999985</f>
        <v>2023.3638999999998</v>
      </c>
      <c r="R72" s="3">
        <f>2184.4+(943.6-865.6)+(-2.228088+(-0.962472--0.882912))+0-345.8--0.352716000000055</f>
        <v>1914.6450680000003</v>
      </c>
      <c r="S72" s="3">
        <f>2187+(1513.6-1503.6)+(-2.23074+(-1.543872--1.533672))+0-326.3--0.332826000000052</f>
        <v>1868.791886</v>
      </c>
      <c r="T72" s="3">
        <f>2186.2+(1606.9-1595.5)+(1.114962+(0.819519-0.813705))+0-332.8-0.169727999999966</f>
        <v>1865.7510480000001</v>
      </c>
      <c r="U72" s="3">
        <f>2160.7+(1708.9-1662)+(-2.203914+(-1.743078--1.69524))+0-336.1--0.342822000000054</f>
        <v>1869.5910699999999</v>
      </c>
      <c r="V72" s="3">
        <f>2160.7+(1615.6-1529.2)+(-7.713699+(-5.767692--5.459244))+0-349.7--1.248429</f>
        <v>1890.6262819999993</v>
      </c>
      <c r="W72" s="3">
        <f>2066.1+(1392.8-1245.3)+(-2.107422+(-1.420656--1.270206))+0-346.8--0.353736000000055</f>
        <v>1864.8958639999998</v>
      </c>
      <c r="X72" s="3">
        <f>1931.7+(1144.3-967.6)+(-4.925835+(-2.917965--2.46738))+0-341.2--0.87005999999995</f>
        <v>1762.69364</v>
      </c>
      <c r="Y72" s="3">
        <f>1793.2+(1418.3-1101.4)+(0+(0-0))+0-348.8-0</f>
        <v>1761.3</v>
      </c>
      <c r="Z72" s="3">
        <f>1941.7+(1309.5-1065.1)+(0+(0-0))+0-347.4-0</f>
        <v>1838.7000000000003</v>
      </c>
      <c r="AA72" s="3">
        <f>2190.4+(1133.1-1024.9)+(-4.468416+(-2.311524--2.090796))+0-347.2--0.708287999999985</f>
        <v>1947.419144</v>
      </c>
      <c r="AB72" s="3">
        <f>2237.2+(1587.5-1557)+(0+(0-0))+0-348.7-0</f>
        <v>1918.9999999999998</v>
      </c>
      <c r="AC72" s="3">
        <f>2236+(1944.2-1964.3)+(-4.56144+(-3.966168--4.007172))+0-358.3--0.730931999999984</f>
        <v>1853.8104960000003</v>
      </c>
      <c r="AD72">
        <v>1931.9999999999998</v>
      </c>
      <c r="AE72" s="3">
        <f>2235+(1120.9-1077.7)+(0+(0-0))+0-346.2-0</f>
        <v>1931.9999999999998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2114.6+(2002.7-2025.2)+(-4.313784+(-4.085508--4.131408))+0-377.5--0.770099999999984</f>
        <v>1711.102216</v>
      </c>
      <c r="G73" s="3">
        <f>1953.2+(2070.6-1977.8)+(-4.98066+(-5.28003--5.04339))+0-387.6--0.988379999999944</f>
        <v>1654.1710799999998</v>
      </c>
      <c r="H73" s="3">
        <f>1645.9+(2130.8-1811.4)+(-0.839409+(-1.086708--0.923814))+0-380.8--0.194207999999961</f>
        <v>1583.6919050000001</v>
      </c>
      <c r="I73" s="3">
        <f>1527.5+(2268-1856.3)+(0+(0-0))+0-384-0</f>
        <v>1555.2</v>
      </c>
      <c r="J73" s="3">
        <f>1526.6+(2283.6-1895.2)+(-1.557132+(-2.329272--1.933104))+0-380.9--0.388518000000061</f>
        <v>1532.5352179999998</v>
      </c>
      <c r="K73" s="3">
        <f>1528.4+(2023-1565.9)+(-3.89742+(-5.15865--3.993045))+0-380.7--0.970784999999945</f>
        <v>1600.70776</v>
      </c>
      <c r="L73" s="3">
        <f>1525.6+(1452.6-1139)+(1.556112+(1.481652-1.16178))+0-378.9-0.38647800000006</f>
        <v>1461.7895059999998</v>
      </c>
      <c r="M73" s="3">
        <f>1523.5+(1212.1-821.4)+(-0.776985+(-0.618171--0.418914))+0-382.9--0.195278999999961</f>
        <v>1530.519037</v>
      </c>
      <c r="N73" s="3">
        <f>1522.8+(1127.5-563)+(2.329884+(1.725075-0.86139))+0-364.7-0.557991000000021</f>
        <v>1725.235578</v>
      </c>
      <c r="O73" s="3">
        <f>1611.8+(1316.3-720.2)+(-0.822018+(-0.671313--0.367302))+0-368.1--0.187730999999963</f>
        <v>1838.8617019999997</v>
      </c>
      <c r="P73" s="3">
        <f>1711.6+(1028.8-450.7)+(0+(0-0))+0-376.4-0</f>
        <v>1913.2999999999997</v>
      </c>
      <c r="Q73" s="3">
        <f>1715.8+(813.3-215.8)+(0+(0-0))+0-377.2-0</f>
        <v>1936.1000000000001</v>
      </c>
      <c r="R73" s="3">
        <f>1952.6+(868.7-512.7)+(0.995826+(0.443037-0.261477))+0-377.1-0.192320999999962</f>
        <v>1932.4850649999998</v>
      </c>
      <c r="S73" s="3">
        <f>2072.8+(1374.7-1184)+(-4.228512+(-2.804388--2.41536))+0-379.8--0.774791999999983</f>
        <v>1879.8572519999998</v>
      </c>
      <c r="T73" s="3">
        <f>2071.9+(1401.1-1195.4)+(-4.226676+(-2.858244--2.438616))+0-382.8--0.780911999999983</f>
        <v>1890.934608</v>
      </c>
      <c r="U73" s="3">
        <f>2075.2+(1452.8-1082.6)+(-2.116704+(-1.481856--1.104252))+0-386.5--0.394230000000062</f>
        <v>2056.7999219999997</v>
      </c>
      <c r="V73" s="3">
        <f>2071.5+(1433.9-1221.2)+(-4.22586+(-2.925156--2.491248))+0-377.4--0.769895999999983</f>
        <v>1902.9101279999998</v>
      </c>
      <c r="W73" s="3">
        <f>2071.2+(1840-1585.4)+(-5.28156+(-4.692--4.04277))+0-379.8--0.968489999999945</f>
        <v>1941.0376999999999</v>
      </c>
      <c r="X73" s="3">
        <f>2062.5+(1981.8-1777.9)+(-10.51875+(-10.10718--9.06729))+0-361--1.84110000000003</f>
        <v>1895.6824599999995</v>
      </c>
      <c r="Y73" s="3">
        <f>2084.3+(1453.3-1392.3)+(-3.188979+(-2.223549--2.130219))+0-363.5--0.556155000000021</f>
        <v>1779.073846</v>
      </c>
      <c r="Z73" s="3">
        <f>2230.5+(1766.4-1718.8)+(1.137555+(0.900864-0.876588))+0-358.4-0.182783999999964</f>
        <v>1920.6790470000003</v>
      </c>
      <c r="AA73" s="3">
        <f>2232.7+(2146.4-2065.5)+(-4.554708+(-4.378656--4.21362))+0-336.6--0.686663999999985</f>
        <v>1972.9669200000001</v>
      </c>
      <c r="AB73" s="3">
        <f>2234.2+(2236.9-2154.6)+(-2.278884+(-2.281638--2.197692))+0-340.1--0.346902000000054</f>
        <v>1974.3840720000001</v>
      </c>
      <c r="AC73" s="3">
        <f>2175.9+(2592.7-2488.2)+(-5.548545+(-6.611385--6.34491))+0-369.2--0.941459999999946</f>
        <v>1906.32644</v>
      </c>
      <c r="AD73">
        <v>1932.9000000000003</v>
      </c>
      <c r="AE73" s="3">
        <f>2216+(2236.3-2182.1)+(0+(0-0))+0-337.3-0</f>
        <v>1932.9000000000003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2070.2+(2420.9-2416.2)+(-5.27901+(-6.173295--6.16131))+0-373.3--0.951914999999946</f>
        <v>1697.2609200000002</v>
      </c>
      <c r="G74" s="3">
        <f>2060.6+(1856.6-1865.9)+(-5.25453+(-4.73433--4.758045))+0-373.4--0.952169999999946</f>
        <v>1673.6213549999998</v>
      </c>
      <c r="H74" s="3">
        <f>1871.6+(1790.7-1616)+(0.954516+(0.913257-0.82416))+0-373.9-0.190688999999962</f>
        <v>1673.2529239999999</v>
      </c>
      <c r="I74" s="3">
        <f>1789.5+(1877.6-1731.8)+(-0.912645+(-0.957576--0.883218))+0-378.6--0.193085999999962</f>
        <v>1555.9060830000001</v>
      </c>
      <c r="J74" s="3">
        <f>1646.8+(1764.7-1470.5)+(-5.879076+(-6.299979--5.249685))+0-387.2--1.38230400000001</f>
        <v>1548.2529339999999</v>
      </c>
      <c r="K74" s="3">
        <f>1569.6+(1688.8-1322.4)+(-7.204464+(-7.751592--6.069816))+0-382.4--1.75521600000007</f>
        <v>1546.4689759999997</v>
      </c>
      <c r="L74" s="3">
        <f>1520.9+(1669.9-1350.1)+(-3.878295+(-4.258245--3.442755))+0-383.9--0.978944999999944</f>
        <v>1453.0851600000001</v>
      </c>
      <c r="M74" s="3">
        <f>1518.8+(1287.2-953.5)+(2.323764+(1.969416-1.458855))+0-385.8-0.590274000000022</f>
        <v>1468.9440510000002</v>
      </c>
      <c r="N74" s="3">
        <f>1519.6+(1088.1-607.3)+(2.324988+(1.664793-0.929169))+0-380-0.581400000000022</f>
        <v>1622.8792119999998</v>
      </c>
      <c r="O74" s="3">
        <f>1518.7+(971.7-401.8)+(3.098148+(1.982268-0.819672))+0-373.2-0.761327999999984</f>
        <v>1718.8994160000004</v>
      </c>
      <c r="P74" s="3">
        <f>1634.5+(932.1-370.8)+(2.500785+(1.426113-0.567324))+0-375.2-0.574056000000022</f>
        <v>1823.3855180000003</v>
      </c>
      <c r="Q74" s="3">
        <f>1828.3+(920.6-443.2)+(0+(0-0))+0-380.4-0</f>
        <v>1925.2999999999997</v>
      </c>
      <c r="R74" s="3">
        <f>1836.5+(1391.1-773.3)+(-0.936615+(-0.709461--0.394383))+0-383.4--0.195533999999961</f>
        <v>2069.8438409999999</v>
      </c>
      <c r="S74" s="3">
        <f>1834.5+(1758.5-1354.9)+(-4.677975+(-4.484175--3.454995))+0-381.4--0.972569999999945</f>
        <v>1851.9654149999997</v>
      </c>
      <c r="T74" s="3">
        <f>1817.2+(1860.1-1531.1)+(-5.560632+(-5.691906--4.685166))+0-376.3--1.15147800000004</f>
        <v>1764.4841059999999</v>
      </c>
      <c r="U74" s="3">
        <f>1780.9+(1708.9-1351)+(-2.724777+(-2.614617--2.06703))+0-384.4--0.588132000000022</f>
        <v>1751.7157680000003</v>
      </c>
      <c r="V74" s="3">
        <f>1640.7+(1620.7-1206.3)+(0+(0-0))+0-382.3-0</f>
        <v>1672.8000000000004</v>
      </c>
      <c r="W74" s="3">
        <f>1685.6+(1047.2-629)+(1.719312+(1.068144-0.64158))+0-388.6-0.396372000000062</f>
        <v>1716.9495040000002</v>
      </c>
      <c r="X74" s="3">
        <f>1648.1+(817.1-413.3)+(-2.521593+(-1.250163--0.632349))+0-377.2--0.577116000000022</f>
        <v>1672.1377089999999</v>
      </c>
      <c r="Y74" s="3">
        <f>1709.1+(1013.1-657.6)+(0.871641+(0.516681-0.335376))+0-329.4-0.167993999999967</f>
        <v>1736.0849519999997</v>
      </c>
      <c r="Z74" s="3">
        <f>2014.5+(1514.8-1441.2)+(-3.082185+(-2.317644--2.205036))+0-318.7--0.487611000000018</f>
        <v>1766.6928179999998</v>
      </c>
      <c r="AA74" s="3">
        <f>2235.7+(1564.7-1604.7)+(-2.280414+(-1.595994--1.636794))+0-325.7--0.332214000000052</f>
        <v>1868.0925999999997</v>
      </c>
      <c r="AB74" s="3">
        <f>2070+(1764-1646.7)+(-3.1671+(-2.69892--2.519451))+0-339.9--0.52004700000002</f>
        <v>1844.5734780000003</v>
      </c>
      <c r="AC74" s="3">
        <f>1981.7+(1893.4-1669)+(0+(0-0))+0-385.7-0</f>
        <v>1820.4000000000003</v>
      </c>
      <c r="AD74">
        <v>1901.5</v>
      </c>
      <c r="AE74" s="3">
        <f>2238+(1668-1671.9)+(0+(0-0))+0-332.6-0</f>
        <v>1901.5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1897.7+(2141-1953.1)+(-1.935654+(-2.18382--1.992162))+0-371.2--0.378624000000059</f>
        <v>1712.6513120000004</v>
      </c>
      <c r="G75" s="3">
        <f>1713.8+(2267.5-1960.6)+(-3.496152+(-4.6257--3.999624))+0-381.4--0.778055999999983</f>
        <v>1635.9558279999999</v>
      </c>
      <c r="H75" s="3">
        <f>1565.1+(2439-2062.9)+(-3.192804+(-4.97556--4.208316))+0-382.4--0.780095999999983</f>
        <v>1555.6200479999998</v>
      </c>
      <c r="I75" s="3">
        <f>1490+(2571.5-2176.3)+(0.7599+(1.311465-1.109913))+0-373.5-0.190484999999962</f>
        <v>1512.470967</v>
      </c>
      <c r="J75" s="3">
        <f>1462+(2736.9-2348.3)+(-1.49124+(-2.791638--2.395266))+0-366.2--0.373524000000058</f>
        <v>1482.885912</v>
      </c>
      <c r="K75" s="3">
        <f>1463.7+(2867.9-2476.5)+(-1.492974+(-2.925258--2.52603))+0-375.6--0.38311200000006</f>
        <v>1477.99091</v>
      </c>
      <c r="L75" s="3">
        <f>1463.3+(2626.3-2421.6)+(-3.731415+(-6.697065--6.17508))+0-372.2--0.949109999999946</f>
        <v>1292.4957100000001</v>
      </c>
      <c r="M75" s="3">
        <f>1458.1+(2183.3-1939)+(0+(0-0))+0-384.5-0</f>
        <v>1317.9</v>
      </c>
      <c r="N75" s="3">
        <f>1382.3+(2068.1-1567.6)+(2.114919+(3.164193-2.398428))+0-373.7-0.571761000000022</f>
        <v>1511.408923</v>
      </c>
      <c r="O75" s="3">
        <f>1401.9+(2082.4-1556.4)+(2.144907+(3.186072-2.381292))+0-375.5-0.574515000000022</f>
        <v>1554.7751720000001</v>
      </c>
      <c r="P75" s="3">
        <f>1442.3+(2031.4-1470.4)+(3.677865+(5.18007-3.74952))+0-374.9-0.955994999999946</f>
        <v>1632.5524199999998</v>
      </c>
      <c r="Q75" s="3">
        <f>1573.3+(1807.9-1351.4)+(2.407149+(2.766087-2.067642))+0-375.4-0.574362000000022</f>
        <v>1656.9312320000001</v>
      </c>
      <c r="R75" s="3">
        <f>1688.4+(1535.7-1188.8)+(-1.722168+(-1.566414--1.212576))+0-368.2--0.375564000000059</f>
        <v>1665.3995580000003</v>
      </c>
      <c r="S75" s="3">
        <f>1688.6+(1433.6-1126.8)+(-0.861186+(-0.731136--0.574668))+0-378--0.192779999999962</f>
        <v>1616.5751259999997</v>
      </c>
      <c r="T75" s="3">
        <f>1533.9+(1452.6-995.8)+(0+(0-0))+0-381.8-0</f>
        <v>1608.9</v>
      </c>
      <c r="U75" s="3">
        <f>1483.1+(1528.8-1020.8)+(0+(0-0))+0-383.2-0</f>
        <v>1607.8999999999999</v>
      </c>
      <c r="V75" s="3">
        <f>1477.2+(1581.2-1059.4)+(-2.260116+(-2.419236--1.620882))+0-382.8--0.585684000000022</f>
        <v>1613.7272140000002</v>
      </c>
      <c r="W75" s="3">
        <f>1499.6+(1826.3-1326.1)+(-3.82398+(-4.657065--3.381555))+0-380--0.968999999999945</f>
        <v>1615.6695099999999</v>
      </c>
      <c r="X75" s="3">
        <f>1539.8+(1645-1174.1)+(-3.92649+(-4.19475--2.993955))+0-393.7--1.00393499999994</f>
        <v>1612.8766499999999</v>
      </c>
      <c r="Y75" s="3">
        <f>1576.2+(1389.1-1011)+(-1.607724+(-1.416882--1.03122))+0-393.7--0.401574000000063</f>
        <v>1559.0081879999998</v>
      </c>
      <c r="Z75" s="3">
        <f>2053.2+(1295.9-1277.4)+(-2.094264+(-1.321818--1.302948))+0-380.3--0.387906000000061</f>
        <v>1689.6747719999998</v>
      </c>
      <c r="AA75" s="3">
        <f>2223.9+(1210.5-1272.1)+(-4.536756+(-2.46942--2.595084))+0-381.6--0.778463999999983</f>
        <v>1777.0673720000004</v>
      </c>
      <c r="AB75" s="3">
        <f>2205.7+(1402.1-1452.5)+(-4.499628+(-2.860284--2.9631))+0-378.3--0.771731999999984</f>
        <v>1773.3749199999997</v>
      </c>
      <c r="AC75" s="3">
        <f>1967.9+(1942.8-1688.5)+(-2.007258+(-1.981656--1.72227))+0-376.6--0.38413200000006</f>
        <v>1843.7174880000002</v>
      </c>
      <c r="AD75">
        <v>1739.6</v>
      </c>
      <c r="AE75" s="3">
        <f>2224+(1115.2-1192.2)+(0+(0-0))+0-407.4-0</f>
        <v>1739.6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1905.5+(2654-2476.4)+(-3.88722+(-5.41416--5.051856))+0-384.1--0.783563999999983</f>
        <v>1695.5340400000002</v>
      </c>
      <c r="G76" s="3">
        <f>1709.3+(2566.2-2315.9)+(0+(0-0))+0-374.9-0</f>
        <v>1584.6999999999998</v>
      </c>
      <c r="H76" s="3">
        <f>1599.7+(2723.1-2413.7)+(-2.447541+(-4.166343--3.692961))+0-392.3--0.600219000000023</f>
        <v>1514.4792960000002</v>
      </c>
      <c r="I76" s="3">
        <f>1527.4+(2676.8-2423.7)+(-1.557948+(-2.730336--2.472174))+0-377.5--0.38505000000006</f>
        <v>1401.5689400000006</v>
      </c>
      <c r="J76" s="3">
        <f>1421.9+(2630.2-2241.4)+(0.725169+(1.341402-1.143114))+0-383.3-0.195482999999961</f>
        <v>1428.127974</v>
      </c>
      <c r="K76" s="3">
        <f>1420.9+(2346-2001.3)+(-4.347954+(-7.17876--6.123978))+0-386--1.18116000000004</f>
        <v>1375.3784240000002</v>
      </c>
      <c r="L76" s="3">
        <f>1421.1+(2175-1890.5)+(-2.174283+(-3.32775--2.892465))+0-374.9--0.573597000000022</f>
        <v>1328.664029</v>
      </c>
      <c r="M76" s="3">
        <f>1420.2+(2001.8-1666)+(1.448604+(2.041836-1.69932))+0-387-0.394740000000062</f>
        <v>1370.3963800000001</v>
      </c>
      <c r="N76" s="3">
        <f>1403.3+(2111.7-1610.5)+(-3.578415+(-5.384835--4.106775))+0-381.3--0.972314999999945</f>
        <v>1519.3158399999998</v>
      </c>
      <c r="O76" s="3">
        <f>1416.5+(2098.6-1532.7)+(-0.722415+(-1.070286--0.781677))+0-388.7--0.198236999999961</f>
        <v>1592.887213</v>
      </c>
      <c r="P76" s="3">
        <f>1426.4+(2060.3-1478.7)+(0+(0-0))+0-386.9-0</f>
        <v>1621.1000000000004</v>
      </c>
      <c r="Q76" s="3">
        <f>1475.9+(2176.2-1608.7)+(0.752709+(1.109862-0.820437))+0-357.7-0.182426999999964</f>
        <v>1686.5597069999999</v>
      </c>
      <c r="R76" s="3">
        <f>1594+(2290.5-1807.3)+(0+(0-0))+0-378.1-0</f>
        <v>1699.1</v>
      </c>
      <c r="S76" s="3">
        <f>1612.9+(2507.3-2041.5)+(-0.822579+(-1.278723--1.041165))+0-381.2--0.194411999999961</f>
        <v>1696.6342750000003</v>
      </c>
      <c r="T76" s="3">
        <f>1582.8+(2396.3-1938.1)+(-4.03614+(-6.110565--4.942155))+0-386.3--0.985064999999944</f>
        <v>1650.4805150000002</v>
      </c>
      <c r="U76" s="3">
        <f>1606+(2407.3-1999.3)+(-1.63812+(-2.455446--2.039286))+0-377.5--0.38505000000006</f>
        <v>1634.8307700000003</v>
      </c>
      <c r="V76" s="3">
        <f>1625+(1963.2-1620.9)+(-4.14375+(-5.00616--4.133295))+0-372.8--0.950639999999946</f>
        <v>1590.434025</v>
      </c>
      <c r="W76" s="3">
        <f>1631.5+(1727.9-1356)+(-3.32826+(-3.524916--2.76624))+0-375.3--0.765611999999984</f>
        <v>1624.7786760000001</v>
      </c>
      <c r="X76" s="3">
        <f>1675.2+(1807.1-1484.5)+(-5.126112+(-5.529726--4.54257))+0-360.5--1.10313000000004</f>
        <v>1632.2898619999999</v>
      </c>
      <c r="Y76" s="3">
        <f>1699.5+(1766.5-1508.6)+(-2.600235+(-2.702745--2.308158))+0-340.4--0.52081200000002</f>
        <v>1614.5259899999999</v>
      </c>
      <c r="Z76" s="3">
        <f>1954.3+(1657.3-1643.2)+(-1.993386+(-1.690446--1.676064))+0-338.8--0.345576000000054</f>
        <v>1627.9378080000001</v>
      </c>
      <c r="AA76" s="3">
        <f>2001.7+(1471.6-1261.7)+(-4.083468+(-3.002064--2.573868))+0-343.4--0.700535999999985</f>
        <v>1864.3888719999998</v>
      </c>
      <c r="AB76" s="3">
        <f>1993.3+(1518.8-1421)+(-3.049749+(-2.323764--2.17413))+0-342.6--0.52417800000002</f>
        <v>1745.824795</v>
      </c>
      <c r="AC76" s="3">
        <f>1878.3+(1630-1383.5)+(-2.873799+(-2.4939--2.116755))+0-380.6--0.582318000000022</f>
        <v>1741.5313740000004</v>
      </c>
      <c r="AD76">
        <v>1837</v>
      </c>
      <c r="AE76" s="3">
        <f>2007+(1470.1-1294.5)+(0+(0-0))+0-345.6-0</f>
        <v>1837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1722+(1804.1-1517.5)+(-3.51288+(-3.680364--3.0957))+0-382.5--0.780299999999983</f>
        <v>1622.7827559999998</v>
      </c>
      <c r="G77" s="3">
        <f>1519.8+(1785.5-1450.4)+(0.775098+(0.910605-0.739704))+0-388.5-0.198134999999961</f>
        <v>1467.147864</v>
      </c>
      <c r="H77" s="3">
        <f>1475+(1992.3-1602.5)+(-1.5045+(-2.032146--1.63455))+0-392.8--0.400656000000063</f>
        <v>1470.49856</v>
      </c>
      <c r="I77" s="3">
        <f>1475.8+(2042.1-1731.4)+(0+(0-0))+0-389.8-0</f>
        <v>1396.6999999999998</v>
      </c>
      <c r="J77" s="3">
        <f>1474.8+(2236.9-1926.4)+(2.256444+(3.422457-2.947392))+0-396-0.605880000000023</f>
        <v>1391.4256289999998</v>
      </c>
      <c r="K77" s="3">
        <f>1472.1+(2107.9-1799.8)+(-4.504626+(-6.450174--5.507388))+0-393.2--1.20319200000005</f>
        <v>1382.75578</v>
      </c>
      <c r="L77" s="3">
        <f>1474.4+(1837.3-1626.6)+(-1.503888+(-1.874046--1.659132))+0-392.1--0.399942000000063</f>
        <v>1291.6811400000001</v>
      </c>
      <c r="M77" s="3">
        <f>1474.5+(1614.9-1303.9)+(0.751995+(0.823599-0.664989))+0-386.5-0.197114999999961</f>
        <v>1399.7134900000001</v>
      </c>
      <c r="N77" s="3">
        <f>1473.9+(1674-1196.1)+(0+(0-0))+0-398.1-0</f>
        <v>1553.7000000000003</v>
      </c>
      <c r="O77" s="3">
        <f>1511.4+(1936.9-1360.5)+(-1.541628+(-1.975638--1.38771))+0-393.5--0.401370000000063</f>
        <v>1692.5718140000004</v>
      </c>
      <c r="P77" s="3">
        <f>1566.3+(1914.1-1391)+(0+(0-0))+0-392.7-0</f>
        <v>1696.6999999999996</v>
      </c>
      <c r="Q77" s="3">
        <f>1699.3+(1838.3-1452.4)+(0.866643+(0.937533-0.740724))+0-386.1-0.196910999999961</f>
        <v>1699.9665409999998</v>
      </c>
      <c r="R77" s="3">
        <f>1822.9+(1831.6-1518.5)+(1.859358+(1.868232-1.54887))+0-384.2-0.391884000000061</f>
        <v>1753.5868359999997</v>
      </c>
      <c r="S77" s="3">
        <f>1996.2+(1994-1884.1)+(-1.018062+(-1.01694--0.960891))+0-386.2--0.196961999999961</f>
        <v>1719.0228510000004</v>
      </c>
      <c r="T77" s="3">
        <f>2015.5+(2016.9-1952.4)+(1.027905+(1.028619-0.995724))+0-383.9-0.195788999999961</f>
        <v>1696.9650110000002</v>
      </c>
      <c r="U77" s="3">
        <f>2014.9+(1979.8-1891.4)+(-2.055198+(-2.019396--1.929228))+0-381.7--0.389334000000061</f>
        <v>1719.8439679999999</v>
      </c>
      <c r="V77" s="3">
        <f>2015+(1954.2-1843.7)+(-2.0553+(-1.993284--1.880574))+0-379.9--0.387498000000061</f>
        <v>1743.8194880000001</v>
      </c>
      <c r="W77" s="3">
        <f>2013.5+(1942.5-1827.1)+(-5.134425+(-4.953375--4.659105))+0-389.7--0.993734999999943</f>
        <v>1734.76504</v>
      </c>
      <c r="X77" s="3">
        <f>2011.9+(1742.6-1668.2)+(-7.182483+(-6.221082--5.955474))+0-372.5--1.32982500000001</f>
        <v>1707.681734</v>
      </c>
      <c r="Y77" s="3">
        <f>2016.5+(1509.7-1540.9)+(-2.05683+(-1.539894--1.571718))+0-348--0.354960000000056</f>
        <v>1635.629954</v>
      </c>
      <c r="Z77" s="3">
        <f>2056.4+(1288-1230.6)+(1.048764+(0.65688-0.627606))+0-353.7-0.180386999999964</f>
        <v>1760.9976510000004</v>
      </c>
      <c r="AA77" s="3">
        <f>1982.7+(1178.7-933.6)+(-3.033531+(-1.803411--1.428408))+0-359.8--0.550494000000021</f>
        <v>1865.1419600000002</v>
      </c>
      <c r="AB77" s="3">
        <f>1755.4+(1460.4-1038.2)+(-3.581016+(-2.979216--2.117928))+0-360.8--0.736031999999984</f>
        <v>1813.0937280000003</v>
      </c>
      <c r="AC77" s="3">
        <f>1751.9+(2019.2-1663.8)+(-4.467345+(-5.14896--4.24269))+0-359.8--0.917489999999948</f>
        <v>1743.0438750000003</v>
      </c>
      <c r="AD77">
        <v>1878.6999999999998</v>
      </c>
      <c r="AE77" s="3">
        <f>1756+(1354.7-874.6)+(0+(0-0))+0-357.4-0</f>
        <v>1878.6999999999998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1714.5+(2385.2-2071)+(-2.623185+(-3.649356--3.16863))+0-360.7--0.551871000000021</f>
        <v>1665.44796</v>
      </c>
      <c r="G78" s="3">
        <f>1507.5+(2285.9-1868.1)+(-1.53765+(-2.331618--1.905462))+0-361.1--0.368322000000058</f>
        <v>1562.6045160000001</v>
      </c>
      <c r="H78" s="3">
        <f>1364+(2321.9-1780.1)+(-1.39128+(-2.368338--1.815702))+0-358.9--0.366078000000057</f>
        <v>1545.3221620000004</v>
      </c>
      <c r="I78" s="3">
        <f>1221.8+(2304.1-1694.2)+(0.623118+(1.175091-0.864042))+0-358.9-0.183038999999964</f>
        <v>1473.5511279999996</v>
      </c>
      <c r="J78" s="3">
        <f>1223.3+(2105.9-1503.5)+(-3.119415+(-5.370045--3.833925))+0-360.4--0.919019999999948</f>
        <v>1461.5634849999999</v>
      </c>
      <c r="K78" s="3">
        <f>1285+(1996-1409.5)+(-4.58745+(-7.12572--5.031915))+0-351.1--1.253427</f>
        <v>1514.9721720000002</v>
      </c>
      <c r="L78" s="3">
        <f>1377.6+(1699.8-1302.4)+(1.405152+(1.733796-1.328448))+0-345.6-0.352512000000055</f>
        <v>1430.8579879999995</v>
      </c>
      <c r="M78" s="3">
        <f>1406.3+(1346-938.5)+(0+(0-0))+0-340.6-0</f>
        <v>1473.1999999999998</v>
      </c>
      <c r="N78" s="3">
        <f>1424.7+(1587.9-936.9)+(0+(0-0))+0-331.7-0</f>
        <v>1744.0000000000002</v>
      </c>
      <c r="O78" s="3">
        <f>1425.5+(1536.6-848.2)+(0.727005+(0.783666-0.432582))+0-343-0.174929999999965</f>
        <v>1771.8031589999998</v>
      </c>
      <c r="P78" s="3">
        <f>1500.1+(1062.9-414.6)+(1.530102+(1.084158-0.422892))+0-350.1-0.357102000000056</f>
        <v>1800.1342659999998</v>
      </c>
      <c r="Q78" s="3">
        <f>1704.3+(820.6-300)+(0.869193+(0.418506-0.153))+0-345.2-0.176051999999965</f>
        <v>1880.6586470000002</v>
      </c>
      <c r="R78" s="3">
        <f>1882.5+(815-454.4)+(0.960075+(0.41565-0.231744))+0-339-0.172889999999966</f>
        <v>1905.071091</v>
      </c>
      <c r="S78" s="3">
        <f>1959.8+(1045.3-797.6)+(-1.998996+(-1.066206--0.813552))+0-351--0.358020000000056</f>
        <v>1854.60637</v>
      </c>
      <c r="T78" s="3">
        <f>1961.6+(997.5-739.4)+(-1.000416+(-0.508725--0.377094))+0-346.8--0.176867999999965</f>
        <v>1871.9448209999998</v>
      </c>
      <c r="U78" s="3">
        <f>1974.9+(1059.8-808.5)+(-4.028796+(-2.161992--1.64934))+0-348.9--0.711755999999985</f>
        <v>1873.4703079999997</v>
      </c>
      <c r="V78" s="3">
        <f>1977.1+(1133.3-865.6)+(-7.058247+(-4.045881--3.090192))+0-355.2--1.268064</f>
        <v>1882.8541279999999</v>
      </c>
      <c r="W78" s="3">
        <f>1984.1+(1142.8-905)+(-3.035673+(-1.748484--1.38465))+0-358.9--0.549117000000021</f>
        <v>1860.1496099999995</v>
      </c>
      <c r="X78" s="3">
        <f>1985.3+(1454.7-1212.9)+(-5.062515+(-3.709485--3.092895))+0-356.3--0.908564999999948</f>
        <v>1866.0294599999997</v>
      </c>
      <c r="Y78" s="3">
        <f>2004+(1120.7-1039.4)+(-3.06612+(-1.714671--1.590282))+0-340.6--0.52111800000002</f>
        <v>1742.0306090000004</v>
      </c>
      <c r="Z78" s="3">
        <f>2175+(1310.1-1282.6)+(-2.2185+(-1.336302--1.308252))+0-357.2--0.364344000000057</f>
        <v>1843.4177940000002</v>
      </c>
      <c r="AA78" s="3">
        <f>2174.3+(1173.3-1027.4)+(-4.435572+(-2.393532--2.095896))+0-358.9--0.732155999999984</f>
        <v>1957.2989479999997</v>
      </c>
      <c r="AB78" s="3">
        <f>2174+(1791.5-1697.3)+(-4.43496+(-3.65466--3.462492))+0-350.4--0.714815999999985</f>
        <v>1913.8876879999996</v>
      </c>
      <c r="AC78" s="3">
        <f>2173.5+(2466.6-2414.7)+(-3.325455+(-3.773898--3.694491))+0-356.4--0.545292000000021</f>
        <v>1866.1404300000002</v>
      </c>
      <c r="AD78">
        <v>1887.5</v>
      </c>
      <c r="AE78" s="3">
        <f>2181+(1030-963.1)+(0+(0-0))+0-360.4-0</f>
        <v>1887.5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2106.8+(2708.8-2643.6)+(-5.37234+(-6.90744--6.74118))+0-388.5--0.990674999999944</f>
        <v>1778.9520750000006</v>
      </c>
      <c r="G79" s="3">
        <f>1891.8+(2647.8-2471.8)+(-3.859272+(-5.401512--5.042472))+0-390.3--0.796211999999983</f>
        <v>1674.0779000000002</v>
      </c>
      <c r="H79" s="3">
        <f>1624.5+(2493.7-2110)+(-1.65699+(-2.543574--2.1522))+0-394.5--0.402390000000063</f>
        <v>1612.0540259999998</v>
      </c>
      <c r="I79" s="3">
        <f>1534.5+(2314.5-1902.9)+(-3.912975+(-5.901975--4.852395))+0-399--1.01744999999994</f>
        <v>1543.1548949999999</v>
      </c>
      <c r="J79" s="3">
        <f>1534.1+(2078.8-1711.3)+(-3.911955+(-5.30094--4.363815))+0-398.1--1.01515499999994</f>
        <v>1499.6660750000001</v>
      </c>
      <c r="K79" s="3">
        <f>1533.4+(2061.4-1652.4)+(-3.91017+(-5.25657--4.21362))+0-393.6--1.00367999999994</f>
        <v>1544.8505600000001</v>
      </c>
      <c r="L79" s="3">
        <f>1533.8+(1551.3-1306.2)+(0.782238+(0.791163-0.666162))+0-396-0.20195999999996</f>
        <v>1383.6052789999999</v>
      </c>
      <c r="M79" s="3">
        <f>1531+(1047.1-754.2)+(0+(0-0))+0-400.8-0</f>
        <v>1423.1</v>
      </c>
      <c r="N79" s="3">
        <f>1539.6+(1125.9-561.9)+(-1.570392+(-1.148418--0.573138))+0-396.9--0.404838000000063</f>
        <v>1704.9591659999999</v>
      </c>
      <c r="O79" s="3">
        <f>1568+(1557.3-876.1)+(-1.59936+(-1.588446--0.893622))+0-398.7--0.406674000000064</f>
        <v>1848.61249</v>
      </c>
      <c r="P79" s="3">
        <f>1709.6+(1387.9-848.9)+(-2.615688+(-2.123487--1.298817))+0-395.7--0.605421000000023</f>
        <v>1850.065063</v>
      </c>
      <c r="Q79" s="3">
        <f>1766.7+(1262-750.5)+(0.901017+(0.64362-0.382755))+0-374.9-0.191198999999962</f>
        <v>1904.2706829999997</v>
      </c>
      <c r="R79" s="3">
        <f>1948.8+(1211.1-828.1)+(1.987776+(1.235322-0.844662))+0-397.3-0.405246000000063</f>
        <v>1936.4731899999997</v>
      </c>
      <c r="S79" s="3">
        <f>1931.3+(1407.2-1069.5)+(-1.969926+(-1.435344--1.09089))+0-393.1--0.400962000000063</f>
        <v>1873.9865820000005</v>
      </c>
      <c r="T79" s="3">
        <f>1956.9+(1229.1-973.2)+(-0.998019+(-0.626841--0.496332))+0-395--0.20144999999996</f>
        <v>1816.872922</v>
      </c>
      <c r="U79" s="3">
        <f>1994.6+(1038.1-824.3)+(-1.017246+(-0.529431--0.420393))+0-397.5--0.20272499999996</f>
        <v>1809.9764409999996</v>
      </c>
      <c r="V79" s="3">
        <f>1995+(1190-877.4)+(-2.0349+(-1.2138--0.894948))+0-392.7--0.400554000000063</f>
        <v>1912.9468019999999</v>
      </c>
      <c r="W79" s="3">
        <f>2004.5+(1612.5-1293.6)+(-3.066885+(-2.467125--1.979208))+0-390.1--0.596853000000023</f>
        <v>1930.3420510000001</v>
      </c>
      <c r="X79" s="3">
        <f>1999.3+(1833.2-1627.9)+(-5.098215+(-4.67466--4.151145))+0-373.5--0.952424999999946</f>
        <v>1826.430695</v>
      </c>
      <c r="Y79" s="3">
        <f>2022.2+(1516.5-1472.4)+(-4.125288+(-3.09366--3.003696))+0-336.7--0.686867999999985</f>
        <v>1726.0716160000002</v>
      </c>
      <c r="Z79" s="3">
        <f>2216.6+(1356.1-1367.4)+(0+(0-0))+0-339.2-0</f>
        <v>1866.0999999999997</v>
      </c>
      <c r="AA79" s="3">
        <f>2226.9+(1864.4-1748.1)+(-2.271438+(-1.901688--1.783062))+0-345--0.351900000000055</f>
        <v>1996.1618360000002</v>
      </c>
      <c r="AB79" s="3">
        <f>2217.3+(2061-1966.5)+(-3.392469+(-3.15333--3.008745))+0-357.2--0.546516000000021</f>
        <v>1951.6094620000003</v>
      </c>
      <c r="AC79" s="3">
        <f>2161.7+(2287.8-2168.8)+(-1.102467+(-1.166778--1.106088))+0-394.7--0.20129699999996</f>
        <v>1885.0381399999999</v>
      </c>
      <c r="AD79">
        <v>1994.8999999999999</v>
      </c>
      <c r="AE79" s="3">
        <f>2226+(1712.6-1596.9)+(0+(0-0))+0-346.8-0</f>
        <v>1994.8999999999999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2127.1+(2705.4-2636.3)+(-1.084821+(-1.379754--1.344513))+0-396.5--0.20221499999996</f>
        <v>1798.7821529999999</v>
      </c>
      <c r="G80" s="3">
        <f>1709.7+(2661.4-2284.3)+(-1.743894+(-2.714628--2.329986))+0-397.1--0.405042000000063</f>
        <v>1687.9765060000002</v>
      </c>
      <c r="H80" s="3">
        <f>1545.8+(2491.4-2027.8)+(-1.576716+(-2.541228--2.068356))+0-388.9--0.396678000000062</f>
        <v>1618.8470900000002</v>
      </c>
      <c r="I80" s="3">
        <f>1519.5+(2245.3-1771.6)+(-4.64967+(-6.870618--5.421096))+0-397.5--1.21635000000005</f>
        <v>1590.8171580000005</v>
      </c>
      <c r="J80" s="3">
        <f>1448.1+(2195.4-1681.8)+(0.738531+(1.119654-0.857718))+0-401.8-0.204917999999959</f>
        <v>1560.6955490000003</v>
      </c>
      <c r="K80" s="3">
        <f>1398.3+(2190.6-1651.7)+(-1.426266+(-2.234412--1.684734))+0-395.1--0.403002000000063</f>
        <v>1540.5270579999997</v>
      </c>
      <c r="L80" s="3">
        <f>1399.6+(1862.3-1355.9)+(-1.427592+(-1.899546--1.383018))+0-396.8--0.404736000000063</f>
        <v>1507.6606159999997</v>
      </c>
      <c r="M80" s="3">
        <f>1478.1+(1446.4-974.3)+(1.507662+(1.475328-0.993786))+0-396-0.403920000000063</f>
        <v>1555.785284</v>
      </c>
      <c r="N80" s="3">
        <f>1499.4+(1211.6-615.2)+(2.294082+(1.853748-0.941256))+0-403-0.616590000000023</f>
        <v>1695.3899839999999</v>
      </c>
      <c r="O80" s="3">
        <f>1500.8+(1486.3-782.3)+(0.765408+(0.758013-0.398973))+0-384-0.195839999999961</f>
        <v>1821.7286080000003</v>
      </c>
      <c r="P80" s="3">
        <f>1570.7+(1450.9-795)+(0.801057+(0.739959-0.40545))+0-384.6-0.196145999999961</f>
        <v>1842.9394200000004</v>
      </c>
      <c r="Q80" s="3">
        <f>1703.5+(966.9-426.1)+(0+(0-0))+0-381.3-0</f>
        <v>1863.0000000000002</v>
      </c>
      <c r="R80" s="3">
        <f>1705.5+(927.8-283.2)+(0.869805+(0.473178-0.144432))+0-389-0.198389999999961</f>
        <v>1962.1001609999998</v>
      </c>
      <c r="S80" s="3">
        <f>1771.4+(1019.6-485.2)+(-2.710242+(-1.559988--0.742356))+0-383.8--0.587214000000022</f>
        <v>1919.0593400000005</v>
      </c>
      <c r="T80" s="3">
        <f>1946.9+(939.6-605.5)+(1.985838+(0.958392-0.61761))+0-383.2-0.390864000000061</f>
        <v>1899.7357559999998</v>
      </c>
      <c r="U80" s="3">
        <f>2048.4+(906.8-643.7)+(-4.178736+(-1.849872--1.313148))+0-384--0.783359999999983</f>
        <v>1923.5679</v>
      </c>
      <c r="V80" s="3">
        <f>2049.7+(1143.6-834.1)+(-3.136041+(-1.749708--1.276173))+0-385.1--0.589203000000022</f>
        <v>1971.0796270000001</v>
      </c>
      <c r="W80" s="3">
        <f>2047.8+(1546.3-1233.5)+(-2.088756+(-1.577226--1.25817))+0-386.4--0.394128000000062</f>
        <v>1972.186316</v>
      </c>
      <c r="X80" s="3">
        <f>2047.7+(1743.7-1538.7)+(-8.354616+(-7.114296--6.277896))+0-372.1--1.51816799999997</f>
        <v>1872.9271519999998</v>
      </c>
      <c r="Y80" s="3">
        <f>2056.5+(1235.2-1194.1)+(-2.09763+(-1.259904--1.217982))+0-365.3--0.372606000000058</f>
        <v>1730.5330540000004</v>
      </c>
      <c r="Z80" s="3">
        <f>2196.4+(1340-1349.7)+(-4.480656+(-2.7336--2.753388))+0-355.1--0.724403999999985</f>
        <v>1827.8635359999998</v>
      </c>
      <c r="AA80" s="3">
        <f>2257.6+(1606.4-1497.7)+(-5.75688+(-4.09632--3.819135))+0-359.2--0.915959999999948</f>
        <v>2001.9818950000003</v>
      </c>
      <c r="AB80" s="3">
        <f>2249.8+(1778.9-1707.2)+(-4.589592+(-3.628956--3.482688))+0-359.1--0.732563999999984</f>
        <v>1958.3967040000002</v>
      </c>
      <c r="AC80" s="3">
        <f>2246.3+(1962.9-1917.2)+(-4.582452+(-4.004316--3.911088))+0-396.8--0.809471999999983</f>
        <v>1891.3337920000001</v>
      </c>
      <c r="AD80">
        <v>1985.4999999999995</v>
      </c>
      <c r="AE80" s="3">
        <f>2254+(1675.7-1583.8)+(0+(0-0))+0-360.4-0</f>
        <v>1985.5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2241.7+(1991.9-2030.3)+(0+(0-0))+0-399.8-0</f>
        <v>1803.5000000000002</v>
      </c>
      <c r="G81" s="3">
        <f>1960.4+(1851.2-1715)+(-0.999804+(-0.944112--0.87465))+0-394.2--0.20104199999996</f>
        <v>1701.5317760000003</v>
      </c>
      <c r="H81" s="3">
        <f>1564.7+(2282.4-1823.8)+(0.797997+(1.164024-0.930138))+0-400-0.203999999999959</f>
        <v>1624.1278830000003</v>
      </c>
      <c r="I81" s="3">
        <f>1439.5+(2295.3-1743)+(-0.734145+(-1.170603--0.88893))+0-396.9--0.20241899999996</f>
        <v>1594.0866010000002</v>
      </c>
      <c r="J81" s="3">
        <f>1255.4+(2346.5-1650.6)+(-0.640254+(-1.196715--0.841806))+0-395.3--0.20160299999996</f>
        <v>1555.2064400000002</v>
      </c>
      <c r="K81" s="3">
        <f>1256.2+(2209.9-1531.3)+(-3.20331+(-5.635245--3.904815))+0-398.1--1.01515499999994</f>
        <v>1532.7814150000004</v>
      </c>
      <c r="L81" s="3">
        <f>1256.9+(1806.8-1212.9)+(-1.282038+(-1.842936--1.237158))+0-397.1--0.405042000000063</f>
        <v>1452.217226</v>
      </c>
      <c r="M81" s="3">
        <f>1255.9+(1786.2-1113.7)+(1.281018+(1.821924-1.135974))+0-386.4-0.394128000000062</f>
        <v>1543.57284</v>
      </c>
      <c r="N81" s="3">
        <f>1256+(1868.8-1032.5)+(1.92168+(2.859264-1.579725))+0-362.6-0.554778000000021</f>
        <v>1732.3464410000004</v>
      </c>
      <c r="O81" s="3">
        <f>1270.9+(1622.4-735.9)+(0+(0-0))+0-363.4-0</f>
        <v>1794</v>
      </c>
      <c r="P81" s="3">
        <f>1467.8+(1190.3-473.7)+(0+(0-0))+0-369.1-0</f>
        <v>1815.2999999999997</v>
      </c>
      <c r="Q81" s="3">
        <f>1682.2+(830.4-318.3)+(1.715844+(0.847008-0.324666))+0-359.7-0.366894000000057</f>
        <v>1836.4712920000002</v>
      </c>
      <c r="R81" s="3">
        <f>1834.5+(896.5-414)+(-0.935595+(-0.457215--0.21114))+0-376--0.191759999999962</f>
        <v>1940.01009</v>
      </c>
      <c r="S81" s="3">
        <f>1898.3+(1251.6-936.7)+(-3.872532+(-2.553264--1.910868))+0-374.5--0.763979999999984</f>
        <v>1834.9490519999997</v>
      </c>
      <c r="T81" s="3">
        <f>1886.1+(1632.6-1359.6)+(-3.847644+(-3.330504--2.773584))+0-371.8--0.758471999999984</f>
        <v>1783.653908</v>
      </c>
      <c r="U81" s="3">
        <f>1935.6+(1993.6-1762.7)+(-0.987156+(-1.016736--0.898977))+0-373--0.190229999999962</f>
        <v>1792.585315</v>
      </c>
      <c r="V81" s="3">
        <f>1972.4+(2118.8-1949.8)+(-5.02962+(-5.40294--4.97199))+0-372.9--0.950894999999946</f>
        <v>1763.9903250000002</v>
      </c>
      <c r="W81" s="3">
        <f>1862.7+(2402.3-2041.8)+(-1.899954+(-2.450346--2.082636))+0-367.4--0.374748000000059</f>
        <v>1853.9070840000002</v>
      </c>
      <c r="X81" s="3">
        <f>1801.1+(2207.3-1911.8)+(-5.511366+(-6.754338--5.850108))+0-370.5--1.13373000000004</f>
        <v>1720.8181340000006</v>
      </c>
      <c r="Y81" s="3">
        <f>1854.2+(1425.7-1328.3)+(-0.945642+(-0.727107--0.677433))+0-342--0.174419999999965</f>
        <v>1608.7791040000002</v>
      </c>
      <c r="Z81" s="3">
        <f>2149.3+(1413.7-1410)+(-3.288429+(-2.162961--2.1573))+0-336.3--0.514539000000019</f>
        <v>1813.9204490000002</v>
      </c>
      <c r="AA81" s="3">
        <f>2240.1+(1634.3-1632)+(-3.427353+(-2.500479--2.49696))+0-329.2--0.503676000000019</f>
        <v>1910.2728039999997</v>
      </c>
      <c r="AB81" s="3">
        <f>2163.7+(1501.5-1488)+(-6.620922+(-4.59459--4.55328))+0-330.5--1.01133000000004</f>
        <v>1841.0490979999997</v>
      </c>
      <c r="AC81" s="3">
        <f>1884.9+(1578.7-1339.8)+(-1.922598+(-1.610274--1.366596))+0-374.6--0.38209200000006</f>
        <v>1747.4158160000004</v>
      </c>
      <c r="AD81">
        <v>1878.4999999999995</v>
      </c>
      <c r="AE81" s="3">
        <f>2237+(1633.1-1665.2)+(0+(0-0))+0-326.4-0</f>
        <v>1878.4999999999995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1837+(1989.2-1762.6)+(-3.74748+(-4.057968--3.595704))+0-373.4--0.761735999999984</f>
        <v>1686.7519920000004</v>
      </c>
      <c r="G82" s="3">
        <f>1695.6+(1756.2-1474.7)+(-4.32378+(-4.47831--3.760485))+0-379.8--0.968489999999945</f>
        <v>1593.226885</v>
      </c>
      <c r="H82" s="3">
        <f>1551.3+(1466.8-1094)+(-1.582326+(-1.496136--1.11588))+0-380.6--0.388212000000061</f>
        <v>1541.92563</v>
      </c>
      <c r="I82" s="3">
        <f>1552.7+(1317.1-979.3)+(-0.791877+(-0.671721--0.499443))+0-383.2--0.195431999999961</f>
        <v>1506.531277</v>
      </c>
      <c r="J82" s="3">
        <f>1553.7+(1588.7-1267.2)+(-1.584774+(-1.620474--1.292544))+0-383.3--0.390966000000061</f>
        <v>1490.3782620000002</v>
      </c>
      <c r="K82" s="3">
        <f>1552.9+(1900.1-1606.9)+(-3.959895+(-4.845255--4.097595))+0-387--0.986849999999944</f>
        <v>1455.379295</v>
      </c>
      <c r="L82" s="3">
        <f>1551.5+(1869.4-1646.6)+(0+(0-0))+0-382.8-0</f>
        <v>1391.5000000000002</v>
      </c>
      <c r="M82" s="3">
        <f>1552.9+(1784.5-1557.9)+(0.791979+(0.910095-0.794529))+0-387.5-0.197624999999961</f>
        <v>1392.70992</v>
      </c>
      <c r="N82" s="3">
        <f>1520.1+(1575.6-1231.3)+(-0.775251+(-0.803556--0.627963))+0-405.7--0.206906999999959</f>
        <v>1457.9560629999999</v>
      </c>
      <c r="O82" s="3">
        <f>1516.7+(1594.7-1210.8)+(-0.773517+(-0.813297--0.617508))+0-400.9--0.204458999999959</f>
        <v>1498.9351530000004</v>
      </c>
      <c r="P82" s="3">
        <f>1521.6+(1920.4-1434.5)+(-0.776016+(-0.979404--0.731595))+0-392.8--0.20032799999996</f>
        <v>1613.876503</v>
      </c>
      <c r="Q82" s="3">
        <f>1550+(1822.2-1327.2)+(0.7905+(0.929322-0.676872))+0-397.4-0.20267399999996</f>
        <v>1648.440276</v>
      </c>
      <c r="R82" s="3">
        <f>1563.7+(1839.8-1350.3)+(-0.797487+(-0.938298--0.688653))+0-399.7--0.203846999999959</f>
        <v>1652.6567149999996</v>
      </c>
      <c r="S82" s="3">
        <f>1591.7+(2157.5-1651.1)+(-1.623534+(-2.20065--1.684122))+0-395.7--0.403614000000063</f>
        <v>1700.6635520000004</v>
      </c>
      <c r="T82" s="3">
        <f>1591.6+(2249.3-1761.3)+(-3.246864+(-4.588572--3.593052))+0-406.6--0.829463999999982</f>
        <v>1669.5870800000002</v>
      </c>
      <c r="U82" s="3">
        <f>1590.5+(2331.2-1857.9)+(-2.433465+(-3.566736--2.842587))+0-409.1--0.625923000000024</f>
        <v>1652.1683089999997</v>
      </c>
      <c r="V82" s="3">
        <f>1588.9+(2038-1653.9)+(-2.431017+(-3.11814--2.530467))+0-407.8--0.623934000000024</f>
        <v>1562.8052439999999</v>
      </c>
      <c r="W82" s="3">
        <f>1591.8+(1229.9-956.2)+(-4.05909+(-3.136245--2.43831))+0-396.3--1.01056499999994</f>
        <v>1465.45354</v>
      </c>
      <c r="X82" s="3">
        <f>1589.1+(1342.8-897.4)+(-4.052205+(-3.42414--2.28837))+0-397.8--1.01438999999994</f>
        <v>1632.526415</v>
      </c>
      <c r="Y82" s="3">
        <f>1592.4+(1544.4-1137.3)+(-1.624248+(-1.575288--1.160046))+0-394.8--0.402696000000063</f>
        <v>1603.0632060000005</v>
      </c>
      <c r="Z82" s="3">
        <f>1694.7+(1482.8-1148.5)+(0.864297+(0.756228-0.585735))+0-381.4-0.194513999999961</f>
        <v>1648.440276</v>
      </c>
      <c r="AA82" s="3">
        <f>1992.1+(1300-1122.7)+(-4.063884+(-2.652--2.290308))+0-408.2--0.832727999999982</f>
        <v>1757.6071519999996</v>
      </c>
      <c r="AB82" s="3">
        <f>2034.2+(1865.6-1744)+(-2.074884+(-1.902912--1.77888))+0-354--0.361080000000056</f>
        <v>1799.9621640000005</v>
      </c>
      <c r="AC82" s="3">
        <f>1925.3+(2186.5-1978.8)+(-1.963806+(-2.23023--2.018376))+0-393.1--0.400962000000063</f>
        <v>1738.1253020000004</v>
      </c>
      <c r="AD82">
        <v>1811.6</v>
      </c>
      <c r="AE82" s="3">
        <f>2013+(1276.1-1099.6)+(0+(0-0))+0-377.9-0</f>
        <v>1811.6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1573+(1982-1626.2)+(-1.60446+(-2.02164--1.658724))+0-392.8--0.400656000000063</f>
        <v>1534.43328</v>
      </c>
      <c r="G83" s="3">
        <f>1549.1+(1624-1369.9)+(-3.950205+(-4.1412--3.493245))+0-392.1--0.999854999999943</f>
        <v>1407.5016949999999</v>
      </c>
      <c r="H83" s="3">
        <f>1548.8+(1446.6-1169.7)+(-3.94944+(-3.68883--2.982735))+0-377.1--0.961604999999945</f>
        <v>1444.9060699999995</v>
      </c>
      <c r="I83" s="3">
        <f>1548.3+(1637.5-1354.9)+(0.789633+(0.835125-0.690999))+0-396.4-0.20216399999996</f>
        <v>1435.231595</v>
      </c>
      <c r="J83" s="3">
        <f>1548.2+(1806.9-1523.4)+(0+(0-0))+0-359.2-0</f>
        <v>1472.5</v>
      </c>
      <c r="K83" s="3">
        <f>1548.8+(1875.1-1606.8)+(-4.739328+(-5.737806--4.916808))+0-376.7--1.15270200000004</f>
        <v>1435.9923759999999</v>
      </c>
      <c r="L83" s="3">
        <f>1547.9+(1931.8-1663.8)+(2.368287+(2.955654-2.545614))+0-410.2-0.627606000000024</f>
        <v>1407.850721</v>
      </c>
      <c r="M83" s="3">
        <f>1549.9+(1347.6-1057.9)+(-2.371347+(-2.061828--1.618587))+0-396.1--0.606033000000023</f>
        <v>1441.2914449999998</v>
      </c>
      <c r="N83" s="3">
        <f>1546.3+(1263.8-750.9)+(1.577226+(1.289076-0.765918))+0-409.3-0.417486000000065</f>
        <v>1651.5828979999997</v>
      </c>
      <c r="O83" s="3">
        <f>1547.4+(1293.9-664.4)+(1.578348+(1.319778-0.677688))+0-412.8-0.421056000000066</f>
        <v>1765.8993819999998</v>
      </c>
      <c r="P83" s="3">
        <f>1563.2+(1233.4-525.3)+(2.391696+(1.887102-0.803709))+0-415.4-0.635562000000024</f>
        <v>1858.7395270000002</v>
      </c>
      <c r="Q83" s="3">
        <f>1737+(1072.6-571.1)+(0+(0-0))+0-377-0</f>
        <v>1861.5</v>
      </c>
      <c r="R83" s="3">
        <f>1977.6+(1104-853.7)+(1.008576+(0.56304-0.435387))+0-377.6-0.192575999999962</f>
        <v>1851.243653</v>
      </c>
      <c r="S83" s="3">
        <f>2100.2+(1302-1148.5)+(-1.071102+(-0.66402--0.585735))+0-388--0.197879999999961</f>
        <v>1864.7484929999998</v>
      </c>
      <c r="T83" s="3">
        <f>2096.3+(1179.7-1007.7)+(-1.069113+(-0.601647--0.513927))+0-336.6--0.171665999999966</f>
        <v>1930.7148330000002</v>
      </c>
      <c r="U83" s="3">
        <f>2095.6+(1350.8-1167.1)+(-2.137512+(-1.377816--1.190442))+0-393.9--0.401778000000063</f>
        <v>1883.4768920000004</v>
      </c>
      <c r="V83" s="3">
        <f>2095.6+(1391.2-1172.4)+(-2.137512+(-1.419024--1.195848))+0-392.8--0.400656000000063</f>
        <v>1919.6399679999995</v>
      </c>
      <c r="W83" s="3">
        <f>2081.4+(1559.1-1343)+(-4.246056+(-3.180564--2.73972))+0-376.7--0.768467999999984</f>
        <v>1916.8815679999998</v>
      </c>
      <c r="X83" s="3">
        <f>1924.7+(1130.4-1054.8)+(-4.907985+(-2.88252--2.68974))+0-397.4--1.01336999999994</f>
        <v>1598.8126050000003</v>
      </c>
      <c r="Y83" s="3">
        <f>1917.8+(799.6-727.2)+(-2.934234+(-1.223388--1.112616))+0-360.1--0.550953000000021</f>
        <v>1627.6059469999996</v>
      </c>
      <c r="Z83" s="3">
        <f>2005.6+(610.4-588.6)+(-3.068568+(-0.933912--0.900558))+0-350.2--0.53580600000002</f>
        <v>1674.6338839999999</v>
      </c>
      <c r="AA83" s="3">
        <f>2144.9+(806.3-636.3)+(-3.281697+(-1.233639--0.973539))+0-347.8--0.53213400000002</f>
        <v>1964.0903370000003</v>
      </c>
      <c r="AB83" s="3">
        <f>2048+(1131.2-894.3)+(-1.04448+(-0.576912--0.456093))+0-347.5--0.177224999999965</f>
        <v>1936.4119260000002</v>
      </c>
      <c r="AC83" s="3">
        <f>1922.9+(1413.7-1046.3)+(-1.961358+(-1.441974--1.067226))+0-387--0.394740000000062</f>
        <v>1901.3586339999999</v>
      </c>
      <c r="AD83">
        <v>1842.8</v>
      </c>
      <c r="AE83" s="3">
        <f>2148+(787.1-745.5)+(0+(0-0))+0-346.8-0</f>
        <v>1842.8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1642.1+(1413.4-949.1)+(-0.837471+(-0.720834--0.484041))+0-404.5--0.206294999999959</f>
        <v>1701.0320310000002</v>
      </c>
      <c r="G84" s="3">
        <f>1547.4+(1665.7-1170)+(-2.367522+(-2.548521--1.7901))+0-407--0.622710000000024</f>
        <v>1633.5967670000002</v>
      </c>
      <c r="H84" s="3">
        <f>1546.5+(1647.5-1228.8)+(-0.788715+(-0.840225--0.626688))+0-413.1--0.210680999999958</f>
        <v>1551.3084290000002</v>
      </c>
      <c r="I84" s="3">
        <f>1546.2+(1734.2-1338.2)+(-2.365686+(-2.653326--2.047446))+0-405.1--0.619803000000023</f>
        <v>1534.7482370000002</v>
      </c>
      <c r="J84" s="3">
        <f>1395.1+(1831.4-1297.2)+(-2.846004+(-3.736056--2.646288))+0-372.9--0.760715999999984</f>
        <v>1553.2249439999998</v>
      </c>
      <c r="K84" s="3">
        <f>1244.7+(1809.8-1159.6)+(-5.713173+(-8.306982--5.322564))+0-404.1--1.85481900000007</f>
        <v>1483.9572280000002</v>
      </c>
      <c r="L84" s="3">
        <f>1244.2+(1685.9-1114.7)+(-5.076336+(-6.878472--4.547976))+0-386.9--1.57855199999997</f>
        <v>1422.6717200000003</v>
      </c>
      <c r="M84" s="3">
        <f>1242+(1344.1-786.8)+(-1.26684+(-1.370982--0.802536))+0-385.5--0.393210000000061</f>
        <v>1412.3579239999999</v>
      </c>
      <c r="N84" s="3">
        <f>1288.8+(1186.7-481.4)+(-2.629152+(-2.420868--0.982056))+0-380.3--0.775811999999983</f>
        <v>1610.507848</v>
      </c>
      <c r="O84" s="3">
        <f>1446.9+(1229.8-508.9)+(-2.213757+(-1.881594--0.778617))+0-401.4--0.614142000000023</f>
        <v>1763.6974080000002</v>
      </c>
      <c r="P84" s="3">
        <f>1697.4+(1099.8-566.4)+(-1.731348+(-1.121796--0.577728))+0-351.5--0.358530000000056</f>
        <v>1877.3831140000002</v>
      </c>
      <c r="Q84" s="3">
        <f>1857.2+(1159.8-723.9)+(-0.947172+(-0.591498--0.369189))+0-399.8--0.203897999999959</f>
        <v>1892.334417</v>
      </c>
      <c r="R84" s="3">
        <f>2010.6+(1106.6-833.8)+(-3.076218+(-1.693098--1.275714))+0-389.9--0.596547000000022</f>
        <v>1890.6029449999996</v>
      </c>
      <c r="S84" s="3">
        <f>2037.3+(1452.3-1182.4)+(-3.117069+(-2.222019--1.809072))+0-386.4--0.591192000000022</f>
        <v>1917.8611759999997</v>
      </c>
      <c r="T84" s="3">
        <f>2040.8+(1399.4-1189.6)+(1.040808+(0.713694-0.606696))+0-384.9-0.196298999999961</f>
        <v>1866.6515070000003</v>
      </c>
      <c r="U84" s="3">
        <f>2016.7+(1482-1218.6)+(-5.142585+(-3.7791--3.10743))+0-381.3--0.972314999999945</f>
        <v>1893.9580600000006</v>
      </c>
      <c r="V84" s="3">
        <f>1971.1+(1570.6-1267.9)+(0+(0-0))+0-392.7-0</f>
        <v>1881.0999999999997</v>
      </c>
      <c r="W84" s="3">
        <f>1802.8+(1008.2-701.5)+(-1.838856+(-1.028364--0.71553))+0-397.4--0.405348000000063</f>
        <v>1710.3536579999998</v>
      </c>
      <c r="X84" s="3">
        <f>1736.4+(571.4-194)+(-2.656692+(-0.874242--0.29682))+0-389.2--0.595476000000022</f>
        <v>1721.9613620000002</v>
      </c>
      <c r="Y84" s="3">
        <f>1734.9+(670.7-266.9)+(-0.884799+(-0.342057--0.136119))+0-382.3--0.194972999999961</f>
        <v>1755.5042360000002</v>
      </c>
      <c r="Z84" s="3">
        <f>1773.3+(618.6-232.9)+(-0.904383+(-0.315486--0.118779))+0-360.5--0.183854999999963</f>
        <v>1797.5827649999999</v>
      </c>
      <c r="AA84" s="3">
        <f>1895.7+(557.2-241.4)+(-3.867228+(-1.136688--0.492456))+0-343.4--0.700535999999985</f>
        <v>1864.2890759999998</v>
      </c>
      <c r="AB84" s="3">
        <f>1758.3+(708.3-227.4)+(-0.896733+(-0.361233--0.115974))+0-356.1--0.181610999999964</f>
        <v>1882.139619</v>
      </c>
      <c r="AC84" s="3">
        <f>1567.6+(981.3-308.3)+(0.799476+(0.500463-0.157233))+0-360.6-0.183905999999963</f>
        <v>1880.9588000000001</v>
      </c>
      <c r="AD84">
        <v>1890.2</v>
      </c>
      <c r="AE84" s="3">
        <f>1909+(573-241)+(0+(0-0))+0-350.8-0</f>
        <v>1890.2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1447.2+(1361.6-688.4)+(-2.952288+(-2.777664--1.404336))+0-362--0.738479999999984</f>
        <v>1754.812864</v>
      </c>
      <c r="G85" s="3">
        <f>1306.8+(1087.3-511.8)+(-1.332936+(-1.109046--0.522036))+0-363.1--0.370362000000058</f>
        <v>1517.650416</v>
      </c>
      <c r="H85" s="3">
        <f>1144+(1272.3-510.8)+(-2.33376+(-2.595492--1.042032))+0-359.4--0.733175999999984</f>
        <v>1542.9459559999998</v>
      </c>
      <c r="I85" s="3">
        <f>1145+(1464.1-669)+(-2.91975+(-3.733455--1.70595))+0-362--0.923099999999948</f>
        <v>1574.0758449999998</v>
      </c>
      <c r="J85" s="3">
        <f>1143.8+(1486.6-769.2)+(1.166676+(1.516332-0.784584))+0-363.5-0.370770000000058</f>
        <v>1499.2276539999998</v>
      </c>
      <c r="K85" s="3">
        <f>1144.5+(1321.2-676.6)+(-2.918475+(-3.36906--1.72533))+0-362--0.923099999999948</f>
        <v>1423.4608949999999</v>
      </c>
      <c r="L85" s="3">
        <f>1144.7+(1146.9-502)+(-2.918985+(-2.924595--1.2801))+0-361.1--0.920804999999948</f>
        <v>1424.8573250000002</v>
      </c>
      <c r="M85" s="3">
        <f>1144.1+(805.9-169.2)+(1.166982+(0.822018-0.172584))+0-360.9-0.368118000000058</f>
        <v>1421.3482979999997</v>
      </c>
      <c r="N85" s="3">
        <f>1144.3+(966.1-80)+(0+(0-0))+0-361-0</f>
        <v>1669.4</v>
      </c>
      <c r="O85" s="3">
        <f>1146.3+(1051.8-82.5)+(0.584613+(0.536418-0.042075))+0-365.8-0.186557999999963</f>
        <v>1750.6923979999999</v>
      </c>
      <c r="P85" s="3">
        <f>1302.9+(931.6-85)+(-1.328958+(-0.950232--0.0867))+0-357.3--0.364446000000057</f>
        <v>1790.3719560000002</v>
      </c>
      <c r="Q85" s="3">
        <f>1384.5+(861.7-77)+(0.706095+(0.439467-0.03927))+0-337.2-0.171971999999966</f>
        <v>1832.9343199999998</v>
      </c>
      <c r="R85" s="3">
        <f>1614.3+(795.7-207)+(-1.646586+(-0.811614--0.21114))+0-341.6--0.348432000000054</f>
        <v>1859.5013719999999</v>
      </c>
      <c r="S85" s="3">
        <f>1706.9+(894.2-380)+(-0.870519+(-0.456042--0.1938))+0-351.1--0.179060999999964</f>
        <v>1869.0463000000007</v>
      </c>
      <c r="T85" s="3">
        <f>1706.6+(846.2-364.6)+(0+(0-0))+0-357.2-0</f>
        <v>1830.9999999999998</v>
      </c>
      <c r="U85" s="3">
        <f>1684.4+(842.9-322.1)+(-2.577132+(-1.289637--0.492813))+0-359.7--0.550341000000021</f>
        <v>1842.676385</v>
      </c>
      <c r="V85" s="3">
        <f>1550.3+(1021.5-371.5)+(0+(0-0))+0-357.1-0</f>
        <v>1843.2000000000003</v>
      </c>
      <c r="W85" s="3">
        <f>1517.7+(1168.4-456.1)+(-1.548054+(-1.191768--0.465222))+0-360.8--0.368016000000058</f>
        <v>1867.293416</v>
      </c>
      <c r="X85" s="3">
        <f>1474.9+(922.2-279.4)+(-3.008796+(-1.881288--0.569976))+0-362.3--0.739091999999984</f>
        <v>1751.8189840000005</v>
      </c>
      <c r="Y85" s="3">
        <f>1455.5+(775-240.6)+(-1.48461+(-0.7905--0.245412))+0-355.8--0.362916000000057</f>
        <v>1632.4332180000001</v>
      </c>
      <c r="Z85" s="3">
        <f>1544.7+(638.5-185.2)+(-0.787797+(-0.325635--0.094452))+0-355--0.181049999999964</f>
        <v>1642.1620699999999</v>
      </c>
      <c r="AA85" s="3">
        <f>1660.9+(703.5-149.1)+(-2.541177+(-1.076355--0.228123))+0-360.4--0.551412000000021</f>
        <v>1852.0620030000002</v>
      </c>
      <c r="AB85" s="3">
        <f>1648.5+(725.7-191.8)+(-4.203675+(-1.850535--0.48909))+0-342.1--0.87235499999995</f>
        <v>1835.6072349999999</v>
      </c>
      <c r="AC85" s="3">
        <f>1526+(973-278.2)+(-1.55652+(-0.99246--0.283764))+0-335.8--0.342516000000054</f>
        <v>1883.0773000000006</v>
      </c>
      <c r="AD85">
        <v>1847.3000000000002</v>
      </c>
      <c r="AE85" s="3">
        <f>1660+(719.3-160)+(0+(0-0))+0-372-0</f>
        <v>1847.3000000000002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1285.1+(1242.1-480.3)+(-1.966203+(-1.900413--0.734859))+0-349.4--0.53458200000002</f>
        <v>1694.9028249999999</v>
      </c>
      <c r="G86" s="3">
        <f>1267.7+(1237.6-544.2)+(-3.232635+(-3.15588--1.38771))+0-357.7--0.912134999999948</f>
        <v>1599.31133</v>
      </c>
      <c r="H86" s="3">
        <f>1267.4+(1408.7-720.6)+(-0.646374+(-0.718437--0.367506))+0-358.5--0.182834999999964</f>
        <v>1596.18553</v>
      </c>
      <c r="I86" s="3">
        <f>1266.6+(1446.4-779.8)+(-2.583864+(-2.950656--1.590792))+0-359--0.732359999999984</f>
        <v>1570.9886320000001</v>
      </c>
      <c r="J86" s="3">
        <f>1266.5+(1371.5-754.4)+(-3.229575+(-3.497325--1.92372))+0-374.6--0.955229999999946</f>
        <v>1505.1520499999997</v>
      </c>
      <c r="K86" s="3">
        <f>1266.5+(1358.9-780.9)+(-5.16732+(-5.544312--3.186072))+0-371.7--1.51653599999997</f>
        <v>1466.7909759999998</v>
      </c>
      <c r="L86" s="3">
        <f>1266.5+(1158.6-699.4)+(-1.937745+(-1.772658--1.070082))+0-351.4--0.53764200000002</f>
        <v>1372.1973209999999</v>
      </c>
      <c r="M86" s="3">
        <f>1267.6+(837.5-363.1)+(0.646476+(0.427125-0.185181))+0-344.5-0.175694999999965</f>
        <v>1398.2127250000001</v>
      </c>
      <c r="N86" s="3">
        <f>1267.8+(781.4-116.2)+(0.646578+(0.398514-0.059262))+0-352.8-0.179927999999964</f>
        <v>1581.0059020000001</v>
      </c>
      <c r="O86" s="3">
        <f>1382.9+(806-70.3)+(0.705279+(0.41106-0.035853))+0-371.2-0.189311999999962</f>
        <v>1748.2911740000002</v>
      </c>
      <c r="P86" s="3">
        <f>1459.4+(946.4-107.7)+(0.744294+(0.482664-0.054927))+0-362.5-0.184874999999963</f>
        <v>1936.587156</v>
      </c>
      <c r="Q86" s="3">
        <f>1467.7+(986.1-199.3)+(0.748527+(0.502911-0.101643))+0-364-0.185639999999963</f>
        <v>1891.4641549999999</v>
      </c>
      <c r="R86" s="3">
        <f>1701+(733.9-206.5)+(0.86751+(0.374289-0.105315))+0-363.5-0.185384999999963</f>
        <v>1865.8510990000002</v>
      </c>
      <c r="S86" s="3">
        <f>1813+(662.3-236)+(-1.84926+(-0.675546--0.24072))+0-378.2--0.38576400000006</f>
        <v>1859.2016780000001</v>
      </c>
      <c r="T86" s="3">
        <f>1814.4+(671.3-302.8)+(-0.925344+(-0.342363--0.154428))+0-391.8--0.19981799999996</f>
        <v>1790.186539</v>
      </c>
      <c r="U86" s="3">
        <f>1864.4+(661.4-374.5)+(-3.803376+(-1.349256--0.76398))+0-359.8--0.733991999999984</f>
        <v>1787.8453400000001</v>
      </c>
      <c r="V86" s="3">
        <f>1888.9+(769.2-375.9)+(0+(0-0))+0-381.6-0</f>
        <v>1900.6000000000004</v>
      </c>
      <c r="W86" s="3">
        <f>1810+(874.3-362.8)+(-5.5386+(-2.675358--1.110168))+0-398.6--1.21971600000005</f>
        <v>1917.015926</v>
      </c>
      <c r="X86" s="3">
        <f>1682.3+(1097.5-611.3)+(-6.005811+(-3.918075--2.182341))+0-389.1--1.38908700000001</f>
        <v>1773.0475420000002</v>
      </c>
      <c r="Y86" s="3">
        <f>1662+(646.9-338.4)+(-4.2381+(-1.649595--0.86292))+0-395.5--1.00852499999994</f>
        <v>1570.9837499999999</v>
      </c>
      <c r="Z86" s="3">
        <f>1847+(740-413.8)+(0+(0-0))+0-381.6-0</f>
        <v>1791.6</v>
      </c>
      <c r="AA86" s="3">
        <f>1974+(571-239.7)+(-6.04044+(-1.74726--0.733482))+0-375.6--1.14933600000004</f>
        <v>1923.795118</v>
      </c>
      <c r="AB86" s="3">
        <f>1922.7+(604.4-232.8)+(-1.961154+(-0.616488--0.237456))+0-383.1--0.390762000000061</f>
        <v>1909.2505760000004</v>
      </c>
      <c r="AC86" s="3">
        <f>1712.5+(893.7-268.5)+(0.873375+(0.455787-0.136935))+0-394.5-0.20119499999996</f>
        <v>1944.191032</v>
      </c>
      <c r="AD86">
        <v>1911</v>
      </c>
      <c r="AE86" s="3">
        <f>1973+(542-254.9)+(0+(0-0))+0-349.1-0</f>
        <v>1911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1545.9+(1476.9-795.2)+(-3.942045+(-3.766095--2.02776))+0-391.9--0.999344999999943</f>
        <v>1831.0189650000004</v>
      </c>
      <c r="G87" s="3">
        <f>1302.2+(1685.4-896.7)+(-1.992366+(-2.578662--1.371951))+0-396.1--0.606033000000023</f>
        <v>1692.206956</v>
      </c>
      <c r="H87" s="3">
        <f>1293.3+(1807.3-1110.4)+(-1.319166+(-1.843446--1.132608))+0-397.8--0.405756000000063</f>
        <v>1590.775752</v>
      </c>
      <c r="I87" s="3">
        <f>1292.9+(1793.1-1206.1)+(-2.637516+(-3.657924--2.460444))+0-395.1--0.806003999999983</f>
        <v>1481.7710080000002</v>
      </c>
      <c r="J87" s="3">
        <f>1293.4+(1635.5-999.9)+(0.659634+(0.834105-0.509949))+0-398.3-0.20313299999996</f>
        <v>1531.4806570000001</v>
      </c>
      <c r="K87" s="3">
        <f>1267.8+(1536.9-968.8)+(-0.646578+(-0.783819--0.494088))+0-391.2--0.19951199999996</f>
        <v>1443.963203</v>
      </c>
      <c r="L87" s="3">
        <f>1293.7+(1242.4-746.4)+(0.659787+(0.633624-0.380664))+0-399.9-0.203948999999959</f>
        <v>1390.5087980000005</v>
      </c>
      <c r="M87" s="3">
        <f>1340.4+(1002.8-543.3)+(0.683604+(0.511428-0.277083))+0-389.6-0.19869599999996</f>
        <v>1411.0192529999999</v>
      </c>
      <c r="N87" s="3">
        <f>1549.2+(709.2-249.1)+(-0.790092+(-0.361692--0.127041))+0-398.8--0.20338799999996</f>
        <v>1609.6786450000002</v>
      </c>
      <c r="O87" s="3">
        <f>1577+(672.9-145.6)+(-0.80427+(-0.343179--0.074256))+0-402.5--0.205274999999959</f>
        <v>1700.932082</v>
      </c>
      <c r="P87" s="3">
        <f>1748+(557.5-145.7)+(-0.89148+(-0.284325--0.074307))+0-389.3--0.198542999999961</f>
        <v>1769.5970450000002</v>
      </c>
      <c r="Q87" s="3">
        <f>1941.7+(543.4-255.1)+(-2.970801+(-0.831402--0.390303))+0-379.9--0.581247000000022</f>
        <v>1847.2693469999999</v>
      </c>
      <c r="R87" s="3">
        <f>1986.4+(580.9-281.2)+(-1.013064+(-0.296259--0.143412))+0-390--0.19889999999996</f>
        <v>1895.1329889999997</v>
      </c>
      <c r="S87" s="3">
        <f>1989.2+(585.8-290.3)+(-2.028984+(-0.597516--0.296106))+0-401.1--0.409122000000064</f>
        <v>1881.6787279999999</v>
      </c>
      <c r="T87" s="3">
        <f>2142.9+(547.3-382.9)+(-3.278637+(-0.837369--0.585837))+0-391.9--0.599607000000023</f>
        <v>1912.4694380000001</v>
      </c>
      <c r="U87" s="3">
        <f>2212.4+(549.9-426.8)+(-5.64162+(-1.402245--1.08834))+0-400.4--1.02101999999994</f>
        <v>1930.165495</v>
      </c>
      <c r="V87" s="3">
        <f>2182.1+(568.9-473.8)+(-4.451484+(-1.160556--0.966552))+0-395.9--0.807635999999983</f>
        <v>1877.4621479999996</v>
      </c>
      <c r="W87" s="3">
        <f>2008.3+(536.5-298.3)+(-3.072699+(-0.820845--0.456399))+0-395.5--0.605115000000023</f>
        <v>1848.1679700000002</v>
      </c>
      <c r="X87" s="3">
        <f>1865.8+(642-284.7)+(-5.709348+(-1.96452--0.871182))+0-390.1--1.19370600000005</f>
        <v>1827.39102</v>
      </c>
      <c r="Y87" s="3">
        <f>1857.9+(680.8-371.8)+(-2.842587+(-1.041624--0.568854))+0-348.7--0.53351100000002</f>
        <v>1815.4181540000002</v>
      </c>
      <c r="Z87" s="3">
        <f>1905.4+(519.3-291.2)+(-0.971754+(-0.264843--0.148512))+0-363.7--0.185486999999963</f>
        <v>1768.8974020000001</v>
      </c>
      <c r="AA87" s="3">
        <f>1911.5+(544.9-236.6)+(-2.924595+(-0.833697--0.361998))+0-364.2--0.557226000000021</f>
        <v>1852.7609320000001</v>
      </c>
      <c r="AB87" s="3">
        <f>1833.7+(596.9-176.2)+(-1.870374+(-0.608838--0.179724))+0-398.1--0.406062000000063</f>
        <v>1854.4065740000001</v>
      </c>
      <c r="AC87" s="3">
        <f>1786.3+(891.3-341.1)+(-1.822026+(-0.909126--0.347922))+0-404.9--0.412998000000065</f>
        <v>1929.629768</v>
      </c>
      <c r="AD87">
        <v>1869.4</v>
      </c>
      <c r="AE87" s="3">
        <f>1909+(597.7-272.2)+(0+(0-0))+0-365.1-0</f>
        <v>1869.4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1740.2+(1303.8-858.1)+(-2.662506+(-1.994814--1.312893))+0-403.9--0.617967000000023</f>
        <v>1779.2735400000001</v>
      </c>
      <c r="G88" s="3">
        <f>1724.9+(1634.3-1230.8)+(-1.759398+(-1.666986--1.255416))+0-411.2--0.419424000000066</f>
        <v>1715.4484560000003</v>
      </c>
      <c r="H88" s="3">
        <f>1686.8+(1663.3-1411.9)+(-4.30134+(-4.241415--3.600345))+0-412.2--1.05110999999994</f>
        <v>1522.1086999999995</v>
      </c>
      <c r="I88" s="3">
        <f>1535.9+(1582.5-1291.3)+(0+(0-0))+0-403-0</f>
        <v>1424.1000000000001</v>
      </c>
      <c r="J88" s="3">
        <f>1533.6+(1617-1288.8)+(-4.692816+(-4.94802--3.943728))+0-406.1--1.24266600000005</f>
        <v>1451.2455580000001</v>
      </c>
      <c r="K88" s="3">
        <f>1534.6+(1715.7-1380.2)+(-3.91323+(-4.375035--3.51951))+0-399.9--1.01974499999994</f>
        <v>1466.4509899999996</v>
      </c>
      <c r="L88" s="3">
        <f>1549.1+(1610-1345.5)+(-2.370123+(-2.4633--2.058615))+0-355.6--0.544068000000021</f>
        <v>1455.7692599999998</v>
      </c>
      <c r="M88" s="3">
        <f>1548.2+(1245.3-1022.3)+(-2.368746+(-1.905309--1.564119))+0-383.5--0.586755000000022</f>
        <v>1385.5768190000001</v>
      </c>
      <c r="N88" s="3">
        <f>1548.6+(1202.8-801)+(-1.579572+(-1.226856--0.81702))+0-388.4--0.396168000000062</f>
        <v>1560.4067600000001</v>
      </c>
      <c r="O88" s="3">
        <f>1597.9+(1114.2-694.1)+(-3.259716+(-2.272968--1.415964))+0-366.3--0.747251999999984</f>
        <v>1648.3305319999999</v>
      </c>
      <c r="P88" s="3">
        <f>1747.6+(974.9-643.7)+(0.891276+(0.497199-0.328287))+0-382.3-0.194972999999961</f>
        <v>1697.3652149999998</v>
      </c>
      <c r="Q88" s="3">
        <f>1966.3+(632.2-544.1)+(-2.005626+(-0.644844--0.554982))+0-387.9--0.395658000000062</f>
        <v>1664.8001700000002</v>
      </c>
      <c r="R88" s="3">
        <f>2181.7+(575.5-561.4)+(-1.112667+(-0.293505--0.286314))+0-384.6--0.196145999999961</f>
        <v>1810.2762879999998</v>
      </c>
      <c r="S88" s="3">
        <f>2210.8+(747.9-763.9)+(-3.382524+(-1.144287--1.168767))+0-378.9--0.579717000000022</f>
        <v>1813.1216730000001</v>
      </c>
      <c r="T88" s="3">
        <f>2199.1+(891.5-931.1)+(-2.243082+(-0.90933--0.949722))+0-384.4--0.392088000000061</f>
        <v>1773.2893979999999</v>
      </c>
      <c r="U88" s="3">
        <f>2193.6+(949.8-992.4)+(-3.356208+(-1.453194--1.518372))+0-389.7--0.596241000000023</f>
        <v>1758.6052110000001</v>
      </c>
      <c r="V88" s="3">
        <f>2196.1+(1136-1158.7)+(-3.360033+(-1.73808--1.772811))+0-385.8--0.590274000000022</f>
        <v>1784.8649719999994</v>
      </c>
      <c r="W88" s="3">
        <f>2204.8+(1401.9-1416.6)+(-3.373344+(-2.144907--2.167398))+0-388.6--0.594558000000022</f>
        <v>1798.7437050000005</v>
      </c>
      <c r="X88" s="3">
        <f>2011.1+(1553.8-1390.3)+(-6.153966+(-4.754628--4.254318))+0-395.7--1.21084200000005</f>
        <v>1773.4565659999996</v>
      </c>
      <c r="Y88" s="3">
        <f>1860.1+(1291.8-1128.6)+(-2.845953+(-1.976454--1.726758))+0-350.5--0.53626500000002</f>
        <v>1670.2406159999998</v>
      </c>
      <c r="Z88" s="3">
        <f>2192.6+(1186.5-1278.6)+(2.236452+(1.21023-1.304172))+0-361-0.368220000000058</f>
        <v>1741.2742900000001</v>
      </c>
      <c r="AA88" s="3">
        <f>2255.1+(880.4-895)+(-6.900606+(-2.694024--2.7387))+0-361.9--1.10741400000004</f>
        <v>1872.8514839999998</v>
      </c>
      <c r="AB88" s="3">
        <f>2246.1+(744.3-748.2)+(-2.291022+(-0.759186--0.763164))+0-362.3--0.369546000000058</f>
        <v>1877.9825019999998</v>
      </c>
      <c r="AC88" s="3">
        <f>2236.7+(993-1013.7)+(-2.281434+(-1.01286--1.033974))+0-399.8--0.407796000000064</f>
        <v>1814.3474760000001</v>
      </c>
      <c r="AD88">
        <v>1870.7</v>
      </c>
      <c r="AE88" s="3">
        <f>2252+(853.4-869.5)+(0+(0-0))+0-365.2-0</f>
        <v>1870.7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1945.4+(1088.4-879.2)+(1.984308+(1.110168-0.896784))+0-373-0.380460000000059</f>
        <v>1783.4172320000005</v>
      </c>
      <c r="G89" s="3">
        <f>1909.2+(1595.8-1338.5)+(-3.894768+(-3.255432--2.73054))+0-411.9--0.840275999999982</f>
        <v>1751.0206159999998</v>
      </c>
      <c r="H89" s="3">
        <f>1737.3+(1644.4-1352.4)+(0+(0-0))+0-414.3-0</f>
        <v>1615</v>
      </c>
      <c r="I89" s="3">
        <f>1549.2+(1678.7-1370.9)+(-1.580184+(-1.712274--1.398318))+0-398.3--0.406266000000064</f>
        <v>1457.2121259999999</v>
      </c>
      <c r="J89" s="3">
        <f>1546+(1681.4-1337.4)+(0+(0-0))+0-397.6-0</f>
        <v>1492.4</v>
      </c>
      <c r="K89" s="3">
        <f>1549.3+(1897.2-1516.7)+(-4.740858+(-5.805432--4.641102))+0-400--1.22400000000005</f>
        <v>1525.1188120000002</v>
      </c>
      <c r="L89" s="3">
        <f>1549.7+(1997.8-1849.6)+(-3.951735+(-5.09439--4.71648))+0-360.6--0.919529999999948</f>
        <v>1333.8898849999998</v>
      </c>
      <c r="M89" s="3">
        <f>1547.1+(1673.8-1596.3)+(-1.578042+(-1.707276--1.628226))+0-360.9--0.368118000000058</f>
        <v>1262.411026</v>
      </c>
      <c r="N89" s="3">
        <f>1540.9+(1324.9-1102)+(0.785859+(0.675699-0.56202))+0-362.3-0.184772999999963</f>
        <v>1402.2147650000002</v>
      </c>
      <c r="O89" s="3">
        <f>1494.1+(1371.2-927.1)+(-3.047964+(-2.797248--1.891284))+0-364.7--0.743987999999984</f>
        <v>1570.2900599999998</v>
      </c>
      <c r="P89" s="3">
        <f>1501.2+(1234.7-838.4)+(0.765612+(0.629697-0.427584))+0-362-0.184619999999963</f>
        <v>1536.283105</v>
      </c>
      <c r="Q89" s="3">
        <f>1681.7+(800.6-594.6)+(0+(0-0))+0-360.9-0</f>
        <v>1526.8000000000002</v>
      </c>
      <c r="R89" s="3">
        <f>1837.6+(651.6-440.2)+(0+(0-0))+0-350.9-0</f>
        <v>1698.1</v>
      </c>
      <c r="S89" s="3">
        <f>1862.4+(783.1-578.8)+(-0.949824+(-0.399381--0.295188))+0-342.3--0.174572999999965</f>
        <v>1723.5205560000004</v>
      </c>
      <c r="T89" s="3">
        <f>1856.3+(1001.9-780.1)+(0.946713+(0.510969-0.397851))+0-357.9-0.182528999999964</f>
        <v>1721.0773019999999</v>
      </c>
      <c r="U89" s="3">
        <f>1720.6+(1003-641.5)+(-0.877506+(-0.51153--0.327165))+0-388.4--0.198083999999961</f>
        <v>1692.8362129999998</v>
      </c>
      <c r="V89" s="3">
        <f>1672+(1025.5-572.9)+(-3.41088+(-2.09202--1.168716))+0-413.6--0.843743999999982</f>
        <v>1707.5095600000002</v>
      </c>
      <c r="W89" s="3">
        <f>1685.9+(1212-725.6)+(-0.859809+(-0.61812--0.370056))+0-391.1--0.19946099999996</f>
        <v>1780.2915880000003</v>
      </c>
      <c r="X89" s="3">
        <f>1730.5+(1160.3-805.2)+(-5.29533+(-3.550518--2.463912))+0-404.2--1.23685200000005</f>
        <v>1676.2549159999996</v>
      </c>
      <c r="Y89" s="3">
        <f>1793.5+(1144.7-852.2)+(-2.744055+(-1.751391--1.303866))+0-374.9--0.573597000000022</f>
        <v>1708.4820169999998</v>
      </c>
      <c r="Z89" s="3">
        <f>2141.9+(1323-1283.3)+(6.554214+(4.04838-3.926898))+0-391.3-1.19737800000005</f>
        <v>1795.7783180000001</v>
      </c>
      <c r="AA89" s="3">
        <f>2262.6+(1647.7-1544.8)+(-1.153926+(-0.840327--0.787848))+0-377.5--0.192524999999962</f>
        <v>1986.98612</v>
      </c>
      <c r="AB89" s="3">
        <f>2274.9+(1803.3-1791.5)+(-2.320398+(-1.839366--1.82733))+0-374.8--0.38229600000006</f>
        <v>1909.9498619999999</v>
      </c>
      <c r="AC89" s="3">
        <f>2272.3+(2095.3-2074.4)+(-2.317746+(-2.137206--2.115888))+0-368.1--0.375462000000059</f>
        <v>1923.1363980000006</v>
      </c>
      <c r="AD89">
        <v>1994.6999999999998</v>
      </c>
      <c r="AE89" s="3">
        <f>2271+(1672.7-1554.9)+(0+(0-0))+0-394.1-0</f>
        <v>1994.7000000000003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2269.2+(1840.7-2091.5)+(-5.78646+(-4.693785--5.333325))+0-369.8--0.942989999999946</f>
        <v>1644.39607</v>
      </c>
      <c r="G90" s="3">
        <f>2205.7+(1636.6-1918)+(-6.749442+(-5.007996--5.86908))+0-376.6--1.15239600000004</f>
        <v>1542.9640379999996</v>
      </c>
      <c r="H90" s="3">
        <f>1846+(1570.7-1515.3)+(-3.76584+(-3.204228--3.091212))+0-382--0.779279999999983</f>
        <v>1516.300424</v>
      </c>
      <c r="I90" s="3">
        <f>1551.7+(1551.7-1238.7)+(-1.582734+(-1.582734--1.263474))+0-383.3--0.390966000000061</f>
        <v>1479.8889720000002</v>
      </c>
      <c r="J90" s="3">
        <f>1547.1+(1461.4-1121.4)+(-3.945105+(-3.72657--2.85957))+0-385.8--0.983789999999944</f>
        <v>1497.471685</v>
      </c>
      <c r="K90" s="3">
        <f>1546.3+(1447.4-1142)+(-1.577226+(-1.476348--1.16484))+0-387.4--0.395148000000062</f>
        <v>1462.8064140000001</v>
      </c>
      <c r="L90" s="3">
        <f>1545.6+(1237.8-987.9)+(-0.788256+(-0.631278--0.503829))+0-394.6--0.20124599999996</f>
        <v>1400.1855410000001</v>
      </c>
      <c r="M90" s="3">
        <f>1544.6+(1023.4-731.5)+(0.787746+(0.521934-0.373065))+0-393.1-0.20048099999996</f>
        <v>1444.1361340000003</v>
      </c>
      <c r="N90" s="3">
        <f>1550.5+(836.7-275.5)+(1.58151+(0.853434-0.28101))+0-386.5-0.394230000000062</f>
        <v>1726.9597039999996</v>
      </c>
      <c r="O90" s="3">
        <f>1704.1+(669.4-220)+(1.738182+(0.682788-0.2244))+0-401.1-0.409122000000064</f>
        <v>1754.1874480000001</v>
      </c>
      <c r="P90" s="3">
        <f>1872.1+(559.4-224.8)+(-1.909542+(-0.570588--0.229296))+0-396.5--0.404430000000063</f>
        <v>1808.3535959999999</v>
      </c>
      <c r="Q90" s="3">
        <f>2041.1+(720.2-493.2)+(2.081922+(0.734604-0.503064))+0-395-0.402900000000063</f>
        <v>1875.0105619999999</v>
      </c>
      <c r="R90" s="3">
        <f>2180+(961.7-615.9)+(0+(0-0))+0-395.9-0</f>
        <v>2129.9</v>
      </c>
      <c r="S90" s="3">
        <f>2202.1+(655-495.3)+(2.246142+(0.6681-0.505206))+0-392.9-0.400758000000063</f>
        <v>1970.9082779999997</v>
      </c>
      <c r="T90" s="3">
        <f>2194.6+(853.5-591.9)+(-2.238492+(-0.87057--0.603738))+0-388.6--0.396372000000062</f>
        <v>2065.4910479999999</v>
      </c>
      <c r="U90" s="3">
        <f>2116.2+(990.1-790.3)+(-2.158524+(-1.009902--0.806106))+0-390.9--0.398718000000062</f>
        <v>1923.1363979999999</v>
      </c>
      <c r="V90" s="3">
        <f>2120+(1032.9-709.3)+(-4.3248+(-2.107116--1.446972))+0-391.8--0.799271999999983</f>
        <v>2047.6143280000006</v>
      </c>
      <c r="W90" s="3">
        <f>2116.1+(1334.3-1094.3)+(-6.475266+(-4.082958--3.348558))+0-379.6--1.16157600000004</f>
        <v>1970.4519099999998</v>
      </c>
      <c r="X90" s="3">
        <f>1946.8+(1880.7-1503.3)+(-5.957208+(-5.754942--4.600098))+0-382.2--1.16953200000004</f>
        <v>1936.0574799999999</v>
      </c>
      <c r="Y90" s="3">
        <f>1968.4+(1372.9-1145.9)+(-3.011652+(-2.100537--1.753227))+0-364.1--0.557073000000021</f>
        <v>1828.4981110000003</v>
      </c>
      <c r="Z90" s="3">
        <f>2010.5+(1061.6-832.6)+(0+(0-0))+0-351.9-0</f>
        <v>1887.6</v>
      </c>
      <c r="AA90" s="3">
        <f>2030.1+(1314.7-950.4)+(-3.106053+(-2.011491--1.454112))+0-352.7--0.53963100000002</f>
        <v>2038.5761990000003</v>
      </c>
      <c r="AB90" s="3">
        <f>1992.1+(1690.9-1324.8)+(-5.079855+(-4.311795--3.37824))+0-359.7--0.917234999999948</f>
        <v>1993.4038249999996</v>
      </c>
      <c r="AC90" s="3">
        <f>1926.2+(2276.3-1867.1)+(0+(0-0))+0-393.1-0</f>
        <v>1942.3000000000006</v>
      </c>
      <c r="AD90">
        <v>2043.1</v>
      </c>
      <c r="AE90" s="3">
        <f>2027+(1330.8-959.8)+(0+(0-0))+0-354.9-0</f>
        <v>2043.1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1891.8+(2491.8-2098.6)+(-0.964818+(-1.270818--1.070286))+0-389.5--0.19864499999996</f>
        <v>1894.5332949999997</v>
      </c>
      <c r="G91" s="3">
        <f>1697.6+(2623.1-2153.7)+(-1.731552+(-2.675562--2.196774))+0-396.5--0.404430000000063</f>
        <v>1768.69409</v>
      </c>
      <c r="H91" s="3">
        <f>1547.6+(2147.4-1662.8)+(-3.157104+(-4.380696--3.392112))+0-393.1--0.801923999999983</f>
        <v>1635.7562359999997</v>
      </c>
      <c r="I91" s="3">
        <f>1545.7+(2033.5-1602.3)+(0+(0-0))+0-391.7-0</f>
        <v>1585.2</v>
      </c>
      <c r="J91" s="3">
        <f>1546.2+(1987.2-1543.5)+(-3.154248+(-4.053888--3.14874))+0-392.3--0.800291999999983</f>
        <v>1594.3408959999999</v>
      </c>
      <c r="K91" s="3">
        <f>1547.2+(2099.4-1618.7)+(-4.734432+(-6.424164--4.953222))+0-400.8--1.22644800000005</f>
        <v>1622.1210740000004</v>
      </c>
      <c r="L91" s="3">
        <f>1546.3+(1729.1-1353.6)+(-5.520291+(-6.172887--4.832352))+0-395.4--1.41157800000001</f>
        <v>1520.950752</v>
      </c>
      <c r="M91" s="3">
        <f>1546.4+(1683.6-1248.2)+(0.788664+(0.858636-0.636582))+0-392-0.19991999999996</f>
        <v>1590.6107979999999</v>
      </c>
      <c r="N91" s="3">
        <f>1546.2+(1433.9-871.6)+(2.365686+(2.193867-1.333548))+0-375.1-0.573903000000022</f>
        <v>1736.0521020000001</v>
      </c>
      <c r="O91" s="3">
        <f>1544.5+(1025.1-427.8)+(0.787695+(0.522801-0.218178))+0-371.1-0.189260999999962</f>
        <v>1771.6030570000003</v>
      </c>
      <c r="P91" s="3">
        <f>1545.2+(830.4-113.8)+(0+(0-0))+0-397.2-0</f>
        <v>1864.6000000000001</v>
      </c>
      <c r="Q91" s="3">
        <f>1545.5+(830.3-79.4)+(1.57641+(0.846906-0.080988))+0-396.6-0.404532000000063</f>
        <v>1901.7377960000003</v>
      </c>
      <c r="R91" s="3">
        <f>1588.7+(923-111.3)+(0+(0-0))+0-388.3-0</f>
        <v>2012.1000000000001</v>
      </c>
      <c r="S91" s="3">
        <f>1734.2+(1211.5-435.9)+(0+(0-0))+0-368-0</f>
        <v>2141.8000000000002</v>
      </c>
      <c r="T91" s="3">
        <f>1733.5+(1084.3-415.5)+(0+(0-0))+0-392.5-0</f>
        <v>2009.8000000000002</v>
      </c>
      <c r="U91" s="3">
        <f>1692.5+(1101.8-416.9)+(-1.72635+(-1.123836--0.425238))+0-391.4--0.399228000000062</f>
        <v>1983.9742800000001</v>
      </c>
      <c r="V91" s="3">
        <f>1659.6+(1139.8-426.6)+(-0.846396+(-0.581298--0.217566))+0-374.6--0.191045999999962</f>
        <v>1997.1809179999996</v>
      </c>
      <c r="W91" s="3">
        <f>1638.1+(1444.9-639.1)+(0+(0-0))+0-384-0</f>
        <v>2059.9</v>
      </c>
      <c r="X91" s="3">
        <f>1538.6+(1898.2-1121.2)+(-0.784686+(-0.968082--0.571812))+0-385.8--0.196757999999961</f>
        <v>1928.8158019999998</v>
      </c>
      <c r="Y91" s="3">
        <f>1565.5+(1228.6-746.6)+(0+(0-0))+0-377-0</f>
        <v>1670.5</v>
      </c>
      <c r="Z91" s="3">
        <f>1963.6+(1123.8-869)+(-2.002872+(-1.146276--0.88638))+0-377.8--0.38535600000006</f>
        <v>1838.7225879999996</v>
      </c>
      <c r="AA91" s="3">
        <f>2246.9+(1060.8-915.6)+(-3.437757+(-1.623024--1.400868))+0-359.1--0.549423000000021</f>
        <v>2029.88951</v>
      </c>
      <c r="AB91" s="3">
        <f>2154.1+(1392.1-1142)+(-2.197182+(-1.419942--1.16484))+0-355.9--0.363018000000057</f>
        <v>2046.2107339999998</v>
      </c>
      <c r="AC91" s="3">
        <f>1975.5+(1909.6-1454.4)+(-2.01501+(-1.947792--1.483488))+0-362.8--0.370056000000058</f>
        <v>2065.7907419999997</v>
      </c>
      <c r="AD91">
        <v>2048.1</v>
      </c>
      <c r="AE91" s="3">
        <f>2262+(1068.8-924.4)+(0+(0-0))+0-358.3-0</f>
        <v>2048.1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1774.5+(2326.9-1844.4)+(-5.42997+(-7.120314--5.643864))+0-362.2--1.10833200000004</f>
        <v>1889.0019120000002</v>
      </c>
      <c r="G92" s="3">
        <f>1739.2+(1973.7-1689.2)+(-3.547968+(-4.026348--3.445968))+0-362.1--0.738683999999984</f>
        <v>1658.2103360000001</v>
      </c>
      <c r="H92" s="3">
        <f>1580.8+(1662-1249.7)+(-2.418624+(-2.54286--1.912041))+0-363.6--0.556308000000021</f>
        <v>1627.0068649999996</v>
      </c>
      <c r="I92" s="3">
        <f>1548+(1400.4-1025.1)+(1.57896+(1.428408-1.045602))+0-364.8-0.372096000000058</f>
        <v>1560.0896700000001</v>
      </c>
      <c r="J92" s="3">
        <f>1545.1+(1304.5-884)+(-3.152004+(-2.66118--1.80336))+0-363.5--0.741539999999984</f>
        <v>1598.8317159999999</v>
      </c>
      <c r="K92" s="3">
        <f>1547.5+(1345.1-899.3)+(-3.946125+(-3.430005--2.293215))+0-365.5--0.932024999999947</f>
        <v>1623.6491099999998</v>
      </c>
      <c r="L92" s="3">
        <f>1546.6+(1304-924.4)+(-1.577532+(-1.33008--0.942888))+0-361.5--0.368730000000058</f>
        <v>1563.104006</v>
      </c>
      <c r="M92" s="3">
        <f>1544.7+(976.6-694.4)+(3.938985+(2.49033-1.77072))+0-362-0.923099999999948</f>
        <v>1468.6354950000002</v>
      </c>
      <c r="N92" s="3">
        <f>1544.9+(1262.6-707.8)+(0.787899+(0.643926-0.360978))+0-363.5-0.185384999999963</f>
        <v>1737.0854619999998</v>
      </c>
      <c r="O92" s="3">
        <f>1546.2+(1250.7-556.2)+(-0.788562+(-0.637857--0.283662))+0-363.7--0.185486999999963</f>
        <v>1876.0427299999997</v>
      </c>
      <c r="P92" s="3">
        <f>1598.7+(1112.3-397.5)+(2.446011+(1.701819-0.608175))+0-362.2-0.554166000000021</f>
        <v>1954.2854889999999</v>
      </c>
      <c r="Q92" s="3">
        <f>1643.3+(898.2-261.7)+(3.352332+(1.832328-0.533868))+0-360.6-0.735623999999984</f>
        <v>1923.1151680000003</v>
      </c>
      <c r="R92" s="3">
        <f>1749.6+(813.5-228.1)+(0.892296+(0.414885-0.116331))+0-361.7-0.184466999999963</f>
        <v>1974.3063829999999</v>
      </c>
      <c r="S92" s="3">
        <f>1917.6+(1179.9-683.7)+(0.977976+(0.601749-0.348687))+0-346.1-0.176510999999965</f>
        <v>2068.7545270000001</v>
      </c>
      <c r="T92" s="3">
        <f>1989.6+(1047.2-701.1)+(2.029392+(1.068144-0.715122))+0-336-0.342720000000054</f>
        <v>2001.7396939999999</v>
      </c>
      <c r="U92" s="3">
        <f>1962.7+(1040.9-670.8)+(0+(0-0))+0-348.9-0</f>
        <v>1983.9</v>
      </c>
      <c r="V92" s="3">
        <f>1909.9+(1015.9-573.9)+(0.974049+(0.518109-0.292689))+0-356.7-0.181916999999964</f>
        <v>1996.2175520000003</v>
      </c>
      <c r="W92" s="3">
        <f>1735.9+(1331.1-675.5)+(-2.655927+(-2.036583--1.033515))+0-359.4--0.549882000000021</f>
        <v>2028.9908870000002</v>
      </c>
      <c r="X92" s="3">
        <f>1725.4+(1595.1-1061.7)+(-3.519816+(-3.254004--2.165868))+0-359.6--0.733583999999984</f>
        <v>1895.3256320000005</v>
      </c>
      <c r="Y92" s="3">
        <f>1752+(1038.9-749.8)+(-4.4676+(-2.649195--1.91199))+0-359.1--0.915704999999948</f>
        <v>1677.7109</v>
      </c>
      <c r="Z92" s="3">
        <f>1849+(1324.9-940.4)+(0+(0-0))+0-362-0</f>
        <v>1871.5</v>
      </c>
      <c r="AA92" s="3">
        <f>1904.2+(1370.4-877.6)+(-0.971142+(-0.698904--0.447576))+0-361--0.184109999999963</f>
        <v>2034.9616399999998</v>
      </c>
      <c r="AB92" s="3">
        <f>1895.2+(1642.4-1143)+(-1.933104+(-1.675248--1.16586))+0-363.5--0.370770000000058</f>
        <v>2029.0282780000002</v>
      </c>
      <c r="AC92" s="3">
        <f>1766.1+(1775-1195)+(-1.801422+(-1.8105--1.2189))+0-359.8--0.366996000000057</f>
        <v>1984.2739739999997</v>
      </c>
      <c r="AD92">
        <v>2062.1</v>
      </c>
      <c r="AE92" s="3">
        <f>1900+(1426-904.1)+(0+(0-0))+0-359.8-0</f>
        <v>2062.1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1702.4+(2122.3-1578.7)+(-1.736448+(-2.164746--1.610274))+0-393.9--0.401778000000063</f>
        <v>1850.2108580000001</v>
      </c>
      <c r="G93" s="3">
        <f>1559.5+(2417.1-1828.2)+(0+(0-0))+0-393.3-0</f>
        <v>1755.0999999999997</v>
      </c>
      <c r="H93" s="3">
        <f>1556.8+(2215.6-1729.9)+(-2.381904+(-3.389868--2.646747))+0-395.7--0.605421000000023</f>
        <v>1644.2803959999997</v>
      </c>
      <c r="I93" s="3">
        <f>1557.4+(2061.2-1637)+(-1.588548+(-2.102424--1.66974))+0-396.1--0.404022000000063</f>
        <v>1583.8827900000001</v>
      </c>
      <c r="J93" s="3">
        <f>1557.7+(1551.2-1143.9)+(-3.972135+(-3.95556--2.916945))+0-399.3--1.01821499999994</f>
        <v>1561.707465</v>
      </c>
      <c r="K93" s="3">
        <f>1554.3+(1449.1-1033.1)+(-3.963465+(-3.695205--2.634405))+0-397.8--1.01438999999994</f>
        <v>1568.490125</v>
      </c>
      <c r="L93" s="3">
        <f>1553.3+(1514.7-1117.4)+(0+(0-0))+0-393.6-0</f>
        <v>1557</v>
      </c>
      <c r="M93" s="3">
        <f>1554.6+(1848.2-1251.6)+(0.792846+(0.942582-0.638316))+0-398.5-0.20323499999996</f>
        <v>1753.5938769999998</v>
      </c>
      <c r="N93" s="3">
        <f>1553.4+(1849.9-1216.7)+(-1.584468+(-1.886898--1.241034))+0-389.4--0.397188000000062</f>
        <v>1795.3668560000003</v>
      </c>
      <c r="O93" s="3">
        <f>1553.6+(1410.1-820.3)+(-1.584672+(-1.438302--0.836706))+0-382.6--0.390252000000061</f>
        <v>1759.0039839999999</v>
      </c>
      <c r="P93" s="3">
        <f>1553.9+(1363.1-625.3)+(0.792489+(0.695181-0.318903))+0-389.5-0.19864499999996</f>
        <v>1903.170122</v>
      </c>
      <c r="Q93" s="3">
        <f>1579.1+(1131-431.9)+(0+(0-0))+0-391.1-0</f>
        <v>1887.1</v>
      </c>
      <c r="R93" s="3">
        <f>1836.1+(1098.5-527.7)+(-1.872822+(-1.12047--0.538254))+0-392.7--0.400554000000063</f>
        <v>2012.1455159999996</v>
      </c>
      <c r="S93" s="3">
        <f>1898.7+(1216.5-694.7)+(-0.968337+(-0.620415--0.354297))+0-370.3--0.188852999999962</f>
        <v>2049.1543980000001</v>
      </c>
      <c r="T93" s="3">
        <f>1995.3+(1089.2-689.9)+(0+(0-0))+0-383.8-0</f>
        <v>2010.8</v>
      </c>
      <c r="U93" s="3">
        <f>2039.2+(1012.1-636.3)+(-1.039992+(-0.516171--0.324513))+0-308--0.157079999999969</f>
        <v>2105.9254299999998</v>
      </c>
      <c r="V93" s="3">
        <f>2038.7+(1028.2-650.2)+(-1.039737+(-0.524382--0.331602))+0-379.4--0.193493999999962</f>
        <v>2036.2609769999997</v>
      </c>
      <c r="W93" s="3">
        <f>2031.9+(1286.6-873.8)+(-2.072538+(-1.312332--0.891276))+0-370.6--0.378012000000059</f>
        <v>2071.984418</v>
      </c>
      <c r="X93" s="3">
        <f>1906.4+(1657.9-1160.6)+(-2.916792+(-2.536587--1.775718))+0-384.1--0.587673000000022</f>
        <v>2016.5100120000002</v>
      </c>
      <c r="Y93" s="3">
        <f>1755.6+(1071.6-739.3)+(-7.162848+(-4.372128--3.016344))+0-364.3--1.48634399999997</f>
        <v>1716.5677119999998</v>
      </c>
      <c r="Z93" s="3">
        <f>1811.6+(1126.4-744.5)+(1.847832+(1.148928-0.75939))+0-362.4-0.369648000000058</f>
        <v>1832.9677219999996</v>
      </c>
      <c r="AA93" s="3">
        <f>1841.4+(1367-776.9)+(-0.939114+(-0.69717--0.396219))+0-362--0.184619999999963</f>
        <v>2068.444555</v>
      </c>
      <c r="AB93" s="3">
        <f>1839.7+(1611.2-1050.4)+(-0.938247+(-0.821712--0.535704))+0-346.8--0.176867999999965</f>
        <v>2052.6526129999997</v>
      </c>
      <c r="AC93" s="3">
        <f>1837.8+(1824.8-1270.8)+(-3.749112+(-3.722592--2.592432))+0-393.9--0.803555999999983</f>
        <v>1993.824284</v>
      </c>
      <c r="AD93">
        <v>2090.3000000000002</v>
      </c>
      <c r="AE93" s="3">
        <f>1838+(1543.8-933.4)+(0+(0-0))+0-358.1-0</f>
        <v>2090.3000000000002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1834.8+(1639.8-1206.7)+(-4.67874+(-4.18149--3.077085))+0-397.7--1.01413499999994</f>
        <v>1865.4309899999996</v>
      </c>
      <c r="G94" s="3">
        <f>1635.2+(1748.9-1235.5)+(-3.335808+(-3.567756--2.52042))+0-396.1--0.808043999999983</f>
        <v>1748.9249000000004</v>
      </c>
      <c r="H94" s="3">
        <f>1551.3+(1875.9-1327.1)+(-3.955815+(-4.783545--3.384105))+0-399.6--1.01897999999994</f>
        <v>1696.1637250000003</v>
      </c>
      <c r="I94" s="3">
        <f>1551.2+(2144.8-1578.3)+(-3.164448+(-4.375392--3.219732))+0-397.2--0.810287999999983</f>
        <v>1716.9901800000002</v>
      </c>
      <c r="J94" s="3">
        <f>1539.2+(1598.3-1112.9)+(-0.784992+(-0.815133--0.567579))+0-400.3--0.204152999999959</f>
        <v>1623.4716069999999</v>
      </c>
      <c r="K94" s="3">
        <f>1538.9+(1325.6-860.1)+(-3.139356+(-2.704224--1.754604))+0-400.4--0.816815999999982</f>
        <v>1600.72784</v>
      </c>
      <c r="L94" s="3">
        <f>1538.7+(1008.8-614.7)+(-1.569474+(-1.028976--0.626994))+0-399.3--0.407286000000064</f>
        <v>1531.9358300000001</v>
      </c>
      <c r="M94" s="3">
        <f>1534.9+(1085.6-552)+(0.782799+(0.553656-0.28152))+0-390.8-0.19930799999996</f>
        <v>1678.5556270000002</v>
      </c>
      <c r="N94" s="3">
        <f>1535.6+(1429-717.2)+(-0.783156+(-0.72879--0.365772))+0-398.4--0.20318399999996</f>
        <v>1848.0570099999995</v>
      </c>
      <c r="O94" s="3">
        <f>1501.8+(1644.6-869.5)+(0+(0-0))+0-372.6-0</f>
        <v>1904.2999999999997</v>
      </c>
      <c r="P94" s="3">
        <f>1537.2+(1436-673.6)+(0+(0-0))+0-384-0</f>
        <v>1915.6</v>
      </c>
      <c r="Q94" s="3">
        <f>1613.7+(1106.3-421)+(0+(0-0))+0-380.7-0</f>
        <v>1918.3</v>
      </c>
      <c r="R94" s="3">
        <f>1733.1+(999.8-426.6)+(0+(0-0))+0-365-0</f>
        <v>1941.2999999999997</v>
      </c>
      <c r="S94" s="3">
        <f>1770.1+(1285.6-632.6)+(-1.805502+(-1.311312--0.645252))+0-373.6--0.38107200000006</f>
        <v>2047.40951</v>
      </c>
      <c r="T94" s="3">
        <f>1984.7+(1240.1-826.1)+(1.012197+(0.632451-0.421311))+0-380.3-0.193952999999961</f>
        <v>2019.4293839999998</v>
      </c>
      <c r="U94" s="3">
        <f>1984.7+(1322.8-875.3)+(-1.012197+(-0.674628--0.446403))+0-381.3--0.194462999999961</f>
        <v>2049.8540409999996</v>
      </c>
      <c r="V94" s="3">
        <f>1958.8+(1371.2-910.2)+(-1.997976+(-1.398624--0.928404))+0-384.4--0.392088000000061</f>
        <v>2033.3238920000003</v>
      </c>
      <c r="W94" s="3">
        <f>1939.3+(1642.2-1159.2)+(-1.978086+(-1.675044--1.182384))+0-379.5--0.387090000000061</f>
        <v>2040.7163440000004</v>
      </c>
      <c r="X94" s="3">
        <f>1894.3+(2113.7-1588.1)+(-6.762651+(-7.545909--5.669517))+0-384.1--1.37123700000001</f>
        <v>2028.5321939999997</v>
      </c>
      <c r="Y94" s="3">
        <f>1807.4+(1660.9-1269.1)+(-1.843548+(-1.694118--1.294482))+0-389.5--0.397290000000062</f>
        <v>1807.8541060000005</v>
      </c>
      <c r="Z94" s="3">
        <f>1845+(1812.4-1321.7)+(-1.8819+(-1.848648--1.348134))+0-362.6--0.369852000000058</f>
        <v>1971.0874379999998</v>
      </c>
      <c r="AA94" s="3">
        <f>1990.4+(1519.8-1196.3)+(-6.090624+(-4.650588--3.660678))+0-360--1.10160000000004</f>
        <v>1947.9210659999999</v>
      </c>
      <c r="AB94" s="3">
        <f>1956+(1881.3-1396.6)+(-1.99512+(-1.918926--1.424532))+0-358.3--0.365466000000057</f>
        <v>2080.275952</v>
      </c>
      <c r="AC94" s="3">
        <f>1765.8+(1766-1241.9)+(0+(0-0))+0-395.9-0</f>
        <v>1893.9999999999995</v>
      </c>
      <c r="AD94">
        <v>1966.4</v>
      </c>
      <c r="AE94" s="3">
        <f>2014+(1534.4-1222.4)+(0+(0-0))+0-359.6-0</f>
        <v>1966.4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1706.4+(2383.5-1817.4)+(-0.870264+(-1.215585--0.926874))+0-396.1--0.20201099999996</f>
        <v>1875.4430360000001</v>
      </c>
      <c r="G95" s="3">
        <f>1572.1+(2365-1829.9)+(-0.801771+(-1.20615--0.933249))+0-395.3--0.20160299999996</f>
        <v>1711.0269309999996</v>
      </c>
      <c r="H95" s="3">
        <f>1572.3+(2496.5-1892.5)+(-0.801873+(-1.273215--0.965175))+0-401.3--0.204662999999959</f>
        <v>1774.0947500000004</v>
      </c>
      <c r="I95" s="3">
        <f>1553.7+(2311.8-1749.5)+(-1.584774+(-2.358036--1.78449))+0-394.8--0.402696000000063</f>
        <v>1719.4443760000001</v>
      </c>
      <c r="J95" s="3">
        <f>1547.8+(1941.1-1480.1)+(1.578756+(1.979922-1.509702))+0-398.4-0.406368000000064</f>
        <v>1612.042608</v>
      </c>
      <c r="K95" s="3">
        <f>1550.5+(1835.9-1314.9)+(-4.74453+(-5.617854--4.023594))+0-394--1.20564000000005</f>
        <v>1672.3668500000003</v>
      </c>
      <c r="L95" s="3">
        <f>1548.2+(1546.3-1176.2)+(-2.368746+(-2.365839--1.799586))+0-393.4--0.601902000000023</f>
        <v>1522.5669030000001</v>
      </c>
      <c r="M95" s="3">
        <f>1547+(1283.9-887.3)+(1.57794+(1.309578-0.905046))+0-391.5-0.399330000000062</f>
        <v>1553.6831420000001</v>
      </c>
      <c r="N95" s="3">
        <f>1547+(1271-709)+(2.36691+(1.94463-1.08477))+0-402.4-0.615672000000023</f>
        <v>1709.211098</v>
      </c>
      <c r="O95" s="3">
        <f>1549.8+(1552.3-712.8)+(2.371194+(2.375019-1.090584))+0-387.1-0.592263000000022</f>
        <v>2005.2633660000001</v>
      </c>
      <c r="P95" s="3">
        <f>1719.1+(1394.5-681.8)+(0+(0-0))+0-384.7-0</f>
        <v>2047.1000000000001</v>
      </c>
      <c r="Q95" s="3">
        <f>1808.5+(1241.5-670.7)+(-0.922335+(-0.633165--0.342057))+0-397.4--0.20267399999996</f>
        <v>1980.8892309999999</v>
      </c>
      <c r="R95" s="3">
        <f>1856+(1291.5-729.8)+(0+(0-0))+0-400.3-0</f>
        <v>2017.3999999999999</v>
      </c>
      <c r="S95" s="3">
        <f>1859.4+(1616.5-1058.5)+(-6.638058+(-5.770905--3.778845))+0-378--1.34946000000001</f>
        <v>2032.119342</v>
      </c>
      <c r="T95" s="3">
        <f>1840.6+(1854.8-1320.1)+(-1.877412+(-1.891896--1.346502))+0-383--0.390660000000061</f>
        <v>1990.2678540000002</v>
      </c>
      <c r="U95" s="3">
        <f>1836.5+(2026-1494.8)+(-2.809845+(-3.09978--2.287044))+0-388.1--0.593793000000022</f>
        <v>1976.5712119999998</v>
      </c>
      <c r="V95" s="3">
        <f>1856.7+(2040.4-1469.8)+(-1.893834+(-2.081208--1.499196))+0-374.3--0.38178600000006</f>
        <v>2050.9059400000001</v>
      </c>
      <c r="W95" s="3">
        <f>1860.7+(1634.9-1286.1)+(-3.795828+(-3.335196--2.623644))+0-380.1--0.775403999999983</f>
        <v>1825.6680240000001</v>
      </c>
      <c r="X95" s="3">
        <f>1859.1+(1578-1210.5)+(-5.688846+(-4.82868--3.70413))+0-385.6--1.17993600000004</f>
        <v>1835.36654</v>
      </c>
      <c r="Y95" s="3">
        <f>1857.1+(1564.5-1285.9)+(-5.682726+(-4.78737--3.934854))+0-360.4--1.10282400000004</f>
        <v>1769.8675819999999</v>
      </c>
      <c r="Z95" s="3">
        <f>1882.8+(1673.7-1464.5)+(0+(0-0))+0-353.1-0</f>
        <v>1738.9</v>
      </c>
      <c r="AA95" s="3">
        <f>1890.5+(2187.3-1721.3)+(-6.749085+(-7.808661--6.145041))+0-354--1.26378000000001</f>
        <v>1995.3510749999998</v>
      </c>
      <c r="AB95" s="3">
        <f>1840.9+(1840.5-1287.7)+(-2.816577+(-2.815965--1.970181))+0-351.1--0.53718300000002</f>
        <v>2039.4748219999997</v>
      </c>
      <c r="AC95" s="3">
        <f>1769.4+(1737-1274.9)+(-0.902394+(-0.88587--0.650199))+0-385.8--0.196757999999961</f>
        <v>1844.758693</v>
      </c>
      <c r="AD95">
        <v>2119</v>
      </c>
      <c r="AE95" s="3">
        <f>1886+(2373.7-1791.1)+(0+(0-0))+0-349.6-0</f>
        <v>2119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1761.8+(2138.7-1713.9)+(0+(0-0))+0-378.9-0</f>
        <v>1807.6999999999994</v>
      </c>
      <c r="G96" s="3">
        <f>1753.3+(2027.2-1710.2)+(-1.788366+(-2.067744--1.744404))+0-389.8--0.397596000000062</f>
        <v>1678.7858900000001</v>
      </c>
      <c r="H96" s="3">
        <f>1571.6+(1917.5-1520.5)+(-0.801516+(-0.977925--0.775455))+0-390.8--0.19930799999996</f>
        <v>1576.995322</v>
      </c>
      <c r="I96" s="3">
        <f>1547.2+(1824.5-1414.3)+(-3.156288+(-3.72198--2.885172))+0-389--0.793559999999983</f>
        <v>1565.2004640000002</v>
      </c>
      <c r="J96" s="3">
        <f>1547+(1935.8-1515.7)+(1.57794+(1.974516-1.546014))+0-388.9-0.396678000000062</f>
        <v>1579.8097640000001</v>
      </c>
      <c r="K96" s="3">
        <f>1547.2+(2036.2-1648.2)+(-2.367216+(-3.115386--2.521746))+0-385.1--0.589203000000022</f>
        <v>1547.7283470000002</v>
      </c>
      <c r="L96" s="3">
        <f>1546.2+(2084.1-1756.3)+(-1.577124+(-2.125782--1.791426))+0-388.4--0.396168000000062</f>
        <v>1484.0846880000001</v>
      </c>
      <c r="M96" s="3">
        <f>1546.9+(2026.3-1681.5)+(2.366757+(3.100239-2.572695))+0-386.9-0.591957000000022</f>
        <v>1507.1023439999999</v>
      </c>
      <c r="N96" s="3">
        <f>1534.3+(1870-1460.8)+(0+(0-0))+0-387-0</f>
        <v>1556.5</v>
      </c>
      <c r="O96" s="3">
        <f>1492.9+(1975.3-1411.2)+(-1.522758+(-2.014806--1.439424))+0-391.3--0.399126000000062</f>
        <v>1664.000986</v>
      </c>
      <c r="P96" s="3">
        <f>1527.4+(1968.3-1368)+(1.557948+(2.007666-1.39536))+0-388.6-0.396372000000062</f>
        <v>1740.8738819999999</v>
      </c>
      <c r="Q96" s="3">
        <f>1547.7+(1595.5-1012.8)+(0.789327+(0.813705-0.516528))+0-390.9-0.19935899999996</f>
        <v>1740.3871449999999</v>
      </c>
      <c r="R96" s="3">
        <f>1548.4+(2107.4-1442.7)+(0.789684+(1.074774-0.735777))+0-394.1-0.20099099999996</f>
        <v>1819.9276900000007</v>
      </c>
      <c r="S96" s="3">
        <f>1550.3+(1993.9-1397.1)+(-0.790653+(-1.016889--0.712521))+0-393.1--0.20048099999996</f>
        <v>1753.1054600000002</v>
      </c>
      <c r="T96" s="3">
        <f>1547.7+(2050.5-1437.1)+(0+(0-0))+0-391.8-0</f>
        <v>1769.3000000000004</v>
      </c>
      <c r="U96" s="3">
        <f>1545.9+(1737.7-1175)+(-1.576818+(-1.772454--1.1985))+0-396.8--0.404736000000063</f>
        <v>1710.0539640000004</v>
      </c>
      <c r="V96" s="3">
        <f>1545.7+(1798.6-1226.9)+(1.576614+(1.834572-1.251438))+0-398.2-0.406164000000063</f>
        <v>1720.9535839999996</v>
      </c>
      <c r="W96" s="3">
        <f>1546.1+(1969.3-1360.5)+(-0.788511+(-1.004343--0.693855))+0-397.7--0.20282699999996</f>
        <v>1756.3038279999998</v>
      </c>
      <c r="X96" s="3">
        <f>1547.5+(1985.6-1367.5)+(-1.57845+(-2.025312--1.39485))+0-398--0.405960000000063</f>
        <v>1765.7970479999999</v>
      </c>
      <c r="Y96" s="3">
        <f>1543.8+(1275.4-922.7)+(-1.574676+(-1.300908--0.941154))+0-390.2--0.398004000000062</f>
        <v>1504.7635740000001</v>
      </c>
      <c r="Z96" s="3">
        <f>1806.3+(1356-1144.1)+(-1.842426+(-1.38312--1.166982))+0-383.2--0.390864000000061</f>
        <v>1633.3323</v>
      </c>
      <c r="AA96" s="3">
        <f>2196.1+(1677.7-1536.9)+(-6.720066+(-5.133762--4.702914))+0-392--1.19952000000005</f>
        <v>1938.9486059999999</v>
      </c>
      <c r="AB96" s="3">
        <f>2240.7+(1717.6-1673.6)+(-2.285514+(-1.751952--1.707072))+0-382.2--0.389844000000061</f>
        <v>1900.5594499999997</v>
      </c>
      <c r="AC96" s="3">
        <f>2185.5+(1964.2-1892)+(-1.114605+(-1.001742--0.96492))+0-389.6--0.19869599999996</f>
        <v>1867.1472690000001</v>
      </c>
      <c r="AD96">
        <v>2014</v>
      </c>
      <c r="AE96" s="3">
        <f>2237+(1723.7-1567.1)+(0+(0-0))+0-379.6-0</f>
        <v>2014.0000000000005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1982.4+(2324.4-2127.4)+(-5.05512+(-5.92722--5.42487))+0-383.2--0.977159999999944</f>
        <v>1791.6196899999998</v>
      </c>
      <c r="G97" s="3">
        <f>1847.3+(2292.1-2118.7)+(-3.768492+(-4.675884--4.322148))+0-391.6--0.798863999999983</f>
        <v>1625.7766360000003</v>
      </c>
      <c r="H97" s="3">
        <f>1550.3+(2346.9-1925.5)+(-0.790653+(-1.196919--0.982005))+0-389.8--0.19879799999996</f>
        <v>1581.0932310000001</v>
      </c>
      <c r="I97" s="3">
        <f>1520.4+(2196.9-1795.8)+(-2.326212+(-3.361257--2.747574))+0-387--0.592110000000022</f>
        <v>1532.1522150000003</v>
      </c>
      <c r="J97" s="3">
        <f>1520+(2293-1871.7)+(-1.5504+(-2.33886--1.909134))+0-388--0.395760000000062</f>
        <v>1551.7156340000001</v>
      </c>
      <c r="K97" s="3">
        <f>1519.1+(2102.1-1737.9)+(-4.648446+(-6.432426--5.317974))+0-389.8--1.19278800000005</f>
        <v>1488.9298899999999</v>
      </c>
      <c r="L97" s="3">
        <f>1520.1+(1699.1-1386)+(-3.101004+(-3.466164--2.82744))+0-390--0.795599999999983</f>
        <v>1440.2558719999997</v>
      </c>
      <c r="M97" s="3">
        <f>1519.4+(1647.7-1181.2)+(0+(0-0))+0-394.5-0</f>
        <v>1591.4</v>
      </c>
      <c r="N97" s="3">
        <f>1431.7+(1891.8-1159)+(-2.190501+(-2.894454--1.77327))+0-399.3--0.610929000000023</f>
        <v>1762.4992439999999</v>
      </c>
      <c r="O97" s="3">
        <f>1388.9+(2066.5-1187.8)+(1.416678+(2.10783-1.211556))+0-396-0.403920000000063</f>
        <v>1873.5090320000006</v>
      </c>
      <c r="P97" s="3">
        <f>1490.6+(1788.1-912.3)+(-0.760206+(-0.911931--0.465273))+0-396--0.20195999999996</f>
        <v>1969.3950959999993</v>
      </c>
      <c r="Q97" s="3">
        <f>1691.7+(1509.4-818.8)+(-0.862767+(-0.769794--0.417588))+0-402.6--0.205325999999959</f>
        <v>1978.6903530000002</v>
      </c>
      <c r="R97" s="3">
        <f>1902.7+(1613.8-1083.8)+(0.970377+(0.823038-0.552738))+0-396-0.20195999999996</f>
        <v>2037.7387169999997</v>
      </c>
      <c r="S97" s="3">
        <f>1909.4+(1903-1369)+(-0.973794+(-0.97053--0.69819))+0-399.7--0.203846999999959</f>
        <v>2042.6577130000001</v>
      </c>
      <c r="T97" s="3">
        <f>1907.2+(1616.8-1112)+(-1.945344+(-1.649136--1.13424))+0-396.6--0.404532000000063</f>
        <v>2013.3442920000002</v>
      </c>
      <c r="U97" s="3">
        <f>1908+(1670.3-1143.3)+(-2.91924+(-2.555559--1.749249))+0-397.5--0.608175000000023</f>
        <v>2034.382625</v>
      </c>
      <c r="V97" s="3">
        <f>1904.2+(1645.2-1107.4)+(-4.85571+(-4.19526--2.82387))+0-390.7--0.996284999999943</f>
        <v>2046.0691849999998</v>
      </c>
      <c r="W97" s="3">
        <f>1903.3+(1846.9-1314.3)+(-6.794781+(-6.593433--4.692051))+0-384--1.37088000000001</f>
        <v>2044.574717</v>
      </c>
      <c r="X97" s="3">
        <f>1903.5+(2170.2-1676.8)+(-5.82471+(-6.640812--5.131008))+0-388.3--1.18819800000004</f>
        <v>2002.4536839999996</v>
      </c>
      <c r="Y97" s="3">
        <f>1894+(2002.7-1666)+(-3.86376+(-4.085508--3.39864))+0-396.5--0.808859999999983</f>
        <v>1830.458232</v>
      </c>
      <c r="Z97" s="3">
        <f>1901.3+(2394.3-1984.9)+(0+(0-0))+0-382.6-0</f>
        <v>1928.1</v>
      </c>
      <c r="AA97" s="3">
        <f>1937.7+(2811.6-2305)+(-1.976454+(-2.867832--2.3511))+0-364.4--0.371688000000058</f>
        <v>2077.7785020000001</v>
      </c>
      <c r="AB97" s="3">
        <f>1872.2+(2905.3-2385.7)+(-2.864466+(-4.445109--3.650121))+0-353.2--0.54039600000002</f>
        <v>2035.4809420000001</v>
      </c>
      <c r="AC97" s="3">
        <f>1826.3+(2996.9-2508.2)+(-0.931413+(-1.528419--1.279182))+0-373.1--0.190280999999962</f>
        <v>1940.9096310000002</v>
      </c>
      <c r="AD97">
        <v>2096.5000000000005</v>
      </c>
      <c r="AE97" s="3">
        <f>1943+(2809.1-2293.6)+(0+(0-0))+0-362-0</f>
        <v>2096.5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1801.8+(2992-2548.5)+(-2.756754+(-4.57776--3.899205))+0-385.2--0.589356000000022</f>
        <v>1857.2540470000001</v>
      </c>
      <c r="G98" s="3">
        <f>1526+(2960-2362.3)+(-2.33478+(-4.5288--3.614319))+0-388.3--0.594099000000022</f>
        <v>1732.7448379999998</v>
      </c>
      <c r="H98" s="3">
        <f>1360.8+(2578.2-1965)+(-1.388016+(-2.629764--2.0043))+0-392.7--0.400554000000063</f>
        <v>1579.6870739999997</v>
      </c>
      <c r="I98" s="3">
        <f>1254+(2322.6-1606.9)+(1.91862+(3.553578-2.458557))+0-394.6-0.603738000000023</f>
        <v>1577.5099029999999</v>
      </c>
      <c r="J98" s="3">
        <f>1253.3+(2365.4-1641.9)+(0+(0-0))+0-399.2-0</f>
        <v>1577.6</v>
      </c>
      <c r="K98" s="3">
        <f>1253.6+(2438.1-1684.6)+(-1.278672+(-2.486862--1.718292))+0-398--0.405960000000063</f>
        <v>1607.4587179999999</v>
      </c>
      <c r="L98" s="3">
        <f>1254+(2184.4-1565.7)+(-2.55816+(-4.456176--3.194028))+0-394.3--0.804371999999983</f>
        <v>1475.3840640000001</v>
      </c>
      <c r="M98" s="3">
        <f>1252.5+(1891.2-1218.8)+(3.83265+(5.787072-3.729528))+0-403.2-1.23379200000005</f>
        <v>1526.3564020000001</v>
      </c>
      <c r="N98" s="3">
        <f>1251.7+(1676.1-838.3)+(-2.553468+(-3.419244--1.710132))+0-386.4--0.788255999999983</f>
        <v>1699.6256759999999</v>
      </c>
      <c r="O98" s="3">
        <f>1290.4+(1874.6-875.9)+(-0.658104+(-0.956046--0.446709))+0-381.3--0.194462999999961</f>
        <v>1906.8270219999999</v>
      </c>
      <c r="P98" s="3">
        <f>1457.2+(1741.9-888.1)+(-0.743172+(-0.888369--0.452931))+0-369.1--0.188240999999963</f>
        <v>1940.9096310000002</v>
      </c>
      <c r="Q98" s="3">
        <f>1631+(1498.8-825.2)+(-0.83181+(-0.764388--0.420852))+0-361.5--0.184364999999963</f>
        <v>1942.109019</v>
      </c>
      <c r="R98" s="3">
        <f>1739.6+(1448.1-843.1)+(0+(0-0))+0-370.8-0</f>
        <v>1973.8</v>
      </c>
      <c r="S98" s="3">
        <f>1740.5+(1466.6-920.6)+(-1.77531+(-1.495932--0.939012))+0-368.7--0.376074000000059</f>
        <v>1915.843844</v>
      </c>
      <c r="T98" s="3">
        <f>1721.5+(1273.9-682.2)+(-3.51186+(-2.598756--1.391688))+0-371--0.756839999999984</f>
        <v>1938.2379120000001</v>
      </c>
      <c r="U98" s="3">
        <f>1627.9+(1318.9-590.8)+(-2.490687+(-2.017917--0.903924))+0-374.5--0.572985000000022</f>
        <v>1978.4683050000001</v>
      </c>
      <c r="V98" s="3">
        <f>1594.9+(1404.5-666.1)+(-0.813399+(-0.716295--0.339711))+0-365.2--0.186251999999963</f>
        <v>1967.0962689999999</v>
      </c>
      <c r="W98" s="3">
        <f>1624.5+(1733.2-977.1)+(-0.828495+(-0.883932--0.498321))+0-375.6--0.191555999999962</f>
        <v>2003.9774500000001</v>
      </c>
      <c r="X98" s="3">
        <f>1533.4+(2055.5-1303.9)+(-4.692204+(-6.28983--3.989934))+0-371.3--1.13617800000004</f>
        <v>1907.8440780000001</v>
      </c>
      <c r="Y98" s="3">
        <f>1486.9+(1447.8-799.6)+(-2.274957+(-2.215134--1.223388))+0-372.6--0.570078000000022</f>
        <v>1759.8033750000002</v>
      </c>
      <c r="Z98" s="3">
        <f>1581.5+(1459.3-875.4)+(-2.419695+(-2.232729--1.339362))+0-361--0.552330000000021</f>
        <v>1801.6392679999999</v>
      </c>
      <c r="AA98" s="3">
        <f>1595.2+(1590.5-843.8)+(-0.813552+(-0.811155--0.430338))+0-359.7--0.183446999999964</f>
        <v>1981.1890780000001</v>
      </c>
      <c r="AB98" s="3">
        <f>1593.8+(1962.2-1212)+(-3.251352+(-4.002888--2.47248))+0-355.6--0.725423999999985</f>
        <v>1984.3436640000002</v>
      </c>
      <c r="AC98" s="3">
        <f>1566.2+(2310.4-1447.5)+(-1.597524+(-2.356608--1.47645))+0-355.2--0.362304000000057</f>
        <v>2071.7846220000006</v>
      </c>
      <c r="AD98">
        <v>1963.1000000000001</v>
      </c>
      <c r="AE98" s="3">
        <f>1590+(1551.4-835)+(0+(0-0))+0-343.3-0</f>
        <v>1963.1000000000001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1369.2+(2290.5-1578.9)+(-2.094876+(-3.504465--2.415717))+0-354.9--0.54299700000002</f>
        <v>1723.2593730000003</v>
      </c>
      <c r="G99" s="3">
        <f>1306.8+(2388.5-1719)+(-2.665872+(-4.87254--3.50676))+0-358.6--0.731543999999984</f>
        <v>1614.3998920000001</v>
      </c>
      <c r="H99" s="3">
        <f>1242.6+(2401-1763.4)+(-2.534904+(-4.89804--3.597336))+0-361.8--0.738071999999984</f>
        <v>1515.3024639999996</v>
      </c>
      <c r="I99" s="3">
        <f>1242.2+(2116.3-1457.4)+(-3.16761+(-5.396565--3.71637))+0-349.6--0.891479999999949</f>
        <v>1547.5436750000001</v>
      </c>
      <c r="J99" s="3">
        <f>1241.3+(1994.5-1367.2)+(-3.798378+(-6.10317--4.183632))+0-358.3--1.09639800000004</f>
        <v>1505.678482</v>
      </c>
      <c r="K99" s="3">
        <f>1241.1+(1965.5-1420.5)+(-3.164805+(-5.012025--3.622275))+0-361--0.920549999999948</f>
        <v>1421.465995</v>
      </c>
      <c r="L99" s="3">
        <f>1244.1+(1658.4-1142.2)+(-0.634491+(-0.845784--0.582522))+0-359.7--0.183446999999964</f>
        <v>1399.8856939999998</v>
      </c>
      <c r="M99" s="3">
        <f>1244.5+(1435.1-779.4)+(-0.634695+(-0.731901--0.397494))+0-356--0.181559999999964</f>
        <v>1543.4124579999998</v>
      </c>
      <c r="N99" s="3">
        <f>1246.5+(1389.2-574.8)+(0.635715+(0.708492-0.293148))+0-356.8-0.181967999999964</f>
        <v>1704.9690910000002</v>
      </c>
      <c r="O99" s="3">
        <f>1298.2+(1410.2-518.2)+(-0.662082+(-0.719202--0.264282))+0-334.7--0.170696999999966</f>
        <v>1854.5536949999998</v>
      </c>
      <c r="P99" s="3">
        <f>1467.3+(1263.7-537)+(-0.748323+(-0.644487--0.27387))+0-335.2--0.170951999999966</f>
        <v>1857.8520120000001</v>
      </c>
      <c r="Q99" s="3">
        <f>1671.9+(1051.1-412.5)+(0+(0-0))+0-335.8-0</f>
        <v>1974.7</v>
      </c>
      <c r="R99" s="3">
        <f>1811.2+(1095.2-515.2)+(0+(0-0))+0-338.7-0</f>
        <v>2052.5</v>
      </c>
      <c r="S99" s="3">
        <f>1906.5+(1052.7-737)+(-1.94463+(-1.073754--0.75174))+0-335.5--0.342210000000053</f>
        <v>1884.775566</v>
      </c>
      <c r="T99" s="3">
        <f>1911+(1023-663.4)+(-0.97461+(-0.52173--0.338334))+0-334.5--0.170594999999966</f>
        <v>1935.1125889999998</v>
      </c>
      <c r="U99" s="3">
        <f>1906.3+(1043.1-702.3)+(0.972213+(0.531981-0.358173))+0-336.4-0.171563999999966</f>
        <v>1911.6744569999998</v>
      </c>
      <c r="V99" s="3">
        <f>1891.1+(1020.9-637.9)+(-0.964461+(-0.520659--0.325329))+0-337.5--0.172124999999966</f>
        <v>1935.6123339999999</v>
      </c>
      <c r="W99" s="3">
        <f>1866+(1250.1-746.6)+(-6.66162+(-4.462857--2.665362))+0-335.7--1.198449</f>
        <v>2026.5393339999998</v>
      </c>
      <c r="X99" s="3">
        <f>1780.4+(1665.3-1155)+(-5.448024+(-5.095818--3.5343))+0-336.8--1.03060800000004</f>
        <v>1947.9210660000001</v>
      </c>
      <c r="Y99" s="3">
        <f>1564+(1410.6-834)+(-0.79764+(-0.719406--0.42534))+0-343.1--0.174980999999965</f>
        <v>1796.5832749999997</v>
      </c>
      <c r="Z99" s="3">
        <f>1570.8+(1572.5-1003.3)+(0.801108+(0.801975-0.511683))+0-346.7-0.176816999999965</f>
        <v>1794.2145829999997</v>
      </c>
      <c r="AA99" s="3">
        <f>1579.9+(1505.8-785)+(-3.222996+(-3.071832--1.6014))+0-345.9--0.705635999999985</f>
        <v>1950.8122079999996</v>
      </c>
      <c r="AB99" s="3">
        <f>1590.3+(2072.7-1152.4)+(-0.811053+(-1.057077--0.587724))+0-335.7--0.171206999999966</f>
        <v>2173.7908009999996</v>
      </c>
      <c r="AC99" s="3">
        <f>1562.3+(2575.3-1739.1)+(0+(0-0))+0-379.3-0</f>
        <v>2019.2</v>
      </c>
      <c r="AD99">
        <v>1975.1000000000001</v>
      </c>
      <c r="AE99" s="3">
        <f>1593+(1486.5-759.6)+(0+(0-0))+0-344.8-0</f>
        <v>1975.1000000000001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1521.2+(2567.6-1915.1)+(-3.87906+(-6.54738--4.883505))+0-385--0.981749999999944</f>
        <v>1784.1388149999998</v>
      </c>
      <c r="G100" s="3">
        <f>1521.3+(2151.3-1668.5)+(-3.103452+(-4.388652--3.40374))+0-387.9--0.791315999999983</f>
        <v>1612.9029520000001</v>
      </c>
      <c r="H100" s="3">
        <f>1541.9+(2020.9-1588)+(-1.572738+(-2.061318--1.61976))+0-386.6--0.394332000000062</f>
        <v>1586.5800360000001</v>
      </c>
      <c r="I100" s="3">
        <f>1393.2+(2095.9-1525.8)+(-2.131596+(-3.206727--2.334474))+0-394.5--0.603585000000023</f>
        <v>1566.3997360000003</v>
      </c>
      <c r="J100" s="3">
        <f>1240.1+(2116.5-1355.1)+(-3.162255+(-5.397075--3.455505))+0-391.9--0.999344999999943</f>
        <v>1605.4955200000002</v>
      </c>
      <c r="K100" s="3">
        <f>1242.1+(1862.9-1168.5)+(-3.167355+(-4.750395--2.979675))+0-390--0.994499999999943</f>
        <v>1542.556425</v>
      </c>
      <c r="L100" s="3">
        <f>1239.5+(1485.9-844.9)+(0.632145+(0.757809-0.430899))+0-386.7-0.197216999999961</f>
        <v>1494.5618380000001</v>
      </c>
      <c r="M100" s="3">
        <f>1240.2+(1345.4-615.8)+(-1.897506+(-2.058462--0.942174))+0-392.2--0.600066000000023</f>
        <v>1575.1862720000001</v>
      </c>
      <c r="N100" s="3">
        <f>1241.2+(1183.6-375.3)+(0.633012+(0.603636-0.191403))+0-383.9-0.195788999999961</f>
        <v>1666.4494559999998</v>
      </c>
      <c r="O100" s="3">
        <f>1240.6+(1421.4-446.6)+(0+(0-0))+0-393.5-0</f>
        <v>1821.9</v>
      </c>
      <c r="P100" s="3">
        <f>1333.1+(1518.9-374.2)+(-0.679881+(-0.774639--0.190842))+0-390.5--0.19915499999996</f>
        <v>2086.2354770000002</v>
      </c>
      <c r="Q100" s="3">
        <f>1517.1+(1060.8-291.3)+(1.547442+(1.082016-0.297126))+0-391.2-0.399024000000062</f>
        <v>1897.3333079999998</v>
      </c>
      <c r="R100" s="3">
        <f>1562.1+(1052.1-424)+(1.593342+(1.073142-0.43248))+0-396.7-0.404634000000063</f>
        <v>1795.3293699999997</v>
      </c>
      <c r="S100" s="3">
        <f>1559.7+(1184.5-475.4)+(0+(0-0))+0-391.4-0</f>
        <v>1877.4</v>
      </c>
      <c r="T100" s="3">
        <f>1563.9+(1241-442.3)+(-0.797589+(-0.63291--0.225573))+0-250.5--0.127754999999975</f>
        <v>2111.0228290000005</v>
      </c>
      <c r="U100" s="3">
        <f>1559+(1297.4-535.3)+(-0.79509+(-0.661674--0.273003))+0-375.2--0.191351999999962</f>
        <v>1944.9075910000006</v>
      </c>
      <c r="V100" s="3">
        <f>1557.5+(1328.2-554.3)+(-2.382975+(-2.032146--0.848079))+0-390.8--0.597924000000023</f>
        <v>1937.6308819999999</v>
      </c>
      <c r="W100" s="3">
        <f>1556.6+(1693-814.1)+(1.587732+(1.72686-0.830382))+0-389.3-0.397086000000062</f>
        <v>2048.2871239999999</v>
      </c>
      <c r="X100" s="3">
        <f>1540.7+(2169.8-1311.3)+(-3.143028+(-4.426392--2.675052))+0-394--0.803759999999983</f>
        <v>2001.1093920000001</v>
      </c>
      <c r="Y100" s="3">
        <f>1554+(1419.5-779)+(-1.58508+(-1.44789--0.79458))+0-364.6--0.371892000000058</f>
        <v>1828.0335020000002</v>
      </c>
      <c r="Z100" s="3">
        <f>1808.4+(1641-1128)+(0+(0-0))+0-360.3-0</f>
        <v>1961.1000000000001</v>
      </c>
      <c r="AA100" s="3">
        <f>1956+(1980.3-1559.3)+(-0.99756+(-1.009953--0.795243))+0-359.2--0.183191999999964</f>
        <v>2016.7709219999999</v>
      </c>
      <c r="AB100" s="3">
        <f>1958.4+(2487.9-2127.9)+(-2.996352+(-3.806487--3.255687))+0-358.7--0.548811000000021</f>
        <v>1956.7016590000001</v>
      </c>
      <c r="AC100" s="3">
        <f>1919.8+(2671.9-2371.3)+(0+(0-0))+0-388.5-0</f>
        <v>1831.8999999999996</v>
      </c>
      <c r="AD100">
        <v>2199.6000000000004</v>
      </c>
      <c r="AE100" s="3">
        <f>1959+(1997.4-1397.8)+(0+(0-0))+0-359-0</f>
        <v>2199.6000000000004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1560.1+(2743.9-1992.2)+(-2.386953+(-4.198167--3.048066))+0-392--0.599760000000023</f>
        <v>1916.8627060000003</v>
      </c>
      <c r="G101" s="3">
        <f>1438.9+(2436.2-1886.6)+(0+(0-0))+0-390.8-0</f>
        <v>1597.7</v>
      </c>
      <c r="H101" s="3">
        <f>1349.9+(2446.7-1771.8)+(-3.442245+(-6.239085--4.51809))+0-392.8--1.00163999999994</f>
        <v>1627.8383999999999</v>
      </c>
      <c r="I101" s="3">
        <f>1252.6+(2361.4-1631.5)+(-1.916478+(-3.612942--2.496195))+0-398.8--0.610164000000023</f>
        <v>1581.2769390000001</v>
      </c>
      <c r="J101" s="3">
        <f>1252.4+(2368.7-1613.5)+(-1.916172+(-3.624111--2.468655))+0-396.5--0.606645000000023</f>
        <v>1608.6350170000001</v>
      </c>
      <c r="K101" s="3">
        <f>1252+(2181.6-1419.9)+(-3.83112+(-6.675696--4.344894))+0-389.8--1.19278800000005</f>
        <v>1618.9308659999999</v>
      </c>
      <c r="L101" s="3">
        <f>1251.8+(1932.9-1238.8)+(-1.276836+(-1.971558--1.263576))+0-393--0.400860000000063</f>
        <v>1551.3160420000002</v>
      </c>
      <c r="M101" s="3">
        <f>1252.7+(1771.9-1015.3)+(0.638877+(0.903669-0.517803))+0-385.7-0.196706999999961</f>
        <v>1624.428036</v>
      </c>
      <c r="N101" s="3">
        <f>1249.6+(1367.4-461.6)+(1.274592+(1.394748-0.470832))+0-379.8-0.387396000000061</f>
        <v>1777.411112</v>
      </c>
      <c r="O101" s="3">
        <f>1250.5+(1762.5-747.8)+(-1.913265+(-2.696625--1.144134))+11.2-383.5--0.586755000000022</f>
        <v>1890.0209989999996</v>
      </c>
      <c r="P101" s="3">
        <f>1343.6+(1873.2-859.6)+(0+(0-0))+0-383.7-0</f>
        <v>1973.4999999999998</v>
      </c>
      <c r="Q101" s="3">
        <f>1562.1+(1687.7-794.7)+(0.796671+(0.860727-0.405297))+0-379.9-0.193748999999961</f>
        <v>2076.2583519999998</v>
      </c>
      <c r="R101" s="3">
        <f>1676.4+(1388.5-761.8)+(-0.854964+(-0.708135--0.388518))+0-373.7--0.190586999999962</f>
        <v>1928.4160060000002</v>
      </c>
      <c r="S101" s="3">
        <f>1736.1+(1484.9-794.9)+(-3.541644+(-3.029196--1.621596))+0-374.4--0.763775999999984</f>
        <v>2047.5145319999999</v>
      </c>
      <c r="T101" s="3">
        <f>1786.1+(1399.3-792.2)+(0.910911+(0.713643-0.404022))+0-383.4-0.195533999999961</f>
        <v>2010.8249979999996</v>
      </c>
      <c r="U101" s="3">
        <f>1813.6+(1324.9-672.1)+(-4.62468+(-3.378495--1.713855))+0-352--0.897599999999949</f>
        <v>2109.00828</v>
      </c>
      <c r="V101" s="3">
        <f>1766.4+(1442.7-787.6)+(0+(0-0))+0-382.4-0</f>
        <v>2039.1</v>
      </c>
      <c r="W101" s="3">
        <f>1730.4+(1735.8-960.9)+(-2.647512+(-2.655774--1.470177))+0-381.1--0.583083000000022</f>
        <v>2120.9499740000001</v>
      </c>
      <c r="X101" s="3">
        <f>1521.3+(2107.8-1252.8)+(-3.103452+(-4.299912--2.555712))+0-386.1--0.787643999999983</f>
        <v>1986.1399920000003</v>
      </c>
      <c r="Y101" s="3">
        <f>1505.2+(1751.8-1034.6)+(-1.535304+(-1.786836--1.055292))+0-365.3--0.372606000000058</f>
        <v>1855.2057580000001</v>
      </c>
      <c r="Z101" s="3">
        <f>1771.5+(1706.8-1225.7)+(-3.61386+(-3.481872--2.500428))+0-345.8--0.705431999999985</f>
        <v>1902.910128</v>
      </c>
      <c r="AA101" s="3">
        <f>1888+(1988-1477.2)+(-2.88864+(-3.04164--2.260116))+0-354.4--0.54223200000002</f>
        <v>2041.272068</v>
      </c>
      <c r="AB101" s="3">
        <f>1793.6+(2012.1-1460.9)+(-2.744208+(-3.078513--2.235177))+0-348.8--0.53366400000002</f>
        <v>1992.9461199999998</v>
      </c>
      <c r="AC101" s="3">
        <f>1432.9+(2334.9-1409.2)+(1.461558+(2.381598-1.437384))+0-380.2-0.387804000000061</f>
        <v>1980.4179680000004</v>
      </c>
      <c r="AD101">
        <v>2001.9</v>
      </c>
      <c r="AE101" s="3">
        <f>1884+(1874.8-1416)+(0+(0-0))+0-340.9-0</f>
        <v>2001.9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1381.2+(2459.9-1528.6)+(-0.704412+(-1.254549--0.779586))+0-379.1--0.193340999999962</f>
        <v>1932.4139659999998</v>
      </c>
      <c r="G102" s="3">
        <f>1277.9+(2356.2-1505.8)+(-1.303458+(-2.403324--1.535916))+0-387--0.394740000000062</f>
        <v>1739.5238740000002</v>
      </c>
      <c r="H102" s="3">
        <f>1277.4+(2312.2-1543.2)+(-1.302948+(-2.358444--1.574064))+0-389.8--0.397596000000062</f>
        <v>1654.9102679999999</v>
      </c>
      <c r="I102" s="3">
        <f>1252.1+(2448.7-1648.2)+(0.638571+(1.248837-0.840582))+0-387-0.197369999999961</f>
        <v>1666.4494559999994</v>
      </c>
      <c r="J102" s="3">
        <f>1248.9+(2206.6-1490)+(-1.910817+(-3.376098--2.2797))+0-390--0.596700000000023</f>
        <v>1573.089485</v>
      </c>
      <c r="K102" s="3">
        <f>1249.1+(2140.4-1421.6)+(-3.185205+(-5.45802--3.62508))+0-377.8--0.963389999999945</f>
        <v>1586.045245</v>
      </c>
      <c r="L102" s="3">
        <f>1249.2+(1934.1-1289.9)+(-3.822552+(-5.918346--3.947094))+0-384.6--1.17687600000004</f>
        <v>1504.1830719999998</v>
      </c>
      <c r="M102" s="3">
        <f>1248.9+(1794.8-1136.6)+(-0.636939+(-0.915348--0.579666))+0-383.5--0.195584999999961</f>
        <v>1522.8229640000002</v>
      </c>
      <c r="N102" s="3">
        <f>1249+(1661.6-936.8)+(-0.63699+(-0.847416--0.477768))+0-379.5--0.193544999999961</f>
        <v>1593.4869069999997</v>
      </c>
      <c r="O102" s="3">
        <f>1248.2+(1680.1-800.7)+(0+(0-0))+0-387.5-0</f>
        <v>1740.1</v>
      </c>
      <c r="P102" s="3">
        <f>1249.1+(1641.6-700.1)+(0+(0-0))+0-381-0</f>
        <v>1809.6</v>
      </c>
      <c r="Q102" s="3">
        <f>1401.8+(1338.1-532.2)+(-2.144754+(-2.047293--0.814266))+0-386.7--0.591651000000022</f>
        <v>1818.2138699999996</v>
      </c>
      <c r="R102" s="3">
        <f>1513.7+(1190.3-512.5)+(-0.771987+(-0.607053--0.261375))+0-389.6--0.19869599999996</f>
        <v>1800.9810309999998</v>
      </c>
      <c r="S102" s="3">
        <f>1560.5+(1343.1-654.5)+(-3.979275+(-3.424905--1.668975))+0-390.3--0.995264999999943</f>
        <v>1854.06006</v>
      </c>
      <c r="T102" s="3">
        <f>1553.5+(1415.8-684.1)+(0.792285+(0.722058-0.348891))+0-386.1-0.196910999999961</f>
        <v>1900.0685410000001</v>
      </c>
      <c r="U102" s="3">
        <f>1366.8+(1367.3-512.7)+(0.697068+(0.697323-0.261477))+0-390.3-0.19905299999996</f>
        <v>1832.0338609999994</v>
      </c>
      <c r="V102" s="3">
        <f>1323.8+(1458.3-532.7)+(-1.350276+(-1.487466--0.543354))+0-384.7--0.392394000000061</f>
        <v>1862.7980059999998</v>
      </c>
      <c r="W102" s="3">
        <f>1365.5+(1508.3-621.5)+(-2.089215+(-2.307699--0.950895))+0-387.8--0.593334000000022</f>
        <v>1861.6473150000002</v>
      </c>
      <c r="X102" s="3">
        <f>1411.7+(1503.7-684.9)+(-2.879868+(-3.067548--1.397196))+0-389.3--0.794171999999983</f>
        <v>1837.4439519999999</v>
      </c>
      <c r="Y102" s="3">
        <f>1497.7+(1143.2-486.9)+(-2.291481+(-1.749096--0.744957))+0-392.3--0.600219000000023</f>
        <v>1759.0045990000001</v>
      </c>
      <c r="Z102" s="3">
        <f>1576.3+(1029.1-440.2)+(0.803913+(0.524841-0.224502))+0-360.8-0.184007999999963</f>
        <v>1805.320244</v>
      </c>
      <c r="AA102" s="3">
        <f>1593.4+(1156.9-410.1)+(-2.437902+(-1.770057--0.627453))+0-357.2--0.546516000000021</f>
        <v>1979.9660100000006</v>
      </c>
      <c r="AB102" s="3">
        <f>1587.7+(1355.9-566.4)+(-1.619454+(-1.383018--0.577728))+0-356--0.363120000000057</f>
        <v>2019.1383760000003</v>
      </c>
      <c r="AC102" s="3">
        <f>1575.6+(1655-959.6)+(1.607112+(1.6881-0.978792))+0-390.3-0.398106000000062</f>
        <v>1882.6183140000001</v>
      </c>
      <c r="AD102">
        <v>2042.9999999999998</v>
      </c>
      <c r="AE102" s="3">
        <f>1593+(1222.7-419.5)+(0+(0-0))+0-353.2-0</f>
        <v>2042.9999999999998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1552+(1992.1-1223.3)+(-1.58304+(-2.031942--1.247766))+0-389.9--0.397698000000062</f>
        <v>1928.930482</v>
      </c>
      <c r="G103" s="3">
        <f>1398.1+(2298.1-1554.3)+(-0.713031+(-1.172031--0.792693))+0-387.8--0.197777999999961</f>
        <v>1753.2054089999997</v>
      </c>
      <c r="H103" s="3">
        <f>1324.8+(2249.4-1531.3)+(-2.702592+(-4.588776--3.123852))+0-391.4--0.798455999999983</f>
        <v>1648.13094</v>
      </c>
      <c r="I103" s="3">
        <f>1256.3+(1972.7-1242.6)+(-3.203565+(-5.030385--3.16863))+0-388.8--0.991439999999944</f>
        <v>1593.5261200000002</v>
      </c>
      <c r="J103" s="3">
        <f>1255.6+(1689.9-1052.6)+(1.280712+(1.723698-1.073652))+0-393.6-0.401472000000063</f>
        <v>1500.8292860000001</v>
      </c>
      <c r="K103" s="3">
        <f>1255.1+(1639.6-971.9)+(-3.200505+(-4.18098--2.478345))+0-394.4--1.00571999999994</f>
        <v>1524.5025799999996</v>
      </c>
      <c r="L103" s="3">
        <f>1254.9+(1883.8-1214.8)+(-0.639999+(-0.960738--0.619548))+0-389.4--0.19859399999996</f>
        <v>1533.7174049999999</v>
      </c>
      <c r="M103" s="3">
        <f>1253.9+(1598.4-929.3)+(-1.278978+(-1.630368--0.947886))+0-391.7--0.399534000000062</f>
        <v>1529.7380740000003</v>
      </c>
      <c r="N103" s="3">
        <f>1212.6+(1236.9-607.9)+(-1.236852+(-1.261638--0.620058))+0-390.1--0.397902000000062</f>
        <v>1450.0194700000002</v>
      </c>
      <c r="O103" s="3">
        <f>1234.2+(946.1-161.5)+(0.629442+(0.482511-0.082365))+0-392.1-0.19997099999996</f>
        <v>1627.5296170000001</v>
      </c>
      <c r="P103" s="3">
        <f>1250.2+(1127.2-219.6)+(-1.275204+(-1.149744--0.223992))+0-396.1--0.404022000000063</f>
        <v>1759.9030660000003</v>
      </c>
      <c r="Q103" s="3">
        <f>1248+(1186.1-290.7)+(0+(0-0))+0-393.9-0</f>
        <v>1749.4999999999995</v>
      </c>
      <c r="R103" s="3">
        <f>1251.2+(1115.2-259.8)+(1.914336+(1.706256-0.397494))+0-393.7-0.602361000000023</f>
        <v>1715.5207370000003</v>
      </c>
      <c r="S103" s="3">
        <f>1268.6+(1049.9-207.1)+(0+(0-0))+0-396.5-0</f>
        <v>1714.9</v>
      </c>
      <c r="T103" s="3">
        <f>1266+(1226.5-315.8)+(0.64566+(0.625515-0.161058))+0-387.7-0.197726999999961</f>
        <v>1789.91239</v>
      </c>
      <c r="U103" s="3">
        <f>1198.4+(1301.4-338.1)+(-3.667104+(-3.982284--1.034586))+0-388.8--1.18972800000004</f>
        <v>1767.4749260000003</v>
      </c>
      <c r="V103" s="3">
        <f>1229.1+(1221.6-295)+(1.880523+(1.869048-0.45135))+0-374.8-0.573444000000022</f>
        <v>1783.6247769999998</v>
      </c>
      <c r="W103" s="3">
        <f>1210+(1240.9-256.6)+(-3.0855+(-3.164295--0.65433))+0-383.4--0.977669999999944</f>
        <v>1806.2822050000002</v>
      </c>
      <c r="X103" s="3">
        <f>1271.2+(1183-283.8)+(-3.24156+(-3.01665--0.72369))+0-391.3--0.997814999999943</f>
        <v>1774.5632949999999</v>
      </c>
      <c r="Y103" s="3">
        <f>1374+(881.7-181.1)+(-1.40148+(-0.899334--0.184722))+0-389.7--0.397494000000062</f>
        <v>1683.1814019999997</v>
      </c>
      <c r="Z103" s="3">
        <f>1569.5+(1218.6-541.7)+(-1.60089+(-1.242972--0.552534))+0-365.7--0.373014000000058</f>
        <v>1878.7816859999998</v>
      </c>
      <c r="AA103" s="3">
        <f>1741.6+(1176.5-611.7)+(-3.552864+(-2.40006--1.247868))+0-364--0.742559999999984</f>
        <v>1938.4375039999998</v>
      </c>
      <c r="AB103" s="3">
        <f>1746.4+(1227.2-651.5)+(-1.781328+(-1.251744--0.66453))+0-387.8--0.395556000000062</f>
        <v>1932.3270140000004</v>
      </c>
      <c r="AC103" s="3">
        <f>1740.6+(1480.5-891.2)+(-2.663118+(-2.265165--1.363536))+0-388.7--0.594711000000022</f>
        <v>1938.2299639999997</v>
      </c>
      <c r="AD103">
        <v>1920.8999999999999</v>
      </c>
      <c r="AE103" s="3">
        <f>1747.6+(1149.4-575.8)+(0+(0-0))+0-400.3-0</f>
        <v>1920.8999999999999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1647+(2155.4-1407.2)+(-0.83997+(-1.099254--0.717672))+0-384.5--0.196094999999961</f>
        <v>2009.6745429999999</v>
      </c>
      <c r="G104" s="3">
        <f>1552.9+(2589.3-1973.9)+(-1.583958+(-2.641086--2.013378))+0-385--0.392700000000061</f>
        <v>1781.4810340000001</v>
      </c>
      <c r="H104" s="3">
        <f>1425.9+(2323.3-1747.6)+(1.454418+(2.369766-1.782552))+0-382.7-0.390354000000061</f>
        <v>1620.5512780000001</v>
      </c>
      <c r="I104" s="3">
        <f>1418.7+(2118.7-1545.6)+(-0.723537+(-1.080537--0.788256))+0-385.6--0.196655999999961</f>
        <v>1605.3808379999998</v>
      </c>
      <c r="J104" s="3">
        <f>1418.5+(2121.5-1563.3)+(-2.170305+(-3.245895--2.391849))+0-384--0.587520000000022</f>
        <v>1590.2631690000001</v>
      </c>
      <c r="K104" s="3">
        <f>1418.7+(2118.6-1524.1)+(-5.788296+(-8.643888--6.218328))+0-381.3--1.55570399999997</f>
        <v>1625.2418479999999</v>
      </c>
      <c r="L104" s="3">
        <f>1374.1+(2202.3-1564)+(-2.803164+(-4.492692--3.19056))+0-381.4--0.778055999999983</f>
        <v>1627.6727600000002</v>
      </c>
      <c r="M104" s="3">
        <f>1284.7+(1921.6-1200.1)+(1.965591+(2.940048-1.836153))+0-394.3-0.603279000000023</f>
        <v>1614.3662070000003</v>
      </c>
      <c r="N104" s="3">
        <f>1268.9+(1764.2-920.8)+(0.647139+(0.899742-0.469608))+0-393.5-0.20068499999996</f>
        <v>1719.676588</v>
      </c>
      <c r="O104" s="3">
        <f>1325.5+(1532.9-586.9)+(0.676005+(0.781779-0.299319))+0-395.2-0.20155199999996</f>
        <v>1877.2569129999999</v>
      </c>
      <c r="P104" s="3">
        <f>1497.8+(1201.2-396.4)+(-1.527756+(-1.225224--0.404328))+0-392.1--0.399942000000063</f>
        <v>1908.5512899999999</v>
      </c>
      <c r="Q104" s="3">
        <f>1622.6+(971.1-176.5)+(-0.827526+(-0.495261--0.090015))+0-392.3--0.20007299999996</f>
        <v>2023.867301</v>
      </c>
      <c r="R104" s="3">
        <f>1890.6+(911.5-317.4)+(-1.928412+(-0.92973--0.323748))+0-398.1--0.406062000000063</f>
        <v>2084.4716680000001</v>
      </c>
      <c r="S104" s="3">
        <f>1931.4+(1129.4-600.6)+(-0.985014+(-0.575994--0.306306))+0-380.8--0.194207999999961</f>
        <v>2078.3395059999998</v>
      </c>
      <c r="T104" s="3">
        <f>1925.8+(1108.8-578.8)+(-2.946474+(-1.696464--0.885564))+0-374--0.572220000000022</f>
        <v>2078.6148460000004</v>
      </c>
      <c r="U104" s="3">
        <f>1911.1+(1194.6-642)+(0+(0-0))+0-374.7-0</f>
        <v>2089</v>
      </c>
      <c r="V104" s="3">
        <f>1846.9+(1215.6-617.6)+(-1.883838+(-1.239912--0.629952))+0-370.5--0.377910000000059</f>
        <v>2072.2841120000003</v>
      </c>
      <c r="W104" s="3">
        <f>1881.5+(1422.1-848.7)+(-4.797825+(-3.626355--2.164185))+0-372.1--0.948854999999946</f>
        <v>2077.4888599999999</v>
      </c>
      <c r="X104" s="3">
        <f>1787.4+(1776.4-1158.8)+(-4.55787+(-4.52982--2.95494))+0-373.8--0.953189999999946</f>
        <v>2026.0204399999998</v>
      </c>
      <c r="Y104" s="3">
        <f>1801.7+(1480.5-1018.8)+(-5.513202+(-4.53033--3.117528))+0-369.3--1.13005800000004</f>
        <v>1888.3040540000002</v>
      </c>
      <c r="Z104" s="3">
        <f>1968.3+(1645.1-1276)+(2.007666+(1.678002-1.30152))+0-351.3-0.358326000000056</f>
        <v>1988.1258219999997</v>
      </c>
      <c r="AA104" s="3">
        <f>2052.4+(1737.5-1295.6)+(-3.140172+(-2.658375--1.982268))+0-353.9--0.54146700000002</f>
        <v>2137.125188</v>
      </c>
      <c r="AB104" s="3">
        <f>2050.1+(2107.7-1618.1)+(-2.091102+(-2.149854--1.650462))+0-350.7--0.357714000000056</f>
        <v>2186.7672200000002</v>
      </c>
      <c r="AC104" s="3">
        <f>2051.1+(2261-1778.3)+(1.046061+(1.15311-0.906933))+0-376.9-0.192218999999962</f>
        <v>2158.0000190000001</v>
      </c>
      <c r="AD104">
        <v>2191.9000000000005</v>
      </c>
      <c r="AE104" s="3">
        <f>2046+(1993.9-1495.3)+(0+(0-0))+0-352.7-0</f>
        <v>2191.9000000000005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2018.5+(2563.7-2172.5)+(0+(0-0))+0-381.9-0</f>
        <v>2027.7999999999997</v>
      </c>
      <c r="G105" s="3">
        <f>1807.3+(2296.4-1888.5)+(-0.921723+(-1.171164--0.963135))+0-383.7--0.195686999999961</f>
        <v>1830.5659349999999</v>
      </c>
      <c r="H105" s="3">
        <f>1713.5+(2511.4-1986.6)+(-2.621655+(-3.842442--3.039498))+0-394.9--0.604197000000023</f>
        <v>1840.5795980000003</v>
      </c>
      <c r="I105" s="3">
        <f>1630.2+(2520.7-1968.6)+(-2.494206+(-3.856671--3.011958))+0-391--0.598230000000023</f>
        <v>1788.5593110000004</v>
      </c>
      <c r="J105" s="3">
        <f>1520.3+(2271.8-1761.2)+(-3.876765+(-5.79309--4.49106))+0-390.9--0.996794999999943</f>
        <v>1635.8180000000002</v>
      </c>
      <c r="K105" s="3">
        <f>1520.6+(2230.4-1699.9)+(-3.87753+(-5.68752--4.334745))+0-391.7--0.998834999999943</f>
        <v>1655.1685299999997</v>
      </c>
      <c r="L105" s="3">
        <f>1520.9+(1746.4-1305.9)+(-1.551318+(-1.781328--1.332018))+0-389.8--0.397596000000062</f>
        <v>1569.9969680000002</v>
      </c>
      <c r="M105" s="3">
        <f>1522.4+(1568.5-1096.2)+(-0.776424+(-0.799935--0.559062))+0-389.6--0.19869599999996</f>
        <v>1604.281399</v>
      </c>
      <c r="N105" s="3">
        <f>1521.4+(1499.3-872.2)+(0.775914+(0.764643-0.444822))+0-396.2-0.20206199999996</f>
        <v>1753.1936729999998</v>
      </c>
      <c r="O105" s="3">
        <f>1492.3+(1788.3-975.6)+(0+(0-0))+0-380.8-0</f>
        <v>1924.2</v>
      </c>
      <c r="P105" s="3">
        <f>1526.6+(1551.8-695.7)+(1.557132+(1.582836-0.709614))+0-387-0.394740000000062</f>
        <v>1997.7356139999999</v>
      </c>
      <c r="Q105" s="3">
        <f>1538.4+(1338.5-467.3)+(-0.784584+(-0.682635--0.238323))+0-384--0.195839999999961</f>
        <v>2024.5669440000001</v>
      </c>
      <c r="R105" s="3">
        <f>1688.3+(1093.4-348.2)+(-1.722066+(-1.115268--0.355164))+0-380.2--0.387804000000061</f>
        <v>2051.2056339999999</v>
      </c>
      <c r="S105" s="3">
        <f>1736.3+(1276-569.2)+(-1.771026+(-1.30152--0.580584))+0-381.4--0.389028000000061</f>
        <v>2059.5970659999998</v>
      </c>
      <c r="T105" s="3">
        <f>1715.1+(1191.6-458.8)+(0+(0-0))+0-414.9-0</f>
        <v>2032.9999999999995</v>
      </c>
      <c r="U105" s="3">
        <f>1668.5+(1174.2-392)+(0+(0-0))+0-396-0</f>
        <v>2054.6999999999998</v>
      </c>
      <c r="V105" s="3">
        <f>1653.2+(1115.5-313.4)+(0.843132+(0.568905-0.159834))+0-386-0.196859999999961</f>
        <v>2070.3553430000002</v>
      </c>
      <c r="W105" s="3">
        <f>1675.3+(1331.4-619.9)+(-3.417612+(-2.716056--1.264596))+0-344.3--0.702371999999985</f>
        <v>2038.3333000000002</v>
      </c>
      <c r="X105" s="3">
        <f>1696.5+(1916.9-1231.5)+(-6.056505+(-6.843333--4.396455))+0-344.1--1.228437</f>
        <v>2030.525054</v>
      </c>
      <c r="Y105" s="3">
        <f>1765.2+(1060.8-758.5)+(-4.50126+(-2.70504--1.934175))+0-353.9--0.902444999999949</f>
        <v>1709.2303199999999</v>
      </c>
      <c r="Z105" s="3">
        <f>1956.4+(1534-1212.6)+(-0.997764+(-0.78234--0.618426))+0-346.2--0.176561999999965</f>
        <v>1930.6148840000001</v>
      </c>
      <c r="AA105" s="3">
        <f>2092.2+(1620.4-1250.4)+(-4.268088+(-3.305616--2.550816))+0-359.7--0.733787999999984</f>
        <v>2098.2109</v>
      </c>
      <c r="AB105" s="3">
        <f>2130.1+(1857.4-1544.4)+(-3.259053+(-2.841822--2.362932))+0-337.9--0.51698700000002</f>
        <v>2101.9790439999997</v>
      </c>
      <c r="AC105" s="3">
        <f>2037.3+(1982.6-1605.2)+(1.039023+(1.011126-0.818652))+0-340-0.173399999999965</f>
        <v>2075.7580969999999</v>
      </c>
      <c r="AD105">
        <v>2139.5000000000005</v>
      </c>
      <c r="AE105" s="3">
        <f>2147+(1608.8-1239.1)+(0+(0-0))+0-377.2-0</f>
        <v>2139.5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1968.5+(2216.2-1894.2)+(0+(0-0))+0-345.4-0</f>
        <v>1945.1</v>
      </c>
      <c r="G106" s="3">
        <f>1732.4+(2405.4-1976.6)+(-3.534096+(-4.907016--4.032264))+0-358.3--0.730931999999984</f>
        <v>1799.2220840000002</v>
      </c>
      <c r="H106" s="3">
        <f>1551.8+(2332.1-1785.5)+(0.791418+(1.189371-0.910605))+0-356.8-0.181967999999964</f>
        <v>1742.488216</v>
      </c>
      <c r="I106" s="3">
        <f>1549.9+(2359.1-1838.9)+(-3.161796+(-4.812564--3.751356))+0-357--0.728279999999984</f>
        <v>1709.605276</v>
      </c>
      <c r="J106" s="3">
        <f>1548.3+(2134.9-1734.9)+(0+(0-0))+0-359.2-0</f>
        <v>1589.1</v>
      </c>
      <c r="K106" s="3">
        <f>1547.5+(2015-1667.8)+(-3.946125+(-5.13825--4.25289))+0-358.3--0.913664999999948</f>
        <v>1532.4821800000002</v>
      </c>
      <c r="L106" s="3">
        <f>1546.3+(1366.4-1076.2)+(-3.943065+(-3.48432--2.74431))+0-357.4--0.911369999999948</f>
        <v>1475.328295</v>
      </c>
      <c r="M106" s="3">
        <f>1546.9+(1217.6-810.3)+(0+(0-0))+0-363.8-0</f>
        <v>1590.4</v>
      </c>
      <c r="N106" s="3">
        <f>1546.9+(1044.2-504.8)+(2.366757+(1.597626-0.772344))+0-364.3-0.557379000000021</f>
        <v>1724.6346600000002</v>
      </c>
      <c r="O106" s="3">
        <f>1546.8+(1329-639.6)+(1.577736+(1.35558-0.652392))+0-364.8-0.372096000000058</f>
        <v>1873.3088279999999</v>
      </c>
      <c r="P106" s="3">
        <f>1534.6+(1501.5-722.1)+(2.347938+(2.297295-1.104813))+0-361.1-0.552483000000021</f>
        <v>1955.887937</v>
      </c>
      <c r="Q106" s="3">
        <f>1565.1+(1008.1-184.5)+(2.394603+(1.542393-0.282285))+0-355.8-0.544374000000021</f>
        <v>2036.0103369999999</v>
      </c>
      <c r="R106" s="3">
        <f>1732.4+(911.5-248.9)+(-0.883524+(-0.464865--0.126939))+0-352.3--0.179672999999964</f>
        <v>2041.6582229999999</v>
      </c>
      <c r="S106" s="3">
        <f>1690.7+(1050.7-387.2)+(-3.449028+(-2.143428--0.789888))+0-345.8--0.705431999999985</f>
        <v>2004.3028639999998</v>
      </c>
      <c r="T106" s="3">
        <f>1486.8+(1148.5-275.1)+(2.274804+(1.757205-0.420903))+0-349-0.53397000000002</f>
        <v>2014.2771359999997</v>
      </c>
      <c r="U106" s="3">
        <f>1520.1+(1145.1-305.4)+(-1.550502+(-1.168002--0.311508))+0-303.8--0.309876000000048</f>
        <v>2053.9028799999996</v>
      </c>
      <c r="V106" s="3">
        <f>1588.6+(1247.4-338.8)+(-3.240744+(-2.544696--0.691152))+0-339.3--0.692171999999985</f>
        <v>2153.4978839999999</v>
      </c>
      <c r="W106" s="3">
        <f>1662.6+(1305.7-489.9)+(-3.391704+(-2.663628--0.999396))+0-337--0.687479999999985</f>
        <v>2137.0315439999999</v>
      </c>
      <c r="X106" s="3">
        <f>1662.5+(1783.3-1013.9)+(-3.3915+(-3.637932--2.068356))+0-341.4--0.696455999999985</f>
        <v>2086.2353800000001</v>
      </c>
      <c r="Y106" s="3">
        <f>1690.1+(1466.9-877.2)+(-3.447804+(-2.992476--1.789488))+0-340.6--0.694823999999985</f>
        <v>1935.2440320000003</v>
      </c>
      <c r="Z106" s="3">
        <f>1825.2+(1821.1-1280.4)+(-0.930852+(-0.928761--0.653004))+0-344.4--0.175643999999965</f>
        <v>2020.4690349999996</v>
      </c>
      <c r="AA106" s="3">
        <f>2113.2+(1737-1394.5)+(-3.233196+(-2.65761--2.133585))+0-349.8--0.53519400000002</f>
        <v>2102.6779729999998</v>
      </c>
      <c r="AB106" s="3">
        <f>2123.8+(2213.5-1792)+(-4.332552+(-4.51554--3.65568))+0-350.4--0.714815999999985</f>
        <v>2190.4224040000004</v>
      </c>
      <c r="AC106" s="3">
        <f>2123.6+(2609.6-2262.6)+(0+(0-0))+0-354.4-0</f>
        <v>2116.1999999999998</v>
      </c>
      <c r="AD106">
        <v>2138.4</v>
      </c>
      <c r="AE106" s="3">
        <f>2135+(1790.1-1437.5)+(0+(0-0))+0-349.2-0</f>
        <v>2138.4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2084.8+(2573.4-2369.1)+(-3.189744+(-3.937302--3.624723))+0-375.6--0.574668000000022</f>
        <v>1910.5723450000003</v>
      </c>
      <c r="G107" s="3">
        <f>1999+(2329.8-2205.7)+(-7.13643+(-8.317386--7.874349))+0-390.8--1.39515600000001</f>
        <v>1726.1156890000004</v>
      </c>
      <c r="H107" s="3">
        <f>1869.8+(2127.5-1984.5)+(-5.721588+(-6.51015--6.07257))+0-366.5--1.12149000000004</f>
        <v>1641.262322</v>
      </c>
      <c r="I107" s="3">
        <f>1779.4+(2225.7-1925.5)+(-4.53747+(-5.675535--4.910025))+0-373.6--0.952679999999946</f>
        <v>1701.6496999999999</v>
      </c>
      <c r="J107" s="3">
        <f>1545.9+(2227-1755.1)+(2.365227+(3.40731-2.685303))+0-384.6-0.588438000000022</f>
        <v>1635.6987960000004</v>
      </c>
      <c r="K107" s="3">
        <f>1544.5+(2035.5-1566.1)+(-2.363085+(-3.114315--2.396133))+0-382--0.584460000000022</f>
        <v>1629.4031930000001</v>
      </c>
      <c r="L107" s="3">
        <f>1544.5+(1771.5-1443.2)+(-3.15078+(-3.61386--2.944128))+0-378.1--0.771323999999984</f>
        <v>1491.6508120000001</v>
      </c>
      <c r="M107" s="3">
        <f>1544.7+(1503.2-989.2)+(0+(0-0))+0-384.1-0</f>
        <v>1674.6</v>
      </c>
      <c r="N107" s="3">
        <f>1546.5+(1604.9-945.5)+(-2.366145+(-2.455497--1.446615))+0-374.4--0.572832000000022</f>
        <v>1828.697805</v>
      </c>
      <c r="O107" s="3">
        <f>1544.2+(1459.3-791.8)+(0.787542+(0.744243-0.403818))+0-392-0.19991999999996</f>
        <v>1820.6280469999997</v>
      </c>
      <c r="P107" s="3">
        <f>1545.2+(1327.2-528.5)+(0+(0-0))+0-380.7-0</f>
        <v>1963.2</v>
      </c>
      <c r="Q107" s="3">
        <f>1546+(1474.7-604.1)+(-1.57692+(-1.504194--0.616182))+0-386.2--0.393924000000062</f>
        <v>2028.328992</v>
      </c>
      <c r="R107" s="3">
        <f>1691.5+(1372.7-614.9)+(0+(0-0))+0-386.7-0</f>
        <v>2062.6000000000004</v>
      </c>
      <c r="S107" s="3">
        <f>1740.8+(1427.7-762.4)+(-1.775616+(-1.456254--0.777648))+0-378.2--0.38576400000006</f>
        <v>2025.8315420000001</v>
      </c>
      <c r="T107" s="3">
        <f>1837.9+(1126.3-507.1)+(-1.874658+(-1.148826--0.517242))+0-393.9--0.401778000000063</f>
        <v>2061.0955359999998</v>
      </c>
      <c r="U107" s="3">
        <f>1803.7+(1074.1-447.9)+(-2.759661+(-1.643373--0.685287))+0-390--0.596700000000023</f>
        <v>2036.778953</v>
      </c>
      <c r="V107" s="3">
        <f>1784.3+(1144.3-477.6)+(-0.909993+(-0.583593--0.243576))+0-383.6--0.195635999999961</f>
        <v>2066.3456259999998</v>
      </c>
      <c r="W107" s="3">
        <f>1770.5+(1350.5-588.2)+(-2.708865+(-2.066265--0.899946))+0-378.4--0.578952000000022</f>
        <v>2151.1037679999999</v>
      </c>
      <c r="X107" s="3">
        <f>1666+(1447.7-713.4)+(-4.2483+(-3.691635--1.81917))+0-387.4--0.987869999999944</f>
        <v>2007.7671049999999</v>
      </c>
      <c r="Y107" s="3">
        <f>1724.8+(1030-640.1)+(-2.638944+(-1.5759--0.979353))+0-370.9--0.567477000000021</f>
        <v>1741.1319859999999</v>
      </c>
      <c r="Z107" s="3">
        <f>1984.1+(1228-943.8)+(-2.023782+(-1.25256--0.962676))+0-359--0.366180000000057</f>
        <v>1907.3525140000002</v>
      </c>
      <c r="AA107" s="3">
        <f>2086.1+(1346.2-955.6)+(-2.127822+(-1.373124--0.974712))+0-362.8--0.370056000000058</f>
        <v>2111.7438219999999</v>
      </c>
      <c r="AB107" s="3">
        <f>2124.3+(1655.2-1309.1)+(-4.333572+(-3.376608--2.670564))+0-376.2--0.767447999999984</f>
        <v>2089.9278320000008</v>
      </c>
      <c r="AC107" s="3">
        <f>2123.8+(1814.8-1559.1)+(-2.166276+(-1.851096--1.590282))+0-364.2--0.371484000000058</f>
        <v>2013.2443939999998</v>
      </c>
      <c r="AD107">
        <v>2166.9999999999995</v>
      </c>
      <c r="AE107" s="3">
        <f>2143+(1407.2-1026.8)+(0+(0-0))+0-356.4-0</f>
        <v>2167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2095.7+(2386.9-2082.9)+(-3.206421+(-3.651957--3.186837))+0-386--0.590580000000022</f>
        <v>2010.6190389999997</v>
      </c>
      <c r="G108" s="3">
        <f>2019.4+(2379.9-2191)+(-3.089682+(-3.641247--3.35223))+0-386.3--0.591039000000022</f>
        <v>1819.2123400000003</v>
      </c>
      <c r="H108" s="3">
        <f>1919.6+(2289.1-2089.2)+(0+(0-0))+0-388.7-0</f>
        <v>1730.8</v>
      </c>
      <c r="I108" s="3">
        <f>1739.8+(1989.8-1734.2)+(-3.549192+(-4.059192--3.537768))+0-383.1--0.781523999999983</f>
        <v>1609.0109079999997</v>
      </c>
      <c r="J108" s="3">
        <f>1648.7+(1823.5-1504.9)+(-3.363348+(-3.71994--3.069996))+0-386.8--0.789071999999983</f>
        <v>1577.2757799999999</v>
      </c>
      <c r="K108" s="3">
        <f>1557.4+(1600.8-1199.1)+(-3.177096+(-3.265632--2.446164))+0-391.7--0.799067999999983</f>
        <v>1564.2025040000001</v>
      </c>
      <c r="L108" s="3">
        <f>1552.1+(1379.1-1031.8)+(-3.166284+(-2.813364--2.104872))+0-376.9--0.768875999999983</f>
        <v>1519.3941</v>
      </c>
      <c r="M108" s="3">
        <f>1551.9+(921.9-517.8)+(2.374407+(1.410507-0.792234))+0-352.6-0.53947800000002</f>
        <v>1605.853202</v>
      </c>
      <c r="N108" s="3">
        <f>1551+(795.3-201.7)+(1.58202+(0.811206-0.205734))+0-349.7-0.356694000000056</f>
        <v>1796.7307979999998</v>
      </c>
      <c r="O108" s="3">
        <f>1549.1+(839.6-159)+(0+(0-0))+0-350.6-0</f>
        <v>1879.1</v>
      </c>
      <c r="P108" s="3">
        <f>1552.4+(948.7-301.2)+(0.791724+(0.483837-0.153612))+0-350.8-0.178907999999964</f>
        <v>1850.0430410000001</v>
      </c>
      <c r="Q108" s="3">
        <f>1591.6+(898.2-227.9)+(0+(0-0))+0-348.8-0</f>
        <v>1913.1000000000001</v>
      </c>
      <c r="R108" s="3">
        <f>1642.4+(1050.9-306.5)+(0.837624+(0.535959-0.156315))+0-348-0.177479999999965</f>
        <v>2039.839788</v>
      </c>
      <c r="S108" s="3">
        <f>1673.8+(1167.9-450.5)+(1.707276+(1.191258-0.45951))+0-339.9-0.346698000000054</f>
        <v>2053.3923259999997</v>
      </c>
      <c r="T108" s="3">
        <f>1845.7+(893.9-357)+(-1.882614+(-0.911778--0.36414))+0-331--0.337620000000053</f>
        <v>2049.507368</v>
      </c>
      <c r="U108" s="3">
        <f>1856.3+(931.1-415)+(1.893426+(0.949722-0.4233))+0-351-0.358020000000056</f>
        <v>2023.461828</v>
      </c>
      <c r="V108" s="3">
        <f>1852.5+(1032.2-528)+(-4.723875+(-2.63211--1.3464))+0-353--0.900149999999949</f>
        <v>1998.590565</v>
      </c>
      <c r="W108" s="3">
        <f>1850.5+(1266.9-770.5)+(-5.66253+(-3.876714--2.35773))+0-338.3--1.03519800000004</f>
        <v>2002.4536840000003</v>
      </c>
      <c r="X108" s="3">
        <f>1726.7+(1651.9-1094.9)+(-5.283702+(-5.054814--3.350394))+0-341.3--1.04437800000004</f>
        <v>1936.4562559999997</v>
      </c>
      <c r="Y108" s="3">
        <f>1805.4+(867.3-450.3)+(-1.841508+(-0.884646--0.459306))+0-348.8--0.355776000000056</f>
        <v>1871.688928</v>
      </c>
      <c r="Z108" s="3">
        <f>1894.6+(925.2-543.8)+(-2.898738+(-1.415556--0.832014))+0-355.4--0.543762000000021</f>
        <v>1917.6614819999998</v>
      </c>
      <c r="AA108" s="3">
        <f>2024.9+(1456-963.5)+(-5.163495+(-3.7128--2.456925))+0-355.4--0.906269999999948</f>
        <v>2156.4868999999999</v>
      </c>
      <c r="AB108" s="3">
        <f>2070.4+(1556.4-1198.3)+(-2.111808+(-1.587528--1.222266))+0-352.3--0.359346000000056</f>
        <v>2074.0822760000001</v>
      </c>
      <c r="AC108" s="3">
        <f>2067.7+(1778.7-1468.9)+(4.218108+(3.628548-2.996556))+0-347.6-0.709103999999985</f>
        <v>2034.0409960000002</v>
      </c>
      <c r="AD108">
        <v>2175.6000000000004</v>
      </c>
      <c r="AE108" s="3">
        <f>2036+(1690.8-1196.6)+(0+(0-0))+0-354.6-0</f>
        <v>2175.6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2027.7+(2077.8-1806.8)+(-2.068254+(-2.119356--1.842936))+0-329.7--0.336294000000053</f>
        <v>1966.9916200000002</v>
      </c>
      <c r="G109" s="3">
        <f>1924.7+(2071.5-1789.4)+(0+(0-0))+0-373.3-0</f>
        <v>1833.5000000000002</v>
      </c>
      <c r="H109" s="3">
        <f>1791.9+(2098.6-1735.9)+(-1.827738+(-2.140572--1.770618))+0-391.3--0.399126000000062</f>
        <v>1761.5014339999998</v>
      </c>
      <c r="I109" s="3">
        <f>1561.1+(2057.2-1547.7)+(0+(0-0))+0-395.4-0</f>
        <v>1675.1999999999994</v>
      </c>
      <c r="J109" s="3">
        <f>1526.3+(2072.9-1520)+(0+(0-0))+0-399-0</f>
        <v>1680.1999999999998</v>
      </c>
      <c r="K109" s="3">
        <f>1526+(2057.4-1521.7)+(-3.8913+(-5.24637--3.880335))+0-394--1.00469999999994</f>
        <v>1663.447365</v>
      </c>
      <c r="L109" s="3">
        <f>1526.3+(1849.3-1426.1)+(-1.556826+(-1.886286--1.454622))+0-384.5--0.392190000000061</f>
        <v>1563.4037000000001</v>
      </c>
      <c r="M109" s="3">
        <f>1525.6+(1413.2-1043.1)+(1.556112+(1.441464-1.063962))+0-369.3-0.376686000000059</f>
        <v>1527.9569280000001</v>
      </c>
      <c r="N109" s="3">
        <f>1524.4+(1356.9-764.3)+(0.777444+(0.692019-0.389793))+0-385.7-0.196706999999961</f>
        <v>1732.182963</v>
      </c>
      <c r="O109" s="3">
        <f>1524.4+(1585.7-794)+(1.554888+(1.617414-0.80988))+0-395.3-0.403206000000063</f>
        <v>1922.7592160000006</v>
      </c>
      <c r="P109" s="3">
        <f>1525+(1395.9-600.3)+(0.77775+(0.711909-0.306153))+0-380-0.193799999999961</f>
        <v>1941.5897060000002</v>
      </c>
      <c r="Q109" s="3">
        <f>1524.4+(1269.5-469.4)+(1.554888+(1.29489-0.478788))+0-392.4-0.400248000000063</f>
        <v>1934.0707419999997</v>
      </c>
      <c r="R109" s="3">
        <f>1533.8+(1240.9-414.4)+(0+(0-0))+0-392.4-0</f>
        <v>1967.9</v>
      </c>
      <c r="S109" s="3">
        <f>1679.7+(1134.6-470)+(0+(0-0))+0-374.5-0</f>
        <v>1969.8000000000002</v>
      </c>
      <c r="T109" s="3">
        <f>1799.3+(1030.6-512.9)+(-0.917643+(-0.525606--0.261579))+0-365.8--0.186557999999963</f>
        <v>1950.204888</v>
      </c>
      <c r="U109" s="3">
        <f>1773.9+(1076.9-483.6)+(-1.809378+(-1.098438--0.493272))+0-370.5--0.377910000000059</f>
        <v>1994.6633660000002</v>
      </c>
      <c r="V109" s="3">
        <f>1749+(1080.9-488.2)+(0+(0-0))+0-393.7-0</f>
        <v>1947.9999999999998</v>
      </c>
      <c r="W109" s="3">
        <f>1761.4+(1256.2-569.1)+(-1.796628+(-1.281324--0.580482))+0-397.6--0.405552000000063</f>
        <v>2048.8080820000005</v>
      </c>
      <c r="X109" s="3">
        <f>1615+(1841.7-1106.9)+(0+(0-0))+0-399-0</f>
        <v>1950.8000000000002</v>
      </c>
      <c r="Y109" s="3">
        <f>1473.3+(1716.1-1049.4)+(-3.756915+(-4.376055--2.67597))+0-379.1--0.966704999999945</f>
        <v>1756.4097050000003</v>
      </c>
      <c r="Z109" s="3">
        <f>1819.9+(1885.4-1455.1)+(0.928149+(0.961554-0.742101))+0-368.9-0.188138999999963</f>
        <v>1882.2594630000003</v>
      </c>
      <c r="AA109" s="3">
        <f>2200.5+(1855.9-1630.9)+(-2.24451+(-1.893018--1.663518))+0-380.9--0.388518000000061</f>
        <v>2042.514508</v>
      </c>
      <c r="AB109" s="3">
        <f>2243.9+(2228.8-2063.8)+(0+(0-0))+0-375.3-0</f>
        <v>2033.6000000000001</v>
      </c>
      <c r="AC109" s="3">
        <f>2241.3+(2394-2246.1)+(-2.286126+(-2.44188--2.291022))+3-376.8--0.38433600000006</f>
        <v>2013.3473520000005</v>
      </c>
      <c r="AD109">
        <v>2077</v>
      </c>
      <c r="AE109" s="3">
        <f>2226+(1925.8-1684)+(0+(0-0))+0-390.8-0</f>
        <v>2077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2238.5+(2612.8-2527.1)+(-4.56654+(-5.330112--5.155284))+0-374.9--0.764795999999984</f>
        <v>1945.3234280000001</v>
      </c>
      <c r="G110" s="3">
        <f>2105.9+(2425.7-2354.7)+(-3.222027+(-3.711321--3.602691))+0-382.2--0.584766000000022</f>
        <v>1791.954109</v>
      </c>
      <c r="H110" s="3">
        <f>1891.6+(2277-2079.1)+(-2.894148+(-3.48381--3.181023))+0-388.2--0.593946000000022</f>
        <v>1698.697011</v>
      </c>
      <c r="I110" s="3">
        <f>1777.1+(2312.4-2046.1)+(-4.531605+(-5.89662--5.217555))+0-390.7--0.996284999999943</f>
        <v>1648.4856150000001</v>
      </c>
      <c r="J110" s="3">
        <f>1762.4+(2149.5-1897.4)+(-0.898824+(-1.096245--0.967674))+0-387.8--0.197777999999961</f>
        <v>1625.8703829999999</v>
      </c>
      <c r="K110" s="3">
        <f>1542.6+(2125.3-1693.9)+(-2.360178+(-3.251709--2.591667))+0-383--0.585990000000022</f>
        <v>1588.5657699999999</v>
      </c>
      <c r="L110" s="3">
        <f>1527.1+(1567-1215.1)+(-3.115284+(-3.19668--2.478804))+0-396--0.807839999999983</f>
        <v>1479.97468</v>
      </c>
      <c r="M110" s="3">
        <f>1526.7+(1419.8-1049)+(-1.557234+(-1.448196--1.06998))+0-395.1--0.403002000000063</f>
        <v>1500.8675520000002</v>
      </c>
      <c r="N110" s="3">
        <f>1476.6+(1380.8-859)+(0.753066+(0.704208-0.43809))+0-386.1-0.196910999999961</f>
        <v>1613.122273</v>
      </c>
      <c r="O110" s="3">
        <f>1472.8+(1376.5-751.7)+(0+(0-0))+0-388-0</f>
        <v>1709.6</v>
      </c>
      <c r="P110" s="3">
        <f>1456.1+(1507.3-799.2)+(1.485222+(1.537446-0.815184))+0-380.2-0.387804000000061</f>
        <v>1785.8196799999998</v>
      </c>
      <c r="Q110" s="3">
        <f>1490.8+(1403.5-747)+(1.520616+(1.43157-0.76194))+0-364.9-0.372198000000058</f>
        <v>1784.2180480000002</v>
      </c>
      <c r="R110" s="3">
        <f>1528.6+(1594.7-883.1)+(0.779586+(0.813297-0.450381))+0-370-0.188699999999962</f>
        <v>1871.153802</v>
      </c>
      <c r="S110" s="3">
        <f>1537.1+(1725.8-998.7)+(0+(0-0))+0-374.3-0</f>
        <v>1889.8999999999999</v>
      </c>
      <c r="T110" s="3">
        <f>1601.4+(1847.7-1246.2)+(-1.633428+(-1.884654--1.271124))+0-376.7--0.38423400000006</f>
        <v>1824.337276</v>
      </c>
      <c r="U110" s="3">
        <f>1565.8+(1836-1233.1)+(-2.395674+(-2.80908--1.886643))+0-388.1--0.593793000000022</f>
        <v>1777.8756819999999</v>
      </c>
      <c r="V110" s="3">
        <f>1608.3+(1955.9-1352.5)+(0+(0-0))+0-385.8-0</f>
        <v>1825.8999999999999</v>
      </c>
      <c r="W110" s="3">
        <f>1601.5+(2035-1427.4)+(-0.816765+(-1.03785--0.727974))+0-399--0.20348999999996</f>
        <v>1809.1768489999999</v>
      </c>
      <c r="X110" s="3">
        <f>1586.2+(2142.6-1559.6)+(-4.04481+(-5.46363--3.97698))+0-391.3--0.997814999999943</f>
        <v>1773.3663549999997</v>
      </c>
      <c r="Y110" s="3">
        <f>1659.6+(1821.5-1434.2)+(-3.385584+(-3.71586--2.925768))+0-388.6--0.792743999999983</f>
        <v>1654.917068</v>
      </c>
      <c r="Z110" s="3">
        <f>1843.5+(2161.3-1810.2)+(0.940185+(1.102263-0.923202))+0-397.9-0.20292899999996</f>
        <v>1797.6163170000004</v>
      </c>
      <c r="AA110" s="3">
        <f>2108.9+(2330.9-2064.3)+(-5.377695+(-5.943795--5.263965))+0-394.2--1.00520999999994</f>
        <v>1976.2476849999998</v>
      </c>
      <c r="AB110" s="3">
        <f>2104.4+(2249.1-1967.4)+(-4.292976+(-4.588164--4.013496))+0-389.3--0.794171999999983</f>
        <v>1992.7265279999999</v>
      </c>
      <c r="AC110" s="3">
        <f>2104.8+(2410-2145)+(-1.073448+(-1.2291--1.09395))+0-377.2--0.192371999999962</f>
        <v>1991.5837739999999</v>
      </c>
      <c r="AD110">
        <v>2020.9999999999995</v>
      </c>
      <c r="AE110" s="3">
        <f>2117+(2301.4-2037.3)+(0+(0-0))+0-360.1-0</f>
        <v>2021.0000000000005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2089.9+(2527-2303.3)+(0+(0-0))+0-395.9-0</f>
        <v>1917.6999999999998</v>
      </c>
      <c r="G111" s="3">
        <f>2065.4+(2339.9-2212.3)+(-4.213416+(-4.773396--4.513092))+0-401.8--0.819671999999983</f>
        <v>1787.5459520000002</v>
      </c>
      <c r="H111" s="3">
        <f>1757.7+(2087.4-1744)+(1.792854+(2.129148-1.77888))+0-400.3-0.408306000000064</f>
        <v>1702.5348160000003</v>
      </c>
      <c r="I111" s="3">
        <f>1573.8+(2167.2-1672.8)+(-0.802638+(-1.105272--0.853128))+0-398--0.20297999999996</f>
        <v>1669.3481979999997</v>
      </c>
      <c r="J111" s="3">
        <f>1533.1+(1932-1460.7)+(-2.345643+(-2.95596--2.234871))+0-395.9--0.605727000000023</f>
        <v>1606.0389949999999</v>
      </c>
      <c r="K111" s="3">
        <f>1533+(1961.5-1486.7)+(-3.12732+(-4.00146--3.032868))+0-397.2--0.810287999999983</f>
        <v>1607.3143759999998</v>
      </c>
      <c r="L111" s="3">
        <f>1531.2+(1627-1233.5)+(-1.561824+(-1.65954--1.25817))+0-397.5--0.405450000000063</f>
        <v>1525.6422560000001</v>
      </c>
      <c r="M111" s="3">
        <f>1529.7+(1420.5-967.9)+(-2.340441+(-2.173365--1.480887))+0-399.1--0.610623000000023</f>
        <v>1580.7777040000001</v>
      </c>
      <c r="N111" s="3">
        <f>1529.6+(1761.5-1083.6)+(0+(0-0))+0-388.1-0</f>
        <v>1819.4</v>
      </c>
      <c r="O111" s="3">
        <f>1557.6+(2002.3-1192.7)+(0.794376+(1.021173-0.608277))+0-377.6-0.192575999999962</f>
        <v>1990.6146960000001</v>
      </c>
      <c r="P111" s="3">
        <f>1727+(1356.2-647.3)+(1.76154+(1.383324-0.660246))+0-396.7-0.404634000000063</f>
        <v>2041.279984</v>
      </c>
      <c r="Q111" s="3">
        <f>1943.8+(889.5-423.5)+(0+(0-0))+0-398.9-0</f>
        <v>2010.9</v>
      </c>
      <c r="R111" s="3">
        <f>1968.2+(866.5-324.8)+(-1.003782+(-0.441915--0.165648))+0-388.5--0.198134999999961</f>
        <v>2120.3180860000002</v>
      </c>
      <c r="S111" s="3">
        <f>1994.4+(770-323.8)+(-1.017144+(-0.3927--0.165138))+0-382.3--0.194972999999961</f>
        <v>2057.2502669999999</v>
      </c>
      <c r="T111" s="3">
        <f>2137+(610.8-305)+(-1.08987+(-0.311508--0.15555))+0-394.3--0.20109299999996</f>
        <v>2047.4552650000001</v>
      </c>
      <c r="U111" s="3">
        <f>2083.2+(664-288)+(-3.187296+(-1.01592--0.44064))+0-373.1--0.570843000000022</f>
        <v>2082.9082669999998</v>
      </c>
      <c r="V111" s="3">
        <f>2076+(697.5-280.6)+(0+(0-0))+0-379.9-0</f>
        <v>2113</v>
      </c>
      <c r="W111" s="3">
        <f>2102.1+(1090.2-615.1)+(-3.216213+(-1.668006--0.941103))+0-387.9--0.593487000000022</f>
        <v>2185.9503709999999</v>
      </c>
      <c r="X111" s="3">
        <f>2061.2+(1805.5-1345.7)+(-6.307272+(-5.52483--4.117842))+0-387.5--1.18575000000004</f>
        <v>2126.9714899999999</v>
      </c>
      <c r="Y111" s="3">
        <f>1899.2+(1495.7-1034.5)+(-1.937184+(-1.525614--1.05519))+0-389.9--0.397698000000062</f>
        <v>1968.49009</v>
      </c>
      <c r="Z111" s="3">
        <f>1942+(1443.1-1031)+(0.99042+(0.735981-0.52581))+0-387.6-0.197675999999961</f>
        <v>1967.5029149999998</v>
      </c>
      <c r="AA111" s="3">
        <f>2019.5+(1477.6-988.2)+(-1.029945+(-0.753576--0.503982))+0-357.2--0.182171999999964</f>
        <v>2150.6026329999995</v>
      </c>
      <c r="AB111" s="3">
        <f>1888.6+(1619.7-1016.8)+(-0.963186+(-0.826047--0.518568))+0-357.4--0.182273999999964</f>
        <v>2133.0116089999997</v>
      </c>
      <c r="AC111" s="3">
        <f>1775.3+(1883.9-1153.3)+(0.905403+(0.960789-0.588183))+0-380.3-0.193952999999961</f>
        <v>2126.6840560000001</v>
      </c>
      <c r="AD111">
        <v>2148.8000000000002</v>
      </c>
      <c r="AE111" s="3">
        <f>2009+(1602.4-1102.8)+(0+(0-0))+0-359.8-0</f>
        <v>2148.8000000000002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1760.4+(2194.9-1580.1)+(0.897804+(1.119399-0.805851))+0-373.2-0.190331999999962</f>
        <v>2003.0210200000001</v>
      </c>
      <c r="G112" s="3">
        <f>1586.5+(2625.1-1925.6)+(0+(0-0))+0-386.5-0</f>
        <v>1899.5</v>
      </c>
      <c r="H112" s="3">
        <f>1553.9+(2689.8-2067.5)+(0.792489+(1.371798-1.054425))+0-386.6-0.197165999999961</f>
        <v>1790.5126960000002</v>
      </c>
      <c r="I112" s="3">
        <f>1553.7+(2702-2146.8)+(-1.584774+(-2.75604--2.189736))+0-387.8--0.395556000000062</f>
        <v>1719.344478</v>
      </c>
      <c r="J112" s="3">
        <f>1553+(2541.2-2017.2)+(-1.58406+(-2.592024--2.057544))+0-400.2--0.408204000000064</f>
        <v>1675.0896640000001</v>
      </c>
      <c r="K112" s="3">
        <f>1553.3+(2366.9-1880.1)+(-3.960915+(-6.035595--4.794255))+0-389.6--0.993479999999944</f>
        <v>1646.2912250000002</v>
      </c>
      <c r="L112" s="3">
        <f>1553.1+(2236.7-1813.8)+(-2.376243+(-3.422151--2.775114))+0-392.7--0.600831000000023</f>
        <v>1580.8775509999996</v>
      </c>
      <c r="M112" s="3">
        <f>1552+(1870.4-1468.9)+(0.79152+(0.953904-0.749139))+0-376.5-0.192014999999962</f>
        <v>1577.8042700000001</v>
      </c>
      <c r="N112" s="3">
        <f>1551.5+(1705.1-1023.6)+(0+(0-0))+0-359.8-0</f>
        <v>1873.2</v>
      </c>
      <c r="O112" s="3">
        <f>1601.6+(1986.4-1160.3)+(-1.633632+(-2.026128--1.183506))+0-357--0.364140000000057</f>
        <v>2068.5878859999998</v>
      </c>
      <c r="P112" s="3">
        <f>1714.1+(1560-973.7)+(0+(0-0))+0-351.4-0</f>
        <v>1948.9999999999995</v>
      </c>
      <c r="Q112" s="3">
        <f>1808.1+(1139.5-603.5)+(-1.844262+(-1.16229--0.61557))+0-352.9--0.359958000000056</f>
        <v>1989.1689759999999</v>
      </c>
      <c r="R112" s="3">
        <f>1957.8+(923.4-456.3)+(-0.998478+(-0.470934--0.232713))+0-347.8--0.177377999999965</f>
        <v>2076.0406789999997</v>
      </c>
      <c r="S112" s="3">
        <f>1971.6+(937.7-478)+(-1.005516+(-0.478227--0.24378))+0-353.5--0.180284999999964</f>
        <v>2076.7403220000001</v>
      </c>
      <c r="T112" s="3">
        <f>1993.1+(825.3-400.5)+(-3.049443+(-1.262709--0.612765))+0-357.6--0.547128000000021</f>
        <v>2057.1477409999998</v>
      </c>
      <c r="U112" s="3">
        <f>2005.1+(883.9-385.7)+(0+(0-0))+0-362-0</f>
        <v>2141.2999999999997</v>
      </c>
      <c r="V112" s="3">
        <f>1922.1+(920.2-355.4)+(-0.980271+(-0.469302--0.181254))+0-364.9--0.186098999999963</f>
        <v>2120.9177800000002</v>
      </c>
      <c r="W112" s="3">
        <f>1701.3+(1073.4-302.6)+(-4.338315+(-2.73717--0.77163))+0-365.9--0.933044999999947</f>
        <v>2100.8291899999995</v>
      </c>
      <c r="X112" s="3">
        <f>1697.6+(1286.7-610.9)+(-6.060432+(-4.593519--2.180913))+0-349.3--1.247001</f>
        <v>2016.873963</v>
      </c>
      <c r="Y112" s="3">
        <f>1700.8+(1635.8-1096.3)+(0.867408+(0.834258-0.559113))+0-347-0.176969999999965</f>
        <v>1894.2655830000003</v>
      </c>
      <c r="Z112" s="3">
        <f>1839.9+(1977-1530.1)+(1.876698+(2.01654-1.560702))+0-353.5-0.360570000000056</f>
        <v>1935.271966</v>
      </c>
      <c r="AA112" s="3">
        <f>2035+(1752.9-1371.3)+(-5.18925+(-4.469895--3.496815))+0-322.5--0.822374999999953</f>
        <v>2088.760045</v>
      </c>
      <c r="AB112" s="3">
        <f>2066.6+(1837.3-1512.4)+(-3.161898+(-2.811069--2.313972))+0-329.3--0.503829000000019</f>
        <v>2059.0448340000003</v>
      </c>
      <c r="AC112" s="3">
        <f>2051.7+(1793.5-1489)+(-1.046367+(-0.914685--0.75939))+0-340.6--0.173705999999965</f>
        <v>2014.572044</v>
      </c>
      <c r="AD112">
        <v>2117</v>
      </c>
      <c r="AE112" s="3">
        <f>2048+(1745.4-1356.4)+(0+(0-0))+0-320-0</f>
        <v>2117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1864.6+(1960-1542.3)+(-2.852838+(-2.9988--2.359719))+0-348.1--0.53259300000002</f>
        <v>1931.2406740000004</v>
      </c>
      <c r="G113" s="3">
        <f>1742.2+(2153.1-1691.9)+(-4.44261+(-5.490405--4.314345))+0-359.5--0.916724999999948</f>
        <v>1839.1980549999998</v>
      </c>
      <c r="H113" s="3">
        <f>1568.6+(1963.7-1415.9)+(-0.799986+(-1.001487--0.722109))+0-355.3--0.181202999999964</f>
        <v>1760.2018389999994</v>
      </c>
      <c r="I113" s="3">
        <f>1553.5+(2017.7-1476.9)+(-2.376855+(-3.087081--2.259657))+0-359.7--0.550341000000021</f>
        <v>1731.9460620000002</v>
      </c>
      <c r="J113" s="3">
        <f>1554.1+(2064.2-1561.2)+(-0.792591+(-1.052742--0.796212))+0-360.6--0.183905999999963</f>
        <v>1695.6347849999995</v>
      </c>
      <c r="K113" s="3">
        <f>1558+(1872.2-1438.7)+(-7.9458+(-9.54822--7.33737))+0-363.3--1.85283000000003</f>
        <v>1619.8961800000002</v>
      </c>
      <c r="L113" s="3">
        <f>1558.1+(2006.7-1570.7)+(-4.767786+(-6.140502--4.806342))+0-358.5--1.09701000000004</f>
        <v>1630.5950639999999</v>
      </c>
      <c r="M113" s="3">
        <f>1557+(1820.6-1332)+(1.58814+(1.857012-1.35864))+0-357.1-0.364242000000057</f>
        <v>1690.2222699999998</v>
      </c>
      <c r="N113" s="3">
        <f>1558.2+(1617.3-999.8)+(1.589364+(1.649646-1.019796))+0-361.3-0.368526000000058</f>
        <v>1816.2506880000001</v>
      </c>
      <c r="O113" s="3">
        <f>1557.4+(1732.3-1026.2)+(-1.588548+(-1.766946--1.046724))+0-350.4--0.357408000000056</f>
        <v>1911.1486379999999</v>
      </c>
      <c r="P113" s="3">
        <f>1820+(1363-801)+(0.9282+(0.69513-0.40851))+0-354-0.180539999999964</f>
        <v>2029.0342800000001</v>
      </c>
      <c r="Q113" s="3">
        <f>1994+(1265.7-563)+(1.01694+(0.645507-0.28713))+0-358-0.182579999999964</f>
        <v>2339.8927369999997</v>
      </c>
      <c r="R113" s="3">
        <f>1603.9+(1336.3-355)+(0+(0-0))+0-358.2-0</f>
        <v>2227</v>
      </c>
      <c r="S113" s="3">
        <f>1669.4+(1397.8-595)+(0.851394+(0.712878-0.30345))+0-360-0.183599999999963</f>
        <v>2113.2772220000002</v>
      </c>
      <c r="T113" s="3">
        <f>1674.7+(1281.2-517.8)+(1.708194+(1.306824-0.528156))+0-361.2-0.368424000000058</f>
        <v>2079.0184380000005</v>
      </c>
      <c r="U113" s="3">
        <f>1668+(1295.6-527.9)+(-2.55204+(-1.982268--0.807687))+0-358--0.547740000000021</f>
        <v>2074.521119</v>
      </c>
      <c r="V113" s="3">
        <f>1637.3+(1284.4-489.6)+(-0.835023+(-0.655044--0.249696))+0-353.5--0.180284999999964</f>
        <v>2077.539914</v>
      </c>
      <c r="W113" s="3">
        <f>1520.1+(1619.4-659.7)+(-3.101004+(-3.303576--1.345788))+0-353.4--0.720935999999984</f>
        <v>2122.0621440000004</v>
      </c>
      <c r="X113" s="3">
        <f>1436.9+(1910.9-1023.5)+(-2.931276+(-3.898236--2.08794))+0-353.9--0.721955999999985</f>
        <v>1966.3803840000003</v>
      </c>
      <c r="Y113" s="3">
        <f>1437.1+(1933.2-1142.2)+(-2.198763+(-2.957796--1.747566))+0-353.9--0.54146700000002</f>
        <v>1871.3324739999998</v>
      </c>
      <c r="Z113" s="3">
        <f>1618.2+(2127.2-1408.1)+(0.825282+(1.084872-0.718131))+0-353.5-0.180284999999964</f>
        <v>1984.8117380000003</v>
      </c>
      <c r="AA113" s="3">
        <f>1788.2+(2363.2-1609.1)+(-2.735946+(-3.615696--2.461923))+0-351.4--0.53764200000002</f>
        <v>2187.5479230000005</v>
      </c>
      <c r="AB113" s="3">
        <f>1831.6+(2541.5-1925.5)+(-0.934116+(-1.296165--0.982005))+0-349.3--0.178142999999965</f>
        <v>2097.229867</v>
      </c>
      <c r="AC113" s="3">
        <f>1738.5+(2464.5-1869.3)+(-1.77327+(-2.51379--1.906686))+0-353.5--0.360570000000056</f>
        <v>1978.180196</v>
      </c>
      <c r="AD113">
        <v>2205.2999999999997</v>
      </c>
      <c r="AE113" s="3">
        <f>1802+(2498.7-1742.3)+(0+(0-0))+0-353.1-0</f>
        <v>2205.2999999999997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1604.9+(2509.5-1864.3)+(-1.636998+(-2.55969--1.901586))+0-355.1--0.362202000000057</f>
        <v>1893.0671000000004</v>
      </c>
      <c r="G114" s="3">
        <f>1540.9+(2211.3-1655)+(-4.715154+(-6.766578--5.0643))+0-359.2--1.09915200000004</f>
        <v>1732.68172</v>
      </c>
      <c r="H114" s="3">
        <f>1499.5+(2356.3-1756)+(-0.764745+(-1.201713--0.89556))+0-359.2--0.183191999999964</f>
        <v>1739.7122940000002</v>
      </c>
      <c r="I114" s="3">
        <f>1535+(2165-1663.8)+(-3.1314+(-4.4166--3.394152))+0-359.5--0.733379999999984</f>
        <v>1673.279532</v>
      </c>
      <c r="J114" s="3">
        <f>1544.5+(2369.5-1879.5)+(0.787695+(1.208445-0.958545))+0-357.8-0.182477999999964</f>
        <v>1677.5551170000001</v>
      </c>
      <c r="K114" s="3">
        <f>1549.6+(2398-1931.8)+(-0.790296+(-1.22298--0.985218))+0-356.5--0.181814999999964</f>
        <v>1658.4537569999998</v>
      </c>
      <c r="L114" s="3">
        <f>1545.9+(1847.5-1460.1)+(-3.942045+(-4.711125--3.723255))+0-358--0.912899999999948</f>
        <v>1571.2829850000003</v>
      </c>
      <c r="M114" s="3">
        <f>1545+(1580-1125.4)+(0+(0-0))+0-354.9-0</f>
        <v>1644.6999999999998</v>
      </c>
      <c r="N114" s="3">
        <f>1544.9+(1707.3-1066)+(0+(0-0))+0-358.9-0</f>
        <v>1827.2999999999997</v>
      </c>
      <c r="O114" s="3">
        <f>1526.6+(1874.9-1115.6)+(0.778566+(0.956199-0.568956))+0-350.2-0.178601999999964</f>
        <v>1936.6872070000002</v>
      </c>
      <c r="P114" s="3">
        <f>1546+(2036.5-1226.4)+(-0.78846+(-1.038615--0.625464))+0-342.4--0.174623999999965</f>
        <v>2012.6730129999999</v>
      </c>
      <c r="Q114" s="3">
        <f>1633.6+(1884.6-1157.4)+(1.666272+(1.922292-1.180548))+0-342.2-0.349044000000055</f>
        <v>2020.6589719999995</v>
      </c>
      <c r="R114" s="3">
        <f>1642.6+(1792.4-1083.1)+(3.350904+(3.656496-2.209524))+0-346-0.705839999999985</f>
        <v>2009.9920360000001</v>
      </c>
      <c r="S114" s="3">
        <f>1639.5+(1789.1-894.6)+(-0.836145+(-0.912441--0.456246))+0-345.9--0.176408999999965</f>
        <v>2186.9840690000001</v>
      </c>
      <c r="T114" s="3">
        <f>1644.7+(1571.3-855.7)+(-0.838797+(-0.801363--0.436407))+0-346.8--0.176867999999965</f>
        <v>2012.4731150000005</v>
      </c>
      <c r="U114" s="3">
        <f>1638.9+(1502.4-737.6)+(-1.671678+(-1.532448--0.752352))+0-350.4--0.357408000000056</f>
        <v>2051.2056339999999</v>
      </c>
      <c r="V114" s="3">
        <f>1631.4+(1398.6-513.9)+(-1.664028+(-1.426572--0.524178))+0-351.5--0.358530000000056</f>
        <v>2162.392108</v>
      </c>
      <c r="W114" s="3">
        <f>1622.6+(1647.9-705.5)+(-2.482578+(-2.521287--1.079415))+0-354.7--0.54269100000002</f>
        <v>2206.9182410000003</v>
      </c>
      <c r="X114" s="3">
        <f>1619.9+(1879.7-1180.8)+(-4.956894+(-5.751882--3.613248))+0-351.2--1.07467200000004</f>
        <v>1961.5791440000003</v>
      </c>
      <c r="Y114" s="3">
        <f>1620.3+(1709.5-1118.9)+(-1.652706+(-1.74369--1.141278))+0-351.5--0.358530000000056</f>
        <v>1857.5034119999996</v>
      </c>
      <c r="Z114" s="3">
        <f>1678.6+(2004.7-1150.9)+(2.568258+(3.067191-1.760877))+0-350.9-0.53687700000002</f>
        <v>2184.8376949999997</v>
      </c>
      <c r="AA114" s="3">
        <f>1774.1+(2079.9-1380.1)+(-2.714373+(-3.182247--2.111553))+0-389.3--0.595629000000023</f>
        <v>2081.410562</v>
      </c>
      <c r="AB114" s="3">
        <f>1775.9+(2379.2-1693.6)+(1.811418+(2.426784-1.727472))+0-385.3-0.393006000000061</f>
        <v>2078.3177239999995</v>
      </c>
      <c r="AC114" s="3">
        <f>1771.9+(2619.2-1961.5)+(-3.614676+(-5.343168--4.00146))+0-392.9--0.801515999999983</f>
        <v>2032.5451319999997</v>
      </c>
      <c r="AD114">
        <v>2171.7000000000003</v>
      </c>
      <c r="AE114" s="3">
        <f>1771+(2162.4-1406.6)+(0+(0-0))+0-355.1-0</f>
        <v>2171.7000000000003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1772.3+(2537.3-1995.2)+(0+(0-0))+0-354.7-0</f>
        <v>1959.7</v>
      </c>
      <c r="G115" s="3">
        <f>1727.4+(2460.1-2027.6)+(0+(0-0))+0-413.9-0</f>
        <v>1746</v>
      </c>
      <c r="H115" s="3">
        <f>1578.6+(2626.5-2065)+(-2.415258+(-4.018545--3.15945))+0-367.6--0.562428000000021</f>
        <v>1769.7880750000002</v>
      </c>
      <c r="I115" s="3">
        <f>1553.8+(2607.1-2079.6)+(-3.169752+(-5.318484--4.242384))+0-399.7--0.815387999999983</f>
        <v>1678.1695360000001</v>
      </c>
      <c r="J115" s="3">
        <f>1553.2+(2312.3-1846.1)+(-2.376396+(-3.537819--2.824533))+0-387.6--0.593028000000022</f>
        <v>1629.3033460000004</v>
      </c>
      <c r="K115" s="3">
        <f>1550.6+(2196.9-1746)+(-5.535642+(-7.842933--6.23322))+0-399.8--1.42728600000001</f>
        <v>1595.981931</v>
      </c>
      <c r="L115" s="3">
        <f>1552.3+(2283.4-1847.3)+(-5.541711+(-8.151738--6.594861))+0-401--1.43157000000001</f>
        <v>1581.732982</v>
      </c>
      <c r="M115" s="3">
        <f>1550.1+(1882.9-1373.6)+(1.581102+(1.920558-1.401072))+0-406.1-0.414222000000065</f>
        <v>1654.9863659999999</v>
      </c>
      <c r="N115" s="3">
        <f>1545.9+(1679.4-1018.8)+(2.365227+(2.569482-1.558764))+0-394.1-0.602973000000023</f>
        <v>1815.1729719999998</v>
      </c>
      <c r="O115" s="3">
        <f>1531.5+(1664.4-915)+(0+(0-0))+0-379.5-0</f>
        <v>1901.4</v>
      </c>
      <c r="P115" s="3">
        <f>1568.2+(1651.1-884.5)+(0+(0-0))+0-361-0</f>
        <v>1973.8000000000002</v>
      </c>
      <c r="Q115" s="3">
        <f>1846.4+(1660.4-1073.2)+(-2.824992+(-2.540412--1.641996))+0-361.9--0.553707000000021</f>
        <v>2068.5302990000005</v>
      </c>
      <c r="R115" s="3">
        <f>1949.2+(1564.4-1089.1)+(-2.982276+(-2.393532--1.666323))+0-370.7--0.567171000000021</f>
        <v>2050.6576860000005</v>
      </c>
      <c r="S115" s="3">
        <f>1948.8+(1645.1-1257.7)+(-1.987776+(-1.678002--1.282854))+0-338.2--0.344964000000054</f>
        <v>1995.9620399999999</v>
      </c>
      <c r="T115" s="3">
        <f>1951.7+(1341.3-943.1)+(-3.981468+(-2.736252--1.923924))+0-345.9--0.705635999999985</f>
        <v>1999.91184</v>
      </c>
      <c r="U115" s="3">
        <f>1948.2+(1246.9-763)+(-4.96791+(-3.179595--1.94565))+0-382.3--0.974864999999945</f>
        <v>2044.5730100000005</v>
      </c>
      <c r="V115" s="3">
        <f>1946.5+(1358.5-849.8)+(-5.95629+(-4.15701--2.600388))+0-383.7--1.17412200000004</f>
        <v>2065.1612099999998</v>
      </c>
      <c r="W115" s="3">
        <f>1948.3+(1852.5-1274.8)+(-5.961798+(-5.66865--3.900888))+0-377.1--1.15392600000004</f>
        <v>2142.3243659999998</v>
      </c>
      <c r="X115" s="3">
        <f>1931.9+(2333.3-1747.9)+(-5.911614+(-7.139898--5.348574))+0-360.5--1.10313000000004</f>
        <v>2150.2001920000002</v>
      </c>
      <c r="Y115" s="3">
        <f>1835.2+(1845.2-1532)+(-4.67976+(-4.70526--3.9066))+0-400.6--1.02152999999994</f>
        <v>1743.3431100000003</v>
      </c>
      <c r="Z115" s="3">
        <f>1899.6+(2168.9-1782)+(0+(0-0))+0-338.6-0</f>
        <v>1947.9</v>
      </c>
      <c r="AA115" s="3">
        <f>2207.4+(2342.3-2101.8)+(-5.62887+(-5.972865--5.35959))+0-341.3--0.870314999999951</f>
        <v>2101.2281699999999</v>
      </c>
      <c r="AB115" s="3">
        <f>2243+(2545-2328.7)+(-9.15144+(-10.3836--9.501096))+0-352.1--1.43656799999997</f>
        <v>2098.6026240000006</v>
      </c>
      <c r="AC115" s="3">
        <f>2238.9+(2603.3-2412.1)+(-1.141839+(-1.327683--1.230171))+0-402.6--0.205325999999959</f>
        <v>2026.4659750000003</v>
      </c>
      <c r="AD115">
        <v>2146.5</v>
      </c>
      <c r="AE115" s="3">
        <f>2244+(2365.5-2114.6)+(0+(0-0))+0-348.4-0</f>
        <v>2146.5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2016+(2639.8-2324.5)+(0+(0-0))+0-401.2-0</f>
        <v>1930.1000000000001</v>
      </c>
      <c r="G116" s="3">
        <f>1736.2+(2833.3-2310.8)+(0.885462+(1.444983-1.178508))+0-408.4-0.208283999999959</f>
        <v>1851.2436529999998</v>
      </c>
      <c r="H116" s="3">
        <f>1617.5+(2588.7-2065.7)+(-0.824925+(-1.320237--1.053507))+0-411--0.209609999999958</f>
        <v>1728.6179549999997</v>
      </c>
      <c r="I116" s="3">
        <f>1541+(2382.1-1869.4)+(-0.78591+(-1.214871--0.953394))+0-414.9--0.211598999999958</f>
        <v>1637.9642119999996</v>
      </c>
      <c r="J116" s="3">
        <f>1540.3+(2166-1681.8)+(-2.356659+(-3.31398--2.573154))+0-401.1--0.613683000000023</f>
        <v>1620.9161979999999</v>
      </c>
      <c r="K116" s="3">
        <f>1539.6+(1905.9-1468.3)+(-3.92598+(-4.860045--3.744165))+0-404.9--1.03249499999994</f>
        <v>1568.2906349999998</v>
      </c>
      <c r="L116" s="3">
        <f>1541.1+(1950.5-1531.1)+(-1.571922+(-1.98951--1.561722))+0-353.9--0.360978000000056</f>
        <v>1604.961268</v>
      </c>
      <c r="M116" s="3">
        <f>1539.6+(1749.4-1341)+(0.785196+(0.892194-0.68391))+0-388.8-0.198287999999961</f>
        <v>1559.9951920000001</v>
      </c>
      <c r="N116" s="3">
        <f>1537.2+(1625.5-1051.8)+(0.783972+(0.829005-0.536418))+0-377.2-0.192371999999962</f>
        <v>1734.5841870000002</v>
      </c>
      <c r="O116" s="3">
        <f>1583.1+(1951.5-1130)+(-1.614762+(-1.99053--1.1526))+0-379--0.38658000000006</f>
        <v>2023.5338880000002</v>
      </c>
      <c r="P116" s="3">
        <f>1719.9+(1736.3-1029.1)+(0+(0-0))+0-389.9-0</f>
        <v>2037.2000000000003</v>
      </c>
      <c r="Q116" s="3">
        <f>1734+(1792.7-1060.4)+(1.76868+(1.828554-1.081608))+0-399.2-0.407184000000064</f>
        <v>2069.2084420000001</v>
      </c>
      <c r="R116" s="3">
        <f>1733.8+(1786.6-1071.3)+(0+(0-0))+0-403.1-0</f>
        <v>2046</v>
      </c>
      <c r="S116" s="3">
        <f>1816.5+(1988.1-1372.9)+(-3.70566+(-4.055724--2.800716))+0-397.9--0.811715999999983</f>
        <v>2029.6510479999995</v>
      </c>
      <c r="T116" s="3">
        <f>1976.9+(1976.9-1509.9)+(-4.032876+(-4.032876--3.080196))+0-397.2--0.810287999999983</f>
        <v>2042.5247319999999</v>
      </c>
      <c r="U116" s="3">
        <f>1973.1+(2097.8-1626.5)+(-5.031405+(-5.34939--4.147575))+0-376.4--0.959819999999945</f>
        <v>2062.7266</v>
      </c>
      <c r="V116" s="3">
        <f>1964.2+(2260.6-1781.4)+(-4.006968+(-4.611624--3.634056))+0-404.5--0.825179999999982</f>
        <v>2034.7406439999997</v>
      </c>
      <c r="W116" s="3">
        <f>1958.3+(2544.7-2037.2)+(-4.993665+(-6.488985--5.19486))+0-389.7--0.993734999999943</f>
        <v>2070.8059450000001</v>
      </c>
      <c r="X116" s="3">
        <f>1816.7+(2602.9-2044.1)+(-7.412136+(-10.619832--8.339928))+0-400--1.63199999999997</f>
        <v>1967.4399600000002</v>
      </c>
      <c r="Y116" s="3">
        <f>1804.9+(1838.7-1548)+(-5.522994+(-5.626422--4.73688))+0-360.2--1.10221200000004</f>
        <v>1730.0896760000005</v>
      </c>
      <c r="Z116" s="3">
        <f>1832.6+(2151.4-1735.3)+(-0.934626+(-1.097214--0.885003))+0-367.2--0.187271999999963</f>
        <v>1880.5404349999999</v>
      </c>
      <c r="AA116" s="3">
        <f>2019.3+(2014.2-1635.9)+(-6.179058+(-6.163452--5.005854))+0-363.8--1.11322800000004</f>
        <v>2027.5765719999999</v>
      </c>
      <c r="AB116" s="3">
        <f>2048.3+(2370.8-1978.4)+(-4.178532+(-4.836432--4.035936))+0-364.6--0.743783999999984</f>
        <v>2071.8647559999999</v>
      </c>
      <c r="AC116" s="3">
        <f>2009.4+(2479.8-2082.5)+(1.024794+(1.264698-1.062075))+0-365.6-0.186455999999963</f>
        <v>2042.1409610000005</v>
      </c>
      <c r="AD116">
        <v>2078.0999999999995</v>
      </c>
      <c r="AE116" s="3">
        <f>2069+(2204.4-1828.9)+(0+(0-0))+0-366.4-0</f>
        <v>2078.1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2010.9+(2744.6-2398.5)+(1.025559+(1.399746-1.223235))+0-365.4-0.186353999999963</f>
        <v>1992.6157159999998</v>
      </c>
      <c r="G117" s="3">
        <f>1998+(2899.8-2622.1)+(-2.03796+(-2.957796--2.674542))+0-392.3--0.400146000000063</f>
        <v>1881.4789320000002</v>
      </c>
      <c r="H117" s="3">
        <f>1887.7+(2779.2-2501.3)+(-2.888181+(-4.252176--3.826989))+0-404.5--0.618885000000023</f>
        <v>1758.4055169999995</v>
      </c>
      <c r="I117" s="3">
        <f>1707.9+(2708.4-2344.7)+(-0.871029+(-1.381284--1.195797))+0-412.8--0.210527999999958</f>
        <v>1657.9540120000004</v>
      </c>
      <c r="J117" s="3">
        <f>1689.1+(2713.2-2325.2)+(0.861441+(1.383732-1.185852))+0-414-0.211139999999958</f>
        <v>1663.9481810000002</v>
      </c>
      <c r="K117" s="3">
        <f>1682.6+(2682.4-2322.3)+(-6.006882+(-9.576168--8.290611))+0-410.5--1.46548500000001</f>
        <v>1626.3730459999997</v>
      </c>
      <c r="L117" s="3">
        <f>1649.8+(2325.6-2033.8)+(-2.524194+(-3.558168--3.111714))+0-410.3--0.627759000000024</f>
        <v>1528.9571109999999</v>
      </c>
      <c r="M117" s="3">
        <f>1531.2+(2066.2-1675.4)+(-3.123648+(-4.215048--3.417816))+0-375.6--0.766223999999984</f>
        <v>1543.2453439999999</v>
      </c>
      <c r="N117" s="3">
        <f>1530.7+(1993.7-1514.7)+(-1.561314+(-2.033574--1.544994))+0-385.6--0.393312000000062</f>
        <v>1622.4434180000003</v>
      </c>
      <c r="O117" s="3">
        <f>1483.5+(1940.2-1364.6)+(0+(0-0))+0-389.3-0</f>
        <v>1669.8000000000004</v>
      </c>
      <c r="P117" s="3">
        <f>1523.9+(2100.6-1440.6)+(2.331567+(3.213918-2.204118))+0-387.5-0.592875000000022</f>
        <v>1799.148492</v>
      </c>
      <c r="Q117" s="3">
        <f>1531.6+(1979.1-1294.8)+(1.562232+(2.018682-1.320696))+0-405.2-0.413304000000065</f>
        <v>1812.5469139999993</v>
      </c>
      <c r="R117" s="3">
        <f>1532.2+(1916.7-1214.8)+(-0.781422+(-0.977517--0.619548))+0-392.6--0.20022599999996</f>
        <v>1840.5608350000002</v>
      </c>
      <c r="S117" s="3">
        <f>1534.4+(1964.9-1329.1)+(1.565088+(2.004198-1.355682))+0-361.3-0.368526000000058</f>
        <v>1810.7450780000004</v>
      </c>
      <c r="T117" s="3">
        <f>1533.1+(2050.2-1381.8)+(0+(0-0))+0-412.4-0</f>
        <v>1789.1</v>
      </c>
      <c r="U117" s="3">
        <f>1546.5+(2181.6-1459.8)+(-1.57743+(-2.225232--1.488996))+0-398.9--0.406878000000064</f>
        <v>1867.4932120000001</v>
      </c>
      <c r="V117" s="3">
        <f>1539+(2195.7-1472.2)+(-3.13956+(-4.479228--3.003288))+0-411.1--0.838643999999982</f>
        <v>1847.6231440000001</v>
      </c>
      <c r="W117" s="3">
        <f>1533.2+(2307.2-1607.1)+(-0.781932+(-1.176672--0.819621))+0-418.5--0.213434999999958</f>
        <v>1813.8744520000002</v>
      </c>
      <c r="X117" s="3">
        <f>1451+(2370.7-1642.1)+(-0.74001+(-1.209057--0.837471))+0-397--0.20246999999996</f>
        <v>1781.6908739999997</v>
      </c>
      <c r="Y117" s="3">
        <f>1491.7+(1992.6-1428.4)+(-3.043068+(-4.064904--2.913936))+0-398.3--0.812531999999983</f>
        <v>1654.2184959999997</v>
      </c>
      <c r="Z117" s="3">
        <f>1836.8+(2197.3-1786.8)+(-1.873536+(-2.241246--1.822536))+0-410.8--0.419016000000066</f>
        <v>1834.6267700000003</v>
      </c>
      <c r="AA117" s="3">
        <f>2057.1+(2073.1-1705.2)+(-3.147363+(-3.171843--2.608956))+0-399.6--0.611388000000023</f>
        <v>2022.301138</v>
      </c>
      <c r="AB117" s="3">
        <f>2033.2+(1878.8-1555.7)+(-6.221592+(-5.749128--4.760442))+0-418.2--1.27969200000005</f>
        <v>1932.1694140000002</v>
      </c>
      <c r="AC117" s="3">
        <f>1833.1+(2014.4-1540.1)+(2.804643+(3.082032-2.356353))+0-413.4-0.632502000000024</f>
        <v>1896.8978200000001</v>
      </c>
      <c r="AD117">
        <v>2005.5</v>
      </c>
      <c r="AE117" s="3">
        <f>2076+(1958-1617.9)+(0+(0-0))+0-410.6-0</f>
        <v>2005.5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1739.9+(2230-1717.1)+(-1.774698+(-2.2746--1.751442))+0-372.9--0.380358000000059</f>
        <v>1877.9825020000001</v>
      </c>
      <c r="G118" s="3">
        <f>1735.7+(2529.6-2031.1)+(-6.196449+(-9.030672--7.251027))+0-410.1--1.46405700000001</f>
        <v>1817.5879629999997</v>
      </c>
      <c r="H118" s="3">
        <f>1572+(2567.1-2024.1)+(0+(0-0))+0-396.3-0</f>
        <v>1718.7</v>
      </c>
      <c r="I118" s="3">
        <f>1556.7+(2581.1-2088.9)+(-0.793917+(-1.316361--1.065339))+0-399.9--0.203948999999959</f>
        <v>1648.1590099999996</v>
      </c>
      <c r="J118" s="3">
        <f>1554.7+(2443.9-1981.8)+(0+(0-0))+0-399.1-0</f>
        <v>1617.7000000000003</v>
      </c>
      <c r="K118" s="3">
        <f>1554.9+(2344.3-1907.2)+(0.792999+(1.195593-0.972672))+0-409.3-0.208742999999958</f>
        <v>1583.5071770000004</v>
      </c>
      <c r="L118" s="3">
        <f>1555.8+(2006.8-1623.5)+(-3.173832+(-4.093872--3.31194))+0-410.7--0.837827999999982</f>
        <v>1525.2820639999998</v>
      </c>
      <c r="M118" s="3">
        <f>1556+(1753.5-1309.1)+(0+(0-0))+0-413.8-0</f>
        <v>1586.6000000000001</v>
      </c>
      <c r="N118" s="3">
        <f>1554.6+(1995.2-1398.4)+(-0.792846+(-1.017552--0.713184))+0-413--0.210629999999958</f>
        <v>1737.5134159999998</v>
      </c>
      <c r="O118" s="3">
        <f>1552.7+(2107.4-1436.4)+(0+(0-0))+0-408.2-0</f>
        <v>1815.4999999999998</v>
      </c>
      <c r="P118" s="3">
        <f>1560.2+(2223.3-1437.9)+(0+(0-0))+0-411.7-0</f>
        <v>1933.9000000000003</v>
      </c>
      <c r="Q118" s="3">
        <f>1726.5+(1951.9-1288.5)+(0.880515+(0.995469-0.657135))+0-364.8-0.186047999999963</f>
        <v>2026.132801</v>
      </c>
      <c r="R118" s="3">
        <f>1721.9+(1761.1-1088.1)+(0+(0-0))+0-399.5-0</f>
        <v>1995.4</v>
      </c>
      <c r="S118" s="3">
        <f>1732+(1626.2-1000.1)+(0+(0-0))+0-403.9-0</f>
        <v>1954.1999999999998</v>
      </c>
      <c r="T118" s="3">
        <f>1732.9+(1497-872.7)+(-1.767558+(-1.52694--0.890154))+0-410.3--0.418506000000065</f>
        <v>1944.9141619999998</v>
      </c>
      <c r="U118" s="3">
        <f>1666.3+(1619.4-867.9)+(-1.699626+(-1.651788--0.885258))+0-407.3--0.415446000000065</f>
        <v>2008.4492900000002</v>
      </c>
      <c r="V118" s="3">
        <f>1629.3+(1756.9-989.9)+(0+(0-0))+0-399.9-0</f>
        <v>1996.4</v>
      </c>
      <c r="W118" s="3">
        <f>1579+(2075.1-1228.7)+(-0.80529+(-1.058301--0.626637))+0-400.9--0.204458999999959</f>
        <v>2023.4675049999996</v>
      </c>
      <c r="X118" s="3">
        <f>1546.4+(2383.8-1561.1)+(-1.577328+(-2.431476--1.592322))+0-407.9--0.416058000000065</f>
        <v>1959.1995760000002</v>
      </c>
      <c r="Y118" s="3">
        <f>1549+(2098.2-1433.1)+(-0.78999+(-1.070082--0.730881))+0-409.5--0.208844999999958</f>
        <v>1803.6796539999998</v>
      </c>
      <c r="Z118" s="3">
        <f>1715.9+(2210.1-1609.6)+(0.875109+(1.127151-0.820896))+0-362.3-0.184772999999963</f>
        <v>1955.0965910000002</v>
      </c>
      <c r="AA118" s="3">
        <f>1861.3+(2506-1840.7)+(-5.695578+(-7.66836--5.632542))+0-377.4--1.15484400000004</f>
        <v>2142.6234479999998</v>
      </c>
      <c r="AB118" s="3">
        <f>1863.3+(2534.6-1971.4)+(-2.850849+(-3.877938--3.016242))+0-365.1--0.558603000000021</f>
        <v>2058.2460580000002</v>
      </c>
      <c r="AC118" s="3">
        <f>1861.3+(2646.2-2114.3)+(-1.898526+(-2.699124--2.156586))+0-405.1--0.413202000000065</f>
        <v>1986.0721379999998</v>
      </c>
      <c r="AD118">
        <v>2135.2999999999997</v>
      </c>
      <c r="AE118" s="3">
        <f>1860+(2537.9-1884.2)+(0+(0-0))+0-378.4-0</f>
        <v>2135.2999999999997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1859+(2545.5-2095.5)+(-1.89618+(-2.59641--2.13741))+0-415.6--0.423912000000066</f>
        <v>1891.468732</v>
      </c>
      <c r="G119" s="3">
        <f>1791.4+(2309.8-1871.3)+(-3.654456+(-4.711992--3.817452))+0-378--0.771119999999983</f>
        <v>1848.1221240000004</v>
      </c>
      <c r="H119" s="3">
        <f>1651.7+(1956.5-1460)+(-2.527101+(-2.993445--2.2338))+0-378.1--0.578493000000022</f>
        <v>1767.3917469999997</v>
      </c>
      <c r="I119" s="3">
        <f>1543.2+(2059.2-1505.5)+(-1.574064+(-2.100384--1.53561))+0-413--0.421260000000066</f>
        <v>1682.1824219999999</v>
      </c>
      <c r="J119" s="3">
        <f>1539.6+(2219.4-1684.6)+(-3.92598+(-5.65947--4.29573))+0-418.7--1.06768499999994</f>
        <v>1651.4779649999998</v>
      </c>
      <c r="K119" s="3">
        <f>1543.1+(2043.6-1563.3)+(-3.934905+(-5.21118--3.986415))+0-404.1--1.03045499999994</f>
        <v>1615.1707849999996</v>
      </c>
      <c r="L119" s="3">
        <f>1543.5+(1733.4-1360.7)+(-4.72311+(-5.304204--4.163742))+0-413.1--1.26408600000005</f>
        <v>1498.5005140000003</v>
      </c>
      <c r="M119" s="3">
        <f>1540.1+(1510.6-1116.5)+(-0.785451+(-0.770406--0.569415))+0-400.2--0.204101999999959</f>
        <v>1533.2176599999998</v>
      </c>
      <c r="N119" s="3">
        <f>1541.7+(1672.7-1153.2)+(-0.786267+(-0.853077--0.588132))+0-404.1--0.206090999999959</f>
        <v>1656.2548790000001</v>
      </c>
      <c r="O119" s="3">
        <f>1539.7+(1642.4-1052.4)+(-0.785247+(-0.837624--0.536724))+0-408.3--0.208232999999959</f>
        <v>1720.5220859999999</v>
      </c>
      <c r="P119" s="3">
        <f>1539.2+(1785.7-1078.9)+(0+(0-0))+0-390.8-0</f>
        <v>1855.2</v>
      </c>
      <c r="Q119" s="3">
        <f>1636.8+(1881-1199.4)+(-0.834768+(-0.95931--0.611694))+0-402.7--0.205376999999959</f>
        <v>1914.7229929999994</v>
      </c>
      <c r="R119" s="3">
        <f>1728.8+(1727.1-1184.1)+(-2.645064+(-2.642463--1.811673))+0-401.9--0.614907000000023</f>
        <v>1867.0390530000004</v>
      </c>
      <c r="S119" s="3">
        <f>1730.2+(1591.2-1123.5)+(-1.764804+(-1.623024--1.14597))+0-391.2--0.399024000000062</f>
        <v>1804.8571660000002</v>
      </c>
      <c r="T119" s="3">
        <f>1729.6+(1452.6-958.5)+(-1.764192+(-1.481652--0.97767))+0-398.7--0.406674000000064</f>
        <v>1823.1385</v>
      </c>
      <c r="U119" s="3">
        <f>1702.8+(1452.2-904.9)+(-0.868428+(-0.740622--0.461499))+0-396--0.20195999999996</f>
        <v>1853.1544089999998</v>
      </c>
      <c r="V119" s="3">
        <f>1680.5+(1607.7-1050.9)+(-3.42822+(-3.279708--2.143836))+0-407--0.830279999999982</f>
        <v>1826.566188</v>
      </c>
      <c r="W119" s="3">
        <f>1684.6+(1938.2-1304.6)+(-5.154876+(-5.930892--3.992076))+0-409.9--1.25429400000005</f>
        <v>1902.4606019999999</v>
      </c>
      <c r="X119" s="3">
        <f>1679.4+(2077.5-1501)+(-3.425976+(-4.2381--3.06204))+0-374.6--0.764183999999984</f>
        <v>1877.4621479999998</v>
      </c>
      <c r="Y119" s="3">
        <f>1735.7+(1644.5-1217.9)+(-0.885207+(-0.838695--0.621129))+0-366.4--0.186863999999963</f>
        <v>1794.984091</v>
      </c>
      <c r="Z119" s="3">
        <f>2083.8+(1885.4-1729)+(-1.062738+(-0.961554--0.88179))+0-362.9--0.185078999999963</f>
        <v>1876.3425769999999</v>
      </c>
      <c r="AA119" s="3">
        <f>2242.1+(1482.1-1478.8)+(-4.573884+(-3.023484--3.016752))+0-363.6--0.741743999999984</f>
        <v>1877.9611279999995</v>
      </c>
      <c r="AB119" s="3">
        <f>2243.4+(1755.3-1717.1)+(-4.576536+(-3.580812--3.502884))+0-363.8--0.742151999999984</f>
        <v>1913.8876880000003</v>
      </c>
      <c r="AC119" s="3">
        <f>2242.1+(2004.4-1874.8)+(-3.430413+(-3.066732--2.868444))+0-364.2--0.557226000000021</f>
        <v>2004.4285249999998</v>
      </c>
      <c r="AD119">
        <v>1827.9</v>
      </c>
      <c r="AE119" s="3">
        <f>2242+(1491.1-1543.1)+(0+(0-0))+0-362.1-0</f>
        <v>1827.9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2231.8+(2401.9-2381.4)+(-5.69109+(-6.124845--6.07257))+0-363.2--0.926159999999947</f>
        <v>1884.2827950000003</v>
      </c>
      <c r="G120" s="3">
        <f>1995.6+(2497.9-2325.5)+(-7.124292+(-8.917503--8.302035))+0-364.4--1.30090800000001</f>
        <v>1797.1611479999999</v>
      </c>
      <c r="H120" s="3">
        <f>1801.5+(2531.4-2311.1)+(0+(0-0))+0-364.3-0</f>
        <v>1657.5000000000002</v>
      </c>
      <c r="I120" s="3">
        <f>1795+(2560.4-2343.5)+(-8.23905+(-11.752236--10.756665))+0-365.1--1.67580900000006</f>
        <v>1639.2411880000002</v>
      </c>
      <c r="J120" s="3">
        <f>1639.5+(2549.6-2248.7)+(-1.67229+(-2.600592--2.293674))+0-361.8--0.369036000000058</f>
        <v>1576.9898280000002</v>
      </c>
      <c r="K120" s="3">
        <f>1543.5+(2438.8-2110.2)+(-7.084665+(-11.194092--9.685818))+0-359.1--1.64826900000006</f>
        <v>1506.0553300000004</v>
      </c>
      <c r="L120" s="3">
        <f>1542.3+(2512.6-2185.8)+(-6.292584+(-10.251408--8.918064))+0-361.1--1.47328799999997</f>
        <v>1501.8473599999995</v>
      </c>
      <c r="M120" s="3">
        <f>1540.1+(2082.3-1796.1)+(0.785451+(1.061973-0.916011))+0-357-0.182069999999964</f>
        <v>1470.0493430000001</v>
      </c>
      <c r="N120" s="3">
        <f>1533.3+(2127.7-1570.3)+(0+(0-0))+0-361.8-0</f>
        <v>1728.8999999999999</v>
      </c>
      <c r="O120" s="3">
        <f>1527.9+(2337.3-1623.3)+(0+(0-0))+0-359.5-0</f>
        <v>1882.4000000000005</v>
      </c>
      <c r="P120" s="3">
        <f>1606.4+(2293.7-1543.9)+(0.819264+(1.169787-0.787389))+0-359.2-0.183191999999964</f>
        <v>1998.0184699999998</v>
      </c>
      <c r="Q120" s="3">
        <f>1745.7+(1702-1178.3)+(0.890307+(0.86802-0.600933))+0-358.8-0.182987999999964</f>
        <v>1911.574406</v>
      </c>
      <c r="R120" s="3">
        <f>1962.3+(1508.3-1159.7)+(0+(0-0))+0-357.2-0</f>
        <v>1953.6999999999996</v>
      </c>
      <c r="S120" s="3">
        <f>2029.1+(1653.6-1238.4)+(-1.034841+(-0.843336--0.631584))+0-356.4--0.181763999999964</f>
        <v>2086.8351709999997</v>
      </c>
      <c r="T120" s="3">
        <f>2033.9+(1301.1-979.3)+(-1.037289+(-0.663561--0.499443))+0-356.8--0.181967999999964</f>
        <v>1997.8805609999997</v>
      </c>
      <c r="U120" s="3">
        <f>2032.4+(1336.9-1007.2)+(-2.073048+(-1.363638--1.027344))+0-355.4--0.362508000000057</f>
        <v>2004.6531660000005</v>
      </c>
      <c r="V120" s="3">
        <f>1930.1+(1598.3-1198.5)+(0.984351+(0.815133-0.611235))+0-354.2-0.180641999999964</f>
        <v>1976.7076069999994</v>
      </c>
      <c r="W120" s="3">
        <f>1794.8+(2047.8-1542.2)+(-0.915348+(-1.044378--0.786522))+0-347.8--0.177377999999965</f>
        <v>1951.6041739999994</v>
      </c>
      <c r="X120" s="3">
        <f>1744.8+(2378.9-1799.1)+(-4.44924+(-6.066195--4.587705))+0-355.5--0.906524999999948</f>
        <v>1964.0787950000004</v>
      </c>
      <c r="Y120" s="3">
        <f>1730.7+(1928.5-1531.8)+(-4.413285+(-4.917675--3.90609))+0-358.5--0.914174999999948</f>
        <v>1764.3893050000001</v>
      </c>
      <c r="Z120" s="3">
        <f>1769.7+(2343.8-1847.5)+(1.805094+(2.390676-1.88445))+0-357.8-0.364956000000057</f>
        <v>1910.1463639999997</v>
      </c>
      <c r="AA120" s="3">
        <f>1894.4+(2430.3-1907.6)+(-1.932288+(-2.478906--1.945752))+0-342.1--0.348942000000055</f>
        <v>2072.8835000000004</v>
      </c>
      <c r="AB120" s="3">
        <f>1821.2+(2590.5-2030)+(-0.928812+(-1.321155--1.0353))+0-352.1--0.179570999999964</f>
        <v>2028.5649039999996</v>
      </c>
      <c r="AC120" s="3">
        <f>1774.1+(2649.2-2121.1)+(0+(0-0))+0-353.8-0</f>
        <v>1948.3999999999999</v>
      </c>
      <c r="AD120">
        <v>2058.1999999999998</v>
      </c>
      <c r="AE120" s="3">
        <f>1903+(2369.5-1873.5)+(0+(0-0))+0-340.8-0</f>
        <v>2058.1999999999998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1709+(2542.7-2001.3)+(-5.22954+(-7.780662--6.123978))+0-382.6--1.17075600000004</f>
        <v>1862.0845319999999</v>
      </c>
      <c r="G121" s="3">
        <f>1617+(2286.5-1790.4)+(-0.82467+(-1.166115--0.913104))+0-395.8--0.20185799999996</f>
        <v>1716.4241769999996</v>
      </c>
      <c r="H121" s="3">
        <f>1550.8+(2245.8-1722.9)+(-1.581816+(-2.290716--1.757358))+0-383.5--0.391170000000061</f>
        <v>1688.4759959999999</v>
      </c>
      <c r="I121" s="3">
        <f>1549.9+(2464.2-1917.9)+(-2.371347+(-3.770226--2.934387))+0-362.5--0.554625000000021</f>
        <v>1731.0474389999997</v>
      </c>
      <c r="J121" s="3">
        <f>1550.6+(2354.1-1852.1)+(-3.95403+(-6.002955--4.722855))+0-391--0.997049999999943</f>
        <v>1657.3629199999998</v>
      </c>
      <c r="K121" s="3">
        <f>1551.1+(2053.3-1644.5)+(-3.164244+(-4.188732--3.35478))+0-388.7--0.792947999999983</f>
        <v>1567.9947520000001</v>
      </c>
      <c r="L121" s="3">
        <f>1548.9+(2058.8-1663.7)+(-2.369817+(-3.149964--2.545461))+0-387.2--0.592416000000022</f>
        <v>1554.4180960000001</v>
      </c>
      <c r="M121" s="3">
        <f>1546.7+(1961.5-1515.1)+(-0.788817+(-1.000365--0.772701))+0-388--0.197879999999961</f>
        <v>1604.281399</v>
      </c>
      <c r="N121" s="3">
        <f>1547.7+(1908.9-1323.6)+(1.578654+(1.947078-1.350072))+0-388.8-0.396576000000062</f>
        <v>1745.9790839999998</v>
      </c>
      <c r="O121" s="3">
        <f>1546.2+(1872.1-1169.7)+(0+(0-0))+0-395.4-0</f>
        <v>1853.1999999999998</v>
      </c>
      <c r="P121" s="3">
        <f>1547.8+(2243.9-1401.8)+(1.578756+(2.288778-1.429836))+0-400.6-0.408612000000064</f>
        <v>1991.3290860000002</v>
      </c>
      <c r="Q121" s="3">
        <f>1548.8+(2014-1187.4)+(1.579776+(2.05428-1.211148))+0-393.9-0.401778000000063</f>
        <v>1983.5211299999994</v>
      </c>
      <c r="R121" s="3">
        <f>1641.2+(1771.6-1041.4)+(0+(0-0))+0-389-0</f>
        <v>1982.3999999999996</v>
      </c>
      <c r="S121" s="3">
        <f>1776.1+(1690.5-1135)+(-1.811622+(-1.72431--1.1577))+0-389.5--0.397290000000062</f>
        <v>1940.119058</v>
      </c>
      <c r="T121" s="3">
        <f>1908.4+(1373.6-926)+(0.973284+(0.700536-0.47226))+0-387-0.197369999999961</f>
        <v>1970.0041900000001</v>
      </c>
      <c r="U121" s="3">
        <f>1985.7+(1175.7-773.2)+(-3.038121+(-1.798821--1.182996))+0-387.2--0.592416000000022</f>
        <v>1997.9384699999998</v>
      </c>
      <c r="V121" s="3">
        <f>1907.4+(1440.6-922.9)+(-3.891096+(-2.938824--1.882716))+0-386.9--0.789275999999983</f>
        <v>2034.0420719999997</v>
      </c>
      <c r="W121" s="3">
        <f>1796.1+(1997.4-1262.2)+(0+(0-0))+0-386.7-0</f>
        <v>2144.6000000000004</v>
      </c>
      <c r="X121" s="3">
        <f>1740.2+(2550.9-1894.6)+(-1.775004+(-2.601918--1.932492))+0-378.5--0.38607000000006</f>
        <v>2015.94164</v>
      </c>
      <c r="Y121" s="3">
        <f>1736+(1909.5-1539.9)+(-2.65608+(-2.921535--2.356047))+0-363.5--0.556155000000021</f>
        <v>1739.434587</v>
      </c>
      <c r="Z121" s="3">
        <f>1896.3+(2180.9-1787.6)+(0+(0-0))+0-350.1-0</f>
        <v>1939.5000000000005</v>
      </c>
      <c r="AA121" s="3">
        <f>2015.6+(2332.9-1843.2)+(0+(0-0))+0-354.3-0</f>
        <v>2151</v>
      </c>
      <c r="AB121" s="3">
        <f>2017.6+(2459.7-2055.9)+(-4.115904+(-5.017788--4.194036))+0-334.4--0.682175999999985</f>
        <v>2082.7425199999993</v>
      </c>
      <c r="AC121" s="3">
        <f>2016+(2738.7-2365.6)+(0+(0-0))+0-348.5-0</f>
        <v>2040.6</v>
      </c>
      <c r="AD121">
        <v>2129.9</v>
      </c>
      <c r="AE121" s="3">
        <f>2012+(2351.8-1878.3)+(0+(0-0))+0-355.6-0</f>
        <v>2129.9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1982.1+(2561.4-2294.3)+(-3.032613+(-3.918942--3.510279))+0-350.1--0.53565300000002</f>
        <v>1896.1943769999998</v>
      </c>
      <c r="G122" s="3">
        <f>1695.2+(2457.2-2082.5)+(-1.729104+(-2.506344--2.12415))+0-353.1--0.360162000000056</f>
        <v>1715.0488639999999</v>
      </c>
      <c r="H122" s="3">
        <f>1583.9+(2651.4-2170.2)+(-3.231156+(-5.408856--4.427208))+0-353.7--0.721547999999985</f>
        <v>1707.9087440000005</v>
      </c>
      <c r="I122" s="3">
        <f>1549.8+(2601.9-2111.5)+(-2.371194+(-3.980907--3.230595))+0-351.1--0.53718300000002</f>
        <v>1686.5156769999999</v>
      </c>
      <c r="J122" s="3">
        <f>1551.3+(2464.8-2016)+(-3.164652+(-5.028192--4.11264))+0-350.2--0.714407999999985</f>
        <v>1646.534204</v>
      </c>
      <c r="K122" s="3">
        <f>1551.2+(2497-2055.6)+(-3.164448+(-5.09388--4.193424))+0-345.6--0.705023999999985</f>
        <v>1643.6401200000003</v>
      </c>
      <c r="L122" s="3">
        <f>1550.6+(2072.8-1735.5)+(-5.535642+(-7.399896--6.195735))+0-343.9--1.227723</f>
        <v>1538.48792</v>
      </c>
      <c r="M122" s="3">
        <f>1549.5+(1656-1321.4)+(0+(0-0))+0-351.5-0</f>
        <v>1532.6</v>
      </c>
      <c r="N122" s="3">
        <f>1549.7+(1802.2-1254.8)+(0+(0-0))+0-352.6-0</f>
        <v>1744.5000000000005</v>
      </c>
      <c r="O122" s="3">
        <f>1547.5+(2008.9-1292.7)+(0+(0-0))+0-352.3-0</f>
        <v>1911.3999999999999</v>
      </c>
      <c r="P122" s="3">
        <f>1557.1+(2019.8-1223.2)+(1.588242+(2.060196-1.247664))+0-358-0.365160000000057</f>
        <v>1997.7356139999999</v>
      </c>
      <c r="Q122" s="3">
        <f>1707.9+(2061.7-1308.6)+(0.871029+(1.051467-0.667386))+0-353.9-0.180488999999964</f>
        <v>2108.1746210000001</v>
      </c>
      <c r="R122" s="3">
        <f>1977.8+(1875.6-1427.1)+(2.017356+(1.913112-1.455642))+0-361.2-0.368424000000058</f>
        <v>2067.2064020000003</v>
      </c>
      <c r="S122" s="3">
        <f>1991+(1777.2-1433.5)+(-1.01541+(-0.906372--0.731085))+0-356.5--0.181814999999964</f>
        <v>1977.1911179999997</v>
      </c>
      <c r="T122" s="3">
        <f>1994.1+(1152.2-811.6)+(1.016991+(0.587622-0.413916))+0-357.9-0.182528999999964</f>
        <v>1977.8081679999998</v>
      </c>
      <c r="U122" s="3">
        <f>1987.2+(1392.4-929.3)+(-5.06736+(-3.55062--2.369715))+0-361.6--0.922079999999948</f>
        <v>2083.3738149999999</v>
      </c>
      <c r="V122" s="3">
        <f>1985.6+(1842.1-1384.5)+(-4.050624+(-3.757884--2.82438))+0-361.3--0.737051999999984</f>
        <v>2077.6529239999995</v>
      </c>
      <c r="W122" s="3">
        <f>1952.7+(2112.8-1729.5)+(-7.967016+(-8.620224--7.05636))+0-356--1.45247999999997</f>
        <v>1971.9216000000001</v>
      </c>
      <c r="X122" s="3">
        <f>1860.1+(2106.1-1701.4)+(-6.640557+(-7.518777--6.073998))+0-359.3--1.28270100000001</f>
        <v>1898.6973649999998</v>
      </c>
      <c r="Y122" s="3">
        <f>1860.3+(1549.4-1282.3)+(-1.897506+(-1.580388--1.307946))+0-322.1--0.328542000000051</f>
        <v>1803.4585939999999</v>
      </c>
      <c r="Z122" s="3">
        <f>1892.1+(1871.9-1445.2)+(-0.964971+(-0.954669--0.737052))+0-322.5--0.164474999999967</f>
        <v>1995.2818870000001</v>
      </c>
      <c r="AA122" s="3">
        <f>1899.8+(1944.7-1449.3)+(-3.875592+(-3.967188--2.956572))+0-318.2--0.649127999999986</f>
        <v>2072.7629200000001</v>
      </c>
      <c r="AB122" s="3">
        <f>1894.2+(2273.6-1759.3)+(-4.83021+(-5.79768--4.486215))+0-315--0.803249999999954</f>
        <v>2088.1615750000001</v>
      </c>
      <c r="AC122" s="3">
        <f>1900.5+(2168.7-1765.9)+(0.969255+(1.106037-0.900609))+0-347.1-0.177020999999965</f>
        <v>1957.197662</v>
      </c>
      <c r="AD122">
        <v>2068.7000000000003</v>
      </c>
      <c r="AE122" s="3">
        <f>1899+(1948.3-1462.9)+(0+(0-0))+0-315.7-0</f>
        <v>2068.6999999999998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1817.6+(2477.5-2069.2)+(-0.926976+(-1.263525--1.055292))+0-349.9--0.178448999999964</f>
        <v>1875.04324</v>
      </c>
      <c r="G123" s="3">
        <f>1566.5+(2644.6-2096.1)+(-1.59783+(-2.697492--2.138022))+0-350.6--0.357612000000056</f>
        <v>1762.6003120000003</v>
      </c>
      <c r="H123" s="3">
        <f>1558.5+(2879.9-2304.8)+(-0.794835+(-1.468749--1.175448))+0-358.5--0.182834999999964</f>
        <v>1774.1946990000001</v>
      </c>
      <c r="I123" s="3">
        <f>1556.7+(2660.8-2207.9)+(-4.763502+(-8.142048--6.756174))+0-358.5--1.09701000000004</f>
        <v>1646.047634</v>
      </c>
      <c r="J123" s="3">
        <f>1558.2+(2441.7-2087.6)+(-3.97341+(-6.226335--5.32338))+0-355.9--0.907544999999948</f>
        <v>1552.43118</v>
      </c>
      <c r="K123" s="3">
        <f>1557.2+(2296.1-1911)+(-5.559204+(-8.197077--6.82227))+0-354.8--1.266636</f>
        <v>1581.832625</v>
      </c>
      <c r="L123" s="3">
        <f>1557.9+(2251.3-1891.2)+(-5.561703+(-8.037141--6.751584))+0-359.7--1.284129</f>
        <v>1552.7368690000001</v>
      </c>
      <c r="M123" s="3">
        <f>1555.1+(2232.8-1794.3)+(-0.793101+(-1.138728--0.915093))+0-349.8--0.178397999999965</f>
        <v>1642.9616620000002</v>
      </c>
      <c r="N123" s="3">
        <f>1558.5+(2258-1686.1)+(1.58967+(2.30316-1.719822))+0-357.6-0.364752000000057</f>
        <v>1774.6082560000004</v>
      </c>
      <c r="O123" s="3">
        <f>1556.5+(2017.3-1358.9)+(1.58763+(2.057646-1.386078))+0-365.2-0.372504000000058</f>
        <v>1851.5866939999996</v>
      </c>
      <c r="P123" s="3">
        <f>1596.3+(2010.1-1310.2)+(1.628226+(2.050302-1.336404))+0-361.7-0.368934000000058</f>
        <v>1936.4731899999995</v>
      </c>
      <c r="Q123" s="3">
        <f>1856.2+(1032.4-650.9)+(0+(0-0))+0-361.1-0</f>
        <v>1876.6000000000004</v>
      </c>
      <c r="R123" s="3">
        <f>1990+(788.7-557.5)+(-3.0447+(-1.206711--0.852975))+0-357.5--0.546975000000021</f>
        <v>1860.8485389999998</v>
      </c>
      <c r="S123" s="3">
        <f>1987.2+(946.7-615.4)+(-5.06736+(-2.414085--1.56927))+0-374.8--0.955739999999946</f>
        <v>1938.743565</v>
      </c>
      <c r="T123" s="3">
        <f>1992.3+(1281-875.4)+(0+(0-0))+0-368.1-0</f>
        <v>2029.8000000000002</v>
      </c>
      <c r="U123" s="3">
        <f>1987.6+(1593-1208.4)+(-4.054704+(-3.24972--2.465136))+0-371.4--0.757655999999984</f>
        <v>1996.7183679999996</v>
      </c>
      <c r="V123" s="3">
        <f>1986.6+(2060.5-1622.3)+(-2.026332+(-2.10171--1.654746))+0-366.7--0.374034000000058</f>
        <v>2056.0007380000002</v>
      </c>
      <c r="W123" s="3">
        <f>1879.7+(2592.3-2145.8)+(-2.875941+(-3.966219--3.283074))+0-355.4--0.543762000000021</f>
        <v>1967.7846759999995</v>
      </c>
      <c r="X123" s="3">
        <f>1736.9+(2533.6-2057.1)+(-4.429095+(-6.46068--5.245605))+0-348.6--0.888929999999949</f>
        <v>1860.04476</v>
      </c>
      <c r="Y123" s="3">
        <f>1735+(2027.7-1666.7)+(-1.7697+(-2.068254--1.700034))+0-345.7--0.352614000000055</f>
        <v>1748.514694</v>
      </c>
      <c r="Z123" s="3">
        <f>1885.2+(2098.1-1771.1)+(0+(0-0))+0-334.7-0</f>
        <v>1877.4999999999998</v>
      </c>
      <c r="AA123" s="3">
        <f>2025.4+(2579.5-2276.7)+(-5.16477+(-6.577725--5.805585))+0-328--0.836399999999952</f>
        <v>1995.0994900000003</v>
      </c>
      <c r="AB123" s="3">
        <f>2025.6+(2215.8-2047.7)+(-1.033056+(-1.130058--1.044327))+0-323.2--0.164831999999967</f>
        <v>1869.5460449999998</v>
      </c>
      <c r="AC123" s="3">
        <f>2011.8+(2427.9-2189.2)+(-1.026018+(-1.238229--1.116492))+0-356.5--0.181814999999964</f>
        <v>1893.03406</v>
      </c>
      <c r="AD123">
        <v>1980.6</v>
      </c>
      <c r="AE123" s="3">
        <f>2021+(2627.9-2338.7)+(0+(0-0))+0-329.6-0</f>
        <v>1980.6000000000004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1899.2+(2643.3-2324.5)+(-0.968592+(-1.348083--1.185495))+0-356.3--0.181712999999964</f>
        <v>1860.7505330000001</v>
      </c>
      <c r="G124" s="3">
        <f>1651.5+(2292.8-1886.1)+(1.68453+(2.338656-1.923822))+0-361.3-0.368526000000058</f>
        <v>1698.6308380000005</v>
      </c>
      <c r="H124" s="3">
        <f>1549.1+(1929.5-1562)+(1.580082+(1.96809-1.59324))+0-363.4-0.370668000000058</f>
        <v>1554.7842639999999</v>
      </c>
      <c r="I124" s="3">
        <f>1548.2+(1961.6-1557.5)+(0.789582+(1.000416-0.794325))+0-364-0.185639999999963</f>
        <v>1589.1100329999999</v>
      </c>
      <c r="J124" s="3">
        <f>1548.7+(2287.6-1813)+(2.369511+(3.500028-2.77389))+0-362.5-0.554625000000021</f>
        <v>1663.3410240000001</v>
      </c>
      <c r="K124" s="3">
        <f>1547.1+(2383.3-1965.4)+(-1.578042+(-2.430966--2.004708))+0-358.1--0.365262000000057</f>
        <v>1605.2609620000001</v>
      </c>
      <c r="L124" s="3">
        <f>1547+(1986.4-1740.1)+(1.57794+(2.026128-1.774902))+0-370.6-0.378012000000059</f>
        <v>1424.1511540000001</v>
      </c>
      <c r="M124" s="3">
        <f>1544.7+(1738-1467.4)+(-0.787797+(-0.88638--0.748374))+0-365.1--0.186200999999963</f>
        <v>1449.4603979999997</v>
      </c>
      <c r="N124" s="3">
        <f>1545.2+(1524.7-1198.2)+(2.364156+(2.332791-1.833246))+0-370.1-0.566253000000021</f>
        <v>1503.8974480000002</v>
      </c>
      <c r="O124" s="3">
        <f>1504+(1587.6-1106.6)+(0.76704+(0.809676-0.564366))+0-369.9-0.188648999999962</f>
        <v>1615.9237009999999</v>
      </c>
      <c r="P124" s="3">
        <f>1510.4+(1952.8-1323.2)+(2.310912+(2.987784-2.024496))+0-372.9-0.570537000000022</f>
        <v>1769.8036629999997</v>
      </c>
      <c r="Q124" s="3">
        <f>1720.2+(1656.4-1234)+(1.754604+(1.689528-1.25868))+0-383.9-0.391578000000061</f>
        <v>1760.4938740000005</v>
      </c>
      <c r="R124" s="3">
        <f>1847.9+(1881.7-1513)+(-0.942429+(-0.959667--0.77163))+0-378.9--0.193238999999962</f>
        <v>1836.7627730000002</v>
      </c>
      <c r="S124" s="3">
        <f>1862.9+(1818.5-1528.8)+(-0.950079+(-0.927435--0.779688))+0-385.2--0.196451999999961</f>
        <v>1766.4986260000001</v>
      </c>
      <c r="T124" s="3">
        <f>1867.3+(1723.1-1469.4)+(-2.856969+(-2.636343--2.248182))+0-383.2--0.586296000000022</f>
        <v>1735.1411660000001</v>
      </c>
      <c r="U124" s="3">
        <f>1863.6+(1902-1620.8)+(0.950436+(0.97002-0.826608))+0-381.2-0.194411999999961</f>
        <v>1764.4994360000001</v>
      </c>
      <c r="V124" s="3">
        <f>1860+(1899.2-1626)+(-0.9486+(-0.968592--0.82926))+0-371.4--0.189413999999962</f>
        <v>1760.9014819999998</v>
      </c>
      <c r="W124" s="3">
        <f>1863.2+(2085.3-1826.4)+(-4.75116+(-5.317515--4.65732))+0-379.4--0.967469999999945</f>
        <v>1738.2561150000001</v>
      </c>
      <c r="X124" s="3">
        <f>1760.3+(2101.1-1758.9)+(-2.693259+(-3.214683--2.691117))+0-374.7--0.573291000000022</f>
        <v>1725.1564659999999</v>
      </c>
      <c r="Y124" s="3">
        <f>1730.8+(1552.7-1231)+(-6.178956+(-5.543139--4.39467))+0-375.5--1.34053500000001</f>
        <v>1671.0131100000001</v>
      </c>
      <c r="Z124" s="3">
        <f>1888.9+(1587.3-1308.1)+(2.890017+(2.428569-2.001393))+0-380.8-0.582624000000022</f>
        <v>1790.0345690000001</v>
      </c>
      <c r="AA124" s="3">
        <f>2027.3+(953.7-662.3)+(-3.101769+(-1.459161--1.013319))+0-379.1--0.580023000000022</f>
        <v>1936.6324119999999</v>
      </c>
      <c r="AB124" s="3">
        <f>2023.5+(1091.1-822.7)+(-2.06397+(-1.112922--0.839154))+0-380.4--0.388008000000061</f>
        <v>1909.5502699999995</v>
      </c>
      <c r="AC124" s="3">
        <f>1907.3+(1224.3-901)+(0.972723+(0.624393-0.45951))+0-381.1-0.194360999999961</f>
        <v>1850.4432449999997</v>
      </c>
      <c r="AD124">
        <v>1792.9999999999995</v>
      </c>
      <c r="AE124" s="3">
        <f>2035+(784.6-667.7)+(0+(0-0))+0-358.9-0</f>
        <v>1793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1878.1+(1522.6-1234.4)+(-1.915662+(-1.553052--1.259088))+0-385.1--0.392802000000061</f>
        <v>1779.383176</v>
      </c>
      <c r="G125" s="3">
        <f>1732.9+(1989.6-1649)+(-1.767558+(-2.029392--1.68198))+0-382.3--0.389946000000061</f>
        <v>1689.474976</v>
      </c>
      <c r="H125" s="3">
        <f>1610.1+(2304.9-1902.3)+(-2.463453+(-3.526497--2.910519))+0-376.7--0.576351000000022</f>
        <v>1633.4969199999998</v>
      </c>
      <c r="I125" s="3">
        <f>1545+(2199-1762)+(-2.36385+(-3.36447--2.69586))+0-382.2--0.584766000000022</f>
        <v>1597.352306</v>
      </c>
      <c r="J125" s="3">
        <f>1545.4+(2154.4-1739.5)+(-3.152616+(-4.394976--3.54858))+0-384.7--0.784787999999983</f>
        <v>1572.3857760000001</v>
      </c>
      <c r="K125" s="3">
        <f>1545.9+(2254.9-1848.5)+(-3.153636+(-4.599996--3.77094))+0-382.8--0.780911999999983</f>
        <v>1566.2982200000001</v>
      </c>
      <c r="L125" s="3">
        <f>1544.8+(1787.6-1403.6)+(-0.787848+(-0.911676--0.715836))+0-386.7--0.197216999999961</f>
        <v>1541.3135289999998</v>
      </c>
      <c r="M125" s="3">
        <f>1545.4+(1539.8-1048.3)+(0+(0-0))+0-381.6-0</f>
        <v>1655.3000000000002</v>
      </c>
      <c r="N125" s="3">
        <f>1544.8+(1484.2-901.8)+(1.575696+(1.513884-0.919836))+0-374.7-0.38219400000006</f>
        <v>1754.2875499999996</v>
      </c>
      <c r="O125" s="3">
        <f>1545.1+(1475.1-769.5)+(-0.788001+(-0.752301--0.392445))+0-383.9--0.195788999999961</f>
        <v>1865.8479319999997</v>
      </c>
      <c r="P125" s="3">
        <f>1566+(1309.1-545.1)+(-0.79866+(-0.667641--0.278001))+0-388.4--0.198083999999961</f>
        <v>1940.609784</v>
      </c>
      <c r="Q125" s="3">
        <f>1723.3+(1099.5-413)+(2.636649+(1.682235-0.63189))+0-390.1-0.596853000000023</f>
        <v>2022.7901410000004</v>
      </c>
      <c r="R125" s="3">
        <f>1887.5+(1003.8-498.1)+(0.962625+(0.511938-0.254031))+0-386.7-0.197216999999961</f>
        <v>2007.5233149999997</v>
      </c>
      <c r="S125" s="3">
        <f>1927.5+(1185-808)+(0+(0-0))+0-365.3-0</f>
        <v>1939.2</v>
      </c>
      <c r="T125" s="3">
        <f>1929.3+(895.4-579.6)+(-1.967886+(-0.913308--0.591192))+0-374--0.38148000000006</f>
        <v>1869.1914779999997</v>
      </c>
      <c r="U125" s="3">
        <f>1924.7+(960.4-538.6)+(-2.944791+(-1.469412--0.824058))+0-374.6--0.573138000000022</f>
        <v>1968.8829929999999</v>
      </c>
      <c r="V125" s="3">
        <f>1922.3+(1171.3-667.4)+(-3.921492+(-2.389452--1.361496))+0-379.2--0.773567999999983</f>
        <v>2042.82412</v>
      </c>
      <c r="W125" s="3">
        <f>1922.7+(1735-1244.4)+(-2.941731+(-2.65455--1.903932))+0-382.4--0.585072000000022</f>
        <v>2027.7927230000003</v>
      </c>
      <c r="X125" s="3">
        <f>1866.2+(1717.8-1344.3)+(-5.710572+(-5.256468--4.113558))+0-382.6--1.17075600000004</f>
        <v>1851.4172739999999</v>
      </c>
      <c r="Y125" s="3">
        <f>1792.2+(1413.7-997.5)+(-0.914022+(-0.720987--0.508725))+0-366.5--0.186914999999963</f>
        <v>1840.9606310000001</v>
      </c>
      <c r="Z125" s="3">
        <f>1868+(1489.3-997)+(-1.90536+(-1.519086--1.01694))+0-356.5--0.363630000000057</f>
        <v>2001.7561240000002</v>
      </c>
      <c r="AA125" s="3">
        <f>2075.8+(1588.1-1237)+(0+(0-0))+0-348.9-0</f>
        <v>2078</v>
      </c>
      <c r="AB125" s="3">
        <f>2079.8+(1726.7-1416.2)+(-3.182094+(-2.641851--2.166786))+0-344.1--0.52647300000002</f>
        <v>2043.0693140000005</v>
      </c>
      <c r="AC125" s="3">
        <f>2080.1+(1994-1629.6)+(0+(0-0))+0-378-0</f>
        <v>2066.5</v>
      </c>
      <c r="AD125">
        <v>2063.1</v>
      </c>
      <c r="AE125" s="3">
        <f>2075+(1647.7-1326.9)+(0+(0-0))+0-332.7-0</f>
        <v>2063.1000000000004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2061+(2352.1-2052)+(-2.10222+(-2.399142--2.09304))+0-381.1--0.388722000000061</f>
        <v>1977.9803999999999</v>
      </c>
      <c r="G126" s="3">
        <f>2038.4+(2147.8-2085.5)+(-5.19792+(-5.47689--5.318025))+0-393.7--1.00393499999994</f>
        <v>1702.6471500000002</v>
      </c>
      <c r="H126" s="3">
        <f>1696.8+(2025.1-1741.4)+(-1.730736+(-2.065602--1.776228))+0-394.2--0.402084000000063</f>
        <v>1584.6819739999999</v>
      </c>
      <c r="I126" s="3">
        <f>1554.2+(1914.2-1402.6)+(-3.170568+(-3.904968--2.861304))+0-395.2--0.806207999999983</f>
        <v>1667.1919760000003</v>
      </c>
      <c r="J126" s="3">
        <f>1551.8+(1983.4-1504.9)+(-2.374254+(-3.034602--2.302497))+0-398.1--0.609093000000023</f>
        <v>1629.702734</v>
      </c>
      <c r="K126" s="3">
        <f>1551.6+(2055.7-1537)+(-1.582632+(-2.096814--1.56774))+0-400.8--0.408816000000064</f>
        <v>1667.7971099999997</v>
      </c>
      <c r="L126" s="3">
        <f>1550.4+(1831.3-1471)+(-3.95352+(-4.669815--3.75105))+0-394.2--1.00520999999994</f>
        <v>1512.6329250000001</v>
      </c>
      <c r="M126" s="3">
        <f>1549.5+(1519.6-1086.8)+(2.370735+(2.324988-1.662804))+0-393.1-0.601443000000023</f>
        <v>1591.631476</v>
      </c>
      <c r="N126" s="3">
        <f>1550.2+(1415-863.6)+(0+(0-0))+0-378.1-0</f>
        <v>1723.5</v>
      </c>
      <c r="O126" s="3">
        <f>1546.7+(1642.2-930.4)+(0.788817+(0.837522-0.474504))+0-385.7-0.196706999999961</f>
        <v>1873.755128</v>
      </c>
      <c r="P126" s="3">
        <f>1546.5+(1721.5-908.7)+(0.788715+(0.877965-0.463437))+0-381.4-0.194513999999961</f>
        <v>1978.908729</v>
      </c>
      <c r="Q126" s="3">
        <f>1651.7+(1533.3-847.4)+(2.527101+(2.345949-1.296522))+0-384.2-0.587826000000022</f>
        <v>1956.388702</v>
      </c>
      <c r="R126" s="3">
        <f>1861.8+(1373.2-883.6)+(0+(0-0))+0-390.3-0</f>
        <v>1961.1000000000001</v>
      </c>
      <c r="S126" s="3">
        <f>1905+(1192.9-780.8)+(0+(0-0))+0-392.6-0</f>
        <v>1924.5000000000005</v>
      </c>
      <c r="T126" s="3">
        <f>1901.7+(1127.4-539.1)+(2.909601+(1.724922-0.824823))+0-349.6-0.53488800000002</f>
        <v>2143.6748119999997</v>
      </c>
      <c r="U126" s="3">
        <f>1923.9+(1174.6-553.7)+(-1.962378+(-1.198092--0.564774))+0-355.6--0.362712000000057</f>
        <v>2186.9670160000005</v>
      </c>
      <c r="V126" s="3">
        <f>1923.5+(1253.2-528.9)+(-3.92394+(-2.556528--1.078956))+0-389.5--0.794579999999983</f>
        <v>2253.693068</v>
      </c>
      <c r="W126" s="3">
        <f>1919+(1603.2-982.9)+(-5.87214+(-4.905792--3.007674))+0-402.7--1.23226200000005</f>
        <v>2130.0620040000003</v>
      </c>
      <c r="X126" s="3">
        <f>1914.3+(1922-1344.1)+(-5.857758+(-5.88132--4.112946))+0-404.9--1.23899400000005</f>
        <v>2080.9128620000001</v>
      </c>
      <c r="Y126" s="3">
        <f>1926.8+(1208.2-749.9)+(-1.965336+(-1.232364--0.764898))+0-404.5--0.412590000000065</f>
        <v>1978.5797880000002</v>
      </c>
      <c r="Z126" s="3">
        <f>1989.1+(1160.7-770.2)+(0+(0-0))+0-409-0</f>
        <v>1970.6</v>
      </c>
      <c r="AA126" s="3">
        <f>2059.1+(1579.9-1138.6)+(-6.300846+(-4.834494--3.484116))+0-369.2--1.12975200000004</f>
        <v>2124.6785279999999</v>
      </c>
      <c r="AB126" s="3">
        <f>1918.2+(1387.6-933.1)+(-0.978282+(-0.707676--0.475881))+0-358.1--0.182630999999964</f>
        <v>2013.5725539999996</v>
      </c>
      <c r="AC126" s="3">
        <f>1726.7+(1253-684)+(-0.880617+(-0.63903--0.34884))+0-358.3--0.182732999999964</f>
        <v>1936.4119259999998</v>
      </c>
      <c r="AD126">
        <v>2096.6</v>
      </c>
      <c r="AE126" s="3">
        <f>2079+(1776.4-1392.5)+(0+(0-0))+0-366.3-0</f>
        <v>2096.6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1724.7+(2001.7-1344.7)+(-2.638791+(-3.062601--2.057391))+0-359.9--0.550647000000021</f>
        <v>2018.7066459999996</v>
      </c>
      <c r="G127" s="3">
        <f>1643.8+(1719-1235.2)+(-2.515014+(-2.63007--1.889856))+0-349--0.53397000000002</f>
        <v>1775.8787419999999</v>
      </c>
      <c r="H127" s="3">
        <f>1599.9+(1736.2-1332.4)+(-1.631898+(-1.770924--1.359048))+0-347.3--0.354246000000055</f>
        <v>1654.7104720000002</v>
      </c>
      <c r="I127" s="3">
        <f>1581.8+(1770.6-1357.4)+(-1.613436+(-1.806012--1.384548))+0-342.9--0.349758000000055</f>
        <v>1650.4148579999999</v>
      </c>
      <c r="J127" s="3">
        <f>1549.1+(1760.7-1286.6)+(1.580082+(1.795914-1.312332))+0-347.5-0.354450000000055</f>
        <v>1677.409214</v>
      </c>
      <c r="K127" s="3">
        <f>1547.9+(1608.9-1156.4)+(0.789429+(0.820539-0.589764))+0-345.3-0.176102999999965</f>
        <v>1655.944101</v>
      </c>
      <c r="L127" s="3">
        <f>1549.2+(1417.6-1046.3)+(-0.790092+(-0.722976--0.533613))+0-342.7--0.174776999999965</f>
        <v>1576.995322</v>
      </c>
      <c r="M127" s="3">
        <f>1548+(1293.3-859.3)+(-0.78948+(-0.659583--0.438243))+0-346.8--0.176867999999965</f>
        <v>1634.3660480000001</v>
      </c>
      <c r="N127" s="3">
        <f>1548.5+(1363-745)+(0+(0-0))+0-352.3-0</f>
        <v>1814.2</v>
      </c>
      <c r="O127" s="3">
        <f>1547.5+(1491.8-804.9)+(-1.57845+(-1.521636--0.820998))+0-351.8--0.358836000000056</f>
        <v>1880.6797480000005</v>
      </c>
      <c r="P127" s="3">
        <f>1569.5+(1262.7-552.6)+(-0.800445+(-0.643977--0.281826))+0-351--0.179009999999964</f>
        <v>1927.6164139999998</v>
      </c>
      <c r="Q127" s="3">
        <f>1736.9+(1188.4-549.8)+(0+(0-0))+0-357.7-0</f>
        <v>2017.8</v>
      </c>
      <c r="R127" s="3">
        <f>1872.1+(938.5-463.3)+(-3.819084+(-1.91454--0.945132))+0-358.2--0.730727999999984</f>
        <v>1985.0422359999995</v>
      </c>
      <c r="S127" s="3">
        <f>1923.8+(1045.6-602.4)+(-2.943414+(-1.599768--0.921672))+0-359.6--0.550188000000021</f>
        <v>2004.3286780000001</v>
      </c>
      <c r="T127" s="3">
        <f>1931.5+(821.3-427.7)+(0.985065+(0.418863-0.218127))+0-358.6-0.182885999999964</f>
        <v>1967.502915</v>
      </c>
      <c r="U127" s="3">
        <f>1928.9+(861.2-388.7)+(-1.967478+(-0.878424--0.396474))+0-357.5--0.364650000000057</f>
        <v>2041.8152220000002</v>
      </c>
      <c r="V127" s="3">
        <f>1925.4+(913.6-426.7)+(1.963908+(0.931872-0.435234))+0-353.5-0.360570000000056</f>
        <v>2060.8999759999997</v>
      </c>
      <c r="W127" s="3">
        <f>1923.4+(1088.2-575.7)+(-3.923736+(-2.219928--1.174428))+0-354.2--0.722567999999985</f>
        <v>2077.4533320000005</v>
      </c>
      <c r="X127" s="3">
        <f>1925.2+(1735.6-1263.4)+(-2.945556+(-2.655468--1.933002))+0-360.3--0.551259000000021</f>
        <v>2033.9832369999999</v>
      </c>
      <c r="Y127" s="3">
        <f>1835+(1525.1-1152.1)+(-1.8717+(-1.555602--1.175142))+0-361.4--0.368628000000058</f>
        <v>1844.7164680000001</v>
      </c>
      <c r="Z127" s="3">
        <f>1922.5+(1771.4-1347.4)+(0+(0-0))+0-360.1-0</f>
        <v>1986.4</v>
      </c>
      <c r="AA127" s="3">
        <f>2133.6+(1423.7-1121)+(-2.176272+(-1.452174--1.14342))+0-359.5--0.366690000000057</f>
        <v>2074.6816640000002</v>
      </c>
      <c r="AB127" s="3">
        <f>2137.8+(1693-1388.9)+(-2.180556+(-1.72686--1.416678))+0-357.9--0.365058000000057</f>
        <v>2081.8743199999999</v>
      </c>
      <c r="AC127" s="3">
        <f>2136.4+(1926.3-1632.8)+(-1.089564+(-0.982413--0.832728))+0-361.8--0.184517999999963</f>
        <v>2067.0452689999997</v>
      </c>
      <c r="AD127">
        <v>2089.3000000000002</v>
      </c>
      <c r="AE127" s="3">
        <f>2136+(1530.8-1218.6)+(0+(0-0))+0-358.9-0</f>
        <v>2089.2999999999997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1949.2+(2170.1-1752.9)+(0+(0-0))+0-370.2-0</f>
        <v>1996.1999999999996</v>
      </c>
      <c r="G128" s="3">
        <f>1626.1+(1947.8-1419.8)+(0.829311+(0.993378-0.724098))+0-378.1-0.192830999999962</f>
        <v>1776.9057599999999</v>
      </c>
      <c r="H128" s="3">
        <f>1557.8+(1676.6-1169.8)+(-3.177912+(-3.420264--2.386392))+0-398.2--0.812327999999983</f>
        <v>1663.0005439999998</v>
      </c>
      <c r="I128" s="3">
        <f>1556.9+(1722.7-1186.2)+(1.588038+(1.757154-1.209924))+0-398.5-0.406470000000064</f>
        <v>1696.628798</v>
      </c>
      <c r="J128" s="3">
        <f>1556.8+(1848-1314.7)+(-3.175872+(-3.76992--2.681988))+0-392--0.799679999999983</f>
        <v>1694.6358759999998</v>
      </c>
      <c r="K128" s="3">
        <f>1555.9+(2153.2-1571.4)+(-2.380527+(-3.294396--2.404242))+0-397.5--0.608175000000023</f>
        <v>1737.5374939999999</v>
      </c>
      <c r="L128" s="3">
        <f>1556.8+(1666.1-1225.6)+(-3.96984+(-4.248555--3.12528))+0-390.5--0.995774999999943</f>
        <v>1602.7026599999999</v>
      </c>
      <c r="M128" s="3">
        <f>1555.1+(1316.5-867.9)+(0+(0-0))+0-396.1-0</f>
        <v>1607.6</v>
      </c>
      <c r="N128" s="3">
        <f>1557.1+(1638.8-967.9)+(3.970605+(4.17894-2.468145))+0-397.7-1.01413499999994</f>
        <v>1834.967265</v>
      </c>
      <c r="O128" s="3">
        <f>1556.1+(1659.4-805.6)+(0+(0-0))+0-393.5-0</f>
        <v>2016.4</v>
      </c>
      <c r="P128" s="3">
        <f>1614.8+(1264.3-484.6)+(2.470644+(1.934379-0.741438))+0-380-0.581400000000022</f>
        <v>2017.5821849999998</v>
      </c>
      <c r="Q128" s="3">
        <f>1743.5+(918.2-295.8)+(2.667555+(1.404846-0.452574))+0-362.4-0.554472000000021</f>
        <v>2006.565355</v>
      </c>
      <c r="R128" s="3">
        <f>1774.6+(732.2-173.2)+(1.810092+(0.746844-0.176664))+0-364.2-0.371484000000058</f>
        <v>1971.4087879999997</v>
      </c>
      <c r="S128" s="3">
        <f>1926.2+(760.2-305.3)+(-0.982362+(-0.387702--0.155703))+0-373.9--0.190688999999962</f>
        <v>2006.176328</v>
      </c>
      <c r="T128" s="3">
        <f>1915+(918.4-399.6)+(0.97665+(0.468384-0.203796))+0-380.4-0.194003999999961</f>
        <v>2054.4472340000002</v>
      </c>
      <c r="U128" s="3">
        <f>1939.8+(910.6-395.8)+(0+(0-0))+0-375.8-0</f>
        <v>2078.7999999999997</v>
      </c>
      <c r="V128" s="3">
        <f>1974.2+(814.1-326.8)+(-5.03421+(-2.075955--0.83334))+0-376--0.958799999999945</f>
        <v>2080.181975</v>
      </c>
      <c r="W128" s="3">
        <f>1922.8+(1059.2-490.4)+(-4.90314+(-2.70096--1.25052))+0-370.2--0.944009999999946</f>
        <v>2115.9904300000003</v>
      </c>
      <c r="X128" s="3">
        <f>1789.7+(1514.5-807.6)+(-2.738241+(-2.317185--1.235628))+0-378--0.578340000000022</f>
        <v>2115.3585419999999</v>
      </c>
      <c r="Y128" s="3">
        <f>1793.7+(1068.1-704.5)+(0.914787+(0.544731-0.359295))+0-378-0.192779999999962</f>
        <v>1780.2074430000002</v>
      </c>
      <c r="Z128" s="3">
        <f>1868.1+(1160.5-698.4)+(0+(0-0))+0-364.6-0</f>
        <v>1965.6</v>
      </c>
      <c r="AA128" s="3">
        <f>1954.1+(762.6-376.4)+(-1.993182+(-0.777852--0.383928))+0-354.7--0.361794000000057</f>
        <v>1983.5746880000002</v>
      </c>
      <c r="AB128" s="3">
        <f>1949.6+(917.8-433.1)+(-2.982888+(-1.404234--0.662643))+0-362.3--0.554319000000021</f>
        <v>2068.8298399999994</v>
      </c>
      <c r="AC128" s="3">
        <f>1943.1+(1180.4-615.1)+(-0.990981+(-0.602004--0.313701))+0-393--0.20042999999996</f>
        <v>2114.3211459999998</v>
      </c>
      <c r="AD128">
        <v>2032.8000000000004</v>
      </c>
      <c r="AE128" s="3">
        <f>1959+(773.3-350.7)+(0+(0-0))+0-348.8-0</f>
        <v>2032.8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1919.5+(1537.8-997)+(-2.936835+(-2.352834--1.52541))+0-391.2--0.598536000000023</f>
        <v>2065.9342770000003</v>
      </c>
      <c r="G129" s="3">
        <f>1694.6+(1498.5-1008.3)+(0+(0-0))+0-385.4-0</f>
        <v>1799.4</v>
      </c>
      <c r="H129" s="3">
        <f>1553.9+(1898.3-1264.8)+(-1.584978+(-1.936266--1.290096))+0-396.8--0.404736000000063</f>
        <v>1788.7735880000002</v>
      </c>
      <c r="I129" s="3">
        <f>1547.3+(1859.4-1273.3)+(1.578246+(1.896588-1.298766))+0-397.5-0.405450000000063</f>
        <v>1737.6706180000003</v>
      </c>
      <c r="J129" s="3">
        <f>1547+(2169.1-1567)+(0+(0-0))+0-393.4-0</f>
        <v>1755.6999999999998</v>
      </c>
      <c r="K129" s="3">
        <f>1548.4+(2487.9-1896.7)+(-2.369052+(-3.806487--2.901951))+0-391.9--0.599607000000023</f>
        <v>1745.0260190000004</v>
      </c>
      <c r="L129" s="3">
        <f>1542.8+(2068-1603)+(-2.360484+(-3.16404--2.45259))+0-392.5--0.600525000000023</f>
        <v>1612.828591</v>
      </c>
      <c r="M129" s="3">
        <f>1545.5+(1940.6-1406.8)+(2.364615+(2.969118-2.152404))+0-390.5-0.597465000000023</f>
        <v>1691.3838640000001</v>
      </c>
      <c r="N129" s="3">
        <f>1548.1+(1843.4-1202.6)+(0.789531+(0.940134-0.613326))+0-388.5-0.198134999999961</f>
        <v>1801.3182040000004</v>
      </c>
      <c r="O129" s="3">
        <f>1547+(2019.5-1226.7)+(-0.78897+(-1.029945--0.625617))+0-386.7--0.197216999999961</f>
        <v>1952.1039189999999</v>
      </c>
      <c r="P129" s="3">
        <f>1543.5+(1585.4-810.7)+(1.57437+(1.617108-0.826914))+0-384.5-0.392190000000061</f>
        <v>1935.6723739999998</v>
      </c>
      <c r="Q129" s="3">
        <f>1662.1+(1319.9-546)+(4.238355+(3.365745-1.3923))+0-390.4-0.995519999999943</f>
        <v>2050.81628</v>
      </c>
      <c r="R129" s="3">
        <f>1980.8+(1056.7-579.6)+(-1.010208+(-0.538917--0.295596))+0-392.8--0.20032799999996</f>
        <v>2064.0467989999997</v>
      </c>
      <c r="S129" s="3">
        <f>2191.1+(954.7-731.4)+(1.117461+(0.486897-0.373014))+0-387.1-0.197420999999961</f>
        <v>2028.3339230000001</v>
      </c>
      <c r="T129" s="3">
        <f>2001.3+(906.4-456)+(0+(0-0))+0-392.6-0</f>
        <v>2059.1</v>
      </c>
      <c r="U129" s="3">
        <f>1881.4+(923.3-404.5)+(-0.959514+(-0.470883--0.206295))+0-390.1--0.19895099999996</f>
        <v>2009.0748489999996</v>
      </c>
      <c r="V129" s="3">
        <f>1847.2+(1009.4-382.1)+(-1.884144+(-1.029588--0.389742))+0-404.9--0.412998000000065</f>
        <v>2067.489008</v>
      </c>
      <c r="W129" s="3">
        <f>1836.7+(1232.5-541.7)+(-2.810151+(-1.885725--0.828801))+0-387.8--0.593334000000022</f>
        <v>2136.4262589999998</v>
      </c>
      <c r="X129" s="3">
        <f>1844.6+(1237.3-689.8)+(-6.585222+(-4.417161--2.462586))+0-362.4--1.29376800000001</f>
        <v>2022.4539709999999</v>
      </c>
      <c r="Y129" s="3">
        <f>1692.1+(776.6-278.9)+(-0.862971+(-0.396066--0.142239))+0-408.4--0.208283999999959</f>
        <v>1780.4914860000001</v>
      </c>
      <c r="Z129" s="3">
        <f>1853.7+(909.3-423.8)+(-2.836161+(-1.391229--0.648414))+0-360.1--0.550953000000021</f>
        <v>1976.0719770000001</v>
      </c>
      <c r="AA129" s="3">
        <f>2040.1+(1011.9-574.7)+(-7.283157+(-3.612483--2.051679))+0-361.7--1.29126900000001</f>
        <v>2108.0473079999997</v>
      </c>
      <c r="AB129" s="3">
        <f>1931.8+(1114.2-616.6)+(-2.955654+(-1.704726--0.943398))+0-361.1--0.552483000000021</f>
        <v>2065.1355010000002</v>
      </c>
      <c r="AC129" s="3">
        <f>1903.7+(1420.8-845)+(-1.941774+(-1.449216--0.8619))+0-412.1--0.420342000000066</f>
        <v>2065.291252</v>
      </c>
      <c r="AD129">
        <v>2130.9</v>
      </c>
      <c r="AE129" s="3">
        <f>2050+(1016.4-574)+(0+(0-0))+0-361.5-0</f>
        <v>2130.9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1902.8+(1783.9-1351.4)+(-0.970428+(-0.909789--0.689214))+0-389.4--0.19859399999996</f>
        <v>1944.9075910000001</v>
      </c>
      <c r="G130" s="3">
        <f>1845.4+(2523.8-2125.2)+(-2.823462+(-3.861414--3.251556))+0-403.9--0.617967000000023</f>
        <v>1837.2846470000004</v>
      </c>
      <c r="H130" s="3">
        <f>1740.1+(2493.5-2055.5)+(-1.774902+(-2.54337--2.09661))+0-349--0.355980000000056</f>
        <v>1827.234318</v>
      </c>
      <c r="I130" s="3">
        <f>1550.9+(2167-1586.9)+(1.581918+(2.21034-1.618638))+0-387.8-0.395556000000062</f>
        <v>1744.9780639999999</v>
      </c>
      <c r="J130" s="3">
        <f>1488.1+(809.2-192.3)+(-1.517862+(-0.825384--0.196146))+0-391.3--0.399126000000062</f>
        <v>1711.9520259999999</v>
      </c>
      <c r="K130" s="3">
        <f>1446.5+(902.7-283.6)+(0.737715+(0.460377-0.144636))+0-355.5-0.181304999999964</f>
        <v>1710.9721509999999</v>
      </c>
      <c r="L130" s="3">
        <f>1430.7+(968.9-393.1)+(-4.377942+(-2.964834--1.202886))+0-404.8--1.23868800000005</f>
        <v>1596.7987980000003</v>
      </c>
      <c r="M130" s="3">
        <f>1434.4+(830.4-326.8)+(0+(0-0))+0-404.1-0</f>
        <v>1533.9</v>
      </c>
      <c r="N130" s="3">
        <f>1521.9+(1011.6-436.4)+(0+(0-0))+0-400.4-0</f>
        <v>1696.7000000000003</v>
      </c>
      <c r="O130" s="3">
        <f>1533.4+(1158.7-294.5)+(-0.782034+(-0.590937--0.150195))+0-414.9--0.211598999999958</f>
        <v>1981.6888230000002</v>
      </c>
      <c r="P130" s="3">
        <f>1533.1+(1029.8-80.4)+(-0.781881+(-0.525198--0.041004))+0-383.9--0.195788999999961</f>
        <v>2097.5297139999998</v>
      </c>
      <c r="Q130" s="3">
        <f>1712.8+(895.5-148.7)+(-1.747056+(-0.91341--0.151674))+0-395.1--0.403002000000063</f>
        <v>2062.3942099999999</v>
      </c>
      <c r="R130" s="3">
        <f>1800.5+(833.9-187.4)+(-3.67302+(-1.701156--0.382296))+0-401.8--0.819671999999983</f>
        <v>2041.0277920000001</v>
      </c>
      <c r="S130" s="3">
        <f>1925.9+(724.8-268.7)+(-4.911045+(-1.84824--0.685185))+0-410.1--1.04575499999994</f>
        <v>1966.8716550000001</v>
      </c>
      <c r="T130" s="3">
        <f>1931.4+(734.1-306.9)+(-2.955042+(-1.123173--0.469557))+0-407.2--0.623016000000024</f>
        <v>1948.4143580000002</v>
      </c>
      <c r="U130" s="3">
        <f>1924.8+(773.2-293.7)+(0+(0-0))+0-408.2-0</f>
        <v>1996.1000000000001</v>
      </c>
      <c r="V130" s="3">
        <f>1925.1+(790.7-349.4)+(-0.981801+(-0.403257--0.178194))+0-401.2--0.204611999999959</f>
        <v>1964.1977479999998</v>
      </c>
      <c r="W130" s="3">
        <f>1922.2+(930.6-556.6)+(-7.842576+(-3.796848--2.270928))+0-410.2--1.67361599999996</f>
        <v>1878.3051199999998</v>
      </c>
      <c r="X130" s="3">
        <f>1745.4+(1278.4-834.1)+(-5.340924+(-3.911904--2.552346))+0-407.1--1.24572600000005</f>
        <v>1777.1452440000003</v>
      </c>
      <c r="Y130" s="3">
        <f>1638.7+(1556.7-956.9)+(-4.178685+(-3.969585--2.440095))+0-366.6--0.934829999999947</f>
        <v>1867.1266549999998</v>
      </c>
      <c r="Z130" s="3">
        <f>1708.4+(1274.8-636.9)+(0.871284+(0.650148-0.324819))+0-366.9-0.187118999999963</f>
        <v>1980.4094940000002</v>
      </c>
      <c r="AA130" s="3">
        <f>1772.7+(1273.7-713.2)+(-4.520385+(-3.247935--1.81866))+0-359.2--0.915959999999948</f>
        <v>1968.9662999999996</v>
      </c>
      <c r="AB130" s="3">
        <f>1772.6+(1219.3-635.2)+(-4.52013+(-3.109215--1.61976))+0-386.7--0.986084999999944</f>
        <v>1964.9765</v>
      </c>
      <c r="AC130" s="3">
        <f>1527.1+(1336.9-500.2)+(-0.778821+(-0.681819--0.255102))+0-387.8--0.197777999999961</f>
        <v>1974.99224</v>
      </c>
      <c r="AD130">
        <v>2005.1000000000001</v>
      </c>
      <c r="AE130" s="3">
        <f>1770+(1253.9-669.1)+(0+(0-0))+0-349.7-0</f>
        <v>2005.1000000000001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1452.9+(1313.6-494)+(-0.740979+(-0.669936--0.25194))+0-386.8--0.197267999999961</f>
        <v>1884.7382930000001</v>
      </c>
      <c r="G131" s="3">
        <f>1358.6+(1238.8-426.8)+(-1.385772+(-1.263576--0.435336))+0-388.5--0.396270000000062</f>
        <v>1780.282258</v>
      </c>
      <c r="H131" s="3">
        <f>1312.9+(1359.6-626.6)+(0+(0-0))+0-385.6-0</f>
        <v>1660.3000000000002</v>
      </c>
      <c r="I131" s="3">
        <f>1316+(1350.1-580.3)+(-2.68464+(-2.754204--1.183812))+0-346--0.705839999999985</f>
        <v>1736.2508080000002</v>
      </c>
      <c r="J131" s="3">
        <f>1314.2+(1127.4-358)+(-3.35121+(-2.87487--0.9129))+0-387.1--0.987104999999944</f>
        <v>1692.1739250000003</v>
      </c>
      <c r="K131" s="3">
        <f>1278.5+(967.4-249.4)+(-3.260175+(-2.46687--0.63597))+0-386.1--0.984554999999944</f>
        <v>1606.2934799999998</v>
      </c>
      <c r="L131" s="3">
        <f>1273.8+(940.7-271.7)+(-3.24819+(-2.398785--0.692835))+0-393.5--1.00342499999994</f>
        <v>1545.3492849999998</v>
      </c>
      <c r="M131" s="3">
        <f>1285+(876.8-239.4)+(-1.96605+(-1.341504--0.366282))+0-394--0.602820000000023</f>
        <v>1526.0615480000001</v>
      </c>
      <c r="N131" s="3">
        <f>1481.6+(871-337.7)+(-1.511232+(-0.88842--0.344454))+0-399.8--0.407796000000064</f>
        <v>1613.4525979999999</v>
      </c>
      <c r="O131" s="3">
        <f>1544+(728.9-281.9)+(-0.78744+(-0.371739--0.143769))+0-388.5--0.198134999999961</f>
        <v>1601.6827249999999</v>
      </c>
      <c r="P131" s="3">
        <f>1545.6+(822.9-323.1)+(0.788256+(0.419679-0.164781))+0-383.2-0.195431999999961</f>
        <v>1663.0477219999998</v>
      </c>
      <c r="Q131" s="3">
        <f>1547.4+(970.3-376.6)+(0+(0-0))+0-390.3-0</f>
        <v>1750.8</v>
      </c>
      <c r="R131" s="3">
        <f>1545.9+(954.6-369.1)+(0.788409+(0.486846-0.188241))+0-350.2-0.178601999999964</f>
        <v>1782.1084120000003</v>
      </c>
      <c r="S131" s="3">
        <f>1543.1+(913.6-348.2)+(2.360943+(1.397808-0.532746))+0-384-0.587520000000022</f>
        <v>1727.1384849999999</v>
      </c>
      <c r="T131" s="3">
        <f>1543.2+(937.8-376.7)+(-0.787032+(-0.478278--0.192117))+0-397.2--0.20257199999996</f>
        <v>1706.2293789999999</v>
      </c>
      <c r="U131" s="3">
        <f>1539+(960.5-337.2)+(-3.13956+(-1.95942--0.687888))+0-394.5--0.804779999999983</f>
        <v>1764.1936880000003</v>
      </c>
      <c r="V131" s="3">
        <f>1539.9+(944-320.7)+(-0.785349+(-0.48144--0.163557))+0-413.3--0.210782999999958</f>
        <v>1749.0075509999999</v>
      </c>
      <c r="W131" s="3">
        <f>1539.3+(1018.7-461.3)+(-3.925215+(-2.597685--1.176315))+0-405--1.03274999999994</f>
        <v>1687.3861649999999</v>
      </c>
      <c r="X131" s="3">
        <f>1537.9+(1237.6-712.9)+(-1.568658+(-1.262352--0.727158))+0-364.1--0.371382000000058</f>
        <v>1696.7675299999999</v>
      </c>
      <c r="Y131" s="3">
        <f>1559.7+(1285-754.7)+(-3.181788+(-2.6214--1.539588))+0-412.6--0.841703999999982</f>
        <v>1673.9781039999998</v>
      </c>
      <c r="Z131" s="3">
        <f>1752.2+(727.1-181.7)+(-3.574488+(-1.483284--0.370668))+0-383.4--0.782135999999983</f>
        <v>1910.2950320000002</v>
      </c>
      <c r="AA131" s="3">
        <f>1899.5+(906.2-295.1)+(-2.906235+(-1.386486--0.451503))+0-393.8--0.602514000000023</f>
        <v>2113.5612959999999</v>
      </c>
      <c r="AB131" s="3">
        <f>2043.5+(1132-673.5)+(-3.126555+(-1.73196--1.030455))+0-405.9--0.621027000000023</f>
        <v>2092.8929670000002</v>
      </c>
      <c r="AC131" s="3">
        <f>2243.7+(1462.3-1314.1)+(0+(0-0))+0-405.3-0</f>
        <v>1986.5999999999997</v>
      </c>
      <c r="AD131">
        <v>2211.9</v>
      </c>
      <c r="AE131" s="3">
        <f>1906+(1089.4-387.6)+(0+(0-0))+0-395.9-0</f>
        <v>2211.9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2237.7+(1992.6-1861.7)+(-4.564908+(-4.064904--3.797868))+0-410.2--0.836807999999982</f>
        <v>1954.4048639999994</v>
      </c>
      <c r="G132" s="3">
        <f>2152.6+(2194.9-2185.1)+(-3.293478+(-3.358197--3.343203))+0-404.1--0.618273000000023</f>
        <v>1755.6098010000001</v>
      </c>
      <c r="H132" s="3">
        <f>1721.7+(2077.3-1759.5)+(0+(0-0))+0-400.3-0</f>
        <v>1639.2000000000003</v>
      </c>
      <c r="I132" s="3">
        <f>1371.2+(2063.7-1434.9)+(-2.797248+(-4.209948--2.927196))+0-364.2--0.742967999999984</f>
        <v>1632.4629679999998</v>
      </c>
      <c r="J132" s="3">
        <f>1351.8+(1881.7-1281.5)+(-2.757672+(-3.838668--2.61426))+0-412--0.840479999999982</f>
        <v>1536.8584000000001</v>
      </c>
      <c r="K132" s="3">
        <f>1349.1+(2019.4-1337.1)+(-3.440205+(-5.14947--3.409605))+0-404.5--1.03147499999994</f>
        <v>1622.7514050000002</v>
      </c>
      <c r="L132" s="3">
        <f>1347.8+(2056.3-1404.6)+(-3.43689+(-5.243565--3.58173))+0-405.8--1.03478999999994</f>
        <v>1589.6360650000001</v>
      </c>
      <c r="M132" s="3">
        <f>1356.6+(1697.9-1137)+(2.075598+(2.597787-1.73961))+0-389.8-0.596394000000023</f>
        <v>1530.0373810000001</v>
      </c>
      <c r="N132" s="3">
        <f>1504+(1501.4-951.8)+(-0.76704+(-0.765714--0.485418))+0-338.4--0.172583999999966</f>
        <v>1714.3252480000001</v>
      </c>
      <c r="O132" s="3">
        <f>1546.8+(1598.9-858)+(0+(0-0))+0-371.8-0</f>
        <v>1915.8999999999999</v>
      </c>
      <c r="P132" s="3">
        <f>1602.7+(1669.5-927.3)+(1.634754+(1.70289-0.945846))+0-368.2-0.375564000000059</f>
        <v>1978.716234</v>
      </c>
      <c r="Q132" s="3">
        <f>1827.4+(1083.1-551.5)+(1.863948+(1.104762-0.56253))+0-371.8-0.379236000000059</f>
        <v>1989.226944</v>
      </c>
      <c r="R132" s="3">
        <f>2150.1+(1047.6-764.4)+(2.193102+(1.068552-0.779688))+0-391.3-0.399126000000062</f>
        <v>2044.0828399999996</v>
      </c>
      <c r="S132" s="3">
        <f>2216.4+(1399.7-1206.3)+(-1.130364+(-0.713847--0.615213))+0-390--0.19889999999996</f>
        <v>2018.769902</v>
      </c>
      <c r="T132" s="3">
        <f>2223.6+(1168.6-1043.7)+(-2.268072+(-1.191972--1.064574))+0-389.6--0.397392000000062</f>
        <v>1956.9019220000002</v>
      </c>
      <c r="U132" s="3">
        <f>2185.8+(1220.9-997.2)+(3.344274+(1.867977-1.525716))+0-392.7-0.600831000000023</f>
        <v>2019.8857039999998</v>
      </c>
      <c r="V132" s="3">
        <f>2174.3+(1170.8-1026.2)+(0+(0-0))+0-359.7-0</f>
        <v>1959.2</v>
      </c>
      <c r="W132" s="3">
        <f>2020+(1461.1-1051.2)+(1.0302+(0.745161-0.536112))+0-393.6-0.20073599999996</f>
        <v>2037.3385129999999</v>
      </c>
      <c r="X132" s="3">
        <f>1780.3+(1574.2-974.5)+(-2.723859+(-2.408526--1.490985))+0-397.5--0.608175000000023</f>
        <v>1979.4667750000001</v>
      </c>
      <c r="Y132" s="3">
        <f>1739.3+(1550.7-979.8)+(-1.774086+(-1.581714--0.999396))+0-395.4--0.403308000000063</f>
        <v>1912.8469039999998</v>
      </c>
      <c r="Z132" s="3">
        <f>1772.9+(1534.2-922)+(0.904179+(0.782442-0.47022))+0-402.9-0.205478999999959</f>
        <v>1983.2109220000004</v>
      </c>
      <c r="AA132" s="3">
        <f>1774.3+(1186.7-508.2)+(-1.809786+(-1.210434--0.518364))+0-368.6--0.375972000000059</f>
        <v>2082.0741160000007</v>
      </c>
      <c r="AB132" s="3">
        <f>1777.7+(1466.1-712.9)+(-1.813254+(-1.495422--0.727158))+0-384.8--0.392496000000061</f>
        <v>2143.9109779999999</v>
      </c>
      <c r="AC132" s="3">
        <f>1766.5+(1950-1235.4)+(1.80183+(1.989-1.260108))+0-392.8-0.400656000000063</f>
        <v>2090.4300659999994</v>
      </c>
      <c r="AD132">
        <v>2121.6999999999998</v>
      </c>
      <c r="AE132" s="3">
        <f>1771+(1193.7-469.2)+(0+(0-0))+0-373.8-0</f>
        <v>2121.6999999999998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1671.1+(2148.2-1429.1)+(-4.261305+(-5.47791--3.644205))+0-386.2--0.984809999999944</f>
        <v>1998.8897999999997</v>
      </c>
      <c r="G133" s="3">
        <f>1534.6+(2456-1759.6)+(-2.347938+(-3.75768--2.692188))+0-401.4--0.614142000000023</f>
        <v>1826.800712</v>
      </c>
      <c r="H133" s="3">
        <f>1365.5+(2440.6-1710.8)+(-3.482025+(-6.22353--4.36254))+0-403--1.02764999999994</f>
        <v>1687.9846350000003</v>
      </c>
      <c r="I133" s="3">
        <f>1331.1+(2663.8-1932.1)+(-2.715444+(-5.434152--3.941484))+0-383.5--0.782339999999983</f>
        <v>1675.8742280000004</v>
      </c>
      <c r="J133" s="3">
        <f>1331.8+(2455.9-1779)+(-2.037654+(-3.757527--2.72187))+0-389.6--0.596088000000023</f>
        <v>1616.6227769999998</v>
      </c>
      <c r="K133" s="3">
        <f>1330.9+(2482.4-1790.2)+(-2.036277+(-3.798072--2.739006))+0-387.8--0.593334000000022</f>
        <v>1632.7979910000001</v>
      </c>
      <c r="L133" s="3">
        <f>1331.1+(1835.7-1180.8)+(-1.357722+(-1.872414--1.204416))+0-378.8--0.38637600000006</f>
        <v>1605.5606560000001</v>
      </c>
      <c r="M133" s="3">
        <f>1330.9+(1983.5-1194.5)+(1.357518+(2.02317-1.21839))+0-395.9-0.403818000000063</f>
        <v>1725.7584800000002</v>
      </c>
      <c r="N133" s="3">
        <f>1477.9+(1943.8-1213)+(-3.014916+(-3.965352--2.47452))+0-393.2--0.802127999999983</f>
        <v>1811.7963799999998</v>
      </c>
      <c r="O133" s="3">
        <f>1539.5+(1970.1-1322.5)+(0.785145+(1.004751-0.674475))+0-395.6-0.20175599999996</f>
        <v>1792.413665</v>
      </c>
      <c r="P133" s="3">
        <f>1754.5+(2127.6-1510.3)+(1.78959+(2.170152-1.540506))+0-388-0.395760000000062</f>
        <v>1985.8234760000003</v>
      </c>
      <c r="Q133" s="3">
        <f>2091.4+(1596.2-1193.6)+(3.199842+(2.442186-1.826208))+0-384.5-0.588285000000022</f>
        <v>2112.727535</v>
      </c>
      <c r="R133" s="3">
        <f>2191.7+(1102.2-789.8)+(1.117767+(0.562122-0.402798))+0-400-0.203999999999959</f>
        <v>2105.1730909999997</v>
      </c>
      <c r="S133" s="3">
        <f>2195.7+(975.8-734.2)+(-1.119807+(-0.497658--0.374442))+0-401.3--0.204662999999959</f>
        <v>2034.9616399999998</v>
      </c>
      <c r="T133" s="3">
        <f>2198.5+(749.4-485.5)+(0+(0-0))+0-399.3-0</f>
        <v>2063.1</v>
      </c>
      <c r="U133" s="3">
        <f>2193.4+(720-482.1)+(-3.355902+(-1.1016--0.737613))+0-396.3--0.606339000000023</f>
        <v>2031.8864500000002</v>
      </c>
      <c r="V133" s="3">
        <f>2192.1+(771.9-486.2)+(-2.235942+(-0.787338--0.495924))+0-398.9--0.406878000000064</f>
        <v>2076.7795219999998</v>
      </c>
      <c r="W133" s="3">
        <f>2078.2+(823.2-458.7)+(-1.059882+(-0.419832--0.233937))+0-397--0.20246999999996</f>
        <v>2044.6566929999997</v>
      </c>
      <c r="X133" s="3">
        <f>1863.4+(1292.5-780.8)+(-1.900668+(-1.31835--0.796416))+0-390.9--0.398718000000062</f>
        <v>1982.1761160000003</v>
      </c>
      <c r="Y133" s="3">
        <f>1866+(1459.1-988.9)+(1.90332+(1.488282-1.008678))+0-401-0.409020000000064</f>
        <v>1937.1739039999998</v>
      </c>
      <c r="Z133" s="3">
        <f>2008.8+(1753-1312.8)+(-1.024488+(-0.89403--0.669528))+0-396.8--0.20236799999996</f>
        <v>2051.1533779999995</v>
      </c>
      <c r="AA133" s="3">
        <f>2075.6+(1307.1-854.4)+(-5.29278+(-3.333105--2.17872))+0-386.2--0.984809999999944</f>
        <v>2136.6376449999998</v>
      </c>
      <c r="AB133" s="3">
        <f>1973.1+(1502.5-1018.2)+(1.006281+(0.766275-0.519282))+0-365.1-0.186200999999963</f>
        <v>2093.3670729999999</v>
      </c>
      <c r="AC133" s="3">
        <f>1907.5+(1812.2-1347.9)+(-0.972825+(-0.924222--0.687429))+0-362.3--0.184772999999963</f>
        <v>2008.4751550000003</v>
      </c>
      <c r="AD133">
        <v>2151.6999999999998</v>
      </c>
      <c r="AE133" s="3">
        <f>2066+(1366.5-869.5)+(0+(0-0))+0-409.3-0</f>
        <v>2153.6999999999998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1839.1+(2463.4-2020.8)+(-4.689705+(-6.28167--5.15304))+0-365--0.930749999999947</f>
        <v>1911.8124149999999</v>
      </c>
      <c r="G134" s="3">
        <f>1567.5+(2421.1-1810.2)+(-3.1977+(-4.939044--3.692808))+0-365.3--0.745211999999984</f>
        <v>1809.4012759999996</v>
      </c>
      <c r="H134" s="3">
        <f>1547.9+(2400.2-1825.3)+(-5.526003+(-8.568714--6.516321))+0-363.7--1.29840900000001</f>
        <v>1752.8200130000002</v>
      </c>
      <c r="I134" s="3">
        <f>1548+(2299.9-1763.3)+(-0.78948+(-1.172949--0.899283))+0-364.4--0.185843999999963</f>
        <v>1719.3226980000002</v>
      </c>
      <c r="J134" s="3">
        <f>1547.9+(2198.3-1650)+(-0.789429+(-1.121133--0.8415))+0-364.8--0.186047999999963</f>
        <v>1730.5169860000003</v>
      </c>
      <c r="K134" s="3">
        <f>1547.5+(2064.9-1594.7)+(-0.789225+(-1.053099--0.813297))+0-354.8--0.180947999999964</f>
        <v>1662.051921</v>
      </c>
      <c r="L134" s="3">
        <f>1545.7+(2012-1572.9)+(-1.576614+(-2.05224--1.604358))+0-360.7--0.367914000000058</f>
        <v>1622.4434180000001</v>
      </c>
      <c r="M134" s="3">
        <f>1545.2+(1598.1-1116.5)+(2.364156+(2.445093-1.708245))+0-359.2-0.549576000000021</f>
        <v>1670.1514279999999</v>
      </c>
      <c r="N134" s="3">
        <f>1544.7+(1841.3-1236.8)+(-0.787797+(-0.939063--0.630768))+0-355.8--0.181457999999964</f>
        <v>1792.4853659999997</v>
      </c>
      <c r="O134" s="3">
        <f>1595.8+(2039.7-1437)+(2.441574+(3.120741-2.19861))+0-352.5-0.53932500000002</f>
        <v>1848.8243800000002</v>
      </c>
      <c r="P134" s="3">
        <f>1737.6+(1256.3-833.2)+(1.772352+(1.281426-0.849864))+0-355.6-0.362712000000057</f>
        <v>1806.941202</v>
      </c>
      <c r="Q134" s="3">
        <f>1845.4+(816.3-268.7)+(1.882308+(0.832626-0.274074))+0-359.1-0.366282000000057</f>
        <v>2035.9745780000003</v>
      </c>
      <c r="R134" s="3">
        <f>1975.5+(768.3-307.6)+(0+(0-0))+0-362.6-0</f>
        <v>2073.6</v>
      </c>
      <c r="S134" s="3">
        <f>1993.7+(671.5-327)+(-1.016787+(-0.342465--0.16677))+0-357.1--0.182120999999964</f>
        <v>1980.089639</v>
      </c>
      <c r="T134" s="3">
        <f>2184+(619.5-441.5)+(-2.22768+(-0.63189--0.45033))+0-363.5--0.370770000000058</f>
        <v>1996.46153</v>
      </c>
      <c r="U134" s="3">
        <f>2203+(615-406.4)+(-4.49412+(-1.2546--0.829056))+0-363.1--0.740723999999984</f>
        <v>2044.32106</v>
      </c>
      <c r="V134" s="3">
        <f>1987+(785.9-354.6)+(-1.01337+(-0.400809--0.180846))+0-357.9--0.182528999999964</f>
        <v>2059.3491960000001</v>
      </c>
      <c r="W134" s="3">
        <f>1775.6+(1006.8-368)+(-1.811112+(-1.026936--0.37536))+0-358.2--0.365364000000057</f>
        <v>2054.102676</v>
      </c>
      <c r="X134" s="3">
        <f>1715.5+(1506.4-731.5)+(-2.624715+(-2.304792--1.119195))+0-359.1--0.549423000000021</f>
        <v>2128.039111</v>
      </c>
      <c r="Y134" s="3">
        <f>1711.4+(1292.4-774.8)+(1.745628+(1.318248-0.790296))+0-360.4-0.367608000000057</f>
        <v>1870.5059719999999</v>
      </c>
      <c r="Z134" s="3">
        <f>1748.6+(1362.5-769.8)+(0.891786+(0.694875-0.392598))+0-362.5-0.184874999999963</f>
        <v>1979.8091880000002</v>
      </c>
      <c r="AA134" s="3">
        <f>1765.8+(1171.5-446.8)+(-0.900558+(-0.597465--0.227868))+0-355.1--0.181100999999964</f>
        <v>2134.3109460000001</v>
      </c>
      <c r="AB134" s="3">
        <f>1764.9+(1273.4-555.3)+(-1.800198+(-1.298868--0.566406))+0-349--0.355980000000056</f>
        <v>2131.8233200000004</v>
      </c>
      <c r="AC134" s="3">
        <f>1762.9+(1402.8-752.7)+(0.899079+(0.715428-0.383877))+0-372-0.189719999999962</f>
        <v>2042.0409100000002</v>
      </c>
      <c r="AD134">
        <v>2120.1999999999998</v>
      </c>
      <c r="AE134" s="3">
        <f>1764+(1106.7-397.5)+(0+(0-0))+0-353-0</f>
        <v>2120.1999999999998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1736.8+(1804.4-1115.6)+(0.885768+(0.920244-0.568956))+0-387.1-0.197420999999961</f>
        <v>2039.5396350000005</v>
      </c>
      <c r="G135" s="3">
        <f>1666.3+(2348.7-1683.3)+(-3.399252+(-4.791348--3.433932))+0-400--0.815999999999983</f>
        <v>1927.7593319999999</v>
      </c>
      <c r="H135" s="3">
        <f>1629.2+(2510-1765.9)+(-0.830892+(-1.2801--0.900609))+0-405.4--0.206753999999959</f>
        <v>1966.896371</v>
      </c>
      <c r="I135" s="3">
        <f>1381+(2413.1-1641.2)+(2.11293+(3.692043-2.511036))+0-397.3-0.607869000000023</f>
        <v>1758.2860679999997</v>
      </c>
      <c r="J135" s="3">
        <f>1334.4+(2420.8-1585.4)+(-0.680544+(-1.234608--0.808554))+0-397.9--0.20292899999996</f>
        <v>1770.9963310000003</v>
      </c>
      <c r="K135" s="3">
        <f>1334.5+(2379.8-1701.9)+(0+(0-0))+0-389.2-0</f>
        <v>1623.2</v>
      </c>
      <c r="L135" s="3">
        <f>1335+(2336.5-1702.7)+(-1.3617+(-2.38323--1.736754))+0-394.5--0.402390000000063</f>
        <v>1572.6942139999999</v>
      </c>
      <c r="M135" s="3">
        <f>1362.2+(2062.7-1348)+(0+(0-0))+0-399-0</f>
        <v>1677.8999999999996</v>
      </c>
      <c r="N135" s="3">
        <f>1530.2+(1981.3-1315.9)+(0.780402+(1.010463-0.671109))+0-389.8-0.19879799999996</f>
        <v>1806.7209580000001</v>
      </c>
      <c r="O135" s="3">
        <f>1531.3+(2050-1262.9)+(3.123852+(4.182-2.576316))+0-376.9-0.768875999999983</f>
        <v>1945.4606599999993</v>
      </c>
      <c r="P135" s="3">
        <f>1519.4+(1549.6-669.6)+(1.549788+(1.580592-0.682992))+0-381.1-0.388722000000061</f>
        <v>2020.3586660000001</v>
      </c>
      <c r="Q135" s="3">
        <f>1642.3+(1098.9-281.4)+(1.675146+(1.120878-0.287028))+0-384.1-0.391782000000061</f>
        <v>2077.8172140000001</v>
      </c>
      <c r="R135" s="3">
        <f>1927+(816.2-277.6)+(-2.94831+(-1.248786--0.424728))+0-386.4--0.591192000000022</f>
        <v>2076.0188239999998</v>
      </c>
      <c r="S135" s="3">
        <f>1973.6+(675.5-230.2)+(-2.013072+(-0.68901--0.234804))+0-387--0.394740000000062</f>
        <v>2029.827462</v>
      </c>
      <c r="T135" s="3">
        <f>1974.1+(762.5-378.6)+(0+(0-0))+0-398.4-0</f>
        <v>1959.6</v>
      </c>
      <c r="U135" s="3">
        <f>1971.5+(795.6-383)+(-2.01093+(-0.811512--0.39066))+0-386.2--0.393924000000062</f>
        <v>1995.8621419999997</v>
      </c>
      <c r="V135" s="3">
        <f>1970.3+(682.1-227.1)+(3.014559+(1.043613-0.347463))+0-390.3-0.597159000000023</f>
        <v>2038.1135500000003</v>
      </c>
      <c r="W135" s="3">
        <f>1966.7+(808.3-273)+(-3.009051+(-1.236699--0.41769))+0-386.5--0.591345000000022</f>
        <v>2112.263285</v>
      </c>
      <c r="X135" s="3">
        <f>1965.5+(1232.1-592.7)+(-4.00962+(-2.513484--1.209108))+0-395.4--0.806615999999983</f>
        <v>2204.9926199999995</v>
      </c>
      <c r="Y135" s="3">
        <f>1882.1+(1608.6-1081.2)+(0.959871+(0.820386-0.551412))+0-395.1-0.20150099999996</f>
        <v>2015.4273440000002</v>
      </c>
      <c r="Z135" s="3">
        <f>1873.1+(1151.8-613.2)+(0.955281+(0.587418-0.312732))+0-392.1-0.19997099999996</f>
        <v>2020.6299960000001</v>
      </c>
      <c r="AA135" s="3">
        <f>1900.2+(1098.1-379.4)+(-4.84551+(-2.800155--0.96747))+0-392--0.999599999999943</f>
        <v>2221.2214050000002</v>
      </c>
      <c r="AB135" s="3">
        <f>1874.2+(1244.7-496.7)+(-1.911684+(-1.269594--0.506634))+0-390.3--0.398106000000062</f>
        <v>2229.6234619999996</v>
      </c>
      <c r="AC135" s="3">
        <f>1854.8+(1579.4-942.7)+(-0.945948+(-0.805494--0.480777))+0-389.2--0.198491999999961</f>
        <v>2101.2278270000002</v>
      </c>
      <c r="AD135">
        <v>2202.3999999999996</v>
      </c>
      <c r="AE135" s="3">
        <f>1897+(1072.5-355.8)+(0+(0-0))+0-411.3-0</f>
        <v>2202.3999999999996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1783.8+(2118.6-1547.1)+(-0.909738+(-1.080486--0.789021))+0-392.1--0.19997099999996</f>
        <v>1962.1987680000002</v>
      </c>
      <c r="G136" s="3">
        <f>1679.5+(2496.5-1918.1)+(-4.282725+(-6.366075--4.891155))+0-389.9--0.994244999999943</f>
        <v>1863.2365999999997</v>
      </c>
      <c r="H136" s="3">
        <f>1549.6+(2449.5-1808.8)+(-1.580592+(-2.49849--1.844976))+0-398.9--0.406878000000064</f>
        <v>1789.5727720000002</v>
      </c>
      <c r="I136" s="3">
        <f>1547.4+(2707.4-2098.9)+(0.789174+(1.380774-1.070439))+0-387-0.197369999999961</f>
        <v>1769.8021390000004</v>
      </c>
      <c r="J136" s="3">
        <f>1549.7+(2610.9-1990.8)+(-0.790347+(-1.331559--1.015308))+0-372.3--0.189872999999962</f>
        <v>1796.5832750000004</v>
      </c>
      <c r="K136" s="3">
        <f>1549.4+(2560.1-1992.6)+(-0.790194+(-1.305651--1.016226))+0-395.2--0.20155199999996</f>
        <v>1720.8219329999999</v>
      </c>
      <c r="L136" s="3">
        <f>1547.3+(2023.7-1503.9)+(-2.367369+(-3.096261--2.300967))+0-400.8--0.613224000000023</f>
        <v>1663.7505609999998</v>
      </c>
      <c r="M136" s="3">
        <f>1545.6+(1564.9-1013.7)+(0.788256+(0.798099-0.516987))+0-389-0.198389999999961</f>
        <v>1708.6709780000001</v>
      </c>
      <c r="N136" s="3">
        <f>1545.5+(2137.3-1455.3)+(0+(0-0))+0-385.3-0</f>
        <v>1842.2</v>
      </c>
      <c r="O136" s="3">
        <f>1544.7+(2000.1-1188.6)+(2.363391+(3.060153-1.818558))+0-390.5-0.597465000000023</f>
        <v>1968.7075209999996</v>
      </c>
      <c r="P136" s="3">
        <f>1551.7+(1331.9-465)+(1.582734+(1.358538-0.4743))+0-378.4-0.38596800000006</f>
        <v>2042.2810040000004</v>
      </c>
      <c r="Q136" s="3">
        <f>1721.2+(1092.2-212.9)+(2.633436+(1.671066-0.325737))+0-385.9-0.590427000000022</f>
        <v>2217.9883379999997</v>
      </c>
      <c r="R136" s="3">
        <f>1726.4+(923-147.7)+(-0.880464+(-0.47073--0.075327))+0-387.4--0.197573999999961</f>
        <v>2113.2217069999997</v>
      </c>
      <c r="S136" s="3">
        <f>1935.1+(751.8-243.6)+(-0.986901+(-0.383418--0.124236))+0-391.3--0.19956299999996</f>
        <v>2050.9534799999997</v>
      </c>
      <c r="T136" s="3">
        <f>2120.8+(788.9-479.5)+(1.081608+(0.402339-0.244545))+0-395.2-0.20155199999996</f>
        <v>2036.0378500000004</v>
      </c>
      <c r="U136" s="3">
        <f>2202.4+(700.1-486.1)+(1.123224+(0.357051-0.247911))+0-398.9-0.20343899999996</f>
        <v>2018.5289250000001</v>
      </c>
      <c r="V136" s="3">
        <f>2177.1+(627.3-382.2)+(-1.110321+(-0.319923--0.194922))+0-386.2--0.196961999999961</f>
        <v>2034.9616399999998</v>
      </c>
      <c r="W136" s="3">
        <f>1988.8+(789.4-369.9)+(-3.042864+(-1.207782--0.565947))+0-387--0.592110000000022</f>
        <v>2018.2074110000003</v>
      </c>
      <c r="X136" s="3">
        <f>1820.8+(1413.3-881.9)+(-0.928608+(-0.720783--0.449769))+0-385.5--0.196604999999961</f>
        <v>1965.6969829999996</v>
      </c>
      <c r="Y136" s="3">
        <f>1687.9+(1786.1-1130.3)+(-1.721658+(-1.821822--1.152906))+0-396.9--0.404838000000063</f>
        <v>1944.8142639999999</v>
      </c>
      <c r="Z136" s="3">
        <f>1947+(1325-710.7)+(-1.98594+(-1.3515--0.724914))+0-385.4--0.393108000000061</f>
        <v>2173.6805820000004</v>
      </c>
      <c r="AA136" s="3">
        <f>2056.1+(1206.3-756.2)+(-3.145833+(-1.845639--1.156986))+0-365.3--0.558909000000021</f>
        <v>2137.6244229999993</v>
      </c>
      <c r="AB136" s="3">
        <f>1982.4+(1620.1-1109.3)+(1.011024+(0.826251-0.565743))+0-383.3-0.195482999999961</f>
        <v>2110.9760489999999</v>
      </c>
      <c r="AC136" s="3">
        <f>1780.6+(1868.6-1206.7)+(-0.908106+(-0.952986--0.615417))+0-381.7--0.194666999999961</f>
        <v>2059.7489919999998</v>
      </c>
      <c r="AD136">
        <v>2208.6000000000004</v>
      </c>
      <c r="AE136" s="3">
        <f>2063+(1019.8-511)+(0+(0-0))+0-363.2-0</f>
        <v>2208.6000000000004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1623+(2153.6-1460.2)+(0+(0-0))+0-354.7-0</f>
        <v>1961.6999999999996</v>
      </c>
      <c r="G137" s="3">
        <f>1549.6+(2457.8-1780.5)+(-0.790296+(-1.253478--0.908055))+0-359.5--0.183344999999964</f>
        <v>1866.4476260000001</v>
      </c>
      <c r="H137" s="3">
        <f>1546.9+(2201.8-1577.5)+(-1.577838+(-2.245836--1.60905))+0-377.6--0.38515200000006</f>
        <v>1791.7705280000002</v>
      </c>
      <c r="I137" s="3">
        <f>1546.2+(1947.5-1354.7)+(-1.577124+(-1.98645--1.381794))+0-393.4--0.401268000000063</f>
        <v>1743.8194880000001</v>
      </c>
      <c r="J137" s="3">
        <f>1547+(2460.2-1836.5)+(-3.15588+(-5.018808--3.74646))+0-387.4--0.790295999999983</f>
        <v>1779.6620679999994</v>
      </c>
      <c r="K137" s="3">
        <f>1547.7+(2505.5-1940.3)+(-3.157308+(-5.11122--3.958212))+0-385.4--0.786215999999983</f>
        <v>1723.9758999999999</v>
      </c>
      <c r="L137" s="3">
        <f>1546.2+(1943.6-1448.7)+(-3.154248+(-3.964944--2.955348))+0-387.8--0.791111999999983</f>
        <v>1649.9272679999999</v>
      </c>
      <c r="M137" s="3">
        <f>1545.8+(1698.2-1187.7)+(3.94179+(4.33041-3.028635))+0-391-0.997049999999943</f>
        <v>1669.5465150000005</v>
      </c>
      <c r="N137" s="3">
        <f>1543.3+(1973.6-1325.6)+(1.574166+(2.013072-1.352112))+0-385.7-0.393414000000061</f>
        <v>1807.4417120000001</v>
      </c>
      <c r="O137" s="3">
        <f>1522.8+(1918.6-1162.6)+(1.553256+(1.956972-1.185852))+0-367.5-0.374850000000059</f>
        <v>1913.2495260000001</v>
      </c>
      <c r="P137" s="3">
        <f>1556.6+(1185.4-395.9)+(2.381598+(1.813662-0.605727))+0-372.9-0.570537000000022</f>
        <v>1976.2189959999996</v>
      </c>
      <c r="Q137" s="3">
        <f>1641+(992.1-216.3)+(3.34764+(2.023884-0.441252))+0-367.4-0.749495999999984</f>
        <v>2053.5807760000002</v>
      </c>
      <c r="R137" s="3">
        <f>1639.7+(1016.4-150.4)+(1.672494+(1.036728-0.153408))+0-374.4-0.38188800000006</f>
        <v>2133.4739259999997</v>
      </c>
      <c r="S137" s="3">
        <f>1639.9+(931.7-194.2)+(-0.836349+(-0.475167--0.099042))+0-365.4--0.186353999999963</f>
        <v>2010.97388</v>
      </c>
      <c r="T137" s="3">
        <f>1636.5+(884.1-194.5)+(-0.834615+(-0.450891--0.099195))+0-360.6--0.183905999999963</f>
        <v>1964.497595</v>
      </c>
      <c r="U137" s="3">
        <f>1627.7+(843.2-148.3)+(-3.320508+(-1.720128--0.302532))+0-351.8--0.717671999999985</f>
        <v>1966.7795680000004</v>
      </c>
      <c r="V137" s="3">
        <f>1630.4+(926.7-202.5)+(0.831504+(0.472617-0.103275))+0-361.4-0.184313999999963</f>
        <v>1994.2165320000006</v>
      </c>
      <c r="W137" s="3">
        <f>1544.1+(1110.3-347.6)+(-2.362473+(-1.698759--0.531828))+0-366.3--0.560439000000021</f>
        <v>1937.531035</v>
      </c>
      <c r="X137" s="3">
        <f>1541.8+(1593.8-862.2)+(-1.572636+(-1.625676--0.879444))+0-360.9--0.368118000000058</f>
        <v>1910.5492499999998</v>
      </c>
      <c r="Y137" s="3">
        <f>1558.1+(1728.8-1030.8)+(0+(0-0))+0-357.7-0</f>
        <v>1898.3999999999999</v>
      </c>
      <c r="Z137" s="3">
        <f>1859.7+(1554.2-967.4)+(-1.896894+(-1.585284--0.986748))+0-353.6--0.360672000000056</f>
        <v>2090.7652420000004</v>
      </c>
      <c r="AA137" s="3">
        <f>2049.9+(1430.9-975.4)+(-5.227245+(-3.648795--2.48727))+0-369.9--0.943244999999946</f>
        <v>2130.0544749999999</v>
      </c>
      <c r="AB137" s="3">
        <f>1906.2+(1717.5-1216.6)+(-1.944324+(-1.75185--1.240932))+0-356.5--0.363630000000057</f>
        <v>2048.5083880000002</v>
      </c>
      <c r="AC137" s="3">
        <f>1834.3+(2046.3-1458.7)+(-1.870986+(-2.087226--1.487874))+0-383.4--0.391068000000061</f>
        <v>2036.4207299999996</v>
      </c>
      <c r="AD137">
        <v>2149.5000000000005</v>
      </c>
      <c r="AE137" s="3">
        <f>1975+(1371.3-812.2)+(0+(0-0))+0-384.6-0</f>
        <v>2149.5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1831.4+(2110.4-1611.3)+(-0.934014+(-1.076304--0.821763))+0-386.1--0.196910999999961</f>
        <v>1943.4083559999999</v>
      </c>
      <c r="G138" s="3">
        <f>1673.1+(2326.9-1748.4)+(-1.706562+(-2.373438--1.783368))+0-383.5--0.391170000000061</f>
        <v>1866.194538</v>
      </c>
      <c r="H138" s="3">
        <f>1559.2+(2358.7-1743.7)+(-4.771152+(-7.217622--5.335722))+0-383.3--1.17289800000004</f>
        <v>1785.4198459999998</v>
      </c>
      <c r="I138" s="3">
        <f>1559.5+(2297.6-1730.9)+(1.59069+(2.343552-1.765518))+0-373.2-0.38066400000006</f>
        <v>1754.7880599999999</v>
      </c>
      <c r="J138" s="3">
        <f>1558.5+(2436.7-1829.7)+(-0.794835+(-1.242717--0.933147))+0-390.2--0.19900199999996</f>
        <v>1774.394597</v>
      </c>
      <c r="K138" s="3">
        <f>1558.3+(2440.2-1915)+(-0.794733+(-1.244502--0.97665))+0-391.7--0.19976699999996</f>
        <v>1690.9371819999999</v>
      </c>
      <c r="L138" s="3">
        <f>1558+(1989.7-1563.4)+(-3.17832+(-4.058988--3.189336))+0-381.5--0.778259999999983</f>
        <v>1599.5302879999999</v>
      </c>
      <c r="M138" s="3">
        <f>1557.9+(1792.9-1379.9)+(-3.178116+(-3.657516--2.814996))+0-385--0.785399999999983</f>
        <v>1582.6647640000001</v>
      </c>
      <c r="N138" s="3">
        <f>1543.2+(1569.6-1101.6)+(0+(0-0))+0-380.2-0</f>
        <v>1631</v>
      </c>
      <c r="O138" s="3">
        <f>1506.2+(1843.7-1255.6)+(0+(0-0))+0-393.4-0</f>
        <v>1700.9</v>
      </c>
      <c r="P138" s="3">
        <f>1520.1+(1953.1-1293.6)+(-1.550502+(-1.992162--1.319472))+0-395.2--0.403104000000063</f>
        <v>1782.5799119999999</v>
      </c>
      <c r="Q138" s="3">
        <f>1537.9+(2224.7-1545.5)+(1.568658+(2.269194-1.57641))+0-379.5-0.387090000000061</f>
        <v>1839.4743519999997</v>
      </c>
      <c r="R138" s="3">
        <f>1546.3+(2217.1-1473.5)+(-1.577226+(-2.261442--1.50297))+0-379--0.38658000000006</f>
        <v>1908.9508819999999</v>
      </c>
      <c r="S138" s="3">
        <f>1547.8+(2065.3-1338.1)+(0.789378+(1.053303-0.682431))+0-389-0.198389999999961</f>
        <v>1886.9618599999999</v>
      </c>
      <c r="T138" s="3">
        <f>1550.3+(1956.6-1243.9)+(-0.790653+(-0.997866--0.634389))+0-391.8--0.19981799999996</f>
        <v>1870.2456880000002</v>
      </c>
      <c r="U138" s="3">
        <f>1545.1+(1967.4-1242.1)+(-0.788001+(-1.003374--0.633471))+0-387.8--0.197777999999961</f>
        <v>1881.639874</v>
      </c>
      <c r="V138" s="3">
        <f>1541.3+(2045.9-1304.9)+(0+(0-0))+0-386.6-0</f>
        <v>1895.7000000000003</v>
      </c>
      <c r="W138" s="3">
        <f>1521.1+(2299.6-1550.8)+(-3.103044+(-4.691184--3.163632))+0-382.4--0.780095999999983</f>
        <v>1883.6494999999995</v>
      </c>
      <c r="X138" s="3">
        <f>1469.5+(2087.6-1384.7)+(-1.49889+(-2.129352--1.412394))+0-369.3--0.376686000000059</f>
        <v>1801.2608379999999</v>
      </c>
      <c r="Y138" s="3">
        <f>1512.4+(1890.8-1200.6)+(-1.542648+(-1.928616--1.224612))+0-378.1--0.38566200000006</f>
        <v>1822.6390100000008</v>
      </c>
      <c r="Z138" s="3">
        <f>1726.9+(2081.4-1390.3)+(-1.761438+(-2.123028--1.418106))+0-376.5--0.38403000000006</f>
        <v>2039.4176700000003</v>
      </c>
      <c r="AA138" s="3">
        <f>1774.8+(2082.7-1370.1)+(-2.715444+(-3.186531--2.096253))+0-373.6--0.571608000000022</f>
        <v>2110.5658859999999</v>
      </c>
      <c r="AB138" s="3">
        <f>1755.1+(2090.8-1408.3)+(-1.790202+(-2.132616--1.436466))+0-378--0.38556000000006</f>
        <v>2057.4992080000006</v>
      </c>
      <c r="AC138" s="3">
        <f>1677.8+(2118-1473.9)+(0.855678+(1.08018-0.751689))+0-370-0.188699999999962</f>
        <v>1952.8954689999998</v>
      </c>
      <c r="AD138">
        <v>2146.6</v>
      </c>
      <c r="AE138" s="3">
        <f>1773+(2201.4-1475.5)+(0+(0-0))+0-352.3-0</f>
        <v>2146.6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1615.1+(2255.5-1604.8)+(0+(0-0))+0-366.3-0</f>
        <v>1899.5000000000002</v>
      </c>
      <c r="G139" s="3">
        <f>1544.8+(2431.1-1820.8)+(-0.787848+(-1.239861--0.928608))+0-384.2--0.195941999999961</f>
        <v>1769.9968410000001</v>
      </c>
      <c r="H139" s="3">
        <f>1544.1+(2553.2-1972.3)+(-0.787491+(-1.302132--1.005873))+0-382.1--0.194870999999961</f>
        <v>1742.0111210000002</v>
      </c>
      <c r="I139" s="3">
        <f>1543.2+(2455.2-1936.4)+(-1.574064+(-2.504304--1.975128))+0-379.1--0.38668200000006</f>
        <v>1681.1834420000002</v>
      </c>
      <c r="J139" s="3">
        <f>1545.2+(2350-1809.8)+(-2.364156+(-3.5955--2.768994))+0-381.4--0.583542000000022</f>
        <v>1701.3928800000001</v>
      </c>
      <c r="K139" s="3">
        <f>1545.4+(2230.6-1783.2)+(-2.364462+(-3.412818--2.728296))+0-362.4--0.554472000000021</f>
        <v>1627.9054880000001</v>
      </c>
      <c r="L139" s="3">
        <f>1544.3+(1643.9-1350.6)+(-0.787593+(-0.838389--0.688806))+0-379.9--0.193748999999961</f>
        <v>1456.9565730000004</v>
      </c>
      <c r="M139" s="3">
        <f>1546.1+(1514.2-1008.4)+(1.577022+(1.544484-1.028568))+0-382.9-0.390558000000061</f>
        <v>1670.7023799999997</v>
      </c>
      <c r="N139" s="3">
        <f>1547.5+(1427.6-815.7)+(2.367675+(2.184228-1.248021))+0-355.4-0.543762000000021</f>
        <v>1806.7601199999997</v>
      </c>
      <c r="O139" s="3">
        <f>1546.4+(1775.3-927.8)+(0.788664+(0.905403-0.473178))+0-361.5-0.184364999999963</f>
        <v>2033.4365240000002</v>
      </c>
      <c r="P139" s="3">
        <f>1607.1+(1438.3-644.1)+(0+(0-0))+0-373.6-0</f>
        <v>2027.6999999999998</v>
      </c>
      <c r="Q139" s="3">
        <f>1814.2+(1208.2-556.6)+(0.925242+(0.616182-0.283866))+0-369.9-0.188648999999962</f>
        <v>2096.9689089999997</v>
      </c>
      <c r="R139" s="3">
        <f>2078.5+(1161.4-687.5)+(1.060035+(0.592314-0.350625))+0-366.1-0.186710999999963</f>
        <v>2187.4150130000003</v>
      </c>
      <c r="S139" s="3">
        <f>2043.9+(1158.1-763.8)+(-1.042389+(-0.590631--0.389538))+0-372.5--0.189974999999962</f>
        <v>2064.6464929999997</v>
      </c>
      <c r="T139" s="3">
        <f>2052+(919-670.4)+(1.04652+(0.46869-0.341904))+0-374.4-0.190943999999962</f>
        <v>1927.182362</v>
      </c>
      <c r="U139" s="3">
        <f>2138.3+(1099.4-806.2)+(-3.271599+(-1.682082--1.233486))+0-359.1--0.549423000000021</f>
        <v>2069.2292280000001</v>
      </c>
      <c r="V139" s="3">
        <f>2134+(1392.6-955.1)+(-1.08834+(-0.710226--0.487101))+0-344.2--0.175541999999965</f>
        <v>2226.1640769999999</v>
      </c>
      <c r="W139" s="3">
        <f>1973.4+(1738.7-1229)+(-4.025736+(-3.546948--2.50716))+0-376--0.767039999999984</f>
        <v>2102.8015160000004</v>
      </c>
      <c r="X139" s="3">
        <f>1722.3+(2031.7-1267.9)+(0+(0-0))+0-381.8-0</f>
        <v>2104.2999999999997</v>
      </c>
      <c r="Y139" s="3">
        <f>1581.3+(2084.5-1319)+(2.419389+(3.189285-2.01807))+0-381.1-0.583083000000022</f>
        <v>1968.7075210000003</v>
      </c>
      <c r="Z139" s="3">
        <f>1940.1+(1912.7-1338.6)+(0.989451+(0.975477-0.682686))+0-375.4-0.191453999999962</f>
        <v>2139.8907880000002</v>
      </c>
      <c r="AA139" s="3">
        <f>2069.2+(1847.3-1308.8)+(-3.165876+(-2.826369--2.002464))+0-361.4--0.552942000000021</f>
        <v>2242.8631609999993</v>
      </c>
      <c r="AB139" s="3">
        <f>2011.2+(2255.1-1625.5)+(3.077136+(3.450303-2.487015))+0-370.1-0.566253000000021</f>
        <v>2274.1741710000001</v>
      </c>
      <c r="AC139" s="3">
        <f>1931.9+(2205.4-1717.4)+(-0.985269+(-1.124754--0.875874))+0-370.6--0.189005999999962</f>
        <v>2048.2548570000004</v>
      </c>
      <c r="AD139">
        <v>2194.8000000000002</v>
      </c>
      <c r="AE139" s="3">
        <f>2060+(1787.9-1254.8)+(0+(0-0))+0-398.3-0</f>
        <v>2194.8000000000002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1661.5+(2410.3-1735.4)+(0.847365+(1.229253-0.885054))+0-368.1-0.187730999999963</f>
        <v>1969.3038330000004</v>
      </c>
      <c r="G140" s="3">
        <f>1567+(2549.1-1869.8)+(0+(0-0))+0-370.3-0</f>
        <v>1876.0000000000002</v>
      </c>
      <c r="H140" s="3">
        <f>1554.6+(2446.1-1821.4)+(2.378538+(3.742533-2.786742))+0-379-0.579870000000022</f>
        <v>1803.0544589999995</v>
      </c>
      <c r="I140" s="3">
        <f>1540.9+(2485.4-1875.2)+(0+(0-0))+0-377.8-0</f>
        <v>1773.3000000000004</v>
      </c>
      <c r="J140" s="3">
        <f>1541.9+(2340.9-1751)+(0.786369+(1.193859-0.89301))+0-373.2-0.190331999999962</f>
        <v>1759.4968860000004</v>
      </c>
      <c r="K140" s="3">
        <f>1540.6+(2178.2-1638.1)+(-0.785706+(-1.110882--0.835431))+0-380.7--0.194156999999961</f>
        <v>1699.1329999999996</v>
      </c>
      <c r="L140" s="3">
        <f>1547.2+(1882.6-1468.2)+(-5.523504+(-6.720882--5.241474))+0-380.7--1.35909900000001</f>
        <v>1575.256187</v>
      </c>
      <c r="M140" s="3">
        <f>1544.3+(1706.5-1204.7)+(0.787593+(0.870315-0.614397))+0-379-0.193289999999962</f>
        <v>1667.9502210000001</v>
      </c>
      <c r="N140" s="3">
        <f>1545.4+(1626.7-1027.5)+(1.576308+(1.659234-1.04805))+0-378.2-0.38576400000006</f>
        <v>1768.2017280000002</v>
      </c>
      <c r="O140" s="3">
        <f>1542.5+(2184.7-1394.4)+(0.786675+(1.114197-0.711144))+0-371.1-0.189260999999962</f>
        <v>1962.7004669999997</v>
      </c>
      <c r="P140" s="3">
        <f>1544.1+(2483.8-1608.5)+(1.574982+(2.533476-1.64067))+0-369.9-0.377298000000059</f>
        <v>2051.59049</v>
      </c>
      <c r="Q140" s="3">
        <f>1697.4+(2354.2-1574.9)+(-0.865674+(-1.200642--0.803199))+0-376.5--0.192014999999962</f>
        <v>2099.1288979999999</v>
      </c>
      <c r="R140" s="3">
        <f>1857.4+(2137.7-1523.4)+(0+(0-0))+0-375.6-0</f>
        <v>2096.1</v>
      </c>
      <c r="S140" s="3">
        <f>1862.4+(2208.6-1633.2)+(-4.74912+(-5.63193--4.16466))+0-373.3--0.951914999999946</f>
        <v>2059.2355250000001</v>
      </c>
      <c r="T140" s="3">
        <f>1867.8+(1955.5-1430.2)+(-1.905156+(-1.99461--1.458804))+0-365.2--0.372504000000058</f>
        <v>2025.8315419999999</v>
      </c>
      <c r="U140" s="3">
        <f>1862.5+(2018.4-1346.9)+(-0.949875+(-1.029384--0.686919))+0-367.8--0.187577999999963</f>
        <v>2165.0952379999999</v>
      </c>
      <c r="V140" s="3">
        <f>1855.7+(2010-1371.2)+(2.839221+(3.0753-2.097936))+0-367.4-0.562122000000021</f>
        <v>2130.3544630000001</v>
      </c>
      <c r="W140" s="3">
        <f>1806.5+(2378.7-1705)+(-0.921315+(-1.213137--0.86955))+0-374.2--0.190841999999962</f>
        <v>2104.9259400000001</v>
      </c>
      <c r="X140" s="3">
        <f>1718.9+(1239-616.9)+(-3.506556+(-2.52756--1.258476))+1.2-362.6--0.739703999999984</f>
        <v>1975.5640640000001</v>
      </c>
      <c r="Y140" s="3">
        <f>1758.4+(1244.8-617.4)+(-2.690352+(-1.904544--0.944622))+0-367.2--0.561816000000021</f>
        <v>2015.511542</v>
      </c>
      <c r="Z140" s="3">
        <f>2091.1+(1194.8-743.2)+(-1.066461+(-0.609348--0.379032))+0-368.8--0.188087999999963</f>
        <v>2172.7913109999995</v>
      </c>
      <c r="AA140" s="3">
        <f>2113.3+(1698.4-1129.9)+(-4.311132+(-3.464736--2.304996))+0-377.7--0.770507999999984</f>
        <v>2299.3996360000006</v>
      </c>
      <c r="AB140" s="3">
        <f>1883.7+(1847.4-1109.4)+(-1.921374+(-1.884348--1.131588))+0-359.8--0.366996000000057</f>
        <v>2259.592862</v>
      </c>
      <c r="AC140" s="3">
        <f>1784.1+(2040.4-1374.1)+(0+(0-0))+0-347.1-0</f>
        <v>2103.3000000000002</v>
      </c>
      <c r="AD140">
        <v>2247.6</v>
      </c>
      <c r="AE140" s="3">
        <f>2169+(1371.8-898.3)+(0+(0-0))+0-394.9-0</f>
        <v>2247.6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1732.8+(2262.5-1600.2)+(-5.302368+(-6.92325--4.896612))+0-341.1--1.04376600000004</f>
        <v>2047.7147600000001</v>
      </c>
      <c r="G141" s="3">
        <f>1550+(2660.4-1913.1)+(-3.9525+(-6.78402--4.878405))+0-342.2--0.87260999999995</f>
        <v>1950.114495</v>
      </c>
      <c r="H141" s="3">
        <f>1547.2+(2529.9-1863.9)+(-0.789072+(-1.290249--0.950589))+0-347.6--0.177275999999965</f>
        <v>1864.6485439999997</v>
      </c>
      <c r="I141" s="3">
        <f>1544+(2632.4-2004)+(0.78744+(1.342524-1.02204))+0-350.3-0.178652999999964</f>
        <v>1823.0292710000001</v>
      </c>
      <c r="J141" s="3">
        <f>1545.1+(2577.9-1947.2)+(-1.576002+(-2.629458--1.986144))+0-351.3--0.358326000000056</f>
        <v>1822.6390100000001</v>
      </c>
      <c r="K141" s="3">
        <f>1544+(2286.6-1810.6)+(-2.36232+(-3.498498--2.770218))+0-354.2--0.54192600000002</f>
        <v>1663.2513260000001</v>
      </c>
      <c r="L141" s="3">
        <f>1543.7+(1958-1597.5)+(-4.723722+(-5.99148--4.88835))+0-354.4--1.08446400000004</f>
        <v>1545.0576120000001</v>
      </c>
      <c r="M141" s="3">
        <f>1542.6+(1574.1-1091.5)+(-1.573452+(-1.605582--1.11333))+0-354.5--0.361590000000057</f>
        <v>1668.9958859999997</v>
      </c>
      <c r="N141" s="3">
        <f>1544.7+(1902.5-1238.5)+(1.575594+(1.94055-1.26327))+0-348.1-0.355062000000056</f>
        <v>1862.4978119999996</v>
      </c>
      <c r="O141" s="3">
        <f>1542.9+(2269.9-1472.5)+(-2.360637+(-3.472947--2.252925))+0-351.8--0.53825400000002</f>
        <v>1985.4575950000001</v>
      </c>
      <c r="P141" s="3">
        <f>1543.8+(2091.3-1210.7)+(0.787338+(1.066563-0.617457))+0-347.8-0.177377999999965</f>
        <v>2077.6590660000002</v>
      </c>
      <c r="Q141" s="3">
        <f>1631.6+(1657.8-918.6)+(0+(0-0))+0-355.9-0</f>
        <v>2014.8999999999996</v>
      </c>
      <c r="R141" s="3">
        <f>1739+(1547.2-867)+(-0.88689+(-0.789072--0.44217))+0-353--0.180029999999964</f>
        <v>2065.1462379999998</v>
      </c>
      <c r="S141" s="3">
        <f>1744.9+(1685.9-1033.7)+(-1.779798+(-1.719618--1.054374))+0-342.3--0.349146000000055</f>
        <v>2052.7041040000004</v>
      </c>
      <c r="T141" s="3">
        <f>1861.2+(1569.3-967.9)+(0.949212+(0.800343-0.493629))+0-341.3-0.174062999999965</f>
        <v>2122.3818629999996</v>
      </c>
      <c r="U141" s="3">
        <f>1839.8+(1742.7-1065.5)+(-2.814894+(-2.666331--1.630215))+0-343--0.52479000000002</f>
        <v>2170.6737800000001</v>
      </c>
      <c r="V141" s="3">
        <f>1727.3+(1876-1106.6)+(-4.404615+(-4.7838--2.82183))+0-337.2--0.859859999999951</f>
        <v>2153.9932749999998</v>
      </c>
      <c r="W141" s="3">
        <f>1627.7+(1972.5-1132.5)+(-3.320508+(-4.0239--2.3103))+0-342.4--0.698495999999985</f>
        <v>2120.9643879999999</v>
      </c>
      <c r="X141" s="3">
        <f>1616.8+(2146.3-1324)+(-4.947408+(-6.567678--4.05144))+0-345.6--1.05753600000004</f>
        <v>2087.0938900000006</v>
      </c>
      <c r="Y141" s="3">
        <f>1659.7+(1589.2-967.5)+(-1.692894+(-1.620984--0.98685))+0-346.5--0.353430000000055</f>
        <v>1932.9264020000001</v>
      </c>
      <c r="Z141" s="3">
        <f>1850.1+(1910.3-1267.1)+(0+(0-0))+0-344.9-0</f>
        <v>2148.4</v>
      </c>
      <c r="AA141" s="3">
        <f>1892.5+(2105.2-1397.3)+(-6.756225+(-7.515564--4.988361))+0-339.1--1.210587</f>
        <v>2253.2271589999996</v>
      </c>
      <c r="AB141" s="3">
        <f>1791.1+(2107.6-1371.6)+(-2.740383+(-3.224628--2.098548))+0-334.1--0.511173000000019</f>
        <v>2189.64471</v>
      </c>
      <c r="AC141" s="3">
        <f>1774.4+(2526.7-1755.4)+(-1.809888+(-2.577234--1.790508))+0-352.8--0.359856000000056</f>
        <v>2190.6632419999996</v>
      </c>
      <c r="AD141">
        <v>2316.7000000000003</v>
      </c>
      <c r="AE141" s="3">
        <f>1865+(2285.3-1489.1)+(0+(0-0))+0-344.5-0</f>
        <v>2316.7000000000003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1771.9+(2738.2-2027.2)+(-1.807338+(-2.792964--2.067744))+0-366.9--0.374238000000058</f>
        <v>2113.8416799999995</v>
      </c>
      <c r="G142" s="3">
        <f>1617.6+(2803.6-2119.5)+(-0.824976+(-1.429836--1.080945))+0-366.4--0.186863999999963</f>
        <v>1934.3129969999998</v>
      </c>
      <c r="H142" s="3">
        <f>1570.3+(2839.2-2171.7)+(0+(0-0))+0-370.6-0</f>
        <v>1867.2000000000003</v>
      </c>
      <c r="I142" s="3">
        <f>1550.4+(2613.3-2038.2)+(-2.372112+(-3.998349--3.118446))+0-371--0.567630000000021</f>
        <v>1751.815615</v>
      </c>
      <c r="J142" s="3">
        <f>1551.1+(2436.3-1854.1)+(2.373183+(3.727539-2.836773))+0-373.2-0.570996000000022</f>
        <v>1762.7929530000004</v>
      </c>
      <c r="K142" s="3">
        <f>1551.6+(2543.8-1955.9)+(-3.165264+(-5.189352--3.990036))+0-366.6--0.747863999999984</f>
        <v>1769.2832840000001</v>
      </c>
      <c r="L142" s="3">
        <f>1550.4+(2409.6-1889.6)+(-2.372112+(-3.686688--2.891088))+0-378.1--0.578493000000022</f>
        <v>1689.7107810000002</v>
      </c>
      <c r="M142" s="3">
        <f>1549.5+(2344.1-1818.8)+(0.790245+(1.195491-0.927588))+0-370.2-0.188801999999962</f>
        <v>1705.4693460000003</v>
      </c>
      <c r="N142" s="3">
        <f>1550.4+(2394.3-1700.5)+(0.790704+(1.221093-0.867255))+0-382-0.194819999999961</f>
        <v>1863.1497220000003</v>
      </c>
      <c r="O142" s="3">
        <f>1549.5+(2669.7-1832.2)+(1.58049+(2.723094-1.868844))+0-378.2-0.38576400000006</f>
        <v>2010.848976</v>
      </c>
      <c r="P142" s="3">
        <f>1551.9+(2617.9-1741.6)+(0+(0-0))+0-377.5-0</f>
        <v>2050.7000000000003</v>
      </c>
      <c r="Q142" s="3">
        <f>1688.6+(2657.9-1870)+(1.722372+(2.711058-1.9074))+0-384.3-0.391986000000061</f>
        <v>2094.3340439999997</v>
      </c>
      <c r="R142" s="3">
        <f>1739.6+(2390.4-1690)+(0.887196+(1.219104-0.8619))+0-384-0.195839999999961</f>
        <v>2057.0485600000002</v>
      </c>
      <c r="S142" s="3">
        <f>1758.6+(2568.5-1867.6)+(-2.690658+(-3.929805--2.857428))+0-391.4--0.598842000000023</f>
        <v>2064.9358069999998</v>
      </c>
      <c r="T142" s="3">
        <f>1768.3+(2426.6-1719)+(0+(0-0))+0-377.7-0</f>
        <v>2098.1999999999998</v>
      </c>
      <c r="U142" s="3">
        <f>1748.5+(2533.9-1794.5)+(-2.675205+(-3.876867--2.745585))+0-379.5--0.580635000000022</f>
        <v>2105.1741480000001</v>
      </c>
      <c r="V142" s="3">
        <f>1697.3+(2633.5-1864)+(-4.328115+(-6.715425--4.7532))+0-369.9--0.943244999999946</f>
        <v>2091.552905</v>
      </c>
      <c r="W142" s="3">
        <f>1669.6+(2637.9-1895.6)+(-2.554488+(-4.035987--2.900268))+0-371.6--0.568548000000021</f>
        <v>2037.178341</v>
      </c>
      <c r="X142" s="3">
        <f>1637.5+(2605.2-1879.8)+(-1.67025+(-2.657304--1.917396))+0-361--0.368220000000058</f>
        <v>1999.8580619999996</v>
      </c>
      <c r="Y142" s="3">
        <f>1684+(2215.5-1689.5)+(1.71768+(2.25981-1.72329))+0-360.7-0.367914000000058</f>
        <v>1851.1862859999997</v>
      </c>
      <c r="Z142" s="3">
        <f>1911.9+(2620-2008.8)+(-3.900276+(-5.3448--4.097952))+0-353.9--0.721955999999985</f>
        <v>2164.7748320000001</v>
      </c>
      <c r="AA142" s="3">
        <f>2025.9+(2546-1997.8)+(-5.166045+(-6.4923--5.09439))+0-366.6--0.934829999999947</f>
        <v>2201.8708750000005</v>
      </c>
      <c r="AB142" s="3">
        <f>1957.9+(2560.5-1961.4)+(-1.997058+(-2.61171--2.000628))+0-395.4--0.403308000000063</f>
        <v>2159.395168</v>
      </c>
      <c r="AC142" s="3">
        <f>1895.5+(2546.1-1968.8)+(-1.93341+(-2.597022--2.008176))+0-368.5--0.375870000000059</f>
        <v>2102.1536139999998</v>
      </c>
      <c r="AD142">
        <v>2265.5000000000005</v>
      </c>
      <c r="AE142" s="3">
        <f>2023+(2702.6-2113.4)+(0+(0-0))+0-346.7-0</f>
        <v>2265.5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1895.9+(2625.7-2132.6)+(-4.834545+(-6.695535--5.43813))+0-370.8--0.945539999999946</f>
        <v>2013.05359</v>
      </c>
      <c r="G143" s="3">
        <f>1738+(2644.6-2144.6)+(-4.4319+(-6.74373--5.46873))+0-371--0.946049999999946</f>
        <v>1862.2391499999999</v>
      </c>
      <c r="H143" s="3">
        <f>1546.5+(2625.9-2026.5)+(-3.943575+(-6.696045--5.167575))+0-380.1--0.969254999999945</f>
        <v>1761.2972100000002</v>
      </c>
      <c r="I143" s="3">
        <f>1547.5+(2378.2-1822.5)+(-1.57845+(-2.425764--1.85895))+0-377.2--0.38474400000006</f>
        <v>1724.2394799999995</v>
      </c>
      <c r="J143" s="3">
        <f>1545.9+(2268.3-1704.7)+(-2.365227+(-3.470499--2.608191))+0-365--0.558450000000021</f>
        <v>1741.830915</v>
      </c>
      <c r="K143" s="3">
        <f>1546.3+(2033.4-1555.5)+(-0.788613+(-1.037034--0.793305))+0-364.9--0.186098999999963</f>
        <v>1658.4537570000002</v>
      </c>
      <c r="L143" s="3">
        <f>1535.6+(1942.1-1488.9)+(-4.698936+(-5.942826--4.556034))+0-370.8--1.13464800000004</f>
        <v>1613.0489199999997</v>
      </c>
      <c r="M143" s="3">
        <f>1534.4+(1954.3-1434.8)+(0+(0-0))+0-355.4-0</f>
        <v>1698.5</v>
      </c>
      <c r="N143" s="3">
        <f>1530.9+(2417.7-1700.1)+(0+(0-0))+0-366.1-0</f>
        <v>1882.4</v>
      </c>
      <c r="O143" s="3">
        <f>1530.3+(2420.6-1645.2)+(0+(0-0))+0-362.5-0</f>
        <v>1943.1999999999998</v>
      </c>
      <c r="P143" s="3">
        <f>1651.1+(2268.8-1638)+(-0.842061+(-1.157088--0.83538))+0-263.7--0.134486999999973</f>
        <v>2017.1707180000003</v>
      </c>
      <c r="Q143" s="3">
        <f>1718.2+(2470.2-1811.3)+(3.505128+(5.039208-3.695052))+0-349.3-0.712571999999985</f>
        <v>2031.9367119999999</v>
      </c>
      <c r="R143" s="3">
        <f>1825.3+(2458.8-1810.8)+(-3.723612+(-5.015952--3.694032))+0-359.5--0.733379999999984</f>
        <v>2109.4878480000002</v>
      </c>
      <c r="S143" s="3">
        <f>1860.4+(2758-2191.2)+(-4.74402+(-7.0329--5.58756))+0-371--0.946049999999946</f>
        <v>2050.9566900000004</v>
      </c>
      <c r="T143" s="3">
        <f>1867.2+(2621.4-2041.4)+(-0.952272+(-1.336914--1.041114))+0-369.8--0.188597999999962</f>
        <v>2076.340526</v>
      </c>
      <c r="U143" s="3">
        <f>1860.7+(2698.4-2106.1)+(-1.897914+(-2.752368--2.148222))+0-379.1--0.38668200000006</f>
        <v>2071.7846220000001</v>
      </c>
      <c r="V143" s="3">
        <f>1862.9+(2690.5-2082.4)+(-0.950079+(-1.372155--1.062024))+0-391.2--0.19951199999996</f>
        <v>2078.7393020000004</v>
      </c>
      <c r="W143" s="3">
        <f>1859.1+(2651.8-2097.9)+(-1.896282+(-2.704836--2.139858))+0-389--0.396780000000062</f>
        <v>2021.93552</v>
      </c>
      <c r="X143" s="3">
        <f>1858.6+(2452-1936.9)+(-2.843658+(-3.75156--2.963457))+0-377.2--0.577116000000022</f>
        <v>1993.4453549999996</v>
      </c>
      <c r="Y143" s="3">
        <f>1871+(2157.7-1722.7)+(-1.90842+(-2.200854--1.757154))+0-359.5--0.366690000000057</f>
        <v>1944.51457</v>
      </c>
      <c r="Z143" s="3">
        <f>1899.1+(2670.8-2028.2)+(-3.874164+(-5.448432--4.137528))+0-372.9--0.760715999999984</f>
        <v>2164.3756479999997</v>
      </c>
      <c r="AA143" s="3">
        <f>1896.8+(2655.8-2022.6)+(-4.83684+(-6.77229--5.15763))+0-358.4--0.913919999999948</f>
        <v>2166.0624199999997</v>
      </c>
      <c r="AB143" s="3">
        <f>1896.5+(2549.2-1965.6)+(-2.901645+(-3.900276--3.007368))+0-361.9--0.553707000000021</f>
        <v>2114.9591539999997</v>
      </c>
      <c r="AC143" s="3">
        <f>1893.8+(2520.8-1989.1)+(-1.931676+(-2.571216--2.028882))+0-360.7--0.367914000000058</f>
        <v>2062.6939040000002</v>
      </c>
      <c r="AD143">
        <v>2165.8999999999996</v>
      </c>
      <c r="AE143" s="3">
        <f>1893+(2615.7-1953)+(0+(0-0))+0-389.8-0</f>
        <v>2165.8999999999996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1888.4+(2571.7-2110.6)+(-4.81542+(-6.557835--5.38203))+0-357--0.910349999999948</f>
        <v>1987.4191249999997</v>
      </c>
      <c r="G144" s="3">
        <f>1890.5+(1946.4-1579.1)+(-1.92831+(-1.985328--1.610682))+0-363.9--0.371178000000058</f>
        <v>1891.9682220000002</v>
      </c>
      <c r="H144" s="3">
        <f>1842.2+(1856.8-1517)+(-0.939522+(-0.946968--0.77367))+0-359.4--0.183293999999964</f>
        <v>1821.670474</v>
      </c>
      <c r="I144" s="3">
        <f>1608.5+(1761.7-1235.7)+(0+(0-0))+0-370.3-0</f>
        <v>1764.2</v>
      </c>
      <c r="J144" s="3">
        <f>1547.8+(1542.4-944.4)+(2.368134+(2.359872-1.444932))+0-373.3-0.571149000000022</f>
        <v>1775.2119250000001</v>
      </c>
      <c r="K144" s="3">
        <f>1549.1+(1882.3-1334)+(-5.530287+(-6.719811--4.76238))+0-374.2--1.33589400000001</f>
        <v>1717.0481759999998</v>
      </c>
      <c r="L144" s="3">
        <f>1546.6+(2208.9-1789.5)+(-4.732596+(-6.759234--5.47587))+0-373.4--1.14260400000004</f>
        <v>1587.7266440000003</v>
      </c>
      <c r="M144" s="3">
        <f>1545.5+(2236.7-1720.7)+(-0.788205+(-1.140717--0.877557))+0-373.2--0.190331999999962</f>
        <v>1687.438967</v>
      </c>
      <c r="N144" s="3">
        <f>1546.8+(2199.3-1582.3)+(2.366604+(3.364929-2.420919))+0-365-0.558450000000021</f>
        <v>1801.5521640000002</v>
      </c>
      <c r="O144" s="3">
        <f>1546.4+(2337.4-1650)+(-1.577328+(-2.384148--1.683))+0-372--0.379440000000059</f>
        <v>1859.9009640000004</v>
      </c>
      <c r="P144" s="3">
        <f>1608.3+(2450.4-1705.5)+(0.820233+(1.249704-0.869805))+0-388.2-0.197981999999961</f>
        <v>1966.0021499999998</v>
      </c>
      <c r="Q144" s="3">
        <f>1670.2+(2313.9-1664.7)+(-1.703604+(-2.360178--1.697994))+0-380.1--0.387702000000061</f>
        <v>1937.3219140000001</v>
      </c>
      <c r="R144" s="3">
        <f>1828.2+(2394.6-1818.8)+(-0.932382+(-1.221246--0.927588))+0-356.2--0.181661999999964</f>
        <v>2046.7556219999999</v>
      </c>
      <c r="S144" s="3">
        <f>1863.5+(2553.3-2070.4)+(-1.90077+(-2.604366--2.111808))+0-360.3--0.367506000000057</f>
        <v>1984.0741780000001</v>
      </c>
      <c r="T144" s="3">
        <f>1867.4+(2494.2-1998.7)+(0.952374+(1.272042-1.019337))+0-362.1-0.184670999999963</f>
        <v>2001.8204079999996</v>
      </c>
      <c r="U144" s="3">
        <f>1830.8+(2497.9-1982.2)+(-1.867416+(-2.547858--2.021844))+0-357.8--0.364956000000057</f>
        <v>1986.6715260000001</v>
      </c>
      <c r="V144" s="3">
        <f>1753+(2497.3-1935.9)+(0+(0-0))+0-362.6-0</f>
        <v>1951.8000000000002</v>
      </c>
      <c r="W144" s="3">
        <f>1779.6+(2511-2003.1)+(-0.907596+(-1.28061--1.021581))+0-362.3--0.184772999999963</f>
        <v>1924.2181480000002</v>
      </c>
      <c r="X144" s="3">
        <f>1779.3+(2170.2-1711.8)+(-6.352101+(-7.747614--6.111126))+0-347.6--1.24093200000001</f>
        <v>1883.3523429999998</v>
      </c>
      <c r="Y144" s="3">
        <f>1821.3+(1990.6-1652.4)+(-1.857726+(-2.030412--1.685448))+0-342.8--0.349656000000055</f>
        <v>1814.8469660000001</v>
      </c>
      <c r="Z144" s="3">
        <f>1895.3+(2533.5-2042)+(-5.799618+(-7.75251--6.24852))+0-337.4--1.03244400000004</f>
        <v>2043.1288359999999</v>
      </c>
      <c r="AA144" s="3">
        <f>1898.7+(2457.3-1927.5)+(-0.968337+(-1.253223--0.983025))+0-341.3--0.174062999999965</f>
        <v>2086.1355279999998</v>
      </c>
      <c r="AB144" s="3">
        <f>1897.2+(2405.9-1893.6)+(0+(0-0))+0-343.4-0</f>
        <v>2066.1</v>
      </c>
      <c r="AC144" s="3">
        <f>1895.4+(2255.2-1770.5)+(0+(0-0))+0-379.6-0</f>
        <v>2000.5</v>
      </c>
      <c r="AD144">
        <v>2132.8000000000002</v>
      </c>
      <c r="AE144" s="3">
        <f>1891+(2710.7-2127.2)+(0+(0-0))+0-341.7-0</f>
        <v>2132.8000000000002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1872.4+(2230-1828.9)+(0.954924+(1.1373-0.932739))+0-375.5-0.191504999999962</f>
        <v>1898.9679800000001</v>
      </c>
      <c r="G145" s="3">
        <f>1703.5+(2165.4-1712.3)+(-0.868785+(-1.104354--0.873273))+0-368.3--0.187832999999963</f>
        <v>1787.3879670000003</v>
      </c>
      <c r="H145" s="3">
        <f>1564.3+(2343.3-1821.9)+(0.797793+(1.195083-0.929169))+0-368.5-0.187934999999963</f>
        <v>1718.0757719999997</v>
      </c>
      <c r="I145" s="3">
        <f>1546.5+(2093.4-1608.7)+(-0.788715+(-1.067634--0.820437))+0-359.8--0.183497999999963</f>
        <v>1670.5475859999999</v>
      </c>
      <c r="J145" s="3">
        <f>1546.5+(1893.2-1396.5)+(1.57743+(1.931064-1.42443))+0-363.8-0.371076000000058</f>
        <v>1681.1129879999999</v>
      </c>
      <c r="K145" s="3">
        <f>1545.8+(2189.3-1755.5)+(-3.94179+(-5.582715--4.476525))+0-357.3--0.911114999999948</f>
        <v>1618.163135</v>
      </c>
      <c r="L145" s="3">
        <f>1545.9+(2075.6-1722.6)+(-1.576818+(-2.117112--1.757052))+0-363.8--0.371076000000058</f>
        <v>1533.5341980000003</v>
      </c>
      <c r="M145" s="3">
        <f>1545.7+(2068.8-1731.8)+(0.788307+(1.055088-0.883218))+0-356.2-0.181661999999964</f>
        <v>1527.2785150000002</v>
      </c>
      <c r="N145" s="3">
        <f>1545.8+(1927.4-1554.3)+(-0.788358+(-0.982974--0.792693))+0-351.4--0.179213999999964</f>
        <v>1566.7005750000001</v>
      </c>
      <c r="O145" s="3">
        <f>1546.6+(2030-1569.2)+(0.788766+(1.0353-0.800292))+0-368.2-0.187781999999963</f>
        <v>1640.0359919999999</v>
      </c>
      <c r="P145" s="3">
        <f>1547.3+(1883.8-1357.6)+(3.156492+(3.842952-2.769504))+0-372.5-0.759899999999984</f>
        <v>1704.4700400000002</v>
      </c>
      <c r="Q145" s="3">
        <f>1549.2+(1811.3-1235.2)+(2.370276+(2.771289-1.889856))+0-372.9-0.570537000000022</f>
        <v>1755.0811720000002</v>
      </c>
      <c r="R145" s="3">
        <f>1544.6+(1960.2-1424.7)+(-1.575492+(-1.999404--1.453194))+0-368.2--0.375564000000059</f>
        <v>1710.1538620000001</v>
      </c>
      <c r="S145" s="3">
        <f>1705.9+(2052.4-1626.4)+(-0.870009+(-1.046724--0.829464))+0-369.1--0.188240999999963</f>
        <v>1761.9009720000001</v>
      </c>
      <c r="T145" s="3">
        <f>1756.4+(2095.5-1718.6)+(1.791528+(2.13741-1.752972))+0-359.5-0.366690000000057</f>
        <v>1775.6092759999999</v>
      </c>
      <c r="U145" s="3">
        <f>1796.8+(2234.8-1887.2)+(-1.832736+(-2.279496--1.924944))+0-369.5--0.376890000000059</f>
        <v>1773.089602</v>
      </c>
      <c r="V145" s="3">
        <f>1797+(2332.2-1978)+(-1.83294+(-2.378844--2.01756))+0-362.7--0.369954000000058</f>
        <v>1786.6757299999999</v>
      </c>
      <c r="W145" s="3">
        <f>1797.7+(2372-1989.6)+(-1.833654+(-2.41944--2.029392))+0-368.5--0.375870000000059</f>
        <v>1809.7521680000007</v>
      </c>
      <c r="X145" s="3">
        <f>1799+(2043.4-1649.6)+(-4.58745+(-5.21067--4.20648))+0-370.1--0.943754999999946</f>
        <v>1818.0521150000002</v>
      </c>
      <c r="Y145" s="3">
        <f>1799.1+(1512.4-1204.5)+(0+(0-0))+0-371.8-0</f>
        <v>1735.2</v>
      </c>
      <c r="Z145" s="3">
        <f>1873.7+(1646.9-1257.2)+(0.955587+(0.839919-0.641172))+0-376.3-0.191912999999962</f>
        <v>1888.0624210000001</v>
      </c>
      <c r="AA145" s="3">
        <f>2030.7+(2042-1761)+(-4.142628+(-4.16568--3.59244))+0-369.9--0.754595999999984</f>
        <v>1937.8387279999995</v>
      </c>
      <c r="AB145" s="3">
        <f>2059.5+(2301.7-2034.9)+(-3.151035+(-3.521601--3.113397))+0-359.3--0.549729000000021</f>
        <v>1963.9904899999997</v>
      </c>
      <c r="AC145" s="3">
        <f>1953.2+(2436.9-2064.4)+(1.992264+(2.485638-2.105688))+0-372.6-0.380052000000059</f>
        <v>1955.0921619999999</v>
      </c>
      <c r="AD145">
        <v>1921.8</v>
      </c>
      <c r="AE145" s="3">
        <f>1977+(1885.9-1546.9)+(0+(0-0))+0-394.2-0</f>
        <v>1921.8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1786.4+(2471-2068)+(0.911064+(1.26021-1.05468))+0-359.4-0.183293999999964</f>
        <v>1830.9333000000001</v>
      </c>
      <c r="G146" s="3">
        <f>1625.4+(2653.1-2083.2)+(-1.657908+(-2.706162--2.124864))+0-358.3--0.365466000000057</f>
        <v>1835.12626</v>
      </c>
      <c r="H146" s="3">
        <f>1548.2+(2494.9-1942.6)+(-1.579164+(-2.544798--1.981452))+0-366.4--0.373728000000058</f>
        <v>1732.3312179999998</v>
      </c>
      <c r="I146" s="3">
        <f>1547.7+(2424.2-1929.4)+(0.789327+(1.236342-0.983994))+0-376.8-0.192167999999962</f>
        <v>1666.5495069999997</v>
      </c>
      <c r="J146" s="3">
        <f>1548.5+(2534.4-2009.3)+(-0.789735+(-1.292544--1.024743))+0-381--0.194309999999961</f>
        <v>1691.7367740000004</v>
      </c>
      <c r="K146" s="3">
        <f>1547.4+(2286-1833.2)+(-3.94587+(-5.8293--4.67466))+0-374.3--0.954464999999946</f>
        <v>1621.7539550000001</v>
      </c>
      <c r="L146" s="3">
        <f>1543.4+(2282.8-1848.9)+(-1.574268+(-2.328456--1.885878))+0-369.4--0.376788000000059</f>
        <v>1606.2599420000001</v>
      </c>
      <c r="M146" s="3">
        <f>1539+(1881.3-1413.1)+(1.56978+(1.918926-1.441362))+0-360-0.367200000000057</f>
        <v>1648.880144</v>
      </c>
      <c r="N146" s="3">
        <f>1546.3+(1891-1303)+(3.943065+(4.82205-3.32265))+0-367.9-0.938144999999947</f>
        <v>1770.9043200000003</v>
      </c>
      <c r="O146" s="3">
        <f>1546.3+(1811.6-1126.3)+(0.788613+(0.923916-0.574413))+0-356-0.181559999999964</f>
        <v>1876.556556</v>
      </c>
      <c r="P146" s="3">
        <f>1543+(1811.9-1051.9)+(0.78693+(0.924069-0.536469))+0-373.6-0.190535999999962</f>
        <v>1930.3839939999998</v>
      </c>
      <c r="Q146" s="3">
        <f>1579.1+(1776.9-1019.3)+(0+(0-0))+0-374.6-0</f>
        <v>1962.1</v>
      </c>
      <c r="R146" s="3">
        <f>1824.1+(1734.5-1128.4)+(2.790873+(2.653785-1.726452))+0-373.9-0.572067000000022</f>
        <v>2059.4461389999997</v>
      </c>
      <c r="S146" s="3">
        <f>1981.3+(1646.3-1243.9)+(-1.010463+(-0.839613--0.634389))+0-370.6--0.189005999999962</f>
        <v>2012.0733190000001</v>
      </c>
      <c r="T146" s="3">
        <f>1986.2+(1489-1100.7)+(0+(0-0))+0-364.6-0</f>
        <v>2009.9</v>
      </c>
      <c r="U146" s="3">
        <f>1981.8+(1625-1194.5)+(-4.042872+(-3.315--2.43678))+0-367.6--0.749903999999984</f>
        <v>2040.5288120000002</v>
      </c>
      <c r="V146" s="3">
        <f>1971.4+(1900.1-1407.1)+(-2.010828+(-1.938102--1.435242))+0-373.9--0.38137800000006</f>
        <v>2088.36769</v>
      </c>
      <c r="W146" s="3">
        <f>1784+(2372.3-1766.6)+(-4.5492+(-6.049365--4.50483))+0-370.1--0.943754999999946</f>
        <v>2014.4500200000004</v>
      </c>
      <c r="X146" s="3">
        <f>1728.6+(2211.5-1644.4)+(-7.052688+(-9.02292--6.709152))+0-359.8--1.46798399999997</f>
        <v>1928.0015279999996</v>
      </c>
      <c r="Y146" s="3">
        <f>1742.3+(1829.5-1384)+(-0.888573+(-0.933045--0.70584))+0-370.8--0.189107999999962</f>
        <v>1816.0733300000004</v>
      </c>
      <c r="Z146" s="3">
        <f>1832.7+(2075.6-1478.5)+(1.869354+(2.117112-1.50807))+0-372-0.379440000000059</f>
        <v>2059.898956</v>
      </c>
      <c r="AA146" s="3">
        <f>1834.2+(2190.6-1476.4)+(-1.870884+(-2.234412--1.505928))+0-371.6--0.379032000000059</f>
        <v>2174.5796639999999</v>
      </c>
      <c r="AB146" s="3">
        <f>1835.9+(2471.5-1800.4)+(-1.872618+(-2.52093--1.836408))+0-364.3--0.371586000000058</f>
        <v>2140.5144460000001</v>
      </c>
      <c r="AC146" s="3">
        <f>1831.3+(2700.6-2110.5)+(-1.867926+(-2.754612--2.15271))+0-365.5--0.372810000000058</f>
        <v>2053.8029819999997</v>
      </c>
      <c r="AD146">
        <v>2183.3000000000002</v>
      </c>
      <c r="AE146" s="3">
        <f>1831+(2121.4-1421.8)+(0+(0-0))+0-347.3-0</f>
        <v>2183.3000000000002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1832.6+(2842-2383.6)+(-0.934626+(-1.44942--1.215636))+0-381.2--0.194411999999961</f>
        <v>1908.8260019999998</v>
      </c>
      <c r="G147" s="3">
        <f>1733.8+(2717.6-2273.9)+(-2.652714+(-4.157928--3.479067))+0-374.7--0.573291000000022</f>
        <v>1800.0417159999997</v>
      </c>
      <c r="H147" s="3">
        <f>1571.8+(2667.6-2131.2)+(0.801618+(1.360476-1.086912))+0-376-0.191759999999962</f>
        <v>1733.0834219999999</v>
      </c>
      <c r="I147" s="3">
        <f>1543.6+(2290.1-1798.5)+(-1.574472+(-2.335902--1.83447))+0-373.4--0.380868000000059</f>
        <v>1660.1049639999999</v>
      </c>
      <c r="J147" s="3">
        <f>1542.7+(2044.2-1558.1)+(-3.147108+(-4.170168--3.178524))+0-369.1--0.752963999999984</f>
        <v>1656.314212</v>
      </c>
      <c r="K147" s="3">
        <f>1543.1+(1808.4-1321)+(-3.147924+(-3.689136--2.69484))+0-372--0.758879999999984</f>
        <v>1655.1166600000001</v>
      </c>
      <c r="L147" s="3">
        <f>1544+(1789.3-1348.1)+(-2.36232+(-2.737629--2.062593))+0-372.7--0.570231000000021</f>
        <v>1610.0328749999999</v>
      </c>
      <c r="M147" s="3">
        <f>1544.5+(1359.4-936.4)+(0.787695+(0.693294-0.477564))+0-363-0.185129999999963</f>
        <v>1605.318295</v>
      </c>
      <c r="N147" s="3">
        <f>1543.2+(1804.2-1167.9)+(0+(0-0))+0-375.9-0</f>
        <v>1803.6</v>
      </c>
      <c r="O147" s="3">
        <f>1543.1+(1730.7-1109)+(1.573962+(1.765314-1.13118))+0-350.5-0.357510000000056</f>
        <v>1816.150586</v>
      </c>
      <c r="P147" s="3">
        <f>1541.3+(1954.1-1168.2)+(2.358189+(2.989773-1.787346))+0-351.9-0.53840700000002</f>
        <v>1978.3222089999999</v>
      </c>
      <c r="Q147" s="3">
        <f>1547.4+(1737.4-961.5)+(1.578348+(1.772148-0.98073))+0-356.6-0.363732000000057</f>
        <v>1968.706034</v>
      </c>
      <c r="R147" s="3">
        <f>1700.1+(1442.9-818.2)+(3.468204+(2.943516-1.669128))+0-326.1-0.665243999999986</f>
        <v>2002.7773480000003</v>
      </c>
      <c r="S147" s="3">
        <f>1993.6+(1414.8-1029.8)+(0+(0-0))+0-354.7-0</f>
        <v>2023.8999999999999</v>
      </c>
      <c r="T147" s="3">
        <f>2042.2+(1115.3-786.4)+(-2.083044+(-1.137606--0.802128))+0-365.7--0.373014000000058</f>
        <v>2003.3544919999999</v>
      </c>
      <c r="U147" s="3">
        <f>2030.8+(1268.6-844.7)+(1.035708+(0.646986-0.430797))+0-360.6-0.183905999999963</f>
        <v>2095.1679910000003</v>
      </c>
      <c r="V147" s="3">
        <f>1921+(1633.5-1045.3)+(-0.97971+(-0.833085--0.533103))+0-369.8--0.188597999999962</f>
        <v>2138.3089059999998</v>
      </c>
      <c r="W147" s="3">
        <f>1838.2+(2079.4-1461.5)+(-1.874964+(-2.120988--1.49073))+0-365.7--0.373014000000058</f>
        <v>2088.267792000001</v>
      </c>
      <c r="X147" s="3">
        <f>1832.6+(2379.1-1829.7)+(-5.607756+(-7.280046--5.598882))+0-377--1.15362000000004</f>
        <v>1998.8647000000001</v>
      </c>
      <c r="Y147" s="3">
        <f>1747.5+(1962.5-1579.9)+(0+(0-0))+0-372-0</f>
        <v>1758.1</v>
      </c>
      <c r="Z147" s="3">
        <f>1770.6+(2247.6-1592.8)+(-1.806012+(-2.292552--1.624656))+0-375.7--0.38321400000006</f>
        <v>2047.6093059999996</v>
      </c>
      <c r="AA147" s="3">
        <f>1771.5+(2350.3-1629.7)+(-4.517325+(-5.993265--4.155735))+0-373.5--0.952424999999946</f>
        <v>2113.1975700000003</v>
      </c>
      <c r="AB147" s="3">
        <f>1771.9+(2543.8-1865.3)+(0.903669+(1.297338-0.951303))+0-370.7-0.189056999999962</f>
        <v>2080.7606470000005</v>
      </c>
      <c r="AC147" s="3">
        <f>1773.6+(2638.5-2049.6)+(-3.618144+(-5.38254--4.181184))+0-341.2--0.696047999999985</f>
        <v>2017.1765479999999</v>
      </c>
      <c r="AD147">
        <v>2140.1999999999998</v>
      </c>
      <c r="AE147" s="3">
        <f>1770+(2291.1-1541.9)+(0+(0-0))+0-379-0</f>
        <v>2140.1999999999998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1761.8+(2695-2154.7)+(-2.695554+(-4.12335--3.296691))+0-342.9--0.52463700000002</f>
        <v>1956.2024240000001</v>
      </c>
      <c r="G148" s="3">
        <f>1733.7+(2719-2294.3)+(-3.536748+(-5.54676--4.680372))+0-341.3--0.696251999999985</f>
        <v>1813.3931159999997</v>
      </c>
      <c r="H148" s="3">
        <f>1577.4+(2443.9-1985.4)+(-2.413422+(-3.739167--3.037662))+0-341.9--0.52310700000002</f>
        <v>1691.4081799999999</v>
      </c>
      <c r="I148" s="3">
        <f>1559.1+(2267.7-1802.7)+(-0.795141+(-1.156527--0.919377))+0-341.3--0.174062999999965</f>
        <v>1681.9417719999997</v>
      </c>
      <c r="J148" s="3">
        <f>1559.5+(2144.1-1690)+(-3.18138+(-4.373964--3.4476))+0-341.2--0.696047999999985</f>
        <v>1668.988304</v>
      </c>
      <c r="K148" s="3">
        <f>1558.8+(2338.1-1881.4)+(-3.179952+(-4.769724--3.838056))+0-339.9--0.693395999999985</f>
        <v>1672.1817759999997</v>
      </c>
      <c r="L148" s="3">
        <f>1559.4+(1838.4-1509.7)+(-4.771764+(-5.625504--4.619682))+0-339.8--1.03978800000004</f>
        <v>1543.5622020000003</v>
      </c>
      <c r="M148" s="3">
        <f>1557.6+(1300.3-978.9)+(-1.588752+(-1.326306--0.998478))+0-340.3--0.347106000000054</f>
        <v>1537.1305260000001</v>
      </c>
      <c r="N148" s="3">
        <f>1522.2+(1308.1-736.5)+(3.105288+(2.668524-1.50246))+0-322.2-0.657287999999986</f>
        <v>1775.2140640000005</v>
      </c>
      <c r="O148" s="3">
        <f>1551.1+(1567.7-877)+(0+(0-0))+0-324.9-0</f>
        <v>1916.9</v>
      </c>
      <c r="P148" s="3">
        <f>1593.1+(1729.2-1053.7)+(-1.624962+(-1.763784--1.074774))+0-327.7--0.334254000000052</f>
        <v>1938.920282</v>
      </c>
      <c r="Q148" s="3">
        <f>1726.5+(1778.6-1168.5)+(0+(0-0))+0-326.7-0</f>
        <v>2009.8999999999999</v>
      </c>
      <c r="R148" s="3">
        <f>1878.9+(1378.8-1005.1)+(0.958239+(0.703188-0.512601))+0-323.7-0.165086999999967</f>
        <v>1929.8837390000001</v>
      </c>
      <c r="S148" s="3">
        <f>1961.8+(1375.3-1039.9)+(-2.001036+(-1.402806--1.060698))+0-324.4--0.330888000000052</f>
        <v>1970.7877439999997</v>
      </c>
      <c r="T148" s="3">
        <f>1966.1+(1158.4-880.6)+(-3.008133+(-1.772352--1.347318))+0-328.8--0.503064000000019</f>
        <v>1912.169897</v>
      </c>
      <c r="U148" s="3">
        <f>1942.9+(1483.2-1104.3)+(-3.963516+(-3.025728--2.252772))+0-330.1--0.673403999999986</f>
        <v>1987.6369320000001</v>
      </c>
      <c r="V148" s="3">
        <f>1946.5+(1617.8-1215.4)+(-3.97086+(-3.300312--2.479416))+0-331.5--0.676259999999986</f>
        <v>2013.2845039999995</v>
      </c>
      <c r="W148" s="3">
        <f>1828.7+(1970.7-1423.9)+(-0.932637+(-1.005057--0.726189))+0-334.1--0.170390999999966</f>
        <v>2040.3588859999998</v>
      </c>
      <c r="X148" s="3">
        <f>1742.3+(2236.6-1584.2)+(-1.777146+(-2.281332--1.615884))+0-335.2--0.341904000000053</f>
        <v>2057.3993099999998</v>
      </c>
      <c r="Y148" s="3">
        <f>1765.8+(1742.5-1228.1)+(1.801116+(1.77735-1.252662))+0-333.9-0.340578000000053</f>
        <v>1948.2852259999997</v>
      </c>
      <c r="Z148" s="3">
        <f>1800.8+(1938.1-1271.7)+(0+(0-0))+0-341.2-0</f>
        <v>2126</v>
      </c>
      <c r="AA148" s="3">
        <f>1800.3+(2156.9-1475.7)+(-1.836306+(-2.200038--1.505214))+0-343.3--0.350166000000055</f>
        <v>2136.0190360000001</v>
      </c>
      <c r="AB148" s="3">
        <f>1802.9+(2403.4-1715.4)+(-3.677916+(-4.902936--3.499416))+0-341.6--0.696863999999985</f>
        <v>2144.9154280000002</v>
      </c>
      <c r="AC148" s="3">
        <f>1792.6+(2649.1-2045.3)+(-1.828452+(-2.702082--2.086206))+0-356.1--0.363222000000057</f>
        <v>2038.2188939999996</v>
      </c>
      <c r="AD148">
        <v>2141.1</v>
      </c>
      <c r="AE148" s="3">
        <f>1792+(2223.4-1533.2)+(0+(0-0))+0-341.1-0</f>
        <v>2141.1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1718.9+(2648.9-2033.4)+(-1.753278+(-2.701878--2.074068))+0-369.7--0.377094000000059</f>
        <v>1962.6960060000001</v>
      </c>
      <c r="G149" s="3">
        <f>1597.4+(2755.5-2150.1)+(-2.444022+(-4.215915--3.289653))+0-354.4--0.54223200000002</f>
        <v>1845.571948</v>
      </c>
      <c r="H149" s="3">
        <f>1547.7+(2664.1-2101.7)+(-3.157308+(-5.434764--4.287468))+0-376.6--0.768263999999984</f>
        <v>1729.9636600000006</v>
      </c>
      <c r="I149" s="3">
        <f>1547.8+(2404.2-1920.3)+(-1.578756+(-2.452284--1.958706))+0-377--0.38454000000006</f>
        <v>1653.0122059999999</v>
      </c>
      <c r="J149" s="3">
        <f>1547.2+(2235-1790.3)+(0+(0-0))+0-363.5-0</f>
        <v>1628.4</v>
      </c>
      <c r="K149" s="3">
        <f>1547.2+(2253.8-1747.3)+(-3.94536+(-5.74719--4.455615))+0-374.8--0.955739999999946</f>
        <v>1674.6188050000003</v>
      </c>
      <c r="L149" s="3">
        <f>1547.1+(1937.1-1525.7)+(-1.578042+(-1.975842--1.556214))+0-374.7--0.38219400000006</f>
        <v>1582.1845239999998</v>
      </c>
      <c r="M149" s="3">
        <f>1546.3+(1725.8-1296.3)+(1.577226+(1.760316-1.322226))+0-355.1-0.362202000000057</f>
        <v>1622.3531139999998</v>
      </c>
      <c r="N149" s="3">
        <f>1546.8+(2037.8-1420.1)+(0.788868+(1.039278-0.724251))+0-375.8-0.191657999999962</f>
        <v>1789.6122370000003</v>
      </c>
      <c r="O149" s="3">
        <f>1543.5+(2231.1-1465.2)+(1.57437+(2.275722-1.494504))+0-300.3-0.306306000000048</f>
        <v>2011.1492819999996</v>
      </c>
      <c r="P149" s="3">
        <f>1656.5+(2275-1524)+(-1.68963+(-2.3205--1.55448))+0-370.5--0.377910000000059</f>
        <v>2034.9222600000003</v>
      </c>
      <c r="Q149" s="3">
        <f>1778.9+(1819.3-1245.5)+(0.907239+(0.927843-0.635205))+0-370.7-0.189056999999962</f>
        <v>1983.0108199999997</v>
      </c>
      <c r="R149" s="3">
        <f>2004+(1450.1-1147)+(-2.04408+(-1.479102--1.16994))+0-346--0.352920000000055</f>
        <v>1959.0996779999998</v>
      </c>
      <c r="S149" s="3">
        <f>2037.7+(1453.1-1131.9)+(-2.078454+(-1.482162--1.154538))+0-351.9--0.358938000000056</f>
        <v>2004.9528599999996</v>
      </c>
      <c r="T149" s="3">
        <f>2037.5+(1113.6-815.3)+(1.039125+(0.567936-0.415803))+0-365.6-0.186455999999963</f>
        <v>1971.2048020000002</v>
      </c>
      <c r="U149" s="3">
        <f>2005.1+(1291.3-911.7)+(0+(0-0))+0-367.2-0</f>
        <v>2017.4999999999998</v>
      </c>
      <c r="V149" s="3">
        <f>2014.9+(1648.4-1149.9)+(-2.055198+(-1.681368--1.172898))+0-366--0.373320000000058</f>
        <v>2145.2096520000005</v>
      </c>
      <c r="W149" s="3">
        <f>2008.4+(2185.8-1758.4)+(-2.048568+(-2.229516--1.793568))+0-367.5--0.374850000000059</f>
        <v>2066.1903340000003</v>
      </c>
      <c r="X149" s="3">
        <f>1940+(2200.7-1750.1)+(-2.9682+(-3.367071--2.677653))+0-362.5--0.554625000000021</f>
        <v>2024.9970069999997</v>
      </c>
      <c r="Y149" s="3">
        <f>1748.6+(1788-1266.9)+(-1.783572+(-1.82376--1.292238))+0-359.5--0.366690000000057</f>
        <v>1908.2515959999998</v>
      </c>
      <c r="Z149" s="3">
        <f>1777.5+(2249.2-1505.8)+(-0.906525+(-1.147092--0.767958))+0-375.7--0.191606999999962</f>
        <v>2144.1059479999994</v>
      </c>
      <c r="AA149" s="3">
        <f>1773.6+(2267.9-1536.1)+(-4.52268+(-5.783145--3.917055))+0-374.1--0.953954999999946</f>
        <v>2125.8651850000001</v>
      </c>
      <c r="AB149" s="3">
        <f>1775.8+(2341.4-1649.1)+(-1.811316+(-2.388228--1.682082))+0-370.6--0.378012000000059</f>
        <v>2095.3605500000008</v>
      </c>
      <c r="AC149" s="3">
        <f>1773.5+(2352.7-1788.6)+(0+(0-0))+0-371.5-0</f>
        <v>1966.1</v>
      </c>
      <c r="AD149">
        <v>2183.7999999999997</v>
      </c>
      <c r="AE149" s="3">
        <f>1782+(2203.7-1421)+(0+(0-0))+0-380.9-0</f>
        <v>2183.7999999999997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1773.3+(2669.8-2113.6)+(-4.521915+(-6.80799--5.38968))+0-369.2--0.941459999999946</f>
        <v>1955.3012350000001</v>
      </c>
      <c r="G150" s="3">
        <f>1634.5+(2797.7-2250.4)+(-3.33438+(-5.707308--4.590816))+0-362.1--0.738683999999984</f>
        <v>1815.9878119999998</v>
      </c>
      <c r="H150" s="3">
        <f>1545.8+(2695.8-2186.3)+(-2.365074+(-4.124574--3.345039))+0-359--0.549270000000021</f>
        <v>1693.7046610000002</v>
      </c>
      <c r="I150" s="3">
        <f>1546.4+(2381.1-1860.1)+(-0.788664+(-1.214361--0.948651))+0-361.2--0.184211999999963</f>
        <v>1705.3298380000001</v>
      </c>
      <c r="J150" s="3">
        <f>1546+(2146.8-1662.3)+(0+(0-0))+0-359.4-0</f>
        <v>1671.1000000000004</v>
      </c>
      <c r="K150" s="3">
        <f>1546.3+(2022.9-1555.3)+(-4.731678+(-6.190074--4.759218))+0-358.4--1.09670400000004</f>
        <v>1650.43417</v>
      </c>
      <c r="L150" s="3">
        <f>1545.9+(1908.7-1495.3)+(-1.576818+(-1.946874--1.525206))+0-356.1--0.363222000000057</f>
        <v>1601.5647360000003</v>
      </c>
      <c r="M150" s="3">
        <f>1546.1+(1908.9-1473.3)+(2.365533+(2.920617-2.254149))+0-365.6-0.559368000000021</f>
        <v>1618.572633</v>
      </c>
      <c r="N150" s="3">
        <f>1547.6+(1882.9-1298.8)+(0.789276+(0.960279-0.662388))+0-372-0.189719999999962</f>
        <v>1760.5974470000001</v>
      </c>
      <c r="O150" s="3">
        <f>1546.7+(2107.3-1367.1)+(-0.788817+(-1.074723--0.697221))+0-377.4--0.192473999999962</f>
        <v>1908.5261550000005</v>
      </c>
      <c r="P150" s="3">
        <f>1549.1+(2185.4-1381.2)+(-0.790041+(-1.114554--0.704412))+0-377.1--0.192320999999962</f>
        <v>1975.1921380000003</v>
      </c>
      <c r="Q150" s="3">
        <f>1721.9+(1888.4-1301.6)+(-1.756338+(-1.926168--1.327632))+0-384.2--0.391884000000061</f>
        <v>1922.5370100000002</v>
      </c>
      <c r="R150" s="3">
        <f>1836.8+(1730.3-1266.8)+(0.936768+(0.882453-0.646068))+0-373.6-0.190535999999962</f>
        <v>1927.6826170000004</v>
      </c>
      <c r="S150" s="3">
        <f>1987.4+(1649.5-1343.7)+(-3.040722+(-2.523735--2.055861))+0-383.9--0.587367000000022</f>
        <v>1906.3787709999997</v>
      </c>
      <c r="T150" s="3">
        <f>2042.2+(1523.5-1218.6)+(0+(0-0))+0-372.6-0</f>
        <v>1974.5000000000005</v>
      </c>
      <c r="U150" s="3">
        <f>2036.5+(1521-1203.8)+(2.07723+(1.55142-1.227876))+0-338.6-0.345372000000054</f>
        <v>2017.1554020000001</v>
      </c>
      <c r="V150" s="3">
        <f>2035.2+(1780.3-1342.2)+(0+(0-0))+0-340.4-0</f>
        <v>2132.9</v>
      </c>
      <c r="W150" s="3">
        <f>1861.2+(2072.8-1465.3)+(-2.847636+(-3.171384--2.241909))+0-391.8--0.599454000000023</f>
        <v>2073.7223430000004</v>
      </c>
      <c r="X150" s="3">
        <f>1734.5+(2287.5-1681.4)+(-3.53838+(-4.6665--3.430056))+0-374.9--0.764795999999984</f>
        <v>1961.6899719999997</v>
      </c>
      <c r="Y150" s="3">
        <f>1739.7+(2115-1395.2)+(0.887247+(1.07865-0.711552))+0-383.7-0.195686999999961</f>
        <v>2076.8586580000001</v>
      </c>
      <c r="Z150" s="3">
        <f>1770.9+(2169.4-1427.3)+(2.709477+(3.319182-2.183769))+0-395-0.604350000000023</f>
        <v>2121.2405399999998</v>
      </c>
      <c r="AA150" s="3">
        <f>1773.7+(2117.8-1416.1)+(-2.713761+(-3.240234--2.166633))+0-371.1--0.567783000000021</f>
        <v>2101.0804210000006</v>
      </c>
      <c r="AB150" s="3">
        <f>1770.5+(2317.3-1590.1)+(-0.902955+(-1.181823--0.810951))+0-375.1--0.191300999999962</f>
        <v>2121.5174740000002</v>
      </c>
      <c r="AC150" s="3">
        <f>1762.9+(2224.3-1623.7)+(0+(0-0))+0-376.1-0</f>
        <v>1987.4</v>
      </c>
      <c r="AD150">
        <v>2147.1999999999998</v>
      </c>
      <c r="AE150" s="3">
        <f>1769+(2332.4-1599)+(0+(0-0))+0-355.2-0</f>
        <v>2147.2000000000003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1763.7+(2382.4-1841.9)+(-1.798974+(-2.430048--1.878738))+0-370.3--0.377706000000059</f>
        <v>1931.9274219999998</v>
      </c>
      <c r="G151" s="3">
        <f>1692.6+(2345.8-1880.1)+(0+(0-0))+0-369.4-0</f>
        <v>1788.9</v>
      </c>
      <c r="H151" s="3">
        <f>1545.2+(2589.6-2032.8)+(0.788052+(1.320696-1.036728))+0-355.2-0.181151999999964</f>
        <v>1747.6908680000001</v>
      </c>
      <c r="I151" s="3">
        <f>1542.1+(2511.6-1992.6)+(-0.786471+(-1.280916--1.016226))+0-363.8--0.185537999999963</f>
        <v>1696.434377</v>
      </c>
      <c r="J151" s="3">
        <f>1542.1+(2529-1993.6)+(2.359413+(3.86937-3.050208))+0-374.6-0.573138000000022</f>
        <v>1705.505437</v>
      </c>
      <c r="K151" s="3">
        <f>1543.8+(2461.2-1953.5)+(-4.724028+(-7.531272--5.97771))+0-372.7--1.14046200000004</f>
        <v>1673.6628720000001</v>
      </c>
      <c r="L151" s="3">
        <f>1541.7+(2018.3-1669.3)+(-3.931335+(-5.146665--4.256715))+0-372.8--0.950639999999946</f>
        <v>1514.0293550000001</v>
      </c>
      <c r="M151" s="3">
        <f>1541.7+(1947.5-1494.2)+(0.786267+(0.993225-0.762042))+0-371.9-0.189668999999962</f>
        <v>1623.9277810000003</v>
      </c>
      <c r="N151" s="3">
        <f>1540.2+(1839.7-1301.9)+(0.785502+(0.938247-0.663969))+0-383.2-0.195431999999961</f>
        <v>1695.664348</v>
      </c>
      <c r="O151" s="3">
        <f>1538.6+(2249.9-1566.4)+(1.569372+(2.294898-1.597728))+0-386-0.393720000000062</f>
        <v>1837.9728219999997</v>
      </c>
      <c r="P151" s="3">
        <f>1537.6+(2173.2-1424.9)+(1.568352+(2.216664-1.453398))+0-374.2-0.38168400000006</f>
        <v>1913.6499339999998</v>
      </c>
      <c r="Q151" s="3">
        <f>1528.6+(2023.2-1265.5)+(2.338758+(3.095496-1.936215))+0-367.8-0.562734000000021</f>
        <v>1921.4353050000002</v>
      </c>
      <c r="R151" s="3">
        <f>1723.7+(1765.2-1215.5)+(-0.879087+(-0.900252--0.619905))+0-368.7--0.188036999999963</f>
        <v>1903.7286029999998</v>
      </c>
      <c r="S151" s="3">
        <f>1941.6+(1833.3-1424.1)+(-3.960864+(-3.739932--2.905164))+0-373.4--0.761735999999984</f>
        <v>1973.3661040000002</v>
      </c>
      <c r="T151" s="3">
        <f>1959.9+(2008.3-1572.9)+(-1.999098+(-2.048466--1.604358))+0-366.7--0.374034000000058</f>
        <v>2026.5308280000004</v>
      </c>
      <c r="U151" s="3">
        <f>1955.8+(2142.9-1788.2)+(-2.992374+(-3.278637--2.735946))+0-378.5--0.579105000000022</f>
        <v>1929.04404</v>
      </c>
      <c r="V151" s="3">
        <f>1952.7+(2179.7-1827.8)+(-2.987631+(-3.334941--2.796534))+0-385.3--0.589509000000022</f>
        <v>1916.3634710000001</v>
      </c>
      <c r="W151" s="3">
        <f>1956.1+(2406.7-2058)+(-3.990444+(-4.909668--4.19832))+0-382.4--0.780095999999983</f>
        <v>1918.4783039999998</v>
      </c>
      <c r="X151" s="3">
        <f>1930.6+(2194.9-1913.3)+(-2.953818+(-3.358197--2.927349))+0-373.2--0.570996000000022</f>
        <v>1836.1863299999998</v>
      </c>
      <c r="Y151" s="3">
        <f>1756.8+(1717.5-1340.9)+(-0.895968+(-0.875925--0.683859))+0-355.1--0.181100999999964</f>
        <v>1777.3930669999997</v>
      </c>
      <c r="Z151" s="3">
        <f>1782.6+(2212.9-1568.6)+(-1.818252+(-2.257158--1.599972))+0-371.9--0.379338000000059</f>
        <v>2052.9039000000002</v>
      </c>
      <c r="AA151" s="3">
        <f>1775.6+(1886-1306.9)+(-2.716668+(-2.88558--1.999557))+0-392--0.599760000000023</f>
        <v>1959.6970689999998</v>
      </c>
      <c r="AB151" s="3">
        <f>1775.8+(2007-1444.5)+(-0.905658+(-1.02357--0.736695))+0-395.2--0.20155199999996</f>
        <v>1942.1090190000002</v>
      </c>
      <c r="AC151" s="3">
        <f>1777.6+(2147.2-1597.9)+(-0.906576+(-1.095072--0.814929))+0-393.9--0.20088899999996</f>
        <v>1932.0141699999997</v>
      </c>
      <c r="AD151">
        <v>2033.9</v>
      </c>
      <c r="AE151" s="3">
        <f>1775+(2145.4-1481.4)+(0+(0-0))+0-405.1-0</f>
        <v>2033.9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1775.9+(2332.8-1834.8)+(-1.811418+(-2.379456--1.871496))+0-393.6--0.401472000000063</f>
        <v>1878.3820940000005</v>
      </c>
      <c r="G152" s="3">
        <f>1760.2+(2290.4-1916.7)+(-1.795404+(-2.336208--1.955034))+0-381.2--0.388824000000061</f>
        <v>1750.9122460000001</v>
      </c>
      <c r="H152" s="3">
        <f>1572.2+(2342.6-1865.4)+(-3.207288+(-4.778904--3.805416))+0-388.3--0.792131999999983</f>
        <v>1657.7113559999998</v>
      </c>
      <c r="I152" s="3">
        <f>1552.3+(2432.9-1900)+(-0.791673+(-1.240779--0.969))+0-388.1--0.197930999999961</f>
        <v>1696.234479</v>
      </c>
      <c r="J152" s="3">
        <f>1552.3+(2273.6-1779.9)+(-2.375019+(-3.478608--2.723247))+0-382--0.584460000000022</f>
        <v>1661.4540799999997</v>
      </c>
      <c r="K152" s="3">
        <f>1552+(2246.6-1792)+(-1.58304+(-2.291532--1.82784))+0-370--0.377400000000059</f>
        <v>1634.930668</v>
      </c>
      <c r="L152" s="3">
        <f>1551.6+(1875.2-1590.9)+(-6.330528+(-7.650816--6.490872))+0-382.2--1.55937599999997</f>
        <v>1447.7689039999998</v>
      </c>
      <c r="M152" s="3">
        <f>1549.9+(1592.9-1275.5)+(0+(0-0))+0-389.3-0</f>
        <v>1478.0000000000002</v>
      </c>
      <c r="N152" s="3">
        <f>1549.7+(1650.7-1261.6)+(1.580694+(1.683714-1.286832))+0-385.2-0.392904000000061</f>
        <v>1555.1846720000001</v>
      </c>
      <c r="O152" s="3">
        <f>1541.8+(1668.7-1221.4)+(-1.572636+(-1.702074--1.245828))+0-389.8--0.397596000000062</f>
        <v>1597.6687139999999</v>
      </c>
      <c r="P152" s="3">
        <f>1491.7+(1711.8-1155.7)+(0+(0-0))+0-400.5-0</f>
        <v>1647.3</v>
      </c>
      <c r="Q152" s="3">
        <f>1533.4+(1869.5-1295.2)+(0.782034+(0.953445-0.660552))+0-407.4-0.207773999999959</f>
        <v>1701.1671529999999</v>
      </c>
      <c r="R152" s="3">
        <f>1548.9+(1814-1235.4)+(3.159756+(3.70056-2.520216))+0-383.2-0.781727999999983</f>
        <v>1747.8583719999999</v>
      </c>
      <c r="S152" s="3">
        <f>1654.3+(1518.1-1087.4)+(0+(0-0))+0-372.3-0</f>
        <v>1712.7</v>
      </c>
      <c r="T152" s="3">
        <f>1729.3+(1448-1082.6)+(-0.881943+(-0.73848--0.552126))+0-374.2--0.190841999999962</f>
        <v>1719.6225449999999</v>
      </c>
      <c r="U152" s="3">
        <f>1697.3+(1721.8-1277.7)+(-0.865623+(-0.878118--0.651627))+0-370.7--0.189056999999962</f>
        <v>1769.7969429999996</v>
      </c>
      <c r="V152" s="3">
        <f>1598.9+(2037.1-1423.6)+(-3.261756+(-4.155684--2.904144))+0-382.1--0.779483999999983</f>
        <v>1826.566188</v>
      </c>
      <c r="W152" s="3">
        <f>1612.7+(2058.6-1537.3)+(-1.644954+(-2.099772--1.568046))+0-387.8--0.395556000000062</f>
        <v>1744.4188760000002</v>
      </c>
      <c r="X152" s="3">
        <f>1576.1+(1738.1-1295.7)+(-2.411433+(-2.659293--1.982421))+0-384.1--0.587673000000022</f>
        <v>1631.8993679999999</v>
      </c>
      <c r="Y152" s="3">
        <f>1693.6+(1285.1-924.6)+(0.863736+(0.655401-0.471546))+0-379.9-0.193748999999961</f>
        <v>1675.0538419999998</v>
      </c>
      <c r="Z152" s="3">
        <f>1949.4+(1626.1-1175.1)+(-1.988388+(-1.658622--1.198602))+0-386.7--0.394434000000062</f>
        <v>2011.6460259999999</v>
      </c>
      <c r="AA152" s="3">
        <f>1953.8+(1718.2-1304.8)+(-3.985752+(-3.505128--2.661792))+0-379.9--0.774995999999983</f>
        <v>1983.2459079999996</v>
      </c>
      <c r="AB152" s="3">
        <f>1955.2+(1788.3-1393)+(0+(0-0))+0-379.9-0</f>
        <v>1970.6</v>
      </c>
      <c r="AC152" s="3">
        <f>1952.4+(1749.1-1387)+(0.995724+(0.892041-0.70737))+0-393.4-0.20063399999996</f>
        <v>1922.0797609999997</v>
      </c>
      <c r="AD152">
        <v>1966.1999999999996</v>
      </c>
      <c r="AE152" s="3">
        <f>1951+(1671.6-1301.2)+(0+(0-0))+0-355.2-0</f>
        <v>1966.1999999999996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1793.2+(2140-1599.7)+(2.743596+(3.2742-2.447541))+0-396.4-0.606492000000023</f>
        <v>1940.0637629999999</v>
      </c>
      <c r="G153" s="3">
        <f>1591.4+(2562.6-1994)+(-2.434842+(-3.920778--3.05082))+0-388.2--0.593946000000022</f>
        <v>1769.089146</v>
      </c>
      <c r="H153" s="3">
        <f>1542.7+(2455.6-1952.3)+(-0.786777+(-1.252356--0.995673))+0-384--0.195839999999961</f>
        <v>1661.1523799999998</v>
      </c>
      <c r="I153" s="3">
        <f>1545.3+(2439-1898.3)+(3.152412+(4.97556-3.872532))+0-394.5-0.804779999999983</f>
        <v>1694.95066</v>
      </c>
      <c r="J153" s="3">
        <f>1544.9+(2356.1-1832)+(0+(0-0))+0-386.4-0</f>
        <v>1682.6</v>
      </c>
      <c r="K153" s="3">
        <f>1544.5+(2128.3-1699.7)+(-3.15078+(-4.341732--3.467388))+0-393--0.801719999999983</f>
        <v>1576.8765960000001</v>
      </c>
      <c r="L153" s="3">
        <f>1518.8+(1606.9-1278)+(-3.098352+(-3.278076--2.60712))+0-389.9--0.795395999999983</f>
        <v>1454.8260880000003</v>
      </c>
      <c r="M153" s="3">
        <f>1517.9+(1181.4-791.4)+(-0.774129+(-0.602514--0.403614))+0-396.2--0.20206199999996</f>
        <v>1510.9290330000001</v>
      </c>
      <c r="N153" s="3">
        <f>1518.9+(1678.9-1068.7)+(-1.549278+(-1.712478--1.090074))+0-391.3--0.399126000000062</f>
        <v>1736.0274440000003</v>
      </c>
      <c r="O153" s="3">
        <f>1522+(1864.3-1239.8)+(0.77622+(0.950793-0.632298))+0-384.2-0.195941999999961</f>
        <v>1763.1987730000001</v>
      </c>
      <c r="P153" s="3">
        <f>1525+(2217.4-1431.3)+(1.5555+(2.261748-1.459926))+0-391.3-0.399126000000062</f>
        <v>1921.7581960000002</v>
      </c>
      <c r="Q153" s="3">
        <f>1557.1+(1956.8-1236.2)+(-0.794121+(-0.997968--0.630462))+0-382.8--0.195227999999961</f>
        <v>1893.933601</v>
      </c>
      <c r="R153" s="3">
        <f>1794.1+(1870.8-1356)+(0+(0-0))+0-389.2-0</f>
        <v>1919.6999999999996</v>
      </c>
      <c r="S153" s="3">
        <f>1853.3+(1938.7-1448.4)+(-2.835549+(-2.966211--2.216052))+0-381.6--0.583848000000022</f>
        <v>1958.9981399999999</v>
      </c>
      <c r="T153" s="3">
        <f>1831.2+(1712.1-1241.8)+(0.933912+(0.873171-0.633318))+0-367.5-0.187424999999963</f>
        <v>1934.9863399999999</v>
      </c>
      <c r="U153" s="3">
        <f>1792.5+(1581.5-1056.1)+(1.82835+(1.61313-1.077222))+0-376.9-0.38443800000006</f>
        <v>1942.97982</v>
      </c>
      <c r="V153" s="3">
        <f>1787.7+(1617.1-1072)+(-3.646908+(-3.298884--2.18688))+0-382.2--0.779687999999983</f>
        <v>1946.6207760000004</v>
      </c>
      <c r="W153" s="3">
        <f>1794.5+(2111.3-1563.6)+(-1.83039+(-2.153526--1.594872))+0-357.5--0.364650000000057</f>
        <v>1982.6756060000002</v>
      </c>
      <c r="X153" s="3">
        <f>1820.6+(2542.6-1958.6)+(-6.499542+(-9.077082--6.992202))+0-363.8--1.29876600000001</f>
        <v>2033.5143440000002</v>
      </c>
      <c r="Y153" s="3">
        <f>1864.8+(2400.6-2005.5)+(-0.951048+(-1.224306--1.022805))+0-365.8--0.186557999999963</f>
        <v>1893.1340089999997</v>
      </c>
      <c r="Z153" s="3">
        <f>1898.8+(2524.8-2018.2)+(0+(0-0))+0-362.4-0</f>
        <v>2043</v>
      </c>
      <c r="AA153" s="3">
        <f>1897.9+(2622-2086.1)+(-3.871716+(-5.34888--4.255644))+0-356.1--0.726443999999985</f>
        <v>2073.4614920000004</v>
      </c>
      <c r="AB153" s="3">
        <f>1899.5+(2407.2-1964.7)+(0+(0-0))+0-347.5-0</f>
        <v>1994.5</v>
      </c>
      <c r="AC153" s="3">
        <f>1896.7+(2597.8-2187.1)+(-2.901951+(-3.974634--3.346263))+0-359.5--0.550035000000021</f>
        <v>1944.9197130000005</v>
      </c>
      <c r="AD153">
        <v>2077.4</v>
      </c>
      <c r="AE153" s="3">
        <f>1896+(2631-2124.5)+(0+(0-0))+0-325.1-0</f>
        <v>2077.4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1863.1+(2571.4-2222.1)+(2.850543+(3.934242-3.399813))+0-356.3-0.545139000000021</f>
        <v>1858.9398329999999</v>
      </c>
      <c r="G154" s="3">
        <f>1565.9+(2381.5-1865.5)+(0.798609+(1.214565-0.951405))+0-360.3-0.183752999999963</f>
        <v>1722.478016</v>
      </c>
      <c r="H154" s="3">
        <f>1541.3+(2379.2-1893)+(-2.358189+(-3.640176--2.89629))+0-361--0.552330000000021</f>
        <v>1663.9502549999997</v>
      </c>
      <c r="I154" s="3">
        <f>1540.8+(2407.7-1930.1)+(0.785808+(1.227927-0.984351))+0-347.9-0.177428999999965</f>
        <v>1671.3519549999999</v>
      </c>
      <c r="J154" s="3">
        <f>1540.5+(2229.6-1749)+(0+(0-0))+0-362.9-0</f>
        <v>1658.1999999999998</v>
      </c>
      <c r="K154" s="3">
        <f>1541.5+(2024.7-1591.1)+(-3.14466+(-4.130388--3.245844))+0-365.8--0.746231999999984</f>
        <v>1606.0170280000002</v>
      </c>
      <c r="L154" s="3">
        <f>1542.1+(1362.8-1133.7)+(-4.718826+(-4.170168--3.469122))+0-367.7--1.12516200000004</f>
        <v>1399.2052899999999</v>
      </c>
      <c r="M154" s="3">
        <f>1539.6+(1113.6-699.5)+(0.785196+(0.567936-0.356745))+0-383.5-0.195584999999961</f>
        <v>1571.0008019999998</v>
      </c>
      <c r="N154" s="3">
        <f>1536.6+(1691.5-1019.3)+(0.783666+(0.862665-0.519843))+0-380.4-0.194003999999961</f>
        <v>1829.332484</v>
      </c>
      <c r="O154" s="3">
        <f>1535.7+(2031.7-1160.9)+(0.783207+(1.036167-0.592059))+0-383.2-0.195431999999961</f>
        <v>2024.3318830000001</v>
      </c>
      <c r="P154" s="3">
        <f>1648+(2466.4-1483)+(3.36192+(5.031456-3.02532))+0-382.4-0.780095999999983</f>
        <v>2253.5879599999998</v>
      </c>
      <c r="Q154" s="3">
        <f>1747.1+(2380.9-1473.8)+(0.891021+(1.214259-0.751638))+0-371.6-0.189515999999962</f>
        <v>2283.764126</v>
      </c>
      <c r="R154" s="3">
        <f>1876.7+(2370.3-1865.4)+(1.914234+(2.417706-1.902708))+0-363-0.370260000000058</f>
        <v>2020.6589720000002</v>
      </c>
      <c r="S154" s="3">
        <f>1960.8+(2580.8-2193.9)+(-2.000016+(-2.632416--2.237778))+0-366.8--0.374136000000058</f>
        <v>1978.8794819999998</v>
      </c>
      <c r="T154" s="3">
        <f>1970.3+(2515.6-2106.2)+(-2.009706+(-2.565912--2.148324))+0-362.8--0.370056000000058</f>
        <v>2014.8427619999998</v>
      </c>
      <c r="U154" s="3">
        <f>1961.8+(2635.5-2187.4)+(-4.002072+(-5.37642--4.462296))+0-369.5--0.753779999999984</f>
        <v>2036.2375839999995</v>
      </c>
      <c r="V154" s="3">
        <f>1962+(2576.9-2020.8)+(-4.00248+(-5.256876--4.122432))+0-373.7--0.762347999999984</f>
        <v>2140.0254240000008</v>
      </c>
      <c r="W154" s="3">
        <f>1894.8+(2595.8-1926.1)+(-6.764436+(-9.267006--6.876177))+0-371.8--1.32732600000001</f>
        <v>2184.872061</v>
      </c>
      <c r="X154" s="3">
        <f>1770.9+(1902-1471.8)+(-5.418954+(-5.82012--4.503708))+0-369.7--1.13128200000004</f>
        <v>1825.7959160000005</v>
      </c>
      <c r="Y154" s="3">
        <f>1734.8+(1750.8-1165.2)+(0.884748+(0.892908-0.594252))+0-371.7-0.189566999999962</f>
        <v>1949.6938369999996</v>
      </c>
      <c r="Z154" s="3">
        <f>1775+(1826.7-1279.4)+(-0.90525+(-0.931617--0.652494))+0-374.1--0.190790999999962</f>
        <v>1947.2064180000002</v>
      </c>
      <c r="AA154" s="3">
        <f>1771.5+(1825-1353.3)+(-6.324255+(-6.51525--4.831281))+0-367.6--1.31233200000001</f>
        <v>1868.9041079999997</v>
      </c>
      <c r="AB154" s="3">
        <f>1773.9+(1747.8-1233.1)+(-4.523445+(-4.45689--3.144405))+0-361.7--0.922334999999948</f>
        <v>1921.9864050000001</v>
      </c>
      <c r="AC154" s="3">
        <f>1573.4+(1596.3-1069.4)+(0.802434+(0.814113-0.545394))+0-370.4-0.188903999999962</f>
        <v>1730.7822490000001</v>
      </c>
      <c r="AD154">
        <v>2089.1000000000004</v>
      </c>
      <c r="AE154" s="3">
        <f>1771+(1902.8-1212)+(0+(0-0))+0-372.7-0</f>
        <v>2089.1000000000004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1539.3+(1787.8-1239.1)+(-0.785043+(-0.911778--0.631941))+0-370.9--0.189158999999962</f>
        <v>1716.224279</v>
      </c>
      <c r="G155" s="3">
        <f>1537.7+(2125.9-1646.5)+(-2.352681+(-3.252627--2.519145))+0-378--0.578340000000022</f>
        <v>1636.5921770000002</v>
      </c>
      <c r="H155" s="3">
        <f>1538.4+(2288.4-1857.8)+(-1.569168+(-2.334168--1.894956))+0-365.6--0.372912000000058</f>
        <v>1601.7645320000004</v>
      </c>
      <c r="I155" s="3">
        <f>1538.2+(2243.4-1907.2)+(2.353446+(3.432402-2.918016))+0-361-0.552330000000021</f>
        <v>1515.715502</v>
      </c>
      <c r="J155" s="3">
        <f>1538.9+(2158.7-1856)+(0.784839+(1.100937-0.94656))+0-359.8-0.183497999999963</f>
        <v>1482.5557180000001</v>
      </c>
      <c r="K155" s="3">
        <f>1536.8+(1934.7-1684.3)+(-2.351304+(-2.960091--2.576979))+0-353.5--0.54085500000002</f>
        <v>1431.506439</v>
      </c>
      <c r="L155" s="3">
        <f>1537.9+(1812.3-1656.7)+(-6.274632+(-7.394184--6.759336))+0-367.5--1.49939999999997</f>
        <v>1320.5899199999999</v>
      </c>
      <c r="M155" s="3">
        <f>1537.6+(1768.6-1711.9)+(0+(0-0))+0-345.2-0</f>
        <v>1249.0999999999997</v>
      </c>
      <c r="N155" s="3">
        <f>1536.6+(1499.4-1479.8)+(3.134664+(3.058776-3.018792))+0-342.4-0.698495999999985</f>
        <v>1216.2761519999999</v>
      </c>
      <c r="O155" s="3">
        <f>1534.8+(1694.6-1488.5)+(3.130992+(3.456984-3.03654))+0-339.6-0.692783999999985</f>
        <v>1404.1586519999998</v>
      </c>
      <c r="P155" s="3">
        <f>1535.7+(2063.9-1751)+(0+(0-0))+0-331.6-0</f>
        <v>1517</v>
      </c>
      <c r="Q155" s="3">
        <f>1590.9+(2003.8-1888.1)+(0.811359+(1.021938-0.962931))+0-331.2-0.168911999999966</f>
        <v>1376.1014540000003</v>
      </c>
      <c r="R155" s="3">
        <f>1741.1+(2402-2115.3)+(0+(0-0))+0-330.2-0</f>
        <v>1697.5999999999997</v>
      </c>
      <c r="S155" s="3">
        <f>1893.8+(2432-2337.1)+(-2.897514+(-3.72096--3.575763))+0-330.2--0.505206000000019</f>
        <v>1655.962495</v>
      </c>
      <c r="T155" s="3">
        <f>1941.6+(2389.6-2411.9)+(0.990216+(1.218696-1.230069))+0-329.1-0.167840999999967</f>
        <v>1591.0110019999997</v>
      </c>
      <c r="U155" s="3">
        <f>1957.6+(2242.9-2302.5)+(-1.996752+(-2.287758--2.34855))+0-330.3--0.336906000000053</f>
        <v>1566.100946</v>
      </c>
      <c r="V155" s="3">
        <f>1813.4+(2141.6-1849)+(0.924834+(1.092216-0.94299))+0-329-0.167789999999967</f>
        <v>1777.9062699999999</v>
      </c>
      <c r="W155" s="3">
        <f>1689.6+(1959.6-1685.4)+(-3.446784+(-3.997584--3.438216))+0-331.5--0.676259999999986</f>
        <v>1628.9701079999998</v>
      </c>
      <c r="X155" s="3">
        <f>1713.2+(1583.5-1388.1)+(-0.873732+(-0.807585--0.707931))+0-331--0.168809999999966</f>
        <v>1576.7954240000001</v>
      </c>
      <c r="Y155" s="3">
        <f>1741.1+(1442.6-1097.1)+(-0.887961+(-0.735726--0.559521))+0-330.7--0.168656999999966</f>
        <v>1755.0044909999997</v>
      </c>
      <c r="Z155" s="3">
        <f>1914.8+(1944.1-1435.1)+(-3.906192+(-3.965964--2.927604))+0-333.9--0.681155999999985</f>
        <v>2085.6366040000003</v>
      </c>
      <c r="AA155" s="3">
        <f>1953.8+(1921.3-1610.9)+(-1.992876+(-1.959726--1.643118))+0-332.6--0.339252000000053</f>
        <v>1929.629768</v>
      </c>
      <c r="AB155" s="3">
        <f>1956.1+(1956.9-1660.1)+(0+(0-0))+0-333.9-0</f>
        <v>1919</v>
      </c>
      <c r="AC155" s="3">
        <f>1951.7+(2268.1-1945.4)+(-3.981468+(-4.626924--3.968616))+0-350.8--0.715631999999985</f>
        <v>1919.6758559999996</v>
      </c>
      <c r="AD155">
        <v>2148.7999999999997</v>
      </c>
      <c r="AE155" s="3">
        <f>1954+(2038.4-1510.7)+(0+(0-0))+0-332.9-0</f>
        <v>2148.7999999999997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1949.8+(2521.1-2210.2)+(-3.977592+(-5.143044--4.508808))+0-364.9--0.744395999999984</f>
        <v>1891.9325679999997</v>
      </c>
      <c r="G156" s="3">
        <f>1877.3+(2554.5-2329.3)+(-3.829692+(-5.21118--4.751772))+0-378.2--0.771527999999983</f>
        <v>1720.782428</v>
      </c>
      <c r="H156" s="3">
        <f>1632.6+(2215.2-1943.8)+(-0.832626+(-1.129752--0.991338))+0-365.3--0.186302999999963</f>
        <v>1537.9152629999999</v>
      </c>
      <c r="I156" s="3">
        <f>1541.6+(1945.4-1517)+(1.572432+(1.984308-1.54734))+0-364.7-0.371994000000058</f>
        <v>1606.9374059999998</v>
      </c>
      <c r="J156" s="3">
        <f>1541.6+(1775.7-1356.6)+(1.572432+(1.811214-1.383732))+0-365.6-0.372912000000058</f>
        <v>1596.7270019999999</v>
      </c>
      <c r="K156" s="3">
        <f>1542.2+(1831.1-1368.1)+(-2.359566+(-2.801583--2.093193))+0-363.6--0.556308000000021</f>
        <v>1639.088352</v>
      </c>
      <c r="L156" s="3">
        <f>1541.4+(1752.3-1348.7)+(0+(0-0))+0-373.9-0</f>
        <v>1571.1</v>
      </c>
      <c r="M156" s="3">
        <f>1541.5+(1630.4-1250.8)+(0+(0-0))+0-377.8-0</f>
        <v>1543.3000000000002</v>
      </c>
      <c r="N156" s="3">
        <f>1540.7+(2041.9-1429.4)+(2.357271+(3.124107-2.186982))+0-369.6-0.565488000000021</f>
        <v>1786.3289079999997</v>
      </c>
      <c r="O156" s="3">
        <f>1583.4+(2495.1-1857)+(1.615068+(2.545002-1.89414))+0-369.3-0.376686000000059</f>
        <v>1854.089244</v>
      </c>
      <c r="P156" s="3">
        <f>1651.9+(2416.3-1801.5)+(3.369876+(4.929252-3.67506))+0-369.7-0.754187999999984</f>
        <v>1900.8698800000004</v>
      </c>
      <c r="Q156" s="3">
        <f>1755+(2398.5-1804.9)+(1.7901+(2.44647-1.840998))+0-355-0.362100000000057</f>
        <v>1995.6334719999998</v>
      </c>
      <c r="R156" s="3">
        <f>1860.5+(2328.4-1787.8)+(2.846565+(3.562452-2.735334))+0-338.4-0.51775200000002</f>
        <v>2065.8559310000001</v>
      </c>
      <c r="S156" s="3">
        <f>1917.3+(2545.3-2081.9)+(0+(0-0))+0-351.6-0</f>
        <v>2029.1</v>
      </c>
      <c r="T156" s="3">
        <f>1917.2+(2378.4-1911.2)+(0+(0-0))+0-358.5-0</f>
        <v>2025.9</v>
      </c>
      <c r="U156" s="3">
        <f>2008.8+(2411.6-1974.9)+(-6.146928+(-7.379496--6.043194))+0-357.4--1.09364400000004</f>
        <v>2081.7104140000001</v>
      </c>
      <c r="V156" s="3">
        <f>1932.6+(2430.1-1931.2)+(-2.956878+(-3.718053--2.954736))+0-362--0.553860000000021</f>
        <v>2066.3336650000001</v>
      </c>
      <c r="W156" s="3">
        <f>1776.1+(2491.3-1910.5)+(-1.811622+(-2.541126--1.94871))+0-362--0.369240000000058</f>
        <v>1992.865202</v>
      </c>
      <c r="X156" s="3">
        <f>1695.1+(2374.5-1779.3)+(-2.593503+(-3.632985--2.722329))+0-371.8--0.568854000000022</f>
        <v>1915.5646950000003</v>
      </c>
      <c r="Y156" s="3">
        <f>1725+(2367.6-1782.2)+(1.7595+(2.414952-1.817844))+0-371.9-0.379338000000059</f>
        <v>1940.4772699999996</v>
      </c>
      <c r="Z156" s="3">
        <f>1776.3+(2579.2-1848.9)+(-1.811826+(-2.630784--1.885878))+0-379.1--0.38668200000006</f>
        <v>2125.3299499999994</v>
      </c>
      <c r="AA156" s="3">
        <f>1772.6+(2528.8-1822.2)+(-2.712078+(-3.869064--2.787966))+0-371.9--0.569007000000021</f>
        <v>2104.0758309999997</v>
      </c>
      <c r="AB156" s="3">
        <f>1773.5+(2554.7-1886.1)+(-2.713455+(-3.908691--2.885733))+0-364.6--0.557838000000021</f>
        <v>2074.3214250000001</v>
      </c>
      <c r="AC156" s="3">
        <f>1768.4+(2534.7-1942.8)+(-1.803768+(-2.585394--1.981656))+0-371.2--0.378624000000059</f>
        <v>1987.0711180000003</v>
      </c>
      <c r="AD156">
        <v>2130.7000000000003</v>
      </c>
      <c r="AE156" s="3">
        <f>1775+(2480.1-1747.5)+(0+(0-0))+0-376.9-0</f>
        <v>2130.6999999999998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1762.1+(2603.4-2040.4)+(-0.898671+(-1.327734--1.040604))+0-373.3--0.190382999999962</f>
        <v>1950.8045819999998</v>
      </c>
      <c r="G157" s="3">
        <f>1718.2+(2531.6-1961.6)+(-2.628846+(-3.873348--3.001248))+0-374.5--0.572985000000022</f>
        <v>1910.7720389999997</v>
      </c>
      <c r="H157" s="3">
        <f>1546.5+(2435-1782.1)+(-1.57743+(-2.4837--1.817742))+0-376.7--0.38423400000006</f>
        <v>1820.8408460000003</v>
      </c>
      <c r="I157" s="3">
        <f>1516.8+(2511.4-1896.1)+(-3.86784+(-6.40407--4.835055))+0-370.3--0.944264999999946</f>
        <v>1757.3074100000003</v>
      </c>
      <c r="J157" s="3">
        <f>1517.5+(2648.4-2018.3)+(0.773925+(1.350684-1.029333))+0-370.2-0.188801999999962</f>
        <v>1778.3064740000004</v>
      </c>
      <c r="K157" s="3">
        <f>1517.4+(2491.5-1932)+(-3.86937+(-6.353325--4.9266))+0-369--0.940949999999946</f>
        <v>1703.5448549999999</v>
      </c>
      <c r="L157" s="3">
        <f>1516+(2015-1538.6)+(-2.31948+(-3.08295--2.354058))+0-365.6--0.559368000000021</f>
        <v>1624.3109959999999</v>
      </c>
      <c r="M157" s="3">
        <f>1516.6+(1720.2-1232.6)+(-1.546932+(-1.754604--1.257252))+0-370.5--0.377910000000059</f>
        <v>1632.0336260000001</v>
      </c>
      <c r="N157" s="3">
        <f>1515.1+(1890.4-1279)+(1.545402+(1.928208-1.30458))+0-370.8-0.378216000000059</f>
        <v>1757.490814</v>
      </c>
      <c r="O157" s="3">
        <f>1534.9+(2284.6-1563.2)+(1.565598+(2.330292-1.594464))+0-383.5-0.391170000000061</f>
        <v>1874.7102560000001</v>
      </c>
      <c r="P157" s="3">
        <f>1660.4+(2660.3-1900.4)+(0.846804+(1.356753-0.969204))+0-368.6-0.187985999999963</f>
        <v>2052.7463670000002</v>
      </c>
      <c r="Q157" s="3">
        <f>1733.9+(2580.7-1855.9)+(-1.768578+(-2.632314--1.893018))+0-375.4--0.38290800000006</f>
        <v>2081.1750339999999</v>
      </c>
      <c r="R157" s="3">
        <f>1865.2+(2522.3-1991.9)+(-0.951252+(-1.286373--1.015869))+0-373.7--0.190586999999962</f>
        <v>2020.8688310000005</v>
      </c>
      <c r="S157" s="3">
        <f>1956.5+(2635.3-2250)+(-4.989075+(-6.720015--5.7375))+0-369.4--0.941969999999946</f>
        <v>1967.3703799999998</v>
      </c>
      <c r="T157" s="3">
        <f>1968.1+(2593-2185.8)+(-5.018655+(-6.61215--5.57379))+0-366.7--0.935084999999947</f>
        <v>2003.4780699999997</v>
      </c>
      <c r="U157" s="3">
        <f>1955.1+(2596-2171.1)+(-2.991303+(-3.97188--3.321783))+0-373.2--0.570996000000022</f>
        <v>2003.7295959999999</v>
      </c>
      <c r="V157" s="3">
        <f>1882.2+(2554.7-2065.7)+(-2.879766+(-3.908691--3.160521))+0-372.4--0.569772000000021</f>
        <v>1995.7418359999999</v>
      </c>
      <c r="W157" s="3">
        <f>1884.4+(2529.7-2065.6)+(-1.922088+(-2.580294--2.106912))+0-374.1--0.38158200000006</f>
        <v>1972.3861120000001</v>
      </c>
      <c r="X157" s="3">
        <f>1805.7+(2529.2-2029.6)+(-4.604535+(-6.44946--5.17548))+0-365.4--0.931769999999947</f>
        <v>1934.9532550000001</v>
      </c>
      <c r="Y157" s="3">
        <f>1755.3+(2232.3-1682.8)+(-0.895203+(-1.138473--0.858228))+0-371.5--0.189464999999962</f>
        <v>1932.3140170000001</v>
      </c>
      <c r="Z157" s="3">
        <f>1847.4+(2563.4-1953.4)+(0+(0-0))+0-369.2-0</f>
        <v>2088.2000000000003</v>
      </c>
      <c r="AA157" s="3">
        <f>1854.2+(2442.8-1851.6)+(-3.782568+(-4.983312--3.777264))+0-365.6--0.745823999999984</f>
        <v>2075.5572080000006</v>
      </c>
      <c r="AB157" s="3">
        <f>1855.2+(2530.2-1978.3)+(0.946152+(1.290402-1.008933))+0-363.3-0.185282999999963</f>
        <v>2044.8423379999999</v>
      </c>
      <c r="AC157" s="3">
        <f>1852.5+(2587.1-2078.3)+(-3.7791+(-5.277684--4.239732))+0-355--0.724199999999985</f>
        <v>2002.2071479999997</v>
      </c>
      <c r="AD157">
        <v>2010.2</v>
      </c>
      <c r="AE157" s="3">
        <f>1842+(2538.7-2011.7)+(0+(0-0))+0-358.8-0</f>
        <v>2010.2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1819.4+(2593.8-2118.8)+(-0.927894+(-1.322838--1.080588))+0-362.2--0.184721999999963</f>
        <v>1931.2145779999998</v>
      </c>
      <c r="G158" s="3">
        <f>1589.4+(2542.4-1967.1)+(0+(0-0))+0-358.7-0</f>
        <v>1806.0000000000002</v>
      </c>
      <c r="H158" s="3">
        <f>1541.3+(2368.2-1791.3)+(0+(0-0))+0-381.4-0</f>
        <v>1736.7999999999997</v>
      </c>
      <c r="I158" s="3">
        <f>1544.5+(2290.1-1756.7)+(2.363085+(3.503853-2.687751))+0-375.8-0.574974000000022</f>
        <v>1704.7042129999998</v>
      </c>
      <c r="J158" s="3">
        <f>1541.5+(2097.2-1541.6)+(-0.786165+(-1.069572--0.786216))+0-376.5--0.192014999999962</f>
        <v>1719.7224939999999</v>
      </c>
      <c r="K158" s="3">
        <f>1542.1+(1996.5-1467.2)+(-3.932355+(-5.091075--3.74136))+0-369.2--0.941459999999946</f>
        <v>1697.8593899999994</v>
      </c>
      <c r="L158" s="3">
        <f>1541.3+(1643-1264.9)+(-3.144252+(-3.35172--2.580396))+0-360.9--0.736235999999984</f>
        <v>1555.3206599999996</v>
      </c>
      <c r="M158" s="3">
        <f>1543+(1481.3-1088.7)+(1.57386+(1.510926-1.110474))+0-345.6-0.352512000000055</f>
        <v>1591.6217999999997</v>
      </c>
      <c r="N158" s="3">
        <f>1553.6+(1861.4-1325.2)+(0+(0-0))+0-350.8-0</f>
        <v>1739.0000000000002</v>
      </c>
      <c r="O158" s="3">
        <f>1531.7+(2542-1764.5)+(0.781167+(1.29642-0.899895))+0-367-0.187169999999963</f>
        <v>1943.1905220000001</v>
      </c>
      <c r="P158" s="3">
        <f>1661.9+(2158.7-1581.8)+(3.390276+(4.403748-3.226872))+0-347.7-0.709307999999985</f>
        <v>1894.9578440000003</v>
      </c>
      <c r="Q158" s="3">
        <f>1743.3+(2462.3-1819.6)+(-4.445415+(-6.278865--4.63998))+0-369.5--0.942224999999946</f>
        <v>2011.357925</v>
      </c>
      <c r="R158" s="3">
        <f>1848.2+(2503.7-1965.6)+(1.885164+(2.553774-2.004912))+0-375.4-0.38290800000006</f>
        <v>2012.951118</v>
      </c>
      <c r="S158" s="3">
        <f>1905+(2588.6-2185.5)+(-2.91465+(-3.960558--3.343815))+0-362.4--0.554472000000021</f>
        <v>1942.7230789999996</v>
      </c>
      <c r="T158" s="3">
        <f>1913.8+(2628.9-2214.8)+(0.976038+(1.340739-1.129548))+0-375.6-0.191555999999962</f>
        <v>1953.2956729999999</v>
      </c>
      <c r="U158" s="3">
        <f>1913+(2612.6-2189.3)+(0+(0-0))+0-375.2-0</f>
        <v>1961.0999999999997</v>
      </c>
      <c r="V158" s="3">
        <f>1909.4+(2432.1-2018.7)+(-4.86897+(-6.201855--5.147685))+0-372.8--0.950639999999946</f>
        <v>1945.0275000000004</v>
      </c>
      <c r="W158" s="3">
        <f>1819.9+(2052.3-1591.9)+(-2.784447+(-3.140019--2.435607))+0-365.7--0.559521000000021</f>
        <v>1911.6706620000002</v>
      </c>
      <c r="X158" s="3">
        <f>1517.2+(1798.3-1094.6)+(-2.321316+(-2.751399--1.674738))+0-372.3--0.569619000000022</f>
        <v>1845.7716420000002</v>
      </c>
      <c r="Y158" s="3">
        <f>1452.7+(1750.9-1006)+(1.481754+(1.785918-1.02612))+0-348.1-0.355062000000056</f>
        <v>1851.3864900000003</v>
      </c>
      <c r="Z158" s="3">
        <f>1468.6+(2343.7-1445.9)+(-5.242902+(-8.367009--5.161863))+0-341.3--1.218441</f>
        <v>2017.8703929999995</v>
      </c>
      <c r="AA158" s="3">
        <f>1553.2+(2328.3-1496.8)+(-2.376396+(-3.562299--2.290104))+0-356.2--0.544986000000021</f>
        <v>2025.3963950000002</v>
      </c>
      <c r="AB158" s="3">
        <f>1657.9+(2028.5-1337.6)+(0.845529+(1.034535-0.682176))+0-368.1-0.187730999999963</f>
        <v>1981.7101570000004</v>
      </c>
      <c r="AC158" s="3">
        <f>1704.7+(1983.8-1391.4)+(-4.346985+(-5.05869--3.54807))+0-376.9--0.961094999999945</f>
        <v>1915.3034899999996</v>
      </c>
      <c r="AD158">
        <v>2024.6</v>
      </c>
      <c r="AE158" s="3">
        <f>1563+(2362-1527.8)+(0+(0-0))+0-372.6-0</f>
        <v>2024.6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1651.2+(2178.8-1592.1)+(-4.21056+(-5.55594--4.059855))+0-372.8--0.950639999999946</f>
        <v>1860.3439950000004</v>
      </c>
      <c r="G159" s="3">
        <f>1493.5+(2246-1596.3)+(-3.808425+(-5.7273--4.070565))+0-374.7--0.955484999999946</f>
        <v>1763.9903249999995</v>
      </c>
      <c r="H159" s="3">
        <f>1488.7+(2110.3-1541.5)+(1.518474+(2.152506-1.57233))+0-373.4-0.380868000000059</f>
        <v>1685.8177819999999</v>
      </c>
      <c r="I159" s="3">
        <f>1488.1+(2004.2-1497.1)+(-2.276793+(-3.066426--2.290563))+0-376.2--0.575586000000022</f>
        <v>1616.5229299999999</v>
      </c>
      <c r="J159" s="3">
        <f>1489.2+(1928.4-1381.2)+(0+(0-0))+0-372-0</f>
        <v>1664.4</v>
      </c>
      <c r="K159" s="3">
        <f>1488.2+(2087.6-1500.8)+(-3.79491+(-5.32338--3.82704))+0-378.5--0.965174999999945</f>
        <v>1692.1739249999998</v>
      </c>
      <c r="L159" s="3">
        <f>1510.6+(1835.4-1446)+(-5.392842+(-6.552378--5.16222))+0-369.5--1.31911500000001</f>
        <v>1525.0361150000001</v>
      </c>
      <c r="M159" s="3">
        <f>1515.8+(1955.5-1636.7)+(0.773058+(0.997305-0.834717))+0-342.9-0.174878999999965</f>
        <v>1492.4607669999998</v>
      </c>
      <c r="N159" s="3">
        <f>1477.3+(1765.5-1340.5)+(0.753423+(0.900405-0.683655))+0-360-0.183599999999963</f>
        <v>1543.0865729999998</v>
      </c>
      <c r="O159" s="3">
        <f>1518+(1869.9-1407.2)+(-1.54836+(-1.907298--1.435344))+0-375.8--0.38331600000006</f>
        <v>1603.2630020000001</v>
      </c>
      <c r="P159" s="3">
        <f>1522.1+(1802.8-1272.2)+(1.552542+(1.838856-1.297644))+0-374.5-0.38199000000006</f>
        <v>1679.9117639999997</v>
      </c>
      <c r="Q159" s="3">
        <f>1533.8+(1767.7-1205.9)+(3.128952+(3.606108-2.460036))+0-372.7-0.760307999999984</f>
        <v>1726.414716</v>
      </c>
      <c r="R159" s="3">
        <f>1779.1+(2192.9-1872.8)+(-2.722023+(-3.355137--2.865384))+0-379.7--0.580941000000022</f>
        <v>1716.8691649999996</v>
      </c>
      <c r="S159" s="3">
        <f>1845+(2300-2013.9)+(-1.8819+(-2.346--2.054178))+0-373--0.380460000000059</f>
        <v>1756.306738</v>
      </c>
      <c r="T159" s="3">
        <f>1851.1+(2235-1941)+(0.944061+(1.13985-0.98991))+0-370.2-0.188801999999962</f>
        <v>1775.8051989999999</v>
      </c>
      <c r="U159" s="3">
        <f>1838.2+(2227.5-1942.7)+(0+(0-0))+0-361.9-0</f>
        <v>1761.1</v>
      </c>
      <c r="V159" s="3">
        <f>1823.7+(2331.5-2018.5)+(0+(0-0))+0-364.2-0</f>
        <v>1772.4999999999998</v>
      </c>
      <c r="W159" s="3">
        <f>1711.3+(2247.8-1697.2)+(0+(0-0))+0-377.5-0</f>
        <v>1884.4</v>
      </c>
      <c r="X159" s="3">
        <f>1710.4+(1904.3-1500.6)+(-2.616912+(-2.913579--2.295918))+0-368.9--0.564417000000021</f>
        <v>1742.5298440000001</v>
      </c>
      <c r="Y159" s="3">
        <f>1745.6+(1564.7-1358.8)+(2.670768+(2.393991-2.078964))+0-377.1-0.576963000000022</f>
        <v>1576.8088320000002</v>
      </c>
      <c r="Z159" s="3">
        <f>1777.4+(2124-1644.4)+(-1.812948+(-2.16648--1.677288))+0-374.8--0.38229600000006</f>
        <v>1880.2801560000003</v>
      </c>
      <c r="AA159" s="3">
        <f>1776.9+(2248.2-1709.7)+(-0.906219+(-1.146582--0.871947))+0-368.6--0.187985999999963</f>
        <v>1945.8071319999995</v>
      </c>
      <c r="AB159" s="3">
        <f>1776.3+(2213.8-1715.7)+(-1.811826+(-2.258076--1.750014))+0-371.4--0.378828000000059</f>
        <v>1901.0589400000001</v>
      </c>
      <c r="AC159" s="3">
        <f>1777.3+(2493.5-2130.3)+(0.906423+(1.271685-1.086453))+0-355.3-0.181202999999964</f>
        <v>1786.1104520000004</v>
      </c>
      <c r="AD159">
        <v>1860.8</v>
      </c>
      <c r="AE159" s="3">
        <f>1771+(2185.5-1704.9)+(0+(0-0))+0-390.8-0</f>
        <v>1860.8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1777.4+(2495.8-2083.2)+(-0.906474+(-1.272858--1.062432))+0-365.9--0.186608999999963</f>
        <v>1823.1697090000002</v>
      </c>
      <c r="G160" s="3">
        <f>1773.4+(2574.8-2188.9)+(-5.426604+(-7.878888--6.698034))+0-378.6--1.15851600000004</f>
        <v>1775.2510580000003</v>
      </c>
      <c r="H160" s="3">
        <f>1724.9+(2524.2-2138.7)+(-3.518796+(-5.149368--4.362948))+0-374.8--0.764591999999984</f>
        <v>1732.0593759999999</v>
      </c>
      <c r="I160" s="3">
        <f>1533.8+(2397.9-1884.5)+(0.782238+(1.222929-0.961095))+0-364.7-0.185996999999963</f>
        <v>1683.3580749999999</v>
      </c>
      <c r="J160" s="3">
        <f>1530.5+(1758.3-1288.3)+(1.56111+(1.793466-1.314066))+0-371.3-0.378726000000059</f>
        <v>1630.8617839999999</v>
      </c>
      <c r="K160" s="3">
        <f>1529.7+(1714.9-1244.5)+(-0.780147+(-0.874599--0.634695))+0-371.4--0.189413999999962</f>
        <v>1627.8693630000002</v>
      </c>
      <c r="L160" s="3">
        <f>1529+(1487.5-1111.8)+(-3.89895+(-3.793125--2.83509))+0-369.9--0.943244999999946</f>
        <v>1530.8862600000002</v>
      </c>
      <c r="M160" s="3">
        <f>1527.7+(1254-838.3)+(-1.558254+(-1.27908--0.855066))+0-376--0.38352000000006</f>
        <v>1565.8012520000002</v>
      </c>
      <c r="N160" s="3">
        <f>1528.7+(1757.1-1211.2)+(-1.559274+(-1.792242--1.235424))+0-371.3--0.378726000000059</f>
        <v>1701.5626339999999</v>
      </c>
      <c r="O160" s="3">
        <f>1527.8+(1968.5-1296)+(1.558356+(2.00787-1.32192))+0-377.1-0.38464200000006</f>
        <v>1825.0596640000003</v>
      </c>
      <c r="P160" s="3">
        <f>1545.9+(1853.3-1156.5)+(0.788409+(0.945183-0.589815))+0-367.4-0.187373999999963</f>
        <v>1876.2564030000001</v>
      </c>
      <c r="Q160" s="3">
        <f>1707.2+(1596.9-979.9)+(1.741344+(1.628838-0.999498))+0-366.1-0.373422000000058</f>
        <v>1960.0972620000002</v>
      </c>
      <c r="R160" s="3">
        <f>1759.1+(1741-1188.9)+(-0.897141+(-0.88791--0.606339))+0-360.2--0.183701999999963</f>
        <v>1950.0049899999999</v>
      </c>
      <c r="S160" s="3">
        <f>1842.9+(2111.2-1736.3)+(-2.819637+(-3.230136--2.656539))+0-360.4--0.551412000000021</f>
        <v>1854.558178</v>
      </c>
      <c r="T160" s="3">
        <f>1822.8+(2052-1704.5)+(-0.929628+(-1.04652--0.869295))+0-359.5--0.183344999999964</f>
        <v>1809.8764920000003</v>
      </c>
      <c r="U160" s="3">
        <f>1839.2+(2190-1785.2)+(-1.875984+(-2.2338--1.820904))+0-359.8--0.366996000000057</f>
        <v>1882.278116</v>
      </c>
      <c r="V160" s="3">
        <f>1838.2+(2288.9-1876.1)+(-5.624892+(-7.004034--5.740866))+0-357.1--1.09272600000004</f>
        <v>1888.104666</v>
      </c>
      <c r="W160" s="3">
        <f>1734.4+(2280.6-1777.3)+(-1.769088+(-2.326212--1.812846))+0-358.4--0.365568000000057</f>
        <v>1877.3831139999998</v>
      </c>
      <c r="X160" s="3">
        <f>1717.6+(1986.1-1472.7)+(-2.627928+(-3.038733--2.253231))+0-369.1--0.564723000000021</f>
        <v>1859.051293</v>
      </c>
      <c r="Y160" s="3">
        <f>1741.5+(1803.8-1292.7)+(0+(0-0))+0-361.8-0</f>
        <v>1890.8</v>
      </c>
      <c r="Z160" s="3">
        <f>1774.6+(2199.7-1547.6)+(-1.810092+(-2.243694--1.578552))+0-366--0.373320000000058</f>
        <v>2058.598086</v>
      </c>
      <c r="AA160" s="3">
        <f>1771.9+(2165.5-1575.9)+(-4.518345+(-5.522025--4.018545))+0-355.2--0.905759999999948</f>
        <v>2001.183935</v>
      </c>
      <c r="AB160" s="3">
        <f>1774.3+(1988.9-1443.7)+(-2.714679+(-3.043017--2.208861))+0-364.5--0.557685000000021</f>
        <v>1952.0088499999999</v>
      </c>
      <c r="AC160" s="3">
        <f>1773.2+(1870.1-1372.1)+(0.904332+(0.953751-0.699771))+0-364.7-0.185996999999963</f>
        <v>1907.4723149999998</v>
      </c>
      <c r="AD160">
        <v>2060.8999999999996</v>
      </c>
      <c r="AE160" s="3">
        <f>1774+(2149.5-1480.8)+(0+(0-0))+0-381.8-0</f>
        <v>2060.8999999999996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1752.7+(2050.7-1599.8)+(-1.787754+(-2.091714--1.631796))+0-370.9--0.378318000000059</f>
        <v>1830.8306459999999</v>
      </c>
      <c r="G161" s="3">
        <f>1723.9+(2032.6-1657.8)+(-1.758378+(-2.073252--1.690956))+0-375.5--0.38301000000006</f>
        <v>1721.4423359999996</v>
      </c>
      <c r="H161" s="3">
        <f>1710.8+(2055-1714)+(-3.490032+(-4.1922--3.49656))+0-371.6--0.758063999999984</f>
        <v>1676.7723920000001</v>
      </c>
      <c r="I161" s="3">
        <f>1631.6+(1997.1-1629.5)+(0.832116+(1.018521-0.831045))+0-357.1-0.182120999999964</f>
        <v>1642.937471</v>
      </c>
      <c r="J161" s="3">
        <f>1585.3+(1788.8-1363.9)+(1.617006+(1.824576-1.391178))+0-373-0.380460000000059</f>
        <v>1638.8699439999998</v>
      </c>
      <c r="K161" s="3">
        <f>1534.2+(1703-1232.3)+(-3.91221+(-4.34265--3.142365))+0-377.5--0.962624999999945</f>
        <v>1623.2501299999999</v>
      </c>
      <c r="L161" s="3">
        <f>1535+(1591.3-1196)+(-3.1314+(-3.246252--2.43984))+0-373.6--0.762143999999984</f>
        <v>1553.5243320000002</v>
      </c>
      <c r="M161" s="3">
        <f>1532.8+(1609.3-1252.2)+(0.781728+(0.820743-0.638622))+0-346.3-0.176612999999965</f>
        <v>1544.387236</v>
      </c>
      <c r="N161" s="3">
        <f>1532.9+(1644.1-1099)+(0.781779+(0.838491-0.56049))+0-343.5-0.175184999999965</f>
        <v>1735.384595</v>
      </c>
      <c r="O161" s="3">
        <f>1534.2+(1700.2-1078.1)+(-1.564884+(-1.734204--1.099662))+0-343.5--0.350370000000055</f>
        <v>1810.9509440000002</v>
      </c>
      <c r="P161" s="3">
        <f>1535.3+(2038.4-1341.4)+(0.783003+(1.039584-0.684114))+0-340.5-0.173654999999965</f>
        <v>1892.7648180000001</v>
      </c>
      <c r="Q161" s="3">
        <f>1629.2+(2288.4-1624.8)+(-0.830892+(-1.167084--0.828648))+0-342.1--0.174470999999965</f>
        <v>1949.7051430000004</v>
      </c>
      <c r="R161" s="3">
        <f>1818.5+(2484.8-2026.7)+(0.927435+(1.267248-1.033617))+0-342.9-0.174878999999965</f>
        <v>1934.6861870000005</v>
      </c>
      <c r="S161" s="3">
        <f>1846.8+(2615.2-2225.9)+(-3.767472+(-5.335008--4.540836))+0-339.8--0.693191999999985</f>
        <v>1892.4315479999996</v>
      </c>
      <c r="T161" s="3">
        <f>1848.7+(2440.5-2028)+(-2.828511+(-3.733965--3.10284))+0-339.5--0.51943500000002</f>
        <v>1918.7597989999997</v>
      </c>
      <c r="U161" s="3">
        <f>1850.7+(2482.8-2071.7)+(-1.887714+(-2.532456--2.113134))+0-339.3--0.346086000000054</f>
        <v>1920.5390500000001</v>
      </c>
      <c r="V161" s="3">
        <f>1844.3+(2472.6-2054.8)+(-1.881186+(-2.522052--2.095896))+0-341.6--0.348432000000054</f>
        <v>1918.5410899999995</v>
      </c>
      <c r="W161" s="3">
        <f>1843.8+(2261.9-1876.8)+(-4.70169+(-5.767845--4.78584))+0-342.2--0.87260999999995</f>
        <v>1881.8889149999998</v>
      </c>
      <c r="X161" s="3">
        <f>1782.7+(1797.7-1383.3)+(-5.455062+(-5.500962--4.232898))+0-343.6--1.05141600000004</f>
        <v>1847.8282900000006</v>
      </c>
      <c r="Y161" s="3">
        <f>1732.7+(1626.7-1170.5)+(0+(0-0))+0-343.1-0</f>
        <v>1845.8000000000002</v>
      </c>
      <c r="Z161" s="3">
        <f>1775.5+(2282.4-1728.5)+(-3.62202+(-4.656096--3.52614))+0-341.7--0.697067999999985</f>
        <v>1983.645092</v>
      </c>
      <c r="AA161" s="3">
        <f>1773.7+(2164.9-1632.8)+(-4.522935+(-5.520495--4.16364))+0-340.3--0.867764999999951</f>
        <v>1960.4879750000002</v>
      </c>
      <c r="AB161" s="3">
        <f>1774.4+(1878.5-1391.1)+(-3.619776+(-3.83214--2.837844))+0-339.1--0.691763999999985</f>
        <v>1918.7776920000003</v>
      </c>
      <c r="AC161" s="3">
        <f>1772.2+(1805.6-1366.3)+(-2.711466+(-2.762568--2.090439))+0-340.3--0.52065900000002</f>
        <v>1868.3370640000003</v>
      </c>
      <c r="AD161">
        <v>1983.6000000000001</v>
      </c>
      <c r="AE161" s="3">
        <f>1764+(2157-1597.1)+(0+(0-0))+0-340.3-0</f>
        <v>1983.6000000000001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1774.2+(1979.6-1627.9)+(-0.904842+(-1.009596--0.830229))+0-339.8--0.173297999999966</f>
        <v>1785.1890889999995</v>
      </c>
      <c r="G162" s="3">
        <f>1704.4+(1892.4-1557.5)+(0+(0-0))+0-341.7-0</f>
        <v>1697.6000000000001</v>
      </c>
      <c r="H162" s="3">
        <f>1529.5+(1668.3-1227.3)+(0+(0-0))+0-339.8-0</f>
        <v>1630.7</v>
      </c>
      <c r="I162" s="3">
        <f>1530.9+(1558.6-1160.7)+(-2.342277+(-2.384658--1.775871))+0-341.5--0.52249500000002</f>
        <v>1584.8714309999998</v>
      </c>
      <c r="J162" s="3">
        <f>1529.7+(1517.2-1106.1)+(0.780147+(0.773772-0.564111))+0-341.5-0.174164999999965</f>
        <v>1600.1156430000003</v>
      </c>
      <c r="K162" s="3">
        <f>1530.8+(1649-1243.5)+(-0.780708+(-0.84099--0.634185))+0-340.5--0.173654999999965</f>
        <v>1594.986142</v>
      </c>
      <c r="L162" s="3">
        <f>1531.4+(1731.8-1386.4)+(-3.124056+(-3.532872--2.828256))+0-340.9--0.695435999999985</f>
        <v>1532.766764</v>
      </c>
      <c r="M162" s="3">
        <f>1529.5+(1325.2-946.9)+(-3.12018+(-2.703408--1.931676))+0-341.1--0.695843999999985</f>
        <v>1563.5039320000003</v>
      </c>
      <c r="N162" s="3">
        <f>1530.6+(1732.2-1193.7)+(1.561212+(1.766844-1.217574))+0-341.5-0.348330000000054</f>
        <v>1729.3621519999999</v>
      </c>
      <c r="O162" s="3">
        <f>1530.3+(2139-1532.8)+(0.780453+(1.09089-0.781728))+0-340.7-0.173756999999965</f>
        <v>1796.7158579999998</v>
      </c>
      <c r="P162" s="3">
        <f>1531.3+(2140.2-1486.3)+(0+(0-0))+0-343.1-0</f>
        <v>1842.1</v>
      </c>
      <c r="Q162" s="3">
        <f>1571.2+(2378.3-1699.5)+(-0.801312+(-1.212933--0.866745))+0-341.7--0.174266999999965</f>
        <v>1907.3267669999998</v>
      </c>
      <c r="R162" s="3">
        <f>1638.9+(2171.8-1612.8)+(-3.343356+(-4.430472--3.290112))+0-336.8--0.687071999999985</f>
        <v>1857.3033560000003</v>
      </c>
      <c r="S162" s="3">
        <f>1837+(2055.5-1763.8)+(-6.55809+(-7.338135--6.296766))+0-340.5--1.215585</f>
        <v>1781.8161259999997</v>
      </c>
      <c r="T162" s="3">
        <f>1849+(2282.9-1971.7)+(-4.71495+(-5.821395--5.027835))+0-342.3--0.87286499999995</f>
        <v>1813.2643549999998</v>
      </c>
      <c r="U162" s="3">
        <f>1847.3+(2461.8-2169.6)+(-2.826369+(-3.766554--3.319488))+0-341.1--0.52188300000002</f>
        <v>1795.6484480000001</v>
      </c>
      <c r="V162" s="3">
        <f>1748.6+(2200.6-1867.1)+(-2.675358+(-3.366918--2.856663))+0-341.5--0.52249500000002</f>
        <v>1737.9368819999997</v>
      </c>
      <c r="W162" s="3">
        <f>1720.8+(1769.1-1391)+(-2.632824+(-2.706723--2.12823))+0-338--0.51714000000002</f>
        <v>1758.2058229999998</v>
      </c>
      <c r="X162" s="3">
        <f>1722.6+(1548.7-1231.7)+(0.878526+(0.789837-0.628167))+0-340.7-0.173756999999965</f>
        <v>1699.7664389999998</v>
      </c>
      <c r="Y162" s="3">
        <f>1746.5+(1573.8-1142.8)+(-1.78143+(-1.605276--1.165656))+0-342.4--0.349248000000055</f>
        <v>1833.2281979999998</v>
      </c>
      <c r="Z162" s="3">
        <f>1768.3+(1841.1-1259.3)+(-5.410998+(-5.633766--3.853458))+0-342.4--1.04774400000004</f>
        <v>2001.5564379999996</v>
      </c>
      <c r="AA162" s="3">
        <f>1594.6+(1563.6-985.4)+(-3.252984+(-3.189744--2.010216))+0-340.8--0.695231999999985</f>
        <v>1828.2627199999999</v>
      </c>
      <c r="AB162" s="3">
        <f>1580+(1468.3-949)+(0.8058+(0.748833-0.48399))+0-337.8-0.172277999999966</f>
        <v>1762.3983650000002</v>
      </c>
      <c r="AC162" s="3">
        <f>1577.1+(1529.2-993.8)+(-1.608642+(-1.559784--1.013676))+0-333.4--0.340068000000053</f>
        <v>1777.2853179999997</v>
      </c>
      <c r="AD162">
        <v>2027.3000000000004</v>
      </c>
      <c r="AE162" s="3">
        <f>1771+(1699.8-1100.7)+(0+(0-0))+0-342.8-0</f>
        <v>2027.3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1572.2+(2097.7-1654.1)+(0+(0-0))+0-333.3-0</f>
        <v>1682.5</v>
      </c>
      <c r="G163" s="3">
        <f>1527.3+(1890-1488.6)+(0+(0-0))+0-339.5-0</f>
        <v>1589.2</v>
      </c>
      <c r="H163" s="3">
        <f>1486.4+(1692.4-1309.5)+(2.274192+(2.589372-2.003535))+0-344.8-0.52754400000002</f>
        <v>1526.8324850000001</v>
      </c>
      <c r="I163" s="3">
        <f>1349.2+(1706-1229.3)+(0+(0-0))+0-343.6-0</f>
        <v>1482.3000000000002</v>
      </c>
      <c r="J163" s="3">
        <f>1337.3+(1481.7-967.8)+(0+(0-0))+0-344-0</f>
        <v>1507.2</v>
      </c>
      <c r="K163" s="3">
        <f>1337.3+(1573.8-1057.5)+(-4.774161+(-5.618466--3.775275))+0-344.1--1.228437</f>
        <v>1504.1110849999998</v>
      </c>
      <c r="L163" s="3">
        <f>1334.9+(1830.5-1393.4)+(-4.765593+(-6.534885--4.974438))+0-342.3--1.222011</f>
        <v>1424.5959710000002</v>
      </c>
      <c r="M163" s="3">
        <f>1337.9+(1580.8-1095.2)+(0+(0-0))+0-342.6-0</f>
        <v>1480.9</v>
      </c>
      <c r="N163" s="3">
        <f>1476+(1344.2-880.7)+(1.50552+(1.371084-0.898314))+0-339.1-0.345882000000054</f>
        <v>1602.032408</v>
      </c>
      <c r="O163" s="3">
        <f>1528.1+(1517.7-998.1)+(1.558662+(1.548054-1.018062))+0-332.7-0.339354000000053</f>
        <v>1716.7492999999999</v>
      </c>
      <c r="P163" s="3">
        <f>1528+(1485.8-910)+(0.77928+(0.757758-0.4641))+0-333.1-0.169880999999966</f>
        <v>1771.603057</v>
      </c>
      <c r="Q163" s="3">
        <f>1593.8+(1718.4-1170.6)+(0.812838+(0.876384-0.597006))+0-335.5-0.171104999999966</f>
        <v>1807.0211110000005</v>
      </c>
      <c r="R163" s="3">
        <f>1724.5+(1776.2-1345.3)+(-2.638485+(-2.717586--2.058309))+0-334.5--0.511785000000019</f>
        <v>1818.1140229999999</v>
      </c>
      <c r="S163" s="3">
        <f>1724+(2052.4-1672.7)+(-3.51696+(-4.186896--3.412308))+0-340.2--0.694007999999985</f>
        <v>1759.9024599999996</v>
      </c>
      <c r="T163" s="3">
        <f>1704.7+(1932.7-1500.6)+(-0.869397+(-0.985677--0.765306))+0-343--0.174929999999965</f>
        <v>1792.8851620000003</v>
      </c>
      <c r="U163" s="3">
        <f>1720.9+(1932.7-1511.1)+(0.877659+(0.985677-0.770661))+0-339.2-0.172991999999966</f>
        <v>1804.2196829999998</v>
      </c>
      <c r="V163" s="3">
        <f>1720+(1989.6-1587)+(-2.6316+(-3.044088--2.42811))+0-345.4--0.52846200000002</f>
        <v>1774.4808839999998</v>
      </c>
      <c r="W163" s="3">
        <f>1718.7+(1760.4-1409.4)+(-5.259222+(-5.386824--4.312764))+0-346.8--1.06120800000004</f>
        <v>1717.6279259999999</v>
      </c>
      <c r="X163" s="3">
        <f>1717.5+(1492-1232)+(-5.25555+(-4.56552--3.76992))+0-346.6--1.06059600000004</f>
        <v>1625.9094459999999</v>
      </c>
      <c r="Y163" s="3">
        <f>1740.8+(1265-895.4)+(-2.663424+(-1.93545--1.369962))+0-346.1--0.52953300000002</f>
        <v>1761.6006210000003</v>
      </c>
      <c r="Z163" s="3">
        <f>1772.8+(1406.6-902.8)+(-4.52064+(-3.58683--2.30214))+0-328.8--0.838439999999952</f>
        <v>1942.8331099999998</v>
      </c>
      <c r="AA163" s="3">
        <f>1732.2+(1416.5-913.1)+(-7.067376+(-5.77932--3.725448))+0-336.6--1.37332799999997</f>
        <v>1891.25208</v>
      </c>
      <c r="AB163" s="3">
        <f>1579.4+(1463-881.8)+(0+(0-0))+0-339.7-0</f>
        <v>1820.9000000000003</v>
      </c>
      <c r="AC163" s="3">
        <f>1577.1+(1576.3-969.7)+(0.804321+(0.803913-0.494547))+0-347.6-0.177275999999965</f>
        <v>1837.036411</v>
      </c>
      <c r="AD163">
        <v>1936.1</v>
      </c>
      <c r="AE163" s="3">
        <f>1773+(1490.5-1007.8)+(0+(0-0))+0-319.6-0</f>
        <v>1936.1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1536+(1772.9-1133.1)+(0+(0-0))+0-349.5-0</f>
        <v>1826.3000000000002</v>
      </c>
      <c r="G164" s="3">
        <f>1528.5+(1714.2-1295.8)+(-0.779535+(-0.874242--0.660858))+0-366.5--0.186914999999963</f>
        <v>1579.5939960000001</v>
      </c>
      <c r="H164" s="3">
        <f>1469.6+(1880.2-1451.2)+(-1.498992+(-1.917804--1.480224))+0-347--0.353940000000055</f>
        <v>1550.0173679999998</v>
      </c>
      <c r="I164" s="3">
        <f>1340.9+(2192.3-1643.4)+(0.683859+(1.118073-0.838134))+0-346.3-0.176612999999965</f>
        <v>1544.2871850000004</v>
      </c>
      <c r="J164" s="3">
        <f>1335.4+(2094.1-1585.3)+(0+(0-0))+0-355.4-0</f>
        <v>1488.8000000000002</v>
      </c>
      <c r="K164" s="3">
        <f>1335.9+(1590.2-1157)+(0+(0-0))+0-347.6-0</f>
        <v>1421.5</v>
      </c>
      <c r="L164" s="3">
        <f>1338+(1445.4-1073)+(-4.77666+(-5.160078--3.83061))+0-346--1.23522</f>
        <v>1359.5290920000002</v>
      </c>
      <c r="M164" s="3">
        <f>1334.2+(1581.3-1208.8)+(-2.041326+(-2.419389--1.849464))+0-344.5--0.52708500000002</f>
        <v>1360.1158339999999</v>
      </c>
      <c r="N164" s="3">
        <f>1334.2+(1466-1082.3)+(2.041326+(2.24298-1.655919))+0-347.2-0.53121600000002</f>
        <v>1372.7971709999999</v>
      </c>
      <c r="O164" s="3">
        <f>1390.4+(1337-882.1)+(1.418208+(1.36374-0.899742))+0-345.7-0.352614000000055</f>
        <v>1501.129592</v>
      </c>
      <c r="P164" s="3">
        <f>1532.5+(1375.4-958.3)+(-0.781575+(-0.701454--0.488733))+0-352.3--0.179672999999964</f>
        <v>1596.485377</v>
      </c>
      <c r="Q164" s="3">
        <f>1538.9+(1338.5-922.8)+(0+(0-0))+0-350.3-0</f>
        <v>1604.3000000000002</v>
      </c>
      <c r="R164" s="3">
        <f>1690.6+(1314.3-1034.3)+(-0.862206+(-0.670293--0.527493))+0-350.8--0.178907999999964</f>
        <v>1618.9739019999997</v>
      </c>
      <c r="S164" s="3">
        <f>1723.6+(1351.7-1123.4)+(0+(0-0))+0-349.6-0</f>
        <v>1602.2999999999997</v>
      </c>
      <c r="T164" s="3">
        <f>1724.5+(1518.9-1246.6)+(-4.397475+(-3.873195--3.17883))+0-345--0.87974999999995</f>
        <v>1647.5879100000002</v>
      </c>
      <c r="U164" s="3">
        <f>1720+(1580.8-1378.8)+(-4.386+(-4.03104--3.51594))+0-351.7--0.896834999999949</f>
        <v>1566.2957349999999</v>
      </c>
      <c r="V164" s="3">
        <f>1722.5+(1634.7-1409.8)+(0+(0-0))+0-351.7-0</f>
        <v>1595.7</v>
      </c>
      <c r="W164" s="3">
        <f>1715.1+(1219.9-1033.8)+(-5.248206+(-3.732894--3.163428))+0-354.4--1.08446400000004</f>
        <v>1542.0667920000001</v>
      </c>
      <c r="X164" s="3">
        <f>1720.4+(1480.2-1238.8)+(-2.632212+(-2.264706--1.895364))+0-354.6--0.542538000000021</f>
        <v>1604.7409840000003</v>
      </c>
      <c r="Y164" s="3">
        <f>1722.1+(1500.5-1248.4)+(-0.878271+(-0.765255--0.636684))+0-351.9--0.179468999999964</f>
        <v>1621.4726269999999</v>
      </c>
      <c r="Z164" s="3">
        <f>1743.2+(1590.8-1183.7)+(-4.44516+(-4.05654--3.018435))+0-355.6--0.906779999999948</f>
        <v>1790.1235150000005</v>
      </c>
      <c r="AA164" s="3">
        <f>1771+(1729.9-1356.5)+(-4.51605+(-4.411245--3.459075))+0-358.4--0.913919999999948</f>
        <v>1781.4456999999998</v>
      </c>
      <c r="AB164" s="3">
        <f>1687.7+(1611.2-1211.8)+(-3.442908+(-3.286848--2.472072))+0-358.7--0.731747999999984</f>
        <v>1724.8740640000001</v>
      </c>
      <c r="AC164" s="3">
        <f>1645.8+(1722.6-1305.2)+(0+(0-0))+0-361.1-0</f>
        <v>1702.1</v>
      </c>
      <c r="AD164">
        <v>1857.9999999999995</v>
      </c>
      <c r="AE164" s="3">
        <f>1770+(1717.6-1266.2)+(0+(0-0))+0-363.4-0</f>
        <v>1857.9999999999995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1572.1+(1763.2-1349.8)+(-0.801771+(-0.899232--0.688398))+0-360--0.183599999999963</f>
        <v>1624.6709950000002</v>
      </c>
      <c r="G165" s="3">
        <f>1439.2+(1943.7-1474.7)+(-2.201976+(-2.973861--2.256291))+0-362.1--0.554013000000021</f>
        <v>1543.7344669999998</v>
      </c>
      <c r="H165" s="3">
        <f>1340+(1988.6-1474.6)+(-0.6834+(-1.014186--0.752046))+0-360.9--0.184058999999963</f>
        <v>1492.3385190000001</v>
      </c>
      <c r="I165" s="3">
        <f>1340.9+(1846.9-1445.7)+(-1.367718+(-1.883838--1.474614))+0-361.5--0.368730000000058</f>
        <v>1379.1917880000003</v>
      </c>
      <c r="J165" s="3">
        <f>1339.4+(1515.1-1200.7)+(-0.683094+(-0.772701--0.612357))+0-362.3--0.184772999999963</f>
        <v>1290.8413349999998</v>
      </c>
      <c r="K165" s="3">
        <f>1338.9+(1374.7-975.6)+(-2.731356+(-2.804388--1.990224))+0-363.5--0.741539999999984</f>
        <v>1371.6960200000001</v>
      </c>
      <c r="L165" s="3">
        <f>1341.1+(1463.3-1048.5)+(-4.787727+(-5.223981--3.743145))+0-359.4--1.283058</f>
        <v>1391.5144949999999</v>
      </c>
      <c r="M165" s="3">
        <f>1341.6+(1402.7-1027.6)+(-1.368432+(-1.430754--1.048152))+0-362--0.369240000000058</f>
        <v>1353.3182060000001</v>
      </c>
      <c r="N165" s="3">
        <f>1347.5+(1241.8-831.2)+(0+(0-0))+0-362.9-0</f>
        <v>1395.1999999999998</v>
      </c>
      <c r="O165" s="3">
        <f>1490.1+(1259.2-854.7)+(0.759951+(0.642192-0.435897))+0-351.6-0.179315999999964</f>
        <v>1543.78693</v>
      </c>
      <c r="P165" s="3">
        <f>1539.7+(1227.7-816.9)+(-0.785247+(-0.626127--0.416619))+0-348.8--0.177887999999965</f>
        <v>1600.883133</v>
      </c>
      <c r="Q165" s="3">
        <f>1544.6+(1319.7-829.6)+(-2.363238+(-2.019141--1.269288))+0-343.4--0.52540200000002</f>
        <v>1688.712311</v>
      </c>
      <c r="R165" s="3">
        <f>1555+(1448.3-987.5)+(-0.79305+(-0.738633--0.503625))+0-333.4--0.170033999999966</f>
        <v>1681.5419759999997</v>
      </c>
      <c r="S165" s="3">
        <f>1633.3+(1599.3-1215.4)+(-1.665966+(-1.631286--1.239708))+0-339.8--0.346596000000054</f>
        <v>1675.6890519999999</v>
      </c>
      <c r="T165" s="3">
        <f>1634+(1587.5-1237.9)+(-0.83334+(-0.809625--0.631329))+0-345.1--0.176000999999965</f>
        <v>1637.6643649999999</v>
      </c>
      <c r="U165" s="3">
        <f>1630.2+(1596.2-1221)+(-3.325608+(-3.256248--2.49084))+0-349--0.711959999999985</f>
        <v>1653.0209440000001</v>
      </c>
      <c r="V165" s="3">
        <f>1629.8+(1495-1107.8)+(2.493594+(2.28735-1.694934))+0-342.6-0.52417800000002</f>
        <v>1676.961832</v>
      </c>
      <c r="W165" s="3">
        <f>1629.9+(1335.6-910.1)+(-3.324996+(-2.724624--1.856604))+0-343.9--0.701555999999985</f>
        <v>1708.0085399999998</v>
      </c>
      <c r="X165" s="3">
        <f>1629+(1172-757.3)+(-1.66158+(-1.19544--0.772446))+0-352.6--0.359652000000056</f>
        <v>1689.375078</v>
      </c>
      <c r="Y165" s="3">
        <f>1652.3+(1073.5-685)+(0+(0-0))+0-356.5-0</f>
        <v>1684.3</v>
      </c>
      <c r="Z165" s="3">
        <f>1675.1+(1208.9-734.1)+(-2.562903+(-1.849617--1.123173))+0-348.2--0.53274600000002</f>
        <v>1798.9433990000002</v>
      </c>
      <c r="AA165" s="3">
        <f>1642+(1366.8-876.5)+(-4.1871+(-3.48534--2.235075))+0-346.2--0.88280999999995</f>
        <v>1781.5454450000004</v>
      </c>
      <c r="AB165" s="3">
        <f>1565+(1443.7-898.7)+(-2.39445+(-2.208861--1.375011))+0-368.7--0.564111000000021</f>
        <v>1738.6358109999996</v>
      </c>
      <c r="AC165" s="3">
        <f>1523.3+(1567-1019.3)+(0.776883+(0.79917-0.519843))+0-386.4-0.197063999999961</f>
        <v>1685.4591460000001</v>
      </c>
      <c r="AD165">
        <v>1827.7</v>
      </c>
      <c r="AE165" s="3">
        <f>1664+(1303.3-795.3)+(0+(0-0))+0-344.3-0</f>
        <v>1827.7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1439.3+(1538.6-940.1)+(1.468086+(1.569372-0.958902))+0-387.8-0.395556000000062</f>
        <v>1651.6829999999995</v>
      </c>
      <c r="G166" s="3">
        <f>1415.8+(1436.3-897.6)+(-2.166174+(-2.197539--1.373328))+0-394.2--0.603126000000023</f>
        <v>1557.9127409999999</v>
      </c>
      <c r="H166" s="3">
        <f>1414.1+(1518.7-1040.9)+(-1.442382+(-1.549074--1.061718))+0-407--0.415140000000065</f>
        <v>1483.3854019999999</v>
      </c>
      <c r="I166" s="3">
        <f>1415.3+(1600-1170)+(-3.609015+(-4.08--2.9835))+0-393.1--1.00240499999994</f>
        <v>1448.4968899999997</v>
      </c>
      <c r="J166" s="3">
        <f>1415.1+(1673.1-1247.2)+(-3.608505+(-4.266405--3.18036))+0-399.6--1.01897999999994</f>
        <v>1437.7244299999998</v>
      </c>
      <c r="K166" s="3">
        <f>1416.9+(1813.9-1397.9)+(2.167857+(2.775267-2.138787))+0-395.6-0.605268000000023</f>
        <v>1439.4990690000002</v>
      </c>
      <c r="L166" s="3">
        <f>1415.1+(1723.2-1328.3)+(-4.330206+(-5.272992--4.064598))+0-395--1.20870000000005</f>
        <v>1410.6701</v>
      </c>
      <c r="M166" s="3">
        <f>1414.4+(1468.6-1112.8)+(0.721344+(0.748986-0.567528))+0-391.3-0.19956299999996</f>
        <v>1379.6032390000003</v>
      </c>
      <c r="N166" s="3">
        <f>1402.6+(1291.5-864.8)+(2.145978+(1.975995-1.323144))+0-394.7-0.603891000000023</f>
        <v>1436.794938</v>
      </c>
      <c r="O166" s="3">
        <f>1374.5+(1212-705.3)+(0+(0-0))+0-389.3-0</f>
        <v>1491.9</v>
      </c>
      <c r="P166" s="3">
        <f>1370.7+(1329.2-741.4)+(2.097171+(2.033676-1.134342))+0-395.4-0.604962000000023</f>
        <v>1565.4915429999999</v>
      </c>
      <c r="Q166" s="3">
        <f>1368.7+(1204.6-583.7)+(1.396074+(1.228692-0.595374))+0-376-0.38352000000006</f>
        <v>1615.2458719999997</v>
      </c>
      <c r="R166" s="3">
        <f>1352.1+(1155.7-500.5)+(-2.758284+(-2.357628--1.02102))+0-390.6--0.796823999999983</f>
        <v>1613.4019319999998</v>
      </c>
      <c r="S166" s="3">
        <f>1465+(1158.8-644.8)+(0+(0-0))+0-384.2-0</f>
        <v>1594.8</v>
      </c>
      <c r="T166" s="3">
        <f>1556.8+(1176.2-749.9)+(0.793968+(0.599862-0.382449))+0-383.2-0.195431999999961</f>
        <v>1600.7159489999999</v>
      </c>
      <c r="U166" s="3">
        <f>1569.5+(1212.9-790.6)+(-2.401335+(-1.855737--1.209618))+0-385.8--0.590274000000022</f>
        <v>1603.5428200000001</v>
      </c>
      <c r="V166" s="3">
        <f>1567.6+(1274.4-858.4)+(-3.197904+(-2.599776--1.751136))+0-383.4--0.782135999999983</f>
        <v>1596.935592</v>
      </c>
      <c r="W166" s="3">
        <f>1568.1+(1328.8-901)+(-2.399193+(-2.033064--1.37853))+0-387.7--0.593181000000022</f>
        <v>1605.7394539999998</v>
      </c>
      <c r="X166" s="3">
        <f>1569.6+(1002.1-586.9)+(-4.00248+(-2.555355--1.496595))+0-388.4--0.990419999999944</f>
        <v>1592.32918</v>
      </c>
      <c r="Y166" s="3">
        <f>1636.9+(856.7-468.6)+(0+(0-0))+0-383.4-0</f>
        <v>1641.6</v>
      </c>
      <c r="Z166" s="3">
        <f>1738.4+(1062.5-605.7)+(-2.659752+(-1.625625--0.926721))+0-373.6--0.571608000000022</f>
        <v>1818.812952</v>
      </c>
      <c r="AA166" s="3">
        <f>1785.2+(1146.3-747.4)+(-2.731356+(-1.753839--1.143522))+0-375.4--0.574362000000022</f>
        <v>1805.932689</v>
      </c>
      <c r="AB166" s="3">
        <f>1666.4+(1253.4-774.1)+(-1.699728+(-1.278468--0.789582))+0-367.6--0.374952000000059</f>
        <v>1776.2863380000003</v>
      </c>
      <c r="AC166" s="3">
        <f>1526.6+(1398-844)+(-3.89283+(-3.5649--2.1522))+0-381.2--0.972059999999945</f>
        <v>1695.0665299999998</v>
      </c>
      <c r="AD166">
        <v>1773.7</v>
      </c>
      <c r="AE166" s="3">
        <f>1738+(1119.2-701.7)+(0+(0-0))+0-381.8-0</f>
        <v>1773.7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1450.8+(1721.7-1246.4)+(-2.959632+(-3.512268--2.542656))+0-380.8--0.776831999999983</f>
        <v>1542.147588</v>
      </c>
      <c r="G167" s="3">
        <f>1413.2+(2067.5-1571.3)+(-3.60366+(-5.272125--4.006815))+0-377.8--0.963389999999945</f>
        <v>1527.69442</v>
      </c>
      <c r="H167" s="3">
        <f>1406.8+(2121-1672.3)+(-2.869872+(-4.32684--3.411492))+0-380.6--0.776423999999983</f>
        <v>1471.8912039999998</v>
      </c>
      <c r="I167" s="3">
        <f>1410+(2216.2-1792.8)+(-0.7191+(-1.130262--0.914328))+0-385.4--0.196553999999961</f>
        <v>1447.2615199999998</v>
      </c>
      <c r="J167" s="3">
        <f>1409.7+(2053.6-1635.1)+(0+(0-0))+0-379.3-0</f>
        <v>1448.9</v>
      </c>
      <c r="K167" s="3">
        <f>1410.1+(1902.7-1477.4)+(2.157453+(2.911131-2.260422))+0-391.6-0.599148000000023</f>
        <v>1446.009014</v>
      </c>
      <c r="L167" s="3">
        <f>1408.7+(1624.4-1200)+(-4.310622+(-4.970664--3.672))+0-378--1.15668000000004</f>
        <v>1450.6473940000001</v>
      </c>
      <c r="M167" s="3">
        <f>1407.9+(1388-935.2)+(1.436058+(1.41576-0.953904))+0-370.5-0.377910000000059</f>
        <v>1491.7200039999998</v>
      </c>
      <c r="N167" s="3">
        <f>1409.5+(1272.2-683.7)+(2.156535+(1.946466-1.046061))+0-367.1-0.561663000000021</f>
        <v>1633.3952770000001</v>
      </c>
      <c r="O167" s="3">
        <f>1491.8+(1134.3-520.8)+(0.760818+(0.578493-0.265608))+0-370.8-0.189107999999962</f>
        <v>1735.3845950000002</v>
      </c>
      <c r="P167" s="3">
        <f>1611.5+(1242.2-699.9)+(0.821865+(0.633522-0.356949))+0-364.8-0.186047999999963</f>
        <v>1789.9123900000002</v>
      </c>
      <c r="Q167" s="3">
        <f>1709.2+(1572.1-1063.3)+(0+(0-0))+0-363.5-0</f>
        <v>1854.5</v>
      </c>
      <c r="R167" s="3">
        <f>1757.5+(2077.4-1590.8)+(0+(0-0))+0-371.9-0</f>
        <v>1872.2000000000003</v>
      </c>
      <c r="S167" s="3">
        <f>1903.5+(2531-2227.6)+(-2.912355+(-3.87243--3.408228))+0-371.6--0.568548000000021</f>
        <v>1832.4919910000001</v>
      </c>
      <c r="T167" s="3">
        <f>1911.8+(2421.7-2106.9)+(0.975018+(1.235067-1.074519))+0-374.5-0.190994999999962</f>
        <v>1853.0445709999995</v>
      </c>
      <c r="U167" s="3">
        <f>1905.1+(2300.6-1941.9)+(-2.914803+(-3.519918--2.971107))+0-384.7--0.588591000000022</f>
        <v>1876.2249769999999</v>
      </c>
      <c r="V167" s="3">
        <f>1827.3+(1974.1-1541.2)+(-3.727692+(-4.027164--3.144048))+0-383.6--0.782543999999983</f>
        <v>1872.7717359999999</v>
      </c>
      <c r="W167" s="3">
        <f>1678+(1427.7-881.4)+(-4.2789+(-3.640635--2.24757))+0-380.3--0.969764999999945</f>
        <v>1839.2978000000003</v>
      </c>
      <c r="X167" s="3">
        <f>1676+(1053.7-546.8)+(-5.98332+(-3.761709--1.952076))+0-367--1.31019000000001</f>
        <v>1809.4172369999999</v>
      </c>
      <c r="Y167" s="3">
        <f>1724.2+(829.9-367.6)+(-1.758684+(-0.846498--0.374952))+0-369.5--0.376890000000059</f>
        <v>1815.1466599999999</v>
      </c>
      <c r="Z167" s="3">
        <f>1928+(953.2-526)+(-0.98328+(-0.486132--0.26826))+0-376.8--0.192167999999962</f>
        <v>1977.3910159999998</v>
      </c>
      <c r="AA167" s="3">
        <f>1951.5+(1138.9-761.6)+(-6.966855+(-4.065873--2.718912))+0-362.5--1.29412500000001</f>
        <v>1959.2803090000004</v>
      </c>
      <c r="AB167" s="3">
        <f>1951.7+(1262.7-932.4)+(-1.990734+(-1.287954--0.951048))+0-379.6--0.387192000000061</f>
        <v>1900.4595520000003</v>
      </c>
      <c r="AC167" s="3">
        <f>1950.4+(1426.4-1164)+(-1.989408+(-1.454928--1.18728))+0-380.7--0.388314000000061</f>
        <v>1830.2312580000003</v>
      </c>
      <c r="AD167">
        <v>1997.6</v>
      </c>
      <c r="AE167" s="3">
        <f>1945+(1003.5-555.9)+(0+(0-0))+0-395-0</f>
        <v>1997.6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1765.3+(1884.9-1517.9)+(-1.800606+(-1.922598--1.548258))+0-382.3--0.389946000000061</f>
        <v>1748.2150000000001</v>
      </c>
      <c r="G168" s="3">
        <f>1439.7+(1807.8-1239.4)+(0+(0-0))+0-373.7-0</f>
        <v>1634.3999999999999</v>
      </c>
      <c r="H168" s="3">
        <f>1426.6+(1521.3-995.3)+(-0.727566+(-0.775863--0.507603))+0-375.2--0.191351999999962</f>
        <v>1576.5955259999998</v>
      </c>
      <c r="I168" s="3">
        <f>1426.4+(1580.6-1068.2)+(-2.182392+(-2.418318--1.634346))+0-383.7--0.587061000000022</f>
        <v>1552.7206969999997</v>
      </c>
      <c r="J168" s="3">
        <f>1426.3+(1584.4-1084.6)+(-1.454826+(-1.616088--1.106292))+0-395--0.402900000000063</f>
        <v>1529.5382780000002</v>
      </c>
      <c r="K168" s="3">
        <f>1426.6+(1587-1092.5)+(-1.455132+(-1.61874--1.11435))+0-393.2--0.401064000000063</f>
        <v>1526.3415419999999</v>
      </c>
      <c r="L168" s="3">
        <f>1426+(1297.9-807.8)+(-2.90904+(-2.647716--1.647912))+0-400.2--0.816407999999982</f>
        <v>1512.807564</v>
      </c>
      <c r="M168" s="3">
        <f>1426.3+(1088.1-568.6)+(1.454826+(1.109862-0.579972))+0-395.4-0.403308000000063</f>
        <v>1551.9814079999994</v>
      </c>
      <c r="N168" s="3">
        <f>1429.7+(1165.8-544.6)+(1.458294+(1.189116-0.555492))+0-381.5-0.389130000000061</f>
        <v>1671.1027880000001</v>
      </c>
      <c r="O168" s="3">
        <f>1500.2+(1258.8-610)+(0+(0-0))+0-385.6-0</f>
        <v>1763.4</v>
      </c>
      <c r="P168" s="3">
        <f>1561.9+(1353-601)+(-1.593138+(-1.38006--0.61302))+0-386--0.393720000000062</f>
        <v>1925.9335420000002</v>
      </c>
      <c r="Q168" s="3">
        <f>1604.9+(1359.6-709.3)+(0.818499+(0.693396-0.361743))+0-371.3-0.189362999999962</f>
        <v>1884.8607890000001</v>
      </c>
      <c r="R168" s="3">
        <f>1688.5+(1369.7-778.3)+(-0.861135+(-0.698547--0.396933))+0-375.6--0.191555999999962</f>
        <v>1903.3288070000001</v>
      </c>
      <c r="S168" s="3">
        <f>1741.3+(1601-1091.6)+(-1.776126+(-1.63302--1.113432))+0-380.2--0.387804000000061</f>
        <v>1868.5920899999999</v>
      </c>
      <c r="T168" s="3">
        <f>1751.2+(1452.9-1013.6)+(0.893112+(0.740979-0.516936))+0-370-0.188699999999962</f>
        <v>1821.428455</v>
      </c>
      <c r="U168" s="3">
        <f>1746.9+(1280.7-872.7)+(-1.781838+(-1.306314--0.890154))+0-375.5--0.38301000000006</f>
        <v>1777.585012</v>
      </c>
      <c r="V168" s="3">
        <f>1748.6+(1361.1-856.1)+(-0.891786+(-0.694161--0.436611))+0-378.5--0.193034999999962</f>
        <v>1874.143699</v>
      </c>
      <c r="W168" s="3">
        <f>1748.3+(1579.4-1054.8)+(-2.674899+(-2.416482--1.613844))+0-381.3--0.583389000000022</f>
        <v>1888.705852</v>
      </c>
      <c r="X168" s="3">
        <f>1755+(1275.5-926.7)+(-2.68515+(-1.951515--1.417851))+0-379.4--0.580482000000022</f>
        <v>1721.7616680000003</v>
      </c>
      <c r="Y168" s="3">
        <f>1849+(928.7-733.1)+(-1.88598+(-0.947274--0.747762))+0-381.2--0.388824000000061</f>
        <v>1661.703332</v>
      </c>
      <c r="Z168" s="3">
        <f>1948+(985.6-602.6)+(-0.99348+(-0.502656--0.307326))+0-372.8--0.190127999999962</f>
        <v>1957.2013179999999</v>
      </c>
      <c r="AA168" s="3">
        <f>1928.9+(1078.8-649.3)+(-3.934956+(-2.200752--1.324572))+0-384.6--0.784583999999983</f>
        <v>1969.7734480000004</v>
      </c>
      <c r="AB168" s="3">
        <f>1843.5+(1332-845)+(-5.64111+(-4.07592--2.5857))+0-384.1--1.17534600000004</f>
        <v>1940.4440159999999</v>
      </c>
      <c r="AC168" s="3">
        <f>1677.3+(1394.9-831.6)+(-0.855423+(-0.711399--0.424116))+0-379.6--0.193595999999961</f>
        <v>1860.05089</v>
      </c>
      <c r="AD168">
        <v>2008.6000000000001</v>
      </c>
      <c r="AE168" s="3">
        <f>1942+(1224.9-753)+(0+(0-0))+0-405.3-0</f>
        <v>2008.6000000000001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1552.6+(1432.6-810.6)+(-0.791826+(-0.730626--0.413406))+0-388.5--0.198134999999961</f>
        <v>1785.1890889999997</v>
      </c>
      <c r="G169" s="3">
        <f>1490+(1879.1-1272.1)+(-2.2797+(-2.875023--1.946313))+0-385.3--0.589509000000022</f>
        <v>1709.081099</v>
      </c>
      <c r="H169" s="3">
        <f>1414+(1235.5-651.8)+(-0.72114+(-0.630105--0.332418))+0-385.8--0.196757999999961</f>
        <v>1611.077931</v>
      </c>
      <c r="I169" s="3">
        <f>1414.4+(1114.6-609.2)+(-1.442688+(-1.136892--0.621384))+0-382.7--0.390354000000061</f>
        <v>1535.532158</v>
      </c>
      <c r="J169" s="3">
        <f>1415+(1187.2-683.9)+(2.16495+(1.816416-1.046367))+0-385.8-0.590274000000022</f>
        <v>1534.8447250000004</v>
      </c>
      <c r="K169" s="3">
        <f>1413.9+(1147.3-650.3)+(0+(0-0))+0-384-0</f>
        <v>1526.9</v>
      </c>
      <c r="L169" s="3">
        <f>1397.5+(958.4-498.9)+(-4.27635+(-2.932704--1.526634))+0-390.4--1.19462400000004</f>
        <v>1462.1122039999998</v>
      </c>
      <c r="M169" s="3">
        <f>1355.4+(922.5-428.4)+(0.691254+(0.470475-0.218484))+0-394.4-0.20114399999996</f>
        <v>1455.842101</v>
      </c>
      <c r="N169" s="3">
        <f>1339.3+(1267.1-453.5)+(-0.683043+(-0.646221--0.231285))+0-391.3--0.19956299999996</f>
        <v>1760.7015839999995</v>
      </c>
      <c r="O169" s="3">
        <f>1325.6+(1771.8-906)+(0.676056+(0.903618-0.46206))+0-391.6-0.19971599999996</f>
        <v>1800.7178979999996</v>
      </c>
      <c r="P169" s="3">
        <f>1397.6+(1504.6-748.8)+(0.712776+(0.767346-0.381888))+0-388.8-0.198287999999961</f>
        <v>1765.4999459999997</v>
      </c>
      <c r="Q169" s="3">
        <f>1524.6+(1275.4-649.8)+(2.332638+(1.951362-0.994194))+0-387.4-0.592722000000022</f>
        <v>1765.4970839999999</v>
      </c>
      <c r="R169" s="3">
        <f>1583.2+(1558.6-852.5)+(-2.422296+(-2.384658--1.304325))+0-389.2--0.595476000000022</f>
        <v>1897.192847</v>
      </c>
      <c r="S169" s="3">
        <f>1547+(1866.7-1194.8)+(0+(0-0))+0-413-0</f>
        <v>1805.9</v>
      </c>
      <c r="T169" s="3">
        <f>1542.4+(1846.1-1142.4)+(-0.786624+(-0.941511--0.582624))+0-381.1--0.194360999999961</f>
        <v>1864.0488499999999</v>
      </c>
      <c r="U169" s="3">
        <f>1541.8+(1758.7-1104.3)+(1.572636+(1.793874-1.126386))+0-376.9-0.38443800000006</f>
        <v>1821.1556859999996</v>
      </c>
      <c r="V169" s="3">
        <f>1541.5+(1698.9-1113.8)+(0+(0-0))+0-397-0</f>
        <v>1729.6000000000004</v>
      </c>
      <c r="W169" s="3">
        <f>1540.2+(1697.6-1147.1)+(-3.142008+(-3.463104--2.340084))+0-389--0.793559999999983</f>
        <v>1698.2285320000001</v>
      </c>
      <c r="X169" s="3">
        <f>1539.6+(1373.4-831.4)+(-2.355588+(-2.101302--1.272042))+0-390.9--0.598077000000023</f>
        <v>1688.113229</v>
      </c>
      <c r="Y169" s="3">
        <f>1599.8+(1244-765.1)+(0.815898+(0.63444-0.390201))+0-379.2-0.193391999999962</f>
        <v>1700.3667449999998</v>
      </c>
      <c r="Z169" s="3">
        <f>1681+(1367-699.8)+(-1.71462+(-1.39434--0.713796))+0-384.5--0.392190000000061</f>
        <v>1961.6970259999998</v>
      </c>
      <c r="AA169" s="3">
        <f>1615.4+(1365.4-657.2)+(-4.11927+(-3.48177--1.67586))+0-380.8--0.971039999999945</f>
        <v>1937.8458600000001</v>
      </c>
      <c r="AB169" s="3">
        <f>1568.7+(1607.3-916)+(-2.400111+(-2.459169--1.40148))+0-385.7--0.590121000000022</f>
        <v>1871.4323209999998</v>
      </c>
      <c r="AC169" s="3">
        <f>1565.4+(1765.9-1104.7)+(-1.596708+(-1.801218--1.126794))+0-383.8--0.391476000000061</f>
        <v>1840.9203440000006</v>
      </c>
      <c r="AD169">
        <v>1974.8</v>
      </c>
      <c r="AE169" s="3">
        <f>1677+(1414.6-716.5)+(0+(0-0))+0-400.3-0</f>
        <v>1974.8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1491.4+(1955-1305.1)+(-2.281842+(-2.99115--1.996803))+0-388.6--0.594558000000022</f>
        <v>1750.0183690000001</v>
      </c>
      <c r="G170" s="3">
        <f>1254.2+(1911.9-1188.2)+(-1.918926+(-2.925207--1.817946))+0-384--0.587520000000022</f>
        <v>1591.4613330000002</v>
      </c>
      <c r="H170" s="3">
        <f>1158.6+(1537.2-784.8)+(-1.181772+(-1.567944--0.800496))+0-387.3--0.395046000000062</f>
        <v>1522.1458260000002</v>
      </c>
      <c r="I170" s="3">
        <f>1156.6+(1541-792.3)+(-1.769598+(-2.35773--1.212219))+0-389.1--0.595323000000022</f>
        <v>1513.8802139999998</v>
      </c>
      <c r="J170" s="3">
        <f>1156.8+(1595.8-818.9)+(0.589968+(0.813858-0.417639))+0-400.2-0.204101999999959</f>
        <v>1534.2820849999998</v>
      </c>
      <c r="K170" s="3">
        <f>1156.2+(1548.4-781.9)+(1.179324+(1.579368-0.797538))+0-397.6-0.405552000000063</f>
        <v>1526.6556020000003</v>
      </c>
      <c r="L170" s="3">
        <f>1156.8+(1528.3-780.9)+(-0.589968+(-0.779433--0.398259))+0-396.5--0.20221499999996</f>
        <v>1506.9310729999997</v>
      </c>
      <c r="M170" s="3">
        <f>1156.3+(1053.9-421.2)+(-1.179426+(-1.074978--0.429624))+0-399.6--0.407592000000064</f>
        <v>1387.9828120000002</v>
      </c>
      <c r="N170" s="3">
        <f>1157.5+(1270.9-324.4)+(-1.18065+(-1.296318--0.330888))+0-397.8--0.405756000000063</f>
        <v>1704.4596760000002</v>
      </c>
      <c r="O170" s="3">
        <f>1156.3+(1368.3-310.3)+(0.589713+(0.697833-0.158253))+0-391-0.19940999999996</f>
        <v>1824.2298830000002</v>
      </c>
      <c r="P170" s="3">
        <f>1187+(1364.5-318.2)+(1.21074+(1.39179-0.324564))+0-404-0.412080000000064</f>
        <v>1831.1658860000002</v>
      </c>
      <c r="Q170" s="3">
        <f>1434.9+(1390-544.9)+(0+(0-0))+0-397.2-0</f>
        <v>1882.8</v>
      </c>
      <c r="R170" s="3">
        <f>1589.6+(1547.2-840.9)+(0.810696+(0.789072-0.428859))+0-404.1-0.206090999999959</f>
        <v>1892.7648180000001</v>
      </c>
      <c r="S170" s="3">
        <f>1592.1+(1992.4-1267.9)+(-3.247884+(-4.064496--2.586516))+0-399.1--0.814163999999983</f>
        <v>1913.5882999999999</v>
      </c>
      <c r="T170" s="3">
        <f>1590.7+(1993.5-1355.6)+(0.811257+(1.016685-0.691356))+0-402.7-0.205376999999959</f>
        <v>1826.8312090000004</v>
      </c>
      <c r="U170" s="3">
        <f>1586.7+(2042.8-1403)+(-2.427651+(-3.125484--2.14659))+0-386.1--0.590733000000022</f>
        <v>1837.5841880000003</v>
      </c>
      <c r="V170" s="3">
        <f>1586.3+(1999.1-1327.5)+(-0.809013+(-1.019541--0.677025))+0-402.8--0.205427999999959</f>
        <v>1854.1538989999995</v>
      </c>
      <c r="W170" s="3">
        <f>1584.9+(1172.4-641.1)+(-2.424897+(-1.793772--0.980883))+0-399.9--0.611847000000023</f>
        <v>1713.6740610000002</v>
      </c>
      <c r="X170" s="3">
        <f>1583.3+(1044.4-495.6)+(-1.614966+(-1.065288--0.505512))+0-372.2--0.379644000000059</f>
        <v>1758.1049019999998</v>
      </c>
      <c r="Y170" s="3">
        <f>1609.5+(1040.6-462.3)+(0+(0-0))+0-367.9-0</f>
        <v>1819.9</v>
      </c>
      <c r="Z170" s="3">
        <f>1631.9+(1260.8-583)+(0+(0-0))+0-379.3-0</f>
        <v>1930.3999999999999</v>
      </c>
      <c r="AA170" s="3">
        <f>1598.3+(1526.4-776.6)+(-4.075665+(-3.89232--1.98033))+0-390.9--0.996794999999943</f>
        <v>1952.2091399999999</v>
      </c>
      <c r="AB170" s="3">
        <f>1475.6+(1750.7-951.5)+(-3.76278+(-4.464285--2.426325))+0-403.4--1.02866999999994</f>
        <v>1866.6279299999999</v>
      </c>
      <c r="AC170" s="3">
        <f>1260.5+(1658.4-820.3)+(-1.928565+(-2.537352--1.255059))+0-394.6--0.603738000000023</f>
        <v>1701.3928800000006</v>
      </c>
      <c r="AD170">
        <v>2006.9</v>
      </c>
      <c r="AE170" s="3">
        <f>1630+(1427.3-641.3)+(0+(0-0))+0-409.1-0</f>
        <v>2006.9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1213.9+(1792.1-885.8)+(-2.476356+(-3.655884--1.807032))+0-395.9--0.807635999999983</f>
        <v>1720.7824279999995</v>
      </c>
      <c r="G171" s="3">
        <f>1168.8+(2072.4-1077.4)+(-1.788264+(-3.170772--1.648422))+0-395--0.604350000000023</f>
        <v>1766.0937360000003</v>
      </c>
      <c r="H171" s="3">
        <f>1156.2+(1920.7-1058.5)+(-0.589662+(-0.979557--0.539835))+0-400.8--0.204407999999959</f>
        <v>1616.7750240000003</v>
      </c>
      <c r="I171" s="3">
        <f>1156.6+(1937.3-1093.1)+(-2.359464+(-3.952092--2.229924))+0-398--0.811919999999983</f>
        <v>1599.5302879999999</v>
      </c>
      <c r="J171" s="3">
        <f>1155.9+(1906.1-1116.6)+(-1.179018+(-1.944222--1.138932))+0-402.2--0.410244000000064</f>
        <v>1541.6259360000001</v>
      </c>
      <c r="K171" s="3">
        <f>1154.2+(1989-1156.6)+(0.588642+(1.01439-0.589866))+0-400.8-0.204407999999959</f>
        <v>1586.6087580000001</v>
      </c>
      <c r="L171" s="3">
        <f>1154.9+(1645-892)+(-4.122993+(-5.87265--3.18444))+0-388.3--1.38623100000001</f>
        <v>1514.1750280000001</v>
      </c>
      <c r="M171" s="3">
        <f>1154.7+(1301.2-651.1)+(1.177794+(1.327224-0.664122))+0-388.6-0.396372000000062</f>
        <v>1417.6445239999998</v>
      </c>
      <c r="N171" s="3">
        <f>1153.1+(1417.9-576.3)+(-0.588081+(-0.723129--0.293913))+0-369.7--0.188546999999962</f>
        <v>1624.1712499999999</v>
      </c>
      <c r="O171" s="3">
        <f>1153.2+(1385.9-424.9)+(0+(0-0))+0-371.8-0</f>
        <v>1742.4000000000003</v>
      </c>
      <c r="P171" s="3">
        <f>1199.4+(1217.6-255.9)+(-0.611694+(-0.620976--0.130509))+0-372.2--0.189821999999962</f>
        <v>1787.9876610000001</v>
      </c>
      <c r="Q171" s="3">
        <f>1324.1+(1242-304.1)+(-0.675291+(-0.63342--0.155091))+0-375.2--0.191351999999962</f>
        <v>1885.837732</v>
      </c>
      <c r="R171" s="3">
        <f>1476.3+(1484.3-721.7)+(-0.752913+(-0.756993--0.368067))+0-428.1--0.218330999999957</f>
        <v>1809.8764919999999</v>
      </c>
      <c r="S171" s="3">
        <f>1482.2+(1734-1026.7)+(-2.267766+(-2.65302--1.570851))+0-422.8--0.646884000000024</f>
        <v>1763.9969489999999</v>
      </c>
      <c r="T171" s="3">
        <f>1497.8+(1635.6-1000.8)+(-2.291634+(-2.502468--1.531224))+0-419.8--0.642294000000024</f>
        <v>1710.1794159999999</v>
      </c>
      <c r="U171" s="3">
        <f>1526.1+(1686.5-1038.7)+(-3.891555+(-4.300575--2.648685))+0-423.1--1.07890499999994</f>
        <v>1746.3354599999998</v>
      </c>
      <c r="V171" s="3">
        <f>1528+(1724.6-1089.8)+(-3.11712+(-3.518184--2.223192))+0-429.6--0.876383999999981</f>
        <v>1729.6642720000002</v>
      </c>
      <c r="W171" s="3">
        <f>1518.6+(1804.6-1159.2)+(-4.646916+(-5.522076--3.547152))+0-422.7--1.29346200000005</f>
        <v>1735.9716220000003</v>
      </c>
      <c r="X171" s="3">
        <f>1528.9+(1583-967.3)+(-5.458173+(-5.65131--3.453261))+0-422.9--1.50975300000001</f>
        <v>1715.5535310000002</v>
      </c>
      <c r="Y171" s="3">
        <f>1566.4+(1222.3-691)+(-0.798864+(-0.623373--0.35241))+0-424.6--0.216545999999957</f>
        <v>1672.246719</v>
      </c>
      <c r="Z171" s="3">
        <f>1627.5+(1121.5-369.9)+(-3.3201+(-2.28786--0.754596))+0-433.4--0.884135999999981</f>
        <v>1941.7307719999997</v>
      </c>
      <c r="AA171" s="3">
        <f>1588.2+(1211-431.1)+(-4.859892+(-3.70566--1.319166))+0-424.7--1.29958200000005</f>
        <v>1937.4531960000002</v>
      </c>
      <c r="AB171" s="3">
        <f>1457.6+(1302.4-503.7)+(-3.71688+(-3.32112--1.284435))+0-419.2--1.06895999999994</f>
        <v>1832.415395</v>
      </c>
      <c r="AC171" s="3">
        <f>1454.1+(1297-563.9)+(-1.483182+(-1.32294--0.575178))+0-418.7--0.427074000000067</f>
        <v>1766.69613</v>
      </c>
      <c r="AD171">
        <v>2025.9999999999998</v>
      </c>
      <c r="AE171" s="3">
        <f>1619+(1215.6-404.4)+(0+(0-0))+0-404.2-0</f>
        <v>2025.9999999999998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1454.9+(1282.8-556.6)+(-1.483998+(-1.308456--0.567732))+0-395.4--0.403308000000063</f>
        <v>1783.878586</v>
      </c>
      <c r="G172" s="3">
        <f>1426+(1685.8-835.5)+(-2.18178+(-2.579274--1.278315))+0-393.9--0.602667000000023</f>
        <v>1879.5199280000002</v>
      </c>
      <c r="H172" s="3">
        <f>1243.2+(1403.4-721.2)+(-0.634032+(-0.715734--0.367812))+0-393.6--0.20073599999996</f>
        <v>1531.0187819999999</v>
      </c>
      <c r="I172" s="3">
        <f>1154.1+(1220.8-576.4)+(-1.177182+(-1.245216--0.587928))+0-377.4--0.38494800000006</f>
        <v>1419.6504780000002</v>
      </c>
      <c r="J172" s="3">
        <f>1153.5+(1244-500.9)+(0.588285+(0.63444-0.255459))+0-376.4-0.191963999999962</f>
        <v>1520.9753020000001</v>
      </c>
      <c r="K172" s="3">
        <f>1153.7+(1176.1-435.6)+(-2.941935+(-2.999055--1.11078))+0-377.2--0.961859999999945</f>
        <v>1513.1316499999996</v>
      </c>
      <c r="L172" s="3">
        <f>1153.7+(1172-437.2)+(-2.353548+(-2.39088--0.891888))+0-396.6--0.809063999999983</f>
        <v>1488.8565239999998</v>
      </c>
      <c r="M172" s="3">
        <f>1151.7+(1169.5-463.5)+(-0.587367+(-0.596445--0.236385))+0-396.1--0.20201099999996</f>
        <v>1460.8545839999997</v>
      </c>
      <c r="N172" s="3">
        <f>1151.4+(1139.3-332.7)+(0.587214+(0.581043-0.169677))+0-396.2-0.20206199999996</f>
        <v>1562.5965179999998</v>
      </c>
      <c r="O172" s="3">
        <f>1154.4+(1137.2-257.4)+(1.177488+(1.159944-0.262548))+0-397.2-0.405144000000063</f>
        <v>1638.6697400000003</v>
      </c>
      <c r="P172" s="3">
        <f>1250.8+(1184.8-251.3)+(0.637908+(0.604248-0.128163))+0-393.2-0.20053199999996</f>
        <v>1792.013461</v>
      </c>
      <c r="Q172" s="3">
        <f>1453.3+(963.1-158.7)+(1.482366+(0.982362-0.161874))+0-395.7-0.403614000000063</f>
        <v>1863.8992399999997</v>
      </c>
      <c r="R172" s="3">
        <f>1478.2+(857-139.1)+(0+(0-0))+0-385-0</f>
        <v>1811.1</v>
      </c>
      <c r="S172" s="3">
        <f>1481.5+(1120.5-429.8)+(-3.777825+(-2.857275--1.09599))+0-395.6--1.00877999999994</f>
        <v>1772.0696699999996</v>
      </c>
      <c r="T172" s="3">
        <f>1516.4+(1299.5-675)+(1.546728+(1.32549-0.6885))+0-396.1-0.404022000000063</f>
        <v>1746.5796960000002</v>
      </c>
      <c r="U172" s="3">
        <f>1581.8+(1516.4-898.5)+(-1.613436+(-1.546728--0.91647))+0-391.5--0.399330000000062</f>
        <v>1806.355636</v>
      </c>
      <c r="V172" s="3">
        <f>1578.4+(1697.1-1161.6)+(-5.634888+(-6.058647--4.146912))+0-385.8--1.37730600000001</f>
        <v>1721.930683</v>
      </c>
      <c r="W172" s="3">
        <f>1505.2+(1483.3-969)+(-3.83826+(-3.782415--2.47095))+0-386.1--0.984554999999944</f>
        <v>1629.2348299999999</v>
      </c>
      <c r="X172" s="3">
        <f>1479.7+(1018.7-484.2)+(-2.263941+(-1.558611--0.740826))+0-389.3--0.595629000000023</f>
        <v>1622.4139030000001</v>
      </c>
      <c r="Y172" s="3">
        <f>1480.4+(823.3-299.9)+(-0.755004+(-0.419883--0.152949))+0-382.3--0.194972999999961</f>
        <v>1620.673035</v>
      </c>
      <c r="Z172" s="3">
        <f>1503.8+(1056-284.2)+(-3.83469+(-2.6928--0.72471))+0-392.2--1.00010999999994</f>
        <v>1878.5973299999998</v>
      </c>
      <c r="AA172" s="3">
        <f>1497.4+(1056.2-308.1)+(-2.291022+(-1.615986--0.471393))+0-387.1--0.592263000000022</f>
        <v>1855.5566480000002</v>
      </c>
      <c r="AB172" s="3">
        <f>1445.4+(1007.7-262)+(-3.68577+(-2.569635--0.6681))+0-386.8--0.986339999999944</f>
        <v>1799.6990350000003</v>
      </c>
      <c r="AC172" s="3">
        <f>1442.9+(1219.7-453.7)+(0+(0-0))+0-390.3-0</f>
        <v>1818.6000000000001</v>
      </c>
      <c r="AD172">
        <v>1931.6</v>
      </c>
      <c r="AE172" s="3">
        <f>1506+(1122.1-292.4)+(0+(0-0))+0-404.1-0</f>
        <v>1931.6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1436.1+(1313.5-663.1)+(0.732411+(0.669885-0.338181))+0-398.6-0.20328599999996</f>
        <v>1688.7608290000003</v>
      </c>
      <c r="G173" s="3">
        <f>1278.9+(1517.4-777.3)+(-1.956717+(-2.321622--1.189269))+0-393--0.601290000000023</f>
        <v>1623.5122200000003</v>
      </c>
      <c r="H173" s="3">
        <f>1177.7+(1508.6-768.2)+(1.801881+(2.308158-1.175346))+0-394.4-0.603432000000023</f>
        <v>1526.0312609999999</v>
      </c>
      <c r="I173" s="3">
        <f>1106.8+(1607.1-810.6)+(-1.128936+(-1.639242--0.826812))+0-397.2--0.405144000000063</f>
        <v>1504.5637779999997</v>
      </c>
      <c r="J173" s="3">
        <f>1070+(1389.9-615.2)+(0.5457+(0.708849-0.313752))+0-397.3-0.20262299999996</f>
        <v>1448.1381740000002</v>
      </c>
      <c r="K173" s="3">
        <f>1069.3+(1360.7-597.5)+(-1.090686+(-1.387914--0.60945))+0-396.5--0.404430000000063</f>
        <v>1434.5352800000001</v>
      </c>
      <c r="L173" s="3">
        <f>1068.8+(1420.6-721.4)+(-1.090176+(-1.449012--0.735828))+0-396.3--0.404226000000063</f>
        <v>1370.300866</v>
      </c>
      <c r="M173" s="3">
        <f>1074.9+(1351.5-688.4)+(-1.096398+(-1.37853--0.702168))+0-395--0.402900000000063</f>
        <v>1341.63014</v>
      </c>
      <c r="N173" s="3">
        <f>1153.2+(1237.8-591.9)+(-2.352528+(-2.525112--1.207476))+0-397.5--0.810899999999983</f>
        <v>1398.7407359999997</v>
      </c>
      <c r="O173" s="3">
        <f>1159.6+(1220.7-502.7)+(1.774188+(1.867671-0.769131))+0-399-0.610470000000023</f>
        <v>1480.8622579999999</v>
      </c>
      <c r="P173" s="3">
        <f>1163.1+(1205.2-373)+(-1.779543+(-1.843956--0.57069))+0-392.7--0.600831000000023</f>
        <v>1600.1480219999999</v>
      </c>
      <c r="Q173" s="3">
        <f>1184.8+(1087.6-291.6)+(-0.604248+(-0.554676--0.148716))+0-393--0.20042999999996</f>
        <v>1586.9902219999997</v>
      </c>
      <c r="R173" s="3">
        <f>1294.9+(1034.2-311.8)+(-2.641596+(-2.109768--0.636072))+0-392.1--0.799883999999983</f>
        <v>1621.8845920000003</v>
      </c>
      <c r="S173" s="3">
        <f>1303.7+(1138.5-415.5)+(0+(0-0))+0-390.6-0</f>
        <v>1636.1</v>
      </c>
      <c r="T173" s="3">
        <f>1304.9+(1230.5-565.1)+(-1.330998+(-1.25511--0.576402))+0-386.5--0.394230000000062</f>
        <v>1582.1845240000002</v>
      </c>
      <c r="U173" s="3">
        <f>1302.1+(1329.7-681.7)+(-1.328142+(-1.356294--0.695334))+0-384.8--0.392496000000061</f>
        <v>1563.7033940000001</v>
      </c>
      <c r="V173" s="3">
        <f>1301.3+(1329.9-658.9)+(-1.327326+(-1.356498--0.672078))+0-390--0.397800000000062</f>
        <v>1580.6860540000002</v>
      </c>
      <c r="W173" s="3">
        <f>1308+(1187.9-557.4)+(-2.66832+(-2.423316--1.137096))+0-399--0.813959999999983</f>
        <v>1536.35942</v>
      </c>
      <c r="X173" s="3">
        <f>1313.7+(1098.6-462.2)+(-2.009961+(-1.680858--0.707166))+0-398.3--0.609399000000023</f>
        <v>1549.4257459999999</v>
      </c>
      <c r="Y173" s="3">
        <f>1362.4+(889.6-261.4)+(-0.694824+(-0.453696--0.133314))+0-399.3--0.203642999999959</f>
        <v>1590.4884370000002</v>
      </c>
      <c r="Z173" s="3">
        <f>1595.7+(843.7-188.3)+(-3.255228+(-1.721148--0.384132))+0-398.6--0.813143999999983</f>
        <v>1848.7209000000005</v>
      </c>
      <c r="AA173" s="3">
        <f>1702.9+(815.1-256.5)+(-6.079353+(-2.909907--0.915705))+0-391.6--1.39801200000001</f>
        <v>1863.2244570000003</v>
      </c>
      <c r="AB173" s="3">
        <f>1757.1+(666.8-240.7)+(1.792242+(0.680136-0.245514))+0-397.8-0.405756000000063</f>
        <v>1787.221108</v>
      </c>
      <c r="AC173" s="3">
        <f>1714+(719.1-282.5)+(-0.87414+(-0.366741--0.144075))+0-396.4--0.20216399999996</f>
        <v>1753.3053579999998</v>
      </c>
      <c r="AD173">
        <v>1911.5</v>
      </c>
      <c r="AE173" s="3">
        <f>1690+(833.5-199.5)+(0+(0-0))+0-412.5-0</f>
        <v>1911.5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1577+(838.3-370.1)+(0+(0-0))+0-395.7-0</f>
        <v>1649.4999999999998</v>
      </c>
      <c r="G174" s="3">
        <f>1368.3+(1340.1-676.5)+(-0.697833+(-0.683451--0.345015))+0-396.3--0.20211299999996</f>
        <v>1634.765844</v>
      </c>
      <c r="H174" s="3">
        <f>1226+(1376.3-703.6)+(0+(0-0))+0-392.7-0</f>
        <v>1505.9999999999998</v>
      </c>
      <c r="I174" s="3">
        <f>1225.5+(1315.9-696.7)+(-2.50002+(-2.684436--1.421268))+0-392.3--0.800291999999983</f>
        <v>1449.4371040000001</v>
      </c>
      <c r="J174" s="3">
        <f>1224.8+(1396.5-794.2)+(-3.747888+(-4.27329--2.430252))+0-391.5--1.19799000000005</f>
        <v>1431.2070639999999</v>
      </c>
      <c r="K174" s="3">
        <f>1225.6+(1326.6-748.4)+(-1.250112+(-1.353132--0.763368))+0-393.4--0.401268000000063</f>
        <v>1408.9613919999997</v>
      </c>
      <c r="L174" s="3">
        <f>1226.9+(1135.3-598.8)+(-3.128595+(-2.895015--1.52694))+0-384.8--0.981239999999944</f>
        <v>1375.08457</v>
      </c>
      <c r="M174" s="3">
        <f>1226+(920.8-381.2)+(-0.62526+(-0.469608--0.194412))+0-394--0.20093999999996</f>
        <v>1370.9004839999998</v>
      </c>
      <c r="N174" s="3">
        <f>1225.2+(951.7-140.2)+(0+(0-0))+0-392.7-0</f>
        <v>1644</v>
      </c>
      <c r="O174" s="3">
        <f>1227.4+(1027.9-98.3)+(-0.625974+(-0.524229--0.050133))+0-396.3--0.20211299999996</f>
        <v>1759.8020430000001</v>
      </c>
      <c r="P174" s="3">
        <f>1230.6+(1224.8-229.7)+(2.510424+(2.498592-0.468588))+0-391.6-0.798863999999983</f>
        <v>1837.8415639999996</v>
      </c>
      <c r="Q174" s="3">
        <f>1328.3+(1252.2-276.2)+(0.677433+(0.638622-0.140862))+0-394.6-0.20124599999996</f>
        <v>1910.6739470000005</v>
      </c>
      <c r="R174" s="3">
        <f>1438.9+(1215-394.7)+(-1.467678+(-1.2393--0.402594))+0-384.1--0.391782000000061</f>
        <v>1873.187398</v>
      </c>
      <c r="S174" s="3">
        <f>1539+(1724.8-961.5)+(-3.13956+(-3.518592--1.96146))+0-384.8--0.784991999999983</f>
        <v>1913.5883000000001</v>
      </c>
      <c r="T174" s="3">
        <f>1566.3+(1667.5-1072.3)+(-0.798813+(-0.850425--0.546873))+0-385.8--0.196757999999961</f>
        <v>1774.7943929999999</v>
      </c>
      <c r="U174" s="3">
        <f>1600.6+(1773-1206.2)+(-0.816306+(-0.90423--0.615162))+0-383.3--0.195482999999961</f>
        <v>1783.1901089999994</v>
      </c>
      <c r="V174" s="3">
        <f>1601.2+(1943.7-1325.5)+(-2.449836+(-2.973861--2.028015))+0-387.6--0.593028000000022</f>
        <v>1828.9973460000003</v>
      </c>
      <c r="W174" s="3">
        <f>1574.9+(2079.5-1429.9)+(-4.015995+(-5.302725--3.646245))+0-381.5--0.972824999999945</f>
        <v>1838.3003500000002</v>
      </c>
      <c r="X174" s="3">
        <f>1541.1+(1316.8-864.8)+(-2.357883+(-2.014704--1.323144))+0-393.6--0.602208000000023</f>
        <v>1597.0527649999997</v>
      </c>
      <c r="Y174" s="3">
        <f>1553.6+(1367.3-853.3)+(0+(0-0))+0-378.9-0</f>
        <v>1688.6999999999998</v>
      </c>
      <c r="Z174" s="3">
        <f>1580.6+(2126.1-1331)+(-4.03053+(-5.421555--3.39405))+0-373.7--0.952934999999946</f>
        <v>1996.8948999999998</v>
      </c>
      <c r="AA174" s="3">
        <f>1579.9+(2019.2-1285.8)+(-4.028745+(-5.14896--3.27879))+0-380.9--0.971294999999945</f>
        <v>1927.4723799999999</v>
      </c>
      <c r="AB174" s="3">
        <f>1541.4+(1804-1127.5)+(-3.144456+(-3.68016--2.3001))+0-381.8--0.778871999999983</f>
        <v>1832.3543560000003</v>
      </c>
      <c r="AC174" s="3">
        <f>1406.2+(1892.7-1135.8)+(0+(0-0))+0-386.9-0</f>
        <v>1776.2000000000003</v>
      </c>
      <c r="AD174">
        <v>1999</v>
      </c>
      <c r="AE174" s="3">
        <f>1575+(2236.7-1466.6)+(0+(0-0))+0-346.1-0</f>
        <v>1999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1249.9+(1785.6-934.2)+(-3.187245+(-4.55328--2.38221))+0-386.5--0.985574999999944</f>
        <v>1710.4272600000002</v>
      </c>
      <c r="G175" s="3">
        <f>1132.1+(2080.3-1130.4)+(-2.309484+(-4.243812--2.306016))+0-387.4--0.790295999999983</f>
        <v>1691.1430159999998</v>
      </c>
      <c r="H175" s="3">
        <f>1120.8+(2007.5-1241.8)+(-1.143216+(-2.04765--1.266636))+0-378.6--0.38617200000006</f>
        <v>1506.361942</v>
      </c>
      <c r="I175" s="3">
        <f>1123+(1873.7-1185.2)+(-2.86365+(-4.777935--3.02226))+0-388.3--0.990164999999944</f>
        <v>1419.5708400000001</v>
      </c>
      <c r="J175" s="3">
        <f>1123.6+(1873.5-1094.1)+(1.719108+(2.866455-1.673973))+0-389.7-0.596241000000023</f>
        <v>1515.6153489999999</v>
      </c>
      <c r="K175" s="3">
        <f>1123.9+(1795.1-1008.2)+(1.719567+(2.746503-1.542546))+0-394.4-0.603432000000023</f>
        <v>1518.7200919999998</v>
      </c>
      <c r="L175" s="3">
        <f>1122.1+(1616-877.9)+(-1.144542+(-1.64832--0.895458))+0-394.1--0.401982000000063</f>
        <v>1464.6045779999997</v>
      </c>
      <c r="M175" s="3">
        <f>1145.5+(1335.7-676.7)+(0.584205+(0.681207-0.345117))+0-394-0.20093999999996</f>
        <v>1411.219355</v>
      </c>
      <c r="N175" s="3">
        <f>1223.5+(1126.3-327.8)+(-0.623985+(-0.574413--0.167178))+0-393.8--0.20083799999996</f>
        <v>1627.3696179999999</v>
      </c>
      <c r="O175" s="3">
        <f>1224.1+(1173-279.1)+(0+(0-0))+0-393.7-0</f>
        <v>1724.3</v>
      </c>
      <c r="P175" s="3">
        <f>1224.5+(1412.3-426.3)+(0.624495+(0.720273-0.217413))+0-397.2-0.20257199999996</f>
        <v>1814.2247830000001</v>
      </c>
      <c r="Q175" s="3">
        <f>1227.8+(1509.8-474.8)+(0.626178+(0.769998-0.242148))+0-389.4-0.19859399999996</f>
        <v>1874.3554340000001</v>
      </c>
      <c r="R175" s="3">
        <f>1368.6+(1754.6-886)+(-0.697986+(-0.894846--0.45186))+0-391.4--0.19961399999996</f>
        <v>1844.8586419999995</v>
      </c>
      <c r="S175" s="3">
        <f>1431.1+(2254-1401.3)+(-4.379166+(-6.89724--4.287978))+0-388.1--1.18758600000004</f>
        <v>1889.8991580000002</v>
      </c>
      <c r="T175" s="3">
        <f>1457+(2270.6-1523.2)+(0+(0-0))+0-392-0</f>
        <v>1812.3999999999996</v>
      </c>
      <c r="U175" s="3">
        <f>1541.3+(2022.8-1301.4)+(-3.144252+(-4.126512--2.654856))+0-394.2--0.804167999999983</f>
        <v>1864.6882599999994</v>
      </c>
      <c r="V175" s="3">
        <f>1534.4+(1716.3-977.4)+(0+(0-0))+0-398.5-0</f>
        <v>1874.8000000000002</v>
      </c>
      <c r="W175" s="3">
        <f>1430.4+(1437.2-675.6)+(-2.188512+(-2.198916--1.033668))+0-398.4--0.609552000000023</f>
        <v>1790.8557920000001</v>
      </c>
      <c r="X175" s="3">
        <f>1415.9+(1112.3-368.7)+(0+(0-0))+0-397.9-0</f>
        <v>1761.6</v>
      </c>
      <c r="Y175" s="3">
        <f>1552.3+(829.1-167)+(-0.791673+(-0.422841--0.08517))+0-389--0.198389999999961</f>
        <v>1824.4690460000002</v>
      </c>
      <c r="Z175" s="3">
        <f>1698.9+(824.6-271.5)+(-4.332195+(-2.10273--0.692325))+0-381.6--0.973079999999945</f>
        <v>1865.63048</v>
      </c>
      <c r="AA175" s="3">
        <f>1526.7+(1059.1-327)+(-4.671702+(-3.240846--1.00062))+0-392.2--1.20013200000005</f>
        <v>1860.8882040000001</v>
      </c>
      <c r="AB175" s="3">
        <f>1329.8+(1220-446.2)+(-2.034594+(-1.8666--0.682686))+0-361.1--0.552483000000021</f>
        <v>1739.833975</v>
      </c>
      <c r="AC175" s="3">
        <f>1256.7+(1604.2-795.5)+(-1.922751+(-2.454426--1.217115))+0-360--0.550800000000021</f>
        <v>1702.7907380000001</v>
      </c>
      <c r="AD175">
        <v>1928.6</v>
      </c>
      <c r="AE175" s="3">
        <f>1699+(801.5-211.9)+(0+(0-0))+0-360-0</f>
        <v>1928.6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1237.2+(1575.8-784.8)+(-2.523888+(-3.214632--1.600992))+0-365--0.744599999999984</f>
        <v>1659.8070720000001</v>
      </c>
      <c r="G176" s="3">
        <f>1225+(1847-1137.8)+(0+(0-0))+0-348.9-0</f>
        <v>1585.3000000000002</v>
      </c>
      <c r="H176" s="3">
        <f>1227.2+(1771.9-1101.8)+(0+(0-0))+0-365.9-0</f>
        <v>1531.4</v>
      </c>
      <c r="I176" s="3">
        <f>1227.4+(1675-1040.9)+(-0.625974+(-0.85425--0.530859))+0-368--0.187679999999963</f>
        <v>1492.7383150000001</v>
      </c>
      <c r="J176" s="3">
        <f>1227.4+(1673.7-1064.8)+(-2.503896+(-3.414348--2.172192))+0-361--0.736439999999984</f>
        <v>1472.2903880000001</v>
      </c>
      <c r="K176" s="3">
        <f>1223.7+(1682.6-1089.8)+(0.624087+(0.858126-0.555798))+0-364.9-0.186098999999963</f>
        <v>1452.3403159999998</v>
      </c>
      <c r="L176" s="3">
        <f>1226.8+(1323.4-728.7)+(-3.12834+(-3.37467--1.858185))+0-363.9--0.927944999999947</f>
        <v>1453.88312</v>
      </c>
      <c r="M176" s="3">
        <f>1223.5+(859.1-226.3)+(-0.623985+(-0.438141--0.115413))+0-363.9--0.185588999999963</f>
        <v>1491.6388759999998</v>
      </c>
      <c r="N176" s="3">
        <f>1224.3+(878.2-125.6)+(1.248786+(0.895764-0.128112))+0-364.9-0.372198000000058</f>
        <v>1613.6442400000001</v>
      </c>
      <c r="O176" s="3">
        <f>1224.9+(1041.5-198.9)+(-1.874097+(-1.593495--0.304317))+0-366--0.559980000000021</f>
        <v>1698.8967050000001</v>
      </c>
      <c r="P176" s="3">
        <f>1224+(1185.5-293.8)+(-0.62424+(-0.604605--0.149838))+0-365--0.186149999999963</f>
        <v>1749.807143</v>
      </c>
      <c r="Q176" s="3">
        <f>1221.9+(1365.6-420.8)+(0+(0-0))+0-365-0</f>
        <v>1801.6999999999998</v>
      </c>
      <c r="R176" s="3">
        <f>1240+(1404.1-479.4)+(0+(0-0))+0-365-0</f>
        <v>1799.6999999999998</v>
      </c>
      <c r="S176" s="3">
        <f>1410.3+(1701-1028.4)+(-2.157759+(-2.60253--1.573452))+0-363.9--0.556767000000021</f>
        <v>1716.3699299999994</v>
      </c>
      <c r="T176" s="3">
        <f>1419.7+(1604-910.4)+(-1.448094+(-1.63608--0.928608))+0-367.9--0.375258000000059</f>
        <v>1743.6196920000002</v>
      </c>
      <c r="U176" s="3">
        <f>1414.8+(1598.6-884)+(-0.721548+(-0.815286--0.45084))+0-368.9--0.188138999999963</f>
        <v>1759.6021449999994</v>
      </c>
      <c r="V176" s="3">
        <f>1415.8+(1375.6-648.4)+(-2.888232+(-2.806224--1.322736))+0-365.9--0.746435999999984</f>
        <v>1773.4747159999997</v>
      </c>
      <c r="W176" s="3">
        <f>1416.6+(1015.5-311.9)+(-4.334796+(-3.10743--0.954414))+0-365.9--1.11965400000004</f>
        <v>1748.931842</v>
      </c>
      <c r="X176" s="3">
        <f>1416.7+(977.6-315.1)+(-2.890068+(-1.994304--0.642804))+0-365.9--0.746435999999984</f>
        <v>1709.8048679999997</v>
      </c>
      <c r="Y176" s="3">
        <f>1482.3+(978-305.3)+(-1.511946+(-0.99756--0.311406))+0-363.8--0.371076000000058</f>
        <v>1789.3729760000001</v>
      </c>
      <c r="Z176" s="3">
        <f>1642.8+(1260.9-612.9)+(-2.513484+(-1.929177--0.937737))+0-363.8--0.556614000000021</f>
        <v>1924.0516900000005</v>
      </c>
      <c r="AA176" s="3">
        <f>1561.4+(1308.6-632.8)+(-2.388942+(-2.002158--0.968184))+0-363.8--0.556614000000021</f>
        <v>1870.533698</v>
      </c>
      <c r="AB176" s="3">
        <f>1432.1+(1071-334.9)+(-1.460742+(-1.09242--0.341598))+0-362.8--0.370056000000058</f>
        <v>1803.5584919999997</v>
      </c>
      <c r="AC176" s="3">
        <f>1265.7+(1091.1-260.8)+(-0.645507+(-0.556461--0.133008))+0-372.5--0.189974999999962</f>
        <v>1722.6210149999999</v>
      </c>
      <c r="AD176">
        <v>1896.7</v>
      </c>
      <c r="AE176" s="3">
        <f>1647+(1318.8-705.3)+(0+(0-0))+0-363.8-0</f>
        <v>1896.7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1247+(1522.5-745.5)+(-1.90791+(-2.329425--1.140615))+0-393.1--0.601443000000023</f>
        <v>1628.4047230000001</v>
      </c>
      <c r="G177" s="3">
        <f>1192.8+(2061.3-1326)+(-1.824984+(-3.153789--2.02878))+0-399.4--0.611082000000023</f>
        <v>1526.3610890000002</v>
      </c>
      <c r="H177" s="3">
        <f>1193.1+(1975.8-1286.7)+(-2.433924+(-4.030632--2.624868))+0-394.4--0.804575999999983</f>
        <v>1484.7648879999997</v>
      </c>
      <c r="I177" s="3">
        <f>1193.5+(1912.4-1240.8)+(-0.608685+(-0.975324--0.632808))+0-397.8--0.20287799999996</f>
        <v>1466.5516770000002</v>
      </c>
      <c r="J177" s="3">
        <f>1192.7+(1953.6-1303.5)+(0.608277+(0.996336-0.664785))+0-398-0.20297999999996</f>
        <v>1445.536848</v>
      </c>
      <c r="K177" s="3">
        <f>1191.8+(1858.8-1221.5)+(-0.607818+(-0.947988--0.622965))+0-394.2--0.20104199999996</f>
        <v>1434.1682009999997</v>
      </c>
      <c r="L177" s="3">
        <f>1192.8+(1475.4-838.2)+(-0.608328+(-0.752454--0.427482))+0-396.4--0.20216399999996</f>
        <v>1432.8688640000003</v>
      </c>
      <c r="M177" s="3">
        <f>1193.3+(1141.5-478.6)+(0.608583+(0.582165-0.244086))+0-394.7-0.20129699999996</f>
        <v>1462.2453649999998</v>
      </c>
      <c r="N177" s="3">
        <f>1192.8+(1115-311.7)+(-2.433312+(-2.2746--0.635868))+0-391.1--0.797843999999983</f>
        <v>1601.7257999999999</v>
      </c>
      <c r="O177" s="3">
        <f>1193.3+(1049.4-183)+(0+(0-0))+0-396.2-0</f>
        <v>1663.4999999999998</v>
      </c>
      <c r="P177" s="3">
        <f>1193.1+(1147.1-208.8)+(1.216962+(1.170042-0.212976))+0-396.1-0.404022000000063</f>
        <v>1737.0700059999995</v>
      </c>
      <c r="Q177" s="3">
        <f>1193+(1207.3-231.9)+(1.21686+(1.231446-0.236538))+0-382.1-0.389742000000061</f>
        <v>1788.1220260000002</v>
      </c>
      <c r="R177" s="3">
        <f>1195+(1201-301)+(0+(0-0))+0-406-0</f>
        <v>1689</v>
      </c>
      <c r="S177" s="3">
        <f>1195+(1460-793)+(0+(0-0))+0-375-0</f>
        <v>1487</v>
      </c>
      <c r="T177" s="3">
        <f>1241.1+(1551-989)+(0+(0-0))+0-410-0</f>
        <v>1393.1</v>
      </c>
      <c r="U177" s="3">
        <f>1440+(1470-893)+(0+(0-0))+0-400-0</f>
        <v>1617</v>
      </c>
      <c r="V177" s="3">
        <f>1464.1+(1556-1070)+(0+(0-0))+0-211-0</f>
        <v>1739.1</v>
      </c>
      <c r="W177" s="3">
        <f>1514.1+(1385-1045)+(0+(0-0))+0-235-0</f>
        <v>1619.1</v>
      </c>
      <c r="X177" s="3">
        <f>1514.2+(1058-512)+(-3.86121+(-2.6979--1.3056))+0-276--0.70379999999996</f>
        <v>1779.6502899999998</v>
      </c>
      <c r="Y177" s="3">
        <f>1469.6+(1248-385)+(-1.498992+(-1.27296--0.3927))+0-413--0.421260000000066</f>
        <v>1917.6420079999998</v>
      </c>
      <c r="Z177" s="3">
        <f>1610.5+(1173-588)+(-4.106775+(-2.99115--1.4994))+0-394--1.00469999999994</f>
        <v>1796.9061750000001</v>
      </c>
      <c r="AA177" s="3">
        <f>1611.2+(1426-720)+(-4.930272+(-4.36356--2.2032))+0-399--1.22094000000005</f>
        <v>1912.3303080000001</v>
      </c>
      <c r="AB177" s="3">
        <f>1438+(1525-748)+(-2.93352+(-3.111--1.52592))+0-405--0.826199999999982</f>
        <v>1806.3076000000001</v>
      </c>
      <c r="AC177" s="3">
        <f>1388.6+(1457-744)+(-0.708186+(-0.74307--0.37944))+0-398--0.20297999999996</f>
        <v>1702.7311639999998</v>
      </c>
      <c r="AD177">
        <v>1950.6</v>
      </c>
      <c r="AE177" s="3">
        <f>1612+(1432.5-689.9)+(0+(0-0))+0-404-0</f>
        <v>1950.6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1250+(1485.6-790.3)+(0+(0-0))+0-405-0</f>
        <v>1540.3</v>
      </c>
      <c r="G178" s="3">
        <f>1200+(1972.7-1294.8)+(0+(0-0))+0-405-0</f>
        <v>1472.9</v>
      </c>
      <c r="H178" s="3">
        <f>1150+(1997.6-1269.9)+(0+(0-0))+0-402-0</f>
        <v>1475.6999999999998</v>
      </c>
      <c r="I178" s="3">
        <f>1150+(1831.3-1143.6)+(0+(0-0))+0-405-0</f>
        <v>1432.7</v>
      </c>
      <c r="J178" s="3">
        <f>1150+(1936.4-1267.1)+(0+(0-0))+0-405-0</f>
        <v>1414.3000000000002</v>
      </c>
      <c r="K178" s="3">
        <f>1150+(1630.8-969.4)+(0+(0-0))+0-398-0</f>
        <v>1413.4</v>
      </c>
      <c r="L178" s="3">
        <f>1154.2+(1392.2-722)+(0+(0-0))+0-428-0</f>
        <v>1396.4</v>
      </c>
      <c r="M178" s="3">
        <f>1158.2+(1138.9-432.8)+(0.590682+(0.580839-0.220728))+0-419-0.213689999999957</f>
        <v>1446.0371030000001</v>
      </c>
      <c r="N178" s="3">
        <f>1160+(1566-747)+(-1.1832+(-1.59732--0.76194))+0-405--0.413100000000065</f>
        <v>1572.3945200000001</v>
      </c>
      <c r="O178" s="3">
        <f>1161.3+(1943.4-1049)+(0.592263+(0.991134-0.53499))+0-409-0.208589999999959</f>
        <v>1647.5398170000001</v>
      </c>
      <c r="P178" s="3">
        <f>1178.5+(1906.6-941.4)+(1.803105+(2.917098-1.440342))+0-421-0.644130000000024</f>
        <v>1725.3357309999997</v>
      </c>
      <c r="Q178" s="3">
        <f>1202+(1895.8-916.6)+(0.61302+(0.966858-0.467466))+0-410-0.209099999999958</f>
        <v>1772.1033119999997</v>
      </c>
      <c r="R178" s="3">
        <f>1225.7+(1998.7-1033.1)+(1.250214+(2.038674-1.053762))+0-402-0.410040000000064</f>
        <v>1791.1250860000002</v>
      </c>
      <c r="S178" s="3">
        <f>1291.8+(2368.8-1550.7)+(-0.658818+(-1.208088--0.790857))+0-432--0.220319999999956</f>
        <v>1677.0442710000002</v>
      </c>
      <c r="T178" s="3">
        <f>1425.7+(2403.7-1686.8)+(-0.727107+(-1.225887--0.860268))+0-419--0.213689999999957</f>
        <v>1722.7209640000001</v>
      </c>
      <c r="U178" s="3">
        <f>1514.2+(2451.9-1796.2)+(-0.772242+(-1.250469--0.916062))+0-418--0.213179999999958</f>
        <v>1751.0065310000002</v>
      </c>
      <c r="V178" s="3">
        <f>1512.8+(2252.3-1578.4)+(-3.85764+(-5.743365--4.02492))+0-413--1.05314999999994</f>
        <v>1769.1770649999996</v>
      </c>
      <c r="W178" s="3">
        <f>1510.4+(2108.6-1449.7)+(-4.621824+(-6.452316--4.436082))+0-411--1.25766000000005</f>
        <v>1752.9196020000002</v>
      </c>
      <c r="X178" s="3">
        <f>1513.4+(1343.2-729.2)+(-3.85917+(-3.42516--1.85946))+0-411--1.04804999999994</f>
        <v>1712.0231800000001</v>
      </c>
      <c r="Y178" s="3">
        <f>1602.2+(1169.9-579)+(-1.634244+(-1.193298--0.59058))+0-395--0.402900000000063</f>
        <v>1796.2659380000005</v>
      </c>
      <c r="Z178" s="3">
        <f>1615.3+(1611.7-871.2)+(-4.942818+(-4.931802--2.665872))+0-401--1.22706000000005</f>
        <v>1948.8183120000001</v>
      </c>
      <c r="AA178" s="3">
        <f>1614.6+(1710.2-1080.7)+(-4.11723+(-4.36101--2.755785))+0-416--1.06079999999994</f>
        <v>1823.4383449999998</v>
      </c>
      <c r="AB178" s="3">
        <f>1433.2+(1702.3-957.5)+(-2.192796+(-2.604519--1.464975))+0-415--0.634950000000024</f>
        <v>1760.3026100000002</v>
      </c>
      <c r="AC178" s="3">
        <f>1226.4+(1914-1070)+(-0.625464+(-0.97614--0.5457))+0-407--0.207569999999959</f>
        <v>1662.5516660000003</v>
      </c>
      <c r="AD178">
        <v>1893.8999999999996</v>
      </c>
      <c r="AE178" s="3">
        <f>1617+(1581.7-903.8)+(0+(0-0))+0-401-0</f>
        <v>1893.9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1193.2+(1903.9-1142.1)+(0+(0-0))+0-405.7-0</f>
        <v>1549.3000000000002</v>
      </c>
      <c r="G179" s="3">
        <f>1134.3+(2143.5-1421.2)+(-0.578493+(-1.093185--0.724812))+0-408.4--0.208283999999959</f>
        <v>1447.4614180000001</v>
      </c>
      <c r="H179" s="3">
        <f>1061.5+(2296.5-1597.1)+(1.624095+(3.513645-2.443563))+0-406.8-0.622404000000023</f>
        <v>1356.1717730000003</v>
      </c>
      <c r="I179" s="3">
        <f>1060.9+(2090.9-1359.8)+(-1.082118+(-2.132718--1.386996))+0-410.8--0.419016000000066</f>
        <v>1379.7911760000004</v>
      </c>
      <c r="J179" s="3">
        <f>1061.3+(1762.3-1033.3)+(-1.623789+(-2.696319--1.580949))+0-386.7--0.591651000000022</f>
        <v>1401.4524919999999</v>
      </c>
      <c r="K179" s="3">
        <f>1060.6+(1559.2-856.5)+(-0.540906+(-0.795192--0.436815))+0-404.2--0.206141999999959</f>
        <v>1358.4068589999999</v>
      </c>
      <c r="L179" s="3">
        <f>1059.4+(1249.7-558.6)+(-2.70147+(-3.186735--1.42443))+0-404.4--1.03121999999994</f>
        <v>1342.667445</v>
      </c>
      <c r="M179" s="3">
        <f>1067+(1103.8-373.6)+(0+(0-0))+0-406.1-0</f>
        <v>1391.1</v>
      </c>
      <c r="N179" s="3">
        <f>1178+(1316.9-438.8)+(0+(0-0))+0-416.4-0</f>
        <v>1639.7000000000003</v>
      </c>
      <c r="O179" s="3">
        <f>1190.9+(1383.2-557.2)+(0+(0-0))+12.8-412.6-0</f>
        <v>1617.1</v>
      </c>
      <c r="P179" s="3">
        <f>1194.5+(1222.9-320.7)+(2.43678+(2.494716-0.654228))+0-403.3-0.822731999999982</f>
        <v>1696.8545359999996</v>
      </c>
      <c r="Q179" s="3">
        <f>1282.5+(1095.3-291.5)+(0+(0-0))+0-399.6-0</f>
        <v>1686.7000000000003</v>
      </c>
      <c r="R179" s="3">
        <f>1311.7+(1172.1-359.4)+(-1.337934+(-1.195542--0.366588))+0-409.8--0.417996000000065</f>
        <v>1712.8511080000001</v>
      </c>
      <c r="S179" s="3">
        <f>1386+(1972.9-1296.5)+(-2.82744+(-4.024716--2.64486))+0-368.9--0.752555999999984</f>
        <v>1690.0452599999999</v>
      </c>
      <c r="T179" s="3">
        <f>1384.6+(2442.8-1773.8)+(-0.706146+(-1.245828--0.904638))+0-403.5--0.205784999999959</f>
        <v>1649.2584490000002</v>
      </c>
      <c r="U179" s="3">
        <f>1375.3+(2519.8-1837.8)+(-2.104209+(-3.855294--2.811834))+0-411.9--0.630207000000024</f>
        <v>1642.8825380000001</v>
      </c>
      <c r="V179" s="3">
        <f>1376.8+(2535.4-1848.5)+(-0.702168+(-1.293054--0.942735))+0-409.1--0.208640999999958</f>
        <v>1653.7561539999999</v>
      </c>
      <c r="W179" s="3">
        <f>1355.3+(1873.9-1199.1)+(-3.456015+(-4.778445--3.057705))+0-415.7--1.06003499999994</f>
        <v>1610.2832800000001</v>
      </c>
      <c r="X179" s="3">
        <f>1359.2+(1458.3-813.2)+(0+(0-0))+0-387.8-0</f>
        <v>1616.5</v>
      </c>
      <c r="Y179" s="3">
        <f>1389.1+(1318.2-630.3)+(0+(0-0))+0-368.9-0</f>
        <v>1708.1</v>
      </c>
      <c r="Z179" s="3">
        <f>1402.6+(1387-572.9)+(-2.145978+(-2.12211--0.876537))+0-403--0.616590000000023</f>
        <v>1810.9250389999997</v>
      </c>
      <c r="AA179" s="3">
        <f>1418.2+(1379.7-624.3)+(-3.61641+(-3.518235--1.591965))+0-404.7--1.03198499999994</f>
        <v>1764.3893050000001</v>
      </c>
      <c r="AB179" s="3">
        <f>1413.9+(1324.7-633.4)+(-3.605445+(-3.377985--1.61517))+0-410.3--1.04626499999994</f>
        <v>1690.5780050000001</v>
      </c>
      <c r="AC179" s="3">
        <f>1405+(1660.6-978.8)+(-2.14965+(-2.540718--1.497564))+0-413.2--0.632196000000024</f>
        <v>1671.0393920000004</v>
      </c>
      <c r="AD179">
        <v>1848.8000000000002</v>
      </c>
      <c r="AE179" s="3">
        <f>1420+(1368.6-564.8)+(0+(0-0))+0-375-0</f>
        <v>1848.8000000000002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1309.9+(1851.9-1192.2)+(-2.004147+(-2.833407--1.824066))+0-410.3--0.627759000000024</f>
        <v>1556.9142710000001</v>
      </c>
      <c r="G180" s="3">
        <f>1305.3+(1672-1093.7)+(-0.665703+(-0.85272--0.557787))+0-406.5--0.207314999999959</f>
        <v>1476.3466789999998</v>
      </c>
      <c r="H180" s="3">
        <f>1304.7+(1794.2-1226.4)+(-3.326985+(-4.57521--3.12732))+0-403.7--1.02943499999994</f>
        <v>1465.0545599999998</v>
      </c>
      <c r="I180" s="3">
        <f>1270.8+(1831.1-1263.2)+(0+(0-0))+0-398.3-0</f>
        <v>1440.3999999999999</v>
      </c>
      <c r="J180" s="3">
        <f>1209+(1717.7-1114.6)+(0+(0-0))+0-380.6-0</f>
        <v>1431.5</v>
      </c>
      <c r="K180" s="3">
        <f>1209.1+(1708.9-1161.7)+(1.849923+(2.614617-1.777401))+0-381-0.582930000000022</f>
        <v>1377.4042089999998</v>
      </c>
      <c r="L180" s="3">
        <f>1185.2+(1626.2-1099.6)+(1.813356+(2.488086-1.682388))+0-373-0.570690000000022</f>
        <v>1340.8483640000002</v>
      </c>
      <c r="M180" s="3">
        <f>1185.1+(1501.4-1014)+(-3.022005+(-3.82857--2.5857))+0-375.1--0.956504999999946</f>
        <v>1294.0916299999997</v>
      </c>
      <c r="N180" s="3">
        <f>1179+(1486-895.1)+(0+(0-0))+0-382.3-0</f>
        <v>1387.6000000000001</v>
      </c>
      <c r="O180" s="3">
        <f>1167.1+(1641.6-943.5)+(-1.785663+(-2.511648--1.443555))+0-390.7--0.597771000000023</f>
        <v>1472.2440149999998</v>
      </c>
      <c r="P180" s="3">
        <f>1137.1+(1379.8-624.9)+(-1.159842+(-1.407396--0.637398))+0-390--0.397800000000062</f>
        <v>1500.4679599999999</v>
      </c>
      <c r="Q180" s="3">
        <f>1160.9+(1367.4-611.8)+(-1.184118+(-1.394748--0.624036))+0-386--0.393720000000062</f>
        <v>1528.9388900000004</v>
      </c>
      <c r="R180" s="3">
        <f>1170.9+(1346.7-608.6)+(-1.194318+(-1.373634--0.620772))+0-386.8--0.394536000000062</f>
        <v>1520.6473560000002</v>
      </c>
      <c r="S180" s="3">
        <f>1221.5+(1431.6-782.1)+(-1.24593+(-1.460232--0.797742))+0-391.2--0.399024000000062</f>
        <v>1478.290604</v>
      </c>
      <c r="T180" s="3">
        <f>1361.8+(1642-1130.3)+(0.694518+(0.83742-0.576453))+0-386.5-0.197114999999961</f>
        <v>1487.75837</v>
      </c>
      <c r="U180" s="3">
        <f>1361.3+(1778.6-1255.5)+(0+(0-0))+0-388.4-0</f>
        <v>1496</v>
      </c>
      <c r="V180" s="3">
        <f>1359.1+(1783.6-1252.6)+(-3.465705+(-4.54818--3.19413))+0-382.4--0.975119999999944</f>
        <v>1503.8553649999997</v>
      </c>
      <c r="W180" s="3">
        <f>1359.9+(1622.8-1067.4)+(-1.387098+(-1.655256--1.088748))+0-385.7--0.393414000000061</f>
        <v>1528.039808</v>
      </c>
      <c r="X180" s="3">
        <f>1360.4+(1008-463.4)+(-2.081412+(-1.54224--0.709002))+0-385.2--0.589356000000022</f>
        <v>1517.474706</v>
      </c>
      <c r="Y180" s="3">
        <f>1415.6+(1045.6-443.5)+(0+(0-0))+0-380.6-0</f>
        <v>1637.1</v>
      </c>
      <c r="Z180" s="3">
        <f>1421.4+(1489.3-755.7)+(-2.174742+(-2.278629--1.156221))+0-378.8--0.579564000000022</f>
        <v>1773.4824140000003</v>
      </c>
      <c r="AA180" s="3">
        <f>1420.6+(1550.6-863.8)+(-3.62253+(-3.95403--2.20269))+0-378.3--0.964664999999945</f>
        <v>1724.6907949999998</v>
      </c>
      <c r="AB180" s="3">
        <f>1421.7+(1356.2-714.3)+(-2.900268+(-2.766648--1.457172))+0-371.7--0.758267999999984</f>
        <v>1688.4485240000006</v>
      </c>
      <c r="AC180" s="3">
        <f>1386.5+(1663.7-1057.9)+(-1.41423+(-1.696974--1.079058))+0-390.2--0.398004000000062</f>
        <v>1600.465858</v>
      </c>
      <c r="AD180">
        <v>1813.2</v>
      </c>
      <c r="AE180" s="3">
        <f>1421+(1566-792.5)+(0+(0-0))+0-381.3-0</f>
        <v>1813.2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1377.7+(1725.9-1227.6)+(-2.810508+(-3.520836--2.504304))+0-364.2--0.742967999999984</f>
        <v>1508.7159280000003</v>
      </c>
      <c r="G181" s="3">
        <f>1264.5+(2019.8-1463.2)+(0+(0-0))+0-397.2-0</f>
        <v>1423.8999999999999</v>
      </c>
      <c r="H181" s="3">
        <f>1200.3+(1944.3-1378.7)+(-1.836459+(-2.974779--2.109411))+0-382.5--0.585225000000022</f>
        <v>1381.2833979999998</v>
      </c>
      <c r="I181" s="3">
        <f>1198.4+(1695.7-1143.9)+(-1.222368+(-1.729614--1.166778))+0-396.3--0.404226000000063</f>
        <v>1352.5190220000002</v>
      </c>
      <c r="J181" s="3">
        <f>1198.4+(1702.9-1160.2)+(-0.611184+(-0.868479--0.591702))+0-395.2--0.20155199999996</f>
        <v>1345.2135910000002</v>
      </c>
      <c r="K181" s="3">
        <f>1198.4+(1628-1072.8)+(-3.05592+(-4.1514--2.73564))+0-388.4--0.990419999999944</f>
        <v>1361.71874</v>
      </c>
      <c r="L181" s="3">
        <f>1189.2+(1267-696.3)+(-4.245444+(-4.52319--2.485791))+0-383.5--1.36909500000001</f>
        <v>1371.4862520000001</v>
      </c>
      <c r="M181" s="3">
        <f>1189.2+(1005.1-390.2)+(1.819476+(1.537803-0.597006))+0-380.6-0.582318000000022</f>
        <v>1425.6779550000003</v>
      </c>
      <c r="N181" s="3">
        <f>1183.4+(1040.7-301.9)+(-1.207068+(-1.061514--0.307938))+0-379.7--0.387294000000061</f>
        <v>1540.9266500000003</v>
      </c>
      <c r="O181" s="3">
        <f>1189.1+(1159.2-304.3)+(-0.606441+(-0.591192--0.155193))+0-398.5--0.20323499999996</f>
        <v>1644.660795</v>
      </c>
      <c r="P181" s="3">
        <f>1183.3+(1219.9-285.3)+(0+(0-0))+0-400.8-0</f>
        <v>1717.1000000000001</v>
      </c>
      <c r="Q181" s="3">
        <f>1185.6+(1197.3-229.2)+(0.604656+(0.610623-0.116892))+0-401.2-0.204611999999959</f>
        <v>1753.3937749999998</v>
      </c>
      <c r="R181" s="3">
        <f>1358.6+(1045.6-269.9)+(-1.385772+(-1.066512--0.275298))+0-382--0.389640000000061</f>
        <v>1750.5126539999999</v>
      </c>
      <c r="S181" s="3">
        <f>1366.5+(1433.3-722.7)+(0.696915+(0.730983-0.368577))+0-380.3-0.193952999999961</f>
        <v>1697.6653680000002</v>
      </c>
      <c r="T181" s="3">
        <f>1364.6+(1287.3-593.3)+(0.695946+(0.656523-0.302583))+0-380.1-0.193850999999961</f>
        <v>1679.3560349999998</v>
      </c>
      <c r="U181" s="3">
        <f>1365.1+(1421.5-695.6)+(-0.696201+(-0.724965--0.354756))+0-390.6--0.19920599999996</f>
        <v>1699.5327960000002</v>
      </c>
      <c r="V181" s="3">
        <f>1366.5+(1465.2-762.2)+(-2.090745+(-2.241756--1.166166))+0-373--0.570690000000022</f>
        <v>1693.9043550000001</v>
      </c>
      <c r="W181" s="3">
        <f>1366+(1587.5-888.2)+(-2.78664+(-3.2385--1.811928))+0-372.8--0.760511999999984</f>
        <v>1689.0473000000002</v>
      </c>
      <c r="X181" s="3">
        <f>1401+(1240.2-548)+(-1.42902+(-1.265004--0.55896))+0-392.1--0.399942000000063</f>
        <v>1699.3648779999999</v>
      </c>
      <c r="Y181" s="3">
        <f>1401.5+(1143.3-441.2)+(-0.714765+(-0.583083--0.225012))+0-396.3--0.20211299999996</f>
        <v>1706.4292770000002</v>
      </c>
      <c r="Z181" s="3">
        <f>1403.8+(1310-478.8)+(-1.431876+(-1.3362--0.488376))+0-369.7--0.377094000000059</f>
        <v>1863.3973940000001</v>
      </c>
      <c r="AA181" s="3">
        <f>1400.4+(1547.3-757.2)+(-4.285224+(-4.734738--2.317032))+0-363.3--1.11169800000004</f>
        <v>1821.6087680000001</v>
      </c>
      <c r="AB181" s="3">
        <f>1363.8+(1661.6-906.3)+(0.695538+(0.847416-0.462213))+0-368.4-0.187883999999963</f>
        <v>1751.5928570000001</v>
      </c>
      <c r="AC181" s="3">
        <f>1207.1+(1537.3-689.3)+(0.615621+(0.784023-0.351543))+0-395.8-0.20185799999996</f>
        <v>1660.1462429999999</v>
      </c>
      <c r="AD181">
        <v>1865.1</v>
      </c>
      <c r="AE181" s="3">
        <f>1420+(1333.2-512.7)+(0+(0-0))+0-375.4-0</f>
        <v>1865.1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1225.5+(1888.4-1033.6)+(-0.625005+(-0.963084--0.527136))+0-396.6--0.20226599999996</f>
        <v>1682.8413130000001</v>
      </c>
      <c r="G182" s="3">
        <f>1225.7+(1682.2-1029.1)+(0.625107+(0.857922-0.524841))+0-398.7-0.20333699999996</f>
        <v>1480.8548510000003</v>
      </c>
      <c r="H182" s="3">
        <f>1202.7+(1861.4-1221.5)+(2.453508+(3.797256-2.49186))+0-397.5-0.810899999999983</f>
        <v>1448.0480040000002</v>
      </c>
      <c r="I182" s="3">
        <f>1190.9+(1832.1-1248.4)+(-1.822077+(-2.803113--1.910052))+0-401.9--0.614907000000023</f>
        <v>1370.5997689999999</v>
      </c>
      <c r="J182" s="3">
        <f>1190.7+(1892.8-1308.3)+(2.429028+(3.861312-2.668932))+0-400.6-0.817223999999983</f>
        <v>1377.404184</v>
      </c>
      <c r="K182" s="3">
        <f>1191+(1679.6-1136.6)+(1.21482+(1.713192-1.159332))+0-396-0.403920000000063</f>
        <v>1339.3647599999999</v>
      </c>
      <c r="L182" s="3">
        <f>1191.2+(1447-944.4)+(-1.215024+(-1.47594--0.963288))+0-395.8--0.403716000000063</f>
        <v>1296.6760400000003</v>
      </c>
      <c r="M182" s="3">
        <f>1190.9+(1145.4-569.6)+(0.607359+(0.584154-0.290496))+0-398.6-0.20328599999996</f>
        <v>1368.7977310000001</v>
      </c>
      <c r="N182" s="3">
        <f>1190.9+(1261.4-485.6)+(-0.607359+(-0.643314--0.247656))+0-399.7--0.203846999999959</f>
        <v>1566.2008300000002</v>
      </c>
      <c r="O182" s="3">
        <f>1191.1+(1240.3-375.5)+(0.607461+(0.632553-0.191505))+0-391.7-0.19976699999996</f>
        <v>1665.0487419999997</v>
      </c>
      <c r="P182" s="3">
        <f>1191.2+(1106.8-210.6)+(0+(0-0))+0-394.6-0</f>
        <v>1692.8000000000002</v>
      </c>
      <c r="Q182" s="3">
        <f>1276.5+(965.7-149.1)+(1.953045+(1.477521-0.228123))+0-370.2-0.566406000000021</f>
        <v>1725.5360370000001</v>
      </c>
      <c r="R182" s="3">
        <f>1348.2+(943.5-155.4)+(0.687582+(0.481185-0.079254))+0-377.6-0.192575999999962</f>
        <v>1759.5969370000003</v>
      </c>
      <c r="S182" s="3">
        <f>1418+(1129.3-470.2)+(-0.72318+(-0.575943--0.239802))+0-381.7--0.194666999999961</f>
        <v>1694.5353459999997</v>
      </c>
      <c r="T182" s="3">
        <f>1416.2+(1120.7-441.7)+(0.722262+(0.571557-0.225267))+0-381-0.194309999999961</f>
        <v>1715.0742420000001</v>
      </c>
      <c r="U182" s="3">
        <f>1413+(1057.7-336.5)+(-2.16189+(-1.618281--0.514845))+0-394.3--0.603279000000023</f>
        <v>1737.2379529999996</v>
      </c>
      <c r="V182" s="3">
        <f>1413.2+(1198.6-455.5)+(-2.882928+(-2.445144--0.92922))+0-398--0.811919999999983</f>
        <v>1754.7130680000002</v>
      </c>
      <c r="W182" s="3">
        <f>1412.9+(1294-592.6)+(-4.323474+(-3.95964--1.813356))+0-378.7--1.15882200000004</f>
        <v>1730.2890640000001</v>
      </c>
      <c r="X182" s="3">
        <f>1413.9+(1019-367.3)+(0.721089+(0.51969-0.187323))+0-388.7-0.198236999999961</f>
        <v>1677.7552190000004</v>
      </c>
      <c r="Y182" s="3">
        <f>1429.4+(1002.7-255.9)+(0.728994+(0.511377-0.130509))+0-391.5-0.19966499999996</f>
        <v>1785.6101970000002</v>
      </c>
      <c r="Z182" s="3">
        <f>1454.2+(1163.8-345.2)+(0+(0-0))+0-392.4-0</f>
        <v>1880.4</v>
      </c>
      <c r="AA182" s="3">
        <f>1454+(1264.5-509)+(-3.7077+(-3.224475--1.29795))+0-390.5--0.995774999999943</f>
        <v>1814.3615500000001</v>
      </c>
      <c r="AB182" s="3">
        <f>1447.2+(1493.5-811.7)+(-3.69036+(-3.808425--2.069835))+0-377.7--0.963134999999945</f>
        <v>1746.8341849999999</v>
      </c>
      <c r="AC182" s="3">
        <f>1359.2+(1506.3-833.5)+(1.386384+(1.536426-0.85017))+0-364.2-0.371484000000058</f>
        <v>1669.501156</v>
      </c>
      <c r="AD182">
        <v>1886.3000000000002</v>
      </c>
      <c r="AE182" s="3">
        <f>1452+(1160.4-370.1)+(0+(0-0))+0-356-0</f>
        <v>1886.3000000000002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1327.7+(1974.8-1366.8)+(-1.354254+(-2.014296--1.394136))+0-363.3--0.370566000000058</f>
        <v>1570.7961520000001</v>
      </c>
      <c r="G183" s="3">
        <f>1217.1+(1936.9-1280.1)+(-2.482884+(-3.951276--2.611404))+0-366.1--0.746843999999984</f>
        <v>1504.7240880000002</v>
      </c>
      <c r="H183" s="3">
        <f>1212.3+(1883.9-1281.7)+(-0.618273+(-0.960789--0.653667))+0-366.4--0.186863999999963</f>
        <v>1447.3614690000002</v>
      </c>
      <c r="I183" s="3">
        <f>1199.5+(1914.6-1331.3)+(-2.44698+(-3.905784--2.715852))+0-361.3--0.737051999999984</f>
        <v>1418.60014</v>
      </c>
      <c r="J183" s="3">
        <f>1199.6+(1892.8-1321.1)+(3.05898+(4.82664-3.368805))+0-365.2-0.931259999999947</f>
        <v>1409.685555</v>
      </c>
      <c r="K183" s="3">
        <f>1199.8+(1800.1-1226.7)+(1.835694+(2.754153-1.876851))+0-365.2-0.558756000000021</f>
        <v>1410.1542399999996</v>
      </c>
      <c r="L183" s="3">
        <f>1191.6+(1439.7-870)+(-2.430864+(-2.936988--1.7748))+0-364.1--0.742763999999984</f>
        <v>1394.3497120000002</v>
      </c>
      <c r="M183" s="3">
        <f>1179.4+(924.3-340.1)+(0+(0-0))+0-357.9-0</f>
        <v>1405.6999999999998</v>
      </c>
      <c r="N183" s="3">
        <f>1185.6+(929.3-196.9)+(0.604656+(0.473943-0.100419))+0-355.7-0.181406999999964</f>
        <v>1563.096773</v>
      </c>
      <c r="O183" s="3">
        <f>1191.8+(1003.7-161.3)+(0.607818+(0.511887-0.082263))+0-369-0.188189999999963</f>
        <v>1666.0492520000003</v>
      </c>
      <c r="P183" s="3">
        <f>1192.2+(992-93.1)+(0.608022+(0.50592-0.047481))+0-371.4-0.189413999999962</f>
        <v>1720.5770469999998</v>
      </c>
      <c r="Q183" s="3">
        <f>1356.6+(908.9-139)+(1.383732+(0.927078-0.14178))+0-365.1-0.372402000000058</f>
        <v>1763.1966280000001</v>
      </c>
      <c r="R183" s="3">
        <f>1387.3+(1079.1-330.7)+(-0.707523+(-0.550341--0.168657))+0-366.3--0.186812999999963</f>
        <v>1768.4976059999999</v>
      </c>
      <c r="S183" s="3">
        <f>1386.2+(1479.7-844.8)+(-2.120886+(-2.263941--1.292544))+0-371.2--0.567936000000021</f>
        <v>1647.3756530000001</v>
      </c>
      <c r="T183" s="3">
        <f>1385.6+(1560.3-876.9)+(0+(0-0))+0-370.3-0</f>
        <v>1698.7</v>
      </c>
      <c r="U183" s="3">
        <f>1383.8+(1507.7-780.6)+(-2.822952+(-3.075708--1.592424))+0-369.8--0.754391999999984</f>
        <v>1737.5481560000003</v>
      </c>
      <c r="V183" s="3">
        <f>1385.2+(1509.9-781.4)+(-1.412904+(-1.540098--0.797028))+0-372.3--0.379746000000059</f>
        <v>1739.6237720000006</v>
      </c>
      <c r="W183" s="3">
        <f>1384.4+(1034.2-329.9)+(-2.824176+(-2.109768--0.672996))+0-367--0.748679999999984</f>
        <v>1718.1877320000001</v>
      </c>
      <c r="X183" s="3">
        <f>1385.4+(879.3-206.5)+(-0.706554+(-0.448443--0.105315))+0-370.6--0.189005999999962</f>
        <v>1686.7393240000001</v>
      </c>
      <c r="Y183" s="3">
        <f>1413.9+(995.1-208)+(0.721089+(0.507501-0.10608))+0-371-0.189209999999962</f>
        <v>1830.9333000000001</v>
      </c>
      <c r="Z183" s="3">
        <f>1422.3+(1146.8-322.5)+(-2.901492+(-2.339472--0.6579))+0-369.9--0.754595999999984</f>
        <v>1872.8715319999999</v>
      </c>
      <c r="AA183" s="3">
        <f>1421.2+(1208.4-447.3)+(-2.899248+(-2.465136--0.912492))+0-370--0.754799999999984</f>
        <v>1808.6029080000001</v>
      </c>
      <c r="AB183" s="3">
        <f>1421.9+(1255.4-556.6)+(-2.900676+(-2.561016--1.135464))+0-372.1--0.759083999999984</f>
        <v>1745.0328560000005</v>
      </c>
      <c r="AC183" s="3">
        <f>1421.4+(1250.5-617.5)+(0+(0-0))+0-376.3-0</f>
        <v>1678.1000000000001</v>
      </c>
      <c r="AD183">
        <v>1841.8000000000002</v>
      </c>
      <c r="AE183" s="3">
        <f>1415+(1158.3-359.5)+(0+(0-0))+0-372-0</f>
        <v>1841.8000000000002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1400.1+(1758.9-1173.1)+(-2.856204+(-3.588156--2.393124))+0-404.1--0.824363999999982</f>
        <v>1578.573128</v>
      </c>
      <c r="G184" s="3">
        <f>1380.9+(2064-1538.9)+(-2.112777+(-3.15792--2.354517))+0-398.6--0.609858000000023</f>
        <v>1505.093678</v>
      </c>
      <c r="H184" s="3">
        <f>1380.2+(1670.6-1187.6)+(-2.111706+(-2.556018--1.817028))+0-400.3--0.612459000000023</f>
        <v>1460.6617630000001</v>
      </c>
      <c r="I184" s="3">
        <f>1299.3+(1221.7-693.3)+(1.325286+(1.246134-0.707166))+0-403.5-0.411570000000064</f>
        <v>1425.6526840000001</v>
      </c>
      <c r="J184" s="3">
        <f>1194.5+(1383-781.9)+(3.045975+(3.52665-1.993845))+0-402.9-1.02739499999994</f>
        <v>1396.2513850000003</v>
      </c>
      <c r="K184" s="3">
        <f>1189.5+(1198.3-605.7)+(0+(0-0))+0-398.1-0</f>
        <v>1384</v>
      </c>
      <c r="L184" s="3">
        <f>1179.6+(1052.6-457.4)+(-0.601596+(-0.536826--0.233274))+0-399.9--0.203948999999959</f>
        <v>1374.1988009999998</v>
      </c>
      <c r="M184" s="3">
        <f>1190.8+(846.8-212.1)+(-0.607308+(-0.431868--0.108171))+0-392.2--0.20002199999996</f>
        <v>1432.569017</v>
      </c>
      <c r="N184" s="3">
        <f>1071.4+(1008.5-185.7)+(0+(0-0))+0-389.8-0</f>
        <v>1504.4</v>
      </c>
      <c r="O184" s="3">
        <f>1051.4+(1201.5-212.3)+(1.608642+(1.838295-0.324819))+0-391.3-0.598689000000023</f>
        <v>1651.8234290000003</v>
      </c>
      <c r="P184" s="3">
        <f>1197.2+(1202.3-250.7)+(1.221144+(1.226346-0.255714))+0-377.4-0.38494800000006</f>
        <v>1773.2068280000001</v>
      </c>
      <c r="Q184" s="3">
        <f>1335.9+(1314.1-372.6)+(2.043927+(2.010573-0.570078))+0-393.8-0.602514000000023</f>
        <v>1886.4819080000002</v>
      </c>
      <c r="R184" s="3">
        <f>1325.1+(1752.2-795.6)+(0+(0-0))+0-388.9-0</f>
        <v>1892.7999999999997</v>
      </c>
      <c r="S184" s="3">
        <f>1415.1+(2325.1-1558.2)+(-0.721701+(-1.185801--0.794682))+0-393.6--0.20073599999996</f>
        <v>1787.4879160000003</v>
      </c>
      <c r="T184" s="3">
        <f>1466.1+(2413.9-1804.4)+(0.747711+(1.231089-0.920244))+0-387.1-0.197420999999961</f>
        <v>1689.3611350000001</v>
      </c>
      <c r="U184" s="3">
        <f>1464.9+(2438.5-1816.8)+(1.494198+(2.48727-1.853136))+0-395.4-0.403308000000063</f>
        <v>1692.9250240000003</v>
      </c>
      <c r="V184" s="3">
        <f>1463.3+(2325-1731.7)+(-3.731415+(-5.92875--4.415835))+0-392.6--1.00112999999994</f>
        <v>1659.7567999999999</v>
      </c>
      <c r="W184" s="3">
        <f>1413+(2089.8-1472.5)+(-1.44126+(-2.131596--1.50195))+0-389.4--0.397188000000062</f>
        <v>1639.2262820000003</v>
      </c>
      <c r="X184" s="3">
        <f>1400.4+(1399.5-879.9)+(0+(0-0))+0-388.6-0</f>
        <v>1531.4</v>
      </c>
      <c r="Y184" s="3">
        <f>1420.6+(1521.2-789.4)+(0+(0-0))+0-398.4-0</f>
        <v>1754</v>
      </c>
      <c r="Z184" s="3">
        <f>1438.9+(1672.7-799.1)+(-1.467678+(-1.706154--0.815082))+0-386.9--0.394638000000062</f>
        <v>1923.635888</v>
      </c>
      <c r="AA184" s="3">
        <f>1439.2+(1389.5-623.7)+(-3.66996+(-3.543225--1.590435))+0-403.8--1.02968999999994</f>
        <v>1796.6069399999999</v>
      </c>
      <c r="AB184" s="3">
        <f>1391.7+(1198.4-505.4)+(-3.548835+(-3.05592--1.28877))+0-398.6--1.01642999999994</f>
        <v>1681.8004450000001</v>
      </c>
      <c r="AC184" s="3">
        <f>1344.2+(1581.8-876.8)+(-0.685542+(-0.806718--0.447168))+0-398.2--0.20308199999996</f>
        <v>1650.1579899999999</v>
      </c>
      <c r="AD184">
        <v>1941.1999999999998</v>
      </c>
      <c r="AE184" s="3">
        <f>1440+(1722.2-853.5)+(0+(0-0))+0-367.5-0</f>
        <v>1941.1999999999998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1280.5+(2002.8-1249.8)+(-4.571385+(-7.149996--4.461786))+0-402.3--1.43621100000001</f>
        <v>1625.376616</v>
      </c>
      <c r="G185" s="3">
        <f>1194.4+(2070.9-1330.6)+(-4.873152+(-8.449272--5.428848))+0-399.6--1.63036799999997</f>
        <v>1528.8367920000003</v>
      </c>
      <c r="H185" s="3">
        <f>1193.3+(2133.6-1419.1)+(-3.651498+(-6.528816--4.342446))+0-380.9--1.16555400000004</f>
        <v>1522.2276859999999</v>
      </c>
      <c r="I185" s="3">
        <f>1193.3+(1671-1068.9)+(0.608583+(0.85221-0.545139))+0-379.2-0.193391999999962</f>
        <v>1416.9222619999998</v>
      </c>
      <c r="J185" s="3">
        <f>1194.1+(1365.7-840.4)+(0.608991+(0.696507-0.428604))+0-395.1-0.20150099999996</f>
        <v>1324.9753930000002</v>
      </c>
      <c r="K185" s="3">
        <f>1192.3+(1172.2-630.7)+(1.216146+(1.195644-0.643314))+0-397.8-0.405756000000063</f>
        <v>1337.3627199999999</v>
      </c>
      <c r="L185" s="3">
        <f>1185.4+(964.9-490.7)+(-2.418216+(-1.968396--1.001028))+0-372.2--0.759287999999984</f>
        <v>1284.773704</v>
      </c>
      <c r="M185" s="3">
        <f>1179.2+(828.6-278.7)+(1.202784+(0.845172-0.284274))+0-400.2-0.408204000000064</f>
        <v>1330.255478</v>
      </c>
      <c r="N185" s="3">
        <f>1185.5+(1087.5-304.9)+(-2.41842+(-2.2185--0.621996))+0-402.2--0.820487999999982</f>
        <v>1562.7055639999999</v>
      </c>
      <c r="O185" s="3">
        <f>1191.4+(1261.5-404.4)+(-0.607614+(-0.643365--0.206244))+0-397.7--0.20282699999996</f>
        <v>1649.9580920000001</v>
      </c>
      <c r="P185" s="3">
        <f>1339.6+(1396.2-597.2)+(-1.366392+(-1.424124--0.609144))+0-407.4--0.415548000000065</f>
        <v>1729.434176</v>
      </c>
      <c r="Q185" s="3">
        <f>1379.6+(1633.6-858.2)+(1.407192+(1.666272-0.875364))+0-400.3-0.408306000000064</f>
        <v>1756.4897940000001</v>
      </c>
      <c r="R185" s="3">
        <f>1587.6+(1710.5-1151)+(-1.619352+(-1.74471--1.17402))+0-381.1--0.388722000000061</f>
        <v>1764.19868</v>
      </c>
      <c r="S185" s="3">
        <f>1612.5+(2197.9-1715)+(-1.64475+(-2.241858--1.7493))+0-386.8--0.394536000000062</f>
        <v>1706.8572280000003</v>
      </c>
      <c r="T185" s="3">
        <f>1611.5+(2175.9-1731.3)+(-1.64373+(-2.219418--1.765926))+0-395.6--0.403512000000063</f>
        <v>1658.8062900000007</v>
      </c>
      <c r="U185" s="3">
        <f>1609.2+(2160.9-1719.4)+(-3.282768+(-4.408236--3.507576))+0-392.7--0.801107999999983</f>
        <v>1654.6176799999996</v>
      </c>
      <c r="V185" s="3">
        <f>1506.1+(2161.3-1627.7)+(-3.072444+(-4.409052--3.320508))+0-394.3--0.804371999999983</f>
        <v>1642.0433840000001</v>
      </c>
      <c r="W185" s="3">
        <f>1363.6+(1941-1296.7)+(-3.47718+(-4.94955--3.306585))+0-388.4--0.990419999999944</f>
        <v>1615.3702749999995</v>
      </c>
      <c r="X185" s="3">
        <f>1365.7+(1699.1-1050.2)+(-2.089521+(-2.599623--1.606806))+0-396.5--0.606645000000023</f>
        <v>1615.624307</v>
      </c>
      <c r="Y185" s="3">
        <f>1363.6+(1718.2-932.3)+(-2.781744+(-3.505128--1.901892))+0-406.2--0.828647999999982</f>
        <v>1739.7436680000001</v>
      </c>
      <c r="Z185" s="3">
        <f>1366.6+(1563.8-764.7)+(-2.787864+(-3.190152--1.559988))+0-400.4--0.816815999999982</f>
        <v>1761.6987879999997</v>
      </c>
      <c r="AA185" s="3">
        <f>1351.7+(1274.4-537.9)+(-5.514936+(-5.199552--2.194632))+0-401--1.63607999999996</f>
        <v>1680.3162240000004</v>
      </c>
      <c r="AB185" s="3">
        <f>1181+(1348.7-485.9)+(-3.01155+(-3.439185--1.239045))+0-401.3--1.02331499999994</f>
        <v>1638.311625</v>
      </c>
      <c r="AC185" s="3">
        <f>1177.3+(1259.7-440.4)+(-1.200846+(-1.284894--0.449208))+0-405.3--0.413406000000065</f>
        <v>1589.676874</v>
      </c>
      <c r="AD185">
        <v>1889.6</v>
      </c>
      <c r="AE185" s="3">
        <f>1422+(1835.7-992.6)+(0+(0-0))+0-375.5-0</f>
        <v>1889.6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1198.3+(2130.8-1364.6)+(-1.222266+(-2.173416--1.391892))+0-394.6--0.402492000000063</f>
        <v>1568.2987020000005</v>
      </c>
      <c r="G186" s="3">
        <f>1198.2+(2101.4-1445.3)+(1.833246+(3.215142-2.211309))+0-402.4-0.615672000000023</f>
        <v>1454.1214069999999</v>
      </c>
      <c r="H186" s="3">
        <f>1198.3+(2172.3-1579.9)+(1.833399+(3.323619-2.417247))+0-400.1-0.612153000000023</f>
        <v>1392.7276179999999</v>
      </c>
      <c r="I186" s="3">
        <f>1197.7+(1863-1370.8)+(1.221654+(1.90026-1.398216))+0-401.2-0.409224000000064</f>
        <v>1290.0144740000001</v>
      </c>
      <c r="J186" s="3">
        <f>1198.4+(1914.9-1371.3)+(3.05592+(4.882995-3.496815))+0-402.5-1.02637499999994</f>
        <v>1342.9157250000003</v>
      </c>
      <c r="K186" s="3">
        <f>1200.6+(1504.6-1032.7)+(-3.06153+(-3.83673--2.633385))+0-399.7--1.01923499999994</f>
        <v>1269.5543599999996</v>
      </c>
      <c r="L186" s="3">
        <f>1173.3+(1372.2-862.7)+(0.598383+(0.699822-0.439977))+0-404-0.206039999999959</f>
        <v>1279.452188</v>
      </c>
      <c r="M186" s="3">
        <f>1203.5+(1333.7-693.4)+(-0.613785+(-0.680187--0.353634))+0-393.2--0.20053199999996</f>
        <v>1449.8601940000001</v>
      </c>
      <c r="N186" s="3">
        <f>1179.4+(1333.4-556.7)+(-1.202988+(-1.360068--0.567834))+0-401.6--0.409632000000064</f>
        <v>1552.9144100000001</v>
      </c>
      <c r="O186" s="3">
        <f>1182.3+(1375.1-495.4)+(0+(0-0))+0-400.9-0</f>
        <v>1661.1</v>
      </c>
      <c r="P186" s="3">
        <f>1362+(1396.9-612.1)+(-0.69462+(-0.712419--0.312171))+0-404.3--0.206192999999959</f>
        <v>1741.6113250000001</v>
      </c>
      <c r="Q186" s="3">
        <f>1544.5+(1284.3-694.9)+(-3.15078+(-2.619972--1.417596))+0-404.5--0.825179999999982</f>
        <v>1725.872024</v>
      </c>
      <c r="R186" s="3">
        <f>1566.9+(1679.6-1169.5)+(-3.995595+(-4.28298--2.982225))+0-402.3--1.02586499999994</f>
        <v>1670.4295149999998</v>
      </c>
      <c r="S186" s="3">
        <f>1568.6+(2045.2-1500)+(-3.199944+(-4.172208--3.06))+0-402.9--0.821915999999982</f>
        <v>1707.409764</v>
      </c>
      <c r="T186" s="3">
        <f>1567.9+(2362.4-1818.9)+(0+(0-0))+0-404-0</f>
        <v>1707.4</v>
      </c>
      <c r="U186" s="3">
        <f>1481.5+(2021.5-1515.6)+(-3.02226+(-4.12386--3.091824))+0-397.8--0.811511999999983</f>
        <v>1586.3572160000001</v>
      </c>
      <c r="V186" s="3">
        <f>1429.6+(1714.8-1175.6)+(-3.64548+(-4.37274--2.99778))+0-401.9--1.02484499999994</f>
        <v>1562.9044049999998</v>
      </c>
      <c r="W186" s="3">
        <f>1376.4+(1253.3-716.3)+(-1.403928+(-1.278366--0.730626))+0-406.5--0.414630000000065</f>
        <v>1505.3629620000002</v>
      </c>
      <c r="X186" s="3">
        <f>1376.7+(1116.7-437.5)+(-2.808468+(-2.278068--0.8925))+0-406.4--0.829055999999982</f>
        <v>1646.1350200000002</v>
      </c>
      <c r="Y186" s="3">
        <f>1375.8+(1204.7-417.9)+(-4.209948+(-3.686382--1.278774))+0-399.2--1.22155200000005</f>
        <v>1758.0039959999997</v>
      </c>
      <c r="Z186" s="3">
        <f>1376.9+(1126.6-404.8)+(-3.511095+(-2.87283--1.03224))+0-391.4--0.998069999999943</f>
        <v>1702.9463849999995</v>
      </c>
      <c r="AA186" s="3">
        <f>1348.9+(1189.7-442.5)+(-2.751756+(-2.426988--0.9027))+0-392.8--0.801311999999983</f>
        <v>1699.8252680000003</v>
      </c>
      <c r="AB186" s="3">
        <f>1301+(1403.8-670.6)+(-1.99053+(-2.147814--1.026018))+0-399.9--0.611847000000023</f>
        <v>1631.7995209999999</v>
      </c>
      <c r="AC186" s="3">
        <f>1186.6+(1598.5-845.2)+(-3.02583+(-4.076175--2.15526))+0-401.8--1.02458999999994</f>
        <v>1534.1778449999999</v>
      </c>
      <c r="AD186">
        <v>1798.1000000000001</v>
      </c>
      <c r="AE186" s="3">
        <f>1420+(1217.9-434.5)+(0+(0-0))+0-405.3-0</f>
        <v>1798.1000000000001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1157.5+(2104.3-1378.2)+(-1.18065+(-2.146386--1.405764))+0-401.8--0.409836000000064</f>
        <v>1480.2885640000002</v>
      </c>
      <c r="G187" s="3">
        <f>1156.6+(2373-1697.3)+(0.589866+(1.21023-0.865623))+0-401.3-0.204662999999959</f>
        <v>1431.72981</v>
      </c>
      <c r="H187" s="3">
        <f>1155.9+(2116.7-1540.9)+(1.179018+(2.159034-1.571718))+0-402.8-0.410856000000064</f>
        <v>1330.2554779999998</v>
      </c>
      <c r="I187" s="3">
        <f>1155.9+(1856.6-1366.7)+(0+(0-0))+0-399.1-0</f>
        <v>1246.6999999999998</v>
      </c>
      <c r="J187" s="3">
        <f>1155.3+(1483.2-990.9)+(-1.767609+(-2.269296--1.516077))+0-397.9--0.608787000000023</f>
        <v>1247.7879590000002</v>
      </c>
      <c r="K187" s="3">
        <f>1154.9+(1220.4-707.6)+(-3.533994+(-3.734424--2.165256))+0-401.5--1.22859000000005</f>
        <v>1262.3254280000001</v>
      </c>
      <c r="L187" s="3">
        <f>1155.4+(1328.8-830.6)+(0.589254+(0.677688-0.423606))+0-401-0.204509999999959</f>
        <v>1253.2388259999998</v>
      </c>
      <c r="M187" s="3">
        <f>1155.8+(1134.1-633)+(2.357832+(2.313564-1.29132))+0-398.2-0.812327999999983</f>
        <v>1261.2677479999998</v>
      </c>
      <c r="N187" s="3">
        <f>1155.6+(1162.6-534.4)+(0+(0-0))+0-392.5-0</f>
        <v>1391.2999999999997</v>
      </c>
      <c r="O187" s="3">
        <f>1155.7+(1544.1-727.2)+(1.178814+(1.574982-0.741744))+0-403-0.411060000000064</f>
        <v>1571.2009919999998</v>
      </c>
      <c r="P187" s="3">
        <f>1166.6+(1412.1-653)+(0+(0-0))+0-403.3-0</f>
        <v>1522.3999999999999</v>
      </c>
      <c r="Q187" s="3">
        <f>1257.1+(1209.7-597.2)+(-1.282242+(-1.233894--0.609144))+0-406.1--0.414222000000065</f>
        <v>1462.0072299999999</v>
      </c>
      <c r="R187" s="3">
        <f>1258.6+(1405.3-782.2)+(0.641886+(0.716703-0.398922))+0-390.9-0.19935899999996</f>
        <v>1491.5603079999998</v>
      </c>
      <c r="S187" s="3">
        <f>1259+(1557.9-913.3)+(-1.28418+(-1.589058--0.931566))+0-400.4--0.408408000000064</f>
        <v>1501.6667360000004</v>
      </c>
      <c r="T187" s="3">
        <f>1256.3+(1481.2-871)+(-1.922139+(-2.266236--1.33263))+0-400.6--0.612918000000023</f>
        <v>1463.6571729999998</v>
      </c>
      <c r="U187" s="3">
        <f>1256.8+(1437.9-868.3)+(-2.563872+(-2.933316--1.771332))+0-399.7--0.815387999999983</f>
        <v>1423.789532</v>
      </c>
      <c r="V187" s="3">
        <f>1257.7+(1145-606.2)+(-1.924281+(-1.75185--0.927486))+0-392.5--0.600525000000023</f>
        <v>1401.8518800000002</v>
      </c>
      <c r="W187" s="3">
        <f>1287.2+(916.5-426.2)+(0+(0-0))+0-393.4-0</f>
        <v>1384.1</v>
      </c>
      <c r="X187" s="3">
        <f>1605.1+(734.9-348.3)+(0+(0-0))+0-398.2-0</f>
        <v>1593.4999999999998</v>
      </c>
      <c r="Y187" s="3">
        <f>1651.7+(889.8-448.4)+(-0.842367+(-0.453798--0.228684))+0-396.5--0.20221499999996</f>
        <v>1695.7347339999999</v>
      </c>
      <c r="Z187" s="3">
        <f>1653+(942.2-539.8)+(-2.52909+(-1.441566--0.825894))+0-401.7--0.614601000000023</f>
        <v>1651.1698390000001</v>
      </c>
      <c r="AA187" s="3">
        <f>1652.6+(1092.2-679.1)+(-1.685652+(-1.114044--0.692682))+0-397.3--0.405246000000063</f>
        <v>1666.6982319999997</v>
      </c>
      <c r="AB187" s="3">
        <f>1653.9+(1340.3-994.2)+(0.843489+(0.683553-0.507042))+0-401-0.204509999999959</f>
        <v>1599.81549</v>
      </c>
      <c r="AC187" s="3">
        <f>1650.9+(1815.2-1486.7)+(-0.841959+(-0.925752--0.758217))+0-399.2--0.20359199999996</f>
        <v>1579.3940980000002</v>
      </c>
      <c r="AD187">
        <v>1710.3000000000002</v>
      </c>
      <c r="AE187" s="3">
        <f>1654+(968-541.1)+(0+(0-0))+0-370.6-0</f>
        <v>1710.3000000000002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1599+(2369.6-2075.8)+(0+(0-0))+0-405.5-0</f>
        <v>1487.2999999999997</v>
      </c>
      <c r="G188" s="3">
        <f>1317.6+(2169.8-1800.7)+(0.671976+(1.106598-0.918357))+0-405.4-0.206753999999959</f>
        <v>1281.9534630000001</v>
      </c>
      <c r="H188" s="3">
        <f>1250.7+(1903.4-1496.4)+(1.275714+(1.941468-1.526328))+0-405.8-0.413916000000065</f>
        <v>1253.1769380000001</v>
      </c>
      <c r="I188" s="3">
        <f>1162.3+(1834.4-1344.2)+(0.592773+(0.935544-0.685542))+0-409-0.208589999999959</f>
        <v>1244.1341850000001</v>
      </c>
      <c r="J188" s="3">
        <f>1159.8+(1647.3-1135.2)+(-1.182996+(-1.680246--1.157904))+0-400.3--0.408306000000064</f>
        <v>1270.302968</v>
      </c>
      <c r="K188" s="3">
        <f>1159.1+(1526.3-1002.8)+(-2.955705+(-3.892065--2.55714))+0-403.5--1.02892499999994</f>
        <v>1275.8382949999998</v>
      </c>
      <c r="L188" s="3">
        <f>1158.7+(1350.4-849.8)+(0+(0-0))+0-405.4-0</f>
        <v>1253.9000000000001</v>
      </c>
      <c r="M188" s="3">
        <f>1157.6+(1328-752.1)+(0+(0-0))+0-399.8-0</f>
        <v>1333.7</v>
      </c>
      <c r="N188" s="3">
        <f>1156.6+(1403-709.3)+(-0.589866+(-0.71553--0.361743))+0-399.6--0.203795999999959</f>
        <v>1449.960143</v>
      </c>
      <c r="O188" s="3">
        <f>1182.7+(1198.2-386.1)+(0+(0-0))+0-401.3-0</f>
        <v>1593.5000000000002</v>
      </c>
      <c r="P188" s="3">
        <f>1230+(1186.3-468.5)+(0.6273+(0.605013-0.238935))+0-384.4-0.196043999999961</f>
        <v>1564.1973339999997</v>
      </c>
      <c r="Q188" s="3">
        <f>1308.4+(1279.7-514.2)+(-2.001852+(-1.957941--0.786726))+0-382.2--0.584766000000022</f>
        <v>1689.1116989999998</v>
      </c>
      <c r="R188" s="3">
        <f>1311.4+(1576.9-894.4)+(0+(0-0))+0-379.8-0</f>
        <v>1614.1000000000001</v>
      </c>
      <c r="S188" s="3">
        <f>1412.6+(2320.6-1668.5)+(0.720426+(1.183506-0.850935))+0-380.7-0.194156999999961</f>
        <v>1684.8588399999996</v>
      </c>
      <c r="T188" s="3">
        <f>1465.8+(2506-2001.9)+(0+(0-0))+0-386.8-0</f>
        <v>1583.1</v>
      </c>
      <c r="U188" s="3">
        <f>1450.3+(2485.1-2029.3)+(-1.479306+(-2.534802--2.069886))+0-391.7--0.399534000000062</f>
        <v>1512.8553119999999</v>
      </c>
      <c r="V188" s="3">
        <f>1301.7+(1784.7-1249.6)+(-1.991601+(-2.730591--1.911888))+0-395.4--0.604962000000023</f>
        <v>1439.1946580000001</v>
      </c>
      <c r="W188" s="3">
        <f>1363.5+(1138.4-712.5)+(-1.39077+(-1.161168--0.72675))+0-403.2--0.411264000000064</f>
        <v>1384.7860760000001</v>
      </c>
      <c r="X188" s="3">
        <f>1628+(865.4-463.1)+(0+(0-0))+0-398.4-0</f>
        <v>1631.9</v>
      </c>
      <c r="Y188" s="3">
        <f>1655.4+(822.1-324.4)+(-0.844254+(-0.419271--0.165444))+0-400.9--0.204458999999959</f>
        <v>1751.3063780000002</v>
      </c>
      <c r="Z188" s="3">
        <f>1655.5+(856.9-377)+(-3.37722+(-1.748076--0.76908))+0-401.6--0.819263999999983</f>
        <v>1730.263048</v>
      </c>
      <c r="AA188" s="3">
        <f>1654.6+(1075.3-599.9)+(0.843846+(0.548403-0.305949))+0-401.7-0.204866999999959</f>
        <v>1729.181433</v>
      </c>
      <c r="AB188" s="3">
        <f>1654.7+(1709.9-1285.1)+(-2.531691+(-2.616147--1.966203))+0-395.5--0.605115000000023</f>
        <v>1681.4234800000002</v>
      </c>
      <c r="AC188" s="3">
        <f>1621.8+(2448.6-1985.7)+(-0.827118+(-1.248786--1.012707))+0-400.5--0.204254999999959</f>
        <v>1683.3410579999997</v>
      </c>
      <c r="AD188">
        <v>1730.7</v>
      </c>
      <c r="AE188" s="3">
        <f>1660+(786-297.6)+(0+(0-0))+0-417.7-0</f>
        <v>1730.7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1407.5+(2364.4-1907.1)+(-0.717825+(-1.205844--0.972621))+0-385.4--0.196553999999961</f>
        <v>1478.6455060000001</v>
      </c>
      <c r="G189" s="3">
        <f>1227.2+(2226-1718.2)+(-1.877616+(-3.40578--2.628846))+0-403.1--0.616743000000023</f>
        <v>1329.8621929999999</v>
      </c>
      <c r="H189" s="3">
        <f>1206.9+(2135.6-1627.9)+(0.615519+(1.089156-0.830229))+0-400.6-0.204305999999959</f>
        <v>1314.6701399999999</v>
      </c>
      <c r="I189" s="3">
        <f>1205.9+(2090.6-1592)+(-0.615009+(-1.066206--0.81192))+0-399.1--0.20354099999996</f>
        <v>1304.734246</v>
      </c>
      <c r="J189" s="3">
        <f>1206.1+(1840.3-1348.6)+(-0.615111+(-0.938553--0.687786))+0-402.1--0.205070999999959</f>
        <v>1295.0391929999996</v>
      </c>
      <c r="K189" s="3">
        <f>1206+(1577.6-1095.8)+(-2.46024+(-3.218304--2.235432))+0-400.7--0.817427999999983</f>
        <v>1284.474316</v>
      </c>
      <c r="L189" s="3">
        <f>1206.1+(1065.7-605.9)+(-1.230222+(-1.087014--0.618018))+0-399.9--0.407898000000064</f>
        <v>1264.7086800000004</v>
      </c>
      <c r="M189" s="3">
        <f>1205.5+(904.5-324.7)+(1.22961+(0.92259-0.331194))+0-402-0.410040000000064</f>
        <v>1384.7109659999999</v>
      </c>
      <c r="N189" s="3">
        <f>1205.5+(1138.2-325.8)+(0+(0-0))+0-397-0</f>
        <v>1620.9</v>
      </c>
      <c r="O189" s="3">
        <f>1217+(937.9-144)+(0.62067+(0.478329-0.07344))+0-401-0.204509999999959</f>
        <v>1610.721049</v>
      </c>
      <c r="P189" s="3">
        <f>1372.3+(1106.6-374.7)+(-0.699873+(-0.564366--0.191097))+0-418.1--0.213230999999958</f>
        <v>1685.2400889999997</v>
      </c>
      <c r="Q189" s="3">
        <f>1416.5+(1330.3-695.4)+(0.722415+(0.678453-0.354654))+0-385.4-0.196553999999961</f>
        <v>1666.8496600000001</v>
      </c>
      <c r="R189" s="3">
        <f>1451.3+(2031.8-1387.4)+(-1.480326+(-2.072436--1.415148))+0-386.4--0.394128000000062</f>
        <v>1707.5565139999997</v>
      </c>
      <c r="S189" s="3">
        <f>1463+(2338.7-1703.3)+(1.49226+(2.385474-1.737366))+0-388.5-0.396270000000062</f>
        <v>1711.6440979999995</v>
      </c>
      <c r="T189" s="3">
        <f>1463.6+(2724.4-2093)+(-0.746436+(-1.389444--1.06743))+0-390.9--0.19935899999996</f>
        <v>1703.2309089999997</v>
      </c>
      <c r="U189" s="3">
        <f>1478.6+(2657-2125.8)+(-3.016344+(-5.42028--4.336632))+0-389.4--0.794375999999983</f>
        <v>1617.0943839999998</v>
      </c>
      <c r="V189" s="3">
        <f>1427.7+(2352.7-1733.7)+(-1.456254+(-2.399754--1.768374))+0-396.5--0.404430000000063</f>
        <v>1648.5167959999999</v>
      </c>
      <c r="W189" s="3">
        <f>1341.7+(1583-1070.7)+(0.684267+(0.80733-0.546057))+0-399.9-0.203948999999959</f>
        <v>1454.8415910000001</v>
      </c>
      <c r="X189" s="3">
        <f>1476.2+(1687.9-1021.7)+(-0.752862+(-0.860829--0.521067))+0-402.1--0.205070999999959</f>
        <v>1739.4124470000002</v>
      </c>
      <c r="Y189" s="3">
        <f>1512.4+(1793.6-1031.6)+(-3.85662+(-4.57368--2.63058))+0-400--1.01999999999994</f>
        <v>1869.6202800000001</v>
      </c>
      <c r="Z189" s="3">
        <f>1413.6+(1771.3-987.4)+(-1.441872+(-1.806726--1.007148))+0-391.4--0.399228000000062</f>
        <v>1804.2577779999999</v>
      </c>
      <c r="AA189" s="3">
        <f>1355.5+(1663.3-899)+(-0.691305+(-0.848283--0.45849))+0-395.7--0.20180699999996</f>
        <v>1723.2207089999999</v>
      </c>
      <c r="AB189" s="3">
        <f>1372.6+(1663.1-1022.1)+(-2.100078+(-2.544543--1.563813))+0-392.2--0.600066000000023</f>
        <v>1618.9192579999999</v>
      </c>
      <c r="AC189" s="3">
        <f>1379.3+(1494.1-1034.6)+(-3.517215+(-3.809955--2.63823))+0-365.9--0.933044999999947</f>
        <v>1469.1441050000001</v>
      </c>
      <c r="AD189">
        <v>1902.3999999999996</v>
      </c>
      <c r="AE189" s="3">
        <f>1528+(1805.7-1015.8)+(0+(0-0))+0-415.5-0</f>
        <v>1902.4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1393.9+(1922.8-1497)+(-3.554445+(-4.90314--3.81735))+0-349.6--0.891479999999949</f>
        <v>1466.3512450000001</v>
      </c>
      <c r="G190" s="3">
        <f>1422.3+(1742.6-1431.6)+(2.901492+(3.554904-2.920464))+0-359.9-0.734195999999984</f>
        <v>1376.201736</v>
      </c>
      <c r="H190" s="3">
        <f>1388.5+(1720.2-1384.7)+(-1.41627+(-1.754604--1.412394))+0-367--0.374340000000059</f>
        <v>1355.6158600000001</v>
      </c>
      <c r="I190" s="3">
        <f>1353+(1492.2-1188.4)+(-1.38006+(-1.522044--1.212168))+0-367.4--0.374748000000059</f>
        <v>1288.0848119999998</v>
      </c>
      <c r="J190" s="3">
        <f>1361.5+(1276.5-950.1)+(-1.38873+(-1.30203--0.969102))+0-371.5--0.378930000000059</f>
        <v>1315.0572720000002</v>
      </c>
      <c r="K190" s="3">
        <f>1358.1+(1055.1-721.9)+(-3.463155+(-2.690505--1.840845))+0-371.1--0.946304999999946</f>
        <v>1316.8334899999995</v>
      </c>
      <c r="L190" s="3">
        <f>1360.1+(668.8-378.5)+(-2.080953+(-1.023264--0.579105))+0-368.7--0.564111000000021</f>
        <v>1279.7389989999997</v>
      </c>
      <c r="M190" s="3">
        <f>1362.5+(618.8-198.4)+(0.694875+(0.315588-0.101184))+0-361.6-0.184415999999963</f>
        <v>1422.0248630000001</v>
      </c>
      <c r="N190" s="3">
        <f>1360.9+(1204.7-557.4)+(0+(0-0))+0-367.9-0</f>
        <v>1640.3000000000002</v>
      </c>
      <c r="O190" s="3">
        <f>1363.6+(1343.1-599.8)+(0.695436+(0.684981-0.305898))+0-363.2-0.185231999999963</f>
        <v>1744.5892869999993</v>
      </c>
      <c r="P190" s="3">
        <f>1396.2+(1654.8-989.2)+(1.424124+(1.687896-1.008984))+0-345.4-0.352308000000055</f>
        <v>1718.1507280000001</v>
      </c>
      <c r="Q190" s="3">
        <f>1569.5+(1941.3-1406.1)+(0+(0-0))+0-342-0</f>
        <v>1762.6999999999998</v>
      </c>
      <c r="R190" s="3">
        <f>1647.1+(2601.4-2171.8)+(-2.520063+(-3.980142--3.322854))+0-344.9--0.52769700000002</f>
        <v>1729.1503459999999</v>
      </c>
      <c r="S190" s="3">
        <f>1732.1+(2861.9-2549.7)+(-3.533484+(-5.838276--5.201388))+0-344.7--0.703187999999985</f>
        <v>1696.132816</v>
      </c>
      <c r="T190" s="3">
        <f>1748.9+(2805.5-2517.5)+(-4.459695+(-7.154025--6.419625))+0-344.7--0.87898499999995</f>
        <v>1687.88489</v>
      </c>
      <c r="U190" s="3">
        <f>1754.8+(2532.2-2319.8)+(-6.264636+(-9.039954--8.281686))+0-347.3--1.239861</f>
        <v>1614.1169569999997</v>
      </c>
      <c r="V190" s="3">
        <f>1755.7+(1810.7-1636.9)+(-6.267849+(-6.464199--5.843733))+0-346--1.23522</f>
        <v>1577.8469050000001</v>
      </c>
      <c r="W190" s="3">
        <f>1756.3+(673.5-704)+(-3.582852+(-1.37394--1.43616))+0-347.7--0.709307999999985</f>
        <v>1375.2886759999999</v>
      </c>
      <c r="X190" s="3">
        <f>1776.7+(956.9-623.6)+(-3.624468+(-1.952076--1.272144))+0-349.5--0.712979999999985</f>
        <v>1756.90858</v>
      </c>
      <c r="Y190" s="3">
        <f>1814.8+(1891.1-1256.3)+(-3.702192+(-3.857844--2.562852))+0-348.7--0.711347999999985</f>
        <v>2096.6141640000001</v>
      </c>
      <c r="Z190" s="3">
        <f>1677.3+(1073.1-587.9)+(0+(0-0))+0-347.7-0</f>
        <v>1814.8</v>
      </c>
      <c r="AA190" s="3">
        <f>1585.8+(1431.1-843.7)+(-4.04379+(-3.649305--2.151435))+0-347.1--0.88510499999995</f>
        <v>1821.4434449999999</v>
      </c>
      <c r="AB190" s="3">
        <f>1539.3+(1368.5-857.9)+(-3.925215+(-3.489675--2.187645))+0-344.8--0.87923999999995</f>
        <v>1700.7519950000001</v>
      </c>
      <c r="AC190" s="3">
        <f>1480+(1610.5-1071.5)+(-3.774+(-4.106775--2.732325))+0-381.6--0.973079999999945</f>
        <v>1633.2246299999999</v>
      </c>
      <c r="AD190">
        <v>2124.1999999999998</v>
      </c>
      <c r="AE190" s="3">
        <f>1824+(2121.2-1475.5)+(0+(0-0))+0-345.5-0</f>
        <v>2124.1999999999998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1463.5+(2305.7-1835.1)+(-2.98554+(-4.703628--3.743604))+0-378.8--0.772751999999983</f>
        <v>1552.1271879999999</v>
      </c>
      <c r="G191" s="3">
        <f>1462.4+(2229.8-1909.7)+(0+(0-0))+0-384.7-0</f>
        <v>1397.8000000000002</v>
      </c>
      <c r="H191" s="3">
        <f>1462.6+(2166.4-1897.3)+(0+(0-0))+0-371.2-0</f>
        <v>1360.5</v>
      </c>
      <c r="I191" s="3">
        <f>1462.2+(2137.3-1881.7)+(0+(0-0))+0-383.2-0</f>
        <v>1334.6000000000001</v>
      </c>
      <c r="J191" s="3">
        <f>1462.2+(2023.5-1773.7)+(-1.491444+(-2.06397--1.809174))+0-379.5--0.387090000000061</f>
        <v>1331.1408500000002</v>
      </c>
      <c r="K191" s="3">
        <f>1461.8+(1639.9-1450.8)+(-0.745518+(-0.836349--0.739908))+0-380.4--0.194003999999961</f>
        <v>1269.8520450000001</v>
      </c>
      <c r="L191" s="3">
        <f>1445.9+(1079-875.9)+(-1.474818+(-1.10058--0.893418))+0-383.9--0.391578000000061</f>
        <v>1263.8095980000001</v>
      </c>
      <c r="M191" s="3">
        <f>1420.4+(696.7-368)+(2.173212+(1.065951-0.56304))+0-387.9-0.593487000000022</f>
        <v>1363.2826359999999</v>
      </c>
      <c r="N191" s="3">
        <f>1428.2+(1491.1-907.8)+(1.456764+(1.520922-0.925956))+0-387.6-0.395352000000062</f>
        <v>1625.5563779999998</v>
      </c>
      <c r="O191" s="3">
        <f>1416.1+(1498.4-907)+(0+(0-0))+0-388.2-0</f>
        <v>1619.3</v>
      </c>
      <c r="P191" s="3">
        <f>1438.2+(1507.7-864.5)+(-3.66741+(-3.844635--2.204475))+0-396.9--1.01209499999994</f>
        <v>1680.2045250000001</v>
      </c>
      <c r="Q191" s="3">
        <f>1569.7+(1967.3-1396.8)+(0.800547+(1.003323-0.712368))+0-380.9-0.194258999999961</f>
        <v>1760.1972430000001</v>
      </c>
      <c r="R191" s="3">
        <f>1567.7+(2491.2-1943.6)+(1.599054+(2.541024-1.982472))+0-338.9-0.345678000000054</f>
        <v>1778.2119280000002</v>
      </c>
      <c r="S191" s="3">
        <f>1511.4+(2695.6-2201.9)+(3.083256+(5.499024-4.491876))+0-360.4-0.735215999999984</f>
        <v>1648.0551879999998</v>
      </c>
      <c r="T191" s="3">
        <f>1507.7+(2474.2-1969.4)+(-2.306781+(-3.785526--3.013182))+0-368.4--0.563652000000021</f>
        <v>1641.5845269999998</v>
      </c>
      <c r="U191" s="3">
        <f>1506+(2332.7-1807.9)+(-3.8403+(-5.948385--4.610145))+0-365.2--0.931259999999947</f>
        <v>1661.3527199999994</v>
      </c>
      <c r="V191" s="3">
        <f>1510.1+(1696-1311.5)+(-3.850755+(-4.3248--3.344325))+0-355.2--0.905759999999948</f>
        <v>1535.4745299999997</v>
      </c>
      <c r="W191" s="3">
        <f>1512.6+(653-388.2)+(-2.314278+(-0.99909--0.593946))+0-363.4--0.556002000000021</f>
        <v>1411.8365799999999</v>
      </c>
      <c r="X191" s="3">
        <f>1531.7+(845.1-371.4)+(2.343501+(1.293003-0.568242))+0-371.9-0.569007000000021</f>
        <v>1635.9992550000002</v>
      </c>
      <c r="Y191" s="3">
        <f>1545.9+(1460.7-780.5)+(-3.942045+(-3.724785--1.990275))+0-372.9--0.950894999999946</f>
        <v>1848.4743400000002</v>
      </c>
      <c r="Z191" s="3">
        <f>1481.5+(1292.4-649.6)+(-1.51113+(-1.318248--0.662592))+0-369.2--0.376584000000059</f>
        <v>1753.3097980000005</v>
      </c>
      <c r="AA191" s="3">
        <f>1432.4+(1346.6-693.4)+(-2.191572+(-2.060298--1.060902))+0-372.8--0.570384000000022</f>
        <v>1710.1794160000002</v>
      </c>
      <c r="AB191" s="3">
        <f>1419.9+(1806.7-1171.6)+(-2.896596+(-3.685668--2.390064))+0-355--0.724199999999985</f>
        <v>1696.5319999999999</v>
      </c>
      <c r="AC191" s="3">
        <f>1303.9+(2244-1655.2)+(-3.324945+(-5.7222--4.22076))+0-355.7--0.907034999999948</f>
        <v>1533.0806499999999</v>
      </c>
      <c r="AD191">
        <v>1810.5</v>
      </c>
      <c r="AE191" s="3">
        <f>1548+(1276.2-639.6)+(0+(0-0))+0-374.1-0</f>
        <v>1810.5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1254.2+(2511.1-1938)+(-2.558568+(-5.122644--3.95352))+0-354.8--0.723791999999985</f>
        <v>1469.4961000000001</v>
      </c>
      <c r="G192" s="3">
        <f>1233.8+(2762.6-2256.8)+(-0.629238+(-1.408926--1.150968))+0-352.6--0.179825999999964</f>
        <v>1386.2926299999999</v>
      </c>
      <c r="H192" s="3">
        <f>1218.2+(2551.3-2090.4)+(-2.485128+(-5.204652--4.264416))+0-369--0.752759999999984</f>
        <v>1307.4273960000003</v>
      </c>
      <c r="I192" s="3">
        <f>1213.6+(2480.6-1988.5)+(0.618936+(1.265106-1.014135))+0-370.9-0.189158999999962</f>
        <v>1335.4807479999999</v>
      </c>
      <c r="J192" s="3">
        <f>1207.6+(2295.6-1832.4)+(-1.231752+(-2.341512--1.869048))+0-370.2--0.377604000000059</f>
        <v>1299.2733879999996</v>
      </c>
      <c r="K192" s="3">
        <f>1207.6+(2117.9-1615.8)+(-3.07938+(-5.400645--4.12029))+0-372.7--0.950384999999946</f>
        <v>1333.5906499999999</v>
      </c>
      <c r="L192" s="3">
        <f>1208.2+(1721.1-1271)+(-0.616182+(-0.877761--0.64821))+0-370.8--0.189107999999962</f>
        <v>1286.8433749999999</v>
      </c>
      <c r="M192" s="3">
        <f>1219+(1903.1-1231.7)+(0.62169+(0.970581-0.628167))+0-366.4-0.186863999999963</f>
        <v>1524.7772399999997</v>
      </c>
      <c r="N192" s="3">
        <f>1219.2+(1783.7-1023.3)+(1.243584+(1.819374-1.043766))+0-369.8-0.377196000000059</f>
        <v>1611.441996</v>
      </c>
      <c r="O192" s="3">
        <f>1220.3+(2080.8-1234.1)+(1.867059+(3.183624-1.888173))+0-366.4-0.560592000000021</f>
        <v>1703.201918</v>
      </c>
      <c r="P192" s="3">
        <f>1341.7+(2116-1342.2)+(0+(0-0))+0-371.5-0</f>
        <v>1744</v>
      </c>
      <c r="Q192" s="3">
        <f>1536.8+(2520-1945.5)+(0.783768+(1.2852-0.992205))+0-392.1-0.19997099999996</f>
        <v>1720.0767920000003</v>
      </c>
      <c r="R192" s="3">
        <f>1624+(2774.1-2301.7)+(-2.48472+(-4.244373--3.521601))+0-385.4--0.589662000000022</f>
        <v>1708.3821700000001</v>
      </c>
      <c r="S192" s="3">
        <f>1625.3+(2979.4-2513.2)+(0.828903+(1.519494-1.281732))+0-389.6-0.19869599999996</f>
        <v>1702.767969</v>
      </c>
      <c r="T192" s="3">
        <f>1620.8+(2857.4-2388.9)+(-3.306432+(-5.829096--4.873356))+0-395.5--0.806819999999983</f>
        <v>1690.344648</v>
      </c>
      <c r="U192" s="3">
        <f>1620.3+(2691.4-2302.6)+(-4.131765+(-6.86307--5.87163))+0-392.7--1.00138499999994</f>
        <v>1612.27818</v>
      </c>
      <c r="V192" s="3">
        <f>1623+(2472.2-2117.9)+(-1.65546+(-2.521644--2.160258))+0-401.2--0.409224000000064</f>
        <v>1574.4923779999997</v>
      </c>
      <c r="W192" s="3">
        <f>1525.5+(1695.8-1339.7)+(0+(0-0))+0-394.9-0</f>
        <v>1486.6999999999998</v>
      </c>
      <c r="X192" s="3">
        <f>1536+(1575.1-1011.9)+(-1.56672+(-1.606602--1.032138))+0-385--0.392700000000061</f>
        <v>1712.4515159999999</v>
      </c>
      <c r="Y192" s="3">
        <f>1545+(2001.9-1373.9)+(-2.36385+(-3.062907--2.102067))+0-396.7--0.606951000000023</f>
        <v>1773.582261</v>
      </c>
      <c r="Z192" s="3">
        <f>1448.9+(1835.3-1267.1)+(-2.216817+(-2.808009--1.938663))+0-394.8--0.604044000000023</f>
        <v>1619.8178810000002</v>
      </c>
      <c r="AA192" s="3">
        <f>1361.5+(1998.6-1339.4)+(-1.38873+(-2.038572--1.366188))+0-402.3--0.410346000000064</f>
        <v>1616.7492319999999</v>
      </c>
      <c r="AB192" s="3">
        <f>1318.7+(2256.6-1570.4)+(-0.672537+(-1.150866--0.800904))+0-393.9--0.20088899999996</f>
        <v>1610.1783899999998</v>
      </c>
      <c r="AC192" s="3">
        <f>1194.2+(2403.4-1683.3)+(-0.609042+(-1.225734--0.858483))+0-398.5--0.20323499999996</f>
        <v>1515.0269420000002</v>
      </c>
      <c r="AD192">
        <v>1788.0000000000002</v>
      </c>
      <c r="AE192" s="3">
        <f>1547+(2069.3-1415)+(0+(0-0))+0-413.3-0</f>
        <v>1788.0000000000002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1164.6+(2560.9-1898)+(-2.375784+(-5.224236--3.87192))+0-394.6--0.804983999999983</f>
        <v>1429.9768839999997</v>
      </c>
      <c r="G193" s="3">
        <f>1163.3+(2284.3-1709.9)+(-2.966415+(-5.824965--4.360245))+0-399.5--1.01872499999994</f>
        <v>1334.7875899999999</v>
      </c>
      <c r="H193" s="3">
        <f>1163.4+(2303.1-1732.9)+(-1.186668+(-2.349162--1.767558))+0-399.6--0.407592000000064</f>
        <v>1332.6393199999998</v>
      </c>
      <c r="I193" s="3">
        <f>1166.1+(1886.8-1371.4)+(-2.378844+(-3.849072--2.797656))+0-401.4--0.818855999999982</f>
        <v>1277.4885959999997</v>
      </c>
      <c r="J193" s="3">
        <f>1165.5+(1450-995.2)+(2.972025+(3.6975-2.53776))+0-398.3-1.01566499999994</f>
        <v>1225.1161000000002</v>
      </c>
      <c r="K193" s="3">
        <f>1163.1+(1526.6-1037.7)+(-1.186362+(-1.557132--1.058454))+0-397.3--0.405246000000063</f>
        <v>1253.4202059999998</v>
      </c>
      <c r="L193" s="3">
        <f>1162.9+(1674-1129.5)+(2.372316+(3.41496-2.30418))+0-398-0.811919999999983</f>
        <v>1312.0711760000002</v>
      </c>
      <c r="M193" s="3">
        <f>1162.8+(1279-694.5)+(1.779084+(1.95687-1.062585))+0-400.9-0.613377000000023</f>
        <v>1348.4599920000001</v>
      </c>
      <c r="N193" s="3">
        <f>1162.6+(1556.8-740.7)+(-1.185852+(-1.587936--0.755514))+0-385.3--0.393006000000061</f>
        <v>1591.7747319999999</v>
      </c>
      <c r="O193" s="3">
        <f>1163.3+(1504.4-647.2)+(0.593283+(0.767244-0.330072))+0-388.8-0.198287999999961</f>
        <v>1632.5321670000001</v>
      </c>
      <c r="P193" s="3">
        <f>1179+(1686-755.6)+(1.20258+(1.71972-0.770712))+0-373.6-0.38107200000006</f>
        <v>1737.5705160000002</v>
      </c>
      <c r="Q193" s="3">
        <f>1434.2+(2120.3-1391.2)+(0+(0-0))+0-399.3-0</f>
        <v>1764.0000000000002</v>
      </c>
      <c r="R193" s="3">
        <f>1504.6+(2199.7-1702.7)+(-3.83673+(-5.609235--4.341885))+0-403--1.02764999999994</f>
        <v>1594.5235699999996</v>
      </c>
      <c r="S193" s="3">
        <f>1602+(2213-1846.3)+(-3.26808+(-4.51452--3.766452))+0-397.5--0.810899999999983</f>
        <v>1567.9947520000001</v>
      </c>
      <c r="T193" s="3">
        <f>1593.1+(2175.4-1839.2)+(-4.062405+(-5.54727--4.68996))+0-385.1--0.982004999999944</f>
        <v>1540.2622899999997</v>
      </c>
      <c r="U193" s="3">
        <f>1612.7+(2215.2-1902.6)+(-3.289908+(-4.519008--3.881304))+0-386.8--0.789071999999983</f>
        <v>1535.3614600000001</v>
      </c>
      <c r="V193" s="3">
        <f>1486.3+(1697.7-1496.3)+(-3.032052+(-3.463308--3.052452))+0-383.2--0.781727999999983</f>
        <v>1301.8388199999999</v>
      </c>
      <c r="W193" s="3">
        <f>1407.8+(1010.5-699.5)+(-1.435956+(-1.03071--0.71349))+0-391.9--0.399738000000062</f>
        <v>1325.546562</v>
      </c>
      <c r="X193" s="3">
        <f>1440.2+(1278.3-586.9)+(1.469004+(1.303866-0.598638))+0-392.7-0.400554000000063</f>
        <v>1740.6736779999997</v>
      </c>
      <c r="Y193" s="3">
        <f>1439.1+(1608.2-866.2)+(-2.201823+(-2.460546--1.325286))+0-390.4--0.597312000000022</f>
        <v>1787.960229</v>
      </c>
      <c r="Z193" s="3">
        <f>1438.4+(1456.6-857.1)+(-2.200752+(-2.228598--1.311363))+0-389.7--0.596241000000023</f>
        <v>1645.6782539999999</v>
      </c>
      <c r="AA193" s="3">
        <f>1437.3+(1568.2-1004)+(-2.199069+(-2.399346--1.53612))+0-394.9--0.604197000000023</f>
        <v>1604.1419020000003</v>
      </c>
      <c r="AB193" s="3">
        <f>1436.6+(1319.2-893.5)+(-0.732666+(-0.672792--0.455685))+0-394.7--0.20129699999996</f>
        <v>1466.8515239999999</v>
      </c>
      <c r="AC193" s="3">
        <f>1437.7+(1589.2-1163.4)+(-1.466454+(-1.620984--1.186668))+0-399.5--0.407490000000064</f>
        <v>1462.5067200000001</v>
      </c>
      <c r="AD193">
        <v>1741.7999999999997</v>
      </c>
      <c r="AE193" s="3">
        <f>1434+(1720.2-1005.5)+(0+(0-0))+0-406.9-0</f>
        <v>1741.7999999999997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1390.7+(2128.6-1610.7)+(1.418514+(2.171172-1.642914))+0-397.9-0.405858000000063</f>
        <v>1512.240914</v>
      </c>
      <c r="G194" s="3">
        <f>1184.5+(2297.9-1697.6)+(0.604095+(1.171929-0.865776))+0-401.1-0.204560999999959</f>
        <v>1384.4056869999999</v>
      </c>
      <c r="H194" s="3">
        <f>1183.6+(2104.2-1658.1)+(1.207272+(2.146284-1.691262))+0-396.8-0.404736000000063</f>
        <v>1234.1575579999999</v>
      </c>
      <c r="I194" s="3">
        <f>1184+(2077-1633.5)+(-0.60384+(-1.05927--0.833085))+0-402.1--0.205070999999959</f>
        <v>1224.7750459999997</v>
      </c>
      <c r="J194" s="3">
        <f>1181.9+(1616.6-1271.4)+(0.602769+(0.824466-0.648414))+0-400.9-0.204458999999959</f>
        <v>1126.7743620000001</v>
      </c>
      <c r="K194" s="3">
        <f>1180.4+(1323.1-972.5)+(-3.01002+(-3.373905--2.479875))+0-406.3--1.03606499999994</f>
        <v>1121.832015</v>
      </c>
      <c r="L194" s="3">
        <f>1134.6+(1214.9-905.3)+(1.157292+(1.239198-0.923406))+0-401.4-0.409428000000064</f>
        <v>1043.8636559999998</v>
      </c>
      <c r="M194" s="3">
        <f>860.3+(1501.6-677.4)+(0+(0-0))+0-402.2-0</f>
        <v>1282.3</v>
      </c>
      <c r="N194" s="3">
        <f>858.9+(1460-478.5)+(-1.314117+(-2.2338--0.732105))+0-401.9--0.614907000000023</f>
        <v>1436.2990950000003</v>
      </c>
      <c r="O194" s="3">
        <f>874+(1297-391.2)+(1.33722+(1.98441-0.598536))+0-398.6-0.609858000000023</f>
        <v>1383.3132359999997</v>
      </c>
      <c r="P194" s="3">
        <f>1041.8+(1484.1-665.4)+(-1.062636+(-1.513782--0.678708))+0-404--0.412080000000064</f>
        <v>1455.0143700000001</v>
      </c>
      <c r="Q194" s="3">
        <f>1085.8+(1806.7-991.9)+(0+(0-0))+0-395.7-0</f>
        <v>1504.8999999999999</v>
      </c>
      <c r="R194" s="3">
        <f>1116.6+(2091.6-1322.8)+(0+(0-0))+0-404.1-0</f>
        <v>1481.2999999999997</v>
      </c>
      <c r="S194" s="3">
        <f>1290.7+(2251.9-1685.1)+(-1.316514+(-2.296938--1.718802))+0-403.1--0.411162000000064</f>
        <v>1452.9165120000005</v>
      </c>
      <c r="T194" s="3">
        <f>1337+(2354.6-1895.8)+(-2.72748+(-4.803384--3.867432))+0-409.1--0.834563999999982</f>
        <v>1383.871132</v>
      </c>
      <c r="U194" s="3">
        <f>1384.2+(1997.8-1660.9)+(-4.235652+(-6.113268--5.082354))+0-397.7--1.21696200000005</f>
        <v>1319.3503959999998</v>
      </c>
      <c r="V194" s="3">
        <f>1449.9+(1121.3-956.2)+(-2.957796+(-2.287452--1.950648))+0-402.1--0.820283999999982</f>
        <v>1210.4256839999998</v>
      </c>
      <c r="W194" s="3">
        <f>1469.5+(647.2-446.7)+(1.49889+(0.660144-0.455634))+0-402.1-0.410142000000064</f>
        <v>1269.193258</v>
      </c>
      <c r="X194" s="3">
        <f>1626.8+(877.7-442.5)+(0.829668+(0.447627-0.225675))+0-406.9-0.207518999999959</f>
        <v>1655.944101</v>
      </c>
      <c r="Y194" s="3">
        <f>1637.8+(997.3-542.7)+(-1.670556+(-1.017246--0.553554))+0-404.8--0.412896000000065</f>
        <v>1685.8786479999999</v>
      </c>
      <c r="Z194" s="3">
        <f>1639.3+(1449.7-970.8)+(-1.672086+(-1.478694--0.990216))+0-401--0.409020000000064</f>
        <v>1715.4484560000001</v>
      </c>
      <c r="AA194" s="3">
        <f>1627.5+(1958.4-1513.9)+(-0.830025+(-0.998784--0.772089))+0-405.9--0.207008999999959</f>
        <v>1665.2502889999998</v>
      </c>
      <c r="AB194" s="3">
        <f>1516.7+(2116.8-1696.4)+(-2.320551+(-3.238704--2.595492))+0-399.5--0.611235000000023</f>
        <v>1535.2474720000002</v>
      </c>
      <c r="AC194" s="3">
        <f>1496.3+(2579.1-2185.7)+(-2.289339+(-3.946023--3.344121))+0-403.3--0.617049000000023</f>
        <v>1484.125808</v>
      </c>
      <c r="AD194">
        <v>1736.7000000000003</v>
      </c>
      <c r="AE194" s="3">
        <f>1663+(1390.6-893.8)+(0+(0-0))+0-423.1-0</f>
        <v>1736.7000000000003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1365.1+(2386.6-2053.5)+(-6.265809+(-10.954494--9.425565))+0-404.6--1.85711400000007</f>
        <v>1287.662376</v>
      </c>
      <c r="G195" s="3">
        <f>1157.5+(2458.3-1974.1)+(-1.18065+(-2.507466--2.013582))+0-400.8--0.408816000000064</f>
        <v>1239.6342820000004</v>
      </c>
      <c r="H195" s="3">
        <f>1152+(2238.1-1794.2)+(-3.52512+(-6.848586--5.490252))+0-408.6--1.25031600000005</f>
        <v>1183.666862</v>
      </c>
      <c r="I195" s="3">
        <f>1152.1+(1943.8-1518.6)+(-1.762713+(-2.974014--2.323458))+0-403.7--0.617661000000023</f>
        <v>1171.804392</v>
      </c>
      <c r="J195" s="3">
        <f>1149.8+(1650.4-1244.8)+(0+(0-0))+0-399.3-0</f>
        <v>1156.1000000000001</v>
      </c>
      <c r="K195" s="3">
        <f>1152.2+(1672.4-1231.7)+(-1.762866+(-2.558772--1.884501))+0-390.4--0.597312000000022</f>
        <v>1200.6601750000002</v>
      </c>
      <c r="L195" s="3">
        <f>1151.4+(1497.2-1055.6)+(0.587214+(0.763572-0.538356))+0-383.4-0.195533999999961</f>
        <v>1210.2168960000004</v>
      </c>
      <c r="M195" s="3">
        <f>1151.8+(1828.3-1216.4)+(0+(0-0))+0-364.2-0</f>
        <v>1399.4999999999998</v>
      </c>
      <c r="N195" s="3">
        <f>1133.7+(2037.6-1221.1)+(1.156374+(2.078352-1.245522))+0-354-0.361080000000056</f>
        <v>1597.8281239999999</v>
      </c>
      <c r="O195" s="3">
        <f>1178.9+(2008.3-1157.2)+(2.404956+(4.096932-2.360688))+0-374.6-0.764183999999984</f>
        <v>1658.7770160000002</v>
      </c>
      <c r="P195" s="3">
        <f>1296.9+(1535.8-804.4)+(1.322838+(1.566516-0.820488))+0-398.3-0.406266000000064</f>
        <v>1631.6626000000003</v>
      </c>
      <c r="Q195" s="3">
        <f>1419.8+(1315.5-708.3)+(0.724098+(0.670905-0.361233))+0-396.6-0.20226599999996</f>
        <v>1631.2315040000001</v>
      </c>
      <c r="R195" s="3">
        <f>1508.3+(1749.6-1318.5)+(-0.769233+(-0.892296--0.672435))+0-398.5--0.20323499999996</f>
        <v>1540.1141409999998</v>
      </c>
      <c r="S195" s="3">
        <f>1492.4+(2275.3-1861.3)+(3.044496+(4.641612-3.797052))+0-401.9-0.819875999999982</f>
        <v>1507.5691800000004</v>
      </c>
      <c r="T195" s="3">
        <f>1482.1+(2212.2-1778.9)+(-0.755871+(-1.128222--0.907239))+0-399--0.20348999999996</f>
        <v>1515.6266359999995</v>
      </c>
      <c r="U195" s="3">
        <f>1489.5+(2269.8-1812.8)+(-3.03858+(-4.630392--3.698112))+0-410--0.836399999999982</f>
        <v>1533.3655400000002</v>
      </c>
      <c r="V195" s="3">
        <f>1495.2+(2383.4-1903.9)+(-3.050208+(-4.862136--3.883956))+0-407.4--0.831095999999982</f>
        <v>1564.1027079999999</v>
      </c>
      <c r="W195" s="3">
        <f>1495+(1811.8-1403.4)+(-2.28735+(-2.772054--2.147202))+0-413.2--0.632196000000024</f>
        <v>1487.9199939999999</v>
      </c>
      <c r="X195" s="3">
        <f>1524.5+(1651.9-1078.1)+(0+(0-0))+0-415.3-0</f>
        <v>1683.0000000000002</v>
      </c>
      <c r="Y195" s="3">
        <f>1526.3+(2026.6-1383.1)+(-3.892065+(-5.16783--3.526905))+0-406.6--1.03682999999994</f>
        <v>1758.7038400000001</v>
      </c>
      <c r="Z195" s="3">
        <f>1527+(2353.2-1734.9)+(-1.55754+(-2.400264--1.769598))+0-390.3--0.398106000000062</f>
        <v>1753.2099000000001</v>
      </c>
      <c r="AA195" s="3">
        <f>1526.9+(2671.3-2091.3)+(-3.114876+(-5.449452--4.266252))+0-407.2--0.830687999999982</f>
        <v>1696.232612</v>
      </c>
      <c r="AB195" s="3">
        <f>1524.6+(2796.3-2335.3)+(-1.555092+(-2.852226--2.382006))+0-407.8--0.415956000000065</f>
        <v>1576.190644</v>
      </c>
      <c r="AC195" s="3">
        <f>1523.9+(2845.6-2452.1)+(-4.663134+(-8.707536--7.503426))+0-405.5--1.24083000000005</f>
        <v>1507.273586</v>
      </c>
      <c r="AD195">
        <v>1746.3000000000004</v>
      </c>
      <c r="AE195" s="3">
        <f>1520+(1661.8-1024.2)+(0+(0-0))+0-411.3-0</f>
        <v>1746.3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1501.1+(2612.1-2346.8)+(-3.827805+(-6.660855--5.98434))+0-408.9--1.04269499999994</f>
        <v>1354.0383749999994</v>
      </c>
      <c r="G196" s="3">
        <f>1485.5+(2158.5-1974.8)+(0+(0-0))+0-393.9-0</f>
        <v>1275.3000000000002</v>
      </c>
      <c r="H196" s="3">
        <f>1265.1+(2138.1-1727.7)+(-1.935603+(-3.271293--2.643381))+0-388.8--0.594864000000022</f>
        <v>1284.7313489999997</v>
      </c>
      <c r="I196" s="3">
        <f>1151.6+(1866.7-1399.2)+(-1.761948+(-2.856051--2.140776))+0-393.2--0.601596000000023</f>
        <v>1224.0243729999997</v>
      </c>
      <c r="J196" s="3">
        <f>1148.8+(1650.1-1195.9)+(-1.757664+(-2.524653--1.829727))+0-396.3--0.606339000000023</f>
        <v>1204.8537489999997</v>
      </c>
      <c r="K196" s="3">
        <f>1147.6+(1363.1-893.5)+(-1.170552+(-1.390362--0.91137))+0-396.4--0.404328000000063</f>
        <v>1219.5547839999999</v>
      </c>
      <c r="L196" s="3">
        <f>1148.4+(947.9-495.7)+(0+(0-0))+0-398.5-0</f>
        <v>1202.1000000000001</v>
      </c>
      <c r="M196" s="3">
        <f>1149.9+(836.7-235)+(1.759347+(1.280151-0.35955))+0-399.5-0.611235000000023</f>
        <v>1354.168713</v>
      </c>
      <c r="N196" s="3">
        <f>1154.7+(1258.6-370.9)+(1.177794+(1.283772-0.378318))+0-409.6-0.417792000000065</f>
        <v>1634.4654560000001</v>
      </c>
      <c r="O196" s="3">
        <f>1172+(1525.6-635.2)+(-1.19544+(-1.556112--0.647904))+0-391--0.398820000000062</f>
        <v>1669.695172</v>
      </c>
      <c r="P196" s="3">
        <f>1271.8+(1725.6-973.8)+(-0.648618+(-0.880056--0.496638))+0-370.9--0.189158999999962</f>
        <v>1651.8571229999998</v>
      </c>
      <c r="Q196" s="3">
        <f>1502.2+(1777.1-1258)+(1.532244+(1.812642-1.28316))+0-375.7-0.38321400000006</f>
        <v>1647.2785119999999</v>
      </c>
      <c r="R196" s="3">
        <f>1525.5+(1981.6-1542.3)+(-0.778005+(-1.010616--0.786573))+0-388.5--0.198134999999961</f>
        <v>1575.4960869999998</v>
      </c>
      <c r="S196" s="3">
        <f>1521.6+(2284.3-1861.2)+(0+(0-0))+0-393.2-0</f>
        <v>1551.5</v>
      </c>
      <c r="T196" s="3">
        <f>1519.6+(2127.9-1794.3)+(-3.87498+(-5.426145--4.575465))+0-391--0.997049999999943</f>
        <v>1458.4713899999999</v>
      </c>
      <c r="U196" s="3">
        <f>1517.3+(2185.5-1785.7)+(-3.095292+(-4.45842--3.642828))+0-385.2--0.785807999999983</f>
        <v>1528.7749240000001</v>
      </c>
      <c r="V196" s="3">
        <f>1512.4+(1818.6-1474.3)+(-3.85662+(-4.63743--3.759465))+0-392.7--1.00138499999994</f>
        <v>1460.2668000000001</v>
      </c>
      <c r="W196" s="3">
        <f>1512+(1377.6-1038.2)+(-1.54224+(-1.405152--1.058964))+0-391.4--0.399228000000062</f>
        <v>1458.5107999999998</v>
      </c>
      <c r="X196" s="3">
        <f>1537.4+(1191.9-640.4)+(-2.352222+(-1.823607--0.979812))+0-407.1--0.622863000000024</f>
        <v>1679.226846</v>
      </c>
      <c r="Y196" s="3">
        <f>1545.6+(1572.1-926.5)+(-2.364768+(-2.405313--1.417545))+0-402.4--0.615672000000023</f>
        <v>1786.063136</v>
      </c>
      <c r="Z196" s="3">
        <f>1544.1+(1257.6-804.8)+(-3.149964+(-2.565504--1.641792))+0-408.2--0.832727999999982</f>
        <v>1585.4590519999999</v>
      </c>
      <c r="AA196" s="3">
        <f>1541.7+(1267.2-802.4)+(-2.358801+(-1.938816--1.227672))+0-405.8--0.620874000000023</f>
        <v>1598.250929</v>
      </c>
      <c r="AB196" s="3">
        <f>1418.8+(1473.1-918.4)+(-1.447176+(-1.502562--0.936768))+0-357.5--0.364650000000057</f>
        <v>1614.35168</v>
      </c>
      <c r="AC196" s="3">
        <f>1318.5+(1842.8-1280.3)+(-3.362175+(-4.69914--3.264765))+0-372.3--0.949364999999946</f>
        <v>1504.852815</v>
      </c>
      <c r="AD196">
        <v>1816.8000000000004</v>
      </c>
      <c r="AE196" s="3">
        <f>1542+(1687.4-996.8)+(0+(0-0))+0-415.8-0</f>
        <v>1816.8000000000004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1213.2+(2094.6-1539.1)+(0.618732+(1.068246-0.784941))+0-377.6-0.192575999999962</f>
        <v>1391.8094610000003</v>
      </c>
      <c r="G197" s="3">
        <f>1198.2+(2132.4-1634.4)+(-3.05541+(-5.43762--4.16772))+0-380.6--0.970529999999945</f>
        <v>1312.2452200000002</v>
      </c>
      <c r="H197" s="3">
        <f>1199+(2002.7-1588.8)+(-0.61149+(-1.021377--0.810288))+0-373.3--0.190382999999962</f>
        <v>1238.9678040000001</v>
      </c>
      <c r="I197" s="3">
        <f>1199.8+(1652.6-1274.9)+(-0.611898+(-0.842826--0.650199))+0-378.1--0.192830999999962</f>
        <v>1198.7883059999997</v>
      </c>
      <c r="J197" s="3">
        <f>1198.3+(1434.9-1061.4)+(-3.055665+(-3.658995--2.70657))+0-377.6--0.962879999999945</f>
        <v>1191.15479</v>
      </c>
      <c r="K197" s="3">
        <f>1197.1+(1267.3-876.1)+(-2.442084+(-2.585292--1.787244))+0-376.5--0.768059999999984</f>
        <v>1209.3279279999997</v>
      </c>
      <c r="L197" s="3">
        <f>1198.4+(919.8-582.7)+(-0.611184+(-0.469098--0.297177))+0-373.4--0.190433999999962</f>
        <v>1161.5073289999998</v>
      </c>
      <c r="M197" s="3">
        <f>1200.2+(1063.4-562.3)+(0.612102+(0.542334-0.286773))+0-374.6-0.191045999999962</f>
        <v>1327.3766170000004</v>
      </c>
      <c r="N197" s="3">
        <f>1199.8+(1361.1-678.1)+(1.223796+(1.388322-0.691662))+0-350.1-0.357102000000056</f>
        <v>1534.2633539999995</v>
      </c>
      <c r="O197" s="3">
        <f>1197.9+(1521.1-762.5)+(1.221858+(1.551522-0.77775))+0-342.2-0.349044000000055</f>
        <v>1615.9465859999998</v>
      </c>
      <c r="P197" s="3">
        <f>1200.4+(1498.7-735.5)+(-0.612204+(-0.764337--0.375105))+0-333--0.169829999999966</f>
        <v>1629.7683940000002</v>
      </c>
      <c r="Q197" s="3">
        <f>1303.7+(1382.1-788.5)+(-1.994661+(-2.114613--1.206405))+0-338--0.51714000000002</f>
        <v>1556.9142709999999</v>
      </c>
      <c r="R197" s="3">
        <f>1376.3+(1653.4-1154.5)+(-2.807652+(-3.372936--2.35518))+0-353.5--0.721139999999985</f>
        <v>1518.595732</v>
      </c>
      <c r="S197" s="3">
        <f>1378.5+(2030.2-1526.4)+(-1.40607+(-2.070804--1.556928))+0-359.6--0.366792000000057</f>
        <v>1521.1468459999999</v>
      </c>
      <c r="T197" s="3">
        <f>1376.2+(2023.7-1525.1)+(-2.807448+(-4.128348--3.111204))+0-361.5--0.737459999999984</f>
        <v>1510.2128680000003</v>
      </c>
      <c r="U197" s="3">
        <f>1377.2+(1737.1-1155.3)+(-3.51186+(-4.429605--2.946015))+0-375.8--0.958289999999945</f>
        <v>1579.1628400000002</v>
      </c>
      <c r="V197" s="3">
        <f>1376+(888.5-560.2)+(-2.80704+(-1.81254--1.142808))+0-376.8--0.768671999999984</f>
        <v>1324.7918999999999</v>
      </c>
      <c r="W197" s="3">
        <f>1378.7+(747.3-312.6)+(1.406274+(0.762246-0.318852))+0-378.6-0.38617200000006</f>
        <v>1436.263496</v>
      </c>
      <c r="X197" s="3">
        <f>1394.5+(1022.3-299.5)+(-2.133585+(-1.564119--0.458235))+0-382.4--0.585072000000022</f>
        <v>1732.2456030000001</v>
      </c>
      <c r="Y197" s="3">
        <f>1386.1+(1009.1-333.3)+(-1.413822+(-1.029282--0.339966))+0-376.8--0.38433600000006</f>
        <v>1683.3811979999998</v>
      </c>
      <c r="Z197" s="3">
        <f>1228.6+(1007.7-262.4)+(-0.626586+(-0.513927--0.133824))+0-379.6--0.193595999999961</f>
        <v>1593.486907</v>
      </c>
      <c r="AA197" s="3">
        <f>1228.4+(1155.5-355.4)+(0.626484+(0.589305-0.181254))+0-379.3-0.193442999999962</f>
        <v>1650.0410920000002</v>
      </c>
      <c r="AB197" s="3">
        <f>1230.2+(1781.8-1049.1)+(-1.882206+(-2.726154--1.605123))+0-376--0.575280000000022</f>
        <v>1584.4720430000002</v>
      </c>
      <c r="AC197" s="3">
        <f>1221.3+(2011.8-1393.4)+(-1.868589+(-3.078054--2.131902))+0-403.2--0.616896000000023</f>
        <v>1434.3021549999999</v>
      </c>
      <c r="AD197">
        <v>1809.0999999999997</v>
      </c>
      <c r="AE197" s="3">
        <f>1408+(1119.2-339.9)+(0+(0-0))+0-378.2-0</f>
        <v>1809.1000000000001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1200.1+(1982.8-1478.2)+(-2.448204+(-4.044912--3.015528))+0-405.7--0.827627999999982</f>
        <v>1296.3500399999998</v>
      </c>
      <c r="G198" s="3">
        <f>1200.5+(1935.9-1476.5)+(-1.22451+(-1.974618--1.50603))+0-410.2--0.418404000000065</f>
        <v>1248.4253060000001</v>
      </c>
      <c r="H198" s="3">
        <f>1200.9+(1954.7-1514.3)+(-0.612459+(-0.996897--0.772293))+0-407.1--0.207620999999959</f>
        <v>1233.5705580000003</v>
      </c>
      <c r="I198" s="3">
        <f>1201.4+(1949.1-1501.8)+(-1.225428+(-1.988082--1.531836))+0-406.6--0.414732000000065</f>
        <v>1240.8330579999999</v>
      </c>
      <c r="J198" s="3">
        <f>1200.8+(1643.5-1246.9)+(0+(0-0))+0-406.6-0</f>
        <v>1190.7999999999997</v>
      </c>
      <c r="K198" s="3">
        <f>1200.6+(1228.2-815.3)+(-2.449224+(-2.505528--1.663212))+0-411--0.838439999999982</f>
        <v>1200.0469000000001</v>
      </c>
      <c r="L198" s="3">
        <f>1200.1+(1050.7-675.7)+(-0.612051+(-0.535857--0.344607))+0-407.1--0.207620999999959</f>
        <v>1167.4043200000001</v>
      </c>
      <c r="M198" s="3">
        <f>1200.8+(1113.7-583.3)+(0+(0-0))+0-405.3-0</f>
        <v>1325.9</v>
      </c>
      <c r="N198" s="3">
        <f>1200.3+(1487.8-732.4)+(0.612153+(0.758778-0.373524))+0-400.8-0.204407999999959</f>
        <v>1555.6929989999999</v>
      </c>
      <c r="O198" s="3">
        <f>1249.8+(1659.4-914.5)+(0+(0-0))+0-390.9-0</f>
        <v>1603.8000000000002</v>
      </c>
      <c r="P198" s="3">
        <f>1378+(1552.3-922.4)+(-1.40556+(-1.583346--0.940848))+0-395.3--0.403206000000063</f>
        <v>1610.955148</v>
      </c>
      <c r="Q198" s="3">
        <f>1476.1+(1410.7-871)+(-0.752811+(-0.719457--0.44421))+0-406.7--0.207416999999959</f>
        <v>1608.2793589999997</v>
      </c>
      <c r="R198" s="3">
        <f>1515.9+(1805.9-1323.8)+(-2.319327+(-2.763027--2.025414))+0-412.8--0.631584000000024</f>
        <v>1582.7746440000003</v>
      </c>
      <c r="S198" s="3">
        <f>1517.3+(2246.6-1728.8)+(-1.547646+(-2.291532--1.763376))+0-390--0.397800000000062</f>
        <v>1643.4219979999998</v>
      </c>
      <c r="T198" s="3">
        <f>1517.9+(2280.1-1801.7)+(-1.548258+(-2.325702--1.837734))+0-388.5--0.396270000000062</f>
        <v>1606.160044</v>
      </c>
      <c r="U198" s="3">
        <f>1516.2+(2012.1-1614.4)+(0+(0-0))+0-394.6-0</f>
        <v>1519.2999999999997</v>
      </c>
      <c r="V198" s="3">
        <f>1515.1+(1408-1063.1)+(-1.545402+(-1.43616--1.084362))+0-396.4--0.404328000000063</f>
        <v>1462.1071280000001</v>
      </c>
      <c r="W198" s="3">
        <f>1513.1+(987.5-668.2)+(-2.315043+(-1.510875--1.022346))+0-402.4--0.615672000000023</f>
        <v>1427.8120999999999</v>
      </c>
      <c r="X198" s="3">
        <f>1539.2+(817-316.4)+(-2.354976+(-1.25001--0.484092))+0-398.3--0.609399000000023</f>
        <v>1638.9885050000003</v>
      </c>
      <c r="Y198" s="3">
        <f>1543.7+(1149.4-505.7)+(-3.936435+(-2.93097--1.289535))+0-406.2--1.03580999999994</f>
        <v>1776.6579399999998</v>
      </c>
      <c r="Z198" s="3">
        <f>1449+(775.7-155.4)+(0+(0-0))+0-419.5-0</f>
        <v>1649.8000000000002</v>
      </c>
      <c r="AA198" s="3">
        <f>1305.1+(829.2-81.1)+(-1.331202+(-0.845784--0.082722))+0-415.2--0.423504000000066</f>
        <v>1636.32924</v>
      </c>
      <c r="AB198" s="3">
        <f>1268.6+(933.6-262.5)+(-3.23493+(-2.38068--0.669375))+0-400.4--1.02101999999994</f>
        <v>1535.3747849999997</v>
      </c>
      <c r="AC198" s="3">
        <f>1205.1+(1172.6-522.4)+(0+(0-0))+0-413.6-0</f>
        <v>1441.6999999999998</v>
      </c>
      <c r="AD198">
        <v>1745.1</v>
      </c>
      <c r="AE198" s="3">
        <f>1542+(953.2-342.5)+(0+(0-0))+0-407.6-0</f>
        <v>1745.1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1201.1+(1294.5-719.9)+(-0.612561+(-0.660195--0.367149))+0-416.1--0.212210999999958</f>
        <v>1358.9066039999998</v>
      </c>
      <c r="G199" s="3">
        <f>1174.8+(1629.6-1038.3)+(-0.599148+(-0.831096--0.529533))+0-416.3--0.212312999999958</f>
        <v>1349.1116019999999</v>
      </c>
      <c r="H199" s="3">
        <f>1174.2+(1740-1210.9)+(1.197684+(1.7748-1.235118))+0-415.4-0.423708000000066</f>
        <v>1289.2136579999999</v>
      </c>
      <c r="I199" s="3">
        <f>1174.5+(1538.4-1100.7)+(-0.598995+(-0.784584--0.561357))+0-413.1--0.210680999999958</f>
        <v>1198.4884590000001</v>
      </c>
      <c r="J199" s="3">
        <f>1188.2+(1297-869.6)+(-1.817946+(-1.98441--1.330488))+0-412.5--0.631125000000024</f>
        <v>1201.2592569999999</v>
      </c>
      <c r="K199" s="3">
        <f>1216.4+(1116.7-690.5)+(-1.861092+(-1.708551--1.056465))+0-416.7--0.637551000000024</f>
        <v>1224.0243730000002</v>
      </c>
      <c r="L199" s="3">
        <f>1243.4+(774.2-358.2)+(0+(0-0))+0-414.5-0</f>
        <v>1244.9000000000001</v>
      </c>
      <c r="M199" s="3">
        <f>1243.5+(819.9-293.7)+(0+(0-0))+0-413.5-0</f>
        <v>1356.2</v>
      </c>
      <c r="N199" s="3">
        <f>1239.2+(1011.4-347.7)+(0.631992+(0.515814-0.177327))+0-415.3-0.211802999999958</f>
        <v>1488.3586760000003</v>
      </c>
      <c r="O199" s="3">
        <f>1208.3+(1059.2-304.8)+(-1.848699+(-1.620576--0.466344))+0-416.6--0.637398000000024</f>
        <v>1543.734467</v>
      </c>
      <c r="P199" s="3">
        <f>1200.5+(926.2-136.3)+(-0.612255+(-0.472362--0.069513))+0-413.2--0.210731999999958</f>
        <v>1576.395628</v>
      </c>
      <c r="Q199" s="3">
        <f>1275.6+(1412.4-673.2)+(-1.301112+(-1.440648--0.686664))+0-416.9--0.425238000000066</f>
        <v>1596.2701420000001</v>
      </c>
      <c r="R199" s="3">
        <f>1389+(1691.2-1112.3)+(-4.95873+(-6.037584--3.970911))+0-413.3--1.47548100000001</f>
        <v>1549.050078</v>
      </c>
      <c r="S199" s="3">
        <f>1396.9+(2096.6-1544.7)+(-1.424838+(-2.138532--1.575594))+0-401--0.409020000000064</f>
        <v>1546.2212440000001</v>
      </c>
      <c r="T199" s="3">
        <f>1393.5+(1977.3-1441.7)+(-2.84274+(-4.033692--2.941068))+0-395.4--0.806615999999983</f>
        <v>1530.571252</v>
      </c>
      <c r="U199" s="3">
        <f>1389.3+(1600.5-1056.5)+(-0.708543+(-0.816255--0.538815))+0-401.5--0.204764999999959</f>
        <v>1531.0187819999999</v>
      </c>
      <c r="V199" s="3">
        <f>1397.4+(1278.8-772.3)+(-2.138022+(-1.956564--1.181619))+0-399.5--0.611235000000023</f>
        <v>1502.0982680000002</v>
      </c>
      <c r="W199" s="3">
        <f>1426.3+(1118.7-675.3)+(0.727413+(0.570537-0.344403))+0-396.5-0.20221499999996</f>
        <v>1473.9513320000001</v>
      </c>
      <c r="X199" s="3">
        <f>1658.4+(1134.1-701.4)+(-1.691568+(-1.156782--0.715428))+0-398.4--0.406368000000064</f>
        <v>1690.9734460000002</v>
      </c>
      <c r="Y199" s="3">
        <f>1520.9+(1051.6-506.7)+(-2.326977+(-1.608948--0.775251))+0-394.8--0.604044000000023</f>
        <v>1668.44337</v>
      </c>
      <c r="Z199" s="3">
        <f>1427.3+(996.2-372.6)+(-0.727923+(-0.508062--0.190026))+0-400--0.203999999999959</f>
        <v>1650.058041</v>
      </c>
      <c r="AA199" s="3">
        <f>1427+(1083.2-535.4)+(-2.18331+(-1.657296--0.819162))+0-389.3--0.595629000000023</f>
        <v>1583.0741850000002</v>
      </c>
      <c r="AB199" s="3">
        <f>1427.2+(1143.1-644.2)+(-2.911488+(-2.331924--1.314168))+0-396--0.807839999999983</f>
        <v>1526.9785959999999</v>
      </c>
      <c r="AC199" s="3">
        <f>1364.8+(1201.9-751.9)+(-1.392096+(-1.225938--0.766938))+0-395.9--0.403818000000063</f>
        <v>1417.4527220000002</v>
      </c>
      <c r="AD199">
        <v>1734.6</v>
      </c>
      <c r="AE199" s="3">
        <f>1677+(1116.4-648.9)+(0+(0-0))+0-409.9-0</f>
        <v>1734.6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1210.6+(1285.2-754.3)+(-2.469624+(-2.621808--1.538772))+0-405.4--0.827015999999982</f>
        <v>1333.374356</v>
      </c>
      <c r="G200" s="3">
        <f>1204.5+(1382.9-873.9)+(-3.071475+(-3.526395--2.228445))+0-411.4--1.04906999999994</f>
        <v>1298.7796450000001</v>
      </c>
      <c r="H200" s="3">
        <f>1204.5+(1409.8-948.1)+(-3.071475+(-3.59499--2.417655))+0-412.7--1.05238499999994</f>
        <v>1250.3035749999997</v>
      </c>
      <c r="I200" s="3">
        <f>1203.6+(1343-914.7)+(-2.455344+(-2.73972--1.865988))+0-418.5--0.853739999999982</f>
        <v>1210.9246639999999</v>
      </c>
      <c r="J200" s="3">
        <f>1204+(1305.9-856.4)+(1.84212+(1.998027-1.310292))+0-421.1-0.644283000000024</f>
        <v>1234.2855719999998</v>
      </c>
      <c r="K200" s="3">
        <f>1203.6+(1095.8-701.7)+(-3.06918+(-2.79429--1.789335))+0-414.5--1.05697499999994</f>
        <v>1180.1828399999997</v>
      </c>
      <c r="L200" s="3">
        <f>1204.2+(1082.1-656.9)+(-0.614142+(-0.551871--0.335019))+0-412.6--0.210425999999958</f>
        <v>1216.1794320000001</v>
      </c>
      <c r="M200" s="3">
        <f>1204.3+(1318.5-796.4)+(0.614193+(0.672435-0.406164))+0-420.6-0.214505999999957</f>
        <v>1306.465958</v>
      </c>
      <c r="N200" s="3">
        <f>1205+(1474.6-829.4)+(0.61455+(0.752046-0.422994))+0-421.7-0.215066999999957</f>
        <v>1429.228535</v>
      </c>
      <c r="O200" s="3">
        <f>1413.7+(1168.9-670.5)+(0+(0-0))+0-419.9-0</f>
        <v>1492.2000000000003</v>
      </c>
      <c r="P200" s="3">
        <f>1521.8+(923.8-469.5)+(0+(0-0))+0-430.6-0</f>
        <v>1545.5</v>
      </c>
      <c r="Q200" s="3">
        <f>1522.1+(786.7-350)+(-2.328813+(-1.203651--0.5355))+0-412.4--0.630972000000024</f>
        <v>1544.0340080000001</v>
      </c>
      <c r="R200" s="3">
        <f>1522.6+(757.5-385.1)+(-0.776526+(-0.386325--0.196401))+0-394.3--0.20109299999996</f>
        <v>1499.9346430000001</v>
      </c>
      <c r="S200" s="3">
        <f>1421.7+(1027.2-565.4)+(1.450134+(1.047744-0.576708))+0-399.5-0.407490000000064</f>
        <v>1485.51368</v>
      </c>
      <c r="T200" s="3">
        <f>1390.8+(1174.9-693.5)+(-1.418616+(-1.198398--0.70737))+0-409.4--0.417588000000065</f>
        <v>1461.3079439999999</v>
      </c>
      <c r="U200" s="3">
        <f>1394.8+(1081-591.3)+(-3.55674+(-2.75655--1.507815))+0-422.6--1.07762999999994</f>
        <v>1458.172155</v>
      </c>
      <c r="V200" s="3">
        <f>1397.4+(916.7-449.5)+(-3.56337+(-2.337585--1.146225))+0-428.8--1.09343999999994</f>
        <v>1432.1387099999999</v>
      </c>
      <c r="W200" s="3">
        <f>1461+(704-310.6)+(-0.74511+(-0.35904--0.158406))+0-426.1--0.217310999999957</f>
        <v>1427.571567</v>
      </c>
      <c r="X200" s="3">
        <f>1677.4+(741.4-364.4)+(-0.855474+(-0.378114--0.185844))+0-435.2--0.221951999999956</f>
        <v>1618.374208</v>
      </c>
      <c r="Y200" s="3">
        <f>1559.8+(819.5-353.5)+(-5.568486+(-2.925615--1.261995))+0-428.2--1.52867400000001</f>
        <v>1591.8965679999999</v>
      </c>
      <c r="Z200" s="3">
        <f>1424.9+(850.4-328.1)+(-2.906796+(-1.734816--0.669324))+0-418--0.852719999999982</f>
        <v>1526.0804320000002</v>
      </c>
      <c r="AA200" s="3">
        <f>1387.3+(796.9-239.4)+(-3.537615+(-2.032095--0.61047))+0-400--1.01999999999994</f>
        <v>1540.86076</v>
      </c>
      <c r="AB200" s="3">
        <f>1362.2+(787.3-222.6)+(-2.084166+(-1.204569--0.340578))+0-431.1--0.659583000000025</f>
        <v>1493.511426</v>
      </c>
      <c r="AC200" s="3">
        <f>1277+(810.8-261.5)+(-1.95381+(-1.240524--0.400095))+0-432.4--0.661572000000025</f>
        <v>1391.7673329999998</v>
      </c>
      <c r="AD200">
        <v>1690.2000000000003</v>
      </c>
      <c r="AE200" s="3">
        <f>1678+(897.5-441.2)+(0+(0-0))+0-444.1-0</f>
        <v>1690.2000000000003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1079.6+(899.3-216.6)+(1.101192+(0.917286-0.220932))+0-436-0.44472000000007</f>
        <v>1327.6528259999998</v>
      </c>
      <c r="G201" s="3">
        <f>997.5+(1019.9-273.6)+(0+(0-0))+0-435.5-0</f>
        <v>1308.3</v>
      </c>
      <c r="H201" s="3">
        <f>997.2+(1005.2-332.8)+(-1.017144+(-1.025304--0.339456))+0-432.9--0.441558000000069</f>
        <v>1235.4385660000003</v>
      </c>
      <c r="I201" s="3">
        <f>997.7+(986.6-370.5)+(0.508827+(0.503166-0.188955))+0-426.9-0.217718999999957</f>
        <v>1187.5053190000001</v>
      </c>
      <c r="J201" s="3">
        <f>997.7+(954.9-349.9)+(0.508827+(0.486999-0.178449))+0-405.6-0.206855999999959</f>
        <v>1197.7105210000002</v>
      </c>
      <c r="K201" s="3">
        <f>998.2+(960-342.2)+(-0.509082+(-0.4896--0.174522))+0-403--0.205529999999959</f>
        <v>1212.3813700000001</v>
      </c>
      <c r="L201" s="3">
        <f>997.3+(960-424.7)+(0+(0-0))+0-393.3-0</f>
        <v>1139.3</v>
      </c>
      <c r="M201" s="3">
        <f>997.2+(1095.8-574)+(0+(0-0))+0-395.2-0</f>
        <v>1123.8</v>
      </c>
      <c r="N201" s="3">
        <f>1065.9+(1097.5-553.9)+(-3.261654+(-3.35835--1.694934))+0-388.6--1.18911600000004</f>
        <v>1217.1640459999999</v>
      </c>
      <c r="O201" s="3">
        <f>1190+(1062.7-578.7)+(-0.6069+(-0.541977--0.295137))+0-393.4--0.20063399999996</f>
        <v>1279.9468939999999</v>
      </c>
      <c r="P201" s="3">
        <f>1233.1+(828.4-325.1)+(-1.257762+(-0.844968--0.331602))+0-396.6--0.404532000000063</f>
        <v>1338.4334039999999</v>
      </c>
      <c r="Q201" s="3">
        <f>1249+(743-217.2)+(-1.27398+(-0.75786--0.221544))+0-393.1--0.400962000000063</f>
        <v>1380.2906659999999</v>
      </c>
      <c r="R201" s="3">
        <f>1278.1+(944.5-464.6)+(-2.607324+(-1.92678--0.947784))+0-390.5--0.796619999999983</f>
        <v>1364.7103000000002</v>
      </c>
      <c r="S201" s="3">
        <f>1322.7+(1213.5-815.4)+(-1.349154+(-1.23777--0.831708))+0-397.5--0.405450000000063</f>
        <v>1321.9502340000001</v>
      </c>
      <c r="T201" s="3">
        <f>1396.5+(1412-1080.9)+(-1.42443+(-1.44024--1.102518))+0-399.6--0.407592000000064</f>
        <v>1326.6454399999998</v>
      </c>
      <c r="U201" s="3">
        <f>1393.7+(1175-868.7)+(-4.264722+(-3.5955--2.658222))+0-399.6--1.22277600000005</f>
        <v>1296.4207759999999</v>
      </c>
      <c r="V201" s="3">
        <f>1397+(898.9-604.8)+(-2.84988+(-1.833756--1.233792))+0-394--0.803759999999983</f>
        <v>1294.4539159999999</v>
      </c>
      <c r="W201" s="3">
        <f>1401.1+(652.9-393.4)+(-2.143683+(-0.998937--0.601902))+0-398.8--0.610164000000023</f>
        <v>1259.8694459999999</v>
      </c>
      <c r="X201" s="3">
        <f>1423.4+(890.6-353.9)+(-4.355604+(-2.725236--1.082934))+0-399.3--1.22185800000005</f>
        <v>1556.0239520000002</v>
      </c>
      <c r="Y201" s="3">
        <f>1426.1+(813.5-264.5)+(-3.636555+(-2.074425--0.674475))+0-398--1.01489999999994</f>
        <v>1573.0783949999998</v>
      </c>
      <c r="Z201" s="3">
        <f>1418.1+(801-282.6)+(-2.892924+(-1.63404--0.576504))+0-400.1--0.816203999999983</f>
        <v>1533.265744</v>
      </c>
      <c r="AA201" s="3">
        <f>1364.1+(806-261.1)+(-2.782764+(-1.64424--0.532644))+0-398--0.811919999999983</f>
        <v>1507.9175599999999</v>
      </c>
      <c r="AB201" s="3">
        <f>1365.3+(846.9-352.6)+(0+(0-0))+0-395.5-0</f>
        <v>1464.1</v>
      </c>
      <c r="AC201" s="3">
        <f>1315.2+(1112.4-663.1)+(-3.35376+(-2.83662--1.690905))+0-399.3--1.01821499999994</f>
        <v>1361.7187399999998</v>
      </c>
      <c r="AD201">
        <v>1592.3</v>
      </c>
      <c r="AE201" s="3">
        <f>1426+(906.7-335.6)+(0+(0-0))+0-404.8-0</f>
        <v>1592.3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1095+(1152.6-597)+(-2.2338+(-2.351304--1.21788))+0-399.2--0.814367999999983</f>
        <v>1248.8471439999998</v>
      </c>
      <c r="G202" s="3">
        <f>1037.4+(1319.9-709.4)+(-2.116296+(-2.692596--1.447176))+0-399.1--0.814163999999983</f>
        <v>1246.2524480000002</v>
      </c>
      <c r="H202" s="3">
        <f>1036.9+(1249.1-708.4)+(-0.528819+(-0.637041--0.361284))+0-402.4--0.205223999999959</f>
        <v>1174.6006479999999</v>
      </c>
      <c r="I202" s="3">
        <f>1037.1+(1073.1-591.7)+(-1.057842+(-1.094562--0.603534))+0-403.6--0.411672000000064</f>
        <v>1113.7628019999995</v>
      </c>
      <c r="J202" s="3">
        <f>1036.7+(1109.4-599.4)+(0+(0-0))+0-399.6-0</f>
        <v>1147.1000000000004</v>
      </c>
      <c r="K202" s="3">
        <f>1036.1+(1040.1-513.5)+(0.528411+(0.530451-0.261885))+0-404.5-0.206294999999959</f>
        <v>1158.7906819999998</v>
      </c>
      <c r="L202" s="3">
        <f>1037.8+(1109.9-580.2)+(0.529278+(0.566049-0.295902))+0-405.8-0.206957999999959</f>
        <v>1162.292467</v>
      </c>
      <c r="M202" s="3">
        <f>1048.1+(1222.7-590.1)+(-0.534531+(-0.623577--0.300951))+0-396.8--0.20236799999996</f>
        <v>1283.2452109999999</v>
      </c>
      <c r="N202" s="3">
        <f>1173.9+(1092.6-412.3)+(-0.598689+(-0.557226--0.210273))+0-401.7--0.204866999999959</f>
        <v>1451.759225</v>
      </c>
      <c r="O202" s="3">
        <f>1239.4+(1043.5-342.1)+(-1.264188+(-1.06437--0.348942))+0-408.9--0.417078000000065</f>
        <v>1530.3374620000002</v>
      </c>
      <c r="P202" s="3">
        <f>1272.2+(979.7-280.2)+(0+(0-0))+0-408.4-0</f>
        <v>1563.3000000000002</v>
      </c>
      <c r="Q202" s="3">
        <f>1382.5+(931.1-341.3)+(-2.115225+(-1.424583--0.522189))+0-406.9--0.622557000000023</f>
        <v>1563.0049379999998</v>
      </c>
      <c r="R202" s="3">
        <f>1395.8+(954.1-449.3)+(-3.55929+(-2.432955--1.145715))+0-410.3--1.04626499999994</f>
        <v>1486.4997349999999</v>
      </c>
      <c r="S202" s="3">
        <f>1397.4+(1269.8-791.2)+(-2.138022+(-1.942794--1.210536))+0-407.7--0.623781000000024</f>
        <v>1466.0535009999999</v>
      </c>
      <c r="T202" s="3">
        <f>1397.3+(1273.9-780.9)+(0+(0-0))+0-406.7-0</f>
        <v>1483.6000000000001</v>
      </c>
      <c r="U202" s="3">
        <f>1397.4+(1230.6-722.8)+(-1.425348+(-1.255212--0.737256))+0-405.1--0.413202000000065</f>
        <v>1498.569898</v>
      </c>
      <c r="V202" s="3">
        <f>1397.1+(989.5-480.3)+(-2.137563+(-1.513935--0.734859))+0-407.6--0.623628000000024</f>
        <v>1496.4069889999998</v>
      </c>
      <c r="W202" s="3">
        <f>1506.6+(949.5-527.2)+(-0.768366+(-0.484245--0.268872))+0-406.2--0.207161999999959</f>
        <v>1521.9234229999997</v>
      </c>
      <c r="X202" s="3">
        <f>1652.1+(1113.2-648.3)+(-4.212855+(-2.83866--1.653165))+0-394.4--1.00571999999994</f>
        <v>1718.2073699999999</v>
      </c>
      <c r="Y202" s="3">
        <f>1655.6+(920.2-480.7)+(-3.377424+(-1.877208--0.980628))+0-391.5--0.798659999999983</f>
        <v>1700.124656</v>
      </c>
      <c r="Z202" s="3">
        <f>1547.2+(938.6-444.9)+(-0.789072+(-0.478686--0.226899))+0-401.2--0.204611999999959</f>
        <v>1638.8637530000001</v>
      </c>
      <c r="AA202" s="3">
        <f>1489.2+(1236.9-751.4)+(-3.79746+(-3.154095--1.91607))+0-395--1.00724999999994</f>
        <v>1575.6717650000001</v>
      </c>
      <c r="AB202" s="3">
        <f>1391+(1287.4-784.8)+(-2.83764+(-2.626296--1.600992))+0-387.5--0.790499999999983</f>
        <v>1503.0275560000002</v>
      </c>
      <c r="AC202" s="3">
        <f>1293.5+(1805.2-1300)+(-3.298425+(-4.60326--3.315))+0-381.3--0.972314999999945</f>
        <v>1413.7856300000001</v>
      </c>
      <c r="AD202">
        <v>1746.8000000000002</v>
      </c>
      <c r="AE202" s="3">
        <f>1649+(1202.1-694.8)+(0+(0-0))+0-409.5-0</f>
        <v>1746.8000000000002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1210.2+(1716.9-1198.2)+(-0.617202+(-0.875619--0.611082))+0-383.7--0.195686999999961</f>
        <v>1344.513948</v>
      </c>
      <c r="G203" s="3">
        <f>1175.5+(1506.7-990.1)+(-2.997525+(-3.842085--2.524755))+0-389.2--0.992459999999944</f>
        <v>1299.5776049999997</v>
      </c>
      <c r="H203" s="3">
        <f>1175.6+(1365.6-885.6)+(-0.599556+(-0.696456--0.451656))+0-392.9--0.20037899999996</f>
        <v>1262.0560229999996</v>
      </c>
      <c r="I203" s="3">
        <f>1174.4+(1167.6-692.5)+(-0.598944+(-0.595476--0.353175))+0-405.1--0.206600999999959</f>
        <v>1243.7653559999999</v>
      </c>
      <c r="J203" s="3">
        <f>1174.8+(1076.7-620.8)+(-1.198296+(-1.098234--0.633216))+0-400.8--0.408816000000064</f>
        <v>1228.6455020000003</v>
      </c>
      <c r="K203" s="3">
        <f>1175+(1003.1-539.8)+(-1.79775+(-1.534743--0.825894))+0-401.1--0.613683000000023</f>
        <v>1235.307084</v>
      </c>
      <c r="L203" s="3">
        <f>1174.5+(980.3-523)+(-0.598995+(-0.499953--0.26673))+0-405.1--0.206600999999959</f>
        <v>1226.0743829999997</v>
      </c>
      <c r="M203" s="3">
        <f>1174.3+(1082-535.1)+(-0.598893+(-0.55182--0.272901))+0-401--0.204509999999959</f>
        <v>1319.5266979999999</v>
      </c>
      <c r="N203" s="3">
        <f>1174.8+(1181.9-501.2)+(1.198296+(1.205538-0.511224))+0-406.3-0.414426000000065</f>
        <v>1450.6781840000001</v>
      </c>
      <c r="O203" s="3">
        <f>1192.6+(1025.4-302.7)+(-1.216452+(-1.045908--0.308754))+0-400.8--0.408816000000064</f>
        <v>1512.9552100000001</v>
      </c>
      <c r="P203" s="3">
        <f>1308.8+(949.7-309.8)+(-0.667488+(-0.484347--0.157998))+0-405.7--0.206906999999959</f>
        <v>1542.21307</v>
      </c>
      <c r="Q203" s="3">
        <f>1389.5+(1005.9-440.7)+(-1.41729+(-1.026018--0.449514))+0-403.3--0.411366000000064</f>
        <v>1549.8175720000002</v>
      </c>
      <c r="R203" s="3">
        <f>1396.1+(1280-785.7)+(-2.136033+(-1.9584--1.202121))+0-404.7--0.619191000000023</f>
        <v>1483.4268789999999</v>
      </c>
      <c r="S203" s="3">
        <f>1399+(1400.6-950.3)+(-2.85396+(-2.857224--1.938612))+0-397.1--0.810083999999983</f>
        <v>1449.2375119999999</v>
      </c>
      <c r="T203" s="3">
        <f>1398.6+(1340.5-851.4)+(-0.713286+(-0.683655--0.434214))+0-401.7--0.204866999999959</f>
        <v>1485.2421399999996</v>
      </c>
      <c r="U203" s="3">
        <f>1397.7+(1282-776.3)+(-3.564135+(-3.2691--1.979565))+0-402.5--1.02637499999994</f>
        <v>1497.072705</v>
      </c>
      <c r="V203" s="3">
        <f>1400.5+(734.9-217)+(-2.142765+(-1.124397--0.33201))+0-409.7--0.626841000000024</f>
        <v>1506.391689</v>
      </c>
      <c r="W203" s="3">
        <f>1476.4+(548.9-122.6)+(0.752964+(0.279939-0.062526))+0-408.6-0.208385999999959</f>
        <v>1494.861991</v>
      </c>
      <c r="X203" s="3">
        <f>1638.4+(652.7-206.2)+(-1.671168+(-0.665754--0.210324))+0-410.2--0.418404000000065</f>
        <v>1672.9918060000002</v>
      </c>
      <c r="Y203" s="3">
        <f>1657.2+(670-215.2)+(-3.380688+(-1.3668--0.439008))+0-408.6--0.833543999999982</f>
        <v>1699.925064</v>
      </c>
      <c r="Z203" s="3">
        <f>1639.6+(614.2-228.9)+(-3.344784+(-1.252968--0.466956))+0-409.1--0.834563999999982</f>
        <v>1612.5037680000003</v>
      </c>
      <c r="AA203" s="3">
        <f>1541.5+(742-283.5)+(-1.57233+(-0.75684--0.28917))+0-409.9--0.418098000000065</f>
        <v>1588.478098</v>
      </c>
      <c r="AB203" s="3">
        <f>1437.5+(824.6-435.5)+(-1.46625+(-0.841092--0.44421))+0-383.6--0.391272000000061</f>
        <v>1441.5281400000001</v>
      </c>
      <c r="AC203" s="3">
        <f>1265.8+(834.8-303.1)+(-3.22779+(-2.12874--0.772905))+0-379.1--0.966704999999945</f>
        <v>1414.7830799999999</v>
      </c>
      <c r="AD203">
        <v>1729.9999999999998</v>
      </c>
      <c r="AE203" s="3">
        <f>1661+(716.2-226)+(0+(0-0))+0-421.2-0</f>
        <v>1729.9999999999998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1176+(944.8-442.3)+(-1.19952+(-0.963696--0.451146))+0-379.8--0.387396000000061</f>
        <v>1297.3753260000001</v>
      </c>
      <c r="G204" s="3">
        <f>1176+(1028.2-520.8)+(-1.79928+(-1.573146--0.796824))+0-381.9--0.584307000000022</f>
        <v>1299.5087050000002</v>
      </c>
      <c r="H204" s="3">
        <f>1176.2+(1023-573.1)+(0+(0-0))+0-380.4-0</f>
        <v>1245.6999999999998</v>
      </c>
      <c r="I204" s="3">
        <f>1175.9+(944.5-497.6)+(0+(0-0))+0-381.2-0</f>
        <v>1241.6000000000001</v>
      </c>
      <c r="J204" s="3">
        <f>1175.6+(891.4-461.7)+(-1.798668+(-1.363842--0.706401))+0-379.6--0.580788000000022</f>
        <v>1223.8246790000001</v>
      </c>
      <c r="K204" s="3">
        <f>1175.5+(883.7-448.1)+(0.599505+(0.450687-0.228531))+0-381.8-0.194717999999961</f>
        <v>1229.9269429999999</v>
      </c>
      <c r="L204" s="3">
        <f>1174.9+(822.1-454)+(0+(0-0))+0-379.9-0</f>
        <v>1163.0999999999999</v>
      </c>
      <c r="M204" s="3">
        <f>1174.7+(915.5-346.3)+(-1.198194+(-0.93381--0.353226))+0-381.5--0.389130000000061</f>
        <v>1361.010352</v>
      </c>
      <c r="N204" s="3">
        <f>1178.3+(894.1-220)+(1.802799+(1.367973-0.3366))+0-377.1-0.576963000000022</f>
        <v>1477.5572090000001</v>
      </c>
      <c r="O204" s="3">
        <f>1221.1+(789.9-204.2)+(-1.868283+(-1.208547--0.312426))+0-366.3--0.560439000000021</f>
        <v>1438.2960350000001</v>
      </c>
      <c r="P204" s="3">
        <f>1329.1+(886.9-185)+(-2.711364+(-1.809276--0.3774))+0-342--0.697679999999985</f>
        <v>1685.5544399999999</v>
      </c>
      <c r="Q204" s="3">
        <f>1341.6+(825.7-193.4)+(-2.736864+(-1.684428--0.394536))+0-344.7--0.703187999999985</f>
        <v>1625.876432</v>
      </c>
      <c r="R204" s="3">
        <f>1396.1+(740.6-292.2)+(-3.560055+(-1.88853--0.74511))+0-350.8--0.894539999999949</f>
        <v>1489.891065</v>
      </c>
      <c r="S204" s="3">
        <f>1397.3+(1131.8-693.1)+(0.712623+(0.577218-0.353481))+0-358.7-0.182936999999964</f>
        <v>1478.0534229999998</v>
      </c>
      <c r="T204" s="3">
        <f>1396.5+(967.4-486)+(-2.84886+(-1.973496--0.99144))+0-367.4--0.749495999999984</f>
        <v>1507.41858</v>
      </c>
      <c r="U204" s="3">
        <f>1396.8+(852.6-357.7)+(-3.56184+(-2.17413--0.912135))+0-374.6--0.955229999999946</f>
        <v>1513.2313950000002</v>
      </c>
      <c r="V204" s="3">
        <f>1395.8+(641.3-143.9)+(-2.135574+(-0.981189--0.220167))+0-382--0.584460000000022</f>
        <v>1508.8878639999998</v>
      </c>
      <c r="W204" s="3">
        <f>1423.9+(656-178.2)+(1.452378+(0.66912-0.181764))+0-387.4-0.395148000000062</f>
        <v>1515.8445860000002</v>
      </c>
      <c r="X204" s="3">
        <f>1637.8+(688.6-245.1)+(-4.17639+(-1.75593--0.625005))+0-386.9--0.986594999999944</f>
        <v>1690.0792799999999</v>
      </c>
      <c r="Y204" s="3">
        <f>1614.7+(778.1-328.6)+(-1.646994+(-0.793662--0.335172))+0-367.9--0.375258000000059</f>
        <v>1694.5697739999996</v>
      </c>
      <c r="Z204" s="3">
        <f>1548.3+(759.5-299.9)+(-2.368899+(-1.162035--0.458847))+0-363.2--0.555696000000021</f>
        <v>1642.1836090000002</v>
      </c>
      <c r="AA204" s="3">
        <f>1536+(595.3-175.1)+(-3.13344+(-1.214412--0.357204))+0-363--0.740519999999984</f>
        <v>1589.9498719999999</v>
      </c>
      <c r="AB204" s="3">
        <f>1330.7+(657.3-116.6)+(0+(0-0))+0-367.6-0</f>
        <v>1503.8000000000002</v>
      </c>
      <c r="AC204" s="3">
        <f>1302.5+(794.5-289.2)+(-2.6571+(-1.62078--0.589968))+0-401.3--0.818651999999983</f>
        <v>1403.6307399999998</v>
      </c>
      <c r="AD204">
        <v>1817.1</v>
      </c>
      <c r="AE204" s="3">
        <f>1655+(799.7-253.7)+(0+(0-0))+0-383.9-0</f>
        <v>1817.1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1294.2+(1268.6-827.1)+(0+(0-0))+0-424-0</f>
        <v>1311.6999999999998</v>
      </c>
      <c r="G205" s="3">
        <f>1206.8+(1489.9-996.1)+(-1.846404+(-2.279547--1.524033))+0-423.1--0.647343000000025</f>
        <v>1275.5454249999998</v>
      </c>
      <c r="H205" s="3">
        <f>1182+(853.8-374.4)+(1.20564+(0.870876-0.381888))+0-412.8-0.421056000000066</f>
        <v>1249.873572</v>
      </c>
      <c r="I205" s="3">
        <f>1175.9+(858.9-392.3)+(-1.799127+(-1.314117--0.600219))+0-409--0.625770000000024</f>
        <v>1231.6127450000001</v>
      </c>
      <c r="J205" s="3">
        <f>1176.4+(924.6-467.5)+(0+(0-0))+0-382.3-0</f>
        <v>1251.2</v>
      </c>
      <c r="K205" s="3">
        <f>1175.8+(750-273.2)+(-1.798974+(-1.1475--0.417996))+0-424--0.648720000000025</f>
        <v>1226.7202419999999</v>
      </c>
      <c r="L205" s="3">
        <f>1176+(607.2-146.9)+(-1.19952+(-0.619344--0.149838))+0-412.1--0.420342000000066</f>
        <v>1222.9513160000004</v>
      </c>
      <c r="M205" s="3">
        <f>1176.3+(696.6-134.6)+(1.199826+(0.710532-0.137292))+0-420.4-0.428808000000067</f>
        <v>1319.2442579999997</v>
      </c>
      <c r="N205" s="3">
        <f>1177.9+(799-118.7)+(-0.600729+(-0.40749--0.060537))+0-415.8--0.212057999999958</f>
        <v>1441.6643760000002</v>
      </c>
      <c r="O205" s="3">
        <f>1187.5+(832.3-95.3)+(0+(0-0))+0-415.2-0</f>
        <v>1509.3</v>
      </c>
      <c r="P205" s="3">
        <f>1186.4+(919-145.4)+(-0.605064+(-0.46869--0.074154))+0-376.1--0.191810999999962</f>
        <v>1583.0922109999999</v>
      </c>
      <c r="Q205" s="3">
        <f>1277.8+(948.1-250.4)+(-1.955034+(-1.450593--0.383112))+0-421.6--0.645048000000024</f>
        <v>1551.5225330000001</v>
      </c>
      <c r="R205" s="3">
        <f>1397.2+(1088.3-539)+(-2.850288+(-2.220132--1.09956))+0-415.9--0.848435999999982</f>
        <v>1527.477576</v>
      </c>
      <c r="S205" s="3">
        <f>1399.3+(1307.1-821.4)+(-1.427286+(-1.333242--0.837828))+0-378.6--0.38617200000006</f>
        <v>1504.863472</v>
      </c>
      <c r="T205" s="3">
        <f>1399.2+(1337.1-803.3)+(-1.427184+(-1.363842--0.819366))+0-384.8--0.392496000000061</f>
        <v>1546.6208360000003</v>
      </c>
      <c r="U205" s="3">
        <f>1399.3+(984.7-444.3)+(-2.854572+(-2.008788--0.906372))+0-422--0.860879999999982</f>
        <v>1514.6038920000001</v>
      </c>
      <c r="V205" s="3">
        <f>1398.7+(686.3-152.3)+(-2.140011+(-1.050039--0.233019))+0-423.6--0.648108000000025</f>
        <v>1506.7910770000001</v>
      </c>
      <c r="W205" s="3">
        <f>1491.2+(510.6-115.9)+(0+(0-0))+0-423.3-0</f>
        <v>1462.6000000000001</v>
      </c>
      <c r="X205" s="3">
        <f>1652.4+(654-212.7)+(-2.528172+(-1.00062--0.325431))+0-427.4--0.653922000000025</f>
        <v>1663.7505610000003</v>
      </c>
      <c r="Y205" s="3">
        <f>1653.3+(733.5-291.3)+(-1.686366+(-0.74817--0.297126))+0-426.2--0.434724000000068</f>
        <v>1667.5973140000001</v>
      </c>
      <c r="Z205" s="3">
        <f>1648.8+(830.7-396.1)+(-3.363552+(-1.694628--0.808044))+0-419.7--0.856187999999982</f>
        <v>1660.3060519999999</v>
      </c>
      <c r="AA205" s="3">
        <f>1476+(766.5-212)+(-2.25828+(-1.172745--0.32436))+0-420--0.642600000000024</f>
        <v>1608.0359350000001</v>
      </c>
      <c r="AB205" s="3">
        <f>1305.6+(769.3-249.5)+(-3.32928+(-1.961715--0.636225))+0-413.7--1.05493499999994</f>
        <v>1408.1001649999996</v>
      </c>
      <c r="AC205" s="3">
        <f>1272.9+(772.5-277)+(-3.245895+(-1.969875--0.70635))+0-416.9--1.06309499999994</f>
        <v>1348.0536750000001</v>
      </c>
      <c r="AD205">
        <v>1735.1999999999996</v>
      </c>
      <c r="AE205" s="3">
        <f>1650+(725.7-206.3)+(0+(0-0))+0-434.2-0</f>
        <v>1735.2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1177.6+(1513.4-943.7)+(-2.402304+(-3.087336--1.925148))+0-389.5--0.794579999999983</f>
        <v>1355.030088</v>
      </c>
      <c r="G206" s="3">
        <f>1173.1+(1753.8-1217.4)+(-1.794843+(-2.683314--1.862622))+0-378.1--0.578493000000022</f>
        <v>1329.3629579999997</v>
      </c>
      <c r="H206" s="3">
        <f>1152.2+(1584.1-1042.7)+(-1.762866+(-2.423673--1.595331))+0-418.7--0.640611000000024</f>
        <v>1272.9494029999998</v>
      </c>
      <c r="I206" s="3">
        <f>1122.8+(1479.8-947.3)+(-1.717884+(-2.264094--1.449369))+0-406.5--0.621945000000024</f>
        <v>1246.889336</v>
      </c>
      <c r="J206" s="3">
        <f>1124.4+(1428-895.7)+(1.146888+(1.45656-0.913614))+0-426.9-0.435438000000068</f>
        <v>1231.054396</v>
      </c>
      <c r="K206" s="3">
        <f>1123.3+(1156-602.7)+(-1.145766+(-1.17912--0.614754))+0-425.1--0.433602000000068</f>
        <v>1250.2234699999999</v>
      </c>
      <c r="L206" s="3">
        <f>1124+(950.6-398.7)+(-1.14648+(-0.969612--0.406674))+0-415.6--0.423912000000066</f>
        <v>1259.0144940000002</v>
      </c>
      <c r="M206" s="3">
        <f>1126.5+(975.5-334.6)+(0.574515+(0.497505-0.170646))+0-418.1-0.213230999999958</f>
        <v>1349.9881430000003</v>
      </c>
      <c r="N206" s="3">
        <f>1173.3+(914-204)+(0+(0-0))+0-427.5-0</f>
        <v>1455.8</v>
      </c>
      <c r="O206" s="3">
        <f>1214.1+(1130.6-404.7)+(-0.619191+(-0.576606--0.206397))+0-413.8--0.211037999999958</f>
        <v>1525.4216379999998</v>
      </c>
      <c r="P206" s="3">
        <f>1306.1+(1055.9-419.5)+(-1.332222+(-1.077018--0.42789))+0-400.8--0.408816000000064</f>
        <v>1540.1274660000001</v>
      </c>
      <c r="Q206" s="3">
        <f>1399.9+(1022.4-470.7)+(-1.427898+(-1.042848--0.480114))+0-391--0.398820000000062</f>
        <v>1559.0081880000002</v>
      </c>
      <c r="R206" s="3">
        <f>1399.8+(1070.6-558.4)+(-3.56949+(-2.73003--1.42392))+0-419.4--1.06946999999994</f>
        <v>1488.79387</v>
      </c>
      <c r="S206" s="3">
        <f>1409.7+(1358.1-902.3)+(-0.718947+(-0.692631--0.460173))+0-424.5--0.216494999999957</f>
        <v>1440.2650899999999</v>
      </c>
      <c r="T206" s="3">
        <f>1454.3+(1446-984.7)+(-2.225079+(-2.21238--1.506591))+0-438.4--0.670752000000025</f>
        <v>1474.9398839999999</v>
      </c>
      <c r="U206" s="3">
        <f>1459.4+(1060-610.9)+(-2.977176+(-2.1624--1.246236))+0-426.9--0.870875999999981</f>
        <v>1478.5775359999998</v>
      </c>
      <c r="V206" s="3">
        <f>1470.2+(567.6-130.2)+(-2.249406+(-0.868428--0.199206))+0-429.6--0.657288000000025</f>
        <v>1475.7386600000002</v>
      </c>
      <c r="W206" s="3">
        <f>1592.6+(446.2-110.6)+(-0.812226+(-0.227562--0.056406))+0-430.5--0.219554999999956</f>
        <v>1496.9361729999998</v>
      </c>
      <c r="X206" s="3">
        <f>1780.6+(533.9-178.9)+(0+(0-0))+0-418.7-0</f>
        <v>1716.8999999999999</v>
      </c>
      <c r="Y206" s="3">
        <f>1790.1+(563.3-225.3)+(-4.564755+(-1.436415--0.574515))+0-429.2--1.09445999999994</f>
        <v>1694.5678049999997</v>
      </c>
      <c r="Z206" s="3">
        <f>1711.8+(553.8-207.3)+(-0.873018+(-0.282438--0.105723))+0-429.4--0.218993999999956</f>
        <v>1628.0692609999999</v>
      </c>
      <c r="AA206" s="3">
        <f>1552.4+(618.3-183.9)+(-3.166896+(-1.261332--0.375156))+0-429.6--0.876383999999981</f>
        <v>1554.023312</v>
      </c>
      <c r="AB206" s="3">
        <f>1455.2+(670-157.3)+(-2.226456+(-1.0251--0.240669))+0-438.4--0.670752000000025</f>
        <v>1527.1598650000001</v>
      </c>
      <c r="AC206" s="3">
        <f>1380.2+(878.5-396.8)+(-3.51951+(-2.240175--1.01184))+0-435.6--1.11077999999994</f>
        <v>1422.6629349999998</v>
      </c>
      <c r="AD206">
        <v>1778.4</v>
      </c>
      <c r="AE206" s="3">
        <f>1798+(573.7-164.2)+(0+(0-0))+0-429.1-0</f>
        <v>1778.4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1354.8+(1315.7-883.8)+(0+(0-0))+0-430.7-0</f>
        <v>1356</v>
      </c>
      <c r="G207" s="3">
        <f>1329.7+(1233.8-875.4)+(0+(0-0))+0-424-0</f>
        <v>1264.0999999999999</v>
      </c>
      <c r="H207" s="3">
        <f>1328+(1313.9-979.2)+(0.67728+(0.670089-0.499392))+0-423.8-0.216137999999957</f>
        <v>1239.531839</v>
      </c>
      <c r="I207" s="3">
        <f>1327.5+(1336.8-1025.2)+(-1.35405+(-1.363536--1.045704))+0-415.7--0.424014000000066</f>
        <v>1222.1521319999999</v>
      </c>
      <c r="J207" s="3">
        <f>1327.9+(1348.8-1026.3)+(0+(0-0))+0-413.5-0</f>
        <v>1236.9000000000001</v>
      </c>
      <c r="K207" s="3">
        <f>1326.8+(1159-823.2)+(-3.38334+(-2.95545--2.09916))+0-417--1.06334999999994</f>
        <v>1242.4237199999998</v>
      </c>
      <c r="L207" s="3">
        <f>1327.6+(1113.9-789.9)+(-1.354152+(-1.136178--0.805698))+0-415.6--0.423912000000066</f>
        <v>1234.73928</v>
      </c>
      <c r="M207" s="3">
        <f>1327.4+(925.7-535.6)+(2.030922+(1.416321-0.819468))+0-388.8-0.594864000000022</f>
        <v>1330.7329110000001</v>
      </c>
      <c r="N207" s="3">
        <f>1344.9+(801-313.2)+(0+(0-0))+0-410.1-0</f>
        <v>1422.6</v>
      </c>
      <c r="O207" s="3">
        <f>1496.2+(738.2-292.4)+(-1.526124+(-0.752964--0.298248))+0-422.8--0.431256000000067</f>
        <v>1517.6504160000002</v>
      </c>
      <c r="P207" s="3">
        <f>1545.9+(776.5-376.6)+(1.576818+(0.79203-0.384132))+0-379.1-0.38668200000006</f>
        <v>1568.2980340000001</v>
      </c>
      <c r="Q207" s="3">
        <f>1702.9+(1207.6-916.8)+(-2.605437+(-1.847628--1.402704))+0-410.8--0.628524000000024</f>
        <v>1580.478163</v>
      </c>
      <c r="R207" s="3">
        <f>1714.7+(1374.1-1160.6)+(-0.874497+(-0.700791--0.591906))+0-407--0.207569999999959</f>
        <v>1520.4241880000002</v>
      </c>
      <c r="S207" s="3">
        <f>1714.1+(1642.2-1484.6)+(1.748382+(1.675044-1.514292))+0-403.6-0.411672000000064</f>
        <v>1469.597462</v>
      </c>
      <c r="T207" s="3">
        <f>1719.2+(1646.3-1509)+(0.876792+(0.839613-0.76959))+0-398.9-0.20343899999996</f>
        <v>1458.3433760000003</v>
      </c>
      <c r="U207" s="3">
        <f>1754.3+(1469.7-1365.3)+(-4.473465+(-3.747735--3.481515))+0-398.6--1.01642999999994</f>
        <v>1456.3767449999998</v>
      </c>
      <c r="V207" s="3">
        <f>1655.7+(998.2-810)+(-0.844407+(-0.509082--0.4131))+0-400.1--0.204050999999959</f>
        <v>1443.0636619999998</v>
      </c>
      <c r="W207" s="3">
        <f>1652.5+(528.6-305.8)+(0+(0-0))+0-387.1-0</f>
        <v>1488.1999999999998</v>
      </c>
      <c r="X207" s="3">
        <f>1714.4+(626.4-275.8)+(-2.623032+(-0.958392--0.421974))+0-396.1--0.606033000000023</f>
        <v>1666.346583</v>
      </c>
      <c r="Y207" s="3">
        <f>1731.8+(603.6-281.2)+(-3.532872+(-1.231344--0.573648))+0-409.2--0.834767999999982</f>
        <v>1641.6441999999997</v>
      </c>
      <c r="Z207" s="3">
        <f>1729.5+(569.9-298.1)+(-4.410225+(-1.453245--0.760155))+0-409--1.04294999999994</f>
        <v>1588.2396349999999</v>
      </c>
      <c r="AA207" s="3">
        <f>1730.2+(845.6-610.6)+(-1.764804+(-0.862512--0.622812))+0-410.9--0.419118000000065</f>
        <v>1552.7146140000002</v>
      </c>
      <c r="AB207" s="3">
        <f>1716.6+(1296.4-1104.6)+(-0.875466+(-0.661164--0.563346))+0-409.6--0.208895999999958</f>
        <v>1498.0356119999999</v>
      </c>
      <c r="AC207" s="3">
        <f>1540.1+(1553.2-1261.1)+(-0.785451+(-0.792132--0.643161))+0-406.3--0.207212999999959</f>
        <v>1425.172791</v>
      </c>
      <c r="AD207">
        <v>1642.7999999999997</v>
      </c>
      <c r="AE207" s="3">
        <f>1702+(652.6-296.3)+(0+(0-0))+0-415.5-0</f>
        <v>1642.8000000000002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1481.9+(1701.4-1439.7)+(0+(0-0))+0-407.3-0</f>
        <v>1336.3000000000002</v>
      </c>
      <c r="G208" s="3">
        <f>1479.7+(1812.1-1586.5)+(0+(0-0))+0-411.1-0</f>
        <v>1294.1999999999998</v>
      </c>
      <c r="H208" s="3">
        <f>1471.4+(1655.3-1456.8)+(0.750414+(0.844203-0.742968))+0-411.3-0.209762999999958</f>
        <v>1259.241886</v>
      </c>
      <c r="I208" s="3">
        <f>1437.6+(1569.3-1374.5)+(0+(0-0))+0-392.7-0</f>
        <v>1239.6999999999998</v>
      </c>
      <c r="J208" s="3">
        <f>1435.4+(1394.6-1188.3)+(1.464108+(1.422492-1.212066))+0-412.4-0.420648000000066</f>
        <v>1230.5538859999999</v>
      </c>
      <c r="K208" s="3">
        <f>1407.9+(1154.5-929.4)+(-1.436058+(-1.17759--0.947988))+0-404.8--0.412896000000065</f>
        <v>1226.9472360000002</v>
      </c>
      <c r="L208" s="3">
        <f>1361.8+(1170-960)+(-1.389036+(-1.1934--0.9792))+0-403.3--0.411366000000064</f>
        <v>1167.3081300000001</v>
      </c>
      <c r="M208" s="3">
        <f>1330.8+(1358-1090.2)+(2.036124+(2.07774-1.668006))+0-406.3-0.621639000000023</f>
        <v>1194.124219</v>
      </c>
      <c r="N208" s="3">
        <f>1312.8+(1633.2-1280.5)+(0.669528+(0.832932-0.653055))+0-410.9-0.209558999999958</f>
        <v>1255.2398459999999</v>
      </c>
      <c r="O208" s="3">
        <f>1287.5+(1229.3-802.4)+(-1.31325+(-1.253886--0.818448))+0-413.5--0.421770000000066</f>
        <v>1299.5730820000003</v>
      </c>
      <c r="P208" s="3">
        <f>1237.7+(1322.4-798)+(0+(0-0))+0-414.8-0</f>
        <v>1347.3000000000002</v>
      </c>
      <c r="Q208" s="3">
        <f>1252.3+(1192-662.1)+(-3.193365+(-3.0396--1.688355))+0-418.2--1.06640999999994</f>
        <v>1360.5217999999998</v>
      </c>
      <c r="R208" s="3">
        <f>1237.5+(1294.8-786.8)+(-1.893375+(-1.981044--1.203804))+0-419--0.641070000000024</f>
        <v>1324.4704550000001</v>
      </c>
      <c r="S208" s="3">
        <f>1237.7+(1625.5-1150.3)+(1.262454+(1.65801-1.173306))+0-420.8-0.429216000000067</f>
        <v>1293.417942</v>
      </c>
      <c r="T208" s="3">
        <f>1237.4+(1911.8-1437.1)+(-3.786444+(-5.850108--4.397526))+0-423.9--1.29713400000005</f>
        <v>1284.2581080000002</v>
      </c>
      <c r="U208" s="3">
        <f>1238.5+(1692.8-1208.6)+(0+(0-0))+0-426.3-0</f>
        <v>1296.4000000000001</v>
      </c>
      <c r="V208" s="3">
        <f>1238+(1317.8-837.9)+(0+(0-0))+0-425.3-0</f>
        <v>1292.6000000000001</v>
      </c>
      <c r="W208" s="3">
        <f>1309.6+(1134.4-661.2)+(0.667896+(0.578544-0.337212))+0-419.7-0.214046999999957</f>
        <v>1363.795181</v>
      </c>
      <c r="X208" s="3">
        <f>1473+(1056.3-526.7)+(-2.25369+(-1.616139--0.805851))+0-428.3--0.655299000000025</f>
        <v>1571.8913210000001</v>
      </c>
      <c r="Y208" s="3">
        <f>1520.8+(1053.7-567.2)+(-2.326824+(-1.612161--0.867816))+0-426.7--0.652851000000025</f>
        <v>1578.1816819999999</v>
      </c>
      <c r="Z208" s="3">
        <f>1565.2+(1278.9-870.6)+(0.798252+(0.652239-0.444006))+0-432.6-0.220625999999956</f>
        <v>1541.6858589999999</v>
      </c>
      <c r="AA208" s="3">
        <f>1567.1+(1575.9-1229.1)+(0+(0-0))+0-418.3-0</f>
        <v>1495.6000000000001</v>
      </c>
      <c r="AB208" s="3">
        <f>1567.4+(1571.5-1259.6)+(-2.398122+(-2.404395--1.927188))+0-430--0.657900000000025</f>
        <v>1447.0825710000001</v>
      </c>
      <c r="AC208" s="3">
        <f>1411.8+(2035.4-1677.5)+(-3.60009+(-5.19027--4.277625))+0-408--1.04039999999994</f>
        <v>1358.2276649999999</v>
      </c>
      <c r="AD208">
        <v>1585.1999999999998</v>
      </c>
      <c r="AE208" s="3">
        <f>1511+(992.6-509.7)+(0+(0-0))+0-408.7-0</f>
        <v>1585.2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1172.3+(1850.7-1324.8)+(-2.989365+(-4.719285--3.37824))+0-435.1--1.10950499999994</f>
        <v>1259.8790949999998</v>
      </c>
      <c r="G209" s="3">
        <f>1186.9+(1862.6-1470.2)+(-2.421276+(-3.799704--2.999208))+0-419.3--0.855371999999982</f>
        <v>1157.6335999999999</v>
      </c>
      <c r="H209" s="3">
        <f>1187.9+(1924-1526.2)+(-1.817487+(-2.94372--2.335086))+0-418.3--0.639999000000024</f>
        <v>1165.6138780000001</v>
      </c>
      <c r="I209" s="3">
        <f>1186.9+(2050.5-1615.9)+(0+(0-0))+0-417.5-0</f>
        <v>1204</v>
      </c>
      <c r="J209" s="3">
        <f>1187.5+(1961.7-1482)+(-1.816875+(-3.001401--2.26746))+0-406.6--0.622098000000024</f>
        <v>1258.671282</v>
      </c>
      <c r="K209" s="3">
        <f>1188.2+(1517.4-1023.6)+(-1.817946+(-2.321622--1.566108))+0-406.7--0.622251000000024</f>
        <v>1273.3487909999999</v>
      </c>
      <c r="L209" s="3">
        <f>1186.7+(1148.8-719.3)+(0+(0-0))+0-406.1-0</f>
        <v>1210.0999999999999</v>
      </c>
      <c r="M209" s="3">
        <f>1187.3+(1039.8-572.9)+(0.605523+(0.530298-0.292179))+0-375.6-0.191555999999962</f>
        <v>1279.2520859999997</v>
      </c>
      <c r="N209" s="3">
        <f>1186.8+(1084.5-454.9)+(0.605268+(0.553095-0.231999))+0-374.5-0.190994999999962</f>
        <v>1442.6353690000001</v>
      </c>
      <c r="O209" s="3">
        <f>1186.9+(973.4-274.7)+(1.210638+(0.992868-0.280194))+0-375.8-0.38331600000006</f>
        <v>1511.3399959999999</v>
      </c>
      <c r="P209" s="3">
        <f>1299.6+(799.1-196.4)+(-0.662796+(-0.407541--0.100164))+0-369.6--0.188495999999963</f>
        <v>1531.9183230000001</v>
      </c>
      <c r="Q209" s="3">
        <f>1411.6+(690.2-273.8)+(-1.439832+(-0.704004--0.279276))+0-366--0.373320000000058</f>
        <v>1460.5087600000002</v>
      </c>
      <c r="R209" s="3">
        <f>1411.9+(885.6-490.4)+(0+(0-0))+0-373.2-0</f>
        <v>1433.9</v>
      </c>
      <c r="S209" s="3">
        <f>1411.7+(979.6-637.8)+(-0.719967+(-0.499596--0.325278))+0-355.8--0.181457999999964</f>
        <v>1396.987173</v>
      </c>
      <c r="T209" s="3">
        <f>1411.5+(867.9-452.2)+(0+(0-0))+0-362.1-0</f>
        <v>1465.1</v>
      </c>
      <c r="U209" s="3">
        <f>1410.9+(889.2-487.1)+(-2.158677+(-1.360476--0.745263))+0-364.1--0.557073000000021</f>
        <v>1446.6831830000001</v>
      </c>
      <c r="V209" s="3">
        <f>1412.3+(915.4-478.8)+(-2.160819+(-1.400562--0.732564))+0-367.2--0.561816000000021</f>
        <v>1479.4329989999997</v>
      </c>
      <c r="W209" s="3">
        <f>1481.4+(526.1-102.3)+(0+(0-0))+0-372.4-0</f>
        <v>1532.8000000000002</v>
      </c>
      <c r="X209" s="3">
        <f>1673.6+(581.9-209.6)+(-3.414144+(-1.187076--0.427584))+0-380.2--0.775607999999983</f>
        <v>1662.3019719999998</v>
      </c>
      <c r="Y209" s="3">
        <f>1678.9+(622.4-259)+(0+(0-0))+0-378.6-0</f>
        <v>1663.7000000000003</v>
      </c>
      <c r="Z209" s="3">
        <f>1672.7+(913.2-589.6)+(-3.412308+(-1.862928--1.202784))+0-380.9--0.777035999999983</f>
        <v>1612.1045840000002</v>
      </c>
      <c r="AA209" s="3">
        <f>1549.5+(1364.4-965.5)+(-0.790245+(-0.695844--0.492405))+0-381.6--0.194615999999961</f>
        <v>1566.0009320000001</v>
      </c>
      <c r="AB209" s="3">
        <f>1511.5+(1671.1-1310.3)+(-3.854325+(-4.261305--3.341265))+0-379.2--0.966959999999945</f>
        <v>1489.2925949999999</v>
      </c>
      <c r="AC209" s="3">
        <f>1364.9+(2012.2-1594.7)+(-0.696099+(-1.026222--0.813297))+0-381.1--0.194360999999961</f>
        <v>1400.5853370000002</v>
      </c>
      <c r="AD209">
        <v>1679.2</v>
      </c>
      <c r="AE209" s="3">
        <f>1678+(605.8-220.3)+(0+(0-0))+0-384.3-0</f>
        <v>1679.2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1186.4+(2299-1785.2)+(-3.02532+(-5.86245--4.55226))+0-382.2--0.974609999999944</f>
        <v>1314.6390999999999</v>
      </c>
      <c r="G210" s="3">
        <f>1186.6+(1688-1232.1)+(-0.605166+(-0.86088--0.628371))+0-383.6--0.195635999999961</f>
        <v>1258.2579609999998</v>
      </c>
      <c r="H210" s="3">
        <f>1185.2+(1596-1144.4)+(-1.813356+(-2.44188--1.750932))+0-384.2--0.587826000000022</f>
        <v>1250.6835219999998</v>
      </c>
      <c r="I210" s="3">
        <f>1186.4+(1544.8-1118.5)+(-0.605064+(-0.787848--0.570435))+0-386.3--0.197012999999961</f>
        <v>1225.7745360000001</v>
      </c>
      <c r="J210" s="3">
        <f>1186+(1501-1101.2)+(0+(0-0))+0-367.6-0</f>
        <v>1218.1999999999998</v>
      </c>
      <c r="K210" s="3">
        <f>1185.6+(1397-980.7)+(-1.813968+(-2.13741--1.500471))+0-375.3--0.574209000000022</f>
        <v>1224.7233020000001</v>
      </c>
      <c r="L210" s="3">
        <f>1186.2+(1198.4-775.8)+(0+(0-0))+0-380.3-0</f>
        <v>1228.5000000000002</v>
      </c>
      <c r="M210" s="3">
        <f>1185.2+(1035-532.2)+(0.604452+(0.52785-0.271422))+0-381.5-0.194564999999961</f>
        <v>1307.1663149999999</v>
      </c>
      <c r="N210" s="3">
        <f>1185+(1348.2-672.3)+(0.60435+(0.687582-0.342873))+0-380.5-0.194054999999961</f>
        <v>1481.1550040000002</v>
      </c>
      <c r="O210" s="3">
        <f>1184.6+(1183.5-489)+(0+(0-0))+0-381.8-0</f>
        <v>1497.3</v>
      </c>
      <c r="P210" s="3">
        <f>1225.3+(1085-401.1)+(-0.624903+(-0.55335--0.204561))+0-382.3--0.194972999999961</f>
        <v>1526.1212809999997</v>
      </c>
      <c r="Q210" s="3">
        <f>1399.2+(1009-479.8)+(1.427184+(1.02918-0.489396))+0-382.2-0.389844000000061</f>
        <v>1547.777124</v>
      </c>
      <c r="R210" s="3">
        <f>1530.5+(1147.2-814.9)+(-3.902775+(-2.92536--2.077995))+0-386.9--0.986594999999944</f>
        <v>1472.1364549999998</v>
      </c>
      <c r="S210" s="3">
        <f>1533.4+(1677.5-1351.8)+(0+(0-0))+0-385.9-0</f>
        <v>1473.2000000000003</v>
      </c>
      <c r="T210" s="3">
        <f>1532.2+(1732.3-1383.5)+(-1.562844+(-1.766946--1.41117))+0-387.7--0.395454000000062</f>
        <v>1491.776834</v>
      </c>
      <c r="U210" s="3">
        <f>1530+(1558.6-1224.6)+(-3.9015+(-3.97443--3.12273))+0-366.3--0.934064999999947</f>
        <v>1493.8808649999999</v>
      </c>
      <c r="V210" s="3">
        <f>1521.7+(1130.5-802.6)+(-3.880335+(-2.882775--2.04663))+0-358.4--0.913919999999948</f>
        <v>1487.3974399999997</v>
      </c>
      <c r="W210" s="3">
        <f>1553.4+(544.9-191)+(1.584468+(0.555798-0.19482))+0-377.4-0.38494800000006</f>
        <v>1531.4604980000001</v>
      </c>
      <c r="X210" s="3">
        <f>1676.3+(681.1-282.3)+(-1.709826+(-0.694722--0.287946))+0-375.9--0.38341800000006</f>
        <v>1697.4668159999999</v>
      </c>
      <c r="Y210" s="3">
        <f>1676.4+(707.2-330.2)+(0+(0-0))+0-375.3-0</f>
        <v>1678.1000000000001</v>
      </c>
      <c r="Z210" s="3">
        <f>1676.9+(966.4-656)+(-0.855219+(-0.492864--0.33456))+0-376.6--0.192065999999962</f>
        <v>1609.8785430000003</v>
      </c>
      <c r="AA210" s="3">
        <f>1676.2+(1546.6-1291.4)+(-3.419448+(-3.155064--2.634456))+0-373.7--0.762347999999984</f>
        <v>1554.5222919999999</v>
      </c>
      <c r="AB210" s="3">
        <f>1588.3+(2095-1809.7)+(-3.240132+(-4.2738--3.691788))+0-369.4--0.753575999999984</f>
        <v>1501.1314320000001</v>
      </c>
      <c r="AC210" s="3">
        <f>1556.6+(2355.3-2124.3)+(-4.763196+(-7.207218--6.500358))+0-351.8--1.07650800000004</f>
        <v>1431.4064519999999</v>
      </c>
      <c r="AD210">
        <v>1705.7999999999997</v>
      </c>
      <c r="AE210" s="3">
        <f>1678+(693.6-293.8)+(0+(0-0))+0-372-0</f>
        <v>1705.8000000000002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1318.3+(2157.4-1770)+(-3.361665+(-5.50137--4.5135))+0-359.4--0.916469999999948</f>
        <v>1342.8669349999998</v>
      </c>
      <c r="G211" s="3">
        <f>1190.3+(2103-1657)+(1.821159+(3.21759-2.53521))+0-365-0.558450000000021</f>
        <v>1273.245089</v>
      </c>
      <c r="H211" s="3">
        <f>1186.6+(2085.1-1649.5)+(-3.02583+(-5.317005--4.206225))+0-371.2--0.946559999999946</f>
        <v>1247.8099499999996</v>
      </c>
      <c r="I211" s="3">
        <f>1186.5+(1676.5-1251.6)+(-1.815345+(-2.565045--1.914948))+0-375.3--0.574209000000022</f>
        <v>1234.2087670000003</v>
      </c>
      <c r="J211" s="3">
        <f>1186.5+(1662.5-1248.6)+(-0.605115+(-0.847875--0.636786))+0-378.8--0.193187999999962</f>
        <v>1220.9769840000001</v>
      </c>
      <c r="K211" s="3">
        <f>1187.5+(1421.3-1001.3)+(0.605625+(0.724863-0.510663))+0-376.9-0.192218999999962</f>
        <v>1231.2276059999999</v>
      </c>
      <c r="L211" s="3">
        <f>1186.8+(1040.5-613.5)+(0+(0-0))+0-376-0</f>
        <v>1237.8</v>
      </c>
      <c r="M211" s="3">
        <f>1187.4+(1014.4-511.6)+(0.605574+(0.517344-0.260916))+0-372.7-0.190076999999962</f>
        <v>1318.1719250000001</v>
      </c>
      <c r="N211" s="3">
        <f>1187.7+(1016.8-407.9)+(0.605727+(0.518568-0.208029))+0-356.4-0.181763999999964</f>
        <v>1440.9345020000001</v>
      </c>
      <c r="O211" s="3">
        <f>1185.9+(1193.4-499.7)+(-1.814427+(-1.825902--0.764541))+0-354.9--0.54299700000002</f>
        <v>1522.367209</v>
      </c>
      <c r="P211" s="3">
        <f>1262.4+(1179.1-512)+(1.287648+(1.202682-0.52224))+0-346-0.352920000000055</f>
        <v>1585.11517</v>
      </c>
      <c r="Q211" s="3">
        <f>1403.7+(1121.6-518.6)+(0+(0-0))+0-356.2-0</f>
        <v>1650.4999999999998</v>
      </c>
      <c r="R211" s="3">
        <f>1412.2+(1230.8-787)+(-0.720222+(-0.627708--0.40137))+0-368.9--0.188138999999963</f>
        <v>1486.3415789999999</v>
      </c>
      <c r="S211" s="3">
        <f>1413.5+(1522.3-1095.1)+(-0.720885+(-0.776373--0.558501))+0-368.4--0.187883999999963</f>
        <v>1471.5491270000002</v>
      </c>
      <c r="T211" s="3">
        <f>1412.9+(1522.2-1034)+(0.720579+(0.776322-0.52734))+0-370.4-0.188903999999962</f>
        <v>1531.4806570000003</v>
      </c>
      <c r="U211" s="3">
        <f>1413.4+(1563.1-1059.6)+(0+(0-0))+0-373.5-0</f>
        <v>1543.4</v>
      </c>
      <c r="V211" s="3">
        <f>1412.3+(1212.6-635.9)+(-2.881092+(-2.473704--1.297236))+0-376.9--0.768875999999983</f>
        <v>1608.8113160000003</v>
      </c>
      <c r="W211" s="3">
        <f>1429.1+(619.3-129.2)+(2.186523+(0.947529-0.197676))+0-373.7-0.571761000000022</f>
        <v>1547.864615</v>
      </c>
      <c r="X211" s="3">
        <f>1600+(696.9-226.6)+(-4.896+(-2.132514--0.693396))+0-380.3--1.16371800000004</f>
        <v>1684.8286000000003</v>
      </c>
      <c r="Y211" s="3">
        <f>1623.6+(906.5-478.4)+(0.828036+(0.462315-0.243984))+0-380.9-0.194258999999961</f>
        <v>1671.6521079999998</v>
      </c>
      <c r="Z211" s="3">
        <f>1620.1+(1254.5-886.5)+(-0.826251+(-0.639795--0.452115))+0-380.9--0.194258999999961</f>
        <v>1606.3803279999997</v>
      </c>
      <c r="AA211" s="3">
        <f>1457+(1672.5-1142.9)+(-2.22921+(-2.558925--1.748637))+0-371--0.567630000000021</f>
        <v>1613.1281319999998</v>
      </c>
      <c r="AB211" s="3">
        <f>1327.3+(1445.1-827.8)+(-2.707692+(-2.948004--1.688712))+0-377.9--0.770915999999984</f>
        <v>1563.5039320000001</v>
      </c>
      <c r="AC211" s="3">
        <f>1263.1+(1693-1148.6)+(-1.288362+(-1.72686--1.171572))+0-379.3--0.386886000000061</f>
        <v>1426.743236</v>
      </c>
      <c r="AD211">
        <v>1607.5</v>
      </c>
      <c r="AE211" s="3">
        <f>1615+(705.1-328.8)+(0+(0-0))+0-383.8-0</f>
        <v>1607.5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1128.7+(1602.9-995.3)+(-2.878185+(-4.087395--2.538015))+0-386.3--0.985064999999944</f>
        <v>1346.5575000000001</v>
      </c>
      <c r="G212" s="3">
        <f>1129.9+(1615.3-1036.9)+(-0.576249+(-0.823803--0.528819))+0-410.8--0.209507999999958</f>
        <v>1296.8382749999998</v>
      </c>
      <c r="H212" s="3">
        <f>1129.7+(1652.3-1099.8)+(1.152294+(1.685346-1.121796))+0-415.8-0.424116000000066</f>
        <v>1267.691728</v>
      </c>
      <c r="I212" s="3">
        <f>1129+(1667.8-1120.7)+(-2.30316+(-3.402312--2.286228))+0-426.4--0.869855999999981</f>
        <v>1247.1506120000001</v>
      </c>
      <c r="J212" s="3">
        <f>1128.8+(1551.3-1009.5)+(0.575688+(0.791163-0.514845))+0-429.4-0.218993999999956</f>
        <v>1241.8330119999998</v>
      </c>
      <c r="K212" s="3">
        <f>1129.3+(1327.9-775)+(-1.151886+(-1.354458--0.7905))+0-429.5--0.438090000000068</f>
        <v>1251.4222460000001</v>
      </c>
      <c r="L212" s="3">
        <f>1128.9+(1059.2-503.6)+(-1.727217+(-1.620576--0.770508))+0-426--0.651780000000025</f>
        <v>1256.5744949999998</v>
      </c>
      <c r="M212" s="3">
        <f>1127.9+(1025.5-405.7)+(1.150458+(1.04601-0.413814))+0-430.9-0.439518000000069</f>
        <v>1318.1431360000001</v>
      </c>
      <c r="N212" s="3">
        <f>1114.9+(1100.7-431.6)+(0+(0-0))+0-428.4-0</f>
        <v>1355.6</v>
      </c>
      <c r="O212" s="3">
        <f>1186+(1164.1-406.8)+(-0.60486+(-0.593691--0.207468))+0-425--0.216749999999957</f>
        <v>1517.5256670000001</v>
      </c>
      <c r="P212" s="3">
        <f>1189.1+(1336.7-519.1)+(0.606441+(0.681717-0.264741))+0-416.6-0.212465999999958</f>
        <v>1590.9109509999998</v>
      </c>
      <c r="Q212" s="3">
        <f>1189.1+(1197.9-426.2)+(-3.032205+(-3.054645--1.08681))+0-409.8--1.04498999999994</f>
        <v>1547.04495</v>
      </c>
      <c r="R212" s="3">
        <f>1196.8+(1187.7-431.2)+(-0.610368+(-0.605727--0.219912))+0-427--0.217769999999957</f>
        <v>1525.521587</v>
      </c>
      <c r="S212" s="3">
        <f>1233.8+(1135.7-567.2)+(0+(0-0))+0-436-0</f>
        <v>1366.3</v>
      </c>
      <c r="T212" s="3">
        <f>1236.1+(1505.7-832.9)+(-1.891233+(-2.303721--1.274337))+0-402.2--0.615366000000023</f>
        <v>1504.394749</v>
      </c>
      <c r="U212" s="3">
        <f>1235.4+(1505.4-818)+(0+(0-0))+0-429-0</f>
        <v>1493.8000000000002</v>
      </c>
      <c r="V212" s="3">
        <f>1237.6+(1342-649.2)+(-3.787056+(-4.10652--1.986552))+0-415.4--1.27112400000005</f>
        <v>1510.3641</v>
      </c>
      <c r="W212" s="3">
        <f>1267.4+(1070.7-344.3)+(1.292748+(1.092114-0.351186))+0-429-0.437580000000068</f>
        <v>1566.3960960000002</v>
      </c>
      <c r="X212" s="3">
        <f>1600+(1067.1-495.1)+(-4.896+(-3.265326--1.515006))+0-436.8--1.33660800000005</f>
        <v>1729.8902880000003</v>
      </c>
      <c r="Y212" s="3">
        <f>1711.1+(935.1-507.1)+(-2.617983+(-1.430703--0.775863))+0-427.4--0.653922000000025</f>
        <v>1709.081099</v>
      </c>
      <c r="Z212" s="3">
        <f>1696.8+(902.4-514.5)+(-4.32684+(-2.30112--1.311975))+0-424.6--1.08272999999994</f>
        <v>1655.8667449999996</v>
      </c>
      <c r="AA212" s="3">
        <f>1593.8+(931.1-486.4)+(-3.251352+(-1.899444--0.992256))+0-429.9--0.876995999999981</f>
        <v>1605.318456</v>
      </c>
      <c r="AB212" s="3">
        <f>1525.5+(847.1-419.8)+(-0.778005+(-0.432021--0.214098))+0-427.7--0.218126999999957</f>
        <v>1524.3221989999997</v>
      </c>
      <c r="AC212" s="3">
        <f>1393.5+(850.2-386.7)+(-0.710685+(-0.433602--0.197217))+0-435.8--0.222257999999956</f>
        <v>1420.4751880000001</v>
      </c>
      <c r="AD212">
        <v>1727.1</v>
      </c>
      <c r="AE212" s="3">
        <f>1573+(1116.9-519.2)+(0+(0-0))+0-443.6-0</f>
        <v>1727.1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1291.6+(1349.4-832.5)+(-1.976148+(-2.064582--1.273725))+0-444.8--0.680544000000026</f>
        <v>1361.6135390000002</v>
      </c>
      <c r="G213" s="3">
        <f>1185.8+(1556.8-943.1)+(1.209516+(1.587936-0.961962))+0-443.9-0.452778000000071</f>
        <v>1356.9827119999998</v>
      </c>
      <c r="H213" s="3">
        <f>1162.7+(1462.2-932.4)+(-0.592977+(-0.745722--0.475524))+0-446.6--0.227765999999955</f>
        <v>1245.2645910000001</v>
      </c>
      <c r="I213" s="3">
        <f>1129.2+(1443.9-801.5)+(1.727676+(2.209167-1.226295))+0-427.9-0.654687000000025</f>
        <v>1345.7558610000003</v>
      </c>
      <c r="J213" s="3">
        <f>1122+(1337.3-686.8)+(0.57222+(0.682023-0.350268))+0-443.8-0.226337999999955</f>
        <v>1329.377637</v>
      </c>
      <c r="K213" s="3">
        <f>1121.5+(1128.1-534.4)+(-2.28786+(-2.301324--1.090176))+0-431.8--0.880871999999981</f>
        <v>1280.7818639999998</v>
      </c>
      <c r="L213" s="3">
        <f>1121.1+(1084.6-512)+(-2.287044+(-2.212584--1.04448))+0-437.6--0.892703999999981</f>
        <v>1253.537556</v>
      </c>
      <c r="M213" s="3">
        <f>1149.7+(1102.9-495.7)+(0.586347+(0.562479-0.252807))+0-435.6-0.222155999999956</f>
        <v>1321.9738629999999</v>
      </c>
      <c r="N213" s="3">
        <f>1245.7+(1157.3-517.5)+(0+(0-0))+0-426-0</f>
        <v>1459.5</v>
      </c>
      <c r="O213" s="3">
        <f>1259.6+(1094.3-427.5)+(-1.284792+(-1.116186--0.43605))+0-405--0.413100000000065</f>
        <v>1519.8481719999997</v>
      </c>
      <c r="P213" s="3">
        <f>1409.1+(873.8-344.2)+(-1.437282+(-0.891276--0.351084))+0-387.5--0.395250000000062</f>
        <v>1549.6177759999998</v>
      </c>
      <c r="Q213" s="3">
        <f>1422.5+(934.2-246.7)+(-2.9019+(-1.905768--0.503268))+0-383.4--0.782135999999983</f>
        <v>1723.077736</v>
      </c>
      <c r="R213" s="3">
        <f>1415.7+(931.4-388.6)+(-2.166021+(-1.425042--0.594558))+0-391.9--0.599607000000023</f>
        <v>1564.2031019999999</v>
      </c>
      <c r="S213" s="3">
        <f>1413+(1218.9-549)+(-1.44126+(-1.243278--0.55998))+0-396.4--0.404328000000063</f>
        <v>1684.7797700000001</v>
      </c>
      <c r="T213" s="3">
        <f>1393.4+(1330.4-654.5)+(0+(0-0))+0-393.1-0</f>
        <v>1676.2000000000003</v>
      </c>
      <c r="U213" s="3">
        <f>1413.2+(1339.2-698.1)+(-1.441464+(-1.365984--0.712062))+0-387--0.394740000000062</f>
        <v>1665.5993540000002</v>
      </c>
      <c r="V213" s="3">
        <f>1414.2+(798.8-305.8)+(0+(0-0))+0-381.1-0</f>
        <v>1526.1</v>
      </c>
      <c r="W213" s="3">
        <f>1538.2+(713.3-301.8)+(-0.784482+(-0.363783--0.153918))+0-384.9--0.196298999999961</f>
        <v>1564.0019519999998</v>
      </c>
      <c r="X213" s="3">
        <f>1691+(853.7-426)+(-4.31205+(-2.176935--1.0863))+0-383--0.976649999999944</f>
        <v>1731.2739649999996</v>
      </c>
      <c r="Y213" s="3">
        <f>1689.4+(832.9-425)+(-2.584782+(-1.274337--0.65025))+0-392.8--0.600984000000023</f>
        <v>1701.8921150000001</v>
      </c>
      <c r="Z213" s="3">
        <f>1690.5+(792.6-441.7)+(-2.586465+(-1.212678--0.675801))+0-405.6--0.620568000000023</f>
        <v>1633.2972259999999</v>
      </c>
      <c r="AA213" s="3">
        <f>1509.3+(923.2-426.7)+(-2.309229+(-1.412496--0.652851))+0-413.7--0.632961000000024</f>
        <v>1589.6640869999999</v>
      </c>
      <c r="AB213" s="3">
        <f>1437.9+(992-483.9)+(0+(0-0))+0-407.2-0</f>
        <v>1538.8</v>
      </c>
      <c r="AC213" s="3">
        <f>1326.7+(1154-616.1)+(-2.706468+(-2.35416--1.256844))+0-408.7--0.833747999999982</f>
        <v>1452.9299639999999</v>
      </c>
      <c r="AD213">
        <v>1715.4</v>
      </c>
      <c r="AE213" s="3">
        <f>1693+(878.1-445.1)+(0+(0-0))+0-410.6-0</f>
        <v>1715.4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1294.5+(1516.3-1015.5)+(-1.980585+(-2.319939--1.553715))+0-414.7--0.634491000000024</f>
        <v>1378.4876819999999</v>
      </c>
      <c r="G214" s="3">
        <f>1262.6+(1707.8-1228.2)+(-0.643926+(-0.870978--0.626382))+0-412.5--0.210374999999958</f>
        <v>1329.0218529999997</v>
      </c>
      <c r="H214" s="3">
        <f>1262.4+(1465.5-990.3)+(-3.862944+(-4.48443--3.030318))+0-421.5--1.28979000000005</f>
        <v>1312.0727340000001</v>
      </c>
      <c r="I214" s="3">
        <f>1261.7+(1203.2-752)+(-1.930401+(-1.840896--1.15056))+0-421.1--0.644283000000024</f>
        <v>1289.8235460000001</v>
      </c>
      <c r="J214" s="3">
        <f>1264.5+(1203.5-811.4)+(0+(0-0))+0-386.4-0</f>
        <v>1270.1999999999998</v>
      </c>
      <c r="K214" s="3">
        <f>1261.4+(1090.2-657.9)+(-0.643314+(-0.556002--0.335529))+0-417.5--0.212924999999958</f>
        <v>1275.5491380000003</v>
      </c>
      <c r="L214" s="3">
        <f>1262.1+(897.3-474.3)+(-1.931013+(-1.372869--0.725679))+0-426.8--0.653004000000025</f>
        <v>1256.3748009999999</v>
      </c>
      <c r="M214" s="3">
        <f>1262.2+(961.8-472.6)+(0.643722+(0.490518-0.241026))+0-430.3-0.219452999999956</f>
        <v>1321.7737610000001</v>
      </c>
      <c r="N214" s="3">
        <f>1262.7+(1121.6-511.9)+(1.931931+(1.716048-0.783207))+0-425-0.650250000000025</f>
        <v>1449.6145220000001</v>
      </c>
      <c r="O214" s="3">
        <f>1261.4+(1179.4-497.4)+(0+(0-0))+0-427-0</f>
        <v>1516.4</v>
      </c>
      <c r="P214" s="3">
        <f>1269.8+(1028.4-362.7)+(1.295196+(1.048968-0.369954))+0-405.1-0.413202000000065</f>
        <v>1531.961008</v>
      </c>
      <c r="Q214" s="3">
        <f>1402.9+(941.4-388.1)+(-0.715479+(-0.480114--0.197931))+0-413.3--0.210782999999958</f>
        <v>1542.1131210000001</v>
      </c>
      <c r="R214" s="3">
        <f>1408.6+(770.8-278.1)+(-2.155158+(-1.179324--0.425493))+0-428.1--0.654993000000025</f>
        <v>1470.9460039999999</v>
      </c>
      <c r="S214" s="3">
        <f>1408.8+(799.4-345.1)+(-4.310928+(-2.446164--1.056006))+0-435.3--1.33201800000005</f>
        <v>1423.430932</v>
      </c>
      <c r="T214" s="3">
        <f>1405.5+(856.2-391.2)+(-1.43361+(-0.873324--0.399024))+0-430.3--0.438906000000069</f>
        <v>1438.7309960000002</v>
      </c>
      <c r="U214" s="3">
        <f>1408.4+(951.4-490.9)+(-2.154852+(-1.455642--0.751077))+0-430.3--0.658359000000025</f>
        <v>1436.3989420000003</v>
      </c>
      <c r="V214" s="3">
        <f>1407.9+(781.2-337.4)+(-2.154087+(-1.195236--0.516222))+0-434.1--0.664173000000025</f>
        <v>1415.4310720000003</v>
      </c>
      <c r="W214" s="3">
        <f>1541.1+(691.6-333.1)+(-2.357883+(-1.058148--0.509643))+0-426--0.651780000000025</f>
        <v>1471.3453919999997</v>
      </c>
      <c r="X214" s="3">
        <f>1799.9+(755.5-490)+(-5.507694+(-2.31183--1.4994))+0-399.4--1.22216400000005</f>
        <v>1660.9020400000002</v>
      </c>
      <c r="Y214" s="3">
        <f>1759.1+(799.6-497.9)+(-2.691423+(-1.223388--0.761787))+0-420.5--0.643365000000024</f>
        <v>1637.7903410000001</v>
      </c>
      <c r="Z214" s="3">
        <f>1522.5+(968-480.4)+(-0.776475+(-0.49368--0.245004))+0-429.8--0.219197999999956</f>
        <v>1579.4940469999999</v>
      </c>
      <c r="AA214" s="3">
        <f>1236.9+(1277.5-567.1)+(-1.261638+(-1.30305--0.578442))+0-427.8--0.436356000000068</f>
        <v>1517.9501100000004</v>
      </c>
      <c r="AB214" s="3">
        <f>1157.7+(1182.4-455.4)+(-1.771281+(-1.809072--0.696762))+0-431--0.659430000000025</f>
        <v>1451.4758390000002</v>
      </c>
      <c r="AC214" s="3">
        <f>1156.5+(1005.1-444.5)+(-2.949075+(-2.563005--1.133475))+0-430--1.09649999999994</f>
        <v>1283.8178949999997</v>
      </c>
      <c r="AD214">
        <v>1651.2999999999997</v>
      </c>
      <c r="AE214" s="3">
        <f>1804+(802-541.3)+(0+(0-0))+0-413.4-0</f>
        <v>1651.2999999999997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1145.6+(1042.3-455.7)+(-1.752768+(-1.594719--0.697221))+0-429.2--0.656676000000025</f>
        <v>1301.0064099999997</v>
      </c>
      <c r="G215" s="3">
        <f>1115.2+(1144.4-571.3)+(-2.275008+(-2.334576--1.165452))+0-428.6--0.874343999999981</f>
        <v>1257.1302120000003</v>
      </c>
      <c r="H215" s="3">
        <f>1115.4+(1126.6-615.1)+(-2.84427+(-2.87283--1.568505))+0-424.1--1.08145499999994</f>
        <v>1199.7328600000001</v>
      </c>
      <c r="I215" s="3">
        <f>1116.3+(1098.1-609.2)+(-2.277252+(-2.240124--1.242768))+0-409.5--0.835379999999982</f>
        <v>1193.2607719999999</v>
      </c>
      <c r="J215" s="3">
        <f>1115.6+(1072.8-621.8)+(-0.568956+(-0.547128--0.317118))+0-423.9--0.216188999999957</f>
        <v>1142.117223</v>
      </c>
      <c r="K215" s="3">
        <f>1116+(1008.8-535.8)+(-0.56916+(-0.514488--0.273258))+0-428.6--0.218585999999957</f>
        <v>1159.808196</v>
      </c>
      <c r="L215" s="3">
        <f>1115.4+(1121.3-675.8)+(0+(0-0))+0-422.7-0</f>
        <v>1138.2</v>
      </c>
      <c r="M215" s="3">
        <f>1115.9+(1217.6-785.5)+(-0.569109+(-0.620976--0.400605))+0-410--0.209099999999958</f>
        <v>1137.4196200000001</v>
      </c>
      <c r="N215" s="3">
        <f>1117.9+(1243.2-713.7)+(-1.140258+(-1.268064--0.727974))+0-418.3--0.426666000000067</f>
        <v>1227.8463180000001</v>
      </c>
      <c r="O215" s="3">
        <f>1116.7+(1143.5-509.3)+(-1.139034+(-1.16637--0.519486))+0-432.1--0.440742000000069</f>
        <v>1317.4548240000001</v>
      </c>
      <c r="P215" s="3">
        <f>1092.2+(1051.8-415.1)+(-1.671066+(-1.609254--0.635103))+0-429.2--0.656676000000025</f>
        <v>1297.7114590000001</v>
      </c>
      <c r="Q215" s="3">
        <f>1090.7+(1077.2-450.6)+(0+(0-0))+0-431.2-0</f>
        <v>1286.1000000000001</v>
      </c>
      <c r="R215" s="3">
        <f>1117.1+(1026.9-432.7)+(-2.278884+(-2.094876--0.882708))+0-430.3--0.877811999999981</f>
        <v>1278.3867599999999</v>
      </c>
      <c r="S215" s="3">
        <f>1116.1+(995.3-416.2)+(-2.276844+(-2.030412--0.849048))+0-432--0.881279999999981</f>
        <v>1260.6230719999999</v>
      </c>
      <c r="T215" s="3">
        <f>1116+(953.5-429.2)+(-1.13832+(-0.97257--0.437784))+0-431.1--0.439722000000069</f>
        <v>1207.9666160000002</v>
      </c>
      <c r="U215" s="3">
        <f>1115.5+(934.5-376)+(-0.568905+(-0.476595--0.19176))+0-429.8--0.219197999999956</f>
        <v>1243.565458</v>
      </c>
      <c r="V215" s="3">
        <f>1118.4+(1005.3-432.9)+(0+(0-0))+0-432.8-0</f>
        <v>1258.0000000000002</v>
      </c>
      <c r="W215" s="3">
        <f>1222+(1056.8-436.8)+(-1.86966+(-1.616904--0.668304))+0-431.9--0.660807000000025</f>
        <v>1407.9425469999999</v>
      </c>
      <c r="X215" s="3">
        <f>1256.4+(1257.1-525)+(-2.563056+(-2.564484--1.071))+0-435.5--0.888419999999981</f>
        <v>1549.83188</v>
      </c>
      <c r="Y215" s="3">
        <f>1254.4+(1318-605)+(-1.919232+(-2.01654--0.92565))+0-431.9--0.660807000000025</f>
        <v>1533.1506850000003</v>
      </c>
      <c r="Z215" s="3">
        <f>1217.5+(1312.4-611.8)+(-3.104625+(-3.34662--1.56009))+0-423.8--1.08068999999994</f>
        <v>1490.4895350000002</v>
      </c>
      <c r="AA215" s="3">
        <f>1212.1+(1370.9-707.9)+(-2.472684+(-2.796636--1.444116))+0-410.4--0.837215999999982</f>
        <v>1461.712012</v>
      </c>
      <c r="AB215" s="3">
        <f>1121.7+(1372.2-656.7)+(-2.860335+(-3.49911--1.674585))+0-427.1--1.08910499999994</f>
        <v>1406.5042450000001</v>
      </c>
      <c r="AC215" s="3">
        <f>1116.7+(1124.7-515.2)+(-2.847585+(-2.867985--1.31376))+0-415.2--1.05875999999994</f>
        <v>1307.6569499999998</v>
      </c>
      <c r="AD215">
        <v>1228</v>
      </c>
      <c r="AE215" s="3">
        <f>1256+(1167-774)+(0+(0-0))+0-421-0</f>
        <v>1228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1102.2+(924-397)+(-1.124244+(-0.94248--0.40494))+0-403.1--0.411162000000064</f>
        <v>1224.8493780000001</v>
      </c>
      <c r="G216" s="3">
        <f>1076.3+(1014.4-513.2)+(-1.097826+(-1.034688--0.523464))+0-403.6--0.411672000000064</f>
        <v>1172.702622</v>
      </c>
      <c r="H216" s="3">
        <f>1076.6+(1002.1-514.3)+(-2.196264+(-2.044284--1.049172))+0-411.1--0.838643999999982</f>
        <v>1150.9472679999999</v>
      </c>
      <c r="I216" s="3">
        <f>1076.2+(964.5-470.1)+(-1.097724+(-0.98379--0.479502))+0-423.3--0.431766000000067</f>
        <v>1146.129754</v>
      </c>
      <c r="J216" s="3">
        <f>1076.9+(973.3-486.1)+(1.098438+(0.992766-0.495822))+0-416.3-0.424626000000066</f>
        <v>1148.9707559999999</v>
      </c>
      <c r="K216" s="3">
        <f>1076.5+(1007.6-493.4)+(2.745075+(2.56938-1.25817))+0-422-1.07609999999994</f>
        <v>1171.6801849999999</v>
      </c>
      <c r="L216" s="3">
        <f>1076.1+(1031.4-497)+(-0.548811+(-0.526014--0.25347))+0-423.5--0.215984999999957</f>
        <v>1186.39463</v>
      </c>
      <c r="M216" s="3">
        <f>1117.5+(1028.9-449.1)+(0+(0-0))+0-416.7-0</f>
        <v>1280.6000000000001</v>
      </c>
      <c r="N216" s="3">
        <f>1210.8+(950.3-332.7)+(-0.617508+(-0.484653--0.169677))+0-416.4--0.212363999999958</f>
        <v>1411.27988</v>
      </c>
      <c r="O216" s="3">
        <f>1218.4+(1002.8-296.1)+(-2.485536+(-2.045712--0.604044))+0-419.9--0.856595999999982</f>
        <v>1502.1293919999998</v>
      </c>
      <c r="P216" s="3">
        <f>1228.3+(1016.1-319.1)+(-0.626433+(-0.518211--0.162741))+0-406.1--0.207110999999959</f>
        <v>1518.4252079999999</v>
      </c>
      <c r="Q216" s="3">
        <f>1394.5+(969.4-408)+(-2.133585+(-1.483182--0.62424))+0-412.8--0.631584000000024</f>
        <v>1540.739057</v>
      </c>
      <c r="R216" s="3">
        <f>1401.5+(829-348.9)+(-3.573825+(-2.11395--0.889695))+0-411.9--1.05034499999994</f>
        <v>1465.9522649999997</v>
      </c>
      <c r="S216" s="3">
        <f>1401.8+(721.9-292)+(-0.714918+(-0.368169--0.14892))+0-393.9--0.20088899999996</f>
        <v>1437.0667219999998</v>
      </c>
      <c r="T216" s="3">
        <f>1401.9+(927.1-456.2)+(0+(0-0))+0-400.1-0</f>
        <v>1472.7000000000003</v>
      </c>
      <c r="U216" s="3">
        <f>1401.8+(1008-547.5)+(-0.714918+(-0.51408--0.279225))+0-392.7--0.20027699999996</f>
        <v>1468.8505039999998</v>
      </c>
      <c r="V216" s="3">
        <f>1401.9+(1072-593.6)+(1.429938+(1.09344-0.605472))+0-420.6-0.429012000000067</f>
        <v>1461.1888939999999</v>
      </c>
      <c r="W216" s="3">
        <f>1582.5+(1354.4-925)+(1.61415+(1.381488-0.9435))+0-417.4-0.425748000000067</f>
        <v>1596.1263899999999</v>
      </c>
      <c r="X216" s="3">
        <f>1691.3+(1818.9-1357.7)+(-3.450252+(-3.710556--2.769708))+0-425.9--0.868835999999981</f>
        <v>1723.077736</v>
      </c>
      <c r="Y216" s="3">
        <f>1612.7+(1685.4-1181.5)+(-3.289908+(-3.438216--2.41026))+0-414.2--0.844967999999982</f>
        <v>1698.9271040000001</v>
      </c>
      <c r="Z216" s="3">
        <f>1541+(1479.3-940.4)+(-3.14364+(-3.017772--1.918416))+0-424.4--0.865775999999981</f>
        <v>1652.1227799999999</v>
      </c>
      <c r="AA216" s="3">
        <f>1440.9+(1181.3-640.4)+(-1.469718+(-1.204926--0.653208))+0-418.7--0.427074000000067</f>
        <v>1561.5056380000003</v>
      </c>
      <c r="AB216" s="3">
        <f>1415.3+(1135.7-601.1)+(-3.609015+(-2.896035--1.532805))+0-432.2--1.10210999999994</f>
        <v>1513.8298650000002</v>
      </c>
      <c r="AC216" s="3">
        <f>1324.3+(1035.4-365.4)+(-0.675393+(-0.528054--0.186354))+0-419.7--0.214046999999957</f>
        <v>1573.7969540000001</v>
      </c>
      <c r="AD216">
        <v>1716.1000000000001</v>
      </c>
      <c r="AE216" s="3">
        <f>1700+(1816.9-1344.5)+(0+(0-0))+0-456.3-0</f>
        <v>1716.1000000000001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1122.3+(992.4-380)+(-1.144746+(-1.012248--0.3876))+0-421.6--0.430032000000067</f>
        <v>1311.760638</v>
      </c>
      <c r="G217" s="3">
        <f>1124.1+(893.4-332.1)+(-1.146582+(-0.911268--0.338742))+0-418--0.426360000000067</f>
        <v>1266.107252</v>
      </c>
      <c r="H217" s="3">
        <f>1124.4+(868.6-321.7)+(0+(0-0))+0-429.4-0</f>
        <v>1241.9000000000001</v>
      </c>
      <c r="I217" s="3">
        <f>1124.4+(919.2-388.2)+(1.146888+(0.937584-0.395964))+0-415.8-0.424116000000066</f>
        <v>1240.864392</v>
      </c>
      <c r="J217" s="3">
        <f>1124.3+(912.7-391.1)+(0.573393+(0.465477-0.199461))+0-422.7-0.215576999999957</f>
        <v>1223.823832</v>
      </c>
      <c r="K217" s="3">
        <f>1124.6+(965.9-443.8)+(0+(0-0))+0-419.2-0</f>
        <v>1227.4999999999998</v>
      </c>
      <c r="L217" s="3">
        <f>1120.2+(952.7-426.5)+(2.285208+(1.943508-0.87006))+0-414-0.844559999999982</f>
        <v>1234.9140960000002</v>
      </c>
      <c r="M217" s="3">
        <f>1125.4+(1011.2-400.8)+(1.147908+(1.031424-0.408816))+0-419.6-0.427992000000067</f>
        <v>1317.5425240000002</v>
      </c>
      <c r="N217" s="3">
        <f>1212.4+(963.8-348.3)+(-0.618324+(-0.491538--0.177633))+0-426.4--0.217463999999957</f>
        <v>1400.7852350000001</v>
      </c>
      <c r="O217" s="3">
        <f>1272.9+(940.3-330.2)+(0.649179+(0.479553-0.168402))+0-415.1-0.211700999999958</f>
        <v>1468.648629</v>
      </c>
      <c r="P217" s="3">
        <f>1304.4+(883.9-281.5)+(-1.995732+(-1.352367--0.430695))+0-402.6--0.615978000000023</f>
        <v>1501.8985740000001</v>
      </c>
      <c r="Q217" s="3">
        <f>1304.3+(827.8-276.5)+(-0.665193+(-0.422178--0.141015))+0-357.5--0.182324999999964</f>
        <v>1497.335969</v>
      </c>
      <c r="R217" s="3">
        <f>1304.4+(896-400.4)+(-3.32622+(-2.2848--1.02102))+0-359.6--0.916979999999948</f>
        <v>1436.7269799999999</v>
      </c>
      <c r="S217" s="3">
        <f>1304.4+(826-342.6)+(-0.665244+(-0.42126--0.174726))+0-373.3--0.190382999999962</f>
        <v>1413.7786050000002</v>
      </c>
      <c r="T217" s="3">
        <f>1304.4+(904.7-374.6)+(0+(0-0))+0-381.4-0</f>
        <v>1453.1</v>
      </c>
      <c r="U217" s="3">
        <f>1304.2+(1051.5-498.8)+(-3.990852+(-3.21759--1.526328))+0-390.8--1.19584800000005</f>
        <v>1461.6137340000002</v>
      </c>
      <c r="V217" s="3">
        <f>1324.9+(1136.7-615.1)+(-0.675699+(-0.579717--0.313701))+0-390.4--0.19910399999996</f>
        <v>1455.357389</v>
      </c>
      <c r="W217" s="3">
        <f>1489.7+(1435-1003.2)+(0+(0-0))+0-411.6-0</f>
        <v>1509.9</v>
      </c>
      <c r="X217" s="3">
        <f>1637.4+(1555.2-1089.3)+(-5.010444+(-4.758912--3.333258))+0-426.3--1.30447800000005</f>
        <v>1671.8683800000001</v>
      </c>
      <c r="Y217" s="3">
        <f>1554+(1634.1-1133.6)+(-1.58508+(-1.666782--1.156272))+0-427.1--0.435642000000068</f>
        <v>1625.7400520000003</v>
      </c>
      <c r="Z217" s="3">
        <f>1431.8+(1520.9-936.7)+(-2.920872+(-3.102636--1.910868))+0-425.2--0.867407999999981</f>
        <v>1587.554768</v>
      </c>
      <c r="AA217" s="3">
        <f>1385.7+(1599.9-1014.3)+(-2.120121+(-2.447847--1.551879))+0-417.3--0.638469000000024</f>
        <v>1551.6223800000002</v>
      </c>
      <c r="AB217" s="3">
        <f>1292.7+(1499.7-876.1)+(-2.637108+(-3.059388--1.787244))+0-404.1--0.824363999999982</f>
        <v>1509.1151120000004</v>
      </c>
      <c r="AC217" s="3">
        <f>1237.7+(1375-661.4)+(-2.524908+(-2.805--1.349256))+0-399--0.813959999999983</f>
        <v>1549.1333080000002</v>
      </c>
      <c r="AD217">
        <v>1730.1999999999998</v>
      </c>
      <c r="AE217" s="3">
        <f>1700+(1487-1014.9)+(0+(0-0))+0-441.9-0</f>
        <v>1730.1999999999998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1065.4+(855.8-242.3)+(-1.086708+(-0.872916--0.247146))+0-392.6--0.400452000000063</f>
        <v>1284.9879740000003</v>
      </c>
      <c r="G218" s="3">
        <f>1065.1+(710-145.8)+(0+(0-0))+0-401.9-0</f>
        <v>1227.4000000000001</v>
      </c>
      <c r="H218" s="3">
        <f>1065.1+(702.7-143.7)+(0+(0-0))+0-401.7-0</f>
        <v>1222.3999999999999</v>
      </c>
      <c r="I218" s="3">
        <f>1065+(804.9-273.2)+(0+(0-0))+0-398.7-0</f>
        <v>1198</v>
      </c>
      <c r="J218" s="3">
        <f>1065.3+(801.2-295.3)+(0.543303+(0.408612-0.150603))+0-380.1-0.193850999999961</f>
        <v>1191.707461</v>
      </c>
      <c r="K218" s="3">
        <f>1065.2+(896-358.9)+(-1.629756+(-1.37088--0.549117))+0-382--0.584460000000022</f>
        <v>1218.4329410000003</v>
      </c>
      <c r="L218" s="3">
        <f>1052.1+(1009.7-484.6)+(0.536571+(0.514947-0.247146))+0-364.6-0.185945999999963</f>
        <v>1213.2184259999999</v>
      </c>
      <c r="M218" s="3">
        <f>1136+(1078.4-547.1)+(0.57936+(0.549984-0.279021))+0-375.2-0.191351999999962</f>
        <v>1292.758971</v>
      </c>
      <c r="N218" s="3">
        <f>1201.8+(1164.5-569.1)+(-0.612918+(-0.593895--0.290241))+0-380.6--0.194105999999961</f>
        <v>1415.8775339999997</v>
      </c>
      <c r="O218" s="3">
        <f>1202.4+(1249-621.5)+(0.613224+(0.63699-0.316965))+0-379.1-0.193340999999962</f>
        <v>1451.539908</v>
      </c>
      <c r="P218" s="3">
        <f>1372.8+(1244.5-717.9)+(0+(0-0))+0-380.4-0</f>
        <v>1519</v>
      </c>
      <c r="Q218" s="3">
        <f>1398.3+(1282-870.2)+(-0.713133+(-0.65382--0.443802))+0-381.4--0.194513999999961</f>
        <v>1427.9713629999999</v>
      </c>
      <c r="R218" s="3">
        <f>1398.2+(1068.3-583.4)+(-3.56541+(-2.724165--1.48767))+0-373.2--0.951659999999946</f>
        <v>1506.0497549999998</v>
      </c>
      <c r="S218" s="3">
        <f>1392.6+(789.5-367.1)+(-4.261356+(-2.41587--1.123326))+0-375.3--1.14841800000004</f>
        <v>1435.2945179999999</v>
      </c>
      <c r="T218" s="3">
        <f>1465.1+(819.2-432.4)+(0+(0-0))+0-367.9-0</f>
        <v>1484</v>
      </c>
      <c r="U218" s="3">
        <f>1476.5+(791.5-398.1)+(-2.259045+(-1.210995--0.609093))+0-373.2--0.570996000000022</f>
        <v>1494.4100490000001</v>
      </c>
      <c r="V218" s="3">
        <f>1488.1+(911.4-595.3)+(-0.758931+(-0.464814--0.303603))+0-378.1--0.192830999999962</f>
        <v>1425.372689</v>
      </c>
      <c r="W218" s="3">
        <f>1808.4+(1536.7-1393.7)+(0+(0-0))+0-380.4-0</f>
        <v>1571</v>
      </c>
      <c r="X218" s="3">
        <f>1920.2+(1910.9-1704.6)+(-2.937906+(-2.923677--2.608038))+0-380.3--0.581859000000022</f>
        <v>1743.5283140000001</v>
      </c>
      <c r="Y218" s="3">
        <f>1863.8+(2078.8-1819.3)+(-2.851614+(-3.180564--2.783529))+0-383.4--0.586602000000022</f>
        <v>1737.2379530000001</v>
      </c>
      <c r="Z218" s="3">
        <f>1817+(1793.8-1545)+(-2.78001+(-2.744514--2.36385))+0-382--0.584460000000022</f>
        <v>1681.223786</v>
      </c>
      <c r="AA218" s="3">
        <f>1816.9+(1142.3-961.8)+(-1.853238+(-1.165146--0.981036))+0-381.3--0.388926000000061</f>
        <v>1614.4515780000002</v>
      </c>
      <c r="AB218" s="3">
        <f>1777.3+(764.4-578.8)+(-4.532115+(-1.94922--1.47594))+0-394--1.00469999999994</f>
        <v>1564.8993050000001</v>
      </c>
      <c r="AC218" s="3">
        <f>1416.4+(935.8-493.9)+(-1.444728+(-0.954516--0.503778))+0-406.2--0.414324000000065</f>
        <v>1450.6188580000003</v>
      </c>
      <c r="AD218">
        <v>1763.8999999999996</v>
      </c>
      <c r="AE218" s="3">
        <f>1911+(1831.7-1601.3)+(0+(0-0))+0-377.5-0</f>
        <v>1763.9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1292.4+(919.5-441.7)+(-0.659124+(-0.468945--0.225267))+0-414.2--0.211241999999958</f>
        <v>1355.3084399999998</v>
      </c>
      <c r="G219" s="3">
        <f>1260.6+(759.9-302.9)+(-2.571624+(-1.550196--0.617916))+0-415.7--0.848027999999982</f>
        <v>1299.2441239999998</v>
      </c>
      <c r="H219" s="3">
        <f>1218.8+(703.2-275.9)+(-3.10794+(-1.79316--0.703545))+0-416.6--1.06232999999994</f>
        <v>1226.3647749999998</v>
      </c>
      <c r="I219" s="3">
        <f>1229.7+(706.7-289.1)+(-1.254294+(-0.720834--0.294882))+0-417.4--0.425748000000067</f>
        <v>1228.6455020000003</v>
      </c>
      <c r="J219" s="3">
        <f>1261.2+(774.5-415.7)+(0.643212+(0.394995-0.212007))+0-422.7-0.215576999999957</f>
        <v>1197.910623</v>
      </c>
      <c r="K219" s="3">
        <f>1261.4+(987.1-595)+(0.643314+(0.503421-0.30345))+0-423.1-0.215780999999957</f>
        <v>1231.0275040000001</v>
      </c>
      <c r="L219" s="3">
        <f>1261.3+(1050.5-643.5)+(1.929789+(1.607265-0.984555))+0-427.3-0.653769000000025</f>
        <v>1242.8987299999999</v>
      </c>
      <c r="M219" s="3">
        <f>1260.2+(1040.7-575.7)+(-0.642702+(-0.530757--0.293607))+0-429.8--0.219197999999956</f>
        <v>1294.7393460000001</v>
      </c>
      <c r="N219" s="3">
        <f>1257.4+(1303.4-751.6)+(1.282548+(1.329468-0.766632))+0-401.2-0.409224000000064</f>
        <v>1409.4361600000002</v>
      </c>
      <c r="O219" s="3">
        <f>1393.8+(1451.4-815.8)+(-1.421676+(-1.480428--0.832116))+0-404.5--0.412590000000065</f>
        <v>1623.2426020000003</v>
      </c>
      <c r="P219" s="3">
        <f>1432.1+(1391.8-759)+(-2.921484+(-2.839272--1.54836))+0-438.7--0.894947999999981</f>
        <v>1622.8825519999996</v>
      </c>
      <c r="Q219" s="3">
        <f>1502.7+(1377.3-819.7)+(-1.532754+(-1.404846--0.836094))+0-431.2--0.439824000000069</f>
        <v>1627.4383180000002</v>
      </c>
      <c r="R219" s="3">
        <f>1533.1+(1026-621.5)+(-3.127524+(-2.09304--1.26786))+0-428.1--0.873323999999981</f>
        <v>1506.4206199999996</v>
      </c>
      <c r="S219" s="3">
        <f>1535.6+(751.8-391.9)+(-0.783156+(-0.383418--0.199869))+0-431.1--0.219860999999956</f>
        <v>1463.6531559999999</v>
      </c>
      <c r="T219" s="3">
        <f>1536.7+(793.9-404.2)+(2.351151+(1.214667-0.618426))+0-421.9-0.645507000000024</f>
        <v>1506.8018850000001</v>
      </c>
      <c r="U219" s="3">
        <f>1533.2+(935.2-492.5)+(-3.90966+(-2.38476--1.255875))+0-430.6--1.09802999999994</f>
        <v>1541.3594849999997</v>
      </c>
      <c r="V219" s="3">
        <f>1537.5+(1209.6-756.7)+(-0.784125+(-0.616896--0.385917))+0-428.4--0.218483999999957</f>
        <v>1561.2033799999999</v>
      </c>
      <c r="W219" s="3">
        <f>1535.5+(1975-1403.2)+(-0.783105+(-1.00725--0.715632))+0-428.4--0.218483999999957</f>
        <v>1678.0437609999999</v>
      </c>
      <c r="X219" s="3">
        <f>1562+(1959.6-1330.7)+(-3.9831+(-4.99698--3.393285))+0-418.1--1.06615499999994</f>
        <v>1768.2793599999995</v>
      </c>
      <c r="Y219" s="3">
        <f>1505.1+(1648.3-1008.9)+(-0.767601+(-0.840633--0.514539))+0-420.8--0.214607999999957</f>
        <v>1722.820913</v>
      </c>
      <c r="Z219" s="3">
        <f>1448.9+(1369.7-751.4)+(-1.477878+(-1.397094--0.766428))+0-429.4--0.437988000000068</f>
        <v>1636.1294440000001</v>
      </c>
      <c r="AA219" s="3">
        <f>1443.4+(1203.1-645.2)+(-2.944536+(-2.454324--1.316208))+0-431.2--0.879647999999981</f>
        <v>1566.8969959999999</v>
      </c>
      <c r="AB219" s="3">
        <f>1348.7+(1217.8-601.8)+(-2.063511+(-1.863234--0.920754))+0-430.3--0.658359000000025</f>
        <v>1532.0523680000001</v>
      </c>
      <c r="AC219" s="3">
        <f>1233.3+(1023.8-388.6)+(-2.515932+(-2.088552--0.792744))+0-432.8--0.882911999999981</f>
        <v>1432.771172</v>
      </c>
      <c r="AD219">
        <v>1749.7</v>
      </c>
      <c r="AE219" s="3">
        <f>1533+(2269.9-1624)+(0+(0-0))+0-428.2-0</f>
        <v>1750.7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1213.2+(909-370.3)+(-3.09366+(-2.31795--0.944265))+0-429.4--1.09496999999994</f>
        <v>1319.1276249999999</v>
      </c>
      <c r="G220" s="3">
        <f>1212.8+(751.6-237.7)+(-0.618528+(-0.383316--0.121227))+0-434.1--0.221390999999956</f>
        <v>1291.9407740000001</v>
      </c>
      <c r="H220" s="3">
        <f>1212.7+(640.6-203)+(-0.618477+(-0.326706--0.10353))+0-435--0.221849999999956</f>
        <v>1214.6801970000001</v>
      </c>
      <c r="I220" s="3">
        <f>1213.8+(576.7-134.4)+(-1.238076+(-0.588234--0.137088))+0-426.3--0.434826000000068</f>
        <v>1228.5456040000001</v>
      </c>
      <c r="J220" s="3">
        <f>1213.1+(542.4-112.5)+(-0.618681+(-0.276624--0.057375))+0-432.6--0.220625999999956</f>
        <v>1209.782696</v>
      </c>
      <c r="K220" s="3">
        <f>1212.9+(746.1-259.2)+(-0.618579+(-0.380511--0.132192))+0-433.6--0.221135999999956</f>
        <v>1265.5542379999999</v>
      </c>
      <c r="L220" s="3">
        <f>1213.4+(750.1-309.2)+(-1.237668+(-0.765102--0.315384))+0-431.3--0.439926000000069</f>
        <v>1221.7525400000002</v>
      </c>
      <c r="M220" s="3">
        <f>1213.5+(801.4-283.1)+(0+(0-0))+0-425.7-0</f>
        <v>1306.0999999999999</v>
      </c>
      <c r="N220" s="3">
        <f>1213.2+(842.6-270.9)+(-1.237464+(-0.859452--0.276318))+0-421.9--0.430338000000067</f>
        <v>1361.6097400000003</v>
      </c>
      <c r="O220" s="3">
        <f>1222.3+(1011.2-374.4)+(1.246746+(1.031424-0.381888))+0-430.2-0.438804000000069</f>
        <v>1430.3574779999997</v>
      </c>
      <c r="P220" s="3">
        <f>1350.8+(1092.8-500)+(-2.755632+(-2.229312--1.02))+0-422.2--0.861287999999982</f>
        <v>1518.2963439999999</v>
      </c>
      <c r="Q220" s="3">
        <f>1458.9+(1054.9-500.2)+(-0.744039+(-0.537999--0.255102))+0-414.1--0.211190999999958</f>
        <v>1598.6842550000001</v>
      </c>
      <c r="R220" s="3">
        <f>1471.4+(829.4-371.1)+(-1.500828+(-0.845988--0.378522))+0-414.1--0.422382000000066</f>
        <v>1514.0540880000001</v>
      </c>
      <c r="S220" s="3">
        <f>1471+(671.4-179.1)+(-2.25063+(-1.027242--0.274023))+0-420.2--0.642906000000024</f>
        <v>1540.739057</v>
      </c>
      <c r="T220" s="3">
        <f>1474.4+(707.1-251.7)+(0+(0-0))+0-432-0</f>
        <v>1497.8000000000002</v>
      </c>
      <c r="U220" s="3">
        <f>1472.4+(851.1-376.2)+(0.750924+(0.434061-0.191862))+0-431-0.219809999999956</f>
        <v>1517.0733130000001</v>
      </c>
      <c r="V220" s="3">
        <f>1530.8+(1115.8-715.8)+(-1.561416+(-1.138116--0.730116))+0-424.3--0.432786000000068</f>
        <v>1504.9633700000002</v>
      </c>
      <c r="W220" s="3">
        <f>1736.4+(1611.3-1321.7)+(0+(0-0))+0-428.2-0</f>
        <v>1597.8</v>
      </c>
      <c r="X220" s="3">
        <f>1920.6+(910.5-706)+(-2.938518+(-1.393065--1.08018))+0-427.2--0.653616000000025</f>
        <v>1695.3022129999997</v>
      </c>
      <c r="Y220" s="3">
        <f>1895.9+(670.2-457.8)+(-1.933818+(-0.683604--0.466956))+0-427--0.435540000000068</f>
        <v>1679.5850740000003</v>
      </c>
      <c r="Z220" s="3">
        <f>1811+(507.5-297.5)+(-1.84722+(-0.51765--0.30345))+0-426.5--0.435030000000068</f>
        <v>1592.8736100000001</v>
      </c>
      <c r="AA220" s="3">
        <f>1760.5+(515.7-302.3)+(-1.79571+(-0.526014--0.308346))+0-414.1--0.422382000000066</f>
        <v>1558.209004</v>
      </c>
      <c r="AB220" s="3">
        <f>1491.4+(620.4-159.6)+(0+(0-0))+0-428.7-0</f>
        <v>1523.5</v>
      </c>
      <c r="AC220" s="3">
        <f>1434.4+(935.5-527.2)+(-2.194632+(-1.431315--0.806616))+0-435.5--0.666315000000025</f>
        <v>1405.0469840000001</v>
      </c>
      <c r="AD220">
        <v>1545.1</v>
      </c>
      <c r="AE220" s="3">
        <f>1871+(1564.2-1450.7)+(0+(0-0))+0-439.4-0</f>
        <v>1545.1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1322.4+(1266-860.5)+(-1.348848+(-1.29132--0.87771))+0-421.8--0.430236000000067</f>
        <v>1304.7677780000004</v>
      </c>
      <c r="G221" s="3">
        <f>1309.1+(1393.5-982.8)+(-0.667641+(-0.710685--0.501228))+0-426--0.217259999999957</f>
        <v>1293.1401619999999</v>
      </c>
      <c r="H221" s="3">
        <f>1178.7+(1147.2-687.3)+(1.803411+(1.755216-1.051569))+0-433.6-0.663408000000025</f>
        <v>1206.84365</v>
      </c>
      <c r="I221" s="3">
        <f>1119.7+(1108.2-605.1)+(-2.284188+(-2.260728--1.234404))+0-421.7--0.860267999999982</f>
        <v>1198.649756</v>
      </c>
      <c r="J221" s="3">
        <f>1119.8+(1115.9-641.2)+(1.142196+(1.138218-0.654024))+0-429.5-0.438090000000068</f>
        <v>1166.1882999999998</v>
      </c>
      <c r="K221" s="3">
        <f>1119.8+(912.9-394.7)+(-1.713294+(-1.396737--0.603891))+0-419.9--0.642447000000024</f>
        <v>1216.2363069999999</v>
      </c>
      <c r="L221" s="3">
        <f>1120.7+(749.3-259.6)+(-1.143114+(-0.764286--0.264792))+0-429.5--0.438090000000068</f>
        <v>1179.6954820000001</v>
      </c>
      <c r="M221" s="3">
        <f>1173.3+(668-184.3)+(0.598383+(0.34068-0.093993))+0-436.9-0.222818999999956</f>
        <v>1220.7222510000004</v>
      </c>
      <c r="N221" s="3">
        <f>1404.9+(542.5-188.7)+(2.149497+(0.830025-0.288711))+0-428.3-0.655299000000025</f>
        <v>1332.435512</v>
      </c>
      <c r="O221" s="3">
        <f>1411.2+(975.7-535.8)+(0.719712+(0.497607-0.273258))+0-429.8-0.219197999999956</f>
        <v>1422.0248630000001</v>
      </c>
      <c r="P221" s="3">
        <f>1463.3+(1382.7-936)+(0.746283+(0.705177-0.47736))+0-419.2-0.213791999999957</f>
        <v>1491.5603079999998</v>
      </c>
      <c r="Q221" s="3">
        <f>1473.1+(1431.4-943.4)+(-3.756405+(-3.65007--2.40567))+0-424.6--1.08272999999994</f>
        <v>1532.5819249999997</v>
      </c>
      <c r="R221" s="3">
        <f>1473.6+(846.1-442.4)+(-3.006144+(-1.726044--0.902496))+0-417.9--0.852515999999982</f>
        <v>1456.4228239999998</v>
      </c>
      <c r="S221" s="3">
        <f>1483.6+(557.3-212.9)+(-3.78318+(-1.421115--0.542895))+0-423.3--1.07941499999994</f>
        <v>1401.118015</v>
      </c>
      <c r="T221" s="3">
        <f>1480.3+(543.8-236.3)+(-0.754953+(-0.277338--0.120513))+0-415.9--0.212108999999958</f>
        <v>1371.200331</v>
      </c>
      <c r="U221" s="3">
        <f>1470.1+(574.1-238.8)+(-2.249253+(-0.878373--0.365364))+0-412.1--0.630513000000024</f>
        <v>1391.1682510000001</v>
      </c>
      <c r="V221" s="3">
        <f>1481.5+(662.3-375.9)+(-0.755565+(-0.337773--0.191709))+0-421.6--0.215015999999957</f>
        <v>1345.6133870000001</v>
      </c>
      <c r="W221" s="3">
        <f>1708.9+(962.7-700.6)+(0+(0-0))+0-447.6-0</f>
        <v>1523.4</v>
      </c>
      <c r="X221" s="3">
        <f>1908+(1013-919.2)+(-0.97308+(-0.51663--0.468792))+0-431.7--0.220166999999956</f>
        <v>1569.2992489999999</v>
      </c>
      <c r="Y221" s="3">
        <f>1927.5+(1154.2-1061.2)+(0.983025+(0.588642-0.541212))+0-435.2-0.221951999999956</f>
        <v>1586.1085030000002</v>
      </c>
      <c r="Z221" s="3">
        <f>1909.4+(1022.9-933.7)+(-2.921382+(-1.565037--1.428561))+0-429--0.656370000000025</f>
        <v>1567.1985119999999</v>
      </c>
      <c r="AA221" s="3">
        <f>1687.4+(963.3-662.3)+(-0.860574+(-0.491283--0.337773))+0-418.1--0.213230999999958</f>
        <v>1569.4991470000002</v>
      </c>
      <c r="AB221" s="3">
        <f>1523.5+(740.1-360.7)+(-1.55397+(-0.754902--0.367914))+0-416.8--0.425136000000066</f>
        <v>1484.5841780000003</v>
      </c>
      <c r="AC221" s="3">
        <f>1507.4+(579.4-265.7)+(-1.537548+(-0.590988--0.271014))+0-434.1--0.442782000000069</f>
        <v>1385.5852600000003</v>
      </c>
      <c r="AD221">
        <v>1608.6</v>
      </c>
      <c r="AE221" s="3">
        <f>1936+(742.7-627.1)+(0+(0-0))+0-443-0</f>
        <v>1608.6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1291.7+(624.7-193)+(-1.317534+(-0.637194--0.19686))+0-433.9--0.442578000000069</f>
        <v>1288.1847100000005</v>
      </c>
      <c r="G222" s="3">
        <f>1106.5+(688.2-148.6)+(1.12863+(0.701964-0.151572))+0-432.5-0.441150000000069</f>
        <v>1214.8378719999998</v>
      </c>
      <c r="H222" s="3">
        <f>1022.4+(792.1-220.8)+(0+(0-0))+0-434.4-0</f>
        <v>1159.2999999999997</v>
      </c>
      <c r="I222" s="3">
        <f>979.9+(822.2-213.3)+(-0.999498+(-0.838644--0.217566))+0-436.6--0.44533200000007</f>
        <v>1151.024756</v>
      </c>
      <c r="J222" s="3">
        <f>979.6+(789.9-207.3)+(2.997576+(2.417094-0.634338))+0-435.7-1.33324200000005</f>
        <v>1129.9470899999997</v>
      </c>
      <c r="K222" s="3">
        <f>979.8+(714.9-114.9)+(0+(0-0))+0-442.5-0</f>
        <v>1137.3</v>
      </c>
      <c r="L222" s="3">
        <f>1001.7+(675.6-130.3)+(-0.510867+(-0.344556--0.066453))+0-437.2--0.222971999999956</f>
        <v>1109.2340019999999</v>
      </c>
      <c r="M222" s="3">
        <f>1053.7+(683-216.9)+(-0.537387+(-0.34833--0.110619))+0-431.7--0.220166999999956</f>
        <v>1087.545069</v>
      </c>
      <c r="N222" s="3">
        <f>1075.7+(774.5-298.9)+(1.645821+(1.184985-0.457317))+0-434.7-0.665091000000025</f>
        <v>1118.3083980000001</v>
      </c>
      <c r="O222" s="3">
        <f>1035.3+(1067.6-451.7)+(0.528003+(0.544476-0.230367))+0-438.5-0.223634999999956</f>
        <v>1213.3184769999998</v>
      </c>
      <c r="P222" s="3">
        <f>985.5+(1552.4-854.8)+(0+(0-0))+0-434.4-0</f>
        <v>1248.7000000000003</v>
      </c>
      <c r="Q222" s="3">
        <f>1150.8+(1366-854.4)+(-1.760724+(-2.08998--1.307232))+0-431.6--0.660348000000025</f>
        <v>1228.916876</v>
      </c>
      <c r="R222" s="3">
        <f>1277.2+(981.9-569.5)+(-1.302744+(-1.001538--0.58089))+0-433.8--0.442476000000069</f>
        <v>1254.519084</v>
      </c>
      <c r="S222" s="3">
        <f>1286.6+(755.1-356.7)+(-2.624664+(-1.540404--0.727668))+0-423--0.862919999999981</f>
        <v>1259.42552</v>
      </c>
      <c r="T222" s="3">
        <f>1286.8+(608.1-235.7)+(-1.968804+(-0.930393--0.360621))+0-425.4--0.650862000000025</f>
        <v>1231.9122860000002</v>
      </c>
      <c r="U222" s="3">
        <f>1302.5+(580-238.2)+(0+(0-0))+0-419.4-0</f>
        <v>1224.9000000000001</v>
      </c>
      <c r="V222" s="3">
        <f>1336+(583.2-283.9)+(0.68136+(0.297432-0.144789))+0-426.1-0.217310999999957</f>
        <v>1209.8166920000003</v>
      </c>
      <c r="W222" s="3">
        <f>1529.5+(716.9-462.1)+(0+(0-0))+0-422.2-0</f>
        <v>1362.1</v>
      </c>
      <c r="X222" s="3">
        <f>1679.8+(728.3-504.8)+(-4.28349+(-1.857165--1.28724))+0-402.4--1.02611999999994</f>
        <v>1497.072705</v>
      </c>
      <c r="Y222" s="3">
        <f>1598+(719.2-433.6)+(-4.0749+(-1.83396--1.10568))+0-404.5--1.03147499999994</f>
        <v>1475.3282949999998</v>
      </c>
      <c r="Z222" s="3">
        <f>1513.7+(766.6-424.2)+(-3.087948+(-1.563864--0.865368))+0-409.5--0.835379999999982</f>
        <v>1443.648936</v>
      </c>
      <c r="AA222" s="3">
        <f>1514.7+(725.9-444.5)+(0+(0-0))+0-399.1-0</f>
        <v>1397</v>
      </c>
      <c r="AB222" s="3">
        <f>1477.7+(636.1-267.6)+(-3.014508+(-1.297644--0.545904))+0-421.9--0.860675999999982</f>
        <v>1421.3944280000003</v>
      </c>
      <c r="AC222" s="3">
        <f>1305.9+(563.6-159.5)+(-3.330045+(-1.43718--0.406725))+0-398.8--1.01693999999994</f>
        <v>1307.85644</v>
      </c>
      <c r="AD222">
        <v>1522</v>
      </c>
      <c r="AE222" s="3">
        <f>1685+(709.9-444.8)+(0+(0-0))+0-428.1-0</f>
        <v>1522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1281+(1199.8-937.6)+(-2.61324+(-2.447592--1.912704))+0-435.2--0.887807999999981</f>
        <v>1105.7396799999997</v>
      </c>
      <c r="G223" s="3">
        <f>1283+(1058.2-738.3)+(-0.65433+(-0.539682--0.376533))+0-429--0.218789999999956</f>
        <v>1173.3013109999999</v>
      </c>
      <c r="H223" s="3">
        <f>1186.8+(1010.4-648.3)+(0.605268+(0.515304-0.330633))+0-432.2-0.220421999999956</f>
        <v>1117.2695170000002</v>
      </c>
      <c r="I223" s="3">
        <f>1185.7+(829.5-522.8)+(-1.814121+(-1.269135--0.799884))+0-434.3--0.664479000000025</f>
        <v>1056.4811070000001</v>
      </c>
      <c r="J223" s="3">
        <f>1185.3+(756.8-426.1)+(-0.604503+(-0.385968--0.217311))+0-437.8--0.223277999999956</f>
        <v>1077.650118</v>
      </c>
      <c r="K223" s="3">
        <f>1184.2+(723.1-363.2)+(0+(0-0))+0-431.9-0</f>
        <v>1112.2000000000003</v>
      </c>
      <c r="L223" s="3">
        <f>1185.4+(571-105)+(0+(0-0))+0-433.9-0</f>
        <v>1217.5</v>
      </c>
      <c r="M223" s="3">
        <f>1187.2+(611.9-88.6)+(1.816416+(0.936207-0.135558))+0-430.9-0.659277000000025</f>
        <v>1281.5577879999998</v>
      </c>
      <c r="N223" s="3">
        <f>1225.3+(609.5-129.8)+(1.249806+(0.62169-0.132396))+0-434.3-0.442986000000069</f>
        <v>1271.996114</v>
      </c>
      <c r="O223" s="3">
        <f>1398+(857-456.3)+(0.71298+(0.43707-0.232713))+0-421.8-0.215117999999957</f>
        <v>1377.6022190000003</v>
      </c>
      <c r="P223" s="3">
        <f>1410.1+(1193.6-741.3)+(1.438302+(1.217472-0.756126))+0-413.8-0.422076000000066</f>
        <v>1450.0775719999999</v>
      </c>
      <c r="Q223" s="3">
        <f>1408.8+(1306.6-845.3)+(0.718488+(0.666366-0.431103))+0-407.9-0.208028999999959</f>
        <v>1462.9457219999999</v>
      </c>
      <c r="R223" s="3">
        <f>1408.3+(978-596.8)+(-2.154699+(-1.49634--0.913104))+0-389.6--0.596088000000023</f>
        <v>1397.758153</v>
      </c>
      <c r="S223" s="3">
        <f>1408.5+(752.4-400.8)+(-0.718335+(-0.383724--0.204408))+0-386.6--0.197165999999961</f>
        <v>1372.7995149999997</v>
      </c>
      <c r="T223" s="3">
        <f>1411.8+(695.8-321.9)+(0+(0-0))+0-389-0</f>
        <v>1396.6999999999998</v>
      </c>
      <c r="U223" s="3">
        <f>1411+(781.3-424)+(-2.15883+(-1.195389--0.64872))+0-381.9--0.584307000000022</f>
        <v>1384.278808</v>
      </c>
      <c r="V223" s="3">
        <f>1422.5+(1264.6-924.6)+(2.176425+(1.934838-1.414638))+0-387.1-0.592263000000022</f>
        <v>1377.5043620000001</v>
      </c>
      <c r="W223" s="3">
        <f>1636.7+(1648.5-1341.6)+(1.669434+(1.68147-1.368432))+0-386.8-0.394536000000062</f>
        <v>1558.3879360000001</v>
      </c>
      <c r="X223" s="3">
        <f>1679.6+(1030.3-694)+(-2.569788+(-1.576359--1.06182))+0-398.7--0.610011000000023</f>
        <v>1614.7256839999998</v>
      </c>
      <c r="Y223" s="3">
        <f>1678.4+(650.2-366.9)+(-0.855984+(-0.331602--0.187119))+0-383.5--0.195584999999961</f>
        <v>1577.3951180000001</v>
      </c>
      <c r="Z223" s="3">
        <f>1616+(661.9-384.7)+(-1.64832+(-0.675138--0.392394))+0-380.1--0.387702000000061</f>
        <v>1511.556638</v>
      </c>
      <c r="AA223" s="3">
        <f>1554.9+(669.2-361.6)+(-2.378997+(-1.023876--0.553248))+0-393.3--0.601749000000023</f>
        <v>1466.9521239999999</v>
      </c>
      <c r="AB223" s="3">
        <f>1441.3+(650.7-256.4)+(-2.940252+(-1.327428--0.523056))+0-388--0.791519999999983</f>
        <v>1444.646896</v>
      </c>
      <c r="AC223" s="3">
        <f>1243.5+(637.5-66.8)+(-1.902555+(-0.975375--0.102204))+0-392.8--0.600984000000023</f>
        <v>1419.2252579999999</v>
      </c>
      <c r="AD223">
        <v>1504.8</v>
      </c>
      <c r="AE223" s="3">
        <f>1685+(1250.5-1021.7)+(0+(0-0))+0-409-0</f>
        <v>1504.8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1206.2+(547.4-180.2)+(-0.615162+(-0.279174--0.091902))+0-406.5--0.207314999999959</f>
        <v>1166.304881</v>
      </c>
      <c r="G224" s="3">
        <f>1189.9+(556-207.4)+(-1.820547+(-0.85068--0.317322))+0-411.3--0.629289000000024</f>
        <v>1125.4753840000001</v>
      </c>
      <c r="H224" s="3">
        <f>1188.8+(586-151.6)+(1.212576+(0.59772-0.154632))+0-420.1-0.428502000000067</f>
        <v>1204.3271619999998</v>
      </c>
      <c r="I224" s="3">
        <f>1189.7+(554.3-233.4)+(1.213494+(0.565386-0.238068))+0-421.1-0.429522000000067</f>
        <v>1090.6112899999996</v>
      </c>
      <c r="J224" s="3">
        <f>1189.6+(546.2-211)+(0.606696+(0.278562-0.10761))+0-421.8-0.215117999999957</f>
        <v>1103.5625300000002</v>
      </c>
      <c r="K224" s="3">
        <f>1188.5+(606.5-247)+(0+(0-0))+0-427.3-0</f>
        <v>1120.7</v>
      </c>
      <c r="L224" s="3">
        <f>1189.6+(694.9-337.9)+(0+(0-0))+0-424.2-0</f>
        <v>1122.3999999999999</v>
      </c>
      <c r="M224" s="3">
        <f>1188.7+(647.5-164.8)+(2.424948+(1.3209-0.336192))+0-431.4-0.880055999999981</f>
        <v>1242.5296000000003</v>
      </c>
      <c r="N224" s="3">
        <f>1190.9+(762.9-288.5)+(0.607359+(0.389079-0.147135))+0-429.7-0.219146999999956</f>
        <v>1236.2301560000001</v>
      </c>
      <c r="O224" s="3">
        <f>1271.1+(1359.3-771.1)+(-0.648261+(-0.693243--0.393261))+0-426--0.217259999999957</f>
        <v>1432.5690169999996</v>
      </c>
      <c r="P224" s="3">
        <f>1372.6+(1467.6-1080.7)+(1.400052+(1.496952-1.102314))+0-428.1-0.436662000000068</f>
        <v>1332.7580279999997</v>
      </c>
      <c r="Q224" s="3">
        <f>1410.3+(1710.7-1265.9)+(0+(0-0))+0-436.8-0</f>
        <v>1418.3</v>
      </c>
      <c r="R224" s="3">
        <f>1408.2+(1592.1-1097.9)+(-3.59091+(-4.059855--2.799645))+0-430.4--1.09751999999994</f>
        <v>1468.2463999999998</v>
      </c>
      <c r="S224" s="3">
        <f>1408.8+(1409.5-1014.8)+(0+(0-0))+0-411.2-0</f>
        <v>1392.3</v>
      </c>
      <c r="T224" s="3">
        <f>1409.3+(1353.4-1000.6)+(0.718743+(0.690234-0.510306))+0-417.7-0.213026999999958</f>
        <v>1345.0856439999998</v>
      </c>
      <c r="U224" s="3">
        <f>1409.6+(1552.5-1154.2)+(-1.437792+(-1.58355--1.177284))+0-423.6--0.432072000000068</f>
        <v>1382.8880140000001</v>
      </c>
      <c r="V224" s="3">
        <f>1438.6+(1786.3-1478.7)+(2.201058+(2.733039-2.262411))+0-418-0.639540000000024</f>
        <v>1330.2321459999996</v>
      </c>
      <c r="W224" s="3">
        <f>1670.3+(2347-2111.6)+(1.703706+(2.39394-2.153832))+0-422.3-0.430746000000067</f>
        <v>1484.9130680000001</v>
      </c>
      <c r="X224" s="3">
        <f>1689.4+(2313.5-1813.1)+(-2.584782+(-3.539655--2.774043))+0-439.3--0.672129000000025</f>
        <v>1747.8217350000002</v>
      </c>
      <c r="Y224" s="3">
        <f>1687.6+(1848.4-1475.3)+(-3.442704+(-3.770736--3.009612))+0-435.7--0.888827999999981</f>
        <v>1621.6849999999995</v>
      </c>
      <c r="Z224" s="3">
        <f>1688.3+(1282.5-927.8)+(-2.583099+(-1.962225--1.419534))+0-434.8--0.665244000000025</f>
        <v>1605.739454</v>
      </c>
      <c r="AA224" s="3">
        <f>1688.4+(746.4-392.3)+(-3.444336+(-1.522656--0.800292))+0-429.3--0.875771999999981</f>
        <v>1609.9090719999999</v>
      </c>
      <c r="AB224" s="3">
        <f>1669.8+(459-276.3)+(-4.25799+(-1.17045--0.704565))+0-424.5--1.08247499999994</f>
        <v>1424.3586</v>
      </c>
      <c r="AC224" s="3">
        <f>1495.9+(489.5-237.8)+(-2.288727+(-0.748935--0.363834))+0-381.8--0.584154000000022</f>
        <v>1363.7103260000004</v>
      </c>
      <c r="AD224">
        <v>1677.4999999999995</v>
      </c>
      <c r="AE224" s="3">
        <f>1697+(2207.1-1809.2)+(0+(0-0))+0-417.4-0</f>
        <v>1677.4999999999995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1296.3+(483-77.2)+(-3.966678+(-1.47798--0.236232))+0-381.9--1.16861400000004</f>
        <v>1316.1601880000001</v>
      </c>
      <c r="G225" s="3">
        <f>1228.2+(440.4-90.1)+(-1.879146+(-0.673812--0.137853))+0-378.1--0.578493000000022</f>
        <v>1198.563388</v>
      </c>
      <c r="H225" s="3">
        <f>1189.4+(481.6-126.1)+(-1.819782+(-0.736848--0.192933))+0-387.9--0.593487000000022</f>
        <v>1155.2297900000003</v>
      </c>
      <c r="I225" s="3">
        <f>1189.3+(369.6-124.7)+(-1.213086+(-0.376992--0.127194))+0-393.6--0.401472000000063</f>
        <v>1039.5385879999999</v>
      </c>
      <c r="J225" s="3">
        <f>1189.6+(420.3-108.3)+(3.03348+(1.071765-0.276165))+0-398.3-1.01566499999994</f>
        <v>1106.113415</v>
      </c>
      <c r="K225" s="3">
        <f>1189.4+(534.3-165.1)+(0.606594+(0.272493-0.084201))+0-399.8-0.203897999999959</f>
        <v>1159.3909879999999</v>
      </c>
      <c r="L225" s="3">
        <f>1188.5+(690.6-293.6)+(-0.606135+(-0.352206--0.149736))+0-396.9--0.20241899999996</f>
        <v>1187.9938140000002</v>
      </c>
      <c r="M225" s="3">
        <f>1189.8+(709.6-265.2)+(1.213596+(0.723792-0.270504))+0-378.1-0.38566200000006</f>
        <v>1257.381222</v>
      </c>
      <c r="N225" s="3">
        <f>1242.9+(956.7-684.3)+(0.633879+(0.487917-0.348993))+0-385.2-0.196451999999961</f>
        <v>1130.6763510000003</v>
      </c>
      <c r="O225" s="3">
        <f>1301.9+(1518.8-1171.7)+(1.991907+(2.323764-1.792701))+0-390.7-0.597771000000023</f>
        <v>1260.225199</v>
      </c>
      <c r="P225" s="3">
        <f>1409.5+(1612.3-1239.8)+(2.156535+(2.466819-1.896894))+0-395.6-0.605268000000023</f>
        <v>1388.5211919999999</v>
      </c>
      <c r="Q225" s="3">
        <f>1410+(1630.4-1218.9)+(-3.5955+(-4.15752--3.108195))+0-390--0.994499999999943</f>
        <v>1427.8496749999999</v>
      </c>
      <c r="R225" s="3">
        <f>1410.5+(1551.6-1157.4)+(-2.87742+(-3.165264--2.361096))+0-394.9--0.805595999999983</f>
        <v>1406.9240079999997</v>
      </c>
      <c r="S225" s="3">
        <f>1409.6+(968.8-600.8)+(-2.875584+(-1.976352--1.225632))+0-401.4--0.818855999999982</f>
        <v>1373.3925519999998</v>
      </c>
      <c r="T225" s="3">
        <f>1411.6+(700.9-375.6)+(0.719916+(0.357459-0.191556))+0-400.9-0.204458999999959</f>
        <v>1336.68136</v>
      </c>
      <c r="U225" s="3">
        <f>1406.8+(891.9-564.5)+(-4.304808+(-2.729214--1.72737))+0-396.1--1.21206600000005</f>
        <v>1334.0054139999997</v>
      </c>
      <c r="V225" s="3">
        <f>1415.7+(1063.2-823)+(2.166021+(1.626696-1.25919))+0-399.7-0.611541000000023</f>
        <v>1258.1219860000001</v>
      </c>
      <c r="W225" s="3">
        <f>1641.9+(1702.2-1568.7)+(3.349476+(3.472488-3.200148))+0-397.7-0.811307999999983</f>
        <v>1380.5105080000001</v>
      </c>
      <c r="X225" s="3">
        <f>1681.1+(2025-1605.3)+(-4.286805+(-5.16375--4.093515))+0-400.4--1.02101999999994</f>
        <v>1696.0639800000001</v>
      </c>
      <c r="Y225" s="3">
        <f>1681.4+(1745.6-1379.4)+(-4.28757+(-4.45128--3.51747))+0-400.9--1.02229499999994</f>
        <v>1642.5009149999998</v>
      </c>
      <c r="Z225" s="3">
        <f>1681.7+(1464.1-1121.9)+(-3.430668+(-2.986764--2.288676))+0-402.4--0.820895999999982</f>
        <v>1618.1921399999999</v>
      </c>
      <c r="AA225" s="3">
        <f>1681.4+(1016.3-694.1)+(-4.28757+(-2.591565--1.769955))+0-399.4--1.01846999999994</f>
        <v>1600.1092899999999</v>
      </c>
      <c r="AB225" s="3">
        <f>1681.9+(584.4-317.5)+(1.715538+(0.596088-0.32385))+0-383.4-0.391068000000061</f>
        <v>1566.9967079999999</v>
      </c>
      <c r="AC225" s="3">
        <f>1653.2+(650.8-416.9)+(-3.372528+(-1.327632--0.850476))+0-390.4--0.796415999999983</f>
        <v>1493.6467319999999</v>
      </c>
      <c r="AD225">
        <v>1618.9999999999998</v>
      </c>
      <c r="AE225" s="3">
        <f>1682+(2278.2-1941.9)+(0+(0-0))+0-399.3-0</f>
        <v>1618.9999999999998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1385+(513.7-200.1)+(-2.8254+(-1.047948--0.408204))+0-424.5--0.865979999999981</f>
        <v>1271.5008359999999</v>
      </c>
      <c r="G226" s="3">
        <f>1197.1+(559.2-190.4)+(-2.442084+(-1.140768--0.388416))+0-432.3--0.881891999999981</f>
        <v>1131.287456</v>
      </c>
      <c r="H226" s="3">
        <f>1188.1+(565.5-212.9)+(0+(0-0))+0-435.3-0</f>
        <v>1105.3999999999999</v>
      </c>
      <c r="I226" s="3">
        <f>1188.4+(573-198.5)+(-2.424336+(-1.16892--0.40494))+0-427.6--0.872303999999981</f>
        <v>1132.983988</v>
      </c>
      <c r="J226" s="3">
        <f>1188.3+(565.7-145)+(1.818099+(0.865521-0.22185))+0-428.9-0.656217000000025</f>
        <v>1181.9055529999998</v>
      </c>
      <c r="K226" s="3">
        <f>1186.6+(575.1-177.1)+(0.605166+(0.293301-0.090321))+0-435.4-0.222053999999956</f>
        <v>1149.7860920000003</v>
      </c>
      <c r="L226" s="3">
        <f>1185.5+(578.8-197.9)+(-1.20921+(-0.590376--0.201858))+0-432.5--0.441150000000069</f>
        <v>1132.7434220000002</v>
      </c>
      <c r="M226" s="3">
        <f>1185.8+(622-188.3)+(1.209516+(0.63444-0.192066))+0-429.6-0.438192000000069</f>
        <v>1191.1136980000001</v>
      </c>
      <c r="N226" s="3">
        <f>1186.7+(924.2-510.2)+(1.210434+(0.942684-0.520404))+0-432.9-0.441558000000069</f>
        <v>1168.991156</v>
      </c>
      <c r="O226" s="3">
        <f>1176.3+(1255.5-682.2)+(1.799739+(1.920915-1.043766))+0-429.1-0.656523000000025</f>
        <v>1322.5203649999999</v>
      </c>
      <c r="P226" s="3">
        <f>1331.4+(1269.3-785.5)+(-3.39507+(-3.236715--2.003025))+0-430.6--1.09802999999994</f>
        <v>1381.0692699999997</v>
      </c>
      <c r="Q226" s="3">
        <f>1432.7+(1264.3-881.9)+(-2.192031+(-1.934379--1.349307))+0-425.6--0.651168000000025</f>
        <v>1387.3740650000002</v>
      </c>
      <c r="R226" s="3">
        <f>1412.4+(1152.5-763.2)+(-2.881296+(-2.3511--1.556928))+0-428.2--0.873527999999981</f>
        <v>1370.6980600000002</v>
      </c>
      <c r="S226" s="3">
        <f>1258.2+(1144.3-619.9)+(1.283364+(1.167186-0.632298))+0-423.4-0.431868000000067</f>
        <v>1360.5863839999997</v>
      </c>
      <c r="T226" s="3">
        <f>1224.8+(1204.4-677)+(-1.873944+(-1.842732--1.03581))+0-260--0.397800000000015</f>
        <v>1489.9169340000001</v>
      </c>
      <c r="U226" s="3">
        <f>1225+(1147.9-643)+(-1.87425+(-1.756287--0.98379))+0-435--0.665550000000025</f>
        <v>1292.918803</v>
      </c>
      <c r="V226" s="3">
        <f>1237.2+(1522.6-1049.2)+(0.630972+(0.776526-0.535092))+0-438.8-0.223787999999955</f>
        <v>1272.4486179999999</v>
      </c>
      <c r="W226" s="3">
        <f>1426+(1905.6-1524)+(0.72726+(0.971856-0.77724))+0-440.6-0.224705999999955</f>
        <v>1367.6971699999999</v>
      </c>
      <c r="X226" s="3">
        <f>1438.7+(2037.1-1307.1)+(-2.201211+(-3.116763--1.999863))+0-437--0.668610000000025</f>
        <v>1729.0504989999997</v>
      </c>
      <c r="Y226" s="3">
        <f>1437.4+(1687.1-936.9)+(-3.66537+(-4.302105--2.389095))+0-436.6--1.11332999999994</f>
        <v>1746.53495</v>
      </c>
      <c r="Z226" s="3">
        <f>1438.5+(1108-520.8)+(-0.733635+(-0.56508--0.265608))+0-436.9--0.222818999999956</f>
        <v>1587.9897119999998</v>
      </c>
      <c r="AA226" s="3">
        <f>1437.7+(820.5-175.8)+(-2.199681+(-1.255365--0.268974))+0-435.7--0.666621000000025</f>
        <v>1644.1805490000002</v>
      </c>
      <c r="AB226" s="3">
        <f>1436.4+(624.6-214.4)+(-2.197692+(-0.955638--0.328032))+0-425.9--0.651627000000025</f>
        <v>1418.526329</v>
      </c>
      <c r="AC226" s="3">
        <f>1423.4+(560.4-132.8)+(-3.62967+(-1.42902--0.33864))+0-426.8--1.08833999999994</f>
        <v>1420.5682900000002</v>
      </c>
      <c r="AD226">
        <v>1685.9</v>
      </c>
      <c r="AE226" s="3">
        <f>1442+(1931.9-1232.1)+(0+(0-0))+0-455.9-0</f>
        <v>1685.9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1287.7+(558.3-125.7)+(-1.313454+(-0.569466--0.128214))+0-408.7--0.416874000000065</f>
        <v>1310.262168</v>
      </c>
      <c r="G227" s="3">
        <f>1263.6+(548.8-192.1)+(-0.644436+(-0.279888--0.097971))+0-415.3--0.211802999999958</f>
        <v>1204.3854499999998</v>
      </c>
      <c r="H227" s="3">
        <f>1222+(597.8-254.5)+(-0.62322+(-0.304878--0.129795))+0-430.6--0.219605999999956</f>
        <v>1134.1213029999997</v>
      </c>
      <c r="I227" s="3">
        <f>1222.5+(568.9-233.9)+(-0.623475+(-0.290139--0.119289))+0-417.4--0.212873999999958</f>
        <v>1139.5185490000001</v>
      </c>
      <c r="J227" s="3">
        <f>1222.6+(503.2-208)+(-0.623526+(-0.256632--0.10608))+0-412.4--0.210323999999958</f>
        <v>1104.8362460000001</v>
      </c>
      <c r="K227" s="3">
        <f>1222.3+(460.4-165.8)+(1.246746+(0.469608-0.169116))+0-407.9-0.416058000000065</f>
        <v>1110.1311800000001</v>
      </c>
      <c r="L227" s="3">
        <f>1221.7+(498.8-160.3)+(0.623067+(0.254388-0.081753))+0-410.4-0.209303999999958</f>
        <v>1150.3863980000001</v>
      </c>
      <c r="M227" s="3">
        <f>1222.8+(599.9-196.3)+(1.870884+(0.917847-0.300339))+0-408.2-0.624546000000024</f>
        <v>1220.0638459999998</v>
      </c>
      <c r="N227" s="3">
        <f>1224.7+(799.1-320.5)+(0+(0-0))+0-403.3-0</f>
        <v>1300.0000000000002</v>
      </c>
      <c r="O227" s="3">
        <f>1333.8+(851.7-571.4)+(0+(0-0))+0-398.6-0</f>
        <v>1215.5</v>
      </c>
      <c r="P227" s="3">
        <f>1398+(1195.3-753.7)+(0+(0-0))+0-421.4-0</f>
        <v>1418.1999999999998</v>
      </c>
      <c r="Q227" s="3">
        <f>1396.8+(1324-936.7)+(0+(0-0))+0-422-0</f>
        <v>1362.1</v>
      </c>
      <c r="R227" s="3">
        <f>1396.9+(1271.2-890.7)+(-1.424838+(-1.296624--0.908514))+0-428.4--0.436968000000068</f>
        <v>1347.6240200000002</v>
      </c>
      <c r="S227" s="3">
        <f>1396.4+(1220.7-798)+(-0.712164+(-0.622557--0.40698))+0-426--0.217259999999957</f>
        <v>1392.3895190000001</v>
      </c>
      <c r="T227" s="3">
        <f>1396+(1222.3-852.8)+(-0.71196+(-0.623373--0.434928))+0-431.9--0.220268999999956</f>
        <v>1332.919864</v>
      </c>
      <c r="U227" s="3">
        <f>1395.8+(1191.2-819.3)+(-2.135574+(-1.822536--1.253529))+0-421.9--0.645507000000024</f>
        <v>1343.7409260000002</v>
      </c>
      <c r="V227" s="3">
        <f>1395.8+(1314.5-908.4)+(-0.711858+(-0.670395--0.463284))+0-436.6--0.222665999999956</f>
        <v>1364.6036969999998</v>
      </c>
      <c r="W227" s="3">
        <f>1405.8+(1879.9-1427.9)+(0+(0-0))+0-428.2-0</f>
        <v>1429.6</v>
      </c>
      <c r="X227" s="3">
        <f>1436.6+(1853.2-1143)+(-2.930664+(-3.780528--2.33172))+0-437.6--0.892703999999981</f>
        <v>1705.7132320000003</v>
      </c>
      <c r="Y227" s="3">
        <f>1437.6+(1469.3-738.3)+(-1.466352+(-1.498686--0.753066))+0-432.2--0.440844000000069</f>
        <v>1734.6288719999998</v>
      </c>
      <c r="Z227" s="3">
        <f>1436.6+(965.2-394.2)+(0+(0-0))+0-433.5-0</f>
        <v>1574.1</v>
      </c>
      <c r="AA227" s="3">
        <f>1435.2+(732.1-230.1)+(-2.195856+(-1.120113--0.352053))+0-433.3--0.662949000000025</f>
        <v>1501.5990330000002</v>
      </c>
      <c r="AB227" s="3">
        <f>1433+(722.2-333.8)+(-2.19249+(-1.104966--0.510714))+0-412--0.630360000000024</f>
        <v>1407.2436180000002</v>
      </c>
      <c r="AC227" s="3">
        <f>1296.3+(767.1-258.5)+(-1.983339+(-1.173663--0.395505))+0-408.5--0.625005000000024</f>
        <v>1394.2635080000002</v>
      </c>
      <c r="AD227">
        <v>1653.8999999999999</v>
      </c>
      <c r="AE227" s="3">
        <f>1427+(2145.1-1515.4)+(0+(0-0))+0-402.8-0</f>
        <v>1653.8999999999999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1162.1+(759.3-278.4)+(0+(0-0))+0-413.3-0</f>
        <v>1229.7</v>
      </c>
      <c r="G228" s="3">
        <f>1162.3+(637.9-142.6)+(-1.185546+(-0.650658--0.145452))+0-413.3--0.421566000000066</f>
        <v>1243.030814</v>
      </c>
      <c r="H228" s="3">
        <f>1162+(530.2-105.7)+(-2.9631+(-1.35201--0.269535))+0-410.7--1.04728499999994</f>
        <v>1172.8017099999997</v>
      </c>
      <c r="I228" s="3">
        <f>1162.1+(523.4-116.1)+(0+(0-0))+0-408.4-0</f>
        <v>1161</v>
      </c>
      <c r="J228" s="3">
        <f>1161.2+(515.1-124.3)+(0+(0-0))+0-404-0</f>
        <v>1148</v>
      </c>
      <c r="K228" s="3">
        <f>1161.3+(496.1-130.6)+(0.592263+(0.253011-0.066606))+0-413.4-0.210833999999958</f>
        <v>1113.967834</v>
      </c>
      <c r="L228" s="3">
        <f>1160.6+(592.6-229)+(-1.775718+(-0.906678--0.35037))+0-404.3--0.618579000000023</f>
        <v>1118.1865529999998</v>
      </c>
      <c r="M228" s="3">
        <f>1160.9+(619.8-172)+(-0.592059+(-0.316098--0.08772))+0-393.8--0.20083799999996</f>
        <v>1214.280401</v>
      </c>
      <c r="N228" s="3">
        <f>1254.1+(545.8-235.8)+(0.639591+(0.278358-0.120258))+0-415.6-0.211955999999958</f>
        <v>1149.0857349999999</v>
      </c>
      <c r="O228" s="3">
        <f>1396.3+(741.8-669.4)+(0.712113+(0.378318-0.341394))+0-404.4-0.206243999999959</f>
        <v>1064.8427929999998</v>
      </c>
      <c r="P228" s="3">
        <f>1395.8+(1135.6-814.1)+(0.711858+(0.579156-0.415191))+0-406.8-0.207467999999959</f>
        <v>1311.1683549999998</v>
      </c>
      <c r="Q228" s="3">
        <f>1395.8+(1262.7-1013.9)+(0+(0-0))+0-397.4-0</f>
        <v>1247.1999999999998</v>
      </c>
      <c r="R228" s="3">
        <f>1395.8+(1184.5-814.1)+(-0.711858+(-0.604095--0.415191))+0-401.8--0.204917999999959</f>
        <v>1363.7041559999998</v>
      </c>
      <c r="S228" s="3">
        <f>1394.8+(930.5-504.2)+(-2.134044+(-1.423665--0.771426))+0-406.4--0.621792000000023</f>
        <v>1412.5355089999998</v>
      </c>
      <c r="T228" s="3">
        <f>1396.8+(689-373)+(1.424736+(0.70278-0.38046))+0-409.1-0.417282000000065</f>
        <v>1305.0297739999999</v>
      </c>
      <c r="U228" s="3">
        <f>1395.2+(622.5-305.7)+(-1.423104+(-0.63495--0.311814))+0-420.6--0.429012000000067</f>
        <v>1290.0827720000002</v>
      </c>
      <c r="V228" s="3">
        <f>1396.3+(693.4-439.9)+(0+(0-0))+0-421.9-0</f>
        <v>1227.9000000000001</v>
      </c>
      <c r="W228" s="3">
        <f>1432+(1436.2-1108)+(1.46064+(1.464924-1.13016))+0-410.4-0.418608000000065</f>
        <v>1351.176796</v>
      </c>
      <c r="X228" s="3">
        <f>1443.1+(1669.9-1120.1)+(0+(0-0))+0-417.1-0</f>
        <v>1575.8000000000002</v>
      </c>
      <c r="Y228" s="3">
        <f>1443.6+(1498.3-981.1)+(-4.417416+(-4.584798--3.002166))+0-409.1--1.25184600000005</f>
        <v>1546.9517979999996</v>
      </c>
      <c r="Z228" s="3">
        <f>1443.8+(1223-756.9)+(-1.472676+(-1.24746--0.772038))+0-411.4--0.419628000000066</f>
        <v>1496.9715300000003</v>
      </c>
      <c r="AA228" s="3">
        <f>1444.9+(1118.2-662.9)+(-2.210697+(-1.710846--1.014237))+0-410.5--0.628065000000024</f>
        <v>1487.4207590000003</v>
      </c>
      <c r="AB228" s="3">
        <f>1345.5+(938.7-387.6)+(-2.058615+(-1.436211--0.593028))+0-405.1--0.619803000000023</f>
        <v>1489.2180049999997</v>
      </c>
      <c r="AC228" s="3">
        <f>1320.8+(686.7-97.1)+(-3.36804+(-1.751085--0.247605))+0-410.4--1.04651999999994</f>
        <v>1496.1750000000002</v>
      </c>
      <c r="AD228">
        <v>1587.2</v>
      </c>
      <c r="AE228" s="3">
        <f>1442+(1694-1125.1)+(0+(0-0))+0-423.7-0</f>
        <v>1587.2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1289.6+(510.5-181.9)+(0+(0-0))+0-402.6-0</f>
        <v>1215.5999999999999</v>
      </c>
      <c r="G229" s="3">
        <f>1190.3+(649.4-248.9)+(-0.607053+(-0.331194--0.126939))+0-393.1--0.20048099999996</f>
        <v>1197.0891729999998</v>
      </c>
      <c r="H229" s="3">
        <f>1161.9+(547.4-223.3)+(0+(0-0))+0-396.3-0</f>
        <v>1089.7</v>
      </c>
      <c r="I229" s="3">
        <f>1162.5+(646-278.8)+(0+(0-0))+0-401.8-0</f>
        <v>1127.9000000000001</v>
      </c>
      <c r="J229" s="3">
        <f>1162.2+(639.5-280.2)+(0.592722+(0.326145-0.142902))+0-413.7-0.210986999999958</f>
        <v>1108.3649780000001</v>
      </c>
      <c r="K229" s="3">
        <f>1160.9+(676.1-308.8)+(-1.184118+(-0.689622--0.314976))+0-413.6--0.421872000000066</f>
        <v>1113.4631080000001</v>
      </c>
      <c r="L229" s="3">
        <f>1161+(667-293)+(-1.77633+(-1.02051--0.44829))+0-421.1--0.644283000000024</f>
        <v>1112.195733</v>
      </c>
      <c r="M229" s="3">
        <f>1160.3+(620-277.3)+(-0.591753+(-0.3162--0.141423))+0-403.9--0.205988999999959</f>
        <v>1098.5394590000001</v>
      </c>
      <c r="N229" s="3">
        <f>1118.6+(575.2-212.5)+(0.570486+(0.293352-0.108375))+0-389.5-0.19864499999996</f>
        <v>1092.356818</v>
      </c>
      <c r="O229" s="3">
        <f>1034.8+(651.8-215.1)+(0+(0-0))+0-375.7-0</f>
        <v>1095.8</v>
      </c>
      <c r="P229" s="3">
        <f>1173.4+(589-231.9)+(-1.196868+(-0.60078--0.236538))+0-377.8--0.38535600000006</f>
        <v>1151.5242459999999</v>
      </c>
      <c r="Q229" s="3">
        <f>1213.1+(601.2-352.8)+(-1.856043+(-0.919836--0.539784))+0-376.6--0.576198000000022</f>
        <v>1083.2401029999999</v>
      </c>
      <c r="R229" s="3">
        <f>1212.4+(774.9-527.4)+(-1.854972+(-1.185597--0.806922))+0-367.3--0.561969000000021</f>
        <v>1090.9283220000002</v>
      </c>
      <c r="S229" s="3">
        <f>1179.7+(912.8-498.8)+(-1.804941+(-1.396584--0.763164))+0-400.7--0.613071000000023</f>
        <v>1191.17471</v>
      </c>
      <c r="T229" s="3">
        <f>1163.4+(891.7-482.1)+(-1.186668+(-0.909534--0.491742))+0-389.3--0.397086000000062</f>
        <v>1182.4926260000002</v>
      </c>
      <c r="U229" s="3">
        <f>1160.6+(967.8-485.2)+(-0.591906+(-0.493578--0.247452))+0-391.9--0.19986899999996</f>
        <v>1250.6618369999997</v>
      </c>
      <c r="V229" s="3">
        <f>1107.7+(1020.5-617.3)+(1.694781+(1.561365-0.944469))+0-391.9-0.599607000000023</f>
        <v>1120.71207</v>
      </c>
      <c r="W229" s="3">
        <f>1090.3+(1499.4-1091.8)+(1.668159+(2.294082-1.670454))+0-389.6-0.596088000000023</f>
        <v>1109.9956990000003</v>
      </c>
      <c r="X229" s="3">
        <f>1093.3+(1898.3-1155)+(0.557583+(0.968133-0.58905))+0-406.9-0.207518999999959</f>
        <v>1430.4291469999998</v>
      </c>
      <c r="Y229" s="3">
        <f>1098.3+(1919-1182.2)+(0+(0-0))+0-398.6-0</f>
        <v>1436.5</v>
      </c>
      <c r="Z229" s="3">
        <f>1098.2+(1880.2-1177.4)+(1.120164+(1.917804-1.200948))+0-403.5-0.411570000000064</f>
        <v>1398.92545</v>
      </c>
      <c r="AA229" s="3">
        <f>1098.3+(1647.7-900)+(0+(0-0))+0-400.9-0</f>
        <v>1445.1</v>
      </c>
      <c r="AB229" s="3">
        <f>1098.2+(1334.8-593.3)+(-1.120164+(-1.361496--0.605166))+0-404.8--0.412896000000065</f>
        <v>1433.436402</v>
      </c>
      <c r="AC229" s="3">
        <f>1098.1+(1169.8-465.8)+(-1.680093+(-1.789794--0.712674))+0-371.5--0.568395000000022</f>
        <v>1428.4111819999998</v>
      </c>
      <c r="AD229">
        <v>1434.5000000000002</v>
      </c>
      <c r="AE229" s="3">
        <f>1109+(1941.9-1202.6)+(0+(0-0))+0-413.8-0</f>
        <v>1434.5000000000002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1098.4+(959.9-445.6)+(0+(0-0))+0-399.7-0</f>
        <v>1213</v>
      </c>
      <c r="G230" s="3">
        <f>1016.4+(939.9-422)+(1.036728+(0.958698-0.43044))+0-401.9-0.409938000000064</f>
        <v>1133.5550479999999</v>
      </c>
      <c r="H230" s="3">
        <f>871.2+(916.4-307.3)+(0+(0-0))+0-407.5-0</f>
        <v>1072.8</v>
      </c>
      <c r="I230" s="3">
        <f>854.5+(888.5-300.2)+(-0.87159+(-0.90627--0.306204))+0-405.8--0.413916000000065</f>
        <v>1035.94226</v>
      </c>
      <c r="J230" s="3">
        <f>854.6+(865.7-310.6)+(0+(0-0))+0-408.1-0</f>
        <v>1001.6</v>
      </c>
      <c r="K230" s="3">
        <f>854.5+(942.7-331.2)+(0.435795+(0.480777-0.168912))+0-412-0.210119999999958</f>
        <v>1054.53754</v>
      </c>
      <c r="L230" s="3">
        <f>842.7+(925.3-257)+(-0.859554+(-0.943806--0.26214))+0-413.2--0.421464000000066</f>
        <v>1096.6802439999999</v>
      </c>
      <c r="M230" s="3">
        <f>877.4+(967.3-287.7)+(0.447474+(0.493323-0.146727))+0-416.7-0.212516999999958</f>
        <v>1140.8815529999999</v>
      </c>
      <c r="N230" s="3">
        <f>1067.2+(990.5-387.1)+(1.632816+(1.515465-0.592263))+0-413.1-0.632043000000024</f>
        <v>1259.4239749999997</v>
      </c>
      <c r="O230" s="3">
        <f>1079.4+(1094.8-404.1)+(-0.550494+(-0.558348--0.206091))+0-412.6--0.210425999999958</f>
        <v>1356.8076749999998</v>
      </c>
      <c r="P230" s="3">
        <f>1068.9+(1332.6-634.7)+(1.635417+(2.038878-0.971091))+0-413.6-0.632808000000024</f>
        <v>1355.2703959999997</v>
      </c>
      <c r="Q230" s="3">
        <f>1084.4+(1440.4-682.5)+(0+(0-0))+0-414-0</f>
        <v>1428.3000000000002</v>
      </c>
      <c r="R230" s="3">
        <f>1086+(1086.4-391.8)+(0.55386+(0.554064-0.199818))+0-410.5-0.209354999999958</f>
        <v>1370.7987510000003</v>
      </c>
      <c r="S230" s="3">
        <f>1107+(1093.4-335.2)+(1.12914+(1.115268-0.341904))+0-416-0.424320000000066</f>
        <v>1450.6781839999999</v>
      </c>
      <c r="T230" s="3">
        <f>1136.2+(1054.8-408.3)+(1.158924+(1.075896-0.416466))+0-401.6-0.409632000000064</f>
        <v>1382.5087219999998</v>
      </c>
      <c r="U230" s="3">
        <f>1171.6+(995.5-354.3)+(-0.597516+(-0.507705--0.180693))+0-412.5--0.210374999999958</f>
        <v>1399.5858469999998</v>
      </c>
      <c r="V230" s="3">
        <f>1116.4+(1053.5-444.3)+(0+(0-0))+0-412-0</f>
        <v>1313.6000000000001</v>
      </c>
      <c r="W230" s="3">
        <f>1117.6+(1245.9-494.6)+(1.139952+(1.270818-0.504492))+0-407.5-0.415650000000065</f>
        <v>1462.8906279999999</v>
      </c>
      <c r="X230" s="3">
        <f>1121.7+(1363-479.9)+(0+(0-0))+0-414.8-0</f>
        <v>1590.0000000000002</v>
      </c>
      <c r="Y230" s="3">
        <f>1171.3+(1282.3-434.3)+(0+(0-0))+0-386-0</f>
        <v>1633.3</v>
      </c>
      <c r="Z230" s="3">
        <f>1207.4+(1038.2-425.9)+(-1.847322+(-1.588446--0.651627))+0-391.1--0.598383000000023</f>
        <v>1426.4142420000003</v>
      </c>
      <c r="AA230" s="3">
        <f>1216.8+(1065.1-390.2)+(-1.861704+(-1.629603--0.597006))+0-401.8--0.614754000000023</f>
        <v>1487.6204529999998</v>
      </c>
      <c r="AB230" s="3">
        <f>1238.3+(1278.8-685.4)+(-2.526132+(-2.608752--1.398216))+0-410.5--0.837419999999982</f>
        <v>1418.3007519999999</v>
      </c>
      <c r="AC230" s="3">
        <f>1245+(1367.5-806.1)+(-3.17475+(-3.487125--2.055555))+0-409.1--1.04320499999994</f>
        <v>1393.7368849999998</v>
      </c>
      <c r="AD230">
        <v>1482.3999999999996</v>
      </c>
      <c r="AE230" s="3">
        <f>1120+(1370.2-622.9)+(0+(0-0))+0-384.9-0</f>
        <v>1482.4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1256.2+(1250.3-848.2)+(-1.281324+(-1.275306--0.865164))+0-408.4--0.416568000000065</f>
        <v>1248.625102</v>
      </c>
      <c r="G231" s="3">
        <f>1252.5+(1140.5-738.8)+(-3.193875+(-2.908275--1.88394))+0-411.2--1.04855999999994</f>
        <v>1239.83035</v>
      </c>
      <c r="H231" s="3">
        <f>1204.8+(778.1-396.1)+(0.614448+(0.396831-0.202011))+0-411.4-0.209813999999958</f>
        <v>1175.999454</v>
      </c>
      <c r="I231" s="3">
        <f>1089.7+(813.5-292.6)+(-1.667241+(-1.244655--0.447678))+0-409.4--0.626382000000024</f>
        <v>1199.3621639999997</v>
      </c>
      <c r="J231" s="3">
        <f>1031.3+(775.5-294.5)+(1.577889+(1.186515-0.450585))+0-413.7-0.632961000000024</f>
        <v>1100.2808579999999</v>
      </c>
      <c r="K231" s="3">
        <f>1079.3+(830.9-308.9)+(-2.201772+(-1.695036--0.630156))+0-413.2--0.842927999999982</f>
        <v>1185.6762759999999</v>
      </c>
      <c r="L231" s="3">
        <f>1075.6+(789.9-354.7)+(-2.194224+(-1.611396--0.723588))+0-406.5--0.829259999999982</f>
        <v>1102.0472279999999</v>
      </c>
      <c r="M231" s="3">
        <f>1074.5+(1034.9-438.7)+(-2.19198+(-2.111196--0.894948))+0-407.3--0.830891999999982</f>
        <v>1260.822664</v>
      </c>
      <c r="N231" s="3">
        <f>1120.6+(984.3-406.6)+(-2.286024+(-2.007972--0.829464))+0-408.4--0.833135999999982</f>
        <v>1287.2686039999996</v>
      </c>
      <c r="O231" s="3">
        <f>1257.4+(928.3-399.3)+(-2.565096+(-1.893732--0.814572))+0-408.1--0.832523999999982</f>
        <v>1375.4882680000001</v>
      </c>
      <c r="P231" s="3">
        <f>1281.8+(853.7-316.6)+(0+(0-0))+0-399.5-0</f>
        <v>1419.4</v>
      </c>
      <c r="Q231" s="3">
        <f>1308.7+(818.1-325.6)+(-1.334874+(-0.834462--0.332112))+0-413--0.421260000000066</f>
        <v>1386.784036</v>
      </c>
      <c r="R231" s="3">
        <f>1306.7+(758-242.2)+(-1.332834+(-0.77316--0.247044))+0-403.3--0.411366000000064</f>
        <v>1417.752416</v>
      </c>
      <c r="S231" s="3">
        <f>1307.5+(753.5-209.4)+(-1.33365+(-0.76857--0.213588))+0-406--0.414120000000065</f>
        <v>1444.1254880000001</v>
      </c>
      <c r="T231" s="3">
        <f>1306.9+(718-253.8)+(-0.666519+(-0.36618--0.129438))+0-398.3--0.20313299999996</f>
        <v>1372.0998720000002</v>
      </c>
      <c r="U231" s="3">
        <f>1306.8+(722.7-307.7)+(-0.666468+(-0.368577--0.156927))+0-392.7--0.20027699999996</f>
        <v>1328.4221589999997</v>
      </c>
      <c r="V231" s="3">
        <f>1357.5+(857.2-544.3)+(1.38465+(0.874344-0.555186))+0-353.7-0.360774000000056</f>
        <v>1318.043034</v>
      </c>
      <c r="W231" s="3">
        <f>1562.5+(874-556.3)+(-1.59375+(-0.89148--0.567426))+0-352.4--0.359448000000056</f>
        <v>1526.2416440000002</v>
      </c>
      <c r="X231" s="3">
        <f>1587.8+(914.9-633.1)+(-2.429334+(-1.399797--0.968643))+0-375.5--0.574515000000022</f>
        <v>1491.8140269999999</v>
      </c>
      <c r="Y231" s="3">
        <f>1589.5+(1063.9-774.4)+(-1.62129+(-1.085178--0.789888))+0-385.1--0.392802000000061</f>
        <v>1492.3762220000001</v>
      </c>
      <c r="Z231" s="3">
        <f>1590.4+(1027.4-768.6)+(-0.811104+(-0.523974--0.391986))+0-386.7--0.197216999999961</f>
        <v>1461.7541250000002</v>
      </c>
      <c r="AA231" s="3">
        <f>1579.9+(941.6-594.7)+(-2.417247+(-1.440648--0.909891))+0-402.7--0.616131000000023</f>
        <v>1521.768127</v>
      </c>
      <c r="AB231" s="3">
        <f>1430.5+(850.2-524.1)+(-1.45911+(-0.867204--0.534582))+0-380.5--0.388110000000061</f>
        <v>1374.6963780000001</v>
      </c>
      <c r="AC231" s="3">
        <f>1257.1+(979.2-532.1)+(-2.564484+(-1.997568--1.085484))+0-374.8--0.764591999999984</f>
        <v>1326.6880239999998</v>
      </c>
      <c r="AD231">
        <v>1641.6999999999998</v>
      </c>
      <c r="AE231" s="3">
        <f>1586+(867.6-479.9)+(0+(0-0))+0-332-0</f>
        <v>1641.7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1137.3+(987.6-441.7)+(-0.580023+(-0.503676--0.225267))+0-375.1--0.191300999999962</f>
        <v>1307.432869</v>
      </c>
      <c r="G232" s="3">
        <f>1136.6+(951.3-423.9)+(0.579666+(0.485163-0.216189))+0-374.1-0.190790999999962</f>
        <v>1290.5578489999998</v>
      </c>
      <c r="H232" s="3">
        <f>1136.6+(872.7-428.6)+(0+(0-0))+0-382-0</f>
        <v>1198.6999999999998</v>
      </c>
      <c r="I232" s="3">
        <f>1136.3+(929.6-483.4)+(-1.159026+(-0.948192--0.493068))+0-382.6--0.390252000000061</f>
        <v>1198.6761019999999</v>
      </c>
      <c r="J232" s="3">
        <f>1136.8+(913.8-500.7)+(0.579768+(0.466038-0.255357))+0-381.4-0.194513999999961</f>
        <v>1169.0959350000001</v>
      </c>
      <c r="K232" s="3">
        <f>1136.2+(929.6-534.7)+(-1.158924+(-0.948192--0.545394))+0-384.2--0.391884000000061</f>
        <v>1145.7301620000001</v>
      </c>
      <c r="L232" s="3">
        <f>1136.4+(915-599.5)+(0.579564+(0.46665-0.305745))+0-382.9-0.195278999999961</f>
        <v>1069.5451900000003</v>
      </c>
      <c r="M232" s="3">
        <f>1136+(1018.8-604.7)+(-0.57936+(-0.519588--0.308397))+0-383.4--0.195533999999961</f>
        <v>1166.1049829999997</v>
      </c>
      <c r="N232" s="3">
        <f>1106.3+(968-566.5)+(1.128426+(0.98736-0.57783))+0-381.4-0.389028000000061</f>
        <v>1127.5489279999997</v>
      </c>
      <c r="O232" s="3">
        <f>1121.6+(878.3-578.9)+(-0.572016+(-0.447933--0.295239))+0-382.9--0.195278999999961</f>
        <v>1037.570569</v>
      </c>
      <c r="P232" s="3">
        <f>1290.9+(731.6-546.6)+(-3.291795+(-1.86558--1.39383))+0-385--0.981749999999944</f>
        <v>1088.118205</v>
      </c>
      <c r="Q232" s="3">
        <f>1296.1+(725.8-574)+(-1.322022+(-0.740316--0.58548))+0-385.3--0.393006000000061</f>
        <v>1061.5161479999999</v>
      </c>
      <c r="R232" s="3">
        <f>1256.3+(776.3-601.8)+(-2.562852+(-1.583652--1.227672))+0-394.3--0.804371999999983</f>
        <v>1034.38554</v>
      </c>
      <c r="S232" s="3">
        <f>1255.7+(766.9-617.9)+(-2.561628+(-1.564476--1.260516))+0-380.2--0.775607999999983</f>
        <v>1022.4100200000001</v>
      </c>
      <c r="T232" s="3">
        <f>1258.1+(729-556.8)+(-0.641631+(-0.37179--0.283968))+0-376.9--0.192218999999962</f>
        <v>1052.8627660000002</v>
      </c>
      <c r="U232" s="3">
        <f>1299.9+(780.4-566.8)+(0+(0-0))+0-374.7-0</f>
        <v>1138.8</v>
      </c>
      <c r="V232" s="3">
        <f>1461.5+(764.7-610.6)+(-2.236095+(-1.169991--0.934218))+0-378--0.578340000000022</f>
        <v>1235.7064719999998</v>
      </c>
      <c r="W232" s="3">
        <f>1634+(892.8-880.3)+(-0.83334+(-0.455328--0.448953))+0-387--0.197369999999961</f>
        <v>1258.8576549999998</v>
      </c>
      <c r="X232" s="3">
        <f>1630.5+(1160.1-1063.2)+(-3.32622+(-2.366604--2.168928))+0-388.5--0.792539999999983</f>
        <v>1336.1686439999999</v>
      </c>
      <c r="Y232" s="3">
        <f>1633.5+(1321.4-1151.6)+(-2.499255+(-2.021742--1.761948))+0-390.9--0.598077000000023</f>
        <v>1410.2390280000004</v>
      </c>
      <c r="Z232" s="3">
        <f>1496.7+(1442.9-1152.8)+(-2.289951+(-2.207637--1.763784))+0-390.5--0.597465000000023</f>
        <v>1394.1636610000003</v>
      </c>
      <c r="AA232" s="3">
        <f>1431.7+(1392.9-982.7)+(-3.650835+(-3.551895--2.505885))+21.5-389--0.991949999999944</f>
        <v>1470.695105</v>
      </c>
      <c r="AB232" s="3">
        <f>1272.4+(1449.5-953.8)+(-1.297848+(-1.47849--0.972876))+0-398.9--0.406878000000064</f>
        <v>1367.803416</v>
      </c>
      <c r="AC232" s="3">
        <f>1274.7+(1368.3-870.9)+(-3.250485+(-3.489165--2.220795))+0-399.3--1.01821499999994</f>
        <v>1369.2993599999998</v>
      </c>
      <c r="AD232">
        <v>1411.3</v>
      </c>
      <c r="AE232" s="3">
        <f>1632+(1149.6-984)+(0+(0-0))+0-386.3-0</f>
        <v>1411.3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1276.5+(956.6-538.8)+(-1.30203+(-0.975732--0.549576))+0-407.5--0.415650000000065</f>
        <v>1285.4874640000003</v>
      </c>
      <c r="G233" s="3">
        <f>1275.2+(883.3-504.1)+(0+(0-0))+0-411.5-0</f>
        <v>1242.9000000000001</v>
      </c>
      <c r="H233" s="3">
        <f>1274.8+(828.4-585.6)+(-1.300296+(-0.844968--0.597312))+0-422--0.430440000000067</f>
        <v>1094.4824880000001</v>
      </c>
      <c r="I233" s="3">
        <f>1226.6+(746-533.1)+(-3.12783+(-1.9023--1.359405))+0-417.3--1.06411499999994</f>
        <v>1019.59339</v>
      </c>
      <c r="J233" s="3">
        <f>1224.6+(753.6-489)+(0.624546+(0.384336-0.24939))+0-410.4-0.209303999999958</f>
        <v>1079.3501879999999</v>
      </c>
      <c r="K233" s="3">
        <f>1228.4+(846.1-523.1)+(0+(0-0))+0-413.1-0</f>
        <v>1138.3000000000002</v>
      </c>
      <c r="L233" s="3">
        <f>1237.8+(906.7-587.3)+(1.262556+(0.924834-0.599046))+0-412.3-0.420546000000066</f>
        <v>1146.067798</v>
      </c>
      <c r="M233" s="3">
        <f>1281.2+(850.1-576.8)+(1.306824+(0.867102-0.588336))+0-396.9-0.404838000000063</f>
        <v>1158.7807519999999</v>
      </c>
      <c r="N233" s="3">
        <f>1356.4+(663.4-429.3)+(0+(0-0))+0-418.3-0</f>
        <v>1172.2</v>
      </c>
      <c r="O233" s="3">
        <f>1402.7+(828.6-690.7)+(1.430754+(0.845172-0.704514))+0-396.4-0.404328000000063</f>
        <v>1145.367084</v>
      </c>
      <c r="P233" s="3">
        <f>1408.1+(1466.9-1101.6)+(0.718131+(0.748119-0.561816))+0-434.4-0.221543999999956</f>
        <v>1339.68289</v>
      </c>
      <c r="Q233" s="3">
        <f>1433.8+(1824.5-1495.2)+(0.731238+(0.930495-0.762552))+0-429.8-0.219197999999956</f>
        <v>1333.9799829999999</v>
      </c>
      <c r="R233" s="3">
        <f>1465.3+(1660.1-1271.8)+(-2.989212+(-3.386604--2.594472))+0-442.6--0.902903999999981</f>
        <v>1408.12156</v>
      </c>
      <c r="S233" s="3">
        <f>1486+(1313.6-954.4)+(-3.03144+(-2.679744--1.946976))+0-420.7--0.858227999999982</f>
        <v>1421.5940199999998</v>
      </c>
      <c r="T233" s="3">
        <f>1553.6+(1129.6-900.7)+(-2.377008+(-1.728288--1.378071))+0-421.4--0.644742000000024</f>
        <v>1359.0175169999998</v>
      </c>
      <c r="U233" s="3">
        <f>1584.8+(1097.5-884.1)+(-0.808248+(-0.559725--0.450891))+0-423.5--0.215984999999957</f>
        <v>1373.9989029999999</v>
      </c>
      <c r="V233" s="3">
        <f>1637.8+(1193.8-1024.6)+(0.835278+(0.608838-0.522546))+0-413.8-0.211037999999958</f>
        <v>1393.9105320000001</v>
      </c>
      <c r="W233" s="3">
        <f>1726.7+(1859.4-1657.3)+(-1.761234+(-1.896588--1.690446))+0-416.6--0.424932000000066</f>
        <v>1510.6575560000003</v>
      </c>
      <c r="X233" s="3">
        <f>1793.7+(1815.7-1514.9)+(-5.488722+(-5.556042--4.635594))+0-417.4--1.27724400000005</f>
        <v>1671.9680740000001</v>
      </c>
      <c r="Y233" s="3">
        <f>1814.7+(1480.3-1313.5)+(-2.776491+(-2.264859--2.009655))+0-416.3--0.636939000000024</f>
        <v>1562.8052440000001</v>
      </c>
      <c r="Z233" s="3">
        <f>1816.7+(1354.3-1241.9)+(-0.926517+(-0.690693--0.633369))+0-420.4--0.214403999999957</f>
        <v>1507.9305630000001</v>
      </c>
      <c r="AA233" s="3">
        <f>1812.7+(1007.4-894.5)+(-4.622385+(-2.56887--2.280975))+0-422.5--1.07737499999994</f>
        <v>1499.2670949999997</v>
      </c>
      <c r="AB233" s="3">
        <f>1746+(980.8-905.7)+(-2.67138+(-1.500624--1.385721))+0-418.2--0.639846000000024</f>
        <v>1400.753563</v>
      </c>
      <c r="AC233" s="3">
        <f>1430.4+(1087.2-937.4)+(-1.459008+(-1.108944--0.956148))+0-411.5--0.419730000000066</f>
        <v>1167.5079260000005</v>
      </c>
      <c r="AD233">
        <v>1564.2999999999997</v>
      </c>
      <c r="AE233" s="3">
        <f>1769+(1996.2-1818.5)+(0+(0-0))+0-382.4-0</f>
        <v>1564.3000000000002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1067.6+(1040.9-404.9)+(-0.544476+(-0.530859--0.206499))+0-403.8--0.205937999999959</f>
        <v>1299.1371019999999</v>
      </c>
      <c r="G234" s="3">
        <f>1058.9+(724.5-153.2)+(-2.700195+(-1.847475--0.39066))+0-418.9--1.06819499999994</f>
        <v>1208.2111850000001</v>
      </c>
      <c r="H234" s="3">
        <f>1058.7+(673.3-166.5)+(-0.539937+(-0.343383--0.084915))+0-414--0.211139999999958</f>
        <v>1150.9127349999999</v>
      </c>
      <c r="I234" s="3">
        <f>1058.6+(704.9-194.5)+(-2.159544+(-1.437996--0.39678))+0-422.1--0.861083999999982</f>
        <v>1144.5603239999998</v>
      </c>
      <c r="J234" s="3">
        <f>1058.6+(764.4-248.2)+(-0.539886+(-0.389844--0.126582))+0-422.4--0.215423999999957</f>
        <v>1151.8122760000001</v>
      </c>
      <c r="K234" s="3">
        <f>1059.2+(770.2-252.4)+(-0.540192+(-0.392802--0.128724))+0-423.6--0.216035999999957</f>
        <v>1152.811766</v>
      </c>
      <c r="L234" s="3">
        <f>1058.1+(734.1-256.5)+(-0.539631+(-0.374391--0.130815))+0-420.8--0.214607999999957</f>
        <v>1114.3314009999999</v>
      </c>
      <c r="M234" s="3">
        <f>1058.7+(632.5-85.3)+(0+(0-0))+0-426-0</f>
        <v>1179.9000000000001</v>
      </c>
      <c r="N234" s="3">
        <f>1230.7+(545.1-84.7)+(-0.627657+(-0.278001--0.043197))+0-424.3--0.216392999999957</f>
        <v>1266.1539320000002</v>
      </c>
      <c r="O234" s="3">
        <f>1386.1+(529.5-193.7)+(-1.413822+(-0.54009--0.197574))+0-420.7--0.429114000000067</f>
        <v>1299.8727759999999</v>
      </c>
      <c r="P234" s="3">
        <f>1387.7+(783.5-460.4)+(0+(0-0))+0-435.9-0</f>
        <v>1274.9000000000001</v>
      </c>
      <c r="Q234" s="3">
        <f>1388.1+(1072.1-687.4)+(-0.707931+(-0.546771--0.350574))+0-429.9--0.219248999999956</f>
        <v>1342.215121</v>
      </c>
      <c r="R234" s="3">
        <f>1389.8+(949.4-502.9)+(-0.708798+(-0.484194--0.256479))+0-437.9--0.223328999999956</f>
        <v>1397.6868159999999</v>
      </c>
      <c r="S234" s="3">
        <f>1381.8+(758.9-371.9)+(-2.114154+(-1.161117--0.569007))+0-430.4--0.658512000000025</f>
        <v>1336.3522480000001</v>
      </c>
      <c r="T234" s="3">
        <f>1389+(734-376.8)+(0.70839+(0.37434-0.192168))+0-422.9-0.215678999999957</f>
        <v>1323.9748830000003</v>
      </c>
      <c r="U234" s="3">
        <f>1387.8+(686.5-323.8)+(-1.415556+(-0.70023--0.330276))+0-398.2--0.406164000000063</f>
        <v>1350.920654</v>
      </c>
      <c r="V234" s="3">
        <f>1444.3+(898.2-625.7)+(0+(0-0))+0-408.2-0</f>
        <v>1308.5999999999999</v>
      </c>
      <c r="W234" s="3">
        <f>1747.5+(1263.1-1113.5)+(-1.78245+(-1.288362--1.13577))+0-430.9--0.439518000000069</f>
        <v>1464.7044759999999</v>
      </c>
      <c r="X234" s="3">
        <f>1847.7+(1058.2-819.4)+(-2.826981+(-1.619046--1.253682))+0-419.5--0.641835000000024</f>
        <v>1664.4494900000002</v>
      </c>
      <c r="Y234" s="3">
        <f>1785.2+(904.3-686.3)+(-3.641808+(-1.844772--1.400052))+0-435.4--0.888215999999981</f>
        <v>1564.601688</v>
      </c>
      <c r="Z234" s="3">
        <f>1708.2+(552.1-312.4)+(-0.871182+(-0.281571--0.159324))+0-444.6--0.226745999999955</f>
        <v>1502.5333170000001</v>
      </c>
      <c r="AA234" s="3">
        <f>1570.4+(495.8-178.9)+(-2.402712+(-0.758574--0.273717))+0-431.4--0.660042000000025</f>
        <v>1453.6724730000001</v>
      </c>
      <c r="AB234" s="3">
        <f>1329.2+(754.5-233.6)+(0+(0-0))+0-422.2-0</f>
        <v>1427.8999999999999</v>
      </c>
      <c r="AC234" s="3">
        <f>963.1+(894.1-138.7)+(-2.455905+(-2.279955--0.353685))+0-411.1--1.04830499999994</f>
        <v>1304.0661299999999</v>
      </c>
      <c r="AD234">
        <v>1608.2999999999997</v>
      </c>
      <c r="AE234" s="3">
        <f>1855+(1379.9-1175.2)+(0+(0-0))+0-451.4-0</f>
        <v>1608.2999999999997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960.5+(882.1-186.4)+(0+(0-0))+0-425.8-0</f>
        <v>1230.4000000000001</v>
      </c>
      <c r="G235" s="3">
        <f>952.4+(704.7-58)+(0+(0-0))+0-428.4-0</f>
        <v>1170.6999999999998</v>
      </c>
      <c r="H235" s="3">
        <f>953+(679.8-78.4)+(-0.48603+(-0.346698--0.039984))+0-425.9--0.217208999999957</f>
        <v>1127.9244650000001</v>
      </c>
      <c r="I235" s="3">
        <f>952.5+(606.8-40.7)+(0+(0-0))+0-425-0</f>
        <v>1093.5999999999999</v>
      </c>
      <c r="J235" s="3">
        <f>952.1+(606.2-40.4)+(0.485571+(0.309162-0.020604))+0-429.3-0.218942999999956</f>
        <v>1089.1551860000002</v>
      </c>
      <c r="K235" s="3">
        <f>953.4+(653.2-67.9)+(2.43117+(1.66566-0.173145))+0-437.8-1.11638999999994</f>
        <v>1103.7072950000002</v>
      </c>
      <c r="L235" s="3">
        <f>947.8+(743.1-187.2)+(-1.450134+(-1.136943--0.286416))+0-436.7--0.668151000000025</f>
        <v>1065.3674900000001</v>
      </c>
      <c r="M235" s="3">
        <f>943.1+(749-83)+(1.442943+(1.14597-0.12699))+0-442.9-0.677637000000026</f>
        <v>1167.9842860000001</v>
      </c>
      <c r="N235" s="3">
        <f>1015.3+(874.6-181.9)+(2.071212+(1.784184-0.371076))+0-415.2-0.847007999999982</f>
        <v>1295.437312</v>
      </c>
      <c r="O235" s="3">
        <f>1185.6+(899.6-351.7)+(-0.604656+(-0.458796--0.179367))+0-410.7--0.209456999999958</f>
        <v>1322.125372</v>
      </c>
      <c r="P235" s="3">
        <f>1211.7+(987.1-464.9)+(-0.617967+(-0.503421--0.237099))+0-430--0.219299999999956</f>
        <v>1303.235011</v>
      </c>
      <c r="Q235" s="3">
        <f>1212.2+(1076.1-579)+(0+(0-0))+0-432-0</f>
        <v>1277.3</v>
      </c>
      <c r="R235" s="3">
        <f>1221.6+(1029.3-577.7)+(-3.11508+(-2.624715--1.473135))+0-419.6--1.06997999999994</f>
        <v>1250.4033199999997</v>
      </c>
      <c r="S235" s="3">
        <f>1294.4+(1186-832.2)+(-1.980432+(-1.81458--1.273266))+0-401.5--0.614295000000023</f>
        <v>1244.7925490000002</v>
      </c>
      <c r="T235" s="3">
        <f>1364.1+(1218.1-905.7)+(2.087073+(1.863693-1.385721))+0-389.3-0.595629000000023</f>
        <v>1289.169416</v>
      </c>
      <c r="U235" s="3">
        <f>1414.2+(1313.5-1055.1)+(-1.442484+(-1.33977--1.076202))+0-379.2--0.38678400000006</f>
        <v>1292.0807320000001</v>
      </c>
      <c r="V235" s="3">
        <f>1470+(1264.2-1028.3)+(-0.7497+(-0.644742--0.524433))+0-389.6--0.19869599999996</f>
        <v>1315.6286869999999</v>
      </c>
      <c r="W235" s="3">
        <f>1606.7+(1245.5-1029.4)+(1.638834+(1.27041-1.049988))+0-383.8-0.391476000000061</f>
        <v>1440.4677799999999</v>
      </c>
      <c r="X235" s="3">
        <f>1609.8+(1251.4-929.8)+(-0.820998+(-0.638214--0.474198))+0-384--0.195839999999961</f>
        <v>1546.6108259999999</v>
      </c>
      <c r="Y235" s="3">
        <f>1636.4+(1080.7-796.8)+(0+(0-0))+0-387.2-0</f>
        <v>1533.1000000000001</v>
      </c>
      <c r="Z235" s="3">
        <f>1647.9+(873.3-611.1)+(-3.361716+(-1.781532--1.246644))+0-388.5--0.792539999999983</f>
        <v>1518.4959359999998</v>
      </c>
      <c r="AA235" s="3">
        <f>1548.7+(580.7-268.5)+(-1.579674+(-0.592314--0.27387))+0-392.3--0.400146000000063</f>
        <v>1467.102028</v>
      </c>
      <c r="AB235" s="3">
        <f>1525.1+(500.6-244.9)+(-2.333403+(-0.765918--0.374697))+0-382.2--0.584766000000022</f>
        <v>1396.4601419999999</v>
      </c>
      <c r="AC235" s="3">
        <f>1433.6+(452.8-248.2)+(-0.731136+(-0.230928--0.126582))+0-376.3--0.191912999999962</f>
        <v>1261.2564309999998</v>
      </c>
      <c r="AD235">
        <v>1476.3000000000002</v>
      </c>
      <c r="AE235" s="3">
        <f>1609+(1452.8-1203.2)+(0+(0-0))+0-382.3-0</f>
        <v>1476.3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1248.7+(541.2-257.6)+(-1.273674+(-0.552024--0.262752))+0-375.5--0.38301000000006</f>
        <v>1155.6200640000002</v>
      </c>
      <c r="G236" s="3">
        <f>1244.5+(649.9-407.7)+(0+(0-0))+0-376.4-0</f>
        <v>1110.3000000000002</v>
      </c>
      <c r="H236" s="3">
        <f>1244.4+(688.1-447.4)+(2.538576+(1.403724-0.912696))+0-377.6-0.770303999999984</f>
        <v>1109.7593000000004</v>
      </c>
      <c r="I236" s="3">
        <f>1244.4+(738.7-513.4)+(2.538576+(1.506948-1.047336))+0-378.3-0.771731999999984</f>
        <v>1093.6264560000004</v>
      </c>
      <c r="J236" s="3">
        <f>1243.8+(731.5-491.7)+(0+(0-0))+0-377-0</f>
        <v>1106.5999999999999</v>
      </c>
      <c r="K236" s="3">
        <f>1244.3+(698-482.3)+(1.903779+(1.06794-0.737919))+0-375-0.573750000000022</f>
        <v>1086.66005</v>
      </c>
      <c r="L236" s="3">
        <f>1243.9+(711.5-516.4)+(0+(0-0))+0-373.8-0</f>
        <v>1065.2</v>
      </c>
      <c r="M236" s="3">
        <f>1243.5+(742.2-521.3)+(0.634185+(0.378522-0.265863))+0-380.4-0.194003999999961</f>
        <v>1084.5528400000003</v>
      </c>
      <c r="N236" s="3">
        <f>1246.3+(828.2-545.7)+(0.635613+(0.422382-0.278307))+0-426.1-0.217310999999957</f>
        <v>1103.262377</v>
      </c>
      <c r="O236" s="3">
        <f>1303+(675-447.8)+(1.99359+(1.03275-0.685134))+0-427.9-0.654687000000025</f>
        <v>1103.9865190000003</v>
      </c>
      <c r="P236" s="3">
        <f>1346.8+(618.5-415.9)+(-1.373736+(-0.63087--0.424218))+0-435.1--0.443802000000069</f>
        <v>1113.1634139999999</v>
      </c>
      <c r="Q236" s="3">
        <f>1378.4+(727.3-546.3)+(1.405968+(0.741846-0.557226))+0-373.5-0.38097000000006</f>
        <v>1187.109618</v>
      </c>
      <c r="R236" s="3">
        <f>1388.9+(712.2-542.1)+(-2.833356+(-1.452888--1.105884))+0-425.8--0.868631999999981</f>
        <v>1130.8882719999999</v>
      </c>
      <c r="S236" s="3">
        <f>1389.3+(481.5-319.6)+(0+(0-0))+0-414.4-0</f>
        <v>1136.7999999999997</v>
      </c>
      <c r="T236" s="3">
        <f>1399.2+(438.4-291.9)+(-2.854368+(-0.894336--0.595476))+0-403.7--0.823547999999982</f>
        <v>1139.6703200000002</v>
      </c>
      <c r="U236" s="3">
        <f>1399.2+(390-276.8)+(-0.713592+(-0.1989--0.141168))+0-414.1--0.211190999999958</f>
        <v>1097.7398669999998</v>
      </c>
      <c r="V236" s="3">
        <f>1483.5+(444.8-450)+(-0.756585+(-0.226848--0.2295))+0-412.2--0.210221999999958</f>
        <v>1065.5562889999999</v>
      </c>
      <c r="W236" s="3">
        <f>1670.6+(1347.3-1357.3)+(0.852006+(0.687123-0.692223))+0-393.7-0.20078699999996</f>
        <v>1267.5461189999999</v>
      </c>
      <c r="X236" s="3">
        <f>1670.9+(1790.8-1636.9)+(-1.704318+(-1.826616--1.669638))+0-424.4--0.432888000000068</f>
        <v>1398.9715920000001</v>
      </c>
      <c r="Y236" s="3">
        <f>1670.3+(1821-1653.7)+(-0.851853+(-0.92871--0.843387))+0-421.1--0.214760999999957</f>
        <v>1415.777585</v>
      </c>
      <c r="Z236" s="3">
        <f>1669.8+(1723-1534)+(-2.554794+(-2.63619--2.34702))+0-434--0.664020000000025</f>
        <v>1422.620056</v>
      </c>
      <c r="AA236" s="3">
        <f>1540+(1605.7-1332.8)+(-0.7854+(-0.818907--0.679728))+0-434.3--0.221492999999956</f>
        <v>1377.8969140000002</v>
      </c>
      <c r="AB236" s="3">
        <f>1326.4+(1797-1312)+(-2.029392+(-2.74941--2.00736))+0-418.4--0.640152000000024</f>
        <v>1390.8687100000002</v>
      </c>
      <c r="AC236" s="3">
        <f>1326.5+(1054.7-598.2)+(-1.35303+(-1.075794--0.610164))+0-423--0.431460000000067</f>
        <v>1358.6128000000001</v>
      </c>
      <c r="AD236">
        <v>1413.6999999999998</v>
      </c>
      <c r="AE236" s="3">
        <f>1668+(1757.6-1616.2)+(0+(0-0))+0-395.7-0</f>
        <v>1413.6999999999998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1314.5+(641.9-342.4)+(1.34079+(0.654738-0.349248))+0-442.4-0.451248000000071</f>
        <v>1172.7950319999998</v>
      </c>
      <c r="G237" s="3">
        <f>1308.7+(631.5-382.5)+(0+(0-0))+0-437.4-0</f>
        <v>1120.3000000000002</v>
      </c>
      <c r="H237" s="3">
        <f>1285.8+(636.9-386.4)+(-1.311516+(-0.649638--0.394128))+0-433.6--0.442272000000069</f>
        <v>1101.5752460000001</v>
      </c>
      <c r="I237" s="3">
        <f>1257.1+(638.8-430.6)+(-1.923363+(-0.977364--0.658818))+0-435.9--0.666927000000025</f>
        <v>1027.8250179999998</v>
      </c>
      <c r="J237" s="3">
        <f>1257.3+(618-419.5)+(-1.282446+(-0.63036--0.42789))+0-429.8--0.438396000000069</f>
        <v>1024.9534799999999</v>
      </c>
      <c r="K237" s="3">
        <f>1257.4+(697.9-447.6)+(0.641274+(0.355929-0.228276))+0-434-0.221339999999956</f>
        <v>1074.2475870000001</v>
      </c>
      <c r="L237" s="3">
        <f>1259+(800.7-486.5)+(0.64209+(0.408357-0.248115))+0-428.7-0.218636999999957</f>
        <v>1145.083695</v>
      </c>
      <c r="M237" s="3">
        <f>1257.5+(898.2-518.1)+(0+(0-0))+0-426.4-0</f>
        <v>1211.1999999999998</v>
      </c>
      <c r="N237" s="3">
        <f>1294.5+(1095.5-713.5)+(1.980585+(1.676115-1.091655))+0-426.1-0.651933000000025</f>
        <v>1252.3131119999998</v>
      </c>
      <c r="O237" s="3">
        <f>1400.4+(1748.4-1376)+(0.714204+(0.891684-0.70176))+0-434.5-0.221594999999956</f>
        <v>1338.9825330000001</v>
      </c>
      <c r="P237" s="3">
        <f>1399.5+(1769.3-1354.6)+(-1.42749+(-1.804686--1.381692))+0-428.2--0.436764000000068</f>
        <v>1384.58628</v>
      </c>
      <c r="Q237" s="3">
        <f>1401+(1861.9-1418.4)+(-2.14353+(-2.848707--2.170152))+0-400.7--0.613071000000023</f>
        <v>1441.5909859999999</v>
      </c>
      <c r="R237" s="3">
        <f>1401.3+(1756.9-1340.9)+(-0.714663+(-0.896019--0.683859))+0-407.6--0.207875999999959</f>
        <v>1408.981053</v>
      </c>
      <c r="S237" s="3">
        <f>1400.1+(1532.8-1125.3)+(-1.428102+(-1.563456--1.147806))+0-393.7--0.401574000000063</f>
        <v>1412.4578219999999</v>
      </c>
      <c r="T237" s="3">
        <f>1402+(1481.1-1121.8)+(0+(0-0))+0-407.2-0</f>
        <v>1354.1</v>
      </c>
      <c r="U237" s="3">
        <f>1400.8+(1479.8-1192.9)+(1.428816+(1.509396-1.216758))+0-403.9-0.411978000000064</f>
        <v>1285.1094759999996</v>
      </c>
      <c r="V237" s="3">
        <f>1401.6+(1782.5-1397.2)+(1.429632+(1.81815-1.425144))+0-411.8-0.420036000000066</f>
        <v>1376.502602</v>
      </c>
      <c r="W237" s="3">
        <f>1417.5+(2708.1-2153.3)+(1.44585+(2.762262-2.196366))+0-409.9-0.418098000000065</f>
        <v>1563.9936479999997</v>
      </c>
      <c r="X237" s="3">
        <f>1450.8+(2238.6-1541.4)+(-3.69954+(-5.70843--3.93057))+0-403.1--1.02790499999994</f>
        <v>1740.4505049999998</v>
      </c>
      <c r="Y237" s="3">
        <f>1481.4+(1916.6-1362.3)+(-1.511028+(-1.954932--1.389546))+0-401.2--0.409224000000064</f>
        <v>1632.8328100000001</v>
      </c>
      <c r="Z237" s="3">
        <f>1478.6+(1705.7-1178.6)+(-4.524516+(-5.219442--3.606516))+0-405.3--1.24021800000005</f>
        <v>1595.5027760000003</v>
      </c>
      <c r="AA237" s="3">
        <f>1480.3+(1742.1-1308.1)+(-1.509906+(-1.776942--1.334262))+0-405.6--0.413712000000065</f>
        <v>1507.161126</v>
      </c>
      <c r="AB237" s="3">
        <f>1479.6+(1849-1481.5)+(-2.263788+(-2.82897--2.266695))+0-396.9--0.607257000000023</f>
        <v>1447.981194</v>
      </c>
      <c r="AC237" s="3">
        <f>1443.1+(1806.9-1417.3)+(-1.471962+(-1.843038--1.445646))+0-416.8--0.425136000000066</f>
        <v>1414.4557820000002</v>
      </c>
      <c r="AD237">
        <v>1652.9999999999998</v>
      </c>
      <c r="AE237" s="3">
        <f>1424+(2789.9-2143.6)+(0+(0-0))+0-417.3-0</f>
        <v>1653.0000000000002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1300.4+(1531.8-1142.4)+(0+(0-0))+0-414.1-0</f>
        <v>1275.6999999999998</v>
      </c>
      <c r="G238" s="3">
        <f>1259.6+(1314.9-943.5)+(-1.284792+(-1.341198--0.96237))+0-420.2--0.428604000000067</f>
        <v>1209.5649840000001</v>
      </c>
      <c r="H238" s="3">
        <f>1259.9+(1100.4-744.3)+(-1.285098+(-1.122408--0.759186))+0-417.9--0.426258000000067</f>
        <v>1196.8779380000001</v>
      </c>
      <c r="I238" s="3">
        <f>1260.5+(1142.7-844.4)+(1.28571+(1.165554-0.861288))+0-415-0.423300000000066</f>
        <v>1144.966676</v>
      </c>
      <c r="J238" s="3">
        <f>1261.3+(1115.7-836.4)+(0.643263+(0.569007-0.426564))+0-416.3-0.212312999999958</f>
        <v>1124.8733929999999</v>
      </c>
      <c r="K238" s="3">
        <f>1260.6+(1111.6-798.7)+(1.285812+(1.133832-0.814674))+0-416.4-0.424728000000066</f>
        <v>1158.2802419999998</v>
      </c>
      <c r="L238" s="3">
        <f>1260.4+(1299.3-970.2)+(1.928412+(1.987929-1.484406))+0-415.3-0.635409000000024</f>
        <v>1175.9965260000001</v>
      </c>
      <c r="M238" s="3">
        <f>1310.4+(1572.9-1254.8)+(1.336608+(1.604358-1.279896))+0-388-0.395760000000062</f>
        <v>1241.7653100000002</v>
      </c>
      <c r="N238" s="3">
        <f>1430+(2104.9-1789.9)+(0.7293+(1.073499-0.912849))+0-399.7-0.203846999999959</f>
        <v>1345.986103</v>
      </c>
      <c r="O238" s="3">
        <f>1462+(2070.9-1759.7)+(0+(0-0))+0-399.7-0</f>
        <v>1373.5</v>
      </c>
      <c r="P238" s="3">
        <f>1463.9+(2068.8-1713.2)+(-0.746589+(-1.055088--0.873732))+0-398.8--0.20338799999996</f>
        <v>1419.9754430000003</v>
      </c>
      <c r="Q238" s="3">
        <f>1464.3+(2060.3-1713.1)+(-2.240379+(-3.152259--2.621043))+0-404.7--0.619191000000023</f>
        <v>1404.6475960000002</v>
      </c>
      <c r="R238" s="3">
        <f>1447.8+(1964.1-1539.5)+(0+(0-0))+0-394.2-0</f>
        <v>1478.1999999999998</v>
      </c>
      <c r="S238" s="3">
        <f>1399.5+(1781.9-1378.2)+(0.713745+(0.908769-0.702882))+0-403.7-0.205886999999959</f>
        <v>1400.2137450000002</v>
      </c>
      <c r="T238" s="3">
        <f>1401.8+(1607.3-1233.4)+(1.429836+(1.639446-1.258068))+0-414.8-0.423096000000066</f>
        <v>1362.2881179999999</v>
      </c>
      <c r="U238" s="3">
        <f>1401.2+(1545.1-1149.9)+(0.714612+(0.788001-0.586449))+0-422.1-0.215270999999957</f>
        <v>1375.0008929999999</v>
      </c>
      <c r="V238" s="3">
        <f>1482.4+(1542.5-1222.1)+(2.268072+(2.360025-1.869813))+0-415.4-0.635562000000024</f>
        <v>1389.5227220000002</v>
      </c>
      <c r="W238" s="3">
        <f>1743.5+(1971.9-1805.1)+(0+(0-0))+0-409.9-0</f>
        <v>1500.4</v>
      </c>
      <c r="X238" s="3">
        <f>1834.9+(1964.3-1698)+(-1.871598+(-2.003586--1.73196))+0-403.2--0.411264000000064</f>
        <v>1696.2680399999999</v>
      </c>
      <c r="Y238" s="3">
        <f>1703.2+(1838.7-1492.3)+(-0.868632+(-0.937737--0.761073))+0-412--0.210119999999958</f>
        <v>1636.7648240000005</v>
      </c>
      <c r="Z238" s="3">
        <f>1660.3+(1640.8-1236.1)+(-0.846753+(-0.836808--0.630411))+0-413.7--0.210986999999958</f>
        <v>1650.4578369999997</v>
      </c>
      <c r="AA238" s="3">
        <f>1658+(1512.9-1130.3)+(-1.69116+(-1.543158--1.152906))+0-413.5--0.421770000000066</f>
        <v>1625.4403580000003</v>
      </c>
      <c r="AB238" s="3">
        <f>1649.2+(1466-1022.8)+(0+(0-0))+0-414.8-0</f>
        <v>1677.6000000000001</v>
      </c>
      <c r="AC238" s="3">
        <f>1471.4+(1445-939.4)+(1.500828+(1.4739-0.958188))+0-418.4-0.426768000000067</f>
        <v>1560.1897719999999</v>
      </c>
      <c r="AD238">
        <v>1635.9</v>
      </c>
      <c r="AE238" s="3">
        <f>1807+(2151.5-1892.7)+(0+(0-0))+0-429.9-0</f>
        <v>1635.9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1399.1+(1017.1-759)+(-0.713541+(-0.518721--0.38709))+0-414.1--0.211190999999958</f>
        <v>1242.4660189999995</v>
      </c>
      <c r="G239" s="3">
        <f>1351.7+(968-747.3)+(-0.689367+(-0.49368--0.381123))+0-407.8--0.207977999999959</f>
        <v>1164.0060539999999</v>
      </c>
      <c r="H239" s="3">
        <f>1302+(951.4-766.3)+(-2.65608+(-1.940856--1.563252))+0-413.4--0.843335999999982</f>
        <v>1071.5096519999997</v>
      </c>
      <c r="I239" s="3">
        <f>1301.7+(945.8-769.4)+(3.319335+(2.41179-1.96197))+0-422.7-1.07788499999994</f>
        <v>1058.0912699999999</v>
      </c>
      <c r="J239" s="3">
        <f>1300.9+(974.3-758.5)+(0+(0-0))+0-427-0</f>
        <v>1089.7</v>
      </c>
      <c r="K239" s="3">
        <f>1301.5+(966-702.5)+(-2.65506+(-1.97064--1.4331))+0-425.5--0.868019999999981</f>
        <v>1137.1754199999998</v>
      </c>
      <c r="L239" s="3">
        <f>1300.6+(1020.4-800.7)+(1.326612+(1.040808-0.816714))+0-417.1-0.425442000000067</f>
        <v>1104.3252639999998</v>
      </c>
      <c r="M239" s="3">
        <f>1300+(1140.1-847.5)+(1.989+(1.744353-1.296675))+0-402.2-0.615366000000023</f>
        <v>1192.2213119999999</v>
      </c>
      <c r="N239" s="3">
        <f>1301.3+(1221.6-890.9)+(1.327326+(1.246032-0.908718))+0-401-0.409020000000064</f>
        <v>1232.2556199999999</v>
      </c>
      <c r="O239" s="3">
        <f>1337+(1585.9-1159.3)+(2.04561+(2.426427-1.773729))+0-313.4-0.479502000000018</f>
        <v>1452.4188060000004</v>
      </c>
      <c r="P239" s="3">
        <f>1263.1+(1937.4-1402)+(0.644181+(0.988074-0.71502))+0-376.1-0.191810999999962</f>
        <v>1423.1254240000001</v>
      </c>
      <c r="Q239" s="3">
        <f>1258.3+(1711.5-1137.6)+(-3.208665+(-4.364325--2.90088))+0-398.2--1.01540999999994</f>
        <v>1430.3433</v>
      </c>
      <c r="R239" s="3">
        <f>1255.8+(1543.5-1000.8)+(-3.20229+(-3.935925--2.55204))+0-401.9--1.02484499999994</f>
        <v>1393.0386699999999</v>
      </c>
      <c r="S239" s="3">
        <f>1258.8+(1489.6-949.2)+(-0.641988+(-0.759696--0.484092))+0-401.1--0.204560999999959</f>
        <v>1397.3869689999997</v>
      </c>
      <c r="T239" s="3">
        <f>1260.1+(1438.8-890.2)+(0.642651+(0.733788-0.454002))+0-412.6-0.210425999999958</f>
        <v>1396.8120109999998</v>
      </c>
      <c r="U239" s="3">
        <f>1261+(1457.2-874.2)+(0+(0-0))+0-452.9-0</f>
        <v>1391.1</v>
      </c>
      <c r="V239" s="3">
        <f>1395+(1480.7-980.6)+(-0.71145+(-0.755157--0.500106))+0-498--0.253979999999949</f>
        <v>1396.3874789999998</v>
      </c>
      <c r="W239" s="3">
        <f>1668.2+(1791.8-1469.7)+(0+(0-0))+0-513.3-0</f>
        <v>1477</v>
      </c>
      <c r="X239" s="3">
        <f>1670.3+(1758.3-1290.3)+(-2.555559+(-2.690199--1.974159))+0-523--0.80019000000003</f>
        <v>1612.828591</v>
      </c>
      <c r="Y239" s="3">
        <f>1669.6+(1570.3-1112.1)+(-2.554488+(-2.402559--1.701513))+0-519--0.79407000000003</f>
        <v>1606.3385360000002</v>
      </c>
      <c r="Z239" s="3">
        <f>1668.7+(1525-1134.1)+(-2.553111+(-2.33325--1.735173))+0-523.3--0.80064900000003</f>
        <v>1533.9494610000006</v>
      </c>
      <c r="AA239" s="3">
        <f>1670.6+(1527-1216.4)+(-1.704012+(-1.55754--1.240728))+0-512.6--0.522852000000082</f>
        <v>1467.1020279999998</v>
      </c>
      <c r="AB239" s="3">
        <f>1624.6+(1494.7-1157.9)+(-2.485638+(-2.286891--1.771587))+0-512.8--0.78458400000003</f>
        <v>1446.383642</v>
      </c>
      <c r="AC239" s="3">
        <f>1416.7+(1388.9-783.1)+(-0.722517+(-0.708339--0.399381))+0-523.1--0.266780999999947</f>
        <v>1498.6353059999999</v>
      </c>
      <c r="AD239">
        <v>1528.6999999999998</v>
      </c>
      <c r="AE239" s="3">
        <f>1669+(2067.1-1676.5)+(0+(0-0))+0-530.9-0</f>
        <v>1528.6999999999998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1369.1+(1071.7-618.8)+(0.698241+(0.546567-0.315588))+0-507.5-0.258824999999949</f>
        <v>1315.1703950000001</v>
      </c>
      <c r="G240" s="3">
        <f>1253.5+(880-553)+(0.639285+(0.4488-0.28203))+0-515.9-0.263108999999948</f>
        <v>1065.1429459999999</v>
      </c>
      <c r="H240" s="3">
        <f>1252.7+(916.2-634)+(0+(0-0))+0-514.7-0</f>
        <v>1020.2</v>
      </c>
      <c r="I240" s="3">
        <f>1252.9+(944.4-604.9)+(0+(0-0))+0-512.7-0</f>
        <v>1079.7</v>
      </c>
      <c r="J240" s="3">
        <f>1253.4+(880.7-540.7)+(0.639234+(0.449157-0.275757))+0-508.6-0.259385999999948</f>
        <v>1085.3532480000001</v>
      </c>
      <c r="K240" s="3">
        <f>1252.1+(835.8-498.3)+(1.277142+(0.852516-0.508266))+0-503.2-0.51326400000008</f>
        <v>1087.5081279999997</v>
      </c>
      <c r="L240" s="3">
        <f>1252.9+(856.9-548.4)+(-1.277958+(-0.874038--0.559368))+0-506.3--0.516426000000081</f>
        <v>1054.0237980000002</v>
      </c>
      <c r="M240" s="3">
        <f>1252+(811.4-532.8)+(-0.63852+(-0.413814--0.271728))+0-506.6--0.258365999999949</f>
        <v>1023.4777599999998</v>
      </c>
      <c r="N240" s="3">
        <f>1254.1+(836-594.7)+(0+(0-0))+0-491.1-0</f>
        <v>1004.2999999999998</v>
      </c>
      <c r="O240" s="3">
        <f>1305.5+(788.4-582.7)+(0.665805+(0.402084-0.297177))+0-494.8-0.25234799999995</f>
        <v>1016.9183639999999</v>
      </c>
      <c r="P240" s="3">
        <f>1344.7+(778.7-555.2)+(2.057391+(1.191411-0.849456))+0-491.9-0.752607000000028</f>
        <v>1077.9467389999998</v>
      </c>
      <c r="Q240" s="3">
        <f>1229.6+(1058-658.1)+(1.254192+(1.07916-0.671262))+0-475.7-0.485214000000076</f>
        <v>1154.9768759999999</v>
      </c>
      <c r="R240" s="3">
        <f>1228.8+(1017.2-654.3)+(-3.760128+(-3.112632--2.002158))+0-479.2--1.46635200000006</f>
        <v>1109.0957500000002</v>
      </c>
      <c r="S240" s="3">
        <f>1230.4+(893.4-511.2)+(-2.510016+(-1.822536--1.042848))+0-486.6--0.992663999999979</f>
        <v>1123.7029600000001</v>
      </c>
      <c r="T240" s="3">
        <f>1231.7+(879.6-503.7)+(0+(0-0))+0-469.8-0</f>
        <v>1137.8000000000002</v>
      </c>
      <c r="U240" s="3">
        <f>1312.2+(790.4-553.7)+(0.669222+(0.403104-0.282387))+0-402-0.205019999999959</f>
        <v>1147.4849190000002</v>
      </c>
      <c r="V240" s="3">
        <f>1579.9+(716.1-660.6)+(-0.805749+(-0.365211--0.336906))+0-423--0.215729999999957</f>
        <v>1211.7816760000001</v>
      </c>
      <c r="W240" s="3">
        <f>1671.5+(1238.8-1048.1)+(0+(0-0))+0-425.7-0</f>
        <v>1436.5</v>
      </c>
      <c r="X240" s="3">
        <f>1669.4+(1258.8-908.3)+(-2.554182+(-1.925964--1.389699))+0-521.1--0.79728300000003</f>
        <v>1496.5068360000002</v>
      </c>
      <c r="Y240" s="3">
        <f>1666.1+(997.8-711.2)+(0+(0-0))+0-519.8-0</f>
        <v>1432.8999999999999</v>
      </c>
      <c r="Z240" s="3">
        <f>1648.6+(852.5-650.1)+(-1.681572+(-0.86955--0.663102))+0-504.4--0.51448800000008</f>
        <v>1345.2264680000001</v>
      </c>
      <c r="AA240" s="3">
        <f>1648.4+(826.2-626.6)+(-1.681368+(-0.842724--0.639132))+0-522.6--0.533052000000083</f>
        <v>1324.0480919999998</v>
      </c>
      <c r="AB240" s="3">
        <f>1443.5+(1000.3-633.2)+(-2.208555+(-1.530459--0.968796))+0-523.3--0.80064900000003</f>
        <v>1285.3304309999999</v>
      </c>
      <c r="AC240" s="3">
        <f>1250.5+(1027.7-595.1)+(-1.913265+(-1.572381--0.910503))+0-519.5--0.79483500000003</f>
        <v>1161.8196919999998</v>
      </c>
      <c r="AD240">
        <v>1591.6</v>
      </c>
      <c r="AE240" s="3">
        <f>1661+(1504.4-1036.9)+(0+(0-0))+0-536.9-0</f>
        <v>1591.6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1249.9+(864.3-422.6)+(-1.912347+(-1.322379--0.646578))+0-523.1--0.80034300000003</f>
        <v>1166.7121949999998</v>
      </c>
      <c r="G241" s="3">
        <f>1238.9+(917.1-492.3)+(-1.263678+(-0.935442--0.502146))+0-528--0.538560000000084</f>
        <v>1134.5415860000003</v>
      </c>
      <c r="H241" s="3">
        <f>1086.9+(1040.6-563.6)+(1.108638+(1.061412-0.574872))+0-514.1-0.524382000000082</f>
        <v>1050.8707960000002</v>
      </c>
      <c r="I241" s="3">
        <f>1066.6+(1023.8-571.4)+(0+(0-0))+0-503.9-0</f>
        <v>1015.1</v>
      </c>
      <c r="J241" s="3">
        <f>1070.1+(1021-551)+(-1.091502+(-1.04142--0.56202))+0-503--0.51306000000008</f>
        <v>1036.042158</v>
      </c>
      <c r="K241" s="3">
        <f>1094.6+(879.2-501)+(-1.116492+(-0.896784--0.51102))+0-506.5--0.516630000000081</f>
        <v>965.31437400000004</v>
      </c>
      <c r="L241" s="3">
        <f>1243+(858.3-503)+(-0.63393+(-0.437733--0.25653))+0-524.6--0.267545999999947</f>
        <v>1073.1524129999998</v>
      </c>
      <c r="M241" s="3">
        <f>1251.9+(704.7-407.8)+(0+(0-0))+0-526.6-0</f>
        <v>1022.2000000000002</v>
      </c>
      <c r="N241" s="3">
        <f>1296.7+(596.8-178)+(0+(0-0))+0-439.2-0</f>
        <v>1276.3</v>
      </c>
      <c r="O241" s="3">
        <f>1460.9+(1095.2-739.9)+(2.235177+(1.675656-1.132047))+0-403-0.616590000000023</f>
        <v>1415.3621960000003</v>
      </c>
      <c r="P241" s="3">
        <f>1464.5+(1382.9-1081.7)+(-2.240685+(-2.115837--1.655001))+0-377.2--0.577116000000022</f>
        <v>1386.375595</v>
      </c>
      <c r="Q241" s="3">
        <f>1461.5+(1375.3-985.8)+(-0.745365+(-0.701403--0.502758))+0-400.3--0.204152999999959</f>
        <v>1449.960143</v>
      </c>
      <c r="R241" s="3">
        <f>1465.6+(1130.4-751.6)+(-2.242368+(-1.729512--1.149948))+0-407.3--0.623169000000024</f>
        <v>1434.901237</v>
      </c>
      <c r="S241" s="3">
        <f>1464.3+(1013-694.5)+(-2.240379+(-1.54989--1.062585))+0-410.2--0.627606000000024</f>
        <v>1370.499922</v>
      </c>
      <c r="T241" s="3">
        <f>1464.1+(962.8-646.7)+(0+(0-0))+0-408.4-0</f>
        <v>1371.7999999999997</v>
      </c>
      <c r="U241" s="3">
        <f>1465.2+(851.4-534.6)+(-0.747252+(-0.434214--0.272646))+0-401.2--0.204611999999959</f>
        <v>1380.0957919999998</v>
      </c>
      <c r="V241" s="3">
        <f>1591.4+(881.2-634.6)+(-0.811614+(-0.449412--0.323646))+0-407.2--0.207671999999959</f>
        <v>1430.0702919999999</v>
      </c>
      <c r="W241" s="3">
        <f>1721.6+(1563.6-1338.9)+(0+(0-0))+0-410.9-0</f>
        <v>1535.3999999999996</v>
      </c>
      <c r="X241" s="3">
        <f>1780.3+(1286.5-1026.6)+(-2.723859+(-1.968345--1.570698))+0-411.8--0.630054000000024</f>
        <v>1625.9085480000001</v>
      </c>
      <c r="Y241" s="3">
        <f>1779.7+(1059.8-836.4)+(-4.538235+(-2.70249--2.13282))+0-421--1.07354999999994</f>
        <v>1578.0656449999997</v>
      </c>
      <c r="Z241" s="3">
        <f>1686+(976.2-707.3)+(-3.43944+(-1.991448--1.442892))+0-419.4--0.855575999999982</f>
        <v>1532.3675800000001</v>
      </c>
      <c r="AA241" s="3">
        <f>1432.1+(1140.1-660.8)+(-1.460742+(-1.162902--0.674016))+0-419.4--0.427788000000067</f>
        <v>1490.4781599999997</v>
      </c>
      <c r="AB241" s="3">
        <f>1294.3+(1187.7-619.1)+(-3.300465+(-3.028635--1.578705))+0-426.6--1.08782999999994</f>
        <v>1432.6374350000001</v>
      </c>
      <c r="AC241" s="3">
        <f>1275.6+(1010.5-478.1)+(-0.650556+(-0.515355--0.243831))+0-420--0.214199999999957</f>
        <v>1387.2921199999998</v>
      </c>
      <c r="AD241">
        <v>1618.8000000000002</v>
      </c>
      <c r="AE241" s="3">
        <f>1762+(1723.3-1444)+(0+(0-0))+0-422.5-0</f>
        <v>1618.8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1259.7+(759.4-407.7)+(-2.569788+(-1.549176--0.831708))+0-421.9--0.860675999999982</f>
        <v>1187.0734199999999</v>
      </c>
      <c r="G242" s="3">
        <f>1255.6+(638.2-356.2)+(-2.561424+(-1.301928--0.726648))+0-426.7--0.870467999999981</f>
        <v>1108.6337639999999</v>
      </c>
      <c r="H242" s="3">
        <f>1255.4+(611.7-321.6)+(0+(0-0))+0-417.4-0</f>
        <v>1128.0999999999999</v>
      </c>
      <c r="I242" s="3">
        <f>1255.3+(696.2-406.6)+(-1.920609+(-1.065186--0.622098))+0-424.5--0.649485000000025</f>
        <v>1118.685788</v>
      </c>
      <c r="J242" s="3">
        <f>1255.7+(648.8-404.7)+(0.640407+(0.330888-0.206397))+0-439.1-0.223940999999955</f>
        <v>1061.2409569999998</v>
      </c>
      <c r="K242" s="3">
        <f>1255.7+(651.6-471.6)+(-0.640407+(-0.332316--0.240516))+0-436.6--0.222665999999956</f>
        <v>998.59045900000001</v>
      </c>
      <c r="L242" s="3">
        <f>1256.1+(709.3-530.8)+(-3.203055+(-1.808715--1.35354))+0-429.1--1.09420499999994</f>
        <v>1002.9359749999999</v>
      </c>
      <c r="M242" s="3">
        <f>1255.6+(658.1-385.5)+(0.640356+(0.335631-0.196605))+0-436.8-0.222767999999956</f>
        <v>1091.9566139999999</v>
      </c>
      <c r="N242" s="3">
        <f>1255.7+(808.5-331.1)+(0.640407+(0.412335-0.168861))+0-425.3-0.216902999999957</f>
        <v>1308.4669779999999</v>
      </c>
      <c r="O242" s="3">
        <f>1350.8+(743.4-364.8)+(-1.377816+(-0.758268--0.372096))+0-410.8--0.419016000000066</f>
        <v>1317.255028</v>
      </c>
      <c r="P242" s="3">
        <f>1443.3+(790-502.4)+(0.736083+(0.4029-0.256224))+0-396.6-0.20226599999996</f>
        <v>1334.9804930000003</v>
      </c>
      <c r="Q242" s="3">
        <f>1522.5+(1057.9-707.4)+(-3.1059+(-2.158116--1.443096))+0-431.9--0.881075999999981</f>
        <v>1438.1601560000001</v>
      </c>
      <c r="R242" s="3">
        <f>1523.3+(1067.5-834.1)+(-6.215064+(-4.3554--3.403128))+0-436.8--1.78214399999996</f>
        <v>1314.5148079999999</v>
      </c>
      <c r="S242" s="3">
        <f>1522.2+(700.9-542.4)+(-0.776322+(-0.357459--0.276624))+0-437--0.222869999999956</f>
        <v>1243.0657130000002</v>
      </c>
      <c r="T242" s="3">
        <f>1453.8+(552.1-312.3)+(0+(0-0))+0-432.3-0</f>
        <v>1261.3</v>
      </c>
      <c r="U242" s="3">
        <f>1399+(672-302.1)+(-2.85396+(-1.37088--0.616284))+0-428.3--0.873731999999981</f>
        <v>1337.8651760000002</v>
      </c>
      <c r="V242" s="3">
        <f>1457.4+(1057.7-474.8)+(0.743274+(0.539427-0.242148))+0-440.1-0.224450999999955</f>
        <v>1601.016102</v>
      </c>
      <c r="W242" s="3">
        <f>1665.8+(1881-1348.6)+(0+(0-0))+0-452.4-0</f>
        <v>1745.7999999999997</v>
      </c>
      <c r="X242" s="3">
        <f>1671.4+(1773.7-1360.1)+(-4.26207+(-4.522935--3.468255))+0-438.2--1.11740999999994</f>
        <v>1642.6006599999998</v>
      </c>
      <c r="Y242" s="3">
        <f>1670.4+(1388.3-1144.4)+(0+(0-0))+0-432.3-0</f>
        <v>1482</v>
      </c>
      <c r="Z242" s="3">
        <f>1670+(1071.1-841.6)+(-3.4068+(-2.185044--1.716864))+0-431--0.879239999999981</f>
        <v>1465.5042599999999</v>
      </c>
      <c r="AA242" s="3">
        <f>1637.2+(921-703.1)+(-0.834972+(-0.46971--0.358581))+0-430.3--0.219452999999956</f>
        <v>1424.0733519999999</v>
      </c>
      <c r="AB242" s="3">
        <f>1543.9+(674-413.5)+(-2.362167+(-1.03122--0.632655))+0-390.6--0.597618000000023</f>
        <v>1411.636886</v>
      </c>
      <c r="AC242" s="3">
        <f>1520.2+(446-214.5)+(-6.202416+(-1.81968--0.87516))+0-399.1--1.62832799999997</f>
        <v>1347.0813919999998</v>
      </c>
      <c r="AD242">
        <v>1337.1999999999998</v>
      </c>
      <c r="AE242" s="3">
        <f>1667+(2054-1507.5)+(0+(0-0))+0-460-0</f>
        <v>1753.5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1351.9+(410.9-137)+(-3.447345+(-1.047795--0.34935))+0-386.5--0.985574999999944</f>
        <v>1236.1397850000001</v>
      </c>
      <c r="G243" s="3">
        <f>1252.4+(630.8-322)+(0.638724+(0.321708-0.16422))+0-392.6-0.20022599999996</f>
        <v>1169.1959860000002</v>
      </c>
      <c r="H243" s="3">
        <f>1253.4+(600.3-271.8)+(-2.556936+(-1.224612--0.554472))+0-405.8--0.827831999999982</f>
        <v>1173.7007560000002</v>
      </c>
      <c r="I243" s="3">
        <f>1253+(702-385.5)+(0+(0-0))+0-437.7-0</f>
        <v>1131.8</v>
      </c>
      <c r="J243" s="3">
        <f>1253.5+(699.9-345.9)+(-1.27857+(-0.713898--0.352818))+0-432.2--0.440844000000069</f>
        <v>1174.1011939999999</v>
      </c>
      <c r="K243" s="3">
        <f>1253+(688.4-378.7)+(1.27806+(0.702168-0.386274))+0-433.4-0.442068000000069</f>
        <v>1130.4518860000001</v>
      </c>
      <c r="L243" s="3">
        <f>1252.7+(624.4-405.6)+(-1.277754+(-0.636888--0.413712))+0-418.9--0.427278000000067</f>
        <v>1051.5263480000003</v>
      </c>
      <c r="M243" s="3">
        <f>1254.2+(611.3-429.5)+(-1.279284+(-0.623526--0.43809))+0-412.6--0.420852000000066</f>
        <v>1022.3561320000001</v>
      </c>
      <c r="N243" s="3">
        <f>1222.6+(567.1-272.8)+(-0.623526+(-0.289221--0.139128))+0-402.5--0.205274999999959</f>
        <v>1113.8316559999998</v>
      </c>
      <c r="O243" s="3">
        <f>1209.5+(595.5-249.2)+(-1.23369+(-0.60741--0.254184))+0-405--0.413100000000065</f>
        <v>1149.626184</v>
      </c>
      <c r="P243" s="3">
        <f>1361.9+(675.5-397.6)+(-2.083707+(-1.033515--0.608328))+0-405.1--0.619803000000023</f>
        <v>1232.8109090000003</v>
      </c>
      <c r="Q243" s="3">
        <f>1401.7+(748.2-481.5)+(-1.429734+(-0.763164--0.49113))+0-417.9--0.426258000000067</f>
        <v>1249.2244900000001</v>
      </c>
      <c r="R243" s="3">
        <f>1400+(658.2-404.6)+(-2.142+(-1.007046--0.619038))+0-414.8--0.634644000000024</f>
        <v>1236.904636</v>
      </c>
      <c r="S243" s="3">
        <f>1401.1+(621.9-388.9)+(-2.143683+(-0.951507--0.595017))+0-412--0.630360000000024</f>
        <v>1220.2301870000001</v>
      </c>
      <c r="T243" s="3">
        <f>1402+(596.4-404.1)+(-2.86008+(-1.216656--0.824364))+0-419.5--0.855779999999982</f>
        <v>1172.4034080000001</v>
      </c>
      <c r="U243" s="3">
        <f>1401.8+(533.5-367.1)+(0+(0-0))+0-412.1-0</f>
        <v>1156.0999999999999</v>
      </c>
      <c r="V243" s="3">
        <f>1405.8+(605.7-434.7)+(0+(0-0))+0-408.5-0</f>
        <v>1168.3</v>
      </c>
      <c r="W243" s="3">
        <f>1620.8+(1030.8-920)+(0.826608+(0.525708-0.4692))+0-416.3-0.212312999999958</f>
        <v>1315.9708029999999</v>
      </c>
      <c r="X243" s="3">
        <f>1663.4+(1324-1139.7)+(0+(0-0))+0-411.1-0</f>
        <v>1436.6</v>
      </c>
      <c r="Y243" s="3">
        <f>1663.5+(1197.6-992.8)+(0.848385+(0.610776-0.506328))+0-407.8-0.207977999999959</f>
        <v>1461.2448550000001</v>
      </c>
      <c r="Z243" s="3">
        <f>1663.4+(1092.6-893.7)+(-1.696668+(-1.114452--0.911574))+0-406.3--0.414426000000065</f>
        <v>1454.5148799999999</v>
      </c>
      <c r="AA243" s="3">
        <f>1644.8+(1006.2-789.9)+(-1.677696+(-1.026324--0.805698))+0-406.8--0.414936000000065</f>
        <v>1452.8166140000001</v>
      </c>
      <c r="AB243" s="3">
        <f>1546+(922.6-626.4)+(-3.15384+(-1.882104--1.277856))+0-405.6--0.827423999999982</f>
        <v>1433.6693359999999</v>
      </c>
      <c r="AC243" s="3">
        <f>1394.2+(902.4-499.9)+(-2.844168+(-1.840896--1.019796))+0-408.1--0.832523999999982</f>
        <v>1385.7672560000001</v>
      </c>
      <c r="AD243">
        <v>1419.6999999999998</v>
      </c>
      <c r="AE243" s="3">
        <f>1663+(1340.5-1184.9)+(0+(0-0))+0-398.9-0</f>
        <v>1419.6999999999998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1263+(822.6-362.8)+(0+(0-0))+0-409.3-0</f>
        <v>1313.5</v>
      </c>
      <c r="G244" s="3">
        <f>1252.6+(798.4-356)+(-3.19413+(-2.03592--0.9078))+0-410.2--1.04600999999994</f>
        <v>1281.52376</v>
      </c>
      <c r="H244" s="3">
        <f>1251.5+(848.7-477.3)+(1.914795+(1.298511-0.730269))+0-385.5-0.589815000000022</f>
        <v>1239.293222</v>
      </c>
      <c r="I244" s="3">
        <f>1252.6+(834.2-442.2)+(-1.277652+(-0.850884--0.451044))+0-384.9--0.392598000000061</f>
        <v>1258.4151060000002</v>
      </c>
      <c r="J244" s="3">
        <f>1251.3+(852.1-446.3)+(3.190815+(2.172855-1.138065))+0-388.5-0.990674999999944</f>
        <v>1271.83493</v>
      </c>
      <c r="K244" s="3">
        <f>1250.8+(893.9-502.2)+(0.637908+(0.455889-0.256122))+0-391.1-0.19946099999996</f>
        <v>1252.0382139999999</v>
      </c>
      <c r="L244" s="3">
        <f>1252.1+(877.8-471.7)+(-1.915713+(-1.343034--0.721701))+0-408.4--0.624852000000024</f>
        <v>1247.8878059999997</v>
      </c>
      <c r="M244" s="3">
        <f>1251.2+(921.9-414.2)+(0.638112+(0.470169-0.211242))+0-415.6-0.211955999999958</f>
        <v>1343.9850830000003</v>
      </c>
      <c r="N244" s="3">
        <f>1253.5+(907-338.2)+(0.639285+(0.46257-0.172482))+0-413.5-0.210884999999958</f>
        <v>1409.5184879999999</v>
      </c>
      <c r="O244" s="3">
        <f>1381.9+(1027-549.8)+(-2.819076+(-2.09508--1.121592))+0-404.4--0.824975999999982</f>
        <v>1451.7324119999998</v>
      </c>
      <c r="P244" s="3">
        <f>1400.6+(1351.6-832.2)+(-0.714306+(-0.689316--0.424422))+0-424.1--0.216290999999957</f>
        <v>1495.1370909999998</v>
      </c>
      <c r="Q244" s="3">
        <f>1401.7+(1526.8-980.3)+(0.714867+(0.778668-0.499953))+0-433.6-0.221135999999956</f>
        <v>1515.3724460000001</v>
      </c>
      <c r="R244" s="3">
        <f>1395+(1393.6-923.4)+(-2.13435+(-2.132208--1.412802))+0-401.6--0.614448000000023</f>
        <v>1461.360692</v>
      </c>
      <c r="S244" s="3">
        <f>1390.4+(1291-775.8)+(-2.127312+(-1.97523--1.186974))+0-415.6--0.635868000000024</f>
        <v>1487.7203000000002</v>
      </c>
      <c r="T244" s="3">
        <f>1391.3+(1373.9-923.6)+(-0.709563+(-0.700689--0.471036))+0-423.5--0.215984999999957</f>
        <v>1417.376769</v>
      </c>
      <c r="U244" s="3">
        <f>1391+(1502.6-1023)+(-2.12823+(-2.298978--1.56519))+0-416.2--0.636786000000024</f>
        <v>1452.1747679999999</v>
      </c>
      <c r="V244" s="3">
        <f>1532.3+(1631-1217.6)+(-0.781473+(-0.83181--0.620976))+0-411.5--0.209864999999958</f>
        <v>1533.4175580000001</v>
      </c>
      <c r="W244" s="3">
        <f>1664+(2245.2-1788.9)+(0.84864+(1.145052-0.912339))+0-429.2-0.218891999999956</f>
        <v>1691.9624609999998</v>
      </c>
      <c r="X244" s="3">
        <f>1674+(1922.7-1523.4)+(-3.41496+(-3.922308--3.107736))+0-430.3--0.877811999999981</f>
        <v>1639.6482800000003</v>
      </c>
      <c r="Y244" s="3">
        <f>1677.7+(1620.6-1298.4)+(0+(0-0))+0-425.9-0</f>
        <v>1574</v>
      </c>
      <c r="Z244" s="3">
        <f>1675.6+(1343.9-1059.4)+(-0.854556+(-0.685389--0.540294))+0-435.4--0.222053999999956</f>
        <v>1523.9224029999996</v>
      </c>
      <c r="AA244" s="3">
        <f>1657.2+(1014.4-744.2)+(-5.071032+(-3.104064--2.277252))+0-427.5--1.30815000000005</f>
        <v>1495.3103060000001</v>
      </c>
      <c r="AB244" s="3">
        <f>1548+(1000-684.7)+(-1.57896+(-1.02--0.698394))+0-416.3--0.424626000000066</f>
        <v>1445.52406</v>
      </c>
      <c r="AC244" s="3">
        <f>1407.9+(865.3-495.6)+(-5.026203+(-3.089121--1.769292))+0-410.1--1.46405700000001</f>
        <v>1362.618025</v>
      </c>
      <c r="AD244">
        <v>1639.3999999999996</v>
      </c>
      <c r="AE244" s="3">
        <f>1682+(2461.9-2053.6)+(0+(0-0))+0-450.9-0</f>
        <v>1639.4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1269.9+(768-372.6)+(-1.942947+(-1.17504--0.570078))+0-426.8--0.653004000000025</f>
        <v>1236.6050950000003</v>
      </c>
      <c r="G245" s="3">
        <f>1251.1+(585-258.9)+(-1.276122+(-0.5967--0.264078))+0-428.1--0.436662000000068</f>
        <v>1147.9279179999999</v>
      </c>
      <c r="H245" s="3">
        <f>1251.3+(533.3-218.6)+(0+(0-0))+0-434.3-0</f>
        <v>1131.7</v>
      </c>
      <c r="I245" s="3">
        <f>1251.2+(486.4-195)+(0+(0-0))+0-434.3-0</f>
        <v>1108.3</v>
      </c>
      <c r="J245" s="3">
        <f>1250.7+(591.8-394.1)+(1.275714+(0.603636-0.401982))+0-409.3-0.417486000000065</f>
        <v>1040.1598820000002</v>
      </c>
      <c r="K245" s="3">
        <f>1251.1+(679.4-320.7)+(1.276122+(0.692988-0.327114))+0-423.1-0.431562000000068</f>
        <v>1187.9104340000001</v>
      </c>
      <c r="L245" s="3">
        <f>1251.8+(495.6-189.1)+(1.915254+(0.758268-0.289323))+0-426.9-0.653157000000025</f>
        <v>1133.1310420000002</v>
      </c>
      <c r="M245" s="3">
        <f>1267.7+(810.8-384.8)+(1.939581+(1.240524-0.588744))+0-427.3-0.653769000000025</f>
        <v>1268.3375920000001</v>
      </c>
      <c r="N245" s="3">
        <f>1447.7+(1090.3-738.1)+(-0.738327+(-0.556053--0.376431))+0-423.9--0.216188999999957</f>
        <v>1375.2982400000003</v>
      </c>
      <c r="O245" s="3">
        <f>1515.5+(1283.8-986)+(-0.772905+(-0.654738--0.50286))+0-414.4--0.211343999999958</f>
        <v>1398.1865610000002</v>
      </c>
      <c r="P245" s="3">
        <f>1513.6+(1465.3-1165.2)+(-0.771936+(-0.747303--0.594252))+0-407.5--0.207824999999959</f>
        <v>1405.4828379999997</v>
      </c>
      <c r="Q245" s="3">
        <f>1524.7+(1731.3-1479.4)+(-2.332791+(-2.648889--2.263482))+0-423--0.647190000000024</f>
        <v>1351.528992</v>
      </c>
      <c r="R245" s="3">
        <f>1525.2+(1583.2-1376.8)+(-2.333556+(-2.422296--2.106504))+0-294--0.449820000000017</f>
        <v>1435.4004720000003</v>
      </c>
      <c r="S245" s="3">
        <f>1522.2+(1263.2-1143)+(-3.105288+(-2.576928--2.33172))+0-259.9--0.530195999999989</f>
        <v>1379.6796999999999</v>
      </c>
      <c r="T245" s="3">
        <f>1435.9+(1172.9-982)+(-0.732309+(-0.598179--0.50082))+0-412.5--0.210374999999958</f>
        <v>1213.680707</v>
      </c>
      <c r="U245" s="3">
        <f>1400.3+(1432.2-847.9)+(2.142459+(2.191266-1.297287))+0-407.1-0.622863000000024</f>
        <v>1579.913575</v>
      </c>
      <c r="V245" s="3">
        <f>1543.8+(1663.5-1375.6)+(-3.93669+(-4.241925--3.50778))+0-409.6--1.04447999999994</f>
        <v>1418.473645</v>
      </c>
      <c r="W245" s="3">
        <f>1672.8+(1957.1-1672.1)+(0.853128+(0.998121-0.852771))+0-409.9-0.209048999999958</f>
        <v>1548.689429</v>
      </c>
      <c r="X245" s="3">
        <f>1583.8+(1931.7-1518.4)+(-4.846428+(-5.911002--4.646304))+0-394.5--1.20717000000005</f>
        <v>1597.696044</v>
      </c>
      <c r="Y245" s="3">
        <f>1345.4+(1904.2-1294.5)+(-1.372308+(-1.942284--1.32039))+0-398.4--0.406368000000064</f>
        <v>1555.1121660000001</v>
      </c>
      <c r="Z245" s="3">
        <f>1321.3+(1846-1251.9)+(-2.695452+(-3.76584--2.553876))+0-394--0.803759999999983</f>
        <v>1518.2963439999999</v>
      </c>
      <c r="AA245" s="3">
        <f>1275.2+(1894.3-1284.2)+(-3.25176+(-4.830465--3.27471))+0-405--1.03274999999994</f>
        <v>1476.5252349999998</v>
      </c>
      <c r="AB245" s="3">
        <f>1273.4+(1698.6-1159.5)+(-1.948302+(-2.598858--1.774035))+0-375.1--0.573903000000022</f>
        <v>1435.2007779999999</v>
      </c>
      <c r="AC245" s="3">
        <f>1272.8+(1410.2-956.9)+(-1.298256+(-1.438404--0.976038))+0-375--0.38250000000006</f>
        <v>1349.7218780000001</v>
      </c>
      <c r="AD245">
        <v>1593.8</v>
      </c>
      <c r="AE245" s="3">
        <f>1671+(1966.9-1622.9)+(0+(0-0))+0-421.2-0</f>
        <v>1593.8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1256.2+(844.8-418)+(1.281324+(0.861696-0.42636))+0-379.4-0.38698800000006</f>
        <v>1304.929672</v>
      </c>
      <c r="G246" s="3">
        <f>1252.9+(699.5-345.6)+(-1.277958+(-0.71349--0.352512))+0-381.2--0.388824000000061</f>
        <v>1224.3498880000002</v>
      </c>
      <c r="H246" s="3">
        <f>1252.4+(750.1-446.8)+(0.638724+(0.382551-0.227868))+0-381-0.194309999999961</f>
        <v>1175.2990970000001</v>
      </c>
      <c r="I246" s="3">
        <f>1252.3+(702.4-415.3)+(0.638673+(0.358224-0.211803))+0-380.9-0.194258999999961</f>
        <v>1159.090835</v>
      </c>
      <c r="J246" s="3">
        <f>1252.6+(685.6-423.8)+(-1.277652+(-0.699312--0.432276))+0-382.3--0.389946000000061</f>
        <v>1130.945258</v>
      </c>
      <c r="K246" s="3">
        <f>1251.7+(722.8-452.2)+(1.276734+(0.737256-0.461244))+0-381.8-0.389436000000061</f>
        <v>1141.6633099999999</v>
      </c>
      <c r="L246" s="3">
        <f>1251.8+(810.4-501)+(-1.276836+(-0.826608--0.51102))+0-383--0.390660000000061</f>
        <v>1176.9982359999999</v>
      </c>
      <c r="M246" s="3">
        <f>1251+(876.1-507.8)+(-0.63801+(-0.446811--0.258978))+0-384.2--0.195941999999961</f>
        <v>1234.4700989999999</v>
      </c>
      <c r="N246" s="3">
        <f>1378.1+(897-545.9)+(0+(0-0))+0-382.2-0</f>
        <v>1346.9999999999998</v>
      </c>
      <c r="O246" s="3">
        <f>1398.8+(1397.2-1008.8)+(0.713388+(0.712572-0.514488))+0-385.4-0.196553999999961</f>
        <v>1402.5149180000001</v>
      </c>
      <c r="P246" s="3">
        <f>1399.3+(1428-1025.3)+(-1.427286+(-1.45656--1.045806))+0-384--0.391680000000061</f>
        <v>1416.5536399999999</v>
      </c>
      <c r="Q246" s="3">
        <f>1400.1+(1455.6-1042.7)+(-3.570255+(-3.71178--2.658885))+0-384.5--0.980474999999944</f>
        <v>1424.8573249999997</v>
      </c>
      <c r="R246" s="3">
        <f>1432.2+(1135.7-805.6)+(-2.191266+(-1.737621--1.232568))+0-384.7--0.588591000000022</f>
        <v>1375.4922720000002</v>
      </c>
      <c r="S246" s="3">
        <f>1397+(979.1-633.2)+(-1.42494+(-0.998682--0.645864))+0-381.8--0.389436000000061</f>
        <v>1359.7116780000003</v>
      </c>
      <c r="T246" s="3">
        <f>1398.3+(1207.6-883.1)+(2.139399+(1.847628-1.351143))+0-361.2-0.552636000000021</f>
        <v>1363.6832479999996</v>
      </c>
      <c r="U246" s="3">
        <f>1401.2+(1407.9-1060.7)+(0.714612+(0.718029-0.540957))+0-361.9-0.184568999999963</f>
        <v>1387.2071150000002</v>
      </c>
      <c r="V246" s="3">
        <f>1450.5+(1537.7-1205.7)+(0+(0-0))+0-366.4-0</f>
        <v>1416.1</v>
      </c>
      <c r="W246" s="3">
        <f>1666.7+(1949.8-1663.4)+(0+(0-0))+0-373-0</f>
        <v>1580.1</v>
      </c>
      <c r="X246" s="3">
        <f>1672.6+(1552.8-1240.8)+(-2.559078+(-2.375784--1.898424))+0-375.8--0.574974000000022</f>
        <v>1606.338536</v>
      </c>
      <c r="Y246" s="3">
        <f>1672+(1128.4-865.3)+(-4.2636+(-2.87742--2.206515))+0-376.3--0.959564999999945</f>
        <v>1554.8250600000001</v>
      </c>
      <c r="Z246" s="3">
        <f>1671.3+(729.8-508.7)+(0+(0-0))+0-381.8-0</f>
        <v>1510.6</v>
      </c>
      <c r="AA246" s="3">
        <f>1664.3+(501.9-299.8)+(-4.243965+(-1.279845--0.76449))+0-380.1--0.969254999999945</f>
        <v>1482.509935</v>
      </c>
      <c r="AB246" s="3">
        <f>1502.2+(590.4-250.3)+(-3.064488+(-1.204416--0.510612))+0-392.7--0.801107999999983</f>
        <v>1446.6428159999998</v>
      </c>
      <c r="AC246" s="3">
        <f>1407.3+(637.3-245.1)+(-2.870892+(-1.300092--0.500004))+0-423.3--0.863531999999982</f>
        <v>1373.392552</v>
      </c>
      <c r="AD246">
        <v>1590.3</v>
      </c>
      <c r="AE246" s="3">
        <f>1668+(2070-1773.2)+(0+(0-0))+0-374.5-0</f>
        <v>1590.3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1259.3+(1018.4-574.8)+(-1.926729+(-1.558152--0.879444))+0-421.2--0.644436000000024</f>
        <v>1279.7389990000001</v>
      </c>
      <c r="G247" s="3">
        <f>1252.3+(785.7-386.7)+(0+(0-0))+0-428.6-0</f>
        <v>1222.6999999999998</v>
      </c>
      <c r="H247" s="3">
        <f>1253.5+(739.4-369.9)+(0+(0-0))+0-423.4-0</f>
        <v>1199.5999999999999</v>
      </c>
      <c r="I247" s="3">
        <f>1252.2+(541.6-207)+(0+(0-0))+0-422.3-0</f>
        <v>1164.5000000000002</v>
      </c>
      <c r="J247" s="3">
        <f>1252.1+(555.6-213.6)+(2.554284+(1.133424-0.435744))+0-427.9-0.872915999999981</f>
        <v>1168.5790479999998</v>
      </c>
      <c r="K247" s="3">
        <f>1252.5+(618.4-255.2)+(2.5551+(1.261536-0.520608))+0-428.3-0.873731999999981</f>
        <v>1189.8222960000001</v>
      </c>
      <c r="L247" s="3">
        <f>1252.8+(624.8-257.7)+(1.277856+(0.637296-0.262854))+0-423-0.431460000000067</f>
        <v>1198.1208379999998</v>
      </c>
      <c r="M247" s="3">
        <f>1252+(646.4-211.3)+(0+(0-0))+0-426.6-0</f>
        <v>1260.5</v>
      </c>
      <c r="N247" s="3">
        <f>1253.6+(859.6-331.3)+(0.639336+(0.438396-0.168963))+0-423.4-0.215933999999957</f>
        <v>1359.1928349999996</v>
      </c>
      <c r="O247" s="3">
        <f>1253.3+(1328.5-744)+(1.278366+(1.35507-0.75888))+0-418.8-0.427176000000067</f>
        <v>1420.4473799999998</v>
      </c>
      <c r="P247" s="3">
        <f>1253.2+(1703.6-1110.4)+(-0.639132+(-0.868836--0.566304))+0-396.3--0.20211299999996</f>
        <v>1449.360449</v>
      </c>
      <c r="Q247" s="3">
        <f>1253.8+(1768.7-1176.2)+(-3.836628+(-5.412222--3.599172))+0-398.5--1.21941000000005</f>
        <v>1443.3697320000001</v>
      </c>
      <c r="R247" s="3">
        <f>1253.7+(1486-935.4)+(-2.557548+(-3.03144--1.908216))+0-406--0.828239999999982</f>
        <v>1395.4474680000003</v>
      </c>
      <c r="S247" s="3">
        <f>1253.9+(1463.9-940.6)+(-0.639489+(-0.746589--0.479706))+0-413.7--0.210986999999958</f>
        <v>1362.8046150000002</v>
      </c>
      <c r="T247" s="3">
        <f>1253.8+(1383.3-830.9)+(0+(0-0))+0-427.9-0</f>
        <v>1378.2999999999997</v>
      </c>
      <c r="U247" s="3">
        <f>1253.5+(1583.1-1004.1)+(0.639285+(0.807381-0.512091))+0-432.4-0.220523999999956</f>
        <v>1400.8140510000001</v>
      </c>
      <c r="V247" s="3">
        <f>1401.3+(1656.2-1182.3)+(0.714663+(0.844662-0.602973))+0-431.8-0.220217999999956</f>
        <v>1444.1361340000001</v>
      </c>
      <c r="W247" s="3">
        <f>1614.5+(2212.5-1836.7)+(-0.823395+(-1.128375--0.936717))+0-429.6--0.219095999999956</f>
        <v>1559.9040429999998</v>
      </c>
      <c r="X247" s="3">
        <f>1674.1+(1683.8-1376.6)+(0+(0-0))+0-429.7-0</f>
        <v>1551.6</v>
      </c>
      <c r="Y247" s="3">
        <f>1667.4+(1489.5-1151.2)+(-3.401496+(-3.03858--2.348448))+0-434.1--0.885563999999981</f>
        <v>1568.3939360000002</v>
      </c>
      <c r="Z247" s="3">
        <f>1550.6+(1358.6-988.6)+(-0.790806+(-0.692886--0.504186))+0-418.3--0.213332999999958</f>
        <v>1501.533827</v>
      </c>
      <c r="AA247" s="3">
        <f>1544.9+(1202.3-871.4)+(-3.151596+(-2.452692--1.777656))+0-425.8--0.868631999999981</f>
        <v>1447.0420000000001</v>
      </c>
      <c r="AB247" s="3">
        <f>1487.4+(1192.2-790.7)+(-2.275722+(-1.824066--1.209771))+0-432.9--0.662337000000025</f>
        <v>1453.7723200000003</v>
      </c>
      <c r="AC247" s="3">
        <f>1349.2+(1151.4-681.9)+(-2.064276+(-1.761642--1.043307))+0-423.7--0.648261000000025</f>
        <v>1392.8656500000002</v>
      </c>
      <c r="AD247">
        <v>1630.6999999999998</v>
      </c>
      <c r="AE247" s="3">
        <f>1674+(1923.7-1525.9)+(0+(0-0))+0-441.1-0</f>
        <v>1630.7000000000003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1264.3+(850.1-425.2)+(-1.289586+(-0.867102--0.433704))+0-425.6--0.434112000000068</f>
        <v>1262.3111280000001</v>
      </c>
      <c r="G248" s="3">
        <f>1255.2+(789.4-391.7)+(-1.280304+(-0.805188--0.399534))+0-435.7--0.444414000000069</f>
        <v>1215.9584560000001</v>
      </c>
      <c r="H248" s="3">
        <f>1254.1+(748-382.2)+(-1.279182+(-0.76296--0.389844))+0-433.5--0.442170000000069</f>
        <v>1185.1898719999999</v>
      </c>
      <c r="I248" s="3">
        <f>1253.8+(610.5-284.9)+(-0.639438+(-0.311355--0.145299))+0-430.2--0.219401999999956</f>
        <v>1148.613908</v>
      </c>
      <c r="J248" s="3">
        <f>1254.3+(544.4-217.6)+(1.279386+(0.555288-0.221952))+0-429.3-0.437886000000068</f>
        <v>1152.9748359999999</v>
      </c>
      <c r="K248" s="3">
        <f>1254.3+(456.5-140.8)+(1.279386+(0.46563-0.143616))+0-433-0.441660000000069</f>
        <v>1138.1597400000001</v>
      </c>
      <c r="L248" s="3">
        <f>1254.6+(534.9-171.9)+(-0.639846+(-0.272799--0.087669))+0-431.7--0.220166999999956</f>
        <v>1185.2951909999997</v>
      </c>
      <c r="M248" s="3">
        <f>1254.1+(677.3-271.3)+(0+(0-0))+0-433-0</f>
        <v>1227.0999999999999</v>
      </c>
      <c r="N248" s="3">
        <f>1253.8+(1205.9-633)+(-0.639438+(-0.615009--0.32283))+0-448--0.228479999999955</f>
        <v>1377.9968630000001</v>
      </c>
      <c r="O248" s="3">
        <f>1240.4+(1607-1057.3)+(0.632604+(0.81957-0.539223))+0-425.1-0.216800999999957</f>
        <v>1365.6961500000002</v>
      </c>
      <c r="P248" s="3">
        <f>1248.5+(2085.6-1468)+(-0.636735+(-1.063656--0.74868))+0-431.7--0.220166999999956</f>
        <v>1433.6684559999999</v>
      </c>
      <c r="Q248" s="3">
        <f>1159.1+(2511.9-1806.3)+(-2.364564+(-5.124276--3.684852))+0-431.1--0.879443999999981</f>
        <v>1430.6754560000002</v>
      </c>
      <c r="R248" s="3">
        <f>1177.8+(2238-1611.8)+(-3.00339+(-5.7069--4.11009))+0-439.9--1.12174499999994</f>
        <v>1360.621545</v>
      </c>
      <c r="S248" s="3">
        <f>1198.7+(1973.9-1415.3)+(-2.445348+(-4.026756--2.887212))+0-430.6--0.878423999999981</f>
        <v>1323.993532</v>
      </c>
      <c r="T248" s="3">
        <f>1199.2+(1991.6-1408.5)+(-1.834776+(-3.047148--2.155005))+0-425.6--0.651168000000025</f>
        <v>1354.6242490000002</v>
      </c>
      <c r="U248" s="3">
        <f>1204.3+(2334.7-1749.5)+(-1.228386+(-2.381394--1.78449))+0-430.4--0.439008000000069</f>
        <v>1357.7137179999997</v>
      </c>
      <c r="V248" s="3">
        <f>1346.1+(1829.8-1362.4)+(-1.373022+(-1.866396--1.389648))+0-427.9--0.436458000000068</f>
        <v>1384.1866879999998</v>
      </c>
      <c r="W248" s="3">
        <f>1619.7+(2074.1-1722.6)+(0.826047+(1.057791-0.878526))+0-423.8-0.216137999999957</f>
        <v>1548.1891740000001</v>
      </c>
      <c r="X248" s="3">
        <f>1659.7+(1826.8-1490.7)+(-5.078682+(-5.590008--4.561542))+0-408--1.24848000000005</f>
        <v>1582.9413319999999</v>
      </c>
      <c r="Y248" s="3">
        <f>1653.9+(1499.7-1198.4)+(-5.904423+(-5.353929--4.278288))+0-408.2--1.45727400000001</f>
        <v>1541.47721</v>
      </c>
      <c r="Z248" s="3">
        <f>1519.6+(1348.6-981.6)+(-2.324988+(-2.063358--1.501848))+0-397.7--0.608481000000023</f>
        <v>1486.6219829999998</v>
      </c>
      <c r="AA248" s="3">
        <f>1419.5+(1231.8-789.7)+(-1.44789+(-1.256436--0.805494))+0-406.6--0.414732000000065</f>
        <v>1453.5158999999996</v>
      </c>
      <c r="AB248" s="3">
        <f>1298.3+(1199-674.4)+(-1.986399+(-1.83447--1.031832))+0-400.9--0.613377000000023</f>
        <v>1419.8243400000001</v>
      </c>
      <c r="AC248" s="3">
        <f>1266.1+(1436.8-950.7)+(-0.645711+(-0.732768--0.484857))+0-402.9--0.205478999999959</f>
        <v>1348.6118569999996</v>
      </c>
      <c r="AD248">
        <v>1597</v>
      </c>
      <c r="AE248" s="3">
        <f>1660+(1753-1392.1)+(0+(0-0))+0-423.9-0</f>
        <v>1597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1252+(812.5-392.8)+(-1.91556+(-1.243125--0.600984))+0-402.6--0.615978000000023</f>
        <v>1267.1582770000002</v>
      </c>
      <c r="G249" s="3">
        <f>1250.9+(808-462.8)+(-1.275918+(-0.82416--0.472056))+0-391.7--0.399534000000062</f>
        <v>1203.1715120000001</v>
      </c>
      <c r="H249" s="3">
        <f>1251.5+(856.7-539.8)+(-2.55306+(-1.747668--1.101192))+0-401.5--0.819059999999982</f>
        <v>1164.519524</v>
      </c>
      <c r="I249" s="3">
        <f>1251.3+(730.9-430.9)+(1.276326+(0.745518-0.439518))+0-407.6-0.415752000000065</f>
        <v>1144.8665739999999</v>
      </c>
      <c r="J249" s="3">
        <f>1250.8+(542.2-233.3)+(-2.551632+(-1.106088--0.475932))+0-408.1--0.832523999999982</f>
        <v>1149.250736</v>
      </c>
      <c r="K249" s="3">
        <f>1251.5+(554.2-245.9)+(-1.914795+(-0.847926--0.376227))+0-411.4--0.629442000000024</f>
        <v>1146.6429480000002</v>
      </c>
      <c r="L249" s="3">
        <f>1251.1+(471.5-149.8)+(0+(0-0))+0-413.2-0</f>
        <v>1159.5999999999999</v>
      </c>
      <c r="M249" s="3">
        <f>1309.4+(465.5-172.1)+(0+(0-0))+0-410.5-0</f>
        <v>1192.3000000000002</v>
      </c>
      <c r="N249" s="3">
        <f>1406.6+(513.2-194.6)+(1.434732+(0.523464-0.198492))+0-415.5-0.423810000000066</f>
        <v>1311.0358939999999</v>
      </c>
      <c r="O249" s="3">
        <f>1516.5+(939.1-650.3)+(-0.773415+(-0.478941--0.331653))+0-419.9--0.214148999999957</f>
        <v>1384.6934460000002</v>
      </c>
      <c r="P249" s="3">
        <f>1401.5+(1579-1151.5)+(-0.714765+(-0.80529--0.587265))+0-425.4--0.216953999999957</f>
        <v>1402.8841640000001</v>
      </c>
      <c r="Q249" s="3">
        <f>1386.7+(1853.2-1416.5)+(-2.121651+(-2.835396--2.167245))+0-411.6--0.629748000000024</f>
        <v>1409.639946</v>
      </c>
      <c r="R249" s="3">
        <f>1368.2+(1550.1-1181.6)+(-2.791128+(-3.162204--2.410464))+0-390.5--0.796619999999983</f>
        <v>1343.4537520000001</v>
      </c>
      <c r="S249" s="3">
        <f>1275.2+(1378-948.5)+(1.300704+(1.40556-0.96747))+0-410.9-0.419118000000065</f>
        <v>1295.119676</v>
      </c>
      <c r="T249" s="3">
        <f>1384.8+(2034.2-1699.4)+(-0.706248+(-1.037442--0.866694))+0-407--0.207569999999959</f>
        <v>1311.930574</v>
      </c>
      <c r="U249" s="3">
        <f>1383.9+(2231.3-1896.6)+(-0.705789+(-1.137963--0.967266))+0-407.3--0.207722999999959</f>
        <v>1310.6312370000003</v>
      </c>
      <c r="V249" s="3">
        <f>1475.7+(1727.4-1442.5)+(-0.752607+(-0.880974--0.735675))+0-430.1--0.219350999999956</f>
        <v>1329.8214450000003</v>
      </c>
      <c r="W249" s="3">
        <f>1544.7+(1859.9-1488.8)+(0.787797+(0.948549-0.759288))+0-429.5-0.219044999999956</f>
        <v>1487.0580130000001</v>
      </c>
      <c r="X249" s="3">
        <f>1542.7+(1351.2-943.2)+(-4.720662+(-4.134672--2.886192))+0-434.8--1.33048800000005</f>
        <v>1511.2613460000002</v>
      </c>
      <c r="Y249" s="3">
        <f>1543.8+(1268.3-895.9)+(-2.362014+(-1.940499--1.370727))+0-431.4--0.660042000000025</f>
        <v>1482.5282559999996</v>
      </c>
      <c r="Z249" s="3">
        <f>1440.2+(1037.7-608.8)+(-2.938008+(-2.116908--1.241952))+0-435.2--0.887807999999981</f>
        <v>1430.9748440000001</v>
      </c>
      <c r="AA249" s="3">
        <f>1417.9+(833-404.1)+(-1.446258+(-0.84966--0.412182))+0-433.6--0.442272000000069</f>
        <v>1411.758536</v>
      </c>
      <c r="AB249" s="3">
        <f>1417.2+(622-230.6)+(-2.168316+(-0.95166--0.352818))+0-437.7--0.669681000000025</f>
        <v>1368.8025229999998</v>
      </c>
      <c r="AC249" s="3">
        <f>1408.2+(574.2-252.4)+(-4.309092+(-1.757052--0.772344))+0-431.3--1.31977800000005</f>
        <v>1294.7259780000002</v>
      </c>
      <c r="AD249">
        <v>1540.9</v>
      </c>
      <c r="AE249" s="3">
        <f>1540+(1748.8-1303.9)+(0+(0-0))+0-444-0</f>
        <v>1540.8999999999999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1258.2+(818.7-427.4)+(1.283364+(0.835074-0.435948))+0-437.6-0.44635200000007</f>
        <v>1213.1361379999996</v>
      </c>
      <c r="G250" s="3">
        <f>1250.7+(718.6-359.9)+(-1.913571+(-1.099458--0.550647))+0-434--0.664020000000025</f>
        <v>1173.6016380000001</v>
      </c>
      <c r="H250" s="3">
        <f>1251+(750.6-444)+(-1.91403+(-1.148418--0.67932))+0-427.8--0.654534000000025</f>
        <v>1128.071406</v>
      </c>
      <c r="I250" s="3">
        <f>1250.6+(720.7-440.6)+(-1.275612+(-0.735114--0.449412))+0-429.9--0.438498000000069</f>
        <v>1099.6771839999997</v>
      </c>
      <c r="J250" s="3">
        <f>1250.6+(734.6-473.4)+(-1.913418+(-1.123938--0.724302))+0-434.5--0.664785000000025</f>
        <v>1075.6517309999999</v>
      </c>
      <c r="K250" s="3">
        <f>1250.8+(566.8-314.9)+(-1.275816+(-0.578136--0.321198))+0-429.4--0.437988000000068</f>
        <v>1072.205234</v>
      </c>
      <c r="L250" s="3">
        <f>1251+(436.2-170.4)+(-4.46607+(-1.557234--0.608328))+0-429.1--1.53188700000001</f>
        <v>1083.8169109999999</v>
      </c>
      <c r="M250" s="3">
        <f>1250.3+(430.1-200.8)+(-1.275306+(-0.438702--0.204816))+0-420.1--0.428502000000067</f>
        <v>1058.41931</v>
      </c>
      <c r="N250" s="3">
        <f>1252.3+(518.4-238.7)+(0.638673+(0.264384-0.121737))+0-433.5-0.221084999999956</f>
        <v>1099.0602350000001</v>
      </c>
      <c r="O250" s="3">
        <f>1252.1+(522.8-176.8)+(-3.192855+(-1.33314--0.45084))+0-439.8--1.12148999999994</f>
        <v>1155.346335</v>
      </c>
      <c r="P250" s="3">
        <f>1241.7+(577.3-203.3)+(-1.899801+(-0.883269--0.311049))+0-438.6--0.671058000000025</f>
        <v>1175.299037</v>
      </c>
      <c r="Q250" s="3">
        <f>1283.1+(586.7-229.7)+(-1.308762+(-0.598434--0.234294))+0-432.5--0.441150000000069</f>
        <v>1206.368248</v>
      </c>
      <c r="R250" s="3">
        <f>1301.9+(590.6-273.8)+(-2.655876+(-1.204824--0.558552))+0-432.9--0.883115999999981</f>
        <v>1183.3809679999999</v>
      </c>
      <c r="S250" s="3">
        <f>1301.4+(552.2-255.5)+(-1.991142+(-0.844866--0.390915))+0-429.4--0.656982000000025</f>
        <v>1166.911889</v>
      </c>
      <c r="T250" s="3">
        <f>1300+(555.3-278.2)+(0+(0-0))+0-424-0</f>
        <v>1153.0999999999999</v>
      </c>
      <c r="U250" s="3">
        <f>1301.6+(496-199.9)+(-0.663816+(-0.25296--0.101949))+0-423.2--0.215831999999957</f>
        <v>1173.9010049999997</v>
      </c>
      <c r="V250" s="3">
        <f>1302+(721.9-366.1)+(1.32804+(0.736338-0.373422))+0-430.1-0.438702000000069</f>
        <v>1228.9522539999996</v>
      </c>
      <c r="W250" s="3">
        <f>1408.7+(1052.5-616.4)+(2.155311+(1.610325-0.943092))+0-434.3-0.664479000000025</f>
        <v>1412.6580650000003</v>
      </c>
      <c r="X250" s="3">
        <f>1421.6+(904-432.7)+(-1.450032+(-0.92208--0.441354))+0-436.6--0.44533200000007</f>
        <v>1454.8145739999998</v>
      </c>
      <c r="Y250" s="3">
        <f>1420.7+(774.6-322.7)+(-1.449114+(-0.790092--0.329154))+0-432.6--0.441252000000069</f>
        <v>1438.5312000000004</v>
      </c>
      <c r="Z250" s="3">
        <f>1420.8+(672.8-262.7)+(-1.449216+(-0.686256--0.267954))+0-438.8--0.44757600000007</f>
        <v>1390.6800579999999</v>
      </c>
      <c r="AA250" s="3">
        <f>1420.3+(636.6-241.4)+(-2.173059+(-0.973998--0.369342))+0-427--0.653310000000025</f>
        <v>1386.375595</v>
      </c>
      <c r="AB250" s="3">
        <f>1413.4+(621.1-265.2)+(-0.720834+(-0.316761--0.135252))+0-417.9--0.213128999999958</f>
        <v>1350.7107860000003</v>
      </c>
      <c r="AC250" s="3">
        <f>1318.2+(584.2-213.2)+(-2.016846+(-0.893826--0.326196))+0-431.4--0.660042000000025</f>
        <v>1255.8755660000002</v>
      </c>
      <c r="AD250">
        <v>1471.6999999999998</v>
      </c>
      <c r="AE250" s="3">
        <f>1420+(1086.2-605.3)+(0+(0-0))+0-429.2-0</f>
        <v>1471.7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1162.1+(602.5-162.3)+(-0.592671+(-0.307275--0.082773))+0-437--0.222869999999956</f>
        <v>1164.7056970000001</v>
      </c>
      <c r="G251" s="3">
        <f>1063.9+(792.6-320.7)+(0+(0-0))+0-426.4-0</f>
        <v>1109.4000000000001</v>
      </c>
      <c r="H251" s="3">
        <f>1062.7+(747.5-273.3)+(1.083954+(0.76245-0.278766))+0-435.8-0.44451600000007</f>
        <v>1102.2231220000001</v>
      </c>
      <c r="I251" s="3">
        <f>1062.7+(820.2-365.9)+(2.709885+(2.09151-0.933045))+0-431.6-1.10057999999994</f>
        <v>1088.1677699999998</v>
      </c>
      <c r="J251" s="3">
        <f>1063.8+(714-279.9)+(-0.542538+(-0.36414--0.142749))+0-423.2--0.215831999999957</f>
        <v>1074.1519029999999</v>
      </c>
      <c r="K251" s="3">
        <f>1063.5+(849.7-410.5)+(2.16954+(1.733388-0.83742))+0-420.8-0.858431999999982</f>
        <v>1084.107076</v>
      </c>
      <c r="L251" s="3">
        <f>1092.5+(925.1-469)+(1.671525+(1.415403-0.71757))+0-424-0.648720000000025</f>
        <v>1126.3206379999999</v>
      </c>
      <c r="M251" s="3">
        <f>1284.1+(861.3-516.4)+(-1.309782+(-0.878526--0.526728))+0-432.7--0.441354000000069</f>
        <v>1195.079774</v>
      </c>
      <c r="N251" s="3">
        <f>1422.5+(526-254.8)+(1.45095+(0.53652-0.259896))+0-430.8-0.439416000000069</f>
        <v>1264.1881579999999</v>
      </c>
      <c r="O251" s="3">
        <f>1423.8+(686.9-467.9)+(-2.178414+(-1.050957--0.715887))+0-421.9--0.645507000000024</f>
        <v>1219.032023</v>
      </c>
      <c r="P251" s="3">
        <f>1448.9+(1056.6-743)+(1.477878+(1.077732-0.75786))+0-412.6-0.420852000000066</f>
        <v>1351.2768979999998</v>
      </c>
      <c r="Q251" s="3">
        <f>1485.3+(1373.6-1125.5)+(0+(0-0))+0-400.5-0</f>
        <v>1332.8999999999999</v>
      </c>
      <c r="R251" s="3">
        <f>1484.4+(1300.4-1020.7)+(-2.271132+(-1.989612--1.561671))+0-407.2--0.623016000000024</f>
        <v>1354.8239430000001</v>
      </c>
      <c r="S251" s="3">
        <f>1483.6+(1203.8-868.7)+(-0.756636+(-0.613938--0.443037))+0-397.8--0.20287799999996</f>
        <v>1420.1753409999999</v>
      </c>
      <c r="T251" s="3">
        <f>1484+(1079-737.2)+(-0.75684+(-0.55029--0.375972))+0-392.7--0.20027699999996</f>
        <v>1432.3691189999997</v>
      </c>
      <c r="U251" s="3">
        <f>1485.2+(1043.3-673.7)+(-2.272356+(-1.596249--1.030761))+0-402.1--0.615213000000023</f>
        <v>1450.4773690000002</v>
      </c>
      <c r="V251" s="3">
        <f>1497.4+(1246-917.4)+(1.527348+(1.27092-0.935748))+0-399.4-0.407388000000064</f>
        <v>1428.055132</v>
      </c>
      <c r="W251" s="3">
        <f>1539.4+(1634.2-1220.6)+(0.785094+(0.833442-0.622506))+0-402.7-0.205376999999959</f>
        <v>1551.0906530000002</v>
      </c>
      <c r="X251" s="3">
        <f>1544.8+(1681.2-1192.7)+(-2.363544+(-2.572236--1.824831))+0-406.3--0.621639000000023</f>
        <v>1624.5106900000001</v>
      </c>
      <c r="Y251" s="3">
        <f>1544.2+(1448.2-937.8)+(-0.787542+(-0.738582--0.478278))+0-408.3--0.208232999999959</f>
        <v>1645.4603870000005</v>
      </c>
      <c r="Z251" s="3">
        <f>1514+(1070.6-552.8)+(-1.54428+(-1.092012--0.563856))+0-412.9--0.421158000000066</f>
        <v>1617.2487220000003</v>
      </c>
      <c r="AA251" s="3">
        <f>1503.6+(715.2-234.6)+(-1.533672+(-0.729504--0.239292))+0-405.9--0.414018000000065</f>
        <v>1576.6901340000002</v>
      </c>
      <c r="AB251" s="3">
        <f>1500.8+(625.3-195.3)+(-0.765408+(-0.318903--0.099603))+0-412.4--0.210323999999958</f>
        <v>1517.625616</v>
      </c>
      <c r="AC251" s="3">
        <f>1290.5+(730.9-165.9)+(-0.658155+(-0.372759--0.084609))+0-416.2--0.212261999999958</f>
        <v>1438.565957</v>
      </c>
      <c r="AD251">
        <v>1617.1</v>
      </c>
      <c r="AE251" s="3">
        <f>1543+(1627-1127.4)+(0+(0-0))+0-425.5-0</f>
        <v>1617.1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1074.4+(834.6-202.1)+(-1.095888+(-0.851292--0.206142))+0-407.4--0.415548000000065</f>
        <v>1298.1745100000005</v>
      </c>
      <c r="G252" s="3">
        <f>1061.2+(798.1-255)+(-1.082424+(-0.814062--0.2601))+0-423.5--0.431970000000068</f>
        <v>1179.5955840000004</v>
      </c>
      <c r="H252" s="3">
        <f>1061+(816.6-270.5)+(1.08222+(0.832932-0.27591))+0-430-0.438600000000069</f>
        <v>1178.3006419999997</v>
      </c>
      <c r="I252" s="3">
        <f>1061.9+(802.1-250.6)+(1.624707+(1.227213-0.383418))+0-425.9-0.651627000000025</f>
        <v>1189.3168750000002</v>
      </c>
      <c r="J252" s="3">
        <f>1062+(803.9-227.5)+(2.7081+(2.049945-0.580125))+0-433.7-1.10593499999994</f>
        <v>1207.7719850000001</v>
      </c>
      <c r="K252" s="3">
        <f>1062.9+(918.2-274.2)+(1.626237+(1.404846-0.419526))+0-430.9-0.659277000000025</f>
        <v>1277.9522800000002</v>
      </c>
      <c r="L252" s="3">
        <f>1223+(826.8-393.7)+(-2.49492+(-1.686672--0.803148))+0-431.9--0.881075999999981</f>
        <v>1221.7026319999998</v>
      </c>
      <c r="M252" s="3">
        <f>1266.1+(763.1-259.9)+(-0.645711+(-0.389181--0.132549))+0-429.5--0.219044999999956</f>
        <v>1339.116702</v>
      </c>
      <c r="N252" s="3">
        <f>1296.9+(701-244.8)+(1.322838+(0.71502-0.249696))+0-434.5-0.443190000000069</f>
        <v>1319.9449720000002</v>
      </c>
      <c r="O252" s="3">
        <f>1384.6+(787.1-491.1)+(0+(0-0))+0-417.3-0</f>
        <v>1263.3</v>
      </c>
      <c r="P252" s="3">
        <f>1384.6+(1029.5-681.1)+(0.706146+(0.525045-0.347361))+0-348.9-0.177938999999965</f>
        <v>1384.8058910000002</v>
      </c>
      <c r="Q252" s="3">
        <f>1384.4+(1166.7-817.1)+(-1.412088+(-1.190034--0.833442))+0-385.3--0.393006000000061</f>
        <v>1347.3243260000002</v>
      </c>
      <c r="R252" s="3">
        <f>1382.8+(1072.1-685.7)+(-4.231368+(-3.280626--2.098242))+0-422.7--1.29346200000005</f>
        <v>1342.3797099999999</v>
      </c>
      <c r="S252" s="3">
        <f>1381.1+(956.8-492.5)+(-3.521805+(-2.43984--1.255875))+0-441.7--1.12633499999994</f>
        <v>1400.1205649999997</v>
      </c>
      <c r="T252" s="3">
        <f>1382.5+(1002.1-411.9)+(-1.41015+(-1.022142--0.420138))+0-442.7--0.451554000000071</f>
        <v>1528.4394</v>
      </c>
      <c r="U252" s="3">
        <f>1383.7+(867.7-417.1)+(1.411374+(0.885054-0.425442))+0-347.5-0.354450000000055</f>
        <v>1488.316536</v>
      </c>
      <c r="V252" s="3">
        <f>1369.2+(1129.9-696.4)+(1.396584+(1.152498-0.710328))+0-439.5-0.44829000000007</f>
        <v>1364.5904640000003</v>
      </c>
      <c r="W252" s="3">
        <f>1453.4+(1876.8-1343.7)+(2.223702+(2.871504-2.055861))+0-445.1-0.681003000000026</f>
        <v>1543.7583419999999</v>
      </c>
      <c r="X252" s="3">
        <f>1478.7+(1705.9-1087)+(-2.262411+(-2.610027--1.66311))+0-440.5--0.673965000000025</f>
        <v>1654.5646370000004</v>
      </c>
      <c r="Y252" s="3">
        <f>1506+(1247.6-703.9)+(-1.53612+(-1.272552--0.717978))+0-444.5--0.453390000000071</f>
        <v>1603.562696</v>
      </c>
      <c r="Z252" s="3">
        <f>1540.3+(1052.9-555.2)+(-0.785553+(-0.536979--0.283152))+0-441.3--0.225062999999955</f>
        <v>1595.885683</v>
      </c>
      <c r="AA252" s="3">
        <f>1567+(781-388.5)+(-1.59834+(-0.79662--0.39627))+0-437.9--0.44665800000007</f>
        <v>1520.0479680000001</v>
      </c>
      <c r="AB252" s="3">
        <f>1570.5+(595.7-264.9)+(-4.80573+(-1.822842--0.810594))+0-426.8--1.30600800000005</f>
        <v>1469.9880300000002</v>
      </c>
      <c r="AC252" s="3">
        <f>1484.6+(634.5-407.6)+(-3.78573+(-1.617975--1.03938))+0-376.9--0.961094999999945</f>
        <v>1331.1967699999998</v>
      </c>
      <c r="AD252">
        <v>1620.6</v>
      </c>
      <c r="AE252" s="3">
        <f>1452+(2068.9-1459.4)+(0+(0-0))+0-440.9-0</f>
        <v>1620.6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1412.7+(534.3-434.8)+(-0.720477+(-0.272493--0.221748))+0-363.8--0.185537999999963</f>
        <v>1147.814316</v>
      </c>
      <c r="G253" s="3">
        <f>1391.7+(557.3-388.2)+(-2.839068+(-1.136892--0.791928))+0-378.4--0.771935999999983</f>
        <v>1179.9879040000001</v>
      </c>
      <c r="H253" s="3">
        <f>1280.9+(649.3-406.7)+(1.959777+(0.993429-0.622251))+0-389.7-0.596241000000023</f>
        <v>1135.5347139999999</v>
      </c>
      <c r="I253" s="3">
        <f>1276.7+(613.4-413.1)+(-1.953351+(-0.938502--0.632043))+0-392.6--0.600678000000023</f>
        <v>1082.7408680000001</v>
      </c>
      <c r="J253" s="3">
        <f>1277+(612.3-409.6)+(2.60508+(1.249092-0.835584))+0-387.2-0.789887999999983</f>
        <v>1094.7286999999997</v>
      </c>
      <c r="K253" s="3">
        <f>1275.9+(809.9-523)+(0.650709+(0.413049-0.26673))+0-394.7-0.20129699999996</f>
        <v>1168.695731</v>
      </c>
      <c r="L253" s="3">
        <f>1277.1+(1007.6-718.9)+(-0.651321+(-0.513876--0.366639))+0-403--0.205529999999959</f>
        <v>1162.206972</v>
      </c>
      <c r="M253" s="3">
        <f>1334.2+(1080-857.2)+(-0.680442+(-0.5508--0.437172))+0-405.8--0.206957999999959</f>
        <v>1150.6128880000001</v>
      </c>
      <c r="N253" s="3">
        <f>1574.8+(696.9-628.2)+(-0.803148+(-0.355419--0.320382))+0-387.1--0.197420999999961</f>
        <v>1255.7592359999999</v>
      </c>
      <c r="O253" s="3">
        <f>1677.4+(334.4-279.1)+(-0.855474+(-0.170544--0.142341))+0-382.6--0.195125999999961</f>
        <v>1349.4114490000002</v>
      </c>
      <c r="P253" s="3">
        <f>1591.5+(550.3-391)+(-0.811665+(-0.280653--0.19941))+0-382.3--0.194972999999961</f>
        <v>1367.8020649999999</v>
      </c>
      <c r="Q253" s="3">
        <f>1568.4+(751.6-508.4)+(-2.399652+(-1.149948--0.777852))+0-377.7--0.577881000000022</f>
        <v>1431.7061330000001</v>
      </c>
      <c r="R253" s="3">
        <f>1586.6+(532.3-340.3)+(-2.427498+(-0.814419--0.520659))+0-377.8--0.578034000000022</f>
        <v>1398.656776</v>
      </c>
      <c r="S253" s="3">
        <f>1586.1+(445.8-353.3)+(-0.808911+(-0.227358--0.180183))+0-375.1--0.191300999999962</f>
        <v>1302.8352149999998</v>
      </c>
      <c r="T253" s="3">
        <f>1589.5+(659-550.5)+(2.431935+(1.00827-0.842265))+0-373.9-0.572067000000022</f>
        <v>1326.125873</v>
      </c>
      <c r="U253" s="3">
        <f>1586.1+(804.3-631.3)+(0+(0-0))+0-368.2-0</f>
        <v>1390.8999999999999</v>
      </c>
      <c r="V253" s="3">
        <f>1763.5+(793.9-784.5)+(-3.59754+(-1.619556--1.60038))+0-359.9--0.734195999999984</f>
        <v>1410.1174799999999</v>
      </c>
      <c r="W253" s="3">
        <f>1846.3+(1583.9-1500.1)+(0.941613+(0.807789-0.765051))+0-374.6-0.191045999999962</f>
        <v>1556.2933050000001</v>
      </c>
      <c r="X253" s="3">
        <f>1846.4+(1397.1-1184.7)+(-2.824992+(-2.137563--1.812591))+0-380.7--0.582471000000022</f>
        <v>1675.5325069999999</v>
      </c>
      <c r="Y253" s="3">
        <f>1845.8+(1040.8-900)+(0+(0-0))+0-379.8-0</f>
        <v>1606.8</v>
      </c>
      <c r="Z253" s="3">
        <f>1845.9+(827.7-704.8)+(0+(0-0))+0-381.9-0</f>
        <v>1586.9</v>
      </c>
      <c r="AA253" s="3">
        <f>1843.9+(463.9-384)+(-3.761556+(-0.946356--0.78336))+0-378.7--0.772547999999983</f>
        <v>1541.9479960000001</v>
      </c>
      <c r="AB253" s="3">
        <f>1843.1+(349.2-293.4)+(-6.579867+(-1.246644--1.047438))+0-410.1--1.46405700000001</f>
        <v>1483.4849839999999</v>
      </c>
      <c r="AC253" s="3">
        <f>1670.7+(348.2-221.4)+(-4.260285+(-0.88791--0.56457))+0-409.2--1.04345999999994</f>
        <v>1384.7598349999998</v>
      </c>
      <c r="AD253">
        <v>1649.7999999999997</v>
      </c>
      <c r="AE253" s="3">
        <f>1841+(1694.7-1513)+(0+(0-0))+0-372.9-0</f>
        <v>1649.8000000000002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1426.8+(394.1-136.2)+(-5.093676+(-1.406937--0.486234))+0-415.2--1.48226400000001</f>
        <v>1264.967885</v>
      </c>
      <c r="G254" s="3">
        <f>1423.3+(380.7-132.5)+(-2.903532+(-0.776628--0.2703))+0-414.9--0.846395999999982</f>
        <v>1254.0365360000001</v>
      </c>
      <c r="H254" s="3">
        <f>1422.2+(408.7-174.5)+(0+(0-0))+0-414.1-0</f>
        <v>1242.3000000000002</v>
      </c>
      <c r="I254" s="3">
        <f>1422.7+(477.6-264.6)+(-1.451154+(-0.487152--0.269892))+0-415--0.423300000000066</f>
        <v>1219.4548860000002</v>
      </c>
      <c r="J254" s="3">
        <f>1422.4+(402.9-246.8)+(0+(0-0))+0-402.6-0</f>
        <v>1175.9000000000001</v>
      </c>
      <c r="K254" s="3">
        <f>1422+(445.2-279.4)+(2.17566+(0.681156-0.427482))+0-398.2-0.609246000000023</f>
        <v>1191.4200879999999</v>
      </c>
      <c r="L254" s="3">
        <f>1421.7+(882.1-653)+(-2.900268+(-1.799484--1.33212))+0-405.6--0.827423999999982</f>
        <v>1242.6597920000004</v>
      </c>
      <c r="M254" s="3">
        <f>1446.9+(888.5-647.2)+(-0.737919+(-0.453135--0.330072))+0-408.9--0.208538999999959</f>
        <v>1278.647557</v>
      </c>
      <c r="N254" s="3">
        <f>1458.4+(527.4-334.7)+(0+(0-0))+0-410.4-0</f>
        <v>1240.7000000000003</v>
      </c>
      <c r="O254" s="3">
        <f>1440.9+(765.8-316.1)+(-0.734859+(-0.390558--0.161211))+0-410--0.209099999999958</f>
        <v>1479.8448939999998</v>
      </c>
      <c r="P254" s="3">
        <f>1417.2+(886.7-416.3)+(-2.891088+(-1.808868--0.849252))+0-414.4--0.845375999999982</f>
        <v>1470.1946720000003</v>
      </c>
      <c r="Q254" s="3">
        <f>1322.8+(839.5-316.3)+(-3.37314+(-2.140725--0.806565))+0-416.4--1.06181999999994</f>
        <v>1425.9545199999998</v>
      </c>
      <c r="R254" s="3">
        <f>1353.1+(845.5-382.7)+(-3.450405+(-2.156025--0.975885))+0-410--1.04549999999994</f>
        <v>1402.3149549999998</v>
      </c>
      <c r="S254" s="3">
        <f>1432.2+(611-235.7)+(-2.191266+(-0.93483--0.360621))+0-407.7--0.623781000000024</f>
        <v>1397.658306</v>
      </c>
      <c r="T254" s="3">
        <f>1439+(611.6-240.9)+(-2.20167+(-0.935748--0.368577))+0-407--0.622710000000024</f>
        <v>1400.5538690000001</v>
      </c>
      <c r="U254" s="3">
        <f>1473.5+(551.6-244.5)+(-1.50297+(-0.562632--0.24939))+0-403.3--0.411366000000064</f>
        <v>1375.895154</v>
      </c>
      <c r="V254" s="3">
        <f>1736.8+(491.3-389.5)+(0+(0-0))+0-410.5-0</f>
        <v>1428.1</v>
      </c>
      <c r="W254" s="3">
        <f>1853+(916.7-814.8)+(3.78012+(1.870068-1.662192))+0-406.6-0.829463999999982</f>
        <v>1551.4585320000001</v>
      </c>
      <c r="X254" s="3">
        <f>1847.9+(875.5-662.4)+(-2.827287+(-1.339515--1.013472))+0-410.4--0.627912000000024</f>
        <v>1648.0745819999997</v>
      </c>
      <c r="Y254" s="3">
        <f>1789.4+(697.5-482.4)+(-5.475564+(-2.13435--1.476144))+0-405--1.23930000000005</f>
        <v>1594.60553</v>
      </c>
      <c r="Z254" s="3">
        <f>1787.1+(539.6-372)+(-2.734263+(-0.825588--0.56916))+0-407.1--0.622863000000024</f>
        <v>1545.232172</v>
      </c>
      <c r="AA254" s="3">
        <f>1785.2+(460.1-309.5)+(-2.731356+(-0.703953--0.473535))+0-405.7--0.620721000000023</f>
        <v>1527.758947</v>
      </c>
      <c r="AB254" s="3">
        <f>1655.6+(465.8-250.1)+(-0.844356+(-0.237558--0.127551))+0-412--0.210119999999958</f>
        <v>1458.5557569999999</v>
      </c>
      <c r="AC254" s="3">
        <f>1566.9+(748.2-461.9)+(-3.995595+(-1.90791--1.177845))+0-410.1--1.04575499999994</f>
        <v>1439.4200950000002</v>
      </c>
      <c r="AD254">
        <v>1639.4</v>
      </c>
      <c r="AE254" s="3">
        <f>1854+(974.3-771)+(0+(0-0))+0-417.9-0</f>
        <v>1639.4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1516.9+(513.1-352.5)+(-3.094476+(-1.046724--0.7191))+0-403.5--0.823139999999982</f>
        <v>1271.40104</v>
      </c>
      <c r="G255" s="3">
        <f>1421.8+(790.7-566.2)+(0.725118+(0.403257-0.288762))+0-421.7-0.215066999999957</f>
        <v>1225.2245460000001</v>
      </c>
      <c r="H255" s="3">
        <f>1391.6+(755.2-521.9)+(1.419432+(0.770304-0.532338))+0-413.6-0.421872000000066</f>
        <v>1212.5355259999999</v>
      </c>
      <c r="I255" s="3">
        <f>1383+(826.1-585.3)+(-2.11599+(-1.263933--0.895509))+0-426.5--0.652545000000025</f>
        <v>1195.4681310000001</v>
      </c>
      <c r="J255" s="3">
        <f>1383+(834.1-596.6)+(-0.70533+(-0.425391--0.304266))+0-419.7--0.214046999999957</f>
        <v>1200.187592</v>
      </c>
      <c r="K255" s="3">
        <f>1381.8+(965.2-729.6)+(2.818872+(1.969008-1.488384))+0-426.6-0.870263999999981</f>
        <v>1193.2292320000004</v>
      </c>
      <c r="L255" s="3">
        <f>1382.1+(992.6-731.1)+(0+(0-0))+0-420.5-0</f>
        <v>1223.0999999999999</v>
      </c>
      <c r="M255" s="3">
        <f>1475.1+(1256.2-1046.5)+(-0.752301+(-0.640662--0.533715))+0-418.7--0.213536999999958</f>
        <v>1265.4542889999998</v>
      </c>
      <c r="N255" s="3">
        <f>1531.4+(701-613.2)+(0+(0-0))+0-429.3-0</f>
        <v>1189.9000000000001</v>
      </c>
      <c r="O255" s="3">
        <f>1533+(507.1-174.3)+(0+(0-0))+0-435-0</f>
        <v>1430.8</v>
      </c>
      <c r="P255" s="3">
        <f>1579.9+(498.5-158.9)+(-0.805749+(-0.254235--0.081039))+0-439.2--0.223991999999955</f>
        <v>1479.5450469999998</v>
      </c>
      <c r="Q255" s="3">
        <f>1555.1+(530.4-162.4)+(-0.793101+(-0.270504--0.082824))+0-433.8--0.221237999999956</f>
        <v>1488.5404569999998</v>
      </c>
      <c r="R255" s="3">
        <f>1554.4+(432-180.2)+(0+(0-0))+0-430.1-0</f>
        <v>1376.1</v>
      </c>
      <c r="S255" s="3">
        <f>1558.6+(439.6-203.5)+(0+(0-0))+0-425.1-0</f>
        <v>1369.6</v>
      </c>
      <c r="T255" s="3">
        <f>1567.6+(411.9-179.8)+(1.598952+(0.420138-0.183396))+0-422.7-0.431154000000067</f>
        <v>1378.4045399999998</v>
      </c>
      <c r="U255" s="3">
        <f>1572.8+(373.6-200.6)+(-1.604256+(-0.381072--0.204612))+0-417.5--0.425850000000067</f>
        <v>1326.9451340000001</v>
      </c>
      <c r="V255" s="3">
        <f>1680.4+(423-278.4)+(0+(0-0))+0-419.9-0</f>
        <v>1405.1</v>
      </c>
      <c r="W255" s="3">
        <f>1883.9+(393.1-327)+(0+(0-0))+0-422.3-0</f>
        <v>1527.7</v>
      </c>
      <c r="X255" s="3">
        <f>1893.8+(446.2-325)+(-2.897514+(-0.682686--0.49725))+0-418.9--0.640917000000024</f>
        <v>1593.6579669999999</v>
      </c>
      <c r="Y255" s="3">
        <f>1893.5+(342.2-329.1)+(-3.86274+(-0.698088--0.671364))+0-431.2--0.879647999999981</f>
        <v>1472.3901839999999</v>
      </c>
      <c r="Z255" s="3">
        <f>1781.1+(353.2-194.9)+(-1.816722+(-0.360264--0.198798))+0-430.9--0.439518000000069</f>
        <v>1506.9613300000001</v>
      </c>
      <c r="AA255" s="3">
        <f>1676.2+(489.1-169.9)+(-2.564586+(-0.748323--0.259947))+0-434.2--0.664326000000025</f>
        <v>1558.8113640000001</v>
      </c>
      <c r="AB255" s="3">
        <f>1676.6+(557.6-291.4)+(-3.420264+(-1.137504--0.594456))+0-429.7--0.876587999999981</f>
        <v>1510.0132759999999</v>
      </c>
      <c r="AC255" s="3">
        <f>1661.6+(778.6-614.2)+(-3.389664+(-1.588344--1.252968))+0-420--0.856799999999982</f>
        <v>1403.13176</v>
      </c>
      <c r="AD255">
        <v>1573.2</v>
      </c>
      <c r="AE255" s="3">
        <f>1895+(431.3-353.4)+(0+(0-0))+0-399.7-0</f>
        <v>1573.2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1407.4+(710-413)+(-2.153322+(-1.0863--0.63189))+0-433.4--0.663102000000025</f>
        <v>1269.05537</v>
      </c>
      <c r="G256" s="3">
        <f>1389.8+(680.2-415.1)+(-5.670384+(-2.775216--1.693608))+0-424.2--1.73073599999996</f>
        <v>1225.6787440000001</v>
      </c>
      <c r="H256" s="3">
        <f>1389.7+(463.4-257.6)+(-4.961229+(-1.654338--0.919632))+0-436.4--1.55794800000001</f>
        <v>1154.9620130000001</v>
      </c>
      <c r="I256" s="3">
        <f>1389.4+(401.8-200.7)+(-2.834376+(-0.819672--0.409428))+0-430.3--0.877811999999981</f>
        <v>1157.8331920000001</v>
      </c>
      <c r="J256" s="3">
        <f>1417.6+(494-286.6)+(-0.722976+(-0.25194--0.146166))+0-428.1--0.218330999999957</f>
        <v>1196.289581</v>
      </c>
      <c r="K256" s="3">
        <f>1445.4+(503.6-350.9)+(0+(0-0))+0-421.7-0</f>
        <v>1176.4000000000001</v>
      </c>
      <c r="L256" s="3">
        <f>1469.4+(521.5-364.6)+(-1.498788+(-0.53193--0.371892))+0-417.8--0.426156000000067</f>
        <v>1207.2673300000001</v>
      </c>
      <c r="M256" s="3">
        <f>1469.3+(410.6-268.2)+(0.749343+(0.209406-0.136782))+0-409.2-0.208691999999958</f>
        <v>1203.1132750000002</v>
      </c>
      <c r="N256" s="3">
        <f>1485.7+(754.4-450.8)+(1.515414+(0.769488-0.459816))+0-414.4-0.422688000000066</f>
        <v>1376.3023979999998</v>
      </c>
      <c r="O256" s="3">
        <f>1525.7+(461.7-291.2)+(-0.778107+(-0.235467--0.148512))+0-419.2--0.213791999999957</f>
        <v>1276.3487299999999</v>
      </c>
      <c r="P256" s="3">
        <f>1511.1+(664.6-441)+(0+(0-0))+0-424.9-0</f>
        <v>1309.7999999999997</v>
      </c>
      <c r="Q256" s="3">
        <f>1494.4+(1043.3-705.6)+(-2.286432+(-1.596249--1.079568))+0-411.9--0.630207000000024</f>
        <v>1418.0270939999998</v>
      </c>
      <c r="R256" s="3">
        <f>1493.8+(831.6-556.1)+(-4.571028+(-2.544696--1.701666))+0-398.3--1.21879800000005</f>
        <v>1366.80474</v>
      </c>
      <c r="S256" s="3">
        <f>1493.8+(520.6-257.6)+(-3.80919+(-1.32753--0.65688))+0-413.5--1.05442499999994</f>
        <v>1339.874585</v>
      </c>
      <c r="T256" s="3">
        <f>1495.7+(346.2-194.4)+(0.762807+(0.176562-0.099144))+0-413.1-0.210680999999958</f>
        <v>1235.029544</v>
      </c>
      <c r="U256" s="3">
        <f>1523.7+(354.8-152.4)+(-2.331261+(-0.542844--0.233172))+0-419.5--0.641835000000024</f>
        <v>1304.6009020000004</v>
      </c>
      <c r="V256" s="3">
        <f>1670.8+(297.1-207.1)+(0+(0-0))+0-421-0</f>
        <v>1339.8</v>
      </c>
      <c r="W256" s="3">
        <f>1923.6+(579.4-649.3)+(-0.981036+(-0.295494--0.331143))+0-426.6--0.217565999999957</f>
        <v>1426.3721789999997</v>
      </c>
      <c r="X256" s="3">
        <f>2034.7+(353.5-401.7)+(2.075394+(0.36057-0.409734))+0-426.2-0.434724000000068</f>
        <v>1561.8915059999999</v>
      </c>
      <c r="Y256" s="3">
        <f>2035.2+(362.1-396.3)+(-4.151808+(-0.738684--0.808452))+0-417.4--0.851495999999982</f>
        <v>1580.3694560000001</v>
      </c>
      <c r="Z256" s="3">
        <f>1915.3+(485.6-422.8)+(-3.907212+(-0.990624--0.862512))+0-420.7--0.858227999999982</f>
        <v>1554.222904</v>
      </c>
      <c r="AA256" s="3">
        <f>1679.2+(403.4-236.1)+(0.856392+(0.205734-0.120411))+0-421.5-0.214964999999957</f>
        <v>1425.72675</v>
      </c>
      <c r="AB256" s="3">
        <f>1675.6+(423.5-243.6)+(-0.854556+(-0.215985--0.124236))+0-414.9--0.211598999999958</f>
        <v>1439.8652939999999</v>
      </c>
      <c r="AC256" s="3">
        <f>1624.5+(400-228.2)+(-2.485485+(-0.612--0.349146))+0-419.3--0.641529000000024</f>
        <v>1374.89319</v>
      </c>
      <c r="AD256">
        <v>1481.6999999999998</v>
      </c>
      <c r="AE256" s="3">
        <f>2000+(569.6-645)+(0+(0-0))+0-442.9-0</f>
        <v>1481.6999999999998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1287.9+(472.1-156.3)+(-3.284145+(-1.203855--0.398565))+0-427.6--1.09037999999994</f>
        <v>1173.1009449999999</v>
      </c>
      <c r="G257" s="3">
        <f>1287.9+(630.7-259.2)+(-1.313658+(-0.643314--0.264384))+0-427.7--0.436254000000068</f>
        <v>1230.4436660000001</v>
      </c>
      <c r="H257" s="3">
        <f>1287.9+(667.4-348.6)+(-1.313658+(-0.680748--0.355572))+0-425.5--0.434010000000068</f>
        <v>1179.9951760000001</v>
      </c>
      <c r="I257" s="3">
        <f>1285.5+(697-408)+(-0.655605+(-0.35547--0.20808))+0-418.9--0.213638999999958</f>
        <v>1155.010644</v>
      </c>
      <c r="J257" s="3">
        <f>1286.5+(799.6-526.7)+(-0.656115+(-0.407796--0.268617))+0-423.5--0.215984999999957</f>
        <v>1135.3206910000001</v>
      </c>
      <c r="K257" s="3">
        <f>1285.9+(721.6-465.6)+(2.623236+(1.472064-0.949824))+0-414.5-0.845579999999982</f>
        <v>1129.6998960000001</v>
      </c>
      <c r="L257" s="3">
        <f>1286.5+(616.4-395.2)+(-1.31223+(-0.628728--0.403104))+0-408.3--0.416466000000065</f>
        <v>1098.2786120000003</v>
      </c>
      <c r="M257" s="3">
        <f>1284.9+(736.2-505.8)+(0+(0-0))+0-414.8-0</f>
        <v>1100.5000000000002</v>
      </c>
      <c r="N257" s="3">
        <f>1304.3+(894-642.7)+(0+(0-0))+0-414.5-0</f>
        <v>1141.0999999999999</v>
      </c>
      <c r="O257" s="3">
        <f>1369.3+(714.7-526.1)+(-0.698343+(-0.364497--0.268311))+0-431.2--0.219911999999956</f>
        <v>1126.1253830000001</v>
      </c>
      <c r="P257" s="3">
        <f>1386.5+(491-274.4)+(-2.121345+(-0.75123--0.419832))+0-431.9--0.660807000000025</f>
        <v>1169.408064</v>
      </c>
      <c r="Q257" s="3">
        <f>1388.5+(425.3-176)+(-2.83254+(-0.867612--0.35904))+0-433.4--0.884135999999981</f>
        <v>1201.9430239999999</v>
      </c>
      <c r="R257" s="3">
        <f>1388.4+(400.9-194.3)+(-3.54042+(-1.022295--0.495465))+0-427.1--1.08910499999994</f>
        <v>1164.9218550000001</v>
      </c>
      <c r="S257" s="3">
        <f>1387.7+(419.7-213.1)+(-1.415454+(-0.428094--0.217362))+0-431.3--0.439926000000069</f>
        <v>1161.8137400000001</v>
      </c>
      <c r="T257" s="3">
        <f>1388.4+(522-314.1)+(0+(0-0))+0-429.8-0</f>
        <v>1166.5000000000002</v>
      </c>
      <c r="U257" s="3">
        <f>1396.2+(562.3-369.1)+(2.136186+(0.860319-0.564723))+0-415.3-0.635409000000024</f>
        <v>1175.8963730000003</v>
      </c>
      <c r="V257" s="3">
        <f>1638.4+(348.2-371.8)+(0+(0-0))+0-421.3-0</f>
        <v>1193.5000000000002</v>
      </c>
      <c r="W257" s="3">
        <f>1921.8+(352.5-544.4)+(-1.960236+(-0.35955--0.555288))+0-437.8--0.44655600000007</f>
        <v>1290.7820580000002</v>
      </c>
      <c r="X257" s="3">
        <f>1921.4+(445.7-522.5)+(-0.979914+(-0.227307--0.266475))+0-433.3--0.220982999999956</f>
        <v>1410.5802370000001</v>
      </c>
      <c r="Y257" s="3">
        <f>1841.4+(526.5-478.6)+(-2.817342+(-0.805545--0.732258))+0-435.6--0.666468000000025</f>
        <v>1451.4758390000004</v>
      </c>
      <c r="Z257" s="3">
        <f>1705.4+(540.3-402)+(-1.739508+(-0.551106--0.41004))+0-428.9--0.437478000000068</f>
        <v>1413.356904</v>
      </c>
      <c r="AA257" s="3">
        <f>1646.1+(466.5-260.2)+(0.839511+(0.237915-0.132702))+0-401.4-0.204713999999959</f>
        <v>1451.74001</v>
      </c>
      <c r="AB257" s="3">
        <f>1603+(503.3-284.6)+(1.63506+(0.513366-0.290292))+0-421-0.429420000000067</f>
        <v>1402.1287139999999</v>
      </c>
      <c r="AC257" s="3">
        <f>1571.2+(458.9-250.3)+(0+(0-0))+0-434.6-0</f>
        <v>1345.1999999999998</v>
      </c>
      <c r="AD257">
        <v>1357.9</v>
      </c>
      <c r="AE257" s="3">
        <f>1927+(408.9-536.1)+(0+(0-0))+0-441.9-0</f>
        <v>1357.9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1530.3+(687.1-522.9)+(-1.560906+(-0.700842--0.533358))+0-436--0.44472000000007</f>
        <v>1257.21633</v>
      </c>
      <c r="G258" s="3">
        <f>1510.7+(673.9-588.1)+(-0.770457+(-0.343689--0.299931))+0-434.8--0.221747999999956</f>
        <v>1161.1075329999999</v>
      </c>
      <c r="H258" s="3">
        <f>1380.4+(587.7-375.1)+(-1.408008+(-0.599454--0.382602))+0-435.6--0.444312000000069</f>
        <v>1156.2194520000003</v>
      </c>
      <c r="I258" s="3">
        <f>1372.6+(645.6-426.2)+(-0.700026+(-0.329256--0.217362))+0-430.8--0.219707999999956</f>
        <v>1160.6077879999998</v>
      </c>
      <c r="J258" s="3">
        <f>1372.3+(502.2-308.4)+(0.699873+(0.256122-0.157284))+0-436.7-0.222716999999956</f>
        <v>1129.9759939999999</v>
      </c>
      <c r="K258" s="3">
        <f>1372.3+(623.4-384.5)+(-0.699873+(-0.317934--0.196095))+0-431.4--0.220013999999956</f>
        <v>1179.1983019999998</v>
      </c>
      <c r="L258" s="3">
        <f>1372.7+(788.1-491.7)+(-0.700077+(-0.401931--0.250767))+0-426--0.217259999999957</f>
        <v>1242.466019</v>
      </c>
      <c r="M258" s="3">
        <f>1375.1+(841.6-552.5)+(-2.103903+(-1.287648--0.845325))+0-421.3--0.644589000000024</f>
        <v>1240.9983629999999</v>
      </c>
      <c r="N258" s="3">
        <f>1501.8+(518.5-326.5)+(-0.765918+(-0.264435--0.166515))+0-402.9--0.205478999999959</f>
        <v>1290.2416409999998</v>
      </c>
      <c r="O258" s="3">
        <f>1532.6+(452.6-326.7)+(-1.563252+(-0.461652--0.333234))+0-402.8--0.410856000000064</f>
        <v>1254.4191860000001</v>
      </c>
      <c r="P258" s="3">
        <f>1543.6+(787.8-639.1)+(-0.787236+(-0.401778--0.325941))+0-402.8--0.205427999999959</f>
        <v>1288.8423549999998</v>
      </c>
      <c r="Q258" s="3">
        <f>1562.9+(1075-851.5)+(-0.797079+(-0.54825--0.434265))+0-403.1--0.205580999999959</f>
        <v>1382.5945170000002</v>
      </c>
      <c r="R258" s="3">
        <f>1562.2+(913.3-688.6)+(-3.186888+(-1.863132--1.404744))+0-403.9--0.823955999999982</f>
        <v>1380.1786800000002</v>
      </c>
      <c r="S258" s="3">
        <f>1562.1+(582.6-335.7)+(-0.796671+(-0.297126--0.171207))+0-402.7--0.205376999999959</f>
        <v>1405.5827870000001</v>
      </c>
      <c r="T258" s="3">
        <f>1566+(629.1-401.3)+(-3.19464+(-1.283364--0.818652))+0-401.6--0.819263999999983</f>
        <v>1389.3599120000001</v>
      </c>
      <c r="U258" s="3">
        <f>1576.3+(676.4-489.4)+(0+(0-0))+0-400.9-0</f>
        <v>1362.4</v>
      </c>
      <c r="V258" s="3">
        <f>1683.5+(827.2-757.7)+(-0.858585+(-0.421872--0.386427))+0-401.8--0.204917999999959</f>
        <v>1350.510888</v>
      </c>
      <c r="W258" s="3">
        <f>2007.2+(1433.5-1611)+(-2.047344+(-1.46217--1.64322))+0-402.5--0.410550000000064</f>
        <v>1425.7442560000002</v>
      </c>
      <c r="X258" s="3">
        <f>2100.5+(1258.2-1405.7)+(-4.28502+(-2.566728--2.867628))+0-401.9--0.819875999999982</f>
        <v>1547.9357559999999</v>
      </c>
      <c r="Y258" s="3">
        <f>1975.8+(1086.6-1054.3)+(-5.03829+(-2.77083--2.688465))+0-401.7--1.02433499999994</f>
        <v>1602.3036799999998</v>
      </c>
      <c r="Z258" s="3">
        <f>1742.3+(935.5-758.8)+(-2.665719+(-1.431315--1.160964))+0-399.7--0.611541000000023</f>
        <v>1516.975471</v>
      </c>
      <c r="AA258" s="3">
        <f>1595.1+(775.1-454)+(-1.627002+(-0.790602--0.46308))+0-401.1--0.409122000000064</f>
        <v>1513.5545979999997</v>
      </c>
      <c r="AB258" s="3">
        <f>1595.3+(828.6-570.2)+(-0.813603+(-0.422586--0.290802))+0-400.4--0.204203999999959</f>
        <v>1452.5588169999999</v>
      </c>
      <c r="AC258" s="3">
        <f>1592.1+(695-486.5)+(0+(0-0))+0-400.6-0</f>
        <v>1400</v>
      </c>
      <c r="AD258">
        <v>1457.2</v>
      </c>
      <c r="AE258" s="3">
        <f>2010+(1617-1767.3)+(0+(0-0))+0-402.5-0</f>
        <v>1457.2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1545.9+(344.3-134.8)+(-1.576818+(-0.351186--0.137496))+0-399.9--0.407898000000064</f>
        <v>1354.1173900000001</v>
      </c>
      <c r="G259" s="3">
        <f>1540.2+(269.6-155.2)+(-3.142008+(-0.549984--0.316608))+0-403.8--0.823751999999982</f>
        <v>1248.2483680000003</v>
      </c>
      <c r="H259" s="3">
        <f>1456+(303.1-176.2)+(-0.74256+(-0.154581--0.089862))+0-401.8--0.204917999999959</f>
        <v>1180.4976389999999</v>
      </c>
      <c r="I259" s="3">
        <f>1413.9+(308-139.4)+(-1.442178+(-0.31416--0.142188))+0-400.3--0.408306000000064</f>
        <v>1180.994156</v>
      </c>
      <c r="J259" s="3">
        <f>1414.1+(329.2-169.4)+(-1.442382+(-0.335784--0.172788))+0-400.6--0.408612000000064</f>
        <v>1172.1032340000002</v>
      </c>
      <c r="K259" s="3">
        <f>1406.4+(386.1-150.8)+(2.869056+(0.787644-0.307632))+0-401.3-0.818651999999983</f>
        <v>1242.9304160000002</v>
      </c>
      <c r="L259" s="3">
        <f>1351.6+(481.1-181.2)+(-2.757264+(-0.981444--0.369648))+0-401.2--0.818447999999982</f>
        <v>1247.749388</v>
      </c>
      <c r="M259" s="3">
        <f>1351.5+(379.3-155.8)+(-1.37853+(-0.386886--0.158916))+0-399.7--0.407694000000064</f>
        <v>1174.1011939999999</v>
      </c>
      <c r="N259" s="3">
        <f>1383.5+(488.8-181.3)+(-0.705585+(-0.249288--0.092463))+0-400.7--0.204356999999959</f>
        <v>1289.6419470000001</v>
      </c>
      <c r="O259" s="3">
        <f>1428.6+(692.8-339)+(0+(0-0))+0-397.8-0</f>
        <v>1384.6</v>
      </c>
      <c r="P259" s="3">
        <f>1446.6+(1344-971.1)+(-3.68883+(-3.4272--2.476305))+0-396.3--1.01056499999994</f>
        <v>1419.5708400000001</v>
      </c>
      <c r="Q259" s="3">
        <f>1433.6+(1282-999.1)+(-1.462272+(-1.30764--1.019082))+0-396.9--0.404838000000063</f>
        <v>1318.2540080000001</v>
      </c>
      <c r="R259" s="3">
        <f>1433.9+(1183-818.5)+(-5.850312+(-4.82664--3.33948))+0-392.1--1.59976799999997</f>
        <v>1400.5622960000001</v>
      </c>
      <c r="S259" s="3">
        <f>1444.6+(915.5-575.3)+(-1.473492+(-0.93381--0.586806))+0-387.7--0.395454000000062</f>
        <v>1395.6749579999998</v>
      </c>
      <c r="T259" s="3">
        <f>1472.9+(855.3-596)+(-2.253537+(-1.308609--0.91188))+0-388.1--0.593793000000022</f>
        <v>1342.0435269999998</v>
      </c>
      <c r="U259" s="3">
        <f>1541.2+(735.5-542.2)+(-2.358036+(-1.125315--0.829566))+0-391.5--0.598995000000023</f>
        <v>1340.9452100000001</v>
      </c>
      <c r="V259" s="3">
        <f>1675.2+(700.2-672.4)+(2.563056+(1.071306-1.028772))+0-393.6-0.602208000000023</f>
        <v>1311.4033819999997</v>
      </c>
      <c r="W259" s="3">
        <f>1858.9+(1090.5-1100.1)+(-0.948039+(-0.556155--0.561051))+0-399.2--0.20359199999996</f>
        <v>1449.3604490000002</v>
      </c>
      <c r="X259" s="3">
        <f>1859.2+(1175.8-1094.7)+(-6.637344+(-4.197606--3.908079))+0-402--1.43514000000001</f>
        <v>1532.8082690000001</v>
      </c>
      <c r="Y259" s="3">
        <f>1755.7+(1339.6-1262.5)+(-1.790814+(-1.366392--1.28775))+0-396.6--0.404532000000063</f>
        <v>1434.7350759999999</v>
      </c>
      <c r="Z259" s="3">
        <f>1721.3+(1234.2-1122.5)+(-3.511452+(-2.517768--2.2899))+0-403.6--0.823343999999982</f>
        <v>1426.4840239999999</v>
      </c>
      <c r="AA259" s="3">
        <f>1661.7+(1129-978.1)+(-2.542401+(-1.72737--1.496493))+0-399.2--0.610776000000023</f>
        <v>1411.237498</v>
      </c>
      <c r="AB259" s="3">
        <f>1560+(1283.7-1081.3)+(-1.5912+(-1.309374--1.102926))+0-399.7--0.407694000000064</f>
        <v>1361.3100460000001</v>
      </c>
      <c r="AC259" s="3">
        <f>1559+(1066.3-847.8)+(-2.38527+(-1.631439--1.297134))+0-399.3--0.610929000000023</f>
        <v>1376.0913539999999</v>
      </c>
      <c r="AD259">
        <v>1553.4</v>
      </c>
      <c r="AE259" s="3">
        <f>1862+(1297-1209.3)+(0+(0-0))+0-396.3-0</f>
        <v>1553.4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1548.3+(1067.9-951.3)+(0.789633+(0.544629-0.485163))+0-399.6-0.203795999999959</f>
        <v>1265.9453030000002</v>
      </c>
      <c r="G260" s="3">
        <f>1538.3+(772.8-676.9)+(1.569066+(0.788256-0.690438))+0-402.4-0.410448000000064</f>
        <v>1233.0564359999998</v>
      </c>
      <c r="H260" s="3">
        <f>1338.7+(735.8-477)+(0+(0-0))+0-406.3-0</f>
        <v>1191.2</v>
      </c>
      <c r="I260" s="3">
        <f>1287.3+(855.2-592.5)+(2.626092+(1.744608-1.2087))+0-403.4-0.822935999999982</f>
        <v>1148.9390640000001</v>
      </c>
      <c r="J260" s="3">
        <f>1287.8+(854.1-653)+(-1.313556+(-0.871182--0.66606))+0-401.3--0.409326000000064</f>
        <v>1086.4906480000002</v>
      </c>
      <c r="K260" s="3">
        <f>1288.4+(737.3-457.6)+(1.314168+(0.752046-0.466752))+0-400.8-0.408816000000064</f>
        <v>1168.4906459999997</v>
      </c>
      <c r="L260" s="3">
        <f>1285.9+(495.1-264.6)+(-3.279045+(-1.262505--0.67473))+0-401.7--1.02433499999994</f>
        <v>1111.8575149999999</v>
      </c>
      <c r="M260" s="3">
        <f>1286.3+(455.3-314.7)+(-0.656013+(-0.232203--0.160497))+0-403.6--0.205835999999959</f>
        <v>1022.7781170000001</v>
      </c>
      <c r="N260" s="3">
        <f>1292.7+(439.6-286.1)+(1.318554+(0.448392-0.291822))+0-402.4-0.410448000000064</f>
        <v>1044.8646760000001</v>
      </c>
      <c r="O260" s="3">
        <f>1422.8+(330.8-273.3)+(-2.902512+(-0.674832--0.557532))+0-402.7--0.821507999999982</f>
        <v>1075.4016959999999</v>
      </c>
      <c r="P260" s="3">
        <f>1431.6+(352-310.1)+(-0.730116+(-0.17952--0.158151))+0-403.5--0.205784999999959</f>
        <v>1069.4542999999999</v>
      </c>
      <c r="Q260" s="3">
        <f>1430.2+(356.2-367.7)+(-4.376412+(-1.089972--1.125162))+0-403.8--1.23562800000005</f>
        <v>1011.7944060000001</v>
      </c>
      <c r="R260" s="3">
        <f>1430.5+(331.2-371.4)+(0+(0-0))+0-403.8-0</f>
        <v>986.5</v>
      </c>
      <c r="S260" s="3">
        <f>1430.6+(360.9-375.5)+(0+(0-0))+0-401.7-0</f>
        <v>1014.3</v>
      </c>
      <c r="T260" s="3">
        <f>1430+(467.8-503.4)+(-3.6465+(-1.19289--1.28367))+0-400.5--1.02127499999994</f>
        <v>991.36555499999997</v>
      </c>
      <c r="U260" s="3">
        <f>1430.1+(478-488.5)+(2.188053+(0.73134-0.747405))+0-401.7-0.614601000000023</f>
        <v>1019.4573869999999</v>
      </c>
      <c r="V260" s="3">
        <f>1438.9+(572-575.9)+(-0.733839+(-0.29172--0.293709))+0-400.9--0.204458999999959</f>
        <v>1033.5726090000003</v>
      </c>
      <c r="W260" s="3">
        <f>1844.1+(475-660.3)+(0+(0-0))+0-400.7-0</f>
        <v>1258.0999999999999</v>
      </c>
      <c r="X260" s="3">
        <f>1989.1+(339.4-599.4)+(-7.101087+(-1.211658--2.139858))+0-391.5--1.39765500000001</f>
        <v>1332.8247679999999</v>
      </c>
      <c r="Y260" s="3">
        <f>1832.7+(344.6-470.5)+(-3.738708+(-0.702984--0.95982))+0-381.8--0.778871999999983</f>
        <v>1322.2970000000003</v>
      </c>
      <c r="Z260" s="3">
        <f>1730.3+(401.2-462.9)+(-2.647359+(-0.613836--0.708237))+0-386.4--0.591192000000022</f>
        <v>1280.2382340000001</v>
      </c>
      <c r="AA260" s="3">
        <f>1600.2+(609.6-572)+(0+(0-0))+0-382.8-0</f>
        <v>1255.0000000000002</v>
      </c>
      <c r="AB260" s="3">
        <f>1588.5+(672.8-637.5)+(-1.62027+(-0.686256--0.65025))+0-392.5--0.400350000000063</f>
        <v>1230.0440740000001</v>
      </c>
      <c r="AC260" s="3">
        <f>1586.3+(447.4-368)+(-4.854078+(-1.369044--1.12608))+0-397.4--1.21604400000005</f>
        <v>1264.4190019999999</v>
      </c>
      <c r="AD260">
        <v>1364.9</v>
      </c>
      <c r="AE260" s="3">
        <f>2004+(360.4-599)+(0+(0-0))+0-400.5-0</f>
        <v>1364.9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1551.5+(488.7-504.7)+(-2.373795+(-0.747711--0.772191))+0-398.6--0.609858000000023</f>
        <v>1135.1605430000002</v>
      </c>
      <c r="G261" s="3">
        <f>1551.5+(436-534.2)+(-1.58253+(-0.44472--0.544884))+0-394.2--0.402084000000063</f>
        <v>1058.019718</v>
      </c>
      <c r="H261" s="3">
        <f>1550.9+(284.4-344.1)+(-3.163836+(-0.580176--0.701964))+0-402.4--0.820895999999982</f>
        <v>1086.5788479999999</v>
      </c>
      <c r="I261" s="3">
        <f>1550.9+(212.8-285.5)+(0+(0-0))+0-401.4-0</f>
        <v>1076.8000000000002</v>
      </c>
      <c r="J261" s="3">
        <f>1550.3+(213.7-313.8)+(0.790653+(0.108987-0.160038))+0-400.8-0.204407999999959</f>
        <v>1049.9351939999999</v>
      </c>
      <c r="K261" s="3">
        <f>1552.3+(194.8-359)+(-2.375019+(-0.298044--0.54927))+0-401.2--0.613836000000023</f>
        <v>985.39004299999988</v>
      </c>
      <c r="L261" s="3">
        <f>1551+(325.5-422.5)+(-1.58202+(-0.33201--0.43095))+0-399.7--0.407694000000064</f>
        <v>1053.224614</v>
      </c>
      <c r="M261" s="3">
        <f>1381.7+(397-388.9)+(-2.114001+(-0.60741--0.595017))+0-401.1--0.613683000000023</f>
        <v>987.18728900000031</v>
      </c>
      <c r="N261" s="3">
        <f>1286.7+(394.4-327.2)+(-0.656217+(-0.201144--0.166872))+0-375.3--0.191402999999962</f>
        <v>978.10091399999999</v>
      </c>
      <c r="O261" s="3">
        <f>1283.5+(355.9-322.5)+(0+(0-0))+0-401.6-0</f>
        <v>915.30000000000007</v>
      </c>
      <c r="P261" s="3">
        <f>1281.9+(294.3-287.7)+(-3.922614+(-0.900558--0.880362))+0-389.1--1.19064600000004</f>
        <v>896.64783599999998</v>
      </c>
      <c r="Q261" s="3">
        <f>1283.6+(323.6-344.2)+(-0.654636+(-0.165036--0.175542))+0-387.1--0.197420999999961</f>
        <v>875.45329100000004</v>
      </c>
      <c r="R261" s="3">
        <f>1285+(276-301)+(0.65535+(0.14076-0.15351))+0-383-0.195329999999961</f>
        <v>877.44726999999989</v>
      </c>
      <c r="S261" s="3">
        <f>1285+(278-272)+(1.96605+(0.42534-0.41616))+0-381-0.582930000000022</f>
        <v>911.39229999999998</v>
      </c>
      <c r="T261" s="3">
        <f>1283+(344-312)+(-0.65433+(-0.17544--0.15912))+0-382--0.194819999999961</f>
        <v>932.52416999999991</v>
      </c>
      <c r="U261" s="3">
        <f>1284+(333-206)+(-0.65484+(-0.16983--0.10506))+0-382--0.194819999999961</f>
        <v>1028.4752099999998</v>
      </c>
      <c r="V261" s="3">
        <f>1497+(331-499)+(-1.52694+(-0.33762--0.50898))+0-384--0.391680000000061</f>
        <v>944.03610000000015</v>
      </c>
      <c r="W261" s="3">
        <f>1841+(440-650)+(0+(0-0))+0-385-0</f>
        <v>1246</v>
      </c>
      <c r="X261" s="3">
        <f>1868.9+(472.8-620.8)+(-4.765695+(-1.20564--1.58304))+0-382.3--0.974864999999945</f>
        <v>1335.1865700000001</v>
      </c>
      <c r="Y261" s="3">
        <f>1761.6+(450.4-530.1)+(0+(0-0))+0-386.2-0</f>
        <v>1295.6999999999998</v>
      </c>
      <c r="Z261" s="3">
        <f>1739.7+(449-528.2)+(0+(0-0))+0-387.9-0</f>
        <v>1272.5999999999999</v>
      </c>
      <c r="AA261" s="3">
        <f>1714.7+(492.2-540.2)+(-0.874497+(-0.251022--0.275502))+0-391.6--0.19971599999996</f>
        <v>1274.449699</v>
      </c>
      <c r="AB261" s="3">
        <f>1623.7+(612.9-624.7)+(-0.828087+(-0.312579--0.318597))+0-394.9--0.20139899999996</f>
        <v>1216.3793300000002</v>
      </c>
      <c r="AC261" s="3">
        <f>1552.7+(450.8-389.2)+(0+(0-0))+0-395.7-0</f>
        <v>1218.6000000000001</v>
      </c>
      <c r="AD261">
        <v>1242.8</v>
      </c>
      <c r="AE261" s="3">
        <f>1866+(400.5-635.9)+(0+(0-0))+0-387.8-0</f>
        <v>1242.8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1521.4+(424.9-397.4)+(-3.87957+(-1.083495--1.01337))+0-397.7--1.01413499999994</f>
        <v>1148.2644399999999</v>
      </c>
      <c r="G262" s="3">
        <f>1332.8+(464.4-331.8)+(-2.039184+(-0.710532--0.507654))+0-401.3--0.613989000000023</f>
        <v>1062.4719269999998</v>
      </c>
      <c r="H262" s="3">
        <f>1286.9+(449.8-302.6)+(-0.656319+(-0.229398--0.154326))+0-400.1--0.204050999999959</f>
        <v>1033.4726600000001</v>
      </c>
      <c r="I262" s="3">
        <f>1286.2+(293.5-213.6)+(-2.623848+(-0.59874--0.435744))+0-399.5--0.814979999999983</f>
        <v>964.62813600000015</v>
      </c>
      <c r="J262" s="3">
        <f>1286.2+(286.8-191.6)+(-0.655962+(-0.146268--0.097716))+0-401.3--0.204662999999959</f>
        <v>979.6001490000001</v>
      </c>
      <c r="K262" s="3">
        <f>1287.8+(366.3-241.6)+(1.970334+(0.560439-0.369648))+0-397.3-0.607869000000023</f>
        <v>1016.7532560000001</v>
      </c>
      <c r="L262" s="3">
        <f>1287+(361-243)+(-1.96911+(-0.55233--0.37179))+0-396.1--0.606033000000023</f>
        <v>1007.3563829999999</v>
      </c>
      <c r="M262" s="3">
        <f>1313.5+(375.5-241)+(1.33977+(0.38301-0.24582))+0-399.5-0.407490000000064</f>
        <v>1049.5694699999999</v>
      </c>
      <c r="N262" s="3">
        <f>1387.8+(538.3-433)+(-0.707778+(-0.274533--0.22083))+0-393.2--0.20053199999996</f>
        <v>1099.3390509999999</v>
      </c>
      <c r="O262" s="3">
        <f>1509+(778.8-719.9)+(0.76959+(0.397188-0.367149))+0-384.1-0.195890999999961</f>
        <v>1184.4037380000002</v>
      </c>
      <c r="P262" s="3">
        <f>1512+(1149.3-1054.5)+(0+(0-0))+0-380.7-0</f>
        <v>1226.0999999999999</v>
      </c>
      <c r="Q262" s="3">
        <f>1511.8+(1393.4-1134.8)+(-0.771018+(-0.710634--0.578748))+0-384.3--0.195992999999961</f>
        <v>1385.3930890000001</v>
      </c>
      <c r="R262" s="3">
        <f>1505.1+(1189-925.6)+(-4.605606+(-3.63834--2.832336))+0-391.6--1.19829600000005</f>
        <v>1372.686686</v>
      </c>
      <c r="S262" s="3">
        <f>1508.5+(841.5-647.2)+(-3.07734+(-1.71666--1.320288))+0-396.1--0.808043999999983</f>
        <v>1304.0343319999997</v>
      </c>
      <c r="T262" s="3">
        <f>1592.9+(835.9-771.1)+(-2.437137+(-1.278927--1.179783))+0-393.4--0.601902000000023</f>
        <v>1262.3656210000001</v>
      </c>
      <c r="U262" s="3">
        <f>1690.1+(714.3-673.4)+(-2.585853+(-1.092879--1.030302))+0-395.3--0.604809000000023</f>
        <v>1333.656379</v>
      </c>
      <c r="V262" s="3">
        <f>1831+(800.6-892.2)+(0+(0-0))+0-395.3-0</f>
        <v>1344.1000000000001</v>
      </c>
      <c r="W262" s="3">
        <f>1997.6+(1432.5-1556.2)+(1.018776+(0.730575-0.793662))+0-364.1-0.185690999999963</f>
        <v>1510.5699979999997</v>
      </c>
      <c r="X262" s="3">
        <f>1996.5+(1620.7-1618.7)+(-6.10929+(-4.959342--4.953222))+0-398.8--1.22032800000005</f>
        <v>1594.804918</v>
      </c>
      <c r="Y262" s="3">
        <f>1995.4+(1158.6-1167.7)+(-3.052962+(-1.772658--1.786581))+0-387.1--0.592263000000022</f>
        <v>1596.753224</v>
      </c>
      <c r="Z262" s="3">
        <f>1996.1+(746.7-816.6)+(-1.018011+(-0.380817--0.416466))+0-387.3--0.197522999999961</f>
        <v>1538.1151609999999</v>
      </c>
      <c r="AA262" s="3">
        <f>1960.1+(443.3-484.8)+(0.999651+(0.226083-0.247248))+0-395-0.20144999999996</f>
        <v>1524.3770359999999</v>
      </c>
      <c r="AB262" s="3">
        <f>1692.3+(437.9-327.5)+(-2.589219+(-0.669987--0.501075))+0-391.3--0.598689000000023</f>
        <v>1409.2405579999997</v>
      </c>
      <c r="AC262" s="3">
        <f>1557.7+(520.5-337.7)+(-4.766562+(-1.59273--1.033362))+0-394.8--1.20808800000005</f>
        <v>1341.5821580000002</v>
      </c>
      <c r="AD262">
        <v>1581.5000000000002</v>
      </c>
      <c r="AE262" s="3">
        <f>1988+(1744.3-1750.6)+(0+(0-0))+0-400.2-0</f>
        <v>1581.5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1543.1+(451.9-338.5)+(-3.934905+(-1.152345--0.863175))+0-395.6--1.00877999999994</f>
        <v>1257.6847049999999</v>
      </c>
      <c r="G263" s="3">
        <f>1549.2+(366.2-268.6)+(-4.740552+(-1.120572--0.821916))+0-395.3--1.20961800000005</f>
        <v>1247.6704100000002</v>
      </c>
      <c r="H263" s="3">
        <f>1551.1+(288-211)+(2.373183+(0.44064-0.32283))+0-397.7-0.608481000000023</f>
        <v>1232.2825119999998</v>
      </c>
      <c r="I263" s="3">
        <f>1550.9+(213.2-184.5)+(0+(0-0))+0-396.3-0</f>
        <v>1183.3000000000002</v>
      </c>
      <c r="J263" s="3">
        <f>1550.8+(202-178.3)+(2.372724+(0.30906-0.272799))+0-396.2-0.606186000000023</f>
        <v>1180.102799</v>
      </c>
      <c r="K263" s="3">
        <f>1550.7+(206.2-196.1)+(-2.372571+(-0.315486--0.300033))+0-395.3--0.604809000000023</f>
        <v>1163.7167849999998</v>
      </c>
      <c r="L263" s="3">
        <f>1550.6+(230.1-207)+(-0.790806+(-0.117351--0.10557))+0-394.4--0.20114399999996</f>
        <v>1178.6985569999999</v>
      </c>
      <c r="M263" s="3">
        <f>1550.5+(413.5-333.9)+(-1.58151+(-0.42177--0.340578))+0-395.7--0.403614000000063</f>
        <v>1233.1409119999998</v>
      </c>
      <c r="N263" s="3">
        <f>1550.8+(380.6-277)+(1.581816+(0.388212-0.28254))+0-396-0.403920000000063</f>
        <v>1259.6835680000002</v>
      </c>
      <c r="O263" s="3">
        <f>1614.1+(440.1-390.3)+(0.823191+(0.224451-0.199053))+0-398-0.20297999999996</f>
        <v>1266.5456089999998</v>
      </c>
      <c r="P263" s="3">
        <f>1509+(931.2-815.1)+(2.30877+(1.424736-1.247103))+0-395.6-0.605268000000023</f>
        <v>1231.3811349999999</v>
      </c>
      <c r="Q263" s="3">
        <f>1509.6+(1219-1029.1)+(-0.769896+(-0.62169--0.524841))+0-364.8--0.186047999999963</f>
        <v>1334.019303</v>
      </c>
      <c r="R263" s="3">
        <f>1508.8+(924.3-716.8)+(-2.308464+(-1.414179--1.096704))+0-364.1--0.557073000000021</f>
        <v>1350.1311339999997</v>
      </c>
      <c r="S263" s="3">
        <f>1506.9+(538.2-431.8)+(-3.842595+(-1.37241--1.10109))+0-371--0.946049999999946</f>
        <v>1239.1321350000003</v>
      </c>
      <c r="T263" s="3">
        <f>1509.3+(461.2-354.8)+(-2.309229+(-0.705636--0.542844))+0-374--0.572220000000022</f>
        <v>1239.8001989999998</v>
      </c>
      <c r="U263" s="3">
        <f>1510.3+(550.1-421.4)+(-3.081012+(-1.122204--0.859656))+0-371.1--0.757043999999984</f>
        <v>1265.3134839999998</v>
      </c>
      <c r="V263" s="3">
        <f>1770.9+(612.6-699.5)+(-2.709477+(-0.937278--1.070235))+0-375.5--0.574515000000022</f>
        <v>1306.4979949999999</v>
      </c>
      <c r="W263" s="3">
        <f>1988.1+(1278.4-1414.1)+(1.013931+(0.651984-0.721191))+0-384.6-0.196145999999961</f>
        <v>1468.5485780000001</v>
      </c>
      <c r="X263" s="3">
        <f>1991.7+(1568.3-1589.5)+(0+(0-0))+0-393.1-0</f>
        <v>1577.4</v>
      </c>
      <c r="Y263" s="3">
        <f>1985.5+(1361-1392.8)+(-5.063025+(-3.47055--3.55164))+0-385.6--0.983279999999944</f>
        <v>1564.101345</v>
      </c>
      <c r="Z263" s="3">
        <f>1820.7+(1365-1286.2)+(-3.714228+(-2.7846--2.623848))+0-393.7--0.803147999999983</f>
        <v>1502.7281679999999</v>
      </c>
      <c r="AA263" s="3">
        <f>1803+(1199.1-1101.2)+(-2.75859+(-1.834623--1.684836))+0-394.1--0.602973000000023</f>
        <v>1504.494596</v>
      </c>
      <c r="AB263" s="3">
        <f>1751.4+(1283.3-1201.2)+(-2.679642+(-1.963449--1.837836))+0-387.1--0.592263000000022</f>
        <v>1444.1870079999999</v>
      </c>
      <c r="AC263" s="3">
        <f>1594.5+(1466.9-1366)+(-1.62639+(-1.496238--1.39332))+0-396.6--0.404532000000063</f>
        <v>1297.4752240000003</v>
      </c>
      <c r="AD263">
        <v>1587.6000000000001</v>
      </c>
      <c r="AE263" s="3">
        <f>1992+(1617.8-1631.7)+(0+(0-0))+0-390.5-0</f>
        <v>1587.6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1540.6+(1013.9-865.4)+(-2.357118+(-1.551267--1.324062))+0-396.7--0.606951000000023</f>
        <v>1290.4226279999998</v>
      </c>
      <c r="G264" s="3">
        <f>1431.9+(523.4-295.7)+(-1.460538+(-0.533868--0.301614))+0-391--0.398820000000062</f>
        <v>1267.3060280000002</v>
      </c>
      <c r="H264" s="3">
        <f>1359+(496.9-266.7)+(0+(0-0))+0-393.9-0</f>
        <v>1195.3000000000002</v>
      </c>
      <c r="I264" s="3">
        <f>1359.3+(323.7-172.3)+(0.693243+(0.165087-0.087873))+0-393.3-0.20058299999996</f>
        <v>1117.9698739999999</v>
      </c>
      <c r="J264" s="3">
        <f>1358.3+(357.3-221.7)+(-0.692733+(-0.182223--0.113067))+0-394.3--0.20109299999996</f>
        <v>1099.0392039999999</v>
      </c>
      <c r="K264" s="3">
        <f>1359.3+(549.9-437.9)+(3.466215+(1.402245-1.116645))+0-393.1-1.00240499999994</f>
        <v>1080.9494099999999</v>
      </c>
      <c r="L264" s="3">
        <f>1360.4+(503.8-364.3)+(-3.46902+(-1.28469--0.928965))+0-394.1--1.00495499999994</f>
        <v>1102.9802100000002</v>
      </c>
      <c r="M264" s="3">
        <f>1359+(388-295.1)+(-2.07927+(-0.59364--0.451503))+0-389.9--0.596547000000022</f>
        <v>1060.3751400000001</v>
      </c>
      <c r="N264" s="3">
        <f>1381.8+(371.7-277.1)+(1.409436+(0.379134-0.282642))+0-380.5-0.388110000000061</f>
        <v>1097.0178179999998</v>
      </c>
      <c r="O264" s="3">
        <f>1358.6+(414.5-277.4)+(1.385772+(0.42279-0.282948))+0-382.8-0.390456000000061</f>
        <v>1114.0351579999997</v>
      </c>
      <c r="P264" s="3">
        <f>1359.7+(422.5-187.7)+(-1.386894+(-0.43095--0.191454))+0-389.3--0.397086000000062</f>
        <v>1203.9706960000003</v>
      </c>
      <c r="Q264" s="3">
        <f>1359+(420-211.4)+(-1.38618+(-0.4284--0.215628))+0-392.2--0.400044000000063</f>
        <v>1174.2010919999998</v>
      </c>
      <c r="R264" s="3">
        <f>1358.3+(410.4-226.2)+(-2.770932+(-0.837216--0.461448))+0-371.4--0.757655999999984</f>
        <v>1168.7109560000001</v>
      </c>
      <c r="S264" s="3">
        <f>1359.7+(420.5-222.6)+(-2.773788+(-0.85782--0.454104))+0-370.9--0.756635999999984</f>
        <v>1184.2791320000001</v>
      </c>
      <c r="T264" s="3">
        <f>1360.6+(461.2-281.9)+(-0.693906+(-0.235212--0.143769))+0-369.1--0.188240999999963</f>
        <v>1170.202892</v>
      </c>
      <c r="U264" s="3">
        <f>1359.3+(375.2-223)+(-2.079729+(-0.574056--0.34119))+0-373.4--0.571302000000022</f>
        <v>1136.3587070000001</v>
      </c>
      <c r="V264" s="3">
        <f>1621.4+(274.6-342.7)+(-0.826914+(-0.140046--0.174777))+0-376.5--0.192014999999962</f>
        <v>1176.199832</v>
      </c>
      <c r="W264" s="3">
        <f>1993.4+(789-1142.8)+(-3.049902+(-1.20717--1.748484))+0-374.5--0.572985000000022</f>
        <v>1263.1643970000002</v>
      </c>
      <c r="X264" s="3">
        <f>2047.6+(849.9-1116.8)+(-1.044276+(-0.433449--0.569568))+0-376.1--0.191810999999962</f>
        <v>1403.8836539999995</v>
      </c>
      <c r="Y264" s="3">
        <f>2046.7+(1006.9-1187.8)+(-1.043817+(-0.513519--0.605778))+0-379.5--0.193544999999961</f>
        <v>1485.5419870000001</v>
      </c>
      <c r="Z264" s="3">
        <f>2046.7+(825.7-995)+(-2.087634+(-0.842214--1.0149))+0-386.1--0.393822000000062</f>
        <v>1489.7788740000001</v>
      </c>
      <c r="AA264" s="3">
        <f>2046.6+(539.9-707.9)+(-3.131298+(-0.826047--1.083087))+0-386.7--0.591651000000022</f>
        <v>1489.6173929999998</v>
      </c>
      <c r="AB264" s="3">
        <f>1922.7+(426-536.4)+(-2.941731+(-0.65178--0.820692))+0-390.6--0.597618000000023</f>
        <v>1419.524799</v>
      </c>
      <c r="AC264" s="3">
        <f>1739.2+(284.2-313.1)+(-5.321952+(-0.869652--0.958086))+0-376.8--1.15300800000004</f>
        <v>1329.41949</v>
      </c>
      <c r="AD264">
        <v>1376.3999999999999</v>
      </c>
      <c r="AE264" s="3">
        <f>2049+(736.1-1034)+(0+(0-0))+0-374.7-0</f>
        <v>1376.3999999999999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1638.5+(280.7-302.1)+(-4.178175+(-0.715785--0.770355))+0-391.8--0.999089999999943</f>
        <v>1222.175485</v>
      </c>
      <c r="G265" s="3">
        <f>1608.9+(218.1-264.8)+(-3.282156+(-0.444924--0.540192))+0-392.9--0.801515999999983</f>
        <v>1166.914628</v>
      </c>
      <c r="H265" s="3">
        <f>1413.4+(526.4-383.4)+(0+(0-0))+0-396.5-0</f>
        <v>1159.9000000000001</v>
      </c>
      <c r="I265" s="3">
        <f>1397.7+(565.3-441.7)+(-0.712827+(-0.288303--0.225267))+0-399.2--0.20359199999996</f>
        <v>1121.5277289999999</v>
      </c>
      <c r="J265" s="3">
        <f>1361.7+(516.6-375)+(0.694467+(0.263466-0.19125))+0-397-0.20246999999996</f>
        <v>1106.8642130000003</v>
      </c>
      <c r="K265" s="3">
        <f>1363.6+(674.9-496.2)+(0.695436+(0.344199-0.253062))+0-397.2-0.20257199999996</f>
        <v>1145.6840010000001</v>
      </c>
      <c r="L265" s="3">
        <f>1363.9+(791.3-594.8)+(0+(0-0))+0-398.7-0</f>
        <v>1161.7</v>
      </c>
      <c r="M265" s="3">
        <f>1363.1+(673.1-483.9)+(2.085543+(1.029843-0.740367))+0-393-0.601290000000023</f>
        <v>1161.073729</v>
      </c>
      <c r="N265" s="3">
        <f>1464+(371.1-266.6)+(1.49328+(0.378522-0.271932))+0-402-0.410040000000064</f>
        <v>1167.68983</v>
      </c>
      <c r="O265" s="3">
        <f>1511+(853.5-657.6)+(0+(0-0))+0-395-0</f>
        <v>1311.9</v>
      </c>
      <c r="P265" s="3">
        <f>1510.3+(1189.5-946.5)+(-2.310759+(-1.819935--1.448145))+0-391.2--0.598536000000023</f>
        <v>1360.0159869999998</v>
      </c>
      <c r="Q265" s="3">
        <f>1508.6+(1513.3-1283.5)+(-1.538772+(-1.543566--1.30917))+0-360.3--0.367506000000057</f>
        <v>1376.694338</v>
      </c>
      <c r="R265" s="3">
        <f>1507+(1394.9-1150.3)+(-3.84285+(-3.556995--2.933265))+0-388.4--0.990419999999944</f>
        <v>1359.7238399999999</v>
      </c>
      <c r="S265" s="3">
        <f>1510.3+(1217.1-933.4)+(0+(0-0))+0-393.5-0</f>
        <v>1400.5</v>
      </c>
      <c r="T265" s="3">
        <f>1511.3+(1429.3-1168.2)+(-1.541526+(-1.457886--1.191564))+0-390.9--0.398718000000062</f>
        <v>1380.0908700000002</v>
      </c>
      <c r="U265" s="3">
        <f>1510.9+(1357.9-1034)+(0+(0-0))+0-389.2-0</f>
        <v>1445.6000000000001</v>
      </c>
      <c r="V265" s="3">
        <f>1671.1+(1392.2-1252.8)+(-0.852261+(-0.710022--0.638928))+0-391.6--0.19971599999996</f>
        <v>1418.176361</v>
      </c>
      <c r="W265" s="3">
        <f>1981.7+(1836.5-2004.1)+(2.021334+(1.87323-2.044182))+0-380.8-0.388416000000061</f>
        <v>1434.7619660000003</v>
      </c>
      <c r="X265" s="3">
        <f>1983.7+(1755.3-1901.9)+(-3.035061+(-2.685609--2.909907))+0-395.4--0.604962000000023</f>
        <v>1439.494199</v>
      </c>
      <c r="Y265" s="3">
        <f>1978.3+(1573-1487.5)+(-1.008933+(-0.80223--0.758625))+0-393.4--0.20063399999996</f>
        <v>1669.5480960000002</v>
      </c>
      <c r="Z265" s="3">
        <f>1974.5+(1169-1182.7)+(-1.006995+(-0.59619--0.603177))+0-390.9--0.19935899999996</f>
        <v>1569.0993510000001</v>
      </c>
      <c r="AA265" s="3">
        <f>1832.4+(1026.5-919.1)+(0+(0-0))+0-389.1-0</f>
        <v>1550.7000000000003</v>
      </c>
      <c r="AB265" s="3">
        <f>1560+(1084.4-791.6)+(0+(0-0))+0-391.1-0</f>
        <v>1461.7000000000003</v>
      </c>
      <c r="AC265" s="3">
        <f>1539.8+(1022.5-787.8)+(0+(0-0))+0-390.5-0</f>
        <v>1384</v>
      </c>
      <c r="AD265">
        <v>1681.7</v>
      </c>
      <c r="AE265" s="3">
        <f>1981+(2062-1968.6)+(0+(0-0))+0-392.7-0</f>
        <v>1681.7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1387.6+(702.4-413.9)+(-2.123028+(-1.074672--0.633267))+0-396.7--0.606951000000023</f>
        <v>1277.4425179999998</v>
      </c>
      <c r="G266" s="3">
        <f>1367.1+(653.5-492.5)+(-3.486105+(-1.666425--1.255875))+0-396.5--1.01107499999994</f>
        <v>1128.7144199999998</v>
      </c>
      <c r="H266" s="3">
        <f>1365.9+(707.4-581.6)+(0+(0-0))+0-380-0</f>
        <v>1111.7</v>
      </c>
      <c r="I266" s="3">
        <f>1366.9+(734.9-530.2)+(0+(0-0))+0-391.2-0</f>
        <v>1180.3999999999999</v>
      </c>
      <c r="J266" s="3">
        <f>1365.7+(832.4-665.2)+(-1.393014+(-0.849048--0.678504))+0-394.9--0.402798000000063</f>
        <v>1136.8392400000002</v>
      </c>
      <c r="K266" s="3">
        <f>1367.6+(740.4-527.1)+(2.092428+(1.132812-0.806463))+0-392.9-0.601137000000023</f>
        <v>1189.8176399999998</v>
      </c>
      <c r="L266" s="3">
        <f>1367.1+(709.6-456.9)+(1.394442+(0.723792-0.466038))+0-392.6-0.400452000000063</f>
        <v>1228.4517439999997</v>
      </c>
      <c r="M266" s="3">
        <f>1366+(679.4-344.8)+(2.78664+(1.385976-0.703392))+0-392.9-0.801515999999983</f>
        <v>1310.3677079999998</v>
      </c>
      <c r="N266" s="3">
        <f>1367.2+(647-247.7)+(-1.394544+(-0.65994--0.252654))+0-394.7--0.402594000000063</f>
        <v>1370.400764</v>
      </c>
      <c r="O266" s="3">
        <f>1467.6+(852-604.2)+(0.748476+(0.43452-0.308142))+0-391.8-0.19981799999996</f>
        <v>1324.2750359999998</v>
      </c>
      <c r="P266" s="3">
        <f>1512+(1253.3-1045.2)+(0.77112+(0.639183-0.533052))+0-393.9-0.20088899999996</f>
        <v>1326.8763619999997</v>
      </c>
      <c r="Q266" s="3">
        <f>1512.6+(1548-1222.8)+(-3.085704+(-3.15792--2.494512))+0-393--0.801719999999983</f>
        <v>1441.8526079999999</v>
      </c>
      <c r="R266" s="3">
        <f>1511.7+(1273.7-971.1)+(-2.312901+(-1.948761--1.485783))+0-390--0.596700000000023</f>
        <v>1422.1208210000002</v>
      </c>
      <c r="S266" s="3">
        <f>1510.8+(1108.9-878.5)+(-1.541016+(-1.131078--0.89607))+0-374.2--0.38168400000006</f>
        <v>1365.6056599999999</v>
      </c>
      <c r="T266" s="3">
        <f>1512.2+(1095.5-890.7)+(1.542444+(1.11741-0.908514))+0-375.1-0.38260200000006</f>
        <v>1343.2687379999998</v>
      </c>
      <c r="U266" s="3">
        <f>1511.8+(1029.2-777.4)+(-1.542036+(-1.049784--0.792948))+0-379.3--0.386886000000061</f>
        <v>1382.8880139999999</v>
      </c>
      <c r="V266" s="3">
        <f>1723+(1086.9-1060.6)+(1.75746+(1.108638-1.081812))+0-380.5-0.388110000000061</f>
        <v>1370.1961760000002</v>
      </c>
      <c r="W266" s="3">
        <f>1980.1+(1976.8-2123.8)+(2.019702+(2.016336-2.166276))+0-385.3-0.393006000000061</f>
        <v>1449.2767559999998</v>
      </c>
      <c r="X266" s="3">
        <f>1983.5+(2215.2-2142)+(-4.04634+(-4.519008--4.36968))+0-383.5--0.782339999999983</f>
        <v>1669.786672</v>
      </c>
      <c r="Y266" s="3">
        <f>1982+(1837.7-1783.3)+(-6.06492+(-5.623362--5.456898))+0-391.7--1.19860200000005</f>
        <v>1639.667218</v>
      </c>
      <c r="Z266" s="3">
        <f>1884.5+(1577.6-1475.5)+(-2.883285+(-2.413728--2.257515))+0-397.6--0.608328000000023</f>
        <v>1586.5688299999999</v>
      </c>
      <c r="AA266" s="3">
        <f>1745.4+(1282.7-1042.6)+(-1.780308+(-1.308354--1.063452))+0-390.4--0.398208000000062</f>
        <v>1593.4729980000002</v>
      </c>
      <c r="AB266" s="3">
        <f>1728.3+(1042.6-826.5)+(-5.288598+(-3.190356--2.52909))+0-392.4--1.20074400000005</f>
        <v>1547.2508799999998</v>
      </c>
      <c r="AC266" s="3">
        <f>1596.8+(904.1-745.6)+(-2.443104+(-1.383273--1.140768))+0-381.6--0.583848000000022</f>
        <v>1371.5982389999997</v>
      </c>
      <c r="AD266">
        <v>1423.0999999999995</v>
      </c>
      <c r="AE266" s="3">
        <f>1981+(2139.4-2311.9)+(0+(0-0))+0-385.4-0</f>
        <v>1423.1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1363.9+(871.9-579.6)+(-2.086767+(-1.334007--0.886788))+0-379.9--0.581247000000022</f>
        <v>1274.3472610000003</v>
      </c>
      <c r="G267" s="3">
        <f>1287.8+(676.9-244.7)+(2.627112+(1.380876-0.499188))+0-392.4-0.800495999999983</f>
        <v>1330.3083039999999</v>
      </c>
      <c r="H267" s="3">
        <f>1288.4+(614.7-248.3)+(1.971252+(0.940491-0.379899))+0-394.7-0.603891000000023</f>
        <v>1262.0279530000003</v>
      </c>
      <c r="I267" s="3">
        <f>1288.1+(542.9-244.5)+(0.656931+(0.276879-0.124695))+0-392.8-0.20032799999996</f>
        <v>1194.3087870000002</v>
      </c>
      <c r="J267" s="3">
        <f>1287.8+(529.8-257.5)+(-3.28389+(-1.35099--0.656625))+0-388.7--0.991184999999944</f>
        <v>1168.4129299999997</v>
      </c>
      <c r="K267" s="3">
        <f>1287.6+(615.4-284.6)+(0.656676+(0.313854-0.145146))+0-371.4-0.189413999999962</f>
        <v>1247.6359699999998</v>
      </c>
      <c r="L267" s="3">
        <f>1287.9+(767.4-371.1)+(-1.313658+(-0.782748--0.378522))+0-367.8--0.375156000000059</f>
        <v>1315.0572720000002</v>
      </c>
      <c r="M267" s="3">
        <f>1304.2+(636.9-362.1)+(0.665142+(0.324819-0.184671))+0-366.5-0.186914999999963</f>
        <v>1213.118375</v>
      </c>
      <c r="N267" s="3">
        <f>1368.8+(548.4-288.6)+(0+(0-0))+0-372.9-0</f>
        <v>1255.6999999999998</v>
      </c>
      <c r="O267" s="3">
        <f>1427.4+(1060.5-731.9)+(0.727974+(0.540855-0.373269))+0-370.1-0.188750999999962</f>
        <v>1386.6068090000001</v>
      </c>
      <c r="P267" s="3">
        <f>1512.5+(1384.9-1070.3)+(-0.771375+(-0.706299--0.545853))+0-376.1--0.191810999999962</f>
        <v>1450.2599900000002</v>
      </c>
      <c r="Q267" s="3">
        <f>1513+(1550.1-1206)+(-2.31489+(-2.371653--1.84518))+0-376.8--0.576504000000022</f>
        <v>1478.0351410000001</v>
      </c>
      <c r="R267" s="3">
        <f>1511.1+(1412-1121.6)+(-1.541322+(-1.44024--1.144032))+0-381.9--0.389538000000061</f>
        <v>1418.1520080000003</v>
      </c>
      <c r="S267" s="3">
        <f>1587.2+(1047.1-807.2)+(-3.237888+(-2.136084--1.646688))+0-387.2--0.789887999999983</f>
        <v>1436.9626039999998</v>
      </c>
      <c r="T267" s="3">
        <f>1612.7+(983.4-756)+(-1.644954+(-1.003068--0.77112))+0-390.6--0.398412000000062</f>
        <v>1448.02151</v>
      </c>
      <c r="U267" s="3">
        <f>1625.8+(973.7-783.7)+(-2.487474+(-1.489761--1.199061))+0-383.2--0.586296000000022</f>
        <v>1430.4081219999998</v>
      </c>
      <c r="V267" s="3">
        <f>1827.2+(1053.8-1097.9)+(-1.863744+(-1.074876--1.119858))+0-370.7--0.378114000000059</f>
        <v>1410.9593519999999</v>
      </c>
      <c r="W267" s="3">
        <f>1984.3+(1890.2-1945.8)+(-1.011993+(-0.964002--0.992358))+0-383.2--0.195431999999961</f>
        <v>1544.7117949999999</v>
      </c>
      <c r="X267" s="3">
        <f>1984.1+(1993.9-1927.5)+(-5.059455+(-5.084445--4.915125))+0-355.4--0.906269999999948</f>
        <v>1690.7774949999998</v>
      </c>
      <c r="Y267" s="3">
        <f>1956.7+(1705-1609.5)+(-1.995834+(-1.7391--1.64169))+0-368.4--0.375768000000059</f>
        <v>1682.0825239999997</v>
      </c>
      <c r="Z267" s="3">
        <f>1809.4+(1591-1444.6)+(-3.691176+(-3.24564--2.946984))+0-378.6--0.772343999999983</f>
        <v>1573.982512</v>
      </c>
      <c r="AA267" s="3">
        <f>1730.9+(1322.4-1066)+(-1.765518+(-1.348848--1.08732))+0-383.5--0.391170000000061</f>
        <v>1602.1641240000004</v>
      </c>
      <c r="AB267" s="3">
        <f>1731.9+(1109.7-910.9)+(-5.299614+(-3.395682--2.787354))+0-383.3--1.17289800000004</f>
        <v>1542.6649560000003</v>
      </c>
      <c r="AC267" s="3">
        <f>1712.8+(863.3-742.3)+(-2.620584+(-1.320849--1.135719))+0-386.9--0.591957000000022</f>
        <v>1444.6862430000001</v>
      </c>
      <c r="AD267">
        <v>1677.9999999999998</v>
      </c>
      <c r="AE267" s="3">
        <f>1979+(2201.2-2114.9)+(0+(0-0))+0-387.3-0</f>
        <v>1677.9999999999998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1477.6+(616.3-425.7)+(-0.753576+(-0.314313--0.217107))+0-375.6--0.191555999999962</f>
        <v>1291.9407739999999</v>
      </c>
      <c r="G268" s="3">
        <f>1419.1+(521.6-307.5)+(-0.723741+(-0.266016--0.156825))+0-381.2--0.194411999999961</f>
        <v>1251.3614799999998</v>
      </c>
      <c r="H268" s="3">
        <f>1351.8+(583.9-314.3)+(0.689418+(0.297789-0.160293))+0-391.8-0.19981799999996</f>
        <v>1230.2270959999998</v>
      </c>
      <c r="I268" s="3">
        <f>1288.2+(551.3-251.7)+(1.970946+(0.843489-0.385101))+0-394.1-0.602973000000023</f>
        <v>1195.5263609999997</v>
      </c>
      <c r="J268" s="3">
        <f>1287.9+(525.7-254.1)+(-0.656829+(-0.268107--0.129591))+0-390.7--0.19925699999996</f>
        <v>1168.2039119999999</v>
      </c>
      <c r="K268" s="3">
        <f>1288.1+(555.1-272.8)+(2.627724+(1.132404-0.556512))+0-379.7-0.774587999999983</f>
        <v>1193.1290279999998</v>
      </c>
      <c r="L268" s="3">
        <f>1288.3+(637.6-266.8)+(0+(0-0))+0-392-0</f>
        <v>1267.0999999999999</v>
      </c>
      <c r="M268" s="3">
        <f>1349.7+(486.2-238.3)+(0.688347+(0.247962-0.121533))+0-394-0.20093999999996</f>
        <v>1204.2138359999999</v>
      </c>
      <c r="N268" s="3">
        <f>1368.6+(468.7-178.6)+(0.697986+(0.239037-0.091086))+0-393.8-0.20083799999996</f>
        <v>1265.5450989999999</v>
      </c>
      <c r="O268" s="3">
        <f>1424+(1031.3-726.1)+(1.45248+(1.051926-0.740622))+0-388.9-0.396678000000062</f>
        <v>1341.6671059999999</v>
      </c>
      <c r="P268" s="3">
        <f>1512.9+(1377-1120.7)+(-0.771579+(-0.70227--0.571557))+0-381--0.194309999999961</f>
        <v>1387.4920179999999</v>
      </c>
      <c r="Q268" s="3">
        <f>1511.8+(1566.5-1254.8)+(-2.313054+(-2.396745--1.919844))+0-383.6--0.586908000000022</f>
        <v>1437.6969529999999</v>
      </c>
      <c r="R268" s="3">
        <f>1511+(1393.9-1111.4)+(-3.08244+(-2.843556--2.267256))+0-384.1--0.783563999999983</f>
        <v>1406.5248239999999</v>
      </c>
      <c r="S268" s="3">
        <f>1510.3+(1071.3-763.6)+(-0.770253+(-0.546363--0.389436))+0-384.9--0.196298999999961</f>
        <v>1432.3691190000002</v>
      </c>
      <c r="T268" s="3">
        <f>1511.6+(981.5-684)+(1.541832+(1.00113-0.69768))+0-380.2-0.387804000000061</f>
        <v>1430.3574779999999</v>
      </c>
      <c r="U268" s="3">
        <f>1510.9+(968-730.7)+(0+(0-0))+0-374.2-0</f>
        <v>1374</v>
      </c>
      <c r="V268" s="3">
        <f>1815.9+(1032-1094.4)+(1.852218+(1.05264-1.116288))+0-364.3-0.371586000000058</f>
        <v>1390.616984</v>
      </c>
      <c r="W268" s="3">
        <f>2024.8+(1734.2-1909.6)+(3.097944+(2.653326-2.921688))+0-373.5-0.571455000000022</f>
        <v>1478.1581270000001</v>
      </c>
      <c r="X268" s="3">
        <f>2097.2+(1606-1718.2)+(0+(0-0))+0-387.5-0</f>
        <v>1597.4999999999998</v>
      </c>
      <c r="Y268" s="3">
        <f>2093.8+(1549.5-1599.7)+(-5.33919+(-3.951225--4.079235))+0-394.8--1.00673999999994</f>
        <v>1644.5955600000002</v>
      </c>
      <c r="Z268" s="3">
        <f>1890.2+(1439.1-1304.6)+(-1.928004+(-1.467882--1.330692))+0-398.3--0.406266000000064</f>
        <v>1624.741072</v>
      </c>
      <c r="AA268" s="3">
        <f>1708.3+(1289.2-1014.8)+(-1.742466+(-1.314984--1.035096))+0-396.8--0.404736000000063</f>
        <v>1584.2823820000001</v>
      </c>
      <c r="AB268" s="3">
        <f>1586.5+(1372.3-1043.4)+(0+(0-0))+0-394.2-0</f>
        <v>1521.1999999999998</v>
      </c>
      <c r="AC268" s="3">
        <f>1576.8+(925.4-665)+(-2.412504+(-1.415862--1.01745))+0-397.8--0.608634000000023</f>
        <v>1437.1977179999999</v>
      </c>
      <c r="AD268">
        <v>1579.3000000000002</v>
      </c>
      <c r="AE268" s="3">
        <f>2093+(1543.4-1669.5)+(0+(0-0))+0-387.6-0</f>
        <v>1579.3000000000002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1543.1+(654-491.3)+(-1.573962+(-0.66708--0.501126))+0-393--0.400860000000063</f>
        <v>1311.4609439999999</v>
      </c>
      <c r="G269" s="3">
        <f>1432.6+(679.1-531.8)+(-1.461252+(-0.692682--0.542436))+0-394.8--0.402696000000063</f>
        <v>1183.8911980000003</v>
      </c>
      <c r="H269" s="3">
        <f>1364+(633.1-388.2)+(-0.69564+(-0.322881--0.197982))+0-392.6--0.20022599999996</f>
        <v>1215.6796869999998</v>
      </c>
      <c r="I269" s="3">
        <f>1363.9+(641.3-358.4)+(-0.695589+(-0.327063--0.182784))+0-394.5--0.20119499999996</f>
        <v>1251.661327</v>
      </c>
      <c r="J269" s="3">
        <f>1364.2+(590.3-319.2)+(4.870194+(2.107371-1.139544))+0-394.1-1.40693700000001</f>
        <v>1245.6310839999999</v>
      </c>
      <c r="K269" s="3">
        <f>1364.3+(586.8-331.8)+(1.391586+(0.598536-0.338436))+0-394.6-0.402492000000063</f>
        <v>1225.9491939999998</v>
      </c>
      <c r="L269" s="3">
        <f>1364.9+(684.3-364.4)+(-0.696099+(-0.348993--0.185844))+0-392.5--0.20017499999996</f>
        <v>1291.6409270000001</v>
      </c>
      <c r="M269" s="3">
        <f>1363.3+(602.5-350.1)+(-1.390566+(-0.61455--0.357102))+0-394.5--0.402390000000063</f>
        <v>1219.9543759999997</v>
      </c>
      <c r="N269" s="3">
        <f>1386.1+(581.7-277.2)+(-0.706911+(-0.296667--0.141372))+0-398.4--0.20318399999996</f>
        <v>1291.540978</v>
      </c>
      <c r="O269" s="3">
        <f>1414.5+(1053.8-776.5)+(-0.721395+(-0.537438--0.396015))+0-333.1--0.169880999999966</f>
        <v>1358.0070629999998</v>
      </c>
      <c r="P269" s="3">
        <f>1479.8+(1201.4-922)+(0+(0-0))+0-344.1-0</f>
        <v>1415.1</v>
      </c>
      <c r="Q269" s="3">
        <f>1470.5+(1591.9-1329.1)+(-1.49991+(-1.623738--1.355682))+0-345.2--0.352104000000055</f>
        <v>1386.6841380000003</v>
      </c>
      <c r="R269" s="3">
        <f>1468.6+(1248.5-972.8)+(-2.246958+(-1.910205--1.488384))+0-370.9--0.567477000000021</f>
        <v>1371.2986980000001</v>
      </c>
      <c r="S269" s="3">
        <f>1568.7+(800.3-539)+(-2.400111+(-1.224459--0.82467))+0-384.2--0.587826000000022</f>
        <v>1443.5879259999999</v>
      </c>
      <c r="T269" s="3">
        <f>1567.5+(707.3-510.7)+(2.398275+(1.082169-0.781371))+0-380.5-0.582165000000022</f>
        <v>1385.7169079999999</v>
      </c>
      <c r="U269" s="3">
        <f>1574.2+(948.2-747)+(0+(0-0))+0-378-0</f>
        <v>1397.4</v>
      </c>
      <c r="V269" s="3">
        <f>1906.4+(899.8-996.7)+(-0.972264+(-0.458898--0.508317))+0-373.3--0.190382999999962</f>
        <v>1435.4675379999999</v>
      </c>
      <c r="W269" s="3">
        <f>2094.9+(1772.1-1931.2)+(2.136798+(1.807542-1.969824))+0-385.9-0.393618000000062</f>
        <v>1551.4808979999998</v>
      </c>
      <c r="X269" s="3">
        <f>2094.1+(1638.8-1703.9)+(-4.271964+(-3.343152--3.475956))+0-387.9--0.791315999999983</f>
        <v>1637.7521559999998</v>
      </c>
      <c r="Y269" s="3">
        <f>2093+(1530.6-1628.5)+(-6.40458+(-4.683636--4.98321))+0-397.3--1.21573800000005</f>
        <v>1592.9107320000001</v>
      </c>
      <c r="Z269" s="3">
        <f>1999.3+(1053.9-1031.1)+(-1.019643+(-0.537489--0.525861))+0-385--0.196349999999961</f>
        <v>1636.265079</v>
      </c>
      <c r="AA269" s="3">
        <f>1821+(969.3-848)+(-3.71484+(-1.977372--1.72992))+0-401.3--0.818651999999983</f>
        <v>1537.85636</v>
      </c>
      <c r="AB269" s="3">
        <f>1651.3+(983.5-727.9)+(-3.368652+(-2.00634--1.484916))+0-412.4--0.841295999999982</f>
        <v>1491.4512200000004</v>
      </c>
      <c r="AC269" s="3">
        <f>1589.4+(1082.2-865.8)+(-3.242376+(-2.207688--1.766232))+0-411--0.838439999999982</f>
        <v>1391.9546080000002</v>
      </c>
      <c r="AD269">
        <v>1599.7000000000003</v>
      </c>
      <c r="AE269" s="3">
        <f>2089+(1921.3-1994.8)+(0+(0-0))+0-415.8-0</f>
        <v>1599.7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1520.3+(686.8-487.9)+(-3.876765+(-1.75134--1.244145))+0-423.7--1.08043499999994</f>
        <v>1292.1964749999997</v>
      </c>
      <c r="G270" s="3">
        <f>1292+(793.2-433.3)+(-0.65892+(-0.404532--0.220983))+0-426.7--0.217616999999957</f>
        <v>1224.5751480000001</v>
      </c>
      <c r="H270" s="3">
        <f>1286.3+(706.6-380.7)+(-1.968039+(-1.081098--0.582471))+0-411.7--0.629901000000024</f>
        <v>1198.663235</v>
      </c>
      <c r="I270" s="3">
        <f>1286.3+(645.1-327.9)+(1.968039+(0.987003-0.501687))+0-420.8-0.643824000000024</f>
        <v>1184.5095310000002</v>
      </c>
      <c r="J270" s="3">
        <f>1285.7+(588.6-286.8)+(0.655707+(0.300186-0.146268))+0-424.9-0.216698999999957</f>
        <v>1163.1929260000002</v>
      </c>
      <c r="K270" s="3">
        <f>1286.5+(676.9-378.1)+(1.968345+(1.035657-0.578493))+0-423.9-0.648567000000024</f>
        <v>1163.1769419999998</v>
      </c>
      <c r="L270" s="3">
        <f>1286.6+(1012.7-660.9)+(0.656166+(0.516477-0.337059))+0-395.6-0.20175599999996</f>
        <v>1243.4338280000002</v>
      </c>
      <c r="M270" s="3">
        <f>1302.1+(913.1-640)+(0.664071+(0.465681-0.3264))+0-404.1-0.206090999999959</f>
        <v>1171.6972609999998</v>
      </c>
      <c r="N270" s="3">
        <f>1404.2+(645.5-404.4)+(0.716142+(0.329205-0.206244))+0-414.4-0.211343999999958</f>
        <v>1231.5277590000003</v>
      </c>
      <c r="O270" s="3">
        <f>1505.8+(581.2-335.5)+(-0.767958+(-0.296412--0.171105))+0-406.7--0.207416999999959</f>
        <v>1344.1141519999999</v>
      </c>
      <c r="P270" s="3">
        <f>1510.2+(866.2-616.6)+(-1.540404+(-0.883524--0.628932))+0-404.8--0.412896000000065</f>
        <v>1353.6179000000002</v>
      </c>
      <c r="Q270" s="3">
        <f>1509.6+(1079.4-775.5)+(-3.079584+(-2.201976--1.58202))+0-414.8--0.846191999999982</f>
        <v>1395.8466519999999</v>
      </c>
      <c r="R270" s="3">
        <f>1508.9+(919.1-649.1)+(-4.617234+(-2.812446--1.986246))+0-417.3--1.27693800000005</f>
        <v>1357.4335040000001</v>
      </c>
      <c r="S270" s="3">
        <f>1509.4+(702-425.3)+(0+(0-0))+0-418.6-0</f>
        <v>1367.5</v>
      </c>
      <c r="T270" s="3">
        <f>1509.3+(505.9-241.7)+(-3.078972+(-1.032036--0.493068))+0-423.7--0.864347999999981</f>
        <v>1347.0464079999999</v>
      </c>
      <c r="U270" s="3">
        <f>1508.7+(461.1-209.5)+(0+(0-0))+0-421.3-0</f>
        <v>1339.0000000000002</v>
      </c>
      <c r="V270" s="3">
        <f>1753.5+(572.8-576.2)+(0+(0-0))+0-421.5-0</f>
        <v>1328.6</v>
      </c>
      <c r="W270" s="3">
        <f>2091.6+(1106.6-1367.7)+(0+(0-0))+0-408.3-0</f>
        <v>1422.1999999999998</v>
      </c>
      <c r="X270" s="3">
        <f>2092+(1073-1129.9)+(-4.26768+(-2.18892--2.304996))+0-399--0.813959999999983</f>
        <v>1632.762356</v>
      </c>
      <c r="Y270" s="3">
        <f>1963.5+(858.8-786.2)+(-3.004155+(-1.313964--1.202886))+0-408.4--0.624852000000024</f>
        <v>1625.2096189999997</v>
      </c>
      <c r="Z270" s="3">
        <f>1852.3+(649.6-494)+(-0.944673+(-0.331296--0.25194))+0-423.8--0.216137999999957</f>
        <v>1583.2921090000002</v>
      </c>
      <c r="AA270" s="3">
        <f>1821.8+(395.9-303.4)+(-3.716472+(-0.807636--0.618936))+0-419.3--0.855371999999982</f>
        <v>1491.9502</v>
      </c>
      <c r="AB270" s="3">
        <f>1713.8+(461.9-334.5)+(-4.37019+(-1.177845--0.852975))+0-414.8--1.05773999999994</f>
        <v>1422.7626799999998</v>
      </c>
      <c r="AC270" s="3">
        <f>1592.1+(528-304)+(-4.059855+(-1.3464--0.7752))+0-417.3--1.06411499999994</f>
        <v>1395.2330599999998</v>
      </c>
      <c r="AD270">
        <v>1409.2999999999997</v>
      </c>
      <c r="AE270" s="3">
        <f>2088+(1210.7-1462.3)+(0+(0-0))+0-376.7-0</f>
        <v>1459.7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1330+(708-322.3)+(-1.3566+(-0.72216--0.328746))+0-430.8--0.439416000000069</f>
        <v>1283.5894020000003</v>
      </c>
      <c r="G271" s="3">
        <f>1114.7+(867.3-305.1)+(-2.273988+(-1.769292--0.622404))+0-423.3--0.863531999999982</f>
        <v>1251.0426560000003</v>
      </c>
      <c r="H271" s="3">
        <f>1116.5+(804.2-303.8)+(-0.569415+(-0.410142--0.154938))+0-417.5--0.212924999999958</f>
        <v>1198.7883060000001</v>
      </c>
      <c r="I271" s="3">
        <f>1116.6+(740.8-327.9)+(-1.138932+(-0.755616--0.334458))+0-416.2--0.424524000000066</f>
        <v>1112.164434</v>
      </c>
      <c r="J271" s="3">
        <f>1115.7+(800.2-332.6)+(0.569007+(0.408102-0.169626))+0-430.7-0.219656999999956</f>
        <v>1153.1878260000003</v>
      </c>
      <c r="K271" s="3">
        <f>1116+(765.2-331.8)+(0+(0-0))+0-418.4-0</f>
        <v>1131</v>
      </c>
      <c r="L271" s="3">
        <f>1129.5+(741.1-331.6)+(-0.576045+(-0.377961--0.169116))+0-414.2--0.211241999999958</f>
        <v>1124.2263519999999</v>
      </c>
      <c r="M271" s="3">
        <f>1178.1+(665.7-304.1)+(-4.205817+(-2.376549--1.085637))+0-427--1.52439000000001</f>
        <v>1108.7276609999999</v>
      </c>
      <c r="N271" s="3">
        <f>1220.5+(607.6-303.3)+(1.24491+(0.619752-0.309366))+0-425-0.433500000000068</f>
        <v>1100.9217959999999</v>
      </c>
      <c r="O271" s="3">
        <f>1304.8+(619.9-328.6)+(0+(0-0))+0-420.6-0</f>
        <v>1175.5</v>
      </c>
      <c r="P271" s="3">
        <f>1518.2+(384.1-254)+(-3.097128+(-0.783564--0.51816))+0-417.9--0.852515999999982</f>
        <v>1227.8899839999999</v>
      </c>
      <c r="Q271" s="3">
        <f>1568.2+(450.3-384.5)+(-1.599564+(-0.459306--0.39219))+0-405.2--0.413304000000065</f>
        <v>1227.5466240000001</v>
      </c>
      <c r="R271" s="3">
        <f>1569.1+(616.1-556.9)+(-4.001205+(-1.571055--1.420095))+0-418.4--1.06691999999994</f>
        <v>1206.8147550000001</v>
      </c>
      <c r="S271" s="3">
        <f>1570.9+(542.9-477)+(-2.403477+(-0.830637--0.72981))+0-419.4--0.641682000000024</f>
        <v>1215.537378</v>
      </c>
      <c r="T271" s="3">
        <f>1570+(474.1-415.2)+(-1.6014+(-0.483582--0.423504))+0-406.9--0.415038000000065</f>
        <v>1220.7535600000001</v>
      </c>
      <c r="U271" s="3">
        <f>1571.4+(427.8-392.5)+(0.801414+(0.218178-0.200175))+0-405-0.206549999999959</f>
        <v>1202.3128670000001</v>
      </c>
      <c r="V271" s="3">
        <f>1672.8+(496.3-522.4)+(1.706256+(0.506226-0.532848))+0-392.1-0.399942000000063</f>
        <v>1255.879692</v>
      </c>
      <c r="W271" s="3">
        <f>1845.6+(541.3-603)+(0+(0-0))+0-397.1-0</f>
        <v>1386.7999999999997</v>
      </c>
      <c r="X271" s="3">
        <f>1799.3+(831.9-817.6)+(-4.588215+(-2.121345--2.08488))+0-405.9--1.03504499999994</f>
        <v>1404.1103649999998</v>
      </c>
      <c r="Y271" s="3">
        <f>1636+(1287.9-1136.4)+(0.83436+(0.656829-0.579564))+0-410.9-0.209558999999958</f>
        <v>1377.3020660000002</v>
      </c>
      <c r="Z271" s="3">
        <f>1634.8+(1167.4-1000)+(-1.667496+(-1.190748--1.02))+0-405.5--0.413610000000065</f>
        <v>1395.2753660000001</v>
      </c>
      <c r="AA271" s="3">
        <f>1634.7+(1123.9-902.1)+(-4.168485+(-2.865945--2.300355))+0-419.7--1.07023499999994</f>
        <v>1433.1361599999998</v>
      </c>
      <c r="AB271" s="3">
        <f>1634.6+(1334.4-1194.4)+(-2.500938+(-2.041632--1.827432))+0-411.2--0.629136000000024</f>
        <v>1361.3139979999999</v>
      </c>
      <c r="AC271" s="3">
        <f>1618.9+(1019.5-856.6)+(-4.128195+(-2.599725--2.18433))+0-394.7--1.00648499999994</f>
        <v>1383.562895</v>
      </c>
      <c r="AD271">
        <v>1393.1000000000001</v>
      </c>
      <c r="AE271" s="3">
        <f>1852+(653.9-692.8)+(0+(0-0))+0-420-0</f>
        <v>1393.1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1448.2+(597.6-432.2)+(0+(0-0))+0-398.7-0</f>
        <v>1214.9000000000001</v>
      </c>
      <c r="G272" s="3">
        <f>1366.2+(563.7-436.4)+(-2.787048+(-1.149948--0.890256))+0-398.1--0.812123999999983</f>
        <v>1093.1653839999999</v>
      </c>
      <c r="H272" s="3">
        <f>1364.9+(595.4-484.2)+(-3.480495+(-1.51827--1.23471))+0-392.5--1.00087499999994</f>
        <v>1080.83682</v>
      </c>
      <c r="I272" s="3">
        <f>1364.8+(649.6-533.6)+(2.088144+(0.993888-0.816408))+0-398.5-0.609705000000023</f>
        <v>1083.9559189999998</v>
      </c>
      <c r="J272" s="3">
        <f>1365.3+(638-526.1)+(0+(0-0))+0-421-0</f>
        <v>1056.1999999999998</v>
      </c>
      <c r="K272" s="3">
        <f>1366+(655-507.5)+(2.08998+(1.00215-0.776475))+0-417.5-0.638775000000024</f>
        <v>1097.67688</v>
      </c>
      <c r="L272" s="3">
        <f>1366+(747.3-511)+(-0.69666+(-0.381123--0.26061))+0-427.7--0.218126999999957</f>
        <v>1174.0009539999999</v>
      </c>
      <c r="M272" s="3">
        <f>1365.8+(591.5-434.5)+(0.696558+(0.301665-0.221595))+0-428.7-0.218636999999957</f>
        <v>1094.657991</v>
      </c>
      <c r="N272" s="3">
        <f>1365.6+(802.8-544.9)+(-0.696456+(-0.409428--0.277899))+0-423.8--0.216137999999957</f>
        <v>1199.0881530000001</v>
      </c>
      <c r="O272" s="3">
        <f>1366.6+(1322-957.4)+(-2.090898+(-2.02266--1.464822))+0-422.3--0.646119000000024</f>
        <v>1306.8973829999998</v>
      </c>
      <c r="P272" s="3">
        <f>1376.9+(1714.9-1464.2)+(-2.106657+(-2.623797--2.240226))+0-419.9--0.642447000000024</f>
        <v>1205.8522190000001</v>
      </c>
      <c r="Q272" s="3">
        <f>1550.8+(1986.1-1728.6)+(-2.372724+(-3.038733--2.644758))+0-433.5--0.663255000000025</f>
        <v>1372.6965559999999</v>
      </c>
      <c r="R272" s="3">
        <f>1628.2+(1713.1-1513.5)+(-2.491146+(-2.621043--2.315655))+0-411.4--0.629442000000024</f>
        <v>1414.232908</v>
      </c>
      <c r="S272" s="3">
        <f>1628.2+(1768.3-1671)+(-1.660764+(-1.803666--1.70442))+0-371.2--0.378624000000059</f>
        <v>1352.9186140000002</v>
      </c>
      <c r="T272" s="3">
        <f>1629.6+(1733.4-1589.5)+(-3.324384+(-3.536136--3.24258))+0-417.1--0.850883999999982</f>
        <v>1353.632944</v>
      </c>
      <c r="U272" s="3">
        <f>1630.2+(1542.9-1334.5)+(-0.831402+(-0.786879--0.680595))+0-426.4--0.217463999999957</f>
        <v>1411.4797780000001</v>
      </c>
      <c r="V272" s="3">
        <f>1666.3+(1637-1448.3)+(-0.849813+(-0.83487--0.738633))+0-418.4--0.213383999999958</f>
        <v>1435.8673339999998</v>
      </c>
      <c r="W272" s="3">
        <f>1963.5+(2146.9-2142.7)+(-1.001385+(-1.094919--1.092777))+0-422.7--0.215576999999957</f>
        <v>1544.2120500000001</v>
      </c>
      <c r="X272" s="3">
        <f>2006.4+(1998.8-1886.3)+(-4.093056+(-4.077552--3.848052))+0-425.1--0.867203999999981</f>
        <v>1690.344648</v>
      </c>
      <c r="Y272" s="3">
        <f>1914.3+(1630.9-1502.7)+(-4.881465+(-4.158795--3.831885))+0-418.1--1.06615499999994</f>
        <v>1620.2577799999999</v>
      </c>
      <c r="Z272" s="3">
        <f>1842.4+(1425.2-1262.9)+(-4.69812+(-3.63426--3.220395))+0-418.2--1.06640999999994</f>
        <v>1582.4544249999999</v>
      </c>
      <c r="AA272" s="3">
        <f>1784.9+(1077.3-928.7)+(-2.730897+(-1.648269--1.420911))+0-421--0.644130000000024</f>
        <v>1510.1858750000001</v>
      </c>
      <c r="AB272" s="3">
        <f>1688.4+(1056.4-878.9)+(-4.30542+(-2.69382--2.241195))+0-419--1.06844999999994</f>
        <v>1443.210405</v>
      </c>
      <c r="AC272" s="3">
        <f>1570.3+(987.1-772)+(-4.004265+(-2.517105--1.9686))+0-422.7--1.07788499999994</f>
        <v>1359.225115</v>
      </c>
      <c r="AD272">
        <v>1661.1999999999998</v>
      </c>
      <c r="AE272" s="3">
        <f>2010+(2373.4-2283.1)+(0+(0-0))+0-439.1-0</f>
        <v>1661.2000000000003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1536.8+(626.9-431.7)+(0+(0-0))+0-426.3-0</f>
        <v>1305.7</v>
      </c>
      <c r="G273" s="3">
        <f>1378.8+(657-432.3)+(0+(0-0))+0-421.6-0</f>
        <v>1181.9000000000001</v>
      </c>
      <c r="H273" s="3">
        <f>1360.5+(677.3-397.3)+(0+(0-0))+0-427.4-0</f>
        <v>1213.0999999999999</v>
      </c>
      <c r="I273" s="3">
        <f>1360.1+(680.3-429.1)+(0+(0-0))+0-417.6-0</f>
        <v>1193.6999999999998</v>
      </c>
      <c r="J273" s="3">
        <f>1360.2+(673.1-417.7)+(0+(0-0))+0-416.5-0</f>
        <v>1199.1000000000001</v>
      </c>
      <c r="K273" s="3">
        <f>1360.4+(694.7-410.8)+(0+(0-0))+0-419.8-0</f>
        <v>1224.5000000000002</v>
      </c>
      <c r="L273" s="3">
        <f>1359.1+(680.5-393.7)+(0+(0-0))+0-420.8-0</f>
        <v>1225.0999999999999</v>
      </c>
      <c r="M273" s="3">
        <f>1360.9+(719.4-428.4)+(0+(0-0))+0-410.7-0</f>
        <v>1241.2</v>
      </c>
      <c r="N273" s="3">
        <f>1361+(780.1-491.5)+(0+(0-0))+0-406.3-0</f>
        <v>1243.3</v>
      </c>
      <c r="O273" s="3">
        <f>1361.1+(1038.8-702.5)+(-1.388322+(-1.059576--0.71655))+0-396.6--0.404532000000063</f>
        <v>1299.4731839999999</v>
      </c>
      <c r="P273" s="3">
        <f>1410.7+(1331.3-1047.4)+(-2.158371+(-2.036889--1.602522))+0-391.3--0.598689000000023</f>
        <v>1301.3059509999998</v>
      </c>
      <c r="Q273" s="3">
        <f>1509.6+(1316.7-988.5)+(-2.309688+(-2.014551--1.512405))+0-392.6--0.600678000000023</f>
        <v>1442.9888439999997</v>
      </c>
      <c r="R273" s="3">
        <f>1508.5+(1214.6-938.8)+(-3.07734+(-2.477784--1.915152))+0-397.2--0.810287999999983</f>
        <v>1384.2703159999999</v>
      </c>
      <c r="S273" s="3">
        <f>1504.4+(1291.5-1030.7)+(-3.83622+(-3.293325--2.628285))+0-387.2--0.987359999999944</f>
        <v>1374.4860999999999</v>
      </c>
      <c r="T273" s="3">
        <f>1510+(1381.9-1091.9)+(0+(0-0))+0-408.4-0</f>
        <v>1391.6</v>
      </c>
      <c r="U273" s="3">
        <f>1506.7+(1473.1-1168.3)+(-3.842085+(-3.756405--2.979165))+0-413.4--1.05416999999994</f>
        <v>1394.5348450000001</v>
      </c>
      <c r="V273" s="3">
        <f>1665.5+(1712.7-1508.1)+(-0.849405+(-0.873477--0.769131))+0-408.4--0.208283999999959</f>
        <v>1460.9545330000003</v>
      </c>
      <c r="W273" s="3">
        <f>1978+(2163.3-2076.1)+(1.00878+(1.103283-1.058811))+0-422.9-0.215678999999957</f>
        <v>1643.1375730000004</v>
      </c>
      <c r="X273" s="3">
        <f>1982.2+(1937.1-1809.1)+(-2.021844+(-1.975842--1.845282))+0-419.2--0.427584000000067</f>
        <v>1689.2751799999999</v>
      </c>
      <c r="Y273" s="3">
        <f>1893.4+(1873.3-1690)+(-1.931268+(-1.910766--1.7238))+0-416.6--0.424932000000066</f>
        <v>1658.406698</v>
      </c>
      <c r="Z273" s="3">
        <f>1792.9+(1720.5-1450.8)+(-3.657516+(-3.50982--2.959632))+0-422.5--0.861899999999982</f>
        <v>1636.7541960000003</v>
      </c>
      <c r="AA273" s="3">
        <f>1729.8+(1417.1-1098.6)+(-3.528792+(-2.890884--2.241144))+0-417.1--0.850883999999982</f>
        <v>1627.8723520000003</v>
      </c>
      <c r="AB273" s="3">
        <f>1725.9+(1289.8-1042.5)+(-2.640627+(-1.973394--1.595025))+0-418.5--0.640305000000024</f>
        <v>1552.3213090000002</v>
      </c>
      <c r="AC273" s="3">
        <f>1593+(1332.7-1138.9)+(-3.24972+(-2.718708--2.323356))+0-408--0.832319999999982</f>
        <v>1375.9872479999999</v>
      </c>
      <c r="AD273">
        <v>1620.9</v>
      </c>
      <c r="AE273" s="3">
        <f>1971+(2237.7-2153.2)+(0+(0-0))+0-434.6-0</f>
        <v>1620.9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1560.2+(907.1-711.5)+(-2.387106+(-1.387863--1.088595))+0-420.5--0.643365000000024</f>
        <v>1333.2569910000004</v>
      </c>
      <c r="G274" s="3">
        <f>1545.7+(626.2-428.6)+(-3.941535+(-1.59681--1.09293))+0-414.5--1.05697499999994</f>
        <v>1325.4115600000002</v>
      </c>
      <c r="H274" s="3">
        <f>1546.9+(550.6-394.2)+(-0.788919+(-0.280806--0.201042))+0-417.2--0.212771999999958</f>
        <v>1285.4440890000001</v>
      </c>
      <c r="I274" s="3">
        <f>1547.6+(476.6-364.3)+(0+(0-0))+0-406.5-0</f>
        <v>1253.3999999999999</v>
      </c>
      <c r="J274" s="3">
        <f>1546.8+(540-438.6)+(0.788868+(0.2754-0.223686))+0-418.5-0.213434999999958</f>
        <v>1230.327147</v>
      </c>
      <c r="K274" s="3">
        <f>1545.8+(560.6-459)+(3.153432+(1.143624-0.93636))+0-415.7-0.848027999999982</f>
        <v>1234.2126680000001</v>
      </c>
      <c r="L274" s="3">
        <f>1547.4+(592.9-396.1)+(2.367522+(0.907137-0.606033))+0-421-0.644130000000024</f>
        <v>1325.2244959999998</v>
      </c>
      <c r="M274" s="3">
        <f>1537.3+(528.9-365.2)+(0+(0-0))+0-418.1-0</f>
        <v>1282.9000000000001</v>
      </c>
      <c r="N274" s="3">
        <f>1377.9+(940.3-644.6)+(-0.702729+(-0.479553--0.328746))+0-398.8--0.20338799999996</f>
        <v>1274.1498519999998</v>
      </c>
      <c r="O274" s="3">
        <f>1364.9+(1397.7-1006.1)+(-1.392198+(-1.425654--1.026222))+0-402.5--0.410550000000064</f>
        <v>1352.6189200000001</v>
      </c>
      <c r="P274" s="3">
        <f>1366.2+(1581-1137.9)+(-1.393524+(-1.61262--1.160658))+0-415.3--0.423606000000066</f>
        <v>1392.5781200000001</v>
      </c>
      <c r="Q274" s="3">
        <f>1486.8+(1626.3-1207.2)+(-3.033072+(-3.317652--2.462688))+0-408.4--0.833135999999982</f>
        <v>1494.4450999999997</v>
      </c>
      <c r="R274" s="3">
        <f>1506.9+(1577.5-1257.2)+(-2.305557+(-2.413575--1.923516))+0-384.9--0.588897000000022</f>
        <v>1440.0932809999999</v>
      </c>
      <c r="S274" s="3">
        <f>1507.7+(1548.2-1253.2)+(-1.537854+(-1.579164--1.278264))+0-391.4--0.399228000000062</f>
        <v>1409.8604739999998</v>
      </c>
      <c r="T274" s="3">
        <f>1507.2+(1601.9-1306.7)+(-1.537344+(-1.633938--1.332834))+0-400--0.408000000000064</f>
        <v>1400.9695520000002</v>
      </c>
      <c r="U274" s="3">
        <f>1508.5+(1612.7-1297.5)+(-0.769335+(-0.822477--0.661725))+0-415.2--0.211751999999958</f>
        <v>1407.781665</v>
      </c>
      <c r="V274" s="3">
        <f>1707.2+(1589.3-1443.1)+(-0.870672+(-0.810543--0.735981))+0-401.5--0.204764999999959</f>
        <v>1451.159531</v>
      </c>
      <c r="W274" s="3">
        <f>1974+(2111.9-2150.1)+(2.01348+(2.154138-2.193102))+0-405.9-0.414018000000065</f>
        <v>1531.4604980000001</v>
      </c>
      <c r="X274" s="3">
        <f>1977.5+(2079.7-2020.5)+(0+(0-0))+0-407.4-0</f>
        <v>1629.2999999999997</v>
      </c>
      <c r="Y274" s="3">
        <f>1957.3+(1939.4-1833.3)+(-5.989338+(-5.934564--5.609898))+0-408.9--1.25123400000005</f>
        <v>1649.4372300000002</v>
      </c>
      <c r="Z274" s="3">
        <f>1820.8+(1955.6-1773.6)+(0+(0-0))+0-412.1-0</f>
        <v>1590.6999999999998</v>
      </c>
      <c r="AA274" s="3">
        <f>1695+(1878.8-1578)+(-2.59335+(-2.874564--2.41434))+0-416.2--0.636786000000024</f>
        <v>1577.1832119999999</v>
      </c>
      <c r="AB274" s="3">
        <f>1518+(2155.1-1739.7)+(-3.09672+(-4.396404--3.548988))+0-422.4--0.861695999999981</f>
        <v>1507.9175599999999</v>
      </c>
      <c r="AC274" s="3">
        <f>1366.9+(1828.1-1273.3)+(-3.485595+(-4.661655--3.246915))+0-410.7--1.04728499999994</f>
        <v>1507.1469499999998</v>
      </c>
      <c r="AD274">
        <v>1596.2</v>
      </c>
      <c r="AE274" s="3">
        <f>1975+(2070.6-2039.1)+(0+(0-0))+0-410.3-0</f>
        <v>1596.2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1365.2+(929.8-616.5)+(-2.785008+(-1.896792--1.25766))+0-392.9--0.801515999999983</f>
        <v>1282.9773759999998</v>
      </c>
      <c r="G275" s="3">
        <f>1365.9+(845.5-560.8)+(-1.393218+(-0.86241--0.572016))+0-402.3--0.410346000000064</f>
        <v>1247.0267340000003</v>
      </c>
      <c r="H275" s="3">
        <f>1365.9+(831.9-548)+(-0.696609+(-0.424269--0.27948))+0-404--0.206039999999959</f>
        <v>1245.1646420000002</v>
      </c>
      <c r="I275" s="3">
        <f>1297.5+(854.4-508.6)+(0.661725+(0.435744-0.259386))+0-398.7-0.20333699999996</f>
        <v>1245.2347460000001</v>
      </c>
      <c r="J275" s="3">
        <f>1284.8+(715.1-355)+(-3.931488+(-2.188206--1.0863))+0-398.1--1.21818600000005</f>
        <v>1242.9847920000002</v>
      </c>
      <c r="K275" s="3">
        <f>1286+(660.2-303.3)+(2.62344+(1.346808-0.618732))+0-413.4-0.843335999999982</f>
        <v>1232.0081800000003</v>
      </c>
      <c r="L275" s="3">
        <f>1286.4+(700.6-320)+(1.312128+(0.714612-0.3264))+0-408.7-0.416874000000065</f>
        <v>1259.583466</v>
      </c>
      <c r="M275" s="3">
        <f>1284.2+(631.9-264.9)+(-3.27471+(-1.611345--0.675495))+0-414.3--1.05646499999994</f>
        <v>1233.745905</v>
      </c>
      <c r="N275" s="3">
        <f>1307.2+(996.6-535.8)+(0.666672+(0.508266-0.273258))+0-399.4-0.203693999999959</f>
        <v>1369.2979859999998</v>
      </c>
      <c r="O275" s="3">
        <f>1369.1+(1613.9-1117.9)+(-1.396482+(-1.646178--1.140258))+0-412.8--0.421056000000066</f>
        <v>1450.8186540000002</v>
      </c>
      <c r="P275" s="3">
        <f>1367.9+(1707.1-1174.9)+(0.697629+(0.870621-0.599199))+0-423.9-0.216188999999957</f>
        <v>1476.9528619999999</v>
      </c>
      <c r="Q275" s="3">
        <f>1367.5+(1828.7-1308.3)+(-0.697425+(-0.932637--0.667233))+0-426.4--0.217463999999957</f>
        <v>1460.754635</v>
      </c>
      <c r="R275" s="3">
        <f>1366.5+(1720.5-1256.5)+(-3.484575+(-4.387275--3.204075))+0-424.3--1.08196499999994</f>
        <v>1402.61419</v>
      </c>
      <c r="S275" s="3">
        <f>1366.1+(1479.3-1023.7)+(-2.090133+(-2.263329--1.566261))+0-414--0.633420000000024</f>
        <v>1405.5462189999998</v>
      </c>
      <c r="T275" s="3">
        <f>1366.6+(1450.6-1012.4)+(-0.696966+(-0.739806--0.516324))+0-399.3--0.203642999999959</f>
        <v>1404.7831949999998</v>
      </c>
      <c r="U275" s="3">
        <f>1380.7+(1458.3-1021.3)+(2.816628+(2.974932-2.083452))+0-424.4-0.865775999999981</f>
        <v>1396.1423320000001</v>
      </c>
      <c r="V275" s="3">
        <f>1613.3+(1335.8-1076.9)+(-1.645566+(-1.362516--1.098438))+0-417.7--0.426054000000067</f>
        <v>1453.0164099999997</v>
      </c>
      <c r="W275" s="3">
        <f>1979.8+(1911.2-1942.5)+(1.009698+(0.974712-0.990675))+0-425.3-0.216902999999957</f>
        <v>1523.9768320000001</v>
      </c>
      <c r="X275" s="3">
        <f>1967.1+(1910-1757.4)+(-4.012884+(-3.8964--3.585096))+0-422.4--0.861695999999981</f>
        <v>1693.8375079999996</v>
      </c>
      <c r="Y275" s="3">
        <f>1862.5+(1754.2-1519.7)+(-3.7995+(-3.578568--3.100188))+0-418.1--0.852923999999982</f>
        <v>1675.475044</v>
      </c>
      <c r="Z275" s="3">
        <f>1740.2+(1981.8-1719.2)+(-2.662506+(-3.032154--2.630376))+0-414.5--0.634185000000024</f>
        <v>1585.869901</v>
      </c>
      <c r="AA275" s="3">
        <f>1631.6+(1911.8-1535.9)+(-2.496348+(-2.925054--2.349927))+0-414.4--0.634032000000024</f>
        <v>1590.6625569999997</v>
      </c>
      <c r="AB275" s="3">
        <f>1567.8+(1632.1-1241.1)+(-2.398734+(-2.497113--1.898883))+0-390.7--0.597771000000023</f>
        <v>1565.7008069999999</v>
      </c>
      <c r="AC275" s="3">
        <f>1541.6+(1269.8-891.5)+(-3.93108+(-3.23799--2.273325))+0-406.3--1.03606499999994</f>
        <v>1509.7403199999999</v>
      </c>
      <c r="AD275">
        <v>1595.5</v>
      </c>
      <c r="AE275" s="3">
        <f>1977+(2059-2052)+(0+(0-0))+0-388.5-0</f>
        <v>1595.5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1359+(903-478.8)+(-2.07927+(-1.38159--0.732564))+0-403.3--0.617049000000023</f>
        <v>1377.788753</v>
      </c>
      <c r="G276" s="3">
        <f>1325+(715.4-378)+(-1.3515+(-0.729708--0.38556))+0-405.1--0.413202000000065</f>
        <v>1256.0175540000002</v>
      </c>
      <c r="H276" s="3">
        <f>1324.4+(646.5-319.3)+(-1.350888+(-0.65943--0.325686))+0-403.8--0.411876000000064</f>
        <v>1246.5272440000003</v>
      </c>
      <c r="I276" s="3">
        <f>1324.5+(601.8-276.5)+(0.675495+(0.306918-0.141015))+0-412.3-0.210272999999958</f>
        <v>1238.1311250000001</v>
      </c>
      <c r="J276" s="3">
        <f>1325+(605.7-314.2)+(0.67575+(0.308907-0.160242))+0-415.1-0.211700999999958</f>
        <v>1202.0127140000002</v>
      </c>
      <c r="K276" s="3">
        <f>1329.6+(592.3-280.7)+(0.678096+(0.302073-0.143157))+0-404.4-0.206243999999959</f>
        <v>1237.4307679999997</v>
      </c>
      <c r="L276" s="3">
        <f>1364.2+(574.5-261.2)+(0.695742+(0.292995-0.133212))+0-407.6-0.207875999999959</f>
        <v>1270.5476490000001</v>
      </c>
      <c r="M276" s="3">
        <f>1363.4+(555.4-234.6)+(-1.390668+(-0.566508--0.239292))+0-412.1--0.420342000000066</f>
        <v>1270.8024580000003</v>
      </c>
      <c r="N276" s="3">
        <f>1365.2+(854-469.8)+(2.088756+(1.30662-0.718794))+0-418.1-0.639693000000024</f>
        <v>1333.3368890000002</v>
      </c>
      <c r="O276" s="3">
        <f>1561.3+(1142.1-980.4)+(-3.981315+(-2.912355--2.50002))+0-385.7--0.983534999999944</f>
        <v>1333.8898849999998</v>
      </c>
      <c r="P276" s="3">
        <f>1648.2+(1432.7-1290.3)+(-0.840582+(-0.730677--0.658053))+0-398.4--0.20318399999996</f>
        <v>1391.4899780000001</v>
      </c>
      <c r="Q276" s="3">
        <f>1637.1+(1758.5-1586.5)+(-2.504763+(-2.690505--2.427345))+0-408.1--0.624393000000024</f>
        <v>1398.8564699999997</v>
      </c>
      <c r="R276" s="3">
        <f>1632.8+(1787.7-1632.7)+(-1.665456+(-1.823454--1.665354))+0-389.4--0.397188000000062</f>
        <v>1396.973632</v>
      </c>
      <c r="S276" s="3">
        <f>1631.9+(1627.8-1451.1)+(-1.664538+(-1.660356--1.480122))+0-394.7--0.402594000000063</f>
        <v>1412.4578220000003</v>
      </c>
      <c r="T276" s="3">
        <f>1632.2+(1468.9-1268.3)+(-2.497266+(-2.247417--1.940499))+0-408.1--0.624393000000024</f>
        <v>1422.5202090000002</v>
      </c>
      <c r="U276" s="3">
        <f>1632.5+(1499.6-1271.5)+(-4.162875+(-3.82398--3.242325))+0-408.8--1.04243999999994</f>
        <v>1448.09791</v>
      </c>
      <c r="V276" s="3">
        <f>1734.5+(1391.2-1297.4)+(1.76919+(1.419024-1.323348))+0-413.6-0.421872000000066</f>
        <v>1416.1429939999996</v>
      </c>
      <c r="W276" s="3">
        <f>1976.2+(2035.1-2149.3)+(-3.023586+(-3.113703--3.288429))+0-412.9--0.631737000000024</f>
        <v>1446.8828769999998</v>
      </c>
      <c r="X276" s="3">
        <f>1973.9+(1791.3-1718.7)+(-4.026756+(-3.654252--3.506148))+0-425--0.866999999999981</f>
        <v>1618.1921399999999</v>
      </c>
      <c r="Y276" s="3">
        <f>1799.7+(2188.7-2011.9)+(1.835694+(2.232474-2.052138))+0-416.7-0.425034000000066</f>
        <v>1561.3909959999996</v>
      </c>
      <c r="Z276" s="3">
        <f>1681.6+(2282.7-1988.8)+(-3.430464+(-4.656708--4.057152))+0-425.9--0.868835999999981</f>
        <v>1546.4388159999996</v>
      </c>
      <c r="AA276" s="3">
        <f>1548.7+(2081.4-1675)+(-3.159348+(-4.246056--3.417))+0-409.9--0.836195999999982</f>
        <v>1542.0477920000001</v>
      </c>
      <c r="AB276" s="3">
        <f>1545.6+(2133.6-1767.3)+(0.788256+(1.088136-0.901323))+0-420.6-0.214505999999957</f>
        <v>1492.0605629999998</v>
      </c>
      <c r="AC276" s="3">
        <f>1546.5+(1830.3-1449.2)+(-0.788715+(-0.933453--0.739092))+0-399.9--0.203948999999959</f>
        <v>1526.9208729999998</v>
      </c>
      <c r="AD276">
        <v>1582.4</v>
      </c>
      <c r="AE276" s="3">
        <f>1979+(1761-1719.5)+(0+(0-0))+0-438.1-0</f>
        <v>1582.4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1546.4+(1089.3-782.4)+(-0.788664+(-0.555543--0.399024))+0-421.8--0.215117999999957</f>
        <v>1430.769935</v>
      </c>
      <c r="G277" s="3">
        <f>1541.7+(576-307.1)+(-0.786267+(-0.29376--0.156621))+0-423--0.215729999999957</f>
        <v>1386.8923239999997</v>
      </c>
      <c r="H277" s="3">
        <f>1383.1+(631.1-312.6)+(0+(0-0))+0-421.5-0</f>
        <v>1280.0999999999999</v>
      </c>
      <c r="I277" s="3">
        <f>1366.4+(652-404.3)+(-0.696864+(-0.33252--0.206193))+0-418.7--0.213536999999958</f>
        <v>1194.790346</v>
      </c>
      <c r="J277" s="3">
        <f>1366.1+(625.4-380.3)+(0.696711+(0.318954-0.193953))+0-419.9-0.214148999999957</f>
        <v>1191.9075629999998</v>
      </c>
      <c r="K277" s="3">
        <f>1365.9+(702.4-413.1)+(0+(0-0))+0-420-0</f>
        <v>1235.2</v>
      </c>
      <c r="L277" s="3">
        <f>1495.2+(796.9-612.3)+(0.762552+(0.406419-0.312273))+0-418.9-0.213638999999958</f>
        <v>1261.5430590000001</v>
      </c>
      <c r="M277" s="3">
        <f>1546.8+(655.8-524)+(0+(0-0))+0-422.3-0</f>
        <v>1256.3</v>
      </c>
      <c r="N277" s="3">
        <f>1542.6+(359.5-224.4)+(-1.573452+(-0.36669--0.228888))+0-414.5--0.422790000000066</f>
        <v>1261.9115359999998</v>
      </c>
      <c r="O277" s="3">
        <f>1476.6+(651.2-415)+(0.753066+(0.332112-0.21165))+0-421.4-0.214913999999957</f>
        <v>1292.0586140000003</v>
      </c>
      <c r="P277" s="3">
        <f>1553.8+(1178.5-895.2)+(2.377314+(1.803105-1.369656))+0-418.6-0.640458000000024</f>
        <v>1420.6703049999999</v>
      </c>
      <c r="Q277" s="3">
        <f>1633.5+(1316.4-1127)+(-0.833085+(-0.671364--0.57477))+0-416.9--0.212618999999958</f>
        <v>1405.2829400000001</v>
      </c>
      <c r="R277" s="3">
        <f>1631.6+(1090.3-907.5)+(-4.16058+(-2.780265--2.314125))+0-423.2--1.07915999999994</f>
        <v>1387.6524399999998</v>
      </c>
      <c r="S277" s="3">
        <f>1631.2+(673.1-519.3)+(-3.327648+(-1.373124--1.059372))+0-426.9--0.870875999999981</f>
        <v>1355.3294759999999</v>
      </c>
      <c r="T277" s="3">
        <f>1633+(573.3-464.5)+(-0.83283+(-0.292383--0.236895))+0-423.9--0.216188999999957</f>
        <v>1317.2278709999998</v>
      </c>
      <c r="U277" s="3">
        <f>1629.3+(630.1-506.4)+(-4.154715+(-1.606755--1.29132))+0-420.9--1.07329499999994</f>
        <v>1328.7031449999997</v>
      </c>
      <c r="V277" s="3">
        <f>1769+(822.4-798.8)+(2.70657+(1.258272-1.222164))+0-424.8-0.649944000000025</f>
        <v>1369.892734</v>
      </c>
      <c r="W277" s="3">
        <f>1921.3+(1794.7-1740.8)+(0+(0-0))+0-428.4-0</f>
        <v>1546.8000000000002</v>
      </c>
      <c r="X277" s="3">
        <f>1917.1+(1807.1-1716.1)+(-4.888605+(-4.608105--4.376055))+0-409.3--1.04371499999994</f>
        <v>1594.72306</v>
      </c>
      <c r="Y277" s="3">
        <f>1913.5+(1744.6-1679.1)+(-4.879425+(-4.44873--4.281705))+0-421.7--1.07533499999994</f>
        <v>1553.3288849999999</v>
      </c>
      <c r="Z277" s="3">
        <f>1915.5+(1889.5-1865.5)+(-2.930715+(-2.890935--2.854215))+0-423--0.647190000000024</f>
        <v>1514.1797550000001</v>
      </c>
      <c r="AA277" s="3">
        <f>1750.7+(1946.9-1787.3)+(-0.892857+(-0.992919--0.911523))+0-420.8--0.214607999999957</f>
        <v>1488.7403550000001</v>
      </c>
      <c r="AB277" s="3">
        <f>1718.5+(1490.8-1355.6)+(-2.629305+(-2.280924--2.074068))+0-415--0.634950000000024</f>
        <v>1436.4987890000002</v>
      </c>
      <c r="AC277" s="3">
        <f>1689+(724-649.4)+(-1.72278+(-0.73848--0.662388))+0-408.2--0.416364000000065</f>
        <v>1354.0174919999999</v>
      </c>
      <c r="AD277">
        <v>1546.3000000000002</v>
      </c>
      <c r="AE277" s="3">
        <f>1919+(2019.8-1964.3)+(0+(0-0))+0-428.2-0</f>
        <v>1546.3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1574.5+(615.4-493.6)+(0+(0-0))+0-419.1-0</f>
        <v>1277.1999999999998</v>
      </c>
      <c r="G278" s="3">
        <f>1549.9+(490.1-402.5)+(-3.952245+(-1.249755--1.026375))+0-417.7--1.06513499999994</f>
        <v>1216.6895099999997</v>
      </c>
      <c r="H278" s="3">
        <f>1549.8+(291.3-257.2)+(-3.161592+(-0.594252--0.524688))+0-416--0.848639999999982</f>
        <v>1165.517484</v>
      </c>
      <c r="I278" s="3">
        <f>1550.1+(243.9-234)+(0.790551+(0.124389-0.11934))+0-415.9-0.212108999999958</f>
        <v>1144.6834909999998</v>
      </c>
      <c r="J278" s="3">
        <f>1550.4+(293.9-299.2)+(0.790704+(0.149889-0.152592))+0-409.5-0.208844999999958</f>
        <v>1136.1791560000001</v>
      </c>
      <c r="K278" s="3">
        <f>1549.6+(352.1-352.1)+(0+(0-0))+0-420.9-0</f>
        <v>1128.6999999999998</v>
      </c>
      <c r="L278" s="3">
        <f>1550.1+(355-373.6)+(-0.790551+(-0.18105--0.190536))+0-411.7--0.209966999999958</f>
        <v>1119.2289020000001</v>
      </c>
      <c r="M278" s="3">
        <f>1549.3+(441.6-404.5)+(1.580286+(0.450432-0.41259))+0-411.8-0.420036000000066</f>
        <v>1175.7980920000002</v>
      </c>
      <c r="N278" s="3">
        <f>1408.1+(701.8-429.5)+(1.436262+(0.715836-0.43809))+0-423.5-0.431970000000068</f>
        <v>1258.1820379999997</v>
      </c>
      <c r="O278" s="3">
        <f>1369.6+(586.1-275.3)+(0+(0-0))+0-428.5-0</f>
        <v>1251.8999999999999</v>
      </c>
      <c r="P278" s="3">
        <f>1451.7+(464.9-366.7)+(-1.480734+(-0.474198--0.374034))+0-421.7--0.430134000000067</f>
        <v>1127.0492360000003</v>
      </c>
      <c r="Q278" s="3">
        <f>1509.4+(454-475.2)+(1.539588+(0.46308-0.484704))+0-425.5-0.434010000000068</f>
        <v>1063.7839539999998</v>
      </c>
      <c r="R278" s="3">
        <f>1507+(517.1-401.7)+(-2.30571+(-0.791163--0.614601))+0-415.4--0.635562000000024</f>
        <v>1205.1532900000002</v>
      </c>
      <c r="S278" s="3">
        <f>1504.8+(397-293.7)+(-3.83724+(-1.01235--0.748935))+0-423.4--1.07966999999994</f>
        <v>1181.6790149999999</v>
      </c>
      <c r="T278" s="3">
        <f>1507.9+(390.6-305.4)+(-2.307087+(-0.597618--0.467262))+0-415.5--0.635715000000024</f>
        <v>1175.7982720000002</v>
      </c>
      <c r="U278" s="3">
        <f>1507.2+(534.7-434.6)+(-3.074688+(-1.090788--0.886584))+0-420.2--0.857207999999982</f>
        <v>1184.678316</v>
      </c>
      <c r="V278" s="3">
        <f>1674.5+(318.7-401.8)+(-0.853995+(-0.162537--0.204918))+0-401.8--0.204917999999959</f>
        <v>1188.9933040000001</v>
      </c>
      <c r="W278" s="3">
        <f>1957.3+(617.4-957.7)+(0.998223+(0.314874-0.488427))+0-415.8-0.212057999999958</f>
        <v>1201.8126119999999</v>
      </c>
      <c r="X278" s="3">
        <f>1958.2+(1045.6-1122.9)+(-3.994728+(-2.133024--2.290716))+0-379.2--0.773567999999983</f>
        <v>1498.636532</v>
      </c>
      <c r="Y278" s="3">
        <f>1813.6+(1059.7-968.4)+(2.774808+(1.621341-1.481652))+0-415.2-0.635256000000024</f>
        <v>1491.979241</v>
      </c>
      <c r="Z278" s="3">
        <f>1696.5+(1054.5-882.4)+(-0.865215+(-0.537795--0.450024))+0-412.3--0.210272999999958</f>
        <v>1455.5572869999999</v>
      </c>
      <c r="AA278" s="3">
        <f>1626.6+(863.9-626.1)+(-2.488698+(-1.321767--0.957933))+0-416.1--0.636633000000024</f>
        <v>1446.0841009999999</v>
      </c>
      <c r="AB278" s="3">
        <f>1624.4+(672.2-482.5)+(-1.656888+(-0.685644--0.49215))+0-412.1--0.420342000000066</f>
        <v>1400.56996</v>
      </c>
      <c r="AC278" s="3">
        <f>1583.4+(617.5-485.2)+(-2.422602+(-0.944775--0.742356))+0-412.6--0.631278000000024</f>
        <v>1301.1062570000001</v>
      </c>
      <c r="AD278">
        <v>1474</v>
      </c>
      <c r="AE278" s="3">
        <f>1960+(1133.5-1186.2)+(0+(0-0))+0-433.3-0</f>
        <v>1474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1376.6+(641.6-354.4)+(-3.51033+(-1.63608--0.90372))+0-419.9--1.07074499999994</f>
        <v>1240.728055</v>
      </c>
      <c r="G279" s="3">
        <f>1365.9+(815.1-614.9)+(-2.089827+(-1.247103--0.940797))+0-412.7--0.631431000000024</f>
        <v>1151.6352980000001</v>
      </c>
      <c r="H279" s="3">
        <f>1366+(807-627.8)+(-3.4833+(-2.05785--1.60089))+0-406.7--1.03708499999994</f>
        <v>1135.5968249999999</v>
      </c>
      <c r="I279" s="3">
        <f>1365.8+(725.5-545.7)+(-1.393116+(-0.74001--0.556614))+0-424.8--0.433296000000068</f>
        <v>1119.656784</v>
      </c>
      <c r="J279" s="3">
        <f>1365.9+(782.7-604.7)+(0+(0-0))+0-417.9-0</f>
        <v>1126</v>
      </c>
      <c r="K279" s="3">
        <f>1366.5+(702.8-509.8)+(-1.39383+(-0.716856--0.519996))+0-424.8--0.433296000000068</f>
        <v>1133.5426060000002</v>
      </c>
      <c r="L279" s="3">
        <f>1365.3+(1045.3-812.2)+(0.696303+(0.533103-0.414222))+0-413.2-0.210731999999958</f>
        <v>1185.8044519999999</v>
      </c>
      <c r="M279" s="3">
        <f>1366.2+(785-621.8)+(1.393524+(0.8007-0.634236))+0-402.5-0.410550000000064</f>
        <v>1128.049438</v>
      </c>
      <c r="N279" s="3">
        <f>1518.3+(707.4-557.6)+(0.774333+(0.360774-0.284376))+0-400.3-0.204152999999959</f>
        <v>1268.446578</v>
      </c>
      <c r="O279" s="3">
        <f>1670.3+(431-365.1)+(3.407412+(0.87924-0.744804))+0-388.3-0.792131999999983</f>
        <v>1350.6497159999999</v>
      </c>
      <c r="P279" s="3">
        <f>1671.7+(446.6-327.2)+(0.852567+(0.227766-0.166872))+0-371.8-0.189617999999962</f>
        <v>1420.0238430000004</v>
      </c>
      <c r="Q279" s="3">
        <f>1671.8+(622.3-521.1)+(0.852618+(0.317373-0.265761))+0-375.4-0.191453999999962</f>
        <v>1398.312776</v>
      </c>
      <c r="R279" s="3">
        <f>1671.4+(500.3-410.6)+(-4.26207+(-1.275765--1.04703))+0-360.9--0.920294999999948</f>
        <v>1396.6294900000003</v>
      </c>
      <c r="S279" s="3">
        <f>1672.5+(508.8-353.2)+(0.852975+(0.259488-0.180132))+0-369.9-0.188648999999962</f>
        <v>1458.9436819999999</v>
      </c>
      <c r="T279" s="3">
        <f>1672.7+(476.2-375.6)+(1.706154+(0.485724-0.383112))+0-352.3-0.359346000000056</f>
        <v>1422.4494200000001</v>
      </c>
      <c r="U279" s="3">
        <f>1671.4+(404-356.6)+(0+(0-0))+0-348.9-0</f>
        <v>1369.9</v>
      </c>
      <c r="V279" s="3">
        <f>1836.9+(361.1-451.8)+(-1.873638+(-0.368322--0.460836))+0-354.2--0.361284000000056</f>
        <v>1390.58016</v>
      </c>
      <c r="W279" s="3">
        <f>1972+(957.1-1153.4)+(0+(0-0))+0-366.1-0</f>
        <v>1409.6</v>
      </c>
      <c r="X279" s="3">
        <f>1970.3+(1072.8-1077.8)+(-2.009706+(-1.094256--1.099356))+0-373.3--0.38076600000006</f>
        <v>1590.37616</v>
      </c>
      <c r="Y279" s="3">
        <f>1966.4+(871.5-786.6)+(-4.011456+(-1.77786--1.604664))+0-377.1--0.769283999999984</f>
        <v>1670.7846320000003</v>
      </c>
      <c r="Z279" s="3">
        <f>1868.9+(695.3-574.6)+(-0.953139+(-0.354603--0.293046))+0-375.7--0.191606999999962</f>
        <v>1613.0769109999999</v>
      </c>
      <c r="AA279" s="3">
        <f>1718.2+(557.6-318.5)+(-1.752564+(-0.568752--0.32487))+0-372.6--0.380052000000059</f>
        <v>1583.0836060000001</v>
      </c>
      <c r="AB279" s="3">
        <f>1579.5+(508.8-190.2)+(-0.805545+(-0.259488--0.097002))+0-380.6--0.194105999999961</f>
        <v>1516.7260749999996</v>
      </c>
      <c r="AC279" s="3">
        <f>1530.3+(465.4-309.1)+(-0.780453+(-0.237354--0.157641))+0-383.4--0.195533999999961</f>
        <v>1302.5353679999998</v>
      </c>
      <c r="AD279">
        <v>1412.3</v>
      </c>
      <c r="AE279" s="3">
        <f>1964+(1189.5-1365.4)+(0+(0-0))+0-375.8-0</f>
        <v>1412.3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1370.4+(572.2-257.7)+(-1.397808+(-0.583644--0.262854))+0-389.3--0.397086000000062</f>
        <v>1294.2784880000004</v>
      </c>
      <c r="G280" s="3">
        <f>1365+(576-252)+(-0.69615+(-0.29376--0.12852))+0-393.5--0.20068499999996</f>
        <v>1294.839295</v>
      </c>
      <c r="H280" s="3">
        <f>1364.5+(524.5-262.1)+(-2.087685+(-0.802485--0.401013))+0-396.4--0.606492000000023</f>
        <v>1228.6173350000001</v>
      </c>
      <c r="I280" s="3">
        <f>1364.6+(608-373.7)+(-2.087838+(-0.93024--0.571761))+0-387.7--0.593181000000022</f>
        <v>1209.3468639999999</v>
      </c>
      <c r="J280" s="3">
        <f>1364.6+(773.7-562.6)+(0+(0-0))+0-401-0</f>
        <v>1174.6999999999998</v>
      </c>
      <c r="K280" s="3">
        <f>1365.2+(708.9-525.4)+(0+(0-0))+0-400.5-0</f>
        <v>1148.2</v>
      </c>
      <c r="L280" s="3">
        <f>1365.8+(1053.9-781.6)+(0+(0-0))+0-398.7-0</f>
        <v>1239.3999999999999</v>
      </c>
      <c r="M280" s="3">
        <f>1365.6+(1096.2-817.8)+(1.392912+(1.118124-0.834156))+0-401.8-0.409836000000064</f>
        <v>1243.467044</v>
      </c>
      <c r="N280" s="3">
        <f>1365.3+(564.4-249.2)+(1.392606+(0.575688-0.254184))+0-406-0.414120000000065</f>
        <v>1275.7999899999998</v>
      </c>
      <c r="O280" s="3">
        <f>1414.9+(793.3-440.9)+(-0.721599+(-0.404583--0.224859))+0-421.2--0.214811999999957</f>
        <v>1345.413489</v>
      </c>
      <c r="P280" s="3">
        <f>1508.5+(1070.1-742.3)+(0+(0-0))+0-394.1-0</f>
        <v>1442.1999999999998</v>
      </c>
      <c r="Q280" s="3">
        <f>1507.4+(1257.9-984.9)+(-2.306322+(-1.924587--1.506897))+0-399.5--0.611235000000023</f>
        <v>1378.7872230000003</v>
      </c>
      <c r="R280" s="3">
        <f>1508.8+(1069.6-786.6)+(-1.538976+(-1.090992--0.802332))+0-409.3--0.417486000000065</f>
        <v>1381.0898499999998</v>
      </c>
      <c r="S280" s="3">
        <f>1507.6+(749.9-444.6)+(-2.306628+(-1.147347--0.680238))+0-412.9--0.631737000000024</f>
        <v>1397.8579999999999</v>
      </c>
      <c r="T280" s="3">
        <f>1508.9+(789.3-505.3)+(0+(0-0))+0-406.7-0</f>
        <v>1386.2</v>
      </c>
      <c r="U280" s="3">
        <f>1510.2+(1022.6-778)+(2.310606+(1.564578-1.19034))+0-419.4-0.641682000000024</f>
        <v>1337.4431620000005</v>
      </c>
      <c r="V280" s="3">
        <f>1778.1+(1067.4-964.8)+(1.813662+(1.088748-0.984096))+0-422.4-0.430848000000067</f>
        <v>1459.7874660000002</v>
      </c>
      <c r="W280" s="3">
        <f>1971+(1464-1494.1)+(3.01563+(2.23992-2.285973))+0-421.3-0.644589000000024</f>
        <v>1521.9249880000002</v>
      </c>
      <c r="X280" s="3">
        <f>1969.6+(1409-1319.1)+(-2.008992+(-1.43718--1.345482))+0-414.7--0.422994000000066</f>
        <v>1643.1223039999998</v>
      </c>
      <c r="Y280" s="3">
        <f>1968.2+(1054.3-953.3)+(-5.01891+(-2.688465--2.430915))+0-386.6--0.985829999999944</f>
        <v>1678.3093699999997</v>
      </c>
      <c r="Z280" s="3">
        <f>1764.1+(853.7-665.8)+(0.899691+(0.435387-0.339558))+0-390.1-0.19895099999996</f>
        <v>1562.6965690000002</v>
      </c>
      <c r="AA280" s="3">
        <f>1713.4+(600.3-276.7)+(-2.621502+(-0.918459--0.423351))+0-394--0.602820000000023</f>
        <v>1640.48621</v>
      </c>
      <c r="AB280" s="3">
        <f>1576.7+(478.7-162.1)+(-3.216468+(-0.976548--0.330684))+0-384--0.783359999999983</f>
        <v>1506.2210280000002</v>
      </c>
      <c r="AC280" s="3">
        <f>1486.1+(504-225.2)+(-3.031644+(-1.02816--0.459408))+0-368.7--0.752147999999984</f>
        <v>1393.3517519999998</v>
      </c>
      <c r="AD280">
        <v>1554.2</v>
      </c>
      <c r="AE280" s="3">
        <f>1968+(1605-1586.1)+(0+(0-0))+0-432.7-0</f>
        <v>1554.2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1418.9+(551.9-296.3)+(-2.894556+(-1.125876--0.604452))+0-369.7--0.754187999999984</f>
        <v>1302.1382079999998</v>
      </c>
      <c r="G281" s="3">
        <f>1382+(463.1-251)+(-1.40964+(-0.472362--0.25602))+0-372.3--0.379746000000059</f>
        <v>1220.553764</v>
      </c>
      <c r="H281" s="3">
        <f>1361.9+(484.9-278.6)+(-0.694569+(-0.247299--0.142086))+0-367.1--0.187220999999963</f>
        <v>1200.4874389999998</v>
      </c>
      <c r="I281" s="3">
        <f>1362.5+(509.3-305.3)+(2.084625+(0.779229-0.467109))+0-364.4-0.557532000000021</f>
        <v>1203.9392129999999</v>
      </c>
      <c r="J281" s="3">
        <f>1363.2+(511-305.5)+(0+(0-0))+0-374.6-0</f>
        <v>1194.0999999999999</v>
      </c>
      <c r="K281" s="3">
        <f>1362+(536.3-281.6)+(4.16772+(1.641078-0.861696))+0-373.2-1.14199200000004</f>
        <v>1247.3051099999998</v>
      </c>
      <c r="L281" s="3">
        <f>1362.4+(547.6-308.9)+(0+(0-0))+0-375-0</f>
        <v>1226.1000000000001</v>
      </c>
      <c r="M281" s="3">
        <f>1362.5+(635.9-351.1)+(1.38975+(0.648618-0.358122))+0-378.2-0.38576400000006</f>
        <v>1270.3944819999997</v>
      </c>
      <c r="N281" s="3">
        <f>1444.4+(446.4-180.1)+(0+(0-0))+0-383.5-0</f>
        <v>1327.2</v>
      </c>
      <c r="O281" s="3">
        <f>1509+(758-367.8)+(1.53918+(0.77316-0.375156))+0-363.8-0.371076000000058</f>
        <v>1536.9661079999998</v>
      </c>
      <c r="P281" s="3">
        <f>1528.7+(1559.5-956.4)+(2.338911+(2.386035-1.463292))+0-392.9-0.601137000000023</f>
        <v>1741.5605169999999</v>
      </c>
      <c r="Q281" s="3">
        <f>1634.3+(2111.5-1825.2)+(-0.833493+(-1.076865--0.930852))+0-396.4--0.20216399999996</f>
        <v>1523.4226580000002</v>
      </c>
      <c r="R281" s="3">
        <f>1633.8+(1712.5-1464.1)+(-4.16619+(-4.366875--3.733455))+0-393.6--1.00367999999994</f>
        <v>1484.8040699999999</v>
      </c>
      <c r="S281" s="3">
        <f>1634.3+(852.6-697.9)+(-2.500479+(-1.304478--1.067787))+0-393.3--0.601749000000023</f>
        <v>1393.5645789999999</v>
      </c>
      <c r="T281" s="3">
        <f>1634.4+(888.5-727.1)+(0.833544+(0.453135-0.370821))+0-391.2-0.19951199999996</f>
        <v>1405.3163460000003</v>
      </c>
      <c r="U281" s="3">
        <f>1634.7+(733.5-610)+(-0.833697+(-0.374085--0.3111))+0-361.7--0.184466999999963</f>
        <v>1395.787785</v>
      </c>
      <c r="V281" s="3">
        <f>1726.7+(849.3-816.6)+(-1.761234+(-0.866286--0.832932))+0-366.8--0.374136000000058</f>
        <v>1391.1795480000003</v>
      </c>
      <c r="W281" s="3">
        <f>1968.4+(1477.8-1585.5)+(2.007768+(1.507356-1.61721))+0-361.9-0.369138000000058</f>
        <v>1500.3287759999998</v>
      </c>
      <c r="X281" s="3">
        <f>1966.9+(1648.2-1566.7)+(-5.015595+(-4.20291--3.995085))+0-375.3--0.957014999999946</f>
        <v>1668.8335950000001</v>
      </c>
      <c r="Y281" s="3">
        <f>1728.2+(1477.3-1192.6)+(-0.881382+(-0.753423--0.608226))+0-376.9--0.192218999999962</f>
        <v>1635.1656400000002</v>
      </c>
      <c r="Z281" s="3">
        <f>1664.5+(1399-1124.4)+(-0.848895+(-0.71349--0.573444))+0-374--0.190739999999962</f>
        <v>1564.3017989999998</v>
      </c>
      <c r="AA281" s="3">
        <f>1545.7+(1235.4-821.9)+(-1.576614+(-1.260108--0.838338))+0-374.3--0.38178600000006</f>
        <v>1583.2834020000005</v>
      </c>
      <c r="AB281" s="3">
        <f>1551.7+(1295.4-974.7)+(-3.956835+(-3.30327--2.485485))+0-392.2--1.00010999999994</f>
        <v>1476.4254900000001</v>
      </c>
      <c r="AC281" s="3">
        <f>1479.9+(1190.4-856.6)+(-1.509498+(-1.214208--0.873732))+0-421.2--0.429624000000067</f>
        <v>1391.0796500000004</v>
      </c>
      <c r="AD281">
        <v>1636.4</v>
      </c>
      <c r="AE281" s="3">
        <f>1961+(1940.4-1893)+(0+(0-0))+0-372-0</f>
        <v>1636.4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1364.4+(731.4-305.4)+(-2.783376+(-1.492056--0.623016))+0-422.9--0.862715999999982</f>
        <v>1364.7103000000002</v>
      </c>
      <c r="G282" s="3">
        <f>1366.5+(652.2-325)+(-1.39383+(-0.665244--0.3315))+0-403.2--0.411264000000064</f>
        <v>1289.1836900000001</v>
      </c>
      <c r="H282" s="3">
        <f>1366.2+(685.6-410.8)+(-2.787048+(-1.398624--0.838032))+0-402.8--0.821711999999982</f>
        <v>1235.674072</v>
      </c>
      <c r="I282" s="3">
        <f>1365.7+(622.2-411.4)+(-2.786028+(-1.269288--0.839256))+0-370--0.754799999999984</f>
        <v>1204.03874</v>
      </c>
      <c r="J282" s="3">
        <f>1365.9+(628.2-425)+(-1.393218+(-0.640764--0.4335))+0-354.8--0.361896000000057</f>
        <v>1213.0614140000002</v>
      </c>
      <c r="K282" s="3">
        <f>1365.7+(594.8-399.5)+(0+(0-0))+0-383.8-0</f>
        <v>1177.2</v>
      </c>
      <c r="L282" s="3">
        <f>1436.5+(677.3-474)+(-0.732615+(-0.345423--0.24174))+0-395--0.20144999999996</f>
        <v>1244.165152</v>
      </c>
      <c r="M282" s="3">
        <f>1466.9+(644.3-453.8)+(0.748119+(0.328593-0.231438))+0-381.6-0.194615999999961</f>
        <v>1276.450658</v>
      </c>
      <c r="N282" s="3">
        <f>1532.6+(567.4-290.5)+(1.563252+(0.578748-0.29631))+0-387.9-0.395658000000062</f>
        <v>1423.0500319999999</v>
      </c>
      <c r="O282" s="3">
        <f>1548.5+(539.7-370.5)+(1.57947+(0.550494-0.37791))+0-377.5-0.38505000000006</f>
        <v>1341.567004</v>
      </c>
      <c r="P282" s="3">
        <f>1582.7+(1172.1-886)+(0.807177+(0.597771-0.45186))+0-363.9-0.185588999999963</f>
        <v>1505.6674989999999</v>
      </c>
      <c r="Q282" s="3">
        <f>1623.6+(1423.9-1134.5)+(0+(0-0))+0-354-0</f>
        <v>1559</v>
      </c>
      <c r="R282" s="3">
        <f>1659.8+(1414-1252)+(-4.23249+(-3.6057--3.1926))+0-342.7--0.87388499999995</f>
        <v>1475.3282949999998</v>
      </c>
      <c r="S282" s="3">
        <f>1659.3+(981.3-860.2)+(-5.923701+(-3.503241--3.070914))+0-341--1.21737</f>
        <v>1434.261342</v>
      </c>
      <c r="T282" s="3">
        <f>1658.5+(777.7-672.7)+(0+(0-0))+0-338.9-0</f>
        <v>1424.6</v>
      </c>
      <c r="U282" s="3">
        <f>1693.1+(634.7-554)+(2.590443+(0.971091-0.84762))+0-337.8-0.51683400000002</f>
        <v>1438.1970799999999</v>
      </c>
      <c r="V282" s="3">
        <f>1904.6+(751.1-816.9)+(-1.942692+(-0.766122--0.833238))+0-339.5--0.346290000000054</f>
        <v>1497.770714</v>
      </c>
      <c r="W282" s="3">
        <f>1962.8+(1546.3-1491.9)+(3.003084+(2.365839-2.282607))+0-368-0.563040000000021</f>
        <v>1651.7232759999997</v>
      </c>
      <c r="X282" s="3">
        <f>1962.2+(1719.3-1613.7)+(-5.00361+(-4.384215--4.114935))+0-375.6--0.957779999999946</f>
        <v>1687.88489</v>
      </c>
      <c r="Y282" s="3">
        <f>1961.2+(1563.8-1492.6)+(-5.00106+(-3.98769--3.80613))+0-375.8--0.958289999999945</f>
        <v>1652.3756700000001</v>
      </c>
      <c r="Z282" s="3">
        <f>1880.2+(1301.1-1176.7)+(-3.835608+(-2.654244--2.400468))+0-384.7--0.784787999999983</f>
        <v>1616.5954039999997</v>
      </c>
      <c r="AA282" s="3">
        <f>1605.6+(1366.2-1012.3)+(-3.275424+(-2.787048--2.065092))+0-384--0.783359999999983</f>
        <v>1572.2859799999999</v>
      </c>
      <c r="AB282" s="3">
        <f>1557.2+(1596.6-1240.8)+(-1.588344+(-1.628532--1.265616))+0-383.6--0.391272000000061</f>
        <v>1527.8400119999999</v>
      </c>
      <c r="AC282" s="3">
        <f>1484+(1343.1-1007.9)+(-6.05472+(-5.479848--4.112232))+0-379.9--1.54999199999997</f>
        <v>1433.4276559999996</v>
      </c>
      <c r="AD282">
        <v>1654.2000000000003</v>
      </c>
      <c r="AE282" s="3">
        <f>1965+(1725.3-1644.2)+(0+(0-0))+0-391.9-0</f>
        <v>1654.1999999999998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1439.7+(632.5-357.2)+(-1.468494+(-0.64515--0.364344))+0-389.7--0.397494000000062</f>
        <v>1323.9481940000001</v>
      </c>
      <c r="G283" s="3">
        <f>1446.5+(512.3-306.4)+(0.737715+(0.261273-0.156264))+0-395.9-0.20190899999996</f>
        <v>1257.1408150000002</v>
      </c>
      <c r="H283" s="3">
        <f>1446.3+(533.1-344.5)+(0.737613+(0.271881-0.175695))+0-396.8-0.20236799999996</f>
        <v>1238.7314310000002</v>
      </c>
      <c r="I283" s="3">
        <f>1446.2+(499.6-331.1)+(-0.737562+(-0.254796--0.168861))+0-399.2--0.20359199999996</f>
        <v>1214.880095</v>
      </c>
      <c r="J283" s="3">
        <f>1446.2+(499-321.7)+(-3.68781+(-1.27245--0.820335))+0-399.1--1.01770499999994</f>
        <v>1221.2777800000001</v>
      </c>
      <c r="K283" s="3">
        <f>1445.6+(496.2-331.5)+(-0.737256+(-0.253062--0.169065))+0-400--0.203999999999959</f>
        <v>1209.6827469999998</v>
      </c>
      <c r="L283" s="3">
        <f>1445.8+(737.7-525.3)+(-0.737358+(-0.376227--0.267903))+0-403.8--0.205937999999959</f>
        <v>1253.7602560000003</v>
      </c>
      <c r="M283" s="3">
        <f>1445.7+(846.7-585.4)+(0.737307+(0.431817-0.298554))+0-409.3-0.208742999999958</f>
        <v>1298.3618270000002</v>
      </c>
      <c r="N283" s="3">
        <f>1445.3+(567.6-228.9)+(-0.737103+(-0.289476--0.116739))+0-391.5--0.19966499999996</f>
        <v>1391.7898249999998</v>
      </c>
      <c r="O283" s="3">
        <f>1587.6+(615-347.9)+(0.809676+(0.31365-0.177429))+0-395.5-0.20170499999996</f>
        <v>1459.9441919999999</v>
      </c>
      <c r="P283" s="3">
        <f>1690.9+(863.5-648.1)+(-0.862359+(-0.440385--0.330531))+0-399.5--0.203744999999959</f>
        <v>1506.0315320000002</v>
      </c>
      <c r="Q283" s="3">
        <f>1689.5+(1171.6-945.1)+(-1.72329+(-1.195032--0.964002))+0-403--0.411060000000064</f>
        <v>1511.4567400000001</v>
      </c>
      <c r="R283" s="3">
        <f>1688+(1389.2-1212.7)+(-2.58264+(-2.125476--1.855431))+0-393.7--0.602361000000023</f>
        <v>1468.5496759999999</v>
      </c>
      <c r="S283" s="3">
        <f>1688.1+(1364.9-1194.1)+(-0.860931+(-0.696099--0.608991))+0-405.7--0.206906999999959</f>
        <v>1452.4588679999999</v>
      </c>
      <c r="T283" s="3">
        <f>1689.4+(1307.8-1136.2)+(-1.723188+(-1.333956--1.158924))+0-409.3--0.417486000000065</f>
        <v>1450.2192660000001</v>
      </c>
      <c r="U283" s="3">
        <f>1688.8+(1125.7-950.6)+(-0.861288+(-0.574107--0.484806))+0-414.7--0.211496999999958</f>
        <v>1448.460908</v>
      </c>
      <c r="V283" s="3">
        <f>1762.9+(1079.2-967.1)+(0+(0-0))+0-400.8-0</f>
        <v>1474.2</v>
      </c>
      <c r="W283" s="3">
        <f>1970.3+(1746.4-1666.1)+(2.009706+(1.781328-1.699422))+0-422.1-0.430542000000067</f>
        <v>1630.1610700000006</v>
      </c>
      <c r="X283" s="3">
        <f>1967.5+(1896.8-1742.8)+(-5.017125+(-4.83684--4.44414))+0-419.2--1.06895999999994</f>
        <v>1697.9591349999996</v>
      </c>
      <c r="Y283" s="3">
        <f>1966.9+(1642.3-1519.4)+(-5.015595+(-4.187865--3.87447))+0-427.8--1.09088999999994</f>
        <v>1657.7619000000002</v>
      </c>
      <c r="Z283" s="3">
        <f>1826.1+(1362.6-1152.6)+(-3.725244+(-2.779704--2.351304))+0-421.5--0.859859999999982</f>
        <v>1611.3062159999999</v>
      </c>
      <c r="AA283" s="3">
        <f>1717.3+(991-719.4)+(-2.627469+(-1.51623--1.100682))+0-421.3--0.644589000000024</f>
        <v>1565.2015720000002</v>
      </c>
      <c r="AB283" s="3">
        <f>1716.9+(866.3-639.3)+(-2.626857+(-1.325439--0.978129))+0-423.2--0.647496000000024</f>
        <v>1518.373329</v>
      </c>
      <c r="AC283" s="3">
        <f>1605.2+(751.7-480.6)+(-4.09326+(-1.916835--1.22553))+0-420.8--1.07303999999994</f>
        <v>1451.7884750000003</v>
      </c>
      <c r="AD283">
        <v>1659.8999999999999</v>
      </c>
      <c r="AE283" s="3">
        <f>1965+(2143-2014.4)+(0+(0-0))+0-433.7-0</f>
        <v>1659.8999999999999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1412.7+(623.1-270.4)+(-2.161431+(-0.953343--0.413712))+0-421.5--0.644895000000024</f>
        <v>1341.8438330000001</v>
      </c>
      <c r="G284" s="3">
        <f>1401.6+(542.7-246.9)+(-4.288896+(-1.660662--0.755514))+0-423.2--1.29499200000005</f>
        <v>1270.3009480000001</v>
      </c>
      <c r="H284" s="3">
        <f>1401.7+(558.4-282.5)+(-1.429734+(-0.569568--0.28815))+0-424.3--0.432786000000068</f>
        <v>1252.0216339999999</v>
      </c>
      <c r="I284" s="3">
        <f>1400.4+(507.1-259.7)+(-2.142612+(-0.775863--0.397341))+0-418.5--0.640305000000024</f>
        <v>1227.4191710000002</v>
      </c>
      <c r="J284" s="3">
        <f>1401.2+(471.6-254.7)+(1.429224+(0.481032-0.259794))+0-404.2-0.412284000000064</f>
        <v>1215.1381780000002</v>
      </c>
      <c r="K284" s="3">
        <f>1401.3+(477.2-272.3)+(-0.714663+(-0.243372--0.138873))+0-393.6--0.20073599999996</f>
        <v>1211.9815739999997</v>
      </c>
      <c r="L284" s="3">
        <f>1401.4+(534.5-297.1)+(0.714714+(0.272595-0.151521))+0-390.8-0.19930799999996</f>
        <v>1248.6364800000003</v>
      </c>
      <c r="M284" s="3">
        <f>1401.2+(489.3-223.2)+(-1.429224+(-0.499086--0.227664))+0-396.7--0.404634000000063</f>
        <v>1269.3039880000001</v>
      </c>
      <c r="N284" s="3">
        <f>1490.3+(525.9-244.8)+(0+(0-0))+0-393.2-0</f>
        <v>1378.1999999999998</v>
      </c>
      <c r="O284" s="3">
        <f>1549.1+(555.6-348.4)+(0.790041+(0.283356-0.177684))+0-382-0.194819999999961</f>
        <v>1375.0008929999999</v>
      </c>
      <c r="P284" s="3">
        <f>1683.5+(970.9-767.7)+(-0.858585+(-0.495159--0.391527))+0-388.6--0.198185999999961</f>
        <v>1497.3359689999995</v>
      </c>
      <c r="Q284" s="3">
        <f>1686.5+(1178.9-990)+(-4.300575+(-3.006195--2.5245))+0-376.8--0.960839999999945</f>
        <v>1494.7785700000002</v>
      </c>
      <c r="R284" s="3">
        <f>1687+(920-710.2)+(-1.72074+(-0.9384--0.724404))+0-388.7--0.396474000000062</f>
        <v>1506.5617380000001</v>
      </c>
      <c r="S284" s="3">
        <f>1686.9+(655.4-478.7)+(-0.860319+(-0.334254--0.244137))+0-387.1--0.197420999999961</f>
        <v>1475.7469849999998</v>
      </c>
      <c r="T284" s="3">
        <f>1686.4+(491.7-397.5)+(-1.720128+(-0.501534--0.40545))+0-388.1--0.395862000000062</f>
        <v>1391.0796500000004</v>
      </c>
      <c r="U284" s="3">
        <f>1686.7+(464-358.6)+(-3.440868+(-0.94656--0.731544))+0-384.3--0.783971999999983</f>
        <v>1404.9280879999999</v>
      </c>
      <c r="V284" s="3">
        <f>1714.8+(573.6-525.4)+(0.874548+(0.292536-0.267954))+0-387.3-0.197522999999961</f>
        <v>1376.401607</v>
      </c>
      <c r="W284" s="3">
        <f>1963.7+(1073.3-1202.8)+(2.002974+(1.094766-1.226856))+0-390.6-0.398412000000062</f>
        <v>1445.0724719999998</v>
      </c>
      <c r="X284" s="3">
        <f>1966.3+(1366.6-1420.8)+(-4.011252+(-2.787864--2.898432))+0-389.2--0.793967999999983</f>
        <v>1519.7932839999999</v>
      </c>
      <c r="Y284" s="3">
        <f>1968+(1534.7-1531.4)+(-4.01472+(-3.130788--3.124056))+0-398--0.811919999999983</f>
        <v>1570.0904679999999</v>
      </c>
      <c r="Z284" s="3">
        <f>1874.6+(1471.3-1365.2)+(0+(0-0))+0-391.1-0</f>
        <v>1589.6</v>
      </c>
      <c r="AA284" s="3">
        <f>1802.5+(1226.9-1046)+(-3.6771+(-2.502876--2.13384))+0-389.7--0.794987999999983</f>
        <v>1590.448852</v>
      </c>
      <c r="AB284" s="3">
        <f>1661.9+(1070.1-874.4)+(-1.695138+(-1.091502--0.891888))+0-379.7--0.387294000000061</f>
        <v>1476.392542</v>
      </c>
      <c r="AC284" s="3">
        <f>1547.2+(824.5-521.2)+(-1.578144+(-0.84099--0.531624))+0-384.2--0.391884000000061</f>
        <v>1464.8043740000001</v>
      </c>
      <c r="AD284">
        <v>1688.4</v>
      </c>
      <c r="AE284" s="3">
        <f>1964+(1372.3-1247)+(0+(0-0))+0-400.9-0</f>
        <v>1688.4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1545.7+(606.7-356.2)+(-2.364921+(-0.928251--0.544986))+0-393.3--0.601749000000023</f>
        <v>1400.753563</v>
      </c>
      <c r="G285" s="3">
        <f>1537.9+(382.5-314.1)+(0.784329+(0.195075-0.160191))+0-403.2-0.205631999999959</f>
        <v>1203.7135810000002</v>
      </c>
      <c r="H285" s="3">
        <f>1534.4+(339.5-294.6)+(-2.347632+(-0.519435--0.450738))+0-403.1--0.616743000000023</f>
        <v>1174.4004140000002</v>
      </c>
      <c r="I285" s="3">
        <f>1545.2+(435.2-326.2)+(-3.152208+(-0.887808--0.665448))+0-407--0.830279999999982</f>
        <v>1244.655712</v>
      </c>
      <c r="J285" s="3">
        <f>1545.1+(529.6-413.5)+(-3.152004+(-1.080384--0.84354))+0-407.9--0.832115999999982</f>
        <v>1250.7432679999997</v>
      </c>
      <c r="K285" s="3">
        <f>1547.4+(613.9-509.5)+(0.789174+(0.313089-0.259845))+0-408.1-0.208130999999959</f>
        <v>1244.3342870000001</v>
      </c>
      <c r="L285" s="3">
        <f>1546.3+(826-698.9)+(-2.365839+(-1.26378--1.069317))+0-413.4--0.632502000000024</f>
        <v>1258.0722000000001</v>
      </c>
      <c r="M285" s="3">
        <f>1545.9+(1015.7-1000)+(-5.518863+(-3.626049--3.57))+0-419.2--1.49654400000001</f>
        <v>1138.3216320000001</v>
      </c>
      <c r="N285" s="3">
        <f>1533.3+(873.9-847)+(0.781983+(0.445689-0.43197))+0-423.9-0.216188999999957</f>
        <v>1136.8795129999996</v>
      </c>
      <c r="O285" s="3">
        <f>1416+(457-274.5)+(0+(0-0))+0-414-0</f>
        <v>1184.5</v>
      </c>
      <c r="P285" s="3">
        <f>1416.7+(592.1-407.1)+(1.445034+(0.603942-0.415242))+0-425.3-0.433806000000068</f>
        <v>1177.5999280000001</v>
      </c>
      <c r="Q285" s="3">
        <f>1417.4+(734.7-496.5)+(-2.168622+(-1.124091--0.759645))+0-426.9--0.653157000000025</f>
        <v>1226.8200890000001</v>
      </c>
      <c r="R285" s="3">
        <f>1416.9+(700.9-448.1)+(0+(0-0))+0-428.8-0</f>
        <v>1240.9000000000001</v>
      </c>
      <c r="S285" s="3">
        <f>1416.4+(714.8-465.5)+(-2.167092+(-1.093644--0.712215))+0-424.2--0.649026000000025</f>
        <v>1239.6005050000001</v>
      </c>
      <c r="T285" s="3">
        <f>1416.8+(663-442.3)+(0+(0-0))+0-418.1-0</f>
        <v>1219.4000000000001</v>
      </c>
      <c r="U285" s="3">
        <f>1418.3+(657.6-438.6)+(0.723333+(0.335376-0.223686))+0-420.3-0.214352999999957</f>
        <v>1217.6206700000002</v>
      </c>
      <c r="V285" s="3">
        <f>1650.7+(541.4-463.6)+(-0.841857+(-0.276114--0.236436))+0-425.3--0.216902999999957</f>
        <v>1302.5353680000001</v>
      </c>
      <c r="W285" s="3">
        <f>1967.5+(622.4-785.8)+(2.00685+(0.634848-0.801516))+0-420.3-0.428706000000067</f>
        <v>1385.2114759999997</v>
      </c>
      <c r="X285" s="3">
        <f>1970.2+(897.9-979.5)+(-1.004802+(-0.457929--0.499545))+0-427.5--0.218024999999957</f>
        <v>1460.3548389999999</v>
      </c>
      <c r="Y285" s="3">
        <f>1969.4+(925-934)+(-1.004394+(-0.47175--0.47634))+0-422--0.215219999999957</f>
        <v>1537.6154160000001</v>
      </c>
      <c r="Z285" s="3">
        <f>1969.9+(963.4-1017)+(-1.004649+(-0.491334--0.51867))+0-426.5--0.217514999999957</f>
        <v>1489.0402020000001</v>
      </c>
      <c r="AA285" s="3">
        <f>1971.2+(889.9-947.5)+(0+(0-0))+0-411.2-0</f>
        <v>1502.3999999999999</v>
      </c>
      <c r="AB285" s="3">
        <f>1968.6+(725-775.6)+(-4.015944+(-1.479--1.582224))+0-428.2--0.873527999999981</f>
        <v>1486.760808</v>
      </c>
      <c r="AC285" s="3">
        <f>1761.9+(560.7-482)+(-2.695707+(-0.857871--0.73746))+0-424.3--0.649179000000024</f>
        <v>1414.1330610000002</v>
      </c>
      <c r="AD285">
        <v>1432.0000000000002</v>
      </c>
      <c r="AE285" s="3">
        <f>1972+(852.9-968.1)+(0+(0-0))+0-424.8-0</f>
        <v>1432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1505.4+(691.4-433.1)+(-1.535508+(-0.705228--0.441762))+0-418.6--0.426972000000067</f>
        <v>1343.7279980000001</v>
      </c>
      <c r="G286" s="3">
        <f>1416.8+(591.1-401)+(-2.890272+(-1.205844--0.81804))+0-431.3--0.879851999999981</f>
        <v>1173.2017760000001</v>
      </c>
      <c r="H286" s="3">
        <f>1417.1+(592.1-411.7)+(0+(0-0))+0-424.9-0</f>
        <v>1172.5999999999999</v>
      </c>
      <c r="I286" s="3">
        <f>1417.9+(508.3-349.6)+(0.723129+(0.259233-0.178296))+0-429.1-0.218840999999956</f>
        <v>1148.0852250000003</v>
      </c>
      <c r="J286" s="3">
        <f>1417.8+(516-343.6)+(-0.723078+(-0.26316--0.175236))+0-431.9--0.220268999999956</f>
        <v>1157.7092669999997</v>
      </c>
      <c r="K286" s="3">
        <f>1417.4+(688.1-492.3)+(0+(0-0))+0-428-0</f>
        <v>1185.2</v>
      </c>
      <c r="L286" s="3">
        <f>1417.7+(658.5-443.7)+(-0.723027+(-0.335835--0.226287))+0-422.7--0.215576999999957</f>
        <v>1209.183002</v>
      </c>
      <c r="M286" s="3">
        <f>1416.6+(653.4-372.4)+(2.167398+(0.999702-0.569772))+0-422.8-0.646884000000024</f>
        <v>1276.750444</v>
      </c>
      <c r="N286" s="3">
        <f>1418.8+(667.6-300.4)+(-0.723588+(-0.340476--0.153204))+0-417.9--0.213128999999958</f>
        <v>1367.4022689999999</v>
      </c>
      <c r="O286" s="3">
        <f>1418.9+(1010.1-560.9)+(1.447278+(1.030302-0.572118))+0-427-0.435540000000068</f>
        <v>1442.5699219999999</v>
      </c>
      <c r="P286" s="3">
        <f>1417.4+(1411.9-983.8)+(0.722874+(0.720069-0.501738))+0-433.2-0.220931999999956</f>
        <v>1413.0202730000003</v>
      </c>
      <c r="Q286" s="3">
        <f>1505.9+(1684.7-1226.2)+(-1.536018+(-1.718394--1.250724))+0-425.8--0.434316000000068</f>
        <v>1537.0306280000002</v>
      </c>
      <c r="R286" s="3">
        <f>1560+(1454.8-1060.6)+(-1.5912+(-1.483896--1.081812))+0-418.7--0.427074000000067</f>
        <v>1533.9337900000003</v>
      </c>
      <c r="S286" s="3">
        <f>1560.7+(1220.6-861.8)+(-0.795957+(-0.622506--0.439518))+0-418.2--0.213281999999958</f>
        <v>1500.5343369999998</v>
      </c>
      <c r="T286" s="3">
        <f>1559.5+(1243.9-885.2)+(-0.795345+(-0.634389--0.451452))+0-421.1--0.214760999999957</f>
        <v>1496.3364789999998</v>
      </c>
      <c r="U286" s="3">
        <f>1559+(1150.6-792)+(-1.59018+(-1.173612--0.80784))+0-418.7--0.427074000000067</f>
        <v>1497.371122</v>
      </c>
      <c r="V286" s="3">
        <f>1615.3+(1424.7-1155.2)+(-0.823803+(-0.726597--0.589152))+0-418.4--0.213383999999958</f>
        <v>1465.6521359999999</v>
      </c>
      <c r="W286" s="3">
        <f>1960.8+(2126.7-2151.6)+(-1.000008+(-1.084617--1.097316))+0-413.4--0.210833999999958</f>
        <v>1521.7235249999999</v>
      </c>
      <c r="X286" s="3">
        <f>1967.1+(1981.8-1943.9)+(-3.009663+(-3.032154--2.974167))+0-393.9--0.602667000000023</f>
        <v>1608.6350170000001</v>
      </c>
      <c r="Y286" s="3">
        <f>1967.9+(1835.5-1775.3)+(-1.003629+(-0.936105--0.905403))+0-397.2--0.20257199999996</f>
        <v>1630.0682409999999</v>
      </c>
      <c r="Z286" s="3">
        <f>1968.6+(1575.1-1501.9)+(-3.011958+(-2.409903--2.297907))+0-402.7--0.616131000000023</f>
        <v>1636.5921769999998</v>
      </c>
      <c r="AA286" s="3">
        <f>1967.7+(1121-1049.5)+(-4.014108+(-2.28684--2.14098))+0-415.4--0.847415999999982</f>
        <v>1620.4874480000003</v>
      </c>
      <c r="AB286" s="3">
        <f>1822.1+(1202.9-1009.5)+(-2.787813+(-1.840437--1.544535))+0-423.3--0.647649000000024</f>
        <v>1589.7639340000001</v>
      </c>
      <c r="AC286" s="3">
        <f>1497+(1320.8-884)+(-3.05388+(-2.694432--1.80336))+0-425.3--0.867611999999982</f>
        <v>1505.42266</v>
      </c>
      <c r="AD286">
        <v>1540.8999999999996</v>
      </c>
      <c r="AE286" s="3">
        <f>1963+(2284.2-2319.4)+(0+(0-0))+0-386.9-0</f>
        <v>1540.8999999999996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1368.3+(1091.8-595.9)+(-2.791332+(-2.227272--1.215636))+0-419.5--0.855779999999982</f>
        <v>1441.7528119999999</v>
      </c>
      <c r="G287" s="3">
        <f>1368+(889.3-543)+(1.39536+(0.907086-0.55386))+0-422.6-0.431052000000067</f>
        <v>1293.0175339999998</v>
      </c>
      <c r="H287" s="3">
        <f>1368.1+(854.6-520)+(-2.790924+(-1.743384--1.0608))+0-430.2--0.877607999999981</f>
        <v>1269.9040999999997</v>
      </c>
      <c r="I287" s="3">
        <f>1367.2+(650.9-357.3)+(0+(0-0))+0-426-0</f>
        <v>1234.8</v>
      </c>
      <c r="J287" s="3">
        <f>1366.7+(660.1-368.9)+(0+(0-0))+0-429-0</f>
        <v>1228.9000000000001</v>
      </c>
      <c r="K287" s="3">
        <f>1368.5+(624.9-378.1)+(0+(0-0))+0-426.6-0</f>
        <v>1188.6999999999998</v>
      </c>
      <c r="L287" s="3">
        <f>1368.5+(498.8-378.1)+(0+(0-0))+0-426.6-0</f>
        <v>1062.5999999999999</v>
      </c>
      <c r="M287" s="3">
        <f>1367.7+(622.3-290.3)+(-0.697527+(-0.317373--0.148053))+0-424.2--0.216341999999957</f>
        <v>1274.8494949999999</v>
      </c>
      <c r="N287" s="3">
        <f>1366.1+(622.3-205.4)+(-2.786844+(-1.269492--0.419016))+0-424.2--0.865367999999981</f>
        <v>1356.0280479999999</v>
      </c>
      <c r="O287" s="3">
        <f>1367.5+(1082.5-592.9)+(-2.092275+(-1.656225--0.907137))+0-434.9--0.665397000000025</f>
        <v>1420.0240339999998</v>
      </c>
      <c r="P287" s="3">
        <f>1370.2+(1337.9-821.9)+(-0.698802+(-0.682329--0.419169))+0-432.2--0.220421999999956</f>
        <v>1453.25846</v>
      </c>
      <c r="Q287" s="3">
        <f>1373.2+(1642.1-1074.9)+(-2.801328+(-3.349884--2.192796))+0-432.8--0.882911999999981</f>
        <v>1504.524496</v>
      </c>
      <c r="R287" s="3">
        <f>1365.6+(1459-890.4)+(-3.48228+(-3.72045--2.27052))+0-435.6--1.11077999999994</f>
        <v>1494.7785699999999</v>
      </c>
      <c r="S287" s="3">
        <f>1366.4+(1170.3-620.4)+(0.696864+(0.596853-0.316404))+0-433.2-0.220931999999956</f>
        <v>1483.8563810000003</v>
      </c>
      <c r="T287" s="3">
        <f>1366.3+(1126.5-633.9)+(0.696813+(0.574515-0.323289))+0-417.7-0.213026999999958</f>
        <v>1441.9350120000001</v>
      </c>
      <c r="U287" s="3">
        <f>1365.7+(1181.9-711.7)+(0+(0-0))+0-416.4-0</f>
        <v>1419.5</v>
      </c>
      <c r="V287" s="3">
        <f>1634.5+(1184-933)+(-3.33438+(-2.41536--1.90332))+0-430.2--0.877607999999981</f>
        <v>1452.3311879999999</v>
      </c>
      <c r="W287" s="3">
        <f>1958.2+(1746.6-1667.3)+(0+(0-0))+0-433-0</f>
        <v>1604.5</v>
      </c>
      <c r="X287" s="3">
        <f>1969+(1980.9-1829.4)+(-4.01676+(-4.041036--3.731976))+0-430.6--0.878423999999981</f>
        <v>1686.4526040000001</v>
      </c>
      <c r="Y287" s="3">
        <f>1966.7+(1869.8-1762.6)+(-4.012068+(-3.814392--3.595704))+0-428.6--0.874343999999981</f>
        <v>1641.9435880000003</v>
      </c>
      <c r="Z287" s="3">
        <f>1747.6+(1774.6-1503.4)+(-3.565104+(-3.620184--3.066936))+0-425.6--0.868223999999981</f>
        <v>1589.9498719999999</v>
      </c>
      <c r="AA287" s="3">
        <f>1715.1+(1627.1-1402.6)+(-2.624103+(-2.489463--2.145978))+0-422.3--0.646119000000024</f>
        <v>1514.978531</v>
      </c>
      <c r="AB287" s="3">
        <f>1712.4+(1562.9-1417.5)+(-3.493296+(-3.188316--2.8917))+0-400.6--0.817223999999983</f>
        <v>1454.227312</v>
      </c>
      <c r="AC287" s="3">
        <f>1622.5+(1246.9-1047.6)+(-2.482425+(-1.907757--1.602828))+0-395.9--0.605727000000023</f>
        <v>1423.7183730000002</v>
      </c>
      <c r="AD287">
        <v>1704.3000000000002</v>
      </c>
      <c r="AE287" s="3">
        <f>1967+(2126.8-1933.1)+(0+(0-0))+0-456.4-0</f>
        <v>1704.3000000000002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1589.9+(639.5-426.7)+(-1.621698+(-0.65229--0.435234))+0-392.9--0.400758000000063</f>
        <v>1408.3620039999998</v>
      </c>
      <c r="G288" s="3">
        <f>1408.9+(527.4-345.7)+(-0.718539+(-0.268974--0.176307))+0-392.2--0.20002199999996</f>
        <v>1197.788816</v>
      </c>
      <c r="H288" s="3">
        <f>1367.1+(510.3-300)+(-0.697221+(-0.260253--0.153))+0-392.5--0.20017499999996</f>
        <v>1184.2957009999998</v>
      </c>
      <c r="I288" s="3">
        <f>1366.4+(494.1-261.6)+(0.696864+(0.251991-0.133416))+0-387.9-0.197828999999961</f>
        <v>1211.61761</v>
      </c>
      <c r="J288" s="3">
        <f>1366.9+(488.3-223.2)+(-2.788476+(-0.996132--0.455328))+0-389.7--0.794987999999983</f>
        <v>1239.7657079999999</v>
      </c>
      <c r="K288" s="3">
        <f>1366.5+(497.7-233.7)+(0.696915+(0.253827-0.119187))+0-381.5-0.194564999999961</f>
        <v>1249.63699</v>
      </c>
      <c r="L288" s="3">
        <f>1366.4+(559.3-232.9)+(-2.090592+(-0.855729--0.356337))+0-373.3--0.571149000000022</f>
        <v>1317.4811650000004</v>
      </c>
      <c r="M288" s="3">
        <f>1365.9+(638.3-274.4)+(-0.696609+(-0.325533--0.139944))+0-371--0.189209999999962</f>
        <v>1358.1070120000002</v>
      </c>
      <c r="N288" s="3">
        <f>1366.7+(619.5-242.2)+(0+(0-0))+0-374.7-0</f>
        <v>1369.3</v>
      </c>
      <c r="O288" s="3">
        <f>1367.6+(729.3-351)+(0+(0-0))+0-378.2-0</f>
        <v>1367.6999999999998</v>
      </c>
      <c r="P288" s="3">
        <f>1366.3+(1368-900.8)+(0.696813+(0.69768-0.459408))+0-376-0.191759999999962</f>
        <v>1458.2433250000001</v>
      </c>
      <c r="Q288" s="3">
        <f>1367.5+(1662.8-1146.1)+(-2.092275+(-2.544084--1.753533))+0-376.8--0.576504000000022</f>
        <v>1505.0936780000002</v>
      </c>
      <c r="R288" s="3">
        <f>1366.2+(1613.8-1127.8)+(-4.180572+(-4.938228--3.451068))+0-379.8--1.16218800000004</f>
        <v>1467.8944560000002</v>
      </c>
      <c r="S288" s="3">
        <f>1366.6+(1274.7-845.9)+(-2.787864+(-2.600388--1.725636))+0-359.9--0.734195999999984</f>
        <v>1432.5715799999998</v>
      </c>
      <c r="T288" s="3">
        <f>1366.3+(1078.7-606.3)+(-0.696813+(-0.550137--0.309213))+0-355.9--0.181508999999964</f>
        <v>1482.043772</v>
      </c>
      <c r="U288" s="3">
        <f>1366.1+(1092.7-625.1)+(-0.696711+(-0.557277--0.318801))+0-379.9--0.193748999999961</f>
        <v>1453.0585619999997</v>
      </c>
      <c r="V288" s="3">
        <f>1521.5+(1220.5-1028)+(-1.55193+(-1.24491--1.04856))+0-386--0.393720000000062</f>
        <v>1326.64544</v>
      </c>
      <c r="W288" s="3">
        <f>1951.7+(1698.7-1733.5)+(-2.986101+(-2.599011--2.652255))+0-373.4--0.571302000000022</f>
        <v>1541.1384450000003</v>
      </c>
      <c r="X288" s="3">
        <f>1967+(1636-1589.5)+(-4.01268+(-3.33744--3.24258))+0-375.5--0.766019999999984</f>
        <v>1634.6584800000001</v>
      </c>
      <c r="Y288" s="3">
        <f>1964.3+(1503.1-1424.3)+(-5.008965+(-3.832905--3.631965))+0-380.2--0.969509999999945</f>
        <v>1658.6596049999998</v>
      </c>
      <c r="Z288" s="3">
        <f>1965.5+(1154.5-1068.1)+(-2.00481+(-1.17759--1.089462))+0-382--0.389640000000061</f>
        <v>1668.1967020000004</v>
      </c>
      <c r="AA288" s="3">
        <f>1938.3+(953.4-940.5)+(-5.931198+(-2.917404--2.87793))+0-381.1--1.16616600000004</f>
        <v>1565.295494</v>
      </c>
      <c r="AB288" s="3">
        <f>1720.1+(1158.2-986.8)+(-3.509004+(-2.362728--2.013072))+0-388.6--0.792743999999983</f>
        <v>1499.8340839999998</v>
      </c>
      <c r="AC288" s="3">
        <f>1511.4+(1183.5-822.4)+(-1.541628+(-1.20717--0.838848))+0-419.9--0.428298000000067</f>
        <v>1451.1183480000002</v>
      </c>
      <c r="AD288">
        <v>1625.6000000000001</v>
      </c>
      <c r="AE288" s="3">
        <f>1965+(1654.8-1619)+(0+(0-0))+0-375.2-0</f>
        <v>1625.6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1363.4+(714.8-236.8)+(-3.47667+(-1.82274--0.60384))+0-417--1.06334999999994</f>
        <v>1420.7677799999999</v>
      </c>
      <c r="G289" s="3">
        <f>1361.4+(498.9-190.9)+(0+(0-0))+0-419.3-0</f>
        <v>1250.1000000000001</v>
      </c>
      <c r="H289" s="3">
        <f>1362.6+(473.6-178.6)+(-1.389852+(-0.483072--0.182172))+0-415.4--0.423708000000066</f>
        <v>1240.9329559999999</v>
      </c>
      <c r="I289" s="3">
        <f>1362.1+(458.4-190.2)+(1.389342+(0.467568-0.194004))+0-427.1-0.435642000000068</f>
        <v>1204.4272639999997</v>
      </c>
      <c r="J289" s="3">
        <f>1361.6+(459.1-211.3)+(0.694416+(0.234141-0.107763))+0-422.1-0.215270999999957</f>
        <v>1187.9055229999999</v>
      </c>
      <c r="K289" s="3">
        <f>1360.9+(477.3-194.5)+(1.388118+(0.486846-0.19839))+0-419.2-0.427584000000067</f>
        <v>1225.74899</v>
      </c>
      <c r="L289" s="3">
        <f>1362.5+(550.6-213.8)+(2.7795+(1.123224-0.436152))+0-423.9-0.864755999999981</f>
        <v>1278.001816</v>
      </c>
      <c r="M289" s="3">
        <f>1362.5+(597.8-238.4)+(-0.694875+(-0.304878--0.121584))+0-421.1--0.214760999999957</f>
        <v>1300.1365920000001</v>
      </c>
      <c r="N289" s="3">
        <f>1362.4+(556.2-159.3)+(0.694824+(0.283662-0.081243))+0-421.8-0.215117999999957</f>
        <v>1338.1821250000003</v>
      </c>
      <c r="O289" s="3">
        <f>1457.6+(959.4-527.6)+(0+(0-0))+0-421.7-0</f>
        <v>1467.6999999999998</v>
      </c>
      <c r="P289" s="3">
        <f>1507.9+(1242.1-970.6)+(0+(0-0))+0-407.1-0</f>
        <v>1372.3000000000002</v>
      </c>
      <c r="Q289" s="3">
        <f>1505.3+(1656.7-1308.2)+(-3.070812+(-3.379668--2.668728))+0-412--0.840479999999982</f>
        <v>1438.8587279999999</v>
      </c>
      <c r="R289" s="3">
        <f>1505.3+(1276.3-929.6)+(-2.303109+(-1.952739--1.422288))+0-422.4--0.646272000000024</f>
        <v>1427.4127119999998</v>
      </c>
      <c r="S289" s="3">
        <f>1504.5+(960-593.7)+(-2.301885+(-1.4688--0.908361))+0-424.6--0.649638000000025</f>
        <v>1443.9873140000002</v>
      </c>
      <c r="T289" s="3">
        <f>1506.6+(971.8-615.7)+(0.768366+(0.495618-0.314007))+0-427.5-0.218024999999957</f>
        <v>1435.9319519999999</v>
      </c>
      <c r="U289" s="3">
        <f>1506.4+(958-638.1)+(-0.768264+(-0.48858--0.325431))+0-422--0.215219999999957</f>
        <v>1403.5838070000002</v>
      </c>
      <c r="V289" s="3">
        <f>1626.9+(990.3-839.1)+(-2.489157+(-1.515159--1.283823))+0-419.6--0.641988000000024</f>
        <v>1356.4214949999998</v>
      </c>
      <c r="W289" s="3">
        <f>1844.2+(1676.4-1618)+(0+(0-0))+0-407.5-0</f>
        <v>1495.1000000000001</v>
      </c>
      <c r="X289" s="3">
        <f>1844.1+(1800.9-1596.8)+(-2.821473+(-2.755377--2.443104))+0-360.3--0.551259000000021</f>
        <v>1685.317513</v>
      </c>
      <c r="Y289" s="3">
        <f>1839.9+(1601.7-1367.6)+(-2.815047+(-2.450601--2.092428))+0-431.7--0.660501000000025</f>
        <v>1639.7872809999999</v>
      </c>
      <c r="Z289" s="3">
        <f>1827.7+(1358.2-1156.9)+(-4.660635+(-3.46341--2.950095))+0-437.4--1.11536999999994</f>
        <v>1587.54142</v>
      </c>
      <c r="AA289" s="3">
        <f>1634+(1354.4-1028.5)+(-0.83334+(-0.690744--0.524535))+0-433.6--0.221135999999956</f>
        <v>1525.521587</v>
      </c>
      <c r="AB289" s="3">
        <f>1502.8+(1339.5-938.9)+(-2.299284+(-2.049435--1.436517))+0-426.8--0.653004000000025</f>
        <v>1474.3408020000002</v>
      </c>
      <c r="AC289" s="3">
        <f>1494+(794.1-363.9)+(-3.04776+(-1.619964--0.742356))+0-431.9--0.881075999999981</f>
        <v>1489.2557079999999</v>
      </c>
      <c r="AD289">
        <v>1503.9</v>
      </c>
      <c r="AE289" s="3">
        <f>1840+(2248.3-2146)+(0+(0-0))+0-438.4-0</f>
        <v>1503.9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1387.4+(686.1-223.8)+(-2.830296+(-1.399644--0.456552))+0-431.4--0.880055999999981</f>
        <v>1415.4066680000001</v>
      </c>
      <c r="G290" s="3">
        <f>1364.8+(525.1-191.9)+(-0.696048+(-0.267801--0.097869))+0-433.3--0.220982999999956</f>
        <v>1264.0550029999999</v>
      </c>
      <c r="H290" s="3">
        <f>1364.1+(543-237.2)+(-1.391382+(-0.55386--0.241944))+0-428.8--0.437376000000068</f>
        <v>1239.8340780000001</v>
      </c>
      <c r="I290" s="3">
        <f>1364.9+(555.6-278.1)+(1.392198+(0.566712-0.283662))+0-425.7-0.434214000000068</f>
        <v>1217.9410339999999</v>
      </c>
      <c r="J290" s="3">
        <f>1364.2+(492.1-258.5)+(0+(0-0))+0-431.6-0</f>
        <v>1166.2000000000003</v>
      </c>
      <c r="K290" s="3">
        <f>1364.8+(673.3-392.5)+(1.392096+(0.686766-0.40035))+0-425.4-0.433908000000068</f>
        <v>1221.4446039999998</v>
      </c>
      <c r="L290" s="3">
        <f>1365.2+(947.6-657.8)+(1.392504+(0.966552-0.670956))+0-424.2-0.432684000000068</f>
        <v>1232.0554159999999</v>
      </c>
      <c r="M290" s="3">
        <f>1364.1+(698.4-476.9)+(1.391382+(0.712368-0.486438))+0-418.3-0.426666000000067</f>
        <v>1168.490646</v>
      </c>
      <c r="N290" s="3">
        <f>1458.1+(456.8-202.7)+(0+(0-0))+0-403.2-0</f>
        <v>1308.9999999999998</v>
      </c>
      <c r="O290" s="3">
        <f>1509.4+(731.1-472.4)+(0+(0-0))+0-402.6-0</f>
        <v>1365.5</v>
      </c>
      <c r="P290" s="3">
        <f>1507+(1187.5-985.8)+(0.76857+(0.605625-0.502758))+0-408.9-0.208538999999959</f>
        <v>1300.462898</v>
      </c>
      <c r="Q290" s="3">
        <f>1508+(1513.4-1166.2)+(-0.76908+(-0.771834--0.594762))+0-447--0.227969999999955</f>
        <v>1407.481818</v>
      </c>
      <c r="R290" s="3">
        <f>1509.2+(1326.5-966.6)+(-3.078768+(-2.70606--1.971864))+0-420.8--0.858431999999982</f>
        <v>1445.345468</v>
      </c>
      <c r="S290" s="3">
        <f>1508.2+(1217.4-924.7)+(-0.769182+(-0.620874--0.471597))+0-431.2--0.219911999999956</f>
        <v>1369.0014530000001</v>
      </c>
      <c r="T290" s="3">
        <f>1508.5+(1231.7-917.2)+(0+(0-0))+0-432.8-0</f>
        <v>1390.2</v>
      </c>
      <c r="U290" s="3">
        <f>1506.8+(1221.3-927.5)+(-1.536936+(-1.245726--0.94605))+0-433.2--0.441864000000069</f>
        <v>1366.0052519999999</v>
      </c>
      <c r="V290" s="3">
        <f>1678.1+(1215.3-1011.1)+(0.855831+(0.619803-0.515661))+0-430.6-0.219605999999956</f>
        <v>1452.4403669999999</v>
      </c>
      <c r="W290" s="3">
        <f>1965.9+(1433.1-1483.4)+(2.005218+(1.461762-1.513068))+0-430.1-0.438702000000069</f>
        <v>1487.0152099999998</v>
      </c>
      <c r="X290" s="3">
        <f>1965.1+(1740.7-1760.9)+(-1.002201+(-0.887757--0.898059))+0-423.7--0.216086999999957</f>
        <v>1520.4241879999997</v>
      </c>
      <c r="Y290" s="3">
        <f>1961.6+(1531.6-1457.1)+(-4.001664+(-3.124464--2.972484))+0-431.7--0.880667999999981</f>
        <v>1601.1270239999999</v>
      </c>
      <c r="Z290" s="3">
        <f>1960.7+(1243.4-1193.7)+(-2.999871+(-1.902402--1.826361))+0-424.6--0.649638000000025</f>
        <v>1583.373726</v>
      </c>
      <c r="AA290" s="3">
        <f>1866+(1283.8-1176.8)+(-2.85498+(-1.964214--1.800504))+0-423.2--0.647496000000024</f>
        <v>1547.4288059999999</v>
      </c>
      <c r="AB290" s="3">
        <f>1711.3+(1450.2-1262.8)+(-2.618289+(-2.218806--1.932084))+0-420.4--0.643212000000024</f>
        <v>1476.0382009999998</v>
      </c>
      <c r="AC290" s="3">
        <f>1649.6+(935.3-644.1)+(-5.047776+(-2.862018--1.970946))+0-423.7--1.29652200000005</f>
        <v>1512.4576739999998</v>
      </c>
      <c r="AD290">
        <v>1536.0000000000002</v>
      </c>
      <c r="AE290" s="3">
        <f>1961+(1761.4-1769.6)+(0+(0-0))+0-416.8-0</f>
        <v>1536.0000000000002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1428.4+(685.6-260.6)+(-1.456968+(-0.699312--0.265812))+0-414.7--0.422994000000066</f>
        <v>1437.232526</v>
      </c>
      <c r="G291" s="3">
        <f>1369.5+(524.8-245.1)+(-2.095335+(-0.802944--0.375003))+0-410.1--0.627453000000024</f>
        <v>1237.2041770000001</v>
      </c>
      <c r="H291" s="3">
        <f>1367+(491.5-232.1)+(-0.69717+(-0.250665--0.118371))+0-411.7--0.209966999999958</f>
        <v>1214.0805030000001</v>
      </c>
      <c r="I291" s="3">
        <f>1367.1+(448.7-230.1)+(3.486105+(1.144185-0.586755))+0-407.7-1.03963499999994</f>
        <v>1181.0038999999999</v>
      </c>
      <c r="J291" s="3">
        <f>1366.8+(464.2-228.6)+(2.788272+(0.946968-0.466344))+0-416.4-0.849455999999982</f>
        <v>1188.4194400000001</v>
      </c>
      <c r="K291" s="3">
        <f>1367.1+(446.8-245.4)+(2.788884+(0.911472-0.500616))+0-416.6-0.849863999999982</f>
        <v>1154.2498760000001</v>
      </c>
      <c r="L291" s="3">
        <f>1368+(544.7-275.6)+(4.88376+(1.944579-0.983892))+0-428.5-1.52974500000001</f>
        <v>1212.9147019999998</v>
      </c>
      <c r="M291" s="3">
        <f>1363.1+(624.6-299.4)+(-2.085543+(-0.955638--0.458082))+0-419.9--0.642447000000024</f>
        <v>1266.4593480000001</v>
      </c>
      <c r="N291" s="3">
        <f>1398.5+(562.7-304.4)+(2.139705+(0.860931-0.465732))+0-416.6-0.637398000000024</f>
        <v>1242.0975060000003</v>
      </c>
      <c r="O291" s="3">
        <f>1491.2+(1216.4-971.7)+(1.521024+(1.240728-0.991134))+0-374.6-0.38209200000006</f>
        <v>1362.6885260000001</v>
      </c>
      <c r="P291" s="3">
        <f>1621.6+(1587.1-1380)+(1.654032+(1.618842-1.4076))+0-403.8-0.411876000000064</f>
        <v>1426.3533979999997</v>
      </c>
      <c r="Q291" s="3">
        <f>1634.7+(1716.3-1505.3)+(0+(0-0))+0-411.3-0</f>
        <v>1434.4</v>
      </c>
      <c r="R291" s="3">
        <f>1634.3+(1334-1150.8)+(-2.500479+(-2.04102--1.760724))+0-408.4--0.624852000000024</f>
        <v>1406.9440770000001</v>
      </c>
      <c r="S291" s="3">
        <f>1634.9+(755.2-608.7)+(0+(0-0))+0-404.8-0</f>
        <v>1376.6000000000001</v>
      </c>
      <c r="T291" s="3">
        <f>1633.7+(624.2-457.6)+(-0.833187+(-0.318342--0.233376))+0-405.1--0.206600999999959</f>
        <v>1394.4884480000001</v>
      </c>
      <c r="U291" s="3">
        <f>1635.1+(483-370.2)+(1.667802+(0.49266-0.377604))+0-403.7-0.411774000000064</f>
        <v>1345.5710839999997</v>
      </c>
      <c r="V291" s="3">
        <f>1746.6+(532.1-567.6)+(0.890766+(0.271371-0.289476))+0-398.4-0.20318399999996</f>
        <v>1313.3694770000002</v>
      </c>
      <c r="W291" s="3">
        <f>1956.7+(1319.8-1463.6)+(2.993751+(2.019294-2.239308))+0-402.2-0.615366000000023</f>
        <v>1412.858371</v>
      </c>
      <c r="X291" s="3">
        <f>1960.9+(1515.1-1550.8)+(-5.000295+(-3.863505--3.95454))+0-402.3--1.02586499999994</f>
        <v>1519.016605</v>
      </c>
      <c r="Y291" s="3">
        <f>1963+(1198.5-1135.8)+(-2.00226+(-1.22247--1.158516))+0-403.5--0.411570000000064</f>
        <v>1620.5453560000001</v>
      </c>
      <c r="Z291" s="3">
        <f>1957.7+(1020.3-960.8)+(-6.988989+(-3.642471--3.430056))+0-413.2--1.47512400000001</f>
        <v>1598.2737200000001</v>
      </c>
      <c r="AA291" s="3">
        <f>1960.1+(531.6-536.8)+(-5.997906+(-1.626696--1.642608))+0-412.7--1.26286200000005</f>
        <v>1537.4808680000001</v>
      </c>
      <c r="AB291" s="3">
        <f>1797.5+(595.9-517.2)+(-0.916725+(-0.303909--0.263772))+0-419.4--0.213893999999957</f>
        <v>1456.0570319999997</v>
      </c>
      <c r="AC291" s="3">
        <f>1601.8+(568.8-346.2)+(0.816918+(0.290088-0.176562))+0-418.7-0.213536999999958</f>
        <v>1406.416907</v>
      </c>
      <c r="AD291">
        <v>1452.8999999999999</v>
      </c>
      <c r="AE291" s="3">
        <f>1996+(1608.6-1693.4)+(0+(0-0))+0-421.3-0</f>
        <v>1489.8999999999999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1564+(592.1-364.4)+(-3.9882+(-1.509855--0.92922))+0-419.1--1.06870499999994</f>
        <v>1369.0998699999998</v>
      </c>
      <c r="G292" s="3">
        <f>1428.5+(691.2-468.9)+(0+(0-0))+0-423.6-0</f>
        <v>1227.2000000000003</v>
      </c>
      <c r="H292" s="3">
        <f>1363.4+(603.7-380.2)+(-0.695334+(-0.307887--0.193902))+0-410.4--0.209303999999958</f>
        <v>1175.899985</v>
      </c>
      <c r="I292" s="3">
        <f>1365.2+(704.7-477.9)+(1.392504+(0.718794-0.487458))+0-428.3-0.436866000000068</f>
        <v>1164.886974</v>
      </c>
      <c r="J292" s="3">
        <f>1365+(732.2-535.1)+(-1.3923+(-0.746844--0.545802))+1.4-418--0.426360000000067</f>
        <v>1144.3330180000003</v>
      </c>
      <c r="K292" s="3">
        <f>1365.7+(833.2-617.7)+(2.089521+(1.274796-0.945081))+0-420.5-0.643365000000024</f>
        <v>1162.4758709999999</v>
      </c>
      <c r="L292" s="3">
        <f>1364.6+(950.1-728.4)+(0+(0-0))+0-415.3-0</f>
        <v>1171</v>
      </c>
      <c r="M292" s="3">
        <f>1364.1+(1111.3-927.9)+(-0.695691+(-0.566763--0.473229))+0-405.2--0.206651999999959</f>
        <v>1141.7174269999998</v>
      </c>
      <c r="N292" s="3">
        <f>1365.9+(1048.7-887.2)+(0.696609+(0.534837-0.452472))+0-380.8-0.194207999999961</f>
        <v>1147.1847660000003</v>
      </c>
      <c r="O292" s="3">
        <f>1366.3+(747.6-583.1)+(2.090439+(1.143828-0.892143))+5.3-383.8-0.587214000000022</f>
        <v>1154.0549099999998</v>
      </c>
      <c r="P292" s="3">
        <f>1364.3+(574.5-363.2)+(0+(0-0))+0-395.6-0</f>
        <v>1180</v>
      </c>
      <c r="Q292" s="3">
        <f>1433.8+(540.7-339)+(-2.193714+(-0.827271--0.51867))+0-395.1--0.604503000000023</f>
        <v>1238.5021879999999</v>
      </c>
      <c r="R292" s="3">
        <f>1504.2+(470.3-338.7)+(-3.83571+(-1.199265--0.863685))+0-382.1--0.974354999999945</f>
        <v>1250.5030649999999</v>
      </c>
      <c r="S292" s="3">
        <f>1505+(464.3-358.4)+(-2.30265+(-0.710379--0.548352))+0-385.2--0.589356000000022</f>
        <v>1223.8246790000001</v>
      </c>
      <c r="T292" s="3">
        <f>1505.1+(425.7-327.4)+(-2.302803+(-0.651321--0.500922))+0-383.5--0.586755000000022</f>
        <v>1218.033553</v>
      </c>
      <c r="U292" s="3">
        <f>1509.3+(430.9-328.4)+(2.309229+(0.659277-0.502452))+0-391.8-0.599454000000023</f>
        <v>1221.8666000000001</v>
      </c>
      <c r="V292" s="3">
        <f>1753.6+(402.1-508.2)+(0+(0-0))+0-391.2-0</f>
        <v>1256.3</v>
      </c>
      <c r="W292" s="3">
        <f>1992.8+(1019.6-1336.9)+(-2.032656+(-1.039992--1.363638))+0-393.6--0.401472000000063</f>
        <v>1280.5924620000001</v>
      </c>
      <c r="X292" s="3">
        <f>2075+(1151.2-1336.9)+(-2.1165+(-1.174224--1.363638))+0-393.2--0.401064000000063</f>
        <v>1494.5739780000001</v>
      </c>
      <c r="Y292" s="3">
        <f>2075.2+(1242-1436.8)+(-2.116704+(-1.26684--1.465536))+0-393.7--0.401574000000063</f>
        <v>1485.1835659999997</v>
      </c>
      <c r="Z292" s="3">
        <f>2075+(1066.9-1256.2)+(-2.1165+(-1.088238--1.281324))+0-392.5--0.400350000000063</f>
        <v>1491.6769360000001</v>
      </c>
      <c r="AA292" s="3">
        <f>2016+(713-834.6)+(-1.02816+(-0.36363--0.425646))+0-392--0.19991999999996</f>
        <v>1501.6337760000001</v>
      </c>
      <c r="AB292" s="3">
        <f>1962.4+(509.1-593.4)+(-2.001648+(-0.519282--0.605268))+0-393.4--0.401268000000063</f>
        <v>1483.185606</v>
      </c>
      <c r="AC292" s="3">
        <f>1894.1+(425.2-495.6)+(-3.863964+(-0.867408--1.011024))+0-390.6--0.796823999999983</f>
        <v>1430.1764759999996</v>
      </c>
      <c r="AD292">
        <v>1500.1999999999998</v>
      </c>
      <c r="AE292" s="3">
        <f>2073+(1124.1-1301.9)+(0+(0-0))+0-395-0</f>
        <v>1500.1999999999998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1682.6+(486-453.2)+(-4.29063+(-1.2393--1.15566))+0-394.5--1.00597499999994</f>
        <v>1317.5317049999999</v>
      </c>
      <c r="G293" s="3">
        <f>1407.1+(515.8-341.4)+(0+(0-0))+0-430.8-0</f>
        <v>1150.7</v>
      </c>
      <c r="H293" s="3">
        <f>1365.6+(615.1-407.4)+(1.392912+(0.627402-0.415548))+0-428.6-0.437172000000068</f>
        <v>1145.8675939999996</v>
      </c>
      <c r="I293" s="3">
        <f>1366.3+(520.5-392)+(-0.696813+(-0.265455--0.19992))+0-430.5--0.219554999999956</f>
        <v>1063.7572069999999</v>
      </c>
      <c r="J293" s="3">
        <f>1364.9+(509.2-361.2)+(1.392198+(0.519384-0.368424))+0-431.5-0.440130000000069</f>
        <v>1082.5030279999999</v>
      </c>
      <c r="K293" s="3">
        <f>1364.1+(579.2-370.5)+(-2.087073+(-0.886176--0.566865))+0-431.3--0.659889000000025</f>
        <v>1139.7535050000001</v>
      </c>
      <c r="L293" s="3">
        <f>1364.7+(615.8-352.9)+(-1.391994+(-0.628116--0.359958))+0-426.8--0.435336000000068</f>
        <v>1199.575184</v>
      </c>
      <c r="M293" s="3">
        <f>1364.9+(518.6-178.3)+(-0.696099+(-0.264486--0.090933))+0-432.3--0.220472999999956</f>
        <v>1272.2508209999999</v>
      </c>
      <c r="N293" s="3">
        <f>1425.1+(704.2-494.3)+(0.726801+(0.359142-0.252093))+0-427.2-0.217871999999957</f>
        <v>1208.415978</v>
      </c>
      <c r="O293" s="3">
        <f>1510.2+(1824.5-1653)+(0+(0-0))+0-431.2-0</f>
        <v>1250.5</v>
      </c>
      <c r="P293" s="3">
        <f>1619.2+(2011.5-1621)+(0.825792+(1.025865-0.82671))+0-424.9-0.216698999999957</f>
        <v>1585.608248</v>
      </c>
      <c r="Q293" s="3">
        <f>1633+(1866.9-1593.3)+(-2.49849+(-2.856357--2.437749))+0-407.7--0.623781000000024</f>
        <v>1496.6066830000002</v>
      </c>
      <c r="R293" s="3">
        <f>1632.9+(1320.5-1044.1)+(-1.665558+(-1.34691--1.064982))+0-419.8--0.428196000000067</f>
        <v>1487.9807100000003</v>
      </c>
      <c r="S293" s="3">
        <f>1633.1+(968.7-616.3)+(-1.665762+(-0.988074--0.628626))+0-419.3--0.427686000000067</f>
        <v>1564.602476</v>
      </c>
      <c r="T293" s="3">
        <f>1633.6+(747.3-533.5)+(1.666272+(0.762246-0.54417))+0-425.9-0.434418000000068</f>
        <v>1422.94993</v>
      </c>
      <c r="U293" s="3">
        <f>1693.2+(649.4-501.3)+(-1.727064+(-0.662388--0.511326))+0-420.7--0.429114000000067</f>
        <v>1419.1509879999999</v>
      </c>
      <c r="V293" s="3">
        <f>1838.9+(613.9-655.4)+(0+(0-0))+0-419.3-0</f>
        <v>1378.1000000000001</v>
      </c>
      <c r="W293" s="3">
        <f>1959.1+(1133.3-1300.5)+(1.998282+(1.155966-1.32651))+0-425.9-0.434418000000068</f>
        <v>1367.3933199999999</v>
      </c>
      <c r="X293" s="3">
        <f>1962.1+(1506.1-1342.4)+(-3.002013+(-2.304333--2.053872))+0-421.9--0.645507000000024</f>
        <v>1701.2930329999997</v>
      </c>
      <c r="Y293" s="3">
        <f>1963+(1223.3-1017.1)+(-1.00113+(-0.623883--0.518721))+0-419.6--0.213995999999957</f>
        <v>1748.7077039999999</v>
      </c>
      <c r="Z293" s="3">
        <f>1961.7+(679.6-559)+(-4.001868+(-1.386384--1.14036))+0-416.2--0.849047999999982</f>
        <v>1662.7011560000003</v>
      </c>
      <c r="AA293" s="3">
        <f>1770.7+(548.5-257.8)+(-1.806114+(-0.55947--0.262956))+0-413--0.421260000000066</f>
        <v>1646.7186320000001</v>
      </c>
      <c r="AB293" s="3">
        <f>1695+(461.9-191.8)+(-0.86445+(-0.235569--0.097818))+0-422.1--0.215270999999957</f>
        <v>1542.2130699999998</v>
      </c>
      <c r="AC293" s="3">
        <f>1459.6+(713.4-257.7)+(-2.233188+(-1.091502--0.394281))+0-420.6--0.643518000000024</f>
        <v>1492.4131089999998</v>
      </c>
      <c r="AD293">
        <v>1416.5</v>
      </c>
      <c r="AE293" s="3">
        <f>1958+(1552.9-1648.8)+(0+(0-0))+0-445.6-0</f>
        <v>1416.5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1359.7+(546.8-273.4)+(-2.773788+(-1.115472--0.557736))+0-423.4--0.863735999999982</f>
        <v>1207.2322120000001</v>
      </c>
      <c r="G294" s="3">
        <f>1361.5+(538.9-229.5)+(-2.083095+(-0.824517--0.351135))+0-424.9--0.650097000000025</f>
        <v>1244.0936199999999</v>
      </c>
      <c r="H294" s="3">
        <f>1361.5+(696.4-424.7)+(-0.694365+(-0.355164--0.216597))+0-429--0.218789999999956</f>
        <v>1203.5858579999999</v>
      </c>
      <c r="I294" s="3">
        <f>1361.2+(569.9-310.9)+(-2.082636+(-0.871947--0.475677))+0-429.7--0.657441000000025</f>
        <v>1188.678535</v>
      </c>
      <c r="J294" s="3">
        <f>1360.6+(722.3-416.7)+(0+(0-0))+0-424.8-0</f>
        <v>1241.3999999999999</v>
      </c>
      <c r="K294" s="3">
        <f>1360.9+(692.8-389.7)+(-2.082177+(-1.059984--0.596241))+0-423.4--0.647802000000024</f>
        <v>1238.7018819999998</v>
      </c>
      <c r="L294" s="3">
        <f>1333+(808-593)+(0+(0-0))+0-438-0</f>
        <v>1110</v>
      </c>
      <c r="M294" s="3">
        <f>1340+(829-455)+(0+(0-0))+0-449-0</f>
        <v>1265</v>
      </c>
      <c r="N294" s="3">
        <f>1376+(448-250)+(0+(0-0))+0-431-0</f>
        <v>1143</v>
      </c>
      <c r="O294" s="3">
        <f>1483+(687-295)+(0+(0-0))+0-404-0</f>
        <v>1471</v>
      </c>
      <c r="P294" s="3">
        <f>1495+(1664-1095)+(0+(0-0))+0-444-0</f>
        <v>1620</v>
      </c>
      <c r="Q294" s="3">
        <f>1595+(1698-1082)+(0+(0-0))+0-402-0</f>
        <v>1809</v>
      </c>
      <c r="R294" s="3">
        <f>1625+(1547-968)+(0+(0-0))+0-398-0</f>
        <v>1806</v>
      </c>
      <c r="S294" s="3">
        <f>1624+(1269-876)+(0+(0-0))+0-443-0</f>
        <v>1574</v>
      </c>
      <c r="T294" s="3">
        <f>1625+(1015-765)+(-2.48625+(-1.55295--1.17045))+0-398--0.608940000000023</f>
        <v>1474.74019</v>
      </c>
      <c r="U294" s="3">
        <f>1666+(790.8-680)+(0+(0-0))+0-442-0</f>
        <v>1334.8</v>
      </c>
      <c r="V294" s="3">
        <f>1807+(690.2-674.7)+(1.84314+(0.704004-0.688194))+0-393.7-0.401574000000063</f>
        <v>1430.257376</v>
      </c>
      <c r="W294" s="3">
        <f>1950.1+(1062.6-925.9)+(1.989102+(1.083852-0.944418))+0-417.7-0.426054000000067</f>
        <v>1670.8024819999998</v>
      </c>
      <c r="X294" s="3">
        <f>1961.4+(1309-1015.4)+(-2.000628+(-1.33518--1.035708))+0-406.3--0.414426000000065</f>
        <v>1846.8143260000002</v>
      </c>
      <c r="Y294" s="3">
        <f>1954.5+(1039.1-724.6)+(-0.996795+(-0.529941--0.369546))+0-416.4--0.212363999999958</f>
        <v>1851.655174</v>
      </c>
      <c r="Z294" s="3">
        <f>1945.5+(614.8-369.2)+(-0.992205+(-0.313548--0.188292))+0-416.1--0.212210999999958</f>
        <v>1774.0947500000002</v>
      </c>
      <c r="AA294" s="3">
        <f>1918.6+(714.2-383.2)+(0+(0-0))+0-402.8-0</f>
        <v>1846.8</v>
      </c>
      <c r="AB294" s="3">
        <f>1545+(596.9-216.3)+(0+(0-0))+0-408.3-0</f>
        <v>1517.3</v>
      </c>
      <c r="AC294" s="3">
        <f>1362.9+(651.2-210.9)+(-2.085237+(-0.996336--0.322677))+0-403.7--0.617661000000023</f>
        <v>1397.3587650000002</v>
      </c>
      <c r="AD294">
        <v>1482.9</v>
      </c>
      <c r="AE294" s="3">
        <f>1961+(1195-1255.3)+(0+(0-0))+0-417.8-0</f>
        <v>1482.9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1366.3+(754.4-403.7)+(-1.393626+(-0.769488--0.411774))+0-422.8--0.431256000000067</f>
        <v>1292.8799160000001</v>
      </c>
      <c r="G295" s="3">
        <f>1365.4+(843.2-549.3)+(-4.178124+(-2.580192--1.680858))+0-408.9--1.25123400000005</f>
        <v>1246.5737760000004</v>
      </c>
      <c r="H295" s="3">
        <f>1365.1+(838.4-544.1)+(0+(0-0))+0-416.6-0</f>
        <v>1242.7999999999997</v>
      </c>
      <c r="I295" s="3">
        <f>1365.1+(880.8-607.8)+(-1.392402+(-0.898416--0.619956))+0-427.5--0.436050000000068</f>
        <v>1209.365188</v>
      </c>
      <c r="J295" s="3">
        <f>1365.2+(862.6-620.8)+(-0.696252+(-0.439926--0.316608))+0-425.2--0.216851999999957</f>
        <v>1181.1972819999999</v>
      </c>
      <c r="K295" s="3">
        <f>1366.6+(777.4-542.4)+(2.090898+(1.189422-0.829872))+0-428.6-0.655758000000025</f>
        <v>1174.7946899999999</v>
      </c>
      <c r="L295" s="3">
        <f>1366.5+(1049.5-745.8)+(-0.696915+(-0.535245--0.380358))+0-422.2--0.215321999999957</f>
        <v>1247.3635200000001</v>
      </c>
      <c r="M295" s="3">
        <f>1364.4+(1188.3-864.6)+(-1.391688+(-1.212066--0.881892))+0-428.4--0.436968000000068</f>
        <v>1258.4151059999999</v>
      </c>
      <c r="N295" s="3">
        <f>1366.7+(908.8-516.8)+(-2.091051+(-1.390464--0.790704))+0-424.7--0.649791000000025</f>
        <v>1331.9589800000001</v>
      </c>
      <c r="O295" s="3">
        <f>1484.6+(458.4-180.4)+(-0.757146+(-0.233784--0.092004))+0-426.8--0.217667999999957</f>
        <v>1335.1187419999999</v>
      </c>
      <c r="P295" s="3">
        <f>1509.6+(484-108.7)+(-1.539792+(-0.49368--0.110874))+0-421.7--0.430134000000067</f>
        <v>1461.7075359999999</v>
      </c>
      <c r="Q295" s="3">
        <f>1509.3+(608.2-291.4)+(-1.539486+(-0.620364--0.297228))+0-423.7--0.432174000000068</f>
        <v>1400.9695519999998</v>
      </c>
      <c r="R295" s="3">
        <f>1574.1+(549.5-173.5)+(-3.211164+(-1.12098--0.35394))+0-433.4--0.884135999999981</f>
        <v>1513.6059319999997</v>
      </c>
      <c r="S295" s="3">
        <f>1634.8+(498.8-219.5)+(-2.501244+(-0.763164--0.335835))+0-415--0.634950000000024</f>
        <v>1496.8063770000001</v>
      </c>
      <c r="T295" s="3">
        <f>1634.4+(421.9-224.1)+(-0.833544+(-0.215169--0.114291))+0-423.7--0.216086999999957</f>
        <v>1407.781665</v>
      </c>
      <c r="U295" s="3">
        <f>1635+(443.3-285.3)+(-0.83385+(-0.226083--0.145503))+0-422.6--0.215525999999957</f>
        <v>1369.7010959999998</v>
      </c>
      <c r="V295" s="3">
        <f>1743.8+(409.3-281.9)+(0+(0-0))+0-417.9-0</f>
        <v>1453.3000000000002</v>
      </c>
      <c r="W295" s="3">
        <f>1964+(808.7-921.2)+(-1.00164+(-0.412437--0.469812))+0-404--0.206039999999959</f>
        <v>1446.7617749999999</v>
      </c>
      <c r="X295" s="3">
        <f>1961.9+(1067.2-882.8)+(-3.001707+(-1.632816--1.350684))+0-413.4--0.632502000000024</f>
        <v>1730.2486629999999</v>
      </c>
      <c r="Y295" s="3">
        <f>1961.8+(962.9-848.5)+(-4.002072+(-1.964316--1.73094))+0-404.6--0.825383999999982</f>
        <v>1668.189936</v>
      </c>
      <c r="Z295" s="3">
        <f>1961.4+(651-613.2)+(-3.000942+(-0.99603--0.938196))+0-403.8--0.617814000000023</f>
        <v>1592.959038</v>
      </c>
      <c r="AA295" s="3">
        <f>1934.7+(495.9-439.3)+(-5.920182+(-1.517454--1.344258))+0-406.7--1.24450200000005</f>
        <v>1579.7511239999999</v>
      </c>
      <c r="AB295" s="3">
        <f>1807.3+(434.1-287.1)+(-1.843446+(-0.442782--0.292842))+0-408.2--0.416364000000065</f>
        <v>1544.522978</v>
      </c>
      <c r="AC295" s="3">
        <f>1698.1+(493.8-252.2)+(-0.866031+(-0.251838--0.128622))+0-422.8--0.215627999999957</f>
        <v>1516.1263809999998</v>
      </c>
      <c r="AD295">
        <v>1640.7</v>
      </c>
      <c r="AE295" s="3">
        <f>1958+(1220.4-1124.4)+(0+(0-0))+0-413.3-0</f>
        <v>1640.7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1579.8+(1028.8-760)+(-0.805698+(-0.524688--0.3876))+0-424.1--0.216290999999957</f>
        <v>1423.7735049999999</v>
      </c>
      <c r="G296" s="3">
        <f>1368.2+(1121.1-838.6)+(-3.48891+(-2.858805--2.13843))+0-432--1.10159999999994</f>
        <v>1215.5923149999999</v>
      </c>
      <c r="H296" s="3">
        <f>1368.1+(821.1-557.8)+(-0.697731+(-0.418761--0.284478))+0-416.9--0.212618999999958</f>
        <v>1213.8806049999998</v>
      </c>
      <c r="I296" s="3">
        <f>1367.9+(893.5-634.4)+(0+(0-0))+0-421.9-0</f>
        <v>1205.0999999999999</v>
      </c>
      <c r="J296" s="3">
        <f>1368+(965.2-699.7)+(0.69768+(0.492252-0.356847))+0-420.2-0.214301999999957</f>
        <v>1213.9187830000001</v>
      </c>
      <c r="K296" s="3">
        <f>1369+(1069.3-790.3)+(1.39638+(1.090686-0.806106))+0-408-0.416160000000065</f>
        <v>1241.2647999999999</v>
      </c>
      <c r="L296" s="3">
        <f>1368.4+(1286.6-996.9)+(-0.697884+(-0.656166--0.508419))+0-423.1--0.215780999999957</f>
        <v>1234.3701499999997</v>
      </c>
      <c r="M296" s="3">
        <f>1368.5+(1167.5-894.4)+(0+(0-0))+0-407.8-0</f>
        <v>1233.8</v>
      </c>
      <c r="N296" s="3">
        <f>1487.6+(850.9-570.4)+(0+(0-0))+0-417.6-0</f>
        <v>1350.5</v>
      </c>
      <c r="O296" s="3">
        <f>1537.3+(440.7-167.5)+(0+(0-0))+0-427.7-0</f>
        <v>1382.8</v>
      </c>
      <c r="P296" s="3">
        <f>1548.6+(865.4-562.1)+(-1.579572+(-0.882708--0.573342))+0-418--0.426360000000067</f>
        <v>1432.437422</v>
      </c>
      <c r="Q296" s="3">
        <f>1549+(886-558.9)+(-1.57998+(-0.90372--0.570078))+0-425.1--0.433602000000068</f>
        <v>1449.51998</v>
      </c>
      <c r="R296" s="3">
        <f>1547+(854.2-529.1)+(-3.94485+(-2.17821--1.349205))+0-426.3--1.08706499999994</f>
        <v>1442.11321</v>
      </c>
      <c r="S296" s="3">
        <f>1549.1+(657.1-354.4)+(0.790041+(0.335121-0.180744))+0-413.4-0.210833999999958</f>
        <v>1439.1335840000002</v>
      </c>
      <c r="T296" s="3">
        <f>1550.9+(631.3-371.8)+(0.790959+(0.321963-0.189618))+0-428.8-0.218687999999957</f>
        <v>1382.3046160000001</v>
      </c>
      <c r="U296" s="3">
        <f>1548.8+(569.7-269.4)+(0+(0-0))+0-425.1-0</f>
        <v>1424</v>
      </c>
      <c r="V296" s="3">
        <f>1827+(409.6-387.3)+(-2.79531+(-0.626688--0.592569))+0-423.1--0.647343000000025</f>
        <v>1424.017914</v>
      </c>
      <c r="W296" s="3">
        <f>1963.7+(799.3-890.6)+(-2.002974+(-0.815286--0.908412))+0-422.6--0.431052000000067</f>
        <v>1448.3212040000001</v>
      </c>
      <c r="X296" s="3">
        <f>1961+(651.3-558.3)+(-3.00033+(-0.996489--0.854199))+0-401.7--0.614601000000023</f>
        <v>1649.7719809999999</v>
      </c>
      <c r="Y296" s="3">
        <f>1962.6+(471.2-410.4)+(-5.00463+(-1.20156--1.04652))+0-399--1.01744999999994</f>
        <v>1620.2577799999999</v>
      </c>
      <c r="Z296" s="3">
        <f>1914.3+(474.8-510.7)+(-0.976293+(-0.242148--0.260457))+0-391.7--0.19976699999996</f>
        <v>1485.9417830000002</v>
      </c>
      <c r="AA296" s="3">
        <f>1719+(582.1-476.3)+(-3.50676+(-1.187484--0.971652))+0-365.4--0.745415999999984</f>
        <v>1456.422824</v>
      </c>
      <c r="AB296" s="3">
        <f>1712.8+(651.3-511.1)+(-4.36764+(-1.660815--1.303305))+0-374--0.953699999999946</f>
        <v>1475.22855</v>
      </c>
      <c r="AC296" s="3">
        <f>1620+(597.7-425.1)+(-5.7834+(-2.133789--1.517607))+0-387.8--1.38444600000001</f>
        <v>1399.784864</v>
      </c>
      <c r="AD296">
        <v>1679.6000000000001</v>
      </c>
      <c r="AE296" s="3">
        <f>1960+(932.4-808.5)+(0+(0-0))+0-404.3-0</f>
        <v>1679.6000000000001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1434.1+(497.6-241.1)+(-1.462782+(-0.507552--0.245922))+0-393.7--0.401574000000063</f>
        <v>1295.5771619999998</v>
      </c>
      <c r="G297" s="3">
        <f>1349.1+(779.4-446.4)+(-2.752164+(-1.589976--0.910656))+0-392.7--0.801107999999983</f>
        <v>1286.7696239999998</v>
      </c>
      <c r="H297" s="3">
        <f>1350.5+(696-461.8)+(-0.688755+(-0.35496--0.235518))+0-382--0.194819999999961</f>
        <v>1202.0866229999999</v>
      </c>
      <c r="I297" s="3">
        <f>1349.9+(710.2-500.8)+(-2.065347+(-1.086606--0.766224))+0-376.6--0.576198000000022</f>
        <v>1180.8904690000002</v>
      </c>
      <c r="J297" s="3">
        <f>1350.7+(753.9-484.5)+(0+(0-0))+0-396.9-0</f>
        <v>1223.1999999999998</v>
      </c>
      <c r="K297" s="3">
        <f>1350.3+(861.8-585.1)+(0+(0-0))+0-417-0</f>
        <v>1210</v>
      </c>
      <c r="L297" s="3">
        <f>1371+(1239.7-965.4)+(0+(0-0))+0-418.7-0</f>
        <v>1226.6000000000001</v>
      </c>
      <c r="M297" s="3">
        <f>1407.1+(970.2-731.3)+(0.717621+(0.494802-0.372963))+0-421.1-0.214760999999957</f>
        <v>1225.5246989999998</v>
      </c>
      <c r="N297" s="3">
        <f>1406+(744.3-455.6)+(1.43412+(0.759186-0.464712))+0-420-0.428400000000067</f>
        <v>1276.0001939999997</v>
      </c>
      <c r="O297" s="3">
        <f>1415.4+(475.7-296)+(2.165562+(0.727821-0.45288))+0-412.9-0.631737000000024</f>
        <v>1184.0087660000002</v>
      </c>
      <c r="P297" s="3">
        <f>1546.8+(670.8-312.1)+(1.577736+(0.684216-0.318342))+0-425.8-0.434316000000068</f>
        <v>1481.209294</v>
      </c>
      <c r="Q297" s="3">
        <f>1551.9+(789.9-433.8)+(-1.582938+(-0.805698--0.442476))+0-429.3--0.437886000000068</f>
        <v>1477.1917260000002</v>
      </c>
      <c r="R297" s="3">
        <f>1549.4+(599.6-198.2)+(-4.741164+(-1.834776--0.606492))+0-417.7--1.27816200000005</f>
        <v>1528.4087140000001</v>
      </c>
      <c r="S297" s="3">
        <f>1550.2+(659.2-205.3)+(0.790602+(0.336192-0.104703))+0-443.2-0.226031999999955</f>
        <v>1561.6960590000001</v>
      </c>
      <c r="T297" s="3">
        <f>1549.8+(500.8-192.5)+(0.790398+(0.255408-0.098175))+0-447.4-0.228173999999955</f>
        <v>1411.419457</v>
      </c>
      <c r="U297" s="3">
        <f>1595.8+(512.6-208.9)+(0.813858+(0.261426-0.106539))+0-440.5-0.224654999999955</f>
        <v>1459.7440899999999</v>
      </c>
      <c r="V297" s="3">
        <f>1868+(344.3-337.4)+(-0.95268+(-0.175593--0.172074))+0-433.2--0.220931999999956</f>
        <v>1440.964733</v>
      </c>
      <c r="W297" s="3">
        <f>1967.9+(729.8-807.1)+(-1.003629+(-0.372198--0.411621))+0-424.6--0.216545999999957</f>
        <v>1465.2523399999998</v>
      </c>
      <c r="X297" s="3">
        <f>2071.7+(815.8-736)+(-2.113134+(-0.832116--0.75072))+0-429.2--0.437784000000068</f>
        <v>1720.5432539999997</v>
      </c>
      <c r="Y297" s="3">
        <f>1932.8+(617.2-437)+(-0.985728+(-0.314772--0.22287))+0-435--0.221849999999956</f>
        <v>1677.1442199999997</v>
      </c>
      <c r="Z297" s="3">
        <f>1840.1+(517.2-274.7)+(-0.938451+(-0.263772--0.140097))+0-403.1--0.205580999999959</f>
        <v>1678.6434550000001</v>
      </c>
      <c r="AA297" s="3">
        <f>1838+(614.2-326.1)+(-3.74952+(-1.252968--0.665244))+0-453.9--0.92595599999998</f>
        <v>1668.788712</v>
      </c>
      <c r="AB297" s="3">
        <f>1839.3+(512.8-400.2)+(0.938043+(0.261528-0.204102))+0-447.4-0.228173999999955</f>
        <v>1505.2672950000001</v>
      </c>
      <c r="AC297" s="3">
        <f>1790.8+(868.2-720.8)+(-4.56654+(-2.21391--1.83804))+0-401.4--1.02356999999994</f>
        <v>1532.8811599999999</v>
      </c>
      <c r="AD297">
        <v>1724.6000000000001</v>
      </c>
      <c r="AE297" s="3">
        <f>1980+(1212.1-1017.8)+(0+(0-0))+0-449.7-0</f>
        <v>1724.6000000000001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1491.2+(1166.9-928.1)+(-1.521024+(-1.190238--0.946662))+0-451.2--0.460224000000072</f>
        <v>1277.4956240000001</v>
      </c>
      <c r="G298" s="3">
        <f>1456.7+(1150.1-951)+(0.742917+(0.586551-0.48501))+0-446.3-0.227612999999955</f>
        <v>1210.116845</v>
      </c>
      <c r="H298" s="3">
        <f>1420.6+(1082-864.9)+(0+(0-0))+0-438.1-0</f>
        <v>1199.5999999999999</v>
      </c>
      <c r="I298" s="3">
        <f>1406.6+(931.2-734.7)+(0.717366+(0.474912-0.374697))+0-438.1-0.223430999999956</f>
        <v>1165.5941499999999</v>
      </c>
      <c r="J298" s="3">
        <f>1404.6+(724.4-515.6)+(-3.58173+(-1.84722--1.31478))+0-436.5--1.11307499999994</f>
        <v>1173.8989049999998</v>
      </c>
      <c r="K298" s="3">
        <f>1405+(820.1-553.9)+(1.4331+(0.836502-0.564978))+0-443.3-0.452166000000071</f>
        <v>1229.152458</v>
      </c>
      <c r="L298" s="3">
        <f>1405.4+(1189.4-901.5)+(0+(0-0))+0-443.5-0</f>
        <v>1249.8000000000002</v>
      </c>
      <c r="M298" s="3">
        <f>1407.9+(1072.7-794.1)+(-0.718029+(-0.547077--0.404991))+0-409.4--0.208793999999958</f>
        <v>1276.4486789999999</v>
      </c>
      <c r="N298" s="3">
        <f>1536.8+(641.6-436.8)+(1.567536+(0.654432-0.445536))+0-442.7-0.451554000000071</f>
        <v>1300.224878</v>
      </c>
      <c r="O298" s="3">
        <f>1567.6+(511.1-449.9)+(2.398428+(0.781983-0.688347))+0-441.8-0.675954000000026</f>
        <v>1188.81611</v>
      </c>
      <c r="P298" s="3">
        <f>1649.8+(983.1-695.4)+(0+(0-0))+0-424.7-0</f>
        <v>1512.8</v>
      </c>
      <c r="Q298" s="3">
        <f>1607.8+(941.1-619.8)+(-1.639956+(-0.959922--0.632196))+0-419.8--0.428196000000067</f>
        <v>1507.7605140000001</v>
      </c>
      <c r="R298" s="3">
        <f>1551+(676.8-385.9)+(-2.37303+(-1.035504--0.590427))+0-425.7--0.651321000000025</f>
        <v>1414.033214</v>
      </c>
      <c r="S298" s="3">
        <f>1574.6+(574.6-285.1)+(-4.01523+(-1.46523--0.727005))+0-430.3--1.09726499999994</f>
        <v>1430.1438099999998</v>
      </c>
      <c r="T298" s="3">
        <f>1576.5+(470.3-267.9)+(-4.82409+(-1.439118--0.819774))+0-424.6--1.29927600000005</f>
        <v>1350.1558419999999</v>
      </c>
      <c r="U298" s="3">
        <f>1563.5+(484.6-268)+(-3.18954+(-0.988584--0.54672))+0-402.5--0.821099999999982</f>
        <v>1374.7896959999998</v>
      </c>
      <c r="V298" s="3">
        <f>1629.3+(413.8-276.5)+(-0.830943+(-0.211038--0.141015))+0-448.9--0.228938999999954</f>
        <v>1317.027973</v>
      </c>
      <c r="W298" s="3">
        <f>1849+(340.1-395.6)+(-1.88598+(-0.346902--0.403512))+0-390.2--0.398004000000062</f>
        <v>1401.8686340000002</v>
      </c>
      <c r="X298" s="3">
        <f>1851.4+(817-639.5)+(-2.832642+(-1.25001--0.978435))+0-415.3--0.635409000000024</f>
        <v>1611.1311920000001</v>
      </c>
      <c r="Y298" s="3">
        <f>1822.9+(765.5-569.3)+(0+(0-0))+0-434.3-0</f>
        <v>1584.8000000000002</v>
      </c>
      <c r="Z298" s="3">
        <f>1725.9+(792.2-576.9)+(-0.880209+(-0.404022--0.294219))+0-415.9--0.212108999999958</f>
        <v>1524.5220970000005</v>
      </c>
      <c r="AA298" s="3">
        <f>1651.6+(763.5-462.4)+(-1.684632+(-0.77877--0.471648))+0-426.9--0.435438000000068</f>
        <v>1524.243684</v>
      </c>
      <c r="AB298" s="3">
        <f>1580+(750.2-419.7)+(-2.4174+(-1.147806--0.642141))+0-422.7--0.646731000000024</f>
        <v>1485.523666</v>
      </c>
      <c r="AC298" s="3">
        <f>1580.2+(618.2-255.5)+(-4.02951+(-1.57641--0.651525))+0-429--1.09394999999994</f>
        <v>1510.0395550000001</v>
      </c>
      <c r="AD298">
        <v>1612.0000000000005</v>
      </c>
      <c r="AE298" s="3">
        <f>1845+(726.3-516.2)+(0+(0-0))+0-443.1-0</f>
        <v>1612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1466.9+(728.7-419.9)+(-0.748119+(-0.371637--0.214149))+0-428.6--0.218585999999957</f>
        <v>1346.4129790000002</v>
      </c>
      <c r="G299" s="3">
        <f>1368.5+(1057.6-647.1)+(-0.697935+(-0.539376--0.330021))+0-424--0.216239999999957</f>
        <v>1354.3089499999999</v>
      </c>
      <c r="H299" s="3">
        <f>1368.6+(947.8-705.7)+(-0.697986+(-0.483378--0.359907))+0-427.7--0.218126999999957</f>
        <v>1182.3966699999996</v>
      </c>
      <c r="I299" s="3">
        <f>1367.6+(852-621.5)+(1.394952+(0.86904-0.63393))+0-427.3-0.435846000000068</f>
        <v>1171.9942159999998</v>
      </c>
      <c r="J299" s="3">
        <f>1367.8+(798.3-578.1)+(-1.395156+(-0.814266--0.589662))+0-428.6--0.437172000000068</f>
        <v>1158.2174120000002</v>
      </c>
      <c r="K299" s="3">
        <f>1368+(890.2-649.1)+(-0.69768+(-0.454002--0.331041))+0-427.3--0.217922999999957</f>
        <v>1181.1972819999999</v>
      </c>
      <c r="L299" s="3">
        <f>1367.9+(997-777.6)+(0.697629+(0.50847-0.396576))+0-430.6-0.219605999999956</f>
        <v>1157.2899170000003</v>
      </c>
      <c r="M299" s="3">
        <f>1367.7+(944.2-755.8)+(-1.395054+(-0.963084--0.770916))+0-431--0.439620000000069</f>
        <v>1123.9523980000001</v>
      </c>
      <c r="N299" s="3">
        <f>1368.9+(1005.1-777)+(0+(0-0))+0-421.1-0</f>
        <v>1175.9000000000001</v>
      </c>
      <c r="O299" s="3">
        <f>1430.4+(877.8-660.2)+(-1.459008+(-0.895356--0.673404))+0-425.5--0.434010000000068</f>
        <v>1221.2530500000003</v>
      </c>
      <c r="P299" s="3">
        <f>1509.7+(637.3-468)+(-0.769947+(-0.325023--0.23868))+0-431.5--0.220064999999956</f>
        <v>1246.863775</v>
      </c>
      <c r="Q299" s="3">
        <f>1513+(531.8-385.3)+(-1.54326+(-0.542436--0.393006))+0-424.8--0.433296000000068</f>
        <v>1233.4406060000001</v>
      </c>
      <c r="R299" s="3">
        <f>1513.1+(670.6-490.3)+(0.771681+(0.342006-0.250053))+0-423.9-0.216188999999957</f>
        <v>1270.1474449999998</v>
      </c>
      <c r="S299" s="3">
        <f>1511.7+(566.7-442.9)+(-3.083868+(-1.156068--0.903516))+0-423.6--0.864143999999982</f>
        <v>1209.4277239999999</v>
      </c>
      <c r="T299" s="3">
        <f>1513.9+(610.9-495.3)+(-0.772089+(-0.311559--0.252603))+0-424.9--0.216698999999957</f>
        <v>1203.9856540000001</v>
      </c>
      <c r="U299" s="3">
        <f>1512.7+(584.7-480.3)+(0+(0-0))+0-423.8-0</f>
        <v>1193.3000000000002</v>
      </c>
      <c r="V299" s="3">
        <f>1765.1+(553.8-631.8)+(-2.700603+(-0.847314--0.966654))+0-429.9--0.657747000000025</f>
        <v>1255.2764839999998</v>
      </c>
      <c r="W299" s="3">
        <f>1960.5+(385.1-590.8)+(-3.99942+(-0.785604--1.205232))+0-420.5--0.857819999999982</f>
        <v>1331.5780280000001</v>
      </c>
      <c r="X299" s="3">
        <f>1961.4+(371-459.9)+(-5.00157+(-0.94605--1.172745))+0-395.8--1.00928999999994</f>
        <v>1472.9344149999999</v>
      </c>
      <c r="Y299" s="3">
        <f>1949.2+(399.2-487.6)+(-0.994092+(-0.203592--0.248676))+0-431.8--0.220217999999956</f>
        <v>1428.2712099999999</v>
      </c>
      <c r="Z299" s="3">
        <f>1777.5+(463.2-414.2)+(-3.6261+(-0.944928--0.844968))+0-412.2--0.840887999999982</f>
        <v>1411.4148279999999</v>
      </c>
      <c r="AA299" s="3">
        <f>1644.7+(547.7-390.1)+(-2.516391+(-0.837981--0.596853))+0-417.4--0.638622000000024</f>
        <v>1382.7811030000003</v>
      </c>
      <c r="AB299" s="3">
        <f>1571.7+(639.8-373.9)+(-1.603134+(-0.652596--0.381378))+0-424.1--0.432582000000068</f>
        <v>1412.0582299999999</v>
      </c>
      <c r="AC299" s="3">
        <f>1549.5+(546.1-263.1)+(-2.370735+(-0.835533--0.402543))+0-429.4--0.656982000000025</f>
        <v>1400.9532570000001</v>
      </c>
      <c r="AD299">
        <v>1522.1</v>
      </c>
      <c r="AE299" s="3">
        <f>1960+(456.4-523.7)+(0+(0-0))+0-370.6-0</f>
        <v>1522.1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1406.2+(768.3-435.2)+(-0.717162+(-0.391833--0.221952))+0-413.2--0.210731999999958</f>
        <v>1325.423689</v>
      </c>
      <c r="G300" s="3">
        <f>1369.9+(1136-811.5)+(-0.698649+(-0.57936--0.413865))+0-415.7--0.212006999999958</f>
        <v>1278.047863</v>
      </c>
      <c r="H300" s="3">
        <f>1369.2+(1017.9-870.7)+(-1.396584+(-1.038258--0.888114))+0-412--0.420240000000066</f>
        <v>1103.2735120000002</v>
      </c>
      <c r="I300" s="3">
        <f>1370.4+(1137.4-966.1)+(0+(0-0))+0-429.6-0</f>
        <v>1112.1000000000004</v>
      </c>
      <c r="J300" s="3">
        <f>1370+(1079.7-912.2)+(-2.0961+(-1.651941--1.395666))+0-423.9--0.648567000000024</f>
        <v>1111.8961919999999</v>
      </c>
      <c r="K300" s="3">
        <f>1370.3+(1073.2-905.9)+(0+(0-0))+0-421.8-0</f>
        <v>1115.8</v>
      </c>
      <c r="L300" s="3">
        <f>1370+(1045.9-877.2)+(1.3974+(1.066818-0.894744))+0-425.2-0.433704000000068</f>
        <v>1114.6357699999999</v>
      </c>
      <c r="M300" s="3">
        <f>1369.2+(1193.3-1034.6)+(-0.698292+(-0.608583--0.527646))+0-415.3--0.211802999999958</f>
        <v>1112.0325740000001</v>
      </c>
      <c r="N300" s="3">
        <f>1370.4+(1122.4-958.5)+(2.096712+(1.717272-1.466505))+0-422.4-0.646272000000024</f>
        <v>1113.6012070000002</v>
      </c>
      <c r="O300" s="3">
        <f>1438.8+(787.8-664)+(0+(0-0))+0-425.4-0</f>
        <v>1137.1999999999998</v>
      </c>
      <c r="P300" s="3">
        <f>1509.4+(618.6-486.2)+(-0.769794+(-0.315486--0.247962))+0-427.1--0.217820999999957</f>
        <v>1214.0805029999999</v>
      </c>
      <c r="Q300" s="3">
        <f>1509.8+(538.8-429.9)+(-0.769998+(-0.274788--0.219249))+0-425.7--0.217106999999957</f>
        <v>1192.3915699999998</v>
      </c>
      <c r="R300" s="3">
        <f>1507.6+(528.1-409.7)+(-3.075504+(-1.077324--0.835788))+0-431.2--0.879647999999981</f>
        <v>1192.3626080000001</v>
      </c>
      <c r="S300" s="3">
        <f>1509.1+(528.4-429.2)+(0.769641+(0.269484-0.218892))+0-423.9-0.216188999999957</f>
        <v>1185.004044</v>
      </c>
      <c r="T300" s="3">
        <f>1508.4+(379.7-304)+(-2.307852+(-0.580941--0.46512))+0-425.3--0.650709000000025</f>
        <v>1157.0270360000002</v>
      </c>
      <c r="U300" s="3">
        <f>1515.8+(346-284.9)+(-0.773058+(-0.17646--0.145299))+0-429.9--0.219248999999956</f>
        <v>1146.4150299999999</v>
      </c>
      <c r="V300" s="3">
        <f>1904.6+(272.7-537.4)+(-1.942692+(-0.278154--0.548148))+0-428.6--0.437172000000068</f>
        <v>1210.064474</v>
      </c>
      <c r="W300" s="3">
        <f>1973.6+(265.7-511.8)+(2.013072+(0.271014-0.522036))+0-427.4-0.435948000000068</f>
        <v>1301.4261020000001</v>
      </c>
      <c r="X300" s="3">
        <f>1974.3+(540-635.7)+(-4.027572+(-1.1016--1.296828))+0-421.3--0.859451999999982</f>
        <v>1454.327108</v>
      </c>
      <c r="Y300" s="3">
        <f>1971+(656.9-770.9)+(-4.02084+(-1.340076--1.572636))+0-425.7--0.868427999999981</f>
        <v>1428.380148</v>
      </c>
      <c r="Z300" s="3">
        <f>1754.8+(804.2-682.9)+(0+(0-0))+0-398.5-0</f>
        <v>1477.6</v>
      </c>
      <c r="AA300" s="3">
        <f>1723+(656.5-459.6)+(-0.87873+(-0.334815--0.234396))+0-410.8--0.209507999999958</f>
        <v>1508.330359</v>
      </c>
      <c r="AB300" s="3">
        <f>1590.7+(633-409)+(-0.811257+(-0.32283--0.20859))+0-413.9--0.211088999999958</f>
        <v>1400.0855919999999</v>
      </c>
      <c r="AC300" s="3">
        <f>1514.9+(503.9-227.3)+(-3.090396+(-1.027956--0.463692))+0-420.4--0.857615999999982</f>
        <v>1368.3029560000002</v>
      </c>
      <c r="AD300">
        <v>1464</v>
      </c>
      <c r="AE300" s="3">
        <f>1969+(586-642.4)+(0+(0-0))+0-448.6-0</f>
        <v>1464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1366.3+(669.4-340.5)+(-2.787252+(-1.365576--0.69462))+0-428--0.873119999999981</f>
        <v>1264.6149119999998</v>
      </c>
      <c r="G301" s="3">
        <f>1362.3+(656.5-368)+(-2.084319+(-1.004445--0.56304))+0-424.4--0.649332000000024</f>
        <v>1224.523608</v>
      </c>
      <c r="H301" s="3">
        <f>1363.4+(832.4-571.8)+(-0.695334+(-0.424524--0.291618))+0-428.1--0.218330999999957</f>
        <v>1195.2900909999998</v>
      </c>
      <c r="I301" s="3">
        <f>1362.9+(845.9-632.4)+(-2.780316+(-1.725636--1.290096))+0-428.7--0.874547999999981</f>
        <v>1145.358692</v>
      </c>
      <c r="J301" s="3">
        <f>1363.1+(813.5-617.6)+(-2.085543+(-1.244655--0.944928))+0-419.1--0.641223000000024</f>
        <v>1138.155953</v>
      </c>
      <c r="K301" s="3">
        <f>1364.5+(880.4-690.5)+(0.695895+(0.449004-0.352155))+0-418.8-0.213587999999958</f>
        <v>1136.1791560000004</v>
      </c>
      <c r="L301" s="3">
        <f>1362.3+(651.4-407)+(-1.389546+(-0.664428--0.41514))+0-430--0.438600000000069</f>
        <v>1175.4997659999999</v>
      </c>
      <c r="M301" s="3">
        <f>1362+(642.3-394.7)+(0.69462+(0.327573-0.201297))+0-420.1-0.214250999999957</f>
        <v>1190.1066449999998</v>
      </c>
      <c r="N301" s="3">
        <f>1390.9+(532.7-202.3)+(0+(0-0))+0-407.8-0</f>
        <v>1313.5000000000002</v>
      </c>
      <c r="O301" s="3">
        <f>1464+(672.9-362)+(0.74664+(0.343179-0.18462))+0-411.2-0.209711999999958</f>
        <v>1364.3954870000002</v>
      </c>
      <c r="P301" s="3">
        <f>1557.9+(967.5-643.1)+(0+(0-0))+0-417.8-0</f>
        <v>1464.5000000000002</v>
      </c>
      <c r="Q301" s="3">
        <f>1557.3+(1148.9-841.9)+(-3.176892+(-2.343756--1.717476))+0-423.5--0.863939999999982</f>
        <v>1437.8607680000002</v>
      </c>
      <c r="R301" s="3">
        <f>1558.2+(1035.7-663.4)+(-3.178728+(-2.112828--1.353336))+0-416.7--0.850067999999982</f>
        <v>1510.7118479999999</v>
      </c>
      <c r="S301" s="3">
        <f>1557.6+(1032.8-701.8)+(-3.177504+(-2.106912--1.431672))+0-421.3--0.859451999999982</f>
        <v>1464.3067079999998</v>
      </c>
      <c r="T301" s="3">
        <f>1557.2+(1063.7-789.9)+(0.794172+(0.542487-0.402849))+0-424-0.216239999999957</f>
        <v>1407.71757</v>
      </c>
      <c r="U301" s="3">
        <f>1557.7+(1108.7-826.7)+(-0.794427+(-0.565437--0.421617))+0-418.3--0.213332999999958</f>
        <v>1420.675086</v>
      </c>
      <c r="V301" s="3">
        <f>1745.6+(746-576.3)+(-0.890256+(-0.38046--0.293913))+0-426.3--0.217412999999957</f>
        <v>1488.2406099999998</v>
      </c>
      <c r="W301" s="3">
        <f>1971.2+(830-791)+(3.015936+(1.2699-1.21023))+0-434.4-0.664632000000025</f>
        <v>1578.2109740000001</v>
      </c>
      <c r="X301" s="3">
        <f>1973.4+(1167.7-1014.8)+(0+(0-0))+0-423.9-0</f>
        <v>1702.4</v>
      </c>
      <c r="Y301" s="3">
        <f>1974.2+(780.3-684.5)+(-3.020526+(-1.193859--1.047285))+0-423.8--0.648414000000024</f>
        <v>1643.6813139999999</v>
      </c>
      <c r="Z301" s="3">
        <f>1975.1+(510.9-443.1)+(1.007301+(0.260559-0.225981))+0-424.9-0.216698999999957</f>
        <v>1618.8251799999998</v>
      </c>
      <c r="AA301" s="3">
        <f>1973.2+(381.8-380.3)+(-4.025328+(-0.778872--0.775812))+0-416.2--0.849047999999982</f>
        <v>1555.3206600000001</v>
      </c>
      <c r="AB301" s="3">
        <f>1716.5+(587.1-404.4)+(-0.875415+(-0.299421--0.206244))+0-394.1--0.20099099999996</f>
        <v>1504.3323990000001</v>
      </c>
      <c r="AC301" s="3">
        <f>1559+(571.2-324.1)+(-3.97545+(-1.45656--0.826455))+0-393.5--1.00342499999994</f>
        <v>1408.9978699999997</v>
      </c>
      <c r="AD301">
        <v>1735.9999999999998</v>
      </c>
      <c r="AE301" s="3">
        <f>1977+(1144.2-999.4)+(0+(0-0))+0-385.8-0</f>
        <v>1736.0000000000002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1388.8+(570.1-200.3)+(0+(0-0))+0-396.8-0</f>
        <v>1361.8</v>
      </c>
      <c r="G302" s="3">
        <f>1372.5+(712.5-357.9)+(-1.39995+(-0.72675--0.365058))+0-384.9--0.392598000000061</f>
        <v>1340.830956</v>
      </c>
      <c r="H302" s="3">
        <f>1373.6+(677.6-405.8)+(-0.700536+(-0.345576--0.206958))+0-395.6--0.20175599999996</f>
        <v>1249.1626019999999</v>
      </c>
      <c r="I302" s="3">
        <f>1373.8+(900.2-616.9)+(2.101914+(1.377306-0.943857))+0-387.7-0.593181000000022</f>
        <v>1271.3421819999999</v>
      </c>
      <c r="J302" s="3">
        <f>1374.1+(960.5-732.4)+(-0.700791+(-0.489855--0.373524))+0-395.9--0.20190899999996</f>
        <v>1205.6847869999997</v>
      </c>
      <c r="K302" s="3">
        <f>1373.9+(1112.4-855.3)+(0+(0-0))+0-393.1-0</f>
        <v>1237.9000000000001</v>
      </c>
      <c r="L302" s="3">
        <f>1373.3+(1395.5-1083.8)+(0.700383+(0.711705-0.552738))+0-394.7-0.20129699999996</f>
        <v>1290.9580529999998</v>
      </c>
      <c r="M302" s="3">
        <f>1373.3+(1191.6-902.8)+(-0.700383+(-0.607716--0.460428))+0-398.6--0.20328599999996</f>
        <v>1262.8556149999999</v>
      </c>
      <c r="N302" s="3">
        <f>1373.4+(670.5-328.4)+(0+(0-0))+0-396.5-0</f>
        <v>1319</v>
      </c>
      <c r="O302" s="3">
        <f>1435.3+(951.9-590.9)+(-0.732003+(-0.485469--0.301359))+0-396--0.20195999999996</f>
        <v>1399.5858469999998</v>
      </c>
      <c r="P302" s="3">
        <f>1515.3+(1327.8-940.3)+(-2.318409+(-2.031534--1.438659))+0-395--0.604350000000023</f>
        <v>1505.493066</v>
      </c>
      <c r="Q302" s="3">
        <f>1514.2+(1460.6-1124.8)+(-3.088968+(-2.979624--2.294592))+0-393.5--0.802739999999983</f>
        <v>1453.5287400000002</v>
      </c>
      <c r="R302" s="3">
        <f>1516.4+(1130.8-753.1)+(-1.546728+(-1.153416--0.768162))+0-401.7--0.409734000000064</f>
        <v>1490.8777519999999</v>
      </c>
      <c r="S302" s="3">
        <f>1516.6+(753.7-392.8)+(0+(0-0))+0-396.1-0</f>
        <v>1481.4</v>
      </c>
      <c r="T302" s="3">
        <f>1516.9+(732.5-460.3)+(-0.773619+(-0.373575--0.234753))+0-376.2--0.191861999999962</f>
        <v>1412.179421</v>
      </c>
      <c r="U302" s="3">
        <f>1518.2+(669.6-359.1)+(0.774282+(0.341496-0.183141))+0-376.4-0.191963999999962</f>
        <v>1453.0406730000002</v>
      </c>
      <c r="V302" s="3">
        <f>1808+(514.9-476.5)+(0.92208+(0.262599-0.243015))+0-382.8-0.195227999999961</f>
        <v>1464.346436</v>
      </c>
      <c r="W302" s="3">
        <f>1976.6+(701.2-955.6)+(1.008066+(0.357612-0.487356))+0-290.5-0.148154999999971</f>
        <v>1432.430167</v>
      </c>
      <c r="X302" s="3">
        <f>2077.9+(1215.6-1179.1)+(-4.238916+(-2.479824--2.405364))+0-398.7--0.813347999999983</f>
        <v>1712.1999719999999</v>
      </c>
      <c r="Y302" s="3">
        <f>2088.2+(980.9-1002.2)+(-1.064982+(-0.500259--0.511122))+0-402.4--0.205223999999959</f>
        <v>1663.6511049999997</v>
      </c>
      <c r="Z302" s="3">
        <f>2043.9+(846-875.3)+(-3.127167+(-1.29438--1.339209))+0-406.2--0.621486000000023</f>
        <v>1605.9391480000002</v>
      </c>
      <c r="AA302" s="3">
        <f>1656.2+(675-347.9)+(-2.533986+(-1.03275--0.532287))+0-398.4--0.609552000000023</f>
        <v>1582.4751030000004</v>
      </c>
      <c r="AB302" s="3">
        <f>1582+(652.5-352.5)+(-2.42046+(-0.998325--0.539325))+0-439.9--0.673047000000025</f>
        <v>1439.8935869999998</v>
      </c>
      <c r="AC302" s="3">
        <f>1582.2+(620.3-249.7)+(-2.420766+(-0.949059--0.382041))+0-437.8--0.669834000000025</f>
        <v>1512.6820500000001</v>
      </c>
      <c r="AD302">
        <v>1744.2000000000003</v>
      </c>
      <c r="AE302" s="3">
        <f>2078+(1175.3-1109.7)+(0+(0-0))+0-399.4-0</f>
        <v>1744.1999999999998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1553.2+(724.2-479.2)+(-2.376396+(-1.108026--0.733176))+0-438--0.670140000000025</f>
        <v>1358.118894</v>
      </c>
      <c r="G303" s="3">
        <f>1429+(1047.8-660.9)+(-1.45758+(-1.068756--0.674118))+0-441.5--0.45033000000007</f>
        <v>1372.9981120000002</v>
      </c>
      <c r="H303" s="3">
        <f>1355.6+(1115.5-837.3)+(0.691356+(0.568905-0.427023))+0-442.9-0.225878999999955</f>
        <v>1191.507359</v>
      </c>
      <c r="I303" s="3">
        <f>1355.7+(900.5-650.4)+(-2.074221+(-1.377765--0.995112))+0-445.6--0.681768000000026</f>
        <v>1158.4248940000002</v>
      </c>
      <c r="J303" s="3">
        <f>1354.9+(826.1-587.4)+(1.381998+(0.842622-0.599148))+0-441.7-0.45053400000007</f>
        <v>1153.074938</v>
      </c>
      <c r="K303" s="3">
        <f>1355.6+(1215.7-957.9)+(2.074068+(1.860021-1.465587))+0-443.9-0.679167000000026</f>
        <v>1171.2893350000002</v>
      </c>
      <c r="L303" s="3">
        <f>1355.1+(1225.3-886)+(1.382202+(1.249806-0.90372))+0-444.4-0.453288000000071</f>
        <v>1251.2749999999996</v>
      </c>
      <c r="M303" s="3">
        <f>1356+(938.7-555.5)+(0+(0-0))+0-447.4-0</f>
        <v>1291.8000000000002</v>
      </c>
      <c r="N303" s="3">
        <f>1386.3+(564-120.3)+(0+(0-0))+0-452.5-0</f>
        <v>1377.5</v>
      </c>
      <c r="O303" s="3">
        <f>1445.7+(751-292)+(-0.737307+(-0.38301--0.14892))+0-453.2--0.231131999999954</f>
        <v>1450.7597349999999</v>
      </c>
      <c r="P303" s="3">
        <f>1701+(794.2-542.7)+(-1.73502+(-0.810084--0.553554))+0-451.1--0.460122000000072</f>
        <v>1499.8685720000001</v>
      </c>
      <c r="Q303" s="3">
        <f>1709.6+(1072.6-840.2)+(-0.871896+(-0.547026--0.428502))+0-434.1--0.221390999999956</f>
        <v>1507.1309709999996</v>
      </c>
      <c r="R303" s="3">
        <f>1681.2+(1038.9-824.5)+(-2.572236+(-1.589517--1.261485))+0-441.8--0.675954000000026</f>
        <v>1451.5756860000001</v>
      </c>
      <c r="S303" s="3">
        <f>1681+(591.6-431)+(-0.85731+(-0.301716--0.21981))+0-415.3--0.211802999999958</f>
        <v>1425.5725869999999</v>
      </c>
      <c r="T303" s="3">
        <f>1680.7+(551.4-423.8)+(-0.857157+(-0.281214--0.216138))+0-415.3--0.211802999999958</f>
        <v>1392.2895699999999</v>
      </c>
      <c r="U303" s="3">
        <f>1680.4+(522.1-374.4)+(-1.714008+(-0.532542--0.381888))+0-420.6--0.429012000000067</f>
        <v>1406.0643500000001</v>
      </c>
      <c r="V303" s="3">
        <f>1807.4+(407.3-362.3)+(1.843548+(0.415446-0.369546))+0-416.9-0.425238000000066</f>
        <v>1436.9642099999999</v>
      </c>
      <c r="W303" s="3">
        <f>1972.3+(1018.5-1002.7)+(1.005873+(0.519435-0.511377))+0-424.2-0.216341999999957</f>
        <v>1564.6975889999999</v>
      </c>
      <c r="X303" s="3">
        <f>1973+(1389-1245.3)+(-2.01246+(-1.41678--1.270206))+0-439--0.44778000000007</f>
        <v>1675.988746</v>
      </c>
      <c r="Y303" s="3">
        <f>1971.7+(1082-1000.3)+(-4.022268+(-2.20728--2.040612))+0-411.6--0.839663999999982</f>
        <v>1638.4507280000003</v>
      </c>
      <c r="Z303" s="3">
        <f>1936.6+(721.4-654.9)+(-2.962998+(-1.103742--1.001997))+0-428.1--0.654993000000025</f>
        <v>1572.5902500000002</v>
      </c>
      <c r="AA303" s="3">
        <f>1857.6+(451.7-325.7)+(-1.894752+(-0.460734--0.332214))+0-441.8--0.45063600000007</f>
        <v>1540.2273640000001</v>
      </c>
      <c r="AB303" s="3">
        <f>1833+(443.4-322.7)+(-2.80449+(-0.678402--0.493731))+0-444--0.679320000000026</f>
        <v>1507.390159</v>
      </c>
      <c r="AC303" s="3">
        <f>1551.9+(577.9-273.6)+(-3.165876+(-1.178916--0.558144))+0-444.5--0.906779999999981</f>
        <v>1408.8201320000001</v>
      </c>
      <c r="AD303">
        <v>1730.5</v>
      </c>
      <c r="AE303" s="3">
        <f>1972+(1344.5-1148)+(0+(0-0))+0-438-0</f>
        <v>1730.5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1350.2+(628.9-252.4)+(-2.065806+(-0.962217--0.386172))+0-443.5--0.678555000000026</f>
        <v>1281.2367039999999</v>
      </c>
      <c r="G304" s="3">
        <f>1350.6+(839.8-513.1)+(-0.688806+(-0.428298--0.261681))+0-453.2--0.231131999999954</f>
        <v>1223.4757089999996</v>
      </c>
      <c r="H304" s="3">
        <f>1351.4+(904.1-592)+(1.378428+(0.922182-0.60384))+0-451.1-0.460122000000072</f>
        <v>1213.6366479999999</v>
      </c>
      <c r="I304" s="3">
        <f>1350.9+(746.9-461.7)+(1.377918+(0.761838-0.470934))+0-441.5-0.45033000000007</f>
        <v>1195.8184920000001</v>
      </c>
      <c r="J304" s="3">
        <f>1350.5+(684.6-388.1)+(-1.37751+(-0.698292--0.395862))+0-446.1--0.455022000000071</f>
        <v>1199.6750820000002</v>
      </c>
      <c r="K304" s="3">
        <f>1350.7+(603.2-309.3)+(-0.688857+(-0.307632--0.157743))+0-447.5--0.228224999999955</f>
        <v>1196.4894790000003</v>
      </c>
      <c r="L304" s="3">
        <f>1350.5+(579.4-261.5)+(-2.066265+(-0.886482--0.400095))+0-447.5--0.684675000000026</f>
        <v>1219.032023</v>
      </c>
      <c r="M304" s="3">
        <f>1349.9+(619.7-253.6)+(-2.065347+(-0.948141--0.388008))+0-444.6--0.680238000000026</f>
        <v>1269.4547579999999</v>
      </c>
      <c r="N304" s="3">
        <f>1352.1+(582.5-131.3)+(0.689571+(0.297075-0.066963))+0-451.6-0.230315999999954</f>
        <v>1352.389367</v>
      </c>
      <c r="O304" s="3">
        <f>1510.8+(545.8-157.8)+(-1.541016+(-0.556716--0.160956))+0-450.4--0.459408000000072</f>
        <v>1446.9226320000002</v>
      </c>
      <c r="P304" s="3">
        <f>1635.7+(634.9-335.3)+(0.834207+(0.323799-0.171003))+0-453-0.231029999999954</f>
        <v>1483.055973</v>
      </c>
      <c r="Q304" s="3">
        <f>1635.1+(819.3-493.8)+(-1.667802+(-0.835686--0.503676))+0-450.3--0.459306000000072</f>
        <v>1508.7594939999999</v>
      </c>
      <c r="R304" s="3">
        <f>1636.6+(615-379.4)+(-0.834666+(-0.31365--0.193494))+0-448.4--0.228683999999955</f>
        <v>1423.073862</v>
      </c>
      <c r="S304" s="3">
        <f>1635.7+(523.3-300)+(-0.834207+(-0.266883--0.153))+0-431.4--0.220013999999956</f>
        <v>1426.871924</v>
      </c>
      <c r="T304" s="3">
        <f>1636.4+(505.1-265)+(-0.834564+(-0.257601--0.13515))+0-428.7--0.218636999999957</f>
        <v>1447.0616219999999</v>
      </c>
      <c r="U304" s="3">
        <f>1635.7+(498-251.9)+(0+(0-0))+0-429-0</f>
        <v>1452.8</v>
      </c>
      <c r="V304" s="3">
        <f>1717.2+(488.1-325.9)+(0+(0-0))+0-432.5-0</f>
        <v>1446.9</v>
      </c>
      <c r="W304" s="3">
        <f>1950.5+(675.7-794.8)+(0.994755+(0.344607-0.405348))+0-425.7-0.217106999999957</f>
        <v>1406.416907</v>
      </c>
      <c r="X304" s="3">
        <f>1936.9+(1089.8-889.1)+(-3.951276+(-2.223192--1.813764))+0-431--0.879239999999981</f>
        <v>1703.1185359999997</v>
      </c>
      <c r="Y304" s="3">
        <f>1785.5+(880.5-569.1)+(-3.64242+(-1.79622--1.160964))+0-433.9--0.885155999999981</f>
        <v>1659.6074799999999</v>
      </c>
      <c r="Z304" s="3">
        <f>1722.8+(856.1-562.1)+(0+(0-0))+0-430.2-0</f>
        <v>1586.6</v>
      </c>
      <c r="AA304" s="3">
        <f>1676+(667.5-303.5)+(-5.12856+(-2.04255--0.92871))+0-429.6--1.31457600000005</f>
        <v>1605.472176</v>
      </c>
      <c r="AB304" s="3">
        <f>1675.8+(606.7-302.9)+(-2.563974+(-0.928251--0.463437))+0-421--0.644130000000024</f>
        <v>1556.215342</v>
      </c>
      <c r="AC304" s="3">
        <f>1626.1+(566.5-199.3)+(-6.634488+(-2.31132--0.813144))+0-427.6--1.74460799999996</f>
        <v>1559.311944</v>
      </c>
      <c r="AD304">
        <v>1659.4999999999995</v>
      </c>
      <c r="AE304" s="3">
        <f>1968+(1109.6-965.2)+(0+(0-0))+0-452.5-0</f>
        <v>1659.8999999999996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1577.1+(785.1-538.2)+(-3.217284+(-1.601604--1.097928))+0-428.1--0.873323999999981</f>
        <v>1393.0523639999999</v>
      </c>
      <c r="G305" s="3">
        <f>1428.3+(980.4-696.1)+(-2.913732+(-2.000016--1.420044))+0-438.2--0.893927999999981</f>
        <v>1271.8002239999998</v>
      </c>
      <c r="H305" s="3">
        <f>1362+(1136.2-747.3)+(-4.16772+(-3.476772--2.286738))+0-436--1.33416000000005</f>
        <v>1310.8764060000001</v>
      </c>
      <c r="I305" s="3">
        <f>1362.2+(1166-801.3)+(0+(0-0))+0-430.7-0</f>
        <v>1296.2</v>
      </c>
      <c r="J305" s="3">
        <f>1362.4+(1268-979.4)+(1.389648+(1.29336-0.998988))+0-432.4-0.441048000000069</f>
        <v>1219.8429719999999</v>
      </c>
      <c r="K305" s="3">
        <f>1362.5+(1133.1-877.8)+(0+(0-0))+0-423.2-0</f>
        <v>1194.5999999999999</v>
      </c>
      <c r="L305" s="3">
        <f>1362.6+(1161.8-845.5)+(-0.694926+(-0.592518--0.431205))+0-420.1--0.214250999999957</f>
        <v>1258.1580119999999</v>
      </c>
      <c r="M305" s="3">
        <f>1361.7+(938.2-623.1)+(0+(0-0))+0-419.5-0</f>
        <v>1257.3000000000002</v>
      </c>
      <c r="N305" s="3">
        <f>1482.6+(656.5-366.5)+(1.512252+(0.66963-0.37383))+0-434.8-0.443496000000069</f>
        <v>1339.1645559999999</v>
      </c>
      <c r="O305" s="3">
        <f>1571.6+(593-385.8)+(1.603032+(0.60486-0.393516))+0-428.3-0.436866000000068</f>
        <v>1351.87751</v>
      </c>
      <c r="P305" s="3">
        <f>1574.7+(1033.6-674.3)+(2.409291+(1.581408-1.031679))+0-435.2-0.665856000000025</f>
        <v>1501.0931639999999</v>
      </c>
      <c r="Q305" s="3">
        <f>1573.5+(1198.2-856.6)+(0.802485+(0.611082-0.436866))+0-434.5-0.221594999999956</f>
        <v>1481.355106</v>
      </c>
      <c r="R305" s="3">
        <f>1572.2+(1209.4-867.6)+(-3.207288+(-2.467176--1.769904))+0-433.1--0.883523999999981</f>
        <v>1477.8789640000002</v>
      </c>
      <c r="S305" s="3">
        <f>1572.9+(786.4-517)+(-1.604358+(-0.802128--0.52734))+0-434.2--0.442884000000069</f>
        <v>1406.6637380000002</v>
      </c>
      <c r="T305" s="3">
        <f>1574.8+(625.8-341.8)+(0+(0-0))+0-429.8-0</f>
        <v>1429</v>
      </c>
      <c r="U305" s="3">
        <f>1608.8+(549.6-303.9)+(0+(0-0))+0-426.4-0</f>
        <v>1428.1</v>
      </c>
      <c r="V305" s="3">
        <f>1844.3+(489.9-441.9)+(-2.821779+(-0.749547--0.676107))+0-430.5--0.658665000000025</f>
        <v>1459.5634459999999</v>
      </c>
      <c r="W305" s="3">
        <f>2021.7+(374.8-547.5)+(3.093201+(0.573444-0.837675))+0-425.9-0.651627000000025</f>
        <v>1425.277343</v>
      </c>
      <c r="X305" s="3">
        <f>2192.9+(559.3-684.8)+(-2.236758+(-0.570486--0.698496))+0-429.8--0.438396000000069</f>
        <v>1635.929648</v>
      </c>
      <c r="Y305" s="3">
        <f>2028.7+(590.8-583.6)+(-4.138548+(-1.205232--1.190544))+0-423.3--0.863531999999982</f>
        <v>1609.3102960000001</v>
      </c>
      <c r="Z305" s="3">
        <f>1963.1+(521.4-473.3)+(-5.005905+(-1.32957--1.206915))+0-425.8--1.08578999999994</f>
        <v>1581.3572299999996</v>
      </c>
      <c r="AA305" s="3">
        <f>1852+(704.8-565.2)+(-2.83356+(-1.078344--0.864756))+0-426.9--0.653157000000025</f>
        <v>1562.3060089999997</v>
      </c>
      <c r="AB305" s="3">
        <f>1846.5+(852.2-702.7)+(-0.941715+(-0.434622--0.358377))+0-432.2--0.220421999999956</f>
        <v>1563.0024619999999</v>
      </c>
      <c r="AC305" s="3">
        <f>1759.9+(881.7-709.7)+(-1.795098+(-0.899334--0.723894))+0-414--0.422280000000066</f>
        <v>1516.3517420000001</v>
      </c>
      <c r="AD305">
        <v>1599.1</v>
      </c>
      <c r="AE305" s="3">
        <f>2193+(551.5-702)+(0+(0-0))+0-443.4-0</f>
        <v>1599.1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1549.5+(648-433.4)+(-1.58049+(-0.66096--0.442068))+0-421--0.429420000000067</f>
        <v>1341.7300380000001</v>
      </c>
      <c r="G306" s="3">
        <f>1548.3+(441.4-335.3)+(0+(0-0))+0-412.5-0</f>
        <v>1241.8999999999999</v>
      </c>
      <c r="H306" s="3">
        <f>1547.9+(637.3-495.7)+(0.789429+(0.325023-0.252807))+0-432.7-0.220676999999956</f>
        <v>1257.4409679999999</v>
      </c>
      <c r="I306" s="3">
        <f>1543.3+(809.1-729.8)+(1.574166+(0.825282-0.744396))+0-430.5-0.439110000000069</f>
        <v>1193.3159419999999</v>
      </c>
      <c r="J306" s="3">
        <f>1540.6+(821.6-699.6)+(0+(0-0))+0-426-0</f>
        <v>1236.5999999999999</v>
      </c>
      <c r="K306" s="3">
        <f>1539.8+(851.8-768.4)+(0+(0-0))+0-428.1-0</f>
        <v>1195.0999999999999</v>
      </c>
      <c r="L306" s="3">
        <f>1541.1+(1023.3-970.7)+(0+(0-0))+0-412.7-0</f>
        <v>1180.9999999999998</v>
      </c>
      <c r="M306" s="3">
        <f>1539.8+(1083.4-1051.1)+(-2.355894+(-1.657602--1.608183))+0-420.9--0.643977000000024</f>
        <v>1149.438664</v>
      </c>
      <c r="N306" s="3">
        <f>1448.2+(877.9-751.5)+(1.477164+(0.895458-0.76653))+0-421-0.429420000000067</f>
        <v>1154.7766719999997</v>
      </c>
      <c r="O306" s="3">
        <f>1545.9+(476.9-380)+(-0.788409+(-0.243219--0.1938))+0-435.5--0.222104999999956</f>
        <v>1206.6842770000003</v>
      </c>
      <c r="P306" s="3">
        <f>1574.9+(511.5-339.2)+(-0.803199+(-0.260865--0.172992))+0-427.5--0.218024999999957</f>
        <v>1319.026953</v>
      </c>
      <c r="Q306" s="3">
        <f>1571.2+(575.4-391.3)+(-0.801312+(-0.293454--0.199563))+0-425.7--0.217106999999957</f>
        <v>1328.9219039999998</v>
      </c>
      <c r="R306" s="3">
        <f>1621.5+(499-389.3)+(-2.480895+(-0.76347--0.595629))+0-429--0.656370000000025</f>
        <v>1300.2076339999999</v>
      </c>
      <c r="S306" s="3">
        <f>1607.8+(457.3-381.5)+(-3.279912+(-0.932892--0.77826))+0-413.9--0.844355999999982</f>
        <v>1267.1098120000001</v>
      </c>
      <c r="T306" s="3">
        <f>1618.9+(462.1-391.5)+(-2.476917+(-0.707013--0.598995))+0-413.8--0.633114000000024</f>
        <v>1273.7481789999999</v>
      </c>
      <c r="U306" s="3">
        <f>1621.3+(442.7-389.8)+(0+(0-0))+0-427.8-0</f>
        <v>1246.3999999999999</v>
      </c>
      <c r="V306" s="3">
        <f>1859.7+(387.1-512.4)+(0+(0-0))+0-427.1-0</f>
        <v>1307.3000000000002</v>
      </c>
      <c r="W306" s="3">
        <f>1970.8+(673.4-805.4)+(-1.005108+(-0.343434--0.410754))+0-434.9--0.221798999999956</f>
        <v>1403.1840109999998</v>
      </c>
      <c r="X306" s="3">
        <f>1972.9+(1054.6-1080.7)+(0+(0-0))+0-430.3-0</f>
        <v>1516.5</v>
      </c>
      <c r="Y306" s="3">
        <f>1972+(1283.4-1333.9)+(-4.02288+(-2.618136--2.721156))+0-429.1--0.875363999999981</f>
        <v>1489.3555040000001</v>
      </c>
      <c r="Z306" s="3">
        <f>1972+(1062.6-1135.2)+(-2.01144+(-1.083852--1.157904))+0-429.2--0.437784000000068</f>
        <v>1468.7003959999997</v>
      </c>
      <c r="AA306" s="3">
        <f>1971.7+(859-937.8)+(-1.005567+(-0.43809--0.478278))+0-429--0.218789999999956</f>
        <v>1463.153411</v>
      </c>
      <c r="AB306" s="3">
        <f>1808+(899.5-855.2)+(-4.6104+(-2.293725--2.18076))+0-425.9--1.08604499999994</f>
        <v>1422.7626799999998</v>
      </c>
      <c r="AC306" s="3">
        <f>1595.7+(723-481.3)+(-3.255228+(-1.47492--0.981852))+0-429.4--0.875975999999981</f>
        <v>1405.1276800000003</v>
      </c>
      <c r="AD306">
        <v>1503.0000000000002</v>
      </c>
      <c r="AE306" s="3">
        <f>1976+(1116.3-1167.5)+(0+(0-0))+0-421.8-0</f>
        <v>1503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1565.6+(592-378.8)+(-1.596912+(-0.60384--0.386376))+0-427.8--0.436356000000068</f>
        <v>1349.6219800000001</v>
      </c>
      <c r="G307" s="3">
        <f>1547.4+(599.6-490.7)+(-0.789174+(-0.305796--0.250257))+0-424.7--0.216596999999957</f>
        <v>1230.971884</v>
      </c>
      <c r="H307" s="3">
        <f>1545.1+(530.1-463.9)+(-3.152004+(-1.081404--0.946356))+0-429.7--0.876587999999981</f>
        <v>1179.1895360000001</v>
      </c>
      <c r="I307" s="3">
        <f>1546.5+(568.7-514.6)+(0.788715+(0.290037-0.262446))+0-423-0.215729999999957</f>
        <v>1178.200576</v>
      </c>
      <c r="J307" s="3">
        <f>1546.6+(474.8-457.7)+(1.577532+(0.484296-0.466854))+0-426.6-0.435132000000068</f>
        <v>1138.2598419999999</v>
      </c>
      <c r="K307" s="3">
        <f>1546.3+(442.5-426.2)+(1.577226+(0.45135-0.434724))+0-426.1-0.434622000000068</f>
        <v>1137.65923</v>
      </c>
      <c r="L307" s="3">
        <f>1546.6+(553-474.2)+(1.577532+(0.56406-0.483684))+0-397.7-0.405654000000063</f>
        <v>1228.9522539999996</v>
      </c>
      <c r="M307" s="3">
        <f>1546.4+(518.2-429.5)+(-1.577328+(-0.528564--0.43809))+0-386.5--0.394230000000062</f>
        <v>1247.3264280000003</v>
      </c>
      <c r="N307" s="3">
        <f>1615+(344.8-347)+(3.2946+(0.703392-0.70788))+0-415.4-0.847415999999982</f>
        <v>1199.8426959999997</v>
      </c>
      <c r="O307" s="3">
        <f>1574.4+(984.1-731.1)+(1.605888+(1.003782-0.745722))+0-418.3-0.426666000000067</f>
        <v>1410.537282</v>
      </c>
      <c r="P307" s="3">
        <f>1511.8+(1495.8-1186.8)+(-2.313054+(-2.288574--1.815804))+0-398.4--0.609552000000023</f>
        <v>1420.2237280000002</v>
      </c>
      <c r="Q307" s="3">
        <f>1507.4+(1562.4-1222.6)+(-1.537548+(-1.593648--1.247052))+0-420--0.428400000000067</f>
        <v>1425.7442560000002</v>
      </c>
      <c r="R307" s="3">
        <f>1507.9+(1443.6-1187.2)+(-2.307087+(-2.208708--1.816416))+0-420.9--0.643977000000024</f>
        <v>1341.3445979999999</v>
      </c>
      <c r="S307" s="3">
        <f>1507.8+(1191-942.8)+(0.768978+(0.60741-0.480828))+0-424.7-0.216596999999957</f>
        <v>1331.978963</v>
      </c>
      <c r="T307" s="3">
        <f>1508.4+(1100.7-836.1)+(-2.307852+(-1.684071--1.279233))+0-432.6--0.661878000000025</f>
        <v>1338.3491879999999</v>
      </c>
      <c r="U307" s="3">
        <f>1508.1+(1075.5-845.9)+(-0.769131+(-0.548505--0.431409))+0-402.1--0.205070999999959</f>
        <v>1334.9188439999998</v>
      </c>
      <c r="V307" s="3">
        <f>1643.2+(653.6-501.2)+(-1.676064+(-0.666672--0.511224))+0-386.4--0.394128000000062</f>
        <v>1407.7626160000002</v>
      </c>
      <c r="W307" s="3">
        <f>1969.8+(643.4-734.5)+(3.013794+(0.984402-1.123785))+0-391.5-0.598995000000023</f>
        <v>1489.4754159999998</v>
      </c>
      <c r="X307" s="3">
        <f>1973.7+(989.9-955.9)+(0+(0-0))+0-422.3-0</f>
        <v>1585.4</v>
      </c>
      <c r="Y307" s="3">
        <f>1972.2+(923-915.5)+(-3.017466+(-1.41219--1.400715))+0-424.6--0.649638000000025</f>
        <v>1552.720697</v>
      </c>
      <c r="Z307" s="3">
        <f>1854.1+(793.8-773.6)+(-2.836773+(-1.214514--1.183608))+0-365.4--0.559062000000021</f>
        <v>1506.5913829999997</v>
      </c>
      <c r="AA307" s="3">
        <f>1724+(684.9-450.5)+(-4.3962+(-1.746495--1.148775))+0-438--1.11689999999994</f>
        <v>1516.5229800000002</v>
      </c>
      <c r="AB307" s="3">
        <f>1672.8+(512.4-314.6)+(-4.26564+(-1.30662--0.80223))+0-435--1.10924999999994</f>
        <v>1431.93922</v>
      </c>
      <c r="AC307" s="3">
        <f>1571.1+(799.5-613.7)+(-0.801261+(-0.407745--0.312987))+0-437.9--0.223328999999956</f>
        <v>1318.3273099999997</v>
      </c>
      <c r="AD307">
        <v>1585.9</v>
      </c>
      <c r="AE307" s="3">
        <f>1972+(1014.5-1018.5)+(0+(0-0))+0-382.1-0</f>
        <v>1585.9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1558.5+(653.3-488.3)+(0+(0-0))+0-426.9-0</f>
        <v>1296.5999999999999</v>
      </c>
      <c r="G308" s="3">
        <f>1486.4+(601.7-446.3)+(-0.758064+(-0.306867--0.227613))+0-433.1--0.220880999999956</f>
        <v>1208.0835629999999</v>
      </c>
      <c r="H308" s="3">
        <f>1366.7+(604.4-349.9)+(0+(0-0))+0-427.4-0</f>
        <v>1193.8000000000002</v>
      </c>
      <c r="I308" s="3">
        <f>1367.1+(646.8-355.4)+(0+(0-0))+0-430-0</f>
        <v>1228.5</v>
      </c>
      <c r="J308" s="3">
        <f>1367.7+(510.7-345.7)+(1.395054+(0.520914-0.352614))+0-433.6-0.442272000000069</f>
        <v>1100.2210819999998</v>
      </c>
      <c r="K308" s="3">
        <f>1397.2+(519.4-404.9)+(0.712572+(0.264894-0.206499))+0-428.1-0.218330999999957</f>
        <v>1084.1526359999998</v>
      </c>
      <c r="L308" s="3">
        <f>1391.3+(570-392.2)+(0+(0-0))+0-418.8-0</f>
        <v>1150.3</v>
      </c>
      <c r="M308" s="3">
        <f>1393.2+(498.4-389.4)+(-1.421064+(-0.508368--0.397188))+0-428.4--0.436968000000068</f>
        <v>1072.7047240000002</v>
      </c>
      <c r="N308" s="3">
        <f>1398.1+(499-385.9)+(1.426062+(0.50898-0.393618))+0-429.9-0.438498000000069</f>
        <v>1082.4029259999998</v>
      </c>
      <c r="O308" s="3">
        <f>1440+(467.8-372.8)+(-2.2032+(-0.715734--0.570384))+0-432.2--0.661266000000025</f>
        <v>1101.1127160000001</v>
      </c>
      <c r="P308" s="3">
        <f>1592.9+(397.5-391.7)+(-2.437137+(-0.608175--0.599301))+0-432.9--0.662337000000025</f>
        <v>1164.0163260000002</v>
      </c>
      <c r="Q308" s="3">
        <f>1670.7+(312.2-378)+(-4.260285+(-0.79611--0.9639))+0-435.8--1.11128999999994</f>
        <v>1166.1187949999999</v>
      </c>
      <c r="R308" s="3">
        <f>1630.9+(370.7-415)+(-1.663518+(-0.378114--0.4233))+0-435.8--0.44451600000007</f>
        <v>1149.6261840000002</v>
      </c>
      <c r="S308" s="3">
        <f>1621.7+(337.8-405.6)+(-0.827067+(-0.172278--0.206856))+0-421--0.214709999999957</f>
        <v>1132.3222210000001</v>
      </c>
      <c r="T308" s="3">
        <f>1620.5+(359.1-391.6)+(-0.826455+(-0.183141--0.199716))+0-426.9--0.217718999999957</f>
        <v>1160.5078390000001</v>
      </c>
      <c r="U308" s="3">
        <f>1621+(366.9-409.8)+(-3.30684+(-0.748476--0.835992))+0-432.3--0.881891999999981</f>
        <v>1143.4625679999999</v>
      </c>
      <c r="V308" s="3">
        <f>1630.7+(388.1-398.8)+(-0.831657+(-0.197931--0.203388))+0-431.9--0.220268999999956</f>
        <v>1187.4940689999999</v>
      </c>
      <c r="W308" s="3">
        <f>1778.6+(397.8-382)+(0+(0-0))+0-431.3-0</f>
        <v>1363.1</v>
      </c>
      <c r="X308" s="3">
        <f>1852.2+(408.4-381)+(0.944622+(0.208284-0.19431))+0-433.6-0.221135999999956</f>
        <v>1446.7374600000001</v>
      </c>
      <c r="Y308" s="3">
        <f>1850.1+(545.8-537.5)+(-1.887102+(-0.556716--0.54825))+0-427.3--0.435846000000068</f>
        <v>1429.6402780000001</v>
      </c>
      <c r="Z308" s="3">
        <f>1851.1+(635.6-564.3)+(-1.888122+(-0.648312--0.575586))+0-439.9--0.44869800000007</f>
        <v>1480.9878500000004</v>
      </c>
      <c r="AA308" s="3">
        <f>1720.8+(706.9-542.9)+(-2.632824+(-1.081557--0.830637))+0-428.5--0.655605000000025</f>
        <v>1454.0718609999999</v>
      </c>
      <c r="AB308" s="3">
        <f>1675.6+(580.1-408.6)+(-2.563668+(-0.887553--0.625158))+0-411.2--0.629136000000024</f>
        <v>1433.7030729999999</v>
      </c>
      <c r="AC308" s="3">
        <f>1590+(481.6-323.9)+(-4.0545+(-1.22808--0.825945))+0-398.9--1.01719499999994</f>
        <v>1345.3605600000001</v>
      </c>
      <c r="AD308">
        <v>1423.7999999999997</v>
      </c>
      <c r="AE308" s="3">
        <f>1844+(542.7-522.7)+(0+(0-0))+0-439.8-0</f>
        <v>1424.2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1553+(762.7-623.1)+(-3.96015+(-1.944885--1.588905))+0-399.7--1.01923499999994</f>
        <v>1289.6031049999999</v>
      </c>
      <c r="G309" s="3">
        <f>1544.6+(568.1-552.8)+(-3.150984+(-1.158924--1.127712))+0-400.2--0.816407999999982</f>
        <v>1157.334212</v>
      </c>
      <c r="H309" s="3">
        <f>1544.7+(406.2-608)+(0.787797+(0.207162-0.31008))+0-214.3-0.109292999999978</f>
        <v>1129.1755860000001</v>
      </c>
      <c r="I309" s="3">
        <f>1544.3+(516.9-558)+(1.575186+(0.527238-0.56916))+0-363.3-0.370566000000058</f>
        <v>1141.0626979999997</v>
      </c>
      <c r="J309" s="3">
        <f>1544.7+(558.7-582)+(0.787797+(0.284937-0.29682))+0-400.3-0.204152999999959</f>
        <v>1121.6717610000003</v>
      </c>
      <c r="K309" s="3">
        <f>1545.1+(628.4-625.6)+(0.788001+(0.320484-0.319056))+0-404.1-0.206090999999959</f>
        <v>1144.3833379999996</v>
      </c>
      <c r="L309" s="3">
        <f>1546.9+(1064.2-992.6)+(0.788919+(0.542742-0.506226))+0-402.2-0.205121999999959</f>
        <v>1216.9203130000001</v>
      </c>
      <c r="M309" s="3">
        <f>1544.9+(961.7-911.4)+(0.787899+(0.490467-0.464814))+0-371.8-0.189617999999962</f>
        <v>1224.0239340000005</v>
      </c>
      <c r="N309" s="3">
        <f>1430.7+(374.7-214.9)+(-0.729657+(-0.191097--0.109599))+0-380.4--0.194003999999961</f>
        <v>1209.482849</v>
      </c>
      <c r="O309" s="3">
        <f>1470.8+(904.7-632.8)+(2.250324+(1.384191-0.968184))+0-385.7-0.590121000000022</f>
        <v>1359.0762099999999</v>
      </c>
      <c r="P309" s="3">
        <f>1556.9+(1505.4-1300.1)+(1.588038+(1.535508-1.326102))+0-387.4-0.395148000000062</f>
        <v>1376.2022960000004</v>
      </c>
      <c r="Q309" s="3">
        <f>1554.8+(1707-1493.9)+(1.585896+(1.74114-1.523778))+0-399.1-0.407082000000064</f>
        <v>1370.1961759999995</v>
      </c>
      <c r="R309" s="3">
        <f>1555.3+(1482-1220.7)+(-2.379609+(-2.26746--1.867671))+0-402.1--0.615213000000023</f>
        <v>1412.3358149999999</v>
      </c>
      <c r="S309" s="3">
        <f>1554.7+(1087.5-875.5)+(-3.171588+(-2.2185--1.78602))+0-400.2--0.816407999999982</f>
        <v>1363.7123399999998</v>
      </c>
      <c r="T309" s="3">
        <f>1555.5+(954.6-747.6)+(-0.793305+(-0.486846--0.381276))+0-389.3--0.198542999999961</f>
        <v>1372.4996679999999</v>
      </c>
      <c r="U309" s="3">
        <f>1556.1+(879.3-674.6)+(-2.380833+(-1.345329--1.032138))+0-381.6--0.583848000000022</f>
        <v>1377.0898239999999</v>
      </c>
      <c r="V309" s="3">
        <f>1664.7+(732.1-617.7)+(-1.697994+(-0.746742--0.630054))+0-381.1--0.388722000000061</f>
        <v>1396.57404</v>
      </c>
      <c r="W309" s="3">
        <f>1965.8+(743.5-877)+(0+(0-0))+0-382.7-0</f>
        <v>1449.6</v>
      </c>
      <c r="X309" s="3">
        <f>1971.8+(1203.9-1166.3)+(-4.022472+(-2.455956--2.379252))+0-386.9--0.789275999999983</f>
        <v>1619.1901000000003</v>
      </c>
      <c r="Y309" s="3">
        <f>1969.6+(1025.5-987.8)+(-5.02248+(-2.615025--2.51889))+0-392.4--1.00061999999994</f>
        <v>1610.7820049999998</v>
      </c>
      <c r="Z309" s="3">
        <f>1968.8+(711.6-773.2)+(-2.008176+(-0.725832--0.788664))+0-350.9--0.357918000000056</f>
        <v>1554.7125740000001</v>
      </c>
      <c r="AA309" s="3">
        <f>1871.8+(547.2-428.4)+(-0.954618+(-0.279072--0.218484))+0-382.4--0.195023999999961</f>
        <v>1607.3798179999997</v>
      </c>
      <c r="AB309" s="3">
        <f>1763.3+(457.8-362.8)+(-4.496415+(-1.16739--0.92514))+0-400.4--1.02101999999994</f>
        <v>1454.1823549999997</v>
      </c>
      <c r="AC309" s="3">
        <f>1569.1+(474.5-237)+(-1.600482+(-0.48399--0.24174))+0-411--0.419220000000066</f>
        <v>1394.1764879999998</v>
      </c>
      <c r="AD309">
        <v>1592.8999999999999</v>
      </c>
      <c r="AE309" s="3">
        <f>1968+(1162.2-1149.1)+(0+(0-0))+0-388.2-0</f>
        <v>1592.9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1542.6+(656.1-423)+(-3.93363+(-1.673055--1.07865))+0-430.3--1.09726499999994</f>
        <v>1341.9692299999997</v>
      </c>
      <c r="G310" s="3">
        <f>1541.4+(611.5-448)+(-1.572228+(-0.62373--0.45696))+0-438.8--0.44757600000007</f>
        <v>1264.8085780000001</v>
      </c>
      <c r="H310" s="3">
        <f>1541.9+(682-557.6)+(-3.931845+(-1.7391--1.42188))+0-436.5--1.11307499999994</f>
        <v>1226.6640100000002</v>
      </c>
      <c r="I310" s="3">
        <f>1541.4+(656.6-578.2)+(0+(0-0))+0-437.3-0</f>
        <v>1182.5000000000002</v>
      </c>
      <c r="J310" s="3">
        <f>1541.7+(718.8-635.3)+(0.786267+(0.366588-0.324003))+0-433.9-0.221288999999956</f>
        <v>1191.9075630000004</v>
      </c>
      <c r="K310" s="3">
        <f>1541.7+(757.6-665.1)+(-0.786267+(-0.386376--0.339201))+0-428--0.218279999999957</f>
        <v>1205.584838</v>
      </c>
      <c r="L310" s="3">
        <f>1541.4+(839.5-767.9)+(-2.358342+(-1.284435--1.174887))+0-432.1--0.661113000000025</f>
        <v>1179.0932230000003</v>
      </c>
      <c r="M310" s="3">
        <f>1541+(853.4-794.2)+(-1.57182+(-0.870468--0.810084))+0-415.6--0.423912000000066</f>
        <v>1183.3917079999999</v>
      </c>
      <c r="N310" s="3">
        <f>1522.7+(784.8-687.8)+(-0.776577+(-0.400248--0.350778))+0-420--0.214199999999957</f>
        <v>1199.0881529999999</v>
      </c>
      <c r="O310" s="3">
        <f>1420.1+(429.3-285.3)+(-0.724251+(-0.218943--0.145503))+0-434.7--0.221696999999956</f>
        <v>1128.8240059999998</v>
      </c>
      <c r="P310" s="3">
        <f>1557.6+(454.8-294.6)+(0+(0-0))+0-433-0</f>
        <v>1284.8</v>
      </c>
      <c r="Q310" s="3">
        <f>1557.3+(600.5-487.1)+(-0.794223+(-0.306255--0.248421))+0-428--0.218279999999957</f>
        <v>1242.0662229999998</v>
      </c>
      <c r="R310" s="3">
        <f>1556.6+(625.5-410.6)+(-1.587732+(-0.63801--0.418812))+0-422.5--0.430950000000067</f>
        <v>1347.6240200000002</v>
      </c>
      <c r="S310" s="3">
        <f>1556.5+(574.3-385.2)+(-3.17526+(-1.171572--0.785808))+0-424.1--0.865163999999982</f>
        <v>1318.80414</v>
      </c>
      <c r="T310" s="3">
        <f>1557.2+(470.4-293.3)+(-1.588344+(-0.479808--0.299166))+0-429.5--0.438090000000068</f>
        <v>1303.469104</v>
      </c>
      <c r="U310" s="3">
        <f>1558.7+(486.2-282)+(0.794937+(0.247962-0.14382))+0-433.7-0.221186999999956</f>
        <v>1329.8778920000002</v>
      </c>
      <c r="V310" s="3">
        <f>1576.1+(495.5-309.8)+(0+(0-0))+0-439.1-0</f>
        <v>1322.6999999999998</v>
      </c>
      <c r="W310" s="3">
        <f>1987.2+(413.5-538)+(5.06736+(1.054425-1.3719))+0-432.7-1.10338499999994</f>
        <v>1433.6465000000001</v>
      </c>
      <c r="X310" s="3">
        <f>2189.4+(495.5-698.1)+(-3.349782+(-0.758115--1.068093))+0-429.6--0.657288000000025</f>
        <v>1554.8174840000004</v>
      </c>
      <c r="Y310" s="3">
        <f>2180.9+(542.5-721.5)+(-4.449036+(-1.1067--1.47186))+0-425--0.866999999999981</f>
        <v>1573.6831240000001</v>
      </c>
      <c r="Z310" s="3">
        <f>2147.5+(419.5-564.1)+(-1.095225+(-0.213945--0.287691))+0-421.6--0.215015999999957</f>
        <v>1580.4935370000001</v>
      </c>
      <c r="AA310" s="3">
        <f>2067.4+(437-488.5)+(1.054374+(0.22287-0.249135))+0-433.4-0.221033999999956</f>
        <v>1583.3070750000004</v>
      </c>
      <c r="AB310" s="3">
        <f>2023.4+(406.1-495.4)+(-2.063868+(-0.414222--0.505308))+0-432.7--0.441354000000069</f>
        <v>1499.8685720000001</v>
      </c>
      <c r="AC310" s="3">
        <f>1984.5+(778.6-801.7)+(-4.04838+(-1.588344--1.635468))+0-432.9--0.883115999999981</f>
        <v>1525.38186</v>
      </c>
      <c r="AD310">
        <v>1556.3999999999999</v>
      </c>
      <c r="AE310" s="3">
        <f>2190+(469.2-685)+(0+(0-0))+0-417.4-0</f>
        <v>1556.8000000000002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1617.6+(900.5-761.4)+(0+(0-0))+0-432-0</f>
        <v>1324.6999999999998</v>
      </c>
      <c r="G311" s="3">
        <f>1548.4+(645.4-534.5)+(-1.579368+(-0.658308--0.54519))+0-437.5--0.44625000000007</f>
        <v>1220.5537640000002</v>
      </c>
      <c r="H311" s="3">
        <f>1548.8+(468.6-359.7)+(-0.789888+(-0.238986--0.183447))+0-437.7--0.223226999999956</f>
        <v>1219.3778</v>
      </c>
      <c r="I311" s="3">
        <f>1548.6+(568.5-476.4)+(0.789786+(0.289935-0.242964))+0-436-0.222359999999956</f>
        <v>1205.3143969999999</v>
      </c>
      <c r="J311" s="3">
        <f>1547.6+(530.8-457.5)+(0.789276+(0.270708-0.233325))+0-432.6-0.220625999999956</f>
        <v>1188.906033</v>
      </c>
      <c r="K311" s="3">
        <f>1548.5+(623.1-496.2)+(1.57947+(0.635562-0.506124))+0-440.6-0.44941200000007</f>
        <v>1236.0594960000001</v>
      </c>
      <c r="L311" s="3">
        <f>1547.7+(875.7-766.3)+(0.789327+(0.446607-0.390813))+0-424.3-0.216392999999957</f>
        <v>1233.4287280000003</v>
      </c>
      <c r="M311" s="3">
        <f>1548.7+(856.5-762.9)+(0+(0-0))+0-431.8-0</f>
        <v>1210.5000000000002</v>
      </c>
      <c r="N311" s="3">
        <f>1606.7+(341-318.9)+(1.638834+(0.34782-0.325278))+0-436.9-0.44563800000007</f>
        <v>1193.115738</v>
      </c>
      <c r="O311" s="3">
        <f>1683.2+(772.7-664.9)+(1.716864+(0.788154-0.678198))+0-436.2-0.44492400000007</f>
        <v>1356.1818959999998</v>
      </c>
      <c r="P311" s="3">
        <f>1728.3+(1086-880.5)+(0+(0-0))+0-435.7-0</f>
        <v>1498.1</v>
      </c>
      <c r="Q311" s="3">
        <f>1742.5+(1194.8-1011.4)+(0.888675+(0.609348-0.515814))+0-437.8-0.223277999999956</f>
        <v>1488.8589310000002</v>
      </c>
      <c r="R311" s="3">
        <f>1746.7+(1221.4-1061.3)+(-2.672451+(-1.868742--1.623789))+0-435.9--0.666927000000025</f>
        <v>1468.6495230000003</v>
      </c>
      <c r="S311" s="3">
        <f>1746.3+(944.8-727.5)+(0+(0-0))+0-438.3-0</f>
        <v>1525.3</v>
      </c>
      <c r="T311" s="3">
        <f>1746.2+(942.1-560.1)+(1.781124+(0.960942-0.571302))+0-416.5-0.424830000000066</f>
        <v>1713.4459339999996</v>
      </c>
      <c r="U311" s="3">
        <f>1752.9+(573.9-372.6)+(-0.893979+(-0.292689--0.190026))+0-436.4--0.222563999999956</f>
        <v>1517.025922</v>
      </c>
      <c r="V311" s="3">
        <f>1887.4+(428.5-384.4)+(0+(0-0))+0-435.8-0</f>
        <v>1495.7</v>
      </c>
      <c r="W311" s="3">
        <f>1926.4+(735.9-762.9)+(0.982464+(0.375309-0.389079))+0-430.4-0.219503999999956</f>
        <v>1469.7491900000002</v>
      </c>
      <c r="X311" s="3">
        <f>2064+(926.2-783.5)+(-2.10528+(-0.944724--0.79917))+0-438--0.44676000000007</f>
        <v>1766.8959259999999</v>
      </c>
      <c r="Y311" s="3">
        <f>2045.5+(610.3-450.2)+(-2.08641+(-0.622506--0.459204))+0-439.3--0.44808600000007</f>
        <v>1764.4983740000002</v>
      </c>
      <c r="Z311" s="3">
        <f>1961+(536.4-419.5)+(-2.00022+(-0.547128--0.42789))+0-431.4--0.440028000000069</f>
        <v>1644.8205699999999</v>
      </c>
      <c r="AA311" s="3">
        <f>1777.1+(923.3-595.3)+(-1.812642+(-0.941766--0.607206))+0-433.9--0.442578000000069</f>
        <v>1669.4953759999999</v>
      </c>
      <c r="AB311" s="3">
        <f>1598.9+(959-639)+(-0.815439+(-0.48909--0.32589))+0-431.8--0.220217999999956</f>
        <v>1486.3415790000001</v>
      </c>
      <c r="AC311" s="3">
        <f>1581.3+(1096.4-866)+(-3.225852+(-2.236656--1.76664))+0-365--0.744599999999984</f>
        <v>1443.748732</v>
      </c>
      <c r="AD311">
        <v>1784.7999999999997</v>
      </c>
      <c r="AE311" s="3">
        <f>2066+(847.6-677.2)+(0+(0-0))+0-447.6-0</f>
        <v>1788.8000000000002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1581+(1287-1061.1)+(0+(0-0))+0-412.9-0</f>
        <v>1394</v>
      </c>
      <c r="G312" s="3">
        <f>1573.3+(1048.5-917.1)+(-0.802383+(-0.534735--0.467721))+0-429.8--0.219197999999956</f>
        <v>1274.2498009999999</v>
      </c>
      <c r="H312" s="3">
        <f>1544.5+(1171.9-1001)+(0+(0-0))+0-441.4-0</f>
        <v>1274</v>
      </c>
      <c r="I312" s="3">
        <f>1545.8+(1129.6-1020.5)+(2.365074+(1.728288-1.561365))+0-444-0.679320000000026</f>
        <v>1212.7526769999999</v>
      </c>
      <c r="J312" s="3">
        <f>1545.4+(1020.9-958.7)+(0+(0-0))+0-517.8-0</f>
        <v>1089.8</v>
      </c>
      <c r="K312" s="3">
        <f>1545.7+(979.5-891)+(4.729842+(2.99727-2.72646))+0-452.7-1.38526200000005</f>
        <v>1185.1153899999999</v>
      </c>
      <c r="L312" s="3">
        <f>1545.3+(1223.8-1088.9)+(0.788103+(0.624138-0.555339))+0-451.5-0.230264999999954</f>
        <v>1229.3266369999999</v>
      </c>
      <c r="M312" s="3">
        <f>1545.5+(1386.8-1244.9)+(1.57641+(1.414536-1.269798))+0-426.6-0.435132000000068</f>
        <v>1262.0860159999997</v>
      </c>
      <c r="N312" s="3">
        <f>1614.8+(1077.9-970.2)+(3.294192+(2.198916-1.979208))+0-432.5-0.882299999999981</f>
        <v>1292.6315999999999</v>
      </c>
      <c r="O312" s="3">
        <f>1705.1+(623.7-507.5)+(3.478404+(1.272348-1.0353))+0-436.4-0.890255999999981</f>
        <v>1387.7251960000001</v>
      </c>
      <c r="P312" s="3">
        <f>1811.1+(368.8-314.8)+(0.923661+(0.188088-0.160548))+0-435.5-0.222104999999956</f>
        <v>1430.3290959999999</v>
      </c>
      <c r="Q312" s="3">
        <f>1723.8+(398.3-319.8)+(0+(0-0))+0-368.3-0</f>
        <v>1434</v>
      </c>
      <c r="R312" s="3">
        <f>1697.9+(482.4-402.8)+(-4.329645+(-1.23012--1.02714))+0-328.3--0.837164999999952</f>
        <v>1445.5045399999999</v>
      </c>
      <c r="S312" s="3">
        <f>1698.3+(702.5-531.7)+(-1.732266+(-0.71655--0.542334))+0-431.3--0.439926000000069</f>
        <v>1436.3334439999999</v>
      </c>
      <c r="T312" s="3">
        <f>1700.4+(819.1-726.9)+(1.734408+(0.835482-0.741438))+0-435.6-0.444312000000069</f>
        <v>1358.3841400000001</v>
      </c>
      <c r="U312" s="3">
        <f>1699.6+(986.8-871)+(0+(0-0))+0-434.1-0</f>
        <v>1381.2999999999997</v>
      </c>
      <c r="V312" s="3">
        <f>1756+(996.5-981.2)+(1.79112+(1.01643-1.000824))+0-429.3-0.437886000000068</f>
        <v>1343.3688399999999</v>
      </c>
      <c r="W312" s="3">
        <f>1962.5+(400.2-545.9)+(3.002625+(0.612306-0.835227))+0-438.2-0.670446000000025</f>
        <v>1380.7092579999999</v>
      </c>
      <c r="X312" s="3">
        <f>1973.9+(562.3-528.6)+(-1.006689+(-0.286773--0.269586))+0-428--0.218279999999957</f>
        <v>1578.794404</v>
      </c>
      <c r="Y312" s="3">
        <f>1974.1+(481.3-431.2)+(-2.013582+(-0.490926--0.439824))+0-433.5--0.442170000000069</f>
        <v>1589.0774859999999</v>
      </c>
      <c r="Z312" s="3">
        <f>1974+(526-456.6)+(-2.01348+(-0.53652--0.465732))+0-436.4--0.44512800000007</f>
        <v>1605.36086</v>
      </c>
      <c r="AA312" s="3">
        <f>1975.3+(880.1-781.6)+(-1.007403+(-0.448851--0.398616))+0-427--0.217769999999957</f>
        <v>1645.9601319999999</v>
      </c>
      <c r="AB312" s="3">
        <f>1961.5+(919.5-1143.9)+(-8.00292+(-3.75156--4.667112))+0-245.8--1.00286399999998</f>
        <v>1485.215496</v>
      </c>
      <c r="AC312" s="3">
        <f>1707.8+(1039.6-1070.9)+(-2.612934+(-1.590588--1.638477))+0-257.8--0.394434000000015</f>
        <v>1416.5293889999998</v>
      </c>
      <c r="AD312">
        <v>1579.8</v>
      </c>
      <c r="AE312" s="3">
        <f>1969+(582.2-561.6)+(0+(0-0))+0-405-0</f>
        <v>1584.6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1519.8+(1307.5-1166.1)+(0.775098+(0.666825-0.594711))+0-300.1-0.15305099999997</f>
        <v>1361.794161</v>
      </c>
      <c r="G313" s="3">
        <f>1413.8+(1738.6-1524.2)+(-0.721038+(-0.886686--0.777342))+0-377.4--0.192473999999962</f>
        <v>1250.1620919999996</v>
      </c>
      <c r="H313" s="3">
        <f>1414.6+(1627.5-1507.6)+(0+(0-0))+0-310.9-0</f>
        <v>1223.5999999999999</v>
      </c>
      <c r="I313" s="3">
        <f>1416.8+(1661.6-1475)+(1.445136+(1.694832-1.5045))+0-401.2-0.409224000000064</f>
        <v>1203.4262439999998</v>
      </c>
      <c r="J313" s="3">
        <f>1417.2+(1549.2-1361.5)+(-2.891088+(-3.160368--2.77746))+0-412.7--0.841907999999982</f>
        <v>1189.767912</v>
      </c>
      <c r="K313" s="3">
        <f>1416+(1569.3-1391.4)+(-2.16648+(-2.401029--2.128842))+0-411.3--0.629289000000024</f>
        <v>1180.790622</v>
      </c>
      <c r="L313" s="3">
        <f>1415.7+(1491-1321.1)+(-5.776056+(-6.08328--5.390088))+0-411.2--1.67769599999996</f>
        <v>1169.608448</v>
      </c>
      <c r="M313" s="3">
        <f>1415+(1484.1-1492.7)+(-0.72165+(-0.756891--0.761277))+0-261.8--0.133517999999973</f>
        <v>1144.0162539999999</v>
      </c>
      <c r="N313" s="3">
        <f>1415.8+(1576.6-1452.8)+(0+(0-0))+0-328.1-0</f>
        <v>1211.5</v>
      </c>
      <c r="O313" s="3">
        <f>1513.3+(1667.3-1606)+(-1.543566+(-1.700646--1.63812))+0-303.5--0.309570000000048</f>
        <v>1269.803478</v>
      </c>
      <c r="P313" s="3">
        <f>1552.5+(1080.6-1056.5)+(0+(0-0))+0-387.9-0</f>
        <v>1188.6999999999998</v>
      </c>
      <c r="Q313" s="3">
        <f>1513.4+(755-724.1)+(-1.543668+(-0.7701--0.738582))+0-291.5--0.297330000000047</f>
        <v>1251.5221440000003</v>
      </c>
      <c r="R313" s="3">
        <f>1539.9+(805.1-894.5)+(-3.141396+(-1.642404--1.82478))+0-231--0.47123999999999</f>
        <v>1217.0122200000001</v>
      </c>
      <c r="S313" s="3">
        <f>1556.6+(844.4-878.3)+(-1.587732+(-0.861288--0.895866))+0-336.1--0.342822000000054</f>
        <v>1185.3896679999998</v>
      </c>
      <c r="T313" s="3">
        <f>1554.5+(877.7-912.1)+(-3.17118+(-1.790508--1.860684))+0-334.2--0.681767999999985</f>
        <v>1183.4807639999997</v>
      </c>
      <c r="U313" s="3">
        <f>1556.6+(996.6-1008.6)+(-0.793866+(-0.508266--0.514386))+0-349.4--0.178193999999965</f>
        <v>1194.5904479999999</v>
      </c>
      <c r="V313" s="3">
        <f>1655.1+(786.4-881.5)+(-2.532303+(-1.203192--1.348695))+0-369.2--0.564876000000021</f>
        <v>1188.9780759999999</v>
      </c>
      <c r="W313" s="3">
        <f>1809.9+(342.7-571.3)+(0.923049+(0.174777-0.291363))+0-293.1-0.14948099999997</f>
        <v>1288.8569820000002</v>
      </c>
      <c r="X313" s="3">
        <f>1950.4+(283.6-521.8)+(-1.989408+(-0.289272--0.532236))+0-289.9--0.295698000000046</f>
        <v>1420.8492540000004</v>
      </c>
      <c r="Y313" s="3">
        <f>1965.4+(290.1-561.2)+(0+(0-0))+0-240.9-0</f>
        <v>1453.4</v>
      </c>
      <c r="Z313" s="3">
        <f>1962.7+(316.9-512.1)+(-2.001954+(-0.323238--0.522342))+0-322.2--0.328644000000051</f>
        <v>1443.8257939999999</v>
      </c>
      <c r="AA313" s="3">
        <f>1878.3+(358.1-409.1)+(-1.915866+(-0.365262--0.417282))+0-363.6--0.370872000000058</f>
        <v>1462.207026</v>
      </c>
      <c r="AB313" s="3">
        <f>1595.2+(443.2-258.7)+(-0.813552+(-0.226032--0.131937))+0-347.3--0.177122999999965</f>
        <v>1431.669476</v>
      </c>
      <c r="AC313" s="3">
        <f>1562.5+(645-485.7)+(-3.1875+(-1.3158--0.990828))+0-324.2--0.661367999999986</f>
        <v>1394.7488960000001</v>
      </c>
      <c r="AD313">
        <v>1451.3999999999996</v>
      </c>
      <c r="AE313" s="3">
        <f>1959+(291.7-426.4)+(0+(0-0))+0-367.9-0</f>
        <v>1456.4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1505.1+(1204.1-1087.8)+(-3.838005+(-3.070455--2.77389))+0-326.6--0.832829999999953</f>
        <v>1291.4982600000001</v>
      </c>
      <c r="G314" s="3">
        <f>1506.1+(1205.6-1176.5)+(-1.536222+(-1.229712--1.20003))+0-317.9--0.324258000000051</f>
        <v>1216.0583539999998</v>
      </c>
      <c r="H314" s="3">
        <f>1506.7+(1169.6-1171.4)+(-3.073668+(-2.385984--2.389656))+0-324.7--0.662387999999986</f>
        <v>1177.7923919999998</v>
      </c>
      <c r="I314" s="3">
        <f>1506.9+(1132-1156.7)+(-2.305557+(-1.73196--1.769751))+0-333.8--0.510714000000019</f>
        <v>1146.6429480000002</v>
      </c>
      <c r="J314" s="3">
        <f>1506.4+(1188-1227.1)+(1.536528+(1.21176-1.251642))+0-337.1-0.343842000000054</f>
        <v>1131.3528040000003</v>
      </c>
      <c r="K314" s="3">
        <f>1505.1+(1183.4-1230.7)+(-1.535202+(-1.207068--1.255314))+0-321.5--0.327930000000051</f>
        <v>1135.1409740000001</v>
      </c>
      <c r="L314" s="3">
        <f>1505.1+(1371-1334.9)+(0.767601+(0.69921-0.680799))+0-335.7-0.171206999999966</f>
        <v>1206.1148049999999</v>
      </c>
      <c r="M314" s="3">
        <f>1503.8+(1343.2-1255.6)+(0.766938+(0.685032-0.640356))+0-354.9-0.180998999999964</f>
        <v>1237.1306150000003</v>
      </c>
      <c r="N314" s="3">
        <f>1505.7+(810.9-745.5)+(1.535814+(0.827118-0.76041))+0-345.8-0.352716000000055</f>
        <v>1226.5498059999998</v>
      </c>
      <c r="O314" s="3">
        <f>1624.5+(306.9-365.4)+(-0.828495+(-0.156519--0.186354))+0-354.3--0.180692999999964</f>
        <v>1211.0820330000001</v>
      </c>
      <c r="P314" s="3">
        <f>1686.8+(807.8-779.2)+(-1.720536+(-0.823956--0.794784))+0-361.8--0.369036000000058</f>
        <v>1352.2193279999999</v>
      </c>
      <c r="Q314" s="3">
        <f>1684.5+(1129.2-1089.7)+(-1.71819+(-1.151784--1.111494))+0-346.7--0.353634000000055</f>
        <v>1375.895154</v>
      </c>
      <c r="R314" s="3">
        <f>1683.4+(933.4-844.1)+(-5.151204+(-2.856204--2.582946))+0-359.5--1.10007000000004</f>
        <v>1408.8756080000001</v>
      </c>
      <c r="S314" s="3">
        <f>1685.5+(543.5-492.6)+(-2.578815+(-0.831555--0.753678))+0-329.4--0.503982000000019</f>
        <v>1404.8472899999999</v>
      </c>
      <c r="T314" s="3">
        <f>1686.1+(583.4-579.2)+(-0.859911+(-0.297534--0.295392))+0-306.6--0.156365999999969</f>
        <v>1382.9943129999995</v>
      </c>
      <c r="U314" s="3">
        <f>1685.1+(560.9-519.1)+(-2.578203+(-0.858177--0.794223))+0-318.7--0.487611000000018</f>
        <v>1406.0454539999998</v>
      </c>
      <c r="V314" s="3">
        <f>1723.5+(438-387.8)+(0.878985+(0.22338-0.197778))+0-320.9-0.163658999999967</f>
        <v>1453.5409280000001</v>
      </c>
      <c r="W314" s="3">
        <f>1964.6+(728.5-832.8)+(-1.001946+(-0.371535--0.424728))+0-321.9--0.164168999999967</f>
        <v>1537.6154159999999</v>
      </c>
      <c r="X314" s="3">
        <f>1975+(1231.6-1230.4)+(2.0145+(1.256232-1.255008))+0-316.2-0.32252400000005</f>
        <v>1661.6931999999997</v>
      </c>
      <c r="Y314" s="3">
        <f>1969.5+(1061.6-1068.3)+(-5.022225+(-2.70708--2.724165))+0-331.6--0.845579999999952</f>
        <v>1627.04044</v>
      </c>
      <c r="Z314" s="3">
        <f>1943.5+(857.3-876.7)+(-2.973555+(-1.311669--1.341351))+0-338--0.51714000000002</f>
        <v>1583.6732669999999</v>
      </c>
      <c r="AA314" s="3">
        <f>1887.8+(665.1-655.7)+(-6.739446+(-2.374407--2.340849))+0-341.7--1.219869</f>
        <v>1549.9468649999999</v>
      </c>
      <c r="AB314" s="3">
        <f>1723.2+(576.3-452.5)+(-3.515328+(-1.175652--0.9231))+0-344.8--0.703391999999985</f>
        <v>1499.1355119999998</v>
      </c>
      <c r="AC314" s="3">
        <f>1652.6+(371.6-254.6)+(-4.21413+(-0.94758--0.64923))+0-348.2--0.887909999999949</f>
        <v>1417.7754299999997</v>
      </c>
      <c r="AD314">
        <v>1665.3999999999999</v>
      </c>
      <c r="AE314" s="3">
        <f>1977+(1330.6-1301.4)+(0+(0-0))+0-336.8-0</f>
        <v>1669.3999999999999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1565.1+(383.6-288.7)+(0+(0-0))+0-346.5-0</f>
        <v>1313.5</v>
      </c>
      <c r="G315" s="3">
        <f>1407.4+(505.1-336.4)+(-3.58887+(-1.288005--0.85782))+0-340.9--0.869294999999951</f>
        <v>1232.05024</v>
      </c>
      <c r="H315" s="3">
        <f>1407.4+(522.5-374.9)+(-2.153322+(-0.799425--0.573597))+0-349.3--0.53442900000002</f>
        <v>1203.8552790000001</v>
      </c>
      <c r="I315" s="3">
        <f>1407.5+(433.8-297.6)+(-2.8713+(-0.884952--0.607104))+0-351.2--0.716447999999985</f>
        <v>1190.0672999999999</v>
      </c>
      <c r="J315" s="3">
        <f>1408.4+(686.8-561.8)+(2.154852+(1.050804-0.859554))+0-356.9-0.546057000000021</f>
        <v>1178.300045</v>
      </c>
      <c r="K315" s="3">
        <f>1407.5+(713.2-569.1)+(-0.717825+(-0.363732--0.290241))+0-356.8--0.181967999999964</f>
        <v>1194.1906519999998</v>
      </c>
      <c r="L315" s="3">
        <f>1408+(818-651.3)+(0+(0-0))+0-357.3-0</f>
        <v>1217.4000000000001</v>
      </c>
      <c r="M315" s="3">
        <f>1408.8+(763.1-538.5)+(0.718488+(0.389181-0.274635))+0-358-0.182579999999964</f>
        <v>1276.0504540000002</v>
      </c>
      <c r="N315" s="3">
        <f>1408.4+(528.1-209.6)+(-2.154852+(-0.807993--0.320688))+0-346.2--0.52968600000002</f>
        <v>1378.5875290000001</v>
      </c>
      <c r="O315" s="3">
        <f>1419.1+(749.9-390.6)+(-0.723741+(-0.382449--0.199206))+0-344.2--0.175541999999965</f>
        <v>1433.4685579999998</v>
      </c>
      <c r="P315" s="3">
        <f>1506.9+(1174.1-901.9)+(-3.074076+(-2.395164--1.839876))+0-350--0.713999999999985</f>
        <v>1426.184636</v>
      </c>
      <c r="Q315" s="3">
        <f>1506.8+(1154-915.6)+(-2.305404+(-1.76562--1.400868))+0-304.8--0.466344000000018</f>
        <v>1438.1961879999999</v>
      </c>
      <c r="R315" s="3">
        <f>1505.7+(1031.7-821.2)+(-5.375349+(-3.683169--2.931684))+0-310.7--1.109199</f>
        <v>1400.4823650000001</v>
      </c>
      <c r="S315" s="3">
        <f>1507.3+(888-665.5)+(-2.306169+(-1.35864--1.018215))+0-302.1--0.462213000000017</f>
        <v>1425.515619</v>
      </c>
      <c r="T315" s="3">
        <f>1506.2+(1023.1-822.2)+(-0.768162+(-0.521781--0.419322))+0-306.3--0.156212999999969</f>
        <v>1400.0855919999999</v>
      </c>
      <c r="U315" s="3">
        <f>1507.2+(942.1-751)+(0.768672+(0.480471-0.38301))+0-318.5-0.162434999999968</f>
        <v>1380.5036980000002</v>
      </c>
      <c r="V315" s="3">
        <f>1536.7+(1059.9-790.9)+(-1.567434+(-1.081098--0.806718))+0-345.5--0.352410000000055</f>
        <v>1458.7105960000001</v>
      </c>
      <c r="W315" s="3">
        <f>1815.3+(1163.5-1084.6)+(0+(0-0))+0-349-0</f>
        <v>1545.2</v>
      </c>
      <c r="X315" s="3">
        <f>1973.6+(1439.1-1414)+(-1.006536+(-0.733941--0.72114))+0-356.3--0.181712999999964</f>
        <v>1641.5623759999999</v>
      </c>
      <c r="Y315" s="3">
        <f>1964+(1177.7-1212)+(-3.00492+(-1.801881--1.85436))+0-348.2--0.53274600000002</f>
        <v>1579.0803050000002</v>
      </c>
      <c r="Z315" s="3">
        <f>1958+(821.1-801.9)+(-4.9929+(-2.093805--2.044845))+0-359.1--0.915704999999948</f>
        <v>1613.973845</v>
      </c>
      <c r="AA315" s="3">
        <f>1712+(662-477.7)+(-3.49248+(-1.35048--0.974508))+0-364--0.742559999999984</f>
        <v>1529.1741079999999</v>
      </c>
      <c r="AB315" s="3">
        <f>1698+(438-373.2)+(-4.3299+(-1.1169--0.95166))+0-362.4--0.924119999999947</f>
        <v>1396.82898</v>
      </c>
      <c r="AC315" s="3">
        <f>1599+(552-468.3)+(-3.26196+(-1.12608--0.955332))+0-340.5--0.694619999999985</f>
        <v>1339.461912</v>
      </c>
      <c r="AD315">
        <v>1698</v>
      </c>
      <c r="AE315" s="3">
        <f>1973+(1446.7-1349.2)+(0+(0-0))+0-372.5-0</f>
        <v>1698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1400+(720.2-602.8)+(-2.856+(-1.469208--1.229712))+0-322.5--0.657899999999986</f>
        <v>1192.4624040000001</v>
      </c>
      <c r="G316" s="3">
        <f>1400+(936.5-826.1)+(-3.57+(-2.388075--2.106555))+0-322.6--0.822629999999953</f>
        <v>1184.7711099999999</v>
      </c>
      <c r="H316" s="3">
        <f>1400+(1078.6-966.9)+(-2.142+(-1.650258--1.479357))+0-317.4--0.485622000000018</f>
        <v>1192.4727209999999</v>
      </c>
      <c r="I316" s="3">
        <f>1400+(980.9-802.7)+(-0.714+(-0.500259--0.409377))+0-323.5--0.164984999999967</f>
        <v>1254.0601029999998</v>
      </c>
      <c r="J316" s="3">
        <f>1400+(716-622.5)+(-2.856+(-1.46064--1.2699))+0-321.6--0.656063999999986</f>
        <v>1169.5093239999999</v>
      </c>
      <c r="K316" s="3">
        <f>1400+(897.7-778.7)+(0+(0-0))+0-322.7-0</f>
        <v>1196.3</v>
      </c>
      <c r="L316" s="3">
        <f>1409+(1001.2-873.8)+(-1.43718+(-1.021224--0.891276))+0-314.4--0.32068800000005</f>
        <v>1220.7535600000003</v>
      </c>
      <c r="M316" s="3">
        <f>1425.6+(941-788.7)+(2.181168+(1.43973-1.206711))+0-319.9-0.489447000000018</f>
        <v>1259.9247399999999</v>
      </c>
      <c r="N316" s="3">
        <f>1426.3+(780.2-503.2)+(0+(0-0))+0-327.6-0</f>
        <v>1375.6999999999998</v>
      </c>
      <c r="O316" s="3">
        <f>1424.6+(465.7-128.1)+(0+(0-0))+0-325.3-0</f>
        <v>1436.8999999999999</v>
      </c>
      <c r="P316" s="3">
        <f>1413.1+(741.5-321.7)+(-2.162043+(-1.134495--0.492201))+0-330.2--0.505206000000019</f>
        <v>1500.4008689999998</v>
      </c>
      <c r="Q316" s="3">
        <f>1412.4+(736-318.5)+(-1.440648+(-0.75072--0.32487))+0-332--0.338640000000053</f>
        <v>1496.3721419999999</v>
      </c>
      <c r="R316" s="3">
        <f>1410.8+(593.8-245.6)+(-2.878032+(-1.211352--0.501024))+0-327.9--0.668915999999986</f>
        <v>1428.1805560000003</v>
      </c>
      <c r="S316" s="3">
        <f>1412+(492.7-204.7)+(-3.6006+(-1.256385--0.521985))+0-330.1--0.841754999999952</f>
        <v>1366.406755</v>
      </c>
      <c r="T316" s="3">
        <f>1412.8+(517.2-212.1)+(1.441056+(0.527544-0.216342))+0-326.4-0.332928000000052</f>
        <v>1392.9193299999999</v>
      </c>
      <c r="U316" s="3">
        <f>1412.4+(545.3-241.8)+(0+(0-0))+0-332.9-0</f>
        <v>1383</v>
      </c>
      <c r="V316" s="3">
        <f>1474.3+(504-241.6)+(-1.503786+(-0.51408--0.246432))+0-328.4--0.334968000000052</f>
        <v>1406.8635340000001</v>
      </c>
      <c r="W316" s="3">
        <f>1909.4+(527.7-607.9)+(1.947588+(0.538254-0.620058))+0-328.5-0.335070000000052</f>
        <v>1502.2307140000003</v>
      </c>
      <c r="X316" s="3">
        <f>1970.9+(1018.7-991.1)+(-4.020636+(-2.078148--2.021844))+0-335.7--0.684827999999985</f>
        <v>1659.407888</v>
      </c>
      <c r="Y316" s="3">
        <f>1970+(732.2-728)+(-4.0188+(-1.493688--1.48512))+0-339.4--0.692375999999985</f>
        <v>1631.4650080000001</v>
      </c>
      <c r="Z316" s="3">
        <f>1912.3+(692.7-667.2)+(-1.950546+(-0.706554--0.680544))+0-337.1--0.343842000000054</f>
        <v>1599.0672859999997</v>
      </c>
      <c r="AA316" s="3">
        <f>1783.6+(633-504.8)+(-1.819272+(-0.64566--0.514896))+0-341.7--0.348534000000054</f>
        <v>1568.4984979999999</v>
      </c>
      <c r="AB316" s="3">
        <f>1662.7+(719.2-493.5)+(-2.543931+(-1.100376--0.755055))+0-355.8--0.544374000000021</f>
        <v>1530.2551220000003</v>
      </c>
      <c r="AC316" s="3">
        <f>1566.6+(636.1-400.4)+(-3.99483+(-1.622055--1.02102))+0-371.9--0.948344999999946</f>
        <v>1426.7524799999999</v>
      </c>
      <c r="AD316">
        <v>1732.1</v>
      </c>
      <c r="AE316" s="3">
        <f>1972+(1108-1014)+(0+(0-0))+0-333.9-0</f>
        <v>1732.1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1398.4+(485-186.9)+(-2.852736+(-0.9894--0.381276))+0-378.5--0.772139999999984</f>
        <v>1315.3112800000001</v>
      </c>
      <c r="G317" s="3">
        <f>1375.1+(794.1-527.1)+(-2.103903+(-1.214973--0.806463))+0-388.8--0.594864000000022</f>
        <v>1251.3824509999999</v>
      </c>
      <c r="H317" s="3">
        <f>1374.6+(826.6-598.2)+(-3.50523+(-2.10783--1.52541))+0-387--0.986849999999944</f>
        <v>1212.8992000000001</v>
      </c>
      <c r="I317" s="3">
        <f>1375.3+(924.6-715.3)+(-0.701403+(-0.471546--0.364803))+0-384.9--0.196298999999961</f>
        <v>1199.0881529999999</v>
      </c>
      <c r="J317" s="3">
        <f>1374.4+(971.7-763.7)+(0+(0-0))+0-384.9-0</f>
        <v>1197.5</v>
      </c>
      <c r="K317" s="3">
        <f>1375.1+(1059.3-861.6)+(-0.701301+(-0.540243--0.439416))+0-381.8--0.194717999999961</f>
        <v>1190.3925899999997</v>
      </c>
      <c r="L317" s="3">
        <f>1375.5+(1560.6-1317.4)+(-1.40301+(-1.591812--1.343748))+0-392.4--0.400248000000063</f>
        <v>1225.049174</v>
      </c>
      <c r="M317" s="3">
        <f>1374.6+(1220.5-900.3)+(1.402092+(1.24491-0.918306))+0-394.4-0.402288000000063</f>
        <v>1301.7264079999998</v>
      </c>
      <c r="N317" s="3">
        <f>1376.8+(787-309.7)+(1.404336+(0.80274-0.315894))+0-398.5-0.406470000000064</f>
        <v>1457.0847119999999</v>
      </c>
      <c r="O317" s="3">
        <f>1410.4+(645.4-158.9)+(1.438608+(0.658308-0.162078))+0-397.6-0.405552000000063</f>
        <v>1500.8292859999997</v>
      </c>
      <c r="P317" s="3">
        <f>1416.1+(826.6-284.8)+(0+(0-0))+0-394-0</f>
        <v>1563.8999999999999</v>
      </c>
      <c r="Q317" s="3">
        <f>1434.7+(1086.2-601.7)+(0.731697+(0.553962-0.306867))+0-396.8-0.20236799999996</f>
        <v>1523.1764240000002</v>
      </c>
      <c r="R317" s="3">
        <f>1615.4+(997.1-717.9)+(-2.471562+(-1.525563--1.098387))+0-418.1--0.639693000000024</f>
        <v>1474.2409550000002</v>
      </c>
      <c r="S317" s="3">
        <f>1618+(555.5-450.5)+(-1.65036+(-0.56661--0.45951))+0-304.4--0.310488000000049</f>
        <v>1417.1530280000002</v>
      </c>
      <c r="T317" s="3">
        <f>1618.9+(603.4-386.1)+(0.825639+(0.307734-0.196911))+0-379.3-0.193442999999962</f>
        <v>1457.6430190000001</v>
      </c>
      <c r="U317" s="3">
        <f>1618.9+(467.7-244)+(-4.128195+(-1.192635--0.6222))+0-342.8--0.87413999999995</f>
        <v>1495.97551</v>
      </c>
      <c r="V317" s="3">
        <f>1721.2+(550.7-399.4)+(0+(0-0))+0-380.7-0</f>
        <v>1491.8</v>
      </c>
      <c r="W317" s="3">
        <f>1973+(457.7-684.9)+(-2.01246+(-0.466854--0.698598))+0-294.8--0.300696000000047</f>
        <v>1449.51998</v>
      </c>
      <c r="X317" s="3">
        <f>1970.8+(479.3-500.5)+(-1.005108+(-0.244443--0.255255))+0-352.3--0.179672999999964</f>
        <v>1596.4853769999997</v>
      </c>
      <c r="Y317" s="3">
        <f>1972.2+(411.6-430.7)+(-3.017466+(-0.629748--0.658971))+0-363--0.555390000000021</f>
        <v>1587.6671470000001</v>
      </c>
      <c r="Z317" s="3">
        <f>1970.7+(423.7-437)+(-4.020228+(-0.864348--0.89148))+0-360.4--0.735215999999984</f>
        <v>1593.7421200000003</v>
      </c>
      <c r="AA317" s="3">
        <f>1970.5+(654.8-741.3)+(-4.01982+(-1.335792--1.512252))+0-350.1--0.714203999999985</f>
        <v>1530.7708439999997</v>
      </c>
      <c r="AB317" s="3">
        <f>1808.3+(598.3-577.6)+(-2.766699+(-0.915399--0.883728))+0-358--0.547740000000021</f>
        <v>1468.74937</v>
      </c>
      <c r="AC317" s="3">
        <f>1688.8+(498.8-430.1)+(-2.583864+(-0.763164--0.658053))+0-372.3--0.569619000000022</f>
        <v>1383.0806440000001</v>
      </c>
      <c r="AD317">
        <v>1666.6</v>
      </c>
      <c r="AE317" s="3">
        <f>1967+(527.6-457.4)+(0+(0-0))+0-365.6-0</f>
        <v>1671.6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1596.2+(716.4-572.1)+(0+(0-0))+0-364.8-0</f>
        <v>1375.7</v>
      </c>
      <c r="G318" s="3">
        <f>1544+(870.3-895.3)+(0+(0-0))+0-257.9-0</f>
        <v>1261.0999999999999</v>
      </c>
      <c r="H318" s="3">
        <f>1546.4+(877.5-856.6)+(0.788664+(0.447525-0.436866))+0-309.8-0.157997999999969</f>
        <v>1258.1413250000003</v>
      </c>
      <c r="I318" s="3">
        <f>1547.1+(1027.3-981.7)+(0+(0-0))+0-356.3-0</f>
        <v>1236.3999999999999</v>
      </c>
      <c r="J318" s="3">
        <f>1547.4+(1052-1040.4)+(0+(0-0))+0-364.6-0</f>
        <v>1194.4000000000001</v>
      </c>
      <c r="K318" s="3">
        <f>1547.8+(1082.7-1046.2)+(1.578756+(1.104354-1.067124))+0-361.6-0.368832000000058</f>
        <v>1223.947154</v>
      </c>
      <c r="L318" s="3">
        <f>1547.4+(986.1-954.2)+(-1.578348+(-1.005822--0.973284))+0-366.9--0.374238000000058</f>
        <v>1211.1633520000003</v>
      </c>
      <c r="M318" s="3">
        <f>1548.3+(832.2-723.9)+(0+(0-0))+0-359-0</f>
        <v>1297.5999999999999</v>
      </c>
      <c r="N318" s="3">
        <f>1548.4+(613.2-482)+(2.369052+(0.938196-0.73746))+0-364.4-0.557532000000021</f>
        <v>1317.212256</v>
      </c>
      <c r="O318" s="3">
        <f>1675.9+(383.1-242)+(-0.854709+(-0.195381--0.12342))+0-370.5--0.188954999999962</f>
        <v>1445.7622849999998</v>
      </c>
      <c r="P318" s="3">
        <f>1704.5+(611.5-498.3)+(1.73859+(0.62373-0.508266))+0-353.4-0.360468000000056</f>
        <v>1465.793586</v>
      </c>
      <c r="Q318" s="3">
        <f>1811.1+(782.3-663.3)+(-3.694644+(-1.595892--1.353132))+0-372.8--0.760511999999984</f>
        <v>1554.123108</v>
      </c>
      <c r="R318" s="3">
        <f>1813.6+(524.9-403.1)+(-3.699744+(-1.070796--0.822324))+0-386.3--0.788051999999983</f>
        <v>1545.9398359999998</v>
      </c>
      <c r="S318" s="3">
        <f>1814.4+(439.6-335.2)+(-1.850688+(-0.448392--0.341904))+0-390.1--0.397902000000062</f>
        <v>1527.1407260000005</v>
      </c>
      <c r="T318" s="3">
        <f>1813.6+(535.2-390.2)+(-1.849872+(-0.545904--0.398004))+0-392.5--0.400350000000063</f>
        <v>1564.5025780000001</v>
      </c>
      <c r="U318" s="3">
        <f>1813.7+(559.9-392.2)+(0+(0-0))+0-397.5-0</f>
        <v>1583.9</v>
      </c>
      <c r="V318" s="3">
        <f>1816.2+(669.4-448.4)+(-1.852524+(-0.682788--0.457368))+0-383.2--0.390864000000061</f>
        <v>1652.3129200000001</v>
      </c>
      <c r="W318" s="3">
        <f>1848.6+(1030.4-588.8)+(0+(0-0))+0-387.3-0</f>
        <v>1902.8999999999999</v>
      </c>
      <c r="X318" s="3">
        <f>1834.6+(1154.9-650.6)+(-2.806938+(-1.766997--0.995418))+0-374.3--0.572679000000022</f>
        <v>1961.5941620000003</v>
      </c>
      <c r="Y318" s="3">
        <f>1697.7+(1340.7-662.4)+(-0.865827+(-0.683757--0.337824))+0-391.5--0.19966499999996</f>
        <v>1983.4879049999997</v>
      </c>
      <c r="Z318" s="3">
        <f>1580.3+(1488.4-801.4)+(-1.611906+(-1.518168--0.817428))+0-403--0.411060000000064</f>
        <v>1862.3984140000005</v>
      </c>
      <c r="AA318" s="3">
        <f>1580.8+(1080.9-626.8)+(-1.612416+(-1.102518--0.639336))+0-391.1--0.398922000000062</f>
        <v>1642.1233240000004</v>
      </c>
      <c r="AB318" s="3">
        <f>1579.9+(843.1-430.3)+(-1.611498+(-0.859962--0.438906))+0-396.8--0.404736000000063</f>
        <v>1594.2721820000002</v>
      </c>
      <c r="AC318" s="3">
        <f>1566.3+(616-283.4)+(-2.396439+(-0.94248--0.433602))+0-402.4--0.615672000000023</f>
        <v>1494.2103550000004</v>
      </c>
      <c r="AD318">
        <v>1626.6</v>
      </c>
      <c r="AE318" s="3">
        <f>1845+(876.5-686)+(0+(0-0))+0-403.9-0</f>
        <v>1631.6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1543.9+(415.9-244.5)+(-3.149556+(-0.848436--0.49878))+0-401.4--0.818855999999982</f>
        <v>1311.2196440000002</v>
      </c>
      <c r="G319" s="3">
        <f>1543.3+(427.2-343.7)+(-3.935415+(-1.08936--0.876435))+0-395.1--1.00750499999994</f>
        <v>1228.5591650000001</v>
      </c>
      <c r="H319" s="3">
        <f>1543+(604.3-509.1)+(-0.78693+(-0.308193--0.259641))+0-405.8--0.206957999999959</f>
        <v>1231.7714759999999</v>
      </c>
      <c r="I319" s="3">
        <f>1543.5+(645.8-616.5)+(0+(0-0))+0-404.8-0</f>
        <v>1168</v>
      </c>
      <c r="J319" s="3">
        <f>1542.5+(571.8-516.7)+(0+(0-0))+0-402.7-0</f>
        <v>1194.8999999999999</v>
      </c>
      <c r="K319" s="3">
        <f>1543.5+(759.9-706.4)+(-0.787185+(-0.387549--0.360264))+0-399.6--0.203795999999959</f>
        <v>1196.7893259999998</v>
      </c>
      <c r="L319" s="3">
        <f>1544.5+(979.3-948)+(-1.57539+(-0.998886--0.96696))+0-402.3--0.410346000000064</f>
        <v>1172.30303</v>
      </c>
      <c r="M319" s="3">
        <f>1541.4+(694.4-666.4)+(-1.572228+(-0.708288--0.679728))+0-395.8--0.403716000000063</f>
        <v>1172.4029280000002</v>
      </c>
      <c r="N319" s="3">
        <f>1545.2+(504.1-384.9)+(0+(0-0))+0-401.1-0</f>
        <v>1263.3000000000002</v>
      </c>
      <c r="O319" s="3">
        <f>1557.5+(445-332.6)+(0+(0-0))+0-397.4-0</f>
        <v>1272.5</v>
      </c>
      <c r="P319" s="3">
        <f>1573+(1017.9-827.5)+(0.80223+(0.519129-0.422025))+0-402.9-0.205478999999959</f>
        <v>1361.1938550000002</v>
      </c>
      <c r="Q319" s="3">
        <f>1680.4+(1228.4-1048.6)+(-4.28502+(-3.13242--2.67393))+0-419.4--1.06946999999994</f>
        <v>1437.1259600000003</v>
      </c>
      <c r="R319" s="3">
        <f>1681.8+(957.2-847.7)+(-4.28859+(-2.44086--2.161635))+0-407.8--1.03988999999994</f>
        <v>1379.9720749999999</v>
      </c>
      <c r="S319" s="3">
        <f>1680.8+(681.4-684.3)+(-3.428832+(-1.390056--1.395972))+0-402.6--0.821303999999982</f>
        <v>1272.6983880000003</v>
      </c>
      <c r="T319" s="3">
        <f>1682.1+(432.6-468.5)+(-1.715742+(-0.441252--0.47787))+0-369.1--0.376482000000059</f>
        <v>1275.7973579999998</v>
      </c>
      <c r="U319" s="3">
        <f>1680.9+(254.6-474.5)+(-2.571777+(-0.389538--0.725985))+0-265.8--0.406674000000015</f>
        <v>1193.3713440000001</v>
      </c>
      <c r="V319" s="3">
        <f>1721.8+(285.1-427.6)+(0.878118+(0.145401-0.218076))+0-370.6-0.189005999999962</f>
        <v>1209.316437</v>
      </c>
      <c r="W319" s="3">
        <f>1960.2+(293.8-568.1)+(0.999702+(0.149838-0.289731))+0-375.9-0.191708999999962</f>
        <v>1310.6681000000001</v>
      </c>
      <c r="X319" s="3">
        <f>1970.8+(503.3-496.5)+(-2.010216+(-0.513366--0.50643))+0-380.9--0.388518000000061</f>
        <v>1595.0713659999999</v>
      </c>
      <c r="Y319" s="3">
        <f>1969.7+(487.9-469.7)+(-3.013641+(-0.746487--0.718641))+0-382.6--0.585378000000022</f>
        <v>1602.8438910000002</v>
      </c>
      <c r="Z319" s="3">
        <f>1969.9+(386.3-429.5)+(0+(0-0))+0-380.4-0</f>
        <v>1546.3000000000002</v>
      </c>
      <c r="AA319" s="3">
        <f>1969.2+(381.8-513.2)+(-1.004292+(-0.194718--0.261732))+0-389.1--0.198440999999961</f>
        <v>1447.9611629999999</v>
      </c>
      <c r="AB319" s="3">
        <f>1969.8+(454.6-638.5)+(1.004598+(0.231846-0.325635))+0-389.8-0.19879799999996</f>
        <v>1396.8120110000002</v>
      </c>
      <c r="AC319" s="3">
        <f>1789.8+(672.9-777.7)+(-4.56399+(-1.715895--1.983135))+0-398.3--1.01566499999994</f>
        <v>1283.418915</v>
      </c>
      <c r="AD319">
        <v>1588.3</v>
      </c>
      <c r="AE319" s="3">
        <f>1965+(501-462)+(0+(0-0))+0-410.7-0</f>
        <v>1593.3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1576.2+(1275.5-1179.4)+(0+(0-0))+0-403.8-0</f>
        <v>1268.5</v>
      </c>
      <c r="G320" s="3">
        <f>1417.6+(1281.6-1061.6)+(1.445952+(1.307232-1.082832))+0-397.2-0.405144000000063</f>
        <v>1241.6652079999999</v>
      </c>
      <c r="H320" s="3">
        <f>1413.6+(1344.5-1160.8)+(-0.720936+(-0.685695--0.592008))+0-401.5--0.204764999999959</f>
        <v>1195.1901419999999</v>
      </c>
      <c r="I320" s="3">
        <f>1413.4+(1219.4-1086.4)+(-1.441668+(-1.243788--1.108128))+0-405.5--0.413610000000065</f>
        <v>1139.7362820000001</v>
      </c>
      <c r="J320" s="3">
        <f>1414.4+(1303.3-1168.4)+(1.442688+(1.329366-1.191768))+0-420.7-0.429114000000067</f>
        <v>1129.7511719999998</v>
      </c>
      <c r="K320" s="3">
        <f>1413.6+(1244.3-1089.7)+(0.720936+(0.634593-0.555747))+0-422.8-0.215627999999957</f>
        <v>1145.984154</v>
      </c>
      <c r="L320" s="3">
        <f>1415.3+(1516.5-1382.1)+(-5.774424+(-6.18732--5.638968))+0-413.6--1.68748799999996</f>
        <v>1131.464712</v>
      </c>
      <c r="M320" s="3">
        <f>1414.1+(1377.1-1313.1)+(0+(0-0))+0-419.7-0</f>
        <v>1058.3999999999999</v>
      </c>
      <c r="N320" s="3">
        <f>1414.9+(1085.7-1042.1)+(-0.721599+(-0.553707--0.531471))+0-370.4--0.188903999999962</f>
        <v>1087.545069</v>
      </c>
      <c r="O320" s="3">
        <f>1426.6+(1013.1-868.3)+(0.727566+(0.516681-0.442833))+0-422-0.215219999999957</f>
        <v>1149.9861940000001</v>
      </c>
      <c r="P320" s="3">
        <f>1553.3+(929.2-900.5)+(0+(0-0))+0-425.9-0</f>
        <v>1156.0999999999999</v>
      </c>
      <c r="Q320" s="3">
        <f>1557+(740.5-625.1)+(0+(0-0))+0-423.6-0</f>
        <v>1248.8000000000002</v>
      </c>
      <c r="R320" s="3">
        <f>1557.4+(671.7-657.8)+(-1.588548+(-0.685134--0.670956))+0-422.3--0.430746000000067</f>
        <v>1147.8280200000002</v>
      </c>
      <c r="S320" s="3">
        <f>1568.6+(477.3-535.2)+(-1.599972+(-0.486846--0.545904))+0-428.9--0.437478000000068</f>
        <v>1080.6965640000001</v>
      </c>
      <c r="T320" s="3">
        <f>1676.7+(573-703)+(-3.420468+(-1.16892--1.43412))+0-422--0.860879999999982</f>
        <v>1122.405612</v>
      </c>
      <c r="U320" s="3">
        <f>1678.5+(576.2-702)+(-0.856035+(-0.293862--0.35802))+0-407.3--0.207722999999959</f>
        <v>1144.815846</v>
      </c>
      <c r="V320" s="3">
        <f>1710.1+(650.5-790.8)+(1.744302+(0.66351-0.806616))+0-424.6-0.433092000000068</f>
        <v>1146.3681039999999</v>
      </c>
      <c r="W320" s="3">
        <f>1963.2+(485.8-918.9)+(0+(0-0))+0-422.5-0</f>
        <v>1107.6000000000001</v>
      </c>
      <c r="X320" s="3">
        <f>1972.6+(525-812.5)+(-1.006026+(-0.26775--0.414375))+0-423.2--0.215831999999957</f>
        <v>1261.2564309999998</v>
      </c>
      <c r="Y320" s="3">
        <f>1926.6+(498.9-769.7)+(-0.982566+(-0.254439--0.392547))+0-403.6--0.205835999999959</f>
        <v>1251.5613779999996</v>
      </c>
      <c r="Z320" s="3">
        <f>1845.7+(532-682.1)+(0+(0-0))+0-397.5-0</f>
        <v>1298.0999999999999</v>
      </c>
      <c r="AA320" s="3">
        <f>1845.6+(345.3-376.2)+(-1.882512+(-0.352206--0.383724))+0-414--0.422280000000066</f>
        <v>1399.2712859999999</v>
      </c>
      <c r="AB320" s="3">
        <f>1809.1+(372.6-426.9)+(-0.922641+(-0.190026--0.217719))+0-341.1--0.173960999999965</f>
        <v>1412.9790129999997</v>
      </c>
      <c r="AC320" s="3">
        <f>1608.5+(445.6-388.1)+(-0.820335+(-0.227256--0.197931))+0-317--0.161669999999968</f>
        <v>1348.3120099999999</v>
      </c>
      <c r="AD320">
        <v>1474.1</v>
      </c>
      <c r="AE320" s="3">
        <f>1977+(698.2-772.5)+(0+(0-0))+0-423.6-0</f>
        <v>1479.1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1549.4+(642.5-691.4)+(-2.370582+(-0.983025--1.057842))+0-268.8--0.411264000000016</f>
        <v>1229.815499</v>
      </c>
      <c r="G321" s="3">
        <f>1546.9+(762.3-837.7)+(2.366757+(1.166319-1.281681))+0-249.3-0.381429000000014</f>
        <v>1224.069966</v>
      </c>
      <c r="H321" s="3">
        <f>1548.2+(951.9-1033)+(-2.368746+(-1.456407--1.58049))+0-318.6--0.487458000000018</f>
        <v>1146.7427950000001</v>
      </c>
      <c r="I321" s="3">
        <f>1547.4+(934.5-967)+(3.156696+(1.90638-1.97268))+0-386.7-0.788867999999983</f>
        <v>1130.501528</v>
      </c>
      <c r="J321" s="3">
        <f>1547.5+(898.7-915.6)+(-0.789225+(-0.458337--0.466956))+0-391--0.19940999999996</f>
        <v>1139.0188039999998</v>
      </c>
      <c r="K321" s="3">
        <f>1547.6+(1078.2-1062.8)+(-2.367828+(-1.649646--1.626084))+0-365--0.558450000000021</f>
        <v>1196.16706</v>
      </c>
      <c r="L321" s="3">
        <f>1548+(1252.5-1230.3)+(-0.78948+(-0.638775--0.627453))+0-361.2--0.184211999999963</f>
        <v>1208.3834099999999</v>
      </c>
      <c r="M321" s="3">
        <f>1547.8+(1146.2-1117.2)+(-0.789378+(-0.584562--0.569772))+0-369.9--0.188648999999962</f>
        <v>1206.2844809999999</v>
      </c>
      <c r="N321" s="3">
        <f>1526.6+(1022.6-935.2)+(0+(0-0))+0-334-0</f>
        <v>1280</v>
      </c>
      <c r="O321" s="3">
        <f>1389.4+(557.1-266.3)+(1.417188+(0.568242-0.271626))+0-324.8-0.331296000000052</f>
        <v>1356.782508</v>
      </c>
      <c r="P321" s="3">
        <f>1562.5+(726.4-581.3)+(0+(0-0))+0-324.5-0</f>
        <v>1383.1</v>
      </c>
      <c r="Q321" s="3">
        <f>1634.7+(948.2-721)+(0+(0-0))+0-329-0</f>
        <v>1532.9</v>
      </c>
      <c r="R321" s="3">
        <f>1635.5+(753.1-664.8)+(0+(0-0))+0-335.4-0</f>
        <v>1388.4</v>
      </c>
      <c r="S321" s="3">
        <f>1634.8+(616.2-602.9)+(-1.667496+(-0.628524--0.614958))+0-326.3--0.332826000000052</f>
        <v>1320.4517639999999</v>
      </c>
      <c r="T321" s="3">
        <f>1635.1+(621.3-537.4)+(-1.667802+(-0.633726--0.548148))+0-281--0.286620000000045</f>
        <v>1436.53324</v>
      </c>
      <c r="U321" s="3">
        <f>1636.8+(604.1-492.2)+(0.834768+(0.308091-0.251022))+0-334.9-0.170798999999966</f>
        <v>1414.5210379999999</v>
      </c>
      <c r="V321" s="3">
        <f>1733.9+(582.9-615)+(-0.884289+(-0.297279--0.31365))+0-262--0.133619999999973</f>
        <v>1439.0657020000003</v>
      </c>
      <c r="W321" s="3">
        <f>1852.5+(876.5-912.3)+(0+(0-0))+0-322.6-0</f>
        <v>1494.1</v>
      </c>
      <c r="X321" s="3">
        <f>1852.1+(1186.7-1024.7)+(-2.833713+(-1.815651--1.567791))+0-332.4--0.508572000000019</f>
        <v>1679.1269989999998</v>
      </c>
      <c r="Y321" s="3">
        <f>1852+(1192.8-1034.9)+(-1.88904+(-1.216656--1.055598))+0-333.3--0.339966000000053</f>
        <v>1674.889868</v>
      </c>
      <c r="Z321" s="3">
        <f>1851.9+(1183.6-1083.7)+(-3.777876+(-2.414544--2.210748))+0-326.8--0.666671999999986</f>
        <v>1621.6850000000002</v>
      </c>
      <c r="AA321" s="3">
        <f>1850.7+(735.5-742)+(0.943857+(0.375105-0.37842))+0-261.8-0.133517999999973</f>
        <v>1583.2070240000003</v>
      </c>
      <c r="AB321" s="3">
        <f>1852+(579.7-569.2)+(0.94452+(0.295647-0.290292))+0-325.1-0.165800999999967</f>
        <v>1538.184074</v>
      </c>
      <c r="AC321" s="3">
        <f>1748.3+(380.8-353.4)+(-2.674899+(-0.582624--0.540702))+0-324.3--0.496179000000019</f>
        <v>1449.1793580000001</v>
      </c>
      <c r="AD321">
        <v>1700.7999999999997</v>
      </c>
      <c r="AE321" s="3">
        <f>1853+(1213.7-1030.5)+(0+(0-0))+0-330.4-0</f>
        <v>1705.8000000000002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1562.4+(536.5-432.6)+(-1.593648+(-0.54723--0.441252))+0-324.8--0.331296000000052</f>
        <v>1340.1316700000002</v>
      </c>
      <c r="G322" s="3">
        <f>1541.6+(807-758.3)+(-2.358648+(-1.23471--1.160199))+0-328.8--0.503064000000019</f>
        <v>1259.5699050000001</v>
      </c>
      <c r="H322" s="3">
        <f>1542.5+(940.9-913.1)+(0+(0-0))+0-331.4-0</f>
        <v>1238.9000000000001</v>
      </c>
      <c r="I322" s="3">
        <f>1541.6+(964-944.8)+(0+(0-0))+0-333.2-0</f>
        <v>1227.5999999999999</v>
      </c>
      <c r="J322" s="3">
        <f>1541.4+(734.6-713.1)+(-0.786114+(-0.374646--0.363681))+0-332.1--0.169370999999966</f>
        <v>1230.1722920000002</v>
      </c>
      <c r="K322" s="3">
        <f>1541.8+(969.1-949.1)+(0.786318+(0.494241-0.484041))+0-343-0.174929999999965</f>
        <v>1219.4215880000002</v>
      </c>
      <c r="L322" s="3">
        <f>1542.1+(912-858.5)+(0+(0-0))+0-342.4-0</f>
        <v>1253.1999999999998</v>
      </c>
      <c r="M322" s="3">
        <f>1541.6+(1054.2-961.2)+(-1.572432+(-1.075284--0.980424))+0-341.8--0.348636000000055</f>
        <v>1291.4813439999998</v>
      </c>
      <c r="N322" s="3">
        <f>1543.1+(691.4-514.8)+(1.573962+(0.705228-0.525096))+0-337.7-0.344454000000054</f>
        <v>1383.4096399999996</v>
      </c>
      <c r="O322" s="3">
        <f>1554.6+(745.1-524.2)+(-0.792846+(-0.380001--0.267342))+0-342.4--0.174623999999965</f>
        <v>1432.3691190000002</v>
      </c>
      <c r="P322" s="3">
        <f>1528.7+(1168.1-859)+(-0.779637+(-0.595731--0.43809))+0-343.9--0.175388999999965</f>
        <v>1493.1381109999998</v>
      </c>
      <c r="Q322" s="3">
        <f>1669.9+(1230-1070.7)+(-3.406596+(-2.5092--2.184228))+0-354.8--0.723791999999985</f>
        <v>1471.3922240000002</v>
      </c>
      <c r="R322" s="3">
        <f>1682.8+(1175.8-1108)+(-4.29114+(-2.99829--2.8254))+0-353.7--0.901934999999949</f>
        <v>1393.3379049999996</v>
      </c>
      <c r="S322" s="3">
        <f>1683+(980.4-935.4)+(0+(0-0))+0-354.8-0</f>
        <v>1373.2</v>
      </c>
      <c r="T322" s="3">
        <f>1683.4+(947.8-898)+(0+(0-0))+0-352.1-0</f>
        <v>1381.1</v>
      </c>
      <c r="U322" s="3">
        <f>1683.1+(907.9-859.1)+(0.858381+(0.463029-0.438141))+0-336.3-0.171512999999966</f>
        <v>1396.3117559999998</v>
      </c>
      <c r="V322" s="3">
        <f>1767.9+(805.4-777.4)+(-3.606516+(-1.643016--1.585896))+0-354.9--0.723995999999984</f>
        <v>1438.0603600000002</v>
      </c>
      <c r="W322" s="3">
        <f>1922.1+(708-845.9)+(0+(0-0))+0-357.2-0</f>
        <v>1426.9999999999998</v>
      </c>
      <c r="X322" s="3">
        <f>1971.2+(970.8-1239.1)+(-2.010624+(-0.990216--1.263882))+0-355.1--0.362202000000057</f>
        <v>1346.4252440000002</v>
      </c>
      <c r="Y322" s="3">
        <f>1971.1+(1042.6-1236.5)+(-5.026305+(-2.65863--3.153075))+0-354.9--0.904994999999948</f>
        <v>1418.6731349999995</v>
      </c>
      <c r="Z322" s="3">
        <f>1970.2+(804.2-743.7)+(-3.014406+(-1.230426--1.137861))+0-355.6--0.544068000000021</f>
        <v>1672.5370970000001</v>
      </c>
      <c r="AA322" s="3">
        <f>1969.9+(516.5-486)+(-1.004649+(-0.263415--0.24786))+0-355.4--0.181253999999964</f>
        <v>1644.1610499999999</v>
      </c>
      <c r="AB322" s="3">
        <f>1969.2+(413.6-527.2)+(-2.008584+(-0.421872--0.537744))+0-350.6--0.357612000000056</f>
        <v>1503.4648999999997</v>
      </c>
      <c r="AC322" s="3">
        <f>1886.3+(492-488.3)+(-1.924026+(-0.50184--0.498066))+0-351.9--0.358938000000056</f>
        <v>1536.5311380000001</v>
      </c>
      <c r="AD322">
        <v>1631.2</v>
      </c>
      <c r="AE322" s="3">
        <f>1968+(1163-1133.8)+(0+(0-0))+0-361-0</f>
        <v>1636.2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1625.5+(829.7-646.4)+(-4.145025+(-2.115735--1.64832))+0-350.5--0.893774999999949</f>
        <v>1454.5813350000001</v>
      </c>
      <c r="G323" s="3">
        <f>1544.9+(858.3-720.3)+(-1.575798+(-0.875466--0.734706))+0-352.7--0.359754000000056</f>
        <v>1328.843196</v>
      </c>
      <c r="H323" s="3">
        <f>1541.7+(1003.5-883.3)+(-2.358801+(-1.535355--1.351449))+0-355.1--0.543303000000021</f>
        <v>1304.800596</v>
      </c>
      <c r="I323" s="3">
        <f>1449.1+(1253-1085)+(1.478082+(1.27806-1.1067))+0-357.3-0.364446000000057</f>
        <v>1261.0849959999998</v>
      </c>
      <c r="J323" s="3">
        <f>1438.9+(1141.6-1010.6)+(-2.201517+(-1.746648--1.546218))+0-336--0.514080000000019</f>
        <v>1232.0121329999999</v>
      </c>
      <c r="K323" s="3">
        <f>1439.9+(1223.3-1086.5)+(0.734349+(0.623883-0.554115))+0-344.1-0.175490999999965</f>
        <v>1233.2286260000001</v>
      </c>
      <c r="L323" s="3">
        <f>1440.5+(1512.1-1234.5)+(-1.46931+(-1.542342--1.25919))+0-346.4--0.353328000000055</f>
        <v>1370.300866</v>
      </c>
      <c r="M323" s="3">
        <f>1441.1+(1417.1-1233.5)+(-2.204883+(-2.168163--1.887255))+0-328--0.501840000000019</f>
        <v>1294.7160489999999</v>
      </c>
      <c r="N323" s="3">
        <f>1447.4+(852.1-691.1)+(2.214522+(1.303713-1.057383))+0-344.4-0.52693200000002</f>
        <v>1265.9339200000002</v>
      </c>
      <c r="O323" s="3">
        <f>1512.1+(412.8-255.8)+(0.771171+(0.210528-0.130458))+0-359.8-0.183497999999963</f>
        <v>1309.9677430000002</v>
      </c>
      <c r="P323" s="3">
        <f>1678.1+(561.9-441.8)+(0.855831+(0.286569-0.225318))+0-355.9-0.181508999999964</f>
        <v>1443.0355729999997</v>
      </c>
      <c r="Q323" s="3">
        <f>1683.2+(677.9-514.4)+(-0.858432+(-0.345729--0.262344))+0-359.4--0.183293999999964</f>
        <v>1486.5414770000002</v>
      </c>
      <c r="R323" s="3">
        <f>1682.6+(612.2-422.1)+(0+(0-0))+0-349.7-0</f>
        <v>1522.9999999999998</v>
      </c>
      <c r="S323" s="3">
        <f>1682.5+(478.1-328)+(-2.574225+(-0.731493--0.50184))+0-333.2--0.509796000000019</f>
        <v>1497.105918</v>
      </c>
      <c r="T323" s="3">
        <f>1682.7+(591-434.6)+(-0.858177+(-0.30141--0.221646))+0-337.2--0.171971999999966</f>
        <v>1501.1340309999998</v>
      </c>
      <c r="U323" s="3">
        <f>1682.5+(620.7-525.3)+(-1.71615+(-0.633114--0.535806))+0-325.6--0.332112000000052</f>
        <v>1450.8186540000002</v>
      </c>
      <c r="V323" s="3">
        <f>1704.4+(697.7-703.7)+(1.738488+(0.711654-0.717774))+0-343-0.349860000000055</f>
        <v>1356.782508</v>
      </c>
      <c r="W323" s="3">
        <f>1915.3+(360.6-563.5)+(2.930409+(0.551718-0.862155))+0-346.2-0.52968600000002</f>
        <v>1368.2902859999999</v>
      </c>
      <c r="X323" s="3">
        <f>1974+(806-895.2)+(0+(0-0))+0-345.2-0</f>
        <v>1539.6</v>
      </c>
      <c r="Y323" s="3">
        <f>1968.3+(703-742.8)+(-3.011499+(-1.07559--1.136484))+0-342.6--0.52417800000002</f>
        <v>1583.4735730000002</v>
      </c>
      <c r="Z323" s="3">
        <f>1886.2+(786-753.9)+(-0.961962+(-0.40086--0.384489))+0-352.5--0.179774999999964</f>
        <v>1565.0014420000002</v>
      </c>
      <c r="AA323" s="3">
        <f>1828.1+(597-436.2)+(-0.932331+(-0.30447--0.222462))+0-356.6--0.181865999999964</f>
        <v>1631.4675269999998</v>
      </c>
      <c r="AB323" s="3">
        <f>1643.2+(606.4-364.5)+(-2.514096+(-0.927792--0.557685))+0-357.4--0.546822000000021</f>
        <v>1525.3626189999998</v>
      </c>
      <c r="AC323" s="3">
        <f>1611.2+(488.9-227.4)+(-2.465136+(-0.748017--0.347922))+0-396--0.605880000000023</f>
        <v>1474.4406490000001</v>
      </c>
      <c r="AD323">
        <v>1564.8</v>
      </c>
      <c r="AE323" s="3">
        <f>1972+(885-939.7)+(0+(0-0))+0-347.5-0</f>
        <v>1569.8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1549.8+(866.4-617.6)+(0+(0-0))+0-369.1-0</f>
        <v>1429.5</v>
      </c>
      <c r="G324" s="3">
        <f>1548.8+(1171.4-973.6)+(-0.789888+(-0.597414--0.496536))+0-395.8--0.20185799999996</f>
        <v>1350.1110919999999</v>
      </c>
      <c r="H324" s="3">
        <f>1549.3+(1317.3-1228.5)+(2.370429+(2.015469-1.879605))+0-404.1-0.618273000000023</f>
        <v>1235.8880199999999</v>
      </c>
      <c r="I324" s="3">
        <f>1549+(1257.7-1157.8)+(-2.36997+(-1.924281--1.771434))+0-399.1--0.610623000000023</f>
        <v>1247.8878060000002</v>
      </c>
      <c r="J324" s="3">
        <f>1548.5+(1314-1198.2)+(0.789735+(0.67014-0.611082))+0-400.2-0.204101999999959</f>
        <v>1264.7446909999999</v>
      </c>
      <c r="K324" s="3">
        <f>1549.3+(1557.2-1453.5)+(0.790143+(0.794172-0.741285))+0-392.4-0.20012399999996</f>
        <v>1261.2429059999999</v>
      </c>
      <c r="L324" s="3">
        <f>1549.3+(1930.6-1757)+(-2.370429+(-2.953818--2.68821))+0-397.6--0.608328000000023</f>
        <v>1323.272291</v>
      </c>
      <c r="M324" s="3">
        <f>1545+(1779.2-1597)+(0.78795+(0.907392-0.81447))+0-401.2-0.204611999999959</f>
        <v>1326.67626</v>
      </c>
      <c r="N324" s="3">
        <f>1494.5+(1250.4-1085.8)+(1.52439+(1.275408-1.107516))+0-383.3-0.390966000000061</f>
        <v>1277.101316</v>
      </c>
      <c r="O324" s="3">
        <f>1575.9+(535.7-438.4)+(1.607418+(0.546414-0.447168))+0-394.8-0.402696000000063</f>
        <v>1279.7039680000003</v>
      </c>
      <c r="P324" s="3">
        <f>1637.6+(632.4-547.4)+(-0.835176+(-0.322524--0.279174))+0-393.6--0.20073599999996</f>
        <v>1328.32221</v>
      </c>
      <c r="Q324" s="3">
        <f>1683.9+(787.6-709.2)+(-1.717578+(-0.803352--0.723384))+0-391.8--0.399636000000063</f>
        <v>1369.1020900000003</v>
      </c>
      <c r="R324" s="3">
        <f>1683.7+(842.4-736.8)+(-4.293435+(-2.14812--1.87884))+0-393.9--1.00444499999994</f>
        <v>1391.8417300000001</v>
      </c>
      <c r="S324" s="3">
        <f>1642+(702.8-519.7)+(0+(0-0))+0-361.9-0</f>
        <v>1463.1999999999998</v>
      </c>
      <c r="T324" s="3">
        <f>1621.7+(710.8-509.9)+(0.827067+(0.362508-0.260049))+0-372.4-0.189923999999962</f>
        <v>1450.9396019999997</v>
      </c>
      <c r="U324" s="3">
        <f>1621.2+(713.7-535.7)+(-0.826812+(-0.363987--0.273207))+0-379--0.193289999999962</f>
        <v>1419.475698</v>
      </c>
      <c r="V324" s="3">
        <f>1702.5+(648.4-474)+(1.73655+(0.661368-0.48348))+0-389.5-0.397290000000062</f>
        <v>1488.917148</v>
      </c>
      <c r="W324" s="3">
        <f>1969.9+(931.4-1108.2)+(2.009298+(0.950028-1.130364))+0-313.4-0.31966800000005</f>
        <v>1481.2092939999998</v>
      </c>
      <c r="X324" s="3">
        <f>1971.7+(1439.4-1321.1)+(1.005567+(0.734094-0.673761))+0-414.9-0.211598999999958</f>
        <v>1675.954301</v>
      </c>
      <c r="Y324" s="3">
        <f>1970.1+(1257.4-1183.8)+(-4.019004+(-2.565096--2.414952))+0-362.3--0.739091999999984</f>
        <v>1677.9699440000002</v>
      </c>
      <c r="Z324" s="3">
        <f>1966.9+(1032.3-959.2)+(-5.015595+(-2.632365--2.44596))+0-401.4--1.02356999999994</f>
        <v>1634.42157</v>
      </c>
      <c r="AA324" s="3">
        <f>1967.2+(596.2-533)+(-1.003272+(-0.304062--0.27183))+0-410.3--0.209252999999958</f>
        <v>1619.2737490000002</v>
      </c>
      <c r="AB324" s="3">
        <f>1901.3+(503.9-346.9)+(0+(0-0))+0-412-0</f>
        <v>1646.3000000000002</v>
      </c>
      <c r="AC324" s="3">
        <f>1599.1+(632.5-458.2)+(-1.631082+(-0.64515--0.467364))+0-409.9--0.418098000000065</f>
        <v>1362.10923</v>
      </c>
      <c r="AD324">
        <v>1703.7000000000003</v>
      </c>
      <c r="AE324" s="3">
        <f>1972+(1360.4-1212.6)+(0+(0-0))+0-416.1-0</f>
        <v>1703.7000000000003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1529.8+(885-772.7)+(0+(0-0))+0-392.7-0</f>
        <v>1249.3999999999999</v>
      </c>
      <c r="G325" s="3">
        <f>1419.2+(1163.2-954.5)+(0+(0-0))+0-412.8-0</f>
        <v>1215.1000000000001</v>
      </c>
      <c r="H325" s="3">
        <f>1413.3+(1276-1040.3)+(0+(0-0))+0-411-0</f>
        <v>1238</v>
      </c>
      <c r="I325" s="3">
        <f>1412.4+(1170.6-990.5)+(-2.160972+(-1.791018--1.515465))+0-416--0.636480000000024</f>
        <v>1174.699955</v>
      </c>
      <c r="J325" s="3">
        <f>1413.2+(1239.6-1068.9)+(1.441464+(1.264392-1.090278))+0-374.4-0.38188800000006</f>
        <v>1210.7336899999998</v>
      </c>
      <c r="K325" s="3">
        <f>1412.5+(1194.4-1068.3)+(1.44075+(1.218288-1.089666))+0-364.9-0.372198000000058</f>
        <v>1174.8971740000002</v>
      </c>
      <c r="L325" s="3">
        <f>1412.9+(1414.7-1153.8)+(0+(0-0))+0-397.8-0</f>
        <v>1276.0000000000002</v>
      </c>
      <c r="M325" s="3">
        <f>1413.7+(1066.5-786.5)+(0+(0-0))+0-386.7-0</f>
        <v>1307</v>
      </c>
      <c r="N325" s="3">
        <f>1414.1+(543.1-279.5)+(-0.721191+(-0.276981--0.142545))+0-413.3--0.210782999999958</f>
        <v>1263.7551559999999</v>
      </c>
      <c r="O325" s="3">
        <f>1539.3+(734.1-614.2)+(-0.785043+(-0.374391--0.313242))+0-385--0.196349999999961</f>
        <v>1273.5501579999998</v>
      </c>
      <c r="P325" s="3">
        <f>1772.1+(968.4-877)+(-0.903771+(-0.493884--0.44727))+0-395.7--0.20180699999996</f>
        <v>1467.0514219999998</v>
      </c>
      <c r="Q325" s="3">
        <f>1774+(1171.8-1079.7)+(-1.80948+(-1.195236--1.101294))+0-391.5--0.399330000000062</f>
        <v>1473.0959079999998</v>
      </c>
      <c r="R325" s="3">
        <f>1773.1+(943.1-812.6)+(-2.712843+(-1.442943--1.243278))+0-408.7--0.625311000000024</f>
        <v>1492.612803</v>
      </c>
      <c r="S325" s="3">
        <f>1772.5+(753.2-599.1)+(-2.711925+(-1.152396--0.916623))+0-378.6--0.579258000000022</f>
        <v>1545.63156</v>
      </c>
      <c r="T325" s="3">
        <f>1772.8+(709.2-721.4)+(0+(0-0))+0-381.3-0</f>
        <v>1379.3</v>
      </c>
      <c r="U325" s="3">
        <f>1800.9+(547.6-455.9)+(1.836918+(0.558552-0.465018))+0-381.2-0.388824000000061</f>
        <v>1512.941628</v>
      </c>
      <c r="V325" s="3">
        <f>1848.4+(523.2-448)+(0.942684+(0.266832-0.22848))+0-387.2-0.197471999999961</f>
        <v>1537.1835639999999</v>
      </c>
      <c r="W325" s="3">
        <f>1854.2+(647-662.4)+(1.891284+(0.65994-0.675648))+0-389.2-0.396984000000062</f>
        <v>1451.0785920000001</v>
      </c>
      <c r="X325" s="3">
        <f>1968.1+(964.6-1017)+(-5.018655+(-2.45973--2.59335))+0-394.9--1.00699499999994</f>
        <v>1516.9219599999999</v>
      </c>
      <c r="Y325" s="3">
        <f>1865.4+(1132.2-1026.5)+(-2.854062+(-1.732266--1.570545))+0-388.8--0.594864000000022</f>
        <v>1579.879081</v>
      </c>
      <c r="Z325" s="3">
        <f>1636.9+(1381.5-1040.8)+(-0.834819+(-0.704565--0.530808))+0-401--0.204509999999959</f>
        <v>1575.7959340000002</v>
      </c>
      <c r="AA325" s="3">
        <f>1578.7+(1140.5-742.6)+(0.805137+(0.581655-0.378726))+0-396.6-0.20226599999996</f>
        <v>1580.8057999999999</v>
      </c>
      <c r="AB325" s="3">
        <f>1575.3+(840.6-381.4)+(0.803403+(0.428706-0.194514))+0-391.6-0.19971599999996</f>
        <v>1643.737879</v>
      </c>
      <c r="AC325" s="3">
        <f>1575.2+(626.4-263)+(0+(0-0))+0-394.8-0</f>
        <v>1543.8</v>
      </c>
      <c r="AD325">
        <v>1571.8000000000002</v>
      </c>
      <c r="AE325" s="3">
        <f>1971+(911.4-935.5)+(0+(0-0))+0-370.1-0</f>
        <v>1576.8000000000002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1564.2+(1130-822.5)+(-3.98871+(-2.8815--2.097375))+0-402.6--1.02662999999994</f>
        <v>1465.353795</v>
      </c>
      <c r="G326" s="3">
        <f>1429.3+(1125.9-857.6)+(-1.457886+(-1.148418--0.874752))+0-395.2--0.403104000000063</f>
        <v>1301.0715519999999</v>
      </c>
      <c r="H326" s="3">
        <f>1419.6+(1199.4-981.6)+(-4.343976+(-3.670164--3.003696))+0-400.6--1.22583600000005</f>
        <v>1233.0153920000002</v>
      </c>
      <c r="I326" s="3">
        <f>1419.3+(1014-738.6)+(1.447686+(1.03428-0.753372))+0-396.2-0.404124000000063</f>
        <v>1299.8244699999996</v>
      </c>
      <c r="J326" s="3">
        <f>1419.4+(1075.5-847.2)+(-0.723894+(-0.548505--0.432072))+0-392.4--0.20012399999996</f>
        <v>1254.6597970000003</v>
      </c>
      <c r="K326" s="3">
        <f>1419.8+(1218.9-951.1)+(2.172294+(1.864917-1.455183))+0-381.8-0.584154000000022</f>
        <v>1307.7978739999999</v>
      </c>
      <c r="L326" s="3">
        <f>1419.7+(1322-1080.8)+(1.448094+(1.34844-1.102416))+0-385.7-0.393414000000061</f>
        <v>1276.5007039999998</v>
      </c>
      <c r="M326" s="3">
        <f>1418.6+(1118.7-885.1)+(1.446972+(1.141074-0.902802))+0-378-0.38556000000006</f>
        <v>1275.4996839999997</v>
      </c>
      <c r="N326" s="3">
        <f>1422+(508.1-416.9)+(0.72522+(0.259131-0.212619))+0-381.6-0.194615999999961</f>
        <v>1132.1771160000001</v>
      </c>
      <c r="O326" s="3">
        <f>1620.7+(470.9-426.5)+(0.826557+(0.240159-0.217515))+0-389.5-0.19864499999996</f>
        <v>1276.250556</v>
      </c>
      <c r="P326" s="3">
        <f>1701+(947.5-937.4)+(0.86751+(0.483225-0.478074))+0-393.8-0.20083799999996</f>
        <v>1317.9718230000001</v>
      </c>
      <c r="Q326" s="3">
        <f>1777.4+(1182.4-1085.1)+(0+(0-0))+0-393.8-0</f>
        <v>1480.9000000000003</v>
      </c>
      <c r="R326" s="3">
        <f>1776.5+(945.9-801.6)+(-2.718045+(-1.447227--1.226448))+0-399.1--0.610623000000023</f>
        <v>1519.371799</v>
      </c>
      <c r="S326" s="3">
        <f>1775.7+(532.1-395.6)+(0+(0-0))+0-392.6-0</f>
        <v>1519.6</v>
      </c>
      <c r="T326" s="3">
        <f>1777.5+(500-379.7)+(0+(0-0))+0-395-0</f>
        <v>1502.8</v>
      </c>
      <c r="U326" s="3">
        <f>1776.4+(472.7-414.1)+(-1.811928+(-0.482154--0.422382))+0-400.1--0.408102000000064</f>
        <v>1433.436402</v>
      </c>
      <c r="V326" s="3">
        <f>1781.4+(451.5-451.8)+(-1.817028+(-0.46053--0.460836))+0-372.5--0.379950000000059</f>
        <v>1407.1632280000001</v>
      </c>
      <c r="W326" s="3">
        <f>1944.8+(282.8-549.3)+(-0.991848+(-0.144228--0.280143))+0-413.9--0.211088999999958</f>
        <v>1263.7551559999997</v>
      </c>
      <c r="X326" s="3">
        <f>1972.2+(650.1-849.7)+(-2.011644+(-0.663102--0.866694))+0-417.7--0.426054000000067</f>
        <v>1353.5180019999998</v>
      </c>
      <c r="Y326" s="3">
        <f>1970.9+(824.5-923.3)+(-4.020636+(-1.68198--1.883532))+0-419.9--0.856595999999982</f>
        <v>1449.2375120000002</v>
      </c>
      <c r="Z326" s="3">
        <f>1955.2+(878.4-917.2)+(-4.98576+(-2.23992--2.33886))+0-404.1--1.03045499999994</f>
        <v>1508.4436349999999</v>
      </c>
      <c r="AA326" s="3">
        <f>1841.1+(729.7-642)+(-0.938961+(-0.372147--0.32742))+0-368.7--0.188036999999963</f>
        <v>1559.3043489999998</v>
      </c>
      <c r="AB326" s="3">
        <f>1633.8+(638-339.1)+(0.833238+(0.32538-0.172941))+0-414.5-0.211394999999958</f>
        <v>1518.9742819999997</v>
      </c>
      <c r="AC326" s="3">
        <f>1544.8+(553.9-220.8)+(-0.787848+(-0.282489--0.112608))+0-415--0.211649999999958</f>
        <v>1462.1539209999999</v>
      </c>
      <c r="AD326">
        <v>1372</v>
      </c>
      <c r="AE326" s="3">
        <f>1970+(669.6-844.1)+(0+(0-0))+0-418.5-0</f>
        <v>1377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1546.1+(624-367.3)+(-2.365533+(-0.95472--0.561969))+0-414.8--0.634644000000024</f>
        <v>1385.87636</v>
      </c>
      <c r="G327" s="3">
        <f>1474.2+(883.8-657.2)+(0.751842+(0.450738-0.335172))+0-418.1-0.213230999999958</f>
        <v>1283.3541769999999</v>
      </c>
      <c r="H327" s="3">
        <f>1414+(941.1-739.4)+(-1.44228+(-0.959922--0.754188))+0-417.7--0.426054000000067</f>
        <v>1196.7780399999999</v>
      </c>
      <c r="I327" s="3">
        <f>1412.8+(975.4-782.4)+(0.720528+(0.497454-0.399024))+0-416.6-0.212465999999958</f>
        <v>1189.8064920000002</v>
      </c>
      <c r="J327" s="3">
        <f>1414+(1142.8-923.5)+(-1.44228+(-1.165656--0.94197))+0-417.7--0.426054000000067</f>
        <v>1214.3600879999999</v>
      </c>
      <c r="K327" s="3">
        <f>1413.8+(1307.9-1112.9)+(1.442076+(1.334058-1.135158))+0-411.8-0.420036000000066</f>
        <v>1198.2209399999999</v>
      </c>
      <c r="L327" s="3">
        <f>1414.3+(1433.5-1237)+(-0.721293+(-0.731085--0.63087))+0-372.2--0.189821999999962</f>
        <v>1237.968314</v>
      </c>
      <c r="M327" s="3">
        <f>1414.1+(1488.4-1352.2)+(0+(0-0))+0-410.6-0</f>
        <v>1139.6999999999998</v>
      </c>
      <c r="N327" s="3">
        <f>1413.2+(1469.5-1323.1)+(1.441464+(1.49889-1.349562))+0-419.7-0.428094000000067</f>
        <v>1141.062698</v>
      </c>
      <c r="O327" s="3">
        <f>1412.2+(973.3-789.9)+(0+(0-0))+0-416.7-0</f>
        <v>1178.8999999999999</v>
      </c>
      <c r="P327" s="3">
        <f>1453.5+(601.7-448.5)+(0+(0-0))+0-419.9-0</f>
        <v>1186.8000000000002</v>
      </c>
      <c r="Q327" s="3">
        <f>1464.1+(382-216.1)+(2.240073+(0.58446-0.330633))+0-422.1-0.645813000000024</f>
        <v>1209.7480869999999</v>
      </c>
      <c r="R327" s="3">
        <f>1487.7+(405-249)+(-3.034908+(-0.8262--0.50796))+0-415.8--0.848231999999982</f>
        <v>1225.3950840000002</v>
      </c>
      <c r="S327" s="3">
        <f>1505.2+(377.2-275.4)+(-0.767652+(-0.192372--0.140454))+0-417.4--0.212873999999958</f>
        <v>1188.9933039999999</v>
      </c>
      <c r="T327" s="3">
        <f>1504.2+(326.7-246.1)+(0+(0-0))+0-415.5-0</f>
        <v>1169.3</v>
      </c>
      <c r="U327" s="3">
        <f>1503.5+(421.4-263.4)+(-2.300355+(-0.644742--0.403002))+0-418.1--0.639693000000024</f>
        <v>1241.4975979999999</v>
      </c>
      <c r="V327" s="3">
        <f>1642.2+(717.9-577.9)+(-0.837522+(-0.366129--0.294729))+0-399.9--0.203948999999959</f>
        <v>1381.5950270000001</v>
      </c>
      <c r="W327" s="3">
        <f>1962.9+(543.8-747.4)+(-2.002158+(-0.554676--0.762348))+0-394.9--0.402798000000063</f>
        <v>1363.0083120000004</v>
      </c>
      <c r="X327" s="3">
        <f>1971.3+(418.9-584.9)+(-1.005363+(-0.213639--0.298299))+0-388.4--0.198083999999961</f>
        <v>1416.1773809999997</v>
      </c>
      <c r="Y327" s="3">
        <f>1972.8+(319.9-453.7)+(-3.018384+(-0.489447--0.694161))+0-392.8--0.600984000000023</f>
        <v>1443.987314</v>
      </c>
      <c r="Z327" s="3">
        <f>1927.7+(464.6-654)+(-1.966254+(-0.473892--0.66708))+0-391.7--0.399534000000062</f>
        <v>1345.2264680000003</v>
      </c>
      <c r="AA327" s="3">
        <f>1761.7+(575.9-531.5)+(-3.593868+(-1.174836--1.08426))+0-397.7--0.811307999999983</f>
        <v>1405.5268639999999</v>
      </c>
      <c r="AB327" s="3">
        <f>1637.1+(760.2-605.6)+(-0.834921+(-0.387702--0.308856))+0-393--0.20042999999996</f>
        <v>1397.9866629999997</v>
      </c>
      <c r="AC327" s="3">
        <f>1501.4+(800.3-509.1)+(1.531428+(0.816306-0.519282))+0-406.1-0.414222000000065</f>
        <v>1387.9142299999996</v>
      </c>
      <c r="AD327">
        <v>1446.5000000000002</v>
      </c>
      <c r="AE327" s="3">
        <f>1977+(439.8-589.6)+(0+(0-0))+0-375.7-0</f>
        <v>1451.5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1490.3+(550.1-199.1)+(-3.040212+(-1.122204--0.406164))+0-401--0.818039999999982</f>
        <v>1437.3617879999999</v>
      </c>
      <c r="G328" s="3">
        <f>1489.7+(553-337.9)+(-1.519494+(-0.56406--0.344658))+0-400.5--0.408510000000064</f>
        <v>1302.9696140000001</v>
      </c>
      <c r="H328" s="3">
        <f>1490.3+(745.3-592.8)+(-3.040212+(-1.520412--1.209312))+0-400--0.815999999999983</f>
        <v>1240.264688</v>
      </c>
      <c r="I328" s="3">
        <f>1489.7+(872.9-757.2)+(0.759747+(0.445179-0.386172))+0-401-0.204509999999959</f>
        <v>1205.014244</v>
      </c>
      <c r="J328" s="3">
        <f>1489.5+(802.9-739)+(-2.278935+(-1.228437--1.13067))+0-400.6--0.612918000000023</f>
        <v>1151.0362160000002</v>
      </c>
      <c r="K328" s="3">
        <f>1488.6+(799.4-721.2)+(0.759186+(0.407694-0.367812))+0-400.2-0.204101999999959</f>
        <v>1167.1949659999998</v>
      </c>
      <c r="L328" s="3">
        <f>1490.6+(1019.7-880.6)+(0.760206+(0.520047-0.449106))+0-404-0.206039999999959</f>
        <v>1226.3251069999999</v>
      </c>
      <c r="M328" s="3">
        <f>1489.8+(1193.6-1094.9)+(-2.279394+(-1.826208--1.675197))+0-407.7--0.623781000000024</f>
        <v>1178.9933759999997</v>
      </c>
      <c r="N328" s="3">
        <f>1490.3+(1477.3-1299.9)+(-0.760053+(-0.753423--0.662949))+0-404.4--0.206243999999959</f>
        <v>1262.6557169999996</v>
      </c>
      <c r="O328" s="3">
        <f>1490.8+(1314.8-1130.1)+(0+(0-0))+0-410.4-0</f>
        <v>1265.0999999999999</v>
      </c>
      <c r="P328" s="3">
        <f>1490.3+(817.8-715.6)+(-1.520106+(-0.834156--0.729912))+0-407.4--0.415548000000065</f>
        <v>1183.891198</v>
      </c>
      <c r="Q328" s="3">
        <f>1491.1+(510.1-341.6)+(-2.281383+(-0.780453--0.522648))+0-406.2--0.621486000000023</f>
        <v>1251.4822979999999</v>
      </c>
      <c r="R328" s="3">
        <f>1490.5+(409.7-219.1)+(-2.280465+(-0.626841--0.335223))+0-406.3--0.621639000000023</f>
        <v>1272.8495559999999</v>
      </c>
      <c r="S328" s="3">
        <f>1490.4+(443.9-264.9)+(-3.040416+(-0.905556--0.540396))+0-409.1--0.834563999999982</f>
        <v>1257.7289880000001</v>
      </c>
      <c r="T328" s="3">
        <f>1490.2+(488.8-293.8)+(-0.760002+(-0.249288--0.149838))+0-401.5--0.204764999999959</f>
        <v>1283.0453130000001</v>
      </c>
      <c r="U328" s="3">
        <f>1489.7+(536.1-353.5)+(0+(0-0))+0-407.3-0</f>
        <v>1265.0000000000002</v>
      </c>
      <c r="V328" s="3">
        <f>1506.6+(427.6-323.8)+(-0.768366+(-0.218076--0.165138))+0-389.7--0.19874699999996</f>
        <v>1220.0774429999997</v>
      </c>
      <c r="W328" s="3">
        <f>1582.2+(315.7-257.3)+(0+(0-0))+0-388.6-0</f>
        <v>1252</v>
      </c>
      <c r="X328" s="3">
        <f>1627+(1010-793)+(-1.65954+(-1.0302--0.80886))+0-379.1--0.38668200000006</f>
        <v>1463.405802</v>
      </c>
      <c r="Y328" s="3">
        <f>1626.5+(1184.8-898.1)+(-0.829515+(-0.604248--0.458031))+0-388.4--0.198083999999961</f>
        <v>1524.0223519999997</v>
      </c>
      <c r="Z328" s="3">
        <f>1627.9+(1203.6-977.4)+(-1.660458+(-1.227672--0.996948))+0-394.1--0.401982000000063</f>
        <v>1458.5107999999998</v>
      </c>
      <c r="AA328" s="3">
        <f>1608.1+(1292.4-1059.6)+(0+(0-0))+0-391.9-0</f>
        <v>1449</v>
      </c>
      <c r="AB328" s="3">
        <f>1579.5+(1347.1-1111.1)+(-0.805545+(-0.687021--0.566661))+0-390.2--0.19900199999996</f>
        <v>1424.573097</v>
      </c>
      <c r="AC328" s="3">
        <f>1564.2+(1231.3-1014.1)+(-3.98871+(-3.139815--2.585955))+0-399.2--1.01795999999994</f>
        <v>1378.6753899999999</v>
      </c>
      <c r="AD328">
        <v>1515</v>
      </c>
      <c r="AE328" s="3">
        <f>1624+(1283-985.9)+(0+(0-0))+0-401.1-0</f>
        <v>1520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1428+(732.7-292)+(-2.18484+(-1.121031--0.44676))+0-397.4--0.608022000000023</f>
        <v>1469.0489110000001</v>
      </c>
      <c r="G329" s="3">
        <f>1413.6+(668.7-343.5)+(-2.162808+(-1.023111--0.525555))+0-399.6--0.611388000000023</f>
        <v>1337.151024</v>
      </c>
      <c r="H329" s="3">
        <f>1413.1+(671.1-471.9)+(-2.882724+(-1.369044--0.962676))+0-400.1--0.816203999999983</f>
        <v>1209.7271119999998</v>
      </c>
      <c r="I329" s="3">
        <f>1413.4+(683.5-514.2)+(-0.720834+(-0.348585--0.262242))+0-400.6--0.204305999999959</f>
        <v>1181.4971290000001</v>
      </c>
      <c r="J329" s="3">
        <f>1413.3+(770.1-600.7)+(2.162349+(1.178253-0.919071))+0-402.4-0.615672000000023</f>
        <v>1182.1058589999996</v>
      </c>
      <c r="K329" s="3">
        <f>1412.8+(707.9-556.4)+(0.720528+(0.361029-0.283764))+0-403-0.205529999999959</f>
        <v>1161.892263</v>
      </c>
      <c r="L329" s="3">
        <f>1412.9+(1028.1-776.8)+(0.720579+(0.524331-0.396168))+0-400.9-0.204458999999959</f>
        <v>1263.9442829999998</v>
      </c>
      <c r="M329" s="3">
        <f>1412.9+(1048.5-732.6)+(0+(0-0))+0-404.4-0</f>
        <v>1324.4</v>
      </c>
      <c r="N329" s="3">
        <f>1462.2+(973.4-663.3)+(1.491444+(0.992868-0.676566))+0-412.5-0.420750000000066</f>
        <v>1361.1869960000001</v>
      </c>
      <c r="O329" s="3">
        <f>1508.9+(536.2-264.4)+(0.769539+(0.273462-0.134844))+0-413.3-0.210782999999958</f>
        <v>1368.0973740000004</v>
      </c>
      <c r="P329" s="3">
        <f>1568.2+(422.4-187.1)+(0.799782+(0.215424-0.095421))+0-416.7-0.212516999999958</f>
        <v>1387.5072680000001</v>
      </c>
      <c r="Q329" s="3">
        <f>1622.9+(639.2-449.5)+(-1.655358+(-0.651984--0.45849))+0-415--0.423300000000066</f>
        <v>1396.1744480000002</v>
      </c>
      <c r="R329" s="3">
        <f>1622.6+(789.7-628.1)+(-4.13763+(-2.013735--1.601655))+0-432.2--1.10210999999994</f>
        <v>1348.5523999999998</v>
      </c>
      <c r="S329" s="3">
        <f>1621.8+(896.1-749.9)+(-1.654236+(-0.914022--0.764898))+0-432.9--0.441558000000069</f>
        <v>1333.738198</v>
      </c>
      <c r="T329" s="3">
        <f>1622.3+(1173-1069.9)+(-2.482119+(-1.79469--1.636947))+0-433.9--0.663867000000025</f>
        <v>1289.524005</v>
      </c>
      <c r="U329" s="3">
        <f>1622.8+(1135.9-976.6)+(-0.827628+(-0.579309--0.498066))+0-425.7--0.217106999999957</f>
        <v>1355.7082359999997</v>
      </c>
      <c r="V329" s="3">
        <f>1717.5+(1199.1-1103)+(0.875925+(0.611541-0.56253))+0-388.9-0.198338999999961</f>
        <v>1425.4265969999997</v>
      </c>
      <c r="W329" s="3">
        <f>1901.2+(1293.4-1377.2)+(0+(0-0))+0-435.3-0</f>
        <v>1382.1000000000001</v>
      </c>
      <c r="X329" s="3">
        <f>1972.7+(1243.7-1148.7)+(-1.006077+(-0.634287--0.585837))+0-432.1--0.220370999999956</f>
        <v>1634.765844</v>
      </c>
      <c r="Y329" s="3">
        <f>1889+(1333.2-1221.5)+(0+(0-0))+0-440.2-0</f>
        <v>1560.5</v>
      </c>
      <c r="Z329" s="3">
        <f>1690.9+(1700.1-1543.7)+(-4.311795+(-4.335255--3.936435))+0-421.9--1.07584499999994</f>
        <v>1421.76523</v>
      </c>
      <c r="AA329" s="3">
        <f>1627.6+(1777.5-1483.2)+(0+(0-0))+0-431.7-0</f>
        <v>1490.1999999999998</v>
      </c>
      <c r="AB329" s="3">
        <f>1599.2+(2006.1-1722.5)+(-4.07796+(-5.115555--4.392375))+0-392.9--1.00189499999994</f>
        <v>1486.1007549999999</v>
      </c>
      <c r="AC329" s="3">
        <f>1545.4+(1967.7-1659.5)+(-3.94077+(-5.017635--4.231725))+0-389.3--0.992714999999944</f>
        <v>1460.5660350000001</v>
      </c>
      <c r="AD329">
        <v>1711.1000000000001</v>
      </c>
      <c r="AE329" s="3">
        <f>1967+(1114.4-925.1)+(0+(0-0))+0-439.2-0</f>
        <v>1717.1000000000001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1436.7+(1255-740.6)+(-1.465434+(-1.2801--0.755412))+0-396.3--0.404226000000063</f>
        <v>1553.2141040000001</v>
      </c>
      <c r="G330" s="3">
        <f>1416+(591.1-229)+(2.88864+(1.205844-0.46716))+0-388.6-0.792743999999983</f>
        <v>1392.33458</v>
      </c>
      <c r="H330" s="3">
        <f>1414.9+(499-242.8)+(2.164797+(0.76347-0.371484))+0-383.8-0.587214000000022</f>
        <v>1289.269569</v>
      </c>
      <c r="I330" s="3">
        <f>1416.5+(497.8-277.8)+(-2.88966+(-1.015512--0.566712))+0-391.6--0.798863999999983</f>
        <v>1242.3604040000002</v>
      </c>
      <c r="J330" s="3">
        <f>1414.5+(542.3-348)+(1.44279+(0.553146-0.35496))+0-392.2-0.400044000000063</f>
        <v>1217.8409319999998</v>
      </c>
      <c r="K330" s="3">
        <f>1415.2+(646.3-464.8)+(0+(0-0))+0-392-0</f>
        <v>1204.7</v>
      </c>
      <c r="L330" s="3">
        <f>1415.9+(792.8-585.6)+(0.722109+(0.404328-0.298656))+0-390.1-0.19895099999996</f>
        <v>1233.6288300000001</v>
      </c>
      <c r="M330" s="3">
        <f>1416.1+(809.7-555.8)+(-1.444422+(-0.825894--0.566916))+0-391.2--0.399024000000062</f>
        <v>1277.4956239999999</v>
      </c>
      <c r="N330" s="3">
        <f>1415.6+(782.2-497.4)+(-0.721956+(-0.398922--0.253674))+0-393--0.20042999999996</f>
        <v>1306.7332260000001</v>
      </c>
      <c r="O330" s="3">
        <f>1416.4+(700.8-362.8)+(-0.722364+(-0.357408--0.185028))+0-390.9--0.19935899999996</f>
        <v>1362.8046150000002</v>
      </c>
      <c r="P330" s="3">
        <f>1523.2+(907.2-657.5)+(-2.330496+(-1.388016--1.005975))+0-394.9--0.604197000000023</f>
        <v>1375.8916600000002</v>
      </c>
      <c r="Q330" s="3">
        <f>1557.9+(954.8-633.6)+(-0.794529+(-0.486948--0.323136))+0-394.2--0.20104199999996</f>
        <v>1484.1427009999998</v>
      </c>
      <c r="R330" s="3">
        <f>1557.1+(986.1-779)+(-2.382363+(-1.508733--1.19187))+0-390.4--0.597312000000022</f>
        <v>1371.6980860000001</v>
      </c>
      <c r="S330" s="3">
        <f>1558.2+(1291.4-1126.9)+(0+(0-0))+0-389.4-0</f>
        <v>1333.3000000000002</v>
      </c>
      <c r="T330" s="3">
        <f>1558.3+(1455.4-1160.7)+(-0.794733+(-0.742254--0.591957))+0-387.5--0.197624999999961</f>
        <v>1464.7525949999999</v>
      </c>
      <c r="U330" s="3">
        <f>1551.1+(1269-959.8)+(-0.791061+(-0.64719--0.489498))+0-393.5--0.20068499999996</f>
        <v>1466.0519320000001</v>
      </c>
      <c r="V330" s="3">
        <f>1573.8+(929.9-581.3)+(1.605276+(0.948498-0.592926))+0-397.6-0.405552000000063</f>
        <v>1526.3552959999997</v>
      </c>
      <c r="W330" s="3">
        <f>1905+(834.1-885.5)+(-0.97155+(-0.425391--0.451605))+0-390.8--0.19930799999996</f>
        <v>1462.0539719999999</v>
      </c>
      <c r="X330" s="3">
        <f>1958.4+(1232.7-1332.9)+(-0.998784+(-0.628677--0.679779))+0-396.7--0.20231699999996</f>
        <v>1460.754635</v>
      </c>
      <c r="Y330" s="3">
        <f>1897.1+(1537.1-1507.5)+(-3.870084+(-3.135684--3.0753))+0-390.6--0.796823999999983</f>
        <v>1532.9663559999999</v>
      </c>
      <c r="Z330" s="3">
        <f>1775.4+(1753.8-1570.3)+(-0.905454+(-0.894438--0.800853))+0-393.3--0.20058299999996</f>
        <v>1564.8015440000001</v>
      </c>
      <c r="AA330" s="3">
        <f>1669.8+(1835.9-1581)+(3.406392+(3.745236-3.22524))+0-392.1-0.799883999999983</f>
        <v>1535.7265040000002</v>
      </c>
      <c r="AB330" s="3">
        <f>1648.4+(1877.8-1599.1)+(-1.681368+(-1.915356--1.631082))+0-395.2--0.403104000000063</f>
        <v>1530.3374620000002</v>
      </c>
      <c r="AC330" s="3">
        <f>1567.6+(1497.9-1145.5)+(-3.197904+(-3.055716--2.33682))+0-398.3--0.812531999999983</f>
        <v>1518.595732</v>
      </c>
      <c r="AD330">
        <v>1442.3000000000002</v>
      </c>
      <c r="AE330" s="3">
        <f>1955+(1411.4-1521.1)+(0+(0-0))+0-399-0</f>
        <v>1446.3000000000002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1544.1+(820.3-353.5)+(-2.362473+(-1.255059--0.540855))+0-441.9--0.676107000000026</f>
        <v>1566.59943</v>
      </c>
      <c r="G331" s="3">
        <f>1497.6+(562.9-243.2)+(-1.527552+(-0.574158--0.248064))+0-443.4--0.452268000000071</f>
        <v>1372.4986220000001</v>
      </c>
      <c r="H331" s="3">
        <f>1415.2+(441.2-210.3)+(0.721752+(0.225012-0.107253))+0-440-0.224399999999955</f>
        <v>1206.7151109999998</v>
      </c>
      <c r="I331" s="3">
        <f>1416.1+(474.2-225.5)+(0+(0-0))+0-442.6-0</f>
        <v>1222.1999999999998</v>
      </c>
      <c r="J331" s="3">
        <f>1416.5+(478.2-237.4)+(0.722415+(0.243882-0.121074))+0-440.3-0.224552999999955</f>
        <v>1217.62067</v>
      </c>
      <c r="K331" s="3">
        <f>1415.8+(690.6-440.5)+(3.61029+(1.76103-1.123275))+0-441.5-1.12582499999994</f>
        <v>1227.5222200000003</v>
      </c>
      <c r="L331" s="3">
        <f>1416.9+(843.9-554.6)+(-0.722619+(-0.430389--0.282846))+0-434--0.221339999999956</f>
        <v>1271.5511780000002</v>
      </c>
      <c r="M331" s="3">
        <f>1415.4+(1016.6-723)+(0+(0-0))+0-423.4-0</f>
        <v>1285.5999999999999</v>
      </c>
      <c r="N331" s="3">
        <f>1419.7+(637.5-372.4)+(0+(0-0))+0-431.9-0</f>
        <v>1252.9000000000001</v>
      </c>
      <c r="O331" s="3">
        <f>1426.9+(759.5-329.7)+(0.727719+(0.387345-0.168147))+0-404.4-0.206243999999959</f>
        <v>1453.040673</v>
      </c>
      <c r="P331" s="3">
        <f>1469.6+(1040.3-619.2)+(-1.498992+(-1.061106--0.631584))+0-401.6--0.409632000000064</f>
        <v>1487.5811179999998</v>
      </c>
      <c r="Q331" s="3">
        <f>1622+(1057.6-786.4)+(-2.48166+(-1.618128--1.203192))+0-394.4--0.603432000000023</f>
        <v>1496.5068359999998</v>
      </c>
      <c r="R331" s="3">
        <f>1639.1+(845.6-652.6)+(-1.671882+(-0.862512--0.665652))+0-403.8--0.411876000000064</f>
        <v>1426.843134</v>
      </c>
      <c r="S331" s="3">
        <f>1638.6+(587.5-415.2)+(2.507058+(0.898875-0.635256))+0-411-0.628830000000024</f>
        <v>1402.0418469999997</v>
      </c>
      <c r="T331" s="3">
        <f>1640.9+(584.5-407)+(-1.673718+(-0.59619--0.41514))+0-395.5--0.403410000000063</f>
        <v>1421.4486420000003</v>
      </c>
      <c r="U331" s="3">
        <f>1639+(536-325.6)+(0.83589+(0.27336-0.166056))+0-410.6-0.209405999999958</f>
        <v>1439.5337880000002</v>
      </c>
      <c r="V331" s="3">
        <f>1646.4+(555.3-364.8)+(0.839664+(0.283203-0.186048))+0-412.2-0.210221999999958</f>
        <v>1425.4265970000001</v>
      </c>
      <c r="W331" s="3">
        <f>1819.4+(696.3-644.1)+(0.927894+(0.355113-0.328491))+0-410.5-0.209354999999958</f>
        <v>1461.845161</v>
      </c>
      <c r="X331" s="3">
        <f>1956.2+(1585.7-1475.4)+(0+(0-0))+0-417.2-0</f>
        <v>1649.3</v>
      </c>
      <c r="Y331" s="3">
        <f>1954.4+(1691.2-1575.2)+(-4.98372+(-4.31256--4.01676))+0-416.2--1.06130999999994</f>
        <v>1649.98179</v>
      </c>
      <c r="Z331" s="3">
        <f>1821.6+(2197.2-1976.5)+(-0.929016+(-1.120572--1.008015))+0-419.7--0.214046999999957</f>
        <v>1621.7724739999996</v>
      </c>
      <c r="AA331" s="3">
        <f>1719+(2025-1742.3)+(-2.63007+(-3.09825--2.665719))+0-406.8--0.622404000000023</f>
        <v>1592.459803</v>
      </c>
      <c r="AB331" s="3">
        <f>1569.6+(2331.7-1948.8)+(-0.800496+(-1.189167--0.993888))+0-416.3--0.212312999999958</f>
        <v>1535.4165379999997</v>
      </c>
      <c r="AC331" s="3">
        <f>1564.2+(1391.3-1114.6)+(-3.98871+(-3.547815--2.84223))+0-411.2--1.04855999999994</f>
        <v>1426.054265</v>
      </c>
      <c r="AD331">
        <v>1705.9</v>
      </c>
      <c r="AE331" s="3">
        <f>1953+(1701.9-1503.9)+(0+(0-0))+0-441.1-0</f>
        <v>1709.9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1549.9+(610.4-401.1)+(-3.161796+(-1.245216--0.818244))+0-419--0.854759999999982</f>
        <v>1337.4659919999999</v>
      </c>
      <c r="G332" s="3">
        <f>1422+(504.2-252.2)+(0+(0-0))+0-412.2-0</f>
        <v>1261.8</v>
      </c>
      <c r="H332" s="3">
        <f>1414.9+(801.6-559.9)+(-0.721599+(-0.408816--0.285549))+0-419.1--0.213740999999957</f>
        <v>1236.8688750000001</v>
      </c>
      <c r="I332" s="3">
        <f>1412.6+(857.2-626.3)+(1.440852+(0.874344-0.638826))+0-418.3-0.426666000000067</f>
        <v>1226.4497039999999</v>
      </c>
      <c r="J332" s="3">
        <f>1414.2+(789.4-563.5)+(-1.442484+(-0.805188--0.57477))+0-416.5--0.424830000000066</f>
        <v>1222.351928</v>
      </c>
      <c r="K332" s="3">
        <f>1413.9+(1073.6-875.5)+(0.721089+(0.547536-0.446505))+0-406.7-0.207416999999959</f>
        <v>1205.9147030000001</v>
      </c>
      <c r="L332" s="3">
        <f>1413.6+(1048-829.9)+(0+(0-0))+0-403.6-0</f>
        <v>1228.0999999999999</v>
      </c>
      <c r="M332" s="3">
        <f>1412.6+(1014.9-738.7)+(0.720426+(0.517599-0.376737))+0-408.2-0.208181999999959</f>
        <v>1281.2531059999999</v>
      </c>
      <c r="N332" s="3">
        <f>1514+(678-375.8)+(2.31642+(1.03734-0.574974))+0-428.6-0.655758000000025</f>
        <v>1389.7230280000001</v>
      </c>
      <c r="O332" s="3">
        <f>1603.5+(514.4-240.6)+(2.453355+(0.787032-0.368118))+0-427.3-0.653769000000025</f>
        <v>1452.2184999999999</v>
      </c>
      <c r="P332" s="3">
        <f>1678.7+(788.6-558.4)+(3.424548+(1.608744-1.139136))+0-398.8-0.813551999999983</f>
        <v>1513.1806040000001</v>
      </c>
      <c r="Q332" s="3">
        <f>1680.6+(1051.2-821.1)+(-1.714212+(-1.072224--0.837522))+0-396.1--0.404022000000063</f>
        <v>1513.055108</v>
      </c>
      <c r="R332" s="3">
        <f>1679.4+(843.6-653.1)+(-4.28247+(-2.15118--1.665405))+0-392.9--1.00189499999994</f>
        <v>1473.2336500000001</v>
      </c>
      <c r="S332" s="3">
        <f>1679.4+(570.5-357.5)+(0.856494+(0.290955-0.182325))+0-396.7-0.20231699999996</f>
        <v>1496.4628070000001</v>
      </c>
      <c r="T332" s="3">
        <f>1679.8+(610-443.6)+(0+(0-0))+0-392.8-0</f>
        <v>1453.3999999999999</v>
      </c>
      <c r="U332" s="3">
        <f>1683.7+(633.3-438.2)+(1.717374+(0.645966-0.446964))+0-397.6-0.405552000000063</f>
        <v>1482.7108239999998</v>
      </c>
      <c r="V332" s="3">
        <f>1889.4+(570.3-573.4)+(-1.927188+(-0.581706--0.584868))+0-403.3--0.411366000000064</f>
        <v>1481.4873400000004</v>
      </c>
      <c r="W332" s="3">
        <f>1951.4+(782.7-853.6)+(-1.990428+(-0.798354--0.870672))+0-399.6--0.407592000000064</f>
        <v>1479.389482</v>
      </c>
      <c r="X332" s="3">
        <f>1953.5+(1155.1-1110.2)+(-2.988855+(-1.767303--1.698606))+0-406.5--0.621945000000024</f>
        <v>1589.464393</v>
      </c>
      <c r="Y332" s="3">
        <f>1952.3+(1208.1-1099.1)+(-3.982692+(-2.464524--2.242164))+0-415.5--0.847619999999982</f>
        <v>1642.4425680000004</v>
      </c>
      <c r="Z332" s="3">
        <f>1951.7+(1331.9-1295.8)+(-2.986101+(-2.037807--1.982574))+0-422.2--0.645966000000024</f>
        <v>1563.2046320000002</v>
      </c>
      <c r="AA332" s="3">
        <f>1895.4+(1046.1-908.7)+(-2.899962+(-1.600533--1.390311))+0-423.4--0.647802000000024</f>
        <v>1606.9376179999999</v>
      </c>
      <c r="AB332" s="3">
        <f>1824.7+(1037.7-898.3)+(-1.861194+(-1.058454--0.916266))+0-420.2--0.428604000000067</f>
        <v>1542.3252220000002</v>
      </c>
      <c r="AC332" s="3">
        <f>1608.8+(1227.4-940.5)+(-1.640976+(-1.251948--0.95931))+0-425.4--0.433908000000068</f>
        <v>1468.8002940000001</v>
      </c>
      <c r="AD332">
        <v>1662.1</v>
      </c>
      <c r="AE332" s="3">
        <f>1947+(1214.1-1073.6)+(0+(0-0))+0-420.4-0</f>
        <v>1667.1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1486+(779.5-338)+(-3.7893+(-1.987725--0.8619))+0-423.1--1.07890499999994</f>
        <v>1500.56378</v>
      </c>
      <c r="G333" s="3">
        <f>1464.2+(567.3-232.3)+(-2.240226+(-0.867969--0.355419))+0-421.2--0.644436000000024</f>
        <v>1375.89166</v>
      </c>
      <c r="H333" s="3">
        <f>1464.2+(582.8-348.8)+(-2.240226+(-0.891684--0.533664))+0-426.4--0.652392000000025</f>
        <v>1269.8541460000001</v>
      </c>
      <c r="I333" s="3">
        <f>1464.2+(670.2-483.6)+(-2.986968+(-1.367208--0.986544))+0-421--0.858839999999982</f>
        <v>1227.2912080000001</v>
      </c>
      <c r="J333" s="3">
        <f>1464.1+(643.7-498.9)+(1.493382+(0.656574-0.508878))+0-418.8-0.427176000000067</f>
        <v>1191.3139020000001</v>
      </c>
      <c r="K333" s="3">
        <f>1464.8+(999.9-833.6)+(0.747048+(0.509949-0.425136))+0-421.5-0.214964999999957</f>
        <v>1210.2168959999999</v>
      </c>
      <c r="L333" s="3">
        <f>1464.8+(973.2-816.1)+(-0.747048+(-0.496332--0.416211))+0-421.7--0.215066999999957</f>
        <v>1199.587898</v>
      </c>
      <c r="M333" s="3">
        <f>1464.8+(1078.2-879.5)+(0+(0-0))+0-428.5-0</f>
        <v>1235</v>
      </c>
      <c r="N333" s="3">
        <f>1504.6+(539.9-456.7)+(0.767346+(0.275349-0.232917))+0-423.9-0.216188999999957</f>
        <v>1164.4935889999999</v>
      </c>
      <c r="O333" s="3">
        <f>1607.4+(575.5-411.7)+(-0.819774+(-0.293505--0.209967))+0-423.9--0.216188999999957</f>
        <v>1346.6128770000003</v>
      </c>
      <c r="P333" s="3">
        <f>1611.7+(1113.6-950.6)+(0+(0-0))+0-420.4-0</f>
        <v>1354.2999999999997</v>
      </c>
      <c r="Q333" s="3">
        <f>1670.4+(1464.2-1266)+(-1.703808+(-1.493484--1.29132))+0-421.7--0.430134000000067</f>
        <v>1445.4241620000003</v>
      </c>
      <c r="R333" s="3">
        <f>1670.9+(1283.8-1014.2)+(-3.408636+(-2.618952--2.068968))+0-427--0.871079999999981</f>
        <v>1510.4124599999998</v>
      </c>
      <c r="S333" s="3">
        <f>1638.2+(788.4-563.5)+(-3.341928+(-1.608336--1.14954))+0-425.4--0.867815999999981</f>
        <v>1434.767092</v>
      </c>
      <c r="T333" s="3">
        <f>1606.5+(599.9-346.5)+(-1.63863+(-0.611898--0.35343))+0-426.2--0.434724000000068</f>
        <v>1432.2376260000001</v>
      </c>
      <c r="U333" s="3">
        <f>1605.3+(521.1-293.2)+(-3.274812+(-1.063044--0.598128))+0-426.2--0.869447999999981</f>
        <v>1404.1297199999999</v>
      </c>
      <c r="V333" s="3">
        <f>1780+(482.7-491)+(-0.9078+(-0.246177--0.25041))+0-425.5--0.217004999999957</f>
        <v>1345.513438</v>
      </c>
      <c r="W333" s="3">
        <f>1957.3+(682.7-855.3)+(-2.994669+(-1.044531--1.308609))+0-422.6--0.646578000000024</f>
        <v>1360.015987</v>
      </c>
      <c r="X333" s="3">
        <f>1955.8+(1068.8-1102.6)+(-1.994916+(-1.090176--1.124652))+0-413.7--0.421974000000066</f>
        <v>1506.761534</v>
      </c>
      <c r="Y333" s="3">
        <f>1815.8+(1615.2-1466.2)+(-1.852116+(-1.647504--1.495524))+0-421.5--0.429930000000067</f>
        <v>1541.7258340000001</v>
      </c>
      <c r="Z333" s="3">
        <f>1705.8+(1860.1-1595.1)+(-2.609874+(-2.845953--2.440503))+0-427.5--0.654075000000025</f>
        <v>1540.9387509999999</v>
      </c>
      <c r="AA333" s="3">
        <f>1638.2+(1637.8-1308.9)+(-1.670964+(-1.670556--1.335078))+0-430.6--0.439212000000069</f>
        <v>1534.9327699999997</v>
      </c>
      <c r="AB333" s="3">
        <f>1485.9+(1647.9-1212.5)+(-2.273427+(-2.521287--1.855125))+0-425.1--0.650403000000025</f>
        <v>1493.9108140000003</v>
      </c>
      <c r="AC333" s="3">
        <f>1421.2+(1794.9-1353.8)+(0+(0-0))+0-425.4-0</f>
        <v>1436.9</v>
      </c>
      <c r="AD333">
        <v>1476.4</v>
      </c>
      <c r="AE333" s="3">
        <f>1952+(1099.8-1153.5)+(0+(0-0))+0-416.9-0</f>
        <v>1481.4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1413.2+(1194.4-662.4)+(-1.441464+(-1.218288--0.675648))+0-426.6--0.435132000000068</f>
        <v>1517.0510280000003</v>
      </c>
      <c r="G334" s="3">
        <f>1413.3+(703.5-330.3)+(-0.720783+(-0.358785--0.168453))+0-420.6--0.214505999999957</f>
        <v>1365.2033909999998</v>
      </c>
      <c r="H334" s="3">
        <f>1413.1+(639.5-262.6)+(0+(0-0))+0-427.7-0</f>
        <v>1362.3</v>
      </c>
      <c r="I334" s="3">
        <f>1413.8+(643.4-360.3)+(-1.442076+(-0.656268--0.367506))+0-434.6--0.443292000000069</f>
        <v>1261.0124539999999</v>
      </c>
      <c r="J334" s="3">
        <f>1414+(605.1-409.6)+(3.6057+(1.543005-1.04448))+0-422.9-1.07839499999994</f>
        <v>1189.62583</v>
      </c>
      <c r="K334" s="3">
        <f>1413.3+(517.4-358.4)+(0.720783+(0.263874-0.182784))+0-420.3-0.214352999999957</f>
        <v>1152.58752</v>
      </c>
      <c r="L334" s="3">
        <f>1413+(520.9-363.4)+(-1.44126+(-0.531318--0.370668))+0-424.4--0.432888000000068</f>
        <v>1144.9309780000001</v>
      </c>
      <c r="M334" s="3">
        <f>1413+(670.7-540.7)+(0.72063+(0.342057-0.275757))+0-425.2-0.216851999999957</f>
        <v>1118.3700779999999</v>
      </c>
      <c r="N334" s="3">
        <f>1412.7+(761.8-584.7)+(0+(0-0))+0-422.7-0</f>
        <v>1167.0999999999999</v>
      </c>
      <c r="O334" s="3">
        <f>1412.1+(457.5-306.3)+(-0.720171+(-0.233325--0.156213))+0-424.9--0.216698999999957</f>
        <v>1137.8194159999998</v>
      </c>
      <c r="P334" s="3">
        <f>1413.4+(525.4-406.2)+(-0.720834+(-0.267954--0.207162))+0-421.1--0.214760999999957</f>
        <v>1110.933135</v>
      </c>
      <c r="Q334" s="3">
        <f>1413.3+(835.8-624.1)+(-2.883132+(-1.705032--1.273164))+0-430.3--0.877811999999981</f>
        <v>1192.2628119999999</v>
      </c>
      <c r="R334" s="3">
        <f>1413.2+(1086.4-897.6)+(-2.162196+(-1.662192--1.373328))+0-425.7--0.651321000000025</f>
        <v>1174.5002609999999</v>
      </c>
      <c r="S334" s="3">
        <f>1412.1+(879.8-667.8)+(-2.160513+(-1.346094--1.021734))+0-424.4--0.649332000000024</f>
        <v>1197.8644589999999</v>
      </c>
      <c r="T334" s="3">
        <f>1413.2+(894.7-668.1)+(-2.882928+(-1.825188--1.362924))+0-429.1--0.875363999999981</f>
        <v>1208.230172</v>
      </c>
      <c r="U334" s="3">
        <f>1413.1+(727.9-509.1)+(-0.720681+(-0.371229--0.259641))+0-420.7--0.214556999999957</f>
        <v>1210.5822879999998</v>
      </c>
      <c r="V334" s="3">
        <f>1439.4+(707.5-522.1)+(-0.734094+(-0.360825--0.266271))+0-420.1--0.214250999999957</f>
        <v>1204.085603</v>
      </c>
      <c r="W334" s="3">
        <f>1614.1+(661.4-594.8)+(-1.646382+(-0.674628--0.606696))+0-423.4--0.431868000000067</f>
        <v>1256.017554</v>
      </c>
      <c r="X334" s="3">
        <f>1709.4+(716.5-563.4)+(0+(0-0))+0-425.1-0</f>
        <v>1437.4</v>
      </c>
      <c r="Y334" s="3">
        <f>1708.4+(945.7-760.4)+(0.871284+(0.482307-0.387804))+0-426.8-0.217667999999957</f>
        <v>1467.6481190000004</v>
      </c>
      <c r="Z334" s="3">
        <f>1705.7+(1039.4-860.5)+(-1.739814+(-1.060188--0.87771))+0-421.2--0.429624000000067</f>
        <v>1461.9073320000002</v>
      </c>
      <c r="AA334" s="3">
        <f>1668.4+(1070.4-846.1)+(-4.25442+(-2.72952--2.157555))+0-421.2--1.07405999999994</f>
        <v>1467.7476750000001</v>
      </c>
      <c r="AB334" s="3">
        <f>1544.4+(1407.2-1156.8)+(-1.575288+(-1.435344--1.179936))+0-422.9--0.431358000000067</f>
        <v>1370.5006620000001</v>
      </c>
      <c r="AC334" s="3">
        <f>1536.7+(1187.4-938.4)+(-3.134868+(-2.422296--1.914336))+0-422.4--0.861695999999981</f>
        <v>1360.5188680000001</v>
      </c>
      <c r="AD334">
        <v>1452.4</v>
      </c>
      <c r="AE334" s="3">
        <f>1711+(792.9-605.2)+(0+(0-0))+0-442.3-0</f>
        <v>1456.3999999999999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1535.7+(714.7-418.1)+(-3.916035+(-1.822485--1.066155))+0-424.6--1.08272999999994</f>
        <v>1404.1103650000002</v>
      </c>
      <c r="G335" s="3">
        <f>1536.3+(470.4-293.6)+(-3.917565+(-1.19952--0.74868))+0-428.3--1.09216499999994</f>
        <v>1281.52376</v>
      </c>
      <c r="H335" s="3">
        <f>1536.4+(507.4-389.6)+(-3.134256+(-1.035096--0.794784))+0-427.3--0.871691999999981</f>
        <v>1224.3971240000001</v>
      </c>
      <c r="I335" s="3">
        <f>1524.1+(354.5-297.8)+(-3.109164+(-0.72318--0.607512))+0-408.1--0.832523999999982</f>
        <v>1170.3076919999999</v>
      </c>
      <c r="J335" s="3">
        <f>1463.9+(347.3-246.4)+(0.746589+(0.177123-0.125664))+0-412.5-0.210374999999958</f>
        <v>1152.8876730000004</v>
      </c>
      <c r="K335" s="3">
        <f>1464.4+(408.5-271.7)+(2.987376+(0.83334-0.554268))+0-416.4-0.849455999999982</f>
        <v>1187.2169920000001</v>
      </c>
      <c r="L335" s="3">
        <f>1466.2+(443.7-278.1)+(-3.73881+(-1.131435--0.709155))+0-425.1--1.08400499999994</f>
        <v>1203.6229149999997</v>
      </c>
      <c r="M335" s="3">
        <f>1464.8+(634.3-412.1)+(1.494096+(0.646986-0.420342))+0-421.3-0.429726000000067</f>
        <v>1266.991014</v>
      </c>
      <c r="N335" s="3">
        <f>1488.7+(929.7-632.7)+(0+(0-0))+0-426.6-0</f>
        <v>1359.1</v>
      </c>
      <c r="O335" s="3">
        <f>1571.4+(1206.6-928.1)+(-0.801414+(-0.615366--0.473331))+0-427.5--0.218024999999957</f>
        <v>1421.6745759999999</v>
      </c>
      <c r="P335" s="3">
        <f>1554.5+(1530.9-1226.6)+(-3.963975+(-3.903795--3.12783))+0-425.1--1.08400499999994</f>
        <v>1430.0440650000003</v>
      </c>
      <c r="Q335" s="3">
        <f>1557.4+(1502.6-1105.2)+(1.588548+(1.532652-1.127304))+0-432.4-0.441048000000069</f>
        <v>1523.9528479999999</v>
      </c>
      <c r="R335" s="3">
        <f>1553.3+(1417.9-1045.4)+(-3.960915+(-3.615645--2.66577))+0-428--1.09139999999994</f>
        <v>1493.9806100000001</v>
      </c>
      <c r="S335" s="3">
        <f>1556.6+(1228.2-920.2)+(-3.96933+(-3.13191--2.34651))+0-426.3--1.08706499999994</f>
        <v>1434.6323349999998</v>
      </c>
      <c r="T335" s="3">
        <f>1555.1+(1318.6-934.8)+(-0.793101+(-0.672486--0.476748))+0-421.9--0.215168999999957</f>
        <v>1516.22633</v>
      </c>
      <c r="U335" s="3">
        <f>1558.2+(1388.9-1025)+(0+(0-0))+0-424.9-0</f>
        <v>1497.2000000000003</v>
      </c>
      <c r="V335" s="3">
        <f>1555.6+(1300.2-935.8)+(-1.586712+(-1.326204--0.954516))+0-417.9--0.426258000000067</f>
        <v>1500.5678579999999</v>
      </c>
      <c r="W335" s="3">
        <f>1669.6+(1222.8-924.8)+(0.851496+(0.623628-0.471648))+0-426.2-0.217361999999957</f>
        <v>1542.1861140000001</v>
      </c>
      <c r="X335" s="3">
        <f>1954.5+(1200.8-1117)+(-0.996795+(-0.612408--0.56967))+0-428--0.218279999999957</f>
        <v>1609.4787470000001</v>
      </c>
      <c r="Y335" s="3">
        <f>1953.5+(1337.8-1289.8)+(-0.996285+(-0.682278--0.657798))+0-426.6--0.217565999999957</f>
        <v>1574.0968009999999</v>
      </c>
      <c r="Z335" s="3">
        <f>1731.8+(1914-1661.2)+(-3.532872+(-3.90456--3.388848))+0-421.6--0.860063999999982</f>
        <v>1559.8114799999998</v>
      </c>
      <c r="AA335" s="3">
        <f>1605.3+(1579-1133.2)+(0.818703+(0.80529-0.577932))+0-417.6-0.212975999999958</f>
        <v>1634.333085</v>
      </c>
      <c r="AB335" s="3">
        <f>1522.9+(1371.1-987.4)+(-3.106716+(-2.797044--2.014296))+0-410.8--0.838031999999982</f>
        <v>1492.7485679999998</v>
      </c>
      <c r="AC335" s="3">
        <f>1462.5+(1017-577)+(-3.729375+(-2.59335--1.47135))+0-405.6--1.03427999999994</f>
        <v>1493.0829049999998</v>
      </c>
      <c r="AD335">
        <v>1615.6999999999996</v>
      </c>
      <c r="AE335" s="3">
        <f>1956+(1252.6-1140.2)+(0+(0-0))+0-452.7-0</f>
        <v>1615.6999999999996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1423.7+(451.6-160.7)+(-2.178261+(-0.690948--0.245871))+0-438.2--0.670446000000025</f>
        <v>1274.4471080000001</v>
      </c>
      <c r="G336" s="3">
        <f>1416.1+(461.3-210.2)+(-2.888844+(-0.941052--0.428808))+0-446.3--0.910451999999981</f>
        <v>1218.4093639999999</v>
      </c>
      <c r="H336" s="3">
        <f>1416.5+(504.9-282.7)+(1.44483+(0.514998-0.288354))+0-430.7-0.439314000000069</f>
        <v>1209.23216</v>
      </c>
      <c r="I336" s="3">
        <f>1416.6+(450.6-262.8)+(-2.167398+(-0.689418--0.402084))+0-423.4--0.647802000000024</f>
        <v>1179.1930699999998</v>
      </c>
      <c r="J336" s="3">
        <f>1415.8+(540.6-274.8)+(-0.722058+(-0.275706--0.140148))+0-432--0.220319999999956</f>
        <v>1248.9627039999998</v>
      </c>
      <c r="K336" s="3">
        <f>1415.8+(549.2-252.8)+(1.444116+(0.560184-0.257856))+0-449.5-0.458490000000072</f>
        <v>1263.9879540000002</v>
      </c>
      <c r="L336" s="3">
        <f>1416.9+(646.6-370.2)+(0.722619+(0.329766-0.188802))+0-450.7-0.229856999999954</f>
        <v>1243.2337260000002</v>
      </c>
      <c r="M336" s="3">
        <f>1415.2+(705.1-411.2)+(0.721752+(0.359601-0.209712))+0-435.8-0.222257999999956</f>
        <v>1273.9493830000001</v>
      </c>
      <c r="N336" s="3">
        <f>1416.1+(530.7-188.4)+(-0.722211+(-0.270657--0.096084))+0-442.2--0.225521999999955</f>
        <v>1315.528738</v>
      </c>
      <c r="O336" s="3">
        <f>1416.4+(658.2-223.3)+(-0.722364+(-0.335682--0.113883))+0-441.8--0.225317999999955</f>
        <v>1408.7811550000004</v>
      </c>
      <c r="P336" s="3">
        <f>1416.5+(868.4-435.4)+(0.722415+(0.442884-0.222054))+0-424.8-0.216647999999957</f>
        <v>1425.4265970000001</v>
      </c>
      <c r="Q336" s="3">
        <f>1417+(1043.5-644)+(-1.44534+(-1.06437--0.65688))+0-434.3--0.442986000000069</f>
        <v>1380.790156</v>
      </c>
      <c r="R336" s="3">
        <f>1415.8+(1386.6-972.8)+(-2.888232+(-2.828664--1.984512))+0-412.1--0.840683999999982</f>
        <v>1414.6083000000001</v>
      </c>
      <c r="S336" s="3">
        <f>1404+(1281.2-829)+(-2.14812+(-1.960236--1.26837))+0-419.8--0.642294000000024</f>
        <v>1434.2023080000001</v>
      </c>
      <c r="T336" s="3">
        <f>1395.6+(1430-971.9)+(0.711756+(0.7293-0.495669))+0-419.2-0.213791999999957</f>
        <v>1435.2315949999997</v>
      </c>
      <c r="U336" s="3">
        <f>1411.3+(1521.3-1050.7)+(-2.879052+(-3.103452--2.143428))+0-417.3--0.851291999999982</f>
        <v>1461.612216</v>
      </c>
      <c r="V336" s="3">
        <f>1503.5+(1307.4-927.6)+(0+(0-0))+0-430.8-0</f>
        <v>1452.5000000000002</v>
      </c>
      <c r="W336" s="3">
        <f>1860.4+(1183.4-1118.7)+(-0.948804+(-0.603534--0.570537))+0-427.5--0.218024999999957</f>
        <v>1496.8362240000001</v>
      </c>
      <c r="X336" s="3">
        <f>1974.1+(1660.2-1535.3)+(-1.006791+(-0.846702--0.783003))+0-427--0.217769999999957</f>
        <v>1671.1472799999999</v>
      </c>
      <c r="Y336" s="3">
        <f>1900.6+(1774.4-1558)+(-2.907918+(-2.714832--2.38374))+0-430.9--0.659277000000025</f>
        <v>1683.5202670000001</v>
      </c>
      <c r="Z336" s="3">
        <f>1693.3+(1907.7-1539)+(-4.317915+(-4.864635--3.92445))+0-428.8--1.09343999999994</f>
        <v>1629.0353399999999</v>
      </c>
      <c r="AA336" s="3">
        <f>1580.2+(1668.3-1225.9)+(0.805902+(0.850833-0.625209))+0-426.1-0.217310999999957</f>
        <v>1597.3142149999999</v>
      </c>
      <c r="AB336" s="3">
        <f>1579.3+(1913-1497.2)+(-3.221772+(-3.90252--3.054288))+0-424.9--0.866795999999981</f>
        <v>1566.9967920000001</v>
      </c>
      <c r="AC336" s="3">
        <f>1451.3+(1535.5-1089.1)+(-2.960652+(-3.13242--2.221764))+0-430.1--0.877403999999981</f>
        <v>1464.6060960000002</v>
      </c>
      <c r="AD336">
        <v>1697.4</v>
      </c>
      <c r="AE336" s="3">
        <f>1967+(1698.9-1531)+(0+(0-0))+0-432.5-0</f>
        <v>1702.4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1413.9+(702.1-335.6)+(-2.884356+(-1.432284--0.684624))+0-429.2--0.875567999999981</f>
        <v>1348.443552</v>
      </c>
      <c r="G337" s="3">
        <f>1413.9+(524.9-219.8)+(-2.163267+(-0.803097--0.336294))+0-426.9--0.653157000000025</f>
        <v>1290.1230870000002</v>
      </c>
      <c r="H337" s="3">
        <f>1413.8+(482.3-216.4)+(-1.442076+(-0.491946--0.220728))+0-430.4--0.439008000000069</f>
        <v>1248.0257140000001</v>
      </c>
      <c r="I337" s="3">
        <f>1414.6+(435.7-193)+(-1.442892+(-0.444414--0.19686))+0-424.2--0.432684000000068</f>
        <v>1231.842238</v>
      </c>
      <c r="J337" s="3">
        <f>1415.6+(480.6-240.1)+(1.443912+(0.490212-0.244902))+0-425.9-0.434418000000068</f>
        <v>1231.4548039999997</v>
      </c>
      <c r="K337" s="3">
        <f>1414.3+(591.8-336.7)+(2.163879+(0.905454-0.515151))+0-421.7-0.645201000000024</f>
        <v>1249.6089809999999</v>
      </c>
      <c r="L337" s="3">
        <f>1414.6+(1049.4-757.9)+(1.442892+(1.070388-0.773058))+0-421.8-0.430236000000067</f>
        <v>1285.6099859999997</v>
      </c>
      <c r="M337" s="3">
        <f>1416.2+(779.2-456.8)+(-0.722262+(-0.397392--0.232968))+0-381.6--0.194615999999961</f>
        <v>1356.3079300000002</v>
      </c>
      <c r="N337" s="3">
        <f>1412.3+(610.4-194.5)+(2.160819+(0.933912-0.297585))+0-363.3-0.555849000000021</f>
        <v>1467.1412969999999</v>
      </c>
      <c r="O337" s="3">
        <f>1395.4+(1138.4-562.1)+(1.423308+(1.161168-0.573342))+0-371.1-0.378522000000059</f>
        <v>1602.2326120000002</v>
      </c>
      <c r="P337" s="3">
        <f>1401.2+(1550.2-1044.1)+(1.429224+(1.581204-1.064982))+0-366.8-0.374136000000058</f>
        <v>1542.07131</v>
      </c>
      <c r="Q337" s="3">
        <f>1529.8+(1586.3-1194.4)+(-0.780198+(-0.809013--0.609144))+0-371.5--0.189464999999962</f>
        <v>1549.4093979999998</v>
      </c>
      <c r="R337" s="3">
        <f>1536.3+(1314.1-984.6)+(-2.350539+(-2.010573--1.506438))+0-382.9--0.585837000000022</f>
        <v>1480.631163</v>
      </c>
      <c r="S337" s="3">
        <f>1537.1+(1252.9-964.9)+(0.783921+(0.638979-0.492099))+0-384.9-0.196298999999961</f>
        <v>1440.9345019999998</v>
      </c>
      <c r="T337" s="3">
        <f>1536.8+(1360.9-1024.3)+(-0.783768+(-0.694059--0.522393))+0-389.6--0.19869599999996</f>
        <v>1483.0432620000001</v>
      </c>
      <c r="U337" s="3">
        <f>1545.1+(1302.7-1010.4)+(-3.152004+(-2.657508--2.061216))+0-389.9--0.795395999999983</f>
        <v>1444.5471000000002</v>
      </c>
      <c r="V337" s="3">
        <f>1601.1+(1124.9-883.8)+(0.816561+(0.573699-0.450738))+0-388.8-0.198287999999961</f>
        <v>1454.1412339999999</v>
      </c>
      <c r="W337" s="3">
        <f>1715.1+(1362.5-1207.3)+(0+(0-0))+0-392.8-0</f>
        <v>1477.5</v>
      </c>
      <c r="X337" s="3">
        <f>1722.5+(2159.3-1830.1)+(-1.75695+(-2.202486--1.866702))+0-396--0.403920000000063</f>
        <v>1654.0111860000004</v>
      </c>
      <c r="Y337" s="3">
        <f>1721.4+(2151.7-1818.1)+(-6.145398+(-7.681569--6.490617))+0-394.3--1.40765100000001</f>
        <v>1654.771301</v>
      </c>
      <c r="Z337" s="3">
        <f>1720.6+(1879.4-1575.4)+(-3.510024+(-3.833976--3.213816))+0-398--0.811919999999983</f>
        <v>1623.2817359999997</v>
      </c>
      <c r="AA337" s="3">
        <f>1719.2+(1352.3-1111.4)+(-5.260752+(-4.138038--3.400884))+0-390.1--1.19370600000005</f>
        <v>1565.1958</v>
      </c>
      <c r="AB337" s="3">
        <f>1620.4+(1696-1401.6)+(-1.652808+(-1.72992--1.429632))+0-401.8--0.409836000000064</f>
        <v>1511.4567400000003</v>
      </c>
      <c r="AC337" s="3">
        <f>1546.6+(1825.4-1476.9)+(-3.155064+(-3.723816--3.012876))+0-415.3--0.847211999999982</f>
        <v>1476.7812079999999</v>
      </c>
      <c r="AD337">
        <v>1796.8999999999996</v>
      </c>
      <c r="AE337" s="3">
        <f>1721+(2256.7-1770.8)+(0+(0-0))+0-406-0</f>
        <v>1800.8999999999996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1546.6+(940.7-631.4)+(-2.366298+(-1.439271--0.966042))+0-414.6--0.634338000000024</f>
        <v>1439.0948110000002</v>
      </c>
      <c r="G338" s="3">
        <f>1547.4+(410.9-236.1)+(-0.789174+(-0.209559--0.120411))+0-420.7--0.214556999999957</f>
        <v>1300.836235</v>
      </c>
      <c r="H338" s="3">
        <f>1546.3+(396.8-318.2)+(-3.943065+(-1.01184--0.81141))+0-417.7--1.06513499999994</f>
        <v>1204.1216399999998</v>
      </c>
      <c r="I338" s="3">
        <f>1506.5+(380.7-273.6)+(-1.53663+(-0.388314--0.279072))+0-419--0.427380000000067</f>
        <v>1193.3815079999999</v>
      </c>
      <c r="J338" s="3">
        <f>1495.7+(392.1-262.3)+(-3.051228+(-0.799884--0.535092))+0-423.3--0.863531999999982</f>
        <v>1199.7475120000001</v>
      </c>
      <c r="K338" s="3">
        <f>1496+(469.8-296.4)+(0+(0-0))+0-421.2-0</f>
        <v>1248.2</v>
      </c>
      <c r="L338" s="3">
        <f>1492.9+(697.3-546.6)+(-3.045516+(-1.422492--1.115064))+0-423.9--0.864755999999981</f>
        <v>1217.211812</v>
      </c>
      <c r="M338" s="3">
        <f>1484.2+(488.7-415.2)+(-0.756942+(-0.249237--0.211752))+0-420.1--0.214250999999957</f>
        <v>1137.019824</v>
      </c>
      <c r="N338" s="3">
        <f>1485.3+(471.5-183.6)+(3.030012+(0.96186-0.374544))+0-428.3-0.873731999999981</f>
        <v>1347.6435959999999</v>
      </c>
      <c r="O338" s="3">
        <f>1526.7+(494.1-220.1)+(0.778617+(0.251991-0.112251))+0-427.3-0.217922999999957</f>
        <v>1374.1004340000002</v>
      </c>
      <c r="P338" s="3">
        <f>1509.5+(993.5-651.3)+(0+(0-0))+0-438-0</f>
        <v>1413.7</v>
      </c>
      <c r="Q338" s="3">
        <f>1438+(1284.2-884.2)+(-2.93352+(-2.619768--1.803768))+0-357.4--0.729095999999984</f>
        <v>1477.5795760000001</v>
      </c>
      <c r="R338" s="3">
        <f>1345.1+(1019-682.7)+(-3.430005+(-2.59845--1.740885))+0-239.8--0.611489999999965</f>
        <v>1437.92392</v>
      </c>
      <c r="S338" s="3">
        <f>1338.5+(883.2-422.3)+(-2.047905+(-1.351296--0.646119))+0-400.5--0.612765000000023</f>
        <v>1396.7596830000002</v>
      </c>
      <c r="T338" s="3">
        <f>1336.3+(1003.1-488.6)+(-2.044539+(-1.534743--0.747558))+0-427.7--0.654381000000025</f>
        <v>1420.9226570000001</v>
      </c>
      <c r="U338" s="3">
        <f>1337.8+(1024.6-523.7)+(-2.046834+(-1.567638--0.801261))+0-409.1--0.625923000000024</f>
        <v>1427.4127119999998</v>
      </c>
      <c r="V338" s="3">
        <f>1338.6+(874.8-385.5)+(1.365372+(0.892296-0.39321))+0-420.8-0.429216000000067</f>
        <v>1408.5352419999999</v>
      </c>
      <c r="W338" s="3">
        <f>1356.2+(1304.9-796.3)+(0.691662+(0.665499-0.406113))+0-426.9-0.217718999999957</f>
        <v>1438.633329</v>
      </c>
      <c r="X338" s="3">
        <f>1549.3+(2217-1700.4)+(0+(0-0))+0-431-0</f>
        <v>1634.8999999999996</v>
      </c>
      <c r="Y338" s="3">
        <f>1664.2+(2277.6-1846.3)+(-4.24371+(-5.80788--4.708065))+0-433.3--1.10491499999994</f>
        <v>1657.9613899999997</v>
      </c>
      <c r="Z338" s="3">
        <f>1668+(2193.9-1814.8)+(0+(0-0))+0-428.8-0</f>
        <v>1618.3000000000002</v>
      </c>
      <c r="AA338" s="3">
        <f>1668+(1443-1115.3)+(-2.55204+(-2.20779--1.706409))+0-423--0.647190000000024</f>
        <v>1570.2937690000001</v>
      </c>
      <c r="AB338" s="3">
        <f>1479.2+(1299.6-830.2)+(-2.263176+(-1.988388--1.270206))+0-433.4--0.663102000000025</f>
        <v>1512.8817439999998</v>
      </c>
      <c r="AC338" s="3">
        <f>1269.1+(1146.5-555.1)+(-1.294482+(-1.16943--0.566202))+0-436.1--0.44482200000007</f>
        <v>1422.9471120000001</v>
      </c>
      <c r="AD338">
        <v>1700.1999999999998</v>
      </c>
      <c r="AE338" s="3">
        <f>1540+(2495.6-1892.9)+(0+(0-0))+0-437.5-0</f>
        <v>1705.1999999999998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1245.4+(641.6-170.6)+(-1.905462+(-0.981648--0.261018))+0-431.6--0.660348000000025</f>
        <v>1282.8342560000003</v>
      </c>
      <c r="G339" s="3">
        <f>1245.8+(616-199.5)+(0+(0-0))+0-431.4-0</f>
        <v>1230.9000000000001</v>
      </c>
      <c r="H339" s="3">
        <f>1245.1+(552.7-191.3)+(-1.905003+(-0.845631--0.292689))+0-435--0.665550000000025</f>
        <v>1169.7076049999998</v>
      </c>
      <c r="I339" s="3">
        <f>1244.8+(530.7-172.1)+(0.634848+(0.270657-0.087771))+0-410.8-0.209507999999958</f>
        <v>1193.2082260000002</v>
      </c>
      <c r="J339" s="3">
        <f>1245.3+(512.4-156.9)+(-0.635103+(-0.261324--0.080019))+0-418.2--0.213281999999958</f>
        <v>1181.9968739999999</v>
      </c>
      <c r="K339" s="3">
        <f>1245.1+(521.7-151.2)+(1.905003+(0.798201-0.231336))+0-423.6-0.648108000000025</f>
        <v>1193.82376</v>
      </c>
      <c r="L339" s="3">
        <f>1245.1+(589.8-179.1)+(-0.635001+(-0.300798--0.091341))+0-425--0.216749999999957</f>
        <v>1230.1722919999997</v>
      </c>
      <c r="M339" s="3">
        <f>1244.9+(743.7-314)+(0.634899+(0.379287-0.16014))+0-416.7-0.212516999999958</f>
        <v>1258.5415290000001</v>
      </c>
      <c r="N339" s="3">
        <f>1318.7+(684.8-201.6)+(-0.672537+(-0.349248--0.102816))+0-430.7--0.219656999999956</f>
        <v>1370.5006879999999</v>
      </c>
      <c r="O339" s="3">
        <f>1338.2+(878.1-349.8)+(-0.682482+(-0.447831--0.178398))+0-405.4--0.206753999999959</f>
        <v>1460.3548389999999</v>
      </c>
      <c r="P339" s="3">
        <f>1371.4+(1101.7-585.1)+(0+(0-0))+0-381.6-0</f>
        <v>1506.4</v>
      </c>
      <c r="Q339" s="3">
        <f>1380.9+(1344.4-851.4)+(-1.408518+(-1.371288--0.868428))+0-382.9--0.390558000000061</f>
        <v>1489.4791800000003</v>
      </c>
      <c r="R339" s="3">
        <f>1273.9+(1833.1-1319.1)+(-2.598756+(-3.739524--2.690964))+0-411--0.838439999999982</f>
        <v>1374.091124</v>
      </c>
      <c r="S339" s="3">
        <f>1252.8+(1803.6-1212.3)+(-1.916784+(-2.759508--1.854819))+0-412.4--0.630972000000024</f>
        <v>1429.5094989999998</v>
      </c>
      <c r="T339" s="3">
        <f>1253+(1959.9-1345.3)+(-2.55612+(-3.998196--2.744412))+0-428.3--0.873731999999981</f>
        <v>1436.3638280000002</v>
      </c>
      <c r="U339" s="3">
        <f>1253.5+(2005.4-1387.6)+(-1.917855+(-3.068262--2.123028))+0-427.1--0.653463000000025</f>
        <v>1441.9903740000004</v>
      </c>
      <c r="V339" s="3">
        <f>1253.8+(1866.8-1255.2)+(-1.278876+(-1.904136--1.280304))+0-428--0.436560000000068</f>
        <v>1435.9338519999999</v>
      </c>
      <c r="W339" s="3">
        <f>1427+(1877.6-1441.5)+(-1.45554+(-1.915152--1.47033))+0-429.2--0.437784000000068</f>
        <v>1432.4374219999997</v>
      </c>
      <c r="X339" s="3">
        <f>1667.5+(2230.6-1831.5)+(-2.551275+(-3.412818--2.802195))+0-431.8--0.660654000000025</f>
        <v>1632.2987560000001</v>
      </c>
      <c r="Y339" s="3">
        <f>1669.4+(2081.7-1659.5)+(-1.702788+(-2.123334--1.69269))+0-434.8--0.443496000000069</f>
        <v>1655.110064</v>
      </c>
      <c r="Z339" s="3">
        <f>1665.1+(2171.2-1784.2)+(-5.095206+(-6.643872--5.459652))+0-430.6--1.31763600000005</f>
        <v>1616.5382099999995</v>
      </c>
      <c r="AA339" s="3">
        <f>1452.3+(1903.2-1357.1)+(-1.481346+(-1.941264--1.384242))+0-429.5--0.438090000000068</f>
        <v>1567.2997220000002</v>
      </c>
      <c r="AB339" s="3">
        <f>1386.3+(1650.5-1089)+(-3.535065+(-4.208775--2.77695))+0-429.1--1.09420499999994</f>
        <v>1514.827315</v>
      </c>
      <c r="AC339" s="3">
        <f>1268.1+(1500.5-907.9)+(-2.586924+(-3.06102--1.852116))+0-433.8--0.884951999999981</f>
        <v>1423.9891239999997</v>
      </c>
      <c r="AD339">
        <v>1641.6</v>
      </c>
      <c r="AE339" s="3">
        <f>1668+(2198.6-1825.1)+(0+(0-0))+0-395.9-0</f>
        <v>1645.6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1239.7+(1005.3-481.4)+(-1.264494+(-1.025406--0.491028))+0-427.5--0.436050000000068</f>
        <v>1334.7371779999999</v>
      </c>
      <c r="G340" s="3">
        <f>1241.2+(658.5-193.9)+(0+(0-0))+0-427.5-0</f>
        <v>1278.3000000000002</v>
      </c>
      <c r="H340" s="3">
        <f>1241+(600.5-160.1)+(-0.63291+(-0.306255--0.081651))+0-434.8--0.221747999999956</f>
        <v>1245.964234</v>
      </c>
      <c r="I340" s="3">
        <f>1241.1+(655.3-241.1)+(2.531844+(1.336812-0.491844))+0-423.2-0.863327999999982</f>
        <v>1234.6134839999997</v>
      </c>
      <c r="J340" s="3">
        <f>1240.2+(634.1-210.8)+(1.897506+(0.970173-0.322524))+0-434.9-0.665397000000025</f>
        <v>1230.4797580000002</v>
      </c>
      <c r="K340" s="3">
        <f>1240.9+(595.7-182.7)+(3.164295+(1.519035-0.465885))+0-429-1.09394999999994</f>
        <v>1228.0234950000001</v>
      </c>
      <c r="L340" s="3">
        <f>1240.2+(798.9-382.4)+(-0.632502+(-0.407439--0.195024))+0-431.3--0.219962999999956</f>
        <v>1224.7750460000002</v>
      </c>
      <c r="M340" s="3">
        <f>1240.2+(694.2-265)+(0+(0-0))+0-427-0</f>
        <v>1242.4000000000001</v>
      </c>
      <c r="N340" s="3">
        <f>1241.4+(666.5-143.5)+(2.532456+(1.35966-0.29274))+0-418-0.852719999999982</f>
        <v>1349.1466559999999</v>
      </c>
      <c r="O340" s="3">
        <f>1254.4+(1490.3-890.4)+(1.279488+(1.520106-0.908208))+0-420.5-0.428910000000067</f>
        <v>1435.2624760000001</v>
      </c>
      <c r="P340" s="3">
        <f>1335.4+(1523.2-964.7)+(0+(0-0))+0-418.7-0</f>
        <v>1475.2</v>
      </c>
      <c r="Q340" s="3">
        <f>1336.3+(1488.7-931.5)+(2.044539+(2.277711-1.425195))+0-422.4-0.646272000000024</f>
        <v>1473.3507829999999</v>
      </c>
      <c r="R340" s="3">
        <f>1336.9+(1271.3-788.5)+(-4.090914+(-3.890178--2.41281))+0-418.5--1.28061000000005</f>
        <v>1396.9123280000001</v>
      </c>
      <c r="S340" s="3">
        <f>1335.8+(774.9-317.1)+(-4.087548+(-2.371194--0.970326))+0-428.3--1.31059800000005</f>
        <v>1361.1221820000001</v>
      </c>
      <c r="T340" s="3">
        <f>1335.9+(612.8-164.2)+(-1.362618+(-0.625056--0.167484))+0-422.1--0.430542000000067</f>
        <v>1361.0103520000002</v>
      </c>
      <c r="U340" s="3">
        <f>1335.9+(590.1-182.6)+(-3.406545+(-1.504755--0.46563))+0-388.6--0.990929999999944</f>
        <v>1351.3452600000001</v>
      </c>
      <c r="V340" s="3">
        <f>1384.2+(584.7-241.2)+(-1.411884+(-0.596394--0.246024))+0-378.9--0.38647800000006</f>
        <v>1347.4242240000001</v>
      </c>
      <c r="W340" s="3">
        <f>1513.6+(660-388.8)+(0+(0-0))+0-412.6-0</f>
        <v>1372.1999999999998</v>
      </c>
      <c r="X340" s="3">
        <f>1670.9+(1258.5-950.6)+(0+(0-0))+0-412.3-0</f>
        <v>1566.5000000000002</v>
      </c>
      <c r="Y340" s="3">
        <f>1662.5+(1730.9-1394.4)+(-1.69575+(-1.765518--1.422288))+0-407.8--0.415956000000065</f>
        <v>1589.5769760000001</v>
      </c>
      <c r="Z340" s="3">
        <f>1472.4+(2002.3-1520.4)+(-3.003696+(-4.084692--3.101616))+0-403.3--0.822731999999982</f>
        <v>1547.8359600000001</v>
      </c>
      <c r="AA340" s="3">
        <f>1294.6+(2161.2-1536.3)+(0+(0-0))+0-401.2-0</f>
        <v>1518.2999999999997</v>
      </c>
      <c r="AB340" s="3">
        <f>1286.9+(1913-1327.1)+(-2.625276+(-3.90252--2.707284))+0-396.9--0.809675999999983</f>
        <v>1472.8891640000004</v>
      </c>
      <c r="AC340" s="3">
        <f>1245.6+(1778.5-1217.8)+(-1.270512+(-1.81407--1.242156))+0-408.6--0.416772000000065</f>
        <v>1396.2743460000002</v>
      </c>
      <c r="AD340">
        <v>1630.1999999999998</v>
      </c>
      <c r="AE340" s="3">
        <f>1672+(1462.7-1068.5)+(0+(0-0))+0-431-0</f>
        <v>1635.1999999999998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1244.3+(1236.3-770.9)+(-1.269186+(-1.261026--0.786318))+1.4-404.6--0.412692000000065</f>
        <v>1305.1687979999999</v>
      </c>
      <c r="G341" s="3">
        <f>1245.4+(849.4-455.5)+(-0.635154+(-0.433194--0.232305))+3-407.4--0.207773999999959</f>
        <v>1234.2717310000003</v>
      </c>
      <c r="H341" s="3">
        <f>1245.7+(549.2-183.7)+(1.905921+(0.840276-0.281061))+3-409.2-0.626076000000024</f>
        <v>1206.83906</v>
      </c>
      <c r="I341" s="3">
        <f>1244.7+(547.5-196.5)+(-1.904391+(-0.837675--0.300645))+0.5-408.6--0.625158000000024</f>
        <v>1185.783737</v>
      </c>
      <c r="J341" s="3">
        <f>1245.1+(530-205.4)+(-0.635001+(-0.2703--0.104754))+0-403--0.205529999999959</f>
        <v>1166.1049829999997</v>
      </c>
      <c r="K341" s="3">
        <f>1245.6+(528-205.7)+(0+(0-0))+0-406.3-0</f>
        <v>1161.5999999999999</v>
      </c>
      <c r="L341" s="3">
        <f>1244.6+(538.1-236.7)+(-2.538984+(-1.097724--0.482868))+0-400.2--0.816407999999982</f>
        <v>1143.4625679999999</v>
      </c>
      <c r="M341" s="3">
        <f>1245+(563.4-279.8)+(-0.63495+(-0.287334--0.142698))+0-401.5--0.204764999999959</f>
        <v>1126.5251789999998</v>
      </c>
      <c r="N341" s="3">
        <f>1217.6+(540.2-182.3)+(-0.620976+(-0.275502--0.092973))+0-401.4--0.204713999999959</f>
        <v>1173.501209</v>
      </c>
      <c r="O341" s="3">
        <f>1268.9+(593.6-207.6)+(0+(0-0))+0-412.9-0</f>
        <v>1242</v>
      </c>
      <c r="P341" s="3">
        <f>1346.4+(746.4-380.8)+(0.686664+(0.380664-0.194208))+0-408.6-0.208385999999959</f>
        <v>1304.0647339999998</v>
      </c>
      <c r="Q341" s="3">
        <f>1344.6+(829.7-466)+(-2.742984+(-1.692588--0.95064))+0-410.3--0.837011999999982</f>
        <v>1295.3520799999999</v>
      </c>
      <c r="R341" s="3">
        <f>1346.2+(695-367.3)+(-2.059686+(-1.06335--0.561969))+0-407.4--0.623322000000023</f>
        <v>1264.5622549999998</v>
      </c>
      <c r="S341" s="3">
        <f>1345.1+(665.9-374.6)+(-2.058003+(-1.018827--0.573138))+0-402.5--0.615825000000023</f>
        <v>1232.0121329999999</v>
      </c>
      <c r="T341" s="3">
        <f>1346.2+(628-327.1)+(-2.059686+(-0.96084--0.500463))+0-408.5--0.625005000000024</f>
        <v>1236.7049420000001</v>
      </c>
      <c r="U341" s="3">
        <f>1345.3+(632.7-330.6)+(-1.372206+(-0.645354--0.337212))+0-413.5--0.421770000000066</f>
        <v>1232.6414220000001</v>
      </c>
      <c r="V341" s="3">
        <f>1345.5+(544.5-230.4)+(0+(0-0))+0-414.7-0</f>
        <v>1244.8999999999999</v>
      </c>
      <c r="W341" s="3">
        <f>1400.5+(750.9-447.6)+(-1.42851+(-0.765918--0.456552))+0-417.3--0.425646000000067</f>
        <v>1285.1877700000002</v>
      </c>
      <c r="X341" s="3">
        <f>1599.8+(1173.2-863.4)+(0+(0-0))+0-426.4-0</f>
        <v>1483.1999999999998</v>
      </c>
      <c r="Y341" s="3">
        <f>1655.2+(1309.5-1026.1)+(0+(0-0))+0-442.5-0</f>
        <v>1496.1000000000001</v>
      </c>
      <c r="Z341" s="3">
        <f>1667.8+(1188.5-934.5)+(-0.850578+(-0.606135--0.476595))+0-444.5--0.226694999999955</f>
        <v>1476.5465770000001</v>
      </c>
      <c r="AA341" s="3">
        <f>1669.1+(896.1-642.9)+(0+(0-0))+0-444.9-0</f>
        <v>1477.4</v>
      </c>
      <c r="AB341" s="3">
        <f>1573.5+(780.6-486.5)+(-4.012425+(-1.99053--1.240575))+0-436.3--1.11256499999994</f>
        <v>1427.650185</v>
      </c>
      <c r="AC341" s="3">
        <f>1286.9+(793.2-303.3)+(-2.625276+(-1.618128--0.618732))+0-441.9--0.901475999999981</f>
        <v>1332.1768040000002</v>
      </c>
      <c r="AD341">
        <v>1512.6</v>
      </c>
      <c r="AE341" s="3">
        <f>1629+(1325.1-1009.2)+(0+(0-0))+0-428.3-0</f>
        <v>1516.6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1244.3+(594.3-155.3)+(0+(0-0))+0-439-0</f>
        <v>1244.3</v>
      </c>
      <c r="G342" s="3">
        <f>1241+(564.4-186)+(0.63291+(0.287844-0.09486))+0-443.7-0.226286999999955</f>
        <v>1176.2996070000002</v>
      </c>
      <c r="H342" s="3">
        <f>1240.6+(563.9-203)+(0+(0-0))+0-451.4-0</f>
        <v>1150.0999999999999</v>
      </c>
      <c r="I342" s="3">
        <f>1241.1+(523-199)+(-0.632961+(-0.26673--0.10149))+0-448.8--0.228887999999954</f>
        <v>1115.7306869999998</v>
      </c>
      <c r="J342" s="3">
        <f>1241.1+(526.1-183.5)+(-0.632961+(-0.268311--0.093585))+0-441.8--0.225317999999955</f>
        <v>1141.3176309999999</v>
      </c>
      <c r="K342" s="3">
        <f>1242.1+(530.3-193.4)+(2.533884+(1.081812-0.394536))+0-443.5-0.904739999999981</f>
        <v>1137.8164200000001</v>
      </c>
      <c r="L342" s="3">
        <f>1242+(587.4-179.5)+(1.26684+(0.599148-0.18309))+0-443.8-0.452676000000071</f>
        <v>1207.330222</v>
      </c>
      <c r="M342" s="3">
        <f>1241.3+(630.3-175)+(0.633063+(0.321453-0.08925))+0-406.4-0.207263999999959</f>
        <v>1290.8580020000002</v>
      </c>
      <c r="N342" s="3">
        <f>1269.5+(722.9-167.3)+(0+(0-0))+0-439.3-0</f>
        <v>1385.8</v>
      </c>
      <c r="O342" s="3">
        <f>1337.3+(1147.7-633.1)+(0+(0-0))+0-444.8-0</f>
        <v>1407.1000000000001</v>
      </c>
      <c r="P342" s="3">
        <f>1445.7+(1469.5-959)+(0.737307+(0.749445-0.48909))+0-446.4-0.227663999999955</f>
        <v>1510.5699979999999</v>
      </c>
      <c r="Q342" s="3">
        <f>1416+(1464.3-909.5)+(-2.16648+(-2.240379--1.391535))+0-441.4--0.675342000000025</f>
        <v>1527.0600180000001</v>
      </c>
      <c r="R342" s="3">
        <f>1377.8+(1282.8-737.6)+(-2.108034+(-1.962684--1.128528))+0-443.1--0.677943000000026</f>
        <v>1477.6357529999998</v>
      </c>
      <c r="S342" s="3">
        <f>1378+(951.2-473.8)+(-1.40556+(-0.970224--0.483276))+0-421.4--0.429828000000067</f>
        <v>1432.5373200000001</v>
      </c>
      <c r="T342" s="3">
        <f>1378+(1012.3-486.9)+(0.70278+(0.516273-0.248319))+0-439.8-0.224297999999955</f>
        <v>1464.3464360000003</v>
      </c>
      <c r="U342" s="3">
        <f>1378.2+(1002.2-456.1)+(0+(0-0))+0-428.9-0</f>
        <v>1495.4</v>
      </c>
      <c r="V342" s="3">
        <f>1459+(1031.4-525)+(-0.74409+(-0.526014--0.26775))+0-444.7--0.226796999999955</f>
        <v>1519.9244430000001</v>
      </c>
      <c r="W342" s="3">
        <f>1558.5+(1198.9-777.9)+(0+(0-0))+0-426.5-0</f>
        <v>1553</v>
      </c>
      <c r="X342" s="3">
        <f>1667.3+(1906.2-1450.4)+(0+(0-0))+0-445.2-0</f>
        <v>1677.8999999999999</v>
      </c>
      <c r="Y342" s="3">
        <f>1668.1+(2012.3-1565.5)+(-3.402924+(-4.105092--3.19362))+0-437--0.891479999999981</f>
        <v>1674.4770839999994</v>
      </c>
      <c r="Z342" s="3">
        <f>1558.1+(2246.5-1716.7)+(0.794631+(1.145715-0.875517))+0-445.5-0.227204999999955</f>
        <v>1643.2376239999996</v>
      </c>
      <c r="AA342" s="3">
        <f>1445.9+(1910.3-1312.2)+(-2.212227+(-2.922759--2.007666))+0-447.6--0.684828000000026</f>
        <v>1593.957508</v>
      </c>
      <c r="AB342" s="3">
        <f>1446.1+(1387.8-843)+(-5.162577+(-4.954446--3.00951))+0-443.4--1.58293800000001</f>
        <v>1541.9754250000001</v>
      </c>
      <c r="AC342" s="3">
        <f>1446+(694-248.6)+(-4.42476+(-2.12364--0.760716))+0-445.5--1.36323000000005</f>
        <v>1441.4755460000003</v>
      </c>
      <c r="AD342">
        <v>1708.9</v>
      </c>
      <c r="AE342" s="3">
        <f>1668+(2124.9-1631.5)+(0+(0-0))+0-447.5-0</f>
        <v>1713.9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1303.9+(727.2-232.7)+(0+(0-0))+0-442.1-0</f>
        <v>1356.3000000000002</v>
      </c>
      <c r="G343" s="3">
        <f>1210.6+(587.8-79.4)+(-2.469624+(-1.199112--0.161976))+0-441.7--0.901067999999981</f>
        <v>1274.6943079999999</v>
      </c>
      <c r="H343" s="3">
        <f>1137.4+(620.5-67.9)+(0.580074+(0.316455-0.034629))+0-444.3-0.226592999999955</f>
        <v>1246.3353070000003</v>
      </c>
      <c r="I343" s="3">
        <f>1139.4+(701.8-166.3)+(-1.743282+(-1.073754--0.254439))+0-441--0.674730000000025</f>
        <v>1232.0121329999999</v>
      </c>
      <c r="J343" s="3">
        <f>1139.8+(697.2-186.7)+(1.743894+(1.066716-0.285651))+0-429.4-0.656982000000025</f>
        <v>1222.767977</v>
      </c>
      <c r="K343" s="3">
        <f>1139.2+(752.7-238.9)+(2.323968+(1.535508-0.487356))+0-439.2-0.895967999999981</f>
        <v>1216.2761519999999</v>
      </c>
      <c r="L343" s="3">
        <f>1140.8+(734.8-199.5)+(0+(0-0))+0-440.4-0</f>
        <v>1235.6999999999998</v>
      </c>
      <c r="M343" s="3">
        <f>1138.5+(721.7-147.9)+(-0.580635+(-0.368067--0.075429))+0-443.5--0.226184999999955</f>
        <v>1268.1529120000002</v>
      </c>
      <c r="N343" s="3">
        <f>1151.6+(995.4-335)+(-1.174632+(-1.015308--0.3417))+0-446.9--0.455838000000071</f>
        <v>1363.7075980000002</v>
      </c>
      <c r="O343" s="3">
        <f>1257.1+(1179.1-643.9)+(-1.282242+(-1.202682--0.656778))+0-441.8--0.45063600000007</f>
        <v>1349.1224899999997</v>
      </c>
      <c r="P343" s="3">
        <f>1363.7+(1488.8-948.2)+(-3.477435+(-3.79644--2.41791))+0-450.2--1.14800999999993</f>
        <v>1450.3920449999998</v>
      </c>
      <c r="Q343" s="3">
        <f>1376+(1729.5-1177.8)+(0+(0-0))+0-424.3-0</f>
        <v>1503.4</v>
      </c>
      <c r="R343" s="3">
        <f>1274+(1791.6-1194.2)+(-0.64974+(-0.913716--0.609042))+0-430.2--0.219401999999956</f>
        <v>1440.4649879999997</v>
      </c>
      <c r="S343" s="3">
        <f>1251.8+(1641.3-1070)+(-1.276836+(-1.674126--1.0914))+0-425.5--0.434010000000068</f>
        <v>1396.174448</v>
      </c>
      <c r="T343" s="3">
        <f>1252.9+(1728.4-1157.2)+(0+(0-0))+0-422.2-0</f>
        <v>1401.9</v>
      </c>
      <c r="U343" s="3">
        <f>1251.8+(1508.1-935.5)+(-0.638418+(-0.769131--0.477105))+0-393.7--0.20078699999996</f>
        <v>1429.9703429999997</v>
      </c>
      <c r="V343" s="3">
        <f>1251.4+(1133-551.9)+(-1.914642+(-1.73349--0.844407))+0-418.6--0.640458000000024</f>
        <v>1411.736733</v>
      </c>
      <c r="W343" s="3">
        <f>1417.8+(1194.3-767.7)+(-1.446156+(-1.218186--0.783054))+0-440.1--0.44890200000007</f>
        <v>1402.8676139999998</v>
      </c>
      <c r="X343" s="3">
        <f>1666.4+(1477.6-1113.2)+(-2.549592+(-2.260728--1.703196))+0-436.1--0.667233000000025</f>
        <v>1592.2601089999998</v>
      </c>
      <c r="Y343" s="3">
        <f>1665+(1596-1194.5)+(-1.6983+(-1.62792--1.21839))+0-437.2--0.44594400000007</f>
        <v>1627.6381140000001</v>
      </c>
      <c r="Z343" s="3">
        <f>1498.7+(1725.1-1186.7)+(0+(0-0))+0-443.8-0</f>
        <v>1593.3</v>
      </c>
      <c r="AA343" s="3">
        <f>1479.6+(1428.9-903.5)+(-1.509192+(-1.457478--0.92157))+0-439--0.44778000000007</f>
        <v>1564.4026799999999</v>
      </c>
      <c r="AB343" s="3">
        <f>1424.9+(1406.8-881.1)+(-3.633495+(-3.58734--2.246805))+0-406.3--1.03606499999994</f>
        <v>1540.3620349999999</v>
      </c>
      <c r="AC343" s="3">
        <f>1268.9+(1128.9-576.3)+(-1.294278+(-1.151478--0.587826))+0-395.8--0.403716000000063</f>
        <v>1424.2457860000004</v>
      </c>
      <c r="AD343">
        <v>1627.7000000000003</v>
      </c>
      <c r="AE343" s="3">
        <f>1665+(1682-1291.2)+(0+(0-0))+0-423.1-0</f>
        <v>1632.7000000000003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1241.9+(614.9-142.9)+(-1.900107+(-0.940797--0.218637))+0-387.1--0.592263000000022</f>
        <v>1324.769996</v>
      </c>
      <c r="G344" s="3">
        <f>1240.9+(538.9-129.4)+(-0.632859+(-0.274839--0.065994))+0-382.5--0.195074999999961</f>
        <v>1267.253371</v>
      </c>
      <c r="H344" s="3">
        <f>1241.1+(510-133.5)+(1.265922+(0.5202-0.13617))+0-380.4-0.388008000000061</f>
        <v>1238.4619439999999</v>
      </c>
      <c r="I344" s="3">
        <f>1241.7+(562.2-193.5)+(0+(0-0))+0-382.6-0</f>
        <v>1227.8000000000002</v>
      </c>
      <c r="J344" s="3">
        <f>1241.6+(601.7-229.4)+(-1.266432+(-0.613734--0.233988))+0-383.1--0.390762000000061</f>
        <v>1229.5445840000002</v>
      </c>
      <c r="K344" s="3">
        <f>1241.2+(687-321.2)+(-0.633012+(-0.35037--0.163812))+0-385.4--0.196553999999961</f>
        <v>1220.9769839999997</v>
      </c>
      <c r="L344" s="3">
        <f>1241.3+(902.3-522.8)+(-3.165315+(-2.300865--1.33314))+0-382--0.974099999999945</f>
        <v>1235.6410599999999</v>
      </c>
      <c r="M344" s="3">
        <f>1240.6+(851.2-415)+(1.265412+(0.868224-0.4233))+0-384.6-0.392292000000061</f>
        <v>1293.5180439999999</v>
      </c>
      <c r="N344" s="3">
        <f>1238.6+(752.3-228.4)+(1.895058+(1.151019-0.349452))+0-373.7-0.571761000000022</f>
        <v>1390.9248640000001</v>
      </c>
      <c r="O344" s="3">
        <f>1304.5+(876.2-347.4)+(-3.326475+(-2.23431--0.88587))+0-369.6--0.942479999999946</f>
        <v>1459.9675650000001</v>
      </c>
      <c r="P344" s="3">
        <f>1278.3+(1072.5-536.4)+(1.303866+(1.09395-0.547128))+0-367-0.374340000000059</f>
        <v>1448.876348</v>
      </c>
      <c r="Q344" s="3">
        <f>1254.2+(1297.3-786.4)+(-1.279284+(-1.323246--0.802128))+0-345.1--0.352002000000055</f>
        <v>1418.5515999999998</v>
      </c>
      <c r="R344" s="3">
        <f>1253.5+(1201.1-591.8)+(-0.639285+(-0.612561--0.301818))+0-360.7--0.183956999999963</f>
        <v>1501.3339289999999</v>
      </c>
      <c r="S344" s="3">
        <f>1253.1+(1276.7-714.8)+(-1.278162+(-1.302234--0.729096))+0-368.9--0.376278000000059</f>
        <v>1444.6249780000001</v>
      </c>
      <c r="T344" s="3">
        <f>1253.8+(1225.7-717.8)+(-0.639438+(-0.625107--0.366078))+0-372.4--0.189923999999962</f>
        <v>1388.5914570000002</v>
      </c>
      <c r="U344" s="3">
        <f>1253.5+(1237.9-696.9)+(-2.55714+(-2.525316--1.421676))+0-372.1--0.759083999999984</f>
        <v>1419.498304</v>
      </c>
      <c r="V344" s="3">
        <f>1290.9+(1393-897.4)+(-0.658359+(-0.71043--0.457674))+0-372.2--0.189821999999962</f>
        <v>1413.5787069999999</v>
      </c>
      <c r="W344" s="3">
        <f>1514.8+(1158.8-878.6)+(-3.090192+(-2.363952--1.792344))+0-372.1--0.759083999999984</f>
        <v>1419.9972839999998</v>
      </c>
      <c r="X344" s="3">
        <f>1666.4+(1249.3-936.1)+(-0.849864+(-0.637143--0.477411))+0-372.5--0.189974999999962</f>
        <v>1606.2803789999998</v>
      </c>
      <c r="Y344" s="3">
        <f>1666+(1565-1210.4)+(-4.2483+(-3.99075--3.08652))+0-372.1--0.948854999999946</f>
        <v>1644.2963249999996</v>
      </c>
      <c r="Z344" s="3">
        <f>1662.5+(1349.4-1030.1)+(-2.543625+(-2.064582--1.576053))+0-370.7--0.567171000000021</f>
        <v>1608.6350170000001</v>
      </c>
      <c r="AA344" s="3">
        <f>1497.4+(1041.2-592.3)+(-0.763674+(-0.531012--0.302073))+0-372.1--0.189770999999962</f>
        <v>1573.3971580000004</v>
      </c>
      <c r="AB344" s="3">
        <f>1481.5+(941.6-516.7)+(-0.755565+(-0.480216--0.263517))+0-411.8--0.210017999999958</f>
        <v>1493.8377540000001</v>
      </c>
      <c r="AC344" s="3">
        <f>1416.8+(711.7-297.5)+(0+(0-0))+0-414.2-0</f>
        <v>1416.8</v>
      </c>
      <c r="AD344">
        <v>1681.7999999999997</v>
      </c>
      <c r="AE344" s="3">
        <f>1666+(1539.5-1151.3)+(0+(0-0))+0-368.4-0</f>
        <v>1685.7999999999997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1240.7+(805.5-300.6)+(-3.163785+(-2.054025--0.76653))+0-401.8--1.02458999999994</f>
        <v>1340.3733099999999</v>
      </c>
      <c r="G345" s="3">
        <f>1240.8+(756.6-322.7)+(-1.898424+(-1.157598--0.493731))+0-399.6--0.611388000000023</f>
        <v>1273.1490970000002</v>
      </c>
      <c r="H345" s="3">
        <f>1239.6+(941.9-545.8)+(-1.264392+(-0.960738--0.556716))+0-398.5--0.406470000000064</f>
        <v>1235.938056</v>
      </c>
      <c r="I345" s="3">
        <f>1240+(954.9-574.4)+(-1.8972+(-1.460997--0.878832))+0-383.8--0.587214000000022</f>
        <v>1234.8078490000003</v>
      </c>
      <c r="J345" s="3">
        <f>1240+(830.1-468.3)+(1.2648+(0.846702-0.477666))+0-382.9-0.390558000000061</f>
        <v>1220.143278</v>
      </c>
      <c r="K345" s="3">
        <f>1239.7+(874-509)+(0.632247+(0.44574-0.25959))+0-381-0.194309999999961</f>
        <v>1224.3240870000002</v>
      </c>
      <c r="L345" s="3">
        <f>1239.4+(1132.2-739.5)+(0.632094+(0.577422-0.377145))+0-386.9-0.197318999999961</f>
        <v>1245.8350520000004</v>
      </c>
      <c r="M345" s="3">
        <f>1238+(917.4-475.2)+(0.63138+(0.467874-0.242352))+0-385.2-0.196451999999961</f>
        <v>1295.6604500000001</v>
      </c>
      <c r="N345" s="3">
        <f>1132.5+(833.7-197.2)+(1.15515+(0.850374-0.201144))+0-374.5-0.38199000000006</f>
        <v>1395.92239</v>
      </c>
      <c r="O345" s="3">
        <f>1129.7+(1112.9-395.8)+(1.152294+(1.135158-0.403716))+0-379.8-0.387396000000061</f>
        <v>1468.4963400000001</v>
      </c>
      <c r="P345" s="3">
        <f>1250.2+(1278.2-648.4)+(-1.912806+(-1.955646--0.992052))+0-388.4--0.594252000000022</f>
        <v>1489.3178519999999</v>
      </c>
      <c r="Q345" s="3">
        <f>1250.8+(1502.6-853.7)+(-1.275816+(-1.532652--0.870774))+0-383.8--0.391476000000061</f>
        <v>1514.3537819999999</v>
      </c>
      <c r="R345" s="3">
        <f>1249+(1215.3-648.9)+(-3.18495+(-3.099015--1.654695))+0-391--0.997049999999943</f>
        <v>1420.7677800000001</v>
      </c>
      <c r="S345" s="3">
        <f>1252.6+(1031.2-520.4)+(1.277652+(1.051824-0.530808))+0-404.8-0.412896000000065</f>
        <v>1359.985772</v>
      </c>
      <c r="T345" s="3">
        <f>1250.9+(1052.4-506.3)+(-1.275918+(-1.073448--0.516426))+0-387.6--0.395352000000062</f>
        <v>1407.9624120000003</v>
      </c>
      <c r="U345" s="3">
        <f>1253.2+(1197.4-646.2)+(2.556528+(2.442696-1.318248))+0-376.5-0.768059999999984</f>
        <v>1430.8129160000003</v>
      </c>
      <c r="V345" s="3">
        <f>1293.1+(1265.9-753.3)+(-1.318962+(-1.291218--0.768366))+0-373.8--0.38127600000006</f>
        <v>1430.439462</v>
      </c>
      <c r="W345" s="3">
        <f>1649.6+(973.3-823.3)+(0.841296+(0.496383-0.419883))+0-356.8-0.181967999999964</f>
        <v>1443.535828</v>
      </c>
      <c r="X345" s="3">
        <f>1667.9+(1313.3-1050.6)+(1.701258+(1.339566-1.071612))+0-362-0.369240000000058</f>
        <v>1570.1999720000001</v>
      </c>
      <c r="Y345" s="3">
        <f>1667.9+(1542.2-1190.7)+(0.850629+(0.786522-0.607257))+0-364.7-0.185996999999963</f>
        <v>1655.543897</v>
      </c>
      <c r="Z345" s="3">
        <f>1666.2+(1551.3-1231.6)+(-1.699524+(-1.582326--1.256232))+0-364.8--0.372096000000058</f>
        <v>1619.4464780000003</v>
      </c>
      <c r="AA345" s="3">
        <f>1667.2+(1284.2-993.7)+(-1.700544+(-1.309884--1.013574))+0-366.5--0.373830000000058</f>
        <v>1589.5769760000001</v>
      </c>
      <c r="AB345" s="3">
        <f>1565.1+(1110.1-748.4)+(-2.394603+(-1.698453--1.145052))+0-390.7--0.597771000000023</f>
        <v>1533.7497669999996</v>
      </c>
      <c r="AC345" s="3">
        <f>1433.1+(791.3-376.7)+(-2.192643+(-1.210689--0.576351))+0-404.4--0.618732000000023</f>
        <v>1441.0917510000002</v>
      </c>
      <c r="AD345">
        <v>1632.6999999999998</v>
      </c>
      <c r="AE345" s="3">
        <f>1666+(1610.5-1276.4)+(0+(0-0))+0-367.4-0</f>
        <v>1632.6999999999998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1264.5+(618.7-129.5)+(0+(0-0))+0-411.6-0</f>
        <v>1342.1</v>
      </c>
      <c r="G346" s="3">
        <f>1241.9+(598.6-175.8)+(-2.533476+(-1.221144--0.358632))+0-388.8--0.793151999999983</f>
        <v>1273.2971640000001</v>
      </c>
      <c r="H346" s="3">
        <f>1242.2+(718.2-313.1)+(-1.900566+(-1.098846--0.479043))+0-420.2--0.642906000000024</f>
        <v>1225.2225370000001</v>
      </c>
      <c r="I346" s="3">
        <f>1241.2+(723.3-315.4)+(-1.266024+(-0.737766--0.321708))+0-420.9--0.429318000000067</f>
        <v>1226.947236</v>
      </c>
      <c r="J346" s="3">
        <f>1241.2+(654.2-253.9)+(0.633012+(0.333642-0.129489))+0-420.9-0.214658999999957</f>
        <v>1221.2225059999998</v>
      </c>
      <c r="K346" s="3">
        <f>1241.5+(688.1-295.5)+(0.633165+(0.350931-0.150705))+0-419.9-0.214148999999957</f>
        <v>1214.819242</v>
      </c>
      <c r="L346" s="3">
        <f>1241.4+(937.6-534.9)+(0.633114+(0.478176-0.272799))+0-422.4-0.215423999999957</f>
        <v>1222.3230670000003</v>
      </c>
      <c r="M346" s="3">
        <f>1242.3+(874.8-410.5)+(0+(0-0))+0-419.4-0</f>
        <v>1287.1999999999998</v>
      </c>
      <c r="N346" s="3">
        <f>1237.3+(768.9-187.1)+(0.631023+(0.392139-0.095421))+0-418.5-0.213434999999958</f>
        <v>1401.314306</v>
      </c>
      <c r="O346" s="3">
        <f>1248.5+(1062.6-427.5)+(0+(0-0))+0-420.7-0</f>
        <v>1462.8999999999999</v>
      </c>
      <c r="P346" s="3">
        <f>1253.7+(1310.1-663.9)+(-2.557548+(-2.672604--1.354356))+0-397.3--0.810491999999983</f>
        <v>1499.5346960000002</v>
      </c>
      <c r="Q346" s="3">
        <f>1254.4+(1524.9-869.8)+(0+(0-0))+0-417.9-0</f>
        <v>1491.6000000000004</v>
      </c>
      <c r="R346" s="3">
        <f>1253.4+(1234.5-631.8)+(-1.278468+(-1.25919--0.644436))+0-420.4--0.428808000000067</f>
        <v>1434.2355860000002</v>
      </c>
      <c r="S346" s="3">
        <f>1254+(1040.4-466.7)+(-0.63954+(-0.530604--0.238017))+0-424.9--0.216698999999957</f>
        <v>1402.0845720000002</v>
      </c>
      <c r="T346" s="3">
        <f>1253.7+(1029.5-469.7)+(0.639387+(0.525045-0.239547))+0-398.8-0.20338799999996</f>
        <v>1415.421497</v>
      </c>
      <c r="U346" s="3">
        <f>1254.1+(1063.4-484.1)+(-3.197955+(-2.71167--1.234455))+0-393--1.00214999999994</f>
        <v>1436.7269800000001</v>
      </c>
      <c r="V346" s="3">
        <f>1338.3+(818.1-341.5)+(0+(0-0))+0-386.1-0</f>
        <v>1428.8000000000002</v>
      </c>
      <c r="W346" s="3">
        <f>1436.2+(862-442.6)+(-2.929848+(-1.75848--0.902904))+0-413.3--0.843131999999982</f>
        <v>1439.357708</v>
      </c>
      <c r="X346" s="3">
        <f>1644.2+(1389.1-1006.3)+(-1.677084+(-1.416882--1.026426))+0-424.2--0.432684000000068</f>
        <v>1601.1651440000001</v>
      </c>
      <c r="Y346" s="3">
        <f>1661.6+(1548.1-1156.9)+(-5.084496+(-4.737186--3.540114))+0-425.7--1.30264200000005</f>
        <v>1622.1210739999997</v>
      </c>
      <c r="Z346" s="3">
        <f>1516.8+(1504.6-1027.8)+(-2.320704+(-2.302038--1.572534))+0-418.2--0.639846000000024</f>
        <v>1572.9896379999998</v>
      </c>
      <c r="AA346" s="3">
        <f>1482.2+(1088.3-599.8)+(-1.511844+(-1.110066--0.611796))+0-423.8--0.432276000000068</f>
        <v>1545.3221620000002</v>
      </c>
      <c r="AB346" s="3">
        <f>1482.7+(920.9-485.9)+(-2.268531+(-1.408977--0.743427))+0-411.8--0.630054000000024</f>
        <v>1503.595973</v>
      </c>
      <c r="AC346" s="3">
        <f>1413.8+(643.5-222.2)+(-3.60519+(-1.640925--0.56661))+0-418.5--1.06717499999994</f>
        <v>1412.9876699999998</v>
      </c>
      <c r="AD346">
        <v>1639.1</v>
      </c>
      <c r="AE346" s="3">
        <f>1660+(1623.5-1200.5)+(0+(0-0))+0-439.9-0</f>
        <v>1643.1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1229.6+(718.7-212.8)+(-2.508384+(-1.466148--0.434112))+0-424.3--0.865571999999981</f>
        <v>1308.5251519999999</v>
      </c>
      <c r="G347" s="3">
        <f>1192+(661.4-193.3)+(1.82376+(1.011942-0.295749))+0-415.9-0.636327000000024</f>
        <v>1246.1036259999998</v>
      </c>
      <c r="H347" s="3">
        <f>1190.3+(679.6-237.8)+(-3.035265+(-1.73298--0.60639))+0-418.5--1.06717499999994</f>
        <v>1210.5053199999998</v>
      </c>
      <c r="I347" s="3">
        <f>1191.6+(857.9-428.2)+(1.215432+(0.875058-0.436764))+0-420-0.428400000000067</f>
        <v>1202.5253259999999</v>
      </c>
      <c r="J347" s="3">
        <f>1188.1+(787.5-353.5)+(-2.423724+(-1.6065--0.72114))+0-422.6--0.862103999999982</f>
        <v>1197.0530200000001</v>
      </c>
      <c r="K347" s="3">
        <f>1187+(829.9-404.3)+(-1.21074+(-0.846498--0.412386))+0-417.6--0.425952000000067</f>
        <v>1193.7811000000002</v>
      </c>
      <c r="L347" s="3">
        <f>1177.2+(1059.8-627.1)+(-2.401488+(-2.161992--1.279284))+0-414.3--0.845171999999982</f>
        <v>1193.1609760000001</v>
      </c>
      <c r="M347" s="3">
        <f>1177.6+(1013.2-534.8)+(3.603456+(3.100392-1.636488))+0-412.9-1.26347400000005</f>
        <v>1246.9038859999998</v>
      </c>
      <c r="N347" s="3">
        <f>1138.6+(802.2-178.2)+(2.322744+(1.636488-0.363528))+0-422.6-0.862103999999982</f>
        <v>1342.7335999999998</v>
      </c>
      <c r="O347" s="3">
        <f>1150.7+(1246.5-539.7)+(-0.586857+(-0.635715--0.275247))+0-409.2--0.208691999999958</f>
        <v>1447.5613669999998</v>
      </c>
      <c r="P347" s="3">
        <f>1225.9+(1831.1-1149.7)+(1.250418+(1.867722-1.172694))+0-417.4-0.425748000000067</f>
        <v>1491.4196979999997</v>
      </c>
      <c r="Q347" s="3">
        <f>1197.1+(1928.3-1202.6)+(0+(0-0))+0-419.2-0</f>
        <v>1503.6</v>
      </c>
      <c r="R347" s="3">
        <f>1121.2+(1570.8-824.5)+(-3.430872+(-4.806648--2.52297))+0-428.9--1.31243400000005</f>
        <v>1434.1978840000002</v>
      </c>
      <c r="S347" s="3">
        <f>1082.2+(1281-573.8)+(-3.311532+(-3.91986--1.755828))+0-420.5--1.28673000000005</f>
        <v>1364.711166</v>
      </c>
      <c r="T347" s="3">
        <f>1082.1+(1033.1-331.6)+(2.207484+(2.107524-0.676464))+0-408.2-0.832727999999982</f>
        <v>1378.2058159999997</v>
      </c>
      <c r="U347" s="3">
        <f>1083.1+(1035.2-317.3)+(0.552381+(0.527952-0.161823))+0-410.8-0.209507999999958</f>
        <v>1390.9090020000001</v>
      </c>
      <c r="V347" s="3">
        <f>1157.8+(1001.1-363.5)+(-0.590478+(-0.510561--0.185385))+0-420.4--0.214403999999957</f>
        <v>1374.2987500000002</v>
      </c>
      <c r="W347" s="3">
        <f>1334.4+(740.3-248.2)+(-1.361088+(-0.755106--0.253164))+0-426.4--0.434928000000068</f>
        <v>1398.6718980000001</v>
      </c>
      <c r="X347" s="3">
        <f>1346.3+(1127.1-519.4)+(-0.686613+(-0.574821--0.264894))+0-426.6--0.217565999999957</f>
        <v>1526.621026</v>
      </c>
      <c r="Y347" s="3">
        <f>1316.5+(1293.1-608.1)+(-2.014245+(-1.978443--0.930393))+0-432.2--0.661266000000025</f>
        <v>1566.8989710000001</v>
      </c>
      <c r="Z347" s="3">
        <f>1099.3+(1421-564.8)+(-2.242572+(-2.89884--1.152192))+0-431.5--0.880259999999981</f>
        <v>1520.89104</v>
      </c>
      <c r="AA347" s="3">
        <f>1098.6+(1083.3-265.3)+(0+(0-0))+0-429.9-0</f>
        <v>1486.6999999999998</v>
      </c>
      <c r="AB347" s="3">
        <f>1099+(847.9-79)+(-2.80245+(-2.162145--0.20145))+0-425.3--1.08451499999994</f>
        <v>1438.9213700000003</v>
      </c>
      <c r="AC347" s="3">
        <f>1047+(879.8-127.3)+(0+(0-0))+0-425.2-0</f>
        <v>1374.3</v>
      </c>
      <c r="AD347">
        <v>1549.5</v>
      </c>
      <c r="AE347" s="3">
        <f>1339+(1399.9-746.7)+(0+(0-0))+0-438.7-0</f>
        <v>1553.5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979.5+(880.3-131.7)+(-1.99818+(-1.795812--0.268668))+0-426.9--0.870875999999981</f>
        <v>1298.545552</v>
      </c>
      <c r="G348" s="3">
        <f>953.5+(797.1-113.5)+(0+(0-0))+0-426.4-0</f>
        <v>1210.6999999999998</v>
      </c>
      <c r="H348" s="3">
        <f>910.8+(805.2-113.4)+(0.464508+(0.410652-0.057834))+0-422.2-0.215321999999957</f>
        <v>1181.0020039999999</v>
      </c>
      <c r="I348" s="3">
        <f>908.9+(839.5-164.3)+(-0.927078+(-0.85629--0.167586))+0-417.7--0.426054000000067</f>
        <v>1165.2102719999998</v>
      </c>
      <c r="J348" s="3">
        <f>905.8+(773-113.8)+(-2.30979+(-1.97115--0.29019))+0-413.7--1.05493499999994</f>
        <v>1148.3641849999999</v>
      </c>
      <c r="K348" s="3">
        <f>910.3+(800.7-155)+(0.928506+(0.816714-0.1581))+0-416-0.424320000000066</f>
        <v>1141.1627999999998</v>
      </c>
      <c r="L348" s="3">
        <f>907.3+(931.1-305.7)+(0.462723+(0.474861-0.155907))+0-417.2-0.212771999999958</f>
        <v>1116.0689050000001</v>
      </c>
      <c r="M348" s="3">
        <f>917.2+(1071.3-460.2)+(0+(0-0))+0-420.4-0</f>
        <v>1107.9000000000001</v>
      </c>
      <c r="N348" s="3">
        <f>982+(1273.4-679.5)+(0.50082+(0.649434-0.346545))+0-417.9-0.213128999999958</f>
        <v>1158.5905800000003</v>
      </c>
      <c r="O348" s="3">
        <f>1080.2+(1070.9-499.2)+(1.101804+(1.092318-0.509184))+0-422.9-0.431358000000067</f>
        <v>1230.2535800000003</v>
      </c>
      <c r="P348" s="3">
        <f>1080.4+(844.2-225.5)+(-0.551004+(-0.430542--0.115005))+0-422.7--0.215576999999957</f>
        <v>1275.7490359999999</v>
      </c>
      <c r="Q348" s="3">
        <f>1080.2+(809.6-181.5)+(-0.550902+(-0.412896--0.092565))+0-425.7--0.217106999999957</f>
        <v>1281.945874</v>
      </c>
      <c r="R348" s="3">
        <f>1079.7+(786.8-189.5)+(0+(0-0))+0-420-0</f>
        <v>1257</v>
      </c>
      <c r="S348" s="3">
        <f>1078.3+(754.1-180.3)+(0+(0-0))+0-416.2-0</f>
        <v>1235.8999999999999</v>
      </c>
      <c r="T348" s="3">
        <f>1080.1+(743.8-165.9)+(0+(0-0))+0-421.5-0</f>
        <v>1236.5</v>
      </c>
      <c r="U348" s="3">
        <f>1079.1+(726.4-156.4)+(0+(0-0))+0-420.2-0</f>
        <v>1228.8999999999999</v>
      </c>
      <c r="V348" s="3">
        <f>1080.1+(751.5-167.4)+(0+(0-0))+0-422-0</f>
        <v>1242.1999999999998</v>
      </c>
      <c r="W348" s="3">
        <f>1238.6+(1025.1-487.1)+(0+(0-0))+0-422-0</f>
        <v>1354.6</v>
      </c>
      <c r="X348" s="3">
        <f>1319.5+(1618.8-1083.6)+(0+(0-0))+0-407.7-0</f>
        <v>1447</v>
      </c>
      <c r="Y348" s="3">
        <f>1316.3+(1984.6-1378)+(0+(0-0))+0-423.6-0</f>
        <v>1499.2999999999997</v>
      </c>
      <c r="Z348" s="3">
        <f>1317.8+(2014.3-1436.7)+(0+(0-0))+0-414.5-0</f>
        <v>1480.8999999999999</v>
      </c>
      <c r="AA348" s="3">
        <f>1318.1+(1518.4-955.9)+(0+(0-0))+0-424-0</f>
        <v>1456.6</v>
      </c>
      <c r="AB348" s="3">
        <f>1300.3+(1187.8-622.8)+(0+(0-0))+0-426.4-0</f>
        <v>1438.9</v>
      </c>
      <c r="AC348" s="3">
        <f>1102.4+(1072.7-401.5)+(0+(0-0))+0-422-0</f>
        <v>1351.6000000000001</v>
      </c>
      <c r="AD348">
        <v>1512.4</v>
      </c>
      <c r="AE348" s="3">
        <f>1334+(1899-1283.8)+(0+(0-0))+0-432.8-0</f>
        <v>1516.4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927.7+(848.7-126.5)+(0+(0-0))+0-423.8-0</f>
        <v>1226.1000000000001</v>
      </c>
      <c r="G349" s="3">
        <f>909.2+(931.1-230.5)+(0+(0-0))+0-420.6-0</f>
        <v>1189.2000000000003</v>
      </c>
      <c r="H349" s="3">
        <f>907.8+(1039.6-382)+(0+(0-0))+0-417.8-0</f>
        <v>1147.5999999999999</v>
      </c>
      <c r="I349" s="3">
        <f>908.3+(963.8-370.7)+(0+(0-0))+5.5-411.1-0</f>
        <v>1095.7999999999997</v>
      </c>
      <c r="J349" s="3">
        <f>908.6+(1044.3-435.9)+(0+(0-0))+0-426.9-0</f>
        <v>1090.0999999999999</v>
      </c>
      <c r="K349" s="3">
        <f>908.4+(1021.1-389.7)+(0+(0-0))+0-419.1-0</f>
        <v>1120.7000000000003</v>
      </c>
      <c r="L349" s="3">
        <f>908.1+(1203.8-546.3)+(2.315655+(3.06969-1.393065))+0-420.7-1.07278499999994</f>
        <v>1147.819495</v>
      </c>
      <c r="M349" s="3">
        <f>908.7+(1389.9-687.5)+(1.853748+(2.835396-1.4025))+0-423.6-0.864143999999982</f>
        <v>1189.9225000000004</v>
      </c>
      <c r="N349" s="3">
        <f>909+(1061.9-243.8)+(0+(0-0))+0-423.9-0</f>
        <v>1303.2000000000003</v>
      </c>
      <c r="O349" s="3">
        <f>962.4+(966.8-109.6)+(0.490824+(0.493068-0.055896))+0-424.8-0.216647999999957</f>
        <v>1395.511348</v>
      </c>
      <c r="P349" s="3">
        <f>1144.9+(1077.8-361)+(0.583899+(0.549678-0.18411))+0-404.4-0.206243999999959</f>
        <v>1458.0432230000001</v>
      </c>
      <c r="Q349" s="3">
        <f>1195.1+(1242.1-547.5)+(-1.828503+(-1.900413--0.837675))+0-413.5--0.632655000000024</f>
        <v>1473.9414139999999</v>
      </c>
      <c r="R349" s="3">
        <f>1201.6+(1068.6-437.9)+(0+(0-0))+0-419.3-0</f>
        <v>1412.9999999999998</v>
      </c>
      <c r="S349" s="3">
        <f>1201.1+(902.6-316.4)+(-1.225122+(-0.920652--0.322728))+0-417.3--0.425646000000067</f>
        <v>1368.6026000000002</v>
      </c>
      <c r="T349" s="3">
        <f>1201.9+(827.1-230.5)+(0+(0-0))+0-409.6-0</f>
        <v>1388.9</v>
      </c>
      <c r="U349" s="3">
        <f>1201.6+(801.9-201.2)+(-1.838448+(-1.226907--0.307836))+0-418--0.639540000000024</f>
        <v>1382.1820210000001</v>
      </c>
      <c r="V349" s="3">
        <f>1201.4+(821.6-203.6)+(0.612714+(0.419016-0.103836))+0-428.2-0.218381999999957</f>
        <v>1391.9095119999999</v>
      </c>
      <c r="W349" s="3">
        <f>1254.8+(799.6-268.6)+(-1.279896+(-0.815592--0.273972))+0-393.3--0.401166000000063</f>
        <v>1391.0796500000001</v>
      </c>
      <c r="X349" s="3">
        <f>1321+(1277.1-634.8)+(0+(0-0))+0-405.9-0</f>
        <v>1557.4</v>
      </c>
      <c r="Y349" s="3">
        <f>1318.7+(1679.2-961)+(-2.017611+(-2.569176--1.47033))+0-423.9--0.648567000000024</f>
        <v>1610.5321099999999</v>
      </c>
      <c r="Z349" s="3">
        <f>1317.5+(2007.7-1323.4)+(-2.015775+(-3.071781--2.024802))+0-418--0.639540000000024</f>
        <v>1581.376786</v>
      </c>
      <c r="AA349" s="3">
        <f>1320+(1902.8-1288.6)+(-0.6732+(-0.970428--0.657186))+0-387.1--0.197420999999961</f>
        <v>1546.3109789999999</v>
      </c>
      <c r="AB349" s="3">
        <f>1319.2+(1248-688.4)+(-2.691168+(-2.54592--1.404336))+0-393.4--0.802535999999983</f>
        <v>1482.3697840000002</v>
      </c>
      <c r="AC349" s="3">
        <f>1318.6+(755.4-280)+(-3.36243+(-1.92627--0.714))+0-386.6--0.985829999999944</f>
        <v>1403.8111299999998</v>
      </c>
      <c r="AD349">
        <v>1684.4</v>
      </c>
      <c r="AE349" s="3">
        <f>1317+(1527.8-721.5)+(0+(0-0))+0-434.9-0</f>
        <v>1688.4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1157.5+(729.6-181.8)+(-2.951625+(-1.86048--0.46359))+0-389.7--0.993734999999943</f>
        <v>1312.24522</v>
      </c>
      <c r="G350" s="3">
        <f>909+(803.4-74.2)+(-2.31795+(-2.04867--0.18921))+0-395.6--1.00877999999994</f>
        <v>1239.4313699999996</v>
      </c>
      <c r="H350" s="3">
        <f>872+(807.9-71.7)+(-2.2236+(-2.060145--0.182835))+0-401.6--1.02407999999994</f>
        <v>1203.5231699999997</v>
      </c>
      <c r="I350" s="3">
        <f>872.2+(790-62.9)+(-0.444822+(-0.4029--0.032079))+0-404.6--0.206345999999959</f>
        <v>1194.0907030000003</v>
      </c>
      <c r="J350" s="3">
        <f>871.6+(768-47.4)+(-2.22258+(-1.9584--0.12087))+0-398.6--1.01642999999994</f>
        <v>1190.5563199999999</v>
      </c>
      <c r="K350" s="3">
        <f>872.1+(781-65.3)+(0.444771+(0.39831-0.033303))+0-402.7-0.205376999999959</f>
        <v>1185.7044010000002</v>
      </c>
      <c r="L350" s="3">
        <f>866.4+(800.6-71.4)+(-1.325592+(-1.224918--0.109242))+0-415.1--0.635103000000024</f>
        <v>1178.693835</v>
      </c>
      <c r="M350" s="3">
        <f>862.2+(883.7-100.1)+(-0.879444+(-0.901374--0.102102))+0-415.1--0.423402000000066</f>
        <v>1229.4446860000005</v>
      </c>
      <c r="N350" s="3">
        <f>862.3+(952.5-55.6)+(0.439773+(0.485775-0.028356))+0-419.5-0.213944999999957</f>
        <v>1340.3832469999998</v>
      </c>
      <c r="O350" s="3">
        <f>956.9+(1249.9-391.9)+(0.976038+(1.274898-0.399738))+0-415-0.423300000000066</f>
        <v>1401.327898</v>
      </c>
      <c r="P350" s="3">
        <f>1112.8+(1603.2-783.5)+(-0.567528+(-0.817632--0.399585))+0-422.9--0.215678999999957</f>
        <v>1508.8301040000001</v>
      </c>
      <c r="Q350" s="3">
        <f>1241.8+(1692.9-982.7)+(-1.266636+(-1.726758--1.002354))+0-424.1--0.432582000000068</f>
        <v>1526.3415419999999</v>
      </c>
      <c r="R350" s="3">
        <f>1247.5+(1298-660.6)+(-0.636225+(-0.66198--0.336906))+0-427.5--0.218024999999957</f>
        <v>1456.6567259999999</v>
      </c>
      <c r="S350" s="3">
        <f>1247.2+(1000.7-416.2)+(1.272144+(1.020714-0.424524))+0-425.4-0.433908000000068</f>
        <v>1407.734426</v>
      </c>
      <c r="T350" s="3">
        <f>1247.4+(1051.3-442.7)+(0.636174+(0.536163-0.225777))+0-427.2-0.217871999999957</f>
        <v>1429.5286880000001</v>
      </c>
      <c r="U350" s="3">
        <f>1247.3+(1052.5-470)+(0.636123+(0.536775-0.2397))+0-409.3-0.208742999999958</f>
        <v>1421.224455</v>
      </c>
      <c r="V350" s="3">
        <f>1247.1+(1066-480.7)+(-0.636021+(-0.54366--0.245157))+0-426.8--0.217667999999957</f>
        <v>1404.8831439999999</v>
      </c>
      <c r="W350" s="3">
        <f>1266.9+(1078.9-514)+(1.938357+(1.650717-0.78642))+0-426-0.651780000000025</f>
        <v>1407.9508740000003</v>
      </c>
      <c r="X350" s="3">
        <f>1319.8+(1663.1-973)+(0+(0-0))+0-424.8-0</f>
        <v>1585.1</v>
      </c>
      <c r="Y350" s="3">
        <f>1322.9+(1817-1090.5)+(-2.024037+(-2.78001--1.668465))+0-411.9--0.630207000000024</f>
        <v>1634.994625</v>
      </c>
      <c r="Z350" s="3">
        <f>1322.1+(1637-963.4)+(-1.348542+(-1.66974--0.982668))+0-425.7--0.434214000000068</f>
        <v>1568.3986</v>
      </c>
      <c r="AA350" s="3">
        <f>1321.4+(1479.6-819.1)+(-3.36957+(-3.77298--2.088705))+0-429.3--1.09471499999994</f>
        <v>1548.6408700000002</v>
      </c>
      <c r="AB350" s="3">
        <f>1318.6+(1139.9-570.5)+(-2.017458+(-1.744047--0.872865))+0-412.1--0.630513000000024</f>
        <v>1473.641873</v>
      </c>
      <c r="AC350" s="3">
        <f>1190.3+(881.6-291.7)+(-2.428212+(-1.798464--0.595068))+0-380.1--0.775403999999983</f>
        <v>1397.2437960000002</v>
      </c>
      <c r="AD350">
        <v>1600.8000000000004</v>
      </c>
      <c r="AE350" s="3">
        <f>1317+(1928.4-1187.3)+(0+(0-0))+0-452.3-0</f>
        <v>1605.8000000000004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956.1+(866.9-146.9)+(0.487611+(0.442119-0.074919))+0-393.8-0.20083799999996</f>
        <v>1282.9539729999999</v>
      </c>
      <c r="G351" s="3">
        <f>907.6+(815-105.9)+(-0.925752+(-0.8313--0.108018))+0-396.1--0.404022000000063</f>
        <v>1219.354988</v>
      </c>
      <c r="H351" s="3">
        <f>908+(786.4-99.1)+(-0.46308+(-0.401064--0.050541))+0-396.7--0.20231699999996</f>
        <v>1197.9887139999998</v>
      </c>
      <c r="I351" s="3">
        <f>907.6+(763.9-97.7)+(0.462876+(0.389589-0.049827))+0-395.8-0.20185799999996</f>
        <v>1178.60078</v>
      </c>
      <c r="J351" s="3">
        <f>907.5+(739.2-102)+(-0.92565+(-0.753984--0.10404))+0-393.8--0.401676000000063</f>
        <v>1149.7260820000001</v>
      </c>
      <c r="K351" s="3">
        <f>908+(758.9-120.3)+(0+(0-0))+0-395.5-0</f>
        <v>1151.0999999999999</v>
      </c>
      <c r="L351" s="3">
        <f>908.2+(791.3-156.5)+(-0.926364+(-0.807126--0.15963))+0-387.3--0.395046000000062</f>
        <v>1154.5211860000002</v>
      </c>
      <c r="M351" s="3">
        <f>907.7+(784.7-144)+(0.462927+(0.400197-0.07344))+0-369.8-0.188597999999962</f>
        <v>1179.2010860000003</v>
      </c>
      <c r="N351" s="3">
        <f>907.3+(998-241.2)+(0.925446+(1.01796-0.246024))+0-380-0.387600000000061</f>
        <v>1285.409782</v>
      </c>
      <c r="O351" s="3">
        <f>1027.1+(1392.6-673.6)+(0.523821+(0.710226-0.343536))+0-368.6-0.187985999999963</f>
        <v>1378.2025250000002</v>
      </c>
      <c r="P351" s="3">
        <f>1076.6+(1649.8-916.1)+(-1.647198+(-2.524194--1.401633))+0-371--0.567630000000021</f>
        <v>1437.0978709999997</v>
      </c>
      <c r="Q351" s="3">
        <f>1076.4+(1960.7-1214.1)+(-2.195856+(-3.999828--2.476764))+0-361.8--0.738071999999984</f>
        <v>1458.2191520000001</v>
      </c>
      <c r="R351" s="3">
        <f>1076.1+(1736.6-1018.5)+(-1.646433+(-2.656998--1.558305))+0-359.6--0.550188000000021</f>
        <v>1432.4050619999996</v>
      </c>
      <c r="S351" s="3">
        <f>1076.7+(1485.5-749.9)+(-2.745585+(-3.788025--1.912245))+0-362.5--0.924374999999947</f>
        <v>1446.1030100000003</v>
      </c>
      <c r="T351" s="3">
        <f>1078.5+(1135.5-576)+(0.550035+(0.579105-0.29376))+0-197.9-0.10092899999998</f>
        <v>1440.8344509999999</v>
      </c>
      <c r="U351" s="3">
        <f>1127.4+(1099.9-471.7)+(-2.299896+(-2.243796--0.962268))+0-380.2--0.775607999999983</f>
        <v>1372.594184</v>
      </c>
      <c r="V351" s="3">
        <f>1131.2+(1089.6-459.3)+(0+(0-0))+0-387.4-0</f>
        <v>1374.1</v>
      </c>
      <c r="W351" s="3">
        <f>1160+(1205.8-591.1)+(0.5916+(0.614958-0.301461))+0-392.4-0.20012399999996</f>
        <v>1383.0049730000001</v>
      </c>
      <c r="X351" s="3">
        <f>1307.7+(1729.3-1073.2)+(1.333854+(1.763886-1.094664))+0-397.9-0.405858000000063</f>
        <v>1567.497218</v>
      </c>
      <c r="Y351" s="3">
        <f>1320.2+(2048.5-1341.6)+(0+(0-0))+0-391.8-0</f>
        <v>1635.3000000000002</v>
      </c>
      <c r="Z351" s="3">
        <f>1320.3+(1662-1007.3)+(0.673353+(0.84762-0.513723))+0-384-0.195839999999961</f>
        <v>1591.8114100000003</v>
      </c>
      <c r="AA351" s="3">
        <f>1321.5+(1304-686.6)+(-1.34793+(-1.33008--0.700332))+0-383.8--0.391476000000061</f>
        <v>1553.5137980000002</v>
      </c>
      <c r="AB351" s="3">
        <f>1293.1+(1013.6-417.3)+(-0.659481+(-0.516936--0.212823))+0-397.7--0.20282699999996</f>
        <v>1490.9392329999998</v>
      </c>
      <c r="AC351" s="3">
        <f>1154+(952.6-302.1)+(-2.35416+(-1.943304--0.616284))+0-406.3--0.828851999999982</f>
        <v>1395.3476719999999</v>
      </c>
      <c r="AD351">
        <v>1659.0000000000002</v>
      </c>
      <c r="AE351" s="3">
        <f>1317+(2117.8-1368.1)+(0+(0-0))+0-403.7-0</f>
        <v>1663.0000000000002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953.5+(975.6-204.7)+(-0.486285+(-0.497556--0.104397))+0-418.3--0.213332999999958</f>
        <v>1305.4338890000001</v>
      </c>
      <c r="G352" s="3">
        <f>925.5+(858.6-132.1)+(0+(0-0))+0-411.8-0</f>
        <v>1240.2</v>
      </c>
      <c r="H352" s="3">
        <f>925.2+(854.3-149.2)+(-0.471852+(-0.435693--0.076092))+0-409.9--0.209048999999958</f>
        <v>1219.7775959999999</v>
      </c>
      <c r="I352" s="3">
        <f>926.1+(824.9-153.7)+(0+(0-0))+0-411.3-0</f>
        <v>1186.0000000000002</v>
      </c>
      <c r="J352" s="3">
        <f>926.5+(811.3-140.7)+(0.94503+(0.827526-0.143514))+0-408.5-0.416670000000065</f>
        <v>1189.8123719999999</v>
      </c>
      <c r="K352" s="3">
        <f>926.6+(804.3-127.7)+(-0.472566+(-0.410193--0.065127))+0-406.2--0.207161999999959</f>
        <v>1196.3895299999997</v>
      </c>
      <c r="L352" s="3">
        <f>920+(856.3-170)+(-0.4692+(-0.436713--0.0867))+0-405--0.206549999999959</f>
        <v>1200.6873369999998</v>
      </c>
      <c r="M352" s="3">
        <f>906.3+(884.8-138)+(0.924426+(0.902496-0.14076))+0-405.2-0.413304000000065</f>
        <v>1249.1728579999997</v>
      </c>
      <c r="N352" s="3">
        <f>915.2+(1092.7-239.7)+(0.933504+(1.114554-0.244494))+0-409-0.417180000000065</f>
        <v>1360.586384</v>
      </c>
      <c r="O352" s="3">
        <f>1082.4+(1269.4-486.5)+(1.104048+(1.294788-0.49623))+0-407.5-0.415650000000065</f>
        <v>1459.2869560000001</v>
      </c>
      <c r="P352" s="3">
        <f>1197.5+(1618.6-916)+(1.832175+(2.476458-1.40148))+0-408.7-0.625311000000024</f>
        <v>1493.681842</v>
      </c>
      <c r="Q352" s="3">
        <f>1291.4+(2186.6-1556.4)+(-1.975842+(-3.345498--2.381292))+0-400.8--0.613224000000023</f>
        <v>1518.473176</v>
      </c>
      <c r="R352" s="3">
        <f>1312.9+(1979-1438.4)+(-2.678316+(-4.03716--2.934336))+0-389.5--0.794579999999983</f>
        <v>1461.0134399999999</v>
      </c>
      <c r="S352" s="3">
        <f>1288.4+(1708.7-1206.1)+(-3.28542+(-4.357185--3.075555))+0-387.9--0.989144999999944</f>
        <v>1399.5220950000003</v>
      </c>
      <c r="T352" s="3">
        <f>1258+(1502.5-947.4)+(1.92474+(2.298825-1.449522))+0-390.1-0.596853000000023</f>
        <v>1425.1771899999999</v>
      </c>
      <c r="U352" s="3">
        <f>1258.2+(1483.8-913.1)+(1.925046+(2.270214-1.397043))+0-390.7-0.597771000000023</f>
        <v>1440.4004460000001</v>
      </c>
      <c r="V352" s="3">
        <f>1258.3+(1423-856.4)+(-0.641733+(-0.72573--0.436764))+0-391.5--0.19966499999996</f>
        <v>1432.668966</v>
      </c>
      <c r="W352" s="3">
        <f>1280.1+(1336.1-800.4)+(-0.652851+(-0.681411--0.408204))+0-396--0.20195999999996</f>
        <v>1419.0759019999996</v>
      </c>
      <c r="X352" s="3">
        <f>1324.2+(1877.2-1228.1)+(0+(0-0))+0-397.4-0</f>
        <v>1575.9</v>
      </c>
      <c r="Y352" s="3">
        <f>1325.1+(2083.4-1359.9)+(-2.027403+(-3.187602--2.080647))+0-394--0.602820000000023</f>
        <v>1652.068462</v>
      </c>
      <c r="Z352" s="3">
        <f>1326+(1787.4-1100.9)+(-1.35252+(-1.823148--1.122918))+0-392.3--0.400146000000063</f>
        <v>1618.5473959999999</v>
      </c>
      <c r="AA352" s="3">
        <f>1324.8+(1272.4-648.1)+(-1.351296+(-1.297848--0.661062))+0-394--0.401880000000063</f>
        <v>1553.513798</v>
      </c>
      <c r="AB352" s="3">
        <f>1319.8+(928.8-348.6)+(-2.692392+(-1.894752--0.711144))+0-390.5--0.796619999999983</f>
        <v>1506.4206200000001</v>
      </c>
      <c r="AC352" s="3">
        <f>1313.3+(816.7-301.7)+(-2.009349+(-1.249551--0.461601))+0-399.3--0.610929000000023</f>
        <v>1426.8136299999999</v>
      </c>
      <c r="AD352">
        <v>1725.3</v>
      </c>
      <c r="AE352" s="3">
        <f>1324+(2036.9-1237.9)+(0+(0-0))+0-393.7-0</f>
        <v>1729.3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1297.4+(777.4-326.2)+(-4.631718+(-2.775318--1.164534))+0-428.7--1.53045900000001</f>
        <v>1315.1879570000001</v>
      </c>
      <c r="G353" s="3">
        <f>1112.5+(934.3-362.9)+(-1.13475+(-0.952986--0.370158))+0-428.4--0.436968000000068</f>
        <v>1254.2193900000002</v>
      </c>
      <c r="H353" s="3">
        <f>916.7+(1105.4-361.5)+(-1.870068+(-2.255016--0.73746))+0-432.3--0.881891999999981</f>
        <v>1225.7942680000001</v>
      </c>
      <c r="I353" s="3">
        <f>908.6+(1040.8-324.6)+(0.463386+(0.530808-0.165546))+0-425.6-0.217055999999957</f>
        <v>1199.811592</v>
      </c>
      <c r="J353" s="3">
        <f>907.9+(1031.3-313.2)+(0+(0-0))+0-422.4-0</f>
        <v>1203.5999999999999</v>
      </c>
      <c r="K353" s="3">
        <f>907.2+(1107.8-387.4)+(-0.925344+(-1.129956--0.395148))+0-426.3--0.434826000000068</f>
        <v>1200.0746740000002</v>
      </c>
      <c r="L353" s="3">
        <f>907.8+(1104.4-378.8)+(0.462978+(0.563244-0.193188))+0-420.5-0.214454999999957</f>
        <v>1213.518579</v>
      </c>
      <c r="M353" s="3">
        <f>907.8+(1035-246.2)+(0.925956+(1.0557-0.251124))+0-422.9-0.431358000000067</f>
        <v>1274.9991739999998</v>
      </c>
      <c r="N353" s="3">
        <f>962.2+(1088.6-242.3)+(0.981444+(1.110372-0.247146))+0-427.1-0.435642000000068</f>
        <v>1382.8090279999999</v>
      </c>
      <c r="O353" s="3">
        <f>1125.1+(1509.6-735.3)+(0+(0-0))+0-426.5-0</f>
        <v>1472.8999999999999</v>
      </c>
      <c r="P353" s="3">
        <f>1143.7+(1848.4-1094.3)+(-1.166574+(-1.885368--1.116186))+0-406.8--0.414936000000065</f>
        <v>1489.4791800000003</v>
      </c>
      <c r="Q353" s="3">
        <f>1142+(1711.7-954.1)+(-2.9121+(-4.364835--2.432955))+0-384.1--0.979454999999944</f>
        <v>1511.6354749999998</v>
      </c>
      <c r="R353" s="3">
        <f>1142.3+(1269.9-551.4)+(-1.747719+(-1.942947--0.843642))+0-380.1--0.581553000000022</f>
        <v>1478.4345290000001</v>
      </c>
      <c r="S353" s="3">
        <f>1141.4+(1064.6-421.7)+(-2.328456+(-2.171784--0.860268))+0-384.5--0.784379999999983</f>
        <v>1396.9444080000001</v>
      </c>
      <c r="T353" s="3">
        <f>1143.3+(940.7-282)+(-0.583083+(-0.479757--0.14382))+0-387.4--0.197573999999961</f>
        <v>1413.8785540000001</v>
      </c>
      <c r="U353" s="3">
        <f>1143.3+(933.3-270.9)+(0+(0-0))+0-389.3-0</f>
        <v>1416.3999999999999</v>
      </c>
      <c r="V353" s="3">
        <f>1143.8+(1011.5-348.7)+(1.750014+(1.547595-0.533511))+0-391.6-0.599148000000023</f>
        <v>1417.1649500000001</v>
      </c>
      <c r="W353" s="3">
        <f>1210.9+(989.3-392.1)+(-1.852677+(-1.513629--0.599913))+0-404.3--0.618579000000023</f>
        <v>1401.6521859999998</v>
      </c>
      <c r="X353" s="3">
        <f>1324.9+(1243.9-608.8)+(1.351398+(1.268778-0.620976))+0-407.2-0.415344000000065</f>
        <v>1554.3838560000002</v>
      </c>
      <c r="Y353" s="3">
        <f>1326.2+(1228.8-525.3)+(-2.029086+(-1.880064--0.803709))+0-401--0.613530000000023</f>
        <v>1626.2080890000002</v>
      </c>
      <c r="Z353" s="3">
        <f>1326.3+(1056.9-383.2)+(-2.705652+(-2.156076--0.781728))+0-405.2--0.826607999999982</f>
        <v>1591.5466080000001</v>
      </c>
      <c r="AA353" s="3">
        <f>1325.7+(953.7-310.9)+(-2.028321+(-1.459161--0.475677))+0-422.6--0.646578000000024</f>
        <v>1543.5347730000001</v>
      </c>
      <c r="AB353" s="3">
        <f>1323.8+(1039.9-434.7)+(-3.37569+(-2.651745--1.108485))+0-419.5--1.06972499999994</f>
        <v>1505.6507749999998</v>
      </c>
      <c r="AC353" s="3">
        <f>1201.2+(1169.7-523.6)+(-0.612612+(-0.596547--0.267036))+0-424--0.216239999999957</f>
        <v>1422.5741170000001</v>
      </c>
      <c r="AD353">
        <v>1655.1999999999998</v>
      </c>
      <c r="AE353" s="3">
        <f>1328+(1236.7-488.6)+(0+(0-0))+0-416.9-0</f>
        <v>1659.1999999999998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1028.1+(1222.9-500.9)+(-2.621655+(-3.118395--1.277295))+0-426.3--1.08706499999994</f>
        <v>1320.4243099999999</v>
      </c>
      <c r="G354" s="3">
        <f>908.7+(1209.8-436.7)+(-2.317185+(-3.08499--1.113585))+0-426.1--1.08655499999994</f>
        <v>1252.497965</v>
      </c>
      <c r="H354" s="3">
        <f>909.4+(1092.1-358.3)+(-1.391382+(-1.670913--0.548199))+0-422.4--0.646272000000024</f>
        <v>1218.9321759999998</v>
      </c>
      <c r="I354" s="3">
        <f>909.4+(1081.3-375)+(1.391382+(1.654389-0.57375))+0-424.6-0.649638000000025</f>
        <v>1192.9223829999999</v>
      </c>
      <c r="J354" s="3">
        <f>908.7+(1121.3-411.8)+(1.853748+(2.287452-0.840072))+0-428.6-0.874343999999981</f>
        <v>1192.0267839999999</v>
      </c>
      <c r="K354" s="3">
        <f>908.9+(1113.5-400.9)+(2.317695+(2.839425-1.022295))+0-423.3-1.07941499999994</f>
        <v>1201.2554100000002</v>
      </c>
      <c r="L354" s="3">
        <f>909+(1143.8-443.2)+(-0.92718+(-1.166676--0.452064))+0-425--0.433500000000068</f>
        <v>1183.3917080000001</v>
      </c>
      <c r="M354" s="3">
        <f>909.1+(1176-429.9)+(0.927282+(1.19952-0.438498))+0-418-0.426360000000067</f>
        <v>1238.4619439999999</v>
      </c>
      <c r="N354" s="3">
        <f>937.4+(1248.6-410.9)+(0.478074+(0.636786-0.209559))+0-411.2-0.209711999999958</f>
        <v>1364.595589</v>
      </c>
      <c r="O354" s="3">
        <f>1078.1+(1489.3-706.1)+(1.099662+(1.519086-0.720222))+0-410.5-0.418710000000065</f>
        <v>1452.2798159999995</v>
      </c>
      <c r="P354" s="3">
        <f>1097.2+(1536.4-769.7)+(-1.119144+(-1.567128--0.785094))+0-410.4--0.418608000000065</f>
        <v>1452.0174300000001</v>
      </c>
      <c r="Q354" s="3">
        <f>1136.8+(1575.3-818.5)+(-1.739304+(-2.410209--1.252305))+0-414.6--0.634338000000024</f>
        <v>1476.7371299999998</v>
      </c>
      <c r="R354" s="3">
        <f>1136.5+(1324.5-630.4)+(-2.31846+(-2.70198--1.286016))+0-413.9--0.844355999999982</f>
        <v>1413.8099320000001</v>
      </c>
      <c r="S354" s="3">
        <f>1136.6+(1050.9-428.4)+(1.159332+(1.071918-0.436968))+0-402.9-0.410958000000064</f>
        <v>1357.5833239999999</v>
      </c>
      <c r="T354" s="3">
        <f>1136.3+(1072.4-430.9)+(1.159026+(1.093848-0.439518))+0-409.3-0.417486000000065</f>
        <v>1369.8958700000003</v>
      </c>
      <c r="U354" s="3">
        <f>1136.4+(978.7-391.8)+(-1.159128+(-0.998274--0.399636))+0-369.1--0.376482000000059</f>
        <v>1352.8187160000002</v>
      </c>
      <c r="V354" s="3">
        <f>1163+(941.9-362.1)+(-1.77939+(-1.441107--0.554013))+0-416.6--0.637398000000024</f>
        <v>1324.170914</v>
      </c>
      <c r="W354" s="3">
        <f>1301.3+(749.3-329.3)+(-3.318315+(-1.910715--0.839715))+0-413--1.05314999999994</f>
        <v>1304.963835</v>
      </c>
      <c r="X354" s="3">
        <f>1321+(956.6-405.1)+(0.67371+(0.487866-0.206601))+0-412.8-0.210527999999958</f>
        <v>1460.4444470000001</v>
      </c>
      <c r="Y354" s="3">
        <f>1321.2+(1192.8-543.9)+(-4.042872+(-3.649968--1.664334))+0-412--1.26072000000005</f>
        <v>1553.3322139999998</v>
      </c>
      <c r="Z354" s="3">
        <f>1321.5+(1064.8-458.7)+(0+(0-0))+0-414.2-0</f>
        <v>1513.3999999999999</v>
      </c>
      <c r="AA354" s="3">
        <f>1320.1+(1118.2-513.9)+(-2.019753+(-1.710846--0.786267))+0-415.8--0.636174000000024</f>
        <v>1506.2918420000001</v>
      </c>
      <c r="AB354" s="3">
        <f>1320.6+(1103.1-553.2)+(-2.694024+(-2.250324--1.128528))+0-414.8--0.846191999999982</f>
        <v>1452.7303719999998</v>
      </c>
      <c r="AC354" s="3">
        <f>1175+(1159-518.1)+(-0.59925+(-0.59109--0.264231))+0-419--0.213689999999957</f>
        <v>1396.1875810000001</v>
      </c>
      <c r="AD354">
        <v>1601.4999999999998</v>
      </c>
      <c r="AE354" s="3">
        <f>1319+(1195.7-529)+(0+(0-0))+0-380.2-0</f>
        <v>1605.5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1049.9+(1227.9-569.7)+(-1.606347+(-1.878687--0.871641))+0-411.6--0.629748000000024</f>
        <v>1294.516355</v>
      </c>
      <c r="G355" s="3">
        <f>971.4+(1178-501)+(-1.981656+(-2.40312--1.02204))+0-404.9--0.825995999999982</f>
        <v>1240.96326</v>
      </c>
      <c r="H355" s="3">
        <f>908.4+(1102.9-415.1)+(-0.463284+(-0.562479--0.211701))+0-410--0.209099999999958</f>
        <v>1185.5950380000002</v>
      </c>
      <c r="I355" s="3">
        <f>908.5+(1127.4-445.8)+(-1.390005+(-1.724922--0.682074))+0-407.3--0.623169000000024</f>
        <v>1180.9903160000001</v>
      </c>
      <c r="J355" s="3">
        <f>908.8+(1161-482.7)+(0.463488+(0.59211-0.246177))+0-418.7-0.213536999999958</f>
        <v>1168.9958839999999</v>
      </c>
      <c r="K355" s="3">
        <f>908.7+(1155.6-478.1)+(0+(0-0))+0-417.2-0</f>
        <v>1168.9999999999998</v>
      </c>
      <c r="L355" s="3">
        <f>908.5+(1168.4-532.3)+(-1.85334+(-2.383536--1.085892))+0-420--0.856799999999982</f>
        <v>1122.305816</v>
      </c>
      <c r="M355" s="3">
        <f>908.9+(1254.6-612.2)+(0.463539+(0.639846-0.312222))+0-424.2-0.216341999999957</f>
        <v>1127.6748209999998</v>
      </c>
      <c r="N355" s="3">
        <f>910.1+(1232.7-572.2)+(0.928302+(1.257354-0.583644))+0-395.9-0.403818000000063</f>
        <v>1175.8981940000001</v>
      </c>
      <c r="O355" s="3">
        <f>1015.1+(1156.9-603.6)+(-0.517701+(-0.590019--0.307836))+0-419.1--0.213740999999957</f>
        <v>1148.7138570000002</v>
      </c>
      <c r="P355" s="3">
        <f>1110.8+(987.6-455.7)+(0.566508+(0.503676-0.232407))+0-410.4-0.209303999999958</f>
        <v>1232.9284729999999</v>
      </c>
      <c r="Q355" s="3">
        <f>1197.1+(961.3-480.4)+(-1.831563+(-1.470789--0.735012))+0-377.6--0.577728000000022</f>
        <v>1298.410388</v>
      </c>
      <c r="R355" s="3">
        <f>1194.6+(973.4-487.7)+(-3.655476+(-2.978604--1.492362))+0-418.5--1.28061000000005</f>
        <v>1257.9388919999999</v>
      </c>
      <c r="S355" s="3">
        <f>1197.4+(904.2-495.2)+(-0.610674+(-0.461142--0.252552))+0-398.6--0.20328599999996</f>
        <v>1207.1840219999999</v>
      </c>
      <c r="T355" s="3">
        <f>1197.1+(871.1-439.1)+(0+(0-0))+0-415.4-0</f>
        <v>1213.6999999999998</v>
      </c>
      <c r="U355" s="3">
        <f>1197.2+(883.8-428.6)+(-0.610572+(-0.450738--0.218586))+0-420.1--0.214250999999957</f>
        <v>1231.671527</v>
      </c>
      <c r="V355" s="3">
        <f>1209.4+(864.9-425.6)+(-1.233588+(-0.882198--0.434112))+0-412.4--0.420648000000066</f>
        <v>1235.0389740000003</v>
      </c>
      <c r="W355" s="3">
        <f>1316.2+(714.6-373.6)+(-2.685048+(-1.457784--0.762144))+0-414.7--0.845987999999982</f>
        <v>1239.9653000000001</v>
      </c>
      <c r="X355" s="3">
        <f>1322.5+(1318.9-822.5)+(0.674475+(0.672639-0.419475))+0-419.5-0.213944999999957</f>
        <v>1400.1136940000001</v>
      </c>
      <c r="Y355" s="3">
        <f>1321.6+(1887.1-1328.9)+(-2.022048+(-2.887263--2.033217))+0-409.6--0.626688000000024</f>
        <v>1467.9505939999997</v>
      </c>
      <c r="Z355" s="3">
        <f>1323.7+(2011.8-1442.2)+(1.350174+(2.052036-1.471044))+0-409.8-0.417996000000065</f>
        <v>1485.0131699999999</v>
      </c>
      <c r="AA355" s="3">
        <f>1324.5+(1742.1-1071.4)+(-2.70198+(-3.553884--2.185656))+0-414.9--0.846395999999982</f>
        <v>1577.0761879999995</v>
      </c>
      <c r="AB355" s="3">
        <f>1324.5+(1509.5-922.3)+(-0.675495+(-0.769845--0.470373))+0-413.5--0.210884999999958</f>
        <v>1497.4359179999999</v>
      </c>
      <c r="AC355" s="3">
        <f>1240.9+(1252-627.6)+(-1.898577+(-1.91556--0.960228))+0-419.2--0.641376000000024</f>
        <v>1443.8874670000002</v>
      </c>
      <c r="AD355">
        <v>1501.7000000000003</v>
      </c>
      <c r="AE355" s="3">
        <f>1318+(1782.8-1177)+(0+(0-0))+0-418.1-0</f>
        <v>1505.6999999999998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1092.5+(1043.3-393.7)+(-1.11435+(-1.064166--0.401574))+0-420.4--0.428808000000067</f>
        <v>1320.351866</v>
      </c>
      <c r="G356" s="3">
        <f>1053.3+(1100.8-535.1)+(-1.074366+(-1.122816--0.545802))+0-422.4--0.430848000000067</f>
        <v>1195.3794680000001</v>
      </c>
      <c r="H356" s="3">
        <f>996.7+(1213.6-542.3)+(1.016634+(1.237872-0.553146))+0-425-0.433500000000068</f>
        <v>1244.2678599999999</v>
      </c>
      <c r="I356" s="3">
        <f>957.7+(1221.5-587.8)+(-1.465281+(-1.868895--0.899334))+0-420.3--0.643059000000024</f>
        <v>1169.3082170000002</v>
      </c>
      <c r="J356" s="3">
        <f>957.1+(1134.9-527.1)+(-0.976242+(-1.157598--0.537642))+0-420.8--0.429216000000067</f>
        <v>1142.9330180000002</v>
      </c>
      <c r="K356" s="3">
        <f>957.8+(1227.9-594.6)+(0+(0-0))+0-417.8-0</f>
        <v>1173.3</v>
      </c>
      <c r="L356" s="3">
        <f>957.6+(1299.1-644)+(0+(0-0))+0-414.5-0</f>
        <v>1198.1999999999998</v>
      </c>
      <c r="M356" s="3">
        <f>957.1+(1263.9-594)+(0.976242+(1.289178-0.60588))+0-420.7-0.429114000000067</f>
        <v>1207.530426</v>
      </c>
      <c r="N356" s="3">
        <f>1052.7+(1193.1-552.1)+(0+(0-0))+0-411.8-0</f>
        <v>1281.8999999999999</v>
      </c>
      <c r="O356" s="3">
        <f>1144.1+(1329.2-630.1)+(0.583491+(0.677892-0.321351))+0-406.1-0.207110999999959</f>
        <v>1437.8329209999999</v>
      </c>
      <c r="P356" s="3">
        <f>1144.3+(1536.4-867.9)+(0+(0-0))+0-385.9-0</f>
        <v>1426.9</v>
      </c>
      <c r="Q356" s="3">
        <f>1144.3+(1733.6-1041.2)+(0+(0-0))+0-397.8-0</f>
        <v>1438.8999999999999</v>
      </c>
      <c r="R356" s="3">
        <f>1144.1+(1533.5-834.3)+(-2.917455+(-3.910425--2.127465))+0-408.1--1.04065499999994</f>
        <v>1431.54024</v>
      </c>
      <c r="S356" s="3">
        <f>1144.2+(1241.9-534.1)+(-0.583542+(-0.633369--0.272391))+0-413.3--0.210782999999958</f>
        <v>1437.966263</v>
      </c>
      <c r="T356" s="3">
        <f>1143.6+(1132.4-450.8)+(0+(0-0))+0-409.1-0</f>
        <v>1416.1</v>
      </c>
      <c r="U356" s="3">
        <f>1143.6+(1076.7-401.9)+(-0.583236+(-0.549117--0.204969))+0-395.8--0.20185799999996</f>
        <v>1421.874474</v>
      </c>
      <c r="V356" s="3">
        <f>1143.3+(1031.9-377.6)+(-1.166166+(-1.052538--0.385152))+0-404.1--0.412182000000064</f>
        <v>1392.07863</v>
      </c>
      <c r="W356" s="3">
        <f>1146.4+(1016-387)+(-1.753992+(-1.55448--0.59211))+0-407.1--0.622863000000024</f>
        <v>1366.2065010000001</v>
      </c>
      <c r="X356" s="3">
        <f>1233.9+(1583.5-948.1)+(0+(0-0))+0-410.4-0</f>
        <v>1458.9</v>
      </c>
      <c r="Y356" s="3">
        <f>1319.1+(1893.6-1204.1)+(-2.018223+(-2.897208--1.842273))+0-414.7--0.634491000000024</f>
        <v>1591.461333</v>
      </c>
      <c r="Z356" s="3">
        <f>1320.1+(1685.2-1006.5)+(-3.366255+(-4.29726--2.566575))+0-412.6--1.05212999999994</f>
        <v>1582.1551899999999</v>
      </c>
      <c r="AA356" s="3">
        <f>1309.2+(1413.1-644.6)+(-2.670768+(-2.882724--1.314984))+0-417.1--0.850883999999982</f>
        <v>1657.2123759999999</v>
      </c>
      <c r="AB356" s="3">
        <f>1268.9+(1426.2-788.7)+(-0.647139+(-0.727362--0.402237))+0-416.2--0.212261999999958</f>
        <v>1489.4399980000001</v>
      </c>
      <c r="AC356" s="3">
        <f>1267+(1171-580.2)+(-2.58468+(-2.38884--1.183608))+0-416.1--0.848843999999982</f>
        <v>1438.758932</v>
      </c>
      <c r="AD356">
        <v>1517.7000000000003</v>
      </c>
      <c r="AE356" s="3">
        <f>1298+(1843.9-1225.6)+(0+(0-0))+0-394.6-0</f>
        <v>1521.7000000000003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1164.7+(1000.9-459.1)+(-1.187994+(-1.020918--0.468282))+0-420.9--0.429318000000067</f>
        <v>1284.2886880000001</v>
      </c>
      <c r="G357" s="3">
        <f>942.8+(1140.5-446.7)+(-0.961656+(-1.16331--0.455634))+0-422.3--0.430746000000067</f>
        <v>1213.061414</v>
      </c>
      <c r="H357" s="3">
        <f>918.7+(1113.1-433.3)+(-1.874148+(-2.270724--0.883932))+0-417--0.850679999999982</f>
        <v>1179.0897400000001</v>
      </c>
      <c r="I357" s="3">
        <f>919.7+(1072.2-398.3)+(0+(0-0))+0-418.7-0</f>
        <v>1174.9000000000001</v>
      </c>
      <c r="J357" s="3">
        <f>919.3+(1077.7-398.9)+(-0.937686+(-1.099254--0.406878))+0-420--0.428400000000067</f>
        <v>1176.898338</v>
      </c>
      <c r="K357" s="3">
        <f>919.7+(1079.1-400.4)+(0.469047+(0.550341-0.204204))+0-416.6-0.212465999999958</f>
        <v>1182.4027180000003</v>
      </c>
      <c r="L357" s="3">
        <f>917.6+(1057.1-435.4)+(-0.467976+(-0.539121--0.222054))+0-416--0.212159999999958</f>
        <v>1122.7271169999999</v>
      </c>
      <c r="M357" s="3">
        <f>909+(1252.5-428)+(0+(0-0))+0-447-0</f>
        <v>1286.5</v>
      </c>
      <c r="N357" s="3">
        <f>918.7+(1384.6-568.7)+(0.468537+(0.706146-0.290037))+0-424.6-0.216545999999957</f>
        <v>1310.6681000000001</v>
      </c>
      <c r="O357" s="3">
        <f>1128.6+(1758.6-1176.1)+(-0.575586+(-0.896886--0.599811))+0-427.1--0.217820999999957</f>
        <v>1283.3451599999996</v>
      </c>
      <c r="P357" s="3">
        <f>1197.1+(2254.9-1465.7)+(-0.610521+(-1.149999--0.747507))+0-424--0.216239999999957</f>
        <v>1561.5032269999999</v>
      </c>
      <c r="Q357" s="3">
        <f>1201.3+(2299.5-1531.4)+(0.612663+(1.172745-0.781014))+0-423-0.215729999999957</f>
        <v>1547.188664</v>
      </c>
      <c r="R357" s="3">
        <f>1199.9+(2154.3-1447.4)+(-3.059745+(-5.493465--3.69087))+0-418.7--1.06768499999994</f>
        <v>1484.3053450000002</v>
      </c>
      <c r="S357" s="3">
        <f>1199+(1987.6-1300.5)+(-2.44596+(-4.054704--2.65302))+0-411.1--0.838643999999982</f>
        <v>1471.991</v>
      </c>
      <c r="T357" s="3">
        <f>1199.1+(2280.4-1643.1)+(0.611541+(1.163004-0.837981))+0-402.5-0.205274999999959</f>
        <v>1434.6312890000002</v>
      </c>
      <c r="U357" s="3">
        <f>1199.6+(2269.5-1688.9)+(-1.223592+(-2.31489--1.722678))+0-402.5--0.410550000000064</f>
        <v>1376.2947459999998</v>
      </c>
      <c r="V357" s="3">
        <f>1207.2+(1923.1-1268.2)+(-3.07836+(-4.903905--3.23391))+0-403.7--1.02943499999994</f>
        <v>1454.6810799999998</v>
      </c>
      <c r="W357" s="3">
        <f>1234.4+(1787.8-1195.4)+(-2.518176+(-3.647112--2.438616))+0-406.5--0.829259999999982</f>
        <v>1417.4025879999999</v>
      </c>
      <c r="X357" s="3">
        <f>1325.6+(2037.3-1447.2)+(-0.676056+(-1.039023--0.738072))+0-403.9--0.205988999999959</f>
        <v>1511.0289819999998</v>
      </c>
      <c r="Y357" s="3">
        <f>1329.9+(2203.6-1463)+(-2.034747+(-3.371508--2.23839))+0-406.4--0.621792000000023</f>
        <v>1661.5539269999999</v>
      </c>
      <c r="Z357" s="3">
        <f>1291.8+(2238.4-1557.1)+(-1.976454+(-3.424752--2.382363))+0-408.4--0.624852000000024</f>
        <v>1562.3060089999999</v>
      </c>
      <c r="AA357" s="3">
        <f>1276.9+(2301.2-1615.7)+(-1.302438+(-2.347224--1.648014))+0-414.4--0.422688000000066</f>
        <v>1546.4210400000002</v>
      </c>
      <c r="AB357" s="3">
        <f>1277.4+(1866.4-1158.9)+(-1.954422+(-2.855592--1.773117))+0-413.9--0.633267000000024</f>
        <v>1568.59637</v>
      </c>
      <c r="AC357" s="3">
        <f>1274.5+(1789.5-1204.3)+(-0.649995+(-0.912645--0.614193))+0-412.2--0.210221999999958</f>
        <v>1446.7617749999999</v>
      </c>
      <c r="AD357">
        <v>1665.9</v>
      </c>
      <c r="AE357" s="3">
        <f>1337+(2222.8-1461.9)+(0+(0-0))+0-428-0</f>
        <v>1669.9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1120.9+(1356.1-679.7)+(-1.714977+(-2.074833--1.039941))+0-412.5--0.631125000000024</f>
        <v>1382.6812560000001</v>
      </c>
      <c r="G358" s="3">
        <f>915.7+(1348.1-501.1)+(-0.934014+(-1.375062--0.511122))+0-411.6--0.419832000000066</f>
        <v>1349.7218779999998</v>
      </c>
      <c r="H358" s="3">
        <f>878.8+(1232.7-478.8)+(-1.344564+(-1.886031--0.732564))+0-406.2--0.621486000000023</f>
        <v>1224.6234549999999</v>
      </c>
      <c r="I358" s="3">
        <f>863.2+(1164.9-460.6)+(-0.880464+(-1.188198--0.469812))+0-407.4--0.415548000000065</f>
        <v>1158.9166980000002</v>
      </c>
      <c r="J358" s="3">
        <f>863.2+(1172.4-435.8)+(0.880464+(1.195848-0.444516))+0-408.2-0.416364000000065</f>
        <v>1192.8154319999999</v>
      </c>
      <c r="K358" s="3">
        <f>863.7+(1197.2-460.7)+(0+(0-0))+0-405.4-0</f>
        <v>1194.8000000000002</v>
      </c>
      <c r="L358" s="3">
        <f>863.4+(1198.9-431.5)+(0.440334+(0.611439-0.220065))+0-405.3-0.206702999999959</f>
        <v>1226.1250050000001</v>
      </c>
      <c r="M358" s="3">
        <f>863.5+(1232.7-450.4)+(0.88077+(1.257354-0.459408))+0-399.4-0.407388000000064</f>
        <v>1247.6713279999999</v>
      </c>
      <c r="N358" s="3">
        <f>964.2+(1342.1-568.6)+(0.983484+(1.368942-0.579972))+0-400.1-0.408102000000064</f>
        <v>1338.9643519999997</v>
      </c>
      <c r="O358" s="3">
        <f>1085.1+(1833.5-1207.1)+(0.553401+(0.935085-0.615621))+0-414.2-0.211241999999958</f>
        <v>1297.9616230000001</v>
      </c>
      <c r="P358" s="3">
        <f>1170.5+(2164.9-1365.2)+(0+(0-0))+0-416.3-0</f>
        <v>1553.9</v>
      </c>
      <c r="Q358" s="3">
        <f>1209.6+(2317.5-1579.7)+(0+(0-0))+0-415.3-0</f>
        <v>1532.1</v>
      </c>
      <c r="R358" s="3">
        <f>1260+(2134-1463.4)+(-2.5704+(-4.35336--2.985336))+0-416.4--0.849455999999982</f>
        <v>1511.1110319999998</v>
      </c>
      <c r="S358" s="3">
        <f>1259+(1880.3-1168.3)+(-0.64209+(-0.958953--0.595833))+0-424.3--0.216392999999957</f>
        <v>1545.9111829999999</v>
      </c>
      <c r="T358" s="3">
        <f>1257.9+(1793.4-1123.3)+(0+(0-0))+0-420.6-0</f>
        <v>1507.4</v>
      </c>
      <c r="U358" s="3">
        <f>1255+(1807.9-1162.2)+(-1.2801+(-1.844058--1.185444))+0-423.9--0.432378000000068</f>
        <v>1475.2936640000003</v>
      </c>
      <c r="V358" s="3">
        <f>1259.8+(1976.1-1354)+(0.642498+(1.007811-0.69054))+0-422.6-0.215525999999957</f>
        <v>1460.0442429999998</v>
      </c>
      <c r="W358" s="3">
        <f>1314.3+(1930-1361.2)+(0.670293+(0.9843-0.694212))+0-415.7-0.212006999999958</f>
        <v>1468.1483740000001</v>
      </c>
      <c r="X358" s="3">
        <f>1319.9+(2053-1399.5)+(0.673149+(1.04703-0.713745))+0-421-0.214709999999957</f>
        <v>1553.191724</v>
      </c>
      <c r="Y358" s="3">
        <f>1330.6+(2049.7-1309.4)+(-0.678606+(-1.045347--0.667794))+0-423.2--0.215831999999957</f>
        <v>1646.8596729999992</v>
      </c>
      <c r="Z358" s="3">
        <f>1332.9+(1855.5-1117.3)+(0.679779+(0.946305-0.569823))+0-421-0.214709999999957</f>
        <v>1650.9415510000006</v>
      </c>
      <c r="AA358" s="3">
        <f>1332.2+(1654-869.6)+(-0.679422+(-0.84354--0.443496))+0-423.8--0.216137999999957</f>
        <v>1691.9366719999998</v>
      </c>
      <c r="AB358" s="3">
        <f>1325.1+(1654.3-983.5)+(-5.406408+(-6.749544--4.01268))+0-429--1.75031999999996</f>
        <v>1560.5070479999997</v>
      </c>
      <c r="AC358" s="3">
        <f>1123.7+(1511.1-721)+(-3.438522+(-4.623966--2.20626))+0-419.8--1.28458800000005</f>
        <v>1489.4283599999999</v>
      </c>
      <c r="AD358">
        <v>1597.1</v>
      </c>
      <c r="AE358" s="3">
        <f>1315+(2220-1517.5)+(0+(0-0))+0-417.4-0</f>
        <v>1600.1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946.8+(1301-463)+(-1.448604+(-1.99053--0.70839))+0-420.2--0.642906000000024</f>
        <v>1362.512162</v>
      </c>
      <c r="G359" s="3">
        <f>907.6+(1157.5-372.9)+(-0.462876+(-0.590325--0.190179))+0-420.2--0.214301999999957</f>
        <v>1271.3512799999999</v>
      </c>
      <c r="H359" s="3">
        <f>863.8+(1250.3-449.7)+(0+(0-0))+0-419.9-0</f>
        <v>1244.5</v>
      </c>
      <c r="I359" s="3">
        <f>863+(1225.2-430.7)+(0.44013+(0.624852-0.219657))+0-420.2-0.214301999999957</f>
        <v>1237.9310230000001</v>
      </c>
      <c r="J359" s="3">
        <f>863+(1215.8-431.6)+(0+(0-0))+0-410.9-0</f>
        <v>1236.2999999999997</v>
      </c>
      <c r="K359" s="3">
        <f>862.3+(1221.5-360.8)+(0.439773+(0.622965-0.184008))+0-415.5-0.211904999999958</f>
        <v>1308.166825</v>
      </c>
      <c r="L359" s="3">
        <f>862.2+(1136.8-357.6)+(-1.758888+(-2.319072--0.729504))+0-419.2--0.855167999999982</f>
        <v>1219.7067120000002</v>
      </c>
      <c r="M359" s="3">
        <f>864.6+(1217.7-492.1)+(1.322838+(1.863081-0.752913))+0-421.1-0.644283000000024</f>
        <v>1170.888723</v>
      </c>
      <c r="N359" s="3">
        <f>924.2+(1495.5-652.5)+(0.942684+(1.52541-0.66555))+0-424.7-0.433194000000068</f>
        <v>1343.8693499999999</v>
      </c>
      <c r="O359" s="3">
        <f>1036.3+(2033.3-1314.5)+(2.114052+(4.147932-2.68158))+0-418.9-0.854555999999982</f>
        <v>1338.9258480000001</v>
      </c>
      <c r="P359" s="3">
        <f>1127.4+(2022.9-1253.8)+(0+(0-0))+0-404.9-0</f>
        <v>1491.6000000000004</v>
      </c>
      <c r="Q359" s="3">
        <f>1124.3+(2035.4-1202.5)+(-0.573393+(-1.038054--0.613275))+0-403--0.205529999999959</f>
        <v>1553.4073579999999</v>
      </c>
      <c r="R359" s="3">
        <f>1124.3+(1778.8-1088.8)+(0+(0-0))+0-410.2-0</f>
        <v>1404.1</v>
      </c>
      <c r="S359" s="3">
        <f>1127.4+(1384-597.7)+(0+(0-0))+0-378.9-0</f>
        <v>1534.8000000000002</v>
      </c>
      <c r="T359" s="3">
        <f>1129+(1299.1-532.3)+(0+(0-0))+0-413.2-0</f>
        <v>1482.6</v>
      </c>
      <c r="U359" s="3">
        <f>1128+(1247-574.6)+(-1.72584+(-1.90791--0.879138))+0-414.4--0.634032000000024</f>
        <v>1383.8794200000002</v>
      </c>
      <c r="V359" s="3">
        <f>1132.7+(1259.8-568.5)+(2.310708+(2.569992-1.15974))+0-414.8-0.846191999999982</f>
        <v>1412.0747680000002</v>
      </c>
      <c r="W359" s="3">
        <f>1274.9+(1179.6-632)+(-0.650199+(-0.601596--0.32232))+0-418.2--0.213281999999958</f>
        <v>1403.583807</v>
      </c>
      <c r="X359" s="3">
        <f>1323.1+(1440.5-914.9)+(0+(0-0))+0-409.6-0</f>
        <v>1439.1</v>
      </c>
      <c r="Y359" s="3">
        <f>1316.2+(1669.1-1108.3)+(-2.013786+(-2.553723--1.695699))+0-427.3--0.653769000000025</f>
        <v>1447.481959</v>
      </c>
      <c r="Z359" s="3">
        <f>1311.5+(1521.7-850.3)+(-0.668865+(-0.776067--0.433653))+0-423.1--0.215780999999957</f>
        <v>1559.0045019999998</v>
      </c>
      <c r="AA359" s="3">
        <f>1311.6+(1386.4-598.9)+(-0.668916+(-0.707064--0.305439))+0-427.9--0.218228999999957</f>
        <v>1670.3476879999998</v>
      </c>
      <c r="AB359" s="3">
        <f>1272+(1356.1-658.3)+(-3.2436+(-3.458055--1.678665))+0-422.3--1.07686499999994</f>
        <v>1543.5538750000001</v>
      </c>
      <c r="AC359" s="3">
        <f>1145.7+(1322.1-611.3)+(-2.921535+(-3.371355--1.558815))+0-426.1--1.08655499999994</f>
        <v>1426.7524799999997</v>
      </c>
      <c r="AD359">
        <v>1411.3000000000002</v>
      </c>
      <c r="AE359" s="3">
        <f>1324+(1687.3-1209.6)+(0+(0-0))+0-386.4-0</f>
        <v>1415.3000000000002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1043.9+(1274.7-576.6)+(-1.064778+(-1.300194--0.588132))+0-423.4--0.431868000000067</f>
        <v>1317.255028</v>
      </c>
      <c r="G360" s="3">
        <f>884.2+(1274.8-494.6)+(-0.450942+(-0.650148--0.252246))+0-423.6--0.216035999999957</f>
        <v>1240.1671920000001</v>
      </c>
      <c r="H360" s="3">
        <f>853.7+(1261.5-497.9)+(0+(0-0))+0-423.6-0</f>
        <v>1193.7000000000003</v>
      </c>
      <c r="I360" s="3">
        <f>861.5+(1313.5-543.2)+(0.87873+(1.33977-0.554064))+0-426.5-0.435030000000068</f>
        <v>1206.5294059999999</v>
      </c>
      <c r="J360" s="3">
        <f>862.6+(1235.9-502)+(2.19963+(3.151545-1.2801))+0-423.8-1.08068999999994</f>
        <v>1175.6903850000001</v>
      </c>
      <c r="K360" s="3">
        <f>861.7+(1211.4-501.4)+(2.197335+(3.08907-1.27857))+0-421.2-1.07405999999994</f>
        <v>1153.4337750000002</v>
      </c>
      <c r="L360" s="3">
        <f>863.8+(1189.9-470.2)+(0.440538+(0.606849-0.239802))+0-417.5-0.212924999999958</f>
        <v>1166.59466</v>
      </c>
      <c r="M360" s="3">
        <f>853.9+(1220-387.7)+(0+(0-0))+0-421.7-0</f>
        <v>1264.4999999999998</v>
      </c>
      <c r="N360" s="3">
        <f>862.6+(1393.6-488.4)+(0+(0-0))+0-423.3-0</f>
        <v>1344.5</v>
      </c>
      <c r="O360" s="3">
        <f>993.4+(1621.9-638.1)+(1.013268+(1.654338-0.650862))+0-391.5-0.399330000000062</f>
        <v>1587.3174140000001</v>
      </c>
      <c r="P360" s="3">
        <f>1144.2+(1849.1-1155.8)+(-0.583542+(-0.943041--0.589458))+0-422.6--0.215525999999957</f>
        <v>1414.1784010000001</v>
      </c>
      <c r="Q360" s="3">
        <f>1164.7+(1973.1-1221.7)+(-1.187994+(-2.012562--1.246134))+0-417.8--0.426156000000067</f>
        <v>1496.7717339999999</v>
      </c>
      <c r="R360" s="3">
        <f>1177.4+(1646.5-979)+(-1.200948+(-1.67943--0.99858))+0-410.3--0.418506000000065</f>
        <v>1433.1367080000002</v>
      </c>
      <c r="S360" s="3">
        <f>1154.5+(1372.1-810)+(-0.588795+(-0.699771--0.4131))+0-420--0.214199999999957</f>
        <v>1295.9387339999998</v>
      </c>
      <c r="T360" s="3">
        <f>1154.6+(1487.4-743)+(-2.355384+(-3.034296--1.51572))+0-427--0.871079999999981</f>
        <v>1468.99712</v>
      </c>
      <c r="U360" s="3">
        <f>1154.6+(1429.5-753.8)+(0+(0-0))+0-416.5-0</f>
        <v>1413.8</v>
      </c>
      <c r="V360" s="3">
        <f>1201.9+(1307-689.2)+(-1.225938+(-1.33314--0.702984))+0-418.8--0.427176000000067</f>
        <v>1399.4710820000003</v>
      </c>
      <c r="W360" s="3">
        <f>1258.7+(1101.6-569)+(-0.641937+(-0.561816--0.29019))+0-416.5--0.212414999999958</f>
        <v>1374.0988519999999</v>
      </c>
      <c r="X360" s="3">
        <f>1171.4+(1672.2-841.4)+(-0.597414+(-0.852822--0.429114))+0-422.1--0.215270999999957</f>
        <v>1579.2941490000003</v>
      </c>
      <c r="Y360" s="3">
        <f>1322.8+(2171.3-1480.9)+(-1.349256+(-2.214726--1.510518))+0-404.8--0.412896000000065</f>
        <v>1606.7594320000001</v>
      </c>
      <c r="Z360" s="3">
        <f>1306.6+(2202.4-1509.9)+(-3.33183+(-5.61612--3.850245))+0-422.6--1.07762999999994</f>
        <v>1572.4799249999999</v>
      </c>
      <c r="AA360" s="3">
        <f>1315.3+(1891.8-1216.6)+(-1.341606+(-1.929636--1.240932))+0-428.6--0.437172000000068</f>
        <v>1560.3068620000001</v>
      </c>
      <c r="AB360" s="3">
        <f>1313.7+(1668.7-1049.9)+(-2.009961+(-2.553111--1.606347))+0-419.1--0.641223000000024</f>
        <v>1511.0844980000002</v>
      </c>
      <c r="AC360" s="3">
        <f>1271.1+(1658.3-1072.7)+(-1.944783+(-2.537199--1.641231))+0-416.3--0.636939000000024</f>
        <v>1438.1961879999999</v>
      </c>
      <c r="AD360">
        <v>1607.6999999999998</v>
      </c>
      <c r="AE360" s="3">
        <f>1331+(2112.6-1418)+(0+(0-0))+0-413.9-0</f>
        <v>1611.6999999999998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1221.4+(1226.3-570.3)+(-1.245828+(-1.250826--0.581706))+0-424.3--0.432786000000068</f>
        <v>1451.6178380000001</v>
      </c>
      <c r="G361" s="3">
        <f>950+(1098.7-380.7)+(0.4845+(0.560337-0.194157))+0-426.7-0.217616999999957</f>
        <v>1241.9330629999999</v>
      </c>
      <c r="H361" s="3">
        <f>864.8+(1118.9-349.4)+(-1.323144+(-1.711917--0.534582))+0-424.3--0.649179000000024</f>
        <v>1208.1487000000002</v>
      </c>
      <c r="I361" s="3">
        <f>864.8+(1011.3-312.7)+(-0.882096+(-1.031526--0.318954))+0-397.2--0.405144000000063</f>
        <v>1165.0104759999999</v>
      </c>
      <c r="J361" s="3">
        <f>865.1+(1030.5-330.9)+(-1.323603+(-1.576665--0.506277))+0-392.6--0.600678000000023</f>
        <v>1170.306687</v>
      </c>
      <c r="K361" s="3">
        <f>865.9+(1030.1-318.4)+(1.324827+(1.576053-0.487152))+0-417.6-0.638928000000024</f>
        <v>1161.7747999999999</v>
      </c>
      <c r="L361" s="3">
        <f>865.7+(1188.5-478)+(-0.883014+(-1.21227--0.48756))+0-419.7--0.428094000000067</f>
        <v>1155.3203700000001</v>
      </c>
      <c r="M361" s="3">
        <f>890.5+(1185.6-440.1)+(0+(0-0))+0-422.9-0</f>
        <v>1213.0999999999999</v>
      </c>
      <c r="N361" s="3">
        <f>1023.2+(1382.5-641)+(1.043664+(1.41015-0.65382))+0-417.1-0.425442000000067</f>
        <v>1348.9745519999999</v>
      </c>
      <c r="O361" s="3">
        <f>1055.5+(1744.8-990)+(1.614915+(2.669544-1.5147))+0-395.3-0.604809000000023</f>
        <v>1417.1649500000001</v>
      </c>
      <c r="P361" s="3">
        <f>1191.3+(1876.1-1225.6)+(0+(0-0))+0-391.4-0</f>
        <v>1450.4</v>
      </c>
      <c r="Q361" s="3">
        <f>1225.5+(1961.9-1351.4)+(-0.625005+(-1.000569--0.689214))+0-405.4--0.206753999999959</f>
        <v>1429.8703940000003</v>
      </c>
      <c r="R361" s="3">
        <f>1243.6+(1641.4-1121)+(-5.073888+(-6.696912--4.57368))+0-410.9--1.67647199999996</f>
        <v>1347.579352</v>
      </c>
      <c r="S361" s="3">
        <f>1224.4+(1259.3-814.3)+(-2.497776+(-2.568972--1.661172))+0-392.6--0.800903999999983</f>
        <v>1274.195328</v>
      </c>
      <c r="T361" s="3">
        <f>1254.3+(1013.7-594.4)+(0.639693+(0.516987-0.303144))+0-406.5-0.207314999999959</f>
        <v>1267.7462210000001</v>
      </c>
      <c r="U361" s="3">
        <f>1263.1+(938.5-523)+(-3.865086+(-2.87181--1.60038))+0-427.4--1.30784400000005</f>
        <v>1247.3713279999999</v>
      </c>
      <c r="V361" s="3">
        <f>1264.2+(855.2-463.3)+(-3.868452+(-2.616912--1.417698))+0-406.2--1.24297200000005</f>
        <v>1246.0753060000002</v>
      </c>
      <c r="W361" s="3">
        <f>1326.8+(792.8-472.2)+(-2.030004+(-1.212984--0.722466))+0-391.1--0.598383000000023</f>
        <v>1254.3778609999999</v>
      </c>
      <c r="X361" s="3">
        <f>1357.5+(872.2-550.4)+(-0.692325+(-0.444822--0.280704))+0-393.1--0.20048099999996</f>
        <v>1285.544038</v>
      </c>
      <c r="Y361" s="3">
        <f>1328.7+(1080.2-575.5)+(-2.710548+(-2.203608--1.17402))+0-391.3--0.798251999999983</f>
        <v>1439.1581160000003</v>
      </c>
      <c r="Z361" s="3">
        <f>1324.9+(1166.8-595.8)+(0.675699+(0.595068-0.303858))+0-393.4-0.20063399999996</f>
        <v>1503.2662750000002</v>
      </c>
      <c r="AA361" s="3">
        <f>1286.7+(1079.6-521.1)+(-1.968651+(-1.651788--0.797283))+0-364.1--0.557073000000021</f>
        <v>1478.8339169999999</v>
      </c>
      <c r="AB361" s="3">
        <f>1159.5+(1134.8-476.8)+(-0.591345+(-0.578748--0.243168))+0-390.7--0.19925699999996</f>
        <v>1426.072332</v>
      </c>
      <c r="AC361" s="3">
        <f>1069.1+(1137-473.2)+(-3.816687+(-4.05909--1.689324))+0-373.2--1.33232400000001</f>
        <v>1354.8458709999998</v>
      </c>
      <c r="AD361">
        <v>1549.4</v>
      </c>
      <c r="AE361" s="3">
        <f>1334+(1146-536.5)+(0+(0-0))+0-390.1-0</f>
        <v>1553.4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983.2+(1173.6-498.5)+(-1.002864+(-1.197072--0.50847))+0-375.3--0.38280600000006</f>
        <v>1281.6913400000001</v>
      </c>
      <c r="G362" s="3">
        <f>945+(1061.3-416.1)+(-1.9278+(-2.165052--0.848844))+0-381.8--0.778871999999983</f>
        <v>1205.9348640000001</v>
      </c>
      <c r="H362" s="3">
        <f>971.6+(916.7-357.4)+(-1.486548+(-1.402551--0.546822))+0-370.9--0.567477000000021</f>
        <v>1158.2252000000003</v>
      </c>
      <c r="I362" s="3">
        <f>1005.1+(820.9-307.7)+(-2.050404+(-1.674636--0.627708))+0-371--0.756839999999984</f>
        <v>1144.9595080000001</v>
      </c>
      <c r="J362" s="3">
        <f>1006.2+(894.1-382.8)+(1.539486+(1.367973-0.585684))+0-376.4-0.575892000000022</f>
        <v>1142.8458829999997</v>
      </c>
      <c r="K362" s="3">
        <f>1006+(968-466.3)+(2.05224+(1.97472-0.951252))+0-383-0.781319999999983</f>
        <v>1126.9943880000001</v>
      </c>
      <c r="L362" s="3">
        <f>1006.1+(1071.9-598.1)+(-0.513111+(-0.546669--0.305031))+0-386.1--0.196910999999961</f>
        <v>1093.242162</v>
      </c>
      <c r="M362" s="3">
        <f>1006.1+(1106.8-600)+(-0.513111+(-0.564468--0.306))+0-390.1--0.19895099999996</f>
        <v>1122.2273719999998</v>
      </c>
      <c r="N362" s="3">
        <f>1010.1+(1111.3-534.4)+(-1.545453+(-1.700289--0.817632))+0-370.1--0.566253000000021</f>
        <v>1215.0381429999998</v>
      </c>
      <c r="O362" s="3">
        <f>997.4+(1108-441.6)+(0+(0-0))+0-388-0</f>
        <v>1275.8</v>
      </c>
      <c r="P362" s="3">
        <f>1087.4+(1043.4-423.4)+(2.218296+(2.128536-0.863736))+0-392.7-0.801107999999983</f>
        <v>1317.3819880000001</v>
      </c>
      <c r="Q362" s="3">
        <f>1238.7+(958.1-490.3)+(-0.631737+(-0.488631--0.250053))+0-392.3--0.20007299999996</f>
        <v>1313.5297580000001</v>
      </c>
      <c r="R362" s="3">
        <f>1265.8+(925.2-510.5)+(-3.22779+(-2.35926--1.301775))+0-391.9--0.999344999999943</f>
        <v>1285.3140700000001</v>
      </c>
      <c r="S362" s="3">
        <f>1277.9+(941.2-570.2)+(-0.651729+(-0.480012--0.290802))+0-390.6--0.19920599999996</f>
        <v>1257.658267</v>
      </c>
      <c r="T362" s="3">
        <f>1302.8+(963.9-643.5)+(-3.32214+(-2.457945--1.640925))+0-391--0.997049999999943</f>
        <v>1229.0578899999998</v>
      </c>
      <c r="U362" s="3">
        <f>1316.5+(930.3-614.6)+(-0.671415+(-0.474453--0.313446))+0-391.4--0.19961399999996</f>
        <v>1240.1671919999997</v>
      </c>
      <c r="V362" s="3">
        <f>1334+(945.6-618)+(-0.68034+(-0.482256--0.31518))+0-391.4--0.19961399999996</f>
        <v>1269.5521979999996</v>
      </c>
      <c r="W362" s="3">
        <f>1429.8+(889.7-647.1)+(0.729198+(0.453747-0.330021))+0-392.9-0.20037899999996</f>
        <v>1280.1525450000004</v>
      </c>
      <c r="X362" s="3">
        <f>1602.7+(774.7-546.9)+(0+(0-0))+0-391.8-0</f>
        <v>1438.7</v>
      </c>
      <c r="Y362" s="3">
        <f>1611.2+(882.2-569)+(-4.10856+(-2.24961--1.45095))+0-396.6--1.01132999999994</f>
        <v>1523.9041100000002</v>
      </c>
      <c r="Z362" s="3">
        <f>1456.9+(1216-742.9)+(0+(0-0))+0-419.3-0</f>
        <v>1510.7</v>
      </c>
      <c r="AA362" s="3">
        <f>1343.7+(1339.8-762)+(-4.111722+(-4.099788--2.33172))+0-426.3--1.30447800000005</f>
        <v>1490.6246880000001</v>
      </c>
      <c r="AB362" s="3">
        <f>1196.9+(1541.3-851.4)+(-0.610419+(-0.786063--0.434214))+0-427.4--0.217973999999957</f>
        <v>1458.6557060000002</v>
      </c>
      <c r="AC362" s="3">
        <f>1145.5+(1176.9-534.6)+(-2.33682+(-2.400876--1.090584))+0-426.9--0.870875999999981</f>
        <v>1358.1237639999999</v>
      </c>
      <c r="AD362">
        <v>1501.1</v>
      </c>
      <c r="AE362" s="3">
        <f>1613+(804.2-521.1)+(0+(0-0))+0-391-0</f>
        <v>1505.1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1113.1+(921.9-348.9)+(-1.135362+(-0.940338--0.355878))+0-427.7--0.436254000000068</f>
        <v>1257.1164319999998</v>
      </c>
      <c r="G363" s="3">
        <f>1112.3+(965.7-470.3)+(-1.134546+(-0.985014--0.479706))+0-429.8--0.438396000000069</f>
        <v>1176.6985420000001</v>
      </c>
      <c r="H363" s="3">
        <f>1112.4+(1014.5-544.5)+(0+(0-0))+0-426.2-0</f>
        <v>1156.2</v>
      </c>
      <c r="I363" s="3">
        <f>1112.4+(972.3-510.7)+(-1.701972+(-1.487619--0.781371))+0-431.6--0.660348000000025</f>
        <v>1140.6521279999999</v>
      </c>
      <c r="J363" s="3">
        <f>1111+(951.7-504.2)+(0.56661+(0.485367-0.257142))+0-427.4-0.217973999999957</f>
        <v>1131.6768610000001</v>
      </c>
      <c r="K363" s="3">
        <f>1112.8+(1027.4-586.3)+(1.702584+(1.571922-0.897039))+0-423.1-0.647343000000025</f>
        <v>1132.5301239999999</v>
      </c>
      <c r="L363" s="3">
        <f>1112+(972.6-534)+(-2.8356+(-2.48013--1.3617))+0-421.7--1.07533499999994</f>
        <v>1126.0213049999998</v>
      </c>
      <c r="M363" s="3">
        <f>1111.9+(933.6-455.1)+(-2.268276+(-1.904544--0.928404))+0-422.2--0.861287999999982</f>
        <v>1165.8168720000001</v>
      </c>
      <c r="N363" s="3">
        <f>1182+(1089.4-582.2)+(0+(0-0))+0-424.7-0</f>
        <v>1264.5</v>
      </c>
      <c r="O363" s="3">
        <f>1314.6+(966.6-525.1)+(0.670446+(0.492966-0.267801))+0-398.4-0.20318399999996</f>
        <v>1358.3924269999998</v>
      </c>
      <c r="P363" s="3">
        <f>1378+(884-467.9)+(0+(0-0))+0-396.3-0</f>
        <v>1397.8</v>
      </c>
      <c r="Q363" s="3">
        <f>1422.7+(866-440.9)+(0+(0-0))+0-396.8-0</f>
        <v>1451.0000000000002</v>
      </c>
      <c r="R363" s="3">
        <f>1380.1+(858.8-486)+(-2.815404+(-1.751952--0.99144))+0-397.3--0.810491999999983</f>
        <v>1352.834576</v>
      </c>
      <c r="S363" s="3">
        <f>1423.1+(769.5-459.2)+(-2.177343+(-1.177335--0.702576))+0-399.6--0.611388000000023</f>
        <v>1331.7592859999997</v>
      </c>
      <c r="T363" s="3">
        <f>1423.2+(817.3-508)+(-0.725832+(-0.416823--0.25908))+0-394.1--0.20099099999996</f>
        <v>1337.7174159999997</v>
      </c>
      <c r="U363" s="3">
        <f>1423.1+(828-538)+(0+(0-0))+0-394-0</f>
        <v>1319.1</v>
      </c>
      <c r="V363" s="3">
        <f>1423.1+(891.6-591.3)+(-2.177343+(-1.364148--0.904689))+0-381.2--0.583236000000022</f>
        <v>1340.146434</v>
      </c>
      <c r="W363" s="3">
        <f>1423.2+(870.2-593.1)+(0+(0-0))+0-393.9-0</f>
        <v>1306.4000000000001</v>
      </c>
      <c r="X363" s="3">
        <f>1582.2+(1015.4-761.8)+(-0.806922+(-0.517854--0.388518))+0-393.4--0.20063399999996</f>
        <v>1441.6643760000004</v>
      </c>
      <c r="Y363" s="3">
        <f>1650.3+(912.7-664.1)+(-2.524959+(-1.396431--1.016073))+0-394.1--0.602973000000023</f>
        <v>1502.497656</v>
      </c>
      <c r="Z363" s="3">
        <f>1524.5+(1034.5-685.1)+(-2.332485+(-1.582785--1.048203))+0-404.5--0.618885000000023</f>
        <v>1467.1518180000003</v>
      </c>
      <c r="AA363" s="3">
        <f>1314.8+(1066.5-506.1)+(-1.341096+(-1.08783--0.516222))+0-414.6--0.422892000000066</f>
        <v>1459.1101879999997</v>
      </c>
      <c r="AB363" s="3">
        <f>1308.8+(1052.8-515.4)+(-3.33744+(-2.68464--1.31427))+0-417.5--1.06462499999994</f>
        <v>1425.0568149999997</v>
      </c>
      <c r="AC363" s="3">
        <f>1202.4+(1060.5-384.5)+(-1.839672+(-1.622565--0.588285))+0-424.1--0.648873000000025</f>
        <v>1452.0749210000004</v>
      </c>
      <c r="AD363">
        <v>1471.6999999999998</v>
      </c>
      <c r="AE363" s="3">
        <f>1642+(858.6-610.7)+(0+(0-0))+0-414.2-0</f>
        <v>1475.7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995.9+(1237.7-450.5)+(-2.539545+(-3.156135--1.148775))+0-427--1.08884999999994</f>
        <v>1352.6419449999999</v>
      </c>
      <c r="G364" s="3">
        <f>980.1+(1381.7-702.6)+(-2.499255+(-3.523335--1.79163))+0-429.7--1.09573499999994</f>
        <v>1226.3647749999998</v>
      </c>
      <c r="H364" s="3">
        <f>980.2+(1414.1-811.2)+(-0.499902+(-0.721191--0.413712))+0-430--0.219299999999956</f>
        <v>1152.5119189999998</v>
      </c>
      <c r="I364" s="3">
        <f>980.3+(1385.5-843.6)+(-1.499859+(-2.119815--1.290708))+0-427.5--0.654075000000025</f>
        <v>1093.0251089999997</v>
      </c>
      <c r="J364" s="3">
        <f>982.2+(1349.9-855.1)+(-1.502766+(-2.065347--1.308303))+0-410.8--0.628524000000024</f>
        <v>1064.568714</v>
      </c>
      <c r="K364" s="3">
        <f>977.2+(1175.6-644.1)+(-1.495116+(-1.798668--0.985473))+0-412.9--0.631737000000024</f>
        <v>1094.1234259999999</v>
      </c>
      <c r="L364" s="3">
        <f>956.5+(1386.6-777)+(-0.97563+(-1.414332--0.79254))+0-420.8--0.429216000000067</f>
        <v>1144.1317939999999</v>
      </c>
      <c r="M364" s="3">
        <f>933.8+(1285.5-729.8)+(0.476238+(0.655605-0.372198))+0-423.2-0.215831999999957</f>
        <v>1066.8438130000002</v>
      </c>
      <c r="N364" s="3">
        <f>890.8+(1152.5-465.8)+(0.454308+(0.587775-0.237558))+0-419.5-0.213944999999957</f>
        <v>1158.59058</v>
      </c>
      <c r="O364" s="3">
        <f>847.4+(1322.9-512)+(0+(0-0))+0-417.1-0</f>
        <v>1241.2000000000003</v>
      </c>
      <c r="P364" s="3">
        <f>872.7+(1234.7-431.4)+(-1.335231+(-1.889091--0.660042))+0-395.8--0.605574000000023</f>
        <v>1278.2412939999999</v>
      </c>
      <c r="Q364" s="3">
        <f>899.1+(1105.7-337.7)+(0+(0-0))+0-391.9-0</f>
        <v>1275.1999999999998</v>
      </c>
      <c r="R364" s="3">
        <f>899+(1126.5-386.6)+(-0.91698+(-1.14903--0.394332))+0-397.2--0.405144000000063</f>
        <v>1240.4334660000002</v>
      </c>
      <c r="S364" s="3">
        <f>900+(1137.7-460.4)+(-0.918+(-1.160454--0.469608))+0-406.1--0.414222000000065</f>
        <v>1170.0053760000003</v>
      </c>
      <c r="T364" s="3">
        <f>899.1+(1167.9-474.9)+(0+(0-0))+0-404.2-0</f>
        <v>1187.9000000000001</v>
      </c>
      <c r="U364" s="3">
        <f>901.2+(1102.2-396.2)+(-0.459612+(-0.562122--0.202062))+0-412.2--0.210221999999958</f>
        <v>1194.3905499999998</v>
      </c>
      <c r="V364" s="3">
        <f>907.3+(1090.1-377.8)+(-0.462723+(-0.555951--0.192678))+0-429.3--0.218942999999956</f>
        <v>1189.6929469999998</v>
      </c>
      <c r="W364" s="3">
        <f>1087.6+(959.9-343.1)+(-1.109352+(-0.979098--0.349962))+0-424.7--0.433194000000068</f>
        <v>1278.3947059999998</v>
      </c>
      <c r="X364" s="3">
        <f>1161.6+(758.5-161.6)+(-0.592416+(-0.386835--0.082416))+0-425.6--0.217055999999957</f>
        <v>1332.220221</v>
      </c>
      <c r="Y364" s="3">
        <f>1310.4+(862.8-279.3)+(-3.34152+(-2.20014--0.712215))+0-421.8--1.07558999999994</f>
        <v>1468.346145</v>
      </c>
      <c r="Z364" s="3">
        <f>1315.5+(845.3-280.3)+(-4.02543+(-2.586618--0.857718))+0-427.8--1.30906800000005</f>
        <v>1448.2547380000001</v>
      </c>
      <c r="AA364" s="3">
        <f>1168.6+(921.1-229.4)+(-1.191972+(-0.939522--0.233988))+0-424.8--0.433296000000068</f>
        <v>1434.0357900000001</v>
      </c>
      <c r="AB364" s="3">
        <f>1037.4+(929.4-164.2)+(-2.116296+(-1.895976--0.334968))+0-397.7--0.811307999999983</f>
        <v>1402.0340040000001</v>
      </c>
      <c r="AC364" s="3">
        <f>906.5+(939.3-129.8)+(-0.92463+(-0.958086--0.132396))+0-391.3--0.399126000000062</f>
        <v>1323.348806</v>
      </c>
      <c r="AD364">
        <v>1497.9</v>
      </c>
      <c r="AE364" s="3">
        <f>1316+(872.6-252.6)+(0+(0-0))+0-434.1-0</f>
        <v>1501.9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867.3+(950.2-198.6)+(0.442323+(0.484602-0.101286))+0-390.5-0.19915499999996</f>
        <v>1229.026484</v>
      </c>
      <c r="G365" s="3">
        <f>867.3+(1274.6-603.2)+(-2.211615+(-3.25023--1.53816))+0-391.6--0.998579999999943</f>
        <v>1144.1748949999997</v>
      </c>
      <c r="H365" s="3">
        <f>867.3+(1330.4-718.6)+(-0.442323+(-0.678504--0.366486))+0-385.1--0.196400999999961</f>
        <v>1093.4420599999996</v>
      </c>
      <c r="I365" s="3">
        <f>867.4+(1351.2-750.3)+(-0.884748+(-1.378224--0.765306))+0-390.7--0.398514000000062</f>
        <v>1076.5008480000001</v>
      </c>
      <c r="J365" s="3">
        <f>867.2+(1193.7-597.2)+(1.326816+(1.826361-0.913716))+0-394.4-0.603432000000023</f>
        <v>1070.9360289999997</v>
      </c>
      <c r="K365" s="3">
        <f>867.3+(1322.9-734.6)+(0.442323+(0.674679-0.374646))+0-390.5-0.19915499999996</f>
        <v>1065.6432009999999</v>
      </c>
      <c r="L365" s="3">
        <f>867.4+(1595.5-1041.5)+(-1.769496+(-3.25482--2.12466))+0-389.9--0.795395999999983</f>
        <v>1029.3957399999999</v>
      </c>
      <c r="M365" s="3">
        <f>867.3+(1517.2-968.4)+(0.442323+(0.773772-0.493884))+0-389.9-0.19884899999996</f>
        <v>1026.7233620000002</v>
      </c>
      <c r="N365" s="3">
        <f>867.4+(1336.3-710.2)+(0.884748+(1.363026-0.724404))+0-391.7-0.399534000000062</f>
        <v>1102.9238359999997</v>
      </c>
      <c r="O365" s="3">
        <f>867.9+(1316.2-617.5)+(-0.442629+(-0.671262--0.314925))+0-393.5--0.20068499999996</f>
        <v>1172.5017189999999</v>
      </c>
      <c r="P365" s="3">
        <f>1027.6+(1223.6-641.9)+(-2.096304+(-2.496144--1.309476))+0-393.6--0.802943999999983</f>
        <v>1213.2199719999999</v>
      </c>
      <c r="Q365" s="3">
        <f>1081.9+(1443.8-877.9)+(-0.551769+(-0.736338--0.447729))+0-394.9--0.20139899999996</f>
        <v>1252.2610210000003</v>
      </c>
      <c r="R365" s="3">
        <f>1081+(1405.1-880.7)+(-3.30786+(-4.299606--2.694942))+0-394.2--1.20625200000005</f>
        <v>1207.4937279999997</v>
      </c>
      <c r="S365" s="3">
        <f>1081.1+(1372.1-870.8)+(0.551361+(0.699771-0.444108))+0-392.7-0.20027699999996</f>
        <v>1190.3067469999999</v>
      </c>
      <c r="T365" s="3">
        <f>1090+(1278.7-787.6)+(-0.5559+(-0.652137--0.401676))+0-391.6--0.19971599999996</f>
        <v>1188.8933549999999</v>
      </c>
      <c r="U365" s="3">
        <f>1143.8+(923.1-428.4)+(-0.583338+(-0.470781--0.218484))+0-392.7--0.20027699999996</f>
        <v>1245.164642</v>
      </c>
      <c r="V365" s="3">
        <f>1208.2+(868.5-416.3)+(0+(0-0))+0-392.5-0</f>
        <v>1267.9000000000001</v>
      </c>
      <c r="W365" s="3">
        <f>1231.6+(750.8-363.2)+(-2.512464+(-1.531632--0.740928))+0-393.2--0.802127999999983</f>
        <v>1223.4989599999999</v>
      </c>
      <c r="X365" s="3">
        <f>1225+(661.5-149.2)+(-1.87425+(-1.012095--0.228276))+0-377.7--0.577881000000022</f>
        <v>1357.5198119999998</v>
      </c>
      <c r="Y365" s="3">
        <f>1238.2+(1017.7-369)+(-1.894446+(-1.557081--0.56457))+0-390.5--0.597465000000023</f>
        <v>1494.1105080000002</v>
      </c>
      <c r="Z365" s="3">
        <f>1240.1+(1007.4-393.3)+(-3.162255+(-2.56887--1.002915))+0-394.4--1.00571999999994</f>
        <v>1456.0775099999998</v>
      </c>
      <c r="AA365" s="3">
        <f>1188.4+(1116.5-485.8)+(-2.424336+(-2.27766--0.991032))+0-391.8--0.799271999999983</f>
        <v>1424.3883080000001</v>
      </c>
      <c r="AB365" s="3">
        <f>1165.4+(1108.4-480.4)+(-2.377416+(-2.261136--0.980016))+0-390--0.795599999999983</f>
        <v>1400.5370640000001</v>
      </c>
      <c r="AC365" s="3">
        <f>1166.1+(889.3-290.3)+(-1.784133+(-1.360629--0.444159))+0-391.9--0.599607000000023</f>
        <v>1371.0990040000001</v>
      </c>
      <c r="AD365">
        <v>1482.3000000000002</v>
      </c>
      <c r="AE365" s="3">
        <f>1223+(990.8-335.7)+(0+(0-0))+0-391.8-0</f>
        <v>1486.3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248.7+(889.2-500.5)+(-0.634185+(-2.26746--1.276275))+0-0-0</f>
        <v>635.77463000000012</v>
      </c>
      <c r="G1" s="3">
        <f>215+(869-510.7)+(-0.32895+(-1.32957--0.781371))+0-0-0</f>
        <v>572.42285099999992</v>
      </c>
      <c r="H1" s="3">
        <f>215+(855.9-520.3)+(-0.10965+(-0.436509--0.265353))+0-0-0</f>
        <v>550.31919400000004</v>
      </c>
      <c r="I1" s="3">
        <f>215+(780-472.4)+(-0.54825+(-1.989--1.20462))+0-0-0</f>
        <v>521.26737000000003</v>
      </c>
      <c r="J1" s="3">
        <f>215+(736.1-453.8)+(-0.10965+(-0.375411--0.231438))+0-0-0</f>
        <v>497.04637700000001</v>
      </c>
      <c r="K1" s="3">
        <f>215+(740.7-475.4)+(-0.54825+(-1.888785--1.21227))+0-0-0</f>
        <v>479.07523500000008</v>
      </c>
      <c r="L1" s="3">
        <f>209.9+(761-505.7)+(0+(0-0))+0-0-0</f>
        <v>465.20000000000005</v>
      </c>
      <c r="M1" s="3">
        <f>210+(791-534.9)+(0+(0-0))+0-0-0</f>
        <v>466.1</v>
      </c>
      <c r="N1" s="3">
        <f>210+(829.3-530)+(-0.3213+(-1.268829--0.8109))+0-0-0</f>
        <v>508.52077099999997</v>
      </c>
      <c r="O1" s="3">
        <f>210+(833.3-511.5)+(-0.1071+(-0.424983--0.260865))+0-0-0</f>
        <v>531.52878199999998</v>
      </c>
      <c r="P1" s="3">
        <f>210+(853.1-526.6)+(-0.3213+(-1.305243--0.805698))+0-0-0</f>
        <v>535.67915500000004</v>
      </c>
      <c r="Q1" s="3">
        <f>370+(764.6-529.4)+(-0.5661+(-1.169838--0.809982))+0-0-0</f>
        <v>604.274044</v>
      </c>
      <c r="R1" s="3">
        <f>371+(634.5-486.7)+(-0.18921+(-0.323595--0.248217))+0-0-0</f>
        <v>518.53541199999995</v>
      </c>
      <c r="S1" s="3">
        <f>371+(637.9-490.2)+(0.37842+(0.650658-0.500004))+0-0-0</f>
        <v>519.22907400000008</v>
      </c>
      <c r="T1" s="3">
        <f>371+(648.6-507.7)+(-0.56763+(-0.992358--0.776781))+0-0-0</f>
        <v>511.11679300000003</v>
      </c>
      <c r="U1" s="3">
        <f>371+(623.3-476.9)+(-0.37842+(-0.635766--0.486438))+0-0-0</f>
        <v>516.872252</v>
      </c>
      <c r="V1" s="3">
        <f>371+(656.4-503.3)+(-0.18921+(-0.334764--0.256683))+0-0-0</f>
        <v>523.83270899999991</v>
      </c>
      <c r="W1" s="3">
        <f>371+(682-514.2)+(0+(0-0))+0-0-0</f>
        <v>538.79999999999995</v>
      </c>
      <c r="X1" s="3">
        <f>373+(628.3-389.2)+(0+(0-0))+0-0-0</f>
        <v>612.09999999999991</v>
      </c>
      <c r="Y1" s="3">
        <f>425.3+(796.5-524)+(-0.216903+(-0.406215--0.26724))+0-0-0</f>
        <v>697.44412199999999</v>
      </c>
      <c r="Z1" s="3">
        <f>409.1+(847.3-567.6)+(0.208641+(0.432123-0.289476))+0-0-0</f>
        <v>689.15128799999991</v>
      </c>
      <c r="AA1" s="3">
        <f>259.5+(940.2-546.5)+(0+(0-0))+0-0-0</f>
        <v>653.20000000000005</v>
      </c>
      <c r="AB1" s="3">
        <f>211+(939.8-499.4)+(0+(0-0))+0-0-0</f>
        <v>651.4</v>
      </c>
      <c r="AC1" s="3">
        <f>214+(892.9-494.8)+(-0.10914+(-0.455379--0.252348))+0-0-0</f>
        <v>611.78782899999987</v>
      </c>
      <c r="AD1">
        <v>804.1</v>
      </c>
      <c r="AE1" s="3">
        <f>448+(878-521.9)+(0+(0-0))+0-0-0</f>
        <v>804.1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490.39391449999994</v>
      </c>
      <c r="G2" s="3">
        <f>210+(731-572)+(0+(0-0))+0-0-0</f>
        <v>369</v>
      </c>
      <c r="H2" s="3">
        <f>210+(724.2-566)+(-0.4284+(-1.477368--1.15464))+0-0-0</f>
        <v>367.44887200000005</v>
      </c>
      <c r="I2" s="3">
        <f>210+(690.5-544.7)+(-0.2142+(-0.70431--0.555594))+0-0-0</f>
        <v>355.43708399999997</v>
      </c>
      <c r="J2" s="3">
        <f>209.9+(651.5-502.8)+(0+(0-0))+0-0-0</f>
        <v>358.6</v>
      </c>
      <c r="K2" s="3">
        <f>210+(647.6-496)+(-0.3213+(-0.990828--0.75888))+0-0-0</f>
        <v>361.04675200000003</v>
      </c>
      <c r="L2" s="3">
        <f>210+(665.8-522.9)+(-0.2142+(-0.679116--0.533358))+0-0-0</f>
        <v>352.54004199999997</v>
      </c>
      <c r="M2" s="3">
        <f>210+(696.5-565)+(-0.7497+(-2.486505--2.01705))+0-0-0</f>
        <v>340.280845</v>
      </c>
      <c r="N2" s="3">
        <f>210+(723-602)+(0.3213+(1.10619-0.92106))+0-0-0</f>
        <v>331.50643000000002</v>
      </c>
      <c r="O2" s="3">
        <f>209.9+(741.3-586.6)+(0.321147+(1.134189-0.897498))+0-0-0</f>
        <v>365.15783799999991</v>
      </c>
      <c r="P2" s="3">
        <f>211.3+(739.9-574.3)+(0.215526+(0.754698-0.585786))+0-0-0</f>
        <v>377.28443800000002</v>
      </c>
      <c r="Q2" s="3">
        <f>284.9+(680.4-547.3)+(-0.871794+(-2.082024--1.674738))+0-0-0</f>
        <v>416.72091999999998</v>
      </c>
      <c r="R2" s="3">
        <f>286.1+(685.2-556.3)+(-0.145911+(-0.349452--0.283713))+0-0-0</f>
        <v>414.78835000000009</v>
      </c>
      <c r="S2" s="3">
        <f>212.6+(774.1-581.6)+(0.216852+(0.789582-0.593232))+0-0-0</f>
        <v>405.51320200000004</v>
      </c>
      <c r="T2" s="3">
        <f>212+(763.1-587.8)+(-0.32436+(-1.167543--0.899334))+0-0-0</f>
        <v>386.70743100000004</v>
      </c>
      <c r="U2" s="3">
        <f>212+(765.3-596.7)+(0+(0-0))+0-0-0</f>
        <v>380.59999999999991</v>
      </c>
      <c r="V2" s="3">
        <f>213+(746.2-587.4)+(-0.32589+(-1.141686--0.898722))+0-0-0</f>
        <v>371.23114600000008</v>
      </c>
      <c r="W2" s="3">
        <f>212.9+(740.2-580.3)+(-0.434316+(-1.510008--1.183812))+0-0-0</f>
        <v>372.03948800000006</v>
      </c>
      <c r="X2" s="3">
        <f>212.9+(764-596.7)+(-0.434316+(-1.55856--1.217268))+0-0-0</f>
        <v>379.42439199999995</v>
      </c>
      <c r="Y2" s="3">
        <f>278+(783.8-579)+(-0.42534+(-1.199214--0.88587))+0-0-0</f>
        <v>482.06131599999998</v>
      </c>
      <c r="Z2" s="3">
        <f>368.9+(797.9-596.9)+(-0.940695+(-2.034645--1.522095))+0-0-0</f>
        <v>568.44675499999994</v>
      </c>
      <c r="AA2" s="3">
        <f>376+(810.7-640.7)+(-0.19176+(-0.413457--0.326757))+0-0-0</f>
        <v>545.72154</v>
      </c>
      <c r="AB2" s="3">
        <f>469.2+(720.9-628.3)+(-1.435752+(-2.205954--1.922598))+0-0-0</f>
        <v>560.08089199999995</v>
      </c>
      <c r="AC2" s="3">
        <f>511.1+(632.3-582.5)+(-0.521322+(-0.644946--0.59415))+0-0-0</f>
        <v>560.32788199999993</v>
      </c>
      <c r="AD2">
        <v>714.1</v>
      </c>
      <c r="AE2" s="3">
        <f>370+(880.5-536.4)+(0+(0-0))+0-0-0</f>
        <v>714.1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400.7+(692.3-488.8)+(-0.408714+(-0.706146--0.498576))+0-0-0</f>
        <v>603.58371599999998</v>
      </c>
      <c r="G3" s="3">
        <f>253.9+(731.4-445.5)+(0+(0-0))+0-0-0</f>
        <v>539.79999999999995</v>
      </c>
      <c r="H3" s="3">
        <f>217.2+(710.3-426.8)+(-0.443088+(-1.449012--0.870672))+0-0-0</f>
        <v>499.67857199999992</v>
      </c>
      <c r="I3" s="3">
        <f>213.7+(673.7-399.1)+(0+(0-0))+0-0-0</f>
        <v>488.3</v>
      </c>
      <c r="J3" s="3">
        <f>215.1+(638.1-367.2)+(-0.548505+(-1.627155--0.93636))+0-0-0</f>
        <v>484.76069999999999</v>
      </c>
      <c r="K3" s="3">
        <f>215.4+(639.3-375.8)+(0.439416+(1.304172-0.766632))+0-0-0</f>
        <v>479.87695599999995</v>
      </c>
      <c r="L3" s="3">
        <f>215.8+(670.9-397.8)+(-0.330174+(-1.026477--0.608634))+0-0-0</f>
        <v>488.15198299999997</v>
      </c>
      <c r="M3" s="3">
        <f>216.2+(743.4-476.1)+(-0.110262+(-0.379134--0.242811))+0-0-0</f>
        <v>483.25341499999996</v>
      </c>
      <c r="N3" s="3">
        <f>217.2+(791.8-513.8)+(0+(0-0))+0-0-0</f>
        <v>495.2</v>
      </c>
      <c r="O3" s="3">
        <f>217.8+(823.6-512.2)+(-0.111078+(-0.420036--0.261222))+0-0-0</f>
        <v>528.93010800000002</v>
      </c>
      <c r="P3" s="3">
        <f>219.8+(862.8-514.9)+(0+(0-0))+0-0-0</f>
        <v>567.70000000000005</v>
      </c>
      <c r="Q3" s="3">
        <f>274.6+(776-462.4)+(0+(0-0))+0-0-0</f>
        <v>588.20000000000005</v>
      </c>
      <c r="R3" s="3">
        <f>274.7+(711.8-580.6)+(-0.280194+(-0.726036--0.592212))+0-0-0</f>
        <v>405.48598199999992</v>
      </c>
      <c r="S3" s="3">
        <f>270.7+(721.3-607.9)+(0+(0-0))+0-0-0</f>
        <v>384.09999999999997</v>
      </c>
      <c r="T3" s="3">
        <f>272.9+(714.6-614.2)+(0.139179+(0.364446-0.313242))+0-0-0</f>
        <v>373.49038299999995</v>
      </c>
      <c r="U3" s="3">
        <f>272+(719.4-618.5)+(-0.27744+(-0.733788--0.63087))+0-0-0</f>
        <v>372.51964199999998</v>
      </c>
      <c r="V3" s="3">
        <f>271.4+(720.1-621.8)+(0.138414+(0.367251-0.317118))+0-0-0</f>
        <v>369.88854700000007</v>
      </c>
      <c r="W3" s="3">
        <f>272+(721.7-612.7)+(-0.13872+(-0.368067--0.312477))+0-0-0</f>
        <v>380.80569000000003</v>
      </c>
      <c r="X3" s="3">
        <f>274.7+(728.2-586.9)+(0.140097+(0.371382-0.299319))+0-0-0</f>
        <v>416.21216000000004</v>
      </c>
      <c r="Y3" s="3">
        <f>352.9+(739-600.5)+(0.179979+(0.37689-0.306255))+0-0-0</f>
        <v>491.65061399999996</v>
      </c>
      <c r="Z3" s="3">
        <f>370.2+(820.5-640.6)+(-0.188802+(-0.418455--0.326706))+0-0-0</f>
        <v>549.81944899999996</v>
      </c>
      <c r="AA3" s="3">
        <f>439.1+(742.5-636.1)+(0+(0-0))+0-0-0</f>
        <v>545.5</v>
      </c>
      <c r="AB3" s="3">
        <f>455.6+(706.7-609.4)+(0.232356+(0.360417-0.310794))+0-0-0</f>
        <v>553.18197900000007</v>
      </c>
      <c r="AC3" s="3">
        <f>456.1+(685-601.1)+(-0.232611+(-0.34935--0.306561))+0-0-0</f>
        <v>539.72460000000001</v>
      </c>
      <c r="AD3">
        <v>701.09999999999991</v>
      </c>
      <c r="AE3" s="3">
        <f>372+(899.6-570.5)+(0+(0-0))+0-0-0</f>
        <v>701.1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373.6+(726-505)+(-0.190536+(-0.37026--0.25755))+0-0-0</f>
        <v>594.29675400000008</v>
      </c>
      <c r="G4" s="3">
        <f>333.3+(716-507.2)+(-0.509949+(-1.09548--0.776016))+0-0-0</f>
        <v>541.27058699999998</v>
      </c>
      <c r="H4" s="3">
        <f>214.2+(753.8-485.3)+(-0.218484+(-0.768876--0.495006))+0-0-0</f>
        <v>482.20764599999995</v>
      </c>
      <c r="I4" s="3">
        <f>214.6+(750.9-487.2)+(0.218892+(0.765918-0.496944))+0-0-0</f>
        <v>478.78786599999995</v>
      </c>
      <c r="J4" s="3">
        <f>213.2+(712.5-458.6)+(-0.217464+(-0.72675--0.467772))+0-0-0</f>
        <v>466.62355799999995</v>
      </c>
      <c r="K4" s="3">
        <f>241.9+(665.3-446.1)+(0.370107+(1.017909-0.682533))+0-0-0</f>
        <v>461.80548299999992</v>
      </c>
      <c r="L4" s="3">
        <f>332.7+(644.6-500.1)+(-0.848385+(-1.64373--1.275255))+0-0-0</f>
        <v>475.98313999999999</v>
      </c>
      <c r="M4" s="3">
        <f>370.5+(605-506.4)+(0.37791+(0.6171-0.516528))+0-0-0</f>
        <v>469.57848200000001</v>
      </c>
      <c r="N4" s="3">
        <f>373+(626.4-519.4)+(0+(0-0))+0-0-0</f>
        <v>480</v>
      </c>
      <c r="O4" s="3">
        <f>372.3+(672.4-520.7)+(0.189873+(0.342924-0.265557))+0-0-0</f>
        <v>524.26724000000002</v>
      </c>
      <c r="P4" s="3">
        <f>373.6+(696.7-512.5)+(-0.190536+(-0.355317--0.261375))+0-0-0</f>
        <v>557.51552200000003</v>
      </c>
      <c r="Q4" s="3">
        <f>374.1+(469.4-281.1)+(-0.381582+(-0.478788--0.286722))+0-0-0</f>
        <v>561.82635199999993</v>
      </c>
      <c r="R4" s="3">
        <f>373.6+(374.8-147.9)+(-0.190536+(-0.191148--0.075429))+0-0-0</f>
        <v>600.19374500000004</v>
      </c>
      <c r="S4" s="3">
        <f>372.8+(367.8-167.8)+(-0.570384+(-0.562734--0.256734))+0-0-0</f>
        <v>571.92361599999992</v>
      </c>
      <c r="T4" s="3">
        <f>372.7+(382.3-186.1)+(-0.950385+(-0.974865--0.474555))+0-0-0</f>
        <v>567.44930499999998</v>
      </c>
      <c r="U4" s="3">
        <f>372.8+(645.9-460.2)+(0.760512+(1.317636-0.938808))+0-0-0</f>
        <v>559.63933999999995</v>
      </c>
      <c r="V4" s="3">
        <f>372.4+(702-521.9)+(0.189924+(0.35802-0.266169))+0-0-0</f>
        <v>552.78177500000004</v>
      </c>
      <c r="W4" s="3">
        <f>372.4+(712.6-523.6)+(-0.379848+(-0.726852--0.534072))+0-0-0</f>
        <v>560.82737199999997</v>
      </c>
      <c r="X4" s="3">
        <f>372.7+(739.7-541.1)+(-0.380154+(-0.754494--0.551922))+0-0-0</f>
        <v>570.71727399999997</v>
      </c>
      <c r="Y4" s="3">
        <f>373.1+(853.8-560)+(0.190281+(0.435438-0.2856))+0-0-0</f>
        <v>667.24011899999994</v>
      </c>
      <c r="Z4" s="3">
        <f>373.7+(941.2-564.8)+(0+(0-0))+0-0-0</f>
        <v>750.10000000000014</v>
      </c>
      <c r="AA4" s="3">
        <f>374.3+(924.6-567.1)+(-0.381786+(-0.943092--0.578442))+0-0-0</f>
        <v>731.05356399999994</v>
      </c>
      <c r="AB4" s="3">
        <f>431.4+(835.2-538.6)+(0.220014+(0.425952-0.274686))+0-0-0</f>
        <v>728.37127999999996</v>
      </c>
      <c r="AC4" s="3">
        <f>460.1+(791-552.8)+(0.234651+(0.40341-0.281928))+0-0-0</f>
        <v>698.65613300000007</v>
      </c>
      <c r="AD4">
        <v>765.9</v>
      </c>
      <c r="AE4" s="3">
        <f>374+(953.3-561.4)+(0+(0-0))+0-0-0</f>
        <v>765.9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455.8+(713.4-527.1)+(-0.697374+(-1.091502--0.806463))+0-0-0</f>
        <v>641.11758699999996</v>
      </c>
      <c r="G5" s="3">
        <f>342.8+(736.9-503.9)+(-0.349656+(-0.751638--0.513978))+0-0-0</f>
        <v>575.21268399999997</v>
      </c>
      <c r="H5" s="3">
        <f>301.4+(714.1-498)+(0+(0-0))+0-0-0</f>
        <v>517.5</v>
      </c>
      <c r="I5" s="3">
        <f>301.9+(663.6-472.2)+(0+(0-0))+0-0-0</f>
        <v>493.3</v>
      </c>
      <c r="J5" s="3">
        <f>302.1+(619.9-439.6)+(0.154071+(0.316149-0.224196))+0-0-0</f>
        <v>482.64602399999995</v>
      </c>
      <c r="K5" s="3">
        <f>257.8+(628.5-390.2)+(0+(0-0))+0-0-0</f>
        <v>496.1</v>
      </c>
      <c r="L5" s="3">
        <f>216.7+(664.7-375.2)+(0.331551+(1.016991-0.574056))+0-0-0</f>
        <v>506.97448600000007</v>
      </c>
      <c r="M5" s="3">
        <f>212.5+(727.2-444.6)+(-0.4335+(-1.483488--0.906984))+0-0-0</f>
        <v>494.08999600000004</v>
      </c>
      <c r="N5" s="3">
        <f>278.5+(752.8-535.8)+(0.142035+(0.383928-0.273258))+0-0-0</f>
        <v>495.75270499999999</v>
      </c>
      <c r="O5" s="3">
        <f>370.9+(736.4-541.3)+(-0.567477+(-1.126692--0.828189))+0-0-0</f>
        <v>565.13401999999996</v>
      </c>
      <c r="P5" s="3">
        <f>425.8+(734.5-570.4)+(0+(0-0))+0-0-0</f>
        <v>589.90000000000009</v>
      </c>
      <c r="Q5" s="3">
        <f>459+(749.2-595)+(0.23409+(0.382092-0.30345))+0-0-0</f>
        <v>613.51273200000003</v>
      </c>
      <c r="R5" s="3">
        <f>444.6+(718-560.1)+(-0.680238+(-1.09854--0.856953))+0-0-0</f>
        <v>601.57817499999999</v>
      </c>
      <c r="S5" s="3">
        <f>373.5+(750.4-539.3)+(-0.38097+(-0.765408--0.550086))+0-0-0</f>
        <v>584.00370800000007</v>
      </c>
      <c r="T5" s="3">
        <f>373.6+(746.7-554.7)+(-0.95268+(-1.904085--1.414485))+0-0-0</f>
        <v>564.15772000000004</v>
      </c>
      <c r="U5" s="3">
        <f>371.7+(766.4-564.1)+(-0.568701+(-1.172592--0.863073))+0-0-0</f>
        <v>573.12177999999994</v>
      </c>
      <c r="V5" s="3">
        <f>372+(779.4-570.1)+(0+(0-0))+0-0-0</f>
        <v>581.29999999999995</v>
      </c>
      <c r="W5" s="3">
        <f>373.8+(738.1-524.9)+(-0.190638+(-0.376431--0.267699))+0-0-0</f>
        <v>586.70063000000005</v>
      </c>
      <c r="X5" s="3">
        <f>374.6+(749.4-527.4)+(0+(0-0))+0-0-0</f>
        <v>596.6</v>
      </c>
      <c r="Y5" s="3">
        <f>375.8+(868-598.6)+(0+(0-0))+0-0-0</f>
        <v>645.20000000000005</v>
      </c>
      <c r="Z5" s="3">
        <f>458.6+(921-643.6)+(-0.467772+(-0.93942--0.656472))+0-0-0</f>
        <v>735.24928</v>
      </c>
      <c r="AA5" s="3">
        <f>463.1+(907.6-648.1)+(-0.236181+(-0.462876--0.330531))+0-0-0</f>
        <v>722.23147400000005</v>
      </c>
      <c r="AB5" s="3">
        <f>462.9+(867.4-627.4)+(0+(0-0))+0-0-0</f>
        <v>702.9</v>
      </c>
      <c r="AC5" s="3">
        <f>441.4+(837.4-597.2)+(-0.450228+(-0.854148--0.609144))+0-0-0</f>
        <v>680.90476799999988</v>
      </c>
      <c r="AD5">
        <v>726</v>
      </c>
      <c r="AE5" s="3">
        <f>459+(900.7-633.7)+(0+(0-0))+0-0-0</f>
        <v>726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369.8+(831.4-576.8)+(-0.377196+(-0.848028--0.588336))+0-0-0</f>
        <v>623.76311200000009</v>
      </c>
      <c r="G6" s="3">
        <f>285.4+(861.1-580.6)+(-0.291108+(-0.878322--0.592212))+0-0-0</f>
        <v>565.32278199999996</v>
      </c>
      <c r="H6" s="3">
        <f>215.8+(824-528.1)+(0+(0-0))+0-0-0</f>
        <v>511.7</v>
      </c>
      <c r="I6" s="3">
        <f>214.5+(804.9-527.9)+(0+(0-0))+0-0-0</f>
        <v>491.5</v>
      </c>
      <c r="J6" s="3">
        <f>216+(809.9-517.5)+(0.22032+(0.826098-0.52785))+0-0-0</f>
        <v>508.91856799999999</v>
      </c>
      <c r="K6" s="3">
        <f>214+(798.7-512)+(-0.43656+(-1.629348--1.04448))+0-0-0</f>
        <v>499.67857200000003</v>
      </c>
      <c r="L6" s="3">
        <f>283.3+(732.8-517.2)+(-0.144483+(-0.373728--0.263772))+0-0-0</f>
        <v>498.64556099999993</v>
      </c>
      <c r="M6" s="3">
        <f>318.3+(742-539.1)+(-0.324666+(-0.75684--0.549882))+0-0-0</f>
        <v>520.66837600000008</v>
      </c>
      <c r="N6" s="3">
        <f>374.6+(720.8-551.2)+(0.573138+(1.102824-0.843336))+0-0-0</f>
        <v>545.03262599999994</v>
      </c>
      <c r="O6" s="3">
        <f>459.2+(694.2-571.6)+(-0.234192+(-0.354042--0.291516))+0-0-0</f>
        <v>581.5032819999999</v>
      </c>
      <c r="P6" s="3">
        <f>458.5+(734.3-601.8)+(-0.46767+(-0.748986--0.613836))+0-0-0</f>
        <v>590.39718000000005</v>
      </c>
      <c r="Q6" s="3">
        <f>552.3+(704.2-571.9)+(-0.281673+(-0.359142--0.291669))+0-0-0</f>
        <v>684.250854</v>
      </c>
      <c r="R6" s="3">
        <f>573.7+(652.5-587.2)+(-0.292587+(-0.332775--0.299472))+0-0-0</f>
        <v>638.67411000000004</v>
      </c>
      <c r="S6" s="3">
        <f>511.2+(668.8-533.9)+(-0.782136+(-1.023264--0.816867))+0-0-0</f>
        <v>645.11146699999995</v>
      </c>
      <c r="T6" s="3">
        <f>488.9+(638.4-530.5)+(-0.997356+(-1.302336--1.08222))+0-0-0</f>
        <v>595.58252799999991</v>
      </c>
      <c r="U6" s="3">
        <f>469.9+(664.9-546.6)+(-0.958596+(-1.356396--1.115064))+0-0-0</f>
        <v>587.00007199999993</v>
      </c>
      <c r="V6" s="3">
        <f>441.4+(686.6-551.6)+(-0.675342+(-1.050498--0.843948))+0-0-0</f>
        <v>575.51810799999998</v>
      </c>
      <c r="W6" s="3">
        <f>426.8+(684.8-537.2)+(-0.653004+(-1.047744--0.821916))+0-0-0</f>
        <v>573.52116799999988</v>
      </c>
      <c r="X6" s="3">
        <f>428+(698.5-551.8)+(-0.65484+(-1.068705--0.844254))+0-0-0</f>
        <v>573.82070900000008</v>
      </c>
      <c r="Y6" s="3">
        <f>473.5+(706.2-515.6)+(0+(0-0))+0-0-0</f>
        <v>664.1</v>
      </c>
      <c r="Z6" s="3">
        <f>543.2+(788-559.1)+(-0.831096+(-1.20564--0.855423))+0-0-0</f>
        <v>770.91868699999998</v>
      </c>
      <c r="AA6" s="3">
        <f>496.3+(832.3-563.9)+(-0.759339+(-1.273419--0.862767))+0-0-0</f>
        <v>763.53000900000006</v>
      </c>
      <c r="AB6" s="3">
        <f>504.6+(797-520.4)+(-0.257346+(-0.40647--0.265404))+0-0-0</f>
        <v>780.80158800000004</v>
      </c>
      <c r="AC6" s="3">
        <f>507.3+(744.4-551.9)+(-0.517446+(-0.759288--0.562938))+0-0-0</f>
        <v>699.08620399999995</v>
      </c>
      <c r="AD6">
        <v>815.69999999999993</v>
      </c>
      <c r="AE6" s="3">
        <f>575+(792.8-552.1)+(0+(0-0))+0-0-0</f>
        <v>815.69999999999993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455.2+(768.3-534.9)+(0+(0-0))+0-0-0</f>
        <v>688.59999999999991</v>
      </c>
      <c r="G7" s="3">
        <f>375.5+(706-520.5)+(0+(0-0))+0-0-0</f>
        <v>561</v>
      </c>
      <c r="H7" s="3">
        <f>375.8+(650.6-509.1)+(-0.574974+(-0.995418--0.778923))+0-0-0</f>
        <v>516.50853099999995</v>
      </c>
      <c r="I7" s="3">
        <f>375.4+(654.6-509.7)+(0.191454+(0.333846-0.259947))+0-0-0</f>
        <v>520.56535299999996</v>
      </c>
      <c r="J7" s="3">
        <f>372.6+(630.3-484.3)+(0+(0-0))+0-0-0</f>
        <v>518.59999999999991</v>
      </c>
      <c r="K7" s="3">
        <f>371.7+(625-523.5)+(0.379134+(0.6375-0.53397))+0-0-0</f>
        <v>473.68266399999999</v>
      </c>
      <c r="L7" s="3">
        <f>372.3+(667.1-521.6)+(-0.379746+(-0.680442--0.532032))+0-0-0</f>
        <v>517.27184399999999</v>
      </c>
      <c r="M7" s="3">
        <f>372.5+(697.1-535.4)+(0+(0-0))+0-0-0</f>
        <v>534.20000000000005</v>
      </c>
      <c r="N7" s="3">
        <f>456+(625.5-511.9)+(0+(0-0))+0-0-0</f>
        <v>569.6</v>
      </c>
      <c r="O7" s="3">
        <f>460.4+(641-492.4)+(0+(0-0))+0-0-0</f>
        <v>609</v>
      </c>
      <c r="P7" s="3">
        <f>457.1+(680.7-513.5)+(0.466242+(0.694314-0.52377))+0-0-0</f>
        <v>624.9367860000001</v>
      </c>
      <c r="Q7" s="3">
        <f>426.7+(754.8-527.2)+(-0.870468+(-1.539792--1.075488))+0-0-0</f>
        <v>652.96522799999991</v>
      </c>
      <c r="R7" s="3">
        <f>372.5+(786.4-521.1)+(-0.7599+(-1.604256--1.063044))+0-0-0</f>
        <v>636.49888799999997</v>
      </c>
      <c r="S7" s="3">
        <f>372.5+(780.7-545.4)+(-0.189975+(-0.398157--0.278154))+0-0-0</f>
        <v>607.49002200000007</v>
      </c>
      <c r="T7" s="3">
        <f>372.6+(756.9-552.9)+(0.380052+(0.772038-0.563958))+0-0-0</f>
        <v>577.188132</v>
      </c>
      <c r="U7" s="3">
        <f>372.5+(763.7-543.5)+(-0.37995+(-0.778974--0.55437))+0-0-0</f>
        <v>592.09544600000004</v>
      </c>
      <c r="V7" s="3">
        <f>370.1+(759.3-538.3)+(-0.566253+(-1.161729--0.823599))+0-0-0</f>
        <v>590.19561699999997</v>
      </c>
      <c r="W7" s="3">
        <f>369.7+(744.3-526.2)+(0.377094+(0.759186-0.536724))+0-0-0</f>
        <v>588.39955599999996</v>
      </c>
      <c r="X7" s="3">
        <f>370.9+(711.7-500.3)+(-0.189159+(-0.362967--0.255153))+0-0-0</f>
        <v>582.00302699999997</v>
      </c>
      <c r="Y7" s="3">
        <f>423.3+(783.1-535.7)+(0.647649+(1.198143-0.819621))+0-0-0</f>
        <v>671.72617100000002</v>
      </c>
      <c r="Z7" s="3">
        <f>457.4+(916.2-592.7)+(0.233274+(0.467262-0.302277))+0-0-0</f>
        <v>781.29825900000003</v>
      </c>
      <c r="AA7" s="3">
        <f>539.9+(837.1-618.3)+(0+(0-0))+0-0-0</f>
        <v>758.7</v>
      </c>
      <c r="AB7" s="3">
        <f>619+(729.9-587.4)+(0+(0-0))+0-0-0</f>
        <v>761.5</v>
      </c>
      <c r="AC7" s="3">
        <f>693.4+(582.1-567.7)+(0.353634+(0.296871-0.289527))+0-0-0</f>
        <v>708.160978</v>
      </c>
      <c r="AD7">
        <v>833.1</v>
      </c>
      <c r="AE7" s="3">
        <f>455+(986.7-608.6)+(0+(0-0))+0-0-0</f>
        <v>833.1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752.3+(424-553.2)+(-2.302038+(-1.29744--1.692792))+0-0-0</f>
        <v>621.19331399999987</v>
      </c>
      <c r="G8" s="3">
        <f>752.3+(357.8-543.4)+(-1.151019+(-0.547434--0.831402))+0-0-0</f>
        <v>565.8329490000001</v>
      </c>
      <c r="H8" s="3">
        <f>752.5+(295.6-507.3)+(-0.383775+(-0.150756--0.258723))+0-0-0</f>
        <v>540.52419199999997</v>
      </c>
      <c r="I8" s="3">
        <f>729.9+(331-530.5)+(-1.861245+(-0.84405--1.352775))+0-0-0</f>
        <v>529.04747999999995</v>
      </c>
      <c r="J8" s="3">
        <f>687.4+(338.2-498.2)+(0+(0-0))+0-0-0</f>
        <v>527.4</v>
      </c>
      <c r="K8" s="3">
        <f>693.9+(325.1-491.2)+(1.061667+(0.497403-0.751536))+0-0-0</f>
        <v>528.60753399999999</v>
      </c>
      <c r="L8" s="3">
        <f>723.6+(317.5-504)+(0.738072+(0.32385-0.51408))+0-0-0</f>
        <v>537.64784199999997</v>
      </c>
      <c r="M8" s="3">
        <f>781.2+(319.8-561.8)+(-1.195236+(-0.489294--0.859554))+0-0-0</f>
        <v>538.37502400000005</v>
      </c>
      <c r="N8" s="3">
        <f>781.8+(392.2-597.6)+(-0.398718+(-0.200022--0.304776))+0-0-0</f>
        <v>576.1060359999999</v>
      </c>
      <c r="O8" s="3">
        <f>780.3+(383.5-563.5)+(-0.795906+(-0.39117--0.57477))+0-0-0</f>
        <v>599.68769399999996</v>
      </c>
      <c r="P8" s="3">
        <f>780.1+(403-528)+(-0.795702+(-0.41106--0.53856))+0-0-0</f>
        <v>654.43179800000007</v>
      </c>
      <c r="Q8" s="3">
        <f>775.6+(411.9-552.8)+(-0.395556+(-0.210069--0.281928))+0-0-0</f>
        <v>634.37630300000001</v>
      </c>
      <c r="R8" s="3">
        <f>772.8+(393.4-534.6)+(-0.788256+(-0.401268--0.545292))+0-0-0</f>
        <v>630.95576799999992</v>
      </c>
      <c r="S8" s="3">
        <f>771.6+(398.8-572.4)+(-0.787032+(-0.406776--0.583848))+0-0-0</f>
        <v>597.39004</v>
      </c>
      <c r="T8" s="3">
        <f>739.9+(410.6-568)+(-1.509396+(-0.837624--1.15872))+0-0-0</f>
        <v>581.31169999999997</v>
      </c>
      <c r="U8" s="3">
        <f>693.7+(418.6-537.3)+(-0.353787+(-0.213486--0.274023))+0-0-0</f>
        <v>574.70675000000017</v>
      </c>
      <c r="V8" s="3">
        <f>694.1+(418.9-534.9)+(-1.415964+(-0.854556--1.091196))+0-0-0</f>
        <v>576.92067600000007</v>
      </c>
      <c r="W8" s="3">
        <f>693.8+(416.8-530.8)+(-1.415352+(-0.850272--1.082832))+0-0-0</f>
        <v>578.61720800000001</v>
      </c>
      <c r="X8" s="3">
        <f>693.3+(409.3-529.1)+(0.353583+(0.208743-0.269841))+0-0-0</f>
        <v>573.79248500000006</v>
      </c>
      <c r="Y8" s="3">
        <f>699.9+(463.8-570.9)+(0.356949+(0.236538-0.291159))+0-0-0</f>
        <v>593.10232799999994</v>
      </c>
      <c r="Z8" s="3">
        <f>774+(537-621.4)+(-0.39474+(-0.27387--0.316914))+0-0-0</f>
        <v>689.24830400000008</v>
      </c>
      <c r="AA8" s="3">
        <f>777.7+(541.6-638.1)+(-1.586508+(-1.104864--1.301724))+0-0-0</f>
        <v>679.81035200000008</v>
      </c>
      <c r="AB8" s="3">
        <f>705.1+(569.2-599.7)+(-0.719202+(-0.580584--0.611694))+0-0-0</f>
        <v>673.91190800000004</v>
      </c>
      <c r="AC8" s="3">
        <f>693.3+(515-562.5)+(-0.353583+(-0.26265--0.286875))+0-0-0</f>
        <v>645.470642</v>
      </c>
      <c r="AD8">
        <v>824.6</v>
      </c>
      <c r="AE8" s="3">
        <f>774+(624-573.4)+(0+(0-0))+0-0-0</f>
        <v>824.6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694.1+(442.2-517.5)+(-0.707982+(-0.451044--0.52785))+0-0-0</f>
        <v>618.16882399999997</v>
      </c>
      <c r="G9" s="3">
        <f>677.5+(428.6-524.5)+(-1.727625+(-1.09293--1.337475))+0-0-0</f>
        <v>580.11692000000005</v>
      </c>
      <c r="H9" s="3">
        <f>694.4+(430.5-545.4)+(0+(0-0))+0-0-0</f>
        <v>579.5</v>
      </c>
      <c r="I9" s="3">
        <f>694.3+(423.6-550.9)+(-1.416372+(-0.864144--1.123836))+0-0-0</f>
        <v>565.84331999999995</v>
      </c>
      <c r="J9" s="3">
        <f>694.4+(394.6-538.4)+(-0.708288+(-0.402492--0.549168))+0-0-0</f>
        <v>550.03838800000005</v>
      </c>
      <c r="K9" s="3">
        <f>692+(385.6-517.6)+(-0.35292+(-0.196656--0.263976))+0-0-0</f>
        <v>559.71439999999996</v>
      </c>
      <c r="L9" s="3">
        <f>693.4+(402.3-529.7)+(0+(0-0))+0-0-0</f>
        <v>566</v>
      </c>
      <c r="M9" s="3">
        <f>694.4+(405.3-535.9)+(-1.416576+(-0.826812--1.093236))+0-0-0</f>
        <v>562.64984799999991</v>
      </c>
      <c r="N9" s="3">
        <f>694.1+(435.4-537.8)+(0.353991+(0.222054-0.274278))+0-0-0</f>
        <v>592.00176700000009</v>
      </c>
      <c r="O9" s="3">
        <f>692.8+(494.5-543.5)+(0+(0-0))+0-0-0</f>
        <v>643.79999999999995</v>
      </c>
      <c r="P9" s="3">
        <f>698.4+(509.4-538.8)+(-0.712368+(-0.519588--0.549576))+0-0-0</f>
        <v>668.31762000000003</v>
      </c>
      <c r="Q9" s="3">
        <f>772.4+(421.1-515.8)+(-0.393924+(-0.214761--0.263058))+0-0-0</f>
        <v>677.35437300000001</v>
      </c>
      <c r="R9" s="3">
        <f>771.2+(373.4-491.8)+(-2.359872+(-1.142604--1.504908))+0-0-0</f>
        <v>650.80243199999995</v>
      </c>
      <c r="S9" s="3">
        <f>770+(386.7-519.9)+(-1.1781+(-0.591651--0.795447))+0-0-0</f>
        <v>635.82569599999999</v>
      </c>
      <c r="T9" s="3">
        <f>771.2+(384.2-527.6)+(-1.179936+(-0.587826--0.807228))+0-0-0</f>
        <v>626.8394659999999</v>
      </c>
      <c r="U9" s="3">
        <f>712.2+(413.6-508.5)+(-1.089666+(-0.632808--0.778005))+0-0-0</f>
        <v>616.35553100000004</v>
      </c>
      <c r="V9" s="3">
        <f>691.3+(421.6-497.8)+(-0.705126+(-0.430032--0.507756))+0-0-0</f>
        <v>614.47259799999995</v>
      </c>
      <c r="W9" s="3">
        <f>693.6+(444.8-529.5)+(-1.061208+(-0.680544--0.810135))+0-0-0</f>
        <v>607.96838300000013</v>
      </c>
      <c r="X9" s="3">
        <f>688.9+(445.2-518)+(-1.405356+(-0.908208--1.05672))+0-0-0</f>
        <v>614.84315599999991</v>
      </c>
      <c r="Y9" s="3">
        <f>698.7+(504.3-513.5)+(0.356337+(0.257193-0.261885))+0-0-0</f>
        <v>689.85164499999996</v>
      </c>
      <c r="Z9" s="3">
        <f>774+(566.1-540)+(0+(0-0))+0-0-0</f>
        <v>800.1</v>
      </c>
      <c r="AA9" s="3">
        <f>777.2+(540.5-538.8)+(-1.98186+(-1.378275--1.37394))+0-0-0</f>
        <v>776.91380500000014</v>
      </c>
      <c r="AB9" s="3">
        <f>780.6+(483-510.6)+(-1.592424+(-0.98532--1.041624))+0-0-0</f>
        <v>751.46388000000002</v>
      </c>
      <c r="AC9" s="3">
        <f>771.1+(477.3-517.7)+(-1.179783+(-0.730269--0.792081))+0-0-0</f>
        <v>729.58202900000003</v>
      </c>
      <c r="AD9">
        <v>824</v>
      </c>
      <c r="AE9" s="3">
        <f>773+(601.5-550.5)+(0+(0-0))+0-0-0</f>
        <v>824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691.5+(481.9-530.9)+(-0.70533+(-0.491538--0.541518))+0-0-0</f>
        <v>641.84465</v>
      </c>
      <c r="G10" s="3">
        <f>692.5+(414.2-537.1)+(-1.765875+(-1.05621--1.369605))+0-0-0</f>
        <v>568.14751999999987</v>
      </c>
      <c r="H10" s="3">
        <f>692.9+(312.7-462.5)+(-0.353379+(-0.159477--0.235875))+0-0-0</f>
        <v>542.82301899999993</v>
      </c>
      <c r="I10" s="3">
        <f>693.2+(324.1-489.3)+(-1.414128+(-0.661164--0.998172))+0-0-0</f>
        <v>526.92287999999996</v>
      </c>
      <c r="J10" s="3">
        <f>693.4+(353.8-515)+(0+(0-0))+0-0-0</f>
        <v>532.20000000000005</v>
      </c>
      <c r="K10" s="3">
        <f>693.5+(354.1-514)+(-0.353685+(-0.180591--0.26214))+0-0-0</f>
        <v>533.32786399999998</v>
      </c>
      <c r="L10" s="3">
        <f>693.8+(369-507.7)+(-0.707676+(-0.37638--0.517854))+0-0-0</f>
        <v>554.53379799999993</v>
      </c>
      <c r="M10" s="3">
        <f>695.2+(402.9-541.1)+(0.354552+(0.205479-0.275961))+0-0-0</f>
        <v>557.28407000000004</v>
      </c>
      <c r="N10" s="3">
        <f>695.8+(440.9-546.3)+(0+(0-0))+0-0-0</f>
        <v>590.4</v>
      </c>
      <c r="O10" s="3">
        <f>706.1+(452.9-538.3)+(0+(0-0))+0-0-0</f>
        <v>620.70000000000005</v>
      </c>
      <c r="P10" s="3">
        <f>779.2+(408.5-510.8)+(0.397392+(0.208335-0.260508))+0-0-0</f>
        <v>677.24521900000013</v>
      </c>
      <c r="Q10" s="3">
        <f>775.9+(421-520.8)+(-1.187127+(-0.64413--0.796824))+0-0-0</f>
        <v>675.06556699999999</v>
      </c>
      <c r="R10" s="3">
        <f>770.5+(364.6-507.8)+(-1.57182+(-0.743784--1.035912))+0-0-0</f>
        <v>626.020308</v>
      </c>
      <c r="S10" s="3">
        <f>771.4+(364.4-529.6)+(0+(0-0))+0-0-0</f>
        <v>606.19999999999993</v>
      </c>
      <c r="T10" s="3">
        <f>769.1+(355.8-526.6)+(-0.392241+(-0.181458--0.268566))+0-0-0</f>
        <v>597.994867</v>
      </c>
      <c r="U10" s="3">
        <f>768.6+(389.4-548.6)+(-0.783972+(-0.397188--0.559572))+0-0-0</f>
        <v>608.778412</v>
      </c>
      <c r="V10" s="3">
        <f>770.2+(387.8-526.9)+(0+(0-0))+0-0-0</f>
        <v>631.10000000000014</v>
      </c>
      <c r="W10" s="3">
        <f>767.5+(396.4-522)+(-0.78285+(-0.404328--0.53244))+0-0-0</f>
        <v>641.24526200000003</v>
      </c>
      <c r="X10" s="3">
        <f>769.7+(419-525)+(-1.962735+(-1.06845--1.33875))+0-0-0</f>
        <v>662.007565</v>
      </c>
      <c r="Y10" s="3">
        <f>771.7+(437.4-554.5)+(0.787134+(0.446148-0.56559))+0-0-0</f>
        <v>655.26769200000001</v>
      </c>
      <c r="Z10" s="3">
        <f>774.7+(506.2-569.6)+(-1.580388+(-1.032648--1.161984))+0-0-0</f>
        <v>709.84894799999995</v>
      </c>
      <c r="AA10" s="3">
        <f>778.1+(506.1-582.5)+(0.396831+(0.258111-0.297075))+0-0-0</f>
        <v>702.0578670000001</v>
      </c>
      <c r="AB10" s="3">
        <f>773+(479.5-545.6)+(-1.57692+(-0.97818--1.113024))+0-0-0</f>
        <v>705.45792399999993</v>
      </c>
      <c r="AC10" s="3">
        <f>695.9+(516.9-551.7)+(-0.354909+(-0.263619--0.281367))+0-0-0</f>
        <v>660.76283899999987</v>
      </c>
      <c r="AD10">
        <v>808.90000000000009</v>
      </c>
      <c r="AE10" s="3">
        <f>774+(556.9-522)+(0+(0-0))+0-0-0</f>
        <v>808.9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695.4+(479-507.3)+(-0.354654+(-0.24429--0.258723))+0-0-0</f>
        <v>666.75977899999987</v>
      </c>
      <c r="G11" s="3">
        <f>694.3+(425.3-505.8)+(-1.062279+(-0.650709--0.773874))+0-0-0</f>
        <v>612.86088599999994</v>
      </c>
      <c r="H11" s="3">
        <f>694.3+(342.6-470.4)+(-0.354093+(-0.174726--0.239904))+0-0-0</f>
        <v>566.21108500000003</v>
      </c>
      <c r="I11" s="3">
        <f>696.1+(329-474.3)+(-1.420044+(-0.67116--0.967572))+0-0-0</f>
        <v>549.67636799999991</v>
      </c>
      <c r="J11" s="3">
        <f>696+(334.2-481)+(-2.12976+(-1.022652--1.47186))+0-0-0</f>
        <v>547.51944800000001</v>
      </c>
      <c r="K11" s="3">
        <f>692.7+(344.1-481.1)+(-0.353277+(-0.175491--0.245361))+0-0-0</f>
        <v>555.41659300000003</v>
      </c>
      <c r="L11" s="3">
        <f>692.1+(350.9-499.2)+(-1.058913+(-0.536877--0.763776))+0-0-0</f>
        <v>542.967986</v>
      </c>
      <c r="M11" s="3">
        <f>692.4+(402.6-543.3)+(-0.353124+(-0.205326--0.277083))+0-0-0</f>
        <v>551.418633</v>
      </c>
      <c r="N11" s="3">
        <f>690.7+(442.4-544)+(0.352257+(0.225624-0.27744))+0-0-0</f>
        <v>589.400441</v>
      </c>
      <c r="O11" s="3">
        <f>713.5+(430.4-515.4)+(1.091655+(0.658512-0.788562))+0-0-0</f>
        <v>629.46160499999996</v>
      </c>
      <c r="P11" s="3">
        <f>775.5+(418.8-525.2)+(-0.395505+(-0.213588--0.267852))+0-0-0</f>
        <v>668.75875899999994</v>
      </c>
      <c r="Q11" s="3">
        <f>773.1+(421.1-521.3)+(1.182843+(0.644283-0.797589))+0-0-0</f>
        <v>673.9295370000001</v>
      </c>
      <c r="R11" s="3">
        <f>768.5+(393.1-543.1)+(0+(0-0))+0-0-0</f>
        <v>618.5</v>
      </c>
      <c r="S11" s="3">
        <f>765+(398.8-558.5)+(-0.7803+(-0.406776--0.56967))+0-0-0</f>
        <v>604.68259399999999</v>
      </c>
      <c r="T11" s="3">
        <f>767.8+(376-516.9)+(-1.566312+(-0.76704--1.054476))+0-0-0</f>
        <v>625.62112400000001</v>
      </c>
      <c r="U11" s="3">
        <f>765.7+(378-519.2)+(0.390507+(0.19278-0.264792))+0-0-0</f>
        <v>624.81849499999998</v>
      </c>
      <c r="V11" s="3">
        <f>766.8+(389.2-534.2)+(-1.95534+(-0.99246--1.36221))+0-0-0</f>
        <v>620.21440999999993</v>
      </c>
      <c r="W11" s="3">
        <f>768.9+(402.9-542.1)+(-1.176417+(-0.616437--0.829413))+0-0-0</f>
        <v>628.73655899999994</v>
      </c>
      <c r="X11" s="3">
        <f>777.8+(382.8-533)+(-1.586712+(-0.780912--1.08732))+0-0-0</f>
        <v>626.31969599999991</v>
      </c>
      <c r="Y11" s="3">
        <f>853.3+(348.1-578.8)+(0.870366+(0.355062-0.590376))+0-0-0</f>
        <v>623.235052</v>
      </c>
      <c r="Z11" s="3">
        <f>892.5+(479.7-684.5)+(-1.8207+(-0.978588--1.39638))+0-0-0</f>
        <v>686.29709200000002</v>
      </c>
      <c r="AA11" s="3">
        <f>895.8+(472.3-680.7)+(-1.827432+(-0.963492--1.388628))+0-0-0</f>
        <v>685.99770399999989</v>
      </c>
      <c r="AB11" s="3">
        <f>847.6+(461-624.9)+(-2.16138+(-1.17555--1.593495))+0-0-0</f>
        <v>681.95656500000007</v>
      </c>
      <c r="AC11" s="3">
        <f>814.3+(448.5-583.7)+(0.415293+(0.228735-0.297687))+0-0-0</f>
        <v>679.44634099999996</v>
      </c>
      <c r="AD11">
        <v>843.2</v>
      </c>
      <c r="AE11" s="3">
        <f>890+(583.2-630)+(0+(0-0))+0-0-0</f>
        <v>843.2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814.7+(372.8-575.4)+(0+(0-0))+0-0-0</f>
        <v>612.10000000000014</v>
      </c>
      <c r="G12" s="3">
        <f>814+(291.5-533.1)+(-1.24542+(-0.445995--0.815643))+0-0-0</f>
        <v>571.52422799999999</v>
      </c>
      <c r="H12" s="3">
        <f>776.2+(261.4-483.4)+(-2.375172+(-0.799884--1.479204))+0-0-0</f>
        <v>552.5041480000001</v>
      </c>
      <c r="I12" s="3">
        <f>764.5+(308.5-523)+(-1.55958+(-0.62934--1.06692))+0-0-0</f>
        <v>548.87800000000004</v>
      </c>
      <c r="J12" s="3">
        <f>765.8+(305.6-528)+(-0.390558+(-0.155856--0.26928))+0-0-0</f>
        <v>543.12286599999993</v>
      </c>
      <c r="K12" s="3">
        <f>766.4+(268-498)+(-0.390864+(-0.13668--0.25398))+0-0-0</f>
        <v>536.12643600000001</v>
      </c>
      <c r="L12" s="3">
        <f>739.5+(293-505.9)+(-2.26287+(-0.89658--1.548054))+0-0-0</f>
        <v>524.98860400000001</v>
      </c>
      <c r="M12" s="3">
        <f>710.3+(338.4-531.2)+(-0.724506+(-0.345168--0.541824))+0-0-0</f>
        <v>516.97214999999994</v>
      </c>
      <c r="N12" s="3">
        <f>765.6+(330.7-556.6)+(0.390456+(0.168657-0.283866))+0-0-0</f>
        <v>539.97524700000008</v>
      </c>
      <c r="O12" s="3">
        <f>822.4+(308.5-558.4)+(-1.258272+(-0.472005--0.854352))+0-0-0</f>
        <v>571.62407499999995</v>
      </c>
      <c r="P12" s="3">
        <f>874.2+(314.8-586.1)+(-1.337526+(-0.481644--0.896733))+0-0-0</f>
        <v>601.97756300000015</v>
      </c>
      <c r="Q12" s="3">
        <f>855.2+(344.9-587.5)+(-1.744608+(-0.703596--1.1985))+0-0-0</f>
        <v>611.35029600000007</v>
      </c>
      <c r="R12" s="3">
        <f>869.9+(317.1-560.6)+(-1.330947+(-0.485163--0.857718))+0-0-0</f>
        <v>625.44160799999997</v>
      </c>
      <c r="S12" s="3">
        <f>879.1+(306-575.2)+(-0.448341+(-0.15606--0.293352))+0-0-0</f>
        <v>609.58895099999995</v>
      </c>
      <c r="T12" s="3">
        <f>873.4+(303.4-575.8)+(0+(0-0))+0-0-0</f>
        <v>601</v>
      </c>
      <c r="U12" s="3">
        <f>869.4+(318-582)+(-1.330182+(-0.48654--0.89046))+0-0-0</f>
        <v>604.47373800000003</v>
      </c>
      <c r="V12" s="3">
        <f>865.5+(285.4-558.6)+(-1.76562+(-0.582216--1.139544))+0-0-0</f>
        <v>591.09170799999993</v>
      </c>
      <c r="W12" s="3">
        <f>890.5+(289-585)+(0.90831+(0.29478-0.5967))+0-0-0</f>
        <v>595.10639000000003</v>
      </c>
      <c r="X12" s="3">
        <f>878.3+(300-580.8)+(-2.239665+(-0.765--1.48104))+0-0-0</f>
        <v>595.97637499999996</v>
      </c>
      <c r="Y12" s="3">
        <f>947+(311.8-575.8)+(0+(0-0))+0-0-0</f>
        <v>683</v>
      </c>
      <c r="Z12" s="3">
        <f>990.6+(410-601.5)+(0+(0-0))+0-0-0</f>
        <v>799.1</v>
      </c>
      <c r="AA12" s="3">
        <f>985.7+(424.1-622.2)+(-2.513535+(-1.081455--1.58661))+0-0-0</f>
        <v>785.59162000000003</v>
      </c>
      <c r="AB12" s="3">
        <f>986.7+(335.9-557.2)+(-2.012868+(-0.685236--1.136688))+0-0-0</f>
        <v>763.83858399999997</v>
      </c>
      <c r="AC12" s="3">
        <f>986.8+(309.5-555.3)+(-1.509804+(-0.473535--0.849609))+0-0-0</f>
        <v>739.86626999999999</v>
      </c>
      <c r="AD12">
        <v>800.99999999999989</v>
      </c>
      <c r="AE12" s="3">
        <f>994+(420.6-613.6)+(0+(0-0))+0-0-0</f>
        <v>801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922.8+(302.3-523.3)+(-0.941256+(-0.308346--0.533766))+0-0-0</f>
        <v>701.08416399999999</v>
      </c>
      <c r="G13" s="3">
        <f>873.1+(235.4-511.5)+(-1.781124+(-0.480216--1.04346))+0-0-0</f>
        <v>595.78211999999996</v>
      </c>
      <c r="H13" s="3">
        <f>866.6+(189.6-494.9)+(-2.20983+(-0.48348--1.261995))+0-0-0</f>
        <v>559.86868500000003</v>
      </c>
      <c r="I13" s="3">
        <f>784.1+(263.8-506.9)+(0.799782+(0.269076-0.517038))+0-0-0</f>
        <v>541.55182000000002</v>
      </c>
      <c r="J13" s="3">
        <f>774.6+(252.7-490.5)+(-0.790092+(-0.257754--0.50031))+0-0-0</f>
        <v>536.25246399999992</v>
      </c>
      <c r="K13" s="3">
        <f>775.1+(236.2-469.5)+(0.395301+(0.120462-0.239445))+0-0-0</f>
        <v>542.0763179999999</v>
      </c>
      <c r="L13" s="3">
        <f>767+(268.9-473.3)+(-2.73819+(-0.959973--1.689681))+0-0-0</f>
        <v>560.59151799999995</v>
      </c>
      <c r="M13" s="3">
        <f>734.6+(310.9-503.5)+(-0.374646+(-0.158559--0.256785))+0-0-0</f>
        <v>541.72357999999997</v>
      </c>
      <c r="N13" s="3">
        <f>685.3+(376.5-532.3)+(0.349503+(0.192015-0.271473))+0-0-0</f>
        <v>529.77004499999998</v>
      </c>
      <c r="O13" s="3">
        <f>669.9+(402.4-529.3)+(-1.024947+(-0.615672--0.809829))+0-0-0</f>
        <v>542.16921000000002</v>
      </c>
      <c r="P13" s="3">
        <f>652.1+(406.8-536.6)+(0.665142+(0.414936-0.547332))+0-0-0</f>
        <v>522.83274599999993</v>
      </c>
      <c r="Q13" s="3">
        <f>650+(395.7-542.3)+(-0.663+(-0.403614--0.553146))+0-0-0</f>
        <v>502.88653200000005</v>
      </c>
      <c r="R13" s="3">
        <f>652.3+(376.2-528.2)+(-0.665346+(-0.383724--0.538764))+0-0-0</f>
        <v>499.78969399999988</v>
      </c>
      <c r="S13" s="3">
        <f>653+(365.8-527.7)+(0+(0-0))+0-0-0</f>
        <v>491.09999999999997</v>
      </c>
      <c r="T13" s="3">
        <f>745.9+(327.6-536.1)+(-0.380409+(-0.167076--0.273411))+0-0-0</f>
        <v>537.12592599999994</v>
      </c>
      <c r="U13" s="3">
        <f>768.7+(322-556.7)+(-0.784074+(-0.32844--0.567834))+0-0-0</f>
        <v>533.45532000000003</v>
      </c>
      <c r="V13" s="3">
        <f>767.8+(295.5-527.1)+(-0.783156+(-0.30141--0.537642))+0-0-0</f>
        <v>535.65307599999994</v>
      </c>
      <c r="W13" s="3">
        <f>769.3+(289.6-522.1)+(-0.392343+(-0.147696--0.266271))+0-0-0</f>
        <v>536.52623199999994</v>
      </c>
      <c r="X13" s="3">
        <f>740.1+(327.8-519.7)+(-1.887255+(-0.83589--1.325235))+0-0-0</f>
        <v>546.80209000000002</v>
      </c>
      <c r="Y13" s="3">
        <f>812+(317.4-513.9)+(-0.82824+(-0.323748--0.524178))+0-0-0</f>
        <v>614.87219000000005</v>
      </c>
      <c r="Z13" s="3">
        <f>867.5+(389.7-521.6)+(-0.442425+(-0.198747--0.266016))+0-0-0</f>
        <v>735.22484399999996</v>
      </c>
      <c r="AA13" s="3">
        <f>867.2+(421-544.9)+(-0.442272+(-0.21471--0.277899))+0-0-0</f>
        <v>742.92091700000003</v>
      </c>
      <c r="AB13" s="3">
        <f>866.7+(413.5-531.9)+(-1.326051+(-0.632655--0.813807))+0-0-0</f>
        <v>747.15510100000006</v>
      </c>
      <c r="AC13" s="3">
        <f>851.1+(415.4-537)+(-0.868122+(-0.423708--0.54774))+0-0-0</f>
        <v>728.75590999999997</v>
      </c>
      <c r="AD13">
        <v>674.09999999999991</v>
      </c>
      <c r="AE13" s="3">
        <f>872+(379.6-577.5)+(0+(0-0))+0-0-0</f>
        <v>674.1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809.1+(377.7-571.1)+(-1.650564+(-0.770508--1.165044))+0-0-0</f>
        <v>614.44397200000003</v>
      </c>
      <c r="G14" s="3">
        <f>809.4+(440.7-657.9)+(0.412794+(0.224757-0.335529))+0-0-0</f>
        <v>592.50202200000001</v>
      </c>
      <c r="H14" s="3">
        <f>809.7+(416.1-662.1)+(-0.825894+(-0.424422--0.675342))+0-0-0</f>
        <v>563.12502600000005</v>
      </c>
      <c r="I14" s="3">
        <f>810.3+(407.9-648.2)+(-0.826506+(-0.416058--0.661164))+0-0-0</f>
        <v>569.41859999999986</v>
      </c>
      <c r="J14" s="3">
        <f>790.5+(366.2-597.5)+(0+(0-0))+0-0-0</f>
        <v>559.20000000000005</v>
      </c>
      <c r="K14" s="3">
        <f>752+(385.3-582.6)+(0+(0-0))+0-0-0</f>
        <v>554.70000000000005</v>
      </c>
      <c r="L14" s="3">
        <f>753.7+(367.4-562.4)+(-1.537548+(-0.749496--1.147296))+0-0-0</f>
        <v>557.56025199999999</v>
      </c>
      <c r="M14" s="3">
        <f>788.1+(329.7-561.5)+(-0.401931+(-0.168147--0.286365))+0-0-0</f>
        <v>556.01628699999992</v>
      </c>
      <c r="N14" s="3">
        <f>821.1+(346.1-572.3)+(0+(0-0))+0-0-0</f>
        <v>594.90000000000009</v>
      </c>
      <c r="O14" s="3">
        <f>836.4+(375.1-574.5)+(0+(0-0))+0-0-0</f>
        <v>637</v>
      </c>
      <c r="P14" s="3">
        <f>856.5+(391.5-560.3)+(-0.436815+(-0.199665--0.285753))+0-0-0</f>
        <v>687.34927300000004</v>
      </c>
      <c r="Q14" s="3">
        <f>836.2+(386.6-570.9)+(-1.279386+(-0.591498--0.873477))+0-0-0</f>
        <v>650.90259300000014</v>
      </c>
      <c r="R14" s="3">
        <f>838.4+(427.8-532)+(-1.282752+(-0.654534--0.81396))+0-0-0</f>
        <v>733.07667400000003</v>
      </c>
      <c r="S14" s="3">
        <f>837.5+(412.4-542.2)+(-1.7085+(-0.841296--1.106088))+0-0-0</f>
        <v>706.25629199999992</v>
      </c>
      <c r="T14" s="3">
        <f>837.3+(399-541.5)+(-1.281069+(-0.61047--0.828495))+0-0-0</f>
        <v>693.73695599999996</v>
      </c>
      <c r="U14" s="3">
        <f>836.8+(363.3-525.9)+(-1.707072+(-0.741132--1.072836))+0-0-0</f>
        <v>672.82463200000007</v>
      </c>
      <c r="V14" s="3">
        <f>881.1+(339.9-529.9)+(-2.696166+(-1.040094--1.621494))+0-0-0</f>
        <v>688.98523399999999</v>
      </c>
      <c r="W14" s="3">
        <f>931.4+(310.6-563.4)+(-2.37507+(-0.79203--1.43667))+0-0-0</f>
        <v>676.86957000000007</v>
      </c>
      <c r="X14" s="3">
        <f>941.3+(332-568.6)+(-1.440189+(-0.50796--0.869958))+1.5-0-0</f>
        <v>705.12180899999998</v>
      </c>
      <c r="Y14" s="3">
        <f>959.6+(370.9-585.3)+(0+(0-0))+7.8-0-0</f>
        <v>753</v>
      </c>
      <c r="Z14" s="3">
        <f>983+(459.1-587)+(-2.00532+(-0.936564--1.19748))+0-0-0</f>
        <v>853.35559599999999</v>
      </c>
      <c r="AA14" s="3">
        <f>980.9+(439.1-585.5)+(-2.001036+(-0.895764--1.19442))+0-0-0</f>
        <v>832.79762000000005</v>
      </c>
      <c r="AB14" s="3">
        <f>960.4+(419.7-567.6)+(-1.469412+(-0.642141--0.868428))+0-0-0</f>
        <v>811.25687500000004</v>
      </c>
      <c r="AC14" s="3">
        <f>871.6+(395.3-531.1)+(-1.778064+(-0.806412--1.083444))+0-0-0</f>
        <v>734.29896799999995</v>
      </c>
      <c r="AD14">
        <v>835.2</v>
      </c>
      <c r="AE14" s="3">
        <f>984+(445.7-594.5)+(0+(0-0))+0-0-0</f>
        <v>835.2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867.9+(321.5-536)+(-2.213145+(-0.819825--1.3668))+0-0-0</f>
        <v>651.73383000000001</v>
      </c>
      <c r="G15" s="3">
        <f>867+(334.9-582.5)+(-2.21085+(-0.853995--1.485375))+0-0-0</f>
        <v>617.82052999999996</v>
      </c>
      <c r="H15" s="3">
        <f>868.8+(254.8-539.9)+(-1.329264+(-0.389844--0.826047))+0-0-0</f>
        <v>582.80693900000006</v>
      </c>
      <c r="I15" s="3">
        <f>870+(232.6-534.6)+(-1.3311+(-0.355878--0.817938))+0-0-0</f>
        <v>567.13095999999996</v>
      </c>
      <c r="J15" s="3">
        <f>868.8+(247.8-541.5)+(-0.886176+(-0.252756--0.55233))+0-0-0</f>
        <v>574.51339799999994</v>
      </c>
      <c r="K15" s="3">
        <f>871.3+(231.3-527.1)+(0.888726+(0.235926-0.537642))+0-0-0</f>
        <v>576.08700999999996</v>
      </c>
      <c r="L15" s="3">
        <f>882.3+(208.6-523.8)+(-0.899946+(-0.212772--0.534276))+0-0-0</f>
        <v>566.52155800000003</v>
      </c>
      <c r="M15" s="3">
        <f>865.5+(262.2-553.8)+(0+(0-0))+0-0-0</f>
        <v>573.90000000000009</v>
      </c>
      <c r="N15" s="3">
        <f>871.5+(322.3-580.5)+(-0.444465+(-0.164373--0.296055))+0-0-0</f>
        <v>612.98721699999999</v>
      </c>
      <c r="O15" s="3">
        <f>875.9+(385.6-591)+(0.893418+(0.393312-0.60282))+0-0-0</f>
        <v>671.18390999999997</v>
      </c>
      <c r="P15" s="3">
        <f>953+(311.3-560.4)+(-0.48603+(-0.158763--0.285804))+0-0-0</f>
        <v>703.54101100000014</v>
      </c>
      <c r="Q15" s="3">
        <f>978.2+(261.3-543.5)+(-0.498882+(-0.133263--0.277185))+0-0-0</f>
        <v>695.64503999999999</v>
      </c>
      <c r="R15" s="3">
        <f>980.3+(258.9-520.4)+(-0.499953+(-0.132039--0.265404))+0-0-0</f>
        <v>718.43341199999998</v>
      </c>
      <c r="S15" s="3">
        <f>972.2+(161.1-394.8)+(-2.47911+(-0.410805--1.00674))+0-0-0</f>
        <v>736.61682499999995</v>
      </c>
      <c r="T15" s="3">
        <f>969.2+(89.9-314.7)+(-1.977168+(-0.183396--0.641988))+0-0-0</f>
        <v>742.88142400000004</v>
      </c>
      <c r="U15" s="3">
        <f>985.6+(111.6-353.2)+(-1.005312+(-0.113832--0.360264))+0-0-0</f>
        <v>743.24112000000002</v>
      </c>
      <c r="V15" s="3">
        <f>998.4+(110.7-353.1)+(-1.527552+(-0.169371--0.540243))+0-0-0</f>
        <v>754.84331999999995</v>
      </c>
      <c r="W15" s="3">
        <f>1002.6+(136.4-359.9)+(0.511326+(0.069564-0.183549))+0-0-0</f>
        <v>779.49734100000001</v>
      </c>
      <c r="X15" s="3">
        <f>1005.6+(114.4-347.2)+(-1.538568+(-0.175032--0.531216))+0-0-0</f>
        <v>771.61761600000011</v>
      </c>
      <c r="Y15" s="3">
        <f>1009+(124.7-370.4)+(-1.02918+(-0.127194--0.377808))+0-0-0</f>
        <v>762.521434</v>
      </c>
      <c r="Z15" s="3">
        <f>952.7+(380-499.1)+(-1.943508+(-0.7752--1.018164))+0-0-0</f>
        <v>831.89945599999999</v>
      </c>
      <c r="AA15" s="3">
        <f>950.1+(381-504.3)+(-0.484551+(-0.19431--0.257193))+0-0-0</f>
        <v>826.378332</v>
      </c>
      <c r="AB15" s="3">
        <f>957.7+(88.2-199.7)+(-2.442135+(-0.22491--0.509235))+0-0-0</f>
        <v>844.04219000000001</v>
      </c>
      <c r="AC15" s="3">
        <f>947.8+(136.7-309.6)+(-0.483378+(-0.069717--0.157896))+0-0-0</f>
        <v>774.50480099999982</v>
      </c>
      <c r="AD15">
        <v>836.1</v>
      </c>
      <c r="AE15" s="3">
        <f>1008+(334.2-506.1)+(0+(0-0))+0-0-0</f>
        <v>836.09999999999991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870.8+(296.6-520.7)+(-1.332324+(-0.453798--0.796671))+0-0-0</f>
        <v>645.7105489999999</v>
      </c>
      <c r="G16" s="3">
        <f>742.4+(346-506.2)+(0+(0-0))+0-0-0</f>
        <v>582.20000000000005</v>
      </c>
      <c r="H16" s="3">
        <f>659.2+(387.3-504.3)+(0.336192+(0.197523-0.257193))+0-0-0</f>
        <v>542.47652200000005</v>
      </c>
      <c r="I16" s="3">
        <f>662.2+(384-514.3)+(0+(0-0))+0-0-0</f>
        <v>531.90000000000009</v>
      </c>
      <c r="J16" s="3">
        <f>659.4+(360-483.3)+(-2.017764+(-1.1016--1.478898))+0-0-0</f>
        <v>534.45953399999996</v>
      </c>
      <c r="K16" s="3">
        <f>664.1+(346.5-467.9)+(0.677382+(0.35343-0.477258))+0-0-0</f>
        <v>543.25355400000001</v>
      </c>
      <c r="L16" s="3">
        <f>624.1+(403.2-478.5)+(-0.318291+(-0.205632--0.244035))+0-0-0</f>
        <v>548.52011199999993</v>
      </c>
      <c r="M16" s="3">
        <f>698.6+(378.6-521.2)+(-0.712572+(-0.386172--0.531624))+0-0-0</f>
        <v>555.43287999999995</v>
      </c>
      <c r="N16" s="3">
        <f>841.9+(311.5-545.2)+(-0.429369+(-0.158865--0.278052))+0-0-0</f>
        <v>607.88981799999988</v>
      </c>
      <c r="O16" s="3">
        <f>857.1+(360.8-559)+(0.437121+(0.184008-0.28509))+0-0-0</f>
        <v>659.23603900000012</v>
      </c>
      <c r="P16" s="3">
        <f>884+(401.2-581.2)+(0.45084+(0.204612-0.296412))+0-0-0</f>
        <v>704.35904000000005</v>
      </c>
      <c r="Q16" s="3">
        <f>882.1+(433.1-589.8)+(0+(0-0))+0-0-0</f>
        <v>725.40000000000009</v>
      </c>
      <c r="R16" s="3">
        <f>902.7+(372.2-575.3)+(-0.920754+(-0.379644--0.586806))+0-0-0</f>
        <v>698.88640800000019</v>
      </c>
      <c r="S16" s="3">
        <f>999.1+(288.5-606.8)+(-1.019082+(-0.29427--0.618936))+0-0-0</f>
        <v>680.10558400000002</v>
      </c>
      <c r="T16" s="3">
        <f>1020.4+(269.7-619.2)+(-1.040808+(-0.275094--0.631584))+0-0-0</f>
        <v>670.2156819999999</v>
      </c>
      <c r="U16" s="3">
        <f>957.5+(332.5-613.6)+(0.488325+(0.169575-0.312936))+0-0-0</f>
        <v>676.74496399999998</v>
      </c>
      <c r="V16" s="3">
        <f>993.9+(287.9-585.4)+(-0.506889+(-0.146829--0.298554))+0-0-0</f>
        <v>696.04483600000003</v>
      </c>
      <c r="W16" s="3">
        <f>971.8+(310-570.1)+(-1.486854+(-0.4743--0.872253))+0-0-0</f>
        <v>710.61109899999997</v>
      </c>
      <c r="X16" s="3">
        <f>972.3+(306-561.9)+(-0.991746+(-0.31212--0.573138))+0-0-0</f>
        <v>715.66927199999998</v>
      </c>
      <c r="Y16" s="3">
        <f>1011.2+(342.3-573)+(-0.515712+(-0.174573--0.29223))+0-0-0</f>
        <v>780.101945</v>
      </c>
      <c r="Z16" s="3">
        <f>1003.8+(445.3-609.4)+(-2.55969+(-1.135515--1.55397))+0-0-0</f>
        <v>837.55876499999999</v>
      </c>
      <c r="AA16" s="3">
        <f>999.2+(394.3-580.4)+(-1.528776+(-0.603279--0.888012))+0-0-0</f>
        <v>811.8559570000001</v>
      </c>
      <c r="AB16" s="3">
        <f>919.4+(404.2-540.9)+(-1.406682+(-0.618426--0.827577))+0-0-0</f>
        <v>781.50246900000002</v>
      </c>
      <c r="AC16" s="3">
        <f>807.1+(462-557.4)+(-2.058105+(-1.1781--1.42137))+0-0-0</f>
        <v>709.88516500000003</v>
      </c>
      <c r="AD16">
        <v>844.80000000000007</v>
      </c>
      <c r="AE16" s="3">
        <f>1011+(435.7-601.9)+(0+(0-0))+0-0-0</f>
        <v>844.8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635.5+(486.7-520)+(-0.64821+(-0.496434--0.5304))+0-0-0</f>
        <v>601.58575600000006</v>
      </c>
      <c r="G17" s="3">
        <f>616.9+(468.6-509.5)+(-2.516952+(-1.911888--2.07876))+0-0-0</f>
        <v>573.64991999999995</v>
      </c>
      <c r="H17" s="3">
        <f>618.3+(428.3-484.1)+(-0.945999+(-0.655299--0.740673))+0-0-0</f>
        <v>561.63937499999997</v>
      </c>
      <c r="I17" s="3">
        <f>619.7+(425.4-494.1)+(-0.632094+(-0.433908--0.503982))+0-0-0</f>
        <v>550.43798000000004</v>
      </c>
      <c r="J17" s="3">
        <f>619.7+(369.6-459.1)+(-1.580235+(-0.94248--1.170705))+0-0-0</f>
        <v>528.8479900000001</v>
      </c>
      <c r="K17" s="3">
        <f>624.3+(387-489.9)+(0.318393+(0.19737-0.249849))+0-0-0</f>
        <v>521.66591399999993</v>
      </c>
      <c r="L17" s="3">
        <f>623.3+(374.7-479.3)+(-0.635766+(-0.382194--0.488886))+0-0-0</f>
        <v>518.17092599999989</v>
      </c>
      <c r="M17" s="3">
        <f>673.5+(381.8-512.1)+(-0.68697+(-0.389436--0.522342))+0-0-0</f>
        <v>542.64593600000001</v>
      </c>
      <c r="N17" s="3">
        <f>725.4+(392.2-545.2)+(-0.739908+(-0.400044--0.556104))+0-0-0</f>
        <v>571.81615199999987</v>
      </c>
      <c r="O17" s="3">
        <f>744.5+(422.8-551.7)+(-0.379695+(-0.215628--0.281367))+0-0-0</f>
        <v>615.28604399999995</v>
      </c>
      <c r="P17" s="3">
        <f>779.8+(440-553.4)+(0+(0-0))+0-0-0</f>
        <v>666.4</v>
      </c>
      <c r="Q17" s="3">
        <f>797.3+(457.8-567.1)+(-0.406623+(-0.233478--0.289221))+0-0-0</f>
        <v>687.64912000000004</v>
      </c>
      <c r="R17" s="3">
        <f>865.3+(351.2-566.1)+(-0.441303+(-0.179112--0.288711))+0-0-0</f>
        <v>650.06829599999992</v>
      </c>
      <c r="S17" s="3">
        <f>874.4+(343.9-581.7)+(-1.337832+(-0.526167--0.890001))+0-0-0</f>
        <v>635.62600199999986</v>
      </c>
      <c r="T17" s="3">
        <f>803.8+(388.6-564.9)+(-0.409938+(-0.198186--0.288099))+0-0-0</f>
        <v>627.17997500000001</v>
      </c>
      <c r="U17" s="3">
        <f>797.4+(349-512.4)+(-2.846718+(-1.24593--1.829268))+0-0-0</f>
        <v>631.73662000000002</v>
      </c>
      <c r="V17" s="3">
        <f>801.9+(405.6-563.9)+(-1.226907+(-0.620568--0.862767))+0-0-0</f>
        <v>642.61529200000007</v>
      </c>
      <c r="W17" s="3">
        <f>798.1+(409.4-562.8)+(-2.442186+(-1.252764--1.722168))+0-0-0</f>
        <v>642.72721799999999</v>
      </c>
      <c r="X17" s="3">
        <f>797.6+(444.3-585.8)+(-1.220328+(-0.679779--0.896274))+0-0-0</f>
        <v>655.09616700000015</v>
      </c>
      <c r="Y17" s="3">
        <f>803.7+(457-559.4)+(-0.819774+(-0.46614--0.570588))+0-0-0</f>
        <v>700.58467400000006</v>
      </c>
      <c r="Z17" s="3">
        <f>806.7+(557.4-535.5)+(-1.645668+(-1.137096--1.09242))+0-0-0</f>
        <v>826.90965600000004</v>
      </c>
      <c r="AA17" s="3">
        <f>807.5+(584.2-583.8)+(-1.6473+(-1.191768--1.190952))+0-0-0</f>
        <v>806.25188400000013</v>
      </c>
      <c r="AB17" s="3">
        <f>836.9+(511.4-595.5)+(-0.853638+(-0.521628--0.60741))+0-0-0</f>
        <v>752.0321439999999</v>
      </c>
      <c r="AC17" s="3">
        <f>870.3+(430.6-571)+(-0.887706+(-0.439212--0.58242))+0-0-0</f>
        <v>729.15550199999996</v>
      </c>
      <c r="AD17">
        <v>820.5</v>
      </c>
      <c r="AE17" s="3">
        <f>808+(553.5-541)+(0+(0-0))+0-0-0</f>
        <v>820.5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785.3+(369.6-504.1)+(-2.002515+(-0.94248--1.285455))+0-0-0</f>
        <v>649.14045999999996</v>
      </c>
      <c r="G18" s="3">
        <f>786.2+(333.2-511.4)+(-1.202886+(-0.509796--0.782442))+0-0-0</f>
        <v>607.06975999999997</v>
      </c>
      <c r="H18" s="3">
        <f>786.4+(312.2-512.5)+(0+(0-0))+0-0-0</f>
        <v>586.09999999999991</v>
      </c>
      <c r="I18" s="3">
        <f>786.4+(297.3-497)+(-1.203192+(-0.454869--0.76041))+0-0-0</f>
        <v>585.80234900000005</v>
      </c>
      <c r="J18" s="3">
        <f>785.2+(283.4-475.2)+(-2.402712+(-0.867204--1.454112))+0-0-0</f>
        <v>591.58419600000013</v>
      </c>
      <c r="K18" s="3">
        <f>784.1+(285.6-480)+(-0.799782+(-0.291312--0.4896))+0-0-0</f>
        <v>589.09850600000004</v>
      </c>
      <c r="L18" s="3">
        <f>786.2+(308.3-522.4)+(-1.603848+(-0.628932--1.065696))+0-0-0</f>
        <v>570.93291600000009</v>
      </c>
      <c r="M18" s="3">
        <f>787+(331.9-550.1)+(0+(0-0))+0-0-0</f>
        <v>568.79999999999995</v>
      </c>
      <c r="N18" s="3">
        <f>788.3+(382.2-583)+(-0.804066+(-0.389844--0.59466))+0-0-0</f>
        <v>586.90075000000002</v>
      </c>
      <c r="O18" s="3">
        <f>785.2+(455.5-610.6)+(0+(0-0))+0-0-0</f>
        <v>630.1</v>
      </c>
      <c r="P18" s="3">
        <f>782.5+(478.5-607.4)+(0.399075+(0.244035-0.309774))+0-0-0</f>
        <v>653.93333600000005</v>
      </c>
      <c r="Q18" s="3">
        <f>781.7+(460.9-568.3)+(-1.196001+(-0.705177--0.869499))+0-0-0</f>
        <v>673.26832100000001</v>
      </c>
      <c r="R18" s="3">
        <f>780+(437.2-549.4)+(-0.7956+(-0.445944--0.560388))+0-0-0</f>
        <v>667.11884399999997</v>
      </c>
      <c r="S18" s="3">
        <f>778+(433.2-567.1)+(-0.79356+(-0.441864--0.578442))+0-0-0</f>
        <v>643.44301799999994</v>
      </c>
      <c r="T18" s="3">
        <f>773.1+(421.3-562.9)+(0+(0-0))+0-0-0</f>
        <v>631.5</v>
      </c>
      <c r="U18" s="3">
        <f>774.5+(400.7-538.4)+(-1.57998+(-0.817428--1.098336))+0-0-0</f>
        <v>635.50092799999993</v>
      </c>
      <c r="V18" s="3">
        <f>774+(422.8-547.8)+(-0.78948+(-0.431256--0.558756))+0-0-0</f>
        <v>648.33802000000003</v>
      </c>
      <c r="W18" s="3">
        <f>777.5+(434.5-562.7)+(-1.189575+(-0.664785--0.860931))+0-0-0</f>
        <v>648.30657099999996</v>
      </c>
      <c r="X18" s="3">
        <f>776.3+(400.5-535.7)+(-1.583652+(-0.81702--1.092828))+0-0-0</f>
        <v>639.79215599999986</v>
      </c>
      <c r="Y18" s="3">
        <f>778.2+(467.6-538.5)+(-0.396882+(-0.238476--0.274635))+0-0-0</f>
        <v>706.93927700000006</v>
      </c>
      <c r="Z18" s="3">
        <f>780.1+(622-586.9)+(0.397851+(0.31722-0.299319))+0-0-0</f>
        <v>815.61575200000004</v>
      </c>
      <c r="AA18" s="3">
        <f>781.8+(609-592.6)+(-1.594872+(-1.24236--1.208904))+0-0-0</f>
        <v>796.57167199999992</v>
      </c>
      <c r="AB18" s="3">
        <f>782.6+(561.2-570.6)+(-1.596504+(-1.144848--1.164024))+0-0-0</f>
        <v>771.62267200000008</v>
      </c>
      <c r="AC18" s="3">
        <f>783.7+(506.6-553.3)+(-0.799374+(-0.516732--0.564366))+0-0-0</f>
        <v>736.24826000000007</v>
      </c>
      <c r="AD18">
        <v>816.5</v>
      </c>
      <c r="AE18" s="3">
        <f>778+(637.2-598.7)+(0+(0-0))+0-0-0</f>
        <v>816.5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676.6+(490.7-537.8)+(-0.690132+(-0.500514--0.548556))+0-0-0</f>
        <v>628.85790999999995</v>
      </c>
      <c r="G19" s="3">
        <f>485+(584-534.3)+(-0.24735+(-0.29784--0.272493))+0-0-0</f>
        <v>534.42730300000005</v>
      </c>
      <c r="H19" s="3">
        <f>464.6+(547.1-492)+(-0.710838+(-0.837063--0.75276))+0-0-0</f>
        <v>518.9048590000001</v>
      </c>
      <c r="I19" s="3">
        <f>463.5+(536-496.9)+(0+(0-0))+0-0-0</f>
        <v>502.6</v>
      </c>
      <c r="J19" s="3">
        <f>465.8+(516.5-470)+(-0.712674+(-0.790245--0.7191))+0-0-0</f>
        <v>511.51618099999996</v>
      </c>
      <c r="K19" s="3">
        <f>454.1+(530.6-474.6)+(0.231591+(0.270606-0.242046))+0-0-0</f>
        <v>510.36015100000003</v>
      </c>
      <c r="L19" s="3">
        <f>442+(554.1-477.3)+(-0.67626+(-0.847773--0.730269))+0-0-0</f>
        <v>518.00623599999994</v>
      </c>
      <c r="M19" s="3">
        <f>417.2+(599.9-504.8)+(-0.851088+(-1.223796--1.029792))+0-0-0</f>
        <v>511.25490799999994</v>
      </c>
      <c r="N19" s="3">
        <f>461.1+(590.7-509)+(-1.175805+(-1.506285--1.29795))+0-0-0</f>
        <v>541.41586000000007</v>
      </c>
      <c r="O19" s="3">
        <f>506.9+(602.8-528.1)+(-0.258519+(-0.307428--0.269331))+0-0-0</f>
        <v>581.30338399999994</v>
      </c>
      <c r="P19" s="3">
        <f>542+(592.4-537.5)+(-0.55284+(-0.604248--0.54825))+0-0-0</f>
        <v>596.29116199999999</v>
      </c>
      <c r="Q19" s="3">
        <f>630.4+(471.8-529.3)+(-0.321504+(-0.240618--0.269943))+0-0-0</f>
        <v>572.60782100000006</v>
      </c>
      <c r="R19" s="3">
        <f>687.9+(476.8-563.1)+(-1.052487+(-0.729504--0.861543))+0-0-0</f>
        <v>600.67955199999994</v>
      </c>
      <c r="S19" s="3">
        <f>685.7+(466.5-567)+(-2.098242+(-1.42749--1.73502))+0-0-0</f>
        <v>583.40928800000006</v>
      </c>
      <c r="T19" s="3">
        <f>655.3+(491.4-563.1)+(-0.668406+(-0.501228--0.574362))+0-0-0</f>
        <v>583.00472799999989</v>
      </c>
      <c r="U19" s="3">
        <f>625.5+(519.1-563.2)+(-1.91403+(-1.588446--1.723392))+0-0-0</f>
        <v>579.62091599999997</v>
      </c>
      <c r="V19" s="3">
        <f>626.6+(510.9-557.2)+(-0.958698+(-0.781677--0.852516))+0-0-0</f>
        <v>579.41214099999991</v>
      </c>
      <c r="W19" s="3">
        <f>629.3+(497.9-540.1)+(-0.320943+(-0.253929--0.275451))+0-0-0</f>
        <v>586.80057899999986</v>
      </c>
      <c r="X19" s="3">
        <f>630.5+(474.9-510.1)+(0+(0-0))+0-0-0</f>
        <v>595.29999999999995</v>
      </c>
      <c r="Y19" s="3">
        <f>641+(308.2-293)+(-0.32691+(-0.157182--0.14943))+0-0-0</f>
        <v>655.86533800000007</v>
      </c>
      <c r="Z19" s="3">
        <f>692.4+(544.5-477.1)+(-1.059372+(-0.833085--0.729963))+0-0-0</f>
        <v>758.63750599999992</v>
      </c>
      <c r="AA19" s="3">
        <f>695.5+(535.7-483)+(-0.354705+(-0.273207--0.24633))+0-0-0</f>
        <v>747.81841800000007</v>
      </c>
      <c r="AB19" s="3">
        <f>694.5+(518.4-499.5)+(-1.41678+(-1.057536--1.01898))+0-0-0</f>
        <v>711.94466399999999</v>
      </c>
      <c r="AC19" s="3">
        <f>654.4+(489.8-473.8)+(-0.333744+(-0.249798--0.241638))+0-0-0</f>
        <v>670.05809599999998</v>
      </c>
      <c r="AD19">
        <v>750.80000000000007</v>
      </c>
      <c r="AE19" s="3">
        <f>694+(577.4-520.6)+(0+(0-0))+0-0-0</f>
        <v>750.8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586.5+(455.2-450.6)+(-1.495575+(-1.16076--1.14903))+0-0-0</f>
        <v>589.59269499999994</v>
      </c>
      <c r="G20" s="3">
        <f>576.8+(391.7-438.7)+(-0.882504+(-0.599301--0.671211))+0-0-0</f>
        <v>528.98940599999992</v>
      </c>
      <c r="H20" s="3">
        <f>499.3+(424.3-406.3)+(0.509286+(0.432786-0.414426))+0-0-0</f>
        <v>517.82764599999996</v>
      </c>
      <c r="I20" s="3">
        <f>491.6+(402.4-374.4)+(0+(0-0))+0-0-0</f>
        <v>519.6</v>
      </c>
      <c r="J20" s="3">
        <f>486+(397.3-365.2)+(-0.49572+(-0.405246--0.372504))+0-0-0</f>
        <v>517.57153800000003</v>
      </c>
      <c r="K20" s="3">
        <f>482.2+(400.1-358.4)+(-0.737766+(-0.612153--0.548352))+0-0-0</f>
        <v>523.09843300000011</v>
      </c>
      <c r="L20" s="3">
        <f>482.3+(432.6-367.1)+(-0.983892+(-0.882504--0.748884))+0-0-0</f>
        <v>546.68248799999992</v>
      </c>
      <c r="M20" s="3">
        <f>483.9+(467.4-388.3)+(0+(0-0))+0-0-0</f>
        <v>563</v>
      </c>
      <c r="N20" s="3">
        <f>509.6+(510.1-413.8)+(0+(0-0))+0-0-0</f>
        <v>605.90000000000009</v>
      </c>
      <c r="O20" s="3">
        <f>631.6+(504.4-484)+(0+(0-0))+0-0-0</f>
        <v>652</v>
      </c>
      <c r="P20" s="3">
        <f>821+(408.8-533.8)+(0+(0-0))+0-0-0</f>
        <v>696</v>
      </c>
      <c r="Q20" s="3">
        <f>956.1+(359.7-590.1)+(-1.950444+(-0.733788--1.203804))+0-0-0</f>
        <v>724.21957200000008</v>
      </c>
      <c r="R20" s="3">
        <f>1023.3+(278.4-586.6)+(-0.521883+(-0.141984--0.299166))+0-0-0</f>
        <v>714.73529899999994</v>
      </c>
      <c r="S20" s="3">
        <f>1020.5+(269.6-594)+(-1.04091+(-0.274992--0.60588))+0-0-0</f>
        <v>695.38997800000004</v>
      </c>
      <c r="T20" s="3">
        <f>1019.1+(233.2-551.2)+(-1.039482+(-0.237864--0.562224))+0-0-0</f>
        <v>700.38487799999996</v>
      </c>
      <c r="U20" s="3">
        <f>950.6+(304.7-565.1)+(0+(0-0))+0-0-0</f>
        <v>690.2</v>
      </c>
      <c r="V20" s="3">
        <f>942.2+(318.1-561)+(-0.480522+(-0.162231--0.28611))+0-0-0</f>
        <v>698.94335700000011</v>
      </c>
      <c r="W20" s="3">
        <f>1019.8+(246.2-561.4)+(-3.120588+(-0.753372--1.717884))+0-0-0</f>
        <v>702.44392399999992</v>
      </c>
      <c r="X20" s="3">
        <f>1024.6+(240.5-567.4)+(-2.090184+(-0.49062--1.157496))+0-0-0</f>
        <v>696.27669199999991</v>
      </c>
      <c r="Y20" s="3">
        <f>1027.5+(254.2-571.7)+(1.04805+(0.259284-0.583134))+0-0-0</f>
        <v>710.7242</v>
      </c>
      <c r="Z20" s="3">
        <f>1032.3+(382.9-600.5)+(0+(0-0))+0-0-0</f>
        <v>814.69999999999993</v>
      </c>
      <c r="AA20" s="3">
        <f>1033.8+(383.2-602.4)+(-2.63619+(-0.97716--1.53612))+0-0-0</f>
        <v>812.52276999999992</v>
      </c>
      <c r="AB20" s="3">
        <f>1031.4+(337.1-563.9)+(-0.526014+(-0.171921--0.287589))+0-0-0</f>
        <v>804.18965400000013</v>
      </c>
      <c r="AC20" s="3">
        <f>946.9+(351.2-535.6)+(-0.965838+(-0.358224--0.546312))+0-0-0</f>
        <v>761.72225000000003</v>
      </c>
      <c r="AD20">
        <v>820</v>
      </c>
      <c r="AE20" s="3">
        <f>1031+(406-617)+(0+(0-0))+0-0-0</f>
        <v>820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878+(358.9-535.8)+(-0.89556+(-0.366078--0.546516))+0-0-0</f>
        <v>700.38487800000007</v>
      </c>
      <c r="G21" s="3">
        <f>863.8+(309.4-541.4)+(0+(0-0))+0-0-0</f>
        <v>631.79999999999995</v>
      </c>
      <c r="H21" s="3">
        <f>800.8+(305.9-516.6)+(-1.633632+(-0.624036--1.053864))+0-0-0</f>
        <v>588.89619599999992</v>
      </c>
      <c r="I21" s="3">
        <f>801.6+(295.8-514.6)+(-1.635264+(-0.603432--1.049784))+0-0-0</f>
        <v>581.611088</v>
      </c>
      <c r="J21" s="3">
        <f>802.2+(271.7-493.1)+(-1.227366+(-0.415701--0.754443))+0-0-0</f>
        <v>579.9113759999999</v>
      </c>
      <c r="K21" s="3">
        <f>803.7+(280-499.7)+(-1.229661+(-0.4284--0.764541))+0-0-0</f>
        <v>583.10648000000003</v>
      </c>
      <c r="L21" s="3">
        <f>805+(299.5-515.5)+(-0.41055+(-0.152745--0.262905))+0-0-0</f>
        <v>588.69961000000001</v>
      </c>
      <c r="M21" s="3">
        <f>869.7+(265.7-536.4)+(0+(0-0))+0-0-0</f>
        <v>599</v>
      </c>
      <c r="N21" s="3">
        <f>894.3+(290.2-542.7)+(-0.456093+(-0.148002--0.276777))+0-0-0</f>
        <v>641.47268199999996</v>
      </c>
      <c r="O21" s="3">
        <f>900.8+(290.3-517.3)+(-0.918816+(-0.296106--0.527646))+0-0-0</f>
        <v>673.11272399999996</v>
      </c>
      <c r="P21" s="3">
        <f>970.5+(257.9-518)+(-0.494955+(-0.131529--0.26418))+0-0-0</f>
        <v>710.03769599999998</v>
      </c>
      <c r="Q21" s="3">
        <f>959.5+(262.6-529.3)+(0+(0-0))+0-0-0</f>
        <v>692.80000000000007</v>
      </c>
      <c r="R21" s="3">
        <f>910.5+(267.1-521.4)+(0+(0-0))+0-0-0</f>
        <v>656.2</v>
      </c>
      <c r="S21" s="3">
        <f>911.2+(307.9-578.7)+(-0.929424+(-0.314058--0.590274))+0-0-0</f>
        <v>639.74679200000003</v>
      </c>
      <c r="T21" s="3">
        <f>939.3+(275.9-570.9)+(0+(0-0))+0-0-0</f>
        <v>644.29999999999995</v>
      </c>
      <c r="U21" s="3">
        <f>934.7+(274.2-568.2)+(0+(0-0))+0-0-0</f>
        <v>640.70000000000005</v>
      </c>
      <c r="V21" s="3">
        <f>893.6+(286.4-541)+(-1.367208+(-0.438192--0.82773))+0-0-0</f>
        <v>638.02233000000001</v>
      </c>
      <c r="W21" s="3">
        <f>988.3+(237.8-575.9)+(-1.512099+(-0.363834--0.881127))+0-0-0</f>
        <v>649.20519400000001</v>
      </c>
      <c r="X21" s="3">
        <f>1020.1+(193.2-560.8)+(-2.081004+(-0.394128--1.144032))+0-0-0</f>
        <v>651.16890000000001</v>
      </c>
      <c r="Y21" s="3">
        <f>1027.6+(221.2-540.4)+(0+(0-0))+0-0-0</f>
        <v>708.39999999999986</v>
      </c>
      <c r="Z21" s="3">
        <f>1028+(407.2-620.6)+(-2.09712+(-0.830688--1.266024))+0-0-0</f>
        <v>812.9382159999999</v>
      </c>
      <c r="AA21" s="3">
        <f>989.9+(390.5-579.7)+(-1.514547+(-0.597465--0.886941))+0-0-0</f>
        <v>799.47492899999997</v>
      </c>
      <c r="AB21" s="3">
        <f>947.6+(361.9-542.1)+(-1.449828+(-0.553707--0.829413))+0-0-0</f>
        <v>766.22587799999997</v>
      </c>
      <c r="AC21" s="3">
        <f>947.8+(325.7-570.6)+(-1.450134+(-0.498321--0.873018))+0-0-0</f>
        <v>701.8245629999999</v>
      </c>
      <c r="AD21">
        <v>817</v>
      </c>
      <c r="AE21" s="3">
        <f>1029+(418-630)+(0+(0-0))+0-0-0</f>
        <v>817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931.6+(327.6-596.7)+(-0.950232+(-0.334152--0.608634))+0-0-0</f>
        <v>661.82425000000001</v>
      </c>
      <c r="G22" s="3">
        <f>923+(327.3-623.9)+(0+(0-0))+0-0-0</f>
        <v>626.40000000000009</v>
      </c>
      <c r="H22" s="3">
        <f>922.4+(343.3-661)+(-1.411272+(-0.525249--1.01133))+0-0-0</f>
        <v>603.774809</v>
      </c>
      <c r="I22" s="3">
        <f>922.6+(341.5-669.9)+(-0.941052+(-0.34833--0.683298))+0-0-0</f>
        <v>593.59391600000004</v>
      </c>
      <c r="J22" s="3">
        <f>924.2+(285-625.2)+(0.471342+(0.14535-0.318852))+0-0-0</f>
        <v>584.29783999999995</v>
      </c>
      <c r="K22" s="3">
        <f>920.5+(247.8-595)+(-0.93891+(-0.252756--0.6069))+0-0-0</f>
        <v>572.71523400000001</v>
      </c>
      <c r="L22" s="3">
        <f>944.4+(241.7-547.7)+(-1.444932+(-0.369801--0.837981))+0-0-0</f>
        <v>637.42324799999983</v>
      </c>
      <c r="M22" s="3">
        <f>993.4+(194.9-549.5)+(0+(0-0))+0-0-0</f>
        <v>638.79999999999995</v>
      </c>
      <c r="N22" s="3">
        <f>997.8+(185.6-541.8)+(2.035512+(0.378624-1.105272))+0-0-0</f>
        <v>642.90886399999999</v>
      </c>
      <c r="O22" s="3">
        <f>989.4+(242.2-554.8)+(0.504594+(0.123522-0.282948))+0-0-0</f>
        <v>677.1451679999999</v>
      </c>
      <c r="P22" s="3">
        <f>983.4+(295.8-560)+(0+(0-0))+0-0-0</f>
        <v>719.2</v>
      </c>
      <c r="Q22" s="3">
        <f>986.7+(220.8-541.2)+(0+(0-0))+0-0-0</f>
        <v>666.3</v>
      </c>
      <c r="R22" s="3">
        <f>1107.6+(155.5-561.7)+(-2.259504+(-0.31722--1.145868))+0-0-0</f>
        <v>699.96914399999991</v>
      </c>
      <c r="S22" s="3">
        <f>1067.5+(151.8-547.4)+(-1.08885+(-0.154836--0.558348))+0-0-0</f>
        <v>671.21466200000009</v>
      </c>
      <c r="T22" s="3">
        <f>1055.2+(177.1-561.7)+(0+(0-0))+0-0-0</f>
        <v>670.6</v>
      </c>
      <c r="U22" s="3">
        <f>1043.9+(160.7-539.6)+(-1.064778+(-0.163914--0.550392))+0-0-0</f>
        <v>664.32169999999996</v>
      </c>
      <c r="V22" s="3">
        <f>1069.3+(155.2-545.9)+(-1.090686+(-0.158304--0.556818))+0-0-0</f>
        <v>677.90782799999988</v>
      </c>
      <c r="W22" s="3">
        <f>1072.5+(166.3-567.6)+(0+(0-0))+0-0-0</f>
        <v>671.2</v>
      </c>
      <c r="X22" s="3">
        <f>1018.1+(191-537.4)+(-0.519231+(-0.09741--0.274074))+0-0-0</f>
        <v>671.35743300000001</v>
      </c>
      <c r="Y22" s="3">
        <f>972.9+(290.3-555.9)+(-0.496179+(-0.148053--0.283509))+0-0-0</f>
        <v>706.93927699999995</v>
      </c>
      <c r="Z22" s="3">
        <f>1035.8+(372.7-575.4)+(-2.113032+(-0.760308--1.173816))+0-0-0</f>
        <v>831.40047599999991</v>
      </c>
      <c r="AA22" s="3">
        <f>1032.7+(348.1-555.6)+(-2.106708+(-0.710124--1.133424))+0-0-0</f>
        <v>823.51659200000006</v>
      </c>
      <c r="AB22" s="3">
        <f>983.7+(341.5-537.4)+(-1.505061+(-0.522495--0.822222))+0-0-0</f>
        <v>786.59466600000007</v>
      </c>
      <c r="AC22" s="3">
        <f>1006.1+(259.5-548.4)+(-2.052444+(-0.52938--1.118736))+0-0-0</f>
        <v>715.73691200000007</v>
      </c>
      <c r="AD22">
        <v>820.39999999999986</v>
      </c>
      <c r="AE22" s="3">
        <f>1011+(386.6-577.2)+(0+(0-0))+0-0-0</f>
        <v>820.4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1039+(227.9-613.1)+(-1.58967+(-0.348687--0.938043))+0-0-0</f>
        <v>652.79968599999995</v>
      </c>
      <c r="G23" s="3">
        <f>1042.5+(330.8-752.5)+(-2.658375+(-0.84354--1.918875))+0-0-0</f>
        <v>619.21695999999997</v>
      </c>
      <c r="H23" s="3">
        <f>1042.4+(293.2-744.3)+(-0.531624+(-0.149532--0.379593))+0-0-0</f>
        <v>590.99843700000019</v>
      </c>
      <c r="I23" s="3">
        <f>1038.4+(291.1-750.6)+(-2.118336+(-0.593844--1.531224))+0-0-0</f>
        <v>577.71904400000005</v>
      </c>
      <c r="J23" s="3">
        <f>1033.3+(274.9-730.1)+(-2.107932+(-0.560796--1.489404))+0-0-0</f>
        <v>576.92067599999996</v>
      </c>
      <c r="K23" s="3">
        <f>1036.2+(273.7-724.2)+(0.528462+(0.139587-0.369342))+0-0-0</f>
        <v>585.99870700000008</v>
      </c>
      <c r="L23" s="3">
        <f>1025.7+(285.7-666.9)+(-2.092428+(-0.582828--1.360476))+0-0-0</f>
        <v>643.18521999999996</v>
      </c>
      <c r="M23" s="3">
        <f>1030.9+(254.5-627.8)+(-1.051518+(-0.25959--0.640356))+0-0-0</f>
        <v>656.92924800000014</v>
      </c>
      <c r="N23" s="3">
        <f>1030.9+(202.7-555.2)+(0+(0-0))+0-0-0</f>
        <v>678.40000000000009</v>
      </c>
      <c r="O23" s="3">
        <f>1030.4+(199.4-509.8)+(0.525504+(0.101694-0.259998))+0-0-0</f>
        <v>720.36720000000014</v>
      </c>
      <c r="P23" s="3">
        <f>1027.1+(228.2-505.4)+(0.523821+(0.116382-0.257754))+0-0-0</f>
        <v>750.28244899999981</v>
      </c>
      <c r="Q23" s="3">
        <f>1034+(269.4-554.5)+(-0.52734+(-0.137394--0.282795))+0-0-0</f>
        <v>748.51806099999999</v>
      </c>
      <c r="R23" s="3">
        <f>1044.3+(261.6-564)+(-0.532593+(-0.133416--0.28764))+0-0-0</f>
        <v>741.52163099999996</v>
      </c>
      <c r="S23" s="3">
        <f>1046.6+(242.2-561.7)+(-2.66883+(-0.61761--1.432335))+0-0-0</f>
        <v>725.2458949999999</v>
      </c>
      <c r="T23" s="3">
        <f>1043.3+(233.8-555.6)+(-1.064166+(-0.238476--0.566712))+0-0-0</f>
        <v>720.76406999999995</v>
      </c>
      <c r="U23" s="3">
        <f>1064.7+(220.4-542.5)+(-1.085994+(-0.224808--0.55335))+0-0-0</f>
        <v>741.84254800000008</v>
      </c>
      <c r="V23" s="3">
        <f>1058.1+(219.1-544.6)+(0+(0-0))+0-0-0</f>
        <v>732.59999999999991</v>
      </c>
      <c r="W23" s="3">
        <f>1060+(219.6-547.4)+(-2.703+(-0.55998--1.39587))+0-0-0</f>
        <v>730.33289000000002</v>
      </c>
      <c r="X23" s="3">
        <f>1062.9+(239.9-561.3)+(-2.168316+(-0.489396--1.145052))+0-0-0</f>
        <v>739.98734000000013</v>
      </c>
      <c r="Y23" s="3">
        <f>1066.7+(257.8-554.1)+(0.544017+(0.131478-0.282591))+0-0-0</f>
        <v>770.79290400000014</v>
      </c>
      <c r="Z23" s="3">
        <f>1072.8+(278.3-524)+(-1.641384+(-0.425799--0.80172))+0-0-0</f>
        <v>825.83453699999995</v>
      </c>
      <c r="AA23" s="3">
        <f>1070.3+(217.8-448.1)+(-2.729265+(-0.55539--1.142655))+0-0-0</f>
        <v>837.85799999999995</v>
      </c>
      <c r="AB23" s="3">
        <f>1073.8+(246.3-495.6)+(-2.73819+(-0.628065--1.26378))+0-0-0</f>
        <v>822.39752499999997</v>
      </c>
      <c r="AC23" s="3">
        <f>1077.4+(336.5-607.6)+(-1.098948+(-0.34323--0.619752))+0-0-0</f>
        <v>805.47757400000012</v>
      </c>
      <c r="AD23">
        <v>812.89999999999986</v>
      </c>
      <c r="AE23" s="3">
        <f>1071+(269.6-527.7)+(0+(0-0))+0-0-0</f>
        <v>812.9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1035.7+(338.3-633.8)+(0+(0-0))+0-0-0</f>
        <v>740.2</v>
      </c>
      <c r="G24" s="3">
        <f>1008.2+(377.4-695.4)+(1.028364+(0.384948-0.709308))+0-0-0</f>
        <v>690.9040040000001</v>
      </c>
      <c r="H24" s="3">
        <f>1002.9+(387.7-723.1)+(-1.534437+(-0.593181--1.106343))+0-0-0</f>
        <v>666.47872500000005</v>
      </c>
      <c r="I24" s="3">
        <f>993.8+(359.4-703.3)+(-1.013676+(-0.366588--0.717366))+0-0-0</f>
        <v>649.23710199999994</v>
      </c>
      <c r="J24" s="3">
        <f>929.5+(358.4-651.7)+(-1.89618+(-0.731136--1.329468))+0-0-0</f>
        <v>634.90215199999989</v>
      </c>
      <c r="K24" s="3">
        <f>934.9+(352.9-654.8)+(0+(0-0))+0-0-0</f>
        <v>633</v>
      </c>
      <c r="L24" s="3">
        <f>933+(317.6-625.6)+(-0.47583+(-0.161976--0.319056))+0-0-0</f>
        <v>624.68124999999998</v>
      </c>
      <c r="M24" s="3">
        <f>1017.7+(277.9-640.9)+(0+(0-0))+0-0-0</f>
        <v>654.70000000000005</v>
      </c>
      <c r="N24" s="3">
        <f>1041.7+(220.2-596.2)+(-0.531267+(-0.112302--0.304062))+0-0-0</f>
        <v>665.36049300000002</v>
      </c>
      <c r="O24" s="3">
        <f>958.9+(270.4-543.1)+(-0.489039+(-0.137904--0.276981))+0-0-0</f>
        <v>685.85003799999993</v>
      </c>
      <c r="P24" s="3">
        <f>913.2+(310.2-521)+(-0.931464+(-0.316404--0.53142))+0-0-0</f>
        <v>701.68355200000008</v>
      </c>
      <c r="Q24" s="3">
        <f>1022.9+(218.7-517.5)+(-1.043358+(-0.223074--0.52785))+0-0-0</f>
        <v>723.36141799999996</v>
      </c>
      <c r="R24" s="3">
        <f>1042.6+(206.2-519.2)+(-1.063452+(-0.210324--0.529584))+0-0-0</f>
        <v>728.85580799999991</v>
      </c>
      <c r="S24" s="3">
        <f>1040.5+(185.3-508.6)+(-1.06131+(-0.189006--0.518772))+0-0-0</f>
        <v>716.46845600000006</v>
      </c>
      <c r="T24" s="3">
        <f>1041.6+(224.7-560.1)+(0+(0-0))+0-0-0</f>
        <v>706.19999999999982</v>
      </c>
      <c r="U24" s="3">
        <f>1037.2+(226.6-552.3)+(-1.057944+(-0.231132--0.563346))+0-0-0</f>
        <v>710.77427000000012</v>
      </c>
      <c r="V24" s="3">
        <f>1031.2+(214.8-536.6)+(1.577736+(0.328644-0.820998))+0-0-0</f>
        <v>710.48538200000007</v>
      </c>
      <c r="W24" s="3">
        <f>1005.3+(229.7-528)+(-2.050812+(-0.468588--1.07712))+0-0-0</f>
        <v>705.55772000000002</v>
      </c>
      <c r="X24" s="3">
        <f>996.4+(187.5-508.6)+(0.508164+(0.095625-0.259386))+0-0-0</f>
        <v>675.64440300000001</v>
      </c>
      <c r="Y24" s="3">
        <f>1034.3+(255.9-558.5)+(0.527493+(0.130509-0.284835))+0-0-0</f>
        <v>732.0731669999999</v>
      </c>
      <c r="Z24" s="3">
        <f>1069.5+(318.9-549.6)+(-2.18178+(-0.650556--1.121184))+0-0-0</f>
        <v>837.08884799999998</v>
      </c>
      <c r="AA24" s="3">
        <f>1070+(335.2-574.7)+(-3.2742+(-1.025712--1.758582))+0-0-0</f>
        <v>827.95866999999998</v>
      </c>
      <c r="AB24" s="3">
        <f>1005.5+(366.3-562)+(-2.05122+(-0.747252--1.14648))+0-0-0</f>
        <v>808.148008</v>
      </c>
      <c r="AC24" s="3">
        <f>960.4+(345.5-545.3)+(-1.959216+(-0.70482--1.112412))+0-0-0</f>
        <v>759.04837600000008</v>
      </c>
      <c r="AD24">
        <v>843.90000000000009</v>
      </c>
      <c r="AE24" s="3">
        <f>1069+(306.9-532)+(0+(0-0))+0-0-0</f>
        <v>843.9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930.4+(306-548.6)+(-0.474504+(-0.15606--0.279786))+0-0-0</f>
        <v>687.44922199999996</v>
      </c>
      <c r="G25" s="3">
        <f>872.4+(292.7-538.5)+(-1.779696+(-0.597108--1.09854))+0-0-0</f>
        <v>625.32173599999987</v>
      </c>
      <c r="H25" s="3">
        <f>774.9+(342.8-519.5)+(-0.790398+(-0.349656--0.52989))+0-0-0</f>
        <v>597.58983599999999</v>
      </c>
      <c r="I25" s="3">
        <f>708.6+(381.5-524)+(0.361386+(0.194565-0.26724))+0-0-0</f>
        <v>566.38871100000006</v>
      </c>
      <c r="J25" s="3">
        <f>611.3+(435.8-504.1)+(0.623526+(0.444516-0.514182))+0-0-0</f>
        <v>543.55385999999999</v>
      </c>
      <c r="K25" s="3">
        <f>578.6+(463.4-516.3)+(-0.295086+(-0.236334--0.263313))+0-0-0</f>
        <v>525.43189300000006</v>
      </c>
      <c r="L25" s="3">
        <f>539.2+(521.5-510.5)+(-0.824976+(-0.797895--0.781065))+0-0-0</f>
        <v>549.35819400000003</v>
      </c>
      <c r="M25" s="3">
        <f>540.7+(561.6-539.7)+(0+(0-0))+0-0-0</f>
        <v>562.6</v>
      </c>
      <c r="N25" s="3">
        <f>593+(571-548.3)+(0+(0-0))+0-0-0</f>
        <v>615.70000000000005</v>
      </c>
      <c r="O25" s="3">
        <f>632.4+(560.1-516.3)+(-0.322524+(-0.285651--0.263313))+0-0-0</f>
        <v>675.85513800000001</v>
      </c>
      <c r="P25" s="3">
        <f>631.8+(595-509.1)+(0.966654+(0.91035-0.778923))+0-0-0</f>
        <v>718.79808099999991</v>
      </c>
      <c r="Q25" s="3">
        <f>723.6+(535.5-536.4)+(-2.214216+(-1.63863--1.641384))+0-0-0</f>
        <v>720.48853800000006</v>
      </c>
      <c r="R25" s="3">
        <f>708.5+(484.9-535.2)+(-1.806675+(-1.236495--1.36476))+0-0-0</f>
        <v>656.52158999999995</v>
      </c>
      <c r="S25" s="3">
        <f>674.2+(287.1-303.6)+(-0.343842+(-0.146421--0.154836))+0-0-0</f>
        <v>657.36457300000006</v>
      </c>
      <c r="T25" s="3">
        <f>618.7+(383.3-393.6)+(0.315537+(0.195483-0.200736))+0-0-0</f>
        <v>608.71028400000012</v>
      </c>
      <c r="U25" s="3">
        <f>615.4+(486.3-504.4)+(-0.313854+(-0.248013--0.257244))+0-0-0</f>
        <v>596.99537699999996</v>
      </c>
      <c r="V25" s="3">
        <f>603.5+(545.9-543.5)+(-1.23114+(-1.113636--1.10874))+0-0-0</f>
        <v>604.66396399999996</v>
      </c>
      <c r="W25" s="3">
        <f>543.6+(624.6-567.4)+(-0.831708+(-0.955638--0.868122))+0-0-0</f>
        <v>599.88077600000008</v>
      </c>
      <c r="X25" s="3">
        <f>536.2+(626.8-571.8)+(-0.546924+(-0.639336--0.583236))+0-0-0</f>
        <v>590.59697600000004</v>
      </c>
      <c r="Y25" s="3">
        <f>537.2+(645.3-570.1)+(-1.095888+(-1.316412--1.163004))+0-0-0</f>
        <v>611.15070400000002</v>
      </c>
      <c r="Z25" s="3">
        <f>536.9+(774.5-592.6)+(-1.369095+(-1.974975--1.51113))+0-0-0</f>
        <v>716.96705999999995</v>
      </c>
      <c r="AA25" s="3">
        <f>533.1+(758.4-567.8)+(-0.815643+(-1.160352--0.868734))+0-0-0</f>
        <v>722.59273900000005</v>
      </c>
      <c r="AB25" s="3">
        <f>524.2+(734.4-553.3)+(-0.534684+(-0.749088--0.564366))+0-0-0</f>
        <v>704.58059400000002</v>
      </c>
      <c r="AC25" s="3">
        <f>543.9+(661.1-522)+(-0.277389+(-0.337161--0.26622))+0-0-0</f>
        <v>682.65166999999997</v>
      </c>
      <c r="AD25">
        <v>833.49999999999989</v>
      </c>
      <c r="AE25" s="3">
        <f>537+(861.6-565.1)+(0+(0-0))+0-0-0</f>
        <v>833.5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537.1+(648.8-521.8)+(-0.273921+(-0.330888--0.266118))+0-0-0</f>
        <v>663.76130899999998</v>
      </c>
      <c r="G26" s="3">
        <f>537.3+(589.7-517.9)+(-0.548046+(-0.601494--0.528258))+0-0-0</f>
        <v>608.47871800000007</v>
      </c>
      <c r="H26" s="3">
        <f>536.4+(544.7-506.6)+(-0.820692+(-0.833391--0.775098))+0-0-0</f>
        <v>573.62101500000006</v>
      </c>
      <c r="I26" s="3">
        <f>538.8+(509.3-501.2)+(0+(0-0))+0-0-0</f>
        <v>546.9</v>
      </c>
      <c r="J26" s="3">
        <f>539.4+(521.2-516.5)+(0+(0-0))+0-0-0</f>
        <v>544.1</v>
      </c>
      <c r="K26" s="3">
        <f>537.6+(515.6-499.1)+(-0.548352+(-0.525912--0.509082))+0-0-0</f>
        <v>553.53481799999997</v>
      </c>
      <c r="L26" s="3">
        <f>536.8+(508.7-524.5)+(-2.190144+(-2.075496--2.13996))+0-0-0</f>
        <v>518.87432000000001</v>
      </c>
      <c r="M26" s="3">
        <f>479.5+(558.3-550.2)+(-0.48909+(-0.569466--0.561204))+0-0-0</f>
        <v>487.10264799999993</v>
      </c>
      <c r="N26" s="3">
        <f>476.4+(603.7-584.8)+(0.971856+(1.231548-1.192992))+0-0-0</f>
        <v>496.31041200000004</v>
      </c>
      <c r="O26" s="3">
        <f>475.8+(646.5-602.4)+(-0.727974+(-0.989145--0.921672))+0-0-0</f>
        <v>519.10455300000012</v>
      </c>
      <c r="P26" s="3">
        <f>473.5+(660.5-606.9)+(0.48297+(0.67371-0.619038))+0-0-0</f>
        <v>527.63764200000003</v>
      </c>
      <c r="Q26" s="3">
        <f>471.8+(652.4-584.8)+(-0.721854+(-0.998172--0.894744))+0-0-0</f>
        <v>538.57471800000008</v>
      </c>
      <c r="R26" s="3">
        <f>472.4+(673.1-515.2)+(-1.686468+(-2.402967--1.839264))+0-0-0</f>
        <v>628.04982899999993</v>
      </c>
      <c r="S26" s="3">
        <f>471.4+(682.6-538.5)+(0+(0-0))+0-0-0</f>
        <v>615.5</v>
      </c>
      <c r="T26" s="3">
        <f>475.1+(645.5-510.7)+(-0.484602+(-0.65841--0.520914))+0-0-0</f>
        <v>609.27790200000004</v>
      </c>
      <c r="U26" s="3">
        <f>473.7+(626.8-499.7)+(-0.241587+(-0.319668--0.254847))+0-0-0</f>
        <v>600.49359199999992</v>
      </c>
      <c r="V26" s="3">
        <f>474.7+(621.5-511.8)+(-0.968388+(-1.26786--1.044072))+0-0-0</f>
        <v>583.20782399999996</v>
      </c>
      <c r="W26" s="3">
        <f>473.1+(659-527.6)+(-0.241281+(-0.33609--0.269076))+0-0-0</f>
        <v>604.19170499999996</v>
      </c>
      <c r="X26" s="3">
        <f>478.4+(628.5-515.3)+(0.243984+(0.320535-0.262803))+0-0-0</f>
        <v>591.90171600000008</v>
      </c>
      <c r="Y26" s="3">
        <f>643.8+(505.7-530.2)+(-1.313352+(-1.031628--1.081608))+0-0-0</f>
        <v>618.03662799999995</v>
      </c>
      <c r="Z26" s="3">
        <f>813.4+(485.1-512.8)+(-0.414834+(-0.247401--0.261528))+0-0-0</f>
        <v>785.29929300000003</v>
      </c>
      <c r="AA26" s="3">
        <f>779.1+(533.8-521.7)+(-1.589364+(-1.088952--1.064268))+0-0-0</f>
        <v>789.58595199999991</v>
      </c>
      <c r="AB26" s="3">
        <f>754.6+(524.4-499)+(-0.769692+(-0.534888--0.50898))+0-0-0</f>
        <v>779.20439999999996</v>
      </c>
      <c r="AC26" s="3">
        <f>753.1+(452-493.7)+(-1.536324+(-0.92208--1.007148))+0-0-0</f>
        <v>709.94874400000015</v>
      </c>
      <c r="AD26">
        <v>801.50000000000011</v>
      </c>
      <c r="AE26" s="3">
        <f>812+(488.9-499.4)+(0+(0-0))+0-0-0</f>
        <v>801.5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677.4+(458.5-502.1)+(0+(0-0))+0-0-0</f>
        <v>633.79999999999995</v>
      </c>
      <c r="G27" s="3">
        <f>633.8+(458.3-507.4)+(-1.61619+(-1.168665--1.29387))+0-0-0</f>
        <v>583.20901500000002</v>
      </c>
      <c r="H27" s="3">
        <f>633.3+(397.9-461.2)+(-0.322983+(-0.202929--0.235212))+0-0-0</f>
        <v>569.70929999999998</v>
      </c>
      <c r="I27" s="3">
        <f>633.6+(410.7-471)+(0.323136+(0.209457-0.24021))+0-0-0</f>
        <v>573.59238299999993</v>
      </c>
      <c r="J27" s="3">
        <f>633.7+(380.1-431)+(-0.323187+(-0.193851--0.21981))+0-0-0</f>
        <v>582.50277200000005</v>
      </c>
      <c r="K27" s="3">
        <f>694.6+(386.3-477)+(0.354246+(0.197013-0.24327))+0-0-0</f>
        <v>604.20798900000011</v>
      </c>
      <c r="L27" s="3">
        <f>797.4+(313.6-479.2)+(-2.03337+(-0.79968--1.22196))+0-0-0</f>
        <v>630.18890999999996</v>
      </c>
      <c r="M27" s="3">
        <f>855.2+(256.1-489.2)+(0.872304+(0.261222-0.498984))+0-0-0</f>
        <v>622.73454200000015</v>
      </c>
      <c r="N27" s="3">
        <f>936.7+(226.2-487.9)+(0+(0-0))+0-0-0</f>
        <v>675</v>
      </c>
      <c r="O27" s="3">
        <f>950+(292.2-520.8)+(0+(0-0))+0-0-0</f>
        <v>721.40000000000009</v>
      </c>
      <c r="P27" s="3">
        <f>948+(316.8-524.4)+(0.96696+(0.323136-0.534888))+0-0-0</f>
        <v>741.15520800000013</v>
      </c>
      <c r="Q27" s="3">
        <f>945.3+(313.9-512.1)+(-0.964206+(-0.320178--0.522342))+0-0-0</f>
        <v>746.33795799999996</v>
      </c>
      <c r="R27" s="3">
        <f>941+(344.3-565.6)+(-0.47991+(-0.175593--0.288456))+0-0-0</f>
        <v>719.33295300000009</v>
      </c>
      <c r="S27" s="3">
        <f>947.1+(366.8-608.6)+(0+(0-0))+0-0-0</f>
        <v>705.3</v>
      </c>
      <c r="T27" s="3">
        <f>943+(323.3-580.6)+(-0.48093+(-0.164883--0.296106))+0-0-0</f>
        <v>685.35029300000008</v>
      </c>
      <c r="U27" s="3">
        <f>938.8+(308.4-552.8)+(-1.436364+(-0.471852--0.845784))+0-0-0</f>
        <v>693.33756800000003</v>
      </c>
      <c r="V27" s="3">
        <f>940.4+(293.3-541.2)+(-0.479604+(-0.149583--0.276012))+0-0-0</f>
        <v>692.14682500000004</v>
      </c>
      <c r="W27" s="3">
        <f>929.9+(309.8-545.8)+(-1.896996+(-0.631992--1.113432))+0-0-0</f>
        <v>692.48444400000005</v>
      </c>
      <c r="X27" s="3">
        <f>927.4+(313.1-541.9)+(-2.36487+(-0.798405--1.381845))+0-0-0</f>
        <v>696.81857000000002</v>
      </c>
      <c r="Y27" s="3">
        <f>929.6+(364.7-545)+(-0.474096+(-0.185997--0.27795))+0-0-0</f>
        <v>748.91785699999991</v>
      </c>
      <c r="Z27" s="3">
        <f>924.5+(481.1-548.2)+(-1.88598+(-0.981444--1.118328))+0-0-0</f>
        <v>855.65090399999997</v>
      </c>
      <c r="AA27" s="3">
        <f>864.5+(543.4-562.2)+(-1.322685+(-0.831402--0.860166))+0-0-0</f>
        <v>844.40607899999998</v>
      </c>
      <c r="AB27" s="3">
        <f>864.5+(505.8-546.3)+(-2.204475+(-1.28979--1.393065))+0-0-0</f>
        <v>821.89880000000005</v>
      </c>
      <c r="AC27" s="3">
        <f>860.5+(421.8-533.2)+(-1.75542+(-0.860472--1.087728))+0-0-0</f>
        <v>747.57183599999996</v>
      </c>
      <c r="AD27">
        <v>860.8</v>
      </c>
      <c r="AE27" s="3">
        <f>931+(483.5-553.7)+(0+(0-0))+0-0-0</f>
        <v>860.8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864.5+(370.8-561.1)+(-1.322685+(-0.567324--0.858483))+0-0-0</f>
        <v>673.16847400000006</v>
      </c>
      <c r="G28" s="3">
        <f>865.4+(387.7-624.4)+(-0.882708+(-0.395454--0.636888))+0-0-0</f>
        <v>628.05872600000009</v>
      </c>
      <c r="H28" s="3">
        <f>802.3+(341.9-550.5)+(-1.636692+(-0.697476--1.12302))+0-0-0</f>
        <v>592.48885199999995</v>
      </c>
      <c r="I28" s="3">
        <f>753.3+(356.8-525.8)+(-0.768366+(-0.363936--0.536316))+0-0-0</f>
        <v>583.70401399999992</v>
      </c>
      <c r="J28" s="3">
        <f>754.4+(336.8-508.1)+(-1.538976+(-0.687072--1.036524))+0-0-0</f>
        <v>581.9104759999999</v>
      </c>
      <c r="K28" s="3">
        <f>752.6+(362.4-538.8)+(0+(0-0))+0-0-0</f>
        <v>576.20000000000005</v>
      </c>
      <c r="L28" s="3">
        <f>752.1+(409.5-533.6)+(-2.684997+(-1.461915--1.904952))+0-0-0</f>
        <v>625.75804000000005</v>
      </c>
      <c r="M28" s="3">
        <f>751.7+(411.2-538)+(0+(0-0))+0-0-0</f>
        <v>624.90000000000009</v>
      </c>
      <c r="N28" s="3">
        <f>754+(433.4-532.2)+(0.76908+(0.442068-0.542844))+0-0-0</f>
        <v>655.86830399999997</v>
      </c>
      <c r="O28" s="3">
        <f>811.4+(399.6-489.3)+(-0.827628+(-0.407592--0.499086))+0-0-0</f>
        <v>720.96386600000005</v>
      </c>
      <c r="P28" s="3">
        <f>818.3+(418-506.1)+(0.417333+(0.21318-0.258111))+0-0-0</f>
        <v>730.5724019999999</v>
      </c>
      <c r="Q28" s="3">
        <f>816+(437.1-510.3)+(0+(0-0))+0-0-0</f>
        <v>742.8</v>
      </c>
      <c r="R28" s="3">
        <f>812.1+(396.3-477)+(-2.070855+(-1.010565--1.21635))+0-0-0</f>
        <v>729.53493000000014</v>
      </c>
      <c r="S28" s="3">
        <f>811.3+(379.6-474.7)+(-1.655052+(-0.774384--0.968388))+0-0-0</f>
        <v>714.73895200000004</v>
      </c>
      <c r="T28" s="3">
        <f>819.8+(384.5-501.2)+(0.836196+(0.39219-0.511224))+0-0-0</f>
        <v>703.81716199999994</v>
      </c>
      <c r="U28" s="3">
        <f>820.4+(377.1-490.8)+(-1.673616+(-0.769284--1.001232))+0-0-0</f>
        <v>705.258332</v>
      </c>
      <c r="V28" s="3">
        <f>814.5+(388.5-501.1)+(-1.66158+(-0.79254--1.022244))+0-0-0</f>
        <v>700.46812399999999</v>
      </c>
      <c r="W28" s="3">
        <f>817.1+(435.5-542.3)+(-2.500326+(-1.33263--1.659438))+0-0-0</f>
        <v>708.12648200000012</v>
      </c>
      <c r="X28" s="3">
        <f>782.3+(440.8-525)+(-1.595892+(-0.899232--1.071))+0-0-0</f>
        <v>696.6758759999999</v>
      </c>
      <c r="Y28" s="3">
        <f>746.7+(463.9-494)+(0.380817+(0.236589-0.25194))+0-0-0</f>
        <v>716.96546599999999</v>
      </c>
      <c r="Z28" s="3">
        <f>811.1+(536.7-519.5)+(-2.068305+(-1.368585--1.324725))+0-0-0</f>
        <v>826.18783500000006</v>
      </c>
      <c r="AA28" s="3">
        <f>814.4+(578.6-554.1)+(-2.07672+(-1.47543--1.412955))+0-0-0</f>
        <v>836.760805</v>
      </c>
      <c r="AB28" s="3">
        <f>778.3+(590.6-559.3)+(-2.778531+(-2.108442--1.996701))+0-0-0</f>
        <v>806.70972800000004</v>
      </c>
      <c r="AC28" s="3">
        <f>751+(551.8-530.1)+(-1.91505+(-1.40709--1.351755))+0-0-0</f>
        <v>770.72961499999997</v>
      </c>
      <c r="AD28">
        <v>854.09999999999991</v>
      </c>
      <c r="AE28" s="3">
        <f>814+(580.8-540.7)+(0+(0-0))+0-0-0</f>
        <v>854.09999999999991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752+(474.6-505.9)+(-1.15056+(-0.726138--0.774027))+0-0-0</f>
        <v>719.59732900000006</v>
      </c>
      <c r="G29" s="3">
        <f>753.1+(404.4-486.8)+(-2.688567+(-1.443708--1.737876))+0-0-0</f>
        <v>668.30560100000002</v>
      </c>
      <c r="H29" s="3">
        <f>750.5+(449.7-543.6)+(-1.148265+(-0.688041--0.831708))+0-0-0</f>
        <v>655.59540199999992</v>
      </c>
      <c r="I29" s="3">
        <f>751+(459.4-555)+(0+(0-0))+0-0-0</f>
        <v>655.4</v>
      </c>
      <c r="J29" s="3">
        <f>751.5+(440.8-538.8)+(-1.53306+(-0.899232--1.099152))+0-0-0</f>
        <v>652.16686000000004</v>
      </c>
      <c r="K29" s="3">
        <f>751.7+(425.3-525.8)+(-0.766734+(-0.433806--0.536316))+0-0-0</f>
        <v>650.53577600000006</v>
      </c>
      <c r="L29" s="3">
        <f>750.8+(391.9-496.5)+(-1.531632+(-0.799476--1.01286))+0-0-0</f>
        <v>644.88175199999989</v>
      </c>
      <c r="M29" s="3">
        <f>750.3+(364-506.2)+(0.382653+(0.18564-0.258162))+0-0-0</f>
        <v>608.41013099999986</v>
      </c>
      <c r="N29" s="3">
        <f>748.6+(394.3-488.2)+(0.381786+(0.201093-0.248982))+0-0-0</f>
        <v>655.03389700000002</v>
      </c>
      <c r="O29" s="3">
        <f>803.4+(358.7-423.6)+(-1.229202+(-0.548811--0.648108))+0-0-0</f>
        <v>737.37009499999999</v>
      </c>
      <c r="P29" s="3">
        <f>821.4+(352.7-395.9)+(-1.675656+(-0.719508--0.807636))+0-0-0</f>
        <v>776.61247200000003</v>
      </c>
      <c r="Q29" s="3">
        <f>820.3+(400.9-445.3)+(-0.418353+(-0.204459--0.227103))+0-0-0</f>
        <v>775.50429099999985</v>
      </c>
      <c r="R29" s="3">
        <f>820.5+(385.6-449)+(0.418455+(0.196656-0.22899))+0-0-0</f>
        <v>757.48612100000003</v>
      </c>
      <c r="S29" s="3">
        <f>813.7+(405.9-512.5)+(-0.414987+(-0.207009--0.261375))+0-0-0</f>
        <v>706.73937899999999</v>
      </c>
      <c r="T29" s="3">
        <f>808.9+(421-498.2)+(-0.825078+(-0.42942--0.508164))+0-0-0</f>
        <v>730.953666</v>
      </c>
      <c r="U29" s="3">
        <f>804.6+(430.2-446)+(-1.231038+(-0.658206--0.68238))+0-0-0</f>
        <v>787.59313599999996</v>
      </c>
      <c r="V29" s="3">
        <f>814.1+(401.7-457)+(-1.660764+(-0.819468--0.93228))+0-0-0</f>
        <v>757.25204799999995</v>
      </c>
      <c r="W29" s="3">
        <f>814.1+(435.9-527.7)+(-0.830382+(-0.444618--0.538254))+0-0-0</f>
        <v>721.56325399999992</v>
      </c>
      <c r="X29" s="3">
        <f>814.8+(444.6-542.5)+(-2.07774+(-1.13373--1.383375))+0-0-0</f>
        <v>715.07190500000002</v>
      </c>
      <c r="Y29" s="3">
        <f>817.6+(480.6-567.8)+(-0.833952+(-0.490212--0.579156))+0-0-0</f>
        <v>729.65499200000011</v>
      </c>
      <c r="Z29" s="3">
        <f>826.7+(594-575.1)+(-0.843234+(-0.60588--0.586602))+0-0-0</f>
        <v>844.73748799999998</v>
      </c>
      <c r="AA29" s="3">
        <f>838.6+(585.8-543.3)+(-1.283058+(-0.896274--0.831249))+0-0-0</f>
        <v>879.75191700000005</v>
      </c>
      <c r="AB29" s="3">
        <f>842.7+(528.5-516.4)+(-2.148885+(-1.347675--1.31682))+0-0-0</f>
        <v>852.62026000000003</v>
      </c>
      <c r="AC29" s="3">
        <f>844.4+(491.2-525)+(-0.861288+(-0.501024--0.5355))+0-0-0</f>
        <v>809.77318799999989</v>
      </c>
      <c r="AD29">
        <v>879.69999999999993</v>
      </c>
      <c r="AE29" s="3">
        <f>839+(610.8-570.1)+(0+(0-0))+0-0-0</f>
        <v>879.69999999999993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839.5+(468.7-566.4)+(-2.140725+(-1.195185--1.44432))+0-0-0</f>
        <v>739.90841</v>
      </c>
      <c r="G30" s="3">
        <f>839.3+(527.4-662.2)+(-0.856086+(-0.537948--0.675444))+0-0-0</f>
        <v>703.78140999999994</v>
      </c>
      <c r="H30" s="3">
        <f>841.1+(480.9-651.7)+(-0.857922+(-0.490518--0.664734))+0-0-0</f>
        <v>669.61629399999993</v>
      </c>
      <c r="I30" s="3">
        <f>841.5+(400.8-585.3)+(-1.71666+(-0.817632--1.194012))+0-0-0</f>
        <v>655.65971999999999</v>
      </c>
      <c r="J30" s="3">
        <f>842.5+(358.6-556.3)+(-2.148375+(-0.91443--1.418565))+0-0-0</f>
        <v>643.1557600000001</v>
      </c>
      <c r="K30" s="3">
        <f>838.7+(357.7-560.4)+(-0.427737+(-0.182427--0.285804))+0-0-0</f>
        <v>635.67564000000004</v>
      </c>
      <c r="L30" s="3">
        <f>752.7+(394.7-518.2)+(0+(0-0))+0-0-0</f>
        <v>629.20000000000005</v>
      </c>
      <c r="M30" s="3">
        <f>760.9+(371.9-518.7)+(0+(0-0))+0-0-0</f>
        <v>614.09999999999991</v>
      </c>
      <c r="N30" s="3">
        <f>845.8+(347.1-515.4)+(-1.294074+(-0.531063--0.788562))+0-0-0</f>
        <v>676.46342500000003</v>
      </c>
      <c r="O30" s="3">
        <f>858.8+(382.6-508.2)+(-0.875976+(-0.390252--0.518364))+0-0-0</f>
        <v>732.452136</v>
      </c>
      <c r="P30" s="3">
        <f>870.9+(432.3-533.6)+(-0.444159+(-0.220473--0.272136))+0-0-0</f>
        <v>769.20750399999986</v>
      </c>
      <c r="Q30" s="3">
        <f>867.4+(436.6-534.7)+(-1.327122+(-0.667998--0.818091))+0-0-0</f>
        <v>768.12297100000001</v>
      </c>
      <c r="R30" s="3">
        <f>880.9+(427.5-511.8)+(0.449259+(0.218025-0.261018))+0-0-0</f>
        <v>797.00626599999987</v>
      </c>
      <c r="S30" s="3">
        <f>924.9+(357.9-504.9)+(-2.358495+(-0.912645--1.287495))+0-0-0</f>
        <v>775.91635499999995</v>
      </c>
      <c r="T30" s="3">
        <f>890+(377.5-502.1)+(-0.4539+(-0.192525--0.256071))+0-0-0</f>
        <v>765.00964599999998</v>
      </c>
      <c r="U30" s="3">
        <f>855.1+(439.2-537.6)+(0+(0-0))+0-0-0</f>
        <v>756.7</v>
      </c>
      <c r="V30" s="3">
        <f>852.8+(423.7-513.7)+(-1.739712+(-0.864348--1.047948))+0-0-0</f>
        <v>761.24388799999997</v>
      </c>
      <c r="W30" s="3">
        <f>852.8+(412-512.5)+(0+(0-0))+0-0-0</f>
        <v>752.3</v>
      </c>
      <c r="X30" s="3">
        <f>852.7+(408.7-516.2)+(-2.174385+(-1.042185--1.31631))+0-0-0</f>
        <v>743.29974000000004</v>
      </c>
      <c r="Y30" s="3">
        <f>987.5+(394.9-583.2)+(-0.503625+(-0.201399--0.297432))+0-0-0</f>
        <v>798.79240799999991</v>
      </c>
      <c r="Z30" s="3">
        <f>1136.4+(354.5-571.3)+(-1.159128+(-0.36159--0.582726))+0-0-0</f>
        <v>918.66200800000013</v>
      </c>
      <c r="AA30" s="3">
        <f>1137.9+(375-589.1)+(-1.160658+(-0.3825--0.600882))+0-0-0</f>
        <v>922.85772400000008</v>
      </c>
      <c r="AB30" s="3">
        <f>1083.2+(422.6-598.7)+(-2.76216+(-1.07763--1.526685))+0-0-0</f>
        <v>904.78689500000007</v>
      </c>
      <c r="AC30" s="3">
        <f>1009.2+(472.8-619.3)+(0+(0-0))+0-0-0</f>
        <v>862.7</v>
      </c>
      <c r="AD30">
        <v>908.39999999999986</v>
      </c>
      <c r="AE30" s="3">
        <f>1127+(389.1-607.7)+(0+(0-0))+0-0-0</f>
        <v>908.4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911.3+(528.8-621.7)+(-0.464763+(-0.269688--0.317067))+0-0-0</f>
        <v>817.98261599999989</v>
      </c>
      <c r="G31" s="3">
        <f>909.3+(504.1-635.2)+(-2.318715+(-1.285455--1.61976))+0-0-0</f>
        <v>776.21558999999991</v>
      </c>
      <c r="H31" s="3">
        <f>874.5+(492.8-620.4)+(-0.445995+(-0.251328--0.316404))+0-0-0</f>
        <v>746.51908100000014</v>
      </c>
      <c r="I31" s="3">
        <f>853+(458.6-580)+(-0.43503+(-0.233886--0.2958))+0-0-0</f>
        <v>731.22688400000004</v>
      </c>
      <c r="J31" s="3">
        <f>852.5+(355.8-508.4)+(-0.86955+(-0.362916--0.518568))+0-0-0</f>
        <v>699.18610200000012</v>
      </c>
      <c r="K31" s="3">
        <f>853.9+(320.6-486.4)+(0+(0-0))+0-0-0</f>
        <v>688.1</v>
      </c>
      <c r="L31" s="3">
        <f>853.8+(274.1-441.7)+(-2.17719+(-0.698955--1.126335))+0-0-0</f>
        <v>684.45019000000002</v>
      </c>
      <c r="M31" s="3">
        <f>854.3+(310.2-479)+(-0.871386+(-0.316404--0.48858))+0-0-0</f>
        <v>684.80079000000001</v>
      </c>
      <c r="N31" s="3">
        <f>911.6+(321.4-487.2)+(0.929832+(0.327828-0.496944))+0-0-0</f>
        <v>746.56071599999996</v>
      </c>
      <c r="O31" s="3">
        <f>933.4+(367.5-489.2)+(-0.952068+(-0.37485--0.498984))+0-0-0</f>
        <v>810.87206600000002</v>
      </c>
      <c r="P31" s="3">
        <f>929.5+(385.3-467.4)+(-0.474045+(-0.196503--0.238374))+0-0-0</f>
        <v>846.96782600000006</v>
      </c>
      <c r="Q31" s="3">
        <f>833.5+(489.6-527.1)+(-0.425085+(-0.249696--0.268821))+0-0-0</f>
        <v>795.59403999999995</v>
      </c>
      <c r="R31" s="3">
        <f>619.9+(682.1-550.5)+(-0.948447+(-1.043613--0.842265))+0-0-0</f>
        <v>750.35020499999996</v>
      </c>
      <c r="S31" s="3">
        <f>626.9+(627.7-527.8)+(0+(0-0))+0-0-0</f>
        <v>726.80000000000007</v>
      </c>
      <c r="T31" s="3">
        <f>586.5+(662.2-530.1)+(0+(0-0))+0-0-0</f>
        <v>718.6</v>
      </c>
      <c r="U31" s="3">
        <f>513+(752.8-537.3)+(-0.52326+(-0.767856--0.548046))+0-0-0</f>
        <v>727.75693000000001</v>
      </c>
      <c r="V31" s="3">
        <f>446.9+(835.6-558.1)+(0+(0-0))+0-0-0</f>
        <v>724.4</v>
      </c>
      <c r="W31" s="3">
        <f>463.7+(819.7-554.9)+(-1.418922+(-2.508282--1.697994))+0-0-0</f>
        <v>726.27079000000003</v>
      </c>
      <c r="X31" s="3">
        <f>474+(802.8-556.4)+(-1.93392+(-3.275424--2.270112))+0-0-0</f>
        <v>717.46076800000003</v>
      </c>
      <c r="Y31" s="3">
        <f>691+(632.7-564)+(-1.40964+(-1.290708--1.15056))+0-0-0</f>
        <v>758.15021200000001</v>
      </c>
      <c r="Z31" s="3">
        <f>1033+(362.1-544)+(-3.68781+(-1.292697--1.94208))+0-0-0</f>
        <v>848.06157300000007</v>
      </c>
      <c r="AA31" s="3">
        <f>1192+(162.7-485.4)+(-1.21584+(-0.165954--0.495108))+0-0-0</f>
        <v>868.4133139999999</v>
      </c>
      <c r="AB31" s="3">
        <f>1047+(194.2-399.1)+(-2.66985+(-0.49521--1.017705))+0-0-0</f>
        <v>839.95264499999996</v>
      </c>
      <c r="AC31" s="3">
        <f>967+(144.1-342.2)+(0+(0-0))+0-0-0</f>
        <v>768.9</v>
      </c>
      <c r="AD31">
        <v>848.7</v>
      </c>
      <c r="AE31" s="3">
        <f>1010+(463.5-624.8)+(0+(0-0))+0-0-0</f>
        <v>848.7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833.3+(245.7-449.8)+(0+(0-0))+3.4-0-0</f>
        <v>632.59999999999991</v>
      </c>
      <c r="G32" s="3">
        <f>795.1+(319.1-488.2)+(0.811002+(0.325482-0.497964))+0.4-0-0</f>
        <v>627.03851999999995</v>
      </c>
      <c r="H32" s="3">
        <f>797.2+(311.2-520.7)+(-0.813144+(-0.317424--0.531114))+0-0-0</f>
        <v>587.10054600000001</v>
      </c>
      <c r="I32" s="3">
        <f>796.4+(298.1-506.4)+(-1.624656+(-0.608124--1.033056))+0-0-0</f>
        <v>586.90027600000008</v>
      </c>
      <c r="J32" s="3">
        <f>799.9+(269.9-491.3)+(1.223847+(0.412947-0.751689))+0-0-0</f>
        <v>579.38510499999995</v>
      </c>
      <c r="K32" s="3">
        <f>798.2+(304.4-523.7)+(0.407082+(0.155244-0.267087))+0-0-0</f>
        <v>579.19523900000002</v>
      </c>
      <c r="L32" s="3">
        <f>798.5+(327.3-517.7)+(-0.81447+(-0.333846--0.528054))+0-0-0</f>
        <v>607.47973799999988</v>
      </c>
      <c r="M32" s="3">
        <f>801.1+(325-517.6)+(0.817122+(0.3315-0.527952))+0-0-0</f>
        <v>609.12067000000002</v>
      </c>
      <c r="N32" s="3">
        <f>798.8+(357.1-508)+(0.407388+(0.182121-0.25908))+0-0-0</f>
        <v>648.23042899999996</v>
      </c>
      <c r="O32" s="3">
        <f>768+(454.8-534.4)+(0.78336+(0.463896-0.545088))+0-0-0</f>
        <v>689.10216800000012</v>
      </c>
      <c r="P32" s="3">
        <f>787.6+(452.1-520)+(0+(0-0))+0-0-0</f>
        <v>719.7</v>
      </c>
      <c r="Q32" s="3">
        <f>802.4+(465.3-543.6)+(1.636896+(0.949212-1.108944))+0-0-0</f>
        <v>725.57716399999993</v>
      </c>
      <c r="R32" s="3">
        <f>799.6+(455.1-542.4)+(0+(0-0))+0-0-0</f>
        <v>712.30000000000007</v>
      </c>
      <c r="S32" s="3">
        <f>801.4+(441.4-536.8)+(-0.817428+(-0.450228--0.547536))+0-0-0</f>
        <v>705.27988000000005</v>
      </c>
      <c r="T32" s="3">
        <f>827.7+(396.8-509.6)+(1.266381+(0.607104-0.779688))+0-0-0</f>
        <v>715.99379700000009</v>
      </c>
      <c r="U32" s="3">
        <f>866+(393.5-541)+(-2.2083+(-1.003425--1.37955))+0-0-0</f>
        <v>716.66782499999999</v>
      </c>
      <c r="V32" s="3">
        <f>852.4+(340.7-437.1)+(0+(0-0))+0-0-0</f>
        <v>756</v>
      </c>
      <c r="W32" s="3">
        <f>797.5+(480.2-549)+(-2.847075+(-1.714314--1.95993))+0-0-0</f>
        <v>726.09854100000007</v>
      </c>
      <c r="X32" s="3">
        <f>852.8+(467-577.8)+(-1.739712+(-0.95268--1.178712))+0-0-0</f>
        <v>740.48631999999998</v>
      </c>
      <c r="Y32" s="3">
        <f>877.7+(421.9-525.9)+(-0.895254+(-0.430338--0.536418))+0-0-0</f>
        <v>772.91082600000004</v>
      </c>
      <c r="Z32" s="3">
        <f>940.7+(452.3-549.7)+(-2.398785+(-1.153365--1.401735))+0-0-0</f>
        <v>841.149585</v>
      </c>
      <c r="AA32" s="3">
        <f>940.2+(428.1-516.2)+(-3.356514+(-1.528317--1.842834))+0-0-0</f>
        <v>849.05800299999999</v>
      </c>
      <c r="AB32" s="3">
        <f>936.3+(373.4-488.8)+(-1.910052+(-0.761736--0.997152))+0-0-0</f>
        <v>819.2253639999999</v>
      </c>
      <c r="AC32" s="3">
        <f>935+(390.2-542.3)+(-0.9537+(-0.398004--0.553146))+0-0-0</f>
        <v>782.10144200000013</v>
      </c>
      <c r="AD32">
        <v>854</v>
      </c>
      <c r="AE32" s="3">
        <f>943+(450-539)+(0+(0-0))+0-0-0</f>
        <v>854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933.3+(382.8-638.7)+(-2.379915+(-0.97614--1.628685))+0-0-0</f>
        <v>675.67262999999991</v>
      </c>
      <c r="G33" s="3">
        <f>933.9+(419.9-729.1)+(-2.381445+(-1.070745--1.859205))+0-0-0</f>
        <v>623.10701499999993</v>
      </c>
      <c r="H33" s="3">
        <f>920.6+(444.5-758.2)+(-1.408518+(-0.680085--1.160046))+0-0-0</f>
        <v>605.97144300000002</v>
      </c>
      <c r="I33" s="3">
        <f>864.9+(444.4-708.8)+(-0.441099+(-0.226644--0.361488))+0-0-0</f>
        <v>600.19374500000004</v>
      </c>
      <c r="J33" s="3">
        <f>863.7+(425-692.5)+(-0.880974+(-0.4335--0.70635))+0-0-0</f>
        <v>595.59187600000007</v>
      </c>
      <c r="K33" s="3">
        <f>843.3+(438.7-682.4)+(-0.860166+(-0.447474--0.696048))+0-0-0</f>
        <v>598.98840799999994</v>
      </c>
      <c r="L33" s="3">
        <f>808.1+(485.6-645.7)+(-2.060655+(-1.23828--1.646535))+0-0-0</f>
        <v>646.34760000000006</v>
      </c>
      <c r="M33" s="3">
        <f>814.1+(432.8-625.8)+(0+(0-0))+0-0-0</f>
        <v>621.10000000000014</v>
      </c>
      <c r="N33" s="3">
        <f>816.5+(290.4-488.6)+(-1.249245+(-0.444312--0.747558))+0-0-0</f>
        <v>617.35400099999993</v>
      </c>
      <c r="O33" s="3">
        <f>848.2+(297.9-512.4)+(-0.432582+(-0.151929--0.261324))+0-0-0</f>
        <v>633.37681300000008</v>
      </c>
      <c r="P33" s="3">
        <f>921.3+(284.5-523.4)+(-0.939726+(-0.29019--0.533868))+0-0-0</f>
        <v>681.70395199999996</v>
      </c>
      <c r="Q33" s="3">
        <f>952.4+(241.7-495.5)+(0+(0-0))+0-0-0</f>
        <v>698.59999999999991</v>
      </c>
      <c r="R33" s="3">
        <f>947.7+(237.6-505.8)+(-0.483327+(-0.121176--0.257958))+0-0-0</f>
        <v>679.15345500000001</v>
      </c>
      <c r="S33" s="3">
        <f>943.2+(262.5-544.9)+(-1.924128+(-0.5355--1.111596))+0-0-0</f>
        <v>659.45196800000008</v>
      </c>
      <c r="T33" s="3">
        <f>885.9+(261.9-484)+(-0.451809+(-0.133569--0.24684))+0-0-0</f>
        <v>663.46146199999998</v>
      </c>
      <c r="U33" s="3">
        <f>880.2+(243.8-484.9)+(-1.346706+(-0.373014--0.741897))+0-0-0</f>
        <v>638.12217700000019</v>
      </c>
      <c r="V33" s="3">
        <f>882.5+(265.8-469.7)+(-2.250375+(-0.67779--1.197735))+0-0-0</f>
        <v>676.86957000000007</v>
      </c>
      <c r="W33" s="3">
        <f>882.4+(262.1-460.1)+(-1.350072+(-0.401013--0.703953))+0-0-0</f>
        <v>683.35286799999994</v>
      </c>
      <c r="X33" s="3">
        <f>876.5+(246.7-470.3)+(-1.78806+(-0.503268--0.959412))+0-0-0</f>
        <v>651.568084</v>
      </c>
      <c r="Y33" s="3">
        <f>876.9+(324.2-493.9)+(0+(0-0))+0-0-0</f>
        <v>707.2</v>
      </c>
      <c r="Z33" s="3">
        <f>912.6+(443.4-544.8)+(-1.861704+(-0.904536--1.111392))+0-0-0</f>
        <v>809.54515200000003</v>
      </c>
      <c r="AA33" s="3">
        <f>912.8+(455.6-547.1)+(0+(0-0))+0-0-0</f>
        <v>821.3</v>
      </c>
      <c r="AB33" s="3">
        <f>900+(438.7-541.3)+(-0.459+(-0.223737--0.276063))+0-0-0</f>
        <v>796.99332600000014</v>
      </c>
      <c r="AC33" s="3">
        <f>903.1+(389.5-533.9)+(-2.302905+(-0.993225--1.361445))+50-0-0</f>
        <v>806.7653150000001</v>
      </c>
      <c r="AD33">
        <v>798.60000000000014</v>
      </c>
      <c r="AE33" s="3">
        <f>943+(419.9-564.3)+(0+(0-0))+0-0-0</f>
        <v>798.6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842.5+(392.4-557.2)+(-0.429675+(-0.200124--0.284172))+50-0-0</f>
        <v>727.3543729999999</v>
      </c>
      <c r="G34" s="3">
        <f>693.5+(429.6-534.4)+(-1.061055+(-0.657288--0.817632))+45.8-0-0</f>
        <v>633.599289</v>
      </c>
      <c r="H34" s="3">
        <f>580.4+(449.1-483.4)+(-0.296004+(-0.229041--0.246534))+0-0-0</f>
        <v>545.82148900000004</v>
      </c>
      <c r="I34" s="3">
        <f>573.1+(434.2-476.7)+(-0.584562+(-0.442884--0.486234))+0-0-0</f>
        <v>530.05878800000005</v>
      </c>
      <c r="J34" s="3">
        <f>571.1+(425.9-477.1)+(-0.873783+(-0.651627--0.729963))+0-0-0</f>
        <v>519.10455300000001</v>
      </c>
      <c r="K34" s="3">
        <f>571.7+(425.5-486.4)+(-0.291567+(-0.217005--0.248064))+0-0-0</f>
        <v>510.53949200000005</v>
      </c>
      <c r="L34" s="3">
        <f>569.8+(430.1-497.9)+(-0.871794+(-0.658053--0.761787))+0-0-0</f>
        <v>501.23194000000001</v>
      </c>
      <c r="M34" s="3">
        <f>681.4+(379.9-516.2)+(1.042542+(0.581247-0.789786))+0-0-0</f>
        <v>545.93400299999996</v>
      </c>
      <c r="N34" s="3">
        <f>913.5+(254.6-534.9)+(0.465885+(0.129846-0.272799))+0-0-0</f>
        <v>633.52293200000008</v>
      </c>
      <c r="O34" s="3">
        <f>893.2+(317.7-533.5)+(0+(0-0))+0-0-0</f>
        <v>677.40000000000009</v>
      </c>
      <c r="P34" s="3">
        <f>841.8+(408.8-526.9)+(-0.429318+(-0.208488--0.268719))+0-0-0</f>
        <v>723.33091300000001</v>
      </c>
      <c r="Q34" s="3">
        <f>893.4+(376.6-535.2)+(0.455634+(0.192066-0.272952))+0-0-0</f>
        <v>735.17474799999991</v>
      </c>
      <c r="R34" s="3">
        <f>950.7+(333.2-560.7)+(-0.484857+(-0.169932--0.285957))+0-0-0</f>
        <v>722.83116800000005</v>
      </c>
      <c r="S34" s="3">
        <f>950.1+(362.6-586.8)+(0+(0-0))+0-0-0</f>
        <v>725.90000000000009</v>
      </c>
      <c r="T34" s="3">
        <f>949+(360.4-591.2)+(0+(0-0))+0-0-0</f>
        <v>718.19999999999993</v>
      </c>
      <c r="U34" s="3">
        <f>939.9+(355.2-566.8)+(-1.917396+(-0.724608--1.156272))+0-0-0</f>
        <v>726.81426799999997</v>
      </c>
      <c r="V34" s="3">
        <f>866.6+(398.1-535.2)+(-1.767864+(-0.812124--1.091808))+0-0-0</f>
        <v>728.01181999999994</v>
      </c>
      <c r="W34" s="3">
        <f>866.3+(427.7-569.9)+(-1.767252+(-0.872508--1.162596))+0-0-0</f>
        <v>722.62283599999989</v>
      </c>
      <c r="X34" s="3">
        <f>814.5+(479.6-562.2)+(-1.246185+(-0.733788--0.860166))+0-0-0</f>
        <v>730.78019299999994</v>
      </c>
      <c r="Y34" s="3">
        <f>812.4+(615-650.2)+(0+(0-0))+0-0-0</f>
        <v>777.19999999999993</v>
      </c>
      <c r="Z34" s="3">
        <f>864.3+(541.8-555.6)+(-2.203965+(-1.38159--1.41678))+0-0-0</f>
        <v>848.3312249999999</v>
      </c>
      <c r="AA34" s="3">
        <f>869.2+(548.8-554.4)+(-2.21646+(-1.39944--1.41372))+0-0-0</f>
        <v>861.39782000000002</v>
      </c>
      <c r="AB34" s="3">
        <f>870.9+(582.5-610.5)+(-0.888318+(-0.59415--0.62271))+0-0-0</f>
        <v>842.04024199999992</v>
      </c>
      <c r="AC34" s="3">
        <f>870.1+(662.3-704.7)+(-0.887502+(-0.675546--0.718794))+0-0-0</f>
        <v>826.85574599999995</v>
      </c>
      <c r="AD34">
        <v>856.1</v>
      </c>
      <c r="AE34" s="3">
        <f>870+(558.5-572.4)+(0+(0-0))+0-0-0</f>
        <v>856.1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870+(675.4-776.3)+(-0.8874+(-0.688908--0.791826))+0-0-0</f>
        <v>768.315518</v>
      </c>
      <c r="G35" s="3">
        <f>868.5+(579.7-749.7)+(-0.88587+(-0.591294--0.764694))+0-0-0</f>
        <v>697.78752999999995</v>
      </c>
      <c r="H35" s="3">
        <f>794.6+(564.8-709)+(-0.810492+(-0.576096--0.72318))+0-0-0</f>
        <v>649.73659199999997</v>
      </c>
      <c r="I35" s="3">
        <f>776.3+(574.2-706.5)+(-1.187739+(-0.878526--1.080945))+0-0-0</f>
        <v>643.01468</v>
      </c>
      <c r="J35" s="3">
        <f>775.8+(573.2-698.3)+(-1.97829+(-1.46166--1.780665))+0-0-0</f>
        <v>649.04071500000009</v>
      </c>
      <c r="K35" s="3">
        <f>776.1+(573.6-702.7)+(-1.979055+(-1.46268--1.791885))+0-0-0</f>
        <v>645.35014999999999</v>
      </c>
      <c r="L35" s="3">
        <f>727.3+(554.2-651.3)+(-2.225538+(-1.695852--1.992978))+0-0-0</f>
        <v>628.27158800000007</v>
      </c>
      <c r="M35" s="3">
        <f>747.5+(388.9-533.9)+(0+(0-0))+0-0-0</f>
        <v>602.5</v>
      </c>
      <c r="N35" s="3">
        <f>840.8+(346.7-532.2)+(0+(0-0))+0-0-0</f>
        <v>655.29999999999995</v>
      </c>
      <c r="O35" s="3">
        <f>876.4+(254-391.2)+(0+(0-0))+0-0-0</f>
        <v>739.2</v>
      </c>
      <c r="P35" s="3">
        <f>867.7+(177.7-274.2)+(0+(0-0))+0-0-0</f>
        <v>771.2</v>
      </c>
      <c r="Q35" s="3">
        <f>871.9+(183.5-274.6)+(-1.334007+(-0.280755--0.420138))+0-0-0</f>
        <v>779.60537599999998</v>
      </c>
      <c r="R35" s="3">
        <f>870.5+(177.7-347.3)+(-2.219775+(-0.453135--0.885615))+0-0-0</f>
        <v>699.11270500000001</v>
      </c>
      <c r="S35" s="3">
        <f>871.3+(208.4-388.2)+(0.444363+(0.106284-0.197982))+0-0-0</f>
        <v>691.852665</v>
      </c>
      <c r="T35" s="3">
        <f>870.9+(208-394.6)+(-1.332477+(-0.31824--0.603738))+0-0-0</f>
        <v>683.25302099999999</v>
      </c>
      <c r="U35" s="3">
        <f>870.2+(203.4-393.2)+(-1.775208+(-0.414936--0.802128))+0-0-0</f>
        <v>679.0119840000001</v>
      </c>
      <c r="V35" s="3">
        <f>866.8+(212.6-383.2)+(-2.21034+(-0.54213--0.97716))+0-0-0</f>
        <v>694.42468999999994</v>
      </c>
      <c r="W35" s="3">
        <f>862.6+(190.5-359.6)+(-1.759704+(-0.38862--0.733584))+0-0-0</f>
        <v>692.08525999999995</v>
      </c>
      <c r="X35" s="3">
        <f>867.1+(145.3-376.3)+(-1.768884+(-0.296412--0.767652))+0-0-0</f>
        <v>634.80235600000003</v>
      </c>
      <c r="Y35" s="3">
        <f>859.9+(295.2-579)+(-1.754196+(-0.602208--1.18116))+0-0-0</f>
        <v>574.92475599999989</v>
      </c>
      <c r="Z35" s="3">
        <f>871+(524-557)+(-1.33263+(-0.80172--0.85221))+0-0-0</f>
        <v>836.71785999999997</v>
      </c>
      <c r="AA35" s="3">
        <f>870.6+(554.1-578.8)+(-2.22003+(-1.412955--1.47594))+0-0-0</f>
        <v>843.74295500000005</v>
      </c>
      <c r="AB35" s="3">
        <f>869+(517.9-586.7)+(-3.10233+(-1.848903--2.094519))+0-0-0</f>
        <v>797.34328599999992</v>
      </c>
      <c r="AC35" s="3">
        <f>812.1+(481.7-601.2)+(-0.828342+(-0.491334--0.613224))+0-0-0</f>
        <v>691.8935479999999</v>
      </c>
      <c r="AD35">
        <v>866.6</v>
      </c>
      <c r="AE35" s="3">
        <f>860+(555-548.4)+(0+(0-0))+0-0-0</f>
        <v>866.6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780.6+(531.1-599.8)+(-0.398106+(-0.270861--0.305898))+0-0-0</f>
        <v>711.5369310000001</v>
      </c>
      <c r="G36" s="3">
        <f>727.9+(535.8-580.6)+(-1.113687+(-0.819774--0.888318))+0-0-0</f>
        <v>682.05485699999986</v>
      </c>
      <c r="H36" s="3">
        <f>717.3+(521.9-626.2)+(-1.463292+(-1.064676--1.277448))+0-0-0</f>
        <v>611.74947999999983</v>
      </c>
      <c r="I36" s="3">
        <f>638.5+(546.6-582.9)+(0.976905+(0.836298-0.891837))+0-0-0</f>
        <v>603.12136600000008</v>
      </c>
      <c r="J36" s="3">
        <f>641.4+(533.4-561.7)+(-0.654228+(-0.544068--0.572934))+0-0-0</f>
        <v>612.47463799999991</v>
      </c>
      <c r="K36" s="3">
        <f>588.5+(508-513.6)+(-0.900405+(-0.77724--0.785808))+0-0-0</f>
        <v>582.00816299999997</v>
      </c>
      <c r="L36" s="3">
        <f>572.9+(511.2-509.4)+(-0.876537+(-0.782136--0.779382))+0-0-0</f>
        <v>573.82070900000008</v>
      </c>
      <c r="M36" s="3">
        <f>576.6+(531.9-507.1)+(-0.294066+(-0.271269--0.258621))+0-0-0</f>
        <v>601.09328599999992</v>
      </c>
      <c r="N36" s="3">
        <f>744.8+(352.4-402.1)+(-0.379848+(-0.179724--0.205071))+0-0-0</f>
        <v>694.74549899999988</v>
      </c>
      <c r="O36" s="3">
        <f>741.5+(195.9-208.4)+(-0.75633+(-0.199818--0.212568))+0-0-0</f>
        <v>728.25642000000005</v>
      </c>
      <c r="P36" s="3">
        <f>734.4+(249.5-256)+(-0.749088+(-0.25449--0.26112))+0-0-0</f>
        <v>727.15754199999992</v>
      </c>
      <c r="Q36" s="3">
        <f>800.6+(256.5-246.7)+(-1.224918+(-0.392445--0.377451))+0-0-0</f>
        <v>809.16008800000009</v>
      </c>
      <c r="R36" s="3">
        <f>795.7+(245.2-328.1)+(-2.029035+(-0.62526--0.836655))+0-0-0</f>
        <v>710.98235999999997</v>
      </c>
      <c r="S36" s="3">
        <f>800+(272.1-388.6)+(-0.816+(-0.277542--0.396372))+0-0-0</f>
        <v>682.80282999999997</v>
      </c>
      <c r="T36" s="3">
        <f>806.3+(293.1-415.8)+(-0.822426+(-0.298962--0.424116))+0-0-0</f>
        <v>682.90272799999991</v>
      </c>
      <c r="U36" s="3">
        <f>808.6+(306.4-430.9)+(-1.649544+(-0.625056--0.879036))+0-0-0</f>
        <v>682.70443599999999</v>
      </c>
      <c r="V36" s="3">
        <f>811.1+(285.5-409.6)+(-1.240983+(-0.436815--0.626688))+0-0-0</f>
        <v>685.94889000000001</v>
      </c>
      <c r="W36" s="3">
        <f>795.1+(240.6-345.4)+(-0.811002+(-0.245412--0.352308))+0-0-0</f>
        <v>689.59589400000004</v>
      </c>
      <c r="X36" s="3">
        <f>756.7+(242.6-389.3)+(-1.543668+(-0.494904--0.794172))+0-0-0</f>
        <v>608.75559999999996</v>
      </c>
      <c r="Y36" s="3">
        <f>760.1+(278.9-454.7)+(-0.775302+(-0.284478--0.463794))+0-0-0</f>
        <v>583.70401399999992</v>
      </c>
      <c r="Z36" s="3">
        <f>820+(448-584.9)+(-0.8364+(-0.45696--0.596598))+0-0-0</f>
        <v>682.40323799999999</v>
      </c>
      <c r="AA36" s="3">
        <f>819.9+(563.1-579.8)+(-2.090745+(-1.435905--1.47849))+0-0-0</f>
        <v>801.15183999999999</v>
      </c>
      <c r="AB36" s="3">
        <f>820.4+(545.6-553.6)+(-1.255212+(-0.834768--0.847008))+0-0-0</f>
        <v>811.15702799999997</v>
      </c>
      <c r="AC36" s="3">
        <f>822.1+(453.2-569.2)+(-0.419271+(-0.231132--0.290292))+0-0-0</f>
        <v>705.73988899999995</v>
      </c>
      <c r="AD36">
        <v>875.19999999999993</v>
      </c>
      <c r="AE36" s="3">
        <f>820+(585.8-530.6)+(0+(0-0))+0-0-0</f>
        <v>875.19999999999993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818.5+(400.6-523.3)+(-0.83487+(-0.408612--0.533766))+0-0-0</f>
        <v>695.09028400000011</v>
      </c>
      <c r="G37" s="3">
        <f>807.5+(407-584)+(-1.6473+(-0.83028--1.19136))+0-0-0</f>
        <v>629.21378000000004</v>
      </c>
      <c r="H37" s="3">
        <f>722.8+(421.6-515.6)+(0+(0-0))+0-0-0</f>
        <v>628.79999999999995</v>
      </c>
      <c r="I37" s="3">
        <f>725.6+(443.7-548.4)+(-1.480224+(-0.905148--1.118736))+0-0-0</f>
        <v>619.63336400000014</v>
      </c>
      <c r="J37" s="3">
        <f>726.8+(459.3-598.6)+(0.370668+(0.234243-0.305286))+0-0-0</f>
        <v>587.79962499999999</v>
      </c>
      <c r="K37" s="3">
        <f>728.5+(440.1-626.4)+(0+(0-0))+0-0-0</f>
        <v>542.20000000000005</v>
      </c>
      <c r="L37" s="3">
        <f>727.3+(402.7-588.3)+(-1.112769+(-0.616131--0.900099))+0-0-0</f>
        <v>540.87119900000005</v>
      </c>
      <c r="M37" s="3">
        <f>749.4+(368.8-534.7)+(0+(0-0))+0-0-0</f>
        <v>583.5</v>
      </c>
      <c r="N37" s="3">
        <f>820.5+(355.9-462.9)+(-0.83691+(-0.363018--0.472158))+0-0-0</f>
        <v>712.77223000000004</v>
      </c>
      <c r="O37" s="3">
        <f>822.1+(398.5-566.7)+(0.838542+(0.40647-0.578034))+0-0-0</f>
        <v>654.56697799999995</v>
      </c>
      <c r="P37" s="3">
        <f>820.3+(406.3-543)+(-0.836706+(-0.414426--0.55386))+0-0-0</f>
        <v>682.90272799999991</v>
      </c>
      <c r="Q37" s="3">
        <f>821.5+(394.4-545.4)+(-0.418965+(-0.201144--0.278154))+0-0-0</f>
        <v>670.15804500000002</v>
      </c>
      <c r="R37" s="3">
        <f>815.8+(407.9-504)+(-0.416058+(-0.208029--0.25704))+0-0-0</f>
        <v>719.33295299999997</v>
      </c>
      <c r="S37" s="3">
        <f>812.5+(387.6-511.1)+(-0.414375+(-0.197676--0.260661))+0-0-0</f>
        <v>688.64860999999996</v>
      </c>
      <c r="T37" s="3">
        <f>819.2+(402.8-525.7)+(0.835584+(0.410856-0.536214))+0-0-0</f>
        <v>697.01022599999999</v>
      </c>
      <c r="U37" s="3">
        <f>818.9+(384.5-531.8)+(0.835278+(0.39219-0.542436))+0-0-0</f>
        <v>672.285032</v>
      </c>
      <c r="V37" s="3">
        <f>815.5+(386.8-522)+(-1.66362+(-0.789072--1.06488))+0-0-0</f>
        <v>678.9121879999999</v>
      </c>
      <c r="W37" s="3">
        <f>815.5+(381.7-514.9)+(-1.247715+(-0.584001--0.787797))+0-0-0</f>
        <v>681.25608099999999</v>
      </c>
      <c r="X37" s="3">
        <f>804.7+(377-499.7)+(-2.051985+(-0.96135--1.274235))+0-0-0</f>
        <v>680.26089999999999</v>
      </c>
      <c r="Y37" s="3">
        <f>769.4+(450.7-502.9)+(-0.392394+(-0.229857--0.256479))+0-0-0</f>
        <v>716.83422800000005</v>
      </c>
      <c r="Z37" s="3">
        <f>823.4+(539.6-534.1)+(-0.419934+(-0.275196--0.272391))+0-0-0</f>
        <v>828.477261</v>
      </c>
      <c r="AA37" s="3">
        <f>821.5+(578.4-533.4)+(-2.094825+(-1.47492--1.36017))+0-0-0</f>
        <v>864.29042500000003</v>
      </c>
      <c r="AB37" s="3">
        <f>822.2+(512.1-504)+(-0.838644+(-0.522342--0.51408))+0-0-0</f>
        <v>829.45309400000008</v>
      </c>
      <c r="AC37" s="3">
        <f>823+(447.4-491.9)+(-1.67892+(-0.912696--1.003476))+0-0-0</f>
        <v>776.91186000000005</v>
      </c>
      <c r="AD37">
        <v>841.60000000000014</v>
      </c>
      <c r="AE37" s="3">
        <f>821+(577.4-556.8)+(0+(0-0))+0-0-0</f>
        <v>841.6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819.9+(425.4-615.6)+(-0.836298+(-0.433908--0.627912))+0-0-0</f>
        <v>629.05770599999994</v>
      </c>
      <c r="G38" s="3">
        <f>818.1+(416.7-640)+(-2.086155+(-1.062585--1.632))+0-0-0</f>
        <v>593.28325999999993</v>
      </c>
      <c r="H38" s="3">
        <f>820.4+(457.5-723.8)+(-1.255212+(-0.699975--1.107414))+0-0-0</f>
        <v>553.25222700000006</v>
      </c>
      <c r="I38" s="3">
        <f>785.4+(479.2-689.1)+(-0.801108+(-0.488784--0.702882))+0-0-0</f>
        <v>574.91299000000004</v>
      </c>
      <c r="J38" s="3">
        <f>546.3+(553.4-540.3)+(-0.278613+(-0.282234--0.275553))+0-0-0</f>
        <v>559.11470599999996</v>
      </c>
      <c r="K38" s="3">
        <f>504.6+(575.5-534)+(-0.514692+(-0.58701--0.54468))+0-0-0</f>
        <v>545.54297800000006</v>
      </c>
      <c r="L38" s="3">
        <f>502.1+(575.1-531.9)+(-1.280355+(-1.466505--1.356345))+0-0-0</f>
        <v>543.90948500000002</v>
      </c>
      <c r="M38" s="3">
        <f>566.5+(545.6-553.2)+(-0.288915+(-0.278256--0.282132))+0-0-0</f>
        <v>558.61496099999999</v>
      </c>
      <c r="N38" s="3">
        <f>687.7+(455.8-538)+(-1.052181+(-0.697374--0.82314))+0-0-0</f>
        <v>604.57358499999998</v>
      </c>
      <c r="O38" s="3">
        <f>801.3+(264.4-393.4)+(-0.408663+(-0.134844--0.200634))+0-0-0</f>
        <v>671.9571269999999</v>
      </c>
      <c r="P38" s="3">
        <f>793.4+(188.6-301.8)+(-0.404634+(-0.096186--0.153918))+0-0-0</f>
        <v>679.85309799999993</v>
      </c>
      <c r="Q38" s="3">
        <f>814.6+(168-285.9)+(-2.07723+(-0.4284--0.729045))+0-0-0</f>
        <v>694.92341500000009</v>
      </c>
      <c r="R38" s="3">
        <f>816.4+(211.1-397.1)+(-0.832728+(-0.215322--0.405042))+0-0-0</f>
        <v>629.75699199999997</v>
      </c>
      <c r="S38" s="3">
        <f>816.7+(338.5-499.8)+(-0.416517+(-0.172635--0.254898))+0-0-0</f>
        <v>655.0657460000001</v>
      </c>
      <c r="T38" s="3">
        <f>816.9+(370.4-510.1)+(-0.416619+(-0.188904--0.260151))+0-0-0</f>
        <v>676.85462799999993</v>
      </c>
      <c r="U38" s="3">
        <f>816.3+(380.8-519.1)+(-2.081565+(-0.97104--1.323705))+0-0-0</f>
        <v>676.27110000000005</v>
      </c>
      <c r="V38" s="3">
        <f>768.6+(460.2-548.5)+(-0.391986+(-0.234702--0.279735))+0-0-0</f>
        <v>679.95304699999997</v>
      </c>
      <c r="W38" s="3">
        <f>754.1+(451.8-527.3)+(-1.922955+(-1.15209--1.344615))+0-0-0</f>
        <v>676.86957000000018</v>
      </c>
      <c r="X38" s="3">
        <f>752.2+(430.1-526.6)+(-1.150866+(-0.658053--0.805698))+0-0-0</f>
        <v>654.69677899999999</v>
      </c>
      <c r="Y38" s="3">
        <f>753.8+(470.6-545.6)+(-1.537752+(-0.960024--1.113024))+0-0-0</f>
        <v>677.41524799999991</v>
      </c>
      <c r="Z38" s="3">
        <f>753.8+(595.3-513.3)+(-0.768876+(-0.607206--0.523566))+0-0-0</f>
        <v>834.94748399999992</v>
      </c>
      <c r="AA38" s="3">
        <f>757.9+(604.1-516.1)+(-1.546116+(-1.232364--1.052844))+0-0-0</f>
        <v>844.17436399999997</v>
      </c>
      <c r="AB38" s="3">
        <f>756.8+(579.2-509.7)+(-1.92984+(-1.47696--1.299735))+0-0-0</f>
        <v>824.19293499999992</v>
      </c>
      <c r="AC38" s="3">
        <f>759.2+(527.7-540.6)+(-1.161576+(-0.807381--0.827118))+0-0-0</f>
        <v>745.15816100000006</v>
      </c>
      <c r="AD38">
        <v>864.00000000000011</v>
      </c>
      <c r="AE38" s="3">
        <f>755+(613.4-504.4)+(0+(0-0))+0-0-0</f>
        <v>864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758.9+(596.6-606.1)+(-1.548156+(-1.217064--1.236444))+0-0-0</f>
        <v>747.87122399999998</v>
      </c>
      <c r="G39" s="3">
        <f>758.2+(600.9-651.9)+(-2.706774+(-2.145213--2.327283))+0-0-0</f>
        <v>704.675296</v>
      </c>
      <c r="H39" s="3">
        <f>745.1+(610.2-677.4)+(-3.040008+(-2.489616--2.763792))+0-0-0</f>
        <v>675.13416800000005</v>
      </c>
      <c r="I39" s="3">
        <f>594.5+(532.6-529.9)+(0.303195+(0.271626-0.270249))+0-0-0</f>
        <v>597.50457200000005</v>
      </c>
      <c r="J39" s="3">
        <f>486.4+(549.4-473.8)+(-0.992256+(-1.120776--0.966552))+0-0-0</f>
        <v>560.85352</v>
      </c>
      <c r="K39" s="3">
        <f>485.8+(594.8-531.2)+(-0.495516+(-0.606696--0.541824))+0-0-0</f>
        <v>548.83961199999987</v>
      </c>
      <c r="L39" s="3">
        <f>466.9+(597.7-540.3)+(-0.476238+(-0.609654--0.551106))+0-0-0</f>
        <v>523.76521400000001</v>
      </c>
      <c r="M39" s="3">
        <f>427.7+(640.8-524.7)+(-0.218127+(-0.326808--0.267597))+0-0-0</f>
        <v>543.52266199999997</v>
      </c>
      <c r="N39" s="3">
        <f>428.5+(675.7-506.6)+(-0.43707+(-0.689214--0.516732))+0-0-0</f>
        <v>596.99044800000001</v>
      </c>
      <c r="O39" s="3">
        <f>483.8+(704.3-546.8)+(-0.246738+(-0.359193--0.278868))+0-0-0</f>
        <v>640.972937</v>
      </c>
      <c r="P39" s="3">
        <f>490.1+(475.8-271.2)+(-0.749853+(-0.727974--0.414936))+0-0-0</f>
        <v>693.63710900000001</v>
      </c>
      <c r="Q39" s="3">
        <f>494.3+(367.7-154.2)+(0+(0-0))+0-0-0</f>
        <v>707.8</v>
      </c>
      <c r="R39" s="3">
        <f>491.8+(437.3-255.4)+(-1.504908+(-1.338138--0.781524))+0-0-0</f>
        <v>671.63847800000008</v>
      </c>
      <c r="S39" s="3">
        <f>494.4+(631.7-490.9)+(0.252144+(0.322167-0.250359))+0-0-0</f>
        <v>635.52395200000001</v>
      </c>
      <c r="T39" s="3">
        <f>494.2+(681.1-539)+(0+(0-0))+0-0-0</f>
        <v>636.29999999999995</v>
      </c>
      <c r="U39" s="3">
        <f>491.1+(442.1-253.9)+(-0.751383+(-0.676413--0.388467))+0-0-0</f>
        <v>678.26067100000012</v>
      </c>
      <c r="V39" s="3">
        <f>532+(416.4-256.4)+(-0.81396+(-0.637092--0.392292))+0-0-0</f>
        <v>690.94123999999999</v>
      </c>
      <c r="W39" s="3">
        <f>526.9+(466.3-351)+(-0.806157+(-0.713439--0.53703))+0-0-0</f>
        <v>641.21743400000003</v>
      </c>
      <c r="X39" s="3">
        <f>531.8+(636-556.5)+(-1.627308+(-1.94616--1.70289))+0-0-0</f>
        <v>609.42942199999993</v>
      </c>
      <c r="Y39" s="3">
        <f>531.7+(451.5-319.7)+(-1.084668+(-0.92106--0.652188))+0-0-0</f>
        <v>662.14646000000005</v>
      </c>
      <c r="Z39" s="3">
        <f>533.4+(679.7-441.2)+(-1.088136+(-1.386588--0.900048))+0-0-0</f>
        <v>770.32532400000014</v>
      </c>
      <c r="AA39" s="3">
        <f>535.7+(819.8-567.8)+(-0.819621+(-1.254294--0.868734))+0-0-0</f>
        <v>786.49481900000001</v>
      </c>
      <c r="AB39" s="3">
        <f>536.6+(767.5-535.4)+(-1.094664+(-1.5657--1.092216))+0-0-0</f>
        <v>767.13185200000009</v>
      </c>
      <c r="AC39" s="3">
        <f>536.1+(739.9-568.6)+(-0.820233+(-1.132047--0.869958))+0-0-0</f>
        <v>706.317678</v>
      </c>
      <c r="AD39">
        <v>814.8</v>
      </c>
      <c r="AE39" s="3">
        <f>532+(797.3-514.5)+(0+(0-0))+0-0-0</f>
        <v>814.8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525.9+(682.5-562.4)+(-0.536418+(-0.69615--0.573648))+0-0-0</f>
        <v>645.34108000000003</v>
      </c>
      <c r="G40" s="3">
        <f>413.9+(710.7-537.3)+(-1.055445+(-1.812285--1.370115))+0-0-0</f>
        <v>585.80238500000007</v>
      </c>
      <c r="H40" s="3">
        <f>413+(682.3-531.5)+(-0.63189+(-1.043919--0.813195))+0-0-0</f>
        <v>562.93738599999995</v>
      </c>
      <c r="I40" s="3">
        <f>413.5+(664.4-526.8)+(-0.210885+(-0.338844--0.268668))+0-0-0</f>
        <v>550.818939</v>
      </c>
      <c r="J40" s="3">
        <f>416.9+(640.8-509)+(-1.275714+(-1.960848--1.55754))+0-0-0</f>
        <v>547.0209779999999</v>
      </c>
      <c r="K40" s="3">
        <f>417.3+(679-548.7)+(-0.851292+(-1.38516--1.119348))+0-0-0</f>
        <v>546.48289599999987</v>
      </c>
      <c r="L40" s="3">
        <f>417.2+(674.8-542.8)+(-0.638316+(-1.032444--0.830484))+0-0-0</f>
        <v>548.35972400000003</v>
      </c>
      <c r="M40" s="3">
        <f>420.3+(626.5-513.9)+(-0.214353+(-0.319515--0.262089))+0-0-0</f>
        <v>532.62822100000005</v>
      </c>
      <c r="N40" s="3">
        <f>419.1+(648.7-509.1)+(-0.427482+(-0.661674--0.519282))+0-0-0</f>
        <v>558.13012600000002</v>
      </c>
      <c r="O40" s="3">
        <f>418+(727-555.6)+(0+(0-0))+0-0-0</f>
        <v>589.4</v>
      </c>
      <c r="P40" s="3">
        <f>415.8+(642-427.4)+(-0.636174+(-0.98226--0.653922))+0-0-0</f>
        <v>629.43548800000008</v>
      </c>
      <c r="Q40" s="3">
        <f>414.7+(475.8-231.5)+(-0.634491+(-0.727974--0.354195))+0-0-0</f>
        <v>657.99172999999996</v>
      </c>
      <c r="R40" s="3">
        <f>411.7+(491.2-244.5)+(-0.419934+(-0.501024--0.24939))+0-0-0</f>
        <v>657.728432</v>
      </c>
      <c r="S40" s="3">
        <f>435.6+(592.2-402.5)+(-0.888624+(-1.208088--0.8211))+0-0-0</f>
        <v>624.02438800000004</v>
      </c>
      <c r="T40" s="3">
        <f>487.5+(707.8-556.2)+(-0.49725+(-0.721956--0.567324))+0-0-0</f>
        <v>638.44811799999991</v>
      </c>
      <c r="U40" s="3">
        <f>486.1+(727.9-577.7)+(-0.743733+(-1.113687--0.883881))+0-0-0</f>
        <v>635.32646099999999</v>
      </c>
      <c r="V40" s="3">
        <f>470.9+(699.8-542)+(-0.480318+(-0.713796--0.55284))+0-0-0</f>
        <v>628.05872599999998</v>
      </c>
      <c r="W40" s="3">
        <f>410.5+(733.8-530.8)+(-1.046775+(-1.87119--1.35354))+0-0-0</f>
        <v>611.93557499999997</v>
      </c>
      <c r="X40" s="3">
        <f>410.6+(732-538.9)+(-0.837624+(-1.49328--1.099356))+0-0-0</f>
        <v>602.46845200000007</v>
      </c>
      <c r="Y40" s="3">
        <f>414.4+(786.2-532)+(-0.634032+(-1.202886--0.81396))+0-0-0</f>
        <v>667.57704200000001</v>
      </c>
      <c r="Z40" s="3">
        <f>452.7+(863.7-552.9)+(-0.923508+(-1.761948--1.127916))+0-0-0</f>
        <v>761.94245999999998</v>
      </c>
      <c r="AA40" s="3">
        <f>418.1+(920.3-571.1)+(-0.426462+(-0.938706--0.582522))+0-0-0</f>
        <v>766.51735399999995</v>
      </c>
      <c r="AB40" s="3">
        <f>403.1+(930-587.6)+(-0.616743+(-1.4229--0.899028))+0-0-0</f>
        <v>744.35938499999997</v>
      </c>
      <c r="AC40" s="3">
        <f>371.5+(890.8-574.9)+(-0.189465+(-0.454308--0.293199))+0-0-0</f>
        <v>687.04942599999993</v>
      </c>
      <c r="AD40">
        <v>795.9</v>
      </c>
      <c r="AE40" s="3">
        <f>439+(887-530.1)+(0+(0-0))+0-0-0</f>
        <v>795.9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372.7+(820.8-527.5)+(-0.380154+(-0.837216--0.53805))+0-0-0</f>
        <v>665.32068000000004</v>
      </c>
      <c r="G41" s="3">
        <f>372.8+(796.5-560.7)+(-0.760512+(-1.62486--1.143828))+0-0-0</f>
        <v>607.35845599999993</v>
      </c>
      <c r="H41" s="3">
        <f>372.8+(779.4-562.6)+(-0.570384+(-1.192482--0.860778))+0-0-0</f>
        <v>588.69791199999986</v>
      </c>
      <c r="I41" s="3">
        <f>373.2+(717.2-522.6)+(-0.190332+(-0.365772--0.266526))+0-0-0</f>
        <v>567.51042199999995</v>
      </c>
      <c r="J41" s="3">
        <f>409.3+(681.8-524.8)+(-1.461201+(-2.434026--1.873536))+0-0-0</f>
        <v>564.27830899999992</v>
      </c>
      <c r="K41" s="3">
        <f>496.5+(615.6-525.3)+(-1.51929+(-1.883736--1.607418))+0-0-0</f>
        <v>585.00439200000005</v>
      </c>
      <c r="L41" s="3">
        <f>642.2+(541.8-558.1)+(-1.310088+(-1.105272--1.138524))+0-0-0</f>
        <v>624.62316399999997</v>
      </c>
      <c r="M41" s="3">
        <f>696.1+(509-541.8)+(-0.355011+(-0.25959--0.276318))+0-0-0</f>
        <v>662.96171700000002</v>
      </c>
      <c r="N41" s="3">
        <f>693.1+(556-528.3)+(-0.706962+(-0.56712--0.538866))+0-0-0</f>
        <v>720.06478400000003</v>
      </c>
      <c r="O41" s="3">
        <f>693.4+(576.4-530.4)+(-1.060902+(-0.881892--0.811512))+0-0-0</f>
        <v>738.26871799999992</v>
      </c>
      <c r="P41" s="3">
        <f>693.1+(552.9-492.3)+(-0.353481+(-0.281979--0.251073))+0-0-0</f>
        <v>753.3156130000001</v>
      </c>
      <c r="Q41" s="3">
        <f>718.3+(533.2-554.5)+(0+(0-0))+0-0-0</f>
        <v>697</v>
      </c>
      <c r="R41" s="3">
        <f>811.3+(431.5-529.1)+(-0.413763+(-0.220065--0.269841))+0-0-0</f>
        <v>713.33601299999998</v>
      </c>
      <c r="S41" s="3">
        <f>809.7+(409.6-521.4)+(-0.412947+(-0.208896--0.265914))+0-0-0</f>
        <v>697.54407100000014</v>
      </c>
      <c r="T41" s="3">
        <f>807.7+(428.4-529)+(-1.235781+(-0.655452--0.80937))+0-0-0</f>
        <v>706.01813700000002</v>
      </c>
      <c r="U41" s="3">
        <f>808.5+(509.9-553)+(-1.237005+(-0.780147--0.84609))+0-0-0</f>
        <v>764.22893799999997</v>
      </c>
      <c r="V41" s="3">
        <f>810.8+(562.9-612.4)+(-0.827016+(-0.574158--0.624648))+0-0-0</f>
        <v>760.52347399999996</v>
      </c>
      <c r="W41" s="3">
        <f>810.3+(603.9-666.1)+(-1.239759+(-0.923967--1.019133))+0-0-0</f>
        <v>746.95540699999992</v>
      </c>
      <c r="X41" s="3">
        <f>811+(626.3-671.1)+(-1.65444+(-1.277652--1.369044))+0-0-0</f>
        <v>764.63695199999995</v>
      </c>
      <c r="Y41" s="3">
        <f>814.1+(658.8-678.4)+(-0.415191+(-0.335988--0.345984))+0-0-0</f>
        <v>794.09480499999995</v>
      </c>
      <c r="Z41" s="3">
        <f>809.9+(601.4-526.9)+(-2.478294+(-1.840284--1.612314))+0-0-0</f>
        <v>881.69373599999994</v>
      </c>
      <c r="AA41" s="3">
        <f>809.7+(679.9-585.5)+(-1.651788+(-1.386996--1.19442))+0-0-0</f>
        <v>902.25563599999998</v>
      </c>
      <c r="AB41" s="3">
        <f>807.5+(717.3-631)+(-2.059125+(-1.829115--1.60905))+0-0-0</f>
        <v>891.52080999999998</v>
      </c>
      <c r="AC41" s="3">
        <f>807.7+(689.4-681.1)+(-1.647708+(-1.406376--1.389444))+0-0-0</f>
        <v>814.33536000000004</v>
      </c>
      <c r="AD41">
        <v>887.10000000000014</v>
      </c>
      <c r="AE41" s="3">
        <f>811+(669.4-593.3)+(0+(0-0))+0-0-0</f>
        <v>887.1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693+(668-634.8)+(-1.06029+(-1.02204--0.971244))+0-0-0</f>
        <v>725.08891400000005</v>
      </c>
      <c r="G42" s="3">
        <f>677.3+(679.5-695.9)+(-2.072538+(-2.07927--2.129454))+0-0-0</f>
        <v>658.87764600000003</v>
      </c>
      <c r="H42" s="3">
        <f>678.4+(642-661.4)+(-1.383936+(-1.30968--1.349256))+0-0-0</f>
        <v>657.65563999999995</v>
      </c>
      <c r="I42" s="3">
        <f>651.3+(649.8-664.5)+(0.332163+(0.331398-0.338895))+0-0-0</f>
        <v>636.92466599999989</v>
      </c>
      <c r="J42" s="3">
        <f>680.9+(598.2-657.9)+(0.347259+(0.305082-0.335529))+0-0-0</f>
        <v>621.51681200000007</v>
      </c>
      <c r="K42" s="3">
        <f>681.2+(608.8-653.8)+(0+(0-0))+0-0-0</f>
        <v>636.20000000000005</v>
      </c>
      <c r="L42" s="3">
        <f>649.5+(521.3-572.6)+(-1.656225+(-1.329315--1.46013))+0-0-0</f>
        <v>596.67458999999997</v>
      </c>
      <c r="M42" s="3">
        <f>632.7+(502.8-527.2)+(-0.968031+(-0.769284--0.806616))+0-0-0</f>
        <v>607.36930099999995</v>
      </c>
      <c r="N42" s="3">
        <f>759+(492.9-565.1)+(-1.54836+(-1.005516--1.152804))+0-0-0</f>
        <v>685.39892799999996</v>
      </c>
      <c r="O42" s="3">
        <f>813.9+(536.6-606.6)+(0+(0-0))+0-0-0</f>
        <v>743.9</v>
      </c>
      <c r="P42" s="3">
        <f>812.1+(495-565.2)+(-0.828342+(-0.5049--0.576504))+0-0-0</f>
        <v>741.14326199999994</v>
      </c>
      <c r="Q42" s="3">
        <f>812.2+(449.9-500.1)+(-1.242666+(-0.688347--0.765153))+0-0-0</f>
        <v>760.83414000000005</v>
      </c>
      <c r="R42" s="3">
        <f>808.4+(499.4-557.2)+(-2.473704+(-1.528164--1.705032))+0-0-0</f>
        <v>748.30316399999992</v>
      </c>
      <c r="S42" s="3">
        <f>809.9+(586.9-644.4)+(-1.652196+(-1.197276--1.314576))+0-0-0</f>
        <v>750.86510399999997</v>
      </c>
      <c r="T42" s="3">
        <f>807.9+(690-726.8)+(-2.472174+(-2.1114--2.224008))+0-0-0</f>
        <v>768.74043400000005</v>
      </c>
      <c r="U42" s="3">
        <f>809.2+(803.6-826.8)+(-1.650768+(-1.639344--1.686672))+0-0-0</f>
        <v>784.39656000000014</v>
      </c>
      <c r="V42" s="3">
        <f>809.9+(722.4-755.2)+(-2.065245+(-1.84212--1.92576))+0-0-0</f>
        <v>775.11839499999996</v>
      </c>
      <c r="W42" s="3">
        <f>772.5+(681.5-684.3)+(-1.5759+(-1.39026--1.395972))+0-0-0</f>
        <v>768.12981200000002</v>
      </c>
      <c r="X42" s="3">
        <f>748+(652.3-645.5)+(-2.67036+(-2.328711--2.304435))+0-0-0</f>
        <v>752.10536400000001</v>
      </c>
      <c r="Y42" s="3">
        <f>749.1+(612.3-612.3)+(0+(0-0))+0-0-0</f>
        <v>749.1</v>
      </c>
      <c r="Z42" s="3">
        <f>749.9+(686.3-570.2)+(-1.912245+(-1.750065--1.45401))+0-0-0</f>
        <v>863.79169999999988</v>
      </c>
      <c r="AA42" s="3">
        <f>749.9+(707.2-578.4)+(-1.529796+(-1.442688--1.179936))+0-0-0</f>
        <v>876.90745200000003</v>
      </c>
      <c r="AB42" s="3">
        <f>750.7+(696.2-586.1)+(-0.765714+(-0.710124--0.597822))+0-0-0</f>
        <v>859.92198400000007</v>
      </c>
      <c r="AC42" s="3">
        <f>749.2+(733.5-647.1)+(-0.764184+(-0.74817--0.660042))+0-0-0</f>
        <v>834.74768800000004</v>
      </c>
      <c r="AD42">
        <v>846.89999999999986</v>
      </c>
      <c r="AE42" s="3">
        <f>749+(686.1-588.2)+(0+(0-0))+0-0-0</f>
        <v>846.9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748.9+(744.5-724.6)+(-2.291634+(-2.27817--2.217276))+0-0-0</f>
        <v>766.44747199999995</v>
      </c>
      <c r="G43" s="3">
        <f>620+(683.7-659.8)+(-1.2648+(-1.394748--1.345992))+0-0-0</f>
        <v>642.58644400000014</v>
      </c>
      <c r="H43" s="3">
        <f>437+(668.1-527.7)+(-0.44574+(-0.681462--0.538254))+0-0-0</f>
        <v>576.81105200000002</v>
      </c>
      <c r="I43" s="3">
        <f>428+(651.2-513.4)+(-0.65484+(-0.996336--0.785502))+0-0-0</f>
        <v>564.93432600000006</v>
      </c>
      <c r="J43" s="3">
        <f>486.7+(614.3-524.8)+(-0.248217+(-0.313293--0.267648))+0-0-0</f>
        <v>575.90613800000006</v>
      </c>
      <c r="K43" s="3">
        <f>491+(626.8-550.8)+(-1.00164+(-1.278672--1.123632))+0-0-0</f>
        <v>565.84331999999995</v>
      </c>
      <c r="L43" s="3">
        <f>464.6+(621.6-528.3)+(-1.421676+(-1.902096--1.616598))+0-0-0</f>
        <v>556.19282600000008</v>
      </c>
      <c r="M43" s="3">
        <f>453.7+(643.2-541.9)+(-0.462774+(-0.656064--0.552738))+0-0-0</f>
        <v>554.43389999999999</v>
      </c>
      <c r="N43" s="3">
        <f>622.2+(535-555.6)+(-0.951966+(-0.81855--0.850068))+0-0-0</f>
        <v>600.67955200000006</v>
      </c>
      <c r="O43" s="3">
        <f>792.5+(534.8-642.9)+(-1.212525+(-0.818244--0.983637))+0-0-0</f>
        <v>683.35286799999994</v>
      </c>
      <c r="P43" s="3">
        <f>800.5+(509.1-590.5)+(-1.63302+(-1.038564--1.20462))+0-0-0</f>
        <v>717.63303600000006</v>
      </c>
      <c r="Q43" s="3">
        <f>803.1+(459-548.9)+(-1.228743+(-0.70227--0.839817))+0-0-0</f>
        <v>712.10880400000008</v>
      </c>
      <c r="R43" s="3">
        <f>799.7+(473.9-532.9)+(-2.039235+(-1.208445--1.358895))+0-0-0</f>
        <v>738.81121500000006</v>
      </c>
      <c r="S43" s="3">
        <f>800.3+(482.9-551.4)+(-0.408153+(-0.246279--0.281214))+0-0-0</f>
        <v>731.426782</v>
      </c>
      <c r="T43" s="3">
        <f>798.7+(480.1-549.1)+(-1.222011+(-0.734553--0.840123))+0-0-0</f>
        <v>728.58355900000004</v>
      </c>
      <c r="U43" s="3">
        <f>798.4+(495.3-570.8)+(-2.03592+(-1.263015--1.45554))+0-0-0</f>
        <v>721.0566050000001</v>
      </c>
      <c r="V43" s="3">
        <f>751.1+(536.6-552)+(-1.915305+(-1.36833--1.4076))+0-0-0</f>
        <v>733.82396500000004</v>
      </c>
      <c r="W43" s="3">
        <f>747.6+(562.4-569.4)+(-1.525104+(-1.147296--1.161576))+0-0-0</f>
        <v>739.08917600000007</v>
      </c>
      <c r="X43" s="3">
        <f>779.7+(535.5-591.8)+(-1.988235+(-1.365525--1.50909))+0-0-0</f>
        <v>721.55533000000014</v>
      </c>
      <c r="Y43" s="3">
        <f>750.3+(545-526)+(0.382653+(0.27795-0.26826))+0-0-0</f>
        <v>769.69234299999994</v>
      </c>
      <c r="Z43" s="3">
        <f>751.4+(625-534.4)+(-0.766428+(-0.6375--0.545088))+0-0-0</f>
        <v>841.14116000000001</v>
      </c>
      <c r="AA43" s="3">
        <f>751.9+(611.8-498.8)+(-2.300814+(-1.872108--1.526328))+0-0-0</f>
        <v>862.25340599999981</v>
      </c>
      <c r="AB43" s="3">
        <f>750.3+(647.4-549.8)+(-2.678571+(-2.311218--1.962786))+0-0-0</f>
        <v>844.87299699999994</v>
      </c>
      <c r="AC43" s="3">
        <f>793.8+(580.8-574.8)+(-1.214514+(-0.888624--0.879444))+0-0-0</f>
        <v>798.57630599999993</v>
      </c>
      <c r="AD43">
        <v>837.5</v>
      </c>
      <c r="AE43" s="3">
        <f>749+(638.5-550)+(0+(0-0))+0-0-0</f>
        <v>837.5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750+(510.9-593)+(0+(0-0))+0-0-0</f>
        <v>667.9</v>
      </c>
      <c r="G44" s="3">
        <f>650+(479.8-570.8)+(0+(0-0))+0-0-0</f>
        <v>559</v>
      </c>
      <c r="H44" s="3">
        <f>510+(616.8-532.1)+(0+(0-0))+0-0-0</f>
        <v>594.69999999999993</v>
      </c>
      <c r="I44" s="3">
        <f>440+(642.4-528.3)+(0+(0-0))+0-0-0</f>
        <v>554.1</v>
      </c>
      <c r="J44" s="3">
        <f>445.3+(609.9-506.4)+(-0.681309+(-0.933147--0.774792))+0-0-0</f>
        <v>547.96033599999998</v>
      </c>
      <c r="K44" s="3">
        <f>490.6+(569.3-494.5)+(-0.500412+(-0.580686--0.50439))+0-0-0</f>
        <v>564.82329199999992</v>
      </c>
      <c r="L44" s="3">
        <f>492.5+(537.4-485.3)+(0.50235+(0.548148-0.495006))+0-0-0</f>
        <v>545.15549199999987</v>
      </c>
      <c r="M44" s="3">
        <f>597.2+(496.8-522)+(0.609144+(0.506736-0.53244))+0-0-0</f>
        <v>572.58344</v>
      </c>
      <c r="N44" s="3">
        <f>761.6+(430.7-523.7)+(-0.388416+(-0.219657--0.267087))+0-0-0</f>
        <v>668.25901399999987</v>
      </c>
      <c r="O44" s="3">
        <f>977+(298.5-531.9)+(0+(0-0))+0-0-0</f>
        <v>743.6</v>
      </c>
      <c r="P44" s="3">
        <f>1059.9+(253.7-541.2)+(0+(0-0))+0-0-0</f>
        <v>772.40000000000009</v>
      </c>
      <c r="Q44" s="3">
        <f>1056.8+(298.3-562.7)+(-2.155872+(-0.608532--1.147908))+0-0-0</f>
        <v>790.78350399999988</v>
      </c>
      <c r="R44" s="3">
        <f>1053+(322.1-585.6)+(-0.53703+(-0.164271--0.298656))+0-0-0</f>
        <v>789.09735499999999</v>
      </c>
      <c r="S44" s="3">
        <f>1069+(355.3-652.3)+(0+(0-0))+0-0-0</f>
        <v>772</v>
      </c>
      <c r="T44" s="3">
        <f>1098+(351.4-669.4)+(-0.55998+(-0.179214--0.341394))+0-0-0</f>
        <v>779.60220000000004</v>
      </c>
      <c r="U44" s="3">
        <f>1115.3+(341.8-670.9)+(-3.981621+(-1.220226--2.395113))+0-0-0</f>
        <v>783.39326600000004</v>
      </c>
      <c r="V44" s="3">
        <f>1117.3+(339.3-659.7)+(-3.418938+(-1.038258--2.018682))+13.3-0-0</f>
        <v>807.76148599999976</v>
      </c>
      <c r="W44" s="3">
        <f>1045.2+(337.7-630.1)+(-3.731364+(-1.205589--2.249457))+9.5-0-0</f>
        <v>759.61250399999994</v>
      </c>
      <c r="X44" s="3">
        <f>1021.5+(335.1-639.4)+(-2.604825+(-0.854505--1.63047))+0-0-0</f>
        <v>715.37114000000008</v>
      </c>
      <c r="Y44" s="3">
        <f>1001.7+(484.1-704)+(-2.554335+(-1.234455--1.7952))+0-0-0</f>
        <v>779.80641000000003</v>
      </c>
      <c r="Z44" s="3">
        <f>1045.7+(510.4-666.5)+(-2.133228+(-1.041216--1.35966))+0-0-0</f>
        <v>887.78521599999999</v>
      </c>
      <c r="AA44" s="3">
        <f>1067.3+(446.1-600.3)+(-2.177292+(-0.910044--1.224612))+0-0-0</f>
        <v>911.23727600000007</v>
      </c>
      <c r="AB44" s="3">
        <f>1072.8+(427.7-604.3)+(0.547128+(0.218127-0.308193))+0-0-0</f>
        <v>896.657062</v>
      </c>
      <c r="AC44" s="3">
        <f>1074.1+(481.5-704.9)+(-1.095582+(-0.49113--0.718998))+0-0-0</f>
        <v>849.83228599999995</v>
      </c>
      <c r="AD44">
        <v>865.4</v>
      </c>
      <c r="AE44" s="3">
        <f>1065+(514.3-713.9)+(0+(0-0))+0-0-0</f>
        <v>865.4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990.5+(504.8-697.7)+(0+(0-0))+0-0-0</f>
        <v>797.59999999999991</v>
      </c>
      <c r="G45" s="3">
        <f>897.5+(485.7-681.5)+(-0.91545+(-0.495414--0.69513))+0-0-0</f>
        <v>700.98426600000005</v>
      </c>
      <c r="H45" s="3">
        <f>666.4+(532.5-624.9)+(0+(0-0))+0-0-0</f>
        <v>574</v>
      </c>
      <c r="I45" s="3">
        <f>538.1+(616.7-544.6)+(-0.823293+(-0.943551--0.833238))+0-0-0</f>
        <v>609.26639399999999</v>
      </c>
      <c r="J45" s="3">
        <f>541.9+(614.9-554.9)+(0.552738+(0.627198-0.565998))+0-0-0</f>
        <v>602.51393799999994</v>
      </c>
      <c r="K45" s="3">
        <f>556.6+(588.2-535)+(-1.135464+(-1.199928--1.0914))+0-0-0</f>
        <v>608.55600800000002</v>
      </c>
      <c r="L45" s="3">
        <f>544.5+(579.3-538.9)+(-0.277695+(-0.295443--0.274839))+0-0-0</f>
        <v>584.60170099999993</v>
      </c>
      <c r="M45" s="3">
        <f>543+(576.4-494.9)+(-0.27693+(-0.293964--0.252399))+0-0-0</f>
        <v>624.18150500000002</v>
      </c>
      <c r="N45" s="3">
        <f>657.8+(496.2-503.2)+(-0.335478+(-0.253062--0.256632))+0-0-0</f>
        <v>650.46809199999996</v>
      </c>
      <c r="O45" s="3">
        <f>753.1+(474.1-522.2)+(-0.768162+(-0.483582--0.532644))+0-0-0</f>
        <v>704.28089999999997</v>
      </c>
      <c r="P45" s="3">
        <f>827.9+(250.5-362)+(-1.266687+(-0.383265--0.55386))+0-0-0</f>
        <v>715.30390799999998</v>
      </c>
      <c r="Q45" s="3">
        <f>832+(195.5-297.6)+(0+(0-0))+0-0-0</f>
        <v>729.9</v>
      </c>
      <c r="R45" s="3">
        <f>847.6+(236.9-295.9)+(-2.16138+(-0.604095--0.754545))+0-0-0</f>
        <v>786.58906999999999</v>
      </c>
      <c r="S45" s="3">
        <f>847.7+(267.5-334.9)+(0+(0-0))+0-0-0</f>
        <v>780.30000000000007</v>
      </c>
      <c r="T45" s="3">
        <f>886.3+(302.9-380.3)+(-1.808052+(-0.617916--0.775812))+0-0-0</f>
        <v>807.24984399999983</v>
      </c>
      <c r="U45" s="3">
        <f>917.5+(299.1-416.5)+(-2.339625+(-0.762705--1.062075))+0-0-0</f>
        <v>798.05974500000002</v>
      </c>
      <c r="V45" s="3">
        <f>919.5+(308.6-445.4)+(-1.406835+(-0.472158--0.681462))+0-0-0</f>
        <v>781.50246900000002</v>
      </c>
      <c r="W45" s="3">
        <f>921.3+(352.9-533.7)+(-1.409589+(-0.539937--0.816561))+0-0-0</f>
        <v>739.36703499999987</v>
      </c>
      <c r="X45" s="3">
        <f>907.7+(374-544.2)+(-2.314635+(-0.9537--1.38771))+0-0-0</f>
        <v>735.61937499999999</v>
      </c>
      <c r="Y45" s="3">
        <f>862.8+(504.8-604.7)+(-1.320084+(-0.772344--0.925191))+0-0-0</f>
        <v>761.73276299999986</v>
      </c>
      <c r="Z45" s="3">
        <f>916.8+(489.4-560.8)+(-0.467568+(-0.249594--0.286008))+0-0-0</f>
        <v>844.96884599999998</v>
      </c>
      <c r="AA45" s="3">
        <f>925.9+(521.9-569.1)+(-1.888836+(-1.064676--1.160964))+0-0-0</f>
        <v>876.90745199999992</v>
      </c>
      <c r="AB45" s="3">
        <f>886.6+(509.7-521.1)+(-2.26083+(-1.299735--1.328805))+0-0-0</f>
        <v>872.96824000000004</v>
      </c>
      <c r="AC45" s="3">
        <f>856.1+(552.9-584.2)+(-1.309833+(-0.845937--0.893826))+0-0-0</f>
        <v>823.53805599999998</v>
      </c>
      <c r="AD45">
        <v>869.19999999999993</v>
      </c>
      <c r="AE45" s="3">
        <f>924+(508.6-563.4)+(0+(0-0))+0-0-0</f>
        <v>869.2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853+(574.7-732)+(-1.74012+(-1.172388--1.49328))+0-0-0</f>
        <v>694.28077200000007</v>
      </c>
      <c r="G46" s="3">
        <f>854.2+(628.5-830.1)+(-0.435642+(-0.320535--0.423351))+0-0-0</f>
        <v>652.26717400000007</v>
      </c>
      <c r="H46" s="3">
        <f>886.9+(578-870.3)+(-0.452319+(-0.29478--0.443853))+0-0-0</f>
        <v>594.29675400000008</v>
      </c>
      <c r="I46" s="3">
        <f>899.7+(528.8-802.1)+(-0.458847+(-0.269688--0.409071))+0-0-0</f>
        <v>626.08053599999994</v>
      </c>
      <c r="J46" s="3">
        <f>884.2+(528.8-817.1)+(-1.803768+(-1.078752--1.666884))+0-0-0</f>
        <v>594.68436399999996</v>
      </c>
      <c r="K46" s="3">
        <f>886+(507-773)+(-3.61488+(-2.06856--3.15384))+0-0-0</f>
        <v>617.47040000000004</v>
      </c>
      <c r="L46" s="3">
        <f>886.1+(444.8-747.9)+(-1.355733+(-0.680544--1.144287))+0-0-0</f>
        <v>582.10801000000004</v>
      </c>
      <c r="M46" s="3">
        <f>917.5+(359.8-668.7)+(0+(0-0))+0-0-0</f>
        <v>608.59999999999991</v>
      </c>
      <c r="N46" s="3">
        <f>936.8+(211.6-480.9)+(0+(0-0))+0-0-0</f>
        <v>667.5</v>
      </c>
      <c r="O46" s="3">
        <f>942.3+(172.6-416.6)+(0.480573+(0.088026-0.212466))+0-0-0</f>
        <v>698.65613299999995</v>
      </c>
      <c r="P46" s="3">
        <f>928.3+(165.6-367.7)+(-1.420299+(-0.253368--0.562581))+0-0-0</f>
        <v>725.08891399999993</v>
      </c>
      <c r="Q46" s="3">
        <f>914.1+(192-385.9)+(-1.398573+(-0.29376--0.590427))+0-0-0</f>
        <v>719.09809400000006</v>
      </c>
      <c r="R46" s="3">
        <f>915.5+(239.8-443.4)+(-1.400715+(-0.366894--0.678402))+0-0-0</f>
        <v>710.8107930000001</v>
      </c>
      <c r="S46" s="3">
        <f>914.9+(264.3-489.1)+(-0.933198+(-0.269586--0.498882))+0-0-0</f>
        <v>689.39609799999994</v>
      </c>
      <c r="T46" s="3">
        <f>911.5+(273.5-512.5)+(0.464865+(0.139485-0.261375))+0-0-0</f>
        <v>672.84297500000002</v>
      </c>
      <c r="U46" s="3">
        <f>918+(281.9-526.1)+(-1.40454+(-0.431307--0.804933))+0-0-0</f>
        <v>672.7690859999999</v>
      </c>
      <c r="V46" s="3">
        <f>922+(332.3-558)+(-1.88088+(-0.677892--1.13832))+0-0-0</f>
        <v>694.879548</v>
      </c>
      <c r="W46" s="3">
        <f>929.6+(368.4-621.4)+(-1.422288+(-0.563652--0.950742))+0-0-0</f>
        <v>675.56480199999999</v>
      </c>
      <c r="X46" s="3">
        <f>857.7+(389-657.9)+(-1.749708+(-0.79356--1.342116))+0-0-0</f>
        <v>587.59884800000009</v>
      </c>
      <c r="Y46" s="3">
        <f>861.2+(500.1-694.9)+(-0.439212+(-0.255051--0.354399))+0-0-0</f>
        <v>666.06013600000006</v>
      </c>
      <c r="Z46" s="3">
        <f>929.1+(619.9-736.5)+(-2.369205+(-1.580745--1.878075))+0-0-0</f>
        <v>810.42812500000002</v>
      </c>
      <c r="AA46" s="3">
        <f>927.4+(678.2-748.8)+(-1.418922+(-1.037646--1.145664))+0-0-0</f>
        <v>855.48909600000002</v>
      </c>
      <c r="AB46" s="3">
        <f>923.3+(691.9-778.5)+(-1.412649+(-1.058607--1.191105))+0-0-0</f>
        <v>835.41984899999989</v>
      </c>
      <c r="AC46" s="3">
        <f>944+(672.4-839.4)+(-0.96288+(-0.685848--0.856188))+0-0-0</f>
        <v>776.20745999999997</v>
      </c>
      <c r="AD46">
        <v>869.80000000000007</v>
      </c>
      <c r="AE46" s="3">
        <f>930+(678.9-739.1)+(0+(0-0))+0-0-0</f>
        <v>869.8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948.8+(757.4-867.6)+(-1.451664+(-1.158822--1.327428))+0-0-0</f>
        <v>837.31694199999993</v>
      </c>
      <c r="G47" s="3">
        <f>949.6+(657.8-851.1)+(-1.452888+(-1.006434--1.302183))+0-0-0</f>
        <v>755.14286099999993</v>
      </c>
      <c r="H47" s="3">
        <f>949.7+(555.6-795.7)+(0+(0-0))+0-0-0</f>
        <v>709.6</v>
      </c>
      <c r="I47" s="3">
        <f>935.8+(532.3-783)+(-2.38629+(-1.357365--1.99665))+0-0-0</f>
        <v>683.35299499999996</v>
      </c>
      <c r="J47" s="3">
        <f>914.2+(480.5-724.6)+(0.932484+(0.49011-0.739092))+0-0-0</f>
        <v>670.783502</v>
      </c>
      <c r="K47" s="3">
        <f>891.1+(233.5-515.6)+(-1.817844+(-0.47634--1.051824))+0-0-0</f>
        <v>607.75764000000004</v>
      </c>
      <c r="L47" s="3">
        <f>876.9+(185.1-464.4)+(0.447219+(0.094401-0.236844))+0-0-0</f>
        <v>597.90477599999997</v>
      </c>
      <c r="M47" s="3">
        <f>877.7+(170.9-460.7)+(0+(0-0))+0-0-0</f>
        <v>587.90000000000009</v>
      </c>
      <c r="N47" s="3">
        <f>877.5+(218.5-499.3)+(-0.447525+(-0.111435--0.254643))+0-0-0</f>
        <v>596.39568300000008</v>
      </c>
      <c r="O47" s="3">
        <f>899.6+(267.5-536.5)+(0+(0-0))+0-0-0</f>
        <v>630.6</v>
      </c>
      <c r="P47" s="3">
        <f>912+(310.1-573.2)+(-0.46512+(-0.158151--0.292332))+0-0-0</f>
        <v>648.56906100000003</v>
      </c>
      <c r="Q47" s="3">
        <f>915.9+(306.2-553.2)+(0.467109+(0.156162-0.282132))+0-0-0</f>
        <v>669.24113899999986</v>
      </c>
      <c r="R47" s="3">
        <f>908.9+(312-546.4)+(-0.927078+(-0.31824--0.557328))+0-0-0</f>
        <v>673.81200999999999</v>
      </c>
      <c r="S47" s="3">
        <f>906.4+(344.2-585.2)+(-0.924528+(-0.351084--0.596904))+0-0-0</f>
        <v>664.72129199999983</v>
      </c>
      <c r="T47" s="3">
        <f>905.1+(402.3-645.7)+(-1.384803+(-0.615519--0.987921))+0-0-0</f>
        <v>660.68759900000009</v>
      </c>
      <c r="U47" s="3">
        <f>906.3+(446.3-673)+(-1.848852+(-0.910452--1.37292))+0-0-0</f>
        <v>678.21361599999989</v>
      </c>
      <c r="V47" s="3">
        <f>905.8+(465.5-694.2)+(-2.30979+(-1.187025--1.77021))+0-0-0</f>
        <v>675.37339499999996</v>
      </c>
      <c r="W47" s="3">
        <f>909+(480-699.7)+(-1.85436+(-0.9792--1.427388))+0-0-0</f>
        <v>687.89382799999998</v>
      </c>
      <c r="X47" s="3">
        <f>851.3+(440-632.3)+(-2.170815+(-1.122--1.612365))+0-0-0</f>
        <v>657.31955000000005</v>
      </c>
      <c r="Y47" s="3">
        <f>806.1+(410.4-558.3)+(-1.644444+(-0.837216--1.138932))+0-0-0</f>
        <v>656.85727200000008</v>
      </c>
      <c r="Z47" s="3">
        <f>889.9+(509.4-612)+(-2.269245+(-1.29897--1.5606))+0-0-0</f>
        <v>785.29238499999997</v>
      </c>
      <c r="AA47" s="3">
        <f>906.3+(573.6-652)+(-2.311065+(-1.46268--1.6626))+0-0-0</f>
        <v>825.78885500000001</v>
      </c>
      <c r="AB47" s="3">
        <f>857.3+(588.2-635.5)+(-0.874446+(-0.599964--0.64821))+0-0-0</f>
        <v>809.17380000000003</v>
      </c>
      <c r="AC47" s="3">
        <f>857.9+(647.2-712)+(-1.312587+(-0.990216--1.08936))+0-0-0</f>
        <v>791.88655700000004</v>
      </c>
      <c r="AD47">
        <v>780.5</v>
      </c>
      <c r="AE47" s="3">
        <f>926+(574-719.5)+(0+(0-0))+0-0-0</f>
        <v>780.5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856.3+(710-815.8)+(-1.746852+(-1.4484--1.664232))+0-0-0</f>
        <v>748.96897999999999</v>
      </c>
      <c r="G48" s="3">
        <f>856.7+(638.8-791)+(-2.184585+(-1.62894--2.01705))+0-0-0</f>
        <v>702.70352500000001</v>
      </c>
      <c r="H48" s="3">
        <f>856.2+(529.7-772.3)+(-1.746648+(-1.080588--1.575492))+0-0-0</f>
        <v>612.34825600000011</v>
      </c>
      <c r="I48" s="3">
        <f>856.3+(498-741.1)+(-1.310139+(-0.76194--1.133883))+0-0-0</f>
        <v>612.26180399999998</v>
      </c>
      <c r="J48" s="3">
        <f>856.1+(496.8-717.9)+(-1.746444+(-1.013472--1.464516))+0-0-0</f>
        <v>633.70460000000003</v>
      </c>
      <c r="K48" s="3">
        <f>852.4+(462.2-694.2)+(-1.304172+(-0.707166--1.062126))+0-0-0</f>
        <v>619.45078799999987</v>
      </c>
      <c r="L48" s="3">
        <f>796+(468.5-666.9)+(-2.0298+(-1.194675--1.700595))+0-0-0</f>
        <v>596.07612000000006</v>
      </c>
      <c r="M48" s="3">
        <f>825.1+(412.9-635.2)+(0.841602+(0.421158-0.647904))+0-0-0</f>
        <v>603.41485599999999</v>
      </c>
      <c r="N48" s="3">
        <f>900.2+(372.6-647.2)+(-0.459102+(-0.190026--0.330072))+0-0-0</f>
        <v>625.28094399999998</v>
      </c>
      <c r="O48" s="3">
        <f>913.8+(393.5-632.3)+(-0.932076+(-0.40137--0.644946))+0-0-0</f>
        <v>674.31150000000002</v>
      </c>
      <c r="P48" s="3">
        <f>913+(389.3-590.6)+(-1.86252+(-0.794172--1.204824))+0-0-0</f>
        <v>710.24813200000006</v>
      </c>
      <c r="Q48" s="3">
        <f>923.3+(362.6-567.6)+(-1.412649+(-0.554778--0.868428))+0-0-0</f>
        <v>717.20100099999991</v>
      </c>
      <c r="R48" s="3">
        <f>916.6+(392.8-604.4)+(-1.869864+(-0.801312--1.232976))+0-0-0</f>
        <v>703.56179999999995</v>
      </c>
      <c r="S48" s="3">
        <f>915.2+(458.7-658.2)+(-2.33376+(-1.169685--1.67841))+0-0-0</f>
        <v>713.87496500000009</v>
      </c>
      <c r="T48" s="3">
        <f>916.4+(466.1-677.4)+(-0.934728+(-0.475422--0.690948))+0-0-0</f>
        <v>704.38079800000003</v>
      </c>
      <c r="U48" s="3">
        <f>909.5+(476-673.7)+(-1.85538+(-0.97104--1.374348))+0-0-0</f>
        <v>710.34792799999991</v>
      </c>
      <c r="V48" s="3">
        <f>912.9+(443.4-644.8)+(0+(0-0))+0-0-0</f>
        <v>711.5</v>
      </c>
      <c r="W48" s="3">
        <f>915.6+(424.1-623.5)+(-1.400868+(-0.648873--0.953955))+0-0-0</f>
        <v>715.10421400000007</v>
      </c>
      <c r="X48" s="3">
        <f>806.5+(420.2-536.7)+(-1.64526+(-0.857208--1.094868))+0-0-0</f>
        <v>688.5924</v>
      </c>
      <c r="Y48" s="3">
        <f>802.2+(461.4-563.3)+(-1.636488+(-0.941256--1.149132))+0-0-0</f>
        <v>698.87138800000002</v>
      </c>
      <c r="Z48" s="3">
        <f>865.1+(556.2-551.5)+(-1.323603+(-0.850986--0.843795))+0-0-0</f>
        <v>868.4692060000001</v>
      </c>
      <c r="AA48" s="3">
        <f>882.8+(547.2-566.8)+(-1.800912+(-1.116288--1.156272))+0-0-0</f>
        <v>861.43907200000001</v>
      </c>
      <c r="AB48" s="3">
        <f>850.1+(605.3-610.6)+(-0.867102+(-0.617406--0.622812))+0-0-0</f>
        <v>843.9383039999999</v>
      </c>
      <c r="AC48" s="3">
        <f>848+(642.4-666.8)+(-1.72992+(-1.310496--1.360272))+0-0-0</f>
        <v>821.91985599999998</v>
      </c>
      <c r="AD48">
        <v>975.19999999999993</v>
      </c>
      <c r="AE48" s="3">
        <f>918+(552.8-495.6)+(0+(0-0))+0-0-0</f>
        <v>975.19999999999993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849.8+(647.8-739.2)+(0+(0-0))+0-0-0</f>
        <v>758.39999999999986</v>
      </c>
      <c r="G49" s="3">
        <f>847.4+(551.7-716.5)+(-0.432174+(-0.281367--0.365415))+0-0-0</f>
        <v>682.25187400000004</v>
      </c>
      <c r="H49" s="3">
        <f>922.9+(572.4-793.6)+(-3.294753+(-2.043468--2.833152))+0-0-0</f>
        <v>699.19493099999988</v>
      </c>
      <c r="I49" s="3">
        <f>913.9+(507.8-724.3)+(-1.398267+(-0.776934--1.108179))+0-0-0</f>
        <v>696.33297800000014</v>
      </c>
      <c r="J49" s="3">
        <f>784.8+(433.3-612.7)+(0+(0-0))+0-0-0</f>
        <v>605.39999999999986</v>
      </c>
      <c r="K49" s="3">
        <f>778.1+(454.5-617.3)+(-0.396831+(-0.231795--0.314823))+0-0-0</f>
        <v>614.98619700000006</v>
      </c>
      <c r="L49" s="3">
        <f>685.9+(466.5-545.7)+(-0.349809+(-0.237915--0.278307))+0-0-0</f>
        <v>606.39058299999988</v>
      </c>
      <c r="M49" s="3">
        <f>730.7+(453.7-562.4)+(0.372657+(0.231387-0.286824))+0-0-0</f>
        <v>622.31722000000002</v>
      </c>
      <c r="N49" s="3">
        <f>802+(470-574.2)+(0.81804+(0.4794-0.585684))+0-0-0</f>
        <v>698.51175599999999</v>
      </c>
      <c r="O49" s="3">
        <f>850.3+(420.1-535.7)+(0+(0-0))+0-0-0</f>
        <v>734.69999999999993</v>
      </c>
      <c r="P49" s="3">
        <f>896.5+(397-520.5)+(0+(0-0))+0-0-0</f>
        <v>773</v>
      </c>
      <c r="Q49" s="3">
        <f>917.9+(377.9-535.6)+(0.468129+(0.192729-0.273156))+0-0-0</f>
        <v>760.58770199999992</v>
      </c>
      <c r="R49" s="3">
        <f>875+(418.8-544.9)+(0.8925+(0.427176-0.555798))+0-0-0</f>
        <v>749.66387800000007</v>
      </c>
      <c r="S49" s="3">
        <f>859.4+(454.2-537)+(-0.438294+(-0.231642--0.27387))+0-0-0</f>
        <v>776.20393399999989</v>
      </c>
      <c r="T49" s="3">
        <f>859.3+(487.7-619.2)+(0+(0-0))+0-0-0</f>
        <v>727.8</v>
      </c>
      <c r="U49" s="3">
        <f>857.3+(510.7-611.2)+(0+(0-0))+0-0-0</f>
        <v>756.8</v>
      </c>
      <c r="V49" s="3">
        <f>854.9+(489.9-629.4)+(-1.743996+(-0.999396--1.283976))+0-0-0</f>
        <v>713.94058399999994</v>
      </c>
      <c r="W49" s="3">
        <f>858.2+(618.5-697.7)+(-1.750728+(-1.26174--1.423308))+0-0-0</f>
        <v>777.41084000000001</v>
      </c>
      <c r="X49" s="3">
        <f>798.7+(550.1-580.4)+(-3.258696+(-2.244408--2.368032))+0-0-0</f>
        <v>765.26492800000005</v>
      </c>
      <c r="Y49" s="3">
        <f>815.9+(513.8-591.8)+(-2.080545+(-1.31019--1.50909))+0-0-0</f>
        <v>736.01835499999993</v>
      </c>
      <c r="Z49" s="3">
        <f>918+(640.8-674.1)+(-1.40454+(-0.980424--1.031373))+0-0-0</f>
        <v>883.34640899999988</v>
      </c>
      <c r="AA49" s="3">
        <f>946.3+(676.1-668.7)+(-2.895678+(-2.068866--2.046222))+0-0-0</f>
        <v>950.78167799999994</v>
      </c>
      <c r="AB49" s="3">
        <f>907+(684.2-685.4)+(-0.92514+(-0.697884--0.699108))+0-0-0</f>
        <v>904.87608400000011</v>
      </c>
      <c r="AC49" s="3">
        <f>896.8+(762-797.2)+(-0.914736+(-0.77724--0.813144))+0-0-0</f>
        <v>860.72116799999992</v>
      </c>
      <c r="AD49">
        <v>914.7</v>
      </c>
      <c r="AE49" s="3">
        <f>967+(637.9-690.2)+(0+(0-0))+0-0-0</f>
        <v>914.69999999999993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796.9+(811-797.9)+(-2.032095+(-2.06805--2.034645))+0-0-0</f>
        <v>807.93449999999996</v>
      </c>
      <c r="G50" s="3">
        <f>797.4+(689.2-749.8)+(-0.813348+(-0.702984--0.764796))+0-0-0</f>
        <v>736.04846400000008</v>
      </c>
      <c r="H50" s="3">
        <f>814+(599.2-730.6)+(-0.83028+(-0.611184--0.745212))+0-0-0</f>
        <v>681.90374800000006</v>
      </c>
      <c r="I50" s="3">
        <f>862.8+(571-762.8)+(0+(0-0))+0-0-0</f>
        <v>671</v>
      </c>
      <c r="J50" s="3">
        <f>880.9+(482.8-696.2)+(0.898518+(0.492456-0.710124))+0-0-0</f>
        <v>668.18084999999996</v>
      </c>
      <c r="K50" s="3">
        <f>877.6+(424.4-648.7)+(-2.23788+(-1.08222--1.654185))+0-0-0</f>
        <v>651.63408499999991</v>
      </c>
      <c r="L50" s="3">
        <f>805.9+(421.8-608.1)+(-2.055045+(-1.07559--1.550655))+0-0-0</f>
        <v>618.02001999999993</v>
      </c>
      <c r="M50" s="3">
        <f>796.8+(434.5-568.5)+(0+(0-0))+0-0-0</f>
        <v>662.8</v>
      </c>
      <c r="N50" s="3">
        <f>799.2+(487.8-598.8)+(-0.815184+(-0.497556--0.610776))+0-0-0</f>
        <v>687.49803600000007</v>
      </c>
      <c r="O50" s="3">
        <f>785.9+(479.3-531.3)+(-1.603236+(-0.977772--1.083852))+0-0-0</f>
        <v>732.40284400000007</v>
      </c>
      <c r="P50" s="3">
        <f>783.1+(460.1-474.7)+(-0.399381+(-0.234651--0.242097))+0-0-0</f>
        <v>768.10806500000001</v>
      </c>
      <c r="Q50" s="3">
        <f>863.2+(404.7-525.9)+(0+(0-0))+0-0-0</f>
        <v>742</v>
      </c>
      <c r="R50" s="3">
        <f>863.4+(397-530.7)+(-1.761336+(-0.80988--1.082628))+0-0-0</f>
        <v>728.21141199999988</v>
      </c>
      <c r="S50" s="3">
        <f>860.8+(491.7-643.2)+(-2.634048+(-1.504602--1.968192))+0-0-0</f>
        <v>707.1295419999999</v>
      </c>
      <c r="T50" s="3">
        <f>862+(559.7-683.9)+(-1.75848+(-1.141788--1.395156))+0-0-0</f>
        <v>736.29488800000001</v>
      </c>
      <c r="U50" s="3">
        <f>869.5+(561-702.8)+(0+(0-0))+0-0-0</f>
        <v>727.7</v>
      </c>
      <c r="V50" s="3">
        <f>881.8+(578.8-722.1)+(-2.24859+(-1.47594--1.841355))+0-0-0</f>
        <v>736.61682499999984</v>
      </c>
      <c r="W50" s="3">
        <f>873.2+(570.6-704.3)+(-2.22666+(-1.45503--1.795965))+0-0-0</f>
        <v>737.61427500000013</v>
      </c>
      <c r="X50" s="3">
        <f>767.7+(533.1-602.8)+(-1.566108+(-1.087524--1.229712))+0-0-0</f>
        <v>696.57608000000016</v>
      </c>
      <c r="Y50" s="3">
        <f>734.5+(524.7-581.5)+(-0.374595+(-0.267597--0.296565))+0-0-0</f>
        <v>677.35437300000001</v>
      </c>
      <c r="Z50" s="3">
        <f>768.3+(616.8-552.8)+(-0.391833+(-0.314568--0.281928))+0-0-0</f>
        <v>831.87552699999992</v>
      </c>
      <c r="AA50" s="3">
        <f>870.3+(527.3-551.1)+(-0.443853+(-0.268923--0.281061))+0-0-0</f>
        <v>846.06828499999983</v>
      </c>
      <c r="AB50" s="3">
        <f>871.8+(543.9-550.4)+(-0.444618+(-0.277389--0.280704))+0-0-0</f>
        <v>864.85869700000001</v>
      </c>
      <c r="AC50" s="3">
        <f>867.2+(590.4-682.6)+(-2.21136+(-1.50552--1.74063))+0-0-0</f>
        <v>773.02374999999995</v>
      </c>
      <c r="AD50">
        <v>904.8</v>
      </c>
      <c r="AE50" s="3">
        <f>853+(599.1-547.3)+(0+(0-0))+0-0-0</f>
        <v>904.80000000000007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868.7+(623.5-688.5)+(-0.886074+(-0.63597--0.70227))+0-0-0</f>
        <v>802.88022599999999</v>
      </c>
      <c r="G51" s="3">
        <f>867.7+(558.9-699.6)+(-1.770108+(-1.140156--1.427184))+0-0-0</f>
        <v>725.51692000000003</v>
      </c>
      <c r="H51" s="3">
        <f>870.5+(501.4-684.5)+(0+(0-0))+0-0-0</f>
        <v>687.4</v>
      </c>
      <c r="I51" s="3">
        <f>868.7+(471.3-698.6)+(-2.215185+(-1.201815--1.78143))+0-0-0</f>
        <v>639.76443000000006</v>
      </c>
      <c r="J51" s="3">
        <f>864.8+(460.4-653.6)+(-2.20524+(-1.17402--1.66668))+0-0-0</f>
        <v>669.88741999999991</v>
      </c>
      <c r="K51" s="3">
        <f>812.3+(505.4-656.5)+(-0.828546+(-0.515508--0.66963))+0-0-0</f>
        <v>660.52557599999989</v>
      </c>
      <c r="L51" s="3">
        <f>755.9+(456.1-575.3)+(-2.698563+(-1.628277--2.053821))+0-0-0</f>
        <v>634.42698100000007</v>
      </c>
      <c r="M51" s="3">
        <f>790.3+(418-549.5)+(1.209159+(0.63954-0.840735))+0-0-0</f>
        <v>659.80796399999997</v>
      </c>
      <c r="N51" s="3">
        <f>878.8+(390.2-571.1)+(0.896376+(0.398004-0.582522))+0-0-0</f>
        <v>698.61185799999987</v>
      </c>
      <c r="O51" s="3">
        <f>873.8+(415-543.6)+(-0.891276+(-0.4233--0.554472))+0-0-0</f>
        <v>744.43989599999998</v>
      </c>
      <c r="P51" s="3">
        <f>874.7+(426.5-529.1)+(-1.338291+(-0.652545--0.809523))+0-0-0</f>
        <v>770.91868699999998</v>
      </c>
      <c r="Q51" s="3">
        <f>877.1+(424.8-530.4)+(0.447321+(0.216648-0.270504))+0-0-0</f>
        <v>771.89346499999999</v>
      </c>
      <c r="R51" s="3">
        <f>873.4+(394.1-530.8)+(-0.890868+(-0.401982--0.541416))+0-0-0</f>
        <v>735.94856600000003</v>
      </c>
      <c r="S51" s="3">
        <f>867.5+(463.1-601)+(-0.88485+(-0.472362--0.61302))+0-0-0</f>
        <v>728.85580800000002</v>
      </c>
      <c r="T51" s="3">
        <f>866.7+(511.6-633.2)+(-0.884034+(-0.521832--0.645864))+0-0-0</f>
        <v>744.33999800000004</v>
      </c>
      <c r="U51" s="3">
        <f>862.8+(552.4-665.5)+(-2.20014+(-1.40862--1.697025))+0-0-0</f>
        <v>747.78826499999991</v>
      </c>
      <c r="V51" s="3">
        <f>874.2+(573.1-687.9)+(-0.891684+(-0.584562--0.701658))+0-0-0</f>
        <v>758.6254120000001</v>
      </c>
      <c r="W51" s="3">
        <f>874.5+(550.7-673)+(-3.121965+(-1.965999--2.40261))+0-0-0</f>
        <v>749.51464600000008</v>
      </c>
      <c r="X51" s="3">
        <f>821.9+(514.1-599.9)+(-2.934183+(-1.835337--2.141643))+0-0-0</f>
        <v>733.47212300000001</v>
      </c>
      <c r="Y51" s="3">
        <f>743.3+(560.5-568.5)+(-0.758166+(-0.57171--0.57987))+0-0-0</f>
        <v>734.54999399999997</v>
      </c>
      <c r="Z51" s="3">
        <f>846.4+(580.3-578.5)+(-1.294992+(-0.887859--0.885105))+0-0-0</f>
        <v>846.90225399999997</v>
      </c>
      <c r="AA51" s="3">
        <f>870.7+(616.3-584.7)+(-2.220285+(-1.571565--1.490985))+0-0-0</f>
        <v>899.99913499999991</v>
      </c>
      <c r="AB51" s="3">
        <f>805+(610.4-568.2)+(0+(0-0))+0-0-0</f>
        <v>847.19999999999993</v>
      </c>
      <c r="AC51" s="3">
        <f>801.2+(624.6-636.3)+(-2.451672+(-1.911276--1.947078))+0-0-0</f>
        <v>787.08413000000007</v>
      </c>
      <c r="AD51">
        <v>901.2</v>
      </c>
      <c r="AE51" s="3">
        <f>870+(633.9-602.7)+(0+(0-0))+0-0-0</f>
        <v>901.19999999999993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799.4+(696.5-712.8)+(0+(0-0))+0-0-0</f>
        <v>783.1</v>
      </c>
      <c r="G52" s="3">
        <f>801.1+(643.2-720.1)+(-1.634244+(-1.312128--1.469004))+0-0-0</f>
        <v>722.72263200000009</v>
      </c>
      <c r="H52" s="3">
        <f>801+(586.8-686.3)+(-1.22553+(-0.897804--1.050039))+0-0-0</f>
        <v>700.42670499999997</v>
      </c>
      <c r="I52" s="3">
        <f>801.5+(585.8-706.8)+(-0.81753+(-0.597516--0.720936))+0-0-0</f>
        <v>679.80588999999998</v>
      </c>
      <c r="J52" s="3">
        <f>803+(532.5-666.4)+(-1.63812+(-1.0863--1.359456))+0-0-0</f>
        <v>667.73503600000004</v>
      </c>
      <c r="K52" s="3">
        <f>800.7+(503.2-624)+(-2.041785+(-1.28316--1.5912))+0-0-0</f>
        <v>678.16625500000009</v>
      </c>
      <c r="L52" s="3">
        <f>756+(467.3-571.8)+(-0.77112+(-0.476646--0.583236))+0-0-0</f>
        <v>650.83546999999999</v>
      </c>
      <c r="M52" s="3">
        <f>744.8+(465.1-531.1)+(-2.279088+(-1.423206--1.625166))+0-0-0</f>
        <v>676.72287199999994</v>
      </c>
      <c r="N52" s="3">
        <f>835.6+(420.6-517.9)+(0.852312+(0.429012-0.528258))+0-0-0</f>
        <v>739.05306600000006</v>
      </c>
      <c r="O52" s="3">
        <f>967+(309.1-437.7)+(0+(0-0))+0-0-0</f>
        <v>838.40000000000009</v>
      </c>
      <c r="P52" s="3">
        <f>960.9+(312.2-386.6)+(-0.980118+(-0.318444--0.394332))+0-0-0</f>
        <v>885.59577000000002</v>
      </c>
      <c r="Q52" s="3">
        <f>970+(279.4-376.6)+(-0.9894+(-0.284988--0.384132))+0-0-0</f>
        <v>871.90974399999993</v>
      </c>
      <c r="R52" s="3">
        <f>941.2+(301.2-378.9)+(-0.960024+(-0.307224--0.386478))+0-0-0</f>
        <v>862.61923000000002</v>
      </c>
      <c r="S52" s="3">
        <f>929.1+(423-480)+(0+(0-0))+0-0-0</f>
        <v>872.1</v>
      </c>
      <c r="T52" s="3">
        <f>973.5+(529.7-617.1)+(0.496485+(0.270147-0.314721))+0-0-0</f>
        <v>886.55191100000002</v>
      </c>
      <c r="U52" s="3">
        <f>973.6+(538.1-646.2)+(-0.496536+(-0.274431--0.329562))+0-0-0</f>
        <v>865.05859499999997</v>
      </c>
      <c r="V52" s="3">
        <f>961.1+(596.1-694)+(-2.450805+(-1.520055--1.7697))+0-0-0</f>
        <v>860.99884000000009</v>
      </c>
      <c r="W52" s="3">
        <f>962.9+(606.5-725)+(-3.437553+(-2.165205--2.58825))+0-0-0</f>
        <v>841.385492</v>
      </c>
      <c r="X52" s="3">
        <f>935.1+(622.8-728)+(-1.907604+(-1.270512--1.48512))+0-0-0</f>
        <v>828.20700399999998</v>
      </c>
      <c r="Y52" s="3">
        <f>876.7+(647.6-703)+(-2.235585+(-1.65138--1.79265))+0-0-0</f>
        <v>819.20568500000002</v>
      </c>
      <c r="Z52" s="3">
        <f>967.1+(695.2-722.8)+(-1.479663+(-1.063656--1.105884))+0-0-0</f>
        <v>938.06256500000006</v>
      </c>
      <c r="AA52" s="3">
        <f>975.9+(757.5-721.9)+(0+(0-0))+0-0-0</f>
        <v>1011.5</v>
      </c>
      <c r="AB52" s="3">
        <f>979.9+(836-805.8)+(-0.499749+(-0.42636--0.410958))+0-0-0</f>
        <v>1009.5848490000001</v>
      </c>
      <c r="AC52" s="3">
        <f>979+(843.3-861.5)+(-0.49929+(-0.430083--0.439365))+0-0-0</f>
        <v>960.30999199999997</v>
      </c>
      <c r="AD52">
        <v>956.19999999999993</v>
      </c>
      <c r="AE52" s="3">
        <f>976+(713.3-733.1)+(0+(0-0))+0-0-0</f>
        <v>956.19999999999993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978.3+(808.5-905.9)+(-0.498933+(-0.412335--0.462009))+0-0-0</f>
        <v>880.45074099999999</v>
      </c>
      <c r="G53" s="3">
        <f>976.8+(748.1-909)+(-1.494504+(-1.144593--1.39077))+0-0-0</f>
        <v>814.65167299999996</v>
      </c>
      <c r="H53" s="3">
        <f>971.9+(650-845.3)+(-2.478345+(-1.6575--2.155515))+0-0-0</f>
        <v>774.61967000000004</v>
      </c>
      <c r="I53" s="3">
        <f>973.6+(616.8-838.3)+(-2.48268+(-1.57284--2.137665))+0-0-0</f>
        <v>750.18214499999999</v>
      </c>
      <c r="J53" s="3">
        <f>978.3+(553.4-800.2)+(0.498933+(0.282234-0.408102))+0-0-0</f>
        <v>731.87306499999988</v>
      </c>
      <c r="K53" s="3">
        <f>976.8+(544-794.8)+(-0.498168+(-0.27744--0.405348))+0-0-0</f>
        <v>725.62973999999997</v>
      </c>
      <c r="L53" s="3">
        <f>955.4+(524.3-773.3)+(-1.949016+(-1.069572--1.577532))+0-0-0</f>
        <v>704.95894399999997</v>
      </c>
      <c r="M53" s="3">
        <f>936.9+(442.8-683)+(0.955638+(0.451656-0.69666))+0-0-0</f>
        <v>697.41063400000007</v>
      </c>
      <c r="N53" s="3">
        <f>973.8+(335.2-494.4)+(0.993276+(0.341904-0.504288))+0-0-0</f>
        <v>815.43089199999986</v>
      </c>
      <c r="O53" s="3">
        <f>971.4+(325-428.4)+(0.495414+(0.16575-0.218484))+0-0-0</f>
        <v>868.44268</v>
      </c>
      <c r="P53" s="3">
        <f>966.9+(317.8-384.3)+(-0.493119+(-0.162078--0.195993))+0-0-0</f>
        <v>899.94079599999998</v>
      </c>
      <c r="Q53" s="3">
        <f>1009.3+(310.8-396.5)+(-1.544229+(-0.475524--0.606645))+0-0-0</f>
        <v>922.18689199999994</v>
      </c>
      <c r="R53" s="3">
        <f>1060.6+(346.4-486)+(-1.081812+(-0.353328--0.49572))+0-0-0</f>
        <v>920.06057999999985</v>
      </c>
      <c r="S53" s="3">
        <f>1073.5+(464.5-607)+(-1.09497+(-0.47379--0.61914))+0-0-0</f>
        <v>930.05038000000002</v>
      </c>
      <c r="T53" s="3">
        <f>1140.5+(588.8-765)+(-0.581655+(-0.300288--0.39015))+0-0-0</f>
        <v>963.80820699999992</v>
      </c>
      <c r="U53" s="3">
        <f>1187.7+(606.3-813.7)+(-3.028635+(-1.546065--2.074935))+0-0-0</f>
        <v>977.80023499999993</v>
      </c>
      <c r="V53" s="3">
        <f>1191.6+(565.8-790.4)+(-0.607716+(-0.288558--0.403104))+0-0-0</f>
        <v>966.50682999999992</v>
      </c>
      <c r="W53" s="3">
        <f>1181.2+(481-720.9)+(-4.216884+(-1.71717--2.573613))+0-0-0</f>
        <v>937.93955900000003</v>
      </c>
      <c r="X53" s="3">
        <f>1165.4+(431.2-739.2)+(-2.377416+(-0.879648--1.507968))+0-0-0</f>
        <v>855.65090400000008</v>
      </c>
      <c r="Y53" s="3">
        <f>943.5+(507.2-638.7)+(-1.92474+(-1.034688--1.302948))+0-0-0</f>
        <v>810.34352000000001</v>
      </c>
      <c r="Z53" s="3">
        <f>1163.3+(505.6-712.8)+(-1.779849+(-0.773568--1.090584))+0-0-0</f>
        <v>954.63716699999998</v>
      </c>
      <c r="AA53" s="3">
        <f>1191.7+(554.2-738.6)+(-2.431068+(-1.130568--1.506744))+0-0-0</f>
        <v>1005.2451080000001</v>
      </c>
      <c r="AB53" s="3">
        <f>1153.4+(611.5-775.9)+(-1.176468+(-0.62373--0.791418))+0-0-0</f>
        <v>987.99122000000011</v>
      </c>
      <c r="AC53" s="3">
        <f>1164.2+(669.5-878.4)+(-2.374968+(-1.36578--1.791936))+0-0-0</f>
        <v>953.35118800000009</v>
      </c>
      <c r="AD53">
        <v>939.2</v>
      </c>
      <c r="AE53" s="3">
        <f>1195+(510-765.8)+(0+(0-0))+0-0-0</f>
        <v>939.2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1195.4+(594.8-889.6)+(-1.828962+(-0.910044--1.361088))+0-0-0</f>
        <v>899.222082</v>
      </c>
      <c r="G54" s="3">
        <f>1075.1+(586.6-853.1)+(-1.644903+(-0.897498--1.305243))+0-0-0</f>
        <v>807.36284199999989</v>
      </c>
      <c r="H54" s="3">
        <f>901.4+(652.7-803.7)+(-1.838856+(-1.331508--1.639548))+0-0-0</f>
        <v>748.86918400000002</v>
      </c>
      <c r="I54" s="3">
        <f>834.5+(600-724.6)+(0+(0-0))+0-0-0</f>
        <v>709.9</v>
      </c>
      <c r="J54" s="3">
        <f>835.4+(598.1-714.2)+(-0.852108+(-0.610062--0.728484))+0-0-0</f>
        <v>718.56631399999992</v>
      </c>
      <c r="K54" s="3">
        <f>835.6+(507.5-655)+(0+(0-0))+0-0-0</f>
        <v>688.1</v>
      </c>
      <c r="L54" s="3">
        <f>825.1+(497.9-647.5)+(-2.104005+(-1.269645--1.651125))+0-0-0</f>
        <v>673.77747499999998</v>
      </c>
      <c r="M54" s="3">
        <f>819.4+(497.2-647.2)+(0.835788+(0.507144-0.660144))+0-0-0</f>
        <v>670.08278799999982</v>
      </c>
      <c r="N54" s="3">
        <f>820.4+(531.8-644)+(0.418404+(0.271218-0.32844))+0-0-0</f>
        <v>708.56118199999992</v>
      </c>
      <c r="O54" s="3">
        <f>857.6+(579.4-671.3)+(-0.874752+(-0.590988--0.684726))+0-0-0</f>
        <v>764.91898600000002</v>
      </c>
      <c r="P54" s="3">
        <f>862.5+(589.6-648.4)+(-0.439875+(-0.300696--0.330684))+0-0-0</f>
        <v>803.29011300000002</v>
      </c>
      <c r="Q54" s="3">
        <f>863.7+(599.4-646.6)+(0.880974+(0.611388-0.659532))+0-0-0</f>
        <v>817.33282999999994</v>
      </c>
      <c r="R54" s="3">
        <f>863.5+(626.2-667.2)+(1.76154+(1.277448-1.361088))+0-0-0</f>
        <v>824.17790000000002</v>
      </c>
      <c r="S54" s="3">
        <f>860.8+(607.2-669.3)+(-0.439008+(-0.309672--0.341343))+0-0-0</f>
        <v>798.29266300000006</v>
      </c>
      <c r="T54" s="3">
        <f>855.9+(664.9-704.9)+(-2.182545+(-1.695495--1.797495))+0-0-0</f>
        <v>813.81945499999995</v>
      </c>
      <c r="U54" s="3">
        <f>853.6+(709.1-738.2)+(-1.741344+(-1.446564--1.505928))+0-0-0</f>
        <v>822.81802000000005</v>
      </c>
      <c r="V54" s="3">
        <f>851.9+(690.1-736.6)+(-1.303407+(-1.055853--1.126998))+0-0-0</f>
        <v>804.16773799999999</v>
      </c>
      <c r="W54" s="3">
        <f>807.4+(648.2-669.1)+(-2.470644+(-1.983492--2.047446))+0-0-0</f>
        <v>784.09330999999997</v>
      </c>
      <c r="X54" s="3">
        <f>751.5+(576.9-582.5)+(-1.916325+(-1.471095--1.485375))+0-0-0</f>
        <v>743.99795499999993</v>
      </c>
      <c r="Y54" s="3">
        <f>750.7+(526.7-534.8)+(0+(0-0))+0-0-0</f>
        <v>742.60000000000014</v>
      </c>
      <c r="Z54" s="3">
        <f>776.9+(583.8-501.2)+(-1.584876+(-1.190952--1.022448))+0-0-0</f>
        <v>857.74662000000001</v>
      </c>
      <c r="AA54" s="3">
        <f>807.8+(613.1-510.8)+(-1.235934+(-0.938043--0.781524))+0-0-0</f>
        <v>908.70754699999986</v>
      </c>
      <c r="AB54" s="3">
        <f>808.3+(658.7-561.5)+(0+(0-0))+0-0-0</f>
        <v>905.5</v>
      </c>
      <c r="AC54" s="3">
        <f>806.4+(681.2-616.5)+(-0.822528+(-0.694824--0.62883))+0-0-0</f>
        <v>870.21147800000006</v>
      </c>
      <c r="AD54">
        <v>898.90000000000009</v>
      </c>
      <c r="AE54" s="3">
        <f>804+(576.2-481.3)+(0+(0-0))+0-0-0</f>
        <v>898.90000000000009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807+(708.1-712.3)+(-1.23471+(-1.083393--1.089819))+0-0-0</f>
        <v>801.57171600000004</v>
      </c>
      <c r="G55" s="3">
        <f>806.2+(674.8-738.2)+(-2.05581+(-1.72074--1.88241))+0-0-0</f>
        <v>740.90585999999996</v>
      </c>
      <c r="H55" s="3">
        <f>806.8+(643.6-727.5)+(0.411468+(0.328236-0.371025))+0-0-0</f>
        <v>723.26867900000002</v>
      </c>
      <c r="I55" s="3">
        <f>786.3+(631-714)+(-1.604052+(-1.28724--1.45656))+0-0-0</f>
        <v>701.8652679999999</v>
      </c>
      <c r="J55" s="3">
        <f>782.7+(627.3-720.9)+(-1.197531+(-0.959769--1.102977))+0-0-0</f>
        <v>688.04567700000007</v>
      </c>
      <c r="K55" s="3">
        <f>771.1+(626.2-716)+(-1.573044+(-1.277448--1.46064))+0-0-0</f>
        <v>679.91014800000005</v>
      </c>
      <c r="L55" s="3">
        <f>727.4+(521.9-612.8)+(-1.85487+(-1.330845--1.56264))+0-0-0</f>
        <v>634.87692500000003</v>
      </c>
      <c r="M55" s="3">
        <f>766.7+(471.7-584.7)+(0+(0-0))+0-0-0</f>
        <v>653.70000000000005</v>
      </c>
      <c r="N55" s="3">
        <f>909.5+(423.3-594.6)+(-2.319225+(-1.079415--1.51623))+0-0-0</f>
        <v>736.31759</v>
      </c>
      <c r="O55" s="3">
        <f>1002.4+(422-626.7)+(-1.533672+(-0.64566--0.958851))+0-0-0</f>
        <v>796.47951899999998</v>
      </c>
      <c r="P55" s="3">
        <f>1042.2+(368.5-588.7)+(-1.063044+(-0.37587--0.600474))+0-0-0</f>
        <v>821.16156000000001</v>
      </c>
      <c r="Q55" s="3">
        <f>1064.2+(363.2-588.7)+(0+(0-0))+0-0-0</f>
        <v>838.7</v>
      </c>
      <c r="R55" s="3">
        <f>1055.8+(365.8-578.2)+(-1.615374+(-0.559674--0.884646))+0-0-0</f>
        <v>842.10959799999989</v>
      </c>
      <c r="S55" s="3">
        <f>1052.1+(399.6-622.7)+(-2.146284+(-0.815184--1.270308))+0-0-0</f>
        <v>827.30883999999992</v>
      </c>
      <c r="T55" s="3">
        <f>1057+(467.1-685.1)+(-2.15628+(-0.952884--1.397604))+0-0-0</f>
        <v>837.28844000000004</v>
      </c>
      <c r="U55" s="3">
        <f>1059.8+(511-739)+(-0.540498+(-0.26061--0.37689))+0-0-0</f>
        <v>831.37578199999996</v>
      </c>
      <c r="V55" s="3">
        <f>1072.8+(425.2-678)+(0+(0-0))+0-0-0</f>
        <v>820</v>
      </c>
      <c r="W55" s="3">
        <f>1115.1+(412.2-681.4)+(-3.412206+(-1.261332--2.085084))+0-0-0</f>
        <v>843.31154599999991</v>
      </c>
      <c r="X55" s="3">
        <f>1062+(328.3-564.9)+(-4.87458+(-1.506897--2.592891))+0-0-0</f>
        <v>821.61141400000008</v>
      </c>
      <c r="Y55" s="3">
        <f>978.6+(355.7-517.5)+(-0.998172+(-0.362814--0.52785))+0-0-0</f>
        <v>815.96686399999999</v>
      </c>
      <c r="Z55" s="3">
        <f>1143.4+(428.4-608.6)+(-1.749402+(-0.655452--0.931158))+0-0-0</f>
        <v>961.72630400000003</v>
      </c>
      <c r="AA55" s="3">
        <f>1145+(510.5-655.8)+(-1.75185+(-0.781065--1.003374))+0-0-0</f>
        <v>998.17045900000005</v>
      </c>
      <c r="AB55" s="3">
        <f>1104.9+(506.9-655.1)+(-0.563499+(-0.258519--0.334101))+0-0-0</f>
        <v>956.21208300000001</v>
      </c>
      <c r="AC55" s="3">
        <f>1037.6+(567-693.6)+(-1.058352+(-0.57834--0.707472))+0-0-0</f>
        <v>910.0707799999999</v>
      </c>
      <c r="AD55">
        <v>941.1</v>
      </c>
      <c r="AE55" s="3">
        <f>1141+(452-651.9)+(0+(0-0))+0-0-0</f>
        <v>941.1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1017.8+(535-726.3)+(-1.038156+(-0.5457--0.740826))+0-0-0</f>
        <v>825.65697</v>
      </c>
      <c r="G56" s="3">
        <f>1018.4+(526.2-759.9)+(-3.116304+(-1.610172--2.325294))+0-0-0</f>
        <v>782.2988180000001</v>
      </c>
      <c r="H56" s="3">
        <f>1017.9+(484.3-749.8)+(-1.557387+(-0.740979--1.147194))+0-0-0</f>
        <v>751.24882800000012</v>
      </c>
      <c r="I56" s="3">
        <f>1023.6+(522.6-788.8)+(-1.044072+(-0.533052--0.804576))+0-0-0</f>
        <v>756.62745200000006</v>
      </c>
      <c r="J56" s="3">
        <f>986.6+(523.6-760.6)+(-2.012664+(-1.068144--1.551624))+0-0-0</f>
        <v>748.07081600000004</v>
      </c>
      <c r="K56" s="3">
        <f>903.6+(518.1-686.8)+(-3.225852+(-1.849617--2.451876))+0-0-0</f>
        <v>732.27640700000006</v>
      </c>
      <c r="L56" s="3">
        <f>897.1+(447.2-640.7)+(-0.915042+(-0.456144--0.653514))+0-0-0</f>
        <v>702.88232799999992</v>
      </c>
      <c r="M56" s="3">
        <f>897.4+(366.1-559.1)+(0.457674+(0.186711-0.285141))+0-0-0</f>
        <v>704.75924399999997</v>
      </c>
      <c r="N56" s="3">
        <f>914.5+(425.5-572.6)+(0.93279+(0.43401-0.584052))+0-0-0</f>
        <v>768.18274799999995</v>
      </c>
      <c r="O56" s="3">
        <f>950+(447.7-591.8)+(1.4535+(0.684981-0.905454))+0-0-0</f>
        <v>807.13302700000008</v>
      </c>
      <c r="P56" s="3">
        <f>942.6+(463.4-572.6)+(0.480726+(0.236334-0.292026))+0-0-0</f>
        <v>833.82503399999996</v>
      </c>
      <c r="Q56" s="3">
        <f>988.6+(423.1-603)+(-1.512558+(-0.647343--0.92259))+0-0-0</f>
        <v>807.46268900000007</v>
      </c>
      <c r="R56" s="3">
        <f>1005.6+(470.5-605)+(1.538568+(0.719865-0.92565))+0-0-0</f>
        <v>872.43278299999997</v>
      </c>
      <c r="S56" s="3">
        <f>1063.4+(559.4-736.5)+(-1.084668+(-0.570588--0.75123))+0-0-0</f>
        <v>885.39597400000002</v>
      </c>
      <c r="T56" s="3">
        <f>1112.9+(582.2-790.7)+(-0.567579+(-0.296922--0.403257))+0-0-0</f>
        <v>903.93875600000013</v>
      </c>
      <c r="U56" s="3">
        <f>1131.1+(594.3-814.1)+(-2.307444+(-1.212372--1.660764))+0-0-0</f>
        <v>909.44094799999982</v>
      </c>
      <c r="V56" s="3">
        <f>1022.4+(591-704.8)+(-1.042848+(-0.60282--0.718896))+0-0-0</f>
        <v>907.67322799999999</v>
      </c>
      <c r="W56" s="3">
        <f>952.8+(529-619.8)+(-2.915568+(-1.61874--1.896588))+0-0-0</f>
        <v>859.36228000000006</v>
      </c>
      <c r="X56" s="3">
        <f>881.5+(458.4-547.7)+(-1.79826+(-0.935136--1.117308))+0-0-0</f>
        <v>790.58391199999994</v>
      </c>
      <c r="Y56" s="3">
        <f>872.2+(540.5-581.6)+(-0.444822+(-0.275655--0.296616))+0-0-0</f>
        <v>830.67613900000003</v>
      </c>
      <c r="Z56" s="3">
        <f>1052.1+(572-683.1)+(-1.073142+(-0.58344--0.696762))+0-0-0</f>
        <v>940.04017999999985</v>
      </c>
      <c r="AA56" s="3">
        <f>1046.1+(503.5-574.2)+(-1.600533+(-0.770355--0.878526))+0-0-0</f>
        <v>973.90763799999991</v>
      </c>
      <c r="AB56" s="3">
        <f>995.6+(486.2-558.4)+(0+(0-0))+0-0-0</f>
        <v>923.40000000000009</v>
      </c>
      <c r="AC56" s="3">
        <f>916.7+(575.7-610.7)+(-1.402551+(-0.880821--0.934371))+0-0-0</f>
        <v>880.350999</v>
      </c>
      <c r="AD56">
        <v>965.69999999999993</v>
      </c>
      <c r="AE56" s="3">
        <f>1098+(534.6-666.9)+(0+(0-0))+0-0-0</f>
        <v>965.7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917.3+(639.5-723.4)+(-2.339115+(-1.630725--1.84467))+0-0-0</f>
        <v>831.27482999999995</v>
      </c>
      <c r="G57" s="3">
        <f>914.9+(551.1-695.8)+(-2.332995+(-1.405305--1.77429))+0-0-0</f>
        <v>768.23599000000002</v>
      </c>
      <c r="H57" s="3">
        <f>791.7+(532.4-611.9)+(-2.018835+(-1.35762--1.560345))+0-0-0</f>
        <v>710.38389000000006</v>
      </c>
      <c r="I57" s="3">
        <f>702.8+(598-617.9)+(-0.716856+(-0.60996--0.630258))+0-0-0</f>
        <v>682.203442</v>
      </c>
      <c r="J57" s="3">
        <f>702.7+(561.2-586.6)+(-0.358377+(-0.286212--0.299166))+0-0-0</f>
        <v>676.95457700000009</v>
      </c>
      <c r="K57" s="3">
        <f>702.2+(557.3-585.5)+(-1.074366+(-0.852669--0.895815))+0-0-0</f>
        <v>672.96878000000004</v>
      </c>
      <c r="L57" s="3">
        <f>703.5+(512.8-552.2)+(-0.71757+(-0.523056--0.563244))+0-0-0</f>
        <v>663.42261799999994</v>
      </c>
      <c r="M57" s="3">
        <f>796.5+(406.9-540.6)+(0+(0-0))+0-0-0</f>
        <v>662.8</v>
      </c>
      <c r="N57" s="3">
        <f>888.4+(411-562.3)+(0.906168+(0.41922-0.573546))+0-0-0</f>
        <v>737.85184200000003</v>
      </c>
      <c r="O57" s="3">
        <f>880.2+(502.3-559.3)+(0+(0-0))+0-0-0</f>
        <v>823.2</v>
      </c>
      <c r="P57" s="3">
        <f>876.5+(531.2-564.2)+(0+(0-0))+0-0-0</f>
        <v>843.5</v>
      </c>
      <c r="Q57" s="3">
        <f>870.5+(522.1-555.2)+(0.443955+(0.266271-0.283152))+0-0-0</f>
        <v>837.82707399999993</v>
      </c>
      <c r="R57" s="3">
        <f>861.5+(383.1-366.1)+(-1.318095+(-0.586143--0.560133))+0-0-0</f>
        <v>877.15589499999999</v>
      </c>
      <c r="S57" s="3">
        <f>866.6+(486.3-469.8)+(-0.441966+(-0.248013--0.239598))+0-0-0</f>
        <v>882.64961900000003</v>
      </c>
      <c r="T57" s="3">
        <f>863.6+(545.2-539.6)+(-2.642616+(-1.668312--1.651176))+0-0-0</f>
        <v>866.54024800000002</v>
      </c>
      <c r="U57" s="3">
        <f>863.8+(610-583.8)+(-2.643228+(-1.8666--1.786428))+0-0-0</f>
        <v>887.27660000000003</v>
      </c>
      <c r="V57" s="3">
        <f>864.1+(631.7-597.4)+(-3.084837+(-2.255169--2.132718))+0-0-0</f>
        <v>895.19271200000014</v>
      </c>
      <c r="W57" s="3">
        <f>861.7+(587.6-583.5)+(-3.515736+(-2.397408--2.38068))+0-0-0</f>
        <v>862.26753600000006</v>
      </c>
      <c r="X57" s="3">
        <f>864.2+(570.8-577.6)+(-3.085194+(-2.037756--2.062032))+0-0-0</f>
        <v>854.33908199999996</v>
      </c>
      <c r="Y57" s="3">
        <f>867.9+(579.1-572.6)+(-1.770516+(-1.181364--1.168104))+0-0-0</f>
        <v>872.61622399999999</v>
      </c>
      <c r="Z57" s="3">
        <f>870.3+(602.9-555.2)+(-2.663118+(-1.844874--1.698912))+0-0-0</f>
        <v>915.19091999999989</v>
      </c>
      <c r="AA57" s="3">
        <f>871.8+(630.7-520.8)+(-1.778472+(-1.286628--1.062432))+0-0-0</f>
        <v>979.69733200000007</v>
      </c>
      <c r="AB57" s="3">
        <f>870.4+(670.6-584.6)+(-1.775616+(-1.368024--1.192584))+0-0-0</f>
        <v>954.44894399999998</v>
      </c>
      <c r="AC57" s="3">
        <f>869.9+(703.4-668.7)+(-1.330947+(-1.076202--1.023111))+0-0-0</f>
        <v>903.21596199999988</v>
      </c>
      <c r="AD57">
        <v>930.3</v>
      </c>
      <c r="AE57" s="3">
        <f>872+(621.1-562.8)+(0+(0-0))+0-0-0</f>
        <v>930.30000000000007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870.2+(683.3-719.7)+(-0.887604+(-0.696966--0.734094))+0-0-0</f>
        <v>832.949524</v>
      </c>
      <c r="G58" s="3">
        <f>867.6+(630.5-709.9)+(-1.769904+(-1.28622--1.448196))+0-0-0</f>
        <v>786.59207200000003</v>
      </c>
      <c r="H58" s="3">
        <f>869.7+(544.5-663.1)+(-0.887094+(-0.55539--0.676362))+0-0-0</f>
        <v>750.33387800000003</v>
      </c>
      <c r="I58" s="3">
        <f>839+(540.3-657.3)+(-1.71156+(-1.102212--1.340892))+0-0-0</f>
        <v>720.52711999999997</v>
      </c>
      <c r="J58" s="3">
        <f>780.1+(524.9-602.6)+(-1.193553+(-0.803097--0.921978))+0-0-0</f>
        <v>701.32532800000001</v>
      </c>
      <c r="K58" s="3">
        <f>721.7+(525.1-557)+(-2.208402+(-1.606806--1.70442))+0-0-0</f>
        <v>687.68921200000011</v>
      </c>
      <c r="L58" s="3">
        <f>674.8+(480-504.9)+(-1.72074+(-1.224--1.287495))+0-0-0</f>
        <v>648.24275499999999</v>
      </c>
      <c r="M58" s="3">
        <f>683.9+(472.9-503.7)+(-0.348789+(-0.241179--0.256887))+0-0-0</f>
        <v>652.76691899999992</v>
      </c>
      <c r="N58" s="3">
        <f>788.2+(477.4-526.9)+(0+(0-0))+0-0-0</f>
        <v>738.7</v>
      </c>
      <c r="O58" s="3">
        <f>852+(475.2-539.1)+(-0.43452+(-0.242352--0.274941))+0-0-0</f>
        <v>787.69806899999992</v>
      </c>
      <c r="P58" s="3">
        <f>852.6+(441-484.8)+(0.434826+(0.22491-0.247248))+0-0-0</f>
        <v>809.21248800000001</v>
      </c>
      <c r="Q58" s="3">
        <f>853.3+(417.5-427.1)+(0.870366+(0.42585-0.435642))+0-0-0</f>
        <v>844.56057399999997</v>
      </c>
      <c r="R58" s="3">
        <f>880.8+(396.2-427.5)+(-0.898416+(-0.404124--0.43605))+0-0-0</f>
        <v>848.63351</v>
      </c>
      <c r="S58" s="3">
        <f>880+(452.6-473.6)+(-2.244+(-1.15413--1.20768))+0-0-0</f>
        <v>856.80954999999994</v>
      </c>
      <c r="T58" s="3">
        <f>882.6+(461.2-459.2)+(0+(0-0))+0-0-0</f>
        <v>884.6</v>
      </c>
      <c r="U58" s="3">
        <f>878.5+(461.4-509.7)+(-1.344105+(-0.705942--0.779841))+0-0-0</f>
        <v>828.92979400000002</v>
      </c>
      <c r="V58" s="3">
        <f>861.6+(487.4-495)+(-0.878832+(-0.497148--0.5049))+0-0-0</f>
        <v>853.12891999999999</v>
      </c>
      <c r="W58" s="3">
        <f>821.5+(509.1-548.6)+(-2.51379+(-1.557846--1.678716))+0-0-0</f>
        <v>779.60708</v>
      </c>
      <c r="X58" s="3">
        <f>763.5+(533.1-445.9)+(-2.33631+(-1.631286--1.364454))+0-0-0</f>
        <v>848.096858</v>
      </c>
      <c r="Y58" s="3">
        <f>692.5+(580.7-495.5)+(-1.059525+(-0.888471--0.758115))+0-0-0</f>
        <v>776.51011900000003</v>
      </c>
      <c r="Z58" s="3">
        <f>735.6+(610.1-472.3)+(-1.500624+(-1.244604--0.963492))+0-0-0</f>
        <v>871.61826400000007</v>
      </c>
      <c r="AA58" s="3">
        <f>868.3+(587.8-506.1)+(-2.214165+(-1.49889--1.290555))+0-0-0</f>
        <v>947.57749999999987</v>
      </c>
      <c r="AB58" s="3">
        <f>903+(675.5-627)+(0+(0-0))+0-0-0</f>
        <v>951.5</v>
      </c>
      <c r="AC58" s="3">
        <f>918.9+(718.6-710.7)+(-1.874556+(-1.465944--1.449828))+0-0-0</f>
        <v>924.90932799999996</v>
      </c>
      <c r="AD58">
        <v>855.59999999999991</v>
      </c>
      <c r="AE58" s="3">
        <f>861+(511.8-517.2)+(0+(0-0))+0-0-0</f>
        <v>855.59999999999991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841.4+(716.9-703.2)+(-1.716456+(-1.462476--1.434528))+0-0-0</f>
        <v>853.35559599999988</v>
      </c>
      <c r="G59" s="3">
        <f>859.8+(674.5-752)+(-0.876996+(-0.68799--0.76704))+0-0-0</f>
        <v>781.50205399999993</v>
      </c>
      <c r="H59" s="3">
        <f>861.4+(551.2-663.3)+(-0.439314+(-0.281112--0.338283))+0-0-0</f>
        <v>748.91785700000003</v>
      </c>
      <c r="I59" s="3">
        <f>861.3+(504.2-624.3)+(-0.878526+(-0.514284--0.636786))+0-0-0</f>
        <v>740.44397600000002</v>
      </c>
      <c r="J59" s="3">
        <f>859.3+(512.7-646.7)+(0+(0-0))+0-0-0</f>
        <v>725.3</v>
      </c>
      <c r="K59" s="3">
        <f>857.4+(509.5-643.9)+(-1.749096+(-1.03938--1.313556))+0-0-0</f>
        <v>721.52508</v>
      </c>
      <c r="L59" s="3">
        <f>769.7+(481-565.6)+(-1.962735+(-1.22655--1.44228))+0-0-0</f>
        <v>683.35299500000008</v>
      </c>
      <c r="M59" s="3">
        <f>812+(408.7-517.2)+(0+(0-0))+0-0-0</f>
        <v>703.5</v>
      </c>
      <c r="N59" s="3">
        <f>862+(389.5-514.3)+(-0.43962+(-0.198645--0.262293))+0-0-0</f>
        <v>736.824028</v>
      </c>
      <c r="O59" s="3">
        <f>891.1+(419.9-501.5)+(-0.454461+(-0.214149--0.255765))+0-0-0</f>
        <v>809.08715500000005</v>
      </c>
      <c r="P59" s="3">
        <f>933.1+(422-513.5)+(-0.951762+(-0.43044--0.52377))+0-0-0</f>
        <v>840.74156800000003</v>
      </c>
      <c r="Q59" s="3">
        <f>847.6+(442.6-433.3)+(0.432276+(0.225726-0.220983))+0-0-0</f>
        <v>857.33701900000005</v>
      </c>
      <c r="R59" s="3">
        <f>858.7+(487.9-489.2)+(-0.437937+(-0.248829--0.249492))+0-0-0</f>
        <v>856.96272600000009</v>
      </c>
      <c r="S59" s="3">
        <f>863+(583.4-566.6)+(0.44013+(0.297534-0.288966))+0-0-0</f>
        <v>880.24869799999999</v>
      </c>
      <c r="T59" s="3">
        <f>859.5+(584.5-596.3)+(-0.438345+(-0.298095--0.304113))+0-0-0</f>
        <v>847.26767300000006</v>
      </c>
      <c r="U59" s="3">
        <f>852.8+(597.8-541.7)+(-2.17464+(-1.52439--1.381335))+0-0-0</f>
        <v>906.58230499999991</v>
      </c>
      <c r="V59" s="3">
        <f>862.1+(611.2-559.2)+(-1.758684+(-1.246848--1.140768))+0-0-0</f>
        <v>912.23523599999999</v>
      </c>
      <c r="W59" s="3">
        <f>862.5+(604.4-606.8)+(-2.199375+(-1.54122--1.54734))+0-0-0</f>
        <v>857.906745</v>
      </c>
      <c r="X59" s="3">
        <f>851.3+(647.4-663.4)+(-3.039141+(-2.311218--2.368338))+0-0-0</f>
        <v>832.31797899999992</v>
      </c>
      <c r="Y59" s="3">
        <f>781.3+(712.5-667.4)+(-0.796926+(-0.72675--0.680748))+0-0-0</f>
        <v>825.55707199999995</v>
      </c>
      <c r="Z59" s="3">
        <f>1030.1+(663.8-773.4)+(-1.050702+(-0.677076--0.788868))+0-0-0</f>
        <v>919.56108999999992</v>
      </c>
      <c r="AA59" s="3">
        <f>1091.6+(737.6-805.3)+(-2.226864+(-1.504704--1.642812))+0-0-0</f>
        <v>1021.811244</v>
      </c>
      <c r="AB59" s="3">
        <f>1078.6+(797.8-859.5)+(-2.75043+(-2.03439--2.191725))+0-0-0</f>
        <v>1014.3069049999999</v>
      </c>
      <c r="AC59" s="3">
        <f>1094.3+(796.1-920.3)+(-0.558093+(-0.406011--0.469353))+0-0-0</f>
        <v>969.60524900000007</v>
      </c>
      <c r="AD59">
        <v>916.1</v>
      </c>
      <c r="AE59" s="3">
        <f>1098+(635.5-817.4)+(0+(0-0))+0-0-0</f>
        <v>916.1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1080.8+(657.9-972.7)+(-2.75604+(-1.677645--2.480385))+0-0-0</f>
        <v>764.04669999999987</v>
      </c>
      <c r="G60" s="3">
        <f>1099.8+(564.9-965.1)+(-0.560898+(-0.288099--0.492201))+0-0-0</f>
        <v>699.24320399999988</v>
      </c>
      <c r="H60" s="3">
        <f>967.7+(602.5-888.6)+(-1.974108+(-1.2291--1.812744))+0-0-0</f>
        <v>680.20953600000007</v>
      </c>
      <c r="I60" s="3">
        <f>866.4+(606.9-823.5)+(-2.20932+(-1.547595--2.099925))+0-0-0</f>
        <v>648.14301</v>
      </c>
      <c r="J60" s="3">
        <f>869.1+(547.8-771.7)+(-1.329723+(-0.838134--1.180701))+0-0-0</f>
        <v>644.2128439999999</v>
      </c>
      <c r="K60" s="3">
        <f>870.5+(483.4-729.2)+(-1.331865+(-0.739602--1.115676))+0-0-0</f>
        <v>623.74420899999996</v>
      </c>
      <c r="L60" s="3">
        <f>837.8+(434.7-654.5)+(-0.427278+(-0.221697--0.333795))+0-0-0</f>
        <v>617.68481999999995</v>
      </c>
      <c r="M60" s="3">
        <f>847.9+(419.7-657.9)+(-0.432429+(-0.214047--0.335529))+0-0-0</f>
        <v>609.38905299999999</v>
      </c>
      <c r="N60" s="3">
        <f>874.8+(489-672)+(0.446148+(0.24939-0.34272))+0-0-0</f>
        <v>692.15281799999991</v>
      </c>
      <c r="O60" s="3">
        <f>870.4+(445.3-568.7)+(-1.331712+(-0.681309--0.870111))+0-0-0</f>
        <v>745.85708999999997</v>
      </c>
      <c r="P60" s="3">
        <f>871.4+(441.8-527.5)+(-0.888828+(-0.450636--0.53805))+0-0-0</f>
        <v>784.89858600000002</v>
      </c>
      <c r="Q60" s="3">
        <f>870.8+(426.3-520.4)+(-0.888216+(-0.434826--0.530808))+0-0-0</f>
        <v>775.90776600000004</v>
      </c>
      <c r="R60" s="3">
        <f>877.1+(472.4-589.1)+(0.447321+(0.240924-0.300441))+0-0-0</f>
        <v>760.78780399999994</v>
      </c>
      <c r="S60" s="3">
        <f>884.7+(564.3-693.7)+(-0.451197+(-0.287793--0.353787))+0-0-0</f>
        <v>754.91479699999991</v>
      </c>
      <c r="T60" s="3">
        <f>917.8+(582.1-774)+(0.468078+(0.296871-0.39474))+0-0-0</f>
        <v>726.27020900000002</v>
      </c>
      <c r="U60" s="3">
        <f>1007.2+(604-843.5)+(-1.541016+(-0.92412--1.290555))+0-0-0</f>
        <v>766.52541900000006</v>
      </c>
      <c r="V60" s="3">
        <f>994.7+(660.3-876.3)+(-0.507297+(-0.336753--0.446913))+0-0-0</f>
        <v>778.302863</v>
      </c>
      <c r="W60" s="3">
        <f>965.1+(666.9-851.3)+(-2.461005+(-1.700595--2.170815))+0-0-0</f>
        <v>778.70921500000009</v>
      </c>
      <c r="X60" s="3">
        <f>963.6+(625.2-828.8)+(-2.45718+(-1.59426--2.11344))+0-0-0</f>
        <v>758.06200000000013</v>
      </c>
      <c r="Y60" s="3">
        <f>944.5+(626.5-830.8)+(-1.445085+(-0.958545--1.271124))+0-0-0</f>
        <v>739.06749400000001</v>
      </c>
      <c r="Z60" s="3">
        <f>976.7+(677.8-777.7)+(-1.494351+(-1.037034--1.189881))+0-0-0</f>
        <v>875.45849599999997</v>
      </c>
      <c r="AA60" s="3">
        <f>972.5+(765.8-793.2)+(-2.479875+(-1.95279--2.02266))+0-0-0</f>
        <v>942.68999499999995</v>
      </c>
      <c r="AB60" s="3">
        <f>956+(724.7-766.5)+(-0.97512+(-0.739194--0.78183))+0-0-0</f>
        <v>913.267516</v>
      </c>
      <c r="AC60" s="3">
        <f>960.2+(684.5-785.4)+(0+(0-0))+0-0-0</f>
        <v>859.30000000000007</v>
      </c>
      <c r="AD60">
        <v>921</v>
      </c>
      <c r="AE60" s="3">
        <f>976+(697.7-752.7)+(0+(0-0))+0-0-0</f>
        <v>921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961.8+(606.6-841.4)+(0+(0-0))+0-0-0</f>
        <v>727</v>
      </c>
      <c r="G61" s="3">
        <f>876.6+(649.1-852)+(-1.788264+(-1.324164--1.73808))+0-0-0</f>
        <v>672.32565199999999</v>
      </c>
      <c r="H61" s="3">
        <f>855.1+(584.1-805.8)+(0+(0-0))+0-0-0</f>
        <v>633.40000000000009</v>
      </c>
      <c r="I61" s="3">
        <f>779.5+(561.8-720.7)+(-0.397545+(-0.286518--0.367557))+0-0-0</f>
        <v>620.28349399999991</v>
      </c>
      <c r="J61" s="3">
        <f>705.7+(495.5-616.9)+(0+(0-0))+0-0-0</f>
        <v>584.30000000000007</v>
      </c>
      <c r="K61" s="3">
        <f>702.9+(502.6-618.5)+(-1.433916+(-1.025304--1.26174))+0-0-0</f>
        <v>585.80251999999996</v>
      </c>
      <c r="L61" s="3">
        <f>698.5+(566.1-594)+(-3.206115+(-2.598399--2.72646))+0-0-0</f>
        <v>667.52194600000007</v>
      </c>
      <c r="M61" s="3">
        <f>703.4+(518.6-580.8)+(0.358734+(0.264486-0.296208))+0-0-0</f>
        <v>641.52701200000001</v>
      </c>
      <c r="N61" s="3">
        <f>754.7+(490.9-567.7)+(-0.769794+(-0.500718--0.579054))+0-0-0</f>
        <v>677.20854199999997</v>
      </c>
      <c r="O61" s="3">
        <f>835.1+(473.8-569.1)+(0+(0-0))+0-0-0</f>
        <v>739.8</v>
      </c>
      <c r="P61" s="3">
        <f>866.5+(493.7-576.6)+(-0.441915+(-0.251787--0.294066))+0-0-0</f>
        <v>783.20036399999992</v>
      </c>
      <c r="Q61" s="3">
        <f>865.4+(512.3-582.6)+(0.882708+(0.522546-0.594252))+0-0-0</f>
        <v>795.91100199999994</v>
      </c>
      <c r="R61" s="3">
        <f>935.1+(496.9-696.4)+(-1.430703+(-0.760257--1.065492))+0-0-0</f>
        <v>734.47453200000007</v>
      </c>
      <c r="S61" s="3">
        <f>996.9+(555.4-817.7)+(0+(0-0))+0-0-0</f>
        <v>734.59999999999991</v>
      </c>
      <c r="T61" s="3">
        <f>993.1+(637.5-879.9)+(-1.519443+(-0.975375--1.346247))+0-0-0</f>
        <v>749.5514290000001</v>
      </c>
      <c r="U61" s="3">
        <f>967.7+(642.2-844.9)+(-0.493527+(-0.327522--0.430899))+0-0-0</f>
        <v>764.60985000000016</v>
      </c>
      <c r="V61" s="3">
        <f>883.5+(711.7-845.7)+(0.450585+(0.362967-0.431307))+0-0-0</f>
        <v>749.88224500000001</v>
      </c>
      <c r="W61" s="3">
        <f>849.6+(696-802.9)+(-2.16648+(-1.7748--2.047395))+0-0-0</f>
        <v>740.80611500000009</v>
      </c>
      <c r="X61" s="3">
        <f>850.3+(625.8-747.2)+(-2.601918+(-1.914948--2.286432))+0-0-0</f>
        <v>726.66956599999992</v>
      </c>
      <c r="Y61" s="3">
        <f>814.8+(593-685.8)+(-1.246644+(-0.90729--1.049274))+0-0-0</f>
        <v>720.89534000000003</v>
      </c>
      <c r="Z61" s="3">
        <f>935.9+(570.7-686.3)+(0.477309+(0.291057-0.350013))+0-0-0</f>
        <v>820.71835300000009</v>
      </c>
      <c r="AA61" s="3">
        <f>975.5+(584.9-648.3)+(0+(0-0))+0-0-0</f>
        <v>912.1</v>
      </c>
      <c r="AB61" s="3">
        <f>975.1+(590.9-662.4)+(0+(0-0))+0-0-0</f>
        <v>903.6</v>
      </c>
      <c r="AC61" s="3">
        <f>971.4+(658.1-784.7)+(-1.486242+(-1.006893--1.200591))+0-0-0</f>
        <v>843.50745599999993</v>
      </c>
      <c r="AD61">
        <v>923.2</v>
      </c>
      <c r="AE61" s="3">
        <f>975+(572.5-624.3)+(0+(0-0))+0-0-0</f>
        <v>923.2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900.1+(673.1-721.3)+(-0.459051+(-0.343281--0.367863))+0-0-0</f>
        <v>851.46553100000006</v>
      </c>
      <c r="G62" s="3">
        <f>847.5+(638.2-719.6)+(-0.86445+(-0.650964--0.733992))+0-0-0</f>
        <v>765.318578</v>
      </c>
      <c r="H62" s="3">
        <f>763.2+(657.7-698.2)+(-1.167696+(-1.006281--1.068246))+0-0-0</f>
        <v>721.59426900000005</v>
      </c>
      <c r="I62" s="3">
        <f>764.2+(650.3-696.3)+(-0.779484+(-0.663306--0.710226))+0-0-0</f>
        <v>717.46743600000002</v>
      </c>
      <c r="J62" s="3">
        <f>764.6+(648.5-699.4)+(-1.169838+(-0.992205--1.070082))+0-0-0</f>
        <v>712.60803900000008</v>
      </c>
      <c r="K62" s="3">
        <f>763.5+(619.7-691)+(-1.946925+(-1.580235--1.76205))+0-0-0</f>
        <v>690.43489</v>
      </c>
      <c r="L62" s="3">
        <f>671.9+(575.6-608.3)+(-0.342669+(-0.293556--0.310233))+0-0-0</f>
        <v>638.874008</v>
      </c>
      <c r="M62" s="3">
        <f>774.3+(514.5-604.6)+(-0.394893+(-0.262395--0.308346))+0-0-0</f>
        <v>683.85105799999997</v>
      </c>
      <c r="N62" s="3">
        <f>870+(464.6-590.7)+(-0.4437+(-0.236946--0.301257))+0-0-0</f>
        <v>743.52061100000003</v>
      </c>
      <c r="O62" s="3">
        <f>871.2+(467.6-550.6)+(0+(0-0))+0-0-0</f>
        <v>788.2</v>
      </c>
      <c r="P62" s="3">
        <f>856.1+(492.8-537.4)+(-0.436611+(-0.251328--0.274074))+0-0-0</f>
        <v>811.08613500000001</v>
      </c>
      <c r="Q62" s="3">
        <f>940.9+(488.8-536.1)+(0+(0-0))+0-0-0</f>
        <v>893.59999999999991</v>
      </c>
      <c r="R62" s="3">
        <f>1027.6+(541.1-632.7)+(0.524076+(0.275961-0.322677))+0-0-0</f>
        <v>936.47735999999986</v>
      </c>
      <c r="S62" s="3">
        <f>1121+(656-819.3)+(-1.14342+(-0.66912--0.835686))+0-0-0</f>
        <v>956.72314600000004</v>
      </c>
      <c r="T62" s="3">
        <f>1140.1+(678-840)+(0.581451+(0.34578-0.4284))+0-0-0</f>
        <v>978.5988309999999</v>
      </c>
      <c r="U62" s="3">
        <f>1138.6+(688.1-871.6)+(-0.580686+(-0.350931--0.444516))+0-0-0</f>
        <v>954.61289899999986</v>
      </c>
      <c r="V62" s="3">
        <f>1138.2+(716.6-884)+(-2.321928+(-1.461864--1.80336))+0-0-0</f>
        <v>968.81956800000012</v>
      </c>
      <c r="W62" s="3">
        <f>1140.6+(723.6-912.3)+(-3.490236+(-2.214216--2.791638))+0-0-0</f>
        <v>948.98718599999995</v>
      </c>
      <c r="X62" s="3">
        <f>1090.5+(535.9-750)+(-1.668465+(-0.819927--1.1475))+0-0-0</f>
        <v>875.05910799999992</v>
      </c>
      <c r="Y62" s="3">
        <f>951.3+(568.9-664.3)+(-0.485163+(-0.290139--0.338793))+0-0-0</f>
        <v>855.46349099999998</v>
      </c>
      <c r="Z62" s="3">
        <f>1204.2+(575.4-803.1)+(-0.614142+(-0.293454--0.409581))+0-0-0</f>
        <v>976.00198499999999</v>
      </c>
      <c r="AA62" s="3">
        <f>1287+(676-856.3)+(-1.96911+(-1.03428--1.310139))+0-0-0</f>
        <v>1105.0067490000001</v>
      </c>
      <c r="AB62" s="3">
        <f>1280.4+(646.3-868.8)+(-1.959012+(-0.988839--1.329264))+0-0-0</f>
        <v>1056.2814130000002</v>
      </c>
      <c r="AC62" s="3">
        <f>1251.9+(625.7-879.7)+(-2.553876+(-1.276428--1.794588))+0-0-0</f>
        <v>995.86428400000011</v>
      </c>
      <c r="AD62">
        <v>1040.8</v>
      </c>
      <c r="AE62" s="3">
        <f>1289+(633-881.2)+(0+(0-0))+0-0-0</f>
        <v>1040.8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1171.5+(613-864.7)+(-2.38986+(-1.25052--1.763988))+0-0-0</f>
        <v>917.92360799999994</v>
      </c>
      <c r="G63" s="3">
        <f>1116.3+(519.1-810.6)+(-2.846565+(-1.323705--2.06703))+0-0-0</f>
        <v>822.69675999999993</v>
      </c>
      <c r="H63" s="3">
        <f>1026.5+(538.8-776.9)+(-1.04703+(-0.549576--0.792438))+0-0-0</f>
        <v>787.59583199999997</v>
      </c>
      <c r="I63" s="3">
        <f>1022.8+(557.6-792.8)+(-2.086512+(-1.137504--1.617312))+0-0-0</f>
        <v>785.99329599999999</v>
      </c>
      <c r="J63" s="3">
        <f>1019.2+(562.1-796.8)+(-3.638544+(-2.006697--2.844576))+0-0-0</f>
        <v>781.69933500000013</v>
      </c>
      <c r="K63" s="3">
        <f>975.3+(566.1-772.8)+(-3.481821+(-2.020977--2.758896))+0-0-0</f>
        <v>765.85609799999997</v>
      </c>
      <c r="L63" s="3">
        <f>867+(538.7-691.6)+(-1.32651+(-0.824211--1.058148))+0-0-0</f>
        <v>713.00742700000001</v>
      </c>
      <c r="M63" s="3">
        <f>819+(504.4-601.1)+(0.83538+(0.514488-0.613122))+0-0-0</f>
        <v>723.03674599999999</v>
      </c>
      <c r="N63" s="3">
        <f>995.4+(471.9-647.3)+(0.507654+(0.240669-0.330123))+0-0-0</f>
        <v>820.41819999999996</v>
      </c>
      <c r="O63" s="3">
        <f>1094.2+(404.4-659.2)+(-0.558042+(-0.206244--0.336192))+0-0-0</f>
        <v>838.97190599999999</v>
      </c>
      <c r="P63" s="3">
        <f>1117.6+(409.8-656.7)+(-0.569976+(-0.208998--0.334917))+0-0-0</f>
        <v>870.25594299999977</v>
      </c>
      <c r="Q63" s="3">
        <f>1094.2+(411.4-622.6)+(-1.674126+(-0.629442--0.952578))+0-0-0</f>
        <v>881.64900999999998</v>
      </c>
      <c r="R63" s="3">
        <f>1124.1+(481.9-736.9)+(0+(0-0))+0-0-0</f>
        <v>869.09999999999991</v>
      </c>
      <c r="S63" s="3">
        <f>1166.8+(519.4-807.5)+(-0.595068+(-0.264894--0.411825))+0-0-0</f>
        <v>878.25186299999996</v>
      </c>
      <c r="T63" s="3">
        <f>1203.1+(514.7-835.5)+(0+(0-0))+0-0-0</f>
        <v>882.3</v>
      </c>
      <c r="U63" s="3">
        <f>1166.4+(555.9-819.4)+(-2.379456+(-1.134036--1.671576))+0-0-0</f>
        <v>901.05808400000012</v>
      </c>
      <c r="V63" s="3">
        <f>1114.7+(590.7-817.9)+(-1.705491+(-0.903771--1.251387))+0-0-0</f>
        <v>886.14212500000008</v>
      </c>
      <c r="W63" s="3">
        <f>1142.6+(625.8-878.8)+(-1.748178+(-0.957474--1.344564))+0-0-0</f>
        <v>888.23891199999991</v>
      </c>
      <c r="X63" s="3">
        <f>1111.4+(638.7-827.4)+(-5.101326+(-2.931633--3.797766))+0-0-0</f>
        <v>918.46480700000018</v>
      </c>
      <c r="Y63" s="3">
        <f>943.5+(694.5-695.8)+(-1.92474+(-1.41678--1.419432))+0-0-0</f>
        <v>940.27791200000001</v>
      </c>
      <c r="Z63" s="3">
        <f>1129.7+(637.3-784.1)+(-1.728441+(-0.975069--1.199673))+0-0-0</f>
        <v>981.396163</v>
      </c>
      <c r="AA63" s="3">
        <f>1225.8+(648.3-798.6)+(-3.750948+(-1.983798--2.443716))+0-0-0</f>
        <v>1072.2089699999999</v>
      </c>
      <c r="AB63" s="3">
        <f>1183.6+(709.3-813.9)+(-2.414544+(-1.446972--1.660356))+0-0-0</f>
        <v>1076.7988399999999</v>
      </c>
      <c r="AC63" s="3">
        <f>1160.8+(673.8-860.9)+(-0.592008+(-0.343638--0.439059))+0-0-0</f>
        <v>973.20341299999995</v>
      </c>
      <c r="AD63">
        <v>1019.3999999999999</v>
      </c>
      <c r="AE63" s="3">
        <f>1209+(645.1-834.7)+(0+(0-0))+0-0-0</f>
        <v>1019.4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1129.7+(645.2-892.4)+(-2.880735+(-1.64526--2.27562))+0-0-0</f>
        <v>880.24962500000015</v>
      </c>
      <c r="G64" s="3">
        <f>1134+(624.1-891)+(-0.57834+(-0.318291--0.45441))+0-0-0</f>
        <v>866.657779</v>
      </c>
      <c r="H64" s="3">
        <f>1139.8+(544.4-858.9)+(1.162596+(0.555288-0.876078))+0-0-0</f>
        <v>826.14180599999997</v>
      </c>
      <c r="I64" s="3">
        <f>1133.1+(510-840.8)+(-1.733643+(-0.7803--1.286424))+0-0-0</f>
        <v>801.07248099999993</v>
      </c>
      <c r="J64" s="3">
        <f>1131.8+(511.1-848.7)+(-2.308872+(-1.042644--1.731348))+0-0-0</f>
        <v>792.5798319999999</v>
      </c>
      <c r="K64" s="3">
        <f>1091.6+(500.7-817.9)+(-4.453728+(-2.042856--3.337032))+0-0-0</f>
        <v>771.2404479999999</v>
      </c>
      <c r="L64" s="3">
        <f>943.4+(474.8-684.5)+(-3.367938+(-1.695036--2.443665))+0-0-0</f>
        <v>731.080691</v>
      </c>
      <c r="M64" s="3">
        <f>964.7+(388.9-613)+(0+(0-0))+0-0-0</f>
        <v>740.6</v>
      </c>
      <c r="N64" s="3">
        <f>1048.8+(403.1-621.3)+(-2.139552+(-0.822324--1.267452))+0-0-0</f>
        <v>828.905576</v>
      </c>
      <c r="O64" s="3">
        <f>1125.5+(450.4-690.9)+(1.14801+(0.459408-0.704718))+0-0-0</f>
        <v>885.90269999999998</v>
      </c>
      <c r="P64" s="3">
        <f>1191.5+(425.6-700.1)+(0.607665+(0.217056-0.357051))+0-0-0</f>
        <v>917.46767</v>
      </c>
      <c r="Q64" s="3">
        <f>1210+(353.2-620.5)+(-0.6171+(-0.180132--0.316455))+0-0-0</f>
        <v>942.21922300000006</v>
      </c>
      <c r="R64" s="3">
        <f>1208.6+(455.8-703.4)+(0+(0-0))+0-0-0</f>
        <v>961</v>
      </c>
      <c r="S64" s="3">
        <f>1197.8+(679.8-862.6)+(-1.832634+(-1.040094--1.319778))+0-0-0</f>
        <v>1013.4470499999999</v>
      </c>
      <c r="T64" s="3">
        <f>1201.5+(674.1-866.5)+(-0.612765+(-0.343791--0.441915))+0-0-0</f>
        <v>1008.585359</v>
      </c>
      <c r="U64" s="3">
        <f>1204+(721.9-912.7)+(0.61404+(0.368169-0.465477))+0-0-0</f>
        <v>1013.716732</v>
      </c>
      <c r="V64" s="3">
        <f>1204+(653.2-868.1)+(-1.84212+(-0.999396--1.328193))+0-0-0</f>
        <v>987.58667700000001</v>
      </c>
      <c r="W64" s="3">
        <f>1201.3+(688.5-902.7)+(-2.450652+(-1.40454--1.841508))+0-0-0</f>
        <v>985.0863159999999</v>
      </c>
      <c r="X64" s="3">
        <f>1183.8+(499.9-807.1)+(-3.622428+(-1.529694--2.469726))+0-0-0</f>
        <v>873.91760399999987</v>
      </c>
      <c r="Y64" s="3">
        <f>937.5+(550.8-635.8)+(0+(0-0))+0-0-0</f>
        <v>852.5</v>
      </c>
      <c r="Z64" s="3">
        <f>1124.9+(528.2-701)+(-1.147398+(-0.538764--0.71502))+0-0-0</f>
        <v>951.12885800000015</v>
      </c>
      <c r="AA64" s="3">
        <f>1278.3+(505.2-738.7)+(-1.303866+(-0.515304--0.753474))+0-0-0</f>
        <v>1043.7343040000001</v>
      </c>
      <c r="AB64" s="3">
        <f>1279.4+(460.8-719.6)+(-1.957482+(-0.705024--1.100988))+0-0-0</f>
        <v>1019.0384820000002</v>
      </c>
      <c r="AC64" s="3">
        <f>1218.8+(425.4-693.5)+(-3.10794+(-1.08477--1.768425))+0-0-0</f>
        <v>948.27571499999988</v>
      </c>
      <c r="AD64">
        <v>997.59999999999991</v>
      </c>
      <c r="AE64" s="3">
        <f>1274+(480.3-756.7)+(0+(0-0))+0-0-0</f>
        <v>997.59999999999991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1205.6+(475.9-777.7)+(-3.07428+(-1.213545--1.983135))+0-0-0</f>
        <v>901.49530999999979</v>
      </c>
      <c r="G65" s="3">
        <f>1192.2+(409.5-795.3)+(-3.04011+(-1.044225--2.028015))+0-0-0</f>
        <v>804.34368000000006</v>
      </c>
      <c r="H65" s="3">
        <f>1135.6+(425.6-796.7)+(-1.158312+(-0.434112--0.812634))+0-0-0</f>
        <v>763.72020999999984</v>
      </c>
      <c r="I65" s="3">
        <f>1099.4+(438-786.8)+(-2.242776+(-0.89352--1.605072))+0-0-0</f>
        <v>749.06877600000018</v>
      </c>
      <c r="J65" s="3">
        <f>1073.9+(450.1-771.3)+(-2.738445+(-1.147755--1.966815))+0-0-0</f>
        <v>750.78061500000013</v>
      </c>
      <c r="K65" s="3">
        <f>1025.2+(460.8-732.9)+(-1.568556+(-0.705024--1.121337))+0-0-0</f>
        <v>751.94775700000014</v>
      </c>
      <c r="L65" s="3">
        <f>938.5+(407.8-649.3)+(-1.435905+(-0.623934--0.993429))+0-0-0</f>
        <v>695.93358999999998</v>
      </c>
      <c r="M65" s="3">
        <f>1048.1+(319.6-649.5)+(1.603593+(0.488988-0.993735))+0-0-0</f>
        <v>719.29884599999991</v>
      </c>
      <c r="N65" s="3">
        <f>1172.2+(236.6-616.7)+(-2.391288+(-0.482664--1.258068))+0-0-0</f>
        <v>790.48411599999997</v>
      </c>
      <c r="O65" s="3">
        <f>1246.5+(200.7-549.9)+(-1.907145+(-0.307071--0.841347))+0-0-0</f>
        <v>895.92713099999992</v>
      </c>
      <c r="P65" s="3">
        <f>1344.3+(196.8-586.9)+(-0.685593+(-0.100368--0.299319))+0-0-0</f>
        <v>953.71335800000008</v>
      </c>
      <c r="Q65" s="3">
        <f>1386+(192.8-608.8)+(0+(0-0))+0-0-0</f>
        <v>970</v>
      </c>
      <c r="R65" s="3">
        <f>1334.4+(205.9-553.8)+(-2.041632+(-0.315027--0.847314))+0-0-0</f>
        <v>984.99065500000006</v>
      </c>
      <c r="S65" s="3">
        <f>1326.4+(216.3-576)+(-1.352928+(-0.220626--0.58752))+0-0-0</f>
        <v>965.71396600000003</v>
      </c>
      <c r="T65" s="3">
        <f>1323+(218-577.1)+(-0.67473+(-0.11118--0.294321))+0-0-0</f>
        <v>963.408411</v>
      </c>
      <c r="U65" s="3">
        <f>1306.3+(211.5-570.9)+(-3.331065+(-0.539325--1.455795))+0-0-0</f>
        <v>944.48540500000001</v>
      </c>
      <c r="V65" s="3">
        <f>1267.4+(188.4-514.4)+(-4.524618+(-0.672588--1.836408))+0-0-0</f>
        <v>938.03920200000005</v>
      </c>
      <c r="W65" s="3">
        <f>1225.7+(182.6-493.3)+(-4.375749+(-0.651882--1.761081))+0-0-0</f>
        <v>911.73344999999995</v>
      </c>
      <c r="X65" s="3">
        <f>1200.3+(254.6-572.8)+(-4.897224+(-1.038768--2.337024))+0-0-0</f>
        <v>878.50103200000001</v>
      </c>
      <c r="Y65" s="3">
        <f>1017.1+(481.1-642.3)+(-2.593605+(-1.226805--1.637865))+0-0-0</f>
        <v>853.71745500000009</v>
      </c>
      <c r="Z65" s="3">
        <f>1026.4+(490.7-604.6)+(-0.523464+(-0.250257--0.308346))+0-0-0</f>
        <v>912.03462500000001</v>
      </c>
      <c r="AA65" s="3">
        <f>1081.5+(486.7-574.7)+(-2.757825+(-1.241085--1.465485))+0-0-0</f>
        <v>990.96657500000003</v>
      </c>
      <c r="AB65" s="3">
        <f>1079.3+(491.1-595.9)+(-2.201772+(-1.001844--1.215636))+0-0-0</f>
        <v>972.51202000000001</v>
      </c>
      <c r="AC65" s="3">
        <f>1077.4+(523.4-656.8)+(-2.197896+(-1.067736--1.339872))+0-0-0</f>
        <v>942.07424000000015</v>
      </c>
      <c r="AD65">
        <v>986.2</v>
      </c>
      <c r="AE65" s="3">
        <f>1085+(482.9-581.7)+(0+(0-0))+0-0-0</f>
        <v>986.19999999999993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1028+(493.3-666.2)+(0+(0-0))+0-0-0</f>
        <v>855.09999999999991</v>
      </c>
      <c r="G66" s="3">
        <f>1025.4+(515.5-739)+(-1.568862+(-0.788715--1.13067))+0-0-0</f>
        <v>800.67309300000011</v>
      </c>
      <c r="H66" s="3">
        <f>1028.9+(516-770)+(-1.049478+(-0.52632--0.7854))+0-0-0</f>
        <v>774.10960200000011</v>
      </c>
      <c r="I66" s="3">
        <f>1030.6+(522.2-782.5)+(-0.525606+(-0.266322--0.399075))+0-0-0</f>
        <v>769.90714700000001</v>
      </c>
      <c r="J66" s="3">
        <f>1023.8+(507.9-763.6)+(-2.61069+(-1.295145--1.94718))+0-0-0</f>
        <v>766.14134499999989</v>
      </c>
      <c r="K66" s="3">
        <f>933.7+(490.6-684.4)+(-2.380935+(-1.25103--1.74522))+0-0-0</f>
        <v>738.01325500000007</v>
      </c>
      <c r="L66" s="3">
        <f>934.3+(458.5-674.9)+(-0.476493+(-0.233835--0.344199))+0-0-0</f>
        <v>717.53387099999998</v>
      </c>
      <c r="M66" s="3">
        <f>1035.5+(377.3-663.3)+(0.528105+(0.192423-0.338283))+0-0-0</f>
        <v>749.88224500000001</v>
      </c>
      <c r="N66" s="3">
        <f>1157.4+(308.4-658.1)+(0.590274+(0.157284-0.335631))+0-0-0</f>
        <v>808.11192700000004</v>
      </c>
      <c r="O66" s="3">
        <f>1216+(302.2-642.8)+(-0.62016+(-0.154122--0.327828))+0-0-0</f>
        <v>874.95354600000007</v>
      </c>
      <c r="P66" s="3">
        <f>1230.1+(246.6-585.9)+(0.627351+(0.125766-0.298809))+0-0-0</f>
        <v>891.25430799999992</v>
      </c>
      <c r="Q66" s="3">
        <f>1325.6+(83.3-509.3)+(-0.676056+(-0.042483--0.259743))+0-0-0</f>
        <v>899.1412039999999</v>
      </c>
      <c r="R66" s="3">
        <f>1319.7+(149.6-545.3)+(-0.673047+(-0.076296--0.278103))+0-0-0</f>
        <v>923.52876000000015</v>
      </c>
      <c r="S66" s="3">
        <f>1313.1+(200.4-602.7)+(-1.339362+(-0.204408--0.614754))+0-0-0</f>
        <v>909.87098399999979</v>
      </c>
      <c r="T66" s="3">
        <f>1318.8+(202.2-617.7)+(0+(0-0))+0-0-0</f>
        <v>903.3</v>
      </c>
      <c r="U66" s="3">
        <f>1305.5+(211.9-609.5)+(-3.99483+(-0.648414--1.86507))+0-0-0</f>
        <v>905.12182599999994</v>
      </c>
      <c r="V66" s="3">
        <f>1300+(230.1-603.3)+(-3.315+(-0.586755--1.538415))+0-0-0</f>
        <v>924.43666000000007</v>
      </c>
      <c r="W66" s="3">
        <f>1289.1+(206-602.7)+(-3.944646+(-0.63036--1.844262))+0-0-0</f>
        <v>889.6692559999999</v>
      </c>
      <c r="X66" s="3">
        <f>1175.1+(329.1-630.9)+(-2.996505+(-0.839205--1.608795))+0-0-0</f>
        <v>871.07308499999999</v>
      </c>
      <c r="Y66" s="3">
        <f>997.9+(411-578)+(-0.508929+(-0.20961--0.29478))+0-0-0</f>
        <v>830.47624099999996</v>
      </c>
      <c r="Z66" s="3">
        <f>1148.6+(374.7-613.8)+(-1.171572+(-0.382194--0.626076))+0-0-0</f>
        <v>908.57231000000002</v>
      </c>
      <c r="AA66" s="3">
        <f>1197.3+(390.9-591.4)+(-2.442492+(-0.797436--1.206456))+0-0-0</f>
        <v>994.76652799999999</v>
      </c>
      <c r="AB66" s="3">
        <f>1132.1+(433.2-589.8)+(-2.886855+(-1.10466--1.50399))+0-0-0</f>
        <v>973.01247499999999</v>
      </c>
      <c r="AC66" s="3">
        <f>1034.6+(491.4-638.1)+(-1.582938+(-0.751842--0.976293))+0-0-0</f>
        <v>886.5415129999999</v>
      </c>
      <c r="AD66">
        <v>962.40000000000009</v>
      </c>
      <c r="AE66" s="3">
        <f>1187+(415.2-639.8)+(0+(0-0))+0-0-0</f>
        <v>962.40000000000009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956.9+(563.9-656.1)+(-2.440095+(-1.437945--1.673055))+0-0-0</f>
        <v>862.49501499999997</v>
      </c>
      <c r="G67" s="3">
        <f>936+(558.7-686.2)+(-1.90944+(-1.139748--1.399848))+0-0-0</f>
        <v>806.85065999999995</v>
      </c>
      <c r="H67" s="3">
        <f>936.3+(593.5-726)+(-1.432539+(-0.908055--1.11078))+0-0-0</f>
        <v>802.57018599999992</v>
      </c>
      <c r="I67" s="3">
        <f>936.4+(585.9-734.8)+(-1.910256+(-1.195236--1.498992))+0-0-0</f>
        <v>785.89350000000002</v>
      </c>
      <c r="J67" s="3">
        <f>939+(535.1-699.3)+(0.47889+(0.272901-0.356643))+0-0-0</f>
        <v>775.19514800000002</v>
      </c>
      <c r="K67" s="3">
        <f>936.5+(524.7-685)+(-2.388075+(-1.337985--1.74675))+0-0-0</f>
        <v>774.22068999999999</v>
      </c>
      <c r="L67" s="3">
        <f>839.2+(491.9-620.5)+(-1.283976+(-0.752607--0.949365))+0-0-0</f>
        <v>709.51278200000002</v>
      </c>
      <c r="M67" s="3">
        <f>901.8+(350.3-541.5)+(2.29959+(0.893265-1.380825))+0-0-0</f>
        <v>712.41202999999996</v>
      </c>
      <c r="N67" s="3">
        <f>989.5+(342.9-552.4)+(-0.504645+(-0.174879--0.281724))+0-0-0</f>
        <v>779.60220000000004</v>
      </c>
      <c r="O67" s="3">
        <f>1011.2+(384.7-545.3)+(1.031424+(0.392394-0.556206))+0-0-0</f>
        <v>851.46761200000014</v>
      </c>
      <c r="P67" s="3">
        <f>1212+(242.3-530.1)+(-0.61812+(-0.123573--0.270351))+0-0-0</f>
        <v>923.728658</v>
      </c>
      <c r="Q67" s="3">
        <f>1256.2+(225.5-550.6)+(1.281324+(0.23001-0.561612))+0-0-0</f>
        <v>932.04972199999997</v>
      </c>
      <c r="R67" s="3">
        <f>1246.1+(226-562.6)+(-1.271022+(-0.23052--0.573852))+0-0-0</f>
        <v>908.5723099999999</v>
      </c>
      <c r="S67" s="3">
        <f>1193.8+(257.5-559)+(-3.04419+(-0.656625--1.42545))+0-0-0</f>
        <v>890.02463499999999</v>
      </c>
      <c r="T67" s="3">
        <f>1190.1+(270.7-577)+(-3.034755+(-0.690285--1.47135))+0-0-0</f>
        <v>881.54630999999995</v>
      </c>
      <c r="U67" s="3">
        <f>1193.1+(265-562.8)+(-1.825443+(-0.40545--0.861084))+0-0-0</f>
        <v>893.93019099999992</v>
      </c>
      <c r="V67" s="3">
        <f>1195.4+(370.1-652.2)+(-1.219308+(-0.377502--0.665244))+0-0-0</f>
        <v>912.36843400000009</v>
      </c>
      <c r="W67" s="3">
        <f>1195.8+(425.1-736.7)+(-1.219716+(-0.433602--0.751434))+0-0-0</f>
        <v>883.29811599999994</v>
      </c>
      <c r="X67" s="3">
        <f>1045+(484.8-674.1)+(-3.1977+(-1.483488--2.062746))+0-0-0</f>
        <v>853.08155800000009</v>
      </c>
      <c r="Y67" s="3">
        <f>923+(506.7-587.4)+(-0.94146+(-0.516834--0.599148))+0-0-0</f>
        <v>841.44085399999994</v>
      </c>
      <c r="Z67" s="3">
        <f>1021.6+(412.5-527.1)+(-1.042032+(-0.42075--0.537642))+0-0-0</f>
        <v>906.07485999999994</v>
      </c>
      <c r="AA67" s="3">
        <f>1050.7+(457.3-503.2)+(-2.143428+(-0.932892--1.026528))+0-0-0</f>
        <v>1002.750208</v>
      </c>
      <c r="AB67" s="3">
        <f>1009+(531.8-569.7)+(-2.57295+(-1.35609--1.452735))+0-0-0</f>
        <v>968.62369499999988</v>
      </c>
      <c r="AC67" s="3">
        <f>1168.8+(384.9-640.2)+(0+(0-0))+0-0-0</f>
        <v>913.49999999999989</v>
      </c>
      <c r="AD67">
        <v>994</v>
      </c>
      <c r="AE67" s="3">
        <f>1051+(463-520)+(0+(0-0))+0-0-0</f>
        <v>994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1130.1+(420.9-700.6)+(-2.305404+(-0.858636--1.429224))+0-0-0</f>
        <v>848.66518399999984</v>
      </c>
      <c r="G68" s="3">
        <f>1080+(473-762.1)+(-1.1016+(-0.48246--0.777342))+0-0-0</f>
        <v>790.09328199999993</v>
      </c>
      <c r="H68" s="3">
        <f>967.3+(540.7-747.3)+(-1.479969+(-0.827271--1.143369))+0-0-0</f>
        <v>759.53612900000007</v>
      </c>
      <c r="I68" s="3">
        <f>874.4+(504.4-664.6)+(0+(0-0))+0-0-0</f>
        <v>714.19999999999993</v>
      </c>
      <c r="J68" s="3">
        <f>742.4+(590.2-599)+(0.378624+(0.301002-0.30549))+0-0-0</f>
        <v>733.97413600000004</v>
      </c>
      <c r="K68" s="3">
        <f>546.9+(685.1-541.2)+(-1.115676+(-1.397604--1.104048))+0-0-0</f>
        <v>689.39076799999998</v>
      </c>
      <c r="L68" s="3">
        <f>543.8+(628.6-583.6)+(-0.554676+(-0.641172--0.595272))+0-0-0</f>
        <v>588.19942399999991</v>
      </c>
      <c r="M68" s="3">
        <f>559+(623.1-568.5)+(-0.57018+(-0.635562--0.57987))+0-0-0</f>
        <v>612.97412800000006</v>
      </c>
      <c r="N68" s="3">
        <f>784.1+(526-577.4)+(-1.199673+(-0.80478--0.883422))+0-0-0</f>
        <v>731.57896900000003</v>
      </c>
      <c r="O68" s="3">
        <f>859.1+(518.4-591.9)+(-0.876282+(-0.528768--0.603738))+0-0-0</f>
        <v>784.79868799999997</v>
      </c>
      <c r="P68" s="3">
        <f>876.4+(517.8-577.7)+(-1.340892+(-0.792234--0.883881))+0-0-0</f>
        <v>815.25075499999991</v>
      </c>
      <c r="Q68" s="3">
        <f>921.8+(574.7-643.7)+(-1.410354+(-0.879291--0.984861))+0-0-0</f>
        <v>851.49521599999991</v>
      </c>
      <c r="R68" s="3">
        <f>866.2+(636.6-646.1)+(-0.441762+(-0.324666--0.329511))+0-0-0</f>
        <v>856.26308300000005</v>
      </c>
      <c r="S68" s="3">
        <f>865.1+(651.6-669)+(-0.441201+(-0.332316--0.34119))+0-0-0</f>
        <v>847.26767300000006</v>
      </c>
      <c r="T68" s="3">
        <f>863.6+(664.2-681.9)+(-1.761744+(-1.354968--1.391076))+0-0-0</f>
        <v>844.17436400000008</v>
      </c>
      <c r="U68" s="3">
        <f>858.3+(667.7-682.8)+(-0.437733+(-0.340527--0.348228))+0-0-0</f>
        <v>842.76996800000006</v>
      </c>
      <c r="V68" s="3">
        <f>845.1+(645.5-661.2)+(-0.431001+(-0.329205--0.337212))+0-0-0</f>
        <v>828.97700599999996</v>
      </c>
      <c r="W68" s="3">
        <f>825.2+(600-618.2)+(-1.683408+(-1.224--1.261128))+0-0-0</f>
        <v>805.35371999999995</v>
      </c>
      <c r="X68" s="3">
        <f>640.2+(633.3-563.7)+(-1.63251+(-1.614915--1.437435))+0-0-0</f>
        <v>707.99000999999998</v>
      </c>
      <c r="Y68" s="3">
        <f>529.7+(734.6-591)+(-0.810441+(-1.123938--0.90423))+0-0-0</f>
        <v>672.26985100000002</v>
      </c>
      <c r="Z68" s="3">
        <f>529.9+(835.4-573.6)+(-0.810747+(-1.278162--0.877608))+0-0-0</f>
        <v>790.48869899999988</v>
      </c>
      <c r="AA68" s="3">
        <f>531.1+(913.7-562.1)+(-0.812583+(-1.397961--0.860013))+0-0-0</f>
        <v>881.349469</v>
      </c>
      <c r="AB68" s="3">
        <f>531.2+(906.8-541.5)+(-1.083648+(-1.849872--1.10466))+0-0-0</f>
        <v>894.67114000000004</v>
      </c>
      <c r="AC68" s="3">
        <f>530.9+(993-646.3)+(-0.812277+(-1.51929--0.988839))+0-0-0</f>
        <v>876.25727200000006</v>
      </c>
      <c r="AD68">
        <v>964.4</v>
      </c>
      <c r="AE68" s="3">
        <f>534+(963-532.6)+(0+(0-0))+0-0-0</f>
        <v>964.4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530+(989.8-709.9)+(-1.0812+(-2.019192--1.448196))+0-0-0</f>
        <v>808.24780399999997</v>
      </c>
      <c r="G69" s="3">
        <f>530.4+(852.5-654.3)+(-1.082016+(-1.7391--1.334772))+0-0-0</f>
        <v>727.11365599999999</v>
      </c>
      <c r="H69" s="3">
        <f>531.7+(763-607.6)+(-0.542334+(-0.77826--0.619752))+0-0-0</f>
        <v>686.39915800000006</v>
      </c>
      <c r="I69" s="3">
        <f>480.1+(755.3-583.5)+(-0.244851+(-0.385203--0.297585))+0-0-0</f>
        <v>651.56753100000003</v>
      </c>
      <c r="J69" s="3">
        <f>477.2+(742.3-574.4)+(-0.486744+(-0.757146--0.585888))+0-0-0</f>
        <v>644.4419979999999</v>
      </c>
      <c r="K69" s="3">
        <f>459.1+(758-571.1)+(-1.170705+(-1.9329--1.456305))+0-0-0</f>
        <v>644.35270000000003</v>
      </c>
      <c r="L69" s="3">
        <f>427.5+(735.7-559.3)+(0+(0-0))+0-0-0</f>
        <v>603.90000000000009</v>
      </c>
      <c r="M69" s="3">
        <f>459.3+(747.1-558.1)+(-0.468486+(-0.762042--0.569262))+0-0-0</f>
        <v>647.638734</v>
      </c>
      <c r="N69" s="3">
        <f>639.8+(594.5-545.4)+(-1.305192+(-1.21278--1.112616))+0-0-0</f>
        <v>687.49464399999999</v>
      </c>
      <c r="O69" s="3">
        <f>973.5+(454.5-601)+(-0.496485+(-0.231795--0.30651))+0-0-0</f>
        <v>826.57822999999996</v>
      </c>
      <c r="P69" s="3">
        <f>1107+(365.9-596.8)+(0+(0-0))+0-0-0</f>
        <v>876.1</v>
      </c>
      <c r="Q69" s="3">
        <f>1141.2+(316.5-565.7)+(1.164024+(0.32283-0.577014))+0-0-0</f>
        <v>892.90984000000003</v>
      </c>
      <c r="R69" s="3">
        <f>1136.7+(329.9-564.4)+(-0.579717+(-0.168249--0.287844))+0-0-0</f>
        <v>901.73987800000009</v>
      </c>
      <c r="S69" s="3">
        <f>1092.3+(451.3-637.6)+(0+(0-0))+0-0-0</f>
        <v>906</v>
      </c>
      <c r="T69" s="3">
        <f>1089.8+(497.4-675.9)+(-0.555798+(-0.253674--0.344709))+0-0-0</f>
        <v>910.83523700000001</v>
      </c>
      <c r="U69" s="3">
        <f>1115.7+(497.1-694.8)+(-2.845035+(-1.267605--1.77174))+0-0-0</f>
        <v>915.65910000000008</v>
      </c>
      <c r="V69" s="3">
        <f>1109.5+(537.3-716.3)+(-1.697535+(-0.822069--1.095939))+0-0-0</f>
        <v>929.07633499999997</v>
      </c>
      <c r="W69" s="3">
        <f>1097.4+(555.4-734.3)+(-3.917718+(-1.982778--2.621451))+0-0-0</f>
        <v>915.22095500000012</v>
      </c>
      <c r="X69" s="3">
        <f>1032+(549-688.4)+(-3.68424+(-1.95993--2.457588))+0-0-0</f>
        <v>889.41341799999998</v>
      </c>
      <c r="Y69" s="3">
        <f>932.7+(589.5-659)+(-0.475677+(-0.300645--0.33609))+0-0-0</f>
        <v>862.75976800000001</v>
      </c>
      <c r="Z69" s="3">
        <f>964.9+(640.6-664.4)+(-0.984198+(-0.653412--0.677688))+0-0-0</f>
        <v>940.14007800000002</v>
      </c>
      <c r="AA69" s="3">
        <f>1043.6+(634.9-635.5)+(-3.193416+(-1.942794--1.94463))+0-0-0</f>
        <v>1039.8084200000001</v>
      </c>
      <c r="AB69" s="3">
        <f>1002.6+(695.3-679.5)+(-2.045304+(-1.418412--1.38618))+0-0-0</f>
        <v>1016.322464</v>
      </c>
      <c r="AC69" s="3">
        <f>1015.7+(587.9-652.3)+(-3.108042+(-1.798974--1.996038))+0-0-0</f>
        <v>948.38902200000007</v>
      </c>
      <c r="AD69">
        <v>1038.2</v>
      </c>
      <c r="AE69" s="3">
        <f>1056+(627.2-645)+(0+(0-0))+0-0-0</f>
        <v>1038.2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1034.3+(507.2-668.1)+(-1.054986+(-0.517344--0.681462))+0-0-0</f>
        <v>872.50913199999991</v>
      </c>
      <c r="G70" s="3">
        <f>993.4+(528.1-702.8)+(-2.53317+(-1.346655--1.79214))+0-0-0</f>
        <v>816.61231500000008</v>
      </c>
      <c r="H70" s="3">
        <f>872.6+(568-671.7)+(-1.780104+(-1.15872--1.370268))+0-0-0</f>
        <v>767.33144400000003</v>
      </c>
      <c r="I70" s="3">
        <f>823.7+(588.5-660.7)+(-1.260261+(-0.900405--1.010871))+0-0-0</f>
        <v>750.35020499999996</v>
      </c>
      <c r="J70" s="3">
        <f>817.6+(564.5-640.8)+(-1.250928+(-0.863685--0.980424))+0-0-0</f>
        <v>740.16581100000008</v>
      </c>
      <c r="K70" s="3">
        <f>766.6+(581.3-602.2)+(-1.563864+(-1.185852--1.228488))+0-0-0</f>
        <v>744.17877199999998</v>
      </c>
      <c r="L70" s="3">
        <f>607.2+(593.6-594.9)+(-0.929016+(-0.908208--0.910197))+0-0-0</f>
        <v>604.97297300000014</v>
      </c>
      <c r="M70" s="3">
        <f>688.3+(567.6-584.2)+(-0.351033+(-0.289476--0.297942))+0-0-0</f>
        <v>671.3574329999999</v>
      </c>
      <c r="N70" s="3">
        <f>825.8+(535.1-584.4)+(0+(0-0))+0-0-0</f>
        <v>776.5</v>
      </c>
      <c r="O70" s="3">
        <f>894.2+(527.9-600.7)+(0.456042+(0.269229-0.306357))+0-0-0</f>
        <v>821.81891399999995</v>
      </c>
      <c r="P70" s="3">
        <f>950.3+(464.6-569.9)+(0.484653+(0.236946-0.290649))+0-0-0</f>
        <v>845.43095000000005</v>
      </c>
      <c r="Q70" s="3">
        <f>956.8+(507.2-528.9)+(0.487968+(0.258672-0.269739))+0-0-0</f>
        <v>935.57690099999991</v>
      </c>
      <c r="R70" s="3">
        <f>977.7+(481.6-505.1)+(0+(0-0))+0-0-0</f>
        <v>954.2</v>
      </c>
      <c r="S70" s="3">
        <f>995.6+(558.4-620.8)+(0+(0-0))+0-0-0</f>
        <v>933.2</v>
      </c>
      <c r="T70" s="3">
        <f>991.7+(578.9-629.6)+(-1.517301+(-0.885717--0.963288))+0-0-0</f>
        <v>939.56026999999995</v>
      </c>
      <c r="U70" s="3">
        <f>994.4+(605.6-651.9)+(1.014288+(0.617712-0.664938))+0-0-0</f>
        <v>949.06706200000008</v>
      </c>
      <c r="V70" s="3">
        <f>967.7+(636.1-642.8)+(-0.987054+(-0.648822--0.655656))+0-0-0</f>
        <v>960.01978000000008</v>
      </c>
      <c r="W70" s="3">
        <f>885.5+(684.8-623.6)+(-3.161235+(-2.444736--2.226252))+0-0-0</f>
        <v>943.32028099999991</v>
      </c>
      <c r="X70" s="3">
        <f>890.8+(706.4-660.8)+(-2.27154+(-1.80132--1.68504))+0-0-0</f>
        <v>934.01217999999994</v>
      </c>
      <c r="Y70" s="3">
        <f>808.3+(754.3-627.5)+(-1.236699+(-1.154079--0.960075))+0-0-0</f>
        <v>933.66929699999991</v>
      </c>
      <c r="Z70" s="3">
        <f>873.8+(704.6-597)+(-0.891276+(-0.718692--0.60894))+0-0-0</f>
        <v>980.39897199999996</v>
      </c>
      <c r="AA70" s="3">
        <f>909.1+(676.4-530.6)+(-2.318205+(-1.72482--1.35303))+0-0-0</f>
        <v>1052.2100050000001</v>
      </c>
      <c r="AB70" s="3">
        <f>920.1+(765.8-654)+(-1.877004+(-1.562232--1.33416))+0-0-0</f>
        <v>1029.794924</v>
      </c>
      <c r="AC70" s="3">
        <f>923.7+(776.7-706.8)+(-1.884348+(-1.584468--1.441872))+0-0-0</f>
        <v>991.57305600000018</v>
      </c>
      <c r="AD70">
        <v>1072.0999999999999</v>
      </c>
      <c r="AE70" s="3">
        <f>910+(671-508.9)+(0+(0-0))+0-0-0</f>
        <v>1072.0999999999999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913.8+(669-690.8)+(-0.932076+(-0.68238--0.704616))+0-0-0</f>
        <v>891.09015999999997</v>
      </c>
      <c r="G71" s="3">
        <f>913.4+(543.8-648.8)+(-1.863336+(-1.109352--1.323552))+0-0-0</f>
        <v>806.75086399999998</v>
      </c>
      <c r="H71" s="3">
        <f>933.2+(470.6-634)+(-1.903728+(-0.960024--1.29336))+0-0-0</f>
        <v>768.2296080000001</v>
      </c>
      <c r="I71" s="3">
        <f>1018.2+(433.8-670.3)+(-1.557846+(-0.663714--1.025559))+0-0-0</f>
        <v>780.50399900000002</v>
      </c>
      <c r="J71" s="3">
        <f>1084.5+(417.4-707.4)+(-0.553095+(-0.212874--0.360774))+0-0-0</f>
        <v>794.09480499999995</v>
      </c>
      <c r="K71" s="3">
        <f>1063.8+(429-711.3)+(-1.627614+(-0.65637--1.088289))+0-0-0</f>
        <v>780.304305</v>
      </c>
      <c r="L71" s="3">
        <f>986.9+(373.9-626.5)+(-1.006638+(-0.381378--0.63903))+0-0-0</f>
        <v>733.55101400000001</v>
      </c>
      <c r="M71" s="3">
        <f>1033.6+(372-622.4)+(0+(0-0))+0-0-0</f>
        <v>783.19999999999993</v>
      </c>
      <c r="N71" s="3">
        <f>1230.3+(304.2-655.6)+(1.254906+(0.310284-0.668712))+0-0-0</f>
        <v>879.79647799999987</v>
      </c>
      <c r="O71" s="3">
        <f>1227.8+(286.5-604.2)+(0.626178+(0.146115-0.308142))+0-0-0</f>
        <v>910.56415099999992</v>
      </c>
      <c r="P71" s="3">
        <f>1208+(327.6-605.1)+(0.61608+(0.167076-0.308601))+0-0-0</f>
        <v>930.97455500000001</v>
      </c>
      <c r="Q71" s="3">
        <f>1211.7+(348.9-578.7)+(1.235934+(0.355878-0.590274))+0-0-0</f>
        <v>982.90153799999996</v>
      </c>
      <c r="R71" s="3">
        <f>1209.2+(406.8-597.5)+(0.616692+(0.207468-0.304725))+0-0-0</f>
        <v>1019.019435</v>
      </c>
      <c r="S71" s="3">
        <f>1204.5+(521.4-700)+(-0.614295+(-0.265914--0.357))+0-0-0</f>
        <v>1025.3767910000001</v>
      </c>
      <c r="T71" s="3">
        <f>1205.3+(545.5-734.8)+(-0.614703+(-0.278205--0.374748))+0-0-0</f>
        <v>1015.48184</v>
      </c>
      <c r="U71" s="3">
        <f>1199.3+(508-700.8)+(-1.834929+(-0.77724--1.072224))+0-0-0</f>
        <v>1004.960055</v>
      </c>
      <c r="V71" s="3">
        <f>1211+(517-704.4)+(-1.23522+(-0.52734--0.718488))+0-0-0</f>
        <v>1022.555928</v>
      </c>
      <c r="W71" s="3">
        <f>1222.8+(559.9-744.6)+(-3.741768+(-1.713294--2.278476))+0-0-0</f>
        <v>1034.9234139999999</v>
      </c>
      <c r="X71" s="3">
        <f>1143.7+(628.1-767.1)+(-3.499722+(-1.921986--2.347326))+0-0-0</f>
        <v>1001.625618</v>
      </c>
      <c r="Y71" s="3">
        <f>1075.7+(635.3-733.7)+(-2.194428+(-1.296012--1.496748))+0-0-0</f>
        <v>975.30630799999994</v>
      </c>
      <c r="Z71" s="3">
        <f>1139.1+(662.6-766.2)+(-1.161882+(-0.675852--0.781524))+0-0-0</f>
        <v>1034.44379</v>
      </c>
      <c r="AA71" s="3">
        <f>1208.6+(650.4-715.2)+(-3.698316+(-1.990224--2.188512))+0-0-0</f>
        <v>1140.2999719999998</v>
      </c>
      <c r="AB71" s="3">
        <f>1217+(744-825.6)+(-2.48268+(-1.51776--1.684224))+0-0-0</f>
        <v>1133.0837840000002</v>
      </c>
      <c r="AC71" s="3">
        <f>1218.9+(738.1-865.5)+(-0.621639+(-0.376431--0.441405))+0-0-0</f>
        <v>1090.9433349999999</v>
      </c>
      <c r="AD71">
        <v>1107.7</v>
      </c>
      <c r="AE71" s="3">
        <f>1217+(606.7-716)+(0+(0-0))+0-0-0</f>
        <v>1107.7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1168.7+(640.9-831.4)+(-1.192074+(-0.653718--0.848028))+0-0-0</f>
        <v>977.20223600000008</v>
      </c>
      <c r="G72" s="3">
        <f>1123.9+(577.7-742.7)+(-2.292756+(-1.178508--1.515108))+0-0-0</f>
        <v>956.94384400000013</v>
      </c>
      <c r="H72" s="3">
        <f>1069.3+(593.5-817)+(-2.181372+(-1.21074--1.66668))+0-0-0</f>
        <v>844.074568</v>
      </c>
      <c r="I72" s="3">
        <f>901.3+(615.8-706.1)+(-1.838652+(-1.256232--1.440444))+0-0-0</f>
        <v>809.34555999999986</v>
      </c>
      <c r="J72" s="3">
        <f>904.6+(622.7-714.8)+(-0.461346+(-0.317577--0.364548))+0-0-0</f>
        <v>812.08562500000016</v>
      </c>
      <c r="K72" s="3">
        <f>873.7+(608.9-682.5)+(-3.564696+(-2.484312--2.7846))+0-0-0</f>
        <v>796.83559200000002</v>
      </c>
      <c r="L72" s="3">
        <f>839.6+(567.5-650.7)+(-0.856392+(-0.57885--0.663714))+0-0-0</f>
        <v>755.62847199999999</v>
      </c>
      <c r="M72" s="3">
        <f>833.5+(486.8-570.6)+(-0.85017+(-0.496536--0.582012))+0-0-0</f>
        <v>748.93530600000008</v>
      </c>
      <c r="N72" s="3">
        <f>955.8+(467.7-599.6)+(0+(0-0))+0-0-0</f>
        <v>823.89999999999986</v>
      </c>
      <c r="O72" s="3">
        <f>1080.3+(420.7-594.5)+(-1.101906+(-0.429114--0.60639))+0-0-0</f>
        <v>905.57537000000002</v>
      </c>
      <c r="P72" s="3">
        <f>1074.8+(434.3-548.5)+(-1.644444+(-0.664479--0.839205))+0-0-0</f>
        <v>959.13028199999997</v>
      </c>
      <c r="Q72" s="3">
        <f>1088.2+(457.8-534.8)+(-2.219928+(-0.933912--1.090992))+0-0-0</f>
        <v>1009.137152</v>
      </c>
      <c r="R72" s="3">
        <f>1053.9+(591.5-608.5)+(-1.074978+(-0.60333--0.62067))+0-0-0</f>
        <v>1035.8423620000001</v>
      </c>
      <c r="S72" s="3">
        <f>1099.9+(671.7-770.9)+(-1.121898+(-0.685134--0.786318))+0-0-0</f>
        <v>999.67928600000016</v>
      </c>
      <c r="T72" s="3">
        <f>1163.6+(670.3-843)+(0.593436+(0.341853-0.42993))+0-0-0</f>
        <v>991.40535899999986</v>
      </c>
      <c r="U72" s="3">
        <f>1160.3+(690.5-840.6)+(-1.183506+(-0.70431--0.857412))+0-0-0</f>
        <v>1009.169596</v>
      </c>
      <c r="V72" s="3">
        <f>1113.3+(680.7-774.5)+(-3.974481+(-2.430099--2.764965))+0-0-0</f>
        <v>1015.860385</v>
      </c>
      <c r="W72" s="3">
        <f>1074.2+(588.4-669.5)+(-1.095684+(-0.600168--0.68289))+0-0-0</f>
        <v>992.08703800000001</v>
      </c>
      <c r="X72" s="3">
        <f>1042.7+(508-590.9)+(-2.658885+(-1.2954--1.506795))+0-0-0</f>
        <v>957.35251000000005</v>
      </c>
      <c r="Y72" s="3">
        <f>1010.6+(531.4-617.1)+(0+(0-0))+0-0-0</f>
        <v>924.9</v>
      </c>
      <c r="Z72" s="3">
        <f>1172.7+(492.9-675.9)+(0+(0-0))+0-0-0</f>
        <v>989.7</v>
      </c>
      <c r="AA72" s="3">
        <f>1206+(554.6-644.2)+(-2.46024+(-1.131384--1.314168))+0-0-0</f>
        <v>1114.1225440000001</v>
      </c>
      <c r="AB72" s="3">
        <f>1192.7+(628.8-734.3)+(0+(0-0))+0-0-0</f>
        <v>1087.2</v>
      </c>
      <c r="AC72" s="3">
        <f>1235.2+(626.3-834.4)+(-2.519808+(-1.277652--1.702176))+0-0-0</f>
        <v>1025.0047159999999</v>
      </c>
      <c r="AD72">
        <v>1093.6999999999998</v>
      </c>
      <c r="AE72" s="3">
        <f>1194+(564.6-664.9)+(0+(0-0))+0-0-0</f>
        <v>1093.7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1183.7+(588.2-830.9)+(-2.414748+(-1.199928--1.695036))+0-0-0</f>
        <v>939.08036000000016</v>
      </c>
      <c r="G73" s="3">
        <f>1078.4+(592.8-796.8)+(-2.74992+(-1.51164--2.03184))+0-0-0</f>
        <v>872.17028000000005</v>
      </c>
      <c r="H73" s="3">
        <f>931.4+(595.7-697.7)+(-0.475014+(-0.303807--0.355827))+0-0-0</f>
        <v>828.97700599999996</v>
      </c>
      <c r="I73" s="3">
        <f>893.1+(607-688.3)+(0+(0-0))+0-0-0</f>
        <v>811.80000000000007</v>
      </c>
      <c r="J73" s="3">
        <f>883.4+(601.5-682.1)+(-0.901068+(-0.61353--0.695742))+0-0-0</f>
        <v>801.98114399999997</v>
      </c>
      <c r="K73" s="3">
        <f>879+(573.4-658.8)+(-2.24145+(-1.46217--1.67994))+0-0-0</f>
        <v>791.57632000000001</v>
      </c>
      <c r="L73" s="3">
        <f>828.2+(504.2-586.6)+(0.844764+(0.514284-0.598332))+0-0-0</f>
        <v>746.56071599999996</v>
      </c>
      <c r="M73" s="3">
        <f>882+(455.6-551.6)+(-0.44982+(-0.232356--0.281316))+0-0-0</f>
        <v>785.59914000000003</v>
      </c>
      <c r="N73" s="3">
        <f>1156.8+(336.9-630.1)+(1.769904+(0.515457-0.964053))+0-0-0</f>
        <v>864.92130799999995</v>
      </c>
      <c r="O73" s="3">
        <f>1300.9+(349.9-693.7)+(-0.663459+(-0.178449--0.353787))+0-0-0</f>
        <v>956.61187900000004</v>
      </c>
      <c r="P73" s="3">
        <f>1296.9+(348-640.8)+(0+(0-0))+0-0-0</f>
        <v>1004.1000000000001</v>
      </c>
      <c r="Q73" s="3">
        <f>1287.6+(311.1-584.3)+(0+(0-0))+0-0-0</f>
        <v>1014.4</v>
      </c>
      <c r="R73" s="3">
        <f>1285.7+(379.6-653.3)+(0.655707+(0.193596-0.333183))+0-0-0</f>
        <v>1012.5161200000001</v>
      </c>
      <c r="S73" s="3">
        <f>1317.7+(489.8-793.1)+(-2.688108+(-0.999192--1.617924))+0-0-0</f>
        <v>1012.3306240000001</v>
      </c>
      <c r="T73" s="3">
        <f>1325.2+(503.6-803.2)+(-2.703408+(-1.027344--1.638528))+0-0-0</f>
        <v>1023.5077759999999</v>
      </c>
      <c r="U73" s="3">
        <f>1319.9+(510.9-824.6)+(-1.346298+(-0.521118--0.841092))+0-0-0</f>
        <v>1005.173676</v>
      </c>
      <c r="V73" s="3">
        <f>1316.1+(525.6-805)+(-2.684844+(-1.072224--1.6422))+0-0-0</f>
        <v>1034.5851319999999</v>
      </c>
      <c r="W73" s="3">
        <f>1318.8+(571.8-868.4)+(-3.36294+(-1.45809--2.21442))+0-0-0</f>
        <v>1019.5933899999999</v>
      </c>
      <c r="X73" s="3">
        <f>1217.6+(632-852.3)+(-6.20976+(-3.2232--4.34673))+0-0-0</f>
        <v>992.21376999999995</v>
      </c>
      <c r="Y73" s="3">
        <f>1091+(599.7-730.4)+(-1.66923+(-0.917541--1.117512))+0-0-0</f>
        <v>958.8307410000001</v>
      </c>
      <c r="Z73" s="3">
        <f>1223+(632.6-839.1)+(0.62373+(0.322626-0.427941))+0-0-0</f>
        <v>1017.018415</v>
      </c>
      <c r="AA73" s="3">
        <f>1279.4+(731.4-877.6)+(-2.609976+(-1.492056--1.790304))+0-0-0</f>
        <v>1130.8882720000001</v>
      </c>
      <c r="AB73" s="3">
        <f>1274.4+(715.9-887.2)+(-1.299888+(-0.730218--0.904944))+0-0-0</f>
        <v>1101.9748379999999</v>
      </c>
      <c r="AC73" s="3">
        <f>1271.6+(749.1-979)+(-3.24258+(-1.910205--2.49645))+0-0-0</f>
        <v>1039.0436649999999</v>
      </c>
      <c r="AD73">
        <v>1121.8</v>
      </c>
      <c r="AE73" s="3">
        <f>1288+(749.8-916)+(0+(0-0))+0-0-0</f>
        <v>1121.8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1209.9+(699.1-945.7)+(-3.085245+(-1.782705--2.411535))+0-0-0</f>
        <v>960.84358500000008</v>
      </c>
      <c r="G74" s="3">
        <f>1054.2+(622.9-797.6)+(-2.68821+(-1.588395--2.03388))+0-0-0</f>
        <v>877.25727500000005</v>
      </c>
      <c r="H74" s="3">
        <f>944.3+(548.7-661.2)+(0.481593+(0.279837-0.337212))+0-0-0</f>
        <v>832.22421799999995</v>
      </c>
      <c r="I74" s="3">
        <f>885+(577.1-658.5)+(-0.45135+(-0.294321--0.335835))+0-0-0</f>
        <v>803.19016399999998</v>
      </c>
      <c r="J74" s="3">
        <f>874.8+(530.3-616.2)+(-3.123036+(-1.893171--2.199834))+0-0-0</f>
        <v>786.08362699999986</v>
      </c>
      <c r="K74" s="3">
        <f>870.4+(500.9-594.3)+(-3.995136+(-2.299131--2.727837))+0-0-0</f>
        <v>773.43357000000003</v>
      </c>
      <c r="L74" s="3">
        <f>805+(503.5-534.2)+(-2.05275+(-1.283925--1.36221))+0-0-0</f>
        <v>772.32553499999995</v>
      </c>
      <c r="M74" s="3">
        <f>948.8+(397.7-542.6)+(1.451664+(0.608481-0.830178))+0-0-0</f>
        <v>805.12996699999985</v>
      </c>
      <c r="N74" s="3">
        <f>1072.1+(379.2-545.7)+(1.640313+(0.580176-0.834921))+0-0-0</f>
        <v>906.98556799999994</v>
      </c>
      <c r="O74" s="3">
        <f>1077.4+(453.8-564.3)+(2.197896+(0.925752-1.151172))+0-0-0</f>
        <v>968.87247600000012</v>
      </c>
      <c r="P74" s="3">
        <f>1074.9+(501.5-552.5)+(1.644597+(0.767295-0.845325))+0-0-0</f>
        <v>1025.4665670000002</v>
      </c>
      <c r="Q74" s="3">
        <f>1071.9+(516.1-535.7)+(0+(0-0))+0-0-0</f>
        <v>1052.3000000000002</v>
      </c>
      <c r="R74" s="3">
        <f>1095.7+(544.3-616)+(-0.558807+(-0.277593--0.31416))+0-0-0</f>
        <v>1023.47776</v>
      </c>
      <c r="S74" s="3">
        <f>1064+(594.1-657.4)+(-2.7132+(-1.514955--1.67637))+0-0-0</f>
        <v>998.14821500000005</v>
      </c>
      <c r="T74" s="3">
        <f>1076.6+(582-691.3)+(-3.294396+(-1.78092--2.115378))+0-0-0</f>
        <v>964.34006199999999</v>
      </c>
      <c r="U74" s="3">
        <f>1079.1+(539.1-660.3)+(-1.651023+(-0.824823--1.010259))+0-0-0</f>
        <v>956.43441299999995</v>
      </c>
      <c r="V74" s="3">
        <f>1088.1+(494.1-632)+(0+(0-0))+0-0-0</f>
        <v>950.19999999999993</v>
      </c>
      <c r="W74" s="3">
        <f>1088.5+(408.7-556)+(1.11027+(0.416874-0.56712))+0-0-0</f>
        <v>942.16002400000002</v>
      </c>
      <c r="X74" s="3">
        <f>1082.8+(373.5-534.1)+(-1.656684+(-0.571455--0.817173))+0-0-0</f>
        <v>920.7890339999999</v>
      </c>
      <c r="Y74" s="3">
        <f>1089.7+(380.2-553.9)+(0.555747+(0.193902-0.282489))+0-0-0</f>
        <v>916.46716000000004</v>
      </c>
      <c r="Z74" s="3">
        <f>1138.1+(558.8-694.3)+(-1.741293+(-0.854964--1.062279))+0-0-0</f>
        <v>1001.0660219999999</v>
      </c>
      <c r="AA74" s="3">
        <f>1156.3+(671.4-718.8)+(-1.179426+(-0.684828--0.733176))+0-0-0</f>
        <v>1107.7689220000002</v>
      </c>
      <c r="AB74" s="3">
        <f>1142.3+(646.2-707.2)+(-1.747719+(-0.988686--1.082016))+0-0-0</f>
        <v>1079.6456109999999</v>
      </c>
      <c r="AC74" s="3">
        <f>1144+(600.2-719.7)+(0+(0-0))+0-0-0</f>
        <v>1024.5</v>
      </c>
      <c r="AD74">
        <v>1099.5999999999999</v>
      </c>
      <c r="AE74" s="3">
        <f>1164+(691.8-756.2)+(0+(0-0))+0-0-0</f>
        <v>1099.5999999999999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1134.5+(630.9-800.2)+(-1.15719+(-0.643518--0.816204))+0-0-0</f>
        <v>964.21549599999992</v>
      </c>
      <c r="G75" s="3">
        <f>1139.9+(601.2-838.3)+(-2.325396+(-1.226448--1.710132))+0-0-0</f>
        <v>900.95828800000015</v>
      </c>
      <c r="H75" s="3">
        <f>1156.2+(606.5-899.9)+(-2.358648+(-1.23726--1.835796))+0-0-0</f>
        <v>861.03988800000002</v>
      </c>
      <c r="I75" s="3">
        <f>1163.5+(611-935.7)+(0.593385+(0.31161-0.477207))+0-0-0</f>
        <v>839.22778799999992</v>
      </c>
      <c r="J75" s="3">
        <f>1159.9+(637.6-962.2)+(-1.183098+(-0.650352--0.981444))+0-0-0</f>
        <v>834.44799400000011</v>
      </c>
      <c r="K75" s="3">
        <f>1158.6+(660.2-991.8)+(-1.181772+(-0.673404--1.011636))+0-0-0</f>
        <v>826.15646000000004</v>
      </c>
      <c r="L75" s="3">
        <f>1111.7+(628-947.7)+(-2.834835+(-1.6014--2.416635))+0-0-0</f>
        <v>789.98040000000003</v>
      </c>
      <c r="M75" s="3">
        <f>961.1+(548-738.3)+(0+(0-0))+0-0-0</f>
        <v>770.80000000000007</v>
      </c>
      <c r="N75" s="3">
        <f>964.1+(491-647.5)+(1.475073+(0.75123-0.990675))+0-0-0</f>
        <v>808.83562800000004</v>
      </c>
      <c r="O75" s="3">
        <f>1045.7+(481.3-673.5)+(1.599921+(0.736389-1.030455))+0-0-0</f>
        <v>854.80585499999995</v>
      </c>
      <c r="P75" s="3">
        <f>1087.9+(477-673.9)+(2.774145+(1.21635-1.718445))+0-0-0</f>
        <v>893.27205000000015</v>
      </c>
      <c r="Q75" s="3">
        <f>1163.6+(460.9-693.2)+(1.780308+(0.705177-1.060596))+0-0-0</f>
        <v>932.72488899999985</v>
      </c>
      <c r="R75" s="3">
        <f>1153.9+(487.6-694.1)+(-1.176978+(-0.497352--0.707982))+0-0-0</f>
        <v>946.43365200000005</v>
      </c>
      <c r="S75" s="3">
        <f>1143.3+(476.1-679.4)+(-0.583083+(-0.242811--0.346494))+0-0-0</f>
        <v>939.52059999999994</v>
      </c>
      <c r="T75" s="3">
        <f>1084.9+(489-633.6)+(0+(0-0))+0-0-0</f>
        <v>940.30000000000007</v>
      </c>
      <c r="U75" s="3">
        <f>1011.5+(536.5-614.2)+(0+(0-0))+0-0-0</f>
        <v>933.8</v>
      </c>
      <c r="V75" s="3">
        <f>1006+(542.2-606.9)+(-1.53918+(-0.829566--0.928557))+0-0-0</f>
        <v>939.85981100000004</v>
      </c>
      <c r="W75" s="3">
        <f>1010.9+(601-674.8)+(-2.577795+(-1.53255--1.72074))+0-0-0</f>
        <v>934.71039500000006</v>
      </c>
      <c r="X75" s="3">
        <f>1009.4+(563.7-659.5)+(-2.57397+(-1.437435--1.681725))+0-0-0</f>
        <v>911.27031999999997</v>
      </c>
      <c r="Y75" s="3">
        <f>963.8+(528.8-612)+(-0.983076+(-0.539376--0.62424))+0-0-0</f>
        <v>879.70178799999996</v>
      </c>
      <c r="Z75" s="3">
        <f>999.3+(615.4-694.4)+(-1.019286+(-0.627708--0.708288))+0-0-0</f>
        <v>919.36129399999993</v>
      </c>
      <c r="AA75" s="3">
        <f>1079+(634.6-691.8)+(-2.20116+(-1.294584--1.411272))+0-0-0</f>
        <v>1019.7155280000001</v>
      </c>
      <c r="AB75" s="3">
        <f>1167.3+(592-744.5)+(-2.381292+(-1.20768--1.51878))+0-0-0</f>
        <v>1012.7298079999999</v>
      </c>
      <c r="AC75" s="3">
        <f>1181.6+(577.4-793.8)+(-1.205232+(-0.588948--0.809676))+0-0-0</f>
        <v>964.21549599999992</v>
      </c>
      <c r="AD75">
        <v>1020.8000000000001</v>
      </c>
      <c r="AE75" s="3">
        <f>1115+(591.2-685.4)+(0+(0-0))+0-0-0</f>
        <v>1020.8000000000001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1177.6+(732.6-967)+(-2.402304+(-1.494504--1.97268))+0-0-0</f>
        <v>941.27587199999994</v>
      </c>
      <c r="G76" s="3">
        <f>1047.3+(756.2-923.6)+(0+(0-0))+0-0-0</f>
        <v>879.9</v>
      </c>
      <c r="H76" s="3">
        <f>881.5+(803.7-857.2)+(-1.348695+(-1.229661--1.311516))+0-0-0</f>
        <v>826.73316</v>
      </c>
      <c r="I76" s="3">
        <f>881.5+(767.5-861)+(-0.89913+(-0.78285--0.87822))+0-0-0</f>
        <v>787.19623999999999</v>
      </c>
      <c r="J76" s="3">
        <f>902.1+(695.7-833.6)+(0.460071+(0.354807-0.425136))+0-0-0</f>
        <v>764.589742</v>
      </c>
      <c r="K76" s="3">
        <f>889.7+(651.9-786)+(-2.722482+(-1.994814--2.40516))+0-0-0</f>
        <v>753.28786400000001</v>
      </c>
      <c r="L76" s="3">
        <f>753.4+(650.4-694.9)+(-1.152702+(-0.995112--1.063197))+0-0-0</f>
        <v>707.815383</v>
      </c>
      <c r="M76" s="3">
        <f>818.6+(577.3-675.1)+(0.834972+(0.588846-0.688602))+0-0-0</f>
        <v>721.53521599999999</v>
      </c>
      <c r="N76" s="3">
        <f>1088.5+(487.4-793.8)+(-2.775675+(-1.24287--2.02419))+0-0-0</f>
        <v>780.10564499999998</v>
      </c>
      <c r="O76" s="3">
        <f>1176.2+(423.7-755.3)+(-0.599862+(-0.216087--0.385203))+0-0-0</f>
        <v>844.16925400000014</v>
      </c>
      <c r="P76" s="3">
        <f>1177.6+(422.3-711.2)+(0+(0-0))+0-0-0</f>
        <v>888.69999999999982</v>
      </c>
      <c r="Q76" s="3">
        <f>1172.3+(444.5-690.3)+(0.597873+(0.226695-0.352053))+0-0-0</f>
        <v>926.97251500000004</v>
      </c>
      <c r="R76" s="3">
        <f>1238.8+(480.8-783.1)+(0+(0-0))+0-0-0</f>
        <v>936.5</v>
      </c>
      <c r="S76" s="3">
        <f>1274.7+(512.7-855.5)+(-0.650097+(-0.261477--0.436305))+0-0-0</f>
        <v>931.42473100000007</v>
      </c>
      <c r="T76" s="3">
        <f>1267.4+(528.4-851.7)+(-3.23187+(-1.34742--2.171835))+0-0-0</f>
        <v>941.692545</v>
      </c>
      <c r="U76" s="3">
        <f>1280.3+(545.9-873.6)+(-1.305906+(-0.556818--0.891072))+0-0-0</f>
        <v>951.62834799999996</v>
      </c>
      <c r="V76" s="3">
        <f>1265.5+(472.5-779.2)+(-3.227025+(-1.204875--1.98696))+0-0-0</f>
        <v>956.35505999999998</v>
      </c>
      <c r="W76" s="3">
        <f>1221.8+(420.1-701.3)+(-2.492472+(-0.857004--1.430652))+0-0-0</f>
        <v>938.68117600000005</v>
      </c>
      <c r="X76" s="3">
        <f>1213.6+(420.4-714.1)+(-3.713616+(-1.286424--2.185146))+0-0-0</f>
        <v>917.08510599999988</v>
      </c>
      <c r="Y76" s="3">
        <f>1092.3+(485.5-681)+(-1.671219+(-0.742815--1.04193))+0-0-0</f>
        <v>895.42789599999992</v>
      </c>
      <c r="Z76" s="3">
        <f>1216.6+(568.8-848.4)+(-1.240932+(-0.580176--0.865368))+0-0-0</f>
        <v>936.04425999999989</v>
      </c>
      <c r="AA76" s="3">
        <f>1272.5+(559.2-773.5)+(-2.5959+(-1.140768--1.57794))+0-0-0</f>
        <v>1056.0412719999999</v>
      </c>
      <c r="AB76" s="3">
        <f>1251.3+(562.5-776.4)+(-1.914489+(-0.860625--1.187892))+0-0-0</f>
        <v>1035.812778</v>
      </c>
      <c r="AC76" s="3">
        <f>1301.5+(469.2-782)+(-1.991295+(-0.717876--1.19646))+0-0-0</f>
        <v>987.18728900000008</v>
      </c>
      <c r="AD76">
        <v>1044.1999999999998</v>
      </c>
      <c r="AE76" s="3">
        <f>1316+(534.8-806.6)+(0+(0-0))+0-0-0</f>
        <v>1044.1999999999998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1235.8+(470.6-767.6)+(-2.521032+(-0.960024--1.565904))+0-0-0</f>
        <v>936.88484799999992</v>
      </c>
      <c r="G77" s="3">
        <f>1201.8+(458.8-773.8)+(0.612918+(0.233988-0.394638))+0-0-0</f>
        <v>887.25226799999996</v>
      </c>
      <c r="H77" s="3">
        <f>1049.2+(526.3-750.5)+(-1.070184+(-0.536826--0.76551))+0-0-0</f>
        <v>824.1585</v>
      </c>
      <c r="I77" s="3">
        <f>1004.1+(575.8-768.5)+(0+(0-0))+0-0-0</f>
        <v>811.4</v>
      </c>
      <c r="J77" s="3">
        <f>950.2+(610.4-765.3)+(1.453806+(0.933912-1.170909))+0-0-0</f>
        <v>796.51680900000008</v>
      </c>
      <c r="K77" s="3">
        <f>932.8+(573.9-723.2)+(-2.854368+(-1.756134--2.212992))+0-0-0</f>
        <v>781.10248999999988</v>
      </c>
      <c r="L77" s="3">
        <f>809.3+(569.2-626.6)+(-0.825486+(-0.580584--0.639132))+0-0-0</f>
        <v>751.133062</v>
      </c>
      <c r="M77" s="3">
        <f>758.3+(542.3-544.5)+(0.386733+(0.276573-0.277695))+0-0-0</f>
        <v>756.48561099999995</v>
      </c>
      <c r="N77" s="3">
        <f>922.9+(474-565.6)+(0+(0-0))+0-0-0</f>
        <v>831.3</v>
      </c>
      <c r="O77" s="3">
        <f>848.9+(577.8-552.7)+(-0.865878+(-0.589356--0.563754))+0-0-0</f>
        <v>873.10851999999988</v>
      </c>
      <c r="P77" s="3">
        <f>877.7+(605.1-560.1)+(0+(0-0))+0-0-0</f>
        <v>922.7</v>
      </c>
      <c r="Q77" s="3">
        <f>874.1+(640.7-552.9)+(0.445791+(0.326757-0.281979))+0-0-0</f>
        <v>962.39056900000014</v>
      </c>
      <c r="R77" s="3">
        <f>863.1+(650.5-581.5)+(0.880362+(0.66351-0.59313))+0-0-0</f>
        <v>933.05074200000001</v>
      </c>
      <c r="S77" s="3">
        <f>858.1+(699.6-633.3)+(-0.437631+(-0.356796--0.322983))+0-0-0</f>
        <v>923.92855600000007</v>
      </c>
      <c r="T77" s="3">
        <f>858.4+(717.9-647.1)+(0.437784+(0.366129-0.330021))+0-0-0</f>
        <v>929.67389199999991</v>
      </c>
      <c r="U77" s="3">
        <f>854.3+(720.1-635.2)+(-0.871386+(-0.734502--0.647904))+0-0-0</f>
        <v>938.24201599999992</v>
      </c>
      <c r="V77" s="3">
        <f>854.1+(685-617.6)+(-0.871182+(-0.6987--0.629952))+0-0-0</f>
        <v>920.56007</v>
      </c>
      <c r="W77" s="3">
        <f>846.9+(708-634.4)+(-2.159595+(-1.8054--1.61772))+0-0-0</f>
        <v>918.15272500000003</v>
      </c>
      <c r="X77" s="3">
        <f>844.2+(683.1-628.5)+(-3.013794+(-2.438667--2.243745))+0-0-0</f>
        <v>895.59128400000009</v>
      </c>
      <c r="Y77" s="3">
        <f>796.4+(662.5-585.9)+(-0.812328+(-0.67575--0.597618))+0-0-0</f>
        <v>872.10954000000004</v>
      </c>
      <c r="Z77" s="3">
        <f>895.4+(638.2-607.5)+(0.456654+(0.325482-0.309825))+0-0-0</f>
        <v>926.57231100000001</v>
      </c>
      <c r="AA77" s="3">
        <f>983.7+(641.1-578.7)+(-1.505061+(-0.980883--0.885411))+0-0-0</f>
        <v>1044.4994669999999</v>
      </c>
      <c r="AB77" s="3">
        <f>996.2+(656-626.4)+(-2.032248+(-1.33824--1.277856))+0-0-0</f>
        <v>1023.7073680000002</v>
      </c>
      <c r="AC77" s="3">
        <f>999.4+(711.3-730.5)+(-2.54847+(-1.813815--1.862775))+0-0-0</f>
        <v>977.70048999999995</v>
      </c>
      <c r="AD77">
        <v>1030.9000000000001</v>
      </c>
      <c r="AE77" s="3">
        <f>1018+(632.3-619.4)+(0+(0-0))+0-0-0</f>
        <v>1030.9000000000001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1013.8+(724.1-825.1)+(-1.551114+(-1.107873--1.262403))+0-0-0</f>
        <v>911.40341599999999</v>
      </c>
      <c r="G78" s="3">
        <f>1020.2+(644.4-810)+(-1.040604+(-0.657288--0.8262))+0-0-0</f>
        <v>853.72830799999997</v>
      </c>
      <c r="H78" s="3">
        <f>1021.7+(621.2-833.7)+(-1.042134+(-0.633624--0.850374))+0-0-0</f>
        <v>808.37461600000006</v>
      </c>
      <c r="I78" s="3">
        <f>1083.7+(559.4-861.6)+(0.552687+(0.285294-0.439416))+0-0-0</f>
        <v>781.89856499999996</v>
      </c>
      <c r="J78" s="3">
        <f>1079.6+(521.7-825.6)+(-2.75298+(-1.330335--2.10528))+0-0-0</f>
        <v>773.72196499999995</v>
      </c>
      <c r="K78" s="3">
        <f>998+(536.1-762.2)+(-3.56286+(-1.913877--2.721054))+0-0-0</f>
        <v>769.144317</v>
      </c>
      <c r="L78" s="3">
        <f>782.4+(566.8-626.3)+(0.798048+(0.578136-0.638826))+0-0-0</f>
        <v>723.63735799999995</v>
      </c>
      <c r="M78" s="3">
        <f>797.3+(538.2-568.7)+(0+(0-0))+0-0-0</f>
        <v>766.8</v>
      </c>
      <c r="N78" s="3">
        <f>913.6+(556.5-608.8)+(0+(0-0))+0-0-0</f>
        <v>861.30000000000007</v>
      </c>
      <c r="O78" s="3">
        <f>1028.8+(547.1-642.4)+(0.524688+(0.279021-0.327624))+0-0-0</f>
        <v>933.97608500000001</v>
      </c>
      <c r="P78" s="3">
        <f>1099.8+(460.5-582.8)+(1.121796+(0.46971-0.594456))+0-0-0</f>
        <v>978.49704999999994</v>
      </c>
      <c r="Q78" s="3">
        <f>1095.9+(453.4-536.7)+(0.558909+(0.231234-0.273717))+0-0-0</f>
        <v>1013.116426</v>
      </c>
      <c r="R78" s="3">
        <f>1084+(519.7-576.6)+(0.55284+(0.265047-0.294066))+0-0-0</f>
        <v>1027.6238209999999</v>
      </c>
      <c r="S78" s="3">
        <f>999.2+(605.9-587.7)+(-1.019184+(-0.618018--0.599454))+0-0-0</f>
        <v>1016.362252</v>
      </c>
      <c r="T78" s="3">
        <f>1048.4+(555.4-590.1)+(-0.534684+(-0.283254--0.300951))+0-0-0</f>
        <v>1013.1830130000001</v>
      </c>
      <c r="U78" s="3">
        <f>1056+(594.1-631.8)+(-2.15424+(-1.211964--1.288872))+0-0-0</f>
        <v>1016.2226680000001</v>
      </c>
      <c r="V78" s="3">
        <f>1051.2+(620.5-642.7)+(-3.752784+(-2.215185--2.294439))+0-0-0</f>
        <v>1025.32647</v>
      </c>
      <c r="W78" s="3">
        <f>943.9+(648.6-594.4)+(-1.444167+(-0.992358--0.909432))+0-0-0</f>
        <v>996.57290699999999</v>
      </c>
      <c r="X78" s="3">
        <f>938.7+(691-660.8)+(-2.393685+(-1.76205--1.68504))+0-0-0</f>
        <v>966.42930500000011</v>
      </c>
      <c r="Y78" s="3">
        <f>943.1+(622.5-636.5)+(-1.442943+(-0.952425--0.973845))+0-0-0</f>
        <v>927.67847700000004</v>
      </c>
      <c r="Z78" s="3">
        <f>1036.9+(639.1-690.4)+(-1.057638+(-0.651882--0.704208))+0-0-0</f>
        <v>984.59468800000013</v>
      </c>
      <c r="AA78" s="3">
        <f>1153.7+(641.1-672.5)+(-2.353548+(-1.307844--1.3719))+0-0-0</f>
        <v>1120.0105080000001</v>
      </c>
      <c r="AB78" s="3">
        <f>1292.6+(675.7-856.6)+(-2.636904+(-1.378428--1.747464))+0-0-0</f>
        <v>1109.4321319999999</v>
      </c>
      <c r="AC78" s="3">
        <f>1325.5+(742.7-1009.4)+(-2.028015+(-1.136331--1.544382))+0-0-0</f>
        <v>1057.1800360000002</v>
      </c>
      <c r="AD78">
        <v>1166.3</v>
      </c>
      <c r="AE78" s="3">
        <f>1154+(666.5-654.2)+(0+(0-0))+0-0-0</f>
        <v>1166.3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1343.6+(744.3-1107.2)+(-3.42618+(-1.897965--2.82336))+0-0-0</f>
        <v>978.19921499999987</v>
      </c>
      <c r="G79" s="3">
        <f>1285.1+(695.8-1078.4)+(-2.621604+(-1.419432--2.199936))+0-0-0</f>
        <v>900.65889999999979</v>
      </c>
      <c r="H79" s="3">
        <f>1288.6+(616.3-1051.4)+(-1.314372+(-0.628626--1.072428))+0-0-0</f>
        <v>852.62942999999973</v>
      </c>
      <c r="I79" s="3">
        <f>1281.1+(569.8-1016.8)+(-3.266805+(-1.45299--2.59284))+0-0-0</f>
        <v>831.97304499999996</v>
      </c>
      <c r="J79" s="3">
        <f>1267.6+(523.9-966.6)+(-3.23238+(-1.335945--2.46483))+0-0-0</f>
        <v>822.79650499999991</v>
      </c>
      <c r="K79" s="3">
        <f>1164.9+(557.2-904)+(-2.970495+(-1.42086--2.3052))+0-0-0</f>
        <v>816.01384500000017</v>
      </c>
      <c r="L79" s="3">
        <f>981.1+(513.3-719.4)+(0.500361+(0.261783-0.366894))+0-0-0</f>
        <v>775.39525000000003</v>
      </c>
      <c r="M79" s="3">
        <f>977.2+(422-591.6)+(0+(0-0))+0-0-0</f>
        <v>807.6</v>
      </c>
      <c r="N79" s="3">
        <f>1119.8+(372.1-609.2)+(-1.142196+(-0.379542--0.621384))+0-0-0</f>
        <v>881.79964599999994</v>
      </c>
      <c r="O79" s="3">
        <f>1311.1+(422.9-772.3)+(-1.337322+(-0.431358--0.787746))+0-0-0</f>
        <v>960.71906599999988</v>
      </c>
      <c r="P79" s="3">
        <f>1301.3+(451.5-747.1)+(-1.990989+(-0.690795--1.143063))+0-0-0</f>
        <v>1004.1612789999999</v>
      </c>
      <c r="Q79" s="3">
        <f>1264.4+(456.3-688.9)+(0.644844+(0.232713-0.351339))+0-0-0</f>
        <v>1032.3262180000002</v>
      </c>
      <c r="R79" s="3">
        <f>1266.5+(485.6-707)+(1.29183+(0.495312-0.72114))+0-0-0</f>
        <v>1046.1660019999999</v>
      </c>
      <c r="S79" s="3">
        <f>1271.1+(530.4-767)+(-1.296522+(-0.541008--0.78234))+0-0-0</f>
        <v>1033.44481</v>
      </c>
      <c r="T79" s="3">
        <f>1276.1+(512-764.5)+(-0.650811+(-0.26112--0.389895))+0-0-0</f>
        <v>1023.077964</v>
      </c>
      <c r="U79" s="3">
        <f>1266.1+(493.1-741.9)+(-0.645711+(-0.251481--0.378369))+0-0-0</f>
        <v>1016.781177</v>
      </c>
      <c r="V79" s="3">
        <f>1262.5+(520.9-763.5)+(-1.28775+(-0.531318--0.77877))+0-0-0</f>
        <v>1018.859702</v>
      </c>
      <c r="W79" s="3">
        <f>1260.6+(570.1-830.6)+(-1.928718+(-0.872253--1.270818))+0-0-0</f>
        <v>998.56984699999987</v>
      </c>
      <c r="X79" s="3">
        <f>1249.1+(599.5-860.5)+(-3.185205+(-1.528725--2.194275))+0-0-0</f>
        <v>985.58034499999997</v>
      </c>
      <c r="Y79" s="3">
        <f>1179.2+(576.8-798.9)+(-2.405568+(-1.176672--1.629756))+0-0-0</f>
        <v>955.147516</v>
      </c>
      <c r="Z79" s="3">
        <f>1241.1+(596-844.8)+(0+(0-0))+0-0-0</f>
        <v>992.3</v>
      </c>
      <c r="AA79" s="3">
        <f>1404.7+(665.7-937.1)+(-1.432794+(-0.679014--0.955842))+0-0-0</f>
        <v>1132.1440340000001</v>
      </c>
      <c r="AB79" s="3">
        <f>1301.8+(726.8-912.7)+(-1.991754+(-1.112004--1.396431))+0-0-0</f>
        <v>1114.1926729999998</v>
      </c>
      <c r="AC79" s="3">
        <f>1311.8+(702.7-954.1)+(-0.669018+(-0.358377--0.486591))+0-0-0</f>
        <v>1059.8591960000001</v>
      </c>
      <c r="AD79">
        <v>1124.4999999999998</v>
      </c>
      <c r="AE79" s="3">
        <f>1417+(632.2-924.7)+(0+(0-0))+0-0-0</f>
        <v>1124.5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1312.1+(759.6-1093.5)+(-0.669171+(-0.387396--0.557685))+0-0-0</f>
        <v>977.70111799999995</v>
      </c>
      <c r="G80" s="3">
        <f>1310.8+(655-1073)+(-1.337016+(-0.6681--1.09446))+0-0-0</f>
        <v>891.88934399999994</v>
      </c>
      <c r="H80" s="3">
        <f>1311.5+(575-1038.1)+(-1.33773+(-0.5865--1.058862))+0-0-0</f>
        <v>847.5346320000001</v>
      </c>
      <c r="I80" s="3">
        <f>1261.9+(555.3-990.9)+(-3.861414+(-1.699218--3.032154))+0-0-0</f>
        <v>823.77152200000012</v>
      </c>
      <c r="J80" s="3">
        <f>1223.3+(542.3-953.5)+(0.623883+(0.276573-0.486285))+0-0-0</f>
        <v>812.51417099999992</v>
      </c>
      <c r="K80" s="3">
        <f>1222+(538.4-951.1)+(-1.24644+(-0.549168--0.970122))+0-0-0</f>
        <v>808.474514</v>
      </c>
      <c r="L80" s="3">
        <f>1101.8+(536.2-868.2)+(-1.123836+(-0.546924--0.885564))+0-0-0</f>
        <v>769.01480399999991</v>
      </c>
      <c r="M80" s="3">
        <f>1175.5+(437.4-816.5)+(1.19901+(0.446148-0.83283))+0-0-0</f>
        <v>797.21232799999996</v>
      </c>
      <c r="N80" s="3">
        <f>1256+(376.8-765.1)+(1.92168+(0.576504-1.170603))+0-0-0</f>
        <v>869.02758100000005</v>
      </c>
      <c r="O80" s="3">
        <f>1310.7+(404.2-775.4)+(0.668457+(0.206142-0.395454))+0-0-0</f>
        <v>939.97914500000002</v>
      </c>
      <c r="P80" s="3">
        <f>1311.3+(410.2-723.6)+(0.668763+(0.209202-0.369036))+0-0-0</f>
        <v>998.40892899999983</v>
      </c>
      <c r="Q80" s="3">
        <f>1305+(377.5-655.5)+(0+(0-0))+0-0-0</f>
        <v>1027</v>
      </c>
      <c r="R80" s="3">
        <f>1288.9+(380.8-620.8)+(0.657339+(0.194208-0.316608))+0-0-0</f>
        <v>1049.434939</v>
      </c>
      <c r="S80" s="3">
        <f>1280.9+(431.6-667.8)+(-1.959777+(-0.660348--1.021734))+0-0-0</f>
        <v>1043.1016090000003</v>
      </c>
      <c r="T80" s="3">
        <f>1289.6+(448.6-701.1)+(1.315392+(0.457572-0.715122))+0-0-0</f>
        <v>1038.1578419999998</v>
      </c>
      <c r="U80" s="3">
        <f>1271.7+(473.3-722.4)+(-2.594268+(-0.965532--1.473696))+0-0-0</f>
        <v>1020.5138960000002</v>
      </c>
      <c r="V80" s="3">
        <f>1278.9+(512.5-760.3)+(-1.956717+(-0.784125--1.163259))+0-0-0</f>
        <v>1029.5224170000001</v>
      </c>
      <c r="W80" s="3">
        <f>1280.8+(563.9-833.9)+(-1.306416+(-0.575178--0.850578))+0-0-0</f>
        <v>1009.7689839999999</v>
      </c>
      <c r="X80" s="3">
        <f>1267.1+(581.6-870.4)+(-5.169768+(-2.372928--3.551232))+0-0-0</f>
        <v>974.308536</v>
      </c>
      <c r="Y80" s="3">
        <f>1285.7+(475.1-803.5)+(-1.311414+(-0.484602--0.81957))+0-0-0</f>
        <v>956.32355400000006</v>
      </c>
      <c r="Z80" s="3">
        <f>1284+(407.4-704.6)+(-2.61936+(-0.831096--1.437384))+0-0-0</f>
        <v>984.78692799999999</v>
      </c>
      <c r="AA80" s="3">
        <f>1292+(464.7-645.2)+(-3.2946+(-1.184985--1.64526))+0-0-0</f>
        <v>1108.665675</v>
      </c>
      <c r="AB80" s="3">
        <f>1279.6+(487.1-680)+(-2.610384+(-0.993684--1.3872))+0-0-0</f>
        <v>1084.4831319999998</v>
      </c>
      <c r="AC80" s="3">
        <f>1282.7+(488.7-746.7)+(-2.616708+(-0.996948--1.523268))+0-0-0</f>
        <v>1022.6096120000001</v>
      </c>
      <c r="AD80">
        <v>1108</v>
      </c>
      <c r="AE80" s="3">
        <f>1292+(474.7-658.7)+(0+(0-0))+0-0-0</f>
        <v>1108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1299.9+(529.3-880.3)+(0+(0-0))+0-0-0</f>
        <v>948.90000000000009</v>
      </c>
      <c r="G81" s="3">
        <f>1297.8+(499.6-905.5)+(-0.661878+(-0.254796--0.461805))+0-0-0</f>
        <v>891.44513099999995</v>
      </c>
      <c r="H81" s="3">
        <f>1300.7+(500.8-942)+(0.663357+(0.255408-0.48042))+0-0-0</f>
        <v>859.93834500000003</v>
      </c>
      <c r="I81" s="3">
        <f>1217+(501.9-874.6)+(-0.62067+(-0.255969--0.446046))+0-0-0</f>
        <v>843.86940699999991</v>
      </c>
      <c r="J81" s="3">
        <f>1224.3+(488.2-877.2)+(-0.624393+(-0.248982--0.447372))+0-0-0</f>
        <v>834.87399699999992</v>
      </c>
      <c r="K81" s="3">
        <f>1222.8+(469.1-866.9)+(-3.11814+(-1.196205--2.210595))+0-0-0</f>
        <v>822.89625000000001</v>
      </c>
      <c r="L81" s="3">
        <f>1106.5+(448.9-761.5)+(-1.12863+(-0.457878--0.77673))+0-0-0</f>
        <v>793.09022199999993</v>
      </c>
      <c r="M81" s="3">
        <f>1122.3+(445.9-741.3)+(1.144746+(0.454818-0.756126))+0-0-0</f>
        <v>827.74343799999997</v>
      </c>
      <c r="N81" s="3">
        <f>1180.4+(465.9-735.4)+(1.806012+(0.712827-1.125162))+0-0-0</f>
        <v>912.29367700000012</v>
      </c>
      <c r="O81" s="3">
        <f>1198.8+(463.8-661)+(0+(0-0))+0-0-0</f>
        <v>1001.5999999999999</v>
      </c>
      <c r="P81" s="3">
        <f>1203.1+(451.4-615.7)+(0+(0-0))+0-0-0</f>
        <v>1038.7999999999997</v>
      </c>
      <c r="Q81" s="3">
        <f>1185.2+(434.7-562.7)+(1.208904+(0.443394-0.573954))+0-0-0</f>
        <v>1058.2783440000001</v>
      </c>
      <c r="R81" s="3">
        <f>1172+(511.1-579.1)+(-0.59772+(-0.260661--0.295341))+0-0-0</f>
        <v>1103.43696</v>
      </c>
      <c r="S81" s="3">
        <f>1166.9+(624.6-684.2)+(-2.380476+(-1.274184--1.395768))+0-0-0</f>
        <v>1105.0411080000001</v>
      </c>
      <c r="T81" s="3">
        <f>1166.1+(690.8-735.9)+(-2.378844+(-1.409232--1.501236))+0-0-0</f>
        <v>1118.71316</v>
      </c>
      <c r="U81" s="3">
        <f>1167.2+(759.9-799.8)+(-0.595272+(-0.387549--0.407898))+0-0-0</f>
        <v>1126.7250770000003</v>
      </c>
      <c r="V81" s="3">
        <f>1162.7+(782.8-812)+(-2.964885+(-1.99614--2.0706))+0-0-0</f>
        <v>1130.6095749999999</v>
      </c>
      <c r="W81" s="3">
        <f>1169.9+(727.6-859.2)+(-1.193298+(-0.742152--0.876384))+0-0-0</f>
        <v>1037.2409340000002</v>
      </c>
      <c r="X81" s="3">
        <f>1161.9+(669.4-811.7)+(-3.555414+(-2.048364--2.483802))+0-0-0</f>
        <v>1016.4800240000001</v>
      </c>
      <c r="Y81" s="3">
        <f>1081.5+(577.9-682)+(-0.551565+(-0.294729--0.34782))+0-0-0</f>
        <v>976.90152599999999</v>
      </c>
      <c r="Z81" s="3">
        <f>1164+(615.3-765.8)+(-1.78092+(-0.941409--1.171674))+0-0-0</f>
        <v>1011.949345</v>
      </c>
      <c r="AA81" s="3">
        <f>1180.6+(671.2-720.7)+(-1.806318+(-1.026936--1.102671))+0-0-0</f>
        <v>1129.3694169999999</v>
      </c>
      <c r="AB81" s="3">
        <f>1180.3+(638.7-700.6)+(-3.611718+(-1.954422--2.143836))+0-0-0</f>
        <v>1114.9776960000002</v>
      </c>
      <c r="AC81" s="3">
        <f>1190.7+(538.8-674.3)+(-1.214514+(-0.549576--0.687786))+0-0-0</f>
        <v>1054.1236960000001</v>
      </c>
      <c r="AD81">
        <v>1124.0999999999999</v>
      </c>
      <c r="AE81" s="3">
        <f>1182+(650.7-708.6)+(0+(0-0))+0-0-0</f>
        <v>1124.0999999999999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1188.1+(561.9-770.5)+(-2.423724+(-1.146276--1.57182))+0-0-0</f>
        <v>977.50181999999984</v>
      </c>
      <c r="G82" s="3">
        <f>1183.4+(471-740.8)+(-3.01767+(-1.20105--1.88904))+0-0-0</f>
        <v>911.27032000000008</v>
      </c>
      <c r="H82" s="3">
        <f>1107.2+(415.5-657.7)+(-1.129344+(-0.42381--0.670854))+0-0-0</f>
        <v>864.11770000000001</v>
      </c>
      <c r="I82" s="3">
        <f>913.8+(481.9-572.7)+(-0.466038+(-0.245769--0.292077))+0-0-0</f>
        <v>822.58026999999993</v>
      </c>
      <c r="J82" s="3">
        <f>893.7+(519.6-598.4)+(-0.911574+(-0.529992--0.610368))+0-0-0</f>
        <v>814.06880200000012</v>
      </c>
      <c r="K82" s="3">
        <f>892.5+(554.7-645.5)+(-2.275875+(-1.414485--1.646025))+0-0-0</f>
        <v>799.655665</v>
      </c>
      <c r="L82" s="3">
        <f>619.6+(689.4-566.2)+(0+(0-0))+0-0-0</f>
        <v>742.8</v>
      </c>
      <c r="M82" s="3">
        <f>637.4+(673.2-545.6)+(0.325074+(0.343332-0.278256))+0-0-0</f>
        <v>765.39014999999995</v>
      </c>
      <c r="N82" s="3">
        <f>736.8+(514.8-514.2)+(-0.375768+(-0.262548--0.262242))+0-0-0</f>
        <v>737.02392599999985</v>
      </c>
      <c r="O82" s="3">
        <f>1003+(442.6-569.6)+(-0.51153+(-0.225726--0.290496))+0-0-0</f>
        <v>875.55323999999996</v>
      </c>
      <c r="P82" s="3">
        <f>1071.6+(513.6-658)+(-0.546516+(-0.261936--0.33558))+0-0-0</f>
        <v>926.72712799999988</v>
      </c>
      <c r="Q82" s="3">
        <f>1149.9+(481.5-677.7)+(0.586449+(0.245565-0.345627))+0-0-0</f>
        <v>954.18638700000008</v>
      </c>
      <c r="R82" s="3">
        <f>1153.2+(521.1-696.2)+(-0.588132+(-0.265761--0.355062))+0-0-0</f>
        <v>977.60116900000003</v>
      </c>
      <c r="S82" s="3">
        <f>1148.6+(577.9-756.1)+(-1.171572+(-0.589458--0.771222))+0-0-0</f>
        <v>969.41019199999982</v>
      </c>
      <c r="T82" s="3">
        <f>1144.2+(602.6-778.6)+(-2.334168+(-1.229304--1.588344))+0-0-0</f>
        <v>966.224872</v>
      </c>
      <c r="U82" s="3">
        <f>1146.4+(623.7-796.1)+(-1.753992+(-0.954261--1.218033))+0-0-0</f>
        <v>972.50978000000009</v>
      </c>
      <c r="V82" s="3">
        <f>1145.7+(582.4-750.5)+(-1.752921+(-0.891072--1.148265))+0-0-0</f>
        <v>976.10427200000004</v>
      </c>
      <c r="W82" s="3">
        <f>1115.5+(454.9-603.4)+(-2.844525+(-1.159995--1.53867))+0-0-0</f>
        <v>964.53414999999995</v>
      </c>
      <c r="X82" s="3">
        <f>999.4+(535.6-583.3)+(-2.54847+(-1.36578--1.487415))+0-0-0</f>
        <v>949.27316500000006</v>
      </c>
      <c r="Y82" s="3">
        <f>930.3+(597.3-593.8)+(-0.948906+(-0.609246--0.605676))+0-0-0</f>
        <v>932.84752399999991</v>
      </c>
      <c r="Z82" s="3">
        <f>974.5+(567.7-579.3)+(0.496995+(0.289527-0.295443))+0-0-0</f>
        <v>963.3910790000001</v>
      </c>
      <c r="AA82" s="3">
        <f>998.2+(635.1-552.6)+(-2.036328+(-1.295604--1.127304))+0-0-0</f>
        <v>1078.4953720000001</v>
      </c>
      <c r="AB82" s="3">
        <f>1050.1+(680.8-639.8)+(-1.071102+(-0.694416--0.652596))+0-0-0</f>
        <v>1089.9870779999999</v>
      </c>
      <c r="AC82" s="3">
        <f>1068.3+(692.1-708.8)+(-1.089666+(-0.705942--0.722976))+0-0-0</f>
        <v>1050.5273679999998</v>
      </c>
      <c r="AD82">
        <v>1078.8000000000002</v>
      </c>
      <c r="AE82" s="3">
        <f>1000+(618.7-539.9)+(0+(0-0))+0-0-0</f>
        <v>1078.8000000000002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1067.5+(532.1-597)+(-1.08885+(-0.542742--0.60894))+0-0-0</f>
        <v>1001.577348</v>
      </c>
      <c r="G83" s="3">
        <f>1064.3+(452.7-588)+(-2.713965+(-1.154385--1.4994))+0-0-0</f>
        <v>926.63104999999996</v>
      </c>
      <c r="H83" s="3">
        <f>1011.8+(454.6-571.7)+(-2.58009+(-1.15923--1.457835))+0-0-0</f>
        <v>892.41851499999996</v>
      </c>
      <c r="I83" s="3">
        <f>836.8+(554.9-524.3)+(0.426768+(0.282999-0.267393))+0-0-0</f>
        <v>867.84237399999995</v>
      </c>
      <c r="J83" s="3">
        <f>831.5+(557.3-541.2)+(0+(0-0))+0-0-0</f>
        <v>847.59999999999991</v>
      </c>
      <c r="K83" s="3">
        <f>787.8+(611.7-557.5)+(-2.410668+(-1.871802--1.70595))+0-0-0</f>
        <v>839.42348000000004</v>
      </c>
      <c r="L83" s="3">
        <f>606.8+(717.4-565)+(0.928404+(1.097622-0.86445))+0-0-0</f>
        <v>760.3615759999999</v>
      </c>
      <c r="M83" s="3">
        <f>779.7+(545-538.6)+(-1.192941+(-0.83385--0.824058))+0-0-0</f>
        <v>784.89726700000006</v>
      </c>
      <c r="N83" s="3">
        <f>1189.7+(319.7-631.1)+(1.213494+(0.326094-0.643722))+0-0-0</f>
        <v>879.19586599999991</v>
      </c>
      <c r="O83" s="3">
        <f>1277.4+(328.8-644.9)+(1.302948+(0.335376-0.657798))+0-0-0</f>
        <v>962.28052600000024</v>
      </c>
      <c r="P83" s="3">
        <f>1292.3+(338-616)+(1.977219+(0.51714-0.94248))+0-0-0</f>
        <v>1015.8518789999999</v>
      </c>
      <c r="Q83" s="3">
        <f>1369.5+(348.4-675.5)+(0+(0-0))+0-0-0</f>
        <v>1042.4000000000001</v>
      </c>
      <c r="R83" s="3">
        <f>1389.8+(403-753.8)+(0.708798+(0.20553-0.384438))+0-0-0</f>
        <v>1039.52989</v>
      </c>
      <c r="S83" s="3">
        <f>1381+(447.2-806.1)+(-0.70431+(-0.228072--0.411111))+0-0-0</f>
        <v>1021.578729</v>
      </c>
      <c r="T83" s="3">
        <f>1378.6+(439-763.4)+(-0.703086+(-0.22389--0.389334))+0-0-0</f>
        <v>1053.6623579999998</v>
      </c>
      <c r="U83" s="3">
        <f>1381.9+(468.1-826.4)+(-1.409538+(-0.477462--0.842928))+0-0-0</f>
        <v>1022.5559280000001</v>
      </c>
      <c r="V83" s="3">
        <f>1385.3+(468.5-829.7)+(-1.413006+(-0.47787--0.846294))+0-0-0</f>
        <v>1023.0554179999999</v>
      </c>
      <c r="W83" s="3">
        <f>1296.7+(540.2-825.1)+(-2.645268+(-1.102008--1.683204))+0-0-0</f>
        <v>1009.7359280000001</v>
      </c>
      <c r="X83" s="3">
        <f>1046.3+(549.4-642.1)+(-2.668065+(-1.40097--1.637355))+0-0-0</f>
        <v>951.16831999999988</v>
      </c>
      <c r="Y83" s="3">
        <f>970.7+(502.4-555.1)+(-1.485171+(-0.768672--0.849303))+0-0-0</f>
        <v>916.59546</v>
      </c>
      <c r="Z83" s="3">
        <f>1009.1+(515-561.6)+(-1.543923+(-0.78795--0.859248))+0-0-0</f>
        <v>961.02737500000001</v>
      </c>
      <c r="AA83" s="3">
        <f>1078.3+(566.6-550.2)+(-1.649799+(-0.866898--0.841806))+0-0-0</f>
        <v>1093.0251089999999</v>
      </c>
      <c r="AB83" s="3">
        <f>1080.6+(583.3-582.6)+(-0.551106+(-0.297483--0.297126))+0-0-0</f>
        <v>1080.7485369999997</v>
      </c>
      <c r="AC83" s="3">
        <f>1083.3+(540.9-598.9)+(-1.104966+(-0.551718--0.610878))+0-0-0</f>
        <v>1024.2541939999999</v>
      </c>
      <c r="AD83">
        <v>1096</v>
      </c>
      <c r="AE83" s="3">
        <f>1082+(580.7-566.7)+(0+(0-0))+0-0-0</f>
        <v>1096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1085.8+(470.7-611.1)+(-0.553758+(-0.240057--0.311661))+0-0-0</f>
        <v>944.91784599999983</v>
      </c>
      <c r="G84" s="3">
        <f>1080.5+(451.9-642.6)+(-1.653165+(-0.691407--0.983178))+0-0-0</f>
        <v>888.43860599999994</v>
      </c>
      <c r="H84" s="3">
        <f>1082.7+(463.8-698)+(-0.552177+(-0.236538--0.35598))+0-0-0</f>
        <v>848.06726500000002</v>
      </c>
      <c r="I84" s="3">
        <f>1028.5+(510.4-710.9)+(-1.573605+(-0.780912--1.087677))+0-0-0</f>
        <v>826.73316</v>
      </c>
      <c r="J84" s="3">
        <f>1025.7+(514.1-715.8)+(-2.092428+(-1.048764--1.460232))+0-0-0</f>
        <v>822.31904000000009</v>
      </c>
      <c r="K84" s="3">
        <f>992+(510.5-682.4)+(-4.55328+(-2.343195--3.132216))+0-0-0</f>
        <v>816.33574099999998</v>
      </c>
      <c r="L84" s="3">
        <f>802.6+(532.2-555.4)+(-3.274608+(-2.171376--2.266032))+0-0-0</f>
        <v>776.22004800000013</v>
      </c>
      <c r="M84" s="3">
        <f>835.6+(496.2-526.6)+(-0.852312+(-0.506124--0.537132))+0-0-0</f>
        <v>804.37869599999999</v>
      </c>
      <c r="N84" s="3">
        <f>1018.9+(425.7-561.6)+(-2.078556+(-0.868428--1.145664))+0-0-0</f>
        <v>881.19867999999997</v>
      </c>
      <c r="O84" s="3">
        <f>1094.9+(453.4-581.9)+(-1.675197+(-0.693702--0.890307))+0-0-0</f>
        <v>964.92140800000004</v>
      </c>
      <c r="P84" s="3">
        <f>1093+(492.4-575.2)+(-1.11486+(-0.502248--0.586704))+0-0-0</f>
        <v>1009.169596</v>
      </c>
      <c r="Q84" s="3">
        <f>1084.1+(529-582.2)+(-0.552891+(-0.26979--0.296922))+0-0-0</f>
        <v>1030.3742409999998</v>
      </c>
      <c r="R84" s="3">
        <f>1073.9+(561.1-603)+(-1.643067+(-0.858483--0.92259))+0-0-0</f>
        <v>1030.4210399999999</v>
      </c>
      <c r="S84" s="3">
        <f>1066.2+(596.7-650.7)+(-1.631286+(-0.912951--0.995571))+0-0-0</f>
        <v>1010.651334</v>
      </c>
      <c r="T84" s="3">
        <f>1085.5+(584.7-667.8)+(0.553605+(0.298197-0.340578))+0-0-0</f>
        <v>1002.9112240000001</v>
      </c>
      <c r="U84" s="3">
        <f>1199.3+(517.5-712.8)+(-3.058215+(-1.319625--1.81764))+0-0-0</f>
        <v>1001.4398</v>
      </c>
      <c r="V84" s="3">
        <f>1337.6+(489.2-818.5)+(0+(0-0))+0-0-0</f>
        <v>1008.3</v>
      </c>
      <c r="W84" s="3">
        <f>1299+(363.6-673.8)+(-1.32498+(-0.370872--0.687276))+0-0-0</f>
        <v>987.79142400000012</v>
      </c>
      <c r="X84" s="3">
        <f>1222.6+(278.9-545.5)+(-1.870578+(-0.426717--0.834615))+0-0-0</f>
        <v>954.53731999999991</v>
      </c>
      <c r="Y84" s="3">
        <f>1111.6+(362.5-550.1)+(-0.566916+(-0.184875--0.280551))+0-0-0</f>
        <v>923.52875999999992</v>
      </c>
      <c r="Z84" s="3">
        <f>1217.1+(338.4-591.7)+(-0.620721+(-0.172584--0.301767))+0-0-0</f>
        <v>963.30846199999985</v>
      </c>
      <c r="AA84" s="3">
        <f>1476+(259.3-620)+(-3.01104+(-0.528972--1.2648))+0-0-0</f>
        <v>1113.0247879999999</v>
      </c>
      <c r="AB84" s="3">
        <f>1434.2+(277.6-629)+(-0.731442+(-0.141576--0.32079))+0-0-0</f>
        <v>1082.2477720000002</v>
      </c>
      <c r="AC84" s="3">
        <f>1261.2+(361-595.9)+(0.643212+(0.18411-0.303909))+0-0-0</f>
        <v>1026.8234130000001</v>
      </c>
      <c r="AD84">
        <v>1079.4000000000001</v>
      </c>
      <c r="AE84" s="3">
        <f>1476+(257.4-654)+(0+(0-0))+0-0-0</f>
        <v>1079.4000000000001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1215.6+(425.5-683)+(-2.479824+(-0.86802--1.39332))+0-0-0</f>
        <v>956.14547599999992</v>
      </c>
      <c r="G85" s="3">
        <f>1175.7+(346.5-631.3)+(-1.199214+(-0.35343--0.643926))+0-0-0</f>
        <v>889.99128200000007</v>
      </c>
      <c r="H85" s="3">
        <f>1119.1+(381.6-642.9)+(-2.282964+(-0.778464--1.311516))+0-0-0</f>
        <v>856.05008799999996</v>
      </c>
      <c r="I85" s="3">
        <f>1074.6+(423.3-654.4)+(-2.74023+(-1.079415--1.66872))+0-0-0</f>
        <v>841.34907499999997</v>
      </c>
      <c r="J85" s="3">
        <f>1018.5+(461.9-656)+(1.03887+(0.471138-0.66912))+0-0-0</f>
        <v>825.24088799999993</v>
      </c>
      <c r="K85" s="3">
        <f>1016.3+(430.6-634.2)+(-2.591565+(-1.09803--1.61721))+0-0-0</f>
        <v>810.62761499999988</v>
      </c>
      <c r="L85" s="3">
        <f>1018.4+(362.2-601.3)+(-2.59692+(-0.92361--1.533315))+0-0-0</f>
        <v>777.31278499999996</v>
      </c>
      <c r="M85" s="3">
        <f>1048.6+(277.6-522.5)+(1.069572+(0.283152-0.53295))+0-0-0</f>
        <v>804.51977399999998</v>
      </c>
      <c r="N85" s="3">
        <f>1207.7+(223.4-544.5)+(0+(0-0))+0-0-0</f>
        <v>886.6</v>
      </c>
      <c r="O85" s="3">
        <f>1307.3+(202.5-554.3)+(0.666723+(0.103275-0.282693))+0-0-0</f>
        <v>955.98730499999999</v>
      </c>
      <c r="P85" s="3">
        <f>1366.6+(211.2-571)+(-1.393932+(-0.215424--0.58242))+0-0-0</f>
        <v>1005.773064</v>
      </c>
      <c r="Q85" s="3">
        <f>1434.8+(203.3-599.1)+(0.731748+(0.103683-0.305541))+0-0-0</f>
        <v>1039.52989</v>
      </c>
      <c r="R85" s="3">
        <f>1443+(262.5-681.3)+(-1.47186+(-0.26775--0.694926))+0-0-0</f>
        <v>1023.1553160000001</v>
      </c>
      <c r="S85" s="3">
        <f>1390.9+(310.1-691.2)+(-0.709359+(-0.158151--0.352512))+0-0-0</f>
        <v>1009.2850020000001</v>
      </c>
      <c r="T85" s="3">
        <f>1343.2+(327.6-661.8)+(0+(0-0))+0-0-0</f>
        <v>1009.0000000000001</v>
      </c>
      <c r="U85" s="3">
        <f>1403+(314.1-685.9)+(-2.14659+(-0.480573--1.049427))+0-0-0</f>
        <v>1029.6222640000001</v>
      </c>
      <c r="V85" s="3">
        <f>1433.7+(321.2-720.8)+(0+(0-0))+0-0-0</f>
        <v>1034.1000000000001</v>
      </c>
      <c r="W85" s="3">
        <f>1427.3+(338.1-747)+(-1.455846+(-0.344862--0.76194))+0-0-0</f>
        <v>1017.361232</v>
      </c>
      <c r="X85" s="3">
        <f>1414.3+(273.5-696.3)+(-2.885172+(-0.55794--1.420452))+0-0-0</f>
        <v>989.47734000000003</v>
      </c>
      <c r="Y85" s="3">
        <f>1185.4+(326.6-557.7)+(-1.209108+(-0.333132--0.568854))+0-0-0</f>
        <v>953.32661400000006</v>
      </c>
      <c r="Z85" s="3">
        <f>1316.3+(282.4-636.3)+(-0.671313+(-0.144024--0.324513))+0-0-0</f>
        <v>961.909176</v>
      </c>
      <c r="AA85" s="3">
        <f>1437.2+(243-577.9)+(-2.198916+(-0.37179--0.884187))+0-0-0</f>
        <v>1100.6134810000001</v>
      </c>
      <c r="AB85" s="3">
        <f>1429.8+(267.6-610.3)+(-3.64599+(-0.68238--1.556265))+0-0-0</f>
        <v>1084.3278949999999</v>
      </c>
      <c r="AC85" s="3">
        <f>1445.3+(280-685.6)+(-1.474206+(-0.2856--0.699312))+0.5-0-0</f>
        <v>1039.1395059999998</v>
      </c>
      <c r="AD85">
        <v>1090</v>
      </c>
      <c r="AE85" s="3">
        <f>1440+(259.4-609.4)+(0+(0-0))+0-0-0</f>
        <v>1090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1438.9+(313.2-793.9)+(-2.201517+(-0.479196--1.214667))+29-0-0</f>
        <v>985.73395400000004</v>
      </c>
      <c r="G86" s="3">
        <f>1430.3+(288.1-824.8)+(-3.647265+(-0.734655--2.10324))+29-0-0</f>
        <v>920.32132000000001</v>
      </c>
      <c r="H86" s="3">
        <f>1355.6+(337.1-841.4)+(-0.691356+(-0.171921--0.429114))+29-0-0</f>
        <v>879.86583699999994</v>
      </c>
      <c r="I86" s="3">
        <f>1338+(316.5-828)+(-2.72952+(-0.64566--1.68912))+23.7-0-0</f>
        <v>848.51394000000005</v>
      </c>
      <c r="J86" s="3">
        <f>1267.9+(325.6-784.2)+(-3.233145+(-0.83028--1.99971))+0-0-0</f>
        <v>807.23628500000007</v>
      </c>
      <c r="K86" s="3">
        <f>1126.6+(356-682.6)+(-4.596528+(-1.45248--2.785008))+0-0-0</f>
        <v>796.73599999999988</v>
      </c>
      <c r="L86" s="3">
        <f>992.5+(377.8-610)+(-1.518525+(-0.578034--0.9333))+0-0-0</f>
        <v>759.13674099999992</v>
      </c>
      <c r="M86" s="3">
        <f>1103.3+(287.2-577.5)+(0.562683+(0.146472-0.294525))+0-0-0</f>
        <v>813.41462999999999</v>
      </c>
      <c r="N86" s="3">
        <f>1265.6+(227.7-610.7)+(0.645456+(0.116127-0.311457))+0-0-0</f>
        <v>883.05012599999986</v>
      </c>
      <c r="O86" s="3">
        <f>1409.4+(180.9-656.6)+(0.718794+(0.092259-0.334866))+0-0-0</f>
        <v>934.17618700000003</v>
      </c>
      <c r="P86" s="3">
        <f>1428.5+(167.5-608.7)+(0.728535+(0.085425-0.310437))+0-0-0</f>
        <v>987.80352299999993</v>
      </c>
      <c r="Q86" s="3">
        <f>1415.5+(213.3-580.5)+(0.721905+(0.108783-0.296055))+0-0-0</f>
        <v>1048.8346329999999</v>
      </c>
      <c r="R86" s="3">
        <f>1424.2+(216.6-640.7)+(0.726342+(0.110466-0.326757))+0-0-0</f>
        <v>1000.610051</v>
      </c>
      <c r="S86" s="3">
        <f>1416.7+(273.3-731)+(-1.445034+(-0.278766--0.74562))+0-0-0</f>
        <v>958.02182000000005</v>
      </c>
      <c r="T86" s="3">
        <f>1390.6+(305.3-730)+(-0.709206+(-0.155703--0.3723))+0-0-0</f>
        <v>965.40739099999985</v>
      </c>
      <c r="U86" s="3">
        <f>1408.6+(319.6-736.1)+(-2.873544+(-0.651984--1.501644))+0-0-0</f>
        <v>990.07611599999996</v>
      </c>
      <c r="V86" s="3">
        <f>1421.5+(320.5-750.2)+(0+(0-0))+0-0-0</f>
        <v>991.8</v>
      </c>
      <c r="W86" s="3">
        <f>1401.7+(304.7-723.6)+(-4.289202+(-0.932382--2.214216))+0-0-0</f>
        <v>979.79263199999991</v>
      </c>
      <c r="X86" s="3">
        <f>1399.7+(348.1-788)+(-4.996929+(-1.242717--2.81316))+0-0-0</f>
        <v>956.37351400000011</v>
      </c>
      <c r="Y86" s="3">
        <f>1234.2+(300.1-614.4)+(-3.14721+(-0.765255--1.56672))+0-0-0</f>
        <v>917.55425500000013</v>
      </c>
      <c r="Z86" s="3">
        <f>1270.8+(365-691.5)+(0+(0-0))+0-0-0</f>
        <v>944.3</v>
      </c>
      <c r="AA86" s="3">
        <f>1415.1+(294.4-633.4)+(-4.330206+(-0.900864--1.938204))+0-0-0</f>
        <v>1072.8071339999999</v>
      </c>
      <c r="AB86" s="3">
        <f>1324.8+(307.1-585.4)+(-1.351296+(-0.313242--0.597108))+0-0-0</f>
        <v>1045.4325699999999</v>
      </c>
      <c r="AC86" s="3">
        <f>1384.3+(271.7-675.5)+(0.705993+(0.138567-0.344505))+0-0-0</f>
        <v>981.00005499999997</v>
      </c>
      <c r="AD86">
        <v>1083.2</v>
      </c>
      <c r="AE86" s="3">
        <f>1416+(301.9-634.7)+(0+(0-0))+0-0-0</f>
        <v>1083.1999999999998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1427.7+(340.9-827.1)+(-3.640635+(-0.869295--2.109105))+0-0-0</f>
        <v>939.09917499999995</v>
      </c>
      <c r="G87" s="3">
        <f>1436.5+(337.5-891.6)+(-2.197845+(-0.516375--1.364148))+0-0-0</f>
        <v>881.04992800000002</v>
      </c>
      <c r="H87" s="3">
        <f>1438.5+(353.7-944.9)+(-1.46727+(-0.360774--0.963798))+0-0-0</f>
        <v>846.43575399999997</v>
      </c>
      <c r="I87" s="3">
        <f>1430+(364.4-968.9)+(-2.9172+(-0.743376--1.976556))+0-0-0</f>
        <v>823.81597999999997</v>
      </c>
      <c r="J87" s="3">
        <f>1344.3+(352.9-893)+(0.685593+(0.179979-0.45543))+0-0-0</f>
        <v>804.61014199999988</v>
      </c>
      <c r="K87" s="3">
        <f>1151.5+(407.2-759.2)+(-0.587265+(-0.207672--0.387192))+7.9-0-0</f>
        <v>806.992255</v>
      </c>
      <c r="L87" s="3">
        <f>1050.4+(382.4-672.1)+(0.535704+(0.195024-0.342771))+3.4-0-0</f>
        <v>764.48795700000005</v>
      </c>
      <c r="M87" s="3">
        <f>1117.5+(321.4-650)+(0.569925+(0.163914-0.3315))+0-0-0</f>
        <v>789.30233899999996</v>
      </c>
      <c r="N87" s="3">
        <f>1226.2+(264.3-617)+(-0.625362+(-0.134793--0.31467))+0-0-0</f>
        <v>873.05451500000004</v>
      </c>
      <c r="O87" s="3">
        <f>1399.8+(196.5-668.4)+(-0.713898+(-0.100215--0.340884))+0-0-0</f>
        <v>927.42677100000003</v>
      </c>
      <c r="P87" s="3">
        <f>1406.4+(215.1-637.8)+(-0.717264+(-0.109701--0.325278))+0-0-0</f>
        <v>983.19831300000021</v>
      </c>
      <c r="Q87" s="3">
        <f>1403.7+(242.3-628.9)+(-2.147661+(-0.370719--0.962217))+0-0-0</f>
        <v>1015.5438370000002</v>
      </c>
      <c r="R87" s="3">
        <f>1414.9+(232.7-647.3)+(-0.721599+(-0.118677--0.330123))+0-0-0</f>
        <v>999.78984700000024</v>
      </c>
      <c r="S87" s="3">
        <f>1427.6+(198.1-648.3)+(-1.456152+(-0.202062--0.661266))+0-0-0</f>
        <v>976.403052</v>
      </c>
      <c r="T87" s="3">
        <f>1445.9+(198-651.9)+(-2.212227+(-0.30294--0.997407))+0-0-0</f>
        <v>990.48224000000016</v>
      </c>
      <c r="U87" s="3">
        <f>1431.3+(223.8-663)+(-3.649815+(-0.57069--1.69065))+0-0-0</f>
        <v>989.57014499999991</v>
      </c>
      <c r="V87" s="3">
        <f>1439.6+(309.8-747.3)+(-2.936784+(-0.631992--1.524492))+0-0-0</f>
        <v>1000.055716</v>
      </c>
      <c r="W87" s="3">
        <f>1415.9+(272.4-700.4)+(-2.166327+(-0.416772--1.071612))+0-0-0</f>
        <v>986.3885130000001</v>
      </c>
      <c r="X87" s="3">
        <f>1366.1+(282.7-668.9)+(-4.180266+(-0.865062--2.046834))+0-0-0</f>
        <v>976.90150599999981</v>
      </c>
      <c r="Y87" s="3">
        <f>1254.6+(348.5-652.6)+(-1.919538+(-0.533205--0.998478))+0-0-0</f>
        <v>949.04573499999992</v>
      </c>
      <c r="Z87" s="3">
        <f>1302.8+(291.5-650.2)+(-0.664428+(-0.148665--0.331602))+0-0-0</f>
        <v>943.6185089999999</v>
      </c>
      <c r="AA87" s="3">
        <f>1379.2+(281.7-589)+(-2.110176+(-0.431001--0.90117))+0-0-0</f>
        <v>1070.2599930000001</v>
      </c>
      <c r="AB87" s="3">
        <f>1339.1+(285.6-566.9)+(-1.365882+(-0.291312--0.578238))+0-0-0</f>
        <v>1056.7210439999999</v>
      </c>
      <c r="AC87" s="3">
        <f>1303+(307.3-596.5)+(-1.32906+(-0.313446--0.60843))+0-0-0</f>
        <v>1012.7659239999999</v>
      </c>
      <c r="AD87">
        <v>1115.8</v>
      </c>
      <c r="AE87" s="3">
        <f>1437+(280.1-601.3)+(0+(0-0))+0-0-0</f>
        <v>1115.8000000000002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1295.7+(366.2-676.6)+(-1.982421+(-0.560286--1.035198))+0-0-0</f>
        <v>983.79249099999993</v>
      </c>
      <c r="G88" s="3">
        <f>1249.1+(406.1-743.4)+(-1.274082+(-0.414222--0.758268))+0-0-0</f>
        <v>910.86996399999998</v>
      </c>
      <c r="H88" s="3">
        <f>1214.2+(415-758.5)+(-3.09621+(-1.05825--1.934175))+0-0-0</f>
        <v>868.47971500000006</v>
      </c>
      <c r="I88" s="3">
        <f>1220.3+(355.2-744.6)+(0+(0-0))+0-0-0</f>
        <v>830.89999999999986</v>
      </c>
      <c r="J88" s="3">
        <f>1275.7+(336.1-792.1)+(-3.903642+(-1.028466--2.423826))+0-0-0</f>
        <v>817.19171800000004</v>
      </c>
      <c r="K88" s="3">
        <f>1225.7+(366.9-787.4)+(-3.125535+(-0.935595--2.00787))+0-0-0</f>
        <v>803.14674000000002</v>
      </c>
      <c r="L88" s="3">
        <f>1045.9+(413.4-697.9)+(-1.600227+(-0.632502--1.067787))+0-0-0</f>
        <v>760.23505800000009</v>
      </c>
      <c r="M88" s="3">
        <f>1052.8+(362.5-640.9)+(-1.610784+(-0.554625--0.980577))+0-0-0</f>
        <v>773.21516799999995</v>
      </c>
      <c r="N88" s="3">
        <f>1053.3+(373.3-590.9)+(-1.074366+(-0.380766--0.602718))+0-0-0</f>
        <v>834.84758600000009</v>
      </c>
      <c r="O88" s="3">
        <f>1061.5+(425.7-594.2)+(-2.16546+(-0.868428--1.212168))+0-0-0</f>
        <v>891.17827999999997</v>
      </c>
      <c r="P88" s="3">
        <f>1237+(310-593.2)+(0.63087+(0.1581-0.302532))+0-0-0</f>
        <v>954.28643799999998</v>
      </c>
      <c r="Q88" s="3">
        <f>1315.7+(280-621.9)+(-1.342014+(-0.2856--0.634338))+0-0-0</f>
        <v>972.80672400000003</v>
      </c>
      <c r="R88" s="3">
        <f>1403.4+(297-706.4)+(-0.715734+(-0.15147--0.360264))+0-0-0</f>
        <v>993.49306000000013</v>
      </c>
      <c r="S88" s="3">
        <f>1404.4+(349.2-769.8)+(-2.148732+(-0.534276--1.177794))+0-0-0</f>
        <v>982.29478600000016</v>
      </c>
      <c r="T88" s="3">
        <f>1449.8+(375-833.5)+(-1.478796+(-0.3825--0.85017))+0-0-0</f>
        <v>990.28887399999996</v>
      </c>
      <c r="U88" s="3">
        <f>1449.3+(383.9-828.6)+(-2.217429+(-0.587367--1.267758))+0-0-0</f>
        <v>1003.0629619999999</v>
      </c>
      <c r="V88" s="3">
        <f>1448.5+(411.7-850.3)+(-2.216205+(-0.629901--1.300959))+0-0-0</f>
        <v>1008.354853</v>
      </c>
      <c r="W88" s="3">
        <f>1447.5+(454.4-909.3)+(-2.214675+(-0.695232--1.391229))+0-0-0</f>
        <v>991.081322</v>
      </c>
      <c r="X88" s="3">
        <f>1469.4+(415.7-902.9)+(-4.496364+(-1.272042--2.762874))+0-0-0</f>
        <v>979.19446800000003</v>
      </c>
      <c r="Y88" s="3">
        <f>1273.2+(423.4-741.4)+(-1.947996+(-0.647802--1.134342))+0-0-0</f>
        <v>953.73854400000005</v>
      </c>
      <c r="Z88" s="3">
        <f>1332.6+(456.4-830.3)+(1.359252+(0.465528-0.846906))+0-0-0</f>
        <v>959.67787399999997</v>
      </c>
      <c r="AA88" s="3">
        <f>1476.3+(397.8-777.7)+(-4.517478+(-1.217268--2.379762))+0-0-0</f>
        <v>1093.0450159999998</v>
      </c>
      <c r="AB88" s="3">
        <f>1341.4+(444.5-701.5)+(-1.368228+(-0.45339--0.71553))+0-0-0</f>
        <v>1083.2939120000001</v>
      </c>
      <c r="AC88" s="3">
        <f>1283.3+(483.2-735.1)+(-1.308966+(-0.492864--0.749802))+0-0-0</f>
        <v>1030.3479719999998</v>
      </c>
      <c r="AD88">
        <v>1089.4000000000001</v>
      </c>
      <c r="AE88" s="3">
        <f>1465+(398.9-774.5)+(0+(0-0))+0-0-0</f>
        <v>1089.4000000000001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1272.6+(402.4-695)+(1.298052+(0.410448-0.7089))+0-0-0</f>
        <v>980.99959999999987</v>
      </c>
      <c r="G89" s="3">
        <f>1256.3+(463.7-801.8)+(-2.562852+(-0.945948--1.635672))+0-0-0</f>
        <v>916.32687200000009</v>
      </c>
      <c r="H89" s="3">
        <f>1178.8+(426.7-764.7)+(0+(0-0))+0-0-0</f>
        <v>840.8</v>
      </c>
      <c r="I89" s="3">
        <f>1194.5+(385.4-744.8)+(-1.21839+(-0.393108--0.759696))+0-0-0</f>
        <v>834.248198</v>
      </c>
      <c r="J89" s="3">
        <f>982.4+(484.3-664.9)+(0+(0-0))+0-0-0</f>
        <v>801.8</v>
      </c>
      <c r="K89" s="3">
        <f>917.8+(545.9-679.9)+(-2.808468+(-1.670454--2.080494))+0-0-0</f>
        <v>781.40157199999999</v>
      </c>
      <c r="L89" s="3">
        <f>839.2+(580.7-677.6)+(-2.13996+(-1.480785--1.72788))+0-0-0</f>
        <v>740.40713500000004</v>
      </c>
      <c r="M89" s="3">
        <f>855.3+(524.3-640.2)+(-0.872406+(-0.534786--0.653004))+0-0-0</f>
        <v>738.64581199999986</v>
      </c>
      <c r="N89" s="3">
        <f>925.3+(464.7-607.8)+(0.471903+(0.236997-0.309978))+0-0-0</f>
        <v>782.59892200000002</v>
      </c>
      <c r="O89" s="3">
        <f>1101.3+(390.8-649.4)+(-2.246652+(-0.797232--1.324776))+0-0-0</f>
        <v>840.98089200000004</v>
      </c>
      <c r="P89" s="3">
        <f>1100.2+(439.1-638.4)+(0.561102+(0.223941-0.325584))+0-0-0</f>
        <v>901.35945900000013</v>
      </c>
      <c r="Q89" s="3">
        <f>1094.3+(443-605.9)+(0+(0-0))+0-0-0</f>
        <v>931.4</v>
      </c>
      <c r="R89" s="3">
        <f>1403.1+(319.5-669.5)+(0+(0-0))+0-0-0</f>
        <v>1053.0999999999999</v>
      </c>
      <c r="S89" s="3">
        <f>1380.9+(274.8-696.6)+(-0.704259+(-0.140148--0.355266))+0-0-0</f>
        <v>958.61085900000012</v>
      </c>
      <c r="T89" s="3">
        <f>1300.2+(259.9-605.7)+(0.663102+(0.132549-0.308907))+0-0-0</f>
        <v>954.88674400000002</v>
      </c>
      <c r="U89" s="3">
        <f>1294.6+(254.4-585.1)+(-0.660246+(-0.129744--0.298401))+0-0-0</f>
        <v>963.40841099999989</v>
      </c>
      <c r="V89" s="3">
        <f>1340.8+(247.4-618.7)+(-2.735232+(-0.504696--1.262148))+0-0-0</f>
        <v>967.52221999999983</v>
      </c>
      <c r="W89" s="3">
        <f>1393.9+(271.1-688.9)+(-0.710889+(-0.138261--0.351339))+0-0-0</f>
        <v>975.60218900000018</v>
      </c>
      <c r="X89" s="3">
        <f>1384.5+(302.9-727.8)+(-4.23657+(-0.926874--2.227068))+0-0-0</f>
        <v>956.66362400000003</v>
      </c>
      <c r="Y89" s="3">
        <f>1352+(299.1-724.1)+(-2.06856+(-0.457623--1.107873))+0-0-0</f>
        <v>925.58168999999998</v>
      </c>
      <c r="Z89" s="3">
        <f>1417.6+(372.6-854.1)+(4.337856+(1.140156-2.613546))+0-0-0</f>
        <v>938.9644659999999</v>
      </c>
      <c r="AA89" s="3">
        <f>1492.1+(473.7-883.9)+(-0.760971+(-0.241587--0.450789))+0-0-0</f>
        <v>1081.3482309999999</v>
      </c>
      <c r="AB89" s="3">
        <f>1504.3+(507.2-905.4)+(-1.534386+(-0.517344--0.923508))+0-0-0</f>
        <v>1104.9717779999999</v>
      </c>
      <c r="AC89" s="3">
        <f>1507.6+(542.6-992.7)+(-1.537752+(-0.553452--1.012554))+0-0-0</f>
        <v>1056.4213500000001</v>
      </c>
      <c r="AD89">
        <v>1109.3000000000002</v>
      </c>
      <c r="AE89" s="3">
        <f>1506+(481.2-877.9)+(0+(0-0))+0-0-0</f>
        <v>1109.3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1483.6+(549.6-1017.6)+(-3.78318+(-1.40148--2.59488))+0-0-0</f>
        <v>1013.0102199999999</v>
      </c>
      <c r="G90" s="3">
        <f>1472.2+(474.1-1001.9)+(-4.504932+(-1.450746--3.065814))+0-0-0</f>
        <v>941.5101360000001</v>
      </c>
      <c r="H90" s="3">
        <f>1476.6+(369.1-952.6)+(-3.012264+(-0.752964--1.943304))+0-0-0</f>
        <v>891.27807599999994</v>
      </c>
      <c r="I90" s="3">
        <f>1458.9+(314.9-906.6)+(-1.488078+(-0.321198--0.924732))+0-0-0</f>
        <v>866.31545600000004</v>
      </c>
      <c r="J90" s="3">
        <f>1443.6+(295.9-888.2)+(-3.68118+(-0.754545--2.26491))+0-0-0</f>
        <v>849.12918499999989</v>
      </c>
      <c r="K90" s="3">
        <f>1379.8+(310.8-851.6)+(-1.407396+(-0.317016--0.868632))+0-0-0</f>
        <v>838.14422000000002</v>
      </c>
      <c r="L90" s="3">
        <f>1292+(276.6-773.2)+(-0.65892+(-0.141066--0.394332))+0-0-0</f>
        <v>794.99434599999995</v>
      </c>
      <c r="M90" s="3">
        <f>1311.1+(262.8-740.2)+(0.668661+(0.134028-0.377502))+0-0-0</f>
        <v>834.12518699999987</v>
      </c>
      <c r="N90" s="3">
        <f>1452.2+(208.8-730.5)+(1.481244+(0.212976-0.74511))+0-0-0</f>
        <v>931.44911000000002</v>
      </c>
      <c r="O90" s="3">
        <f>1452+(256.3-719.2)+(1.48104+(0.261426-0.733584))+0-0-0</f>
        <v>990.10888199999988</v>
      </c>
      <c r="P90" s="3">
        <f>1432.6+(223.2-614)+(-1.461252+(-0.227664--0.62628))+0-0-0</f>
        <v>1040.7373639999998</v>
      </c>
      <c r="Q90" s="3">
        <f>1425.2+(220.7-565)+(1.453704+(0.225114-0.5763))+0-0-0</f>
        <v>1082.002518</v>
      </c>
      <c r="R90" s="3">
        <f>1438.9+(250.3-598.4)+(0+(0-0))+0-0-0</f>
        <v>1090.8000000000002</v>
      </c>
      <c r="S90" s="3">
        <f>1437.4+(424.5-776.5)+(1.466148+(0.43299-0.79203))+0-0-0</f>
        <v>1086.507108</v>
      </c>
      <c r="T90" s="3">
        <f>1425.9+(484.8-814.2)+(-1.454418+(-0.494496--0.830484))+0-0-0</f>
        <v>1095.38157</v>
      </c>
      <c r="U90" s="3">
        <f>1420.2+(532.7-851.4)+(-1.448604+(-0.543354--0.868428))+0-0-0</f>
        <v>1100.3764699999999</v>
      </c>
      <c r="V90" s="3">
        <f>1416+(523.2-838.7)+(-2.88864+(-1.067328--1.710948))+0-0-0</f>
        <v>1098.2549799999999</v>
      </c>
      <c r="W90" s="3">
        <f>1403.5+(579.2-905.2)+(-4.29471+(-1.772352--2.769912))+0-0-0</f>
        <v>1074.2028499999999</v>
      </c>
      <c r="X90" s="3">
        <f>1405.9+(607.1-958.8)+(-4.302054+(-1.857726--2.933928))+0-0-0</f>
        <v>1050.9741480000002</v>
      </c>
      <c r="Y90" s="3">
        <f>1398.1+(495.6-889.1)+(-2.139093+(-0.758268--1.360323))+0-0-0</f>
        <v>1003.0629619999999</v>
      </c>
      <c r="Z90" s="3">
        <f>1409.8+(451.2-857.1)+(0+(0-0))+0-0-0</f>
        <v>1003.8999999999999</v>
      </c>
      <c r="AA90" s="3">
        <f>1406+(523.7-780.3)+(-2.15118+(-0.801261--1.193859))+0-0-0</f>
        <v>1147.6414180000002</v>
      </c>
      <c r="AB90" s="3">
        <f>1397.5+(583.1-833.4)+(-3.563625+(-1.486905--2.12517))+0-0-0</f>
        <v>1144.2746400000001</v>
      </c>
      <c r="AC90" s="3">
        <f>1419.6+(640.8-957.7)+(0+(0-0))+0-0-0</f>
        <v>1102.6999999999998</v>
      </c>
      <c r="AD90">
        <v>1150.8000000000002</v>
      </c>
      <c r="AE90" s="3">
        <f>1406+(534.4-789.6)+(0+(0-0))+0-0-0</f>
        <v>1150.8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1413.3+(620.8-983.6)+(-0.720783+(-0.316608--0.501636))+0-0-0</f>
        <v>1049.9642449999999</v>
      </c>
      <c r="G91" s="3">
        <f>1410.9+(620.5-1052.7)+(-1.439118+(-0.63291--1.073754))+0-0-0</f>
        <v>977.70172600000001</v>
      </c>
      <c r="H91" s="3">
        <f>1405.2+(541.9-1017.2)+(-2.866608+(-1.105476--2.075088))+0-0-0</f>
        <v>928.00300400000003</v>
      </c>
      <c r="I91" s="3">
        <f>1415.9+(512.7-1025.3)+(0+(0-0))+0-0-0</f>
        <v>903.30000000000018</v>
      </c>
      <c r="J91" s="3">
        <f>1375.4+(514.1-1005.2)+(-2.805816+(-1.048764--2.050608))+0-0-0</f>
        <v>882.49602800000002</v>
      </c>
      <c r="K91" s="3">
        <f>1270.6+(547-951.8)+(-3.888036+(-1.67382--2.912508))+0-0-0</f>
        <v>863.15065199999992</v>
      </c>
      <c r="L91" s="3">
        <f>1062.8+(514.8-760.9)+(-3.794196+(-1.837836--2.716413))+0-0-0</f>
        <v>813.78438099999994</v>
      </c>
      <c r="M91" s="3">
        <f>1146+(449.9-753.3)+(0.58446+(0.229449-0.384183))+0-0-0</f>
        <v>843.02972599999998</v>
      </c>
      <c r="N91" s="3">
        <f>1354.2+(346.1-775)+(2.071926+(0.529533-1.18575))+0-0-0</f>
        <v>926.71570900000006</v>
      </c>
      <c r="O91" s="3">
        <f>1430.2+(302-740.5)+(0.729402+(0.15402-0.377655))+0-0-0</f>
        <v>992.20576700000004</v>
      </c>
      <c r="P91" s="3">
        <f>1474.3+(261.1-694.9)+(0+(0-0))+0-0-0</f>
        <v>1040.5</v>
      </c>
      <c r="Q91" s="3">
        <f>1462.1+(261.1-651.3)+(1.491342+(0.266322-0.664326))+0-0-0</f>
        <v>1072.993338</v>
      </c>
      <c r="R91" s="3">
        <f>1470.5+(290.7-682.3)+(0+(0-0))+0-0-0</f>
        <v>1078.9000000000001</v>
      </c>
      <c r="S91" s="3">
        <f>1454.4+(404.3-772.5)+(0+(0-0))+0-0-0</f>
        <v>1086.2</v>
      </c>
      <c r="T91" s="3">
        <f>1424.1+(422.1-754.2)+(0+(0-0))+0-0-0</f>
        <v>1092</v>
      </c>
      <c r="U91" s="3">
        <f>1422.7+(404.6-735.5)+(-1.451154+(-0.412692--0.75021))+0-0-0</f>
        <v>1090.6863640000001</v>
      </c>
      <c r="V91" s="3">
        <f>1428.1+(402.3-750)+(-0.728331+(-0.205173--0.3825))+0-0-0</f>
        <v>1079.8489959999999</v>
      </c>
      <c r="W91" s="3">
        <f>1424.2+(441.3-803.1)+(0+(0-0))+0-0-0</f>
        <v>1062.4000000000001</v>
      </c>
      <c r="X91" s="3">
        <f>1412.9+(488.7-863)+(-0.720579+(-0.249237--0.44013))+0-0-0</f>
        <v>1038.0703140000001</v>
      </c>
      <c r="Y91" s="3">
        <f>1406.2+(333.7-749.5)+(0+(0-0))+0-0-0</f>
        <v>990.40000000000009</v>
      </c>
      <c r="Z91" s="3">
        <f>1413.3+(390.8-791.5)+(-1.441566+(-0.398616--0.80733))+0-0-0</f>
        <v>1011.5671479999999</v>
      </c>
      <c r="AA91" s="3">
        <f>1442+(476.4-762.8)+(-2.20626+(-0.728892--1.167084))+0-0-0</f>
        <v>1153.8319319999998</v>
      </c>
      <c r="AB91" s="3">
        <f>1439.7+(495.2-796.2)+(-1.468494+(-0.505104--0.812124))+0-0-0</f>
        <v>1137.538526</v>
      </c>
      <c r="AC91" s="3">
        <f>1446.9+(493.2-842.1)+(-1.475838+(-0.503064--0.858942))+0-0-0</f>
        <v>1096.88004</v>
      </c>
      <c r="AD91">
        <v>1157.8</v>
      </c>
      <c r="AE91" s="3">
        <f>1435+(478-755.2)+(0+(0-0))+0-0-0</f>
        <v>1157.8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1417.4+(519.9-910.9)+(-4.337244+(-1.590894--2.787354))+0-0-0</f>
        <v>1023.259216</v>
      </c>
      <c r="G92" s="3">
        <f>1434.5+(465.4-966.1)+(-2.92638+(-0.949416--1.970844))+0-0-0</f>
        <v>931.89504799999997</v>
      </c>
      <c r="H92" s="3">
        <f>1435.6+(375.8-926)+(-2.196468+(-0.574974--1.41678))+0-0-0</f>
        <v>884.0453379999999</v>
      </c>
      <c r="I92" s="3">
        <f>1447.7+(320.3-913)+(1.476654+(0.326706-0.93126))+0-0-0</f>
        <v>855.87210000000005</v>
      </c>
      <c r="J92" s="3">
        <f>1431.5+(330.9-907.4)+(-2.92026+(-0.675036--1.851096))+0-0-0</f>
        <v>853.25580000000002</v>
      </c>
      <c r="K92" s="3">
        <f>1308.3+(383.8-844.2)+(-3.336165+(-0.97869--2.15271))+0-0-0</f>
        <v>845.73785499999985</v>
      </c>
      <c r="L92" s="3">
        <f>1135.8+(434.4-767.4)+(-1.158516+(-0.443088--0.782748))+0-0-0</f>
        <v>801.98114399999997</v>
      </c>
      <c r="M92" s="3">
        <f>1302.8+(284.8-767.2)+(3.32214+(0.72624-1.95636))+0-0-0</f>
        <v>822.49201999999991</v>
      </c>
      <c r="N92" s="3">
        <f>1641+(243.6-960.4)+(0.83691+(0.124236-0.489804))+0-0-0</f>
        <v>924.6713420000001</v>
      </c>
      <c r="O92" s="3">
        <f>1612.4+(262.4-885)+(-0.822324+(-0.133824--0.45135))+0-0-0</f>
        <v>989.29520200000002</v>
      </c>
      <c r="P92" s="3">
        <f>1575.5+(271.3-807.7)+(2.410515+(0.415089-1.235781))+0-0-0</f>
        <v>1040.6898229999999</v>
      </c>
      <c r="Q92" s="3">
        <f>1449.1+(322.8-711.9)+(2.956164+(0.658512-1.452276))+0-0-0</f>
        <v>1062.1623999999999</v>
      </c>
      <c r="R92" s="3">
        <f>1488.6+(328.1-746)+(0.759186+(0.167331-0.38046))+0-0-0</f>
        <v>1071.2460569999998</v>
      </c>
      <c r="S92" s="3">
        <f>1479.7+(436-853.4)+(0.754647+(0.22236-0.435234))+0-0-0</f>
        <v>1062.8417730000001</v>
      </c>
      <c r="T92" s="3">
        <f>1472.4+(460.9-876.7)+(1.501848+(0.470118-0.894234))+0-0-0</f>
        <v>1057.6777319999999</v>
      </c>
      <c r="U92" s="3">
        <f>1474.3+(462.5-877.1)+(0+(0-0))+0-0-0</f>
        <v>1059.6999999999998</v>
      </c>
      <c r="V92" s="3">
        <f>1472.8+(473.9-871.9)+(0.751128+(0.241689-0.444669))+0-0-0</f>
        <v>1075.348148</v>
      </c>
      <c r="W92" s="3">
        <f>1474.5+(530.8-940.2)+(-2.255985+(-0.812124--1.438506))+0-0-0</f>
        <v>1063.4703969999998</v>
      </c>
      <c r="X92" s="3">
        <f>1463.1+(515.1-947.8)+(-2.984724+(-1.050804--1.933512))+0-0-0</f>
        <v>1028.297984</v>
      </c>
      <c r="Y92" s="3">
        <f>1289.9+(414.8-727.6)+(-3.289245+(-1.05774--1.85538))+0-0-0</f>
        <v>974.60839500000009</v>
      </c>
      <c r="Z92" s="3">
        <f>1327.6+(460.3-809.2)+(0+(0-0))+0-0-0</f>
        <v>978.69999999999982</v>
      </c>
      <c r="AA92" s="3">
        <f>1433.3+(486.9-794.8)+(-0.730983+(-0.248319--0.405348))+0-0-0</f>
        <v>1124.8260460000001</v>
      </c>
      <c r="AB92" s="3">
        <f>1439.2+(515-826.4)+(-1.467984+(-0.5253--0.842928))+0-0-0</f>
        <v>1126.6496440000001</v>
      </c>
      <c r="AC92" s="3">
        <f>1437.6+(474.8-838.8)+(-1.466352+(-0.484296--0.855576))+0-0-0</f>
        <v>1072.5049279999998</v>
      </c>
      <c r="AD92">
        <v>1123.3</v>
      </c>
      <c r="AE92" s="3">
        <f>1440+(483.3-800)+(0+(0-0))+0-0-0</f>
        <v>1123.3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1428.6+(526.7-950.3)+(-1.457172+(-0.537234--0.969306))+0-0-0</f>
        <v>1003.9749</v>
      </c>
      <c r="G93" s="3">
        <f>1410.4+(583.3-1049.9)+(0+(0-0))+0-0-0</f>
        <v>943.8</v>
      </c>
      <c r="H93" s="3">
        <f>1335.2+(529.9-972.1)+(-2.042856+(-0.810747--1.487313))+0-0-0</f>
        <v>891.63370999999995</v>
      </c>
      <c r="I93" s="3">
        <f>1336.5+(485.1-967.7)+(-1.36323+(-0.494802--0.987054))+0-0-0</f>
        <v>853.02902199999994</v>
      </c>
      <c r="J93" s="3">
        <f>1331.2+(427.2-921.9)+(-3.39456+(-1.08936--2.350845))+0-0-0</f>
        <v>834.36692500000004</v>
      </c>
      <c r="K93" s="3">
        <f>1249.7+(422.6-849.4)+(-3.186735+(-1.07763--2.16597))+0-0-0</f>
        <v>820.80160500000011</v>
      </c>
      <c r="L93" s="3">
        <f>1019.2+(496.2-730.9)+(0+(0-0))+0-0-0</f>
        <v>784.5</v>
      </c>
      <c r="M93" s="3">
        <f>993.2+(537.3-708.1)+(0.506532+(0.274023-0.361131))+0-0-0</f>
        <v>822.81942400000003</v>
      </c>
      <c r="N93" s="3">
        <f>1194.4+(504-796.6)+(-1.218288+(-0.51408--0.812532))+0-0-0</f>
        <v>900.88016400000004</v>
      </c>
      <c r="O93" s="3">
        <f>1320.1+(449.1-794.2)+(-1.346502+(-0.458082--0.810084))+0-0-0</f>
        <v>974.00549999999987</v>
      </c>
      <c r="P93" s="3">
        <f>1412.2+(452.6-832.1)+(0.720222+(0.230826-0.424371))+0-0-0</f>
        <v>1033.2266770000001</v>
      </c>
      <c r="Q93" s="3">
        <f>1411.6+(407.4-749.2)+(0+(0-0))+0-0-0</f>
        <v>1069.7999999999997</v>
      </c>
      <c r="R93" s="3">
        <f>1392.8+(421.8-755.7)+(-1.420656+(-0.430236--0.770814))+0-0-0</f>
        <v>1057.8199219999999</v>
      </c>
      <c r="S93" s="3">
        <f>1398.9+(445-793.6)+(-0.713439+(-0.22695--0.404736))+0-0-0</f>
        <v>1049.7643470000003</v>
      </c>
      <c r="T93" s="3">
        <f>1430.8+(440.6-812.4)+(0+(0-0))+0-0-0</f>
        <v>1059</v>
      </c>
      <c r="U93" s="3">
        <f>1439+(452.8-831.9)+(-0.73389+(-0.230928--0.424269))+0-0-0</f>
        <v>1059.359451</v>
      </c>
      <c r="V93" s="3">
        <f>1425.5+(465.9-824.4)+(-0.727005+(-0.237609--0.420444))+0-0-0</f>
        <v>1066.4558300000001</v>
      </c>
      <c r="W93" s="3">
        <f>1402.6+(512.3-844.5)+(-1.430652+(-0.522546--0.86139))+0-0-0</f>
        <v>1069.308192</v>
      </c>
      <c r="X93" s="3">
        <f>1401.3+(528.6-899.1)+(-2.143989+(-0.808758--1.375623))+0-0-0</f>
        <v>1029.222876</v>
      </c>
      <c r="Y93" s="3">
        <f>1293.9+(411.7-708.2)+(-5.279112+(-1.679736--2.889456))+0-0-0</f>
        <v>993.3306080000001</v>
      </c>
      <c r="Z93" s="3">
        <f>1270.8+(441.3-711.7)+(1.296216+(0.450126-0.725934))+0-0-0</f>
        <v>1001.4204079999998</v>
      </c>
      <c r="AA93" s="3">
        <f>1458.9+(425.5-738.2)+(-0.744039+(-0.217005--0.376482))+0-0-0</f>
        <v>1145.615438</v>
      </c>
      <c r="AB93" s="3">
        <f>1456.2+(478.4-799.7)+(-0.742662+(-0.243984--0.407847))+0-0-0</f>
        <v>1134.3212010000002</v>
      </c>
      <c r="AC93" s="3">
        <f>1432.5+(502.2-851.8)+(-2.9223+(-1.024488--1.737672))+0-0-0</f>
        <v>1080.6908840000001</v>
      </c>
      <c r="AD93">
        <v>1065.8</v>
      </c>
      <c r="AE93" s="3">
        <f>1392+(455.5-781.7)+(0+(0-0))+0-0-0</f>
        <v>1065.8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1427.8+(433.5-853)+(-3.64089+(-1.105425--2.17515))+0-0-0</f>
        <v>1005.728835</v>
      </c>
      <c r="G94" s="3">
        <f>1425.6+(422-914)+(-2.908224+(-0.86088--1.86456))+0-0-0</f>
        <v>931.69545599999992</v>
      </c>
      <c r="H94" s="3">
        <f>1412.4+(454.2-978.8)+(-3.60162+(-1.15821--2.49594))+0-0-0</f>
        <v>885.53611000000024</v>
      </c>
      <c r="I94" s="3">
        <f>1321.7+(506.2-968.4)+(-2.696268+(-1.032648--1.975536))+0-0-0</f>
        <v>857.74662000000001</v>
      </c>
      <c r="J94" s="3">
        <f>1321.1+(383.6-870.3)+(-0.673761+(-0.195636--0.443853))+0-0-0</f>
        <v>833.97445600000003</v>
      </c>
      <c r="K94" s="3">
        <f>1170.6+(363.7-723.3)+(-2.388024+(-0.741948--1.475532))+0-0-0</f>
        <v>809.34555999999998</v>
      </c>
      <c r="L94" s="3">
        <f>1113.3+(331.2-667.6)+(-1.135566+(-0.337824--0.680952))+0-0-0</f>
        <v>776.10756199999992</v>
      </c>
      <c r="M94" s="3">
        <f>1177.7+(293.4-654.3)+(0.600627+(0.149634-0.333693))+0-0-0</f>
        <v>817.21656800000005</v>
      </c>
      <c r="N94" s="3">
        <f>1321.8+(304.8-717.9)+(-0.674118+(-0.155448--0.366129))+0-0-0</f>
        <v>908.23656300000005</v>
      </c>
      <c r="O94" s="3">
        <f>1372.9+(325.4-724.2)+(0+(0-0))+0-0-0</f>
        <v>974.1</v>
      </c>
      <c r="P94" s="3">
        <f>1435.9+(316-725.9)+(0+(0-0))+0-0-0</f>
        <v>1026</v>
      </c>
      <c r="Q94" s="3">
        <f>1423.6+(272.9-639.9)+(0+(0-0))+0-0-0</f>
        <v>1056.5999999999999</v>
      </c>
      <c r="R94" s="3">
        <f>1411.2+(261.9-669.4)+(0+(0-0))+0-0-0</f>
        <v>1003.7</v>
      </c>
      <c r="S94" s="3">
        <f>1464.3+(341.6-751.7)+(-1.493586+(-0.348432--0.766734))+0-0-0</f>
        <v>1053.1247159999998</v>
      </c>
      <c r="T94" s="3">
        <f>1469.9+(393.1-815.4)+(0.749649+(0.200481-0.415854))+0-0-0</f>
        <v>1048.1342760000002</v>
      </c>
      <c r="U94" s="3">
        <f>1465+(344.8-757.5)+(-0.74715+(-0.175848--0.386325))+0-0-0</f>
        <v>1051.7633269999999</v>
      </c>
      <c r="V94" s="3">
        <f>1465.7+(342-728.8)+(-1.495014+(-0.34884--0.743376))+0-0-0</f>
        <v>1077.799522</v>
      </c>
      <c r="W94" s="3">
        <f>1465.2+(472.1-863)+(-1.494504+(-0.481542--0.88026))+0-0-0</f>
        <v>1073.2042140000001</v>
      </c>
      <c r="X94" s="3">
        <f>1451.6+(575.9-972.5)+(-5.182212+(-2.055963--3.471825))+0-0-0</f>
        <v>1051.2336499999999</v>
      </c>
      <c r="Y94" s="3">
        <f>1274.5+(509.1-772.1)+(-1.29999+(-0.519282--0.787542))+0-0-0</f>
        <v>1010.46827</v>
      </c>
      <c r="Z94" s="3">
        <f>1354.2+(520.3-841.3)+(-1.381284+(-0.530706--0.858126))+0-0-0</f>
        <v>1032.1461360000001</v>
      </c>
      <c r="AA94" s="3">
        <f>1483.6+(474.3-798.9)+(-4.539816+(-1.451358--2.444634))+0-0-0</f>
        <v>1155.45346</v>
      </c>
      <c r="AB94" s="3">
        <f>1419.8+(534.3-785.5)+(-1.448196+(-0.544986--0.80121))+0-0-0</f>
        <v>1167.4080279999998</v>
      </c>
      <c r="AC94" s="3">
        <f>1417.6+(452.3-762.5)+(0+(0-0))+0-0-0</f>
        <v>1107.3999999999999</v>
      </c>
      <c r="AD94">
        <v>1225.0999999999999</v>
      </c>
      <c r="AE94" s="3">
        <f>1490+(519.8-784.7)+(0+(0-0))+0-0-0</f>
        <v>1225.0999999999999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1401.1+(527.4-883.8)+(-0.714561+(-0.268974--0.450738))+0-0-0</f>
        <v>1044.1672029999997</v>
      </c>
      <c r="G95" s="3">
        <f>1328.2+(518.4-888.4)+(-0.677382+(-0.264384--0.453084))+0-0-0</f>
        <v>957.71131800000001</v>
      </c>
      <c r="H95" s="3">
        <f>1310.5+(545-956.5)+(-0.668355+(-0.27795--0.487815))+0-0-0</f>
        <v>898.54151000000002</v>
      </c>
      <c r="I95" s="3">
        <f>1306.5+(494.8-928.5)+(-1.33263+(-0.504696--0.94707))+0-0-0</f>
        <v>871.90974399999993</v>
      </c>
      <c r="J95" s="3">
        <f>1315+(451.6-902.6)+(1.3413+(0.460632-0.920652))+0-0-0</f>
        <v>864.88127999999995</v>
      </c>
      <c r="K95" s="3">
        <f>1290.6+(433.9-857.9)+(-3.949236+(-1.327734--2.625174))+0-0-0</f>
        <v>863.94820399999992</v>
      </c>
      <c r="L95" s="3">
        <f>1034.1+(451.9-668.4)+(-1.582173+(-0.691407--1.022652))+0-0-0</f>
        <v>816.34907199999986</v>
      </c>
      <c r="M95" s="3">
        <f>1060.6+(389.4-605.2)+(1.081812+(0.397188-0.617304))+0-0-0</f>
        <v>845.66169599999989</v>
      </c>
      <c r="N95" s="3">
        <f>1201+(364.8-634.1)+(1.83753+(0.558144-0.970173))+0-0-0</f>
        <v>933.1255010000001</v>
      </c>
      <c r="O95" s="3">
        <f>1221.3+(429.8-647.6)+(1.868589+(0.657594-0.990828))+0-0-0</f>
        <v>1005.035355</v>
      </c>
      <c r="P95" s="3">
        <f>1296.9+(435.8-681)+(0+(0-0))+0-0-0</f>
        <v>1051.7</v>
      </c>
      <c r="Q95" s="3">
        <f>1400.9+(400.7-717.8)+(-0.714459+(-0.204357--0.366078))+0-0-0</f>
        <v>1083.2472620000001</v>
      </c>
      <c r="R95" s="3">
        <f>1423.2+(422.5-769.3)+(0+(0-0))+0-0-0</f>
        <v>1076.4000000000001</v>
      </c>
      <c r="S95" s="3">
        <f>1407.5+(448.9-787.7)+(-5.024775+(-1.602573--2.812089))+0-0-0</f>
        <v>1064.8847409999998</v>
      </c>
      <c r="T95" s="3">
        <f>1414.2+(425.4-770.8)+(-1.442484+(-0.433908--0.786216))+0-0-0</f>
        <v>1067.7098240000003</v>
      </c>
      <c r="U95" s="3">
        <f>1411.9+(455.7-794)+(-2.160207+(-0.697221--1.21482))+0-0-0</f>
        <v>1071.957392</v>
      </c>
      <c r="V95" s="3">
        <f>1403.2+(502-835.2)+(-1.431264+(-0.51204--0.851904))+0-0-0</f>
        <v>1068.9086</v>
      </c>
      <c r="W95" s="3">
        <f>1335.7+(532.1-807.9)+(-2.724828+(-1.085484--1.648116))+0-0-0</f>
        <v>1057.7378040000001</v>
      </c>
      <c r="X95" s="3">
        <f>1305.2+(506.7-782.2)+(-3.993912+(-1.550502--2.393532))+0-0-0</f>
        <v>1026.5491180000001</v>
      </c>
      <c r="Y95" s="3">
        <f>1194.3+(567.6-756.5)+(-3.654558+(-1.736856--2.31489))+0-0-0</f>
        <v>1002.323476</v>
      </c>
      <c r="Z95" s="3">
        <f>1205.1+(593.3-795.3)+(0+(0-0))+0-0-0</f>
        <v>1003.0999999999999</v>
      </c>
      <c r="AA95" s="3">
        <f>1407.5+(606.9-866.1)+(-5.024775+(-2.166633--3.091977))+0-0-0</f>
        <v>1144.2005689999999</v>
      </c>
      <c r="AB95" s="3">
        <f>1416.6+(504-783.3)+(-2.167398+(-0.77112--1.198449))+0-0-0</f>
        <v>1135.559931</v>
      </c>
      <c r="AC95" s="3">
        <f>1315.4+(456.4-701.7)+(-0.670854+(-0.232764--0.357867))+0-0-0</f>
        <v>1069.5542489999998</v>
      </c>
      <c r="AD95">
        <v>1171.5999999999999</v>
      </c>
      <c r="AE95" s="3">
        <f>1410+(641-879.4)+(0+(0-0))+0-0-0</f>
        <v>1171.5999999999999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1183.2+(569.2-749.3)+(0+(0-0))+0-0-0</f>
        <v>1003.1000000000001</v>
      </c>
      <c r="G96" s="3">
        <f>1112+(555.4-745.6)+(-1.13424+(-0.566508--0.760512))+0-0-0</f>
        <v>920.85976399999993</v>
      </c>
      <c r="H96" s="3">
        <f>1111.2+(490.6-729.5)+(-0.566712+(-0.250206--0.372045))+0-0-0</f>
        <v>871.85512700000004</v>
      </c>
      <c r="I96" s="3">
        <f>1107.3+(457-711.7)+(-2.258892+(-0.93228--1.451868))+0-0-0</f>
        <v>850.86069599999996</v>
      </c>
      <c r="J96" s="3">
        <f>1121+(454.4-736.1)+(1.14342+(0.463488-0.750822))+0-0-0</f>
        <v>840.15608599999996</v>
      </c>
      <c r="K96" s="3">
        <f>1102.2+(483.8-752.3)+(-1.686366+(-0.740214--1.151019))+0-0-0</f>
        <v>832.42443900000001</v>
      </c>
      <c r="L96" s="3">
        <f>916.1+(563.7-691.5)+(-0.934422+(-0.574974--0.70533))+0-0-0</f>
        <v>787.49593400000003</v>
      </c>
      <c r="M96" s="3">
        <f>776.1+(600.9-617.2)+(1.187433+(0.919377-0.944316))+0-0-0</f>
        <v>760.96249399999999</v>
      </c>
      <c r="N96" s="3">
        <f>886.6+(542.2-631.2)+(0+(0-0))+0-0-0</f>
        <v>797.6</v>
      </c>
      <c r="O96" s="3">
        <f>1043.3+(471.9-609.5)+(-1.064166+(-0.481338--0.62169))+0-0-0</f>
        <v>904.77618599999994</v>
      </c>
      <c r="P96" s="3">
        <f>787.5+(476.3-338.5)+(0.80325+(0.485826-0.34527))+0-0-0</f>
        <v>926.24380599999995</v>
      </c>
      <c r="Q96" s="3">
        <f>784.3+(453.5-274.7)+(0.399993+(0.231285-0.140097))+0-0-0</f>
        <v>963.59118099999989</v>
      </c>
      <c r="R96" s="3">
        <f>779.2+(553.4-363.2)+(0.397392+(0.282234-0.185232))+0-0-0</f>
        <v>969.89439400000015</v>
      </c>
      <c r="S96" s="3">
        <f>778.6+(641.5-450.7)+(-0.397086+(-0.327165--0.229857))+0-0-0</f>
        <v>968.90560600000003</v>
      </c>
      <c r="T96" s="3">
        <f>924.6+(621.9-583.4)+(0+(0-0))+0-0-0</f>
        <v>963.1</v>
      </c>
      <c r="U96" s="3">
        <f>1035+(537.7-602)+(-1.0557+(-0.548454--0.61404))+0-0-0</f>
        <v>969.7098860000001</v>
      </c>
      <c r="V96" s="3">
        <f>1039.2+(529-601.1)+(1.059984+(0.53958-0.613122))+0-0-0</f>
        <v>968.08644200000003</v>
      </c>
      <c r="W96" s="3">
        <f>1052.6+(542-638.4)+(-0.536826+(-0.27642--0.325584))+0-0-0</f>
        <v>955.71233799999993</v>
      </c>
      <c r="X96" s="3">
        <f>1087.7+(509.7-671.9)+(-1.109454+(-0.519894--0.685338))+0-0-0</f>
        <v>924.55598999999995</v>
      </c>
      <c r="Y96" s="3">
        <f>1084.1+(386.5-577.4)+(-1.105782+(-0.39423--0.588948))+0-0-0</f>
        <v>892.28893599999992</v>
      </c>
      <c r="Z96" s="3">
        <f>1094.5+(454.9-629.9)+(-1.11639+(-0.463998--0.642498))+0-0-0</f>
        <v>918.56210999999996</v>
      </c>
      <c r="AA96" s="3">
        <f>1108.9+(642.4-668.9)+(-3.393234+(-1.965744--2.046834))+0-0-0</f>
        <v>1079.0878560000001</v>
      </c>
      <c r="AB96" s="3">
        <f>1120.5+(659.1-696.7)+(-1.14291+(-0.672282--0.710634))+0-0-0</f>
        <v>1081.7954420000001</v>
      </c>
      <c r="AC96" s="3">
        <f>1125.4+(643.1-724.8)+(-0.573954+(-0.327981--0.369648))+0-0-0</f>
        <v>1043.1677130000003</v>
      </c>
      <c r="AD96">
        <v>1108.8</v>
      </c>
      <c r="AE96" s="3">
        <f>1136+(669.5-696.7)+(0+(0-0))+0-0-0</f>
        <v>1108.8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1117.9+(639.7-786.2)+(-2.850645+(-1.631235--2.00481))+0-0-0</f>
        <v>968.92293000000006</v>
      </c>
      <c r="G97" s="3">
        <f>1121.6+(605.1-814.6)+(-2.288064+(-1.234404--1.661784))+0-0-0</f>
        <v>910.23931599999992</v>
      </c>
      <c r="H97" s="3">
        <f>1126+(529.3-784.6)+(-0.57426+(-0.269943--0.400146))+0-0-0</f>
        <v>870.25594299999989</v>
      </c>
      <c r="I97" s="3">
        <f>1118.3+(503.6-775.8)+(-1.710999+(-0.770508--1.186974))+0-0-0</f>
        <v>844.80546700000002</v>
      </c>
      <c r="J97" s="3">
        <f>1121.6+(519.1-806.8)+(-1.144032+(-0.529482--0.822936))+0-0-0</f>
        <v>833.04942199999994</v>
      </c>
      <c r="K97" s="3">
        <f>1031.4+(519-728)+(-3.156084+(-1.58814--2.22768))+0-0-0</f>
        <v>819.88345600000014</v>
      </c>
      <c r="L97" s="3">
        <f>823+(553.2-588.6)+(-1.67892+(-1.128528--1.200744))+0-0-0</f>
        <v>785.99329599999999</v>
      </c>
      <c r="M97" s="3">
        <f>879+(531.8-598.3)+(0+(0-0))+0-0-0</f>
        <v>812.5</v>
      </c>
      <c r="N97" s="3">
        <f>998+(582.6-634.7)+(-1.52694+(-0.891378--0.971091))+0-0-0</f>
        <v>944.45277299999998</v>
      </c>
      <c r="O97" s="3">
        <f>1088+(563.2-682.7)+(1.10976+(0.574464-0.696354))+0-0-0</f>
        <v>969.48787000000004</v>
      </c>
      <c r="P97" s="3">
        <f>1129.1+(541.1-656.2)+(-0.575841+(-0.275961--0.334662))+0-0-0</f>
        <v>1013.4828599999998</v>
      </c>
      <c r="Q97" s="3">
        <f>1125.6+(562.4-622.6)+(-0.574056+(-0.286824--0.317526))+0-0-0</f>
        <v>1064.856646</v>
      </c>
      <c r="R97" s="3">
        <f>1155.8+(625.2-703.1)+(0.589458+(0.318852-0.358581))+0-0-0</f>
        <v>1078.4497290000002</v>
      </c>
      <c r="S97" s="3">
        <f>1155.4+(675.6-757.9)+(-0.589254+(-0.344556--0.386529))+0-0-0</f>
        <v>1072.552719</v>
      </c>
      <c r="T97" s="3">
        <f>1150.8+(647.2-714.8)+(-1.173816+(-0.660144--0.729096))+0-0-0</f>
        <v>1082.0951360000001</v>
      </c>
      <c r="U97" s="3">
        <f>1145.9+(649.7-716.9)+(-1.753227+(-0.994041--1.096857))+0-0-0</f>
        <v>1077.0495890000002</v>
      </c>
      <c r="V97" s="3">
        <f>1158.2+(651.8-724.6)+(-2.95341+(-1.66209--1.84773))+0-0-0</f>
        <v>1082.6322300000002</v>
      </c>
      <c r="W97" s="3">
        <f>1267.5+(627.4-830.1)+(-4.524975+(-2.239818--2.963457))+0-0-0</f>
        <v>1060.998664</v>
      </c>
      <c r="X97" s="3">
        <f>1352.4+(655.4-968.9)+(-4.138344+(-2.005524--2.964834))+0-0-0</f>
        <v>1035.7209660000001</v>
      </c>
      <c r="Y97" s="3">
        <f>1390.2+(597.4-993.7)+(-2.836008+(-1.218696--2.027148))+0-0-0</f>
        <v>991.87244399999997</v>
      </c>
      <c r="Z97" s="3">
        <f>1419.3+(663.8-1046.5)+(0+(0-0))+0-0-0</f>
        <v>1036.5999999999999</v>
      </c>
      <c r="AA97" s="3">
        <f>1467.6+(780.7-1058.4)+(-1.496952+(-0.796314--1.079568))+0-0-0</f>
        <v>1188.6863019999998</v>
      </c>
      <c r="AB97" s="3">
        <f>1461.1+(773.3-1062.7)+(-2.235483+(-1.183149--1.625931))+0-0-0</f>
        <v>1169.9072989999997</v>
      </c>
      <c r="AC97" s="3">
        <f>1468.3+(731.3-1088.6)+(-0.748833+(-0.372963--0.555186))+0-0-0</f>
        <v>1110.4333899999999</v>
      </c>
      <c r="AD97">
        <v>1192</v>
      </c>
      <c r="AE97" s="3">
        <f>1467+(791.6-1066.6)+(0+(0-0))+0-0-0</f>
        <v>1192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1461.1+(679.3-1103.1)+(-2.235483+(-1.039329--1.687743))+0-0-0</f>
        <v>1035.712931</v>
      </c>
      <c r="G98" s="3">
        <f>1450.5+(626-1099.9)+(-2.219265+(-0.95778--1.682847))+0-0-0</f>
        <v>975.10580199999993</v>
      </c>
      <c r="H98" s="3">
        <f>1466.8+(502.5-1048)+(-1.496136+(-0.51255--1.06896))+0-0-0</f>
        <v>920.360274</v>
      </c>
      <c r="I98" s="3">
        <f>1396.1+(450.3-965.8)+(2.136033+(0.688959-1.477674))+0-0-0</f>
        <v>881.94731799999988</v>
      </c>
      <c r="J98" s="3">
        <f>1392.3+(463.8-982.4)+(0+(0-0))+0-0-0</f>
        <v>873.7</v>
      </c>
      <c r="K98" s="3">
        <f>1364.5+(476.9-973.6)+(-1.39179+(-0.486438--0.993072))+0-0-0</f>
        <v>866.9148439999999</v>
      </c>
      <c r="L98" s="3">
        <f>1320+(459.5-951.2)+(-2.6928+(-0.93738--1.940448))+0-0-0</f>
        <v>826.61026799999991</v>
      </c>
      <c r="M98" s="3">
        <f>1331.8+(382.3-873.7)+(4.075308+(1.169838-2.673522))+0-0-0</f>
        <v>842.97162399999991</v>
      </c>
      <c r="N98" s="3">
        <f>1409.4+(357-843.4)+(-2.875176+(-0.72828--1.720536))+0-0-0</f>
        <v>921.1170800000001</v>
      </c>
      <c r="O98" s="3">
        <f>1456.7+(386.4-839.8)+(-0.742917+(-0.197064--0.428298))+0-0-0</f>
        <v>1002.7883170000001</v>
      </c>
      <c r="P98" s="3">
        <f>1431.9+(426.6-804.6)+(-0.730269+(-0.217566--0.410346))+0-0-0</f>
        <v>1053.362511</v>
      </c>
      <c r="Q98" s="3">
        <f>1403.6+(460.6-770.5)+(-0.715836+(-0.234906--0.392955))+0-0-0</f>
        <v>1093.1422129999999</v>
      </c>
      <c r="R98" s="3">
        <f>1463.4+(448-824.9)+(0+(0-0))+0-0-0</f>
        <v>1086.5</v>
      </c>
      <c r="S98" s="3">
        <f>1446+(482.2-853.1)+(-1.47492+(-0.491844--0.870162))+0-0-0</f>
        <v>1074.0033979999998</v>
      </c>
      <c r="T98" s="3">
        <f>1420.4+(453.2-805.1)+(-2.897616+(-0.924528--1.642404))+0-0-0</f>
        <v>1066.32026</v>
      </c>
      <c r="U98" s="3">
        <f>1444.5+(431.1-810.6)+(-2.210085+(-0.659583--1.240218))+0-0-0</f>
        <v>1063.3705500000001</v>
      </c>
      <c r="V98" s="3">
        <f>1459+(440.5-822.8)+(-0.74409+(-0.224655--0.419628))+0-0-0</f>
        <v>1076.150883</v>
      </c>
      <c r="W98" s="3">
        <f>1430.8+(491.2-872.1)+(-0.729708+(-0.250512--0.444771))+0-0-0</f>
        <v>1049.3645509999999</v>
      </c>
      <c r="X98" s="3">
        <f>1358.9+(582.4-862.9)+(-4.158234+(-1.782144--2.640474))+0-0-0</f>
        <v>1075.1000960000001</v>
      </c>
      <c r="Y98" s="3">
        <f>1125.4+(534.4-663.6)+(-1.721862+(-0.817632--1.015308))+0-0-0</f>
        <v>994.67581400000006</v>
      </c>
      <c r="Z98" s="3">
        <f>1131.8+(572-680.2)+(-1.731654+(-0.87516--1.040706))+0-0-0</f>
        <v>1022.0338919999999</v>
      </c>
      <c r="AA98" s="3">
        <f>1368.6+(521.3-710.1)+(-0.697986+(-0.265863--0.362151))+0-0-0</f>
        <v>1179.1983019999998</v>
      </c>
      <c r="AB98" s="3">
        <f>1336.4+(594.6-739.9)+(-2.726256+(-1.212984--1.509396))+0-0-0</f>
        <v>1188.6701560000001</v>
      </c>
      <c r="AC98" s="3">
        <f>1352.2+(623-823.5)+(-1.379244+(-0.63546--0.83997))+0-0-0</f>
        <v>1150.5252660000001</v>
      </c>
      <c r="AD98">
        <v>1190.7</v>
      </c>
      <c r="AE98" s="3">
        <f>1389+(529-727.3)+(0+(0-0))+0-0-0</f>
        <v>1190.7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1377.9+(531.8-893)+(-2.108187+(-0.813654--1.36629))+0-0-0</f>
        <v>1015.144449</v>
      </c>
      <c r="G99" s="3">
        <f>1370.8+(534.7-964.6)+(-2.796432+(-1.090788--1.967784))+0-0-0</f>
        <v>938.98056399999996</v>
      </c>
      <c r="H99" s="3">
        <f>1383.9+(500.5-986.4)+(-2.823156+(-1.02102--2.012256))+0-0-0</f>
        <v>896.16808000000015</v>
      </c>
      <c r="I99" s="3">
        <f>1340+(436.2-909.3)+(-3.417+(-1.11231--2.318715))+0-0-0</f>
        <v>864.68940500000008</v>
      </c>
      <c r="J99" s="3">
        <f>1384.1+(407.1-933)+(-4.235346+(-1.245726--2.85498))+0-0-0</f>
        <v>855.57390799999996</v>
      </c>
      <c r="K99" s="3">
        <f>1332.2+(433.9-859.5)+(-3.39711+(-1.106445--2.191725))+0-0-0</f>
        <v>904.28817000000004</v>
      </c>
      <c r="L99" s="3">
        <f>1067.6+(432.7-712)+(-0.544476+(-0.220677--0.36312))+0-0-0</f>
        <v>787.89796699999999</v>
      </c>
      <c r="M99" s="3">
        <f>1156.6+(367.6-709.3)+(-0.589866+(-0.187476--0.361743))+0-0-0</f>
        <v>814.48440099999993</v>
      </c>
      <c r="N99" s="3">
        <f>1345.9+(303.6-730.4)+(0.686409+(0.154836-0.372504))+0-0-0</f>
        <v>919.56874100000016</v>
      </c>
      <c r="O99" s="3">
        <f>1407.7+(296.8-722.7)+(-0.717927+(-0.151368--0.368577))+0-0-0</f>
        <v>981.29928199999995</v>
      </c>
      <c r="P99" s="3">
        <f>1456.3+(356.7-764.7)+(-0.742713+(-0.181917--0.389997))+0-0-0</f>
        <v>1047.765367</v>
      </c>
      <c r="Q99" s="3">
        <f>1333.8+(407.2-667)+(0+(0-0))+0-0-0</f>
        <v>1074</v>
      </c>
      <c r="R99" s="3">
        <f>1417+(425-756)+(0+(0-0))+0-0-0</f>
        <v>1086</v>
      </c>
      <c r="S99" s="3">
        <f>1400.4+(492.7-820.1)+(-1.428408+(-0.502554--0.836502))+0-0-0</f>
        <v>1071.90554</v>
      </c>
      <c r="T99" s="3">
        <f>1417.5+(502.8-832.7)+(-0.722925+(-0.256428--0.424677))+0-0-0</f>
        <v>1087.0453239999999</v>
      </c>
      <c r="U99" s="3">
        <f>1576.5+(490.9-882.6)+(0.804015+(0.250359-0.450126))+0-0-0</f>
        <v>1185.4042480000001</v>
      </c>
      <c r="V99" s="3">
        <f>1476.6+(513.8-814.6)+(-0.753066+(-0.262038--0.415446))+0-0-0</f>
        <v>1175.2003419999996</v>
      </c>
      <c r="W99" s="3">
        <f>1390.7+(568.3-799.2)+(-4.964799+(-2.028831--2.853144))+0-0-0</f>
        <v>1155.6595139999999</v>
      </c>
      <c r="X99" s="3">
        <f>1392.5+(605.8-878.3)+(-4.26105+(-1.853748--2.687598))+0-0-0</f>
        <v>1116.5727999999999</v>
      </c>
      <c r="Y99" s="3">
        <f>1254.3+(504.4-720.7)+(-0.639693+(-0.257244--0.367557))+0-0-0</f>
        <v>1037.4706200000001</v>
      </c>
      <c r="Z99" s="3">
        <f>1345.7+(538.5-816)+(0.686307+(0.274635-0.41616))+0-0-0</f>
        <v>1068.744782</v>
      </c>
      <c r="AA99" s="3">
        <f>1412.2+(517.4-738)+(-2.880888+(-1.055496--1.50552))+0-0-0</f>
        <v>1189.169136</v>
      </c>
      <c r="AB99" s="3">
        <f>1421.4+(570.2-848)+(-0.724914+(-0.290802--0.43248))+0-0-0</f>
        <v>1143.0167640000002</v>
      </c>
      <c r="AC99" s="3">
        <f>1426.8+(615.3-947.7)+(0+(0-0))+0-0-0</f>
        <v>1094.3999999999999</v>
      </c>
      <c r="AD99">
        <v>1153.5</v>
      </c>
      <c r="AE99" s="3">
        <f>1421+(501.2-768.7)+(0+(0-0))+0-0-0</f>
        <v>1153.5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1414.4+(622-1014.5)+(-3.60672+(-1.5861--2.586975))+0-0-0</f>
        <v>1019.294155</v>
      </c>
      <c r="G100" s="3">
        <f>1416.4+(554.6-1028.6)+(-2.889456+(-1.131384--2.098344))+0-0-0</f>
        <v>940.47750400000018</v>
      </c>
      <c r="H100" s="3">
        <f>1423.2+(527.9-1052.3)+(-1.451664+(-0.538458--1.073346))+0-0-0</f>
        <v>897.88322400000004</v>
      </c>
      <c r="I100" s="3">
        <f>1425.2+(502.9-1049.9)+(-2.180556+(-0.769437--1.606347))+0-0-0</f>
        <v>876.8563539999999</v>
      </c>
      <c r="J100" s="3">
        <f>1419.5+(453.8-1022.3)+(-3.619725+(-1.15719--2.606865))+0-0-0</f>
        <v>848.82995000000005</v>
      </c>
      <c r="K100" s="3">
        <f>1399.2+(428.3-980.8)+(-3.56796+(-1.092165--2.50104))+0-0-0</f>
        <v>844.54091500000004</v>
      </c>
      <c r="L100" s="3">
        <f>1123.8+(469.7-757.7)+(0.573138+(0.239547-0.386427))+0-0-0</f>
        <v>836.22625799999992</v>
      </c>
      <c r="M100" s="3">
        <f>1107+(410-672.1)+(-1.69371+(-0.6273--1.028313))+0-0-0</f>
        <v>843.607303</v>
      </c>
      <c r="N100" s="3">
        <f>1138.3+(344-577.4)+(0.580533+(0.17544-0.294474))+0-0-0</f>
        <v>905.36149899999998</v>
      </c>
      <c r="O100" s="3">
        <f>1377+(374.5-738.1)+(0+(0-0))+0-0-0</f>
        <v>1013.4</v>
      </c>
      <c r="P100" s="3">
        <f>1439.3+(416.3-798.9)+(-0.734043+(-0.212313--0.407439))+0-0-0</f>
        <v>1056.161083</v>
      </c>
      <c r="Q100" s="3">
        <f>1439.1+(399.8-737.3)+(1.467882+(0.407796-0.752046))+0-0-0</f>
        <v>1102.723632</v>
      </c>
      <c r="R100" s="3">
        <f>1439.8+(420.5-726.8)+(1.468596+(0.42891-0.741336))+0-0-0</f>
        <v>1134.65617</v>
      </c>
      <c r="S100" s="3">
        <f>1434.4+(487.8-787.9)+(0+(0-0))+0-0-0</f>
        <v>1134.3000000000002</v>
      </c>
      <c r="T100" s="3">
        <f>1431.5+(502.4-794.5)+(-0.730065+(-0.256224--0.405195))+0-0-0</f>
        <v>1138.8189060000002</v>
      </c>
      <c r="U100" s="3">
        <f>1430.4+(521.2-802.7)+(-0.729504+(-0.265812--0.409377))+0-0-0</f>
        <v>1148.314061</v>
      </c>
      <c r="V100" s="3">
        <f>1425.5+(543.1-798.7)+(-2.181015+(-0.830943--1.222011))+0-0-0</f>
        <v>1168.1100530000001</v>
      </c>
      <c r="W100" s="3">
        <f>1409.3+(565.4-880.8)+(1.437486+(0.576708-0.898416))+0-0-0</f>
        <v>1095.0157780000002</v>
      </c>
      <c r="X100" s="3">
        <f>1399.9+(628.5-965.3)+(-2.855796+(-1.28214--1.969212))+0-0-0</f>
        <v>1060.931276</v>
      </c>
      <c r="Y100" s="3">
        <f>1404.8+(463.5-863)+(-1.432896+(-0.47277--0.88026))+0-0-0</f>
        <v>1004.274594</v>
      </c>
      <c r="Z100" s="3">
        <f>1423.4+(564.5-969.6)+(0+(0-0))+0-0-0</f>
        <v>1018.3000000000001</v>
      </c>
      <c r="AA100" s="3">
        <f>1469.4+(769-974.4)+(-0.749394+(-0.39219--0.496944))+0-0-0</f>
        <v>1263.35536</v>
      </c>
      <c r="AB100" s="3">
        <f>1497.3+(853.2-1051.3)+(-2.290869+(-1.305396--1.608489))+0-0-0</f>
        <v>1297.2122240000001</v>
      </c>
      <c r="AC100" s="3">
        <f>1528.9+(829.8-1099.5)+(0+(0-0))+0-0-0</f>
        <v>1259.2</v>
      </c>
      <c r="AD100">
        <v>1176.3</v>
      </c>
      <c r="AE100" s="3">
        <f>1503+(701.6-1028.3)+(0+(0-0))+0-0-0</f>
        <v>1176.3000000000002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1484.3+(655.8-1131.5)+(-2.270979+(-1.003374--1.731195))+0-0-0</f>
        <v>1007.056842</v>
      </c>
      <c r="G101" s="3">
        <f>1436+(604.6-1097.7)+(0+(0-0))+0-0-0</f>
        <v>942.9</v>
      </c>
      <c r="H101" s="3">
        <f>1429.4+(559.3-1080.3)+(-3.64497+(-1.426215--2.754765))+0-0-0</f>
        <v>906.0835800000001</v>
      </c>
      <c r="I101" s="3">
        <f>1446.6+(515.4-1066)+(-2.213298+(-0.788562--1.63098))+0-0-0</f>
        <v>894.62911999999983</v>
      </c>
      <c r="J101" s="3">
        <f>1434.3+(498.8-1068.9)+(-2.194479+(-0.763164--1.635417))+0-0-0</f>
        <v>862.87777399999982</v>
      </c>
      <c r="K101" s="3">
        <f>1344.8+(463.3-1010.7)+(-4.115088+(-1.417698--3.092742))+0-0-0</f>
        <v>794.95995599999992</v>
      </c>
      <c r="L101" s="3">
        <f>1185.6+(478.2-862)+(-1.209312+(-0.487764--0.87924))+0-0-0</f>
        <v>800.9821639999999</v>
      </c>
      <c r="M101" s="3">
        <f>1172.9+(441.2-814.8)+(0.598179+(0.225012-0.415548))+0-0-0</f>
        <v>799.70764300000019</v>
      </c>
      <c r="N101" s="3">
        <f>1364.2+(324.9-803.6)+(1.391484+(0.331398-0.819672))+0-0-0</f>
        <v>886.40320999999994</v>
      </c>
      <c r="O101" s="3">
        <f>1444.7+(446.8-892.8)+(-2.210391+(-0.683604--1.365984))+0-0-0</f>
        <v>997.17198900000005</v>
      </c>
      <c r="P101" s="3">
        <f>1438.6+(515.2-904.5)+(0+(0-0))+0-0-0</f>
        <v>1049.3</v>
      </c>
      <c r="Q101" s="3">
        <f>1410.4+(558.8-905)+(0.719304+(0.284988-0.46155))+0-0-0</f>
        <v>1064.7427420000001</v>
      </c>
      <c r="R101" s="3">
        <f>1408.2+(517.5-838.7)+(-0.718182+(-0.263925--0.427737))+0-0-0</f>
        <v>1086.4456299999999</v>
      </c>
      <c r="S101" s="3">
        <f>1398.3+(554.1-869.3)+(-2.852532+(-1.130364--1.773372))+0-0-0</f>
        <v>1080.8904759999998</v>
      </c>
      <c r="T101" s="3">
        <f>1403.7+(555.8-875.5)+(0.715887+(0.283458-0.446505))+0-0-0</f>
        <v>1084.5528400000001</v>
      </c>
      <c r="U101" s="3">
        <f>1385.8+(568.2-866.7)+(-3.53379+(-1.44891--2.210085))+0-0-0</f>
        <v>1084.5273849999999</v>
      </c>
      <c r="V101" s="3">
        <f>1405.3+(570.2-865)+(0+(0-0))+0-0-0</f>
        <v>1110.5</v>
      </c>
      <c r="W101" s="3">
        <f>1405.1+(640.9-875.3)+(-2.149803+(-0.980577--1.339209))+0-0-0</f>
        <v>1168.9088289999997</v>
      </c>
      <c r="X101" s="3">
        <f>1401.1+(644.3-905.1)+(-2.858244+(-1.314372--1.846404))+0-0-0</f>
        <v>1137.9737879999998</v>
      </c>
      <c r="Y101" s="3">
        <f>1368.8+(515.2-885.1)+(-1.396176+(-0.525504--0.902802))+0-0-0</f>
        <v>997.881122</v>
      </c>
      <c r="Z101" s="3">
        <f>1368.8+(564.3-928.4)+(-2.792352+(-1.151172--1.893936))+0-0-0</f>
        <v>1002.650412</v>
      </c>
      <c r="AA101" s="3">
        <f>1443+(673.3-961.3)+(-2.20779+(-1.030149--1.470789))+0-0-0</f>
        <v>1153.2328500000001</v>
      </c>
      <c r="AB101" s="3">
        <f>1433.7+(639.6-934.6)+(-2.193561+(-0.978588--1.429938))+0-0-0</f>
        <v>1136.957789</v>
      </c>
      <c r="AC101" s="3">
        <f>1450.5+(574.8-938.8)+(1.47951+(0.586296-0.957576))+0-0-0</f>
        <v>1087.60823</v>
      </c>
      <c r="AD101">
        <v>1160.5</v>
      </c>
      <c r="AE101" s="3">
        <f>1439+(659.1-937.6)+(0+(0-0))+0-0-0</f>
        <v>1160.5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1444.6+(569.1-982.5)+(-0.736746+(-0.290241--0.501075))+0-0-0</f>
        <v>1030.6740879999998</v>
      </c>
      <c r="G102" s="3">
        <f>1440.9+(533.7-1017.2)+(-1.469718+(-0.544374--1.037544))+0-0-0</f>
        <v>956.42345200000011</v>
      </c>
      <c r="H102" s="3">
        <f>1438.8+(525.2-1057.2)+(-1.467576+(-0.535704--1.078344))+0-0-0</f>
        <v>905.87506399999995</v>
      </c>
      <c r="I102" s="3">
        <f>1450.2+(517.7-1088.8)+(0.739602+(0.264027-0.555288))+0-0-0</f>
        <v>879.54834100000016</v>
      </c>
      <c r="J102" s="3">
        <f>1438.2+(495.6-1073.7)+(-2.200446+(-0.758268--1.642761))+0-0-0</f>
        <v>858.78404699999999</v>
      </c>
      <c r="K102" s="3">
        <f>1411.4+(489.5-1068.8)+(-3.59907+(-1.248225--2.72544))+0-0-0</f>
        <v>829.97814500000015</v>
      </c>
      <c r="L102" s="3">
        <f>1235.9+(483.5-943.1)+(-3.781854+(-1.47951--2.885886))+0-0-0</f>
        <v>773.92452200000002</v>
      </c>
      <c r="M102" s="3">
        <f>1187.9+(480.4-873.7)+(-0.605829+(-0.245004--0.445587))+0-0-0</f>
        <v>794.19475399999999</v>
      </c>
      <c r="N102" s="3">
        <f>1264.5+(450.6-855.8)+(-0.644895+(-0.229806--0.436458))+0-0-0</f>
        <v>858.86175700000001</v>
      </c>
      <c r="O102" s="3">
        <f>1318.6+(418.6-806.5)+(0+(0-0))+0-0-0</f>
        <v>930.69999999999993</v>
      </c>
      <c r="P102" s="3">
        <f>1433.4+(387-826.8)+(0+(0-0))+0-0-0</f>
        <v>993.60000000000014</v>
      </c>
      <c r="Q102" s="3">
        <f>1413.7+(381.6-759.2)+(-2.162961+(-0.583848--1.161576))+0-0-0</f>
        <v>1034.5147669999999</v>
      </c>
      <c r="R102" s="3">
        <f>1419.3+(382.1-767.9)+(-0.723843+(-0.194871--0.391629))+0-0-0</f>
        <v>1032.9729150000001</v>
      </c>
      <c r="S102" s="3">
        <f>1400.7+(421.5-804.9)+(-3.571785+(-1.074825--2.052495))+0-0-0</f>
        <v>1014.7058850000001</v>
      </c>
      <c r="T102" s="3">
        <f>1391.1+(460.8-840.9)+(0.709461+(0.235008-0.428859))+0-0-0</f>
        <v>1011.51561</v>
      </c>
      <c r="U102" s="3">
        <f>1382.7+(446.6-801.6)+(0.705177+(0.227766-0.408816))+0-0-0</f>
        <v>1028.224127</v>
      </c>
      <c r="V102" s="3">
        <f>1375.2+(449.3-789.8)+(-1.402704+(-0.458286--0.805596))+0-0-0</f>
        <v>1033.6446060000001</v>
      </c>
      <c r="W102" s="3">
        <f>1367.2+(482.7-817.1)+(-2.091816+(-0.738531--1.250163))+0-0-0</f>
        <v>1031.219816</v>
      </c>
      <c r="X102" s="3">
        <f>1365.9+(460-839.4)+(-2.786436+(-0.9384--1.712376))+0-0-0</f>
        <v>984.48754000000008</v>
      </c>
      <c r="Y102" s="3">
        <f>1371.7+(355.7-777.4)+(-2.098701+(-0.544221--1.189422))+0-0-0</f>
        <v>948.54650000000004</v>
      </c>
      <c r="Z102" s="3">
        <f>1407.9+(355.8-795.9)+(0.718029+(0.181458-0.405909))+0-0-0</f>
        <v>968.29357800000014</v>
      </c>
      <c r="AA102" s="3">
        <f>1413+(406.1-703.6)+(-2.16189+(-0.621333--1.076508))+0-0-0</f>
        <v>1113.793285</v>
      </c>
      <c r="AB102" s="3">
        <f>1423.7+(438-757)+(-1.452174+(-0.44676--0.77214))+0-0-0</f>
        <v>1103.573206</v>
      </c>
      <c r="AC102" s="3">
        <f>1436.2+(469.3-817.3)+(1.464924+(0.478686-0.833646))+0-0-0</f>
        <v>1089.309964</v>
      </c>
      <c r="AD102">
        <v>1082.9000000000001</v>
      </c>
      <c r="AE102" s="3">
        <f>1422+(399.2-738.3)+(0+(0-0))+0-0-0</f>
        <v>1082.9000000000001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1429.6+(490.4-931.4)+(-1.458192+(-0.500208--0.950028))+0-0-0</f>
        <v>987.5916279999999</v>
      </c>
      <c r="G103" s="3">
        <f>1424.5+(455.5-973.6)+(-0.726495+(-0.232305--0.496536))+0-0-0</f>
        <v>905.93773599999997</v>
      </c>
      <c r="H103" s="3">
        <f>1414.4+(419.3-985.5)+(-2.885376+(-0.855372--2.01042))+0-0-0</f>
        <v>846.46967200000006</v>
      </c>
      <c r="I103" s="3">
        <f>1412.2+(355.8-953.8)+(-3.60111+(-0.90729--2.43219))+0-0-0</f>
        <v>812.1237900000001</v>
      </c>
      <c r="J103" s="3">
        <f>1434.1+(343.6-936)+(1.462782+(0.350472-0.95472))+0-0-0</f>
        <v>842.5585339999999</v>
      </c>
      <c r="K103" s="3">
        <f>1416.1+(312.9-907.5)+(-3.611055+(-0.797895--2.314125))+0-0-0</f>
        <v>819.40517499999987</v>
      </c>
      <c r="L103" s="3">
        <f>1394.5+(332.4-944.7)+(-0.711195+(-0.169524--0.481797))+0-0-0</f>
        <v>781.80107799999996</v>
      </c>
      <c r="M103" s="3">
        <f>1221.7+(290.3-780.4)+(-1.246134+(-0.296106--0.796008))+0-0-0</f>
        <v>730.85376800000017</v>
      </c>
      <c r="N103" s="3">
        <f>1295.9+(191.1-737)+(-1.321818+(-0.194922--0.75174))+0-0-0</f>
        <v>749.23500000000013</v>
      </c>
      <c r="O103" s="3">
        <f>1412.1+(152.4-704.5)+(0.720171+(0.077724-0.359295))+0-0-0</f>
        <v>860.43859999999984</v>
      </c>
      <c r="P103" s="3">
        <f>1417.9+(229-706)+(-1.446258+(-0.23358--0.72012))+0-0-0</f>
        <v>939.94028200000014</v>
      </c>
      <c r="Q103" s="3">
        <f>1414.8+(243.5-717.9)+(0+(0-0))+0-0-0</f>
        <v>940.4</v>
      </c>
      <c r="R103" s="3">
        <f>1405.5+(254.6-687.9)+(2.150415+(0.389538-1.052487))+0-0-0</f>
        <v>973.68746600000009</v>
      </c>
      <c r="S103" s="3">
        <f>1380.8+(253.6-647.7)+(0+(0-0))+0-0-0</f>
        <v>986.69999999999993</v>
      </c>
      <c r="T103" s="3">
        <f>1380.7+(257.6-681.4)+(0.704157+(0.131376-0.347514))+0-0-0</f>
        <v>957.3880190000001</v>
      </c>
      <c r="U103" s="3">
        <f>1348.8+(279.8-648.6)+(-4.127328+(-0.856188--1.984716))+0-0-0</f>
        <v>977.00120000000004</v>
      </c>
      <c r="V103" s="3">
        <f>1360+(288.4-679)+(2.0808+(0.441252-1.03887))+0-0-0</f>
        <v>970.88318200000003</v>
      </c>
      <c r="W103" s="3">
        <f>1345.4+(304.1-663.5)+(-3.43077+(-0.775455--1.691925))+0-0-0</f>
        <v>983.48570000000007</v>
      </c>
      <c r="X103" s="3">
        <f>1364.6+(284.5-724.1)+(-3.47973+(-0.725475--1.846455))+0-0-0</f>
        <v>922.6412499999999</v>
      </c>
      <c r="Y103" s="3">
        <f>1372.6+(315-693.7)+(-1.400052+(-0.3213--0.707574))+0-0-0</f>
        <v>992.88622199999986</v>
      </c>
      <c r="Z103" s="3">
        <f>1398.7+(441-794.5)+(-1.426674+(-0.44982--0.81039))+0-0-0</f>
        <v>1044.133896</v>
      </c>
      <c r="AA103" s="3">
        <f>1408.6+(430.3-769.3)+(-2.873544+(-0.877812--1.569372))+0-0-0</f>
        <v>1067.4180159999999</v>
      </c>
      <c r="AB103" s="3">
        <f>1411.5+(422.2-762.7)+(-1.43973+(-0.430644--0.777954))+0-0-0</f>
        <v>1069.9075800000001</v>
      </c>
      <c r="AC103" s="3">
        <f>1408+(449.8-818.1)+(-2.15424+(-0.688194--1.251693))+0-0-0</f>
        <v>1038.1092590000001</v>
      </c>
      <c r="AD103">
        <v>1085.7</v>
      </c>
      <c r="AE103" s="3">
        <f>1423+(404.5-741.8)+(0+(0-0))+0-0-0</f>
        <v>1085.7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1419.9+(510.2-938.3)+(-0.724149+(-0.260202--0.478533))+0-0-0</f>
        <v>991.29418200000021</v>
      </c>
      <c r="G104" s="3">
        <f>1418.1+(540.6-1034.4)+(-1.446462+(-0.551412--1.055088))+0-0-0</f>
        <v>923.35721399999989</v>
      </c>
      <c r="H104" s="3">
        <f>1429.8+(445.9-995.4)+(1.458396+(0.454818-1.015308))+0-0-0</f>
        <v>881.19790599999999</v>
      </c>
      <c r="I104" s="3">
        <f>1424.4+(413.2-978.4)+(-0.726444+(-0.210732--0.498984))+0-0-0</f>
        <v>858.76180800000009</v>
      </c>
      <c r="J104" s="3">
        <f>1420.3+(409-989.1)+(-2.173059+(-0.62577--1.513323))+0-0-0</f>
        <v>838.91449399999988</v>
      </c>
      <c r="K104" s="3">
        <f>1392+(426.9-985.3)+(-5.67936+(-1.741752--4.020024))+0-0-0</f>
        <v>830.19891200000006</v>
      </c>
      <c r="L104" s="3">
        <f>1294+(451.3-954.3)+(-2.63976+(-0.920652--1.946772))+0-0-0</f>
        <v>789.38635999999997</v>
      </c>
      <c r="M104" s="3">
        <f>1359.2+(396.2-937.6)+(2.079576+(0.606186-1.434528))+0-0-0</f>
        <v>819.05123399999991</v>
      </c>
      <c r="N104" s="3">
        <f>1442.8+(388.7-920.8)+(0.735828+(0.198237-0.469608))+0-0-0</f>
        <v>911.16445700000008</v>
      </c>
      <c r="O104" s="3">
        <f>1438+(373.4-825.2)+(0.73338+(0.190434-0.420852))+0-0-0</f>
        <v>986.70296199999996</v>
      </c>
      <c r="P104" s="3">
        <f>1407.2+(354.5-722.3)+(-1.435344+(-0.36159--0.736746))+0-0-0</f>
        <v>1038.3398120000002</v>
      </c>
      <c r="Q104" s="3">
        <f>1400.2+(347-672)+(-0.714102+(-0.17697--0.34272))+0-0-0</f>
        <v>1074.651648</v>
      </c>
      <c r="R104" s="3">
        <f>1393.8+(411.4-726.2)+(-1.421676+(-0.419628--0.740724))+0-0-0</f>
        <v>1077.89942</v>
      </c>
      <c r="S104" s="3">
        <f>1489.2+(473.6-799.2)+(-0.759492+(-0.241536--0.407592))+0-0-0</f>
        <v>1163.0065639999998</v>
      </c>
      <c r="T104" s="3">
        <f>1487+(451-849.2)+(-2.27511+(-0.69003--1.299276))+0-0-0</f>
        <v>1087.1341359999999</v>
      </c>
      <c r="U104" s="3">
        <f>1491.3+(463.3-861.1)+(0+(0-0))+0-0-0</f>
        <v>1093.5</v>
      </c>
      <c r="V104" s="3">
        <f>1482.7+(468.1-858.6)+(-1.512354+(-0.477462--0.875772))+0-0-0</f>
        <v>1091.0859560000001</v>
      </c>
      <c r="W104" s="3">
        <f>1478.2+(486.8-888.5)+(-3.76941+(-1.24134--2.265675))+0-0-0</f>
        <v>1073.754925</v>
      </c>
      <c r="X104" s="3">
        <f>1475.3+(514.1-951.8)+(-3.762015+(-1.310955--2.42709))+0-0-0</f>
        <v>1034.9541199999999</v>
      </c>
      <c r="Y104" s="3">
        <f>1334.2+(474-823.3)+(-4.082652+(-1.45044--2.519298))+0-0-0</f>
        <v>981.88620600000013</v>
      </c>
      <c r="Z104" s="3">
        <f>1455.6+(475.2-936.2)+(1.484712+(0.484704-0.954924))+0-0-0</f>
        <v>995.61449199999993</v>
      </c>
      <c r="AA104" s="3">
        <f>1541.3+(553.9-949.6)+(-2.358189+(-0.847467--1.452888))+0-0-0</f>
        <v>1143.8472319999998</v>
      </c>
      <c r="AB104" s="3">
        <f>1540.6+(613.7-1011.3)+(-1.571412+(-0.625974--1.031526))+0-0-0</f>
        <v>1141.8341399999999</v>
      </c>
      <c r="AC104" s="3">
        <f>1552.9+(574.7-1043.3)+(0.791979+(0.293097-0.532083))+0-0-0</f>
        <v>1084.8529930000002</v>
      </c>
      <c r="AD104">
        <v>1157.4000000000001</v>
      </c>
      <c r="AE104" s="3">
        <f>1548+(600.8-991.4)+(0+(0-0))+0-0-0</f>
        <v>1157.4000000000001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1553.9+(572.6-1112.1)+(0+(0-0))+0-0-0</f>
        <v>1014.4000000000002</v>
      </c>
      <c r="G105" s="3">
        <f>1558.9+(491.5-1095.6)+(-0.795039+(-0.250665--0.558756))+0-0-0</f>
        <v>954.3130520000002</v>
      </c>
      <c r="H105" s="3">
        <f>1515.8+(530.2-1139)+(-2.319174+(-0.811206--1.74267))+0-0-0</f>
        <v>905.61229000000003</v>
      </c>
      <c r="I105" s="3">
        <f>1428.5+(554.2-1098.6)+(-2.185605+(-0.847926--1.680858))+0-0-0</f>
        <v>882.74732700000015</v>
      </c>
      <c r="J105" s="3">
        <f>1410.9+(504.2-1051.7)+(-3.597795+(-1.28571--2.681835))+0-0-0</f>
        <v>861.19833000000006</v>
      </c>
      <c r="K105" s="3">
        <f>1395.7+(480.7-1031.3)+(-3.559035+(-1.225785--2.629815))+0-0-0</f>
        <v>842.94499500000018</v>
      </c>
      <c r="L105" s="3">
        <f>1232.9+(439.1-877.8)+(-1.257558+(-0.447882--0.895356))+0-0-0</f>
        <v>793.3899160000002</v>
      </c>
      <c r="M105" s="3">
        <f>1333.5+(357.5-855)+(-0.680085+(-0.182325--0.43605))+0-0-0</f>
        <v>835.57363999999995</v>
      </c>
      <c r="N105" s="3">
        <f>1450.3+(316.4-863.1)+(0.739653+(0.161364-0.440181))+0-0-0</f>
        <v>904.06083599999988</v>
      </c>
      <c r="O105" s="3">
        <f>1518.9+(362.3-909.3)+(0+(0-0))+0-0-0</f>
        <v>971.90000000000009</v>
      </c>
      <c r="P105" s="3">
        <f>1540.1+(371.1-885)+(1.570902+(0.378522-0.9027))+0-0-0</f>
        <v>1027.2467239999999</v>
      </c>
      <c r="Q105" s="3">
        <f>1539.5+(372.4-837.1)+(-0.785145+(-0.189924--0.426921))+0-0-0</f>
        <v>1074.2518519999999</v>
      </c>
      <c r="R105" s="3">
        <f>1470.5+(394.4-788.7)+(-1.49991+(-0.402288--0.804474))+0-0-0</f>
        <v>1075.1022759999998</v>
      </c>
      <c r="S105" s="3">
        <f>1452.9+(464.8-847.6)+(-1.481958+(-0.474096--0.864552))+0-0-0</f>
        <v>1069.0084980000001</v>
      </c>
      <c r="T105" s="3">
        <f>1441.1+(443.3-814.9)+(0+(0-0))+0-0-0</f>
        <v>1069.5</v>
      </c>
      <c r="U105" s="3">
        <f>1436.7+(439.2-803.7)+(0+(0-0))+0-0-0</f>
        <v>1072.2</v>
      </c>
      <c r="V105" s="3">
        <f>1423.2+(428.7-771.7)+(0.725832+(0.218637-0.393567))+0-0-0</f>
        <v>1080.750902</v>
      </c>
      <c r="W105" s="3">
        <f>1418.8+(486.5-847.5)+(-2.894352+(-0.99246--1.7289))+0-0-0</f>
        <v>1055.6420880000001</v>
      </c>
      <c r="X105" s="3">
        <f>1419.7+(563.7-953.1)+(-5.068329+(-2.012409--3.402567))+0-0-0</f>
        <v>1026.6218290000002</v>
      </c>
      <c r="Y105" s="3">
        <f>1303.2+(348.4-667.6)+(-3.32316+(-0.88842--1.70238))+0-0-0</f>
        <v>981.49080000000004</v>
      </c>
      <c r="Z105" s="3">
        <f>1226.7+(562.6-790.3)+(-0.625617+(-0.286926--0.403053))+0-0-0</f>
        <v>998.49051000000009</v>
      </c>
      <c r="AA105" s="3">
        <f>1475.1+(544.4-866.5)+(-3.009204+(-1.110576--1.76766))+0-0-0</f>
        <v>1150.64788</v>
      </c>
      <c r="AB105" s="3">
        <f>1489+(583.3-932.4)+(-2.27817+(-0.892449--1.426572))+0-0-0</f>
        <v>1138.1559530000002</v>
      </c>
      <c r="AC105" s="3">
        <f>1465.1+(554.7-933.2)+(0.747201+(0.282897-0.475932))+0-0-0</f>
        <v>1087.1541659999998</v>
      </c>
      <c r="AD105">
        <v>1164</v>
      </c>
      <c r="AE105" s="3">
        <f>1486+(550.1-872.1)+(0+(0-0))+0-0-0</f>
        <v>1164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1442.3+(532.6-963.3)+(0+(0-0))+0-0-0</f>
        <v>1011.6</v>
      </c>
      <c r="G106" s="3">
        <f>1429.9+(495.9-989.4)+(-2.916996+(-1.011636--2.018376))+0-0-0</f>
        <v>934.48974400000009</v>
      </c>
      <c r="H106" s="3">
        <f>1446.2+(449.3-1005.5)+(0.737562+(0.229143-0.512805))+0-0-0</f>
        <v>890.45389999999998</v>
      </c>
      <c r="I106" s="3">
        <f>1434.1+(444.3-1012.4)+(-2.925564+(-0.906372--2.065296))+0-0-0</f>
        <v>864.23335999999995</v>
      </c>
      <c r="J106" s="3">
        <f>1440.8+(389.5-975.5)+(0+(0-0))+0-0-0</f>
        <v>854.8</v>
      </c>
      <c r="K106" s="3">
        <f>1397.8+(388.2-953.5)+(-3.56439+(-0.98991--2.431425))+0-0-0</f>
        <v>830.37712499999998</v>
      </c>
      <c r="L106" s="3">
        <f>1197.4+(382.1-761.8)+(-3.05337+(-0.974355--1.94259))+0-0-0</f>
        <v>815.61486500000012</v>
      </c>
      <c r="M106" s="3">
        <f>1272.8+(326.9-747)+(0+(0-0))+0-0-0</f>
        <v>852.69999999999993</v>
      </c>
      <c r="N106" s="3">
        <f>1454.8+(277.3-798.7)+(2.225844+(0.424269-1.222011))+0-0-0</f>
        <v>934.82810199999983</v>
      </c>
      <c r="O106" s="3">
        <f>1422.5+(376.7-788.8)+(1.45095+(0.384234-0.804576))+0-0-0</f>
        <v>1011.4306080000001</v>
      </c>
      <c r="P106" s="3">
        <f>1443.7+(411.9-788.8)+(2.208861+(0.630207-1.206864))+0-0-0</f>
        <v>1068.4322040000002</v>
      </c>
      <c r="Q106" s="3">
        <f>1437.1+(330.8-666.2)+(2.198763+(0.506124-1.019286))+0-0-0</f>
        <v>1103.3856009999997</v>
      </c>
      <c r="R106" s="3">
        <f>1395.4+(342.2-668.6)+(-0.711654+(-0.174522--0.340986))+0-0-0</f>
        <v>1068.45481</v>
      </c>
      <c r="S106" s="3">
        <f>1376.1+(264.5-572.9)+(-2.807244+(-0.53958--1.168716))+0-0-0</f>
        <v>1065.5218919999998</v>
      </c>
      <c r="T106" s="3">
        <f>1371.8+(343.9-645.3)+(2.098854+(0.526167-0.987309))+0-0-0</f>
        <v>1072.0377120000001</v>
      </c>
      <c r="U106" s="3">
        <f>1351.7+(358.8-636.8)+(-1.378734+(-0.365976--0.649536))+0-0-0</f>
        <v>1072.604826</v>
      </c>
      <c r="V106" s="3">
        <f>1346.9+(415.2-678.3)+(-2.747676+(-0.847008--1.383732))+0-0-0</f>
        <v>1081.5890480000003</v>
      </c>
      <c r="W106" s="3">
        <f>1375.6+(460.1-761.2)+(-2.806224+(-0.938604--1.552848))+0-0-0</f>
        <v>1072.3080199999999</v>
      </c>
      <c r="X106" s="3">
        <f>1373.6+(522.8-866.4)+(-2.802144+(-1.066512--1.767456))+0-0-0</f>
        <v>1027.8987999999999</v>
      </c>
      <c r="Y106" s="3">
        <f>1297.5+(455.8-749.7)+(-2.6469+(-0.929832--1.529388))+0-0-0</f>
        <v>1001.552656</v>
      </c>
      <c r="Z106" s="3">
        <f>1347.9+(530-860.7)+(-0.687429+(-0.2703--0.438957))+0-0-0</f>
        <v>1016.681228</v>
      </c>
      <c r="AA106" s="3">
        <f>1399.5+(598.7-847.1)+(-2.141235+(-0.916011--1.296063))+0-0-0</f>
        <v>1149.3388169999998</v>
      </c>
      <c r="AB106" s="3">
        <f>1400.7+(673-932.3)+(-2.857428+(-1.37292--1.901892))+0-0-0</f>
        <v>1139.0715440000001</v>
      </c>
      <c r="AC106" s="3">
        <f>1417.9+(697.3-1018.5)+(0+(0-0))+0-0-0</f>
        <v>1096.7</v>
      </c>
      <c r="AD106">
        <v>1153.7</v>
      </c>
      <c r="AE106" s="3">
        <f>1404+(594.2-844.5)+(0+(0-0))+0-0-0</f>
        <v>1153.7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1409.7+(640.2-1033.9)+(-2.156841+(-0.979506--1.581867))+0-0-0</f>
        <v>1014.44552</v>
      </c>
      <c r="G107" s="3">
        <f>1406.7+(571.8-1039.7)+(-5.021919+(-2.041326--3.711729))+0-0-0</f>
        <v>935.44848400000001</v>
      </c>
      <c r="H107" s="3">
        <f>1411.1+(525.7-1038.4)+(-4.317966+(-1.608642--3.177504))+0-0-0</f>
        <v>895.65089599999988</v>
      </c>
      <c r="I107" s="3">
        <f>1414.9+(497.8-1036.6)+(-3.607995+(-1.26939--2.64333))+0-0-0</f>
        <v>873.86594500000012</v>
      </c>
      <c r="J107" s="3">
        <f>1433.8+(454.7-1036)+(2.193714+(0.695691-1.58508))+0-0-0</f>
        <v>853.80432499999995</v>
      </c>
      <c r="K107" s="3">
        <f>1348+(422-949.3)+(-2.06244+(-0.64566--1.452429))+0-0-0</f>
        <v>819.44432900000004</v>
      </c>
      <c r="L107" s="3">
        <f>1242.3+(403-849)+(-2.534292+(-0.82212--1.73196))+0-0-0</f>
        <v>794.67554799999994</v>
      </c>
      <c r="M107" s="3">
        <f>1250.9+(342-758.9)+(0+(0-0))+0-0-0</f>
        <v>834.00000000000011</v>
      </c>
      <c r="N107" s="3">
        <f>1245.5+(366-696.9)+(-1.905615+(-0.55998--1.066257))+0-0-0</f>
        <v>913.20066199999997</v>
      </c>
      <c r="O107" s="3">
        <f>1356.6+(392.1-764.9)+(0.691866+(0.199971-0.390099))+0-0-0</f>
        <v>984.301738</v>
      </c>
      <c r="P107" s="3">
        <f>1491.3+(344.6-797)+(0+(0-0))+0-0-0</f>
        <v>1038.9000000000001</v>
      </c>
      <c r="Q107" s="3">
        <f>1482.2+(367.2-786.1)+(-1.511844+(-0.374544--0.801822))+0-0-0</f>
        <v>1062.215434</v>
      </c>
      <c r="R107" s="3">
        <f>1474.2+(416.1-807.9)+(0+(0-0))+0-0-0</f>
        <v>1082.4000000000001</v>
      </c>
      <c r="S107" s="3">
        <f>1457.7+(446.9-846.5)+(-1.486854+(-0.455838--0.86343))+0-0-0</f>
        <v>1057.0207379999999</v>
      </c>
      <c r="T107" s="3">
        <f>1455.1+(432.4-799.9)+(-1.484202+(-0.441048--0.815898))+0-0-0</f>
        <v>1086.490648</v>
      </c>
      <c r="U107" s="3">
        <f>1467.3+(409.4-782.4)+(-2.244969+(-0.626382--1.197072))+0-0-0</f>
        <v>1092.6257209999999</v>
      </c>
      <c r="V107" s="3">
        <f>1464+(433.3-802.7)+(-0.74664+(-0.220983--0.409377))+0-0-0</f>
        <v>1094.0417539999999</v>
      </c>
      <c r="W107" s="3">
        <f>1464.6+(455.5-838.3)+(-2.240838+(-0.696915--1.282599))+0-0-0</f>
        <v>1080.1448459999999</v>
      </c>
      <c r="X107" s="3">
        <f>1460.9+(435.8-843.9)+(-3.725295+(-1.11129--2.151945))+0-0-0</f>
        <v>1050.1153600000002</v>
      </c>
      <c r="Y107" s="3">
        <f>1305.5+(414.2-704.7)+(-1.997415+(-0.633726--1.078191))+0-0-0</f>
        <v>1013.44705</v>
      </c>
      <c r="Z107" s="3">
        <f>1437+(460.6-877.8)+(-1.46574+(-0.469812--0.895356))+0-0-0</f>
        <v>1018.759804</v>
      </c>
      <c r="AA107" s="3">
        <f>1509+(488.8-833.5)+(-1.53918+(-0.498576--0.85017))+0-0-0</f>
        <v>1163.1124139999999</v>
      </c>
      <c r="AB107" s="3">
        <f>1520.5+(538.8-904.1)+(-3.10182+(-1.099152--1.844364))+0-0-0</f>
        <v>1152.8433919999998</v>
      </c>
      <c r="AC107" s="3">
        <f>1508.7+(524.5-933.3)+(-1.538874+(-0.53499--0.951966))+0-0-0</f>
        <v>1098.778102</v>
      </c>
      <c r="AD107">
        <v>1160.2</v>
      </c>
      <c r="AE107" s="3">
        <f>1531+(493.2-864)+(0+(0-0))+0-0-0</f>
        <v>1160.2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1519.7+(580.8-1065)+(-2.325141+(-0.888624--1.62945))+0-0-0</f>
        <v>1033.9156849999999</v>
      </c>
      <c r="G108" s="3">
        <f>1522.3+(554-1106.5)+(-2.329119+(-0.84762--1.692945))+0-0-0</f>
        <v>968.31620599999997</v>
      </c>
      <c r="H108" s="3">
        <f>1447.7+(548.6-1079.6)+(0+(0-0))+0-0-0</f>
        <v>916.70000000000016</v>
      </c>
      <c r="I108" s="3">
        <f>1437.4+(460.8-1005.6)+(-2.932296+(-0.940032--2.051424))+0-0-0</f>
        <v>890.7790960000001</v>
      </c>
      <c r="J108" s="3">
        <f>1456.8+(383.9-971.6)+(-2.971872+(-0.783156--1.982064))+0-0-0</f>
        <v>867.32703599999991</v>
      </c>
      <c r="K108" s="3">
        <f>1396.1+(331.4-873.4)+(-2.848044+(-0.676056--1.781736))+0-0-0</f>
        <v>852.35763599999996</v>
      </c>
      <c r="L108" s="3">
        <f>1253.4+(323.1-759.3)+(-2.556936+(-0.659124--1.548972))+0-0-0</f>
        <v>815.53291200000012</v>
      </c>
      <c r="M108" s="3">
        <f>1221.3+(267-654.3)+(1.868589+(0.40851-1.001079))+0-0-0</f>
        <v>835.27602000000002</v>
      </c>
      <c r="N108" s="3">
        <f>1440+(200.2-708.2)+(1.4688+(0.204204-0.722364))+0-0-0</f>
        <v>932.95064000000002</v>
      </c>
      <c r="O108" s="3">
        <f>1504.9+(218.9-727.7)+(0+(0-0))+0-0-0</f>
        <v>996.1</v>
      </c>
      <c r="P108" s="3">
        <f>1510.5+(326.6-770.7)+(0.770355+(0.166566-0.393057))+0-0-0</f>
        <v>1066.9438640000001</v>
      </c>
      <c r="Q108" s="3">
        <f>1493.4+(334.3-719.8)+(0+(0-0))+0-0-0</f>
        <v>1107.9000000000001</v>
      </c>
      <c r="R108" s="3">
        <f>1480.9+(379.1-743.7)+(0.755259+(0.193341-0.379287))+0-0-0</f>
        <v>1116.8693130000001</v>
      </c>
      <c r="S108" s="3">
        <f>1461.7+(437.7-784.3)+(1.490934+(0.446454-0.799986))+0-0-0</f>
        <v>1116.2374020000002</v>
      </c>
      <c r="T108" s="3">
        <f>1453.7+(451.5-757)+(-1.482774+(-0.46053--0.77214))+0-0-0</f>
        <v>1147.028836</v>
      </c>
      <c r="U108" s="3">
        <f>1463.4+(450.8-742)+(1.492668+(0.459816-0.75684))+0-0-0</f>
        <v>1173.3956439999999</v>
      </c>
      <c r="V108" s="3">
        <f>1440.7+(483.4-750)+(-3.673785+(-1.23267--1.9125))+0-0-0</f>
        <v>1171.106045</v>
      </c>
      <c r="W108" s="3">
        <f>1430.9+(495.1-800)+(-4.378554+(-1.515006--2.448))+0-0-0</f>
        <v>1122.5544399999999</v>
      </c>
      <c r="X108" s="3">
        <f>1386.6+(551.7-839.3)+(-4.242996+(-1.688202--2.568258))+0-0-0</f>
        <v>1095.63706</v>
      </c>
      <c r="Y108" s="3">
        <f>1328.1+(400.7-695.5)+(-1.354662+(-0.408714--0.70941))+0-0-0</f>
        <v>1032.246034</v>
      </c>
      <c r="Z108" s="3">
        <f>1322.3+(435.5-734.7)+(-2.023119+(-0.666315--1.124091))+0-0-0</f>
        <v>1021.5346569999999</v>
      </c>
      <c r="AA108" s="3">
        <f>1473.9+(508.6-809)+(-3.758445+(-1.29693--2.06295))+0-0-0</f>
        <v>1170.5075750000001</v>
      </c>
      <c r="AB108" s="3">
        <f>1470.8+(534-845.9)+(-1.500216+(-0.54468--0.862818))+0-0-0</f>
        <v>1157.717922</v>
      </c>
      <c r="AC108" s="3">
        <f>1486.9+(531-908.2)+(3.033276+(1.08324-1.852728))+0-0-0</f>
        <v>1111.963788</v>
      </c>
      <c r="AD108">
        <v>1189.5</v>
      </c>
      <c r="AE108" s="3">
        <f>1479+(562.2-851.7)+(0+(0-0))+0-0-0</f>
        <v>1189.5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1444+(565.7-952.6)+(-1.47288+(-0.577014--0.971652))+0-0-0</f>
        <v>1056.0217579999999</v>
      </c>
      <c r="G109" s="3">
        <f>1227.3+(602.6-861.5)+(0+(0-0))+0-0-0</f>
        <v>968.4</v>
      </c>
      <c r="H109" s="3">
        <f>1166.4+(579.5-826.2)+(-1.189728+(-0.59109--0.842724))+0-0-0</f>
        <v>918.76190600000007</v>
      </c>
      <c r="I109" s="3">
        <f>1094.7+(540.6-751.8)+(0+(0-0))+0-0-0</f>
        <v>883.50000000000011</v>
      </c>
      <c r="J109" s="3">
        <f>1096.8+(504.5-737.9)+(0+(0-0))+0-0-0</f>
        <v>863.4</v>
      </c>
      <c r="K109" s="3">
        <f>1076.3+(486.3-715.2)+(-2.744565+(-1.240065--1.82376))+0-0-0</f>
        <v>845.23912999999982</v>
      </c>
      <c r="L109" s="3">
        <f>995.6+(508.7-695.2)+(-1.015512+(-0.518874--0.709104))+0-0-0</f>
        <v>808.27471799999989</v>
      </c>
      <c r="M109" s="3">
        <f>999+(446.4-607.8)+(1.01898+(0.455328-0.619956))+0-0-0</f>
        <v>838.45435199999997</v>
      </c>
      <c r="N109" s="3">
        <f>1070.6+(426.8-571.3)+(0.546006+(0.217668-0.291363))+0-0-0</f>
        <v>926.5723109999999</v>
      </c>
      <c r="O109" s="3">
        <f>1087.6+(496-582.8)+(1.109352+(0.50592-0.594456))+0-0-0</f>
        <v>1001.8208159999999</v>
      </c>
      <c r="P109" s="3">
        <f>1101.4+(536.6-574.8)+(0.561714+(0.273666-0.293148))+0-0-0</f>
        <v>1063.7422320000003</v>
      </c>
      <c r="Q109" s="3">
        <f>1178+(512-579.1)+(1.20156+(0.52224-0.590682))+0-0-0</f>
        <v>1112.0331180000001</v>
      </c>
      <c r="R109" s="3">
        <f>1164.1+(528.6-590.8)+(0+(0-0))+0-0-0</f>
        <v>1101.9000000000001</v>
      </c>
      <c r="S109" s="3">
        <f>1184.8+(509.4-597.1)+(0+(0-0))+0-0-0</f>
        <v>1097.0999999999999</v>
      </c>
      <c r="T109" s="3">
        <f>1172.1+(530.7-604.5)+(-0.597771+(-0.270657--0.308295))+0-0-0</f>
        <v>1097.739867</v>
      </c>
      <c r="U109" s="3">
        <f>1162.7+(514.9-578.7)+(-1.185954+(-0.525198--0.590274))+0-0-0</f>
        <v>1097.7791220000001</v>
      </c>
      <c r="V109" s="3">
        <f>1152.5+(526-583.3)+(0+(0-0))+0-0-0</f>
        <v>1095.2</v>
      </c>
      <c r="W109" s="3">
        <f>1146.7+(564.3-625.2)+(-1.169634+(-0.575586--0.637704))+0-0-0</f>
        <v>1084.6924839999999</v>
      </c>
      <c r="X109" s="3">
        <f>1081+(639.9-665.6)+(0+(0-0))+0-0-0</f>
        <v>1055.3</v>
      </c>
      <c r="Y109" s="3">
        <f>1052+(598-639.8)+(-2.6826+(-1.5249--1.63149))+0-0-0</f>
        <v>1007.62399</v>
      </c>
      <c r="Z109" s="3">
        <f>1104.2+(671-733.4)+(0.563142+(0.34221-0.374034))+0-0-0</f>
        <v>1042.3313180000002</v>
      </c>
      <c r="AA109" s="3">
        <f>1155.2+(754.8-750.3)+(-1.178304+(-0.769896--0.765306))+0-0-0</f>
        <v>1158.517106</v>
      </c>
      <c r="AB109" s="3">
        <f>1166.3+(807.8-823.9)+(0+(0-0))+0-0-0</f>
        <v>1150.1999999999998</v>
      </c>
      <c r="AC109" s="3">
        <f>1270.4+(744.9-909)+(-1.295808+(-0.759798--0.92718))+0-0-0</f>
        <v>1105.1715740000002</v>
      </c>
      <c r="AD109">
        <v>1171.9000000000001</v>
      </c>
      <c r="AE109" s="3">
        <f>1157+(767.2-752.3)+(0+(0-0))+0-0-0</f>
        <v>1171.9000000000001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1284.9+(729.6-956.6)+(-2.621196+(-1.488384--1.951464))+0-0-0</f>
        <v>1055.741884</v>
      </c>
      <c r="G110" s="3">
        <f>1285.3+(639-933.7)+(-1.966509+(-0.97767--1.428561))+0-0-0</f>
        <v>989.08438199999989</v>
      </c>
      <c r="H110" s="3">
        <f>1257+(553.6-876.4)+(-1.92321+(-0.847008--1.340892))+0-0-0</f>
        <v>932.7706740000001</v>
      </c>
      <c r="I110" s="3">
        <f>1203+(551.1-851.1)+(-3.06765+(-1.405305--2.170305))+0-0-0</f>
        <v>900.69735000000003</v>
      </c>
      <c r="J110" s="3">
        <f>1127.2+(558.8-810.9)+(-0.574872+(-0.284988--0.413559))+0-0-0</f>
        <v>874.65369900000007</v>
      </c>
      <c r="K110" s="3">
        <f>1111.1+(478.8-742.6)+(-1.699983+(-0.732564--1.136178))+0-0-0</f>
        <v>846.00363099999993</v>
      </c>
      <c r="L110" s="3">
        <f>1114.9+(356.1-668.9)+(-2.274396+(-0.726444--1.364556))+0-0-0</f>
        <v>800.46371600000009</v>
      </c>
      <c r="M110" s="3">
        <f>1117.2+(351.6-660.8)+(-1.139544+(-0.358632--0.674016))+0-0-0</f>
        <v>807.17584000000011</v>
      </c>
      <c r="N110" s="3">
        <f>1122.9+(360.4-627)+(0.572679+(0.183804-0.31977))+0-0-0</f>
        <v>856.73671300000012</v>
      </c>
      <c r="O110" s="3">
        <f>1170.9+(352.8-599)+(0+(0-0))+0-0-0</f>
        <v>924.7</v>
      </c>
      <c r="P110" s="3">
        <f>1172.4+(412-594.5)+(1.195848+(0.42024-0.60639))+0-0-0</f>
        <v>990.90969800000005</v>
      </c>
      <c r="Q110" s="3">
        <f>1185.6+(432.3-571.1)+(1.209312+(0.440946-0.582522))+0-0-0</f>
        <v>1047.8677359999999</v>
      </c>
      <c r="R110" s="3">
        <f>1207.6+(451.5-610.7)+(0.615876+(0.230265-0.311457))+0-0-0</f>
        <v>1048.9346839999998</v>
      </c>
      <c r="S110" s="3">
        <f>1203.2+(469.6-633.4)+(0+(0-0))+0-0-0</f>
        <v>1039.4000000000001</v>
      </c>
      <c r="T110" s="3">
        <f>1131.6+(564.4-660.6)+(-1.154232+(-0.575688--0.673812))+0-0-0</f>
        <v>1034.3438919999999</v>
      </c>
      <c r="U110" s="3">
        <f>1071.4+(609.6-652.1)+(-1.639242+(-0.932688--0.997713))+0-0-0</f>
        <v>1027.325783</v>
      </c>
      <c r="V110" s="3">
        <f>1064.6+(619.5-648.8)+(0+(0-0))+0-0-0</f>
        <v>1035.3</v>
      </c>
      <c r="W110" s="3">
        <f>1026.9+(681.2-667.3)+(-0.523719+(-0.347412--0.340323))+0-0-0</f>
        <v>1040.2691920000002</v>
      </c>
      <c r="X110" s="3">
        <f>1048.9+(664.2-690.1)+(-2.674695+(-1.69371--1.759755))+0-0-0</f>
        <v>1020.3913500000001</v>
      </c>
      <c r="Y110" s="3">
        <f>1199.1+(516.3-722.7)+(-2.446164+(-1.053252--1.474308))+0-0-0</f>
        <v>990.67489199999977</v>
      </c>
      <c r="Z110" s="3">
        <f>1428.8+(499.4-910.6)+(0.728688+(0.254694-0.464406))+0-0-0</f>
        <v>1018.1189759999999</v>
      </c>
      <c r="AA110" s="3">
        <f>1527+(627.1-988.5)+(-3.89385+(-1.599105--2.520675))+0-0-0</f>
        <v>1162.62772</v>
      </c>
      <c r="AB110" s="3">
        <f>1554.7+(592.5-976.7)+(-3.171588+(-1.2087--1.992468))+0-0-0</f>
        <v>1168.1121800000001</v>
      </c>
      <c r="AC110" s="3">
        <f>1554.1+(599.6-1023.2)+(-0.792591+(-0.305796--0.521832))+0-0-0</f>
        <v>1129.9234449999999</v>
      </c>
      <c r="AD110">
        <v>1195.5999999999999</v>
      </c>
      <c r="AE110" s="3">
        <f>1575+(603.2-982.6)+(0+(0-0))+0-0-0</f>
        <v>1195.5999999999999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1557.7+(587.3-1050)+(0+(0-0))+0-0-0</f>
        <v>1095</v>
      </c>
      <c r="G111" s="3">
        <f>1558.3+(544.9-1071.7)+(-3.178932+(-1.111596--2.186268))+0-0-0</f>
        <v>1029.3957399999999</v>
      </c>
      <c r="H111" s="3">
        <f>1565.1+(431.6-1026.3)+(1.596402+(0.440232-1.046826))+0-0-0</f>
        <v>971.38980800000002</v>
      </c>
      <c r="I111" s="3">
        <f>1570.8+(419-1048.7)+(-0.801108+(-0.21369--0.534837))+0-0-0</f>
        <v>940.62003899999991</v>
      </c>
      <c r="J111" s="3">
        <f>1500.7+(371.8-959.4)+(-2.296071+(-0.568854--1.467882))+0-0-0</f>
        <v>911.70295700000008</v>
      </c>
      <c r="K111" s="3">
        <f>1454.8+(367.6-927.2)+(-2.967792+(-0.749904--1.891488))+0-0-0</f>
        <v>893.37379199999998</v>
      </c>
      <c r="L111" s="3">
        <f>1255.1+(381.9-778.3)+(-1.280202+(-0.389538--0.793866))+0-0-0</f>
        <v>857.82412599999998</v>
      </c>
      <c r="M111" s="3">
        <f>1214.7+(410.3-731.8)+(-1.858491+(-0.627759--1.119654))+0-0-0</f>
        <v>891.83340400000009</v>
      </c>
      <c r="N111" s="3">
        <f>1354.2+(463.3-834.9)+(0+(0-0))+0-0-0</f>
        <v>982.60000000000014</v>
      </c>
      <c r="O111" s="3">
        <f>1498+(495.5-906.6)+(0.76398+(0.252705-0.462366))+0-0-0</f>
        <v>1087.4543190000002</v>
      </c>
      <c r="P111" s="3">
        <f>1551.7+(393.4-795.9)+(1.582734+(0.401268-0.811818))+0-0-0</f>
        <v>1150.3721840000001</v>
      </c>
      <c r="Q111" s="3">
        <f>1537.6+(376.2-729.6)+(0+(0-0))+0-0-0</f>
        <v>1184.1999999999998</v>
      </c>
      <c r="R111" s="3">
        <f>1529.7+(354.2-699.5)+(-0.780147+(-0.180642--0.356745))+0-0-0</f>
        <v>1183.7959560000002</v>
      </c>
      <c r="S111" s="3">
        <f>1525+(341.3-696.2)+(-0.77775+(-0.174063--0.355062))+0-0-0</f>
        <v>1169.5032489999999</v>
      </c>
      <c r="T111" s="3">
        <f>1523.4+(294.4-644.5)+(-0.776934+(-0.150144--0.328695))+0-0-0</f>
        <v>1172.7016170000002</v>
      </c>
      <c r="U111" s="3">
        <f>1511.8+(247.9-575.8)+(-2.313054+(-0.379287--0.880974))+0-0-0</f>
        <v>1182.0886330000001</v>
      </c>
      <c r="V111" s="3">
        <f>1433.6+(389.2-640.3)+(0+(0-0))+0-0-0</f>
        <v>1182.5</v>
      </c>
      <c r="W111" s="3">
        <f>1434.5+(508.1-777.3)+(-2.194785+(-0.777393--1.189269))+0-0-0</f>
        <v>1163.5170910000002</v>
      </c>
      <c r="X111" s="3">
        <f>1427.1+(651.9-925)+(-4.366926+(-1.994814--2.8305))+0-0-0</f>
        <v>1150.46876</v>
      </c>
      <c r="Y111" s="3">
        <f>1390+(529.7-817.6)+(-1.4178+(-0.540294--0.833952))+0-0-0</f>
        <v>1100.975858</v>
      </c>
      <c r="Z111" s="3">
        <f>1426.8+(504-824.1)+(0.727668+(0.25704-0.420291))+0-0-0</f>
        <v>1107.2644169999999</v>
      </c>
      <c r="AA111" s="3">
        <f>1447.5+(566.7-768.5)+(-0.738225+(-0.289017--0.391935))+0-0-0</f>
        <v>1245.064693</v>
      </c>
      <c r="AB111" s="3">
        <f>1449+(547.9-774.6)+(-0.73899+(-0.279429--0.395046))+0-0-0</f>
        <v>1221.6766270000001</v>
      </c>
      <c r="AC111" s="3">
        <f>1427.3+(529.6-794.4)+(0.727923+(0.270096-0.405144))+0-0-0</f>
        <v>1163.092875</v>
      </c>
      <c r="AD111">
        <v>1241</v>
      </c>
      <c r="AE111" s="3">
        <f>1450+(588.7-797.7)+(0+(0-0))+0-0-0</f>
        <v>1241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1501.9+(514.6-903.5)+(0.765969+(0.262446-0.460785))+0-0-0</f>
        <v>1113.56763</v>
      </c>
      <c r="G112" s="3">
        <f>1548.3+(525.9-1017.2)+(0+(0-0))+0-0-0</f>
        <v>1057</v>
      </c>
      <c r="H112" s="3">
        <f>1534.9+(546.6-1077.8)+(0.782799+(0.278766-0.549678))+0-0-0</f>
        <v>1004.2118870000002</v>
      </c>
      <c r="I112" s="3">
        <f>1474.1+(555-1064.1)+(-1.503582+(-0.5661--1.085382))+0-0-0</f>
        <v>964.01570000000004</v>
      </c>
      <c r="J112" s="3">
        <f>1436+(549.8-1042.7)+(-1.46472+(-0.560796--1.063554))+0-0-0</f>
        <v>942.13803799999994</v>
      </c>
      <c r="K112" s="3">
        <f>1380.8+(500.1-956.3)+(-3.52104+(-1.275255--2.438565))+0-0-0</f>
        <v>922.24227000000008</v>
      </c>
      <c r="L112" s="3">
        <f>1171.8+(538.3-830.8)+(-1.792854+(-0.823599--1.271124))+0-0-0</f>
        <v>877.95467099999996</v>
      </c>
      <c r="M112" s="3">
        <f>1155.2+(503.2-761.6)+(0.589152+(0.256632-0.388416))+0-0-0</f>
        <v>897.25736799999993</v>
      </c>
      <c r="N112" s="3">
        <f>1418.1+(384.4-806.6)+(0+(0-0))+0-0-0</f>
        <v>995.89999999999986</v>
      </c>
      <c r="O112" s="3">
        <f>1485.2+(433.2-837.9)+(-1.514904+(-0.441864--0.854658))+0-0-0</f>
        <v>1079.39789</v>
      </c>
      <c r="P112" s="3">
        <f>1520.6+(430.5-795.3)+(0+(0-0))+0-0-0</f>
        <v>1155.8</v>
      </c>
      <c r="Q112" s="3">
        <f>1503.2+(396.5-704.3)+(-1.533264+(-0.40443--0.718386))+0-0-0</f>
        <v>1194.1806920000001</v>
      </c>
      <c r="R112" s="3">
        <f>1516.2+(392.8-718.5)+(-0.773262+(-0.200328--0.366435))+0-0-0</f>
        <v>1189.8928450000001</v>
      </c>
      <c r="S112" s="3">
        <f>1537.3+(367.5-744.4)+(-0.784023+(-0.187425--0.379644))+0-0-0</f>
        <v>1159.8081960000002</v>
      </c>
      <c r="T112" s="3">
        <f>1534.7+(317.8-677.3)+(-2.348091+(-0.486234--1.036269))+0-0-0</f>
        <v>1173.401944</v>
      </c>
      <c r="U112" s="3">
        <f>1533.4+(316.9-671.6)+(0+(0-0))+0-0-0</f>
        <v>1178.7</v>
      </c>
      <c r="V112" s="3">
        <f>1532.5+(328.5-676.2)+(-0.781575+(-0.167535--0.344862))+0-0-0</f>
        <v>1184.1957519999999</v>
      </c>
      <c r="W112" s="3">
        <f>1528.8+(304.7-666.3)+(-3.89844+(-0.776985--1.699065))+0-0-0</f>
        <v>1164.2236400000002</v>
      </c>
      <c r="X112" s="3">
        <f>1505.3+(364.5-745.7)+(-5.373921+(-1.301265--2.662149))+0-0-0</f>
        <v>1120.086963</v>
      </c>
      <c r="Y112" s="3">
        <f>1479.4+(416.1-809.6)+(0.754494+(0.212211-0.412896))+0-0-0</f>
        <v>1086.4538090000001</v>
      </c>
      <c r="Z112" s="3">
        <f>1510.2+(520.7-923.2)+(1.540404+(0.531114-0.941664))+0-0-0</f>
        <v>1108.8298540000001</v>
      </c>
      <c r="AA112" s="3">
        <f>1495.2+(600.6-846.8)+(-3.81276+(-1.53153--2.15934))+0-0-0</f>
        <v>1245.8150499999999</v>
      </c>
      <c r="AB112" s="3">
        <f>1509+(607.8-888.5)+(-2.30877+(-0.929934--1.359405))+0-0-0</f>
        <v>1226.420701</v>
      </c>
      <c r="AC112" s="3">
        <f>1510.5+(587.5-913.3)+(-0.770355+(-0.299625--0.465783))+0-0-0</f>
        <v>1184.0958029999999</v>
      </c>
      <c r="AD112">
        <v>1238.5999999999999</v>
      </c>
      <c r="AE112" s="3">
        <f>1475+(603.7-840.1)+(0+(0-0))+0-0-0</f>
        <v>1238.5999999999999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1454.8+(537.7-886.8)+(-2.225844+(-0.822681--1.356804))+0-0-0</f>
        <v>1104.0082790000001</v>
      </c>
      <c r="G113" s="3">
        <f>1429.6+(570.6-961.9)+(-3.64548+(-1.45503--2.452845))+0-0-0</f>
        <v>1035.652335</v>
      </c>
      <c r="H113" s="3">
        <f>1416.1+(514.4-941.1)+(-0.722211+(-0.262344--0.479961))+0-0-0</f>
        <v>988.89540599999987</v>
      </c>
      <c r="I113" s="3">
        <f>1412.2+(522-970.8)+(-2.160666+(-0.79866--1.485324))+0-0-0</f>
        <v>961.92599800000005</v>
      </c>
      <c r="J113" s="3">
        <f>1414.8+(519.6-984.7)+(-0.721548+(-0.264996--0.502197))+0-0-0</f>
        <v>949.21565299999997</v>
      </c>
      <c r="K113" s="3">
        <f>1347.1+(476.3-890.4)+(-6.87021+(-2.42913--4.54104))+0-0-0</f>
        <v>928.24170000000004</v>
      </c>
      <c r="L113" s="3">
        <f>1267.7+(514.6-882.9)+(-3.879162+(-1.574676--2.701674))+0-0-0</f>
        <v>896.6478360000001</v>
      </c>
      <c r="M113" s="3">
        <f>1127.8+(528.8-747.4)+(1.150356+(0.539376-0.762348))+0-0-0</f>
        <v>910.12738399999989</v>
      </c>
      <c r="N113" s="3">
        <f>1198.6+(489.8-706.8)+(1.222572+(0.499596-0.720936))+0-0-0</f>
        <v>982.60123199999987</v>
      </c>
      <c r="O113" s="3">
        <f>1370.1+(490.1-775.8)+(-1.397502+(-0.499902--0.791316))+0-0-0</f>
        <v>1083.2939120000001</v>
      </c>
      <c r="P113" s="3">
        <f>1490+(405-730)+(0.7599+(0.20655-0.3723))+0-0-0</f>
        <v>1165.5941499999999</v>
      </c>
      <c r="Q113" s="3">
        <f>1548+(372.6-729)+(0.78948+(0.190026-0.37179))+0-0-0</f>
        <v>1192.2077159999999</v>
      </c>
      <c r="R113" s="3">
        <f>1547.8+(402.9-772)+(0+(0-0))+0-0-0</f>
        <v>1178.6999999999998</v>
      </c>
      <c r="S113" s="3">
        <f>1541.3+(476.4-851.8)+(0.786063+(0.242964-0.434418))+0-0-0</f>
        <v>1166.4946090000001</v>
      </c>
      <c r="T113" s="3">
        <f>1540.1+(471.4-838.2)+(1.570902+(0.480828-0.854964))+0-0-0</f>
        <v>1174.4967659999998</v>
      </c>
      <c r="U113" s="3">
        <f>1537.8+(448.7-812.7)+(-2.352834+(-0.686511--1.243431))+0-0-0</f>
        <v>1172.0040859999999</v>
      </c>
      <c r="V113" s="3">
        <f>1488.8+(486.5-788.9)+(-0.759288+(-0.248115--0.402339))+0-0-0</f>
        <v>1185.794936</v>
      </c>
      <c r="W113" s="3">
        <f>1429.5+(543.1-812.3)+(-2.91618+(-1.107924--1.657092))+0-0-0</f>
        <v>1157.9329880000003</v>
      </c>
      <c r="X113" s="3">
        <f>1408.2+(544-831.4)+(-2.872728+(-1.10976--1.696056))+0-0-0</f>
        <v>1118.5135680000001</v>
      </c>
      <c r="Y113" s="3">
        <f>1416.3+(537.1-895.8)+(-2.166939+(-0.821763--1.370574))+0-0-0</f>
        <v>1055.9818719999998</v>
      </c>
      <c r="Z113" s="3">
        <f>1458.7+(576-954.6)+(0.743937+(0.29376-0.486846))+0-0-0</f>
        <v>1080.6508509999999</v>
      </c>
      <c r="AA113" s="3">
        <f>1514.2+(667.1-951)+(-2.316726+(-1.020663--1.45503))+0-0-0</f>
        <v>1228.4176410000002</v>
      </c>
      <c r="AB113" s="3">
        <f>1511.9+(692.7-984.2)+(-0.771069+(-0.353277--0.501942))+0-0-0</f>
        <v>1219.7775960000001</v>
      </c>
      <c r="AC113" s="3">
        <f>1495.3+(637.7-956.4)+(-1.525206+(-0.650454--0.975528))+0-0-0</f>
        <v>1175.399868</v>
      </c>
      <c r="AD113">
        <v>1228.8</v>
      </c>
      <c r="AE113" s="3">
        <f>1517+(687.1-975.3)+(0+(0-0))+0-0-0</f>
        <v>1228.8000000000002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1498+(594.8-980)+(-1.52796+(-0.606696--0.9996))+0-0-0</f>
        <v>1111.6649439999999</v>
      </c>
      <c r="G114" s="3">
        <f>1477.4+(531-975.6)+(-4.520844+(-1.62486--2.985336))+0-0-0</f>
        <v>1029.6396320000001</v>
      </c>
      <c r="H114" s="3">
        <f>1455.9+(528-1002.7)+(-0.742509+(-0.26928--0.511377))+0-0-0</f>
        <v>980.69958800000006</v>
      </c>
      <c r="I114" s="3">
        <f>1386.1+(518.6-956.1)+(-2.827644+(-1.057944--1.950444))+0-0-0</f>
        <v>946.66485599999987</v>
      </c>
      <c r="J114" s="3">
        <f>1367.2+(545.3-985.2)+(0.697272+(0.278103-0.502452))+0-0-0</f>
        <v>927.77292299999999</v>
      </c>
      <c r="K114" s="3">
        <f>1282.9+(566.1-938.2)+(-0.654279+(-0.288711--0.478482))+0-0-0</f>
        <v>910.33549200000004</v>
      </c>
      <c r="L114" s="3">
        <f>1117.1+(550.2-786.1)+(-2.848605+(-1.40301--2.004555))+0-0-0</f>
        <v>878.9529399999999</v>
      </c>
      <c r="M114" s="3">
        <f>1112.9+(497.7-713.4)+(0+(0-0))+0-0-0</f>
        <v>897.2</v>
      </c>
      <c r="N114" s="3">
        <f>1196+(508.6-720.2)+(0+(0-0))+0-0-0</f>
        <v>984.4</v>
      </c>
      <c r="O114" s="3">
        <f>1348+(498.2-794.3)+(0.68748+(0.254082-0.405093))+0-0-0</f>
        <v>1052.436469</v>
      </c>
      <c r="P114" s="3">
        <f>1477.6+(530.8-874.9)+(-0.753576+(-0.270708--0.446199))+0-0-0</f>
        <v>1132.9219149999999</v>
      </c>
      <c r="Q114" s="3">
        <f>1500.4+(537.6-860.8)+(1.530408+(0.548352-0.878016))+0-0-0</f>
        <v>1178.4007440000003</v>
      </c>
      <c r="R114" s="3">
        <f>1511.5+(542.2-875.4)+(3.08346+(1.106088-1.785816))+0-0-0</f>
        <v>1180.7037320000002</v>
      </c>
      <c r="S114" s="3">
        <f>1438.5+(578.3-843.3)+(-0.733635+(-0.294933--0.430083))+0-0-0</f>
        <v>1172.901515</v>
      </c>
      <c r="T114" s="3">
        <f>1472+(534-832.2)+(-0.75072+(-0.27234--0.424422))+0-0-0</f>
        <v>1173.201362</v>
      </c>
      <c r="U114" s="3">
        <f>1480.8+(491.2-804.4)+(-1.510416+(-0.501024--0.820488))+0-0-0</f>
        <v>1166.409048</v>
      </c>
      <c r="V114" s="3">
        <f>1469.5+(471.8-786.6)+(-1.49889+(-0.481236--0.802332))+0-0-0</f>
        <v>1153.5222060000001</v>
      </c>
      <c r="W114" s="3">
        <f>1390.1+(548.2-759.1)+(-2.126853+(-0.838746--1.161423))+0-0-0</f>
        <v>1177.3958239999997</v>
      </c>
      <c r="X114" s="3">
        <f>1358.1+(585.8-792.8)+(-4.155786+(-1.792548--2.425968))+0-0-0</f>
        <v>1147.577634</v>
      </c>
      <c r="Y114" s="3">
        <f>1350+(535.3-792.8)+(-1.377+(-0.546006--0.808656))+0-0-0</f>
        <v>1091.3856499999999</v>
      </c>
      <c r="Z114" s="3">
        <f>1393+(579.7-864.7)+(2.13129+(0.886941-1.322991))+0-0-0</f>
        <v>1109.69524</v>
      </c>
      <c r="AA114" s="3">
        <f>1504.4+(605.1-853.8)+(-2.301732+(-0.925803--1.306314))+0-0-0</f>
        <v>1253.7787790000002</v>
      </c>
      <c r="AB114" s="3">
        <f>1514.1+(608.6-889.6)+(1.544382+(0.620772-0.907392))+0-0-0</f>
        <v>1234.3577619999999</v>
      </c>
      <c r="AC114" s="3">
        <f>1514.6+(606.3-935.7)+(-3.089784+(-1.236852--1.908828))+0-0-0</f>
        <v>1182.7821919999999</v>
      </c>
      <c r="AD114">
        <v>1223.5</v>
      </c>
      <c r="AE114" s="3">
        <f>1506+(590-872.5)+(0+(0-0))+0-0-0</f>
        <v>1223.5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1469.5+(553.2-910.9)+(0+(0-0))+0-0-0</f>
        <v>1111.8000000000002</v>
      </c>
      <c r="G115" s="3">
        <f>1404.2+(562-938.8)+(0+(0-0))+0-0-0</f>
        <v>1027.4000000000001</v>
      </c>
      <c r="H115" s="3">
        <f>1412.5+(546.4-976.4)+(-2.161125+(-0.835992--1.493892))+0-0-0</f>
        <v>980.99677499999996</v>
      </c>
      <c r="I115" s="3">
        <f>1418.1+(499.9-959.7)+(-2.892924+(-1.019796--1.957788))+0-0-0</f>
        <v>956.34506799999986</v>
      </c>
      <c r="J115" s="3">
        <f>1421.1+(472.6-957.7)+(-2.174283+(-0.723078--1.465281))+0-0-0</f>
        <v>934.56791999999984</v>
      </c>
      <c r="K115" s="3">
        <f>1396.4+(469.3-947.3)+(-4.985148+(-1.675401--3.381861))+0-0-0</f>
        <v>915.1213120000001</v>
      </c>
      <c r="L115" s="3">
        <f>1093.1+(606.2-819.4)+(-3.902367+(-2.164134--2.925258))+0-0-0</f>
        <v>876.75875699999995</v>
      </c>
      <c r="M115" s="3">
        <f>1062.1+(560.9-721.6)+(1.083342+(0.572118-0.736032))+0-0-0</f>
        <v>902.3194279999999</v>
      </c>
      <c r="N115" s="3">
        <f>1227.7+(487.7-735.2)+(1.878381+(0.746181-1.124856))+0-0-0</f>
        <v>981.69970599999999</v>
      </c>
      <c r="O115" s="3">
        <f>1518.1+(414.2-863.1)+(0+(0-0))+0-0-0</f>
        <v>1069.1999999999998</v>
      </c>
      <c r="P115" s="3">
        <f>1487.2+(491.2-834.1)+(0+(0-0))+0-0-0</f>
        <v>1144.3</v>
      </c>
      <c r="Q115" s="3">
        <f>1444.4+(573.1-842.9)+(-2.209932+(-0.876843--1.289637))+0-0-0</f>
        <v>1172.8028620000002</v>
      </c>
      <c r="R115" s="3">
        <f>1483.5+(585.4-864.9)+(-2.269755+(-0.895662--1.323297))+0-0-0</f>
        <v>1202.15788</v>
      </c>
      <c r="S115" s="3">
        <f>1493.5+(578.9-890.9)+(-1.52337+(-0.590478--0.908718))+0-0-0</f>
        <v>1180.2948699999999</v>
      </c>
      <c r="T115" s="3">
        <f>1487.4+(540.4-835)+(-3.034296+(-1.102416--1.7034))+0-0-0</f>
        <v>1190.3666880000003</v>
      </c>
      <c r="U115" s="3">
        <f>1478.8+(530.9-822.6)+(-3.77094+(-1.353795--2.09763))+0-0-0</f>
        <v>1184.072895</v>
      </c>
      <c r="V115" s="3">
        <f>1471.5+(532.9-823.3)+(-4.50279+(-1.630674--2.519298))+0-0-0</f>
        <v>1177.4858339999998</v>
      </c>
      <c r="W115" s="3">
        <f>1470.1+(618.1-915.7)+(-4.498506+(-1.891386--2.802042))+0-0-0</f>
        <v>1168.9121500000001</v>
      </c>
      <c r="X115" s="3">
        <f>1416.2+(702.3-972.7)+(-4.333572+(-2.149038--2.976462))+0-0-0</f>
        <v>1142.293852</v>
      </c>
      <c r="Y115" s="3">
        <f>1369.4+(610.1-889.6)+(-3.49197+(-1.555755--2.26848))+0-0-0</f>
        <v>1087.1207550000001</v>
      </c>
      <c r="Z115" s="3">
        <f>1404.8+(674.2-984.1)+(0+(0-0))+0-0-0</f>
        <v>1094.9000000000001</v>
      </c>
      <c r="AA115" s="3">
        <f>1546.5+(726.9-1034)+(-3.943575+(-1.853595--2.6367))+0-0-0</f>
        <v>1236.2395300000001</v>
      </c>
      <c r="AB115" s="3">
        <f>1543.5+(746.8-1065)+(-6.29748+(-3.046944--4.3452))+0-0-0</f>
        <v>1220.300776</v>
      </c>
      <c r="AC115" s="3">
        <f>1527.4+(758.3-1107.7)+(-0.778974+(-0.386733--0.564927))+0-0-0</f>
        <v>1177.39922</v>
      </c>
      <c r="AD115">
        <v>1220.4999999999998</v>
      </c>
      <c r="AE115" s="3">
        <f>1538+(733.2-1050.7)+(0+(0-0))+0-0-0</f>
        <v>1220.5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1491.2+(702.4-1095.6)+(0+(0-0))+0-0-0</f>
        <v>1098</v>
      </c>
      <c r="G116" s="3">
        <f>1492.2+(668.7-1124.3)+(0.761022+(0.341037-0.573393))+0-0-0</f>
        <v>1037.1286660000001</v>
      </c>
      <c r="H116" s="3">
        <f>1503.1+(583.6-1105)+(-0.766581+(-0.297636--0.56355))+0-0-0</f>
        <v>981.19933299999991</v>
      </c>
      <c r="I116" s="3">
        <f>1493.2+(524.1-1068)+(-0.761532+(-0.267291--0.54468))+0-0-0</f>
        <v>948.81585700000005</v>
      </c>
      <c r="J116" s="3">
        <f>1412.8+(503-990.6)+(-2.161584+(-0.76959--1.515618))+0-0-0</f>
        <v>923.78444399999989</v>
      </c>
      <c r="K116" s="3">
        <f>1393.2+(457.3-932.1)+(-3.55266+(-1.166115--2.376855))+0-0-0</f>
        <v>916.05808000000013</v>
      </c>
      <c r="L116" s="3">
        <f>1174.1+(512.5-807.4)+(-1.197582+(-0.52275--0.823548))+0-0-0</f>
        <v>878.30321599999991</v>
      </c>
      <c r="M116" s="3">
        <f>1223.3+(470.9-808.6)+(0.623883+(0.240159-0.412386))+0-0-0</f>
        <v>886.05165599999987</v>
      </c>
      <c r="N116" s="3">
        <f>1455+(413.6-895.4)+(0.74205+(0.210936-0.456654))+0-0-0</f>
        <v>973.6963320000001</v>
      </c>
      <c r="O116" s="3">
        <f>1501.5+(481.3-929)+(-1.53153+(-0.490926--0.94758))+0-0-0</f>
        <v>1052.7251240000001</v>
      </c>
      <c r="P116" s="3">
        <f>1497.1+(494.1-876.1)+(0+(0-0))+0-0-0</f>
        <v>1115.0999999999999</v>
      </c>
      <c r="Q116" s="3">
        <f>1499+(506.3-853.5)+(1.52898+(0.516426-0.87057))+0-0-0</f>
        <v>1152.9748359999999</v>
      </c>
      <c r="R116" s="3">
        <f>1473.4+(542-868.2)+(0+(0-0))+0-0-0</f>
        <v>1147.2</v>
      </c>
      <c r="S116" s="3">
        <f>1449.5+(612.9-944.7)+(-2.95698+(-1.250316--1.927188))+0-0-0</f>
        <v>1115.4198919999999</v>
      </c>
      <c r="T116" s="3">
        <f>1454.1+(648.3-981.6)+(-2.966364+(-1.322532--2.002464))+0-0-0</f>
        <v>1118.5135679999996</v>
      </c>
      <c r="U116" s="3">
        <f>1448.3+(636.9-962.1)+(-3.693165+(-1.624095--2.453355))+0-0-0</f>
        <v>1120.236095</v>
      </c>
      <c r="V116" s="3">
        <f>1450.3+(658.9-971.6)+(-2.958612+(-1.344156--1.982064))+0-0-0</f>
        <v>1135.2792959999999</v>
      </c>
      <c r="W116" s="3">
        <f>1454.1+(687-1014.4)+(-3.707955+(-1.75185--2.58672))+0-0-0</f>
        <v>1123.8269149999999</v>
      </c>
      <c r="X116" s="3">
        <f>1431.8+(671.4-1001.4)+(-5.841744+(-2.739312--4.085712))+0-0-0</f>
        <v>1097.304656</v>
      </c>
      <c r="Y116" s="3">
        <f>1352.3+(563.5-865.5)+(-4.138038+(-1.72431--2.64843))+0-0-0</f>
        <v>1047.086082</v>
      </c>
      <c r="Z116" s="3">
        <f>1444.9+(592-958.2)+(-0.736899+(-0.30192--0.488682))+0-0-0</f>
        <v>1078.1498630000001</v>
      </c>
      <c r="AA116" s="3">
        <f>1489.7+(629.7-914.5)+(-4.558482+(-1.926882--2.79837))+0-0-0</f>
        <v>1201.2130060000002</v>
      </c>
      <c r="AB116" s="3">
        <f>1495.6+(679.1-976.7)+(-3.051024+(-1.385364--1.992468))+0-0-0</f>
        <v>1195.5560800000001</v>
      </c>
      <c r="AC116" s="3">
        <f>1516.2+(632.5-997.9)+(0.773262+(0.322575-0.508929))+0-0-0</f>
        <v>1151.3869080000002</v>
      </c>
      <c r="AD116">
        <v>1210.4000000000001</v>
      </c>
      <c r="AE116" s="3">
        <f>1496+(665.4-951)+(0+(0-0))+0-0-0</f>
        <v>1210.4000000000001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1563.3+(595.1-1081.6)+(0.797283+(0.303501-0.551616))+0-0-0</f>
        <v>1077.3491680000002</v>
      </c>
      <c r="G117" s="3">
        <f>1569.3+(577.2-1138.6)+(-1.600686+(-0.588744--1.161372))+0-0-0</f>
        <v>1006.8719420000001</v>
      </c>
      <c r="H117" s="3">
        <f>1554.5+(560.3-1162.2)+(-2.378385+(-0.857259--1.778166))+0-0-0</f>
        <v>951.14252199999987</v>
      </c>
      <c r="I117" s="3">
        <f>1524.5+(519.7-1122.5)+(-0.777495+(-0.265047--0.572475))+0-0-0</f>
        <v>921.22993300000007</v>
      </c>
      <c r="J117" s="3">
        <f>1476.6+(505.3-1080.7)+(0.753066+(0.257703-0.551157))+0-0-0</f>
        <v>901.65961199999981</v>
      </c>
      <c r="K117" s="3">
        <f>1416.5+(516.5-1051.2)+(-5.056905+(-1.843905--3.752784))+0-0-0</f>
        <v>878.651974</v>
      </c>
      <c r="L117" s="3">
        <f>1303.8+(489.9-977.5)+(-1.994814+(-0.749547--1.495575))+0-0-0</f>
        <v>814.95121399999994</v>
      </c>
      <c r="M117" s="3">
        <f>1244.9+(434.3-858.6)+(-2.539596+(-0.885972--1.751544))+0-0-0</f>
        <v>818.92597600000011</v>
      </c>
      <c r="N117" s="3">
        <f>1203.8+(503-847.4)+(-1.227876+(-0.51306--0.864348))+0-0-0</f>
        <v>858.52341200000001</v>
      </c>
      <c r="O117" s="3">
        <f>1300.8+(477.2-860.9)+(0+(0-0))+0-0-0</f>
        <v>917.09999999999991</v>
      </c>
      <c r="P117" s="3">
        <f>1265.6+(545.4-830.5)+(1.936368+(0.834462-1.270665))+0-0-0</f>
        <v>982.00016499999992</v>
      </c>
      <c r="Q117" s="3">
        <f>1178.8+(581.4-722.2)+(1.202376+(0.593028-0.736644))+0-0-0</f>
        <v>1039.0587599999999</v>
      </c>
      <c r="R117" s="3">
        <f>1156.9+(584.3-669.1)+(-0.590019+(-0.297993--0.341241))+0-0-0</f>
        <v>1071.5532289999999</v>
      </c>
      <c r="S117" s="3">
        <f>1213+(520.1-682.1)+(1.23726+(0.530502-0.695742))+0-0-0</f>
        <v>1052.0720200000001</v>
      </c>
      <c r="T117" s="3">
        <f>1395.8+(500.1-788.3)+(0+(0-0))+0-0-0</f>
        <v>1107.5999999999999</v>
      </c>
      <c r="U117" s="3">
        <f>1397.8+(494.8-796.4)+(-1.425756+(-0.504696--0.812328))+0-0-0</f>
        <v>1095.081876</v>
      </c>
      <c r="V117" s="3">
        <f>1392.8+(498.7-809.9)+(-2.841312+(-1.017348--1.652196))+0-0-0</f>
        <v>1079.3935359999998</v>
      </c>
      <c r="W117" s="3">
        <f>1392.1+(531.3-834.9)+(-0.709971+(-0.270963--0.425799))+0-0-0</f>
        <v>1087.9448649999999</v>
      </c>
      <c r="X117" s="3">
        <f>1383.7+(548.6-885.1)+(-0.705687+(-0.279786--0.451401))+0-0-0</f>
        <v>1046.6659280000001</v>
      </c>
      <c r="Y117" s="3">
        <f>1288+(516.9-774.3)+(-2.62752+(-1.054476--1.579572))+0-0-0</f>
        <v>1028.497576</v>
      </c>
      <c r="Z117" s="3">
        <f>1303.1+(639.7-884.6)+(-1.329162+(-0.652494--0.902292))+0-0-0</f>
        <v>1057.1206359999999</v>
      </c>
      <c r="AA117" s="3">
        <f>1401.4+(642.4-838.2)+(-2.144142+(-0.982872--1.282446))+0-0-0</f>
        <v>1203.7554319999999</v>
      </c>
      <c r="AB117" s="3">
        <f>1396.1+(579.6-781.3)+(-4.272066+(-1.773576--2.390778))+0-0-0</f>
        <v>1190.745136</v>
      </c>
      <c r="AC117" s="3">
        <f>1416.5+(544.1-815.8)+(2.167245+(0.832473-1.248174))+0-0-0</f>
        <v>1146.5515440000001</v>
      </c>
      <c r="AD117">
        <v>1197</v>
      </c>
      <c r="AE117" s="3">
        <f>1395+(624-822)+(0+(0-0))+0-0-0</f>
        <v>1197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1407.7+(552.7-866.3)+(-1.435854+(-0.563754--0.883626))+0-0-0</f>
        <v>1092.9840180000001</v>
      </c>
      <c r="G118" s="3">
        <f>1394+(579-943.2)+(-4.97658+(-2.06703--3.367224))+0-0-0</f>
        <v>1026.1236139999999</v>
      </c>
      <c r="H118" s="3">
        <f>1412.3+(556.6-984.7)+(0+(0-0))+0-0-0</f>
        <v>984.19999999999993</v>
      </c>
      <c r="I118" s="3">
        <f>1409.7+(571.7-1025.6)+(-0.718947+(-0.291567--0.523056))+0-0-0</f>
        <v>955.31254200000024</v>
      </c>
      <c r="J118" s="3">
        <f>1409+(575.3-1045.1)+(0+(0-0))+0-0-0</f>
        <v>939.2</v>
      </c>
      <c r="K118" s="3">
        <f>1410.5+(547.3-1029.1)+(0.719355+(0.279123-0.524841))+0-0-0</f>
        <v>929.1736370000001</v>
      </c>
      <c r="L118" s="3">
        <f>1152.1+(577.6-836.2)+(-2.350284+(-1.178304--1.705848))+0-0-0</f>
        <v>891.67725999999993</v>
      </c>
      <c r="M118" s="3">
        <f>1080+(555.1-725.3)+(0+(0-0))+0-0-0</f>
        <v>909.80000000000007</v>
      </c>
      <c r="N118" s="3">
        <f>1314.6+(521.5-838.6)+(-0.670446+(-0.265965--0.427686))+0-0-0</f>
        <v>996.99127499999986</v>
      </c>
      <c r="O118" s="3">
        <f>1425.4+(538.6-884.7)+(0+(0-0))+0-0-0</f>
        <v>1079.3000000000002</v>
      </c>
      <c r="P118" s="3">
        <f>1418.6+(580.5-852.4)+(0+(0-0))+0-0-0</f>
        <v>1146.6999999999998</v>
      </c>
      <c r="Q118" s="3">
        <f>1413.9+(571.9-793.7)+(0.721089+(0.291669-0.404787))+0-0-0</f>
        <v>1192.7079709999998</v>
      </c>
      <c r="R118" s="3">
        <f>1388.1+(540.7-744.4)+(0+(0-0))+0-0-0</f>
        <v>1184.4000000000001</v>
      </c>
      <c r="S118" s="3">
        <f>1381.3+(537.2-765.9)+(0+(0-0))+0-0-0</f>
        <v>1152.5999999999999</v>
      </c>
      <c r="T118" s="3">
        <f>1375.3+(526.5-740.6)+(-1.402806+(-0.53703--0.755412))+0-0-0</f>
        <v>1160.0155759999998</v>
      </c>
      <c r="U118" s="3">
        <f>1373.3+(528.6-746.1)+(-1.400766+(-0.539172--0.761022))+0-0-0</f>
        <v>1154.6210839999999</v>
      </c>
      <c r="V118" s="3">
        <f>1366.8+(538.4-737.8)+(0+(0-0))+0-0-0</f>
        <v>1167.4000000000001</v>
      </c>
      <c r="W118" s="3">
        <f>1364.5+(620.8-807.5)+(-0.695895+(-0.316608--0.411825))+0-0-0</f>
        <v>1177.1993219999999</v>
      </c>
      <c r="X118" s="3">
        <f>1361.7+(634-858)+(-1.388934+(-0.64668--0.87516))+0-0-0</f>
        <v>1136.539546</v>
      </c>
      <c r="Y118" s="3">
        <f>1282.3+(589.4-786.7)+(-0.653973+(-0.300594--0.401217))+0-0-0</f>
        <v>1084.4466500000001</v>
      </c>
      <c r="Z118" s="3">
        <f>1340.5+(626.1-855)+(0.683655+(0.319311-0.43605))+0-0-0</f>
        <v>1112.1669159999999</v>
      </c>
      <c r="AA118" s="3">
        <f>1465.4+(688-902.8)+(-4.484124+(-2.10528--2.762568))+0-0-0</f>
        <v>1246.7731640000002</v>
      </c>
      <c r="AB118" s="3">
        <f>1475.3+(687.6-936.4)+(-2.257209+(-1.052028--1.432692))+0-0-0</f>
        <v>1224.6234549999999</v>
      </c>
      <c r="AC118" s="3">
        <f>1395.6+(712.8-926.6)+(-1.423512+(-0.727056--0.945132))+0-0-0</f>
        <v>1180.5945639999998</v>
      </c>
      <c r="AD118">
        <v>1233.1999999999998</v>
      </c>
      <c r="AE118" s="3">
        <f>1460+(693.2-920)+(0+(0-0))+0-0-0</f>
        <v>1233.2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1356.1+(663.8-907.1)+(-1.383222+(-0.677076--0.925242))+0-0-0</f>
        <v>1111.6649439999997</v>
      </c>
      <c r="G119" s="3">
        <f>1243.5+(614.4-824.2)+(-2.53674+(-1.253376--1.681368))+0-0-0</f>
        <v>1031.5912519999997</v>
      </c>
      <c r="H119" s="3">
        <f>1208.7+(533.2-764.6)+(-1.849311+(-0.815796--1.169838))+0-0-0</f>
        <v>975.80473100000006</v>
      </c>
      <c r="I119" s="3">
        <f>1195.2+(537.5-784)+(-1.219104+(-0.54825--0.79968))+0-0-0</f>
        <v>947.73232600000006</v>
      </c>
      <c r="J119" s="3">
        <f>1113.5+(579.5-769.4)+(-2.839425+(-1.477725--1.96197))+0-0-0</f>
        <v>921.24482</v>
      </c>
      <c r="K119" s="3">
        <f>1119+(528.9-742.3)+(-2.85345+(-1.348695--1.892865))+0-0-0</f>
        <v>903.29072000000008</v>
      </c>
      <c r="L119" s="3">
        <f>1030.3+(511.2-679.6)+(-3.152718+(-1.564272--2.079576))+0-0-0</f>
        <v>859.26258599999983</v>
      </c>
      <c r="M119" s="3">
        <f>817.4+(590.8-549.8)+(-0.416874+(-0.301308--0.280398))+0-0-0</f>
        <v>857.96221600000001</v>
      </c>
      <c r="N119" s="3">
        <f>803.4+(646.5-542.4)+(-0.409734+(-0.329715--0.276624))+0-0-0</f>
        <v>907.03717500000005</v>
      </c>
      <c r="O119" s="3">
        <f>962+(581.8-579.7)+(-0.49062+(-0.296718--0.295647))+0-0-0</f>
        <v>963.60830899999996</v>
      </c>
      <c r="P119" s="3">
        <f>1017.9+(581.5-585.2)+(0+(0-0))+0-0-0</f>
        <v>1014.1999999999999</v>
      </c>
      <c r="Q119" s="3">
        <f>1110.6+(568.3-614.5)+(-0.566406+(-0.289833--0.313395))+0-0-0</f>
        <v>1063.8571559999998</v>
      </c>
      <c r="R119" s="3">
        <f>1098.5+(577.6-613.8)+(-1.680705+(-0.883728--0.939114))+0-0-0</f>
        <v>1060.6746810000002</v>
      </c>
      <c r="S119" s="3">
        <f>1096.1+(542.4-607.5)+(-1.118022+(-0.553248--0.61965))+0-0-0</f>
        <v>1029.94838</v>
      </c>
      <c r="T119" s="3">
        <f>1086.2+(503.7-559.5)+(-1.107924+(-0.513774--0.57069))+0-0-0</f>
        <v>1029.3489920000002</v>
      </c>
      <c r="U119" s="3">
        <f>1085.2+(493.5-544.7)+(-0.553452+(-0.251685--0.277797))+0-0-0</f>
        <v>1033.4726599999999</v>
      </c>
      <c r="V119" s="3">
        <f>1073.4+(527.7-562.5)+(-2.189736+(-1.076508--1.1475))+0-0-0</f>
        <v>1036.481256</v>
      </c>
      <c r="W119" s="3">
        <f>1066.9+(586.9-609.7)+(-3.264714+(-1.795914--1.865682))+0-0-0</f>
        <v>1040.9050539999998</v>
      </c>
      <c r="X119" s="3">
        <f>1021.1+(675.7-668.3)+(-2.083044+(-1.378428--1.363332))+0-0-0</f>
        <v>1026.4018599999999</v>
      </c>
      <c r="Y119" s="3">
        <f>988.8+(653.3-649.3)+(-0.504288+(-0.333183--0.331143))+0-0-0</f>
        <v>992.2936719999999</v>
      </c>
      <c r="Z119" s="3">
        <f>1030.2+(736.6-743.8)+(-0.525402+(-0.375666--0.379338))+0-0-0</f>
        <v>1022.4782700000001</v>
      </c>
      <c r="AA119" s="3">
        <f>1082.1+(706.6-631.3)+(-2.207484+(-1.441464--1.287852))+0-0-0</f>
        <v>1155.038904</v>
      </c>
      <c r="AB119" s="3">
        <f>1091.2+(735.9-681)+(-2.226048+(-1.501236--1.38924))+0-0-0</f>
        <v>1143.7619559999998</v>
      </c>
      <c r="AC119" s="3">
        <f>1099.9+(752.3-742.3)+(-1.682847+(-1.151019--1.135719))+0-0-0</f>
        <v>1108.201853</v>
      </c>
      <c r="AD119">
        <v>1177.3</v>
      </c>
      <c r="AE119" s="3">
        <f>1096+(689.8-608.5)+(0+(0-0))+0-0-0</f>
        <v>1177.3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1098.8+(800.2-850)+(-2.80194+(-2.04051--2.1675))+0-0-0</f>
        <v>1046.3250499999999</v>
      </c>
      <c r="G120" s="3">
        <f>1089.9+(749-855.9)+(-3.890943+(-2.67393--3.055563))+0-0-0</f>
        <v>979.49069000000009</v>
      </c>
      <c r="H120" s="3">
        <f>1150.7+(689.7-899.5)+(0+(0-0))+0-0-0</f>
        <v>940.90000000000009</v>
      </c>
      <c r="I120" s="3">
        <f>1223.7+(655.6-960)+(-5.616783+(-3.009204--4.4064))+0-0-0</f>
        <v>915.08041300000002</v>
      </c>
      <c r="J120" s="3">
        <f>1274.1+(618.9-998.9)+(-1.299582+(-0.631278--1.018878))+0-0-0</f>
        <v>893.18801799999994</v>
      </c>
      <c r="K120" s="3">
        <f>1287.5+(571.9-975.4)+(-5.909625+(-2.625021--4.477086))+0-0-0</f>
        <v>879.94244000000003</v>
      </c>
      <c r="L120" s="3">
        <f>1291.8+(566.1-1011.4)+(-5.270544+(-2.309688--4.126512))+0-0-0</f>
        <v>843.04628000000002</v>
      </c>
      <c r="M120" s="3">
        <f>1307+(497.4-945.1)+(0.66657+(0.253674-0.482001))+0-0-0</f>
        <v>859.73824300000001</v>
      </c>
      <c r="N120" s="3">
        <f>1323+(495.6-873.2)+(0+(0-0))+0-0-0</f>
        <v>945.4</v>
      </c>
      <c r="O120" s="3">
        <f>1314.9+(569.2-922.8)+(0+(0-0))+0-0-0</f>
        <v>961.30000000000018</v>
      </c>
      <c r="P120" s="3">
        <f>1411.2+(630.7-949.9)+(0.719712+(0.321657-0.484449))+0-0-0</f>
        <v>1092.55692</v>
      </c>
      <c r="Q120" s="3">
        <f>1402.7+(586-860.8)+(0.715377+(0.29886-0.439008))+0-0-0</f>
        <v>1128.4752290000001</v>
      </c>
      <c r="R120" s="3">
        <f>1412+(608.5-883.9)+(0+(0-0))+0-0-0</f>
        <v>1136.5999999999999</v>
      </c>
      <c r="S120" s="3">
        <f>1406.5+(644.6-933.7)+(-0.717315+(-0.328746--0.476187))+0-0-0</f>
        <v>1116.8301260000001</v>
      </c>
      <c r="T120" s="3">
        <f>1408+(593.2-887.9)+(-0.71808+(-0.302532--0.452829))+0-0-0</f>
        <v>1112.7322170000002</v>
      </c>
      <c r="U120" s="3">
        <f>1403.8+(603.3-879.6)+(-1.431876+(-0.615366--0.897192))+0-0-0</f>
        <v>1126.34995</v>
      </c>
      <c r="V120" s="3">
        <f>1397+(614.1-888.7)+(0.71247+(0.313191-0.453237))+0-0-0</f>
        <v>1122.972424</v>
      </c>
      <c r="W120" s="3">
        <f>1392.5+(640.9-916.8)+(-0.710175+(-0.326859--0.467568))+0-0-0</f>
        <v>1116.030534</v>
      </c>
      <c r="X120" s="3">
        <f>1447.8+(616.2-987.4)+(-3.69189+(-1.57131--2.51787))+0-0-0</f>
        <v>1073.8546699999999</v>
      </c>
      <c r="Y120" s="3">
        <f>1419.6+(515.3-901.1)+(-3.61998+(-1.314015--2.297805))+0-0-0</f>
        <v>1031.1638099999998</v>
      </c>
      <c r="Z120" s="3">
        <f>1452.6+(607.8-984)+(1.481652+(0.619956-1.00368))+0-0-0</f>
        <v>1077.4979279999998</v>
      </c>
      <c r="AA120" s="3">
        <f>1505.7+(687.9-970.4)+(-1.535814+(-0.701658--0.989808))+0-0-0</f>
        <v>1221.9523360000001</v>
      </c>
      <c r="AB120" s="3">
        <f>1514.1+(671.2-986.9)+(-0.772191+(-0.342312--0.503319))+0-0-0</f>
        <v>1197.788816</v>
      </c>
      <c r="AC120" s="3">
        <f>1535.1+(636.2-1023.1)+(0+(0-0))+0-0-0</f>
        <v>1148.1999999999998</v>
      </c>
      <c r="AD120">
        <v>1224.5999999999999</v>
      </c>
      <c r="AE120" s="3">
        <f>1500+(681.6-957)+(0+(0-0))+0-0-0</f>
        <v>1224.5999999999999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1518.2+(571.9-1013.9)+(-4.645692+(-1.750014--3.102534))+0-0-0</f>
        <v>1072.9068280000001</v>
      </c>
      <c r="G121" s="3">
        <f>1494.2+(504-1001.7)+(-0.762042+(-0.25704--0.510867))+0-0-0</f>
        <v>995.99178500000005</v>
      </c>
      <c r="H121" s="3">
        <f>1391.7+(525.2-967.4)+(-1.419534+(-0.535704--0.986748))+0-0-0</f>
        <v>948.53151000000014</v>
      </c>
      <c r="I121" s="3">
        <f>1382.4+(569.4-1033)+(-2.115072+(-0.871182--1.58049))+0-0-0</f>
        <v>917.39423600000009</v>
      </c>
      <c r="J121" s="3">
        <f>1373+(542.5-1014.2)+(-3.50115+(-1.383375--2.58621))+0-0-0</f>
        <v>899.00168499999995</v>
      </c>
      <c r="K121" s="3">
        <f>1375+(473.3-973.2)+(-2.805+(-0.965532--1.985328))+0-0-0</f>
        <v>873.31479599999989</v>
      </c>
      <c r="L121" s="3">
        <f>1241.2+(514.7-930.2)+(-1.899036+(-0.787491--1.423206))+0-0-0</f>
        <v>824.43667900000003</v>
      </c>
      <c r="M121" s="3">
        <f>1374.8+(411.5-866.8)+(-0.701148+(-0.209865--0.442068))+0-0-0</f>
        <v>919.03105500000004</v>
      </c>
      <c r="N121" s="3">
        <f>1448.5+(268.6-787.5)+(1.47747+(0.273972-0.80325))+0-0-0</f>
        <v>930.54819199999997</v>
      </c>
      <c r="O121" s="3">
        <f>1438.5+(298-731.5)+(0+(0-0))+0-0-0</f>
        <v>1005</v>
      </c>
      <c r="P121" s="3">
        <f>1444.2+(405.3-759.4)+(1.473084+(0.413406-0.774588))+0-0-0</f>
        <v>1091.2119020000002</v>
      </c>
      <c r="Q121" s="3">
        <f>1495.2+(374.6-731.8)+(1.525104+(0.382092-0.746436))+0-0-0</f>
        <v>1139.16076</v>
      </c>
      <c r="R121" s="3">
        <f>1506.6+(355-742.1)+(0+(0-0))+0-0-0</f>
        <v>1119.5</v>
      </c>
      <c r="S121" s="3">
        <f>1510.3+(383.7-778.2)+(-1.540506+(-0.391374--0.793764))+0-0-0</f>
        <v>1114.6618839999999</v>
      </c>
      <c r="T121" s="3">
        <f>1512.2+(361.8-781.3)+(0.771222+(0.184518-0.398463))+0-0-0</f>
        <v>1093.2572770000002</v>
      </c>
      <c r="U121" s="3">
        <f>1500.5+(352.8-753)+(-2.295765+(-0.539784--1.15209))+0-0-0</f>
        <v>1098.6165409999999</v>
      </c>
      <c r="V121" s="3">
        <f>1495+(374.2-761.1)+(-3.0498+(-0.763368--1.552644))+0-0-0</f>
        <v>1105.8394759999999</v>
      </c>
      <c r="W121" s="3">
        <f>1509.4+(412.5-818.5)+(0+(0-0))+0-0-0</f>
        <v>1103.4000000000001</v>
      </c>
      <c r="X121" s="3">
        <f>1502+(562.9-981.3)+(-1.53204+(-0.574158--1.000926))+0-0-0</f>
        <v>1082.4947279999999</v>
      </c>
      <c r="Y121" s="3">
        <f>1495.6+(489.2-943.2)+(-2.288268+(-0.748476--1.443096))+0-0-0</f>
        <v>1040.0063519999999</v>
      </c>
      <c r="Z121" s="3">
        <f>1510.1+(584.2-1012.7)+(0+(0-0))+0-0-0</f>
        <v>1081.5999999999999</v>
      </c>
      <c r="AA121" s="3">
        <f>1512+(705.9-989.4)+(0+(0-0))+0-0-0</f>
        <v>1228.5</v>
      </c>
      <c r="AB121" s="3">
        <f>1507.2+(723.4-1021)+(-3.074688+(-1.475736--2.08284))+0-0-0</f>
        <v>1207.1324159999999</v>
      </c>
      <c r="AC121" s="3">
        <f>1476.6+(747.7-1086.3)+(0+(0-0))+0-0-0</f>
        <v>1138</v>
      </c>
      <c r="AD121">
        <v>1224.7999999999997</v>
      </c>
      <c r="AE121" s="3">
        <f>1510+(710.7-995.9)+(0+(0-0))+0-0-0</f>
        <v>1224.8000000000002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1494.3+(686.9-1105.6)+(-2.286279+(-1.050957--1.691568))+0-0-0</f>
        <v>1073.954332</v>
      </c>
      <c r="G122" s="3">
        <f>1441.6+(621.7-1073.9)+(-1.470432+(-0.634134--1.095378))+0-0-0</f>
        <v>988.39081199999987</v>
      </c>
      <c r="H122" s="3">
        <f>1415+(623.8-1091.7)+(-2.8866+(-1.272552--2.227068))+0-0-0</f>
        <v>945.16791599999988</v>
      </c>
      <c r="I122" s="3">
        <f>1415.7+(601.2-1087.9)+(-2.166021+(-0.919836--1.664487))+0-0-0</f>
        <v>927.57862999999998</v>
      </c>
      <c r="J122" s="3">
        <f>1410.8+(559.3-1069.4)+(-2.878032+(-1.140972--2.181576))+0-0-0</f>
        <v>898.86257199999977</v>
      </c>
      <c r="K122" s="3">
        <f>1378.9+(571.4-1065.1)+(-2.812956+(-1.165656--2.172804))+0-0-0</f>
        <v>883.3941920000002</v>
      </c>
      <c r="L122" s="3">
        <f>1231.9+(544-929.7)+(-4.397883+(-1.94208--3.319029))+0-0-0</f>
        <v>843.17906600000003</v>
      </c>
      <c r="M122" s="3">
        <f>1204.8+(389-746.9)+(0+(0-0))+0-0-0</f>
        <v>846.9</v>
      </c>
      <c r="N122" s="3">
        <f>1372.5+(295.4-733.1)+(0+(0-0))+0-0-0</f>
        <v>934.8</v>
      </c>
      <c r="O122" s="3">
        <f>1443.1+(337.7-771.6)+(0+(0-0))+0-0-0</f>
        <v>1009.1999999999998</v>
      </c>
      <c r="P122" s="3">
        <f>1460.6+(380.3-774.9)+(1.489812+(0.387906-0.790398))+0-0-0</f>
        <v>1067.0873200000001</v>
      </c>
      <c r="Q122" s="3">
        <f>1525.6+(423-830.1)+(0.778056+(0.21573-0.423351))+0-0-0</f>
        <v>1119.0704350000001</v>
      </c>
      <c r="R122" s="3">
        <f>1515.3+(462.3-848)+(1.545606+(0.471546-0.86496))+0-0-0</f>
        <v>1130.7521919999999</v>
      </c>
      <c r="S122" s="3">
        <f>1506.8+(403.7-811.8)+(-0.768468+(-0.205887--0.414018))+0-0-0</f>
        <v>1098.1396630000002</v>
      </c>
      <c r="T122" s="3">
        <f>1503.1+(280.5-680.5)+(0.766581+(0.143055-0.347055))+0-0-0</f>
        <v>1103.6625809999998</v>
      </c>
      <c r="U122" s="3">
        <f>1473.2+(322-715.2)+(-3.75666+(-0.8211--1.82376))+0-0-0</f>
        <v>1077.2460000000001</v>
      </c>
      <c r="V122" s="3">
        <f>1492.5+(404.5-806.6)+(-3.0447+(-0.82518--1.645464))+0-0-0</f>
        <v>1088.1755840000001</v>
      </c>
      <c r="W122" s="3">
        <f>1431.5+(500.4-839.9)+(-5.84052+(-2.041632--3.426792))+0-0-0</f>
        <v>1087.5446400000001</v>
      </c>
      <c r="X122" s="3">
        <f>1378.8+(531-850.9)+(-4.922316+(-1.89567--3.037713))+0-0-0</f>
        <v>1055.119727</v>
      </c>
      <c r="Y122" s="3">
        <f>1422.8+(464.3-861.1)+(-1.451256+(-0.473586--0.878322))+0-0-0</f>
        <v>1024.9534799999999</v>
      </c>
      <c r="Z122" s="3">
        <f>1459.7+(581.7-953)+(-0.744447+(-0.296667--0.48603))+0-0-0</f>
        <v>1087.844916</v>
      </c>
      <c r="AA122" s="3">
        <f>1525.2+(631.9-932.6)+(-3.111408+(-1.289076--1.902504))+0-0-0</f>
        <v>1222.0020199999999</v>
      </c>
      <c r="AB122" s="3">
        <f>1519.9+(679-996.9)+(-3.875745+(-1.73145--2.542095))+0-0-0</f>
        <v>1198.9349</v>
      </c>
      <c r="AC122" s="3">
        <f>1543.7+(636.8-1029.7)+(0.787287+(0.324768-0.525147))+0-0-0</f>
        <v>1151.3869079999999</v>
      </c>
      <c r="AD122">
        <v>1233.8000000000002</v>
      </c>
      <c r="AE122" s="3">
        <f>1534+(630.9-931.1)+(0+(0-0))+0-0-0</f>
        <v>1233.8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1531.6+(640.2-1098.3)+(-0.781116+(-0.326502--0.560133))+0-0-0</f>
        <v>1072.9525149999999</v>
      </c>
      <c r="G123" s="3">
        <f>1487.1+(625.3-1111.1)+(-1.516842+(-0.637806--1.133322))+0-0-0</f>
        <v>1000.2786739999999</v>
      </c>
      <c r="H123" s="3">
        <f>1436.9+(637.5-1129.2)+(-0.732819+(-0.325125--0.575892))+0-0-0</f>
        <v>944.71794800000009</v>
      </c>
      <c r="I123" s="3">
        <f>1421.7+(592.6-1091.6)+(-4.350402+(-1.813356--3.340296))+0-0-0</f>
        <v>919.87653800000021</v>
      </c>
      <c r="J123" s="3">
        <f>1425.5+(566.2-1090.3)+(-3.635025+(-1.44381--2.780265))+0-0-0</f>
        <v>899.10143000000005</v>
      </c>
      <c r="K123" s="3">
        <f>1412.3+(553.5-1076.9)+(-5.041911+(-1.975995--3.844533))+0-0-0</f>
        <v>885.72662699999989</v>
      </c>
      <c r="L123" s="3">
        <f>1109.7+(670.1-910.2)+(-3.961629+(-2.392257--3.249414))+0-0-0</f>
        <v>866.49552800000004</v>
      </c>
      <c r="M123" s="3">
        <f>1092.4+(662-881.9)+(-0.557124+(-0.33762--0.449769))+0-0-0</f>
        <v>872.05502500000011</v>
      </c>
      <c r="N123" s="3">
        <f>1241.9+(630.9-906.2)+(1.266738+(0.643518-0.924324))+0-0-0</f>
        <v>967.58593200000007</v>
      </c>
      <c r="O123" s="3">
        <f>1332.5+(576.6-876.9)+(1.35915+(0.588132-0.894438))+0-0-0</f>
        <v>1033.2528440000001</v>
      </c>
      <c r="P123" s="3">
        <f>1448.7+(578.6-950.7)+(1.477674+(0.590172-0.969714))+0-0-0</f>
        <v>1077.698132</v>
      </c>
      <c r="Q123" s="3">
        <f>1513.7+(397.2-776.6)+(0+(0-0))+0-0-0</f>
        <v>1134.3</v>
      </c>
      <c r="R123" s="3">
        <f>1485.5+(346.4-748.8)+(-2.272815+(-0.529992--1.145664))+0-0-0</f>
        <v>1081.442857</v>
      </c>
      <c r="S123" s="3">
        <f>1479.3+(412.4-815.6)+(-3.772215+(-1.05162--2.07978))+0-0-0</f>
        <v>1073.355945</v>
      </c>
      <c r="T123" s="3">
        <f>1498.7+(483.7-902.9)+(0+(0-0))+0-0-0</f>
        <v>1079.5</v>
      </c>
      <c r="U123" s="3">
        <f>1481.4+(533.8-927.4)+(-3.022056+(-1.088952--1.891896))+0-0-0</f>
        <v>1085.5808880000002</v>
      </c>
      <c r="V123" s="3">
        <f>1481.9+(608.3-998.2)+(-1.511538+(-0.620466--1.018164))+0-0-0</f>
        <v>1090.88616</v>
      </c>
      <c r="W123" s="3">
        <f>1477.6+(667.2-1049.5)+(-2.260728+(-1.020816--1.605735))+0-0-0</f>
        <v>1093.6241909999999</v>
      </c>
      <c r="X123" s="3">
        <f>1354.3+(658.9-947.3)+(-3.453465+(-1.680195--2.415615))+0-0-0</f>
        <v>1063.181955</v>
      </c>
      <c r="Y123" s="3">
        <f>1267.7+(618.4-858.1)+(-1.293054+(-0.630768--0.875262))+0-0-0</f>
        <v>1026.95144</v>
      </c>
      <c r="Z123" s="3">
        <f>1400.4+(600.3-936.7)+(0+(0-0))+0-0-0</f>
        <v>1064</v>
      </c>
      <c r="AA123" s="3">
        <f>1535+(714.8-1034.6)+(-3.91425+(-1.82274--2.63823))+0-0-0</f>
        <v>1212.10124</v>
      </c>
      <c r="AB123" s="3">
        <f>1540.4+(604.1-966.4)+(-0.785604+(-0.308091--0.492864))+0-0-0</f>
        <v>1177.4991690000002</v>
      </c>
      <c r="AC123" s="3">
        <f>1542.3+(603.1-1012.7)+(-0.786573+(-0.307581--0.516477))+0-0-0</f>
        <v>1132.1223229999998</v>
      </c>
      <c r="AD123">
        <v>1255.4999999999998</v>
      </c>
      <c r="AE123" s="3">
        <f>1564+(745.7-1054.2)+(0+(0-0))+0-0-0</f>
        <v>1255.5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1559.4+(580-1053.4)+(-0.795294+(-0.2958--0.537234))+0-0-0</f>
        <v>1085.44614</v>
      </c>
      <c r="G124" s="3">
        <f>1561.5+(480-1028.5)+(1.59273+(0.4896-1.04907))+0-0-0</f>
        <v>1014.03326</v>
      </c>
      <c r="H124" s="3">
        <f>1561.7+(384.7-982.2)+(1.592934+(0.392394-1.001844))+0-0-0</f>
        <v>965.18348400000002</v>
      </c>
      <c r="I124" s="3">
        <f>1545.1+(361.7-974.5)+(0.788001+(0.184467-0.496995))+0-0-0</f>
        <v>932.77547299999992</v>
      </c>
      <c r="J124" s="3">
        <f>1446.4+(431.8-995.1)+(2.212992+(0.660654-1.522503))+0-0-0</f>
        <v>884.45114300000012</v>
      </c>
      <c r="K124" s="3">
        <f>1275.3+(482.9-934.6)+(-1.300806+(-0.492558--0.953292))+0-0-0</f>
        <v>822.75992799999995</v>
      </c>
      <c r="L124" s="3">
        <f>1245.4+(490.5-862.3)+(1.270308+(0.50031-0.879546))+0-0-0</f>
        <v>874.49107200000014</v>
      </c>
      <c r="M124" s="3">
        <f>1188+(453.2-827.2)+(-0.60588+(-0.231132--0.421872))+0-0-0</f>
        <v>813.58486000000005</v>
      </c>
      <c r="N124" s="3">
        <f>1184.9+(415.9-759.1)+(1.812897+(0.636327-1.161423))+0-0-0</f>
        <v>842.98780099999999</v>
      </c>
      <c r="O124" s="3">
        <f>1263.2+(423.6-762.8)+(0.644232+(0.216036-0.389028))+0-0-0</f>
        <v>924.47124000000008</v>
      </c>
      <c r="P124" s="3">
        <f>1292.8+(453.9-822.9)+(1.977984+(0.694467-1.259037))+0-0-0</f>
        <v>925.21341399999994</v>
      </c>
      <c r="Q124" s="3">
        <f>1321.1+(446.2-782)+(1.347522+(0.455124-0.79764))+0-0-0</f>
        <v>986.30500599999993</v>
      </c>
      <c r="R124" s="3">
        <f>1338.5+(476.3-885.1)+(-0.682635+(-0.242913--0.451401))+0-0-0</f>
        <v>929.22585300000003</v>
      </c>
      <c r="S124" s="3">
        <f>1497.4+(449-926.5)+(-0.763674+(-0.22899--0.472515))+0-0-0</f>
        <v>1019.3798510000001</v>
      </c>
      <c r="T124" s="3">
        <f>1500.3+(437.2-918.7)+(-2.295459+(-0.668916--1.405611))+0-0-0</f>
        <v>1017.241236</v>
      </c>
      <c r="U124" s="3">
        <f>1484.3+(431.6-934.7)+(0.756993+(0.220116-0.476697))+0-0-0</f>
        <v>981.70041199999991</v>
      </c>
      <c r="V124" s="3">
        <f>1474.4+(427.3-926.3)+(-0.751944+(-0.217923--0.472413))+0-0-0</f>
        <v>974.90254600000014</v>
      </c>
      <c r="W124" s="3">
        <f>1468.1+(479.5-961.1)+(-3.743655+(-1.222725--2.450805))+0-0-0</f>
        <v>983.98442499999987</v>
      </c>
      <c r="X124" s="3">
        <f>1470.4+(467.3-972.2)+(-2.249712+(-0.714969--1.487466))+0-0-0</f>
        <v>964.022785</v>
      </c>
      <c r="Y124" s="3">
        <f>1424.6+(407.3-899.4)+(-5.085822+(-1.454061--3.210858))+0-0-0</f>
        <v>929.170975</v>
      </c>
      <c r="Z124" s="3">
        <f>1488.6+(422.7-933.7)+(2.277558+(0.646731-1.428561))+0-0-0</f>
        <v>979.09572799999989</v>
      </c>
      <c r="AA124" s="3">
        <f>1498.3+(344.7-748.7)+(-2.292399+(-0.527391--1.145511))+0-0-0</f>
        <v>1092.6257209999999</v>
      </c>
      <c r="AB124" s="3">
        <f>1507.7+(359.1-770.6)+(-1.537854+(-0.366282--0.786012))+0-0-0</f>
        <v>1095.081876</v>
      </c>
      <c r="AC124" s="3">
        <f>1511.4+(341.9-794.1)+(0.770814+(0.174369-0.404991))+0-0-0</f>
        <v>1059.740192</v>
      </c>
      <c r="AD124">
        <v>1150.7</v>
      </c>
      <c r="AE124" s="3">
        <f>1509+(385.5-743.8)+(0+(0-0))+0-0-0</f>
        <v>1150.7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1503+(416.4-878)+(-1.53306+(-0.424728--0.89556))+0-0-0</f>
        <v>1040.3377720000001</v>
      </c>
      <c r="G125" s="3">
        <f>1517.3+(460.4-1003.5)+(-1.547646+(-0.469608--1.02357))+0-0-0</f>
        <v>973.2063159999999</v>
      </c>
      <c r="H125" s="3">
        <f>1520.9+(487.4-1079.2)+(-2.326977+(-0.745722--1.651176))+0-0-0</f>
        <v>927.67847700000004</v>
      </c>
      <c r="I125" s="3">
        <f>1527.8+(471.5-1078.3)+(-2.337534+(-0.721395--1.649799))+0-0-0</f>
        <v>919.59087</v>
      </c>
      <c r="J125" s="3">
        <f>1527.3+(462.1-1088.5)+(-3.115692+(-0.942684--2.22054))+0-0-0</f>
        <v>899.06216399999994</v>
      </c>
      <c r="K125" s="3">
        <f>1519.8+(476.9-1103.4)+(-3.100392+(-0.972876--2.250936))+0-0-0</f>
        <v>891.47766799999988</v>
      </c>
      <c r="L125" s="3">
        <f>1354.5+(436.7-981.3)+(-0.690795+(-0.222717--0.500463))+0-0-0</f>
        <v>809.48695100000009</v>
      </c>
      <c r="M125" s="3">
        <f>1311+(418.9-886.1)+(0+(0-0))+0-0-0</f>
        <v>843.8</v>
      </c>
      <c r="N125" s="3">
        <f>1463.2+(387.5-899.7)+(1.492464+(0.39525-0.917694))+0-0-0</f>
        <v>951.97001999999998</v>
      </c>
      <c r="O125" s="3">
        <f>1508.4+(404.4-887)+(-0.769284+(-0.206244--0.45237))+0-0-0</f>
        <v>1025.2768420000002</v>
      </c>
      <c r="P125" s="3">
        <f>1488.6+(386.1-804.6)+(-0.759186+(-0.196911--0.410346))+0-0-0</f>
        <v>1069.5542489999998</v>
      </c>
      <c r="Q125" s="3">
        <f>1503.4+(416.2-815.4)+(2.300202+(0.636786-1.247562))+0-0-0</f>
        <v>1105.889426</v>
      </c>
      <c r="R125" s="3">
        <f>1502+(442-819.7)+(0.76602+(0.22542-0.418047))+0-0-0</f>
        <v>1124.8733929999999</v>
      </c>
      <c r="S125" s="3">
        <f>1471.9+(506.6-879.2)+(0+(0-0))+0-0-0</f>
        <v>1099.3000000000002</v>
      </c>
      <c r="T125" s="3">
        <f>1484.5+(472-847.8)+(-1.51419+(-0.48144--0.864756))+0-0-0</f>
        <v>1107.5691260000001</v>
      </c>
      <c r="U125" s="3">
        <f>1474.7+(479-840.2)+(-2.256291+(-0.73287--1.285506))+0-0-0</f>
        <v>1111.796345</v>
      </c>
      <c r="V125" s="3">
        <f>1463+(505.4-854)+(-2.98452+(-1.031016--1.74216))+0-0-0</f>
        <v>1112.126624</v>
      </c>
      <c r="W125" s="3">
        <f>1459.4+(598.4-940.1)+(-2.232882+(-0.915552--1.438353))+0-0-0</f>
        <v>1115.9899190000001</v>
      </c>
      <c r="X125" s="3">
        <f>1450.3+(573.3-943.6)+(-4.437918+(-1.754298--2.887416))+0-0-0</f>
        <v>1076.6952000000001</v>
      </c>
      <c r="Y125" s="3">
        <f>1413.4+(481.1-856.8)+(-0.720834+(-0.245361--0.436968))+0-0-0</f>
        <v>1037.1707730000003</v>
      </c>
      <c r="Z125" s="3">
        <f>1438.6+(503.4-853.3)+(-1.467372+(-0.513468--0.870366))+0-0-0</f>
        <v>1087.5895259999998</v>
      </c>
      <c r="AA125" s="3">
        <f>1488.9+(575.7-842.5)+(0+(0-0))+0-0-0</f>
        <v>1222.1000000000001</v>
      </c>
      <c r="AB125" s="3">
        <f>1481.2+(584-867.8)+(-2.266236+(-0.89352--1.327734))+0-0-0</f>
        <v>1195.567978</v>
      </c>
      <c r="AC125" s="3">
        <f>1495.8+(592.1-951.3)+(0+(0-0))+0-0-0</f>
        <v>1136.5999999999999</v>
      </c>
      <c r="AD125">
        <v>1215.6000000000001</v>
      </c>
      <c r="AE125" s="3">
        <f>1491+(597.9-873.3)+(0+(0-0))+0-0-0</f>
        <v>1215.5999999999999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1491.3+(625.3-1054.8)+(-1.521126+(-0.637806--1.075896))+0-0-0</f>
        <v>1060.716964</v>
      </c>
      <c r="G126" s="3">
        <f>1485.1+(581.5-1063.9)+(-3.787005+(-1.482825--2.712945))+0-0-0</f>
        <v>1000.1431149999999</v>
      </c>
      <c r="H126" s="3">
        <f>1506.6+(502.9-1052.5)+(-1.536732+(-0.512958--1.07355))+0-0-0</f>
        <v>956.0238599999999</v>
      </c>
      <c r="I126" s="3">
        <f>1499.8+(425.9-997.1)+(-3.059592+(-0.868836--2.034084))+0-0-0</f>
        <v>926.70565599999986</v>
      </c>
      <c r="J126" s="3">
        <f>1507.8+(434.7-1028.7)+(-2.306934+(-0.665091--1.573911))+0-0-0</f>
        <v>912.40188599999999</v>
      </c>
      <c r="K126" s="3">
        <f>1502.4+(442.6-1042.6)+(-1.532448+(-0.451452--1.063452))+0-0-0</f>
        <v>901.47955200000024</v>
      </c>
      <c r="L126" s="3">
        <f>1326.4+(494.7-934)+(-3.38232+(-1.261485--2.3817))+0-0-0</f>
        <v>884.83789500000012</v>
      </c>
      <c r="M126" s="3">
        <f>1200.8+(471.5-757.2)+(1.837224+(0.721395-1.158516))+0-0-0</f>
        <v>916.50010299999985</v>
      </c>
      <c r="N126" s="3">
        <f>1317.8+(414.2-780.6)+(0+(0-0))+0-0-0</f>
        <v>951.39999999999986</v>
      </c>
      <c r="O126" s="3">
        <f>1412.9+(463.3-844.1)+(0.720579+(0.236283-0.430491))+0-0-0</f>
        <v>1032.6263710000001</v>
      </c>
      <c r="P126" s="3">
        <f>1499+(491.4-838.7)+(0.76449+(0.250614-0.427737))+0-0-0</f>
        <v>1152.2873669999999</v>
      </c>
      <c r="Q126" s="3">
        <f>1501.6+(500.1-863.7)+(2.297448+(0.765153-1.321461))+0-0-0</f>
        <v>1139.7411400000001</v>
      </c>
      <c r="R126" s="3">
        <f>1486.9+(471.5-873.1)+(0+(0-0))+0-0-0</f>
        <v>1085.3000000000002</v>
      </c>
      <c r="S126" s="3">
        <f>1479.2+(457.5-863.6)+(0+(0-0))+0-0-0</f>
        <v>1073.0999999999999</v>
      </c>
      <c r="T126" s="3">
        <f>1491.6+(437-838.2)+(2.282148+(0.66861-1.282446))+0-0-0</f>
        <v>1092.0683119999999</v>
      </c>
      <c r="U126" s="3">
        <f>1399.1+(452.9-797.5)+(-1.427082+(-0.461958--0.81345))+0-0-0</f>
        <v>1053.4244100000001</v>
      </c>
      <c r="V126" s="3">
        <f>1346.7+(476.8-763.3)+(-2.747268+(-0.972672--1.557132))+0-0-0</f>
        <v>1058.037192</v>
      </c>
      <c r="W126" s="3">
        <f>1343.8+(556.7-833.6)+(-4.112028+(-1.703502--2.550816))+0-0-0</f>
        <v>1063.6352860000002</v>
      </c>
      <c r="X126" s="3">
        <f>1342.9+(614.1-909)+(-4.109274+(-1.879146--2.78154))+0-0-0</f>
        <v>1044.79312</v>
      </c>
      <c r="Y126" s="3">
        <f>1376.2+(417.4-795.6)+(-1.403724+(-0.425748--0.811512))+0-0-0</f>
        <v>996.98203999999998</v>
      </c>
      <c r="Z126" s="3">
        <f>1481.8+(429.4-846.2)+(0+(0-0))+0-0-0</f>
        <v>1065</v>
      </c>
      <c r="AA126" s="3">
        <f>1463.9+(563-848.5)+(-4.479534+(-1.72278--2.59641))+0-0-0</f>
        <v>1174.7940960000001</v>
      </c>
      <c r="AB126" s="3">
        <f>1506.2+(439-779)+(-0.768162+(-0.22389--0.39729))+0-0-0</f>
        <v>1165.6052380000001</v>
      </c>
      <c r="AC126" s="3">
        <f>1480.7+(351.6-744.5)+(-0.755157+(-0.179316--0.379695))+0-0-0</f>
        <v>1087.2452220000002</v>
      </c>
      <c r="AD126">
        <v>1174.3000000000002</v>
      </c>
      <c r="AE126" s="3">
        <f>1493+(555.8-874.5)+(0+(0-0))+0-0-0</f>
        <v>1174.3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1500.2+(519.9-917.9)+(-2.295306+(-0.795447--1.404387))+0-0-0</f>
        <v>1100.5136340000001</v>
      </c>
      <c r="G127" s="3">
        <f>1503.6+(523.3-966.8)+(-2.300508+(-0.800649--1.479204))+0-0-0</f>
        <v>1058.4780469999998</v>
      </c>
      <c r="H127" s="3">
        <f>1508.8+(545.5-1020.9)+(-1.538976+(-0.55641--1.041318))+0-0-0</f>
        <v>1032.3459320000002</v>
      </c>
      <c r="I127" s="3">
        <f>1510.1+(549-1046.6)+(-1.540302+(-0.55998--1.067532))+0-0-0</f>
        <v>1011.46725</v>
      </c>
      <c r="J127" s="3">
        <f>1511.4+(511.7-1036.5)+(1.541628+(0.521934-1.05723))+0-0-0</f>
        <v>987.60633200000018</v>
      </c>
      <c r="K127" s="3">
        <f>1413.8+(450.7-966)+(0.721038+(0.229857-0.49266))+0-0-0</f>
        <v>898.95823499999995</v>
      </c>
      <c r="L127" s="3">
        <f>1315.4+(455.1-894.4)+(-0.670854+(-0.232101--0.456144))+0-0-0</f>
        <v>875.65318900000011</v>
      </c>
      <c r="M127" s="3">
        <f>1315.6+(444.3-869.6)+(-0.670956+(-0.226593--0.443496))+0-0-0</f>
        <v>889.84594699999991</v>
      </c>
      <c r="N127" s="3">
        <f>1401.4+(391-827)+(0+(0-0))+0-0-0</f>
        <v>965.40000000000009</v>
      </c>
      <c r="O127" s="3">
        <f>1435.3+(404-775.1)+(-1.464006+(-0.41208--0.790602))+0-0-0</f>
        <v>1063.1145159999999</v>
      </c>
      <c r="P127" s="3">
        <f>1489.4+(400.1-786.8)+(-0.759594+(-0.204051--0.401268))+0-0-0</f>
        <v>1102.1376230000003</v>
      </c>
      <c r="Q127" s="3">
        <f>1500+(442.9-804.1)+(0+(0-0))+0-0-0</f>
        <v>1138.8</v>
      </c>
      <c r="R127" s="3">
        <f>1526.4+(463.8-835.1)+(-3.113856+(-0.946152--1.703604))+0-0-0</f>
        <v>1152.743596</v>
      </c>
      <c r="S127" s="3">
        <f>1539.2+(499.6-908.3)+(-2.354976+(-0.764388--1.389699))+0-0-0</f>
        <v>1128.7703349999999</v>
      </c>
      <c r="T127" s="3">
        <f>1522.1+(456.2-849.3)+(0.776271+(0.232662-0.433143))+0-0-0</f>
        <v>1129.5757900000001</v>
      </c>
      <c r="U127" s="3">
        <f>1497.5+(448.9-809.4)+(-1.52745+(-0.457878--0.825588))+0-0-0</f>
        <v>1135.8402599999999</v>
      </c>
      <c r="V127" s="3">
        <f>1480.8+(461.5-818.7)+(1.510416+(0.47073-0.835074))+0-0-0</f>
        <v>1124.7460719999999</v>
      </c>
      <c r="W127" s="3">
        <f>1474.1+(499.8-861.1)+(-3.007164+(-1.019592--1.756644))+0-0-0</f>
        <v>1110.529888</v>
      </c>
      <c r="X127" s="3">
        <f>1475+(589.3-978.2)+(-2.25675+(-0.901629--1.496646))+0-0-0</f>
        <v>1084.438267</v>
      </c>
      <c r="Y127" s="3">
        <f>1478.4+(537.3-903.3)+(-1.507968+(-0.548046--0.921366))+0-0-0</f>
        <v>1111.2653520000001</v>
      </c>
      <c r="Z127" s="3">
        <f>1491.9+(579.8-965)+(0+(0-0))+0-0-0</f>
        <v>1106.7</v>
      </c>
      <c r="AA127" s="3">
        <f>1485.8+(589-840.6)+(-1.515516+(-0.60078--0.857412))+0-0-0</f>
        <v>1232.9411159999997</v>
      </c>
      <c r="AB127" s="3">
        <f>1479.2+(604-879.2)+(-1.508784+(-0.61608--0.896784))+0-0-0</f>
        <v>1202.7719199999999</v>
      </c>
      <c r="AC127" s="3">
        <f>1464+(637-945.8)+(-0.74664+(-0.32487--0.482358))+0-0-0</f>
        <v>1154.610848</v>
      </c>
      <c r="AD127">
        <v>1260.3</v>
      </c>
      <c r="AE127" s="3">
        <f>1513+(619.5-872.2)+(0+(0-0))+0-0-0</f>
        <v>1260.3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1503.9+(570-968.7)+(0+(0-0))+0-0-0</f>
        <v>1105.2</v>
      </c>
      <c r="G128" s="3">
        <f>1501.5+(430.8-917.9)+(0.765765+(0.219708-0.468129))+0-0-0</f>
        <v>1014.9173440000001</v>
      </c>
      <c r="H128" s="3">
        <f>1481.2+(366.3-880.6)+(-3.021648+(-0.747252--1.796424))+0-0-0</f>
        <v>964.92752400000006</v>
      </c>
      <c r="I128" s="3">
        <f>1399.9+(395-873.1)+(1.427898+(0.4029-0.890562))+0-0-0</f>
        <v>922.7402360000001</v>
      </c>
      <c r="J128" s="3">
        <f>1382.7+(427.3-882.6)+(-2.820708+(-0.871692--1.800504))+0-0-0</f>
        <v>925.50810400000012</v>
      </c>
      <c r="K128" s="3">
        <f>1384.6+(467.5-939)+(-2.118438+(-0.715275--1.43667))+0-0-0</f>
        <v>911.70295699999986</v>
      </c>
      <c r="L128" s="3">
        <f>1204+(432.2-764.7)+(-3.0702+(-1.10211--1.949985))+0-0-0</f>
        <v>869.27767500000004</v>
      </c>
      <c r="M128" s="3">
        <f>1186.5+(413.8-712.3)+(0+(0-0))+0-0-0</f>
        <v>888</v>
      </c>
      <c r="N128" s="3">
        <f>1338.3+(448.6-838.6)+(3.412665+(1.14393-2.13843))+0-0-0</f>
        <v>950.718165</v>
      </c>
      <c r="O128" s="3">
        <f>1517.3+(416.1-869.1)+(0+(0-0))+0-0-0</f>
        <v>1064.3</v>
      </c>
      <c r="P128" s="3">
        <f>1509.2+(371.9-776.3)+(2.309076+(0.569007-1.187739))+11.1-0-0</f>
        <v>1117.5903440000002</v>
      </c>
      <c r="Q128" s="3">
        <f>1504.9+(406.2-719)+(2.302497+(0.621486-1.10007))+3.5-0-0</f>
        <v>1197.4239130000001</v>
      </c>
      <c r="R128" s="3">
        <f>1509.8+(336.2-641.5)+(1.539996+(0.342924-0.65433))+0-0-0</f>
        <v>1205.7285899999999</v>
      </c>
      <c r="S128" s="3">
        <f>1493.6+(336.1-646.1)+(-0.761736+(-0.171411--0.329511))+0-0-0</f>
        <v>1182.9963639999999</v>
      </c>
      <c r="T128" s="3">
        <f>1495.5+(305.5-630.7)+(0.762705+(0.155805-0.321657))+0-0-0</f>
        <v>1170.896853</v>
      </c>
      <c r="U128" s="3">
        <f>1501+(345.8-675.5)+(0+(0-0))+0-0-0</f>
        <v>1171.3</v>
      </c>
      <c r="V128" s="3">
        <f>1488.2+(417.8-706.3)+(-3.79491+(-1.06539--1.801065))+0-0-0</f>
        <v>1196.6407650000001</v>
      </c>
      <c r="W128" s="3">
        <f>1483.1+(500.6-786.7)+(-3.781905+(-1.27653--2.006085))+0-0-0</f>
        <v>1193.9476500000001</v>
      </c>
      <c r="X128" s="3">
        <f>1486.7+(536.8-852.4)+(-2.274651+(-0.821304--1.304172))+0-0-0</f>
        <v>1169.308217</v>
      </c>
      <c r="Y128" s="3">
        <f>1488.3+(410.8-770.9)+(0.759033+(0.209508-0.393159))+0-0-0</f>
        <v>1128.775382</v>
      </c>
      <c r="Z128" s="3">
        <f>1485.2+(494.9-812.3)+(0+(0-0))+0-0-0</f>
        <v>1167.8000000000002</v>
      </c>
      <c r="AA128" s="3">
        <f>1483.6+(445.4-645.3)+(-1.513272+(-0.454308--0.658206))+0-0-0</f>
        <v>1282.3906259999999</v>
      </c>
      <c r="AB128" s="3">
        <f>1482+(457.6-686.4)+(-2.26746+(-0.700128--1.050192))+0-0-0</f>
        <v>1251.282604</v>
      </c>
      <c r="AC128" s="3">
        <f>1482.9+(495.8-766.3)+(-0.756279+(-0.252858--0.390813))+0-0-0</f>
        <v>1211.7816760000001</v>
      </c>
      <c r="AD128">
        <v>1254.3999999999999</v>
      </c>
      <c r="AE128" s="3">
        <f>1475+(441.1-661.7)+(0+(0-0))+0-0-0</f>
        <v>1254.4000000000001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1485.2+(516.2-858.2)+(-2.272356+(-0.789786--1.313046))+0-0-0</f>
        <v>1141.450904</v>
      </c>
      <c r="G129" s="3">
        <f>1494.6+(428.1-876)+(0+(0-0))+0-0-0</f>
        <v>1046.6999999999998</v>
      </c>
      <c r="H129" s="3">
        <f>1499+(451.6-952.5)+(-1.52898+(-0.460632--0.97155))+0-0-0</f>
        <v>997.08193800000004</v>
      </c>
      <c r="I129" s="3">
        <f>1506.2+(430.9-973.6)+(1.536324+(0.439518-0.993072))+0-0-0</f>
        <v>964.48276999999996</v>
      </c>
      <c r="J129" s="3">
        <f>1512.6+(483.7-1048.5)+(0+(0-0))+0-0-0</f>
        <v>947.8</v>
      </c>
      <c r="K129" s="3">
        <f>1514.5+(516.8-1082.8)+(-2.317185+(-0.790704--1.656684))+0-0-0</f>
        <v>947.04879500000004</v>
      </c>
      <c r="L129" s="3">
        <f>1397.9+(504.1-946.4)+(-2.138787+(-0.771273--1.447992))+0-0-0</f>
        <v>954.13793200000009</v>
      </c>
      <c r="M129" s="3">
        <f>1284.3+(530.9-862.2)+(1.964979+(0.812277-1.319166))+0-0-0</f>
        <v>954.45808999999986</v>
      </c>
      <c r="N129" s="3">
        <f>1459.1+(477.4-924.1)+(0.744141+(0.243474-0.471291))+0-0-0</f>
        <v>1012.9163239999999</v>
      </c>
      <c r="O129" s="3">
        <f>1531.4+(545.5-956.5)+(-0.781014+(-0.278205--0.487815))+0-0-0</f>
        <v>1119.8285960000001</v>
      </c>
      <c r="P129" s="3">
        <f>1513.4+(520.6-848.7)+(1.543668+(0.531012-0.865674))+0-0-0</f>
        <v>1186.5090060000002</v>
      </c>
      <c r="Q129" s="3">
        <f>1510.2+(486.1-779.4)+(3.85101+(1.239555-1.98747))+0-0-0</f>
        <v>1220.003095</v>
      </c>
      <c r="R129" s="3">
        <f>1473.1+(499.7-777.1)+(-0.751281+(-0.254847--0.396321))+0-0-0</f>
        <v>1195.0901929999998</v>
      </c>
      <c r="S129" s="3">
        <f>1487.2+(532-830.5)+(0.758472+(0.27132-0.423555))+0-0-0</f>
        <v>1189.306237</v>
      </c>
      <c r="T129" s="3">
        <f>1478.6+(486.6-782.3)+(0+(0-0))+0-0-0</f>
        <v>1182.9000000000001</v>
      </c>
      <c r="U129" s="3">
        <f>1486.4+(452.1-756.7)+(-0.758064+(-0.230571--0.385917))+0-0-0</f>
        <v>1181.1972820000001</v>
      </c>
      <c r="V129" s="3">
        <f>1495+(464.8-768.7)+(-1.5249+(-0.474096--0.784074))+0-0-0</f>
        <v>1189.885078</v>
      </c>
      <c r="W129" s="3">
        <f>1478.8+(546.6-840.8)+(-2.262564+(-0.836298--1.286424))+0-0-0</f>
        <v>1182.787562</v>
      </c>
      <c r="X129" s="3">
        <f>1442.6+(551.2-824.8)+(-5.150082+(-1.967784--2.944536))+0-0-0</f>
        <v>1164.8266699999999</v>
      </c>
      <c r="Y129" s="3">
        <f>1326.6+(417.3-632.8)+(-0.676566+(-0.212823--0.322728))+0-0-0</f>
        <v>1110.5333389999998</v>
      </c>
      <c r="Z129" s="3">
        <f>1261.3+(540.2-620.3)+(-1.929789+(-0.826506--0.949059))+0-0-0</f>
        <v>1179.3927639999999</v>
      </c>
      <c r="AA129" s="3">
        <f>1431.6+(544.2-654.7)+(-5.110812+(-1.942794--2.337279))+0-0-0</f>
        <v>1316.3836729999998</v>
      </c>
      <c r="AB129" s="3">
        <f>1419.8+(506.9-659.6)+(-2.172294+(-0.775557--1.009188))+0-0-0</f>
        <v>1265.161337</v>
      </c>
      <c r="AC129" s="3">
        <f>1423.1+(521.4-728.2)+(-1.451562+(-0.531828--0.742764))+0-0-0</f>
        <v>1215.0593739999997</v>
      </c>
      <c r="AD129">
        <v>1312.8000000000002</v>
      </c>
      <c r="AE129" s="3">
        <f>1444+(540.7-671.9)+(0+(0-0))+0-0-0</f>
        <v>1312.8000000000002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1431.2+(518.7-795.7)+(-0.729912+(-0.264537--0.405807))+0-0-0</f>
        <v>1153.6113580000001</v>
      </c>
      <c r="G130" s="3">
        <f>1432.7+(580.2-925.7)+(-2.192031+(-0.887706--1.416321))+0-0-0</f>
        <v>1085.5365839999999</v>
      </c>
      <c r="H130" s="3">
        <f>1437.3+(540.7-937.3)+(-1.466046+(-0.551514--0.956046))+0-0-0</f>
        <v>1039.6384860000001</v>
      </c>
      <c r="I130" s="3">
        <f>1447.1+(442.9-884.2)+(1.476042+(0.451758-0.901884))+0-0-0</f>
        <v>1006.8259159999999</v>
      </c>
      <c r="J130" s="3">
        <f>1376.4+(227.1-630.5)+(-1.403928+(-0.231642--0.64311))+0-0-0</f>
        <v>972.00754000000006</v>
      </c>
      <c r="K130" s="3">
        <f>1164.4+(402.4-620.6)+(0.593844+(0.205224-0.316506))+0-0-0</f>
        <v>946.68256200000008</v>
      </c>
      <c r="L130" s="3">
        <f>1128.9+(419-600)+(-3.454434+(-1.28214--1.836))+0-0-0</f>
        <v>944.99942600000008</v>
      </c>
      <c r="M130" s="3">
        <f>1168.8+(385.1-573.5)+(0+(0-0))+0-0-0</f>
        <v>980.4</v>
      </c>
      <c r="N130" s="3">
        <f>1385.3+(271.8-633.6)+(0+(0-0))+0-0-0</f>
        <v>1023.5</v>
      </c>
      <c r="O130" s="3">
        <f>1490.1+(242.9-622.6)+(-0.759951+(-0.123879--0.317526))+0-0-0</f>
        <v>1109.8336959999999</v>
      </c>
      <c r="P130" s="3">
        <f>1463.9+(240.7-567.9)+(-0.746589+(-0.122757--0.289629))+0-0-0</f>
        <v>1136.120283</v>
      </c>
      <c r="Q130" s="3">
        <f>1448.1+(273.4-548.1)+(-1.477062+(-0.278868--0.559062))+0-0-0</f>
        <v>1172.2031319999999</v>
      </c>
      <c r="R130" s="3">
        <f>1417.3+(302.5-552.5)+(-2.891292+(-0.6171--1.1271))+0-0-0</f>
        <v>1164.9187079999999</v>
      </c>
      <c r="S130" s="3">
        <f>1419+(358.7-631.1)+(-3.61845+(-0.914685--1.609305))+0-0-0</f>
        <v>1143.67617</v>
      </c>
      <c r="T130" s="3">
        <f>1413.8+(324-594.6)+(-2.163114+(-0.49572--0.909738))+0-0-0</f>
        <v>1141.4509039999998</v>
      </c>
      <c r="U130" s="3">
        <f>1413.7+(311.4-576.1)+(0+(0-0))+0-0-0</f>
        <v>1149</v>
      </c>
      <c r="V130" s="3">
        <f>1417.3+(302.7-562.6)+(-0.722823+(-0.154377--0.286926))+0-0-0</f>
        <v>1156.809726</v>
      </c>
      <c r="W130" s="3">
        <f>1405.1+(356.1-585.6)+(-5.732808+(-1.452888--2.389248))+0-0-0</f>
        <v>1170.8035519999999</v>
      </c>
      <c r="X130" s="3">
        <f>1405.6+(308.6-572)+(-4.301136+(-0.944316--1.75032))+0-0-0</f>
        <v>1138.7048679999998</v>
      </c>
      <c r="Y130" s="3">
        <f>1386.8+(372.7-651.9)+(-3.53634+(-0.950385--1.662345))+0-0-0</f>
        <v>1104.7756199999999</v>
      </c>
      <c r="Z130" s="3">
        <f>1389.3+(331.9-573.6)+(0.708543+(0.169269-0.292536))+0-0-0</f>
        <v>1148.1852759999999</v>
      </c>
      <c r="AA130" s="3">
        <f>1399.4+(467.7-594.8)+(-3.56847+(-1.192635--1.51674))+0-0-0</f>
        <v>1269.0556350000002</v>
      </c>
      <c r="AB130" s="3">
        <f>1401.8+(431.9-589.6)+(-3.57459+(-1.101345--1.50348))+0-0-0</f>
        <v>1240.927545</v>
      </c>
      <c r="AC130" s="3">
        <f>1404.5+(379.3-602.4)+(-0.716295+(-0.193443--0.307224))+0-0-0</f>
        <v>1180.7974860000002</v>
      </c>
      <c r="AD130">
        <v>1241.5999999999999</v>
      </c>
      <c r="AE130" s="3">
        <f>1370+(480.5-608.9)+(0+(0-0))+0-0-0</f>
        <v>1241.5999999999999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1373.1+(331.7-597.5)+(-0.700281+(-0.169167--0.304725))+0-0-0</f>
        <v>1106.735277</v>
      </c>
      <c r="G131" s="3">
        <f>1302.9+(348.7-613.4)+(-1.328958+(-0.355674--0.625668))+0-0-0</f>
        <v>1037.141036</v>
      </c>
      <c r="H131" s="3">
        <f>1266.5+(347.3-618.9)+(0+(0-0))+0-0-0</f>
        <v>994.90000000000009</v>
      </c>
      <c r="I131" s="3">
        <f>1217.5+(343.7-600)+(-2.4837+(-0.701148--1.224))+0-0-0</f>
        <v>959.23915199999999</v>
      </c>
      <c r="J131" s="3">
        <f>1237.1+(303-594.8)+(-3.154605+(-0.77265--1.51674))+0-0-0</f>
        <v>942.88948499999992</v>
      </c>
      <c r="K131" s="3">
        <f>1239.3+(304.3-620.3)+(-3.160215+(-0.775965--1.581765))+0-0-0</f>
        <v>920.94558499999994</v>
      </c>
      <c r="L131" s="3">
        <f>1086.1+(369.2-570.6)+(-2.769555+(-0.94146--1.45503))+0-0-0</f>
        <v>882.44401499999981</v>
      </c>
      <c r="M131" s="3">
        <f>1025.9+(383.3-554.9)+(-1.569627+(-0.586449--0.848997))+0-0-0</f>
        <v>852.99292100000014</v>
      </c>
      <c r="N131" s="3">
        <f>1098.6+(344.7-544.5)+(-1.120572+(-0.351594--0.55539))+0-0-0</f>
        <v>897.88322399999993</v>
      </c>
      <c r="O131" s="3">
        <f>1098.4+(423.2-552.7)+(-0.560184+(-0.215832--0.281877))+0-0-0</f>
        <v>968.40586100000007</v>
      </c>
      <c r="P131" s="3">
        <f>1093.2+(494-588)+(0.557532+(0.25194-0.29988))+0-0-0</f>
        <v>999.70959200000004</v>
      </c>
      <c r="Q131" s="3">
        <f>1075.3+(527.5-585.5)+(0+(0-0))+0-0-0</f>
        <v>1017.3</v>
      </c>
      <c r="R131" s="3">
        <f>1160.9+(453.7-563)+(0.592059+(0.231387-0.28713))+0-0-0</f>
        <v>1052.1363160000001</v>
      </c>
      <c r="S131" s="3">
        <f>1284+(347.2-593.1)+(1.96452+(0.531216-0.907443))+0-0-0</f>
        <v>1039.6882929999999</v>
      </c>
      <c r="T131" s="3">
        <f>1395.3+(261.2-615.6)+(-0.711603+(-0.133212--0.313956))+0-0-0</f>
        <v>1040.3691409999999</v>
      </c>
      <c r="U131" s="3">
        <f>1370.4+(280.3-604.9)+(-2.795616+(-0.571812--1.233996))+0-0-0</f>
        <v>1043.6665680000001</v>
      </c>
      <c r="V131" s="3">
        <f>1331.3+(306.9-593.8)+(-0.678963+(-0.156519--0.302838))+0-0-0</f>
        <v>1043.8673560000002</v>
      </c>
      <c r="W131" s="3">
        <f>1298.6+(358.5-599.2)+(-3.31143+(-0.914175--1.52796))+0-0-0</f>
        <v>1055.2023549999999</v>
      </c>
      <c r="X131" s="3">
        <f>1119.3+(482.2-566.3)+(-1.141686+(-0.491844--0.577626))+0-0-0</f>
        <v>1034.144096</v>
      </c>
      <c r="Y131" s="3">
        <f>1093.7+(456.5-546.2)+(-2.231148+(-0.93126--1.114248))+0-0-0</f>
        <v>1001.9518399999999</v>
      </c>
      <c r="Z131" s="3">
        <f>1251.1+(205.9-415.2)+(-2.552244+(-0.420036--0.847008))+0-0-0</f>
        <v>1039.674728</v>
      </c>
      <c r="AA131" s="3">
        <f>1455.2+(286.7-561.6)+(-2.226456+(-0.438651--0.859248))+0-0-0</f>
        <v>1178.4941409999999</v>
      </c>
      <c r="AB131" s="3">
        <f>1461.8+(360.3-643)+(-2.236554+(-0.551259--0.98379))+0-0-0</f>
        <v>1177.295977</v>
      </c>
      <c r="AC131" s="3">
        <f>1461.1+(467.2-785.9)+(0+(0-0))+0-0-0</f>
        <v>1142.3999999999999</v>
      </c>
      <c r="AD131">
        <v>1170.5999999999999</v>
      </c>
      <c r="AE131" s="3">
        <f>1472+(302.3-603.7)+(0+(0-0))+0-0-0</f>
        <v>1170.5999999999999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1445.6+(538.1-894.9)+(-2.949024+(-1.097724--1.825596))+0-0-0</f>
        <v>1086.5788479999999</v>
      </c>
      <c r="G132" s="3">
        <f>1444+(533.2-952.8)+(-2.20932+(-0.815796--1.457784))+0-0-0</f>
        <v>1022.8326680000001</v>
      </c>
      <c r="H132" s="3">
        <f>1453.1+(470.9-946)+(0+(0-0))+0-0-0</f>
        <v>977.99999999999989</v>
      </c>
      <c r="I132" s="3">
        <f>1443.9+(479.8-977.2)+(-2.945556+(-0.978792--1.993488))+0-0-0</f>
        <v>944.56913999999995</v>
      </c>
      <c r="J132" s="3">
        <f>1442.7+(459.9-969.1)+(-2.943108+(-0.938196--1.976964))+0-0-0</f>
        <v>931.59565999999995</v>
      </c>
      <c r="K132" s="3">
        <f>1370.1+(511.5-954)+(-3.493755+(-1.304325--2.4327))+0-0-0</f>
        <v>925.23461999999995</v>
      </c>
      <c r="L132" s="3">
        <f>1120.5+(596.9-818.7)+(-2.857275+(-1.522095--2.087685))+0-0-0</f>
        <v>896.4083149999999</v>
      </c>
      <c r="M132" s="3">
        <f>1095.4+(538.3-721.4)+(1.675962+(0.823599-1.103742))+0-0-0</f>
        <v>913.69581900000003</v>
      </c>
      <c r="N132" s="3">
        <f>1216.7+(448.6-678.8)+(-0.620517+(-0.228786--0.346188))+0-0-0</f>
        <v>985.99688500000013</v>
      </c>
      <c r="O132" s="3">
        <f>1417.7+(433.3-788.9)+(0+(0-0))+0-0-0</f>
        <v>1062.1000000000001</v>
      </c>
      <c r="P132" s="3">
        <f>1502.8+(486.6-846.6)+(1.532856+(0.496332-0.863532))+0-0-0</f>
        <v>1143.9656559999999</v>
      </c>
      <c r="Q132" s="3">
        <f>1524.4+(443.2-763.9)+(1.554888+(0.452064-0.779178))+0-0-0</f>
        <v>1204.927774</v>
      </c>
      <c r="R132" s="3">
        <f>1515.6+(514.9-834.6)+(1.545912+(0.525198-0.851292))+0-0-0</f>
        <v>1197.1198179999999</v>
      </c>
      <c r="S132" s="3">
        <f>1570.7+(557.7-992.1)+(-0.801057+(-0.284427--0.505971))+0-0-0</f>
        <v>1135.7204870000003</v>
      </c>
      <c r="T132" s="3">
        <f>1580.9+(539.6-958.9)+(-1.612518+(-0.550392--0.978078))+0-0-0</f>
        <v>1160.4151680000002</v>
      </c>
      <c r="U132" s="3">
        <f>1585.5+(535.7-958.4)+(2.425815+(0.819621-1.466352))+0-0-0</f>
        <v>1164.5790840000002</v>
      </c>
      <c r="V132" s="3">
        <f>1582.7+(528-934.8)+(0+(0-0))+0-0-0</f>
        <v>1175.9000000000001</v>
      </c>
      <c r="W132" s="3">
        <f>1581.5+(541.8-944)+(0.806565+(0.276318-0.48144))+0-0-0</f>
        <v>1179.901443</v>
      </c>
      <c r="X132" s="3">
        <f>1573.9+(492.7-923.7)+(-2.408067+(-0.753831--1.413261))+0-0-0</f>
        <v>1141.1513630000002</v>
      </c>
      <c r="Y132" s="3">
        <f>1402.8+(543.1-834.3)+(-1.430856+(-0.553962--0.850986))+0-0-0</f>
        <v>1110.4661679999999</v>
      </c>
      <c r="Z132" s="3">
        <f>1474.3+(543.8-861.2)+(0.751893+(0.277338-0.439212))+0-0-0</f>
        <v>1157.4900189999998</v>
      </c>
      <c r="AA132" s="3">
        <f>1504.4+(506.5-737.6)+(-1.534488+(-0.51663--0.752352))+0-0-0</f>
        <v>1272.0012340000003</v>
      </c>
      <c r="AB132" s="3">
        <f>1522+(523.2-808.1)+(-1.55244+(-0.533664--0.824262))+0-0-0</f>
        <v>1235.838158</v>
      </c>
      <c r="AC132" s="3">
        <f>1528.7+(573.5-906.9)+(1.559274+(0.58497-0.925038))+0-0-0</f>
        <v>1196.5192060000002</v>
      </c>
      <c r="AD132">
        <v>1311.8999999999999</v>
      </c>
      <c r="AE132" s="3">
        <f>1533+(506.1-727.2)+(0+(0-0))+0-0-0</f>
        <v>1311.9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1506.9+(560.8-943.7)+(-3.842595+(-1.43004--2.406435))+0-0-0</f>
        <v>1121.1338000000001</v>
      </c>
      <c r="G133" s="3">
        <f>1519+(622.9-1070.9)+(-2.32407+(-0.953037--1.638477))+0-0-0</f>
        <v>1069.3613700000001</v>
      </c>
      <c r="H133" s="3">
        <f>1508.5+(614.3-1103.7)+(-3.846675+(-1.566465--2.814435))+0-0-0</f>
        <v>1016.5012949999999</v>
      </c>
      <c r="I133" s="3">
        <f>1513.5+(644.3-1163.6)+(-3.08754+(-1.314372--2.373744))+0-0-0</f>
        <v>992.17183199999999</v>
      </c>
      <c r="J133" s="3">
        <f>1516.8+(560.5-1111.1)+(-2.320704+(-0.857565--1.699983))+0-0-0</f>
        <v>964.72171400000002</v>
      </c>
      <c r="K133" s="3">
        <f>1518.2+(554.1-1124.5)+(-2.322846+(-0.847773--1.720485))+0-0-0</f>
        <v>946.34986600000002</v>
      </c>
      <c r="L133" s="3">
        <f>1465.6+(454.4-1005.5)+(-1.494912+(-0.463488--1.02561))+0-0-0</f>
        <v>913.56720999999993</v>
      </c>
      <c r="M133" s="3">
        <f>1367.7+(483.5-953)+(1.395054+(0.49317-0.97206))+0-0-0</f>
        <v>899.11616400000003</v>
      </c>
      <c r="N133" s="3">
        <f>1459+(471.4-918)+(-2.97636+(-0.961656--1.87272))+0-0-0</f>
        <v>1010.334704</v>
      </c>
      <c r="O133" s="3">
        <f>1505.3+(557.1-883.4)+(0.767703+(0.284121-0.450534))+0-0-0</f>
        <v>1179.6012900000001</v>
      </c>
      <c r="P133" s="3">
        <f>1531.6+(616.9-941.2)+(1.562232+(0.629238-0.960024))+0-0-0</f>
        <v>1208.5314459999997</v>
      </c>
      <c r="Q133" s="3">
        <f>1525.8+(573.2-937.5)+(2.334474+(0.876996-1.434375))+0-0-0</f>
        <v>1163.2770949999999</v>
      </c>
      <c r="R133" s="3">
        <f>1512.5+(534-855.8)+(0.771375+(0.27234-0.436458))+0-0-0</f>
        <v>1191.3072569999999</v>
      </c>
      <c r="S133" s="3">
        <f>1507.5+(432.6-769.1)+(-0.768825+(-0.220626--0.392241))+0-0-0</f>
        <v>1170.4027900000001</v>
      </c>
      <c r="T133" s="3">
        <f>1507.5+(366-706.5)+(0+(0-0))+0-0-0</f>
        <v>1167</v>
      </c>
      <c r="U133" s="3">
        <f>1498.9+(330.4-657.4)+(-2.293317+(-0.505512--1.005822))+0-0-0</f>
        <v>1170.1069930000001</v>
      </c>
      <c r="V133" s="3">
        <f>1499.8+(321.3-655.1)+(-1.529796+(-0.327726--0.668202))+0-0-0</f>
        <v>1164.81068</v>
      </c>
      <c r="W133" s="3">
        <f>1489.7+(391.5-724.7)+(-0.759747+(-0.199665--0.369597))+0-0-0</f>
        <v>1155.910185</v>
      </c>
      <c r="X133" s="3">
        <f>1487.6+(484.1-820.7)+(-1.517352+(-0.493782--0.837114))+0-0-0</f>
        <v>1149.8259800000001</v>
      </c>
      <c r="Y133" s="3">
        <f>1493.8+(484.1-864.2)+(1.523676+(0.493782-0.881484))+0-0-0</f>
        <v>1114.8359739999999</v>
      </c>
      <c r="Z133" s="3">
        <f>1505.7+(593.1-926.7)+(-0.767907+(-0.302481--0.472617))+0-0-0</f>
        <v>1171.5022289999999</v>
      </c>
      <c r="AA133" s="3">
        <f>1504+(563.6-782.1)+(-3.8352+(-1.43718--1.994355))+0-0-0</f>
        <v>1282.2219749999999</v>
      </c>
      <c r="AB133" s="3">
        <f>1518.3+(547.3-811.3)+(0.774333+(0.279123-0.413763))+0-0-0</f>
        <v>1254.939693</v>
      </c>
      <c r="AC133" s="3">
        <f>1513.7+(558.6-873.8)+(-0.771987+(-0.284886--0.445638))+0-0-0</f>
        <v>1197.8887649999999</v>
      </c>
      <c r="AD133">
        <v>1277.4000000000001</v>
      </c>
      <c r="AE133" s="3">
        <f>1513+(567.4-803)+(0+(0-0))+0-0-0</f>
        <v>1277.4000000000001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1552.3+(633.6-1004.4)+(-3.958365+(-1.61568--2.56122))+0-0-0</f>
        <v>1178.487175</v>
      </c>
      <c r="G134" s="3">
        <f>1553.5+(561.8-1004)+(-3.16914+(-1.146072--2.04816))+0-0-0</f>
        <v>1109.032948</v>
      </c>
      <c r="H134" s="3">
        <f>1552.3+(525.6-1016.6)+(-5.541711+(-1.876392--3.629262))+0-0-0</f>
        <v>1057.5111589999999</v>
      </c>
      <c r="I134" s="3">
        <f>1556+(486.6-1011.7)+(-0.79356+(-0.248166--0.515967))+0-0-0</f>
        <v>1030.374241</v>
      </c>
      <c r="J134" s="3">
        <f>1556.6+(480.4-997.2)+(-0.793866+(-0.245004--0.508572))+0-0-0</f>
        <v>1039.2697019999998</v>
      </c>
      <c r="K134" s="3">
        <f>1504.9+(487.1-918.8)+(-0.767499+(-0.248421--0.468588))+0-0-0</f>
        <v>1072.6526680000002</v>
      </c>
      <c r="L134" s="3">
        <f>1273+(533.6-895.9)+(-1.29846+(-0.544272--0.913818))+0-0-0</f>
        <v>909.77108600000008</v>
      </c>
      <c r="M134" s="3">
        <f>1332.4+(437.6-849)+(2.038572+(0.669528-1.29897))+0-0-0</f>
        <v>922.40913000000012</v>
      </c>
      <c r="N134" s="3">
        <f>1542.9+(490.5-963.7)+(-0.786879+(-0.250155--0.491487))+0-0-0</f>
        <v>1069.1544530000001</v>
      </c>
      <c r="O134" s="3">
        <f>1512+(566.2-987.1)+(2.31336+(0.866286-1.510263))+0-0-0</f>
        <v>1092.7693829999998</v>
      </c>
      <c r="P134" s="3">
        <f>1496.1+(471.9-831.1)+(1.526022+(0.481338-0.847722))+0-0-0</f>
        <v>1138.0596379999999</v>
      </c>
      <c r="Q134" s="3">
        <f>1506.9+(400.7-713.2)+(1.537038+(0.408714-0.727464))+0-0-0</f>
        <v>1195.6182880000001</v>
      </c>
      <c r="R134" s="3">
        <f>1496.5+(419.9-704.4)+(0+(0-0))+0-0-0</f>
        <v>1212</v>
      </c>
      <c r="S134" s="3">
        <f>1487.1+(397.8-694.3)+(-0.758421+(-0.202878--0.354093))+0-0-0</f>
        <v>1189.992794</v>
      </c>
      <c r="T134" s="3">
        <f>1480.5+(409.8-699.7)+(-1.51011+(-0.417996--0.713694))+0-0-0</f>
        <v>1189.3855879999999</v>
      </c>
      <c r="U134" s="3">
        <f>1466+(437.1-700.7)+(-2.99064+(-0.891684--1.429428))+0-0-0</f>
        <v>1199.9471040000001</v>
      </c>
      <c r="V134" s="3">
        <f>1471+(415.1-687.4)+(-0.75021+(-0.211701--0.350574))+0-0-0</f>
        <v>1198.088663</v>
      </c>
      <c r="W134" s="3">
        <f>1455.9+(396.9-656.5)+(-1.485018+(-0.404838--0.66963))+0-0-0</f>
        <v>1195.0797740000003</v>
      </c>
      <c r="X134" s="3">
        <f>1451.7+(497.2-769.5)+(-2.221101+(-0.760716--1.177335))+0-0-0</f>
        <v>1177.5955180000001</v>
      </c>
      <c r="Y134" s="3">
        <f>1462.9+(431.1-755.6)+(1.492158+(0.439722-0.770712))+0-0-0</f>
        <v>1139.5611680000002</v>
      </c>
      <c r="Z134" s="3">
        <f>1493.3+(494-776.1)+(0.761583+(0.25194-0.395811))+0-0-0</f>
        <v>1211.8177119999998</v>
      </c>
      <c r="AA134" s="3">
        <f>1502.6+(469.6-658)+(-0.766326+(-0.239496--0.33558))+0-0-0</f>
        <v>1313.5297579999999</v>
      </c>
      <c r="AB134" s="3">
        <f>1506.8+(483.5-708.4)+(-1.536936+(-0.49317--0.722568))+0-0-0</f>
        <v>1280.5924620000001</v>
      </c>
      <c r="AC134" s="3">
        <f>1517.5+(450.9-752.1)+(0.773925+(0.229959-0.383571))+0-0-0</f>
        <v>1216.9203129999999</v>
      </c>
      <c r="AD134">
        <v>1312.2</v>
      </c>
      <c r="AE134" s="3">
        <f>1495+(445.9-628.7)+(0+(0-0))+0-0-0</f>
        <v>1312.1999999999998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1571.2+(480.8-857.5)+(0.801312+(0.245208-0.437325))+0-0-0</f>
        <v>1195.109195</v>
      </c>
      <c r="G135" s="3">
        <f>1566.5+(493.3-938.7)+(-3.19566+(-1.006332--1.914948))+0-0-0</f>
        <v>1118.812956</v>
      </c>
      <c r="H135" s="3">
        <f>1565.4+(337.8-865.9)+(-0.798354+(-0.172278--0.441609))+0-0-0</f>
        <v>1036.7709770000001</v>
      </c>
      <c r="I135" s="3">
        <f>1598.7+(273.6-892.6)+(2.446011+(0.418608-1.365678))+0-0-0</f>
        <v>981.19894099999999</v>
      </c>
      <c r="J135" s="3">
        <f>1636.6+(235-897.5)+(-0.834666+(-0.11985--0.457725))+0-0-0</f>
        <v>973.60320899999988</v>
      </c>
      <c r="K135" s="3">
        <f>1643.4+(275-907.8)+(0+(0-0))+0-0-0</f>
        <v>1010.6000000000001</v>
      </c>
      <c r="L135" s="3">
        <f>1555.9+(241.1-851.3)+(-1.587018+(-0.245922--0.868326))+0-0-0</f>
        <v>944.73538600000018</v>
      </c>
      <c r="M135" s="3">
        <f>1544.3+(245.4-847.5)+(0+(0-0))+0-0-0</f>
        <v>942.19999999999993</v>
      </c>
      <c r="N135" s="3">
        <f>1558+(269.9-793.8)+(0.79458+(0.137649-0.404838))+0-0-0</f>
        <v>1034.627391</v>
      </c>
      <c r="O135" s="3">
        <f>1617.4+(316.6-823.4)+(3.299496+(0.645864-1.679736))+0-0-0</f>
        <v>1112.865624</v>
      </c>
      <c r="P135" s="3">
        <f>1570.6+(321.5-727.7)+(1.602012+(0.32793-0.742254))+0-0-0</f>
        <v>1165.5876879999998</v>
      </c>
      <c r="Q135" s="3">
        <f>1555.4+(302.3-651.1)+(1.586508+(0.308346-0.664122))+0-0-0</f>
        <v>1207.8307320000001</v>
      </c>
      <c r="R135" s="3">
        <f>1538.6+(311-632)+(-2.354058+(-0.47583--0.96696))+0-0-0</f>
        <v>1215.7370719999999</v>
      </c>
      <c r="S135" s="3">
        <f>1534.4+(272.5-621.7)+(-1.565088+(-0.27795--0.634134))+0-0-0</f>
        <v>1183.991096</v>
      </c>
      <c r="T135" s="3">
        <f>1530.4+(224-565)+(0+(0-0))+0-0-0</f>
        <v>1189.4000000000001</v>
      </c>
      <c r="U135" s="3">
        <f>1532.6+(223.8-562.6)+(-1.563252+(-0.228276--0.573852))+0-0-0</f>
        <v>1192.582324</v>
      </c>
      <c r="V135" s="3">
        <f>1536.6+(248-596.8)+(2.350998+(0.37944-0.913104))+0-0-0</f>
        <v>1189.617334</v>
      </c>
      <c r="W135" s="3">
        <f>1526.6+(291.3-618.3)+(-2.335698+(-0.445689--0.945999))+0-0-0</f>
        <v>1197.7646119999999</v>
      </c>
      <c r="X135" s="3">
        <f>1515.2+(337.9-677.9)+(-3.091008+(-0.689316--1.382916))+0-0-0</f>
        <v>1172.802592</v>
      </c>
      <c r="Y135" s="3">
        <f>1526.4+(368.2-730.1)+(0.778464+(0.187782-0.372351))+0-0-0</f>
        <v>1165.093895</v>
      </c>
      <c r="Z135" s="3">
        <f>1535.2+(393.1-688)+(0.782952+(0.200481-0.35088))+0-0-0</f>
        <v>1240.9325530000001</v>
      </c>
      <c r="AA135" s="3">
        <f>1543+(417.9-625.6)+(-3.93465+(-1.065645--1.59528))+0-0-0</f>
        <v>1331.8949849999999</v>
      </c>
      <c r="AB135" s="3">
        <f>1568.5+(375.4-645.2)+(-1.59987+(-0.382908--0.658104))+0-0-0</f>
        <v>1297.3753259999999</v>
      </c>
      <c r="AC135" s="3">
        <f>1578.8+(401.5-720.6)+(-0.805188+(-0.204765--0.367506))+0-0-0</f>
        <v>1259.0575529999999</v>
      </c>
      <c r="AD135">
        <v>1322.8</v>
      </c>
      <c r="AE135" s="3">
        <f>1543+(405.1-625.3)+(0+(0-0))+0-0-0</f>
        <v>1322.8000000000002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1588.1+(498.1-905)+(-0.809931+(-0.254031--0.46155))+0-0-0</f>
        <v>1180.5975879999999</v>
      </c>
      <c r="G136" s="3">
        <f>1585.4+(561.8-1038.3)+(-4.04277+(-1.43259--2.647665))+0-0-0</f>
        <v>1106.0723050000001</v>
      </c>
      <c r="H136" s="3">
        <f>1585.2+(530.9-1055.3)+(-1.616904+(-0.541518--1.076406))+0-0-0</f>
        <v>1059.7179840000001</v>
      </c>
      <c r="I136" s="3">
        <f>1589.9+(564.7-1132.3)+(0.810849+(0.287997-0.577473))+0-0-0</f>
        <v>1022.8213730000002</v>
      </c>
      <c r="J136" s="3">
        <f>1590.4+(550.1-1112.9)+(-0.811104+(-0.280551--0.567579))+0-0-0</f>
        <v>1027.075924</v>
      </c>
      <c r="K136" s="3">
        <f>1538.5+(514.6-1055.1)+(-0.784635+(-0.262446--0.538101))+0-0-0</f>
        <v>997.49102000000016</v>
      </c>
      <c r="L136" s="3">
        <f>1572.6+(413.5-882.4)+(-2.406078+(-0.632655--1.350072))+0-0-0</f>
        <v>1102.0113389999999</v>
      </c>
      <c r="M136" s="3">
        <f>1575.2+(343-794.9)+(0.803352+(0.17493-0.405399))+0-0-0</f>
        <v>1123.8728830000002</v>
      </c>
      <c r="N136" s="3">
        <f>1577.2+(440.4-890.5)+(0+(0-0))+0-0-0</f>
        <v>1127.0999999999999</v>
      </c>
      <c r="O136" s="3">
        <f>1572.2+(478.9-883.8)+(2.405466+(0.732717-1.352214))+0-0-0</f>
        <v>1169.0859690000002</v>
      </c>
      <c r="P136" s="3">
        <f>1567.7+(377.2-758.6)+(1.599054+(0.384744-0.773772))+0-0-0</f>
        <v>1187.5100259999999</v>
      </c>
      <c r="Q136" s="3">
        <f>1558.8+(327.1-661.7)+(2.384964+(0.500463-1.012401))+0-0-0</f>
        <v>1226.0730259999998</v>
      </c>
      <c r="R136" s="3">
        <f>1535.3+(279.1-593.2)+(-0.783003+(-0.142341--0.302532))+0-0-0</f>
        <v>1220.5771879999998</v>
      </c>
      <c r="S136" s="3">
        <f>1516.5+(299.6-604.7)+(-0.773415+(-0.152796--0.308397))+0-0-0</f>
        <v>1210.7821860000001</v>
      </c>
      <c r="T136" s="3">
        <f>1507+(295-594)+(0.76857+(0.15045-0.30294))+0-0-0</f>
        <v>1208.61608</v>
      </c>
      <c r="U136" s="3">
        <f>1506.6+(346.1-637.5)+(0.768366+(0.176511-0.325125))+0-0-0</f>
        <v>1215.8197519999999</v>
      </c>
      <c r="V136" s="3">
        <f>1504.3+(375.9-658.8)+(-0.767193+(-0.191709--0.335988))+0-0-0</f>
        <v>1220.7770860000001</v>
      </c>
      <c r="W136" s="3">
        <f>1506.9+(398.4-673.8)+(-2.305557+(-0.609552--1.030914))+0-0-0</f>
        <v>1229.6158049999999</v>
      </c>
      <c r="X136" s="3">
        <f>1495.6+(463.1-750.9)+(-0.762756+(-0.236181--0.382959))+0-0-0</f>
        <v>1207.1840219999999</v>
      </c>
      <c r="Y136" s="3">
        <f>1482.9+(500.4-801.9)+(-1.512558+(-0.510408--0.817938))+0-0-0</f>
        <v>1180.194972</v>
      </c>
      <c r="Z136" s="3">
        <f>1487.7+(522.1-757.4)+(-1.517454+(-0.532542--0.772548))+0-0-0</f>
        <v>1251.122552</v>
      </c>
      <c r="AA136" s="3">
        <f>1494.1+(532.6-664.6)+(-2.285973+(-0.814878--1.016838))+0-0-0</f>
        <v>1360.015987</v>
      </c>
      <c r="AB136" s="3">
        <f>1494.8+(609.6-765.2)+(0.762348+(0.310896-0.390252))+0-0-0</f>
        <v>1339.8829919999998</v>
      </c>
      <c r="AC136" s="3">
        <f>1491.4+(572.7-788.9)+(-0.760614+(-0.292077--0.402339))+0-0-0</f>
        <v>1274.5496480000002</v>
      </c>
      <c r="AD136">
        <v>1317.3000000000002</v>
      </c>
      <c r="AE136" s="3">
        <f>1478+(517.9-678.6)+(0+(0-0))+0-0-0</f>
        <v>1317.3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1484.9+(553.8-846.7)+(0+(0-0))+0-0-0</f>
        <v>1192</v>
      </c>
      <c r="G137" s="3">
        <f>1485.8+(546.4-925.7)+(-0.757758+(-0.278664--0.472107))+0-0-0</f>
        <v>1105.9356849999999</v>
      </c>
      <c r="H137" s="3">
        <f>1496.5+(498.9-941.8)+(-1.52643+(-0.508878--0.960636))+0-0-0</f>
        <v>1052.5253279999999</v>
      </c>
      <c r="I137" s="3">
        <f>1504.4+(473.4-947.2)+(-1.534488+(-0.482868--0.966144))+0-0-0</f>
        <v>1029.5487879999998</v>
      </c>
      <c r="J137" s="3">
        <f>1506+(470-943.6)+(-3.07224+(-0.9588--1.924944))+0-0-0</f>
        <v>1030.2939040000001</v>
      </c>
      <c r="K137" s="3">
        <f>1421.7+(452.3-872.1)+(-2.900268+(-0.922692--1.779084))+0-0-0</f>
        <v>999.85612400000014</v>
      </c>
      <c r="L137" s="3">
        <f>1193.9+(412-687.4)+(-2.435556+(-0.84048--1.402296))+0-0-0</f>
        <v>916.62626000000012</v>
      </c>
      <c r="M137" s="3">
        <f>1180.2+(414.6-635.8)+(3.00951+(1.05723-1.62129))+0-0-0</f>
        <v>961.44545000000016</v>
      </c>
      <c r="N137" s="3">
        <f>1448+(422.1-722.2)+(1.47696+(0.430542-0.736644))+0-0-0</f>
        <v>1149.070858</v>
      </c>
      <c r="O137" s="3">
        <f>1481.5+(437.1-791.9)+(1.51113+(0.445842-0.807738))+0-0-0</f>
        <v>1127.849234</v>
      </c>
      <c r="P137" s="3">
        <f>1445.7+(342.1-628.2)+(2.211921+(0.523413-0.961146))+0-0-0</f>
        <v>1161.374188</v>
      </c>
      <c r="Q137" s="3">
        <f>1502.6+(275.7-574.8)+(3.065304+(0.562428-1.172592))+0-0-0</f>
        <v>1205.95514</v>
      </c>
      <c r="R137" s="3">
        <f>1550.1+(226.6-556.9)+(1.581102+(0.231132-0.568038))+0-0-0</f>
        <v>1221.0441960000001</v>
      </c>
      <c r="S137" s="3">
        <f>1545.5+(197.3-543.3)+(-0.788205+(-0.100623--0.277083))+0-0-0</f>
        <v>1198.8882550000001</v>
      </c>
      <c r="T137" s="3">
        <f>1557.1+(164.3-523.5)+(-0.794121+(-0.083793--0.266985))+0-0-0</f>
        <v>1197.2890709999999</v>
      </c>
      <c r="U137" s="3">
        <f>1554.1+(150-512.5)+(-3.170364+(-0.306--1.0455))+0-0-0</f>
        <v>1189.169136</v>
      </c>
      <c r="V137" s="3">
        <f>1552.1+(205.9-558.7)+(0.791571+(0.105009-0.284937))+0-0-0</f>
        <v>1199.9116429999997</v>
      </c>
      <c r="W137" s="3">
        <f>1546.1+(241.8-591.6)+(-2.365533+(-0.369954--0.905148))+0-0-0</f>
        <v>1194.4696609999999</v>
      </c>
      <c r="X137" s="3">
        <f>1479.5+(310.7-655.8)+(-1.50909+(-0.316914--0.668916))+0-0-0</f>
        <v>1133.2429120000002</v>
      </c>
      <c r="Y137" s="3">
        <f>1475.8+(343.9-683.7)+(0+(0-0))+0-0-0</f>
        <v>1136</v>
      </c>
      <c r="Z137" s="3">
        <f>1473.6+(427.6-690.2)+(-1.503072+(-0.436152--0.704004))+0-0-0</f>
        <v>1209.76478</v>
      </c>
      <c r="AA137" s="3">
        <f>1472.2+(551.6-715.8)+(-3.75411+(-1.40658--1.82529))+0-0-0</f>
        <v>1304.6646000000001</v>
      </c>
      <c r="AB137" s="3">
        <f>1500.9+(544.4-763.4)+(-1.530918+(-0.555288--0.778668))+0-0-0</f>
        <v>1280.5924620000001</v>
      </c>
      <c r="AC137" s="3">
        <f>1498.1+(553-823.2)+(-1.528062+(-0.56406--0.839664))+0-0-0</f>
        <v>1226.6475419999999</v>
      </c>
      <c r="AD137">
        <v>1298.8</v>
      </c>
      <c r="AE137" s="3">
        <f>1514+(484.1-691.3)+(0+(0-0))+0-0-0</f>
        <v>1306.8000000000002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1495.1+(544.1-869.5)+(-0.762501+(-0.277491--0.443445))+0-0-0</f>
        <v>1169.1034529999997</v>
      </c>
      <c r="G138" s="3">
        <f>1492.3+(523.4-929.6)+(-1.522146+(-0.533868--0.948192))+0-0-0</f>
        <v>1084.992178</v>
      </c>
      <c r="H138" s="3">
        <f>1484.6+(494.7-945)+(-4.542876+(-1.513782--2.8917))+0-0-0</f>
        <v>1031.1350419999999</v>
      </c>
      <c r="I138" s="3">
        <f>1461.8+(486.6-936.7)+(1.491036+(0.496332-0.955434))+0-0-0</f>
        <v>1012.7319339999999</v>
      </c>
      <c r="J138" s="3">
        <f>1418.7+(518.9-926)+(-0.723537+(-0.264639--0.47226))+0-0-0</f>
        <v>1011.0840840000001</v>
      </c>
      <c r="K138" s="3">
        <f>1402.7+(529.5-987.4)+(-0.715377+(-0.270045--0.503574))+0-0-0</f>
        <v>944.31815200000005</v>
      </c>
      <c r="L138" s="3">
        <f>1233.3+(565.4-860.9)+(-2.515932+(-1.153416--1.756236))+0-0-0</f>
        <v>935.886888</v>
      </c>
      <c r="M138" s="3">
        <f>1262.2+(517.5-859.8)+(-2.574888+(-1.0557--1.753992))+0-0-0</f>
        <v>918.02340400000014</v>
      </c>
      <c r="N138" s="3">
        <f>1277.3+(476.9-802.3)+(0+(0-0))+0-0-0</f>
        <v>951.9</v>
      </c>
      <c r="O138" s="3">
        <f>1433+(447.5-900.3)+(0+(0-0))+0-0-0</f>
        <v>980.2</v>
      </c>
      <c r="P138" s="3">
        <f>1508.1+(463.3-909.2)+(-1.538262+(-0.472566--0.927384))+0-0-0</f>
        <v>1061.1165559999997</v>
      </c>
      <c r="Q138" s="3">
        <f>1485.6+(539.6-933.5)+(1.515312+(0.550392-0.95217))+0-0-0</f>
        <v>1092.8135339999999</v>
      </c>
      <c r="R138" s="3">
        <f>1464+(555.2-892.4)+(-1.49328+(-0.566304--0.910248))+0-0-0</f>
        <v>1125.6506640000002</v>
      </c>
      <c r="S138" s="3">
        <f>1466.4+(498.3-843.8)+(0.747864+(0.254133-0.430338))+0-0-0</f>
        <v>1121.471659</v>
      </c>
      <c r="T138" s="3">
        <f>1466.4+(484.5-857.7)+(-0.747864+(-0.247095--0.437427))+0-0-0</f>
        <v>1092.642468</v>
      </c>
      <c r="U138" s="3">
        <f>1466.7+(484.1-849.5)+(-0.748017+(-0.246891--0.433245))+0-0-0</f>
        <v>1100.7383370000002</v>
      </c>
      <c r="V138" s="3">
        <f>1467.3+(510.6-877.9)+(0+(0-0))+0-0-0</f>
        <v>1100</v>
      </c>
      <c r="W138" s="3">
        <f>1461.3+(555.6-893.5)+(-2.981052+(-1.133424--1.82274))+0-0-0</f>
        <v>1121.1082640000002</v>
      </c>
      <c r="X138" s="3">
        <f>1458.2+(501.9-859.4)+(-1.487364+(-0.511938--0.876588))+0-0-0</f>
        <v>1099.577286</v>
      </c>
      <c r="Y138" s="3">
        <f>1445.6+(482.1-860)+(-1.474512+(-0.491742--0.8772))+0-0-0</f>
        <v>1066.6109459999998</v>
      </c>
      <c r="Z138" s="3">
        <f>1448.4+(615.8-895)+(-1.477368+(-0.628116--0.9129))+0-0-0</f>
        <v>1168.0074160000001</v>
      </c>
      <c r="AA138" s="3">
        <f>1447.4+(644.8-827.2)+(-2.214522+(-0.986544--1.265616))+0-0-0</f>
        <v>1263.0645500000001</v>
      </c>
      <c r="AB138" s="3">
        <f>1460.7+(631.4-851.6)+(-1.489914+(-0.644028--0.868632))+0-0-0</f>
        <v>1239.23469</v>
      </c>
      <c r="AC138" s="3">
        <f>1473.2+(606-875)+(0.751332+(0.30906-0.44625))+0-0-0</f>
        <v>1204.8141419999999</v>
      </c>
      <c r="AD138">
        <v>1266.6000000000001</v>
      </c>
      <c r="AE138" s="3">
        <f>1469+(664.8-867.2)+(0+(0-0))+0-0-0</f>
        <v>1266.5999999999999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1476.3+(602.2-922.1)+(0+(0-0))+0-0-0</f>
        <v>1156.4000000000001</v>
      </c>
      <c r="G139" s="3">
        <f>1469.2+(620-1001)+(-0.749292+(-0.3162--0.51051))+0-0-0</f>
        <v>1087.6450179999999</v>
      </c>
      <c r="H139" s="3">
        <f>1458.3+(627.3-1043.3)+(-0.743733+(-0.319923--0.532083))+0-0-0</f>
        <v>1041.768427</v>
      </c>
      <c r="I139" s="3">
        <f>1425.4+(619.4-1033.3)+(-1.453908+(-0.631788--1.053966))+0-0-0</f>
        <v>1010.4682700000001</v>
      </c>
      <c r="J139" s="3">
        <f>1425.8+(589-992)+(-2.181474+(-0.90117--1.51776))+0-0-0</f>
        <v>1021.2351159999999</v>
      </c>
      <c r="K139" s="3">
        <f>1381.6+(538.6-926.9)+(-2.113848+(-0.824058--1.418157))+0-0-0</f>
        <v>991.78025099999991</v>
      </c>
      <c r="L139" s="3">
        <f>1206.9+(483.1-761.8)+(-0.615519+(-0.246381--0.388518))+0-0-0</f>
        <v>927.72661800000014</v>
      </c>
      <c r="M139" s="3">
        <f>1126.6+(478.3-692.8)+(1.149132+(0.487866-0.706656))+0-0-0</f>
        <v>913.03034199999991</v>
      </c>
      <c r="N139" s="3">
        <f>1450.4+(375.4-827.1)+(2.219112+(0.574362-1.265463))+0-0-0</f>
        <v>1000.228011</v>
      </c>
      <c r="O139" s="3">
        <f>1524.9+(476.4-920.7)+(0.777699+(0.242964-0.469557))+0-0-0</f>
        <v>1081.1511059999998</v>
      </c>
      <c r="P139" s="3">
        <f>1486.7+(468.2-820.2)+(0+(0-0))+0-0-0</f>
        <v>1134.7</v>
      </c>
      <c r="Q139" s="3">
        <f>1486.4+(480-790.2)+(0.758064+(0.2448-0.403002))+0-0-0</f>
        <v>1176.7998620000001</v>
      </c>
      <c r="R139" s="3">
        <f>1512.2+(515-836.8)+(0.771222+(0.26265-0.426768))+0-0-0</f>
        <v>1191.007104</v>
      </c>
      <c r="S139" s="3">
        <f>1504.2+(521.4-862.7)+(-0.767142+(-0.265914--0.439977))+0-0-0</f>
        <v>1162.3069210000001</v>
      </c>
      <c r="T139" s="3">
        <f>1521+(487.9-846.1)+(0.77571+(0.248829-0.431511))+0-0-0</f>
        <v>1163.393028</v>
      </c>
      <c r="U139" s="3">
        <f>1515.2+(521.5-859.1)+(-2.318256+(-0.797895--1.314423))+0-0-0</f>
        <v>1175.798272</v>
      </c>
      <c r="V139" s="3">
        <f>1531.3+(566.5-910.4)+(-0.780963+(-0.288915--0.464304))+0-0-0</f>
        <v>1186.7944260000002</v>
      </c>
      <c r="W139" s="3">
        <f>1532.4+(584.3-923.3)+(-3.126096+(-1.191972--1.883532))+0-0-0</f>
        <v>1190.9654640000001</v>
      </c>
      <c r="X139" s="3">
        <f>1491.1+(582.7-903.7)+(0+(0-0))+0-0-0</f>
        <v>1170.0999999999999</v>
      </c>
      <c r="Y139" s="3">
        <f>1487+(571.7-924.3)+(2.27511+(0.874701-1.414179))+0-0-0</f>
        <v>1136.135632</v>
      </c>
      <c r="Z139" s="3">
        <f>1564.7+(581.8-935.5)+(0.797997+(0.296718-0.477105))+0-0-0</f>
        <v>1211.61761</v>
      </c>
      <c r="AA139" s="3">
        <f>1551.4+(625-880.2)+(-2.373642+(-0.95625--1.346706))+0-0-0</f>
        <v>1294.2168140000001</v>
      </c>
      <c r="AB139" s="3">
        <f>1538.2+(669.5-939.6)+(2.353446+(1.024335-1.437588))+0-0-0</f>
        <v>1270.0401929999998</v>
      </c>
      <c r="AC139" s="3">
        <f>1540.8+(633.2-952.6)+(-0.785808+(-0.322932--0.485826))+0-0-0</f>
        <v>1220.7770860000001</v>
      </c>
      <c r="AD139">
        <v>1283.0999999999999</v>
      </c>
      <c r="AE139" s="3">
        <f>1565+(587.6-869.5)+(0+(0-0))+0-0-0</f>
        <v>1283.0999999999999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1515.7+(576.3-947.5)+(0.773007+(0.293913-0.483225))+0-0-0</f>
        <v>1145.083695</v>
      </c>
      <c r="G140" s="3">
        <f>1382.3+(640.2-951.2)+(0+(0-0))+0-0-0</f>
        <v>1071.3</v>
      </c>
      <c r="H140" s="3">
        <f>1305.5+(633-926.1)+(1.997415+(0.96849-1.416933))+0-0-0</f>
        <v>1013.948972</v>
      </c>
      <c r="I140" s="3">
        <f>1308.7+(649.2-965.2)+(0+(0-0))+0-0-0</f>
        <v>992.7</v>
      </c>
      <c r="J140" s="3">
        <f>1306.5+(645.4-948.5)+(0.666315+(0.329154-0.483735))+0-0-0</f>
        <v>1003.911734</v>
      </c>
      <c r="K140" s="3">
        <f>1290.3+(587.5-912.9)+(-0.658053+(-0.299625--0.465579))+0-0-0</f>
        <v>964.40790099999992</v>
      </c>
      <c r="L140" s="3">
        <f>1315.5+(532.9-927.2)+(-4.696335+(-1.902453--3.310104))+0-0-0</f>
        <v>917.91131599999994</v>
      </c>
      <c r="M140" s="3">
        <f>1359.6+(481.3-933.4)+(0.693396+(0.245463-0.476034))+0-0-0</f>
        <v>907.96282499999995</v>
      </c>
      <c r="N140" s="3">
        <f>1504.7+(451.6-970.2)+(1.534794+(0.460632-0.989604))+0-0-0</f>
        <v>987.10582199999999</v>
      </c>
      <c r="O140" s="3">
        <f>1546+(530.7-1007.3)+(0.78846+(0.270657-0.513723))+0-0-0</f>
        <v>1069.9453940000001</v>
      </c>
      <c r="P140" s="3">
        <f>1588+(596.8-1041.9)+(1.61976+(0.608736-1.062738))+0-0-0</f>
        <v>1144.065758</v>
      </c>
      <c r="Q140" s="3">
        <f>1582.3+(613.6-1007.8)+(-0.806973+(-0.312936--0.513978))+0-0-0</f>
        <v>1187.4940689999999</v>
      </c>
      <c r="R140" s="3">
        <f>1555.8+(602.7-976.4)+(0+(0-0))+0-0-0</f>
        <v>1182.0999999999999</v>
      </c>
      <c r="S140" s="3">
        <f>1546+(623.3-1002.2)+(-3.9423+(-1.589415--2.55561))+0-0-0</f>
        <v>1164.1238949999999</v>
      </c>
      <c r="T140" s="3">
        <f>1539.8+(588-974.8)+(-1.570596+(-0.59976--0.994296))+0-0-0</f>
        <v>1151.82394</v>
      </c>
      <c r="U140" s="3">
        <f>1537.1+(583.9-987.7)+(-0.783921+(-0.297789--0.503727))+0-0-0</f>
        <v>1132.7220169999998</v>
      </c>
      <c r="V140" s="3">
        <f>1533+(577.1-955.2)+(2.34549+(0.882963-1.461456))+0-0-0</f>
        <v>1156.666997</v>
      </c>
      <c r="W140" s="3">
        <f>1525.3+(623.5-984.4)+(-0.777903+(-0.317985--0.502044))+0-0-0</f>
        <v>1163.8061560000001</v>
      </c>
      <c r="X140" s="3">
        <f>1539.2+(451.2-873.9)+(-3.139968+(-0.920448--1.782756))+4.7-0-0</f>
        <v>1118.9223400000001</v>
      </c>
      <c r="Y140" s="3">
        <f>1555.7+(491.6-931.7)+(-2.380221+(-0.752148--1.425501))+0-0-0</f>
        <v>1113.8931319999999</v>
      </c>
      <c r="Z140" s="3">
        <f>1568.5+(546.3-906.2)+(-0.799935+(-0.278613--0.462162))+0-0-0</f>
        <v>1207.983614</v>
      </c>
      <c r="AA140" s="3">
        <f>1590.4+(617-909.2)+(-3.244416+(-1.25868--1.854768))+0-0-0</f>
        <v>1295.5516720000001</v>
      </c>
      <c r="AB140" s="3">
        <f>1571.3+(555.6-865.9)+(-1.602726+(-0.566712--0.883218))+0-0-0</f>
        <v>1259.71378</v>
      </c>
      <c r="AC140" s="3">
        <f>1571.5+(544.6-921.9)+(0+(0-0))+0-0-0</f>
        <v>1194.2</v>
      </c>
      <c r="AD140">
        <v>1279.5999999999999</v>
      </c>
      <c r="AE140" s="3">
        <f>1570+(598.6-889)+(0+(0-0))+0-0-0</f>
        <v>1279.5999999999999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1511.5+(575.9-932.8)+(-4.62519+(-1.762254--2.854368))+0-0-0</f>
        <v>1151.066924</v>
      </c>
      <c r="G141" s="3">
        <f>1516.5+(583.2-1032.5)+(-3.867075+(-1.48716--2.632875))+0-0-0</f>
        <v>1064.47864</v>
      </c>
      <c r="H141" s="3">
        <f>1534.7+(541.4-1061.3)+(-0.782697+(-0.276114--0.541263))+0-0-0</f>
        <v>1014.282452</v>
      </c>
      <c r="I141" s="3">
        <f>1535.2+(545.2-1089.7)+(0.782952+(0.278052-0.555747))+0-0-0</f>
        <v>991.20525700000007</v>
      </c>
      <c r="J141" s="3">
        <f>1520.2+(529.9-1048)+(-1.550604+(-0.540498--1.06896))+0-0-0</f>
        <v>1001.077858</v>
      </c>
      <c r="K141" s="3">
        <f>1522.3+(491.4-1050.1)+(-2.329119+(-0.751842--1.606653))+0-0-0</f>
        <v>962.12569200000007</v>
      </c>
      <c r="L141" s="3">
        <f>1461.4+(455-986.3)+(-4.471884+(-1.3923--3.018078))+0-0-0</f>
        <v>927.25389400000017</v>
      </c>
      <c r="M141" s="3">
        <f>1303.6+(452.5-873.6)+(-1.329672+(-0.46155--0.891072))+0-0-0</f>
        <v>881.59984999999983</v>
      </c>
      <c r="N141" s="3">
        <f>1474+(490.2-971.5)+(1.50348+(0.500004-0.99093))+0-0-0</f>
        <v>993.71255400000007</v>
      </c>
      <c r="O141" s="3">
        <f>1515.7+(561.2-1001.6)+(-2.319021+(-0.858636--1.532448))+0-0-0</f>
        <v>1073.6547910000002</v>
      </c>
      <c r="P141" s="3">
        <f>1547.9+(519.5-940.3)+(0.789429+(0.264945-0.479553))+0-0-0</f>
        <v>1127.6748210000001</v>
      </c>
      <c r="Q141" s="3">
        <f>1506.7+(521.2-747.2)+(0+(0-0))+0-0-0</f>
        <v>1280.7</v>
      </c>
      <c r="R141" s="3">
        <f>1502.3+(457.7-810.9)+(-0.766173+(-0.233427--0.413559))+0-0-0</f>
        <v>1148.5139589999999</v>
      </c>
      <c r="S141" s="3">
        <f>1500.9+(499.8-879.2)+(-1.530918+(-0.509796--0.896784))+0-0-0</f>
        <v>1120.35607</v>
      </c>
      <c r="T141" s="3">
        <f>1490.5+(510.1-875.9)+(0.760155+(0.260151-0.446709))+0-0-0</f>
        <v>1125.2735970000001</v>
      </c>
      <c r="U141" s="3">
        <f>1484.3+(525.8-875.5)+(-2.270979+(-0.804474--1.339515))+0-0-0</f>
        <v>1132.8640619999999</v>
      </c>
      <c r="V141" s="3">
        <f>1471.1+(496.4-842)+(-3.751305+(-1.26582--2.1471))+0-0-0</f>
        <v>1122.6299750000001</v>
      </c>
      <c r="W141" s="3">
        <f>1472.2+(500.5-834.8)+(-3.003288+(-1.02102--1.702992))+0-0-0</f>
        <v>1135.5786840000001</v>
      </c>
      <c r="X141" s="3">
        <f>1465.6+(503.8-859.8)+(-4.484736+(-1.541628--2.630988))+0-0-0</f>
        <v>1106.204624</v>
      </c>
      <c r="Y141" s="3">
        <f>1432.7+(404.9-775.2)+(-1.461354+(-0.412998--0.790704))+0-0-0</f>
        <v>1061.3163520000001</v>
      </c>
      <c r="Z141" s="3">
        <f>1447.3+(549-825.7)+(0+(0-0))+0-0-0</f>
        <v>1170.5999999999999</v>
      </c>
      <c r="AA141" s="3">
        <f>1485.7+(597.4-813.7)+(-5.303949+(-2.132718--2.904909))+0-0-0</f>
        <v>1264.868242</v>
      </c>
      <c r="AB141" s="3">
        <f>1497+(553.7-812.5)+(-2.29041+(-0.847161--1.243125))+0-0-0</f>
        <v>1236.305554</v>
      </c>
      <c r="AC141" s="3">
        <f>1495.3+(591.4-896.3)+(-1.525206+(-0.603228--0.914226))+0-0-0</f>
        <v>1189.185792</v>
      </c>
      <c r="AD141">
        <v>1305.8000000000002</v>
      </c>
      <c r="AE141" s="3">
        <f>1480+(676.3-850.5)+(0+(0-0))+0-0-0</f>
        <v>1305.8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1512.3+(642-977.9)+(-1.542546+(-0.65484--0.997458))+0-0-0</f>
        <v>1175.2000720000001</v>
      </c>
      <c r="G142" s="3">
        <f>1513.4+(624.4-1042)+(-0.771834+(-0.318444--0.53142))+0-0-0</f>
        <v>1095.2411420000001</v>
      </c>
      <c r="H142" s="3">
        <f>1514.8+(595.7-1069.8)+(0+(0-0))+0-0-0</f>
        <v>1040.7</v>
      </c>
      <c r="I142" s="3">
        <f>1511.3+(525.1-1023.9)+(-2.312289+(-0.803403--1.566567))+0-0-0</f>
        <v>1010.950875</v>
      </c>
      <c r="J142" s="3">
        <f>1519.4+(487.2-997.8)+(2.324682+(0.745416-1.526634))+0-0-0</f>
        <v>1010.3434640000002</v>
      </c>
      <c r="K142" s="3">
        <f>1503.8+(495.5-1028)+(-3.067752+(-1.01082--2.09712))+0-0-0</f>
        <v>969.31854799999996</v>
      </c>
      <c r="L142" s="3">
        <f>1481.2+(486.7-1027.7)+(-2.266236+(-0.744651--1.572381))+0-0-0</f>
        <v>938.76149400000008</v>
      </c>
      <c r="M142" s="3">
        <f>1456.9+(503.2-1022.6)+(0.743019+(0.256632-0.521526))+0-0-0</f>
        <v>937.97812499999998</v>
      </c>
      <c r="N142" s="3">
        <f>1512.2+(478.8-990.3)+(0.771222+(0.244188-0.505053))+0-0-0</f>
        <v>1001.210357</v>
      </c>
      <c r="O142" s="3">
        <f>1554.3+(552.6-1004.4)+(1.585386+(0.563652-1.024488))+0-0-0</f>
        <v>1103.62455</v>
      </c>
      <c r="P142" s="3">
        <f>1510.7+(575.1-950.3)+(0+(0-0))+0-0-0</f>
        <v>1135.5</v>
      </c>
      <c r="Q142" s="3">
        <f>1542.4+(641.2-963.4)+(1.573248+(0.654024-0.982668))+0-0-0</f>
        <v>1221.4446040000003</v>
      </c>
      <c r="R142" s="3">
        <f>1514.6+(629.7-926.8)+(0.772446+(0.321147-0.472668))+0-0-0</f>
        <v>1218.1209249999999</v>
      </c>
      <c r="S142" s="3">
        <f>1499.7+(663.4-966.6)+(-2.294541+(-1.015002--1.478898))+0-0-0</f>
        <v>1194.669355</v>
      </c>
      <c r="T142" s="3">
        <f>1497.2+(672.8-968.7)+(0+(0-0))+0-0-0</f>
        <v>1201.3</v>
      </c>
      <c r="U142" s="3">
        <f>1482.9+(702.9-977.9)+(-2.268837+(-1.075437--1.496187))+0-0-0</f>
        <v>1206.051913</v>
      </c>
      <c r="V142" s="3">
        <f>1468.7+(720.5-976.6)+(-3.745185+(-1.837275--2.49033))+0-0-0</f>
        <v>1209.5078699999999</v>
      </c>
      <c r="W142" s="3">
        <f>1469.3+(703.2-954)+(-2.248029+(-1.075896--1.45962))+0-0-0</f>
        <v>1216.6356949999999</v>
      </c>
      <c r="X142" s="3">
        <f>1470.5+(671.1-954.2)+(-1.49991+(-0.684522--0.973284))+0-0-0</f>
        <v>1186.188852</v>
      </c>
      <c r="Y142" s="3">
        <f>1441.1+(618.5-903.1)+(1.469922+(0.63087-0.921162))+0-0-0</f>
        <v>1157.6796300000001</v>
      </c>
      <c r="Z142" s="3">
        <f>1472.2+(763.4-973.8)+(-3.003288+(-1.557336--1.986552))+0-0-0</f>
        <v>1259.2259280000003</v>
      </c>
      <c r="AA142" s="3">
        <f>1475.1+(793.9-934.6)+(-3.761505+(-2.024445--2.38323))+0-0-0</f>
        <v>1330.9972799999998</v>
      </c>
      <c r="AB142" s="3">
        <f>1495.3+(744.7-944.6)+(-1.525206+(-0.759594--0.963492))+0-0-0</f>
        <v>1294.078692</v>
      </c>
      <c r="AC142" s="3">
        <f>1495.6+(698-955.8)+(-1.525512+(-0.71196--0.974916))+0-0-0</f>
        <v>1236.5374440000001</v>
      </c>
      <c r="AD142">
        <v>1352.9</v>
      </c>
      <c r="AE142" s="3">
        <f>1487.5+(819.8-954.4)+(0+(0-0))+0-0-0</f>
        <v>1352.9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1489.2+(672.9-990.7)+(-3.79746+(-1.715895--2.526285))+0-0-0</f>
        <v>1168.4129300000002</v>
      </c>
      <c r="G143" s="3">
        <f>1477.9+(637.7-1024.4)+(-3.768645+(-1.626135--2.61222))+0-0-0</f>
        <v>1088.4174399999999</v>
      </c>
      <c r="H143" s="3">
        <f>1488.4+(609.9-1052)+(-3.79542+(-1.555245--2.6826))+0-0-0</f>
        <v>1043.6319350000001</v>
      </c>
      <c r="I143" s="3">
        <f>1500+(564.7-1046.5)+(-1.53+(-0.575994--1.06743))+0-0-0</f>
        <v>1017.1614360000001</v>
      </c>
      <c r="J143" s="3">
        <f>1498.5+(532.2-993.4)+(-2.292705+(-0.814266--1.519902))+0-0-0</f>
        <v>1035.7129310000003</v>
      </c>
      <c r="K143" s="3">
        <f>1498.9+(460.6-959.9)+(-0.764439+(-0.234906--0.489549))+0-0-0</f>
        <v>999.09020400000009</v>
      </c>
      <c r="L143" s="3">
        <f>1404.1+(452.3-959.4)+(-4.296546+(-1.384038--2.935764))+0-0-0</f>
        <v>894.25518</v>
      </c>
      <c r="M143" s="3">
        <f>1361+(474.6-894.8)+(0+(0-0))+0-0-0</f>
        <v>940.80000000000007</v>
      </c>
      <c r="N143" s="3">
        <f>1463.6+(561.6-939.7)+(0+(0-0))+0-0-0</f>
        <v>1085.5</v>
      </c>
      <c r="O143" s="3">
        <f>1525.6+(544.3-959.4)+(0+(0-0))+0-0-0</f>
        <v>1110.5</v>
      </c>
      <c r="P143" s="3">
        <f>1509.5+(551.5-902.5)+(-0.769845+(-0.281265--0.460275))+0-0-0</f>
        <v>1157.909165</v>
      </c>
      <c r="Q143" s="3">
        <f>1516.9+(636.3-934.2)+(3.094476+(1.298052-1.905768))+0-0-0</f>
        <v>1221.48676</v>
      </c>
      <c r="R143" s="3">
        <f>1513.9+(662.3-964.2)+(-3.088356+(-1.351092--1.966968))+0-0-0</f>
        <v>1209.5275200000001</v>
      </c>
      <c r="S143" s="3">
        <f>1536.8+(680.7-1026.4)+(-3.91884+(-1.735785--2.61732))+0-0-0</f>
        <v>1188.0626949999998</v>
      </c>
      <c r="T143" s="3">
        <f>1529.4+(677.2-1019.7)+(-0.779994+(-0.345372--0.520047))+0-0-0</f>
        <v>1186.2946810000001</v>
      </c>
      <c r="U143" s="3">
        <f>1524.7+(684.4-1027.2)+(-1.555194+(-0.698088--1.047744))+0-0-0</f>
        <v>1180.6944620000002</v>
      </c>
      <c r="V143" s="3">
        <f>1533.5+(672-1022.3)+(-0.782085+(-0.34272--0.521373))+0-0-0</f>
        <v>1182.5965679999999</v>
      </c>
      <c r="W143" s="3">
        <f>1516.3+(651.3-987.8)+(-1.546626+(-0.664326--1.007556))+0-0-0</f>
        <v>1178.5966039999998</v>
      </c>
      <c r="X143" s="3">
        <f>1464.4+(639.1-951.4)+(-2.240532+(-0.977823--1.455642))+0-0-0</f>
        <v>1150.3372870000001</v>
      </c>
      <c r="Y143" s="3">
        <f>1295.9+(694.9-850.2)+(-1.321818+(-0.708798--0.867204))+0-0-0</f>
        <v>1139.4365879999998</v>
      </c>
      <c r="Z143" s="3">
        <f>1476.5+(714.3-957.6)+(-3.01206+(-1.457172--1.953504))+0-0-0</f>
        <v>1230.6842719999997</v>
      </c>
      <c r="AA143" s="3">
        <f>1570.7+(682.7-940.9)+(-4.005285+(-1.740885--2.399295))+0-0-0</f>
        <v>1309.153125</v>
      </c>
      <c r="AB143" s="3">
        <f>1513.3+(651.8-894.8)+(-2.315349+(-0.997254--1.369044))+0-0-0</f>
        <v>1268.3564409999999</v>
      </c>
      <c r="AC143" s="3">
        <f>1499.3+(631.1-906.6)+(-1.529286+(-0.643722--0.924732))+0-0-0</f>
        <v>1222.5517239999999</v>
      </c>
      <c r="AD143">
        <v>1312.8000000000002</v>
      </c>
      <c r="AE143" s="3">
        <f>1570+(687.4-944.6)+(0+(0-0))+0-0-0</f>
        <v>1312.8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1445.9+(639.2-923.7)+(-3.687045+(-1.62996--2.355435))+0-0-0</f>
        <v>1158.4384300000002</v>
      </c>
      <c r="G144" s="3">
        <f>1387+(539.5-849.2)+(-1.41474+(-0.55029--0.866184))+0-0-0</f>
        <v>1076.2011539999999</v>
      </c>
      <c r="H144" s="3">
        <f>1269.8+(546.9-789.9)+(-0.647598+(-0.278919--0.402849))+0-0-0</f>
        <v>1026.2763319999999</v>
      </c>
      <c r="I144" s="3">
        <f>1200.8+(505.2-720)+(0+(0-0))+0-0-0</f>
        <v>986</v>
      </c>
      <c r="J144" s="3">
        <f>1212.2+(471.3-693.2)+(1.854666+(0.721089-1.060596))+0-0-0</f>
        <v>991.81515899999999</v>
      </c>
      <c r="K144" s="3">
        <f>1184.5+(517.1-736.1)+(-4.228665+(-1.846047--2.627877))+0-0-0</f>
        <v>962.05316500000004</v>
      </c>
      <c r="L144" s="3">
        <f>1184.4+(515.6-813.5)+(-3.624264+(-1.577736--2.48931))+0-0-0</f>
        <v>883.78731000000016</v>
      </c>
      <c r="M144" s="3">
        <f>1204.7+(482.5-812.7)+(-0.614397+(-0.246075--0.414477))+0-0-0</f>
        <v>874.05400499999996</v>
      </c>
      <c r="N144" s="3">
        <f>1212.1+(495.1-759.5)+(1.854513+(0.757503-1.162035))+0-0-0</f>
        <v>949.14998099999991</v>
      </c>
      <c r="O144" s="3">
        <f>1191+(599.2-735.9)+(-1.21482+(-0.611184--0.750618))+0-0-0</f>
        <v>1053.2246140000002</v>
      </c>
      <c r="P144" s="3">
        <f>1223.8+(580.7-748.5)+(0.624138+(0.296157-0.381735))+0-0-0</f>
        <v>1056.53856</v>
      </c>
      <c r="Q144" s="3">
        <f>1219.1+(618.4-691.5)+(-1.243482+(-0.630768--0.70533))+0-0-0</f>
        <v>1144.8310799999999</v>
      </c>
      <c r="R144" s="3">
        <f>1200+(707.6-732.4)+(-0.612+(-0.360876--0.373524))+0-0-0</f>
        <v>1174.6006480000001</v>
      </c>
      <c r="S144" s="3">
        <f>1177+(736.6-769.3)+(-1.20054+(-0.751332--0.784686))+0-0-0</f>
        <v>1143.1328140000003</v>
      </c>
      <c r="T144" s="3">
        <f>1161+(750.6-770.3)+(0.59211+(0.382806-0.392853))+0-0-0</f>
        <v>1141.8820630000002</v>
      </c>
      <c r="U144" s="3">
        <f>1151.8+(765.2-769.3)+(-1.174836+(-0.780504--0.784686))+0-0-0</f>
        <v>1146.529346</v>
      </c>
      <c r="V144" s="3">
        <f>1146+(766.8-768.3)+(0+(0-0))+0-0-0</f>
        <v>1144.5</v>
      </c>
      <c r="W144" s="3">
        <f>1138.6+(731.4-732)+(-0.580686+(-0.373014--0.37332))+0-0-0</f>
        <v>1137.4196199999999</v>
      </c>
      <c r="X144" s="3">
        <f>1132.3+(698.6-723.2)+(-4.042311+(-2.494002--2.581824))+0-0-0</f>
        <v>1103.7455109999999</v>
      </c>
      <c r="Y144" s="3">
        <f>1085.3+(650.6-663.3)+(-1.107006+(-0.663612--0.676566))+0-0-0</f>
        <v>1071.505948</v>
      </c>
      <c r="Z144" s="3">
        <f>1112.9+(779.6-706.4)+(-3.405474+(-2.385576--2.161584))+0-0-0</f>
        <v>1182.470534</v>
      </c>
      <c r="AA144" s="3">
        <f>1115+(777.2-647.4)+(-0.56865+(-0.396372--0.330174))+0-0-0</f>
        <v>1244.1651520000003</v>
      </c>
      <c r="AB144" s="3">
        <f>1114.9+(756.6-664.2)+(0+(0-0))+0-0-0</f>
        <v>1207.3000000000002</v>
      </c>
      <c r="AC144" s="3">
        <f>1097.6+(708.7-647.3)+(0+(0-0))+0-0-0</f>
        <v>1159</v>
      </c>
      <c r="AD144">
        <v>1237.5</v>
      </c>
      <c r="AE144" s="3">
        <f>1105+(839.6-707.1)+(0+(0-0))+0-0-0</f>
        <v>1237.5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1071.1+(640.7-643.1)+(0.546261+(0.326757-0.327981))+0-0-0</f>
        <v>1069.2450369999999</v>
      </c>
      <c r="G145" s="3">
        <f>1133.9+(548.6-686.5)+(-0.578289+(-0.279786--0.350115))+0-0-0</f>
        <v>995.49204000000009</v>
      </c>
      <c r="H145" s="3">
        <f>1137.2+(550.8-741.6)+(0.579972+(0.280908-0.378216))+0-0-0</f>
        <v>946.88266399999998</v>
      </c>
      <c r="I145" s="3">
        <f>1153.2+(511.8-742.3)+(-0.588132+(-0.261018--0.378573))+0-0-0</f>
        <v>922.229423</v>
      </c>
      <c r="J145" s="3">
        <f>1175.2+(481.3-725.7)+(1.198704+(0.490926-0.740214))+0-0-0</f>
        <v>931.749416</v>
      </c>
      <c r="K145" s="3">
        <f>1154.6+(536-775.6)+(-2.94423+(-1.3668--1.97778))+0-0-0</f>
        <v>912.66674999999987</v>
      </c>
      <c r="L145" s="3">
        <f>1102.3+(569.3-730.3)+(-1.124346+(-0.580686--0.744906))+0-0-0</f>
        <v>940.33987400000001</v>
      </c>
      <c r="M145" s="3">
        <f>904.4+(602.3-654.5)+(0.461244+(0.307173-0.333795))+0-0-0</f>
        <v>852.63462199999992</v>
      </c>
      <c r="N145" s="3">
        <f>1101.5+(524.4-727.6)+(-0.561765+(-0.267444--0.371076))+0-0-0</f>
        <v>897.84186699999998</v>
      </c>
      <c r="O145" s="3">
        <f>1105.1+(536.9-691.3)+(0.563601+(0.273819-0.352563))+0-0-0</f>
        <v>951.18485699999997</v>
      </c>
      <c r="P145" s="3">
        <f>1054.8+(563.8-630.4)+(2.151792+(1.150152-1.286016))+0-0-0</f>
        <v>990.21592799999996</v>
      </c>
      <c r="Q145" s="3">
        <f>1083.2+(552-567.5)+(1.657296+(0.84456-0.868275))+0-0-0</f>
        <v>1069.3335810000001</v>
      </c>
      <c r="R145" s="3">
        <f>1028.8+(591.1-560.9)+(-1.049376+(-0.602922--0.572118))+0-0-0</f>
        <v>1057.9198200000001</v>
      </c>
      <c r="S145" s="3">
        <f>1040.2+(609.3-618)+(-0.530502+(-0.310743--0.31518))+0-0-0</f>
        <v>1030.973935</v>
      </c>
      <c r="T145" s="3">
        <f>1140.5+(594.7-686)+(1.16331+(0.606594-0.69972))+0-0-0</f>
        <v>1050.270184</v>
      </c>
      <c r="U145" s="3">
        <f>1159+(631-723.6)+(-1.18218+(-0.64362--0.738072))+0-0-0</f>
        <v>1065.3122720000001</v>
      </c>
      <c r="V145" s="3">
        <f>1196.6+(642.7-776.6)+(-1.220532+(-0.655554--0.792132))+0-0-0</f>
        <v>1061.6160459999999</v>
      </c>
      <c r="W145" s="3">
        <f>1297.5+(592.9-831.7)+(-1.32345+(-0.604758--0.848334))+0-0-0</f>
        <v>1057.6201259999998</v>
      </c>
      <c r="X145" s="3">
        <f>1425.4+(465.9-847.5)+(-3.63477+(-1.188045--2.161125))+0-0-0</f>
        <v>1041.1383100000003</v>
      </c>
      <c r="Y145" s="3">
        <f>1376.9+(415.9-772.3)+(0+(0-0))+0-0-0</f>
        <v>1020.5000000000001</v>
      </c>
      <c r="Z145" s="3">
        <f>1430.9+(480.8-779.2)+(0.729759+(0.245208-0.397392))+0-0-0</f>
        <v>1133.077575</v>
      </c>
      <c r="AA145" s="3">
        <f>1459.8+(572.7-831.9)+(-2.977992+(-1.168308--1.697076))+0-0-0</f>
        <v>1198.150776</v>
      </c>
      <c r="AB145" s="3">
        <f>1469.8+(604.8-892.1)+(-2.248794+(-0.925344--1.364913))+0-0-0</f>
        <v>1180.690775</v>
      </c>
      <c r="AC145" s="3">
        <f>1473.6+(582.1-905.7)+(1.503072+(0.593742-0.923814))+0-0-0</f>
        <v>1151.173</v>
      </c>
      <c r="AD145">
        <v>1213.1999999999998</v>
      </c>
      <c r="AE145" s="3">
        <f>1470+(531.3-788.1)+(0+(0-0))+0-0-0</f>
        <v>1213.1999999999998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1475.4+(536.2-920.4)+(0.752454+(0.273462-0.469404))+0-0-0</f>
        <v>1091.7565120000004</v>
      </c>
      <c r="G146" s="3">
        <f>1467.4+(544.4-986.2)+(-1.496748+(-0.555288--1.005924))+0-0-0</f>
        <v>1024.5538879999999</v>
      </c>
      <c r="H146" s="3">
        <f>1444+(510.8-974.8)+(-1.47288+(-0.521016--0.994296))+0-0-0</f>
        <v>979.00040000000001</v>
      </c>
      <c r="I146" s="3">
        <f>1456.5+(493.5-992.4)+(0.742815+(0.251685-0.506124))+0-0-0</f>
        <v>958.08837600000004</v>
      </c>
      <c r="J146" s="3">
        <f>1451.7+(514.5-998)+(-0.740367+(-0.262395--0.50898))+0-0-0</f>
        <v>967.70621800000004</v>
      </c>
      <c r="K146" s="3">
        <f>1445.4+(459.2-968.2)+(-3.68577+(-1.17096--2.46891))+0-0-0</f>
        <v>934.01218000000006</v>
      </c>
      <c r="L146" s="3">
        <f>1315.8+(480.5-906.5)+(-1.342116+(-0.49011--0.92463))+0-0-0</f>
        <v>888.89240399999994</v>
      </c>
      <c r="M146" s="3">
        <f>1333.9+(302.7-766.3)+(1.360578+(0.308754-0.781626))+0-0-0</f>
        <v>871.18770600000016</v>
      </c>
      <c r="N146" s="3">
        <f>1408.3+(327.3-780.3)+(3.591165+(0.834615-1.989765))+0-0-0</f>
        <v>957.73601499999995</v>
      </c>
      <c r="O146" s="3">
        <f>1505.3+(310.5-802.6)+(0.767703+(0.158355-0.409326))+0-0-0</f>
        <v>1013.716732</v>
      </c>
      <c r="P146" s="3">
        <f>1524.7+(327.2-771.6)+(0.777597+(0.166872-0.393516))+0-0-0</f>
        <v>1080.8509529999999</v>
      </c>
      <c r="Q146" s="3">
        <f>1508+(336.3-740.5)+(0+(0-0))+0-0-0</f>
        <v>1103.8</v>
      </c>
      <c r="R146" s="3">
        <f>1515.3+(376.3-760.3)+(2.318409+(0.575739-1.163259))+0-0-0</f>
        <v>1133.0308889999999</v>
      </c>
      <c r="S146" s="3">
        <f>1507.3+(347.8-746.7)+(-0.768723+(-0.177378--0.380817))+0-0-0</f>
        <v>1107.8347159999998</v>
      </c>
      <c r="T146" s="3">
        <f>1495.5+(337.3-724)+(0+(0-0))+0-0-0</f>
        <v>1108.8</v>
      </c>
      <c r="U146" s="3">
        <f>1498.1+(397.4-761.4)+(-3.056124+(-0.810696--1.553256))+0-0-0</f>
        <v>1131.7864359999999</v>
      </c>
      <c r="V146" s="3">
        <f>1505.5+(424.1-789.5)+(-1.53561+(-0.432582--0.80529))+0-0-0</f>
        <v>1138.9370979999999</v>
      </c>
      <c r="W146" s="3">
        <f>1491+(611.6-941.4)+(-3.80205+(-1.55958--2.40057))+0-0-0</f>
        <v>1158.23894</v>
      </c>
      <c r="X146" s="3">
        <f>1443.8+(633.3-949)+(-5.890704+(-2.583864--3.87192))+0-0-0</f>
        <v>1123.4973519999999</v>
      </c>
      <c r="Y146" s="3">
        <f>1463.1+(522.4-892.3)+(-0.746181+(-0.266424--0.455073))+0-0-0</f>
        <v>1092.6424679999998</v>
      </c>
      <c r="Z146" s="3">
        <f>1522.8+(608.1-931.6)+(1.553256+(0.620262-0.950232))+0-0-0</f>
        <v>1200.5232859999999</v>
      </c>
      <c r="AA146" s="3">
        <f>1587.3+(622.9-948.3)+(-1.619046+(-0.635358--0.967266))+0-0-0</f>
        <v>1260.6128620000002</v>
      </c>
      <c r="AB146" s="3">
        <f>1559.5+(667.9-991.9)+(-1.59069+(-0.681258--1.011738))+0-0-0</f>
        <v>1234.2397900000001</v>
      </c>
      <c r="AC146" s="3">
        <f>1534.3+(701.7-1054.5)+(-1.564986+(-0.715734--1.07559))+0-0-0</f>
        <v>1180.2948699999999</v>
      </c>
      <c r="AD146">
        <v>1240.4999999999998</v>
      </c>
      <c r="AE146" s="3">
        <f>1565+(615.7-940.2)+(0+(0-0))+0-0-0</f>
        <v>1240.5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1530.2+(688.2-1101.8)+(-0.780402+(-0.350982--0.561918))+0-0-0</f>
        <v>1116.0305340000002</v>
      </c>
      <c r="G147" s="3">
        <f>1527.5+(644.4-1137.3)+(-2.337075+(-0.985932--1.740069))+0-0-0</f>
        <v>1033.0170619999999</v>
      </c>
      <c r="H147" s="3">
        <f>1536.2+(606.8-1155.8)+(0.783462+(0.309468-0.589458))+0-0-0</f>
        <v>987.70347200000003</v>
      </c>
      <c r="I147" s="3">
        <f>1533+(540.5-1105.8)+(-1.56366+(-0.55131--1.127916))+0-0-0</f>
        <v>966.7129460000001</v>
      </c>
      <c r="J147" s="3">
        <f>1521.4+(500.8-1057)+(-3.103656+(-1.021632--2.15628))+0-0-0</f>
        <v>963.23099200000001</v>
      </c>
      <c r="K147" s="3">
        <f>1385+(485.8-941.6)+(-2.8254+(-0.991032--1.920864))+0-0-0</f>
        <v>927.30443200000002</v>
      </c>
      <c r="L147" s="3">
        <f>1216.3+(473.1-890.4)+(-1.860939+(-0.723843--1.362312))+0-0-0</f>
        <v>797.77752999999996</v>
      </c>
      <c r="M147" s="3">
        <f>1521.3+(247.2-823.2)+(0.775863+(0.126072-0.419832))+0-0-0</f>
        <v>945.78210300000001</v>
      </c>
      <c r="N147" s="3">
        <f>1516.8+(267.9-848.2)+(0+(0-0))+0-0-0</f>
        <v>936.49999999999989</v>
      </c>
      <c r="O147" s="3">
        <f>1520.1+(327.2-807.1)+(1.550502+(0.333744-0.823242))+0-0-0</f>
        <v>1041.2610039999997</v>
      </c>
      <c r="P147" s="3">
        <f>1498.7+(392.5-807.1)+(2.293011+(0.600525-1.234863))+0-0-0</f>
        <v>1085.7586729999998</v>
      </c>
      <c r="Q147" s="3">
        <f>1489.6+(388.6-760.9)+(1.519392+(0.396372-0.776118))+0-0-0</f>
        <v>1118.439646</v>
      </c>
      <c r="R147" s="3">
        <f>1502.7+(357-731)+(3.065508+(0.72828-1.49124))+0-0-0</f>
        <v>1131.0025479999999</v>
      </c>
      <c r="S147" s="3">
        <f>1475+(379.6-738.1)+(0+(0-0))+0-0-0</f>
        <v>1116.5</v>
      </c>
      <c r="T147" s="3">
        <f>1456.7+(375.3-726.9)+(-1.485834+(-0.382806--0.741438))+0-0-0</f>
        <v>1103.9727980000002</v>
      </c>
      <c r="U147" s="3">
        <f>1478.6+(383.2-750.6)+(0.754086+(0.195432-0.382806))+0-0-0</f>
        <v>1111.7667119999999</v>
      </c>
      <c r="V147" s="3">
        <f>1477.3+(539-886.9)+(-0.753423+(-0.27489--0.452319))+0-0-0</f>
        <v>1128.8240060000001</v>
      </c>
      <c r="W147" s="3">
        <f>1482.2+(635.4-980.3)+(-1.511844+(-0.648108--0.999906))+0-0-0</f>
        <v>1136.1399540000002</v>
      </c>
      <c r="X147" s="3">
        <f>1483.1+(654.5-1034.9)+(-4.538286+(-2.00277--3.166794))+0-0-0</f>
        <v>1099.3257379999998</v>
      </c>
      <c r="Y147" s="3">
        <f>1480.3+(572.5-969.8)+(0+(0-0))+0-0-0</f>
        <v>1083</v>
      </c>
      <c r="Z147" s="3">
        <f>1486.4+(642-930.4)+(-1.516128+(-0.65484--0.949008))+0-0-0</f>
        <v>1196.7780399999999</v>
      </c>
      <c r="AA147" s="3">
        <f>1469.4+(660.5-884.7)+(-3.74697+(-1.684275--2.255985))+0-0-0</f>
        <v>1242.0247400000001</v>
      </c>
      <c r="AB147" s="3">
        <f>1479.6+(675.7-944.1)+(0.754596+(0.344607-0.481491))+0-0-0</f>
        <v>1211.8177119999998</v>
      </c>
      <c r="AC147" s="3">
        <f>1417.8+(692.4-946.1)+(-2.892312+(-1.412496--1.930044))+0-0-0</f>
        <v>1161.725236</v>
      </c>
      <c r="AD147">
        <v>1209.7</v>
      </c>
      <c r="AE147" s="3">
        <f>1474+(654.9-919.2)+(0+(0-0))+0-0-0</f>
        <v>1209.6999999999998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1425.6+(647.9-976.2)+(-2.181168+(-0.991287--1.493586))+0-0-0</f>
        <v>1095.6211309999997</v>
      </c>
      <c r="G148" s="3">
        <f>1423.1+(662.3-1059.4)+(-2.903124+(-1.351092--2.161176))+0-0-0</f>
        <v>1023.9069599999998</v>
      </c>
      <c r="H148" s="3">
        <f>1432.2+(602.8-1060.8)+(-2.191266+(-0.922284--1.623024))+0-0-0</f>
        <v>972.709474</v>
      </c>
      <c r="I148" s="3">
        <f>1440.2+(564.9-1045.8)+(-0.734502+(-0.288099--0.533358))+0-0-0</f>
        <v>958.81075700000008</v>
      </c>
      <c r="J148" s="3">
        <f>1435.6+(545.9-1022.1)+(-2.928624+(-1.113636--2.085084))+0-0-0</f>
        <v>957.44282399999986</v>
      </c>
      <c r="K148" s="3">
        <f>1427.7+(566.6-1069.9)+(-2.912508+(-1.155864--2.182596))+0-0-0</f>
        <v>922.51422400000001</v>
      </c>
      <c r="L148" s="3">
        <f>1336.4+(485.8-961.9)+(-4.089384+(-1.486548--2.943414))+0-0-0</f>
        <v>857.66748200000018</v>
      </c>
      <c r="M148" s="3">
        <f>1376.1+(290.7-839.8)+(-1.403622+(-0.296514--0.856596))+0-0-0</f>
        <v>826.15646000000004</v>
      </c>
      <c r="N148" s="3">
        <f>1526.6+(211.7-811.8)+(3.114264+(0.431868-1.656072))+0-0-0</f>
        <v>928.39005999999995</v>
      </c>
      <c r="O148" s="3">
        <f>1511.9+(295.4-805.3)+(0+(0-0))+0-0-0</f>
        <v>1002.0000000000001</v>
      </c>
      <c r="P148" s="3">
        <f>1471.5+(345.7-794.9)+(-1.50093+(-0.352614--0.810798))+0-0-0</f>
        <v>1021.257254</v>
      </c>
      <c r="Q148" s="3">
        <f>1492.6+(298.8-687)+(0+(0-0))+0-0-0</f>
        <v>1104.3999999999999</v>
      </c>
      <c r="R148" s="3">
        <f>1483.9+(308.2-691.6)+(0.756789+(0.157182-0.352716))+0-0-0</f>
        <v>1101.0612550000001</v>
      </c>
      <c r="S148" s="3">
        <f>1477.3+(406.1-803.8)+(-1.506846+(-0.414222--0.819876))+0-0-0</f>
        <v>1078.4988079999998</v>
      </c>
      <c r="T148" s="3">
        <f>1469.7+(447.6-834.6)+(-2.248641+(-0.684828--1.276938))+0-0-0</f>
        <v>1081.043469</v>
      </c>
      <c r="U148" s="3">
        <f>1465.4+(453.1-830.3)+(-2.989416+(-0.924324--1.693812))+0-0-0</f>
        <v>1085.9800720000003</v>
      </c>
      <c r="V148" s="3">
        <f>1465.6+(501.1-870.1)+(-2.989824+(-1.022244--1.775004))+0-0-0</f>
        <v>1094.362936</v>
      </c>
      <c r="W148" s="3">
        <f>1473.4+(596.4-958.7)+(-0.751434+(-0.304164--0.488937))+0-0-0</f>
        <v>1110.5333389999998</v>
      </c>
      <c r="X148" s="3">
        <f>1471.7+(615.9-998.4)+(-1.501134+(-0.628218--1.018368))+0-0-0</f>
        <v>1088.0890160000001</v>
      </c>
      <c r="Y148" s="3">
        <f>1482.5+(512-931.4)+(1.51215+(0.52224-0.950028))+0-0-0</f>
        <v>1064.184362</v>
      </c>
      <c r="Z148" s="3">
        <f>1506.4+(574.8-926.3)+(0+(0-0))+0-0-0</f>
        <v>1154.9000000000001</v>
      </c>
      <c r="AA148" s="3">
        <f>1517.8+(615.4-923.7)+(-1.548156+(-0.627708--0.942174))+0-0-0</f>
        <v>1208.26631</v>
      </c>
      <c r="AB148" s="3">
        <f>1501.1+(665.4-981.5)+(-3.062244+(-1.357416--2.00226))+0-0-0</f>
        <v>1182.5826</v>
      </c>
      <c r="AC148" s="3">
        <f>1513.2+(682.8-1055.1)+(-1.543464+(-0.696456--1.076202))+0-0-0</f>
        <v>1139.7362820000001</v>
      </c>
      <c r="AD148">
        <v>1199.2000000000003</v>
      </c>
      <c r="AE148" s="3">
        <f>1524+(627.3-952.1)+(0+(0-0))+0-0-0</f>
        <v>1199.1999999999998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1514+(606.6-1048.2)+(-1.54428+(-0.618732--1.069164))+0-0-0</f>
        <v>1071.3061520000001</v>
      </c>
      <c r="G149" s="3">
        <f>1515.7+(546.5-1069.6)+(-2.319021+(-0.836145--1.636488))+0-0-0</f>
        <v>991.08132200000011</v>
      </c>
      <c r="H149" s="3">
        <f>1518.8+(529.2-1098.8)+(-3.098352+(-1.079568--2.241552))+0-0-0</f>
        <v>947.26363200000003</v>
      </c>
      <c r="I149" s="3">
        <f>1526.5+(489.6-1092.5)+(-1.55703+(-0.499392--1.11435))+0-0-0</f>
        <v>922.65792799999997</v>
      </c>
      <c r="J149" s="3">
        <f>1530.6+(455.9-1062.3)+(0+(0-0))+0-0-0</f>
        <v>924.19999999999993</v>
      </c>
      <c r="K149" s="3">
        <f>1516.3+(454.2-1058.7)+(-3.866565+(-1.15821--2.699685))+0-0-0</f>
        <v>909.47490999999991</v>
      </c>
      <c r="L149" s="3">
        <f>1254.8+(472.5-862.8)+(-1.279896+(-0.48195--0.880056))+0-0-0</f>
        <v>863.61820999999998</v>
      </c>
      <c r="M149" s="3">
        <f>1204.3+(466.7-814.9)+(1.228386+(0.476034-0.831198))+0-0-0</f>
        <v>856.97322199999996</v>
      </c>
      <c r="N149" s="3">
        <f>1297.4+(491.6-870)+(0.661674+(0.250716-0.4437))+0-0-0</f>
        <v>919.46869000000015</v>
      </c>
      <c r="O149" s="3">
        <f>1502.4+(479.9-967.1)+(1.532448+(0.489498-0.986442))+0-0-0</f>
        <v>1016.235504</v>
      </c>
      <c r="P149" s="3">
        <f>1486.5+(557.8-984.5)+(-1.51623+(-0.568956--1.00419))+0-0-0</f>
        <v>1058.719004</v>
      </c>
      <c r="Q149" s="3">
        <f>1502.1+(519.2-910)+(0.766071+(0.264792-0.4641))+0-0-0</f>
        <v>1111.866763</v>
      </c>
      <c r="R149" s="3">
        <f>1506.4+(515.6-896.4)+(-1.536528+(-0.525912--0.914328))+0-0-0</f>
        <v>1124.4518880000001</v>
      </c>
      <c r="S149" s="3">
        <f>1503.3+(517.2-940.2)+(-1.533366+(-0.527544--0.959004))+0-0-0</f>
        <v>1079.1980939999999</v>
      </c>
      <c r="T149" s="3">
        <f>1517.2+(464.4-897.1)+(0.773772+(0.236844-0.457521))+0-0-0</f>
        <v>1085.053095</v>
      </c>
      <c r="U149" s="3">
        <f>1512.3+(523.6-895.9)+(0+(0-0))+0-0-0</f>
        <v>1140</v>
      </c>
      <c r="V149" s="3">
        <f>1507+(563.5-931.9)+(-1.53714+(-0.57477--0.950538))+0-0-0</f>
        <v>1137.4386279999999</v>
      </c>
      <c r="W149" s="3">
        <f>1503.9+(629.8-1006.8)+(-1.533978+(-0.642396--1.026936))+0-0-0</f>
        <v>1125.7505620000002</v>
      </c>
      <c r="X149" s="3">
        <f>1499.8+(603.7-1012.1)+(-2.294694+(-0.923661--1.548513))+0-0-0</f>
        <v>1089.7301580000001</v>
      </c>
      <c r="Y149" s="3">
        <f>1499.8+(488-909.1)+(-1.529796+(-0.49776--0.927282))+0-0-0</f>
        <v>1077.5997259999999</v>
      </c>
      <c r="Z149" s="3">
        <f>1506.7+(612-931)+(-0.768417+(-0.31212--0.47481))+0-0-0</f>
        <v>1187.0942730000002</v>
      </c>
      <c r="AA149" s="3">
        <f>1483.5+(630.8-880.8)+(-3.782925+(-1.60854--2.24604))+0-0-0</f>
        <v>1230.3545750000001</v>
      </c>
      <c r="AB149" s="3">
        <f>1501.1+(634.9-931.1)+(-1.531122+(-0.647598--0.949722))+0-0-0</f>
        <v>1203.6710019999998</v>
      </c>
      <c r="AC149" s="3">
        <f>1512.5+(627.9-985.2)+(0+(0-0))+0-0-0</f>
        <v>1155.1999999999998</v>
      </c>
      <c r="AD149">
        <v>1196.3</v>
      </c>
      <c r="AE149" s="3">
        <f>1500+(597.5-901.2)+(0+(0-0))+0-0-0</f>
        <v>1196.3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1517.8+(631.6-1061.8)+(-3.87039+(-1.61058--2.70759))+0-0-0</f>
        <v>1084.8266199999998</v>
      </c>
      <c r="G150" s="3">
        <f>1524.5+(577.9-1089)+(-3.10998+(-1.178916--2.22156))+0-0-0</f>
        <v>1011.332664</v>
      </c>
      <c r="H150" s="3">
        <f>1525.1+(562.1-1129)+(-2.333403+(-0.860013--1.72737))+0-0-0</f>
        <v>956.73395399999993</v>
      </c>
      <c r="I150" s="3">
        <f>1536.7+(485-1093)+(-0.783717+(-0.24735--0.55743))+0-0-0</f>
        <v>928.22636299999999</v>
      </c>
      <c r="J150" s="3">
        <f>1543.9+(425-1044.2)+(0+(0-0))+0-0-0</f>
        <v>924.7</v>
      </c>
      <c r="K150" s="3">
        <f>1532.3+(411.6-1036.4)+(-4.688838+(-1.259496--3.171384))+0-0-0</f>
        <v>904.72304999999983</v>
      </c>
      <c r="L150" s="3">
        <f>1327.6+(410.7-928.8)+(-1.354152+(-0.418914--0.947376))+0-0-0</f>
        <v>808.67430999999999</v>
      </c>
      <c r="M150" s="3">
        <f>1328.9+(405.7-877.9)+(2.033217+(0.620721-1.343187))+0-0-0</f>
        <v>858.01075100000003</v>
      </c>
      <c r="N150" s="3">
        <f>1522.6+(368.1-873.8)+(0.776526+(0.187731-0.445638))+0-0-0</f>
        <v>1017.4186189999999</v>
      </c>
      <c r="O150" s="3">
        <f>1514.4+(398.3-870.9)+(-0.772344+(-0.203133--0.444159))+0-0-0</f>
        <v>1041.2686820000001</v>
      </c>
      <c r="P150" s="3">
        <f>1520.5+(440.3-897.6)+(-0.775455+(-0.224553--0.457776))+0-0-0</f>
        <v>1062.657768</v>
      </c>
      <c r="Q150" s="3">
        <f>1534.9+(474.7-907.6)+(-1.565598+(-0.484194--0.925752))+0-0-0</f>
        <v>1100.8759600000001</v>
      </c>
      <c r="R150" s="3">
        <f>1546.1+(503.1-924.9)+(0.788511+(0.256581-0.471699))+0-0-0</f>
        <v>1124.8733929999999</v>
      </c>
      <c r="S150" s="3">
        <f>1519.6+(554.5-968.9)+(-2.324988+(-0.848385--1.482417))+0-0-0</f>
        <v>1103.5090439999999</v>
      </c>
      <c r="T150" s="3">
        <f>1521.5+(529.8-966.7)+(0+(0-0))+0-0-0</f>
        <v>1084.5999999999999</v>
      </c>
      <c r="U150" s="3">
        <f>1457.2+(551.8-895.1)+(1.486344+(0.562836-0.913002))+0-0-0</f>
        <v>1115.0361780000001</v>
      </c>
      <c r="V150" s="3">
        <f>1442.3+(562.7-908.7)+(0+(0-0))+0-0-0</f>
        <v>1096.3</v>
      </c>
      <c r="W150" s="3">
        <f>1418.8+(573.1-901.7)+(-2.170764+(-0.876843--1.379601))+0-0-0</f>
        <v>1088.5319939999997</v>
      </c>
      <c r="X150" s="3">
        <f>1388.6+(601.3-927.7)+(-2.832744+(-1.226652--1.892508))+0-0-0</f>
        <v>1060.0331119999998</v>
      </c>
      <c r="Y150" s="3">
        <f>1389.9+(519.9-867.9)+(0.708849+(0.265149-0.442629))+0-0-0</f>
        <v>1042.4313690000001</v>
      </c>
      <c r="Z150" s="3">
        <f>1357+(644.7-772)+(2.07621+(0.986391-1.18116))+0-0-0</f>
        <v>1231.581441</v>
      </c>
      <c r="AA150" s="3">
        <f>1242.5+(699-695.2)+(-1.901025+(-1.06947--1.063656))+0-0-0</f>
        <v>1244.393161</v>
      </c>
      <c r="AB150" s="3">
        <f>1089+(763.6-664.6)+(-0.55539+(-0.389436--0.338946))+0-0-0</f>
        <v>1187.3941199999999</v>
      </c>
      <c r="AC150" s="3">
        <f>1091.1+(735.6-691.5)+(0+(0-0))+0-0-0</f>
        <v>1135.1999999999998</v>
      </c>
      <c r="AD150">
        <v>1223.8000000000002</v>
      </c>
      <c r="AE150" s="3">
        <f>1309+(695.4-780.6)+(0+(0-0))+0-0-0</f>
        <v>1223.8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1094.4+(715.6-752.3)+(-1.116288+(-0.729912--0.767346))+0-0-0</f>
        <v>1056.6211460000002</v>
      </c>
      <c r="G151" s="3">
        <f>1106.5+(679.4-793.6)+(0+(0-0))+0-0-0</f>
        <v>992.3</v>
      </c>
      <c r="H151" s="3">
        <f>1124.1+(687.7-863.2)+(0.573291+(0.350727-0.440232))+0-0-0</f>
        <v>949.08378599999992</v>
      </c>
      <c r="I151" s="3">
        <f>1133.6+(637.1-857.9)+(-0.578136+(-0.324921--0.437529))+0-0-0</f>
        <v>912.33447200000001</v>
      </c>
      <c r="J151" s="3">
        <f>1145+(644.2-865.4)+(1.75185+(0.985626-1.324062))+0-0-0</f>
        <v>925.21341400000006</v>
      </c>
      <c r="K151" s="3">
        <f>1140.6+(628.6-861.8)+(-3.490236+(-1.923516--2.637108))+0-0-0</f>
        <v>904.62335599999994</v>
      </c>
      <c r="L151" s="3">
        <f>993.7+(590.7-712.7)+(-2.533935+(-1.506285--1.817385))+0-0-0</f>
        <v>869.47716500000001</v>
      </c>
      <c r="M151" s="3">
        <f>1014.6+(568.5-654.4)+(0.517446+(0.289935-0.333744))+0-0-0</f>
        <v>929.1736370000001</v>
      </c>
      <c r="N151" s="3">
        <f>1151.8+(487.2-726.2)+(0.587418+(0.248472-0.370362))+0-0-0</f>
        <v>913.2655279999999</v>
      </c>
      <c r="O151" s="3">
        <f>1173.6+(603.6-773.1)+(1.197072+(0.615672-0.788562))+0-0-0</f>
        <v>1005.1241819999999</v>
      </c>
      <c r="P151" s="3">
        <f>1171+(592.8-699.5)+(1.19442+(0.604656-0.71349))+0-0-0</f>
        <v>1065.3855859999999</v>
      </c>
      <c r="Q151" s="3">
        <f>1149+(582.5-632.8)+(1.75797+(0.891225-0.968184))+0-0-0</f>
        <v>1100.3810109999999</v>
      </c>
      <c r="R151" s="3">
        <f>1138.7+(596.2-637.4)+(-0.580737+(-0.304062--0.325074))+0-0-0</f>
        <v>1096.9402749999999</v>
      </c>
      <c r="S151" s="3">
        <f>1115.7+(660.4-687.5)+(-2.276028+(-1.347216--1.4025))+0-0-0</f>
        <v>1086.3792559999999</v>
      </c>
      <c r="T151" s="3">
        <f>1102.1+(712.4-713.2)+(-1.124142+(-0.726648--0.727464))+0-0-0</f>
        <v>1100.1766739999998</v>
      </c>
      <c r="U151" s="3">
        <f>1092.5+(730.4-724.1)+(-1.671525+(-1.117512--1.107873))+0-0-0</f>
        <v>1097.1188359999999</v>
      </c>
      <c r="V151" s="3">
        <f>1088.3+(734.3-719.7)+(-1.665099+(-1.123479--1.101141))+0-0-0</f>
        <v>1101.2125629999998</v>
      </c>
      <c r="W151" s="3">
        <f>1088+(766.2-737.3)+(-2.21952+(-1.563048--1.504092))+0-0-0</f>
        <v>1114.6215240000001</v>
      </c>
      <c r="X151" s="3">
        <f>1084.3+(704.5-701.1)+(-1.658979+(-1.077885--1.072683))+0-0-0</f>
        <v>1086.0358189999997</v>
      </c>
      <c r="Y151" s="3">
        <f>1068.5+(622.4-621.1)+(-0.544935+(-0.317424--0.316761))+0-0-0</f>
        <v>1069.254402</v>
      </c>
      <c r="Z151" s="3">
        <f>1050.1+(757.6-635.2)+(-1.071102+(-0.772752--0.647904))+0-0-0</f>
        <v>1171.30405</v>
      </c>
      <c r="AA151" s="3">
        <f>1051.2+(694.5-568.1)+(-1.608336+(-1.062585--0.869193))+0-0-0</f>
        <v>1175.798272</v>
      </c>
      <c r="AB151" s="3">
        <f>1054+(684.8-597.8)+(-0.53754+(-0.349248--0.304878))+0-0-0</f>
        <v>1140.4180899999999</v>
      </c>
      <c r="AC151" s="3">
        <f>1054.8+(677-643.7)+(-0.537948+(-0.34527--0.328287))+0-0-0</f>
        <v>1087.545069</v>
      </c>
      <c r="AD151">
        <v>1215</v>
      </c>
      <c r="AE151" s="3">
        <f>1065+(750.3-600.3)+(0+(0-0))+0-0-0</f>
        <v>1215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1081.5+(688.5-712.1)+(-1.10313+(-0.70227--0.726342))+0-0-0</f>
        <v>1056.8209420000001</v>
      </c>
      <c r="G152" s="3">
        <f>1087.1+(628.4-731.5)+(-1.108842+(-0.640968--0.74613))+0-0-0</f>
        <v>982.99631999999986</v>
      </c>
      <c r="H152" s="3">
        <f>1061.8+(614.8-734.1)+(-2.166072+(-1.254192--1.497564))+0-0-0</f>
        <v>940.57729999999992</v>
      </c>
      <c r="I152" s="3">
        <f>1031.5+(626.6-748.2)+(-0.526065+(-0.319566--0.381582))+0-0-0</f>
        <v>909.43595099999993</v>
      </c>
      <c r="J152" s="3">
        <f>1155+(559.5-791.2)+(-1.76715+(-0.856035--1.210536))+0-0-0</f>
        <v>921.88735099999997</v>
      </c>
      <c r="K152" s="3">
        <f>1095.9+(529.8-733.7)+(-1.117818+(-0.540396--0.748374))+0-0-0</f>
        <v>891.09015999999997</v>
      </c>
      <c r="L152" s="3">
        <f>1029.2+(497.2-698.7)+(-4.199136+(-2.028576--2.850696))+0-0-0</f>
        <v>824.32298400000002</v>
      </c>
      <c r="M152" s="3">
        <f>1039.3+(411.1-665.2)+(0+(0-0))+0-0-0</f>
        <v>785.19999999999993</v>
      </c>
      <c r="N152" s="3">
        <f>1064.6+(410.9-642.8)+(1.085892+(0.419118-0.655656))+0-0-0</f>
        <v>833.54935399999988</v>
      </c>
      <c r="O152" s="3">
        <f>1117.9+(430.9-653)+(-1.140258+(-0.439518--0.66606))+0-0-0</f>
        <v>894.88628400000005</v>
      </c>
      <c r="P152" s="3">
        <f>1126.9+(461.6-647.4)+(0+(0-0))+0-0-0</f>
        <v>941.10000000000014</v>
      </c>
      <c r="Q152" s="3">
        <f>1148+(447.3-664.2)+(0.58548+(0.228123-0.338742))+0-0-0</f>
        <v>931.57486099999994</v>
      </c>
      <c r="R152" s="3">
        <f>1146.9+(463.1-631.2)+(2.339676+(0.944724-1.287648))+0-0-0</f>
        <v>980.79675200000008</v>
      </c>
      <c r="S152" s="3">
        <f>1142.4+(450.9-616)+(0+(0-0))+0-0-0</f>
        <v>977.30000000000007</v>
      </c>
      <c r="T152" s="3">
        <f>1162.4+(454.4-676.2)+(-0.592824+(-0.231744--0.344862))+0-0-0</f>
        <v>940.12029400000006</v>
      </c>
      <c r="U152" s="3">
        <f>1176.7+(491.1-722.4)+(-0.600117+(-0.250461--0.368424))+0-0-0</f>
        <v>944.91784600000005</v>
      </c>
      <c r="V152" s="3">
        <f>1178.5+(526.8-761.5)+(-2.40414+(-1.074672--1.55346))+0-0-0</f>
        <v>941.87464799999998</v>
      </c>
      <c r="W152" s="3">
        <f>1146.1+(529.8-740.1)+(-1.169022+(-0.540396--0.754902))+0-0-0</f>
        <v>934.84548399999983</v>
      </c>
      <c r="X152" s="3">
        <f>1197+(451.2-679.2)+(-1.83141+(-0.690336--1.039176))+0-0-0</f>
        <v>967.51742999999999</v>
      </c>
      <c r="Y152" s="3">
        <f>1198.5+(409.4-646)+(0.611235+(0.208794-0.32946))+0-0-0</f>
        <v>962.39056900000003</v>
      </c>
      <c r="Z152" s="3">
        <f>1202.3+(572-676.7)+(-1.226346+(-0.58344--0.690234))+0-0-0</f>
        <v>1096.4804479999998</v>
      </c>
      <c r="AA152" s="3">
        <f>1205+(578.2-650.3)+(-2.4582+(-1.179528--1.326612))+0-0-0</f>
        <v>1130.588884</v>
      </c>
      <c r="AB152" s="3">
        <f>1219.4+(556-673.6)+(0+(0-0))+0-0-0</f>
        <v>1101.8000000000002</v>
      </c>
      <c r="AC152" s="3">
        <f>1221.5+(516.1-684.8)+(0.622965+(0.263211-0.349248))+0-0-0</f>
        <v>1053.3369280000002</v>
      </c>
      <c r="AD152">
        <v>1098.3000000000002</v>
      </c>
      <c r="AE152" s="3">
        <f>1213+(544.9-659.6)+(0+(0-0))+0-0-0</f>
        <v>1098.3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1239.7+(521.8-744.8)+(1.896741+(0.798354-1.139544))+0-0-0</f>
        <v>1018.2555510000001</v>
      </c>
      <c r="G153" s="3">
        <f>1238.4+(565.8-828.8)+(-1.894752+(-0.865674--1.268064))+0-0-0</f>
        <v>973.90763800000013</v>
      </c>
      <c r="H153" s="3">
        <f>1235.8+(556.5-870)+(-0.630258+(-0.283815--0.4437))+0-0-0</f>
        <v>921.82962699999996</v>
      </c>
      <c r="I153" s="3">
        <f>1185.5+(558.1-855.2)+(2.41842+(1.138524-1.744608))+0-0-0</f>
        <v>890.21233599999994</v>
      </c>
      <c r="J153" s="3">
        <f>1186.1+(535.8-827.4)+(0+(0-0))+0-0-0</f>
        <v>894.49999999999989</v>
      </c>
      <c r="K153" s="3">
        <f>1169.2+(471.4-773.2)+(-2.385168+(-0.961656--1.577328))+0-0-0</f>
        <v>865.63050399999997</v>
      </c>
      <c r="L153" s="3">
        <f>1077.8+(427.7-695)+(-2.198712+(-0.872508--1.4178))+0-0-0</f>
        <v>808.84658000000002</v>
      </c>
      <c r="M153" s="3">
        <f>1037.4+(378.1-605.5)+(-0.529074+(-0.192831--0.308805))+0-0-0</f>
        <v>809.58690000000013</v>
      </c>
      <c r="N153" s="3">
        <f>1047.8+(449.8-593.8)+(-1.068756+(-0.458796--0.605676))+0-0-0</f>
        <v>902.87812399999996</v>
      </c>
      <c r="O153" s="3">
        <f>1162.4+(427.2-608.1)+(0.592824+(0.217872-0.310131))+0-0-0</f>
        <v>982.00056500000005</v>
      </c>
      <c r="P153" s="3">
        <f>1208.3+(459.6-650.8)+(1.232466+(0.468792-0.663816))+0-0-0</f>
        <v>1018.1374420000001</v>
      </c>
      <c r="Q153" s="3">
        <f>1200.6+(490.8-618.8)+(-0.612306+(-0.250308--0.315588))+0-0-0</f>
        <v>1072.0529739999999</v>
      </c>
      <c r="R153" s="3">
        <f>1202+(496.7-659.3)+(0+(0-0))+0-0-0</f>
        <v>1039.4000000000001</v>
      </c>
      <c r="S153" s="3">
        <f>1190.7+(516.9-694.2)+(-1.821771+(-0.790857--1.062126))+0-0-0</f>
        <v>1011.8494979999999</v>
      </c>
      <c r="T153" s="3">
        <f>1191.5+(493.3-661.9)+(0.607665+(0.251583-0.337569))+0-0-0</f>
        <v>1023.421679</v>
      </c>
      <c r="U153" s="3">
        <f>1181.5+(493.1-658.3)+(1.20513+(0.502962-0.671466))+0-0-0</f>
        <v>1017.336626</v>
      </c>
      <c r="V153" s="3">
        <f>1159.2+(543.1-668.8)+(-2.364768+(-1.107924--1.364352))+0-0-0</f>
        <v>1031.39166</v>
      </c>
      <c r="W153" s="3">
        <f>1167.2+(631.4-752.3)+(-1.190544+(-0.644028--0.767346))+0-0-0</f>
        <v>1045.2327740000003</v>
      </c>
      <c r="X153" s="3">
        <f>1159.8+(705.7-823.9)+(-4.140486+(-2.519349--2.941323))+0-0-0</f>
        <v>1037.881488</v>
      </c>
      <c r="Y153" s="3">
        <f>1185.2+(658.2-830.5)+(-0.604452+(-0.335682--0.423555))+0-0-0</f>
        <v>1012.3834210000001</v>
      </c>
      <c r="Z153" s="3">
        <f>1247.9+(701.4-813.4)+(0+(0-0))+0-0-0</f>
        <v>1135.9000000000001</v>
      </c>
      <c r="AA153" s="3">
        <f>1283.5+(706.8-818.5)+(-2.61834+(-1.441872--1.66974))+0-0-0</f>
        <v>1169.4095279999999</v>
      </c>
      <c r="AB153" s="3">
        <f>1287.9+(628-788.5)+(0+(0-0))+0-0-0</f>
        <v>1127.4000000000001</v>
      </c>
      <c r="AC153" s="3">
        <f>1304.8+(637.5-854.5)+(-1.996344+(-0.975375--1.307385))+0-0-0</f>
        <v>1086.1356659999999</v>
      </c>
      <c r="AD153">
        <v>1223.0999999999999</v>
      </c>
      <c r="AE153" s="3">
        <f>1282+(773.6-832.5)+(0+(0-0))+0-0-0</f>
        <v>1223.0999999999999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1320.3+(617.6-889)+(2.020059+(0.944928-1.36017))+0-0-0</f>
        <v>1050.504817</v>
      </c>
      <c r="G154" s="3">
        <f>1325.2+(521.3-863)+(0.675852+(0.265863-0.44013))+0-0-0</f>
        <v>984.00158499999998</v>
      </c>
      <c r="H154" s="3">
        <f>1325.9+(530.6-910.6)+(-2.028627+(-0.811818--1.393218))+0-0-0</f>
        <v>944.45277300000009</v>
      </c>
      <c r="I154" s="3">
        <f>1273.2+(562.9-910.3)+(0.649332+(0.287079-0.464253))+0-0-0</f>
        <v>926.2721580000001</v>
      </c>
      <c r="J154" s="3">
        <f>1219.4+(532.3-828.4)+(0+(0-0))+0-0-0</f>
        <v>923.30000000000007</v>
      </c>
      <c r="K154" s="3">
        <f>1215.5+(498.8-811.1)+(-2.47962+(-1.017552--1.654644))+0-0-0</f>
        <v>901.35747200000003</v>
      </c>
      <c r="L154" s="3">
        <f>1150.3+(413.7-691.3)+(-3.519918+(-1.265922--2.115378))+0-0-0</f>
        <v>870.029538</v>
      </c>
      <c r="M154" s="3">
        <f>874.2+(483.6-508.5)+(0.445842+(0.246636-0.259335))+0-0-0</f>
        <v>849.73314300000004</v>
      </c>
      <c r="N154" s="3">
        <f>972.5+(500.8-585.5)+(0.495975+(0.255408-0.298605))+0-0-0</f>
        <v>888.25277799999992</v>
      </c>
      <c r="O154" s="3">
        <f>1249.7+(427.4-657.9)+(0.637347+(0.217974-0.335529))+0-0-0</f>
        <v>1019.7197920000001</v>
      </c>
      <c r="P154" s="3">
        <f>1271+(518.8-721.8)+(2.59284+(1.058352-1.472472))+0-0-0</f>
        <v>1070.1787200000001</v>
      </c>
      <c r="Q154" s="3">
        <f>1229.7+(511.6-674)+(0.627147+(0.260916-0.34374))+0-0-0</f>
        <v>1067.8443230000003</v>
      </c>
      <c r="R154" s="3">
        <f>1231.4+(600.6-718.8)+(1.256028+(0.612612-0.733176))+0-0-0</f>
        <v>1114.3354640000002</v>
      </c>
      <c r="S154" s="3">
        <f>1214.5+(646.9-770.7)+(-1.23879+(-0.659838--0.786114))+0-0-0</f>
        <v>1089.5874859999999</v>
      </c>
      <c r="T154" s="3">
        <f>1214.9+(624-775)+(-1.239198+(-0.63648--0.7905))+0-0-0</f>
        <v>1062.814822</v>
      </c>
      <c r="U154" s="3">
        <f>1210.2+(649-780.2)+(-2.468808+(-1.32396--1.591608))+0-0-0</f>
        <v>1076.7988399999999</v>
      </c>
      <c r="V154" s="3">
        <f>1205.4+(507.8-787.7)+(-2.459016+(-1.035912--1.606908))+0-0-0</f>
        <v>923.61198000000002</v>
      </c>
      <c r="W154" s="3">
        <f>1196.9+(611.4-787.5)+(-4.272933+(-2.182698--2.811375))+0-0-0</f>
        <v>1017.155744</v>
      </c>
      <c r="X154" s="3">
        <f>1158.7+(547.7-640)+(-3.545622+(-1.675962--1.9584))+0-0-0</f>
        <v>1063.1368160000002</v>
      </c>
      <c r="Y154" s="3">
        <f>1150.1+(480.8-592.7)+(0.586551+(0.245208-0.302277))+0-0-0</f>
        <v>1038.7294819999997</v>
      </c>
      <c r="Z154" s="3">
        <f>1155+(647.9-621.4)+(-0.58905+(-0.330429--0.316914))+0-0-0</f>
        <v>1180.8974350000001</v>
      </c>
      <c r="AA154" s="3">
        <f>1154.4+(670.3-622.2)+(-4.121208+(-2.392971--2.221254))+0-0-0</f>
        <v>1198.207075</v>
      </c>
      <c r="AB154" s="3">
        <f>1168.9+(577.4-629.8)+(-2.980695+(-1.47237--1.60599))+0-0-0</f>
        <v>1113.6529250000001</v>
      </c>
      <c r="AC154" s="3">
        <f>1186.7+(550.8-623.8)+(0.605217+(0.280908-0.318138))+0-0-0</f>
        <v>1114.2679869999999</v>
      </c>
      <c r="AD154">
        <v>1134.5999999999999</v>
      </c>
      <c r="AE154" s="3">
        <f>1156+(608.8-630.2)+(0+(0-0))+0-0-0</f>
        <v>1134.5999999999999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1181.9+(561.6-653.2)+(-0.602769+(-0.286416--0.333132))+0-0-0</f>
        <v>1089.7439470000002</v>
      </c>
      <c r="G155" s="3">
        <f>1173.2+(557.1-719.6)+(-1.794996+(-0.852363--1.100988))+0-0-0</f>
        <v>1009.153629</v>
      </c>
      <c r="H155" s="3">
        <f>1178.8+(560.8-783.2)+(-1.202376+(-0.572016--0.798864))+0-0-0</f>
        <v>955.42447199999981</v>
      </c>
      <c r="I155" s="3">
        <f>1193.7+(539.9-825.1)+(1.826361+(0.826047-1.262403))+0-0-0</f>
        <v>909.89000499999997</v>
      </c>
      <c r="J155" s="3">
        <f>1190.1+(490.6-787.8)+(0.606951+(0.250206-0.401778))+0-0-0</f>
        <v>893.35537899999997</v>
      </c>
      <c r="K155" s="3">
        <f>1178.7+(413.4-745.4)+(-1.803411+(-0.632502--1.140462))+0-0-0</f>
        <v>845.40454900000009</v>
      </c>
      <c r="L155" s="3">
        <f>1159.9+(395.4-729.8)+(-4.732392+(-1.613232--2.977584))+0-0-0</f>
        <v>822.13196000000016</v>
      </c>
      <c r="M155" s="3">
        <f>1181.1+(381.9-753.4)+(0+(0-0))+0-0-0</f>
        <v>809.59999999999991</v>
      </c>
      <c r="N155" s="3">
        <f>1190.9+(341.1-690.9)+(2.429436+(0.695844-1.409436))+0-0-0</f>
        <v>842.81584400000008</v>
      </c>
      <c r="O155" s="3">
        <f>1188.3+(397-667.7)+(2.424132+(0.80988-1.362108))+0-0-0</f>
        <v>919.47190399999988</v>
      </c>
      <c r="P155" s="3">
        <f>1180.6+(454-679.8)+(0+(0-0))+0-0-0</f>
        <v>954.8</v>
      </c>
      <c r="Q155" s="3">
        <f>1168.4+(536-668.3)+(0.595884+(0.27336-0.340833))+0-0-0</f>
        <v>1036.6284110000001</v>
      </c>
      <c r="R155" s="3">
        <f>1169.5+(533.2-799)+(0+(0-0))+0-0-0</f>
        <v>903.7</v>
      </c>
      <c r="S155" s="3">
        <f>1174.7+(563.3-855.4)+(-1.797291+(-0.861849--1.308762))+0-0-0</f>
        <v>881.24962200000004</v>
      </c>
      <c r="T155" s="3">
        <f>1170.3+(660.3-809.2)+(0.596853+(0.336753-0.412692))+0-0-0</f>
        <v>1021.9209139999998</v>
      </c>
      <c r="U155" s="3">
        <f>1165.3+(638-783)+(-1.188606+(-0.65076--0.79866))+0-0-0</f>
        <v>1019.259294</v>
      </c>
      <c r="V155" s="3">
        <f>1168.8+(535.2-816)+(0.596088+(0.272952-0.41616))+0-0-0</f>
        <v>888.45288000000005</v>
      </c>
      <c r="W155" s="3">
        <f>1164.2+(587-702.9)+(-2.374968+(-1.19748--1.433916))+0-0-0</f>
        <v>1046.1614680000002</v>
      </c>
      <c r="X155" s="3">
        <f>1133.4+(527.9-635.5)+(-0.578034+(-0.269229--0.324105))+0-0-0</f>
        <v>1025.2768420000002</v>
      </c>
      <c r="Y155" s="3">
        <f>998.6+(588.8-582)+(-0.509286+(-0.300288--0.29682))+0-0-0</f>
        <v>1004.887246</v>
      </c>
      <c r="Z155" s="3">
        <f>1233.4+(646.7-700.8)+(-2.516136+(-1.319268--1.429632))+0-0-0</f>
        <v>1176.8942280000001</v>
      </c>
      <c r="AA155" s="3">
        <f>1256.3+(634-678.8)+(-1.281426+(-0.64668--0.692376))+0-0-0</f>
        <v>1210.2642699999999</v>
      </c>
      <c r="AB155" s="3">
        <f>1241.2+(598.4-669.3)+(0+(0-0))+0-0-0</f>
        <v>1170.3000000000002</v>
      </c>
      <c r="AC155" s="3">
        <f>1244.3+(646.4-753.3)+(-2.538372+(-1.318656--1.536732))+0-0-0</f>
        <v>1135.079704</v>
      </c>
      <c r="AD155">
        <v>1213.4000000000001</v>
      </c>
      <c r="AE155" s="3">
        <f>1276+(673.3-735.9)+(0+(0-0))+0-0-0</f>
        <v>1213.4000000000001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1246.7+(657.9-837)+(-2.543268+(-1.342116--1.70748))+0-0-0</f>
        <v>1065.422096</v>
      </c>
      <c r="G156" s="3">
        <f>1254.5+(649.4-907.1)+(-2.55918+(-1.324776--1.850484))+0-0-0</f>
        <v>994.76652799999999</v>
      </c>
      <c r="H156" s="3">
        <f>1267.8+(514.7-840.7)+(-0.646578+(-0.262497--0.428757))+0-0-0</f>
        <v>941.31968199999994</v>
      </c>
      <c r="I156" s="3">
        <f>1269.5+(425.1-780.9)+(1.29489+(0.433602-0.796518))+0-0-0</f>
        <v>914.63197400000001</v>
      </c>
      <c r="J156" s="3">
        <f>1271.5+(387.5-744.4)+(1.29693+(0.39525-0.759288))+0-0-0</f>
        <v>915.53289200000006</v>
      </c>
      <c r="K156" s="3">
        <f>1216.5+(416.1-731)+(-1.861245+(-0.636633--1.11843))+0-0-0</f>
        <v>900.220552</v>
      </c>
      <c r="L156" s="3">
        <f>1119.3+(414.4-679.1)+(0+(0-0))+0-0-0</f>
        <v>854.59999999999991</v>
      </c>
      <c r="M156" s="3">
        <f>1080.3+(427-653.6)+(0+(0-0))+0-0-0</f>
        <v>853.69999999999993</v>
      </c>
      <c r="N156" s="3">
        <f>1197.3+(403.1-671.8)+(1.831869+(0.616743-1.027854))+0-0-0</f>
        <v>930.020758</v>
      </c>
      <c r="O156" s="3">
        <f>1220.4+(490.7-690.8)+(1.244808+(0.500514-0.704616))+0-0-0</f>
        <v>1021.3407060000002</v>
      </c>
      <c r="P156" s="3">
        <f>1233.3+(539.6-680.9)+(2.515932+(1.100784-1.389036))+0-0-0</f>
        <v>1094.22768</v>
      </c>
      <c r="Q156" s="3">
        <f>1178.5+(615-665.4)+(1.20207+(0.6273-0.678708))+0-0-0</f>
        <v>1129.2506619999999</v>
      </c>
      <c r="R156" s="3">
        <f>1120.8+(665-647.7)+(1.714824+(1.01745-0.990981))+0-0-0</f>
        <v>1139.841293</v>
      </c>
      <c r="S156" s="3">
        <f>1126.8+(690.6-692)+(0+(0-0))+0-0-0</f>
        <v>1125.4000000000001</v>
      </c>
      <c r="T156" s="3">
        <f>1136.5+(641.4-670.6)+(0+(0-0))+0-0-0</f>
        <v>1107.3</v>
      </c>
      <c r="U156" s="3">
        <f>1163.4+(662.2-725.7)+(-3.560004+(-2.026332--2.220642))+0-0-0</f>
        <v>1096.534306</v>
      </c>
      <c r="V156" s="3">
        <f>1165.5+(723.5-761.1)+(-1.783215+(-1.106955--1.164483))+0-0-0</f>
        <v>1126.174313</v>
      </c>
      <c r="W156" s="3">
        <f>1166.9+(696.4-749.4)+(-1.190238+(-0.710328--0.764388))+0-0-0</f>
        <v>1112.7638220000001</v>
      </c>
      <c r="X156" s="3">
        <f>1161.9+(641.9-729.8)+(-1.777707+(-0.982107--1.116594))+0-0-0</f>
        <v>1072.3567800000001</v>
      </c>
      <c r="Y156" s="3">
        <f>1190.8+(647.4-750.1)+(1.214616+(0.660348-0.765102))+0-0-0</f>
        <v>1089.2098619999999</v>
      </c>
      <c r="Z156" s="3">
        <f>1209.4+(744.7-722.2)+(-1.233588+(-0.759594--0.736644))+0-0-0</f>
        <v>1230.643462</v>
      </c>
      <c r="AA156" s="3">
        <f>1229.4+(715.1-701.2)+(-1.880982+(-1.094103--1.072836))+0-0-0</f>
        <v>1241.3977510000002</v>
      </c>
      <c r="AB156" s="3">
        <f>1236.2+(700.4-720.2)+(-1.891386+(-1.071612--1.101906))+0-0-0</f>
        <v>1214.538908</v>
      </c>
      <c r="AC156" s="3">
        <f>1242.2+(651.4-735.8)+(-1.267044+(-0.664428--0.750516))+0-0-0</f>
        <v>1156.6190440000003</v>
      </c>
      <c r="AD156">
        <v>1252.7</v>
      </c>
      <c r="AE156" s="3">
        <f>1219+(718.2-684.5)+(0+(0-0))+0-0-0</f>
        <v>1252.7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1250.4+(584.8-744.9)+(-0.637704+(-0.298248--0.379899))+0-0-0</f>
        <v>1089.7439470000002</v>
      </c>
      <c r="G157" s="3">
        <f>1260.1+(571.4-795.8)+(-1.927953+(-0.874242--1.217574))+0-0-0</f>
        <v>1034.1153789999998</v>
      </c>
      <c r="H157" s="3">
        <f>1186.6+(535.9-749.6)+(-1.210332+(-0.546618--0.764592))+0-0-0</f>
        <v>971.9076419999999</v>
      </c>
      <c r="I157" s="3">
        <f>1219.2+(532.7-780.9)+(-3.10896+(-1.358385--1.991295))+0-0-0</f>
        <v>968.52395000000013</v>
      </c>
      <c r="J157" s="3">
        <f>1231.8+(548-819.7)+(0.628218+(0.27948-0.418047))+0-0-0</f>
        <v>960.58965099999989</v>
      </c>
      <c r="K157" s="3">
        <f>1214+(527.1-797.2)+(-3.0957+(-1.344105--2.03286))+0-0-0</f>
        <v>941.49305500000003</v>
      </c>
      <c r="L157" s="3">
        <f>1087.2+(488-676.9)+(-1.663416+(-0.74664--1.035657))+0-0-0</f>
        <v>896.92560100000003</v>
      </c>
      <c r="M157" s="3">
        <f>933.7+(492-553.7)+(-0.952374+(-0.50184--0.564774))+0-0-0</f>
        <v>871.11055999999996</v>
      </c>
      <c r="N157" s="3">
        <f>1072.6+(414.7-579.5)+(1.094052+(0.422994-0.59109))+0-0-0</f>
        <v>908.725956</v>
      </c>
      <c r="O157" s="3">
        <f>1217.6+(412.7-639.4)+(1.241952+(0.420954-0.652188))+0-0-0</f>
        <v>991.91071799999986</v>
      </c>
      <c r="P157" s="3">
        <f>1209.9+(551.9-697.4)+(0.617049+(0.281469-0.355674))+0-0-0</f>
        <v>1064.9428440000002</v>
      </c>
      <c r="Q157" s="3">
        <f>1200.9+(574.8-668.2)+(-1.224918+(-0.586296--0.681564))+0-0-0</f>
        <v>1106.3703499999999</v>
      </c>
      <c r="R157" s="3">
        <f>1196.5+(614.9-688)+(-0.610215+(-0.313599--0.35088))+0-0-0</f>
        <v>1122.8270660000001</v>
      </c>
      <c r="S157" s="3">
        <f>1174.6+(665.6-748.2)+(-2.99523+(-1.69728--1.90791))+0-0-0</f>
        <v>1089.2154</v>
      </c>
      <c r="T157" s="3">
        <f>1173.1+(662.9-745.1)+(-2.991405+(-1.690395--1.900005))+0-0-0</f>
        <v>1088.1182049999998</v>
      </c>
      <c r="U157" s="3">
        <f>1170.4+(678.6-752.5)+(-1.790712+(-1.038258--1.151325))+0-0-0</f>
        <v>1094.822355</v>
      </c>
      <c r="V157" s="3">
        <f>1167.8+(714.2-780.1)+(-1.786734+(-1.092726--1.193553))+0-0-0</f>
        <v>1100.214093</v>
      </c>
      <c r="W157" s="3">
        <f>1165.8+(710.2-773.3)+(-1.189116+(-0.724404--0.788766))+0-0-0</f>
        <v>1101.5752460000001</v>
      </c>
      <c r="X157" s="3">
        <f>1158.5+(665.1-739.7)+(-2.954175+(-1.696005--1.886235))+0-0-0</f>
        <v>1081.1360550000002</v>
      </c>
      <c r="Y157" s="3">
        <f>1200.4+(582.5-710)+(-0.612204+(-0.297075--0.3621))+0-0-0</f>
        <v>1072.3528210000002</v>
      </c>
      <c r="Z157" s="3">
        <f>1277.9+(681.5-742.4)+(0+(0-0))+0-0-0</f>
        <v>1217</v>
      </c>
      <c r="AA157" s="3">
        <f>1290.5+(652.7-702.4)+(-2.63262+(-1.331508--1.432896))+0-0-0</f>
        <v>1238.2687680000001</v>
      </c>
      <c r="AB157" s="3">
        <f>1299.1+(656.9-758)+(0.662541+(0.335019-0.38658))+0-0-0</f>
        <v>1198.6109799999999</v>
      </c>
      <c r="AC157" s="3">
        <f>1315.6+(641.7-799.9)+(-2.683824+(-1.309068--1.631796))+0-0-0</f>
        <v>1155.038904</v>
      </c>
      <c r="AD157">
        <v>1228.4000000000001</v>
      </c>
      <c r="AE157" s="3">
        <f>1278+(681.3-730.9)+(0+(0-0))+0-0-0</f>
        <v>1228.4000000000001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1320.5+(587-834.2)+(-0.673455+(-0.29937--0.425442))+0-0-0</f>
        <v>1072.7526169999999</v>
      </c>
      <c r="G158" s="3">
        <f>1319.3+(505.5-830.5)+(0+(0-0))+0-0-0</f>
        <v>994.3</v>
      </c>
      <c r="H158" s="3">
        <f>1324+(455.5-820.3)+(0+(0-0))+0-0-0</f>
        <v>959.2</v>
      </c>
      <c r="I158" s="3">
        <f>1196.9+(473.8-733.1)+(1.831257+(0.724914-1.121643))+0-0-0</f>
        <v>939.03452800000014</v>
      </c>
      <c r="J158" s="3">
        <f>1157.8+(447.2-679.5)+(-0.590478+(-0.228072--0.346545))+0-0-0</f>
        <v>925.02799500000003</v>
      </c>
      <c r="K158" s="3">
        <f>1086+(457.8-628.2)+(-2.7693+(-1.16739--1.60191))+0-0-0</f>
        <v>913.26521999999989</v>
      </c>
      <c r="L158" s="3">
        <f>948.6+(472.3-545.3)+(-1.935144+(-0.963492--1.112412))+0-0-0</f>
        <v>873.81377600000019</v>
      </c>
      <c r="M158" s="3">
        <f>910.3+(457.4-522.2)+(0.928506+(0.466548-0.532644))+0-0-0</f>
        <v>846.36240999999984</v>
      </c>
      <c r="N158" s="3">
        <f>1074.9+(409.4-564.9)+(0+(0-0))+0-0-0</f>
        <v>919.40000000000009</v>
      </c>
      <c r="O158" s="3">
        <f>1118.9+(474.4-595.8)+(0.570639+(0.241944-0.303858))+0-0-0</f>
        <v>998.00872500000014</v>
      </c>
      <c r="P158" s="3">
        <f>1114+(498-565.3)+(2.27256+(1.01592-1.153212))+0-0-0</f>
        <v>1048.835268</v>
      </c>
      <c r="Q158" s="3">
        <f>1094.6+(571.7-574.1)+(-2.79123+(-1.457835--1.463955))+0-0-0</f>
        <v>1089.4148899999998</v>
      </c>
      <c r="R158" s="3">
        <f>1100.1+(611.8-622.9)+(1.122102+(0.624036-0.635358))+0-0-0</f>
        <v>1090.11078</v>
      </c>
      <c r="S158" s="3">
        <f>1083.8+(654.6-668)+(-1.658214+(-1.001538--1.02204))+0-0-0</f>
        <v>1068.7622880000001</v>
      </c>
      <c r="T158" s="3">
        <f>1085.8+(664.2-670.9)+(0.553758+(0.338742-0.342159))+0-0-0</f>
        <v>1079.6503409999998</v>
      </c>
      <c r="U158" s="3">
        <f>1079.7+(708.4-698.5)+(0+(0-0))+0-0-0</f>
        <v>1089.5999999999999</v>
      </c>
      <c r="V158" s="3">
        <f>1075.9+(732.9-713.7)+(-2.743545+(-1.868895--1.819935))+0-0-0</f>
        <v>1092.307495</v>
      </c>
      <c r="W158" s="3">
        <f>1078.5+(642.6-643)+(-1.650105+(-0.983178--0.98379))+0-0-0</f>
        <v>1076.450507</v>
      </c>
      <c r="X158" s="3">
        <f>1051.5+(589-577.6)+(-1.608795+(-0.90117--0.883728))+0-0-0</f>
        <v>1061.2737630000001</v>
      </c>
      <c r="Y158" s="3">
        <f>944.2+(628.6-535.8)+(0.963084+(0.641172-0.546516))+0-0-0</f>
        <v>1038.05774</v>
      </c>
      <c r="Z158" s="3">
        <f>1076.4+(695.6-594.1)+(-3.842748+(-2.483292--2.120937))+0-0-0</f>
        <v>1173.6948970000001</v>
      </c>
      <c r="AA158" s="3">
        <f>1091.7+(670.3-561.6)+(-1.670301+(-1.025559--0.859248))+0-0-0</f>
        <v>1198.563388</v>
      </c>
      <c r="AB158" s="3">
        <f>1107.5+(610.8-568.3)+(0.564825+(0.311508-0.289833))+0-0-0</f>
        <v>1150.5864999999999</v>
      </c>
      <c r="AC158" s="3">
        <f>1095.1+(583.5-571.8)+(-2.792505+(-1.487925--1.45809))+0-0-0</f>
        <v>1103.97766</v>
      </c>
      <c r="AD158">
        <v>1201.8</v>
      </c>
      <c r="AE158" s="3">
        <f>1089+(712.3-599.5)+(0+(0-0))+0-0-0</f>
        <v>1201.8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1106.4+(547.6-613.5)+(-2.82132+(-1.39638--1.564425))+0-0-0</f>
        <v>1037.8467250000001</v>
      </c>
      <c r="G159" s="3">
        <f>1108.1+(525.8-654.6)+(-2.825655+(-1.34079--1.66923))+0-0-0</f>
        <v>976.80278499999986</v>
      </c>
      <c r="H159" s="3">
        <f>1120.5+(507-693.2)+(1.14291+(0.51714-0.707064))+0-0-0</f>
        <v>935.25298599999996</v>
      </c>
      <c r="I159" s="3">
        <f>1114.2+(492.7-688.9)+(-1.704726+(-0.753831--1.054017))+0-0-0</f>
        <v>916.59546</v>
      </c>
      <c r="J159" s="3">
        <f>1069.5+(510-661)+(0+(0-0))+0-0-0</f>
        <v>918.5</v>
      </c>
      <c r="K159" s="3">
        <f>1027.1+(523.4-649.7)+(-2.619105+(-1.33467--1.656735))+0-0-0</f>
        <v>898.5029599999998</v>
      </c>
      <c r="L159" s="3">
        <f>938+(516.8-595.8)+(-3.34866+(-1.844976--2.127006))+0-0-0</f>
        <v>855.93336999999997</v>
      </c>
      <c r="M159" s="3">
        <f>821.1+(567.6-582.9)+(0.418761+(0.289476-0.297279))+0-0-0</f>
        <v>806.21095800000012</v>
      </c>
      <c r="N159" s="3">
        <f>957.5+(472.4-597.1)+(0.488325+(0.240924-0.304521))+0-0-0</f>
        <v>833.22472799999991</v>
      </c>
      <c r="O159" s="3">
        <f>1058.8+(427.6-585.3)+(-1.079976+(-0.436152--0.597006))+0-0-0</f>
        <v>900.18087800000001</v>
      </c>
      <c r="P159" s="3">
        <f>1065.5+(466.1-571.7)+(1.08681+(0.475422-0.583134))+0-0-0</f>
        <v>960.879098</v>
      </c>
      <c r="Q159" s="3">
        <f>1077.7+(465.2-547.6)+(2.198508+(0.949008-1.117104))+0-0-0</f>
        <v>997.33041199999991</v>
      </c>
      <c r="R159" s="3">
        <f>1097.5+(597.1-662.4)+(-1.679175+(-0.913563--1.013472))+0-0-0</f>
        <v>1030.6207340000001</v>
      </c>
      <c r="S159" s="3">
        <f>1085+(635.8-710.9)+(-1.1067+(-0.648516--0.725118))+0-0-0</f>
        <v>1008.869902</v>
      </c>
      <c r="T159" s="3">
        <f>1090.3+(637.2-730.9)+(0.556053+(0.324972-0.372759))+0-0-0</f>
        <v>997.10826600000007</v>
      </c>
      <c r="U159" s="3">
        <f>1082.9+(651.4-727.8)+(0+(0-0))+0-0-0</f>
        <v>1006.5000000000001</v>
      </c>
      <c r="V159" s="3">
        <f>1072.6+(669.2-732.9)+(0+(0-0))+0-0-0</f>
        <v>1008.9</v>
      </c>
      <c r="W159" s="3">
        <f>1073.2+(633.3-693.3)+(0+(0-0))+0-0-0</f>
        <v>1013.2</v>
      </c>
      <c r="X159" s="3">
        <f>1068.4+(587.1-672.6)+(-1.634652+(-0.898263--1.029078))+0-0-0</f>
        <v>981.39616300000012</v>
      </c>
      <c r="Y159" s="3">
        <f>1084.2+(515.1-625.1)+(1.658826+(0.788103-0.956403))+0-0-0</f>
        <v>975.69052600000009</v>
      </c>
      <c r="Z159" s="3">
        <f>1083.7+(675.4-624.3)+(-1.105374+(-0.688908--0.636786))+0-0-0</f>
        <v>1133.6425040000001</v>
      </c>
      <c r="AA159" s="3">
        <f>1087.6+(696.9-626.7)+(-0.554676+(-0.355419--0.319617))+0-0-0</f>
        <v>1157.2095219999997</v>
      </c>
      <c r="AB159" s="3">
        <f>1094.5+(667.8-624.8)+(-1.11639+(-0.681156--0.637296))+0-0-0</f>
        <v>1136.3397500000001</v>
      </c>
      <c r="AC159" s="3">
        <f>1188.6+(625.3-716.6)+(0.606186+(0.318903-0.365466))+0-0-0</f>
        <v>1097.8596229999998</v>
      </c>
      <c r="AD159">
        <v>1141.4000000000001</v>
      </c>
      <c r="AE159" s="3">
        <f>1077+(681.5-617.1)+(0+(0-0))+0-0-0</f>
        <v>1141.4000000000001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1212.4+(593.8-764.4)+(-0.618324+(-0.302838--0.389844))+0-0-0</f>
        <v>1041.2686820000001</v>
      </c>
      <c r="G160" s="3">
        <f>1221+(596.2-840.7)+(-3.73626+(-1.824372--2.572542))+0-0-0</f>
        <v>973.51190999999994</v>
      </c>
      <c r="H160" s="3">
        <f>1225.1+(556.9-849.2)+(-2.499204+(-1.136076--1.732368))+0-0-0</f>
        <v>930.89708799999983</v>
      </c>
      <c r="I160" s="3">
        <f>1228.4+(495.3-822.3)+(0.626484+(0.252603-0.419373))+0-0-0</f>
        <v>901.85971400000005</v>
      </c>
      <c r="J160" s="3">
        <f>1233.8+(395.5-727.5)+(1.258476+(0.40341-0.74205))+0-0-0</f>
        <v>902.71983599999999</v>
      </c>
      <c r="K160" s="3">
        <f>1217.9+(395.6-729.1)+(-0.621129+(-0.201756--0.371841))+0-0-0</f>
        <v>883.94895600000007</v>
      </c>
      <c r="L160" s="3">
        <f>1124.2+(404.5-688.1)+(-2.86671+(-1.031475--1.754655))+0-0-0</f>
        <v>838.45646999999997</v>
      </c>
      <c r="M160" s="3">
        <f>1117.7+(369.3-656.1)+(-1.140054+(-0.376686--0.669222))+0-0-0</f>
        <v>830.05248200000005</v>
      </c>
      <c r="N160" s="3">
        <f>1118.5+(410.4-622.2)+(-1.14087+(-0.418608--0.634644))+0-0-0</f>
        <v>905.7751659999999</v>
      </c>
      <c r="O160" s="3">
        <f>1119.3+(454.2-596.5)+(1.141686+(0.463284-0.60843))+0-0-0</f>
        <v>977.99653999999998</v>
      </c>
      <c r="P160" s="3">
        <f>1111.4+(492-568.4)+(0.566814+(0.25092-0.289884))+0-0-0</f>
        <v>1035.5278499999999</v>
      </c>
      <c r="Q160" s="3">
        <f>1112.2+(521-561.3)+(1.134444+(0.53142-0.572526))+0-0-0</f>
        <v>1072.993338</v>
      </c>
      <c r="R160" s="3">
        <f>1101.1+(531.4-607.8)+(-0.561561+(-0.271014--0.309978))+0-0-0</f>
        <v>1024.1774029999999</v>
      </c>
      <c r="S160" s="3">
        <f>1090.7+(644.2-706.7)+(-1.668771+(-0.985626--1.081251))+0-0-0</f>
        <v>1026.6268540000001</v>
      </c>
      <c r="T160" s="3">
        <f>1088.4+(651.7-693.8)+(-0.555084+(-0.332367--0.353838))+0-0-0</f>
        <v>1045.7663870000001</v>
      </c>
      <c r="U160" s="3">
        <f>1089.4+(663.1-705.1)+(-1.111188+(-0.676362--0.719202))+0-0-0</f>
        <v>1046.3316520000001</v>
      </c>
      <c r="V160" s="3">
        <f>1079.2+(689.7-722.8)+(-3.302352+(-2.110482--2.211768))+0-0-0</f>
        <v>1042.8989340000001</v>
      </c>
      <c r="W160" s="3">
        <f>1092.5+(624.4-687.2)+(-1.11435+(-0.636888--0.700944))+0-0-0</f>
        <v>1028.6497059999999</v>
      </c>
      <c r="X160" s="3">
        <f>1090.6+(546.9-641.7)+(-1.668618+(-0.836757--0.981801))+0-0-0</f>
        <v>994.27642599999979</v>
      </c>
      <c r="Y160" s="3">
        <f>1094.5+(512.7-638.1)+(0+(0-0))+0-0-0</f>
        <v>969.1</v>
      </c>
      <c r="Z160" s="3">
        <f>1097.7+(639.5-627.3)+(-1.119654+(-0.65229--0.639846))+0-0-0</f>
        <v>1108.767902</v>
      </c>
      <c r="AA160" s="3">
        <f>1096.5+(638.6-593)+(-2.796075+(-1.62843--1.51215))+0-0-0</f>
        <v>1139.187645</v>
      </c>
      <c r="AB160" s="3">
        <f>1107.7+(599.9-599.1)+(-1.694781+(-0.917847--0.916623))+0-0-0</f>
        <v>1106.803995</v>
      </c>
      <c r="AC160" s="3">
        <f>1114.5+(553.1-610)+(0.568395+(0.282081-0.3111))+0-0-0</f>
        <v>1058.1393759999999</v>
      </c>
      <c r="AD160">
        <v>1195.5999999999999</v>
      </c>
      <c r="AE160" s="3">
        <f>1108+(684-596.4)+(0+(0-0))+0-0-0</f>
        <v>1195.5999999999999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1103.6+(578.8-650.7)+(-1.125672+(-0.590376--0.663714))+0-0-0</f>
        <v>1030.6476659999998</v>
      </c>
      <c r="G161" s="3">
        <f>1102.3+(564.1-700.2)+(-1.124346+(-0.575382--0.714204))+0-0-0</f>
        <v>965.21447599999988</v>
      </c>
      <c r="H161" s="3">
        <f>1099.8+(544.8-721.7)+(-2.243592+(-1.111392--1.472268))+0-0-0</f>
        <v>921.0172839999999</v>
      </c>
      <c r="I161" s="3">
        <f>1110.4+(477-690)+(0.566304+(0.24327-0.3519))+0-0-0</f>
        <v>897.85767400000009</v>
      </c>
      <c r="J161" s="3">
        <f>1115+(434-645.3)+(1.1373+(0.44268-0.658206))+0-0-0</f>
        <v>904.62177400000007</v>
      </c>
      <c r="K161" s="3">
        <f>1034.6+(440.6-581.6)+(-2.63823+(-1.12353--1.48308))+0-0-0</f>
        <v>891.3213199999999</v>
      </c>
      <c r="L161" s="3">
        <f>863.1+(508.7-519.6)+(-1.760724+(-1.037748--1.059984))+0-0-0</f>
        <v>850.46151200000008</v>
      </c>
      <c r="M161" s="3">
        <f>759.9+(568.1-495.1)+(0.387549+(0.289731-0.252501))+0-0-0</f>
        <v>833.32477899999992</v>
      </c>
      <c r="N161" s="3">
        <f>986.8+(443.7-537.9)+(0.503268+(0.226287-0.274329))+0-0-0</f>
        <v>893.05522599999995</v>
      </c>
      <c r="O161" s="3">
        <f>1093.2+(421-539.1)+(-1.115064+(-0.42942--0.549882))+0-0-0</f>
        <v>974.10539800000004</v>
      </c>
      <c r="P161" s="3">
        <f>1130.9+(473.1-565.1)+(0.576759+(0.241281-0.288201))+0-0-0</f>
        <v>1039.4298390000001</v>
      </c>
      <c r="Q161" s="3">
        <f>1125.2+(548.2-594.2)+(-0.573852+(-0.279582--0.303042))+0-0-0</f>
        <v>1078.6496079999999</v>
      </c>
      <c r="R161" s="3">
        <f>1126.6+(617.4-657.2)+(0.574566+(0.314874-0.335172))+0-0-0</f>
        <v>1087.3542679999998</v>
      </c>
      <c r="S161" s="3">
        <f>1110.4+(637.1-698.8)+(-2.265216+(-1.299684--1.425552))+0-0-0</f>
        <v>1046.5606520000003</v>
      </c>
      <c r="T161" s="3">
        <f>1113.7+(618.6-682.7)+(-1.703961+(-0.946458--1.044531))+0-0-0</f>
        <v>1047.9941119999999</v>
      </c>
      <c r="U161" s="3">
        <f>1106.4+(650-700)+(-1.128528+(-0.663--0.714))+0-0-0</f>
        <v>1055.3224720000001</v>
      </c>
      <c r="V161" s="3">
        <f>1101.8+(652-694.4)+(-1.123836+(-0.66504--0.708288))+0-0-0</f>
        <v>1058.3194120000001</v>
      </c>
      <c r="W161" s="3">
        <f>1097+(612.9-655)+(-2.79735+(-1.562895--1.67025))+0-0-0</f>
        <v>1052.2100050000001</v>
      </c>
      <c r="X161" s="3">
        <f>1091.9+(531.8-584.8)+(-3.341214+(-1.627308--1.789488))+0-0-0</f>
        <v>1035.7209660000001</v>
      </c>
      <c r="Y161" s="3">
        <f>1102.7+(488.1-555.6)+(0+(0-0))+0-0-0</f>
        <v>1035.2</v>
      </c>
      <c r="Z161" s="3">
        <f>1099.5+(674.8-597.6)+(-2.24298+(-1.376592--1.219104))+0-0-0</f>
        <v>1174.2995319999998</v>
      </c>
      <c r="AA161" s="3">
        <f>1105.8+(645.7-577)+(-2.81979+(-1.646535--1.47135))+0-0-0</f>
        <v>1171.5050249999999</v>
      </c>
      <c r="AB161" s="3">
        <f>1107.3+(597.3-573.8)+(-2.258892+(-1.218492--1.170552))+0-0-0</f>
        <v>1128.493168</v>
      </c>
      <c r="AC161" s="3">
        <f>1115.9+(556.9-595.6)+(-1.707327+(-0.852057--0.911268))+0-0-0</f>
        <v>1075.551884</v>
      </c>
      <c r="AD161">
        <v>1190.1999999999998</v>
      </c>
      <c r="AE161" s="3">
        <f>1106+(655.6-571.4)+(0+(0-0))+0-0-0</f>
        <v>1190.2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1122+(526.6-635.8)+(-0.57222+(-0.268566--0.324258))+0-0-0</f>
        <v>1012.2834720000001</v>
      </c>
      <c r="G162" s="3">
        <f>1125+(464.2-638.1)+(0+(0-0))+0-0-0</f>
        <v>951.09999999999991</v>
      </c>
      <c r="H162" s="3">
        <f>1102.7+(413.4-629.2)+(0+(0-0))+0-0-0</f>
        <v>886.9</v>
      </c>
      <c r="I162" s="3">
        <f>1101.1+(399.5-620.1)+(-1.684683+(-0.611235--0.948753))+0-0-0</f>
        <v>879.15283499999987</v>
      </c>
      <c r="J162" s="3">
        <f>1128.9+(388.7-622.6)+(0.575739+(0.198237-0.317526))+0-0-0</f>
        <v>895.45645000000002</v>
      </c>
      <c r="K162" s="3">
        <f>1076.6+(420.4-619.7)+(-0.549066+(-0.214404--0.316047))+0-0-0</f>
        <v>876.85257699999988</v>
      </c>
      <c r="L162" s="3">
        <f>998.1+(447.7-601.1)+(-2.036124+(-0.913308--1.226244))+0-0-0</f>
        <v>842.976812</v>
      </c>
      <c r="M162" s="3">
        <f>802.6+(513.7-503.1)+(-1.637304+(-1.047948--1.026324))+0-0-0</f>
        <v>811.5410720000001</v>
      </c>
      <c r="N162" s="3">
        <f>834.1+(539.5-506.3)+(0.850782+(0.55029-0.516426))+0-0-0</f>
        <v>868.18464599999993</v>
      </c>
      <c r="O162" s="3">
        <f>1039.1+(481.7-576.6)+(0.529941+(0.245667-0.294066))+0-0-0</f>
        <v>944.68154199999981</v>
      </c>
      <c r="P162" s="3">
        <f>1138.1+(454.3-600.5)+(0+(0-0))+0-0-0</f>
        <v>991.89999999999986</v>
      </c>
      <c r="Q162" s="3">
        <f>1131.7+(499.2-618.4)+(-0.577167+(-0.254592--0.315384))+0-0-0</f>
        <v>1011.983625</v>
      </c>
      <c r="R162" s="3">
        <f>1121.9+(487.2-631.8)+(-2.288676+(-0.993888--1.288872))+0-0-0</f>
        <v>975.30630800000017</v>
      </c>
      <c r="S162" s="3">
        <f>1098.8+(544.1-683.2)+(-3.922716+(-1.942437--2.439024))+0-0-0</f>
        <v>956.27387099999999</v>
      </c>
      <c r="T162" s="3">
        <f>1108.6+(583.1-725.6)+(-2.82693+(-1.486905--1.85028))+0-0-0</f>
        <v>963.63644499999987</v>
      </c>
      <c r="U162" s="3">
        <f>1110.2+(604.4-740)+(-1.698606+(-0.924732--1.1322))+0-0-0</f>
        <v>973.10886200000004</v>
      </c>
      <c r="V162" s="3">
        <f>1113.4+(517.8-664.8)+(-1.703502+(-0.792234--1.017144))+0-0-0</f>
        <v>964.92140800000004</v>
      </c>
      <c r="W162" s="3">
        <f>1091+(491.7-622.3)+(-1.66923+(-0.752301--0.952119))+0-0-0</f>
        <v>958.93058800000006</v>
      </c>
      <c r="X162" s="3">
        <f>854.3+(665.4-574.3)+(0.435693+(0.339354-0.292893))+0-0-0</f>
        <v>945.88215400000001</v>
      </c>
      <c r="Y162" s="3">
        <f>832.5+(668.6-556.7)+(-0.84915+(-0.681972--0.567834))+0-0-0</f>
        <v>943.43671199999994</v>
      </c>
      <c r="Z162" s="3">
        <f>1110.1+(569.2-580.8)+(-3.396906+(-1.741752--1.777248))+0-0-0</f>
        <v>1095.13859</v>
      </c>
      <c r="AA162" s="3">
        <f>1098.9+(537-548.6)+(-2.241756+(-1.09548--1.119144))+0-0-0</f>
        <v>1085.0819080000001</v>
      </c>
      <c r="AB162" s="3">
        <f>1077.7+(540.5-574)+(0.549627+(0.275655-0.29274))+0-0-0</f>
        <v>1044.732542</v>
      </c>
      <c r="AC162" s="3">
        <f>1075.2+(499.6-577.5)+(-1.096704+(-0.509592--0.58905))+0-0-0</f>
        <v>996.28275400000007</v>
      </c>
      <c r="AD162">
        <v>1147.0999999999999</v>
      </c>
      <c r="AE162" s="3">
        <f>1132+(573-557.9)+(0+(0-0))+0-0-0</f>
        <v>1147.0999999999999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1075.5+(499-608.4)+(0+(0-0))+0-0-0</f>
        <v>966.1</v>
      </c>
      <c r="G163" s="3">
        <f>1074+(432.1-613.6)+(0+(0-0))+0-0-0</f>
        <v>892.5</v>
      </c>
      <c r="H163" s="3">
        <f>1058.2+(398.9-615.9)+(1.619046+(0.610317-0.942327))+0-0-0</f>
        <v>842.48703599999999</v>
      </c>
      <c r="I163" s="3">
        <f>1031.9+(422.5-631.7)+(0+(0-0))+0-0-0</f>
        <v>822.7</v>
      </c>
      <c r="J163" s="3">
        <f>1032.4+(389.8-608.3)+(0+(0-0))+0-0-0</f>
        <v>813.90000000000009</v>
      </c>
      <c r="K163" s="3">
        <f>1019.6+(400.7-613.5)+(-3.639972+(-1.430499--2.190195))+0-0-0</f>
        <v>803.91972399999997</v>
      </c>
      <c r="L163" s="3">
        <f>919.4+(489-600.3)+(-3.282258+(-1.74573--2.143071))+0-0-0</f>
        <v>805.21508300000005</v>
      </c>
      <c r="M163" s="3">
        <f>715.1+(563.4-501.4)+(0+(0-0))+0-0-0</f>
        <v>777.1</v>
      </c>
      <c r="N163" s="3">
        <f>760.6+(622.1-555.5)+(0.775812+(0.634542-0.56661))+0-0-0</f>
        <v>828.04374400000006</v>
      </c>
      <c r="O163" s="3">
        <f>820+(670-571.8)+(0.8364+(0.6834-0.583236))+0-0-0</f>
        <v>919.13656400000002</v>
      </c>
      <c r="P163" s="3">
        <f>1128.7+(446.8-596.9)+(0.575637+(0.227868-0.304419))+0-0-0</f>
        <v>979.09908600000017</v>
      </c>
      <c r="Q163" s="3">
        <f>1137+(494.4-626.4)+(0.57987+(0.252144-0.319464))+0-0-0</f>
        <v>1005.51255</v>
      </c>
      <c r="R163" s="3">
        <f>1129.9+(522.6-645)+(-1.728747+(-0.799578--0.98685))+0-0-0</f>
        <v>1005.9585250000001</v>
      </c>
      <c r="S163" s="3">
        <f>1117.1+(566.7-710)+(-2.278884+(-1.156068--1.4484))+0-0-0</f>
        <v>971.81344799999999</v>
      </c>
      <c r="T163" s="3">
        <f>1121.6+(543.3-688.9)+(-0.572016+(-0.277083--0.351339))+0-0-0</f>
        <v>975.50223999999992</v>
      </c>
      <c r="U163" s="3">
        <f>1115.5+(536.9-672.9)+(0.568905+(0.273819-0.343179))+0-0-0</f>
        <v>979.99954500000001</v>
      </c>
      <c r="V163" s="3">
        <f>1106.5+(557.5-666.1)+(-1.692945+(-0.852975--1.019133))+0-0-0</f>
        <v>996.37321299999996</v>
      </c>
      <c r="W163" s="3">
        <f>1073.8+(543.5-614)+(-3.285828+(-1.66311--1.87884))+0-0-0</f>
        <v>1000.2299019999999</v>
      </c>
      <c r="X163" s="3">
        <f>813+(704.5-531.6)+(-2.48778+(-2.15577--1.626696))+0-0-0</f>
        <v>982.88314600000001</v>
      </c>
      <c r="Y163" s="3">
        <f>760.2+(758.1-534.4)+(-1.163106+(-1.159893--0.817632))+0-0-0</f>
        <v>982.39463300000011</v>
      </c>
      <c r="Z163" s="3">
        <f>987.1+(694.9-562)+(-2.517105+(-1.771995--1.4331))+0-0-0</f>
        <v>1117.144</v>
      </c>
      <c r="AA163" s="3">
        <f>1080.5+(590.8-555)+(-4.40844+(-2.410464--2.2644))+0-0-0</f>
        <v>1111.745496</v>
      </c>
      <c r="AB163" s="3">
        <f>1059.2+(563-538.4)+(0+(0-0))+0-0-0</f>
        <v>1083.8000000000002</v>
      </c>
      <c r="AC163" s="3">
        <f>1036+(531-537.3)+(0.52836+(0.27081-0.274023))+0-0-0</f>
        <v>1030.2251470000001</v>
      </c>
      <c r="AD163">
        <v>1074.8999999999999</v>
      </c>
      <c r="AE163" s="3">
        <f>1119+(534.1-578.2)+(0+(0-0))+0-0-0</f>
        <v>1074.9000000000001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1034+(479.8-550.9)+(0+(0-0))+0-0-0</f>
        <v>962.90000000000009</v>
      </c>
      <c r="G164" s="3">
        <f>1036.1+(435.3-582)+(-0.528411+(-0.222003--0.29682))+0-0-0</f>
        <v>888.94640599999991</v>
      </c>
      <c r="H164" s="3">
        <f>1011+(451.1-632.9)+(-1.03122+(-0.460122--0.645558))+0-0-0</f>
        <v>828.35421600000006</v>
      </c>
      <c r="I164" s="3">
        <f>995.5+(469.4-655.6)+(0.507705+(0.239394-0.334356))+0-0-0</f>
        <v>809.71274299999993</v>
      </c>
      <c r="J164" s="3">
        <f>995.1+(462-663)+(0+(0-0))+0-0-0</f>
        <v>794.1</v>
      </c>
      <c r="K164" s="3">
        <f>994.2+(386.5-592)+(0+(0-0))+0-0-0</f>
        <v>788.7</v>
      </c>
      <c r="L164" s="3">
        <f>976.7+(379-578.2)+(-3.486819+(-1.35303--2.064174))+0-0-0</f>
        <v>774.72432500000002</v>
      </c>
      <c r="M164" s="3">
        <f>815.9+(486.4-542.4)+(-1.248327+(-0.744192--0.829872))+0-0-0</f>
        <v>758.73735299999998</v>
      </c>
      <c r="N164" s="3">
        <f>714.1+(616.8-553.9)+(1.092573+(0.943704-0.847467))+0-0-0</f>
        <v>778.18880999999999</v>
      </c>
      <c r="O164" s="3">
        <f>777+(548-530.3)+(0.79254+(0.55896-0.540906))+0-0-0</f>
        <v>795.51059400000008</v>
      </c>
      <c r="P164" s="3">
        <f>962.8+(448.5-557.7)+(-0.491028+(-0.228735--0.284427))+0-0-0</f>
        <v>853.1646639999999</v>
      </c>
      <c r="Q164" s="3">
        <f>918.1+(509.8-543.3)+(0+(0-0))+0-0-0</f>
        <v>884.60000000000014</v>
      </c>
      <c r="R164" s="3">
        <f>910.3+(531.4-545.4)+(-0.464253+(-0.271014--0.278154))+0-0-0</f>
        <v>895.84288699999991</v>
      </c>
      <c r="S164" s="3">
        <f>919.7+(482.9-540.4)+(0+(0-0))+0-0-0</f>
        <v>862.2</v>
      </c>
      <c r="T164" s="3">
        <f>999.8+(439.5-576.8)+(-2.54949+(-1.120725--1.47084))+0-0-0</f>
        <v>860.30062499999997</v>
      </c>
      <c r="U164" s="3">
        <f>982.6+(483-588.2)+(-2.50563+(-1.23165--1.49991))+0-0-0</f>
        <v>875.16262999999992</v>
      </c>
      <c r="V164" s="3">
        <f>933.9+(518.5-577.7)+(0+(0-0))+0-0-0</f>
        <v>874.69999999999993</v>
      </c>
      <c r="W164" s="3">
        <f>912.7+(499.5-527.8)+(-2.792862+(-1.52847--1.615068))+0-0-0</f>
        <v>881.69373600000006</v>
      </c>
      <c r="X164" s="3">
        <f>835.3+(574.6-527.1)+(-1.278009+(-0.879138--0.806463))+0-0-0</f>
        <v>881.44931599999995</v>
      </c>
      <c r="Y164" s="3">
        <f>781.4+(664.1-537.4)+(-0.398514+(-0.338691--0.274074))+0-0-0</f>
        <v>907.63686900000005</v>
      </c>
      <c r="Z164" s="3">
        <f>952.4+(655.7-560.9)+(-2.42862+(-1.672035--1.430295))+0-0-0</f>
        <v>1044.52964</v>
      </c>
      <c r="AA164" s="3">
        <f>977.3+(651.1-562.6)+(-2.492115+(-1.660305--1.43463))+0-0-0</f>
        <v>1063.08221</v>
      </c>
      <c r="AB164" s="3">
        <f>965.2+(643.8-570.7)+(-1.969008+(-1.313352--1.164228))+0-0-0</f>
        <v>1036.1818679999999</v>
      </c>
      <c r="AC164" s="3">
        <f>993.2+(552.9-551.3)+(0+(0-0))+0-0-0</f>
        <v>994.80000000000007</v>
      </c>
      <c r="AD164">
        <v>1047.8000000000002</v>
      </c>
      <c r="AE164" s="3">
        <f>978+(656.9-587.1)+(0+(0-0))+0-0-0</f>
        <v>1047.8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994.2+(483.3-549.4)+(-0.507042+(-0.246483--0.280194))+0-0-0</f>
        <v>927.62666900000011</v>
      </c>
      <c r="G165" s="3">
        <f>957.5+(492.7-594.7)+(-1.464975+(-0.753831--0.909891))+0-0-0</f>
        <v>854.19108500000004</v>
      </c>
      <c r="H165" s="3">
        <f>945.1+(490.8-619.5)+(-0.482001+(-0.250308--0.315945))+0-0-0</f>
        <v>815.98363600000005</v>
      </c>
      <c r="I165" s="3">
        <f>944+(447.3-592.4)+(-0.96288+(-0.456246--0.604248))+0-0-0</f>
        <v>798.08512200000007</v>
      </c>
      <c r="J165" s="3">
        <f>945+(402.8-569.5)+(-0.48195+(-0.205428--0.290445))+0-0-0</f>
        <v>777.90306699999996</v>
      </c>
      <c r="K165" s="3">
        <f>941.7+(400.8-584.5)+(-1.921068+(-0.817632--1.19238))+0-0-0</f>
        <v>756.45367999999996</v>
      </c>
      <c r="L165" s="3">
        <f>825.5+(466.1-565.8)+(-2.947035+(-1.663977--2.019906))+0-0-0</f>
        <v>723.2088940000001</v>
      </c>
      <c r="M165" s="3">
        <f>658.3+(583.1-542.1)+(-0.671466+(-0.594762--0.552942))+0-0-0</f>
        <v>698.58671399999992</v>
      </c>
      <c r="N165" s="3">
        <f>848.5+(445.5-540.3)+(0+(0-0))+0-0-0</f>
        <v>753.7</v>
      </c>
      <c r="O165" s="3">
        <f>910.1+(489.1-579.8)+(0.464151+(0.249441-0.295698))+0-0-0</f>
        <v>819.81789400000014</v>
      </c>
      <c r="P165" s="3">
        <f>968.9+(477.9-567.9)+(-0.494139+(-0.243729--0.289629))+0-0-0</f>
        <v>878.45176100000003</v>
      </c>
      <c r="Q165" s="3">
        <f>999.8+(453-539.3)+(-1.529694+(-0.69309--0.825129))+0-0-0</f>
        <v>912.10234500000001</v>
      </c>
      <c r="R165" s="3">
        <f>999.7+(491-544.9)+(-0.509847+(-0.25041--0.277899))+0-0-0</f>
        <v>945.31764200000009</v>
      </c>
      <c r="S165" s="3">
        <f>996.1+(466.2-533.1)+(-1.016022+(-0.475524--0.543762))+0-0-0</f>
        <v>928.25221600000009</v>
      </c>
      <c r="T165" s="3">
        <f>992.6+(472.5-536.7)+(-0.506226+(-0.240975--0.273717))+0-0-0</f>
        <v>927.92651599999999</v>
      </c>
      <c r="U165" s="3">
        <f>974.9+(479.5-526.7)+(-1.988796+(-0.97818--1.074468))+0-0-0</f>
        <v>925.80749199999991</v>
      </c>
      <c r="V165" s="3">
        <f>982.1+(484.6-530.3)+(1.502613+(0.741438-0.811359))+0-0-0</f>
        <v>937.83269200000007</v>
      </c>
      <c r="W165" s="3">
        <f>970.4+(503.9-517.7)+(-1.979616+(-1.027956--1.056108))+0-0-0</f>
        <v>954.64853599999992</v>
      </c>
      <c r="X165" s="3">
        <f>919.9+(556-519.3)+(-0.938298+(-0.56712--0.529686))+0-0-0</f>
        <v>955.62426800000003</v>
      </c>
      <c r="Y165" s="3">
        <f>767.6+(698.1-530.5)+(0+(0-0))+0-0-0</f>
        <v>935.2</v>
      </c>
      <c r="Z165" s="3">
        <f>981.5+(667.2-571.4)+(-1.501695+(-1.020816--0.874242))+0-0-0</f>
        <v>1075.6517310000002</v>
      </c>
      <c r="AA165" s="3">
        <f>990.4+(653-553)+(-2.52552+(-1.66515--1.41015))+0-0-0</f>
        <v>1087.6194800000001</v>
      </c>
      <c r="AB165" s="3">
        <f>995.1+(609.4-559.8)+(-1.522503+(-0.932382--0.856494))+0-0-0</f>
        <v>1043.1016090000001</v>
      </c>
      <c r="AC165" s="3">
        <f>1006.2+(541.6-543.2)+(0.513162+(0.276216-0.277032))+0-0-0</f>
        <v>1005.112346</v>
      </c>
      <c r="AD165">
        <v>1085.0999999999999</v>
      </c>
      <c r="AE165" s="3">
        <f>988+(675.7-578.6)+(0+(0-0))+0-0-0</f>
        <v>1085.0999999999999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1007.4+(505.7-573.7)+(1.027548+(0.515814-0.585174))+0-0-0</f>
        <v>940.35818799999981</v>
      </c>
      <c r="G166" s="3">
        <f>1000.1+(430.9-550.2)+(-1.530153+(-0.659277--0.841806))+0-0-0</f>
        <v>879.45237599999996</v>
      </c>
      <c r="H166" s="3">
        <f>1001+(396.6-555.2)+(-1.02102+(-0.404532--0.566304))+0-0-0</f>
        <v>841.540752</v>
      </c>
      <c r="I166" s="3">
        <f>995.8+(366.5-537.5)+(-2.53929+(-0.934575--1.370625))+0-0-0</f>
        <v>822.69675999999993</v>
      </c>
      <c r="J166" s="3">
        <f>993.4+(366.4-545.5)+(-2.53317+(-0.93432--1.391025))+0-0-0</f>
        <v>812.22353499999997</v>
      </c>
      <c r="K166" s="3">
        <f>902.8+(451.6-558.7)+(1.381284+(0.690948-0.854811))+0-0-0</f>
        <v>796.91742099999988</v>
      </c>
      <c r="L166" s="3">
        <f>788.9+(542-548.4)+(-2.414034+(-1.65852--1.678104))+0-0-0</f>
        <v>780.10554999999999</v>
      </c>
      <c r="M166" s="3">
        <f>659.7+(614.3-522)+(0.336447+(0.313293-0.26622))+0-0-0</f>
        <v>752.38351999999998</v>
      </c>
      <c r="N166" s="3">
        <f>698.1+(607.6-531)+(1.068093+(0.929628-0.81243))+0-0-0</f>
        <v>775.88529100000005</v>
      </c>
      <c r="O166" s="3">
        <f>804+(572.8-546.4)+(0+(0-0))+0-0-0</f>
        <v>830.4</v>
      </c>
      <c r="P166" s="3">
        <f>849.9+(597.9-565.3)+(1.300347+(0.914787-0.864909))+0-0-0</f>
        <v>883.85022500000002</v>
      </c>
      <c r="Q166" s="3">
        <f>928.8+(548.7-565.9)+(0.947376+(0.559674-0.577218))+0-0-0</f>
        <v>912.52983200000006</v>
      </c>
      <c r="R166" s="3">
        <f>974.3+(494.9-544.2)+(-1.987572+(-1.009596--1.110168))+0-0-0</f>
        <v>923.11299999999994</v>
      </c>
      <c r="S166" s="3">
        <f>997.5+(420.2-521.5)+(0+(0-0))+0-0-0</f>
        <v>896.2</v>
      </c>
      <c r="T166" s="3">
        <f>997.8+(446.7-548.7)+(0.508878+(0.227817-0.279837))+0-0-0</f>
        <v>896.25685799999997</v>
      </c>
      <c r="U166" s="3">
        <f>982.8+(459.5-544.5)+(-1.503684+(-0.703035--0.833085))+0-0-0</f>
        <v>896.42636599999992</v>
      </c>
      <c r="V166" s="3">
        <f>976+(437.4-511.7)+(-1.99104+(-0.892296--1.043868))+0-0-0</f>
        <v>899.86053200000003</v>
      </c>
      <c r="W166" s="3">
        <f>979.9+(445.4-506.5)+(-1.499247+(-0.681462--0.774945))+0-0-0</f>
        <v>917.39423599999998</v>
      </c>
      <c r="X166" s="3">
        <f>900.5+(525.5-532.4)+(-2.296275+(-1.340025--1.35762))+0-0-0</f>
        <v>891.32132000000001</v>
      </c>
      <c r="Y166" s="3">
        <f>927+(489.6-526.2)+(0+(0-0))+0-0-0</f>
        <v>890.4</v>
      </c>
      <c r="Z166" s="3">
        <f>1002.4+(606.5-548.2)+(-1.533672+(-0.927945--0.838746))+0-0-0</f>
        <v>1059.0771289999998</v>
      </c>
      <c r="AA166" s="3">
        <f>992.7+(639.8-565.5)+(-1.518831+(-0.978894--0.865215))+0-0-0</f>
        <v>1065.3674900000001</v>
      </c>
      <c r="AB166" s="3">
        <f>985.2+(630.9-565.8)+(-1.004904+(-0.643518--0.577116))+0-0-0</f>
        <v>1049.2286940000001</v>
      </c>
      <c r="AC166" s="3">
        <f>979.1+(544.9-522.9)+(-2.496705+(-1.389495--1.333395))+0-0-0</f>
        <v>998.54719499999999</v>
      </c>
      <c r="AD166">
        <v>1062.6000000000001</v>
      </c>
      <c r="AE166" s="3">
        <f>1005+(620.4-562.8)+(0+(0-0))+0-0-0</f>
        <v>1062.5999999999999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983.9+(491.2-535.2)+(-2.007156+(-1.002048--1.091808))+0-0-0</f>
        <v>937.98260399999981</v>
      </c>
      <c r="G167" s="3">
        <f>981.7+(517-618.5)+(-2.503335+(-1.31835--1.577175))+0-0-0</f>
        <v>877.95549000000005</v>
      </c>
      <c r="H167" s="3">
        <f>979.6+(533.2-660.2)+(-1.998384+(-1.087728--1.346808))+0-0-0</f>
        <v>850.86069600000008</v>
      </c>
      <c r="I167" s="3">
        <f>800.2+(632.5-603)+(-0.408102+(-0.322575--0.30753))+0-0-0</f>
        <v>829.27685300000007</v>
      </c>
      <c r="J167" s="3">
        <f>591.7+(751.2-547.1)+(0+(0-0))+0-0-0</f>
        <v>795.80000000000007</v>
      </c>
      <c r="K167" s="3">
        <f>552.5+(746.5-511.6)+(0.845325+(1.142145-0.782748))+0-0-0</f>
        <v>788.60472199999992</v>
      </c>
      <c r="L167" s="3">
        <f>550.3+(732.4-503.8)+(-1.683918+(-2.241144--1.541628))+0-0-0</f>
        <v>776.5165659999999</v>
      </c>
      <c r="M167" s="3">
        <f>577.1+(724.6-525.2)+(0.588642+(0.739092-0.535704))+0-0-0</f>
        <v>777.29202999999995</v>
      </c>
      <c r="N167" s="3">
        <f>851.7+(536-537.2)+(1.303101+(0.82008-0.821916))+0-0-0</f>
        <v>851.80126499999994</v>
      </c>
      <c r="O167" s="3">
        <f>1062.7+(393.7-529.4)+(0.541977+(0.200787-0.269994))+0-0-0</f>
        <v>927.47276999999997</v>
      </c>
      <c r="P167" s="3">
        <f>1128.4+(417.8-563.4)+(0.575484+(0.213078-0.287334))+0-0-0</f>
        <v>983.30122800000015</v>
      </c>
      <c r="Q167" s="3">
        <f>1115.5+(459.8-578.9)+(0+(0-0))+0-0-0</f>
        <v>996.40000000000009</v>
      </c>
      <c r="R167" s="3">
        <f>1106.4+(524.1-628.3)+(0+(0-0))+0-0-0</f>
        <v>1002.2000000000002</v>
      </c>
      <c r="S167" s="3">
        <f>1099+(623.8-732.3)+(-1.68147+(-0.954414--1.120419))+0-0-0</f>
        <v>988.98453500000005</v>
      </c>
      <c r="T167" s="3">
        <f>1096.2+(622.2-722.1)+(0.559062+(0.317322-0.368271))+0-0-0</f>
        <v>996.80811300000005</v>
      </c>
      <c r="U167" s="3">
        <f>1080.7+(599.8-689.5)+(-1.653471+(-0.917694--1.054935))+0-0-0</f>
        <v>989.48377000000005</v>
      </c>
      <c r="V167" s="3">
        <f>1078.2+(557.8-637.7)+(-2.199528+(-1.137912--1.300908))+0-0-0</f>
        <v>996.26346799999999</v>
      </c>
      <c r="W167" s="3">
        <f>1077+(467.1-551.3)+(-2.74635+(-1.191105--1.405815))+0-0-0</f>
        <v>990.26836000000003</v>
      </c>
      <c r="X167" s="3">
        <f>1073+(436.6-548.6)+(-3.83061+(-1.558662--1.958502))+0-0-0</f>
        <v>957.56922999999995</v>
      </c>
      <c r="Y167" s="3">
        <f>1089.9+(414.1-537.5)+(-1.111698+(-0.422382--0.54825))+0-0-0</f>
        <v>965.51417000000015</v>
      </c>
      <c r="Z167" s="3">
        <f>1109.1+(578.2-565.4)+(-0.565641+(-0.294882--0.288354))+0-0-0</f>
        <v>1121.3278310000001</v>
      </c>
      <c r="AA167" s="3">
        <f>1100.8+(572.9-547.1)+(-3.929856+(-2.045253--1.953147))+0-0-0</f>
        <v>1122.5780379999999</v>
      </c>
      <c r="AB167" s="3">
        <f>1118.4+(536.1-562.2)+(-1.140768+(-0.546822--0.573444))+0-0-0</f>
        <v>1091.1858540000003</v>
      </c>
      <c r="AC167" s="3">
        <f>1094+(548.9-601.4)+(-1.11588+(-0.559878--0.613428))+0-0-0</f>
        <v>1040.43767</v>
      </c>
      <c r="AD167">
        <v>1131.0999999999999</v>
      </c>
      <c r="AE167" s="3">
        <f>1114+(582-564.9)+(0+(0-0))+0-0-0</f>
        <v>1131.0999999999999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1094.2+(526.3-657.8)+(-1.116084+(-0.536826--0.670956))+0-0-0</f>
        <v>961.71804600000007</v>
      </c>
      <c r="G168" s="3">
        <f>1092+(405.1-607.3)+(0+(0-0))+0-0-0</f>
        <v>889.80000000000007</v>
      </c>
      <c r="H168" s="3">
        <f>1034.1+(376.7-569.8)+(-0.527391+(-0.192117--0.290598))+0-0-0</f>
        <v>840.57109000000003</v>
      </c>
      <c r="I168" s="3">
        <f>927.7+(415.6-541.4)+(-1.419381+(-0.635868--0.828342))+0-0-0</f>
        <v>800.67309300000011</v>
      </c>
      <c r="J168" s="3">
        <f>930.9+(414.8-556.4)+(-0.949518+(-0.423096--0.567528))+0-0-0</f>
        <v>788.49491399999999</v>
      </c>
      <c r="K168" s="3">
        <f>933+(422.7-571.4)+(-0.95166+(-0.431154--0.582828))+0-0-0</f>
        <v>783.50001399999996</v>
      </c>
      <c r="L168" s="3">
        <f>792.3+(530-542)+(-1.616292+(-1.0812--1.10568))+0-0-0</f>
        <v>778.70818799999995</v>
      </c>
      <c r="M168" s="3">
        <f>705.5+(563.9-504.5)+(0.71961+(0.575178-0.51459))+0-0-0</f>
        <v>765.68019800000002</v>
      </c>
      <c r="N168" s="3">
        <f>790.1+(574.4-523.2)+(0.805902+(0.585888-0.533664))+0-0-0</f>
        <v>842.15812599999992</v>
      </c>
      <c r="O168" s="3">
        <f>865.1+(616.5-550.2)+(0+(0-0))+0-0-0</f>
        <v>931.4</v>
      </c>
      <c r="P168" s="3">
        <f>1001.5+(480-553)+(-1.02153+(-0.4896--0.56406))+0-0-0</f>
        <v>927.55292999999995</v>
      </c>
      <c r="Q168" s="3">
        <f>1060+(482.9-525)+(0.5406+(0.246279-0.26775))+0-0-0</f>
        <v>1018.419129</v>
      </c>
      <c r="R168" s="3">
        <f>1057.9+(444.3-482.3)+(-0.539529+(-0.226593--0.245973))+0-0-0</f>
        <v>1019.3798510000001</v>
      </c>
      <c r="S168" s="3">
        <f>1069.1+(465.9-548.6)+(-1.090482+(-0.475218--0.559572))+0-0-0</f>
        <v>985.39387199999987</v>
      </c>
      <c r="T168" s="3">
        <f>1087.7+(459.9-548.8)+(0.554727+(0.234549-0.279888))+0-0-0</f>
        <v>999.30938800000001</v>
      </c>
      <c r="U168" s="3">
        <f>1099.1+(449.3-548.8)+(-1.121082+(-0.458286--0.559776))+0-0-0</f>
        <v>998.58040799999992</v>
      </c>
      <c r="V168" s="3">
        <f>1131.7+(462-584.4)+(-0.577167+(-0.23562--0.298044))+0-0-0</f>
        <v>1008.7852570000001</v>
      </c>
      <c r="W168" s="3">
        <f>1134+(502.1-631.9)+(-1.73502+(-0.768213--0.966807))+0-0-0</f>
        <v>1002.663574</v>
      </c>
      <c r="X168" s="3">
        <f>1116.7+(444.2-569.2)+(-1.708551+(-0.679626--0.870876))+0-0-0</f>
        <v>990.18269900000007</v>
      </c>
      <c r="Y168" s="3">
        <f>1079.3+(438.8-538.5)+(-1.100886+(-0.447576--0.54927))+0-0-0</f>
        <v>978.60080799999992</v>
      </c>
      <c r="Z168" s="3">
        <f>1190.9+(491.7-549.2)+(-0.607359+(-0.250767--0.280092))+0-0-0</f>
        <v>1132.8219660000002</v>
      </c>
      <c r="AA168" s="3">
        <f>1127.1+(537.3-531.1)+(-2.299284+(-1.096092--1.083444))+0-0-0</f>
        <v>1130.9880679999997</v>
      </c>
      <c r="AB168" s="3">
        <f>1046.2+(580.8-536.8)+(-3.201372+(-1.777248--1.642608))+0-0-0</f>
        <v>1086.8639880000001</v>
      </c>
      <c r="AC168" s="3">
        <f>1055.4+(521.8-548.6)+(-0.538254+(-0.266118--0.279786))+0-0-0</f>
        <v>1028.0754139999999</v>
      </c>
      <c r="AD168">
        <v>1134.0999999999999</v>
      </c>
      <c r="AE168" s="3">
        <f>1181+(541.5-588.4)+(0+(0-0))+0-0-0</f>
        <v>1134.0999999999999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1070.8+(435.5-536.9)+(-0.546108+(-0.222105--0.273819))+0-0-0</f>
        <v>968.90560599999992</v>
      </c>
      <c r="G169" s="3">
        <f>1064.9+(449.6-616.5)+(-1.629297+(-0.687888--0.943245))+0-0-0</f>
        <v>896.62606000000017</v>
      </c>
      <c r="H169" s="3">
        <f>1069.1+(352.4-567.8)+(-0.545241+(-0.179724--0.289578))+0-0-0</f>
        <v>853.26461299999994</v>
      </c>
      <c r="I169" s="3">
        <f>1068.2+(314-549.8)+(-1.089564+(-0.32028--0.560796))+0-0-0</f>
        <v>831.55095200000005</v>
      </c>
      <c r="J169" s="3">
        <f>1024.6+(333.8-539.6)+(1.567638+(0.510714-0.825588))+0-0-0</f>
        <v>820.05276399999991</v>
      </c>
      <c r="K169" s="3">
        <f>1015.2+(339.6-544.2)+(0+(0-0))+0-0-0</f>
        <v>810.6</v>
      </c>
      <c r="L169" s="3">
        <f>968+(384.7-546.5)+(-2.96208+(-1.177182--1.67229))+0-0-0</f>
        <v>803.73302799999999</v>
      </c>
      <c r="M169" s="3">
        <f>865.6+(455.9-538.5)+(0.441456+(0.232509-0.274635))+0-0-0</f>
        <v>783.39932999999996</v>
      </c>
      <c r="N169" s="3">
        <f>971.5+(422.3-529.3)+(-0.495465+(-0.215373--0.269943))+0-0-0</f>
        <v>864.05910500000005</v>
      </c>
      <c r="O169" s="3">
        <f>1068.3+(414.9-543.4)+(0.544833+(0.211599-0.277134))+0-0-0</f>
        <v>940.27929799999993</v>
      </c>
      <c r="P169" s="3">
        <f>1177.2+(367-565.1)+(0.600372+(0.18717-0.288201))+0-0-0</f>
        <v>979.59934099999998</v>
      </c>
      <c r="Q169" s="3">
        <f>1380.1+(291.1-645.4)+(2.111553+(0.445383-0.987462))+0-0-0</f>
        <v>1027.3694739999999</v>
      </c>
      <c r="R169" s="3">
        <f>1368.9+(378.2-730.7)+(-2.094417+(-0.578646--1.117971))+0-0-0</f>
        <v>1014.8449080000001</v>
      </c>
      <c r="S169" s="3">
        <f>1370.2+(371.1-779.1)+(0+(0-0))+0-0-0</f>
        <v>962.2</v>
      </c>
      <c r="T169" s="3">
        <f>1376.7+(407.9-808)+(-0.702117+(-0.208029--0.41208))+0-0-0</f>
        <v>976.10193400000003</v>
      </c>
      <c r="U169" s="3">
        <f>1371+(482-839.5)+(1.39842+(0.49164-0.85629))+0-0-0</f>
        <v>1014.53377</v>
      </c>
      <c r="V169" s="3">
        <f>1362.1+(506.6-798.5)+(0+(0-0))+0-0-0</f>
        <v>1070.1999999999998</v>
      </c>
      <c r="W169" s="3">
        <f>1360.3+(466.8-772)+(-2.775012+(-0.952272--1.57488))+0-0-0</f>
        <v>1052.947596</v>
      </c>
      <c r="X169" s="3">
        <f>1349.4+(384.5-730.1)+(-2.064582+(-0.588285--1.117053))+0-0-0</f>
        <v>1002.2641860000001</v>
      </c>
      <c r="Y169" s="3">
        <f>1361.2+(375.2-715.9)+(0.694212+(0.191352-0.365109))+0-0-0</f>
        <v>1021.020455</v>
      </c>
      <c r="Z169" s="3">
        <f>1360.6+(467.9-668.7)+(-1.387812+(-0.477258--0.682074))+0-0-0</f>
        <v>1158.6170039999997</v>
      </c>
      <c r="AA169" s="3">
        <f>1360.6+(434.1-645.1)+(-3.46953+(-1.106955--1.645005))+0-0-0</f>
        <v>1146.6685199999999</v>
      </c>
      <c r="AB169" s="3">
        <f>1365.7+(462.8-718.7)+(-2.089521+(-0.708084--1.099611))+0-0-0</f>
        <v>1108.1020059999998</v>
      </c>
      <c r="AC169" s="3">
        <f>1367.8+(470.2-783.3)+(-1.395156+(-0.479604--0.798966))+0-0-0</f>
        <v>1053.624206</v>
      </c>
      <c r="AD169">
        <v>1181.9000000000001</v>
      </c>
      <c r="AE169" s="3">
        <f>1366+(487.3-671.4)+(0+(0-0))+0-0-0</f>
        <v>1181.9000000000001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1361.1+(464.5-856.1)+(-2.082483+(-0.710685--1.309833))+0-0-0</f>
        <v>968.01666499999988</v>
      </c>
      <c r="G170" s="3">
        <f>1356.9+(419.1-873.5)+(-2.076057+(-0.641223--1.336455))+0-0-0</f>
        <v>901.11917500000015</v>
      </c>
      <c r="H170" s="3">
        <f>1362.9+(306.6-811.8)+(-1.390158+(-0.312732--0.828036))+0-0-0</f>
        <v>856.82514600000013</v>
      </c>
      <c r="I170" s="3">
        <f>1306.6+(324.7-796.1)+(-1.999098+(-0.496791--1.218033))+0-0-0</f>
        <v>833.92214399999978</v>
      </c>
      <c r="J170" s="3">
        <f>1250.9+(348.1-777.2)+(0.637959+(0.177531-0.396372))+0-0-0</f>
        <v>822.21911800000009</v>
      </c>
      <c r="K170" s="3">
        <f>1219.1+(351.2-752.5)+(1.243482+(0.358224-0.76755))+0-0-0</f>
        <v>818.63415599999996</v>
      </c>
      <c r="L170" s="3">
        <f>1169.4+(343.4-697.8)+(-0.596394+(-0.175134--0.355878))+0-0-0</f>
        <v>814.58435000000009</v>
      </c>
      <c r="M170" s="3">
        <f>1062.6+(292.1-549)+(-1.083852+(-0.297942--0.55998))+0-0-0</f>
        <v>804.87818599999991</v>
      </c>
      <c r="N170" s="3">
        <f>1162+(320.6-615.3)+(-1.18524+(-0.327012--0.627606))+0-0-0</f>
        <v>866.41535400000009</v>
      </c>
      <c r="O170" s="3">
        <f>1322.5+(314.1-680.6)+(0.674475+(0.160191-0.347106))+0-0-0</f>
        <v>956.48756000000003</v>
      </c>
      <c r="P170" s="3">
        <f>1279.2+(358.8-642)+(1.304784+(0.365976-0.65484))+0-0-0</f>
        <v>997.01592000000005</v>
      </c>
      <c r="Q170" s="3">
        <f>1292.9+(397.7-650.7)+(0+(0-0))+0-0-0</f>
        <v>1039.9000000000001</v>
      </c>
      <c r="R170" s="3">
        <f>1293.2+(458.9-714)+(0.659532+(0.234039-0.36414))+0-0-0</f>
        <v>1038.6294309999998</v>
      </c>
      <c r="S170" s="3">
        <f>1305.5+(537.6-829.1)+(-2.66322+(-1.096704--1.691364))+0-0-0</f>
        <v>1011.93144</v>
      </c>
      <c r="T170" s="3">
        <f>1257.2+(566.3-809)+(0.641172+(0.288813-0.41259))+0-0-0</f>
        <v>1015.017395</v>
      </c>
      <c r="U170" s="3">
        <f>1305.7+(558-834.6)+(-1.997721+(-0.85374--1.276938))+0-0-0</f>
        <v>1027.5254769999999</v>
      </c>
      <c r="V170" s="3">
        <f>1316.6+(528-815.6)+(-0.671466+(-0.26928--0.415956))+0-0-0</f>
        <v>1028.4752100000001</v>
      </c>
      <c r="W170" s="3">
        <f>1310.2+(459.4-688.4)+(-2.004606+(-0.702882--1.053252))+0-0-0</f>
        <v>1079.545764</v>
      </c>
      <c r="X170" s="3">
        <f>1263.1+(407-638.7)+(-1.288362+(-0.41514--0.651474))+0-0-0</f>
        <v>1030.3479719999998</v>
      </c>
      <c r="Y170" s="3">
        <f>1279.1+(408.2-651.4)+(0+(0-0))+0-0-0</f>
        <v>1035.8999999999999</v>
      </c>
      <c r="Z170" s="3">
        <f>1330.3+(475.9-636.2)+(0+(0-0))+0-0-0</f>
        <v>1170</v>
      </c>
      <c r="AA170" s="3">
        <f>1318.7+(510.7-661)+(-3.362685+(-1.302285--1.68555))+0-0-0</f>
        <v>1165.4205800000002</v>
      </c>
      <c r="AB170" s="3">
        <f>1317.5+(482.3-668.1)+(-3.359625+(-1.229865--1.703655))+0-0-0</f>
        <v>1128.814165</v>
      </c>
      <c r="AC170" s="3">
        <f>1321.1+(390.5-651.2)+(-2.021283+(-0.597465--0.996336))+0-0-0</f>
        <v>1058.7775879999999</v>
      </c>
      <c r="AD170">
        <v>1134.0999999999999</v>
      </c>
      <c r="AE170" s="3">
        <f>1330+(476.6-672.5)+(0+(0-0))+0-0-0</f>
        <v>1134.0999999999999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1209.9+(396.7-620.1)+(-2.468196+(-0.809268--1.265004))+0-0-0</f>
        <v>984.48753999999997</v>
      </c>
      <c r="G171" s="3">
        <f>1160.3+(452.7-675.6)+(-1.775259+(-0.692631--1.033668))+0-0-0</f>
        <v>935.96577799999989</v>
      </c>
      <c r="H171" s="3">
        <f>1116.8+(458.7-677.8)+(-0.569568+(-0.233937--0.345678))+0-0-0</f>
        <v>897.24217300000009</v>
      </c>
      <c r="I171" s="3">
        <f>1107.4+(467.6-682.9)+(-2.259096+(-0.953904--1.393116))+0-0-0</f>
        <v>890.28011600000013</v>
      </c>
      <c r="J171" s="3">
        <f>1106+(449.8-674.6)+(-1.12812+(-0.458796--0.688092))+0-0-0</f>
        <v>880.30117600000005</v>
      </c>
      <c r="K171" s="3">
        <f>1086.1+(452.9-679.1)+(0.553911+(0.230979-0.346341))+0-0-0</f>
        <v>860.33854899999983</v>
      </c>
      <c r="L171" s="3">
        <f>1037.9+(399.1-615.4)+(-3.705303+(-1.424787--2.196978))+0-0-0</f>
        <v>818.66688800000009</v>
      </c>
      <c r="M171" s="3">
        <f>981.4+(363.2-547.7)+(1.001028+(0.370464-0.558654))+0-0-0</f>
        <v>797.71283799999992</v>
      </c>
      <c r="N171" s="3">
        <f>1025.5+(411-585.8)+(-0.523005+(-0.20961--0.298758))+0-0-0</f>
        <v>850.26614300000006</v>
      </c>
      <c r="O171" s="3">
        <f>1117.7+(364.3-571.5)+(0+(0-0))+0-0-0</f>
        <v>910.5</v>
      </c>
      <c r="P171" s="3">
        <f>1291.6+(314.1-627.4)+(-0.658716+(-0.160191--0.319974))+0-0-0</f>
        <v>977.80106699999999</v>
      </c>
      <c r="Q171" s="3">
        <f>1293.8+(339.1-621.5)+(-0.659838+(-0.172941--0.316965))+0-0-0</f>
        <v>1010.884186</v>
      </c>
      <c r="R171" s="3">
        <f>1353.5+(390.1-724.2)+(-0.690285+(-0.198951--0.369342))+0-0-0</f>
        <v>1018.880106</v>
      </c>
      <c r="S171" s="3">
        <f>1308.6+(473-789.8)+(-2.002158+(-0.72369--1.208394))+0-0-0</f>
        <v>990.28254599999991</v>
      </c>
      <c r="T171" s="3">
        <f>1284.5+(483.3-773.6)+(-1.965285+(-0.739449--1.183608))+0-0-0</f>
        <v>992.67887400000006</v>
      </c>
      <c r="U171" s="3">
        <f>1298.8+(492.1-788.8)+(-3.31194+(-1.254855--2.01144))+0-0-0</f>
        <v>999.54464500000006</v>
      </c>
      <c r="V171" s="3">
        <f>1287.2+(491.2-779.2)+(-2.625888+(-1.002048--1.589568))+0-0-0</f>
        <v>997.16163200000005</v>
      </c>
      <c r="W171" s="3">
        <f>1227.2+(534.8-765.6)+(-3.755232+(-1.636488--2.342736))+0-0-0</f>
        <v>993.35101599999996</v>
      </c>
      <c r="X171" s="3">
        <f>1191.6+(498.9-719.6)+(-4.254012+(-1.781073--2.568972))+0-0-0</f>
        <v>967.43388699999991</v>
      </c>
      <c r="Y171" s="3">
        <f>1279.1+(404-700.5)+(-0.652341+(-0.20604--0.357255))+0-0-0</f>
        <v>982.09887399999991</v>
      </c>
      <c r="Z171" s="3">
        <f>1258.4+(431-581.9)+(-2.567136+(-0.87924--1.187076))+0-0-0</f>
        <v>1105.2407000000001</v>
      </c>
      <c r="AA171" s="3">
        <f>1168.1+(489.2-564.7)+(-3.574386+(-1.496952--1.727982))+0-0-0</f>
        <v>1089.2566439999998</v>
      </c>
      <c r="AB171" s="3">
        <f>1125.4+(482.9-556.3)+(-2.86977+(-1.231395--1.418565))+0-0-0</f>
        <v>1049.3173999999999</v>
      </c>
      <c r="AC171" s="3">
        <f>1127.5+(437.4-564.2)+(-1.15005+(-0.446148--0.575484))+0-0-0</f>
        <v>999.67928599999993</v>
      </c>
      <c r="AD171">
        <v>1065.3000000000002</v>
      </c>
      <c r="AE171" s="3">
        <f>1207+(414.4-556.1)+(0+(0-0))+0-0-0</f>
        <v>1065.3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1151.7+(335.9-557.2)+(-1.174734+(-0.342618--0.568344))+0-0-0</f>
        <v>929.45099199999993</v>
      </c>
      <c r="G172" s="3">
        <f>1158+(356.6-651.7)+(-1.77174+(-0.545598--0.997101))+0-0-0</f>
        <v>861.57976299999996</v>
      </c>
      <c r="H172" s="3">
        <f>1146.2+(300-620.9)+(-0.584562+(-0.153--0.316659))+0-0-0</f>
        <v>824.87909700000012</v>
      </c>
      <c r="I172" s="3">
        <f>1105.7+(278.4-570.7)+(-1.127814+(-0.283968--0.582114))+0-0-0</f>
        <v>812.57033200000001</v>
      </c>
      <c r="J172" s="3">
        <f>972.9+(380.1-556.6)+(0.496179+(0.193851-0.283866))+0-0-0</f>
        <v>796.80616399999997</v>
      </c>
      <c r="K172" s="3">
        <f>948.7+(377.7-536.3)+(-2.419185+(-0.963135--1.367565))+0-0-0</f>
        <v>788.0852450000001</v>
      </c>
      <c r="L172" s="3">
        <f>823.6+(481.2-527.7)+(-1.680144+(-0.981648--1.076508))+0-0-0</f>
        <v>775.51471599999991</v>
      </c>
      <c r="M172" s="3">
        <f>773.9+(510.7-520.6)+(-0.394689+(-0.260457--0.265506))+0-0-0</f>
        <v>763.61036000000001</v>
      </c>
      <c r="N172" s="3">
        <f>916.3+(432.9-524.3)+(0.467313+(0.220779-0.267393))+0-0-0</f>
        <v>825.32069899999999</v>
      </c>
      <c r="O172" s="3">
        <f>1089.5+(390.2-591.7)+(1.11129+(0.398004-0.603534))+0-0-0</f>
        <v>888.90575999999999</v>
      </c>
      <c r="P172" s="3">
        <f>1163+(387-610.8)+(0.59313+(0.19737-0.311508))+0-0-0</f>
        <v>939.67899199999999</v>
      </c>
      <c r="Q172" s="3">
        <f>1294.8+(286.7-609)+(1.320696+(0.292434-0.62118))+0-0-0</f>
        <v>973.49194999999997</v>
      </c>
      <c r="R172" s="3">
        <f>1402.3+(241.9-663.1)+(0+(0-0))+0-0-0</f>
        <v>981.09999999999991</v>
      </c>
      <c r="S172" s="3">
        <f>1378.3+(310.3-735.6)+(-3.514665+(-0.791265--1.87578))+0-0-0</f>
        <v>950.56984999999997</v>
      </c>
      <c r="T172" s="3">
        <f>1300.9+(381.2-746.4)+(1.326918+(0.388824-0.761328))+0-0-0</f>
        <v>936.65441400000009</v>
      </c>
      <c r="U172" s="3">
        <f>1321.5+(422.8-801.7)+(-1.34793+(-0.431256--0.817734))+0-0-0</f>
        <v>941.6385479999999</v>
      </c>
      <c r="V172" s="3">
        <f>1245.7+(463.9-769.4)+(-4.447149+(-1.656123--2.746758))+0-0-0</f>
        <v>936.8434860000001</v>
      </c>
      <c r="W172" s="3">
        <f>1301.4+(383.5-747.4)+(-3.31857+(-0.977925--1.90587))+0-0-0</f>
        <v>935.10937500000011</v>
      </c>
      <c r="X172" s="3">
        <f>1141.7+(364-592.8)+(-1.746801+(-0.55692--0.906984))+0-0-0</f>
        <v>911.50326300000006</v>
      </c>
      <c r="Y172" s="3">
        <f>1156.2+(329.9-555.1)+(-0.589662+(-0.168249--0.283101))+0-0-0</f>
        <v>930.52518999999995</v>
      </c>
      <c r="Z172" s="3">
        <f>1228.3+(395.1-562.7)+(-3.132165+(-1.007505--1.434885))+0-0-0</f>
        <v>1057.9952149999999</v>
      </c>
      <c r="AA172" s="3">
        <f>1246.6+(389.3-590.8)+(-1.907298+(-0.595629--0.903924))+0-0-0</f>
        <v>1043.5009969999999</v>
      </c>
      <c r="AB172" s="3">
        <f>1304.7+(320.7-612.3)+(-3.326985+(-0.817785--1.561365))+0-0-0</f>
        <v>1010.5165950000002</v>
      </c>
      <c r="AC172" s="3">
        <f>1356.4+(330.1-704.7)+(0+(0-0))+0-0-0</f>
        <v>981.80000000000007</v>
      </c>
      <c r="AD172">
        <v>1064.9000000000001</v>
      </c>
      <c r="AE172" s="3">
        <f>1235+(403-573.1)+(0+(0-0))+0-0-0</f>
        <v>1064.9000000000001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1353.6+(277.3-715.5)+(0.690336+(0.141423-0.364905))+0-0-0</f>
        <v>915.86685399999988</v>
      </c>
      <c r="G173" s="3">
        <f>1246.3+(320.7-721.5)+(-1.906839+(-0.490671--1.103895))+0-0-0</f>
        <v>844.20638499999995</v>
      </c>
      <c r="H173" s="3">
        <f>1197.2+(285.1-689.6)+(1.831716+(0.436203-1.055088))+0-0-0</f>
        <v>793.9128310000001</v>
      </c>
      <c r="I173" s="3">
        <f>1160.5+(293.9-688.2)+(-1.18371+(-0.299778--0.701964))+0-0-0</f>
        <v>765.41847599999994</v>
      </c>
      <c r="J173" s="3">
        <f>1181.6+(254-690)+(0.602616+(0.12954-0.3519))+0-0-0</f>
        <v>745.98025599999994</v>
      </c>
      <c r="K173" s="3">
        <f>1174.3+(244.7-677.3)+(-1.197786+(-0.249594--0.690846))+0-0-0</f>
        <v>740.94346600000006</v>
      </c>
      <c r="L173" s="3">
        <f>1123.7+(258.6-650.6)+(-1.146174+(-0.263772--0.663612))+0-0-0</f>
        <v>730.953666</v>
      </c>
      <c r="M173" s="3">
        <f>932.4+(339.1-564.9)+(-0.951048+(-0.345882--0.576198))+0-0-0</f>
        <v>705.87926800000002</v>
      </c>
      <c r="N173" s="3">
        <f>811.5+(466.7-539.8)+(-1.65546+(-0.952068--1.101192))+0-0-0</f>
        <v>736.89366400000006</v>
      </c>
      <c r="O173" s="3">
        <f>934.1+(415.8-566.6)+(1.429173+(0.636174-0.866898))+0-0-0</f>
        <v>784.49844899999994</v>
      </c>
      <c r="P173" s="3">
        <f>1119.2+(317.5-603.2)+(-1.712376+(-0.485775--0.922896))+0-0-0</f>
        <v>832.22474499999998</v>
      </c>
      <c r="Q173" s="3">
        <f>1191.1+(291.1-622.6)+(-0.607461+(-0.148461--0.317526))+0-0-0</f>
        <v>859.1616039999999</v>
      </c>
      <c r="R173" s="3">
        <f>1215.6+(292.8-639.6)+(-2.479824+(-0.597312--1.304784))+0-0-0</f>
        <v>867.027648</v>
      </c>
      <c r="S173" s="3">
        <f>1200.7+(316-663.3)+(0+(0-0))+0-0-0</f>
        <v>853.40000000000009</v>
      </c>
      <c r="T173" s="3">
        <f>1195.1+(334.9-679.7)+(-1.219002+(-0.341598--0.693294))+0-0-0</f>
        <v>849.43269399999986</v>
      </c>
      <c r="U173" s="3">
        <f>1195.1+(346.1-685.8)+(-1.219002+(-0.353022--0.699516))+0-0-0</f>
        <v>854.52749199999994</v>
      </c>
      <c r="V173" s="3">
        <f>1191.7+(355.1-682.8)+(-1.215534+(-0.362202--0.696456))+0-0-0</f>
        <v>863.11872000000017</v>
      </c>
      <c r="W173" s="3">
        <f>1132.8+(352.2-609.7)+(-2.310912+(-0.718488--1.243788))+0-0-0</f>
        <v>873.51438799999994</v>
      </c>
      <c r="X173" s="3">
        <f>1032.5+(391.5-556.8)+(-1.579725+(-0.598995--0.851904))+0-0-0</f>
        <v>865.87318400000004</v>
      </c>
      <c r="Y173" s="3">
        <f>1141.9+(304.7-570.9)+(-0.582369+(-0.155397--0.291159))+0-0-0</f>
        <v>875.25339300000007</v>
      </c>
      <c r="Z173" s="3">
        <f>1340.8+(271.8-574.5)+(-2.735232+(-0.554472--1.17198))+0-0-0</f>
        <v>1035.982276</v>
      </c>
      <c r="AA173" s="3">
        <f>1276.7+(346.2-595.1)+(-4.557819+(-1.235934--2.124507))+0-0-0</f>
        <v>1024.130754</v>
      </c>
      <c r="AB173" s="3">
        <f>1260.9+(320.8-591.9)+(1.286118+(0.327216-0.603738))+0-0-0</f>
        <v>990.80959600000017</v>
      </c>
      <c r="AC173" s="3">
        <f>1253.3+(320.7-619.2)+(-0.639183+(-0.163557--0.315792))+0-0-0</f>
        <v>954.31305199999997</v>
      </c>
      <c r="AD173">
        <v>1057.8</v>
      </c>
      <c r="AE173" s="3">
        <f>1353+(288-583.2)+(0+(0-0))+0-0-0</f>
        <v>1057.8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1259.6+(300.2-671.3)+(0+(0-0))+0-0-0</f>
        <v>888.5</v>
      </c>
      <c r="G174" s="3">
        <f>1204.6+(336.7-710.5)+(-0.614346+(-0.171717--0.362355))+0-0-0</f>
        <v>830.37629199999992</v>
      </c>
      <c r="H174" s="3">
        <f>961.7+(399.5-587.2)+(0+(0-0))+0-0-0</f>
        <v>774</v>
      </c>
      <c r="I174" s="3">
        <f>948.5+(397-587.2)+(-1.93494+(-0.80988--1.197888))+0-0-0</f>
        <v>756.75306799999998</v>
      </c>
      <c r="J174" s="3">
        <f>956+(413.6-618.8)+(-2.92536+(-1.265616--1.893528))+0-0-0</f>
        <v>748.50255200000004</v>
      </c>
      <c r="K174" s="3">
        <f>988+(382.1-623.5)+(-1.00776+(-0.389742--0.63597))+0-0-0</f>
        <v>745.83846800000003</v>
      </c>
      <c r="L174" s="3">
        <f>952.6+(379.6-569.7)+(-2.42913+(-0.96798--1.452735))+0-0-0</f>
        <v>760.55562499999996</v>
      </c>
      <c r="M174" s="3">
        <f>972.9+(335.4-581)+(-0.496179+(-0.171054--0.29631))+0-0-0</f>
        <v>726.92907700000001</v>
      </c>
      <c r="N174" s="3">
        <f>1329.2+(183.4-681.2)+(0+(0-0))+0-0-0</f>
        <v>831.4</v>
      </c>
      <c r="O174" s="3">
        <f>1305.6+(231-640.1)+(-0.665856+(-0.11781--0.326451))+0-0-0</f>
        <v>896.04278499999987</v>
      </c>
      <c r="P174" s="3">
        <f>1150.6+(382.9-591.9)+(2.347224+(0.781116-1.207476))+0-0-0</f>
        <v>943.52086399999996</v>
      </c>
      <c r="Q174" s="3">
        <f>1082+(441-553.1)+(0.55182+(0.22491-0.282081))+0-0-0</f>
        <v>970.39464899999996</v>
      </c>
      <c r="R174" s="3">
        <f>1071.2+(458-564.4)+(-1.092624+(-0.46716--0.575688))+0-0-0</f>
        <v>963.81590400000005</v>
      </c>
      <c r="S174" s="3">
        <f>1059.7+(574.6-683.9)+(-2.161788+(-1.172184--1.395156))+0-0-0</f>
        <v>948.46118400000012</v>
      </c>
      <c r="T174" s="3">
        <f>1070.7+(579-702)+(-0.546057+(-0.29529--0.35802))+0-0-0</f>
        <v>947.21667300000001</v>
      </c>
      <c r="U174" s="3">
        <f>1068.5+(598.8-710.4)+(-0.544935+(-0.305388--0.362304))+0-0-0</f>
        <v>956.41198099999997</v>
      </c>
      <c r="V174" s="3">
        <f>1062.2+(637.6-730.7)+(-1.625166+(-0.975528--1.117971))+0-0-0</f>
        <v>967.61727700000006</v>
      </c>
      <c r="W174" s="3">
        <f>1055+(659-741.8)+(-2.69025+(-1.68045--1.89159))+0-0-0</f>
        <v>969.72089000000005</v>
      </c>
      <c r="X174" s="3">
        <f>1006.3+(504.1-582)+(-1.539639+(-0.771273--0.89046))+0-0-0</f>
        <v>926.97954800000002</v>
      </c>
      <c r="Y174" s="3">
        <f>1027.2+(482.1-611.7)+(0+(0-0))+0-0-0</f>
        <v>897.6</v>
      </c>
      <c r="Z174" s="3">
        <f>1249.3+(609.4-761.3)+(-3.185715+(-1.55397--1.941315))+0-0-0</f>
        <v>1094.6016300000001</v>
      </c>
      <c r="AA174" s="3">
        <f>1271+(568.2-746.6)+(-3.24105+(-1.44891--1.90383))+0-0-0</f>
        <v>1089.81387</v>
      </c>
      <c r="AB174" s="3">
        <f>1266.2+(500.4-720.1)+(-2.583048+(-1.020816--1.469004))+0-0-0</f>
        <v>1044.3651400000001</v>
      </c>
      <c r="AC174" s="3">
        <f>1283.6+(449.9-741.8)+(0+(0-0))+0-0-0</f>
        <v>991.69999999999993</v>
      </c>
      <c r="AD174">
        <v>1109.1000000000001</v>
      </c>
      <c r="AE174" s="3">
        <f>1283+(624.9-798.8)+(0+(0-0))+0-0-0</f>
        <v>1109.0999999999999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1331.1+(345.4-754.7)+(-3.394305+(-0.88077--1.924485))+0-0-0</f>
        <v>919.44940999999983</v>
      </c>
      <c r="G175" s="3">
        <f>1155.4+(419.2-717.9)+(-2.357016+(-0.855168--1.464516))+0-0-0</f>
        <v>854.95233200000007</v>
      </c>
      <c r="H175" s="3">
        <f>1100+(425.6-713.1)+(-1.122+(-0.434112--0.727362))+0-0-0</f>
        <v>811.67124999999999</v>
      </c>
      <c r="I175" s="3">
        <f>1054.2+(428.3-692.2)+(-2.68821+(-1.092165--1.76511))+0-0-0</f>
        <v>788.28473499999996</v>
      </c>
      <c r="J175" s="3">
        <f>1051.2+(427.5-702.6)+(1.608336+(0.654075-1.074978))+0-0-0</f>
        <v>777.28743300000008</v>
      </c>
      <c r="K175" s="3">
        <f>1055.3+(402.9-686.5)+(1.614609+(0.616437-1.050345))+0-0-0</f>
        <v>772.88070099999993</v>
      </c>
      <c r="L175" s="3">
        <f>971.1+(405.7-610.5)+(-0.990522+(-0.413814--0.62271))+0-0-0</f>
        <v>765.51837399999999</v>
      </c>
      <c r="M175" s="3">
        <f>975.9+(356.3-574.4)+(0.497709+(0.181713-0.292944))+0-0-0</f>
        <v>758.18647799999997</v>
      </c>
      <c r="N175" s="3">
        <f>1132.6+(265.3-579.9)+(-0.577626+(-0.135303--0.295749))+0-0-0</f>
        <v>817.58281999999997</v>
      </c>
      <c r="O175" s="3">
        <f>1282.3+(235.1-612.6)+(0+(0-0))+0-0-0</f>
        <v>904.8</v>
      </c>
      <c r="P175" s="3">
        <f>1297.8+(249.6-648.7)+(0.661878+(0.127296-0.330837))+0-0-0</f>
        <v>899.15833699999996</v>
      </c>
      <c r="Q175" s="3">
        <f>1328.3+(269.1-618.2)+(0.677433+(0.137241-0.315282))+0-0-0</f>
        <v>979.69939199999988</v>
      </c>
      <c r="R175" s="3">
        <f>1380.9+(330.2-722.6)+(-0.704259+(-0.168402--0.368526))+0-0-0</f>
        <v>987.99586499999998</v>
      </c>
      <c r="S175" s="3">
        <f>1392+(373.7-804.2)+(-4.25952+(-1.143522--2.460852))+0-0-0</f>
        <v>958.55781000000002</v>
      </c>
      <c r="T175" s="3">
        <f>1337+(456.8-831.2)+(0+(0-0))+0-0-0</f>
        <v>962.59999999999991</v>
      </c>
      <c r="U175" s="3">
        <f>1325.9+(483.2-829.3)+(-2.704836+(-0.985728--1.691772))+0-0-0</f>
        <v>977.8012080000002</v>
      </c>
      <c r="V175" s="3">
        <f>1309+(411.4-750.3)+(0+(0-0))+0-0-0</f>
        <v>970.1</v>
      </c>
      <c r="W175" s="3">
        <f>1359.5+(324.9-718.3)+(-2.080035+(-0.497097--1.098999))+0-0-0</f>
        <v>964.62186700000007</v>
      </c>
      <c r="X175" s="3">
        <f>1374.2+(259.3-692.3)+(0+(0-0))+0-0-0</f>
        <v>941.2</v>
      </c>
      <c r="Y175" s="3">
        <f>1389.7+(215-625.9)+(-0.708747+(-0.10965--0.319209))+0-0-0</f>
        <v>978.30081200000006</v>
      </c>
      <c r="Z175" s="3">
        <f>1457.8+(252.7-603.8)+(-3.71739+(-0.644385--1.53969))+0-0-0</f>
        <v>1103.877915</v>
      </c>
      <c r="AA175" s="3">
        <f>1388.9+(284.7-585.6)+(-4.250034+(-0.871182--1.791936))+0-0-0</f>
        <v>1084.6707200000001</v>
      </c>
      <c r="AB175" s="3">
        <f>1341.5+(292.3-593.9)+(-2.052495+(-0.447219--0.908667))+0-0-0</f>
        <v>1038.3089530000002</v>
      </c>
      <c r="AC175" s="3">
        <f>1340.9+(315.2-663.2)+(-2.051577+(-0.482256--1.014696))+0-0-0</f>
        <v>991.38086300000009</v>
      </c>
      <c r="AD175">
        <v>1115.5999999999999</v>
      </c>
      <c r="AE175" s="3">
        <f>1463+(259.6-607)+(0+(0-0))+0-0-0</f>
        <v>1115.5999999999999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1289+(307.1-673.8)+(-2.62956+(-0.626484--1.374552))+0-0-0</f>
        <v>920.41850800000009</v>
      </c>
      <c r="G176" s="3">
        <f>1261+(352.8-761.5)+(0+(0-0))+0-0-0</f>
        <v>852.3</v>
      </c>
      <c r="H176" s="3">
        <f>1229.9+(345.8-763.6)+(0+(0-0))+0-0-0</f>
        <v>812.10000000000014</v>
      </c>
      <c r="I176" s="3">
        <f>1213+(327.5-749.8)+(-0.61863+(-0.167025--0.382398))+0-0-0</f>
        <v>790.29674299999999</v>
      </c>
      <c r="J176" s="3">
        <f>1179.9+(323.3-727.4)+(-2.406996+(-0.659532--1.483896))+0-0-0</f>
        <v>774.21736800000019</v>
      </c>
      <c r="K176" s="3">
        <f>1185.8+(328.3-744.1)+(0.604758+(0.167433-0.379491))+0-0-0</f>
        <v>770.39269999999999</v>
      </c>
      <c r="L176" s="3">
        <f>1116+(306.5-643.2)+(-2.8458+(-0.781575--1.64016))+0-0-0</f>
        <v>777.31278499999996</v>
      </c>
      <c r="M176" s="3">
        <f>1108.7+(191.6-540.2)+(-0.565437+(-0.097716--0.275502))+0-0-0</f>
        <v>759.71234900000002</v>
      </c>
      <c r="N176" s="3">
        <f>1154.4+(213.1-533.8)+(1.177488+(0.217362-0.544476))+0-0-0</f>
        <v>834.55037400000015</v>
      </c>
      <c r="O176" s="3">
        <f>1226.8+(240.4-571.4)+(-1.877004+(-0.367812--0.874242))+0-0-0</f>
        <v>894.42942599999992</v>
      </c>
      <c r="P176" s="3">
        <f>1271.5+(287.5-608.9)+(-0.648465+(-0.146625--0.310539))+0-0-0</f>
        <v>949.61544900000001</v>
      </c>
      <c r="Q176" s="3">
        <f>1209.7+(369.1-591.3)+(0+(0-0))+0-0-0</f>
        <v>987.50000000000011</v>
      </c>
      <c r="R176" s="3">
        <f>1192.9+(387.4-582)+(0+(0-0))+0-0-0</f>
        <v>998.30000000000007</v>
      </c>
      <c r="S176" s="3">
        <f>1171.9+(471.1-669.9)+(-1.793007+(-0.720783--1.024947))+0-0-0</f>
        <v>971.61115700000016</v>
      </c>
      <c r="T176" s="3">
        <f>1237.1+(426.7-688.4)+(-1.261842+(-0.435234--0.702168))+0-0-0</f>
        <v>974.40509199999985</v>
      </c>
      <c r="U176" s="3">
        <f>1255.4+(403-678.3)+(-0.640254+(-0.20553--0.345933))+0-0-0</f>
        <v>979.6001490000001</v>
      </c>
      <c r="V176" s="3">
        <f>1249.8+(365.1-635.2)+(-2.549592+(-0.744804--1.295808))+0-0-0</f>
        <v>977.70141199999989</v>
      </c>
      <c r="W176" s="3">
        <f>1247.4+(290.5-567.3)+(-3.817044+(-0.88893--1.735938))+0-0-0</f>
        <v>967.62996400000009</v>
      </c>
      <c r="X176" s="3">
        <f>1229.7+(266-565.3)+(-2.508588+(-0.54264--1.153212))+0-0-0</f>
        <v>928.50198400000011</v>
      </c>
      <c r="Y176" s="3">
        <f>1218.8+(278.4-527.8)+(-1.243176+(-0.283968--0.538356))+0-0-0</f>
        <v>968.41121199999998</v>
      </c>
      <c r="Z176" s="3">
        <f>1241.7+(418.8-571.5)+(-1.899801+(-0.640764--0.874395))+0-0-0</f>
        <v>1087.33383</v>
      </c>
      <c r="AA176" s="3">
        <f>1238.7+(411.3-584.6)+(-1.895211+(-0.629289--0.894438))+0-0-0</f>
        <v>1063.7699380000001</v>
      </c>
      <c r="AB176" s="3">
        <f>1244.5+(348.1-563.8)+(-1.26939+(-0.355062--0.575076))+0-0-0</f>
        <v>1027.7506240000002</v>
      </c>
      <c r="AC176" s="3">
        <f>1241.5+(293.4-564.7)+(-0.633165+(-0.149634--0.287997))+0-0-0</f>
        <v>969.70519799999988</v>
      </c>
      <c r="AD176">
        <v>1094.0999999999999</v>
      </c>
      <c r="AE176" s="3">
        <f>1243+(444.5-593.4)+(0+(0-0))+0-0-0</f>
        <v>1094.0999999999999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1203.6+(331.6-626)+(-1.841508+(-0.507348--0.95778))+0-0-0</f>
        <v>907.80892399999993</v>
      </c>
      <c r="G177" s="3">
        <f>1227.8+(397.1-770.6)+(-1.878534+(-0.607563--1.179018))+0-0-0</f>
        <v>852.99292099999991</v>
      </c>
      <c r="H177" s="3">
        <f>1226.8+(391.9-792.8)+(-2.502672+(-0.799476--1.617312))+0-0-0</f>
        <v>824.21516399999996</v>
      </c>
      <c r="I177" s="3">
        <f>1159.9+(383.5-742.6)+(-0.591549+(-0.195585--0.378726))+0-0-0</f>
        <v>800.39159200000006</v>
      </c>
      <c r="J177" s="3">
        <f>1123.1+(404.4-744)+(0.572781+(0.206244-0.37944))+0-0-0</f>
        <v>783.89958499999989</v>
      </c>
      <c r="K177" s="3">
        <f>1121.9+(390-733.5)+(-0.572169+(-0.1989--0.374085))+0-0-0</f>
        <v>778.00301600000012</v>
      </c>
      <c r="L177" s="3">
        <f>1043.6+(349-614.5)+(-0.532236+(-0.17799--0.313395))+0-0-0</f>
        <v>777.70316899999989</v>
      </c>
      <c r="M177" s="3">
        <f>1022.7+(288.9-549.1)+(0.521577+(0.147339-0.280041))+0-0-0</f>
        <v>762.88887499999998</v>
      </c>
      <c r="N177" s="3">
        <f>1196.5+(251.3-623.9)+(-2.44086+(-0.512652--1.272756))+0-0-0</f>
        <v>822.21924400000012</v>
      </c>
      <c r="O177" s="3">
        <f>1301.7+(226.8-623.1)+(0+(0-0))+0-0-0</f>
        <v>905.40000000000009</v>
      </c>
      <c r="P177" s="3">
        <f>1289.7+(229-561)+(1.315494+(0.23358-0.57222))+0-0-0</f>
        <v>958.67685400000005</v>
      </c>
      <c r="Q177" s="3">
        <f>1358.2+(281-581.3)+(1.385364+(0.28662-0.592926))+0-0-0</f>
        <v>1058.9790580000001</v>
      </c>
      <c r="R177" s="3">
        <f>1285+(301-615)+(0+(0-0))+0-0-0</f>
        <v>971</v>
      </c>
      <c r="S177" s="3">
        <f>1370+(384-656)+(0+(0-0))+0-0-0</f>
        <v>1098</v>
      </c>
      <c r="T177" s="3">
        <f>1365+(453-735)+(0+(0-0))+0-0-0</f>
        <v>1083</v>
      </c>
      <c r="U177" s="3">
        <f>1296+(430-633)+(0+(0-0))+0-0-0</f>
        <v>1093</v>
      </c>
      <c r="V177" s="3">
        <f>1282+(418-658)+(0+(0-0))+0-0-0</f>
        <v>1042</v>
      </c>
      <c r="W177" s="3">
        <f>1275+(363-657)+(0+(0-0))+0-0-0</f>
        <v>981</v>
      </c>
      <c r="X177" s="3">
        <f>1262.4+(270-600)+(-3.21912+(-0.6885--1.53))+0-0-0</f>
        <v>930.02238000000011</v>
      </c>
      <c r="Y177" s="3">
        <f>1272.7+(329-566)+(-1.298154+(-0.33558--0.57732))+0-0-0</f>
        <v>1034.6435860000001</v>
      </c>
      <c r="Z177" s="3">
        <f>1269.9+(392-591)+(-3.238245+(-0.9996--1.50705))+0-0-0</f>
        <v>1068.1692050000001</v>
      </c>
      <c r="AA177" s="3">
        <f>1370.3+(387-627)+(-4.193118+(-1.18422--1.91862))+0-0-0</f>
        <v>1126.8412819999999</v>
      </c>
      <c r="AB177" s="3">
        <f>1273.9+(348-616)+(-2.598756+(-0.70992--1.25664))+0-0-0</f>
        <v>1003.847964</v>
      </c>
      <c r="AC177" s="3">
        <f>1288.5+(327-629)+(-0.657135+(-0.16677--0.32079))+0-0-0</f>
        <v>985.99688500000002</v>
      </c>
      <c r="AD177">
        <v>1087.4000000000001</v>
      </c>
      <c r="AE177" s="3">
        <f>1283+(412.9-608.5)+(0+(0-0))+0-0-0</f>
        <v>1087.4000000000001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1320+(289.3-658.6)+(0+(0-0))+0-0-0</f>
        <v>950.7</v>
      </c>
      <c r="G178" s="3">
        <f>1170+(336.9-758.9)+(0+(0-0))+0-0-0</f>
        <v>748</v>
      </c>
      <c r="H178" s="3">
        <f>1050+(365.6-719.8)+(0+(0-0))+0-0-0</f>
        <v>695.80000000000007</v>
      </c>
      <c r="I178" s="3">
        <f>1010+(365.2-703)+(0+(0-0))+0-0-0</f>
        <v>672.2</v>
      </c>
      <c r="J178" s="3">
        <f>960+(383.5-718.2)+(0+(0-0))+0-0-0</f>
        <v>625.29999999999995</v>
      </c>
      <c r="K178" s="3">
        <f>910+(346-651.6)+(0+(0-0))+0-0-0</f>
        <v>604.4</v>
      </c>
      <c r="L178" s="3">
        <f>958.4+(359-563.4)+(0+(0-0))+0-0-0</f>
        <v>754</v>
      </c>
      <c r="M178" s="3">
        <f>896.1+(394.4-542.1)+(0.457011+(0.201144-0.276471))+0-0-0</f>
        <v>748.78168399999993</v>
      </c>
      <c r="N178" s="3">
        <f>1014.4+(418.5-539.5)+(-1.034688+(-0.42687--0.55029))+0-0-0</f>
        <v>892.48873200000003</v>
      </c>
      <c r="O178" s="3">
        <f>1081.2+(439-590.9)+(0.551412+(0.22389-0.301359))+0-0-0</f>
        <v>929.77394300000003</v>
      </c>
      <c r="P178" s="3">
        <f>1083.7+(445.3-564.7)+(1.658061+(0.681309-0.863991))+0-0-0</f>
        <v>965.77537899999993</v>
      </c>
      <c r="Q178" s="3">
        <f>1149.7+(290.1-450.8)+(0.586347+(0.147951-0.229908))+0-0-0</f>
        <v>989.50438999999994</v>
      </c>
      <c r="R178" s="3">
        <f>1167.7+(304.5-494)+(1.191054+(0.31059-0.50388))+0-0-0</f>
        <v>979.19776400000001</v>
      </c>
      <c r="S178" s="3">
        <f>1163.1+(389.5-584.8)+(-0.593181+(-0.198645--0.298248))+0-0-0</f>
        <v>967.306422</v>
      </c>
      <c r="T178" s="3">
        <f>1298.6+(399-689.9)+(-0.662286+(-0.20349--0.351849))+0-0-0</f>
        <v>1007.186073</v>
      </c>
      <c r="U178" s="3">
        <f>1380.1+(424.5-826.4)+(-0.703851+(-0.216495--0.421464))+0-0-0</f>
        <v>977.70111799999995</v>
      </c>
      <c r="V178" s="3">
        <f>1382.3+(466.8-826.7)+(-3.524865+(-1.19034--2.108085))+0-0-0</f>
        <v>1019.7928799999999</v>
      </c>
      <c r="W178" s="3">
        <f>1308.4+(450.6-799.1)+(-4.003704+(-1.378836--2.445246))+0-0-0</f>
        <v>956.96270600000014</v>
      </c>
      <c r="X178" s="3">
        <f>1309.9+(320.2-717.8)+(-3.340245+(-0.81651--1.83039))+0-0-0</f>
        <v>909.97363500000017</v>
      </c>
      <c r="Y178" s="3">
        <f>1311.4+(300.3-654.2)+(-1.337628+(-0.306306--0.667284))+0-0-0</f>
        <v>956.52335000000005</v>
      </c>
      <c r="Z178" s="3">
        <f>1283.2+(406.9-639.8)+(-3.926592+(-1.245114--1.957788))+0-0-0</f>
        <v>1047.0860820000003</v>
      </c>
      <c r="AA178" s="3">
        <f>1291.4+(449.1-696.6)+(-3.29307+(-1.145205--1.77633))+0-0-0</f>
        <v>1041.238055</v>
      </c>
      <c r="AB178" s="3">
        <f>1317.1+(402.2-681.9)+(-2.015163+(-0.615366--1.043307))+0-0-0</f>
        <v>1035.8127779999998</v>
      </c>
      <c r="AC178" s="3">
        <f>1303.1+(344.7-671.2)+(-0.664581+(-0.175797--0.342312))+0-0-0</f>
        <v>976.10193399999991</v>
      </c>
      <c r="AD178">
        <v>1034.3999999999999</v>
      </c>
      <c r="AE178" s="3">
        <f>1284+(409.1-658.7)+(0+(0-0))+0-0-0</f>
        <v>1034.4000000000001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1309.1+(336.9-735.8)+(0+(0-0))+0-0-0</f>
        <v>910.19999999999993</v>
      </c>
      <c r="G179" s="3">
        <f>1204.5+(407-771.2)+(-0.614295+(-0.20757--0.393312))+0-0-0</f>
        <v>839.87144699999999</v>
      </c>
      <c r="H179" s="3">
        <f>1012+(473.4-717.9)+(1.54836+(0.724302-1.098387))+0-0-0</f>
        <v>768.67427499999997</v>
      </c>
      <c r="I179" s="3">
        <f>1003.7+(426.7-660.4)+(-1.023774+(-0.435234--0.673608))+0-0-0</f>
        <v>769.21460000000002</v>
      </c>
      <c r="J179" s="3">
        <f>989.5+(388.9-640.8)+(-1.513935+(-0.595017--0.980424))+0-0-0</f>
        <v>736.47147200000006</v>
      </c>
      <c r="K179" s="3">
        <f>995+(361.9-627)+(-0.50745+(-0.184569--0.31977))+0-0-0</f>
        <v>729.52775099999997</v>
      </c>
      <c r="L179" s="3">
        <f>870.5+(374.8-570.6)+(-2.219775+(-0.95574--1.45503))+0-0-0</f>
        <v>672.97951499999999</v>
      </c>
      <c r="M179" s="3">
        <f>849.1+(420.7-546.8)+(0+(0-0))+0-0-0</f>
        <v>723</v>
      </c>
      <c r="N179" s="3">
        <f>862.6+(458.5-559.6)+(0+(0-0))+0-0-0</f>
        <v>761.5</v>
      </c>
      <c r="O179" s="3">
        <f>1068.4+(304.7-539.3)+(0+(0-0))+11.4-0-0</f>
        <v>845.20000000000016</v>
      </c>
      <c r="P179" s="3">
        <f>1290.2+(135-432.4)+(2.632008+(0.2754-0.882096))+3-0-0</f>
        <v>997.82531200000005</v>
      </c>
      <c r="Q179" s="3">
        <f>1313.3+(74.2-459.3)+(0+(0-0))+0-0-0</f>
        <v>928.19999999999993</v>
      </c>
      <c r="R179" s="3">
        <f>1288.1+(116.8-568.6)+(-1.313862+(-0.119136--0.579972))+0-0-0</f>
        <v>835.44697399999995</v>
      </c>
      <c r="S179" s="3">
        <f>1332.6+(298.2-719.5)+(-2.718504+(-0.608328--1.46778))+0-0-0</f>
        <v>909.44094799999993</v>
      </c>
      <c r="T179" s="3">
        <f>1354+(391.1-836.7)+(-0.69054+(-0.199461--0.426717))+0-0-0</f>
        <v>907.93671599999993</v>
      </c>
      <c r="U179" s="3">
        <f>1332.2+(424.9-807.6)+(-2.038266+(-0.650097--1.235628))+0-0-0</f>
        <v>948.04726500000004</v>
      </c>
      <c r="V179" s="3">
        <f>1258.3+(460.1-775.7)+(-0.641733+(-0.234651--0.395607))+0-0-0</f>
        <v>942.21922299999994</v>
      </c>
      <c r="W179" s="3">
        <f>1246.2+(344.5-673.5)+(-3.17781+(-0.878475--1.717425))+0-0-0</f>
        <v>914.86114000000009</v>
      </c>
      <c r="X179" s="3">
        <f>1166.5+(316.4-605.7)+(0+(0-0))+0-0-0</f>
        <v>877.19999999999993</v>
      </c>
      <c r="Y179" s="3">
        <f>1227.8+(320.3-619.5)+(0+(0-0))+0-0-0</f>
        <v>928.59999999999991</v>
      </c>
      <c r="Z179" s="3">
        <f>1271.2+(353.7-598.4)+(-1.944936+(-0.541161--0.915552))+0-0-0</f>
        <v>1024.929455</v>
      </c>
      <c r="AA179" s="3">
        <f>1267.7+(360.9-622.3)+(-3.232635+(-0.920295--1.586865))+0-0-0</f>
        <v>1003.7339350000001</v>
      </c>
      <c r="AB179" s="3">
        <f>1208.7+(403.1-579.7)+(-3.082185+(-1.027905--1.478235))+0-0-0</f>
        <v>1029.4681449999998</v>
      </c>
      <c r="AC179" s="3">
        <f>1069.2+(404.2-564.2)+(-1.635876+(-0.618426--0.863226))+0-0-0</f>
        <v>907.80892400000005</v>
      </c>
      <c r="AD179">
        <v>1039.4000000000001</v>
      </c>
      <c r="AE179" s="3">
        <f>1303+(352.4-616)+(0+(0-0))+0-0-0</f>
        <v>1039.4000000000001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989.5+(430.8-557.7)+(-1.513935+(-0.659124--0.853281))+0-0-0</f>
        <v>861.28022199999987</v>
      </c>
      <c r="G180" s="3">
        <f>989.7+(403.6-562.4)+(-0.504747+(-0.205836--0.286824))+0-0-0</f>
        <v>830.47624100000007</v>
      </c>
      <c r="H180" s="3">
        <f>988.8+(373.7-606.4)+(-2.52144+(-0.952935--1.54632))+0-0-0</f>
        <v>754.17194499999994</v>
      </c>
      <c r="I180" s="3">
        <f>991.9+(363.5-626.9)+(0+(0-0))+0-0-0</f>
        <v>728.5</v>
      </c>
      <c r="J180" s="3">
        <f>991.7+(353.3-612.2)+(0+(0-0))+0-0-0</f>
        <v>732.8</v>
      </c>
      <c r="K180" s="3">
        <f>981.9+(336.3-609)+(1.502307+(0.514539-0.93177))+0-0-0</f>
        <v>710.285076</v>
      </c>
      <c r="L180" s="3">
        <f>861.7+(395.7-514.5)+(1.318401+(0.605421-0.787185))+0-0-0</f>
        <v>744.03663700000004</v>
      </c>
      <c r="M180" s="3">
        <f>704.3+(488.3-518)+(-1.795965+(-1.245165--1.3209))+0-0-0</f>
        <v>672.87976999999989</v>
      </c>
      <c r="N180" s="3">
        <f>672.2+(489.4-462.8)+(0+(0-0))+0-0-0</f>
        <v>698.8</v>
      </c>
      <c r="O180" s="3">
        <f>671.8+(475.7-389.2)+(-1.027854+(-0.727821--0.595476))+0-0-0</f>
        <v>757.13980099999992</v>
      </c>
      <c r="P180" s="3">
        <f>800.5+(405.7-407.8)+(-0.81651+(-0.413814--0.415956))+0-0-0</f>
        <v>797.58563200000003</v>
      </c>
      <c r="Q180" s="3">
        <f>864.8+(360.3-436.4)+(-0.882096+(-0.367506--0.445128))+0-0-0</f>
        <v>787.89552600000002</v>
      </c>
      <c r="R180" s="3">
        <f>974.8+(320.9-452.6)+(-0.994296+(-0.327318--0.461652))+0-0-0</f>
        <v>842.24003799999991</v>
      </c>
      <c r="S180" s="3">
        <f>973.7+(396.6-528.4)+(-0.993174+(-0.404532--0.538968))+0-0-0</f>
        <v>841.04126200000007</v>
      </c>
      <c r="T180" s="3">
        <f>975.8+(430-558)+(0.497658+(0.2193-0.28458))+0-0-0</f>
        <v>848.23237799999993</v>
      </c>
      <c r="U180" s="3">
        <f>974+(455.9-574)+(0+(0-0))+0-0-0</f>
        <v>855.9</v>
      </c>
      <c r="V180" s="3">
        <f>974.1+(464.8-574.8)+(-2.483955+(-1.18524--1.46574))+0-0-0</f>
        <v>861.89654500000017</v>
      </c>
      <c r="W180" s="3">
        <f>974+(429.6-553.7)+(-0.99348+(-0.438192--0.564774))+0-0-0</f>
        <v>849.03310199999999</v>
      </c>
      <c r="X180" s="3">
        <f>976.2+(383-530.6)+(-1.493586+(-0.58599--0.811818))+0-0-0</f>
        <v>827.33224200000006</v>
      </c>
      <c r="Y180" s="3">
        <f>978.2+(452.5-546.2)+(0+(0-0))+0-0-0</f>
        <v>884.5</v>
      </c>
      <c r="Z180" s="3">
        <f>981.7+(537-563.5)+(-1.502001+(-0.82161--0.862155))+0-0-0</f>
        <v>953.73854400000005</v>
      </c>
      <c r="AA180" s="3">
        <f>975.2+(517.3-570.8)+(-2.48676+(-1.319115--1.45554))+0-0-0</f>
        <v>919.34966500000007</v>
      </c>
      <c r="AB180" s="3">
        <f>1022.5+(447.2-569.5)+(-2.0859+(-0.912288--1.16178))+0-0-0</f>
        <v>898.36359200000004</v>
      </c>
      <c r="AC180" s="3">
        <f>1125.8+(386.1-643.6)+(-1.148316+(-0.393822--0.656472))+0-0-0</f>
        <v>867.41433399999994</v>
      </c>
      <c r="AD180">
        <v>976.69999999999993</v>
      </c>
      <c r="AE180" s="3">
        <f>1004+(530.8-558.1)+(0+(0-0))+0-0-0</f>
        <v>976.69999999999993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1178.2+(369-686.1)+(-2.403528+(-0.75276--1.399644))+0-0-0</f>
        <v>859.34335599999997</v>
      </c>
      <c r="G181" s="3">
        <f>1060.1+(393.5-658.2)+(0+(0-0))+0-0-0</f>
        <v>795.39999999999986</v>
      </c>
      <c r="H181" s="3">
        <f>1032.2+(373.5-653.2)+(-1.579266+(-0.571455--0.999396))+0-0-0</f>
        <v>751.34867499999996</v>
      </c>
      <c r="I181" s="3">
        <f>970+(369.5-596)+(-0.9894+(-0.37689--0.60792))+0-0-0</f>
        <v>742.74162999999999</v>
      </c>
      <c r="J181" s="3">
        <f>707.4+(529.2-512.8)+(-0.360774+(-0.269892--0.261528))+0-0-0</f>
        <v>723.43086200000005</v>
      </c>
      <c r="K181" s="3">
        <f>629.9+(562.7-519.8)+(-1.606245+(-1.434885--1.32549))+0-0-0</f>
        <v>671.08436000000006</v>
      </c>
      <c r="L181" s="3">
        <f>699.2+(556.9-514.8)+(-2.496144+(-1.988133--1.837836))+0-0-0</f>
        <v>738.65355900000009</v>
      </c>
      <c r="M181" s="3">
        <f>746.7+(433.4-495.6)+(1.142451+(0.663102-0.758268))+0-0-0</f>
        <v>685.54728499999999</v>
      </c>
      <c r="N181" s="3">
        <f>1061.8+(293.3-561.7)+(-1.083036+(-0.299166--0.572934))+0-0-0</f>
        <v>792.59073199999989</v>
      </c>
      <c r="O181" s="3">
        <f>1125.7+(318.5-585.3)+(-0.574107+(-0.162435--0.298503))+0-0-0</f>
        <v>858.46196100000009</v>
      </c>
      <c r="P181" s="3">
        <f>1295.4+(237.2-622.1)+(0+(0-0))+0-0-0</f>
        <v>910.5</v>
      </c>
      <c r="Q181" s="3">
        <f>1315.3+(211.7-586.4)+(0.670803+(0.107967-0.299064))+0-0-0</f>
        <v>941.07970599999987</v>
      </c>
      <c r="R181" s="3">
        <f>1311.2+(214-577.1)+(-1.337424+(-0.21828--0.588642))+0-0-0</f>
        <v>947.13293799999997</v>
      </c>
      <c r="S181" s="3">
        <f>1314.8+(299.7-669.3)+(0.670548+(0.152847-0.341343))+0-0-0</f>
        <v>945.682052</v>
      </c>
      <c r="T181" s="3">
        <f>1310.1+(300.8-654.1)+(0.668151+(0.153408-0.333591))+0-0-0</f>
        <v>957.28796799999998</v>
      </c>
      <c r="U181" s="3">
        <f>1277.7+(314.1-654.7)+(-0.651627+(-0.160191--0.333897))+0-0-0</f>
        <v>936.62207899999999</v>
      </c>
      <c r="V181" s="3">
        <f>1275.8+(360.3-698.9)+(-1.951974+(-0.551259--1.069317))+0-0-0</f>
        <v>935.76608400000009</v>
      </c>
      <c r="W181" s="3">
        <f>1272.9+(415.3-751.8)+(-2.596716+(-0.847212--1.533672))+0-0-0</f>
        <v>934.48974400000009</v>
      </c>
      <c r="X181" s="3">
        <f>1256.9+(346.1-702.6)+(-1.282038+(-0.353022--0.716652))+0-0-0</f>
        <v>899.48159200000009</v>
      </c>
      <c r="Y181" s="3">
        <f>1237+(342.7-628.1)+(-0.63087+(-0.174777--0.320331))+0-0-0</f>
        <v>951.1146839999999</v>
      </c>
      <c r="Z181" s="3">
        <f>1280.6+(385.9-604.7)+(-1.306212+(-0.393618--0.616794))+0-0-0</f>
        <v>1060.7169639999997</v>
      </c>
      <c r="AA181" s="3">
        <f>1272.6+(440.5-667.3)+(-3.894156+(-1.34793--2.041938))+0-0-0</f>
        <v>1042.5998520000001</v>
      </c>
      <c r="AB181" s="3">
        <f>1287.3+(440.6-714.1)+(0.656523+(0.224706-0.364191))+0-0-0</f>
        <v>1014.3170379999999</v>
      </c>
      <c r="AC181" s="3">
        <f>1289.5+(359.2-677.5)+(0.657645+(0.183192-0.345525))+0-0-0</f>
        <v>971.69531200000006</v>
      </c>
      <c r="AD181">
        <v>1059.6999999999998</v>
      </c>
      <c r="AE181" s="3">
        <f>1281+(399.1-620.4)+(0+(0-0))+0-0-0</f>
        <v>1059.7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1303.6+(401.8-780.5)+(-0.664836+(-0.204918--0.398055))+0-0-0</f>
        <v>924.42830099999992</v>
      </c>
      <c r="G182" s="3">
        <f>1297.7+(366.5-813.8)+(0.661827+(0.186915-0.415038))+0-0-0</f>
        <v>850.83370400000013</v>
      </c>
      <c r="H182" s="3">
        <f>1225.9+(409.6-847.9)+(2.500836+(0.835584-1.729716))+0-0-0</f>
        <v>789.20670400000017</v>
      </c>
      <c r="I182" s="3">
        <f>1195.3+(418.2-815)+(-1.828809+(-0.639846--1.24695))+0-0-0</f>
        <v>797.27829499999996</v>
      </c>
      <c r="J182" s="3">
        <f>1135.1+(430.3-777.3)+(2.315604+(0.877812-1.585692))+0-0-0</f>
        <v>789.70772399999987</v>
      </c>
      <c r="K182" s="3">
        <f>1091.2+(384-720.7)+(1.113024+(0.39168-0.735114))+0-0-0</f>
        <v>755.26958999999999</v>
      </c>
      <c r="L182" s="3">
        <f>1037.5+(358.6-635)+(-1.05825+(-0.365772--0.6477))+0-0-0</f>
        <v>760.32367799999997</v>
      </c>
      <c r="M182" s="3">
        <f>945.7+(348.4-552.5)+(0.482307+(0.177684-0.281775))+0-0-0</f>
        <v>741.97821599999997</v>
      </c>
      <c r="N182" s="3">
        <f>1059.3+(322.4-576.2)+(-0.540243+(-0.164424--0.293862))+0-0-0</f>
        <v>805.0891949999999</v>
      </c>
      <c r="O182" s="3">
        <f>1160.2+(303.8-591)+(0.591702+(0.154938-0.30141))+0-0-0</f>
        <v>873.44523000000004</v>
      </c>
      <c r="P182" s="3">
        <f>1247.6+(266.6-592.2)+(0+(0-0))+0-0-0</f>
        <v>921.99999999999989</v>
      </c>
      <c r="Q182" s="3">
        <f>1305.3+(213.8-602.4)+(1.997109+(0.327114-0.921672))+0-0-0</f>
        <v>918.10255100000006</v>
      </c>
      <c r="R182" s="3">
        <f>1339.4+(210.7-592)+(0.683094+(0.107457-0.30192))+0-0-0</f>
        <v>958.58863100000019</v>
      </c>
      <c r="S182" s="3">
        <f>1334.9+(255-646.3)+(-0.680799+(-0.13005--0.329613))+0-0-0</f>
        <v>943.11876400000017</v>
      </c>
      <c r="T182" s="3">
        <f>1329.4+(278.8-655.8)+(0.677994+(0.142188-0.334458))+0-0-0</f>
        <v>952.8857240000001</v>
      </c>
      <c r="U182" s="3">
        <f>1321.4+(261.9-626.5)+(-2.021742+(-0.400707--0.958545))+0-0-0</f>
        <v>955.33609600000011</v>
      </c>
      <c r="V182" s="3">
        <f>1318.8+(299.6-660.5)+(-2.690352+(-0.611184--1.34742))+0-0-0</f>
        <v>955.94588399999998</v>
      </c>
      <c r="W182" s="3">
        <f>1317.2+(306.9-663.9)+(-4.030632+(-0.939114--2.031534))+0-0-0</f>
        <v>957.26178800000002</v>
      </c>
      <c r="X182" s="3">
        <f>1325.3+(248.3-672)+(0.675903+(0.126633-0.34272))+0-0-0</f>
        <v>902.05981599999996</v>
      </c>
      <c r="Y182" s="3">
        <f>1326.9+(250.6-618.2)+(0.676719+(0.127806-0.315282))+0-0-0</f>
        <v>959.78924300000006</v>
      </c>
      <c r="Z182" s="3">
        <f>1337.4+(311.5-585.3)+(0+(0-0))+0-0-0</f>
        <v>1063.6000000000001</v>
      </c>
      <c r="AA182" s="3">
        <f>1325.8+(313.2-590)+(-3.38079+(-0.79866--1.5045))+0-0-0</f>
        <v>1046.3250499999999</v>
      </c>
      <c r="AB182" s="3">
        <f>1322.2+(356.5-648.1)+(-3.37161+(-0.909075--1.652655))+0-0-0</f>
        <v>1027.9719699999998</v>
      </c>
      <c r="AC182" s="3">
        <f>1347.2+(330.3-689.3)+(1.374144+(0.336906-0.703086))+0-0-0</f>
        <v>989.20796400000006</v>
      </c>
      <c r="AD182">
        <v>1011.0999999999999</v>
      </c>
      <c r="AE182" s="3">
        <f>1339+(264.3-592.2)+(0+(0-0))+0-0-0</f>
        <v>1011.0999999999999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1347.4+(397.8-824.3)+(-1.374348+(-0.405756--0.840786))+0-0-0</f>
        <v>919.96068200000013</v>
      </c>
      <c r="G183" s="3">
        <f>1331.2+(384.7-867.8)+(-2.715648+(-0.784788--1.770312))+0-0-0</f>
        <v>846.36987600000009</v>
      </c>
      <c r="H183" s="3">
        <f>1151.1+(428.4-776.7)+(-0.587061+(-0.218484--0.396117))+0-0-0</f>
        <v>802.39057199999979</v>
      </c>
      <c r="I183" s="3">
        <f>1029.4+(465.8-717.7)+(-2.099976+(-0.950232--1.464108))+0-0-0</f>
        <v>775.91390000000001</v>
      </c>
      <c r="J183" s="3">
        <f>1043.1+(467.1-741.9)+(2.659905+(1.191105-1.891845))+0-0-0</f>
        <v>770.25916499999994</v>
      </c>
      <c r="K183" s="3">
        <f>1039.9+(450.9-724.5)+(1.591047+(0.689877-1.108485))+0-0-0</f>
        <v>767.47243900000012</v>
      </c>
      <c r="L183" s="3">
        <f>997.6+(398.4-627.5)+(-2.035104+(-0.812736--1.2801))+0-0-0</f>
        <v>766.93226000000004</v>
      </c>
      <c r="M183" s="3">
        <f>909.5+(366.6-523)+(0+(0-0))+0-0-0</f>
        <v>753.1</v>
      </c>
      <c r="N183" s="3">
        <f>1065.9+(278.3-520.1)+(0.543609+(0.141933-0.265251))+0-0-0</f>
        <v>824.52029100000016</v>
      </c>
      <c r="O183" s="3">
        <f>1184+(270.4-565.5)+(0.60384+(0.137904-0.288405))+0-0-0</f>
        <v>889.35333900000001</v>
      </c>
      <c r="P183" s="3">
        <f>1352.2+(185.8-586.8)+(0.689622+(0.094758-0.299268))+0-0-0</f>
        <v>951.685112</v>
      </c>
      <c r="Q183" s="3">
        <f>1354.3+(197.8-571)+(1.381386+(0.201756-0.58242))+0-0-0</f>
        <v>982.10072199999991</v>
      </c>
      <c r="R183" s="3">
        <f>1342.4+(209.3-573.7)+(-0.684624+(-0.106743--0.292587))+0-0-0</f>
        <v>977.50121999999999</v>
      </c>
      <c r="S183" s="3">
        <f>1312.7+(249.8-604.2)+(-2.008431+(-0.382194--0.924426))+0-0-0</f>
        <v>956.83380099999999</v>
      </c>
      <c r="T183" s="3">
        <f>1318.7+(270.3-633.3)+(0+(0-0))+0-0-0</f>
        <v>955.7</v>
      </c>
      <c r="U183" s="3">
        <f>1311+(281.3-633.5)+(-2.67444+(-0.573852--1.29234))+0-0-0</f>
        <v>956.84404799999993</v>
      </c>
      <c r="V183" s="3">
        <f>1317.9+(304.4-644.4)+(-1.344258+(-0.310488--0.657288))+0-0-0</f>
        <v>976.90254200000004</v>
      </c>
      <c r="W183" s="3">
        <f>1309.7+(270.8-619)+(-2.671788+(-0.552432--1.26276))+0-0-0</f>
        <v>959.53854000000001</v>
      </c>
      <c r="X183" s="3">
        <f>1299.2+(223-606)+(-0.662592+(-0.11373--0.30906))+0-0-0</f>
        <v>915.73273800000004</v>
      </c>
      <c r="Y183" s="3">
        <f>1295.5+(241.6-572.8)+(0.660705+(0.123216-0.292128))+0-0-0</f>
        <v>964.7917930000001</v>
      </c>
      <c r="Z183" s="3">
        <f>1315.8+(321.3-573.7)+(-2.684232+(-0.655452--1.170348))+0-0-0</f>
        <v>1061.2306639999999</v>
      </c>
      <c r="AA183" s="3">
        <f>1311.4+(312.4-578.7)+(-2.675256+(-0.637296--1.180548))+0-0-0</f>
        <v>1042.9679959999999</v>
      </c>
      <c r="AB183" s="3">
        <f>1311.7+(330.6-618.4)+(-2.675868+(-0.674424--1.261536))+0-0-0</f>
        <v>1021.8112440000001</v>
      </c>
      <c r="AC183" s="3">
        <f>1320.1+(276.8-602.3)+(0+(0-0))+0-0-0</f>
        <v>994.59999999999991</v>
      </c>
      <c r="AD183">
        <v>1066.4000000000001</v>
      </c>
      <c r="AE183" s="3">
        <f>1319+(326.3-578.9)+(0+(0-0))+0-0-0</f>
        <v>1066.4000000000001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1301.8+(307.4-698)+(-2.655672+(-0.627096--1.42392))+0-0-0</f>
        <v>909.34115199999997</v>
      </c>
      <c r="G184" s="3">
        <f>1198.6+(397.6-742.2)+(-1.833858+(-0.608328--1.135566))+0-0-0</f>
        <v>852.69337999999993</v>
      </c>
      <c r="H184" s="3">
        <f>1008.4+(395.5-609.3)+(-1.542852+(-0.605115--0.932229))+0-0-0</f>
        <v>793.38426200000004</v>
      </c>
      <c r="I184" s="3">
        <f>1023.5+(312.1-564.3)+(1.04397+(0.318342-0.575586))+0-0-0</f>
        <v>772.08672600000011</v>
      </c>
      <c r="J184" s="3">
        <f>1028.3+(318.5-579.2)+(2.622165+(0.812175-1.47696))+0-0-0</f>
        <v>769.55737999999985</v>
      </c>
      <c r="K184" s="3">
        <f>1016.2+(292.2-541.8)+(0+(0-0))+0-0-0</f>
        <v>766.60000000000014</v>
      </c>
      <c r="L184" s="3">
        <f>1017.2+(308.3-560.9)+(-0.518772+(-0.157233--0.286059))+0-0-0</f>
        <v>764.21005400000013</v>
      </c>
      <c r="M184" s="3">
        <f>1055+(265.2-555.8)+(-0.53805+(-0.135252--0.283458))+0-0-0</f>
        <v>764.01015600000005</v>
      </c>
      <c r="N184" s="3">
        <f>1174.8+(221.2-578.8)+(0+(0-0))+0-0-0</f>
        <v>817.2</v>
      </c>
      <c r="O184" s="3">
        <f>1322.9+(192.3-624.9)+(2.024037+(0.294219-0.956097))+0-0-0</f>
        <v>891.6621590000002</v>
      </c>
      <c r="P184" s="3">
        <f>1335.1+(265.6-655.7)+(1.361802+(0.270912-0.668814))+0-0-0</f>
        <v>945.96389999999985</v>
      </c>
      <c r="Q184" s="3">
        <f>1331.3+(324.4-670.5)+(2.036889+(0.496332-1.025865))+0-0-0</f>
        <v>986.70735599999989</v>
      </c>
      <c r="R184" s="3">
        <f>1324.9+(428.1-770.5)+(0+(0-0))+0-0-0</f>
        <v>982.50000000000011</v>
      </c>
      <c r="S184" s="3">
        <f>1319.3+(545.7-880.3)+(-0.672843+(-0.278307--0.448953))+0-0-0</f>
        <v>984.19780300000002</v>
      </c>
      <c r="T184" s="3">
        <f>1319.5+(572.1-912.6)+(0.672945+(0.291771-0.465426))+0-0-0</f>
        <v>979.49928999999997</v>
      </c>
      <c r="U184" s="3">
        <f>1321.8+(561-901.8)+(1.348236+(0.57222-0.919836))+0-0-0</f>
        <v>982.00062000000003</v>
      </c>
      <c r="V184" s="3">
        <f>1305.3+(538.3-861)+(-3.328515+(-1.372665--2.19555))+0-0-0</f>
        <v>980.09436999999991</v>
      </c>
      <c r="W184" s="3">
        <f>1310.7+(457.6-811.2)+(-1.336914+(-0.466752--0.827424))+0-0-0</f>
        <v>956.12375800000007</v>
      </c>
      <c r="X184" s="3">
        <f>1317+(315.2-734.9)+(0+(0-0))+0-0-0</f>
        <v>897.3</v>
      </c>
      <c r="Y184" s="3">
        <f>1318.9+(363.4-700.6)+(0+(0-0))+0-0-0</f>
        <v>981.7</v>
      </c>
      <c r="Z184" s="3">
        <f>1343.9+(348.6-629.7)+(-1.370778+(-0.355572--0.642294))+0-0-0</f>
        <v>1061.7159440000003</v>
      </c>
      <c r="AA184" s="3">
        <f>1336.9+(305.5-606.9)+(-3.409095+(-0.779025--1.547595))+0-0-0</f>
        <v>1032.859475</v>
      </c>
      <c r="AB184" s="3">
        <f>1339+(286.5-592.8)+(-3.41445+(-0.730575--1.51164))+0-0-0</f>
        <v>1030.066615</v>
      </c>
      <c r="AC184" s="3">
        <f>1347.7+(322.4-690.1)+(-0.687327+(-0.164424--0.351951))+0-0-0</f>
        <v>979.50019999999995</v>
      </c>
      <c r="AD184">
        <v>1047.5</v>
      </c>
      <c r="AE184" s="3">
        <f>1342+(350.8-645.3)+(0+(0-0))+0-0-0</f>
        <v>1047.5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1335.2+(378.2-799.7)+(-4.766664+(-1.350174--2.854929))+0-0-0</f>
        <v>910.4380910000001</v>
      </c>
      <c r="G185" s="3">
        <f>1252.2+(423.1-825.6)+(-5.108976+(-1.726248--3.368448))+0-0-0</f>
        <v>846.23322400000006</v>
      </c>
      <c r="H185" s="3">
        <f>1050+(483.9-739.9)+(-3.213+(-1.480734--2.264094))+0-0-0</f>
        <v>791.57036000000005</v>
      </c>
      <c r="I185" s="3">
        <f>1044+(370.7-642)+(0.53244+(0.189057-0.32742))+0-0-0</f>
        <v>773.09407700000008</v>
      </c>
      <c r="J185" s="3">
        <f>1043.8+(352.5-639.4)+(0.532338+(0.179775-0.326094))+0-0-0</f>
        <v>757.28601900000001</v>
      </c>
      <c r="K185" s="3">
        <f>1045.9+(332.7-622)+(1.066818+(0.339354-0.63444))+0-0-0</f>
        <v>757.37173200000018</v>
      </c>
      <c r="L185" s="3">
        <f>987.8+(341.6-561.9)+(-2.015112+(-0.696864--1.146276))+0-0-0</f>
        <v>765.93430000000001</v>
      </c>
      <c r="M185" s="3">
        <f>882.4+(387.8-511.5)+(0.900048+(0.395556-0.52173))+0-0-0</f>
        <v>759.47387400000002</v>
      </c>
      <c r="N185" s="3">
        <f>928.2+(398.4-506.9)+(-1.893528+(-0.812736--1.034076))+0-0-0</f>
        <v>818.02781200000004</v>
      </c>
      <c r="O185" s="3">
        <f>1177.1+(380.2-653.2)+(-0.600321+(-0.193902--0.333132))+0-0-0</f>
        <v>903.6389089999999</v>
      </c>
      <c r="P185" s="3">
        <f>1345.2+(427.4-812.4)+(-1.372104+(-0.435948--0.828648))+0-0-0</f>
        <v>959.220596</v>
      </c>
      <c r="Q185" s="3">
        <f>1343.6+(473.7-840)+(1.370472+(0.483174-0.8568))+0-0-0</f>
        <v>978.29684599999996</v>
      </c>
      <c r="R185" s="3">
        <f>1323.9+(540.8-888.7)+(-1.350378+(-0.551616--0.906474))+0-0-0</f>
        <v>975.00447999999994</v>
      </c>
      <c r="S185" s="3">
        <f>1322.2+(627.2-993.4)+(-1.348644+(-0.639744--1.013268))+0-0-0</f>
        <v>955.02488000000017</v>
      </c>
      <c r="T185" s="3">
        <f>1348+(630.5-1016.9)+(-1.37496+(-0.64311--1.037238))+0-0-0</f>
        <v>960.61916800000006</v>
      </c>
      <c r="U185" s="3">
        <f>1343.4+(623.9-999.1)+(-2.740536+(-1.272756--2.038164))+0-0-0</f>
        <v>966.224872</v>
      </c>
      <c r="V185" s="3">
        <f>1345.5+(592.1-963.4)+(-2.74482+(-1.207884--1.965336))+0-0-0</f>
        <v>972.2126320000001</v>
      </c>
      <c r="W185" s="3">
        <f>1312.6+(503.3-859.4)+(-3.34713+(-1.283415--2.19147))+0-0-0</f>
        <v>954.060925</v>
      </c>
      <c r="X185" s="3">
        <f>1291.4+(403.9-797.1)+(-1.975842+(-0.617967--1.219563))+0-0-0</f>
        <v>896.82575400000007</v>
      </c>
      <c r="Y185" s="3">
        <f>1325.4+(435.6-781.5)+(-2.703816+(-0.888624--1.59426))+0-0-0</f>
        <v>977.50182000000007</v>
      </c>
      <c r="Z185" s="3">
        <f>1358.8+(403.1-702.7)+(-2.771952+(-0.822324--1.433508))+0-0-0</f>
        <v>1057.0392319999999</v>
      </c>
      <c r="AA185" s="3">
        <f>1351.5+(316.8-640.9)+(-5.51412+(-1.292544--2.614872))+0-0-0</f>
        <v>1023.2082080000001</v>
      </c>
      <c r="AB185" s="3">
        <f>1363+(285.9-635)+(-3.47565+(-0.729045--1.61925))+0-0-0</f>
        <v>1011.3145549999999</v>
      </c>
      <c r="AC185" s="3">
        <f>1332.3+(249.1-619.1)+(-1.358946+(-0.254082--0.631482))+0-0-0</f>
        <v>961.31845399999997</v>
      </c>
      <c r="AD185">
        <v>1049</v>
      </c>
      <c r="AE185" s="3">
        <f>1357+(455.1-763.1)+(0+(0-0))+0-0-0</f>
        <v>1049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1323+(381.6-877.2)+(-1.34946+(-0.389232--0.894744))+0-0-0</f>
        <v>826.55605200000002</v>
      </c>
      <c r="G186" s="3">
        <f>1328.4+(385.7-927.9)+(2.032452+(0.590121-1.419687))+0-0-0</f>
        <v>787.40288600000008</v>
      </c>
      <c r="H186" s="3">
        <f>1327.4+(374.4-927.5)+(2.030922+(0.572832-1.419075))+0-0-0</f>
        <v>775.48467900000003</v>
      </c>
      <c r="I186" s="3">
        <f>1300.7+(312.2-851.5)+(1.326714+(0.318444-0.86853))+0-0-0</f>
        <v>762.17662800000005</v>
      </c>
      <c r="J186" s="3">
        <f>1253+(336.2-833)+(3.19515+(0.85731-2.12415))+0-0-0</f>
        <v>758.12831000000006</v>
      </c>
      <c r="K186" s="3">
        <f>1201.6+(274.6-725.3)+(-3.06408+(-0.70023--1.849515))+0-0-0</f>
        <v>748.98520499999995</v>
      </c>
      <c r="L186" s="3">
        <f>1115.3+(274-652.2)+(0.568803+(0.13974-0.332622))+0-0-0</f>
        <v>737.47592099999986</v>
      </c>
      <c r="M186" s="3">
        <f>1107.7+(269.3-581.2)+(-0.564927+(-0.137343--0.296412))+0-0-0</f>
        <v>795.39414199999999</v>
      </c>
      <c r="N186" s="3">
        <f>1216.8+(260.7-610.3)+(-1.241136+(-0.265914--0.622506))+0-0-0</f>
        <v>866.31545600000004</v>
      </c>
      <c r="O186" s="3">
        <f>1274.7+(265.5-619.1)+(0+(0-0))+0-0-0</f>
        <v>921.1</v>
      </c>
      <c r="P186" s="3">
        <f>1262.7+(316.4-656.6)+(-0.643977+(-0.161364--0.334866))+0-0-0</f>
        <v>922.02952500000004</v>
      </c>
      <c r="Q186" s="3">
        <f>1328.8+(316-709.9)+(-2.710752+(-0.64464--1.448196))+0-0-0</f>
        <v>932.99280399999998</v>
      </c>
      <c r="R186" s="3">
        <f>1337.8+(399-822.6)+(-3.41139+(-1.01745--2.09763))+0-0-0</f>
        <v>911.86878999999988</v>
      </c>
      <c r="S186" s="3">
        <f>1338.8+(484-903.7)+(-2.731152+(-0.98736--1.843548))+0-0-0</f>
        <v>917.22503599999993</v>
      </c>
      <c r="T186" s="3">
        <f>1346.3+(513.7-942)+(0+(0-0))+0-0-0</f>
        <v>918</v>
      </c>
      <c r="U186" s="3">
        <f>1212.1+(471.3-774.4)+(-2.472684+(-0.961452--1.579776))+0-0-0</f>
        <v>907.14563999999996</v>
      </c>
      <c r="V186" s="3">
        <f>1167.9+(412.8-694.6)+(-2.978145+(-1.05264--1.77123))+0-0-0</f>
        <v>883.84044500000016</v>
      </c>
      <c r="W186" s="3">
        <f>1174.3+(299.3-604.6)+(-1.197786+(-0.305286--0.616692))+0-0-0</f>
        <v>868.11361999999997</v>
      </c>
      <c r="X186" s="3">
        <f>1202+(271.9-544.1)+(-2.45208+(-0.554676--1.109964))+0-0-0</f>
        <v>927.90320799999995</v>
      </c>
      <c r="Y186" s="3">
        <f>1228.8+(338.8-560.7)+(-3.760128+(-1.036728--1.715742))+0-0-0</f>
        <v>1003.8188859999999</v>
      </c>
      <c r="Z186" s="3">
        <f>1228.2+(335.9-591.2)+(-3.13191+(-0.856545--1.50756))+0-0-0</f>
        <v>970.41910499999994</v>
      </c>
      <c r="AA186" s="3">
        <f>1233.7+(320.1-604.5)+(-2.516748+(-0.653004--1.23318))+0-0-0</f>
        <v>947.36342800000011</v>
      </c>
      <c r="AB186" s="3">
        <f>1239+(294.2-608.3)+(-1.89567+(-0.450126--0.930699))+0-0-0</f>
        <v>923.48490300000014</v>
      </c>
      <c r="AC186" s="3">
        <f>1235.2+(301.5-658.5)+(-3.14976+(-0.768825--1.679175))+0-0-0</f>
        <v>875.96059000000002</v>
      </c>
      <c r="AD186">
        <v>1002.9</v>
      </c>
      <c r="AE186" s="3">
        <f>1231+(351.3-579.4)+(0+(0-0))+0-0-0</f>
        <v>1002.9000000000001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1243.1+(350.5-774.6)+(-1.267962+(-0.35751--0.790092))+0-0-0</f>
        <v>818.1646199999999</v>
      </c>
      <c r="G187" s="3">
        <f>1216.6+(403.9-836.7)+(0.620466+(0.205989-0.426717))+0-0-0</f>
        <v>784.1997379999998</v>
      </c>
      <c r="H187" s="3">
        <f>1242.4+(370.6-859)+(1.267248+(0.378012-0.87618))+0-0-0</f>
        <v>754.76908000000014</v>
      </c>
      <c r="I187" s="3">
        <f>1244.6+(340.2-836.4)+(0+(0-0))+0-0-0</f>
        <v>748.39999999999986</v>
      </c>
      <c r="J187" s="3">
        <f>1239.4+(282.5-780.4)+(-1.896282+(-0.432225--1.194012))+0-0-0</f>
        <v>740.3655050000001</v>
      </c>
      <c r="K187" s="3">
        <f>1181.2+(228.3-671.4)+(-3.614472+(-0.698598--2.054484))+0-0-0</f>
        <v>735.8414140000001</v>
      </c>
      <c r="L187" s="3">
        <f>975.8+(320.1-601.5)+(0.497658+(0.163251-0.306765))+0-0-0</f>
        <v>694.754144</v>
      </c>
      <c r="M187" s="3">
        <f>974+(292.7-549.8)+(1.98696+(0.597108-1.121592))+0-0-0</f>
        <v>718.36247600000013</v>
      </c>
      <c r="N187" s="3">
        <f>1109.1+(247.1-583)+(0+(0-0))+0-0-0</f>
        <v>773.19999999999993</v>
      </c>
      <c r="O187" s="3">
        <f>1141.9+(273.9-606.5)+(1.164738+(0.279378-0.61863))+0-0-0</f>
        <v>810.12548600000002</v>
      </c>
      <c r="P187" s="3">
        <f>1243+(215.2-613.2)+(0+(0-0))+0-0-0</f>
        <v>845</v>
      </c>
      <c r="Q187" s="3">
        <f>1228.1+(224.2-604.3)+(-1.252662+(-0.228684--0.616386))+0-0-0</f>
        <v>847.13504</v>
      </c>
      <c r="R187" s="3">
        <f>1227.1+(232.7-624.9)+(0.625821+(0.118677-0.318699))+0-0-0</f>
        <v>835.32579899999985</v>
      </c>
      <c r="S187" s="3">
        <f>1221.5+(265.2-660.9)+(-1.24593+(-0.270504--0.674118))+0-0-0</f>
        <v>824.95768399999997</v>
      </c>
      <c r="T187" s="3">
        <f>1223+(239.6-643.9)+(-1.87119+(-0.366588--0.985167))+0-0-0</f>
        <v>817.44738900000004</v>
      </c>
      <c r="U187" s="3">
        <f>1223.2+(230.2-638.8)+(-2.495328+(-0.469608--1.303152))+0-0-0</f>
        <v>812.93821600000012</v>
      </c>
      <c r="V187" s="3">
        <f>1223.8+(210-622.4)+(-1.872414+(-0.3213--0.952272))+0-0-0</f>
        <v>810.15855799999997</v>
      </c>
      <c r="W187" s="3">
        <f>1230.4+(196.7-635.3)+(0+(0-0))+0-0-0</f>
        <v>791.80000000000018</v>
      </c>
      <c r="X187" s="3">
        <f>1233.7+(285.6-626.2)+(0+(0-0))+0-0-0</f>
        <v>893.1</v>
      </c>
      <c r="Y187" s="3">
        <f>1234.8+(373.3-631.2)+(-0.629748+(-0.190383--0.321912))+0-0-0</f>
        <v>976.40178099999991</v>
      </c>
      <c r="Z187" s="3">
        <f>1226.7+(336.2-605.1)+(-1.876851+(-0.514386--0.925803))+0-0-0</f>
        <v>956.334566</v>
      </c>
      <c r="AA187" s="3">
        <f>1230.1+(325.4-601.2)+(-1.254702+(-0.331908--0.613224))+0-0-0</f>
        <v>953.32661399999984</v>
      </c>
      <c r="AB187" s="3">
        <f>1240.4+(330.3-646.7)+(0.632604+(0.168453-0.329817))+0-0-0</f>
        <v>924.47123999999997</v>
      </c>
      <c r="AC187" s="3">
        <f>1238.4+(380.6-755.7)+(-0.631584+(-0.194106--0.385407))+0-0-0</f>
        <v>862.85971700000005</v>
      </c>
      <c r="AD187">
        <v>972.3</v>
      </c>
      <c r="AE187" s="3">
        <f>1236+(366.3-630)+(0+(0-0))+0-0-0</f>
        <v>972.3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1239.4+(463.5-889.7)+(0+(0-0))+0-0-0</f>
        <v>813.2</v>
      </c>
      <c r="G188" s="3">
        <f>1240+(365.6-842.3)+(0.6324+(0.186456-0.429573))+0-0-0</f>
        <v>763.68928300000005</v>
      </c>
      <c r="H188" s="3">
        <f>1243.7+(312.4-817.4)+(1.268574+(0.318648-0.833748))+0-0-0</f>
        <v>739.45347400000003</v>
      </c>
      <c r="I188" s="3">
        <f>1241.1+(295.1-813.7)+(0.632961+(0.150501-0.414987))+0-0-0</f>
        <v>722.86847499999988</v>
      </c>
      <c r="J188" s="3">
        <f>1237+(264.2-784.6)+(-1.26174+(-0.269484--0.800292))+0-0-0</f>
        <v>715.86906799999986</v>
      </c>
      <c r="K188" s="3">
        <f>1230.3+(240.2-756.2)+(-3.137265+(-0.61251--1.92831))+0-0-0</f>
        <v>712.47853499999997</v>
      </c>
      <c r="L188" s="3">
        <f>1059.1+(248-625)+(0+(0-0))+0-0-0</f>
        <v>682.09999999999991</v>
      </c>
      <c r="M188" s="3">
        <f>1149.3+(205.8-636.4)+(0+(0-0))+0-0-0</f>
        <v>718.7</v>
      </c>
      <c r="N188" s="3">
        <f>1160+(207.6-591.4)+(-0.5916+(-0.105876--0.301614))+0-0-0</f>
        <v>775.80413800000008</v>
      </c>
      <c r="O188" s="3">
        <f>1245.2+(148.7-627)+(0+(0-0))+0-0-0</f>
        <v>766.90000000000009</v>
      </c>
      <c r="P188" s="3">
        <f>1238+(251-615.9)+(0.63138+(0.12801-0.314109))+0-0-0</f>
        <v>873.54528100000005</v>
      </c>
      <c r="Q188" s="3">
        <f>1286.2+(221.4-621.5)+(-1.967886+(-0.338742--0.950895))+0-0-0</f>
        <v>884.74426700000004</v>
      </c>
      <c r="R188" s="3">
        <f>1320.3+(254.4-703.9)+(0+(0-0))+0-0-0</f>
        <v>870.8</v>
      </c>
      <c r="S188" s="3">
        <f>1320.2+(430.2-878.6)+(0.673302+(0.219402-0.448086))+0-0-0</f>
        <v>872.24461799999995</v>
      </c>
      <c r="T188" s="3">
        <f>1418.7+(428-957.3)+(0+(0-0))+0-0-0</f>
        <v>889.40000000000009</v>
      </c>
      <c r="U188" s="3">
        <f>1420.1+(418.8-941.7)+(-1.448502+(-0.427176--0.960534))+0-0-0</f>
        <v>896.28485599999976</v>
      </c>
      <c r="V188" s="3">
        <f>1363.2+(307.7-769.1)+(-2.085696+(-0.470781--1.176723))+0-0-0</f>
        <v>900.42024599999991</v>
      </c>
      <c r="W188" s="3">
        <f>1215.1+(265.4-632.8)+(-1.239402+(-0.270708--0.645456))+0-0-0</f>
        <v>846.83534599999996</v>
      </c>
      <c r="X188" s="3">
        <f>1411.1+(196-675.2)+(0+(0-0))+0-0-0</f>
        <v>931.89999999999986</v>
      </c>
      <c r="Y188" s="3">
        <f>1445.2+(215.9-642.5)+(-0.737052+(-0.110109--0.327675))+0-0-0</f>
        <v>1018.080514</v>
      </c>
      <c r="Z188" s="3">
        <f>1450.3+(221.9-672.3)+(-2.958612+(-0.452676--1.371492))+0-0-0</f>
        <v>997.86020399999995</v>
      </c>
      <c r="AA188" s="3">
        <f>1434.8+(258.7-698.1)+(0.731748+(0.131937-0.356031))+0-0-0</f>
        <v>995.90765399999987</v>
      </c>
      <c r="AB188" s="3">
        <f>1430+(363.4-833.5)+(-2.1879+(-0.556002--1.275255))+0-0-0</f>
        <v>958.43135299999994</v>
      </c>
      <c r="AC188" s="3">
        <f>1433+(455.4-992)+(-0.73083+(-0.232254--0.50592))+0-0-0</f>
        <v>895.94283599999994</v>
      </c>
      <c r="AD188">
        <v>992.19999999999993</v>
      </c>
      <c r="AE188" s="3">
        <f>1445+(203.3-656.1)+(0+(0-0))+0-0-0</f>
        <v>992.2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1406.1+(422.2-992.9)+(-0.717111+(-0.215322--0.506379))+0-0-0</f>
        <v>834.97394599999984</v>
      </c>
      <c r="G189" s="3">
        <f>1259.4+(440.3-912.5)+(-1.926882+(-0.673659--1.396125))+0-0-0</f>
        <v>785.99558400000001</v>
      </c>
      <c r="H189" s="3">
        <f>1275.4+(405.2-920.4)+(0.650454+(0.206652-0.469404))+0-0-0</f>
        <v>760.58770200000004</v>
      </c>
      <c r="I189" s="3">
        <f>1286.4+(372.3-911.5)+(-0.656064+(-0.189873--0.464865))+0-0-0</f>
        <v>746.81892800000003</v>
      </c>
      <c r="J189" s="3">
        <f>1296.9+(316.5-876)+(-0.661419+(-0.161415--0.44676))+0-0-0</f>
        <v>737.02392600000007</v>
      </c>
      <c r="K189" s="3">
        <f>1162.9+(322.5-747)+(-2.372316+(-0.6579--1.52388))+0-0-0</f>
        <v>736.89366400000006</v>
      </c>
      <c r="L189" s="3">
        <f>1083.2+(261.3-625.5)+(-1.104864+(-0.266526--0.63801))+0-0-0</f>
        <v>718.26661999999999</v>
      </c>
      <c r="M189" s="3">
        <f>1108.5+(215.9-563)+(1.13067+(0.220218-0.57426))+0-0-0</f>
        <v>762.17662799999994</v>
      </c>
      <c r="N189" s="3">
        <f>1192+(229.1-573)+(0+(0-0))+0-0-0</f>
        <v>848.1</v>
      </c>
      <c r="O189" s="3">
        <f>1330+(143-560)+(0.6783+(0.07293-0.2856))+0-0-0</f>
        <v>913.46563000000003</v>
      </c>
      <c r="P189" s="3">
        <f>1423.8+(197.5-670.9)+(-0.726138+(-0.100725--0.342159))+0-0-0</f>
        <v>949.91529600000001</v>
      </c>
      <c r="Q189" s="3">
        <f>1428.1+(259.3-752.6)+(0.728331+(0.132243-0.383826))+0-0-0</f>
        <v>935.276748</v>
      </c>
      <c r="R189" s="3">
        <f>1422.5+(421.3-931.7)+(-1.45095+(-0.429726--0.950334))+0-0-0</f>
        <v>911.16965799999991</v>
      </c>
      <c r="S189" s="3">
        <f>1444+(494.5-1019.7)+(1.47288+(0.50439-1.040094))+0-0-0</f>
        <v>919.73717599999998</v>
      </c>
      <c r="T189" s="3">
        <f>1514.1+(552-1116.9)+(-0.772191+(-0.28152--0.569619))+0-0-0</f>
        <v>948.71590799999979</v>
      </c>
      <c r="U189" s="3">
        <f>1514.7+(532.3-1111.3)+(-3.089988+(-1.085892--2.267052))+0-0-0</f>
        <v>933.79117200000007</v>
      </c>
      <c r="V189" s="3">
        <f>1424.1+(475.5-984.8)+(-1.452582+(-0.48501--1.004496))+0-0-0</f>
        <v>913.86690399999998</v>
      </c>
      <c r="W189" s="3">
        <f>1381.3+(329.2-839.5)+(0.704463+(0.167892-0.428145))+0-0-0</f>
        <v>871.44421</v>
      </c>
      <c r="X189" s="3">
        <f>1447.4+(340.6-822.2)+(-0.738174+(-0.173706--0.419322))+0-0-0</f>
        <v>965.30744200000004</v>
      </c>
      <c r="Y189" s="3">
        <f>1481.3+(363.7-785.6)+(-3.777315+(-0.927435--2.00328))+0-0-0</f>
        <v>1056.6985299999999</v>
      </c>
      <c r="Z189" s="3">
        <f>1423.4+(367.4-764.2)+(-1.451868+(-0.374748--0.779484))+0-0-0</f>
        <v>1025.552868</v>
      </c>
      <c r="AA189" s="3">
        <f>1407.5+(304.8-722.5)+(-0.717825+(-0.155448--0.368475))+0-0-0</f>
        <v>989.2952019999999</v>
      </c>
      <c r="AB189" s="3">
        <f>1412.2+(288.3-761.6)+(-2.160666+(-0.441099--1.165248))+0-0-0</f>
        <v>937.46348300000011</v>
      </c>
      <c r="AC189" s="3">
        <f>1396.7+(285.2-807.8)+(-3.561585+(-0.72726--2.05989))+0-0-0</f>
        <v>871.87104500000009</v>
      </c>
      <c r="AD189">
        <v>1081.0999999999999</v>
      </c>
      <c r="AE189" s="3">
        <f>1512+(365.2-796.1)+(0+(0-0))+0-0-0</f>
        <v>1081.0999999999999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1438.8+(346.6-943.2)+(-3.66894+(-0.88383--2.40516))+0-0-0</f>
        <v>840.05238999999995</v>
      </c>
      <c r="G190" s="3">
        <f>1509.4+(269.6-996.3)+(3.079176+(0.549984-2.032452))+0-0-0</f>
        <v>784.29670800000019</v>
      </c>
      <c r="H190" s="3">
        <f>1499.7+(249.3-983.6)+(-1.529694+(-0.254286--1.003272))+0-0-0</f>
        <v>764.61929200000009</v>
      </c>
      <c r="I190" s="3">
        <f>1487.6+(211.4-945.6)+(-1.517352+(-0.215628--0.964512))+0-0-0</f>
        <v>752.63153199999988</v>
      </c>
      <c r="J190" s="3">
        <f>1419+(193.1-864.1)+(-1.44738+(-0.196962--0.881382))+0-0-0</f>
        <v>747.23703999999998</v>
      </c>
      <c r="K190" s="3">
        <f>1373.6+(173.9-799.4)+(-3.50268+(-0.443445--2.03847))+0-0-0</f>
        <v>746.19234499999993</v>
      </c>
      <c r="L190" s="3">
        <f>1225.2+(133.4-638.2)+(-1.874556+(-0.204102--0.976446))+0-0-0</f>
        <v>719.29778799999997</v>
      </c>
      <c r="M190" s="3">
        <f>1185.2+(135.1-562.3)+(0.604452+(0.068901-0.286773))+0-0-0</f>
        <v>758.38658000000009</v>
      </c>
      <c r="N190" s="3">
        <f>1505.4+(198.2-865.7)+(0+(0-0))+0-0-0</f>
        <v>837.90000000000009</v>
      </c>
      <c r="O190" s="3">
        <f>1587.6+(179.7-868)+(0.809676+(0.091647-0.44268))+0-0-0</f>
        <v>899.75864300000001</v>
      </c>
      <c r="P190" s="3">
        <f>1528+(280.2-881.7)+(1.55856+(0.285804-0.899334))+0-0-0</f>
        <v>927.44502999999997</v>
      </c>
      <c r="Q190" s="3">
        <f>1517.7+(369.5-962.3)+(0+(0-0))+0-0-0</f>
        <v>924.90000000000009</v>
      </c>
      <c r="R190" s="3">
        <f>1536.2+(494.9-1108.3)+(-2.350386+(-0.757197--1.695699))+0-0-0</f>
        <v>921.38811600000008</v>
      </c>
      <c r="S190" s="3">
        <f>1541+(547.7-1156.4)+(-3.14364+(-1.117308--2.359056))+0-0-0</f>
        <v>930.39810799999998</v>
      </c>
      <c r="T190" s="3">
        <f>1530.6+(557.7-1155)+(-3.90303+(-1.422135--2.94525))+0-0-0</f>
        <v>930.92008499999997</v>
      </c>
      <c r="U190" s="3">
        <f>1487.1+(515.9-1085.9)+(-5.308947+(-1.841763--3.876663))+0-0-0</f>
        <v>913.8259529999998</v>
      </c>
      <c r="V190" s="3">
        <f>1443.3+(382.4-933.8)+(-5.152581+(-1.365168--3.333666))+0-0-0</f>
        <v>888.71591699999999</v>
      </c>
      <c r="W190" s="3">
        <f>1448.1+(161.1-759.4)+(-2.954124+(-0.328644--1.549176))+0-0-0</f>
        <v>848.06640799999991</v>
      </c>
      <c r="X190" s="3">
        <f>1440.6+(250.7-734.4)+(-2.938824+(-0.511428--1.498176))+0-0-0</f>
        <v>954.94792399999983</v>
      </c>
      <c r="Y190" s="3">
        <f>1441+(443.7-849.6)+(-2.93964+(-0.905148--1.733184))+0-0-0</f>
        <v>1032.988396</v>
      </c>
      <c r="Z190" s="3">
        <f>1455.7+(287.6-739.3)+(0+(0-0))+0-0-0</f>
        <v>1004.0000000000001</v>
      </c>
      <c r="AA190" s="3">
        <f>1445.1+(317.4-786.5)+(-3.685005+(-0.80937--2.005575))+0-0-0</f>
        <v>973.51119999999992</v>
      </c>
      <c r="AB190" s="3">
        <f>1440.7+(293.1-796.9)+(-3.673785+(-0.747405--2.032095))+0-0-0</f>
        <v>934.51090500000009</v>
      </c>
      <c r="AC190" s="3">
        <f>1409.7+(300.9-840.5)+(-3.594735+(-0.767295--2.143275))+0-0-0</f>
        <v>867.88124500000004</v>
      </c>
      <c r="AD190">
        <v>1028.5</v>
      </c>
      <c r="AE190" s="3">
        <f>1451+(473.4-922.9)+(0+(0-0))+0-0-0</f>
        <v>1001.5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1416.5+(411.3-982.3)+(-2.88966+(-0.839052--2.003892))+0-0-0</f>
        <v>843.77517999999998</v>
      </c>
      <c r="G191" s="3">
        <f>1421.3+(370.5-983.2)+(0+(0-0))+0-0-0</f>
        <v>808.59999999999991</v>
      </c>
      <c r="H191" s="3">
        <f>1423.2+(350.3-998.9)+(0+(0-0))+0-0-0</f>
        <v>774.60000000000014</v>
      </c>
      <c r="I191" s="3">
        <f>1422.8+(318.9-975)+(0+(0-0))+0-0-0</f>
        <v>766.69999999999993</v>
      </c>
      <c r="J191" s="3">
        <f>1419.3+(302.3-967.3)+(-1.447686+(-0.308346--0.986646))+0-0-0</f>
        <v>753.5306139999999</v>
      </c>
      <c r="K191" s="3">
        <f>1384.3+(245.3-871.9)+(-0.705993+(-0.125103--0.444669))+0-0-0</f>
        <v>757.31357300000002</v>
      </c>
      <c r="L191" s="3">
        <f>1292.2+(195-745.6)+(-1.318044+(-0.1989--0.760512))+0-0-0</f>
        <v>740.843568</v>
      </c>
      <c r="M191" s="3">
        <f>1291.1+(137.6-632.1)+(1.975383+(0.210528-0.967113))+0-0-0</f>
        <v>797.8187979999999</v>
      </c>
      <c r="N191" s="3">
        <f>1285.8+(289.2-712.7)+(1.311516+(0.294984-0.726954))+0-0-0</f>
        <v>863.17954599999996</v>
      </c>
      <c r="O191" s="3">
        <f>1362.4+(276.3-723.8)+(0+(0-0))+0-0-0</f>
        <v>914.90000000000009</v>
      </c>
      <c r="P191" s="3">
        <f>1385.9+(295.8-755.4)+(-3.534045+(-0.75429--1.92627))+0-0-0</f>
        <v>923.93793500000015</v>
      </c>
      <c r="Q191" s="3">
        <f>1481.7+(360.6-932.3)+(0.755667+(0.183906-0.475473))+0-0-0</f>
        <v>910.46410000000014</v>
      </c>
      <c r="R191" s="3">
        <f>1594.8+(420.5-1075.9)+(1.626696+(0.42891-1.097418))+0-0-0</f>
        <v>940.35818799999981</v>
      </c>
      <c r="S191" s="3">
        <f>1615.5+(476.6-1129.9)+(3.29562+(0.972264-2.304996))+0-0-0</f>
        <v>964.16288799999995</v>
      </c>
      <c r="T191" s="3">
        <f>1584.2+(506-1100.3)+(-2.423826+(-0.77418--1.683459))+0-0-0</f>
        <v>988.3854530000001</v>
      </c>
      <c r="U191" s="3">
        <f>1579.6+(470.1-1079.8)+(-4.02798+(-1.198755--2.75349))+0-0-0</f>
        <v>967.42675499999996</v>
      </c>
      <c r="V191" s="3">
        <f>1567.4+(377.7-1009.7)+(-3.99687+(-0.963135--2.574735))+0-0-0</f>
        <v>933.0147300000001</v>
      </c>
      <c r="W191" s="3">
        <f>1603+(178.8-812)+(-2.45259+(-0.273564--1.24236))+0-0-0</f>
        <v>968.31620599999997</v>
      </c>
      <c r="X191" s="3">
        <f>1522.4+(215.1-840.9)+(2.329272+(0.329103-1.286577))+0-0-0</f>
        <v>897.97179800000015</v>
      </c>
      <c r="Y191" s="3">
        <f>1546.2+(331-875.7)+(-3.94281+(-0.84405--2.233035))+0-0-0</f>
        <v>998.94617500000004</v>
      </c>
      <c r="Z191" s="3">
        <f>1650.3+(271.8-878.1)+(-1.683306+(-0.277236--0.895662))+0-0-0</f>
        <v>1042.9351200000001</v>
      </c>
      <c r="AA191" s="3">
        <f>1652.8+(267.6-899.8)+(-2.528784+(-0.409428--1.376694))+0-0-0</f>
        <v>1019.038482</v>
      </c>
      <c r="AB191" s="3">
        <f>1677.8+(337.6-1012.9)+(-3.422712+(-0.688704--2.066316))+0-0-0</f>
        <v>1000.4549</v>
      </c>
      <c r="AC191" s="3">
        <f>1680.9+(377.5-1132.3)+(-4.286295+(-0.962625--2.887365))+0-0-0</f>
        <v>923.73844500000018</v>
      </c>
      <c r="AD191">
        <v>1058.3999999999999</v>
      </c>
      <c r="AE191" s="3">
        <f>1662+(258.6-862.2)+(0+(0-0))+0-0-0</f>
        <v>1058.4000000000001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1576.1+(416.9-1163.8)+(-3.215244+(-0.850476--2.374152))+0-0-0</f>
        <v>827.50843199999997</v>
      </c>
      <c r="G192" s="3">
        <f>1573.1+(452.3-1244.3)+(-0.802281+(-0.230673--0.634593))+0-0-0</f>
        <v>780.70163899999989</v>
      </c>
      <c r="H192" s="3">
        <f>1553.3+(443.4-1224.4)+(-3.168732+(-0.904536--2.497776))+0-0-0</f>
        <v>770.72450799999979</v>
      </c>
      <c r="I192" s="3">
        <f>1407.3+(485.4-1149.5)+(0.717723+(0.247554-0.586245))+0-0-0</f>
        <v>743.57903199999998</v>
      </c>
      <c r="J192" s="3">
        <f>1410.3+(454.6-1120.9)+(-1.438506+(-0.463692--1.143318))+0-0-0</f>
        <v>743.24111999999991</v>
      </c>
      <c r="K192" s="3">
        <f>1388.2+(445.3-1072.9)+(-3.53991+(-1.135515--2.735895))+0-0-0</f>
        <v>758.66046999999992</v>
      </c>
      <c r="L192" s="3">
        <f>1282.7+(359-941.7)+(-0.654177+(-0.18309--0.480267))+0-0-0</f>
        <v>699.64300000000003</v>
      </c>
      <c r="M192" s="3">
        <f>1322.3+(335.6-915.4)+(0.674373+(0.171156-0.466854))+0-0-0</f>
        <v>742.87867500000004</v>
      </c>
      <c r="N192" s="3">
        <f>1390.6+(265.6-923.5)+(1.418412+(0.270912-0.94197))+0-0-0</f>
        <v>733.4473539999999</v>
      </c>
      <c r="O192" s="3">
        <f>1566.9+(282.1-958)+(2.397357+(0.431613-1.46574))+0-0-0</f>
        <v>892.36323000000016</v>
      </c>
      <c r="P192" s="3">
        <f>1573.8+(305-971.2)+(0+(0-0))+0-0-0</f>
        <v>907.59999999999991</v>
      </c>
      <c r="Q192" s="3">
        <f>1596.4+(436.6-1083.7)+(0.814164+(0.222666-0.552687))+0-0-0</f>
        <v>949.78414300000009</v>
      </c>
      <c r="R192" s="3">
        <f>1577.5+(503.2-1159.5)+(-2.413575+(-0.769896--1.774035))+0-0-0</f>
        <v>919.79056400000002</v>
      </c>
      <c r="S192" s="3">
        <f>1575.7+(544.4-1200.5)+(0.803607+(0.277644-0.612255))+0-0-0</f>
        <v>920.06899599999997</v>
      </c>
      <c r="T192" s="3">
        <f>1570.3+(561.9-1197.6)+(-3.203412+(-1.146276--2.443104))+0-0-0</f>
        <v>932.69341600000007</v>
      </c>
      <c r="U192" s="3">
        <f>1558.8+(535.3-1160.5)+(-3.97494+(-1.365015--2.959275))+0-0-0</f>
        <v>931.21931999999993</v>
      </c>
      <c r="V192" s="3">
        <f>1570.1+(510-1130.7)+(-1.601502+(-0.5202--1.153314))+0-0-0</f>
        <v>948.43161199999986</v>
      </c>
      <c r="W192" s="3">
        <f>1472.7+(367.6-926.7)+(0+(0-0))+0-0-0</f>
        <v>913.6</v>
      </c>
      <c r="X192" s="3">
        <f>1464+(324.2-799.8)+(-1.49328+(-0.330684--0.815796))+0-0-0</f>
        <v>987.39183200000014</v>
      </c>
      <c r="Y192" s="3">
        <f>1460.7+(396.3-824.3)+(-2.234871+(-0.606339--1.261179))+0-0-0</f>
        <v>1031.1199690000001</v>
      </c>
      <c r="Z192" s="3">
        <f>1467.8+(343-809.4)+(-2.245734+(-0.52479--1.238382))+0-0-0</f>
        <v>999.86785799999996</v>
      </c>
      <c r="AA192" s="3">
        <f>1477.7+(372.1-865.9)+(-1.507254+(-0.379542--0.883218))+0-0-0</f>
        <v>982.89642200000014</v>
      </c>
      <c r="AB192" s="3">
        <f>1482.8+(413-951.1)+(-0.756228+(-0.21063--0.485061))+0-0-0</f>
        <v>944.2182029999999</v>
      </c>
      <c r="AC192" s="3">
        <f>1462.2+(409-986.3)+(-0.745722+(-0.20859--0.503013))+0-0-0</f>
        <v>884.44870100000014</v>
      </c>
      <c r="AD192">
        <v>1037.5</v>
      </c>
      <c r="AE192" s="3">
        <f>1465+(399.7-827.2)+(0+(0-0))+0-0-0</f>
        <v>1037.5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1409.4+(410-986.8)+(-2.875176+(-0.8364--2.013072))+0-0-0</f>
        <v>830.90149600000018</v>
      </c>
      <c r="G193" s="3">
        <f>1368.3+(359-947.2)+(-3.489165+(-0.91545--2.41536))+0-0-0</f>
        <v>778.11074499999995</v>
      </c>
      <c r="H193" s="3">
        <f>1378.2+(343.5-974.1)+(-1.405764+(-0.35037--0.993582))+0-0-0</f>
        <v>746.83744799999999</v>
      </c>
      <c r="I193" s="3">
        <f>1383.5+(260.7-909.7)+(-2.82234+(-0.531828--1.855788))+0-0-0</f>
        <v>733.00162</v>
      </c>
      <c r="J193" s="3">
        <f>1404+(173.5-847.2)+(3.5802+(0.442425-2.16036))+0-0-0</f>
        <v>732.16226499999993</v>
      </c>
      <c r="K193" s="3">
        <f>1386.1+(197.6-853.5)+(-1.413822+(-0.201552--0.87057))+0-0-0</f>
        <v>729.45519599999989</v>
      </c>
      <c r="L193" s="3">
        <f>1289.6+(249.8-846)+(2.630784+(0.509592-1.72584))+0-0-0</f>
        <v>694.81453599999986</v>
      </c>
      <c r="M193" s="3">
        <f>1282.2+(185-732.1)+(1.961766+(0.28305-1.120113))+0-0-0</f>
        <v>736.22470299999998</v>
      </c>
      <c r="N193" s="3">
        <f>1068.5+(365.2-602.3)+(-1.08987+(-0.372504--0.614346))+0-0-0</f>
        <v>830.55197200000009</v>
      </c>
      <c r="O193" s="3">
        <f>1031.6+(394.3-558)+(0.526116+(0.201093-0.28458))+0-0-0</f>
        <v>868.34262899999987</v>
      </c>
      <c r="P193" s="3">
        <f>1107.4+(400.7-608)+(1.129548+(0.408714-0.62016))+0-0-0</f>
        <v>901.01810200000011</v>
      </c>
      <c r="Q193" s="3">
        <f>1252.3+(453-785.1)+(0+(0-0))+0-0-0</f>
        <v>920.19999999999993</v>
      </c>
      <c r="R193" s="3">
        <f>1234.7+(492.3-839.4)+(-3.148485+(-1.255365--2.14047))+0-0-0</f>
        <v>885.33662000000015</v>
      </c>
      <c r="S193" s="3">
        <f>1317+(459.3-903.1)+(-2.68668+(-0.936972--1.842324))+0-0-0</f>
        <v>871.41867200000002</v>
      </c>
      <c r="T193" s="3">
        <f>1326.8+(450.9-904)+(-3.38334+(-1.149795--2.3052))+0-0-0</f>
        <v>871.47206499999993</v>
      </c>
      <c r="U193" s="3">
        <f>1328.3+(458.3-916)+(-2.709732+(-0.934932--1.86864))+0-0-0</f>
        <v>868.8239759999999</v>
      </c>
      <c r="V193" s="3">
        <f>1318.1+(342.4-800.7)+(-2.688924+(-0.698496--1.633428))+0-0-0</f>
        <v>858.0460079999998</v>
      </c>
      <c r="W193" s="3">
        <f>1285.9+(199-659.7)+(-1.311618+(-0.20298--0.672894))+0-0-0</f>
        <v>824.358296</v>
      </c>
      <c r="X193" s="3">
        <f>1327.6+(236.3-636.2)+(1.354152+(0.241026-0.648924))+0-0-0</f>
        <v>928.64625399999977</v>
      </c>
      <c r="Y193" s="3">
        <f>1363.4+(290.5-666.1)+(-2.086002+(-0.444465--1.019133))+0-0-0</f>
        <v>986.28866600000003</v>
      </c>
      <c r="Z193" s="3">
        <f>1366.8+(265.2-670.9)+(-2.091204+(-0.405756--1.026477))+0-0-0</f>
        <v>959.62951699999996</v>
      </c>
      <c r="AA193" s="3">
        <f>1368.4+(263.4-683)+(-2.093652+(-0.403002--1.04499))+0-0-0</f>
        <v>947.34833600000002</v>
      </c>
      <c r="AB193" s="3">
        <f>1379.9+(232.9-703.7)+(-0.703749+(-0.118779--0.358887))+0-0-0</f>
        <v>908.63635899999997</v>
      </c>
      <c r="AC193" s="3">
        <f>1391.3+(260.6-796.4)+(-1.419126+(-0.265812--0.812328))+0-0-0</f>
        <v>854.62738999999999</v>
      </c>
      <c r="AD193">
        <v>972.30000000000007</v>
      </c>
      <c r="AE193" s="3">
        <f>1366+(293.4-687.1)+(0+(0-0))+0-0-0</f>
        <v>972.3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1388.8+(316.1-923.4)+(1.416576+(0.322422-0.941868))+0-0-0</f>
        <v>782.29713000000004</v>
      </c>
      <c r="G194" s="3">
        <f>1384.8+(308.1-952.5)+(0.706248+(0.157131-0.485775))+0-0-0</f>
        <v>740.777604</v>
      </c>
      <c r="H194" s="3">
        <f>1393+(288.8-959.2)+(1.42086+(0.294576-0.978384))+0-0-0</f>
        <v>723.33705199999986</v>
      </c>
      <c r="I194" s="3">
        <f>1385.5+(284.1-960.4)+(-0.706605+(-0.144891--0.489804))+0-0-0</f>
        <v>708.8383080000001</v>
      </c>
      <c r="J194" s="3">
        <f>1387.3+(206-902.3)+(0.707523+(0.10506-0.460173))+0-0-0</f>
        <v>691.35240999999996</v>
      </c>
      <c r="K194" s="3">
        <f>1266.6+(194.7-777.4)+(-3.22983+(-0.496485--1.98237))+0-0-0</f>
        <v>682.15605499999981</v>
      </c>
      <c r="L194" s="3">
        <f>1245.7+(170-777)+(1.270614+(0.1734-0.79254))+0-0-0</f>
        <v>639.35147400000005</v>
      </c>
      <c r="M194" s="3">
        <f>1396.9+(117.8-841)+(0+(0-0))+0-0-0</f>
        <v>673.7</v>
      </c>
      <c r="N194" s="3">
        <f>1388.7+(109.8-766.5)+(-2.124711+(-0.167994--1.172745))+0-0-0</f>
        <v>730.88004000000001</v>
      </c>
      <c r="O194" s="3">
        <f>1390.8+(103.6-705.5)+(2.127924+(0.158508-1.079415))+0-0-0</f>
        <v>790.10701699999993</v>
      </c>
      <c r="P194" s="3">
        <f>1369.6+(193.8-749.3)+(-1.396992+(-0.197676--0.764286))+0-0-0</f>
        <v>813.26961799999992</v>
      </c>
      <c r="Q194" s="3">
        <f>1356.8+(253.1-791.6)+(0+(0-0))+0-0-0</f>
        <v>818.3</v>
      </c>
      <c r="R194" s="3">
        <f>1340.1+(309.5-850.5)+(0+(0-0))+0-0-0</f>
        <v>799.09999999999991</v>
      </c>
      <c r="S194" s="3">
        <f>1336.2+(386.9-928.9)+(-1.362924+(-0.394638--0.947478))+0-0-0</f>
        <v>793.38991600000008</v>
      </c>
      <c r="T194" s="3">
        <f>1333.2+(399.9-946.5)+(-2.719728+(-0.815796--1.93086))+0-0-0</f>
        <v>784.99533600000007</v>
      </c>
      <c r="U194" s="3">
        <f>1262.6+(375.1-856.7)+(-3.863556+(-1.147806--2.621502))+0-0-0</f>
        <v>778.61013999999989</v>
      </c>
      <c r="V194" s="3">
        <f>1235.3+(277.4-737.2)+(-2.520012+(-0.565896--1.503888))+0-0-0</f>
        <v>773.91797999999994</v>
      </c>
      <c r="W194" s="3">
        <f>1284.3+(182.1-685.7)+(1.309986+(0.185742-0.699414))+0-0-0</f>
        <v>781.49631399999998</v>
      </c>
      <c r="X194" s="3">
        <f>1333+(225.2-675.9)+(0.67983+(0.114852-0.344709))+0-0-0</f>
        <v>882.74997299999995</v>
      </c>
      <c r="Y194" s="3">
        <f>1354.4+(244.8-676.8)+(-1.381488+(-0.249696--0.690336))+0-0-0</f>
        <v>921.45915200000013</v>
      </c>
      <c r="Z194" s="3">
        <f>1389.1+(307.8-790.8)+(-1.416882+(-0.313956--0.806616))+1.1-0-0</f>
        <v>906.27577799999995</v>
      </c>
      <c r="AA194" s="3">
        <f>1365+(413-875.9)+(-0.69615+(-0.21063--0.446709))+0-0-0</f>
        <v>901.63992900000005</v>
      </c>
      <c r="AB194" s="3">
        <f>1319.3+(455.2-896.1)+(-2.018529+(-0.696456--1.371033))+0-0-0</f>
        <v>877.05604799999992</v>
      </c>
      <c r="AC194" s="3">
        <f>1318.5+(495-1001.1)+(-2.017305+(-0.75735--1.531683))+0-0-0</f>
        <v>811.15702799999997</v>
      </c>
      <c r="AD194">
        <v>870.30000000000007</v>
      </c>
      <c r="AE194" s="3">
        <f>1344+(292.7-766.4)+(0+(0-0))+0-0-0</f>
        <v>870.3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1306.3+(415.9-992.1)+(-5.995917+(-1.908981--4.553739))+0-0-0</f>
        <v>726.74884099999986</v>
      </c>
      <c r="G195" s="3">
        <f>1324.9+(383.8-1026.9)+(-1.351398+(-0.391476--1.047438))+0-0-0</f>
        <v>681.10456399999998</v>
      </c>
      <c r="H195" s="3">
        <f>1314.3+(350.9-1004.1)+(-4.021758+(-1.073754--3.072546))+0-0-0</f>
        <v>659.07703399999991</v>
      </c>
      <c r="I195" s="3">
        <f>1319.8+(275-930.3)+(-2.019294+(-0.42075--1.423359))+0-0-0</f>
        <v>663.48331499999995</v>
      </c>
      <c r="J195" s="3">
        <f>1327.2+(239.2-904.3)+(0+(0-0))+0-0-0</f>
        <v>662.10000000000014</v>
      </c>
      <c r="K195" s="3">
        <f>1322.8+(253.4-908.6)+(-2.023884+(-0.387702--1.390158))+0-0-0</f>
        <v>666.57857199999989</v>
      </c>
      <c r="L195" s="3">
        <f>1326.2+(225.5-887.3)+(0.676362+(0.115005-0.452523))+0-0-0</f>
        <v>664.73884400000009</v>
      </c>
      <c r="M195" s="3">
        <f>1326+(306.1-912.3)+(0+(0-0))+0-0-0</f>
        <v>719.80000000000007</v>
      </c>
      <c r="N195" s="3">
        <f>1311.8+(353.8-865.9)+(1.338036+(0.360876-0.883218))+0-0-0</f>
        <v>800.51569400000005</v>
      </c>
      <c r="O195" s="3">
        <f>1335+(384.3-877.2)+(2.7234+(0.783972-1.789488))+0-0-0</f>
        <v>843.81788399999994</v>
      </c>
      <c r="P195" s="3">
        <f>1338.7+(342.4-816.5)+(1.365474+(0.349248-0.83283))+0-0-0</f>
        <v>865.48189200000002</v>
      </c>
      <c r="Q195" s="3">
        <f>1340+(339.1-811.9)+(0.6834+(0.172941-0.414069))+0-0-0</f>
        <v>867.64227200000005</v>
      </c>
      <c r="R195" s="3">
        <f>1330.8+(428.6-912.1)+(-0.678708+(-0.218586--0.465171))+0-0-0</f>
        <v>846.86787699999991</v>
      </c>
      <c r="S195" s="3">
        <f>1334.5+(509.7-1003.1)+(2.72238+(1.039788-2.046324))+0-0-0</f>
        <v>842.81584399999986</v>
      </c>
      <c r="T195" s="3">
        <f>1329.4+(493.9-980.1)+(-0.677994+(-0.251889--0.499851))+0-0-0</f>
        <v>842.76996800000006</v>
      </c>
      <c r="U195" s="3">
        <f>1322.7+(492.8-974.7)+(-2.698308+(-1.005312--1.988388))+0-0-0</f>
        <v>839.08476799999994</v>
      </c>
      <c r="V195" s="3">
        <f>1326.1+(504.8-992.8)+(-2.705244+(-1.029792--2.025312))+0-0-0</f>
        <v>836.39027599999986</v>
      </c>
      <c r="W195" s="3">
        <f>1327.5+(390.3-905.1)+(-2.031075+(-0.597159--1.384803))+0-0-0</f>
        <v>811.45656900000006</v>
      </c>
      <c r="X195" s="3">
        <f>1334.5+(401.8-801.8)+(0+(0-0))+0-0-0</f>
        <v>934.5</v>
      </c>
      <c r="Y195" s="3">
        <f>1356.5+(437-808.7)+(-3.459075+(-1.11435--2.062185))+0-0-0</f>
        <v>982.28875999999991</v>
      </c>
      <c r="Z195" s="3">
        <f>1356.6+(484.3-881.1)+(-1.383732+(-0.493986--0.898722))+0-0-0</f>
        <v>958.8210039999999</v>
      </c>
      <c r="AA195" s="3">
        <f>1348+(520.7-926.1)+(-2.74992+(-1.062228--1.889244))+0-0-0</f>
        <v>940.67709600000001</v>
      </c>
      <c r="AB195" s="3">
        <f>1349.8+(541.1-991.7)+(-1.376796+(-0.551922--1.011534))+0-0-0</f>
        <v>898.28281599999991</v>
      </c>
      <c r="AC195" s="3">
        <f>1345.4+(534.5-1053.1)+(-4.116924+(-1.63557--3.222486))+0-0-0</f>
        <v>824.26999200000023</v>
      </c>
      <c r="AD195">
        <v>982.90000000000009</v>
      </c>
      <c r="AE195" s="3">
        <f>1330+(390.4-737.5)+(0+(0-0))+0-0-0</f>
        <v>982.9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1342.7+(493.7-1085.7)+(-3.423885+(-1.258935--2.768535))+0-0-0</f>
        <v>748.7857150000001</v>
      </c>
      <c r="G196" s="3">
        <f>1352.5+(419.3-1059.9)+(0+(0-0))+0-0-0</f>
        <v>711.89999999999986</v>
      </c>
      <c r="H196" s="3">
        <f>1347.7+(378.8-1034.2)+(-2.061981+(-0.579564--1.582326))+0-0-0</f>
        <v>691.24078099999997</v>
      </c>
      <c r="I196" s="3">
        <f>1361.6+(326.4-1002.8)+(-2.083248+(-0.499392--1.534284))+0-0-0</f>
        <v>684.15164399999992</v>
      </c>
      <c r="J196" s="3">
        <f>1360.4+(290.6-967.5)+(-2.081412+(-0.444618--1.480275))+0-0-0</f>
        <v>682.45424500000013</v>
      </c>
      <c r="K196" s="3">
        <f>1324.3+(252.6-888)+(-1.350786+(-0.257652--0.90576))+0-0-0</f>
        <v>688.19732199999999</v>
      </c>
      <c r="L196" s="3">
        <f>1171+(205.5-701.5)+(0+(0-0))+0-0-0</f>
        <v>675</v>
      </c>
      <c r="M196" s="3">
        <f>1140.9+(190.3-611.7)+(1.745577+(0.291159-0.935901))+0-0-0</f>
        <v>720.60083499999996</v>
      </c>
      <c r="N196" s="3">
        <f>1128.8+(269.6-623.2)+(1.151376+(0.274992-0.635664))+0-0-0</f>
        <v>775.99070399999994</v>
      </c>
      <c r="O196" s="3">
        <f>1178.9+(308.3-669.2)+(-1.202478+(-0.314466--0.682584))+0-0-0</f>
        <v>817.16564000000005</v>
      </c>
      <c r="P196" s="3">
        <f>1334.8+(292.8-768.5)+(-0.680748+(-0.149328--0.391935))+0-0-0</f>
        <v>858.66185899999994</v>
      </c>
      <c r="Q196" s="3">
        <f>1354.3+(343.2-842.4)+(1.381386+(0.350064-0.859248))+0-0-0</f>
        <v>855.97220199999992</v>
      </c>
      <c r="R196" s="3">
        <f>1338.6+(386.2-920.2)+(-0.682686+(-0.196962--0.469302))+0-0-0</f>
        <v>804.1896539999999</v>
      </c>
      <c r="S196" s="3">
        <f>1339.4+(440.8-970.6)+(0+(0-0))+0-0-0</f>
        <v>809.60000000000014</v>
      </c>
      <c r="T196" s="3">
        <f>1319.1+(431.5-955.7)+(-3.363705+(-1.100325--2.437035))+0-0-0</f>
        <v>792.87300499999981</v>
      </c>
      <c r="U196" s="3">
        <f>1330.2+(425.1-932.9)+(-2.713608+(-0.867204--1.903116))+0-0-0</f>
        <v>820.72230400000012</v>
      </c>
      <c r="V196" s="3">
        <f>1327.4+(364.3-897)+(-3.38487+(-0.928965--2.28735))+0-0-0</f>
        <v>792.67351500000007</v>
      </c>
      <c r="W196" s="3">
        <f>1340.7+(293.5-841.7)+(-1.367514+(-0.29937--0.858534))+0-0-0</f>
        <v>791.69164999999998</v>
      </c>
      <c r="X196" s="3">
        <f>1346.6+(296.2-717.4)+(-2.060298+(-0.453186--1.097622))+0-0-0</f>
        <v>923.98413799999992</v>
      </c>
      <c r="Y196" s="3">
        <f>1347+(361.6-740.4)+(-2.06091+(-0.553248--1.132812))+0-0-0</f>
        <v>966.71865400000002</v>
      </c>
      <c r="Z196" s="3">
        <f>1349.3+(298.6-699.3)+(-2.752572+(-0.609144--1.426572))+0-0-0</f>
        <v>946.66485599999999</v>
      </c>
      <c r="AA196" s="3">
        <f>1348.6+(293.3-721.7)+(-2.063358+(-0.448749--1.104201))+0-0-0</f>
        <v>918.79209399999979</v>
      </c>
      <c r="AB196" s="3">
        <f>1313.6+(317.6-753.5)+(-1.339872+(-0.323952--0.76857))+0-0-0</f>
        <v>876.80474599999991</v>
      </c>
      <c r="AC196" s="3">
        <f>1203+(380.9-775.3)+(-3.06765+(-0.971295--1.977015))+0-0-0</f>
        <v>806.53807000000006</v>
      </c>
      <c r="AD196">
        <v>961.59999999999991</v>
      </c>
      <c r="AE196" s="3">
        <f>1352+(367.8-758.2)+(0+(0-0))+0-0-0</f>
        <v>961.59999999999991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1110+(404.8-786.6)+(0.5661+(0.206448-0.401166))+0-0-0</f>
        <v>728.57138200000009</v>
      </c>
      <c r="G197" s="3">
        <f>1015+(418.4-763.7)+(-2.58825+(-1.06692--1.947435))+0-0-0</f>
        <v>667.99226499999997</v>
      </c>
      <c r="H197" s="3">
        <f>1031+(379.3-761.4)+(-0.52581+(-0.193443--0.388314))+0-0-0</f>
        <v>648.56906100000015</v>
      </c>
      <c r="I197" s="3">
        <f>984.8+(336.8-681.4)+(-0.502248+(-0.171768--0.347514))+0-0-0</f>
        <v>639.87349800000004</v>
      </c>
      <c r="J197" s="3">
        <f>973.5+(314.7-641.5)+(-2.482425+(-0.802485--1.635825))+0-0-0</f>
        <v>645.05091500000003</v>
      </c>
      <c r="K197" s="3">
        <f>932.8+(305.5-583.3)+(-1.902912+(-0.62322--1.189932))+0-0-0</f>
        <v>653.66380000000004</v>
      </c>
      <c r="L197" s="3">
        <f>700.3+(460.2-528.6)+(-0.357153+(-0.234702--0.269586))+0-0-0</f>
        <v>631.57773099999986</v>
      </c>
      <c r="M197" s="3">
        <f>672.7+(537.8-533.1)+(0.343077+(0.274278-0.271881))+0-0-0</f>
        <v>677.74547399999994</v>
      </c>
      <c r="N197" s="3">
        <f>722.4+(571.4-538.5)+(0.736848+(0.582828-0.54927))+0-0-0</f>
        <v>756.07040599999993</v>
      </c>
      <c r="O197" s="3">
        <f>834.8+(466-516)+(0.851496+(0.47532-0.52632))+0-0-0</f>
        <v>785.60049599999991</v>
      </c>
      <c r="P197" s="3">
        <f>974.4+(351.7-538.5)+(-0.496944+(-0.179367--0.274635))+0-0-0</f>
        <v>787.19832399999996</v>
      </c>
      <c r="Q197" s="3">
        <f>1026.4+(274.9-494.5)+(-1.570392+(-0.420597--0.756585))+0-0-0</f>
        <v>805.56559600000003</v>
      </c>
      <c r="R197" s="3">
        <f>1023.8+(280.9-529.4)+(-2.088552+(-0.573036--1.079976))+0-0-0</f>
        <v>773.718388</v>
      </c>
      <c r="S197" s="3">
        <f>996.9+(366.7-600.9)+(-1.016838+(-0.374034--0.612918))+0-0-0</f>
        <v>761.92204600000002</v>
      </c>
      <c r="T197" s="3">
        <f>996.7+(391.1-599.6)+(-2.033268+(-0.797844--1.223184))+0-0-0</f>
        <v>786.59207200000003</v>
      </c>
      <c r="U197" s="3">
        <f>987.3+(423.9-643)+(-2.517615+(-1.080945--1.63965))+0-0-0</f>
        <v>766.24108999999999</v>
      </c>
      <c r="V197" s="3">
        <f>996.2+(324.2-550.2)+(-2.032248+(-0.661368--1.122408))+0-0-0</f>
        <v>768.62879200000009</v>
      </c>
      <c r="W197" s="3">
        <f>1012.5+(274.6-532.6)+(1.03275+(0.280092-0.543252))+0-0-0</f>
        <v>755.26958999999999</v>
      </c>
      <c r="X197" s="3">
        <f>1030.2+(419.6-563.6)+(-1.576206+(-0.641988--0.862308))+0-0-0</f>
        <v>884.84411399999999</v>
      </c>
      <c r="Y197" s="3">
        <f>1038.8+(454.6-572.9)+(-1.059576+(-0.463692--0.584358))+0-0-0</f>
        <v>919.56109000000004</v>
      </c>
      <c r="Z197" s="3">
        <f>1106.2+(389-590.1)+(-0.564162+(-0.19839--0.300951))+0-0-0</f>
        <v>904.63839900000005</v>
      </c>
      <c r="AA197" s="3">
        <f>1110.5+(348.9-569.4)+(0.566355+(0.177939-0.290394))+0-0-0</f>
        <v>890.45389999999998</v>
      </c>
      <c r="AB197" s="3">
        <f>1119.1+(410-681.9)+(-1.712223+(-0.6273--1.043307))+0-0-0</f>
        <v>845.90378399999997</v>
      </c>
      <c r="AC197" s="3">
        <f>1065.9+(428.6-710)+(-1.630827+(-0.655758--1.0863))+0-0-0</f>
        <v>783.29971500000011</v>
      </c>
      <c r="AD197">
        <v>928.4</v>
      </c>
      <c r="AE197" s="3">
        <f>1044+(461.3-576.9)+(0+(0-0))+0-0-0</f>
        <v>928.40000000000009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1006.3+(430.4-718.1)+(-2.052852+(-0.878016--1.464924))+0-0-0</f>
        <v>717.13405599999987</v>
      </c>
      <c r="G198" s="3">
        <f>1011.6+(422.9-750.7)+(-1.031832+(-0.431358--0.765714))+0-0-0</f>
        <v>683.1025239999999</v>
      </c>
      <c r="H198" s="3">
        <f>1012.4+(410-754.2)+(-0.516324+(-0.2091--0.384642))+0-0-0</f>
        <v>667.85921799999994</v>
      </c>
      <c r="I198" s="3">
        <f>1007.3+(415.4-762.9)+(-1.027446+(-0.423708--0.778158))+0-0-0</f>
        <v>659.12700399999994</v>
      </c>
      <c r="J198" s="3">
        <f>958.3+(390.7-702.9)+(0+(0-0))+0-0-0</f>
        <v>646.09999999999991</v>
      </c>
      <c r="K198" s="3">
        <f>852.9+(373.6-576.1)+(-1.739916+(-0.762144--1.175244))+0-0-0</f>
        <v>649.07318399999997</v>
      </c>
      <c r="L198" s="3">
        <f>693.2+(515-567.4)+(-0.353532+(-0.26265--0.289374))+0-0-0</f>
        <v>640.47319200000004</v>
      </c>
      <c r="M198" s="3">
        <f>679.8+(561.3-552.9)+(0+(0-0))+0-0-0</f>
        <v>688.19999999999993</v>
      </c>
      <c r="N198" s="3">
        <f>667.2+(648.7-549.3)+(0.340272+(0.330837-0.280143))+0-0-0</f>
        <v>766.99096600000018</v>
      </c>
      <c r="O198" s="3">
        <f>674+(673.4-546.6)+(0+(0-0))+0-0-0</f>
        <v>800.8</v>
      </c>
      <c r="P198" s="3">
        <f>674.5+(658-518.4)+(-0.68799+(-0.67116--0.528768))+0-0-0</f>
        <v>813.26961800000004</v>
      </c>
      <c r="Q198" s="3">
        <f>789.4+(571.8-556.1)+(-0.402594+(-0.291618--0.283611))+0-0-0</f>
        <v>804.68939899999987</v>
      </c>
      <c r="R198" s="3">
        <f>880+(517.1-607.6)+(-1.3464+(-0.791163--0.929628))+0-0-0</f>
        <v>788.29206499999998</v>
      </c>
      <c r="S198" s="3">
        <f>902.3+(547.2-665.7)+(-0.920346+(-0.558144--0.679014))+0-0-0</f>
        <v>783.00052399999993</v>
      </c>
      <c r="T198" s="3">
        <f>1069.7+(491.4-758)+(-1.091094+(-0.501228--0.77316))+0-0-0</f>
        <v>802.28083800000002</v>
      </c>
      <c r="U198" s="3">
        <f>1179.8+(421.5-809.2)+(0+(0-0))+0-0-0</f>
        <v>792.09999999999991</v>
      </c>
      <c r="V198" s="3">
        <f>1300.9+(273.9-782.9)+(-1.326918+(-0.279378--0.798558))+0-0-0</f>
        <v>791.09226200000012</v>
      </c>
      <c r="W198" s="3">
        <f>1319.3+(199.7-743.4)+(-2.018529+(-0.305541--1.137402))+0-0-0</f>
        <v>774.41333199999985</v>
      </c>
      <c r="X198" s="3">
        <f>1322.7+(206.7-626.3)+(-2.023731+(-0.316251--0.958239))+0-0-0</f>
        <v>901.71825700000011</v>
      </c>
      <c r="Y198" s="3">
        <f>1326.5+(269.1-653.5)+(-3.382575+(-0.686205--1.666425))+0-0-0</f>
        <v>939.69764499999997</v>
      </c>
      <c r="Z198" s="3">
        <f>1332.7+(159.8-576.8)+(0+(0-0))+0-0-0</f>
        <v>915.7</v>
      </c>
      <c r="AA198" s="3">
        <f>1326.8+(151.6-583.4)+(-1.353336+(-0.154632--0.595068))+0-0-0</f>
        <v>894.08709999999996</v>
      </c>
      <c r="AB198" s="3">
        <f>1263.3+(184.2-600.6)+(-3.221415+(-0.46971--1.53153))+0-0-0</f>
        <v>844.7404049999999</v>
      </c>
      <c r="AC198" s="3">
        <f>1224.1+(206.3-651.5)+(0+(0-0))+0-0-0</f>
        <v>778.89999999999986</v>
      </c>
      <c r="AD198">
        <v>944.30000000000007</v>
      </c>
      <c r="AE198" s="3">
        <f>1325+(246.4-627.1)+(0+(0-0))+0-0-0</f>
        <v>944.3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1224.8+(203.2-709.9)+(-0.624648+(-0.103632--0.362049))+0-0-0</f>
        <v>717.73376899999994</v>
      </c>
      <c r="G199" s="3">
        <f>1222.5+(235.4-775.3)+(-0.623475+(-0.120054--0.395403))+0-0-0</f>
        <v>682.25187400000004</v>
      </c>
      <c r="H199" s="3">
        <f>1228.8+(258.7-823.2)+(1.253376+(0.263874-0.839664))+0-0-0</f>
        <v>664.97758599999997</v>
      </c>
      <c r="I199" s="3">
        <f>1228.5+(230.7-810.5)+(-0.626535+(-0.117657--0.413355))+0-0-0</f>
        <v>648.36916300000007</v>
      </c>
      <c r="J199" s="3">
        <f>1179.8+(209.5-743.4)+(-1.805094+(-0.320535--1.137402))+0-0-0</f>
        <v>644.91177299999993</v>
      </c>
      <c r="K199" s="3">
        <f>1162+(189.1-703.1)+(-1.77786+(-0.289323--1.075743))+0-0-0</f>
        <v>647.00855999999999</v>
      </c>
      <c r="L199" s="3">
        <f>965.8+(229.3-566.8)+(0+(0-0))+0-0-0</f>
        <v>628.29999999999995</v>
      </c>
      <c r="M199" s="3">
        <f>957.4+(287.2-574.6)+(0+(0-0))+0-0-0</f>
        <v>670</v>
      </c>
      <c r="N199" s="3">
        <f>959.4+(353.7-570.9)+(0.489294+(0.180387-0.291159))+0-0-0</f>
        <v>742.57852200000002</v>
      </c>
      <c r="O199" s="3">
        <f>982.9+(359-569.9)+(-1.503837+(-0.54927--0.871947))+0-0-0</f>
        <v>770.81884000000002</v>
      </c>
      <c r="P199" s="3">
        <f>1065.2+(147.5-399)+(-0.543252+(-0.075225--0.20349))+0-0-0</f>
        <v>813.28501300000005</v>
      </c>
      <c r="Q199" s="3">
        <f>1121.4+(284.3-585.9)+(-1.143828+(-0.289986--0.597618))+0-0-0</f>
        <v>818.96380400000021</v>
      </c>
      <c r="R199" s="3">
        <f>1165.2+(312.9-689.7)+(-4.159764+(-1.117053--2.462229))+0-0-0</f>
        <v>785.58541200000002</v>
      </c>
      <c r="S199" s="3">
        <f>1163.8+(291.6-664.9)+(-1.187076+(-0.297432--0.678198))+0-0-0</f>
        <v>789.69368999999995</v>
      </c>
      <c r="T199" s="3">
        <f>1131.6+(282.7-627.9)+(-2.308464+(-0.576708--1.280916))+0-0-0</f>
        <v>784.7957439999999</v>
      </c>
      <c r="U199" s="3">
        <f>1081.8+(251.3-554.1)+(-0.551718+(-0.128163--0.282591))+0-0-0</f>
        <v>778.60271</v>
      </c>
      <c r="V199" s="3">
        <f>1069.2+(213.6-498.5)+(-1.635876+(-0.326808--0.762705))+0-0-0</f>
        <v>783.10002100000008</v>
      </c>
      <c r="W199" s="3">
        <f>1105.2+(257.4-602.8)+(0.563652+(0.131274-0.307428))+0-0-0</f>
        <v>760.18749800000012</v>
      </c>
      <c r="X199" s="3">
        <f>1179.8+(311.8-607.4)+(-1.203396+(-0.318036--0.619548))+0-0-0</f>
        <v>883.29811600000005</v>
      </c>
      <c r="Y199" s="3">
        <f>1179+(293.7-551.3)+(-1.80387+(-0.449361--0.843489))+0-0-0</f>
        <v>919.99025800000004</v>
      </c>
      <c r="Z199" s="3">
        <f>1139.9+(285.7-533.6)+(-0.581349+(-0.145707--0.272136))+0-0-0</f>
        <v>891.54507999999998</v>
      </c>
      <c r="AA199" s="3">
        <f>1123+(284.3-535.7)+(-1.71819+(-0.434979--0.819621))+0-0-0</f>
        <v>870.26645199999996</v>
      </c>
      <c r="AB199" s="3">
        <f>1124.9+(266-555.6)+(-2.294796+(-0.54264--1.133424))+0-0-0</f>
        <v>833.59598800000003</v>
      </c>
      <c r="AC199" s="3">
        <f>1104.9+(278-605)+(-1.126998+(-0.28356--0.6171))+0-0-0</f>
        <v>777.1065420000001</v>
      </c>
      <c r="AD199">
        <v>921.50000000000011</v>
      </c>
      <c r="AE199" s="3">
        <f>1180+(320.9-579.4)+(0+(0-0))+0-0-0</f>
        <v>921.5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1024.4+(299.3-610.1)+(-2.089776+(-0.610572--1.244604))+0-0-0</f>
        <v>712.14425600000015</v>
      </c>
      <c r="G200" s="3">
        <f>935.6+(312.4-582.2)+(-2.38578+(-0.79662--1.48461))+0-0-0</f>
        <v>664.1022099999999</v>
      </c>
      <c r="H200" s="3">
        <f>824.2+(355-539.7)+(-2.10171+(-0.90525--1.376235))+0-0-0</f>
        <v>637.86927500000002</v>
      </c>
      <c r="I200" s="3">
        <f>748+(369.8-493.6)+(-1.52592+(-0.754392--1.006944))+0-0-0</f>
        <v>622.92663200000004</v>
      </c>
      <c r="J200" s="3">
        <f>758.8+(356.2-494.8)+(1.160964+(0.544986-0.757044))+0-0-0</f>
        <v>621.1489059999999</v>
      </c>
      <c r="K200" s="3">
        <f>714.4+(426.8-511.6)+(-1.82172+(-1.08834--1.30458))+0-0-0</f>
        <v>627.99451999999997</v>
      </c>
      <c r="L200" s="3">
        <f>594.2+(553-545.4)+(-0.303042+(-0.28203--0.278154))+0-0-0</f>
        <v>601.49308200000007</v>
      </c>
      <c r="M200" s="3">
        <f>594.7+(587.6-531.5)+(0.303297+(0.299676-0.271065))+0-0-0</f>
        <v>651.13190800000007</v>
      </c>
      <c r="N200" s="3">
        <f>749.7+(525.3-551.1)+(0.382347+(0.267903-0.281061))+0-0-0</f>
        <v>724.26918899999998</v>
      </c>
      <c r="O200" s="3">
        <f>864.5+(471.9-556.9)+(0+(0-0))+0-0-0</f>
        <v>779.5</v>
      </c>
      <c r="P200" s="3">
        <f>987.7+(352.2-557.3)+(0+(0-0))+0-0-0</f>
        <v>782.60000000000014</v>
      </c>
      <c r="Q200" s="3">
        <f>1197.2+(214.6-610)+(-1.831716+(-0.328338--0.9333))+0-0-0</f>
        <v>800.57324600000004</v>
      </c>
      <c r="R200" s="3">
        <f>1119.7+(239-587.3)+(-0.571047+(-0.12189--0.299523))+0-0-0</f>
        <v>771.00658600000008</v>
      </c>
      <c r="S200" s="3">
        <f>1082.9+(256.5-590.2)+(1.104558+(0.26163-0.602004))+0-0-0</f>
        <v>749.96418400000005</v>
      </c>
      <c r="T200" s="3">
        <f>1133.4+(240.5-618.4)+(-1.156068+(-0.24531--0.630768))+0-0-0</f>
        <v>754.72939000000008</v>
      </c>
      <c r="U200" s="3">
        <f>1126.1+(233-606.8)+(-2.871555+(-0.59415--1.54734))+0-0-0</f>
        <v>750.38163499999996</v>
      </c>
      <c r="V200" s="3">
        <f>1122.6+(229.3-602.8)+(-2.86263+(-0.584715--1.53714))+0-0-0</f>
        <v>747.18979499999989</v>
      </c>
      <c r="W200" s="3">
        <f>1143.1+(205-615.5)+(-0.582981+(-0.10455--0.313905))+0-0-0</f>
        <v>732.22637399999996</v>
      </c>
      <c r="X200" s="3">
        <f>1176.3+(280.3-594.7)+(-0.599913+(-0.142953--0.303297))+0-0-0</f>
        <v>861.46043099999986</v>
      </c>
      <c r="Y200" s="3">
        <f>1145.2+(329.3-584.1)+(-4.088364+(-1.175601--2.085237))+0-0-0</f>
        <v>887.22127200000011</v>
      </c>
      <c r="Z200" s="3">
        <f>1140.7+(326.4-599.1)+(-2.327028+(-0.665856--1.222164))+0-0-0</f>
        <v>866.22928000000002</v>
      </c>
      <c r="AA200" s="3">
        <f>1139.2+(267.3-555.4)+(-2.90496+(-0.681615--1.41627))+0-0-0</f>
        <v>848.92969500000015</v>
      </c>
      <c r="AB200" s="3">
        <f>1141.8+(212.2-531.1)+(-1.746954+(-0.324666--0.812583))+0-0-0</f>
        <v>821.64096299999983</v>
      </c>
      <c r="AC200" s="3">
        <f>1091+(210.7-538.6)+(-1.66923+(-0.322371--0.824058))+0-0-0</f>
        <v>761.93245699999989</v>
      </c>
      <c r="AD200">
        <v>890.30000000000007</v>
      </c>
      <c r="AE200" s="3">
        <f>1177+(311.9-598.6)+(0+(0-0))+0-0-0</f>
        <v>890.3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1052.6+(188.5-541.2)+(1.073652+(0.19227-0.552024))+0-0-0</f>
        <v>700.61389799999984</v>
      </c>
      <c r="G201" s="3">
        <f>865.4+(284.5-503.2)+(0+(0-0))+0-0-0</f>
        <v>646.70000000000005</v>
      </c>
      <c r="H201" s="3">
        <f>801.8+(335-519.3)+(-0.817836+(-0.3417--0.529686))+0-0-0</f>
        <v>616.87014999999997</v>
      </c>
      <c r="I201" s="3">
        <f>806.6+(308.4-501.7)+(0.411366+(0.157284-0.255867))+0-0-0</f>
        <v>613.61278299999992</v>
      </c>
      <c r="J201" s="3">
        <f>808+(297.4-496.4)+(0.41208+(0.151674-0.253164))+0-0-0</f>
        <v>609.31059000000005</v>
      </c>
      <c r="K201" s="3">
        <f>807.1+(312.9-508.2)+(-0.411621+(-0.159579--0.259182))+0-0-0</f>
        <v>611.48798199999999</v>
      </c>
      <c r="L201" s="3">
        <f>704+(420.4-529.3)+(0+(0-0))+0-0-0</f>
        <v>595.1</v>
      </c>
      <c r="M201" s="3">
        <f>600.3+(546.4-553.3)+(0+(0-0))+0-0-0</f>
        <v>593.4</v>
      </c>
      <c r="N201" s="3">
        <f>676.8+(554.1-560.9)+(-2.071008+(-1.695546--1.716354))+0-0-0</f>
        <v>667.94979999999998</v>
      </c>
      <c r="O201" s="3">
        <f>633.5+(626.8-564.1)+(-0.323085+(-0.319668--0.287691))+0-0-0</f>
        <v>695.84493799999996</v>
      </c>
      <c r="P201" s="3">
        <f>922.5+(366.9-553.2)+(-0.94095+(-0.374238--0.564264))+0-0-0</f>
        <v>735.44907599999988</v>
      </c>
      <c r="Q201" s="3">
        <f>1085+(224.6-553.9)+(-1.1067+(-0.229092--0.564978))+0-0-0</f>
        <v>754.92918600000007</v>
      </c>
      <c r="R201" s="3">
        <f>1133.5+(225.1-620.2)+(-2.31234+(-0.459204--1.265208))+0-0-0</f>
        <v>736.89366399999994</v>
      </c>
      <c r="S201" s="3">
        <f>1107.1+(285.3-660)+(-1.129242+(-0.291006--0.6732))+0-0-0</f>
        <v>731.65295199999991</v>
      </c>
      <c r="T201" s="3">
        <f>1060.2+(349-685.8)+(-1.081404+(-0.35598--0.699516))+0-0-0</f>
        <v>722.66213200000004</v>
      </c>
      <c r="U201" s="3">
        <f>1046.9+(306-630.8)+(-3.203514+(-0.93636--1.930248))+0-0-0</f>
        <v>719.89037400000018</v>
      </c>
      <c r="V201" s="3">
        <f>1005.7+(297.8-583.3)+(-2.051628+(-0.607512--1.189932))+0-0-0</f>
        <v>718.73079200000006</v>
      </c>
      <c r="W201" s="3">
        <f>870.8+(378.8-536.9)+(-1.332324+(-0.579564--0.821457))+0-0-0</f>
        <v>711.60956900000008</v>
      </c>
      <c r="X201" s="3">
        <f>1008.6+(404.1-561.8)+(-3.086316+(-1.236546--1.719108))+0-0-0</f>
        <v>848.29624600000011</v>
      </c>
      <c r="Y201" s="3">
        <f>1065.8+(370.5-559.7)+(-2.71779+(-0.944775--1.427235))+0-0-0</f>
        <v>874.36466999999993</v>
      </c>
      <c r="Z201" s="3">
        <f>1066.4+(371-572.7)+(-2.175456+(-0.75684--1.168308))+0-0-0</f>
        <v>862.93601200000001</v>
      </c>
      <c r="AA201" s="3">
        <f>1068.8+(348.6-566.3)+(-2.180352+(-0.711144--1.155252))+0-0-0</f>
        <v>849.36375599999997</v>
      </c>
      <c r="AB201" s="3">
        <f>1062.8+(294.2-538.1)+(0+(0-0))+0-0-0</f>
        <v>818.89999999999986</v>
      </c>
      <c r="AC201" s="3">
        <f>920.2+(356.8-528.3)+(-2.34651+(-0.90984--1.347165))+0-0-0</f>
        <v>746.79081500000007</v>
      </c>
      <c r="AD201">
        <v>870.49999999999989</v>
      </c>
      <c r="AE201" s="3">
        <f>1075+(355.6-560.1)+(0+(0-0))+0-0-0</f>
        <v>870.5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784.3+(428.9-541.2)+(-1.599972+(-0.874956--1.104048))+0-0-0</f>
        <v>670.62911999999983</v>
      </c>
      <c r="G202" s="3">
        <f>683+(483.4-531.9)+(-1.39332+(-0.986136--1.085076))+0-0-0</f>
        <v>633.20561999999995</v>
      </c>
      <c r="H202" s="3">
        <f>589.4+(522.9-502.2)+(-0.300594+(-0.266679--0.256122))+0-0-0</f>
        <v>609.78884899999991</v>
      </c>
      <c r="I202" s="3">
        <f>590.1+(487.9-479.8)+(-0.601902+(-0.497658--0.489396))+0-0-0</f>
        <v>597.58983599999999</v>
      </c>
      <c r="J202" s="3">
        <f>593.8+(476.3-471.1)+(0+(0-0))+0-0-0</f>
        <v>599</v>
      </c>
      <c r="K202" s="3">
        <f>548.6+(546.5-482.2)+(0.279786+(0.278715-0.245922))+0-0-0</f>
        <v>613.21257900000012</v>
      </c>
      <c r="L202" s="3">
        <f>414.1+(689.2-506.3)+(0.211191+(0.351492-0.258213))+0-0-0</f>
        <v>597.30447000000004</v>
      </c>
      <c r="M202" s="3">
        <f>426.5+(741.5-519.7)+(-0.217515+(-0.378165--0.265047))+0-0-0</f>
        <v>647.96936699999992</v>
      </c>
      <c r="N202" s="3">
        <f>744.3+(535.2-562.1)+(-0.379593+(-0.272952--0.286671))+0-0-0</f>
        <v>717.03412600000001</v>
      </c>
      <c r="O202" s="3">
        <f>880+(461.8-575.8)+(-0.8976+(-0.471036--0.587316))+0-0-0</f>
        <v>765.21867999999995</v>
      </c>
      <c r="P202" s="3">
        <f>884.6+(408-512)+(0+(0-0))+0-0-0</f>
        <v>780.6</v>
      </c>
      <c r="Q202" s="3">
        <f>904.6+(464.6-567)+(-1.384038+(-0.710838--0.86751))+0-0-0</f>
        <v>800.97263400000008</v>
      </c>
      <c r="R202" s="3">
        <f>928.5+(366.8-547.2)+(-2.367675+(-0.93534--1.39536))+0-0-0</f>
        <v>746.19234499999993</v>
      </c>
      <c r="S202" s="3">
        <f>957.9+(419-617.8)+(-1.465587+(-0.64107--0.945234))+0-0-0</f>
        <v>757.93857700000001</v>
      </c>
      <c r="T202" s="3">
        <f>954.7+(413.6-608.3)+(0+(0-0))+0-0-0</f>
        <v>760.00000000000011</v>
      </c>
      <c r="U202" s="3">
        <f>949.7+(395-586.9)+(-0.968694+(-0.4029--0.598638))+0-0-0</f>
        <v>757.02704400000005</v>
      </c>
      <c r="V202" s="3">
        <f>872.5+(413.9-533.3)+(-1.334925+(-0.633267--0.815949))+0-0-0</f>
        <v>751.94775700000002</v>
      </c>
      <c r="W202" s="3">
        <f>760.7+(520.6-534.2)+(-0.387957+(-0.265506--0.272442))+0-0-0</f>
        <v>746.71897899999999</v>
      </c>
      <c r="X202" s="3">
        <f>825.5+(571.4-513.6)+(-2.105025+(-1.45707--1.30968))+0-0-0</f>
        <v>881.04758499999991</v>
      </c>
      <c r="Y202" s="3">
        <f>976.5+(401.2-466.9)+(-1.99206+(-0.818448--0.952476))+0-0-0</f>
        <v>908.94196799999997</v>
      </c>
      <c r="Z202" s="3">
        <f>982+(382.9-481.1)+(-0.50082+(-0.195279--0.245361))+0-0-0</f>
        <v>883.34926199999995</v>
      </c>
      <c r="AA202" s="3">
        <f>983.2+(422.9-539.5)+(-2.50716+(-1.078395--1.375725))+0-0-0</f>
        <v>864.39017000000001</v>
      </c>
      <c r="AB202" s="3">
        <f>887.4+(452.9-520.3)+(-1.810296+(-0.923916--1.061412))+0-0-0</f>
        <v>818.32719999999995</v>
      </c>
      <c r="AC202" s="3">
        <f>879.8+(450.4-571.6)+(-2.24349+(-1.14852--1.45758))+0-0-0</f>
        <v>756.66556999999989</v>
      </c>
      <c r="AD202">
        <v>945.7</v>
      </c>
      <c r="AE202" s="3">
        <f>885+(627.7-567)+(0+(0-0))+0-0-0</f>
        <v>945.7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886.5+(382.5-585.9)+(-0.452115+(-0.195075--0.298809))+0-0-0</f>
        <v>682.75161900000001</v>
      </c>
      <c r="G203" s="3">
        <f>882.5+(324.5-562.9)+(-2.250375+(-0.827475--1.435395))+0-0-0</f>
        <v>642.45754499999998</v>
      </c>
      <c r="H203" s="3">
        <f>887.2+(292-552.1)+(-0.452472+(-0.14892--0.281571))+0-0-0</f>
        <v>626.78017899999998</v>
      </c>
      <c r="I203" s="3">
        <f>887+(252-526.5)+(-0.45237+(-0.12852--0.268515))+0-0-0</f>
        <v>612.18762500000003</v>
      </c>
      <c r="J203" s="3">
        <f>809.5+(303.8-510)+(-0.82569+(-0.309876--0.5202))+0-0-0</f>
        <v>602.68463399999996</v>
      </c>
      <c r="K203" s="3">
        <f>718.3+(408.5-520.8)+(-1.098999+(-0.625005--0.796824))+0-0-0</f>
        <v>605.07281999999998</v>
      </c>
      <c r="L203" s="3">
        <f>624.8+(519.8-544.9)+(-0.318648+(-0.265098--0.277899))+0-0-0</f>
        <v>599.39415299999996</v>
      </c>
      <c r="M203" s="3">
        <f>645.3+(538.4-552.6)+(-0.329103+(-0.274584--0.281826))+0-0-0</f>
        <v>630.7781389999999</v>
      </c>
      <c r="N203" s="3">
        <f>763.1+(476.5-530.2)+(0.778362+(0.48603-0.540804))+0-0-0</f>
        <v>710.12358799999993</v>
      </c>
      <c r="O203" s="3">
        <f>924.5+(382.7-555.7)+(-0.94299+(-0.390354--0.566814))+0-0-0</f>
        <v>750.73347000000001</v>
      </c>
      <c r="P203" s="3">
        <f>1029.9+(323.3-588.1)+(-0.525249+(-0.164883--0.299931))+0-0-0</f>
        <v>764.70979900000009</v>
      </c>
      <c r="Q203" s="3">
        <f>1089.8+(281.4-599.8)+(-1.111596+(-0.287028--0.611796))+0-0-0</f>
        <v>770.61317199999996</v>
      </c>
      <c r="R203" s="3">
        <f>1092.7+(314-673.7)+(-1.671831+(-0.48042--1.030761))+0-0-0</f>
        <v>731.87851000000001</v>
      </c>
      <c r="S203" s="3">
        <f>1027+(351.9-632)+(-2.09508+(-0.717876--1.28928))+0-0-0</f>
        <v>745.37632399999995</v>
      </c>
      <c r="T203" s="3">
        <f>966.2+(374.6-604.9)+(-0.492762+(-0.191046--0.308499))+0-0-0</f>
        <v>735.52469100000008</v>
      </c>
      <c r="U203" s="3">
        <f>1108.1+(292.2-663.6)+(-2.825655+(-0.74511--1.69218))+0-0-0</f>
        <v>734.82141499999977</v>
      </c>
      <c r="V203" s="3">
        <f>1277.9+(94.6-617.1)+(-1.955187+(-0.144738--0.944163))+0-0-0</f>
        <v>754.24423800000011</v>
      </c>
      <c r="W203" s="3">
        <f>1343+(42.8-612.9)+(0.68493+(0.021828-0.312579))+0-0-0</f>
        <v>773.29417899999999</v>
      </c>
      <c r="X203" s="3">
        <f>1318.8+(194.7-589.9)+(-1.345176+(-0.198594--0.601698))+0-0-0</f>
        <v>922.65792799999986</v>
      </c>
      <c r="Y203" s="3">
        <f>1284.5+(240.6-595.4)+(-2.62038+(-0.490824--1.214616))+0-0-0</f>
        <v>927.80341200000009</v>
      </c>
      <c r="Z203" s="3">
        <f>1286.6+(189.8-573.2)+(-2.624664+(-0.387192--1.169328))+0-0-0</f>
        <v>901.3574719999998</v>
      </c>
      <c r="AA203" s="3">
        <f>1289.4+(206.4-618.7)+(-1.315188+(-0.210528--0.631074))+0-0-0</f>
        <v>876.20535800000005</v>
      </c>
      <c r="AB203" s="3">
        <f>1290.7+(187.5-645.9)+(-1.316514+(-0.19125--0.658818))+0-0-0</f>
        <v>831.45105400000011</v>
      </c>
      <c r="AC203" s="3">
        <f>1273+(154.8-653.6)+(-3.24615+(-0.39474--1.66668))+0-0-0</f>
        <v>772.22579000000007</v>
      </c>
      <c r="AD203">
        <v>937.90000000000009</v>
      </c>
      <c r="AE203" s="3">
        <f>1292+(229.7-583.8)+(0+(0-0))+0-0-0</f>
        <v>937.90000000000009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1104.1+(210.1-587.7)+(-1.126182+(-0.214302--0.599454))+0-0-0</f>
        <v>725.75896999999986</v>
      </c>
      <c r="G204" s="3">
        <f>882.4+(318.3-533.5)+(-1.350072+(-0.486999--0.816255))+0-0-0</f>
        <v>666.17918400000008</v>
      </c>
      <c r="H204" s="3">
        <f>879+(291.2-536.3)+(0+(0-0))+0-0-0</f>
        <v>633.90000000000009</v>
      </c>
      <c r="I204" s="3">
        <f>879+(283.4-536)+(0+(0-0))+0-0-0</f>
        <v>626.4</v>
      </c>
      <c r="J204" s="3">
        <f>876.2+(277.5-525.5)+(-1.340586+(-0.424575--0.804015))+0-0-0</f>
        <v>627.23885400000006</v>
      </c>
      <c r="K204" s="3">
        <f>853.4+(311.3-526.6)+(0.435234+(0.158763-0.268566))+0-0-0</f>
        <v>638.42543099999989</v>
      </c>
      <c r="L204" s="3">
        <f>621.9+(524.9-524.6)+(0+(0-0))+0-0-0</f>
        <v>622.19999999999993</v>
      </c>
      <c r="M204" s="3">
        <f>807.7+(409.7-561.4)+(-0.823854+(-0.417894--0.572628))+0-0-0</f>
        <v>655.33087999999998</v>
      </c>
      <c r="N204" s="3">
        <f>1069.3+(277.9-617.4)+(1.636029+(0.425187-0.944622))+0-0-0</f>
        <v>730.91659399999992</v>
      </c>
      <c r="O204" s="3">
        <f>1157.6+(252.7-624)+(-1.771128+(-0.386631--0.95472))+0-0-0</f>
        <v>785.09696099999996</v>
      </c>
      <c r="P204" s="3">
        <f>1171+(205.4-617)+(-2.38884+(-0.419016--1.25868))+0-0-0</f>
        <v>757.85082399999999</v>
      </c>
      <c r="Q204" s="3">
        <f>1190.1+(212.6-618.2)+(-2.427804+(-0.433704--1.261128))+0-0-0</f>
        <v>782.89961999999991</v>
      </c>
      <c r="R204" s="3">
        <f>1223.2+(204.5-671.6)+(-3.11916+(-0.521475--1.71258))+0-0-0</f>
        <v>754.17194500000005</v>
      </c>
      <c r="S204" s="3">
        <f>1248.5+(264.1-754.6)+(0.636735+(0.134691-0.384846))+0-0-0</f>
        <v>758.38657999999998</v>
      </c>
      <c r="T204" s="3">
        <f>1236.9+(245-720.4)+(-2.523276+(-0.4998--1.469616))+0-0-0</f>
        <v>759.94654000000014</v>
      </c>
      <c r="U204" s="3">
        <f>1234.2+(205.7-676.5)+(-3.14721+(-0.524535--1.725075))+0-0-0</f>
        <v>761.45333000000005</v>
      </c>
      <c r="V204" s="3">
        <f>1236.6+(158.4-626.8)+(-1.891998+(-0.242352--0.959004))+0-0-0</f>
        <v>767.02465399999994</v>
      </c>
      <c r="W204" s="3">
        <f>1252.8+(164.9-728.8)+(1.277856+(0.168198-0.743376))+0-0-0</f>
        <v>689.60267799999997</v>
      </c>
      <c r="X204" s="3">
        <f>1288.6+(232.5-593.3)+(-3.28593+(-0.592875--1.512915))+0-0-0</f>
        <v>925.43410999999992</v>
      </c>
      <c r="Y204" s="3">
        <f>1290.5+(276.3-630.7)+(-1.31631+(-0.281826--0.643314))+0-0-0</f>
        <v>935.14517799999987</v>
      </c>
      <c r="Z204" s="3">
        <f>1294+(248.7-631.6)+(-1.97982+(-0.380511--0.966348))+0-0-0</f>
        <v>909.70601699999986</v>
      </c>
      <c r="AA204" s="3">
        <f>1291.4+(175.6-576.4)+(-2.634456+(-0.358224--1.175856))+0-0-0</f>
        <v>888.78317600000014</v>
      </c>
      <c r="AB204" s="3">
        <f>1300.6+(145.8-593.6)+(0+(0-0))+0-0-0</f>
        <v>852.8</v>
      </c>
      <c r="AC204" s="3">
        <f>1299.5+(119.7-637)+(-2.65098+(-0.244188--1.29948))+0-0-0</f>
        <v>780.60431200000005</v>
      </c>
      <c r="AD204">
        <v>943.80000000000007</v>
      </c>
      <c r="AE204" s="3">
        <f>1298+(246.7-600.9)+(0+(0-0))+0-0-0</f>
        <v>943.8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1312.4+(163.7-749.9)+(0+(0-0))+0-0-0</f>
        <v>726.2</v>
      </c>
      <c r="G205" s="3">
        <f>1307.3+(181.3-797.7)+(-2.000169+(-0.277389--1.220481))+0-0-0</f>
        <v>689.84292299999981</v>
      </c>
      <c r="H205" s="3">
        <f>1215.3+(116-678.8)+(1.239606+(0.11832-0.692376))+0-0-0</f>
        <v>653.16555000000005</v>
      </c>
      <c r="I205" s="3">
        <f>1200.2+(114.8-674.8)+(-1.836306+(-0.175644--1.032444))+0-0-0</f>
        <v>639.22049400000003</v>
      </c>
      <c r="J205" s="3">
        <f>1154.9+(138.8-651.7)+(0+(0-0))+0-0-0</f>
        <v>642</v>
      </c>
      <c r="K205" s="3">
        <f>1143.4+(124.2-612.2)+(-1.749402+(-0.190026--0.936666))+0-0-0</f>
        <v>654.39723800000013</v>
      </c>
      <c r="L205" s="3">
        <f>1035.8+(155.5-542.5)+(-1.056516+(-0.15861--0.55335))+0-0-0</f>
        <v>648.13822399999992</v>
      </c>
      <c r="M205" s="3">
        <f>1036.2+(177.6-528.4)+(1.056924+(0.181152-0.538968))+0-0-0</f>
        <v>686.09910800000011</v>
      </c>
      <c r="N205" s="3">
        <f>1155.5+(172.7-585.2)+(-0.589305+(-0.088077--0.298452))+0-0-0</f>
        <v>742.62107000000003</v>
      </c>
      <c r="O205" s="3">
        <f>1303.7+(137-662.9)+(0+(0-0))+0-0-0</f>
        <v>777.80000000000007</v>
      </c>
      <c r="P205" s="3">
        <f>1330.7+(147.2-691.1)+(-0.678657+(-0.075072--0.352461))+0-0-0</f>
        <v>786.398732</v>
      </c>
      <c r="Q205" s="3">
        <f>1320.5+(175-688.2)+(-2.020365+(-0.26775--1.052946))+0-0-0</f>
        <v>806.06483099999991</v>
      </c>
      <c r="R205" s="3">
        <f>1310.5+(225.2-744.9)+(-2.67342+(-0.459408--1.519596))+0-0-0</f>
        <v>789.18676799999992</v>
      </c>
      <c r="S205" s="3">
        <f>1311.5+(267.2-785.7)+(-1.33773+(-0.272544--0.801414))+0-0-0</f>
        <v>792.19114000000002</v>
      </c>
      <c r="T205" s="3">
        <f>1300.3+(288.7-794.3)+(-1.326306+(-0.294474--0.810186))+0-0-0</f>
        <v>793.88940600000001</v>
      </c>
      <c r="U205" s="3">
        <f>1286.9+(247.1-724.2)+(-2.625276+(-0.504084--1.477368))+0-0-0</f>
        <v>808.14800800000012</v>
      </c>
      <c r="V205" s="3">
        <f>1279.7+(201.5-696.5)+(-1.957941+(-0.308295--1.065645))+0-0-0</f>
        <v>783.49940900000001</v>
      </c>
      <c r="W205" s="3">
        <f>1288.4+(163.1-668.3)+(0+(0-0))+0-0-0</f>
        <v>783.20000000000016</v>
      </c>
      <c r="X205" s="3">
        <f>1294.6+(226.6-571.1)+(-1.980738+(-0.346698--0.873783))+0-0-0</f>
        <v>948.64634699999988</v>
      </c>
      <c r="Y205" s="3">
        <f>1295.7+(255.1-594.2)+(-1.321614+(-0.260202--0.606084))+0-0-0</f>
        <v>955.62426800000003</v>
      </c>
      <c r="Z205" s="3">
        <f>1292.7+(266.6-629.3)+(-2.637108+(-0.543864--1.283772))+0-0-0</f>
        <v>928.10280000000012</v>
      </c>
      <c r="AA205" s="3">
        <f>1273.2+(216-594.5)+(-1.947996+(-0.33048--0.909585))+0-0-0</f>
        <v>893.33110900000008</v>
      </c>
      <c r="AB205" s="3">
        <f>1266.5+(207.8-620.8)+(-3.229575+(-0.52989--1.58304))+0-0-0</f>
        <v>851.32357500000001</v>
      </c>
      <c r="AC205" s="3">
        <f>1239.8+(158.6-605.8)+(-3.16149+(-0.40443--1.54479))+0-0-0</f>
        <v>790.57887000000005</v>
      </c>
      <c r="AD205">
        <v>953.30000000000007</v>
      </c>
      <c r="AE205" s="3">
        <f>1299+(251.9-597.6)+(0+(0-0))+0-0-0</f>
        <v>953.3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1186.9+(257.4-728)+(-2.421276+(-0.525096--1.48512))+0-0-0</f>
        <v>714.83874800000012</v>
      </c>
      <c r="G206" s="3">
        <f>1050.2+(343.3-718.7)+(-1.606806+(-0.525249--1.099611))+0-0-0</f>
        <v>673.7675559999999</v>
      </c>
      <c r="H206" s="3">
        <f>955+(336.1-637.9)+(-1.46115+(-0.514233--0.975987))+0-0-0</f>
        <v>652.200604</v>
      </c>
      <c r="I206" s="3">
        <f>896.4+(340.2-603.1)+(-1.371492+(-0.520506--0.922743))+0-0-0</f>
        <v>632.53074500000002</v>
      </c>
      <c r="J206" s="3">
        <f>902.3+(308.8-581.8)+(0.920346+(0.314976-0.593436))+0-0-0</f>
        <v>629.94188599999995</v>
      </c>
      <c r="K206" s="3">
        <f>896.7+(312-572.3)+(-0.914634+(-0.31824--0.583746))+0-0-0</f>
        <v>635.75087200000007</v>
      </c>
      <c r="L206" s="3">
        <f>818.5+(362.1-558.8)+(-0.83487+(-0.369342--0.569976))+0-0-0</f>
        <v>621.16576400000008</v>
      </c>
      <c r="M206" s="3">
        <f>962.2+(285.3-596.1)+(0.490722+(0.145503-0.304011))+0-0-0</f>
        <v>651.73221400000011</v>
      </c>
      <c r="N206" s="3">
        <f>1303.8+(120.3-666.9)+(0+(0-0))+0-0-0</f>
        <v>757.19999999999993</v>
      </c>
      <c r="O206" s="3">
        <f>1329.3+(153.6-685.2)+(-0.677943+(-0.078336--0.349452))+0-0-0</f>
        <v>797.29317299999991</v>
      </c>
      <c r="P206" s="3">
        <f>1347.1+(156.9-682.4)+(-1.374042+(-0.160038--0.696048))+0-0-0</f>
        <v>820.76196799999991</v>
      </c>
      <c r="Q206" s="3">
        <f>1381.5+(163.5-714.9)+(-1.40913+(-0.16677--0.729198))+0-0-0</f>
        <v>829.25329799999997</v>
      </c>
      <c r="R206" s="3">
        <f>1363.8+(169.2-728.9)+(-3.47769+(-0.43146--1.858695))+0-0-0</f>
        <v>802.04954499999985</v>
      </c>
      <c r="S206" s="3">
        <f>1297.2+(225.3-737.6)+(-0.661572+(-0.114903--0.376176))+0-0-0</f>
        <v>784.49970100000007</v>
      </c>
      <c r="T206" s="3">
        <f>1284.5+(228.5-726.9)+(-1.965285+(-0.349605--1.112157))+0-0-0</f>
        <v>784.89726700000006</v>
      </c>
      <c r="U206" s="3">
        <f>1284.2+(182.4-675.5)+(-2.619768+(-0.372096--1.37802))+0-0-0</f>
        <v>789.48615600000005</v>
      </c>
      <c r="V206" s="3">
        <f>1274.9+(140-622.3)+(-1.950597+(-0.2142--0.952119))+0-0-0</f>
        <v>791.38732200000015</v>
      </c>
      <c r="W206" s="3">
        <f>1276.4+(127.1-615.1)+(-0.650964+(-0.064821--0.313701))+0-0-0</f>
        <v>787.99791600000015</v>
      </c>
      <c r="X206" s="3">
        <f>1423.5+(151.7-647)+(0+(0-0))+0-0-0</f>
        <v>928.2</v>
      </c>
      <c r="Y206" s="3">
        <f>1529.9+(119-705.4)+(-3.901245+(-0.30345--1.79877))+0-0-0</f>
        <v>941.09407500000009</v>
      </c>
      <c r="Z206" s="3">
        <f>1326.1+(201.7-610.6)+(-0.676311+(-0.102867--0.311406))+0-0-0</f>
        <v>916.73222799999985</v>
      </c>
      <c r="AA206" s="3">
        <f>1247.2+(221.3-587)+(-2.544288+(-0.451452--1.19748))+0-0-0</f>
        <v>879.70173999999997</v>
      </c>
      <c r="AB206" s="3">
        <f>1251.6+(190.4-590.6)+(-1.914948+(-0.291312--0.903618))+0-0-0</f>
        <v>850.09735799999987</v>
      </c>
      <c r="AC206" s="3">
        <f>1248+(169.8-618.1)+(-3.1824+(-0.43299--1.576155))+0-0-0</f>
        <v>797.66076500000008</v>
      </c>
      <c r="AD206">
        <v>975.8</v>
      </c>
      <c r="AE206" s="3">
        <f>1504+(140.8-669)+(0+(0-0))+0-0-0</f>
        <v>975.8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1203.3+(210.7-688.5)+(0+(0-0))+0-0-0</f>
        <v>725.5</v>
      </c>
      <c r="G207" s="3">
        <f>1082.3+(214.2-613)+(0+(0-0))+0-0-0</f>
        <v>683.5</v>
      </c>
      <c r="H207" s="3">
        <f>909.7+(281-553.9)+(0.463947+(0.14331-0.282489))+0-0-0</f>
        <v>637.12476800000002</v>
      </c>
      <c r="I207" s="3">
        <f>892+(280.3-547.3)+(-0.90984+(-0.285906--0.558246))+0-0-0</f>
        <v>624.36249999999995</v>
      </c>
      <c r="J207" s="3">
        <f>896.5+(291.6-572.1)+(0+(0-0))+0-0-0</f>
        <v>616</v>
      </c>
      <c r="K207" s="3">
        <f>840.7+(339-554.7)+(-2.143785+(-0.86445--1.414485))+0-0-0</f>
        <v>623.40625</v>
      </c>
      <c r="L207" s="3">
        <f>751.3+(442.7-566.6)+(-0.766326+(-0.451554--0.577932))+0-0-0</f>
        <v>626.76005199999986</v>
      </c>
      <c r="M207" s="3">
        <f>763.3+(466-575.8)+(1.167849+(0.71298-0.880974))+0-0-0</f>
        <v>654.49985500000003</v>
      </c>
      <c r="N207" s="3">
        <f>1008.3+(292.5-550.7)+(0+(0-0))+0-0-0</f>
        <v>750.09999999999991</v>
      </c>
      <c r="O207" s="3">
        <f>1189.7+(156.2-541.9)+(-1.213494+(-0.159324--0.552738))+0-0-0</f>
        <v>803.17992000000004</v>
      </c>
      <c r="P207" s="3">
        <f>1250+(138.4-560.5)+(1.275+(0.141168-0.57171))+0-0-0</f>
        <v>828.74445800000001</v>
      </c>
      <c r="Q207" s="3">
        <f>1277.7+(227.6-675.1)+(-1.954881+(-0.348228--1.032903))+0-0-0</f>
        <v>828.92979400000002</v>
      </c>
      <c r="R207" s="3">
        <f>1235.8+(282.3-726.8)+(-0.630258+(-0.143973--0.370668))+0-0-0</f>
        <v>790.89643699999999</v>
      </c>
      <c r="S207" s="3">
        <f>1183.1+(328.3-741.6)+(1.206762+(0.334866-0.756432))+0-0-0</f>
        <v>770.585196</v>
      </c>
      <c r="T207" s="3">
        <f>1179.2+(331-743.8)+(0.601392+(0.16881-0.379338))+0-0-0</f>
        <v>766.79086400000006</v>
      </c>
      <c r="U207" s="3">
        <f>1174.3+(309-711)+(-2.994465+(-0.78795--1.81305))+0-0-0</f>
        <v>770.33063499999992</v>
      </c>
      <c r="V207" s="3">
        <f>1180.5+(226.8-646.9)+(-0.602055+(-0.115668--0.329919))+0-0-0</f>
        <v>760.01219600000013</v>
      </c>
      <c r="W207" s="3">
        <f>1183.4+(184.2-592.5)+(0+(0-0))+0-0-0</f>
        <v>775.10000000000014</v>
      </c>
      <c r="X207" s="3">
        <f>1204.6+(292.2-588.1)+(-1.843038+(-0.447066--0.899793))+0-0-0</f>
        <v>907.30968899999982</v>
      </c>
      <c r="Y207" s="3">
        <f>1268+(219.1-575.2)+(-2.58672+(-0.446964--1.173408))+0-0-0</f>
        <v>910.03972399999998</v>
      </c>
      <c r="Z207" s="3">
        <f>1280.8+(190.7-584.6)+(-3.26604+(-0.486285--1.49073))+0-0-0</f>
        <v>884.63840499999992</v>
      </c>
      <c r="AA207" s="3">
        <f>1290.2+(202.6-618.3)+(-1.316004+(-0.206652--0.630666))+0-0-0</f>
        <v>873.60801000000015</v>
      </c>
      <c r="AB207" s="3">
        <f>1275.6+(254-683.8)+(-0.650556+(-0.12954--0.348738))+0-0-0</f>
        <v>845.36864199999991</v>
      </c>
      <c r="AC207" s="3">
        <f>1187.3+(281.9-679.8)+(-0.605523+(-0.143769--0.346698))+0-0-0</f>
        <v>788.99740599999996</v>
      </c>
      <c r="AD207">
        <v>956.09999999999991</v>
      </c>
      <c r="AE207" s="3">
        <f>1203+(330.6-577.5)+(0+(0-0))+0-0-0</f>
        <v>956.1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1036.1+(335.8-645.7)+(0+(0-0))+0-0-0</f>
        <v>726.19999999999982</v>
      </c>
      <c r="G208" s="3">
        <f>879.2+(394.9-604.1)+(0+(0-0))+0-0-0</f>
        <v>670</v>
      </c>
      <c r="H208" s="3">
        <f>880.8+(351.5-587.9)+(0.449208+(0.179265-0.299829))+0-0-0</f>
        <v>644.72864400000003</v>
      </c>
      <c r="I208" s="3">
        <f>879.9+(337.4-585.4)+(0+(0-0))+0-0-0</f>
        <v>631.9</v>
      </c>
      <c r="J208" s="3">
        <f>882.2+(299-552.7)+(0.899844+(0.30498-0.563754))+0-0-0</f>
        <v>629.14107000000001</v>
      </c>
      <c r="K208" s="3">
        <f>875.7+(278-522.4)+(-0.893214+(-0.28356--0.532848))+0-0-0</f>
        <v>630.6560740000001</v>
      </c>
      <c r="L208" s="3">
        <f>872.7+(280.2-538.4)+(-0.890154+(-0.285804--0.549168))+0-0-0</f>
        <v>613.87320999999997</v>
      </c>
      <c r="M208" s="3">
        <f>883.8+(307.2-566.6)+(1.352214+(0.470016-0.866898))+0-0-0</f>
        <v>625.35533199999986</v>
      </c>
      <c r="N208" s="3">
        <f>924.5+(357-606.2)+(0.471495+(0.18207-0.309162))+0-0-0</f>
        <v>675.64440300000001</v>
      </c>
      <c r="O208" s="3">
        <f>933.7+(338.7-559.8)+(-0.952374+(-0.345474--0.570996))+0-0-0</f>
        <v>711.87314800000013</v>
      </c>
      <c r="P208" s="3">
        <f>981.6+(321.1-571.7)+(0+(0-0))+0-0-0</f>
        <v>731</v>
      </c>
      <c r="Q208" s="3">
        <f>987.1+(320.1-569.2)+(-2.517105+(-0.816255--1.45146))+0-0-0</f>
        <v>736.11810000000003</v>
      </c>
      <c r="R208" s="3">
        <f>988.5+(314.9-592.2)+(-1.512405+(-0.481797--0.906066))+0-0-0</f>
        <v>710.11186399999997</v>
      </c>
      <c r="S208" s="3">
        <f>991.7+(346.6-639.8)+(1.011534+(0.353532-0.652596))+0-0-0</f>
        <v>699.21247000000017</v>
      </c>
      <c r="T208" s="3">
        <f>979.8+(394.3-672)+(-2.998188+(-1.206558--2.05632))+0-0-0</f>
        <v>699.95157399999994</v>
      </c>
      <c r="U208" s="3">
        <f>989.1+(361.5-656)+(0+(0-0))+0-0-0</f>
        <v>694.6</v>
      </c>
      <c r="V208" s="3">
        <f>992+(294.5-591.8)+(0+(0-0))+0-0-0</f>
        <v>694.7</v>
      </c>
      <c r="W208" s="3">
        <f>1088.1+(252.5-636.7)+(0.554931+(0.128775-0.324717))+0-0-0</f>
        <v>704.25898899999981</v>
      </c>
      <c r="X208" s="3">
        <f>1330.8+(213.3-668.6)+(-2.036124+(-0.326349--1.022958))+0-0-0</f>
        <v>874.16048499999999</v>
      </c>
      <c r="Y208" s="3">
        <f>1205.3+(299.9-606.8)+(-1.844109+(-0.458847--0.928404))+0-0-0</f>
        <v>897.02544799999998</v>
      </c>
      <c r="Z208" s="3">
        <f>1010.9+(436.1-578.4)+(0.515559+(0.222411-0.294984))+0-0-0</f>
        <v>869.04298600000004</v>
      </c>
      <c r="AA208" s="3">
        <f>983.2+(453-584.1)+(0+(0-0))+0-0-0</f>
        <v>852.1</v>
      </c>
      <c r="AB208" s="3">
        <f>972.2+(438.7-571.3)+(-1.487466+(-0.671211--0.874089))+0-0-0</f>
        <v>838.31541200000015</v>
      </c>
      <c r="AC208" s="3">
        <f>1003.1+(442.6-669.5)+(-2.557905+(-1.12863--1.707225))+0-0-0</f>
        <v>774.22068999999999</v>
      </c>
      <c r="AD208">
        <v>905.3</v>
      </c>
      <c r="AE208" s="3">
        <f>1323+(238.6-656.3)+(0+(0-0))+0-0-0</f>
        <v>905.30000000000007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1037.4+(348.8-683.3)+(-2.64537+(-0.88944--1.742415))+0-0-0</f>
        <v>701.10760500000004</v>
      </c>
      <c r="G209" s="3">
        <f>1008.2+(353.3-701.1)+(-2.056728+(-0.720732--1.430244))+0-0-0</f>
        <v>659.05278400000009</v>
      </c>
      <c r="H209" s="3">
        <f>998.3+(362.4-710.7)+(-1.527399+(-0.554472--1.087371))+0-0-0</f>
        <v>649.00549999999987</v>
      </c>
      <c r="I209" s="3">
        <f>958.5+(373.3-689.2)+(0+(0-0))+0-0-0</f>
        <v>642.59999999999991</v>
      </c>
      <c r="J209" s="3">
        <f>956.9+(357-674.4)+(-1.464057+(-0.54621--1.031832))+0-0-0</f>
        <v>638.52156500000001</v>
      </c>
      <c r="K209" s="3">
        <f>959.2+(306-624.2)+(-1.467576+(-0.46818--0.955026))+0-0-0</f>
        <v>640.01927000000001</v>
      </c>
      <c r="L209" s="3">
        <f>961.8+(256.3-579.1)+(0+(0-0))+0-0-0</f>
        <v>639</v>
      </c>
      <c r="M209" s="3">
        <f>965.8+(256.4-555.1)+(0.492558+(0.130764-0.283101))+0-0-0</f>
        <v>667.44022099999995</v>
      </c>
      <c r="N209" s="3">
        <f>1206.5+(175.6-640.2)+(0.615315+(0.089556-0.326502))+0-0-0</f>
        <v>742.278369</v>
      </c>
      <c r="O209" s="3">
        <f>1270.6+(145.8-628.7)+(1.296012+(0.148716-0.641274))+0-0-0</f>
        <v>788.50345399999981</v>
      </c>
      <c r="P209" s="3">
        <f>1380.2+(108.4-673.1)+(-0.703902+(-0.055284--0.343281))+0-0-0</f>
        <v>815.08409500000005</v>
      </c>
      <c r="Q209" s="3">
        <f>1407.9+(148.8-733.3)+(-1.436058+(-0.151776--0.747966))+0-0-0</f>
        <v>822.56013200000007</v>
      </c>
      <c r="R209" s="3">
        <f>1337+(209.9-751.4)+(0+(0-0))+0-0-0</f>
        <v>795.5</v>
      </c>
      <c r="S209" s="3">
        <f>1308.1+(223.5-747.3)+(-0.667131+(-0.113985--0.381123))+0-0-0</f>
        <v>783.90000699999996</v>
      </c>
      <c r="T209" s="3">
        <f>1304.4+(209.5-725.5)+(0+(0-0))+0-0-0</f>
        <v>788.40000000000009</v>
      </c>
      <c r="U209" s="3">
        <f>1301.2+(182.3-696.3)+(-1.990836+(-0.278919--1.065339))+0-0-0</f>
        <v>785.99558400000001</v>
      </c>
      <c r="V209" s="3">
        <f>1300.7+(197.4-716.9)+(-1.990071+(-0.302022--1.096857))+0-0-0</f>
        <v>780.00476400000002</v>
      </c>
      <c r="W209" s="3">
        <f>1305.6+(126.8-645.7)+(0+(0-0))+0-0-0</f>
        <v>786.69999999999982</v>
      </c>
      <c r="X209" s="3">
        <f>1302+(215.3-594.1)+(-2.65608+(-0.439212--1.211964))+0-0-0</f>
        <v>921.31667200000004</v>
      </c>
      <c r="Y209" s="3">
        <f>1312.9+(256.1-645.1)+(0+(0-0))+0-0-0</f>
        <v>923.90000000000009</v>
      </c>
      <c r="Z209" s="3">
        <f>1320.2+(281.9-706)+(-2.693208+(-0.575076--1.44024))+0-0-0</f>
        <v>894.27195600000005</v>
      </c>
      <c r="AA209" s="3">
        <f>1327+(304.8-753.8)+(-0.67677+(-0.155448--0.384438))+0-0-0</f>
        <v>877.55222000000003</v>
      </c>
      <c r="AB209" s="3">
        <f>1275.1+(372.8-802.7)+(-3.251505+(-0.95064--2.046885))+0-0-0</f>
        <v>843.04473999999982</v>
      </c>
      <c r="AC209" s="3">
        <f>1230.1+(387.9-827.4)+(-0.627351+(-0.197829--0.421974))+0-0-0</f>
        <v>790.19679399999995</v>
      </c>
      <c r="AD209">
        <v>922.69999999999993</v>
      </c>
      <c r="AE209" s="3">
        <f>1293+(236.6-606.9)+(0+(0-0))+0-0-0</f>
        <v>922.7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1222.8+(392.3-891.2)+(-3.11814+(-1.000365--2.27256))+0-0-0</f>
        <v>722.05405499999983</v>
      </c>
      <c r="G210" s="3">
        <f>1032.4+(331-687)+(-0.526524+(-0.16881--0.35037))+0-0-0</f>
        <v>676.05503600000009</v>
      </c>
      <c r="H210" s="3">
        <f>919.6+(357.9-631)+(-1.406988+(-0.547587--0.96543))+0-0-0</f>
        <v>645.51085499999999</v>
      </c>
      <c r="I210" s="3">
        <f>924.3+(329.9-612.7)+(-0.471393+(-0.168249--0.312477))+0-0-0</f>
        <v>641.17283499999985</v>
      </c>
      <c r="J210" s="3">
        <f>928.1+(323.3-612.3)+(0+(0-0))+0-0-0</f>
        <v>639.10000000000014</v>
      </c>
      <c r="K210" s="3">
        <f>923.5+(315.5-593.3)+(-1.412955+(-0.482715--0.907749))+0-0-0</f>
        <v>644.71207900000002</v>
      </c>
      <c r="L210" s="3">
        <f>839.2+(364.1-566.5)+(0+(0-0))+0-0-0</f>
        <v>636.80000000000007</v>
      </c>
      <c r="M210" s="3">
        <f>959+(281.7-580.8)+(0.48909+(0.143667-0.296208))+0-0-0</f>
        <v>660.23654900000008</v>
      </c>
      <c r="N210" s="3">
        <f>1201.9+(234-687.8)+(0.612969+(0.11934-0.350778))+0-0-0</f>
        <v>748.48153100000013</v>
      </c>
      <c r="O210" s="3">
        <f>1230.6+(217-659.3)+(0+(0-0))+0-0-0</f>
        <v>788.3</v>
      </c>
      <c r="P210" s="3">
        <f>1224+(220.9-634.9)+(-0.62424+(-0.112659--0.323799))+0-0-0</f>
        <v>809.58690000000001</v>
      </c>
      <c r="Q210" s="3">
        <f>1220.6+(251.3-644.1)+(1.245012+(0.256326-0.656982))+0-0-0</f>
        <v>828.6443559999999</v>
      </c>
      <c r="R210" s="3">
        <f>1207.1+(300.8-714.3)+(-3.078105+(-0.76704--1.821465))+0-0-0</f>
        <v>791.5763199999999</v>
      </c>
      <c r="S210" s="3">
        <f>1199.3+(377.1-792.7)+(0+(0-0))+0-0-0</f>
        <v>783.69999999999993</v>
      </c>
      <c r="T210" s="3">
        <f>1188.9+(296.4-695)+(-1.212678+(-0.302328--0.7089))+0-0-0</f>
        <v>789.49389400000007</v>
      </c>
      <c r="U210" s="3">
        <f>1186.2+(310.6-704.3)+(-3.02481+(-0.79203--1.795965))+0-0-0</f>
        <v>790.47912500000007</v>
      </c>
      <c r="V210" s="3">
        <f>1183.1+(283.5-679.7)+(-3.016905+(-0.722925--1.733235))+0-0-0</f>
        <v>784.89340499999992</v>
      </c>
      <c r="W210" s="3">
        <f>1174.9+(187.4-568.6)+(1.198398+(0.191148-0.579972))+0-0-0</f>
        <v>794.50957400000004</v>
      </c>
      <c r="X210" s="3">
        <f>1172.8+(332.9-567.7)+(-1.196256+(-0.339558--0.579054))+0-0-0</f>
        <v>937.04323999999986</v>
      </c>
      <c r="Y210" s="3">
        <f>1174.3+(340-574.7)+(0+(0-0))+0-0-0</f>
        <v>939.59999999999991</v>
      </c>
      <c r="Z210" s="3">
        <f>1178.5+(366.5-625)+(-0.601035+(-0.186915--0.31875))+0-0-0</f>
        <v>919.5308</v>
      </c>
      <c r="AA210" s="3">
        <f>1173.9+(439.6-706.6)+(-2.394756+(-0.896784--1.441464))+0-0-0</f>
        <v>905.04992400000015</v>
      </c>
      <c r="AB210" s="3">
        <f>1184+(489.9-805.4)+(-2.41536+(-0.999396--1.643016))+0-0-0</f>
        <v>866.72825999999998</v>
      </c>
      <c r="AC210" s="3">
        <f>1184.6+(491.5-878.8)+(-3.624876+(-1.50399--2.689128))+0-0-0</f>
        <v>794.86026199999992</v>
      </c>
      <c r="AD210">
        <v>946.59999999999991</v>
      </c>
      <c r="AE210" s="3">
        <f>1175+(354.8-583.2)+(0+(0-0))+0-0-0</f>
        <v>946.59999999999991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1160+(416.8-840.9)+(-2.958+(-1.06284--2.144295))+0-0-0</f>
        <v>734.02345500000013</v>
      </c>
      <c r="G211" s="3">
        <f>1128.4+(397.5-831.9)+(1.726452+(0.608175-1.272807))+0-0-0</f>
        <v>695.06182000000013</v>
      </c>
      <c r="H211" s="3">
        <f>1086.2+(400.4-814.1)+(-2.76981+(-1.02102--2.075955))+0-0-0</f>
        <v>670.78512499999999</v>
      </c>
      <c r="I211" s="3">
        <f>1033.6+(342.3-721.7)+(-1.581408+(-0.523719--1.104201))+0-0-0</f>
        <v>653.19907399999977</v>
      </c>
      <c r="J211" s="3">
        <f>1051.5+(348.3-751.3)+(-0.536265+(-0.177633--0.383163))+0-0-0</f>
        <v>648.169265</v>
      </c>
      <c r="K211" s="3">
        <f>995.2+(339-685.9)+(0.507552+(0.17289-0.349809))+0-0-0</f>
        <v>648.6306330000001</v>
      </c>
      <c r="L211" s="3">
        <f>925.8+(290.6-584)+(0+(0-0))+0-0-0</f>
        <v>632.4</v>
      </c>
      <c r="M211" s="3">
        <f>970.4+(269.3-581.4)+(0.494904+(0.137343-0.296514))+0-0-0</f>
        <v>658.63573299999996</v>
      </c>
      <c r="N211" s="3">
        <f>1105.7+(221.9-599.1)+(0.563907+(0.113169-0.305541))+0-0-0</f>
        <v>728.87153499999999</v>
      </c>
      <c r="O211" s="3">
        <f>1091.4+(271.6-584.4)+(-1.669842+(-0.415548--0.894132))+0-0-0</f>
        <v>777.40874200000019</v>
      </c>
      <c r="P211" s="3">
        <f>1069.3+(290.5-569.6)+(1.090686+(0.29631-0.580992))+0-0-0</f>
        <v>791.00600399999996</v>
      </c>
      <c r="Q211" s="3">
        <f>1056+(329.6-581.3)+(0+(0-0))+0-0-0</f>
        <v>804.30000000000007</v>
      </c>
      <c r="R211" s="3">
        <f>1050+(335.5-605.4)+(-0.5355+(-0.171105--0.308754))+0-0-0</f>
        <v>779.70214900000008</v>
      </c>
      <c r="S211" s="3">
        <f>1120.1+(340.6-681.4)+(-0.571251+(-0.173706--0.347514))+0-0-0</f>
        <v>778.902557</v>
      </c>
      <c r="T211" s="3">
        <f>1163.9+(325.6-708.2)+(0.593589+(0.166056-0.361182))+0-0-0</f>
        <v>781.69846300000006</v>
      </c>
      <c r="U211" s="3">
        <f>1164.2+(328.6-713.3)+(0+(0-0))+0-0-0</f>
        <v>779.50000000000011</v>
      </c>
      <c r="V211" s="3">
        <f>1137.3+(301.2-655.6)+(-2.320092+(-0.614448--1.337424))+0-0-0</f>
        <v>781.30288399999984</v>
      </c>
      <c r="W211" s="3">
        <f>1140.1+(212.1-559)+(1.744353+(0.324513-0.85527))+0-0-0</f>
        <v>794.41359599999998</v>
      </c>
      <c r="X211" s="3">
        <f>1166.2+(295.1-515.7)+(-3.568572+(-0.903006--1.578042))+0-0-0</f>
        <v>942.70646399999998</v>
      </c>
      <c r="Y211" s="3">
        <f>1179.4+(353.3-584.2)+(0.601494+(0.180183-0.297942))+0-0-0</f>
        <v>948.98373500000002</v>
      </c>
      <c r="Z211" s="3">
        <f>1176.9+(405.5-653)+(-0.600219+(-0.206805--0.33303))+0-0-0</f>
        <v>928.92600600000014</v>
      </c>
      <c r="AA211" s="3">
        <f>1101.2+(443.9-650.6)+(-1.684836+(-0.679167--0.995418))+0-0-0</f>
        <v>893.13141499999995</v>
      </c>
      <c r="AB211" s="3">
        <f>1041.2+(395.6-580)+(-2.124048+(-0.807024--1.1832))+0-0-0</f>
        <v>855.05212800000004</v>
      </c>
      <c r="AC211" s="3">
        <f>1005.9+(407.9-620.6)+(-1.026018+(-0.416058--0.633012))+0-0-0</f>
        <v>792.3909359999999</v>
      </c>
      <c r="AD211">
        <v>954.4</v>
      </c>
      <c r="AE211" s="3">
        <f>1164+(311.5-521.1)+(0+(0-0))+0-0-0</f>
        <v>954.4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818+(461.7-558)+(-2.0859+(-1.177335--1.4229))+0-0-0</f>
        <v>719.85966500000006</v>
      </c>
      <c r="G212" s="3">
        <f>804.1+(437.8-559)+(-0.410091+(-0.223278--0.28509))+0-0-0</f>
        <v>682.55172100000004</v>
      </c>
      <c r="H212" s="3">
        <f>807.6+(435.5-583.4)+(0.823752+(0.44421-0.595068))+0-0-0</f>
        <v>660.37289400000009</v>
      </c>
      <c r="I212" s="3">
        <f>799.6+(425-574.1)+(-1.631184+(-0.867--1.171164))+0-0-0</f>
        <v>649.17298000000005</v>
      </c>
      <c r="J212" s="3">
        <f>805.1+(413.4-576.7)+(0.410601+(0.210834-0.294117))+0-0-0</f>
        <v>642.12731799999995</v>
      </c>
      <c r="K212" s="3">
        <f>778+(393.7-520.3)+(-0.79356+(-0.401574--0.530706))+0-0-0</f>
        <v>650.73557200000005</v>
      </c>
      <c r="L212" s="3">
        <f>690.7+(481.1-526.9)+(-1.056771+(-0.736083--0.806157))+0-0-0</f>
        <v>643.91330300000004</v>
      </c>
      <c r="M212" s="3">
        <f>704.3+(500.8-544.4)+(0.718386+(0.510816-0.555288))+0-0-0</f>
        <v>661.37391400000001</v>
      </c>
      <c r="N212" s="3">
        <f>785.1+(491.7-540.2)+(0+(0-0))+0-0-0</f>
        <v>736.59999999999991</v>
      </c>
      <c r="O212" s="3">
        <f>894.7+(442.3-565.9)+(-0.456297+(-0.225573--0.288609))+0-0-0</f>
        <v>770.70673900000008</v>
      </c>
      <c r="P212" s="3">
        <f>889.8+(428.6-529.4)+(0.453798+(0.218586-0.269994))+0-0-0</f>
        <v>789.40238999999997</v>
      </c>
      <c r="Q212" s="3">
        <f>873.5+(402.9-481.7)+(-2.227425+(-1.027395--1.228335))+0-0-0</f>
        <v>792.67351500000007</v>
      </c>
      <c r="R212" s="3">
        <f>873.5+(405.6-454.8)+(-0.445485+(-0.206856--0.231948))+0-0-0</f>
        <v>823.87960699999996</v>
      </c>
      <c r="S212" s="3">
        <f>873.5+(406.6-509.8)+(0+(0-0))+0-0-0</f>
        <v>770.3</v>
      </c>
      <c r="T212" s="3">
        <f>877.3+(361.7-471.6)+(-1.342269+(-0.553401--0.721548))+0-0-0</f>
        <v>766.22587799999985</v>
      </c>
      <c r="U212" s="3">
        <f>877.3+(364.8-477)+(0+(0-0))+0-0-0</f>
        <v>765.09999999999991</v>
      </c>
      <c r="V212" s="3">
        <f>886.3+(424.2-534.6)+(-2.712078+(-1.298052--1.635876))+0-0-0</f>
        <v>773.52574599999991</v>
      </c>
      <c r="W212" s="3">
        <f>891.7+(476.7-581.6)+(0.909534+(0.486234-0.593232))+0-0-0</f>
        <v>787.60253599999999</v>
      </c>
      <c r="X212" s="3">
        <f>894.8+(615.4-580.3)+(-2.738088+(-1.883124--1.775718))+0-0-0</f>
        <v>927.05450599999995</v>
      </c>
      <c r="Y212" s="3">
        <f>900.9+(583.8-559.3)+(-1.378377+(-0.893214--0.855729))+0-0-0</f>
        <v>923.98413800000003</v>
      </c>
      <c r="Z212" s="3">
        <f>903.1+(533.7-538.6)+(-2.302905+(-1.360935--1.37343))+0-0-0</f>
        <v>895.90959000000009</v>
      </c>
      <c r="AA212" s="3">
        <f>874.9+(545.3-539.2)+(-1.784796+(-1.112412--1.099968))+0-0-0</f>
        <v>879.2027599999999</v>
      </c>
      <c r="AB212" s="3">
        <f>861.5+(508.2-534.4)+(-0.439365+(-0.259182--0.272544))+0-0-0</f>
        <v>834.87399699999992</v>
      </c>
      <c r="AC212" s="3">
        <f>869.5+(426.9-527.9)+(-0.443445+(-0.217719--0.269229))+0-0-0</f>
        <v>768.10806500000001</v>
      </c>
      <c r="AD212">
        <v>918.5</v>
      </c>
      <c r="AE212" s="3">
        <f>893+(625.2-599.7)+(0+(0-0))+0-0-0</f>
        <v>918.5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862.7+(416.6-571.3)+(-1.319931+(-0.637398--0.874089))+0-0-0</f>
        <v>706.91676000000007</v>
      </c>
      <c r="G213" s="3">
        <f>751.1+(450.7-548.8)+(0.766122+(0.459714-0.559776))+0-0-0</f>
        <v>653.66606000000002</v>
      </c>
      <c r="H213" s="3">
        <f>718.5+(447.8-538.5)+(-0.366435+(-0.228378--0.274635))+0-0-0</f>
        <v>627.4798219999999</v>
      </c>
      <c r="I213" s="3">
        <f>721.8+(413.8-521)+(1.104354+(0.633114-0.79713))+0-0-0</f>
        <v>615.54033799999991</v>
      </c>
      <c r="J213" s="3">
        <f>721+(417.7-524.8)+(0.36771+(0.213027-0.267648))+0-0-0</f>
        <v>614.21308900000008</v>
      </c>
      <c r="K213" s="3">
        <f>678.9+(474.4-533.2)+(-1.384956+(-0.967776--1.087728))+0-0-0</f>
        <v>618.83499599999993</v>
      </c>
      <c r="L213" s="3">
        <f>568.3+(588.2-551.9)+(-1.159332+(-1.199928--1.125876))+0-0-0</f>
        <v>603.36661600000002</v>
      </c>
      <c r="M213" s="3">
        <f>609.1+(619-554.2)+(0.310641+(0.31569-0.282642))+0-0-0</f>
        <v>674.24368900000002</v>
      </c>
      <c r="N213" s="3">
        <f>663.3+(630.7-562.1)+(0+(0-0))+0-0-0</f>
        <v>731.9</v>
      </c>
      <c r="O213" s="3">
        <f>788.5+(555.4-527.7)+(-0.80427+(-0.566508--0.538254))+0-0-0</f>
        <v>815.3674759999999</v>
      </c>
      <c r="P213" s="3">
        <f>861.9+(437-499.2)+(-0.879138+(-0.44574--0.509184))+0-0-0</f>
        <v>798.88430600000004</v>
      </c>
      <c r="Q213" s="3">
        <f>877+(269.1-337.5)+(-1.78908+(-0.548964--0.6885))+0-0-0</f>
        <v>806.95045600000003</v>
      </c>
      <c r="R213" s="3">
        <f>863.4+(333.9-415.6)+(-1.321002+(-0.510867--0.635868))+0-0-0</f>
        <v>780.50399899999991</v>
      </c>
      <c r="S213" s="3">
        <f>866.1+(359.4-429.1)+(-0.883422+(-0.366588--0.437682))+0-0-0</f>
        <v>795.587672</v>
      </c>
      <c r="T213" s="3">
        <f>866.4+(457.1-532.4)+(0+(0-0))+0-0-0</f>
        <v>791.1</v>
      </c>
      <c r="U213" s="3">
        <f>861.4+(498.3-570.4)+(-0.878628+(-0.508266--0.581808))+0-0-0</f>
        <v>788.49491399999999</v>
      </c>
      <c r="V213" s="3">
        <f>866.3+(453.5-540.9)+(0+(0-0))+0-0-0</f>
        <v>778.9</v>
      </c>
      <c r="W213" s="3">
        <f>874.9+(457.3-536.6)+(-0.446199+(-0.233223--0.273666))+0-0-0</f>
        <v>795.19424399999991</v>
      </c>
      <c r="X213" s="3">
        <f>888.4+(597.4-557.5)+(-2.26542+(-1.52337--1.421625))+0-0-0</f>
        <v>925.93283499999995</v>
      </c>
      <c r="Y213" s="3">
        <f>854.8+(603.2-533.8)+(-1.307844+(-0.922896--0.816714))+0-0-0</f>
        <v>922.78597400000001</v>
      </c>
      <c r="Z213" s="3">
        <f>847.7+(605.1-550.5)+(-1.296981+(-0.925803--0.842265))+0-0-0</f>
        <v>900.91948100000002</v>
      </c>
      <c r="AA213" s="3">
        <f>848.9+(589.8-558.5)+(-1.298817+(-0.902394--0.854505))+0-0-0</f>
        <v>878.85329399999989</v>
      </c>
      <c r="AB213" s="3">
        <f>756.2+(638.1-537.6)+(0+(0-0))+0-0-0</f>
        <v>856.7</v>
      </c>
      <c r="AC213" s="3">
        <f>632.4+(675.2-510.5)+(-1.290096+(-1.377408--1.04142))+0-0-0</f>
        <v>795.47391600000003</v>
      </c>
      <c r="AD213">
        <v>874</v>
      </c>
      <c r="AE213" s="3">
        <f>888+(549.5-563.5)+(0+(0-0))+0-0-0</f>
        <v>874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633.8+(576.4-542.5)+(-0.969714+(-0.881892--0.830025))+0-0-0</f>
        <v>666.67841899999996</v>
      </c>
      <c r="G214" s="3">
        <f>634.1+(551.7-559.5)+(-0.323391+(-0.281367--0.285345))+0-0-0</f>
        <v>625.98058700000001</v>
      </c>
      <c r="H214" s="3">
        <f>629.2+(498.3-518.4)+(-1.925352+(-1.524798--1.586304))+0-0-0</f>
        <v>607.23615400000017</v>
      </c>
      <c r="I214" s="3">
        <f>633.8+(476.8-512.6)+(-0.969714+(-0.729504--0.784278))+0-0-0</f>
        <v>597.08506</v>
      </c>
      <c r="J214" s="3">
        <f>635.3+(493-540.8)+(0+(0-0))+0-0-0</f>
        <v>587.5</v>
      </c>
      <c r="K214" s="3">
        <f>634.7+(507.5-538.7)+(-0.323697+(-0.258825--0.274737))+0-0-0</f>
        <v>603.19221500000003</v>
      </c>
      <c r="L214" s="3">
        <f>634.9+(534.4-561.8)+(-0.971397+(-0.817632--0.859554))+0-0-0</f>
        <v>606.57052499999998</v>
      </c>
      <c r="M214" s="3">
        <f>639.6+(558.4-557.6)+(0.326196+(0.284784-0.284376))+0-0-0</f>
        <v>640.72660399999995</v>
      </c>
      <c r="N214" s="3">
        <f>645.5+(608.2-547)+(0.987615+(0.930546-0.83691))+0-0-0</f>
        <v>707.781251</v>
      </c>
      <c r="O214" s="3">
        <f>685.4+(600-542.4)+(0+(0-0))+0-0-0</f>
        <v>743</v>
      </c>
      <c r="P214" s="3">
        <f>867.2+(442.3-546.9)+(0.884544+(0.451146-0.557838))+0-0-0</f>
        <v>763.37785200000019</v>
      </c>
      <c r="Q214" s="3">
        <f>875.9+(395.6-514.6)+(-0.446709+(-0.201756--0.262446))+0-0-0</f>
        <v>756.51398099999994</v>
      </c>
      <c r="R214" s="3">
        <f>872.1+(345.2-492.5)+(-1.334313+(-0.528156--0.753525))+0-0-0</f>
        <v>723.691056</v>
      </c>
      <c r="S214" s="3">
        <f>864.2+(351.1-500.4)+(-2.644452+(-1.074366--1.531224))+0-0-0</f>
        <v>712.7124060000001</v>
      </c>
      <c r="T214" s="3">
        <f>872.9+(360.3-520.5)+(-0.890358+(-0.367506--0.53091))+0-0-0</f>
        <v>711.97304600000007</v>
      </c>
      <c r="U214" s="3">
        <f>870.4+(370.6-519.8)+(-1.331712+(-0.567018--0.795294))+0-0-0</f>
        <v>720.09656400000006</v>
      </c>
      <c r="V214" s="3">
        <f>871.2+(376.2-530.9)+(-1.332936+(-0.575586--0.812277))+0-0-0</f>
        <v>715.40375500000005</v>
      </c>
      <c r="W214" s="3">
        <f>879.6+(379.9-520)+(-1.345788+(-0.581247--0.7956))+0-0-0</f>
        <v>738.36856499999999</v>
      </c>
      <c r="X214" s="3">
        <f>883.9+(510.3-526.7)+(-2.704734+(-1.561518--1.611702))+0-0-0</f>
        <v>864.84545000000003</v>
      </c>
      <c r="Y214" s="3">
        <f>857.9+(512.5-521)+(-1.312587+(-0.784125--0.79713))+0-0-0</f>
        <v>848.10041799999999</v>
      </c>
      <c r="Z214" s="3">
        <f>840.6+(525.4-558.6)+(-0.428706+(-0.267954--0.284886))+0-0-0</f>
        <v>806.98822599999994</v>
      </c>
      <c r="AA214" s="3">
        <f>841.5+(488.7-540)+(-0.85833+(-0.498474--0.5508))+0-0-0</f>
        <v>789.39399600000002</v>
      </c>
      <c r="AB214" s="3">
        <f>839.7+(464.1-543.9)+(-1.284741+(-0.710073--0.832167))+0-0-0</f>
        <v>758.7373530000001</v>
      </c>
      <c r="AC214" s="3">
        <f>726.6+(523.6-511)+(-1.85283+(-1.33518--1.30305))+0-0-0</f>
        <v>737.31504000000007</v>
      </c>
      <c r="AD214">
        <v>863.8</v>
      </c>
      <c r="AE214" s="3">
        <f>893+(512-541.2)+(0+(0-0))+0-0-0</f>
        <v>863.8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703.9+(436.2-498.9)+(-1.076967+(-0.667386--0.763317))+0-0-0</f>
        <v>640.21896400000003</v>
      </c>
      <c r="G215" s="3">
        <f>705.7+(408.5-484.9)+(-1.439628+(-0.83334--0.989196))+0-0-0</f>
        <v>628.01622800000007</v>
      </c>
      <c r="H215" s="3">
        <f>700.1+(361.5-517.6)+(-1.785255+(-0.921825--1.31988))+0-0-0</f>
        <v>542.61279999999999</v>
      </c>
      <c r="I215" s="3">
        <f>703.2+(366.5-494.9)+(-1.434528+(-0.74766--1.009596))+0-0-0</f>
        <v>573.62740800000006</v>
      </c>
      <c r="J215" s="3">
        <f>708.5+(375.1-491.1)+(-0.361335+(-0.191301--0.250461))+0-0-0</f>
        <v>592.19782499999997</v>
      </c>
      <c r="K215" s="3">
        <f>629.6+(465.4-510.8)+(-0.321096+(-0.237354--0.260508))+0-0-0</f>
        <v>583.90205800000001</v>
      </c>
      <c r="L215" s="3">
        <f>525.1+(599.2-531)+(0+(0-0))+0-0-0</f>
        <v>593.30000000000007</v>
      </c>
      <c r="M215" s="3">
        <f>455.8+(706.6-549.2)+(-0.232458+(-0.360366--0.280092))+0-0-0</f>
        <v>612.88726800000006</v>
      </c>
      <c r="N215" s="3">
        <f>504.8+(626.3-553)+(-0.514896+(-0.638826--0.56406))+0-0-0</f>
        <v>577.51033799999993</v>
      </c>
      <c r="O215" s="3">
        <f>615.3+(553-552.9)+(-0.627606+(-0.56406--0.563958))+0-0-0</f>
        <v>614.77229199999999</v>
      </c>
      <c r="P215" s="3">
        <f>729.1+(497.5-554.3)+(-1.115523+(-0.761175--0.848079))+0-0-0</f>
        <v>671.27138100000002</v>
      </c>
      <c r="Q215" s="3">
        <f>729.1+(531.9-534.1)+(0+(0-0))+0-0-0</f>
        <v>726.9</v>
      </c>
      <c r="R215" s="3">
        <f>725.3+(504.9-558.2)+(-1.479612+(-1.029996--1.138728))+0-0-0</f>
        <v>670.62911999999983</v>
      </c>
      <c r="S215" s="3">
        <f>704.6+(494.8-537.5)+(-1.437384+(-1.009392--1.0965))+0-0-0</f>
        <v>660.54972400000008</v>
      </c>
      <c r="T215" s="3">
        <f>689.9+(509.8-540.3)+(-0.703698+(-0.519996--0.551106))+0-0-0</f>
        <v>658.72741200000007</v>
      </c>
      <c r="U215" s="3">
        <f>720.3+(454.5-519)+(-0.367353+(-0.231795--0.26469))+0-0-0</f>
        <v>655.46554199999991</v>
      </c>
      <c r="V215" s="3">
        <f>719.5+(490.6-556.6)+(0+(0-0))+0-0-0</f>
        <v>653.5</v>
      </c>
      <c r="W215" s="3">
        <f>769.9+(479.6-560.1)+(-1.177947+(-0.733788--0.856953))+0-0-0</f>
        <v>688.34521799999993</v>
      </c>
      <c r="X215" s="3">
        <f>865.1+(552.2-591.6)+(-1.764804+(-1.126488--1.206864))+0-0-0</f>
        <v>824.01557200000002</v>
      </c>
      <c r="Y215" s="3">
        <f>855.7+(558.7-591.4)+(-1.309221+(-0.854811--0.904842))+0-0-0</f>
        <v>821.74081000000012</v>
      </c>
      <c r="Z215" s="3">
        <f>852.5+(564.5-612.2)+(-2.173875+(-1.439475--1.56111))+0-0-0</f>
        <v>802.74775999999997</v>
      </c>
      <c r="AA215" s="3">
        <f>809.2+(548.1-577)+(-1.650768+(-1.118124--1.17708))+0-0-0</f>
        <v>778.70818800000006</v>
      </c>
      <c r="AB215" s="3">
        <f>834.4+(486.7-563.4)+(-2.12772+(-1.241085--1.43667))+0-0-0</f>
        <v>755.76786500000003</v>
      </c>
      <c r="AC215" s="3">
        <f>779.9+(459.6-543.1)+(-1.988745+(-1.17198--1.384905))+0-0-0</f>
        <v>694.62418000000002</v>
      </c>
      <c r="AD215">
        <v>855</v>
      </c>
      <c r="AE215" s="3">
        <f>862+(561-568)+(0+(0-0))+0-0-0</f>
        <v>855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740.2+(418.2-528.8)+(-0.755004+(-0.426564--0.539376))+0-0-0</f>
        <v>628.95780800000011</v>
      </c>
      <c r="G216" s="3">
        <f>636.7+(461.1-509)+(-0.649434+(-0.470322--0.51918))+0-0-0</f>
        <v>588.19942400000002</v>
      </c>
      <c r="H216" s="3">
        <f>635.5+(433.9-492.1)+(-1.29642+(-0.885156--1.003884))+0-0-0</f>
        <v>576.12230799999998</v>
      </c>
      <c r="I216" s="3">
        <f>609.7+(430.8-468.9)+(-0.621894+(-0.439416--0.478278))+0-0-0</f>
        <v>571.01696800000013</v>
      </c>
      <c r="J216" s="3">
        <f>578.2+(455.3-465.8)+(0.589764+(0.464406-0.475116))+0-0-0</f>
        <v>568.27905400000009</v>
      </c>
      <c r="K216" s="3">
        <f>582+(492.4-504.1)+(1.4841+(1.25562-1.285455))+0-0-0</f>
        <v>571.75426499999992</v>
      </c>
      <c r="L216" s="3">
        <f>580.5+(540.8-538.7)+(-0.296055+(-0.275808--0.274737))+0-0-0</f>
        <v>582.30287399999986</v>
      </c>
      <c r="M216" s="3">
        <f>642+(507.5-544.2)+(0+(0-0))+0-0-0</f>
        <v>605.29999999999995</v>
      </c>
      <c r="N216" s="3">
        <f>851.4+(400.3-580.1)+(-0.434214+(-0.204153--0.295851))+0-0-0</f>
        <v>671.25748399999986</v>
      </c>
      <c r="O216" s="3">
        <f>951.5+(344.4-582.3)+(-1.94106+(-0.702576--1.187892))+0-0-0</f>
        <v>712.14425600000004</v>
      </c>
      <c r="P216" s="3">
        <f>1025+(331.9-620.8)+(-0.52275+(-0.169269--0.316608))+0-0-0</f>
        <v>735.72458900000004</v>
      </c>
      <c r="Q216" s="3">
        <f>1026.9+(326.8-613.1)+(-1.571157+(-0.500004--0.938043))+0-0-0</f>
        <v>739.46688200000017</v>
      </c>
      <c r="R216" s="3">
        <f>1015.5+(314.6-617.7)+(-2.589525+(-0.80223--1.575135))+0-0-0</f>
        <v>710.58338000000003</v>
      </c>
      <c r="S216" s="3">
        <f>960.5+(334.1-593.8)+(-0.489855+(-0.170391--0.302838))+0-0-0</f>
        <v>700.4425920000001</v>
      </c>
      <c r="T216" s="3">
        <f>862.1+(416.9-583.4)+(0+(0-0))+0-0-0</f>
        <v>695.6</v>
      </c>
      <c r="U216" s="3">
        <f>811.1+(463.2-576.9)+(-0.413661+(-0.236232--0.294219))+0-0-0</f>
        <v>697.04432600000007</v>
      </c>
      <c r="V216" s="3">
        <f>811.7+(465.5-576.4)+(0.827934+(0.47481-0.587928))+0-0-0</f>
        <v>701.51481600000011</v>
      </c>
      <c r="W216" s="3">
        <f>902.9+(452.3-630.9)+(0.920958+(0.461346-0.643518))+0-0-0</f>
        <v>725.03878599999996</v>
      </c>
      <c r="X216" s="3">
        <f>986.1+(568.7-685.2)+(-2.011644+(-1.160148--1.397808))+0-0-0</f>
        <v>867.82601599999998</v>
      </c>
      <c r="Y216" s="3">
        <f>980.9+(541-663.3)+(-2.001036+(-1.10364--1.353132))+0-0-0</f>
        <v>856.84845600000006</v>
      </c>
      <c r="Z216" s="3">
        <f>960.1+(519.5-635.3)+(-1.958604+(-1.05978--1.296012))+0-0-0</f>
        <v>842.57762800000012</v>
      </c>
      <c r="AA216" s="3">
        <f>925.6+(474.9-592.8)+(-0.944112+(-0.484398--0.604656))+0-0-0</f>
        <v>806.87614600000006</v>
      </c>
      <c r="AB216" s="3">
        <f>916.5+(474.8-618.5)+(-2.337075+(-1.21074--1.577175))+0-0-0</f>
        <v>770.82935999999995</v>
      </c>
      <c r="AC216" s="3">
        <f>901.2+(368.2-558.1)+(-0.459612+(-0.187782--0.284631))+0-0-0</f>
        <v>710.93723699999998</v>
      </c>
      <c r="AD216">
        <v>864.2</v>
      </c>
      <c r="AE216" s="3">
        <f>989+(536-660.8)+(0+(0-0))+0-0-0</f>
        <v>864.2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782.1+(387.8-536.8)+(-0.797742+(-0.395556--0.547536))+0-0-0</f>
        <v>632.45423800000015</v>
      </c>
      <c r="G217" s="3">
        <f>773.6+(346.2-526.1)+(-0.789072+(-0.353124--0.536622))+0-0-0</f>
        <v>593.094426</v>
      </c>
      <c r="H217" s="3">
        <f>681.2+(359.3-461.7)+(0+(0-0))+0-0-0</f>
        <v>578.80000000000007</v>
      </c>
      <c r="I217" s="3">
        <f>550.6+(442.1-427.1)+(0.561612+(0.450942-0.435642))+0-0-0</f>
        <v>566.17691200000002</v>
      </c>
      <c r="J217" s="3">
        <f>517.7+(465.2-420.9)+(0.264027+(0.237252-0.214659))+0-0-0</f>
        <v>562.28661999999997</v>
      </c>
      <c r="K217" s="3">
        <f>519.9+(502.5-457.5)+(0+(0-0))+0-0-0</f>
        <v>564.9</v>
      </c>
      <c r="L217" s="3">
        <f>582.6+(504.6-530.7)+(1.188504+(1.029384-1.082628))+0-0-0</f>
        <v>557.63526000000002</v>
      </c>
      <c r="M217" s="3">
        <f>746.2+(453.2-597.8)+(0.761124+(0.462264-0.609756))+0-0-0</f>
        <v>602.21363200000019</v>
      </c>
      <c r="N217" s="3">
        <f>788.5+(448.9-561.8)+(-0.402135+(-0.228939--0.286518))+0-0-0</f>
        <v>675.25544400000001</v>
      </c>
      <c r="O217" s="3">
        <f>847.9+(414.1-557.4)+(0.432429+(0.211191-0.284274))+0-0-0</f>
        <v>704.95934599999998</v>
      </c>
      <c r="P217" s="3">
        <f>1008.6+(325.7-613.1)+(-1.543158+(-0.498321--0.938043))+0-0-0</f>
        <v>720.09656400000006</v>
      </c>
      <c r="Q217" s="3">
        <f>1025.4+(318.6-619.6)+(-0.522954+(-0.162486--0.315996))+0-0-0</f>
        <v>724.03055600000005</v>
      </c>
      <c r="R217" s="3">
        <f>902.7+(386-592.4)+(-2.301885+(-0.9843--1.51062))+0-0-0</f>
        <v>694.52443500000004</v>
      </c>
      <c r="S217" s="3">
        <f>833.2+(394-539.8)+(-0.424932+(-0.20094--0.275298))+0-0-0</f>
        <v>687.04942600000004</v>
      </c>
      <c r="T217" s="3">
        <f>829.4+(430.5-574.6)+(0+(0-0))+0-0-0</f>
        <v>685.3</v>
      </c>
      <c r="U217" s="3">
        <f>815.6+(436-556.2)+(-2.495736+(-1.33416--1.701972))+0-0-0</f>
        <v>693.27207599999997</v>
      </c>
      <c r="V217" s="3">
        <f>842.9+(424.5-573)+(-0.429879+(-0.216495--0.29223))+0-0-0</f>
        <v>694.04585599999996</v>
      </c>
      <c r="W217" s="3">
        <f>954.2+(423.1-642.5)+(0+(0-0))+0-0-0</f>
        <v>734.80000000000007</v>
      </c>
      <c r="X217" s="3">
        <f>987+(543.9-661.3)+(-3.02022+(-1.664334--2.023578))+0-0-0</f>
        <v>866.93902400000002</v>
      </c>
      <c r="Y217" s="3">
        <f>977.3+(527.1-646)+(-0.996846+(-0.537642--0.65892))+0-0-0</f>
        <v>857.52443199999993</v>
      </c>
      <c r="Z217" s="3">
        <f>951.7+(515.6-635.3)+(-1.941468+(-1.051824--1.296012))+0-0-0</f>
        <v>830.30272000000014</v>
      </c>
      <c r="AA217" s="3">
        <f>952.1+(471.1-610.6)+(-1.456713+(-0.720783--0.934218))+0-0-0</f>
        <v>811.35672199999999</v>
      </c>
      <c r="AB217" s="3">
        <f>951.6+(443.4-621.6)+(-1.941264+(-0.904536--1.268064))+0-0-0</f>
        <v>771.82226400000002</v>
      </c>
      <c r="AC217" s="3">
        <f>950+(376.7-624.9)+(-1.938+(-0.768468--1.274796))+0-0-0</f>
        <v>700.36832799999991</v>
      </c>
      <c r="AD217">
        <v>884.7</v>
      </c>
      <c r="AE217" s="3">
        <f>994+(538.5-647.8)+(0+(0-0))+0-0-0</f>
        <v>884.7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952.6+(270.6-577.4)+(-0.971652+(-0.276012--0.588948))+0-0-0</f>
        <v>645.14128400000004</v>
      </c>
      <c r="G218" s="3">
        <f>959.6+(183.9-537.6)+(0+(0-0))+0-0-0</f>
        <v>605.9</v>
      </c>
      <c r="H218" s="3">
        <f>875.4+(195.3-479.3)+(0+(0-0))+0-0-0</f>
        <v>591.4</v>
      </c>
      <c r="I218" s="3">
        <f>667+(342.5-428.1)+(0+(0-0))+0-0-0</f>
        <v>581.4</v>
      </c>
      <c r="J218" s="3">
        <f>659+(349-432.2)+(0.33609+(0.17799-0.220422))+0-0-0</f>
        <v>576.093658</v>
      </c>
      <c r="K218" s="3">
        <f>660+(389.8-465.9)+(-1.0098+(-0.596394--0.712827))+0-0-0</f>
        <v>583.00663300000008</v>
      </c>
      <c r="L218" s="3">
        <f>660.4+(449.9-521.7)+(0.336804+(0.229449-0.266067))+0-0-0</f>
        <v>588.90018599999996</v>
      </c>
      <c r="M218" s="3">
        <f>617.8+(561.2-561.9)+(0.315078+(0.286212-0.286569))+0-0-0</f>
        <v>617.41472099999999</v>
      </c>
      <c r="N218" s="3">
        <f>628.6+(595.7-555.5)+(-0.320586+(-0.303807--0.283305))+0-0-0</f>
        <v>668.45891200000005</v>
      </c>
      <c r="O218" s="3">
        <f>792.5+(462.7-537)+(0.404175+(0.235977-0.27387))+0-0-0</f>
        <v>718.566282</v>
      </c>
      <c r="P218" s="3">
        <f>1009.3+(346.7-601.4)+(0+(0-0))+0-0-0</f>
        <v>754.59999999999991</v>
      </c>
      <c r="Q218" s="3">
        <f>1012.8+(358.3-616.9)+(-0.516528+(-0.182733--0.314619))+0-0-0</f>
        <v>753.81535800000006</v>
      </c>
      <c r="R218" s="3">
        <f>983.7+(314.1-584.5)+(-2.508435+(-0.800955--1.490475))+0-0-0</f>
        <v>711.48108500000012</v>
      </c>
      <c r="S218" s="3">
        <f>940.8+(321.3-567.1)+(-2.878848+(-0.983178--1.735326))+0-0-0</f>
        <v>692.87329999999997</v>
      </c>
      <c r="T218" s="3">
        <f>942.2+(349.1-580.3)+(0+(0-0))+0-0-0</f>
        <v>711.00000000000011</v>
      </c>
      <c r="U218" s="3">
        <f>937.6+(337-568.2)+(-1.434528+(-0.51561--0.869346))+0-0-0</f>
        <v>705.319208</v>
      </c>
      <c r="V218" s="3">
        <f>939.8+(358.6-596.7)+(-0.479298+(-0.182886--0.304317))+0-0-0</f>
        <v>701.34213299999988</v>
      </c>
      <c r="W218" s="3">
        <f>958.7+(433-657.7)+(0+(0-0))+0-0-0</f>
        <v>734</v>
      </c>
      <c r="X218" s="3">
        <f>994+(520.1-637.9)+(-1.52082+(-0.795753--0.975987))+0-0-0</f>
        <v>874.85941400000002</v>
      </c>
      <c r="Y218" s="3">
        <f>1004.7+(513.8-649.1)+(-1.537191+(-0.786114--0.993123))+0-0-0</f>
        <v>868.06981799999994</v>
      </c>
      <c r="Z218" s="3">
        <f>1005.7+(473.5-633.4)+(-1.538721+(-0.724455--0.969102))+0-0-0</f>
        <v>844.50592600000004</v>
      </c>
      <c r="AA218" s="3">
        <f>1010.4+(410.1-592.6)+(-1.030608+(-0.418302--0.604452))+0-0-0</f>
        <v>827.05554199999995</v>
      </c>
      <c r="AB218" s="3">
        <f>1009.6+(348.6-569.3)+(-2.57448+(-0.88893--1.451715))+0-0-0</f>
        <v>786.88830500000006</v>
      </c>
      <c r="AC218" s="3">
        <f>996.9+(297.5-575.6)+(-1.016838+(-0.30345--0.587112))+0-0-0</f>
        <v>718.066824</v>
      </c>
      <c r="AD218">
        <v>876.4</v>
      </c>
      <c r="AE218" s="3">
        <f>995+(492-610.6)+(0+(0-0))+0-0-0</f>
        <v>876.4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957.3+(293.5-598.5)+(-0.488223+(-0.149685--0.305235))+0-0-0</f>
        <v>651.96732699999995</v>
      </c>
      <c r="G219" s="3">
        <f>939.6+(247.2-552.1)+(-1.916784+(-0.504288--1.126284))+0-0-0</f>
        <v>633.40521200000001</v>
      </c>
      <c r="H219" s="3">
        <f>857.7+(238.7-485.4)+(-2.187135+(-0.608685--1.23777))+0-0-0</f>
        <v>609.44195000000002</v>
      </c>
      <c r="I219" s="3">
        <f>776.7+(257.9-435.3)+(-0.792234+(-0.263058--0.444006))+0-0-0</f>
        <v>598.688714</v>
      </c>
      <c r="J219" s="3">
        <f>685.3+(329.3-426.5)+(0.349503+(0.167943-0.217515))+0-0-0</f>
        <v>588.39993099999992</v>
      </c>
      <c r="K219" s="3">
        <f>645.2+(414.6-463)+(0.329052+(0.211446-0.23613))+0-0-0</f>
        <v>597.10436800000002</v>
      </c>
      <c r="L219" s="3">
        <f>666.9+(471.6-535.5)+(1.020357+(0.721548-0.819315))+0-0-0</f>
        <v>603.92259000000001</v>
      </c>
      <c r="M219" s="3">
        <f>666.8+(539-569.2)+(-0.340068+(-0.27489--0.290292))+0-0-0</f>
        <v>636.27533399999993</v>
      </c>
      <c r="N219" s="3">
        <f>741.7+(509.3-572)+(0.756534+(0.519486-0.58344))+0-0-0</f>
        <v>679.69258000000002</v>
      </c>
      <c r="O219" s="3">
        <f>1004.9+(376-654.6)+(-1.024998+(-0.38352--0.667692))+0-0-0</f>
        <v>725.55917399999998</v>
      </c>
      <c r="P219" s="3">
        <f>1020.3+(203.8-484.5)+(-2.081412+(-0.415752--0.98838))+0-0-0</f>
        <v>738.09121599999992</v>
      </c>
      <c r="Q219" s="3">
        <f>1020.4+(153.5-434.5)+(-1.040808+(-0.15657--0.44319))+0-0-0</f>
        <v>738.64581199999998</v>
      </c>
      <c r="R219" s="3">
        <f>1002.6+(84-376.9)+(-2.045304+(-0.17136--0.768876))+0-0-0</f>
        <v>708.2522120000001</v>
      </c>
      <c r="S219" s="3">
        <f>950.5+(54.2-305.9)+(-0.484755+(-0.027642--0.156009))+0-0-0</f>
        <v>698.44361199999992</v>
      </c>
      <c r="T219" s="3">
        <f>940.5+(52.8-304.7)+(1.438965+(0.080784-0.466191))+0-0-0</f>
        <v>689.65355799999998</v>
      </c>
      <c r="U219" s="3">
        <f>930.7+(86.1-307.3)+(-2.373285+(-0.219555--0.783615))+0-0-0</f>
        <v>707.69077500000003</v>
      </c>
      <c r="V219" s="3">
        <f>904.4+(152.7-338.9)+(-0.461244+(-0.077877--0.172839))+0-0-0</f>
        <v>717.83371800000009</v>
      </c>
      <c r="W219" s="3">
        <f>953.5+(299.7-482.2)+(-0.486285+(-0.152847--0.245922))+0-0-0</f>
        <v>770.60679000000005</v>
      </c>
      <c r="X219" s="3">
        <f>977.5+(371-454)+(-2.492625+(-0.94605--1.1577))+0-0-0</f>
        <v>892.21902499999999</v>
      </c>
      <c r="Y219" s="3">
        <f>1008.1+(428.6-561)+(-0.514131+(-0.218586--0.28611))+0-0-0</f>
        <v>875.25339300000007</v>
      </c>
      <c r="Z219" s="3">
        <f>976.1+(450.5-576.6)+(-0.995622+(-0.45951--0.588132))+0-0-0</f>
        <v>849.13300000000004</v>
      </c>
      <c r="AA219" s="3">
        <f>907.3+(488.9-563.4)+(-1.850892+(-0.997356--1.149336))+0-0-0</f>
        <v>831.101088</v>
      </c>
      <c r="AB219" s="3">
        <f>906.9+(457-562)+(-1.387557+(-0.69921--0.85986))+0-0-0</f>
        <v>800.67309299999999</v>
      </c>
      <c r="AC219" s="3">
        <f>915.2+(397.7-574.6)+(-1.867008+(-0.811308--1.172184))+0-0-0</f>
        <v>736.79386799999997</v>
      </c>
      <c r="AD219">
        <v>852.49999999999989</v>
      </c>
      <c r="AE219" s="3">
        <f>989+(398.1-534.6)+(0+(0-0))+0-0-0</f>
        <v>852.5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857.5+(370.8-557)+(-2.186625+(-0.94554--1.42035))+0-0-0</f>
        <v>669.58818499999995</v>
      </c>
      <c r="G220" s="3">
        <f>858.6+(271.3-500.7)+(-0.437886+(-0.138363--0.255357))+0-0-0</f>
        <v>628.87910800000009</v>
      </c>
      <c r="H220" s="3">
        <f>898.8+(195-468.6)+(-0.458388+(-0.09945--0.238986))+0-0-0</f>
        <v>624.88114799999994</v>
      </c>
      <c r="I220" s="3">
        <f>980.6+(126.9-497.9)+(-1.000212+(-0.129438--0.507858))+0-0-0</f>
        <v>608.978208</v>
      </c>
      <c r="J220" s="3">
        <f>962.9+(138.7-483.3)+(-0.491079+(-0.070737--0.246483))+0-0-0</f>
        <v>617.98466699999994</v>
      </c>
      <c r="K220" s="3">
        <f>852.9+(263.3-487.5)+(-0.434979+(-0.134283--0.248625))+0-0-0</f>
        <v>628.37936300000001</v>
      </c>
      <c r="L220" s="3">
        <f>805.8+(359.3-529.5)+(-0.821916+(-0.366486--0.54009))+0-0-0</f>
        <v>634.95168799999988</v>
      </c>
      <c r="M220" s="3">
        <f>900.7+(325.7-568.4)+(0+(0-0))+0-0-0</f>
        <v>658</v>
      </c>
      <c r="N220" s="3">
        <f>1103.2+(266.2-636)+(-1.125264+(-0.271524--0.64872))+0-0-0</f>
        <v>732.6519320000001</v>
      </c>
      <c r="O220" s="3">
        <f>1366.2+(178.5-742.2)+(1.393524+(0.18207-0.757044))+0-0-0</f>
        <v>803.31854999999996</v>
      </c>
      <c r="P220" s="3">
        <f>1370.6+(193.6-726.9)+(-2.796024+(-0.394944--1.482876))+0-0-0</f>
        <v>835.59190799999999</v>
      </c>
      <c r="Q220" s="3">
        <f>1352.8+(168.8-717.5)+(-0.689928+(-0.086088--0.365925))+0-0-0</f>
        <v>803.68990899999994</v>
      </c>
      <c r="R220" s="3">
        <f>1300.2+(141.8-662.6)+(-1.326204+(-0.144636--0.675852))+0-0-0</f>
        <v>778.6050120000001</v>
      </c>
      <c r="S220" s="3">
        <f>1282.3+(128.8-664.4)+(-1.961919+(-0.197064--1.016532))+0-0-0</f>
        <v>745.55754899999999</v>
      </c>
      <c r="T220" s="3">
        <f>1303.8+(131.1-683.8)+(0+(0-0))+0-0-0</f>
        <v>751.1</v>
      </c>
      <c r="U220" s="3">
        <f>1223.4+(192.2-654.7)+(0.623934+(0.098022-0.333897))+0-0-0</f>
        <v>761.28805900000009</v>
      </c>
      <c r="V220" s="3">
        <f>1201.3+(261.3-695.3)+(-1.225326+(-0.266526--0.709206))+0-0-0</f>
        <v>766.51735399999995</v>
      </c>
      <c r="W220" s="3">
        <f>1350.5+(231.7-774.3)+(0+(0-0))+0-0-0</f>
        <v>807.90000000000009</v>
      </c>
      <c r="X220" s="3">
        <f>1422.5+(36.3-560.7)+(-2.176425+(-0.055539--0.857871))+0-0-0</f>
        <v>896.72590699999989</v>
      </c>
      <c r="Y220" s="3">
        <f>1428.9+(91.8-643)+(-1.457478+(-0.093636--0.65586))+0-0-0</f>
        <v>876.80474600000002</v>
      </c>
      <c r="Z220" s="3">
        <f>1427.5+(137.7-721.2)+(-1.45605+(-0.140454--0.735624))+0-0-0</f>
        <v>843.13912000000005</v>
      </c>
      <c r="AA220" s="3">
        <f>1433.2+(149.5-754.7)+(-1.461864+(-0.15249--0.769794))+0-0-0</f>
        <v>827.15544</v>
      </c>
      <c r="AB220" s="3">
        <f>1437+(107.9-723.1)+(0+(0-0))+0-0-0</f>
        <v>821.8</v>
      </c>
      <c r="AC220" s="3">
        <f>1432.9+(137-803.9)+(-2.192337+(-0.20961--1.229967))+0-0-0</f>
        <v>764.82802000000015</v>
      </c>
      <c r="AD220">
        <v>891.2</v>
      </c>
      <c r="AE220" s="3">
        <f>1418+(254.7-781.5)+(0+(0-0))+0-0-0</f>
        <v>891.2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1386.4+(120.7-847.6)+(-1.414128+(-0.123114--0.864552))+0-0-0</f>
        <v>658.82731000000013</v>
      </c>
      <c r="G221" s="3">
        <f>1343.5+(115.5-834.1)+(-0.685185+(-0.058905--0.425391))+0-0-0</f>
        <v>624.58130099999994</v>
      </c>
      <c r="H221" s="3">
        <f>1353.2+(97.5-834.6)+(2.070396+(0.149175-1.276938))+0-0-0</f>
        <v>617.04263300000002</v>
      </c>
      <c r="I221" s="3">
        <f>1334.7+(83.2-805.9)+(-2.722788+(-0.169728--1.644036))+0-0-0</f>
        <v>610.75152000000014</v>
      </c>
      <c r="J221" s="3">
        <f>1347.9+(85.9-824.7)+(1.374858+(0.087618-0.841194))+0-0-0</f>
        <v>609.72128199999997</v>
      </c>
      <c r="K221" s="3">
        <f>1287.4+(73.5-749.2)+(-1.969722+(-0.112455--1.146276))+0-0-0</f>
        <v>610.7640990000001</v>
      </c>
      <c r="L221" s="3">
        <f>1301.9+(81.5-744.9)+(-1.327938+(-0.08313--0.759798))+0-0-0</f>
        <v>637.84873000000016</v>
      </c>
      <c r="M221" s="3">
        <f>1292.6+(86.4-779.4)+(0.659226+(0.044064-0.397494))+0-0-0</f>
        <v>599.9057959999999</v>
      </c>
      <c r="N221" s="3">
        <f>1318.9+(96.3-739.6)+(2.017917+(0.147339-1.131588))+0-0-0</f>
        <v>676.63366800000006</v>
      </c>
      <c r="O221" s="3">
        <f>1331.1+(157-744.3)+(0.678861+(0.08007-0.379593))+0-0-0</f>
        <v>744.17933799999992</v>
      </c>
      <c r="P221" s="3">
        <f>1324.8+(222.8-790.8)+(0.675648+(0.113628-0.403308))+0-0-0</f>
        <v>757.185968</v>
      </c>
      <c r="Q221" s="3">
        <f>1312.8+(219.7-780.6)+(-3.34764+(-0.560235--1.99053))+0-0-0</f>
        <v>749.98265499999991</v>
      </c>
      <c r="R221" s="3">
        <f>1312+(110-703.6)+(-2.67648+(-0.2244--1.435344))+0-0-0</f>
        <v>716.93446399999993</v>
      </c>
      <c r="S221" s="3">
        <f>1317.3+(69.6-698.9)+(-3.359115+(-0.17748--1.782195))+0-0-0</f>
        <v>686.24559999999997</v>
      </c>
      <c r="T221" s="3">
        <f>1335.7+(60.5-712.8)+(-0.681207+(-0.030855--0.363528))+0-0-0</f>
        <v>683.05146600000012</v>
      </c>
      <c r="U221" s="3">
        <f>1327.5+(56.7-716.8)+(-2.031075+(-0.086751--1.096704))+0-0-0</f>
        <v>666.3788780000001</v>
      </c>
      <c r="V221" s="3">
        <f>1334.2+(100.7-722.4)+(-0.680442+(-0.051357--0.368424))+0-0-0</f>
        <v>712.13662500000009</v>
      </c>
      <c r="W221" s="3">
        <f>1103.8+(194.4-539.2)+(0+(0-0))+0-0-0</f>
        <v>758.99999999999989</v>
      </c>
      <c r="X221" s="3">
        <f>994.5+(446.4-615)+(-0.507195+(-0.227664--0.31365))+0-0-0</f>
        <v>825.478791</v>
      </c>
      <c r="Y221" s="3">
        <f>990.6+(472.7-646.5)+(0.505206+(0.241077-0.329715))+0-0-0</f>
        <v>817.21656799999994</v>
      </c>
      <c r="Z221" s="3">
        <f>979.5+(466.1-646.3)+(-1.498635+(-0.713133--0.988839))+0-0-0</f>
        <v>798.07707100000005</v>
      </c>
      <c r="AA221" s="3">
        <f>984.5+(421.2-610.3)+(-0.502095+(-0.214812--0.311253))+0-0-0</f>
        <v>794.99434600000006</v>
      </c>
      <c r="AB221" s="3">
        <f>984.3+(378.8-590.9)+(-1.003986+(-0.386376--0.602718))+0-0-0</f>
        <v>771.41235600000005</v>
      </c>
      <c r="AC221" s="3">
        <f>994.5+(290.6-565.6)+(-1.01439+(-0.296412--0.576912))+0-0-0</f>
        <v>718.76611000000003</v>
      </c>
      <c r="AD221">
        <v>824.69999999999993</v>
      </c>
      <c r="AE221" s="3">
        <f>1031+(338.6-544.9)+(0+(0-0))+0-0-0</f>
        <v>824.7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1049.7+(185.6-583.5)+(-1.070694+(-0.189312--0.59517))+0-0-0</f>
        <v>651.13516400000003</v>
      </c>
      <c r="G222" s="3">
        <f>1020.8+(119.4-521.7)+(1.041216+(0.121788-0.532134))+0-0-0</f>
        <v>619.13086999999985</v>
      </c>
      <c r="H222" s="3">
        <f>1014.6+(110.7-523.6)+(0+(0-0))+0-0-0</f>
        <v>601.70000000000005</v>
      </c>
      <c r="I222" s="3">
        <f>1002.9+(114.8-523.4)+(-1.022958+(-0.117096--0.533868))+0-0-0</f>
        <v>593.69381399999997</v>
      </c>
      <c r="J222" s="3">
        <f>1017.2+(109-537)+(3.112632+(0.33354-1.64322))+0-0-0</f>
        <v>591.00295200000005</v>
      </c>
      <c r="K222" s="3">
        <f>1006.5+(109.2-526.9)+(0+(0-0))+0-0-0</f>
        <v>588.79999999999995</v>
      </c>
      <c r="L222" s="3">
        <f>975.8+(140.3-529)+(-0.497658+(-0.071553--0.26979))+0-0-0</f>
        <v>586.80057899999986</v>
      </c>
      <c r="M222" s="3">
        <f>864.9+(252.2-537.9)+(-0.441099+(-0.128622--0.274329))+0-0-0</f>
        <v>578.90460800000005</v>
      </c>
      <c r="N222" s="3">
        <f>862.1+(320.2-594.3)+(1.319013+(0.489906-0.909279))+0-0-0</f>
        <v>588.89963999999998</v>
      </c>
      <c r="O222" s="3">
        <f>904.9+(331.7-610.7)+(0.461499+(0.169167-0.311457))+0-0-0</f>
        <v>626.21920899999986</v>
      </c>
      <c r="P222" s="3">
        <f>1015.8+(363.4-728.1)+(0+(0-0))+0-0-0</f>
        <v>651.09999999999991</v>
      </c>
      <c r="Q222" s="3">
        <f>1132.9+(237.9-707.1)+(-1.733337+(-0.363987--1.081863))+0-0-0</f>
        <v>662.68453900000009</v>
      </c>
      <c r="R222" s="3">
        <f>1137.5+(53.3-528.9)+(-1.16025+(-0.054366--0.539478))+0-0-0</f>
        <v>661.22486200000014</v>
      </c>
      <c r="S222" s="3">
        <f>1137+(44.7-528.2)+(-2.31948+(-0.091188--1.077528))+0-0-0</f>
        <v>652.16686000000004</v>
      </c>
      <c r="T222" s="3">
        <f>1137.6+(31.1-522.6)+(-1.740528+(-0.047583--0.799578))+0-0-0</f>
        <v>645.11146699999995</v>
      </c>
      <c r="U222" s="3">
        <f>1139.5+(27.6-518.4)+(0+(0-0))+0-0-0</f>
        <v>648.70000000000005</v>
      </c>
      <c r="V222" s="3">
        <f>1187.8+(28-552)+(0.605778+(0.01428-0.28152))+0-0-0</f>
        <v>664.13853799999993</v>
      </c>
      <c r="W222" s="3">
        <f>1340.5+(27.7-631.1)+(0+(0-0))+0-0-0</f>
        <v>737.1</v>
      </c>
      <c r="X222" s="3">
        <f>1335.6+(28.7-539.1)+(-3.40578+(-0.073185--1.374705))+0-0-0</f>
        <v>823.09573999999986</v>
      </c>
      <c r="Y222" s="3">
        <f>1337.9+(27.4-546.6)+(-3.411645+(-0.06987--1.39383))+0-0-0</f>
        <v>816.61231500000008</v>
      </c>
      <c r="Z222" s="3">
        <f>1334.6+(28.2-561.6)+(-2.722584+(-0.057528--1.145664))+0-0-0</f>
        <v>799.56555199999991</v>
      </c>
      <c r="AA222" s="3">
        <f>1330+(29-593.6)+(0+(0-0))+0-0-0</f>
        <v>765.4</v>
      </c>
      <c r="AB222" s="3">
        <f>1314.3+(26.7-589.3)+(-2.681172+(-0.054468--1.202172))+0-0-0</f>
        <v>750.16653200000007</v>
      </c>
      <c r="AC222" s="3">
        <f>1081.7+(28.2-416.2)+(-2.758335+(-0.07191--1.06131))+0-0-0</f>
        <v>691.93106499999999</v>
      </c>
      <c r="AD222">
        <v>827.8</v>
      </c>
      <c r="AE222" s="3">
        <f>1345+(29-546.2)+(0+(0-0))+0-0-0</f>
        <v>827.8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949.5+(148.7-489.1)+(-1.93698+(-0.303348--0.997764))+0-0-0</f>
        <v>607.85743599999989</v>
      </c>
      <c r="G223" s="3">
        <f>953.8+(102.7-485.5)+(-0.486438+(-0.052377--0.247605))+0-0-0</f>
        <v>570.70879000000002</v>
      </c>
      <c r="H223" s="3">
        <f>961.1+(66.6-470.8)+(0.490161+(0.033966-0.240108))+0-0-0</f>
        <v>557.18401899999992</v>
      </c>
      <c r="I223" s="3">
        <f>953.5+(51.8-456.7)+(-1.458855+(-0.079254--0.698751))+0-0-0</f>
        <v>547.76064200000008</v>
      </c>
      <c r="J223" s="3">
        <f>954.5+(37.7-448.6)+(-0.486795+(-0.019227--0.228786))+0-0-0</f>
        <v>543.32276399999989</v>
      </c>
      <c r="K223" s="3">
        <f>956.2+(37.2-439)+(0+(0-0))+0-0-0</f>
        <v>554.40000000000009</v>
      </c>
      <c r="L223" s="3">
        <f>957.2+(24.2-406.4)+(0+(0-0))+0-0-0</f>
        <v>575</v>
      </c>
      <c r="M223" s="3">
        <f>961.7+(27.7-384.6)+(1.471401+(0.042381-0.588438))+0-0-0</f>
        <v>605.72534399999995</v>
      </c>
      <c r="N223" s="3">
        <f>990.5+(31.7-408)+(1.01031+(0.032334-0.41616))+0-0-0</f>
        <v>614.82648400000005</v>
      </c>
      <c r="O223" s="3">
        <f>1047.5+(42.7-406.2)+(0.534225+(0.021777-0.207162))+0-0-0</f>
        <v>684.34884</v>
      </c>
      <c r="P223" s="3">
        <f>1057.4+(112.4-446.1)+(1.078548+(0.114648-0.455022))+0-0-0</f>
        <v>724.438174</v>
      </c>
      <c r="Q223" s="3">
        <f>1082.3+(121.3-462.9)+(0.551973+(0.061863-0.236079))+0-0-0</f>
        <v>741.07775700000002</v>
      </c>
      <c r="R223" s="3">
        <f>1123.1+(52.1-455.1)+(-1.718343+(-0.079713--0.696303))+0-0-0</f>
        <v>718.99824699999988</v>
      </c>
      <c r="S223" s="3">
        <f>1128.2+(37.2-458.9)+(-0.575382+(-0.018972--0.234039))+0-0-0</f>
        <v>706.13968499999999</v>
      </c>
      <c r="T223" s="3">
        <f>1089.5+(39.5-429.6)+(0+(0-0))+0-0-0</f>
        <v>699.4</v>
      </c>
      <c r="U223" s="3">
        <f>1074.4+(47.3-417.8)+(-1.643832+(-0.072369--0.639234))+0-0-0</f>
        <v>702.82303300000012</v>
      </c>
      <c r="V223" s="3">
        <f>1033.2+(111-428.8)+(1.580796+(0.16983-0.656064))+0-0-0</f>
        <v>716.49456200000009</v>
      </c>
      <c r="W223" s="3">
        <f>1162.1+(140.5-530.5)+(1.185342+(0.14331-0.54111))+0-0-0</f>
        <v>772.88754199999994</v>
      </c>
      <c r="X223" s="3">
        <f>1079.5+(134.9-357.3)+(-1.651635+(-0.206397--0.546669))+0-0-0</f>
        <v>855.78863699999999</v>
      </c>
      <c r="Y223" s="3">
        <f>1043.8+(71.4-279.9)+(-0.532338+(-0.036414--0.142749))+0-0-0</f>
        <v>834.87399699999992</v>
      </c>
      <c r="Z223" s="3">
        <f>978.2+(90.7-258.3)+(-0.997764+(-0.092514--0.263466))+0-0-0</f>
        <v>809.773188</v>
      </c>
      <c r="AA223" s="3">
        <f>956.4+(77.7-248.7)+(-1.463292+(-0.118881--0.380511))+0-0-0</f>
        <v>784.19833799999992</v>
      </c>
      <c r="AB223" s="3">
        <f>959+(54.5-263.8)+(-1.95636+(-0.11118--0.538152))+0-0-0</f>
        <v>748.17061200000001</v>
      </c>
      <c r="AC223" s="3">
        <f>961.6+(40.6-297.1)+(-1.471248+(-0.062118--0.454563))+0-0-0</f>
        <v>704.02119700000003</v>
      </c>
      <c r="AD223">
        <v>846.00000000000011</v>
      </c>
      <c r="AE223" s="3">
        <f>1152+(150.4-456.4)+(0+(0-0))+0-0-0</f>
        <v>846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965.9+(35.2-372.2)+(-0.492609+(-0.017952--0.189822))+0-0-0</f>
        <v>628.57926099999997</v>
      </c>
      <c r="G224" s="3">
        <f>964+(22.7-393.7)+(-1.47492+(-0.034731--0.602361))+0-0-0</f>
        <v>592.09271000000001</v>
      </c>
      <c r="H224" s="3">
        <f>968.8+(22.9-420.6)+(0.988176+(0.023358-0.429012))+0-0-0</f>
        <v>571.68252199999995</v>
      </c>
      <c r="I224" s="3">
        <f>975.5+(23.3-438.2)+(0.99501+(0.023766-0.446964))+0-0-0</f>
        <v>561.17181200000005</v>
      </c>
      <c r="J224" s="3">
        <f>968.6+(22.5-433.7)+(0.493986+(0.011475-0.221187))+0-0-0</f>
        <v>557.68427400000007</v>
      </c>
      <c r="K224" s="3">
        <f>995.9+(23.6-458.3)+(0+(0-0))+0-0-0</f>
        <v>561.20000000000005</v>
      </c>
      <c r="L224" s="3">
        <f>1035.7+(23.8-493.6)+(0+(0-0))+0-0-0</f>
        <v>565.90000000000009</v>
      </c>
      <c r="M224" s="3">
        <f>1041.7+(33.4-489.5)+(2.125068+(0.068136-0.99858))+0-0-0</f>
        <v>586.794624</v>
      </c>
      <c r="N224" s="3">
        <f>1052.5+(53.8-481.7)+(0.536775+(0.027438-0.245667))+0-0-0</f>
        <v>624.91854599999999</v>
      </c>
      <c r="O224" s="3">
        <f>1038+(101.4-473.3)+(-0.52938+(-0.051714--0.241383))+0-0-0</f>
        <v>665.76028900000006</v>
      </c>
      <c r="P224" s="3">
        <f>1039.5+(97.9-445.6)+(1.06029+(0.099858-0.454512))+0-0-0</f>
        <v>692.50563599999998</v>
      </c>
      <c r="Q224" s="3">
        <f>1033.7+(141.7-477.8)+(0+(0-0))+0-0-0</f>
        <v>697.6</v>
      </c>
      <c r="R224" s="3">
        <f>1023.7+(97.7-458.7)+(-2.610435+(-0.249135--1.169685))+0-0-0</f>
        <v>661.01011500000004</v>
      </c>
      <c r="S224" s="3">
        <f>1030.1+(75.7-445.5)+(0+(0-0))+0-0-0</f>
        <v>660.3</v>
      </c>
      <c r="T224" s="3">
        <f>1026.4+(78.1-450.1)+(0.523464+(0.039831-0.229551))+0-0-0</f>
        <v>654.73374400000012</v>
      </c>
      <c r="U224" s="3">
        <f>1017.7+(90.4-454.3)+(-1.038054+(-0.092208--0.463386))+0-0-0</f>
        <v>653.13312400000007</v>
      </c>
      <c r="V224" s="3">
        <f>1022.4+(133.4-486.8)+(1.564272+(0.204102-0.744804))+0-0-0</f>
        <v>670.02356999999995</v>
      </c>
      <c r="W224" s="3">
        <f>1020.7+(218-495.9)+(1.041114+(0.22236-0.505818))+0-0-0</f>
        <v>743.55765600000007</v>
      </c>
      <c r="X224" s="3">
        <f>1017.8+(319.1-477)+(-1.557234+(-0.488223--0.72981))+0-0-0</f>
        <v>858.58435299999996</v>
      </c>
      <c r="Y224" s="3">
        <f>1017.7+(251.8-422.2)+(-2.076108+(-0.513672--0.861288))+0-0-0</f>
        <v>845.57150800000011</v>
      </c>
      <c r="Z224" s="3">
        <f>1017.5+(150-344)+(-1.556775+(-0.2295--0.52632))+0-0-0</f>
        <v>822.24004500000001</v>
      </c>
      <c r="AA224" s="3">
        <f>1017.2+(94.1-301.4)+(-2.075088+(-0.191964--0.614856))+0-0-0</f>
        <v>808.24780400000009</v>
      </c>
      <c r="AB224" s="3">
        <f>1012.6+(91.9-323.3)+(-2.58213+(-0.234345--0.824415))+0-0-0</f>
        <v>779.20794000000001</v>
      </c>
      <c r="AC224" s="3">
        <f>948.6+(77.3-315.2)+(-1.451358+(-0.118269--0.482256))+0-0-0</f>
        <v>709.61262900000008</v>
      </c>
      <c r="AD224">
        <v>862.5</v>
      </c>
      <c r="AE224" s="3">
        <f>1022+(335.5-495)+(0+(0-0))+0-0-0</f>
        <v>862.5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920.4+(48.4-319.1)+(-2.816424+(-0.148104--0.976446))+0-0-0</f>
        <v>647.71191799999997</v>
      </c>
      <c r="G225" s="3">
        <f>882.9+(52.7-313.5)+(-1.350837+(-0.080631--0.479655))+0-0-0</f>
        <v>621.14818699999989</v>
      </c>
      <c r="H225" s="3">
        <f>717.7+(107.1-240.1)+(-1.098081+(-0.163863--0.367353))+0-0-0</f>
        <v>583.80540900000005</v>
      </c>
      <c r="I225" s="3">
        <f>701.5+(87.3-217.4)+(-0.71553+(-0.089046--0.221748))+0-0-0</f>
        <v>570.81717200000003</v>
      </c>
      <c r="J225" s="3">
        <f>740.9+(61.8-237.7)+(1.889295+(0.15759-0.606135))+0-0-0</f>
        <v>566.44074999999998</v>
      </c>
      <c r="K225" s="3">
        <f>653.9+(87.7-159.1)+(0.333489+(0.044727-0.081141))+0-0-0</f>
        <v>582.79707499999995</v>
      </c>
      <c r="L225" s="3">
        <f>570.7+(191.8-178.9)+(-0.291057+(-0.097818--0.091239))+0-0-0</f>
        <v>583.30236400000001</v>
      </c>
      <c r="M225" s="3">
        <f>569.9+(219.2-189.3)+(0.581298+(0.223584-0.193086))+0-0-0</f>
        <v>600.41179599999998</v>
      </c>
      <c r="N225" s="3">
        <f>569.8+(297.7-216.5)+(0.290598+(0.151827-0.110415))+0-0-0</f>
        <v>651.33200999999997</v>
      </c>
      <c r="O225" s="3">
        <f>571.2+(388.8-275.8)+(0.873936+(0.594864-0.421974))+0-0-0</f>
        <v>685.24682600000006</v>
      </c>
      <c r="P225" s="3">
        <f>570.3+(383.8-249.3)+(0.872559+(0.587214-0.381429))+0-0-0</f>
        <v>705.87834399999997</v>
      </c>
      <c r="Q225" s="3">
        <f>564.8+(427.7-258.7)+(-1.44024+(-1.090635--0.659685))+0-0-0</f>
        <v>731.92881</v>
      </c>
      <c r="R225" s="3">
        <f>244.6+(576.5-169.1)+(-0.498984+(-1.17606--0.344964))+0-0-0</f>
        <v>650.66992000000005</v>
      </c>
      <c r="S225" s="3">
        <f>546.8+(317.5-175.9)+(-1.115472+(-0.6477--0.358836))+0-0-0</f>
        <v>686.99566400000003</v>
      </c>
      <c r="T225" s="3">
        <f>819.3+(117.8-198.6)+(0.417843+(0.060078-0.101286))+0-0-0</f>
        <v>738.87663499999996</v>
      </c>
      <c r="U225" s="3">
        <f>914.6+(78.3-322.1)+(-2.798676+(-0.239598--0.985626))+0-0-0</f>
        <v>668.74735199999998</v>
      </c>
      <c r="V225" s="3">
        <f>942.1+(76.2-331.3)+(1.441413+(0.116586-0.506889))+0-0-0</f>
        <v>688.05110999999999</v>
      </c>
      <c r="W225" s="3">
        <f>945+(221.6-417)+(1.9278+(0.452064-0.85068))+0-0-0</f>
        <v>751.12918400000001</v>
      </c>
      <c r="X225" s="3">
        <f>983.5+(276.4-417.9)+(-2.507925+(-0.70482--1.065645))+0-0-0</f>
        <v>839.85289999999998</v>
      </c>
      <c r="Y225" s="3">
        <f>989.5+(241.2-399)+(-2.523225+(-0.61506--1.01745))+0-0-0</f>
        <v>829.57916499999999</v>
      </c>
      <c r="Z225" s="3">
        <f>992.2+(215.2-389.1)+(-2.024088+(-0.439008--0.793764))+0-0-0</f>
        <v>816.6306679999999</v>
      </c>
      <c r="AA225" s="3">
        <f>1045.2+(109.8-360.5)+(-2.66526+(-0.27999--0.919275))+0-0-0</f>
        <v>792.47402499999998</v>
      </c>
      <c r="AB225" s="3">
        <f>1064.7+(76.3-370.3)+(1.085994+(0.077826-0.377706))+0-0-0</f>
        <v>771.48611400000004</v>
      </c>
      <c r="AC225" s="3">
        <f>1130.9+(63-491.2)+(-2.307036+(-0.12852--1.002048))+0-0-0</f>
        <v>701.26649200000008</v>
      </c>
      <c r="AD225">
        <v>836</v>
      </c>
      <c r="AE225" s="3">
        <f>936+(383.3-483.3)+(0+(0-0))+0-0-0</f>
        <v>836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1036.5+(39.5-437.4)+(-2.11446+(-0.08058--0.892296))+0-0-0</f>
        <v>637.29725600000006</v>
      </c>
      <c r="G226" s="3">
        <f>995.2+(24.6-418.9)+(-2.030208+(-0.050184--0.854556))+0-0-0</f>
        <v>599.67416400000013</v>
      </c>
      <c r="H226" s="3">
        <f>944.7+(34.7-396.7)+(0+(0-0))+0-0-0</f>
        <v>582.70000000000005</v>
      </c>
      <c r="I226" s="3">
        <f>926.3+(41-394.5)+(-1.889652+(-0.08364--0.80478))+0-0-0</f>
        <v>571.63148799999999</v>
      </c>
      <c r="J226" s="3">
        <f>888.5+(64.4-375.1)+(1.359405+(0.098532-0.573903))+0-0-0</f>
        <v>578.684034</v>
      </c>
      <c r="K226" s="3">
        <f>884.3+(72.7-375.1)+(0.450993+(0.037077-0.191301))+0-0-0</f>
        <v>582.1967689999999</v>
      </c>
      <c r="L226" s="3">
        <f>882.9+(79.3-375.5)+(-0.900558+(-0.080886--0.38301))+0-0-0</f>
        <v>586.10156600000005</v>
      </c>
      <c r="M226" s="3">
        <f>831.1+(118.9-351.4)+(0.847722+(0.121278-0.358428))+0-0-0</f>
        <v>599.21057200000007</v>
      </c>
      <c r="N226" s="3">
        <f>849.9+(143.6-349.1)+(0.866898+(0.146472-0.356082))+0-0-0</f>
        <v>645.05728799999997</v>
      </c>
      <c r="O226" s="3">
        <f>925.5+(134.2-390.8)+(1.416015+(0.205326-0.597924))+0-0-0</f>
        <v>669.92341699999997</v>
      </c>
      <c r="P226" s="3">
        <f>995.1+(83.4-392.8)+(-2.537505+(-0.21267--1.00164))+0-0-0</f>
        <v>683.9514650000001</v>
      </c>
      <c r="Q226" s="3">
        <f>1013.5+(85.3-404.8)+(-1.550655+(-0.130509--0.619344))+0-0-0</f>
        <v>692.93817999999999</v>
      </c>
      <c r="R226" s="3">
        <f>1021.9+(72.1-433.9)+(-2.084676+(-0.147084--0.885156))+0-0-0</f>
        <v>658.75339600000007</v>
      </c>
      <c r="S226" s="3">
        <f>1015.9+(86.2-440.3)+(1.036218+(0.087924-0.449106))+0-0-0</f>
        <v>662.47503599999993</v>
      </c>
      <c r="T226" s="3">
        <f>1009.2+(87.9-433.9)+(-1.544076+(-0.134487--0.663867))+0-0-0</f>
        <v>662.18530400000009</v>
      </c>
      <c r="U226" s="3">
        <f>986.4+(88.8-412.7)+(-1.509192+(-0.135864--0.631431))+0-0-0</f>
        <v>661.48637499999995</v>
      </c>
      <c r="V226" s="3">
        <f>998.3+(112.6-440)+(0.509133+(0.057426-0.2244))+0-0-0</f>
        <v>671.24215900000002</v>
      </c>
      <c r="W226" s="3">
        <f>1055+(199-506.1)+(0.53805+(0.10149-0.258111))+0-0-0</f>
        <v>748.281429</v>
      </c>
      <c r="X226" s="3">
        <f>1048.2+(288.2-485.4)+(-1.603746+(-0.440946--0.742662))+0-0-0</f>
        <v>849.69797000000005</v>
      </c>
      <c r="Y226" s="3">
        <f>1044.7+(213.7-413.2)+(-2.663985+(-0.544935--1.05366))+0-0-0</f>
        <v>843.04474000000005</v>
      </c>
      <c r="Z226" s="3">
        <f>1052.1+(126.5-359.1)+(-0.536571+(-0.064515--0.183141))+0-0-0</f>
        <v>819.08205499999985</v>
      </c>
      <c r="AA226" s="3">
        <f>1014.5+(120.6-327.7)+(-1.552185+(-0.184518--0.501381))+0-0-0</f>
        <v>806.16467799999998</v>
      </c>
      <c r="AB226" s="3">
        <f>948.4+(148.9-321.7)+(-1.451052+(-0.227817--0.492201))+0-0-0</f>
        <v>774.41333199999997</v>
      </c>
      <c r="AC226" s="3">
        <f>950.2+(123.3-351)+(-2.42301+(-0.314415--0.89505))+0-0-0</f>
        <v>720.65762500000005</v>
      </c>
      <c r="AD226">
        <v>849.4</v>
      </c>
      <c r="AE226" s="3">
        <f>1049+(267-466.6)+(0+(0-0))+0-0-0</f>
        <v>849.4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945.4+(76.4-373.1)+(-0.964308+(-0.077928--0.380562))+0-0-0</f>
        <v>648.03832599999998</v>
      </c>
      <c r="G227" s="3">
        <f>836.8+(68.6-298.6)+(-0.426768+(-0.034986--0.152286))+0-0-0</f>
        <v>606.49053199999992</v>
      </c>
      <c r="H227" s="3">
        <f>810.5+(64.2-278.9)+(-0.413355+(-0.032742--0.142239))+0-0-0</f>
        <v>595.49614199999996</v>
      </c>
      <c r="I227" s="3">
        <f>812.2+(60.3-283.8)+(-0.414222+(-0.030753--0.144738))+0-0-0</f>
        <v>588.39976300000001</v>
      </c>
      <c r="J227" s="3">
        <f>723.6+(104.5-243.8)+(-0.369036+(-0.053295--0.124338))+0-0-0</f>
        <v>584.00200699999994</v>
      </c>
      <c r="K227" s="3">
        <f>710.1+(120.9-244.2)+(0.724302+(0.123318-0.249084))+0-0-0</f>
        <v>587.39853600000004</v>
      </c>
      <c r="L227" s="3">
        <f>735.8+(125-266.3)+(0.375258+(0.06375-0.135813))+0-0-0</f>
        <v>594.80319499999996</v>
      </c>
      <c r="M227" s="3">
        <f>834+(113.8-337.4)+(1.27602+(0.174114-0.516222))+0-0-0</f>
        <v>611.33391200000005</v>
      </c>
      <c r="N227" s="3">
        <f>943.3+(84.7-343.9)+(0+(0-0))+0-0-0</f>
        <v>684.09999999999991</v>
      </c>
      <c r="O227" s="3">
        <f>938.4+(103.4-337.4)+(0+(0-0))+0-0-0</f>
        <v>704.4</v>
      </c>
      <c r="P227" s="3">
        <f>949.8+(126.2-348)+(0+(0-0))+0-0-0</f>
        <v>728</v>
      </c>
      <c r="Q227" s="3">
        <f>839.7+(198.3-327.2)+(0+(0-0))+0-0-0</f>
        <v>710.80000000000007</v>
      </c>
      <c r="R227" s="3">
        <f>778.4+(206.8-316.6)+(-0.793968+(-0.210936--0.322932))+0-0-0</f>
        <v>667.91802799999994</v>
      </c>
      <c r="S227" s="3">
        <f>767.2+(202.5-302.2)+(-0.391272+(-0.103275--0.154122))+0-0-0</f>
        <v>667.15957500000002</v>
      </c>
      <c r="T227" s="3">
        <f>762.1+(231-308)+(-0.388671+(-0.11781--0.15708))+0-0-0</f>
        <v>684.75059900000008</v>
      </c>
      <c r="U227" s="3">
        <f>759.6+(224.7-308.4)+(-1.162188+(-0.343791--0.471852))+0-0-0</f>
        <v>674.86587300000008</v>
      </c>
      <c r="V227" s="3">
        <f>741.4+(249.6-304.2)+(-0.378114+(-0.127296--0.155142))+0-0-0</f>
        <v>686.44973199999993</v>
      </c>
      <c r="W227" s="3">
        <f>748.6+(431.7-427.8)+(0+(0-0))+0-0-0</f>
        <v>752.5</v>
      </c>
      <c r="X227" s="3">
        <f>838.7+(420.2-397.5)+(-1.710948+(-0.857208--0.8109))+0-0-0</f>
        <v>859.64274400000011</v>
      </c>
      <c r="Y227" s="3">
        <f>879.3+(294.2-327.5)+(-0.896886+(-0.300084--0.33405))+0-0-0</f>
        <v>845.13707999999997</v>
      </c>
      <c r="Z227" s="3">
        <f>812.9+(242.2-240)+(0+(0-0))+0-0-0</f>
        <v>815.09999999999991</v>
      </c>
      <c r="AA227" s="3">
        <f>801.1+(183.1-189.4)+(-1.225683+(-0.280143--0.289782))+0-0-0</f>
        <v>793.58395599999994</v>
      </c>
      <c r="AB227" s="3">
        <f>770.1+(217.1-213.9)+(-1.178253+(-0.332163--0.327267))+0-0-0</f>
        <v>772.116851</v>
      </c>
      <c r="AC227" s="3">
        <f>702+(226.3-202.4)+(-1.07406+(-0.346239--0.309672))+0-0-0</f>
        <v>724.78937299999996</v>
      </c>
      <c r="AD227">
        <v>838.90000000000009</v>
      </c>
      <c r="AE227" s="3">
        <f>780+(522.2-463.3)+(0+(0-0))+0-0-0</f>
        <v>838.90000000000009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625.9+(227.7-202.3)+(0+(0-0))+0-0-0</f>
        <v>651.29999999999995</v>
      </c>
      <c r="G228" s="3">
        <f>612.4+(178-172.3)+(-0.624648+(-0.18156--0.175746))+0-0-0</f>
        <v>617.46953799999994</v>
      </c>
      <c r="H228" s="3">
        <f>594.9+(151.3-153.1)+(-1.516995+(-0.385815--0.390405))+0-0-0</f>
        <v>591.58759500000008</v>
      </c>
      <c r="I228" s="3">
        <f>551.2+(166.7-134.7)+(0+(0-0))+0-0-0</f>
        <v>583.20000000000005</v>
      </c>
      <c r="J228" s="3">
        <f>553.1+(161.9-135.4)+(0+(0-0))+0-0-0</f>
        <v>579.6</v>
      </c>
      <c r="K228" s="3">
        <f>541.5+(190-149.2)+(0.276165+(0.0969-0.076092))+0-0-0</f>
        <v>582.59697299999993</v>
      </c>
      <c r="L228" s="3">
        <f>515.5+(223-160.2)+(-0.788715+(-0.34119--0.245106))+0-0-0</f>
        <v>577.41520099999991</v>
      </c>
      <c r="M228" s="3">
        <f>556.6+(205.4-165.6)+(-0.283866+(-0.104754--0.084456))+0-0-0</f>
        <v>596.09583600000008</v>
      </c>
      <c r="N228" s="3">
        <f>612.2+(240.6-199.9)+(0.312222+(0.122706-0.101949))+0-0-0</f>
        <v>653.23297900000011</v>
      </c>
      <c r="O228" s="3">
        <f>696.9+(274.8-274)+(0.355419+(0.140148-0.13974))+0-0-0</f>
        <v>698.05582700000002</v>
      </c>
      <c r="P228" s="3">
        <f>794.6+(238.5-320.8)+(0.405246+(0.121635-0.163608))+0-0-0</f>
        <v>712.663273</v>
      </c>
      <c r="Q228" s="3">
        <f>827.1+(244.9-363.5)+(0+(0-0))+0-0-0</f>
        <v>708.5</v>
      </c>
      <c r="R228" s="3">
        <f>823.4+(191.1-336.7)+(-0.419934+(-0.097461--0.171717))+0-0-0</f>
        <v>677.45432199999993</v>
      </c>
      <c r="S228" s="3">
        <f>821.8+(106.8-272.9)+(-1.257354+(-0.163404--0.417537))+0-0-0</f>
        <v>654.69677899999999</v>
      </c>
      <c r="T228" s="3">
        <f>864.4+(85.9-297.7)+(0.881688+(0.087618-0.303654))+0-0-0</f>
        <v>653.26565200000005</v>
      </c>
      <c r="U228" s="3">
        <f>913+(86-336.1)+(-0.93126+(-0.08772--0.342822))+0-0-0</f>
        <v>662.22384199999999</v>
      </c>
      <c r="V228" s="3">
        <f>843+(101.5-271.6)+(0+(0-0))+0-0-0</f>
        <v>672.9</v>
      </c>
      <c r="W228" s="3">
        <f>820.6+(307.9-385.6)+(0.837012+(0.314058-0.393312))+0-0-0</f>
        <v>743.65775799999994</v>
      </c>
      <c r="X228" s="3">
        <f>820.5+(407.4-387)+(0+(0-0))+0-0-0</f>
        <v>840.9</v>
      </c>
      <c r="Y228" s="3">
        <f>813+(359.9-348.7)+(-2.48778+(-1.101294--1.067022))+0-0-0</f>
        <v>821.67794800000001</v>
      </c>
      <c r="Z228" s="3">
        <f>820.1+(292.1-316.5)+(-0.836502+(-0.297942--0.32283))+0-0-0</f>
        <v>794.88838600000008</v>
      </c>
      <c r="AA228" s="3">
        <f>821+(258.1-288.4)+(-1.25613+(-0.394893--0.441252))+0-0-0</f>
        <v>789.490229</v>
      </c>
      <c r="AB228" s="3">
        <f>808.5+(216-260.3)+(-1.237005+(-0.33048--0.398259))+0-0-0</f>
        <v>763.03077400000006</v>
      </c>
      <c r="AC228" s="3">
        <f>741.9+(149.8-177.7)+(-1.891845+(-0.38199--0.453135))+0-0-0</f>
        <v>712.17930000000001</v>
      </c>
      <c r="AD228">
        <v>838.8</v>
      </c>
      <c r="AE228" s="3">
        <f>819+(414.3-394.5)+(0+(0-0))+0-0-0</f>
        <v>838.8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561.9+(248-151.8)+(0+(0-0))+0-0-0</f>
        <v>658.09999999999991</v>
      </c>
      <c r="G229" s="3">
        <f>398.6+(342.9-144.2)+(-0.203286+(-0.174879--0.073542))+0-0-0</f>
        <v>596.99537699999996</v>
      </c>
      <c r="H229" s="3">
        <f>398.3+(315.7-138.2)+(0+(0-0))+0-0-0</f>
        <v>575.79999999999995</v>
      </c>
      <c r="I229" s="3">
        <f>344.2+(363.3-134.5)+(0+(0-0))+0-0-0</f>
        <v>573</v>
      </c>
      <c r="J229" s="3">
        <f>339+(368.2-136)+(0.17289+(0.187782-0.06936))+0-0-0</f>
        <v>571.49131199999999</v>
      </c>
      <c r="K229" s="3">
        <f>334.9+(385.1-145.3)+(-0.341598+(-0.392802--0.148206))+0-0-0</f>
        <v>574.11380600000007</v>
      </c>
      <c r="L229" s="3">
        <f>330.1+(384.3-157.3)+(-0.505053+(-0.587979--0.240669))+0-0-0</f>
        <v>556.24763700000005</v>
      </c>
      <c r="M229" s="3">
        <f>361.8+(358.4-170.5)+(-0.184518+(-0.182784--0.086955))+0-0-0</f>
        <v>549.41965300000004</v>
      </c>
      <c r="N229" s="3">
        <f>475.8+(281.4-166.6)+(0.242658+(0.143514-0.084966))+0-0-0</f>
        <v>590.901206</v>
      </c>
      <c r="O229" s="3">
        <f>616.7+(244.7-225.6)+(0+(0-0))+0-0-0</f>
        <v>635.80000000000007</v>
      </c>
      <c r="P229" s="3">
        <f>648+(257.1-256.7)+(-0.66096+(-0.262242--0.261834))+0-0-0</f>
        <v>647.73863200000005</v>
      </c>
      <c r="Q229" s="3">
        <f>677+(343.4-366.7)+(-1.03581+(-0.525402--0.561051))+0-0-0</f>
        <v>652.699839</v>
      </c>
      <c r="R229" s="3">
        <f>677.7+(500.5-558.4)+(-1.036881+(-0.765765--0.854352))+0-0-0</f>
        <v>618.85170600000004</v>
      </c>
      <c r="S229" s="3">
        <f>681+(485-555.6)+(-1.04193+(-0.74205--0.850068))+0-0-0</f>
        <v>609.46608800000001</v>
      </c>
      <c r="T229" s="3">
        <f>682.4+(500.6-573.2)+(-0.696048+(-0.510612--0.584664))+0-0-0</f>
        <v>609.17800399999999</v>
      </c>
      <c r="U229" s="3">
        <f>677.7+(497.3-568)+(-0.345627+(-0.253623--0.28968))+0-0-0</f>
        <v>606.69042999999999</v>
      </c>
      <c r="V229" s="3">
        <f>683.5+(501.9-565.9)+(1.045755+(0.767907-0.865827))+0-0-0</f>
        <v>620.44783500000005</v>
      </c>
      <c r="W229" s="3">
        <f>744.9+(584-613.8)+(1.139697+(0.89352-0.939114))+0-0-0</f>
        <v>716.19410300000004</v>
      </c>
      <c r="X229" s="3">
        <f>806.4+(625.8-627.3)+(0.411264+(0.319158-0.319923))+0-0-0</f>
        <v>805.31049899999994</v>
      </c>
      <c r="Y229" s="3">
        <f>766.2+(642.7-606)+(0+(0-0))+0-0-0</f>
        <v>802.90000000000009</v>
      </c>
      <c r="Z229" s="3">
        <f>750.3+(638.9-605.5)+(0.765306+(0.651678-0.61761))+0-0-0</f>
        <v>784.49937399999988</v>
      </c>
      <c r="AA229" s="3">
        <f>710.2+(638-565.7)+(0+(0-0))+0-0-0</f>
        <v>782.5</v>
      </c>
      <c r="AB229" s="3">
        <f>692.4+(616.5-556.7)+(-0.706248+(-0.62883--0.567834))+0-0-0</f>
        <v>751.43275599999993</v>
      </c>
      <c r="AC229" s="3">
        <f>692.8+(547.7-549.7)+(-1.059984+(-0.837981--0.841041))+0-0-0</f>
        <v>689.74307599999997</v>
      </c>
      <c r="AD229">
        <v>807.10000000000014</v>
      </c>
      <c r="AE229" s="3">
        <f>802+(640.4-635.3)+(0+(0-0))+0-0-0</f>
        <v>807.1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641.6+(494.3-497.9)+(0+(0-0))+0-0-0</f>
        <v>638</v>
      </c>
      <c r="G230" s="3">
        <f>540.7+(473.5-428.7)+(0.551514+(0.48297-0.437274))+0-0-0</f>
        <v>586.09721000000002</v>
      </c>
      <c r="H230" s="3">
        <f>537.4+(382.4-352.4)+(0+(0-0))+0-0-0</f>
        <v>567.4</v>
      </c>
      <c r="I230" s="3">
        <f>535.4+(367.9-347.9)+(-0.546108+(-0.375258--0.354858))+0-0-0</f>
        <v>554.83349199999998</v>
      </c>
      <c r="J230" s="3">
        <f>536.4+(371.3-346.5)+(0+(0-0))+0-0-0</f>
        <v>561.20000000000005</v>
      </c>
      <c r="K230" s="3">
        <f>539.9+(401-373.2)+(0.275349+(0.20451-0.190332))+0-0-0</f>
        <v>567.98952700000007</v>
      </c>
      <c r="L230" s="3">
        <f>692+(337.1-403.2)+(-0.70584+(-0.343842--0.411264))+0-0-0</f>
        <v>625.26158200000009</v>
      </c>
      <c r="M230" s="3">
        <f>692.4+(365.6-441)+(0.353124+(0.186456-0.22491))+0-0-0</f>
        <v>617.31466999999998</v>
      </c>
      <c r="N230" s="3">
        <f>693.5+(471.1-500.1)+(1.061055+(0.720783-0.765153))+0-0-0</f>
        <v>665.51668500000005</v>
      </c>
      <c r="O230" s="3">
        <f>797.1+(454.6-541.5)+(-0.406521+(-0.231846--0.276165))+0-0-0</f>
        <v>709.83779800000002</v>
      </c>
      <c r="P230" s="3">
        <f>810+(527-589.4)+(1.2393+(0.80631-0.901782))+0-0-0</f>
        <v>748.74382800000001</v>
      </c>
      <c r="Q230" s="3">
        <f>828.3+(528.2-612.3)+(0+(0-0))+0-0-0</f>
        <v>744.2</v>
      </c>
      <c r="R230" s="3">
        <f>901.8+(413.5-603)+(0.459918+(0.210885-0.30753))+0-0-0</f>
        <v>712.663273</v>
      </c>
      <c r="S230" s="3">
        <f>903.6+(376.5-579.4)+(0.921672+(0.38403-0.590988))+0-0-0</f>
        <v>701.414714</v>
      </c>
      <c r="T230" s="3">
        <f>879.1+(375.6-560.2)+(0.896682+(0.383112-0.571404))+0-0-0</f>
        <v>695.20839000000001</v>
      </c>
      <c r="U230" s="3">
        <f>915.5+(310.7-533.8)+(-0.466905+(-0.158457--0.272238))+0-0-0</f>
        <v>692.04687600000011</v>
      </c>
      <c r="V230" s="3">
        <f>876.9+(385.1-559.9)+(0+(0-0))+0-0-0</f>
        <v>702.1</v>
      </c>
      <c r="W230" s="3">
        <f>836.6+(534.6-594.4)+(0.853332+(0.545292-0.606288))+0-0-0</f>
        <v>777.59233600000005</v>
      </c>
      <c r="X230" s="3">
        <f>933.6+(515.9-602.2)+(0+(0-0))+0-0-0</f>
        <v>847.3</v>
      </c>
      <c r="Y230" s="3">
        <f>922.6+(470.2-616.2)+(0+(0-0))+0-0-0</f>
        <v>776.59999999999991</v>
      </c>
      <c r="Z230" s="3">
        <f>966.8+(411.8-616.7)+(-1.479204+(-0.630054--0.943551))+0-0-0</f>
        <v>760.73429299999987</v>
      </c>
      <c r="AA230" s="3">
        <f>968+(379.9-577.1)+(-1.48104+(-0.581247--0.882963))+0-0-0</f>
        <v>769.620676</v>
      </c>
      <c r="AB230" s="3">
        <f>966.5+(341.5-552)+(-1.97166+(-0.69666--1.12608))+0-0-0</f>
        <v>754.45776000000001</v>
      </c>
      <c r="AC230" s="3">
        <f>807.8+(441.7-538.6)+(-2.05989+(-1.126335--1.37343))+0-0-0</f>
        <v>709.08720499999981</v>
      </c>
      <c r="AD230">
        <v>858.09999999999991</v>
      </c>
      <c r="AE230" s="3">
        <f>856+(632.6-630.5)+(0+(0-0))+0-0-0</f>
        <v>858.1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744.5+(421-544.1)+(-0.75939+(-0.42942--0.554982))+0-0-0</f>
        <v>620.76617199999998</v>
      </c>
      <c r="G231" s="3">
        <f>746.2+(347.7-496.9)+(-1.90281+(-0.886635--1.267095))+0-0-0</f>
        <v>595.47765000000004</v>
      </c>
      <c r="H231" s="3">
        <f>753.9+(237.7-437.2)+(0.384489+(0.121227-0.222972))+0-0-0</f>
        <v>554.68274399999996</v>
      </c>
      <c r="I231" s="3">
        <f>755.6+(194.5-412.8)+(-1.156068+(-0.297585--0.631584))+0-0-0</f>
        <v>536.4779309999999</v>
      </c>
      <c r="J231" s="3">
        <f>771.7+(169.7-407.8)+(1.180701+(0.259641-0.623934))+0-0-0</f>
        <v>534.41640800000005</v>
      </c>
      <c r="K231" s="3">
        <f>786.2+(205.3-446.5)+(-1.603848+(-0.418812--0.91086))+0-0-0</f>
        <v>543.88819999999998</v>
      </c>
      <c r="L231" s="3">
        <f>791.1+(266.1-494.9)+(-1.613844+(-0.542844--1.009596))+0-0-0</f>
        <v>561.15290800000002</v>
      </c>
      <c r="M231" s="3">
        <f>789.6+(336.1-531.6)+(-1.610784+(-0.685644--1.084464))+0-0-0</f>
        <v>592.88803600000006</v>
      </c>
      <c r="N231" s="3">
        <f>859.5+(335.5-573.9)+(-1.75338+(-0.68442--1.170756))+0-0-0</f>
        <v>619.83295599999997</v>
      </c>
      <c r="O231" s="3">
        <f>913.6+(369.3-603.5)+(-1.863744+(-0.753372--1.23114))+0-0-0</f>
        <v>678.01402400000006</v>
      </c>
      <c r="P231" s="3">
        <f>917.5+(353.7-568.8)+(0+(0-0))+0-0-0</f>
        <v>702.40000000000009</v>
      </c>
      <c r="Q231" s="3">
        <f>921.2+(338.2-560.5)+(-0.939624+(-0.344964--0.57171))+0-0-0</f>
        <v>698.18712200000004</v>
      </c>
      <c r="R231" s="3">
        <f>926+(275.1-534.5)+(-0.94452+(-0.280602--0.54519))+0-0-0</f>
        <v>665.92006800000001</v>
      </c>
      <c r="S231" s="3">
        <f>924.8+(240.6-499.7)+(-0.943296+(-0.245412--0.509694))+0-0-0</f>
        <v>665.02098599999988</v>
      </c>
      <c r="T231" s="3">
        <f>928.4+(279.3-580.5)+(-0.473484+(-0.142443--0.296055))+0-0-0</f>
        <v>626.88012800000001</v>
      </c>
      <c r="U231" s="3">
        <f>872.2+(316.6-556.5)+(-0.444822+(-0.161466--0.283815))+0-0-0</f>
        <v>631.97752700000012</v>
      </c>
      <c r="V231" s="3">
        <f>824.9+(397.1-553.3)+(0.841398+(0.405042-0.564366))+0-0-0</f>
        <v>669.38207399999999</v>
      </c>
      <c r="W231" s="3">
        <f>920.5+(427.8-569.4)+(-0.93891+(-0.436356--0.580788))+0-0-0</f>
        <v>778.10552200000006</v>
      </c>
      <c r="X231" s="3">
        <f>920.5+(521.1-611)+(-1.408365+(-0.797283--0.93483))+0-0-0</f>
        <v>829.32918200000006</v>
      </c>
      <c r="Y231" s="3">
        <f>923.4+(498.6-605.3)+(-0.941868+(-0.508572--0.617406))+0-0-0</f>
        <v>815.86696600000005</v>
      </c>
      <c r="Z231" s="3">
        <f>911.5+(463.6-589.5)+(-0.464865+(-0.236436--0.300645))+0-0-0</f>
        <v>785.199344</v>
      </c>
      <c r="AA231" s="3">
        <f>867.2+(490.5-562)+(-1.326816+(-0.750465--0.85986))+0-0-0</f>
        <v>794.4825790000001</v>
      </c>
      <c r="AB231" s="3">
        <f>812.2+(508.6-548)+(-0.828444+(-0.518772--0.55896))+0-0-0</f>
        <v>772.01174400000002</v>
      </c>
      <c r="AC231" s="3">
        <f>742.9+(498.3-518.7)+(-1.515516+(-1.016532--1.058148))+0-0-0</f>
        <v>721.02610000000004</v>
      </c>
      <c r="AD231">
        <v>815.80000000000007</v>
      </c>
      <c r="AE231" s="3">
        <f>930+(455.2-569.4)+(0+(0-0))+0-0-0</f>
        <v>815.8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692.1+(485.8-542.4)+(-0.352971+(-0.247758--0.276624))+0-0-0</f>
        <v>635.17589499999997</v>
      </c>
      <c r="G232" s="3">
        <f>653.2+(434.6-493.6)+(0.333132+(0.221646-0.251736))+0-0-0</f>
        <v>594.50304200000005</v>
      </c>
      <c r="H232" s="3">
        <f>574.3+(438-440.7)+(0+(0-0))+0-0-0</f>
        <v>571.59999999999991</v>
      </c>
      <c r="I232" s="3">
        <f>462.8+(498.2-420.8)+(-0.472056+(-0.508164--0.429216))+0-0-0</f>
        <v>539.64899600000001</v>
      </c>
      <c r="J232" s="3">
        <f>435.4+(504.8-405.3)+(0.222054+(0.257448-0.206703))+0-0-0</f>
        <v>535.17279899999994</v>
      </c>
      <c r="K232" s="3">
        <f>433+(540.3-430)+(-0.44166+(-0.551106--0.4386))+0-0-0</f>
        <v>542.74583399999995</v>
      </c>
      <c r="L232" s="3">
        <f>429+(587.2-483.2)+(0.21879+(0.299472-0.246432))+0-0-0</f>
        <v>533.27183000000002</v>
      </c>
      <c r="M232" s="3">
        <f>489.3+(597.5-560.7)+(-0.249543+(-0.304725--0.285957))+0-0-0</f>
        <v>525.83168899999987</v>
      </c>
      <c r="N232" s="3">
        <f>637.1+(512.9-582.1)+(0.649842+(0.523158-0.593742))+0-0-0</f>
        <v>568.47925799999996</v>
      </c>
      <c r="O232" s="3">
        <f>678.9+(529.7-592.4)+(-0.346239+(-0.270147--0.302124))+0-0-0</f>
        <v>615.88573800000006</v>
      </c>
      <c r="P232" s="3">
        <f>689+(536.5-601.2)+(-1.75695+(-1.368075--1.53306))+0-0-0</f>
        <v>622.708035</v>
      </c>
      <c r="Q232" s="3">
        <f>658.3+(549.7-592.6)+(-0.671466+(-0.560694--0.604452))+0-0-0</f>
        <v>614.77229199999999</v>
      </c>
      <c r="R232" s="3">
        <f>656.7+(551.4-600.5)+(-1.339668+(-1.124856--1.22502))+0-0-0</f>
        <v>606.36049600000001</v>
      </c>
      <c r="S232" s="3">
        <f>585+(611.4-601.9)+(-1.1934+(-1.247256--1.227876))+0-0-0</f>
        <v>593.28722000000005</v>
      </c>
      <c r="T232" s="3">
        <f>574.4+(596.6-575.5)+(-0.292944+(-0.304266--0.293505))+0-0-0</f>
        <v>595.19629499999996</v>
      </c>
      <c r="U232" s="3">
        <f>574.1+(580.6-563.6)+(0+(0-0))+0-0-0</f>
        <v>591.1</v>
      </c>
      <c r="V232" s="3">
        <f>672.9+(528-581.9)+(-1.029537+(-0.80784--0.890307))+0-0-0</f>
        <v>618.05292999999995</v>
      </c>
      <c r="W232" s="3">
        <f>704.2+(636.2-621.9)+(-0.359142+(-0.324462--0.317169))+0-0-0</f>
        <v>718.13356500000009</v>
      </c>
      <c r="X232" s="3">
        <f>687.8+(732.1-626.1)+(-1.403112+(-1.493484--1.277244))+0-0-0</f>
        <v>792.18064799999991</v>
      </c>
      <c r="Y232" s="3">
        <f>684.1+(709.4-616.8)+(-1.046673+(-1.085382--0.943704))+0-0-0</f>
        <v>775.51164900000003</v>
      </c>
      <c r="Z232" s="3">
        <f>681.1+(691.9-606.7)+(-1.042083+(-1.058607--0.928251))+0-0-0</f>
        <v>765.1275609999999</v>
      </c>
      <c r="AA232" s="3">
        <f>657.2+(678.6-576.9)+(-1.67586+(-1.73043--1.471095))+0-0-0</f>
        <v>756.96480500000007</v>
      </c>
      <c r="AB232" s="3">
        <f>589.7+(704.7-557.4)+(-0.601494+(-0.718794--0.568548))+0-0-0</f>
        <v>736.24826000000007</v>
      </c>
      <c r="AC232" s="3">
        <f>476.4+(741.8-542.5)+(-1.21482+(-1.89159--1.383375))+0-0-0</f>
        <v>673.97696499999995</v>
      </c>
      <c r="AD232">
        <v>781.8</v>
      </c>
      <c r="AE232" s="3">
        <f>696+(734.1-648.3)+(0+(0-0))+0-0-0</f>
        <v>781.80000000000007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462.7+(640.3-493.6)+(-0.471954+(-0.653106--0.503472))+0-0-0</f>
        <v>608.77841199999989</v>
      </c>
      <c r="G233" s="3">
        <f>460.5+(560.2-448)+(0+(0-0))+0-0-0</f>
        <v>572.70000000000005</v>
      </c>
      <c r="H233" s="3">
        <f>460.7+(507.6-413.6)+(-0.469914+(-0.517752--0.421872))+0-0-0</f>
        <v>554.13420600000006</v>
      </c>
      <c r="I233" s="3">
        <f>403.9+(539-397.9)+(-1.029945+(-1.37445--1.014645))+0-0-0</f>
        <v>543.61024999999995</v>
      </c>
      <c r="J233" s="3">
        <f>334.9+(595.9-396.3)+(0.170799+(0.303909-0.202113))+0-0-0</f>
        <v>534.77259500000002</v>
      </c>
      <c r="K233" s="3">
        <f>334+(629.2-420.8)+(0+(0-0))+0-0-0</f>
        <v>542.40000000000009</v>
      </c>
      <c r="L233" s="3">
        <f>409.9+(638.7-460.2)+(0.418098+(0.651474-0.469404))+0-0-0</f>
        <v>589.00016800000014</v>
      </c>
      <c r="M233" s="3">
        <f>489.8+(633.1-503.8)+(0.499596+(0.645762-0.513876))+0-0-0</f>
        <v>619.73148200000003</v>
      </c>
      <c r="N233" s="3">
        <f>528.7+(497.5-382.3)+(0+(0-0))+0-0-0</f>
        <v>643.90000000000009</v>
      </c>
      <c r="O233" s="3">
        <f>685.5+(253.3-249)+(0.69921+(0.258366-0.25398))+0-0-0</f>
        <v>690.5035959999999</v>
      </c>
      <c r="P233" s="3">
        <f>694.1+(346.1-322.2)+(0.353991+(0.176511-0.164322))+0-0-0</f>
        <v>718.36617999999999</v>
      </c>
      <c r="Q233" s="3">
        <f>696.6+(419.1-391.8)+(0.355266+(0.213741-0.199818))+0-0-0</f>
        <v>724.2691890000001</v>
      </c>
      <c r="R233" s="3">
        <f>692.1+(354.3-340.5)+(-1.411884+(-0.722772--0.69462))+0-0-0</f>
        <v>704.45996400000013</v>
      </c>
      <c r="S233" s="3">
        <f>692+(288.3-284.4)+(-1.41168+(-0.588132--0.580176))+0-0-0</f>
        <v>694.48036400000012</v>
      </c>
      <c r="T233" s="3">
        <f>692.5+(254-254.7)+(-1.059525+(-0.38862--0.389691))+0-0-0</f>
        <v>690.74154599999997</v>
      </c>
      <c r="U233" s="3">
        <f>693.2+(248.2-237.5)+(-0.353532+(-0.126582--0.121125))+0-0-0</f>
        <v>703.54101100000014</v>
      </c>
      <c r="V233" s="3">
        <f>695.2+(259.9-238.2)+(0.354552+(0.132549-0.121482))+0-0-0</f>
        <v>717.26561900000013</v>
      </c>
      <c r="W233" s="3">
        <f>697.8+(430.8-321.8)+(-0.711756+(-0.439416--0.328236))+0-0-0</f>
        <v>805.97706399999993</v>
      </c>
      <c r="X233" s="3">
        <f>810.7+(374.9-313.4)+(-2.480742+(-1.147194--0.959004))+0-0-0</f>
        <v>869.531068</v>
      </c>
      <c r="Y233" s="3">
        <f>891.8+(261.4-293.9)+(-1.364454+(-0.399942--0.449667))+0-0-0</f>
        <v>857.9852709999999</v>
      </c>
      <c r="Z233" s="3">
        <f>876.7+(241.3-290.8)+(-0.447117+(-0.123063--0.148308))+0-0-0</f>
        <v>826.77812800000004</v>
      </c>
      <c r="AA233" s="3">
        <f>811.8+(215.8-216.1)+(-2.07009+(-0.55029--0.551055))+0-0-0</f>
        <v>809.43067499999995</v>
      </c>
      <c r="AB233" s="3">
        <f>681.2+(282.2-213.1)+(-1.042236+(-0.431766--0.326043))+0-0-0</f>
        <v>749.15204100000005</v>
      </c>
      <c r="AC233" s="3">
        <f>540.1+(409-203.9)+(-0.550902+(-0.41718--0.207978))+0-0-0</f>
        <v>744.43989600000009</v>
      </c>
      <c r="AD233">
        <v>946.99999999999989</v>
      </c>
      <c r="AE233" s="3">
        <f>747+(504.6-344.6)+(0+(0-0))+0-0-0</f>
        <v>907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501.2+(348.1-173.9)+(-0.255612+(-0.177531--0.088689))+0-0-0</f>
        <v>675.05554599999994</v>
      </c>
      <c r="G234" s="3">
        <f>505.6+(240.1-168)+(-1.28928+(-0.612255--0.4284))+0-0-0</f>
        <v>576.22686500000009</v>
      </c>
      <c r="H234" s="3">
        <f>463+(257.1-147.4)+(-0.23613+(-0.131121--0.075174))+0-0-0</f>
        <v>572.4079230000001</v>
      </c>
      <c r="I234" s="3">
        <f>416.7+(288.2-142.8)+(-0.850068+(-0.587928--0.291312))+0-0-0</f>
        <v>560.95331599999986</v>
      </c>
      <c r="J234" s="3">
        <f>348.5+(349.6-142.2)+(-0.177735+(-0.178296--0.072522))+0-0-0</f>
        <v>555.61649100000011</v>
      </c>
      <c r="K234" s="3">
        <f>348.6+(362.7-148.4)+(-0.177786+(-0.184977--0.075684))+0-0-0</f>
        <v>562.61292100000003</v>
      </c>
      <c r="L234" s="3">
        <f>422.6+(370.4-154.9)+(-0.215526+(-0.188904--0.078999))+0-0-0</f>
        <v>637.77456900000004</v>
      </c>
      <c r="M234" s="3">
        <f>602.1+(202.8-178)+(0+(0-0))+0-0-0</f>
        <v>626.90000000000009</v>
      </c>
      <c r="N234" s="3">
        <f>666.9+(180-197.1)+(-0.340119+(-0.0918--0.100521))+0-0-0</f>
        <v>649.46860199999992</v>
      </c>
      <c r="O234" s="3">
        <f>711+(185.7-202.3)+(-0.72522+(-0.189414--0.206346))+0-0-0</f>
        <v>693.69171199999994</v>
      </c>
      <c r="P234" s="3">
        <f>707.7+(232.3-255.1)+(0+(0-0))+0-0-0</f>
        <v>684.90000000000009</v>
      </c>
      <c r="Q234" s="3">
        <f>847.5+(184.5-326.6)+(-0.432225+(-0.094095--0.166566))+0-0-0</f>
        <v>705.04024600000002</v>
      </c>
      <c r="R234" s="3">
        <f>879.3+(118.3-324.3)+(-0.448443+(-0.060333--0.165393))+0-0-0</f>
        <v>672.95661699999994</v>
      </c>
      <c r="S234" s="3">
        <f>958.8+(105.4-389.8)+(-1.466964+(-0.161262--0.596394))+0-0-0</f>
        <v>673.36816799999997</v>
      </c>
      <c r="T234" s="3">
        <f>961.5+(127.1-402.2)+(0.490365+(0.064821-0.205122))+0-0-0</f>
        <v>686.75006399999995</v>
      </c>
      <c r="U234" s="3">
        <f>966.9+(126.8-403)+(-0.986238+(-0.129336--0.41106))+0-0-0</f>
        <v>689.99548600000003</v>
      </c>
      <c r="V234" s="3">
        <f>998.6+(109.1-402)+(0+(0-0))+0-0-0</f>
        <v>705.7</v>
      </c>
      <c r="W234" s="3">
        <f>1085.4+(129.1-417.6)+(-1.107108+(-0.131682--0.425952))+0-0-0</f>
        <v>796.08716200000003</v>
      </c>
      <c r="X234" s="3">
        <f>1151.4+(126-389.4)+(-1.761642+(-0.19278--0.595782))+0-0-0</f>
        <v>886.64136000000008</v>
      </c>
      <c r="Y234" s="3">
        <f>1151+(106.4-388.7)+(-2.34804+(-0.217056--0.792948))+0-0-0</f>
        <v>866.92785200000003</v>
      </c>
      <c r="Z234" s="3">
        <f>1150.7+(87.8-396.6)+(-0.586857+(-0.044778--0.202266))+0-0-0</f>
        <v>841.47063100000014</v>
      </c>
      <c r="AA234" s="3">
        <f>1082.5+(109.5-367.6)+(-1.656225+(-0.167535--0.562428))+0-0-0</f>
        <v>823.13866799999994</v>
      </c>
      <c r="AB234" s="3">
        <f>1089.7+(80-380.8)+(0+(0-0))+0-0-0</f>
        <v>788.90000000000009</v>
      </c>
      <c r="AC234" s="3">
        <f>1077.6+(64-396.7)+(-2.74788+(-0.1632--1.011585))+0-0-0</f>
        <v>743.00050499999986</v>
      </c>
      <c r="AD234">
        <v>847.2</v>
      </c>
      <c r="AE234" s="3">
        <f>1144+(135.9-432.7)+(0+(0-0))+0-0-0</f>
        <v>847.2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1028+(61.4-418.7)+(0+(0-0))+0-0-0</f>
        <v>670.7</v>
      </c>
      <c r="G235" s="3">
        <f>913+(65.6-356.1)+(0+(0-0))+0-0-0</f>
        <v>622.5</v>
      </c>
      <c r="H235" s="3">
        <f>816+(77.6-294.2)+(-0.41616+(-0.039576--0.150042))+0-0-0</f>
        <v>599.09430599999996</v>
      </c>
      <c r="I235" s="3">
        <f>758.9+(83.5-258.1)+(0+(0-0))+0-0-0</f>
        <v>584.29999999999995</v>
      </c>
      <c r="J235" s="3">
        <f>765.9+(86.7-256.1)+(0.390609+(0.044217-0.130611))+0-0-0</f>
        <v>596.804215</v>
      </c>
      <c r="K235" s="3">
        <f>777.6+(79.9-258.8)+(1.98288+(0.203745-0.65994))+0-0-0</f>
        <v>600.22668500000009</v>
      </c>
      <c r="L235" s="3">
        <f>769.2+(89.1-268.4)+(-1.176876+(-0.136323--0.410652))+0-0-0</f>
        <v>588.99745300000006</v>
      </c>
      <c r="M235" s="3">
        <f>862.6+(78.4-305.8)+(1.319778+(0.119952-0.467874))+0-0-0</f>
        <v>636.17185600000005</v>
      </c>
      <c r="N235" s="3">
        <f>1009.1+(73.3-410.5)+(2.058564+(0.149532-0.83742))+0-0-0</f>
        <v>673.27067600000009</v>
      </c>
      <c r="O235" s="3">
        <f>1008+(101.9-379.8)+(-0.51408+(-0.051969--0.193698))+0-0-0</f>
        <v>729.72764900000004</v>
      </c>
      <c r="P235" s="3">
        <f>961.3+(127.1-362)+(-0.490263+(-0.064821--0.18462))+0-0-0</f>
        <v>726.02953600000001</v>
      </c>
      <c r="Q235" s="3">
        <f>897.2+(173.8-332)+(0+(0-0))+0-0-0</f>
        <v>739</v>
      </c>
      <c r="R235" s="3">
        <f>875.2+(147.3-306.2)+(-2.23176+(-0.375615--0.78081))+0-0-0</f>
        <v>714.47343500000011</v>
      </c>
      <c r="S235" s="3">
        <f>835.7+(208.1-350.5)+(-1.278621+(-0.318393--0.536265))+0-0-0</f>
        <v>692.23925100000008</v>
      </c>
      <c r="T235" s="3">
        <f>818.3+(299.7-430.2)+(1.251999+(0.458541-0.658206))+0-0-0</f>
        <v>688.85233399999993</v>
      </c>
      <c r="U235" s="3">
        <f>757.8+(468.2-551.2)+(-0.772956+(-0.477564--0.562224))+0-0-0</f>
        <v>674.11170399999992</v>
      </c>
      <c r="V235" s="3">
        <f>781.2+(473.1-543.8)+(-0.398412+(-0.241281--0.277338))+0-0-0</f>
        <v>710.13764500000013</v>
      </c>
      <c r="W235" s="3">
        <f>984.7+(393.9-564.4)+(1.004394+(0.401778-0.575688))+0-0-0</f>
        <v>815.030484</v>
      </c>
      <c r="X235" s="3">
        <f>1012.3+(398.3-556.9)+(-0.516273+(-0.203133--0.284019))+0-0-0</f>
        <v>853.26461300000005</v>
      </c>
      <c r="Y235" s="3">
        <f>1015.4+(384.2-553.8)+(0+(0-0))+0-0-0</f>
        <v>845.8</v>
      </c>
      <c r="Z235" s="3">
        <f>1012.2+(370.4-567.1)+(-2.064888+(-0.755616--1.156884))+0-0-0</f>
        <v>813.83637999999996</v>
      </c>
      <c r="AA235" s="3">
        <f>1012.5+(337.8-554.5)+(-1.03275+(-0.344556--0.56559))+0-0-0</f>
        <v>794.98828399999991</v>
      </c>
      <c r="AB235" s="3">
        <f>1022.9+(308.1-562.3)+(-1.565037+(-0.471393--0.860319))+0-0-0</f>
        <v>767.52388900000005</v>
      </c>
      <c r="AC235" s="3">
        <f>971.2+(272-530.3)+(-0.495312+(-0.13872--0.270453))+0-0-0</f>
        <v>712.53642100000013</v>
      </c>
      <c r="AD235">
        <v>880.99999999999989</v>
      </c>
      <c r="AE235" s="3">
        <f>1011+(455.1-585.1)+(0+(0-0))+0-0-0</f>
        <v>881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857.7+(329.1-518.7)+(-0.874854+(-0.335682--0.529074))+0-0-0</f>
        <v>667.41853800000001</v>
      </c>
      <c r="G236" s="3">
        <f>660+(472.1-528.1)+(0+(0-0))+0-0-0</f>
        <v>604</v>
      </c>
      <c r="H236" s="3">
        <f>567.7+(515.1-498.4)+(1.158108+(1.050804-1.016736))+0-0-0</f>
        <v>585.59217600000011</v>
      </c>
      <c r="I236" s="3">
        <f>471.1+(586.3-480.9)+(0.961044+(1.196052-0.981036))+0-0-0</f>
        <v>577.67606000000001</v>
      </c>
      <c r="J236" s="3">
        <f>481.7+(565-472.5)+(0+(0-0))+0-0-0</f>
        <v>574.20000000000005</v>
      </c>
      <c r="K236" s="3">
        <f>519.2+(554-494.5)+(0.794376+(0.84762-0.756585))+0-0-0</f>
        <v>579.58541100000002</v>
      </c>
      <c r="L236" s="3">
        <f>517+(586.7-524.2)+(0+(0-0))+0-0-0</f>
        <v>579.5</v>
      </c>
      <c r="M236" s="3">
        <f>519+(597.4-544)+(0.26469+(0.304674-0.27744))+0-0-0</f>
        <v>572.69192399999997</v>
      </c>
      <c r="N236" s="3">
        <f>562.3+(614-581.3)+(0.286773+(0.31314-0.296463))+0-0-0</f>
        <v>595.30345</v>
      </c>
      <c r="O236" s="3">
        <f>719+(510.6-581.8)+(1.10007+(0.781218-0.890154))+0-0-0</f>
        <v>648.79113400000006</v>
      </c>
      <c r="P236" s="3">
        <f>830.7+(434.9-583.1)+(-0.847314+(-0.443598--0.594762))+0-0-0</f>
        <v>681.80385000000001</v>
      </c>
      <c r="Q236" s="3">
        <f>893.3+(384.6-588.1)+(0.911166+(0.392292-0.599862))+0-0-0</f>
        <v>690.5035959999999</v>
      </c>
      <c r="R236" s="3">
        <f>890.1+(373-593.2)+(-1.815804+(-0.76092--1.210128))+0-0-0</f>
        <v>668.53340400000002</v>
      </c>
      <c r="S236" s="3">
        <f>875.8+(356.4-583)+(0+(0-0))+0-0-0</f>
        <v>649.19999999999993</v>
      </c>
      <c r="T236" s="3">
        <f>875.8+(356.4-585.7)+(-1.786632+(-0.727056--1.194828))+0-0-0</f>
        <v>645.18113999999991</v>
      </c>
      <c r="U236" s="3">
        <f>889+(332.7-578.4)+(-0.45339+(-0.169677--0.294984))+0-0-0</f>
        <v>642.97191699999996</v>
      </c>
      <c r="V236" s="3">
        <f>886.3+(366.8-595.6)+(-0.452013+(-0.187068--0.303756))+0-0-0</f>
        <v>657.16467499999999</v>
      </c>
      <c r="W236" s="3">
        <f>912+(488.1-637.1)+(0.46512+(0.248931-0.324921))+0-0-0</f>
        <v>763.38913000000002</v>
      </c>
      <c r="X236" s="3">
        <f>945.1+(569.8-681.7)+(-0.964002+(-0.581196--0.695334))+0-0-0</f>
        <v>832.35013599999991</v>
      </c>
      <c r="Y236" s="3">
        <f>926.7+(573.7-671.3)+(-0.472617+(-0.292587--0.342363))+0-0-0</f>
        <v>828.67715900000019</v>
      </c>
      <c r="Z236" s="3">
        <f>892+(561.5-643.1)+(-1.36476+(-0.859095--0.983943))+0-0-0</f>
        <v>809.16008799999997</v>
      </c>
      <c r="AA236" s="3">
        <f>892.2+(515.2-615)+(-0.455022+(-0.262752--0.31365))+0-0-0</f>
        <v>791.99587600000007</v>
      </c>
      <c r="AB236" s="3">
        <f>892.3+(546.7-664.1)+(-1.365219+(-0.836451--1.016073))+0-0-0</f>
        <v>773.71440299999995</v>
      </c>
      <c r="AC236" s="3">
        <f>892.2+(401.5-572)+(-0.910044+(-0.40953--0.58344))+0-0-0</f>
        <v>720.96386600000005</v>
      </c>
      <c r="AD236">
        <v>834.6</v>
      </c>
      <c r="AE236" s="3">
        <f>934+(588-687.4)+(0+(0-0))+0-0-0</f>
        <v>834.6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820.1+(392.1-558.7)+(0.836502+(0.399942-0.569874))+0-0-0</f>
        <v>654.16656999999998</v>
      </c>
      <c r="G237" s="3">
        <f>717.9+(440.1-548.5)+(0+(0-0))+0-0-0</f>
        <v>609.5</v>
      </c>
      <c r="H237" s="3">
        <f>653.2+(457.5-516.9)+(-0.666264+(-0.46665--0.527238))+0-0-0</f>
        <v>593.19432400000005</v>
      </c>
      <c r="I237" s="3">
        <f>567+(502.8-494.8)+(-0.86751+(-0.769284--0.757044))+0-0-0</f>
        <v>574.12025000000006</v>
      </c>
      <c r="J237" s="3">
        <f>566.2+(489.9-480.3)+(-0.577524+(-0.499698--0.489906))+0-0-0</f>
        <v>575.21268399999997</v>
      </c>
      <c r="K237" s="3">
        <f>567.2+(520.8-499.9)+(0.289272+(0.265608-0.254949))+0-0-0</f>
        <v>588.39993100000004</v>
      </c>
      <c r="L237" s="3">
        <f>566.7+(578.6-536.1)+(0.289017+(0.295086-0.273411))+0-0-0</f>
        <v>609.51069200000006</v>
      </c>
      <c r="M237" s="3">
        <f>567.5+(619.5-558.4)+(0+(0-0))+0-0-0</f>
        <v>628.6</v>
      </c>
      <c r="N237" s="3">
        <f>568.6+(707.9-590.7)+(0.869958+(1.083087-0.903771))+0-0-0</f>
        <v>686.84927399999992</v>
      </c>
      <c r="O237" s="3">
        <f>568+(770-603.6)+(0.28968+(0.3927-0.307836))+0-0-0</f>
        <v>734.77454399999999</v>
      </c>
      <c r="P237" s="3">
        <f>565+(776.1-591.8)+(-0.5763+(-0.791622--0.603636))+0-0-0</f>
        <v>748.5357140000001</v>
      </c>
      <c r="Q237" s="3">
        <f>554.5+(782.7-592.3)+(-0.848385+(-1.197531--0.906219))+0-0-0</f>
        <v>743.76030300000014</v>
      </c>
      <c r="R237" s="3">
        <f>559.4+(733.2-582.9)+(-0.285294+(-0.373932--0.297279))+0-0-0</f>
        <v>709.33805300000006</v>
      </c>
      <c r="S237" s="3">
        <f>562.1+(699.7-570)+(-0.573342+(-0.713694--0.5814))+0-0-0</f>
        <v>691.09436400000004</v>
      </c>
      <c r="T237" s="3">
        <f>561.2+(703-581.3)+(0+(0-0))+0-0-0</f>
        <v>682.90000000000009</v>
      </c>
      <c r="U237" s="3">
        <f>567.6+(690.9-577.1)+(0.578952+(0.704718-0.588642))+0-0-0</f>
        <v>682.09502799999996</v>
      </c>
      <c r="V237" s="3">
        <f>568.5+(705.7-570.8)+(0.57987+(0.719814-0.582216))+0-0-0</f>
        <v>704.11746800000014</v>
      </c>
      <c r="W237" s="3">
        <f>566.9+(898.8-658.1)+(0.578238+(0.916776-0.671262))+0-0-0</f>
        <v>808.42375199999992</v>
      </c>
      <c r="X237" s="3">
        <f>567.8+(870.6-555.3)+(-1.44789+(-2.22003--1.416015))+0-0-0</f>
        <v>880.84809500000006</v>
      </c>
      <c r="Y237" s="3">
        <f>569.2+(859.3-579.1)+(-0.580584+(-0.876486--0.590682))+0-0-0</f>
        <v>848.53361199999995</v>
      </c>
      <c r="Z237" s="3">
        <f>567.5+(815.2-565.4)+(-1.73655+(-2.494512--1.730124))+0-0-0</f>
        <v>814.79906200000005</v>
      </c>
      <c r="AA237" s="3">
        <f>571.4+(817.7-584.3)+(-0.582828+(-0.834054--0.595986))+0-0-0</f>
        <v>803.97910400000012</v>
      </c>
      <c r="AB237" s="3">
        <f>567.9+(811.6-593.7)+(-0.868887+(-1.241748--0.908361))+0-0-0</f>
        <v>784.59772599999997</v>
      </c>
      <c r="AC237" s="3">
        <f>573.6+(757.6-596.8)+(-0.585072+(-0.772752--0.608736))+0-0-0</f>
        <v>733.65091200000006</v>
      </c>
      <c r="AD237">
        <v>879.5</v>
      </c>
      <c r="AE237" s="3">
        <f>567+(982.7-670.2)+(0+(0-0))+0-0-0</f>
        <v>879.5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576.3+(630.7-576.1)+(0+(0-0))+0-0-0</f>
        <v>630.9</v>
      </c>
      <c r="G238" s="3">
        <f>575.4+(556.8-546.6)+(-0.586908+(-0.567936--0.557532))+0-0-0</f>
        <v>585.00268799999992</v>
      </c>
      <c r="H238" s="3">
        <f>574.1+(511-516.7)+(-0.585582+(-0.52122--0.527034))+0-0-0</f>
        <v>567.82023200000003</v>
      </c>
      <c r="I238" s="3">
        <f>472.6+(566.4-480.3)+(0.482052+(0.577728-0.489906))+0-0-0</f>
        <v>559.26987400000007</v>
      </c>
      <c r="J238" s="3">
        <f>464.6+(571-476)+(0.236946+(0.29121-0.24276))+0-0-0</f>
        <v>559.88539600000001</v>
      </c>
      <c r="K238" s="3">
        <f>465.1+(605.9-498.9)+(0.474402+(0.618018-0.508878))+0-0-0</f>
        <v>572.68354199999999</v>
      </c>
      <c r="L238" s="3">
        <f>500.7+(666.9-571.9)+(0.766071+(1.020357-0.875007))+0-0-0</f>
        <v>596.61142100000006</v>
      </c>
      <c r="M238" s="3">
        <f>569.4+(706.3-569.9)+(0.580788+(0.720426-0.581298))+0-0-0</f>
        <v>706.51991599999997</v>
      </c>
      <c r="N238" s="3">
        <f>566.7+(808.6-630.2)+(0.289017+(0.412386-0.321402))+0-0-0</f>
        <v>745.48000100000002</v>
      </c>
      <c r="O238" s="3">
        <f>530+(810.6-625.5)+(0+(0-0))+0-0-0</f>
        <v>715.1</v>
      </c>
      <c r="P238" s="3">
        <f>538.2+(841.1-629.2)+(-0.274482+(-0.428961--0.320892))+0-0-0</f>
        <v>749.71744899999999</v>
      </c>
      <c r="Q238" s="3">
        <f>523+(854.7-623.8)+(-0.80019+(-1.307691--0.954414))+0-0-0</f>
        <v>752.74653300000011</v>
      </c>
      <c r="R238" s="3">
        <f>536.6+(766.2-594.6)+(0+(0-0))+0-0-0</f>
        <v>708.2</v>
      </c>
      <c r="S238" s="3">
        <f>583.5+(703.4-591.3)+(0.297585+(0.358734-0.301563))+0-0-0</f>
        <v>695.95475599999997</v>
      </c>
      <c r="T238" s="3">
        <f>615.1+(663.8-582.2)+(0.627402+(0.677076-0.593844))+0-0-0</f>
        <v>697.41063399999996</v>
      </c>
      <c r="U238" s="3">
        <f>617.9+(662.6-580.3)+(0.315129+(0.337926-0.295953))+0-0-0</f>
        <v>700.5571020000001</v>
      </c>
      <c r="V238" s="3">
        <f>620.1+(664.4-570.6)+(0.948753+(1.016532-0.873018))+0-0-0</f>
        <v>714.99226699999997</v>
      </c>
      <c r="W238" s="3">
        <f>638.7+(771.8-593.7)+(0+(0-0))+0-0-0</f>
        <v>816.8</v>
      </c>
      <c r="X238" s="3">
        <f>673.2+(780.9-568.6)+(-0.686664+(-0.796518--0.579972))+0-0-0</f>
        <v>884.59679000000006</v>
      </c>
      <c r="Y238" s="3">
        <f>683.8+(729.2-560.4)+(-0.348738+(-0.371892--0.285804))+0-0-0</f>
        <v>852.16517399999998</v>
      </c>
      <c r="Z238" s="3">
        <f>766.3+(636.3-584.1)+(-0.390813+(-0.324513--0.297891))+0-0-0</f>
        <v>818.08256499999993</v>
      </c>
      <c r="AA238" s="3">
        <f>823.2+(566.4-590.4)+(-0.839664+(-0.577728--0.602208))+0-0-0</f>
        <v>798.384816</v>
      </c>
      <c r="AB238" s="3">
        <f>777.7+(556.1-562)+(0+(0-0))+0-0-0</f>
        <v>771.80000000000007</v>
      </c>
      <c r="AC238" s="3">
        <f>720.4+(541.6-552.4)+(0.734808+(0.552432-0.563448))+0-0-0</f>
        <v>710.32379200000003</v>
      </c>
      <c r="AD238">
        <v>863.00000000000011</v>
      </c>
      <c r="AE238" s="3">
        <f>645+(827.4-609.4)+(0+(0-0))+0-0-0</f>
        <v>863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696.8+(462.9-526.3)+(-0.355368+(-0.236079--0.268413))+0-0-0</f>
        <v>633.07696599999997</v>
      </c>
      <c r="G239" s="3">
        <f>643.9+(471.4-525.6)+(-0.328389+(-0.240414--0.268056))+0-0-0</f>
        <v>589.39925299999993</v>
      </c>
      <c r="H239" s="3">
        <f>643.8+(463.7-537.1)+(-1.313352+(-0.945948--1.095684))+0-0-0</f>
        <v>569.23638399999982</v>
      </c>
      <c r="I239" s="3">
        <f>643.6+(430.7-503.3)+(1.64118+(1.098285-1.283415))+0-0-0</f>
        <v>572.45605</v>
      </c>
      <c r="J239" s="3">
        <f>645.4+(442.9-515.3)+(0+(0-0))+0-0-0</f>
        <v>573</v>
      </c>
      <c r="K239" s="3">
        <f>646.7+(450.3-508.7)+(-1.319268+(-0.918612--1.037748))+0-0-0</f>
        <v>587.09986800000001</v>
      </c>
      <c r="L239" s="3">
        <f>647.8+(524.1-569)+(0.660756+(0.534582-0.58038))+0-0-0</f>
        <v>603.51495799999998</v>
      </c>
      <c r="M239" s="3">
        <f>647.8+(550.1-577.2)+(0.991134+(0.841653-0.883116))+0-0-0</f>
        <v>621.6496709999999</v>
      </c>
      <c r="N239" s="3">
        <f>647.1+(600.3-583.9)+(0.660042+(0.612306-0.595578))+0-0-0</f>
        <v>664.17677000000003</v>
      </c>
      <c r="O239" s="3">
        <f>624.1+(637.2-565.4)+(0.954873+(0.974916-0.865062))+0-0-0</f>
        <v>696.96472700000004</v>
      </c>
      <c r="P239" s="3">
        <f>589.9+(720.4-598.6)+(0.300849+(0.367404-0.305286))+0-0-0</f>
        <v>712.06296699999996</v>
      </c>
      <c r="Q239" s="3">
        <f>567.9+(688.7-545.6)+(-1.448145+(-1.756185--1.39128))+0-0-0</f>
        <v>709.18695000000002</v>
      </c>
      <c r="R239" s="3">
        <f>560.5+(656.8-550)+(-1.429275+(-1.67484--1.4025))+0-0-0</f>
        <v>665.59838500000001</v>
      </c>
      <c r="S239" s="3">
        <f>488.9+(710.7-543.3)+(-0.249339+(-0.362457--0.277083))+0-0-0</f>
        <v>655.9652870000001</v>
      </c>
      <c r="T239" s="3">
        <f>547.1+(621.3-516.8)+(0.279021+(0.316863-0.263568))+0-0-0</f>
        <v>651.93231600000001</v>
      </c>
      <c r="U239" s="3">
        <f>611.2+(567.6-516.6)+(0+(0-0))+0-0-0</f>
        <v>662.2</v>
      </c>
      <c r="V239" s="3">
        <f>696.9+(521.9-543.6)+(-0.355419+(-0.266169--0.277236))+0-0-0</f>
        <v>674.85564799999997</v>
      </c>
      <c r="W239" s="3">
        <f>740.9+(678.8-636.8)+(0+(0-0))+0-0-0</f>
        <v>782.9</v>
      </c>
      <c r="X239" s="3">
        <f>741.2+(682.8-575.1)+(-1.134036+(-1.044684--0.879903))+0-0-0</f>
        <v>847.60118299999999</v>
      </c>
      <c r="Y239" s="3">
        <f>751.4+(640-575.6)+(-1.149642+(-0.9792--0.880668))+0-0-0</f>
        <v>814.55182600000001</v>
      </c>
      <c r="Z239" s="3">
        <f>754.1+(612.5-577.4)+(-1.153773+(-0.937125--0.883422))+0-0-0</f>
        <v>787.992524</v>
      </c>
      <c r="AA239" s="3">
        <f>758.7+(608.2-586.2)+(-0.773874+(-0.620364--0.597924))+0-0-0</f>
        <v>779.90368599999999</v>
      </c>
      <c r="AB239" s="3">
        <f>758.2+(619.4-619)+(-1.160046+(-0.947682--0.94707))+0-0-0</f>
        <v>757.43934200000001</v>
      </c>
      <c r="AC239" s="3">
        <f>712.7+(549.6-559.9)+(-0.363477+(-0.280296--0.285549))+0-0-0</f>
        <v>702.04177600000014</v>
      </c>
      <c r="AD239">
        <v>832.9</v>
      </c>
      <c r="AE239" s="3">
        <f>734+(781.8-682.9)+(0+(0-0))+0-0-0</f>
        <v>832.9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655.4+(529.1-556.8)+(0.334254+(0.269841-0.283968))+0-0-0</f>
        <v>628.020127</v>
      </c>
      <c r="G240" s="3">
        <f>632.8+(479.5-531.8)+(0.322728+(0.244545-0.271218))+0-0-0</f>
        <v>580.79605500000002</v>
      </c>
      <c r="H240" s="3">
        <f>634.1+(470.7-544)+(0+(0-0))+0-0-0</f>
        <v>560.79999999999995</v>
      </c>
      <c r="I240" s="3">
        <f>633.7+(437-520.7)+(0+(0-0))+0-0-0</f>
        <v>550</v>
      </c>
      <c r="J240" s="3">
        <f>632.7+(417.4-505.2)+(0.322677+(0.212874-0.257652))+0-0-0</f>
        <v>545.17789900000014</v>
      </c>
      <c r="K240" s="3">
        <f>633.3+(418.3-498.7)+(0.645966+(0.426666-0.508674))+0-0-0</f>
        <v>553.46395799999993</v>
      </c>
      <c r="L240" s="3">
        <f>632+(468.6-546.6)+(-0.64464+(-0.477972--0.557532))+0-0-0</f>
        <v>553.43492000000003</v>
      </c>
      <c r="M240" s="3">
        <f>647.6+(445.4-550.5)+(-0.330276+(-0.227154--0.280755))+0-0-0</f>
        <v>542.22332500000005</v>
      </c>
      <c r="N240" s="3">
        <f>698.6+(444.8-554.2)+(0+(0-0))+0-0-0</f>
        <v>589.20000000000005</v>
      </c>
      <c r="O240" s="3">
        <f>753.5+(418.2-536.6)+(0.384285+(0.213282-0.273666))+0-0-0</f>
        <v>635.42390099999989</v>
      </c>
      <c r="P240" s="3">
        <f>758.3+(420.6-522)+(1.160199+(0.643518-0.79866))+0-0-0</f>
        <v>657.90505699999994</v>
      </c>
      <c r="Q240" s="3">
        <f>777.2+(452.6-569.7)+(0.792744+(0.461652-0.581094))+0-0-0</f>
        <v>660.77330200000006</v>
      </c>
      <c r="R240" s="3">
        <f>800.5+(421.8-576.1)+(-2.44953+(-1.290708--1.762866))+0-0-0</f>
        <v>644.2226280000001</v>
      </c>
      <c r="S240" s="3">
        <f>808.2+(401.2-589)+(-1.648728+(-0.818448--1.20156))+0-0-0</f>
        <v>619.13438400000007</v>
      </c>
      <c r="T240" s="3">
        <f>759.5+(414.2-561.7)+(0+(0-0))+0-0-0</f>
        <v>612</v>
      </c>
      <c r="U240" s="3">
        <f>737.2+(420.2-528.3)+(0.375972+(0.214302-0.269433))+0-0-0</f>
        <v>629.42084100000011</v>
      </c>
      <c r="V240" s="3">
        <f>664.7+(549.6-560.9)+(-0.338997+(-0.280296--0.286059))+0-0-0</f>
        <v>653.06676600000014</v>
      </c>
      <c r="W240" s="3">
        <f>642.5+(697.5-582.8)+(0+(0-0))+0-0-0</f>
        <v>757.2</v>
      </c>
      <c r="X240" s="3">
        <f>736.8+(645.5-572.1)+(-1.127304+(-0.987615--0.875313))+0-0-0</f>
        <v>808.96039399999995</v>
      </c>
      <c r="Y240" s="3">
        <f>773+(555-547.2)+(0+(0-0))+0-0-0</f>
        <v>780.8</v>
      </c>
      <c r="Z240" s="3">
        <f>768.7+(571.9-581)+(-0.784074+(-0.583338--0.59262))+0-0-0</f>
        <v>758.82520799999998</v>
      </c>
      <c r="AA240" s="3">
        <f>770.4+(545.5-563.5)+(-0.785808+(-0.55641--0.57477))+0-0-0</f>
        <v>751.63255200000003</v>
      </c>
      <c r="AB240" s="3">
        <f>768.6+(531.3-572.4)+(-1.175958+(-0.812889--0.875772))+0-0-0</f>
        <v>726.38692500000002</v>
      </c>
      <c r="AC240" s="3">
        <f>770.7+(470.1-551.3)+(-1.179171+(-0.719253--0.843489))+0-0-0</f>
        <v>688.44506500000011</v>
      </c>
      <c r="AD240">
        <v>808.8</v>
      </c>
      <c r="AE240" s="3">
        <f>681+(720.6-592.8)+(0+(0-0))+0-0-0</f>
        <v>808.80000000000007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698.3+(458.1-560.5)+(-1.068399+(-0.700893--0.857565))+0-0-0</f>
        <v>594.98827299999994</v>
      </c>
      <c r="G241" s="3">
        <f>526.2+(545.5-528.7)+(-0.536724+(-0.55641--0.539274))+0-0-0</f>
        <v>542.44614000000001</v>
      </c>
      <c r="H241" s="3">
        <f>432.7+(640.8-525.4)+(0.441354+(0.653616-0.535908))+0-0-0</f>
        <v>548.65906199999995</v>
      </c>
      <c r="I241" s="3">
        <f>421.6+(646.7-523.5)+(0+(0-0))+0-0-0</f>
        <v>544.80000000000007</v>
      </c>
      <c r="J241" s="3">
        <f>422.9+(637.7-524.1)+(-0.431358+(-0.650454--0.534582))+0-0-0</f>
        <v>535.95276999999999</v>
      </c>
      <c r="K241" s="3">
        <f>477.5+(608.6-542.7)+(-0.48705+(-0.620772--0.553554))+0-0-0</f>
        <v>542.845732</v>
      </c>
      <c r="L241" s="3">
        <f>570.4+(560.5-565.9)+(-0.290904+(-0.285855--0.288609))+0-0-0</f>
        <v>564.71185000000003</v>
      </c>
      <c r="M241" s="3">
        <f>624.1+(385.1-429.6)+(0+(0-0))+0-0-0</f>
        <v>579.6</v>
      </c>
      <c r="N241" s="3">
        <f>788.2+(182.3-313.5)+(0+(0-0))+0-0-0</f>
        <v>657</v>
      </c>
      <c r="O241" s="3">
        <f>783.7+(498.7-589.9)+(1.199061+(0.763011-0.902547))+0-0-0</f>
        <v>693.55952500000001</v>
      </c>
      <c r="P241" s="3">
        <f>777.3+(538.3-609)+(-1.189269+(-0.823599--0.93177))+0-0-0</f>
        <v>705.51890199999991</v>
      </c>
      <c r="Q241" s="3">
        <f>784.5+(522-594.4)+(-0.400095+(-0.26622--0.303144))+0-0-0</f>
        <v>711.73682900000006</v>
      </c>
      <c r="R241" s="3">
        <f>787.3+(487.8-596.7)+(-1.204569+(-0.746334--0.912951))+0-0-0</f>
        <v>677.36204799999985</v>
      </c>
      <c r="S241" s="3">
        <f>783.9+(468.2-584.1)+(-1.199367+(-0.716346--0.893673))+0-0-0</f>
        <v>666.97796000000005</v>
      </c>
      <c r="T241" s="3">
        <f>780.3+(463.2-574)+(0+(0-0))+0-0-0</f>
        <v>669.5</v>
      </c>
      <c r="U241" s="3">
        <f>776.6+(443.7-552.8)+(-0.396066+(-0.226287--0.281928))+0-0-0</f>
        <v>667.15957500000002</v>
      </c>
      <c r="V241" s="3">
        <f>781.4+(473.5-581.7)+(-0.398514+(-0.241485--0.296667))+0-0-0</f>
        <v>672.8566679999999</v>
      </c>
      <c r="W241" s="3">
        <f>787.5+(620.5-611.4)+(0+(0-0))+0-0-0</f>
        <v>796.6</v>
      </c>
      <c r="X241" s="3">
        <f>793.1+(643.5-603.5)+(-1.213443+(-0.984555--0.923355))+0-0-0</f>
        <v>831.82535700000005</v>
      </c>
      <c r="Y241" s="3">
        <f>789.5+(626.3-602.2)+(-2.013225+(-1.597065--1.53561))+0-0-0</f>
        <v>811.52531999999997</v>
      </c>
      <c r="Z241" s="3">
        <f>790.2+(587.5-586.7)+(-1.612008+(-1.1985--1.196868))+0-0-0</f>
        <v>789.38635999999997</v>
      </c>
      <c r="AA241" s="3">
        <f>760.9+(567.9-562.5)+(-0.776118+(-0.579258--0.57375))+0-0-0</f>
        <v>765.51837399999999</v>
      </c>
      <c r="AB241" s="3">
        <f>734.8+(589.7-571.7)+(-1.87374+(-1.503735--1.457835))+0-0-0</f>
        <v>750.88036</v>
      </c>
      <c r="AC241" s="3">
        <f>714.5+(524.4-544.7)+(-0.364395+(-0.267444--0.277797))+0-0-0</f>
        <v>693.84595799999988</v>
      </c>
      <c r="AD241">
        <v>827.2</v>
      </c>
      <c r="AE241" s="3">
        <f>783+(658.4-614.2)+(0+(0-0))+0-0-0</f>
        <v>827.19999999999993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703.6+(465-539.1)+(-1.435344+(-0.9486--1.099764))+0-0-0</f>
        <v>628.21582000000001</v>
      </c>
      <c r="G242" s="3">
        <f>707.2+(418.4-534)+(-1.442688+(-0.853536--1.08936))+0-0-0</f>
        <v>590.39313600000003</v>
      </c>
      <c r="H242" s="3">
        <f>710.8+(371.1-509.3)+(0+(0-0))+0-0-0</f>
        <v>572.59999999999991</v>
      </c>
      <c r="I242" s="3">
        <f>579.6+(446.3-461)+(-0.886788+(-0.682839--0.70533))+0-0-0</f>
        <v>564.03570300000013</v>
      </c>
      <c r="J242" s="3">
        <f>512.6+(498.4-456)+(0.261426+(0.254184-0.23256))+0-0-0</f>
        <v>555.28305</v>
      </c>
      <c r="K242" s="3">
        <f>504.2+(545.3-482.8)+(-0.257142+(-0.278103--0.246228))+0-0-0</f>
        <v>566.41098299999999</v>
      </c>
      <c r="L242" s="3">
        <f>545.2+(575.5-547.3)+(-1.39026+(-1.467525--1.395615))+0-0-0</f>
        <v>571.93783000000008</v>
      </c>
      <c r="M242" s="3">
        <f>702.6+(440.1-570.1)+(0.358326+(0.224451-0.290751))+0-0-0</f>
        <v>572.89202599999999</v>
      </c>
      <c r="N242" s="3">
        <f>815.7+(401.4-587.6)+(0.416007+(0.204714-0.299676))+0-0-0</f>
        <v>629.82104500000003</v>
      </c>
      <c r="O242" s="3">
        <f>889.9+(374.4-579.1)+(-0.907698+(-0.381888--0.590682))+0-0-0</f>
        <v>684.50109599999996</v>
      </c>
      <c r="P242" s="3">
        <f>910.5+(356.7-563.8)+(0.464355+(0.181917-0.287538))+0-0-0</f>
        <v>703.75873400000012</v>
      </c>
      <c r="Q242" s="3">
        <f>907.2+(372.4-575.6)+(-1.850688+(-0.759696--1.174224))+0-0-0</f>
        <v>702.56384000000003</v>
      </c>
      <c r="R242" s="3">
        <f>934.6+(353-596.9)+(-3.813168+(-1.44024--2.435352))+0-0-0</f>
        <v>687.88194400000009</v>
      </c>
      <c r="S242" s="3">
        <f>1027.8+(237-587.4)+(-0.524178+(-0.12087--0.299574))+0-0-0</f>
        <v>677.05452600000001</v>
      </c>
      <c r="T242" s="3">
        <f>998+(248.6-577.5)+(0+(0-0))+0-0-0</f>
        <v>669.1</v>
      </c>
      <c r="U242" s="3">
        <f>1089.6+(188.4-595.9)+(-2.222784+(-0.384336--1.215636))+0-0-0</f>
        <v>680.70851599999992</v>
      </c>
      <c r="V242" s="3">
        <f>1102.1+(175.7-601.7)+(0.562071+(0.089607-0.306867))+0-0-0</f>
        <v>676.44481099999996</v>
      </c>
      <c r="W242" s="3">
        <f>1100.1+(409.2-682.2)+(0+(0-0))+0-0-0</f>
        <v>827.09999999999991</v>
      </c>
      <c r="X242" s="3">
        <f>1095+(398.2-630.9)+(-2.79225+(-1.01541--1.608795))+0-0-0</f>
        <v>860.101135</v>
      </c>
      <c r="Y242" s="3">
        <f>1101.6+(311.4-574.7)+(0+(0-0))+0-0-0</f>
        <v>838.29999999999984</v>
      </c>
      <c r="Z242" s="3">
        <f>1100.8+(317.4-603.2)+(-2.245632+(-0.647496--1.230528))+0-0-0</f>
        <v>813.33739999999989</v>
      </c>
      <c r="AA242" s="3">
        <f>1109.7+(291.1-608.1)+(-0.565947+(-0.148461--0.310131))+0-0-0</f>
        <v>792.29572300000007</v>
      </c>
      <c r="AB242" s="3">
        <f>1111.4+(274.2-608.9)+(-1.700442+(-0.419526--0.931617))+0-0-0</f>
        <v>775.51164900000003</v>
      </c>
      <c r="AC242" s="3">
        <f>1105.2+(230.8-598.5)+(-4.509216+(-0.941664--2.44188))+0-0-0</f>
        <v>734.49099999999999</v>
      </c>
      <c r="AD242">
        <v>855.30000000000007</v>
      </c>
      <c r="AE242" s="3">
        <f>1089+(503.2-736.9)+(0+(0-0))+0-0-0</f>
        <v>855.3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1102.1+(173.3-612.5)+(-2.810355+(-0.441915--1.561875))+0-0-0</f>
        <v>661.2096049999999</v>
      </c>
      <c r="G243" s="3">
        <f>1004.6+(182.5-582)+(0.512346+(0.093075-0.29682))+0-0-0</f>
        <v>605.40860099999998</v>
      </c>
      <c r="H243" s="3">
        <f>960.9+(207.8-590.3)+(-1.960236+(-0.423912--1.204212))+0-0-0</f>
        <v>577.22006400000009</v>
      </c>
      <c r="I243" s="3">
        <f>969.3+(208.2-612.2)+(0+(0-0))+0-0-0</f>
        <v>565.29999999999995</v>
      </c>
      <c r="J243" s="3">
        <f>931.2+(259.8-622.3)+(-0.949824+(-0.264996--0.634746))+0-0-0</f>
        <v>568.11992600000008</v>
      </c>
      <c r="K243" s="3">
        <f>898.4+(303.7-632.7)+(0.916368+(0.309774-0.645354))+0-0-0</f>
        <v>569.98078799999985</v>
      </c>
      <c r="L243" s="3">
        <f>871.2+(352.9-645.1)+(-0.888624+(-0.359958--0.658002))+0-0-0</f>
        <v>578.40941999999995</v>
      </c>
      <c r="M243" s="3">
        <f>846.5+(358.1-631.6)+(-0.86343+(-0.365262--0.644232))+0-0-0</f>
        <v>572.41553999999996</v>
      </c>
      <c r="N243" s="3">
        <f>891.3+(288.5-594)+(-0.454563+(-0.147135--0.30294))+0-0-0</f>
        <v>585.50124199999993</v>
      </c>
      <c r="O243" s="3">
        <f>962.1+(272.8-600)+(-0.981342+(-0.278256--0.612))+0-0-0</f>
        <v>634.25240200000007</v>
      </c>
      <c r="P243" s="3">
        <f>967.4+(285.3-593.9)+(-1.480122+(-0.436509--0.908667))+0-0-0</f>
        <v>657.79203599999994</v>
      </c>
      <c r="Q243" s="3">
        <f>980.6+(252.9-579.2)+(-1.000212+(-0.257958--0.590784))+0-0-0</f>
        <v>653.63261399999999</v>
      </c>
      <c r="R243" s="3">
        <f>1015+(201-572.3)+(-1.55295+(-0.30753--0.875619))+0-0-0</f>
        <v>642.71513900000002</v>
      </c>
      <c r="S243" s="3">
        <f>1007.8+(203.8-578.1)+(-1.541934+(-0.311814--0.884493))+0-0-0</f>
        <v>632.53074500000002</v>
      </c>
      <c r="T243" s="3">
        <f>939+(254.2-573.5)+(-1.91556+(-0.518568--1.16994))+0-0-0</f>
        <v>618.43581200000006</v>
      </c>
      <c r="U243" s="3">
        <f>938.2+(270.5-592.8)+(0+(0-0))+0-0-0</f>
        <v>615.90000000000009</v>
      </c>
      <c r="V243" s="3">
        <f>1003.3+(233.1-608)+(0+(0-0))+0-0-0</f>
        <v>628.4</v>
      </c>
      <c r="W243" s="3">
        <f>1090.1+(286.3-632.9)+(0.555951+(0.146013-0.322779))+0-0-0</f>
        <v>743.87918500000001</v>
      </c>
      <c r="X243" s="3">
        <f>1114.3+(329.7-632.8)+(0+(0-0))+0-0-0</f>
        <v>811.2</v>
      </c>
      <c r="Y243" s="3">
        <f>1118.1+(301.7-619.2)+(0.570231+(0.153867-0.315792))+0-0-0</f>
        <v>801.00830599999995</v>
      </c>
      <c r="Z243" s="3">
        <f>1115.9+(292.5-621.3)+(-1.138218+(-0.29835--0.633726))+0-0-0</f>
        <v>786.29715800000008</v>
      </c>
      <c r="AA243" s="3">
        <f>1086.1+(279.7-589)+(-1.107822+(-0.285294--0.60078))+0-0-0</f>
        <v>776.00766399999998</v>
      </c>
      <c r="AB243" s="3">
        <f>1082.2+(261.4-588.3)+(-2.207688+(-0.533256--1.200132))+0-0-0</f>
        <v>753.75918800000011</v>
      </c>
      <c r="AC243" s="3">
        <f>1082+(205.1-587)+(-2.20728+(-0.418404--1.19748))+0-0-0</f>
        <v>698.67179599999997</v>
      </c>
      <c r="AD243">
        <v>809.7</v>
      </c>
      <c r="AE243" s="3">
        <f>1108+(323.5-621.8)+(0+(0-0))+0-0-0</f>
        <v>809.7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1116.5+(140.8-614.2)+(0+(0-0))+0-0-0</f>
        <v>643.09999999999991</v>
      </c>
      <c r="G244" s="3">
        <f>1062.9+(139-597.9)+(-2.710395+(-0.35445--1.524645))+0-0-0</f>
        <v>602.45980000000009</v>
      </c>
      <c r="H244" s="3">
        <f>945.4+(198.5-568.5)+(1.446462+(0.303705-0.869805))+0-0-0</f>
        <v>576.28036199999997</v>
      </c>
      <c r="I244" s="3">
        <f>922.5+(226.3-586.4)+(-0.94095+(-0.230826--0.598128))+0-0-0</f>
        <v>561.82635200000004</v>
      </c>
      <c r="J244" s="3">
        <f>931.8+(217.7-590.7)+(2.37609+(0.555135-1.506285))+0-0-0</f>
        <v>560.22493999999995</v>
      </c>
      <c r="K244" s="3">
        <f>923.8+(231.9-593.7)+(0.471138+(0.118269-0.302787))+0-0-0</f>
        <v>562.28661999999986</v>
      </c>
      <c r="L244" s="3">
        <f>977.2+(233.3-628.9)+(-1.495116+(-0.356949--0.962217))+0-0-0</f>
        <v>580.71015200000011</v>
      </c>
      <c r="M244" s="3">
        <f>1017.7+(212.8-604.7)+(0.519027+(0.108528-0.308397))+0-0-0</f>
        <v>626.11915799999997</v>
      </c>
      <c r="N244" s="3">
        <f>1100.5+(37.4-468.8)+(0.561255+(0.019074-0.239088))+0-0-0</f>
        <v>669.44124099999988</v>
      </c>
      <c r="O244" s="3">
        <f>1117.5+(36.1-435.8)+(-2.2797+(-0.073644--0.889032))+0-0-0</f>
        <v>716.335688</v>
      </c>
      <c r="P244" s="3">
        <f>1109.8+(99.8-472)+(-0.565998+(-0.050898--0.24072))+0-0-0</f>
        <v>737.22382399999992</v>
      </c>
      <c r="Q244" s="3">
        <f>1109.5+(141.5-508.9)+(0.565845+(0.072165-0.259539))+0-0-0</f>
        <v>742.47847100000001</v>
      </c>
      <c r="R244" s="3">
        <f>1102.4+(108.3-472.9)+(-1.686672+(-0.165699--0.723537))+0-0-0</f>
        <v>736.6711660000002</v>
      </c>
      <c r="S244" s="3">
        <f>1103.4+(77.9-448.2)+(-1.688202+(-0.119187--0.685746))+0-0-0</f>
        <v>731.97835700000019</v>
      </c>
      <c r="T244" s="3">
        <f>1108.3+(70.2-457.9)+(-0.565233+(-0.035802--0.233529))+0-0-0</f>
        <v>720.23249399999986</v>
      </c>
      <c r="U244" s="3">
        <f>1105.7+(86.3-464)+(-1.691721+(-0.132039--0.70992))+0-0-0</f>
        <v>726.88616000000002</v>
      </c>
      <c r="V244" s="3">
        <f>1181.2+(58.6-487.8)+(-0.602412+(-0.029886--0.248778))+0-0-0</f>
        <v>751.61648000000002</v>
      </c>
      <c r="W244" s="3">
        <f>1223.5+(360.2-719.4)+(0.623985+(0.183702-0.366894))+0-0-0</f>
        <v>864.74079299999994</v>
      </c>
      <c r="X244" s="3">
        <f>1213.5+(410.6-727.3)+(-2.47554+(-0.837624--1.483692))+0-0-0</f>
        <v>894.97052800000006</v>
      </c>
      <c r="Y244" s="3">
        <f>1217.8+(317.9-669.3)+(0+(0-0))+0-0-0</f>
        <v>866.4</v>
      </c>
      <c r="Z244" s="3">
        <f>1220+(243.9-624.5)+(-0.6222+(-0.124389--0.318495))+0-0-0</f>
        <v>838.97190599999999</v>
      </c>
      <c r="AA244" s="3">
        <f>1214.7+(188.2-582.4)+(-3.716982+(-0.575892--1.782144))+0-0-0</f>
        <v>817.98927000000003</v>
      </c>
      <c r="AB244" s="3">
        <f>1154.9+(181.4-536.4)+(-1.177998+(-0.185028--0.547128))+0-0-0</f>
        <v>799.08410200000014</v>
      </c>
      <c r="AC244" s="3">
        <f>1143.2+(26.3-444.9)+(-4.081224+(-0.093891--1.588293))+0-0-0</f>
        <v>722.01317800000015</v>
      </c>
      <c r="AD244">
        <v>869.59999999999991</v>
      </c>
      <c r="AE244" s="3">
        <f>1221+(514.3-865.7)+(0+(0-0))+0-0-0</f>
        <v>869.59999999999991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1097.3+(28.1-471.1)+(-1.678869+(-0.042993--0.720783))+0-0-0</f>
        <v>653.29892099999995</v>
      </c>
      <c r="G245" s="3">
        <f>1095.4+(115.9-601.8)+(-1.117308+(-0.118218--0.613836))+0-0-0</f>
        <v>608.87831000000017</v>
      </c>
      <c r="H245" s="3">
        <f>1039.6+(122.1-580.3)+(0+(0-0))+0-0-0</f>
        <v>581.4</v>
      </c>
      <c r="I245" s="3">
        <f>902+(56.4-377.8)+(0+(0-0))+0-0-0</f>
        <v>580.59999999999991</v>
      </c>
      <c r="J245" s="3">
        <f>917.6+(177.9-537.2)+(0.935952+(0.181458-0.547944))+0-0-0</f>
        <v>558.86946599999999</v>
      </c>
      <c r="K245" s="3">
        <f>1001.7+(50.3-480.4)+(1.021734+(0.051306-0.490008))+0-0-0</f>
        <v>572.18303200000014</v>
      </c>
      <c r="L245" s="3">
        <f>1071.9+(57.9-562.8)+(1.640007+(0.088587-0.861084))+0-0-0</f>
        <v>567.86751000000015</v>
      </c>
      <c r="M245" s="3">
        <f>1122.1+(128.2-654.5)+(1.716813+(0.196146-1.001385))+0-0-0</f>
        <v>596.71157399999993</v>
      </c>
      <c r="N245" s="3">
        <f>1120.6+(39.6-508.8)+(-0.571506+(-0.020196--0.259488))+0-0-0</f>
        <v>651.06778599999984</v>
      </c>
      <c r="O245" s="3">
        <f>1118.5+(31.9-440.9)+(-0.570435+(-0.016269--0.224859))+0-0-0</f>
        <v>709.13815499999998</v>
      </c>
      <c r="P245" s="3">
        <f>1120.3+(55.5-448.7)+(-0.571353+(-0.028305--0.228837))+0-0-0</f>
        <v>726.72917899999993</v>
      </c>
      <c r="Q245" s="3">
        <f>1121.6+(70-471.8)+(-1.716048+(-0.1071--0.721854))+0-0-0</f>
        <v>718.6987059999999</v>
      </c>
      <c r="R245" s="3">
        <f>1116.7+(57.7-503.1)+(-1.708551+(-0.088281--0.769743))+0-0-0</f>
        <v>670.27291099999991</v>
      </c>
      <c r="S245" s="3">
        <f>1108.3+(33.8-481.2)+(-2.260932+(-0.068952--0.981648))+0-0-0</f>
        <v>659.55176399999993</v>
      </c>
      <c r="T245" s="3">
        <f>1117.2+(37.1-492.9)+(-0.569772+(-0.018921--0.251379))+0-0-0</f>
        <v>661.0626860000001</v>
      </c>
      <c r="U245" s="3">
        <f>1110.6+(41.8-473.3)+(1.699218+(0.063954-0.724149))+0-0-0</f>
        <v>680.13902299999995</v>
      </c>
      <c r="V245" s="3">
        <f>1117.1+(69-485.8)+(-2.848605+(-0.17595--1.23879))+0-0-0</f>
        <v>698.51423499999999</v>
      </c>
      <c r="W245" s="3">
        <f>1120.5+(156.4-491.2)+(0.571455+(0.079764-0.250512))+0-0-0</f>
        <v>786.10070700000006</v>
      </c>
      <c r="X245" s="3">
        <f>1098.8+(366.5-626.1)+(-3.362328+(-1.12149--1.915866))+0-0-0</f>
        <v>836.63204799999994</v>
      </c>
      <c r="Y245" s="3">
        <f>1060.8+(449.2-689.8)+(-1.082016+(-0.458184--0.703596))+0-0-0</f>
        <v>819.36339600000008</v>
      </c>
      <c r="Z245" s="3">
        <f>1057.7+(422.6-682.6)+(-2.157708+(-0.862104--1.392504))+0-0-0</f>
        <v>796.07269200000007</v>
      </c>
      <c r="AA245" s="3">
        <f>1058.7+(410.4-675.6)+(-2.699685+(-1.04652--1.72278))+0-0-0</f>
        <v>791.47657500000003</v>
      </c>
      <c r="AB245" s="3">
        <f>1060.5+(377.3-672.5)+(-1.622565+(-0.577269--1.028925))+0-0-0</f>
        <v>764.1290909999999</v>
      </c>
      <c r="AC245" s="3">
        <f>1009.6+(342.1-650.7)+(-1.029792+(-0.348942--0.663714))+0-0-0</f>
        <v>700.28498000000002</v>
      </c>
      <c r="AD245">
        <v>861</v>
      </c>
      <c r="AE245" s="3">
        <f>1118+(217.5-474.5)+(0+(0-0))+0-0-0</f>
        <v>861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829.9+(392.2-568.5)+(0.846498+(0.400044-0.57987))+0-0-0</f>
        <v>654.26667199999986</v>
      </c>
      <c r="G246" s="3">
        <f>738.9+(430.5-569.8)+(-0.753678+(-0.43911--0.581196))+0-0-0</f>
        <v>598.98840800000005</v>
      </c>
      <c r="H246" s="3">
        <f>716.7+(428.9-568.1)+(0.365517+(0.218739-0.289731))+0-0-0</f>
        <v>577.79452500000002</v>
      </c>
      <c r="I246" s="3">
        <f>678.3+(449.5-553.6)+(0.345933+(0.229245-0.282336))+0-0-0</f>
        <v>574.49284199999988</v>
      </c>
      <c r="J246" s="3">
        <f>640.3+(465.2-527.8)+(-0.653106+(-0.474504--0.538356))+0-0-0</f>
        <v>577.11074600000006</v>
      </c>
      <c r="K246" s="3">
        <f>559.5+(551.8-534.1)+(0.57069+(0.562836-0.544782))+0-0-0</f>
        <v>577.78874399999995</v>
      </c>
      <c r="L246" s="3">
        <f>555.4+(601.9-569.1)+(-0.566508+(-0.613938--0.580482))+0-0-0</f>
        <v>587.60003599999993</v>
      </c>
      <c r="M246" s="3">
        <f>562.5+(603.9-559.7)+(-0.286875+(-0.307989--0.285447))+0-0-0</f>
        <v>606.39058299999988</v>
      </c>
      <c r="N246" s="3">
        <f>711.7+(185.9-252.7)+(0+(0-0))+0-0-0</f>
        <v>644.90000000000009</v>
      </c>
      <c r="O246" s="3">
        <f>772.4+(220.6-296.6)+(0.393924+(0.112506-0.151266))+0-0-0</f>
        <v>696.75516399999992</v>
      </c>
      <c r="P246" s="3">
        <f>770.2+(218.2-267.5)+(-0.785604+(-0.222564--0.27285))+0-0-0</f>
        <v>720.16468200000008</v>
      </c>
      <c r="Q246" s="3">
        <f>760+(217.6-263.9)+(-1.938+(-0.55488--0.672945))+0-0-0</f>
        <v>711.88006500000006</v>
      </c>
      <c r="R246" s="3">
        <f>779.2+(145.5-243.1)+(-1.192176+(-0.222615--0.371943))+0-0-0</f>
        <v>680.55715199999997</v>
      </c>
      <c r="S246" s="3">
        <f>814.6+(112.1-256.1)+(-0.830892+(-0.114342--0.261222))+0-0-0</f>
        <v>669.91598799999997</v>
      </c>
      <c r="T246" s="3">
        <f>821.2+(237.8-384.3)+(1.256436+(0.363834-0.587979))+0-0-0</f>
        <v>675.73229100000003</v>
      </c>
      <c r="U246" s="3">
        <f>827.4+(427.4-586.1)+(0.421974+(0.217974-0.298911))+0-0-0</f>
        <v>669.04103699999996</v>
      </c>
      <c r="V246" s="3">
        <f>825.4+(463.7-592.3)+(0+(0-0))+0-0-0</f>
        <v>696.8</v>
      </c>
      <c r="W246" s="3">
        <f>841.9+(547.1-592.8)+(0+(0-0))+0-0-0</f>
        <v>796.2</v>
      </c>
      <c r="X246" s="3">
        <f>991.2+(459.3-598.8)+(-1.516536+(-0.702729--0.916164))+0-0-0</f>
        <v>850.39689900000008</v>
      </c>
      <c r="Y246" s="3">
        <f>1130.1+(297.5-588.7)+(-2.881755+(-0.758625--1.501185))+0-0-0</f>
        <v>836.76080499999989</v>
      </c>
      <c r="Z246" s="3">
        <f>1145.8+(266.2-592.7)+(0+(0-0))+0-0-0</f>
        <v>819.3</v>
      </c>
      <c r="AA246" s="3">
        <f>1147.3+(261.5-601.6)+(-2.925615+(-0.666825--1.53408))+0-0-0</f>
        <v>805.14163999999994</v>
      </c>
      <c r="AB246" s="3">
        <f>1156.5+(242.1-620.3)+(-2.35926+(-0.493884--1.265412))+0-0-0</f>
        <v>776.71226800000011</v>
      </c>
      <c r="AC246" s="3">
        <f>1153.1+(211.2-647.4)+(-2.352324+(-0.430848--1.320696))+0-0-0</f>
        <v>715.43752399999983</v>
      </c>
      <c r="AD246">
        <v>837.09999999999991</v>
      </c>
      <c r="AE246" s="3">
        <f>844+(594.8-601.7)+(0+(0-0))+0-0-0</f>
        <v>837.09999999999991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1063.7+(238.8-656.7)+(-1.627461+(-0.365364--1.004751))+0-0-0</f>
        <v>644.81192599999997</v>
      </c>
      <c r="G247" s="3">
        <f>1021.7+(190.9-611.8)+(0+(0-0))+0-0-0</f>
        <v>600.80000000000007</v>
      </c>
      <c r="H247" s="3">
        <f>929.7+(256.2-609.6)+(0+(0-0))+0-0-0</f>
        <v>576.29999999999995</v>
      </c>
      <c r="I247" s="3">
        <f>913.8+(252.6-602.1)+(0+(0-0))+0-0-0</f>
        <v>564.29999999999995</v>
      </c>
      <c r="J247" s="3">
        <f>914.3+(260-614.8)+(1.865172+(0.5304-1.254192))+0-0-0</f>
        <v>560.64138000000003</v>
      </c>
      <c r="K247" s="3">
        <f>914.6+(278.8-621.1)+(1.865784+(0.568752-1.267044))+0-0-0</f>
        <v>573.46749199999999</v>
      </c>
      <c r="L247" s="3">
        <f>921.5+(320.5-645.9)+(0.93993+(0.32691-0.658818))+0-0-0</f>
        <v>596.70802200000003</v>
      </c>
      <c r="M247" s="3">
        <f>1055.5+(243.3-681.5)+(0+(0-0))+0-0-0</f>
        <v>617.29999999999995</v>
      </c>
      <c r="N247" s="3">
        <f>1137.8+(218.7-690.6)+(0.580278+(0.111537-0.352206))+0-0-0</f>
        <v>666.23960899999986</v>
      </c>
      <c r="O247" s="3">
        <f>1164+(239-700.5)+(1.18728+(0.24378-0.71451))+0-0-0</f>
        <v>703.21654999999998</v>
      </c>
      <c r="P247" s="3">
        <f>1161.1+(294.2-737.5)+(-0.592161+(-0.150042--0.376125))+0-0-0</f>
        <v>717.43392199999994</v>
      </c>
      <c r="Q247" s="3">
        <f>1161.1+(305.5-743.2)+(-3.552966+(-0.93483--2.274192))+0-0-0</f>
        <v>721.18639599999983</v>
      </c>
      <c r="R247" s="3">
        <f>1160.2+(263-732.1)+(-2.366808+(-0.53652--1.493484))+0-0-0</f>
        <v>689.690156</v>
      </c>
      <c r="S247" s="3">
        <f>1160.3+(251.3-731.5)+(-0.591753+(-0.128163--0.373065))+0-0-0</f>
        <v>679.75314899999989</v>
      </c>
      <c r="T247" s="3">
        <f>1159.9+(240.3-732)+(0+(0-0))+0-0-0</f>
        <v>668.2</v>
      </c>
      <c r="U247" s="3">
        <f>1159.1+(268.4-748.7)+(0.591141+(0.136884-0.381837))+0-0-0</f>
        <v>679.14618799999982</v>
      </c>
      <c r="V247" s="3">
        <f>1162.6+(253.1-710.8)+(0.592926+(0.129081-0.362508))+0-0-0</f>
        <v>705.25949900000001</v>
      </c>
      <c r="W247" s="3">
        <f>1167.3+(368.5-714)+(-0.595323+(-0.187935--0.36414))+0-0-0</f>
        <v>821.38088199999993</v>
      </c>
      <c r="X247" s="3">
        <f>1169.6+(323.9-621)+(0+(0-0))+0-0-0</f>
        <v>872.49999999999989</v>
      </c>
      <c r="Y247" s="3">
        <f>1170+(286.1-594.9)+(-2.3868+(-0.583644--1.213596))+0-0-0</f>
        <v>859.44315200000005</v>
      </c>
      <c r="Z247" s="3">
        <f>1173.1+(280.1-613.5)+(-0.598281+(-0.142851--0.312885))+0-0-0</f>
        <v>839.27175299999988</v>
      </c>
      <c r="AA247" s="3">
        <f>1173.2+(268.5-623.6)+(-2.393328+(-0.54774--1.272144))+0-0-0</f>
        <v>816.43107600000008</v>
      </c>
      <c r="AB247" s="3">
        <f>1128+(251.8-591.1)+(-1.72584+(-0.385254--0.904383))+0-0-0</f>
        <v>787.493289</v>
      </c>
      <c r="AC247" s="3">
        <f>1079.9+(251.2-599.8)+(-1.652247+(-0.384336--0.917694))+0-0-0</f>
        <v>730.18111100000021</v>
      </c>
      <c r="AD247">
        <v>869.5</v>
      </c>
      <c r="AE247" s="3">
        <f>1163+(335.2-628.7)+(0+(0-0))+0-0-0</f>
        <v>869.5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1076.6+(201.8-594.7)+(-1.098132+(-0.205836--0.606594))+0-0-0</f>
        <v>683.00262599999985</v>
      </c>
      <c r="G248" s="3">
        <f>1076.8+(189.9-625.5)+(-1.098336+(-0.193698--0.63801))+0-0-0</f>
        <v>640.54597599999988</v>
      </c>
      <c r="H248" s="3">
        <f>1026.3+(203.9-609.9)+(-1.046826+(-0.207978--0.622098))+0-0-0</f>
        <v>619.66729399999997</v>
      </c>
      <c r="I248" s="3">
        <f>1025.6+(195.1-611.1)+(-0.523056+(-0.099501--0.311661))+0-0-0</f>
        <v>609.28910399999995</v>
      </c>
      <c r="J248" s="3">
        <f>1034.6+(188.9-618.1)+(1.055292+(0.192678-0.630462))+0-0-0</f>
        <v>606.01750799999991</v>
      </c>
      <c r="K248" s="3">
        <f>1042.8+(201.7-626)+(1.063656+(0.205734-0.63852))+0-0-0</f>
        <v>619.13086999999996</v>
      </c>
      <c r="L248" s="3">
        <f>1120.3+(196.6-701.3)+(-0.571353+(-0.100266--0.357663))+0-0-0</f>
        <v>615.28604400000006</v>
      </c>
      <c r="M248" s="3">
        <f>1144+(181.3-700.3)+(0+(0-0))+0-0-0</f>
        <v>625</v>
      </c>
      <c r="N248" s="3">
        <f>1193.7+(193-741)+(-0.608787+(-0.09843--0.37791))+0-0-0</f>
        <v>645.37069300000007</v>
      </c>
      <c r="O248" s="3">
        <f>1188.9+(238.8-712.7)+(0.606339+(0.121788-0.363477))+0-0-0</f>
        <v>715.36464999999998</v>
      </c>
      <c r="P248" s="3">
        <f>1183.2+(338.5-789.1)+(-0.603432+(-0.172635--0.402441))+0-0-0</f>
        <v>732.22637400000008</v>
      </c>
      <c r="Q248" s="3">
        <f>1178.8+(385.4-828.6)+(-2.404752+(-0.786216--1.690344))+0-0-0</f>
        <v>734.09937599999989</v>
      </c>
      <c r="R248" s="3">
        <f>1169.2+(263.3-740.3)+(-2.98146+(-0.671415--1.887765))+0-0-0</f>
        <v>690.43489</v>
      </c>
      <c r="S248" s="3">
        <f>1168.6+(109.2-579.9)+(-2.383944+(-0.222768--1.182996))+0-0-0</f>
        <v>696.47628399999985</v>
      </c>
      <c r="T248" s="3">
        <f>1168+(107.7-575)+(-1.78704+(-0.164781--0.87975))+0-0-0</f>
        <v>699.62792899999999</v>
      </c>
      <c r="U248" s="3">
        <f>1095.4+(307.4-700)+(-1.117308+(-0.313548--0.714))+0-0-0</f>
        <v>702.08314400000006</v>
      </c>
      <c r="V248" s="3">
        <f>1101.8+(308.4-698.5)+(-1.123836+(-0.314568--0.71247))+0-0-0</f>
        <v>710.97406599999988</v>
      </c>
      <c r="W248" s="3">
        <f>1164.1+(362.3-699.7)+(0.593691+(0.184773-0.356847))+0-0-0</f>
        <v>827.12161699999979</v>
      </c>
      <c r="X248" s="3">
        <f>1167.1+(376.1-656.9)+(-3.571326+(-1.150866--2.010114))+0-0-0</f>
        <v>883.58792199999993</v>
      </c>
      <c r="Y248" s="3">
        <f>1166.8+(324.8-630.4)+(-4.165476+(-1.159536--2.250528))+0-0-0</f>
        <v>858.12551600000006</v>
      </c>
      <c r="Z248" s="3">
        <f>1167.9+(281.1-615.7)+(-1.786887+(-0.430083--0.942021))+0-0-0</f>
        <v>832.02505100000008</v>
      </c>
      <c r="AA248" s="3">
        <f>1130.5+(303.5-611.9)+(-1.15311+(-0.30957--0.624138))+0-0-0</f>
        <v>821.26145800000006</v>
      </c>
      <c r="AB248" s="3">
        <f>1101.3+(326.1-623.5)+(-1.684989+(-0.498933--0.953955))+0-0-0</f>
        <v>802.67003299999999</v>
      </c>
      <c r="AC248" s="3">
        <f>1100.9+(341-689.4)+(-0.561459+(-0.17391--0.351594))+0-0-0</f>
        <v>752.1162250000001</v>
      </c>
      <c r="AD248">
        <v>865.8</v>
      </c>
      <c r="AE248" s="3">
        <f>1161+(359.3-654.5)+(0+(0-0))+0-0-0</f>
        <v>865.8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1103.8+(239.2-660.4)+(-1.688814+(-0.365976--1.010412))+0-0-0</f>
        <v>681.55562199999986</v>
      </c>
      <c r="G249" s="3">
        <f>1104.6+(193.3-666.8)+(-1.126692+(-0.197166--0.680136))+0-0-0</f>
        <v>630.45627799999988</v>
      </c>
      <c r="H249" s="3">
        <f>1104.2+(188.4-685.9)+(-2.252568+(-0.384336--1.399236))+0-0-0</f>
        <v>605.46233200000006</v>
      </c>
      <c r="I249" s="3">
        <f>1113.5+(148.7-665.7)+(1.13577+(0.151674-0.679014))+0-0-0</f>
        <v>597.10843</v>
      </c>
      <c r="J249" s="3">
        <f>1120.4+(134.2-653.7)+(-2.285616+(-0.273768--1.333548))+0-0-0</f>
        <v>599.67416400000013</v>
      </c>
      <c r="K249" s="3">
        <f>1121.5+(128-640.8)+(-1.715895+(-0.19584--0.980424))+0-0-0</f>
        <v>607.76868899999999</v>
      </c>
      <c r="L249" s="3">
        <f>1124.1+(180.1-690.2)+(0+(0-0))+0-0-0</f>
        <v>613.99999999999989</v>
      </c>
      <c r="M249" s="3">
        <f>1129.8+(178.8-680.7)+(0+(0-0))+0-0-0</f>
        <v>627.89999999999986</v>
      </c>
      <c r="N249" s="3">
        <f>1174.3+(155-643.3)+(1.197786+(0.1581-0.656166))+0-0-0</f>
        <v>686.69971999999996</v>
      </c>
      <c r="O249" s="3">
        <f>1173.1+(183.4-616.3)+(-0.598281+(-0.093534--0.314313))+0-0-0</f>
        <v>739.82249799999988</v>
      </c>
      <c r="P249" s="3">
        <f>1169.1+(241.5-645.5)+(-0.596241+(-0.123165--0.329205))+0-0-0</f>
        <v>764.70979899999986</v>
      </c>
      <c r="Q249" s="3">
        <f>1161.3+(305.9-701.4)+(-1.776789+(-0.468027--1.073142))+0-0-0</f>
        <v>764.6283259999999</v>
      </c>
      <c r="R249" s="3">
        <f>1085.7+(296.9-660)+(-2.214828+(-0.605676--1.3464))+0-0-0</f>
        <v>721.12589600000001</v>
      </c>
      <c r="S249" s="3">
        <f>962.4+(342.9-615.9)+(0.981648+(0.349758-0.628218))+1-0-0</f>
        <v>691.10318799999993</v>
      </c>
      <c r="T249" s="3">
        <f>851.3+(442.9-614.4)+(-0.434163+(-0.225879--0.313344))+0-0-0</f>
        <v>679.45330200000001</v>
      </c>
      <c r="U249" s="3">
        <f>846+(473.2-643.8)+(-0.43146+(-0.241332--0.328338))+0-0-0</f>
        <v>675.05554600000005</v>
      </c>
      <c r="V249" s="3">
        <f>911.9+(409-628.2)+(-0.465069+(-0.20859--0.320382))+0-0-0</f>
        <v>692.34672299999988</v>
      </c>
      <c r="W249" s="3">
        <f>1096.4+(363.5-655.6)+(0.559164+(0.185385-0.334356))+0-0-0</f>
        <v>804.71019300000012</v>
      </c>
      <c r="X249" s="3">
        <f>1165.7+(308.1-602.6)+(-3.567042+(-0.942786--1.843956))+0-0-0</f>
        <v>868.53412800000001</v>
      </c>
      <c r="Y249" s="3">
        <f>1175.7+(298.7-626.8)+(-1.798821+(-0.457011--0.959004))+0-0-0</f>
        <v>846.30317200000013</v>
      </c>
      <c r="Z249" s="3">
        <f>1177.7+(290.9-647.5)+(-2.402508+(-0.593436--1.3209))+0-0-0</f>
        <v>819.42495600000007</v>
      </c>
      <c r="AA249" s="3">
        <f>1178.6+(249.7-630.3)+(-1.202172+(-0.254694--0.642906))+0-0-0</f>
        <v>797.18604000000005</v>
      </c>
      <c r="AB249" s="3">
        <f>1178.6+(249-645.5)+(-1.803258+(-0.38097--0.987615))+0-0-0</f>
        <v>780.90338699999995</v>
      </c>
      <c r="AC249" s="3">
        <f>1169.3+(204.6-628.2)+(-3.578058+(-0.626076--1.922292))+0-0-0</f>
        <v>743.41815799999995</v>
      </c>
      <c r="AD249">
        <v>860.1</v>
      </c>
      <c r="AE249" s="3">
        <f>1163+(344.2-647.1)+(0+(0-0))+0-0-0</f>
        <v>860.09999999999991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1059.3+(273.2-648.2)+(1.080486+(0.278664-0.661164))+0-0-0</f>
        <v>684.99798599999997</v>
      </c>
      <c r="G250" s="3">
        <f>1003.3+(277.7-641.1)+(-1.535049+(-0.424881--0.980883))+0-0-0</f>
        <v>638.92095299999983</v>
      </c>
      <c r="H250" s="3">
        <f>958.9+(292.6-637.8)+(-1.467117+(-0.447678--0.975834))+0-0-0</f>
        <v>612.7610390000001</v>
      </c>
      <c r="I250" s="3">
        <f>950.1+(264.3-613.7)+(-0.969102+(-0.269586--0.625974))+0-0-0</f>
        <v>600.08728600000006</v>
      </c>
      <c r="J250" s="3">
        <f>951.3+(265.4-621.4)+(-1.455489+(-0.406062--0.950742))+0-0-0</f>
        <v>594.38919099999998</v>
      </c>
      <c r="K250" s="3">
        <f>952.7+(262.9-616.6)+(-0.971754+(-0.268158--0.628932))+0-0-0</f>
        <v>598.38901999999996</v>
      </c>
      <c r="L250" s="3">
        <f>1088.7+(194.5-670.2)+(-3.886659+(-0.694365--2.392614))+0-0-0</f>
        <v>610.81159000000002</v>
      </c>
      <c r="M250" s="3">
        <f>1108.8+(181.9-688.4)+(-1.130976+(-0.185538--0.702168))+0-0-0</f>
        <v>601.685654</v>
      </c>
      <c r="N250" s="3">
        <f>1149.6+(167.5-684.3)+(0.586296+(0.085425-0.348993))+0-0-0</f>
        <v>633.12272799999994</v>
      </c>
      <c r="O250" s="3">
        <f>1127.4+(205.8-659.1)+(-2.87487+(-0.52479--1.680705))+0-0-0</f>
        <v>672.38104500000009</v>
      </c>
      <c r="P250" s="3">
        <f>1113.8+(221.2-627.9)+(-1.704114+(-0.338436--0.960687))+0-0-0</f>
        <v>706.01813699999991</v>
      </c>
      <c r="Q250" s="3">
        <f>1104.3+(234.3-630.1)+(-1.126386+(-0.238986--0.642702))+0-0-0</f>
        <v>707.77733000000001</v>
      </c>
      <c r="R250" s="3">
        <f>1139.7+(207.3-650.1)+(-2.324988+(-0.422892--1.326204))+0-0-0</f>
        <v>695.47832400000004</v>
      </c>
      <c r="S250" s="3">
        <f>1139.6+(201.4-654.1)+(-1.743588+(-0.308142--1.000773))+0-0-0</f>
        <v>685.84904299999982</v>
      </c>
      <c r="T250" s="3">
        <f>1139.1+(199.1-655.6)+(0+(0-0))+0-0-0</f>
        <v>682.59999999999991</v>
      </c>
      <c r="U250" s="3">
        <f>1141.4+(188.6-647.3)+(-0.582114+(-0.096186--0.330123))+0-0-0</f>
        <v>682.35182300000019</v>
      </c>
      <c r="V250" s="3">
        <f>1136.7+(212.6-643.4)+(1.159434+(0.216852-0.656268))+0-0-0</f>
        <v>706.62001800000007</v>
      </c>
      <c r="W250" s="3">
        <f>1174.1+(276.9-634.9)+(1.796373+(0.423657-0.971397))+0-0-0</f>
        <v>817.34863299999995</v>
      </c>
      <c r="X250" s="3">
        <f>1171.7+(304.6-620.4)+(-1.195134+(-0.310692--0.632808))+0-0-0</f>
        <v>855.02698200000009</v>
      </c>
      <c r="Y250" s="3">
        <f>1168.5+(281.3-614.4)+(-1.19187+(-0.286926--0.626688))+0-0-0</f>
        <v>834.54789200000005</v>
      </c>
      <c r="Z250" s="3">
        <f>1171.9+(273-629.6)+(-1.195338+(-0.27846--0.642192))+0-0-0</f>
        <v>814.4683940000001</v>
      </c>
      <c r="AA250" s="3">
        <f>1173.2+(235.3-591.9)+(-1.794996+(-0.360009--0.905607))+0-0-0</f>
        <v>815.35060200000009</v>
      </c>
      <c r="AB250" s="3">
        <f>1185.4+(223.4-629.5)+(-0.604554+(-0.113934--0.321045))+0-0-0</f>
        <v>778.90255700000012</v>
      </c>
      <c r="AC250" s="3">
        <f>1187.4+(193.4-654.9)+(-1.816722+(-0.295902--1.001997))+0-0-0</f>
        <v>724.78937300000007</v>
      </c>
      <c r="AD250">
        <v>849.7</v>
      </c>
      <c r="AE250" s="3">
        <f>1166+(325.2-641.5)+(0+(0-0))+0-0-0</f>
        <v>849.7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1150.9+(162.5-643.1)+(-0.586959+(-0.082875--0.327981))+0-0-0</f>
        <v>669.95814700000005</v>
      </c>
      <c r="G251" s="3">
        <f>1045.5+(208.2-628.6)+(0+(0-0))+0-0-0</f>
        <v>625.09999999999991</v>
      </c>
      <c r="H251" s="3">
        <f>1033.4+(204.4-643.5)+(1.054068+(0.208488-0.65637))+0-0-0</f>
        <v>594.90618600000005</v>
      </c>
      <c r="I251" s="3">
        <f>973.5+(213.2-603.9)+(2.482425+(0.54366-1.539945))+0-0-0</f>
        <v>584.28613999999993</v>
      </c>
      <c r="J251" s="3">
        <f>934.9+(261.8-618.1)+(-0.476799+(-0.133518--0.315231))+0-0-0</f>
        <v>578.30491399999994</v>
      </c>
      <c r="K251" s="3">
        <f>983.3+(233.6-624.4)+(2.005932+(0.476544-1.273776))+0-0-0</f>
        <v>593.70870000000002</v>
      </c>
      <c r="L251" s="3">
        <f>1013.1+(253.3-647.8)+(1.550043+(0.387549-0.991134))+0-0-0</f>
        <v>619.54645800000014</v>
      </c>
      <c r="M251" s="3">
        <f>1083.9+(251.9-683.6)+(-1.105578+(-0.256938--0.697272))+0-0-0</f>
        <v>651.53475600000002</v>
      </c>
      <c r="N251" s="3">
        <f>1106+(215.4-621)+(1.12812+(0.219708-0.63342))+0-0-0</f>
        <v>701.11440800000003</v>
      </c>
      <c r="O251" s="3">
        <f>1103.2+(246.8-599.5)+(-1.687896+(-0.377604--0.917235))+0-0-0</f>
        <v>749.35173499999996</v>
      </c>
      <c r="P251" s="3">
        <f>1129.9+(271-628.1)+(1.152498+(0.27642-0.640662))+0-0-0</f>
        <v>773.58825600000011</v>
      </c>
      <c r="Q251" s="3">
        <f>1145.9+(298.2-660.7)+(0+(0-0))+0-0-0</f>
        <v>783.40000000000009</v>
      </c>
      <c r="R251" s="3">
        <f>1149.9+(251.1-638.9)+(-1.759347+(-0.384183--0.977517))+0-0-0</f>
        <v>760.93398700000012</v>
      </c>
      <c r="S251" s="3">
        <f>1152.3+(221.6-629.3)+(-0.587673+(-0.113016--0.320943))+0-0-0</f>
        <v>744.22025400000007</v>
      </c>
      <c r="T251" s="3">
        <f>1151.4+(210.3-631.9)+(-0.587214+(-0.107253--0.322269))+0-0-0</f>
        <v>729.42780200000016</v>
      </c>
      <c r="U251" s="3">
        <f>1149.6+(218.1-634.3)+(-1.758888+(-0.333693--0.970479))+0-0-0</f>
        <v>732.27789799999994</v>
      </c>
      <c r="V251" s="3">
        <f>1154.7+(252.7-652.4)+(1.177794+(0.257754-0.665448))+0-0-0</f>
        <v>755.77009999999996</v>
      </c>
      <c r="W251" s="3">
        <f>1153.7+(416.1-705.2)+(0.588387+(0.212211-0.359652))+0-0-0</f>
        <v>865.04094600000008</v>
      </c>
      <c r="X251" s="3">
        <f>1148.5+(407.8-639)+(-1.757205+(-0.623934--0.97767))+0-0-0</f>
        <v>915.89653099999998</v>
      </c>
      <c r="Y251" s="3">
        <f>1140.6+(352.3-599.9)+(-0.581706+(-0.179673--0.305949))+0-0-0</f>
        <v>892.54457000000002</v>
      </c>
      <c r="Z251" s="3">
        <f>1152.8+(312.6-603.5)+(-1.175856+(-0.318852--0.61557))+0-0-0</f>
        <v>861.02086199999997</v>
      </c>
      <c r="AA251" s="3">
        <f>1153.7+(289.2-594.7)+(-1.176774+(-0.294984--0.606594))+0-0-0</f>
        <v>847.334836</v>
      </c>
      <c r="AB251" s="3">
        <f>1154.3+(263.8-589.9)+(-0.588693+(-0.134538--0.300849))+0-0-0</f>
        <v>827.77761800000007</v>
      </c>
      <c r="AC251" s="3">
        <f>1122.8+(247.8-604.6)+(-0.572628+(-0.126378--0.308346))+0-0-0</f>
        <v>765.60933999999997</v>
      </c>
      <c r="AD251">
        <v>903.30000000000007</v>
      </c>
      <c r="AE251" s="3">
        <f>1132+(433.4-662.1)+(0+(0-0))+0-0-0</f>
        <v>903.3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1021.8+(253.9-590.8)+(-1.042236+(-0.258978--0.602616))+0-0-0</f>
        <v>684.20140200000003</v>
      </c>
      <c r="G252" s="3">
        <f>950.9+(267.2-577.7)+(-0.969918+(-0.272544--0.589254))+0-0-0</f>
        <v>639.74679199999991</v>
      </c>
      <c r="H252" s="3">
        <f>932.6+(291.3-597.4)+(0.951252+(0.297126-0.609348))+0-0-0</f>
        <v>627.13903000000005</v>
      </c>
      <c r="I252" s="3">
        <f>933.6+(278.3-593.3)+(1.428408+(0.425799-0.907749))+0-0-0</f>
        <v>619.54645800000014</v>
      </c>
      <c r="J252" s="3">
        <f>938.2+(260.4-589.7)+(2.39241+(0.66402-1.503735))+0-0-0</f>
        <v>610.45269499999995</v>
      </c>
      <c r="K252" s="3">
        <f>934.3+(263.7-584.6)+(1.429479+(0.403461-0.894438))+0-0-0</f>
        <v>614.33850199999983</v>
      </c>
      <c r="L252" s="3">
        <f>1013.4+(268-640.6)+(-2.067336+(-0.54672--1.306824))+0-0-0</f>
        <v>639.49276799999996</v>
      </c>
      <c r="M252" s="3">
        <f>1081.9+(240.4-663.2)+(-0.551769+(-0.122604--0.338232))+0-0-0</f>
        <v>658.76385900000002</v>
      </c>
      <c r="N252" s="3">
        <f>1108.7+(234.3-635.4)+(1.130874+(0.238986-0.648108))+0-0-0</f>
        <v>708.32175200000017</v>
      </c>
      <c r="O252" s="3">
        <f>1108.9+(233.3-600.6)+(0+(0-0))+0-0-0</f>
        <v>741.60000000000014</v>
      </c>
      <c r="P252" s="3">
        <f>1105.7+(244.3-585)+(0.563907+(0.124593-0.29835))+0-0-0</f>
        <v>765.39014999999995</v>
      </c>
      <c r="Q252" s="3">
        <f>1105.3+(230-570.9)+(-1.127406+(-0.2346--0.582318))+0-0-0</f>
        <v>763.62031200000001</v>
      </c>
      <c r="R252" s="3">
        <f>1125.5+(221.8-621.5)+(-3.44403+(-0.678708--1.90179))+0-0-0</f>
        <v>723.57905199999993</v>
      </c>
      <c r="S252" s="3">
        <f>1128+(221.8-619.4)+(-2.8764+(-0.56559--1.57947))+0-0-0</f>
        <v>728.53748000000007</v>
      </c>
      <c r="T252" s="3">
        <f>1119.5+(219.5-626.6)+(-1.14189+(-0.22389--0.639132))+0-0-0</f>
        <v>711.67335200000002</v>
      </c>
      <c r="U252" s="3">
        <f>1131.2+(206.5-626.7)+(1.153824+(0.21063-0.639234))+0-0-0</f>
        <v>711.72522000000004</v>
      </c>
      <c r="V252" s="3">
        <f>1129.5+(235.3-638.9)+(1.15209+(0.240006-0.651678))+0-0-0</f>
        <v>726.64041800000007</v>
      </c>
      <c r="W252" s="3">
        <f>1129.6+(471.2-745.4)+(1.728288+(0.720936-1.140462))+0-0-0</f>
        <v>856.70876199999987</v>
      </c>
      <c r="X252" s="3">
        <f>1125.1+(441.2-656.5)+(-1.721403+(-0.675036--1.004445))+0-0-0</f>
        <v>908.408006</v>
      </c>
      <c r="Y252" s="3">
        <f>1126.3+(365-603.2)+(-1.148826+(-0.3723--0.615264))+0-0-0</f>
        <v>887.19413799999995</v>
      </c>
      <c r="Z252" s="3">
        <f>1127.6+(365.1-633.5)+(-0.575076+(-0.186201--0.323085))+0-0-0</f>
        <v>858.76180799999997</v>
      </c>
      <c r="AA252" s="3">
        <f>1127+(340.8-625.5)+(-1.14954+(-0.347616--0.63801))+0-0-0</f>
        <v>841.44085399999994</v>
      </c>
      <c r="AB252" s="3">
        <f>1122.7+(287.8-596.6)+(-3.435462+(-0.880668--1.825596))+0-0-0</f>
        <v>811.40946600000007</v>
      </c>
      <c r="AC252" s="3">
        <f>1114.7+(223.4-586.1)+(-2.842485+(-0.56967--1.494555))+0-0-0</f>
        <v>750.08240000000001</v>
      </c>
      <c r="AD252">
        <v>896.3</v>
      </c>
      <c r="AE252" s="3">
        <f>1126+(527.5-757.2)+(0+(0-0))+0-0-0</f>
        <v>896.3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1071.9+(205.3-602.1)+(-0.546669+(-0.104703--0.307071))+0-0-0</f>
        <v>674.75569900000016</v>
      </c>
      <c r="G253" s="3">
        <f>901.7+(304.5-584.8)+(-1.839468+(-0.62118--1.192992))+0-0-0</f>
        <v>620.1323440000001</v>
      </c>
      <c r="H253" s="3">
        <f>852.3+(348.5-598.1)+(1.304019+(0.533205-0.915093))+0-0-0</f>
        <v>603.62213099999997</v>
      </c>
      <c r="I253" s="3">
        <f>885+(297.4-579.6)+(-1.35405+(-0.455022--0.886788))+0-0-0</f>
        <v>601.87771599999996</v>
      </c>
      <c r="J253" s="3">
        <f>898.4+(294.2-583.7)+(1.832736+(0.600168-1.190748))+0-0-0</f>
        <v>610.14215599999989</v>
      </c>
      <c r="K253" s="3">
        <f>892.4+(308.7-583.9)+(0.455124+(0.157437-0.297789))+0-0-0</f>
        <v>617.51477199999999</v>
      </c>
      <c r="L253" s="3">
        <f>987.3+(316.2-646.8)+(-0.503523+(-0.161262--0.329868))+0-0-0</f>
        <v>656.36508300000003</v>
      </c>
      <c r="M253" s="3">
        <f>1075.7+(311.2-725.6)+(-0.548607+(-0.158712--0.370056))+0-0-0</f>
        <v>660.96273699999995</v>
      </c>
      <c r="N253" s="3">
        <f>1107.7+(130.6-515.9)+(-0.564927+(-0.066606--0.263109))+0-0-0</f>
        <v>722.03157600000009</v>
      </c>
      <c r="O253" s="3">
        <f>1067.3+(38.4-373.1)+(-0.544323+(-0.019584--0.190281))+0-0-0</f>
        <v>732.22637399999996</v>
      </c>
      <c r="P253" s="3">
        <f>1079.1+(55.7-371.2)+(-0.550341+(-0.028407--0.189312))+0-0-0</f>
        <v>763.21056399999986</v>
      </c>
      <c r="Q253" s="3">
        <f>1076.7+(53.2-362.3)+(-1.647351+(-0.081396--0.554319))+0-0-0</f>
        <v>766.42557199999999</v>
      </c>
      <c r="R253" s="3">
        <f>1125.6+(43.8-423.9)+(-1.722168+(-0.067014--0.648567))+0-0-0</f>
        <v>744.35938499999997</v>
      </c>
      <c r="S253" s="3">
        <f>1188.7+(45.5-507.7)+(-0.606237+(-0.023205--0.258927))+0-0-0</f>
        <v>726.12948500000005</v>
      </c>
      <c r="T253" s="3">
        <f>1273.6+(41-589.7)+(1.948608+(0.06273-0.902241))+0-0-0</f>
        <v>726.00909699999988</v>
      </c>
      <c r="U253" s="3">
        <f>1320.7+(38.8-626.6)+(0+(0-0))+0-0-0</f>
        <v>732.9</v>
      </c>
      <c r="V253" s="3">
        <f>1284.2+(38.4-564.4)+(-2.619768+(-0.078336--1.151376))+0-0-0</f>
        <v>756.65327200000002</v>
      </c>
      <c r="W253" s="3">
        <f>1283.7+(79.7-493.9)+(0.654687+(0.040647-0.251889))+0-0-0</f>
        <v>869.943445</v>
      </c>
      <c r="X253" s="3">
        <f>1237+(55.4-377.6)+(-1.89261+(-0.084762--0.577728))+0-0-0</f>
        <v>913.40035599999999</v>
      </c>
      <c r="Y253" s="3">
        <f>1225.6+(58.9-394.6)+(0+(0-0))+0-0-0</f>
        <v>889.89999999999986</v>
      </c>
      <c r="Z253" s="3">
        <f>1261.3+(184-582.3)+(0+(0-0))+0-0-0</f>
        <v>863</v>
      </c>
      <c r="AA253" s="3">
        <f>1262+(171.8-587.2)+(-2.57448+(-0.350472--1.197888))+0-0-0</f>
        <v>844.87293599999987</v>
      </c>
      <c r="AB253" s="3">
        <f>1262.8+(186.7-623.6)+(-4.508196+(-0.666519--2.226252))+0-0-0</f>
        <v>822.95153699999992</v>
      </c>
      <c r="AC253" s="3">
        <f>1233+(205.2-677.2)+(-3.14415+(-0.52326--1.72686))+0-0-0</f>
        <v>759.05944999999997</v>
      </c>
      <c r="AD253">
        <v>916.69999999999993</v>
      </c>
      <c r="AE253" s="3">
        <f>1278+(112.6-473.9)+(0+(0-0))+0-0-0</f>
        <v>916.7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1122.8+(207.6-648.4)+(-4.008396+(-0.741132--2.314788))+0-0-0</f>
        <v>679.56525999999997</v>
      </c>
      <c r="G254" s="3">
        <f>1097.7+(173.3-633.9)+(-2.239308+(-0.353532--1.293156))+0-0-0</f>
        <v>635.80031600000018</v>
      </c>
      <c r="H254" s="3">
        <f>1025.4+(224.6-630.3)+(0+(0-0))+0-0-0</f>
        <v>619.70000000000016</v>
      </c>
      <c r="I254" s="3">
        <f>928.1+(286.6-607)+(-0.946662+(-0.292332--0.61914))+0-0-0</f>
        <v>607.08014600000001</v>
      </c>
      <c r="J254" s="3">
        <f>913.7+(311.5-619)+(0+(0-0))+0-0-0</f>
        <v>606.20000000000005</v>
      </c>
      <c r="K254" s="3">
        <f>913.8+(319.8-621.9)+(1.398114+(0.489294-0.951507))+0-0-0</f>
        <v>612.63590099999999</v>
      </c>
      <c r="L254" s="3">
        <f>919+(357.5-637.9)+(-1.87476+(-0.7293--1.301316))+0-0-0</f>
        <v>637.29725600000006</v>
      </c>
      <c r="M254" s="3">
        <f>1022.2+(313.8-676.3)+(-0.521322+(-0.160038--0.344913))+0-0-0</f>
        <v>659.36355300000002</v>
      </c>
      <c r="N254" s="3">
        <f>1165.2+(233.4-681.2)+(0+(0-0))+0-0-0</f>
        <v>717.4</v>
      </c>
      <c r="O254" s="3">
        <f>1157+(186-601)+(-0.59007+(-0.09486--0.30651))+0-0-0</f>
        <v>741.62157999999999</v>
      </c>
      <c r="P254" s="3">
        <f>1119.6+(209.1-580.9)+(-2.283984+(-0.426564--1.185036))+0-0-0</f>
        <v>746.27448799999991</v>
      </c>
      <c r="Q254" s="3">
        <f>1139.9+(154.3-515.8)+(-2.906745+(-0.393465--1.31529))+0-0-0</f>
        <v>776.4150800000001</v>
      </c>
      <c r="R254" s="3">
        <f>1138.9+(165.8-561.9)+(-2.904195+(-0.42279--1.432845))+0-0-0</f>
        <v>740.90586000000019</v>
      </c>
      <c r="S254" s="3">
        <f>1145.7+(193.8-606.4)+(-1.752921+(-0.296514--0.927792))+0-0-0</f>
        <v>731.97835700000019</v>
      </c>
      <c r="T254" s="3">
        <f>1129.8+(216-622.9)+(-1.728594+(-0.33048--0.953037))+0-0-0</f>
        <v>721.79396299999996</v>
      </c>
      <c r="U254" s="3">
        <f>1124.8+(207.3-613.5)+(-1.147296+(-0.211446--0.62577))+0-0-0</f>
        <v>717.86702799999989</v>
      </c>
      <c r="V254" s="3">
        <f>1116.3+(230.2-605.7)+(0+(0-0))+0-0-0</f>
        <v>740.8</v>
      </c>
      <c r="W254" s="3">
        <f>1117.9+(354.1-614.7)+(2.280516+(0.722364-1.253988))+0-0-0</f>
        <v>859.04889200000002</v>
      </c>
      <c r="X254" s="3">
        <f>1116.6+(406-603.8)+(-1.708398+(-0.62118--0.923814))+0-0-0</f>
        <v>917.39423599999998</v>
      </c>
      <c r="Y254" s="3">
        <f>1117.9+(379.9-603)+(-3.420774+(-1.162494--1.84518))+0-0-0</f>
        <v>892.06191200000012</v>
      </c>
      <c r="Z254" s="3">
        <f>1121.8+(337.3-595.5)+(-1.716354+(-0.516069--0.911115))+0-0-0</f>
        <v>862.27869199999986</v>
      </c>
      <c r="AA254" s="3">
        <f>1120.7+(315.3-600.4)+(-1.714671+(-0.482409--0.918612))+0-0-0</f>
        <v>834.32153200000016</v>
      </c>
      <c r="AB254" s="3">
        <f>1122.3+(291-584.1)+(-0.572373+(-0.14841--0.297891))+0-0-0</f>
        <v>828.77710799999988</v>
      </c>
      <c r="AC254" s="3">
        <f>1116.4+(274.4-613.5)+(-2.84682+(-0.69972--1.564425))+0-0-0</f>
        <v>775.31788500000005</v>
      </c>
      <c r="AD254">
        <v>904.69999999999993</v>
      </c>
      <c r="AE254" s="3">
        <f>1117+(391.6-603.9)+(0+(0-0))+0-0-0</f>
        <v>904.7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1110.9+(221.9-645.5)+(-2.266236+(-0.452676--1.31682))+0-0-0</f>
        <v>685.89790800000003</v>
      </c>
      <c r="G255" s="3">
        <f>1108.3+(245.5-708.2)+(0.565233+(0.125205-0.361182))+0-0-0</f>
        <v>645.9292559999999</v>
      </c>
      <c r="H255" s="3">
        <f>1029.5+(254.7-655.9)+(1.05009+(0.259794-0.669018))+0-0-0</f>
        <v>628.94086599999991</v>
      </c>
      <c r="I255" s="3">
        <f>1017.4+(269.1-664.4)+(-1.556622+(-0.411723--1.016532))+0-0-0</f>
        <v>621.14818700000001</v>
      </c>
      <c r="J255" s="3">
        <f>1019.6+(264.1-663.5)+(-0.519996+(-0.134691--0.338385))+0-0-0</f>
        <v>619.88369800000009</v>
      </c>
      <c r="K255" s="3">
        <f>1028.5+(283.6-690.2)+(2.09814+(0.578544-1.408008))+0-0-0</f>
        <v>623.168676</v>
      </c>
      <c r="L255" s="3">
        <f>1088.2+(286.3-746.2)+(0+(0-0))+0-0-0</f>
        <v>628.29999999999995</v>
      </c>
      <c r="M255" s="3">
        <f>1136.6+(302.7-787.3)+(-0.579666+(-0.154377--0.401523))+0-0-0</f>
        <v>651.66747999999995</v>
      </c>
      <c r="N255" s="3">
        <f>1137.3+(264-681)+(0+(0-0))+0-0-0</f>
        <v>720.3</v>
      </c>
      <c r="O255" s="3">
        <f>1135.7+(216.4-606.3)+(0+(0-0))+0-0-0</f>
        <v>745.80000000000007</v>
      </c>
      <c r="P255" s="3">
        <f>1135.1+(198-555.7)+(-0.578901+(-0.10098--0.283407))+0-0-0</f>
        <v>777.00352599999985</v>
      </c>
      <c r="Q255" s="3">
        <f>1115.3+(228.5-584.4)+(-0.568803+(-0.116535--0.298044))+0-0-0</f>
        <v>759.01270599999998</v>
      </c>
      <c r="R255" s="3">
        <f>1102.2+(208.6-561.9)+(0+(0-0))+0-0-0</f>
        <v>748.90000000000009</v>
      </c>
      <c r="S255" s="3">
        <f>1046.6+(242.8-560.3)+(0+(0-0))+0-0-0</f>
        <v>729.09999999999991</v>
      </c>
      <c r="T255" s="3">
        <f>1119.3+(170.7-556.9)+(1.141686+(0.174114-0.568038))+0-0-0</f>
        <v>733.84776199999988</v>
      </c>
      <c r="U255" s="3">
        <f>1117.6+(165.5-550.3)+(-1.139952+(-0.16881--0.561306))+0-0-0</f>
        <v>732.0525439999999</v>
      </c>
      <c r="V255" s="3">
        <f>1145.5+(179.9-581)+(0+(0-0))+0-0-0</f>
        <v>744.4</v>
      </c>
      <c r="W255" s="3">
        <f>1251.5+(103.4-510.5)+(0+(0-0))+0-0-0</f>
        <v>844.4</v>
      </c>
      <c r="X255" s="3">
        <f>1246.4+(215.4-542.5)+(-1.906992+(-0.329562--0.830025))+0-0-0</f>
        <v>917.89347100000009</v>
      </c>
      <c r="Y255" s="3">
        <f>1251.3+(169.4-518.3)+(-2.552652+(-0.345576--1.057332))+0-0-0</f>
        <v>900.55910399999993</v>
      </c>
      <c r="Z255" s="3">
        <f>1254.4+(166.1-556.6)+(-1.279488+(-0.169422--0.567732))+0-0-0</f>
        <v>863.01882200000011</v>
      </c>
      <c r="AA255" s="3">
        <f>1254.8+(180.8-587.4)+(-1.919844+(-0.276624--0.898722))+0-0-0</f>
        <v>846.90225400000008</v>
      </c>
      <c r="AB255" s="3">
        <f>1253.8+(210.3-631.3)+(-2.557752+(-0.429012--1.287852))+0-0-0</f>
        <v>831.101088</v>
      </c>
      <c r="AC255" s="3">
        <f>1251.6+(209.9-671.2)+(-2.553264+(-0.428196--1.369248))+0-0-0</f>
        <v>788.68778799999984</v>
      </c>
      <c r="AD255">
        <v>908.49999999999989</v>
      </c>
      <c r="AE255" s="3">
        <f>1242+(198.1-531.6)+(0+(0-0))+0-0-0</f>
        <v>908.5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1167.4+(201-657.1)+(-1.786122+(-0.30753--1.005363))+0-0-0</f>
        <v>710.21171100000004</v>
      </c>
      <c r="G256" s="3">
        <f>1016.8+(255.9-612.9)+(-4.148544+(-1.044072--2.500632))+0-0-0</f>
        <v>657.10801599999991</v>
      </c>
      <c r="H256" s="3">
        <f>949.1+(237.8-554.1)+(-3.388287+(-0.848946--1.978137))+0-0-0</f>
        <v>630.54090399999995</v>
      </c>
      <c r="I256" s="3">
        <f>923.1+(252.9-557.4)+(-1.883124+(-0.515916--1.137096))+0-0-0</f>
        <v>617.33805600000005</v>
      </c>
      <c r="J256" s="3">
        <f>954+(225.3-556.8)+(-0.48654+(-0.114903--0.283968))+0-0-0</f>
        <v>622.18252500000006</v>
      </c>
      <c r="K256" s="3">
        <f>1050.6+(196.8-610.9)+(0+(0-0))+0-0-0</f>
        <v>636.5</v>
      </c>
      <c r="L256" s="3">
        <f>1046.9+(231.9-630)+(-1.067838+(-0.236538--0.6426))+0-0-0</f>
        <v>648.13822400000004</v>
      </c>
      <c r="M256" s="3">
        <f>1056.6+(221.6-622.2)+(0.538866+(0.113016-0.317322))+0-0-0</f>
        <v>656.3345599999999</v>
      </c>
      <c r="N256" s="3">
        <f>1079.6+(210.4-621.3)+(1.101192+(0.214608-0.633726))+0-0-0</f>
        <v>669.38207399999988</v>
      </c>
      <c r="O256" s="3">
        <f>1137.4+(171.1-546.7)+(-0.580074+(-0.087261--0.278817))+0-0-0</f>
        <v>761.41148200000009</v>
      </c>
      <c r="P256" s="3">
        <f>1114.7+(251.5-581.1)+(0+(0-0))+0-0-0</f>
        <v>785.1</v>
      </c>
      <c r="Q256" s="3">
        <f>1042.4+(363.2-621.8)+(-1.594872+(-0.555696--0.951354))+0-0-0</f>
        <v>782.6007860000002</v>
      </c>
      <c r="R256" s="3">
        <f>1000.2+(352.2-602)+(-3.060612+(-1.077732--1.84212))+0-0-0</f>
        <v>748.10377600000004</v>
      </c>
      <c r="S256" s="3">
        <f>1008+(308.2-593.5)+(-2.5704+(-0.78591--1.513425))+0-0-0</f>
        <v>720.85711500000002</v>
      </c>
      <c r="T256" s="3">
        <f>1089.4+(235.9-591.7)+(0.555594+(0.120309-0.301767))+0-0-0</f>
        <v>733.97413600000004</v>
      </c>
      <c r="U256" s="3">
        <f>1213.3+(139-613.8)+(-1.856349+(-0.21267--0.939114))+0-0-0</f>
        <v>737.37009499999999</v>
      </c>
      <c r="V256" s="3">
        <f>1238.3+(126.5-631.7)+(0+(0-0))+0-0-0</f>
        <v>733.09999999999991</v>
      </c>
      <c r="W256" s="3">
        <f>1242.8+(202.6-592)+(-0.633828+(-0.103326--0.30192))+0-0-0</f>
        <v>852.96476599999994</v>
      </c>
      <c r="X256" s="3">
        <f>1242.6+(213.8-570)+(1.267452+(0.218076-0.5814))+0-0-0</f>
        <v>887.30412799999988</v>
      </c>
      <c r="Y256" s="3">
        <f>1239.4+(250.9-619.1)+(-2.528376+(-0.511836--1.262964))+0-0-0</f>
        <v>869.42275200000006</v>
      </c>
      <c r="Z256" s="3">
        <f>1238.2+(252-637.9)+(-2.525928+(-0.51408--1.301316))+0-0-0</f>
        <v>850.56130800000005</v>
      </c>
      <c r="AA256" s="3">
        <f>1230.5+(207.5-605.2)+(0.627555+(0.105825-0.308652))+0-0-0</f>
        <v>833.22472799999991</v>
      </c>
      <c r="AB256" s="3">
        <f>1169.9+(236.8-600.2)+(-0.596649+(-0.120768--0.306102))+0-0-0</f>
        <v>806.08868500000005</v>
      </c>
      <c r="AC256" s="3">
        <f>1164.5+(193-610.8)+(-1.781685+(-0.29529--0.934524))+0-0-0</f>
        <v>745.55754899999999</v>
      </c>
      <c r="AD256">
        <v>888.90000000000009</v>
      </c>
      <c r="AE256" s="3">
        <f>1238+(237.9-596)+(0+(0-0))+0-0-0</f>
        <v>879.9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1173.6+(151.6-634)+(-2.99268+(-0.38658--1.6167))+0-0-0</f>
        <v>689.43743999999992</v>
      </c>
      <c r="G257" s="3">
        <f>1178.9+(149.2-685.3)+(-1.202478+(-0.152184--0.699006))+0-0-0</f>
        <v>642.14434400000016</v>
      </c>
      <c r="H257" s="3">
        <f>1174.5+(164.1-716.7)+(-1.19799+(-0.167382--0.731034))+0-0-0</f>
        <v>621.26566200000002</v>
      </c>
      <c r="I257" s="3">
        <f>1177+(159.2-721.8)+(-0.60027+(-0.081192--0.368118))+0-0-0</f>
        <v>614.08665600000006</v>
      </c>
      <c r="J257" s="3">
        <f>1186.6+(168.4-743.9)+(-0.605166+(-0.085884--0.379389))+0-0-0</f>
        <v>610.78833899999995</v>
      </c>
      <c r="K257" s="3">
        <f>1099.5+(193-687.2)+(2.24298+(0.39372-1.401888))+0-0-0</f>
        <v>606.53481199999999</v>
      </c>
      <c r="L257" s="3">
        <f>1151.5+(159.1-690.3)+(-1.17453+(-0.162282--0.704106))+0-0-0</f>
        <v>619.66729400000008</v>
      </c>
      <c r="M257" s="3">
        <f>1103.1+(187.8-691.7)+(0+(0-0))+0-0-0</f>
        <v>599.19999999999982</v>
      </c>
      <c r="N257" s="3">
        <f>1061.6+(232.9-663.5)+(0+(0-0))+0-0-0</f>
        <v>630.99999999999989</v>
      </c>
      <c r="O257" s="3">
        <f>1151.9+(174-634)+(-0.587469+(-0.08874--0.32334))+0-0-0</f>
        <v>691.54713100000004</v>
      </c>
      <c r="P257" s="3">
        <f>1136.8+(137.2-606.5)+(-1.739304+(-0.209916--0.927945))+0-0-0</f>
        <v>666.47872500000005</v>
      </c>
      <c r="Q257" s="3">
        <f>1175.5+(144.5-619.4)+(-2.39802+(-0.29478--1.263576))+0-0-0</f>
        <v>699.17077600000005</v>
      </c>
      <c r="R257" s="3">
        <f>1168.4+(131.1-631.7)+(-2.97942+(-0.334305--1.610835))+0-0-0</f>
        <v>666.09711000000004</v>
      </c>
      <c r="S257" s="3">
        <f>1176.6+(121.3-649.7)+(-1.200132+(-0.123726--0.662694))+0-0-0</f>
        <v>647.53883599999983</v>
      </c>
      <c r="T257" s="3">
        <f>1177.5+(139.6-672.1)+(0+(0-0))+0-0-0</f>
        <v>645</v>
      </c>
      <c r="U257" s="3">
        <f>1184.9+(147.4-680.5)+(1.812897+(0.225522-1.041165))+0-0-0</f>
        <v>652.79725400000007</v>
      </c>
      <c r="V257" s="3">
        <f>1183+(142.6-655.2)+(0+(0-0))+0-0-0</f>
        <v>670.4</v>
      </c>
      <c r="W257" s="3">
        <f>1257.9+(164.4-625.8)+(-1.283058+(-0.167688--0.638316))+0-0-0</f>
        <v>795.68757000000016</v>
      </c>
      <c r="X257" s="3">
        <f>1231.7+(233.3-616)+(-0.628167+(-0.118983--0.31416))+0-0-0</f>
        <v>848.56700999999998</v>
      </c>
      <c r="Y257" s="3">
        <f>1224.4+(233.1-617.7)+(-1.873332+(-0.356643--0.945081))+0-0-0</f>
        <v>838.51510600000006</v>
      </c>
      <c r="Z257" s="3">
        <f>1165.3+(237.8-582.2)+(-1.188606+(-0.242556--0.593844))+0-0-0</f>
        <v>820.06268199999988</v>
      </c>
      <c r="AA257" s="3">
        <f>1173.6+(211.7-568.2)+(0.598536+(0.107967-0.289782))+0-0-0</f>
        <v>817.51672099999996</v>
      </c>
      <c r="AB257" s="3">
        <f>1165.8+(257.6-614.4)+(1.189116+(0.262752-0.626688))+0-0-0</f>
        <v>809.82518000000005</v>
      </c>
      <c r="AC257" s="3">
        <f>1226.3+(150.9-618.3)+(0+(0-0))+0-0-0</f>
        <v>758.9</v>
      </c>
      <c r="AD257">
        <v>853.9</v>
      </c>
      <c r="AE257" s="3">
        <f>1227+(224-597.1)+(0+(0-0))+0-0-0</f>
        <v>853.9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1204+(143.1-652.9)+(-1.22808+(-0.145962--0.665958))+0-0-0</f>
        <v>693.49191600000006</v>
      </c>
      <c r="G258" s="3">
        <f>1070.1+(194.4-633.7)+(-0.545751+(-0.099144--0.323187))+0-0-0</f>
        <v>630.4782919999999</v>
      </c>
      <c r="H258" s="3">
        <f>990.3+(233.5-614.7)+(-1.010106+(-0.23817--0.626994))+0-0-0</f>
        <v>608.47871799999996</v>
      </c>
      <c r="I258" s="3">
        <f>989.3+(244-627.4)+(-0.504543+(-0.12444--0.319974))+0-0-0</f>
        <v>605.59099100000003</v>
      </c>
      <c r="J258" s="3">
        <f>995.5+(210.7-598.4)+(0.507705+(0.107457-0.305184))+0-0-0</f>
        <v>608.10997799999996</v>
      </c>
      <c r="K258" s="3">
        <f>1009+(226.6-617.5)+(-0.51459+(-0.115566--0.314925))+0-0-0</f>
        <v>617.78476899999998</v>
      </c>
      <c r="L258" s="3">
        <f>1004.3+(274-634.6)+(-0.512193+(-0.13974--0.323646))+0-0-0</f>
        <v>643.37171299999989</v>
      </c>
      <c r="M258" s="3">
        <f>1194.7+(228.2-756.9)+(-1.827891+(-0.349146--1.158057))+0-0-0</f>
        <v>664.98101999999994</v>
      </c>
      <c r="N258" s="3">
        <f>1281.7+(177.7-755.1)+(-0.653667+(-0.090627--0.385101))+0-0-0</f>
        <v>703.94080699999995</v>
      </c>
      <c r="O258" s="3">
        <f>1268.9+(113.7-636.2)+(-1.294278+(-0.115974--0.648924))+0-0-0</f>
        <v>745.63867200000004</v>
      </c>
      <c r="P258" s="3">
        <f>1334.6+(137.7-672.6)+(-0.680646+(-0.070227--0.343026))+0-0-0</f>
        <v>799.29215299999987</v>
      </c>
      <c r="Q258" s="3">
        <f>1361.9+(164.1-690.9)+(-0.694569+(-0.083691--0.352359))+0-0-0</f>
        <v>834.67409900000018</v>
      </c>
      <c r="R258" s="3">
        <f>1277.3+(136.7-680.1)+(-2.605692+(-0.278868--1.387404))+0-0-0</f>
        <v>732.40284399999985</v>
      </c>
      <c r="S258" s="3">
        <f>1280+(62.8-616.8)+(-0.6528+(-0.032028--0.314568))+0-0-0</f>
        <v>725.62973999999997</v>
      </c>
      <c r="T258" s="3">
        <f>1261.8+(83.1-579.9)+(-2.574072+(-0.169524--1.182996))+0-0-0</f>
        <v>763.43939999999998</v>
      </c>
      <c r="U258" s="3">
        <f>1253.7+(108.9-612.8)+(0+(0-0))+0-0-0</f>
        <v>749.80000000000007</v>
      </c>
      <c r="V258" s="3">
        <f>1251.3+(116.1-628.4)+(-0.638163+(-0.059211--0.320484))+0-0-0</f>
        <v>738.62311</v>
      </c>
      <c r="W258" s="3">
        <f>1253.2+(319.9-709.3)+(-1.278264+(-0.326298--0.723486))+0-0-0</f>
        <v>862.91892400000006</v>
      </c>
      <c r="X258" s="3">
        <f>1250.5+(314.3-638)+(-2.55102+(-0.641172--1.30152))+0-0-0</f>
        <v>924.90932799999996</v>
      </c>
      <c r="Y258" s="3">
        <f>1250.9+(245.2-596.4)+(-3.189795+(-0.62526--1.52082))+0-0-0</f>
        <v>897.40576500000009</v>
      </c>
      <c r="Z258" s="3">
        <f>1252.6+(210.7-597.4)+(-1.916478+(-0.322371--0.914022))+0-0-0</f>
        <v>864.57517299999984</v>
      </c>
      <c r="AA258" s="3">
        <f>1254.5+(200.8-616.9)+(-1.27959+(-0.204816--0.629238))+0-0-0</f>
        <v>837.54483200000004</v>
      </c>
      <c r="AB258" s="3">
        <f>1254.6+(194.6-631.1)+(-0.639846+(-0.099246--0.321861))+0-0-0</f>
        <v>817.68276899999989</v>
      </c>
      <c r="AC258" s="3">
        <f>1257.4+(130.7-626.3)+(0+(0-0))+0-0-0</f>
        <v>761.80000000000018</v>
      </c>
      <c r="AD258">
        <v>887.49999999999989</v>
      </c>
      <c r="AE258" s="3">
        <f>1240+(383.6-736.1)+(0+(0-0))+0-0-0</f>
        <v>887.5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1228.4+(117.7-648.3)+(-1.252968+(-0.120054--0.661266))+0-0-0</f>
        <v>697.08824400000015</v>
      </c>
      <c r="G259" s="3">
        <f>1036.2+(207.4-606.5)+(-2.113848+(-0.423096--1.23726))+0-0-0</f>
        <v>635.80031600000007</v>
      </c>
      <c r="H259" s="3">
        <f>1020.8+(196.5-601.1)+(-0.520608+(-0.100215--0.306561))+0-0-0</f>
        <v>615.88573799999995</v>
      </c>
      <c r="I259" s="3">
        <f>1041.8+(150-579.4)+(-1.062636+(-0.153--0.590988))+0-0-0</f>
        <v>611.775352</v>
      </c>
      <c r="J259" s="3">
        <f>995.9+(197.3-590.2)+(-1.015818+(-0.201246--0.602004))+0-0-0</f>
        <v>602.38494000000003</v>
      </c>
      <c r="K259" s="3">
        <f>1002+(197.5-586.5)+(2.04408+(0.4029-1.19646))+0-0-0</f>
        <v>614.25052000000005</v>
      </c>
      <c r="L259" s="3">
        <f>1056.4+(208.7-623.9)+(-2.155056+(-0.425748--1.272756))+0-0-0</f>
        <v>639.89195200000006</v>
      </c>
      <c r="M259" s="3">
        <f>1180.7+(170.2-687.1)+(-1.204314+(-0.173604--0.700842))+0-0-0</f>
        <v>663.1229239999999</v>
      </c>
      <c r="N259" s="3">
        <f>1195+(196.3-690.1)+(-0.60945+(-0.100113--0.351951))+0-0-0</f>
        <v>700.84238800000003</v>
      </c>
      <c r="O259" s="3">
        <f>1313.5+(83-632.7)+(0+(0-0))+0-0-0</f>
        <v>763.8</v>
      </c>
      <c r="P259" s="3">
        <f>1315.6+(158.6-690.5)+(-3.35478+(-0.40443--1.760775))+0-0-0</f>
        <v>781.70156499999996</v>
      </c>
      <c r="Q259" s="3">
        <f>1408.1+(119.2-736.5)+(-1.436262+(-0.121584--0.75123))+0-0-0</f>
        <v>789.99338399999999</v>
      </c>
      <c r="R259" s="3">
        <f>1399.3+(67.1-723.1)+(-5.709144+(-0.273768--2.950248))+0-0-0</f>
        <v>740.267336</v>
      </c>
      <c r="S259" s="3">
        <f>1410.4+(60.6-747.3)+(-1.438608+(-0.061812--0.762246))+0-0-0</f>
        <v>722.9618260000002</v>
      </c>
      <c r="T259" s="3">
        <f>1411.5+(63.6-759)+(-2.159595+(-0.097308--1.16127))+0-0-0</f>
        <v>715.004367</v>
      </c>
      <c r="U259" s="3">
        <f>1355.6+(62.1-705.8)+(-2.074068+(-0.095013--1.079874))+0-0-0</f>
        <v>710.81079299999999</v>
      </c>
      <c r="V259" s="3">
        <f>1251.5+(86.5-607.2)+(1.914795+(0.132345-0.929016))+0-0-0</f>
        <v>731.91812399999992</v>
      </c>
      <c r="W259" s="3">
        <f>1366.9+(159.1-693.4)+(-0.697119+(-0.081141--0.353634))+0-0-0</f>
        <v>832.17537400000015</v>
      </c>
      <c r="X259" s="3">
        <f>1347+(194.9-649.8)+(-4.80879+(-0.695793--2.319786))+0-0-0</f>
        <v>888.91520300000002</v>
      </c>
      <c r="Y259" s="3">
        <f>1237.5+(292.8-665.6)+(-1.26225+(-0.298656--0.678912))+0-0-0</f>
        <v>863.81800600000008</v>
      </c>
      <c r="Z259" s="3">
        <f>1148.3+(314.3-629.7)+(-2.342532+(-0.641172--1.284588))+0-0-0</f>
        <v>831.20088399999986</v>
      </c>
      <c r="AA259" s="3">
        <f>1097.4+(301.8-581.7)+(-1.679022+(-0.461754--0.890001))+0-0-0</f>
        <v>816.24922500000002</v>
      </c>
      <c r="AB259" s="3">
        <f>1097.2+(343.3-629.6)+(-1.119144+(-0.350166--0.642192))+0-0-0</f>
        <v>810.07288200000005</v>
      </c>
      <c r="AC259" s="3">
        <f>1095.8+(270.5-600.8)+(-1.676574+(-0.413865--0.919224))+0-0-0</f>
        <v>764.32878500000004</v>
      </c>
      <c r="AD259">
        <v>868.60000000000014</v>
      </c>
      <c r="AE259" s="3">
        <f>1400+(196.9-728.3)+(0+(0-0))+0-0-0</f>
        <v>868.6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1125.3+(221.2-650.6)+(0.573903+(0.112812-0.331806))+0-0-0</f>
        <v>696.25490899999988</v>
      </c>
      <c r="G260" s="3">
        <f>1131.1+(144.3-624.3)+(1.153722+(0.147186-0.636786))+0-0-0</f>
        <v>651.76412199999993</v>
      </c>
      <c r="H260" s="3">
        <f>1093.5+(144.6-608.8)+(0+(0-0))+0-0-0</f>
        <v>629.30000000000007</v>
      </c>
      <c r="I260" s="3">
        <f>875+(275.8-556.3)+(1.785+(0.562632-1.134852))+0-0-0</f>
        <v>595.71277999999995</v>
      </c>
      <c r="J260" s="3">
        <f>812.2+(337.6-563.3)+(-0.828444+(-0.344352--0.574566))+0-0-0</f>
        <v>585.90177000000017</v>
      </c>
      <c r="K260" s="3">
        <f>861.8+(297.7-572.8)+(0.879036+(0.303654-0.584256))+0-0-0</f>
        <v>587.29843400000004</v>
      </c>
      <c r="L260" s="3">
        <f>883.9+(283.3-567.5)+(-2.253945+(-0.722415--1.447125))+0-0-0</f>
        <v>598.17076500000007</v>
      </c>
      <c r="M260" s="3">
        <f>789.5+(350-565.8)+(-0.402645+(-0.1785--0.288558))+0-0-0</f>
        <v>573.40741300000002</v>
      </c>
      <c r="N260" s="3">
        <f>826+(323-555.8)+(0.84252+(0.32946-0.566916))+0-0-0</f>
        <v>593.80506400000002</v>
      </c>
      <c r="O260" s="3">
        <f>933.1+(272.5-578.7)+(-1.903524+(-0.5559--1.180548))+0-0-0</f>
        <v>625.62112400000001</v>
      </c>
      <c r="P260" s="3">
        <f>924.1+(287.8-568.2)+(-0.471291+(-0.146778--0.289782))+0-0-0</f>
        <v>643.371713</v>
      </c>
      <c r="Q260" s="3">
        <f>893.1+(304-551.1)+(-2.732886+(-0.93024--1.686366))+0-0-0</f>
        <v>644.02323999999999</v>
      </c>
      <c r="R260" s="3">
        <f>830.2+(350.5-543.5)+(0+(0-0))+0-0-0</f>
        <v>637.20000000000005</v>
      </c>
      <c r="S260" s="3">
        <f>829.8+(358.9-555.8)+(0+(0-0))+0-0-0</f>
        <v>632.9</v>
      </c>
      <c r="T260" s="3">
        <f>786.5+(395-548.9)+(-2.005575+(-1.00725--1.399695))+0-0-0</f>
        <v>630.98687000000007</v>
      </c>
      <c r="U260" s="3">
        <f>784.6+(393.8-549.7)+(1.200438+(0.602514-0.841041))+0-0-0</f>
        <v>629.66191100000003</v>
      </c>
      <c r="V260" s="3">
        <f>855.4+(368.5-571.6)+(-0.436254+(-0.187935--0.291516))+0-0-0</f>
        <v>651.96732699999995</v>
      </c>
      <c r="W260" s="3">
        <f>1127.8+(224.9-576.2)+(0+(0-0))+0-0-0</f>
        <v>776.49999999999989</v>
      </c>
      <c r="X260" s="3">
        <f>1250.1+(195.2-605.4)+(-4.462857+(-0.696864--2.161278))+0-0-0</f>
        <v>836.90155699999991</v>
      </c>
      <c r="Y260" s="3">
        <f>1245.2+(170.8-596.5)+(-2.540208+(-0.348432--1.21686))+0-0-0</f>
        <v>817.82821999999999</v>
      </c>
      <c r="Z260" s="3">
        <f>1180.1+(198.6-583)+(-1.805553+(-0.303858--0.89199))+0-0-0</f>
        <v>794.48257899999999</v>
      </c>
      <c r="AA260" s="3">
        <f>1126+(242.2-592.2)+(0+(0-0))+0-0-0</f>
        <v>776</v>
      </c>
      <c r="AB260" s="3">
        <f>1131.4+(226.8-589.1)+(-1.154028+(-0.231336--0.600882))+0-0-0</f>
        <v>768.31551800000011</v>
      </c>
      <c r="AC260" s="3">
        <f>1127.9+(69-466.4)+(-3.451374+(-0.21114--1.427184))+0-0-0</f>
        <v>728.26467000000014</v>
      </c>
      <c r="AD260">
        <v>846.5</v>
      </c>
      <c r="AE260" s="3">
        <f>1254+(182.8-590.3)+(0+(0-0))+0-0-0</f>
        <v>846.5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1014.6+(27.9-367.9)+(-1.552338+(-0.042687--0.562887))+0-0-0</f>
        <v>673.56786199999999</v>
      </c>
      <c r="G261" s="3">
        <f>736.2+(87.1-226.2)+(-0.750924+(-0.088842--0.230724))+0-0-0</f>
        <v>596.49095799999998</v>
      </c>
      <c r="H261" s="3">
        <f>741.2+(96-260.6)+(-1.512048+(-0.19584--0.531624))+0-0-0</f>
        <v>575.42373600000008</v>
      </c>
      <c r="I261" s="3">
        <f>676.2+(143-253)+(0+(0-0))+0-0-0</f>
        <v>566.20000000000005</v>
      </c>
      <c r="J261" s="3">
        <f>646.7+(174.8-257.6)+(0.329817+(0.089148-0.131376))+0-0-0</f>
        <v>564.18758900000012</v>
      </c>
      <c r="K261" s="3">
        <f>701.1+(151.7-285.1)+(-1.072683+(-0.232101--0.436203))+0-0-0</f>
        <v>566.8314190000001</v>
      </c>
      <c r="L261" s="3">
        <f>711.3+(167-302.1)+(-0.725526+(-0.17034--0.308142))+0-0-0</f>
        <v>575.61227599999995</v>
      </c>
      <c r="M261" s="3">
        <f>712+(158-317.6)+(-1.08936+(-0.24174--0.485928))+0-0-0</f>
        <v>551.55482799999993</v>
      </c>
      <c r="N261" s="3">
        <f>711.9+(154.9-292.9)+(-0.363069+(-0.078999--0.149379))+0-0-0</f>
        <v>573.60731099999998</v>
      </c>
      <c r="O261" s="3">
        <f>711.3+(154.8-272.9)+(0+(0-0))+0-0-0</f>
        <v>593.20000000000005</v>
      </c>
      <c r="P261" s="3">
        <f>671.7+(154.4-228.6)+(-2.055402+(-0.472464--0.699516))+0-0-0</f>
        <v>595.67165</v>
      </c>
      <c r="Q261" s="3">
        <f>647.3+(180.4-242.1)+(-0.330123+(-0.092004--0.123471))+0-0-0</f>
        <v>585.30134399999986</v>
      </c>
      <c r="R261" s="3">
        <f>648.4+(168.2-235.9)+(0.330684+(0.085782-0.120309))+0-0-0</f>
        <v>580.99615699999993</v>
      </c>
      <c r="S261" s="3">
        <f>669.4+(151.7-237.1)+(1.024182+(0.232101-0.362763))+0-0-0</f>
        <v>584.89351999999997</v>
      </c>
      <c r="T261" s="3">
        <f>726.4+(137.2-275.2)+(-0.370464+(-0.069972--0.140352))+0-0-0</f>
        <v>588.09991600000001</v>
      </c>
      <c r="U261" s="3">
        <f>671+(126.5-208.5)+(-0.34221+(-0.064515--0.106335))+0-0-0</f>
        <v>588.69961000000001</v>
      </c>
      <c r="V261" s="3">
        <f>711+(134.8-227.2)+(-0.72522+(-0.137496--0.231744))+0-0-0</f>
        <v>617.96902799999998</v>
      </c>
      <c r="W261" s="3">
        <f>1020+(49-316.4)+(0+(0-0))+0-0-0</f>
        <v>752.6</v>
      </c>
      <c r="X261" s="3">
        <f>1096.4+(67.3-350.5)+(-2.79582+(-0.171615--0.893775))+0-0-0</f>
        <v>811.12634000000003</v>
      </c>
      <c r="Y261" s="3">
        <f>1089.8+(33.2-321.9)+(0+(0-0))+0-0-0</f>
        <v>801.09999999999991</v>
      </c>
      <c r="Z261" s="3">
        <f>1088.7+(29.8-338.7)+(0+(0-0))+0-0-0</f>
        <v>779.80000000000007</v>
      </c>
      <c r="AA261" s="3">
        <f>1091.9+(27-343.8)+(-0.556869+(-0.01377--0.175338))+0-0-0</f>
        <v>774.70469900000012</v>
      </c>
      <c r="AB261" s="3">
        <f>1076.5+(32.4-340.5)+(-0.549015+(-0.016524--0.173655))+0-0-0</f>
        <v>768.00811599999997</v>
      </c>
      <c r="AC261" s="3">
        <f>1022.4+(25.4-331.9)+(0+(0-0))+0-0-0</f>
        <v>715.9</v>
      </c>
      <c r="AD261">
        <v>793.89999999999986</v>
      </c>
      <c r="AE261" s="3">
        <f>1090+(64.1-360.2)+(0+(0-0))+0-0-0</f>
        <v>793.9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1036.8+(49.2-441.1)+(-2.64384+(-0.12546--1.124805))+0-0-0</f>
        <v>643.25550499999986</v>
      </c>
      <c r="G262" s="3">
        <f>966.2+(87.1-444.2)+(-1.478286+(-0.133263--0.679626))+0-0-0</f>
        <v>608.16807700000004</v>
      </c>
      <c r="H262" s="3">
        <f>914.4+(90-415)+(-0.466344+(-0.0459--0.21165))+0-0-0</f>
        <v>589.09940599999993</v>
      </c>
      <c r="I262" s="3">
        <f>877.2+(58.8-353)+(-1.789488+(-0.119952--0.72012))+0-0-0</f>
        <v>581.81068000000005</v>
      </c>
      <c r="J262" s="3">
        <f>809.7+(69.7-305.1)+(-0.412947+(-0.035547--0.155601))+0-0-0</f>
        <v>574.00710699999991</v>
      </c>
      <c r="K262" s="3">
        <f>823.2+(48.7-301.3)+(1.259496+(0.074511-0.460989))+0-0-0</f>
        <v>571.47301800000002</v>
      </c>
      <c r="L262" s="3">
        <f>907.5+(48.7-380.7)+(-1.388475+(-0.074511--0.582471))+0-0-0</f>
        <v>574.61948500000005</v>
      </c>
      <c r="M262" s="3">
        <f>969.2+(40.6-408.4)+(0.988584+(0.041412-0.416568))+0-0-0</f>
        <v>602.01342800000009</v>
      </c>
      <c r="N262" s="3">
        <f>1081.4+(38.8-458.1)+(-0.551514+(-0.019788--0.233631))+0-0-0</f>
        <v>661.76232900000014</v>
      </c>
      <c r="O262" s="3">
        <f>1129.3+(37.4-430.8)+(0.575943+(0.019074-0.219708))+0-0-0</f>
        <v>736.27530899999988</v>
      </c>
      <c r="P262" s="3">
        <f>1135.1+(45.9-409.3)+(0+(0-0))+0-0-0</f>
        <v>771.69999999999982</v>
      </c>
      <c r="Q262" s="3">
        <f>1133.5+(58.8-410)+(-0.578085+(-0.029988--0.2091))+0-0-0</f>
        <v>781.901027</v>
      </c>
      <c r="R262" s="3">
        <f>1122.9+(37.1-413.7)+(-3.436074+(-0.113526--1.265922))+0-0-0</f>
        <v>744.01632200000017</v>
      </c>
      <c r="S262" s="3">
        <f>1097.3+(37.2-411.1)+(-2.238492+(-0.075888--0.838644))+0-0-0</f>
        <v>721.92426399999988</v>
      </c>
      <c r="T262" s="3">
        <f>1053+(41.7-362.3)+(-1.61109+(-0.063801--0.554319))+0-0-0</f>
        <v>731.27942799999994</v>
      </c>
      <c r="U262" s="3">
        <f>1051.7+(39.3-366)+(-1.609101+(-0.060129--0.55998))+0-0-0</f>
        <v>723.89075000000003</v>
      </c>
      <c r="V262" s="3">
        <f>1051.9+(41.7-356.3)+(0+(0-0))+0-0-0</f>
        <v>737.30000000000007</v>
      </c>
      <c r="W262" s="3">
        <f>1129.3+(122.5-405.3)+(0.575943+(0.062475-0.206703))+0-0-0</f>
        <v>846.93171500000005</v>
      </c>
      <c r="X262" s="3">
        <f>1124.9+(154.2-387.3)+(-3.442194+(-0.471852--1.185138))+0-0-0</f>
        <v>889.07109200000002</v>
      </c>
      <c r="Y262" s="3">
        <f>1132.9+(70.2-334.5)+(-1.733337+(-0.107406--0.511785))+0-0-0</f>
        <v>867.27104200000019</v>
      </c>
      <c r="Z262" s="3">
        <f>1133.6+(57.3-345.2)+(-0.578136+(-0.029223--0.176052))+0-0-0</f>
        <v>845.26869299999998</v>
      </c>
      <c r="AA262" s="3">
        <f>1133.9+(75.2-379.1)+(0.578289+(0.038352-0.193341))+0-0-0</f>
        <v>830.42330000000004</v>
      </c>
      <c r="AB262" s="3">
        <f>1131.8+(35.4-356.2)+(-1.731654+(-0.054162--0.544986))+0-0-0</f>
        <v>809.75917000000004</v>
      </c>
      <c r="AC262" s="3">
        <f>1101.1+(32.3-365.6)+(-3.369366+(-0.098838--1.118736))+0-0-0</f>
        <v>765.45053199999995</v>
      </c>
      <c r="AD262">
        <v>872.8</v>
      </c>
      <c r="AE262" s="3">
        <f>1112+(197.1-436.3)+(0+(0-0))+0-0-0</f>
        <v>872.8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937.1+(43.9-300.1)+(-2.389605+(-0.111945--0.765255))+0-0-0</f>
        <v>679.16370499999994</v>
      </c>
      <c r="G263" s="3">
        <f>797+(71.9-242.3)+(-2.43882+(-0.220014--0.741438))+0-0-0</f>
        <v>624.68260399999997</v>
      </c>
      <c r="H263" s="3">
        <f>800.6+(72.3-264.7)+(1.224918+(0.110619-0.404991))+0-0-0</f>
        <v>609.13054600000009</v>
      </c>
      <c r="I263" s="3">
        <f>798.5+(74.9-275.4)+(0+(0-0))+0-0-0</f>
        <v>598</v>
      </c>
      <c r="J263" s="3">
        <f>799.5+(81.6-289)+(1.223235+(0.124848-0.44217))+0-0-0</f>
        <v>593.00591300000008</v>
      </c>
      <c r="K263" s="3">
        <f>857+(64.9-323.7)+(-1.31121+(-0.099297--0.495261))+0-0-0</f>
        <v>597.28475400000002</v>
      </c>
      <c r="L263" s="3">
        <f>876+(71.1-334.9)+(-0.44676+(-0.036261--0.170799))+0-0-0</f>
        <v>611.88777800000003</v>
      </c>
      <c r="M263" s="3">
        <f>960+(60.7-412.5)+(-0.9792+(-0.061914--0.42075))+0-0-0</f>
        <v>607.57963600000005</v>
      </c>
      <c r="N263" s="3">
        <f>1116.5+(34-465.3)+(1.13883+(0.03468-0.474606))+0-0-0</f>
        <v>685.89890400000002</v>
      </c>
      <c r="O263" s="3">
        <f>1125.5+(37.7-430.4)+(0.574005+(0.019227-0.219504))+0-0-0</f>
        <v>733.17372799999998</v>
      </c>
      <c r="P263" s="3">
        <f>1126.8+(48.4-414.1)+(1.724004+(0.074052-0.633573))+0-0-0</f>
        <v>762.26448299999993</v>
      </c>
      <c r="Q263" s="3">
        <f>1122.7+(56.1-413.8)+(-0.572577+(-0.028611--0.211038))+0-0-0</f>
        <v>764.60985000000005</v>
      </c>
      <c r="R263" s="3">
        <f>1118.3+(37-443.6)+(-1.710999+(-0.05661--0.678708))+0-0-0</f>
        <v>710.61109899999997</v>
      </c>
      <c r="S263" s="3">
        <f>1119.7+(35-458)+(-2.855235+(-0.08925--1.1679))+0-0-0</f>
        <v>694.92341500000009</v>
      </c>
      <c r="T263" s="3">
        <f>1103.2+(35-466.4)+(-1.687896+(-0.05355--0.713592))+0-0-0</f>
        <v>670.77214600000002</v>
      </c>
      <c r="U263" s="3">
        <f>1084.2+(35.4-428)+(-2.211768+(-0.072216--0.87312))+0-0-0</f>
        <v>690.18913600000008</v>
      </c>
      <c r="V263" s="3">
        <f>1064.5+(46.6-398.4)+(-1.628685+(-0.071298--0.609552))+0-0-0</f>
        <v>711.60956900000008</v>
      </c>
      <c r="W263" s="3">
        <f>1122.1+(147.3-447.9)+(0.572271+(0.075123-0.228429))+0-0-0</f>
        <v>821.91896499999996</v>
      </c>
      <c r="X263" s="3">
        <f>1126+(216.5-466.3)+(0+(0-0))+0-0-0</f>
        <v>876.2</v>
      </c>
      <c r="Y263" s="3">
        <f>1128.2+(174.1-438.9)+(-2.87691+(-0.443955--1.119195))+0-0-0</f>
        <v>861.19833000000006</v>
      </c>
      <c r="Z263" s="3">
        <f>1131.6+(175.7-475.3)+(-2.308464+(-0.358428--0.969612))+0-0-0</f>
        <v>830.30271999999991</v>
      </c>
      <c r="AA263" s="3">
        <f>1135.3+(141.4-448.1)+(-1.737009+(-0.216342--0.685593))+0-0-0</f>
        <v>827.33224199999995</v>
      </c>
      <c r="AB263" s="3">
        <f>1136+(161.6-497.9)+(-1.73808+(-0.247248--0.761787))+0-0-0</f>
        <v>798.47645900000009</v>
      </c>
      <c r="AC263" s="3">
        <f>1122.5+(174.3-545.2)+(-1.14495+(-0.177786--0.556104))+0-0-0</f>
        <v>750.83336799999995</v>
      </c>
      <c r="AD263">
        <v>900.40000000000009</v>
      </c>
      <c r="AE263" s="3">
        <f>1116+(237.4-453)+(0+(0-0))+0-0-0</f>
        <v>900.4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905.4+(163.8-384)+(-1.385262+(-0.250614--0.58752))+0-0-0</f>
        <v>684.15164400000003</v>
      </c>
      <c r="G264" s="3">
        <f>873.4+(52.8-289.9)+(-0.890868+(-0.053856--0.295698))+0-0-0</f>
        <v>635.65097399999991</v>
      </c>
      <c r="H264" s="3">
        <f>829.3+(49.3-273.3)+(0+(0-0))+0-0-0</f>
        <v>605.29999999999995</v>
      </c>
      <c r="I264" s="3">
        <f>772.4+(53.6-239)+(0.393924+(0.027336-0.12189))+0-0-0</f>
        <v>587.29936999999995</v>
      </c>
      <c r="J264" s="3">
        <f>763.3+(51.7-230.7)+(-0.389283+(-0.026367--0.117657))+0-0-0</f>
        <v>584.00200699999994</v>
      </c>
      <c r="K264" s="3">
        <f>732.1+(93-245.9)+(1.866855+(0.23715-0.627045))+0-0-0</f>
        <v>580.67696000000001</v>
      </c>
      <c r="L264" s="3">
        <f>721.2+(92.7-227.2)+(-1.83906+(-0.236385--0.57936))+0-0-0</f>
        <v>585.20391500000005</v>
      </c>
      <c r="M264" s="3">
        <f>723.9+(88.1-237.3)+(-1.107567+(-0.134793--0.363069))+0-0-0</f>
        <v>573.82070899999997</v>
      </c>
      <c r="N264" s="3">
        <f>781.2+(65.6-249.1)+(0.796824+(0.066912-0.254082))+0-0-0</f>
        <v>598.30965400000002</v>
      </c>
      <c r="O264" s="3">
        <f>973.3+(48.4-365)+(0.992766+(0.049368-0.3723))+0-0-0</f>
        <v>657.36983399999997</v>
      </c>
      <c r="P264" s="3">
        <f>1109.2+(36.9-450.2)+(-1.131384+(-0.037638--0.459204))+0-0-0</f>
        <v>695.19018200000005</v>
      </c>
      <c r="Q264" s="3">
        <f>1118.2+(38.7-448.3)+(-1.140564+(-0.039474--0.457266))+0-0-0</f>
        <v>707.87722800000006</v>
      </c>
      <c r="R264" s="3">
        <f>1117.7+(35.3-464.4)+(-2.280108+(-0.072012--0.947376))+0-0-0</f>
        <v>687.19525600000009</v>
      </c>
      <c r="S264" s="3">
        <f>1112.4+(34-480.8)+(-2.269296+(-0.06936--0.980832))+0-0-0</f>
        <v>664.24217600000009</v>
      </c>
      <c r="T264" s="3">
        <f>1111.4+(32.6-490.5)+(-0.566814+(-0.016626--0.250155))+0-0-0</f>
        <v>653.16671500000007</v>
      </c>
      <c r="U264" s="3">
        <f>1095.9+(33.4-467.9)+(-1.676727+(-0.051102--0.715887))+0-0-0</f>
        <v>660.38805800000011</v>
      </c>
      <c r="V264" s="3">
        <f>1048.5+(39.8-411.1)+(-0.534735+(-0.020298--0.209661))+0-0-0</f>
        <v>676.85462800000005</v>
      </c>
      <c r="W264" s="3">
        <f>1106.1+(125.2-420.4)+(-1.692333+(-0.191556--0.643212))+0-0-0</f>
        <v>809.65932299999986</v>
      </c>
      <c r="X264" s="3">
        <f>1118.9+(275-521.4)+(-0.570639+(-0.14025--0.265914))+0-0-0</f>
        <v>872.05502500000011</v>
      </c>
      <c r="Y264" s="3">
        <f>1122.6+(411.7-669.7)+(-0.572526+(-0.209967--0.341547))+0-0-0</f>
        <v>864.15905399999986</v>
      </c>
      <c r="Z264" s="3">
        <f>1123.7+(363.6-641.7)+(-1.146174+(-0.370872--0.654534))+0-0-0</f>
        <v>844.73748799999998</v>
      </c>
      <c r="AA264" s="3">
        <f>1122.3+(298.4-590.7)+(-1.717119+(-0.456552--0.903771))+0-0-0</f>
        <v>828.73009999999988</v>
      </c>
      <c r="AB264" s="3">
        <f>1119.7+(298.2-610.2)+(-1.713141+(-0.456246--0.933606))+0-0-0</f>
        <v>806.46421900000007</v>
      </c>
      <c r="AC264" s="3">
        <f>1112+(233.2-599.2)+(-3.40272+(-0.713592--1.833552))+0-0-0</f>
        <v>743.71723999999995</v>
      </c>
      <c r="AD264">
        <v>859.90000000000009</v>
      </c>
      <c r="AE264" s="3">
        <f>1114+(188.7-442.8)+(0+(0-0))+0-0-0</f>
        <v>859.9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1104.4+(195.7-617.5)+(-2.81622+(-0.499035--1.574625))+0-0-0</f>
        <v>680.85937000000013</v>
      </c>
      <c r="G265" s="3">
        <f>1032.3+(217.9-612.4)+(-2.105892+(-0.444516--1.249296))+0-0-0</f>
        <v>636.49888799999997</v>
      </c>
      <c r="H265" s="3">
        <f>908.2+(293.2-588.2)+(0+(0-0))+0-0-0</f>
        <v>613.20000000000005</v>
      </c>
      <c r="I265" s="3">
        <f>903.6+(291.1-593.6)+(-0.460836+(-0.148461--0.302736))+0-0-0</f>
        <v>600.79343900000003</v>
      </c>
      <c r="J265" s="3">
        <f>894.4+(300-588.8)+(0.456144+(0.153-0.300288))+0-0-0</f>
        <v>605.90885600000001</v>
      </c>
      <c r="K265" s="3">
        <f>938.1+(316.1-637.9)+(0.478431+(0.161211-0.325329))+0-0-0</f>
        <v>616.61431300000004</v>
      </c>
      <c r="L265" s="3">
        <f>1062.4+(317-712)+(0+(0-0))+0-0-0</f>
        <v>667.40000000000009</v>
      </c>
      <c r="M265" s="3">
        <f>1075.1+(280.5-669.6)+(1.644903+(0.429165-1.024488))+0-0-0</f>
        <v>687.04957999999988</v>
      </c>
      <c r="N265" s="3">
        <f>1115.5+(215.4-616.9)+(1.13781+(0.219708-0.629238))+0-0-0</f>
        <v>714.72828000000004</v>
      </c>
      <c r="O265" s="3">
        <f>1132.6+(239.4-600.1)+(0+(0-0))+0-0-0</f>
        <v>771.89999999999986</v>
      </c>
      <c r="P265" s="3">
        <f>1110.8+(274.2-588.2)+(-1.699524+(-0.419526--0.899946))+0-0-0</f>
        <v>795.58089599999994</v>
      </c>
      <c r="Q265" s="3">
        <f>1109+(349.5-672.3)+(-1.13118+(-0.35649--0.685746))+0-0-0</f>
        <v>785.39807600000006</v>
      </c>
      <c r="R265" s="3">
        <f>1182.9+(274.4-710.5)+(-3.016395+(-0.69972--1.811775))+0-0-0</f>
        <v>744.89566000000002</v>
      </c>
      <c r="S265" s="3">
        <f>1108.5+(281.8-668.7)+(0+(0-0))+0-0-0</f>
        <v>721.59999999999991</v>
      </c>
      <c r="T265" s="3">
        <f>1108.2+(310.6-698.6)+(-1.130364+(-0.316812--0.712572))+0-0-0</f>
        <v>719.46539600000006</v>
      </c>
      <c r="U265" s="3">
        <f>1110.4+(274.3-655.7)+(0+(0-0))+0-0-0</f>
        <v>729</v>
      </c>
      <c r="V265" s="3">
        <f>1108.5+(290-638.4)+(-0.565335+(-0.1479--0.325584))+0-0-0</f>
        <v>759.71234900000002</v>
      </c>
      <c r="W265" s="3">
        <f>1111.8+(459.8-704.9)+(1.134036+(0.468996-0.718998))+0-0-0</f>
        <v>867.58403400000009</v>
      </c>
      <c r="X265" s="3">
        <f>1106.4+(485.3-674.9)+(-1.692792+(-0.742509--1.032597))+0-0-0</f>
        <v>915.39729600000021</v>
      </c>
      <c r="Y265" s="3">
        <f>1105.2+(419.5-638.3)+(-0.563652+(-0.213945--0.325533))+0-0-0</f>
        <v>885.94793600000014</v>
      </c>
      <c r="Z265" s="3">
        <f>1107.4+(352.1-601.5)+(-0.564774+(-0.179571--0.306765))+0-0-0</f>
        <v>857.56242000000009</v>
      </c>
      <c r="AA265" s="3">
        <f>1104.3+(336.3-596.7)+(0+(0-0))+0-0-0</f>
        <v>843.89999999999986</v>
      </c>
      <c r="AB265" s="3">
        <f>1107.7+(316.8-600.5)+(0+(0-0))+0-0-0</f>
        <v>824</v>
      </c>
      <c r="AC265" s="3">
        <f>958+(412.7-608.5)+(0+(0-0))+0-0-0</f>
        <v>762.2</v>
      </c>
      <c r="AD265">
        <v>951.3</v>
      </c>
      <c r="AE265" s="3">
        <f>1106+(533.1-687.8)+(0+(0-0))+0-0-0</f>
        <v>951.30000000000007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906.8+(392.6-614.8)+(-1.387404+(-0.600678--0.940644))+0-0-0</f>
        <v>683.55256199999997</v>
      </c>
      <c r="G266" s="3">
        <f>808+(421.2-588.5)+(-2.0604+(-1.07406--1.500675))+0-0-0</f>
        <v>639.06621500000006</v>
      </c>
      <c r="H266" s="3">
        <f>742.1+(444.2-568)+(0+(0-0))+0-0-0</f>
        <v>618.29999999999995</v>
      </c>
      <c r="I266" s="3">
        <f>721.7+(461.3-577.8)+(0+(0-0))+0-0-0</f>
        <v>605.20000000000005</v>
      </c>
      <c r="J266" s="3">
        <f>716.7+(472.4-583.2)+(-0.731034+(-0.481848--0.594864))+0-0-0</f>
        <v>605.28198199999997</v>
      </c>
      <c r="K266" s="3">
        <f>753.1+(427.7-573.1)+(1.152243+(0.654381-0.876843))+0-0-0</f>
        <v>608.62978100000009</v>
      </c>
      <c r="L266" s="3">
        <f>879.7+(386.9-630.3)+(0.897294+(0.394638-0.642906))+0-0-0</f>
        <v>636.94902600000012</v>
      </c>
      <c r="M266" s="3">
        <f>927.4+(379.6-653)+(1.891896+(0.774384-1.33212))+0-0-0</f>
        <v>655.33416</v>
      </c>
      <c r="N266" s="3">
        <f>1098.4+(254.9-654.8)+(-1.120368+(-0.259998--0.667896))+0-0-0</f>
        <v>697.78753000000006</v>
      </c>
      <c r="O266" s="3">
        <f>1121.4+(260.7-595.2)+(0.571914+(0.132957-0.303552))+0-0-0</f>
        <v>787.30131900000003</v>
      </c>
      <c r="P266" s="3">
        <f>1135.2+(259.1-607.8)+(0.578952+(0.132141-0.309978))+0-0-0</f>
        <v>786.90111500000012</v>
      </c>
      <c r="Q266" s="3">
        <f>1119+(284.6-630.5)+(-2.28276+(-0.580584--1.28622))+0-0-0</f>
        <v>771.522876</v>
      </c>
      <c r="R266" s="3">
        <f>1121.1+(228-609.4)+(-1.715283+(-0.34884--0.932382))+0-0-0</f>
        <v>738.5682589999999</v>
      </c>
      <c r="S266" s="3">
        <f>1065+(235.7-573.4)+(-1.0863+(-0.240414--0.584868))+0-0-0</f>
        <v>726.55815399999994</v>
      </c>
      <c r="T266" s="3">
        <f>1056.8+(272.9-612.4)+(1.077936+(0.278358-0.624648))+0-0-0</f>
        <v>718.03164599999991</v>
      </c>
      <c r="U266" s="3">
        <f>1110.5+(262.5-650.5)+(-1.13271+(-0.26775--0.66351))+0-0-0</f>
        <v>721.76305000000002</v>
      </c>
      <c r="V266" s="3">
        <f>1118.4+(211.1-595.6)+(1.140768+(0.215322-0.607512))+0-0-0</f>
        <v>734.64857800000004</v>
      </c>
      <c r="W266" s="3">
        <f>1120.8+(449.4-722.3)+(1.143216+(0.458388-0.736746))+0-0-0</f>
        <v>848.764858</v>
      </c>
      <c r="X266" s="3">
        <f>1120.1+(501.6-712.8)+(-2.285004+(-1.023264--1.454112))+0-0-0</f>
        <v>907.04584399999999</v>
      </c>
      <c r="Y266" s="3">
        <f>1121.1+(417.2-652.2)+(-3.430566+(-1.276632--1.995732))+0-0-0</f>
        <v>883.38853399999994</v>
      </c>
      <c r="Z266" s="3">
        <f>1115.6+(369.9-629.3)+(-1.706868+(-0.565947--0.962829))+0-0-0</f>
        <v>854.89001399999995</v>
      </c>
      <c r="AA266" s="3">
        <f>1103.4+(364.3-624.7)+(-1.125468+(-0.371586--0.637194))+0-0-0</f>
        <v>842.14013999999997</v>
      </c>
      <c r="AB266" s="3">
        <f>1099.2+(303.5-585.4)+(-3.363552+(-0.92871--1.791324))+0-0-0</f>
        <v>814.79906200000005</v>
      </c>
      <c r="AC266" s="3">
        <f>1100.5+(260-600.3)+(-1.683765+(-0.3978--0.918459))+0-0-0</f>
        <v>759.03689400000007</v>
      </c>
      <c r="AD266">
        <v>906.39999999999986</v>
      </c>
      <c r="AE266" s="3">
        <f>1125+(525.1-743.7)+(0+(0-0))+0-0-0</f>
        <v>906.4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1026+(268-594.1)+(-1.56978+(-0.41004--0.908973))+0-0-0</f>
        <v>698.82915300000002</v>
      </c>
      <c r="G267" s="3">
        <f>963.3+(300.2-613.2)+(1.965132+(0.612408-1.250928))+0-0-0</f>
        <v>651.62661199999991</v>
      </c>
      <c r="H267" s="3">
        <f>899.9+(312.8-586.9)+(1.376847+(0.478584-0.897957))+0-0-0</f>
        <v>626.757474</v>
      </c>
      <c r="I267" s="3">
        <f>888.8+(300.9-564.9)+(0.453288+(0.153459-0.288099))+0-0-0</f>
        <v>625.11864800000001</v>
      </c>
      <c r="J267" s="3">
        <f>881.9+(316.7-576.5)+(-2.248845+(-0.807585--1.470075))+0-0-0</f>
        <v>620.51364499999988</v>
      </c>
      <c r="K267" s="3">
        <f>885.9+(341.7-605.5)+(0.451809+(0.174267-0.308805))+0-0-0</f>
        <v>622.41727099999991</v>
      </c>
      <c r="L267" s="3">
        <f>878.5+(387.3-612.4)+(-0.89607+(-0.395046--0.624648))+0-0-0</f>
        <v>652.73353200000008</v>
      </c>
      <c r="M267" s="3">
        <f>906.2+(381.2-615.1)+(0.462162+(0.194412-0.313701))+0-0-0</f>
        <v>672.64287300000001</v>
      </c>
      <c r="N267" s="3">
        <f>1077.7+(270.1-645.6)+(0+(0-0))+0-0-0</f>
        <v>702.2</v>
      </c>
      <c r="O267" s="3">
        <f>1140.7+(249.8-625)+(0.581757+(0.127398-0.31875))+0-0-0</f>
        <v>765.89040499999999</v>
      </c>
      <c r="P267" s="3">
        <f>1125.1+(294.2-632.6)+(-0.573801+(-0.150042--0.322626))+0-0-0</f>
        <v>786.29878299999984</v>
      </c>
      <c r="Q267" s="3">
        <f>1133.7+(317-662)+(-1.734561+(-0.48501--1.01286))+0-0-0</f>
        <v>787.493289</v>
      </c>
      <c r="R267" s="3">
        <f>1128.7+(279.9-652.5)+(-1.151274+(-0.285498--0.66555))+0-0-0</f>
        <v>755.32877800000006</v>
      </c>
      <c r="S267" s="3">
        <f>1124.4+(213-599.8)+(-2.293776+(-0.43452--1.223592))+0-0-0</f>
        <v>736.09529600000019</v>
      </c>
      <c r="T267" s="3">
        <f>1124.1+(215.6-605.5)+(-1.146582+(-0.219912--0.61761))+0-0-0</f>
        <v>733.45111599999996</v>
      </c>
      <c r="U267" s="3">
        <f>1118.1+(224.3-611.8)+(-1.710693+(-0.343179--0.936054))+0-0-0</f>
        <v>729.48218199999985</v>
      </c>
      <c r="V267" s="3">
        <f>1122+(202-572.4)+(-1.14444+(-0.20604--0.583848))+0-0-0</f>
        <v>750.83336800000006</v>
      </c>
      <c r="W267" s="3">
        <f>1123.3+(422.3-670.9)+(-0.572883+(-0.215373--0.342159))+0-0-0</f>
        <v>874.25390300000004</v>
      </c>
      <c r="X267" s="3">
        <f>1120.8+(454.3-659.1)+(-2.85804+(-1.158465--1.680705))+0-0-0</f>
        <v>913.66420000000005</v>
      </c>
      <c r="Y267" s="3">
        <f>1124.9+(380.2-615.5)+(-1.147398+(-0.387804--0.62781))+0-0-0</f>
        <v>888.69260800000018</v>
      </c>
      <c r="Z267" s="3">
        <f>1124.9+(361.1-626.1)+(-2.294796+(-0.736644--1.277244))+0-0-0</f>
        <v>858.14580400000011</v>
      </c>
      <c r="AA267" s="3">
        <f>1129.6+(319.6-605.3)+(-1.152192+(-0.325992--0.617406))+0-0-0</f>
        <v>843.039222</v>
      </c>
      <c r="AB267" s="3">
        <f>1126.9+(284.9-591.7)+(-3.448314+(-0.871794--1.810602))+0-0-0</f>
        <v>817.59049400000004</v>
      </c>
      <c r="AC267" s="3">
        <f>1129.5+(253.9-616.1)+(-1.728135+(-0.388467--0.942633))+0-0-0</f>
        <v>766.1260309999999</v>
      </c>
      <c r="AD267">
        <v>914.59999999999991</v>
      </c>
      <c r="AE267" s="3">
        <f>1121+(498.8-705.2)+(0+(0-0))+0-0-0</f>
        <v>914.59999999999991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1057.7+(245.3-614.8)+(-0.539427+(-0.125103--0.313548))+0-0-0</f>
        <v>687.849018</v>
      </c>
      <c r="G268" s="3">
        <f>1032.3+(231.1-613.4)+(-0.526473+(-0.117861--0.312834))+0-0-0</f>
        <v>649.66849999999999</v>
      </c>
      <c r="H268" s="3">
        <f>927.8+(306-611.2)+(0.473178+(0.15606-0.311712))+0-0-0</f>
        <v>622.91752599999995</v>
      </c>
      <c r="I268" s="3">
        <f>926.8+(291.9-606.9)+(1.418004+(0.446607-0.928557))+0-0-0</f>
        <v>612.73605399999997</v>
      </c>
      <c r="J268" s="3">
        <f>968.7+(273.2-626.3)+(-0.494037+(-0.139332--0.319413))+0-0-0</f>
        <v>615.28604400000017</v>
      </c>
      <c r="K268" s="3">
        <f>992.4+(267.8-637.2)+(2.024496+(0.546312-1.299888))+0-0-0</f>
        <v>624.27092000000005</v>
      </c>
      <c r="L268" s="3">
        <f>1101.6+(253.4-708.5)+(0+(0-0))+0-0-0</f>
        <v>646.49999999999989</v>
      </c>
      <c r="M268" s="3">
        <f>1123.9+(220.7-671.3)+(0.573189+(0.112557-0.342363))+0-0-0</f>
        <v>673.6433830000002</v>
      </c>
      <c r="N268" s="3">
        <f>1123.8+(236-649.4)+(0.573138+(0.12036-0.331194))+0-0-0</f>
        <v>710.76230399999997</v>
      </c>
      <c r="O268" s="3">
        <f>1124.6+(246.3-611.4)+(1.147092+(0.251226-0.623628))+0-0-0</f>
        <v>760.27468999999996</v>
      </c>
      <c r="P268" s="3">
        <f>1116+(289.8-621.6)+(-0.56916+(-0.147798--0.317016))+0-0-0</f>
        <v>783.80005800000004</v>
      </c>
      <c r="Q268" s="3">
        <f>1114.5+(321.1-648.3)+(-1.705185+(-0.491283--0.991899))+0-0-0</f>
        <v>786.09543100000008</v>
      </c>
      <c r="R268" s="3">
        <f>1114.5+(226.7-584.6)+(-2.27358+(-0.462468--1.192584))+0-0-0</f>
        <v>755.05653599999994</v>
      </c>
      <c r="S268" s="3">
        <f>1111.9+(96.4-463.9)+(-0.567069+(-0.049164--0.236589))+0-0-0</f>
        <v>744.02035600000011</v>
      </c>
      <c r="T268" s="3">
        <f>1110.5+(84.4-456.9)+(1.13271+(0.086088-0.466038))+0-0-0</f>
        <v>738.75275999999997</v>
      </c>
      <c r="U268" s="3">
        <f>1106.2+(96.1-458)+(0+(0-0))+0-0-0</f>
        <v>744.30000000000007</v>
      </c>
      <c r="V268" s="3">
        <f>1105.9+(106.8-444.5)+(1.128018+(0.108936-0.45339))+0-0-0</f>
        <v>768.983564</v>
      </c>
      <c r="W268" s="3">
        <f>1120.3+(300.9-534)+(1.714059+(0.460377-0.81702))+0-0-0</f>
        <v>888.55741599999988</v>
      </c>
      <c r="X268" s="3">
        <f>1121.4+(329.7-526.3)+(0+(0-0))+0-0-0</f>
        <v>924.80000000000018</v>
      </c>
      <c r="Y268" s="3">
        <f>1117.8+(362.1-583.6)+(-2.85039+(-0.923355--1.48818))+0-0-0</f>
        <v>894.01443499999993</v>
      </c>
      <c r="Z268" s="3">
        <f>1115.3+(336.9-577.3)+(-1.137606+(-0.343638--0.588846))+0-0-0</f>
        <v>874.00760200000002</v>
      </c>
      <c r="AA268" s="3">
        <f>1096.4+(356.7-589.4)+(-1.118328+(-0.363834--0.601188))+0-0-0</f>
        <v>862.81902600000001</v>
      </c>
      <c r="AB268" s="3">
        <f>1098.7+(379.1-641.3)+(0+(0-0))+0-0-0</f>
        <v>836.50000000000011</v>
      </c>
      <c r="AC268" s="3">
        <f>1055.3+(340.3-615.9)+(-1.614609+(-0.520659--0.942327))+0-0-0</f>
        <v>778.50705900000003</v>
      </c>
      <c r="AD268">
        <v>904.3</v>
      </c>
      <c r="AE268" s="3">
        <f>1114+(350.8-560.5)+(0+(0-0))+0-0-0</f>
        <v>904.3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865.9+(408.7-574.6)+(-0.883218+(-0.416874--0.586092))+0-0-0</f>
        <v>699.28599999999994</v>
      </c>
      <c r="G269" s="3">
        <f>779.2+(437.1-574.5)+(-0.794784+(-0.445842--0.58599))+0-0-0</f>
        <v>641.14536400000009</v>
      </c>
      <c r="H269" s="3">
        <f>778+(435.6-562.2)+(-0.39678+(-0.222156--0.286722))+0-0-0</f>
        <v>651.06778599999996</v>
      </c>
      <c r="I269" s="3">
        <f>777.3+(426.3-570.6)+(-0.396423+(-0.217413--0.291006))+0-0-0</f>
        <v>632.67717000000005</v>
      </c>
      <c r="J269" s="3">
        <f>789.9+(396.7-561.9)+(2.819943+(1.416219-2.005983))+0-0-0</f>
        <v>626.93017900000007</v>
      </c>
      <c r="K269" s="3">
        <f>782.6+(406.8-561.7)+(0.798252+(0.414936-0.572934))+0-0-0</f>
        <v>628.34025400000007</v>
      </c>
      <c r="L269" s="3">
        <f>801.5+(434.2-598.4)+(-0.408765+(-0.221442--0.305184))+0-0-0</f>
        <v>636.97497699999997</v>
      </c>
      <c r="M269" s="3">
        <f>908.4+(382-604.1)+(-0.926568+(-0.38964--0.616182))+0-0-0</f>
        <v>685.59997399999997</v>
      </c>
      <c r="N269" s="3">
        <f>1133.9+(215.1-607.6)+(-0.578289+(-0.109701--0.309876))+0-0-0</f>
        <v>741.02188600000011</v>
      </c>
      <c r="O269" s="3">
        <f>1146.6+(272.6-618.1)+(-0.584766+(-0.139026--0.315231))+0-0-0</f>
        <v>800.69143899999995</v>
      </c>
      <c r="P269" s="3">
        <f>1160.2+(273.8-626.8)+(0+(0-0))+0-0-0</f>
        <v>807.2</v>
      </c>
      <c r="Q269" s="3">
        <f>1159.7+(327.4-661.8)+(-1.182894+(-0.333948--0.675036))+0-0-0</f>
        <v>824.45819400000005</v>
      </c>
      <c r="R269" s="3">
        <f>1162.5+(235-607.6)+(-1.778625+(-0.35955--0.929628))+0-0-0</f>
        <v>788.69145300000002</v>
      </c>
      <c r="S269" s="3">
        <f>1155+(180.8-609.4)+(-1.76715+(-0.276624--0.932382))+0-0-0</f>
        <v>725.28860800000007</v>
      </c>
      <c r="T269" s="3">
        <f>1147.6+(189.1-603.5)+(1.755828+(0.289323-0.923355))+0-0-0</f>
        <v>734.32179599999995</v>
      </c>
      <c r="U269" s="3">
        <f>1145.1+(223.1-638.7)+(0+(0-0))+0-0-0</f>
        <v>729.49999999999989</v>
      </c>
      <c r="V269" s="3">
        <f>1138.7+(203.6-598.5)+(-0.580737+(-0.103836--0.305235))+0-0-0</f>
        <v>743.42066200000011</v>
      </c>
      <c r="W269" s="3">
        <f>1138.5+(355.1-631)+(1.16127+(0.362202-0.64362))+0-0-0</f>
        <v>863.47985200000005</v>
      </c>
      <c r="X269" s="3">
        <f>1158.9+(342.7-608.3)+(-2.364156+(-0.699108--1.240932))+0-0-0</f>
        <v>891.47766800000022</v>
      </c>
      <c r="Y269" s="3">
        <f>1130.5+(338.4-596.1)+(-3.45933+(-1.035504--1.824066))+0-0-0</f>
        <v>870.129232</v>
      </c>
      <c r="Z269" s="3">
        <f>1109.6+(313.8-584.7)+(-0.565896+(-0.160038--0.298197))+0-0-0</f>
        <v>838.27226299999984</v>
      </c>
      <c r="AA269" s="3">
        <f>1119.5+(295.7-595.4)+(-2.28378+(-0.603228--1.214616))+0-0-0</f>
        <v>818.12760800000001</v>
      </c>
      <c r="AB269" s="3">
        <f>1119.1+(280.9-594.5)+(-2.282964+(-0.573036--1.21278))+0-0-0</f>
        <v>803.85677999999984</v>
      </c>
      <c r="AC269" s="3">
        <f>1068.7+(294.9-604.6)+(-2.180148+(-0.601596--1.233384))+0-0-0</f>
        <v>757.45164</v>
      </c>
      <c r="AD269">
        <v>909.2</v>
      </c>
      <c r="AE269" s="3">
        <f>1149+(415.2-655)+(0+(0-0))+0-0-0</f>
        <v>909.2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1033+(264-616.3)+(-2.63415+(-0.6732--1.571565))+0-0-0</f>
        <v>678.96421500000008</v>
      </c>
      <c r="G270" s="3">
        <f>835.3+(383.4-598.4)+(-0.426003+(-0.195534--0.305184))+0-0-0</f>
        <v>619.98364699999991</v>
      </c>
      <c r="H270" s="3">
        <f>791.4+(394.8-595.7)+(-1.210842+(-0.604044--0.911421))+0-0-0</f>
        <v>589.59653500000002</v>
      </c>
      <c r="I270" s="3">
        <f>796.9+(385.2-600.8)+(1.219257+(0.589356-0.919224))+0-0-0</f>
        <v>582.18938900000001</v>
      </c>
      <c r="J270" s="3">
        <f>793.9+(359.6-578.5)+(0.404889+(0.183396-0.295035))+0-0-0</f>
        <v>575.29324999999994</v>
      </c>
      <c r="K270" s="3">
        <f>797.5+(364.7-578)+(1.220175+(0.557991-0.88434))+0-0-0</f>
        <v>585.09382600000004</v>
      </c>
      <c r="L270" s="3">
        <f>794.5+(443.5-622.6)+(0.405195+(0.226185-0.317526))+0-0-0</f>
        <v>615.71385399999997</v>
      </c>
      <c r="M270" s="3">
        <f>813.4+(428.4-615.8)+(0.414834+(0.218484-0.314058))+0-0-0</f>
        <v>626.31925999999999</v>
      </c>
      <c r="N270" s="3">
        <f>1079.1+(258.4-663.8)+(0.550341+(0.131784-0.338538))+0-0-0</f>
        <v>674.04358699999989</v>
      </c>
      <c r="O270" s="3">
        <f>1098.1+(260.3-625.4)+(-0.560031+(-0.132753--0.318954))+0-0-0</f>
        <v>732.62617</v>
      </c>
      <c r="P270" s="3">
        <f>1121.6+(256.5-601.3)+(-1.144032+(-0.26163--0.613326))+0-0-0</f>
        <v>776.00766399999998</v>
      </c>
      <c r="Q270" s="3">
        <f>1128+(273-625.1)+(-2.30112+(-0.55692--1.275204))+0-0-0</f>
        <v>774.31716399999993</v>
      </c>
      <c r="R270" s="3">
        <f>1126.6+(203.9-598.6)+(-3.447396+(-0.623934--1.831716))+0-0-0</f>
        <v>729.6603859999999</v>
      </c>
      <c r="S270" s="3">
        <f>1127.7+(211.3-621.4)+(0+(0-0))+0-0-0</f>
        <v>717.60000000000014</v>
      </c>
      <c r="T270" s="3">
        <f>1129.9+(212.1-640.1)+(-2.304996+(-0.432684--1.305804))+0-0-0</f>
        <v>700.4681240000001</v>
      </c>
      <c r="U270" s="3">
        <f>1130.1+(211.5-639.4)+(0+(0-0))+0-0-0</f>
        <v>702.19999999999993</v>
      </c>
      <c r="V270" s="3">
        <f>1125.4+(222-607.4)+(0+(0-0))+0-0-0</f>
        <v>740.00000000000011</v>
      </c>
      <c r="W270" s="3">
        <f>1139.3+(300.1-591.8)+(0+(0-0))+0-0-0</f>
        <v>847.6</v>
      </c>
      <c r="X270" s="3">
        <f>1133.4+(343-587.8)+(-2.312136+(-0.69972--1.199112))+0-0-0</f>
        <v>886.78725600000018</v>
      </c>
      <c r="Y270" s="3">
        <f>1097.4+(360.6-596.6)+(-1.679022+(-0.551718--0.912798))+0-0-0</f>
        <v>860.08205800000007</v>
      </c>
      <c r="Z270" s="3">
        <f>1098.6+(320.6-584.4)+(-0.560286+(-0.163506--0.298044))+0-0-0</f>
        <v>834.37425199999996</v>
      </c>
      <c r="AA270" s="3">
        <f>1092.9+(319.5-597.5)+(-2.229516+(-0.65178--1.2189))+0-0-0</f>
        <v>813.23760400000015</v>
      </c>
      <c r="AB270" s="3">
        <f>1075.8+(316.2-590.7)+(-2.74329+(-0.80631--1.506285))+0-0-0</f>
        <v>799.25668499999995</v>
      </c>
      <c r="AC270" s="3">
        <f>917.4+(391.2-578.1)+(-2.33937+(-0.99756--1.474155))+0-0-0</f>
        <v>728.63722499999994</v>
      </c>
      <c r="AD270">
        <v>926.3</v>
      </c>
      <c r="AE270" s="3">
        <f>1147+(338.4-609.5)+(0+(0-0))+0-0-0</f>
        <v>875.9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843+(415-594.7)+(-0.85986+(-0.4233--0.606594))+0-0-0</f>
        <v>662.62343399999997</v>
      </c>
      <c r="G271" s="3">
        <f>817.2+(403.6-595.2)+(-1.667088+(-0.823344--1.214208))+0-0-0</f>
        <v>624.32377600000007</v>
      </c>
      <c r="H271" s="3">
        <f>818.3+(387.8-608.9)+(-0.417333+(-0.197778--0.310539))+0-0-0</f>
        <v>596.89542800000004</v>
      </c>
      <c r="I271" s="3">
        <f>785.9+(389.1-593.7)+(-0.801618+(-0.396882--0.605574))+0-0-0</f>
        <v>580.70707399999992</v>
      </c>
      <c r="J271" s="3">
        <f>758.7+(404.3-590.9)+(0.386937+(0.206193-0.301359))+0-0-0</f>
        <v>572.39177100000018</v>
      </c>
      <c r="K271" s="3">
        <f>755.8+(405.6-587.3)+(0+(0-0))+0-0-0</f>
        <v>574.1</v>
      </c>
      <c r="L271" s="3">
        <f>782.4+(403.7-595.8)+(-0.399024+(-0.205887--0.303858))+0-0-0</f>
        <v>589.99894699999993</v>
      </c>
      <c r="M271" s="3">
        <f>812.7+(371.2-601.9)+(-2.901339+(-1.325184--2.148783))+0-0-0</f>
        <v>579.92226000000005</v>
      </c>
      <c r="N271" s="3">
        <f>836.3+(386-605.7)+(0.853026+(0.39372-0.617814))+0-0-0</f>
        <v>617.22893199999987</v>
      </c>
      <c r="O271" s="3">
        <f>856.2+(373.9-597.1)+(0+(0-0))+0-0-0</f>
        <v>633</v>
      </c>
      <c r="P271" s="3">
        <f>1067.2+(238.8-613.1)+(-2.177088+(-0.487152--1.250724))+0-0-0</f>
        <v>691.48648400000013</v>
      </c>
      <c r="Q271" s="3">
        <f>1081.6+(225.7-598.4)+(-1.103232+(-0.230214--0.610368))+0-0-0</f>
        <v>708.17692199999988</v>
      </c>
      <c r="R271" s="3">
        <f>1098.2+(210.7-619.7)+(-2.80041+(-0.537285--1.580235))+0-0-0</f>
        <v>687.44254000000001</v>
      </c>
      <c r="S271" s="3">
        <f>1028.5+(271.3-622.4)+(-1.573605+(-0.415089--0.952272))+0-0-0</f>
        <v>676.36357800000008</v>
      </c>
      <c r="T271" s="3">
        <f>908.9+(339.9-580.1)+(-0.927078+(-0.346698--0.591702))+0-0-0</f>
        <v>668.01792599999999</v>
      </c>
      <c r="U271" s="3">
        <f>864+(383.2-596.2)+(0.44064+(0.195432-0.304062))+0-0-0</f>
        <v>651.33200999999997</v>
      </c>
      <c r="V271" s="3">
        <f>869.6+(367.9-567.3)+(0.886992+(0.375258-0.578646))+0-0-0</f>
        <v>670.88360399999999</v>
      </c>
      <c r="W271" s="3">
        <f>1055.2+(303-569.5)+(0+(0-0))+0-0-0</f>
        <v>788.7</v>
      </c>
      <c r="X271" s="3">
        <f>1092.4+(341-601)+(-2.78562+(-0.86955--1.53255))+0-0-0</f>
        <v>830.27738000000011</v>
      </c>
      <c r="Y271" s="3">
        <f>1102.1+(349.1-641.8)+(0.562071+(0.178041-0.327318))+0-0-0</f>
        <v>809.81279399999994</v>
      </c>
      <c r="Z271" s="3">
        <f>1101+(316.4-621.2)+(-1.12302+(-0.322728--0.633624))+0-0-0</f>
        <v>795.38787599999989</v>
      </c>
      <c r="AA271" s="3">
        <f>1082.3+(327.9-616.9)+(-2.759865+(-0.836145--1.573095))+0-0-0</f>
        <v>791.27708499999994</v>
      </c>
      <c r="AB271" s="3">
        <f>981.1+(407.5-620.1)+(-1.501083+(-0.623475--0.948753))+0-0-0</f>
        <v>767.32419500000003</v>
      </c>
      <c r="AC271" s="3">
        <f>854.5+(416.9-558.4)+(-2.178975+(-1.063095--1.42392))+0-0-0</f>
        <v>711.18185000000005</v>
      </c>
      <c r="AD271">
        <v>813.80000000000007</v>
      </c>
      <c r="AE271" s="3">
        <f>1085+(288.7-559.9)+(0+(0-0))+0-0-0</f>
        <v>813.8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763.7+(496.3-589.3)+(0+(0-0))+0-0-0</f>
        <v>670.7</v>
      </c>
      <c r="G272" s="3">
        <f>688.7+(517.1-567.6)+(-1.404948+(-1.054884--1.157904))+0-0-0</f>
        <v>636.89807200000007</v>
      </c>
      <c r="H272" s="3">
        <f>659+(534.5-578)+(-1.68045+(-1.362975--1.4739))+0-0-0</f>
        <v>613.930475</v>
      </c>
      <c r="I272" s="3">
        <f>560.1+(590.1-550.5)+(0.856953+(0.902853-0.842265))+0-0-0</f>
        <v>600.61754100000007</v>
      </c>
      <c r="J272" s="3">
        <f>551.1+(604.8-557.9)+(0+(0-0))+0-0-0</f>
        <v>598</v>
      </c>
      <c r="K272" s="3">
        <f>578.3+(562.3-543.7)+(0.884799+(0.860319-0.831861))+0-0-0</f>
        <v>597.81325699999991</v>
      </c>
      <c r="L272" s="3">
        <f>703.6+(468.5-570.7)+(-0.358836+(-0.238935--0.291057))+0-0-0</f>
        <v>601.09328599999992</v>
      </c>
      <c r="M272" s="3">
        <f>759.1+(438-568.3)+(0.387141+(0.22338-0.289833))+0-0-0</f>
        <v>629.12068800000009</v>
      </c>
      <c r="N272" s="3">
        <f>760.8+(512.8-597.6)+(-0.388008+(-0.261528--0.304776))+0-0-0</f>
        <v>675.65523999999994</v>
      </c>
      <c r="O272" s="3">
        <f>815.9+(515.6-615.8)+(-1.248327+(-0.788868--0.942174))+0-0-0</f>
        <v>714.60497900000007</v>
      </c>
      <c r="P272" s="3">
        <f>816.1+(570.4-644.8)+(-1.248633+(-0.872712--0.986544))+0-0-0</f>
        <v>740.56519900000001</v>
      </c>
      <c r="Q272" s="3">
        <f>813.6+(574.5-618.4)+(-1.244808+(-0.878985--0.946152))+0-0-0</f>
        <v>768.52235900000005</v>
      </c>
      <c r="R272" s="3">
        <f>809.5+(492.7-587.1)+(-1.238535+(-0.753831--0.898263))+0-0-0</f>
        <v>714.00589699999989</v>
      </c>
      <c r="S272" s="3">
        <f>760.6+(585.6-655.4)+(-0.775812+(-0.597312--0.668508))+0-0-0</f>
        <v>690.09538400000008</v>
      </c>
      <c r="T272" s="3">
        <f>744.3+(572.8-613.5)+(-1.518372+(-1.168512--1.25154))+0-0-0</f>
        <v>702.16465599999992</v>
      </c>
      <c r="U272" s="3">
        <f>746.6+(538-585.8)+(-0.380766+(-0.27438--0.298758))+0-0-0</f>
        <v>698.44361200000003</v>
      </c>
      <c r="V272" s="3">
        <f>757.6+(550.2-585.2)+(-0.386376+(-0.280602--0.298452))+0-0-0</f>
        <v>722.23147400000005</v>
      </c>
      <c r="W272" s="3">
        <f>812+(673.3-631.2)+(-0.41412+(-0.343383--0.321912))+0-0-0</f>
        <v>853.66440899999986</v>
      </c>
      <c r="X272" s="3">
        <f>807.9+(690.1-599.8)+(-1.648116+(-1.407804--1.223592))+0-0-0</f>
        <v>896.36767200000008</v>
      </c>
      <c r="Y272" s="3">
        <f>806.9+(633.8-571.2)+(-2.057595+(-1.61619--1.45656))+0-0-0</f>
        <v>867.2827749999999</v>
      </c>
      <c r="Z272" s="3">
        <f>803.6+(615.1-577.7)+(-2.04918+(-1.568505--1.473135))+0-0-0</f>
        <v>838.85545000000002</v>
      </c>
      <c r="AA272" s="3">
        <f>807.2+(572.4-564.4)+(-1.235016+(-0.875772--0.863532))+0-0-0</f>
        <v>813.95274400000005</v>
      </c>
      <c r="AB272" s="3">
        <f>807.9+(547.1-559.3)+(-2.060145+(-1.395105--1.426215))+0-0-0</f>
        <v>793.67096500000002</v>
      </c>
      <c r="AC272" s="3">
        <f>808.7+(566.2-567.8)+(-2.062185+(-1.44381--1.44789))+0-0-0</f>
        <v>805.04189500000018</v>
      </c>
      <c r="AD272">
        <v>893.7</v>
      </c>
      <c r="AE272" s="3">
        <f>812+(731.7-650)+(0+(0-0))+0-0-0</f>
        <v>893.7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700.8+(501.4-562)+(0+(0-0))+0-0-0</f>
        <v>640.19999999999993</v>
      </c>
      <c r="G273" s="3">
        <f>703.9+(466.5-563.4)+(0+(0-0))+0-0-0</f>
        <v>607</v>
      </c>
      <c r="H273" s="3">
        <f>684+(477.8-567.5)+(0+(0-0))+0-0-0</f>
        <v>594.29999999999995</v>
      </c>
      <c r="I273" s="3">
        <f>565.2+(536.9-521.3)+(0+(0-0))+0-0-0</f>
        <v>580.80000000000007</v>
      </c>
      <c r="J273" s="3">
        <f>556.1+(546.4-521)+(0+(0-0))+0-0-0</f>
        <v>581.5</v>
      </c>
      <c r="K273" s="3">
        <f>575.8+(523.5-512.2)+(0+(0-0))+0-0-0</f>
        <v>587.09999999999991</v>
      </c>
      <c r="L273" s="3">
        <f>678.7+(523.9-558.4)+(0+(0-0))+0-0-0</f>
        <v>644.20000000000005</v>
      </c>
      <c r="M273" s="3">
        <f>678.1+(537.3-567.1)+(0+(0-0))+0-0-0</f>
        <v>648.29999999999995</v>
      </c>
      <c r="N273" s="3">
        <f>719.8+(540.9-597.9)+(0+(0-0))+0-0-0</f>
        <v>662.8</v>
      </c>
      <c r="O273" s="3">
        <f>823+(489.8-568.8)+(-0.83946+(-0.499596--0.580176))+0-0-0</f>
        <v>743.24112000000002</v>
      </c>
      <c r="P273" s="3">
        <f>813+(497.7-548.4)+(-1.24389+(-0.761481--0.839052))+0-0-0</f>
        <v>761.13368099999991</v>
      </c>
      <c r="Q273" s="3">
        <f>891.1+(425.3-508.6)+(-1.363383+(-0.650709--0.778158))+0-0-0</f>
        <v>806.56406599999991</v>
      </c>
      <c r="R273" s="3">
        <f>946+(340.3-589.4)+(-1.92984+(-0.694212--1.202376))+0-0-0</f>
        <v>695.47832400000004</v>
      </c>
      <c r="S273" s="3">
        <f>901.2+(381.3-592.8)+(-2.29806+(-0.972315--1.51164))+0-0-0</f>
        <v>687.94126500000004</v>
      </c>
      <c r="T273" s="3">
        <f>903+(385.4-598.9)+(0+(0-0))+0-0-0</f>
        <v>689.5</v>
      </c>
      <c r="U273" s="3">
        <f>897.3+(396-600.6)+(-2.288115+(-1.0098--1.53153))+0-0-0</f>
        <v>690.93361499999992</v>
      </c>
      <c r="V273" s="3">
        <f>909.1+(408-605.9)+(-0.463641+(-0.20808--0.309009))+0-0-0</f>
        <v>710.83728800000006</v>
      </c>
      <c r="W273" s="3">
        <f>1071.6+(466.5-707.7)+(0.546516+(0.237915-0.360927))+0-0-0</f>
        <v>830.82350399999984</v>
      </c>
      <c r="X273" s="3">
        <f>1122.3+(412.1-637.5)+(-1.144746+(-0.420342--0.65025))+0-0-0</f>
        <v>895.98516199999995</v>
      </c>
      <c r="Y273" s="3">
        <f>1123.7+(396.7-647.5)+(-1.146174+(-0.404634--0.66045))+0-0-0</f>
        <v>872.0096420000001</v>
      </c>
      <c r="Z273" s="3">
        <f>1124+(373.4-649)+(-2.29296+(-0.761736--1.32396))+0-0-0</f>
        <v>846.669264</v>
      </c>
      <c r="AA273" s="3">
        <f>1130.3+(334-632.6)+(-2.305812+(-0.68136--1.290504))+0-0-0</f>
        <v>830.00333199999989</v>
      </c>
      <c r="AB273" s="3">
        <f>1132.7+(308.1-636.9)+(-1.733031+(-0.471393--0.974457))+0-0-0</f>
        <v>802.6700330000001</v>
      </c>
      <c r="AC273" s="3">
        <f>1122.5+(361.8-723)+(-2.2899+(-0.738072--1.47492))+0-0-0</f>
        <v>759.74694799999997</v>
      </c>
      <c r="AD273">
        <v>884.5</v>
      </c>
      <c r="AE273" s="3">
        <f>1118+(505.5-739)+(0+(0-0))+0-0-0</f>
        <v>884.5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992.7+(302.7-618.1)+(-1.518831+(-0.463131--0.945693))+0-0-0</f>
        <v>676.26373100000001</v>
      </c>
      <c r="G274" s="3">
        <f>848.2+(354-582.7)+(-2.16291+(-0.9027--1.485885))+0-0-0</f>
        <v>617.92027499999995</v>
      </c>
      <c r="H274" s="3">
        <f>837.4+(338-576.5)+(-0.427074+(-0.17238--0.294015))+0-0-0</f>
        <v>598.594561</v>
      </c>
      <c r="I274" s="3">
        <f>834.8+(330.5-580)+(0+(0-0))+0-0-0</f>
        <v>585.29999999999995</v>
      </c>
      <c r="J274" s="3">
        <f>755.2+(404.6-584.3)+(0.385152+(0.206346-0.297993))+0-0-0</f>
        <v>575.7935050000001</v>
      </c>
      <c r="K274" s="3">
        <f>758+(429-574.7)+(1.54632+(0.87516-1.172388))+0-0-0</f>
        <v>613.54909199999997</v>
      </c>
      <c r="L274" s="3">
        <f>759.8+(456.6-602.2)+(1.162494+(0.698598-0.921366))+0-0-0</f>
        <v>615.13972599999988</v>
      </c>
      <c r="M274" s="3">
        <f>813.1+(425.3-610)+(0+(0-0))+0-0-0</f>
        <v>628.40000000000009</v>
      </c>
      <c r="N274" s="3">
        <f>1044+(283.8-654.4)+(-0.53244+(-0.144738--0.333744))+0-0-0</f>
        <v>673.05656600000009</v>
      </c>
      <c r="O274" s="3">
        <f>1141.3+(316.6-719.6)+(-1.164126+(-0.322932--0.733992))+0-0-0</f>
        <v>737.54693399999996</v>
      </c>
      <c r="P274" s="3">
        <f>1140.1+(327-704.5)+(-1.162902+(-0.33354--0.71859))+0-0-0</f>
        <v>761.82214799999986</v>
      </c>
      <c r="Q274" s="3">
        <f>1137.7+(298.8-680.6)+(-2.320908+(-0.609552--1.388424))+0-0-0</f>
        <v>754.35796400000004</v>
      </c>
      <c r="R274" s="3">
        <f>1133.8+(287.1-701.8)+(-1.734714+(-0.439263--1.073754))+0-0-0</f>
        <v>717.99977699999999</v>
      </c>
      <c r="S274" s="3">
        <f>1123.3+(307.3-723.1)+(-1.145766+(-0.313446--0.737562))+0-0-0</f>
        <v>706.77835000000005</v>
      </c>
      <c r="T274" s="3">
        <f>1118.9+(297-715.2)+(-1.141278+(-0.30294--0.729504))+0-0-0</f>
        <v>699.98528600000009</v>
      </c>
      <c r="U274" s="3">
        <f>1124.9+(295.5-722.3)+(-0.573699+(-0.150705--0.368373))+0-0-0</f>
        <v>697.74396900000011</v>
      </c>
      <c r="V274" s="3">
        <f>1115.7+(283.9-677.7)+(-0.569007+(-0.144789--0.345627))+0-0-0</f>
        <v>721.53183100000001</v>
      </c>
      <c r="W274" s="3">
        <f>1119.6+(475.1-755.3)+(1.141992+(0.484602-0.770406))+0-0-0</f>
        <v>840.25618799999995</v>
      </c>
      <c r="X274" s="3">
        <f>1119.2+(463.8-687.9)+(0+(0-0))+0-0-0</f>
        <v>895.10000000000014</v>
      </c>
      <c r="Y274" s="3">
        <f>1115.3+(403.1-647.1)+(-3.412818+(-1.233486--1.980126))+0-0-0</f>
        <v>868.63382200000001</v>
      </c>
      <c r="Z274" s="3">
        <f>1127.6+(414.4-698.9)+(0+(0-0))+0-0-0</f>
        <v>843.09999999999991</v>
      </c>
      <c r="AA274" s="3">
        <f>1122.7+(401.6-697.7)+(-1.717731+(-0.614448--1.067481))+0-0-0</f>
        <v>825.33530200000007</v>
      </c>
      <c r="AB274" s="3">
        <f>1121.3+(485.7-802.5)+(-2.287452+(-0.990828--1.6371))+0-0-0</f>
        <v>802.85882000000004</v>
      </c>
      <c r="AC274" s="3">
        <f>1021.3+(436.4-702.1)+(-2.604315+(-1.11282--1.790355))+0-0-0</f>
        <v>753.6732199999999</v>
      </c>
      <c r="AD274">
        <v>883.9</v>
      </c>
      <c r="AE274" s="3">
        <f>1113+(473.5-702.6)+(0+(0-0))+0-0-0</f>
        <v>883.9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867.7+(400.4-594.3)+(-1.770108+(-0.816816--1.212372))+0-0-0</f>
        <v>672.42544800000007</v>
      </c>
      <c r="G275" s="3">
        <f>808.6+(396.3-591.1)+(-0.824772+(-0.404226--0.602922))+0-0-0</f>
        <v>613.17392399999994</v>
      </c>
      <c r="H275" s="3">
        <f>765.2+(423.4-581.5)+(-0.390252+(-0.215934--0.296565))+0-0-0</f>
        <v>606.79037900000003</v>
      </c>
      <c r="I275" s="3">
        <f>765+(420.2-573.3)+(0.39015+(0.214302-0.292383))+0-0-0</f>
        <v>612.21206900000004</v>
      </c>
      <c r="J275" s="3">
        <f>844.2+(351.8-597.3)+(-2.583252+(-1.076508--1.827738))+0-0-0</f>
        <v>596.86797799999999</v>
      </c>
      <c r="K275" s="3">
        <f>881.9+(342.1-620)+(1.799076+(0.697884-1.2648))+0-0-0</f>
        <v>605.23216000000002</v>
      </c>
      <c r="L275" s="3">
        <f>879.4+(373.9-620.9)+(0.896988+(0.381378-0.633318))+0-0-0</f>
        <v>633.04504799999995</v>
      </c>
      <c r="M275" s="3">
        <f>1008.4+(295.3-632.9)+(-2.57142+(-0.753015--1.613895))+0-0-0</f>
        <v>669.08945999999992</v>
      </c>
      <c r="N275" s="3">
        <f>1135.3+(219.3-641.5)+(0.579003+(0.111843-0.327165))+0-0-0</f>
        <v>713.46368099999995</v>
      </c>
      <c r="O275" s="3">
        <f>1147.9+(239-633.7)+(-1.170858+(-0.24378--0.646374))+0-0-0</f>
        <v>752.431736</v>
      </c>
      <c r="P275" s="3">
        <f>1146.9+(209.7-579)+(0.584919+(0.106947-0.29529))+0-0-0</f>
        <v>777.99657600000012</v>
      </c>
      <c r="Q275" s="3">
        <f>1141+(215.7-575.8)+(-0.58191+(-0.110007--0.293658))+0-0-0</f>
        <v>780.50174100000004</v>
      </c>
      <c r="R275" s="3">
        <f>1132.6+(204-611.9)+(-2.88813+(-0.5202--1.560345))+0-0-0</f>
        <v>722.85201499999994</v>
      </c>
      <c r="S275" s="3">
        <f>1130.5+(184.1-605.6)+(-1.729665+(-0.281673--0.926568))+0-0-0</f>
        <v>707.91522999999995</v>
      </c>
      <c r="T275" s="3">
        <f>1131.1+(197-615.8)+(-0.576861+(-0.10047--0.314058))+0-0-0</f>
        <v>711.93672699999991</v>
      </c>
      <c r="U275" s="3">
        <f>1129.7+(222.8-635.5)+(2.304588+(0.454512-1.29642))+0-0-0</f>
        <v>718.46267999999998</v>
      </c>
      <c r="V275" s="3">
        <f>1121.6+(222.3-606.3)+(-1.144032+(-0.226746--0.618426))+0-0-0</f>
        <v>736.84764799999994</v>
      </c>
      <c r="W275" s="3">
        <f>1125.7+(407.3-700.1)+(0.574107+(0.207723-0.357051))+0-0-0</f>
        <v>833.32477900000004</v>
      </c>
      <c r="X275" s="3">
        <f>1127.1+(419.7-638.9)+(-2.299284+(-0.856188--1.303356))+0-0-0</f>
        <v>906.04788399999984</v>
      </c>
      <c r="Y275" s="3">
        <f>1132.7+(389.8-635.5)+(-2.310708+(-0.795192--1.29642))+0-0-0</f>
        <v>885.19051999999999</v>
      </c>
      <c r="Z275" s="3">
        <f>1135.4+(422.1-695.7)+(-1.737162+(-0.645813--1.064421))+0-0-0</f>
        <v>860.48144600000012</v>
      </c>
      <c r="AA275" s="3">
        <f>1136.1+(402.1-690)+(-1.738233+(-0.615213--1.0557))+0-0-0</f>
        <v>846.90225399999997</v>
      </c>
      <c r="AB275" s="3">
        <f>1138.4+(372.6-690.4)+(-1.741752+(-0.570078--1.056312))+0-0-0</f>
        <v>819.34448200000008</v>
      </c>
      <c r="AC275" s="3">
        <f>1141+(275.5-656.4)+(-2.90955+(-0.702525--1.67382))+0-0-0</f>
        <v>758.161745</v>
      </c>
      <c r="AD275">
        <v>892.5</v>
      </c>
      <c r="AE275" s="3">
        <f>1132+(467-706.5)+(0+(0-0))+0-0-0</f>
        <v>892.5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1034.6+(288.7-639.2)+(-1.582938+(-0.441711--0.977976))+0-0-0</f>
        <v>683.05332699999985</v>
      </c>
      <c r="G276" s="3">
        <f>974.8+(294.2-627.9)+(-0.994296+(-0.300084--0.640458))+0-0-0</f>
        <v>640.44607799999994</v>
      </c>
      <c r="H276" s="3">
        <f>920.1+(339.6-639.6)+(-0.938502+(-0.346392--0.652392))+0-0-0</f>
        <v>619.46749799999998</v>
      </c>
      <c r="I276" s="3">
        <f>864.4+(344.3-602.1)+(0.440844+(0.175593-0.307071))+0-0-0</f>
        <v>606.90936599999986</v>
      </c>
      <c r="J276" s="3">
        <f>863.8+(349.8-608.1)+(0.440538+(0.178398-0.310131))+0-0-0</f>
        <v>605.80880500000001</v>
      </c>
      <c r="K276" s="3">
        <f>889.1+(321.8-601.5)+(0.453441+(0.164118-0.306765))+0-0-0</f>
        <v>609.71079400000008</v>
      </c>
      <c r="L276" s="3">
        <f>1085.3+(222.8-672.4)+(0.553503+(0.113628-0.342924))+0-0-0</f>
        <v>636.02420700000005</v>
      </c>
      <c r="M276" s="3">
        <f>1121.2+(231.2-691.1)+(-1.143624+(-0.235824--0.704922))+0-0-0</f>
        <v>660.62547399999994</v>
      </c>
      <c r="N276" s="3">
        <f>1124.7+(232.6-658.5)+(1.720791+(0.355878-1.007505))+0-0-0</f>
        <v>699.86916400000007</v>
      </c>
      <c r="O276" s="3">
        <f>1130.8+(258.4-631.4)+(-2.88354+(-0.65892--1.61007))+0-0-0</f>
        <v>755.8676099999999</v>
      </c>
      <c r="P276" s="3">
        <f>1133.8+(234.8-592.6)+(-0.578238+(-0.119748--0.302226))+0-0-0</f>
        <v>775.60424</v>
      </c>
      <c r="Q276" s="3">
        <f>1141.3+(258.7-621.4)+(-1.746189+(-0.395811--0.950742))+0-0-0</f>
        <v>777.40874199999996</v>
      </c>
      <c r="R276" s="3">
        <f>1130.5+(250.5-641.4)+(-1.15311+(-0.25551--0.654228))+0-0-0</f>
        <v>738.84560799999997</v>
      </c>
      <c r="S276" s="3">
        <f>1126.2+(236.1-651.3)+(-1.148724+(-0.240822--0.664326))+0-0-0</f>
        <v>710.27478000000008</v>
      </c>
      <c r="T276" s="3">
        <f>1121.5+(213.1-634)+(-1.715895+(-0.326043--0.97002))+0-0-0</f>
        <v>699.52808200000004</v>
      </c>
      <c r="U276" s="3">
        <f>1115.3+(257.5-667.4)+(-2.844015+(-0.656625--1.70187))+0-0-0</f>
        <v>703.60122999999999</v>
      </c>
      <c r="V276" s="3">
        <f>1122.9+(259.8-658.3)+(1.145358+(0.264996-0.671466))+0-0-0</f>
        <v>725.13888800000007</v>
      </c>
      <c r="W276" s="3">
        <f>1116.5+(487.8-778)+(-1.708245+(-0.746334--1.19034))+0-0-0</f>
        <v>825.03576099999998</v>
      </c>
      <c r="X276" s="3">
        <f>1117.9+(462.2-699.7)+(-2.280516+(-0.942888--1.427388))+0-0-0</f>
        <v>878.60398400000008</v>
      </c>
      <c r="Y276" s="3">
        <f>1122+(502.1-785.5)+(1.14444+(0.512142-0.80121))+0-0-0</f>
        <v>839.45537200000001</v>
      </c>
      <c r="Z276" s="3">
        <f>1045.2+(535-764.9)+(-2.132208+(-1.0914--1.560396))+0-0-0</f>
        <v>813.63678800000002</v>
      </c>
      <c r="AA276" s="3">
        <f>1040.9+(494-737.9)+(-2.123436+(-1.00776--1.505316))+0-0-0</f>
        <v>795.37412000000006</v>
      </c>
      <c r="AB276" s="3">
        <f>1046.5+(523.6-781.1)+(0.533715+(0.267036-0.398361))+0-0-0</f>
        <v>789.40238999999997</v>
      </c>
      <c r="AC276" s="3">
        <f>1051.6+(462-758.1)+(-0.536316+(-0.23562--0.386631))+0-0-0</f>
        <v>755.11469499999987</v>
      </c>
      <c r="AD276">
        <v>878.1</v>
      </c>
      <c r="AE276" s="3">
        <f>1116+(460-697.9)+(0+(0-0))+0-0-0</f>
        <v>878.1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1043.6+(313.8-653.3)+(-0.532236+(-0.160038--0.333183))+0-0-0</f>
        <v>703.74090899999987</v>
      </c>
      <c r="G277" s="3">
        <f>1037.6+(229.2-612.6)+(-0.529176+(-0.116892--0.312426))+0-0-0</f>
        <v>653.86635799999976</v>
      </c>
      <c r="H277" s="3">
        <f>854.9+(347-580.6)+(0+(0-0))+0-0-0</f>
        <v>621.29999999999995</v>
      </c>
      <c r="I277" s="3">
        <f>734.7+(456.3-580.6)+(-0.374697+(-0.232713--0.296106))+0-0-0</f>
        <v>610.08869600000014</v>
      </c>
      <c r="J277" s="3">
        <f>737.9+(440.7-569.2)+(0.376329+(0.224757-0.290292))+0-0-0</f>
        <v>609.71079399999985</v>
      </c>
      <c r="K277" s="3">
        <f>738.5+(433.6-555.6)+(0+(0-0))+0-0-0</f>
        <v>616.5</v>
      </c>
      <c r="L277" s="3">
        <f>832.2+(380.1-592.8)+(0.424422+(0.193851-0.302328))+0-0-0</f>
        <v>619.81594500000017</v>
      </c>
      <c r="M277" s="3">
        <f>1012.6+(257.5-616.3)+(0+(0-0))+0-0-0</f>
        <v>653.80000000000007</v>
      </c>
      <c r="N277" s="3">
        <f>1129.2+(195.9-653.3)+(-1.151784+(-0.199818--0.666366))+0-0-0</f>
        <v>671.11476400000004</v>
      </c>
      <c r="O277" s="3">
        <f>1097+(234.2-642.7)+(0.55947+(0.119442-0.327777))+0-0-0</f>
        <v>688.851135</v>
      </c>
      <c r="P277" s="3">
        <f>1033.2+(343.4-633)+(1.580796+(0.525402-0.96849))+0-0-0</f>
        <v>744.737708</v>
      </c>
      <c r="Q277" s="3">
        <f>1030.2+(381.9-649.8)+(-0.525402+(-0.194769--0.331398))+0-0-0</f>
        <v>761.91122700000005</v>
      </c>
      <c r="R277" s="3">
        <f>1022.2+(334.9-628)+(-2.60661+(-0.853995--1.6014))+0-0-0</f>
        <v>727.24079500000005</v>
      </c>
      <c r="S277" s="3">
        <f>1019.1+(310.5-622.7)+(-2.078964+(-0.63342--1.270308))+0-0-0</f>
        <v>705.45792399999993</v>
      </c>
      <c r="T277" s="3">
        <f>1018+(269.6-588.1)+(-0.51918+(-0.137496--0.299931))+0-0-0</f>
        <v>699.14325499999995</v>
      </c>
      <c r="U277" s="3">
        <f>1016.4+(293.7-616)+(-2.59182+(-0.748935--1.5708))+0-0-0</f>
        <v>692.33004499999993</v>
      </c>
      <c r="V277" s="3">
        <f>1022.3+(332.7-640.7)+(1.564119+(0.509031-0.980271))+0-0-0</f>
        <v>715.39287899999999</v>
      </c>
      <c r="W277" s="3">
        <f>1022.2+(541.4-742.5)+(0+(0-0))+0-0-0</f>
        <v>821.1</v>
      </c>
      <c r="X277" s="3">
        <f>1010.5+(575-721.1)+(-2.576775+(-1.46625--1.838805))+0-0-0</f>
        <v>862.19578000000001</v>
      </c>
      <c r="Y277" s="3">
        <f>1014.2+(543.8-719.5)+(-2.58621+(-1.38669--1.834725))+0-0-0</f>
        <v>836.36182499999995</v>
      </c>
      <c r="Z277" s="3">
        <f>976.7+(565.6-718.9)+(-1.494351+(-0.865368--1.099917))+0-0-0</f>
        <v>822.14019800000005</v>
      </c>
      <c r="AA277" s="3">
        <f>917.2+(608-712.5)+(-0.467772+(-0.31008--0.363375))+0-0-0</f>
        <v>812.28552300000001</v>
      </c>
      <c r="AB277" s="3">
        <f>843.1+(584.5-631.8)+(-1.289943+(-0.894285--0.966654))+0-0-0</f>
        <v>794.58242600000005</v>
      </c>
      <c r="AC277" s="3">
        <f>862.3+(440.8-562.4)+(-0.879546+(-0.449616--0.573648))+0-0-0</f>
        <v>739.9444860000001</v>
      </c>
      <c r="AD277">
        <v>873.6</v>
      </c>
      <c r="AE277" s="3">
        <f>1020+(632.2-778.6)+(0+(0-0))+0-0-0</f>
        <v>873.6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882.3+(387.9-597.9)+(0+(0-0))+0-0-0</f>
        <v>672.3</v>
      </c>
      <c r="G278" s="3">
        <f>926.8+(333.9-587.6)+(-2.36334+(-0.851445--1.49838))+0-0-0</f>
        <v>671.3835949999999</v>
      </c>
      <c r="H278" s="3">
        <f>981.1+(225.6-593.1)+(-2.001444+(-0.460224--1.209924))+0-0-0</f>
        <v>612.34825599999999</v>
      </c>
      <c r="I278" s="3">
        <f>1100.7+(141.5-599.4)+(0.561357+(0.072165-0.305694))+0-0-0</f>
        <v>643.12782800000002</v>
      </c>
      <c r="J278" s="3">
        <f>1051.6+(169-616.4)+(0.536316+(0.08619-0.314364))+0-0-0</f>
        <v>604.50814199999991</v>
      </c>
      <c r="K278" s="3">
        <f>1027.6+(161.4-587.6)+(0+(0-0))+0-0-0</f>
        <v>601.39999999999986</v>
      </c>
      <c r="L278" s="3">
        <f>1021.3+(190.1-608.2)+(-0.520863+(-0.096951--0.310182))+0-0-0</f>
        <v>602.89236799999992</v>
      </c>
      <c r="M278" s="3">
        <f>1022.7+(196.9-628.4)+(1.043154+(0.200838-0.640968))+0-0-0</f>
        <v>591.80302400000005</v>
      </c>
      <c r="N278" s="3">
        <f>1075.4+(192.4-657.2)+(1.096908+(0.196248-0.670344))+0-0-0</f>
        <v>611.22281199999998</v>
      </c>
      <c r="O278" s="3">
        <f>1055.6+(207.1-606.8)+(0+(0-0))+0-0-0</f>
        <v>655.9</v>
      </c>
      <c r="P278" s="3">
        <f>1031.1+(262.9-596.8)+(-1.051722+(-0.268158--0.608736))+0-0-0</f>
        <v>696.48885599999994</v>
      </c>
      <c r="Q278" s="3">
        <f>1090.6+(203.4-594)+(1.112412+(0.207468-0.60588))+0-0-0</f>
        <v>700.71399999999994</v>
      </c>
      <c r="R278" s="3">
        <f>1092.1+(200.7-612.4)+(-1.670913+(-0.307071--0.936972))+0-0-0</f>
        <v>679.35898799999984</v>
      </c>
      <c r="S278" s="3">
        <f>1084.8+(168.2-588.9)+(-2.76624+(-0.42891--1.501695))+0-0-0</f>
        <v>662.40654499999994</v>
      </c>
      <c r="T278" s="3">
        <f>1091.1+(173.2-602.9)+(-1.669383+(-0.264996--0.922437))+0-0-0</f>
        <v>660.38805799999989</v>
      </c>
      <c r="U278" s="3">
        <f>1098.6+(196.7-635.4)+(-2.241144+(-0.401268--1.296216))+0-0-0</f>
        <v>658.5538039999999</v>
      </c>
      <c r="V278" s="3">
        <f>1108.5+(210.8-636.6)+(-0.565335+(-0.107508--0.324666))+0-0-0</f>
        <v>682.35182300000008</v>
      </c>
      <c r="W278" s="3">
        <f>1111.1+(330.6-658.6)+(0.566661+(0.168606-0.335886))+0-0-0</f>
        <v>783.49938099999986</v>
      </c>
      <c r="X278" s="3">
        <f>1104.4+(438-702)+(-2.252976+(-0.89352--1.43208))+0-0-0</f>
        <v>838.68558400000006</v>
      </c>
      <c r="Y278" s="3">
        <f>1110.7+(386.8-673.7)+(1.699371+(0.591804-1.030761))+0-0-0</f>
        <v>825.06041399999992</v>
      </c>
      <c r="Z278" s="3">
        <f>1105.1+(353.4-652.8)+(-0.563601+(-0.180234--0.332928))+0-0-0</f>
        <v>805.28909299999998</v>
      </c>
      <c r="AA278" s="3">
        <f>1105.5+(324.6-626.9)+(-1.691415+(-0.496638--0.959157))+0-0-0</f>
        <v>801.97110400000008</v>
      </c>
      <c r="AB278" s="3">
        <f>1104.2+(320.7-645.1)+(-1.126284+(-0.327114--0.658002))+0-0-0</f>
        <v>779.00460399999997</v>
      </c>
      <c r="AC278" s="3">
        <f>1071+(290.3-629.5)+(-1.63863+(-0.444159--0.963135))+0-0-0</f>
        <v>730.68034599999999</v>
      </c>
      <c r="AD278">
        <v>848.00000000000011</v>
      </c>
      <c r="AE278" s="3">
        <f>1109+(436.9-697.9)+(0+(0-0))+0-0-0</f>
        <v>848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846+(381.8-569.4)+(-2.1573+(-0.97359--1.45197))+0-0-0</f>
        <v>656.72108000000014</v>
      </c>
      <c r="G279" s="3">
        <f>778+(420.7-597.2)+(-1.19034+(-0.643671--0.913716))+0-0-0</f>
        <v>600.57970499999999</v>
      </c>
      <c r="H279" s="3">
        <f>770.9+(417-601.3)+(-1.965795+(-1.06335--1.533315))+0-0-0</f>
        <v>585.10417000000007</v>
      </c>
      <c r="I279" s="3">
        <f>709.9+(419.8-555.1)+(-0.724098+(-0.428196--0.566202))+0-0-0</f>
        <v>574.0139079999999</v>
      </c>
      <c r="J279" s="3">
        <f>657.8+(459.7-551.1)+(0+(0-0))+0-0-0</f>
        <v>566.39999999999986</v>
      </c>
      <c r="K279" s="3">
        <f>753.2+(371.7-557.1)+(-0.768264+(-0.379134--0.568242))+0-0-0</f>
        <v>567.22084399999994</v>
      </c>
      <c r="L279" s="3">
        <f>1014.1+(309.1-698.7)+(0.517191+(0.157641-0.356337))+0-0-0</f>
        <v>624.81849499999998</v>
      </c>
      <c r="M279" s="3">
        <f>1021.7+(281.2-653.7)+(1.042134+(0.286824-0.666774))+0-0-0</f>
        <v>649.86218400000007</v>
      </c>
      <c r="N279" s="3">
        <f>1084.1+(280.2-675.7)+(0.552891+(0.142902-0.344607))+0-0-0</f>
        <v>688.95118599999989</v>
      </c>
      <c r="O279" s="3">
        <f>1134.6+(227.6-640.4)+(2.314584+(0.464304-1.306416))+0-0-0</f>
        <v>723.27247199999999</v>
      </c>
      <c r="P279" s="3">
        <f>1197.8+(178.1-623.4)+(0.610878+(0.090831-0.317934))+0-0-0</f>
        <v>752.88377500000001</v>
      </c>
      <c r="Q279" s="3">
        <f>1181.4+(197.5-630.4)+(0.602514+(0.100725-0.321504))+0-0-0</f>
        <v>748.88173500000016</v>
      </c>
      <c r="R279" s="3">
        <f>1216.3+(136.8-635.2)+(-3.101565+(-0.34884--1.61976))+0-0-0</f>
        <v>716.06935499999986</v>
      </c>
      <c r="S279" s="3">
        <f>1215.2+(170.8-679.9)+(0.619752+(0.087108-0.346749))+0-0-0</f>
        <v>706.4601110000001</v>
      </c>
      <c r="T279" s="3">
        <f>1214.3+(157.1-669.9)+(1.238586+(0.160242-0.683298))+0-0-0</f>
        <v>702.21552999999994</v>
      </c>
      <c r="U279" s="3">
        <f>1213.8+(144-654)+(0+(0-0))+0-0-0</f>
        <v>703.8</v>
      </c>
      <c r="V279" s="3">
        <f>1225.4+(127.9-623.3)+(-1.249908+(-0.130458--0.635766))+0-0-0</f>
        <v>729.25540000000012</v>
      </c>
      <c r="W279" s="3">
        <f>1240.4+(277.9-679.2)+(0+(0-0))+0-0-0</f>
        <v>839.1</v>
      </c>
      <c r="X279" s="3">
        <f>1236.7+(302.6-646)+(-1.261434+(-0.308652--0.65892))+0-0-0</f>
        <v>892.38883400000009</v>
      </c>
      <c r="Y279" s="3">
        <f>1237.2+(260.1-628.3)+(-2.523888+(-0.530604--1.281732))+0-0-0</f>
        <v>867.22724000000017</v>
      </c>
      <c r="Z279" s="3">
        <f>1243.5+(209.5-608)+(-0.634185+(-0.106845--0.31008))+0-0-0</f>
        <v>844.56904999999995</v>
      </c>
      <c r="AA279" s="3">
        <f>1242.1+(175.8-589.3)+(-1.266942+(-0.179316--0.601086))+0-0-0</f>
        <v>827.75482799999986</v>
      </c>
      <c r="AB279" s="3">
        <f>1239.6+(169.7-600.9)+(-0.632196+(-0.086547--0.306459))+0-0-0</f>
        <v>807.98771599999986</v>
      </c>
      <c r="AC279" s="3">
        <f>1196.9+(154-599.6)+(-0.610419+(-0.07854--0.305796))+0-0-0</f>
        <v>750.9168370000001</v>
      </c>
      <c r="AD279">
        <v>895.99999999999989</v>
      </c>
      <c r="AE279" s="3">
        <f>1236+(363.6-703.6)+(0+(0-0))+0-0-0</f>
        <v>896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978+(271.6-578.1)+(-0.99756+(-0.277032--0.589662))+0-0-0</f>
        <v>670.81506999999999</v>
      </c>
      <c r="G280" s="3">
        <f>965.3+(249.4-584.3)+(-0.492303+(-0.127194--0.297993))+0-0-0</f>
        <v>630.07849599999997</v>
      </c>
      <c r="H280" s="3">
        <f>967.9+(238.6-592.9)+(-1.480887+(-0.365058--0.907137))+0-0-0</f>
        <v>612.66119200000003</v>
      </c>
      <c r="I280" s="3">
        <f>945.9+(233.9-569)+(-1.447227+(-0.357867--0.87057))+0-0-0</f>
        <v>609.86547599999994</v>
      </c>
      <c r="J280" s="3">
        <f>930.7+(267.7-588.5)+(0+(0-0))+0-0-0</f>
        <v>609.90000000000009</v>
      </c>
      <c r="K280" s="3">
        <f>926.3+(268.7-579.5)+(0+(0-0))+0-0-0</f>
        <v>615.5</v>
      </c>
      <c r="L280" s="3">
        <f>990.8+(285.6-635.6)+(0+(0-0))+0-0-0</f>
        <v>640.79999999999995</v>
      </c>
      <c r="M280" s="3">
        <f>1213.6+(255.3-789.9)+(1.237872+(0.260406-0.805698))+0-0-0</f>
        <v>679.69258000000002</v>
      </c>
      <c r="N280" s="3">
        <f>1243.8+(173.8-706.1)+(1.268676+(0.177276-0.720222))+0-0-0</f>
        <v>712.22573</v>
      </c>
      <c r="O280" s="3">
        <f>1238.4+(190.1-676.1)+(-0.631584+(-0.096951--0.344811))+0-0-0</f>
        <v>752.01627600000006</v>
      </c>
      <c r="P280" s="3">
        <f>1222.2+(215-667.9)+(0+(0-0))+0-0-0</f>
        <v>769.30000000000007</v>
      </c>
      <c r="Q280" s="3">
        <f>1233.3+(230.6-691.3)+(-1.886949+(-0.352818--1.057689))+0-0-0</f>
        <v>771.41792199999998</v>
      </c>
      <c r="R280" s="3">
        <f>1236+(169.7-665.8)+(-1.26072+(-0.173094--0.679116))+0-0-0</f>
        <v>739.14530200000013</v>
      </c>
      <c r="S280" s="3">
        <f>1233.7+(124.7-620.6)+(-1.887561+(-0.190791--0.949518))+0-0-0</f>
        <v>736.67116599999997</v>
      </c>
      <c r="T280" s="3">
        <f>1238.7+(126.7-635.7)+(0+(0-0))+0-0-0</f>
        <v>729.7</v>
      </c>
      <c r="U280" s="3">
        <f>1243+(163.8-676.3)+(1.90179+(0.250614-1.034739))+0-0-0</f>
        <v>731.61766499999999</v>
      </c>
      <c r="V280" s="3">
        <f>1246+(153.9-645.6)+(1.27092+(0.156978-0.658512))+0-0-0</f>
        <v>755.06938600000001</v>
      </c>
      <c r="W280" s="3">
        <f>1254.1+(308.3-722)+(1.918773+(0.471699-1.10466))+0-0-0</f>
        <v>841.68581199999983</v>
      </c>
      <c r="X280" s="3">
        <f>1251.7+(323.3-675.8)+(-1.276734+(-0.329766--0.689316))+0-0-0</f>
        <v>898.28281600000003</v>
      </c>
      <c r="Y280" s="3">
        <f>1246.7+(251.4-621.6)+(-3.179085+(-0.64107--1.58508))+0-0-0</f>
        <v>874.26492499999995</v>
      </c>
      <c r="Z280" s="3">
        <f>1251.7+(196.4-599.9)+(0.638367+(0.100164-0.305949))+0-0-0</f>
        <v>848.63258200000007</v>
      </c>
      <c r="AA280" s="3">
        <f>1245.7+(175.2-591.6)+(-1.905921+(-0.268056--0.905148))+0-0-0</f>
        <v>828.03117099999997</v>
      </c>
      <c r="AB280" s="3">
        <f>1240.5+(169.7-584.5)+(-2.53062+(-0.346188--1.19238))+0-0-0</f>
        <v>824.01557200000002</v>
      </c>
      <c r="AC280" s="3">
        <f>1087+(263.8-584.5)+(-2.21748+(-0.538152--1.19238))+0-0-0</f>
        <v>764.73674799999992</v>
      </c>
      <c r="AD280">
        <v>884.69999999999993</v>
      </c>
      <c r="AE280" s="3">
        <f>1251+(375.8-742.1)+(0+(0-0))+0-0-0</f>
        <v>884.7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986.8+(246.7-556.3)+(-2.013072+(-0.503268--1.134852))+0-0-0</f>
        <v>675.81851200000006</v>
      </c>
      <c r="G281" s="3">
        <f>904.8+(285-564.5)+(-0.922896+(-0.2907--0.57579))+0-0-0</f>
        <v>624.662194</v>
      </c>
      <c r="H281" s="3">
        <f>856.4+(309.8-564)+(-0.436764+(-0.157998--0.28764))+0-0-0</f>
        <v>601.892878</v>
      </c>
      <c r="I281" s="3">
        <f>860.4+(283.6-554.3)+(1.316412+(0.433908-0.848079))+0-0-0</f>
        <v>590.60224100000005</v>
      </c>
      <c r="J281" s="3">
        <f>859.3+(322.9-585.9)+(0+(0-0))+0-0-0</f>
        <v>596.29999999999995</v>
      </c>
      <c r="K281" s="3">
        <f>963.7+(251-607.9)+(2.948922+(0.76806-1.860174))+0-0-0</f>
        <v>608.65680800000007</v>
      </c>
      <c r="L281" s="3">
        <f>1122.1+(236.7-737)+(0+(0-0))+0-0-0</f>
        <v>621.79999999999995</v>
      </c>
      <c r="M281" s="3">
        <f>1173.7+(231.2-736.3)+(1.197174+(0.235824-0.751026))+0-0-0</f>
        <v>669.28197200000011</v>
      </c>
      <c r="N281" s="3">
        <f>1260.8+(149.4-704.4)+(0+(0-0))+0-0-0</f>
        <v>705.8</v>
      </c>
      <c r="O281" s="3">
        <f>1265.2+(98.9-616.5)+(1.290504+(0.100878-0.62883))+0-0-0</f>
        <v>748.36255200000005</v>
      </c>
      <c r="P281" s="3">
        <f>1254.9+(264-781.1)+(1.919997+(0.40392-1.195083))+0-0-0</f>
        <v>738.92883400000005</v>
      </c>
      <c r="Q281" s="3">
        <f>1258.4+(363.8-861.8)+(-0.641784+(-0.185538--0.439518))+0-0-0</f>
        <v>760.01219600000013</v>
      </c>
      <c r="R281" s="3">
        <f>1253.7+(274.5-782.4)+(-3.196935+(-0.699975--1.99512))+0-0-0</f>
        <v>743.89821000000006</v>
      </c>
      <c r="S281" s="3">
        <f>1247.1+(86.9-629.3)+(-1.908063+(-0.132957--0.962829))+0-0-0</f>
        <v>703.62180899999998</v>
      </c>
      <c r="T281" s="3">
        <f>1248.3+(118.6-624.2)+(0.636633+(0.060486-0.318342))+0-0-0</f>
        <v>743.07877699999995</v>
      </c>
      <c r="U281" s="3">
        <f>1251.7+(118.2-634)+(-0.638367+(-0.060282--0.32334))+0-0-0</f>
        <v>735.52469100000008</v>
      </c>
      <c r="V281" s="3">
        <f>1250.5+(126-627.1)+(-1.27551+(-0.12852--0.639642))+0-0-0</f>
        <v>748.63561199999992</v>
      </c>
      <c r="W281" s="3">
        <f>1256.7+(299.5-707.7)+(1.281834+(0.30549-0.721854))+0-0-0</f>
        <v>849.36546999999996</v>
      </c>
      <c r="X281" s="3">
        <f>1250.1+(324.1-664.7)+(-3.187755+(-0.826455--1.694985))+0-0-0</f>
        <v>907.18077499999993</v>
      </c>
      <c r="Y281" s="3">
        <f>1253.9+(282.3-658.1)+(-0.639489+(-0.143973--0.335631))+0-0-0</f>
        <v>877.65216900000019</v>
      </c>
      <c r="Z281" s="3">
        <f>1249.7+(273.9-667.7)+(-0.637347+(-0.139689--0.340527))+0-0-0</f>
        <v>855.46349099999998</v>
      </c>
      <c r="AA281" s="3">
        <f>1214.2+(280.8-658.7)+(-1.238484+(-0.286416--0.671874))+0-0-0</f>
        <v>835.44697399999995</v>
      </c>
      <c r="AB281" s="3">
        <f>1166+(330.7-665.8)+(-2.9733+(-0.843285--1.69779))+0-0-0</f>
        <v>828.78120500000011</v>
      </c>
      <c r="AC281" s="3">
        <f>1117.4+(304.2-647.5)+(-1.139748+(-0.310284--0.66045))+0-0-0</f>
        <v>773.31041800000014</v>
      </c>
      <c r="AD281">
        <v>898.9</v>
      </c>
      <c r="AE281" s="3">
        <f>1248+(410.5-759.6)+(0+(0-0))+0-0-0</f>
        <v>898.9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1063.4+(249.8-591.8)+(-2.169336+(-0.509592--1.207272))+0-0-0</f>
        <v>719.92834400000004</v>
      </c>
      <c r="G282" s="3">
        <f>899.7+(332.2-567.3)+(-0.917694+(-0.338844--0.578646))+0-0-0</f>
        <v>663.92210800000009</v>
      </c>
      <c r="H282" s="3">
        <f>790.5+(425.4-586)+(-1.61262+(-0.867816--1.19544))+0-0-0</f>
        <v>628.615004</v>
      </c>
      <c r="I282" s="3">
        <f>787.4+(401.4-567)+(-1.606296+(-0.818856--1.15668))+0-0-0</f>
        <v>620.53152799999998</v>
      </c>
      <c r="J282" s="3">
        <f>788.8+(388.4-555.3)+(-0.804576+(-0.396168--0.566406))+0-0-0</f>
        <v>621.26566200000002</v>
      </c>
      <c r="K282" s="3">
        <f>790.3+(404.1-563.8)+(0+(0-0))+0-0-0</f>
        <v>630.6</v>
      </c>
      <c r="L282" s="3">
        <f>793.2+(457.6-594.4)+(-0.404532+(-0.233376--0.303144))+0-0-0</f>
        <v>656.06523600000014</v>
      </c>
      <c r="M282" s="3">
        <f>868.3+(426.1-624.3)+(0.442833+(0.217311-0.318393))+0-0-0</f>
        <v>670.44175100000007</v>
      </c>
      <c r="N282" s="3">
        <f>1078.8+(274.5-645.5)+(1.100376+(0.27999-0.65841))+0-0-0</f>
        <v>708.52195599999993</v>
      </c>
      <c r="O282" s="3">
        <f>1121.3+(255.1-615.9)+(1.143726+(0.260202-0.628218))+0-0-0</f>
        <v>761.27571</v>
      </c>
      <c r="P282" s="3">
        <f>1119.2+(349.7-670.5)+(0.570792+(0.178347-0.341955))+0-0-0</f>
        <v>798.80718400000012</v>
      </c>
      <c r="Q282" s="3">
        <f>1139.8+(382.9-707.5)+(0+(0-0))+0-0-0</f>
        <v>815.19999999999993</v>
      </c>
      <c r="R282" s="3">
        <f>1119.7+(354.3-688)+(-2.855235+(-0.903465--1.7544))+0-0-0</f>
        <v>783.99570000000006</v>
      </c>
      <c r="S282" s="3">
        <f>1106.9+(265.6-604.4)+(-3.951633+(-0.948192--2.157708))+0-0-0</f>
        <v>765.35788300000013</v>
      </c>
      <c r="T282" s="3">
        <f>1115+(250.5-609.6)+(0+(0-0))+0-0-0</f>
        <v>755.9</v>
      </c>
      <c r="U282" s="3">
        <f>1118.7+(236.1-597.9)+(1.711611+(0.361233-0.914787))+0-0-0</f>
        <v>758.05805700000008</v>
      </c>
      <c r="V282" s="3">
        <f>1113.6+(261.3-592.7)+(-1.135872+(-0.266526--0.604554))+0-0-0</f>
        <v>781.40215599999976</v>
      </c>
      <c r="W282" s="3">
        <f>1129.2+(369-637.8)+(1.727676+(0.56457-0.975834))+0-0-0</f>
        <v>861.7164120000001</v>
      </c>
      <c r="X282" s="3">
        <f>1137.5+(449.5-665.3)+(-2.900625+(-1.146225--1.696515))+0-0-0</f>
        <v>919.34966500000007</v>
      </c>
      <c r="Y282" s="3">
        <f>1139.7+(423.7-661.8)+(-2.906235+(-1.080435--1.68759))+0-0-0</f>
        <v>899.30092000000013</v>
      </c>
      <c r="Z282" s="3">
        <f>1143+(366-629.4)+(-2.33172+(-0.74664--1.283976))+0-0-0</f>
        <v>877.80561599999999</v>
      </c>
      <c r="AA282" s="3">
        <f>1144+(385.9-663)+(-2.33376+(-0.787236--1.35252))+0-0-0</f>
        <v>865.13152400000001</v>
      </c>
      <c r="AB282" s="3">
        <f>1066.9+(495.7-704.8)+(-1.088238+(-0.505614--0.718896))+0-0-0</f>
        <v>856.92504400000018</v>
      </c>
      <c r="AC282" s="3">
        <f>999.8+(464.3-660.4)+(-4.079184+(-1.894344--2.694432))+0-0-0</f>
        <v>800.42090400000006</v>
      </c>
      <c r="AD282">
        <v>909.3</v>
      </c>
      <c r="AE282" s="3">
        <f>1122+(447.1-659.8)+(0+(0-0))+0-0-0</f>
        <v>909.30000000000007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977.6+(314.7-592.9)+(-0.997152+(-0.320994--0.604758))+0-0-0</f>
        <v>698.68661200000008</v>
      </c>
      <c r="G283" s="3">
        <f>958.5+(286-585)+(0.488835+(0.14586-0.29835))+0-0-0</f>
        <v>659.83634500000005</v>
      </c>
      <c r="H283" s="3">
        <f>898.5+(344.8-602.9)+(0.458235+(0.175848-0.307479))+0-0-0</f>
        <v>640.72660400000007</v>
      </c>
      <c r="I283" s="3">
        <f>895.3+(326.7-588)+(-0.456603+(-0.166617--0.29988))+0-0-0</f>
        <v>633.67665999999997</v>
      </c>
      <c r="J283" s="3">
        <f>891+(332.2-587.1)+(-2.27205+(-0.84711--1.497105))+0-0-0</f>
        <v>634.47794499999986</v>
      </c>
      <c r="K283" s="3">
        <f>896+(340.6-595)+(-0.45696+(-0.173706--0.30345))+0-0-0</f>
        <v>641.272784</v>
      </c>
      <c r="L283" s="3">
        <f>897.2+(317.6-629.5)+(-0.457572+(-0.161976--0.321045))+0-0-0</f>
        <v>585.00149700000009</v>
      </c>
      <c r="M283" s="3">
        <f>1071.6+(305.5-677)+(0.546516+(0.155805-0.34527))+0-0-0</f>
        <v>700.45705099999986</v>
      </c>
      <c r="N283" s="3">
        <f>1089.1+(284.1-638.6)+(-0.555441+(-0.144891--0.325686))+0-0-0</f>
        <v>734.22535399999992</v>
      </c>
      <c r="O283" s="3">
        <f>1126.4+(278-624.6)+(0.574464+(0.14178-0.318546))+0-0-0</f>
        <v>780.19769800000006</v>
      </c>
      <c r="P283" s="3">
        <f>1125.9+(273.8-592.1)+(-0.574209+(-0.139638--0.301971))+0-0-0</f>
        <v>807.18812400000013</v>
      </c>
      <c r="Q283" s="3">
        <f>1115.7+(305-618.8)+(-1.138014+(-0.3111--0.631176))+0-0-0</f>
        <v>801.08206200000006</v>
      </c>
      <c r="R283" s="3">
        <f>1029.2+(358.2-630.7)+(-1.574676+(-0.548046--0.964971))+0-0-0</f>
        <v>755.54224900000008</v>
      </c>
      <c r="S283" s="3">
        <f>1017.1+(384.8-666.3)+(-0.518721+(-0.196248--0.339813))+0-0-0</f>
        <v>735.22484400000019</v>
      </c>
      <c r="T283" s="3">
        <f>979.6+(352.5-599.1)+(-0.999192+(-0.35955--0.611082))+0-0-0</f>
        <v>732.25234</v>
      </c>
      <c r="U283" s="3">
        <f>1023.9+(321.5-606.1)+(-0.522189+(-0.163965--0.309111))+0-0-0</f>
        <v>738.922957</v>
      </c>
      <c r="V283" s="3">
        <f>1031.6+(319.2-600.8)+(0+(0-0))+0-0-0</f>
        <v>750</v>
      </c>
      <c r="W283" s="3">
        <f>1101.5+(402.9-653.7)+(1.12353+(0.410958-0.666774))+0-0-0</f>
        <v>851.56771399999991</v>
      </c>
      <c r="X283" s="3">
        <f>1131.3+(460.4-665.4)+(-2.884815+(-1.17402--1.69677))+0-0-0</f>
        <v>923.93793499999992</v>
      </c>
      <c r="Y283" s="3">
        <f>1130.7+(405-638.5)+(-2.883285+(-1.03275--1.628175))+0-0-0</f>
        <v>894.91214000000002</v>
      </c>
      <c r="Z283" s="3">
        <f>1131.1+(339.7-610.2)+(-2.307444+(-0.692988--1.244808))+0-0-0</f>
        <v>858.8443759999999</v>
      </c>
      <c r="AA283" s="3">
        <f>1126.8+(286.2-560.7)+(-1.724004+(-0.437886--0.857871))+0-0-0</f>
        <v>850.99598099999992</v>
      </c>
      <c r="AB283" s="3">
        <f>1046.5+(371.8-588.3)+(-1.601145+(-0.568854--0.900099))+0-0-0</f>
        <v>828.73009999999999</v>
      </c>
      <c r="AC283" s="3">
        <f>1035.2+(352.9-609.2)+(-2.63976+(-0.899895--1.55346))+0-0-0</f>
        <v>776.91380500000002</v>
      </c>
      <c r="AD283">
        <v>918.40000000000009</v>
      </c>
      <c r="AE283" s="3">
        <f>1125+(516.4-723)+(0+(0-0))+0-0-0</f>
        <v>918.4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1042.1+(269-615.9)+(-1.594413+(-0.41157--0.942327))+0-0-0</f>
        <v>694.13634399999989</v>
      </c>
      <c r="G284" s="3">
        <f>1012.6+(252.1-602.1)+(-3.098556+(-0.771426--1.842426))+0-0-0</f>
        <v>660.57244400000002</v>
      </c>
      <c r="H284" s="3">
        <f>903.3+(286.6-568.6)+(-0.921366+(-0.292332--0.579972))+0-0-0</f>
        <v>620.66627399999993</v>
      </c>
      <c r="I284" s="3">
        <f>897.7+(251.5-533.7)+(-1.373481+(-0.384795--0.816561))+0-0-0</f>
        <v>614.55828499999996</v>
      </c>
      <c r="J284" s="3">
        <f>906.5+(247-541.6)+(0.92463+(0.25194-0.552432))+0-0-0</f>
        <v>612.52413799999999</v>
      </c>
      <c r="K284" s="3">
        <f>904+(267.4-555.1)+(-0.46104+(-0.136374--0.283101))+0-0-0</f>
        <v>615.98568699999998</v>
      </c>
      <c r="L284" s="3">
        <f>958.8+(291.5-611.2)+(0.488988+(0.148665-0.311712))+0-0-0</f>
        <v>639.42594099999985</v>
      </c>
      <c r="M284" s="3">
        <f>1113.9+(192.7-657)+(-1.136178+(-0.196554--0.67014))+0-0-0</f>
        <v>648.93740800000012</v>
      </c>
      <c r="N284" s="3">
        <f>1102.6+(220.7-635.8)+(0+(0-0))+0-0-0</f>
        <v>687.5</v>
      </c>
      <c r="O284" s="3">
        <f>1140.7+(229.8-624.4)+(0.581757+(0.117198-0.318444))+0-0-0</f>
        <v>746.48051100000009</v>
      </c>
      <c r="P284" s="3">
        <f>1137.1+(286.6-642.2)+(-0.579921+(-0.146166--0.327522))+0-0-0</f>
        <v>781.10143499999992</v>
      </c>
      <c r="Q284" s="3">
        <f>1129.9+(320.2-663.5)+(-2.881245+(-0.81651--1.691925))+0-0-0</f>
        <v>784.59417000000019</v>
      </c>
      <c r="R284" s="3">
        <f>1131.5+(259.4-649)+(-1.15413+(-0.264588--0.66198))+0-0-0</f>
        <v>741.14326199999994</v>
      </c>
      <c r="S284" s="3">
        <f>1069.8+(279.8-641.3)+(-0.545598+(-0.142698--0.327063))+0-0-0</f>
        <v>707.93876699999998</v>
      </c>
      <c r="T284" s="3">
        <f>1059.6+(284.6-648.9)+(-1.080792+(-0.290292--0.661878))+0-0-0</f>
        <v>694.59079399999996</v>
      </c>
      <c r="U284" s="3">
        <f>1056.9+(269.8-627.7)+(-2.156076+(-0.550392--1.280508))+0-0-0</f>
        <v>697.57403999999997</v>
      </c>
      <c r="V284" s="3">
        <f>1057.5+(294.8-630.8)+(0.539325+(0.150348-0.321708))+0-0-0</f>
        <v>721.86796500000003</v>
      </c>
      <c r="W284" s="3">
        <f>1100.1+(370.7-667)+(1.122102+(0.378114-0.68034))+0-0-0</f>
        <v>804.61987599999998</v>
      </c>
      <c r="X284" s="3">
        <f>1101.8+(456.9-680.6)+(-2.247672+(-0.932076--1.388424))+0-0-0</f>
        <v>876.30867599999988</v>
      </c>
      <c r="Y284" s="3">
        <f>1108.6+(457.9-711.4)+(-2.261544+(-0.934116--1.451256))+0-0-0</f>
        <v>853.35559599999988</v>
      </c>
      <c r="Z284" s="3">
        <f>1053.7+(453-670.8)+(0+(0-0))+0-0-0</f>
        <v>835.90000000000009</v>
      </c>
      <c r="AA284" s="3">
        <f>1043.2+(441-657)+(-2.128128+(-0.89964--1.34028))+0-0-0</f>
        <v>825.51251200000002</v>
      </c>
      <c r="AB284" s="3">
        <f>1057.5+(420.3-676.5)+(-1.07865+(-0.428706--0.69003))+0-0-0</f>
        <v>800.48267399999997</v>
      </c>
      <c r="AC284" s="3">
        <f>1029.4+(371-650)+(-1.049988+(-0.37842--0.663))+0-0-0</f>
        <v>749.63459200000011</v>
      </c>
      <c r="AD284">
        <v>878.19999999999993</v>
      </c>
      <c r="AE284" s="3">
        <f>1105+(441.6-668.4)+(0+(0-0))+0-0-0</f>
        <v>878.2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962.7+(317.2-597.9)+(-1.472931+(-0.485316--0.914787))+0-0-0</f>
        <v>680.95654000000002</v>
      </c>
      <c r="G285" s="3">
        <f>968+(267.8-599.1)+(0.49368+(0.136578-0.305541))+0-0-0</f>
        <v>637.02471700000001</v>
      </c>
      <c r="H285" s="3">
        <f>966+(254.4-611.1)+(-1.47798+(-0.389232--0.934983))+0-0-0</f>
        <v>608.36777099999995</v>
      </c>
      <c r="I285" s="3">
        <f>963.4+(243.1-612)+(-1.965336+(-0.495924--1.24848))+0-0-0</f>
        <v>593.28722000000005</v>
      </c>
      <c r="J285" s="3">
        <f>964.8+(251.2-622.2)+(-1.968192+(-0.512448--1.269288))+0-0-0</f>
        <v>592.58864799999992</v>
      </c>
      <c r="K285" s="3">
        <f>982.2+(247.1-635.9)+(0.500922+(0.126021-0.324309))+0-0-0</f>
        <v>593.7026340000001</v>
      </c>
      <c r="L285" s="3">
        <f>1001.6+(265.5-662.9)+(-1.532448+(-0.406215--1.014237))+0-0-0</f>
        <v>603.27557400000001</v>
      </c>
      <c r="M285" s="3">
        <f>1009.5+(279.3-696.1)+(-3.603915+(-0.997101--2.485077))+0-0-0</f>
        <v>590.58406100000002</v>
      </c>
      <c r="N285" s="3">
        <f>1005.5+(278.4-679.2)+(0.512805+(0.141984-0.346392))+0-0-0</f>
        <v>605.00839699999995</v>
      </c>
      <c r="O285" s="3">
        <f>989.1+(282.3-627.4)+(0+(0-0))+0-0-0</f>
        <v>644</v>
      </c>
      <c r="P285" s="3">
        <f>1078.3+(243.1-635.6)+(1.099866+(0.247962-0.648312))+0-0-0</f>
        <v>686.49951599999997</v>
      </c>
      <c r="Q285" s="3">
        <f>1115.9+(216.8-633.8)+(-1.707327+(-0.331704--0.969714))+0-0-0</f>
        <v>697.83068300000014</v>
      </c>
      <c r="R285" s="3">
        <f>1116.9+(209.9-633.3)+(0+(0-0))+0-0-0</f>
        <v>693.50000000000011</v>
      </c>
      <c r="S285" s="3">
        <f>1053+(241.5-620.4)+(-1.61109+(-0.369495--0.949212))+0-0-0</f>
        <v>673.06862699999999</v>
      </c>
      <c r="T285" s="3">
        <f>1043.8+(226.2-605.7)+(0+(0-0))+0-0-0</f>
        <v>664.3</v>
      </c>
      <c r="U285" s="3">
        <f>1050+(226.3-602.8)+(0.5355+(0.115413-0.307428))+0-0-0</f>
        <v>673.84348499999999</v>
      </c>
      <c r="V285" s="3">
        <f>824.8+(400.1-551.9)+(-0.420648+(-0.204051--0.281469))+0-0-0</f>
        <v>672.65677000000005</v>
      </c>
      <c r="W285" s="3">
        <f>800.3+(561.7-595.4)+(0.816306+(0.572934-0.607308))+0-0-0</f>
        <v>767.38193200000001</v>
      </c>
      <c r="X285" s="3">
        <f>801.9+(638-603)+(-0.408969+(-0.32538--0.30753))+0-0-0</f>
        <v>836.47318099999995</v>
      </c>
      <c r="Y285" s="3">
        <f>801.4+(631.3-609.6)+(-0.408714+(-0.321963--0.310896))+0-0-0</f>
        <v>822.68021899999997</v>
      </c>
      <c r="Z285" s="3">
        <f>802.5+(606.9-607)+(-0.409275+(-0.309519--0.30957))+0-0-0</f>
        <v>801.99077599999998</v>
      </c>
      <c r="AA285" s="3">
        <f>802.7+(595.5-592.9)+(0+(0-0))+0-0-0</f>
        <v>805.30000000000007</v>
      </c>
      <c r="AB285" s="3">
        <f>797.2+(602.4-609.5)+(-1.626288+(-1.228896--1.24338))+0-0-0</f>
        <v>788.48819600000002</v>
      </c>
      <c r="AC285" s="3">
        <f>801.7+(513.5-584.3)+(-1.226601+(-0.785655--0.893979))+0-0-0</f>
        <v>729.78172300000006</v>
      </c>
      <c r="AD285">
        <v>828.59999999999991</v>
      </c>
      <c r="AE285" s="3">
        <f>803+(643.6-618)+(0+(0-0))+0-0-0</f>
        <v>828.6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806.2+(435.4-586.9)+(-0.822324+(-0.444108--0.598638))+0-0-0</f>
        <v>654.03220600000009</v>
      </c>
      <c r="G286" s="3">
        <f>728.1+(463.9-577.2)+(-1.485324+(-0.946356--1.177488))+0-0-0</f>
        <v>613.54580799999997</v>
      </c>
      <c r="H286" s="3">
        <f>705.6+(468.1-584.9)+(0+(0-0))+0-0-0</f>
        <v>588.80000000000007</v>
      </c>
      <c r="I286" s="3">
        <f>729.7+(403.4-559.4)+(0.372147+(0.205734-0.285294))+0-0-0</f>
        <v>573.99258700000007</v>
      </c>
      <c r="J286" s="3">
        <f>742.1+(402-580.5)+(-0.378471+(-0.20502--0.296055))+0-0-0</f>
        <v>563.31256400000007</v>
      </c>
      <c r="K286" s="3">
        <f>669+(486.7-579.4)+(0+(0-0))+0-0-0</f>
        <v>576.29999999999995</v>
      </c>
      <c r="L286" s="3">
        <f>733.3+(450.1-577.4)+(-0.373983+(-0.229551--0.294474))+0-0-0</f>
        <v>605.69093999999996</v>
      </c>
      <c r="M286" s="3">
        <f>773.6+(438.7-577.5)+(1.183608+(0.671211-0.883575))+0-0-0</f>
        <v>635.77124399999991</v>
      </c>
      <c r="N286" s="3">
        <f>915.6+(364.3-595.4)+(-0.466956+(-0.185793--0.303654))+0-0-0</f>
        <v>684.15090499999997</v>
      </c>
      <c r="O286" s="3">
        <f>955.5+(335.8-535.9)+(0.97461+(0.342516-0.546618))+0-0-0</f>
        <v>756.17050800000004</v>
      </c>
      <c r="P286" s="3">
        <f>949+(438.5-600.4)+(0.48399+(0.223635-0.306204))+0-0-0</f>
        <v>787.50142100000005</v>
      </c>
      <c r="Q286" s="3">
        <f>936.7+(478.7-619.3)+(-0.955434+(-0.488274--0.631686))+0-0-0</f>
        <v>795.28797800000018</v>
      </c>
      <c r="R286" s="3">
        <f>936.3+(397.8-569.5)+(-0.955026+(-0.405756--0.58089))+0-0-0</f>
        <v>763.82010799999989</v>
      </c>
      <c r="S286" s="3">
        <f>936.3+(383.1-570.8)+(-0.477513+(-0.195381--0.291108))+0-0-0</f>
        <v>748.21821399999999</v>
      </c>
      <c r="T286" s="3">
        <f>933.9+(401.3-596.1)+(-0.476289+(-0.204663--0.304011))+0-0-0</f>
        <v>738.72305899999992</v>
      </c>
      <c r="U286" s="3">
        <f>931.8+(416.5-592.1)+(-0.950436+(-0.42483--0.603942))+0-0-0</f>
        <v>755.42867599999988</v>
      </c>
      <c r="V286" s="3">
        <f>935.9+(427-570.2)+(-0.477309+(-0.21777--0.290802))+0-0-0</f>
        <v>792.29572299999995</v>
      </c>
      <c r="W286" s="3">
        <f>939.1+(612.1-684.2)+(-0.478941+(-0.312171--0.348942))+0-0-0</f>
        <v>866.55782999999997</v>
      </c>
      <c r="X286" s="3">
        <f>932.4+(617.6-651.3)+(-1.426572+(-0.944928--0.996489))+0-0-0</f>
        <v>897.32498900000007</v>
      </c>
      <c r="Y286" s="3">
        <f>934.4+(581.4-649.1)+(-0.476544+(-0.296514--0.331041))+0-0-0</f>
        <v>866.25798299999997</v>
      </c>
      <c r="Z286" s="3">
        <f>933.3+(531.4-613.9)+(-1.427949+(-0.813042--0.939267))+0-0-0</f>
        <v>849.49827599999992</v>
      </c>
      <c r="AA286" s="3">
        <f>927.2+(480.4-562.5)+(-1.891488+(-0.980016--1.1475))+0-0-0</f>
        <v>843.37599599999999</v>
      </c>
      <c r="AB286" s="3">
        <f>879+(539.4-597.1)+(-1.34487+(-0.825282--0.913563))+0-0-0</f>
        <v>820.04341099999999</v>
      </c>
      <c r="AC286" s="3">
        <f>860.7+(533-619)+(-1.755828+(-1.08732--1.26276))+0-0-0</f>
        <v>773.11961200000007</v>
      </c>
      <c r="AD286">
        <v>890.5</v>
      </c>
      <c r="AE286" s="3">
        <f>932+(670.2-711.7)+(0+(0-0))+0-0-0</f>
        <v>890.5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858.1+(446.7-612.7)+(-1.750524+(-0.911268--1.249908))+0-0-0</f>
        <v>690.68811599999992</v>
      </c>
      <c r="G287" s="3">
        <f>832.6+(377.5-567.6)+(0.849252+(0.38505-0.578952))+0-0-0</f>
        <v>643.15535</v>
      </c>
      <c r="H287" s="3">
        <f>773.6+(418.9-577.4)+(-1.578144+(-0.854556--1.177896))+0-0-0</f>
        <v>613.84519599999999</v>
      </c>
      <c r="I287" s="3">
        <f>737.3+(426.6-566.2)+(0+(0-0))+0-0-0</f>
        <v>597.69999999999993</v>
      </c>
      <c r="J287" s="3">
        <f>737.1+(440.8-583.2)+(0+(0-0))+0-0-0</f>
        <v>594.70000000000005</v>
      </c>
      <c r="K287" s="3">
        <f>737.9+(440.1-574.4)+(0+(0-0))+0-0-0</f>
        <v>603.6</v>
      </c>
      <c r="L287" s="3">
        <f>737.9+(434.3-580.4)+(0+(0-0))+0-0-0</f>
        <v>591.79999999999995</v>
      </c>
      <c r="M287" s="3">
        <f>866.8+(349.8-618)+(-0.442068+(-0.178398--0.31518))+0-0-0</f>
        <v>598.29471399999989</v>
      </c>
      <c r="N287" s="3">
        <f>1018.2+(237.7-621.1)+(-2.077128+(-0.484908--1.267044))+0-0-0</f>
        <v>633.50500799999998</v>
      </c>
      <c r="O287" s="3">
        <f>1226.1+(71.8-576.5)+(-1.875933+(-0.109854--0.882045))+0-0-0</f>
        <v>720.29625799999985</v>
      </c>
      <c r="P287" s="3">
        <f>1227.6+(68.9-520.2)+(-0.626076+(-0.035139--0.265302))+0-0-0</f>
        <v>775.90408699999989</v>
      </c>
      <c r="Q287" s="3">
        <f>1226.1+(77.7-515.2)+(-2.501244+(-0.158508--1.051008))+0-0-0</f>
        <v>786.99125599999991</v>
      </c>
      <c r="R287" s="3">
        <f>1220.1+(58.7-518)+(-3.111255+(-0.149685--1.3209))+0-0-0</f>
        <v>758.85996</v>
      </c>
      <c r="S287" s="3">
        <f>1227.3+(53.9-526.8)+(0.625923+(0.027489-0.268668))+0-0-0</f>
        <v>754.78474399999993</v>
      </c>
      <c r="T287" s="3">
        <f>1225.3+(91.3-591.8)+(0.624903+(0.046563-0.301818))+0-0-0</f>
        <v>725.16964799999994</v>
      </c>
      <c r="U287" s="3">
        <f>1232.7+(176.4-677.1)+(0+(0-0))+0-0-0</f>
        <v>732</v>
      </c>
      <c r="V287" s="3">
        <f>1240.3+(139.9-612.3)+(-2.530212+(-0.285396--1.249092))+0-0-0</f>
        <v>766.333484</v>
      </c>
      <c r="W287" s="3">
        <f>1255.3+(277.1-677.2)+(0+(0-0))+0-0-0</f>
        <v>855.19999999999993</v>
      </c>
      <c r="X287" s="3">
        <f>1248.1+(399.2-732.1)+(-2.546124+(-0.814368--1.493484))+0-0-0</f>
        <v>913.33299199999976</v>
      </c>
      <c r="Y287" s="3">
        <f>1250.6+(356.4-709.4)+(-2.551224+(-0.727056--1.447176))+0-0-0</f>
        <v>895.76889599999993</v>
      </c>
      <c r="Z287" s="3">
        <f>1249.6+(326.3-706.9)+(-2.549184+(-0.665652--1.442076))+0-0-0</f>
        <v>867.22724000000005</v>
      </c>
      <c r="AA287" s="3">
        <f>1245.5+(316.6-711)+(-1.905615+(-0.484398--1.08783))+0-0-0</f>
        <v>849.79781700000001</v>
      </c>
      <c r="AB287" s="3">
        <f>1243.7+(274.1-682.6)+(-2.537148+(-0.559164--1.392504))+0-0-0</f>
        <v>833.49619200000006</v>
      </c>
      <c r="AC287" s="3">
        <f>1158.6+(237.7-623.9)+(-1.772658+(-0.363681--0.954567))+0-0-0</f>
        <v>771.21822799999984</v>
      </c>
      <c r="AD287">
        <v>911.09999999999991</v>
      </c>
      <c r="AE287" s="3">
        <f>1252+(412.3-753.2)+(0+(0-0))+0-0-0</f>
        <v>911.09999999999991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1067.3+(204.8-578.9)+(-1.088646+(-0.208896--0.590478))+0-0-0</f>
        <v>692.4929360000001</v>
      </c>
      <c r="G288" s="3">
        <f>1052.3+(197.1-605.5)+(-0.536673+(-0.100521--0.308805))+0-0-0</f>
        <v>643.57161099999996</v>
      </c>
      <c r="H288" s="3">
        <f>1006.4+(202.5-584.7)+(-0.513264+(-0.103275--0.298197))+0-0-0</f>
        <v>623.8816579999999</v>
      </c>
      <c r="I288" s="3">
        <f>1008.4+(187.1-580.7)+(0.514284+(0.095421-0.296157))+0-0-0</f>
        <v>615.11354799999992</v>
      </c>
      <c r="J288" s="3">
        <f>974.6+(220.5-585.3)+(-1.988184+(-0.44982--1.194012))+0-0-0</f>
        <v>608.55600800000002</v>
      </c>
      <c r="K288" s="3">
        <f>949.1+(247.1-589.5)+(0.484041+(0.126021-0.300645))+0-0-0</f>
        <v>607.0094170000001</v>
      </c>
      <c r="L288" s="3">
        <f>978.3+(269.5-611)+(-1.496799+(-0.412335--0.93483))+0-0-0</f>
        <v>635.82569599999999</v>
      </c>
      <c r="M288" s="3">
        <f>973.8+(296.8-613.6)+(-0.496638+(-0.151368--0.312936))+0-0-0</f>
        <v>656.66493000000003</v>
      </c>
      <c r="N288" s="3">
        <f>1001.1+(297.4-616.2)+(0+(0-0))+0-0-0</f>
        <v>682.3</v>
      </c>
      <c r="O288" s="3">
        <f>1253.2+(146.7-646.5)+(0+(0-0))+0-0-0</f>
        <v>753.40000000000009</v>
      </c>
      <c r="P288" s="3">
        <f>1251.9+(254.1-740.1)+(0.638469+(0.129591-0.377451))+0-0-0</f>
        <v>766.29060900000013</v>
      </c>
      <c r="Q288" s="3">
        <f>1251.6+(304.2-761.2)+(-1.914948+(-0.465426--1.164636))+0-0-0</f>
        <v>793.38426199999992</v>
      </c>
      <c r="R288" s="3">
        <f>1233.7+(283.5-743.4)+(-3.775122+(-0.86751--2.274804))+0-0-0</f>
        <v>771.43217200000004</v>
      </c>
      <c r="S288" s="3">
        <f>1238.5+(219.1-711.7)+(-2.52654+(-0.446964--1.451868))+0-0-0</f>
        <v>744.37836400000003</v>
      </c>
      <c r="T288" s="3">
        <f>1240.9+(144.9-646.3)+(-0.632859+(-0.073899--0.329613))+0-0-0</f>
        <v>739.12285500000007</v>
      </c>
      <c r="U288" s="3">
        <f>1244+(139.3-657.8)+(-0.63444+(-0.071043--0.335478))+0-0-0</f>
        <v>725.12999500000001</v>
      </c>
      <c r="V288" s="3">
        <f>1247.1+(190.2-635.9)+(-1.272042+(-0.194004--0.648618))+0-0-0</f>
        <v>800.58257199999991</v>
      </c>
      <c r="W288" s="3">
        <f>1248.7+(323.3-737.2)+(-1.910511+(-0.494649--1.127916))+0-0-0</f>
        <v>833.52275599999996</v>
      </c>
      <c r="X288" s="3">
        <f>1254.7+(314.1-670.4)+(-2.559588+(-0.640764--1.367616))+0-0-0</f>
        <v>896.56726400000014</v>
      </c>
      <c r="Y288" s="3">
        <f>1253.8+(273.8-657.1)+(-3.19719+(-0.69819--1.675605))+0-0-0</f>
        <v>868.28022499999997</v>
      </c>
      <c r="Z288" s="3">
        <f>1259.3+(219.5-636.7)+(-1.284486+(-0.22389--0.649434))+0-0-0</f>
        <v>841.24105799999995</v>
      </c>
      <c r="AA288" s="3">
        <f>1251.3+(202.4-612.8)+(-3.828978+(-0.619344--1.875168))+0-0-0</f>
        <v>838.32684599999993</v>
      </c>
      <c r="AB288" s="3">
        <f>1254.1+(217.4-652)+(-2.558364+(-0.443496--1.33008))+0-0-0</f>
        <v>817.82821999999987</v>
      </c>
      <c r="AC288" s="3">
        <f>1163.9+(229.9-626.8)+(-1.187178+(-0.234498--0.639336))+0-0-0</f>
        <v>766.21766000000014</v>
      </c>
      <c r="AD288">
        <v>886.40000000000009</v>
      </c>
      <c r="AE288" s="3">
        <f>1258+(318.9-690.5)+(0+(0-0))+0-0-0</f>
        <v>886.4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1117.2+(203.7-627.7)+(-2.84886+(-0.519435--1.600635))+0-0-0</f>
        <v>691.43234000000007</v>
      </c>
      <c r="G289" s="3">
        <f>1028.7+(214.4-611.4)+(0+(0-0))+0-0-0</f>
        <v>631.70000000000005</v>
      </c>
      <c r="H289" s="3">
        <f>991+(226.5-608.7)+(-1.01082+(-0.23103--0.620874))+0-0-0</f>
        <v>608.17902399999991</v>
      </c>
      <c r="I289" s="3">
        <f>948.3+(233.1-588.3)+(0.967266+(0.237762-0.600066))+0-0-0</f>
        <v>593.70496200000002</v>
      </c>
      <c r="J289" s="3">
        <f>931.7+(240.3-583.5)+(0.475167+(0.122553-0.297585))+0-0-0</f>
        <v>588.80013499999995</v>
      </c>
      <c r="K289" s="3">
        <f>941.8+(241.8-589.8)+(0.960636+(0.246636-0.601596))+0-0-0</f>
        <v>594.40567599999997</v>
      </c>
      <c r="L289" s="3">
        <f>1106.9+(211.6-700.5)+(2.258076+(0.431664-1.42902))+0-0-0</f>
        <v>619.26072000000011</v>
      </c>
      <c r="M289" s="3">
        <f>1203.1+(204.6-731.8)+(-0.613581+(-0.104346--0.373218))+0-0-0</f>
        <v>675.55529100000001</v>
      </c>
      <c r="N289" s="3">
        <f>1283.2+(165.8-750)+(0.654432+(0.084558-0.3825))+0-0-0</f>
        <v>699.35649000000001</v>
      </c>
      <c r="O289" s="3">
        <f>1280.4+(150.3-689.2)+(0+(0-0))+0-0-0</f>
        <v>741.5</v>
      </c>
      <c r="P289" s="3">
        <f>1276.8+(207.6-721.2)+(0+(0-0))+0-0-0</f>
        <v>763.19999999999993</v>
      </c>
      <c r="Q289" s="3">
        <f>1267.7+(306.8-807.6)+(-2.586108+(-0.625872--1.647504))+0-0-0</f>
        <v>765.33552400000008</v>
      </c>
      <c r="R289" s="3">
        <f>1164.5+(263.1-675.6)+(-1.781685+(-0.402543--1.033668))+0-0-0</f>
        <v>750.84943999999996</v>
      </c>
      <c r="S289" s="3">
        <f>1120+(219.9-601.9)+(-1.7136+(-0.336447--0.920907))+0-0-0</f>
        <v>736.87085999999999</v>
      </c>
      <c r="T289" s="3">
        <f>1122.5+(212.9-616.1)+(0.572475+(0.108579-0.314211))+0-0-0</f>
        <v>719.66684299999997</v>
      </c>
      <c r="U289" s="3">
        <f>1129.6+(185.4-592.5)+(-0.576096+(-0.094554--0.302175))+0-0-0</f>
        <v>722.1315249999999</v>
      </c>
      <c r="V289" s="3">
        <f>1169.4+(187.2-613.4)+(-1.789182+(-0.286416--0.938502))+0-0-0</f>
        <v>742.062904</v>
      </c>
      <c r="W289" s="3">
        <f>1199.7+(352.7-736.8)+(0+(0-0))+0-0-0</f>
        <v>815.60000000000014</v>
      </c>
      <c r="X289" s="3">
        <f>1194.3+(391.7-701.7)+(-1.827279+(-0.599301--1.073601))+0-0-0</f>
        <v>882.94702099999995</v>
      </c>
      <c r="Y289" s="3">
        <f>1187.3+(353.5-677.2)+(-1.816569+(-0.540855--1.036116))+0-0-0</f>
        <v>862.27869199999986</v>
      </c>
      <c r="Z289" s="3">
        <f>1142.7+(318-622.2)+(-2.913885+(-0.8109--1.58661))+0-0-0</f>
        <v>836.36182499999995</v>
      </c>
      <c r="AA289" s="3">
        <f>1148.2+(333.8-652.1)+(-0.585582+(-0.170238--0.332571))+0-0-0</f>
        <v>829.47675100000004</v>
      </c>
      <c r="AB289" s="3">
        <f>1143.5+(328.7-652.1)+(-1.749555+(-0.502911--0.997713))+0-0-0</f>
        <v>818.84524699999986</v>
      </c>
      <c r="AC289" s="3">
        <f>1141.7+(259.2-638.4)+(-2.329068+(-0.528768--1.302336))+0-0-0</f>
        <v>760.94449999999995</v>
      </c>
      <c r="AD289">
        <v>882.7</v>
      </c>
      <c r="AE289" s="3">
        <f>1199+(521.7-838)+(0+(0-0))+0-0-0</f>
        <v>882.7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1137+(207-648.6)+(-2.31948+(-0.42228--1.323144))+0-0-0</f>
        <v>693.98138399999993</v>
      </c>
      <c r="G290" s="3">
        <f>1006.9+(247.7-602.7)+(-0.513519+(-0.126327--0.307377))+0-0-0</f>
        <v>651.56753099999992</v>
      </c>
      <c r="H290" s="3">
        <f>910.5+(318.3-611.4)+(-0.92871+(-0.324666--0.623628))+0-0-0</f>
        <v>616.77025200000014</v>
      </c>
      <c r="I290" s="3">
        <f>908.2+(288.8-591.3)+(0.926364+(0.294576-0.603126))+0-0-0</f>
        <v>606.317814</v>
      </c>
      <c r="J290" s="3">
        <f>947.1+(256.7-594.3)+(0+(0-0))+0-0-0</f>
        <v>609.5</v>
      </c>
      <c r="K290" s="3">
        <f>993.2+(272.1-648.4)+(1.013064+(0.277542-0.661368))+0-0-0</f>
        <v>617.52923800000008</v>
      </c>
      <c r="L290" s="3">
        <f>1043+(319.6-728.3)+(1.06386+(0.325992-0.742866))+0-0-0</f>
        <v>634.94698600000004</v>
      </c>
      <c r="M290" s="3">
        <f>1153.9+(253.7-746.3)+(1.176978+(0.258774-0.761226))+0-0-0</f>
        <v>661.9745260000002</v>
      </c>
      <c r="N290" s="3">
        <f>1187.3+(189.7-678.8)+(0+(0-0))+0-0-0</f>
        <v>698.2</v>
      </c>
      <c r="O290" s="3">
        <f>1197.5+(171.7-619.7)+(0+(0-0))+0-0-0</f>
        <v>749.5</v>
      </c>
      <c r="P290" s="3">
        <f>1199.9+(240.3-702.1)+(0.611949+(0.122553-0.358071))+0-0-0</f>
        <v>738.47643100000016</v>
      </c>
      <c r="Q290" s="3">
        <f>1198.3+(269.1-709.1)+(-0.611133+(-0.137241--0.361641))+0-0-0</f>
        <v>757.91326699999991</v>
      </c>
      <c r="R290" s="3">
        <f>1192.5+(179.7-607.2)+(-2.4327+(-0.366588--1.238688))+0-0-0</f>
        <v>763.43939999999998</v>
      </c>
      <c r="S290" s="3">
        <f>1151.7+(214.5-648.2)+(-0.587367+(-0.109395--0.330582))+0-0-0</f>
        <v>717.63382000000001</v>
      </c>
      <c r="T290" s="3">
        <f>1141.9+(226.8-647.1)+(0+(0-0))+0-0-0</f>
        <v>721.60000000000014</v>
      </c>
      <c r="U290" s="3">
        <f>1142.9+(224.8-645.9)+(-1.165758+(-0.229296--0.658818))+0-0-0</f>
        <v>721.06376400000022</v>
      </c>
      <c r="V290" s="3">
        <f>1154.2+(212.8-626.8)+(0.588642+(0.108528-0.319668))+0-0-0</f>
        <v>740.57750200000009</v>
      </c>
      <c r="W290" s="3">
        <f>1187.7+(317.4-715.7)+(1.211454+(0.323748-0.730014))+0-0-0</f>
        <v>790.20518800000002</v>
      </c>
      <c r="X290" s="3">
        <f>1264.7+(378.4-730.4)+(-0.644997+(-0.192984--0.372504))+0-0-0</f>
        <v>912.23452300000008</v>
      </c>
      <c r="Y290" s="3">
        <f>1260+(296.8-663.8)+(-2.5704+(-0.605472--1.354152))+0-0-0</f>
        <v>891.17827999999997</v>
      </c>
      <c r="Z290" s="3">
        <f>1221.7+(261.3-619.6)+(-1.869201+(-0.399789--0.947988))+0-0-0</f>
        <v>862.07899800000007</v>
      </c>
      <c r="AA290" s="3">
        <f>1188.6+(280.6-622.4)+(-1.818558+(-0.429318--0.952272))+0-0-0</f>
        <v>845.50439599999993</v>
      </c>
      <c r="AB290" s="3">
        <f>1199.9+(320.5-696.4)+(-1.835847+(-0.490365--1.065492))+0-0-0</f>
        <v>822.73928000000012</v>
      </c>
      <c r="AC290" s="3">
        <f>1197+(204.6-637.4)+(-3.66282+(-0.626076--1.950444))+0-0-0</f>
        <v>761.86154800000008</v>
      </c>
      <c r="AD290">
        <v>901.2</v>
      </c>
      <c r="AE290" s="3">
        <f>1261+(395.7-755.5)+(0+(0-0))+0-0-0</f>
        <v>901.2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1180.5+(159.7-640.1)+(-1.20411+(-0.162894--0.652902))+0-0-0</f>
        <v>699.38589799999988</v>
      </c>
      <c r="G291" s="3">
        <f>1064.4+(221.6-641)+(-1.628532+(-0.339048--0.98073))+0-0-0</f>
        <v>644.01315000000011</v>
      </c>
      <c r="H291" s="3">
        <f>1061.6+(226.3-674.3)+(-0.541416+(-0.115413--0.343893))+0-0-0</f>
        <v>613.28706399999987</v>
      </c>
      <c r="I291" s="3">
        <f>1051+(230.8-681.6)+(2.68005+(0.58854-1.73808))+0-0-0</f>
        <v>601.73051000000009</v>
      </c>
      <c r="J291" s="3">
        <f>998.5+(241.4-647.1)+(2.03694+(0.492456-1.320084))+0-0-0</f>
        <v>594.00931199999991</v>
      </c>
      <c r="K291" s="3">
        <f>1057.3+(222-677.4)+(2.156892+(0.45288-1.381896))+0-0-0</f>
        <v>603.12787600000001</v>
      </c>
      <c r="L291" s="3">
        <f>1141.4+(227.4-736)+(4.074798+(0.811818-2.62752))+0-0-0</f>
        <v>635.05909600000007</v>
      </c>
      <c r="M291" s="3">
        <f>1246+(202.2-820.2)+(-1.90638+(-0.309366--1.254906))+0-0-0</f>
        <v>627.03916000000004</v>
      </c>
      <c r="N291" s="3">
        <f>1290.3+(99.4-708.9)+(1.974159+(0.152082-1.084617))+0-0-0</f>
        <v>681.84162399999991</v>
      </c>
      <c r="O291" s="3">
        <f>1285.2+(129.4-684.6)+(1.310904+(0.131988-0.698292))+0-0-0</f>
        <v>730.74459999999999</v>
      </c>
      <c r="P291" s="3">
        <f>1274.5+(194.8-708.9)+(1.29999+(0.198696-0.723078))+0-0-0</f>
        <v>761.17560800000012</v>
      </c>
      <c r="Q291" s="3">
        <f>1266.3+(233.7-733.9)+(0+(0-0))+0-0-0</f>
        <v>766.09999999999991</v>
      </c>
      <c r="R291" s="3">
        <f>1264.1+(140.5-667.1)+(-1.934073+(-0.214965--1.020663))+0-0-0</f>
        <v>736.37162499999988</v>
      </c>
      <c r="S291" s="3">
        <f>1269.6+(81.2-644.6)+(0+(0-0))+0-0-0</f>
        <v>706.19999999999993</v>
      </c>
      <c r="T291" s="3">
        <f>1266+(127.9-697.9)+(-0.64566+(-0.065229--0.355929))+0-0-0</f>
        <v>695.64503999999999</v>
      </c>
      <c r="U291" s="3">
        <f>1259.5+(153.3-709.6)+(1.28469+(0.156366-0.723792))+0-0-0</f>
        <v>703.91726400000005</v>
      </c>
      <c r="V291" s="3">
        <f>1249.8+(138-663.1)+(0.637398+(0.07038-0.338181))+0-0-0</f>
        <v>725.06959699999993</v>
      </c>
      <c r="W291" s="3">
        <f>1253+(200.1-651.7)+(1.91709+(0.306153-0.997101))+0-0-0</f>
        <v>802.62614199999996</v>
      </c>
      <c r="X291" s="3">
        <f>1243.9+(288.1-647.2)+(-3.171945+(-0.734655--1.65036))+0-0-0</f>
        <v>882.54376000000002</v>
      </c>
      <c r="Y291" s="3">
        <f>1247.7+(217.4-603.8)+(-1.272654+(-0.221748--0.615876))+0-0-0</f>
        <v>860.4214740000001</v>
      </c>
      <c r="Z291" s="3">
        <f>1244+(198.7-607.6)+(-4.44108+(-0.709359--2.169132))+0-0-0</f>
        <v>832.11869299999989</v>
      </c>
      <c r="AA291" s="3">
        <f>1245.8+(203.1-622.8)+(-3.812148+(-0.621486--1.905768))+0-0-0</f>
        <v>823.57213400000001</v>
      </c>
      <c r="AB291" s="3">
        <f>1200.1+(185.2-576.7)+(-0.612051+(-0.094452--0.294117))+0-0-0</f>
        <v>808.18761399999994</v>
      </c>
      <c r="AC291" s="3">
        <f>1051.5+(269.3-569.3)+(0.536265+(0.137343-0.290343))+0-0-0</f>
        <v>751.88326500000005</v>
      </c>
      <c r="AD291">
        <v>881.6</v>
      </c>
      <c r="AE291" s="3">
        <f>1244+(329.5-691.9)+(0+(0-0))+0-0-0</f>
        <v>881.6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932.8+(338.1-581.7)+(-2.37864+(-0.862155--1.483335))+0-0-0</f>
        <v>687.44253999999989</v>
      </c>
      <c r="G292" s="3">
        <f>938.3+(291.8-582.9)+(0+(0-0))+0-0-0</f>
        <v>647.20000000000005</v>
      </c>
      <c r="H292" s="3">
        <f>894.9+(299.3-573)+(-0.456399+(-0.152643--0.29223))+0-0-0</f>
        <v>620.88318800000002</v>
      </c>
      <c r="I292" s="3">
        <f>852.2+(331.3-578.8)+(0.869244+(0.337926-0.590376))+0-0-0</f>
        <v>605.31679400000007</v>
      </c>
      <c r="J292" s="3">
        <f>874.2+(325.5-591.4)+(-0.891684+(-0.33201--0.603228))+0-0-0</f>
        <v>607.6795340000001</v>
      </c>
      <c r="K292" s="3">
        <f>878.5+(332.5-605.6)+(1.344105+(0.508725-0.926568))+0-0-0</f>
        <v>606.32626199999993</v>
      </c>
      <c r="L292" s="3">
        <f>900.3+(348.8-637.1)+(0+(0-0))+0-0-0</f>
        <v>612</v>
      </c>
      <c r="M292" s="3">
        <f>816.6+(395.4-607.4)+(-0.416466+(-0.201654--0.309774))+0-0-0</f>
        <v>604.29165399999999</v>
      </c>
      <c r="N292" s="3">
        <f>793.9+(419.2-594.2)+(0.404889+(0.213792-0.303042))+0-0-0</f>
        <v>619.2156389999999</v>
      </c>
      <c r="O292" s="3">
        <f>833.1+(402-593.7)+(1.274643+(0.61506-0.908361))+9.7-0-0</f>
        <v>652.08134200000006</v>
      </c>
      <c r="P292" s="3">
        <f>908.1+(378.5-606.5)+(0+(0-0))+0-0-0</f>
        <v>680.1</v>
      </c>
      <c r="Q292" s="3">
        <f>909.4+(369.4-585)+(-1.391382+(-0.565182--0.89505))+0-0-0</f>
        <v>692.73848599999997</v>
      </c>
      <c r="R292" s="3">
        <f>904.4+(364.4-598.3)+(-2.30622+(-0.92922--1.525665))+0-0-0</f>
        <v>668.79022499999996</v>
      </c>
      <c r="S292" s="3">
        <f>907.7+(360.1-606.4)+(-1.388781+(-0.550953--0.927792))+0-0-0</f>
        <v>660.38805800000011</v>
      </c>
      <c r="T292" s="3">
        <f>907.1+(329.6-568.5)+(-1.387863+(-0.504288--0.869805))+0-0-0</f>
        <v>667.17765400000008</v>
      </c>
      <c r="U292" s="3">
        <f>916.2+(325.9-567.3)+(1.401786+(0.498627-0.867969))+0-0-0</f>
        <v>675.83244400000012</v>
      </c>
      <c r="V292" s="3">
        <f>907.1+(392-595.4)+(0+(0-0))+0-0-0</f>
        <v>703.7</v>
      </c>
      <c r="W292" s="3">
        <f>905.2+(479.7-602.4)+(-0.923304+(-0.489294--0.614448))+0-0-0</f>
        <v>781.70185000000004</v>
      </c>
      <c r="X292" s="3">
        <f>906+(505.1-584.8)+(-0.92412+(-0.515202--0.596496))+0-0-0</f>
        <v>825.45717400000012</v>
      </c>
      <c r="Y292" s="3">
        <f>934.9+(464.8-586.2)+(-0.953598+(-0.474096--0.597924))+0-0-0</f>
        <v>812.67022999999995</v>
      </c>
      <c r="Z292" s="3">
        <f>947.4+(424.5-571.6)+(-0.966348+(-0.43299--0.583032))+0-0-0</f>
        <v>799.4836939999999</v>
      </c>
      <c r="AA292" s="3">
        <f>947.6+(418.3-577.2)+(-0.483276+(-0.213333--0.294372))+0-0-0</f>
        <v>788.29776300000003</v>
      </c>
      <c r="AB292" s="3">
        <f>946.5+(421.5-585.8)+(-0.96543+(-0.42993--0.597516))+0-0-0</f>
        <v>781.40215599999999</v>
      </c>
      <c r="AC292" s="3">
        <f>944.7+(391.7-609)+(-1.927188+(-0.799068--1.24236))+0-0-0</f>
        <v>725.91610400000013</v>
      </c>
      <c r="AD292">
        <v>823.59999999999991</v>
      </c>
      <c r="AE292" s="3">
        <f>909+(553.8-639.2)+(0+(0-0))+0-0-0</f>
        <v>823.59999999999991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946.3+(343.3-624.7)+(-2.413065+(-0.875415--1.592985))+0-0-0</f>
        <v>663.20450499999981</v>
      </c>
      <c r="G293" s="3">
        <f>944.5+(328.5-645.3)+(0+(0-0))+0-0-0</f>
        <v>627.70000000000005</v>
      </c>
      <c r="H293" s="3">
        <f>854.9+(378.9-630.7)+(0.871998+(0.386478-0.643314))+0-0-0</f>
        <v>603.71516199999996</v>
      </c>
      <c r="I293" s="3">
        <f>849.9+(377.1-625.9)+(-0.433449+(-0.192321--0.319209))+0-0-0</f>
        <v>600.79343900000003</v>
      </c>
      <c r="J293" s="3">
        <f>866+(360.5-632.7)+(0.88332+(0.36771-0.645354))+0-0-0</f>
        <v>594.40567599999997</v>
      </c>
      <c r="K293" s="3">
        <f>935+(315.7-642.6)+(-1.43055+(-0.483021--0.983178))+0-0-0</f>
        <v>607.16960699999993</v>
      </c>
      <c r="L293" s="3">
        <f>938+(341.3-665.2)+(-0.95676+(-0.348126--0.678504))+0-0-0</f>
        <v>613.47361799999987</v>
      </c>
      <c r="M293" s="3">
        <f>1039.2+(283.8-655.9)+(-0.529992+(-0.144738--0.334509))+0-0-0</f>
        <v>666.75977900000009</v>
      </c>
      <c r="N293" s="3">
        <f>1163.1+(168.8-656.6)+(0.593181+(0.086088-0.334866))+0-0-0</f>
        <v>675.64440300000001</v>
      </c>
      <c r="O293" s="3">
        <f>1258.2+(269.3-790.4)+(0+(0-0))+0-0-0</f>
        <v>737.10000000000014</v>
      </c>
      <c r="P293" s="3">
        <f>1230.6+(247.8-737.6)+(0.627606+(0.126378-0.376176))+0-0-0</f>
        <v>741.17780799999991</v>
      </c>
      <c r="Q293" s="3">
        <f>1250.7+(243.8-724.9)+(-1.913571+(-0.373014--1.109097))+0-0-0</f>
        <v>768.4225120000001</v>
      </c>
      <c r="R293" s="3">
        <f>1257.1+(138.3-660)+(-1.282242+(-0.141066--0.6732))+0-0-0</f>
        <v>734.64989199999991</v>
      </c>
      <c r="S293" s="3">
        <f>1253.5+(123.8-659.6)+(-1.27857+(-0.126276--0.672792))+0-0-0</f>
        <v>716.96794599999998</v>
      </c>
      <c r="T293" s="3">
        <f>1255+(119.7-665.2)+(1.2801+(0.122094-0.678504))+0-0-0</f>
        <v>710.22369000000003</v>
      </c>
      <c r="U293" s="3">
        <f>1240.9+(150.7-680.3)+(-1.265718+(-0.153714--0.693906))+0-0-0</f>
        <v>710.57447400000024</v>
      </c>
      <c r="V293" s="3">
        <f>1242.3+(197.3-716.3)+(0+(0-0))+0-0-0</f>
        <v>723.3</v>
      </c>
      <c r="W293" s="3">
        <f>1252.5+(181.8-644.2)+(1.27755+(0.185436-0.657084))+0-0-0</f>
        <v>790.90590199999986</v>
      </c>
      <c r="X293" s="3">
        <f>1260.5+(250.2-627.4)+(-1.928565+(-0.382806--0.959922))+0-0-0</f>
        <v>881.94855099999995</v>
      </c>
      <c r="Y293" s="3">
        <f>1250.2+(230.4-610.7)+(-0.637602+(-0.117504--0.311457))+0-0-0</f>
        <v>869.45635099999993</v>
      </c>
      <c r="Z293" s="3">
        <f>1248.4+(226.4-627.5)+(-2.546736+(-0.461856--1.2801))+0-0-0</f>
        <v>845.57150800000011</v>
      </c>
      <c r="AA293" s="3">
        <f>1249.8+(239.5-658.5)+(-1.274796+(-0.24429--0.67167))+0-0-0</f>
        <v>829.952584</v>
      </c>
      <c r="AB293" s="3">
        <f>1251.1+(221.3-645.1)+(-0.638061+(-0.112863--0.329001))+0-0-0</f>
        <v>826.87807699999996</v>
      </c>
      <c r="AC293" s="3">
        <f>1250.7+(233.1-702.1)+(-1.913571+(-0.356643--1.074213))+0-0-0</f>
        <v>780.50399900000002</v>
      </c>
      <c r="AD293">
        <v>868.2</v>
      </c>
      <c r="AE293" s="3">
        <f>1269+(297.5-698.3)+(0+(0-0))+0-0-0</f>
        <v>868.2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1188.6+(221.5-692)+(-2.424744+(-0.45186--1.41168))+0-0-0</f>
        <v>716.63507599999991</v>
      </c>
      <c r="G294" s="3">
        <f>1120.2+(248.3-703.4)+(-1.713906+(-0.379899--1.076202))+0-0-0</f>
        <v>664.08239700000013</v>
      </c>
      <c r="H294" s="3">
        <f>1124.5+(276.2-759.9)+(-0.573495+(-0.140862--0.387549))+0-0-0</f>
        <v>640.47319199999993</v>
      </c>
      <c r="I294" s="3">
        <f>1082.1+(274.4-715.7)+(-1.655613+(-0.419832--1.095021))+0-0-0</f>
        <v>639.81957599999987</v>
      </c>
      <c r="J294" s="3">
        <f>1004.7+(328.4-702.8)+(0+(0-0))+0-0-0</f>
        <v>630.30000000000007</v>
      </c>
      <c r="K294" s="3">
        <f>919+(357.5-638.6)+(-1.40607+(-0.546975--0.977058))+0-0-0</f>
        <v>636.92401299999995</v>
      </c>
      <c r="L294" s="3">
        <f>1102+(328-683)+(0+(0-0))+0-0-0</f>
        <v>747</v>
      </c>
      <c r="M294" s="3">
        <f>1231+(274-779)+(0+(0-0))+0-0-0</f>
        <v>726</v>
      </c>
      <c r="N294" s="3">
        <f>1257+(194-726)+(0+(0-0))+0-0-0</f>
        <v>725</v>
      </c>
      <c r="O294" s="3">
        <f>1281+(149-689)+(0+(0-0))+0-0-0</f>
        <v>741</v>
      </c>
      <c r="P294" s="3">
        <f>1256+(210-787)+(0+(0-0))+0-0-0</f>
        <v>679</v>
      </c>
      <c r="Q294" s="3">
        <f>1224+(177-728)+(0+(0-0))+0-0-0</f>
        <v>673</v>
      </c>
      <c r="R294" s="3">
        <f>1269+(181.3-714)+(0+(0-0))+0-0-0</f>
        <v>736.3</v>
      </c>
      <c r="S294" s="3">
        <f>1256+(193-702)+(0+(0-0))+0-0-0</f>
        <v>747</v>
      </c>
      <c r="T294" s="3">
        <f>1258+(171.9-717)+(-1.92474+(-0.263007--1.09701))+0-0-0</f>
        <v>711.80926299999999</v>
      </c>
      <c r="U294" s="3">
        <f>1254+(204.6-702)+(0+(0-0))+0-0-0</f>
        <v>756.6</v>
      </c>
      <c r="V294" s="3">
        <f>1260.5+(290.2-631.3)+(1.28571+(0.296004-0.643926))+0-0-0</f>
        <v>920.33778800000005</v>
      </c>
      <c r="W294" s="3">
        <f>1264.1+(225.2-608.9)+(1.289382+(0.229704-0.621078))+0-0-0</f>
        <v>881.29800799999987</v>
      </c>
      <c r="X294" s="3">
        <f>1265.4+(260.7-601.7)+(-1.290708+(-0.265914--0.613734))+0-0-0</f>
        <v>923.45711200000005</v>
      </c>
      <c r="Y294" s="3">
        <f>1266.2+(235.5-599.7)+(-0.645762+(-0.120105--0.305847))+0-0-0</f>
        <v>901.53998000000001</v>
      </c>
      <c r="Z294" s="3">
        <f>1263.2+(231.4-619.8)+(-0.644232+(-0.118014--0.316098))+0-0-0</f>
        <v>874.35385200000007</v>
      </c>
      <c r="AA294" s="3">
        <f>1260+(292.4-695)+(0+(0-0))+0-0-0</f>
        <v>857.4</v>
      </c>
      <c r="AB294" s="3">
        <f>1222.1+(235.4-616.4)+(0+(0-0))+0-0-0</f>
        <v>841.09999999999991</v>
      </c>
      <c r="AC294" s="3">
        <f>1169+(224.4-613.8)+(-1.78857+(-0.343332--0.939114))+0-0-0</f>
        <v>778.40721200000007</v>
      </c>
      <c r="AD294">
        <v>897.69999999999993</v>
      </c>
      <c r="AE294" s="3">
        <f>1259+(268.1-629.4)+(0+(0-0))+0-0-0</f>
        <v>897.7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947.1+(363.4-607.8)+(-0.966042+(-0.370668--0.619956))+0-0-0</f>
        <v>701.98324600000001</v>
      </c>
      <c r="G295" s="3">
        <f>870.3+(379.1-598.4)+(-2.663118+(-1.160046--1.831104))+0-0-0</f>
        <v>649.00793999999996</v>
      </c>
      <c r="H295" s="3">
        <f>793.6+(389.3-567.4)+(0+(0-0))+0-0-0</f>
        <v>615.5</v>
      </c>
      <c r="I295" s="3">
        <f>791.4+(403.8-582.3)+(-0.807228+(-0.411876--0.593946))+0-0-0</f>
        <v>612.27484200000004</v>
      </c>
      <c r="J295" s="3">
        <f>793.9+(408.2-586.5)+(-0.404889+(-0.208182--0.299115))+0-0-0</f>
        <v>615.28604399999995</v>
      </c>
      <c r="K295" s="3">
        <f>815.7+(395.4-591)+(1.248021+(0.604962-0.90423))+0-0-0</f>
        <v>621.04875300000003</v>
      </c>
      <c r="L295" s="3">
        <f>894.5+(387-631.2)+(-0.456195+(-0.19737--0.321912))+0-0-0</f>
        <v>649.96834699999999</v>
      </c>
      <c r="M295" s="3">
        <f>1200.1+(294.6-812)+(-1.224102+(-0.300492--0.82824))+0-0-0</f>
        <v>682.00364599999989</v>
      </c>
      <c r="N295" s="3">
        <f>1252.3+(226.6-767.2)+(-1.916019+(-0.346698--1.173816))+0-0-0</f>
        <v>710.61109899999997</v>
      </c>
      <c r="O295" s="3">
        <f>1249.8+(148.7-650.5)+(-0.637398+(-0.075837--0.331755))+0-0-0</f>
        <v>747.61851999999999</v>
      </c>
      <c r="P295" s="3">
        <f>1284.4+(111.6-634.3)+(-1.310088+(-0.113832--0.646986))+0-0-0</f>
        <v>760.92306600000018</v>
      </c>
      <c r="Q295" s="3">
        <f>1364.5+(63.5-661.3)+(-1.39179+(-0.06477--0.674526))+0-0-0</f>
        <v>765.91796600000009</v>
      </c>
      <c r="R295" s="3">
        <f>1380+(68.9-708.4)+(-2.8152+(-0.140556--1.445136))+0-0-0</f>
        <v>738.98937999999998</v>
      </c>
      <c r="S295" s="3">
        <f>1370.9+(122.1-757.7)+(-2.097477+(-0.186813--1.159281))+0-0-0</f>
        <v>734.17499100000009</v>
      </c>
      <c r="T295" s="3">
        <f>1305.7+(110.5-692.1)+(-0.665907+(-0.056355--0.352971))+0-0-0</f>
        <v>723.73070900000005</v>
      </c>
      <c r="U295" s="3">
        <f>1305.4+(98.5-685.4)+(-0.665754+(-0.050235--0.349554))+0-0-0</f>
        <v>718.13356500000009</v>
      </c>
      <c r="V295" s="3">
        <f>1309+(139.4-709.6)+(0+(0-0))+0-0-0</f>
        <v>738.8</v>
      </c>
      <c r="W295" s="3">
        <f>1383.3+(117.4-671.6)+(-0.705483+(-0.059874--0.342516))+0-0-0</f>
        <v>828.67715899999996</v>
      </c>
      <c r="X295" s="3">
        <f>1391.2+(161-635.4)+(-2.128536+(-0.24633--0.972162))+0-0-0</f>
        <v>915.3972960000001</v>
      </c>
      <c r="Y295" s="3">
        <f>1365.3+(134.6-607.4)+(-2.785212+(-0.274584--1.239096))+0-0-0</f>
        <v>890.67930000000001</v>
      </c>
      <c r="Z295" s="3">
        <f>1366+(119.6-623.9)+(-2.08998+(-0.182988--0.954567))+0-0-0</f>
        <v>860.38159900000005</v>
      </c>
      <c r="AA295" s="3">
        <f>1341.4+(144.7-633.3)+(-4.104684+(-0.442782--1.937898))+0-0-0</f>
        <v>850.19043200000021</v>
      </c>
      <c r="AB295" s="3">
        <f>1244.5+(194.7-599.7)+(-1.26939+(-0.198594--0.611694))+0-0-0</f>
        <v>838.64371000000006</v>
      </c>
      <c r="AC295" s="3">
        <f>1242.9+(169.6-630.1)+(-0.633879+(-0.086496--0.321351))+0-0-0</f>
        <v>782.00097600000004</v>
      </c>
      <c r="AD295">
        <v>902.19999999999993</v>
      </c>
      <c r="AE295" s="3">
        <f>1391+(204.1-692.9)+(0+(0-0))+0-0-0</f>
        <v>902.2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1242.7+(238.2-770.3)+(-0.633777+(-0.121482--0.392853))+0-0-0</f>
        <v>710.23759400000017</v>
      </c>
      <c r="G296" s="3">
        <f>1236.5+(231.8-801.2)+(-3.153075+(-0.59109--2.04306))+0-0-0</f>
        <v>665.39889499999992</v>
      </c>
      <c r="H296" s="3">
        <f>1113.2+(229.3-698.6)+(-0.567732+(-0.116943--0.356286))+0-0-0</f>
        <v>643.57161100000008</v>
      </c>
      <c r="I296" s="3">
        <f>1063.3+(241.1-671.9)+(0+(0-0))+0-0-0</f>
        <v>632.5</v>
      </c>
      <c r="J296" s="3">
        <f>1091.1+(241.3-705.7)+(0.556461+(0.123063-0.359907))+0-0-0</f>
        <v>627.01961699999981</v>
      </c>
      <c r="K296" s="3">
        <f>1123.5+(254-751.5)+(1.14597+(0.25908-0.76653))+0-0-0</f>
        <v>626.63851999999997</v>
      </c>
      <c r="L296" s="3">
        <f>1190.6+(264.8-811.2)+(-0.607206+(-0.135048--0.413712))+0-0-0</f>
        <v>643.87145799999985</v>
      </c>
      <c r="M296" s="3">
        <f>1291+(219.7-818.7)+(0+(0-0))+0-0-0</f>
        <v>692</v>
      </c>
      <c r="N296" s="3">
        <f>1284.2+(181.5-761.1)+(0+(0-0))+0-0-0</f>
        <v>704.6</v>
      </c>
      <c r="O296" s="3">
        <f>1280.8+(109-652.1)+(0+(0-0))+0-0-0</f>
        <v>737.69999999999993</v>
      </c>
      <c r="P296" s="3">
        <f>1272.6+(131.1-644)+(-1.298052+(-0.133722--0.65688))+0-0-0</f>
        <v>758.92510599999991</v>
      </c>
      <c r="Q296" s="3">
        <f>1278.7+(133.9-638.2)+(-1.304274+(-0.136578--0.650964))+0-0-0</f>
        <v>773.61011199999996</v>
      </c>
      <c r="R296" s="3">
        <f>1268.7+(130.9-657.7)+(-3.235185+(-0.333795--1.677135))+0-0-0</f>
        <v>740.00815499999999</v>
      </c>
      <c r="S296" s="3">
        <f>1213.6+(180.1-613)+(0.618936+(0.091851-0.31263))+0-0-0</f>
        <v>781.0981569999999</v>
      </c>
      <c r="T296" s="3">
        <f>1249.5+(114.2-623)+(0.637245+(0.058242-0.31773))+0-0-0</f>
        <v>741.07775700000002</v>
      </c>
      <c r="U296" s="3">
        <f>1229.8+(126.5-608.2)+(0+(0-0))+0-0-0</f>
        <v>748.09999999999991</v>
      </c>
      <c r="V296" s="3">
        <f>1233.8+(164-642.3)+(-1.887714+(-0.25092--0.982719))+0-0-0</f>
        <v>754.34408499999995</v>
      </c>
      <c r="W296" s="3">
        <f>1249.9+(188-618.3)+(-1.274898+(-0.19176--0.630666))+0-0-0</f>
        <v>818.7640080000001</v>
      </c>
      <c r="X296" s="3">
        <f>1248+(252.8-591.5)+(-1.90944+(-0.386784--0.904995))+0-0-0</f>
        <v>907.908771</v>
      </c>
      <c r="Y296" s="3">
        <f>1246.9+(244.1-593.6)+(-3.179595+(-0.622455--1.51368))+0-0-0</f>
        <v>895.1116300000001</v>
      </c>
      <c r="Z296" s="3">
        <f>1251.6+(215.5-611.5)+(-0.638316+(-0.109905--0.311865))+0-0-0</f>
        <v>855.16364399999986</v>
      </c>
      <c r="AA296" s="3">
        <f>1247+(207-613.5)+(-2.54388+(-0.42228--1.25154))+0-0-0</f>
        <v>838.78538000000003</v>
      </c>
      <c r="AB296" s="3">
        <f>1247.2+(217.8-632.3)+(-3.18036+(-0.55539--1.612365))+0-0-0</f>
        <v>830.57661500000006</v>
      </c>
      <c r="AC296" s="3">
        <f>1184.1+(215.4-609.6)+(-4.227237+(-0.768978--2.176272))+0-0-0</f>
        <v>787.0800569999999</v>
      </c>
      <c r="AD296">
        <v>903.09999999999991</v>
      </c>
      <c r="AE296" s="3">
        <f>1247+(250.8-594.7)+(0+(0-0))+0-0-0</f>
        <v>903.09999999999991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1097.2+(210.5-605.9)+(-1.119144+(-0.21471--0.618018))+0-0-0</f>
        <v>701.0841640000001</v>
      </c>
      <c r="G297" s="3">
        <f>1046.5+(230.3-622)+(-2.13486+(-0.469812--1.26888))+0-0-0</f>
        <v>653.46420799999999</v>
      </c>
      <c r="H297" s="3">
        <f>1048.4+(227.6-646.1)+(-0.534684+(-0.116076--0.329511))+0-0-0</f>
        <v>629.57875100000012</v>
      </c>
      <c r="I297" s="3">
        <f>1047.4+(220.5-645.1)+(-1.602522+(-0.337365--0.987003))+0-0-0</f>
        <v>621.84711600000003</v>
      </c>
      <c r="J297" s="3">
        <f>1050.7+(226.7-661.6)+(0+(0-0))+0-0-0</f>
        <v>615.79999999999995</v>
      </c>
      <c r="K297" s="3">
        <f>1049.7+(231.1-659.3)+(0+(0-0))+0-0-0</f>
        <v>621.50000000000011</v>
      </c>
      <c r="L297" s="3">
        <f>1058.2+(291.2-697.9)+(0+(0-0))+0-0-0</f>
        <v>651.5</v>
      </c>
      <c r="M297" s="3">
        <f>1156.8+(217.6-683.7)+(0.589968+(0.110976-0.348687))+0-0-0</f>
        <v>691.05225699999994</v>
      </c>
      <c r="N297" s="3">
        <f>1287.5+(165.8-740.3)+(1.31325+(0.169116-0.755106))+0-0-0</f>
        <v>713.72726</v>
      </c>
      <c r="O297" s="3">
        <f>1279.1+(130.8-642.3)+(1.957023+(0.200124-0.982719))+0-0-0</f>
        <v>768.77442799999994</v>
      </c>
      <c r="P297" s="3">
        <f>1267.9+(143.2-629.1)+(1.293258+(0.146064-0.641682))+0-0-0</f>
        <v>782.79764</v>
      </c>
      <c r="Q297" s="3">
        <f>1260.1+(148.4-610.7)+(-1.285302+(-0.151368--0.622914))+0-0-0</f>
        <v>796.98624399999983</v>
      </c>
      <c r="R297" s="3">
        <f>1247.8+(151.7-635)+(-3.818268+(-0.464202--1.9431))+0-0-0</f>
        <v>762.16062999999997</v>
      </c>
      <c r="S297" s="3">
        <f>1184.8+(178.8-616.4)+(0.604248+(0.091188-0.314364))+0-0-0</f>
        <v>747.58107200000006</v>
      </c>
      <c r="T297" s="3">
        <f>1183.9+(161.8-599.9)+(0.603789+(0.082518-0.305949))+0-0-0</f>
        <v>746.18035800000018</v>
      </c>
      <c r="U297" s="3">
        <f>1239.8+(177.3-672.6)+(0.632298+(0.090423-0.343026))+0-0-0</f>
        <v>744.87969499999997</v>
      </c>
      <c r="V297" s="3">
        <f>1259.2+(193.9-670.8)+(-0.642192+(-0.098889--0.342108))+0-0-0</f>
        <v>781.90102700000011</v>
      </c>
      <c r="W297" s="3">
        <f>1262.4+(226.1-636.9)+(-0.643824+(-0.115311--0.324819))+0-0-0</f>
        <v>851.16568400000017</v>
      </c>
      <c r="X297" s="3">
        <f>1279.1+(253-621.4)+(-1.304682+(-0.25806--0.633828))+0-0-0</f>
        <v>909.77108599999997</v>
      </c>
      <c r="Y297" s="3">
        <f>1262.9+(254-626.5)+(-0.644079+(-0.12954--0.319515))+0-0-0</f>
        <v>889.94589600000006</v>
      </c>
      <c r="Z297" s="3">
        <f>1253.4+(223-616.7)+(-0.639234+(-0.11373--0.314517))+0-0-0</f>
        <v>859.26155300000005</v>
      </c>
      <c r="AA297" s="3">
        <f>1241.2+(251-642.6)+(-2.532048+(-0.51204--1.310904))+0-0-0</f>
        <v>847.86681599999997</v>
      </c>
      <c r="AB297" s="3">
        <f>1173.7+(269.9-621.4)+(0.598587+(0.137649-0.316914))+0-0-0</f>
        <v>822.61932200000001</v>
      </c>
      <c r="AC297" s="3">
        <f>1170.4+(271.5-668.8)+(-2.98452+(-0.692325--1.70544))+0-0-0</f>
        <v>771.12859500000013</v>
      </c>
      <c r="AD297">
        <v>899.3</v>
      </c>
      <c r="AE297" s="3">
        <f>1284+(291.5-676.2)+(0+(0-0))+0-0-0</f>
        <v>899.3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1165.3+(273-732.9)+(-1.188606+(-0.27846--0.747558))+0-0-0</f>
        <v>704.68049199999996</v>
      </c>
      <c r="G298" s="3">
        <f>1108.8+(287-739.5)+(0.565488+(0.14637-0.377145))+0-0-0</f>
        <v>656.63471299999992</v>
      </c>
      <c r="H298" s="3">
        <f>1056.7+(299.7-730.6)+(0+(0-0))+0-0-0</f>
        <v>625.79999999999995</v>
      </c>
      <c r="I298" s="3">
        <f>1067.5+(252.2-703.2)+(0.544425+(0.128622-0.358632))+0-0-0</f>
        <v>616.81441500000005</v>
      </c>
      <c r="J298" s="3">
        <f>1104.2+(219.2-707.6)+(-2.81571+(-0.55896--1.80438))+0-0-0</f>
        <v>614.22970999999995</v>
      </c>
      <c r="K298" s="3">
        <f>1117.2+(226.7-716.9)+(1.139544+(0.231234-0.731238))+0-0-0</f>
        <v>627.63954000000001</v>
      </c>
      <c r="L298" s="3">
        <f>1117.7+(284.9-765.2)+(0+(0-0))+0-0-0</f>
        <v>637.4</v>
      </c>
      <c r="M298" s="3">
        <f>1119.1+(265.5-736.5)+(-0.570741+(-0.135405--0.375615))+0-0-0</f>
        <v>647.76946899999996</v>
      </c>
      <c r="N298" s="3">
        <f>1125.4+(230.7-676.8)+(1.147908+(0.235314-0.690336))+0-0-0</f>
        <v>679.99288600000023</v>
      </c>
      <c r="O298" s="3">
        <f>1133+(200.4-604.5)+(1.73349+(0.306612-0.924885))+0-0-0</f>
        <v>730.01521700000001</v>
      </c>
      <c r="P298" s="3">
        <f>1129.3+(250.4-619.9)+(0+(0-0))+0-0-0</f>
        <v>759.8</v>
      </c>
      <c r="Q298" s="3">
        <f>1125.9+(246.1-605.8)+(-1.148418+(-0.251022--0.617916))+0-0-0</f>
        <v>765.41847600000017</v>
      </c>
      <c r="R298" s="3">
        <f>1125.2+(232.4-625.9)+(-1.721556+(-0.355572--0.957627))+0-0-0</f>
        <v>730.58049900000003</v>
      </c>
      <c r="S298" s="3">
        <f>1124.4+(212-623)+(-2.86722+(-0.5406--1.58865))+0-0-0</f>
        <v>711.58083000000011</v>
      </c>
      <c r="T298" s="3">
        <f>1131.9+(199.7-630.9)+(-3.463614+(-0.611082--1.930554))+0-0-0</f>
        <v>698.55585800000006</v>
      </c>
      <c r="U298" s="3">
        <f>1111.6+(203.2-618.6)+(-2.267664+(-0.414528--1.261944))+0-0-0</f>
        <v>694.7797519999998</v>
      </c>
      <c r="V298" s="3">
        <f>1075.3+(221.3-586.2)+(-0.548403+(-0.112863--0.298962))+0-0-0</f>
        <v>710.03769599999987</v>
      </c>
      <c r="W298" s="3">
        <f>1121.7+(240.6-588.9)+(-1.144134+(-0.245412--0.600678))+0-0-0</f>
        <v>772.61113200000011</v>
      </c>
      <c r="X298" s="3">
        <f>1109.5+(394.4-628.4)+(-1.697535+(-0.603432--0.961452))+0-0-0</f>
        <v>874.16048499999999</v>
      </c>
      <c r="Y298" s="3">
        <f>1092.2+(362-599.2)+(0+(0-0))+0-0-0</f>
        <v>855</v>
      </c>
      <c r="Z298" s="3">
        <f>1090.8+(330.8-587.5)+(-0.556308+(-0.168708--0.299625))+0-0-0</f>
        <v>833.67460899999992</v>
      </c>
      <c r="AA298" s="3">
        <f>1083.7+(335.1-605.7)+(-1.105374+(-0.341802--0.617814))+0-0-0</f>
        <v>812.27063800000008</v>
      </c>
      <c r="AB298" s="3">
        <f>1084+(320.6-605.3)+(-1.65852+(-0.490518--0.926109))+0-0-0</f>
        <v>798.07707100000005</v>
      </c>
      <c r="AC298" s="3">
        <f>1077.9+(274.9-593)+(-2.748645+(-0.700995--1.51215))+0-0-0</f>
        <v>757.86251000000004</v>
      </c>
      <c r="AD298">
        <v>829.69999999999993</v>
      </c>
      <c r="AE298" s="3">
        <f>1087+(377.3-634.6)+(0+(0-0))+0-0-0</f>
        <v>829.7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1087.6+(259.7-640.3)+(-0.554676+(-0.132447--0.326553))+0-0-0</f>
        <v>706.63942999999995</v>
      </c>
      <c r="G299" s="3">
        <f>1040.6+(280.7-666.6)+(-0.530706+(-0.143157--0.339966))+0-0-0</f>
        <v>654.36610299999984</v>
      </c>
      <c r="H299" s="3">
        <f>930.9+(305.2-622.5)+(-0.474759+(-0.155652--0.317475))+0-0-0</f>
        <v>613.28706399999987</v>
      </c>
      <c r="I299" s="3">
        <f>930.8+(282.1-611.3)+(0.949416+(0.287742-0.623526))+0-0-0</f>
        <v>602.21363200000008</v>
      </c>
      <c r="J299" s="3">
        <f>924.1+(292.4-614.4)+(-0.942582+(-0.298248--0.626688))+0-0-0</f>
        <v>601.48585800000001</v>
      </c>
      <c r="K299" s="3">
        <f>926.9+(291.5-614)+(-0.472719+(-0.148665--0.31314))+0-0-0</f>
        <v>604.09175600000003</v>
      </c>
      <c r="L299" s="3">
        <f>928+(322.4-643.2)+(0.47328+(0.164424-0.328032))+0-0-0</f>
        <v>607.50967199999991</v>
      </c>
      <c r="M299" s="3">
        <f>922.9+(315.4-639.6)+(-0.941358+(-0.321708--0.652392))+0-0-0</f>
        <v>598.08932599999991</v>
      </c>
      <c r="N299" s="3">
        <f>956.2+(305.4-649.6)+(0+(0-0))+0-0-0</f>
        <v>612</v>
      </c>
      <c r="O299" s="3">
        <f>1054.4+(255-648.3)+(-1.075488+(-0.2601--0.661266))+0-0-0</f>
        <v>660.42567800000018</v>
      </c>
      <c r="P299" s="3">
        <f>1085+(220.9-606.5)+(-0.55335+(-0.112659--0.309315))+0-0-0</f>
        <v>699.04330600000003</v>
      </c>
      <c r="Q299" s="3">
        <f>1128.2+(195.6-614.7)+(-1.150764+(-0.199512--0.626994))+0-0-0</f>
        <v>708.37671799999998</v>
      </c>
      <c r="R299" s="3">
        <f>1129.8+(241.5-685.5)+(0.576198+(0.123165-0.349605))+0-0-0</f>
        <v>686.14975799999991</v>
      </c>
      <c r="S299" s="3">
        <f>1090.5+(244.4-664)+(-2.22462+(-0.498576--1.35456))+0-0-0</f>
        <v>669.53136399999994</v>
      </c>
      <c r="T299" s="3">
        <f>1071+(250-657.2)+(-0.54621+(-0.1275--0.335172))+0-0-0</f>
        <v>663.46146199999998</v>
      </c>
      <c r="U299" s="3">
        <f>1072.9+(249.8-660.3)+(0+(0-0))+0-0-0</f>
        <v>662.40000000000009</v>
      </c>
      <c r="V299" s="3">
        <f>1108.8+(263.6-686.7)+(-1.696464+(-0.403308--1.050651))+0-0-0</f>
        <v>684.65087899999992</v>
      </c>
      <c r="W299" s="3">
        <f>1126.2+(299.9-672.9)+(-2.297448+(-0.611796--1.372716))+0-0-0</f>
        <v>751.66347200000007</v>
      </c>
      <c r="X299" s="3">
        <f>1124.2+(326-613.2)+(-2.86671+(-0.8313--1.56366))+0-0-0</f>
        <v>834.86564999999996</v>
      </c>
      <c r="Y299" s="3">
        <f>1102.2+(291.5-568.7)+(-0.562122+(-0.148665--0.290037))+0-0-0</f>
        <v>824.57925</v>
      </c>
      <c r="Z299" s="3">
        <f>1087.2+(287-575.7)+(-2.217888+(-0.58548--1.174428))+0-0-0</f>
        <v>796.87106000000006</v>
      </c>
      <c r="AA299" s="3">
        <f>1082.5+(281.4-566.8)+(-1.656225+(-0.430542--0.867204))+0-0-0</f>
        <v>795.88043700000003</v>
      </c>
      <c r="AB299" s="3">
        <f>1084.6+(282.9-587)+(-1.106292+(-0.288558--0.59874))+0-0-0</f>
        <v>779.70388999999989</v>
      </c>
      <c r="AC299" s="3">
        <f>1081.7+(257.7-596.4)+(-1.655001+(-0.394281--0.912492))+0-0-0</f>
        <v>741.86320999999998</v>
      </c>
      <c r="AD299">
        <v>825.2</v>
      </c>
      <c r="AE299" s="3">
        <f>1119+(349-642.8)+(0+(0-0))+0-0-0</f>
        <v>825.2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974.9+(290.9-603.1)+(-0.497199+(-0.148359--0.307581))+0-0-0</f>
        <v>662.36202299999991</v>
      </c>
      <c r="G300" s="3">
        <f>930.2+(328.5-627.2)+(-0.474402+(-0.167535--0.319872))+0-0-0</f>
        <v>631.17793500000005</v>
      </c>
      <c r="H300" s="3">
        <f>877+(329.1-597)+(-0.89454+(-0.335682--0.60894))+0-0-0</f>
        <v>608.47871800000007</v>
      </c>
      <c r="I300" s="3">
        <f>818.4+(351.3-577.9)+(0+(0-0))+0-0-0</f>
        <v>591.79999999999995</v>
      </c>
      <c r="J300" s="3">
        <f>878.7+(340.1-627.4)+(-1.344411+(-0.520353--0.959922))+0-0-0</f>
        <v>590.49515800000006</v>
      </c>
      <c r="K300" s="3">
        <f>879.6+(336.7-623.2)+(0+(0-0))+0-0-0</f>
        <v>593.09999999999991</v>
      </c>
      <c r="L300" s="3">
        <f>882.1+(340.3-618.8)+(0.899742+(0.347106-0.631176))+0-0-0</f>
        <v>604.21567200000015</v>
      </c>
      <c r="M300" s="3">
        <f>878.8+(360-638.9)+(-0.448188+(-0.1836--0.325839))+0-0-0</f>
        <v>599.59405099999992</v>
      </c>
      <c r="N300" s="3">
        <f>901.7+(354.9-638.1)+(1.379601+(0.542997-0.976293))+0-0-0</f>
        <v>619.44630500000005</v>
      </c>
      <c r="O300" s="3">
        <f>1020.1+(289.9-637.9)+(0+(0-0))+0-0-0</f>
        <v>672.1</v>
      </c>
      <c r="P300" s="3">
        <f>1036.3+(297.8-627.3)+(-0.528513+(-0.151878--0.319923))+0-0-0</f>
        <v>706.43953199999999</v>
      </c>
      <c r="Q300" s="3">
        <f>1024.8+(295.2-606.5)+(-0.522648+(-0.150552--0.309315))+0-0-0</f>
        <v>713.13611500000002</v>
      </c>
      <c r="R300" s="3">
        <f>989.7+(305.7-606.6)+(-2.018988+(-0.623628--1.237464))+0-0-0</f>
        <v>687.39484799999991</v>
      </c>
      <c r="S300" s="3">
        <f>994.1+(287-607)+(0.506991+(0.14637-0.30957))+0-0-0</f>
        <v>674.44379100000003</v>
      </c>
      <c r="T300" s="3">
        <f>990.6+(227.8-542.5)+(-1.515618+(-0.348534--0.830025))+0-0-0</f>
        <v>674.86587300000008</v>
      </c>
      <c r="U300" s="3">
        <f>993+(234.8-592.8)+(-0.50643+(-0.119748--0.302328))+0-0-0</f>
        <v>634.67615000000001</v>
      </c>
      <c r="V300" s="3">
        <f>994.5+(273.4-565.3)+(-1.01439+(-0.278868--0.576606))+0-0-0</f>
        <v>701.88334800000007</v>
      </c>
      <c r="W300" s="3">
        <f>1031.7+(281.6-560.5)+(1.052334+(0.287232-0.57171))+0-0-0</f>
        <v>753.56785600000012</v>
      </c>
      <c r="X300" s="3">
        <f>1121.4+(288.3-565.8)+(-2.287656+(-0.588132--1.154232))+0-0-0</f>
        <v>842.17844400000013</v>
      </c>
      <c r="Y300" s="3">
        <f>1121.8+(277.9-567.8)+(-2.288472+(-0.566916--1.158312))+0-0-0</f>
        <v>830.20292399999994</v>
      </c>
      <c r="Z300" s="3">
        <f>1129.9+(255.3-570.5)+(0+(0-0))+0-0-0</f>
        <v>814.7</v>
      </c>
      <c r="AA300" s="3">
        <f>1124.7+(256.2-569.3)+(-0.573597+(-0.130662--0.290343))+0-0-0</f>
        <v>811.18608400000016</v>
      </c>
      <c r="AB300" s="3">
        <f>1125.3+(242.2-574.1)+(-0.573903+(-0.123522--0.292791))+0-0-0</f>
        <v>792.99536599999988</v>
      </c>
      <c r="AC300" s="3">
        <f>1124.1+(200.9-588.4)+(-2.293164+(-0.409836--1.200336))+0-0-0</f>
        <v>735.09733599999993</v>
      </c>
      <c r="AD300">
        <v>846.8</v>
      </c>
      <c r="AE300" s="3">
        <f>1120+(267.6-540.8)+(0+(0-0))+0-0-0</f>
        <v>846.80000000000007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1076.3+(203.3-615.7)+(-2.195652+(-0.414732--1.256028))+0-0-0</f>
        <v>662.54564399999981</v>
      </c>
      <c r="G301" s="3">
        <f>890.8+(244.8-516.3)+(-1.362924+(-0.374544--0.789939))+0-0-0</f>
        <v>618.35247099999992</v>
      </c>
      <c r="H301" s="3">
        <f>853.3+(291.8-544.8)+(-0.435183+(-0.148818--0.277848))+0-0-0</f>
        <v>599.99384699999996</v>
      </c>
      <c r="I301" s="3">
        <f>811.5+(307.6-531.5)+(-1.65546+(-0.627504--1.08426))+0-0-0</f>
        <v>586.401296</v>
      </c>
      <c r="J301" s="3">
        <f>807.1+(312.2-533.2)+(-1.234863+(-0.477666--0.815796))+0-0-0</f>
        <v>585.20326699999987</v>
      </c>
      <c r="K301" s="3">
        <f>880.7+(285.8-575.9)+(0.449157+(0.145758-0.293709))+0-0-0</f>
        <v>590.90120600000012</v>
      </c>
      <c r="L301" s="3">
        <f>1022.7+(243.8-647.3)+(-1.043154+(-0.248676--0.660246))+0-0-0</f>
        <v>618.56841600000007</v>
      </c>
      <c r="M301" s="3">
        <f>1088+(247.3-664.5)+(0.55488+(0.126123-0.338895))+0-0-0</f>
        <v>671.14210800000001</v>
      </c>
      <c r="N301" s="3">
        <f>1112.6+(203.6-631)+(0+(0-0))+0-0-0</f>
        <v>685.19999999999993</v>
      </c>
      <c r="O301" s="3">
        <f>1098.5+(192.6-589.9)+(0.560235+(0.098226-0.300849))+0-0-0</f>
        <v>701.55761200000006</v>
      </c>
      <c r="P301" s="3">
        <f>1115.7+(210.9-561.3)+(0+(0-0))+0-0-0</f>
        <v>765.30000000000007</v>
      </c>
      <c r="Q301" s="3">
        <f>1107.4+(217.8-574)+(-2.259096+(-0.444312--1.17096))+0-0-0</f>
        <v>749.667552</v>
      </c>
      <c r="R301" s="3">
        <f>1150.1+(146.4-566.7)+(-2.346204+(-0.298656--1.156068))+0-0-0</f>
        <v>728.31120799999985</v>
      </c>
      <c r="S301" s="3">
        <f>1147.8+(154.4-586.3)+(-2.341512+(-0.314976--1.196052))+0-0-0</f>
        <v>714.43956400000002</v>
      </c>
      <c r="T301" s="3">
        <f>1100.1+(210-601.9)+(0.561051+(0.1071-0.306969))+0-0-0</f>
        <v>708.56118199999992</v>
      </c>
      <c r="U301" s="3">
        <f>1100.6+(241.9-628.4)+(-0.561306+(-0.123369--0.320484))+0-0-0</f>
        <v>713.7358089999999</v>
      </c>
      <c r="V301" s="3">
        <f>1170.7+(182.3-614.9)+(-0.597057+(-0.092973--0.313599))+0-0-0</f>
        <v>737.72356900000011</v>
      </c>
      <c r="W301" s="3">
        <f>1242.4+(193.4-639.1)+(1.900872+(0.295902-0.977823))+0-0-0</f>
        <v>797.91895099999999</v>
      </c>
      <c r="X301" s="3">
        <f>1237.1+(290.7-629.6)+(0+(0-0))+0-0-0</f>
        <v>898.19999999999982</v>
      </c>
      <c r="Y301" s="3">
        <f>1233+(258.4-610.1)+(-1.88649+(-0.395352--0.933453))+0-0-0</f>
        <v>879.95161099999996</v>
      </c>
      <c r="Z301" s="3">
        <f>1239.2+(228.7-621.6)+(0.631992+(0.116637-0.317016))+0-0-0</f>
        <v>846.73161299999992</v>
      </c>
      <c r="AA301" s="3">
        <f>1230.7+(254.5-652.6)+(-2.510628+(-0.51918--1.331304))+0-0-0</f>
        <v>830.90149600000007</v>
      </c>
      <c r="AB301" s="3">
        <f>1235.5+(197.8-615)+(-0.630105+(-0.100878--0.31365))+0-0-0</f>
        <v>817.88266699999997</v>
      </c>
      <c r="AC301" s="3">
        <f>1187.1+(168.5-586.3)+(-3.027105+(-0.429675--1.495065))+0-0-0</f>
        <v>767.33828499999993</v>
      </c>
      <c r="AD301">
        <v>896.69999999999993</v>
      </c>
      <c r="AE301" s="3">
        <f>1232.5+(296.6-632.4)+(0+(0-0))+0-0-0</f>
        <v>896.7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1159.3+(184.2-641)+(0+(0-0))+0-0-0</f>
        <v>702.5</v>
      </c>
      <c r="G302" s="3">
        <f>1035.1+(257.5-643.8)+(-1.055802+(-0.26265--0.656676))+0-0-0</f>
        <v>648.13822399999992</v>
      </c>
      <c r="H302" s="3">
        <f>966.2+(292-634.7)+(-0.492762+(-0.14892--0.323697))+0-0-0</f>
        <v>623.18201499999998</v>
      </c>
      <c r="I302" s="3">
        <f>902.8+(350-645.5)+(1.381284+(0.5355-0.987615))+0-0-0</f>
        <v>608.22916899999996</v>
      </c>
      <c r="J302" s="3">
        <f>895.5+(372.9-662.4)+(-0.456705+(-0.190179--0.337824))+0-0-0</f>
        <v>605.69093999999996</v>
      </c>
      <c r="K302" s="3">
        <f>899.2+(391.3-675.6)+(0+(0-0))+0-0-0</f>
        <v>614.90000000000009</v>
      </c>
      <c r="L302" s="3">
        <f>976.1+(396.3-745.8)+(0.497811+(0.202113-0.380358))+0-0-0</f>
        <v>626.91956600000015</v>
      </c>
      <c r="M302" s="3">
        <f>1240.6+(276.3-847.7)+(-0.632706+(-0.140913--0.432327))+0-0-0</f>
        <v>668.85870799999987</v>
      </c>
      <c r="N302" s="3">
        <f>1250.3+(174.7-686.7)+(0+(0-0))+0-0-0</f>
        <v>738.3</v>
      </c>
      <c r="O302" s="3">
        <f>1248.2+(155-624.6)+(-0.636582+(-0.07905--0.318546))+0-0-0</f>
        <v>778.20291400000008</v>
      </c>
      <c r="P302" s="3">
        <f>1227.6+(181-635.3)+(-1.878228+(-0.27693--0.972009))+0-0-0</f>
        <v>772.116851</v>
      </c>
      <c r="Q302" s="3">
        <f>1247+(171.1-661.2)+(-2.54388+(-0.349044--1.348848))+0-0-0</f>
        <v>755.35592399999996</v>
      </c>
      <c r="R302" s="3">
        <f>1245.3+(160.2-657.4)+(-1.270206+(-0.163404--0.670548))+0-0-0</f>
        <v>747.33693799999992</v>
      </c>
      <c r="S302" s="3">
        <f>1244.9+(116.9-624.3)+(0+(0-0))+0-0-0</f>
        <v>737.50000000000011</v>
      </c>
      <c r="T302" s="3">
        <f>1244.4+(149.1-668.1)+(-0.634644+(-0.076041--0.340731))+0-0-0</f>
        <v>725.03004600000008</v>
      </c>
      <c r="U302" s="3">
        <f>1254.4+(105.5-630.8)+(0.639744+(0.053805-0.321708))+0-0-0</f>
        <v>729.47184100000015</v>
      </c>
      <c r="V302" s="3">
        <f>1264.6+(125.2-639.6)+(0.644946+(0.063852-0.326196))+0-0-0</f>
        <v>750.58260199999995</v>
      </c>
      <c r="W302" s="3">
        <f>1267+(169.3-625.3)+(0.64617+(0.086343-0.318903))+0-0-0</f>
        <v>811.41360999999995</v>
      </c>
      <c r="X302" s="3">
        <f>1264.1+(281.2-637.7)+(-2.578764+(-0.573648--1.300908))+0-0-0</f>
        <v>905.74849599999993</v>
      </c>
      <c r="Y302" s="3">
        <f>1266.9+(237.3-605.1)+(-0.646119+(-0.121023--0.308601))+0-0-0</f>
        <v>898.64145900000017</v>
      </c>
      <c r="Z302" s="3">
        <f>1266.3+(223.4-613.8)+(-1.937439+(-0.341802--0.939114))+0-0-0</f>
        <v>874.55987299999993</v>
      </c>
      <c r="AA302" s="3">
        <f>1269.7+(202.6-618.7)+(-1.942641+(-0.309978--0.946611))+0-0-0</f>
        <v>852.293992</v>
      </c>
      <c r="AB302" s="3">
        <f>1264.8+(183.8-610.7)+(-1.935144+(-0.281214--0.934371))+0-0-0</f>
        <v>836.61801299999991</v>
      </c>
      <c r="AC302" s="3">
        <f>1250.4+(167.9-638.7)+(-1.913112+(-0.256887--0.977211))+0-0-0</f>
        <v>778.40721200000007</v>
      </c>
      <c r="AD302">
        <v>880</v>
      </c>
      <c r="AE302" s="3">
        <f>1263+(289.5-668.5)+(0+(0-0))+0-0-0</f>
        <v>884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1134.3+(255-668.5)+(-1.735479+(-0.39015--1.022805))+0-0-0</f>
        <v>719.6971759999999</v>
      </c>
      <c r="G303" s="3">
        <f>1088.2+(270.5-691.7)+(-1.109964+(-0.27591--0.705534))+0-0-0</f>
        <v>666.31966</v>
      </c>
      <c r="H303" s="3">
        <f>1090.4+(269.6-718.6)+(0.556104+(0.137496-0.366486))+0-0-0</f>
        <v>641.72711400000014</v>
      </c>
      <c r="I303" s="3">
        <f>1007.1+(270.7-643.3)+(-1.540863+(-0.414171--0.984249))+0-0-0</f>
        <v>633.52921500000002</v>
      </c>
      <c r="J303" s="3">
        <f>952.8+(282.9-610.6)+(0.971856+(0.288558-0.622812))+0-0-0</f>
        <v>625.73760199999992</v>
      </c>
      <c r="K303" s="3">
        <f>1081.3+(279.7-718.5)+(1.654389+(0.427941-1.099305))+0-0-0</f>
        <v>643.483025</v>
      </c>
      <c r="L303" s="3">
        <f>1178.7+(267.2-803.5)+(1.202274+(0.272544-0.81957))+0-0-0</f>
        <v>643.05524800000012</v>
      </c>
      <c r="M303" s="3">
        <f>1279.7+(179.8-794.4)+(0+(0-0))+0-0-0</f>
        <v>665.10000000000014</v>
      </c>
      <c r="N303" s="3">
        <f>1279.8+(87.8-667.6)+(0+(0-0))+0-0-0</f>
        <v>699.99999999999989</v>
      </c>
      <c r="O303" s="3">
        <f>1277.3+(129.4-666)+(-0.651423+(-0.065994--0.33966))+0-0-0</f>
        <v>740.32224299999996</v>
      </c>
      <c r="P303" s="3">
        <f>1270.8+(115.5-627.8)+(-1.296216+(-0.11781--0.640356))+0-0-0</f>
        <v>757.72632999999996</v>
      </c>
      <c r="Q303" s="3">
        <f>1267.7+(156.3-658.7)+(-0.646527+(-0.079713--0.335937))+0-0-0</f>
        <v>764.90969699999994</v>
      </c>
      <c r="R303" s="3">
        <f>1262.6+(144.8-657.3)+(-1.931778+(-0.221544--1.005669))+0-0-0</f>
        <v>748.95234699999992</v>
      </c>
      <c r="S303" s="3">
        <f>1266.2+(89.2-615.6)+(-0.645762+(-0.045492--0.313956))+0-0-0</f>
        <v>739.42270200000007</v>
      </c>
      <c r="T303" s="3">
        <f>1256.7+(113.6-636.3)+(-0.640917+(-0.057936--0.324513))+0-0-0</f>
        <v>733.62566000000015</v>
      </c>
      <c r="U303" s="3">
        <f>1249.9+(124.4-634.5)+(-1.274898+(-0.126888--0.64719))+0-0-0</f>
        <v>739.04540400000008</v>
      </c>
      <c r="V303" s="3">
        <f>1257.6+(165.8-672.4)+(1.282752+(0.169116-0.685848))+0-0-0</f>
        <v>751.76602000000003</v>
      </c>
      <c r="W303" s="3">
        <f>1257.2+(198.8-658.5)+(0.641172+(0.101388-0.335835))+0-0-0</f>
        <v>797.90672500000005</v>
      </c>
      <c r="X303" s="3">
        <f>1258.4+(314.3-663.2)+(-1.283568+(-0.320586--0.676464))+0-0-0</f>
        <v>908.57231000000002</v>
      </c>
      <c r="Y303" s="3">
        <f>1259.7+(265.6-635.8)+(-2.569788+(-0.541824--1.297032))+0-0-0</f>
        <v>887.68542000000014</v>
      </c>
      <c r="Z303" s="3">
        <f>1264.5+(205.2-604)+(-1.934685+(-0.313956--0.92412))+0-0-0</f>
        <v>864.37547900000004</v>
      </c>
      <c r="AA303" s="3">
        <f>1259.8+(188.6-608.3)+(-1.284996+(-0.192372--0.620466))+0-0-0</f>
        <v>839.24309800000003</v>
      </c>
      <c r="AB303" s="3">
        <f>1257.2+(171-599.3)+(-1.923516+(-0.26163--0.916929))+0-0-0</f>
        <v>827.63178300000004</v>
      </c>
      <c r="AC303" s="3">
        <f>1268.7+(98.4-601.6)+(-2.588148+(-0.200736--1.227264))+0-0-0</f>
        <v>763.93838000000005</v>
      </c>
      <c r="AD303">
        <v>894.59999999999991</v>
      </c>
      <c r="AE303" s="3">
        <f>1262+(310.3-677.7)+(0+(0-0))+0-0-0</f>
        <v>894.59999999999991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1238.2+(183.1-722.1)+(-1.894446+(-0.280143--1.104813))+0-0-0</f>
        <v>698.130224</v>
      </c>
      <c r="G304" s="3">
        <f>1141.2+(234.5-725.7)+(-0.582012+(-0.119595--0.370107))+0-0-0</f>
        <v>649.66849999999999</v>
      </c>
      <c r="H304" s="3">
        <f>1132.2+(248.5-752.9)+(1.154844+(0.25347-0.767958))+0-0-0</f>
        <v>628.44035600000007</v>
      </c>
      <c r="I304" s="3">
        <f>1015.2+(263.6-668.7)+(1.035504+(0.268872-0.682074))+0-0-0</f>
        <v>610.72230200000001</v>
      </c>
      <c r="J304" s="3">
        <f>1013+(260-670.6)+(-1.03326+(-0.2652--0.684012))+0-0-0</f>
        <v>601.78555199999994</v>
      </c>
      <c r="K304" s="3">
        <f>1122.6+(212.1-727.2)+(-0.572526+(-0.108171--0.370872))+0-0-0</f>
        <v>607.19017499999984</v>
      </c>
      <c r="L304" s="3">
        <f>1244.5+(172-782.9)+(-1.904085+(-0.26316--1.197837))+0-0-0</f>
        <v>632.63059199999998</v>
      </c>
      <c r="M304" s="3">
        <f>1260.8+(152.1-765.3)+(-1.929024+(-0.232713--1.170909))+0-0-0</f>
        <v>646.60917200000006</v>
      </c>
      <c r="N304" s="3">
        <f>1284.1+(104.9-699)+(0.654891+(0.053499-0.35649))+0-0-0</f>
        <v>690.35189999999989</v>
      </c>
      <c r="O304" s="3">
        <f>1280.9+(100.3-633.2)+(-1.306518+(-0.102306--0.645864))+0-0-0</f>
        <v>747.23703999999998</v>
      </c>
      <c r="P304" s="3">
        <f>1285+(114.9-627.6)+(0.65535+(0.058599-0.320076))+0-0-0</f>
        <v>772.69387299999994</v>
      </c>
      <c r="Q304" s="3">
        <f>1278+(107.2-612)+(-1.30356+(-0.109344--0.62424))+0-0-0</f>
        <v>772.41133600000001</v>
      </c>
      <c r="R304" s="3">
        <f>1273.1+(103.9-629.3)+(-0.649281+(-0.052989--0.320943))+0-0-0</f>
        <v>747.31867299999988</v>
      </c>
      <c r="S304" s="3">
        <f>1256.9+(159-683.1)+(-0.641019+(-0.08109--0.348381))+0-0-0</f>
        <v>732.42627200000004</v>
      </c>
      <c r="T304" s="3">
        <f>1249.7+(156-674.5)+(-0.637347+(-0.07956--0.343995))+0-0-0</f>
        <v>730.827088</v>
      </c>
      <c r="U304" s="3">
        <f>1252.6+(149.9-669.9)+(0+(0-0))+0-0-0</f>
        <v>732.59999999999991</v>
      </c>
      <c r="V304" s="3">
        <f>1252.3+(125.2-625)+(0+(0-0))+0-0-0</f>
        <v>752.5</v>
      </c>
      <c r="W304" s="3">
        <f>1255.5+(72.4-506.6)+(0.640305+(0.036924-0.258366))+0-0-0</f>
        <v>821.71886299999994</v>
      </c>
      <c r="X304" s="3">
        <f>1249.1+(173.8-527.5)+(-2.548164+(-0.354552--1.0761))+0-0-0</f>
        <v>893.57338399999992</v>
      </c>
      <c r="Y304" s="3">
        <f>1251.9+(176.9-553.2)+(-2.553876+(-0.360876--1.128528))+0-0-0</f>
        <v>873.81377600000008</v>
      </c>
      <c r="Z304" s="3">
        <f>1212.8+(204.4-563.8)+(0+(0-0))+0-0-0</f>
        <v>853.4</v>
      </c>
      <c r="AA304" s="3">
        <f>1181.6+(214.7-566.3)+(-3.615696+(-0.656982--1.732878))+0-0-0</f>
        <v>827.46019999999999</v>
      </c>
      <c r="AB304" s="3">
        <f>1186.7+(187.7-550.2)+(-1.815651+(-0.287181--0.841806))+0-0-0</f>
        <v>822.93897400000003</v>
      </c>
      <c r="AC304" s="3">
        <f>1146.4+(192.4-569.2)+(-4.677312+(-0.784992--2.322336))+0-0-0</f>
        <v>766.46003200000007</v>
      </c>
      <c r="AD304">
        <v>903.69999999999993</v>
      </c>
      <c r="AE304" s="3">
        <f>1247+(189.8-533.1)+(0+(0-0))+0-0.4-0</f>
        <v>903.30000000000007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1106.5+(251.4-655.2)+(-2.25726+(-0.512856--1.336608))+0-0-0</f>
        <v>701.26649199999997</v>
      </c>
      <c r="G305" s="3">
        <f>1097.7+(287.3-731)+(-2.239308+(-0.586092--1.49124))+0-0-0</f>
        <v>652.66584</v>
      </c>
      <c r="H305" s="3">
        <f>1088.5+(294.4-762.2)+(-3.33081+(-0.900864--2.332332))+0-0-0</f>
        <v>618.80065799999988</v>
      </c>
      <c r="I305" s="3">
        <f>1093.9+(291.8-777.9)+(0+(0-0))+0-0-0</f>
        <v>607.80000000000018</v>
      </c>
      <c r="J305" s="3">
        <f>1102.9+(294.2-787.1)+(1.124958+(0.300084-0.802842))+0-0-0</f>
        <v>610.62220000000002</v>
      </c>
      <c r="K305" s="3">
        <f>1104.2+(276.9-774.2)+(0+(0-0))+0-0-0</f>
        <v>606.9</v>
      </c>
      <c r="L305" s="3">
        <f>1118.4+(283.4-765.1)+(-0.570384+(-0.144534--0.390201))+0-0-0</f>
        <v>636.37528300000008</v>
      </c>
      <c r="M305" s="3">
        <f>1094.8+(264.8-708.6)+(0+(0-0))+0-0-0</f>
        <v>651</v>
      </c>
      <c r="N305" s="3">
        <f>1097.5+(241.2-651.5)+(1.11945+(0.246024-0.66453))+0-0-0</f>
        <v>687.9009440000001</v>
      </c>
      <c r="O305" s="3">
        <f>1018.9+(298.4-581.3)+(1.039278+(0.304368-0.592926))+0-0-0</f>
        <v>736.75072</v>
      </c>
      <c r="P305" s="3">
        <f>999.7+(321.5-564.4)+(1.529541+(0.491895-0.863532))+0-0-0</f>
        <v>757.9579040000001</v>
      </c>
      <c r="Q305" s="3">
        <f>993.5+(310.6-546.4)+(0.506685+(0.158406-0.278664))+0-0-0</f>
        <v>758.08642700000007</v>
      </c>
      <c r="R305" s="3">
        <f>988.2+(280.9-538.7)+(-2.015928+(-0.573036--1.098948))+0-0-0</f>
        <v>728.90998400000001</v>
      </c>
      <c r="S305" s="3">
        <f>989.3+(263.8-543.2)+(-1.009086+(-0.269076--0.554064))+0-0-0</f>
        <v>709.17590199999984</v>
      </c>
      <c r="T305" s="3">
        <f>989.5+(239.2-529.7)+(0+(0-0))+0-0-0</f>
        <v>699</v>
      </c>
      <c r="U305" s="3">
        <f>985.8+(275.5-546.3)+(0+(0-0))+0-0-0</f>
        <v>715</v>
      </c>
      <c r="V305" s="3">
        <f>982.4+(336.7-592.2)+(-1.503072+(-0.515151--0.906066))+0-0-0</f>
        <v>725.78784299999984</v>
      </c>
      <c r="W305" s="3">
        <f>990+(326.9-546.9)+(1.5147+(0.500157-0.836757))+0-0-0</f>
        <v>771.17809999999997</v>
      </c>
      <c r="X305" s="3">
        <f>984.5+(396.3-507)+(-1.00419+(-0.404226--0.51714))+0-0-0</f>
        <v>872.90872400000001</v>
      </c>
      <c r="Y305" s="3">
        <f>985.3+(401.6-531)+(-2.010012+(-0.819264--1.08324))+0-0-0</f>
        <v>854.15396399999997</v>
      </c>
      <c r="Z305" s="3">
        <f>983.7+(391.8-540.3)+(-2.508435+(-0.99909--1.377765))+0-0-0</f>
        <v>833.07024000000001</v>
      </c>
      <c r="AA305" s="3">
        <f>989+(432.1-595.7)+(-1.51317+(-0.661113--0.911421))+0-0-0</f>
        <v>824.13713799999994</v>
      </c>
      <c r="AB305" s="3">
        <f>990.4+(417.6-594.8)+(-0.505104+(-0.212976--0.303348))+0-0-0</f>
        <v>812.78526800000009</v>
      </c>
      <c r="AC305" s="3">
        <f>987.4+(361-578)+(-1.007148+(-0.36822--0.58956))+0-0-0</f>
        <v>769.614192</v>
      </c>
      <c r="AD305">
        <v>876.3</v>
      </c>
      <c r="AE305" s="3">
        <f>981+(423.6-528.3)+(0+(0-0))+0-0-0</f>
        <v>876.30000000000007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991.6+(250-538.1)+(-1.011432+(-0.255--0.548862))+0-0-0</f>
        <v>702.78242999999998</v>
      </c>
      <c r="G306" s="3">
        <f>990.2+(193.1-535.9)+(0+(0-0))+0-0-0</f>
        <v>647.40000000000009</v>
      </c>
      <c r="H306" s="3">
        <f>992.2+(211.3-588.9)+(0.506022+(0.107763-0.300339))+0-0-0</f>
        <v>614.91344600000014</v>
      </c>
      <c r="I306" s="3">
        <f>989.4+(229.1-614.6)+(1.009188+(0.233682-0.626892))+0-0-0</f>
        <v>604.51597800000002</v>
      </c>
      <c r="J306" s="3">
        <f>989.2+(220.4-612.1)+(0+(0-0))+0-0-0</f>
        <v>597.5</v>
      </c>
      <c r="K306" s="3">
        <f>987.2+(221-609.2)+(0+(0-0))+0-0-0</f>
        <v>599</v>
      </c>
      <c r="L306" s="3">
        <f>998.8+(269.7-643.6)+(0+(0-0))+0-0-0</f>
        <v>624.89999999999986</v>
      </c>
      <c r="M306" s="3">
        <f>972.4+(280.2-669.1)+(-1.487772+(-0.428706--1.023723))+0-0-0</f>
        <v>582.60724500000003</v>
      </c>
      <c r="N306" s="3">
        <f>987.4+(257.1-634)+(1.007148+(0.262242-0.64668))+0-0-0</f>
        <v>611.12270999999998</v>
      </c>
      <c r="O306" s="3">
        <f>942.5+(247-536.7)+(-0.480675+(-0.12597--0.273717))+0-0-0</f>
        <v>652.46707199999992</v>
      </c>
      <c r="P306" s="3">
        <f>962.6+(279-545)+(-0.490926+(-0.14229--0.27795))+0-0-0</f>
        <v>696.24473399999999</v>
      </c>
      <c r="Q306" s="3">
        <f>986.1+(267.6-540.4)+(-0.502911+(-0.136476--0.275604))+0-0-0</f>
        <v>712.93621700000006</v>
      </c>
      <c r="R306" s="3">
        <f>982.6+(262.8-549.2)+(-1.503378+(-0.402084--0.840276))+0-0-0</f>
        <v>695.13481400000001</v>
      </c>
      <c r="S306" s="3">
        <f>984.1+(265.4-570.7)+(-2.007564+(-0.541416--1.164228))+0-0-0</f>
        <v>677.41524799999991</v>
      </c>
      <c r="T306" s="3">
        <f>987.7+(265.6-580)+(-1.511181+(-0.406368--0.8874))+0-0-0</f>
        <v>672.26985100000002</v>
      </c>
      <c r="U306" s="3">
        <f>987.6+(236-555.7)+(0+(0-0))+0-0-0</f>
        <v>667.9</v>
      </c>
      <c r="V306" s="3">
        <f>987.6+(268.4-565.8)+(0+(0-0))+0-0-0</f>
        <v>690.2</v>
      </c>
      <c r="W306" s="3">
        <f>991.4+(355.8-600.2)+(-0.505614+(-0.181458--0.306102))+0-0-0</f>
        <v>746.61902999999995</v>
      </c>
      <c r="X306" s="3">
        <f>991.3+(450.3-592.8)+(0+(0-0))+0-0-0</f>
        <v>848.8</v>
      </c>
      <c r="Y306" s="3">
        <f>989.3+(485.1-631.9)+(-2.018172+(-0.989604--1.289076))+0-0-0</f>
        <v>840.78129999999999</v>
      </c>
      <c r="Z306" s="3">
        <f>993.7+(459.5-627.1)+(-1.013574+(-0.46869--0.639642))+0-0-0</f>
        <v>825.25737800000002</v>
      </c>
      <c r="AA306" s="3">
        <f>986+(434.2-611)+(-0.50286+(-0.221442--0.31161))+0-0-0</f>
        <v>808.78730800000005</v>
      </c>
      <c r="AB306" s="3">
        <f>978.8+(424.8-608.9)+(-2.49594+(-1.08324--1.552695))+0-0-0</f>
        <v>792.67351500000007</v>
      </c>
      <c r="AC306" s="3">
        <f>910.1+(379.1-565)+(-1.856604+(-0.773364--1.1526))+0-0-0</f>
        <v>722.72263200000009</v>
      </c>
      <c r="AD306">
        <v>857.50000000000011</v>
      </c>
      <c r="AE306" s="3">
        <f>1004+(467.9-614.4)+(0+(0-0))+0-0-0</f>
        <v>857.5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892.5+(324.7-546.1)+(-0.91035+(-0.331194--0.557022))+0-0-0</f>
        <v>670.41547799999989</v>
      </c>
      <c r="G307" s="3">
        <f>894.6+(294.1-566.3)+(-0.456246+(-0.149991--0.288813))+0-0-0</f>
        <v>622.08257600000013</v>
      </c>
      <c r="H307" s="3">
        <f>861.8+(283.9-543)+(-1.758072+(-0.579156--1.10772))+0-0-0</f>
        <v>601.47049199999992</v>
      </c>
      <c r="I307" s="3">
        <f>853.4+(276-545.6)+(0.435234+(0.14076-0.278256))+0-0-0</f>
        <v>584.09773799999994</v>
      </c>
      <c r="J307" s="3">
        <f>852.8+(264-534.3)+(0.869856+(0.26928-0.544986))+0-0-0</f>
        <v>583.09415000000001</v>
      </c>
      <c r="K307" s="3">
        <f>867.1+(269.6-550)+(0.884442+(0.274992-0.561))+0-0-0</f>
        <v>587.29843400000004</v>
      </c>
      <c r="L307" s="3">
        <f>918.1+(285.7-590.3)+(0.936462+(0.291414-0.602106))+0-0-0</f>
        <v>614.12576999999999</v>
      </c>
      <c r="M307" s="3">
        <f>915.1+(293.9-582.5)+(-0.933402+(-0.299778--0.59415))+0-0-0</f>
        <v>625.86096999999995</v>
      </c>
      <c r="N307" s="3">
        <f>929.9+(290.2-570.3)+(1.896996+(0.592008-1.163412))+0-0-0</f>
        <v>651.12559199999998</v>
      </c>
      <c r="O307" s="3">
        <f>927.5+(338.4-572.3)+(0.94605+(0.345168-0.583746))+0-0-0</f>
        <v>694.30747200000008</v>
      </c>
      <c r="P307" s="3">
        <f>914.1+(375.8-553.9)+(-1.398573+(-0.574974--0.847467))+0-0-0</f>
        <v>734.87392</v>
      </c>
      <c r="Q307" s="3">
        <f>936.5+(364.9-537.8)+(-0.95523+(-0.372198--0.548556))+0-0-0</f>
        <v>762.82112800000004</v>
      </c>
      <c r="R307" s="3">
        <f>898.4+(365.2-539.2)+(-1.374552+(-0.558756--0.824976))+0-0-0</f>
        <v>723.29166799999985</v>
      </c>
      <c r="S307" s="3">
        <f>891.8+(360.7-545)+(0.454818+(0.183957-0.27795))+0-0-0</f>
        <v>707.86082499999998</v>
      </c>
      <c r="T307" s="3">
        <f>951.5+(296.6-541.1)+(-1.455795+(-0.453798--0.827883))+0-0-0</f>
        <v>705.91828999999996</v>
      </c>
      <c r="U307" s="3">
        <f>991.1+(307.3-596.9)+(-0.505461+(-0.156723--0.304419))+0-0-0</f>
        <v>701.14223500000003</v>
      </c>
      <c r="V307" s="3">
        <f>1169.7+(149.2-641.3)+(-1.193094+(-0.152184--0.654126))+0-0-0</f>
        <v>676.90884800000015</v>
      </c>
      <c r="W307" s="3">
        <f>1251.5+(155.2-636.1)+(1.914795+(0.237456-0.973233))+0-0-0</f>
        <v>771.77901799999995</v>
      </c>
      <c r="X307" s="3">
        <f>1265.3+(229.2-611.8)+(0+(0-0))+0-0-0</f>
        <v>882.7</v>
      </c>
      <c r="Y307" s="3">
        <f>1214.5+(230.1-575.6)+(-1.858185+(-0.352053--0.880668))+0-0-0</f>
        <v>867.67043000000001</v>
      </c>
      <c r="Z307" s="3">
        <f>1191.5+(244.1-593.4)+(-1.822995+(-0.373473--0.907902))+0-0-0</f>
        <v>840.9114340000001</v>
      </c>
      <c r="AA307" s="3">
        <f>1186.5+(242.6-597.1)+(-3.025575+(-0.61863--1.522605))+0-0-0</f>
        <v>829.87840000000006</v>
      </c>
      <c r="AB307" s="3">
        <f>1154.1+(231-578.2)+(-2.942955+(-0.58905--1.47441))+0-0-0</f>
        <v>804.84240499999987</v>
      </c>
      <c r="AC307" s="3">
        <f>1059.2+(276.6-593.1)+(-0.540192+(-0.141066--0.302481))+0-0-0</f>
        <v>742.32122300000003</v>
      </c>
      <c r="AD307">
        <v>875</v>
      </c>
      <c r="AE307" s="3">
        <f>1264+(241.3-630.3)+(0+(0-0))+0-0-0</f>
        <v>875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964.4+(305-572.4)+(0+(0-0))+0-0-0</f>
        <v>697</v>
      </c>
      <c r="G308" s="3">
        <f>844.1+(363.1-567.1)+(-0.430491+(-0.185181--0.289221))+0-0-0</f>
        <v>639.773549</v>
      </c>
      <c r="H308" s="3">
        <f>769+(386.6-548.2)+(0+(0-0))+0-0-0</f>
        <v>607.4</v>
      </c>
      <c r="I308" s="3">
        <f>768.4+(366-535.8)+(0+(0-0))+0-0-0</f>
        <v>598.6</v>
      </c>
      <c r="J308" s="3">
        <f>753.6+(388-539.4)+(0.768672+(0.39576-0.550188))+0-0-0</f>
        <v>602.81424400000003</v>
      </c>
      <c r="K308" s="3">
        <f>706.9+(418.7-532.9)+(0.360519+(0.213537-0.271779))+0-0-0</f>
        <v>593.00227700000005</v>
      </c>
      <c r="L308" s="3">
        <f>685.2+(451.6-551.8)+(0+(0-0))+0-0-0</f>
        <v>585.00000000000011</v>
      </c>
      <c r="M308" s="3">
        <f>683.7+(445-558.1)+(-0.697374+(-0.4539--0.569262))+0-0-0</f>
        <v>570.01798800000006</v>
      </c>
      <c r="N308" s="3">
        <f>732.3+(434-573.5)+(0.746946+(0.44268-0.58497))+0-0-0</f>
        <v>593.40465599999993</v>
      </c>
      <c r="O308" s="3">
        <f>775+(459.9-568.4)+(-1.18575+(-0.703647--0.869652))+0-0-0</f>
        <v>665.48025500000006</v>
      </c>
      <c r="P308" s="3">
        <f>858.6+(403.3-561.5)+(-1.313658+(-0.617049--0.859095))+0-0-0</f>
        <v>699.32838800000013</v>
      </c>
      <c r="Q308" s="3">
        <f>947.1+(333.8-558.9)+(-2.415105+(-0.85119--1.425195))+0-0-0</f>
        <v>720.15890000000002</v>
      </c>
      <c r="R308" s="3">
        <f>953.3+(328.4-588.9)+(-0.972366+(-0.334968--0.600678))+0-0-0</f>
        <v>692.093344</v>
      </c>
      <c r="S308" s="3">
        <f>959.8+(297.2-578.6)+(-0.489498+(-0.151572--0.295086))+0-0-0</f>
        <v>678.05401599999982</v>
      </c>
      <c r="T308" s="3">
        <f>961.8+(285.5-570.1)+(-0.490518+(-0.145605--0.290751))+0-0-0</f>
        <v>676.85462799999993</v>
      </c>
      <c r="U308" s="3">
        <f>959+(308.8-588.3)+(-1.95636+(-0.629952--1.200132))+0-0-0</f>
        <v>678.11382000000003</v>
      </c>
      <c r="V308" s="3">
        <f>919+(355.3-580.1)+(-0.46869+(-0.181203--0.295851))+0-0-0</f>
        <v>693.845958</v>
      </c>
      <c r="W308" s="3">
        <f>1059+(274.9-595.4)+(0+(0-0))+0-0-0</f>
        <v>738.5</v>
      </c>
      <c r="X308" s="3">
        <f>1135.1+(285.2-563.6)+(0.578901+(0.145452-0.287436))+0-0-0</f>
        <v>857.13691699999981</v>
      </c>
      <c r="Y308" s="3">
        <f>1127.4+(335.9-615.9)+(-1.149948+(-0.342618--0.628218))+0-0-0</f>
        <v>846.53565200000014</v>
      </c>
      <c r="Z308" s="3">
        <f>1129+(309.9-617.8)+(-1.15158+(-0.316098--0.630156))+0-0-0</f>
        <v>820.26247799999999</v>
      </c>
      <c r="AA308" s="3">
        <f>1127.2+(296.8-608.9)+(-1.724616+(-0.454104--0.931617))+0-0-0</f>
        <v>813.8528970000001</v>
      </c>
      <c r="AB308" s="3">
        <f>1113.4+(295-601.7)+(-1.703502+(-0.45135--0.920601))+0-0-0</f>
        <v>805.46574900000007</v>
      </c>
      <c r="AC308" s="3">
        <f>1078.4+(286.8-615.5)+(-2.74992+(-0.73134--1.569525))+0-0-0</f>
        <v>747.78826500000002</v>
      </c>
      <c r="AD308">
        <v>853</v>
      </c>
      <c r="AE308" s="3">
        <f>1127+(351.3-625.3)+(0+(0-0))+0-0.4-0</f>
        <v>852.6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1082.3+(306.1-693.3)+(-2.759865+(-0.780555--1.767915))+0-0-0</f>
        <v>693.327495</v>
      </c>
      <c r="G309" s="3">
        <f>1087.2+(279-715.8)+(-2.217888+(-0.56916--1.460232))+0-0-0</f>
        <v>649.07318400000008</v>
      </c>
      <c r="H309" s="3">
        <f>1056.4+(288.5-727)+(0.538764+(0.147135-0.37077))+0-0-0</f>
        <v>618.21512900000005</v>
      </c>
      <c r="I309" s="3">
        <f>1038.3+(301.7-736.1)+(1.059066+(0.307734-0.750822))+0-0-0</f>
        <v>604.5159779999999</v>
      </c>
      <c r="J309" s="3">
        <f>1029.8+(302.9-730.1)+(0.525198+(0.154479-0.372351))+0-0-0</f>
        <v>602.9073259999999</v>
      </c>
      <c r="K309" s="3">
        <f>1013.6+(304.1-711.2)+(0.516936+(0.155091-0.362712))+0-0-0</f>
        <v>606.80931499999997</v>
      </c>
      <c r="L309" s="3">
        <f>1111.8+(327.9-799.7)+(0.567018+(0.167229-0.407847))+0-0-0</f>
        <v>640.32639999999992</v>
      </c>
      <c r="M309" s="3">
        <f>1243+(255.4-852.7)+(0.63393+(0.130254-0.434877))+0-0-0</f>
        <v>646.0293069999999</v>
      </c>
      <c r="N309" s="3">
        <f>1268.6+(133.8-735.4)+(-0.646986+(-0.068238--0.375054))+0-0-0</f>
        <v>666.65983000000006</v>
      </c>
      <c r="O309" s="3">
        <f>1277.4+(127.1-674.2)+(1.954422+(0.194463-1.031526))+0-0-0</f>
        <v>731.41735900000003</v>
      </c>
      <c r="P309" s="3">
        <f>1293+(237.9-757.9)+(1.31886+(0.242658-0.773058))+0-0-0</f>
        <v>773.78845999999999</v>
      </c>
      <c r="Q309" s="3">
        <f>1264.8+(269.6-770)+(1.290096+(0.274992-0.7854))+0-0-0</f>
        <v>765.17968799999994</v>
      </c>
      <c r="R309" s="3">
        <f>1164.8+(258.7-672.5)+(-1.782144+(-0.395811--1.028925))+0-0-0</f>
        <v>749.85096999999996</v>
      </c>
      <c r="S309" s="3">
        <f>1103.9+(230.2-607.9)+(-2.251956+(-0.469608--1.240116))+0-0-0</f>
        <v>724.71855200000005</v>
      </c>
      <c r="T309" s="3">
        <f>1144.9+(202.6-630.5)+(-0.583899+(-0.103326--0.321555))+0-0-0</f>
        <v>716.63433000000009</v>
      </c>
      <c r="U309" s="3">
        <f>1180.3+(176.1-638.6)+(-1.805859+(-0.269433--0.977058))+0-0-0</f>
        <v>716.70176599999991</v>
      </c>
      <c r="V309" s="3">
        <f>1258.9+(135.8-653.1)+(-1.284078+(-0.138516--0.666162))+0-0-0</f>
        <v>740.84356800000012</v>
      </c>
      <c r="W309" s="3">
        <f>1277+(136.7-626.7)+(0+(0-0))+0-0-0</f>
        <v>787</v>
      </c>
      <c r="X309" s="3">
        <f>1173.7+(206-590.4)+(-2.394348+(-0.42024--1.204416))+0-0-0</f>
        <v>787.68982800000003</v>
      </c>
      <c r="Y309" s="3">
        <f>1277+(197.9-600.8)+(-3.25635+(-0.504645--1.53204))+0-0-0</f>
        <v>871.87104499999998</v>
      </c>
      <c r="Z309" s="3">
        <f>1279+(181.6-609.6)+(-1.30458+(-0.185232--0.621792))+0-0-0</f>
        <v>850.13198</v>
      </c>
      <c r="AA309" s="3">
        <f>1237.4+(221.4-622.3)+(-0.631074+(-0.112914--0.317373))+0-0-0</f>
        <v>836.07338500000014</v>
      </c>
      <c r="AB309" s="3">
        <f>1213+(202.6-591.2)+(-3.09315+(-0.51663--1.50756))+0-0-0</f>
        <v>822.29777999999999</v>
      </c>
      <c r="AC309" s="3">
        <f>1231.9+(147.2-606.1)+(-1.256538+(-0.150144--0.618222))+0-0-0</f>
        <v>772.21154000000001</v>
      </c>
      <c r="AD309">
        <v>882.8</v>
      </c>
      <c r="AE309" s="3">
        <f>1279+(156.5-552.7)+(0+(0-0))+0-0-0</f>
        <v>882.8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1266.4+(198.4-745.4)+(-3.22932+(-0.50592--1.90077))+0-0-0</f>
        <v>717.56553000000008</v>
      </c>
      <c r="G310" s="3">
        <f>1162.1+(194.5-695.2)+(-1.185342+(-0.19839--0.709104))+0-0-0</f>
        <v>660.72537199999988</v>
      </c>
      <c r="H310" s="3">
        <f>1052.4+(225.6-638.2)+(-2.68362+(-0.57528--1.62741))+0-0-0</f>
        <v>638.16851000000008</v>
      </c>
      <c r="I310" s="3">
        <f>1000.1+(264-641.6)+(0+(0-0))+0-0-0</f>
        <v>622.5</v>
      </c>
      <c r="J310" s="3">
        <f>1036.4+(251.9-675.5)+(0.528564+(0.128469-0.344505))+0-0-0</f>
        <v>613.11252800000011</v>
      </c>
      <c r="K310" s="3">
        <f>1037.3+(259.7-674.4)+(-0.529023+(-0.132447--0.343944))+0-0-0</f>
        <v>622.28247399999987</v>
      </c>
      <c r="L310" s="3">
        <f>1004.9+(288.5-668.3)+(-1.537497+(-0.441405--1.022499))+0-0-0</f>
        <v>624.143597</v>
      </c>
      <c r="M310" s="3">
        <f>1011.3+(296.5-688.4)+(-1.031526+(-0.30243--0.702168))+0-0-0</f>
        <v>618.76821199999995</v>
      </c>
      <c r="N310" s="3">
        <f>1123.3+(274.4-748.5)+(-0.572883+(-0.139944--0.381735))+0-0-0</f>
        <v>648.86890799999992</v>
      </c>
      <c r="O310" s="3">
        <f>1177+(198.6-683.1)+(-0.60027+(-0.101286--0.348381))+0-0-0</f>
        <v>692.14682500000004</v>
      </c>
      <c r="P310" s="3">
        <f>1223.6+(164.6-634.3)+(0+(0-0))+0-0-0</f>
        <v>753.9</v>
      </c>
      <c r="Q310" s="3">
        <f>1241.5+(136.9-621.1)+(-0.633165+(-0.069819--0.316761))+0-0-0</f>
        <v>756.91377699999998</v>
      </c>
      <c r="R310" s="3">
        <f>1239.5+(131.8-647.3)+(-1.26429+(-0.134436--0.660246))+0-0-0</f>
        <v>723.26152000000002</v>
      </c>
      <c r="S310" s="3">
        <f>1237.1+(144.4-683)+(-2.523684+(-0.294576--1.39332))+0-0-0</f>
        <v>697.07505999999989</v>
      </c>
      <c r="T310" s="3">
        <f>1239.3+(174.4-714.2)+(-1.264086+(-0.177888--0.728484))+0-0-0</f>
        <v>698.78650999999991</v>
      </c>
      <c r="U310" s="3">
        <f>1244.1+(190.2-730.7)+(0.634491+(0.097002-0.372657))+0-0-0</f>
        <v>703.95883599999991</v>
      </c>
      <c r="V310" s="3">
        <f>1240+(169.2-696.6)+(0+(0-0))+0-0-0</f>
        <v>712.59999999999991</v>
      </c>
      <c r="W310" s="3">
        <f>1269.3+(193-698.3)+(3.236715+(0.49215-1.780665))+0-0-0</f>
        <v>765.94820000000004</v>
      </c>
      <c r="X310" s="3">
        <f>1274.6+(220.6-623.4)+(-1.950138+(-0.337518--0.953802))+0-0-0</f>
        <v>870.46614599999998</v>
      </c>
      <c r="Y310" s="3">
        <f>1272.8+(214.7-622.8)+(-2.596512+(-0.437988--1.270512))+0-0-0</f>
        <v>862.93601200000001</v>
      </c>
      <c r="Z310" s="3">
        <f>1278.6+(235.1-677.2)+(-0.652086+(-0.119901--0.345372))+0-0-0</f>
        <v>836.07338499999992</v>
      </c>
      <c r="AA310" s="3">
        <f>1276.5+(249.4-684.3)+(0.651015+(0.127194-0.348993))+0-0-0</f>
        <v>842.02921600000002</v>
      </c>
      <c r="AB310" s="3">
        <f>1271.5+(248.7-688.9)+(-1.29693+(-0.253674--0.702678))+0-0-0</f>
        <v>830.45207399999993</v>
      </c>
      <c r="AC310" s="3">
        <f>1266.8+(306.7-791.7)+(-2.584272+(-0.625668--1.615068))+0-0-0</f>
        <v>780.20512799999995</v>
      </c>
      <c r="AD310">
        <v>875.8</v>
      </c>
      <c r="AE310" s="3">
        <f>1275+(233.6-632.8)+(0+(0-0))+0-0.4-0</f>
        <v>875.40000000000009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1270.6+(224.9-790.7)+(0+(0-0))+0-4-0</f>
        <v>700.79999999999984</v>
      </c>
      <c r="G311" s="3">
        <f>1237.8+(174.3-757.4)+(-1.262556+(-0.177786--0.772548))+0-4--0.00408000000000064</f>
        <v>650.03628600000013</v>
      </c>
      <c r="H311" s="3">
        <f>1190.7+(175.7-734.1)+(-0.607257+(-0.089607--0.374391))+0-4--0.00203999999999959</f>
        <v>627.97956699999997</v>
      </c>
      <c r="I311" s="3">
        <f>1144.6+(202.4-725.5)+(0.583746+(0.103224-0.370005))+0-4-0.00203999999999959</f>
        <v>617.8149249999999</v>
      </c>
      <c r="J311" s="3">
        <f>1144.9+(201.5-729.6)+(0.583899+(0.102765-0.372096))+0-4-0.00203999999999959</f>
        <v>613.11252800000011</v>
      </c>
      <c r="K311" s="3">
        <f>1178.6+(189.4-746.2)+(1.202172+(0.193188-0.761124))+0-4-0.00408000000000064</f>
        <v>618.43015599999978</v>
      </c>
      <c r="L311" s="3">
        <f>1276.6+(170.6-795.6)+(0.651066+(0.087006-0.405756))+0-4-0.00203999999999959</f>
        <v>647.93027599999994</v>
      </c>
      <c r="M311" s="3">
        <f>1275.4+(192.5-792.2)+(0+(0-0))+0-4-0</f>
        <v>671.7</v>
      </c>
      <c r="N311" s="3">
        <f>1276.6+(177.7-751.3)+(1.302132+(0.181254-0.766326))+0-4-0.00408000000000064</f>
        <v>699.7129799999999</v>
      </c>
      <c r="O311" s="3">
        <f>1276.7+(117.3-643.4)+(1.302234+(0.119646-0.656268))+0-4-0.00408000000000064</f>
        <v>747.36153200000001</v>
      </c>
      <c r="P311" s="3">
        <f>1274+(105.1-596.4)+(0+(0-0))+0-4-0</f>
        <v>778.7</v>
      </c>
      <c r="Q311" s="3">
        <f>1272.1+(139.5-630.3)+(0.648771+(0.071145-0.321453))+0-4-0.00203999999999959</f>
        <v>777.69642299999998</v>
      </c>
      <c r="R311" s="3">
        <f>1268+(137.8-651.8)+(-1.94004+(-0.210834--0.997254))+0-4--0.00612000000000023</f>
        <v>748.85249999999996</v>
      </c>
      <c r="S311" s="3">
        <f>1192+(137.7-584.7)+(0+(0-0))+0-4-0</f>
        <v>741</v>
      </c>
      <c r="T311" s="3">
        <f>1166.5+(164.8-594.3)+(1.18983+(0.168096-0.606186))+0-4-0.00408000000000064</f>
        <v>733.74766</v>
      </c>
      <c r="U311" s="3">
        <f>1163.5+(215.7-636.9)+(-0.593385+(-0.110007--0.324819))+0-4--0.00203999999999959</f>
        <v>737.92346699999996</v>
      </c>
      <c r="V311" s="3">
        <f>1163.1+(286.5-673.7)+(0+(0-0))+0-4-0</f>
        <v>771.89999999999986</v>
      </c>
      <c r="W311" s="3">
        <f>1169.5+(224.6-565.8)+(0.596445+(0.114546-0.288558))+0-4-0.00203999999999959</f>
        <v>824.72039300000006</v>
      </c>
      <c r="X311" s="3">
        <f>1171.4+(327.3-592.8)+(-1.194828+(-0.333846--0.604656))+0-4--0.00408000000000064</f>
        <v>900.98006200000009</v>
      </c>
      <c r="Y311" s="3">
        <f>1172.4+(318.2-597)+(-1.195848+(-0.324564--0.60894))+0-4--0.00408000000000064</f>
        <v>888.69260800000018</v>
      </c>
      <c r="Z311" s="3">
        <f>1173.9+(354.6-661.4)+(-1.197378+(-0.361692--0.674628))+0-4--0.00408000000000064</f>
        <v>862.21963800000015</v>
      </c>
      <c r="AA311" s="3">
        <f>1171.8+(364.5-679.1)+(-1.195236+(-0.37179--0.692682))+0-4--0.00408000000000064</f>
        <v>852.32973600000003</v>
      </c>
      <c r="AB311" s="3">
        <f>1171.8+(308.7-641.6)+(-0.597618+(-0.157437--0.327216))+0-4--0.00203999999999959</f>
        <v>834.47420099999988</v>
      </c>
      <c r="AC311" s="3">
        <f>1165.9+(306.4-680.4)+(-2.378436+(-0.625056--1.388016))+0-4--0.00815999999999983</f>
        <v>786.29268400000012</v>
      </c>
      <c r="AD311">
        <v>935</v>
      </c>
      <c r="AE311" s="3">
        <f>1173+(373.8-611.8)+(0+(0-0))+0-4-0</f>
        <v>931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1157.8+(291.5-722.7)+(0+(0-0))+0-4-0</f>
        <v>722.59999999999991</v>
      </c>
      <c r="G312" s="3">
        <f>993.3+(336.8-665.2)+(-0.506583+(-0.171768--0.339252))+0-4--0.00203999999999959</f>
        <v>660.5629409999998</v>
      </c>
      <c r="H312" s="3">
        <f>960+(372.9-698.4)+(0+(0-0))+0-4-0</f>
        <v>630.5</v>
      </c>
      <c r="I312" s="3">
        <f>964.2+(376.7-713)+(1.475226+(0.576351-1.09089))+0-4-0.00612000000000023</f>
        <v>624.85456700000009</v>
      </c>
      <c r="J312" s="3">
        <f>948.2+(373.2-690.1)+(0+(0-0))+0-4-0</f>
        <v>627.29999999999995</v>
      </c>
      <c r="K312" s="3">
        <f>952.1+(356.8-675.5)+(2.913426+(1.091808-2.06703))+0-4-0.0122400000000005</f>
        <v>631.32596400000011</v>
      </c>
      <c r="L312" s="3">
        <f>965.5+(386.4-712.3)+(0.492405+(0.197064-0.363273))+0-4-0.00203999999999959</f>
        <v>635.92415600000004</v>
      </c>
      <c r="M312" s="3">
        <f>1137.8+(336-810.1)+(1.160556+(0.34272-0.826302))+0-4-0.00408000000000064</f>
        <v>660.37289399999986</v>
      </c>
      <c r="N312" s="3">
        <f>1175.5+(300.7-764.1)+(2.39802+(0.613428-1.558764))+0-4-0.00815999999999983</f>
        <v>709.54452399999991</v>
      </c>
      <c r="O312" s="3">
        <f>1176.4+(297.6-699.9)+(2.399856+(0.607104-1.427796))+0-4-0.00815999999999983</f>
        <v>771.67100400000015</v>
      </c>
      <c r="P312" s="3">
        <f>1179.4+(263.8-637.5)+(0.601494+(0.134538-0.325125))+0-4-0.00203999999999959</f>
        <v>802.10886700000003</v>
      </c>
      <c r="Q312" s="3">
        <f>1288+(201.1-678.3)+(0+(0-0))+0-4-0</f>
        <v>806.80000000000007</v>
      </c>
      <c r="R312" s="3">
        <f>1310+(201.5-740)+(-3.3405+(-0.513825--1.887))+0-4--0.0101999999999994</f>
        <v>765.54287500000009</v>
      </c>
      <c r="S312" s="3">
        <f>1307.1+(259.2-818.2)+(-1.333242+(-0.264384--0.834564))+0-4--0.00408000000000064</f>
        <v>743.34101799999996</v>
      </c>
      <c r="T312" s="3">
        <f>1229.3+(339.2-837.3)+(1.253886+(0.345984-0.854046))+0-4-0.00408000000000064</f>
        <v>727.94174399999997</v>
      </c>
      <c r="U312" s="3">
        <f>1271+(332.9-869)+(0+(0-0))+0-4-0</f>
        <v>730.9</v>
      </c>
      <c r="V312" s="3">
        <f>1386.6+(283.6-916)+(1.414332+(0.289272-0.93432))+0-4-0.00408000000000064</f>
        <v>750.96520399999986</v>
      </c>
      <c r="W312" s="3">
        <f>1417+(190.7-812.7)+(2.16801+(0.291771-1.243431))+0-4-0.00612000000000023</f>
        <v>792.21023000000002</v>
      </c>
      <c r="X312" s="3">
        <f>1404.5+(158.8-657.7)+(-0.716295+(-0.080988--0.335427))+0-4--0.00203999999999959</f>
        <v>901.14018399999986</v>
      </c>
      <c r="Y312" s="3">
        <f>1401.9+(192.3-700.6)+(-1.429938+(-0.196146--0.714612))+0-4--0.00408000000000064</f>
        <v>888.69260800000018</v>
      </c>
      <c r="Z312" s="3">
        <f>1400.1+(230.1-760.3)+(-1.428102+(-0.234702--0.775506))+0-4--0.00408000000000064</f>
        <v>865.01678200000003</v>
      </c>
      <c r="AA312" s="3">
        <f>1400.2+(314.2-843.7)+(-0.714102+(-0.160242--0.430287))+0-4--0.00203999999999959</f>
        <v>866.25798299999997</v>
      </c>
      <c r="AB312" s="3">
        <f>1387.1+(325.9-859.8)+(-5.659368+(-1.329672--3.507984))+0-4--0.0163199999999997</f>
        <v>845.73526399999992</v>
      </c>
      <c r="AC312" s="3">
        <f>1395.1+(246.7-841.2)+(-2.134503+(-0.377451--1.287036))+0-4--0.00612000000000023</f>
        <v>795.38120199999992</v>
      </c>
      <c r="AD312">
        <v>905.1</v>
      </c>
      <c r="AE312" s="3">
        <f>1398+(156.2-649.1)+(0+(0-0))+0-4.8-0</f>
        <v>900.3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1402.5+(255.1-923.6)+(0.715275+(0.130101-0.471036))+0-5-0.00254999999999949</f>
        <v>729.37178999999992</v>
      </c>
      <c r="G313" s="3">
        <f>1377+(329.3-1016)+(-0.70227+(-0.167943--0.51816))+0-5--0.00254999999999949</f>
        <v>684.95049700000004</v>
      </c>
      <c r="H313" s="3">
        <f>1268.6+(362-976.3)+(0+(0-0))+0-5-0</f>
        <v>649.29999999999995</v>
      </c>
      <c r="I313" s="3">
        <f>1271.4+(366.9-991.2)+(1.296828+(0.374238-1.011024))+0-5-0.0051000000000008</f>
        <v>642.75494200000003</v>
      </c>
      <c r="J313" s="3">
        <f>1262.8+(345.6-972)+(-2.576112+(-0.705024--1.98288))+0-5--0.0101999999999998</f>
        <v>630.11194399999999</v>
      </c>
      <c r="K313" s="3">
        <f>1264.7+(338.4-964.8)+(-1.934991+(-0.517752--1.476144))+0-5--0.00765000000000029</f>
        <v>632.33105100000012</v>
      </c>
      <c r="L313" s="3">
        <f>1254.6+(336.7-949)+(-5.118768+(-1.373736--3.87192))+0-5--0.0203999999999996</f>
        <v>634.69981599999994</v>
      </c>
      <c r="M313" s="3">
        <f>1235.1+(340.4-940.3)+(-0.629901+(-0.173604--0.479553))+0-5--0.00254999999999949</f>
        <v>629.87859800000001</v>
      </c>
      <c r="N313" s="3">
        <f>1120.9+(376.8-853.5)+(0+(0-0))+0-5-0</f>
        <v>639.20000000000005</v>
      </c>
      <c r="O313" s="3">
        <f>1114.1+(427-853.9)+(-1.136382+(-0.43554--0.870978))+0-5--0.0051000000000008</f>
        <v>681.50415599999985</v>
      </c>
      <c r="P313" s="3">
        <f>1112.4+(322.3-721.1)+(0+(0-0))+0-5-0</f>
        <v>708.60000000000014</v>
      </c>
      <c r="Q313" s="3">
        <f>1109.4+(279.6-667.4)+(-1.131588+(-0.285192--0.680748))+0-5--0.0051000000000008</f>
        <v>715.86906800000008</v>
      </c>
      <c r="R313" s="3">
        <f>1093.6+(284.5-685.4)+(-2.230944+(-0.58038--1.398216))+0-5--0.0101999999999998</f>
        <v>686.29709200000002</v>
      </c>
      <c r="S313" s="3">
        <f>1109.5+(286.5-718.2)+(-1.13169+(-0.29223--0.732564))+0-5--0.0051000000000008</f>
        <v>672.11374399999988</v>
      </c>
      <c r="T313" s="3">
        <f>1175.5+(288.3-793.4)+(-2.39802+(-0.588132--1.618536))+0-5--0.0101999999999998</f>
        <v>664.04258400000015</v>
      </c>
      <c r="U313" s="3">
        <f>1201.9+(300.5-826.6)+(-0.612969+(-0.153255--0.421566))+0-5--0.00254999999999949</f>
        <v>670.45789200000013</v>
      </c>
      <c r="V313" s="3">
        <f>1198.3+(269.7-781.3)+(-1.833399+(-0.412641--1.195389))+0-5--0.00765000000000029</f>
        <v>680.65699900000004</v>
      </c>
      <c r="W313" s="3">
        <f>1234.3+(194.6-694.9)+(0.629493+(0.099246-0.354399))+0-5-0.00254999999999949</f>
        <v>729.37178999999992</v>
      </c>
      <c r="X313" s="3">
        <f>1150.4+(201-605.9)+(-1.173408+(-0.20502--0.618018))+0-5--0.0051000000000008</f>
        <v>739.74469000000011</v>
      </c>
      <c r="Y313" s="3">
        <f>1254+(218.9-628.7)+(0+(0-0))+0-5-0</f>
        <v>839.19999999999993</v>
      </c>
      <c r="Z313" s="3">
        <f>1249.1+(218.4-642.8)+(-1.274082+(-0.222768--0.655656))+0-5--0.0051000000000008</f>
        <v>818.86390599999993</v>
      </c>
      <c r="AA313" s="3">
        <f>1245.9+(226.9-641.9)+(-1.270818+(-0.231438--0.654738))+0-5--0.0051000000000008</f>
        <v>825.05758200000002</v>
      </c>
      <c r="AB313" s="3">
        <f>1258.2+(187.9-622.9)+(-0.641682+(-0.095829--0.317679))+0-5--0.00254999999999949</f>
        <v>817.78271800000005</v>
      </c>
      <c r="AC313" s="3">
        <f>1252.7+(234.7-710.1)+(-2.555508+(-0.478788--1.448604))+0-5--0.0101999999999998</f>
        <v>770.72450800000001</v>
      </c>
      <c r="AD313">
        <v>862.6</v>
      </c>
      <c r="AE313" s="3">
        <f>1251+(193.2-581.6)+(0+(0-0))+0-5-0</f>
        <v>857.59999999999991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1214.4+(316.9-819.7)+(-3.09672+(-0.808095--2.090235))+0-5--0.0127499999999993</f>
        <v>704.79817000000003</v>
      </c>
      <c r="G314" s="3">
        <f>1156.7+(324-834)+(-1.179834+(-0.33048--0.85068))+0-5--0.0051000000000008</f>
        <v>641.04546600000003</v>
      </c>
      <c r="H314" s="3">
        <f>1155.1+(317.5-850.6)+(-2.356404+(-0.6477--1.735224))+0-5--0.0101999999999998</f>
        <v>615.74131999999997</v>
      </c>
      <c r="I314" s="3">
        <f>1158.2+(303.4-850.3)+(-1.772046+(-0.464202--1.300959))+0-5--0.00765000000000029</f>
        <v>605.37236100000007</v>
      </c>
      <c r="J314" s="3">
        <f>1171.3+(309.9-871.4)+(1.194726+(0.316098-0.888828))+0-5-0.0051000000000008</f>
        <v>605.41689599999995</v>
      </c>
      <c r="K314" s="3">
        <f>1186.2+(312.8-873.5)+(-1.209924+(-0.319056--0.89097))+0-5--0.0051000000000008</f>
        <v>619.86708999999996</v>
      </c>
      <c r="L314" s="3">
        <f>1262.6+(336.3-930.9)+(0.643926+(0.171513-0.474759))+0-5-0.00254999999999949</f>
        <v>663.33812999999998</v>
      </c>
      <c r="M314" s="3">
        <f>1266+(349.3-927)+(0.64566+(0.178143-0.47277))+0-5-0.00254999999999949</f>
        <v>683.64848299999994</v>
      </c>
      <c r="N314" s="3">
        <f>1266.9+(281.1-826.1)+(1.292238+(0.286722-0.842622))+0-5-0.0051000000000008</f>
        <v>717.63123800000017</v>
      </c>
      <c r="O314" s="3">
        <f>1261.7+(183.5-671.3)+(-0.643467+(-0.093585--0.342363))+0-5--0.00254999999999949</f>
        <v>768.50786100000016</v>
      </c>
      <c r="P314" s="3">
        <f>1259.2+(150.9-611.8)+(-1.284384+(-0.153918--0.624036))+0-5--0.0051000000000008</f>
        <v>792.49083400000006</v>
      </c>
      <c r="Q314" s="3">
        <f>1259.2+(187.1-640.3)+(-1.284384+(-0.190842--0.653106))+0-5--0.0051000000000008</f>
        <v>800.18298000000004</v>
      </c>
      <c r="R314" s="3">
        <f>1246.3+(147.3-613.8)+(-3.813678+(-0.450738--1.878228))+0-5--0.0153000000000006</f>
        <v>772.42911200000003</v>
      </c>
      <c r="S314" s="3">
        <f>1253.7+(160.4-646.4)+(-1.918161+(-0.245412--0.988992))+0-5--0.00765000000000029</f>
        <v>761.53306900000007</v>
      </c>
      <c r="T314" s="3">
        <f>1260.3+(140.7-632.1)+(-0.642753+(-0.071757--0.322371))+0-5--0.00254999999999949</f>
        <v>763.51041099999986</v>
      </c>
      <c r="U314" s="3">
        <f>1261.6+(158.2-656.2)+(-1.930248+(-0.242046--1.003986))+0-5--0.00765000000000029</f>
        <v>757.4393419999999</v>
      </c>
      <c r="V314" s="3">
        <f>1277.1+(226.3-725.2)+(0.651321+(0.115413-0.369852))+0-5-0.00254999999999949</f>
        <v>773.59433199999978</v>
      </c>
      <c r="W314" s="3">
        <f>1275.4+(183.6-651.5)+(-0.650454+(-0.093636--0.332265))+0-5--0.00254999999999949</f>
        <v>802.09072500000013</v>
      </c>
      <c r="X314" s="3">
        <f>1276.5+(236.8-614.6)+(1.30203+(0.241536-0.626892))+0-5-0.0051000000000008</f>
        <v>894.61157400000002</v>
      </c>
      <c r="Y314" s="3">
        <f>1268.1+(216.8-595.2)+(-3.233655+(-0.55284--1.51776))+0-5--0.0127499999999993</f>
        <v>882.44401499999981</v>
      </c>
      <c r="Z314" s="3">
        <f>1270.4+(194.8-597.5)+(-1.943712+(-0.298044--0.914175))+0-5--0.00765000000000029</f>
        <v>861.38006900000005</v>
      </c>
      <c r="AA314" s="3">
        <f>1259.6+(204.2-607.7)+(-4.496772+(-0.728994--2.169489))+0-5--0.0178500000000001</f>
        <v>848.06157299999984</v>
      </c>
      <c r="AB314" s="3">
        <f>1272.1+(184-614.2)+(-2.595084+(-0.37536--1.252968))+0-5--0.0101999999999998</f>
        <v>835.19272399999988</v>
      </c>
      <c r="AC314" s="3">
        <f>1260.3+(197.1-667.1)+(-3.213765+(-0.502605--1.701105))+0-5--0.0127499999999993</f>
        <v>783.29748499999994</v>
      </c>
      <c r="AD314">
        <v>888.6</v>
      </c>
      <c r="AE314" s="3">
        <f>1276+(244-631.4)+(0+(0-0))+0-4-0</f>
        <v>884.6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1098.1+(269.9-657.4)+(0+(0-0))+0-0-0</f>
        <v>710.59999999999991</v>
      </c>
      <c r="G315" s="3">
        <f>1069.7+(290.5-696.6)+(-2.727735+(-0.740775--1.77633))+0-0-0</f>
        <v>661.90782000000002</v>
      </c>
      <c r="H315" s="3">
        <f>1086.4+(296.8-752.5)+(-1.662192+(-0.454104--1.151325))+0-0-0</f>
        <v>629.73502900000005</v>
      </c>
      <c r="I315" s="3">
        <f>1154.6+(246.5-776.1)+(-2.355384+(-0.50286--1.583244))+0-0-0</f>
        <v>623.72499999999991</v>
      </c>
      <c r="J315" s="3">
        <f>1198.5+(268.1-841.3)+(1.833705+(0.410193-1.287189))+0-0-0</f>
        <v>626.25670900000011</v>
      </c>
      <c r="K315" s="3">
        <f>1220.2+(264.4-859.1)+(-0.622302+(-0.134844--0.438141))+0-0-0</f>
        <v>625.18099500000005</v>
      </c>
      <c r="L315" s="3">
        <f>1283.5+(261.6-892.3)+(0+(0-0))+0-0-0</f>
        <v>652.80000000000007</v>
      </c>
      <c r="M315" s="3">
        <f>1285.7+(252.3-867)+(0.655707+(0.128673-0.44217))+0-0-0</f>
        <v>671.34221000000002</v>
      </c>
      <c r="N315" s="3">
        <f>1279.7+(222-802.7)+(-1.957941+(-0.33966--1.228131))+0-0-0</f>
        <v>697.93052999999998</v>
      </c>
      <c r="O315" s="3">
        <f>1270.4+(172.6-689.5)+(-0.647904+(-0.088026--0.351645))+0-0-0</f>
        <v>753.11571500000014</v>
      </c>
      <c r="P315" s="3">
        <f>1276.5+(191.2-685.1)+(-2.60406+(-0.390048--1.397604))+0-0-0</f>
        <v>781.00349599999993</v>
      </c>
      <c r="Q315" s="3">
        <f>1260+(158.3-651)+(-1.9278+(-0.242199--0.99603))+0-0-0</f>
        <v>766.1260309999999</v>
      </c>
      <c r="R315" s="3">
        <f>1265.3+(118.5-633.2)+(-4.517121+(-0.423045--2.260524))+0-0-0</f>
        <v>747.92035799999996</v>
      </c>
      <c r="S315" s="3">
        <f>1243.2+(131.7-630.9)+(-1.902096+(-0.201501--0.965277))+0-0-0</f>
        <v>742.86167999999998</v>
      </c>
      <c r="T315" s="3">
        <f>1202.5+(165.3-646)+(-0.613275+(-0.084303--0.32946))+0-0-0</f>
        <v>721.43188199999997</v>
      </c>
      <c r="U315" s="3">
        <f>1200.8+(165.4-634.3)+(0.612408+(0.084354-0.323493))+0-0-0</f>
        <v>732.27326900000003</v>
      </c>
      <c r="V315" s="3">
        <f>1192.3+(190.3-631.9)+(-1.216146+(-0.194106--0.644538))+0-0-0</f>
        <v>749.93428600000004</v>
      </c>
      <c r="W315" s="3">
        <f>1222.6+(193.6-637.8)+(0+(0-0))+0-0-0</f>
        <v>778.4</v>
      </c>
      <c r="X315" s="3">
        <f>1266.4+(272.5-632.8)+(-0.645864+(-0.138975--0.322728))+0-0-0</f>
        <v>905.63788900000009</v>
      </c>
      <c r="Y315" s="3">
        <f>1256.7+(244.6-602.7)+(-1.922751+(-0.374238--0.922131))+0-0-0</f>
        <v>897.22514200000001</v>
      </c>
      <c r="Z315" s="3">
        <f>1254.4+(228.6-610.4)+(-3.19872+(-0.58293--1.55652))+0-0-0</f>
        <v>870.3748700000001</v>
      </c>
      <c r="AA315" s="3">
        <f>1245.4+(249-626.2)+(-2.540616+(-0.50796--1.277448))+0-0-0</f>
        <v>866.42887200000007</v>
      </c>
      <c r="AB315" s="3">
        <f>1219.6+(247.4-620.2)+(-3.10998+(-0.63087--1.58151))+0-0-0</f>
        <v>844.6406599999998</v>
      </c>
      <c r="AC315" s="3">
        <f>1241.7+(266.7-717.2)+(-2.533068+(-0.544068--1.463088))+0-0-0</f>
        <v>789.58595200000002</v>
      </c>
      <c r="AD315">
        <v>892.4</v>
      </c>
      <c r="AE315" s="3">
        <f>1273+(256-636.6)+(0+(0-0))+0-0-0</f>
        <v>892.4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1124.3+(300.2-698.4)+(-2.293572+(-0.612408--1.424736))+0-0-0</f>
        <v>724.61875599999996</v>
      </c>
      <c r="G316" s="3">
        <f>1003.8+(382.6-713.8)+(-2.55969+(-0.97563--1.82019))+0-0-0</f>
        <v>670.88486999999998</v>
      </c>
      <c r="H316" s="3">
        <f>1005.6+(376.8-733.8)+(-1.538568+(-0.576504--1.122714))+0-0-0</f>
        <v>647.60764200000017</v>
      </c>
      <c r="I316" s="3">
        <f>1001.1+(350.3-711.5)+(-0.510561+(-0.178653--0.362865))+0-0-0</f>
        <v>639.57365100000004</v>
      </c>
      <c r="J316" s="3">
        <f>959.5+(333.9-662.7)+(-1.95738+(-0.681156--1.351908))+0-0-0</f>
        <v>629.41337199999998</v>
      </c>
      <c r="K316" s="3">
        <f>947.7+(369.1-680.8)+(0+(0-0))+0-0-0</f>
        <v>636.00000000000011</v>
      </c>
      <c r="L316" s="3">
        <f>946+(400.4-689.4)+(-0.96492+(-0.408408--0.703188))+0-0-0</f>
        <v>656.32986000000005</v>
      </c>
      <c r="M316" s="3">
        <f>1041+(355.1-720.4)+(1.59273+(0.543303-1.102212))+0-0-0</f>
        <v>676.73382100000003</v>
      </c>
      <c r="N316" s="3">
        <f>1224.2+(296-769.3)+(0+(0-0))+0-0-0</f>
        <v>750.90000000000009</v>
      </c>
      <c r="O316" s="3">
        <f>1273.3+(159.2-684.9)+(0+(0-0))+0-0-0</f>
        <v>747.59999999999991</v>
      </c>
      <c r="P316" s="3">
        <f>1255.6+(136.7-633.4)+(-1.921068+(-0.209151--0.969102))+0-0-0</f>
        <v>757.73888299999987</v>
      </c>
      <c r="Q316" s="3">
        <f>1259.9+(156.9-645.7)+(-1.285098+(-0.160038--0.658614))+0-0-0</f>
        <v>770.31347800000003</v>
      </c>
      <c r="R316" s="3">
        <f>1249.8+(153.7-667.1)+(-2.549592+(-0.313548--1.360884))+0-0-0</f>
        <v>734.89774399999988</v>
      </c>
      <c r="S316" s="3">
        <f>1249.9+(190.2-711.9)+(-3.187245+(-0.48501--1.815345))+0-0-0</f>
        <v>726.34309000000007</v>
      </c>
      <c r="T316" s="3">
        <f>1262.5+(191.3-735.8)+(1.28775+(0.195126-0.750516))+0-0-0</f>
        <v>718.73235999999997</v>
      </c>
      <c r="U316" s="3">
        <f>1257+(196.2-721.9)+(0+(0-0))+0-0-0</f>
        <v>731.3</v>
      </c>
      <c r="V316" s="3">
        <f>1250+(187.3-690.8)+(-1.275+(-0.191046--0.704616))+0-0-0</f>
        <v>745.73856999999998</v>
      </c>
      <c r="W316" s="3">
        <f>1257.7+(189.7-670.3)+(1.282854+(0.193494-0.683706))+0-0-0</f>
        <v>777.89264200000014</v>
      </c>
      <c r="X316" s="3">
        <f>1252.5+(233.6-587.3)+(-2.5551+(-0.476544--1.198092))+0-0-0</f>
        <v>896.96644800000001</v>
      </c>
      <c r="Y316" s="3">
        <f>1256.7+(221.6-580.9)+(-2.563668+(-0.452064--1.185036))+0-0-0</f>
        <v>895.5693040000001</v>
      </c>
      <c r="Z316" s="3">
        <f>1260.7+(205.8-605)+(-1.285914+(-0.209916--0.6171))+0-0-0</f>
        <v>860.62126999999998</v>
      </c>
      <c r="AA316" s="3">
        <f>1253.9+(202-597.3)+(-1.278978+(-0.20604--0.609246))+0-0-0</f>
        <v>857.72422800000015</v>
      </c>
      <c r="AB316" s="3">
        <f>1250.3+(201.4-605.1)+(-1.912959+(-0.308142--0.925803))+0-0-0</f>
        <v>845.30470199999991</v>
      </c>
      <c r="AC316" s="3">
        <f>1196.9+(204.2-611.6)+(-3.052095+(-0.52071--1.55958))+0-0-0</f>
        <v>787.48677499999997</v>
      </c>
      <c r="AD316">
        <v>901.5</v>
      </c>
      <c r="AE316" s="3">
        <f>1252+(246-596.5)+(0+(0-0))+0-0-0</f>
        <v>901.5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1169.9+(177.5-640.8)+(-2.386596+(-0.3621--1.307232))+0-5--0.0101999999999998</f>
        <v>700.16873600000019</v>
      </c>
      <c r="G317" s="3">
        <f>1164.8+(243.4-747.2)+(-1.782144+(-0.372402--1.143216))+0-5--0.00765000000000029</f>
        <v>654.99631999999986</v>
      </c>
      <c r="H317" s="3">
        <f>1135.2+(262.1-744.7)+(-2.89476+(-0.668355--1.898985))+0-5--0.0127499999999993</f>
        <v>645.94862000000001</v>
      </c>
      <c r="I317" s="3">
        <f>1091.1+(284.9-734)+(-0.556461+(-0.145299--0.37434))+0-5--0.00254999999999949</f>
        <v>636.67512999999997</v>
      </c>
      <c r="J317" s="3">
        <f>1094.4+(274.7-733.1)+(0+(0-0))+0-5-0</f>
        <v>631</v>
      </c>
      <c r="K317" s="3">
        <f>1095.4+(270-724.6)+(-0.558654+(-0.1377--0.369546))+0-5--0.00254999999999949</f>
        <v>635.47574200000008</v>
      </c>
      <c r="L317" s="3">
        <f>1119.8+(327.2-773.7)+(-1.142196+(-0.333744--0.789174))+0-4--0.00408000000000064</f>
        <v>668.61731399999996</v>
      </c>
      <c r="M317" s="3">
        <f>1185.1+(259.2-745.9)+(1.208802+(0.264384-0.760818))+0-5-0.0051000000000008</f>
        <v>694.10726799999986</v>
      </c>
      <c r="N317" s="3">
        <f>1220.5+(213.9-709.6)+(1.24491+(0.218178-0.723792))+0-5-0.0051000000000008</f>
        <v>720.53419599999995</v>
      </c>
      <c r="O317" s="3">
        <f>1255.6+(120.4-607)+(1.280712+(0.122808-0.61914))+0-5-0.0051000000000008</f>
        <v>764.77927999999997</v>
      </c>
      <c r="P317" s="3">
        <f>1266.6+(100.9-560)+(0+(0-0))+0-5-0</f>
        <v>802.49999999999989</v>
      </c>
      <c r="Q317" s="3">
        <f>1261.5+(93.5-548.2)+(0.643365+(0.047685-0.279582))+0-4-0.00203999999999959</f>
        <v>803.209428</v>
      </c>
      <c r="R317" s="3">
        <f>1254.9+(40.8-505.7)+(-1.919997+(-0.062424--0.773721))+0-4--0.00612000000000023</f>
        <v>784.7974200000001</v>
      </c>
      <c r="S317" s="3">
        <f>1255.6+(52.2-545.5)+(-1.280712+(-0.053244--0.55641))+0-5--0.0051000000000008</f>
        <v>756.5275539999999</v>
      </c>
      <c r="T317" s="3">
        <f>1257.2+(71-577.4)+(0.641172+(0.03621-0.294474))+0-5-0.00254999999999949</f>
        <v>746.18035800000007</v>
      </c>
      <c r="U317" s="3">
        <f>1250.1+(148.8-638.6)+(-3.187755+(-0.37944--1.62843))+0-5--0.0127499999999993</f>
        <v>753.37398499999995</v>
      </c>
      <c r="V317" s="3">
        <f>1254.2+(233.8-693.2)+(0+(0-0))+0-5-0</f>
        <v>789.8</v>
      </c>
      <c r="W317" s="3">
        <f>1256.3+(189-621.1)+(-1.281426+(-0.19278--0.633522))+0-5--0.0051000000000008</f>
        <v>818.36441599999989</v>
      </c>
      <c r="X317" s="3">
        <f>1260.2+(245.1-610)+(-0.642702+(-0.125001--0.3111))+0-5--0.00254999999999949</f>
        <v>889.84594700000014</v>
      </c>
      <c r="Y317" s="3">
        <f>1257.9+(267.3-646.9)+(-1.924587+(-0.408969--0.989757))+0-5--0.00765000000000029</f>
        <v>871.9638510000002</v>
      </c>
      <c r="Z317" s="3">
        <f>1264+(290.1-704.9)+(-2.57856+(-0.591804--1.437996))+0-5--0.0101999999999998</f>
        <v>842.47783200000015</v>
      </c>
      <c r="AA317" s="3">
        <f>1263.2+(346.6-767.3)+(-2.576928+(-0.707064--1.565292))+0-5--0.0101999999999998</f>
        <v>835.79150000000016</v>
      </c>
      <c r="AB317" s="3">
        <f>1261.1+(289.3-730.5)+(-1.929483+(-0.442629--1.117665))+0-5--0.00765000000000029</f>
        <v>813.65320299999985</v>
      </c>
      <c r="AC317" s="3">
        <f>1264+(193.7-690.9)+(-1.93392+(-0.296361--1.057077))+0-5--0.00765000000000029</f>
        <v>760.63444599999991</v>
      </c>
      <c r="AD317">
        <v>896.59999999999991</v>
      </c>
      <c r="AE317" s="3">
        <f>1258+(228.8-590.2)+(0+(0-0))+0-5-0</f>
        <v>891.59999999999991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1275.3+(173.1-739.6)+(0+(0-0))+0-0-0</f>
        <v>708.8</v>
      </c>
      <c r="G318" s="3">
        <f>1267.5+(209.2-807.2)+(0+(0-0))+0-0-0</f>
        <v>669.5</v>
      </c>
      <c r="H318" s="3">
        <f>1151.3+(247.5-751.3)+(0.587163+(0.126225-0.383163))+0-0-0</f>
        <v>647.83022500000004</v>
      </c>
      <c r="I318" s="3">
        <f>1131.2+(263.3-759.4)+(0+(0-0))+0-0-0</f>
        <v>635.10000000000014</v>
      </c>
      <c r="J318" s="3">
        <f>1126.2+(281.7-773.1)+(0+(0-0))+0-0-0</f>
        <v>634.79999999999995</v>
      </c>
      <c r="K318" s="3">
        <f>1100.9+(304.6-773.8)+(1.122918+(0.310692-0.789276))+0-0-0</f>
        <v>632.34433400000012</v>
      </c>
      <c r="L318" s="3">
        <f>1216.3+(264.5-847.9)+(-1.240626+(-0.26979--0.864858))+0-0-0</f>
        <v>632.25444199999993</v>
      </c>
      <c r="M318" s="3">
        <f>1209.8+(251.9-814.2)+(0+(0-0))+0-0-0</f>
        <v>647.49999999999989</v>
      </c>
      <c r="N318" s="3">
        <f>1238.6+(235.3-782.1)+(1.895058+(0.360009-1.196613))+0-0-0</f>
        <v>692.85845399999994</v>
      </c>
      <c r="O318" s="3">
        <f>1246.2+(178.5-679.1)+(-0.635562+(-0.091035--0.346341))+0-0-0</f>
        <v>745.21974399999999</v>
      </c>
      <c r="P318" s="3">
        <f>1245.8+(145.4-620.3)+(1.270716+(0.148308-0.632706))+0-0-0</f>
        <v>771.68631800000003</v>
      </c>
      <c r="Q318" s="3">
        <f>1245.2+(152.7-619.9)+(-2.540208+(-0.311508--1.264596))+0-0-0</f>
        <v>776.41287999999997</v>
      </c>
      <c r="R318" s="3">
        <f>1247.2+(169.8-675.1)+(-2.544288+(-0.346392--1.377204))+0-0-0</f>
        <v>740.38652400000012</v>
      </c>
      <c r="S318" s="3">
        <f>1244.2+(221.1-737.2)+(-1.269084+(-0.225522--0.751944))+0-0-0</f>
        <v>727.35733800000003</v>
      </c>
      <c r="T318" s="3">
        <f>1240.7+(214-720.4)+(-1.265514+(-0.21828--0.734808))+0-0-0</f>
        <v>733.55101400000012</v>
      </c>
      <c r="U318" s="3">
        <f>1243.9+(207.1-703.3)+(0+(0-0))+0-0-0</f>
        <v>747.70000000000016</v>
      </c>
      <c r="V318" s="3">
        <f>1244.3+(190.6-647)+(-1.269186+(-0.194412--0.65994))+0-0-0</f>
        <v>787.09634199999994</v>
      </c>
      <c r="W318" s="3">
        <f>1254.6+(154.3-592.8)+(0+(0-0))+0-0-0</f>
        <v>816.09999999999991</v>
      </c>
      <c r="X318" s="3">
        <f>1257.6+(88.7-468.9)+(-1.924128+(-0.135711--0.717417))+0-0-0</f>
        <v>876.05757799999981</v>
      </c>
      <c r="Y318" s="3">
        <f>1249.5+(95-488.5)+(-0.637245+(-0.04845--0.249135))+0-0-0</f>
        <v>855.56344000000001</v>
      </c>
      <c r="Z318" s="3">
        <f>1246.6+(146.4-572.8)+(-1.271532+(-0.149328--0.584256))+0-0-0</f>
        <v>819.36339599999997</v>
      </c>
      <c r="AA318" s="3">
        <f>1192+(134.4-543.6)+(-1.21584+(-0.137088--0.554472))+0-0-0</f>
        <v>782.00154399999997</v>
      </c>
      <c r="AB318" s="3">
        <f>1175.5+(96.9-500.5)+(-1.19901+(-0.098838--0.51051))+0-0-0</f>
        <v>771.112662</v>
      </c>
      <c r="AC318" s="3">
        <f>1174.3+(63.4-512.4)+(-1.796679+(-0.097002--0.783972))+0-0-0</f>
        <v>724.190291</v>
      </c>
      <c r="AD318">
        <v>885.4</v>
      </c>
      <c r="AE318" s="3">
        <f>1262+(107.3-483.9)+(0+(0-0))+0-5-0</f>
        <v>880.40000000000009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1171.3+(57.3-559.7)+(-2.389452+(-0.116892--1.141788))+0-5--0.0101999999999998</f>
        <v>662.54564399999992</v>
      </c>
      <c r="G319" s="3">
        <f>1171.4+(72-609.1)+(-2.98707+(-0.1836--1.553205))+0-5--0.0127499999999993</f>
        <v>627.69528500000001</v>
      </c>
      <c r="H319" s="3">
        <f>1179.9+(87-650.4)+(-0.601749+(-0.04437--0.331704))+0-5--0.00254999999999949</f>
        <v>611.1881350000001</v>
      </c>
      <c r="I319" s="3">
        <f>1165.6+(96.9-658.1)+(0+(0-0))+0-5-0</f>
        <v>599.39999999999986</v>
      </c>
      <c r="J319" s="3">
        <f>1112.6+(130.2-648.8)+(0+(0-0))+0-5-0</f>
        <v>589</v>
      </c>
      <c r="K319" s="3">
        <f>1110.1+(206.2-719.4)+(-0.566151+(-0.105162--0.366894))+0-5--0.00254999999999949</f>
        <v>591.59813099999985</v>
      </c>
      <c r="L319" s="3">
        <f>1108.9+(244.6-744.1)+(-1.131078+(-0.249492--0.758982))+0-5--0.0051000000000008</f>
        <v>603.78351200000009</v>
      </c>
      <c r="M319" s="3">
        <f>1050.2+(232.2-653.7)+(-1.071204+(-0.236844--0.666774))+0-5--0.0051000000000008</f>
        <v>623.06382600000006</v>
      </c>
      <c r="N319" s="3">
        <f>1038.5+(211.3-591.1)+(0+(0-0))+0-5-0</f>
        <v>653.70000000000005</v>
      </c>
      <c r="O319" s="3">
        <f>1087+(137.1-520)+(0+(0-0))+0-5-0</f>
        <v>699.1</v>
      </c>
      <c r="P319" s="3">
        <f>1092.2+(157.3-523.2)+(0.557022+(0.080223-0.266832))+0-5-0.00254999999999949</f>
        <v>721.6678629999999</v>
      </c>
      <c r="Q319" s="3">
        <f>1082.6+(148.2-498.2)+(-2.76063+(-0.37791--1.27041))+0-5--0.0127499999999993</f>
        <v>725.74461999999994</v>
      </c>
      <c r="R319" s="3">
        <f>1053.2+(92.3-419.3)+(-2.68566+(-0.235365--1.069215))+0-5--0.0127499999999993</f>
        <v>719.36094000000003</v>
      </c>
      <c r="S319" s="3">
        <f>1013.1+(166-478.8)+(-2.066724+(-0.33864--0.976752))+0-5--0.0101999999999998</f>
        <v>693.88158799999997</v>
      </c>
      <c r="T319" s="3">
        <f>1108.2+(195.7-613.8)+(-1.130364+(-0.199614--0.626076))+0-5--0.0051000000000008</f>
        <v>684.40119800000014</v>
      </c>
      <c r="U319" s="3">
        <f>1232.3+(212.8-742.9)+(-1.885419+(-0.325584--1.136637))+0-5--0.00765000000000029</f>
        <v>696.133284</v>
      </c>
      <c r="V319" s="3">
        <f>1253.3+(205.5-738)+(0.639183+(0.104805-0.37638))+0-5-0.00254999999999949</f>
        <v>716.16505799999993</v>
      </c>
      <c r="W319" s="3">
        <f>1261+(213.5-712.7)+(0.64311+(0.108885-0.363477))+0-5-0.00254999999999949</f>
        <v>757.18596799999989</v>
      </c>
      <c r="X319" s="3">
        <f>1257.6+(233.9-623.3)+(-1.282752+(-0.238578--0.635766))+0-5--0.0051000000000008</f>
        <v>862.31953599999986</v>
      </c>
      <c r="Y319" s="3">
        <f>1249.3+(237.6-628.9)+(-1.911429+(-0.363528--0.962217))+0-5--0.00765000000000029</f>
        <v>851.69491000000005</v>
      </c>
      <c r="Z319" s="3">
        <f>1252.2+(253.4-676.1)+(0+(0-0))+0-5-0</f>
        <v>824.5</v>
      </c>
      <c r="AA319" s="3">
        <f>1253.4+(287.2-725.4)+(-0.639234+(-0.146472--0.369954))+0-5--0.00254999999999949</f>
        <v>809.78679800000009</v>
      </c>
      <c r="AB319" s="3">
        <f>1250.1+(285.1-734.6)+(0.637551+(0.145401-0.374646))+0-5-0.00254999999999949</f>
        <v>796.00575599999991</v>
      </c>
      <c r="AC319" s="3">
        <f>1246.7+(278.8-757.9)+(-3.179085+(-0.71094--1.932645))+0-5--0.0127499999999993</f>
        <v>760.65537000000018</v>
      </c>
      <c r="AD319">
        <v>869.39999999999986</v>
      </c>
      <c r="AE319" s="3">
        <f>1253+(269.1-652.7)+(0+(0-0))+0-5-0</f>
        <v>864.4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1254.7+(332.8-874.9)+(0+(0-0))+0-0-0</f>
        <v>712.60000000000014</v>
      </c>
      <c r="G320" s="3">
        <f>1253.5+(325.2-916.6)+(1.27857+(0.331704-0.934932))+0-0-0</f>
        <v>662.77534199999991</v>
      </c>
      <c r="H320" s="3">
        <f>1137.4+(361.1-863.1)+(-0.580074+(-0.184161--0.440181))+0-0-0</f>
        <v>635.07594600000004</v>
      </c>
      <c r="I320" s="3">
        <f>1067.7+(379.9-832.3)+(-1.089054+(-0.387498--0.848946))+0-0-0</f>
        <v>614.67239400000005</v>
      </c>
      <c r="J320" s="3">
        <f>1113.3+(394.7-899)+(1.135566+(0.402594-0.91698))+0-0-0</f>
        <v>609.62117999999998</v>
      </c>
      <c r="K320" s="3">
        <f>1111.5+(358.3-861.8)+(0.566865+(0.182733-0.439518))+0-0-0</f>
        <v>608.31007999999997</v>
      </c>
      <c r="L320" s="3">
        <f>1134.5+(338.4-863.7)+(-4.62876+(-1.380672--3.523896))+0-0-0</f>
        <v>606.71446399999991</v>
      </c>
      <c r="M320" s="3">
        <f>1092.8+(228-740.3)+(0+(0-0))+0-0-0</f>
        <v>580.5</v>
      </c>
      <c r="N320" s="3">
        <f>1092.8+(191.2-679.7)+(-0.557328+(-0.097512--0.346647))+0-0-0</f>
        <v>603.99180699999999</v>
      </c>
      <c r="O320" s="3">
        <f>1057.6+(169.3-595.1)+(0.539376+(0.086343-0.303501))+0-0-0</f>
        <v>632.12221799999998</v>
      </c>
      <c r="P320" s="3">
        <f>1179.2+(141-649.2)+(0+(0-0))+0-0-0</f>
        <v>671</v>
      </c>
      <c r="Q320" s="3">
        <f>1220.2+(67.8-610.9)+(0+(0-0))+0-0-0</f>
        <v>677.1</v>
      </c>
      <c r="R320" s="3">
        <f>1224+(85.1-650.3)+(-1.24848+(-0.086802--0.663306))+0-0-0</f>
        <v>658.1280240000001</v>
      </c>
      <c r="S320" s="3">
        <f>1208.4+(67.8-629.8)+(-1.232568+(-0.069156--0.642396))+0-0-0</f>
        <v>645.74067200000013</v>
      </c>
      <c r="T320" s="3">
        <f>1240.2+(105-695)+(-2.530008+(-0.2142--1.4178))+0-0-0</f>
        <v>648.87359200000003</v>
      </c>
      <c r="U320" s="3">
        <f>1211.8+(119.9-680.4)+(-0.618018+(-0.061149--0.347004))+0-0-0</f>
        <v>650.96783699999992</v>
      </c>
      <c r="V320" s="3">
        <f>1244.7+(132.9-714)+(1.269594+(0.135558-0.72828))+0-0-0</f>
        <v>664.27687200000003</v>
      </c>
      <c r="W320" s="3">
        <f>1263+(125.7-698.2)+(0+(0-0))+0-0-0</f>
        <v>690.5</v>
      </c>
      <c r="X320" s="3">
        <f>1260+(148.2-577.2)+(-0.6426+(-0.075582--0.294372))+0-0-0</f>
        <v>830.57619</v>
      </c>
      <c r="Y320" s="3">
        <f>1206.4+(228.5-590.9)+(-0.615264+(-0.116535--0.301359))+0-0-0</f>
        <v>843.56956000000014</v>
      </c>
      <c r="Z320" s="3">
        <f>1189.7+(250-616.2)+(0+(0-0))+0-0-0</f>
        <v>823.5</v>
      </c>
      <c r="AA320" s="3">
        <f>1254.4+(247.3-679.7)+(-1.279488+(-0.252246--0.693294))+0-0-0</f>
        <v>821.16156000000001</v>
      </c>
      <c r="AB320" s="3">
        <f>1256+(233.7-687.6)+(-0.64056+(-0.119187--0.350676))+0-0-0</f>
        <v>801.69092899999987</v>
      </c>
      <c r="AC320" s="3">
        <f>1253.7+(196.1-696.3)+(-0.639387+(-0.100011--0.355113))+0-0-0</f>
        <v>753.11571500000014</v>
      </c>
      <c r="AD320">
        <v>851.4</v>
      </c>
      <c r="AE320" s="3">
        <f>1258+(193-599.6)+(0+(0-0))+0-5-0</f>
        <v>846.4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1184+(245-737.1)+(-1.81152+(-0.37485--1.127763))+0-5--0.00765000000000029</f>
        <v>685.84904299999994</v>
      </c>
      <c r="G321" s="3">
        <f>1091.2+(294.2-745.4)+(1.669536+(0.450126-1.140462))+0-4-0.00612000000000023</f>
        <v>636.97307999999998</v>
      </c>
      <c r="H321" s="3">
        <f>1084.3+(343.4-806.3)+(-1.658979+(-0.525402--1.233639))+0-4--0.00612000000000023</f>
        <v>616.455378</v>
      </c>
      <c r="I321" s="3">
        <f>1092.6+(317.5-796.7)+(2.228904+(0.6477-1.625268))+0-5-0.0101999999999998</f>
        <v>609.64113599999985</v>
      </c>
      <c r="J321" s="3">
        <f>1061.9+(322.1-773.8)+(-0.541569+(-0.164271--0.394638))+0-5--0.00254999999999949</f>
        <v>604.89134800000022</v>
      </c>
      <c r="K321" s="3">
        <f>1114.9+(307.8-802.5)+(-1.705797+(-0.470934--1.227825))+0-4--0.00612000000000023</f>
        <v>615.25721400000009</v>
      </c>
      <c r="L321" s="3">
        <f>1136.3+(322.2-814.8)+(-0.579513+(-0.164322--0.415548))+0-5--0.00254999999999949</f>
        <v>638.37426300000004</v>
      </c>
      <c r="M321" s="3">
        <f>1210+(161.7-715.4)+(-0.6171+(-0.082467--0.364854))+0-5--0.00254999999999949</f>
        <v>650.96783700000003</v>
      </c>
      <c r="N321" s="3">
        <f>1275.9+(155.1-732.9)+(0+(0-0))+0-5-0</f>
        <v>693.10000000000014</v>
      </c>
      <c r="O321" s="3">
        <f>1250.5+(73.6-570.4)+(1.27551+(0.075072-0.581808))+0-5-0.0051000000000008</f>
        <v>749.46367400000008</v>
      </c>
      <c r="P321" s="3">
        <f>1227.6+(52.7-509.8)+(0+(0-0))+0-5-0</f>
        <v>765.49999999999989</v>
      </c>
      <c r="Q321" s="3">
        <f>1232.7+(51.7-495.4)+(0+(0-0))+0-5-0</f>
        <v>784</v>
      </c>
      <c r="R321" s="3">
        <f>1146.5+(48.8-454.5)+(0+(0-0))+0-5-0</f>
        <v>735.8</v>
      </c>
      <c r="S321" s="3">
        <f>1259.7+(59.4-586.8)+(-1.284894+(-0.060588--0.598536))+0-5--0.0051000000000008</f>
        <v>726.55815400000006</v>
      </c>
      <c r="T321" s="3">
        <f>1258.8+(54.7-591.8)+(-1.283976+(-0.055794--0.603636))+0-5--0.0051000000000008</f>
        <v>715.96896600000002</v>
      </c>
      <c r="U321" s="3">
        <f>1266.1+(53.8-591.7)+(0.645711+(0.027438-0.301767))+0-5-0.00254999999999949</f>
        <v>723.56883199999982</v>
      </c>
      <c r="V321" s="3">
        <f>1269.3+(48.5-575.9)+(-0.647343+(-0.024735--0.293709))+0-5--0.00254999999999949</f>
        <v>736.524181</v>
      </c>
      <c r="W321" s="3">
        <f>1272+(49.1-545.5)+(0+(0-0))+0-5-0</f>
        <v>770.6</v>
      </c>
      <c r="X321" s="3">
        <f>1270.8+(145.3-519.1)+(-1.944324+(-0.222309--0.794223))+0-5--0.00765000000000029</f>
        <v>890.63524000000007</v>
      </c>
      <c r="Y321" s="3">
        <f>1271.4+(243.3-612.5)+(-1.296828+(-0.248166--0.62475))+0-5--0.0051000000000008</f>
        <v>896.28485599999999</v>
      </c>
      <c r="Z321" s="3">
        <f>1269.1+(229-614.6)+(-2.588964+(-0.46716--1.253784))+0-5--0.0101999999999998</f>
        <v>876.70785999999998</v>
      </c>
      <c r="AA321" s="3">
        <f>1273.5+(198.4-607.8)+(0.649485+(0.101184-0.309978))+0-5-0.00254999999999949</f>
        <v>859.538141</v>
      </c>
      <c r="AB321" s="3">
        <f>1273.7+(219.3-631.5)+(0.649587+(0.111843-0.322065))+0-5-0.00254999999999949</f>
        <v>856.93681499999991</v>
      </c>
      <c r="AC321" s="3">
        <f>1270.2+(180.3-662.8)+(-1.943406+(-0.275859--1.014084))+0-5--0.00765000000000029</f>
        <v>781.50246900000002</v>
      </c>
      <c r="AD321">
        <v>904</v>
      </c>
      <c r="AE321" s="3">
        <f>1271+(172-539)+(0+(0-0))+0-5-0</f>
        <v>899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1271.6+(172.2-748.5)+(-1.297032+(-0.175644--0.76347))+0-4--0.00408000000000064</f>
        <v>690.594874</v>
      </c>
      <c r="G322" s="3">
        <f>1262.7+(220.4-830.7)+(-1.931931+(-0.337212--1.270971))+0-4--0.00612000000000023</f>
        <v>647.40794800000003</v>
      </c>
      <c r="H322" s="3">
        <f>1113.9+(299.9-784.4)+(0+(0-0))+0-5-0</f>
        <v>624.40000000000009</v>
      </c>
      <c r="I322" s="3">
        <f>1076+(314.9-774.8)+(0+(0-0))+0-4-0</f>
        <v>612.1</v>
      </c>
      <c r="J322" s="3">
        <f>1098.5+(276.7-767.3)+(-0.560235+(-0.141117--0.391323))+0-5--0.00254999999999949</f>
        <v>602.59252100000015</v>
      </c>
      <c r="K322" s="3">
        <f>1265.4+(257.2-899.1)+(0.645354+(0.131172-0.458541))+0-5-0.00254999999999949</f>
        <v>618.81543499999998</v>
      </c>
      <c r="L322" s="3">
        <f>1277+(251.4-894.1)+(0+(0-0))+0-5-0</f>
        <v>629.29999999999995</v>
      </c>
      <c r="M322" s="3">
        <f>1285.1+(216.4-836.6)+(-1.310802+(-0.220728--0.853332))+0-5--0.0051000000000008</f>
        <v>659.22690199999988</v>
      </c>
      <c r="N322" s="3">
        <f>1277.2+(92.4-630.5)+(1.302744+(0.094248-0.64311))+0-5-0.0051000000000008</f>
        <v>734.84878200000003</v>
      </c>
      <c r="O322" s="3">
        <f>1263.5+(72.9-612.5)+(-0.644385+(-0.037179--0.312375))+0-5--0.00254999999999949</f>
        <v>718.53336100000001</v>
      </c>
      <c r="P322" s="3">
        <f>1253.3+(43.6-544.4)+(-0.639183+(-0.022236--0.277644))+0-5--0.00254999999999949</f>
        <v>747.11877500000003</v>
      </c>
      <c r="Q322" s="3">
        <f>1250+(44.5-527.9)+(-2.55+(-0.09078--1.076916))+0-5--0.0101999999999998</f>
        <v>760.04633600000011</v>
      </c>
      <c r="R322" s="3">
        <f>1226.8+(40.7-544.4)+(-3.12834+(-0.103785--1.38822))+0-5--0.0127499999999993</f>
        <v>716.26884499999994</v>
      </c>
      <c r="S322" s="3">
        <f>1216.3+(51.2-560.9)+(0+(0-0))+0-5-0</f>
        <v>701.59999999999991</v>
      </c>
      <c r="T322" s="3">
        <f>1220.3+(63.5-583.7)+(0+(0-0))+0-5-0</f>
        <v>695.09999999999991</v>
      </c>
      <c r="U322" s="3">
        <f>1257.4+(58.4-621.5)+(0.641274+(0.029784-0.316965))+0-5-0.00254999999999949</f>
        <v>689.65154300000006</v>
      </c>
      <c r="V322" s="3">
        <f>1278+(75.4-636.2)+(-2.60712+(-0.153816--1.297848))+0-5--0.0101999999999998</f>
        <v>710.74711200000002</v>
      </c>
      <c r="W322" s="3">
        <f>1284.2+(65.2-602.6)+(0+(0-0))+0-5-0</f>
        <v>741.80000000000007</v>
      </c>
      <c r="X322" s="3">
        <f>1287.5+(117.9-458.8)+(-1.31325+(-0.120258--0.467976))+0-5--0.0051000000000008</f>
        <v>940.63956799999994</v>
      </c>
      <c r="Y322" s="3">
        <f>1277.7+(245.8-610.5)+(-3.258135+(-0.62679--1.556775))+0-5--0.0127499999999993</f>
        <v>905.68459999999993</v>
      </c>
      <c r="Z322" s="3">
        <f>1288.5+(231.4-629.7)+(-1.971405+(-0.354042--0.963441))+0-5--0.00765000000000029</f>
        <v>883.84564399999999</v>
      </c>
      <c r="AA322" s="3">
        <f>1293.5+(305.1-701.1)+(-0.659685+(-0.155601--0.357561))+0-5--0.00254999999999949</f>
        <v>892.04482500000006</v>
      </c>
      <c r="AB322" s="3">
        <f>1217.4+(321.3-700.6)+(-1.241748+(-0.327726--0.714612))+0-5--0.0051000000000008</f>
        <v>832.25023800000008</v>
      </c>
      <c r="AC322" s="3">
        <f>1167.5+(269.7-686.8)+(-1.19085+(-0.275094--0.700536))+0-5--0.0051000000000008</f>
        <v>744.63969200000008</v>
      </c>
      <c r="AD322">
        <v>902.5</v>
      </c>
      <c r="AE322" s="3">
        <f>1289+(111.2-497.7)+(0+(0-0))+0-5-0</f>
        <v>897.5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1237.7+(234.8-810.6)+(-3.156135+(-0.59874--2.06703))+0-5--0.0127499999999993</f>
        <v>655.22490500000004</v>
      </c>
      <c r="G323" s="3">
        <f>1173.9+(272.7-817)+(-1.197378+(-0.278154--0.83334))+0-5--0.0051000000000008</f>
        <v>623.96290800000008</v>
      </c>
      <c r="H323" s="3">
        <f>1149.2+(310.5-841.6)+(-1.758276+(-0.475065--1.287648))+0-5--0.00765000000000029</f>
        <v>612.16195700000003</v>
      </c>
      <c r="I323" s="3">
        <f>1120.5+(343.8-887.6)+(1.14291+(0.350676-0.905352))+0-5-0.0051000000000008</f>
        <v>572.28313400000013</v>
      </c>
      <c r="J323" s="3">
        <f>1028.6+(344-834.6)+(-1.573758+(-0.52632--1.276938))+0-5--0.00765000000000029</f>
        <v>532.18450999999993</v>
      </c>
      <c r="K323" s="3">
        <f>1022.4+(391.5-813.4)+(0.521424+(0.199665-0.414834))+0-5-0.00254999999999949</f>
        <v>595.80370499999992</v>
      </c>
      <c r="L323" s="3">
        <f>1154.4+(306.8-891)+(-1.177488+(-0.312936--0.90882))+0-5--0.0051000000000008</f>
        <v>564.62349600000005</v>
      </c>
      <c r="M323" s="3">
        <f>1155.4+(330.2-828.1)+(-1.767762+(-0.505206--1.266993))+0-5--0.00765000000000029</f>
        <v>651.50167499999998</v>
      </c>
      <c r="N323" s="3">
        <f>1177.4+(143.8-695)+(1.801422+(0.220014-1.06335))+0-5-0.00765000000000029</f>
        <v>622.15043600000001</v>
      </c>
      <c r="O323" s="3">
        <f>1153.6+(152.7-530.8)+(0.588336+(0.077877-0.270708))+0-5-0.00254999999999949</f>
        <v>770.89295499999992</v>
      </c>
      <c r="P323" s="3">
        <f>1079.7+(152.9-486)+(0.550647+(0.077979-0.24786))+0-5-0.00254999999999949</f>
        <v>741.97821599999997</v>
      </c>
      <c r="Q323" s="3">
        <f>1121.8+(111.4-513)+(-0.572118+(-0.056814--0.26163))+0-5--0.00254999999999949</f>
        <v>714.83524799999998</v>
      </c>
      <c r="R323" s="3">
        <f>1174.4+(128-561.1)+(0+(0-0))+0-4-0</f>
        <v>737.30000000000007</v>
      </c>
      <c r="S323" s="3">
        <f>1162.1+(146.2-588.8)+(-1.778013+(-0.223686--0.900864))+0-4--0.00612000000000023</f>
        <v>714.40528500000005</v>
      </c>
      <c r="T323" s="3">
        <f>1164.3+(181.5-633.5)+(-0.593793+(-0.092565--0.323085))+0-4--0.00203999999999959</f>
        <v>707.93876699999987</v>
      </c>
      <c r="U323" s="3">
        <f>1161.7+(176.3-628.8)+(-1.184934+(-0.179826--0.641376))+0-4--0.00408000000000064</f>
        <v>704.48069600000008</v>
      </c>
      <c r="V323" s="3">
        <f>1160.5+(279.9-650.4)+(1.18371+(0.285498-0.663408))+0-4-0.00408000000000064</f>
        <v>786.80171999999993</v>
      </c>
      <c r="W323" s="3">
        <f>1125.7+(229.6-621.4)+(1.722321+(0.351288-0.950742))+0-4-0.00612000000000023</f>
        <v>731.01674700000012</v>
      </c>
      <c r="X323" s="3">
        <f>1117.5+(372.8-605.9)+(0+(0-0))+0-4-0</f>
        <v>880.40000000000009</v>
      </c>
      <c r="Y323" s="3">
        <f>1257.7+(271.6-638.7)+(-1.924281+(-0.415548--0.977211))+0-4--0.00612000000000023</f>
        <v>885.24350200000003</v>
      </c>
      <c r="Z323" s="3">
        <f>1264+(286.6-637.9)+(-0.64464+(-0.146166--0.325329))+0-4--0.00203999999999959</f>
        <v>908.23656300000005</v>
      </c>
      <c r="AA323" s="3">
        <f>1250.8+(227-643.3)+(-0.637908+(-0.11577--0.328083))+0-4--0.00203999999999959</f>
        <v>830.07644499999992</v>
      </c>
      <c r="AB323" s="3">
        <f>1249.2+(235.6-610.8)+(-1.911276+(-0.360468--0.934524))+0-4--0.00612000000000023</f>
        <v>868.66890000000012</v>
      </c>
      <c r="AC323" s="3">
        <f>1253.2+(198.5-665.4)+(-1.917396+(-0.303705--1.018062))+0-4--0.00612000000000023</f>
        <v>781.10308100000009</v>
      </c>
      <c r="AD323">
        <v>855.5</v>
      </c>
      <c r="AE323" s="3">
        <f>1087+(384.7-616.2)+(0+(0-0))+0-5-0</f>
        <v>850.5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1266.2+(286.4-818.6)+(0+(0-0))+0-5-0</f>
        <v>729</v>
      </c>
      <c r="G324" s="3">
        <f>1254.8+(322.9-899.2)+(-0.639948+(-0.164679--0.458592))+0-5--0.00254999999999949</f>
        <v>673.1565149999999</v>
      </c>
      <c r="H324" s="3">
        <f>1220.9+(356.4-932.1)+(1.867977+(0.545292-1.426113))+0-5-0.00765000000000029</f>
        <v>641.17950600000006</v>
      </c>
      <c r="I324" s="3">
        <f>1189+(361.1-903.2)+(-1.81917+(-0.552483--1.381896))+0-5--0.00765000000000029</f>
        <v>640.91789299999994</v>
      </c>
      <c r="J324" s="3">
        <f>1133.2+(413.3-893.9)+(0.577932+(0.210783-0.455889))+0-5-0.00254999999999949</f>
        <v>647.93027600000005</v>
      </c>
      <c r="K324" s="3">
        <f>1100.2+(485.8-898)+(0.561102+(0.247758-0.45798))+0-5-0.00254999999999949</f>
        <v>683.34832999999992</v>
      </c>
      <c r="L324" s="3">
        <f>1114.4+(468.2-1012.3)+(-1.705032+(-0.716346--1.548819))+0-5--0.00765000000000029</f>
        <v>564.43509100000017</v>
      </c>
      <c r="M324" s="3">
        <f>1196.9+(368.1-971.1)+(0.610419+(0.187731-0.495261))+0-5-0.00254999999999949</f>
        <v>589.2003390000001</v>
      </c>
      <c r="N324" s="3">
        <f>1282.6+(263.1-896.6)+(1.308252+(0.268362-0.914532))+0-5-0.0051000000000008</f>
        <v>644.75698199999999</v>
      </c>
      <c r="O324" s="3">
        <f>1276.6+(191.2-714.2)+(1.302132+(0.195024-0.728484))+0-5-0.0051000000000008</f>
        <v>749.36357199999998</v>
      </c>
      <c r="P324" s="3">
        <f>1270.1+(95.2-597.3)+(-0.647751+(-0.048552--0.304623))+0-5--0.00254999999999949</f>
        <v>762.61087000000009</v>
      </c>
      <c r="Q324" s="3">
        <f>1270.1+(106.7-591.4)+(-1.295502+(-0.108834--0.603228))+0-5--0.0051000000000008</f>
        <v>779.60399199999983</v>
      </c>
      <c r="R324" s="3">
        <f>1261.5+(134.6-623.1)+(-3.216825+(-0.34323--1.588905))+0-5--0.0127499999999993</f>
        <v>766.04160000000002</v>
      </c>
      <c r="S324" s="3">
        <f>1262.9+(161.9-708.9)+(0+(0-0))+0-5-0</f>
        <v>710.90000000000009</v>
      </c>
      <c r="T324" s="3">
        <f>1261.5+(156.4-696.8)+(0.643365+(0.079764-0.355368))+0-5-0.00254999999999949</f>
        <v>716.46521099999995</v>
      </c>
      <c r="U324" s="3">
        <f>1249.8+(181-659.1)+(-0.637398+(-0.09231--0.336141))+0-5--0.00254999999999949</f>
        <v>766.30898300000001</v>
      </c>
      <c r="V324" s="3">
        <f>1258.2+(140.4-673.7)+(1.283364+(0.143208-0.687174))+0-5-0.0051000000000008</f>
        <v>720.63429800000006</v>
      </c>
      <c r="W324" s="3">
        <f>1270.4+(100-611.3)+(1.295808+(0.102-0.623526))+0-5-0.0051000000000008</f>
        <v>754.86918200000014</v>
      </c>
      <c r="X324" s="3">
        <f>1274.2+(234-625.6)+(0.649842+(0.11934-0.319056))+0-5-0.00254999999999949</f>
        <v>878.04757599999994</v>
      </c>
      <c r="Y324" s="3">
        <f>1272.1+(255.4-619)+(-2.595084+(-0.521016--1.26276))+0-5--0.0101999999999998</f>
        <v>901.65685999999994</v>
      </c>
      <c r="Z324" s="3">
        <f>1267.2+(224.2-621.1)+(-3.23136+(-0.57171--1.583805))+0-5--0.0127499999999993</f>
        <v>863.09348499999999</v>
      </c>
      <c r="AA324" s="3">
        <f>1273.8+(177-597.7)+(-0.649638+(-0.09027--0.304827))+0-5--0.00254999999999949</f>
        <v>847.66746899999998</v>
      </c>
      <c r="AB324" s="3">
        <f>1264.8+(175.8-623.9)+(0+(0-0))+0-5-0</f>
        <v>811.7</v>
      </c>
      <c r="AC324" s="3">
        <f>1259.1+(222.6-683.4)+(-1.284282+(-0.227052--0.697068))+0-5--0.0051000000000008</f>
        <v>792.49083399999995</v>
      </c>
      <c r="AD324">
        <v>871.59999999999991</v>
      </c>
      <c r="AE324" s="3">
        <f>1270+(226.3-624.7)+(0+(0-0))+0-0-0</f>
        <v>871.59999999999991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1258.5+(191.6-735.2)+(0+(0-0))+0-5-0</f>
        <v>709.9</v>
      </c>
      <c r="G325" s="3">
        <f>1262.9+(220.1-812.7)+(0+(0-0))+0-5-0</f>
        <v>665.30000000000007</v>
      </c>
      <c r="H325" s="3">
        <f>1234.1+(238.9-810.5)+(0+(0-0))+0-5-0</f>
        <v>657.49999999999989</v>
      </c>
      <c r="I325" s="3">
        <f>1170.6+(210.6-755.2)+(-1.791018+(-0.322218--1.155456))+0-5--0.00765000000000029</f>
        <v>620.04986999999994</v>
      </c>
      <c r="J325" s="3">
        <f>1176+(218.5-763.7)+(1.19952+(0.22287-0.778974))+0-5-0.0051000000000008</f>
        <v>626.43831599999999</v>
      </c>
      <c r="K325" s="3">
        <f>1246.2+(215.9-803.7)+(1.271124+(0.220218-0.819774))+0-5-0.0051000000000008</f>
        <v>654.06646799999999</v>
      </c>
      <c r="L325" s="3">
        <f>1269.8+(269.2-845.7)+(0+(0-0))+0-5-0</f>
        <v>688.3</v>
      </c>
      <c r="M325" s="3">
        <f>1266.7+(247.1-849.4)+(0+(0-0))+0-5-0</f>
        <v>659.40000000000009</v>
      </c>
      <c r="N325" s="3">
        <f>1260.3+(124.1-717.7)+(-0.642753+(-0.063291--0.366027))+0-5--0.00254999999999949</f>
        <v>661.36253299999998</v>
      </c>
      <c r="O325" s="3">
        <f>1257.5+(85-570)+(-0.641325+(-0.04335--0.2907))+0-5--0.00254999999999949</f>
        <v>767.10857500000009</v>
      </c>
      <c r="P325" s="3">
        <f>1250.5+(62.9-559.9)+(-0.637755+(-0.032079--0.285549))+0-5--0.00254999999999949</f>
        <v>748.11826500000006</v>
      </c>
      <c r="Q325" s="3">
        <f>1214.7+(89.6-508.3)+(-1.238994+(-0.091392--0.518466))+0-5--0.0051000000000008</f>
        <v>790.19317999999998</v>
      </c>
      <c r="R325" s="3">
        <f>1232+(59-509.5)+(-1.88496+(-0.09027--0.779535))+0-5--0.00765000000000029</f>
        <v>775.31195500000001</v>
      </c>
      <c r="S325" s="3">
        <f>1244.6+(60-593.3)+(-1.904238+(-0.0918--0.907749))+0-5--0.00765000000000029</f>
        <v>705.21936099999994</v>
      </c>
      <c r="T325" s="3">
        <f>1248.2+(92.1-589.7)+(0+(0-0))+0-5-0</f>
        <v>745.6</v>
      </c>
      <c r="U325" s="3">
        <f>1250.9+(120.8-632.4)+(1.275918+(0.123216-0.645048))+0-5-0.0051000000000008</f>
        <v>735.04898600000024</v>
      </c>
      <c r="V325" s="3">
        <f>1252.3+(135.2-655.6)+(0.638673+(0.068952-0.334356))+0-5-0.00254999999999949</f>
        <v>727.27071899999987</v>
      </c>
      <c r="W325" s="3">
        <f>1255.3+(71.4-586.9)+(1.280406+(0.072828-0.598638))+0-5-0.0051000000000008</f>
        <v>735.54949599999998</v>
      </c>
      <c r="X325" s="3">
        <f>1243.6+(113.9-477.8)+(-3.17118+(-0.290445--1.21839))+0-5--0.0127499999999993</f>
        <v>872.46951499999989</v>
      </c>
      <c r="Y325" s="3">
        <f>1251+(131.5-482.6)+(-1.91403+(-0.201195--0.738378))+0-5--0.00765000000000029</f>
        <v>893.53080299999999</v>
      </c>
      <c r="Z325" s="3">
        <f>1260.9+(234.8-628.1)+(-0.643059+(-0.119748--0.320331))+0-5--0.00254999999999949</f>
        <v>862.16007400000012</v>
      </c>
      <c r="AA325" s="3">
        <f>1254.4+(239-644)+(0.639744+(0.12189-0.32844))+0-5-0.00254999999999949</f>
        <v>844.83064400000001</v>
      </c>
      <c r="AB325" s="3">
        <f>1254.8+(184-617.6)+(0.639948+(0.09384-0.314976))+0-5-0.00254999999999949</f>
        <v>816.61626199999989</v>
      </c>
      <c r="AC325" s="3">
        <f>1253.5+(192.3-683.8)+(0+(0-0))+0-5-0</f>
        <v>757</v>
      </c>
      <c r="AD325">
        <v>905.7</v>
      </c>
      <c r="AE325" s="3">
        <f>1249+(123.7-467)+(0+(0-0))+0-5-0</f>
        <v>900.7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1240.2+(283.7-824.4)+(-3.16251+(-0.723435--2.10222))+0-5--0.0127499999999993</f>
        <v>692.72902499999998</v>
      </c>
      <c r="G326" s="3">
        <f>1200.9+(295.2-837)+(-1.224918+(-0.301104--0.85374))+0-5--0.0051000000000008</f>
        <v>653.43281800000011</v>
      </c>
      <c r="H326" s="3">
        <f>1194.1+(317.3-881.2)+(-3.653946+(-0.970938--2.696472))+0-5--0.0153000000000006</f>
        <v>623.28688799999986</v>
      </c>
      <c r="I326" s="3">
        <f>1201.6+(273.7-847.3)+(1.225632+(0.279174-0.864246))+0-5-0.0051000000000008</f>
        <v>623.63546000000008</v>
      </c>
      <c r="J326" s="3">
        <f>1148.7+(310.3-850.5)+(-0.585837+(-0.158253--0.433755))+0-5--0.00254999999999949</f>
        <v>603.19221500000003</v>
      </c>
      <c r="K326" s="3">
        <f>1131.1+(328.9-837.5)+(1.730583+(0.503217-1.281375))+0-5-0.00765000000000029</f>
        <v>618.44477499999982</v>
      </c>
      <c r="L326" s="3">
        <f>1163.6+(333-866.6)+(1.186872+(0.33966-0.883932))+0-5-0.0051000000000008</f>
        <v>625.63749999999993</v>
      </c>
      <c r="M326" s="3">
        <f>1244.4+(273.7-876)+(1.269288+(0.279174-0.89352))+0-5-0.0051000000000008</f>
        <v>637.74984200000017</v>
      </c>
      <c r="N326" s="3">
        <f>1249.6+(190.5-742.9)+(0.637296+(0.097155-0.378879))+0-5-0.00254999999999949</f>
        <v>692.55302199999994</v>
      </c>
      <c r="O326" s="3">
        <f>1240.5+(135.7-633.5)+(0.632655+(0.069207-0.323085))+0-5-0.00254999999999949</f>
        <v>738.07622700000002</v>
      </c>
      <c r="P326" s="3">
        <f>1247.5+(159.8-618.1)+(0.636225+(0.081498-0.315231))+0-5-0.00254999999999949</f>
        <v>784.59994200000006</v>
      </c>
      <c r="Q326" s="3">
        <f>1239.2+(176.4-615.7)+(0+(0-0))+0-5-0</f>
        <v>794.9</v>
      </c>
      <c r="R326" s="3">
        <f>1233.5+(141.3-606.6)+(-1.887255+(-0.216189--0.928098))+0-5--0.00765000000000029</f>
        <v>762.03230400000007</v>
      </c>
      <c r="S326" s="3">
        <f>1233.8+(142.8-643.1)+(0+(0-0))+0-5-0</f>
        <v>728.5</v>
      </c>
      <c r="T326" s="3">
        <f>1243.5+(181.9-705.2)+(0+(0-0))+0-5-0</f>
        <v>715.19999999999993</v>
      </c>
      <c r="U326" s="3">
        <f>1240.1+(204-725.8)+(-1.264902+(-0.20808--0.740316))+0-5--0.0051000000000008</f>
        <v>712.57243399999993</v>
      </c>
      <c r="V326" s="3">
        <f>1239.3+(210.4-726)+(-1.264086+(-0.214608--0.74052))+0-5--0.0051000000000008</f>
        <v>717.96692599999994</v>
      </c>
      <c r="W326" s="3">
        <f>1247+(184.3-691.3)+(-0.63597+(-0.093993--0.352563))+0-5--0.00254999999999949</f>
        <v>734.62515000000008</v>
      </c>
      <c r="X326" s="3">
        <f>1240.7+(234.1-620.4)+(-1.265514+(-0.238782--0.632808))+0-5--0.0051000000000008</f>
        <v>848.53361200000006</v>
      </c>
      <c r="Y326" s="3">
        <f>1238.5+(237.9-616.9)+(-2.52654+(-0.485316--1.258476))+0-5--0.0101999999999998</f>
        <v>852.75682000000006</v>
      </c>
      <c r="Z326" s="3">
        <f>1238.8+(209.8-613.9)+(-3.15894+(-0.53499--1.565445))+0-5--0.0127499999999993</f>
        <v>827.58426500000007</v>
      </c>
      <c r="AA326" s="3">
        <f>1243.4+(188-611.9)+(-0.634134+(-0.09588--0.312069))+0-5--0.00254999999999949</f>
        <v>814.08460500000012</v>
      </c>
      <c r="AB326" s="3">
        <f>1244.8+(176.5-608.9)+(0.634848+(0.090015-0.310539))+0-5-0.00254999999999949</f>
        <v>807.8117739999999</v>
      </c>
      <c r="AC326" s="3">
        <f>1248.4+(163.8-634.2)+(-0.636684+(-0.083538--0.323442))+0-5--0.00254999999999949</f>
        <v>772.60577000000001</v>
      </c>
      <c r="AD326">
        <v>874.00000000000011</v>
      </c>
      <c r="AE326" s="3">
        <f>1237+(236.4-599.4)+(0+(0-0))+0-5-0</f>
        <v>869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1226.2+(190.1-693.6)+(-1.876086+(-0.290853--1.061208))+0-6--0.00918000000000035</f>
        <v>715.60344900000007</v>
      </c>
      <c r="G327" s="3">
        <f>1171.7+(225.4-739.5)+(0.597567+(0.114954-0.377145))+0-6-0.00305999999999939</f>
        <v>651.93231600000001</v>
      </c>
      <c r="H327" s="3">
        <f>1105.4+(246.9-725.6)+(-1.127508+(-0.251838--0.740112))+0-6--0.00612000000000096</f>
        <v>620.06688600000007</v>
      </c>
      <c r="I327" s="3">
        <f>1051.3+(266.6-709.4)+(0.536163+(0.135966-0.361794))+0-6-0.00305999999999939</f>
        <v>602.807275</v>
      </c>
      <c r="J327" s="3">
        <f>1076.6+(277.8-749.3)+(-1.098132+(-0.283356--0.764286))+0-6--0.00612000000000096</f>
        <v>598.4889179999999</v>
      </c>
      <c r="K327" s="3">
        <f>1134.8+(295.8-820)+(1.157496+(0.301716-0.8364))+0-6-0.00612000000000096</f>
        <v>605.21669199999985</v>
      </c>
      <c r="L327" s="3">
        <f>1132.4+(318.9-848.8)+(-0.577524+(-0.162639--0.432888))+0-6--0.00305999999999939</f>
        <v>596.19578500000011</v>
      </c>
      <c r="M327" s="3">
        <f>1133.2+(323.4-878.7)+(0+(0-0))+0-6-0</f>
        <v>571.9</v>
      </c>
      <c r="N327" s="3">
        <f>1184.6+(319.8-906.5)+(1.208292+(0.326196-0.92463))+0-6-0.00612000000000096</f>
        <v>592.50373799999988</v>
      </c>
      <c r="O327" s="3">
        <f>1183.7+(269.9-806.5)+(0+(0-0))+0-6-0</f>
        <v>641.1</v>
      </c>
      <c r="P327" s="3">
        <f>1200.5+(204.6-713.3)+(0+(0-0))+0-6-0</f>
        <v>685.80000000000007</v>
      </c>
      <c r="Q327" s="3">
        <f>1228.3+(138.8-666)+(1.879299+(0.212364-1.01898))+0-6-0.00918000000000035</f>
        <v>696.16350299999988</v>
      </c>
      <c r="R327" s="3">
        <f>1211.8+(132.3-656.4)+(-2.472072+(-0.269892--1.339056))+0-6--0.0122399999999997</f>
        <v>680.30933200000004</v>
      </c>
      <c r="S327" s="3">
        <f>1121+(191.9-649.1)+(-0.57171+(-0.097869--0.331041))+0-6--0.00305999999999939</f>
        <v>657.46452199999999</v>
      </c>
      <c r="T327" s="3">
        <f>1124.2+(174.5-641.8)+(0+(0-0))+0-6-0</f>
        <v>650.90000000000009</v>
      </c>
      <c r="U327" s="3">
        <f>1122.6+(193.6-664.7)+(-1.717578+(-0.296208--1.016991))+0-6--0.00918000000000035</f>
        <v>644.51238499999988</v>
      </c>
      <c r="V327" s="3">
        <f>1128.9+(232.8-699)+(-0.575739+(-0.118728--0.35649))+0-6--0.00305999999999939</f>
        <v>656.36508300000003</v>
      </c>
      <c r="W327" s="3">
        <f>1150.2+(253.9-715.2)+(-1.173204+(-0.258978--0.729504))+0-6--0.00612000000000096</f>
        <v>682.203442</v>
      </c>
      <c r="X327" s="3">
        <f>1236.4+(255.2-689.1)+(-0.630564+(-0.130152--0.351441))+0-6--0.00305999999999939</f>
        <v>796.09378500000003</v>
      </c>
      <c r="Y327" s="3">
        <f>1237.1+(227.1-653.3)+(-1.892763+(-0.347463--0.999549))+0-6--0.00918000000000035</f>
        <v>803.66850299999999</v>
      </c>
      <c r="Z327" s="3">
        <f>1240.2+(134.8-574.7)+(-1.265004+(-0.137496--0.586194))+0-6--0.00612000000000096</f>
        <v>793.48981399999991</v>
      </c>
      <c r="AA327" s="3">
        <f>1163.8+(183.3-554.2)+(-2.374152+(-0.373932--1.130568))+0-6--0.0122399999999997</f>
        <v>785.29472399999986</v>
      </c>
      <c r="AB327" s="3">
        <f>1071+(249.5-539.1)+(-0.54621+(-0.127245--0.274941))+0-6--0.00305999999999939</f>
        <v>775.004546</v>
      </c>
      <c r="AC327" s="3">
        <f>1080.4+(233.4-565.6)+(1.102008+(0.238068-0.576912))+0-6-0.00612000000000096</f>
        <v>742.957044</v>
      </c>
      <c r="AD327">
        <v>813.69999999999993</v>
      </c>
      <c r="AE327" s="3">
        <f>1237+(265.6-688.9)+(0+(0-0))+0-5-0</f>
        <v>808.7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1077.1+(178.2-577.2)+(-2.197284+(-0.363528--1.177488))+0-5--0.0101999999999998</f>
        <v>671.72687599999995</v>
      </c>
      <c r="G328" s="3">
        <f>1074.1+(200.1-657.6)+(-1.095582+(-0.204102--0.670752))+0-5--0.0051000000000008</f>
        <v>610.97616799999992</v>
      </c>
      <c r="H328" s="3">
        <f>1067.1+(241.6-729.7)+(-2.176884+(-0.492864--1.488588))+0-5--0.0101999999999998</f>
        <v>572.82903999999996</v>
      </c>
      <c r="I328" s="3">
        <f>1061.3+(261.3-752.9)+(0.541263+(0.133263-0.383979))+0-5-0.00254999999999949</f>
        <v>564.98799699999995</v>
      </c>
      <c r="J328" s="3">
        <f>1041.1+(251.3-726.1)+(-1.592883+(-0.384489--1.110933))+0-5--0.00765000000000029</f>
        <v>560.44121099999995</v>
      </c>
      <c r="K328" s="3">
        <f>1021.5+(254.3-709.6)+(0.520965+(0.129693-0.361896))+0-5-0.00254999999999949</f>
        <v>561.48621200000002</v>
      </c>
      <c r="L328" s="3">
        <f>1062.1+(278.7-761.8)+(0.541671+(0.142137-0.388518))+0-5-0.00254999999999949</f>
        <v>574.29273999999998</v>
      </c>
      <c r="M328" s="3">
        <f>1071.8+(307.7-810.6)+(-1.639854+(-0.470781--1.240218))+0-5--0.00765000000000029</f>
        <v>563.0372329999999</v>
      </c>
      <c r="N328" s="3">
        <f>1115.6+(348.2-877.6)+(-0.568956+(-0.177582--0.447576))+0-5--0.00254999999999949</f>
        <v>580.9035879999999</v>
      </c>
      <c r="O328" s="3">
        <f>1245.1+(280.2-878.5)+(0+(0-0))+0-5-0</f>
        <v>641.79999999999995</v>
      </c>
      <c r="P328" s="3">
        <f>1264.3+(214.4-773.8)+(-1.289586+(-0.218688--0.789276))+0-5--0.0051000000000008</f>
        <v>699.18610199999989</v>
      </c>
      <c r="Q328" s="3">
        <f>1241.2+(165.7-704)+(-1.899036+(-0.253521--1.07712))+0-5--0.00765000000000029</f>
        <v>696.83221300000014</v>
      </c>
      <c r="R328" s="3">
        <f>1132.8+(187.6-634.2)+(-1.733184+(-0.287028--0.970326))+0-5--0.00765000000000029</f>
        <v>680.15776399999993</v>
      </c>
      <c r="S328" s="3">
        <f>1090.8+(225.4-652.5)+(-2.225232+(-0.459816--1.3311))+0-5--0.0101999999999998</f>
        <v>657.35625200000004</v>
      </c>
      <c r="T328" s="3">
        <f>1095.9+(220.6-662.5)+(-0.558909+(-0.112506--0.337875))+0-5--0.00254999999999949</f>
        <v>648.66901000000018</v>
      </c>
      <c r="U328" s="3">
        <f>1096.6+(207.4-648.5)+(0+(0-0))+0-5-0</f>
        <v>650.49999999999989</v>
      </c>
      <c r="V328" s="3">
        <f>1093.9+(220.6-643.2)+(-0.557889+(-0.112506--0.328032))+0-5--0.00254999999999949</f>
        <v>665.96018700000013</v>
      </c>
      <c r="W328" s="3">
        <f>1099.8+(240.7-641.6)+(0+(0-0))+0-5-0</f>
        <v>693.89999999999986</v>
      </c>
      <c r="X328" s="3">
        <f>1103+(350-612.1)+(-1.12506+(-0.357--0.624342))+0-5--0.0051000000000008</f>
        <v>835.04738199999997</v>
      </c>
      <c r="Y328" s="3">
        <f>1097.9+(385.4-622)+(-0.559929+(-0.196554--0.31722))+0-5--0.00254999999999949</f>
        <v>855.86328700000013</v>
      </c>
      <c r="Z328" s="3">
        <f>1094+(372.5-625.9)+(-1.11588+(-0.37995--0.638418))+0-5--0.0051000000000008</f>
        <v>834.74768800000004</v>
      </c>
      <c r="AA328" s="3">
        <f>1072.4+(391-637.1)+(0+(0-0))+0-5-0</f>
        <v>821.30000000000007</v>
      </c>
      <c r="AB328" s="3">
        <f>1043.4+(420.6-636.2)+(-0.532134+(-0.214506--0.324462))+0-5--0.00254999999999949</f>
        <v>822.38037200000008</v>
      </c>
      <c r="AC328" s="3">
        <f>1040.8+(356.8-626.9)+(-2.65404+(-0.90984--1.598595))+0-5--0.0127499999999993</f>
        <v>763.74746500000003</v>
      </c>
      <c r="AD328">
        <v>857.8</v>
      </c>
      <c r="AE328" s="3">
        <f>1099+(398.6-639.8)+(0+(0-0))+0-5-0</f>
        <v>852.80000000000007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1041.5+(259.1-612.9)+(-1.593495+(-0.396423--0.937737))+0-5--0.00765000000000029</f>
        <v>681.65546900000004</v>
      </c>
      <c r="G329" s="3">
        <f>1029.1+(231.9-624.6)+(-1.574523+(-0.354807--0.955638))+0-5--0.00765000000000029</f>
        <v>630.43395799999985</v>
      </c>
      <c r="H329" s="3">
        <f>927.5+(270.9-598.1)+(-1.8921+(-0.552636--1.220124))+0-5--0.0101999999999998</f>
        <v>594.08558800000003</v>
      </c>
      <c r="I329" s="3">
        <f>917.5+(272.5-599.5)+(-0.467925+(-0.138975--0.305745))+0-5--0.00254999999999949</f>
        <v>585.20139500000005</v>
      </c>
      <c r="J329" s="3">
        <f>934.1+(274.5-623.3)+(1.429173+(0.419985-0.953649))+0-5-0.00765000000000029</f>
        <v>581.187859</v>
      </c>
      <c r="K329" s="3">
        <f>986.1+(252.2-643.9)+(0.502911+(0.128622-0.328389))+0-5-0.00254999999999949</f>
        <v>589.70059400000002</v>
      </c>
      <c r="L329" s="3">
        <f>1094.7+(286-759.5)+(0.558297+(0.14586-0.387345))+0-5-0.00254999999999949</f>
        <v>616.51426200000003</v>
      </c>
      <c r="M329" s="3">
        <f>1141.9+(275.6-812.8)+(0+(0-0))+0-5-0</f>
        <v>599.70000000000016</v>
      </c>
      <c r="N329" s="3">
        <f>1231.9+(260.9-807.9)+(1.256538+(0.266118-0.824058))+0-5-0.0051000000000008</f>
        <v>680.59349800000007</v>
      </c>
      <c r="O329" s="3">
        <f>1245+(209.6-713.8)+(0.63495+(0.106896-0.364038))+0-5-0.00254999999999949</f>
        <v>736.17525799999999</v>
      </c>
      <c r="P329" s="3">
        <f>1257+(141.9-636.9)+(0.64107+(0.072369-0.324819))+0-5-0.00254999999999949</f>
        <v>757.3860699999999</v>
      </c>
      <c r="Q329" s="3">
        <f>1250.7+(115.3-602.2)+(-1.275714+(-0.117606--0.614244))+0-4--0.00408000000000064</f>
        <v>759.02500399999997</v>
      </c>
      <c r="R329" s="3">
        <f>1198.7+(153.7-613.4)+(-3.056685+(-0.391935--1.56417))+0-5--0.0127499999999993</f>
        <v>732.12829999999997</v>
      </c>
      <c r="S329" s="3">
        <f>1204.9+(176.8-644)+(-1.228998+(-0.180336--0.65688))+0-5--0.0051000000000008</f>
        <v>731.95264600000007</v>
      </c>
      <c r="T329" s="3">
        <f>1206.9+(204.1-669.2)+(-1.846557+(-0.312273--1.023876))+0-4--0.00612000000000023</f>
        <v>736.67116600000008</v>
      </c>
      <c r="U329" s="3">
        <f>1186.7+(175.2-651.9)+(-0.605217+(-0.089352--0.332469))+0-4--0.00203999999999959</f>
        <v>705.63993999999991</v>
      </c>
      <c r="V329" s="3">
        <f>1183.7+(187.3-657.5)+(0.603687+(0.095523-0.335325))+0-4-0.00203999999999959</f>
        <v>709.86184500000002</v>
      </c>
      <c r="W329" s="3">
        <f>1195.9+(196.6-670.2)+(0+(0-0))+0-5-0</f>
        <v>717.30000000000007</v>
      </c>
      <c r="X329" s="3">
        <f>1256.9+(211.7-601.8)+(-0.641019+(-0.107967--0.306918))+0-5--0.00254999999999949</f>
        <v>861.36048200000027</v>
      </c>
      <c r="Y329" s="3">
        <f>1257.4+(269-647.7)+(0+(0-0))+0-5-0</f>
        <v>873.7</v>
      </c>
      <c r="Z329" s="3">
        <f>1258.6+(344.5-746.5)+(-3.20943+(-0.878475--1.903575))+0-6--0.0152999999999991</f>
        <v>848.43096999999989</v>
      </c>
      <c r="AA329" s="3">
        <f>1185.9+(380.9-730.7)+(0+(0-0))+0-6-0</f>
        <v>830.1</v>
      </c>
      <c r="AB329" s="3">
        <f>1170.4+(413.8-768.9)+(-2.98452+(-1.05519--1.960695))+0-5--0.0127499999999993</f>
        <v>808.23373500000014</v>
      </c>
      <c r="AC329" s="3">
        <f>1134.6+(368.3-731.6)+(-2.89323+(-0.939165--1.86558))+0-4--0.0101999999999994</f>
        <v>765.34338500000001</v>
      </c>
      <c r="AD329">
        <v>890.2</v>
      </c>
      <c r="AE329" s="3">
        <f>1255+(212-576.8)+(0+(0-0))+0-6-0</f>
        <v>884.2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1123.2+(222.6-654.5)+(-1.145664+(-0.227052--0.66759))+0-5--0.0051000000000008</f>
        <v>685.59997400000009</v>
      </c>
      <c r="G330" s="3">
        <f>1026.8+(251.6-641.6)+(2.094672+(0.513264-1.308864))+0-5-0.0101999999999998</f>
        <v>633.08887199999992</v>
      </c>
      <c r="H330" s="3">
        <f>970.5+(279.6-628.3)+(1.484865+(0.427788-0.961299))+0-5-0.00765000000000029</f>
        <v>617.74370400000009</v>
      </c>
      <c r="I330" s="3">
        <f>960.3+(295.7-641.3)+(-1.959012+(-0.603228--1.308252))+0-5--0.0101999999999998</f>
        <v>608.45621200000005</v>
      </c>
      <c r="J330" s="3">
        <f>970.2+(304.8-662.8)+(0.989604+(0.310896-0.676056))+0-5-0.0051000000000008</f>
        <v>607.81934400000011</v>
      </c>
      <c r="K330" s="3">
        <f>967.4+(322.1-670.8)+(0+(0-0))+0-5-0</f>
        <v>613.70000000000005</v>
      </c>
      <c r="L330" s="3">
        <f>980.6+(337-679.7)+(0.500106+(0.17187-0.346647))+0-5-0.00254999999999949</f>
        <v>633.22277899999995</v>
      </c>
      <c r="M330" s="3">
        <f>1079.2+(247.7-675.2)+(-1.100784+(-0.252654--0.688704))+0-5--0.0051000000000008</f>
        <v>646.04036600000006</v>
      </c>
      <c r="N330" s="3">
        <f>1255.2+(79.7-633.8)+(-0.640152+(-0.040647--0.323238))+0-5--0.00254999999999949</f>
        <v>695.74498900000015</v>
      </c>
      <c r="O330" s="3">
        <f>1248.9+(66.5-575)+(-0.636939+(-0.033915--0.29325))+0-5--0.00254999999999949</f>
        <v>735.02494600000011</v>
      </c>
      <c r="P330" s="3">
        <f>1213.4+(63.6-506.2)+(-1.856502+(-0.097308--0.774486))+0-5--0.00765000000000029</f>
        <v>764.62832600000024</v>
      </c>
      <c r="Q330" s="3">
        <f>1236.2+(60.3-522.7)+(-0.630462+(-0.030753--0.266577))+0-5--0.00254999999999949</f>
        <v>768.40791200000001</v>
      </c>
      <c r="R330" s="3">
        <f>1122.5+(60.3-438.2)+(-1.717425+(-0.092259--0.670446))+0-5--0.00765000000000029</f>
        <v>738.46841200000006</v>
      </c>
      <c r="S330" s="3">
        <f>1022.4+(99.9-398.4)+(0+(0-0))+0-5-0</f>
        <v>718.9</v>
      </c>
      <c r="T330" s="3">
        <f>1013.7+(106.1-397.8)+(-0.516987+(-0.054111--0.202878))+0-5--0.00254999999999949</f>
        <v>716.63433000000009</v>
      </c>
      <c r="U330" s="3">
        <f>1020.7+(105.9-407.5)+(-0.520557+(-0.054009--0.207825))+0-5--0.00254999999999949</f>
        <v>713.73580900000002</v>
      </c>
      <c r="V330" s="3">
        <f>1126.3+(106.1-497.2)+(1.148826+(0.108222-0.507144))+0-5-0.0051000000000008</f>
        <v>730.94480399999998</v>
      </c>
      <c r="W330" s="3">
        <f>1161.1+(83.9-499.9)+(-0.592161+(-0.042789--0.254949))+0-5--0.00254999999999949</f>
        <v>739.72254899999996</v>
      </c>
      <c r="X330" s="3">
        <f>1190.5+(77.2-400.9)+(-0.607155+(-0.039372--0.204459))+0-5--0.00254999999999949</f>
        <v>861.36048200000005</v>
      </c>
      <c r="Y330" s="3">
        <f>1221.5+(82.9-404.6)+(-2.49186+(-0.169116--0.825384))+0-5--0.0101999999999998</f>
        <v>892.97460799999999</v>
      </c>
      <c r="Z330" s="3">
        <f>1163.3+(191.7-589.8)+(-0.593283+(-0.097767--0.300798))+0-5--0.00254999999999949</f>
        <v>759.81229800000006</v>
      </c>
      <c r="AA330" s="3">
        <f>1115.2+(358.7-704.8)+(2.275008+(0.731748-1.437792))+0-5-0.0101999999999998</f>
        <v>765.65876400000013</v>
      </c>
      <c r="AB330" s="3">
        <f>1091.5+(413.7-709)+(-1.11333+(-0.421974--0.72318))+0-5--0.0051000000000008</f>
        <v>790.39297599999998</v>
      </c>
      <c r="AC330" s="3">
        <f>1104.8+(335-653.7)+(-2.253792+(-0.6834--1.333548))+0-5--0.0101999999999998</f>
        <v>779.50655599999993</v>
      </c>
      <c r="AD330">
        <v>893.99999999999989</v>
      </c>
      <c r="AE330" s="3">
        <f>1224+(63.6-393.6)+(0+(0-0))+0-4-0</f>
        <v>890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1104.9+(227-638)+(-1.690497+(-0.34731--0.97614))+0-5--0.00765000000000029</f>
        <v>687.84598300000016</v>
      </c>
      <c r="G331" s="3">
        <f>1105.1+(223.1-687)+(-1.127202+(-0.227562--0.70074))+0-5--0.0051000000000008</f>
        <v>635.55107599999985</v>
      </c>
      <c r="H331" s="3">
        <f>1084.3+(232.8-693.3)+(0.552993+(0.118728-0.353583))+0-5-0.00254999999999949</f>
        <v>619.11558799999989</v>
      </c>
      <c r="I331" s="3">
        <f>1042.8+(263.5-682.3)+(0+(0-0))+0-5-0</f>
        <v>619</v>
      </c>
      <c r="J331" s="3">
        <f>1044.9+(264.9-688.7)+(0.532899+(0.135099-0.351237))+0-5-0.00254999999999949</f>
        <v>616.41421100000002</v>
      </c>
      <c r="K331" s="3">
        <f>1100.1+(267.4-737.5)+(2.805255+(0.68187-1.880625))+0-5-0.0127499999999993</f>
        <v>626.59374999999989</v>
      </c>
      <c r="L331" s="3">
        <f>1121.1+(274.5-744.7)+(-0.571761+(-0.139995--0.379797))+0-5--0.00254999999999949</f>
        <v>645.57059099999992</v>
      </c>
      <c r="M331" s="3">
        <f>1188.3+(256-787.3)+(0+(0-0))+0-5-0</f>
        <v>652</v>
      </c>
      <c r="N331" s="3">
        <f>1117.2+(234.8-653.6)+(0+(0-0))+0-5-0</f>
        <v>693.40000000000009</v>
      </c>
      <c r="O331" s="3">
        <f>1097.9+(248.7-613.5)+(0.559929+(0.126837-0.312885))+0-5-0.00254999999999949</f>
        <v>728.47133100000008</v>
      </c>
      <c r="P331" s="3">
        <f>1143.1+(237.5-632)+(-1.165962+(-0.24225--0.64464))+0-5--0.0051000000000008</f>
        <v>742.84152799999993</v>
      </c>
      <c r="Q331" s="3">
        <f>1238.6+(158.9-636.5)+(-1.895058+(-0.243117--0.973845))+0-5--0.00765000000000029</f>
        <v>754.84331999999995</v>
      </c>
      <c r="R331" s="3">
        <f>1229.3+(148.7-640.8)+(-1.253886+(-0.151674--0.653616))+0-5--0.0051000000000008</f>
        <v>731.45315600000004</v>
      </c>
      <c r="S331" s="3">
        <f>1218.2+(144.7-649.8)+(1.863846+(0.221391-0.994194))+0-5-0.00765000000000029</f>
        <v>709.18339300000014</v>
      </c>
      <c r="T331" s="3">
        <f>1235.4+(123.7-641)+(-1.260108+(-0.126174--0.65382))+0-5--0.0051000000000008</f>
        <v>712.37263800000005</v>
      </c>
      <c r="U331" s="3">
        <f>1237.1+(116.6-641.7)+(0.630921+(0.059466-0.327267))+0-5-0.00254999999999949</f>
        <v>707.36056999999983</v>
      </c>
      <c r="V331" s="3">
        <f>1244.9+(115-632.7)+(0.634899+(0.05865-0.322677))+0-4-0.00203999999999959</f>
        <v>723.56883200000004</v>
      </c>
      <c r="W331" s="3">
        <f>1243.7+(131.5-624)+(0.634287+(0.067065-0.31824))+0-4-0.00203999999999959</f>
        <v>747.58107200000006</v>
      </c>
      <c r="X331" s="3">
        <f>1243.4+(321.6-678.8)+(0+(0-0))+0-4-0</f>
        <v>882.20000000000016</v>
      </c>
      <c r="Y331" s="3">
        <f>1232.7+(377.9-707.6)+(-3.143385+(-0.963645--1.80438))+0-4--0.0101999999999994</f>
        <v>896.70755000000008</v>
      </c>
      <c r="Z331" s="3">
        <f>1233.9+(425.5-791.4)+(-0.629289+(-0.217005--0.403614))+0-4--0.00203999999999959</f>
        <v>863.55936000000008</v>
      </c>
      <c r="AA331" s="3">
        <f>1182.9+(429.4-750.9)+(-1.809837+(-0.656982--1.148877))+0-4--0.00612000000000023</f>
        <v>856.08817800000008</v>
      </c>
      <c r="AB331" s="3">
        <f>1132.2+(513.2-817.1)+(-0.577422+(-0.261732--0.416721))+0-4--0.00203999999999959</f>
        <v>823.87960700000008</v>
      </c>
      <c r="AC331" s="3">
        <f>1121.9+(326.6-679.5)+(-2.860845+(-0.83283--1.732725))+0-4--0.0101999999999994</f>
        <v>763.04925000000014</v>
      </c>
      <c r="AD331">
        <v>901.2</v>
      </c>
      <c r="AE331" s="3">
        <f>1238+(364.9-701.7)+(0+(0-0))+0-4-0</f>
        <v>897.19999999999993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1088+(225.5-618.6)+(-2.21952+(-0.46002--1.261944))+0-5--0.0101999999999998</f>
        <v>688.49260400000003</v>
      </c>
      <c r="G332" s="3">
        <f>1073.1+(186.4-659.3)+(0+(0-0))+0-5-0</f>
        <v>595.19999999999993</v>
      </c>
      <c r="H332" s="3">
        <f>1071.5+(230-721.5)+(-0.546465+(-0.1173--0.367965))+0-5--0.00254999999999949</f>
        <v>574.70675000000006</v>
      </c>
      <c r="I332" s="3">
        <f>1071.5+(242.8-742.4)+(1.09293+(0.247656-0.757248))+0-5-0.0051000000000008</f>
        <v>567.47823800000015</v>
      </c>
      <c r="J332" s="3">
        <f>1068.3+(238.1-738.2)+(-1.089666+(-0.242862--0.752964))+0-5--0.0051000000000008</f>
        <v>562.6255359999999</v>
      </c>
      <c r="K332" s="3">
        <f>1163.3+(250.7-839)+(0.593283+(0.127857-0.42789))+0-5-0.00254999999999949</f>
        <v>570.2906999999999</v>
      </c>
      <c r="L332" s="3">
        <f>1171.9+(280.8-818.7)+(0+(0-0))+0-5-0</f>
        <v>629</v>
      </c>
      <c r="M332" s="3">
        <f>1173.5+(261.3-782.7)+(0.598485+(0.133263-0.399177))+0-5-0.00254999999999949</f>
        <v>647.4300209999999</v>
      </c>
      <c r="N332" s="3">
        <f>1172.6+(237.8-711.9)+(1.794078+(0.363834-1.089207))+0-5-0.00765000000000029</f>
        <v>694.56105500000001</v>
      </c>
      <c r="O332" s="3">
        <f>1166.6+(179-601.6)+(1.784898+(0.27387-0.920448))+0-5-0.00765000000000029</f>
        <v>740.1306699999999</v>
      </c>
      <c r="P332" s="3">
        <f>1093.3+(248.7-577.2)+(2.230332+(0.507348-1.177488))+0-5-0.0101999999999998</f>
        <v>761.34999199999993</v>
      </c>
      <c r="Q332" s="3">
        <f>1081.8+(283.9-592.3)+(-1.103436+(-0.289578--0.604146))+0-5--0.0051000000000008</f>
        <v>767.61623199999997</v>
      </c>
      <c r="R332" s="3">
        <f>1148+(197.3-603.9)+(-2.9274+(-0.503115--1.539945))+0-5--0.0127499999999993</f>
        <v>734.52218000000005</v>
      </c>
      <c r="S332" s="3">
        <f>1232.9+(161.9-650.3)+(0.628779+(0.082569-0.331653))+0-5-0.00254999999999949</f>
        <v>739.87714500000004</v>
      </c>
      <c r="T332" s="3">
        <f>1229.8+(156.7-654.7)+(0+(0-0))+0-5-0</f>
        <v>726.8</v>
      </c>
      <c r="U332" s="3">
        <f>1234.1+(143.2-634.9)+(1.258782+(0.146064-0.647598))+0-5-0.0051000000000008</f>
        <v>738.1521479999999</v>
      </c>
      <c r="V332" s="3">
        <f>1225.9+(166.5-628.4)+(-1.250418+(-0.16983--0.640968))+0-5--0.0051000000000008</f>
        <v>758.22582000000011</v>
      </c>
      <c r="W332" s="3">
        <f>1240.6+(166.3-612.7)+(-1.265412+(-0.169626--0.624954))+0-5--0.0051000000000008</f>
        <v>788.39501599999983</v>
      </c>
      <c r="X332" s="3">
        <f>1248+(237.6-605.3)+(-1.90944+(-0.363528--0.926109))+0-5--0.00765000000000029</f>
        <v>873.96079100000009</v>
      </c>
      <c r="Y332" s="3">
        <f>1241.4+(260.7-620.9)+(-2.532456+(-0.531828--1.266636))+0-5--0.0101999999999998</f>
        <v>874.41255200000012</v>
      </c>
      <c r="Z332" s="3">
        <f>1243.8+(256.7-638)+(-1.903014+(-0.392751--0.97614))+0-5--0.00765000000000029</f>
        <v>856.18802500000004</v>
      </c>
      <c r="AA332" s="3">
        <f>1238.3+(213-604.2)+(-1.894599+(-0.32589--0.924426))+0-5--0.00765000000000029</f>
        <v>840.81158699999992</v>
      </c>
      <c r="AB332" s="3">
        <f>1237.1+(236.2-642.5)+(-1.261842+(-0.240924--0.65535))+0-5--0.0051000000000008</f>
        <v>824.95768399999997</v>
      </c>
      <c r="AC332" s="3">
        <f>1237.1+(238.1-676.5)+(-1.261842+(-0.242862--0.69003))+0-5--0.0051000000000008</f>
        <v>792.89042599999993</v>
      </c>
      <c r="AD332">
        <v>879.6</v>
      </c>
      <c r="AE332" s="3">
        <f>1244+(261.2-625.6)+(0+(0-0))+0-5-0</f>
        <v>874.59999999999991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1230.5+(138.3-640.9)+(-3.137775+(-0.352665--1.634295))+0-4--0.0101999999999994</f>
        <v>722.05405500000018</v>
      </c>
      <c r="G333" s="3">
        <f>1165.8+(179.2-675.9)+(-1.783674+(-0.274176--1.034127))+0-4--0.00612000000000023</f>
        <v>664.0823969999999</v>
      </c>
      <c r="H333" s="3">
        <f>1096.8+(215.7-673.4)+(-1.678104+(-0.330021--1.030302))+0-4--0.00612000000000023</f>
        <v>634.12829699999998</v>
      </c>
      <c r="I333" s="3">
        <f>1090.2+(227.3-680.4)+(-2.224008+(-0.463692--1.388016))+0-4--0.00815999999999983</f>
        <v>631.80847600000016</v>
      </c>
      <c r="J333" s="3">
        <f>1100.9+(224.6-689.8)+(1.122918+(0.229092-0.703596))+0-4-0.00408000000000064</f>
        <v>632.34433400000012</v>
      </c>
      <c r="K333" s="3">
        <f>1181.7+(254.6-792.2)+(0.602667+(0.129846-0.404022))+0-4-0.00203999999999959</f>
        <v>640.42645100000004</v>
      </c>
      <c r="L333" s="3">
        <f>1177.2+(246.1-794.3)+(-0.600372+(-0.125511--0.405093))+0-4--0.00203999999999959</f>
        <v>624.68125000000009</v>
      </c>
      <c r="M333" s="3">
        <f>1205.1+(229.3-805.5)+(0+(0-0))+0-4-0</f>
        <v>624.89999999999986</v>
      </c>
      <c r="N333" s="3">
        <f>1222.2+(131-683.6)+(0.623322+(0.06681-0.348636))+0-4-0.00203999999999959</f>
        <v>665.93945600000006</v>
      </c>
      <c r="O333" s="3">
        <f>1219.5+(172.7-658.2)+(-0.621945+(-0.088077--0.335682))+0-4--0.00203999999999959</f>
        <v>729.6277</v>
      </c>
      <c r="P333" s="3">
        <f>1221.6+(281.9-720.4)+(0+(0-0))+0-4-0</f>
        <v>779.09999999999991</v>
      </c>
      <c r="Q333" s="3">
        <f>1218.5+(321.6-749.8)+(-1.24287+(-0.328032--0.764796))+0-4--0.00408000000000064</f>
        <v>785.49797400000011</v>
      </c>
      <c r="R333" s="3">
        <f>1217.4+(259.6-715.9)+(-2.483496+(-0.529584--1.460436))+0-4--0.00815999999999983</f>
        <v>755.55551600000013</v>
      </c>
      <c r="S333" s="3">
        <f>1219.4+(167-666.1)+(-2.487576+(-0.34068--1.358844))+0-4--0.00815999999999983</f>
        <v>714.83874800000001</v>
      </c>
      <c r="T333" s="3">
        <f>1221.8+(138.9-657.6)+(-1.246236+(-0.141678--0.670752))+0-4--0.00408000000000064</f>
        <v>698.38691799999992</v>
      </c>
      <c r="U333" s="3">
        <f>1219.8+(115.7-633.4)+(-2.488392+(-0.236028--1.292136))+0-4--0.00815999999999983</f>
        <v>696.67587600000002</v>
      </c>
      <c r="V333" s="3">
        <f>1227.8+(120.8-624.5)+(-0.626178+(-0.061608--0.318495))+0-4--0.00203999999999959</f>
        <v>719.7327489999999</v>
      </c>
      <c r="W333" s="3">
        <f>1229+(150.1-628.5)+(-1.88037+(-0.229653--0.961605))+0-4--0.00612000000000023</f>
        <v>745.45770200000004</v>
      </c>
      <c r="X333" s="3">
        <f>1232+(237.4-635.4)+(-1.25664+(-0.242148--0.648108))+0-4--0.00408000000000064</f>
        <v>829.15340000000003</v>
      </c>
      <c r="Y333" s="3">
        <f>1137.8+(386.2-674.2)+(-1.160556+(-0.393924--0.687684))+0-4--0.00408000000000064</f>
        <v>844.93728399999998</v>
      </c>
      <c r="Z333" s="3">
        <f>1123.5+(411.8-706.7)+(-1.718955+(-0.630054--1.081251))+0-4--0.00612000000000023</f>
        <v>823.33836199999996</v>
      </c>
      <c r="AA333" s="3">
        <f>1166.4+(330.7-667.9)+(-1.189728+(-0.337314--0.681258))+0-4--0.00408000000000064</f>
        <v>824.35829600000011</v>
      </c>
      <c r="AB333" s="3">
        <f>1151.7+(338.7-684.2)+(-1.762101+(-0.518211--1.046826))+0-4--0.00612000000000023</f>
        <v>800.97263400000008</v>
      </c>
      <c r="AC333" s="3">
        <f>1072+(380.5-689.5)+(0+(0-0))+0-4-0</f>
        <v>759</v>
      </c>
      <c r="AD333">
        <v>852.09999999999991</v>
      </c>
      <c r="AE333" s="3">
        <f>1229+(287.1-664)+(0+(0-0))+0-5-0</f>
        <v>847.1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1052.1+(244.6-603.9)+(-1.073142+(-0.249492--0.615978))+0-4--0.00408000000000064</f>
        <v>688.09742400000005</v>
      </c>
      <c r="G334" s="3">
        <f>1053.2+(185.1-607.6)+(-0.537132+(-0.094401--0.309876))+0-4--0.00203999999999959</f>
        <v>626.38038300000005</v>
      </c>
      <c r="H334" s="3">
        <f>1178.6+(158.2-733.9)+(0+(0-0))+0-4-0</f>
        <v>598.89999999999986</v>
      </c>
      <c r="I334" s="3">
        <f>1170.4+(186.8-756.2)+(-1.193808+(-0.190536--0.771324))+0-4--0.00408000000000064</f>
        <v>596.39106000000004</v>
      </c>
      <c r="J334" s="3">
        <f>1145.7+(181.3-733.5)+(2.921535+(0.462315-1.870425))+0-4-0.0101999999999994</f>
        <v>591.00322499999993</v>
      </c>
      <c r="K334" s="3">
        <f>1144.9+(158.1-712.1)+(0.583899+(0.080631-0.363171))+0-4-0.00203999999999959</f>
        <v>587.19931900000017</v>
      </c>
      <c r="L334" s="3">
        <f>1133.7+(175.6-710.3)+(-1.156374+(-0.179112--0.724506))+0-4--0.00408000000000064</f>
        <v>594.39310000000012</v>
      </c>
      <c r="M334" s="3">
        <f>1135.3+(194.8-751.5)+(0.579003+(0.099348-0.383265))+0-4-0.00203999999999959</f>
        <v>574.89304599999991</v>
      </c>
      <c r="N334" s="3">
        <f>1127.4+(218.9-744)+(0+(0-0))+0-4-0</f>
        <v>598.30000000000007</v>
      </c>
      <c r="O334" s="3">
        <f>1074.2+(234.5-669.6)+(-0.547842+(-0.119595--0.341496))+0-4--0.00203999999999959</f>
        <v>634.77609900000004</v>
      </c>
      <c r="P334" s="3">
        <f>1125.9+(193-627.8)+(-0.574209+(-0.09843--0.320178))+0-4--0.00203999999999959</f>
        <v>686.74957900000015</v>
      </c>
      <c r="Q334" s="3">
        <f>1123.7+(230.7-657.2)+(-2.292348+(-0.470628--1.340688))+0-4--0.00815999999999983</f>
        <v>691.78587200000004</v>
      </c>
      <c r="R334" s="3">
        <f>1124.9+(245.3-691.5)+(-1.721097+(-0.375309--1.057995))+0-4--0.00612000000000023</f>
        <v>673.66770900000006</v>
      </c>
      <c r="S334" s="3">
        <f>1117.9+(203.9-663.3)+(-1.710387+(-0.311967--1.014849))+0-4--0.00612000000000023</f>
        <v>653.49861500000009</v>
      </c>
      <c r="T334" s="3">
        <f>1094.5+(230-680.1)+(-2.23278+(-0.4692--1.387404))+0-4--0.00815999999999983</f>
        <v>639.09358399999996</v>
      </c>
      <c r="U334" s="3">
        <f>1099.4+(201-666.5)+(-0.560694+(-0.10251--0.339915))+0-4--0.00203999999999959</f>
        <v>629.57875100000001</v>
      </c>
      <c r="V334" s="3">
        <f>1097.3+(197.8-644.3)+(-0.559623+(-0.100878--0.328593))+0-4--0.00203999999999959</f>
        <v>646.47013199999992</v>
      </c>
      <c r="W334" s="3">
        <f>1096.6+(193.4-632.8)+(-1.118532+(-0.197268--0.645456))+0-4--0.00408000000000064</f>
        <v>652.53373599999998</v>
      </c>
      <c r="X334" s="3">
        <f>1202.7+(198.9-613.8)+(0+(0-0))+0-4-0</f>
        <v>783.80000000000007</v>
      </c>
      <c r="Y334" s="3">
        <f>1227.5+(227.6-625.7)+(0.626025+(0.116076-0.319107))+0-4-0.00203999999999959</f>
        <v>825.82095400000003</v>
      </c>
      <c r="Z334" s="3">
        <f>1223.4+(227.2-629.9)+(-1.247868+(-0.231744--0.642498))+0-4--0.00408000000000064</f>
        <v>815.86696600000005</v>
      </c>
      <c r="AA334" s="3">
        <f>1194.1+(247.9-628.7)+(-3.044955+(-0.632145--1.603185))+0-4--0.0101999999999994</f>
        <v>807.23628499999984</v>
      </c>
      <c r="AB334" s="3">
        <f>1103.1+(342.6-659.2)+(-1.125162+(-0.349452--0.672384))+0-4--0.00408000000000064</f>
        <v>781.70184999999992</v>
      </c>
      <c r="AC334" s="3">
        <f>1031+(306.9-611.4)+(-2.10324+(-0.626076--1.247256))+0-4--0.00815999999999983</f>
        <v>721.02609999999993</v>
      </c>
      <c r="AD334">
        <v>831.2</v>
      </c>
      <c r="AE334" s="3">
        <f>1231+(223.4-623.2)+(0+(0-0))+0-4-0</f>
        <v>827.19999999999993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1026.2+(253.5-616.3)+(-2.61681+(-0.646425--1.571565))+0-5--0.0127499999999993</f>
        <v>656.72108000000003</v>
      </c>
      <c r="G335" s="3">
        <f>1023.9+(229.2-628.7)+(-2.610945+(-0.58446--1.603185))+0-5--0.0127499999999993</f>
        <v>617.82052999999985</v>
      </c>
      <c r="H335" s="3">
        <f>1026.9+(236-661.9)+(-2.094876+(-0.48144--1.350276))+0-5--0.0101999999999998</f>
        <v>594.78416000000016</v>
      </c>
      <c r="I335" s="3">
        <f>993.8+(211.3-611.4)+(-2.027352+(-0.431052--1.247256))+0-5--0.0101999999999998</f>
        <v>587.49905200000012</v>
      </c>
      <c r="J335" s="3">
        <f>990.2+(211.1-606.3)+(0.505002+(0.107661-0.309213))+0-5-0.00254999999999949</f>
        <v>590.30090000000007</v>
      </c>
      <c r="K335" s="3">
        <f>1017.2+(200.9-612.1)+(2.075088+(0.409836-1.248684))+0-5-0.0101999999999998</f>
        <v>602.2260399999999</v>
      </c>
      <c r="L335" s="3">
        <f>1032.5+(243.9-650.8)+(-2.632875+(-0.621945--1.65954))+0-5--0.0127499999999993</f>
        <v>619.01747</v>
      </c>
      <c r="M335" s="3">
        <f>1103.6+(196.7-649.4)+(1.125672+(0.200634-0.662388))+0-5-0.0051000000000008</f>
        <v>646.55881799999986</v>
      </c>
      <c r="N335" s="3">
        <f>1222.6+(173.8-705.4)+(0+(0-0))+0-5-0</f>
        <v>686</v>
      </c>
      <c r="O335" s="3">
        <f>1198.4+(213.4-674.7)+(-0.611184+(-0.108834--0.344097))+0-5--0.00254999999999949</f>
        <v>731.72662900000012</v>
      </c>
      <c r="P335" s="3">
        <f>1248.9+(250.5-715.1)+(-3.184695+(-0.638775--1.823505))+0-5--0.0127499999999993</f>
        <v>777.31278500000008</v>
      </c>
      <c r="Q335" s="3">
        <f>1232.3+(257.2-697.4)+(1.256946+(0.262344-0.711348))+0-5-0.0051000000000008</f>
        <v>787.90284199999996</v>
      </c>
      <c r="R335" s="3">
        <f>1202.3+(216.5-656.3)+(-3.065865+(-0.552075--1.673565))+0-5--0.0127499999999993</f>
        <v>755.56837499999995</v>
      </c>
      <c r="S335" s="3">
        <f>1203.5+(203.1-656.5)+(-3.068925+(-0.517905--1.674075))+0-5--0.0127499999999993</f>
        <v>743.19999500000006</v>
      </c>
      <c r="T335" s="3">
        <f>1160+(240.2-656.4)+(-0.5916+(-0.122502--0.334764))+0-5--0.00254999999999949</f>
        <v>738.42321200000004</v>
      </c>
      <c r="U335" s="3">
        <f>1149.4+(255-673.4)+(0+(0-0))+0-5-0</f>
        <v>726.00000000000011</v>
      </c>
      <c r="V335" s="3">
        <f>1153.4+(244.5-641.3)+(-1.176468+(-0.24939--0.654126))+0-5--0.0051000000000008</f>
        <v>750.83336800000006</v>
      </c>
      <c r="W335" s="3">
        <f>1159.9+(261.7-647.7)+(0.591549+(0.133467-0.330327))+0-5-0.00254999999999949</f>
        <v>769.29213900000002</v>
      </c>
      <c r="X335" s="3">
        <f>1219.2+(252.7-589)+(-0.621792+(-0.128877--0.30039))+0-5--0.00254999999999949</f>
        <v>877.45227100000011</v>
      </c>
      <c r="Y335" s="3">
        <f>1231.3+(289.2-623.8)+(-0.627963+(-0.147492--0.318138))+0-5--0.00254999999999949</f>
        <v>891.2452330000001</v>
      </c>
      <c r="Z335" s="3">
        <f>1119.6+(438.5-688.3)+(-2.283984+(-0.89454--1.404132))+0-5--0.0101999999999998</f>
        <v>863.03580799999997</v>
      </c>
      <c r="AA335" s="3">
        <f>1118.3+(358.6-630.2)+(0.570333+(0.182886-0.321402))+0-5-0.00254999999999949</f>
        <v>842.12926699999991</v>
      </c>
      <c r="AB335" s="3">
        <f>1111.7+(340.3-629)+(-2.267868+(-0.694212--1.28316))+0-5--0.0101999999999998</f>
        <v>816.33128000000011</v>
      </c>
      <c r="AC335" s="3">
        <f>1105.8+(271.3-598.2)+(-2.81979+(-0.691815--1.52541))+0-5--0.0127499999999993</f>
        <v>771.92655499999989</v>
      </c>
      <c r="AD335">
        <v>906.69999999999993</v>
      </c>
      <c r="AE335" s="3">
        <f>1239+(248.3-580.6)+(0+(0-0))+0-0-0</f>
        <v>906.7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1088.4+(194.8-595.3)+(-1.665252+(-0.298044--0.910809))+0-5--0.00765000000000029</f>
        <v>681.85516300000006</v>
      </c>
      <c r="G336" s="3">
        <f>1016.4+(215.3-597.4)+(-2.073456+(-0.439212--1.218696))+0-5--0.0101999999999998</f>
        <v>628.01622799999996</v>
      </c>
      <c r="H336" s="3">
        <f>920+(302.6-610.2)+(0.9384+(0.308652-0.622404))+0-5-0.0051000000000008</f>
        <v>608.01954799999999</v>
      </c>
      <c r="I336" s="3">
        <f>910.3+(291.7-591.8)+(-1.392759+(-0.446301--0.905454))+0-5--0.00765000000000029</f>
        <v>604.274044</v>
      </c>
      <c r="J336" s="3">
        <f>915.7+(308.9-612.6)+(-0.467007+(-0.157539--0.312426))+0-5--0.00254999999999949</f>
        <v>606.69042999999999</v>
      </c>
      <c r="K336" s="3">
        <f>957.4+(266.9-603.5)+(0.976548+(0.272238-0.61557))+0-5-0.0051000000000008</f>
        <v>616.42811599999993</v>
      </c>
      <c r="L336" s="3">
        <f>976+(320.1-652.4)+(0.49776+(0.163251-0.332724))+0-4-0.00203999999999959</f>
        <v>640.02624700000013</v>
      </c>
      <c r="M336" s="3">
        <f>1101.2+(292.2-748.2)+(0.561612+(0.149022-0.381582))+0-4-0.00203999999999959</f>
        <v>641.52701200000013</v>
      </c>
      <c r="N336" s="3">
        <f>1222.9+(211.2-736.4)+(-0.623679+(-0.107712--0.375564))+0-5--0.00254999999999949</f>
        <v>692.34672300000011</v>
      </c>
      <c r="O336" s="3">
        <f>1226.3+(206.7-685.5)+(-0.625413+(-0.105417--0.349605))+0-5--0.00254999999999949</f>
        <v>742.12132500000007</v>
      </c>
      <c r="P336" s="3">
        <f>1225.5+(210.7-655.9)+(0.625005+(0.107457-0.334509))+0-4-0.00203999999999959</f>
        <v>776.69591300000002</v>
      </c>
      <c r="Q336" s="3">
        <f>1235+(229.4-676.9)+(-1.2597+(-0.233988--0.690438))+0-4--0.00408000000000064</f>
        <v>782.70083</v>
      </c>
      <c r="R336" s="3">
        <f>1113.6+(326-677.6)+(-2.271744+(-0.66504--1.382304))+0-4--0.00815999999999983</f>
        <v>756.45367999999985</v>
      </c>
      <c r="S336" s="3">
        <f>1049.7+(327.8-642.7)+(-1.606041+(-0.501534--0.983331))+0-4--0.00612000000000023</f>
        <v>729.68187599999999</v>
      </c>
      <c r="T336" s="3">
        <f>1052.3+(332.2-650.8)+(0.536673+(0.169422-0.331908))+0-4-0.00203999999999959</f>
        <v>730.07214700000009</v>
      </c>
      <c r="U336" s="3">
        <f>1050.9+(346.8-669.4)+(-2.143836+(-0.707472--1.365576))+0-4--0.00815999999999983</f>
        <v>722.82242800000017</v>
      </c>
      <c r="V336" s="3">
        <f>1061.7+(338.6-653)+(0+(0-0))+0-5-0</f>
        <v>742.30000000000007</v>
      </c>
      <c r="W336" s="3">
        <f>1062.4+(313.2-627.9)+(-0.541824+(-0.159732--0.320229))+0-5--0.00254999999999949</f>
        <v>742.32122300000003</v>
      </c>
      <c r="X336" s="3">
        <f>1092+(381.1-607.3)+(-0.55692+(-0.194361--0.309723))+0-5--0.00254999999999949</f>
        <v>860.36099200000012</v>
      </c>
      <c r="Y336" s="3">
        <f>1143.3+(392.9-639)+(-1.749249+(-0.601137--0.97767))+0-5--0.00765000000000029</f>
        <v>890.83493399999998</v>
      </c>
      <c r="Z336" s="3">
        <f>1144+(413.7-683.7)+(-2.9172+(-1.054935--1.743435))+0-5--0.0127499999999993</f>
        <v>866.78404999999998</v>
      </c>
      <c r="AA336" s="3">
        <f>1134.9+(424.8-686.9)+(0.578799+(0.216648-0.350319))+0-5-0.00254999999999949</f>
        <v>868.24257800000009</v>
      </c>
      <c r="AB336" s="3">
        <f>1093+(447.7-686.6)+(-2.22972+(-0.913308--1.400664))+0-5--0.0101999999999998</f>
        <v>847.36783600000001</v>
      </c>
      <c r="AC336" s="3">
        <f>1068.5+(374.8-644.8)+(-2.17974+(-0.764592--1.315392))+0-5--0.0101999999999998</f>
        <v>791.88126</v>
      </c>
      <c r="AD336">
        <v>915.2</v>
      </c>
      <c r="AE336" s="3">
        <f>1144+(381.4-610.2)+(0+(0-0))+0-5-0</f>
        <v>910.19999999999993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1064.8+(275.4-627.5)+(-2.172192+(-0.561816--1.2801))+0-0-0</f>
        <v>711.24609199999998</v>
      </c>
      <c r="G337" s="3">
        <f>1022.5+(265.2-613.7)+(-1.564425+(-0.405756--0.938961))+0-0-0</f>
        <v>672.96878000000004</v>
      </c>
      <c r="H337" s="3">
        <f>1018.1+(260.5-633.4)+(-1.038462+(-0.26571--0.646068))+0-0-0</f>
        <v>644.54189600000007</v>
      </c>
      <c r="I337" s="3">
        <f>986.4+(223.4-601)+(-1.006128+(-0.227868--0.61302))+0-0-0</f>
        <v>608.17902399999991</v>
      </c>
      <c r="J337" s="3">
        <f>1013.7+(227.3-612.1)+(1.033974+(0.231846-0.624342))+0-0-0</f>
        <v>629.5414780000001</v>
      </c>
      <c r="K337" s="3">
        <f>1014+(239.1-616.1)+(1.55142+(0.365823-0.942633))+0-0-0</f>
        <v>637.97460999999998</v>
      </c>
      <c r="L337" s="3">
        <f>1118.6+(269.8-744.6)+(1.140972+(0.275196-0.759492))+0-0-0</f>
        <v>644.4566759999999</v>
      </c>
      <c r="M337" s="3">
        <f>1168.3+(219.5-734.4)+(-0.595833+(-0.111945--0.374544))+0-0-0</f>
        <v>653.06676600000003</v>
      </c>
      <c r="N337" s="3">
        <f>1252.1+(155.3-712.4)+(1.915713+(0.237609-1.089972))+0-0-0</f>
        <v>696.06335000000001</v>
      </c>
      <c r="O337" s="3">
        <f>1206.4+(191.7-663.5)+(1.230528+(0.195534-0.67677))+0-0-0</f>
        <v>735.3492920000001</v>
      </c>
      <c r="P337" s="3">
        <f>1223.4+(271.3-725.3)+(1.247868+(0.276726-0.739806))+0-0-0</f>
        <v>770.18478800000014</v>
      </c>
      <c r="Q337" s="3">
        <f>1216.8+(259.2-702.5)+(-0.620568+(-0.132192--0.358275))+0-0-0</f>
        <v>773.10551499999997</v>
      </c>
      <c r="R337" s="3">
        <f>1203.3+(203.4-654.1)+(-1.841049+(-0.311202--1.000773))+0-0-0</f>
        <v>751.44852199999991</v>
      </c>
      <c r="S337" s="3">
        <f>1169.9+(225.6-647.2)+(0.596649+(0.115056-0.330072))+0-0-0</f>
        <v>748.68163300000003</v>
      </c>
      <c r="T337" s="3">
        <f>1167.8+(246.1-685.4)+(-0.595578+(-0.125511--0.349554))+0-0-0</f>
        <v>728.12846500000001</v>
      </c>
      <c r="U337" s="3">
        <f>1142.8+(267.5-665)+(-2.331312+(-0.5457--1.3566))+0-0-0</f>
        <v>743.77958799999999</v>
      </c>
      <c r="V337" s="3">
        <f>1081.3+(316.4-651.4)+(0.551463+(0.161364-0.332214))+0-0-0</f>
        <v>746.68061299999999</v>
      </c>
      <c r="W337" s="3">
        <f>1084.1+(335.6-670.6)+(0+(0-0))+0-0-0</f>
        <v>749.09999999999991</v>
      </c>
      <c r="X337" s="3">
        <f>1242.9+(421.6-793.2)+(-1.267758+(-0.430032--0.809064))+0-0-0</f>
        <v>870.41127400000005</v>
      </c>
      <c r="Y337" s="3">
        <f>1264.7+(445.4-792.1)+(-4.514979+(-1.590078--2.827797))+0-0-0</f>
        <v>914.72274000000004</v>
      </c>
      <c r="Z337" s="3">
        <f>1095.9+(486.7-693)+(-2.235636+(-0.992868--1.41372))+0-0-0</f>
        <v>887.7852160000001</v>
      </c>
      <c r="AA337" s="3">
        <f>1086.2+(420-630.1)+(-3.323772+(-1.2852--1.928106))+0-0-0</f>
        <v>873.41913399999999</v>
      </c>
      <c r="AB337" s="3">
        <f>1091+(448.6-681.8)+(-1.11282+(-0.457572--0.695436))+0-0-0</f>
        <v>856.92504400000007</v>
      </c>
      <c r="AC337" s="3">
        <f>1091.2+(442.2-726)+(-2.226048+(-0.902088--1.48104))+0-0-0</f>
        <v>805.75290400000006</v>
      </c>
      <c r="AD337">
        <v>903</v>
      </c>
      <c r="AE337" s="3">
        <f>1267+(452.7-816.7)+(0+(0-0))+0-4-0</f>
        <v>899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1035.8+(308.6-600.9)+(-1.584774+(-0.472158--0.919377))+0-0-0</f>
        <v>742.36244499999998</v>
      </c>
      <c r="G338" s="3">
        <f>1033.9+(257-599.9)+(-0.527289+(-0.13107--0.305949))+0-0-0</f>
        <v>690.64759000000015</v>
      </c>
      <c r="H338" s="3">
        <f>1029.5+(260.8-621.8)+(-2.625225+(-0.66504--1.58559))+0-0-0</f>
        <v>666.79532500000005</v>
      </c>
      <c r="I338" s="3">
        <f>983.9+(264.8-594.8)+(-1.003578+(-0.270096--0.606696))+0-0-0</f>
        <v>653.23302200000012</v>
      </c>
      <c r="J338" s="3">
        <f>983+(270.5-604)+(-2.00532+(-0.55182--1.23216))+0-0-0</f>
        <v>648.17502000000002</v>
      </c>
      <c r="K338" s="3">
        <f>986.5+(262.9-596.6)+(0+(0-0))+0-0-0</f>
        <v>652.79999999999995</v>
      </c>
      <c r="L338" s="3">
        <f>1000.7+(295.8-628.4)+(-2.041428+(-0.603432--1.281936))+0-0-0</f>
        <v>666.73707600000012</v>
      </c>
      <c r="M338" s="3">
        <f>1049+(265.2-644.4)+(-0.53499+(-0.135252--0.328644))+0-0-0</f>
        <v>669.45840199999998</v>
      </c>
      <c r="N338" s="3">
        <f>1174.9+(187.9-632.4)+(2.396796+(0.383316-1.290096))+0-0-0</f>
        <v>731.89001600000006</v>
      </c>
      <c r="O338" s="3">
        <f>1239.1+(136.7-608.5)+(0.631941+(0.069717-0.310335))+0-0-0</f>
        <v>767.69132300000001</v>
      </c>
      <c r="P338" s="3">
        <f>1235.8+(181.8-619.4)+(0+(0-0))+0-0-0</f>
        <v>798.2</v>
      </c>
      <c r="Q338" s="3">
        <f>1233.5+(215.5-640.7)+(-2.51634+(-0.43962--1.307028))+0-0-0</f>
        <v>806.65106800000001</v>
      </c>
      <c r="R338" s="3">
        <f>1232.2+(162.3-644.8)+(-3.14211+(-0.413865--1.64424))+0-5--0.0127499999999993</f>
        <v>742.80101500000001</v>
      </c>
      <c r="S338" s="3">
        <f>1229.7+(167.6-672.3)+(-1.881441+(-0.256428--1.028619))+0-5--0.00765000000000029</f>
        <v>718.89840000000015</v>
      </c>
      <c r="T338" s="3">
        <f>1234.5+(154.5-669.6)+(-1.888785+(-0.236385--1.024488))+0-5--0.00765000000000029</f>
        <v>713.30696799999998</v>
      </c>
      <c r="U338" s="3">
        <f>1242.9+(172.2-692.5)+(-1.901637+(-0.263466--1.059525))+0-5--0.00765000000000029</f>
        <v>716.50207200000011</v>
      </c>
      <c r="V338" s="3">
        <f>1266.3+(159.5-695.8)+(1.291626+(0.16269-0.709716))+0-5-0.0051000000000008</f>
        <v>725.73950000000002</v>
      </c>
      <c r="W338" s="3">
        <f>1263.4+(186.2-719.6)+(0.644334+(0.094962-0.366996))+0-5-0.00254999999999949</f>
        <v>725.36974999999995</v>
      </c>
      <c r="X338" s="3">
        <f>1266.9+(338.8-754.3)+(0+(0-0))+0-5-0</f>
        <v>846.40000000000009</v>
      </c>
      <c r="Y338" s="3">
        <f>1110.5+(463.4-687.6)+(-2.831775+(-1.18167--1.75338))+0-5--0.0127499999999993</f>
        <v>879.05268499999988</v>
      </c>
      <c r="Z338" s="3">
        <f>1033.5+(491.1-671.6)+(0+(0-0))+0-5-0</f>
        <v>848</v>
      </c>
      <c r="AA338" s="3">
        <f>1101.9+(364.7-629.7)+(-1.685907+(-0.557991--0.963441))+0-5--0.00765000000000029</f>
        <v>830.62719300000015</v>
      </c>
      <c r="AB338" s="3">
        <f>1135+(304.4-625.5)+(-1.73655+(-0.465732--0.957015))+0-5--0.00765000000000029</f>
        <v>807.66238299999998</v>
      </c>
      <c r="AC338" s="3">
        <f>1137.2+(274.9-638.9)+(-1.159944+(-0.280398--0.651678))+0-5--0.0051000000000008</f>
        <v>767.41643599999998</v>
      </c>
      <c r="AD338">
        <v>894.10000000000014</v>
      </c>
      <c r="AE338" s="3">
        <f>1266+(417.4-789.3)+(0+(0-0))+0-5-0</f>
        <v>889.1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1136.6+(241-667.9)+(-1.738998+(-0.36873--1.021887))+0-5--0.00765000000000029</f>
        <v>703.62180899999998</v>
      </c>
      <c r="G339" s="3">
        <f>1138.2+(253.3-731.1)+(0+(0-0))+0-5-0</f>
        <v>655.40000000000009</v>
      </c>
      <c r="H339" s="3">
        <f>1133.4+(216.9-711.2)+(-1.734102+(-0.331857--1.088136))+0-5--0.00765000000000029</f>
        <v>633.12982700000009</v>
      </c>
      <c r="I339" s="3">
        <f>1103.3+(219.9-692.8)+(0.562683+(0.112149-0.353328))+0-5-0.00254999999999949</f>
        <v>625.71895399999994</v>
      </c>
      <c r="J339" s="3">
        <f>1076.1+(213.1-661.9)+(-0.548811+(-0.108681--0.337569))+0-5--0.00254999999999949</f>
        <v>621.98262699999998</v>
      </c>
      <c r="K339" s="3">
        <f>1168.2+(180.5-720.8)+(1.787346+(0.276165-1.102824))+0-5-0.00765000000000029</f>
        <v>623.85303700000009</v>
      </c>
      <c r="L339" s="3">
        <f>1222.6+(185.4-751.7)+(-0.623526+(-0.094554--0.383367))+0-5--0.00254999999999949</f>
        <v>650.96783699999992</v>
      </c>
      <c r="M339" s="3">
        <f>1248.5+(204.5-789.1)+(0.636735+(0.104295-0.402441))+0-5-0.00254999999999949</f>
        <v>659.23603899999989</v>
      </c>
      <c r="N339" s="3">
        <f>1187.6+(218.8-710.5)+(-0.605676+(-0.111588--0.362355))+0-5--0.00254999999999949</f>
        <v>690.54764099999989</v>
      </c>
      <c r="O339" s="3">
        <f>1195.3+(208.1-674.4)+(-0.609603+(-0.106131--0.343944))+0-5--0.00254999999999949</f>
        <v>723.63076000000001</v>
      </c>
      <c r="P339" s="3">
        <f>1259.1+(147.2-631.5)+(0+(0-0))+0-5-0</f>
        <v>769.8</v>
      </c>
      <c r="Q339" s="3">
        <f>1291+(149.6-660.1)+(-1.31682+(-0.152592--0.673302))+0-5--0.0051000000000008</f>
        <v>774.70898999999997</v>
      </c>
      <c r="R339" s="3">
        <f>1255.2+(255.7-716.7)+(-2.560608+(-0.521628--1.462068))+0-5--0.0101999999999998</f>
        <v>787.59003200000006</v>
      </c>
      <c r="S339" s="3">
        <f>1266.9+(246.4-759.1)+(-1.938357+(-0.376992--1.161423))+0-5--0.00765000000000029</f>
        <v>748.0537240000001</v>
      </c>
      <c r="T339" s="3">
        <f>1202.9+(299.6-760.2)+(-2.453916+(-0.611184--1.550808))+0-5--0.0101999999999998</f>
        <v>735.79590800000017</v>
      </c>
      <c r="U339" s="3">
        <f>1195.9+(307.1-758.9)+(-1.829727+(-0.469863--1.161117))+0-5--0.00765000000000029</f>
        <v>737.96917700000017</v>
      </c>
      <c r="V339" s="3">
        <f>1191.2+(270.2-717.6)+(-1.215024+(-0.275604--0.731952))+0-5--0.0051000000000008</f>
        <v>738.04642399999989</v>
      </c>
      <c r="W339" s="3">
        <f>1197.3+(251-705.4)+(-1.221246+(-0.25602--0.719508))+0-5--0.0051000000000008</f>
        <v>737.14734199999998</v>
      </c>
      <c r="X339" s="3">
        <f>1204.3+(368.2-698.3)+(-1.842579+(-0.563346--1.068399))+0-5--0.00765000000000029</f>
        <v>867.87012400000003</v>
      </c>
      <c r="Y339" s="3">
        <f>1197.7+(381.9-660.2)+(-1.221654+(-0.389538--0.673404))+0-5--0.0051000000000008</f>
        <v>913.46731199999999</v>
      </c>
      <c r="Z339" s="3">
        <f>1177.3+(391-691.3)+(-3.602538+(-1.19646--2.115378))+0-5--0.0153000000000006</f>
        <v>869.33168000000001</v>
      </c>
      <c r="AA339" s="3">
        <f>1168.9+(370.8-680.7)+(-1.192278+(-0.378216--0.694314))+0-5--0.0051000000000008</f>
        <v>853.12891999999999</v>
      </c>
      <c r="AB339" s="3">
        <f>1160.5+(310.8-629.6)+(-2.959275+(-0.79254--1.60548))+0-5--0.0127499999999993</f>
        <v>834.56641500000001</v>
      </c>
      <c r="AC339" s="3">
        <f>1191.8+(272.3-663.4)+(-2.431272+(-0.555492--1.353336))+0-5--0.0101999999999998</f>
        <v>794.07677200000012</v>
      </c>
      <c r="AD339">
        <v>904.9</v>
      </c>
      <c r="AE339" s="3">
        <f>1203+(425.8-723.9)+(0+(0-0))+0-4-0</f>
        <v>900.90000000000009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1190.3+(186-658.1)+(-1.214106+(-0.18972--0.671262))+0-4--0.00408000000000064</f>
        <v>713.47151599999995</v>
      </c>
      <c r="G340" s="3">
        <f>1190.6+(145.9-676)+(0+(0-0))+0-4-0</f>
        <v>656.49999999999989</v>
      </c>
      <c r="H340" s="3">
        <f>1135.7+(159.5-654.4)+(-0.579207+(-0.081345--0.333744))+0-4--0.00203999999999959</f>
        <v>636.47523200000001</v>
      </c>
      <c r="I340" s="3">
        <f>1056.8+(185-613.3)+(2.155872+(0.3774-1.251132))+0-4-0.00815999999999983</f>
        <v>625.77398000000005</v>
      </c>
      <c r="J340" s="3">
        <f>1053.2+(196.1-623)+(1.611396+(0.300033-0.95319))+0-4-0.00612000000000023</f>
        <v>623.25211900000011</v>
      </c>
      <c r="K340" s="3">
        <f>1081.8+(201.3-653.4)+(2.75859+(0.513315-1.66617))+0-4-0.0101999999999994</f>
        <v>627.29553499999997</v>
      </c>
      <c r="L340" s="3">
        <f>1245.6+(203.8-799.3)+(-0.635256+(-0.103938--0.407643))+0-4--0.00203999999999959</f>
        <v>645.77048899999988</v>
      </c>
      <c r="M340" s="3">
        <f>1254+(167-760.1)+(0+(0-0))+0-4-0</f>
        <v>656.9</v>
      </c>
      <c r="N340" s="3">
        <f>1256.3+(99.9-645.6)+(2.562852+(0.203796-1.317024))+0-4-0.00815999999999983</f>
        <v>708.04146399999991</v>
      </c>
      <c r="O340" s="3">
        <f>1240.3+(227.8-700.7)+(1.265106+(0.232356-0.714714))+0-4-0.00408000000000064</f>
        <v>764.17866799999979</v>
      </c>
      <c r="P340" s="3">
        <f>1238.3+(238.7-680.1)+(0+(0-0))+0-4-0</f>
        <v>792.89999999999986</v>
      </c>
      <c r="Q340" s="3">
        <f>1231.4+(206.7-661.9)+(1.884042+(0.316251-1.012707))+0-4-0.00612000000000023</f>
        <v>773.38146600000005</v>
      </c>
      <c r="R340" s="3">
        <f>1214.2+(217.1-683.3)+(-3.715452+(-0.664326--2.090898))+0-5--0.0153000000000006</f>
        <v>740.72642000000019</v>
      </c>
      <c r="S340" s="3">
        <f>1211.9+(168.2-664.9)+(-3.708414+(-0.514692--2.034594))+0-5--0.0153000000000006</f>
        <v>708.02678800000012</v>
      </c>
      <c r="T340" s="3">
        <f>1212.9+(173.5-678.4)+(-1.237158+(-0.17697--0.691968))+0-5--0.0051000000000008</f>
        <v>702.28294000000005</v>
      </c>
      <c r="U340" s="3">
        <f>1211.5+(197.9-698.6)+(-3.089325+(-0.504645--1.78143))+0-5--0.0127499999999993</f>
        <v>704.00020999999992</v>
      </c>
      <c r="V340" s="3">
        <f>1147.1+(236.6-664.6)+(-1.170042+(-0.241332--0.677892))+0-5--0.0051000000000008</f>
        <v>713.3716179999999</v>
      </c>
      <c r="W340" s="3">
        <f>1147.4+(241.6-664.9)+(0+(0-0))+0-5-0</f>
        <v>719.10000000000014</v>
      </c>
      <c r="X340" s="3">
        <f>1216.2+(229.4-605.3)+(0+(0-0))+0-5-0</f>
        <v>835.30000000000007</v>
      </c>
      <c r="Y340" s="3">
        <f>1128.9+(362.1-615.3)+(-1.151478+(-0.369342--0.627606))+0-5--0.0051000000000008</f>
        <v>869.81188600000019</v>
      </c>
      <c r="Z340" s="3">
        <f>1105+(429.8-675.7)+(-2.2542+(-0.876792--1.378428))+0-5--0.0101999999999998</f>
        <v>852.35763599999996</v>
      </c>
      <c r="AA340" s="3">
        <f>1105.4+(495.4-745.4)+(0+(0-0))+0-5-0</f>
        <v>850.40000000000009</v>
      </c>
      <c r="AB340" s="3">
        <f>1099.4+(462.3-725.3)+(-2.242776+(-0.943092--1.479612))+0-5--0.0101999999999998</f>
        <v>829.70394400000009</v>
      </c>
      <c r="AC340" s="3">
        <f>1103.2+(449.4-764.8)+(-1.125264+(-0.458388--0.780096))+0-5--0.0051000000000008</f>
        <v>782.00154400000008</v>
      </c>
      <c r="AD340">
        <v>876.59999999999991</v>
      </c>
      <c r="AE340" s="3">
        <f>1215+(243.1-581.5)+(0+(0-0))+0-5-0</f>
        <v>871.6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1102.1+(303.2-676.6)+(-1.124142+(-0.309264--0.690132))+0-4--0.00408000000000064</f>
        <v>723.96080599999982</v>
      </c>
      <c r="G341" s="3">
        <f>1102.5+(203-627.7)+(-0.562275+(-0.10353--0.320127))+0-4--0.00203999999999959</f>
        <v>673.4563619999999</v>
      </c>
      <c r="H341" s="3">
        <f>1103.4+(184.1-644.1)+(1.688202+(0.281673-0.985473))+0-4-0.00612000000000023</f>
        <v>640.37828200000013</v>
      </c>
      <c r="I341" s="3">
        <f>1095.5+(161.1-618.3)+(-1.676115+(-0.246483--0.945999))+0-4--0.00612000000000023</f>
        <v>633.32952100000011</v>
      </c>
      <c r="J341" s="3">
        <f>1094.7+(154.1-618.8)+(-0.558297+(-0.078591--0.315588))+0-4--0.00203999999999959</f>
        <v>625.68074000000013</v>
      </c>
      <c r="K341" s="3">
        <f>1111.4+(142.5-622.5)+(0+(0-0))+0-4-0</f>
        <v>627.40000000000009</v>
      </c>
      <c r="L341" s="3">
        <f>1163.1+(156.5-692.8)+(-2.372724+(-0.31926--1.413312))+0-4--0.00815999999999983</f>
        <v>621.5294879999999</v>
      </c>
      <c r="M341" s="3">
        <f>1168.3+(157.4-708.8)+(-0.595833+(-0.080274--0.361488))+0-4--0.00203999999999959</f>
        <v>612.58742099999995</v>
      </c>
      <c r="N341" s="3">
        <f>1171.9+(142-670.5)+(-0.597669+(-0.07242--0.341955))+0-4--0.00203999999999959</f>
        <v>639.07390600000008</v>
      </c>
      <c r="O341" s="3">
        <f>1127.5+(180.2-619.5)+(0+(0-0))+0-4-0</f>
        <v>684.2</v>
      </c>
      <c r="P341" s="3">
        <f>1148.3+(183.8-616)+(0.585633+(0.093738-0.31416))+0-4-0.00203999999999959</f>
        <v>712.46317099999999</v>
      </c>
      <c r="Q341" s="3">
        <f>1155.6+(160.8-601)+(-2.357424+(-0.328032--1.22604))+0-4--0.00815999999999983</f>
        <v>709.94874399999981</v>
      </c>
      <c r="R341" s="3">
        <f>1105.4+(205-619.7)+(-1.691262+(-0.31365--0.948141))+0-4--0.00612000000000023</f>
        <v>685.64934900000003</v>
      </c>
      <c r="S341" s="3">
        <f>1054.2+(255.9-630.8)+(-1.612926+(-0.391527--0.965124))+0-4--0.00612000000000023</f>
        <v>674.26679100000013</v>
      </c>
      <c r="T341" s="3">
        <f>1041.2+(275.5-644.7)+(-1.593036+(-0.421515--0.986391))+0-4--0.00612000000000023</f>
        <v>666.97796000000005</v>
      </c>
      <c r="U341" s="3">
        <f>1042.5+(267.7-638.5)+(-1.06335+(-0.273054--0.65127))+0-4--0.00408000000000064</f>
        <v>667.01894600000014</v>
      </c>
      <c r="V341" s="3">
        <f>1093.5+(228.7-638.4)+(0+(0-0))+0-4-0</f>
        <v>679.8</v>
      </c>
      <c r="W341" s="3">
        <f>1092.1+(239.8-626.7)+(-1.113942+(-0.244596--0.639234))+0-4--0.00408000000000064</f>
        <v>700.4847759999999</v>
      </c>
      <c r="X341" s="3">
        <f>1181+(247.5-621.4)+(0+(0-0))+0-4-0</f>
        <v>803.1</v>
      </c>
      <c r="Y341" s="3">
        <f>1207+(250.7-607.7)+(0+(0-0))+0-4-0</f>
        <v>846</v>
      </c>
      <c r="Z341" s="3">
        <f>1204.2+(254.8-624.8)+(-0.614142+(-0.129948--0.318648))+0-4--0.00203999999999959</f>
        <v>829.77659800000004</v>
      </c>
      <c r="AA341" s="3">
        <f>1201.6+(243-616.1)+(0+(0-0))+0-4-0</f>
        <v>824.49999999999989</v>
      </c>
      <c r="AB341" s="3">
        <f>1195.9+(226.9-617.3)+(-3.049545+(-0.578595--1.574115))+0-4--0.0101999999999994</f>
        <v>799.45617500000014</v>
      </c>
      <c r="AC341" s="3">
        <f>1201.7+(179.5-610.2)+(-2.451468+(-0.36618--1.244808))+0-4--0.00815999999999983</f>
        <v>765.43531999999993</v>
      </c>
      <c r="AD341">
        <v>848.49999999999989</v>
      </c>
      <c r="AE341" s="3">
        <f>1204+(260.1-615.6)+(0+(0-0))+0-4-0</f>
        <v>844.5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1206.7+(151.5-652.9)+(0+(0-0))+0-4-0</f>
        <v>701.30000000000007</v>
      </c>
      <c r="G342" s="3">
        <f>1123.7+(188.6-656.1)+(0.573087+(0.096186-0.334611))+0-4-0.00203999999999959</f>
        <v>652.53262200000006</v>
      </c>
      <c r="H342" s="3">
        <f>1083+(222.3-680)+(0+(0-0))+0-4-0</f>
        <v>621.29999999999995</v>
      </c>
      <c r="I342" s="3">
        <f>1081.9+(198.7-656)+(-0.551769+(-0.101337--0.33456))+0-4--0.00203999999999959</f>
        <v>620.28349400000013</v>
      </c>
      <c r="J342" s="3">
        <f>1081.1+(203.7-663.4)+(-0.551361+(-0.103887--0.338334))+0-4--0.00203999999999959</f>
        <v>617.08512599999983</v>
      </c>
      <c r="K342" s="3">
        <f>1088.3+(203.3-663.7)+(2.220132+(0.414732-1.353948))+0-4-0.00815999999999983</f>
        <v>625.17275599999994</v>
      </c>
      <c r="L342" s="3">
        <f>1179.2+(195.5-739.2)+(1.202784+(0.19941-0.753984))+0-4-0.00408000000000064</f>
        <v>632.1441299999999</v>
      </c>
      <c r="M342" s="3">
        <f>1230.7+(176.4-730.3)+(0.627657+(0.089964-0.372453))+0-4-0.00203999999999959</f>
        <v>673.14312800000005</v>
      </c>
      <c r="N342" s="3">
        <f>1219.7+(173.5-672.2)+(0+(0-0))+0-4-0</f>
        <v>717</v>
      </c>
      <c r="O342" s="3">
        <f>1226.6+(227.1-662.8)+(0+(0-0))+0-4-0</f>
        <v>786.9</v>
      </c>
      <c r="P342" s="3">
        <f>1208.9+(249.5-645.1)+(0.616539+(0.127245-0.329001))+0-4-0.00203999999999959</f>
        <v>809.71274300000016</v>
      </c>
      <c r="Q342" s="3">
        <f>1206.3+(220-609.7)+(-1.845639+(-0.3366--0.932841))+0-4--0.00612000000000023</f>
        <v>811.35672199999988</v>
      </c>
      <c r="R342" s="3">
        <f>1209+(182.6-604)+(-1.84977+(-0.279378--0.92412))+0-4--0.00612000000000023</f>
        <v>782.40109200000006</v>
      </c>
      <c r="S342" s="3">
        <f>1213.8+(190.3-631.9)+(-1.238076+(-0.194106--0.644538))+0-4--0.00408000000000064</f>
        <v>767.41643600000009</v>
      </c>
      <c r="T342" s="3">
        <f>1213+(186.4-640.5)+(0.61863+(0.095064-0.326655))+0-4-0.00203999999999959</f>
        <v>755.28499899999997</v>
      </c>
      <c r="U342" s="3">
        <f>1208.6+(175.9-624)+(0+(0-0))+0-4-0</f>
        <v>756.49999999999989</v>
      </c>
      <c r="V342" s="3">
        <f>1208.2+(182.8-631.8)+(-0.616182+(-0.093228--0.322218))+0-4--0.00203999999999959</f>
        <v>754.81484799999998</v>
      </c>
      <c r="W342" s="3">
        <f>1208.1+(217-643.4)+(0+(0-0))+0-4-0</f>
        <v>777.69999999999993</v>
      </c>
      <c r="X342" s="3">
        <f>1214.4+(319.2-661.9)+(0+(0-0))+0-4-0</f>
        <v>867.7</v>
      </c>
      <c r="Y342" s="3">
        <f>1212.1+(390.8-708.1)+(-2.472684+(-0.797232--1.444524))+0-4--0.00815999999999983</f>
        <v>888.98276799999996</v>
      </c>
      <c r="Z342" s="3">
        <f>1198.7+(461.2-788.6)+(0.611337+(0.235212-0.402186))+0-4-0.00203999999999959</f>
        <v>867.74232299999994</v>
      </c>
      <c r="AA342" s="3">
        <f>1192+(419.1-735.3)+(-1.82376+(-0.641223--1.125009))+0-4--0.00612000000000023</f>
        <v>870.46614600000009</v>
      </c>
      <c r="AB342" s="3">
        <f>1191+(332.2-662.4)+(-4.25187+(-1.185954--2.364768))+0-4--0.0142800000000001</f>
        <v>853.74122399999999</v>
      </c>
      <c r="AC342" s="3">
        <f>1195.7+(213-613.9)+(-3.658842+(-0.65178--1.878534))+0-4--0.0122400000000005</f>
        <v>788.38015200000007</v>
      </c>
      <c r="AD342">
        <v>915</v>
      </c>
      <c r="AE342" s="3">
        <f>1225+(391.3-701.3)+(0+(0-0))+0-5-0</f>
        <v>910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1201.6+(156.2-648)+(0+(0-0))+0-5-0</f>
        <v>704.8</v>
      </c>
      <c r="G343" s="3">
        <f>1193.8+(122.5-662.6)+(-2.435352+(-0.2499--1.351704))+0-5--0.0101999999999998</f>
        <v>647.37665200000004</v>
      </c>
      <c r="H343" s="3">
        <f>1203.3+(111.3-677.1)+(0.613683+(0.056763-0.345321))+0-5-0.00254999999999949</f>
        <v>632.8225749999998</v>
      </c>
      <c r="I343" s="3">
        <f>1116.2+(171.8-660.3)+(-1.707786+(-0.262854--1.010259))+0-5--0.00765000000000029</f>
        <v>621.74726900000007</v>
      </c>
      <c r="J343" s="3">
        <f>1095.2+(170.9-643.6)+(1.675656+(0.261477-0.984708))+0-5-0.00765000000000029</f>
        <v>618.44477499999994</v>
      </c>
      <c r="K343" s="3">
        <f>1096.2+(181.7-648.9)+(2.236248+(0.370668-1.323756))+0-5-0.0101999999999998</f>
        <v>625.2729599999999</v>
      </c>
      <c r="L343" s="3">
        <f>1162.8+(146.2-663.8)+(0+(0-0))+0-5-0</f>
        <v>640.20000000000005</v>
      </c>
      <c r="M343" s="3">
        <f>1218.7+(137.9-676.2)+(-0.621537+(-0.070329--0.344862))+0-5--0.00254999999999949</f>
        <v>675.05554600000005</v>
      </c>
      <c r="N343" s="3">
        <f>1212.8+(165.4-652.8)+(-1.237056+(-0.168708--0.665856))+0-5--0.0051000000000008</f>
        <v>719.66519199999993</v>
      </c>
      <c r="O343" s="3">
        <f>1198.6+(175.8-641.6)+(-1.222572+(-0.179316--0.654432))+0-5--0.0051000000000008</f>
        <v>727.05764399999987</v>
      </c>
      <c r="P343" s="3">
        <f>1221.1+(234.9-665.6)+(-3.113805+(-0.598995--1.69728))+0-5--0.0127499999999993</f>
        <v>783.39722999999981</v>
      </c>
      <c r="Q343" s="3">
        <f>1171.5+(267.5-699.1)+(0+(0-0))+0-5-0</f>
        <v>734.9</v>
      </c>
      <c r="R343" s="3">
        <f>1176+(261.2-731.5)+(-0.59976+(-0.133212--0.373065))+0-5--0.00254999999999949</f>
        <v>700.34264300000007</v>
      </c>
      <c r="S343" s="3">
        <f>1171.9+(234.5-708.8)+(-1.195338+(-0.23919--0.722976))+0-5--0.0051000000000008</f>
        <v>691.89354800000012</v>
      </c>
      <c r="T343" s="3">
        <f>1175.2+(251.8-735.1)+(0+(0-0))+0-5-0</f>
        <v>686.90000000000009</v>
      </c>
      <c r="U343" s="3">
        <f>1179.7+(210.3-698.2)+(-0.601647+(-0.107253--0.356082))+0-5--0.00254999999999949</f>
        <v>686.44973200000004</v>
      </c>
      <c r="V343" s="3">
        <f>1203.6+(158.7-639.6)+(-1.841508+(-0.242811--0.978588))+0-5--0.00765000000000029</f>
        <v>716.60191899999984</v>
      </c>
      <c r="W343" s="3">
        <f>1221.3+(143.2-625.9)+(-1.245726+(-0.146064--0.638418))+0-5--0.0051000000000008</f>
        <v>732.85172799999987</v>
      </c>
      <c r="X343" s="3">
        <f>1223.8+(264.5-631)+(-1.872414+(-0.404685--0.96543))+0-5--0.00765000000000029</f>
        <v>850.99598099999992</v>
      </c>
      <c r="Y343" s="3">
        <f>1224+(318.2-634.7)+(-1.24848+(-0.324564--0.647394))+0-5--0.0051000000000008</f>
        <v>901.57944999999995</v>
      </c>
      <c r="Z343" s="3">
        <f>1230.5+(362-708.8)+(0+(0-0))+0-5-0</f>
        <v>878.7</v>
      </c>
      <c r="AA343" s="3">
        <f>1220.4+(321.2-664.6)+(-1.244808+(-0.327624--0.677892))+0-5--0.0051000000000008</f>
        <v>871.11055999999996</v>
      </c>
      <c r="AB343" s="3">
        <f>1215.7+(333.4-693.2)+(-3.100035+(-0.85017--1.76766))+0-5--0.0127499999999993</f>
        <v>848.73020499999996</v>
      </c>
      <c r="AC343" s="3">
        <f>1184+(279.6-658.2)+(-1.20768+(-0.285192--0.671364))+0-5--0.0051000000000008</f>
        <v>799.58359199999995</v>
      </c>
      <c r="AD343">
        <v>901</v>
      </c>
      <c r="AE343" s="3">
        <f>1213+(357.5-669.5)+(0+(0-0))+0-5-0</f>
        <v>896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1172.5+(141.1-595)+(-1.793925+(-0.215883--0.91035))+0-4--0.00612000000000023</f>
        <v>713.50666200000001</v>
      </c>
      <c r="G344" s="3">
        <f>1176.9+(104.3-611.5)+(-0.600219+(-0.053193--0.311865))+0-4--0.00203999999999959</f>
        <v>665.36049300000002</v>
      </c>
      <c r="H344" s="3">
        <f>1160.2+(106.7-625.7)+(1.183404+(0.108834-0.638214))+0-4-0.00408000000000064</f>
        <v>637.84994400000005</v>
      </c>
      <c r="I344" s="3">
        <f>1158.6+(153-678.5)+(0+(0-0))+0-4-0</f>
        <v>629.09999999999991</v>
      </c>
      <c r="J344" s="3">
        <f>1156.2+(171.6-688.9)+(-1.179324+(-0.175032--0.702678))+0-4--0.00408000000000064</f>
        <v>634.25240200000019</v>
      </c>
      <c r="K344" s="3">
        <f>1158.2+(196.5-703.7)+(-0.590682+(-0.100215--0.358887))+0-4--0.00203999999999959</f>
        <v>646.67003</v>
      </c>
      <c r="L344" s="3">
        <f>1148.9+(239.3-722.5)+(-2.929695+(-0.610215--1.842375))+0-4--0.0101999999999994</f>
        <v>660.01266500000008</v>
      </c>
      <c r="M344" s="3">
        <f>1170.7+(237.8-730.4)+(1.194114+(0.242556-0.745008))+0-4-0.00408000000000064</f>
        <v>674.78758200000004</v>
      </c>
      <c r="N344" s="3">
        <f>1207.5+(197.3-679.2)+(1.847475+(0.301869-1.039176))+0-4-0.00612000000000023</f>
        <v>722.70404799999994</v>
      </c>
      <c r="O344" s="3">
        <f>1194.1+(170.2-592.8)+(-3.044955+(-0.43401--1.51164))+0-4--0.0101999999999994</f>
        <v>765.54287500000009</v>
      </c>
      <c r="P344" s="3">
        <f>1207+(203.3-624.4)+(1.23114+(0.207366-0.636888))+0-4-0.00408000000000064</f>
        <v>782.69753800000001</v>
      </c>
      <c r="Q344" s="3">
        <f>1202.1+(229.5-649.1)+(-1.226142+(-0.23409--0.662082))+0-4--0.00408000000000064</f>
        <v>777.70592999999997</v>
      </c>
      <c r="R344" s="3">
        <f>1204.8+(171.2-615.3)+(-0.614448+(-0.087312--0.313803))+0-4--0.00203999999999959</f>
        <v>756.31408299999998</v>
      </c>
      <c r="S344" s="3">
        <f>1202.9+(203.6-660.5)+(-1.226958+(-0.207672--0.67371))+0-4--0.00408000000000064</f>
        <v>741.2431600000001</v>
      </c>
      <c r="T344" s="3">
        <f>1200.2+(186.2-641.6)+(-0.612102+(-0.094962--0.327216))+0-4--0.00203999999999959</f>
        <v>740.42219199999988</v>
      </c>
      <c r="U344" s="3">
        <f>1191.7+(181.1-634.6)+(-2.431068+(-0.369444--1.294584))+0-4--0.00815999999999983</f>
        <v>732.70223199999998</v>
      </c>
      <c r="V344" s="3">
        <f>1196.4+(215.3-672)+(-0.610164+(-0.109803--0.34272))+0-4--0.00203999999999959</f>
        <v>735.324793</v>
      </c>
      <c r="W344" s="3">
        <f>1197.9+(178.8-640.1)+(-2.443716+(-0.364752--1.305804))+0-4--0.00815999999999983</f>
        <v>731.10549600000013</v>
      </c>
      <c r="X344" s="3">
        <f>1200.8+(280.7-626.1)+(-0.612408+(-0.143157--0.319311))+0-4--0.00203999999999959</f>
        <v>850.96578599999987</v>
      </c>
      <c r="Y344" s="3">
        <f>1196.4+(376.5-661)+(-3.05082+(-0.960075--1.68555))+0-4--0.0101999999999994</f>
        <v>905.58485500000018</v>
      </c>
      <c r="Z344" s="3">
        <f>1200.7+(362.1-666.6)+(-1.837071+(-0.554013--1.019898))+0-4--0.00612000000000023</f>
        <v>890.83493400000009</v>
      </c>
      <c r="AA344" s="3">
        <f>1191.8+(322.1-630.9)+(-0.607818+(-0.164271--0.321759))+0-4--0.00203999999999959</f>
        <v>878.55170999999996</v>
      </c>
      <c r="AB344" s="3">
        <f>1182.1+(340.2-656.8)+(-0.602871+(-0.173502--0.334968))+0-4--0.00203999999999959</f>
        <v>861.06063499999993</v>
      </c>
      <c r="AC344" s="3">
        <f>1180.5+(246.8-616.2)+(0+(0-0))+0-4-0</f>
        <v>807.09999999999991</v>
      </c>
      <c r="AD344">
        <v>899.6</v>
      </c>
      <c r="AE344" s="3">
        <f>1198+(359-657.4)+(0+(0-0))+0-4-0</f>
        <v>895.6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1169.7+(196.1-691.5)+(-2.982735+(-0.500055--1.763325))+0-4--0.0101999999999994</f>
        <v>668.59073500000011</v>
      </c>
      <c r="G345" s="3">
        <f>1136+(202-707)+(-1.73808+(-0.30906--1.08171))+0-4--0.00612000000000023</f>
        <v>626.04069000000004</v>
      </c>
      <c r="H345" s="3">
        <f>1140.4+(226.6-761.1)+(-1.163208+(-0.231132--0.776322))+0-4--0.00408000000000064</f>
        <v>601.28606200000013</v>
      </c>
      <c r="I345" s="3">
        <f>1137.6+(209.7-747.3)+(-1.740528+(-0.320841--1.143369))+0-4--0.00612000000000023</f>
        <v>595.08812</v>
      </c>
      <c r="J345" s="3">
        <f>1079.2+(225.8-717)+(1.100784+(0.230316-0.73134))+0-4-0.00408000000000064</f>
        <v>584.5956799999999</v>
      </c>
      <c r="K345" s="3">
        <f>1078.9+(232.6-715.5)+(0.550239+(0.118626-0.364905))+0-4-0.00203999999999959</f>
        <v>592.30192000000011</v>
      </c>
      <c r="L345" s="3">
        <f>1048.8+(271.2-713)+(0.534888+(0.138312-0.36363))+0-4-0.00203999999999959</f>
        <v>603.30753000000004</v>
      </c>
      <c r="M345" s="3">
        <f>1037.6+(265.2-690.1)+(0.529176+(0.135252-0.351951))+0-4-0.00203999999999959</f>
        <v>609.0104369999998</v>
      </c>
      <c r="N345" s="3">
        <f>1083.2+(241.1-663.3)+(1.104864+(0.245922-0.676566))+0-4-0.00408000000000064</f>
        <v>657.67014000000006</v>
      </c>
      <c r="O345" s="3">
        <f>1193.8+(207.1-688)+(1.217676+(0.211242-0.70176))+0-4-0.00408000000000064</f>
        <v>709.62307799999996</v>
      </c>
      <c r="P345" s="3">
        <f>1138.9+(250.3-665.1)+(-1.742517+(-0.382959--1.017603))+0-4--0.00612000000000023</f>
        <v>718.99824700000011</v>
      </c>
      <c r="Q345" s="3">
        <f>1156.1+(271.3-713.6)+(-1.179222+(-0.276726--0.727872))+0-4--0.00408000000000064</f>
        <v>709.07600400000001</v>
      </c>
      <c r="R345" s="3">
        <f>1167.9+(230.6-628.8)+(-2.978145+(-0.58803--1.60344))+0-4--0.0101999999999994</f>
        <v>763.74746500000026</v>
      </c>
      <c r="S345" s="3">
        <f>1040.7+(232.1-527.6)+(1.061514+(0.236742-0.538152))+0-4-0.00408000000000064</f>
        <v>741.95602399999996</v>
      </c>
      <c r="T345" s="3">
        <f>1036.9+(219.1-491.8)+(-1.057638+(-0.223482--0.501636))+0-4--0.00408000000000064</f>
        <v>759.42459600000007</v>
      </c>
      <c r="U345" s="3">
        <f>1043.6+(271.9-577.7)+(2.128944+(0.554676-1.178508))+0-4-0.00815999999999983</f>
        <v>735.29695199999992</v>
      </c>
      <c r="V345" s="3">
        <f>1157.8+(231-622)+(-1.180956+(-0.23562--0.63444))+0-4--0.00408000000000064</f>
        <v>762.02194399999996</v>
      </c>
      <c r="W345" s="3">
        <f>1178.4+(176.7-595.7)+(0.600984+(0.090117-0.303807))+0-4-0.00203999999999959</f>
        <v>755.78525400000012</v>
      </c>
      <c r="X345" s="3">
        <f>1190.9+(245.2-574.9)+(1.214718+(0.250104-0.586398))+0-4-0.00408000000000064</f>
        <v>858.074344</v>
      </c>
      <c r="Y345" s="3">
        <f>1192.5+(350.1-635.2)+(0.608175+(0.178551-0.323952))+0-4-0.00203999999999959</f>
        <v>903.86073399999998</v>
      </c>
      <c r="Z345" s="3">
        <f>1192.7+(342.2-655.9)+(-1.216554+(-0.349044--0.669018))+0-4--0.00408000000000064</f>
        <v>874.10750000000007</v>
      </c>
      <c r="AA345" s="3">
        <f>1193.6+(302.6-636.2)+(-1.217472+(-0.308652--0.648924))+0-4--0.00408000000000064</f>
        <v>855.12687999999991</v>
      </c>
      <c r="AB345" s="3">
        <f>1191.1+(278.2-618.6)+(-1.822383+(-0.425646--0.946458))+0-4--0.00612000000000023</f>
        <v>845.40454899999986</v>
      </c>
      <c r="AC345" s="3">
        <f>1188.5+(181.3-578.4)+(-1.818405+(-0.277389--0.884952))+0-4--0.00612000000000023</f>
        <v>786.19527800000014</v>
      </c>
      <c r="AD345">
        <v>902.2</v>
      </c>
      <c r="AE345" s="3">
        <f>1188+(301.2-587)+(0+(0-0))+0-0-0</f>
        <v>902.2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1196.7+(156.9-644.9)+(0+(0-0))+0-4-0</f>
        <v>704.7</v>
      </c>
      <c r="G346" s="3">
        <f>1195.9+(184.9-721.3)+(-2.439636+(-0.377196--1.471452))+0-4--0.00815999999999983</f>
        <v>654.16278000000011</v>
      </c>
      <c r="H346" s="3">
        <f>1166.7+(229.8-752.8)+(-1.785051+(-0.351594--1.151784))+0-4--0.00612000000000023</f>
        <v>638.72125900000003</v>
      </c>
      <c r="I346" s="3">
        <f>1086.8+(252.7-708.8)+(-1.108536+(-0.257754--0.722976))+0-4--0.00408000000000064</f>
        <v>626.06076600000006</v>
      </c>
      <c r="J346" s="3">
        <f>1118.8+(231.2-718.2)+(0.570588+(0.117912-0.366282))+0-4-0.00203999999999959</f>
        <v>628.12017800000001</v>
      </c>
      <c r="K346" s="3">
        <f>1154+(234.1-746.9)+(0.58854+(0.119391-0.380919))+0-4-0.00203999999999959</f>
        <v>637.52497200000005</v>
      </c>
      <c r="L346" s="3">
        <f>1153.5+(288.9-789.6)+(0.588285+(0.147339-0.402696))+0-5-0.00254999999999949</f>
        <v>648.13037799999995</v>
      </c>
      <c r="M346" s="3">
        <f>1166.2+(273.4-763.1)+(0+(0-0))+0-5-0</f>
        <v>671.5</v>
      </c>
      <c r="N346" s="3">
        <f>1195+(194.2-667.6)+(0.60945+(0.099042-0.340476))+0-5-0.00254999999999949</f>
        <v>716.96546599999988</v>
      </c>
      <c r="O346" s="3">
        <f>1156.4+(235.8-637.5)+(0+(0-0))+0-5-0</f>
        <v>749.7</v>
      </c>
      <c r="P346" s="3">
        <f>1180.7+(219.1-619.6)+(-2.408628+(-0.446964--1.263984))+0-5--0.0101999999999998</f>
        <v>773.61859200000015</v>
      </c>
      <c r="Q346" s="3">
        <f>1188.6+(209.1-634.4)+(0+(0-0))+0-5-0</f>
        <v>758.3</v>
      </c>
      <c r="R346" s="3">
        <f>1174.4+(192.6-631)+(-1.197888+(-0.196452--0.64362))+0-5--0.0051000000000008</f>
        <v>730.25438000000008</v>
      </c>
      <c r="S346" s="3">
        <f>1172.9+(189.4-633)+(-0.598179+(-0.096594--0.32283))+0-5--0.00254999999999949</f>
        <v>723.93060700000012</v>
      </c>
      <c r="T346" s="3">
        <f>1177.3+(187.7-645.6)+(0.600423+(0.095727-0.329256))+0-5-0.00254999999999949</f>
        <v>714.76434399999982</v>
      </c>
      <c r="U346" s="3">
        <f>1171.3+(184.7-646.8)+(-2.986815+(-0.470985--1.64934))+0-5--0.0127499999999993</f>
        <v>702.40429000000006</v>
      </c>
      <c r="V346" s="3">
        <f>1188.1+(173.1-629.6)+(0+(0-0))+0-5-0</f>
        <v>726.59999999999991</v>
      </c>
      <c r="W346" s="3">
        <f>1193.1+(183.2-630.1)+(-2.433924+(-0.373728--1.285404))+0-5--0.0101999999999998</f>
        <v>739.68795199999988</v>
      </c>
      <c r="X346" s="3">
        <f>1196.2+(272.4-605.8)+(-1.220124+(-0.277848--0.617916))+0-6--0.00612000000000096</f>
        <v>855.92606400000011</v>
      </c>
      <c r="Y346" s="3">
        <f>1194.9+(338.9-619)+(-3.656394+(-1.037034--1.89414))+0-6--0.0183600000000007</f>
        <v>906.01907200000005</v>
      </c>
      <c r="Z346" s="3">
        <f>1138.1+(369.5-620.4)+(-1.741293+(-0.565335--0.949212))+0-5--0.00765000000000029</f>
        <v>880.850234</v>
      </c>
      <c r="AA346" s="3">
        <f>1123.5+(350.3-602.3)+(-1.14597+(-0.357306--0.614346))+0-5--0.0051000000000008</f>
        <v>865.61617000000001</v>
      </c>
      <c r="AB346" s="3">
        <f>1117.3+(336.1-598.9)+(-1.709469+(-0.514233--0.916317))+0-5--0.00765000000000029</f>
        <v>848.20026500000006</v>
      </c>
      <c r="AC346" s="3">
        <f>1116.1+(262.2-573)+(-2.846055+(-0.66861--1.46115))+0-5--0.0127499999999993</f>
        <v>798.25923499999999</v>
      </c>
      <c r="AD346">
        <v>904.40000000000009</v>
      </c>
      <c r="AE346" s="3">
        <f>1195+(352.7-643.3)+(0+(0-0))+0-4-0</f>
        <v>900.40000000000009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1084.5+(238.1-596.7)+(-2.21238+(-0.485724--1.217268))+0-0-0</f>
        <v>724.41916400000002</v>
      </c>
      <c r="G347" s="3">
        <f>1091+(205.2-621.9)+(1.66923+(0.313956-0.951507))+0-0-0</f>
        <v>675.33167900000001</v>
      </c>
      <c r="H347" s="3">
        <f>1083.6+(216.3-650.1)+(-2.76318+(-0.551565--1.657755))+0-0-0</f>
        <v>648.14301</v>
      </c>
      <c r="I347" s="3">
        <f>1087.6+(229.8-681.6)+(1.109352+(0.234396-0.695232))+0-0-0</f>
        <v>636.44851599999993</v>
      </c>
      <c r="J347" s="3">
        <f>1084+(233.8-681.1)+(-2.21136+(-0.476952--1.389444))+0-0-0</f>
        <v>635.40113200000008</v>
      </c>
      <c r="K347" s="3">
        <f>1087+(248.3-694.2)+(-1.10874+(-0.253266--0.708084))+0-0-0</f>
        <v>640.44607799999994</v>
      </c>
      <c r="L347" s="3">
        <f>1104.4+(284.6-724.7)+(-2.252976+(-0.580584--1.478388))+0-0-0</f>
        <v>662.94482800000003</v>
      </c>
      <c r="M347" s="3">
        <f>1106.7+(297.3-731.9)+(3.386502+(0.909738-2.239614))+0-0-0</f>
        <v>674.15662600000019</v>
      </c>
      <c r="N347" s="3">
        <f>1118.8+(240.1-649.3)+(2.282352+(0.489804-1.324572))+0-0-0</f>
        <v>711.04758400000003</v>
      </c>
      <c r="O347" s="3">
        <f>1196.6+(233.7-652.4)+(-0.610266+(-0.119187--0.332724))+0-0-0</f>
        <v>777.50327099999981</v>
      </c>
      <c r="P347" s="3">
        <f>1178.8+(388.8-757.2)+(1.202376+(0.396576-0.772344))+0-0-0</f>
        <v>811.22660799999983</v>
      </c>
      <c r="Q347" s="3">
        <f>1174.5+(415.9-772.1)+(0+(0-0))+0-0-0</f>
        <v>818.3</v>
      </c>
      <c r="R347" s="3">
        <f>1159.3+(326.7-696.1)+(-3.547458+(-0.999702--2.130066))+0-4--0.0122400000000005</f>
        <v>783.49514599999986</v>
      </c>
      <c r="S347" s="3">
        <f>1166.9+(265.5-662.4)+(-3.570714+(-0.81243--2.026944))+0-4--0.0122400000000005</f>
        <v>763.65604000000019</v>
      </c>
      <c r="T347" s="3">
        <f>1181.9+(216.3-659.6)+(2.411076+(0.441252-1.345584))+0-4-0.00815999999999983</f>
        <v>736.09858400000019</v>
      </c>
      <c r="U347" s="3">
        <f>1176.6+(192.6-627.2)+(0.600066+(0.098226-0.319872))+0-4-0.00203999999999959</f>
        <v>738.37637999999993</v>
      </c>
      <c r="V347" s="3">
        <f>1188.7+(149.5-577.5)+(-0.606237+(-0.076245--0.294525))+0-4--0.00203999999999959</f>
        <v>756.31408299999998</v>
      </c>
      <c r="W347" s="3">
        <f>1193.8+(127.2-555.2)+(-1.217676+(-0.129744--0.566304))+0-4--0.00408000000000064</f>
        <v>761.022964</v>
      </c>
      <c r="X347" s="3">
        <f>1196+(65.7-400.3)+(-0.60996+(-0.033507--0.204153))+0-4--0.00203999999999959</f>
        <v>856.96272599999998</v>
      </c>
      <c r="Y347" s="3">
        <f>1190.3+(85-375.2)+(-1.821159+(-0.13005--0.574056))+0-4--0.00612000000000023</f>
        <v>894.7289669999999</v>
      </c>
      <c r="Z347" s="3">
        <f>1185.2+(94.3-412.3)+(-2.417808+(-0.192372--0.841092))+0-4--0.00815999999999983</f>
        <v>861.43907200000001</v>
      </c>
      <c r="AA347" s="3">
        <f>1187.8+(59.6-376.5)+(0+(0-0))+0-4-0</f>
        <v>866.9</v>
      </c>
      <c r="AB347" s="3">
        <f>1178.5+(54.6-374.7)+(-3.005175+(-0.13923--0.955485))+0-4--0.0101999999999994</f>
        <v>852.22128000000009</v>
      </c>
      <c r="AC347" s="3">
        <f>1186.9+(52-416.3)+(0+(0-0))+0-4-0</f>
        <v>818.60000000000014</v>
      </c>
      <c r="AD347">
        <v>878.8</v>
      </c>
      <c r="AE347" s="3">
        <f>1186+(85.3-392.5)+(0+(0-0))+0-4-0</f>
        <v>874.8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1179.6+(27-477.3)+(-2.406384+(-0.05508--0.973692))+0-4--0.00815999999999983</f>
        <v>723.82038799999998</v>
      </c>
      <c r="G348" s="3">
        <f>1137.2+(27-486)+(0+(0-0))+0-4-0</f>
        <v>674.2</v>
      </c>
      <c r="H348" s="3">
        <f>1091.9+(28-469.1)+(0.556869+(0.01428-0.239241))+0-4-0.00203999999999959</f>
        <v>647.1298680000001</v>
      </c>
      <c r="I348" s="3">
        <f>1087.8+(28-480.3)+(-1.109556+(-0.02856--0.489906))+0-4--0.00408000000000064</f>
        <v>630.8558700000001</v>
      </c>
      <c r="J348" s="3">
        <f>1079.5+(27-477.2)+(-2.752725+(-0.06885--1.21686))+0-4--0.0101999999999994</f>
        <v>623.70548499999995</v>
      </c>
      <c r="K348" s="3">
        <f>1096.7+(27-495.7)+(1.118634+(0.02754-0.505614))+0-4-0.00408000000000064</f>
        <v>624.63648000000001</v>
      </c>
      <c r="L348" s="3">
        <f>1086.5+(53.9-515.3)+(0.554115+(0.027489-0.262803))+0-4-0.00203999999999959</f>
        <v>621.41676100000006</v>
      </c>
      <c r="M348" s="3">
        <f>1092.1+(70.5-541.8)+(0+(0-0))+0-4-0</f>
        <v>616.79999999999995</v>
      </c>
      <c r="N348" s="3">
        <f>1124.5+(94.8-565.7)+(0.573495+(0.048348-0.288507))+0-4-0.00203999999999959</f>
        <v>649.93129599999997</v>
      </c>
      <c r="O348" s="3">
        <f>1139.8+(88.5-525.7)+(1.162596+(0.09027-0.536214))+0-4-0.00408000000000064</f>
        <v>699.31257199999982</v>
      </c>
      <c r="P348" s="3">
        <f>1130.8+(53.9-441.3)+(-0.576708+(-0.027489--0.225063))+0-4--0.00203999999999959</f>
        <v>739.02290599999981</v>
      </c>
      <c r="Q348" s="3">
        <f>1180.4+(43.8-457.7)+(-0.602004+(-0.022338--0.233427))+0-4--0.00203999999999959</f>
        <v>762.11112500000013</v>
      </c>
      <c r="R348" s="3">
        <f>1176.9+(45.3-469.4)+(0+(0-0))+0-4-0</f>
        <v>748.80000000000018</v>
      </c>
      <c r="S348" s="3">
        <f>1172.7+(44.7-480.5)+(0+(0-0))+0-4-0</f>
        <v>732.90000000000009</v>
      </c>
      <c r="T348" s="3">
        <f>1137.4+(41.1-457.9)+(0+(0-0))+0-4-0</f>
        <v>716.60000000000014</v>
      </c>
      <c r="U348" s="3">
        <f>1106.2+(41.6-430.8)+(0+(0-0))+0-4-0</f>
        <v>713</v>
      </c>
      <c r="V348" s="3">
        <f>1102.6+(49.1-426.8)+(0+(0-0))+0-4-0</f>
        <v>720.89999999999986</v>
      </c>
      <c r="W348" s="3">
        <f>1109.2+(72.9-435.3)+(0+(0-0))+0-4-0</f>
        <v>742.80000000000007</v>
      </c>
      <c r="X348" s="3">
        <f>1171.6+(176.3-520.7)+(0+(0-0))+0-4-0</f>
        <v>823.19999999999982</v>
      </c>
      <c r="Y348" s="3">
        <f>1181.5+(254-572.2)+(0+(0-0))+0-4-0</f>
        <v>859.3</v>
      </c>
      <c r="Z348" s="3">
        <f>1182.2+(235.9-579)+(0+(0-0))+0-4-0</f>
        <v>835.1</v>
      </c>
      <c r="AA348" s="3">
        <f>1172.6+(166.6-501.8)+(0+(0-0))+0-4-0</f>
        <v>833.39999999999986</v>
      </c>
      <c r="AB348" s="3">
        <f>1173+(104.9-445.3)+(0+(0-0))+0-4-0</f>
        <v>828.6</v>
      </c>
      <c r="AC348" s="3">
        <f>1182.2+(52.2-461)+(0+(0-0))+0-4-0</f>
        <v>769.40000000000009</v>
      </c>
      <c r="AD348">
        <v>860.5</v>
      </c>
      <c r="AE348" s="3">
        <f>1177+(243.2-559.7)+(0+(0-0))+0-4-0</f>
        <v>856.5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1188.5+(28-500.8)+(0+(0-0))+0-4-0</f>
        <v>711.7</v>
      </c>
      <c r="G349" s="3">
        <f>1132+(24-508)+(0+(0-0))+0-4-0</f>
        <v>644</v>
      </c>
      <c r="H349" s="3">
        <f>1111+(35.6-522.6)+(0+(0-0))+0-4-0</f>
        <v>620</v>
      </c>
      <c r="I349" s="3">
        <f>1112+(23-527.3)+(0+(0-0))+0-4-0</f>
        <v>603.70000000000005</v>
      </c>
      <c r="J349" s="3">
        <f>1127+(32.9-565.8)+(0+(0-0))+0-4-0</f>
        <v>590.1</v>
      </c>
      <c r="K349" s="3">
        <f>1128+(38.4-567.2)+(0+(0-0))+0-4-0</f>
        <v>595.19999999999993</v>
      </c>
      <c r="L349" s="3">
        <f>1122.3+(69.8-604.8)+(2.861865+(0.17799-1.54224))+0-4-0.0101999999999994</f>
        <v>584.7874149999999</v>
      </c>
      <c r="M349" s="3">
        <f>1189.9+(74.3-669.8)+(2.427396+(0.151572-1.366392))+0-4-0.00815999999999983</f>
        <v>591.60441600000013</v>
      </c>
      <c r="N349" s="3">
        <f>1192.7+(34-577.3)+(0+(0-0))+0-4-0</f>
        <v>645.40000000000009</v>
      </c>
      <c r="O349" s="3">
        <f>1192.9+(37-522.7)+(0.608379+(0.01887-0.266577))+0-4-0.00203999999999959</f>
        <v>703.5586320000001</v>
      </c>
      <c r="P349" s="3">
        <f>1190.5+(46.4-484.4)+(0.607155+(0.023664-0.247044))+0-4-0.00203999999999959</f>
        <v>748.88173500000005</v>
      </c>
      <c r="Q349" s="3">
        <f>1139.3+(77.8-456.4)+(-1.743129+(-0.119034--0.698292))+0-4--0.00612000000000023</f>
        <v>755.54224900000008</v>
      </c>
      <c r="R349" s="3">
        <f>1155.7+(63.7-475.1)+(0+(0-0))+0-4-0</f>
        <v>740.3</v>
      </c>
      <c r="S349" s="3">
        <f>1157.4+(60.4-483.7)+(-1.180548+(-0.061608--0.493374))+0-4--0.00408000000000064</f>
        <v>729.35529800000018</v>
      </c>
      <c r="T349" s="3">
        <f>1161.5+(53.5-493)+(0+(0-0))+0-4-0</f>
        <v>718</v>
      </c>
      <c r="U349" s="3">
        <f>1157.3+(55.7-497.7)+(-1.770669+(-0.085221--0.761481))+0-4--0.00612000000000023</f>
        <v>710.21171099999992</v>
      </c>
      <c r="V349" s="3">
        <f>1160.5+(59.7-490.9)+(0.591855+(0.030447-0.250359))+0-4-0.00203999999999959</f>
        <v>725.66990299999998</v>
      </c>
      <c r="W349" s="3">
        <f>1163.3+(77.4-481.4)+(-1.186566+(-0.078948--0.491028))+0-4--0.00408000000000064</f>
        <v>754.52959399999997</v>
      </c>
      <c r="X349" s="3">
        <f>1167+(111.1-470)+(0+(0-0))+0-4-0</f>
        <v>804.1</v>
      </c>
      <c r="Y349" s="3">
        <f>1163.6+(222.7-493.5)+(-1.780308+(-0.340731--0.755055))+0-4--0.00612000000000023</f>
        <v>887.44013599999994</v>
      </c>
      <c r="Z349" s="3">
        <f>1154.2+(275-547.5)+(-1.765926+(-0.42075--0.837675))+0-4--0.00612000000000023</f>
        <v>876.35711900000001</v>
      </c>
      <c r="AA349" s="3">
        <f>1147.2+(245.4-532)+(-0.585072+(-0.125154--0.27132))+0-4--0.00203999999999959</f>
        <v>856.16313400000001</v>
      </c>
      <c r="AB349" s="3">
        <f>1142.6+(138-399.9)+(-2.330904+(-0.28152--0.815796))+0-4--0.00815999999999983</f>
        <v>874.91153199999985</v>
      </c>
      <c r="AC349" s="3">
        <f>1131.7+(92.6-424.1)+(-2.885835+(-0.23613--1.081455))+0-4--0.0101999999999994</f>
        <v>794.16969000000006</v>
      </c>
      <c r="AD349">
        <v>894.50000000000011</v>
      </c>
      <c r="AE349" s="3">
        <f>1169+(176.4-450.9)+(0+(0-0))+0-4-0</f>
        <v>890.5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1084.4+(52.9-439.4)+(-2.76522+(-0.134895--1.12047))+0-0-0</f>
        <v>696.12035500000013</v>
      </c>
      <c r="G350" s="3">
        <f>1036.6+(31-441.8)+(-2.64333+(-0.07905--1.12659))+0-0-0</f>
        <v>624.20420999999999</v>
      </c>
      <c r="H350" s="3">
        <f>1005.7+(29-413.7)+(-2.564535+(-0.07395--1.054935))+0-0-0</f>
        <v>619.41645000000005</v>
      </c>
      <c r="I350" s="3">
        <f>1008.8+(29-430.7)+(-0.514488+(-0.01479--0.219657))+0-0-0</f>
        <v>606.79037899999992</v>
      </c>
      <c r="J350" s="3">
        <f>999.1+(30-429.8)+(-2.547705+(-0.0765--1.09599))+0-0-0</f>
        <v>597.77178499999991</v>
      </c>
      <c r="K350" s="3">
        <f>1007.9+(30-427.8)+(0.514029+(0.0153-0.218178))+0-0-0</f>
        <v>610.4111509999999</v>
      </c>
      <c r="L350" s="3">
        <f>995+(34-401.5)+(-1.52235+(-0.05202--0.614295))+0-4--0.00612000000000023</f>
        <v>622.54604500000005</v>
      </c>
      <c r="M350" s="3">
        <f>1136.1+(35-506.8)+(-1.158822+(-0.0357--0.516936))+0-4--0.00408000000000064</f>
        <v>659.62649399999998</v>
      </c>
      <c r="N350" s="3">
        <f>1146.5+(45-487.3)+(0.584715+(0.02295-0.248523))+0-4-0.00203999999999959</f>
        <v>700.5571020000001</v>
      </c>
      <c r="O350" s="3">
        <f>848.1+(184-253.4)+(0.865062+(0.18768-0.258468))+0-4-0.00408000000000064</f>
        <v>775.49019399999997</v>
      </c>
      <c r="P350" s="3">
        <f>764.1+(330.8-251.7)+(-0.389691+(-0.168708--0.128367))+0-4--0.00203999999999959</f>
        <v>838.77200800000003</v>
      </c>
      <c r="Q350" s="3">
        <f>761.7+(326-256)+(-0.776934+(-0.33252--0.26112))+0-4--0.00408000000000064</f>
        <v>826.85574600000007</v>
      </c>
      <c r="R350" s="3">
        <f>803.6+(208.2-249.9)+(-0.409836+(-0.106182--0.127449))+0-4--0.00203999999999959</f>
        <v>757.51347099999998</v>
      </c>
      <c r="S350" s="3">
        <f>923.4+(108.3-280.7)+(0.941868+(0.110466-0.286314))+0-4-0.00408000000000064</f>
        <v>747.76193999999998</v>
      </c>
      <c r="T350" s="3">
        <f>1009.6+(84.3-350.8)+(0.514896+(0.042993-0.178908))+0-4-0.00203999999999959</f>
        <v>739.47694100000001</v>
      </c>
      <c r="U350" s="3">
        <f>1031.3+(80.6-358.5)+(0.525963+(0.041106-0.182835))+0-4-0.00203999999999959</f>
        <v>749.782194</v>
      </c>
      <c r="V350" s="3">
        <f>1075.3+(80.8-370.1)+(-0.548403+(-0.041208--0.188751))+0-4--0.00203999999999959</f>
        <v>781.60118</v>
      </c>
      <c r="W350" s="3">
        <f>1134.6+(79-441.1)+(1.735938+(0.12087-0.674883))+0-4-0.00612000000000023</f>
        <v>769.67580499999985</v>
      </c>
      <c r="X350" s="3">
        <f>1133.5+(99.7-404.4)+(0+(0-0))+0-4-0</f>
        <v>824.8</v>
      </c>
      <c r="Y350" s="3">
        <f>1117+(110.3-395.5)+(-1.70901+(-0.168759--0.605115))+0-4--0.00612000000000023</f>
        <v>826.53346599999998</v>
      </c>
      <c r="Z350" s="3">
        <f>1062.3+(133.1-361.8)+(-1.083546+(-0.135762--0.369036))+0-4--0.00408000000000064</f>
        <v>828.75380799999994</v>
      </c>
      <c r="AA350" s="3">
        <f>1010.6+(152.1-362.7)+(-2.57703+(-0.387855--0.924885))+0-4--0.0101999999999994</f>
        <v>793.97020000000009</v>
      </c>
      <c r="AB350" s="3">
        <f>1010+(149.5-366.1)+(-1.5453+(-0.228735--0.560133))+0-4--0.00612000000000023</f>
        <v>788.19221800000003</v>
      </c>
      <c r="AC350" s="3">
        <f>1009+(111.8-394.1)+(-2.05836+(-0.228072--0.803964))+0-4--0.00815999999999983</f>
        <v>721.22569199999998</v>
      </c>
      <c r="AD350">
        <v>871</v>
      </c>
      <c r="AE350" s="3">
        <f>1131+(131.7-391.7)+(0+(0-0))+0-5-0</f>
        <v>866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1007.7+(54.7-439.4)+(0.513927+(0.027897-0.224094))+0-0-0</f>
        <v>623.31772999999998</v>
      </c>
      <c r="G351" s="3">
        <f>962.6+(39.8-417.9)+(-0.981852+(-0.040596--0.426258))+0-0-0</f>
        <v>583.90381000000002</v>
      </c>
      <c r="H351" s="3">
        <f>939.5+(34.2-415.3)+(-0.479145+(-0.017442--0.211803))+0-0-0</f>
        <v>558.11521600000003</v>
      </c>
      <c r="I351" s="3">
        <f>946.7+(34.1-410.4)+(0.482817+(0.017391-0.209304))+0-0-0</f>
        <v>570.69090400000005</v>
      </c>
      <c r="J351" s="3">
        <f>946.7+(34.9-409.9)+(-0.965634+(-0.035598--0.418098))+0-0-0</f>
        <v>571.11686600000007</v>
      </c>
      <c r="K351" s="3">
        <f>989.9+(31.5-430.1)+(0+(0-0))+0-0-0</f>
        <v>591.29999999999995</v>
      </c>
      <c r="L351" s="3">
        <f>1041.3+(31-500.2)+(-1.062126+(-0.03162--0.510204))+0-0-0</f>
        <v>571.51645799999994</v>
      </c>
      <c r="M351" s="3">
        <f>1044+(33.1-485.4)+(0.53244+(0.016881-0.247554))+0-0-0</f>
        <v>592.00176700000009</v>
      </c>
      <c r="N351" s="3">
        <f>1055+(52.1-551.4)+(1.0761+(0.053142-0.562428))+0-0-0</f>
        <v>556.26681400000007</v>
      </c>
      <c r="O351" s="3">
        <f>1121.4+(76.1-532.1)+(0.571914+(0.038811-0.271371))+0-0-0</f>
        <v>665.73935400000005</v>
      </c>
      <c r="P351" s="3">
        <f>1117.5+(152.3-564.9)+(-1.709775+(-0.233019--0.864297))+0-0-0</f>
        <v>703.82150300000012</v>
      </c>
      <c r="Q351" s="3">
        <f>1112.3+(207.8-575.8)+(-2.269092+(-0.423912--1.174632))+0-0-0</f>
        <v>742.78162799999996</v>
      </c>
      <c r="R351" s="3">
        <f>1118.5+(159.1-526.5)+(-1.711305+(-0.243423--0.805545))+0-4--0.00612000000000023</f>
        <v>745.95693700000004</v>
      </c>
      <c r="S351" s="3">
        <f>1116.8+(107.4-499.6)+(-2.84784+(-0.27387--1.27398))+0-4--0.0101999999999994</f>
        <v>718.76247000000001</v>
      </c>
      <c r="T351" s="3">
        <f>1109.4+(98.6-530.5)+(0.565794+(0.050286-0.270555))+0-4-0.00203999999999959</f>
        <v>673.8434850000001</v>
      </c>
      <c r="U351" s="3">
        <f>1112+(92.1-522.6)+(-2.26848+(-0.187884--1.066104))+0-4--0.00815999999999983</f>
        <v>676.11789999999996</v>
      </c>
      <c r="V351" s="3">
        <f>1114.9+(78.7-438.7)+(0+(0-0))+0-4-0</f>
        <v>750.90000000000009</v>
      </c>
      <c r="W351" s="3">
        <f>1120.8+(77.6-454.9)+(0.571608+(0.039576-0.231999))+0-4-0.00203999999999959</f>
        <v>739.87714500000004</v>
      </c>
      <c r="X351" s="3">
        <f>1152.1+(130.6-469.1)+(1.175142+(0.133212-0.478482))+0-4-0.00408000000000064</f>
        <v>810.42579199999989</v>
      </c>
      <c r="Y351" s="3">
        <f>1137+(212.4-462)+(0+(0-0))+0-4-0</f>
        <v>883.4</v>
      </c>
      <c r="Z351" s="3">
        <f>1135.3+(150-400.7)+(0.579003+(0.0765-0.204357))+0-4-0.00203999999999959</f>
        <v>881.04910599999994</v>
      </c>
      <c r="AA351" s="3">
        <f>1131.4+(139.1-399.9)+(-1.154028+(-0.141882--0.407898))+0-4--0.00408000000000064</f>
        <v>865.71606800000018</v>
      </c>
      <c r="AB351" s="3">
        <f>1137.7+(138.7-462.8)+(-0.580227+(-0.070737--0.236028))+0-4--0.00203999999999959</f>
        <v>809.18710399999998</v>
      </c>
      <c r="AC351" s="3">
        <f>1141.7+(117.2-471.3)+(-2.329068+(-0.239088--0.961452))+0-4--0.00815999999999983</f>
        <v>782.00145599999996</v>
      </c>
      <c r="AD351">
        <v>885.4</v>
      </c>
      <c r="AE351" s="3">
        <f>1133+(222.3-469.9)+(0+(0-0))+0-4-0</f>
        <v>881.40000000000009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1142.9+(65.2-486.6)+(-0.582879+(-0.033252--0.248166))+0-0-0</f>
        <v>721.13203499999997</v>
      </c>
      <c r="G352" s="3">
        <f>1055.9+(49-452)+(0+(0-0))+0-0-0</f>
        <v>652.90000000000009</v>
      </c>
      <c r="H352" s="3">
        <f>1029.9+(54.5-456.1)+(-0.525249+(-0.027795--0.232611))+0-0-0</f>
        <v>627.97956700000009</v>
      </c>
      <c r="I352" s="3">
        <f>998.4+(58.2-419)+(0+(0-0))+0-0-0</f>
        <v>637.59999999999991</v>
      </c>
      <c r="J352" s="3">
        <f>980.4+(57.6-407.5)+(1.000008+(0.058752-0.41565))+0-0-0</f>
        <v>631.14310999999998</v>
      </c>
      <c r="K352" s="3">
        <f>975.6+(57.2-402.9)+(-0.497556+(-0.029172--0.205479))+0-0-0</f>
        <v>629.57875100000012</v>
      </c>
      <c r="L352" s="3">
        <f>970+(59.5-408)+(-0.4947+(-0.030345--0.20808))+0-0-0</f>
        <v>621.18303500000002</v>
      </c>
      <c r="M352" s="3">
        <f>974.5+(75-447.8)+(0.99399+(0.0765-0.456756))+0-0-0</f>
        <v>602.31373400000007</v>
      </c>
      <c r="N352" s="3">
        <f>1032.2+(101.7-454.5)+(1.052844+(0.103734-0.46359))+0-0-0</f>
        <v>680.0929880000001</v>
      </c>
      <c r="O352" s="3">
        <f>1126.3+(111.6-522.7)+(1.148826+(0.113832-0.533154))+0-0-0</f>
        <v>715.92950399999995</v>
      </c>
      <c r="P352" s="3">
        <f>1119.9+(186.9-562.1)+(1.713447+(0.285957-0.860013))+0-0-0</f>
        <v>745.83939100000009</v>
      </c>
      <c r="Q352" s="3">
        <f>1061.1+(295.2-568.8)+(-1.623483+(-0.451656--0.870264))+0-0-0</f>
        <v>786.29512499999998</v>
      </c>
      <c r="R352" s="3">
        <f>992+(296.8-565.7)+(-2.02368+(-0.605472--1.154028))+0-0-0</f>
        <v>721.62487599999986</v>
      </c>
      <c r="S352" s="3">
        <f>991.9+(250.3-484.9)+(-2.529345+(-0.638265--1.236495))+0-0-0</f>
        <v>755.36888499999998</v>
      </c>
      <c r="T352" s="3">
        <f>995.9+(203.4-407.4)+(1.523727+(0.311202-0.623322))+0-0-0</f>
        <v>793.11160699999994</v>
      </c>
      <c r="U352" s="3">
        <f>991.2+(207.8-454.7)+(1.516536+(0.317934-0.695691))+0-0-0</f>
        <v>745.43877900000007</v>
      </c>
      <c r="V352" s="3">
        <f>987+(192.6-433.4)+(-0.50337+(-0.098226--0.221034))+0-0-0</f>
        <v>745.81943799999999</v>
      </c>
      <c r="W352" s="3">
        <f>987.9+(180.3-413.9)+(-0.503829+(-0.091953--0.211089))+0-0-0</f>
        <v>753.91530699999998</v>
      </c>
      <c r="X352" s="3">
        <f>1013.9+(276.5-440.6)+(0+(0-0))+0-0-0</f>
        <v>849.8</v>
      </c>
      <c r="Y352" s="3">
        <f>1038.6+(348.3-459.4)+(-1.589058+(-0.532899--0.702882))+0-0-0</f>
        <v>926.08092499999998</v>
      </c>
      <c r="Z352" s="3">
        <f>1042+(300.1-434.5)+(-1.06284+(-0.306102--0.44319))+0-0-0</f>
        <v>906.67424800000003</v>
      </c>
      <c r="AA352" s="3">
        <f>1042.7+(215.8-371.2)+(-1.063554+(-0.220116--0.378624))+0-0-0</f>
        <v>886.3949540000001</v>
      </c>
      <c r="AB352" s="3">
        <f>1040.8+(184.1-376.9)+(-2.123232+(-0.375564--0.768876))+0-0-0</f>
        <v>846.27008000000001</v>
      </c>
      <c r="AC352" s="3">
        <f>1034.2+(171.2-417.7)+(-1.582326+(-0.261936--0.639081))+0-0-0</f>
        <v>786.49481900000001</v>
      </c>
      <c r="AD352">
        <v>917.3</v>
      </c>
      <c r="AE352" s="3">
        <f>1039+(335.1-456.8)+(0+(0-0))+0-4-0</f>
        <v>913.3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945.1+(180.6-389.1)+(-3.374007+(-0.644742--1.389087))+0-4--0.0142800000000001</f>
        <v>729.98461799999995</v>
      </c>
      <c r="G353" s="3">
        <f>672.3+(245.1-271.7)+(-0.685746+(-0.250002--0.277134))+0-4--0.00408000000000064</f>
        <v>641.04546599999992</v>
      </c>
      <c r="H353" s="3">
        <f>667.3+(213.9-249.2)+(-1.361292+(-0.436356--0.508368))+0-4--0.00815999999999983</f>
        <v>626.71888000000001</v>
      </c>
      <c r="I353" s="3">
        <f>671.1+(194.1-244.1)+(0.342261+(0.098991-0.124491))+0-4-0.00203999999999959</f>
        <v>617.4147210000001</v>
      </c>
      <c r="J353" s="3">
        <f>669.7+(190.4-240.5)+(0+(0-0))+0-4-0</f>
        <v>615.6</v>
      </c>
      <c r="K353" s="3">
        <f>710.7+(195.9-275.2)+(-0.724914+(-0.199818--0.280704))+0-4--0.00408000000000064</f>
        <v>626.76005200000009</v>
      </c>
      <c r="L353" s="3">
        <f>749.6+(170.6-304.3)+(0.382296+(0.087006-0.155193))+0-4-0.00203999999999959</f>
        <v>612.21206900000004</v>
      </c>
      <c r="M353" s="3">
        <f>750.3+(168.3-277.9)+(0.765306+(0.171666-0.283458))+0-4-0.00408000000000064</f>
        <v>637.34943399999997</v>
      </c>
      <c r="N353" s="3">
        <f>749.6+(235.8-246.9)+(0.764592+(0.240516-0.251838))+0-4-0.00408000000000064</f>
        <v>735.24919</v>
      </c>
      <c r="O353" s="3">
        <f>748.1+(348.4-328)+(0+(0-0))+0-4-0</f>
        <v>764.5</v>
      </c>
      <c r="P353" s="3">
        <f>745.8+(423.8-349.3)+(-0.760716+(-0.432276--0.356286))+0-4--0.00408000000000064</f>
        <v>815.46737399999995</v>
      </c>
      <c r="Q353" s="3">
        <f>769.5+(383.3-350.2)+(-1.962225+(-0.977415--0.89301))+0-4--0.0101999999999994</f>
        <v>796.56357000000003</v>
      </c>
      <c r="R353" s="3">
        <f>852.8+(304-401.2)+(-1.304784+(-0.46512--0.613836))+0-4--0.00612000000000023</f>
        <v>750.45005199999991</v>
      </c>
      <c r="S353" s="3">
        <f>814.7+(327.5-418.7)+(-1.661988+(-0.6681--0.854148))+0-4--0.00815999999999983</f>
        <v>718.03221999999994</v>
      </c>
      <c r="T353" s="3">
        <f>785.8+(353.6-430.5)+(-0.400758+(-0.180336--0.219555))+0-4--0.00203999999999959</f>
        <v>704.54050099999995</v>
      </c>
      <c r="U353" s="3">
        <f>787.2+(393.1-461.7)+(0+(0-0))+0-4-0</f>
        <v>714.60000000000014</v>
      </c>
      <c r="V353" s="3">
        <f>793.1+(485.8-556.5)+(1.213443+(0.743274-0.851445))+0-4-0.00612000000000023</f>
        <v>719.49915200000009</v>
      </c>
      <c r="W353" s="3">
        <f>836.9+(500.4-628.8)+(-1.280457+(-0.765612--0.962064))+0-4--0.00612000000000023</f>
        <v>703.42211499999996</v>
      </c>
      <c r="X353" s="3">
        <f>987.3+(462.3-637.3)+(1.007046+(0.471546-0.650046))+0-4-0.00408000000000064</f>
        <v>809.12446599999987</v>
      </c>
      <c r="Y353" s="3">
        <f>1049.8+(474.6-629.9)+(-1.606194+(-0.726138--0.963747))+0-4--0.00612000000000023</f>
        <v>889.13753499999996</v>
      </c>
      <c r="Z353" s="3">
        <f>1050.6+(441.8-624)+(-2.143224+(-0.901272--1.27296))+0-4--0.00815999999999983</f>
        <v>862.63662399999987</v>
      </c>
      <c r="AA353" s="3">
        <f>1040.1+(432.5-603.1)+(-1.591353+(-0.661725--0.922743))+0-4--0.00612000000000023</f>
        <v>864.17578499999991</v>
      </c>
      <c r="AB353" s="3">
        <f>927.7+(553.4-620.9)+(-2.365635+(-1.41117--1.583295))+0-4--0.0101999999999994</f>
        <v>854.01669000000015</v>
      </c>
      <c r="AC353" s="3">
        <f>800.6+(610.2-609)+(-0.408306+(-0.311202--0.31059))+0-4--0.00203999999999959</f>
        <v>797.39312200000006</v>
      </c>
      <c r="AD353">
        <v>900.1</v>
      </c>
      <c r="AE353" s="3">
        <f>1054+(478.5-632.4)+(0+(0-0))+0-4-0</f>
        <v>896.1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746.1+(573.7-601.3)+(-1.902555+(-1.462935--1.533315))+0-4--0.0101999999999994</f>
        <v>712.67802500000016</v>
      </c>
      <c r="G354" s="3">
        <f>743.4+(528.5-608.5)+(-1.89567+(-1.347675--1.551675))+0-4--0.0101999999999994</f>
        <v>657.71852999999999</v>
      </c>
      <c r="H354" s="3">
        <f>751.7+(491.6-614.1)+(-1.150101+(-0.752148--0.939573))+0-4--0.00612000000000023</f>
        <v>624.24344400000007</v>
      </c>
      <c r="I354" s="3">
        <f>726.2+(490.4-596.3)+(1.111086+(0.750312-0.912339))+0-4-0.00612000000000023</f>
        <v>617.24293900000009</v>
      </c>
      <c r="J354" s="3">
        <f>663.6+(537.9-588.9)+(1.353744+(1.097316-1.201356))+0-4-0.00815999999999983</f>
        <v>609.841544</v>
      </c>
      <c r="K354" s="3">
        <f>668.5+(541.1-581.3)+(1.704675+(1.379805-1.482315))+0-4-0.0101999999999994</f>
        <v>625.89196500000003</v>
      </c>
      <c r="L354" s="3">
        <f>757.6+(476-607.7)+(-0.772752+(-0.48552--0.619854))+0-4--0.00408000000000064</f>
        <v>621.26566200000002</v>
      </c>
      <c r="M354" s="3">
        <f>766.7+(488.9-608)+(0.782034+(0.498678-0.62016))+0-4-0.00408000000000064</f>
        <v>644.25647200000003</v>
      </c>
      <c r="N354" s="3">
        <f>763.3+(533.4-612.5)+(0.389283+(0.272034-0.312375))+0-4-0.00203999999999959</f>
        <v>680.54690199999993</v>
      </c>
      <c r="O354" s="3">
        <f>760.3+(605.1-614.2)+(0.775506+(0.617202-0.626484))+0-4-0.00408000000000064</f>
        <v>747.96214399999985</v>
      </c>
      <c r="P354" s="3">
        <f>759+(594.4-580.4)+(-0.77418+(-0.606288--0.592008))+0-4--0.00408000000000064</f>
        <v>768.21562000000006</v>
      </c>
      <c r="Q354" s="3">
        <f>763.1+(581-562.6)+(-1.167543+(-0.88893--0.860778))+0-5--0.00765000000000029</f>
        <v>775.31195500000001</v>
      </c>
      <c r="R354" s="3">
        <f>759.5+(559.9-582.1)+(-1.54938+(-1.142196--1.187484))+0-5--0.0101999999999998</f>
        <v>730.80610799999999</v>
      </c>
      <c r="S354" s="3">
        <f>761.3+(532.8-593.2)+(0.776526+(0.543456-0.605064))+0-5-0.0051000000000008</f>
        <v>696.6098179999999</v>
      </c>
      <c r="T354" s="3">
        <f>761.5+(544.4-600.9)+(0.77673+(0.555288-0.612918))+0-5-0.0051000000000008</f>
        <v>700.71400000000006</v>
      </c>
      <c r="U354" s="3">
        <f>758.7+(509.4-573.3)+(-0.773874+(-0.519588--0.584766))+0-5--0.0051000000000008</f>
        <v>689.09640400000001</v>
      </c>
      <c r="V354" s="3">
        <f>757.2+(490.6-555.7)+(-1.158516+(-0.750618--0.850221))+0-5--0.00765000000000029</f>
        <v>686.04873700000007</v>
      </c>
      <c r="W354" s="3">
        <f>862.1+(449.6-617.6)+(-2.198355+(-1.14648--1.57488))+0-5--0.0127499999999993</f>
        <v>687.34279500000002</v>
      </c>
      <c r="X354" s="3">
        <f>886+(531.4-635.5)+(0.45186+(0.271014-0.324105))+0-5-0.00254999999999949</f>
        <v>777.29621899999995</v>
      </c>
      <c r="Y354" s="3">
        <f>878.5+(611.3-630.7)+(-2.68821+(-1.870578--1.929942))+0-5--0.0153000000000006</f>
        <v>851.48645399999998</v>
      </c>
      <c r="Z354" s="3">
        <f>883.5+(568.2-607.5)+(0+(0-0))+0-5-0</f>
        <v>839.2</v>
      </c>
      <c r="AA354" s="3">
        <f>876+(555-598.5)+(-1.34028+(-0.84915--0.915705))+0-5--0.00765000000000029</f>
        <v>826.233925</v>
      </c>
      <c r="AB354" s="3">
        <f>870.5+(547.9-605.9)+(-1.77582+(-1.117716--1.236036))+0-5--0.0101999999999998</f>
        <v>805.85270000000003</v>
      </c>
      <c r="AC354" s="3">
        <f>774.6+(584-591.7)+(-0.395046+(-0.29784--0.301767))+0-5--0.00254999999999949</f>
        <v>761.51143100000002</v>
      </c>
      <c r="AD354">
        <v>838.2</v>
      </c>
      <c r="AE354" s="3">
        <f>883+(596.7-641.5)+(0+(0-0))+0-4-0</f>
        <v>834.2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758+(494-586)+(-1.15974+(-0.75582--0.89658))+0-4--0.00612000000000023</f>
        <v>660.98713999999995</v>
      </c>
      <c r="G355" s="3">
        <f>755+(445.7-574.3)+(-1.5402+(-0.909228--1.171572))+0-4--0.00815999999999983</f>
        <v>621.13030400000002</v>
      </c>
      <c r="H355" s="3">
        <f>758.8+(410.1-570)+(-0.386988+(-0.209151--0.2907))+0-4--0.00203999999999959</f>
        <v>594.59660099999996</v>
      </c>
      <c r="I355" s="3">
        <f>680.5+(463.1-565)+(-1.041165+(-0.708543--0.86445))+0-4--0.00612000000000023</f>
        <v>573.72086200000001</v>
      </c>
      <c r="J355" s="3">
        <f>640.1+(513.9-579.9)+(0.326451+(0.262089-0.295749))+0-4-0.00203999999999959</f>
        <v>570.39075100000002</v>
      </c>
      <c r="K355" s="3">
        <f>640.3+(517.3-572.1)+(0+(0-0))+0-4-0</f>
        <v>581.49999999999989</v>
      </c>
      <c r="L355" s="3">
        <f>655.1+(532.4-580.8)+(-1.336404+(-1.086096--1.184832))+0-4--0.00815999999999983</f>
        <v>601.47049200000004</v>
      </c>
      <c r="M355" s="3">
        <f>670.5+(512-572.2)+(0.341955+(0.26112-0.291822))+0-4-0.00203999999999959</f>
        <v>606.60921299999995</v>
      </c>
      <c r="N355" s="3">
        <f>670.1+(567.8-601.5)+(0.683502+(0.579156-0.61353))+0-4-0.00408000000000064</f>
        <v>633.04504799999995</v>
      </c>
      <c r="O355" s="3">
        <f>700.2+(589.1-612.6)+(-0.357102+(-0.300441--0.312426))+0-4--0.00203999999999959</f>
        <v>672.35692300000005</v>
      </c>
      <c r="P355" s="3">
        <f>749.6+(572.2-620.1)+(0.382296+(0.291822-0.316251))+0-4-0.00203999999999959</f>
        <v>698.05582700000014</v>
      </c>
      <c r="Q355" s="3">
        <f>743.1+(577.3-623.8)+(-1.136943+(-0.883269--0.954414))+0-4--0.00612000000000023</f>
        <v>691.54032200000006</v>
      </c>
      <c r="R355" s="3">
        <f>740+(569.6-630.8)+(-2.2644+(-1.742976--1.930248))+0-4--0.0122400000000005</f>
        <v>672.73511200000007</v>
      </c>
      <c r="S355" s="3">
        <f>745.4+(573.7-618.8)+(-0.380154+(-0.292587--0.315588))+0-4--0.00203999999999959</f>
        <v>695.94488699999999</v>
      </c>
      <c r="T355" s="3">
        <f>745.4+(521.2-613)+(0+(0-0))+0-4-0</f>
        <v>649.6</v>
      </c>
      <c r="U355" s="3">
        <f>745.8+(508.5-607.4)+(-0.380358+(-0.259335--0.309774))+0-4--0.00203999999999959</f>
        <v>642.57212099999992</v>
      </c>
      <c r="V355" s="3">
        <f>745.2+(490-585.5)+(-0.760104+(-0.4998--0.59721))+0-4--0.00408000000000064</f>
        <v>645.0413860000001</v>
      </c>
      <c r="W355" s="3">
        <f>744.3+(474.9-572.4)+(-1.518372+(-0.968796--1.167696))+0-4--0.00815999999999983</f>
        <v>641.48868799999991</v>
      </c>
      <c r="X355" s="3">
        <f>767.7+(579.2-593.8)+(0.391527+(0.295392-0.302838))+0-4-0.00203999999999959</f>
        <v>749.48204100000021</v>
      </c>
      <c r="Y355" s="3">
        <f>795.9+(686.9-640.2)+(-1.217727+(-1.050957--0.979506))+0-4--0.00612000000000023</f>
        <v>837.31694199999993</v>
      </c>
      <c r="Z355" s="3">
        <f>776.9+(710.4-659.2)+(0.792438+(0.724608-0.672384))+0-4-0.00408000000000064</f>
        <v>824.94058199999984</v>
      </c>
      <c r="AA355" s="3">
        <f>800.2+(641.3-628.2)+(-1.632408+(-1.308252--1.281528))+0-4--0.00815999999999983</f>
        <v>807.64902799999993</v>
      </c>
      <c r="AB355" s="3">
        <f>876+(548.8-632.1)+(-0.44676+(-0.279888--0.322371))+0-4--0.00203999999999959</f>
        <v>788.29776299999992</v>
      </c>
      <c r="AC355" s="3">
        <f>896.5+(457.4-609.1)+(-1.371645+(-0.699822--0.931923))+0-4--0.00612000000000023</f>
        <v>739.66657599999996</v>
      </c>
      <c r="AD355">
        <v>856.09999999999991</v>
      </c>
      <c r="AE355" s="3">
        <f>801+(686.1-631)+(0+(0-0))+0-4-0</f>
        <v>852.1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885+(393.8-594.9)+(-0.9027+(-0.401676--0.606798))+0-4--0.00408000000000064</f>
        <v>679.20650200000011</v>
      </c>
      <c r="G356" s="3">
        <f>572.4+(607.5-550.3)+(-0.583848+(-0.61965--0.561306))+0-4--0.00408000000000064</f>
        <v>624.96188800000004</v>
      </c>
      <c r="H356" s="3">
        <f>544.2+(611.3-552.6)+(0.555084+(0.623526-0.563652))+0-4-0.00408000000000064</f>
        <v>599.51087799999993</v>
      </c>
      <c r="I356" s="3">
        <f>541.8+(604.8-558.2)+(-0.828954+(-0.925344--0.854046))+0-4--0.00612000000000023</f>
        <v>583.50586799999985</v>
      </c>
      <c r="J356" s="3">
        <f>605.5+(522.4-540.3)+(-0.61761+(-0.532848--0.551106))+0-4--0.00408000000000064</f>
        <v>583.00472800000011</v>
      </c>
      <c r="K356" s="3">
        <f>556+(570.2-524.9)+(0+(0-0))+0-4-0</f>
        <v>597.30000000000007</v>
      </c>
      <c r="L356" s="3">
        <f>619.8+(558.3-570.1)+(0+(0-0))+0-4-0</f>
        <v>603.99999999999989</v>
      </c>
      <c r="M356" s="3">
        <f>671.2+(555.3-588)+(0.684624+(0.566406-0.59976))+0-4-0.00408000000000064</f>
        <v>635.14718999999991</v>
      </c>
      <c r="N356" s="3">
        <f>712.4+(583.5-600.2)+(0+(0-0))+0-4-0</f>
        <v>691.69999999999993</v>
      </c>
      <c r="O356" s="3">
        <f>840.8+(515.6-597.6)+(0.428808+(0.262956-0.304776))+0-4-0.00203999999999959</f>
        <v>755.18494799999996</v>
      </c>
      <c r="P356" s="3">
        <f>837.1+(554.6-617.9)+(0+(0-0))+0-4-0</f>
        <v>769.80000000000007</v>
      </c>
      <c r="Q356" s="3">
        <f>828+(598.9-649.6)+(0+(0-0))+0-4-0</f>
        <v>773.3</v>
      </c>
      <c r="R356" s="3">
        <f>864.5+(512.6-628.7)+(-2.204475+(-1.30713--1.603185))+0-4--0.0101999999999994</f>
        <v>742.50178000000005</v>
      </c>
      <c r="S356" s="3">
        <f>882.2+(462.2-631)+(-0.449922+(-0.235722--0.32181))+0-4--0.00203999999999959</f>
        <v>709.03820600000006</v>
      </c>
      <c r="T356" s="3">
        <f>872+(460.5-626.7)+(0+(0-0))+0-4-0</f>
        <v>701.8</v>
      </c>
      <c r="U356" s="3">
        <f>877.1+(455-626.1)+(-0.447321+(-0.23205--0.319311))+0-4--0.00203999999999959</f>
        <v>701.64197999999999</v>
      </c>
      <c r="V356" s="3">
        <f>883.5+(463.6-628.1)+(-0.90117+(-0.472872--0.640662))+0-4--0.00408000000000064</f>
        <v>714.27070000000003</v>
      </c>
      <c r="W356" s="3">
        <f>884.7+(423.5-599.2)+(-1.353591+(-0.647955--0.916776))+0-4--0.00612000000000023</f>
        <v>703.92134999999996</v>
      </c>
      <c r="X356" s="3">
        <f>891.9+(578.8-659)+(0+(0-0))+0-4-0</f>
        <v>807.69999999999993</v>
      </c>
      <c r="Y356" s="3">
        <f>893.1+(687.5-683.5)+(-1.366443+(-1.051875--1.045755))+0-4--0.00612000000000023</f>
        <v>891.73355700000002</v>
      </c>
      <c r="Z356" s="3">
        <f>897.3+(629.3-652.8)+(-2.288115+(-1.604715--1.66464))+0-4--0.0101999999999994</f>
        <v>867.58200999999997</v>
      </c>
      <c r="AA356" s="3">
        <f>896.3+(580-613.4)+(-1.828452+(-1.1832--1.251336))+0-4--0.00815999999999983</f>
        <v>857.14784399999996</v>
      </c>
      <c r="AB356" s="3">
        <f>897.2+(598.1-657.8)+(-0.457572+(-0.305031--0.335478))+0-4--0.00203999999999959</f>
        <v>833.07491500000003</v>
      </c>
      <c r="AC356" s="3">
        <f>897+(494.1-612)+(-1.82988+(-1.007964--1.24848))+0-4--0.00815999999999983</f>
        <v>773.51879599999995</v>
      </c>
      <c r="AD356">
        <v>873.40000000000009</v>
      </c>
      <c r="AE356" s="3">
        <f>887+(689.7-703.3)+(0+(0-0))+0-4-0</f>
        <v>869.40000000000009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833.8+(481.2-617)+(-0.850476+(-0.490824--0.62934))+0-4--0.00408000000000064</f>
        <v>693.29212000000007</v>
      </c>
      <c r="G357" s="3">
        <f>719.4+(514.4-583)+(-0.733788+(-0.524688--0.59466))+0-4--0.00408000000000064</f>
        <v>646.140264</v>
      </c>
      <c r="H357" s="3">
        <f>706.6+(504.5-583.1)+(-1.441464+(-1.02918--1.189524))+0-4--0.00815999999999983</f>
        <v>622.72703999999999</v>
      </c>
      <c r="I357" s="3">
        <f>707.6+(482.5-570.8)+(0+(0-0))+0-4-0</f>
        <v>615.30000000000007</v>
      </c>
      <c r="J357" s="3">
        <f>706.4+(487.8-578.2)+(-0.720528+(-0.497556--0.589764))+0-4--0.00408000000000064</f>
        <v>611.37576000000001</v>
      </c>
      <c r="K357" s="3">
        <f>710.3+(486.4-573.8)+(0.362253+(0.248064-0.292638))+0-4-0.00203999999999959</f>
        <v>619.21563900000001</v>
      </c>
      <c r="L357" s="3">
        <f>708.8+(517.9-605.3)+(-0.361488+(-0.264129--0.308703))+0-4--0.00203999999999959</f>
        <v>617.08512599999995</v>
      </c>
      <c r="M357" s="3">
        <f>708+(524-635)+(0+(0-0))+0-4-0</f>
        <v>593</v>
      </c>
      <c r="N357" s="3">
        <f>794.1+(550.5-629.2)+(0.404991+(0.280755-0.320892))+0-4-0.00203999999999959</f>
        <v>711.76281400000005</v>
      </c>
      <c r="O357" s="3">
        <f>792.2+(645.2-672.8)+(-0.404022+(-0.329052--0.343128))+0-4--0.00203999999999959</f>
        <v>760.21209400000009</v>
      </c>
      <c r="P357" s="3">
        <f>794.6+(662-684.8)+(-0.405246+(-0.33762--0.349248))+0-4--0.00203999999999959</f>
        <v>767.40842200000009</v>
      </c>
      <c r="Q357" s="3">
        <f>783.6+(685-711.2)+(0.399636+(0.34935-0.362712))+0-4-0.00203999999999959</f>
        <v>753.78423399999997</v>
      </c>
      <c r="R357" s="3">
        <f>776.5+(659.3-684.5)+(-1.980075+(-1.681215--1.745475))+0-4--0.0101999999999994</f>
        <v>745.39438500000006</v>
      </c>
      <c r="S357" s="3">
        <f>778+(623.3-680.8)+(-1.58712+(-1.271532--1.388832))+0-4--0.00815999999999983</f>
        <v>715.03833999999995</v>
      </c>
      <c r="T357" s="3">
        <f>735.1+(728.7-726.5)+(0.374901+(0.371637-0.370515))+0-4-0.00203999999999959</f>
        <v>733.67398300000013</v>
      </c>
      <c r="U357" s="3">
        <f>738+(725.7-695.5)+(-0.75276+(-0.740214--0.70941))+0-4--0.00408000000000064</f>
        <v>763.42051600000013</v>
      </c>
      <c r="V357" s="3">
        <f>776.8+(596.5-646.3)+(-1.98084+(-1.521075--1.648065))+0-4--0.0101999999999994</f>
        <v>721.15635000000009</v>
      </c>
      <c r="W357" s="3">
        <f>904.1+(482.3-677.2)+(-1.844364+(-0.983892--1.381488))+0-4--0.00815999999999983</f>
        <v>703.761392</v>
      </c>
      <c r="X357" s="3">
        <f>915+(560.6-678.7)+(-0.46665+(-0.285906--0.346137))+0-4--0.00203999999999959</f>
        <v>792.49562099999991</v>
      </c>
      <c r="Y357" s="3">
        <f>909+(647-671.3)+(-1.39077+(-0.98991--1.027089))+0-4--0.00612000000000023</f>
        <v>879.352529</v>
      </c>
      <c r="Z357" s="3">
        <f>914.4+(657.1-708)+(-1.399032+(-1.005363--1.08324))+0-4--0.00612000000000023</f>
        <v>858.18496500000003</v>
      </c>
      <c r="AA357" s="3">
        <f>731.6+(786.2-663.3)+(-0.746232+(-0.801924--0.676566))+0-4--0.00408000000000064</f>
        <v>849.63249000000019</v>
      </c>
      <c r="AB357" s="3">
        <f>679.6+(778.9-641.2)+(-1.039788+(-1.191717--0.981036))+0-4--0.00612000000000023</f>
        <v>812.05565100000001</v>
      </c>
      <c r="AC357" s="3">
        <f>704+(692.2-638.4)+(-0.35904+(-0.353022--0.325584))+0-4--0.00203999999999959</f>
        <v>753.41556200000002</v>
      </c>
      <c r="AD357">
        <v>879.3</v>
      </c>
      <c r="AE357" s="3">
        <f>913+(642.8-676.5)+(0+(0-0))+0-4-0</f>
        <v>875.3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703.7+(602.1-620.5)+(-1.076661+(-0.921213--0.949365))+0-4--0.00612000000000023</f>
        <v>680.25761100000011</v>
      </c>
      <c r="G358" s="3">
        <f>707.1+(549.8-617)+(-0.721242+(-0.560796--0.62934))+0-4--0.00408000000000064</f>
        <v>635.25138200000004</v>
      </c>
      <c r="H358" s="3">
        <f>706.9+(516.3-612.2)+(-1.081557+(-0.789939--0.936666))+0-4--0.00612000000000023</f>
        <v>606.07128999999986</v>
      </c>
      <c r="I358" s="3">
        <f>706.7+(463.2-568.7)+(-0.720834+(-0.472464--0.580074))+0-4--0.00408000000000064</f>
        <v>596.59085600000014</v>
      </c>
      <c r="J358" s="3">
        <f>710.5+(463.7-577.7)+(0.72471+(0.472974-0.589254))+0-4-0.00408000000000064</f>
        <v>593.10434999999995</v>
      </c>
      <c r="K358" s="3">
        <f>709.7+(470.9-576.1)+(0+(0-0))+0-4-0</f>
        <v>600.5</v>
      </c>
      <c r="L358" s="3">
        <f>709.4+(496.3-603.4)+(0.361794+(0.253113-0.307734))+0-4-0.00203999999999959</f>
        <v>598.60513300000002</v>
      </c>
      <c r="M358" s="3">
        <f>770.4+(484-625.6)+(0.785808+(0.49368-0.638112))+0-4-0.00408000000000064</f>
        <v>625.43729599999995</v>
      </c>
      <c r="N358" s="3">
        <f>769.6+(536.1-617.4)+(0.784992+(0.546822-0.629748))+0-4-0.00408000000000064</f>
        <v>684.99798599999997</v>
      </c>
      <c r="O358" s="3">
        <f>769.5+(687.8-715)+(0.392445+(0.350778-0.36465))+0-4-0.00203999999999959</f>
        <v>738.67653299999995</v>
      </c>
      <c r="P358" s="3">
        <f>767.8+(695.7-698.7)+(0+(0-0))+0-4-0</f>
        <v>760.8</v>
      </c>
      <c r="Q358" s="3">
        <f>780.1+(709-720.9)+(0+(0-0))+0-4-0</f>
        <v>764.2</v>
      </c>
      <c r="R358" s="3">
        <f>760.3+(677.1-692.2)+(-1.551012+(-1.381284--1.412088))+0-4--0.00815999999999983</f>
        <v>739.68795199999988</v>
      </c>
      <c r="S358" s="3">
        <f>759.8+(633.5-663.3)+(-0.387498+(-0.323085--0.338283))+0-4--0.00203999999999959</f>
        <v>725.62973999999997</v>
      </c>
      <c r="T358" s="3">
        <f>757.2+(617.4-646.6)+(0+(0-0))+0-4-0</f>
        <v>724</v>
      </c>
      <c r="U358" s="3">
        <f>757.3+(595.4-624.7)+(-0.772446+(-0.607308--0.637194))+0-4--0.00408000000000064</f>
        <v>723.2615199999999</v>
      </c>
      <c r="V358" s="3">
        <f>760.6+(639.3-656.3)+(0.387906+(0.326043-0.334713))+0-4-0.00203999999999959</f>
        <v>739.97719600000005</v>
      </c>
      <c r="W358" s="3">
        <f>766.7+(650.2-655.6)+(0.391017+(0.331602-0.334356))+0-4-0.00203999999999959</f>
        <v>757.68622300000015</v>
      </c>
      <c r="X358" s="3">
        <f>865.8+(668.9-685.5)+(0.441558+(0.341139-0.349605))+0-3-0.0015299999999997</f>
        <v>846.63156199999992</v>
      </c>
      <c r="Y358" s="3">
        <f>865.7+(721.6-687)+(-0.441507+(-0.368016--0.35037))+0-4--0.00203999999999959</f>
        <v>895.84288700000002</v>
      </c>
      <c r="Z358" s="3">
        <f>869+(668-661.1)+(0.44319+(0.34068-0.337161))+0-4-0.00203999999999959</f>
        <v>872.34466900000007</v>
      </c>
      <c r="AA358" s="3">
        <f>836.2+(678.4-657.9)+(-0.426462+(-0.345984--0.335529))+0-4--0.00203999999999959</f>
        <v>852.26512300000002</v>
      </c>
      <c r="AB358" s="3">
        <f>749.5+(723.5-648.6)+(-3.05796+(-2.95188--2.646288))+0-4--0.0163199999999997</f>
        <v>817.0527679999999</v>
      </c>
      <c r="AC358" s="3">
        <f>748.9+(618.6-606.4)+(-2.291634+(-1.892916--1.855584))+0-4--0.0122400000000005</f>
        <v>754.78327400000001</v>
      </c>
      <c r="AD358">
        <v>898.8</v>
      </c>
      <c r="AE358" s="3">
        <f>868+(737.6-706.8)+(0+(0-0))+0-3-0</f>
        <v>895.80000000000007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759.5+(527.7-604)+(-1.162035+(-0.807381--0.92412))+0-4--0.00612000000000023</f>
        <v>678.16082400000005</v>
      </c>
      <c r="G359" s="3">
        <f>760.2+(450.7-573.2)+(-0.387702+(-0.229857--0.292332))+0-4--0.00203999999999959</f>
        <v>633.37681299999997</v>
      </c>
      <c r="H359" s="3">
        <f>760.2+(440.6-591.1)+(0+(0-0))+0-4-0</f>
        <v>605.70000000000005</v>
      </c>
      <c r="I359" s="3">
        <f>761.9+(415.4-575.1)+(0.388569+(0.211854-0.293301))+0-4-0.00203999999999959</f>
        <v>598.50508200000002</v>
      </c>
      <c r="J359" s="3">
        <f>758.1+(409.6-572.2)+(0+(0-0))+0-4-0</f>
        <v>591.5</v>
      </c>
      <c r="K359" s="3">
        <f>761.3+(418.5-580.4)+(0.388263+(0.213435-0.296004))+0-4-0.00203999999999959</f>
        <v>595.70365400000003</v>
      </c>
      <c r="L359" s="3">
        <f>754.8+(442.7-595.5)+(-1.539792+(-0.903108--1.21482))+0-4--0.00815999999999983</f>
        <v>596.78008</v>
      </c>
      <c r="M359" s="3">
        <f>760.4+(474.7-605.9)+(1.163412+(0.726291-0.927027))+0-4-0.00612000000000023</f>
        <v>626.15655600000002</v>
      </c>
      <c r="N359" s="3">
        <f>762.5+(539.7-627.6)+(0.77775+(0.550494-0.640152))+0-4-0.00408000000000064</f>
        <v>671.28401199999996</v>
      </c>
      <c r="O359" s="3">
        <f>763.4+(677.9-713.9)+(1.557336+(1.382916-1.456356))+0-4-0.00815999999999983</f>
        <v>724.87573599999996</v>
      </c>
      <c r="P359" s="3">
        <f>756.3+(625-632.1)+(0+(0-0))+0-4-0</f>
        <v>745.19999999999993</v>
      </c>
      <c r="Q359" s="3">
        <f>752.4+(617-611.3)+(-0.383724+(-0.31467--0.311763))+0-4--0.00203999999999959</f>
        <v>753.71540900000002</v>
      </c>
      <c r="R359" s="3">
        <f>764+(543.2-574.4)+(0+(0-0))+0-4-0</f>
        <v>728.80000000000007</v>
      </c>
      <c r="S359" s="3">
        <f>841.8+(401.4-522.6)+(0+(0-0))+0-4-0</f>
        <v>716.59999999999991</v>
      </c>
      <c r="T359" s="3">
        <f>843.9+(387.7-521.3)+(0+(0-0))+0-4-0</f>
        <v>706.3</v>
      </c>
      <c r="U359" s="3">
        <f>838.8+(438-580.6)+(-1.283364+(-0.67014--0.888318))+0-4--0.00612000000000023</f>
        <v>691.1409339999999</v>
      </c>
      <c r="V359" s="3">
        <f>847+(446.4-586.1)+(1.72788+(0.910656-1.195644))+0-4-0.00815999999999983</f>
        <v>704.73473200000001</v>
      </c>
      <c r="W359" s="3">
        <f>841.4+(463.4-590.5)+(-0.429114+(-0.236334--0.301155))+0-4--0.00203999999999959</f>
        <v>709.93774699999994</v>
      </c>
      <c r="X359" s="3">
        <f>943.9+(442.9-587.4)+(0+(0-0))+0-4-0</f>
        <v>795.4</v>
      </c>
      <c r="Y359" s="3">
        <f>973.7+(516.1-620.9)+(-1.489761+(-0.789633--0.949977))+0-4--0.00612000000000023</f>
        <v>863.57670300000007</v>
      </c>
      <c r="Z359" s="3">
        <f>977.9+(474.5-597.2)+(-0.498729+(-0.241995--0.304572))+0-4--0.00203999999999959</f>
        <v>850.7658879999999</v>
      </c>
      <c r="AA359" s="3">
        <f>919.6+(523.4-600.5)+(-0.468996+(-0.266934--0.306255))+0-4--0.00203999999999959</f>
        <v>838.07236499999999</v>
      </c>
      <c r="AB359" s="3">
        <f>844.5+(593-610.4)+(-2.153475+(-1.51215--1.55652))+0-4--0.0101999999999994</f>
        <v>821.00109500000008</v>
      </c>
      <c r="AC359" s="3">
        <f>838+(509.4-574.4)+(-2.1369+(-1.29897--1.46472))+0-4--0.0101999999999994</f>
        <v>767.03905000000009</v>
      </c>
      <c r="AD359">
        <v>861</v>
      </c>
      <c r="AE359" s="3">
        <f>974+(519-632)+(0+(0-0))+0-4-0</f>
        <v>857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790.6+(487.8-589.1)+(-0.806412+(-0.497556--0.600882))+0-4--0.00408000000000064</f>
        <v>684.60099400000001</v>
      </c>
      <c r="G360" s="3">
        <f>758.5+(458.3-572.2)+(-0.386835+(-0.233733--0.291822))+0-4--0.00203999999999959</f>
        <v>640.27329399999985</v>
      </c>
      <c r="H360" s="3">
        <f>727.7+(472.6-584.7)+(0+(0-0))+0-4-0</f>
        <v>611.6</v>
      </c>
      <c r="I360" s="3">
        <f>735.4+(449.4-582.5)+(0.750108+(0.458388-0.59415))+0-4-0.00408000000000064</f>
        <v>598.91026599999987</v>
      </c>
      <c r="J360" s="3">
        <f>741.1+(434.4-574.2)+(1.889805+(1.10772-1.46421))+0-4-0.0101999999999994</f>
        <v>598.82311499999992</v>
      </c>
      <c r="K360" s="3">
        <f>785.7+(407.7-585.6)+(2.003535+(1.039635-1.49328))+0-4-0.0101999999999994</f>
        <v>605.33968999999991</v>
      </c>
      <c r="L360" s="3">
        <f>813.4+(407.5-613.2)+(0.414834+(0.207825-0.312732))+0-4-0.00203999999999959</f>
        <v>604.00788699999998</v>
      </c>
      <c r="M360" s="3">
        <f>866.6+(386-616.8)+(0+(0-0))+0-4-0</f>
        <v>631.80000000000007</v>
      </c>
      <c r="N360" s="3">
        <f>889.2+(437.8-629.9)+(0+(0-0))+0-4-0</f>
        <v>693.10000000000014</v>
      </c>
      <c r="O360" s="3">
        <f>892.6+(500.9-600.7)+(0.910452+(0.510918-0.612714))+0-4-0.00408000000000064</f>
        <v>789.60457599999995</v>
      </c>
      <c r="P360" s="3">
        <f>883.9+(529-656.5)+(-0.450789+(-0.26979--0.334815))+0-4--0.00203999999999959</f>
        <v>752.01627599999995</v>
      </c>
      <c r="Q360" s="3">
        <f>876.2+(562.5-674.1)+(-0.893724+(-0.57375--0.687582))+0-4--0.00408000000000064</f>
        <v>759.82418800000005</v>
      </c>
      <c r="R360" s="3">
        <f>868.7+(491.2-630.5)+(-0.886074+(-0.501024--0.64311))+0-4--0.00408000000000064</f>
        <v>724.66009200000019</v>
      </c>
      <c r="S360" s="3">
        <f>870.4+(439-705.5)+(-0.443904+(-0.22389--0.359805))+0-4--0.00203999999999959</f>
        <v>599.59405099999992</v>
      </c>
      <c r="T360" s="3">
        <f>852.4+(451-708.3)+(-1.738896+(-0.92004--1.444932))+0-4--0.00815999999999983</f>
        <v>589.89415599999995</v>
      </c>
      <c r="U360" s="3">
        <f>752.4+(563.1-609.1)+(0+(0-0))+0-4-0</f>
        <v>702.4</v>
      </c>
      <c r="V360" s="3">
        <f>741+(573.7-599.2)+(-0.75582+(-0.585174--0.611184))+0-4--0.00408000000000064</f>
        <v>710.77427</v>
      </c>
      <c r="W360" s="3">
        <f>744.7+(558.8-587.5)+(-0.379797+(-0.284988--0.299625))+0-4--0.00203999999999959</f>
        <v>711.63688000000002</v>
      </c>
      <c r="X360" s="3">
        <f>983.6+(388.4-504.6)+(-0.501636+(-0.198084--0.257346))+0-4--0.00203999999999959</f>
        <v>862.95966599999997</v>
      </c>
      <c r="Y360" s="3">
        <f>752.1+(779.5-646.5)+(-0.767142+(-0.79509--0.65943))+0-4--0.00408000000000064</f>
        <v>880.20127800000012</v>
      </c>
      <c r="Z360" s="3">
        <f>746.7+(788.9-664.3)+(-1.904085+(-2.011695--1.693965))+0-4--0.0101999999999994</f>
        <v>865.08838500000013</v>
      </c>
      <c r="AA360" s="3">
        <f>747.1+(722.5-613.7)+(-0.762042+(-0.73695--0.625974))+0-4--0.00408000000000064</f>
        <v>851.03106200000002</v>
      </c>
      <c r="AB360" s="3">
        <f>740.4+(715.3-622.6)+(-1.132812+(-1.094409--0.952578))+0-4--0.00612000000000023</f>
        <v>827.83147699999995</v>
      </c>
      <c r="AC360" s="3">
        <f>740+(670.1-635.8)+(-1.1322+(-1.025253--0.972774))+0-4--0.00612000000000023</f>
        <v>769.12144100000012</v>
      </c>
      <c r="AD360">
        <v>886.09999999999991</v>
      </c>
      <c r="AE360" s="3">
        <f>751+(775.6-640.5)+(0+(0-0))+0-4-0</f>
        <v>882.1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742.1+(563.1-581.9)+(-0.756942+(-0.574362--0.593538))+0-4--0.00408000000000064</f>
        <v>718.56631400000015</v>
      </c>
      <c r="G361" s="3">
        <f>744.3+(453.4-568.3)+(0.379593+(0.231234-0.289833))+0-4-0.00203999999999959</f>
        <v>625.71895400000005</v>
      </c>
      <c r="H361" s="3">
        <f>739.5+(418.6-559.4)+(-1.131435+(-0.640458--0.855882))+0-4--0.00612000000000023</f>
        <v>593.79010900000003</v>
      </c>
      <c r="I361" s="3">
        <f>739.2+(376.3-528.9)+(-0.753984+(-0.383826--0.539478))+0-4--0.00408000000000064</f>
        <v>582.00574800000015</v>
      </c>
      <c r="J361" s="3">
        <f>741.4+(369.6-519.7)+(-1.134342+(-0.565488--0.795141))+0-4--0.00612000000000023</f>
        <v>586.401431</v>
      </c>
      <c r="K361" s="3">
        <f>747.4+(393.8-542.4)+(1.143522+(0.602514-0.829872))+0-4-0.00612000000000023</f>
        <v>595.71004399999993</v>
      </c>
      <c r="L361" s="3">
        <f>687+(505.8-590.6)+(-0.70074+(-0.515916--0.602412))+0-4--0.00408000000000064</f>
        <v>597.5898360000001</v>
      </c>
      <c r="M361" s="3">
        <f>739.7+(474.8-600.1)+(0+(0-0))+0-4-0</f>
        <v>610.40000000000009</v>
      </c>
      <c r="N361" s="3">
        <f>781.4+(552.6-654.7)+(0.797028+(0.563652-0.667794))+0-4-0.00408000000000064</f>
        <v>675.98880599999995</v>
      </c>
      <c r="O361" s="3">
        <f>767.4+(656.3-692.3)+(1.174122+(1.004139-1.059219))+0-4-0.00612000000000023</f>
        <v>728.512922</v>
      </c>
      <c r="P361" s="3">
        <f>761.2+(681.6-696)+(0+(0-0))+0-4-0</f>
        <v>742.80000000000007</v>
      </c>
      <c r="Q361" s="3">
        <f>761.8+(704.8-734.4)+(-0.388518+(-0.359448--0.374544))+0-4--0.00203999999999959</f>
        <v>727.82861799999989</v>
      </c>
      <c r="R361" s="3">
        <f>751.5+(640.3-691.1)+(-3.06612+(-2.612424--2.819688))+0-4--0.0163199999999997</f>
        <v>693.85746399999994</v>
      </c>
      <c r="S361" s="3">
        <f>779+(604.2-711.4)+(-1.58916+(-1.232568--1.451256))+0-4--0.00815999999999983</f>
        <v>666.43768800000009</v>
      </c>
      <c r="T361" s="3">
        <f>799.7+(555.9-691)+(0.407847+(0.283509-0.35241))+0-4-0.00203999999999959</f>
        <v>660.93690600000002</v>
      </c>
      <c r="U361" s="3">
        <f>814.6+(524.9-657.4)+(-2.492676+(-1.606194--2.011644))+0-4--0.0122400000000005</f>
        <v>676.02501400000006</v>
      </c>
      <c r="V361" s="3">
        <f>825.7+(491.9-637.2)+(-2.526642+(-1.505214--1.949832))+0-4--0.0122400000000005</f>
        <v>674.33021599999995</v>
      </c>
      <c r="W361" s="3">
        <f>862.5+(467.4-661.5)+(-1.319625+(-0.715122--1.012095))+0-4--0.00612000000000023</f>
        <v>663.38346799999999</v>
      </c>
      <c r="X361" s="3">
        <f>950.9+(474.8-671.6)+(-0.484959+(-0.242148--0.342516))+0-4--0.00203999999999959</f>
        <v>749.71744899999987</v>
      </c>
      <c r="Y361" s="3">
        <f>1024.1+(532.5-704.5)+(-2.089164+(-1.0863--1.43718))+0-4--0.00815999999999983</f>
        <v>846.36987599999986</v>
      </c>
      <c r="Z361" s="3">
        <f>1039.8+(516.7-719.1)+(0.530298+(0.263517-0.366741))+0-4-0.00203999999999959</f>
        <v>833.82503399999996</v>
      </c>
      <c r="AA361" s="3">
        <f>996.9+(516.4-680.6)+(-1.525257+(-0.790092--1.041318))+0-4--0.00612000000000023</f>
        <v>827.43208899999991</v>
      </c>
      <c r="AB361" s="3">
        <f>972.8+(515.8-673.8)+(-0.496128+(-0.263058--0.343638))+0-4--0.00203999999999959</f>
        <v>810.38649199999998</v>
      </c>
      <c r="AC361" s="3">
        <f>941.3+(456.3-634.1)+(-3.360441+(-1.628991--2.263737))+0-4--0.0142800000000001</f>
        <v>756.78858500000001</v>
      </c>
      <c r="AD361">
        <v>826.69999999999993</v>
      </c>
      <c r="AE361" s="3">
        <f>1031+(490.6-694.9)+(0+(0-0))+0-4-0</f>
        <v>822.7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863.3+(487.2-662.4)+(-0.880566+(-0.496944--0.675648))+0-4--0.00408000000000064</f>
        <v>683.40221799999995</v>
      </c>
      <c r="G362" s="3">
        <f>829.8+(442.1-635)+(-1.692792+(-0.901884--1.2954))+0-4--0.00815999999999983</f>
        <v>631.60888399999999</v>
      </c>
      <c r="H362" s="3">
        <f>833.1+(399.4-618)+(-1.274643+(-0.611082--0.94554))+0-4--0.00612000000000023</f>
        <v>609.56593499999997</v>
      </c>
      <c r="I362" s="3">
        <f>827.3+(363.8-587.1)+(-1.687692+(-0.742152--1.197684))+0-4--0.00815999999999983</f>
        <v>598.77599999999995</v>
      </c>
      <c r="J362" s="3">
        <f>705.4+(421.2-535.6)+(1.079262+(0.644436-0.819468))+0-4-0.00612000000000023</f>
        <v>587.89810999999997</v>
      </c>
      <c r="K362" s="3">
        <f>679.7+(473.9-556.7)+(1.386588+(0.966756-1.135668))+0-4-0.00815999999999983</f>
        <v>594.10951599999999</v>
      </c>
      <c r="L362" s="3">
        <f>652.2+(498.3-589.4)+(-0.332622+(-0.254133--0.300594))+0-4--0.00203999999999959</f>
        <v>556.81587900000011</v>
      </c>
      <c r="M362" s="3">
        <f>763.9+(457.4-610.9)+(-0.389589+(-0.233274--0.311559))+0-4--0.00203999999999959</f>
        <v>606.09073599999999</v>
      </c>
      <c r="N362" s="3">
        <f>935.3+(341.2-645.8)+(-1.431009+(-0.522036--0.988074))+0-4--0.00612000000000023</f>
        <v>625.74114900000006</v>
      </c>
      <c r="O362" s="3">
        <f>938.3+(414.2-672.5)+(0+(0-0))+0-4-0</f>
        <v>676</v>
      </c>
      <c r="P362" s="3">
        <f>938.9+(440.8-682.1)+(1.915356+(0.899232-1.391484))+0-4-0.00815999999999983</f>
        <v>695.0149439999999</v>
      </c>
      <c r="Q362" s="3">
        <f>931.3+(466.5-680.4)+(-0.474963+(-0.237915--0.347004))+0-4--0.00203999999999959</f>
        <v>713.03616599999998</v>
      </c>
      <c r="R362" s="3">
        <f>929.4+(479.1-704.5)+(-2.36997+(-1.221705--1.796475))+0-4--0.0101999999999994</f>
        <v>698.21500000000003</v>
      </c>
      <c r="S362" s="3">
        <f>858.6+(534.6-707.1)+(-0.437886+(-0.272646--0.360621))+0-4--0.00203999999999959</f>
        <v>681.75212899999997</v>
      </c>
      <c r="T362" s="3">
        <f>796.6+(604.2-724.5)+(-2.03133+(-1.54071--1.847475))+0-4--0.0101999999999994</f>
        <v>670.58563500000014</v>
      </c>
      <c r="U362" s="3">
        <f>800.3+(572.4-695.7)+(-0.408153+(-0.291924--0.354807))+0-4--0.00203999999999959</f>
        <v>672.65676999999982</v>
      </c>
      <c r="V362" s="3">
        <f>807.1+(574.7-764.9)+(-0.411621+(-0.293097--0.390099))+0-4--0.00203999999999959</f>
        <v>612.58742100000006</v>
      </c>
      <c r="W362" s="3">
        <f>825.8+(569.6-692.5)+(0.421158+(0.290496-0.353175))+0-4-0.00203999999999959</f>
        <v>699.256439</v>
      </c>
      <c r="X362" s="3">
        <f>997.2+(484.4-703.6)+(0+(0-0))+0-4-0</f>
        <v>774</v>
      </c>
      <c r="Y362" s="3">
        <f>1071.6+(490.4-697.9)+(-2.73258+(-1.25052--1.779645))+0-4--0.0101999999999994</f>
        <v>857.906745</v>
      </c>
      <c r="Z362" s="3">
        <f>986.6+(556.9-692.9)+(0+(0-0))+0-4-0</f>
        <v>846.6</v>
      </c>
      <c r="AA362" s="3">
        <f>951.4+(562.3-671.7)+(-2.911284+(-1.720638--2.055402))+0-4--0.0122400000000005</f>
        <v>835.43571999999995</v>
      </c>
      <c r="AB362" s="3">
        <f>954.7+(602.6-725.9)+(-0.486897+(-0.307326--0.370209))+0-4--0.00203999999999959</f>
        <v>826.978026</v>
      </c>
      <c r="AC362" s="3">
        <f>952.3+(472.4-658.5)+(-1.942692+(-0.963696--1.34334))+0-4--0.00815999999999983</f>
        <v>760.64511199999993</v>
      </c>
      <c r="AD362">
        <v>854.00000000000011</v>
      </c>
      <c r="AE362" s="3">
        <f>1074+(457.9-677.9)+(0+(0-0))+0-4-0</f>
        <v>850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955.2+(402.4-663)+(-0.974304+(-0.410448--0.67626))+0-4--0.00408000000000064</f>
        <v>689.89558800000009</v>
      </c>
      <c r="G363" s="3">
        <f>765.1+(453.2-580.2)+(-0.780402+(-0.462264--0.591804))+0-4--0.00408000000000064</f>
        <v>633.45321799999999</v>
      </c>
      <c r="H363" s="3">
        <f>658.8+(509.4-576.1)+(0+(0-0))+0-4-0</f>
        <v>588.09999999999991</v>
      </c>
      <c r="I363" s="3">
        <f>655+(485.1-554.4)+(-1.00215+(-0.742203--0.848232))+0-4--0.00612000000000023</f>
        <v>580.80999900000006</v>
      </c>
      <c r="J363" s="3">
        <f>659.6+(479-554.8)+(0.336396+(0.24429-0.282948))+0-4-0.00203999999999959</f>
        <v>580.09569800000008</v>
      </c>
      <c r="K363" s="3">
        <f>690.7+(490.5-600)+(1.056771+(0.750465-0.918))+0-4-0.00612000000000023</f>
        <v>578.08311600000002</v>
      </c>
      <c r="L363" s="3">
        <f>943.6+(366.5-675)+(-2.40618+(-0.934575--1.72125))+0-0-0</f>
        <v>633.48049500000002</v>
      </c>
      <c r="M363" s="3">
        <f>985.8+(329.2-701.7)+(-2.011032+(-0.671568--1.431468))+0-0-0</f>
        <v>612.04886799999997</v>
      </c>
      <c r="N363" s="3">
        <f>1017.4+(346.5-697.3)+(0+(0-0))+0-0-0</f>
        <v>666.6</v>
      </c>
      <c r="O363" s="3">
        <f>1013.6+(435.1-718.7)+(0.516936+(0.221901-0.366537))+0-0-0</f>
        <v>730.3723</v>
      </c>
      <c r="P363" s="3">
        <f>1007.7+(472.5-729.9)+(0+(0-0))+0-0-0</f>
        <v>750.30000000000007</v>
      </c>
      <c r="Q363" s="3">
        <f>999.1+(466.6-713.9)+(0+(0-0))+0-0-0</f>
        <v>751.80000000000007</v>
      </c>
      <c r="R363" s="3">
        <f>892.7+(506.5-694.7)+(-1.821108+(-1.03326--1.417188))+0-4--0.00815999999999983</f>
        <v>699.07097999999996</v>
      </c>
      <c r="S363" s="3">
        <f>909+(436.6-657.5)+(-1.39077+(-0.667998--1.005975))+0-4--0.00612000000000023</f>
        <v>683.05332700000008</v>
      </c>
      <c r="T363" s="3">
        <f>913.6+(416.1-645)+(-0.465936+(-0.212211--0.32895))+0-4--0.00203999999999959</f>
        <v>680.35284300000001</v>
      </c>
      <c r="U363" s="3">
        <f>915+(408-644)+(0+(0-0))+0-4-0</f>
        <v>675</v>
      </c>
      <c r="V363" s="3">
        <f>916.9+(407.2-630.2)+(-1.402857+(-0.623016--0.964206))+0-4--0.00612000000000023</f>
        <v>688.84445299999993</v>
      </c>
      <c r="W363" s="3">
        <f>918.3+(416.1-619.5)+(0+(0-0))+0-4-0</f>
        <v>710.9</v>
      </c>
      <c r="X363" s="3">
        <f>958.7+(449.3-615.5)+(-0.488937+(-0.229143--0.313905))+0-4--0.00203999999999959</f>
        <v>788.09786499999996</v>
      </c>
      <c r="Y363" s="3">
        <f>964.6+(528.1-598.4)+(-1.475838+(-0.807993--0.915552))+0-4--0.00612000000000023</f>
        <v>888.93784100000005</v>
      </c>
      <c r="Z363" s="3">
        <f>936.3+(531.9-596.1)+(-1.432539+(-0.813807--0.912033))+0-4--0.00612000000000023</f>
        <v>866.77180699999997</v>
      </c>
      <c r="AA363" s="3">
        <f>912.7+(539.3-590.1)+(-0.930954+(-0.550086--0.601902))+0-4--0.00408000000000064</f>
        <v>857.02494200000001</v>
      </c>
      <c r="AB363" s="3">
        <f>898.4+(540.5-607.6)+(-2.29092+(-1.378275--1.54938))+0-4--0.0101999999999994</f>
        <v>825.19038499999999</v>
      </c>
      <c r="AC363" s="3">
        <f>905.2+(441.8-567.4)+(-1.384956+(-0.675954--0.868122))+0-4--0.00612000000000023</f>
        <v>774.4133320000002</v>
      </c>
      <c r="AD363">
        <v>879.80000000000007</v>
      </c>
      <c r="AE363" s="3">
        <f>1000+(475.2-595.4)+(0+(0-0))+0-4-0</f>
        <v>875.8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899.2+(408.5-624.9)+(-2.29296+(-1.041675--1.593495))+0-4--0.0101999999999994</f>
        <v>677.06906000000015</v>
      </c>
      <c r="G364" s="3">
        <f>913.9+(370.5-647.9)+(-2.330445+(-0.944775--1.652145))+0-4--0.0101999999999994</f>
        <v>630.88712500000008</v>
      </c>
      <c r="H364" s="3">
        <f>841.3+(400.8-629.1)+(-0.429063+(-0.204408--0.320841))+0-4--0.00203999999999959</f>
        <v>608.68940999999995</v>
      </c>
      <c r="I364" s="3">
        <f>791.2+(428.7-617.2)+(-1.210536+(-0.655911--0.944316))+0-4--0.00612000000000023</f>
        <v>597.78398900000002</v>
      </c>
      <c r="J364" s="3">
        <f>847+(417.9-668)+(-1.29591+(-0.639387--1.02204))+0-4--0.00612000000000023</f>
        <v>591.99286299999994</v>
      </c>
      <c r="K364" s="3">
        <f>847.2+(416.7-664.9)+(-1.296216+(-0.637551--1.017297))+0-4--0.00612000000000023</f>
        <v>594.08965000000001</v>
      </c>
      <c r="L364" s="3">
        <f>813.8+(447.4-670.6)+(-0.830076+(-0.456348--0.684012))+0-4--0.00408000000000064</f>
        <v>586.001668</v>
      </c>
      <c r="M364" s="3">
        <f>883+(379.5-661.6)+(0.45033+(0.193545-0.337416))+0-4-0.00203999999999959</f>
        <v>597.20441900000003</v>
      </c>
      <c r="N364" s="3">
        <f>930.7+(349.2-632)+(0.474657+(0.178092-0.32232))+0-4-0.00203999999999959</f>
        <v>644.22838900000011</v>
      </c>
      <c r="O364" s="3">
        <f>983.1+(380.3-660.8)+(0+(0-0))+0-4-0</f>
        <v>698.60000000000014</v>
      </c>
      <c r="P364" s="3">
        <f>1002+(297.3-544.3)+(-1.53306+(-0.454869--0.832779))+0-4--0.00612000000000023</f>
        <v>749.85096999999996</v>
      </c>
      <c r="Q364" s="3">
        <f>1003.5+(286.8-558.3)+(0+(0-0))+0-4-0</f>
        <v>728</v>
      </c>
      <c r="R364" s="3">
        <f>921.1+(420.6-598.3)+(-0.939522+(-0.429012--0.610266))+0-4--0.00408000000000064</f>
        <v>738.64581200000009</v>
      </c>
      <c r="S364" s="3">
        <f>907+(432.7-623.9)+(-0.92514+(-0.441354--0.636378))+0-4--0.00408000000000064</f>
        <v>711.07396400000005</v>
      </c>
      <c r="T364" s="3">
        <f>1005.3+(345.3-644.9)+(0+(0-0))+0-4-0</f>
        <v>701.7</v>
      </c>
      <c r="U364" s="3">
        <f>1015.4+(324.9-633)+(-0.517854+(-0.165699--0.32283))+0-4--0.00203999999999959</f>
        <v>702.94131699999991</v>
      </c>
      <c r="V364" s="3">
        <f>1017+(302.5-610.9)+(-0.51867+(-0.154275--0.311559))+0-4--0.00203999999999959</f>
        <v>704.24065399999995</v>
      </c>
      <c r="W364" s="3">
        <f>1118+(251.9-652)+(-1.14036+(-0.256938--0.66504))+0-4--0.00408000000000064</f>
        <v>713.17182200000002</v>
      </c>
      <c r="X364" s="3">
        <f>1258.9+(172.3-626.4)+(-0.642039+(-0.087873--0.319464))+0-4--0.00203999999999959</f>
        <v>800.39159200000017</v>
      </c>
      <c r="Y364" s="3">
        <f>1298.4+(269.6-652.5)+(-3.31092+(-0.68748--1.663875))+0-4--0.0101999999999994</f>
        <v>909.17567500000018</v>
      </c>
      <c r="Z364" s="3">
        <f>1287.8+(267.5-661.3)+(-3.940668+(-0.81855--2.023578))+0-4--0.0122400000000005</f>
        <v>887.27660000000003</v>
      </c>
      <c r="AA364" s="3">
        <f>1295.6+(233.1-652.5)+(-1.321512+(-0.237762--0.66555))+0-4--0.00408000000000064</f>
        <v>871.31035599999996</v>
      </c>
      <c r="AB364" s="3">
        <f>1293.5+(189.9-630)+(-2.63874+(-0.387396--1.2852))+0-4--0.00815999999999983</f>
        <v>847.66722399999992</v>
      </c>
      <c r="AC364" s="3">
        <f>1268.1+(175.8-642.9)+(-1.293462+(-0.179316--0.655758))+0-4--0.00408000000000064</f>
        <v>796.18706000000009</v>
      </c>
      <c r="AD364">
        <v>896.40000000000009</v>
      </c>
      <c r="AE364" s="3">
        <f>1294+(251.9-649.5)+(0+(0-0))+0-4-0</f>
        <v>892.4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1197.1+(172-667.5)+(0.610521+(0.08772-0.340425))+0-4-0.00203999999999959</f>
        <v>697.9557759999999</v>
      </c>
      <c r="G365" s="3">
        <f>1236.3+(222.3-802.1)+(-3.152565+(-0.566865--2.045355))+0-4--0.0101999999999994</f>
        <v>650.83612500000004</v>
      </c>
      <c r="H365" s="3">
        <f>979.7+(319.4-681.2)+(-0.499647+(-0.162894--0.347412))+0-4--0.00203999999999959</f>
        <v>613.58691099999999</v>
      </c>
      <c r="I365" s="3">
        <f>872.7+(341.1-620.6)+(-0.890154+(-0.347922--0.633012))+0-4--0.00408000000000064</f>
        <v>588.59901600000012</v>
      </c>
      <c r="J365" s="3">
        <f>872.4+(326.9-610.2)+(1.334772+(0.500157-0.933606))+0-4-0.00612000000000023</f>
        <v>585.99520299999995</v>
      </c>
      <c r="K365" s="3">
        <f>870.5+(334-616.7)+(0.443955+(0.17034-0.314517))+0-4-0.00203999999999959</f>
        <v>584.09773799999994</v>
      </c>
      <c r="L365" s="3">
        <f>866.8+(401-686)+(-1.768272+(-0.81804--1.39944))+0-4--0.00815999999999983</f>
        <v>576.62128799999994</v>
      </c>
      <c r="M365" s="3">
        <f>883.1+(377.5-682.4)+(0.450381+(0.192525-0.348024))+0-4-0.00203999999999959</f>
        <v>574.49284200000011</v>
      </c>
      <c r="N365" s="3">
        <f>1082.2+(271.1-727.9)+(1.103844+(0.276522-0.742458))+0-4-0.00408000000000064</f>
        <v>622.03382800000009</v>
      </c>
      <c r="O365" s="3">
        <f>1166.3+(245-741)+(-0.594813+(-0.12495--0.37791))+0-4--0.00203999999999959</f>
        <v>665.96018699999991</v>
      </c>
      <c r="P365" s="3">
        <f>1248+(220.2-752.6)+(-2.54592+(-0.449208--1.535304))+0-4--0.00815999999999983</f>
        <v>710.14833599999986</v>
      </c>
      <c r="Q365" s="3">
        <f>1285.7+(266.6-839.4)+(-0.655707+(-0.135966--0.428094))+0-4--0.00203999999999959</f>
        <v>708.5384610000001</v>
      </c>
      <c r="R365" s="3">
        <f>1292.5+(265-857.2)+(-3.95505+(-0.8109--2.623032))+0-4--0.0122400000000005</f>
        <v>694.16932199999997</v>
      </c>
      <c r="S365" s="3">
        <f>1249.4+(291-854.6)+(0.637194+(0.14841-0.435846))+0-4-0.00203999999999959</f>
        <v>682.14771800000005</v>
      </c>
      <c r="T365" s="3">
        <f>1198.8+(294.6-808.3)+(-0.611388+(-0.150246--0.412233))+0-4--0.00203999999999959</f>
        <v>680.75263900000004</v>
      </c>
      <c r="U365" s="3">
        <f>1197.1+(248.1-770.9)+(-0.610521+(-0.126531--0.393159))+0-4--0.00203999999999959</f>
        <v>669.95814699999994</v>
      </c>
      <c r="V365" s="3">
        <f>1273.7+(207.6-808.1)+(0+(0-0))+0-4-0</f>
        <v>669.2</v>
      </c>
      <c r="W365" s="3">
        <f>1322.9+(181.9-822)+(-2.698716+(-0.371076--1.67688))+0-4--0.00815999999999983</f>
        <v>677.41524800000002</v>
      </c>
      <c r="X365" s="3">
        <f>1314.1+(140.2-700.4)+(-2.010573+(-0.214506--1.071612))+0-4--0.00612000000000023</f>
        <v>748.7526529999999</v>
      </c>
      <c r="Y365" s="3">
        <f>1350.6+(197.2-687.2)+(-2.066418+(-0.301716--1.051416))+0-4--0.00612000000000023</f>
        <v>855.28940199999988</v>
      </c>
      <c r="Z365" s="3">
        <f>1367+(201.9-709.7)+(-3.48585+(-0.514845--1.809735))+0-4--0.0101999999999994</f>
        <v>853.01923999999997</v>
      </c>
      <c r="AA365" s="3">
        <f>1314.7+(239.6-699.1)+(-2.681988+(-0.488784--1.426164))+0-4--0.00815999999999983</f>
        <v>849.46355200000005</v>
      </c>
      <c r="AB365" s="3">
        <f>1311.7+(243.1-713.5)+(-2.675868+(-0.495924--1.45554))+0-4--0.00815999999999983</f>
        <v>835.59190799999999</v>
      </c>
      <c r="AC365" s="3">
        <f>1304.8+(169-664.5)+(-1.996344+(-0.25857--1.016685))+0-4--0.00612000000000023</f>
        <v>804.06789099999992</v>
      </c>
      <c r="AD365">
        <v>861.9</v>
      </c>
      <c r="AE365" s="3">
        <f>1381+(198.3-717.4)+(0+(0-0))+0-4-0</f>
        <v>857.90000000000009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1678.1+(874.1-548.9)+(-4.279155+(-2.228955--1.399695))+0-550.2--1.40300999999992</f>
        <v>1449.394595</v>
      </c>
      <c r="G1" s="3">
        <f>1675.2+(895.2-429.5)+(-2.563056+(-1.369656--0.657135))+0-722.3--1.10511900000004</f>
        <v>1416.4295420000003</v>
      </c>
      <c r="H1" s="3">
        <f>1674.4+(912.3-532.1)+(-0.853944+(-0.465273--0.271371))+0-569.5--0.290444999999942</f>
        <v>1484.3425989999998</v>
      </c>
      <c r="I1" s="3">
        <f>1674.3+(783.4-617.3)+(-4.269465+(-1.99767--1.574115))+0-525.5--1.34002499999992</f>
        <v>1311.5470050000001</v>
      </c>
      <c r="J1" s="3">
        <f>1672.7+(674.7-574.6)+(-0.853077+(-0.344097--0.293046))+0-573.2--0.292331999999942</f>
        <v>1198.9882040000002</v>
      </c>
      <c r="K1" s="3">
        <f>1671+(655.1-499.2)+(-4.26105+(-1.670505--1.27296))+0-584.2--1.48970999999992</f>
        <v>1239.5311149999998</v>
      </c>
      <c r="L1" s="3">
        <f>1676.2+(424.8-470.6)+(0+(0-0))+0-534.5-0</f>
        <v>1095.9000000000001</v>
      </c>
      <c r="M1" s="3">
        <f>1674.7+(481.4-521.7)+(0+(0-0))+0-472.4-0</f>
        <v>1162</v>
      </c>
      <c r="N1" s="3">
        <f>1668.8+(426.9-428.5)+(-2.553264+(-0.653157--0.655605))+0-557.9--0.853587000000032</f>
        <v>1107.6027709999998</v>
      </c>
      <c r="O1" s="3">
        <f>1818.6+(570.6-531.8)+(-0.927486+(-0.291006--0.271218))+0-545.9--0.278408999999945</f>
        <v>1310.8311349999999</v>
      </c>
      <c r="P1" s="3">
        <f>1970.9+(654.5-632.3)+(-3.015477+(-1.001385--0.967419))+0-557.5--0.852975000000032</f>
        <v>1433.403532</v>
      </c>
      <c r="Q1" s="3">
        <f>2057.4+(401.9-570)+(-3.147822+(-0.614907--0.8721))+0-577.6--0.883728000000033</f>
        <v>1309.6930990000003</v>
      </c>
      <c r="R1" s="3">
        <f>2142.9+(254.9-566.7)+(-1.092879+(-0.129999--0.289017))+0-536.7--0.273716999999946</f>
        <v>1293.7398559999999</v>
      </c>
      <c r="S1" s="3">
        <f>2096.8+(343.9-525.4)+(2.138736+(0.350778-0.535908))+0-592.3-0.604146000000094</f>
        <v>1324.3494600000001</v>
      </c>
      <c r="T1" s="3">
        <f>2151.1+(279-525.3)+(-3.291183+(-0.42687--0.803709))+0-588.6--0.900558000000034</f>
        <v>1314.1862140000001</v>
      </c>
      <c r="U1" s="3">
        <f>2181.5+(237.8-584.5)+(-2.22513+(-0.242556--0.59619))+0-520.4--0.530808000000083</f>
        <v>1313.0593119999999</v>
      </c>
      <c r="V1" s="3">
        <f>2056.8+(322.9-573.7)+(-1.048968+(-0.164679--0.292587))+0-474.5--0.241994999999952</f>
        <v>1330.820935</v>
      </c>
      <c r="W1" s="3">
        <f>1989.2+(387.1-456.5)+(0+(0-0))+0-579.3-0</f>
        <v>1340.5000000000002</v>
      </c>
      <c r="X1" s="3">
        <f>2115+(628.9-577.1)+(0+(0-0))+0-580.7-0</f>
        <v>1586.1000000000001</v>
      </c>
      <c r="Y1" s="3">
        <f>2404.1+(816.5-853.5)+(-1.226091+(-0.416415--0.435285))+0-557.4--0.284273999999943</f>
        <v>1808.7770529999996</v>
      </c>
      <c r="Z1" s="3">
        <f>2403.4+(764.2-893.3)+(1.225734+(0.389742-0.455583))+0-458.1-0.233630999999954</f>
        <v>1817.1262620000002</v>
      </c>
      <c r="AA1" s="3">
        <f>2492.9+(786.7-965.2)+(0+(0-0))+0-578.1-0</f>
        <v>1736.3000000000002</v>
      </c>
      <c r="AB1" s="3">
        <f>2192.1+(742.1-854)+(0+(0-0))+0-472.3-0</f>
        <v>1607.8999999999999</v>
      </c>
      <c r="AC1" s="3">
        <f>2030.1+(743.4-723.9)+(-1.035351+(-0.379134--0.369189))+0-573.8--0.292637999999942</f>
        <v>1475.0473420000001</v>
      </c>
      <c r="AD1">
        <v>1540.3000000000002</v>
      </c>
      <c r="AE1" s="3">
        <f>2391+(848-1096.6)+(0+(0-0))+0-602.1-0</f>
        <v>1540.3000000000002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1335.673671</v>
      </c>
      <c r="G2" s="3">
        <f>1714+(275-208.7)+(0+(0-0))+0-584-0</f>
        <v>1196.3</v>
      </c>
      <c r="H2" s="3">
        <f>1764.8+(270.5-205.4)+(-3.600192+(-0.55182--0.419016))+0-582--1.18727999999997</f>
        <v>1245.3542839999998</v>
      </c>
      <c r="I2" s="3">
        <f>1677+(315.8-224.6)+(-1.71054+(-0.322116--0.229092))+0-547--0.557940000000087</f>
        <v>1219.9543760000001</v>
      </c>
      <c r="J2" s="3">
        <f>1677.7+(354.4-227.7)+(0+(0-0))+0-642.8-0</f>
        <v>1161.6000000000001</v>
      </c>
      <c r="K2" s="3">
        <f>1681.3+(376.4-217.1)+(-2.572389+(-0.575892--0.332163))+0-674.1--1.03137300000004</f>
        <v>1164.7152549999998</v>
      </c>
      <c r="L2" s="3">
        <f>1681.5+(267.8-244.8)+(-1.71513+(-0.273156--0.249696))+0-502--0.51204000000008</f>
        <v>1201.2734500000001</v>
      </c>
      <c r="M2" s="3">
        <f>1690.1+(177.9-211.6)+(-6.033657+(-0.635103--0.755412))+0-560.5--2.00098500000001</f>
        <v>1091.9876369999997</v>
      </c>
      <c r="N2" s="3">
        <f>1662.8+(260.6-249.7)+(2.544084+(0.398718-0.382041))+0-524.5-0.80248500000003</f>
        <v>1150.9582760000001</v>
      </c>
      <c r="O2" s="3">
        <f>1650.8+(409.9-286.5)+(2.525724+(0.627147-0.438345))+0-557.6-0.853128000000032</f>
        <v>1218.4613979999997</v>
      </c>
      <c r="P2" s="3">
        <f>1809.7+(610.8-359.5)+(1.845894+(0.623016-0.36669))+0-558.1-0.569262000000089</f>
        <v>1504.4329580000003</v>
      </c>
      <c r="Q2" s="3">
        <f>1942.7+(389.2-601.1)+(-5.944662+(-1.190952--1.839366))+0-495.7--1.51684200000006</f>
        <v>1231.3205939999998</v>
      </c>
      <c r="R2" s="3">
        <f>2137.7+(491.2-719.9)+(-1.090227+(-0.250512--0.367149))+0-595.3--0.30360299999994</f>
        <v>1313.0300129999996</v>
      </c>
      <c r="S2" s="3">
        <f>2227+(521.9-852.2)+(2.27154+(0.532338-0.869244))+0-603.1-0.615162000000096</f>
        <v>1294.9194719999996</v>
      </c>
      <c r="T2" s="3">
        <f>2231.5+(497.4-958.6)+(-3.414195+(-0.761022--1.466658))+0-486.8--0.744804000000028</f>
        <v>1281.536245</v>
      </c>
      <c r="U2" s="3">
        <f>2142+(611.2-868.2)+(0+(0-0))+0-638.3-0</f>
        <v>1246.7</v>
      </c>
      <c r="V2" s="3">
        <f>1983.3+(519.8-657.6)+(-3.034449+(-0.795294--1.006128))+0-550--0.841500000000032</f>
        <v>1293.517885</v>
      </c>
      <c r="W2" s="3">
        <f>1989.6+(614.5-710)+(-4.058784+(-1.25358--1.4484))+0-526.4--1.07385599999998</f>
        <v>1364.9098920000001</v>
      </c>
      <c r="X2" s="3">
        <f>2007.3+(724.7-829.4)+(-4.094892+(-1.478388--1.691976))+0-577.3--1.17769199999997</f>
        <v>1322.5963879999999</v>
      </c>
      <c r="Y2" s="3">
        <f>2279.1+(865-995.4)+(-3.487023+(-1.32345--1.522962))+0-658.8--1.00796400000004</f>
        <v>1487.620453</v>
      </c>
      <c r="Z2" s="3">
        <f>2401.5+(857.3-1058.1)+(-6.123825+(-2.186115--2.698155))+0-632.4--1.61261999999991</f>
        <v>1564.3008349999996</v>
      </c>
      <c r="AA2" s="3">
        <f>2277.8+(961.1-1078.2)+(-1.161678+(-0.490161--0.549882))+0-588.5--0.30013499999994</f>
        <v>1571.3981780000004</v>
      </c>
      <c r="AB2" s="3">
        <f>2278+(816.2-1094.2)+(-6.97068+(-2.497572--3.348252))+0-480.8--1.47124800000006</f>
        <v>1514.5512480000002</v>
      </c>
      <c r="AC2" s="3">
        <f>2276.3+(778.8-975.8)+(-2.321826+(-0.794376--0.995316))+0-625.5--0.6380100000001</f>
        <v>1452.3171240000001</v>
      </c>
      <c r="AD2">
        <v>1562.4</v>
      </c>
      <c r="AE2" s="3">
        <f>2421+(881.4-1061.5)+(0+(0-0))+0-678.5-0</f>
        <v>1562.4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1937.2+(750.6-530.7)+(-1.975944+(-0.765612--0.541314))+0-529.1--0.539682000000084</f>
        <v>1626.3394400000002</v>
      </c>
      <c r="G3" s="3">
        <f>1732.1+(418.3-407.3)+(0+(0-0))+0-471.1-0</f>
        <v>1272</v>
      </c>
      <c r="H3" s="3">
        <f>1716.4+(394.9-269.4)+(-3.501456+(-0.805596--0.549576))+0-619.6--1.26398399999997</f>
        <v>1219.8065079999999</v>
      </c>
      <c r="I3" s="3">
        <f>1617.9+(417.7-202.4)+(0+(0-0))+0-679.1-0</f>
        <v>1154.0999999999999</v>
      </c>
      <c r="J3" s="3">
        <f>1521.1+(448.1-173.2)+(-3.878805+(-1.142655--0.44166))+0-583.3--1.48741499999992</f>
        <v>1209.6076149999999</v>
      </c>
      <c r="K3" s="3">
        <f>1506.1+(477-171.2)+(3.072444+(0.97308-0.349248))+0-609.1-1.24256399999997</f>
        <v>1205.253712</v>
      </c>
      <c r="L3" s="3">
        <f>1514.8+(469.9-204.5)+(-2.317644+(-0.718947--0.312885))+0-597.4--0.914022000000035</f>
        <v>1180.9903159999999</v>
      </c>
      <c r="M3" s="3">
        <f>1516.4+(241-214.6)+(-0.773364+(-0.12291--0.109446))+0-432.1--0.220370999999956</f>
        <v>1110.1335429999999</v>
      </c>
      <c r="N3" s="3">
        <f>1522.8+(383.1-187.6)+(0+(0-0))+0-533.5-0</f>
        <v>1184.8</v>
      </c>
      <c r="O3" s="3">
        <f>1570.5+(567.8-305.7)+(-0.800955+(-0.289578--0.155907))+0-463.1--0.236180999999953</f>
        <v>1368.8015549999998</v>
      </c>
      <c r="P3" s="3">
        <f>1831.2+(624.1-775.7)+(0+(0-0))+0-480-0</f>
        <v>1199.5999999999999</v>
      </c>
      <c r="Q3" s="3">
        <f>2165+(719.7-1018.1)+(0+(0-0))+0-491-0</f>
        <v>1375.6</v>
      </c>
      <c r="R3" s="3">
        <f>2151.8+(909.2-1148.6)+(-2.194836+(-0.927384--1.171572))+0-550.7--0.561714000000088</f>
        <v>1360.3110660000004</v>
      </c>
      <c r="S3" s="3">
        <f>2068.3+(997.4-1173.5)+(0+(0-0))+0-543.5-0</f>
        <v>1348.7000000000003</v>
      </c>
      <c r="T3" s="3">
        <f>2065.5+(897.9-1192.9)+(1.053405+(0.457929-0.608379))+0-491.4-0.25061399999995</f>
        <v>1279.7523409999999</v>
      </c>
      <c r="U3" s="3">
        <f>1978+(828.7-1078.6)+(-2.01756+(-0.845274--1.100172))+0-485.9--0.495618000000077</f>
        <v>1240.9329560000003</v>
      </c>
      <c r="V3" s="3">
        <f>1961.3+(871.4-1070.9)+(1.000263+(0.444414-0.546159))+0-444.8-0.226847999999955</f>
        <v>1317.6716699999997</v>
      </c>
      <c r="W3" s="3">
        <f>1969.9+(957.3-1091.4)+(-1.004649+(-0.488223--0.556614))+0-511--0.260609999999948</f>
        <v>1324.124352</v>
      </c>
      <c r="X3" s="3">
        <f>1970.4+(1044.2-1167.4)+(1.004904+(0.532542-0.595374))+0-502.6-0.256325999999949</f>
        <v>1345.2857460000002</v>
      </c>
      <c r="Y3" s="3">
        <f>2146+(931.1-1191.3)+(1.09446+(0.474861-0.607563))+0-438.1-0.223430999999956</f>
        <v>1448.4383270000003</v>
      </c>
      <c r="Z3" s="3">
        <f>2496.3+(942.3-1282.3)+(-1.273113+(-0.480573--0.653973))+0-526.3--0.268412999999947</f>
        <v>1629.1687000000002</v>
      </c>
      <c r="AA3" s="3">
        <f>2206.1+(834.8-924.5)+(0+(0-0))+0-521.6-0</f>
        <v>1594.7999999999997</v>
      </c>
      <c r="AB3" s="3">
        <f>2084.3+(748.9-722.9)+(1.062993+(0.381939-0.368679))+0-604.4-0.308243999999939</f>
        <v>1506.6680090000004</v>
      </c>
      <c r="AC3" s="3">
        <f>2085.6+(625.2-675.5)+(-1.063656+(-0.318852--0.344505))+0-555.9--0.283508999999944</f>
        <v>1478.6455059999998</v>
      </c>
      <c r="AD3">
        <v>1625.9999999999998</v>
      </c>
      <c r="AE3" s="3">
        <f>2559+(984.7-1359.5)+(0+(0-0))+0-558.2-0</f>
        <v>1625.9999999999998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2033.6+(669.2-668.6)+(-1.037136+(-0.341292--0.340986))+0-616.1--0.314210999999938</f>
        <v>1417.3767689999995</v>
      </c>
      <c r="G4" s="3">
        <f>1855.6+(630.3-559)+(-2.839068+(-0.964359--0.85527))+0-665.4--1.01806200000004</f>
        <v>1259.5699049999998</v>
      </c>
      <c r="H4" s="3">
        <f>1778.8+(482.9-381.8)+(-1.814376+(-0.492558--0.389436))+0-671--0.684420000000107</f>
        <v>1207.6669219999999</v>
      </c>
      <c r="I4" s="3">
        <f>1737+(345.5-352.1)+(1.77174+(0.35241-0.359142))+0-590.3-0.602106000000094</f>
        <v>1141.2629020000002</v>
      </c>
      <c r="J4" s="3">
        <f>1732.5+(361-233.5)+(-1.76715+(-0.36822--0.23817))+0-643.1--0.655962000000103</f>
        <v>1215.6587619999998</v>
      </c>
      <c r="K4" s="3">
        <f>1746.9+(334.8-193.2)+(2.672757+(0.512244-0.295596))+0-699.6-1.07038800000004</f>
        <v>1190.7190169999999</v>
      </c>
      <c r="L4" s="3">
        <f>1814+(105.6-258.8)+(-4.6257+(-0.26928--0.65994))+0-446.1--1.13755499999994</f>
        <v>1211.6025149999998</v>
      </c>
      <c r="M4" s="3">
        <f>1745.4+(67.6-264.4)+(1.780308+(0.068952-0.269688))+0-425.5-0.434010000000068</f>
        <v>1124.2455620000001</v>
      </c>
      <c r="N4" s="3">
        <f>1789.1+(126.1-250.1)+(0+(0-0))+0-491.7-0</f>
        <v>1173.3999999999999</v>
      </c>
      <c r="O4" s="3">
        <f>2040.8+(75.2-388.6)+(1.040808+(0.038352-0.198186))+0-467.5-0.238424999999953</f>
        <v>1260.5425489999998</v>
      </c>
      <c r="P4" s="3">
        <f>1964+(287.1-367)+(-1.00164+(-0.146421--0.18717))+0-491.5--0.25066499999995</f>
        <v>1391.889774</v>
      </c>
      <c r="Q4" s="3">
        <f>2065+(511.2-551.9)+(-2.1063+(-0.521424--0.562938))+0-543.5--0.554370000000087</f>
        <v>1479.2895840000001</v>
      </c>
      <c r="R4" s="3">
        <f>2119.6+(578.6-772.9)+(-1.080996+(-0.295086--0.394179))+0-527.7--0.269126999999946</f>
        <v>1396.8872239999998</v>
      </c>
      <c r="S4" s="3">
        <f>2193.2+(802-991.5)+(-3.355596+(-1.22706--1.516995))+0-598.4--0.915552000000035</f>
        <v>1403.1498909999996</v>
      </c>
      <c r="T4" s="3">
        <f>2218.8+(616.2-935.6)+(-5.65794+(-1.57131--2.38578))+0-582.6--1.48562999999992</f>
        <v>1313.4421599999998</v>
      </c>
      <c r="U4" s="3">
        <f>2149.9+(687.1-924.3)+(4.385796+(1.401684-1.885572))+0-594.7-1.21318799999997</f>
        <v>1320.6887200000003</v>
      </c>
      <c r="V4" s="3">
        <f>2252.2+(647.1-1045.2)+(1.148622+(0.330021-0.533052))+0-519.5-0.264944999999947</f>
        <v>1335.2806459999999</v>
      </c>
      <c r="W4" s="3">
        <f>2077.9+(564.8-831.1)+(-2.119458+(-0.576096--0.847722))+0-469.4--0.478788000000075</f>
        <v>1340.830956</v>
      </c>
      <c r="X4" s="3">
        <f>2147.6+(591-959.1)+(-2.190552+(-0.60282--0.978282))+0-434.1--0.442782000000069</f>
        <v>1344.0276920000001</v>
      </c>
      <c r="Y4" s="3">
        <f>2226.9+(836.8-1011.7)+(1.135719+(0.426768-0.515967))+0-446.1-0.227510999999955</f>
        <v>1606.7190089999999</v>
      </c>
      <c r="Z4" s="3">
        <f>2419+(1229.3-1352.2)+(0+(0-0))+0-572.3-0</f>
        <v>1723.8</v>
      </c>
      <c r="AA4" s="3">
        <f>2421.3+(1133.8-1406.6)+(-2.469726+(-1.156476--1.434732))+0-568.8--0.580176000000091</f>
        <v>1578.088706</v>
      </c>
      <c r="AB4" s="3">
        <f>2405+(935.4-1262.5)+(1.22655+(0.477054-0.643875))+0-555.6-0.283355999999944</f>
        <v>1523.0763730000003</v>
      </c>
      <c r="AC4" s="3">
        <f>2364.9+(837.7-1127.5)+(1.206099+(0.427227-0.575025))+0-621.9-0.317168999999937</f>
        <v>1453.9411320000004</v>
      </c>
      <c r="AD4">
        <v>1616.7999999999997</v>
      </c>
      <c r="AE4" s="3">
        <f>2421+(1323.1-1425.7)+(0+(0-0))+0-701.6-0</f>
        <v>1616.7999999999997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2050.5+(527.3-556.3)+(-3.137265+(-0.806769--0.851139))+0-584.2--0.893826000000034</f>
        <v>1435.1009309999999</v>
      </c>
      <c r="G5" s="3">
        <f>1924.4+(460.9-533.1)+(-1.962888+(-0.470118--0.543762))+0-543.6--0.554472000000087</f>
        <v>1307.265228</v>
      </c>
      <c r="H5" s="3">
        <f>1850.3+(348.7-355.7)+(0+(0-0))+0-606-0</f>
        <v>1237.3</v>
      </c>
      <c r="I5" s="3">
        <f>1782.9+(267.5-274.3)+(0+(0-0))+0-623.5-0</f>
        <v>1152.6000000000001</v>
      </c>
      <c r="J5" s="3">
        <f>1765.5+(289-172.5)+(0.900405+(0.14739-0.087975))+0-670-0.341699999999932</f>
        <v>1212.6181200000001</v>
      </c>
      <c r="K5" s="3">
        <f>1760+(212.6-161.6)+(0+(0-0))+0-612.8-0</f>
        <v>1198.2</v>
      </c>
      <c r="L5" s="3">
        <f>1749.6+(194.9-152.3)+(2.676888+(0.298197-0.233019))+0-611.7-0.935901000000035</f>
        <v>1182.3061649999997</v>
      </c>
      <c r="M5" s="3">
        <f>1779.4+(116.7-235.9)+(-3.629976+(-0.238068--0.481236))+0-513.2--1.04692799999998</f>
        <v>1144.66012</v>
      </c>
      <c r="N5" s="3">
        <f>1933.6+(103.4-304.4)+(0.986136+(0.052734-0.155244))+0-533.4-0.272033999999946</f>
        <v>1199.8115920000002</v>
      </c>
      <c r="O5" s="3">
        <f>2123.9+(109.6-475.9)+(-3.249567+(-0.167688--0.728127))+0-437.9--0.669987000000025</f>
        <v>1317.6808590000003</v>
      </c>
      <c r="P5" s="3">
        <f>2393.2+(266.9-713.8)+(0+(0-0))+0-575.2-0</f>
        <v>1371.0999999999997</v>
      </c>
      <c r="Q5" s="3">
        <f>2247.5+(316.2-622.3)+(1.146225+(0.161262-0.317373))+0-522.2-0.266321999999947</f>
        <v>1419.923792</v>
      </c>
      <c r="R5" s="3">
        <f>2318.4+(289-746.2)+(-3.547152+(-0.44217--1.141686))+0-509.3--0.779229000000029</f>
        <v>1349.8315930000001</v>
      </c>
      <c r="S5" s="3">
        <f>2226.5+(394.6-596.7)+(-2.27103+(-0.402492--0.608634))+0-595.7--0.607614000000095</f>
        <v>1427.2427259999999</v>
      </c>
      <c r="T5" s="3">
        <f>2324.2+(381.6-785.1)+(-5.92671+(-0.97308--2.002005))+0-622.6--1.58762999999991</f>
        <v>1294.7898449999998</v>
      </c>
      <c r="U5" s="3">
        <f>2234.4+(197-718.3)+(-3.418632+(-0.30141--1.098999))+0-484.3--0.740979000000028</f>
        <v>1226.919936</v>
      </c>
      <c r="V5" s="3">
        <f>2205.7+(396-724.2)+(0+(0-0))+0-532-0</f>
        <v>1345.4999999999998</v>
      </c>
      <c r="W5" s="3">
        <f>2138.8+(378.7-628)+(-1.090788+(-0.193137--0.32028))+0-544.2--0.277541999999945</f>
        <v>1344.6138970000002</v>
      </c>
      <c r="X5" s="3">
        <f>2162.9+(519.8-720.4)+(0+(0-0))+0-594.8-0</f>
        <v>1367.5000000000002</v>
      </c>
      <c r="Y5" s="3">
        <f>2175.4+(1089.7-962.8)+(0+(0-0))+0-570.1-0</f>
        <v>1732.2000000000003</v>
      </c>
      <c r="Z5" s="3">
        <f>2295.8+(1195.3-1411.1)+(-2.341716+(-1.219206--1.439322))+0-566.9--0.57823800000009</f>
        <v>1511.556638</v>
      </c>
      <c r="AA5" s="3">
        <f>2289.9+(1222.5-1379.5)+(-1.167849+(-0.623475--0.703545))+0-536.7--0.273716999999946</f>
        <v>1595.3859380000001</v>
      </c>
      <c r="AB5" s="3">
        <f>2291.4+(1071-1297.9)+(0+(0-0))+0-550.5-0</f>
        <v>1514</v>
      </c>
      <c r="AC5" s="3">
        <f>2263.4+(868.1-1269)+(-2.308668+(-0.885462--1.29438))+0-410.9--0.419118000000065</f>
        <v>1450.1193679999999</v>
      </c>
      <c r="AD5">
        <v>1720.1000000000001</v>
      </c>
      <c r="AE5" s="3">
        <f>2299+(1300.6-1452.3)+(0+(0-0))+0-427.2-0</f>
        <v>1720.1000000000001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1957.9+(862.7-850.2)+(-1.997058+(-0.879954--0.867204))+0-560.2--0.571404000000089</f>
        <v>1408.7615960000001</v>
      </c>
      <c r="G6" s="3">
        <f>1724.3+(673.2-725.2)+(-1.758786+(-0.686664--0.739704))+0-429.9--0.438498000000069</f>
        <v>1241.132752</v>
      </c>
      <c r="H6" s="3">
        <f>1726.6+(609.2-505.8)+(0+(0-0))+0-591.6-0</f>
        <v>1238.4000000000001</v>
      </c>
      <c r="I6" s="3">
        <f>1723.6+(470.3-426)+(0+(0-0))+0-609.2-0</f>
        <v>1158.6999999999998</v>
      </c>
      <c r="J6" s="3">
        <f>1724+(393.1-275)+(1.75848+(0.400962-0.2805))+0-623.8-0.636276000000099</f>
        <v>1219.5426659999998</v>
      </c>
      <c r="K6" s="3">
        <f>1693.2+(451.1-285.6)+(-3.454128+(-0.920244--0.582624))+0-593.8--1.21135199999997</f>
        <v>1262.319604</v>
      </c>
      <c r="L6" s="3">
        <f>1697.3+(357.8-277.7)+(-0.865623+(-0.182478--0.141627))+0-533.3--0.271982999999946</f>
        <v>1243.4655090000001</v>
      </c>
      <c r="M6" s="3">
        <f>1768.2+(246.4-293.2)+(-1.803564+(-0.251328--0.299064))+0-510.4--0.520608000000081</f>
        <v>1209.7647800000002</v>
      </c>
      <c r="N6" s="3">
        <f>2004.7+(402.3-424.2)+(3.067191+(0.615519-0.649026))+0-517.6-0.79192800000003</f>
        <v>1467.4417560000002</v>
      </c>
      <c r="O6" s="3">
        <f>2304.8+(627.6-612.6)+(-1.175448+(-0.320076--0.312426))+0-597.7--0.304826999999939</f>
        <v>1721.2217290000001</v>
      </c>
      <c r="P6" s="3">
        <f>2583.6+(887.1-942.5)+(-2.635272+(-0.904842--0.96135))+0-553.3--0.564366000000088</f>
        <v>1972.8856020000001</v>
      </c>
      <c r="Q6" s="3">
        <f>2660.8+(946.6-1024.6)+(-1.357008+(-0.482766--0.522546))+0-505.5--0.257804999999949</f>
        <v>2076.240577</v>
      </c>
      <c r="R6" s="3">
        <f>2656.9+(783.1-1224.7)+(-1.355019+(-0.399381--0.624597))+0-480.8--0.245207999999951</f>
        <v>1733.6154050000005</v>
      </c>
      <c r="S6" s="3">
        <f>2579.5+(761-1141.9)+(-3.946635+(-1.16433--1.747107))+0-598.6--0.915858000000035</f>
        <v>1597.5519999999999</v>
      </c>
      <c r="T6" s="3">
        <f>2420.1+(633.5-895.9)+(-4.937004+(-1.29234--1.827636))+0-516.6--1.05386399999998</f>
        <v>1637.752156</v>
      </c>
      <c r="U6" s="3">
        <f>2264.3+(536.2-809.8)+(-4.619172+(-1.093848--1.651992))+0-448.8--0.91555199999998</f>
        <v>1538.7545240000002</v>
      </c>
      <c r="V6" s="3">
        <f>2088.8+(510.3-704)+(-3.195864+(-0.780759--1.07712))+0-400.1--0.612153000000023</f>
        <v>1492.7126499999999</v>
      </c>
      <c r="W6" s="3">
        <f>2033+(606.4-642.1)+(-3.11049+(-0.927792--0.982413))+0-559.3--0.855729000000032</f>
        <v>1435.7998600000001</v>
      </c>
      <c r="X6" s="3">
        <f>2037.8+(603.4-555.4)+(-3.117834+(-0.923202--0.849762))+0-551.8--0.844254000000032</f>
        <v>1531.6529800000005</v>
      </c>
      <c r="Y6" s="3">
        <f>2376.4+(881.4-956.5)+(0+(0-0))+0-508.4-0</f>
        <v>1792.9</v>
      </c>
      <c r="Z6" s="3">
        <f>2475.2+(1102-1398)+(-3.787056+(-1.68606--2.13894))+0-496--0.758880000000029</f>
        <v>1680.6247040000001</v>
      </c>
      <c r="AA6" s="3">
        <f>2461.3+(1238.3-1532.3)+(-3.765789+(-1.894599--2.344419))+0-531--0.812430000000031</f>
        <v>1633.7964609999999</v>
      </c>
      <c r="AB6" s="3">
        <f>2443.4+(1087.3-1532.9)+(-1.246134+(-0.554523--0.781779))+0-476.8--0.243167999999952</f>
        <v>1520.2242899999999</v>
      </c>
      <c r="AC6" s="3">
        <f>2429.4+(1145.2-1407.3)+(-2.477988+(-1.168104--1.435446))+0-626.3--0.6388260000001</f>
        <v>1539.4281800000003</v>
      </c>
      <c r="AD6">
        <v>1841.5</v>
      </c>
      <c r="AE6" s="3">
        <f>2469+(1464.7-1408.6)+(0+(0-0))+0-683.6-0</f>
        <v>1841.5000000000005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2314.5+(1001.6-1244.7)+(0+(0-0))+0-503.5-0</f>
        <v>1567.9</v>
      </c>
      <c r="G7" s="3">
        <f>2115.3+(1079.7-1132)+(0+(0-0))+0-645.2-0</f>
        <v>1417.8</v>
      </c>
      <c r="H7" s="3">
        <f>2084.4+(672.8-863.9)+(-3.189132+(-1.029384--1.321767))+0-553.3--0.846549000000032</f>
        <v>1337.9498000000003</v>
      </c>
      <c r="I7" s="3">
        <f>1997.9+(524.6-641.6)+(1.018929+(0.267546-0.327216))+0-587.6-0.29967599999994</f>
        <v>1293.9595830000001</v>
      </c>
      <c r="J7" s="3">
        <f>1889.3+(573.6-418.1)+(0+(0-0))+0-660.7-0</f>
        <v>1384.1</v>
      </c>
      <c r="K7" s="3">
        <f>1850.6+(460.9-419.9)+(1.887612+(0.470118-0.428298))+0-538.5-0.549270000000086</f>
        <v>1354.4801619999998</v>
      </c>
      <c r="L7" s="3">
        <f>1853.7+(379.8-297.1)+(-1.890774+(-0.387396--0.303042))+0-546.5--0.557430000000087</f>
        <v>1388.4823020000001</v>
      </c>
      <c r="M7" s="3">
        <f>1850.6+(319.9-428.6)+(0+(0-0))+0-524.8-0</f>
        <v>1217.0999999999999</v>
      </c>
      <c r="N7" s="3">
        <f>2070.9+(429.6-494.5)+(0+(0-0))+0-520.6-0</f>
        <v>1485.4</v>
      </c>
      <c r="O7" s="3">
        <f>2115.1+(540.4-710.2)+(0+(0-0))+0-375.1-0</f>
        <v>1570.1999999999998</v>
      </c>
      <c r="P7" s="3">
        <f>2138.6+(1021.9-896.4)+(2.181372+(1.042338-0.914328))+0-517.2-0.527544000000083</f>
        <v>1748.6818379999997</v>
      </c>
      <c r="Q7" s="3">
        <f>2279.4+(1195.7-1235.2)+(-4.649976+(-2.439228--2.519808))+0-413.8--0.844151999999982</f>
        <v>1822.3747560000002</v>
      </c>
      <c r="R7" s="3">
        <f>2352.5+(1253.8-1344.9)+(-4.7991+(-2.557752--2.743596))+0-543.6--1.10894399999998</f>
        <v>1714.2956879999997</v>
      </c>
      <c r="S7" s="3">
        <f>2208.3+(1001.1-1128.2)+(-1.126233+(-0.510561--0.575382))+0-516.1--0.263210999999948</f>
        <v>1564.3017990000003</v>
      </c>
      <c r="T7" s="3">
        <f>2244.2+(905.9-1036.1)+(2.289084+(0.924018-1.056822))+0-515.6-0.525912000000082</f>
        <v>1600.0303680000002</v>
      </c>
      <c r="U7" s="3">
        <f>2219.8+(858.5-1012.1)+(-2.264196+(-0.87567--1.032342))+0-483.5--0.493170000000077</f>
        <v>1581.0856460000002</v>
      </c>
      <c r="V7" s="3">
        <f>2250.6+(812.6-1031.3)+(-3.443418+(-1.243278--1.577889))+0-391--0.598230000000023</f>
        <v>1638.3894230000001</v>
      </c>
      <c r="W7" s="3">
        <f>2284.4+(793.5-958.4)+(2.330088+(0.80937-0.977568))+0-551.9-0.562938000000088</f>
        <v>1569.1989519999997</v>
      </c>
      <c r="X7" s="3">
        <f>2289.8+(754.5-884.7)+(-1.167798+(-0.384795--0.451197))+0-587--0.29936999999994</f>
        <v>1571.7979740000003</v>
      </c>
      <c r="Y7" s="3">
        <f>2320.3+(1266-1132.9)+(3.550059+(1.93698-1.733337))+0-582.2-0.890766000000034</f>
        <v>1874.062936</v>
      </c>
      <c r="Z7" s="3">
        <f>2321.8+(1690.9-1667.6)+(1.184118+(0.862359-0.850476))+0-537.7-0.274226999999945</f>
        <v>1808.3217740000002</v>
      </c>
      <c r="AA7" s="3">
        <f>2323.3+(1655.8-1612.3)+(0+(0-0))+0-651.1-0</f>
        <v>1715.7000000000003</v>
      </c>
      <c r="AB7" s="3">
        <f>2315+(1232.3-1372.1)+(0+(0-0))+0-506-0</f>
        <v>1669.1999999999998</v>
      </c>
      <c r="AC7" s="3">
        <f>2130+(1142.3-1111.2)+(1.0863+(0.582573-0.566712))+0-581.3-0.296462999999941</f>
        <v>1580.6056979999998</v>
      </c>
      <c r="AD7">
        <v>1845.6</v>
      </c>
      <c r="AE7" s="3">
        <f>2320+(1756.6-1676.1)+(0+(0-0))+0-554.9-0</f>
        <v>1845.6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1908.2+(683-562)+(-5.839092+(-2.08998--1.71972))+0-519.6--1.58997600000006</f>
        <v>1504.980624</v>
      </c>
      <c r="G8" s="3">
        <f>1822.8+(519.5-486.6)+(-2.788884+(-0.794835--0.744498))+0-498--0.761940000000029</f>
        <v>1355.622719</v>
      </c>
      <c r="H8" s="3">
        <f>1797.9+(388.1-283.3)+(-0.916929+(-0.197931--0.144483))+0-534.6--0.272645999999946</f>
        <v>1367.4022689999997</v>
      </c>
      <c r="I8" s="3">
        <f>1799.1+(346.9-291.5)+(-4.587705+(-0.884595--0.743325))+0-531.1--1.35430499999992</f>
        <v>1320.0253299999999</v>
      </c>
      <c r="J8" s="3">
        <f>1797.1+(423.7-328.9)+(0+(0-0))+0-524.1-0</f>
        <v>1367.7999999999997</v>
      </c>
      <c r="K8" s="3">
        <f>1796.1+(518.2-346.7)+(2.748033+(0.792846-0.530451))+0-602.8-0.922284000000035</f>
        <v>1366.888144</v>
      </c>
      <c r="L8" s="3">
        <f>1807.8+(488.5-342.4)+(1.843956+(0.49827-0.349248))+0-553.2-0.564264000000088</f>
        <v>1402.1287139999999</v>
      </c>
      <c r="M8" s="3">
        <f>1809.4+(423.9-396.1)+(-2.768382+(-0.648567--0.606033))+0-458.8--0.701964000000027</f>
        <v>1376.2910480000003</v>
      </c>
      <c r="N8" s="3">
        <f>2005.4+(592.6-529.5)+(-1.022754+(-0.302226--0.270045))+0-453--0.231029999999954</f>
        <v>1614.6760949999998</v>
      </c>
      <c r="O8" s="3">
        <f>2377.3+(614-616.3)+(-2.424846+(-0.62628--0.628626))+0-484.2--0.493884000000077</f>
        <v>1888.8713839999998</v>
      </c>
      <c r="P8" s="3">
        <f>2370.1+(818.6-783.3)+(-2.417502+(-0.834972--0.798966))+0-421.4--0.429828000000067</f>
        <v>1981.97632</v>
      </c>
      <c r="Q8" s="3">
        <f>2374+(941.1-865.3)+(-1.21074+(-0.479961--0.441303))+0-404.9--0.206498999999959</f>
        <v>2043.8571010000001</v>
      </c>
      <c r="R8" s="3">
        <f>2360.4+(983.6-883.3)+(-2.407608+(-1.003272--0.900966))+0-468--0.477360000000075</f>
        <v>1990.6674460000002</v>
      </c>
      <c r="S8" s="3">
        <f>2314.6+(785.8-828.3)+(-2.360892+(-0.801516--0.844866))+0-441.2--0.45002400000007</f>
        <v>1829.0324820000001</v>
      </c>
      <c r="T8" s="3">
        <f>2185.3+(914.3-728.7)+(-4.458012+(-1.865172--1.486548))+0-461.1--0.94064399999998</f>
        <v>1905.9040080000002</v>
      </c>
      <c r="U8" s="3">
        <f>2132.4+(938.5-717.9)+(-1.087524+(-0.478635--0.366129))+0-432.9--0.220778999999956</f>
        <v>1919.1207489999999</v>
      </c>
      <c r="V8" s="3">
        <f>2042.8+(904.8-743.2)+(-4.167312+(-1.845792--1.516128))+0-451.8--0.92167199999998</f>
        <v>1749.0246959999997</v>
      </c>
      <c r="W8" s="3">
        <f>1945.2+(739-693.8)+(-3.968208+(-1.50756--1.415352))+0-422--0.860879999999982</f>
        <v>1565.200464</v>
      </c>
      <c r="X8" s="3">
        <f>1984.2+(755.2-624.5)+(1.011942+(0.385152-0.318495))+0-434.2-0.221441999999956</f>
        <v>1681.557157</v>
      </c>
      <c r="Y8" s="3">
        <f>2235.2+(1140.6-817.5)+(1.139952+(0.581706-0.416925))+0-447.7-0.228326999999955</f>
        <v>2111.676406</v>
      </c>
      <c r="Z8" s="3">
        <f>2398.4+(1546.3-1263.3)+(-1.223184+(-0.788613--0.644283))+0-560.2--0.285701999999943</f>
        <v>2120.1181880000004</v>
      </c>
      <c r="AA8" s="3">
        <f>2401.4+(1469.2-1253.9)+(-4.898856+(-2.997168--2.557956))+0-591--1.20563999999997</f>
        <v>2021.5675719999997</v>
      </c>
      <c r="AB8" s="3">
        <f>2387.9+(1277.5-1261.4)+(-2.435658+(-1.30305--1.286628))+0-478--0.487560000000076</f>
        <v>1924.03548</v>
      </c>
      <c r="AC8" s="3">
        <f>2394.2+(1339.4-1190.7)+(-1.221042+(-0.683094--0.607257))+0-656--0.334559999999933</f>
        <v>1885.9376809999997</v>
      </c>
      <c r="AD8">
        <v>1879.4999999999995</v>
      </c>
      <c r="AE8" s="3">
        <f>2383+(1563.6-1507.2)+(0+(0-0))+0-559.9-0</f>
        <v>1879.4999999999995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2142.6+(848.3-622.9)+(-2.185452+(-0.865266--0.635358))+0-557.4--0.568548000000089</f>
        <v>1808.7531880000001</v>
      </c>
      <c r="G9" s="3">
        <f>1897+(464.6-344.9)+(-4.83735+(-1.18473--0.879495))+0-632.5--1.61287499999991</f>
        <v>1380.6702899999998</v>
      </c>
      <c r="H9" s="3">
        <f>1829.9+(410.5-329.7)+(0+(0-0))+0-547.2-0</f>
        <v>1363.5</v>
      </c>
      <c r="I9" s="3">
        <f>1789.5+(506.2-301.4)+(-3.65058+(-1.032648--0.614856))+0-622.5--1.26989999999997</f>
        <v>1369.001528</v>
      </c>
      <c r="J9" s="3">
        <f>1788.8+(503.8-259.1)+(-1.824576+(-0.513876--0.264282))+0-657.2--0.670344000000105</f>
        <v>1374.896174</v>
      </c>
      <c r="K9" s="3">
        <f>1792.7+(391.3-250.2)+(-0.914277+(-0.199563--0.127602))+0-529.3--0.269942999999946</f>
        <v>1403.7837050000003</v>
      </c>
      <c r="L9" s="3">
        <f>1788.3+(420.4-232.5)+(0+(0-0))+0-601.5-0</f>
        <v>1374.6999999999998</v>
      </c>
      <c r="M9" s="3">
        <f>1790.4+(318.8-283.3)+(-3.652416+(-0.650352--0.577932))+0-435--0.887399999999981</f>
        <v>1388.0625640000001</v>
      </c>
      <c r="N9" s="3">
        <f>2013.5+(461.6-315.1)+(1.026885+(0.235416-0.160701))+0-440.5-0.224654999999955</f>
        <v>1720.376945</v>
      </c>
      <c r="O9" s="3">
        <f>2320.5+(585.1-695.3)+(0+(0-0))+0-500.7-0</f>
        <v>1709.6000000000001</v>
      </c>
      <c r="P9" s="3">
        <f>2376.2+(806.1-967.1)+(-2.423724+(-0.822222--0.986442))+0-473.8--0.483276000000076</f>
        <v>1739.6237719999999</v>
      </c>
      <c r="Q9" s="3">
        <f>2360.6+(967.8-1068.9)+(-1.203906+(-0.493578--0.545139))+0-438.1--0.223430999999956</f>
        <v>1820.471086</v>
      </c>
      <c r="R9" s="3">
        <f>2355.2+(1058.4-1124)+(-7.206912+(-3.238704--3.43944))+0-558.1--1.70778600000006</f>
        <v>1726.2016100000003</v>
      </c>
      <c r="S9" s="3">
        <f>2347.6+(807.3-1053.5)+(-3.591828+(-1.235169--1.611855))+0-491.2--0.751536000000028</f>
        <v>1607.7363939999996</v>
      </c>
      <c r="T9" s="3">
        <f>2343.6+(893.5-1046.5)+(-3.585708+(-1.367055--1.601145))+0-554.3--0.848079000000032</f>
        <v>1633.7964609999999</v>
      </c>
      <c r="U9" s="3">
        <f>2347.3+(823.6-1049.3)+(-3.591369+(-1.260108--1.605429))+0-483.6--0.739908000000028</f>
        <v>1635.4938600000005</v>
      </c>
      <c r="V9" s="3">
        <f>2364.5+(792.1-1004.3)+(-2.41179+(-0.807942--1.024386))+0-505.5--0.515610000000081</f>
        <v>1645.1202640000004</v>
      </c>
      <c r="W9" s="3">
        <f>2279.3+(763.9-894.3)+(-3.487329+(-1.168767--1.368279))+0-516--0.78948000000003</f>
        <v>1630.4016630000003</v>
      </c>
      <c r="X9" s="3">
        <f>2246.9+(792.7-848)+(-4.583676+(-1.617108--1.72992))+0-544.8--1.11139199999998</f>
        <v>1643.4405280000005</v>
      </c>
      <c r="Y9" s="3">
        <f>2331.6+(1104.3-1072.2)+(1.189116+(0.563193-0.546822))+0-530.9-0.270758999999946</f>
        <v>1833.7347279999999</v>
      </c>
      <c r="Z9" s="3">
        <f>2407+(1372.6-1290.5)+(0+(0-0))+0-596.1-0</f>
        <v>1893</v>
      </c>
      <c r="AA9" s="3">
        <f>2410.5+(1329-1273.6)+(-6.146775+(-3.38895--3.24768))+0-674.2--1.7192099999999</f>
        <v>1787.1311650000002</v>
      </c>
      <c r="AB9" s="3">
        <f>2396.6+(1053.2-1244.3)+(-4.889064+(-2.148528--2.538372))+0-545.2--1.11220799999998</f>
        <v>1656.9129879999998</v>
      </c>
      <c r="AC9" s="3">
        <f>2396+(967.7-1165.3)+(-3.66588+(-1.480581--1.782909))+0-647.3--0.990369000000037</f>
        <v>1548.7268170000004</v>
      </c>
      <c r="AD9">
        <v>1884.4</v>
      </c>
      <c r="AE9" s="3">
        <f>2402+(1409.1-1331.3)+(0+(0-0))+0-595.4-0</f>
        <v>1884.4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2134.3+(704-730.7)+(-2.176986+(-0.71808--0.745314))+0-593.3--0.605166000000095</f>
        <v>1512.7554140000007</v>
      </c>
      <c r="G10" s="3">
        <f>1908.5+(398-390.7)+(-4.866675+(-1.0149--0.996285))+0-520.6--1.32752999999992</f>
        <v>1391.6422400000001</v>
      </c>
      <c r="H10" s="3">
        <f>1908.7+(309-272.2)+(-0.973437+(-0.15759--0.138822))+0-529.5--0.270044999999946</f>
        <v>1415.27784</v>
      </c>
      <c r="I10" s="3">
        <f>1904.2+(298.6-290.6)+(-3.884568+(-0.609144--0.592824))+0-559.6--1.14158399999998</f>
        <v>1349.8406960000002</v>
      </c>
      <c r="J10" s="3">
        <f>1750.4+(500-281.5)+(0+(0-0))+0-682.1-0</f>
        <v>1286.8000000000002</v>
      </c>
      <c r="K10" s="3">
        <f>1753.5+(449-294.3)+(-0.894285+(-0.22899--0.150093))+0-611.9--0.312068999999938</f>
        <v>1295.6388869999998</v>
      </c>
      <c r="L10" s="3">
        <f>1696.6+(435.6-289.8)+(-1.730532+(-0.444312--0.295596))+0-501.7--0.51173400000008</f>
        <v>1339.332486</v>
      </c>
      <c r="M10" s="3">
        <f>1694.4+(470.2-272.7)+(0.864144+(0.239802-0.139077))+0-511-0.260609999999948</f>
        <v>1381.604259</v>
      </c>
      <c r="N10" s="3">
        <f>1902.6+(511.1-299.4)+(0+(0-0))+0-536.1-0</f>
        <v>1578.2000000000003</v>
      </c>
      <c r="O10" s="3">
        <f>2168.1+(640.4-734.3)+(0+(0-0))+0-485.3-0</f>
        <v>1588.8999999999999</v>
      </c>
      <c r="P10" s="3">
        <f>2274.4+(1131-1036.6)+(1.159944+(0.57681-0.528666))+0-535.8-0.273257999999946</f>
        <v>1833.9348300000001</v>
      </c>
      <c r="Q10" s="3">
        <f>2191.7+(1300.9-1169.2)+(-3.353301+(-1.990377--1.788876))+0-479.2--0.733176000000028</f>
        <v>1841.3783739999994</v>
      </c>
      <c r="R10" s="3">
        <f>2270.4+(1197.4-1180.4)+(-4.631616+(-2.442696--2.408016))+0-472.9--0.964715999999979</f>
        <v>1810.7984200000001</v>
      </c>
      <c r="S10" s="3">
        <f>2267.9+(975.9-1178.3)+(0+(0-0))+0-469.5-0</f>
        <v>1596</v>
      </c>
      <c r="T10" s="3">
        <f>2264.4+(999.2-1079.5)+(-1.154844+(-0.509592--0.550545))+0-574.8--0.293147999999942</f>
        <v>1608.4792570000004</v>
      </c>
      <c r="U10" s="3">
        <f>2260.3+(909.1-1042.6)+(-2.305506+(-0.927282--1.063452))+0-533.2--0.543864000000085</f>
        <v>1591.9745280000002</v>
      </c>
      <c r="V10" s="3">
        <f>2281.6+(904.2-996.3)+(0+(0-0))+0-574.6-0</f>
        <v>1614.9</v>
      </c>
      <c r="W10" s="3">
        <f>2315.8+(810.6-953.2)+(-2.362116+(-0.826812--0.972264))+0-583.9--0.595578000000093</f>
        <v>1587.6789140000003</v>
      </c>
      <c r="X10" s="3">
        <f>2392.4+(647.4-804.3)+(-6.10062+(-1.65087--2.050965))+0-579.9--1.47874499999992</f>
        <v>1651.3782199999996</v>
      </c>
      <c r="Y10" s="3">
        <f>2354.1+(966.3-849)+(2.401182+(0.985626-0.86598))+0-597.5-0.609450000000095</f>
        <v>1875.8113779999996</v>
      </c>
      <c r="Z10" s="3">
        <f>2419.7+(1261.6-1235.1)+(-4.936188+(-2.573664--2.519604))+0-533.6--1.08854399999998</f>
        <v>1908.6982959999998</v>
      </c>
      <c r="AA10" s="3">
        <f>2425.1+(1128.3-1245.1)+(1.236801+(0.575433-0.635001))+0-357.7-0.182426999999964</f>
        <v>1951.5948060000001</v>
      </c>
      <c r="AB10" s="3">
        <f>2412.1+(922.9-1219.7)+(-4.920684+(-1.882716--2.488188))+0-325.1--0.663203999999986</f>
        <v>1786.5479919999998</v>
      </c>
      <c r="AC10" s="3">
        <f>2405.4+(1059.2-1175.3)+(-1.226754+(-0.540192--0.599403))+0-331--0.168809999999966</f>
        <v>1957.3012670000001</v>
      </c>
      <c r="AD10">
        <v>1903.2000000000003</v>
      </c>
      <c r="AE10" s="3">
        <f>2407+(1432.4-1205.3)+(0+(0-0))+0-730.9-0</f>
        <v>1903.2000000000003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1983+(816.9-523.7)+(-1.01133+(-0.416619--0.267087))+0-626.4--0.319463999999936</f>
        <v>1648.9586019999995</v>
      </c>
      <c r="G11" s="3">
        <f>1921.7+(553.8-369.3)+(-2.940201+(-0.847314--0.565029))+0-681.1--1.04208300000004</f>
        <v>1422.9195969999998</v>
      </c>
      <c r="H11" s="3">
        <f>1921.4+(418-300.4)+(-0.979914+(-0.21318--0.153204))+0-619.2--0.315791999999937</f>
        <v>1419.0759019999998</v>
      </c>
      <c r="I11" s="3">
        <f>1896.7+(461.8-335.6)+(-3.869268+(-0.942072--0.684624))+0-637.6--1.30070399999997</f>
        <v>1382.473988</v>
      </c>
      <c r="J11" s="3">
        <f>1855.3+(470.1-358.7)+(-5.677218+(-1.438506--1.097622))+0-597.4--1.82804400000007</f>
        <v>1365.1099420000003</v>
      </c>
      <c r="K11" s="3">
        <f>1856.5+(507.5-354)+(-0.946815+(-0.258825--0.18054))+0-640.9--0.326858999999935</f>
        <v>1368.4017590000001</v>
      </c>
      <c r="L11" s="3">
        <f>1843.5+(483.1-346.1)+(-2.820555+(-0.739143--0.529533))+0-577--0.882810000000033</f>
        <v>1401.3526450000002</v>
      </c>
      <c r="M11" s="3">
        <f>1820.6+(485.5-377)+(-0.928506+(-0.247605--0.19227))+0-552.9--0.281978999999944</f>
        <v>1375.4981379999999</v>
      </c>
      <c r="N11" s="3">
        <f>2055.9+(449.6-458.1)+(1.048509+(0.229296-0.233631))+0-474-0.241739999999952</f>
        <v>1574.2024340000003</v>
      </c>
      <c r="O11" s="3">
        <f>2341.8+(729.2-796.9)+(3.582954+(1.115676-1.219257))+0-539.6-0.825588000000031</f>
        <v>1737.1537850000007</v>
      </c>
      <c r="P11" s="3">
        <f>2377.8+(904.4-927.9)+(-1.212678+(-0.461244--0.473229))+0-520.5--0.265454999999947</f>
        <v>1832.8647620000004</v>
      </c>
      <c r="Q11" s="3">
        <f>2366+(1095.5-1023.7)+(3.61998+(1.676115-1.566261))+0-576-0.881280000000033</f>
        <v>1864.6485540000003</v>
      </c>
      <c r="R11" s="3">
        <f>2356.3+(1118.9-1105.8)+(0+(0-0))+0-584.5-0</f>
        <v>1784.9000000000005</v>
      </c>
      <c r="S11" s="3">
        <f>2355.4+(884.2-1131.4)+(-2.402508+(-0.901884--1.154028))+0-501.3--0.51132600000008</f>
        <v>1605.2609619999998</v>
      </c>
      <c r="T11" s="3">
        <f>2354.2+(696.2-980.3)+(-4.802568+(-1.420248--1.999812))+0-444--0.905759999999981</f>
        <v>1622.7827559999998</v>
      </c>
      <c r="U11" s="3">
        <f>2345.8+(755.7-912.8)+(1.196358+(0.385407-0.465528))+0-563.4-0.287333999999943</f>
        <v>1626.1289030000005</v>
      </c>
      <c r="V11" s="3">
        <f>2380.2+(665.2-916.8)+(-6.06951+(-1.69626--2.33784))+0-488.6--1.24592999999993</f>
        <v>1635.818</v>
      </c>
      <c r="W11" s="3">
        <f>2379.4+(610.3-913.1)+(-3.640482+(-0.933759--1.397043))+0-472.8--0.723384000000027</f>
        <v>1601.3461860000002</v>
      </c>
      <c r="X11" s="3">
        <f>2379.6+(599.3-875.7)+(-4.854384+(-1.222572--1.786428))+0-460.6--0.93962399999998</f>
        <v>1639.2490959999998</v>
      </c>
      <c r="Y11" s="3">
        <f>2387.1+(905.3-1086.4)+(2.434842+(0.923406-1.108128))+0-270.4-0.275808000000043</f>
        <v>1937.574312</v>
      </c>
      <c r="Z11" s="3">
        <f>2409.4+(1306-1556.5)+(-4.915176+(-2.66424--3.17526))+0-227.1--0.46328399999999</f>
        <v>1927.8591280000001</v>
      </c>
      <c r="AA11" s="3">
        <f>2413.3+(1178.7-1607.4)+(-4.923132+(-2.404548--3.279096))+0-234.2--0.47776799999999</f>
        <v>1746.8291840000002</v>
      </c>
      <c r="AB11" s="3">
        <f>2336.6+(1006.8-1362.5)+(-5.95833+(-2.56734--3.474375))+0-238--0.606899999999965</f>
        <v>1738.4556049999999</v>
      </c>
      <c r="AC11" s="3">
        <f>2280+(1086.6-1239.5)+(1.1628+(0.554166-0.632145))+0-496.5-0.25321499999995</f>
        <v>1631.4316059999999</v>
      </c>
      <c r="AD11">
        <v>1830.1</v>
      </c>
      <c r="AE11" s="3">
        <f>2398+(1420.1-1641.1)+(0+(0-0))+0-346.9-0</f>
        <v>1830.1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2269.9+(982.9-855.7)+(0+(0-0))+0-675.7-0</f>
        <v>1721.3999999999999</v>
      </c>
      <c r="G12" s="3">
        <f>2145.3+(551.3-595)+(-3.282309+(-0.843489--0.91035))+0-652.3--0.998019000000038</f>
        <v>1447.0825710000006</v>
      </c>
      <c r="H12" s="3">
        <f>2007.5+(427.7-371)+(-6.14295+(-1.308762--1.13526))+0-657.4--2.01164400000008</f>
        <v>1402.4951919999999</v>
      </c>
      <c r="I12" s="3">
        <f>1924.2+(409.5-393)+(-3.925368+(-0.83538--0.80172))+0-645.9--1.31763599999997</f>
        <v>1292.158608</v>
      </c>
      <c r="J12" s="3">
        <f>1925.6+(385.8-378.4)+(-0.982056+(-0.196758--0.192984))+0-623.3--0.317882999999937</f>
        <v>1309.0320529999999</v>
      </c>
      <c r="K12" s="3">
        <f>1930.2+(371.5-355.7)+(-0.984402+(-0.189465--0.181407))+0-565.2--0.288251999999943</f>
        <v>1380.0957919999998</v>
      </c>
      <c r="L12" s="3">
        <f>1934+(410.3-346.5)+(-5.91804+(-1.255518--1.06029))+0-601.4--1.84028400000007</f>
        <v>1392.1270160000001</v>
      </c>
      <c r="M12" s="3">
        <f>1830.5+(449.8-425.7)+(-1.86711+(-0.458796--0.434214))+0-501.2--0.51122400000008</f>
        <v>1352.019532</v>
      </c>
      <c r="N12" s="3">
        <f>1806.3+(572.2-414)+(0.921213+(0.291822-0.21114))+0-588.8-0.30028799999994</f>
        <v>1376.4016070000002</v>
      </c>
      <c r="O12" s="3">
        <f>2036.5+(433.6-463.2)+(-3.115845+(-0.663408--0.708696))+0-462.2--0.707166000000027</f>
        <v>1542.336609</v>
      </c>
      <c r="P12" s="3">
        <f>2136.1+(419.8-433)+(-3.268233+(-0.642294--0.66249))+0-530.8--0.812124000000031</f>
        <v>1589.6640870000003</v>
      </c>
      <c r="Q12" s="3">
        <f>2129.3+(489.4-462.3)+(-4.343772+(-0.998376--0.943092))+0-517.9--1.05651599999998</f>
        <v>1635.1574599999997</v>
      </c>
      <c r="R12" s="3">
        <f>2126.1+(525.9-496.5)+(-3.252933+(-0.804627--0.759645))+0-519.7--0.79514100000003</f>
        <v>1633.2972259999999</v>
      </c>
      <c r="S12" s="3">
        <f>2119+(654.6-482.1)+(-1.08069+(-0.333846--0.245871))+0-631.9--0.322268999999936</f>
        <v>1658.7536039999998</v>
      </c>
      <c r="T12" s="3">
        <f>2115.7+(544.1-503.1)+(0+(0-0))+0-529.4-0</f>
        <v>1627.2999999999997</v>
      </c>
      <c r="U12" s="3">
        <f>2111.4+(548-567.1)+(-3.230442+(-0.83844--0.867663))+0-541.1--0.827883000000031</f>
        <v>1548.8266640000002</v>
      </c>
      <c r="V12" s="3">
        <f>2133.9+(437.3-544.5)+(-4.353156+(-0.892092--1.11078))+0-441.3--0.900251999999981</f>
        <v>1582.165784</v>
      </c>
      <c r="W12" s="3">
        <f>2132.4+(553.8-515.1)+(2.175048+(0.564876-0.525402))+0-586.6-0.598332000000094</f>
        <v>1586.1161900000002</v>
      </c>
      <c r="X12" s="3">
        <f>2133.7+(393.4-510.5)+(-5.440935+(-1.00317--1.301775))+0-468--1.19339999999993</f>
        <v>1544.6510699999999</v>
      </c>
      <c r="Y12" s="3">
        <f>2225.6+(637.4-720.4)+(0+(0-0))+0-520.3-0</f>
        <v>1622.3</v>
      </c>
      <c r="Z12" s="3">
        <f>2280.4+(1055.9-922.9)+(0+(0-0))+0-506-0</f>
        <v>1907.4</v>
      </c>
      <c r="AA12" s="3">
        <f>2287.5+(958-769.4)+(-5.833125+(-2.4429--1.96197))+0-459--1.17044999999993</f>
        <v>2011.9563949999999</v>
      </c>
      <c r="AB12" s="3">
        <f>2278+(882.9-647.1)+(-4.64712+(-1.801116--1.320084))+0-627.9--1.28091599999997</f>
        <v>1882.0527639999998</v>
      </c>
      <c r="AC12" s="3">
        <f>2279+(751.2-564.6)+(-3.48687+(-1.149336--0.863838))+0-599.1--0.916623000000035</f>
        <v>1863.6442550000002</v>
      </c>
      <c r="AD12">
        <v>1757</v>
      </c>
      <c r="AE12" s="3">
        <f>2286+(1062.9-1083.4)+(0+(0-0))+0-508.5-0</f>
        <v>1757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2096.2+(638.9-455.3)+(-2.138124+(-0.651678--0.464406))+0-634--0.646680000000101</f>
        <v>1644.1212839999996</v>
      </c>
      <c r="G13" s="3">
        <f>1916+(632.1-348.6)+(-3.90864+(-1.289484--0.711144))+0-690.3--1.40821199999997</f>
        <v>1506.121232</v>
      </c>
      <c r="H13" s="3">
        <f>1921.1+(416.8-280.4)+(-4.898805+(-1.06284--0.71502))+0-668.6--1.7049299999999</f>
        <v>1385.3583049999997</v>
      </c>
      <c r="I13" s="3">
        <f>1917.5+(342.2-243.5)+(1.95585+(0.349044-0.24837))+0-698.6-0.712572000000111</f>
        <v>1318.9439519999999</v>
      </c>
      <c r="J13" s="3">
        <f>1922.1+(340.1-238.9)+(-1.960542+(-0.346902--0.243678))+0-671.7--0.685134000000107</f>
        <v>1350.221368</v>
      </c>
      <c r="K13" s="3">
        <f>1920.8+(341-209.8)+(0.979608+(0.17391-0.106998))+0-708-0.361079999999928</f>
        <v>1344.68544</v>
      </c>
      <c r="L13" s="3">
        <f>1928.5+(198.2-246.7)+(-6.884745+(-0.707574--0.880719))+0-597.5--2.13307500000001</f>
        <v>1277.9214749999999</v>
      </c>
      <c r="M13" s="3">
        <f>1898.6+(216.5-399.9)+(-0.968286+(-0.110415--0.203949))+0-570.7--0.291056999999942</f>
        <v>1143.9163049999997</v>
      </c>
      <c r="N13" s="3">
        <f>1864.3+(270.1-417.9)+(0.950793+(0.137751-0.213129))+0-478.6-0.244085999999951</f>
        <v>1238.5313290000001</v>
      </c>
      <c r="O13" s="3">
        <f>1844+(316.7-428.9)+(-2.82132+(-0.484551--0.656217))+0-451.8--0.691254000000026</f>
        <v>1278.0416</v>
      </c>
      <c r="P13" s="3">
        <f>1830.5+(415.4-305.2)+(1.86711+(0.423708-0.311304))+0-606.7-0.618834000000097</f>
        <v>1335.36068</v>
      </c>
      <c r="Q13" s="3">
        <f>1822.1+(377.4-285.9)+(-1.858542+(-0.384948--0.291618))+0-530--0.540600000000084</f>
        <v>1382.1887279999999</v>
      </c>
      <c r="R13" s="3">
        <f>1815.5+(389.5-267.6)+(-1.85181+(-0.39729--0.272952))+0-589.5--0.601290000000094</f>
        <v>1346.5251420000002</v>
      </c>
      <c r="S13" s="3">
        <f>1813.6+(359.8-313.2)+(0+(0-0))+0-570-0</f>
        <v>1290.1999999999998</v>
      </c>
      <c r="T13" s="3">
        <f>1811.5+(390.6-378.9)+(-0.923865+(-0.199206--0.193239))+0-574--0.292739999999942</f>
        <v>1248.5629079999999</v>
      </c>
      <c r="U13" s="3">
        <f>1805.2+(391.1-454.4)+(-1.841304+(-0.398922--0.463488))+0-504.9--0.51499800000008</f>
        <v>1235.7382600000001</v>
      </c>
      <c r="V13" s="3">
        <f>1820.2+(405.2-426.2)+(-1.856604+(-0.413304--0.434724))+0-528.7--0.539274000000084</f>
        <v>1269.20409</v>
      </c>
      <c r="W13" s="3">
        <f>1830.7+(411-454.6)+(-0.933657+(-0.20961--0.231846))+0-504.9--0.257498999999949</f>
        <v>1281.5460780000001</v>
      </c>
      <c r="X13" s="3">
        <f>1848.1+(354.6-414.6)+(-4.712655+(-0.90423--1.05723))+0-480.2--1.22450999999993</f>
        <v>1304.5648549999999</v>
      </c>
      <c r="Y13" s="3">
        <f>2131.8+(571.3-367.3)+(-2.174436+(-0.582726--0.374646))+0-577.2--0.588744000000092</f>
        <v>1756.8062280000001</v>
      </c>
      <c r="Z13" s="3">
        <f>2167.5+(700.3-465)+(-1.105425+(-0.357153--0.23715))+0-467.4--0.238373999999953</f>
        <v>1934.4129459999999</v>
      </c>
      <c r="AA13" s="3">
        <f>2109.3+(778.3-528)+(-1.075743+(-0.396933--0.26928))+0-484.2--0.246941999999951</f>
        <v>1874.4435460000004</v>
      </c>
      <c r="AB13" s="3">
        <f>1963.8+(611.7-523.9)+(-3.004614+(-0.935901--0.801567))+0-447.4--0.684522000000026</f>
        <v>1601.745574</v>
      </c>
      <c r="AC13" s="3">
        <f>1926.7+(480.6-488.4)+(-1.965234+(-0.490212--0.498168))+0-476.8--0.486336000000076</f>
        <v>1440.6290580000002</v>
      </c>
      <c r="AD13">
        <v>1696.3000000000002</v>
      </c>
      <c r="AE13" s="3">
        <f>2165+(905.3-750.9)+(0+(0-0))+0-623.1-0</f>
        <v>1696.3000000000002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1913.3+(377.8-422.7)+(-3.903132+(-0.770712--0.862308))+0-503.7--1.02754799999998</f>
        <v>1361.9160120000001</v>
      </c>
      <c r="G14" s="3">
        <f>1914.7+(491.9-483.2)+(0.976497+(0.250869-0.246432))+0-688.7-0.35123699999993</f>
        <v>1235.3296970000001</v>
      </c>
      <c r="H14" s="3">
        <f>1915.9+(562.8-513.3)+(-1.954218+(-0.574056--0.523566))+0-638.6--0.651372000000102</f>
        <v>1325.4466640000003</v>
      </c>
      <c r="I14" s="3">
        <f>1893.8+(597.6-528.4)+(-1.931676+(-0.609552--0.538968))+0-588.9--0.600678000000094</f>
        <v>1372.6984180000002</v>
      </c>
      <c r="J14" s="3">
        <f>1680.8+(649.6-409.8)+(0+(0-0))+0-592-0</f>
        <v>1328.6</v>
      </c>
      <c r="K14" s="3">
        <f>1681.3+(597.8-380.3)+(0+(0-0))+0-554-0</f>
        <v>1344.8</v>
      </c>
      <c r="L14" s="3">
        <f>1679.5+(613-342.6)+(-3.42618+(-1.25052--0.698904))+0-534.7--1.09078799999998</f>
        <v>1412.3129920000001</v>
      </c>
      <c r="M14" s="3">
        <f>1782.8+(535.3-441.4)+(-0.909228+(-0.273003--0.225114))+0-360.5--0.183854999999963</f>
        <v>1515.4267379999999</v>
      </c>
      <c r="N14" s="3">
        <f>2028.5+(597.8-524.2)+(0+(0-0))+0-354.5-0</f>
        <v>1747.6</v>
      </c>
      <c r="O14" s="3">
        <f>2259.6+(925.6-757.5)+(0+(0-0))+0-413.3-0</f>
        <v>2014.3999999999999</v>
      </c>
      <c r="P14" s="3">
        <f>2236.6+(1084.3-901.2)+(-1.140666+(-0.552993--0.459612))+0-364.8--0.186047999999963</f>
        <v>2053.8520009999997</v>
      </c>
      <c r="Q14" s="3">
        <f>2349.2+(1323.3-1142.5)+(-3.594276+(-2.024649--1.748025))+0-467.2--0.714816000000027</f>
        <v>2059.6439160000004</v>
      </c>
      <c r="R14" s="3">
        <f>2403.4+(1179-1204.7)+(-3.677202+(-1.80387--1.843191))+0-388.9--0.595017000000022</f>
        <v>1985.7571359999997</v>
      </c>
      <c r="S14" s="3">
        <f>2423.5+(1001.3-1141.1)+(-4.94394+(-2.042652--2.327844))+0-459--0.93635999999998</f>
        <v>1820.9776119999999</v>
      </c>
      <c r="T14" s="3">
        <f>2482.4+(815.2-1115.4)+(-3.798072+(-1.247256--1.706562))+0-319--0.488070000000018</f>
        <v>1860.3493040000001</v>
      </c>
      <c r="U14" s="3">
        <f>2495.9+(762.8-1044)+(-5.091636+(-1.556112--2.12976))+0-339.5--0.692579999999985</f>
        <v>1871.3745919999997</v>
      </c>
      <c r="V14" s="3">
        <f>2401.4+(686.6-761.9)+(-7.348284+(-2.100996--2.331414))+0-425.7--1.30264200000005</f>
        <v>1894.5847760000004</v>
      </c>
      <c r="W14" s="3">
        <f>2287.6+(466.1-549.9)+(-5.83338+(-1.188555--1.402245))+0-388.2--0.989909999999944</f>
        <v>1810.9702200000002</v>
      </c>
      <c r="X14" s="3">
        <f>2299.2+(435.4-452)+(-3.517776+(-0.666162--0.69156))+0-426.9--0.653157000000025</f>
        <v>1852.8607789999999</v>
      </c>
      <c r="Y14" s="3">
        <f>2319+(810.3-573.5)+(0+(0-0))+0-475.6-0</f>
        <v>2080.2000000000003</v>
      </c>
      <c r="Z14" s="3">
        <f>2402+(951.4-852.7)+(-4.90008+(-1.940856--1.739508))+0-402.3--0.820691999999982</f>
        <v>2094.1192639999995</v>
      </c>
      <c r="AA14" s="3">
        <f>2410.7+(700.3-786.9)+(-4.917828+(-1.428612--1.605276))+0-437.9--0.893315999999981</f>
        <v>1882.3521519999997</v>
      </c>
      <c r="AB14" s="3">
        <f>2462.2+(519.4-689.8)+(-3.767166+(-0.794682--1.055394))+0-419.2--0.641376000000024</f>
        <v>1869.7349219999999</v>
      </c>
      <c r="AC14" s="3">
        <f>2425.6+(346.3-549.1)+(-4.948224+(-0.706452--1.120164))+0-425.2--0.867407999999981</f>
        <v>1793.9328959999996</v>
      </c>
      <c r="AD14">
        <v>2245.6</v>
      </c>
      <c r="AE14" s="3">
        <f>2452+(1093.5-796.1)+(0+(0-0))+0-503.8-0</f>
        <v>2245.6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2197.6+(358.5-347)+(-5.60388+(-0.914175--0.88485))+0-554.5--1.41397499999992</f>
        <v>1650.3807699999998</v>
      </c>
      <c r="G15" s="3">
        <f>2028.5+(440.5-512.5)+(-5.172675+(-1.123275--1.306875))+0-450.7--1.14928499999993</f>
        <v>1501.96021</v>
      </c>
      <c r="H15" s="3">
        <f>2032.7+(521.3-379.3)+(-3.110031+(-0.797589--0.580329))+0-568.1--0.869193000000033</f>
        <v>1604.1419019999998</v>
      </c>
      <c r="I15" s="3">
        <f>2020+(517.9-269.5)+(-3.0906+(-0.792387--0.412335))+0-573.9--0.878067000000033</f>
        <v>1691.9074150000001</v>
      </c>
      <c r="J15" s="3">
        <f>1974.9+(447.3-328.6)+(-2.014398+(-0.456246--0.335172))+0-528--0.538560000000084</f>
        <v>1564.0030880000002</v>
      </c>
      <c r="K15" s="3">
        <f>1980+(419.5-291)+(2.0196+(0.42789-0.29682))+0-538.2-0.548964000000086</f>
        <v>1571.9017059999999</v>
      </c>
      <c r="L15" s="3">
        <f>1995.5+(311.6-225.7)+(-2.03541+(-0.317832--0.230214))+0-503.3--0.51336600000008</f>
        <v>1576.4903380000003</v>
      </c>
      <c r="M15" s="3">
        <f>2046.5+(295.8-210.8)+(0+(0-0))+0-512.1-0</f>
        <v>1619.4</v>
      </c>
      <c r="N15" s="3">
        <f>2120.8+(359.6-213.5)+(-1.081608+(-0.183396--0.108885))+0-372.2--0.189821999999962</f>
        <v>1893.7337029999999</v>
      </c>
      <c r="O15" s="3">
        <f>2246.5+(625.8-386.5)+(2.29143+(0.638316-0.39423))+0-394.2-0.402084000000063</f>
        <v>2093.733432</v>
      </c>
      <c r="P15" s="3">
        <f>2496+(948.1-836.6)+(-1.27296+(-0.483531--0.426666))+0-534.3--0.272492999999946</f>
        <v>2072.142668</v>
      </c>
      <c r="Q15" s="3">
        <f>2515.1+(1082.5-1037.6)+(-1.282701+(-0.552075--0.529176))+0-443--0.225929999999955</f>
        <v>2115.9203299999999</v>
      </c>
      <c r="R15" s="3">
        <f>2537.4+(1225-1152.2)+(-1.294074+(-0.62475--0.587622))+0-526.4--0.268463999999947</f>
        <v>2082.7372619999996</v>
      </c>
      <c r="S15" s="3">
        <f>2529+(1013.9-1122.4)+(-6.44895+(-2.585445--2.86212))+0-562.5--1.43437499999992</f>
        <v>1853.2620999999999</v>
      </c>
      <c r="T15" s="3">
        <f>2530+(763.3-893.1)+(-5.1612+(-1.557132--1.821924))+0-464.8--0.94819199999998</f>
        <v>1931.4517839999999</v>
      </c>
      <c r="U15" s="3">
        <f>2532.7+(801.7-793.6)+(-2.583354+(-0.817734--0.809472))+0-569.3--0.580686000000091</f>
        <v>1969.4890699999996</v>
      </c>
      <c r="V15" s="3">
        <f>2557.1+(712.3-721.7)+(-3.912363+(-1.089819--1.104201))+0-575.8--0.880974000000033</f>
        <v>1968.8829929999997</v>
      </c>
      <c r="W15" s="3">
        <f>2449+(604.9-557.6)+(1.24899+(0.308499-0.284376))+0-545.3-0.278102999999945</f>
        <v>1951.9950100000005</v>
      </c>
      <c r="X15" s="3">
        <f>2378.2+(744.7-484.8)+(-3.638646+(-1.139391--0.741744))+0-624.9--0.956097000000036</f>
        <v>2010.1198039999997</v>
      </c>
      <c r="Y15" s="3">
        <f>2353.6+(1124-874.7)+(-2.400672+(-1.14648--0.892194))+0-572.9--0.584358000000091</f>
        <v>2027.9293999999995</v>
      </c>
      <c r="Z15" s="3">
        <f>2370.1+(1332-1092.4)+(-4.835004+(-2.71728--2.228496))+0-530--1.08119999999998</f>
        <v>2075.4574119999997</v>
      </c>
      <c r="AA15" s="3">
        <f>2264.2+(1320.3-926.9)+(-1.154742+(-0.673353--0.472719))+0-649--0.330989999999934</f>
        <v>2007.5756139999999</v>
      </c>
      <c r="AB15" s="3">
        <f>2247+(755.2-619.4)+(-5.72985+(-1.92576--1.57947))+0-471.3--1.20181499999993</f>
        <v>1906.625675</v>
      </c>
      <c r="AC15" s="3">
        <f>2245+(651.8-425.3)+(-1.14495+(-0.332418--0.216903))+0-610.1--0.311150999999938</f>
        <v>1860.4506860000001</v>
      </c>
      <c r="AD15">
        <v>2218.7000000000003</v>
      </c>
      <c r="AE15" s="3">
        <f>2350+(1463.8-1002.1)+(0+(0-0))+0-593-0</f>
        <v>2218.6999999999998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2175.2+(601.1-349.7)+(-3.328056+(-0.919683--0.535041))+0-625.2--0.956556000000036</f>
        <v>1798.6438580000001</v>
      </c>
      <c r="G16" s="3">
        <f>1970.4+(613-305.7)+(0+(0-0))+0-623.5-0</f>
        <v>1654.2000000000003</v>
      </c>
      <c r="H16" s="3">
        <f>1892.1+(648.7-287.3)+(0.964971+(0.330837-0.146523))+0-640.3-0.326552999999935</f>
        <v>1614.0227320000001</v>
      </c>
      <c r="I16" s="3">
        <f>1895.1+(689.7-307.4)+(0+(0-0))+0-684.5-0</f>
        <v>1592.9</v>
      </c>
      <c r="J16" s="3">
        <f>1889.7+(628.2-282)+(-5.782482+(-1.922292--0.86292))+0-651.5--1.99359000000008</f>
        <v>1579.5517360000003</v>
      </c>
      <c r="K16" s="3">
        <f>1890.4+(686.6-263.7)+(1.928208+(0.700332-0.268974))+0-727.3-0.741846000000116</f>
        <v>1587.6177200000002</v>
      </c>
      <c r="L16" s="3">
        <f>1893.1+(445.1-219.1)+(-0.965481+(-0.227001--0.111741))+0-493.5--0.25168499999995</f>
        <v>1624.7709439999996</v>
      </c>
      <c r="M16" s="3">
        <f>2055.7+(375.8-140.3)+(-2.096814+(-0.383316--0.143106))+0-609.4--0.621588000000097</f>
        <v>1680.084564</v>
      </c>
      <c r="N16" s="3">
        <f>2266.6+(314.9-205.7)+(-1.155966+(-0.160599--0.104907))+0-519.7--0.265046999999947</f>
        <v>1855.1533889999994</v>
      </c>
      <c r="O16" s="3">
        <f>2535.5+(409.5-674.6)+(1.293105+(0.208845-0.344046))+0-285.2-0.145451999999971</f>
        <v>1986.2124520000002</v>
      </c>
      <c r="P16" s="3">
        <f>2787.5+(754.4-1133.7)+(1.421625+(0.384744-0.578187))+0-324.5-0.165494999999967</f>
        <v>2084.7626869999995</v>
      </c>
      <c r="Q16" s="3">
        <f>2850.5+(1030.5-1279.6)+(0+(0-0))+0-415.3-0</f>
        <v>2186.1</v>
      </c>
      <c r="R16" s="3">
        <f>2744+(979.2-852.1)+(-2.79888+(-0.998784--0.869142))+0-467.8--0.477156000000075</f>
        <v>2400.8486339999995</v>
      </c>
      <c r="S16" s="3">
        <f>2567.5+(659.9-598.8)+(-2.61885+(-0.673098--0.610776))+0-529.2--0.539784000000084</f>
        <v>2097.2586120000001</v>
      </c>
      <c r="T16" s="3">
        <f>2453.8+(584.1-529.9)+(-2.502876+(-0.595782--0.540498))+0-446.8--0.455736000000071</f>
        <v>2059.0975759999997</v>
      </c>
      <c r="U16" s="3">
        <f>2441.8+(565.9-618.9)+(1.245318+(0.288609-0.315639))+0-430.9-0.219758999999956</f>
        <v>1958.8985290000001</v>
      </c>
      <c r="V16" s="3">
        <f>2508.1+(525.1-542.4)+(-1.279131+(-0.267801--0.276624))+0-534.8--0.272747999999946</f>
        <v>1955.00244</v>
      </c>
      <c r="W16" s="3">
        <f>2616.1+(392.9-586.7)+(-4.002633+(-0.601137--0.897651))+0-443.2--0.678096000000026</f>
        <v>1976.0719769999998</v>
      </c>
      <c r="X16" s="3">
        <f>2650.7+(332.4-473.4)+(-2.703714+(-0.339048--0.482868))+0-562--0.57324000000009</f>
        <v>1945.713346</v>
      </c>
      <c r="Y16" s="3">
        <f>2916.4+(522-785.1)+(-1.487364+(-0.26622--0.400401))+0-571.1--0.291260999999942</f>
        <v>2081.138078</v>
      </c>
      <c r="Z16" s="3">
        <f>3076.6+(812.5-1097.4)+(-7.84533+(-2.071875--2.79837))+0-534.4--1.36271999999992</f>
        <v>2251.5438849999996</v>
      </c>
      <c r="AA16" s="3">
        <f>2858.7+(628.1-849)+(-4.373811+(-0.960993--1.29897))+0-514.3--0.78687900000003</f>
        <v>2120.251045</v>
      </c>
      <c r="AB16" s="3">
        <f>2784.3+(496.5-739.3)+(-4.259979+(-0.759645--1.131129))+0-601.3--0.919989000000035</f>
        <v>1937.2314939999999</v>
      </c>
      <c r="AC16" s="3">
        <f>2548.3+(518.4-522.6)+(-6.498165+(-1.32192--1.33263))+0-703.1--1.7929049999999</f>
        <v>1836.3054500000003</v>
      </c>
      <c r="AD16">
        <v>2047.6</v>
      </c>
      <c r="AE16" s="3">
        <f>3110+(825.7-1297.5)+(0+(0-0))+0-590.6-0</f>
        <v>2047.6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2350.6+(457.4-410.1)+(-2.397612+(-0.466548--0.418302))+0-645.6--0.658512000000103</f>
        <v>1750.5126539999999</v>
      </c>
      <c r="G17" s="3">
        <f>2271.7+(581.4-503)+(-9.268536+(-2.372112--2.05224))+0-687.1--2.80336799999994</f>
        <v>1656.2149599999998</v>
      </c>
      <c r="H17" s="3">
        <f>1921.6+(885-456.2)+(-2.940048+(-1.35405--0.697986))+0-716.7--1.09655100000004</f>
        <v>1631.200439</v>
      </c>
      <c r="I17" s="3">
        <f>1920.8+(896.4-491.1)+(-1.959216+(-0.914328--0.500922))+0-696.6--0.710532000000111</f>
        <v>1627.8379100000002</v>
      </c>
      <c r="J17" s="3">
        <f>1921.6+(830.5-456.3)+(-4.90008+(-2.117775--1.163565))+0-695.5--1.7735249999999</f>
        <v>1596.2192349999993</v>
      </c>
      <c r="K17" s="3">
        <f>1921.4+(823.6-415.5)+(0.979914+(0.420036-0.211905))+0-715.3-0.364802999999927</f>
        <v>1615.023242</v>
      </c>
      <c r="L17" s="3">
        <f>1925.9+(639.4-359.4)+(-1.964418+(-0.652188--0.366588))+0-557.4--0.568548000000089</f>
        <v>1646.81853</v>
      </c>
      <c r="M17" s="3">
        <f>2075.3+(575.7-322.8)+(-2.116806+(-0.587214--0.329256))+0-602.9--0.614958000000096</f>
        <v>1723.5401940000002</v>
      </c>
      <c r="N17" s="3">
        <f>2343.1+(358.6-371.7)+(-2.389962+(-0.365772--0.379134))+0-494--0.503880000000079</f>
        <v>1834.1272799999999</v>
      </c>
      <c r="O17" s="3">
        <f>2526.9+(695.6-553.5)+(-1.288719+(-0.354756--0.282285))+0-692.1--0.35297099999993</f>
        <v>1975.891781</v>
      </c>
      <c r="P17" s="3">
        <f>2601.9+(721.6-846)+(0+(0-0))+0-521-0</f>
        <v>1956.5</v>
      </c>
      <c r="Q17" s="3">
        <f>2681.4+(857.9-917.7)+(-1.367514+(-0.437529--0.468027))+0-552.5--0.281774999999944</f>
        <v>2068.0447589999999</v>
      </c>
      <c r="R17" s="3">
        <f>2655.1+(880.4-838.4)+(-1.354101+(-0.449004--0.427584))+0-593.2--0.30253199999994</f>
        <v>2102.8270109999999</v>
      </c>
      <c r="S17" s="3">
        <f>2641.7+(646.7-810.6)+(-4.041801+(-0.989451--1.240218))+0-602--0.921060000000035</f>
        <v>1872.930026</v>
      </c>
      <c r="T17" s="3">
        <f>2660.9+(701.1-840.8)+(-1.357059+(-0.357561--0.428808))+0-633.2--0.322931999999936</f>
        <v>1887.0371200000002</v>
      </c>
      <c r="U17" s="3">
        <f>2670.7+(580.3-765.8)+(-9.534399+(-2.071671--2.733906))+0-576.7--2.05881900000001</f>
        <v>1901.686655</v>
      </c>
      <c r="V17" s="3">
        <f>2716.3+(478-798.7)+(-4.155939+(-0.73134--1.222011))+0-532.3--0.814419000000031</f>
        <v>1860.4491510000003</v>
      </c>
      <c r="W17" s="3">
        <f>2724+(435.3-787.1)+(-8.33544+(-1.332018--2.408526))+0-522.6--1.59915600000006</f>
        <v>1843.9402239999997</v>
      </c>
      <c r="X17" s="3">
        <f>2727+(376-788.7)+(-4.17231+(-0.57528--1.206711))+0-481.5--0.736695000000028</f>
        <v>1829.9958160000001</v>
      </c>
      <c r="Y17" s="3">
        <f>2749.7+(641.5-934.4)+(-2.804694+(-0.65433--0.953088))+0-559.8--0.570996000000089</f>
        <v>1895.0650599999999</v>
      </c>
      <c r="Z17" s="3">
        <f>2765.8+(931.2-1053.6)+(-5.642232+(-1.899648--2.149344))+0-588--1.19951999999997</f>
        <v>2051.2069840000008</v>
      </c>
      <c r="AA17" s="3">
        <f>2772+(863-1094.2)+(-5.65488+(-1.76052--2.232168))+0-574.9--1.17279599999997</f>
        <v>1961.8895640000003</v>
      </c>
      <c r="AB17" s="3">
        <f>2688.9+(808.3-1013.4)+(-2.742678+(-0.824466--1.033668))+0-606.2--0.618324000000097</f>
        <v>1875.6848480000001</v>
      </c>
      <c r="AC17" s="3">
        <f>2645.6+(587.1-1005.9)+(-2.698512+(-0.598842--1.026018))+0-451.5--0.460530000000072</f>
        <v>1773.4891940000005</v>
      </c>
      <c r="AD17">
        <v>2102.4</v>
      </c>
      <c r="AE17" s="3">
        <f>2744+(1064.8-1026)+(0+(0-0))+0-680.4-0</f>
        <v>2102.4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2523.9+(478.4-667.9)+(-6.435945+(-1.21992--1.703145))+0-603.6--1.53917999999991</f>
        <v>1726.3864599999999</v>
      </c>
      <c r="G18" s="3">
        <f>2511.8+(184.4-575.8)+(-3.843054+(-0.282132--0.880974))+0-538.7--0.824211000000031</f>
        <v>1579.2799990000001</v>
      </c>
      <c r="H18" s="3">
        <f>2508.3+(252.9-665.5)+(0+(0-0))+0-536.8-0</f>
        <v>1558.9000000000003</v>
      </c>
      <c r="I18" s="3">
        <f>2508.7+(271-714.8)+(-3.838311+(-0.41463--1.093644))+0-512.8--0.78458400000003</f>
        <v>1549.7252869999995</v>
      </c>
      <c r="J18" s="3">
        <f>2498.8+(305.2-721.1)+(-7.646328+(-0.933912--2.206566))+0-515.2--1.57651200000006</f>
        <v>1562.9028380000002</v>
      </c>
      <c r="K18" s="3">
        <f>2448.5+(360.3-661.3)+(-2.49747+(-0.367506--0.674526))+0-499.6--0.50959200000008</f>
        <v>1646.2191420000001</v>
      </c>
      <c r="L18" s="3">
        <f>2450.6+(257.2-578.4)+(-4.999224+(-0.524688--1.179936))+0-489.5--0.998579999999979</f>
        <v>1636.5546039999999</v>
      </c>
      <c r="M18" s="3">
        <f>2447.5+(244.5-467.8)+(0+(0-0))+0-552.3-0</f>
        <v>1671.8999999999999</v>
      </c>
      <c r="N18" s="3">
        <f>2486.2+(412.5-416.7)+(-2.535924+(-0.42075--0.425034))+0-560.1--0.571302000000089</f>
        <v>1919.939662</v>
      </c>
      <c r="O18" s="3">
        <f>2681.9+(601.4-561.8)+(0+(0-0))+0-519.1-0</f>
        <v>2202.4</v>
      </c>
      <c r="P18" s="3">
        <f>2721.5+(773.1-760.4)+(1.387965+(0.394281-0.387804))+0-529.7-0.270146999999946</f>
        <v>2205.6242950000001</v>
      </c>
      <c r="Q18" s="3">
        <f>2714.1+(789.9-831.2)+(-4.152573+(-1.208547--1.271736))+0-522.9--0.80003700000003</f>
        <v>2146.6106529999997</v>
      </c>
      <c r="R18" s="3">
        <f>2703.1+(635-792.8)+(-2.757162+(-0.6477--0.808656))+0-528.6--0.539172000000084</f>
        <v>2014.6429660000001</v>
      </c>
      <c r="S18" s="3">
        <f>2695.5+(446.8-789.4)+(-2.74941+(-0.455736--0.805188))+0-490.4--0.500208000000078</f>
        <v>1860.6002500000002</v>
      </c>
      <c r="T18" s="3">
        <f>2686.2+(415.7-691.5)+(0+(0-0))+0-472.4-0</f>
        <v>1937.9999999999995</v>
      </c>
      <c r="U18" s="3">
        <f>2659.3+(368.9-586.4)+(-5.424972+(-0.752556--1.196256))+0-522--1.06487999999998</f>
        <v>1915.8836080000001</v>
      </c>
      <c r="V18" s="3">
        <f>2616.4+(373.6-505.5)+(-2.668728+(-0.381072--0.51561))+0-550.2--0.561204000000088</f>
        <v>1932.3270140000002</v>
      </c>
      <c r="W18" s="3">
        <f>2667.9+(328.3-511.7)+(-4.081887+(-0.502299--0.782901))+0-555.7--0.850221000000032</f>
        <v>1925.8489359999999</v>
      </c>
      <c r="X18" s="3">
        <f>2586.5+(220.5-409.9)+(-5.27646+(-0.44982--0.836196))+0-598.8--1.22155199999997</f>
        <v>1794.6314679999998</v>
      </c>
      <c r="Y18" s="3">
        <f>2617+(490.1-565.6)+(-1.33467+(-0.249951--0.288456))+0-573--0.292229999999942</f>
        <v>1967.4960649999998</v>
      </c>
      <c r="Z18" s="3">
        <f>2724+(934.4-935.3)+(1.38924+(0.476544-0.477003))+0-597.5-0.304724999999939</f>
        <v>2126.6840560000001</v>
      </c>
      <c r="AA18" s="3">
        <f>2749.2+(758.3-976.5)+(-5.608368+(-1.546932--1.99206))+0-570.4--1.16361599999998</f>
        <v>1956.6003760000001</v>
      </c>
      <c r="AB18" s="3">
        <f>2742.2+(592.5-784.6)+(-5.594088+(-1.2087--1.600584))+0-617.6--1.25990399999997</f>
        <v>1928.5576999999998</v>
      </c>
      <c r="AC18" s="3">
        <f>2754.4+(383.3-658.2)+(-2.809488+(-0.390966--0.671364))+0-630.2--0.642804000000101</f>
        <v>1847.413714</v>
      </c>
      <c r="AD18">
        <v>2005.8000000000002</v>
      </c>
      <c r="AE18" s="3">
        <f>2732+(1016.3-1128.5)+(0+(0-0))+0-614-0</f>
        <v>2005.8000000000002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2552.4+(382.7-527.8)+(-2.603448+(-0.390354--0.538356))+0-544.3--0.555186000000087</f>
        <v>1861.0997400000003</v>
      </c>
      <c r="G19" s="3">
        <f>2477.4+(432.4-551.6)+(-1.263474+(-0.220524--0.281316))+0-623.6--0.318035999999937</f>
        <v>1733.7153539999997</v>
      </c>
      <c r="H19" s="3">
        <f>2346.4+(506.5-638.3)+(-3.589992+(-0.774945--0.976599))+0-654.7--1.00169100000004</f>
        <v>1557.5133530000001</v>
      </c>
      <c r="I19" s="3">
        <f>2402.2+(549.1-802.5)+(0+(0-0))+0-619.7-0</f>
        <v>1529.0999999999997</v>
      </c>
      <c r="J19" s="3">
        <f>2399.9+(576.6-880.4)+(-3.671847+(-0.882198--1.347012))+0-594.3--0.909279000000034</f>
        <v>1499.5022460000002</v>
      </c>
      <c r="K19" s="3">
        <f>2393.4+(614.4-903)+(1.220634+(0.313344-0.46053))+0-631.7-0.322166999999936</f>
        <v>1473.8512810000002</v>
      </c>
      <c r="L19" s="3">
        <f>2393.1+(528.9-839.3)+(-3.661443+(-0.809217--1.284129))+0-620.7--0.949671000000036</f>
        <v>1459.76314</v>
      </c>
      <c r="M19" s="3">
        <f>2391+(483-913.2)+(-4.87764+(-0.98532--1.862928))+0-535--1.09139999999998</f>
        <v>1422.8913680000001</v>
      </c>
      <c r="N19" s="3">
        <f>2455.5+(450.2-746.5)+(-6.261525+(-1.14801--1.903575))+0-597.4--1.52336999999991</f>
        <v>1557.8174099999997</v>
      </c>
      <c r="O19" s="3">
        <f>2419.7+(401-576.3)+(-1.234047+(-0.20451--0.293913))+0-534.4--0.272543999999946</f>
        <v>1709.1278999999995</v>
      </c>
      <c r="P19" s="3">
        <f>2449.3+(568.6-622.1)+(-2.498286+(-0.579972--0.634542))+0-579.2--0.590784000000092</f>
        <v>1814.7470679999999</v>
      </c>
      <c r="Q19" s="3">
        <f>2417+(625.6-680)+(-1.23267+(-0.319056--0.3468))+0-571.8--0.291617999999942</f>
        <v>1789.886692</v>
      </c>
      <c r="R19" s="3">
        <f>2410.8+(639.4-681.2)+(-3.688524+(-0.978282--1.042236))+0-586.4--0.897192000000034</f>
        <v>1779.8726220000001</v>
      </c>
      <c r="S19" s="3">
        <f>2363.4+(537.9-605.7)+(-7.232004+(-1.645974--1.853442))+0-558.1--1.70778600000006</f>
        <v>1732.1832500000003</v>
      </c>
      <c r="T19" s="3">
        <f>2276.4+(418.4-510.5)+(-2.321928+(-0.426768--0.52071))+0-557.7--0.568854000000089</f>
        <v>1624.9408680000004</v>
      </c>
      <c r="U19" s="3">
        <f>2400.7+(324.2-558.2)+(-7.346142+(-0.992052--1.708092))+0-518.7--1.58722200000006</f>
        <v>1642.9571199999998</v>
      </c>
      <c r="V19" s="3">
        <f>2434.3+(269.9-513.1)+(-3.724479+(-0.412947--0.785043))+0-493.5--0.755055000000029</f>
        <v>1695.0026720000005</v>
      </c>
      <c r="W19" s="3">
        <f>2437.2+(240.4-428)+(-1.242972+(-0.122604--0.21828))+0-563.4--0.287333999999943</f>
        <v>1685.3400379999996</v>
      </c>
      <c r="X19" s="3">
        <f>2437.8+(177.9-439.4)+(0+(0-0))+0-467.3-0</f>
        <v>1709.0000000000002</v>
      </c>
      <c r="Y19" s="3">
        <f>2463.2+(471.2-471.8)+(-1.256232+(-0.240312--0.240618))+0-551--0.281009999999944</f>
        <v>1910.625084</v>
      </c>
      <c r="Z19" s="3">
        <f>2372.4+(924.8-810.7)+(-3.629772+(-1.414944--1.240371))+0-512.5--0.78412500000003</f>
        <v>1970.9797800000001</v>
      </c>
      <c r="AA19" s="3">
        <f>2399.9+(843.6-813.1)+(-1.223949+(-0.430236--0.414681))+0-585--0.298349999999941</f>
        <v>1844.458846</v>
      </c>
      <c r="AB19" s="3">
        <f>2380.5+(579.2-678.6)+(-4.85622+(-1.181568--1.384344))+0-480.7--0.980627999999979</f>
        <v>1796.7271839999999</v>
      </c>
      <c r="AC19" s="3">
        <f>2269.5+(447.1-523.2)+(-1.157445+(-0.228021--0.266832))+0-551.3--0.281162999999944</f>
        <v>1641.2625290000001</v>
      </c>
      <c r="AD19">
        <v>1910.2999999999997</v>
      </c>
      <c r="AE19" s="3">
        <f>2342+(1051.5-866.8)+(0+(0-0))+0-616.4-0</f>
        <v>1910.2999999999997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2194.3+(391.1-388.2)+(-5.595465+(-0.997305--0.98991))+0-626.2--1.59680999999991</f>
        <v>1566.9939500000003</v>
      </c>
      <c r="G20" s="3">
        <f>2196.4+(326.5-287.9)+(-3.360492+(-0.499545--0.440487))+0-622.3--0.952119000000036</f>
        <v>1610.232569</v>
      </c>
      <c r="H20" s="3">
        <f>2194.7+(235-250.9)+(2.238594+(0.2397-0.255918))+0-666.3-0.679626000000106</f>
        <v>1514.0427499999998</v>
      </c>
      <c r="I20" s="3">
        <f>2193.1+(203.8-345.3)+(0+(0-0))+0-600.6-0</f>
        <v>1451</v>
      </c>
      <c r="J20" s="3">
        <f>2186.2+(253.5-324.3)+(-2.229924+(-0.25857--0.330786))+0-624.4--0.636888000000099</f>
        <v>1489.4791799999994</v>
      </c>
      <c r="K20" s="3">
        <f>2189+(295.5-337)+(-3.34917+(-0.452115--0.51561))+0-672.3--1.02861900000004</f>
        <v>1472.9429439999999</v>
      </c>
      <c r="L20" s="3">
        <f>2183.8+(389-423.2)+(-4.454952+(-0.79356--0.863328))+0-602.2--1.22848799999997</f>
        <v>1544.2433040000001</v>
      </c>
      <c r="M20" s="3">
        <f>2146+(392.7-241.3)+(0+(0-0))+0-577.3-0</f>
        <v>1720.1000000000001</v>
      </c>
      <c r="N20" s="3">
        <f>2466.6+(562.6-481.4)+(0+(0-0))+0-603.5-0</f>
        <v>1944.3000000000002</v>
      </c>
      <c r="O20" s="3">
        <f>2535.6+(693.6-663.8)+(0+(0-0))+0-465-0</f>
        <v>2100.4</v>
      </c>
      <c r="P20" s="3">
        <f>2524.5+(943.1-759)+(0+(0-0))+0-581.5-0</f>
        <v>2127.1</v>
      </c>
      <c r="Q20" s="3">
        <f>2517.8+(1050.6-866.6)+(-5.136312+(-2.143224--1.767864))+0-525.7--1.07242799999998</f>
        <v>2171.6607559999998</v>
      </c>
      <c r="R20" s="3">
        <f>2528.8+(1070.1-883.9)+(-1.289688+(-0.545751--0.450789))+0-617.6--0.314975999999937</f>
        <v>2096.3303260000002</v>
      </c>
      <c r="S20" s="3">
        <f>2524.6+(762.3-884.8)+(-2.575092+(-0.777546--0.902496))+0-563.3--0.57456600000009</f>
        <v>1836.9244239999998</v>
      </c>
      <c r="T20" s="3">
        <f>2523.8+(650.8-770.2)+(-2.574276+(-0.663816--0.785604))+0-522.6--0.533052000000083</f>
        <v>1879.8805640000003</v>
      </c>
      <c r="U20" s="3">
        <f>2512+(653.5-686.3)+(0+(0-0))+0-566-0</f>
        <v>1913.1999999999998</v>
      </c>
      <c r="V20" s="3">
        <f>2529.2+(558.2-553.7)+(-1.289892+(-0.284682--0.282387))+0-631.9--0.322268999999936</f>
        <v>1900.8300819999997</v>
      </c>
      <c r="W20" s="3">
        <f>2547.2+(420.5-469.3)+(-7.794432+(-1.28673--1.436058))+0-655.4--2.00552400000008</f>
        <v>1837.3604199999995</v>
      </c>
      <c r="X20" s="3">
        <f>2568+(417.1-482.7)+(-5.23872+(-0.850884--0.984708))+0-626.6--1.27826399999997</f>
        <v>1871.9733680000004</v>
      </c>
      <c r="Y20" s="3">
        <f>2599.8+(581.6-574.5)+(2.651796+(0.593232-0.58599))+0-562.9-0.57415800000009</f>
        <v>2046.0848799999997</v>
      </c>
      <c r="Z20" s="3">
        <f>2613.4+(1160.9-880.4)+(0+(0-0))+0-756.7-0</f>
        <v>2137.1999999999998</v>
      </c>
      <c r="AA20" s="3">
        <f>2610.1+(1025.6-924.5)+(-6.655755+(-2.61528--2.357475))+0-748.2--1.90790999999989</f>
        <v>1957.9943499999997</v>
      </c>
      <c r="AB20" s="3">
        <f>2609.5+(583.9-722.7)+(-1.330845+(-0.297789--0.368577))+0-677.8--0.345677999999931</f>
        <v>1791.9856209999998</v>
      </c>
      <c r="AC20" s="3">
        <f>2612+(473.4-673.4)+(-2.66424+(-0.482868--0.686868))+0-729.5--0.744090000000116</f>
        <v>1680.7838500000003</v>
      </c>
      <c r="AD20">
        <v>2164.1999999999998</v>
      </c>
      <c r="AE20" s="3">
        <f>2611+(1258.2-919.9)+(0+(0-0))+0-785.1-0</f>
        <v>2164.2000000000003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2570.2+(301.4-452.2)+(-2.621604+(-0.307428--0.461244))+0-687.4--0.70114800000011</f>
        <v>1730.2333599999997</v>
      </c>
      <c r="G21" s="3">
        <f>2446.2+(315.5-479.3)+(0+(0-0))+0-668.6-0</f>
        <v>1613.7999999999997</v>
      </c>
      <c r="H21" s="3">
        <f>2376.7+(312.8-363)+(-4.848468+(-0.638112--0.74052))+0-674.7--1.37638799999997</f>
        <v>1648.4303279999999</v>
      </c>
      <c r="I21" s="3">
        <f>2298.1+(357.7-368.8)+(-4.688124+(-0.729708--0.752352))+0-655.1--1.33640399999997</f>
        <v>1628.5709239999999</v>
      </c>
      <c r="J21" s="3">
        <f>2279.4+(372.2-366.4)+(-3.487482+(-0.569466--0.560592))+0-658.6--1.00765800000004</f>
        <v>1624.1113020000003</v>
      </c>
      <c r="K21" s="3">
        <f>2300.3+(457.3-364.1)+(-3.519459+(-0.699669--0.557073))+0-692--1.05876000000004</f>
        <v>1698.8967050000003</v>
      </c>
      <c r="L21" s="3">
        <f>2255.7+(309.2-336.6)+(-1.150407+(-0.157692--0.171666))+0-525.4--0.267953999999947</f>
        <v>1702.0315209999994</v>
      </c>
      <c r="M21" s="3">
        <f>2223.2+(407.1-192.9)+(0+(0-0))+0-635.7-0</f>
        <v>1801.6999999999996</v>
      </c>
      <c r="N21" s="3">
        <f>2361.8+(335-222.6)+(-1.204518+(-0.17085--0.113526))+0-492.4--0.25112399999995</f>
        <v>1980.7892820000002</v>
      </c>
      <c r="O21" s="3">
        <f>2618.8+(359.8-445.2)+(-2.671176+(-0.366996--0.454104))+0-436.7--0.44543400000007</f>
        <v>2094.5613660000004</v>
      </c>
      <c r="P21" s="3">
        <f>2553.3+(543.2-620.1)+(-1.302183+(-0.277032--0.316251))+0-310.1--0.158150999999969</f>
        <v>2165.1951870000003</v>
      </c>
      <c r="Q21" s="3">
        <f>2502.5+(796.9-675.1)+(0+(0-0))+0-440.5-0</f>
        <v>2183.8000000000002</v>
      </c>
      <c r="R21" s="3">
        <f>2552.5+(984.8-747.2)+(0+(0-0))+0-551.5-0</f>
        <v>2238.6</v>
      </c>
      <c r="S21" s="3">
        <f>2552.4+(780.6-721.7)+(-2.603448+(-0.796212--0.736134))+0-548--0.558960000000087</f>
        <v>2061.1954340000007</v>
      </c>
      <c r="T21" s="3">
        <f>2565.5+(795.2-705)+(0+(0-0))+0-562.4-0</f>
        <v>2093.2999999999997</v>
      </c>
      <c r="U21" s="3">
        <f>2548.9+(583.8-626.3)+(0+(0-0))+0-393.1-0</f>
        <v>2113.3000000000002</v>
      </c>
      <c r="V21" s="3">
        <f>2556.5+(506.7-533.1)+(-3.911445+(-0.775251--0.815643))+0-423.9--0.648567000000024</f>
        <v>2102.9775140000002</v>
      </c>
      <c r="W21" s="3">
        <f>2600.3+(295-460.1)+(-3.978459+(-0.45135--0.703953))+0-362.4--0.554472000000021</f>
        <v>2069.628616</v>
      </c>
      <c r="X21" s="3">
        <f>2495.8+(185.4-351.3)+(-5.091432+(-0.378216--0.716652))+0-365.8--0.746231999999984</f>
        <v>1960.0932359999999</v>
      </c>
      <c r="Y21" s="3">
        <f>2571.9+(556.3-495.7)+(0+(0-0))+0-597.5-0</f>
        <v>2035</v>
      </c>
      <c r="Z21" s="3">
        <f>2716.7+(997.4-1028.3)+(-5.542068+(-2.034696--2.097732))+0-458.4--0.93513599999998</f>
        <v>2222.8561039999995</v>
      </c>
      <c r="AA21" s="3">
        <f>2722.6+(802.8-915.5)+(-4.165578+(-1.228284--1.400715))+0-463.8--0.709614000000027</f>
        <v>2142.8164669999992</v>
      </c>
      <c r="AB21" s="3">
        <f>2721.1+(589.3-698.2)+(-4.163283+(-0.901629--1.068246))+0-555.4--0.849762000000032</f>
        <v>2053.6530959999996</v>
      </c>
      <c r="AC21" s="3">
        <f>2532.7+(549.9-411.9)+(-3.875031+(-0.841347--0.630207))+0-674.6--1.03213800000004</f>
        <v>1993.045967</v>
      </c>
      <c r="AD21">
        <v>2133.9</v>
      </c>
      <c r="AE21" s="3">
        <f>2713+(1024.1-1155.6)+(0+(0-0))+0-447.6-0</f>
        <v>2133.9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2408.5+(533.4-379.9)+(-2.45667+(-0.544068--0.387498))+0-678.1--0.691662000000108</f>
        <v>1881.9784220000001</v>
      </c>
      <c r="G22" s="3">
        <f>2329.3+(534.6-435.1)+(0+(0-0))+0-679.4-0</f>
        <v>1749.4</v>
      </c>
      <c r="H22" s="3">
        <f>2330.2+(540.3-491.8)+(-3.565206+(-0.826659--0.752454))+0-683.7--1.04606100000004</f>
        <v>1692.4066499999997</v>
      </c>
      <c r="I22" s="3">
        <f>2267.2+(554-425.8)+(-2.312544+(-0.56508--0.434316))+0-743--0.757860000000118</f>
        <v>1650.7145519999999</v>
      </c>
      <c r="J22" s="3">
        <f>2303.8+(418.1-396.7)+(1.174938+(0.213231-0.202317))+0-676.4-0.344963999999931</f>
        <v>1649.6408880000004</v>
      </c>
      <c r="K22" s="3">
        <f>2333.2+(377.4-317.1)+(-2.379864+(-0.384948--0.323442))+0-717.4--0.731748000000114</f>
        <v>1674.3903780000001</v>
      </c>
      <c r="L22" s="3">
        <f>2260.9+(269.2-289.3)+(-3.459177+(-0.411876--0.442629))+0-581--0.888930000000034</f>
        <v>1657.2605060000001</v>
      </c>
      <c r="M22" s="3">
        <f>2276+(204.7-254.9)+(0+(0-0))+0-498.2-0</f>
        <v>1727.6000000000001</v>
      </c>
      <c r="N22" s="3">
        <f>2422.1+(340.7-240)+(4.941084+(0.695028-0.4896))+0-519.8-1.06039199999998</f>
        <v>2007.0861199999995</v>
      </c>
      <c r="O22" s="3">
        <f>2571.3+(635.7-392.4)+(1.311363+(0.324207-0.200124))+0-521.6-0.266015999999947</f>
        <v>2294.1694300000004</v>
      </c>
      <c r="P22" s="3">
        <f>2545.7+(831.9-566.2)+(0+(0-0))+0-547.5-0</f>
        <v>2263.8999999999996</v>
      </c>
      <c r="Q22" s="3">
        <f>2533.9+(993.6-617)+(0+(0-0))+0-552.4-0</f>
        <v>2358.1</v>
      </c>
      <c r="R22" s="3">
        <f>2403.5+(1038.4-636.9)+(-4.90314+(-2.118336--1.299276))+0-579.8--1.18279199999997</f>
        <v>2220.6605919999997</v>
      </c>
      <c r="S22" s="3">
        <f>2335.7+(728.9-617.6)+(-2.382414+(-0.743478--0.629952))+0-447.7--0.456654000000071</f>
        <v>1997.2607140000002</v>
      </c>
      <c r="T22" s="3">
        <f>2369.7+(669.7-547.9)+(0+(0-0))+0-424.7-0</f>
        <v>2066.8000000000002</v>
      </c>
      <c r="U22" s="3">
        <f>2439.6+(660.1-556.5)+(-2.488392+(-0.673302--0.56763))+0-451--0.460020000000072</f>
        <v>2090.0659559999999</v>
      </c>
      <c r="V22" s="3">
        <f>2446.6+(588.5-410.5)+(-2.495532+(-0.60027--0.41871))+0-494.4--0.504288000000079</f>
        <v>2128.027196</v>
      </c>
      <c r="W22" s="3">
        <f>2463.4+(409-344.3)+(0+(0-0))+0-421.5-0</f>
        <v>2106.6</v>
      </c>
      <c r="X22" s="3">
        <f>2471.5+(327.4-307.9)+(-1.260465+(-0.166974--0.157029))+0-421.8--0.215117999999957</f>
        <v>2068.1447079999998</v>
      </c>
      <c r="Y22" s="3">
        <f>2506.8+(568.2-378)+(-1.278468+(-0.289782--0.19278))+0-471.3--0.240362999999952</f>
        <v>2224.5648929999998</v>
      </c>
      <c r="Z22" s="3">
        <f>2531.2+(889.8-689.4)+(-5.163648+(-1.815192--1.406376))+0-454.5--0.92717999999998</f>
        <v>2272.4547160000002</v>
      </c>
      <c r="AA22" s="3">
        <f>2551.8+(688.7-717.3)+(-5.205672+(-1.404948--1.463292))+0-421.6--0.860063999999982</f>
        <v>2097.3127360000003</v>
      </c>
      <c r="AB22" s="3">
        <f>2461.1+(627.2-631.7)+(-3.765483+(-0.959616--0.966501))+0-395.4--0.604962000000023</f>
        <v>2058.0463639999998</v>
      </c>
      <c r="AC22" s="3">
        <f>2225+(796.3-477.5)+(-4.539+(-1.624452--0.9741))+0-605.8--1.23583199999997</f>
        <v>1934.0464800000004</v>
      </c>
      <c r="AD22">
        <v>2187.6999999999998</v>
      </c>
      <c r="AE22" s="3">
        <f>2575+(1010.6-863)+(0+(0-0))+0-534.9-0</f>
        <v>2187.6999999999998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2134+(742.2-560.5)+(-3.26502+(-1.135566--0.857565))+0-518.3--0.79299900000003</f>
        <v>1794.6499779999999</v>
      </c>
      <c r="G23" s="3">
        <f>2133+(888-712.6)+(-5.43915+(-2.2644--1.81713))+0-598.3--1.52566499999991</f>
        <v>1705.7392450000002</v>
      </c>
      <c r="H23" s="3">
        <f>2128.4+(798.9-682.1)+(-1.085484+(-0.407439--0.347871))+0-622.2--0.317321999999937</f>
        <v>1622.1722699999998</v>
      </c>
      <c r="I23" s="3">
        <f>2128.6+(784.4-649.4)+(-4.342344+(-1.600176--1.324776))+0-604.3--1.23277199999997</f>
        <v>1655.9150279999999</v>
      </c>
      <c r="J23" s="3">
        <f>2119.2+(765.3-601.9)+(-4.323168+(-1.561212--1.227876))+0-645.1--1.31600399999997</f>
        <v>1634.1595</v>
      </c>
      <c r="K23" s="3">
        <f>2090.1+(638.1-594.9)+(1.065951+(0.325431-0.303399))+0-491.7-0.25076699999995</f>
        <v>1642.437216</v>
      </c>
      <c r="L23" s="3">
        <f>2096+(552.3-496.8)+(-4.27584+(-1.126692--1.013472))+0-483.5--0.986339999999979</f>
        <v>1664.59728</v>
      </c>
      <c r="M23" s="3">
        <f>2222.9+(573.8-459.6)+(-2.267358+(-0.585276--0.468792))+0-556.6--0.567732000000089</f>
        <v>1778.6838899999998</v>
      </c>
      <c r="N23" s="3">
        <f>2320.1+(461.8-445.1)+(0+(0-0))+0-331.8-0</f>
        <v>2004.9999999999998</v>
      </c>
      <c r="O23" s="3">
        <f>2364.5+(734.6-516.9)+(1.205895+(0.374646-0.263619))+0-450-0.229499999999954</f>
        <v>2133.2874219999999</v>
      </c>
      <c r="P23" s="3">
        <f>2365.9+(1009.7-608.4)+(1.206609+(0.514947-0.310284))+0-606.4-0.309263999999938</f>
        <v>2161.902008</v>
      </c>
      <c r="Q23" s="3">
        <f>2355.4+(1148-757.9)+(-1.201254+(-0.58548--0.386529))+0-514.7--0.262496999999948</f>
        <v>2229.6622920000004</v>
      </c>
      <c r="R23" s="3">
        <f>2344.7+(1255.6-819.9)+(-1.195797+(-0.640356--0.418149))+0-627--0.319769999999936</f>
        <v>2152.3017659999996</v>
      </c>
      <c r="S23" s="3">
        <f>2372+(994.2-817)+(-6.0486+(-2.53521--2.08335))+0-620.5--1.58227499999991</f>
        <v>1923.7818149999996</v>
      </c>
      <c r="T23" s="3">
        <f>2383.6+(876.9-777.2)+(-2.431272+(-0.894438--0.792744))+0-460.7--0.469914000000073</f>
        <v>2020.5369479999995</v>
      </c>
      <c r="U23" s="3">
        <f>2377.5+(924.8-723.2)+(-2.42505+(-0.943296--0.737664))+0-523.1--0.533562000000083</f>
        <v>2053.9028800000001</v>
      </c>
      <c r="V23" s="3">
        <f>2379.3+(808.6-625.4)+(0+(0-0))+0-536.7-0</f>
        <v>2025.8</v>
      </c>
      <c r="W23" s="3">
        <f>2389.1+(670.6-576.7)+(-6.092205+(-1.71003--1.470585))+0-491.1--1.25230499999993</f>
        <v>1986.820655</v>
      </c>
      <c r="X23" s="3">
        <f>2419.8+(668.7-497.1)+(-4.936392+(-1.364148--1.014084))+0-646.8--1.31947199999997</f>
        <v>1940.6330160000002</v>
      </c>
      <c r="Y23" s="3">
        <f>2430.4+(806-583.5)+(1.239504+(0.41106-0.297585))+0-598.7-0.305336999999939</f>
        <v>2055.2476420000003</v>
      </c>
      <c r="Z23" s="3">
        <f>2433.7+(1190.3-845.1)+(-3.723561+(-1.821159--1.293003))+0-598.2--0.915246000000035</f>
        <v>2177.3635289999997</v>
      </c>
      <c r="AA23" s="3">
        <f>2437.2+(979.2-841.8)+(-6.21486+(-2.49696--2.14659))+0-636.9--1.62409499999991</f>
        <v>1932.7588649999996</v>
      </c>
      <c r="AB23" s="3">
        <f>2443.4+(624.8-682)+(-6.23067+(-1.59324--1.7391))+0-579.8--1.47848999999992</f>
        <v>1801.79368</v>
      </c>
      <c r="AC23" s="3">
        <f>2444+(736.1-806.1)+(-2.49288+(-0.750822--0.822222))+0-718--0.732360000000114</f>
        <v>1654.3108800000002</v>
      </c>
      <c r="AD23">
        <v>2164.1999999999998</v>
      </c>
      <c r="AE23" s="3">
        <f>2436+(1249.5-840.6)+(0+(0-0))+0-680.7-0</f>
        <v>2164.1999999999998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2513.7+(655.4-898)+(0+(0-0))+0-562.8-0</f>
        <v>1708.3</v>
      </c>
      <c r="G24" s="3">
        <f>2356+(706.8-576.1)+(2.40312+(0.720936-0.587622))+0-680.5-0.694110000000108</f>
        <v>1808.0423239999998</v>
      </c>
      <c r="H24" s="3">
        <f>2174.5+(712.2-529.5)+(-3.326985+(-1.089666--0.810135))+0-724.2--1.10802600000004</f>
        <v>1630.5015100000001</v>
      </c>
      <c r="I24" s="3">
        <f>2184.8+(702-563.5)+(-2.228496+(-0.71604--0.57477))+0-670.6--0.684012000000107</f>
        <v>1651.0142460000006</v>
      </c>
      <c r="J24" s="3">
        <f>2193.9+(637-520.3)+(-4.475556+(-1.29948--1.061412))+0-665.4--1.35741599999997</f>
        <v>1641.8437920000003</v>
      </c>
      <c r="K24" s="3">
        <f>2184.3+(634.5-436.7)+(0+(0-0))+0-719.9-0</f>
        <v>1662.2000000000003</v>
      </c>
      <c r="L24" s="3">
        <f>2131.4+(545.6-290.4)+(-1.087014+(-0.278256--0.148104))+0-706.9--0.360518999999928</f>
        <v>1678.8433530000002</v>
      </c>
      <c r="M24" s="3">
        <f>2223.6+(442-279)+(0+(0-0))+0-601.8-0</f>
        <v>1784.8</v>
      </c>
      <c r="N24" s="3">
        <f>2281+(491.7-259.6)+(-1.16331+(-0.250767--0.132396))+0-519.3--0.264842999999947</f>
        <v>1992.7831619999999</v>
      </c>
      <c r="O24" s="3">
        <f>2264.5+(699.4-185.8)+(-1.154895+(-0.356694--0.094758))+0-625--0.318749999999937</f>
        <v>2152.0019189999998</v>
      </c>
      <c r="P24" s="3">
        <f>2205.6+(1009.2-416.2)+(-2.249712+(-1.029384--0.424524))+0-595.7--0.607614000000095</f>
        <v>2200.6530419999995</v>
      </c>
      <c r="Q24" s="3">
        <f>2285.9+(1184.8-594)+(-2.331618+(-1.208496--0.60588))+0-597.4--0.609348000000095</f>
        <v>2276.9751139999998</v>
      </c>
      <c r="R24" s="3">
        <f>2283.3+(1103.2-687.7)+(-2.328966+(-1.125264--0.701454))+0-547.7--0.558654000000087</f>
        <v>2148.905878</v>
      </c>
      <c r="S24" s="3">
        <f>2276.6+(831.5-678.8)+(-2.322132+(-0.84813--0.692376))+0-560--0.571200000000089</f>
        <v>1867.3933140000001</v>
      </c>
      <c r="T24" s="3">
        <f>2328.9+(1065-709.3)+(0+(0-0))+0-671.3-0</f>
        <v>2013.3000000000004</v>
      </c>
      <c r="U24" s="3">
        <f>2433.6+(1047.7-943.7)+(-2.482272+(-1.068654--0.962574))+0-502.3--0.51234600000008</f>
        <v>2033.2239939999997</v>
      </c>
      <c r="V24" s="3">
        <f>2480.9+(1154.4-934.7)+(3.795777+(1.766232-1.430091))+0-649.3-0.993429000000037</f>
        <v>2054.4384890000001</v>
      </c>
      <c r="W24" s="3">
        <f>2609.7+(933.1-872.5)+(-5.323788+(-1.903524--1.7799))+0-652--1.33007999999997</f>
        <v>2014.1826679999997</v>
      </c>
      <c r="X24" s="3">
        <f>2570.7+(765.2-733.6)+(1.311057+(0.390252-0.374136))+0-628.5-0.320534999999936</f>
        <v>1974.806638</v>
      </c>
      <c r="Y24" s="3">
        <f>2518.9+(863.4-652.1)+(1.284639+(0.440334-0.332571))+0-632.7-0.322676999999936</f>
        <v>2098.5697249999994</v>
      </c>
      <c r="Z24" s="3">
        <f>2618.4+(1100.4-989.2)+(-5.341536+(-2.244816--2.017968))+0-551.8--1.12567199999998</f>
        <v>2173.3572880000002</v>
      </c>
      <c r="AA24" s="3">
        <f>2562.7+(1038.1-854.9)+(-7.841862+(-3.176586--2.615994))+0-743--2.27358000000009</f>
        <v>1996.7711259999996</v>
      </c>
      <c r="AB24" s="3">
        <f>2508+(782.3-788.2)+(-5.11632+(-1.595892--1.607928))+0-544.5--1.11077999999998</f>
        <v>1953.6064959999999</v>
      </c>
      <c r="AC24" s="3">
        <f>2671.7+(838.8-1018.4)+(-5.450268+(-1.711152--2.077536))+0-590.6--1.20482399999997</f>
        <v>1897.6209399999998</v>
      </c>
      <c r="AD24">
        <v>2183.5</v>
      </c>
      <c r="AE24" s="3">
        <f>2627+(1164.2-991.2)+(0+(0-0))+0-616.5-0</f>
        <v>2183.5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2653.4+(766.9-764.3)+(-1.353234+(-0.391119--0.389793))+0-636.8--0.324767999999935</f>
        <v>2018.1702079999998</v>
      </c>
      <c r="G25" s="3">
        <f>2525.6+(707.3-776.3)+(-5.152224+(-1.442892--1.583652))+0-640.7--1.30702799999997</f>
        <v>1812.1955639999996</v>
      </c>
      <c r="H25" s="3">
        <f>2400.6+(787-703.6)+(-2.448612+(-0.80274--0.717672))+0-713.7--0.727974000000114</f>
        <v>1768.4942940000001</v>
      </c>
      <c r="I25" s="3">
        <f>2298.3+(769.6-659.4)+(1.172133+(0.392496-0.336294))+0-719.3-0.366842999999927</f>
        <v>1690.0614919999998</v>
      </c>
      <c r="J25" s="3">
        <f>2061.6+(774-558.4)+(2.102832+(0.78948-0.569568))+0-642.5-0.655350000000102</f>
        <v>1636.3673939999999</v>
      </c>
      <c r="K25" s="3">
        <f>2109.4+(753.4-469.4)+(-1.075794+(-0.384234--0.239394))+0-726.3--0.370412999999926</f>
        <v>1666.2497790000002</v>
      </c>
      <c r="L25" s="3">
        <f>2192+(523-400.4)+(-3.35376+(-0.80019--0.612612))+0-641.2--0.981036000000037</f>
        <v>1670.839698</v>
      </c>
      <c r="M25" s="3">
        <f>2191.6+(524.5-302.1)+(0+(0-0))+0-654.1-0</f>
        <v>1759.9</v>
      </c>
      <c r="N25" s="3">
        <f>2371.8+(671.5-385.7)+(0+(0-0))+0-568.8-0</f>
        <v>2088.8000000000002</v>
      </c>
      <c r="O25" s="3">
        <f>2472.5+(852.6-386.1)+(-1.260975+(-0.434826--0.196911))+0-646.5--0.329714999999934</f>
        <v>2291.330825</v>
      </c>
      <c r="P25" s="3">
        <f>2413.6+(811.5-358.1)+(3.692808+(1.241595-0.547893))+0-612.2-0.936666000000035</f>
        <v>2258.2498439999995</v>
      </c>
      <c r="Q25" s="3">
        <f>2398.4+(936.2-413.9)+(-7.339104+(-2.864772--1.266534))+0-592.3--1.81243800000007</f>
        <v>2321.2750960000003</v>
      </c>
      <c r="R25" s="3">
        <f>2499.7+(993.1-536.8)+(-6.374235+(-2.532405--1.36884))+0-698.2--1.7804099999999</f>
        <v>2252.04261</v>
      </c>
      <c r="S25" s="3">
        <f>2515.3+(756.1-603.7)+(-1.282803+(-0.385611--0.307887))+0-666.7--0.340016999999932</f>
        <v>1999.9794900000004</v>
      </c>
      <c r="T25" s="3">
        <f>2501.7+(838.3-644.5)+(1.275867+(0.427533-0.328695))+0-612.5-0.312374999999938</f>
        <v>2084.0623300000002</v>
      </c>
      <c r="U25" s="3">
        <f>2521.1+(921.2-572.2)+(-1.285761+(-0.469812--0.291822))+0-753.1--0.384080999999924</f>
        <v>2115.9203300000004</v>
      </c>
      <c r="V25" s="3">
        <f>2491.9+(630.8-476.6)+(-5.083476+(-1.286832--0.972264))+0-565.8--1.15423199999998</f>
        <v>2076.0561879999996</v>
      </c>
      <c r="W25" s="3">
        <f>2461.3+(535.6-457.4)+(-3.765789+(-0.819468--0.699822))+0-546.9--0.836757000000032</f>
        <v>1989.5513219999998</v>
      </c>
      <c r="X25" s="3">
        <f>2502.5+(603.8-402.7)+(-2.55255+(-0.615876--0.410754))+0-728--0.742560000000116</f>
        <v>1973.5848879999999</v>
      </c>
      <c r="Y25" s="3">
        <f>2507.4+(705.7-452.6)+(-5.115096+(-1.439628--0.923304))+0-671.5--1.36985999999997</f>
        <v>2084.7384399999996</v>
      </c>
      <c r="Z25" s="3">
        <f>2581.9+(787.5-571.1)+(-6.583845+(-2.008125--1.456305))+0-599.6--1.52897999999991</f>
        <v>2193.0933150000005</v>
      </c>
      <c r="AA25" s="3">
        <f>2587.4+(577.9-493.1)+(-3.958722+(-0.884187--0.754443))+0-656.5--1.00444500000004</f>
        <v>2012.6159789999997</v>
      </c>
      <c r="AB25" s="3">
        <f>2545.5+(528.9-482.2)+(-2.59641+(-0.539478--0.491844))+0-570.1--0.581502000000091</f>
        <v>2020.0374579999998</v>
      </c>
      <c r="AC25" s="3">
        <f>2461.1+(608.1-481.9)+(-1.255161+(-0.310131--0.245769))+0-589.2--0.30049199999994</f>
        <v>1997.0809689999999</v>
      </c>
      <c r="AD25">
        <v>2064.1999999999998</v>
      </c>
      <c r="AE25" s="3">
        <f>2590+(742.9-693)+(0+(0-0))+0-575.7-0</f>
        <v>2064.1999999999998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2343.5+(566.8-555.4)+(-1.195185+(-0.289068--0.283254))+0-522.8--0.266627999999947</f>
        <v>1831.1656289999999</v>
      </c>
      <c r="G26" s="3">
        <f>2316.7+(708.3-512.2)+(-2.363034+(-0.722466--0.522444))+0-782.1--0.797742000000125</f>
        <v>1728.9346860000001</v>
      </c>
      <c r="H26" s="3">
        <f>2318.9+(662.5-481.8)+(-3.547917+(-1.013625--0.737154))+0-760.8--1.16402400000004</f>
        <v>1736.1396359999999</v>
      </c>
      <c r="I26" s="3">
        <f>2320.1+(576.9-449.8)+(0+(0-0))+0-701.3-0</f>
        <v>1745.8999999999999</v>
      </c>
      <c r="J26" s="3">
        <f>2323.6+(627-392.4)+(0+(0-0))+0-831.3-0</f>
        <v>1726.8999999999999</v>
      </c>
      <c r="K26" s="3">
        <f>2144.1+(581.9-395.8)+(-2.186982+(-0.593538--0.403716))+0-598.1--0.610062000000095</f>
        <v>1730.3332580000001</v>
      </c>
      <c r="L26" s="3">
        <f>2061.2+(688.6-371.6)+(-8.409696+(-2.809488--1.516128))+0-755.9--3.08407199999993</f>
        <v>1615.6810159999998</v>
      </c>
      <c r="M26" s="3">
        <f>1992.9+(483.4-288.8)+(-2.032758+(-0.493068--0.294576))+0-569.6--0.580992000000091</f>
        <v>1616.2497420000004</v>
      </c>
      <c r="N26" s="3">
        <f>2119+(563.9-331)+(4.32276+(1.150356-0.67524))+0-626-1.27703999999997</f>
        <v>1729.4208360000002</v>
      </c>
      <c r="O26" s="3">
        <f>2361.2+(754.8-504.4)+(-3.612636+(-1.154844--0.771732))+0-680.4--1.04101200000004</f>
        <v>1928.2452640000001</v>
      </c>
      <c r="P26" s="3">
        <f>2221.5+(908.9-573.5)+(2.26593+(0.927078-0.58497))+0-619.9-0.632298000000099</f>
        <v>1938.9757399999999</v>
      </c>
      <c r="Q26" s="3">
        <f>2155.9+(994-570.5)+(-3.298527+(-1.52082--0.872865))+0-679.6--1.03978800000004</f>
        <v>1896.8933060000004</v>
      </c>
      <c r="R26" s="3">
        <f>2298.4+(858.2-602.9)+(-8.205288+(-3.063774--2.152353))+0-676--2.41332000000001</f>
        <v>1870.9966110000005</v>
      </c>
      <c r="S26" s="3">
        <f>2437.2+(762.5-718.3)+(0+(0-0))+0-614.5-0</f>
        <v>1866.8999999999996</v>
      </c>
      <c r="T26" s="3">
        <f>2504.4+(734.4-724.1)+(-2.554488+(-0.749088--0.738582))+0-613.7--0.625974000000098</f>
        <v>1899.06098</v>
      </c>
      <c r="U26" s="3">
        <f>2550.7+(809.8-715.7)+(-1.300857+(-0.412998--0.365007))+0-722.8--0.368627999999927</f>
        <v>1921.0197799999996</v>
      </c>
      <c r="V26" s="3">
        <f>2558.6+(566.9-649.1)+(-5.219544+(-1.156476--1.324164))+0-617.6--1.25990399999997</f>
        <v>1855.0080479999997</v>
      </c>
      <c r="W26" s="3">
        <f>2492.3+(627.6-574.8)+(-1.271073+(-0.320076--0.293148))+0-734.7--0.374696999999926</f>
        <v>1809.4766960000002</v>
      </c>
      <c r="X26" s="3">
        <f>2459.8+(535.7-612.5)+(1.254498+(0.273207-0.312375))+0-602-0.307019999999939</f>
        <v>1781.90831</v>
      </c>
      <c r="Y26" s="3">
        <f>2454+(615.4-594.8)+(-5.00616+(-1.255416--1.213392))+0-669.3--1.36537199999997</f>
        <v>1801.6171879999997</v>
      </c>
      <c r="Z26" s="3">
        <f>2572.5+(743.7-698.2)+(-1.311975+(-0.379287--0.356082))+0-579.7--0.295646999999941</f>
        <v>2037.2604669999998</v>
      </c>
      <c r="AA26" s="3">
        <f>2579.1+(790.2-684.1)+(-5.261364+(-1.612008--1.395564))+0-687.8--1.40311199999997</f>
        <v>1993.3253039999997</v>
      </c>
      <c r="AB26" s="3">
        <f>2648+(973.1-847.4)+(-2.70096+(-0.992562--0.864348))+0-737.6--0.752352000000118</f>
        <v>2034.0231780000001</v>
      </c>
      <c r="AC26" s="3">
        <f>2671.6+(943.9-940.1)+(-5.450064+(-1.925556--1.917804))+0-639.4--1.30437599999997</f>
        <v>2031.8465599999995</v>
      </c>
      <c r="AD26">
        <v>1895.4</v>
      </c>
      <c r="AE26" s="3">
        <f>2557+(847-758.2)+(0+(0-0))+0-750.4-0</f>
        <v>1895.4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2630+(899.5-1100.3)+(0+(0-0))+0-753.5-0</f>
        <v>1675.6999999999998</v>
      </c>
      <c r="G27" s="3">
        <f>2277.3+(755.6-781.4)+(-5.807115+(-1.92678--1.99257))+0-736.2--1.87730999999989</f>
        <v>1511.4359849999998</v>
      </c>
      <c r="H27" s="3">
        <f>2191.1+(764.4-696)+(-1.117461+(-0.389844--0.35496))+0-740--0.377399999999925</f>
        <v>1518.7250549999999</v>
      </c>
      <c r="I27" s="3">
        <f>2194.6+(803.7-704.2)+(1.119246+(0.409887-0.359142))+0-811.4-0.413813999999918</f>
        <v>1483.456177</v>
      </c>
      <c r="J27" s="3">
        <f>2161.2+(670.7-658.8)+(-1.102212+(-0.342057--0.335988))+0-627.5--0.320024999999936</f>
        <v>1544.8117440000001</v>
      </c>
      <c r="K27" s="3">
        <f>2112.2+(760.1-525)+(1.077222+(0.387651-0.26775))+0-772.8-0.394127999999922</f>
        <v>1575.3029949999998</v>
      </c>
      <c r="L27" s="3">
        <f>2201+(588.5-510.4)+(-5.61255+(-1.500675--1.30152))+0-660.6--1.6845299999999</f>
        <v>1614.3728249999999</v>
      </c>
      <c r="M27" s="3">
        <f>2327.6+(625.4-473.5)+(2.374152+(0.637908-0.48297))+0-708-0.722160000000113</f>
        <v>1773.30693</v>
      </c>
      <c r="N27" s="3">
        <f>2572.3+(652.2-659.8)+(0+(0-0))+0-569.2-0</f>
        <v>1995.5000000000002</v>
      </c>
      <c r="O27" s="3">
        <f>2596.6+(930.9-779.4)+(0+(0-0))+0-624.3-0</f>
        <v>2123.8000000000002</v>
      </c>
      <c r="P27" s="3">
        <f>2712.9+(982.9-914.7)+(2.767158+(1.002558-0.932994))+0-607.1-0.619242000000097</f>
        <v>2176.2174799999998</v>
      </c>
      <c r="Q27" s="3">
        <f>2752.3+(1131.8-1046.6)+(-2.807346+(-1.154436--1.067532))+0-573.1--0.584562000000091</f>
        <v>2262.0903120000003</v>
      </c>
      <c r="R27" s="3">
        <f>2703.8+(1202.4-1131)+(-1.378938+(-0.613224--0.57681))+0-580.9--0.296258999999941</f>
        <v>2193.1809069999999</v>
      </c>
      <c r="S27" s="3">
        <f>2695.3+(975.4-1093.7)+(0+(0-0))+0-558.5-0</f>
        <v>2018.5</v>
      </c>
      <c r="T27" s="3">
        <f>2691.8+(862.9-986.9)+(-1.372818+(-0.440079--0.503319))+0-494.1--0.25199099999995</f>
        <v>2072.6424130000005</v>
      </c>
      <c r="U27" s="3">
        <f>2851.7+(732.8-1043.4)+(-4.363101+(-1.121184--1.596402))+0-488.1--0.746793000000028</f>
        <v>2049.8589099999999</v>
      </c>
      <c r="V27" s="3">
        <f>2749.1+(767-874)+(-1.402041+(-0.39117--0.44574))+0-540.6--0.275705999999945</f>
        <v>2100.4282349999999</v>
      </c>
      <c r="W27" s="3">
        <f>2555+(653.3-634.9)+(-5.2122+(-1.332732--1.295196))+0-571.1--1.16504399999998</f>
        <v>1998.2153080000001</v>
      </c>
      <c r="X27" s="3">
        <f>2856+(692.7-946.6)+(-7.2828+(-1.766385--2.41383))+0-609.1--1.55320499999991</f>
        <v>1987.91785</v>
      </c>
      <c r="Y27" s="3">
        <f>2981.8+(822.9-1067.1)+(-1.520718+(-0.419679--0.544221))+0-622.1--0.317270999999937</f>
        <v>2114.4210950000002</v>
      </c>
      <c r="Z27" s="3">
        <f>3032.7+(1084.9-1259)+(-6.186708+(-2.213196--2.56836))+0-606.2--1.23664799999997</f>
        <v>2247.805104</v>
      </c>
      <c r="AA27" s="3">
        <f>3037.6+(1047.3-1321.3)+(-4.647528+(-1.602369--2.021589))+0-657.4--1.00582200000004</f>
        <v>2102.9775139999997</v>
      </c>
      <c r="AB27" s="3">
        <f>3039.7+(874-1317.4)+(-7.751235+(-2.2287--3.35937))+0-589--1.50194999999991</f>
        <v>2002.1813849999994</v>
      </c>
      <c r="AC27" s="3">
        <f>2939.4+(742.8-1179.2)+(-5.996376+(-1.515312--2.405568))+0-519--1.05875999999998</f>
        <v>1979.95264</v>
      </c>
      <c r="AD27">
        <v>2242.5</v>
      </c>
      <c r="AE27" s="3">
        <f>3016+(1285.5-1318.7)+(0+(0-0))+0-740.3-0</f>
        <v>2242.5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2673.2+(648.8-750.1)+(-4.089996+(-0.992664--1.147653))+0-635.3--0.972009000000037</f>
        <v>1933.6370019999997</v>
      </c>
      <c r="G28" s="3">
        <f>2534.8+(717.4-705.1)+(-2.585496+(-0.731748--0.719202))+0-781.9--0.797538000000125</f>
        <v>1763.3994960000002</v>
      </c>
      <c r="H28" s="3">
        <f>2545.7+(520.9-630.7)+(-5.193228+(-1.062636--1.286628))+0-690.7--1.40902799999997</f>
        <v>1741.6397919999997</v>
      </c>
      <c r="I28" s="3">
        <f>2518.4+(475.5-632.3)+(-2.568768+(-0.48501--0.644946))+0-630.8--0.643416000000101</f>
        <v>1729.0345840000005</v>
      </c>
      <c r="J28" s="3">
        <f>2406.2+(501.9-470.3)+(-4.908648+(-1.023876--0.959412))+0-740.4--1.51041599999997</f>
        <v>1693.9373039999996</v>
      </c>
      <c r="K28" s="3">
        <f>2341.4+(517.6-454.6)+(0+(0-0))+0-723.4-0</f>
        <v>1681</v>
      </c>
      <c r="L28" s="3">
        <f>2349.8+(386.7-403.3)+(-8.388786+(-1.380519--1.439781))+0-629.8--2.24838600000001</f>
        <v>1697.3188620000001</v>
      </c>
      <c r="M28" s="3">
        <f>2368.1+(507.4-341.2)+(0+(0-0))+0-681.1-0</f>
        <v>1853.1999999999998</v>
      </c>
      <c r="N28" s="3">
        <f>2657.9+(624.4-535.2)+(2.711058+(0.636888-0.545904))+0-467.3-0.476646000000075</f>
        <v>2282.1253959999995</v>
      </c>
      <c r="O28" s="3">
        <f>2624.5+(973.7-636.1)+(-2.67699+(-0.993174--0.648822))+0-522--0.532440000000083</f>
        <v>2437.6110979999999</v>
      </c>
      <c r="P28" s="3">
        <f>2602.5+(1129.5-718.1)+(1.327275+(0.576045-0.366231))+0-517.2-0.263771999999948</f>
        <v>2497.9733170000004</v>
      </c>
      <c r="Q28" s="3">
        <f>2655.6+(1344.8-909.4)+(0+(0-0))+0-505.1-0</f>
        <v>2585.9</v>
      </c>
      <c r="R28" s="3">
        <f>2658.5+(1261.6-1081.4)+(-6.779175+(-3.21708--2.75757))+0-517.4--1.31936999999992</f>
        <v>2315.3806849999996</v>
      </c>
      <c r="S28" s="3">
        <f>2703.3+(1004.2-1065.1)+(-5.514732+(-2.048568--2.172804))+0-483.5--0.986339999999979</f>
        <v>2154.4958440000005</v>
      </c>
      <c r="T28" s="3">
        <f>2717.8+(1093.8-978.7)+(2.772156+(1.115676-0.998274))+0-554.8-0.565896000000088</f>
        <v>2280.4236620000001</v>
      </c>
      <c r="U28" s="3">
        <f>2724.5+(1077.6-947.2)+(-5.55798+(-2.198304--1.932288))+0-571.7--1.16626799999998</f>
        <v>2278.5422719999997</v>
      </c>
      <c r="V28" s="3">
        <f>2733.5+(980.6-816.2)+(-5.57634+(-2.000424--1.665048))+0-601.5--1.22705999999997</f>
        <v>2291.7153440000002</v>
      </c>
      <c r="W28" s="3">
        <f>2822.3+(808.2-744.9)+(-8.636238+(-2.473092--2.279394))+0-636.2--1.94677200000007</f>
        <v>2242.5168360000007</v>
      </c>
      <c r="X28" s="3">
        <f>2899.3+(726.2-802)+(-5.914572+(-1.481448--1.63608))+0-522.6--1.06610399999998</f>
        <v>2296.2061640000002</v>
      </c>
      <c r="Y28" s="3">
        <f>2871.3+(975.8-878.8)+(1.464363+(0.497658-0.448188))+0-636.1-0.324410999999936</f>
        <v>2333.3894220000002</v>
      </c>
      <c r="Z28" s="3">
        <f>2998.3+(1210-1055.6)+(-7.645665+(-3.0855--2.69178))+0-653.5--1.66642499999991</f>
        <v>2492.8270400000001</v>
      </c>
      <c r="AA28" s="3">
        <f>3010+(1094.1-1091.1)+(-7.6755+(-2.789955--2.782305))+0-657--1.6753499999999</f>
        <v>2349.9922000000001</v>
      </c>
      <c r="AB28" s="3">
        <f>3015.4+(979.8-1049.2)+(-10.764978+(-3.497886--3.745644))+0-717.7--2.56218900000001</f>
        <v>2220.3449689999998</v>
      </c>
      <c r="AC28" s="3">
        <f>2872.8+(773.5-880.1)+(-7.32564+(-1.972425--2.244255))+0-731.6--1.86557999999989</f>
        <v>2029.4117700000004</v>
      </c>
      <c r="AD28">
        <v>2259.3000000000002</v>
      </c>
      <c r="AE28" s="3">
        <f>2996+(1250-1313.5)+(0+(0-0))+0-673.2-0</f>
        <v>2259.3000000000002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2723.4+(662.9-898.3)+(-4.166802+(-1.014237--1.374399))+0-673.6--1.03060800000004</f>
        <v>1811.6239680000003</v>
      </c>
      <c r="G29" s="3">
        <f>2605.3+(641.1-680.6)+(-9.300921+(-2.288727--2.429742))+0-719.4--2.56825800000001</f>
        <v>1839.8083520000002</v>
      </c>
      <c r="H29" s="3">
        <f>2510.2+(559.4-721.5)+(-3.840606+(-0.855882--1.103895))+0-632.1--0.967113000000037</f>
        <v>1713.3745200000001</v>
      </c>
      <c r="I29" s="3">
        <f>2514.6+(542.1-765.9)+(0+(0-0))+0-578-0</f>
        <v>1712.8000000000002</v>
      </c>
      <c r="J29" s="3">
        <f>2523.6+(533.6-664)+(-5.148144+(-1.088544--1.35456))+0-698.6--1.42514399999997</f>
        <v>1691.1430159999998</v>
      </c>
      <c r="K29" s="3">
        <f>2523.5+(545.3-587.9)+(-2.57397+(-0.556206--0.599658))+0-774.6--0.790092000000124</f>
        <v>1704.5595740000003</v>
      </c>
      <c r="L29" s="3">
        <f>2514.3+(339.5-548.6)+(-5.129172+(-0.69258--1.119144))+0-593.6--1.21094399999997</f>
        <v>1708.1083360000002</v>
      </c>
      <c r="M29" s="3">
        <f>2519.5+(263.1-552.6)+(1.284945+(0.134181-0.281826))+0-475.3-0.242402999999952</f>
        <v>1755.5948969999999</v>
      </c>
      <c r="N29" s="3">
        <f>2781.3+(464.7-714.7)+(1.418463+(0.236997-0.364497))+0-477.4-0.243473999999952</f>
        <v>2054.9474890000001</v>
      </c>
      <c r="O29" s="3">
        <f>2879.2+(742.8-809.8)+(-4.405176+(-1.136484--1.238994))+0-684.5--1.04728500000004</f>
        <v>2124.4446189999999</v>
      </c>
      <c r="P29" s="3">
        <f>2904.9+(711.9-822.7)+(-5.925996+(-1.452276--1.678308))+0-506--1.03223999999998</f>
        <v>2283.432276</v>
      </c>
      <c r="Q29" s="3">
        <f>3021.7+(863.9-1185.3)+(-1.541067+(-0.440589--0.604503))+0-343.6--0.175235999999965</f>
        <v>2355.498083</v>
      </c>
      <c r="R29" s="3">
        <f>2949+(860.8-1276.3)+(1.50399+(0.439008-0.650913))+0-484-0.246839999999951</f>
        <v>2050.5452450000003</v>
      </c>
      <c r="S29" s="3">
        <f>3066.4+(880.7-1292.1)+(-1.563864+(-0.449157--0.658971))+0-696.6--0.355265999999929</f>
        <v>1957.4012160000002</v>
      </c>
      <c r="T29" s="3">
        <f>3018.6+(957.9-1197.4)+(-3.078972+(-0.977058--1.221348))+0-836.5--0.853230000000133</f>
        <v>1940.6185479999999</v>
      </c>
      <c r="U29" s="3">
        <f>3028.8+(937.5-1116.8)+(-4.634064+(-1.434375--1.708704))+0-1030.7--1.57697100000006</f>
        <v>1816.0172359999999</v>
      </c>
      <c r="V29" s="3">
        <f>3045.9+(901.8-1069.8)+(-6.213636+(-1.839672--2.182392))+0-762.2--1.55488799999997</f>
        <v>2111.3839720000001</v>
      </c>
      <c r="W29" s="3">
        <f>2893+(1055.5-1093.7)+(-2.95086+(-1.07661--1.115574))+0-826.6--0.843132000000132</f>
        <v>2026.1312360000004</v>
      </c>
      <c r="X29" s="3">
        <f>2813+(1030.7-1070.6)+(-7.17315+(-2.628285--2.73003))+0-812.9--2.07289499999988</f>
        <v>1955.2014899999999</v>
      </c>
      <c r="Y29" s="3">
        <f>2876.2+(1098.3-1198.7)+(-2.933724+(-1.120266--1.222674))+0-812--0.828240000000129</f>
        <v>1961.796924</v>
      </c>
      <c r="Z29" s="3">
        <f>3121.8+(1239.5-1350.8)+(-3.184236+(-1.26429--1.377816))+0-733--0.747660000000117</f>
        <v>2275.17695</v>
      </c>
      <c r="AA29" s="3">
        <f>3136.5+(994.8-1378.5)+(-4.798845+(-1.522044--2.109105))+0-637.3--0.975069000000037</f>
        <v>2112.263285</v>
      </c>
      <c r="AB29" s="3">
        <f>3134.1+(661.8-1310.9)+(-7.991955+(-1.68759--3.342795))+0-612.4--1.56161999999991</f>
        <v>1867.8248699999999</v>
      </c>
      <c r="AC29" s="3">
        <f>3058.4+(690.3-1102.9)+(-3.119568+(-0.704106--1.124958))+0-615.3--0.627606000000098</f>
        <v>2028.4288900000004</v>
      </c>
      <c r="AD29">
        <v>2343.7999999999993</v>
      </c>
      <c r="AE29" s="3">
        <f>3130+(1342.4-1310.3)+(0+(0-0))+0-818.3-0</f>
        <v>2343.8000000000002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2953.8+(714.4-993.5)+(-7.53219+(-1.82172--2.533425))+0-661--1.6855499999999</f>
        <v>2008.565065</v>
      </c>
      <c r="G30" s="3">
        <f>2813.3+(947.6-1032.8)+(-2.869566+(-0.966552--1.053456))+0-740.8--0.755616000000118</f>
        <v>1985.2729540000005</v>
      </c>
      <c r="H30" s="3">
        <f>2782.3+(891.2-956.9)+(-2.837946+(-0.909024--0.976038))+0-720.5--0.734910000000115</f>
        <v>1994.0639780000006</v>
      </c>
      <c r="I30" s="3">
        <f>2779.6+(822.5-818)+(-5.670384+(-1.6779--1.66872))+0-807.8--1.64791199999996</f>
        <v>1972.2683479999998</v>
      </c>
      <c r="J30" s="3">
        <f>2789.9+(675.9-803.4)+(-7.114245+(-1.723545--2.04867))+0-632.7--1.61338499999991</f>
        <v>2024.524265</v>
      </c>
      <c r="K30" s="3">
        <f>2793.9+(689.2-719.6)+(-1.424889+(-0.351492--0.366996))+0-753.3--0.384182999999924</f>
        <v>2009.174798</v>
      </c>
      <c r="L30" s="3">
        <f>2800.7+(555.9-649.8)+(0+(0-0))+0-612.7-0</f>
        <v>2094.0999999999995</v>
      </c>
      <c r="M30" s="3">
        <f>2843.2+(548.5-637.1)+(0+(0-0))+0-610.6-0</f>
        <v>2144</v>
      </c>
      <c r="N30" s="3">
        <f>2919+(639.6-698.6)+(-4.46607+(-0.978588--1.068858))+0-597.8--0.914634000000034</f>
        <v>2258.7388340000002</v>
      </c>
      <c r="O30" s="3">
        <f>2619.2+(867.4-628.7)+(-2.671584+(-0.884748--0.641274))+0-563.3--0.57456600000009</f>
        <v>2292.2595080000001</v>
      </c>
      <c r="P30" s="3">
        <f>2419.9+(1065.1-591.1)+(-1.234149+(-0.543201--0.301461))+0-608.8--0.310487999999938</f>
        <v>2283.9345990000002</v>
      </c>
      <c r="Q30" s="3">
        <f>2408.6+(1000.9-577)+(-3.685158+(-1.531377--0.88281))+0-699.5--1.07023500000004</f>
        <v>2129.7365100000002</v>
      </c>
      <c r="R30" s="3">
        <f>2388.8+(958.5-567.6)+(1.218288+(0.488835-0.289476))+0-584.9-0.298298999999941</f>
        <v>2195.9193480000004</v>
      </c>
      <c r="S30" s="3">
        <f>2434.8+(846.3-693.6)+(-6.20874+(-2.158065--1.76868))+0-543.3--1.38541499999992</f>
        <v>2038.98729</v>
      </c>
      <c r="T30" s="3">
        <f>2471+(957-675.7)+(-1.26021+(-0.48807--0.344607))+0-621.8--0.317117999999937</f>
        <v>2129.4134450000001</v>
      </c>
      <c r="U30" s="3">
        <f>2467.6+(908.4-665.4)+(0+(0-0))+0-549.4-0</f>
        <v>2161.1999999999998</v>
      </c>
      <c r="V30" s="3">
        <f>2460.3+(824.3-573.5)+(-5.019012+(-1.681572--1.16994))+0-598.7--1.22134799999997</f>
        <v>2108.0907040000002</v>
      </c>
      <c r="W30" s="3">
        <f>2488.2+(794.9-475.2)+(0+(0-0))+0-687.2-0</f>
        <v>2120.6999999999998</v>
      </c>
      <c r="X30" s="3">
        <f>2502.9+(610.2-449.3)+(-6.382395+(-1.55601--1.145715))+0-628.3--1.60216499999991</f>
        <v>2030.309475</v>
      </c>
      <c r="Y30" s="3">
        <f>2515.9+(738.5-494.3)+(-1.283109+(-0.376635--0.252093))+0-685.2--0.349451999999931</f>
        <v>2073.841801</v>
      </c>
      <c r="Z30" s="3">
        <f>2646.1+(815-585.9)+(-2.699022+(-0.8313--0.597618))+0-542--0.552840000000086</f>
        <v>2330.8201360000003</v>
      </c>
      <c r="AA30" s="3">
        <f>2944.5+(677.2-749.4)+(-3.00339+(-0.690744--0.764388))+0-551.3--0.562326000000088</f>
        <v>2318.6325800000004</v>
      </c>
      <c r="AB30" s="3">
        <f>3015.7+(627.6-837)+(-7.690035+(-1.60038--2.13435))+0-600.3--1.53076499999991</f>
        <v>2200.3746999999998</v>
      </c>
      <c r="AC30" s="3">
        <f>3013.3+(798.2-865.9)+(0+(0-0))+0-734.6-0</f>
        <v>2211.0000000000005</v>
      </c>
      <c r="AD30">
        <v>2305.5</v>
      </c>
      <c r="AE30" s="3">
        <f>2772+(787.4-788.6)+(0+(0-0))+0-465.3-0</f>
        <v>2305.5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2989.3+(705.3-986.8)+(-1.524543+(-0.359703--0.503268))+0-701.8--0.357917999999929</f>
        <v>2004.97694</v>
      </c>
      <c r="G31" s="3">
        <f>3003+(732.6-973.1)+(-7.65765+(-1.86813--2.481405))+0-748.3--1.90816499999989</f>
        <v>2009.0637899999999</v>
      </c>
      <c r="H31" s="3">
        <f>2854.6+(738-960.3)+(-1.455846+(-0.37638--0.489753))+0-728.8--0.371687999999926</f>
        <v>1902.529215</v>
      </c>
      <c r="I31" s="3">
        <f>2875.9+(709.9-899.6)+(-1.466709+(-0.362049--0.458796))+0-770.1--0.392750999999922</f>
        <v>1915.1227889999996</v>
      </c>
      <c r="J31" s="3">
        <f>3027.3+(569.6-881.4)+(-3.087846+(-0.580992--0.899028))+0-618--0.630360000000099</f>
        <v>2095.3605500000003</v>
      </c>
      <c r="K31" s="3">
        <f>2979.5+(411.1-689.8)+(0+(0-0))+0-709.3-0</f>
        <v>1991.5000000000002</v>
      </c>
      <c r="L31" s="3">
        <f>2847.6+(311.6-519)+(-7.26138+(-0.79458--1.32345))+0-679.3--1.7322149999999</f>
        <v>1955.899705</v>
      </c>
      <c r="M31" s="3">
        <f>2926.8+(234.1-493)+(-2.985336+(-0.238782--0.50286))+0-619.2--0.631584000000099</f>
        <v>2046.6103260000002</v>
      </c>
      <c r="N31" s="3">
        <f>2983+(483.9-530.5)+(3.04266+(0.493578-0.54111))+0-600.6-0.612612000000096</f>
        <v>2338.1825160000003</v>
      </c>
      <c r="O31" s="3">
        <f>2557.8+(653-378.5)+(-2.608956+(-0.66606--0.38607))+0-576.4--0.587928000000092</f>
        <v>2253.598982</v>
      </c>
      <c r="P31" s="3">
        <f>2490.7+(637.5-356)+(-1.270257+(-0.325125--0.18156))+0-566.1--0.288710999999943</f>
        <v>2204.9748890000001</v>
      </c>
      <c r="Q31" s="3">
        <f>2501.4+(741.6-396.6)+(-1.275714+(-0.378216--0.202266))+0-539--0.274889999999945</f>
        <v>2306.2232260000001</v>
      </c>
      <c r="R31" s="3">
        <f>2551+(751.3-451.2)+(-3.90303+(-1.149489--0.690336))+0-700.6--1.07191800000004</f>
        <v>2147.2097349999999</v>
      </c>
      <c r="S31" s="3">
        <f>2580.5+(707-544.5)+(0+(0-0))+0-670.1-0</f>
        <v>2072.9</v>
      </c>
      <c r="T31" s="3">
        <f>2583.8+(881.7-602.7)+(0+(0-0))+0-548.6-0</f>
        <v>2314.2000000000003</v>
      </c>
      <c r="U31" s="3">
        <f>2572.9+(812.7-619.8)+(-2.624358+(-0.828954--0.632196))+0-541.8--0.552636000000086</f>
        <v>2221.7315199999998</v>
      </c>
      <c r="V31" s="3">
        <f>2576.7+(777.5-535.6)+(0+(0-0))+0-547.4-0</f>
        <v>2271.1999999999998</v>
      </c>
      <c r="W31" s="3">
        <f>2604+(626.4-515.9)+(-7.96824+(-1.916784--1.578654))+0-545.5--1.66923000000006</f>
        <v>2162.3628600000002</v>
      </c>
      <c r="X31" s="3">
        <f>2598+(524.5-475.7)+(-10.59984+(-2.13996--1.940856))+0-517.8--2.11262399999995</f>
        <v>2120.3136799999997</v>
      </c>
      <c r="Y31" s="3">
        <f>2628+(643-462.8)+(-5.36112+(-1.31172--0.944112))+0-494.2--1.00816799999998</f>
        <v>2309.2794399999998</v>
      </c>
      <c r="Z31" s="3">
        <f>2653+(678.4-453.4)+(-9.47121+(-2.421888--1.618638))+0-538.4--1.92208800000001</f>
        <v>2331.2476279999996</v>
      </c>
      <c r="AA31" s="3">
        <f>2651+(591.8-561.1)+(-2.70402+(-0.603636--0.572322))+0-445.3--0.454206000000071</f>
        <v>2234.1188719999996</v>
      </c>
      <c r="AB31" s="3">
        <f>2641+(514-508.3)+(-6.73455+(-1.3107--1.296165))+0-464.6--1.18472999999993</f>
        <v>2176.5356449999999</v>
      </c>
      <c r="AC31" s="3">
        <f>2645+(643.2-486.5)+(0+(0-0))+0-487.6-0</f>
        <v>2314.1</v>
      </c>
      <c r="AD31">
        <v>2313.5</v>
      </c>
      <c r="AE31" s="3">
        <f>2640+(736-473.7)+(0+(0-0))+0-588.8-0</f>
        <v>2313.5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2605.7+(588.9-581.5)+(0+(0-0))+0-461.5-0</f>
        <v>2151.6</v>
      </c>
      <c r="G32" s="3">
        <f>2613.7+(526-711)+(2.665974+(0.53652-0.72522))+0-457.3-0.466446000000073</f>
        <v>1973.4108279999996</v>
      </c>
      <c r="H32" s="3">
        <f>2615.2+(582.8-751.4)+(-2.667504+(-0.594456--0.766428))+0-481.9--0.491538000000077</f>
        <v>1962.6960059999999</v>
      </c>
      <c r="I32" s="3">
        <f>2592.2+(573.9-885.7)+(-5.288088+(-1.170756--1.806828))+0-472.8--0.964511999999979</f>
        <v>1803.9124959999997</v>
      </c>
      <c r="J32" s="3">
        <f>2504.4+(529.6-730)+(3.831732+(0.810288-1.1169))+0-455.8-0.697374000000026</f>
        <v>1851.0277459999998</v>
      </c>
      <c r="K32" s="3">
        <f>2575.4+(485.5-460.8)+(1.313454+(0.247605-0.235008))+0-474.5-0.241994999999952</f>
        <v>2126.6840560000001</v>
      </c>
      <c r="L32" s="3">
        <f>2729.9+(326.7-530.1)+(-2.784498+(-0.333234--0.540702))+0-658.1--0.671262000000105</f>
        <v>1866.4942320000002</v>
      </c>
      <c r="M32" s="3">
        <f>2811.2+(257.5-467.3)+(2.867424+(0.26265-0.476646))+0-580.8-0.592416000000093</f>
        <v>2022.6610119999996</v>
      </c>
      <c r="N32" s="3">
        <f>3074.2+(462.4-545.1)+(1.567842+(0.235824-0.278001))+0-673.1-0.343280999999932</f>
        <v>2319.5823840000003</v>
      </c>
      <c r="O32" s="3">
        <f>3095.3+(808.6-803.4)+(3.157206+(0.824772-0.819468))+0-635.1-0.647802000000101</f>
        <v>2467.9147080000002</v>
      </c>
      <c r="P32" s="3">
        <f>3063.1+(1155.3-1051.1)+(0+(0-0))+0-651.2-0</f>
        <v>2516.1000000000004</v>
      </c>
      <c r="Q32" s="3">
        <f>3104.6+(1185.2-1232)+(6.333384+(2.417808-2.51328))+0-590.7-1.20502799999997</f>
        <v>2472.1328840000001</v>
      </c>
      <c r="R32" s="3">
        <f>3100.3+(1147.8-1260.1)+(0+(0-0))+0-463.3-0</f>
        <v>2524.6999999999998</v>
      </c>
      <c r="S32" s="3">
        <f>3037.9+(917.8-1259.6)+(-3.098658+(-0.936156--1.284792))+0-469--0.478380000000075</f>
        <v>2224.8283580000002</v>
      </c>
      <c r="T32" s="3">
        <f>3029.6+(938.7-1093.2)+(4.635288+(1.436211-1.672596))+0-604.7-0.925191000000035</f>
        <v>2273.8737120000001</v>
      </c>
      <c r="U32" s="3">
        <f>3021.8+(767.9-875.5)+(-7.70559+(-1.958145--2.232525))+0-702.3--1.7908649999999</f>
        <v>2206.2596549999998</v>
      </c>
      <c r="V32" s="3">
        <f>3043.4+(659.1-818.4)+(0+(0-0))+0-654.6-0</f>
        <v>2229.5000000000005</v>
      </c>
      <c r="W32" s="3">
        <f>3074.4+(640.3-785.7)+(-10.975608+(-2.285871--2.804949))+0-592.5--2.11522500000001</f>
        <v>2328.1586950000001</v>
      </c>
      <c r="X32" s="3">
        <f>3090.9+(444-728.7)+(-6.305436+(-0.90576--1.486548))+0-513.2--1.04692799999998</f>
        <v>2288.3222799999999</v>
      </c>
      <c r="Y32" s="3">
        <f>3104+(486.3-849.5)+(-3.16608+(-0.496026--0.86649))+0-500.3--0.51030600000008</f>
        <v>2238.2146900000002</v>
      </c>
      <c r="Z32" s="3">
        <f>3111.7+(664.8-928)+(-7.934835+(-1.69524--2.3664))+0-483.5--1.23292499999993</f>
        <v>2358.9692499999996</v>
      </c>
      <c r="AA32" s="3">
        <f>3118.5+(634.9-950.3)+(-11.133045+(-2.266593--3.392571))+0-541.2--1.93208400000001</f>
        <v>2253.8250170000001</v>
      </c>
      <c r="AB32" s="3">
        <f>3090.5+(623-897.7)+(-6.30462+(-1.27092--1.831308))+0-617--1.25867999999997</f>
        <v>2194.3144480000001</v>
      </c>
      <c r="AC32" s="3">
        <f>2999.8+(649.6-867.7)+(-3.059796+(-0.662592--0.885054))+0-643.7--0.656574000000103</f>
        <v>2135.8192400000003</v>
      </c>
      <c r="AD32">
        <v>2144.9</v>
      </c>
      <c r="AE32" s="3">
        <f>3110+(606.4-1180.9)+(0+(0-0))+0-390.6-0</f>
        <v>2144.9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2913.7+(674.1-927)+(-7.429935+(-1.718955--2.36385))+0-652.1--1.66285499999991</f>
        <v>2003.5778149999994</v>
      </c>
      <c r="G33" s="3">
        <f>2690.3+(612.5-862)+(-6.860265+(-1.561875--2.1981))+0-666.5--1.6995749999999</f>
        <v>1769.775535</v>
      </c>
      <c r="H33" s="3">
        <f>2444.6+(715.7-824.8)+(-3.740238+(-1.095021--1.261944))+0-684.6--1.04743800000004</f>
        <v>1648.3741230000001</v>
      </c>
      <c r="I33" s="3">
        <f>2452.7+(711.7-767.1)+(-1.250877+(-0.362967--0.391221))+0-682.6--0.348125999999931</f>
        <v>1713.8255029999996</v>
      </c>
      <c r="J33" s="3">
        <f>2454.2+(677.8-697.5)+(-2.503284+(-0.691356--0.71145))+0-759.1--0.774282000000121</f>
        <v>1673.6910920000003</v>
      </c>
      <c r="K33" s="3">
        <f>2456.2+(681.2-781.4)+(-2.505324+(-0.694824--0.797028))+0-708.1--0.722262000000113</f>
        <v>1646.2191420000001</v>
      </c>
      <c r="L33" s="3">
        <f>2251.5+(676.3-739)+(-5.741325+(-1.724565--1.88445))+0-622.4--1.58711999999991</f>
        <v>1562.4056800000001</v>
      </c>
      <c r="M33" s="3">
        <f>2079.4+(712.3-658.9)+(0+(0-0))+0-598.4-0</f>
        <v>1534.4</v>
      </c>
      <c r="N33" s="3">
        <f>2074.8+(704.7-576.6)+(-3.174444+(-1.078191--0.882198))+0-545.6--0.834768000000032</f>
        <v>1654.7643310000001</v>
      </c>
      <c r="O33" s="3">
        <f>2217.2+(726.3-583)+(-1.130772+(-0.370413--0.29733))+0-463.6--0.236435999999953</f>
        <v>1895.9325809999998</v>
      </c>
      <c r="P33" s="3">
        <f>2388.5+(637-667.6)+(-2.43627+(-0.64974--0.680952))+0-325.7--0.332214000000052</f>
        <v>2030.1271560000002</v>
      </c>
      <c r="Q33" s="3">
        <f>2474.2+(756.7-726.3)+(0+(0-0))+0-485.6-0</f>
        <v>2019</v>
      </c>
      <c r="R33" s="3">
        <f>2525.8+(832-722)+(-1.288158+(-0.42432--0.36822))+0-627.9--0.320228999999936</f>
        <v>2006.8759709999999</v>
      </c>
      <c r="S33" s="3">
        <f>2585.3+(811.7-870.7)+(-5.274012+(-1.655868--1.776228))+0-555.4--1.13301599999998</f>
        <v>1966.8793640000001</v>
      </c>
      <c r="T33" s="3">
        <f>2575.9+(900.5-975.1)+(-1.313709+(-0.459255--0.497301))+0-562.5--0.286874999999943</f>
        <v>1937.8112120000003</v>
      </c>
      <c r="U33" s="3">
        <f>2568.4+(935.2-1035.4)+(-3.929652+(-1.430856--1.584162))+0-555.2--0.849456000000032</f>
        <v>1910.0731099999998</v>
      </c>
      <c r="V33" s="3">
        <f>2557.6+(905.9-910.2)+(-6.52188+(-2.310045--2.32101))+0-591--1.50704999999991</f>
        <v>1957.2961349999998</v>
      </c>
      <c r="W33" s="3">
        <f>2446.9+(861.5-696.4)+(-3.743757+(-1.318095--1.065492))+0-602.7--0.922131000000035</f>
        <v>2006.2257709999999</v>
      </c>
      <c r="X33" s="3">
        <f>2298.4+(597.9-502.7)+(-4.688736+(-1.219716--1.025508))+0-474.9--0.968795999999979</f>
        <v>1914.7858519999997</v>
      </c>
      <c r="Y33" s="3">
        <f>2392.7+(718.6-598.5)+(0+(0-0))+0-540.3-0</f>
        <v>1972.4999999999998</v>
      </c>
      <c r="Z33" s="3">
        <f>2736.5+(754.7-796.8)+(-5.58246+(-1.539588--1.625472))+0-589.6--1.20278399999997</f>
        <v>2100.5062080000002</v>
      </c>
      <c r="AA33" s="3">
        <f>2716.8+(667.9-862.6)+(0+(0-0))+0-426.9-0</f>
        <v>2095.2000000000003</v>
      </c>
      <c r="AB33" s="3">
        <f>2767.4+(670-883)+(-1.411374+(-0.3417--0.45033))+0-436.9--0.222818999999956</f>
        <v>2116.420075</v>
      </c>
      <c r="AC33" s="3">
        <f>2872.4+(602-908.6)+(-7.32462+(-1.5351--2.31693))+0-385--0.981749999999944</f>
        <v>2175.2389600000001</v>
      </c>
      <c r="AD33">
        <v>1967.7</v>
      </c>
      <c r="AE33" s="3">
        <f>2758+(888.8-937.4)+(0+(0-0))+0-741.7-0</f>
        <v>1967.7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2687.9+(574.5-1079.4)+(-1.370829+(-0.292995--0.550494))+0-421.6--0.215015999999957</f>
        <v>1760.5016859999998</v>
      </c>
      <c r="G34" s="3">
        <f>2586.2+(656.7-938.7)+(-3.956886+(-1.004751--1.436211))+0-682.4--1.04407200000004</f>
        <v>1619.3186459999997</v>
      </c>
      <c r="H34" s="3">
        <f>2127.8+(665.8-708.3)+(-1.085178+(-0.339558--0.361233))+0-472.3--0.240872999999952</f>
        <v>1612.1773700000003</v>
      </c>
      <c r="I34" s="3">
        <f>1960.2+(811.7-544)+(-1.999404+(-0.827934--0.55488))+0-609.3--0.621486000000097</f>
        <v>1616.9490280000002</v>
      </c>
      <c r="J34" s="3">
        <f>1964.4+(680.2-518.5)+(-3.005532+(-1.040706--0.793305))+0-517.6--0.79192800000003</f>
        <v>1606.0389950000003</v>
      </c>
      <c r="K34" s="3">
        <f>1965.4+(822-381.2)+(-1.002354+(-0.41922--0.194412))+0-780.3--0.397952999999921</f>
        <v>1625.0707910000001</v>
      </c>
      <c r="L34" s="3">
        <f>1962.9+(620.6-246.3)+(-3.003237+(-0.949518--0.376839))+0-623.5--0.953955000000036</f>
        <v>1711.0780390000004</v>
      </c>
      <c r="M34" s="3">
        <f>2015.5+(613.9-258.8)+(3.083715+(0.939267-0.395964))+0-479.9-0.734247000000028</f>
        <v>1893.5927709999999</v>
      </c>
      <c r="N34" s="3">
        <f>2439.2+(754.4-595.3)+(1.243992+(0.384744-0.303603))+0-550.9-0.280958999999944</f>
        <v>2048.4441739999993</v>
      </c>
      <c r="O34" s="3">
        <f>2842.8+(899.9-889.2)+(0+(0-0))+0-637.6-0</f>
        <v>2215.9</v>
      </c>
      <c r="P34" s="3">
        <f>2849.8+(934.2-909.9)+(-1.453398+(-0.476442--0.464049))+0-588.1--0.29993099999994</f>
        <v>2284.8341400000004</v>
      </c>
      <c r="Q34" s="3">
        <f>2834.5+(1022.1-993.4)+(1.445595+(0.521271-0.506634))+0-574-0.292739999999942</f>
        <v>2290.3674919999999</v>
      </c>
      <c r="R34" s="3">
        <f>2829.3+(1146.3-1076.9)+(-1.442943+(-0.584613--0.549219))+0-521.1--0.265760999999947</f>
        <v>2376.387424</v>
      </c>
      <c r="S34" s="3">
        <f>2819.1+(1186.9-1267.3)+(0+(0-0))+0-516.1-0</f>
        <v>2222.6</v>
      </c>
      <c r="T34" s="3">
        <f>2804.9+(1256.2-1306.6)+(0+(0-0))+0-528.2-0</f>
        <v>2226.3000000000002</v>
      </c>
      <c r="U34" s="3">
        <f>2799.6+(1298.4-1204.4)+(-5.711184+(-2.648736--2.456976))+0-622--1.26887999999997</f>
        <v>2266.9659360000001</v>
      </c>
      <c r="V34" s="3">
        <f>2816.1+(1197.3-1144.6)+(-5.744844+(-2.442492--2.334984))+0-653.5--1.33313999999997</f>
        <v>2210.7807880000005</v>
      </c>
      <c r="W34" s="3">
        <f>2845.1+(1067.8-1140)+(-5.804004+(-2.178312--2.3256))+0-601.7--1.22746799999997</f>
        <v>2166.7707519999994</v>
      </c>
      <c r="X34" s="3">
        <f>2842.3+(920.5-1037.9)+(-4.348719+(-1.408365--1.587987))+0-601.2--0.919836000000035</f>
        <v>2120.4507389999999</v>
      </c>
      <c r="Y34" s="3">
        <f>2738.2+(995.4-1076.1)+(0+(0-0))+0-679.8-0</f>
        <v>1977.7</v>
      </c>
      <c r="Z34" s="3">
        <f>2933.3+(1173.1-1030.5)+(-7.479915+(-2.991405--2.627775))+0-553.2--1.41065999999992</f>
        <v>2516.2671150000001</v>
      </c>
      <c r="AA34" s="3">
        <f>3034.7+(951.4-1222.1)+(-7.738485+(-2.42607--3.116355))+0-711.6--1.8145799999999</f>
        <v>2047.1663799999999</v>
      </c>
      <c r="AB34" s="3">
        <f>3086.1+(955.3-1280.5)+(-3.147822+(-0.974406--1.30611))+0-637.7--0.650454000000102</f>
        <v>2121.0343359999993</v>
      </c>
      <c r="AC34" s="3">
        <f>3092.8+(983.6-1438.5)+(-3.154656+(-1.003272--1.46727))+0-643.6--0.656472000000103</f>
        <v>1992.2658140000003</v>
      </c>
      <c r="AD34">
        <v>2373.4</v>
      </c>
      <c r="AE34" s="3">
        <f>2958+(1189-1113)+(0+(0-0))+0-660.6-0</f>
        <v>2373.4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2935.9+(1079.1-1486.8)+(-2.994618+(-1.100682--1.516536))+0-608.9--0.621078000000097</f>
        <v>1917.342314</v>
      </c>
      <c r="G35" s="3">
        <f>2895.1+(1079-1423.5)+(-2.953002+(-1.10058--1.45197))+0-637--0.649740000000102</f>
        <v>1911.648128</v>
      </c>
      <c r="H35" s="3">
        <f>2828+(986.9-1393.6)+(-2.88456+(-1.006638--1.421472))+0-594.3--0.606186000000095</f>
        <v>1825.1364600000006</v>
      </c>
      <c r="I35" s="3">
        <f>2539.1+(949.4-1182.8)+(-3.884823+(-1.452582--1.809684))+0-539.2--0.824976000000031</f>
        <v>1763.797255</v>
      </c>
      <c r="J35" s="3">
        <f>2530.2+(984.4-1112.9)+(-6.45201+(-2.51022--2.837895))+0-632--1.61159999999991</f>
        <v>1765.1872649999998</v>
      </c>
      <c r="K35" s="3">
        <f>2542.6+(982.9-1112.8)+(-6.48363+(-2.506395--2.83764))+0-614--1.56569999999991</f>
        <v>1794.1133149999998</v>
      </c>
      <c r="L35" s="3">
        <f>2545.3+(849.7-963.8)+(-7.788618+(-2.600082--2.949228))+0-638.7--1.95442200000007</f>
        <v>1787.0149500000002</v>
      </c>
      <c r="M35" s="3">
        <f>2530.4+(705.7-786.6)+(0+(0-0))+0-493.3-0</f>
        <v>1956.2</v>
      </c>
      <c r="N35" s="3">
        <f>2750+(575.1-646.2)+(0+(0-0))+0-554-0</f>
        <v>2124.9</v>
      </c>
      <c r="O35" s="3">
        <f>2810.3+(645-578.8)+(0+(0-0))+0-605.7-0</f>
        <v>2270.8000000000002</v>
      </c>
      <c r="P35" s="3">
        <f>2783.7+(661.3-608.5)+(0+(0-0))+0-542.8-0</f>
        <v>2293.6999999999998</v>
      </c>
      <c r="Q35" s="3">
        <f>2848.6+(799.9-722)+(-4.358358+(-1.223847--1.10466))+0-535.4--0.819162000000031</f>
        <v>2387.441617</v>
      </c>
      <c r="R35" s="3">
        <f>2820.9+(812.8-937.9)+(-7.193295+(-2.07264--2.391645))+0-569.1--1.45120499999992</f>
        <v>2121.2769149999999</v>
      </c>
      <c r="S35" s="3">
        <f>2958.5+(697.7-926)+(1.508835+(0.355827-0.47226))+0-499.4-0.254693999999949</f>
        <v>2231.9377079999999</v>
      </c>
      <c r="T35" s="3">
        <f>2944.4+(754.9-875.4)+(-4.504932+(-1.154997--1.339362))+0-601.2--0.919836000000035</f>
        <v>2219.2992690000001</v>
      </c>
      <c r="U35" s="3">
        <f>2863.7+(867.6-997.1)+(-5.841948+(-1.769904--2.034084))+0-493.8--1.00735199999998</f>
        <v>2235.8295839999996</v>
      </c>
      <c r="V35" s="3">
        <f>2799.6+(736.3-1098.3)+(-7.13898+(-1.877565--2.800665))+0-556.6--1.41932999999992</f>
        <v>1876.2034499999997</v>
      </c>
      <c r="W35" s="3">
        <f>2631.1+(956.9-920.6)+(-5.367444+(-1.952076--1.878024))+0-457.3--0.93289199999998</f>
        <v>2205.5913959999993</v>
      </c>
      <c r="X35" s="3">
        <f>2665.3+(769.4-811.9)+(-5.437212+(-1.569576--1.656276))+0-365.7--0.746027999999984</f>
        <v>2252.4955160000004</v>
      </c>
      <c r="Y35" s="3">
        <f>2812.8+(642.4-910)+(-5.738112+(-1.310496--1.8564))+0-507.5--1.03529999999998</f>
        <v>2033.5430920000003</v>
      </c>
      <c r="Z35" s="3">
        <f>3039.8+(840-1062.8)+(-4.650894+(-1.2852--1.626084))+0-514.1--0.78657300000003</f>
        <v>2299.3765629999998</v>
      </c>
      <c r="AA35" s="3">
        <f>3048.8+(834.3-1153.9)+(-7.77444+(-2.127465--2.942445))+0-511.9--1.30534499999993</f>
        <v>2211.6458849999995</v>
      </c>
      <c r="AB35" s="3">
        <f>3062.1+(540.8-944.6)+(-10.931697+(-1.930656--3.372222))+0-607.3--2.16806100000001</f>
        <v>2043.6779299999998</v>
      </c>
      <c r="AC35" s="3">
        <f>3113.9+(455.7-1029.2)+(-3.176178+(-0.464814--1.049784))+0-647--0.659940000000103</f>
        <v>1891.4687320000003</v>
      </c>
      <c r="AD35">
        <v>2292.8999999999996</v>
      </c>
      <c r="AE35" s="3">
        <f>3036+(916-1108.4)+(0+(0-0))+0-550.7-0</f>
        <v>2292.8999999999996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3117+(565.8-1239.7)+(-1.58967+(-0.288558--0.632247))+0-584.2--0.297941999999941</f>
        <v>1857.9519609999998</v>
      </c>
      <c r="G36" s="3">
        <f>3012.9+(642.1-1209.4)+(-4.609737+(-0.982413--1.850382))+0-577.7--0.883881000000033</f>
        <v>1865.042113</v>
      </c>
      <c r="H36" s="3">
        <f>2569.7+(723.8-872.2)+(-5.242188+(-1.476552--1.779288))+0-639.6--1.30478399999997</f>
        <v>1778.0653319999997</v>
      </c>
      <c r="I36" s="3">
        <f>2434.8+(760.3-744.5)+(3.725244+(1.163259-1.139085))+0-701.2-1.07283600000004</f>
        <v>1752.0765820000001</v>
      </c>
      <c r="J36" s="3">
        <f>2400+(801-681.3)+(-2.448+(-0.81702--0.694926))+0-740.5--0.755310000000118</f>
        <v>1777.3852159999997</v>
      </c>
      <c r="K36" s="3">
        <f>2377.9+(746.5-567.5)+(-3.638187+(-1.142145--0.868275))+0-698.1--1.06809300000004</f>
        <v>1855.9560360000003</v>
      </c>
      <c r="L36" s="3">
        <f>2266.1+(690.7-487.3)+(-3.467133+(-1.056771--0.745569))+0-624.7--0.955791000000036</f>
        <v>1841.9774560000001</v>
      </c>
      <c r="M36" s="3">
        <f>2298+(562.3-327)+(-1.17198+(-0.286773--0.16677))+0-533.3--0.271982999999946</f>
        <v>1998.98</v>
      </c>
      <c r="N36" s="3">
        <f>2383.4+(505.4-215.9)+(-1.215534+(-0.257754--0.110109))+0-497.4--0.25367399999995</f>
        <v>2174.3904950000001</v>
      </c>
      <c r="O36" s="3">
        <f>2473.2+(579.3-215.9)+(-2.522664+(-0.590886--0.220218))+0-497.9--0.507858000000079</f>
        <v>2336.3145259999997</v>
      </c>
      <c r="P36" s="3">
        <f>2705.3+(583.7-496.9)+(-2.759406+(-0.595374--0.506838))+0-494--0.503880000000079</f>
        <v>2295.7559380000007</v>
      </c>
      <c r="Q36" s="3">
        <f>2854.9+(762.1-728.5)+(-4.367997+(-1.166013--1.114605))+0-521.1--0.79728300000003</f>
        <v>2363.7778779999999</v>
      </c>
      <c r="R36" s="3">
        <f>2829.7+(612.8-696.6)+(-7.215735+(-1.56264--1.77633))+0-445.7--1.13653499999994</f>
        <v>2294.3344899999997</v>
      </c>
      <c r="S36" s="3">
        <f>2758.8+(506.9-746)+(-2.813976+(-0.517038--0.76092))+0-456.5--0.465630000000073</f>
        <v>2061.0955360000003</v>
      </c>
      <c r="T36" s="3">
        <f>2937.8+(630.7-970.8)+(-2.996556+(-0.643314--0.990216))+0-433.5--0.442170000000069</f>
        <v>2161.9925160000007</v>
      </c>
      <c r="U36" s="3">
        <f>3114.7+(585.9-1082.4)+(-6.353988+(-1.195236--2.208096))+0-291.2--0.594047999999987</f>
        <v>2322.2529199999999</v>
      </c>
      <c r="V36" s="3">
        <f>3127.9+(690.7-1090.6)+(-4.785687+(-1.056771--1.668618))+0-453.6--0.694008000000026</f>
        <v>2270.9201680000001</v>
      </c>
      <c r="W36" s="3">
        <f>3133.4+(727.9-967.4)+(-3.196068+(-0.742458--0.986748))+0-559.2--0.570384000000089</f>
        <v>2332.3186060000003</v>
      </c>
      <c r="X36" s="3">
        <f>2891.4+(809.7-871.5)+(-5.898456+(-1.651788--1.77786))+0-611.8--1.24807199999997</f>
        <v>2213.2756880000002</v>
      </c>
      <c r="Y36" s="3">
        <f>2926+(867.8-1002)+(-2.98452+(-0.885156--1.02204))+0-616.7--0.629034000000098</f>
        <v>2172.881398</v>
      </c>
      <c r="Z36" s="3">
        <f>3233+(712.1-1060.9)+(-3.29766+(-0.726342--1.082118))+0-629.9--0.6424980000001</f>
        <v>2252.000614</v>
      </c>
      <c r="AA36" s="3">
        <f>3310.9+(538.5-1090.8)+(-8.442795+(-1.373175--2.78154))+0-521.3--1.32931499999992</f>
        <v>2231.5948850000004</v>
      </c>
      <c r="AB36" s="3">
        <f>3302.7+(415.7-1093.8)+(-5.053131+(-0.636021--1.673514))+0-473.7--0.724761000000027</f>
        <v>2147.6091230000002</v>
      </c>
      <c r="AC36" s="3">
        <f>3195.7+(399.1-1115.5)+(-1.629807+(-0.203541--0.568905))+0-382.5--0.195074999999961</f>
        <v>2095.7306319999998</v>
      </c>
      <c r="AD36">
        <v>2307.7999999999997</v>
      </c>
      <c r="AE36" s="3">
        <f>3280+(706.6-1089.9)+(0+(0-0))+0-588.9-0</f>
        <v>2307.7999999999997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3114.9+(359.4-902.2)+(-3.177198+(-0.366588--0.920244))+0-444--0.452880000000071</f>
        <v>2125.9293380000004</v>
      </c>
      <c r="G37" s="3">
        <f>3051.4+(502.6-871.6)+(-6.224856+(-1.025304--1.778064))+0-670.4--1.36761599999997</f>
        <v>2007.89552</v>
      </c>
      <c r="H37" s="3">
        <f>3046.5+(496.4-942.7)+(0+(0-0))+0-626.2-0</f>
        <v>1973.9999999999998</v>
      </c>
      <c r="I37" s="3">
        <f>2874.2+(559.9-853.8)+(-5.863368+(-1.142196--1.741752))+0-715.4--1.45941599999997</f>
        <v>1861.0956039999994</v>
      </c>
      <c r="J37" s="3">
        <f>2577.7+(670.7-977)+(1.314627+(0.342057-0.49827))+0-541.3-0.276062999999945</f>
        <v>1730.9823509999997</v>
      </c>
      <c r="K37" s="3">
        <f>2574.6+(690.2-804.8)+(0+(0-0))+0-677.8-0</f>
        <v>1782.2</v>
      </c>
      <c r="L37" s="3">
        <f>2368.7+(659.2-511.5)+(-3.624111+(-1.008576--0.782595))+0-738--1.12914000000004</f>
        <v>1775.6790479999995</v>
      </c>
      <c r="M37" s="3">
        <f>2291.9+(553.9-341)+(0+(0-0))+0-570.5-0</f>
        <v>1934.3000000000002</v>
      </c>
      <c r="N37" s="3">
        <f>2532.8+(493.7-322.6)+(-2.583456+(-0.503574--0.329052))+0-561.3--0.572526000000089</f>
        <v>2140.4145479999997</v>
      </c>
      <c r="O37" s="3">
        <f>2880.9+(389.1-423.2)+(2.938518+(0.396882-0.431664))+0-542.2-0.553044000000086</f>
        <v>2306.9506920000003</v>
      </c>
      <c r="P37" s="3">
        <f>2988+(563.1-501.7)+(-3.04776+(-0.574362--0.511734))+0-593.8--0.605676000000095</f>
        <v>2453.0952880000004</v>
      </c>
      <c r="Q37" s="3">
        <f>3033.2+(572.1-606.1)+(-1.546932+(-0.291771--0.309111))+0-534.5--0.272594999999946</f>
        <v>2463.4430029999999</v>
      </c>
      <c r="R37" s="3">
        <f>3086.1+(303.3-664.4)+(-1.573911+(-0.154683--0.338844))+0-348.4--0.177683999999965</f>
        <v>2375.3879339999999</v>
      </c>
      <c r="S37" s="3">
        <f>3001.1+(254.8-848.4)+(-1.530561+(-0.129948--0.432684))+0-327.9--0.167228999999967</f>
        <v>2078.5394040000001</v>
      </c>
      <c r="T37" s="3">
        <f>3157.4+(408.6-930.9)+(3.220548+(0.416772-0.949518))+0-338.2-0.344964000000054</f>
        <v>2299.2428380000006</v>
      </c>
      <c r="U37" s="3">
        <f>3189.5+(525-882.3)+(3.25329+(0.5355-0.899946))+0-467.3-0.476646000000075</f>
        <v>2367.3121979999996</v>
      </c>
      <c r="V37" s="3">
        <f>3196.3+(492.6-809.4)+(-6.520452+(-1.004904--1.651176))+0-504.6--1.02938399999998</f>
        <v>2370.0552040000002</v>
      </c>
      <c r="W37" s="3">
        <f>3048.2+(475.2-637.3)+(-4.663746+(-0.727056--0.975069))+0-621.3--0.950589000000036</f>
        <v>2261.3348560000004</v>
      </c>
      <c r="X37" s="3">
        <f>2929.2+(467-524.7)+(-7.46946+(-1.19085--1.337985))+0-609.2--1.55345999999991</f>
        <v>2256.5311350000002</v>
      </c>
      <c r="Y37" s="3">
        <f>2872.3+(538.1-497)+(-1.464873+(-0.274431--0.25347))+0-655.7--0.334406999999934</f>
        <v>2256.5485729999996</v>
      </c>
      <c r="Z37" s="3">
        <f>3077.6+(492-626.6)+(-1.569576+(-0.25092--0.319566))+0-574.7--0.293096999999942</f>
        <v>2367.0921669999998</v>
      </c>
      <c r="AA37" s="3">
        <f>3170.7+(425.8-678.3)+(-8.085285+(-1.08579--1.729665))+0-684.5--1.7454749999999</f>
        <v>2228.0040649999996</v>
      </c>
      <c r="AB37" s="3">
        <f>3158.7+(362.5-749.3)+(-3.221874+(-0.36975--0.764286))+0-576.2--0.587724000000092</f>
        <v>2193.4603859999997</v>
      </c>
      <c r="AC37" s="3">
        <f>3244.5+(564.7-792.2)+(-6.61878+(-1.151988--1.616088))+0-768.4--1.56753599999997</f>
        <v>2244.0128559999998</v>
      </c>
      <c r="AD37">
        <v>2155.5</v>
      </c>
      <c r="AE37" s="3">
        <f>3180+(494.7-792.5)+(0+(0-0))+0-726.7-0</f>
        <v>2155.5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3221.9+(457.2-1105.5)+(-3.286338+(-0.466344--1.12761))+0-674.7--0.688194000000108</f>
        <v>1896.9631220000006</v>
      </c>
      <c r="G38" s="3">
        <f>3211.9+(518.3-1083.5)+(-8.190345+(-1.321665--2.762925))+0-796.7--2.03158499999988</f>
        <v>1845.2824999999998</v>
      </c>
      <c r="H38" s="3">
        <f>2931+(647-1142.1)+(-4.48443+(-0.98991--1.747413))+0-653--0.999090000000038</f>
        <v>1780.172163</v>
      </c>
      <c r="I38" s="3">
        <f>2778+(663.3-1047.6)+(-2.83356+(-0.676566--1.068552))+0-668.7--0.682074000000107</f>
        <v>1723.2404999999999</v>
      </c>
      <c r="J38" s="3">
        <f>2757.2+(627.1-920.7)+(-1.406172+(-0.319821--0.469557))+0-735.9--0.375308999999925</f>
        <v>1726.8188729999997</v>
      </c>
      <c r="K38" s="3">
        <f>2671.7+(645.9-803.2)+(-2.725134+(-0.658818--0.819264))+0-762.7--0.777954000000122</f>
        <v>1749.9132659999998</v>
      </c>
      <c r="L38" s="3">
        <f>2460.9+(675.4-626)+(-6.275295+(-1.72227--1.5963))+0-754.8--1.92473999999989</f>
        <v>1751.0234750000002</v>
      </c>
      <c r="M38" s="3">
        <f>2386.8+(553-567.4)+(-1.217268+(-0.28203--0.289374))+0-479.9--0.244748999999951</f>
        <v>1891.5348250000002</v>
      </c>
      <c r="N38" s="3">
        <f>2398.4+(608.1-396.5)+(-3.669552+(-0.930393--0.606645))+0-529.9--0.810747000000031</f>
        <v>2076.9174469999998</v>
      </c>
      <c r="O38" s="3">
        <f>2576.9+(596.1-253)+(-1.314219+(-0.304011--0.12903))+0-664.8--0.339047999999933</f>
        <v>2254.0498479999997</v>
      </c>
      <c r="P38" s="3">
        <f>2779.6+(431.2-314.6)+(-1.417596+(-0.219912--0.160446))+0-550.8--0.280907999999944</f>
        <v>2344.2038459999994</v>
      </c>
      <c r="Q38" s="3">
        <f>2962.2+(461.4-515.9)+(-7.55361+(-1.17657--1.315545))+0-491.9--1.25434499999993</f>
        <v>2409.6397099999995</v>
      </c>
      <c r="R38" s="3">
        <f>2912.5+(448-742.2)+(-2.97075+(-0.45696--0.757044))+0-367.1--0.374442000000059</f>
        <v>2248.9037760000006</v>
      </c>
      <c r="S38" s="3">
        <f>2935.7+(611.1-994.2)+(-1.497207+(-0.311661--0.507042))+0-504.1--0.257090999999949</f>
        <v>2047.4552650000001</v>
      </c>
      <c r="T38" s="3">
        <f>2949.7+(781.9-967.6)+(-1.504347+(-0.398769--0.493476))+0-575.5--0.293504999999942</f>
        <v>2187.3838650000002</v>
      </c>
      <c r="U38" s="3">
        <f>2798.6+(782.8-780.1)+(-7.13643+(-1.99614--1.989255))+0-608.8--1.55243999999991</f>
        <v>2186.9091249999997</v>
      </c>
      <c r="V38" s="3">
        <f>2698.9+(763.4-755.9)+(-1.376439+(-0.389334--0.385509))+0-513.7--0.261986999999948</f>
        <v>2191.5817230000002</v>
      </c>
      <c r="W38" s="3">
        <f>2482.3+(829.1-610.2)+(-6.329865+(-2.114205--1.55601))+0-586.3--1.49506499999991</f>
        <v>2109.5070050000004</v>
      </c>
      <c r="X38" s="3">
        <f>2450.8+(806.1-546.1)+(-3.749724+(-1.233333--0.835533))+0-629.8--0.963594000000036</f>
        <v>2077.8160699999999</v>
      </c>
      <c r="Y38" s="3">
        <f>2686.6+(665.9-658.9)+(-5.480664+(-1.358436--1.344156))+0-627.6--1.28030399999997</f>
        <v>2061.7853599999999</v>
      </c>
      <c r="Z38" s="3">
        <f>3019.5+(813.4-917.8)+(-3.07989+(-0.829668--0.936156))+0-658.1--0.671262000000105</f>
        <v>2254.6978600000002</v>
      </c>
      <c r="AA38" s="3">
        <f>2832.4+(797.6-749.6)+(-5.778096+(-1.627104--1.529184))+0-696.5--1.42085999999997</f>
        <v>2179.4448440000001</v>
      </c>
      <c r="AB38" s="3">
        <f>2852+(553.6-749.2)+(-7.2726+(-1.41168--1.91046))+0-561.2--1.43105999999992</f>
        <v>2089.8572400000003</v>
      </c>
      <c r="AC38" s="3">
        <f>3076.9+(712.1-966.6)+(-4.707657+(-1.089513--1.478898))+0-755.4--1.15576200000004</f>
        <v>2063.8374899999999</v>
      </c>
      <c r="AD38">
        <v>2300.7000000000003</v>
      </c>
      <c r="AE38" s="3">
        <f>3045+(813.3-1001.6)+(0+(0-0))+0-556-0</f>
        <v>2300.6999999999998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3070.5+(795.9-1185.8)+(-6.26382+(-1.623636--2.419032))+0-729.8--1.48879199999997</f>
        <v>1946.8203679999997</v>
      </c>
      <c r="G39" s="3">
        <f>2973.8+(690.9-1229.8)+(-10.616466+(-2.466513--4.390386))+0-592.8--2.11629600000001</f>
        <v>1835.5237029999998</v>
      </c>
      <c r="H39" s="3">
        <f>2788.6+(765.8-1193)+(-11.377488+(-3.124464--4.86744))+0-572.5--2.33579999999995</f>
        <v>1781.6012879999996</v>
      </c>
      <c r="I39" s="3">
        <f>2824.7+(533.6-1054.4)+(1.440597+(0.272136-0.537744))+0-561.4-0.286313999999943</f>
        <v>1743.3886749999997</v>
      </c>
      <c r="J39" s="3">
        <f>2839.8+(498.2-855.8)+(-5.793192+(-1.016328--1.745832))+0-732.6--1.49450399999997</f>
        <v>1746.0308160000002</v>
      </c>
      <c r="K39" s="3">
        <f>2703.2+(439-727.4)+(-2.757264+(-0.44778--0.741948))+0-647.6--0.660552000000103</f>
        <v>1765.3974559999999</v>
      </c>
      <c r="L39" s="3">
        <f>2576.9+(429.5-560.3)+(-2.628438+(-0.43809--0.571506))+0-692.2--0.70604400000011</f>
        <v>1752.1110220000003</v>
      </c>
      <c r="M39" s="3">
        <f>2567.6+(363.9-479.1)+(-1.309476+(-0.185589--0.244341))+0-589.2--0.30049199999994</f>
        <v>1862.2497679999994</v>
      </c>
      <c r="N39" s="3">
        <f>2750.9+(588.9-603.5)+(-2.805918+(-0.600678--0.61557))+0-660.5--0.673710000000105</f>
        <v>2073.6826840000003</v>
      </c>
      <c r="O39" s="3">
        <f>2660.5+(730.7-530.8)+(-1.356855+(-0.372657--0.270708))+0-666.6--0.339965999999932</f>
        <v>2192.6811620000003</v>
      </c>
      <c r="P39" s="3">
        <f>2734.6+(760.3-607.7)+(-4.183938+(-1.163259--0.929781))+0-621.8--0.951354000000036</f>
        <v>2261.9339380000001</v>
      </c>
      <c r="Q39" s="3">
        <f>2887.6+(817.1-836.7)+(0+(0-0))+0-580.9-0</f>
        <v>2287.1</v>
      </c>
      <c r="R39" s="3">
        <f>3166.4+(697.9-1066)+(-9.689184+(-2.135574--3.26196))+0-517.7--1.58416200000006</f>
        <v>2273.6213640000005</v>
      </c>
      <c r="S39" s="3">
        <f>3050.5+(794.3-1118.9)+(1.555755+(0.405093-0.570639))+0-622.6-0.317525999999937</f>
        <v>2104.3726830000001</v>
      </c>
      <c r="T39" s="3">
        <f>3039.8+(855.8-1176.8)+(0+(0-0))+0-598.9-0</f>
        <v>2119.9</v>
      </c>
      <c r="U39" s="3">
        <f>2967+(899.9-1070.5)+(-4.53951+(-1.376847--1.637865))+0-661.6--1.01224800000004</f>
        <v>2131.5337560000003</v>
      </c>
      <c r="V39" s="3">
        <f>2826.9+(789.8-933.6)+(-4.325157+(-1.208394--1.428408))+0-564.8--0.864144000000033</f>
        <v>2115.0590009999996</v>
      </c>
      <c r="W39" s="3">
        <f>2790.7+(699.4-817)+(-4.269771+(-1.070082--1.25001))+0-591.3--0.904689000000034</f>
        <v>2078.6148459999995</v>
      </c>
      <c r="X39" s="3">
        <f>2796.7+(589.6-735)+(-8.557902+(-1.804176--2.2491))+0-624.4--1.91066400000007</f>
        <v>2020.6976859999995</v>
      </c>
      <c r="Y39" s="3">
        <f>2727.6+(500.1-661.1)+(-5.564304+(-1.020204--1.348644))+0-583.3--1.18993199999997</f>
        <v>1979.2540679999997</v>
      </c>
      <c r="Z39" s="3">
        <f>2821.6+(613.9-677.4)+(-5.756064+(-1.252356--1.381896))+0-576.1--1.17524399999997</f>
        <v>2177.5487200000002</v>
      </c>
      <c r="AA39" s="3">
        <f>2988.1+(441.1-749.7)+(-4.571793+(-0.674883--1.147041))+0-562.2--0.860166000000033</f>
        <v>2114.0605309999996</v>
      </c>
      <c r="AB39" s="3">
        <f>2999+(446-806)+(-6.11796+(-0.90984--1.64424))+0-603.5--1.23113999999997</f>
        <v>2031.3475799999997</v>
      </c>
      <c r="AC39" s="3">
        <f>2971+(369.8-759.7)+(-4.54563+(-0.565794--1.162341))+0-582.2--0.890766000000034</f>
        <v>1995.8416829999999</v>
      </c>
      <c r="AD39">
        <v>2459.5</v>
      </c>
      <c r="AE39" s="3">
        <f>2981+(781.9-583.6)+(0+(0-0))+0-719.8-0</f>
        <v>2459.5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3016.5+(414.1-829.8)+(-3.07683+(-0.422382--0.846396))+0-700.6--0.714612000000112</f>
        <v>1898.2617960000007</v>
      </c>
      <c r="G40" s="3">
        <f>2868.3+(515.5-954.3)+(-7.314165+(-1.314525--2.433465))+0-600.4--1.53101999999991</f>
        <v>1824.4357949999999</v>
      </c>
      <c r="H40" s="3">
        <f>2809.4+(678.5-1044.8)+(-4.298382+(-1.038105--1.598544))+0-681.8--1.04315400000004</f>
        <v>1758.6052110000003</v>
      </c>
      <c r="I40" s="3">
        <f>2740.8+(652.9-1020.4)+(-1.397808+(-0.332979--0.520404))+0-650.4--0.331703999999934</f>
        <v>1722.0213209999999</v>
      </c>
      <c r="J40" s="3">
        <f>2698.9+(664.6-959.9)+(-8.258634+(-2.033676--2.937294))+0-703.4--2.15240400000008</f>
        <v>1694.9973880000005</v>
      </c>
      <c r="K40" s="3">
        <f>2680.9+(633-911.3)+(-5.469036+(-1.29132--1.859052))+0-714.3--1.45717199999997</f>
        <v>1684.8558680000003</v>
      </c>
      <c r="L40" s="3">
        <f>2526.9+(535-808.9)+(-3.866157+(-0.81855--1.237617))+0-645.8--0.988074000000037</f>
        <v>1604.740984</v>
      </c>
      <c r="M40" s="3">
        <f>2512.6+(464.4-789.2)+(-1.281426+(-0.236844--0.402492))+0-572.1--0.291770999999942</f>
        <v>1614.8759929999999</v>
      </c>
      <c r="N40" s="3">
        <f>2566.9+(600.1-828.4)+(-2.618238+(-0.612102--0.844968))+0-610.3--0.622506000000097</f>
        <v>1726.5371340000004</v>
      </c>
      <c r="O40" s="3">
        <f>2550.6+(752.3-921.9)+(0+(0-0))+0-584.9-0</f>
        <v>1796.1</v>
      </c>
      <c r="P40" s="3">
        <f>2547.6+(843.2-836.6)+(-3.897828+(-1.290096--1.279998))+0-672.3--1.02861900000004</f>
        <v>1879.0206929999999</v>
      </c>
      <c r="Q40" s="3">
        <f>2413.6+(912.8-768.8)+(-3.692808+(-1.396584--1.176264))+0-651.1--0.996183000000038</f>
        <v>1903.5830549999998</v>
      </c>
      <c r="R40" s="3">
        <f>2402.1+(981.6-851.3)+(-2.450142+(-1.001232--0.868326))+0-649.7--0.662694000000104</f>
        <v>1880.7796460000002</v>
      </c>
      <c r="S40" s="3">
        <f>2465.9+(1011.3-976)+(-5.030436+(-2.063052--1.99104))+0-663--1.35251999999997</f>
        <v>1834.4500719999996</v>
      </c>
      <c r="T40" s="3">
        <f>2574+(1058.4-1205.3)+(-2.62548+(-1.079568--1.229406))+0-622.5--0.634950000000099</f>
        <v>1802.7593080000006</v>
      </c>
      <c r="U40" s="3">
        <f>2697.4+(1043.2-1316.2)+(-4.127022+(-1.596096--2.013786))+0-656.5--1.00444500000004</f>
        <v>1765.1951130000002</v>
      </c>
      <c r="V40" s="3">
        <f>2634.3+(925-1169.8)+(-2.686986+(-0.9435--1.193196))+0-592.9--0.604758000000095</f>
        <v>1794.7674680000002</v>
      </c>
      <c r="W40" s="3">
        <f>2562.4+(783.2-967)+(-6.53412+(-1.99716--2.46585))+0-566.3--1.44406499999992</f>
        <v>1807.6786350000002</v>
      </c>
      <c r="X40" s="3">
        <f>2506.5+(636.7-826.9)+(-5.11326+(-1.298868--1.686876))+0-540.3--1.10221199999998</f>
        <v>1772.3769600000001</v>
      </c>
      <c r="Y40" s="3">
        <f>2524.4+(749.2-899.8)+(-3.862332+(-1.146276--1.376694))+0-537.1--0.821763000000031</f>
        <v>1833.8898490000001</v>
      </c>
      <c r="Z40" s="3">
        <f>2852.1+(605.4-963.1)+(-5.818284+(-1.235016--1.964724))+0-473.9--0.966755999999979</f>
        <v>2016.3781799999995</v>
      </c>
      <c r="AA40" s="3">
        <f>2806.9+(692.9-946.5)+(-2.863038+(-0.706758--0.96543))+0-536.9--0.547638000000086</f>
        <v>2014.3432720000001</v>
      </c>
      <c r="AB40" s="3">
        <f>2841.9+(813.7-1070.1)+(-4.348107+(-1.244961--1.637253))+0-606.6--0.928098000000035</f>
        <v>1975.8722830000004</v>
      </c>
      <c r="AC40" s="3">
        <f>2766.5+(682.8-990.6)+(-1.410915+(-0.348228--0.505206))+0-527.3--0.268922999999947</f>
        <v>1930.4149859999998</v>
      </c>
      <c r="AD40">
        <v>2065.6000000000004</v>
      </c>
      <c r="AE40" s="3">
        <f>2920+(672.9-949.8)+(0+(0-0))+0-577.5-0</f>
        <v>2065.6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2699.7+(797.9-1065.9)+(-2.753694+(-0.813858--1.087218))+0-605.5--0.617610000000097</f>
        <v>1824.337276</v>
      </c>
      <c r="G41" s="3">
        <f>2701.2+(907.9-1183.7)+(-5.510448+(-1.852116--2.414748))+0-731.6--1.49246399999997</f>
        <v>1690.3446479999998</v>
      </c>
      <c r="H41" s="3">
        <f>2651.6+(918-1131.2)+(-4.056948+(-1.40454--1.730736))+0-727.6--1.11322800000004</f>
        <v>1708.1824759999997</v>
      </c>
      <c r="I41" s="3">
        <f>2667.3+(851.2-1097.9)+(-1.360323+(-0.434112--0.559929))+0-745.6--0.380255999999924</f>
        <v>1674.1457500000006</v>
      </c>
      <c r="J41" s="3">
        <f>2819.1+(825.5-1315.6)+(-10.064187+(-2.947035--4.696692))+0-646.8--2.30907600000001</f>
        <v>1676.1945459999999</v>
      </c>
      <c r="K41" s="3">
        <f>2630.4+(752.7-1045.7)+(-8.049024+(-2.303262--3.199842))+0-646.4--1.97798400000007</f>
        <v>1685.8255400000003</v>
      </c>
      <c r="L41" s="3">
        <f>2431.3+(757.7-657.3)+(-4.959852+(-1.545708--1.340892))+0-684.4--1.39617599999997</f>
        <v>1843.5315080000003</v>
      </c>
      <c r="M41" s="3">
        <f>2328.2+(682.2-511.1)+(-1.187382+(-0.347922--0.260661))+0-621.2--0.316811999999937</f>
        <v>1877.1421689999995</v>
      </c>
      <c r="N41" s="3">
        <f>2445.3+(813.4-514)+(-2.494206+(-0.829668--0.52428))+0-627.2--0.6397440000001</f>
        <v>2115.34015</v>
      </c>
      <c r="O41" s="3">
        <f>2530.2+(894.3-512.5)+(-3.871206+(-1.368279--0.784125))+0-637.3--0.975069000000037</f>
        <v>2271.219709</v>
      </c>
      <c r="P41" s="3">
        <f>2640.9+(935.2-712.3)+(-1.346859+(-0.476952--0.363273))+0-642.2--0.327521999999935</f>
        <v>2220.4669840000001</v>
      </c>
      <c r="Q41" s="3">
        <f>2758.7+(1173-952.8)+(0+(0-0))+0-703.9-0</f>
        <v>2274.9999999999995</v>
      </c>
      <c r="R41" s="3">
        <f>2849.3+(1249.9-1107.2)+(-1.453143+(-0.637449--0.564672))+0-684.3--0.348992999999931</f>
        <v>2306.5230729999998</v>
      </c>
      <c r="S41" s="3">
        <f>2839.5+(1236.5-1145.7)+(-1.448145+(-0.630615--0.584307))+0-804.3--0.410192999999918</f>
        <v>2124.9157400000004</v>
      </c>
      <c r="T41" s="3">
        <f>2828.7+(1345.4-1245.9)+(-4.327911+(-2.058462--1.906227))+0-695.2--1.06365600000004</f>
        <v>2229.5835100000004</v>
      </c>
      <c r="U41" s="3">
        <f>2831.7+(1384.8-1258.8)+(-4.332501+(-2.118744--1.925964))+0-709.1--1.08492300000004</f>
        <v>2245.1596419999996</v>
      </c>
      <c r="V41" s="3">
        <f>2826.2+(1317.8-1193.8)+(-2.882724+(-1.344156--1.217676))+0-691.9--0.70573800000011</f>
        <v>2255.9965339999999</v>
      </c>
      <c r="W41" s="3">
        <f>2850.7+(1029.4-1061.4)+(-4.361571+(-1.574982--1.623942))+0-596.3--0.912339000000034</f>
        <v>2218.9997280000002</v>
      </c>
      <c r="X41" s="3">
        <f>2695+(911.3-777.1)+(-5.4978+(-1.859052--1.585284))+0-633.2--1.29172799999997</f>
        <v>2191.52016</v>
      </c>
      <c r="Y41" s="3">
        <f>2596.4+(889.7-708.3)+(-1.324164+(-0.453747--0.361233))+0-578.7--0.295136999999941</f>
        <v>2197.9784589999999</v>
      </c>
      <c r="Z41" s="3">
        <f>2673.2+(915.4-663.3)+(-8.179992+(-2.801124--2.029698))+0-614.7--1.88098200000007</f>
        <v>2303.5295639999999</v>
      </c>
      <c r="AA41" s="3">
        <f>2480+(951.3-514)+(-5.0592+(-1.940652--1.04856))+0-702.4--1.43289599999997</f>
        <v>2210.3816039999997</v>
      </c>
      <c r="AB41" s="3">
        <f>2467+(1000.8-724.2)+(-6.29085+(-2.55204--1.84671))+0-614.7--1.56748499999991</f>
        <v>2123.4713049999996</v>
      </c>
      <c r="AC41" s="3">
        <f>2457.8+(1077.9-838.9)+(-5.013912+(-2.198916--1.711356))+0-608--1.24031999999997</f>
        <v>2084.5388480000001</v>
      </c>
      <c r="AD41">
        <v>2235.8000000000002</v>
      </c>
      <c r="AE41" s="3">
        <f>2452+(1182.8-481)+(0+(0-0))+0-918-0</f>
        <v>2235.8000000000002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2436.6+(935.9-801.6)+(-3.727998+(-1.431927--1.226448))+0-621.1--0.950283000000036</f>
        <v>1946.8168059999998</v>
      </c>
      <c r="G42" s="3">
        <f>2435.8+(920-849)+(-7.453548+(-2.8152--2.59794))+0-641.7--1.96360200000007</f>
        <v>1859.3927940000003</v>
      </c>
      <c r="H42" s="3">
        <f>2287.9+(845.4-793.2)+(-4.667316+(-1.724616--1.618128))+0-526.5--1.07405999999998</f>
        <v>1809.9002559999999</v>
      </c>
      <c r="I42" s="3">
        <f>2038.6+(1004.1-754.3)+(1.039686+(0.512091-0.384693))+0-491.2-0.25051199999995</f>
        <v>1798.1165720000004</v>
      </c>
      <c r="J42" s="3">
        <f>2032.2+(1021.2-649.5)+(1.036422+(0.520812-0.331245))+0-616.6-0.314465999999937</f>
        <v>1788.2115230000002</v>
      </c>
      <c r="K42" s="3">
        <f>2028+(950.5-495.4)+(0+(0-0))+0-694.4-0</f>
        <v>1788.6999999999998</v>
      </c>
      <c r="L42" s="3">
        <f>2005.8+(697.7-401.1)+(-5.11479+(-1.779135--1.022805))+0-556.3--1.41856499999992</f>
        <v>1741.6474450000003</v>
      </c>
      <c r="M42" s="3">
        <f>2078.6+(700.8-344.6)+(-3.180258+(-1.072224--0.527238))+0-552.1--0.844713000000032</f>
        <v>1879.8194689999996</v>
      </c>
      <c r="N42" s="3">
        <f>2270.2+(741.8-388.9)+(-4.631208+(-1.513272--0.793356))+0-479.7--0.978587999999979</f>
        <v>2139.0274640000002</v>
      </c>
      <c r="O42" s="3">
        <f>2503.1+(840.5-634.1)+(0+(0-0))+0-442.4-0</f>
        <v>2267.1</v>
      </c>
      <c r="P42" s="3">
        <f>2625.8+(927.7-741.2)+(-2.678316+(-0.946254--0.756024))+0-491.5--0.501330000000078</f>
        <v>2318.4327840000001</v>
      </c>
      <c r="Q42" s="3">
        <f>2616.7+(1017.4-843.2)+(-4.003551+(-1.556622--1.290096))+0-417.2--0.638316000000024</f>
        <v>2370.0682389999997</v>
      </c>
      <c r="R42" s="3">
        <f>2660.7+(1089.5-948.7)+(-8.141742+(-3.33387--2.903022))+0-438.9--1.34303400000005</f>
        <v>2355.3704439999997</v>
      </c>
      <c r="S42" s="3">
        <f>2658.2+(1091.3-1108)+(-5.422728+(-2.226252--2.26032))+0-484--0.987359999999979</f>
        <v>2153.0987</v>
      </c>
      <c r="T42" s="3">
        <f>2605.7+(1232.7-1241.9)+(-7.973442+(-3.772062--3.800214))+0-455.9--1.39505400000005</f>
        <v>2134.0497639999999</v>
      </c>
      <c r="U42" s="3">
        <f>2615.5+(1341.2-1222.1)+(-5.33562+(-2.736048--2.493084))+0-498.8--1.01755199999998</f>
        <v>2231.2389680000001</v>
      </c>
      <c r="V42" s="3">
        <f>2701.6+(1141.7-1120.3)+(-6.88908+(-2.911335--2.856765))+0-527.8--1.34588999999992</f>
        <v>2189.6022399999997</v>
      </c>
      <c r="W42" s="3">
        <f>2705.2+(920.4-929.9)+(-5.518608+(-1.877616--1.896996))+0-537.4--1.09629599999998</f>
        <v>2153.8970679999998</v>
      </c>
      <c r="X42" s="3">
        <f>2703.2+(736-855.8)+(-9.650424+(-2.62752--3.055206))+0-465.9--1.66326300000001</f>
        <v>2109.9405249999995</v>
      </c>
      <c r="Y42" s="3">
        <f>2553.2+(894.2-804.5)+(0+(0-0))+0-521-0</f>
        <v>2121.8999999999996</v>
      </c>
      <c r="Z42" s="3">
        <f>2889.5+(946.2-1126.2)+(-7.368225+(-2.41281--2.87181))+0-462.2--1.17860999999993</f>
        <v>2241.5693850000002</v>
      </c>
      <c r="AA42" s="3">
        <f>2972.7+(878-1243.5)+(-6.064308+(-1.79112--2.53674))+0-473.7--0.966347999999979</f>
        <v>2129.1476600000001</v>
      </c>
      <c r="AB42" s="3">
        <f>2764.9+(996.7-1198.2)+(-2.820198+(-1.016634--1.222164))+0-539.9--0.550698000000086</f>
        <v>2021.4360299999998</v>
      </c>
      <c r="AC42" s="3">
        <f>2701.9+(1165.5-1300.4)+(-2.755938+(-1.18881--1.326408))+0-546.4--0.557328000000087</f>
        <v>2018.538988</v>
      </c>
      <c r="AD42">
        <v>2187.9</v>
      </c>
      <c r="AE42" s="3">
        <f>2987+(820-1204.2)+(0+(0-0))+0-414.9-0</f>
        <v>2187.9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2528.1+(1184.6-1244.3)+(-7.735986+(-3.624876--3.807558))+0-541.9--1.65821400000006</f>
        <v>1920.6049099999996</v>
      </c>
      <c r="G43" s="3">
        <f>2489.4+(1039.4-1235.5)+(-5.078376+(-2.120376--2.52042))+0-437.8--0.893111999999981</f>
        <v>1851.7147800000002</v>
      </c>
      <c r="H43" s="3">
        <f>2396.8+(1212.1-1127.2)+(-2.444736+(-1.236342--1.149744))+0-631--0.643620000000101</f>
        <v>1848.8122860000001</v>
      </c>
      <c r="I43" s="3">
        <f>2293.5+(1193.7-953.8)+(-3.509055+(-1.826361--1.459314))+0-739.7--1.13174100000004</f>
        <v>1790.955639</v>
      </c>
      <c r="J43" s="3">
        <f>2077.8+(1000.3-680.9)+(-1.059678+(-0.510153--0.347259))+0-657.3--0.335222999999933</f>
        <v>1739.0126510000002</v>
      </c>
      <c r="K43" s="3">
        <f>2079.4+(979.7-574.5)+(-4.241976+(-1.998588--1.17198))+0-745.6--1.52102399999997</f>
        <v>1735.4524400000003</v>
      </c>
      <c r="L43" s="3">
        <f>2080.1+(843.4-448.4)+(-6.365106+(-2.580804--1.372104))+0-660.9--2.02235400000008</f>
        <v>1808.6485480000001</v>
      </c>
      <c r="M43" s="3">
        <f>2195.3+(713.2-325.8)+(-2.239206+(-0.727464--0.332316))+0-611.5--0.623730000000097</f>
        <v>1969.1893760000005</v>
      </c>
      <c r="N43" s="3">
        <f>2303.3+(860.4-371.8)+(-3.524049+(-1.316412--0.568854))+0-623--0.953190000000036</f>
        <v>2165.5815830000001</v>
      </c>
      <c r="O43" s="3">
        <f>2375.2+(888.6-414.5)+(-3.634056+(-1.359558--0.634185))+0-612.6--0.937278000000035</f>
        <v>2233.2778489999996</v>
      </c>
      <c r="P43" s="3">
        <f>2483.5+(999.9-446.1)+(-5.06634+(-2.039796--0.910044))+0-637.4--1.30029599999997</f>
        <v>2395.0042039999998</v>
      </c>
      <c r="Q43" s="3">
        <f>2537.5+(1071.5-549.5)+(-3.882375+(-1.639395--0.840735))+0-664.8--1.01714400000004</f>
        <v>2391.0361090000001</v>
      </c>
      <c r="R43" s="3">
        <f>2461.2+(1162.5-681.4)+(-6.27606+(-2.964375--1.73757))+0-622.6--1.58762999999991</f>
        <v>2313.7847649999999</v>
      </c>
      <c r="S43" s="3">
        <f>2414.9+(1117.4-868.5)+(-1.231599+(-0.569874--0.442935))+0-555.6--0.283355999999944</f>
        <v>2107.1248180000002</v>
      </c>
      <c r="T43" s="3">
        <f>2478.4+(1394.7-979.6)+(-3.791952+(-2.133891--1.498788))+0-608.3--0.930699000000035</f>
        <v>2281.7036439999997</v>
      </c>
      <c r="U43" s="3">
        <f>2463.4+(1372.6-958.6)+(-6.28167+(-3.50013--2.44443))+0-633.1--1.61440499999991</f>
        <v>2238.5770349999998</v>
      </c>
      <c r="V43" s="3">
        <f>2459.5+(1261.9-902.8)+(-6.271725+(-3.217845--2.30214))+0-570.2--1.45400999999992</f>
        <v>2242.6665800000005</v>
      </c>
      <c r="W43" s="3">
        <f>2473.8+(1202.8-752)+(-5.046552+(-2.453712--1.53408))+0-723.4--1.47573599999997</f>
        <v>2196.7095520000003</v>
      </c>
      <c r="X43" s="3">
        <f>2478.4+(924.4-588.2)+(-6.31992+(-2.35722--1.49991))+0-635.8--1.62128999999991</f>
        <v>2173.24406</v>
      </c>
      <c r="Y43" s="3">
        <f>2403.8+(821.1-516.7)+(1.225938+(0.418761-0.263517))+0-581.4-0.296513999999941</f>
        <v>2127.8846680000001</v>
      </c>
      <c r="Z43" s="3">
        <f>2672.2+(1011.8-731.2)+(-2.725644+(-1.032036--0.745824))+0-682.4--0.696048000000109</f>
        <v>2268.0841919999998</v>
      </c>
      <c r="AA43" s="3">
        <f>2718.3+(922.8-815.1)+(-8.317998+(-2.823768--2.494206))+0-605.3--1.85221800000007</f>
        <v>2213.9046580000004</v>
      </c>
      <c r="AB43" s="3">
        <f>2728.6+(835.7-925)+(-9.741102+(-2.983449--3.30225))+0-580.7--2.07309900000001</f>
        <v>2051.250798</v>
      </c>
      <c r="AC43" s="3">
        <f>2702.2+(928.3-1011.9)+(-4.134366+(-1.420299--1.548207))+0-594.1--0.908973000000034</f>
        <v>2021.4025150000002</v>
      </c>
      <c r="AD43">
        <v>2290.5</v>
      </c>
      <c r="AE43" s="3">
        <f>2695+(1024.8-741.4)+(0+(0-0))+0-687.9-0</f>
        <v>2290.5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2670.2+(937.6-927.2)+(0+(0-0))+0-548.6-0</f>
        <v>2132</v>
      </c>
      <c r="G44" s="3">
        <f>2663+(957.8-860.2)+(0+(0-0))+0-730.4-0</f>
        <v>2030.1999999999998</v>
      </c>
      <c r="H44" s="3">
        <f>2413.6+(982-773.6)+(0+(0-0))+0-693.6-0</f>
        <v>1928.4</v>
      </c>
      <c r="I44" s="3">
        <f>2371.3+(872.1-716.3)+(0+(0-0))+0-631.5-0</f>
        <v>1895.6000000000004</v>
      </c>
      <c r="J44" s="3">
        <f>2297.3+(848.4-715.4)+(-3.514869+(-1.298052--1.094562))+0-665.5--1.01821500000004</f>
        <v>1762.0998560000003</v>
      </c>
      <c r="K44" s="3">
        <f>2198.4+(774.9-540.1)+(-2.242368+(-0.790398--0.550902))+0-640.6--0.653412000000102</f>
        <v>1790.7715480000002</v>
      </c>
      <c r="L44" s="3">
        <f>2133.8+(721-397.8)+(2.176476+(0.73542-0.405756))+0-676.1-0.689622000000108</f>
        <v>1782.716518</v>
      </c>
      <c r="M44" s="3">
        <f>2196.5+(520.3-282.2)+(2.24043+(0.530706-0.287844))+0-509.2-0.519384000000081</f>
        <v>1927.3639079999996</v>
      </c>
      <c r="N44" s="3">
        <f>2317+(661.6-278.7)+(-1.18167+(-0.337416--0.142137))+0-545.8--0.278357999999945</f>
        <v>2153.001409</v>
      </c>
      <c r="O44" s="3">
        <f>2426+(683.1-324.6)+(0+(0-0))+0-496.7-0</f>
        <v>2287.8000000000002</v>
      </c>
      <c r="P44" s="3">
        <f>2442.3+(831.6-365.9)+(0+(0-0))+0-549.8-0</f>
        <v>2358.1999999999998</v>
      </c>
      <c r="Q44" s="3">
        <f>2555.7+(1029.7-582.7)+(-5.213628+(-2.100588--1.188708))+0-532.2--1.08568799999998</f>
        <v>2465.46018</v>
      </c>
      <c r="R44" s="3">
        <f>2547.5+(1125.9-747.6)+(-1.299225+(-0.574209--0.381276))+0-594.3--0.30309299999994</f>
        <v>2330.310935</v>
      </c>
      <c r="S44" s="3">
        <f>2558.3+(1182.6-1113.2)+(0+(0-0))+0-551.9-0</f>
        <v>2075.7999999999997</v>
      </c>
      <c r="T44" s="3">
        <f>2602.2+(1366.2-1083.3)+(-1.327122+(-0.696762--0.552483))+0-558.9--0.285038999999943</f>
        <v>2325.0136379999999</v>
      </c>
      <c r="U44" s="3">
        <f>2609.5+(1239.1-973.9)+(-9.315915+(-4.423587--3.476823))+0-560.9--2.00241300000001</f>
        <v>2305.539734</v>
      </c>
      <c r="V44" s="3">
        <f>2611.2+(1062.7-775.8)+(-7.990272+(-3.251862--2.373948))+0-528.9--1.61843400000006</f>
        <v>2361.9502479999996</v>
      </c>
      <c r="W44" s="3">
        <f>2644.6+(930.4-620.7)+(-9.441222+(-3.321528--2.215899))+0-538.5--1.92244500000001</f>
        <v>2407.1755939999998</v>
      </c>
      <c r="X44" s="3">
        <f>2442.8+(765.5-486.1)+(-6.22914+(-1.952025--1.239555))+0-427.5--1.09012499999994</f>
        <v>2288.8485150000001</v>
      </c>
      <c r="Y44" s="3">
        <f>2444.7+(808.9-674.9)+(-6.233985+(-2.062695--1.720995))+0-558--1.42289999999992</f>
        <v>2015.5472150000001</v>
      </c>
      <c r="Z44" s="3">
        <f>2739.3+(932.1-625.5)+(-5.588172+(-1.901484--1.27602))+0-609.5--1.24337999999997</f>
        <v>2431.429744</v>
      </c>
      <c r="AA44" s="3">
        <f>2846.9+(778.7-605.7)+(-5.807676+(-1.588548--1.235628))+0-624.8--1.27459199999997</f>
        <v>2390.2139959999995</v>
      </c>
      <c r="AB44" s="3">
        <f>2774.7+(623.4-618.3)+(1.415097+(0.317934-0.315333))+0-645.3-0.329102999999935</f>
        <v>2135.5885950000002</v>
      </c>
      <c r="AC44" s="3">
        <f>2660.1+(886.9-669.3)+(-2.713302+(-0.904638--0.682686))+0-795.1--0.811002000000127</f>
        <v>2080.4757479999998</v>
      </c>
      <c r="AD44">
        <v>2352.6999999999998</v>
      </c>
      <c r="AE44" s="3">
        <f>2842+(933-774.1)+(0+(0-0))+0-648.2-0</f>
        <v>2352.6999999999998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2470+(888.7-784.9)+(0+(0-0))+0-668.7-0</f>
        <v>1905.1000000000001</v>
      </c>
      <c r="G45" s="3">
        <f>2406+(786.3-752)+(-2.45412+(-0.802026--0.76704))+0-612.6--0.624852000000098</f>
        <v>1825.8357460000004</v>
      </c>
      <c r="H45" s="3">
        <f>2281.7+(868.8-562.5)+(0+(0-0))+0-784.5-0</f>
        <v>1803.5</v>
      </c>
      <c r="I45" s="3">
        <f>2166.8+(777.3-565.3)+(-3.315204+(-1.189269--0.864909))+0-603.5--0.923355000000035</f>
        <v>1772.5837910000002</v>
      </c>
      <c r="J45" s="3">
        <f>2168.2+(907.4-555.9)+(2.211564+(0.925548-0.567018))+0-738.3-0.753066000000118</f>
        <v>1783.2170279999998</v>
      </c>
      <c r="K45" s="3">
        <f>2169.5+(912-484.7)+(-4.42578+(-1.86048--0.988788))+0-763.1--1.55672399999997</f>
        <v>1829.9592520000001</v>
      </c>
      <c r="L45" s="3">
        <f>2170+(835.6-446.5)+(-1.1067+(-0.426156--0.227715))+0-695.9--0.354908999999929</f>
        <v>1862.2497679999999</v>
      </c>
      <c r="M45" s="3">
        <f>2167.7+(704.6-270.2)+(-1.105527+(-0.359346--0.137802))+0-548.6--0.279785999999944</f>
        <v>2052.4527149999999</v>
      </c>
      <c r="N45" s="3">
        <f>2355.6+(676.2-272)+(-1.201356+(-0.344862--0.13872))+0-582.7--0.297176999999941</f>
        <v>2175.9896789999998</v>
      </c>
      <c r="O45" s="3">
        <f>2333.8+(727-246.1)+(-2.380476+(-0.74154--0.251022))+0-522.7--0.533154000000083</f>
        <v>2289.6621600000003</v>
      </c>
      <c r="P45" s="3">
        <f>2427.1+(751.3-285.5)+(-3.713463+(-1.149489--0.436815))+0-514.7--0.78749100000003</f>
        <v>2374.5613539999995</v>
      </c>
      <c r="Q45" s="3">
        <f>2423.1+(848.4-311.9)+(0+(0-0))+0-537.8-0</f>
        <v>2421.8000000000002</v>
      </c>
      <c r="R45" s="3">
        <f>2528.2+(719.5-527.6)+(-6.44691+(-1.834725--1.34538))+0-383--0.976649999999944</f>
        <v>2331.1403949999999</v>
      </c>
      <c r="S45" s="3">
        <f>2524.1+(873.7-709.9)+(0+(0-0))+0-538.8-0</f>
        <v>2149.1000000000004</v>
      </c>
      <c r="T45" s="3">
        <f>2647.7+(1062.5-972.7)+(-5.401308+(-2.1675--1.984308))+0-488.9--0.997355999999979</f>
        <v>2244.0128559999998</v>
      </c>
      <c r="U45" s="3">
        <f>2602.5+(1129-1015.4)+(-6.636375+(-2.87895--2.58927))+0-404.7--1.03198499999994</f>
        <v>2305.5059300000003</v>
      </c>
      <c r="V45" s="3">
        <f>2485.4+(1220.3-901.1)+(-3.802662+(-1.867059--1.378683))+0-540.4--0.826812000000031</f>
        <v>2260.7357740000002</v>
      </c>
      <c r="W45" s="3">
        <f>2417.7+(950.3-695.5)+(-3.699081+(-1.453959--1.064115))+0-487.3--0.745569000000028</f>
        <v>2181.856644</v>
      </c>
      <c r="X45" s="3">
        <f>2410.5+(846.8-458.9)+(-6.146775+(-2.15934--1.170195))+0-548.1--1.39765499999992</f>
        <v>2244.5617349999998</v>
      </c>
      <c r="Y45" s="3">
        <f>2445.2+(767.2-453.6)+(-3.741156+(-1.173816--0.694008))+0-560.9--0.858177000000032</f>
        <v>2194.5372129999996</v>
      </c>
      <c r="Z45" s="3">
        <f>2646.3+(787.9-438.9)+(-1.349613+(-0.401829--0.223839))+0-468.1--0.238730999999953</f>
        <v>2525.9111280000002</v>
      </c>
      <c r="AA45" s="3">
        <f>2716.4+(723.3-450.8)+(-5.541456+(-1.475532--0.919632))+0-686.7--1.40086799999997</f>
        <v>2297.5035119999998</v>
      </c>
      <c r="AB45" s="3">
        <f>2822.7+(596.2-689.3)+(-7.197885+(-1.52031--1.757715))+0-497.8--1.26938999999993</f>
        <v>2226.1089099999995</v>
      </c>
      <c r="AC45" s="3">
        <f>2848.2+(850.1-776.4)+(-4.357746+(-1.300653--1.187892))+0-643.8--0.985014000000037</f>
        <v>2274.6145069999993</v>
      </c>
      <c r="AD45">
        <v>2244</v>
      </c>
      <c r="AE45" s="3">
        <f>2718+(674.7-526.5)+(0+(0-0))+0-622.2-0</f>
        <v>2244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2587+(1023.1-826.3)+(-5.27748+(-2.087124--1.685652))+0-651.2--1.32844799999997</f>
        <v>2128.2494959999999</v>
      </c>
      <c r="G46" s="3">
        <f>2572.4+(1098.2-982.8)+(-1.311924+(-0.560082--0.501228))+0-661.8--0.337517999999933</f>
        <v>2024.9667400000003</v>
      </c>
      <c r="H46" s="3">
        <f>2354.5+(1110.6-922.9)+(-1.200795+(-0.566406--0.470679))+0-671.7--0.342566999999932</f>
        <v>1869.5460449999996</v>
      </c>
      <c r="I46" s="3">
        <f>2273.6+(1020-684.4)+(-1.159536+(-0.5202--0.349044))+0-768.6--0.391985999999922</f>
        <v>1839.6612939999998</v>
      </c>
      <c r="J46" s="3">
        <f>2200.3+(1080-681.3)+(-4.488612+(-2.2032--1.389852))+0-706.5--1.44125999999997</f>
        <v>1888.6393000000003</v>
      </c>
      <c r="K46" s="3">
        <f>2206.3+(933.6-627.1)+(-9.001704+(-3.809088--2.558568))+0-619.9--2.52919199999995</f>
        <v>1885.1769680000002</v>
      </c>
      <c r="L46" s="3">
        <f>2206.1+(893.6-499.9)+(-3.375333+(-1.367208--0.764847))+0-698.2--1.06824600000004</f>
        <v>1898.690552</v>
      </c>
      <c r="M46" s="3">
        <f>2233.5+(778.8-347.3)+(0+(0-0))+0-639.4-0</f>
        <v>2025.6</v>
      </c>
      <c r="N46" s="3">
        <f>2271.8+(895.6-335)+(0+(0-0))+0-556.5-0</f>
        <v>2275.9</v>
      </c>
      <c r="O46" s="3">
        <f>2295.8+(997.6-398.6)+(1.170858+(0.508776-0.203286))+0-684.3-0.348992999999931</f>
        <v>2211.6273550000001</v>
      </c>
      <c r="P46" s="3">
        <f>2356.8+(1046.7-560)+(-3.605904+(-1.601451--0.8568))+0-551.9--0.844407000000032</f>
        <v>2288.093852</v>
      </c>
      <c r="Q46" s="3">
        <f>2534.1+(1112.5-600.6)+(-3.877173+(-1.702125--0.918918))+0-686.4--1.05019200000004</f>
        <v>2355.9898120000003</v>
      </c>
      <c r="R46" s="3">
        <f>2652.3+(1105.4-660.5)+(-4.058019+(-1.691262--1.010565))+0-656--1.00368000000004</f>
        <v>2437.4649640000007</v>
      </c>
      <c r="S46" s="3">
        <f>2531.6+(1142.2-879.9)+(-2.582232+(-1.165044--0.897498))+0-572.2--0.583644000000091</f>
        <v>2219.4338660000003</v>
      </c>
      <c r="T46" s="3">
        <f>2627.4+(1310-1057.1)+(1.339974+(0.6681-0.539121))+0-613-0.312629999999938</f>
        <v>2268.4563230000003</v>
      </c>
      <c r="U46" s="3">
        <f>2826.5+(1355.4-1139.4)+(-4.324545+(-2.073762--1.743282))+0-618.1--0.945693000000036</f>
        <v>2420.6906680000002</v>
      </c>
      <c r="V46" s="3">
        <f>2668.2+(1244.2-1007.7)+(-5.443128+(-2.538168--2.055708))+0-542.7--1.10710799999998</f>
        <v>2357.1815200000001</v>
      </c>
      <c r="W46" s="3">
        <f>2659.9+(1225.2-868.5)+(-4.069647+(-1.874556--1.328805))+0-727.3--1.11276900000004</f>
        <v>2285.7973710000001</v>
      </c>
      <c r="X46" s="3">
        <f>2603.1+(918.6-752.2)+(-5.310324+(-1.873944--1.534488))+0-463.9--0.94635599999998</f>
        <v>2300.8965759999996</v>
      </c>
      <c r="Y46" s="3">
        <f>2691.9+(948.5-799.8)+(-1.372869+(-0.483735--0.407898))+0-580.8--0.296207999999941</f>
        <v>2258.6475019999998</v>
      </c>
      <c r="Z46" s="3">
        <f>2838.8+(996.8-906.3)+(-7.23894+(-2.54184--2.311065))+0-554.5--1.41397499999992</f>
        <v>2368.7442599999999</v>
      </c>
      <c r="AA46" s="3">
        <f>2833.4+(1015-968)+(-4.335102+(-1.55295--1.48104))+0-584.5--0.894285000000034</f>
        <v>2292.3872729999998</v>
      </c>
      <c r="AB46" s="3">
        <f>2635.5+(1119.4-915.8)+(-4.032315+(-1.712682--1.401174))+0-663.4--1.01500200000004</f>
        <v>2172.3711790000002</v>
      </c>
      <c r="AC46" s="3">
        <f>2656.5+(1175.9-1038.3)+(-2.70963+(-1.199418--1.059066))+0-614.3--0.626586000000098</f>
        <v>2177.5766040000008</v>
      </c>
      <c r="AD46">
        <v>2054.4</v>
      </c>
      <c r="AE46" s="3">
        <f>2925+(1011-1246.1)+(0+(0-0))+0-635.5-0</f>
        <v>2054.4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2579.3+(1355.5-1082.8)+(-3.946329+(-2.073915--1.656684))+0-787.9--1.20548700000005</f>
        <v>2060.9419270000003</v>
      </c>
      <c r="G47" s="3">
        <f>2314.1+(1297.1-977.4)+(-3.540573+(-1.984563--1.495422))+0-669.9--1.02494700000004</f>
        <v>1960.895233</v>
      </c>
      <c r="H47" s="3">
        <f>2095.1+(1349.9-948.4)+(0+(0-0))+0-695.9-0</f>
        <v>1800.6999999999998</v>
      </c>
      <c r="I47" s="3">
        <f>2104+(1343.6-886.9)+(-5.3652+(-3.42618--2.261595))+0-773.2--1.97165999999989</f>
        <v>1782.9418749999995</v>
      </c>
      <c r="J47" s="3">
        <f>2114.2+(1257-809.8)+(2.156484+(1.28214-0.825996))+0-708.3-0.722466000000113</f>
        <v>1854.9901619999994</v>
      </c>
      <c r="K47" s="3">
        <f>2126.3+(1198.2-775.5)+(-4.337652+(-2.444328--1.58202))+0-738.1--1.50572399999997</f>
        <v>1807.205764</v>
      </c>
      <c r="L47" s="3">
        <f>2037.7+(994-558.9)+(1.039227+(0.50694-0.285039))+0-647.8-0.330377999999934</f>
        <v>1825.9307500000004</v>
      </c>
      <c r="M47" s="3">
        <f>1971.1+(911.8-585.5)+(0+(0-0))+0-532.7-0</f>
        <v>1764.6999999999996</v>
      </c>
      <c r="N47" s="3">
        <f>2147.2+(775.4-557)+(-1.095072+(-0.395454--0.28407))+0-528.7--0.269636999999946</f>
        <v>1835.9631809999998</v>
      </c>
      <c r="O47" s="3">
        <f>2268.2+(741.5-581.8)+(0+(0-0))+0-399-0</f>
        <v>2028.8999999999996</v>
      </c>
      <c r="P47" s="3">
        <f>2306.3+(861.4-595.3)+(-1.176213+(-0.439314--0.303603))+0-545.4--0.278153999999945</f>
        <v>2025.9662299999998</v>
      </c>
      <c r="Q47" s="3">
        <f>2317.3+(1056.5-721.9)+(1.181823+(0.538815-0.368169))+0-587.2-0.29947199999994</f>
        <v>2065.7529970000001</v>
      </c>
      <c r="R47" s="3">
        <f>2439.3+(1104.8-894.7)+(-2.488086+(-1.126896--0.912594))+0-498.2--0.508164000000079</f>
        <v>2149.005776</v>
      </c>
      <c r="S47" s="3">
        <f>2448.7+(1195.5-1082.5)+(-2.497674+(-1.21941--1.10415))+0-541.8--0.552636000000086</f>
        <v>2017.8397019999998</v>
      </c>
      <c r="T47" s="3">
        <f>2330.9+(1289.9-1197.2)+(-3.566277+(-1.973547--1.831716))+0-566.9--0.867357000000033</f>
        <v>1853.8592490000005</v>
      </c>
      <c r="U47" s="3">
        <f>2315.3+(1283-1218.8)+(-4.723212+(-2.61732--2.486352))+0-542.9--1.10751599999998</f>
        <v>1832.8533360000001</v>
      </c>
      <c r="V47" s="3">
        <f>2330.7+(1232.6-1129)+(-5.943285+(-3.14313--2.87895))+0-502--1.28009999999993</f>
        <v>1927.3726349999997</v>
      </c>
      <c r="W47" s="3">
        <f>2357.6+(1116.3-1063.7)+(-4.809504+(-2.277252--2.169948))+0-515--1.05059999999998</f>
        <v>1891.3337919999999</v>
      </c>
      <c r="X47" s="3">
        <f>2318.9+(1099.9-873.4)+(-5.913195+(-2.804745--2.22717))+0-578.4--1.47491999999992</f>
        <v>1961.98415</v>
      </c>
      <c r="Y47" s="3">
        <f>2427.4+(1009-838.8)+(-4.951896+(-2.05836--1.711152))+0-596.5--1.21685999999997</f>
        <v>1997.0177560000002</v>
      </c>
      <c r="Z47" s="3">
        <f>2702.3+(1109.4-972.6)+(-6.890865+(-2.82897--2.48013))+0-642.8--1.63913999999991</f>
        <v>2190.699435</v>
      </c>
      <c r="AA47" s="3">
        <f>2727.4+(1169.5-1054.7)+(-6.95487+(-2.982225--2.689485))+0-609--1.55294999999991</f>
        <v>2227.5053399999997</v>
      </c>
      <c r="AB47" s="3">
        <f>2740+(1213.4-1107.7)+(-2.7948+(-1.237668--1.129854))+0-672.7--0.686154000000107</f>
        <v>2170.7835399999994</v>
      </c>
      <c r="AC47" s="3">
        <f>2602+(1379.3-1141.4)+(-3.98106+(-2.110329--1.746342))+0-746.9--1.14275700000004</f>
        <v>2089.7977099999998</v>
      </c>
      <c r="AD47">
        <v>2037</v>
      </c>
      <c r="AE47" s="3">
        <f>2729+(1147.3-1288.9)+(0+(0-0))+0-550.4-0</f>
        <v>2036.9999999999995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2181.8+(1387.1-1097.8)+(-4.450872+(-2.829684--2.239512))+0-688.3--1.40413199999997</f>
        <v>1779.1630880000002</v>
      </c>
      <c r="G48" s="3">
        <f>2094+(1410.6-1062.4)+(-5.3397+(-3.59703--2.70912))+0-699.5--1.7837249999999</f>
        <v>1738.2561149999999</v>
      </c>
      <c r="H48" s="3">
        <f>2040.4+(1434-931)+(-4.162416+(-2.92536--1.89924))+0-729.6--1.48838399999997</f>
        <v>1810.0998480000001</v>
      </c>
      <c r="I48" s="3">
        <f>2042.4+(1298.9-863.9)+(-3.124872+(-1.987317--1.321767))+0-722.7--1.10573100000004</f>
        <v>1752.0153090000001</v>
      </c>
      <c r="J48" s="3">
        <f>2047.5+(1197.5-871.1)+(-4.1769+(-2.4429--1.777044))+0-677.3--1.38169199999997</f>
        <v>1693.1389360000001</v>
      </c>
      <c r="K48" s="3">
        <f>2048.3+(1125.6-828.9)+(-3.133899+(-1.722168--1.268217))+0-648.5--0.992205000000038</f>
        <v>1693.9043550000001</v>
      </c>
      <c r="L48" s="3">
        <f>1936+(1108.5-638.5)+(-4.9368+(-2.826675--1.628175))+0-734.2--1.87220999999989</f>
        <v>1667.53691</v>
      </c>
      <c r="M48" s="3">
        <f>1905.1+(961.4-606.5)+(1.943202+(0.980628-0.61863))+0-538.2-0.548964000000086</f>
        <v>1723.5562359999997</v>
      </c>
      <c r="N48" s="3">
        <f>1904.1+(941.1-575.8)+(-0.971091+(-0.479961--0.293658))+0-459.3--0.234242999999953</f>
        <v>1809.1768490000002</v>
      </c>
      <c r="O48" s="3">
        <f>2080.1+(1287.7-753.9)+(-2.121702+(-1.313454--0.768978))+0-721--0.735420000000115</f>
        <v>1890.9692420000003</v>
      </c>
      <c r="P48" s="3">
        <f>2367.2+(1322.5-967.3)+(-4.829088+(-2.6979--1.973292))+0-703.2--1.43452799999997</f>
        <v>2015.0808319999996</v>
      </c>
      <c r="Q48" s="3">
        <f>2431.8+(1398.9-1104.3)+(-3.720654+(-2.140317--1.689579))+0-695--1.06335000000004</f>
        <v>2028.2919580000005</v>
      </c>
      <c r="R48" s="3">
        <f>2476.8+(1400.3-1287.2)+(-5.052672+(-2.856612--2.625888))+0-620--1.26479999999997</f>
        <v>1965.8814040000002</v>
      </c>
      <c r="S48" s="3">
        <f>2379.8+(1398.8-1368.9)+(-6.06849+(-3.56694--3.490695))+0-552.3--1.40836499999992</f>
        <v>1852.66363</v>
      </c>
      <c r="T48" s="3">
        <f>2387.1+(1383.9-1472.2)+(-2.434842+(-1.411578--1.501644))+0-398.6--0.406572000000064</f>
        <v>1898.2617960000005</v>
      </c>
      <c r="U48" s="3">
        <f>2496.8+(1486.7-1482.8)+(-5.093472+(-3.032868--3.024912))+0-606.4--1.23705599999997</f>
        <v>1890.4356280000002</v>
      </c>
      <c r="V48" s="3">
        <f>2305.4+(1308.5-1141.3)+(0+(0-0))+0-530.7-0</f>
        <v>1941.9000000000003</v>
      </c>
      <c r="W48" s="3">
        <f>2360.5+(1062.3-1006.1)+(-3.611565+(-1.625319--1.539333))+0-492.6--0.753678000000028</f>
        <v>1921.1561269999997</v>
      </c>
      <c r="X48" s="3">
        <f>2372+(986.9-803.9)+(-4.83888+(-2.013276--1.639956))+0-605.4--1.23501599999997</f>
        <v>1945.6228159999998</v>
      </c>
      <c r="Y48" s="3">
        <f>2350.3+(869.9-775.2)+(-4.794612+(-1.774596--1.581408))+0-571.8--1.16647199999997</f>
        <v>1869.3786720000001</v>
      </c>
      <c r="Z48" s="3">
        <f>2500.1+(1000.6-955.8)+(-3.825153+(-1.530918--1.462374))+0-579.1--0.886023000000034</f>
        <v>1962.7923260000002</v>
      </c>
      <c r="AA48" s="3">
        <f>2473.7+(895.4-1057)+(-5.046348+(-1.826616--2.15628))+0-330.7--0.674627999999986</f>
        <v>1977.3579439999999</v>
      </c>
      <c r="AB48" s="3">
        <f>2403.1+(1056-1037.6)+(-2.451162+(-1.07712--1.058352))+0-546.8--0.557736000000087</f>
        <v>1872.7878059999998</v>
      </c>
      <c r="AC48" s="3">
        <f>2472.6+(1194.7-1173.8)+(-5.044104+(-2.437188--2.394552))+0-607.9--1.24011599999997</f>
        <v>1881.7533759999997</v>
      </c>
      <c r="AD48">
        <v>1983.1000000000004</v>
      </c>
      <c r="AE48" s="3">
        <f>2501+(1112.9-959.3)+(0+(0-0))+0-671.5-0</f>
        <v>1983.1000000000004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2362.8+(1308.5-1220.2)+(0+(0-0))+0-686.2-0</f>
        <v>1764.9000000000003</v>
      </c>
      <c r="G49" s="3">
        <f>2192.6+(1202.1-1085.4)+(-1.118226+(-0.613071--0.553554))+0-579.4--0.295493999999941</f>
        <v>1729.0177509999994</v>
      </c>
      <c r="H49" s="3">
        <f>1969.3+(1231.3-900.9)+(-7.030401+(-4.395741--3.216213))+0-669.5--2.39011500000001</f>
        <v>1624.3801859999996</v>
      </c>
      <c r="I49" s="3">
        <f>1956.5+(1141.6-731.9)+(-2.993445+(-1.746648--1.119807))+0-649.5--0.993735000000038</f>
        <v>1714.073449</v>
      </c>
      <c r="J49" s="3">
        <f>1874.5+(1033.6-507.9)+(0+(0-0))+0-635-0</f>
        <v>1765.1999999999998</v>
      </c>
      <c r="K49" s="3">
        <f>1880+(1040.7-448)+(-0.9588+(-0.530757--0.22848))+0-737--0.375869999999925</f>
        <v>1734.8147929999996</v>
      </c>
      <c r="L49" s="3">
        <f>1879.8+(953.3-392.8)+(-0.958698+(-0.486183--0.200328))+0-674.3--0.343892999999932</f>
        <v>1765.0993400000002</v>
      </c>
      <c r="M49" s="3">
        <f>2017.5+(913.8-467.9)+(1.028925+(0.466038-0.238629))+0-557.8-0.284477999999943</f>
        <v>1906.5718560000003</v>
      </c>
      <c r="N49" s="3">
        <f>2200.5+(1052.4-669.5)+(2.24451+(1.073448-0.68289))+0-491.8-0.501636000000078</f>
        <v>2093.733432</v>
      </c>
      <c r="O49" s="3">
        <f>2197.1+(1185.4-625.4)+(0+(0-0))+0-496.3-0</f>
        <v>2260.7999999999997</v>
      </c>
      <c r="P49" s="3">
        <f>2183.3+(1337.4-643.8)+(0+(0-0))+0-555.5-0</f>
        <v>2321.4000000000005</v>
      </c>
      <c r="Q49" s="3">
        <f>2169.1+(1449.5-723.4)+(1.106241+(0.739245-0.368934))+0-497-0.25346999999995</f>
        <v>2399.4230819999998</v>
      </c>
      <c r="R49" s="3">
        <f>2160.2+(1511.4-821.5)+(2.203404+(1.541628-0.83793))+0-487.5-0.497250000000078</f>
        <v>2365.0098520000001</v>
      </c>
      <c r="S49" s="3">
        <f>2162.9+(1487.7-944.3)+(-1.103079+(-0.758727--0.481593))+0-528.6--0.269585999999946</f>
        <v>2176.5893730000003</v>
      </c>
      <c r="T49" s="3">
        <f>2188.8+(1508.3-991)+(0+(0-0))+0-432.7-0</f>
        <v>2273.4000000000005</v>
      </c>
      <c r="U49" s="3">
        <f>2226.5+(1655.7-952.3)+(0+(0-0))+0-653-0</f>
        <v>2276.9</v>
      </c>
      <c r="V49" s="3">
        <f>2240.3+(1486.4-914.4)+(-4.570212+(-3.032256--1.865376))+0-527.2--1.07548799999998</f>
        <v>2280.438396</v>
      </c>
      <c r="W49" s="3">
        <f>2233.2+(1410.8-741.3)+(-4.555728+(-2.878032--1.512252))+0-655.9--1.33803599999997</f>
        <v>2242.2165279999999</v>
      </c>
      <c r="X49" s="3">
        <f>2149.4+(1181.9-496.8)+(-8.769552+(-4.822152--2.026944))+0-545.1--2.22400799999995</f>
        <v>2280.059248</v>
      </c>
      <c r="Y49" s="3">
        <f>2167.7+(1075.6-418)+(-5.527635+(-2.74278--1.0659))+0-651--1.66004999999991</f>
        <v>2168.7555349999998</v>
      </c>
      <c r="Z49" s="3">
        <f>2241+(1081.9-571)+(-3.42873+(-1.655307--0.87363))+0-570.3--0.872559000000033</f>
        <v>2178.2621519999998</v>
      </c>
      <c r="AA49" s="3">
        <f>2304.4+(1245.6-658)+(-7.051464+(-3.811536--2.01348))+0-723.1--2.21268600000008</f>
        <v>2162.2631660000002</v>
      </c>
      <c r="AB49" s="3">
        <f>2153.4+(1216-651.6)+(-2.196468+(-1.24032--0.664632))+0-579.2--0.590784000000092</f>
        <v>2136.4186280000004</v>
      </c>
      <c r="AC49" s="3">
        <f>2070.8+(1438.1-785.9)+(-2.112216+(-1.466862--0.801618))+0-646.5--0.659430000000103</f>
        <v>2074.3819700000004</v>
      </c>
      <c r="AD49">
        <v>2172.2999999999997</v>
      </c>
      <c r="AE49" s="3">
        <f>2346+(1263.2-641.5)+(0+(0-0))+0-795.4-0</f>
        <v>2172.2999999999997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2118.1+(1424.3-795.4)+(-5.401155+(-3.631965--2.02827))+0-660.2--1.6835099999999</f>
        <v>2081.4786599999998</v>
      </c>
      <c r="G50" s="3">
        <f>2166.9+(1200.9-718.9)+(-2.210238+(-1.224918--0.733278))+0-616.6--0.628932000000098</f>
        <v>2030.2270540000004</v>
      </c>
      <c r="H50" s="3">
        <f>2114+(1065.9-662.3)+(-2.15628+(-1.087218--0.675546))+0-587.8--0.599556000000094</f>
        <v>1927.8316040000007</v>
      </c>
      <c r="I50" s="3">
        <f>1951.5+(1106.5-712.5)+(0+(0-0))+0-501.2-0</f>
        <v>1844.3</v>
      </c>
      <c r="J50" s="3">
        <f>1863.3+(1122-581.7)+(1.900566+(1.14444-0.593334))+0-545.5-0.556410000000087</f>
        <v>1859.9952619999999</v>
      </c>
      <c r="K50" s="3">
        <f>1860.2+(1025.6-462.3)+(-4.74351+(-2.61528--1.178865))+0-539.9--1.37674499999992</f>
        <v>1878.79682</v>
      </c>
      <c r="L50" s="3">
        <f>1867.1+(978.6-403.9)+(-4.761105+(-2.49543--1.029945))+0-554.1--1.41295499999992</f>
        <v>1882.8863650000001</v>
      </c>
      <c r="M50" s="3">
        <f>1866.1+(990.1-318.7)+(0+(0-0))+0-500.2-0</f>
        <v>2037.3</v>
      </c>
      <c r="N50" s="3">
        <f>1857.7+(1169.3-327)+(-1.894854+(-1.192686--0.33354))+0-508.3--0.518466000000081</f>
        <v>2189.4644659999999</v>
      </c>
      <c r="O50" s="3">
        <f>1920.6+(1269.1-285.4)+(-3.918024+(-2.588964--0.582216))+0-511--1.04243999999998</f>
        <v>2388.417668</v>
      </c>
      <c r="P50" s="3">
        <f>2046+(1286.6-329.6)+(-1.04346+(-0.656166--0.168096))+0-433.6--0.221135999999956</f>
        <v>2568.089606</v>
      </c>
      <c r="Q50" s="3">
        <f>2143.2+(1339.9-444.2)+(0+(0-0))+0-454-0</f>
        <v>2584.8999999999996</v>
      </c>
      <c r="R50" s="3">
        <f>2180.5+(1447.4-623.8)+(-4.44822+(-2.952696--1.272552))+0-495.9--1.01163599999998</f>
        <v>2503.0832720000003</v>
      </c>
      <c r="S50" s="3">
        <f>2230.1+(1461.9-867.6)+(-6.824106+(-4.473414--2.654856))+0-570.2--1.74481200000007</f>
        <v>2247.3021479999998</v>
      </c>
      <c r="T50" s="3">
        <f>2268.6+(1472.6-950)+(-4.627944+(-3.004104--1.938))+0-491.7--1.00306799999998</f>
        <v>2294.8090200000001</v>
      </c>
      <c r="U50" s="3">
        <f>2369.6+(1414.8-912.1)+(0+(0-0))+0-529-0</f>
        <v>2343.2999999999997</v>
      </c>
      <c r="V50" s="3">
        <f>2393.5+(1343.5-797.3)+(-6.103425+(-3.425925--2.033115))+0-544.1--1.38745499999992</f>
        <v>2389.4912199999999</v>
      </c>
      <c r="W50" s="3">
        <f>2413.7+(1070.4-649.4)+(-6.154935+(-2.72952--1.65597))+0-503.5--1.28392499999993</f>
        <v>2325.2554399999995</v>
      </c>
      <c r="X50" s="3">
        <f>2211.5+(1046.1-450.3)+(-4.51146+(-2.134044--0.918612))+0-592.8--1.20931199999997</f>
        <v>2209.9824200000003</v>
      </c>
      <c r="Y50" s="3">
        <f>2167.3+(875.9-372.7)+(-1.105323+(-0.446709--0.190077))+0-480.1--0.244850999999951</f>
        <v>2189.2828960000002</v>
      </c>
      <c r="Z50" s="3">
        <f>2333.4+(1027.8-519.2)+(-1.190034+(-0.524178--0.264792))+0-484.1--0.246890999999951</f>
        <v>2356.697471</v>
      </c>
      <c r="AA50" s="3">
        <f>2424.3+(754.2-519.4)+(-1.236393+(-0.384642--0.264894))+0-306--0.156059999999969</f>
        <v>2351.899919</v>
      </c>
      <c r="AB50" s="3">
        <f>2428.3+(889-578.4)+(-1.238433+(-0.45339--0.294984))+0-572--0.291719999999942</f>
        <v>2165.7948810000003</v>
      </c>
      <c r="AC50" s="3">
        <f>2423.3+(1007.4-750)+(-6.179415+(-2.56887--1.9125))+0-551.2--1.40555999999992</f>
        <v>2124.0697749999995</v>
      </c>
      <c r="AD50">
        <v>2254.5</v>
      </c>
      <c r="AE50" s="3">
        <f>2368+(1039.4-628.9)+(0+(0-0))+0-524-0</f>
        <v>2254.5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2250.6+(1232.6-793)+(-2.295612+(-1.257252--0.80886))+0-559.6--0.570792000000089</f>
        <v>2128.4267879999998</v>
      </c>
      <c r="G51" s="3">
        <f>2200.1+(1264.3-750.1)+(-4.488204+(-2.579172--1.530204))+0-606.8--1.23787199999997</f>
        <v>2103.2006999999999</v>
      </c>
      <c r="H51" s="3">
        <f>2067.9+(1254-686.8)+(0+(0-0))+0-631.8-0</f>
        <v>2003.3000000000004</v>
      </c>
      <c r="I51" s="3">
        <f>2072.4+(1273.8-597.9)+(-5.28462+(-3.24819--1.524645))+0-757.1--1.93060499999989</f>
        <v>1986.1224399999999</v>
      </c>
      <c r="J51" s="3">
        <f>2072.5+(1176.1-564.1)+(-5.284875+(-2.999055--1.438455))+0-683.3--1.7424149999999</f>
        <v>1996.0969399999999</v>
      </c>
      <c r="K51" s="3">
        <f>1967+(1194.5-578.4)+(-2.00634+(-1.21839--0.589968))+0-744--0.758880000000119</f>
        <v>1837.2241179999999</v>
      </c>
      <c r="L51" s="3">
        <f>1965.9+(1042.1-449.6)+(-7.018263+(-3.720297--1.605072))+0-611.8--2.18412600000001</f>
        <v>1939.6506380000003</v>
      </c>
      <c r="M51" s="3">
        <f>2021.5+(1056.5-392.5)+(3.092895+(1.616445-0.600525))+0-622-0.951660000000036</f>
        <v>2066.6571549999999</v>
      </c>
      <c r="N51" s="3">
        <f>2191.9+(987.6-398.1)+(2.235738+(1.007352-0.406062))+0-541.5-0.552330000000086</f>
        <v>2242.184698</v>
      </c>
      <c r="O51" s="3">
        <f>2516.1+(1107.2-302.7)+(-2.566422+(-1.129344--0.308754))+0-676.4--0.689928000000108</f>
        <v>2641.5029159999999</v>
      </c>
      <c r="P51" s="3">
        <f>2559+(1025.2-299.7)+(-3.91527+(-1.568556--0.458541))+0-475.1--0.726903000000028</f>
        <v>2805.1016180000001</v>
      </c>
      <c r="Q51" s="3">
        <f>2627.5+(970.9-432.6)+(1.340025+(0.495159-0.220626))+0-558.6-0.284885999999943</f>
        <v>2608.5296720000006</v>
      </c>
      <c r="R51" s="3">
        <f>2651.8+(881.6-660.2)+(-2.704836+(-0.899232--0.673404))+0-606.4--0.618528000000097</f>
        <v>2264.4878640000002</v>
      </c>
      <c r="S51" s="3">
        <f>2659.2+(1060-845.3)+(-2.712384+(-1.0812--0.862206))+0-512.6--0.522852000000082</f>
        <v>2358.8914739999996</v>
      </c>
      <c r="T51" s="3">
        <f>2648.2+(1232.7-881.9)+(-2.701164+(-1.257354--0.899538))+0-554.7--0.565794000000089</f>
        <v>2441.8068140000005</v>
      </c>
      <c r="U51" s="3">
        <f>2654.4+(1115.3-878.1)+(-6.76872+(-2.844015--2.239155))+0-480.8--1.22603999999993</f>
        <v>2404.6524599999998</v>
      </c>
      <c r="V51" s="3">
        <f>2597.8+(1237.8-816.9)+(-2.649756+(-1.262556--0.833238))+0-584.7--0.596394000000093</f>
        <v>2431.5173199999999</v>
      </c>
      <c r="W51" s="3">
        <f>2289.4+(1037.6-518.5)+(-8.173158+(-3.704232--1.851045))+0-546.9--1.95243300000001</f>
        <v>2253.5260879999996</v>
      </c>
      <c r="X51" s="3">
        <f>2254.4+(1007-384.7)+(-8.048208+(-3.59499--1.373379))+0-673.4--2.40403800000001</f>
        <v>2195.4342189999998</v>
      </c>
      <c r="Y51" s="3">
        <f>2461.2+(744.6-464.4)+(-2.510424+(-0.759492--0.473688))+0-560.7--0.571914000000089</f>
        <v>2178.4756859999998</v>
      </c>
      <c r="Z51" s="3">
        <f>2886.4+(914.6-648.9)+(-4.416192+(-1.399338--0.992817))+0-627.6--0.960228000000036</f>
        <v>2520.6375150000003</v>
      </c>
      <c r="AA51" s="3">
        <f>3049.9+(821.8-777)+(-7.777245+(-2.09559--1.98135))+0-589.6--1.50347999999991</f>
        <v>2498.7119949999997</v>
      </c>
      <c r="AB51" s="3">
        <f>2906.6+(871.8-783)+(0+(0-0))+0-615.3-0</f>
        <v>2380.0999999999995</v>
      </c>
      <c r="AC51" s="3">
        <f>2927.7+(1078-866.6)+(-8.958762+(-3.29868--2.651796))+0-749.2--2.29255200000009</f>
        <v>2382.5869059999995</v>
      </c>
      <c r="AD51">
        <v>2310.1999999999998</v>
      </c>
      <c r="AE51" s="3">
        <f>3048+(964.3-981.9)+(0+(0-0))+0-720.2-0</f>
        <v>2310.1999999999998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2677.5+(1055.9-966.4)+(0+(0-0))+0-649.9-0</f>
        <v>2117.1</v>
      </c>
      <c r="G52" s="3">
        <f>2598.4+(1037.1-977.7)+(-5.300736+(-2.115684--1.994508))+0-594.4--1.21257599999997</f>
        <v>2059.1906640000002</v>
      </c>
      <c r="H52" s="3">
        <f>2437.6+(1051.4-845.1)+(-3.729528+(-1.608642--1.293003))+0-668--1.02204000000004</f>
        <v>1972.8768729999999</v>
      </c>
      <c r="I52" s="3">
        <f>2314.4+(1079.1-829.5)+(-2.360688+(-1.100682--0.84609))+0-677--0.690540000000108</f>
        <v>1885.0752600000001</v>
      </c>
      <c r="J52" s="3">
        <f>2251.7+(979.9-685.5)+(-4.593468+(-1.998996--1.39842))+0-704.5--1.43717999999997</f>
        <v>1837.843136</v>
      </c>
      <c r="K52" s="3">
        <f>2256+(886.1-583.6)+(-5.7528+(-2.259555--1.48818))+0-711.2--1.8135599999999</f>
        <v>1842.5893849999998</v>
      </c>
      <c r="L52" s="3">
        <f>2187.5+(725.9-422.9)+(-2.23125+(-0.740418--0.431358))+0-684.7--0.698394000000109</f>
        <v>1803.9580840000001</v>
      </c>
      <c r="M52" s="3">
        <f>2283.8+(804.5-376.7)+(-6.988428+(-2.46177--1.152702))+0-647.8--1.98226800000007</f>
        <v>2057.4847720000002</v>
      </c>
      <c r="N52" s="3">
        <f>2547.8+(746.6-432.7)+(2.598756+(0.761532-0.441354))+0-568.8-0.580176000000091</f>
        <v>2295.238758</v>
      </c>
      <c r="O52" s="3">
        <f>2632.7+(1015.3-467.2)+(0+(0-0))+0-673.6-0</f>
        <v>2507.1999999999998</v>
      </c>
      <c r="P52" s="3">
        <f>2616.3+(867.5-436.4)+(-2.668626+(-0.88485--0.445128))+0-631.3--0.643926000000101</f>
        <v>2413.6355779999999</v>
      </c>
      <c r="Q52" s="3">
        <f>2547.8+(1027.1-522.1)+(-2.598756+(-1.047642--0.532542))+0-529.2--0.539784000000084</f>
        <v>2521.0259280000005</v>
      </c>
      <c r="R52" s="3">
        <f>2437.3+(1228.8-593.8)+(-2.486046+(-1.253376--0.605676))+0-552.5--0.563550000000088</f>
        <v>2517.2298040000005</v>
      </c>
      <c r="S52" s="3">
        <f>2449.5+(1137.8-837.6)+(0+(0-0))+0-514.5-0</f>
        <v>2235.1999999999998</v>
      </c>
      <c r="T52" s="3">
        <f>2694.8+(1288.4-1038)+(1.374348+(0.657084-0.52938))+0-577.7-0.294626999999941</f>
        <v>2368.7074250000001</v>
      </c>
      <c r="U52" s="3">
        <f>2705.8+(1338.7-1026.8)+(-1.379958+(-0.682737--0.523668))+0-531.9--0.271268999999946</f>
        <v>2484.5322420000002</v>
      </c>
      <c r="V52" s="3">
        <f>2701.7+(1215.5-898.5)+(-6.889335+(-3.099525--2.291175))+0-539.5--1.37572499999992</f>
        <v>2472.8780399999996</v>
      </c>
      <c r="W52" s="3">
        <f>2702.9+(1042.3-804.9)+(-9.649353+(-3.721011--2.873493))+0-500.5--1.78678500000001</f>
        <v>2431.0899140000006</v>
      </c>
      <c r="X52" s="3">
        <f>2513.1+(1121.9-730.6)+(-5.126724+(-2.288676--1.490424))+0-552.6--1.12730399999998</f>
        <v>2347.0023280000005</v>
      </c>
      <c r="Y52" s="3">
        <f>2453.6+(1059.7-716.6)+(-6.25668+(-2.702235--1.82733))+0-552.6--1.40912999999992</f>
        <v>2238.3775449999998</v>
      </c>
      <c r="Z52" s="3">
        <f>2697.2+(1100.2-773.6)+(-4.126716+(-1.683306--1.183608))+0-559.1--0.855423000000032</f>
        <v>2460.929009</v>
      </c>
      <c r="AA52" s="3">
        <f>2767.7+(1157.6-854.1)+(0+(0-0))+0-652.6-0</f>
        <v>2418.6</v>
      </c>
      <c r="AB52" s="3">
        <f>2768.6+(1233.8-1030.1)+(-1.411986+(-0.629238--0.525351))+0-624.6--0.318545999999937</f>
        <v>2346.5026730000004</v>
      </c>
      <c r="AC52" s="3">
        <f>2721.8+(1332.7-1095.9)+(-1.388118+(-0.679677--0.558909))+0-635.4--0.324053999999936</f>
        <v>2322.0151680000004</v>
      </c>
      <c r="AD52">
        <v>2277.8000000000002</v>
      </c>
      <c r="AE52" s="3">
        <f>2750+(1169.2-900.1)+(0+(0-0))+0-741.3-0</f>
        <v>2277.8000000000002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2563.6+(1293.2-1138.5)+(-1.307436+(-0.659532--0.580635))+0-537.5--0.274124999999946</f>
        <v>2179.6877920000002</v>
      </c>
      <c r="G53" s="3">
        <f>2438.7+(1278.3-1058.3)+(-3.731211+(-1.955799--1.619199))+0-607.7--0.929781000000035</f>
        <v>2047.8619699999999</v>
      </c>
      <c r="H53" s="3">
        <f>2468.1+(1044.8-960.8)+(-6.293655+(-2.66424--2.45004))+0-542.4--1.38311999999992</f>
        <v>2004.5752649999999</v>
      </c>
      <c r="I53" s="3">
        <f>2466.5+(981-997.6)+(-6.289575+(-2.50155--2.54388))+0-472--1.20359999999993</f>
        <v>1972.8563549999999</v>
      </c>
      <c r="J53" s="3">
        <f>2293.7+(1058.5-834)+(1.169787+(0.539835-0.42534))+0-597.4-0.304673999999939</f>
        <v>1921.7796079999998</v>
      </c>
      <c r="K53" s="3">
        <f>2288+(923.3-763.6)+(-1.16688+(-0.470883--0.389436))+0-546.6--0.278765999999945</f>
        <v>1900.130439</v>
      </c>
      <c r="L53" s="3">
        <f>2191.6+(830.9-647.4)+(-4.470864+(-1.695036--1.320696))+0-534.3--1.08997199999998</f>
        <v>1837.0447679999997</v>
      </c>
      <c r="M53" s="3">
        <f>2186.4+(743.5-477.2)+(2.230128+(0.75837-0.486744))+0-463.7-0.472974000000074</f>
        <v>1991.0287800000001</v>
      </c>
      <c r="N53" s="3">
        <f>2193.6+(1017.7-450.7)+(2.237472+(1.038054-0.459714))+0-548.9-0.559878000000087</f>
        <v>2213.9559339999996</v>
      </c>
      <c r="O53" s="3">
        <f>2215.7+(1078-340.5)+(1.130007+(0.54978-0.173655))+0-619.7-0.316046999999937</f>
        <v>2334.6900849999997</v>
      </c>
      <c r="P53" s="3">
        <f>2284+(1156.7-403.1)+(-1.16484+(-0.589917--0.205581))+0-622.6--0.317525999999937</f>
        <v>2413.7683499999998</v>
      </c>
      <c r="Q53" s="3">
        <f>2388+(1317.8-500.5)+(-3.65364+(-2.016234--0.765765))+0-660.3--1.01025900000004</f>
        <v>2541.1061500000001</v>
      </c>
      <c r="R53" s="3">
        <f>2474.3+(1294-633)+(-2.523786+(-1.31988--0.64566))+0-674.2--0.687684000000108</f>
        <v>2458.5896779999998</v>
      </c>
      <c r="S53" s="3">
        <f>2666.6+(1159.8-904)+(-2.719932+(-1.182996--0.92208))+0-622.5--0.634950000000099</f>
        <v>2297.5541019999996</v>
      </c>
      <c r="T53" s="3">
        <f>2830.5+(1237-1103.5)+(-1.443555+(-0.63087--0.562785))+0-572.8--0.292127999999942</f>
        <v>2389.9804880000002</v>
      </c>
      <c r="U53" s="3">
        <f>2865.2+(1225.3-1051.1)+(-7.30626+(-3.124515--2.680305))+0-717.6--1.8298799999999</f>
        <v>2315.8794099999996</v>
      </c>
      <c r="V53" s="3">
        <f>2858.9+(997.9-949.8)+(-1.458039+(-0.508929--0.484398))+0-655.7--0.334406999999934</f>
        <v>2250.1518369999999</v>
      </c>
      <c r="W53" s="3">
        <f>2856+(808.5-736.8)+(-10.19592+(-2.886345--2.630376))+0-713--2.54541000000001</f>
        <v>2206.7935210000001</v>
      </c>
      <c r="X53" s="3">
        <f>2725.5+(580.4-515.3)+(-5.56002+(-1.184016--1.051212))+0-672--1.37087999999997</f>
        <v>2114.2780559999997</v>
      </c>
      <c r="Y53" s="3">
        <f>2654.2+(620.6-571.7)+(-5.414568+(-1.266024--1.166268))+0-694--1.41575999999997</f>
        <v>2005.0014359999996</v>
      </c>
      <c r="Z53" s="3">
        <f>2727.9+(771.9-519.8)+(-4.173687+(-1.181007--0.795294))+0-650.9--0.995877000000038</f>
        <v>2325.5364769999996</v>
      </c>
      <c r="AA53" s="3">
        <f>2866.8+(750-617.5)+(-5.848272+(-1.53--1.2597))+0-689.4--1.40637599999997</f>
        <v>2305.1878040000001</v>
      </c>
      <c r="AB53" s="3">
        <f>2888.9+(703.8-776.7)+(-2.946678+(-0.717876--0.792234))+0-582.2--0.593844000000093</f>
        <v>2231.5215239999998</v>
      </c>
      <c r="AC53" s="3">
        <f>2872.2+(865.2-825.1)+(-5.859288+(-1.765008--1.683204))+0-682.8--1.39291199999997</f>
        <v>2224.9518199999998</v>
      </c>
      <c r="AD53">
        <v>2270.4</v>
      </c>
      <c r="AE53" s="3">
        <f>2883+(788.3-688.3)+(0+(0-0))+0-712.6-0</f>
        <v>2270.4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2864.8+(936.2-1124.7)+(-4.383144+(-1.432386--1.720791))+0-486.5--0.744345000000028</f>
        <v>2186.4496060000001</v>
      </c>
      <c r="G54" s="3">
        <f>2822.7+(939.1-1068.6)+(-4.318731+(-1.436823--1.634958))+0-635.4--0.972162000000037</f>
        <v>2054.6515659999995</v>
      </c>
      <c r="H54" s="3">
        <f>2860+(991.4-1208.5)+(-5.8344+(-2.022456--2.46534))+0-645.5--1.31681999999997</f>
        <v>1993.325304</v>
      </c>
      <c r="I54" s="3">
        <f>2895+(892.7-1190.3)+(0+(0-0))+0-661.5-0</f>
        <v>1935.9</v>
      </c>
      <c r="J54" s="3">
        <f>2910.8+(872.2-1110.4)+(-2.969016+(-0.889644--1.132608))+0-749.2--0.76418400000012</f>
        <v>1921.4381320000005</v>
      </c>
      <c r="K54" s="3">
        <f>2862.9+(671.4-935.8)+(0+(0-0))+0-729.3-0</f>
        <v>1869.2</v>
      </c>
      <c r="L54" s="3">
        <f>2589.4+(578.6-880.1)+(-6.60297+(-1.47543--2.244255))+0-565--1.44074999999992</f>
        <v>1718.5066050000003</v>
      </c>
      <c r="M54" s="3">
        <f>2328.5+(641.5-730.2)+(2.37507+(0.65433-0.744804))+0-527.4-0.537948000000084</f>
        <v>1714.1466479999999</v>
      </c>
      <c r="N54" s="3">
        <f>2304.3+(733.2-715)+(1.175193+(0.373932-0.36465))+0-508.1-0.259130999999948</f>
        <v>1815.3253440000001</v>
      </c>
      <c r="O54" s="3">
        <f>2322.4+(851-710.3)+(-2.368848+(-0.86802--0.724506))+0-557.4--0.568548000000089</f>
        <v>1903.7561860000005</v>
      </c>
      <c r="P54" s="3">
        <f>2596+(728-774.1)+(-1.32396+(-0.37128--0.394791))+0-550.3--0.280652999999944</f>
        <v>1998.5802040000003</v>
      </c>
      <c r="Q54" s="3">
        <f>2696+(892.2-851.3)+(2.74992+(0.910044-0.868326))+0-665.9-0.679218000000106</f>
        <v>2073.1124199999999</v>
      </c>
      <c r="R54" s="3">
        <f>2809.3+(1046.7-1045)+(5.730972+(2.135268-2.1318))+0-661.6-1.34966399999997</f>
        <v>2153.7847760000004</v>
      </c>
      <c r="S54" s="3">
        <f>2850.5+(1065.2-1144.4)+(-1.453755+(-0.543252--0.583644))+0-650.8--0.331907999999934</f>
        <v>2119.4185450000004</v>
      </c>
      <c r="T54" s="3">
        <f>2859.8+(1020-1141)+(-7.29249+(-2.601--2.90955))+0-620.6--1.58252999999991</f>
        <v>2112.7985900000003</v>
      </c>
      <c r="U54" s="3">
        <f>2820.4+(998.2-1171.5)+(-5.753616+(-2.036328--2.38986))+0-628--1.28111999999997</f>
        <v>2014.9810360000004</v>
      </c>
      <c r="V54" s="3">
        <f>2821.6+(903.7-1111.4)+(-4.317048+(-1.382661--1.700442))+0-618.6--0.946458000000036</f>
        <v>1992.2471909999997</v>
      </c>
      <c r="W54" s="3">
        <f>2708.6+(760.6-891.4)+(-8.288316+(-2.327436--2.727684))+0-625.1--1.91280600000007</f>
        <v>1946.7247380000001</v>
      </c>
      <c r="X54" s="3">
        <f>2586.7+(594.1-587.4)+(-6.596085+(-1.514955--1.49787))+0-701.8--1.7895899999999</f>
        <v>1886.7764199999995</v>
      </c>
      <c r="Y54" s="3">
        <f>2437.8+(530-489)+(0+(0-0))+0-579.5-0</f>
        <v>1899.3000000000002</v>
      </c>
      <c r="Z54" s="3">
        <f>2785.8+(744.3-585.2)+(-5.683032+(-1.518372--1.193808))+0-748.9--1.52775599999997</f>
        <v>2191.52016</v>
      </c>
      <c r="AA54" s="3">
        <f>2951.9+(709.6-709)+(-4.516407+(-1.085688--1.08477))+0-665.2--1.01775600000004</f>
        <v>2283.8004310000006</v>
      </c>
      <c r="AB54" s="3">
        <f>2804.9+(858.7-782)+(0+(0-0))+0-700.7-0</f>
        <v>2180.9000000000005</v>
      </c>
      <c r="AC54" s="3">
        <f>2771.8+(937.8-847.3)+(-2.827236+(-0.956556--0.864246))+0-598.1--0.610062000000095</f>
        <v>2261.8905160000004</v>
      </c>
      <c r="AD54">
        <v>2200.8000000000002</v>
      </c>
      <c r="AE54" s="3">
        <f>2956+(710.5-739)+(0+(0-0))+0-726.7-0</f>
        <v>2200.8000000000002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2761.4+(879.5-1152)+(-4.224942+(-1.345635--1.76256))+0-547.9--0.838287000000032</f>
        <v>1938.0302700000002</v>
      </c>
      <c r="G55" s="3">
        <f>2758.3+(894.1-1210.8)+(-7.033665+(-2.279955--3.08754))+0-601.5--1.53382499999991</f>
        <v>1835.4077450000004</v>
      </c>
      <c r="H55" s="3">
        <f>2768+(920.9-1171.1)+(1.41168+(0.469659-0.597261))+0-721.4-0.367913999999927</f>
        <v>1797.3161640000003</v>
      </c>
      <c r="I55" s="3">
        <f>2678.2+(929.4-1152.3)+(-5.463528+(-1.895976--2.350692))+0-688--1.40351999999997</f>
        <v>1763.6947079999998</v>
      </c>
      <c r="J55" s="3">
        <f>2740.7+(966.5-1278.7)+(-4.193271+(-1.478745--1.956411))+0-667--1.02051000000004</f>
        <v>1758.8049050000002</v>
      </c>
      <c r="K55" s="3">
        <f>2593.1+(940.9-1039.2)+(-5.289924+(-1.919436--2.119968))+0-721.7--1.47226799999997</f>
        <v>1769.4828759999998</v>
      </c>
      <c r="L55" s="3">
        <f>2297.2+(718.6-622.7)+(-5.85786+(-1.83243--1.587885))+0-612.5--1.56187499999991</f>
        <v>1776.0594699999997</v>
      </c>
      <c r="M55" s="3">
        <f>2299.9+(730.3-367.8)+(0+(0-0))+0-703.5-0</f>
        <v>1958.9</v>
      </c>
      <c r="N55" s="3">
        <f>2447.1+(628.2-343.2)+(-6.240105+(-1.60191--0.87516))+0-523.7--1.33543499999992</f>
        <v>2202.7685799999999</v>
      </c>
      <c r="O55" s="3">
        <f>2588.8+(658.6-291.3)+(-3.960864+(-1.007658--0.445689))+0-589--0.901170000000034</f>
        <v>2363.4783370000005</v>
      </c>
      <c r="P55" s="3">
        <f>2581.9+(577.4-275.6)+(-2.633538+(-0.588948--0.281112))+0-453.2--0.462264000000072</f>
        <v>2428.0208900000002</v>
      </c>
      <c r="Q55" s="3">
        <f>2632+(931.8-431.3)+(0+(0-0))+0-541.1-0</f>
        <v>2591.4</v>
      </c>
      <c r="R55" s="3">
        <f>2656.5+(1046.6-523.4)+(-4.064445+(-1.601298--0.800802))+0-625.4--0.956862000000036</f>
        <v>2550.3919209999999</v>
      </c>
      <c r="S55" s="3">
        <f>2665+(752.9-697.7)+(-5.4366+(-1.535916--1.423308))+0-393.4--0.802535999999983</f>
        <v>2322.053328</v>
      </c>
      <c r="T55" s="3">
        <f>2841.8+(966.5-906.2)+(-5.797272+(-1.97166--1.848648))+0-531.9--1.08507599999998</f>
        <v>2365.3647920000003</v>
      </c>
      <c r="U55" s="3">
        <f>2851.1+(954.1-942.9)+(-1.454061+(-0.486591--0.480879))+0-503.6--0.256835999999949</f>
        <v>2357.4970630000003</v>
      </c>
      <c r="V55" s="3">
        <f>2793.2+(938.9-672.3)+(0+(0-0))+0-610.8-0</f>
        <v>2449</v>
      </c>
      <c r="W55" s="3">
        <f>2847.6+(636.7-497.2)+(-8.713656+(-1.948302--1.521432))+0-641.8--1.96390800000007</f>
        <v>2338.1233820000002</v>
      </c>
      <c r="X55" s="3">
        <f>2844.4+(489.7-450.7)+(-13.055796+(-2.247723--2.068713))+0-558.8--2.5648920000001</f>
        <v>2313.9300860000003</v>
      </c>
      <c r="Y55" s="3">
        <f>2857.6+(425.9-543.9)+(-2.914752+(-0.434418--0.554778))+0-596.5--0.608430000000095</f>
        <v>2140.9140380000003</v>
      </c>
      <c r="Z55" s="3">
        <f>2880.1+(480-498.5)+(-4.406553+(-0.7344--0.762705))+0-573.9--0.878067000000033</f>
        <v>2284.1998189999999</v>
      </c>
      <c r="AA55" s="3">
        <f>2947.3+(508.1-505.1)+(-4.509369+(-0.777393--0.772803))+0-705--1.07865000000004</f>
        <v>2241.8646910000002</v>
      </c>
      <c r="AB55" s="3">
        <f>2926.6+(404.8-577.9)+(-1.492566+(-0.206448--0.294729))+0-599.9--0.305948999999939</f>
        <v>2152.5016639999999</v>
      </c>
      <c r="AC55" s="3">
        <f>2953.6+(602.9-735.6)+(-3.012672+(-0.614958--0.750312))+0-679.3--0.692886000000108</f>
        <v>2139.4155679999999</v>
      </c>
      <c r="AD55">
        <v>2268.8999999999996</v>
      </c>
      <c r="AE55" s="3">
        <f>2955+(617.1-458.4)+(0+(0-0))+0-844.8-0</f>
        <v>2268.8999999999996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2994.7+(603.5-768.6)+(-3.054594+(-0.61557--0.783972))+0-697.6--0.711552000000111</f>
        <v>2129.8253600000003</v>
      </c>
      <c r="G56" s="3">
        <f>2985.4+(668.3-959)+(-9.135324+(-2.044998--2.93454))+0-645.5--1.97523000000007</f>
        <v>2042.9294479999999</v>
      </c>
      <c r="H56" s="3">
        <f>2963.8+(659.5-985.4)+(-4.534614+(-1.009035--1.507662))+0-628.2--0.961146000000036</f>
        <v>2006.6251589999999</v>
      </c>
      <c r="I56" s="3">
        <f>2755.5+(696.4-993.2)+(-2.81061+(-0.710328--1.013064))+0-618.2--0.630564000000099</f>
        <v>1838.6226899999999</v>
      </c>
      <c r="J56" s="3">
        <f>2769.2+(691-990.8)+(-5.649168+(-1.40964--2.021232))+0-615.8--1.25623199999997</f>
        <v>1849.8186559999995</v>
      </c>
      <c r="K56" s="3">
        <f>2756.3+(694.3-892.5)+(-9.839991+(-2.478651--3.186225))+0-662.9--2.36655300000001</f>
        <v>1888.4341360000005</v>
      </c>
      <c r="L56" s="3">
        <f>2442.7+(720.1-577.2)+(-2.491554+(-0.734502--0.588744))+0-624.3--0.6367860000001</f>
        <v>1959.2994740000001</v>
      </c>
      <c r="M56" s="3">
        <f>2417+(454.9-401.6)+(1.23267+(0.231999-0.204816))+0-388.7-0.198236999999961</f>
        <v>2082.6616160000003</v>
      </c>
      <c r="N56" s="3">
        <f>2490.4+(551.5-270.1)+(2.540208+(0.56253-0.275502))+0-520.7-0.531114000000083</f>
        <v>2253.3961220000006</v>
      </c>
      <c r="O56" s="3">
        <f>2576.9+(598.4-222.5)+(3.942657+(0.915552-0.340425))+0-479.5-0.733635000000028</f>
        <v>2477.0841490000003</v>
      </c>
      <c r="P56" s="3">
        <f>2588.8+(576.7-273)+(1.320288+(0.294117-0.13923))+0-425.2-0.216851999999957</f>
        <v>2468.5583230000002</v>
      </c>
      <c r="Q56" s="3">
        <f>2994.5+(661.5-520.9)+(-4.581585+(-1.012095--0.796977))+0-522.9--0.80003700000003</f>
        <v>2608.2033339999998</v>
      </c>
      <c r="R56" s="3">
        <f>3167.7+(759.4-834.8)+(4.846581+(1.161882-1.277244))+0-621.2-0.950436000000036</f>
        <v>2474.8807829999996</v>
      </c>
      <c r="S56" s="3">
        <f>3181.1+(848.3-1020.9)+(-3.244722+(-0.865266--1.041318))+0-540--0.550800000000086</f>
        <v>2465.9821299999999</v>
      </c>
      <c r="T56" s="3">
        <f>3257.4+(942.9-1108.1)+(-1.661274+(-0.480879--0.565131))+0-519.1--0.264740999999947</f>
        <v>2571.7877190000004</v>
      </c>
      <c r="U56" s="3">
        <f>3258.2+(989.3-1135.5)+(-6.646728+(-2.018172--2.31642))+0-508.9--1.03815599999998</f>
        <v>2597.7896759999999</v>
      </c>
      <c r="V56" s="3">
        <f>3250.1+(849.4-1050.4)+(-3.315102+(-0.866388--1.071408))+0-481.3--0.490926000000077</f>
        <v>2565.1808439999995</v>
      </c>
      <c r="W56" s="3">
        <f>2914.4+(579.3-638)+(-8.918064+(-1.772658--1.95228))+0-493.3--1.50949800000006</f>
        <v>2355.1710559999997</v>
      </c>
      <c r="X56" s="3">
        <f>2734.6+(508.2-307.4)+(-5.578584+(-1.036728--0.627096))+0-638.9--1.30335599999997</f>
        <v>2291.8151399999997</v>
      </c>
      <c r="Y56" s="3">
        <f>2596.3+(579.1-408.8)+(-1.324113+(-0.295341--0.208488))+0-531.3--0.270962999999946</f>
        <v>2234.1599970000007</v>
      </c>
      <c r="Z56" s="3">
        <f>2873.3+(692-548.9)+(-2.930766+(-0.70584--0.559878))+0-578.7--0.590274000000092</f>
        <v>2435.213546</v>
      </c>
      <c r="AA56" s="3">
        <f>2998.2+(485.6-562.3)+(-4.587246+(-0.742968--0.860319))+0-466.4--0.713592000000027</f>
        <v>2451.3436969999998</v>
      </c>
      <c r="AB56" s="3">
        <f>2940+(471.9-562.6)+(0+(0-0))+0-576.6-0</f>
        <v>2272.7000000000003</v>
      </c>
      <c r="AC56" s="3">
        <f>2936.6+(530.5-734)+(-4.492998+(-0.811665--1.12302))+0-551.5--0.843795000000032</f>
        <v>2178.2621520000002</v>
      </c>
      <c r="AD56">
        <v>2407.5</v>
      </c>
      <c r="AE56" s="3">
        <f>2975+(624.2-485)+(0+(0-0))+0-706.7-0</f>
        <v>2407.5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2933.9+(805.1-1050.3)+(-7.481445+(-2.053005--2.678265))+0-713.4--1.8191699999999</f>
        <v>1970.2629850000001</v>
      </c>
      <c r="G57" s="3">
        <f>2942.2+(746.1-1070.3)+(-7.50261+(-1.902555--2.729265))+0-679.3--1.7322149999999</f>
        <v>1933.7563149999999</v>
      </c>
      <c r="H57" s="3">
        <f>2949.2+(745.3-1193.8)+(-7.52046+(-1.900515--3.04419))+0-616--1.57079999999991</f>
        <v>1879.8940149999999</v>
      </c>
      <c r="I57" s="3">
        <f>2809.3+(782.6-937.8)+(-2.865486+(-0.798252--0.956556))+0-719.5--0.733890000000115</f>
        <v>1932.6267080000005</v>
      </c>
      <c r="J57" s="3">
        <f>2729.6+(728.2-993.3)+(-1.392096+(-0.371382--0.506583))+0-577.9--0.294728999999941</f>
        <v>1885.6378339999999</v>
      </c>
      <c r="K57" s="3">
        <f>2620.6+(792.5-831.6)+(-4.009518+(-1.212525--1.272348))+0-677--1.03581000000004</f>
        <v>1901.5861150000003</v>
      </c>
      <c r="L57" s="3">
        <f>2366.9+(801.2-661.7)+(-2.414238+(-0.817224--0.674934))+0-574.6--0.586092000000092</f>
        <v>1929.8295640000001</v>
      </c>
      <c r="M57" s="3">
        <f>2422.6+(699.2-377.1)+(0+(0-0))+0-544.6-0</f>
        <v>2200.1</v>
      </c>
      <c r="N57" s="3">
        <f>2600.6+(414.5-346.4)+(2.652612+(0.42279-0.353328))+0-334.2-0.340884000000053</f>
        <v>2336.8811899999996</v>
      </c>
      <c r="O57" s="3">
        <f>2675.8+(473.3-200.2)+(0+(0-0))+0-536-0</f>
        <v>2412.9</v>
      </c>
      <c r="P57" s="3">
        <f>2725.3+(618.4-290.2)+(0+(0-0))+0-607.3-0</f>
        <v>2446.1999999999998</v>
      </c>
      <c r="Q57" s="3">
        <f>2708.8+(770.8-446.4)+(1.381488+(0.393108-0.227664))+0-533-0.271829999999946</f>
        <v>2501.4751020000003</v>
      </c>
      <c r="R57" s="3">
        <f>2958.4+(933-677)+(-4.526352+(-1.42749--1.03581))+0-708--1.08324000000004</f>
        <v>2502.565208</v>
      </c>
      <c r="S57" s="3">
        <f>3022.6+(720.7-853.9)+(-1.541526+(-0.367557--0.435489))+0-608.6--0.310385999999938</f>
        <v>2279.6367920000002</v>
      </c>
      <c r="T57" s="3">
        <f>3079.3+(895.6-927.3)+(-9.422658+(-2.740536--2.837538))+0-596.3--1.82467800000007</f>
        <v>2443.7990220000002</v>
      </c>
      <c r="U57" s="3">
        <f>3083.9+(784.1-865.2)+(-9.436734+(-2.399346--2.647512))+0-548--1.67688000000006</f>
        <v>2447.2883120000001</v>
      </c>
      <c r="V57" s="3">
        <f>3043.5+(633.6-723.2)+(-10.865295+(-2.261952--2.581824))+0-552.9--1.97385300000001</f>
        <v>2392.4284299999999</v>
      </c>
      <c r="W57" s="3">
        <f>3001.2+(539.2-478.7)+(-12.244896+(-2.199936--1.953096))+0-681.7--2.78133599999994</f>
        <v>2370.2896000000001</v>
      </c>
      <c r="X57" s="3">
        <f>2732.1+(580.7-515.6)+(-9.753597+(-2.073099--1.840692))+0-515.1--1.83890700000001</f>
        <v>2273.9529029999999</v>
      </c>
      <c r="Y57" s="3">
        <f>2743.9+(591-490.8)+(-5.597556+(-1.20564--1.001232))+0-650.2--1.32640799999997</f>
        <v>2189.4244439999993</v>
      </c>
      <c r="Z57" s="3">
        <f>3187.8+(476.9-611.3)+(-9.754668+(-1.459314--1.870578))+0-649.3--1.98685800000007</f>
        <v>2396.7434540000004</v>
      </c>
      <c r="AA57" s="3">
        <f>3275.5+(461.8-821.5)+(-6.68202+(-0.942072--1.67586))+0-599.7--1.22338799999997</f>
        <v>2311.3751559999996</v>
      </c>
      <c r="AB57" s="3">
        <f>3279.1+(646.2-993.3)+(-6.689364+(-1.318248--2.026332))+0-680.6--1.38842399999997</f>
        <v>2246.8071439999999</v>
      </c>
      <c r="AC57" s="3">
        <f>3226.9+(758.9-1178.2)+(-4.937157+(-1.161117--1.802646))+0-631.2--0.965736000000037</f>
        <v>2173.0701079999999</v>
      </c>
      <c r="AD57">
        <v>2349.5</v>
      </c>
      <c r="AE57" s="3">
        <f>3268+(472.9-778.1)+(0+(0-0))+0-613.3-0</f>
        <v>2349.5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3242.1+(818.9-1249.8)+(-3.306942+(-0.835278--1.274796))+0-628.7--0.6412740000001</f>
        <v>2180.27385</v>
      </c>
      <c r="G58" s="3">
        <f>3185.5+(810.2-1243)+(-6.49842+(-1.652808--2.53572))+0-682.2--1.39168799999997</f>
        <v>2066.2761800000003</v>
      </c>
      <c r="H58" s="3">
        <f>3188.5+(690.6-1156.3)+(-3.25227+(-0.704412--1.179426))+0-672.9--0.686358000000107</f>
        <v>2047.8091020000004</v>
      </c>
      <c r="I58" s="3">
        <f>3042+(736-1113.6)+(-6.20568+(-1.50144--2.271744))+0-725.3--1.47961199999997</f>
        <v>1935.1442360000001</v>
      </c>
      <c r="J58" s="3">
        <f>2981.5+(702.4-1007.5)+(-4.561695+(-1.074672--1.541475))+0-733.1--1.12164300000004</f>
        <v>1940.3267510000001</v>
      </c>
      <c r="K58" s="3">
        <f>2936.6+(690.5-999)+(-8.985996+(-2.11293--3.05694))+0-676.3--2.06947800000008</f>
        <v>1945.8274919999999</v>
      </c>
      <c r="L58" s="3">
        <f>2800.3+(618.5-725.1)+(-7.140765+(-1.577175--1.849005))+0-670.7--1.7102849999999</f>
        <v>2017.8413500000001</v>
      </c>
      <c r="M58" s="3">
        <f>2717.3+(520.2-566)+(-1.385823+(-0.265302--0.28866))+0-497.3--0.25362299999995</f>
        <v>2173.0911579999997</v>
      </c>
      <c r="N58" s="3">
        <f>2713.4+(571-437.9)+(0+(0-0))+0-602.5-0</f>
        <v>2244</v>
      </c>
      <c r="O58" s="3">
        <f>2886.9+(433.8-432.3)+(-1.472319+(-0.221238--0.220473))+0-466.1--0.237710999999953</f>
        <v>2421.0646269999997</v>
      </c>
      <c r="P58" s="3">
        <f>2973.2+(408.5-244.4)+(1.516332+(0.208335-0.124644))+0-632.1-0.322370999999936</f>
        <v>2506.477652</v>
      </c>
      <c r="Q58" s="3">
        <f>3111.3+(559-378)+(3.173526+(0.57018-0.38556))+0-622.2-0.634644000000099</f>
        <v>2672.8235019999997</v>
      </c>
      <c r="R58" s="3">
        <f>3224+(659.2-673.3)+(-3.28848+(-0.672384--0.686766))+0-483--0.492660000000077</f>
        <v>2724.1185620000001</v>
      </c>
      <c r="S58" s="3">
        <f>3189.3+(658.2-928.7)+(-8.132715+(-1.67841--2.368185))+0-534.9--1.36399499999992</f>
        <v>2377.8210549999999</v>
      </c>
      <c r="T58" s="3">
        <f>3164.6+(583.8-1025.7)+(0+(0-0))+0-300.2-0</f>
        <v>2422.5</v>
      </c>
      <c r="U58" s="3">
        <f>3160.2+(638.7-1040.4)+(-4.835106+(-0.977211--1.591812))+0-302.9--0.463437000000017</f>
        <v>2451.842932</v>
      </c>
      <c r="V58" s="3">
        <f>3169.4+(759.8-938.3)+(-3.232788+(-0.774996--0.957066))+0-375.4--0.38290800000006</f>
        <v>2612.8321900000001</v>
      </c>
      <c r="W58" s="3">
        <f>3174.3+(612.5-719.9)+(-9.713358+(-1.87425--2.202894))+0-568.8--1.74052800000007</f>
        <v>2490.4558140000008</v>
      </c>
      <c r="X58" s="3">
        <f>3001.2+(566.3-581.5)+(-9.183672+(-1.732878--1.77939))+0-530--1.62180000000006</f>
        <v>2448.4846399999997</v>
      </c>
      <c r="Y58" s="3">
        <f>2843.3+(580.2-584.5)+(-4.350249+(-0.887706--0.894285))+0-509.4--0.779382000000029</f>
        <v>2326.0357119999999</v>
      </c>
      <c r="Z58" s="3">
        <f>3108.3+(565.2-602.9)+(-6.340932+(-1.153008--1.229916))+0-578.8--1.18075199999997</f>
        <v>2486.7167279999999</v>
      </c>
      <c r="AA58" s="3">
        <f>3237.9+(670.5-863.7)+(-8.256645+(-1.709775--2.202435))+0-641.3--1.63531499999991</f>
        <v>2397.27133</v>
      </c>
      <c r="AB58" s="3">
        <f>3146.2+(800.9-1047.5)+(0+(0-0))+0-695-0</f>
        <v>2204.6</v>
      </c>
      <c r="AC58" s="3">
        <f>3140.8+(916.3-1269.1)+(-6.407232+(-1.869252--2.588964))+0-581.3--1.18585199999997</f>
        <v>2202.1983320000004</v>
      </c>
      <c r="AD58">
        <v>2336.9</v>
      </c>
      <c r="AE58" s="3">
        <f>3239+(603.5-833.6)+(0+(0-0))+0-672-0</f>
        <v>2336.9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3183.2+(1036.9-1450)+(-6.493728+(-2.115276--2.958))+0-654.1--1.33436399999997</f>
        <v>2111.68336</v>
      </c>
      <c r="G59" s="3">
        <f>3245.9+(968.6-1470.8)+(-3.310818+(-0.987972--1.500216))+0-703.2--0.717264000000112</f>
        <v>2038.4186900000004</v>
      </c>
      <c r="H59" s="3">
        <f>3269.8+(781.8-1415.8)+(-1.667598+(-0.398718--0.722058))+0-616--0.314159999999937</f>
        <v>2018.769902</v>
      </c>
      <c r="I59" s="3">
        <f>3271.7+(775-1375.7)+(-3.337134+(-0.7905--1.403214))+0-711.2--0.725424000000113</f>
        <v>1957.8010040000001</v>
      </c>
      <c r="J59" s="3">
        <f>3137+(691.1-1329.7)+(0+(0-0))+0-551.3-0</f>
        <v>1947.1000000000001</v>
      </c>
      <c r="K59" s="3">
        <f>3170.2+(712.7-1246.5)+(-6.467208+(-1.453908--2.54286))+0-708.3--1.44493199999997</f>
        <v>1924.1666759999996</v>
      </c>
      <c r="L59" s="3">
        <f>2697+(719.8-897.3)+(-6.87735+(-1.83549--2.288115))+0-581.6--1.48307999999992</f>
        <v>1932.9583550000002</v>
      </c>
      <c r="M59" s="3">
        <f>2726+(680.5-685.6)+(0+(0-0))+0-599.9-0</f>
        <v>2121</v>
      </c>
      <c r="N59" s="3">
        <f>2926.3+(557.3-683.3)+(-1.492413+(-0.284223--0.348483))+0-517.6--0.263975999999948</f>
        <v>2281.5358230000002</v>
      </c>
      <c r="O59" s="3">
        <f>3015.4+(476.4-516.9)+(-1.537854+(-0.242964--0.263619))+0-576.2--0.293861999999942</f>
        <v>2397.4766629999999</v>
      </c>
      <c r="P59" s="3">
        <f>3150.8+(578.2-712.3)+(-3.213816+(-0.589764--0.726546))+0-509.1--0.519282000000081</f>
        <v>2505.0422480000007</v>
      </c>
      <c r="Q59" s="3">
        <f>3220.3+(718.7-741)+(1.642353+(0.366537-0.37791))+0-640.3-0.326552999999935</f>
        <v>2559.0044269999999</v>
      </c>
      <c r="R59" s="3">
        <f>3324.1+(699.7-1005.5)+(-1.695291+(-0.356847--0.512805))+0-439.6--0.224195999999955</f>
        <v>2577.3848630000002</v>
      </c>
      <c r="S59" s="3">
        <f>3302.5+(730.1-1227.7)+(1.684275+(0.372351-0.626127))+0-410.1-0.209150999999958</f>
        <v>2396.0213480000002</v>
      </c>
      <c r="T59" s="3">
        <f>3327.3+(805.9-1300.8)+(-1.696923+(-0.411009--0.663408))+0-388.2--0.197981999999961</f>
        <v>2442.9534580000004</v>
      </c>
      <c r="U59" s="3">
        <f>3259.2+(836.7-1258.3)+(-8.31096+(-2.133585--3.208665))+0-360.1--0.918254999999948</f>
        <v>2471.1823749999999</v>
      </c>
      <c r="V59" s="3">
        <f>3144+(799.3-1036.9)+(-6.41376+(-1.630572--2.115276))+0-450.6--0.91922399999998</f>
        <v>2450.7901679999995</v>
      </c>
      <c r="W59" s="3">
        <f>3066.8+(799.5-926.4)+(-7.82034+(-2.038725--2.36232))+0-514--1.31069999999993</f>
        <v>2419.7139550000002</v>
      </c>
      <c r="X59" s="3">
        <f>2987.2+(805.7-965)+(-10.664304+(-2.876349--3.44505))+0-472.7--1.68753900000001</f>
        <v>2346.7919359999996</v>
      </c>
      <c r="Y59" s="3">
        <f>2972.3+(790.2-908.9)+(-3.031746+(-0.806004--0.927078))+0-580.1--0.591702000000093</f>
        <v>2271.1810300000006</v>
      </c>
      <c r="Z59" s="3">
        <f>3104.5+(865.9-854)+(-3.16659+(-0.883218--0.87108))+0-686.8--0.70053600000011</f>
        <v>2427.1218080000008</v>
      </c>
      <c r="AA59" s="3">
        <f>3212.5+(916.9-1135.2)+(-6.5535+(-1.870476--2.315808))+0-599--1.22195999999997</f>
        <v>2390.3137919999995</v>
      </c>
      <c r="AB59" s="3">
        <f>3131.7+(1011.1-1354.8)+(-7.985835+(-2.578305--3.45474))+0-476.2--1.21430999999993</f>
        <v>2305.9049100000002</v>
      </c>
      <c r="AC59" s="3">
        <f>3177.9+(1176.9-1369.8)+(-1.620729+(-0.600219--0.698598))+0-683.2--0.348431999999931</f>
        <v>2300.6260819999998</v>
      </c>
      <c r="AD59">
        <v>2421</v>
      </c>
      <c r="AE59" s="3">
        <f>3247+(903.3-928.4)+(0+(0-0))+0-800.9-0</f>
        <v>2421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3215.6+(969.1-1508.1)+(-8.19978+(-2.471205--3.845655))+0-544.8--1.38923999999992</f>
        <v>2126.3639099999996</v>
      </c>
      <c r="G60" s="3">
        <f>3221.9+(908.2-1494.3)+(-1.643169+(-0.463182--0.762093))+0-576.7--0.294116999999942</f>
        <v>2058.0498590000002</v>
      </c>
      <c r="H60" s="3">
        <f>3171.6+(881.6-1429.1)+(-6.470064+(-1.798464--2.915364))+0-640.6--1.30682399999997</f>
        <v>1979.4536599999999</v>
      </c>
      <c r="I60" s="3">
        <f>3114.7+(854.2-1362.1)+(-7.942485+(-2.17821--3.473355))+0-653.2--1.66565999999991</f>
        <v>1948.61832</v>
      </c>
      <c r="J60" s="3">
        <f>2945.8+(827.9-1070.2)+(-4.507074+(-1.266687--1.637406))+0-744.4--1.13893200000004</f>
        <v>1956.1025769999999</v>
      </c>
      <c r="K60" s="3">
        <f>2622.2+(803.8-806)+(-4.011966+(-1.229814--1.23318))+0-699.4--1.07008200000004</f>
        <v>1917.6614819999998</v>
      </c>
      <c r="L60" s="3">
        <f>2435.6+(741.4-828)+(-1.242156+(-0.378114--0.42228))+0-504.5--0.257294999999949</f>
        <v>1843.5593049999998</v>
      </c>
      <c r="M60" s="3">
        <f>2494.2+(867.9-641.1)+(-1.272042+(-0.442629--0.326961))+0-662.9--0.338078999999933</f>
        <v>2057.050369</v>
      </c>
      <c r="N60" s="3">
        <f>2713.5+(732.1-737.9)+(1.383885+(0.373371-0.376329))+0-483.3-0.246482999999951</f>
        <v>2225.5344439999999</v>
      </c>
      <c r="O60" s="3">
        <f>2859.7+(607.4-448.8)+(-4.375341+(-0.929322--0.686664))+0-646--0.988380000000037</f>
        <v>2368.6703809999999</v>
      </c>
      <c r="P60" s="3">
        <f>3095.6+(641.5-736.7)+(-3.157512+(-0.65433--0.751434))+0-511.1--0.521322000000082</f>
        <v>2486.760914</v>
      </c>
      <c r="Q60" s="3">
        <f>3351.2+(758-1000.2)+(-3.418224+(-0.77316--1.020204))+0-495--0.504900000000079</f>
        <v>2611.3337200000001</v>
      </c>
      <c r="R60" s="3">
        <f>3279.9+(1016.7-1164.4)+(1.672749+(0.518517-0.593844))+0-588.2-0.29998199999994</f>
        <v>2545.2974399999998</v>
      </c>
      <c r="S60" s="3">
        <f>3152.4+(1137.1-1264.6)+(-1.607724+(-0.579921--0.644946))+0-670.3--0.341852999999932</f>
        <v>2353.3991539999997</v>
      </c>
      <c r="T60" s="3">
        <f>3123.7+(1085.5-1311.5)+(1.593087+(0.553605-0.668865))+0-529.6-0.270095999999946</f>
        <v>2369.3077310000003</v>
      </c>
      <c r="U60" s="3">
        <f>3120.5+(1195-1290.4)+(-4.774365+(-1.82835--1.974312))+0-700.2--1.07130600000004</f>
        <v>2321.3429029999998</v>
      </c>
      <c r="V60" s="3">
        <f>3093.6+(1100.6-1163.8)+(-1.577736+(-0.561306--0.593538))+0-630.2--0.321401999999936</f>
        <v>2398.9758979999992</v>
      </c>
      <c r="W60" s="3">
        <f>3060.5+(929.2-953.9)+(-7.804275+(-2.36946--2.432445))+0-677--1.7263499999999</f>
        <v>2352.7850600000002</v>
      </c>
      <c r="X60" s="3">
        <f>3040.5+(813.6-945.7)+(-7.753275+(-2.07468--2.411535))+0-630.3--1.60726499999991</f>
        <v>2272.290845</v>
      </c>
      <c r="Y60" s="3">
        <f>2862.9+(790-748.2)+(-4.380237+(-1.2087--1.144746))+0-703.1--1.07574300000004</f>
        <v>2198.2315519999997</v>
      </c>
      <c r="Z60" s="3">
        <f>3137.1+(717.9-880.9)+(-4.799763+(-1.098387--1.347777))+0-615.6--0.941868000000036</f>
        <v>2354.8914949999998</v>
      </c>
      <c r="AA60" s="3">
        <f>3061.7+(785.5-1062.8)+(-7.807335+(-2.003025--2.71014))+0-572.1--1.45885499999992</f>
        <v>2206.6586349999998</v>
      </c>
      <c r="AB60" s="3">
        <f>2990.5+(825.9-1012.3)+(-3.05031+(-0.842418--1.032546))+0-606.2--0.618324000000097</f>
        <v>2195.6581420000002</v>
      </c>
      <c r="AC60" s="3">
        <f>2966.8+(925.1-1133.3)+(0+(0-0))+0-606.1-0</f>
        <v>2152.5000000000005</v>
      </c>
      <c r="AD60">
        <v>2328.1999999999998</v>
      </c>
      <c r="AE60" s="3">
        <f>3163+(677.1-942.2)+(0+(0-0))+0-569.7-0</f>
        <v>2328.1999999999998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2952.1+(971.1-1214.6)+(0+(0-0))+0-624.1-0</f>
        <v>2084.5</v>
      </c>
      <c r="G61" s="3">
        <f>2956+(980.1-1311)+(-6.03024+(-1.999404--2.67444))+0-636--1.29743999999997</f>
        <v>1985.042236</v>
      </c>
      <c r="H61" s="3">
        <f>2955.9+(974.1-1169.5)+(0+(0-0))+0-797.7-0</f>
        <v>1962.8</v>
      </c>
      <c r="I61" s="3">
        <f>2967.7+(864.3-1212.9)+(-1.513527+(-0.440793--0.618579))+0-632.5--0.322574999999936</f>
        <v>1985.5868339999995</v>
      </c>
      <c r="J61" s="3">
        <f>2979.1+(652.3-930.4)+(0+(0-0))+0-778.3-0</f>
        <v>1922.7</v>
      </c>
      <c r="K61" s="3">
        <f>2971.7+(588.6-1134.9)+(-6.062268+(-1.200744--2.315196))+0-589.7--1.20298799999997</f>
        <v>1831.9551719999997</v>
      </c>
      <c r="L61" s="3">
        <f>2595.3+(764.6-928.3)+(-11.912427+(-3.509514--4.260897))+0-693.9--3.18500100000012</f>
        <v>1729.7239570000004</v>
      </c>
      <c r="M61" s="3">
        <f>2439.7+(822.8-853.4)+(1.244247+(0.419628-0.435234))+0-623.4-0.317933999999937</f>
        <v>1786.610707</v>
      </c>
      <c r="N61" s="3">
        <f>2666.7+(710-863.9)+(-2.720034+(-0.7242--0.881178))+0-580.8--0.592416000000093</f>
        <v>1930.02936</v>
      </c>
      <c r="O61" s="3">
        <f>2711+(680.2-723.8)+(0+(0-0))+0-623.9-0</f>
        <v>2043.5</v>
      </c>
      <c r="P61" s="3">
        <f>2801.3+(613.9-627.8)+(-1.428663+(-0.313089--0.320178))+0-662.6--0.337925999999933</f>
        <v>2123.7163520000004</v>
      </c>
      <c r="Q61" s="3">
        <f>3042.9+(499.1-808)+(3.103758+(0.509082-0.82416))+0-584.6-0.596292000000093</f>
        <v>2151.592388</v>
      </c>
      <c r="R61" s="3">
        <f>3093.2+(607.7-905.8)+(-4.732596+(-0.929781--1.385874))+0-694.2--1.06212600000004</f>
        <v>2097.6856229999999</v>
      </c>
      <c r="S61" s="3">
        <f>3076.5+(634.3-1166.4)+(0+(0-0))+0-543.8-0</f>
        <v>2000.5999999999997</v>
      </c>
      <c r="T61" s="3">
        <f>3063.2+(846.2-1366.4)+(-4.686696+(-1.294686--2.090592))+0-578--0.884340000000033</f>
        <v>1961.9935500000001</v>
      </c>
      <c r="U61" s="3">
        <f>3057.2+(946.2-1367.6)+(-1.559172+(-0.482562--0.697476))+0-602.7--0.307376999999939</f>
        <v>2032.0631189999999</v>
      </c>
      <c r="V61" s="3">
        <f>3057+(931.1-1293.7)+(1.55907+(0.474861-0.659787))+0-721.5-0.367964999999927</f>
        <v>1973.9061790000001</v>
      </c>
      <c r="W61" s="3">
        <f>3003.7+(883.6-1297.4)+(-7.659435+(-2.25318--3.30837))+0-558.8--1.42493999999992</f>
        <v>2025.9206949999996</v>
      </c>
      <c r="X61" s="3">
        <f>2890.3+(789.3-1117.5)+(-8.844318+(-2.415258--3.41955))+0-517.9--1.58477400000006</f>
        <v>2037.9447480000006</v>
      </c>
      <c r="Y61" s="3">
        <f>2808.1+(746.7-890.8)+(-4.296393+(-1.142451--1.362924))+0-681--1.04193000000004</f>
        <v>1979.9660099999999</v>
      </c>
      <c r="Z61" s="3">
        <f>2998+(749.4-854.9)+(1.52898+(0.382194-0.435999))+0-676.5-0.345014999999931</f>
        <v>2217.1301600000002</v>
      </c>
      <c r="AA61" s="3">
        <f>3141.6+(715-867.2)+(0+(0-0))+0-749.4-0</f>
        <v>2239.9999999999995</v>
      </c>
      <c r="AB61" s="3">
        <f>3154.3+(684.7-1046.7)+(0+(0-0))+0-625.1-0</f>
        <v>2167.2000000000003</v>
      </c>
      <c r="AC61" s="3">
        <f>3160.5+(806.3-1216.5)+(-4.835565+(-1.233639--1.861245))+0-707.9--1.08308700000004</f>
        <v>2039.2751280000002</v>
      </c>
      <c r="AD61">
        <v>2274.5</v>
      </c>
      <c r="AE61" s="3">
        <f>3119+(794-839.5)+(0+(0-0))+0-799-0</f>
        <v>2274.5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3119+(806.5-1380.1)+(-1.59069+(-0.411315--0.703851))+0-586.9--0.29931899999994</f>
        <v>1957.5011649999999</v>
      </c>
      <c r="G62" s="3">
        <f>3081.9+(852.5-1423.4)+(-3.143538+(-0.86955--1.451868))+0-631.1--0.643722000000101</f>
        <v>1877.9825020000001</v>
      </c>
      <c r="H62" s="3">
        <f>3062.8+(855-1388.8)+(-4.686084+(-1.30815--2.124864))+0-655.7--1.00322100000004</f>
        <v>1870.433851</v>
      </c>
      <c r="I62" s="3">
        <f>3080.4+(850.9-1450.5)+(-3.142008+(-0.867918--1.47951))+0-636.9--0.649638000000102</f>
        <v>1842.0192220000001</v>
      </c>
      <c r="J62" s="3">
        <f>3081.9+(898.9-1328.4)+(-4.715307+(-1.375317--2.032452))+0-814.1--1.24557300000005</f>
        <v>1835.4874010000003</v>
      </c>
      <c r="K62" s="3">
        <f>2834.8+(911.5-1263.9)+(-7.22874+(-2.324325--3.222945))+0-617.3--1.57411499999991</f>
        <v>1860.3439949999999</v>
      </c>
      <c r="L62" s="3">
        <f>2565.5+(870.4-872)+(-1.308405+(-0.443904--0.44472))+0-673.6--0.343535999999932</f>
        <v>1889.335947</v>
      </c>
      <c r="M62" s="3">
        <f>2635.4+(804.6-709.1)+(-1.344054+(-0.410346--0.361641))+0-678.2--0.345881999999931</f>
        <v>2051.6531230000005</v>
      </c>
      <c r="N62" s="3">
        <f>2740.3+(645.9-596.4)+(-1.397553+(-0.329409--0.304164))+0-497.4--0.25367399999995</f>
        <v>2291.2308760000001</v>
      </c>
      <c r="O62" s="3">
        <f>3127.7+(496.4-457.9)+(0+(0-0))+0-682.6-0</f>
        <v>2483.6</v>
      </c>
      <c r="P62" s="3">
        <f>3120.1+(610.7-448.4)+(-1.591251+(-0.311457--0.228684))+0-716.5--0.365414999999927</f>
        <v>2564.5913909999999</v>
      </c>
      <c r="Q62" s="3">
        <f>3111.8+(796.3-574.9)+(0+(0-0))+0-707.9-0</f>
        <v>2625.3</v>
      </c>
      <c r="R62" s="3">
        <f>3138.3+(1013.6-758)+(1.600533+(0.516936-0.38658))+0-754.7-0.384896999999923</f>
        <v>2640.5459920000003</v>
      </c>
      <c r="S62" s="3">
        <f>3166.6+(877.9-1141.7)+(-3.229932+(-0.895458--1.164534))+0-699.7--0.713694000000112</f>
        <v>2200.8528379999998</v>
      </c>
      <c r="T62" s="3">
        <f>3152.1+(1189.1-1192.9)+(1.607571+(0.606441-0.608379))+0-623.9-0.318188999999937</f>
        <v>2525.6874439999997</v>
      </c>
      <c r="U62" s="3">
        <f>3128.8+(1205.6-1249.1)+(-1.595688+(-0.614856--0.637041))+0-598.7--0.305336999999939</f>
        <v>2485.3318339999996</v>
      </c>
      <c r="V62" s="3">
        <f>3131.2+(1190.4-1093.6)+(-6.387648+(-2.428416--2.230944))+0-762.3--1.55509199999997</f>
        <v>2460.6699720000001</v>
      </c>
      <c r="W62" s="3">
        <f>3158.1+(1056.8-1032.5)+(-9.663786+(-3.233808--3.15945))+0-754.8--2.30968800000009</f>
        <v>2420.1715439999998</v>
      </c>
      <c r="X62" s="3">
        <f>3130+(683-713)+(-4.7889+(-1.04499--1.09089))+0-670.6--1.02601800000004</f>
        <v>2425.6830180000002</v>
      </c>
      <c r="Y62" s="3">
        <f>3073.7+(580.8-673.5)+(-1.567587+(-0.296208--0.343485))+0-610--0.311099999999938</f>
        <v>2369.79079</v>
      </c>
      <c r="Z62" s="3">
        <f>3190.3+(650.4-631.9)+(-1.627053+(-0.331704--0.322269))+0-743.4--0.379133999999925</f>
        <v>2464.1426459999998</v>
      </c>
      <c r="AA62" s="3">
        <f>3226.5+(752.3-835.2)+(-4.936545+(-1.151019--1.277856))+0-733.6--1.12240800000004</f>
        <v>2406.3127000000004</v>
      </c>
      <c r="AB62" s="3">
        <f>3236.3+(761.3-1032.2)+(-4.951539+(-1.164789--1.579266))+0-641.8--0.981954000000037</f>
        <v>2320.0448919999999</v>
      </c>
      <c r="AC62" s="3">
        <f>3171.5+(907.3-1083.7)+(-6.46986+(-1.850892--2.210748))+0-770.8--1.57243199999997</f>
        <v>2219.762428</v>
      </c>
      <c r="AD62">
        <v>2206</v>
      </c>
      <c r="AE62" s="3">
        <f>3219+(690-803)+(0+(0-0))+0-900-0</f>
        <v>2206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3144.9+(992-1216.7)+(-6.415596+(-2.02368--2.482068))+0-761--1.55243999999997</f>
        <v>2154.7952319999999</v>
      </c>
      <c r="G63" s="3">
        <f>3178.9+(893.8-1224.7)+(-8.106195+(-2.27919--3.122985))+0-683.3--1.7424149999999</f>
        <v>2159.1800149999999</v>
      </c>
      <c r="H63" s="3">
        <f>3051.2+(850.9-1161.4)+(-3.112224+(-0.867918--1.184628))+0-697.8--0.711756000000111</f>
        <v>2040.8162420000001</v>
      </c>
      <c r="I63" s="3">
        <f>2921.8+(856.7-1199.7)+(-5.960472+(-1.747668--2.447388))+0-628--1.28111999999997</f>
        <v>1946.8203679999999</v>
      </c>
      <c r="J63" s="3">
        <f>2926+(876.6-1081.6)+(-10.44582+(-3.129462--3.861312))+0-778.8--2.78031600000001</f>
        <v>1935.2663460000003</v>
      </c>
      <c r="K63" s="3">
        <f>2684.7+(905.9-896.8)+(-9.584379+(-3.234063--3.201576))+0-751.1--2.68142700000001</f>
        <v>1935.764561</v>
      </c>
      <c r="L63" s="3">
        <f>2441.7+(960.3-766.9)+(-3.735801+(-1.469259--1.173357))+0-670.2--1.02540600000004</f>
        <v>1961.8937029999997</v>
      </c>
      <c r="M63" s="3">
        <f>2437.9+(967.4-545.8)+(2.486658+(0.986748-0.556716))+0-653.2-0.666264000000104</f>
        <v>2208.5504260000002</v>
      </c>
      <c r="N63" s="3">
        <f>2678.5+(775.4-392.6)+(1.366035+(0.395454-0.200226))+0-648.9-0.330938999999934</f>
        <v>2413.6303240000002</v>
      </c>
      <c r="O63" s="3">
        <f>2843.4+(646.5-430.4)+(-1.450134+(-0.329715--0.219504))+0-559.6--0.285395999999943</f>
        <v>2498.625051</v>
      </c>
      <c r="P63" s="3">
        <f>2993.2+(832.5-595.6)+(-1.526532+(-0.424575--0.303756))+0-605.4--0.308753999999939</f>
        <v>2623.3614029999999</v>
      </c>
      <c r="Q63" s="3">
        <f>2967.9+(778.9-644)+(-4.540887+(-1.191717--0.98532))+0-339.3--0.51912900000002</f>
        <v>2759.2718449999998</v>
      </c>
      <c r="R63" s="3">
        <f>2955+(1115.1-818.5)+(0+(0-0))+0-704.9-0</f>
        <v>2546.6999999999998</v>
      </c>
      <c r="S63" s="3">
        <f>2947.4+(1075.4-936.6)+(-1.503174+(-0.548454--0.477666))+0-676.1--0.344810999999931</f>
        <v>2408.8708490000004</v>
      </c>
      <c r="T63" s="3">
        <f>2934.6+(1101.9-959.6)+(0+(0-0))+0-523.4-0</f>
        <v>2553.5</v>
      </c>
      <c r="U63" s="3">
        <f>2935.5+(1035.6-1052.5)+(-5.98842+(-2.112624--2.1471))+0-380.6--0.776423999999983</f>
        <v>2532.8224800000003</v>
      </c>
      <c r="V63" s="3">
        <f>2931.3+(998.3-964.7)+(-4.484889+(-1.527399--1.475991))+0-371.2--0.567936000000021</f>
        <v>2589.7316390000001</v>
      </c>
      <c r="W63" s="3">
        <f>2941.9+(835.6-873.6)+(-4.501107+(-1.278468--1.336608))+0-439.9--0.673047000000025</f>
        <v>2460.2300800000003</v>
      </c>
      <c r="X63" s="3">
        <f>2726.6+(856.1-708.7)+(-12.515094+(-3.929499--3.252933))+0-510.3--2.34227700000009</f>
        <v>2352.8506170000001</v>
      </c>
      <c r="Y63" s="3">
        <f>2528.8+(836.1-489.6)+(-5.158752+(-1.705644--0.998784))+0-475.1--0.969203999999979</f>
        <v>2395.3035920000002</v>
      </c>
      <c r="Z63" s="3">
        <f>2918.7+(827.9-693.8)+(-4.465611+(-1.266687--1.061514))+0-577.7--0.883881000000033</f>
        <v>2471.3130969999997</v>
      </c>
      <c r="AA63" s="3">
        <f>3136.1+(713.4-836.1)+(-9.596466+(-2.183004--2.558466))+0-594.4--1.81886400000007</f>
        <v>2411.5978599999994</v>
      </c>
      <c r="AB63" s="3">
        <f>2989.1+(858.7-958.2)+(-6.097764+(-1.751748--1.954728))+0-533.8--1.08895199999998</f>
        <v>2350.9941680000002</v>
      </c>
      <c r="AC63" s="3">
        <f>2978.3+(948.3-955.4)+(-1.518933+(-0.483633--0.487254))+0-595--0.30344999999994</f>
        <v>2374.9881380000002</v>
      </c>
      <c r="AD63">
        <v>2393.9000000000005</v>
      </c>
      <c r="AE63" s="3">
        <f>3121+(701.8-810.7)+(0+(0-0))+0-618.2-0</f>
        <v>2393.8999999999996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2934.1+(867.3-1188.8)+(-7.481955+(-2.211615--3.03144))+0-381.3--0.972314999999945</f>
        <v>2225.6101849999995</v>
      </c>
      <c r="G64" s="3">
        <f>2831.5+(861.7-964.2)+(-1.444065+(-0.439467--0.491742))+0-628.6--0.320585999999936</f>
        <v>2099.3287959999998</v>
      </c>
      <c r="H64" s="3">
        <f>2833.4+(838-951.8)+(2.890068+(0.85476-0.970836))+0-671.6-0.685032000000107</f>
        <v>2050.08896</v>
      </c>
      <c r="I64" s="3">
        <f>2853.6+(751.1-1003)+(-4.366008+(-1.149183--1.53459))+0-545.4--0.834462000000031</f>
        <v>2053.1538609999998</v>
      </c>
      <c r="J64" s="3">
        <f>2746.1+(802.7-929.8)+(-5.602044+(-1.637508--1.896792))+0-624.3--1.27357199999997</f>
        <v>1990.6308120000001</v>
      </c>
      <c r="K64" s="3">
        <f>2603.3+(865-825.3)+(-10.621464+(-3.5292--3.367224))+0-633--2.58263999999994</f>
        <v>2001.7991999999997</v>
      </c>
      <c r="L64" s="3">
        <f>2557.7+(840.2-744.7)+(-9.130989+(-2.999514--2.658579))+0-699.3--2.49650100000001</f>
        <v>1946.924577</v>
      </c>
      <c r="M64" s="3">
        <f>2586.8+(739.3-612.9)+(0+(0-0))+0-476-0</f>
        <v>2237.2000000000003</v>
      </c>
      <c r="N64" s="3">
        <f>2757.5+(730.1-483.8)+(-5.6253+(-1.489404--0.986952))+0-592.5--1.20869999999997</f>
        <v>2406.3809480000004</v>
      </c>
      <c r="O64" s="3">
        <f>2853+(705.9-483.6)+(2.91006+(0.720018-0.493272))+0-558.5-0.569670000000089</f>
        <v>2519.3671359999998</v>
      </c>
      <c r="P64" s="3">
        <f>2976.8+(621.9-418)+(1.518168+(0.317169-0.21318))+0-549-0.279989999999944</f>
        <v>2633.0421670000001</v>
      </c>
      <c r="Q64" s="3">
        <f>2966.3+(704.7-416.5)+(-1.512813+(-0.359397--0.212415))+0-538.6--0.274685999999945</f>
        <v>2714.5148909999998</v>
      </c>
      <c r="R64" s="3">
        <f>2972.5+(893.9-555.8)+(0+(0-0))+0-660.1-0</f>
        <v>2650.5</v>
      </c>
      <c r="S64" s="3">
        <f>2956.4+(849.9-890.8)+(-4.523292+(-1.300347--1.362924))+0-610.2--0.933606000000035</f>
        <v>2301.7728910000001</v>
      </c>
      <c r="T64" s="3">
        <f>2949.9+(904-905.5)+(-1.504449+(-0.46104--0.461805))+0-589.6--0.30069599999994</f>
        <v>2357.5970120000002</v>
      </c>
      <c r="U64" s="3">
        <f>2954.8+(1131.7-970.9)+(1.506948+(0.577167-0.495159))+0-528-0.269279999999946</f>
        <v>2588.9196760000004</v>
      </c>
      <c r="V64" s="3">
        <f>2874.9+(978.5-749.6)+(-4.398597+(-1.497105--1.146888))+0-506.6--0.775098000000029</f>
        <v>2593.2262840000003</v>
      </c>
      <c r="W64" s="3">
        <f>2675.4+(877.6-564.6)+(-5.457816+(-1.790304--1.151784))+0-555.5--1.13321999999998</f>
        <v>2427.9368840000002</v>
      </c>
      <c r="X64" s="3">
        <f>2700.8+(784.1-443.5)+(-8.264448+(-2.399346--1.35711))+0-624.4--1.91066400000007</f>
        <v>2409.6039799999999</v>
      </c>
      <c r="Y64" s="3">
        <f>2745.4+(614.6-340.1)+(0+(0-0))+0-634.5-0</f>
        <v>2385.4</v>
      </c>
      <c r="Z64" s="3">
        <f>2875.8+(550.6-382.5)+(-2.933316+(-0.561612--0.39015))+0-537.2--0.547944000000086</f>
        <v>2504.1431659999998</v>
      </c>
      <c r="AA64" s="3">
        <f>2948.1+(497-426.6)+(-3.007062+(-0.50694--0.435132))+0-649.6--0.662592000000104</f>
        <v>2366.4837220000004</v>
      </c>
      <c r="AB64" s="3">
        <f>2990.1+(492.8-587.2)+(-4.574853+(-0.753984--0.898416))+0-562.2--0.860166000000033</f>
        <v>2329.9297449999999</v>
      </c>
      <c r="AC64" s="3">
        <f>3010.5+(530.8-520.4)+(-7.676775+(-1.35354--1.32702))+0-628.6--1.60292999999991</f>
        <v>2386.1996350000004</v>
      </c>
      <c r="AD64">
        <v>2439.1999999999998</v>
      </c>
      <c r="AE64" s="3">
        <f>2935+(567.7-334.1)+(0+(0-0))+0-729.4-0</f>
        <v>2439.1999999999998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2940.3+(624.5-720.5)+(-7.497765+(-1.592475--1.837275))+0-615.5--1.56952499999991</f>
        <v>2223.1165599999999</v>
      </c>
      <c r="G65" s="3">
        <f>2958+(545.5-742.4)+(-7.5429+(-1.391025--1.89312))+0-601.3--1.53331499999991</f>
        <v>2154.2925099999998</v>
      </c>
      <c r="H65" s="3">
        <f>3018.6+(574.2-894.9)+(-3.078972+(-0.585684--0.912798))+0-666.8--0.680136000000106</f>
        <v>2029.0282780000002</v>
      </c>
      <c r="I65" s="3">
        <f>2903.9+(569.3-997.9)+(-5.923956+(-1.161372--2.035716))+0-564.2--1.15096799999998</f>
        <v>1907.2013560000003</v>
      </c>
      <c r="J65" s="3">
        <f>2895.6+(627.4-992.1)+(-7.38378+(-1.59987--2.529855))+0-577.2--1.47185999999992</f>
        <v>1948.7180649999996</v>
      </c>
      <c r="K65" s="3">
        <f>2656.1+(776.4-859.5)+(-4.063833+(-1.187892--1.315035))+0-574.1--0.878373000000033</f>
        <v>1995.8416830000001</v>
      </c>
      <c r="L65" s="3">
        <f>2501.4+(731.4-552.4)+(-3.827142+(-1.119042--0.845172))+0-693.5--1.06105500000004</f>
        <v>1983.8600430000001</v>
      </c>
      <c r="M65" s="3">
        <f>2676.2+(544.6-466.8)+(4.094586+(0.833238-0.714204))+0-546.3-0.835839000000032</f>
        <v>2211.0777810000004</v>
      </c>
      <c r="N65" s="3">
        <f>3121.1+(328.2-450.4)+(-6.367044+(-0.669528--0.918816))+0-560.9--1.14423599999998</f>
        <v>2433.02648</v>
      </c>
      <c r="O65" s="3">
        <f>3227.8+(344.3-529.2)+(-4.938534+(-0.526779--0.809676))+0-657.9--1.00658700000004</f>
        <v>2381.35095</v>
      </c>
      <c r="P65" s="3">
        <f>3235.6+(336.5-504.8)+(-1.650156+(-0.171615--0.257448))+0-562--0.286619999999943</f>
        <v>2504.0222969999995</v>
      </c>
      <c r="Q65" s="3">
        <f>3230.6+(553.9-473.4)+(0+(0-0))+0-658.3-0</f>
        <v>2652.8</v>
      </c>
      <c r="R65" s="3">
        <f>3179.6+(655.9-607.1)+(-4.864788+(-1.003527--0.928863))+0-590--0.902700000000034</f>
        <v>2634.3632479999997</v>
      </c>
      <c r="S65" s="3">
        <f>3161.2+(806.2-762.1)+(-3.224424+(-0.822324--0.777342))+0-740.4--0.755208000000118</f>
        <v>2462.3858019999998</v>
      </c>
      <c r="T65" s="3">
        <f>3203.5+(667-808.8)+(-1.633785+(-0.34017--0.412488))+0-539.5--0.275144999999945</f>
        <v>2520.9136779999999</v>
      </c>
      <c r="U65" s="3">
        <f>3270.4+(720.4-825.2)+(-8.33952+(-1.83702--2.10426))+0-634.5--1.61797499999991</f>
        <v>2524.6456950000002</v>
      </c>
      <c r="V65" s="3">
        <f>3159+(552.4-625.8)+(-11.27763+(-1.972068--2.234106))+0-611.1--2.18162700000001</f>
        <v>2465.6660349999997</v>
      </c>
      <c r="W65" s="3">
        <f>3159.6+(418.1-448.7)+(-11.279772+(-1.492617--1.601859))+0-645.7--2.30514900000001</f>
        <v>2474.4346189999997</v>
      </c>
      <c r="X65" s="3">
        <f>2961.2+(500.1-432.5)+(-12.081696+(-2.040408--1.7646))+0-656.4--2.67811199999994</f>
        <v>2362.7206079999996</v>
      </c>
      <c r="Y65" s="3">
        <f>2796.6+(574.8-442.8)+(-7.13133+(-1.46574--1.12914))+0-650--1.65749999999991</f>
        <v>2272.7895699999999</v>
      </c>
      <c r="Z65" s="3">
        <f>3098.5+(499.7-480.1)+(-1.580235+(-0.254847--0.244851))+0-641.6--0.327215999999935</f>
        <v>2475.236985</v>
      </c>
      <c r="AA65" s="3">
        <f>3194+(396.4-512.4)+(-8.1447+(-1.01082--1.30662))+0-683.5--1.7429249999999</f>
        <v>2388.3940250000001</v>
      </c>
      <c r="AB65" s="3">
        <f>3097.8+(414.1-546.3)+(-6.319512+(-0.844764--1.114452))+0-614.7--1.25398799999997</f>
        <v>2346.1041639999999</v>
      </c>
      <c r="AC65" s="3">
        <f>3138.4+(572.9-686.3)+(-6.402336+(-1.168716--1.400052))+0-695.5--1.41881999999997</f>
        <v>2324.74782</v>
      </c>
      <c r="AD65">
        <v>2433.3999999999996</v>
      </c>
      <c r="AE65" s="3">
        <f>3177+(490.2-495)+(0+(0-0))+0-738.8-0</f>
        <v>2433.3999999999996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3045.5+(504.7-778.6)+(0+(0-0))+0-584.5-0</f>
        <v>2187.1</v>
      </c>
      <c r="G66" s="3">
        <f>3063.2+(720.5-950.2)+(-4.686696+(-1.102365--1.453806))+0-740.1--1.13235300000004</f>
        <v>2090.1970980000001</v>
      </c>
      <c r="H66" s="3">
        <f>3074.3+(744.6-1110.3)+(-3.135786+(-0.759492--1.132506))+0-687.1--0.70084200000011</f>
        <v>2019.4380700000006</v>
      </c>
      <c r="I66" s="3">
        <f>3086.6+(739.5-1158)+(-1.574166+(-0.377145--0.59058))+0-671.2--0.342311999999932</f>
        <v>1995.8815809999996</v>
      </c>
      <c r="J66" s="3">
        <f>2950.9+(766.7-967.6)+(-7.524795+(-1.955085--2.46738))+0-754.9--1.92499499999989</f>
        <v>1990.0124949999999</v>
      </c>
      <c r="K66" s="3">
        <f>2825.1+(730.8-912)+(-7.204005+(-1.86354--2.3256))+0-650.8--1.65953999999991</f>
        <v>1988.0175949999993</v>
      </c>
      <c r="L66" s="3">
        <f>2725+(660.5-672.5)+(-1.38975+(-0.336855--0.342975))+0-759.3--0.387242999999923</f>
        <v>1952.7036130000001</v>
      </c>
      <c r="M66" s="3">
        <f>2768.8+(428.5-567)+(1.412088+(0.218535-0.28917))+0-509.8-0.259997999999948</f>
        <v>2121.581455</v>
      </c>
      <c r="N66" s="3">
        <f>2974.8+(433.9-489.4)+(1.517148+(0.221289-0.249594))+0-562-0.286619999999943</f>
        <v>2358.5022230000004</v>
      </c>
      <c r="O66" s="3">
        <f>3041.7+(413.3-409)+(-1.551267+(-0.210783--0.20859))+0-550.5--0.280754999999944</f>
        <v>2494.2272949999997</v>
      </c>
      <c r="P66" s="3">
        <f>3059.1+(337.7-344.7)+(1.560141+(0.172227-0.175797))+0-479.1-0.244340999999951</f>
        <v>2574.31223</v>
      </c>
      <c r="Q66" s="3">
        <f>3087.5+(326.5-234.2)+(-1.574625+(-0.166515--0.119442))+0-522.2--0.266321999999947</f>
        <v>2656.2446240000004</v>
      </c>
      <c r="R66" s="3">
        <f>3284.6+(342.8-500.4)+(-1.675146+(-0.174828--0.255204))+0-538--0.274379999999945</f>
        <v>2587.6796099999997</v>
      </c>
      <c r="S66" s="3">
        <f>3320.5+(480.7-745.1)+(-3.38691+(-0.490314--0.760002))+0-605.9--0.618018000000097</f>
        <v>2447.7007960000001</v>
      </c>
      <c r="T66" s="3">
        <f>3306.7+(528.5-779.8)+(0+(0-0))+0-535.4-0</f>
        <v>2519.9999999999995</v>
      </c>
      <c r="U66" s="3">
        <f>3284.3+(607.9-740.3)+(-10.049958+(-1.860174--2.265318))+0-560.8--1.71604800000006</f>
        <v>2583.1712340000004</v>
      </c>
      <c r="V66" s="3">
        <f>3267.7+(516.3-693.3)+(-8.332635+(-1.316565--1.767915))+0-591.6--1.50857999999991</f>
        <v>2492.7272949999997</v>
      </c>
      <c r="W66" s="3">
        <f>3226.5+(407.2-517.5)+(-9.87309+(-1.246032--1.58355))+0-614.8--1.88128800000007</f>
        <v>2493.7457159999999</v>
      </c>
      <c r="X66" s="3">
        <f>3094.7+(409.9-439.4)+(-7.891485+(-1.045245--1.12047))+0-574--1.46369999999992</f>
        <v>2484.8474399999996</v>
      </c>
      <c r="Y66" s="3">
        <f>2841.4+(402-302.9)+(-1.449114+(-0.20502--0.154479))+0-577.1--0.294320999999941</f>
        <v>2362.1946659999999</v>
      </c>
      <c r="Z66" s="3">
        <f>3262+(393.6-421.2)+(-3.32724+(-0.401472--0.429624))+0-528.8--0.539376000000084</f>
        <v>2702.8402879999999</v>
      </c>
      <c r="AA66" s="3">
        <f>3367.1+(264.9-482.8)+(-6.868884+(-0.540396--0.984912))+0-653.8--1.33375199999997</f>
        <v>2490.3093839999997</v>
      </c>
      <c r="AB66" s="3">
        <f>3292.9+(333.7-546.9)+(-8.396895+(-0.850935--1.394595))+0-682.3--1.7398649999999</f>
        <v>2391.2866300000001</v>
      </c>
      <c r="AC66" s="3">
        <f>3293.8+(565.1-728.5)+(-5.039514+(-0.864603--1.114605))+0-763--1.16739000000004</f>
        <v>2363.7778780000003</v>
      </c>
      <c r="AD66">
        <v>2769</v>
      </c>
      <c r="AE66" s="3">
        <f>3336+(393-438.1)+(0+(0-0))+0-521.9-0</f>
        <v>2769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3282.4+(706.8-1149.2)+(-8.37012+(-1.80234--2.93046))+0-626.2--1.59680999999991</f>
        <v>2208.15481</v>
      </c>
      <c r="G67" s="3">
        <f>3291.5+(723.3-1125.1)+(-6.71466+(-1.475532--2.295204))+0-795.5--1.62281999999997</f>
        <v>2089.9278319999999</v>
      </c>
      <c r="H67" s="3">
        <f>3050.7+(868-1135.1)+(-4.667571+(-1.32804--1.736703))+0-675.9--1.03412700000004</f>
        <v>2104.4752189999999</v>
      </c>
      <c r="I67" s="3">
        <f>2965.6+(882.9-1125.4)+(-6.049824+(-1.801116--2.295816))+0-683.8--1.39495199999997</f>
        <v>2035.1398279999999</v>
      </c>
      <c r="J67" s="3">
        <f>2815.2+(853.4-1028.6)+(1.435752+(0.435234-0.524586))+0-651.4-0.332213999999934</f>
        <v>1989.6141859999998</v>
      </c>
      <c r="K67" s="3">
        <f>2798.3+(801.7-907.7)+(-7.135665+(-2.044335--2.314635))+0-713.7--1.8199349999999</f>
        <v>1973.55457</v>
      </c>
      <c r="L67" s="3">
        <f>2592.5+(755.9-713.3)+(-3.966525+(-1.156527--1.091349))+0-618.6--0.946458000000036</f>
        <v>2013.414755</v>
      </c>
      <c r="M67" s="3">
        <f>2567.1+(767.5-377.7)+(6.546105+(1.957125-0.963135))+0-765.1-1.95100499999989</f>
        <v>2197.3890900000001</v>
      </c>
      <c r="N67" s="3">
        <f>2720.3+(610.9-388.9)+(-1.387353+(-0.311559--0.198339))+0-591.5--0.30166499999994</f>
        <v>2349.6010920000003</v>
      </c>
      <c r="O67" s="3">
        <f>2748.4+(706.4-292)+(2.803368+(0.720528-0.29784))+0-691.6-0.70543200000011</f>
        <v>2473.720624</v>
      </c>
      <c r="P67" s="3">
        <f>2948.9+(721.9-372.9)+(-1.503939+(-0.368169--0.190179))+0-638.4--0.325583999999935</f>
        <v>2658.1436549999999</v>
      </c>
      <c r="Q67" s="3">
        <f>3246.4+(701-684.1)+(3.311328+(0.71502-0.697782))+0-545.8-0.556716000000087</f>
        <v>2720.2718500000001</v>
      </c>
      <c r="R67" s="3">
        <f>3436.6+(829.1-962.2)+(-3.505332+(-0.845682--0.981444))+0-684--0.697680000000109</f>
        <v>2616.8281100000004</v>
      </c>
      <c r="S67" s="3">
        <f>3443.1+(744.4-1163.3)+(-8.779905+(-1.89822--2.966415))+0-642.5--1.63837499999991</f>
        <v>2375.6266649999998</v>
      </c>
      <c r="T67" s="3">
        <f>3360.6+(863-1132.8)+(-8.56953+(-2.20065--2.88864))+0-637.3--1.62511499999991</f>
        <v>2447.2435750000004</v>
      </c>
      <c r="U67" s="3">
        <f>3285+(947.6-1053.3)+(-5.02605+(-1.449828--1.611549))+0-754.5--1.15438500000004</f>
        <v>2421.090056</v>
      </c>
      <c r="V67" s="3">
        <f>3214.8+(704.4-887.3)+(-3.279096+(-0.718488--0.905046))+0-580.5--0.592110000000093</f>
        <v>2448.8995720000003</v>
      </c>
      <c r="W67" s="3">
        <f>3099.7+(636.6-671.7)+(-3.161694+(-0.649332--0.685134))+0-576.5--0.588030000000092</f>
        <v>2485.5621379999998</v>
      </c>
      <c r="X67" s="3">
        <f>2810.3+(642.6-622)+(-8.599518+(-1.966356--1.90332))+0-449.2--1.37455200000005</f>
        <v>2374.4119980000005</v>
      </c>
      <c r="Y67" s="3">
        <f>2573.5+(646-384.3)+(-2.62497+(-0.65892--0.391986))+0-500--0.51000000000008</f>
        <v>2332.818096</v>
      </c>
      <c r="Z67" s="3">
        <f>2903.5+(428.6-285.8)+(-2.96157+(-0.437172--0.291516))+0-603.4--0.615468000000096</f>
        <v>2440.408242</v>
      </c>
      <c r="AA67" s="3">
        <f>3159.7+(358-438.6)+(-6.445788+(-0.73032--0.894744))+0-704.7--1.43758799999997</f>
        <v>2369.5562239999999</v>
      </c>
      <c r="AB67" s="3">
        <f>3141.5+(456.5-649.7)+(-8.010825+(-1.164075--1.656735))+0-653.4--1.66616999999991</f>
        <v>2289.0480050000001</v>
      </c>
      <c r="AC67" s="3">
        <f>3200.2+(507.2-762.6)+(0+(0-0))+0-711-0</f>
        <v>2233.7999999999997</v>
      </c>
      <c r="AD67">
        <v>2375.1999999999998</v>
      </c>
      <c r="AE67" s="3">
        <f>3175+(323-447)+(0+(0-0))+0-675.8-0</f>
        <v>2375.1999999999998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3208.3+(612.1-1042.3)+(-6.544932+(-1.248684--2.126292))+0-621.9--1.26867599999997</f>
        <v>2151.8013520000004</v>
      </c>
      <c r="G68" s="3">
        <f>3102.6+(765.3-1045.5)+(-3.164652+(-0.780606--1.06641))+0-763.8--0.779076000000122</f>
        <v>2056.5002280000003</v>
      </c>
      <c r="H68" s="3">
        <f>3048+(721.1-1183.3)+(-4.66344+(-1.103283--1.810449))+0-590.1--0.902853000000034</f>
        <v>1992.6465790000002</v>
      </c>
      <c r="I68" s="3">
        <f>2905.6+(714.8-1002.7)+(0+(0-0))+0-670.7-0</f>
        <v>1946.9999999999998</v>
      </c>
      <c r="J68" s="3">
        <f>2856.2+(653.8-913)+(1.456662+(0.333438-0.46563))+0-699.1-0.356540999999929</f>
        <v>1898.8679290000002</v>
      </c>
      <c r="K68" s="3">
        <f>2752.6+(608.6-759.7)+(-5.615304+(-1.241544--1.549788))+0-724.6--1.47818399999997</f>
        <v>1873.0711240000001</v>
      </c>
      <c r="L68" s="3">
        <f>2396.6+(685.9-577.9)+(-2.444532+(-0.699618--0.589458))+0-752--0.76704000000012</f>
        <v>1750.8123479999999</v>
      </c>
      <c r="M68" s="3">
        <f>2385.3+(551.3-507.7)+(-2.433006+(-0.562326--0.517854))+0-632.1--0.644742000000101</f>
        <v>1794.9672640000006</v>
      </c>
      <c r="N68" s="3">
        <f>2628.8+(503.1-677.9)+(-4.022064+(-0.769743--1.037187))+0-567.7--0.868581000000033</f>
        <v>1883.4139609999997</v>
      </c>
      <c r="O68" s="3">
        <f>2703.1+(484.8-615.8)+(-2.757162+(-0.494496--0.628116))+0-574.9--0.586398000000092</f>
        <v>1995.1628560000001</v>
      </c>
      <c r="P68" s="3">
        <f>2819.7+(462-565.5)+(-4.314141+(-0.70686--0.865215))+0-622.8--0.952884000000036</f>
        <v>2090.1970980000001</v>
      </c>
      <c r="Q68" s="3">
        <f>2851.9+(575.5-703.8)+(-4.363407+(-0.880515--1.076814))+0-622.6--0.952578000000036</f>
        <v>2097.7854700000003</v>
      </c>
      <c r="R68" s="3">
        <f>2862.9+(690.4-750.7)+(-1.460079+(-0.352104--0.382857))+0-673.1--0.343280999999932</f>
        <v>2128.413955</v>
      </c>
      <c r="S68" s="3">
        <f>2960.4+(760.7-957.7)+(-1.509804+(-0.387957--0.488427))+0-672.4--0.342923999999932</f>
        <v>2089.9335900000001</v>
      </c>
      <c r="T68" s="3">
        <f>3019.9+(833.6-1073.3)+(-6.160596+(-1.700544--2.189532))+0-622.9--1.27071599999997</f>
        <v>2152.8991080000001</v>
      </c>
      <c r="U68" s="3">
        <f>3006.8+(820.7-1120.3)+(-1.533468+(-0.418557--0.571353))+0-673.2--0.343331999999932</f>
        <v>2032.9626600000004</v>
      </c>
      <c r="V68" s="3">
        <f>3005.4+(739.8-960.8)+(-1.532754+(-0.377298--0.490008))+0-714.9--0.364598999999927</f>
        <v>2068.444555</v>
      </c>
      <c r="W68" s="3">
        <f>3032+(616.9-885.2)+(-6.18528+(-1.258476--1.805808))+0-704.5--1.43717999999997</f>
        <v>2054.9992319999997</v>
      </c>
      <c r="X68" s="3">
        <f>2953.1+(569.2-663.6)+(-7.530405+(-1.45146--1.69218))+0-645.7--1.64653499999991</f>
        <v>2207.3568499999992</v>
      </c>
      <c r="Y68" s="3">
        <f>2754.4+(454-532.5)+(-4.214232+(-0.69462--0.814725))+0-579.6--0.886788000000034</f>
        <v>2093.0926610000006</v>
      </c>
      <c r="Z68" s="3">
        <f>2995.1+(332.6-534.2)+(-4.582503+(-0.508878--0.817326))+0-646.9--0.989757000000037</f>
        <v>2143.3157019999999</v>
      </c>
      <c r="AA68" s="3">
        <f>3117.2+(498.9-638.6)+(-4.769316+(-0.763317--0.977058))+0-673.3--1.03014900000004</f>
        <v>2300.6745740000006</v>
      </c>
      <c r="AB68" s="3">
        <f>3085.4+(646.2-856.2)+(-6.294216+(-1.318248--1.746648))+0-604.9--1.23399599999997</f>
        <v>2265.8681799999999</v>
      </c>
      <c r="AC68" s="3">
        <f>3042.8+(916.9-1111.3)+(-4.655484+(-1.402857--1.700289))+0-689--1.05417000000004</f>
        <v>2156.0961179999999</v>
      </c>
      <c r="AD68">
        <v>2187.1999999999998</v>
      </c>
      <c r="AE68" s="3">
        <f>3053+(528-654.4)+(0+(0-0))+0-739.4-0</f>
        <v>2187.1999999999998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3036.8+(991.8-1246.7)+(-6.195072+(-2.023272--2.543268))+0-745.1--1.52000399999997</f>
        <v>2032.6449280000002</v>
      </c>
      <c r="G69" s="3">
        <f>3037+(790-1211.5)+(-6.19548+(-1.6116--2.47146))+0-672.1--1.37108399999997</f>
        <v>1939.4354640000001</v>
      </c>
      <c r="H69" s="3">
        <f>3013.3+(735.2-1100.3)+(-3.073566+(-0.749904--1.122306))+0-756.5--0.771630000000121</f>
        <v>1889.7704660000004</v>
      </c>
      <c r="I69" s="3">
        <f>2648.6+(752.1-897)+(-1.350786+(-0.383571--0.45747))+0-639.7--0.326246999999935</f>
        <v>1863.0493599999998</v>
      </c>
      <c r="J69" s="3">
        <f>2614.6+(822.3-811.2)+(-2.666892+(-0.838746--0.827424))+0-769.3--0.784686000000123</f>
        <v>1854.506472</v>
      </c>
      <c r="K69" s="3">
        <f>2624.3+(773.9-896.9)+(-6.691965+(-1.973445--2.287095))+0-651--1.66004999999991</f>
        <v>1845.5817350000002</v>
      </c>
      <c r="L69" s="3">
        <f>2601.2+(735-885.9)+(0+(0-0))+0-539.3-0</f>
        <v>1910.9999999999998</v>
      </c>
      <c r="M69" s="3">
        <f>2822.6+(579.6-767.6)+(-2.879052+(-0.591192--0.782952))+0-482.9--0.492558000000077</f>
        <v>2149.5052659999997</v>
      </c>
      <c r="N69" s="3">
        <f>2901.5+(492.8-473.6)+(-5.91906+(-1.005312--0.966144))+0-513.4--1.04733599999998</f>
        <v>2402.3891079999999</v>
      </c>
      <c r="O69" s="3">
        <f>3010.6+(342.1-355.9)+(-1.535406+(-0.174471--0.181509))+0-505.2--0.257651999999949</f>
        <v>2490.3292840000004</v>
      </c>
      <c r="P69" s="3">
        <f>3202+(314.6-394.7)+(0+(0-0))+0-628.1-0</f>
        <v>2493.8000000000002</v>
      </c>
      <c r="Q69" s="3">
        <f>3398.1+(366.5-546.4)+(3.466062+(0.37383-0.557328))+0-521.4-0.531828000000083</f>
        <v>2699.5507359999997</v>
      </c>
      <c r="R69" s="3">
        <f>3555.8+(493.1-836.2)+(-1.813458+(-0.251481--0.426462))+0-523.8--0.267137999999947</f>
        <v>2687.5286610000003</v>
      </c>
      <c r="S69" s="3">
        <f>3641.4+(464.5-1001.2)+(0+(0-0))+0-652.7-0</f>
        <v>2452</v>
      </c>
      <c r="T69" s="3">
        <f>3643.6+(540.3-1065.8)+(-1.858236+(-0.275553--0.543558))+0-507.8--0.258977999999948</f>
        <v>2608.9687469999994</v>
      </c>
      <c r="U69" s="3">
        <f>3567.7+(622.7-978.4)+(-9.097635+(-1.587885--2.49492))+0-610.6--1.55702999999991</f>
        <v>2594.7664300000001</v>
      </c>
      <c r="V69" s="3">
        <f>3362.4+(510.8-724.5)+(-5.144472+(-0.781524--1.108485))+0-507.9--0.777087000000029</f>
        <v>2636.7595759999999</v>
      </c>
      <c r="W69" s="3">
        <f>3304.2+(461.5-666.7)+(-11.795994+(-1.647555--2.380119))+0-529--1.88853000000001</f>
        <v>2560.8251</v>
      </c>
      <c r="X69" s="3">
        <f>2999.2+(660.6-567.9)+(-10.707144+(-2.358342--2.027403))+0-584--2.08488000000001</f>
        <v>2498.9467969999996</v>
      </c>
      <c r="Y69" s="3">
        <f>2764.2+(664.3-396.5)+(-1.409742+(-0.338793--0.202215))+0-641.1--0.326960999999935</f>
        <v>2389.6806409999999</v>
      </c>
      <c r="Z69" s="3">
        <f>2979.5+(610.7-411.9)+(-3.03909+(-0.622914--0.420138))+0-639.3--0.652086000000102</f>
        <v>2536.4102200000007</v>
      </c>
      <c r="AA69" s="3">
        <f>3318.4+(452.5-664.7)+(-10.154304+(-1.38465--2.033982))+0-566.1--1.73226600000007</f>
        <v>2532.3272939999997</v>
      </c>
      <c r="AB69" s="3">
        <f>3231.4+(696.9-832.6)+(-6.592056+(-1.421676--1.698504))+0-640.8--1.30723199999997</f>
        <v>2449.8920040000003</v>
      </c>
      <c r="AC69" s="3">
        <f>3218.6+(710.8-893.6)+(-9.848916+(-2.175048--2.734416))+0-603.3--1.84609800000007</f>
        <v>2425.0565499999993</v>
      </c>
      <c r="AD69">
        <v>2578.6999999999998</v>
      </c>
      <c r="AE69" s="3">
        <f>3265+(563.6-598)+(0+(0-0))+0-641.9-0</f>
        <v>2588.6999999999998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3120.7+(748-907.7)+(-3.183114+(-0.76296--0.925854))+0-676.3--0.689826000000108</f>
        <v>2282.3696060000007</v>
      </c>
      <c r="G70" s="3">
        <f>3027.1+(737.5-1046.3)+(-7.719105+(-1.880625--2.668065))+0-537.1--1.36960499999992</f>
        <v>2175.6379400000001</v>
      </c>
      <c r="H70" s="3">
        <f>2664.8+(911.8-736.5)+(-5.436192+(-1.860072--1.50246))+0-725.8--1.48063199999997</f>
        <v>2109.9868280000001</v>
      </c>
      <c r="I70" s="3">
        <f>2549.8+(910.5-754.8)+(-3.901194+(-1.393065--1.154844))+0-671.1--1.02678300000004</f>
        <v>2031.287368</v>
      </c>
      <c r="J70" s="3">
        <f>2552.7+(979.6-876.6)+(-3.905631+(-1.498788--1.341198))+0-604.9--0.925497000000035</f>
        <v>2047.6622759999998</v>
      </c>
      <c r="K70" s="3">
        <f>2560.1+(918.2-811.1)+(-5.222604+(-1.873128--1.654644))+0-709.1--1.44656399999997</f>
        <v>1954.105476</v>
      </c>
      <c r="L70" s="3">
        <f>2620.4+(866.8-731.5)+(-4.009212+(-1.326204--1.119195))+0-678.3--1.03779900000004</f>
        <v>2074.2215780000001</v>
      </c>
      <c r="M70" s="3">
        <f>2870.7+(683-585.1)+(-1.464057+(-0.34833--0.298401))+0-689.6--0.35169599999993</f>
        <v>2277.8377099999998</v>
      </c>
      <c r="N70" s="3">
        <f>3048.6+(440.7-504.9)+(0+(0-0))+0-513.9-0</f>
        <v>2470.5</v>
      </c>
      <c r="O70" s="3">
        <f>3145.8+(359.4-224.1)+(1.604358+(0.183294-0.114291))+0-676.8-0.345167999999931</f>
        <v>2605.6281930000005</v>
      </c>
      <c r="P70" s="3">
        <f>3443.1+(391.8-474.3)+(1.755981+(0.199818-0.241893))+0-650.3-0.331652999999934</f>
        <v>2711.6822530000004</v>
      </c>
      <c r="Q70" s="3">
        <f>3613.7+(622.4-810.6)+(1.842987+(0.317424-0.413406))+0-625.1-0.318800999999937</f>
        <v>2801.8282040000004</v>
      </c>
      <c r="R70" s="3">
        <f>3624.8+(782.6-1000.4)+(0+(0-0))+0-613.2-0</f>
        <v>2793.8</v>
      </c>
      <c r="S70" s="3">
        <f>3614+(469-941)+(0+(0-0))+0-642.2-0</f>
        <v>2499.8000000000002</v>
      </c>
      <c r="T70" s="3">
        <f>3608.4+(624.2-995.7)+(-5.520852+(-0.955026--1.523421))+0-559.5--0.856035000000032</f>
        <v>2673.3035780000005</v>
      </c>
      <c r="U70" s="3">
        <f>3589.7+(721-1055.8)+(3.661494+(0.73542-1.076916))+0-552.4-0.563448000000088</f>
        <v>2705.2565499999996</v>
      </c>
      <c r="V70" s="3">
        <f>3582.9+(662.2-932.5)+(-3.654558+(-0.675444--0.95115))+0-624.5--0.6369900000001</f>
        <v>2685.3581380000005</v>
      </c>
      <c r="W70" s="3">
        <f>3294.4+(490.5-512.6)+(-11.761008+(-1.751085--1.829982))+0-648.6--2.31550200000001</f>
        <v>2614.3333910000001</v>
      </c>
      <c r="X70" s="3">
        <f>3056.8+(654.4-584.3)+(-7.79484+(-1.66872--1.489965))+0-571--1.45604999999992</f>
        <v>2549.3824549999999</v>
      </c>
      <c r="Y70" s="3">
        <f>2754.5+(668.5-527.8)+(-4.214385+(-1.022805--0.807534))+0-517--0.79101000000003</f>
        <v>2374.5613539999999</v>
      </c>
      <c r="Z70" s="3">
        <f>3016+(411.1-513.1)+(-3.07632+(-0.419322--0.523362))+0-361.1--0.368322000000058</f>
        <v>2550.2960420000004</v>
      </c>
      <c r="AA70" s="3">
        <f>3431.2+(205.4-500.8)+(-8.74956+(-0.52377--1.27704))+0-520.2--1.32650999999992</f>
        <v>2608.9302199999993</v>
      </c>
      <c r="AB70" s="3">
        <f>3411.5+(516.5-970.8)+(-6.95946+(-1.05366--1.980432))+0-434.7--0.886787999999981</f>
        <v>2517.3541</v>
      </c>
      <c r="AC70" s="3">
        <f>3284.8+(742.2-925.3)+(-6.700992+(-1.514088--1.887612))+0-623.4--1.27173599999997</f>
        <v>2473.2442680000004</v>
      </c>
      <c r="AD70">
        <v>2554.6</v>
      </c>
      <c r="AE70" s="3">
        <f>3402+(227-469)+(0+(0-0))+0-605.4-0</f>
        <v>2554.6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3291+(705.2-1063.2)+(-3.35682+(-0.719304--1.084464))+0-634.3--0.646986000000101</f>
        <v>2296.3553260000003</v>
      </c>
      <c r="G71" s="3">
        <f>3290.6+(546.4-1026.9)+(-6.712824+(-1.114656--2.094876))+0-641.5--1.30865999999997</f>
        <v>2164.1760560000002</v>
      </c>
      <c r="H71" s="3">
        <f>3204.1+(521.3-945.5)+(-6.536364+(-1.063452--1.92882))+0-660.3--1.34701199999997</f>
        <v>2115.2760159999998</v>
      </c>
      <c r="I71" s="3">
        <f>3188.9+(558-934.2)+(-4.879017+(-0.85374--1.429326))+0-724.1--1.10787300000004</f>
        <v>2085.404442</v>
      </c>
      <c r="J71" s="3">
        <f>3027+(646.8-921.5)+(-1.54377+(-0.329868--0.469965))+0-692.9--0.35337899999993</f>
        <v>2058.3497060000004</v>
      </c>
      <c r="K71" s="3">
        <f>2821.3+(761.1-823.2)+(-4.316589+(-1.164483--1.259496))+0-705.5--1.07941500000004</f>
        <v>2050.5578390000005</v>
      </c>
      <c r="L71" s="3">
        <f>2775.2+(811.1-719.6)+(-2.830704+(-0.827322--0.733992))+0-714.8--0.729096000000114</f>
        <v>2149.705062</v>
      </c>
      <c r="M71" s="3">
        <f>2773.1+(729.3-586.3)+(0+(0-0))+0-564.5-0</f>
        <v>2351.6</v>
      </c>
      <c r="N71" s="3">
        <f>2952.4+(520.4-435.3)+(3.011448+(0.530808-0.444006))+0-554.4-0.565488000000088</f>
        <v>2485.6327619999997</v>
      </c>
      <c r="O71" s="3">
        <f>3167.8+(439.1-298.4)+(1.615578+(0.223941-0.152184))+0-677.2-0.345371999999931</f>
        <v>2632.641963</v>
      </c>
      <c r="P71" s="3">
        <f>3436+(431.4-495.1)+(1.75236+(0.220014-0.252501))+0-590.8-0.30130799999994</f>
        <v>2782.9185649999999</v>
      </c>
      <c r="Q71" s="3">
        <f>3592.7+(602.8-700.5)+(3.664554+(0.614856-0.71451))+0-645.3-0.658206000000103</f>
        <v>2852.6066940000001</v>
      </c>
      <c r="R71" s="3">
        <f>3613.3+(554.1-844.5)+(1.842783+(0.282591-0.430695))+0-550.6-0.280805999999944</f>
        <v>2773.7138730000006</v>
      </c>
      <c r="S71" s="3">
        <f>3597.9+(776.3-1027.5)+(-1.834929+(-0.395913--0.524025))+0-700--0.356999999999929</f>
        <v>2645.350183</v>
      </c>
      <c r="T71" s="3">
        <f>3563+(867.8-1101.6)+(-1.81713+(-0.442578--0.561816))+0-612.2--0.312221999999938</f>
        <v>2715.6143299999999</v>
      </c>
      <c r="U71" s="3">
        <f>3562.1+(864.2-1046.6)+(-5.450013+(-1.322226--1.601298))+0-637.5--0.975375000000037</f>
        <v>2738.0044339999999</v>
      </c>
      <c r="V71" s="3">
        <f>3483+(618.2-897.9)+(-3.55266+(-0.630564--0.915858))+0-489.1--0.498882000000078</f>
        <v>2711.4315160000001</v>
      </c>
      <c r="W71" s="3">
        <f>3257.6+(431-454.1)+(-9.968256+(-1.31886--1.389546))+0-642--1.96452000000007</f>
        <v>2584.5669499999999</v>
      </c>
      <c r="X71" s="3">
        <f>3047.7+(728.3-641.3)+(-9.325962+(-2.228598--1.962378))+0-622.8--1.90576800000007</f>
        <v>2504.2135860000003</v>
      </c>
      <c r="Y71" s="3">
        <f>2963+(756.5-636.4)+(-6.04452+(-1.54326--1.298256))+0-627.1--1.27928399999997</f>
        <v>2450.9897600000004</v>
      </c>
      <c r="Z71" s="3">
        <f>2954.9+(645-516.9)+(-3.013998+(-0.6579--0.527238))+0-504.1--0.51418200000008</f>
        <v>2576.2695220000001</v>
      </c>
      <c r="AA71" s="3">
        <f>3300.4+(458.7-666.6)+(-10.099224+(-1.403622--2.039796))+0-507.9--1.55417400000006</f>
        <v>2576.6911239999999</v>
      </c>
      <c r="AB71" s="3">
        <f>3311.4+(724.3-1027.7)+(-6.755256+(-1.477572--2.096508))+0-486.8--0.993071999999979</f>
        <v>2516.0567519999995</v>
      </c>
      <c r="AC71" s="3">
        <f>3279.9+(857.3-1059.7)+(-1.672749+(-0.437223--0.540447))+0-608.6--0.310385999999938</f>
        <v>2467.6408610000003</v>
      </c>
      <c r="AD71">
        <v>2539.1</v>
      </c>
      <c r="AE71" s="3">
        <f>3271+(490.3-592.3)+(0+(0-0))+0-629.9-0</f>
        <v>2539.1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3259.7+(857.1-1138.2)+(-3.324894+(-0.874242--1.160964))+0-687.7--0.70145400000011</f>
        <v>2288.5632820000001</v>
      </c>
      <c r="G72" s="3">
        <f>3197.6+(784.4-1092)+(-6.523104+(-1.600176--2.22768))+0-686.5--1.40045999999997</f>
        <v>2199.00486</v>
      </c>
      <c r="H72" s="3">
        <f>3202.4+(798.8-1177)+(-6.532896+(-1.629552--2.40108))+0-699.3--1.42657199999997</f>
        <v>2120.565204</v>
      </c>
      <c r="I72" s="3">
        <f>3081.3+(712.4-1103.8)+(-6.285852+(-1.453296--2.251752))+0-610.5--1.24541999999997</f>
        <v>2075.1580240000003</v>
      </c>
      <c r="J72" s="3">
        <f>3088.3+(753.8-1082.5)+(-1.575033+(-0.384438--0.552075))+0-658--0.335579999999933</f>
        <v>2100.5281840000002</v>
      </c>
      <c r="K72" s="3">
        <f>3057.8+(658.4-1101.3)+(-12.475824+(-2.686272--4.493304))+0-560.8--2.28806399999995</f>
        <v>2045.719272</v>
      </c>
      <c r="L72" s="3">
        <f>2837.9+(701.5-833.5)+(-2.894658+(-0.71553--0.85017))+0-663.4--0.676668000000106</f>
        <v>2040.4166500000001</v>
      </c>
      <c r="M72" s="3">
        <f>2909+(431.1-683)+(-2.96718+(-0.439722--0.69666))+0-465.2--0.474504000000074</f>
        <v>2189.6642620000002</v>
      </c>
      <c r="N72" s="3">
        <f>3252.1+(370.6-568.9)+(0+(0-0))+0-595.4-0</f>
        <v>2458.4</v>
      </c>
      <c r="O72" s="3">
        <f>3387.8+(360.6-604.9)+(-3.455556+(-0.367812--0.616998))+0-524.4--0.534888000000084</f>
        <v>2616.4285180000002</v>
      </c>
      <c r="P72" s="3">
        <f>3632.9+(307.8-635.8)+(-5.558337+(-0.470934--0.972774))+16.3-559--0.855270000000032</f>
        <v>2757.9987730000003</v>
      </c>
      <c r="Q72" s="3">
        <f>3739.9+(329.4-740.1)+(-7.629396+(-0.671976--1.509804))+98-621--1.26683999999997</f>
        <v>2800.6752719999995</v>
      </c>
      <c r="R72" s="3">
        <f>3720.5+(611.8-953)+(-3.79491+(-0.624036--0.97206))+44.7-614.4--0.626688000000098</f>
        <v>2806.779802</v>
      </c>
      <c r="S72" s="3">
        <f>3717.1+(582.8-1165.7)+(-3.791442+(-0.594456--1.189014))+6-489.5--0.499290000000078</f>
        <v>2648.0024060000001</v>
      </c>
      <c r="T72" s="3">
        <f>3713.4+(795.3-1134)+(1.893834+(0.405603-0.57834))+0-652-0.332519999999934</f>
        <v>2724.088577</v>
      </c>
      <c r="U72" s="3">
        <f>3641.5+(704.6-1095.4)+(-3.71433+(-0.718692--1.117308))+0-466.7--0.476034000000074</f>
        <v>2781.1603200000004</v>
      </c>
      <c r="V72" s="3">
        <f>3444.2+(653.2-773.2)+(-12.295794+(-2.331924--2.760324))+0-578.4--2.06488800000001</f>
        <v>2735.9974939999997</v>
      </c>
      <c r="W72" s="3">
        <f>3372.3+(539.8-614.5)+(-3.439746+(-0.550596--0.62679))+0-623.8--0.636276000000099</f>
        <v>2671.0727240000006</v>
      </c>
      <c r="X72" s="3">
        <f>3119.5+(518.6-380.6)+(-7.954725+(-1.32243--0.97053))+0-647--1.64984999999991</f>
        <v>2603.8432249999996</v>
      </c>
      <c r="Y72" s="3">
        <f>3009.7+(590.7-674)+(0+(0-0))+0-485.8-0</f>
        <v>2440.5999999999995</v>
      </c>
      <c r="Z72" s="3">
        <f>3289.9+(517.1-612.5)+(0+(0-0))+0-606-0</f>
        <v>2588.5</v>
      </c>
      <c r="AA72" s="3">
        <f>3579.2+(314.1-730.7)+(-7.301568+(-0.640764--1.490628))+0-534.2--1.08976799999998</f>
        <v>2623.0380639999994</v>
      </c>
      <c r="AB72" s="3">
        <f>3435.7+(595.4-831.3)+(0+(0-0))+0-623.7-0</f>
        <v>2576.0999999999995</v>
      </c>
      <c r="AC72" s="3">
        <f>3339.4+(807.6-937.7)+(-6.812376+(-1.647504--1.912908))+0-685--1.39739999999997</f>
        <v>2519.1504279999999</v>
      </c>
      <c r="AD72">
        <v>2817.4</v>
      </c>
      <c r="AE72" s="3">
        <f>3606+(408.1-681.1)+(0+(0-0))+0-515.6-0</f>
        <v>2817.4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3395.1+(819.5-1084.4)+(-6.926004+(-1.67178--2.212176))+0-657--1.34027999999997</f>
        <v>2468.1546719999997</v>
      </c>
      <c r="G73" s="3">
        <f>3449.1+(760.8-1254.4)+(-8.795205+(-1.94004--3.19872))+0-647.3--1.65061499999991</f>
        <v>2302.3140900000003</v>
      </c>
      <c r="H73" s="3">
        <f>3249.6+(764.1-1158)+(-1.657296+(-0.389691--0.59058))+0-607.2--0.309671999999938</f>
        <v>2247.3532649999993</v>
      </c>
      <c r="I73" s="3">
        <f>3192+(890.2-1226.4)+(0+(0-0))+0-720.3-0</f>
        <v>2135.5</v>
      </c>
      <c r="J73" s="3">
        <f>3190+(879.1-1322)+(-3.2538+(-0.896682--1.34844))+0-624.5--0.6369900000001</f>
        <v>2120.4349480000001</v>
      </c>
      <c r="K73" s="3">
        <f>3202.8+(728.2-1086.5)+(-8.16714+(-1.85691--2.770575))+0-778.3--1.98466499999989</f>
        <v>2060.9311900000002</v>
      </c>
      <c r="L73" s="3">
        <f>3044.1+(719.7-1040.9)+(3.104982+(0.734094-1.061718))+0-635.1-0.647802000000101</f>
        <v>2089.9295559999996</v>
      </c>
      <c r="M73" s="3">
        <f>3025.6+(659.7-777.9)+(-1.543056+(-0.336447--0.396729))+0-611.9--0.312068999999938</f>
        <v>2294.329295</v>
      </c>
      <c r="N73" s="3">
        <f>3269.6+(461.2-593.2)+(5.002488+(0.705636-0.907596))+0-622.3-0.952119000000036</f>
        <v>2519.1484089999999</v>
      </c>
      <c r="O73" s="3">
        <f>3451.2+(356.1-604.2)+(-1.760112+(-0.181611--0.308142))+0-543.2--0.277031999999945</f>
        <v>2658.5434509999995</v>
      </c>
      <c r="P73" s="3">
        <f>3628.6+(525.5-751.2)+(0+(0-0))+0-665.4-0</f>
        <v>2737.4999999999995</v>
      </c>
      <c r="Q73" s="3">
        <f>3567.3+(582-757.3)+(0+(0-0))+0-567.5-0</f>
        <v>2824.5</v>
      </c>
      <c r="R73" s="3">
        <f>3527.6+(745.7-824.6)+(1.799076+(0.380307-0.420546))+0-595.7-0.30380699999994</f>
        <v>2854.4550299999996</v>
      </c>
      <c r="S73" s="3">
        <f>3580.4+(768.5-989)+(-7.304016+(-1.56774--2.01756))+0-692.6--1.41290399999997</f>
        <v>2661.8587080000002</v>
      </c>
      <c r="T73" s="3">
        <f>3449.7+(530-824.7)+(-7.037388+(-1.0812--1.682388))+0-419.1--0.854963999999982</f>
        <v>2730.3187640000001</v>
      </c>
      <c r="U73" s="3">
        <f>3436.8+(418.8-761.6)+(-3.505536+(-0.427176--0.776832))+0-469.4--0.478788000000075</f>
        <v>2621.922908</v>
      </c>
      <c r="V73" s="3">
        <f>3418.6+(548.6-687.2)+(-6.973944+(-1.119144--1.401888))+0-512.7--1.04590799999998</f>
        <v>2761.654708</v>
      </c>
      <c r="W73" s="3">
        <f>3355.3+(594.5-785.8)+(-8.556015+(-1.515975--2.00379))+0-509.3--1.29871499999993</f>
        <v>2647.9305149999996</v>
      </c>
      <c r="X73" s="3">
        <f>3266.6+(790.6-838.4)+(-16.65966+(-4.03206--4.27584))+0-656.5--3.34815000000005</f>
        <v>2549.2322700000004</v>
      </c>
      <c r="Y73" s="3">
        <f>3196.5+(699.7-679.7)+(-4.890645+(-1.070541--1.039941))+0-722.8--1.10588400000004</f>
        <v>2489.8846390000003</v>
      </c>
      <c r="Z73" s="3">
        <f>3262.4+(774.3-806.8)+(1.663824+(0.394893-0.411468))+0-519.3-0.264842999999947</f>
        <v>2711.9824060000001</v>
      </c>
      <c r="AA73" s="3">
        <f>3378.3+(787.4-1025.1)+(-6.891732+(-1.606296--2.091204))+0-513.7--1.04794799999998</f>
        <v>2621.5411239999999</v>
      </c>
      <c r="AB73" s="3">
        <f>3392.8+(853.9-1059.4)+(-3.460656+(-0.870978--1.080588))+0-606.5--0.618630000000097</f>
        <v>2578.1675840000003</v>
      </c>
      <c r="AC73" s="3">
        <f>3355.5+(990.4-1212.6)+(-8.556525+(-2.52552--3.09213))+0-622.9--1.58839499999991</f>
        <v>2503.9984799999997</v>
      </c>
      <c r="AD73">
        <v>2716.3999999999996</v>
      </c>
      <c r="AE73" s="3">
        <f>3437+(860.2-1042.3)+(0+(0-0))+0-538.5-0</f>
        <v>2716.4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3346.5+(949.3-1305.2)+(-8.533575+(-2.420715--3.32826))+0-600.7--1.53178499999991</f>
        <v>2383.8057550000003</v>
      </c>
      <c r="G74" s="3">
        <f>3354.7+(725.2-1206.2)+(-8.554485+(-1.84926--3.07581))+0-614.6--1.56722999999991</f>
        <v>2253.3392950000002</v>
      </c>
      <c r="H74" s="3">
        <f>3078.6+(723.4-1000.1)+(1.570086+(0.368934-0.510051))+0-629-0.320789999999936</f>
        <v>2174.0081789999999</v>
      </c>
      <c r="I74" s="3">
        <f>3005.8+(836-948.5)+(-1.532958+(-0.42636--0.483735))+0-758.3--0.386732999999923</f>
        <v>2133.9111500000004</v>
      </c>
      <c r="J74" s="3">
        <f>3044.2+(735.8-1024.2)+(-10.867794+(-2.626806--3.656394))+0-643.7--2.29800900000001</f>
        <v>2104.5598030000001</v>
      </c>
      <c r="K74" s="3">
        <f>3047.3+(737.1-981.2)+(-13.987107+(-3.383289--4.503708))+0-715.3--3.28322700000012</f>
        <v>2078.3165390000004</v>
      </c>
      <c r="L74" s="3">
        <f>2699.4+(818.7-841.3)+(-6.88347+(-2.087685--2.145315))+0-644.9--1.64449499999991</f>
        <v>2026.7186550000001</v>
      </c>
      <c r="M74" s="3">
        <f>2765.9+(750.9-617.5)+(4.231827+(1.148877-0.944775))+0-665.4-1.01806200000004</f>
        <v>2237.3178670000002</v>
      </c>
      <c r="N74" s="3">
        <f>3058.9+(538.7-567.4)+(4.680117+(0.824211-0.868122))+0-541.1-0.827883000000031</f>
        <v>2492.9083230000006</v>
      </c>
      <c r="O74" s="3">
        <f>3402.7+(323.2-500)+(6.941508+(0.659328-1.02))+0-615.7-1.25602799999997</f>
        <v>2615.5248080000001</v>
      </c>
      <c r="P74" s="3">
        <f>3499.2+(348.4-432.1)+(5.353776+(0.533052-0.661113))+0-691.4-1.05784200000004</f>
        <v>2728.2678729999998</v>
      </c>
      <c r="Q74" s="3">
        <f>3564.9+(331.5-522)+(0+(0-0))+0-629.8-0</f>
        <v>2744.6000000000004</v>
      </c>
      <c r="R74" s="3">
        <f>3690.3+(440.2-812.5)+(-1.882053+(-0.224502--0.414375))+0-647.2--0.330071999999934</f>
        <v>2669.4378919999999</v>
      </c>
      <c r="S74" s="3">
        <f>3553+(583-797.1)+(-9.06015+(-1.48665--2.032605))+0-687--1.7518499999999</f>
        <v>2645.137655</v>
      </c>
      <c r="T74" s="3">
        <f>3508.2+(753.6-843.4)+(-10.735092+(-2.306016--2.580804))+0-683.6--2.09181600000008</f>
        <v>2726.4315119999997</v>
      </c>
      <c r="U74" s="3">
        <f>3439.6+(746.6-875.6)+(-5.262588+(-1.142298--1.339668))+0-546.3--0.835839000000032</f>
        <v>2760.0706209999994</v>
      </c>
      <c r="V74" s="3">
        <f>3376.9+(693.3-791.5)+(0+(0-0))+0-555.9-0</f>
        <v>2722.7999999999997</v>
      </c>
      <c r="W74" s="3">
        <f>3404+(362.8-582.3)+(3.47208+(0.370056-0.593946))+0-632-0.644640000000101</f>
        <v>2555.1035499999998</v>
      </c>
      <c r="X74" s="3">
        <f>3246.8+(231.9-400.3)+(-4.967604+(-0.354807--0.612459))+0-660.5--1.01056500000004</f>
        <v>2414.200613</v>
      </c>
      <c r="Y74" s="3">
        <f>3099.4+(357.9-569)+(1.580694+(0.182529-0.29019))+0-650.2-0.331601999999934</f>
        <v>2239.2414310000008</v>
      </c>
      <c r="Z74" s="3">
        <f>3211.8+(624.1-723.1)+(-4.914054+(-0.954873--1.106343))+0-649.9--0.994347000000038</f>
        <v>2459.1317629999999</v>
      </c>
      <c r="AA74" s="3">
        <f>3340.2+(639.4-827.4)+(-3.407004+(-0.652188--0.843948))+0-690.1--0.70390200000011</f>
        <v>2459.5886580000001</v>
      </c>
      <c r="AB74" s="3">
        <f>3399.3+(639.1-928.8)+(-5.200929+(-0.977823--1.421064))+0-688.1--1.05279300000004</f>
        <v>2417.7951050000001</v>
      </c>
      <c r="AC74" s="3">
        <f>3494.7+(605.4-1096.9)+(0+(0-0))+0-565.2-0</f>
        <v>2438</v>
      </c>
      <c r="AD74">
        <v>2470.8999999999996</v>
      </c>
      <c r="AE74" s="3">
        <f>3331+(651.6-883.5)+(0+(0-0))+0-628.2-0</f>
        <v>2470.8999999999996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3531+(712.5-1286)+(-3.60162+(-0.72675--1.31172))+0-590.8--0.602616000000094</f>
        <v>2364.2859660000004</v>
      </c>
      <c r="G75" s="3">
        <f>3536.4+(731.7-1342.1)+(-7.214256+(-1.492668--2.737884))+0-646--1.31783999999997</f>
        <v>2275.3488000000002</v>
      </c>
      <c r="H75" s="3">
        <f>3371.3+(769.1-1333.8)+(-6.877452+(-1.568964--2.720952))+0-604.8--1.23379199999997</f>
        <v>2197.3083280000001</v>
      </c>
      <c r="I75" s="3">
        <f>2999.2+(919.6-1091.5)+(1.529592+(0.468996-0.556665))+0-723.8-0.369137999999927</f>
        <v>2104.5727849999994</v>
      </c>
      <c r="J75" s="3">
        <f>2918.8+(1013.5-1118.6)+(-2.977176+(-1.03377--1.140972))+0-746.6--0.761532000000119</f>
        <v>2064.9915580000002</v>
      </c>
      <c r="K75" s="3">
        <f>2514.7+(1205.9-1072.8)+(-2.564994+(-1.230018--1.094256))+0-641.3--0.654126000000102</f>
        <v>2004.4533700000002</v>
      </c>
      <c r="L75" s="3">
        <f>2472.6+(1207.2-1060)+(-6.30513+(-3.07836--2.703))+0-667.6--1.7023799999999</f>
        <v>1947.22189</v>
      </c>
      <c r="M75" s="3">
        <f>2470.9+(1020.9-925.7)+(0+(0-0))+0-569.6-0</f>
        <v>1996.5</v>
      </c>
      <c r="N75" s="3">
        <f>2441.2+(833.5-740)+(3.735036+(1.275255-1.1322))+0-555.5-0.849915000000032</f>
        <v>1982.2281759999998</v>
      </c>
      <c r="O75" s="3">
        <f>2440.7+(869.6-596.9)+(3.734271+(1.330488-0.913257))+0-659.1-1.00842300000004</f>
        <v>2057.4430789999997</v>
      </c>
      <c r="P75" s="3">
        <f>2446.6+(830.8-491.3)+(6.23883+(2.11854-1.252815))+0-623.9-1.59094499999991</f>
        <v>2167.7136099999998</v>
      </c>
      <c r="Q75" s="3">
        <f>2826.3+(700.7-552.7)+(4.324239+(1.072071-0.845631))+0-715.6-1.09486800000004</f>
        <v>2262.1558110000001</v>
      </c>
      <c r="R75" s="3">
        <f>2993.1+(596.5-579.6)+(-3.052962+(-0.60843--0.591192))+0-745.7--0.760614000000119</f>
        <v>2261.9904140000003</v>
      </c>
      <c r="S75" s="3">
        <f>3018.3+(662.9-746.5)+(-1.539333+(-0.338079--0.380715))+0-657.2--0.335171999999933</f>
        <v>2276.3384750000005</v>
      </c>
      <c r="T75" s="3">
        <f>3348.3+(699.8-1204.1)+(0+(0-0))+0-549.3-0</f>
        <v>2294.6999999999998</v>
      </c>
      <c r="U75" s="3">
        <f>3356.5+(763.9-1223.7)+(0+(0-0))+0-605.2-0</f>
        <v>2291.5</v>
      </c>
      <c r="V75" s="3">
        <f>3166.9+(739-1010.1)+(-4.845357+(-1.13067--1.545453))+0-623.5--0.953955000000036</f>
        <v>2268.8233810000002</v>
      </c>
      <c r="W75" s="3">
        <f>2738.6+(639.4-553.2)+(-6.98343+(-1.63047--1.41066))+0-607.2--1.54835999999991</f>
        <v>2211.9451199999994</v>
      </c>
      <c r="X75" s="3">
        <f>2749+(550.7-599.9)+(-7.00995+(-1.404285--1.529745))+0-614.5--1.56697499999991</f>
        <v>2079.982485</v>
      </c>
      <c r="Y75" s="3">
        <f>2658+(522.6-481.3)+(-2.71116+(-0.533052--0.490926))+0-696.2--0.710124000000111</f>
        <v>2001.0568380000002</v>
      </c>
      <c r="Z75" s="3">
        <f>3064.4+(469.2-609.5)+(-3.125688+(-0.478584--0.62169))+0-670.1--0.683502000000107</f>
        <v>2251.7009200000002</v>
      </c>
      <c r="AA75" s="3">
        <f>3339.8+(480.6-752.9)+(-6.813192+(-0.980424--1.535916))+0-687.7--1.40290799999997</f>
        <v>2374.9452080000001</v>
      </c>
      <c r="AB75" s="3">
        <f>3259.1+(555.1-811.3)+(-6.648564+(-1.132404--1.655052))+0-611.2--1.24684799999997</f>
        <v>2386.8209319999996</v>
      </c>
      <c r="AC75" s="3">
        <f>3046.8+(759.1-765.2)+(-3.107736+(-0.774282--0.780504))+0-649.1--0.662082000000104</f>
        <v>2389.1605680000007</v>
      </c>
      <c r="AD75">
        <v>2433.5</v>
      </c>
      <c r="AE75" s="3">
        <f>3326+(480.4-802.6)+(0+(0-0))+0-570.3-0</f>
        <v>2433.5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3044.4+(1075.6-1124.3)+(-6.210576+(-2.194224--2.293572))+0-662.1--1.35068399999997</f>
        <v>2328.8394559999997</v>
      </c>
      <c r="G76" s="3">
        <f>2896+(1038.3-1001.8)+(0+(0-0))+0-723.3-0</f>
        <v>2209.1999999999998</v>
      </c>
      <c r="H76" s="3">
        <f>2925.8+(1088.4-1108)+(-4.476474+(-1.665252--1.69524))+0-736.6--1.12699800000004</f>
        <v>2166.2805120000007</v>
      </c>
      <c r="I76" s="3">
        <f>2908.5+(1116-1237.7)+(-2.96667+(-1.13832--1.262454))+0-685.1--0.698802000000109</f>
        <v>2099.5562660000001</v>
      </c>
      <c r="J76" s="3">
        <f>2818.3+(1053.4-1083.5)+(1.437333+(0.537234-0.552585))+0-771.7-0.393566999999922</f>
        <v>2017.5284150000002</v>
      </c>
      <c r="K76" s="3">
        <f>2794.8+(913.3-1038.5)+(-8.552088+(-2.794698--3.17781))+0-725--2.21850000000008</f>
        <v>1938.6495240000006</v>
      </c>
      <c r="L76" s="3">
        <f>2464.1+(941-887.7)+(-3.770073+(-1.43973--1.358181))+0-603.7--0.923661000000035</f>
        <v>1910.7720389999995</v>
      </c>
      <c r="M76" s="3">
        <f>2371.8+(936.5-613.2)+(2.419236+(0.95523-0.625464))+0-706.7-0.720834000000113</f>
        <v>1990.4281680000001</v>
      </c>
      <c r="N76" s="3">
        <f>2425+(839.7-586.8)+(-6.18375+(-2.141235--1.49634))+0-593.2--1.51265999999991</f>
        <v>2079.3840150000001</v>
      </c>
      <c r="O76" s="3">
        <f>2587.9+(808.5-549.5)+(-1.319829+(-0.412335--0.280245))+0-633.3--0.322982999999936</f>
        <v>2212.4710640000003</v>
      </c>
      <c r="P76" s="3">
        <f>2851.3+(793.5-650.8)+(0+(0-0))+0-654.7-0</f>
        <v>2339.3000000000002</v>
      </c>
      <c r="Q76" s="3">
        <f>2899.5+(887.6-718)+(1.478745+(0.452676-0.36618))+0-627.2-0.319871999999936</f>
        <v>2443.1453689999998</v>
      </c>
      <c r="R76" s="3">
        <f>3067.3+(1065.7-977.4)+(0+(0-0))+0-628-0</f>
        <v>2527.6000000000004</v>
      </c>
      <c r="S76" s="3">
        <f>3142.6+(1204.8-1205.7)+(-1.602726+(-0.614448--0.614907))+0-698.1--0.356030999999929</f>
        <v>2442.3537639999995</v>
      </c>
      <c r="T76" s="3">
        <f>3356.1+(1218.2-1417)+(-8.558055+(-3.10641--3.61335))+0-594.1--1.51495499999991</f>
        <v>2556.6638400000002</v>
      </c>
      <c r="U76" s="3">
        <f>3271.5+(1238-1318.1)+(-3.33693+(-1.26276--1.344462))+0-624.3--0.6367860000001</f>
        <v>2564.4815580000004</v>
      </c>
      <c r="V76" s="3">
        <f>3253.9+(1041.2-1165.7)+(-8.297445+(-2.65506--2.972535))+0-543.9--1.38694499999992</f>
        <v>2578.9069749999999</v>
      </c>
      <c r="W76" s="3">
        <f>3290.9+(877.2-967.1)+(-6.713436+(-1.789488--1.972884))+0-725.4--1.47981599999997</f>
        <v>2470.5497759999998</v>
      </c>
      <c r="X76" s="3">
        <f>3166.3+(718-917.5)+(-9.688878+(-2.19708--2.80755))+0-626--1.91556000000007</f>
        <v>2333.6371520000002</v>
      </c>
      <c r="Y76" s="3">
        <f>2770.2+(743.5-666)+(-4.238406+(-1.137555--1.01898))+0-660.4--1.01041200000004</f>
        <v>2183.9534309999999</v>
      </c>
      <c r="Z76" s="3">
        <f>2897.9+(887.2-717.9)+(-2.955858+(-0.904944--0.732258))+0-677.9--0.691458000000108</f>
        <v>2386.8629140000003</v>
      </c>
      <c r="AA76" s="3">
        <f>3275+(701.8-837.4)+(-6.681+(-1.431672--1.708296))+0-679.3--1.38577199999997</f>
        <v>2455.081396</v>
      </c>
      <c r="AB76" s="3">
        <f>3403+(681.7-956.1)+(-5.20659+(-1.043001--1.462833))+0-702.2--1.07436600000004</f>
        <v>2422.6876079999993</v>
      </c>
      <c r="AC76" s="3">
        <f>3376.7+(704-1019.8)+(-5.166351+(-1.07712--1.560294))+0-616--0.942480000000036</f>
        <v>2441.1593029999999</v>
      </c>
      <c r="AD76">
        <v>2499.8000000000002</v>
      </c>
      <c r="AE76" s="3">
        <f>3385+(697.7-858.6)+(0+(0-0))+0-724.3-0</f>
        <v>2499.8000000000002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3389.6+(760.4-1068.1)+(-6.914784+(-1.551216--2.178924))+0-763.2--1.55692799999997</f>
        <v>2313.9698520000002</v>
      </c>
      <c r="G77" s="3">
        <f>3259.1+(686.7-1053.7)+(1.662141+(0.350217-0.537387))+0-622.2-0.317321999999937</f>
        <v>2271.0576490000003</v>
      </c>
      <c r="H77" s="3">
        <f>3140.4+(778.6-1059.6)+(-3.203208+(-0.794172--1.080792))+0-726.2--0.740724000000116</f>
        <v>2131.024136</v>
      </c>
      <c r="I77" s="3">
        <f>3145.9+(840.2-1149.9)+(0+(0-0))+0-748.8-0</f>
        <v>2087.3999999999996</v>
      </c>
      <c r="J77" s="3">
        <f>3065+(878.8-1220.3)+(4.68945+(1.344564-1.867059))+0-653.4-0.999702000000038</f>
        <v>2073.267253</v>
      </c>
      <c r="K77" s="3">
        <f>3013.7+(794.1-1092.1)+(-9.221922+(-2.429946--3.341826))+0-725.7--2.22064200000008</f>
        <v>1983.9105999999997</v>
      </c>
      <c r="L77" s="3">
        <f>2731.9+(784.3-895.3)+(-2.786538+(-0.799986--0.913206))+0-673.3--0.686766000000107</f>
        <v>1945.6134480000001</v>
      </c>
      <c r="M77" s="3">
        <f>2649.4+(705.4-642)+(1.351194+(0.359754-0.32742))+0-652.5-0.332774999999934</f>
        <v>2061.3507530000002</v>
      </c>
      <c r="N77" s="3">
        <f>2551.4+(643.5-552.2)+(0+(0-0))+0-519.7-0</f>
        <v>2123</v>
      </c>
      <c r="O77" s="3">
        <f>2573.1+(761.9-492)+(-2.624562+(-0.777138--0.50184))+0-609.4--0.621588000000097</f>
        <v>2231.3217279999999</v>
      </c>
      <c r="P77" s="3">
        <f>2821+(808.5-521.2)+(0+(0-0))+0-698.1-0</f>
        <v>2410.2000000000003</v>
      </c>
      <c r="Q77" s="3">
        <f>3069+(742.2-710)+(1.56519+(0.378522-0.3621))+0-562.4-0.286823999999943</f>
        <v>2540.0947879999999</v>
      </c>
      <c r="R77" s="3">
        <f>3170.7+(899.9-859.3)+(3.234114+(0.917898-0.876486))+0-615.5-0.627810000000098</f>
        <v>2598.4477159999997</v>
      </c>
      <c r="S77" s="3">
        <f>3511.1+(993.8-1313.7)+(-1.790661+(-0.506838--0.669987))+0-690.8--0.35230799999993</f>
        <v>2499.1247959999996</v>
      </c>
      <c r="T77" s="3">
        <f>3524.4+(959.2-1401)+(1.797444+(0.489192-0.71451))+0-477.5-0.243524999999952</f>
        <v>2606.4286010000005</v>
      </c>
      <c r="U77" s="3">
        <f>3612.9+(985.7-1395)+(-3.685158+(-1.005414--1.4229))+0-560.3--0.571506000000089</f>
        <v>2640.6038340000005</v>
      </c>
      <c r="V77" s="3">
        <f>3607.2+(890.8-1344.1)+(-3.679344+(-0.908616--1.370982))+0-516.1--0.526422000000082</f>
        <v>2635.1094439999997</v>
      </c>
      <c r="W77" s="3">
        <f>3349.4+(829.7-1104.9)+(-8.54097+(-2.115735--2.817495))+0-545.3--1.39051499999992</f>
        <v>2522.4513049999996</v>
      </c>
      <c r="X77" s="3">
        <f>3093.8+(736.7-886.4)+(-11.044866+(-2.630019--3.164448))+0-555.3--1.98242100000001</f>
        <v>2380.2719840000004</v>
      </c>
      <c r="Y77" s="3">
        <f>2769.9+(706.8-690.4)+(-2.825298+(-0.720936--0.704208))+0-512.5--0.522750000000082</f>
        <v>2271.4807240000005</v>
      </c>
      <c r="Z77" s="3">
        <f>2964.2+(609.4-607.6)+(1.511742+(0.310794-0.309876))+0-538.5-0.274634999999945</f>
        <v>2428.7380250000001</v>
      </c>
      <c r="AA77" s="3">
        <f>3414.5+(486.8-737)+(-5.224185+(-0.744804--1.12761))+0-646--0.988380000000037</f>
        <v>2514.4470010000005</v>
      </c>
      <c r="AB77" s="3">
        <f>3456.2+(435.8-898.1)+(-7.050648+(-0.889032--1.832124))+0-500--1.01999999999998</f>
        <v>2488.8124439999997</v>
      </c>
      <c r="AC77" s="3">
        <f>3307.9+(792.8-900.3)+(-8.435145+(-2.02164--2.295765))+0-711.3--1.8138149999999</f>
        <v>2482.7527949999999</v>
      </c>
      <c r="AD77">
        <v>2637.6000000000004</v>
      </c>
      <c r="AE77" s="3">
        <f>3416+(540.4-622.6)+(0+(0-0))+0-696.2-0</f>
        <v>2637.6000000000004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3304.3+(914.2-1228.8)+(-5.055579+(-1.398726--1.880064))+0-606.2--0.927486000000035</f>
        <v>2379.8532450000007</v>
      </c>
      <c r="G78" s="3">
        <f>3208.8+(818.4-1067.6)+(-3.272976+(-0.834768--1.088952))+0-698.1--0.712062000000111</f>
        <v>2259.1932700000007</v>
      </c>
      <c r="H78" s="3">
        <f>3158.8+(742.1-1105.5)+(-3.221976+(-0.756942--1.12761))+0-667.1--0.680442000000106</f>
        <v>2126.1291340000007</v>
      </c>
      <c r="I78" s="3">
        <f>3171.9+(745.3-1040.8)+(1.617669+(0.380103-0.530808))+0-786.8-0.40126799999992</f>
        <v>2090.6656960000005</v>
      </c>
      <c r="J78" s="3">
        <f>3191.8+(608-1122.3)+(-8.13909+(-1.5504--2.861865))+0-609--1.55294999999991</f>
        <v>2063.2253249999999</v>
      </c>
      <c r="K78" s="3">
        <f>3201.5+(547.8-1021.5)+(-11.429355+(-1.955646--3.646755))+0-753.4--2.68963800000001</f>
        <v>1967.3513920000003</v>
      </c>
      <c r="L78" s="3">
        <f>2910.2+(609.8-828.3)+(2.968404+(0.621996-0.844866))+0-690.8-0.70461600000011</f>
        <v>2002.9409179999998</v>
      </c>
      <c r="M78" s="3">
        <f>2979.1+(533.8-638)+(0+(0-0))+0-620.5-0</f>
        <v>2254.3999999999996</v>
      </c>
      <c r="N78" s="3">
        <f>3145.4+(506.7-707.3)+(0+(0-0))+0-532.7-0</f>
        <v>2412.1000000000004</v>
      </c>
      <c r="O78" s="3">
        <f>3221.4+(490.4-524.3)+(1.642914+(0.250104-0.267393))+0-559.3-0.285242999999943</f>
        <v>2629.5403820000006</v>
      </c>
      <c r="P78" s="3">
        <f>3463.1+(467.9-551.2)+(3.532362+(0.477258-0.562224))+0-615.7-0.628014000000098</f>
        <v>2766.919382</v>
      </c>
      <c r="Q78" s="3">
        <f>3726.5+(673.2-977)+(1.900515+(0.343332-0.49827))+0-576.3-0.293912999999942</f>
        <v>2847.8516640000003</v>
      </c>
      <c r="R78" s="3">
        <f>3747.6+(744.3-1025.3)+(1.911276+(0.379593-0.522903))+0-648.8-0.330887999999934</f>
        <v>2819.2370779999997</v>
      </c>
      <c r="S78" s="3">
        <f>3745+(686.2-1217.6)+(-3.8199+(-0.699924--1.241952))+0-552.7--0.563754000000088</f>
        <v>2658.1858820000002</v>
      </c>
      <c r="T78" s="3">
        <f>3720.5+(831.7-1219.7)+(-1.897455+(-0.424167--0.622047))+0-606.3--0.309212999999938</f>
        <v>2724.8096380000002</v>
      </c>
      <c r="U78" s="3">
        <f>3812.2+(861.2-1223.9)+(-7.776888+(-1.756848--2.496756))+0-615.2--1.25500799999997</f>
        <v>2828.5180280000004</v>
      </c>
      <c r="V78" s="3">
        <f>3816.9+(796.9-1235.5)+(-13.626333+(-2.844933--4.410735))+0-638.6--2.27980200000001</f>
        <v>2729.9192710000002</v>
      </c>
      <c r="W78" s="3">
        <f>3349.8+(499.6-569.7)+(-5.125194+(-0.764388--0.871641))+0-587.6--0.899028000000034</f>
        <v>2687.9810870000001</v>
      </c>
      <c r="X78" s="3">
        <f>3122.2+(599.9-581.5)+(-7.96161+(-1.529745--1.482825))+0-602--1.53509999999991</f>
        <v>2532.1265699999999</v>
      </c>
      <c r="Y78" s="3">
        <f>2832.5+(573.4-429.2)+(-4.333725+(-0.877302--0.656676))+0-558.2--0.854046000000032</f>
        <v>2414.7996949999992</v>
      </c>
      <c r="Z78" s="3">
        <f>2930.1+(640-414.3)+(-2.988702+(-0.6528--0.422586))+0-586.2--0.597924000000093</f>
        <v>2566.9790079999998</v>
      </c>
      <c r="AA78" s="3">
        <f>3204.4+(453.6-379.5)+(-6.536976+(-0.925344--0.77418))+0-680--1.38719999999997</f>
        <v>2593.1990599999999</v>
      </c>
      <c r="AB78" s="3">
        <f>3205+(700.7-806.4)+(-6.5382+(-1.429428--1.645056))+0-572.4--1.16769599999997</f>
        <v>2521.745124</v>
      </c>
      <c r="AC78" s="3">
        <f>3179.2+(1052.7-1022)+(-4.864176+(-1.610631--1.56366))+0-695.7--1.06442100000004</f>
        <v>2510.3532740000001</v>
      </c>
      <c r="AD78">
        <v>2678.5</v>
      </c>
      <c r="AE78" s="3">
        <f>3192+(526.4-331.8)+(0+(0-0))+0-708.1-0</f>
        <v>2678.5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3144.1+(1100.6-1140.9)+(-8.017455+(-2.80653--2.909295))+0-714.7--1.8224849999999</f>
        <v>2383.0077949999995</v>
      </c>
      <c r="G79" s="3">
        <f>3024.1+(1049.4-1077.6)+(-6.169164+(-2.140776--2.198304))+0-745.1--1.52000399999997</f>
        <v>2246.2083680000001</v>
      </c>
      <c r="H79" s="3">
        <f>2996.5+(906.8-1092.3)+(-3.05643+(-0.924936--1.114146))+0-646.3--0.659226000000103</f>
        <v>2162.4920059999999</v>
      </c>
      <c r="I79" s="3">
        <f>3024+(831.4-1057)+(-7.7112+(-2.12007--2.69535))+0-674.5--1.7199749999999</f>
        <v>2118.4840549999999</v>
      </c>
      <c r="J79" s="3">
        <f>3011.7+(786.4-997.9)+(-7.679835+(-2.00532--2.544645))+0-682--1.7390999999999</f>
        <v>2112.7985899999994</v>
      </c>
      <c r="K79" s="3">
        <f>2798.7+(789.2-914.5)+(-7.136685+(-2.01246--2.331975))+0-658.9--1.6801949999999</f>
        <v>2009.3630249999997</v>
      </c>
      <c r="L79" s="3">
        <f>2618.3+(743.3-682.9)+(1.335333+(0.379083-0.348279))+0-599.7-0.305846999999939</f>
        <v>2080.0602899999999</v>
      </c>
      <c r="M79" s="3">
        <f>2891.7+(518.6-571.6)+(0+(0-0))+0-522-0</f>
        <v>2316.6999999999998</v>
      </c>
      <c r="N79" s="3">
        <f>3119+(372.6-516.1)+(-3.18138+(-0.380052--0.526422))+0-567.5--0.57885000000009</f>
        <v>2405.5438399999998</v>
      </c>
      <c r="O79" s="3">
        <f>3177.8+(453.4-527.1)+(-3.241356+(-0.462468--0.537642))+0-552--0.563040000000088</f>
        <v>2549.4968580000004</v>
      </c>
      <c r="P79" s="3">
        <f>3350.3+(516.6-487.6)+(-5.125959+(-0.790398--0.746028))+0-574.3--0.878679000000033</f>
        <v>2800.7083500000003</v>
      </c>
      <c r="Q79" s="3">
        <f>3493.1+(679.3-825.8)+(1.781481+(0.346443-0.421158))+0-482.4-0.246023999999951</f>
        <v>2865.6607419999996</v>
      </c>
      <c r="R79" s="3">
        <f>3486.9+(867.8-996.2)+(3.556638+(0.885156-1.016124))+0-502.8-0.51285600000008</f>
        <v>2858.6128139999996</v>
      </c>
      <c r="S79" s="3">
        <f>3482.8+(865.2-1154.6)+(-3.552456+(-0.882504--1.177692))+0-524.7--0.535194000000084</f>
        <v>2665.9779260000005</v>
      </c>
      <c r="T79" s="3">
        <f>3537.1+(1017.5-1207.9)+(-1.803921+(-0.518925--0.616029))+0-536.4--0.273563999999946</f>
        <v>2808.866747</v>
      </c>
      <c r="U79" s="3">
        <f>3388.7+(997.8-990.7)+(-1.728237+(-0.508878--0.505257))+0-516.9--0.263618999999948</f>
        <v>2877.4317609999994</v>
      </c>
      <c r="V79" s="3">
        <f>3317+(853.3-872.6)+(-3.38334+(-0.870366--0.890052))+0-512.2--0.522444000000082</f>
        <v>2782.6587899999995</v>
      </c>
      <c r="W79" s="3">
        <f>3413.6+(703.5-880.2)+(-5.222808+(-1.076355--1.346706))+0-592.9--0.907137000000034</f>
        <v>2639.9546799999998</v>
      </c>
      <c r="X79" s="3">
        <f>3264.8+(706.8-781)+(-8.32524+(-1.80234--1.99155))+0-522.9--1.33339499999992</f>
        <v>2660.8973650000003</v>
      </c>
      <c r="Y79" s="3">
        <f>3091.6+(680.3-712.3)+(-6.306864+(-1.387812--1.453092))+0-571.9--1.16667599999997</f>
        <v>2482.6250919999998</v>
      </c>
      <c r="Z79" s="3">
        <f>3331.8+(598.2-731)+(0+(0-0))+0-616.3-0</f>
        <v>2582.6999999999998</v>
      </c>
      <c r="AA79" s="3">
        <f>3416.9+(709.8-995)+(-3.485238+(-0.723996--1.0149))+0-513.8--0.524076000000082</f>
        <v>2615.229742</v>
      </c>
      <c r="AB79" s="3">
        <f>3480.5+(794.7-1165.7)+(-5.325165+(-1.215891--1.783521))+0-557.2--0.852516000000032</f>
        <v>2548.3949809999995</v>
      </c>
      <c r="AC79" s="3">
        <f>3455.4+(896.1-1352.6)+(-1.762254+(-0.457011--0.689826))+0-475.1--0.242300999999952</f>
        <v>2522.512862</v>
      </c>
      <c r="AD79">
        <v>2875.7999999999997</v>
      </c>
      <c r="AE79" s="3">
        <f>3409+(674.2-828.4)+(0+(0-0))+0-590.8-0</f>
        <v>2664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3379.6+(1098.7-1356.8)+(-1.723596+(-0.560337--0.691968))+0-675.7--0.344606999999932</f>
        <v>2444.5526419999997</v>
      </c>
      <c r="G80" s="3">
        <f>3218.8+(976.8-1207.4)+(-3.283176+(-0.996336--1.231548))+0-689.6--0.70339200000011</f>
        <v>2296.2554279999999</v>
      </c>
      <c r="H80" s="3">
        <f>3106.7+(931.5-1100.9)+(-3.168834+(-0.95013--1.122918))+0-739.1--0.753882000000118</f>
        <v>2195.9578359999996</v>
      </c>
      <c r="I80" s="3">
        <f>3117.3+(756.6-1074.7)+(-9.538938+(-2.315196--3.288582))+0-650.7--1.99114200000008</f>
        <v>2141.9255899999998</v>
      </c>
      <c r="J80" s="3">
        <f>3119.4+(722.5-1057.4)+(1.590894+(0.368475-0.539274))+0-658.9-0.336038999999933</f>
        <v>2126.6840560000001</v>
      </c>
      <c r="K80" s="3">
        <f>3115.3+(732.4-1076.6)+(-3.177606+(-0.747048--1.098132))+0-667.2--0.680544000000106</f>
        <v>2101.7540220000005</v>
      </c>
      <c r="L80" s="3">
        <f>2805.9+(644.5-949.6)+(-2.862018+(-0.65739--0.968592))+0-446.6--0.455532000000071</f>
        <v>2052.1047160000003</v>
      </c>
      <c r="M80" s="3">
        <f>2777.5+(616.9-615.7)+(2.83305+(0.629238-0.628014))+0-512.7-0.522954000000082</f>
        <v>2268.3113199999998</v>
      </c>
      <c r="N80" s="3">
        <f>2959.2+(511.8-527.1)+(4.527576+(0.783054-0.806463))+0-425.7-0.651321000000025</f>
        <v>2522.052846</v>
      </c>
      <c r="O80" s="3">
        <f>3121.1+(520-542.2)+(1.591761+(0.2652-0.276522))+0-450.9-0.229958999999954</f>
        <v>2649.3504799999996</v>
      </c>
      <c r="P80" s="3">
        <f>3342.9+(477-505.5)+(1.704879+(0.24327-0.257805))+0-484.4-0.247043999999951</f>
        <v>2831.4433000000004</v>
      </c>
      <c r="Q80" s="3">
        <f>3537.7+(611-678)+(0+(0-0))+0-532.6-0</f>
        <v>2938.1</v>
      </c>
      <c r="R80" s="3">
        <f>3590.4+(665.6-908.5)+(1.831104+(0.339456-0.463335))+0-478.8-0.244187999999951</f>
        <v>2870.1630369999998</v>
      </c>
      <c r="S80" s="3">
        <f>3583.5+(662.4-1056.3)+(-5.482755+(-1.013472--1.616139))+0-512.4--0.78397200000003</f>
        <v>2673.1038840000001</v>
      </c>
      <c r="T80" s="3">
        <f>3559.1+(889.1-1095.5)+(3.630282+(0.906882-1.11741))+0-537.3-0.548046000000086</f>
        <v>2818.2717080000002</v>
      </c>
      <c r="U80" s="3">
        <f>3540.7+(937.5-1076)+(-7.223028+(-1.9125--2.19504))+0-527.2--1.07548799999998</f>
        <v>2869.1349999999998</v>
      </c>
      <c r="V80" s="3">
        <f>3409.5+(803.1-930.4)+(-5.216535+(-1.228743--1.423512))+0-463.4--0.709002000000027</f>
        <v>2814.4872359999999</v>
      </c>
      <c r="W80" s="3">
        <f>3380.7+(746.5-817.7)+(-3.448314+(-0.76143--0.834054))+0-607.5--0.619650000000097</f>
        <v>2699.2439600000002</v>
      </c>
      <c r="X80" s="3">
        <f>3174.2+(707.7-628.7)+(-12.950736+(-2.887416--2.565096))+0-617.4--2.51899199999995</f>
        <v>2625.0459359999995</v>
      </c>
      <c r="Y80" s="3">
        <f>3094.9+(580.7-550.6)+(-3.156798+(-0.592314--0.561612))+0-579.1--0.590682000000092</f>
        <v>2543.3031820000001</v>
      </c>
      <c r="Z80" s="3">
        <f>3176.2+(613.1-629.2)+(-6.479448+(-1.250724--1.283568))+0-489.3--0.998171999999979</f>
        <v>2665.3515679999996</v>
      </c>
      <c r="AA80" s="3">
        <f>3314.2+(622.7-696.3)+(-8.45121+(-1.587885--1.775565))+0-597.8--1.52438999999991</f>
        <v>2636.06086</v>
      </c>
      <c r="AB80" s="3">
        <f>3195.6+(682.2-854.8)+(-6.519024+(-1.391688--1.743792))+0-467.2--0.95308799999998</f>
        <v>2550.5861680000003</v>
      </c>
      <c r="AC80" s="3">
        <f>3186.7+(812.5-915.9)+(-6.500868+(-1.6575--1.868436))+0-567.2--1.15708799999998</f>
        <v>2510.9671559999997</v>
      </c>
      <c r="AD80">
        <v>2846.4</v>
      </c>
      <c r="AE80" s="3">
        <f>3313+(665.1-647)+(0+(0-0))+0-699.5-0</f>
        <v>2631.6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3185.7+(792.7-1146)+(0+(0-0))+0-454.1-0</f>
        <v>2378.2999999999997</v>
      </c>
      <c r="G81" s="3">
        <f>3204.6+(675.2-1047.6)+(-1.634346+(-0.344352--0.534276))+0-578.9--0.295238999999941</f>
        <v>2252.1508169999997</v>
      </c>
      <c r="H81" s="3">
        <f>3211.7+(767.4-1242.4)+(1.637967+(0.391374-0.633624))+0-561.2-0.286211999999943</f>
        <v>2176.6095049999994</v>
      </c>
      <c r="I81" s="3">
        <f>3226.3+(740.9-1241.5)+(-1.645413+(-0.377859--0.633165))+0-587.4--0.29957399999994</f>
        <v>2137.2094670000001</v>
      </c>
      <c r="J81" s="3">
        <f>3228.4+(720.9-1230.8)+(-1.646484+(-0.367659--0.627708))+0-595--0.30344999999994</f>
        <v>2122.417015</v>
      </c>
      <c r="K81" s="3">
        <f>3232+(677.5-1092.7)+(-8.2416+(-1.727625--2.786385))+0-725.3--1.84951499999989</f>
        <v>2086.1666750000004</v>
      </c>
      <c r="L81" s="3">
        <f>2948.4+(615.3-995.6)+(-3.007368+(-0.627606--1.015512))+0-498.8--0.50877600000008</f>
        <v>2067.1893139999997</v>
      </c>
      <c r="M81" s="3">
        <f>2873.9+(598.6-833.9)+(2.931378+(0.610572-0.850578))+0-428.7-0.437274000000068</f>
        <v>2212.1540980000004</v>
      </c>
      <c r="N81" s="3">
        <f>3135.2+(503.4-589)+(4.796856+(0.770202-0.90117))+0-637.8-0.975834000000037</f>
        <v>2415.4900539999999</v>
      </c>
      <c r="O81" s="3">
        <f>3338.3+(333.6-445.7)+(0+(0-0))+0-622.2-0</f>
        <v>2604</v>
      </c>
      <c r="P81" s="3">
        <f>3545.6+(407.6-593.5)+(0+(0-0))+0-593.6-0</f>
        <v>2766.1</v>
      </c>
      <c r="Q81" s="3">
        <f>3748.2+(715.1-960.3)+(3.823164+(0.729402-0.979506))+0-628.3-0.6408660000001</f>
        <v>2877.6321940000003</v>
      </c>
      <c r="R81" s="3">
        <f>3743.7+(733.5-1176.4)+(-1.909287+(-0.374085--0.599964))+0-372.2--0.189821999999962</f>
        <v>2927.1064139999999</v>
      </c>
      <c r="S81" s="3">
        <f>3744.5+(700.5-1215.7)+(-7.63878+(-1.42902--2.480028))+0-624.1--1.27316399999997</f>
        <v>2599.8853920000006</v>
      </c>
      <c r="T81" s="3">
        <f>3619.6+(816.6-1220.9)+(-7.383984+(-1.665864--2.490636))+0-537.5--1.09649999999998</f>
        <v>2672.3372879999997</v>
      </c>
      <c r="U81" s="3">
        <f>3446.3+(969.7-1149.5)+(-1.757613+(-0.494547--0.586245))+0-592--0.30191999999994</f>
        <v>2673.1360049999998</v>
      </c>
      <c r="V81" s="3">
        <f>3417.3+(905.3-1146.9)+(-8.714115+(-2.308515--2.924595))+0-575--1.46624999999992</f>
        <v>2594.0682149999998</v>
      </c>
      <c r="W81" s="3">
        <f>3344.5+(884.9-1127.7)+(-3.41139+(-0.902598--1.150254))+0-502.1--0.51214200000008</f>
        <v>2596.9484079999997</v>
      </c>
      <c r="X81" s="3">
        <f>3174.4+(867.7-967.7)+(-9.713664+(-2.655162--2.961162))+0-585.1--1.79040600000007</f>
        <v>2481.6827420000004</v>
      </c>
      <c r="Y81" s="3">
        <f>3070.6+(627.3-739.8)+(-1.566006+(-0.319923--0.377298))+0-507.4--0.258773999999948</f>
        <v>2449.4501429999996</v>
      </c>
      <c r="Z81" s="3">
        <f>3150.2+(579.7-679.9)+(-4.819806+(-0.886941--1.040247))+0-570.4--0.872712000000033</f>
        <v>2475.806212</v>
      </c>
      <c r="AA81" s="3">
        <f>3290.5+(659.4-707.7)+(-5.034465+(-1.008882--1.082781))+0-726.2--1.11108600000004</f>
        <v>2512.1505199999992</v>
      </c>
      <c r="AB81" s="3">
        <f>3302.1+(552.4-847)+(-10.104426+(-1.690344--2.59182))+0-558.9--1.71023400000006</f>
        <v>2441.1072840000002</v>
      </c>
      <c r="AC81" s="3">
        <f>3378.9+(580-930.5)+(-3.446478+(-0.5916--0.94911))+0-623.4--0.635868000000099</f>
        <v>2402.5469000000003</v>
      </c>
      <c r="AD81">
        <v>2517.7000000000003</v>
      </c>
      <c r="AE81" s="3">
        <f>3283+(726.3-670.6)+(0+(0-0))+0-821-0</f>
        <v>2517.6999999999998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3408.6+(797.3-1106.2)+(-6.953544+(-1.626492--2.256648))+0-761--1.55243999999997</f>
        <v>2333.929052</v>
      </c>
      <c r="G82" s="3">
        <f>3413.1+(616-1231.1)+(-8.703405+(-1.5708--3.139305))+0-572.7--1.46038499999992</f>
        <v>2219.625485</v>
      </c>
      <c r="H82" s="3">
        <f>3360.8+(447.5-1070.6)+(-3.428016+(-0.45645--1.092012))+0-627.6--0.6401520000001</f>
        <v>2107.9476980000004</v>
      </c>
      <c r="I82" s="3">
        <f>3313.9+(391.5-1013)+(-1.690089+(-0.199665--0.51663))+0-637.7--0.325226999999935</f>
        <v>2053.6521029999999</v>
      </c>
      <c r="J82" s="3">
        <f>3270.7+(514.2-1065.8)+(-3.336114+(-0.524484--1.087116))+0-692--0.70584000000011</f>
        <v>2025.0323579999999</v>
      </c>
      <c r="K82" s="3">
        <f>3159.7+(654.4-1086.9)+(-8.057235+(-1.66872--2.771595))+0-754.4--1.92371999999989</f>
        <v>1967.7693599999996</v>
      </c>
      <c r="L82" s="3">
        <f>2756+(707.6-1096.8)+(0+(0-0))+0-527.8-0</f>
        <v>1839.0000000000002</v>
      </c>
      <c r="M82" s="3">
        <f>2634.7+(708-913.5)+(1.343697+(0.36108-0.465885))+0-575.1-0.293300999999942</f>
        <v>1855.0455909999998</v>
      </c>
      <c r="N82" s="3">
        <f>2623+(666.3-696.1)+(-1.33773+(-0.339813--0.355011))+0-634--0.323339999999936</f>
        <v>1958.2008079999996</v>
      </c>
      <c r="O82" s="3">
        <f>2618.2+(726.6-591.7)+(-1.335282+(-0.370566--0.301767))+0-672.1--0.342770999999932</f>
        <v>2079.93869</v>
      </c>
      <c r="P82" s="3">
        <f>2605.8+(824.9-663.3)+(-1.328958+(-0.420699--0.338283))+0-606.6--0.309365999999938</f>
        <v>2159.6979920000003</v>
      </c>
      <c r="Q82" s="3">
        <f>2782+(806.8-696.9)+(1.41882+(0.411468-0.355419))+0-672.3-0.342872999999932</f>
        <v>2220.731996</v>
      </c>
      <c r="R82" s="3">
        <f>3134.7+(743.8-974.8)+(-1.598697+(-0.379338--0.497148))+0-639.8--0.326297999999935</f>
        <v>2262.7454109999999</v>
      </c>
      <c r="S82" s="3">
        <f>3220.4+(862.1-1187.3)+(-3.284808+(-0.879342--1.211046))+0-697.3--0.711246000000111</f>
        <v>2195.6581420000007</v>
      </c>
      <c r="T82" s="3">
        <f>3274.9+(809.2-1259.8)+(-6.680796+(-1.650768--2.569992))+0-610.7--1.24582799999997</f>
        <v>2209.0842560000001</v>
      </c>
      <c r="U82" s="3">
        <f>3361.8+(798.5-1318.5)+(-5.143554+(-1.221705--2.017305))+0-619.5--0.947835000000036</f>
        <v>2218.8998810000003</v>
      </c>
      <c r="V82" s="3">
        <f>3378.1+(715.6-1192.5)+(-5.168493+(-1.094868--1.824525))+0-604.7--0.925191000000035</f>
        <v>2292.9863549999995</v>
      </c>
      <c r="W82" s="3">
        <f>3321+(503.1-826.9)+(-8.46855+(-1.282905--2.108595))+0-629--1.60394999999991</f>
        <v>2362.1610899999996</v>
      </c>
      <c r="X82" s="3">
        <f>3031.2+(318.4-616.6)+(-7.72956+(-0.81192--1.57233))+0-603.6--1.53917999999991</f>
        <v>2123.97003</v>
      </c>
      <c r="Y82" s="3">
        <f>2955.6+(437.5-738.3)+(-3.014712+(-0.44625--0.753066))+0-612.9--0.625158000000098</f>
        <v>2039.8172620000003</v>
      </c>
      <c r="Z82" s="3">
        <f>3076.1+(549.3-779.7)+(1.568811+(0.280143-0.397647))+0-585.2-0.298451999999941</f>
        <v>2261.6528549999994</v>
      </c>
      <c r="AA82" s="3">
        <f>3418.7+(549.1-1010.7)+(-6.974148+(-1.120164--2.061828))+0-596--1.21583999999997</f>
        <v>2356.2833559999999</v>
      </c>
      <c r="AB82" s="3">
        <f>3398.3+(786.1-1130.6)+(-3.466266+(-0.801822--1.153212))+0-703.4--0.717468000000112</f>
        <v>2348.0025920000003</v>
      </c>
      <c r="AC82" s="3">
        <f>3408.1+(869.8-1299.2)+(-3.476262+(-0.887196--1.325184))+0-667.2--0.680544000000106</f>
        <v>2309.1422699999998</v>
      </c>
      <c r="AD82">
        <v>2598.7000000000003</v>
      </c>
      <c r="AE82" s="3">
        <f>3424+(611.4-969.3)+(0+(0-0))+0-683.2-0</f>
        <v>2382.8999999999996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3307.7+(783.7-1266.6)+(-3.373854+(-0.799374--1.291932))+0-580.6--0.592212000000093</f>
        <v>2241.9109160000003</v>
      </c>
      <c r="G83" s="3">
        <f>3219.1+(686.7-1045.3)+(-8.208705+(-1.751085--2.665515))+0-691.3--1.7628149999999</f>
        <v>2163.6685399999997</v>
      </c>
      <c r="H83" s="3">
        <f>3107.4+(560.1-983.3)+(-7.92387+(-1.428255--2.507415))+0-654.8--1.6697399999999</f>
        <v>2024.2250300000003</v>
      </c>
      <c r="I83" s="3">
        <f>3147.7+(588.4-1079.8)+(1.605327+(0.300084-0.550698))+0-697.8-0.355877999999929</f>
        <v>1959.4988350000001</v>
      </c>
      <c r="J83" s="3">
        <f>3044.7+(663.8-1038.7)+(0+(0-0))+0-728.7-0</f>
        <v>1941.0999999999997</v>
      </c>
      <c r="K83" s="3">
        <f>2915.7+(670.9-1073.3)+(-8.922042+(-2.052954--3.284298))+0-595.7--1.82284200000007</f>
        <v>1911.7321439999998</v>
      </c>
      <c r="L83" s="3">
        <f>2667+(764.1-857.6)+(4.08051+(1.169073-1.312128))+0-608.9-0.931617000000035</f>
        <v>1967.6058380000002</v>
      </c>
      <c r="M83" s="3">
        <f>2763.6+(624-581)+(-4.228308+(-0.95472--0.88893))+0-571.1--0.873783000000033</f>
        <v>2232.0796850000002</v>
      </c>
      <c r="N83" s="3">
        <f>3071.2+(466.2-573.3)+(3.132624+(0.475524-0.584766))+0-570.6-0.582012000000091</f>
        <v>2395.9413699999996</v>
      </c>
      <c r="O83" s="3">
        <f>3198.6+(387.6-434)+(3.262572+(0.395352-0.44268))+0-586.1-0.597822000000093</f>
        <v>2568.7174219999997</v>
      </c>
      <c r="P83" s="3">
        <f>3292.7+(300.4-448)+(5.037831+(0.459612-0.68544))+0-527.4-0.80692200000003</f>
        <v>2621.7050809999996</v>
      </c>
      <c r="Q83" s="3">
        <f>3463.9+(439.3-579.4)+(0+(0-0))+0-525.9-0</f>
        <v>2797.9</v>
      </c>
      <c r="R83" s="3">
        <f>3363.6+(557.8-701)+(1.715436+(0.284478-0.35751))+0-408.4-0.208283999999959</f>
        <v>2813.4341199999999</v>
      </c>
      <c r="S83" s="3">
        <f>3296.5+(613.5-814.9)+(-1.681215+(-0.312885--0.415599))+0-484.6--0.247145999999951</f>
        <v>2609.1686450000002</v>
      </c>
      <c r="T83" s="3">
        <f>3245+(716.8-759.6)+(-1.65495+(-0.365568--0.387396))+0-498.3--0.254132999999949</f>
        <v>2702.5210109999994</v>
      </c>
      <c r="U83" s="3">
        <f>3210.5+(747.8-750.4)+(-3.27471+(-0.762756--0.765408))+0-531.7--0.542334000000085</f>
        <v>2673.4702760000005</v>
      </c>
      <c r="V83" s="3">
        <f>3192.9+(639.2-738.4)+(-3.256758+(-0.651984--0.753168))+0-585.8--0.597516000000093</f>
        <v>2505.3419420000005</v>
      </c>
      <c r="W83" s="3">
        <f>3319.6+(457.8-795.3)+(-6.771984+(-0.933912--1.622412))+0-584.9--1.19319599999997</f>
        <v>2392.3097119999998</v>
      </c>
      <c r="X83" s="3">
        <f>3074+(465.2-569.6)+(-7.8387+(-1.18626--1.45248))+0-672.4--1.7146199999999</f>
        <v>2291.3421399999997</v>
      </c>
      <c r="Y83" s="3">
        <f>2979.7+(408.5-524)+(-4.558941+(-0.625005--0.80172))+0-610.2--0.933606000000035</f>
        <v>2250.5513799999994</v>
      </c>
      <c r="Z83" s="3">
        <f>3164.7+(240.4-471.6)+(-4.841991+(-0.367812--0.721548))+0-611.1--0.934983000000035</f>
        <v>2318.846728</v>
      </c>
      <c r="AA83" s="3">
        <f>3150.8+(321.5-461.6)+(-4.820724+(-0.491895--0.706248))+0-677.1--1.03596300000004</f>
        <v>2330.0295920000008</v>
      </c>
      <c r="AB83" s="3">
        <f>3087+(419-520.7)+(-1.57437+(-0.21369--0.265557))+0-544.6--0.277745999999945</f>
        <v>2439.4552429999999</v>
      </c>
      <c r="AC83" s="3">
        <f>3120.6+(502.6-631.4)+(-3.183012+(-0.512652--0.644028))+0-652.8--0.665856000000104</f>
        <v>2336.6142199999999</v>
      </c>
      <c r="AD83">
        <v>2494.1</v>
      </c>
      <c r="AE83" s="3">
        <f>3105+(465.3-382.3)+(0+(0-0))+0-693.9-0</f>
        <v>2494.1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3099.5+(525-686.3)+(-1.580745+(-0.26775--0.350013))+0-633.7--0.323186999999936</f>
        <v>2303.324705</v>
      </c>
      <c r="G84" s="3">
        <f>2977.5+(630.6-819.6)+(-4.555575+(-0.964818--1.253988))+0-630.2--0.964206000000037</f>
        <v>2154.997801</v>
      </c>
      <c r="H84" s="3">
        <f>2843.9+(696.6-773.3)+(-1.450389+(-0.355266--0.394383))+0-648.2--0.330581999999934</f>
        <v>2117.9193100000007</v>
      </c>
      <c r="I84" s="3">
        <f>2699.3+(741.4-727.2)+(-4.129929+(-1.134342--1.112616))+0-645.7--0.987921000000037</f>
        <v>2064.6362659999995</v>
      </c>
      <c r="J84" s="3">
        <f>2706.8+(770.3-758.2)+(-5.521872+(-1.571412--1.546728))+0-677--1.38107999999997</f>
        <v>2037.7345240000002</v>
      </c>
      <c r="K84" s="3">
        <f>2587.9+(791.9-747.1)+(-11.878461+(-3.634821--3.429189))+0-596.1--2.7360990000001</f>
        <v>2027.2520060000002</v>
      </c>
      <c r="L84" s="3">
        <f>2313.2+(876.9-497.8)+(-9.437856+(-3.577752--2.031024))+0-667.8--2.72462399999994</f>
        <v>2016.2400399999999</v>
      </c>
      <c r="M84" s="3">
        <f>2435+(766.1-371.9)+(-2.4837+(-0.781422--0.379338))+0-554.3--0.565386000000088</f>
        <v>2272.5796019999998</v>
      </c>
      <c r="N84" s="3">
        <f>2791+(577-360.9)+(-5.69364+(-1.17708--0.736236))+0-570.5--1.16381999999997</f>
        <v>2431.6293359999995</v>
      </c>
      <c r="O84" s="3">
        <f>2934+(483.5-330.3)+(-4.48902+(-0.739755--0.505359))+0-546.1--0.835533000000032</f>
        <v>2537.212117</v>
      </c>
      <c r="P84" s="3">
        <f>2992.5+(442.4-242.7)+(-3.05235+(-0.451248--0.247554))+0-498.6--0.50857200000008</f>
        <v>2690.8525279999999</v>
      </c>
      <c r="Q84" s="3">
        <f>3193+(510.2-354.2)+(-1.62843+(-0.260202--0.180642))+0-582.3--0.296972999999941</f>
        <v>2765.2889829999999</v>
      </c>
      <c r="R84" s="3">
        <f>3271+(611.5-554.4)+(-5.00463+(-0.935595--0.848232))+0-547.9--0.838287000000032</f>
        <v>2775.9462939999999</v>
      </c>
      <c r="S84" s="3">
        <f>3217.9+(613-752.9)+(-4.923387+(-0.93789--1.151937))+0-543.7--0.831861000000031</f>
        <v>2530.422521</v>
      </c>
      <c r="T84" s="3">
        <f>3349.3+(664.2-871.9)+(1.708143+(0.338742-0.444669))+0-556.9-0.284018999999944</f>
        <v>2586.0181970000003</v>
      </c>
      <c r="U84" s="3">
        <f>3164.9+(854.2-795.6)+(-8.070495+(-2.17821--2.02878))+0-491.5--1.25332499999993</f>
        <v>2725.0334000000003</v>
      </c>
      <c r="V84" s="3">
        <f>3160.8+(873.8-715.7)+(0+(0-0))+0-582.4-0</f>
        <v>2736.5</v>
      </c>
      <c r="W84" s="3">
        <f>3249.3+(522.4-398)+(-3.314286+(-0.532848--0.40596))+0-568.5--0.579870000000091</f>
        <v>2802.3386960000003</v>
      </c>
      <c r="X84" s="3">
        <f>3184.5+(424.5-506.7)+(-4.872285+(-0.649485--0.775251))+0-464.7--0.710991000000027</f>
        <v>2633.5644720000005</v>
      </c>
      <c r="Y84" s="3">
        <f>3016+(421.5-531.4)+(-1.53816+(-0.214965--0.271014))+0-505.2--0.257651999999949</f>
        <v>2399.6755410000001</v>
      </c>
      <c r="Z84" s="3">
        <f>3070+(308.1-207.6)+(-1.5657+(-0.157131--0.105876))+0-622--0.317219999999937</f>
        <v>2547.2002649999999</v>
      </c>
      <c r="AA84" s="3">
        <f>3126.9+(276.7-175.2)+(-6.378876+(-0.564468--0.357408))+0-617.1--1.25888399999997</f>
        <v>2605.9729480000001</v>
      </c>
      <c r="AB84" s="3">
        <f>3134.8+(217.8-379)+(-1.598748+(-0.111078--0.19329))+0-471.2--0.240311999999952</f>
        <v>2501.1237760000004</v>
      </c>
      <c r="AC84" s="3">
        <f>3096.9+(209.3-499.1)+(1.579419+(0.106743-0.254541))+0-429.2-0.218891999999956</f>
        <v>2379.1127290000004</v>
      </c>
      <c r="AD84">
        <v>2551.4</v>
      </c>
      <c r="AE84" s="3">
        <f>3106+(307.3-143.3)+(0+(0-0))+0-718.6-0</f>
        <v>2551.4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3098.3+(310-528.4)+(-6.320532+(-0.6324--1.077936))+0-639--1.30355999999997</f>
        <v>2236.3285639999999</v>
      </c>
      <c r="G85" s="3">
        <f>3119.1+(350.1-593.2)+(-3.181482+(-0.357102--0.605064))+0-612.7--0.624954000000098</f>
        <v>2260.9914339999996</v>
      </c>
      <c r="H85" s="3">
        <f>3135.5+(296-796.7)+(-6.39642+(-0.60384--1.625268))+0-524--1.06895999999998</f>
        <v>2106.4939680000002</v>
      </c>
      <c r="I85" s="3">
        <f>3157.1+(277.4-995.1)+(-8.050605+(-0.70737--2.537505))+0-437.1--1.11460499999994</f>
        <v>1997.1941349999995</v>
      </c>
      <c r="J85" s="3">
        <f>3153.5+(348.5-966.8)+(3.21657+(0.35547-0.986136))+0-491.8-0.501636000000078</f>
        <v>2045.4842679999997</v>
      </c>
      <c r="K85" s="3">
        <f>3046.6+(434.6-901.5)+(-7.76883+(-1.10823--2.298825))+0-493.4--1.25816999999993</f>
        <v>2080.9799349999998</v>
      </c>
      <c r="L85" s="3">
        <f>2847.4+(391.1-790.5)+(-7.26087+(-0.997305--2.015775))+0-421.8--1.07558999999994</f>
        <v>2021.0331899999999</v>
      </c>
      <c r="M85" s="3">
        <f>2828.3+(363.1-681.9)+(2.884866+(0.370362-0.695538))+0-219.5-0.223890000000035</f>
        <v>2292.3357999999998</v>
      </c>
      <c r="N85" s="3">
        <f>2882.3+(307.9-475.1)+(0+(0-0))+0-300.4-0</f>
        <v>2414.7000000000003</v>
      </c>
      <c r="O85" s="3">
        <f>3015.3+(351.1-395.4)+(1.537803+(0.179061-0.201654))+0-387.3-0.197522999999961</f>
        <v>2585.017687</v>
      </c>
      <c r="P85" s="3">
        <f>3211.1+(496.4-556.5)+(-3.275322+(-0.506328--0.56763))+0-480.6--0.490212000000077</f>
        <v>2667.6761920000004</v>
      </c>
      <c r="Q85" s="3">
        <f>3384.5+(290.8-606.3)+(1.726095+(0.148308-0.309213))+0-303.4-0.154733999999969</f>
        <v>2767.0104559999995</v>
      </c>
      <c r="R85" s="3">
        <f>3574.3+(394.7-709.1)+(-3.645786+(-0.402594--0.723282))+0-464.8--0.474096000000074</f>
        <v>2792.248998</v>
      </c>
      <c r="S85" s="3">
        <f>3418.4+(166-682.7)+(-1.743384+(-0.08466--0.348177))+0-347.8--0.177377999999965</f>
        <v>2552.5975109999995</v>
      </c>
      <c r="T85" s="3">
        <f>3435.9+(457.3-787.7)+(0+(0-0))+0-376.9-0</f>
        <v>2728.6</v>
      </c>
      <c r="U85" s="3">
        <f>3462.8+(426.7-762.1)+(-5.298084+(-0.652851--1.166013))+0-403.3--0.617049000000023</f>
        <v>2719.932127</v>
      </c>
      <c r="V85" s="3">
        <f>3442.4+(325.8-654.2)+(0+(0-0))+0-418.4-0</f>
        <v>2695.6</v>
      </c>
      <c r="W85" s="3">
        <f>3505.7+(206.9-551.6)+(-3.575814+(-0.211038--0.562632))+0-565.9--0.57721800000009</f>
        <v>2592.4529979999998</v>
      </c>
      <c r="X85" s="3">
        <f>3359.5+(384.2-577.9)+(-6.85338+(-0.783768--1.178916))+0-579.6--1.18238399999997</f>
        <v>2580.9241520000005</v>
      </c>
      <c r="Y85" s="3">
        <f>3076.3+(336.7-613.1)+(-3.137826+(-0.343434--0.625362))+0-361.7--0.368934000000058</f>
        <v>2435.7130360000006</v>
      </c>
      <c r="Z85" s="3">
        <f>3058.7+(244.3-290.5)+(-1.559937+(-0.124593--0.148155))+0-435.5--0.222104999999956</f>
        <v>2575.6857299999997</v>
      </c>
      <c r="AA85" s="3">
        <f>3199.8+(339.8-229.3)+(-4.895694+(-0.519894--0.350829))+0-641.3--0.981189000000037</f>
        <v>2664.9164300000002</v>
      </c>
      <c r="AB85" s="3">
        <f>3198.5+(250.1-301.4)+(-8.156175+(-0.637755--0.76857))+0-639.1--1.62970499999991</f>
        <v>2501.7043449999996</v>
      </c>
      <c r="AC85" s="3">
        <f>3140.6+(204.3-439.8)+(-3.203412+(-0.208386--0.448596))+0-492.9--0.502758000000079</f>
        <v>2409.739556</v>
      </c>
      <c r="AD85">
        <v>2575.4</v>
      </c>
      <c r="AE85" s="3">
        <f>3199+(351.1-240.6)+(0+(0-0))+0-734.1-0</f>
        <v>2575.4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3135.1+(265.3-434.1)+(-4.796703+(-0.405909--0.664173))+0-674.5--1.03198500000004</f>
        <v>2288.2935459999999</v>
      </c>
      <c r="G86" s="3">
        <f>3146.6+(305.4-569)+(-8.02383+(-0.77877--1.45095))+0-690.1--1.7597549999999</f>
        <v>2187.3081050000001</v>
      </c>
      <c r="H86" s="3">
        <f>3117.6+(417.2-810.6)+(-1.589976+(-0.212772--0.413406))+0-667.3--0.340322999999932</f>
        <v>2055.850981</v>
      </c>
      <c r="I86" s="3">
        <f>3101.5+(378.1-894)+(-6.32706+(-0.771324--1.82376))+0-571.9--1.16667599999997</f>
        <v>2009.5920519999997</v>
      </c>
      <c r="J86" s="3">
        <f>2997.5+(424.4-787.2)+(-7.643625+(-1.08222--2.00736))+0-601.9--1.53484499999991</f>
        <v>2027.6163599999998</v>
      </c>
      <c r="K86" s="3">
        <f>2847.5+(511.3-744.1)+(-11.6178+(-2.086104--3.035928))+0-609.6--2.48716799999995</f>
        <v>1996.9191919999996</v>
      </c>
      <c r="L86" s="3">
        <f>2735.4+(494.7-605.7)+(-4.185162+(-0.756891--0.926721))+0-649.7--0.994041000000038</f>
        <v>1971.678709</v>
      </c>
      <c r="M86" s="3">
        <f>2773.4+(418.1-477.2)+(1.414434+(0.213231-0.243372))+0-495.8-0.25285799999995</f>
        <v>2219.6314350000002</v>
      </c>
      <c r="N86" s="3">
        <f>2923.7+(369.5-383.9)+(1.491087+(0.188445-0.195789))+0-475.7-0.242606999999952</f>
        <v>2434.8411359999996</v>
      </c>
      <c r="O86" s="3">
        <f>3065.9+(398.6-499.8)+(1.563609+(0.203286-0.254898))+0-404.5-0.206294999999959</f>
        <v>2561.5057020000004</v>
      </c>
      <c r="P86" s="3">
        <f>3309.5+(388.3-677)+(1.687845+(0.198033-0.34527))+18.3-446-0.227459999999955</f>
        <v>2594.4131480000001</v>
      </c>
      <c r="Q86" s="3">
        <f>3474.6+(569.5-842.2)+(1.772046+(0.290445-0.429522))+0-526.9-0.268718999999947</f>
        <v>2676.3642499999992</v>
      </c>
      <c r="R86" s="3">
        <f>3515+(587.8-970.8)+(1.79265+(0.299778-0.495108))+0-569.5-0.290444999999942</f>
        <v>2563.8068749999998</v>
      </c>
      <c r="S86" s="3">
        <f>3484.4+(440.9-927.3)+(-3.554088+(-0.449718--0.945846))+0-574.1--0.585582000000092</f>
        <v>2421.4276220000002</v>
      </c>
      <c r="T86" s="3">
        <f>3253.9+(792.4-841.8)+(-1.659489+(-0.404124--0.429318))+0-484.7--0.247196999999951</f>
        <v>2718.4129020000005</v>
      </c>
      <c r="U86" s="3">
        <f>3330.3+(896.8-886.8)+(-6.793812+(-1.829472--1.809072))+0-538.1--1.09772399999998</f>
        <v>2796.4835120000002</v>
      </c>
      <c r="V86" s="3">
        <f>3369.6+(688.7-841.4)+(0+(0-0))+0-462.6-0</f>
        <v>2754.3</v>
      </c>
      <c r="W86" s="3">
        <f>3368.4+(448.8-626.5)+(-10.307304+(-1.373328--1.91709))+0-587.8--1.79866800000007</f>
        <v>2594.9351259999999</v>
      </c>
      <c r="X86" s="3">
        <f>2980.7+(525.9-493.3)+(-10.641099+(-1.877463--1.761081))+0-544.4--1.94350800000001</f>
        <v>2460.0860269999994</v>
      </c>
      <c r="Y86" s="3">
        <f>2811.7+(582.9-373.9)+(-7.169835+(-1.486395--0.953445))+0-596.8--1.52183999999991</f>
        <v>2417.719055</v>
      </c>
      <c r="Z86" s="3">
        <f>2817.8+(457.4-175)+(0+(0-0))+0-664.4-0</f>
        <v>2435.8000000000002</v>
      </c>
      <c r="AA86" s="3">
        <f>2989.1+(331.5-337.7)+(-9.146646+(-1.01439--1.033362))+0-510.1--1.56090600000006</f>
        <v>2465.2332320000005</v>
      </c>
      <c r="AB86" s="3">
        <f>3010.1+(288.2-375.1)+(-3.070302+(-0.293964--0.382602))+0-527.2--0.537744000000084</f>
        <v>2393.5560800000003</v>
      </c>
      <c r="AC86" s="3">
        <f>2979.7+(292.8-146.4)+(1.519647+(0.149328-0.074664))+0-689.2-0.35149199999993</f>
        <v>2438.1428189999997</v>
      </c>
      <c r="AD86">
        <v>2464</v>
      </c>
      <c r="AE86" s="3">
        <f>2998+(296.3-303.1)+(0+(0-0))+0-527.2-0</f>
        <v>2464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2966.9+(407.7-584)+(-7.565595+(-1.039635--1.4892))+0-559.8--1.42748999999992</f>
        <v>2225.1114600000001</v>
      </c>
      <c r="G87" s="3">
        <f>2843+(504.9-483.1)+(-4.34979+(-0.772497--0.739143))+0-755.6--1.15606800000004</f>
        <v>2105.9729240000006</v>
      </c>
      <c r="H87" s="3">
        <f>2698.7+(636.1-582)+(-2.752674+(-0.648822--0.59364))+0-647.7--0.660654000000103</f>
        <v>2102.9527980000003</v>
      </c>
      <c r="I87" s="3">
        <f>2662.6+(683.2-651.9)+(-5.431704+(-1.393728--1.329876))+0-660.5--1.34741999999997</f>
        <v>2029.2518640000003</v>
      </c>
      <c r="J87" s="3">
        <f>2663.3+(619.3-638.6)+(1.358283+(0.315843-0.325686))+0-623.3-0.317882999999937</f>
        <v>2021.7305570000003</v>
      </c>
      <c r="K87" s="3">
        <f>2616.4+(657.9-656.4)+(-1.334364+(-0.335529--0.334764))+0-625.1--0.318800999999937</f>
        <v>1991.783672</v>
      </c>
      <c r="L87" s="3">
        <f>2439.9+(581.3-432.3)+(1.244349+(0.296463-0.220473))+0-588.5-0.30013499999994</f>
        <v>2001.420204</v>
      </c>
      <c r="M87" s="3">
        <f>2578+(526.4-296)+(1.31478+(0.268464-0.15096))+0-576.7-0.294116999999942</f>
        <v>2232.8381670000003</v>
      </c>
      <c r="N87" s="3">
        <f>2699.8+(457.7-209.9)+(-1.376898+(-0.233427--0.107049))+0-520.1--0.265250999999947</f>
        <v>2426.2619750000003</v>
      </c>
      <c r="O87" s="3">
        <f>2778.7+(518.4-148)+(-1.417137+(-0.264384--0.07548))+0-594.7--0.30329699999994</f>
        <v>2553.0972559999996</v>
      </c>
      <c r="P87" s="3">
        <f>2884+(487.3-162.2)+(-1.47084+(-0.248523--0.082722))+0-551.7--0.281366999999944</f>
        <v>2656.0447259999996</v>
      </c>
      <c r="Q87" s="3">
        <f>3109.9+(663.9-394.6)+(-4.758147+(-1.015767--0.603738))+0-617.7--0.945081000000036</f>
        <v>2757.2749049999993</v>
      </c>
      <c r="R87" s="3">
        <f>3377.5+(745.9-810.2)+(-1.722525+(-0.380409--0.413202))+0-584.2--0.297941999999941</f>
        <v>2727.6082100000003</v>
      </c>
      <c r="S87" s="3">
        <f>3359.4+(597.1-923.1)+(-3.426588+(-0.609042--0.941562))+0-518.1--0.528462000000083</f>
        <v>2512.7343940000005</v>
      </c>
      <c r="T87" s="3">
        <f>3377+(759-831.5)+(-5.16681+(-1.16127--1.272195))+0-654.2--1.00092600000004</f>
        <v>2646.2450409999997</v>
      </c>
      <c r="U87" s="3">
        <f>3392.4+(658.1-823.5)+(-8.65062+(-1.678155--2.099925))+0-524.3--1.33696499999992</f>
        <v>2695.8081150000003</v>
      </c>
      <c r="V87" s="3">
        <f>3366.1+(621.9-664.6)+(-6.866844+(-1.268676--1.355784))+0-666.8--1.36027199999997</f>
        <v>2651.1805359999998</v>
      </c>
      <c r="W87" s="3">
        <f>3134+(435.2-404.4)+(-4.79502+(-0.665856--0.618732))+0-553.8--0.847314000000032</f>
        <v>2607.0051699999999</v>
      </c>
      <c r="X87" s="3">
        <f>2935.5+(491.1-333.7)+(-8.98263+(-1.502766--1.021122))+0-617.2--1.88863200000007</f>
        <v>2468.124358</v>
      </c>
      <c r="Y87" s="3">
        <f>2602.3+(430.4-192.2)+(-3.981519+(-0.658512--0.294066))+0-542--0.829260000000031</f>
        <v>2294.983295</v>
      </c>
      <c r="Z87" s="3">
        <f>2554.5+(672-79.1)+(-1.302795+(-0.34272--0.040341))+0-653.8--0.333437999999934</f>
        <v>2492.3282640000002</v>
      </c>
      <c r="AA87" s="3">
        <f>2771.5+(665.5-130.6)+(-4.240395+(-1.018215--0.199818))+0-645.3--0.987309000000037</f>
        <v>2657.0285170000006</v>
      </c>
      <c r="AB87" s="3">
        <f>2806.3+(450.3-183.5)+(-2.862426+(-0.459306--0.18717))+0-628.2--0.6407640000001</f>
        <v>2442.4062020000006</v>
      </c>
      <c r="AC87" s="3">
        <f>2822.2+(369.3-291.8)+(-2.878644+(-0.376686--0.297636))+0-578.5--0.590070000000092</f>
        <v>2318.8323759999998</v>
      </c>
      <c r="AD87">
        <v>2606.4</v>
      </c>
      <c r="AE87" s="3">
        <f>2802+(626.6-120.1)+(0+(0-0))+0-702.1-0</f>
        <v>2606.4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2783.8+(494.2-506)+(-4.259214+(-0.756126--0.77418))+0-524.2--0.80202600000003</f>
        <v>2244.3608659999995</v>
      </c>
      <c r="G88" s="3">
        <f>2760.1+(627.6-611)+(-2.815302+(-0.640152--0.62322))+0-661.4--0.674628000000105</f>
        <v>2113.142394</v>
      </c>
      <c r="H88" s="3">
        <f>2777.7+(734.6-691.8)+(-7.083135+(-1.87323--1.76409))+0-653.2--1.66565999999991</f>
        <v>2161.773385</v>
      </c>
      <c r="I88" s="3">
        <f>2783+(729.6-753.6)+(0+(0-0))+0-614.2-0</f>
        <v>2144.8000000000002</v>
      </c>
      <c r="J88" s="3">
        <f>2797.2+(681.5-809)+(-8.559432+(-2.08539--2.47554))+0-589.6--1.80417600000007</f>
        <v>2073.7348940000002</v>
      </c>
      <c r="K88" s="3">
        <f>2736+(707.9-775.8)+(-6.9768+(-1.805145--1.97829))+0-661.6--1.6870799999999</f>
        <v>2001.3834249999998</v>
      </c>
      <c r="L88" s="3">
        <f>2472.1+(746.2-680.5)+(-3.782313+(-1.141686--1.041165))+0-631.4--0.966042000000036</f>
        <v>1903.4832080000001</v>
      </c>
      <c r="M88" s="3">
        <f>2492.7+(668.5-493.4)+(-3.813831+(-1.022805--0.754902))+0-603.3--0.923049000000035</f>
        <v>2061.3413149999997</v>
      </c>
      <c r="N88" s="3">
        <f>2676.9+(502.6-552.4)+(-2.730438+(-0.512652--0.563448))+0-489.2--0.498984000000078</f>
        <v>2135.7193420000008</v>
      </c>
      <c r="O88" s="3">
        <f>2799.3+(449.4-430.5)+(-5.710572+(-0.916776--0.87822))+0-550.8--1.12363199999998</f>
        <v>2262.774504</v>
      </c>
      <c r="P88" s="3">
        <f>2771.4+(538.1-271.6)+(1.413414+(0.274431-0.138516))+0-625.1-0.318800999999937</f>
        <v>2414.0305280000002</v>
      </c>
      <c r="Q88" s="3">
        <f>2891.6+(743.2-387)+(-2.949432+(-0.758064--0.39474))+0-675.4--0.688908000000108</f>
        <v>2569.7761520000004</v>
      </c>
      <c r="R88" s="3">
        <f>3182.5+(587.7-738.8)+(-1.623075+(-0.299727--0.376788))+0-606.3--0.309212999999938</f>
        <v>2423.8631989999999</v>
      </c>
      <c r="S88" s="3">
        <f>3286.3+(641.5-1041.7)+(-5.028039+(-0.981495--1.593801))+0-645.6--0.987768000000037</f>
        <v>2237.0720350000006</v>
      </c>
      <c r="T88" s="3">
        <f>3372.1+(727.8-1201.5)+(-3.439542+(-0.742356--1.22553))+0-478.1--0.487662000000076</f>
        <v>2417.8312939999996</v>
      </c>
      <c r="U88" s="3">
        <f>3358.3+(767.3-1223.9)+(-5.138199+(-1.173969--1.872567))+0-472.1--0.722313000000027</f>
        <v>2425.8827120000001</v>
      </c>
      <c r="V88" s="3">
        <f>3374.9+(750.7-1231.1)+(-5.163597+(-1.148571--1.883583))+0-552.4--0.845172000000032</f>
        <v>2338.5165869999996</v>
      </c>
      <c r="W88" s="3">
        <f>3334.2+(584.8-1082.3)+(-5.101326+(-0.894744--1.655919))+0-507.1--0.775863000000029</f>
        <v>2326.0357119999999</v>
      </c>
      <c r="X88" s="3">
        <f>2993.4+(563.3-840.5)+(-9.159804+(-1.723698--2.57193))+0-505.5--1.54683000000006</f>
        <v>2203.935258</v>
      </c>
      <c r="Y88" s="3">
        <f>2850+(493-655.4)+(-4.3605+(-0.75429--1.002762))+0-527.6--0.80722800000003</f>
        <v>2156.6952000000001</v>
      </c>
      <c r="Z88" s="3">
        <f>2941.8+(634.4-649.1)+(3.000636+(0.647088-0.662082))+0-641.3-0.654126000000102</f>
        <v>2288.1315160000008</v>
      </c>
      <c r="AA88" s="3">
        <f>3065.5+(456.7-504.5)+(-9.38043+(-1.397502--1.54377))+0-625.8--1.91494800000007</f>
        <v>2384.580786</v>
      </c>
      <c r="AB88" s="3">
        <f>2871.6+(389.5-387.3)+(-2.929032+(-0.39729--0.395046))+0-581.2--0.592824000000093</f>
        <v>2290.2615480000004</v>
      </c>
      <c r="AC88" s="3">
        <f>2841.1+(481.4-518.3)+(-2.897922+(-0.491028--0.528666))+0-548.3--0.559266000000087</f>
        <v>2253.5989820000004</v>
      </c>
      <c r="AD88">
        <v>2461.8000000000002</v>
      </c>
      <c r="AE88" s="3">
        <f>3071+(514.8-482.8)+(0+(0-0))+0-641.2-0</f>
        <v>2461.8000000000002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2776.4+(458-593.3)+(2.831928+(0.46716-0.605166))+0-412.1-0.420342000000066</f>
        <v>2231.2735800000005</v>
      </c>
      <c r="G89" s="3">
        <f>2790.4+(589.9-734.5)+(-5.692416+(-1.203396--1.49838))+0-620.7--1.26622799999997</f>
        <v>2020.9687959999999</v>
      </c>
      <c r="H89" s="3">
        <f>2786+(642.4-825.3)+(0+(0-0))+0-655.5-0</f>
        <v>1947.6</v>
      </c>
      <c r="I89" s="3">
        <f>2802.2+(715.5-761.9)+(-2.858244+(-0.72981--0.777138))+0-699.7--0.713694000000112</f>
        <v>2054.002778</v>
      </c>
      <c r="J89" s="3">
        <f>2802.1+(638.5-835.8)+(0+(0-0))+0-637.6-0</f>
        <v>1967.2000000000003</v>
      </c>
      <c r="K89" s="3">
        <f>2814.8+(654.5-954.7)+(-8.613288+(-2.00277--2.921382))+0-651.8--1.99450800000008</f>
        <v>1857.0998320000003</v>
      </c>
      <c r="L89" s="3">
        <f>2674.8+(815.5-1050.3)+(-6.82074+(-2.079525--2.678265))+0-645.6--1.64627999999991</f>
        <v>1789.8242799999998</v>
      </c>
      <c r="M89" s="3">
        <f>2629.1+(754.5-947.4)+(-2.681682+(-0.76959--0.966348))+0-513.6--0.523872000000082</f>
        <v>1920.638948</v>
      </c>
      <c r="N89" s="3">
        <f>2660.2+(569.7-644.4)+(1.356702+(0.290547-0.328644))+0-633.5-0.323084999999936</f>
        <v>1952.9955199999999</v>
      </c>
      <c r="O89" s="3">
        <f>2709.5+(509.3-527.8)+(-5.52738+(-1.038972--1.076712))+0-649.2--1.32436799999997</f>
        <v>2037.6347280000002</v>
      </c>
      <c r="P89" s="3">
        <f>2983.7+(439.1-723)+(1.521687+(0.223941-0.36873))+0-546.7-0.278816999999945</f>
        <v>2154.198081</v>
      </c>
      <c r="Q89" s="3">
        <f>3044.2+(411.8-633.1)+(0+(0-0))+0-496.1-0</f>
        <v>2326.7999999999997</v>
      </c>
      <c r="R89" s="3">
        <f>3260.4+(695.3-1034)+(0+(0-0))+0-596.4-0</f>
        <v>2325.2999999999997</v>
      </c>
      <c r="S89" s="3">
        <f>3242.6+(679.2-1131.4)+(-1.653726+(-0.346392--0.577014))+0-577.5--0.294524999999941</f>
        <v>2211.7714209999995</v>
      </c>
      <c r="T89" s="3">
        <f>3239.9+(706.8-1257.9)+(1.652349+(0.360468-0.641529))+0-471.1-0.240260999999952</f>
        <v>2218.8310270000002</v>
      </c>
      <c r="U89" s="3">
        <f>3216.5+(738.3-1258.8)+(-1.640415+(-0.376533--0.641988))+0-416.9--0.212618999999958</f>
        <v>2277.9376589999997</v>
      </c>
      <c r="V89" s="3">
        <f>3227+(528.6-1196.5)+(-6.58308+(-1.078344--2.44086))+0-447.8--0.91351199999998</f>
        <v>2106.9929479999996</v>
      </c>
      <c r="W89" s="3">
        <f>3249.8+(251.4-901)+(-1.657398+(-0.128214--0.45951))+0-495.6--0.25275599999995</f>
        <v>2103.5266540000002</v>
      </c>
      <c r="X89" s="3">
        <f>3036.7+(312.5-695)+(-9.292302+(-0.95625--2.1267))+0-585.1--1.79040600000007</f>
        <v>2062.7685539999998</v>
      </c>
      <c r="Y89" s="3">
        <f>2890.1+(379.7-568.5)+(-4.421853+(-0.580941--0.869805))+0-597.6--0.914328000000035</f>
        <v>2100.4813389999995</v>
      </c>
      <c r="Z89" s="3">
        <f>2984.9+(560.2-526.7)+(9.133794+(1.714212-1.611702))+0-689.2-2.10895200000008</f>
        <v>2336.3273519999998</v>
      </c>
      <c r="AA89" s="3">
        <f>3120.3+(627.5-835.9)+(-1.591353+(-0.320025--0.426309))+0-643.8--0.328337999999935</f>
        <v>2266.9432689999999</v>
      </c>
      <c r="AB89" s="3">
        <f>3126.6+(725.8-1024.5)+(-3.189132+(-0.740316--1.04499))+0-530.2--0.540804000000085</f>
        <v>2295.3563459999996</v>
      </c>
      <c r="AC89" s="3">
        <f>3126.9+(851.1-1082.2)+(-3.189438+(-0.868122--1.103844))+0-664.3--0.677586000000106</f>
        <v>2229.2238700000003</v>
      </c>
      <c r="AD89">
        <v>2303.0000000000005</v>
      </c>
      <c r="AE89" s="3">
        <f>3112+(649.9-744.8)+(0+(0-0))+0-714.1-0</f>
        <v>2303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3080.2+(901.5-1033.1)+(-7.85451+(-2.298825--2.634405))+0-554--1.41269999999992</f>
        <v>2388.4937699999996</v>
      </c>
      <c r="G90" s="3">
        <f>3120+(838.4-1032.5)+(-9.5472+(-2.565504--3.15945))+0-574.9--1.75919400000007</f>
        <v>2343.8059400000002</v>
      </c>
      <c r="H90" s="3">
        <f>3087.6+(670.4-1038.6)+(-6.298704+(-1.367616--2.118744))+0-496--1.01183999999998</f>
        <v>2218.8642640000003</v>
      </c>
      <c r="I90" s="3">
        <f>2942+(638.8-852.7)+(-3.00084+(-0.651576--0.869754))+0-577--0.588540000000092</f>
        <v>2148.905878</v>
      </c>
      <c r="J90" s="3">
        <f>2907.4+(622.5-771.7)+(-7.41387+(-1.587375--1.967835))+0-660.4--1.6840199999999</f>
        <v>2092.4506099999994</v>
      </c>
      <c r="K90" s="3">
        <f>2747.3+(663.1-752.9)+(-2.802246+(-0.676362--0.767958))+0-631.3--0.643926000000101</f>
        <v>2024.1332760000003</v>
      </c>
      <c r="L90" s="3">
        <f>2571.3+(614.3-588.6)+(-1.311363+(-0.313293--0.300186))+0-634--0.323339999999936</f>
        <v>1961.9988699999999</v>
      </c>
      <c r="M90" s="3">
        <f>2699.1+(541.3-408.6)+(1.376541+(0.276063-0.208386))+0-600.6-0.306305999999939</f>
        <v>2232.337912</v>
      </c>
      <c r="N90" s="3">
        <f>3001+(390.5-353.3)+(3.06102+(0.39831-0.360366))+0-563.8-0.57507600000009</f>
        <v>2476.9238879999994</v>
      </c>
      <c r="O90" s="3">
        <f>3030+(397.2-133.8)+(3.0906+(0.405144-0.136476))+0-652.2-0.665244000000104</f>
        <v>2643.8940239999997</v>
      </c>
      <c r="P90" s="3">
        <f>3027.1+(522.6-233.2)+(-3.087642+(-0.533052--0.237864))+0-519.8--0.530196000000083</f>
        <v>2793.8473660000004</v>
      </c>
      <c r="Q90" s="3">
        <f>3314.3+(794.4-700.9)+(3.380586+(0.810288-0.714918))+0-510.6-0.520812000000081</f>
        <v>2900.1551440000003</v>
      </c>
      <c r="R90" s="3">
        <f>3584.9+(1043.8-1209.1)+(0+(0-0))+0-599.4-0</f>
        <v>2820.2000000000003</v>
      </c>
      <c r="S90" s="3">
        <f>3762.4+(811.6-1353.1)+(3.837648+(0.827832-1.380162))+0-551.1-0.562122000000088</f>
        <v>2672.5231960000001</v>
      </c>
      <c r="T90" s="3">
        <f>3912.1+(1041.5-1548.1)+(-3.990342+(-1.06233--1.579062))+0-630.7--0.643314000000101</f>
        <v>2771.9697040000001</v>
      </c>
      <c r="U90" s="3">
        <f>3920.5+(977.4-1438.3)+(-3.99891+(-0.996948--1.467066))+0-606.4--0.618528000000097</f>
        <v>2850.2897359999997</v>
      </c>
      <c r="V90" s="3">
        <f>3910.7+(816.3-1359.7)+(-7.977828+(-1.665252--2.773788))+0-571.3--1.16545199999998</f>
        <v>2790.2961599999999</v>
      </c>
      <c r="W90" s="3">
        <f>3880.4+(604.8-1141.2)+(-11.874024+(-1.850688--3.492072))+0-577.5--1.76715000000007</f>
        <v>2758.03451</v>
      </c>
      <c r="X90" s="3">
        <f>3168.5+(652.7-728.8)+(-9.69561+(-1.997262--2.230128))+0-433.5--1.32651000000005</f>
        <v>2650.763766</v>
      </c>
      <c r="Y90" s="3">
        <f>3068.6+(562.9-593.9)+(-4.694958+(-0.861237--0.908667))+0-544.6--0.833238000000031</f>
        <v>2489.1857100000002</v>
      </c>
      <c r="Z90" s="3">
        <f>3119.5+(401.4-411.4)+(0+(0-0))+0-460.8-0</f>
        <v>2648.7</v>
      </c>
      <c r="AA90" s="3">
        <f>3264.9+(464.2-365)+(-4.995297+(-0.710226--0.55845))+0-678.7--1.03841100000004</f>
        <v>2681.2913379999995</v>
      </c>
      <c r="AB90" s="3">
        <f>3268.8+(549.3-699.3)+(-8.33544+(-1.400715--1.783215))+0-486.2--1.23980999999993</f>
        <v>2625.8868700000003</v>
      </c>
      <c r="AC90" s="3">
        <f>3164.9+(833.7-739.5)+(0+(0-0))+0-683-0</f>
        <v>2576.1000000000004</v>
      </c>
      <c r="AD90">
        <v>2678.5</v>
      </c>
      <c r="AE90" s="3">
        <f>3247+(498.6-314.4)+(0+(0-0))+0-752.7-0</f>
        <v>2678.5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3065.1+(877.7-914.1)+(-1.563201+(-0.447627--0.466191))+0-613.4--0.312833999999938</f>
        <v>2414.0681969999996</v>
      </c>
      <c r="G91" s="3">
        <f>3011.4+(985.3-1018.2)+(-3.071628+(-1.005006--1.038564))+0-666.1--0.679422000000106</f>
        <v>2310.0413520000002</v>
      </c>
      <c r="H91" s="3">
        <f>2969.4+(832.5-903.1)+(-6.057576+(-1.6983--1.842324))+0-631.1--1.28744399999997</f>
        <v>2263.0738920000003</v>
      </c>
      <c r="I91" s="3">
        <f>2965.9+(797.8-883.6)+(0+(0-0))+0-644.5-0</f>
        <v>2235.6</v>
      </c>
      <c r="J91" s="3">
        <f>2918.6+(766.9-842.8)+(-5.953944+(-1.564476--1.719312))+0-653--1.33211999999997</f>
        <v>2185.2330119999997</v>
      </c>
      <c r="K91" s="3">
        <f>2814.1+(758.5-913.7)+(-8.611146+(-2.32101--2.795922))+0-522.7--1.59946200000006</f>
        <v>2129.6632279999994</v>
      </c>
      <c r="L91" s="3">
        <f>2667.4+(698.6-790)+(-9.522618+(-2.494002--2.8203))+0-486--1.73502000000001</f>
        <v>2082.5387000000001</v>
      </c>
      <c r="M91" s="3">
        <f>2704.6+(704.2-639.2)+(1.379346+(0.359142-0.325992))+0-499.1-0.254540999999949</f>
        <v>2271.6579550000001</v>
      </c>
      <c r="N91" s="3">
        <f>2924.3+(580.6-493.2)+(4.474179+(0.888318-0.754596))+0-492.6-0.753678000000028</f>
        <v>2522.9542230000002</v>
      </c>
      <c r="O91" s="3">
        <f>2993.1+(432.4-256.5)+(1.526481+(0.220524-0.130815))+0-413.9-0.211088999999958</f>
        <v>2756.5051010000002</v>
      </c>
      <c r="P91" s="3">
        <f>3010+(439.3-125.7)+(0+(0-0))+0-470.3-0</f>
        <v>2853.2999999999997</v>
      </c>
      <c r="Q91" s="3">
        <f>3082.5+(672.1-324.5)+(3.14415+(0.685542-0.33099))+0-425.3-0.433806000000068</f>
        <v>3007.8648959999996</v>
      </c>
      <c r="R91" s="3">
        <f>3277.2+(390.8-357.6)+(0+(0-0))+0-502.3-0</f>
        <v>2808.0999999999995</v>
      </c>
      <c r="S91" s="3">
        <f>3262.4+(351.8-491)+(0+(0-0))+0-423.1-0</f>
        <v>2700.1000000000004</v>
      </c>
      <c r="T91" s="3">
        <f>3532.7+(939.9-1070.6)+(0+(0-0))+0-502.5-0</f>
        <v>2899.5</v>
      </c>
      <c r="U91" s="3">
        <f>3574.7+(941.1-1140.3)+(-3.646194+(-0.959922--1.163106))+0-402.7--0.410754000000064</f>
        <v>2969.7677440000002</v>
      </c>
      <c r="V91" s="3">
        <f>3601.6+(859.4-1050.4)+(-1.836816+(-0.438294--0.535704))+0-483--0.246329999999951</f>
        <v>2926.1069239999997</v>
      </c>
      <c r="W91" s="3">
        <f>3833.9+(370.4-1032.9)+(0+(0-0))+0-417.2-0</f>
        <v>2754.2000000000003</v>
      </c>
      <c r="X91" s="3">
        <f>3277.8+(583.5-685.8)+(-1.671678+(-0.297585--0.349758))+0-465.2--0.237251999999953</f>
        <v>2708.917747</v>
      </c>
      <c r="Y91" s="3">
        <f>3072.2+(647.6-593.9)+(0+(0-0))+0-459-0</f>
        <v>2666.8999999999996</v>
      </c>
      <c r="Z91" s="3">
        <f>3112.4+(509.5-403.7)+(-3.174648+(-0.51969--0.411774))+0-490.5--0.500310000000078</f>
        <v>2724.9177460000001</v>
      </c>
      <c r="AA91" s="3">
        <f>3242.3+(378.9-394.8)+(-4.960719+(-0.579717--0.604044))+0-519.6--0.79498800000003</f>
        <v>2702.6585960000002</v>
      </c>
      <c r="AB91" s="3">
        <f>3253.9+(433.4-707.8)+(-3.318978+(-0.442068--0.721956))+0-377.6--0.38515200000006</f>
        <v>2599.2460619999997</v>
      </c>
      <c r="AC91" s="3">
        <f>3247.9+(569-791.6)+(-3.312858+(-0.58038--0.807432))+0-592.8--0.604656000000094</f>
        <v>2430.0188499999999</v>
      </c>
      <c r="AD91">
        <v>2702.5</v>
      </c>
      <c r="AE91" s="3">
        <f>3231+(380-416.4)+(0+(0-0))+0-492.1-0</f>
        <v>2702.5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3182.8+(782.9-966.2)+(-9.739368+(-2.395674--2.956572))+0-540.5--1.65393000000006</f>
        <v>2451.4754600000001</v>
      </c>
      <c r="G92" s="3">
        <f>3177.1+(741.3-834.7)+(-6.481284+(-1.512252--1.702788))+0-639.8--1.30519199999997</f>
        <v>2438.914444</v>
      </c>
      <c r="H92" s="3">
        <f>3186.4+(566.4-846.3)+(-4.875192+(-0.866592--1.294839))+0-586--0.896580000000034</f>
        <v>2316.9496349999999</v>
      </c>
      <c r="I92" s="3">
        <f>3203.4+(516.5-793.6)+(3.267468+(0.52683-0.809472))+0-649.3-0.662286000000104</f>
        <v>2279.3225399999997</v>
      </c>
      <c r="J92" s="3">
        <f>3232.7+(418.5-859.8)+(-6.594708+(-0.85374--1.753992))+0-595--1.21379999999997</f>
        <v>2191.9193439999995</v>
      </c>
      <c r="K92" s="3">
        <f>3134.7+(444.1-917.4)+(-7.993485+(-1.132455--2.33937))+0-546.8--1.39433999999992</f>
        <v>2109.2077699999991</v>
      </c>
      <c r="L92" s="3">
        <f>2840.7+(560.9-814.1)+(-2.897514+(-0.572118--0.830382))+0-510.2--0.520404000000081</f>
        <v>2075.1811539999999</v>
      </c>
      <c r="M92" s="3">
        <f>2817+(517.5-676.5)+(7.18335+(1.319625-1.725075))+0-322.6-0.822629999999953</f>
        <v>2341.35527</v>
      </c>
      <c r="N92" s="3">
        <f>3113.2+(452.3-503.3)+(1.587732+(0.230673-0.256683))+0-540.8-0.275807999999945</f>
        <v>2522.6859140000001</v>
      </c>
      <c r="O92" s="3">
        <f>3247.4+(362.9-361.5)+(-1.656174+(-0.185079--0.184365))+0-584.4--0.298043999999941</f>
        <v>2663.0411560000002</v>
      </c>
      <c r="P92" s="3">
        <f>3182.4+(306.9-233.4)+(4.869072+(0.469557-0.357102))+0-444.8-0.680544000000026</f>
        <v>2815.400983</v>
      </c>
      <c r="Q92" s="3">
        <f>3297.7+(448-449.9)+(6.727308+(0.91392-0.917796))+0-358.6-0.731543999999984</f>
        <v>2943.1918879999998</v>
      </c>
      <c r="R92" s="3">
        <f>3566.1+(753.9-896.5)+(1.818711+(0.384489-0.457215))+0-580.8-0.296207999999941</f>
        <v>2844.1497770000005</v>
      </c>
      <c r="S92" s="3">
        <f>3641.5+(821.3-1143.6)+(1.857165+(0.418863-0.583236))+0-642-0.327419999999935</f>
        <v>2678.5653719999996</v>
      </c>
      <c r="T92" s="3">
        <f>3526.4+(922.4-1021.8)+(3.596928+(0.940848-1.042236))+0-559.5-0.570690000000089</f>
        <v>2870.4248499999999</v>
      </c>
      <c r="U92" s="3">
        <f>3612.8+(961.5-1063)+(0+(0-0))+0-583.1-0</f>
        <v>2928.2000000000003</v>
      </c>
      <c r="V92" s="3">
        <f>3608+(922.1-926.1)+(1.84008+(0.470271-0.472311))+0-646.8-0.329867999999934</f>
        <v>2958.7081720000006</v>
      </c>
      <c r="W92" s="3">
        <f>3389+(503.9-534.5)+(-5.18517+(-0.770967--0.817785))+0-567.6--0.868428000000033</f>
        <v>2786.5300760000005</v>
      </c>
      <c r="X92" s="3">
        <f>3070+(632.5-384.2)+(-6.2628+(-1.2903--0.783768))+0-611--1.24643999999997</f>
        <v>2701.7771080000002</v>
      </c>
      <c r="Y92" s="3">
        <f>3054.6+(542.1-513.4)+(-7.78923+(-1.382355--1.30917))+0-449.6--1.14647999999993</f>
        <v>2626.9840650000001</v>
      </c>
      <c r="Z92" s="3">
        <f>3119.9+(512.8-364.1)+(0+(0-0))+0-618.9-0</f>
        <v>2649.7</v>
      </c>
      <c r="AA92" s="3">
        <f>3455.8+(429-543.9)+(-1.762458+(-0.21879--0.277389))+0-619.2--0.315791999999937</f>
        <v>2720.3119329999995</v>
      </c>
      <c r="AB92" s="3">
        <f>3407.2+(488.7-655.8)+(-3.475344+(-0.498474--0.668916))+0-610.2--0.622404000000097</f>
        <v>2627.217502</v>
      </c>
      <c r="AC92" s="3">
        <f>3360.2+(524.4-663.2)+(-3.427404+(-0.534888--0.676464))+0-657.2--0.670344000000105</f>
        <v>2561.5845159999999</v>
      </c>
      <c r="AD92">
        <v>2700.9</v>
      </c>
      <c r="AE92" s="3">
        <f>3481+(457.3-507.5)+(0+(0-0))+0-729.9-0</f>
        <v>2700.9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3198.8+(721.6-847.2)+(-3.262776+(-0.736032--0.864144))+0-654.7--0.667794000000104</f>
        <v>2416.0331299999998</v>
      </c>
      <c r="G93" s="3">
        <f>3126.9+(863.2-1010.8)+(0+(0-0))+0-678-0</f>
        <v>2301.3000000000002</v>
      </c>
      <c r="H93" s="3">
        <f>3146.7+(830.3-1106.7)+(-4.814451+(-1.270359--1.693251))+0-604.3--0.924579000000035</f>
        <v>2262.5330199999994</v>
      </c>
      <c r="I93" s="3">
        <f>3170.9+(843.6-1072.3)+(-3.234318+(-0.860472--1.093746))+0-677.5--0.691050000000108</f>
        <v>2262.3900060000001</v>
      </c>
      <c r="J93" s="3">
        <f>3193.3+(666.5-951.7)+(-8.142915+(-1.699575--2.426835))+0-668.1--1.7036549999999</f>
        <v>2234.2880000000005</v>
      </c>
      <c r="K93" s="3">
        <f>3190.7+(611.1-979.7)+(-8.136285+(-1.558305--2.498235))+0-637.7--1.62613499999991</f>
        <v>2178.8297799999996</v>
      </c>
      <c r="L93" s="3">
        <f>2964.5+(590.3-983.2)+(0+(0-0))+0-482.6-0</f>
        <v>2089</v>
      </c>
      <c r="M93" s="3">
        <f>2805.4+(724.1-812.4)+(1.430754+(0.369291-0.414324))+0-541.5-0.276164999999945</f>
        <v>2176.7095560000007</v>
      </c>
      <c r="N93" s="3">
        <f>2843.5+(856-550.6)+(-2.90037+(-0.87312--0.561612))+0-608.5--0.620670000000097</f>
        <v>2537.8087920000003</v>
      </c>
      <c r="O93" s="3">
        <f>3028.1+(707.2-455)+(-3.088662+(-0.721344--0.4641))+0-447.5--0.456450000000071</f>
        <v>2829.9105440000003</v>
      </c>
      <c r="P93" s="3">
        <f>3177.3+(556.7-170.1)+(1.620423+(0.283917-0.086751))+0-644.2-0.328541999999935</f>
        <v>2921.1890470000003</v>
      </c>
      <c r="Q93" s="3">
        <f>3178.6+(622.5-195.1)+(0+(0-0))+0-569.7-0</f>
        <v>3036.3</v>
      </c>
      <c r="R93" s="3">
        <f>3270.3+(696.9-371.3)+(-3.335706+(-0.710838--0.378726))+0-563.2--0.57446400000009</f>
        <v>3029.6066460000002</v>
      </c>
      <c r="S93" s="3">
        <f>3480.4+(727.7-755)+(-1.775004+(-0.371127--0.38505))+0-631.7--0.322166999999936</f>
        <v>2819.9610859999998</v>
      </c>
      <c r="T93" s="3">
        <f>3285.5+(814.1-622.7)+(0+(0-0))+0-490.8-0</f>
        <v>2986.1</v>
      </c>
      <c r="U93" s="3">
        <f>3327.4+(862.4-623.2)+(-1.696974+(-0.439824--0.317832))+0-543.1--0.276980999999945</f>
        <v>3021.9580150000002</v>
      </c>
      <c r="V93" s="3">
        <f>3773+(692.2-1079.1)+(-1.92423+(-0.353022--0.550341))+0-400.4--0.204203999999959</f>
        <v>2984.1772930000002</v>
      </c>
      <c r="W93" s="3">
        <f>3835.6+(449.6-1030.4)+(-3.912312+(-0.458592--1.051008))+0-428.5--0.437070000000068</f>
        <v>2823.4171739999997</v>
      </c>
      <c r="X93" s="3">
        <f>3145.2+(533.5-418.9)+(-4.812156+(-0.816255--0.640917))+0-586.4--0.897192000000034</f>
        <v>2669.3096979999996</v>
      </c>
      <c r="Y93" s="3">
        <f>2964+(534.4-382.7)+(-12.09312+(-2.180352--1.561416))+0-467.6--1.90780799999996</f>
        <v>2637.295752</v>
      </c>
      <c r="Z93" s="3">
        <f>3083.4+(438.8-264.5)+(3.145068+(0.447576-0.26979))+0-517.7-0.528054000000083</f>
        <v>2742.7948000000001</v>
      </c>
      <c r="AA93" s="3">
        <f>3245.2+(329.5-461.8)+(-1.655052+(-0.168045--0.235518))+0-411.6--0.209915999999958</f>
        <v>2699.9223369999995</v>
      </c>
      <c r="AB93" s="3">
        <f>3255.5+(442.9-461.9)+(-1.660305+(-0.225879--0.235569))+0-614.8--0.313547999999938</f>
        <v>2620.3629330000003</v>
      </c>
      <c r="AC93" s="3">
        <f>3235.9+(550-544.6)+(-6.601236+(-1.122--1.110984))+0-620.4--1.26561599999997</f>
        <v>2615.5533640000003</v>
      </c>
      <c r="AD93">
        <v>2639.5</v>
      </c>
      <c r="AE93" s="3">
        <f>3243+(381.5-482.9)+(0+(0-0))+0-502.1-0</f>
        <v>2639.5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3224.8+(481.9-603.4)+(-8.22324+(-1.228845--1.53867))+0-650--1.65749999999991</f>
        <v>2447.044085</v>
      </c>
      <c r="G94" s="3">
        <f>3258.6+(491.8-746.5)+(-6.647544+(-1.003272--1.52286))+0-686.6--1.40066399999997</f>
        <v>2312.5727080000001</v>
      </c>
      <c r="H94" s="3">
        <f>3107.5+(576.2-746.4)+(-7.924125+(-1.46931--1.90332))+0-661.9--1.6878449999999</f>
        <v>2269.59773</v>
      </c>
      <c r="I94" s="3">
        <f>2916.9+(703.6-770.2)+(-5.950476+(-1.435344--1.571208))+0-670.2--1.36720799999997</f>
        <v>2175.6525960000004</v>
      </c>
      <c r="J94" s="3">
        <f>2909.4+(593-591.8)+(-1.483794+(-0.30243--0.301818))+0-700.4--0.357203999999929</f>
        <v>2209.0727980000001</v>
      </c>
      <c r="K94" s="3">
        <f>2808.2+(598.5-600.8)+(-5.728728+(-1.22094--1.225632))+0-644.4--1.31457599999997</f>
        <v>2157.0905399999992</v>
      </c>
      <c r="L94" s="3">
        <f>2749.6+(518.6-563.6)+(-2.804592+(-0.528972--0.574872))+0-544.8--0.555696000000087</f>
        <v>2157.5970039999997</v>
      </c>
      <c r="M94" s="3">
        <f>2757.6+(477.7-425.7)+(1.406376+(0.243627-0.217107))+0-535.8-0.273257999999946</f>
        <v>2274.9596379999994</v>
      </c>
      <c r="N94" s="3">
        <f>2819.6+(577.5-343.2)+(-1.437996+(-0.294525--0.175032))+0-543.2--0.277031999999945</f>
        <v>2509.419543</v>
      </c>
      <c r="O94" s="3">
        <f>2965.9+(607.4-386.3)+(0+(0-0))+0-463.9-0</f>
        <v>2723.1</v>
      </c>
      <c r="P94" s="3">
        <f>3104.6+(510.2-220.8)+(0+(0-0))+0-515.5-0</f>
        <v>2878.5</v>
      </c>
      <c r="Q94" s="3">
        <f>3018.1+(605.5-124.4)+(0+(0-0))+0-454.7-0</f>
        <v>3044.5</v>
      </c>
      <c r="R94" s="3">
        <f>3239+(761.5-521.3)+(0+(0-0))+0-449.7-0</f>
        <v>3029.5</v>
      </c>
      <c r="S94" s="3">
        <f>3456.2+(700.2-894.4)+(-3.525324+(-0.714204--0.912288))+0-534--0.544680000000085</f>
        <v>2725.2174399999999</v>
      </c>
      <c r="T94" s="3">
        <f>3530.2+(898.2-1060.2)+(1.800402+(0.458082-0.540702))+0-560.5-0.285854999999943</f>
        <v>2809.1319269999999</v>
      </c>
      <c r="U94" s="3">
        <f>3449.9+(1053.3-1115.1)+(-1.759449+(-0.537183--0.568701))+0-520.6--0.265505999999947</f>
        <v>2866.0375750000003</v>
      </c>
      <c r="V94" s="3">
        <f>3385.6+(1046.8-1005.9)+(-3.453312+(-1.067736--1.026018))+0-542.4--0.553248000000086</f>
        <v>2881.158218</v>
      </c>
      <c r="W94" s="3">
        <f>3366.6+(737.8-897.4)+(-3.433932+(-0.752556--0.915348))+0-463.1--0.472362000000074</f>
        <v>2741.1012220000002</v>
      </c>
      <c r="X94" s="3">
        <f>3253.9+(696.4-670)+(-11.616423+(-2.486148--2.3919))+0-615.8--2.19840600000001</f>
        <v>2654.9877350000002</v>
      </c>
      <c r="Y94" s="3">
        <f>2890.1+(781.9-500.2)+(-2.947902+(-0.797538--0.510204))+0-501.1--0.51112200000008</f>
        <v>2667.9758859999997</v>
      </c>
      <c r="Z94" s="3">
        <f>3062.5+(731.9-463.2)+(-3.12375+(-0.746538--0.472464))+0-594.2--0.606084000000095</f>
        <v>2734.2082599999994</v>
      </c>
      <c r="AA94" s="3">
        <f>3292+(585.4-489.9)+(-10.07352+(-1.791324--1.499094))+0-586.8--1.79560800000007</f>
        <v>2792.1298579999998</v>
      </c>
      <c r="AB94" s="3">
        <f>3269+(666-628.8)+(-3.33438+(-0.67932--0.641376))+0-616.5--0.628830000000098</f>
        <v>2686.956506</v>
      </c>
      <c r="AC94" s="3">
        <f>3234.1+(683.1-553.6)+(0+(0-0))+0-663.4-0</f>
        <v>2700.2</v>
      </c>
      <c r="AD94">
        <v>2859.6</v>
      </c>
      <c r="AE94" s="3">
        <f>3239+(621.7-425.1)+(0+(0-0))+0-576-0</f>
        <v>2859.6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3129.3+(823.6-794)+(-1.595943+(-0.420036--0.40494))+0-648.3--0.330632999999934</f>
        <v>2509.3195940000001</v>
      </c>
      <c r="G95" s="3">
        <f>3142.3+(833.7-843.1)+(-1.602573+(-0.425187--0.429981))+0-699.4--0.356693999999929</f>
        <v>2432.2589149999999</v>
      </c>
      <c r="H95" s="3">
        <f>3167.7+(839.9-1013.9)+(-1.615527+(-0.428349--0.517089))+0-657.3--0.335222999999933</f>
        <v>2335.2084359999999</v>
      </c>
      <c r="I95" s="3">
        <f>3180.4+(798.8-963.9)+(-3.244008+(-0.814776--0.983178))+0-727.3--0.741846000000116</f>
        <v>2285.6662400000005</v>
      </c>
      <c r="J95" s="3">
        <f>3075.9+(741.2-898.2)+(3.137418+(0.756024-0.916164))+0-640.8-0.653616000000102</f>
        <v>2280.4236619999997</v>
      </c>
      <c r="K95" s="3">
        <f>3078.8+(679.8-829.7)+(-9.421128+(-2.080188--2.538882))+0-760.7--2.32774200000009</f>
        <v>2161.5653079999997</v>
      </c>
      <c r="L95" s="3">
        <f>3002.8+(576.4-775.4)+(-4.594284+(-0.881892--1.186362))+0-637--0.974610000000037</f>
        <v>2163.4847960000002</v>
      </c>
      <c r="M95" s="3">
        <f>2962.7+(571.5-564.3)+(3.021954+(0.58293-0.575586))+0-641.1-0.653922000000102</f>
        <v>2331.1753759999997</v>
      </c>
      <c r="N95" s="3">
        <f>2934.1+(558.3-353.7)+(4.489173+(0.854199-0.541161))+0-622.1-0.951813000000036</f>
        <v>2520.450398</v>
      </c>
      <c r="O95" s="3">
        <f>2908+(585.6-302.7)+(4.44924+(0.895968-0.463131))+0-646.6-0.989298000000037</f>
        <v>2548.1927790000004</v>
      </c>
      <c r="P95" s="3">
        <f>2961.1+(657.2-236.9)+(0+(0-0))+0-686.9-0</f>
        <v>2694.5</v>
      </c>
      <c r="Q95" s="3">
        <f>3169.4+(736.9-310.6)+(-1.616394+(-0.375819--0.158406))+0-689.4--0.35159399999993</f>
        <v>2904.8177869999995</v>
      </c>
      <c r="R95" s="3">
        <f>3179.2+(863.3-482.6)+(0+(0-0))+0-667.3-0</f>
        <v>2892.5999999999995</v>
      </c>
      <c r="S95" s="3">
        <f>3238.7+(744.7-794.1)+(-11.562159+(-2.658579--2.834937))+0-533.6--1.90495200000001</f>
        <v>2646.2191509999998</v>
      </c>
      <c r="T95" s="3">
        <f>3378.6+(857.8-970.9)+(-3.446172+(-0.874956--0.990318))+0-611--0.623220000000097</f>
        <v>2651.79241</v>
      </c>
      <c r="U95" s="3">
        <f>3388.7+(982.4-1018.9)+(-5.184711+(-1.503072--1.558917))+0-675.2--1.03305600000004</f>
        <v>2672.9041900000002</v>
      </c>
      <c r="V95" s="3">
        <f>3182.1+(1089.1-995.4)+(-3.245742+(-1.110882--1.015308))+0-613.7--0.625974000000098</f>
        <v>2659.3846579999995</v>
      </c>
      <c r="W95" s="3">
        <f>3082+(962.4-828.7)+(-6.28728+(-1.963296--1.690548))+0-523--1.06691999999998</f>
        <v>2687.2068919999997</v>
      </c>
      <c r="X95" s="3">
        <f>2680.5+(778.9-387.6)+(-8.20233+(-2.383434--1.186056))+0-516.9--1.58171400000006</f>
        <v>2547.0820060000001</v>
      </c>
      <c r="Y95" s="3">
        <f>2685.4+(712.4-433.4)+(-8.217324+(-2.179944--1.326204))+0-599.6--1.83477600000007</f>
        <v>2357.5637120000001</v>
      </c>
      <c r="Z95" s="3">
        <f>2812.8+(682.8-483.4)+(0+(0-0))+0-503.6-0</f>
        <v>2508.6000000000004</v>
      </c>
      <c r="AA95" s="3">
        <f>2911.7+(814.4-498)+(-10.394769+(-2.907408--1.77786))+0-674--2.40618000000001</f>
        <v>2544.981863</v>
      </c>
      <c r="AB95" s="3">
        <f>2881.1+(754.2-499.8)+(-4.408083+(-1.153926--0.764694))+0-608.6--0.931158000000035</f>
        <v>2523.0338430000002</v>
      </c>
      <c r="AC95" s="3">
        <f>2835.1+(739.6-463.4)+(-1.445901+(-0.377196--0.236334))+0-613.2--0.312731999999938</f>
        <v>2496.825969</v>
      </c>
      <c r="AD95">
        <v>2475.2999999999997</v>
      </c>
      <c r="AE95" s="3">
        <f>2904+(861.7-570.9)+(0+(0-0))+0-719.5-0</f>
        <v>2475.3000000000002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2757.4+(870.9-563.6)+(0+(0-0))+0-676.1-0</f>
        <v>2388.6</v>
      </c>
      <c r="G96" s="3">
        <f>2731+(883-562.3)+(-2.78562+(-0.90066--0.573546))+0-700--0.714000000000112</f>
        <v>2349.3012659999999</v>
      </c>
      <c r="H96" s="3">
        <f>2755+(811.2-570.5)+(-1.40505+(-0.413712--0.290955))+0-709.9--0.362048999999928</f>
        <v>2284.6342419999996</v>
      </c>
      <c r="I96" s="3">
        <f>2749.2+(737.5-619.8)+(-5.608368+(-1.5045--1.264392))+0-682.3--1.39189199999997</f>
        <v>2180.1434159999994</v>
      </c>
      <c r="J96" s="3">
        <f>2664.3+(763.6-612.5)+(2.717586+(0.778872-0.62475))+0-689.3-0.70308600000011</f>
        <v>2128.2686220000001</v>
      </c>
      <c r="K96" s="3">
        <f>2605+(822.5-742.9)+(-3.98565+(-1.258425--1.136637))+0-659.2--1.00857600000004</f>
        <v>2022.3011379999998</v>
      </c>
      <c r="L96" s="3">
        <f>2489.3+(843.2-870.9)+(-2.539086+(-0.860064--0.888318))+0-559.3--0.570486000000089</f>
        <v>1900.3596540000005</v>
      </c>
      <c r="M96" s="3">
        <f>2325.7+(897.3-619)+(3.558321+(1.372869-0.94707))+0-679.7-1.03994100000004</f>
        <v>1927.244179</v>
      </c>
      <c r="N96" s="3">
        <f>2326.7+(859.2-522.4)+(0+(0-0))+0-637.2-0</f>
        <v>2026.3</v>
      </c>
      <c r="O96" s="3">
        <f>2508.7+(818.6-581.2)+(-2.558874+(-0.834972--0.592824))+0-656--0.669120000000105</f>
        <v>2087.9680979999998</v>
      </c>
      <c r="P96" s="3">
        <f>2556.2+(781.2-514)+(2.607324+(0.796824-0.52428))+0-634.2-0.646884000000101</f>
        <v>2191.4329839999996</v>
      </c>
      <c r="Q96" s="3">
        <f>2596.7+(685.4-395.3)+(1.324317+(0.349554-0.201603))+0-570.3-0.290852999999942</f>
        <v>2317.6814149999996</v>
      </c>
      <c r="R96" s="3">
        <f>2762.2+(833.2-613)+(1.408722+(0.424932-0.31263))+0-638.8-0.325787999999935</f>
        <v>2344.7952359999999</v>
      </c>
      <c r="S96" s="3">
        <f>2811.6+(869.2-744.3)+(-1.433916+(-0.443292--0.379593))+0-536.1--0.273410999999946</f>
        <v>2399.175796</v>
      </c>
      <c r="T96" s="3">
        <f>2712.4+(945.5-732)+(0+(0-0))+0-549.5-0</f>
        <v>2376.4</v>
      </c>
      <c r="U96" s="3">
        <f>2676.3+(916.3-661.4)+(-2.729826+(-0.934626--0.674628))+0-521.7--0.532134000000083</f>
        <v>2407.0423099999998</v>
      </c>
      <c r="V96" s="3">
        <f>2611.2+(957.6-637.1)+(2.663424+(0.976752-0.649842))+0-562.1-0.57334200000009</f>
        <v>2372.0169919999998</v>
      </c>
      <c r="W96" s="3">
        <f>2593.5+(881.3-567.3)+(-1.322685+(-0.449463--0.289323))+0-622.3--0.317372999999937</f>
        <v>2284.0345479999996</v>
      </c>
      <c r="X96" s="3">
        <f>2527.8+(902-667.9)+(-2.578356+(-0.92004--0.681258))+0-565.5--0.57681000000009</f>
        <v>2194.1596720000002</v>
      </c>
      <c r="Y96" s="3">
        <f>2515.6+(820.2-517.6)+(-2.565912+(-0.836604--0.527952))+0-540.3--0.551106000000086</f>
        <v>2275.5765419999998</v>
      </c>
      <c r="Z96" s="3">
        <f>2607.6+(765.8-351.5)+(-2.659752+(-0.781116--0.35853))+0-635.6--0.648312000000101</f>
        <v>2383.8659739999998</v>
      </c>
      <c r="AA96" s="3">
        <f>2887.7+(775.8-685.6)+(-8.836362+(-2.373948--2.097936))+0-584.8--1.78948800000007</f>
        <v>2385.777114</v>
      </c>
      <c r="AB96" s="3">
        <f>2906.7+(853.5-819.6)+(-2.964834+(-0.87057--0.835992))+0-543.7--0.554574000000087</f>
        <v>2394.4551619999997</v>
      </c>
      <c r="AC96" s="3">
        <f>2945.5+(993.7-899.1)+(-1.502205+(-0.506787--0.458541))+0-655.2--0.334151999999934</f>
        <v>2383.6837009999995</v>
      </c>
      <c r="AD96">
        <v>2400</v>
      </c>
      <c r="AE96" s="3">
        <f>2926+(826.9-846)+(0+(0-0))+0-506.9-0</f>
        <v>2400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2797.4+(1078.1-979)+(-7.13337+(-2.749155--2.49645))+0-596.7--1.52158499999991</f>
        <v>2293.9355099999998</v>
      </c>
      <c r="G97" s="3">
        <f>2569.4+(1126.4-788.3)+(-5.241576+(-2.297856--1.608132))+0-650.6--1.32722399999997</f>
        <v>2252.295924</v>
      </c>
      <c r="H97" s="3">
        <f>2578.9+(1049.4-825.1)+(-1.315239+(-0.535194--0.420801))+0-630.8--0.321707999999936</f>
        <v>2171.2920760000002</v>
      </c>
      <c r="I97" s="3">
        <f>2592.9+(964.6-905.5)+(-3.967137+(-1.475838--1.385415))+0-539.1--0.824823000000031</f>
        <v>2109.6672629999998</v>
      </c>
      <c r="J97" s="3">
        <f>2591.8+(1038.7-812.8)+(-2.643636+(-1.059474--0.829056))+0-733.4--0.748068000000117</f>
        <v>2082.1740140000006</v>
      </c>
      <c r="K97" s="3">
        <f>2599.5+(988-867.3)+(-7.95447+(-3.02328--2.653938))+0-618.5--1.89261000000007</f>
        <v>2095.2687979999996</v>
      </c>
      <c r="L97" s="3">
        <f>2619.7+(825.1-771.7)+(-5.344188+(-1.683204--1.574268))+0-607.4--1.23909599999997</f>
        <v>2061.4859719999995</v>
      </c>
      <c r="M97" s="3">
        <f>2613+(763-610.7)+(0+(0-0))+0-600-0</f>
        <v>2165.3000000000002</v>
      </c>
      <c r="N97" s="3">
        <f>2602.4+(789.9-403.5)+(-3.981672+(-1.208547--0.617355))+0-591.4--0.904842000000034</f>
        <v>2393.7319779999998</v>
      </c>
      <c r="O97" s="3">
        <f>2631.8+(872.4-296.3)+(2.684436+(0.889848-0.302226))+0-592.9-0.604758000000095</f>
        <v>2617.6673000000001</v>
      </c>
      <c r="P97" s="3">
        <f>2711.3+(743.5-281.4)+(-1.382763+(-0.379185--0.143514))+0-498.2--0.254081999999949</f>
        <v>2673.8356480000002</v>
      </c>
      <c r="Q97" s="3">
        <f>2712.5+(817-262.2)+(-1.383375+(-0.41667--0.133722))+0-433.5--0.221084999999956</f>
        <v>2832.3547620000004</v>
      </c>
      <c r="R97" s="3">
        <f>2756.7+(1089-486.1)+(1.405917+(0.55539-0.247911))+0-503.1-0.256580999999949</f>
        <v>2857.956815</v>
      </c>
      <c r="S97" s="3">
        <f>2864.4+(1025.3-807.1)+(-1.460844+(-0.522903--0.411621))+0-398.5--0.20323499999996</f>
        <v>2682.7311089999998</v>
      </c>
      <c r="T97" s="3">
        <f>3001.8+(1307.6-923.3)+(-3.061836+(-1.333752--0.941766))+0-560.9--0.572118000000089</f>
        <v>2822.3182960000004</v>
      </c>
      <c r="U97" s="3">
        <f>3032+(1411.9-1001.5)+(-4.63896+(-2.160207--1.532295))+0-570.1--0.872253000000033</f>
        <v>2867.905381</v>
      </c>
      <c r="V97" s="3">
        <f>3154.2+(1075.5-985.3)+(-8.04321+(-2.742525--2.512515))+0-379.4--0.967469999999945</f>
        <v>2857.6942499999996</v>
      </c>
      <c r="W97" s="3">
        <f>3188.2+(1007.6-814.6)+(-11.381874+(-3.597132--2.908122))+0-662--2.36334000000001</f>
        <v>2709.4924559999995</v>
      </c>
      <c r="X97" s="3">
        <f>3082.8+(870.3-740)+(-9.433368+(-2.663118--2.2644))+0-626.2--1.91617200000007</f>
        <v>2578.9840860000004</v>
      </c>
      <c r="Y97" s="3">
        <f>2961.5+(880.6-630)+(-6.04146+(-1.796424--1.2852))+0-681.8--1.39087199999997</f>
        <v>2525.1381879999999</v>
      </c>
      <c r="Z97" s="3">
        <f>3050.8+(968.4-665.7)+(0+(0-0))+0-728.4-0</f>
        <v>2625.1</v>
      </c>
      <c r="AA97" s="3">
        <f>3454.2+(1105.8-1103.3)+(-3.523284+(-1.127916--1.125366))+0-779.7--0.795294000000124</f>
        <v>2674.26946</v>
      </c>
      <c r="AB97" s="3">
        <f>3308.8+(1123.8-1086.9)+(-5.062464+(-1.719414--1.662957))+0-704.7--1.07819100000004</f>
        <v>2636.9592699999998</v>
      </c>
      <c r="AC97" s="3">
        <f>3252.9+(1217.4-1131.2)+(-1.658979+(-0.620874--0.576912))+0-695.5--0.354704999999929</f>
        <v>2642.2517640000001</v>
      </c>
      <c r="AD97">
        <v>2585.6000000000004</v>
      </c>
      <c r="AE97" s="3">
        <f>3384+(1105.8-1123.5)+(0+(0-0))+0-780.7-0</f>
        <v>2585.6000000000004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3241.7+(1228.1-1188.5)+(-4.959801+(-1.878993--1.818405))+0-722.9--1.10603700000004</f>
        <v>2554.4856479999999</v>
      </c>
      <c r="G98" s="3">
        <f>3093.7+(1143.4-1146.9)+(-4.733361+(-1.749402--1.754757))+0-678.4--1.03795200000004</f>
        <v>2408.109946</v>
      </c>
      <c r="H98" s="3">
        <f>3081.7+(959.2-1117.6)+(-3.143334+(-0.978384--1.139952))+0-601.7--0.613734000000096</f>
        <v>2319.2319680000005</v>
      </c>
      <c r="I98" s="3">
        <f>3081.6+(869-961.9)+(4.714848+(1.32957-1.471707))+0-749.8-1.14719400000004</f>
        <v>2242.3255169999993</v>
      </c>
      <c r="J98" s="3">
        <f>3087.9+(831.6-974)+(0+(0-0))+0-732-0</f>
        <v>2213.5</v>
      </c>
      <c r="K98" s="3">
        <f>3049.5+(817.7-981.2)+(-3.11049+(-0.834054--1.000824))+0-722.1--0.736542000000115</f>
        <v>2161.692822</v>
      </c>
      <c r="L98" s="3">
        <f>2986.4+(768.5-948.8)+(-6.092256+(-1.56774--1.935552))+0-676.6--1.38026399999997</f>
        <v>2125.1558200000004</v>
      </c>
      <c r="M98" s="3">
        <f>2974.8+(701.3-826.1)+(9.102888+(2.145978-2.527866))+0-537.1-1.64352600000006</f>
        <v>2319.9774740000003</v>
      </c>
      <c r="N98" s="3">
        <f>3104.6+(589.8-567.3)+(-6.333384+(-1.203192--1.157292))+0-548.9--1.11975599999998</f>
        <v>2572.9404719999998</v>
      </c>
      <c r="O98" s="3">
        <f>3081+(654.1-421.5)+(-1.57131+(-0.333591--0.214965))+0-664--0.338639999999933</f>
        <v>2648.2487039999996</v>
      </c>
      <c r="P98" s="3">
        <f>3046.4+(650-370.8)+(-1.553664+(-0.3315--0.189108))+0-523.1--0.266780999999947</f>
        <v>2801.0707249999996</v>
      </c>
      <c r="Q98" s="3">
        <f>3037.1+(874-325.4)+(-1.548921+(-0.44574--0.165954))+0-626.1--0.319310999999937</f>
        <v>2958.0906039999995</v>
      </c>
      <c r="R98" s="3">
        <f>2990.1+(1010.3-498.5)+(0+(0-0))+0-525.9-0</f>
        <v>2975.9999999999995</v>
      </c>
      <c r="S98" s="3">
        <f>2991.7+(935.9-630.7)+(-3.051534+(-0.954618--0.643314))+0-525--0.535500000000084</f>
        <v>2769.0726619999996</v>
      </c>
      <c r="T98" s="3">
        <f>3198.8+(1034.5-818.6)+(-6.525552+(-2.11038--1.669944))+0-551.7--1.12546799999998</f>
        <v>2857.1594800000003</v>
      </c>
      <c r="U98" s="3">
        <f>3275.1+(1065.4-840)+(-5.010903+(-1.630062--1.2852))+0-630.5--0.964665000000036</f>
        <v>2865.6089000000002</v>
      </c>
      <c r="V98" s="3">
        <f>3377+(936.5-810.7)+(-1.72227+(-0.477615--0.413457))+0-630--0.321299999999936</f>
        <v>2871.3348720000004</v>
      </c>
      <c r="W98" s="3">
        <f>3377.6+(762.4-702.1)+(-1.722576+(-0.388824--0.358071))+0-650.5--0.331754999999934</f>
        <v>2785.9784259999997</v>
      </c>
      <c r="X98" s="3">
        <f>3096.2+(865.9-620.9)+(-9.474372+(-2.649654--1.899954))+0-736.4--2.25338400000008</f>
        <v>2596.8293119999998</v>
      </c>
      <c r="Y98" s="3">
        <f>2937.3+(802.1-433.3)+(-4.494069+(-1.227213--0.662949))+0-756.5--1.15744500000004</f>
        <v>2545.6991120000002</v>
      </c>
      <c r="Z98" s="3">
        <f>3095.4+(640.1-435.8)+(-4.735962+(-0.979353--0.666774))+0-682.1--1.04361300000004</f>
        <v>2613.5950720000001</v>
      </c>
      <c r="AA98" s="3">
        <f>3303.9+(594.6-566.5)+(-1.684989+(-0.303246--0.288915))+0-721.7--0.368066999999927</f>
        <v>2608.9687469999994</v>
      </c>
      <c r="AB98" s="3">
        <f>3291.6+(631.8-764.1)+(-6.714864+(-1.288872--1.558764))+0-609.7--1.24378799999997</f>
        <v>2544.3988159999999</v>
      </c>
      <c r="AC98" s="3">
        <f>3307.9+(897.6-918.9)+(-3.374058+(-0.915552--0.937278))+0-742.9--0.757758000000118</f>
        <v>2541.1054260000005</v>
      </c>
      <c r="AD98">
        <v>2710.5999999999995</v>
      </c>
      <c r="AE98" s="3">
        <f>3359+(612.7-592.8)+(0+(0-0))+0-668.3-0</f>
        <v>2710.6000000000004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3209.7+(920.4-824.1)+(-4.910841+(-1.408212--1.260873))+0-726.5--1.11154500000004</f>
        <v>2575.5533650000002</v>
      </c>
      <c r="G99" s="3">
        <f>3002.3+(939.5-819.4)+(-6.124692+(-1.91658--1.671576))+0-678.5--1.38413999999997</f>
        <v>2438.914444</v>
      </c>
      <c r="H99" s="3">
        <f>3001.7+(984.7-847.2)+(-6.123468+(-2.008788--1.728288))+0-814.2--1.66096799999996</f>
        <v>2320.2569999999996</v>
      </c>
      <c r="I99" s="3">
        <f>3012.6+(832.5-851.7)+(-7.68213+(-2.122875--2.171835))+0-724.7--1.84798499999989</f>
        <v>2262.9148149999996</v>
      </c>
      <c r="J99" s="3">
        <f>3022.6+(774.6-803.3)+(-9.249156+(-2.370276--2.458098))+0-793.2--2.42719200000009</f>
        <v>2193.9658580000005</v>
      </c>
      <c r="K99" s="3">
        <f>3027.8+(743-848.5)+(-7.72089+(-1.89465--2.163675))+0-730.9--1.86379499999989</f>
        <v>2185.8119299999998</v>
      </c>
      <c r="L99" s="3">
        <f>2877.6+(737.6-688.1)+(-1.467576+(-0.376176--0.350931))+0-773.7--0.394586999999922</f>
        <v>2152.3017659999996</v>
      </c>
      <c r="M99" s="3">
        <f>2839.6+(572.1-606.3)+(-1.448196+(-0.291771--0.309213))+0-627.5--0.320024999999936</f>
        <v>2176.7892710000001</v>
      </c>
      <c r="N99" s="3">
        <f>2976.6+(560.3-448.6)+(1.518066+(0.285753-0.228786))+0-638.2-0.325481999999935</f>
        <v>2451.3495509999998</v>
      </c>
      <c r="O99" s="3">
        <f>2945.1+(580.4-223.5)+(-1.502001+(-0.296004--0.113985))+0-689.4--0.35159399999993</f>
        <v>2611.2675739999995</v>
      </c>
      <c r="P99" s="3">
        <f>2941.4+(554.6-226.4)+(-1.500114+(-0.282846--0.115464))+0-483.6--0.246635999999951</f>
        <v>2784.5791400000003</v>
      </c>
      <c r="Q99" s="3">
        <f>2921.3+(866.6-252.5)+(0+(0-0))+0-621.3-0</f>
        <v>2914.1000000000004</v>
      </c>
      <c r="R99" s="3">
        <f>2981+(1006.5-423.1)+(0+(0-0))+0-597.1-0</f>
        <v>2967.3</v>
      </c>
      <c r="S99" s="3">
        <f>3213.2+(969.6-708)+(-3.277464+(-0.988992--0.72216))+0-617.3--0.629646000000098</f>
        <v>2854.5853500000003</v>
      </c>
      <c r="T99" s="3">
        <f>3404.7+(1113.2-901.8)+(-1.736397+(-0.567732--0.459918))+0-628.4--0.320483999999936</f>
        <v>2986.1762729999996</v>
      </c>
      <c r="U99" s="3">
        <f>3520.4+(1142.8-1019.8)+(1.795404+(0.582828-0.520098))+0-641.3-0.327062999999935</f>
        <v>3003.6310710000007</v>
      </c>
      <c r="V99" s="3">
        <f>3507.1+(1102.6-973.1)+(-1.788621+(-0.562326--0.496281))+0-651.8--0.332417999999934</f>
        <v>2983.277752</v>
      </c>
      <c r="W99" s="3">
        <f>3315.9+(607.1-614.5)+(-11.837763+(-2.167347--2.193765))+0-516.5--1.84390500000001</f>
        <v>2782.0325600000001</v>
      </c>
      <c r="X99" s="3">
        <f>2935.3+(573.8-468.7)+(-8.982018+(-1.755828--1.434222))+0-527.6--1.61445600000006</f>
        <v>2505.1108320000003</v>
      </c>
      <c r="Y99" s="3">
        <f>2905.5+(549.1-469)+(-1.481805+(-0.280041--0.23919))+0-485.2--0.247451999999951</f>
        <v>2499.1247960000001</v>
      </c>
      <c r="Z99" s="3">
        <f>2901.8+(622.4-349.5)+(1.479918+(0.317424-0.178245))+0-520.1-0.265250999999947</f>
        <v>2655.9538460000003</v>
      </c>
      <c r="AA99" s="3">
        <f>3217+(726.3-478.4)+(-6.56268+(-1.481652--0.975936))+0-680.5--1.38821999999997</f>
        <v>2778.7198239999998</v>
      </c>
      <c r="AB99" s="3">
        <f>3234.6+(599.5-749.3)+(-1.649646+(-0.305745--0.382143))+0-471.7--0.240566999999952</f>
        <v>2611.767319</v>
      </c>
      <c r="AC99" s="3">
        <f>3199+(967-794.2)+(0+(0-0))+0-709.7-0</f>
        <v>2662.1000000000004</v>
      </c>
      <c r="AD99">
        <v>2758.1</v>
      </c>
      <c r="AE99" s="3">
        <f>3201+(673.7-467.7)+(0+(0-0))+0-648.9-0</f>
        <v>2758.1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3228.8+(993.3-992.7)+(-8.23344+(-2.532915--2.531385))+0-689.1--1.7572049999999</f>
        <v>2533.8222350000001</v>
      </c>
      <c r="G100" s="3">
        <f>3268.9+(851.1-987.8)+(-6.668556+(-1.736244--2.015112))+0-785.6--1.60262399999997</f>
        <v>2341.8129360000003</v>
      </c>
      <c r="H100" s="3">
        <f>3262.9+(811.3-950.4)+(-3.328158+(-0.827526--0.969408))+0-709.4--0.723588000000113</f>
        <v>2411.9373120000005</v>
      </c>
      <c r="I100" s="3">
        <f>3086+(760.5-896.9)+(-4.72158+(-1.163565--1.372257))+0-716.2--1.09578600000004</f>
        <v>2229.9828979999993</v>
      </c>
      <c r="J100" s="3">
        <f>3033.9+(695.5-856.1)+(-7.736445+(-1.773525--2.183055))+0-724.1--1.84645499999989</f>
        <v>2143.7195400000001</v>
      </c>
      <c r="K100" s="3">
        <f>3065.7+(678.4-850.2)+(-7.817535+(-1.72992--2.16801))+0-741.8--1.89158999999989</f>
        <v>2146.6121449999996</v>
      </c>
      <c r="L100" s="3">
        <f>2987+(622.7-788.4)+(1.52337+(0.317577-0.402084))+0-621.2-0.316811999999937</f>
        <v>2201.2220509999997</v>
      </c>
      <c r="M100" s="3">
        <f>3025.2+(549.3-633.5)+(-4.628556+(-0.840429--0.969255))+0-631.4--0.966042000000036</f>
        <v>2306.0663119999999</v>
      </c>
      <c r="N100" s="3">
        <f>3040.7+(482.2-440.4)+(1.550757+(0.245922-0.224604))+0-478.5-0.244034999999951</f>
        <v>2605.3280399999999</v>
      </c>
      <c r="O100" s="3">
        <f>3010.7+(516.1-216.9)+(0+(0-0))+0-631.2-0</f>
        <v>2678.7</v>
      </c>
      <c r="P100" s="3">
        <f>2987.5+(591.1-114.2)+(-1.523625+(-0.301461--0.058242))+0-667.6--0.340475999999932</f>
        <v>2795.3736319999998</v>
      </c>
      <c r="Q100" s="3">
        <f>3078.4+(760.2-262.4)+(3.139968+(0.775404-0.267648))+0-609.1-0.621282000000097</f>
        <v>2970.1264420000002</v>
      </c>
      <c r="R100" s="3">
        <f>3245+(1065.3-593.5)+(3.3099+(1.086606-0.60537))+0-609.1-0.621282000000097</f>
        <v>3110.869854</v>
      </c>
      <c r="S100" s="3">
        <f>3276.3+(906.3-727.6)+(0+(0-0))+0-628-0</f>
        <v>2827</v>
      </c>
      <c r="T100" s="3">
        <f>3361.3+(925.8-826.3)+(-1.714263+(-0.472158--0.421413))+0-535.2--0.272951999999946</f>
        <v>2924.1079439999999</v>
      </c>
      <c r="U100" s="3">
        <f>3371.4+(986.2-854.2)+(-1.719414+(-0.502962--0.435642))+0-463.5--0.236384999999953</f>
        <v>3038.3496510000004</v>
      </c>
      <c r="V100" s="3">
        <f>3381+(1090.7-796.4)+(-5.17293+(-1.668771--1.218492))+0-663.6--1.01530800000004</f>
        <v>3007.0920990000004</v>
      </c>
      <c r="W100" s="3">
        <f>3060.6+(721.2-367.8)+(3.121812+(0.735624-0.375156))+0-597-0.608940000000095</f>
        <v>2819.8733400000001</v>
      </c>
      <c r="X100" s="3">
        <f>2914.1+(766.6-507.2)+(-5.944764+(-1.563864--1.034688))+0-529--1.07915999999998</f>
        <v>2639.1052199999999</v>
      </c>
      <c r="Y100" s="3">
        <f>2936.1+(665.7-404.1)+(-2.994822+(-0.679014--0.412182))+0-658.9--0.672078000000105</f>
        <v>2536.2104239999999</v>
      </c>
      <c r="Z100" s="3">
        <f>2977.5+(675.4-337.6)+(0+(0-0))+0-693.5-0</f>
        <v>2621.8</v>
      </c>
      <c r="AA100" s="3">
        <f>3127.3+(712.7-457.7)+(-1.594923+(-0.363477--0.233427))+0-722.6--0.368525999999927</f>
        <v>2658.3435530000002</v>
      </c>
      <c r="AB100" s="3">
        <f>3097.4+(954.9-684.4)+(-4.739022+(-1.460997--1.047132))+0-691.5--1.05799500000004</f>
        <v>2672.305108</v>
      </c>
      <c r="AC100" s="3">
        <f>2956.2+(1152.6-696.7)+(0+(0-0))+0-713.8-0</f>
        <v>2698.2999999999993</v>
      </c>
      <c r="AD100">
        <v>2705</v>
      </c>
      <c r="AE100" s="3">
        <f>3217+(738.3-463.9)+(0+(0-0))+0-786.4-0</f>
        <v>2705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2952.4+(1125.4-716.3)+(-4.517172+(-1.721862--1.095939))+0-726.5--1.11154500000004</f>
        <v>2630.9684500000003</v>
      </c>
      <c r="G101" s="3">
        <f>2960.5+(1063.9-734.3)+(0+(0-0))+0-685.6-0</f>
        <v>2604.5000000000005</v>
      </c>
      <c r="H101" s="3">
        <f>2965.7+(960-886.8)+(-7.562535+(-2.448--2.26134))+0-612.3--1.56136499999991</f>
        <v>2420.4121700000001</v>
      </c>
      <c r="I101" s="3">
        <f>2977.6+(909.4-864.4)+(-4.555728+(-1.391382--1.322532))+0-710.8--1.08752400000004</f>
        <v>2308.2629460000003</v>
      </c>
      <c r="J101" s="3">
        <f>2976.2+(921.4-855.1)+(-4.553586+(-1.409742--1.308303))+0-755.4--1.15576200000004</f>
        <v>2283.6007369999998</v>
      </c>
      <c r="K101" s="3">
        <f>2837.1+(927.7-801.9)+(-8.681526+(-2.838762--2.453814))+0-753.9--2.30693400000009</f>
        <v>2202.24046</v>
      </c>
      <c r="L101" s="3">
        <f>2644.2+(850.5-663.5)+(-2.697084+(-0.86751--0.67677))+0-646.3--0.659226000000103</f>
        <v>2182.6714020000004</v>
      </c>
      <c r="M101" s="3">
        <f>2735.6+(744.4-586.6)+(1.395156+(0.379644-0.299166))+0-513-0.261629999999948</f>
        <v>2381.6140039999996</v>
      </c>
      <c r="N101" s="3">
        <f>2930.1+(585.4-388.8)+(2.988702+(0.597108-0.396576))+0-521.6-0.532032000000083</f>
        <v>2607.7572019999998</v>
      </c>
      <c r="O101" s="3">
        <f>2947.5+(601-390.6)+(-4.509675+(-0.91953--0.597618))+0-499.8--0.764694000000029</f>
        <v>2654.0331069999997</v>
      </c>
      <c r="P101" s="3">
        <f>2977.6+(635.6-298.1)+(0+(0-0))+0-447.8-0</f>
        <v>2867.2999999999997</v>
      </c>
      <c r="Q101" s="3">
        <f>3042.7+(743.2-276.2)+(1.551777+(0.379032-0.140862))+0-459.8-0.234497999999953</f>
        <v>3051.455449</v>
      </c>
      <c r="R101" s="3">
        <f>3252.3+(1170.8-555.2)+(-1.658673+(-0.597108--0.283152))+0-726.8--0.370667999999926</f>
        <v>3139.4980390000005</v>
      </c>
      <c r="S101" s="3">
        <f>3216.5+(846.8-753.6)+(-6.56166+(-1.727472--1.537344))+0-518.2--1.05712799999998</f>
        <v>2785.8053399999994</v>
      </c>
      <c r="T101" s="3">
        <f>3373.4+(1274-820.4)+(1.720434+(0.64974-0.418404))+0-818.6-0.417485999999917</f>
        <v>3009.9342840000004</v>
      </c>
      <c r="U101" s="3">
        <f>3431.6+(1016.7-896.5)+(-8.75058+(-2.592585--2.286075))+0-511.7--1.30483499999993</f>
        <v>3032.3477450000005</v>
      </c>
      <c r="V101" s="3">
        <f>3512.5+(1088.6-988.4)+(0+(0-0))+0-690.4-0</f>
        <v>2922.2999999999997</v>
      </c>
      <c r="W101" s="3">
        <f>3284.6+(782.6-646.6)+(-5.025438+(-1.197378--0.989298))+5.8-601--0.919530000000035</f>
        <v>2821.0860120000002</v>
      </c>
      <c r="X101" s="3">
        <f>2900.7+(759.2-536.6)+(-5.917428+(-1.548768--1.094664))+0-513.4--1.04733599999998</f>
        <v>2604.5758039999996</v>
      </c>
      <c r="Y101" s="3">
        <f>2883.3+(835.5-446.7)+(-2.940966+(-0.85221--0.455634))+0-728.3--0.742866000000116</f>
        <v>2541.205324</v>
      </c>
      <c r="Z101" s="3">
        <f>2957.7+(808.9-269.2)+(-6.033708+(-1.650156--0.549168))+0-747.8--1.52551199999997</f>
        <v>2743.9908159999995</v>
      </c>
      <c r="AA101" s="3">
        <f>3046.7+(843.2-436.1)+(-4.661451+(-1.290096--0.667233))+0-634.6--0.970938000000037</f>
        <v>2814.8866239999998</v>
      </c>
      <c r="AB101" s="3">
        <f>3056.2+(810.2-546.1)+(-4.675986+(-1.239606--0.835533))+0-536.9--0.821457000000031</f>
        <v>2779.1413979999998</v>
      </c>
      <c r="AC101" s="3">
        <f>2991.8+(880-564)+(3.051636+(0.8976-0.57528))+0-552.1-0.563142000000088</f>
        <v>2758.5108140000002</v>
      </c>
      <c r="AD101">
        <v>2788.6000000000004</v>
      </c>
      <c r="AE101" s="3">
        <f>3039+(866.8-351.7)+(0+(0-0))+0-765.5-0</f>
        <v>2788.6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2956.6+(916.6-562.5)+(-1.507866+(-0.467466--0.286875))+0-724.7--0.369596999999927</f>
        <v>2584.6811399999997</v>
      </c>
      <c r="G102" s="3">
        <f>2961.6+(867.3-595.6)+(-3.020832+(-0.884646--0.607512))+0-730.3--0.744906000000116</f>
        <v>2500.4469399999998</v>
      </c>
      <c r="H102" s="3">
        <f>2951.9+(887.2-710.5)+(-3.010938+(-0.904944--0.72471))+0-700.9--0.714918000000112</f>
        <v>2425.2237460000006</v>
      </c>
      <c r="I102" s="3">
        <f>2897.1+(928.8-763.3)+(1.477521+(0.473688-0.389283))+0-775.3-0.395402999999921</f>
        <v>2288.4665229999996</v>
      </c>
      <c r="J102" s="3">
        <f>2895.6+(817.1-906.9)+(-4.430268+(-1.250163--1.387557))+0-489.4--0.748782000000028</f>
        <v>2312.855908</v>
      </c>
      <c r="K102" s="3">
        <f>2851.8+(821.9-839.9)+(-7.27209+(-2.095845--2.141745))+0-621.7--1.58533499999991</f>
        <v>2206.4591449999998</v>
      </c>
      <c r="L102" s="3">
        <f>2630.8+(818.2-746.8)+(-8.050248+(-2.503692--2.285208))+0-566.6--1.73379600000007</f>
        <v>2129.0650640000003</v>
      </c>
      <c r="M102" s="3">
        <f>2527.6+(811.5-490.1)+(-1.289076+(-0.413865--0.249951))+0-673.1--0.343280999999932</f>
        <v>2174.7902909999998</v>
      </c>
      <c r="N102" s="3">
        <f>2519.2+(858.8-336)+(-1.284792+(-0.437988--0.17136))+0-720.7--0.367556999999927</f>
        <v>2320.1161370000004</v>
      </c>
      <c r="O102" s="3">
        <f>2567.4+(774.1-233.4)+(0+(0-0))+0-734.1-0</f>
        <v>2374.0000000000005</v>
      </c>
      <c r="P102" s="3">
        <f>3026.3+(572.2-339.4)+(0+(0-0))+0-701.4-0</f>
        <v>2557.7000000000003</v>
      </c>
      <c r="Q102" s="3">
        <f>3073.7+(506.9-200.2)+(-4.702761+(-0.775557--0.306306))+0-624.2--0.955026000000036</f>
        <v>2751.9830139999999</v>
      </c>
      <c r="R102" s="3">
        <f>3198.6+(615.6-323.5)+(-1.631286+(-0.313956--0.164985))+0-660--0.336599999999933</f>
        <v>2829.256343</v>
      </c>
      <c r="S102" s="3">
        <f>3352.5+(695.3-635.7)+(-8.548875+(-1.773015--1.621035))+0-734.4--1.87271999999989</f>
        <v>2670.8718649999996</v>
      </c>
      <c r="T102" s="3">
        <f>3415.2+(739.3-743.6)+(1.741752+(0.377043-0.379236))+0-723.8-0.369137999999927</f>
        <v>2688.470421</v>
      </c>
      <c r="U102" s="3">
        <f>3626.1+(538.6-1004.4)+(1.849311+(0.274686-0.512244))+24.3-518.9-0.264638999999947</f>
        <v>2667.0471140000004</v>
      </c>
      <c r="V102" s="3">
        <f>3470.7+(531.7-855.7)+(-3.540114+(-0.542334--0.872814))+0-560.3--0.571506000000089</f>
        <v>2583.761872</v>
      </c>
      <c r="W102" s="3">
        <f>3061.5+(359-435.4)+(-4.684095+(-0.54927--0.666162))+0-483.6--0.739908000000028</f>
        <v>2497.672705</v>
      </c>
      <c r="X102" s="3">
        <f>2930.5+(511.8-568.5)+(-5.97822+(-1.044072--1.15974))+0-487.3--0.994091999999979</f>
        <v>2381.6315399999999</v>
      </c>
      <c r="Y102" s="3">
        <f>2949.8+(459.4-514.4)+(-4.513194+(-0.702882--0.787032))+0-589.2--0.901476000000034</f>
        <v>2302.0724319999999</v>
      </c>
      <c r="Z102" s="3">
        <f>3024.3+(327.9-257.6)+(1.542393+(0.167229-0.131376))+0-587.7-0.29972699999994</f>
        <v>2508.1785190000005</v>
      </c>
      <c r="AA102" s="3">
        <f>3093.8+(335-223.5)+(-4.733514+(-0.51255--0.341955))+0-639.9--0.979047000000037</f>
        <v>2561.4749380000003</v>
      </c>
      <c r="AB102" s="3">
        <f>3096+(296.3-337.2)+(-3.15792+(-0.302226--0.343944))+0-582.4--0.594048000000093</f>
        <v>2470.1778459999996</v>
      </c>
      <c r="AC102" s="3">
        <f>3048.1+(527.6-411.5)+(3.109062+(0.538152-0.41973))+0-626.1-0.6386220000001</f>
        <v>2540.688862</v>
      </c>
      <c r="AD102">
        <v>2594.1999999999998</v>
      </c>
      <c r="AE102" s="3">
        <f>3110+(329.5-201.5)+(0+(0-0))+0-643.8-0</f>
        <v>2594.1999999999998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3043.2+(586.7-536)+(-3.104064+(-0.598434--0.54672))+0-654.3--0.667386000000104</f>
        <v>2437.1116080000002</v>
      </c>
      <c r="G103" s="3">
        <f>3053.8+(809.3-770.2)+(-1.557438+(-0.412743--0.392802))+0-729.3--0.371942999999926</f>
        <v>2362.3945640000002</v>
      </c>
      <c r="H103" s="3">
        <f>2987.4+(824.9-792.8)+(-6.094296+(-1.682796--1.617312))+0-729.6--1.48838399999997</f>
        <v>2285.2286039999999</v>
      </c>
      <c r="I103" s="3">
        <f>2978.7+(707.1-753.9)+(-7.595685+(-1.803105--1.922445))+0-708.5--1.8066749999999</f>
        <v>2217.7303299999994</v>
      </c>
      <c r="J103" s="3">
        <f>2988.3+(686.1-750.4)+(3.048066+(0.699822-0.765408))+0-693.3-0.707166000000111</f>
        <v>2232.9753140000003</v>
      </c>
      <c r="K103" s="3">
        <f>2966.5+(641.7-804.3)+(-7.564575+(-1.636335--2.050965))+0-683--1.7416499999999</f>
        <v>2115.4917049999999</v>
      </c>
      <c r="L103" s="3">
        <f>2736.5+(696-721)+(-1.395615+(-0.35496--0.36771))+0-778.2--0.396881999999921</f>
        <v>1932.3140169999999</v>
      </c>
      <c r="M103" s="3">
        <f>2557+(656.7-585.6)+(-2.60814+(-0.669834--0.597312))+0-607--0.619140000000097</f>
        <v>2019.0384779999997</v>
      </c>
      <c r="N103" s="3">
        <f>2606.1+(667.4-388.7)+(-2.658222+(-0.680748--0.396474))+0-743.9--0.758778000000119</f>
        <v>2138.7162819999994</v>
      </c>
      <c r="O103" s="3">
        <f>2865.9+(390.9-424)+(1.461609+(0.199359-0.21624))+0-630.9-0.321758999999936</f>
        <v>2203.0229690000001</v>
      </c>
      <c r="P103" s="3">
        <f>2941.1+(301.9-284.5)+(-2.999922+(-0.307938--0.29019))+0-681.8--0.695436000000109</f>
        <v>2274.3777659999996</v>
      </c>
      <c r="Q103" s="3">
        <f>2940.9+(383.3-154.2)+(0+(0-0))+0-743.6-0</f>
        <v>2426.4</v>
      </c>
      <c r="R103" s="3">
        <f>3013.3+(386.9-286.9)+(4.610349+(0.591957-0.438957))+0-640.6-0.980118000000037</f>
        <v>2476.4832310000002</v>
      </c>
      <c r="S103" s="3">
        <f>3243.7+(521.7-574.7)+(0+(0-0))+0-701.5-0</f>
        <v>2489.1999999999998</v>
      </c>
      <c r="T103" s="3">
        <f>3336.8+(584.2-709.1)+(1.701768+(0.297942-0.361641))+0-708.8-0.361487999999928</f>
        <v>2504.376581</v>
      </c>
      <c r="U103" s="3">
        <f>3309.9+(548.4-787.1)+(-10.128294+(-1.678104--2.408526))+0-561.5--1.71819000000006</f>
        <v>2502.0203179999999</v>
      </c>
      <c r="V103" s="3">
        <f>3295.7+(546.3-732.2)+(5.042421+(0.835839-1.120266))+0-669.7-1.02464100000004</f>
        <v>2443.833353</v>
      </c>
      <c r="W103" s="3">
        <f>3294.3+(421.2-621)+(-8.400465+(-1.07406--1.58355))+0-713.5--1.8194249999999</f>
        <v>2374.9284499999999</v>
      </c>
      <c r="X103" s="3">
        <f>2958.5+(451.2-522.7)+(-7.544175+(-1.15056--1.332885))+0-643.2--1.64015999999991</f>
        <v>2238.0783099999999</v>
      </c>
      <c r="Y103" s="3">
        <f>2831.2+(409.3-364.6)+(-2.887824+(-0.417486--0.371892))+0-656.1--0.669222000000105</f>
        <v>2217.5358039999996</v>
      </c>
      <c r="Z103" s="3">
        <f>2953.4+(331.7-267.5)+(-3.012468+(-0.338334--0.27285))+0-672--0.685440000000107</f>
        <v>2343.207488</v>
      </c>
      <c r="AA103" s="3">
        <f>3136.5+(370.1-318.2)+(-6.39846+(-0.755004--0.649128))+0-615.8--1.25623199999997</f>
        <v>2567.3518960000006</v>
      </c>
      <c r="AB103" s="3">
        <f>3089.4+(486.7-268)+(-3.151188+(-0.496434--0.27336))+0-750.5--0.76551000000012</f>
        <v>2554.9912480000003</v>
      </c>
      <c r="AC103" s="3">
        <f>3122.5+(477.9-389.9)+(-4.777425+(-0.731187--0.596547))+0-665.9--1.01882700000004</f>
        <v>2540.7067619999998</v>
      </c>
      <c r="AD103">
        <v>2557.3000000000002</v>
      </c>
      <c r="AE103" s="3">
        <f>3099+(411.8-257.6)+(0+(0-0))+0-695.9-0</f>
        <v>2557.2999999999997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3078+(643.7-610.1)+(-1.56978+(-0.328287--0.311151))+0-774.4--0.394943999999921</f>
        <v>2336.0080279999997</v>
      </c>
      <c r="G104" s="3">
        <f>3019.2+(974.1-894.2)+(-3.079584+(-0.993582--0.912084))+0-733.5--0.748170000000117</f>
        <v>2363.1870880000001</v>
      </c>
      <c r="H104" s="3">
        <f>3054.4+(948.2-826.4)+(3.115488+(0.967164-0.842928))+0-813.2-0.82946400000013</f>
        <v>2365.4102600000001</v>
      </c>
      <c r="I104" s="3">
        <f>2999.6+(823.4-848.8)+(-1.529796+(-0.419934--0.432888))+0-678.2--0.345881999999931</f>
        <v>2294.8290400000001</v>
      </c>
      <c r="J104" s="3">
        <f>2944.8+(853.8-762.3)+(-4.505544+(-1.306314--1.166319))+0-794.8--1.21604400000005</f>
        <v>2238.0705050000001</v>
      </c>
      <c r="K104" s="3">
        <f>2955.2+(762.5-919.7)+(-12.057216+(-3.111--3.752376))+0-616.2--2.51409599999995</f>
        <v>2172.8982559999995</v>
      </c>
      <c r="L104" s="3">
        <f>2766.3+(831.8-863.1)+(-5.643252+(-1.696872--1.760724))+0-629.9--1.28499599999997</f>
        <v>2100.8055959999997</v>
      </c>
      <c r="M104" s="3">
        <f>2745.5+(806.6-550.6)+(4.200615+(1.234098-0.842418))+0-648.9-0.992817000000037</f>
        <v>2356.199478</v>
      </c>
      <c r="N104" s="3">
        <f>3007.8+(752-437.5)+(1.533978+(0.38352-0.223125))+0-668.9-0.341138999999932</f>
        <v>2654.7532339999998</v>
      </c>
      <c r="O104" s="3">
        <f>2973.3+(770.4-191.2)+(1.516383+(0.392904-0.097512))+0-766.9-0.391118999999922</f>
        <v>2787.0206560000001</v>
      </c>
      <c r="P104" s="3">
        <f>2990.9+(774.2-42.8)+(-3.050718+(-0.789684--0.043656))+0-727.3--0.741846000000116</f>
        <v>2991.9450999999999</v>
      </c>
      <c r="Q104" s="3">
        <f>3105.6+(805.4-90.2)+(-1.583856+(-0.410754--0.046002))+0-720.4--0.367403999999927</f>
        <v>3098.8187959999996</v>
      </c>
      <c r="R104" s="3">
        <f>3183.2+(1047-295.5)+(-3.246864+(-1.06794--0.30141))+0-797.1--0.813042000000127</f>
        <v>3134.3996480000001</v>
      </c>
      <c r="S104" s="3">
        <f>3354.4+(883.1-566.8)+(-1.710744+(-0.450381--0.289068))+0-695.2--0.354551999999929</f>
        <v>2973.9824950000002</v>
      </c>
      <c r="T104" s="3">
        <f>3591.5+(1016.9-820.7)+(-5.494995+(-1.555857--1.255671))+0-671.9--1.02800700000004</f>
        <v>3111.0328259999997</v>
      </c>
      <c r="U104" s="3">
        <f>3479.4+(1135.1-745.6)+(0+(0-0))+0-727.7-0</f>
        <v>3141.2</v>
      </c>
      <c r="V104" s="3">
        <f>3491.1+(1080.6-765.5)+(-3.560922+(-1.102212--0.78081))+0-682.7--0.696354000000109</f>
        <v>3120.31403</v>
      </c>
      <c r="W104" s="3">
        <f>3541.8+(666.8-712.2)+(-9.03159+(-1.70034--1.81611))+0-502.6--1.28162999999993</f>
        <v>2986.16581</v>
      </c>
      <c r="X104" s="3">
        <f>3328.6+(613.3-628.4)+(-8.48793+(-1.563915--1.60242))+0-534.6--1.36322999999992</f>
        <v>2771.8138050000002</v>
      </c>
      <c r="Y104" s="3">
        <f>3042.6+(604.9-440.6)+(-9.310356+(-1.850994--1.348236))+0-518.6--1.58691600000006</f>
        <v>2680.0738019999999</v>
      </c>
      <c r="Z104" s="3">
        <f>3099.6+(722.3-386.2)+(3.161592+(0.736746-0.393924))+0-663.5-0.676770000000106</f>
        <v>2775.0276439999998</v>
      </c>
      <c r="AA104" s="3">
        <f>3437.2+(606.1-594.4)+(-5.258916+(-0.927333--0.909432))+0-575.2--0.880056000000033</f>
        <v>2869.3032389999998</v>
      </c>
      <c r="AB104" s="3">
        <f>3387.5+(710.1-635)+(-3.45525+(-0.724302--0.6477))+0-747.3--0.762246000000119</f>
        <v>2712.5303940000003</v>
      </c>
      <c r="AC104" s="3">
        <f>3144.3+(815.6-657.2)+(1.603593+(0.415956-0.335172))+0-583.6-0.297635999999941</f>
        <v>2720.4867410000006</v>
      </c>
      <c r="AD104">
        <v>2766.8</v>
      </c>
      <c r="AE104" s="3">
        <f>3475+(695.5-615.4)+(0+(0-0))+0-788.3-0</f>
        <v>2766.8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3094+(1015.5-762.6)+(0+(0-0))+0-723.5-0</f>
        <v>2623.4</v>
      </c>
      <c r="G105" s="3">
        <f>3084.6+(907-683.5)+(-1.573146+(-0.46257--0.348585))+0-771.4--0.393413999999922</f>
        <v>2535.4062829999998</v>
      </c>
      <c r="H105" s="3">
        <f>3089.1+(883.7-861.6)+(-4.726323+(-1.352061--1.318248))+0-719.4--1.10068200000004</f>
        <v>2388.1405460000001</v>
      </c>
      <c r="I105" s="3">
        <f>3104.5+(916.9-845.7)+(-4.749885+(-1.402857--1.293921))+0-829.3--1.26882900000005</f>
        <v>2342.8100079999999</v>
      </c>
      <c r="J105" s="3">
        <f>3067.4+(876.3-846.8)+(-7.82187+(-2.234565--2.15934))+0-663.3--1.6914149999999</f>
        <v>2427.3943199999999</v>
      </c>
      <c r="K105" s="3">
        <f>2930.2+(926.8-713.8)+(-7.47201+(-2.36334--1.82019))+0-800.1--2.04025499999988</f>
        <v>2337.1250949999999</v>
      </c>
      <c r="L105" s="3">
        <f>2578.4+(866.5-526.3)+(-2.629968+(-0.88383--0.536826))+0-641.4--0.654228000000102</f>
        <v>2274.8772560000002</v>
      </c>
      <c r="M105" s="3">
        <f>2570.6+(891-339.5)+(-1.311006+(-0.45441--0.173145))+0-686.9--0.35031899999993</f>
        <v>2433.958048</v>
      </c>
      <c r="N105" s="3">
        <f>2797.9+(807.6-253.2)+(1.426929+(0.411876-0.129132))+0-639.3-0.326042999999935</f>
        <v>2714.3836300000003</v>
      </c>
      <c r="O105" s="3">
        <f>3020+(801-232.1)+(0+(0-0))+0-719.6-0</f>
        <v>2869.3</v>
      </c>
      <c r="P105" s="3">
        <f>3140.3+(746-173.1)+(3.203106+(0.76092-0.176562))+0-712.8-0.727056000000114</f>
        <v>3003.4604080000004</v>
      </c>
      <c r="Q105" s="3">
        <f>3178.4+(809.3-148.6)+(-1.620984+(-0.412743--0.075786))+0-673.1--0.343280999999932</f>
        <v>3164.3853399999998</v>
      </c>
      <c r="R105" s="3">
        <f>3234+(831.4-262.8)+(-3.29868+(-0.848028--0.268056))+0-704.6--0.718692000000112</f>
        <v>3094.84004</v>
      </c>
      <c r="S105" s="3">
        <f>3334.1+(810.6-515.9)+(-3.400782+(-0.826812--0.526218))+0-609.7--0.621894000000097</f>
        <v>3016.0205180000003</v>
      </c>
      <c r="T105" s="3">
        <f>3618.1+(1056.6-923)+(0+(0-0))+0-520.1-0</f>
        <v>3231.6</v>
      </c>
      <c r="U105" s="3">
        <f>3774.6+(447.7-362.5)+(0+(0-0))+0-436.3-0</f>
        <v>3423.4999999999995</v>
      </c>
      <c r="V105" s="3">
        <f>3796.1+(392.2-291.7)+(1.936011+(0.200022-0.148767))+0-586-0.298859999999941</f>
        <v>3312.2884060000001</v>
      </c>
      <c r="W105" s="3">
        <f>3800.8+(579.4-859.5)+(-7.753632+(-1.181976--1.75338))+0-536.9--1.09527599999998</f>
        <v>2977.7130480000001</v>
      </c>
      <c r="X105" s="3">
        <f>3299+(637.2-599.1)+(-11.77743+(-2.274804--2.138787))+0-513.9--1.83462300000001</f>
        <v>2813.1211760000001</v>
      </c>
      <c r="Y105" s="3">
        <f>3043.4+(648.7-425)+(-7.76067+(-1.654185--1.08375))+0-433.1--1.10440499999994</f>
        <v>2826.7733000000003</v>
      </c>
      <c r="Z105" s="3">
        <f>3083.1+(692.3-296.7)+(-1.572381+(-0.353073--0.151317))+0-638.3--0.325532999999935</f>
        <v>2838.9513959999999</v>
      </c>
      <c r="AA105" s="3">
        <f>3227.8+(616.8-383.5)+(-6.584712+(-1.258272--0.78234))+0-575.2--1.17340799999997</f>
        <v>2880.0127640000005</v>
      </c>
      <c r="AB105" s="3">
        <f>3260.6+(718.5-487)+(-4.988718+(-1.099305--0.74511))+0-679.4--1.03948200000004</f>
        <v>2808.396569</v>
      </c>
      <c r="AC105" s="3">
        <f>3161.3+(776.1-522.9)+(1.612263+(0.395811-0.266679))+0-641.5-0.327164999999935</f>
        <v>2774.4142299999999</v>
      </c>
      <c r="AD105">
        <v>2829.8</v>
      </c>
      <c r="AE105" s="3">
        <f>3225+(649.2-328.2)+(0+(0-0))+0-716.2-0</f>
        <v>2829.8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2995.8+(961.7-601.8)+(0+(0-0))+0-666.3-0</f>
        <v>2689.4000000000005</v>
      </c>
      <c r="G106" s="3">
        <f>2904.6+(1078.1-649.9)+(-5.925384+(-2.199324--1.325796))+0-750.3--1.53061199999997</f>
        <v>2577.2316999999998</v>
      </c>
      <c r="H106" s="3">
        <f>2878.2+(978.1-695.7)+(1.467882+(0.498831-0.354807))+0-674.5-0.343994999999932</f>
        <v>2487.3679110000003</v>
      </c>
      <c r="I106" s="3">
        <f>2863.8+(989-721.6)+(-5.842152+(-2.01756--1.472064))+0-746.5--1.52285999999997</f>
        <v>2379.8352120000004</v>
      </c>
      <c r="J106" s="3">
        <f>2856.5+(957.6-756.5)+(0+(0-0))+0-626.7-0</f>
        <v>2430.8999999999996</v>
      </c>
      <c r="K106" s="3">
        <f>2869.8+(993.1-707)+(-7.31799+(-2.532405--1.80285))+0-740.1--1.88725499999989</f>
        <v>2409.6397100000004</v>
      </c>
      <c r="L106" s="3">
        <f>2885.1+(700.3-742.8)+(-7.357005+(-1.785765--1.89414))+0-507.1--1.29310499999993</f>
        <v>2329.5444749999997</v>
      </c>
      <c r="M106" s="3">
        <f>2872+(657.7-513.7)+(0+(0-0))+0-576.4-0</f>
        <v>2439.6</v>
      </c>
      <c r="N106" s="3">
        <f>2907.1+(596.1-257.2)+(4.447863+(0.912033-0.393516))+0-701.7-1.07360100000004</f>
        <v>2548.192779</v>
      </c>
      <c r="O106" s="3">
        <f>3001.5+(604.5-188.6)+(3.06153+(0.61659-0.192372))+0-601.8-0.613836000000096</f>
        <v>2818.4719120000004</v>
      </c>
      <c r="P106" s="3">
        <f>2997.5+(748.1-106.8)+(4.586175+(1.144593-0.163404))+0-681.5-1.04269500000004</f>
        <v>2961.8246690000001</v>
      </c>
      <c r="Q106" s="3">
        <f>3002.9+(751.2-84.2)+(4.594437+(1.149336-0.128826))+0-615.3-0.941409000000035</f>
        <v>3059.2735380000004</v>
      </c>
      <c r="R106" s="3">
        <f>3015.7+(989.7-193.1)+(-1.538007+(-0.504747--0.098481))+0-685.3--0.34950299999993</f>
        <v>3125.4052299999998</v>
      </c>
      <c r="S106" s="3">
        <f>3146.5+(1047.4-522)+(-6.41886+(-2.136696--1.06488))+0-637.8--1.30111199999997</f>
        <v>3027.9104360000001</v>
      </c>
      <c r="T106" s="3">
        <f>3393.3+(1025.4-912.3)+(5.191749+(1.568862-1.395819))+0-433.5-0.663255000000025</f>
        <v>3077.6015370000005</v>
      </c>
      <c r="U106" s="3">
        <f>3600+(1335.2-1221.4)+(-3.672+(-1.361904--1.245828))+0-596.6--0.608532000000095</f>
        <v>3114.0204560000006</v>
      </c>
      <c r="V106" s="3">
        <f>3515.3+(1128.3-1089.4)+(-7.171212+(-2.301732--2.222376))+0-592.2--1.20808799999997</f>
        <v>2955.9575199999995</v>
      </c>
      <c r="W106" s="3">
        <f>2855.4+(738.9-170.1)+(-5.825016+(-1.507356--0.347004))+0-550.9--1.12383599999998</f>
        <v>2867.4384679999994</v>
      </c>
      <c r="X106" s="3">
        <f>2875.5+(687.1-337.8)+(-5.86602+(-1.401684--0.689112))+0-542.8--1.10731199999998</f>
        <v>2676.5287200000002</v>
      </c>
      <c r="Y106" s="3">
        <f>2800.9+(724.3-346.5)+(-5.713836+(-1.477572--0.70686))+0-664.9--1.35639599999997</f>
        <v>2508.671848</v>
      </c>
      <c r="Z106" s="3">
        <f>2837.9+(724.4-343.3)+(-1.447329+(-0.369444--0.175083))+0-641.1--0.326960999999935</f>
        <v>2576.5852709999999</v>
      </c>
      <c r="AA106" s="3">
        <f>3176.3+(706.6-500.6)+(-4.859739+(-1.081098--0.765918))+0-699.6--1.07038800000004</f>
        <v>2678.5954690000003</v>
      </c>
      <c r="AB106" s="3">
        <f>3220.8+(725.9-752.1)+(-6.570432+(-1.480836--1.534284))+0-601.4--1.22685599999997</f>
        <v>2587.9098720000002</v>
      </c>
      <c r="AC106" s="3">
        <f>3191.8+(994.8-865.4)+(0+(0-0))+0-719.3-0</f>
        <v>2601.9000000000005</v>
      </c>
      <c r="AD106">
        <v>2854.2000000000003</v>
      </c>
      <c r="AE106" s="3">
        <f>3156+(795.8-496.7)+(0+(0-0))+0-600.9-0</f>
        <v>2854.2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3213.2+(1027.8-1137.3)+(-4.916196+(-1.572534--1.740069))+0-493.7--0.755361000000028</f>
        <v>2606.0066999999999</v>
      </c>
      <c r="G107" s="3">
        <f>3030.1+(1014.2-938.6)+(-10.817457+(-3.620694--3.350802))+0-568.7--2.03025900000001</f>
        <v>2527.9429099999998</v>
      </c>
      <c r="H107" s="3">
        <f>2895.7+(996.7-840.8)+(-8.860842+(-3.049902--2.572848))+0-533.7--1.63312200000006</f>
        <v>2510.1952259999998</v>
      </c>
      <c r="I107" s="3">
        <f>2820.3+(989-772.1)+(-7.191765+(-2.52195--1.968855))+0-640.7--1.63378499999991</f>
        <v>2390.3889250000002</v>
      </c>
      <c r="J107" s="3">
        <f>2808.5+(954.6-754.5)+(4.297005+(1.460538-1.154385))+0-669.9-1.02494700000004</f>
        <v>2342.2782109999998</v>
      </c>
      <c r="K107" s="3">
        <f>2750.9+(882.3-759.1)+(-4.208877+(-1.349919--1.161423))+0-556.8--0.851904000000032</f>
        <v>2313.7545310000005</v>
      </c>
      <c r="L107" s="3">
        <f>2707+(860.4-643.9)+(-5.52228+(-1.755216--1.313556))+0-726.3--1.48165199999997</f>
        <v>2192.7177120000001</v>
      </c>
      <c r="M107" s="3">
        <f>2699.1+(691.8-465.4)+(0+(0-0))+0-551.3-0</f>
        <v>2374.1999999999998</v>
      </c>
      <c r="N107" s="3">
        <f>2789.2+(718.8-367.9)+(-4.267476+(-1.099764--0.562887))+0-569--0.870570000000033</f>
        <v>2567.166217</v>
      </c>
      <c r="O107" s="3">
        <f>2840.1+(772.8-142.8)+(1.448451+(0.394128-0.072828))+0-619.1-0.315740999999937</f>
        <v>2852.4540099999999</v>
      </c>
      <c r="P107" s="3">
        <f>2854.9+(658.8-98.7)+(0+(0-0))+0-485.6-0</f>
        <v>2929.4</v>
      </c>
      <c r="Q107" s="3">
        <f>2916.9+(861.6-70)+(-2.975238+(-0.878832--0.0714))+0-622.8--0.635256000000099</f>
        <v>3082.5525860000002</v>
      </c>
      <c r="R107" s="3">
        <f>2992.4+(905.4-243)+(0+(0-0))+0-580.1-0</f>
        <v>3074.7000000000003</v>
      </c>
      <c r="S107" s="3">
        <f>3165.5+(959.6-535.9)+(-3.22881+(-0.978792--0.546618))+0-694.1--0.707982000000111</f>
        <v>2892.1469979999997</v>
      </c>
      <c r="T107" s="3">
        <f>3382.7+(984.7-737.5)+(-3.450354+(-1.004394--0.75225))+0-634.4--0.647088000000101</f>
        <v>2992.4445899999996</v>
      </c>
      <c r="U107" s="3">
        <f>3488+(1139.8-803.3)+(-5.33664+(-1.743894--1.229049))+0-710.5--1.08706500000004</f>
        <v>3109.23558</v>
      </c>
      <c r="V107" s="3">
        <f>3513.1+(881.9-735.6)+(-1.791681+(-0.449769--0.375156))+0-571.3--0.291362999999942</f>
        <v>3086.5250689999998</v>
      </c>
      <c r="W107" s="3">
        <f>3487.2+(791.4-640.2)+(-5.335416+(-1.210842--0.979506))+0-711.9--1.08920700000004</f>
        <v>2922.0224549999994</v>
      </c>
      <c r="X107" s="3">
        <f>3111.7+(540.9-309)+(-7.934835+(-1.379295--0.78795))+0-583.8--1.48868999999992</f>
        <v>2752.7625100000005</v>
      </c>
      <c r="Y107" s="3">
        <f>2988.6+(643.2-248.6)+(-4.572558+(-0.984096--0.380358))+0-684--1.04652000000004</f>
        <v>2695.0702239999996</v>
      </c>
      <c r="Z107" s="3">
        <f>3150.5+(554.7-342.9)+(-3.21351+(-0.565794--0.349758))+0-569.5--0.580890000000091</f>
        <v>2789.9513440000005</v>
      </c>
      <c r="AA107" s="3">
        <f>3274.3+(571.4-308.4)+(-3.339786+(-0.582828--0.314568))+0-735.9--0.750618000000117</f>
        <v>2798.5425720000003</v>
      </c>
      <c r="AB107" s="3">
        <f>3286.8+(586.2-457.4)+(-6.705072+(-1.195848--0.933096))+0-662.6--1.35170399999997</f>
        <v>2747.3838800000008</v>
      </c>
      <c r="AC107" s="3">
        <f>3307.8+(711-568.6)+(-3.373956+(-0.72522--0.579972))+0-637.4--0.650148000000102</f>
        <v>2809.9309440000002</v>
      </c>
      <c r="AD107">
        <v>2781.8</v>
      </c>
      <c r="AE107" s="3">
        <f>3272+(631.6-304.6)+(0+(0-0))+0-817.2-0</f>
        <v>2781.8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3158.8+(892.8-836.3)+(-4.832964+(-1.365984--1.279539))+0-633.5--0.969255000000037</f>
        <v>2577.8498460000001</v>
      </c>
      <c r="G108" s="3">
        <f>3042.8+(1069.2-896.3)+(-4.655484+(-1.635876--1.371339))+0-653.6--1.00000800000004</f>
        <v>2558.1799870000004</v>
      </c>
      <c r="H108" s="3">
        <f>3039.9+(1045.9-928.1)+(0+(0-0))+0-664.9-0</f>
        <v>2492.8000000000002</v>
      </c>
      <c r="I108" s="3">
        <f>3046.5+(927.9-923.1)+(-6.21486+(-1.892916--1.883124))+0-603.6--1.23134399999997</f>
        <v>2442.7066920000002</v>
      </c>
      <c r="J108" s="3">
        <f>3016.6+(880.3-783.9)+(-6.153864+(-1.795812--1.599156))+0-698--1.42391999999997</f>
        <v>2410.0734000000002</v>
      </c>
      <c r="K108" s="3">
        <f>2810.2+(859.4-616.5)+(-5.732808+(-1.753176--1.25766))+0-729.6--1.48838399999997</f>
        <v>2318.7600599999996</v>
      </c>
      <c r="L108" s="3">
        <f>2821.9+(771.7-591.3)+(-5.756676+(-1.574268--1.206252))+0-677.8--1.38271199999997</f>
        <v>2319.7580200000007</v>
      </c>
      <c r="M108" s="3">
        <f>3031.6+(625.5-495.2)+(4.638348+(0.957015-0.757656))+0-588.2-0.899946000000034</f>
        <v>2577.6377610000004</v>
      </c>
      <c r="N108" s="3">
        <f>3504.4+(531.2-619.8)+(3.574488+(0.541824-0.632196))+0-645.7-0.658614000000103</f>
        <v>2772.9255020000001</v>
      </c>
      <c r="O108" s="3">
        <f>3377.2+(592.8-456.7)+(0+(0-0))+0-595.9-0</f>
        <v>2917.3999999999996</v>
      </c>
      <c r="P108" s="3">
        <f>3445.5+(381.3-509.6)+(1.757205+(0.194463-0.259896))+0-484.9-0.247298999999951</f>
        <v>2833.7444729999997</v>
      </c>
      <c r="Q108" s="3">
        <f>3521.8+(300.4-438.3)+(0+(0-0))+0-455.2-0</f>
        <v>2928.7000000000003</v>
      </c>
      <c r="R108" s="3">
        <f>3609.9+(644.4-655.1)+(1.841049+(0.328644-0.334101))+0-578-0.294779999999941</f>
        <v>3022.740812</v>
      </c>
      <c r="S108" s="3">
        <f>3475+(729.5-661.4)+(3.5445+(0.74409-0.674628))+0-597.7-0.609654000000095</f>
        <v>2948.4043079999997</v>
      </c>
      <c r="T108" s="3">
        <f>3436.7+(690.9-740.8)+(-3.505434+(-0.704718--0.755616))+0-452.5--0.461550000000072</f>
        <v>2931.3070139999995</v>
      </c>
      <c r="U108" s="3">
        <f>3440.6+(883.5-679.5)+(3.509412+(0.90117-0.69309))+0-622.1-0.634542000000099</f>
        <v>3025.58295</v>
      </c>
      <c r="V108" s="3">
        <f>3426+(746.9-608.2)+(-8.7363+(-1.904595--1.55091))+0-581.1--1.48180499999992</f>
        <v>2975.9918199999997</v>
      </c>
      <c r="W108" s="3">
        <f>3352.5+(679.5-389.4)+(-10.25865+(-2.07927--1.191564))+0-684.3--2.09395800000008</f>
        <v>2949.2476019999999</v>
      </c>
      <c r="X108" s="3">
        <f>3064.3+(719-417.9)+(-9.376758+(-2.20014--1.278774))+0-563.9--1.72553400000007</f>
        <v>2792.9274100000002</v>
      </c>
      <c r="Y108" s="3">
        <f>2959.5+(528.2-333.5)+(-3.01869+(-0.538764--0.34017))+0-526.5--0.537030000000084</f>
        <v>2625.0197459999999</v>
      </c>
      <c r="Z108" s="3">
        <f>3063+(399-214.3)+(-4.68639+(-0.61047--0.327879))+0-504.3--0.771579000000029</f>
        <v>2739.2025979999999</v>
      </c>
      <c r="AA108" s="3">
        <f>3218.4+(504.8-249.5)+(-8.20692+(-1.28724--0.636225))+0-723.8--1.84568999999989</f>
        <v>2742.8877550000007</v>
      </c>
      <c r="AB108" s="3">
        <f>3226.4+(570.7-362.6)+(-3.290928+(-0.582114--0.369852))+0-677.9--0.691458000000108</f>
        <v>2753.7882680000002</v>
      </c>
      <c r="AC108" s="3">
        <f>3197.5+(671.6-469.1)+(6.5229+(1.370064-0.956964))+0-689.3-1.40617199999997</f>
        <v>2716.2298280000005</v>
      </c>
      <c r="AD108">
        <v>2711.5</v>
      </c>
      <c r="AE108" s="3">
        <f>3209+(553.9-323.8)+(0+(0-0))+0-727.6-0</f>
        <v>2711.5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3189.8+(769.9-776.8)+(-3.253596+(-0.785298--0.792336))+0-674.1--0.687582000000108</f>
        <v>2506.2410240000004</v>
      </c>
      <c r="G109" s="3">
        <f>3155.7+(829.1-820.6)+(0+(0-0))+0-687.4-0</f>
        <v>2476.7999999999997</v>
      </c>
      <c r="H109" s="3">
        <f>3161.5+(828.3-986.8)+(-3.22473+(-0.844866--1.006536))+0-637.6--0.650352000000102</f>
        <v>2362.9872920000003</v>
      </c>
      <c r="I109" s="3">
        <f>3131.2+(821.8-859.3)+(0+(0-0))+0-697.2-0</f>
        <v>2396.5</v>
      </c>
      <c r="J109" s="3">
        <f>3132.1+(785-881.3)+(0+(0-0))+0-777-0</f>
        <v>2258.8000000000002</v>
      </c>
      <c r="K109" s="3">
        <f>3158+(757-899.7)+(-8.0529+(-1.93035--2.294235))+0-729.2--1.85945999999989</f>
        <v>2280.2704450000001</v>
      </c>
      <c r="L109" s="3">
        <f>3074.7+(739.4-852.1)+(-3.136194+(-0.754188--0.869142))+0-761.1--0.776322000000121</f>
        <v>2198.6550820000002</v>
      </c>
      <c r="M109" s="3">
        <f>3067.2+(672.6-604.8)+(3.128544+(0.686052-0.616896))+0-656-0.669120000000105</f>
        <v>2481.5285800000001</v>
      </c>
      <c r="N109" s="3">
        <f>3154.8+(582.4-427.6)+(1.608948+(0.297024-0.218076))+0-664.3-0.338792999999933</f>
        <v>2646.6491030000007</v>
      </c>
      <c r="O109" s="3">
        <f>3234.4+(537.1-369.3)+(3.299088+(0.547842-0.376686))+0-684.2-0.697884000000109</f>
        <v>2720.7723599999999</v>
      </c>
      <c r="P109" s="3">
        <f>3428.9+(514.6-403.8)+(1.748739+(0.262446-0.205938))+0-643-0.327929999999935</f>
        <v>2898.1773170000001</v>
      </c>
      <c r="Q109" s="3">
        <f>3604.3+(706.5-681.5)+(3.676386+(0.72063-0.69513))+0-620.9-0.633318000000099</f>
        <v>3011.4685679999998</v>
      </c>
      <c r="R109" s="3">
        <f>3692+(981.8-893.4)+(0+(0-0))+0-756.9-0</f>
        <v>3023.5</v>
      </c>
      <c r="S109" s="3">
        <f>3696.8+(878.4-952.3)+(0+(0-0))+0-769.3-0</f>
        <v>2853.6000000000004</v>
      </c>
      <c r="T109" s="3">
        <f>3665.7+(896.6-1035.4)+(-1.869507+(-0.457266--0.528054))+0-658.8--0.335987999999933</f>
        <v>2866.6372689999998</v>
      </c>
      <c r="U109" s="3">
        <f>3559.8+(908.6-955.1)+(-3.630996+(-0.926772--0.974202))+0-686--0.699720000000109</f>
        <v>2824.4161540000005</v>
      </c>
      <c r="V109" s="3">
        <f>3571.5+(839.8-919.6)+(0+(0-0))+0-710.1-0</f>
        <v>2781.6</v>
      </c>
      <c r="W109" s="3">
        <f>3570.4+(402.5-677)+(-3.641808+(-0.41055--0.69054))+0-708--0.722160000000113</f>
        <v>2585.2603420000005</v>
      </c>
      <c r="X109" s="3">
        <f>2906.9+(642.8-231.1)+(0+(0-0))+0-766.3-0</f>
        <v>2552.3000000000002</v>
      </c>
      <c r="Y109" s="3">
        <f>2887.9+(667.8-431.6)+(-7.364145+(-1.70289--1.10058))+0-617.7--1.57513499999991</f>
        <v>2500.0086799999999</v>
      </c>
      <c r="Z109" s="3">
        <f>2953.5+(740.6-439.3)+(1.506285+(0.377706-0.224043))+0-652.9-0.332978999999934</f>
        <v>2603.2269690000003</v>
      </c>
      <c r="AA109" s="3">
        <f>3035.8+(758.1-406.2)+(-3.096516+(-0.773262--0.414324))+0-704.3--0.718386000000112</f>
        <v>2680.6629320000006</v>
      </c>
      <c r="AB109" s="3">
        <f>3055.8+(849.2-685.1)+(0+(0-0))+0-644.6-0</f>
        <v>2575.3000000000002</v>
      </c>
      <c r="AC109" s="3">
        <f>3037.9+(999.1-663.8)+(-3.098658+(-1.019082--0.677076))+0-791.2--0.807024000000126</f>
        <v>2579.3663600000004</v>
      </c>
      <c r="AD109">
        <v>2777</v>
      </c>
      <c r="AE109" s="3">
        <f>3038+(764.6-369.4)+(0+(0-0))+0-656.2-0</f>
        <v>2777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3026.1+(1159.8-852.1)+(-6.173244+(-2.365992--1.738284))+0-671.7--1.37026799999997</f>
        <v>2656.669316</v>
      </c>
      <c r="G110" s="3">
        <f>3035.8+(1135.2-789)+(-4.644774+(-1.736856--1.20717))+0-772.8--1.18238400000004</f>
        <v>2605.2079239999998</v>
      </c>
      <c r="H110" s="3">
        <f>3052.3+(1022.7-787.6)+(-4.670019+(-1.564731--1.205028))+0-768.6--1.17595800000004</f>
        <v>2514.9462360000002</v>
      </c>
      <c r="I110" s="3">
        <f>3062.9+(1018.1-832.1)+(-7.810395+(-2.596155--2.121855))+0-763.4--1.94666999999989</f>
        <v>2479.161975</v>
      </c>
      <c r="J110" s="3">
        <f>3060.1+(915.2-835.8)+(-1.560651+(-0.466752--0.426258))+0-742.1--0.378470999999925</f>
        <v>2396.177326</v>
      </c>
      <c r="K110" s="3">
        <f>3046.8+(808.8-822.1)+(-4.661604+(-1.237464--1.257813))+0-721.9--1.10450700000004</f>
        <v>2308.0632519999999</v>
      </c>
      <c r="L110" s="3">
        <f>2959.8+(600.7-602.2)+(-6.037992+(-1.225428--1.228488))+0-816.6--1.66586399999996</f>
        <v>2137.3309320000003</v>
      </c>
      <c r="M110" s="3">
        <f>2943.4+(495.3-687.5)+(-3.002268+(-0.505206--0.70125))+0-589--0.600780000000094</f>
        <v>2159.9945560000006</v>
      </c>
      <c r="N110" s="3">
        <f>2849+(491.7-417)+(1.45299+(0.250767-0.21267))+0-749.7-0.382346999999924</f>
        <v>2175.1087399999997</v>
      </c>
      <c r="O110" s="3">
        <f>2865.6+(441.6-409.9)+(0+(0-0))+0-603.2-0</f>
        <v>2294.1000000000004</v>
      </c>
      <c r="P110" s="3">
        <f>2857.6+(705.1-477.5)+(2.914752+(0.719202-0.48705))+0-700.3-0.714306000000112</f>
        <v>2387.3325979999995</v>
      </c>
      <c r="Q110" s="3">
        <f>3054.7+(927.2-732.3)+(3.115794+(0.945744-0.746946))+0-769.1-0.784482000000123</f>
        <v>2483.0301100000001</v>
      </c>
      <c r="R110" s="3">
        <f>3074.8+(927.5-848.1)+(1.568148+(0.473025-0.432531))+0-650.7-0.331856999999934</f>
        <v>2504.776785</v>
      </c>
      <c r="S110" s="3">
        <f>3054.9+(1171.1-952)+(0+(0-0))+0-769.2-0</f>
        <v>2504.8000000000002</v>
      </c>
      <c r="T110" s="3">
        <f>2934.8+(1256.4-903.8)+(-2.993496+(-1.281528--0.921876))+0-720.6--0.735012000000115</f>
        <v>2564.1818640000006</v>
      </c>
      <c r="U110" s="3">
        <f>3027.7+(1296.5-962.2)+(-4.632381+(-1.983645--1.472166))+0-683--1.04499000000004</f>
        <v>2674.9011299999997</v>
      </c>
      <c r="V110" s="3">
        <f>2914.7+(1106.2-910.3)+(0+(0-0))+0-662.6-0</f>
        <v>2448</v>
      </c>
      <c r="W110" s="3">
        <f>2606.5+(887.9-707)+(-1.329315+(-0.452829--0.36057))+0-682.5--0.348074999999931</f>
        <v>2103.826501</v>
      </c>
      <c r="X110" s="3">
        <f>2685.8+(858.9-461.1)+(-6.84879+(-2.190195--1.175805))+0-784.8--2.00123999999989</f>
        <v>2292.9380600000009</v>
      </c>
      <c r="Y110" s="3">
        <f>2687.5+(922.6-682.4)+(-5.4825+(-1.882104--1.392096))+0-627.9--1.28091599999997</f>
        <v>2295.1084080000001</v>
      </c>
      <c r="Z110" s="3">
        <f>2811.5+(995.4-616.1)+(1.433865+(0.507654-0.314211))+0-739-0.376889999999925</f>
        <v>2453.0504180000003</v>
      </c>
      <c r="AA110" s="3">
        <f>3041.6+(944.8-617.6)+(-7.75608+(-2.40924--1.57488))+0-791.1--2.01730499999989</f>
        <v>2571.1268649999997</v>
      </c>
      <c r="AB110" s="3">
        <f>3078.1+(852.3-715.8)+(-6.279324+(-1.738692--1.460232))+0-672.9--1.37271599999997</f>
        <v>2536.5149319999996</v>
      </c>
      <c r="AC110" s="3">
        <f>3047.7+(963.5-732.7)+(-1.554327+(-0.491385--0.373677))+0-786.9--0.40131899999992</f>
        <v>2490.3292839999999</v>
      </c>
      <c r="AD110">
        <v>2537.9</v>
      </c>
      <c r="AE110" s="3">
        <f>3029+(939.4-639)+(0+(0-0))+0-791.5-0</f>
        <v>2537.9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3059.4+(997.2-939)+(0+(0-0))+0-709.3-0</f>
        <v>2408.3000000000002</v>
      </c>
      <c r="G111" s="3">
        <f>3074.7+(975.6-727.6)+(-6.272388+(-1.990224--1.484304))+0-786.3--1.60405199999997</f>
        <v>2531.2257439999998</v>
      </c>
      <c r="H111" s="3">
        <f>3083.8+(834.9-888)+(3.145476+(0.851598-0.90576))+0-725.5-0.740010000000116</f>
        <v>2307.5513040000001</v>
      </c>
      <c r="I111" s="3">
        <f>3105.5+(802.8-979.6)+(-1.583805+(-0.409428--0.499596))+0-729.3--0.371942999999926</f>
        <v>2198.2783060000002</v>
      </c>
      <c r="J111" s="3">
        <f>3099.5+(760.2-870.5)+(-4.742235+(-1.163106--1.331865))+0-741--1.13373000000004</f>
        <v>2244.7602539999998</v>
      </c>
      <c r="K111" s="3">
        <f>3001.9+(858.9-943.4)+(-6.123876+(-1.752156--1.924536))+0-745.5--1.52081999999997</f>
        <v>2167.4693240000001</v>
      </c>
      <c r="L111" s="3">
        <f>3015+(758.7-930.3)+(-3.0753+(-0.773874--0.948906))+0-666.3--0.679626000000106</f>
        <v>2174.8793580000001</v>
      </c>
      <c r="M111" s="3">
        <f>3019.4+(694.3-707)+(-4.619682+(-1.062279--1.08171))+0-664.3--1.01637900000004</f>
        <v>2338.8161279999999</v>
      </c>
      <c r="N111" s="3">
        <f>3058.7+(748.6-627.3)+(0+(0-0))+0-603.2-0</f>
        <v>2576.8000000000002</v>
      </c>
      <c r="O111" s="3">
        <f>3084.4+(747.2-390.8)+(1.573044+(0.381072-0.199308))+0-709.4-0.361793999999928</f>
        <v>2732.7930140000003</v>
      </c>
      <c r="P111" s="3">
        <f>3083.5+(733.6-185)+(3.14517+(0.748272-0.1887))+0-721.5-0.735930000000115</f>
        <v>2913.5688119999995</v>
      </c>
      <c r="Q111" s="3">
        <f>3309.2+(836.7-385)+(0+(0-0))+0-692.1-0</f>
        <v>3068.7999999999997</v>
      </c>
      <c r="R111" s="3">
        <f>3587.7+(999.2-823.6)+(-1.829727+(-0.509592--0.420036))+0-709.1--0.361640999999928</f>
        <v>3052.6423579999996</v>
      </c>
      <c r="S111" s="3">
        <f>3657.4+(1002.6-1044.2)+(-1.865274+(-0.511326--0.532542))+0-732.6--0.373625999999926</f>
        <v>2881.7295680000002</v>
      </c>
      <c r="T111" s="3">
        <f>3707.1+(1014.9-1123.1)+(-1.890621+(-0.517599--0.572781))+0-660.5--0.336854999999933</f>
        <v>2936.9014160000002</v>
      </c>
      <c r="U111" s="3">
        <f>3693.7+(946.9-1136)+(-5.651361+(-1.448757--1.73808))+0-531.9--0.813807000000031</f>
        <v>2968.1517689999996</v>
      </c>
      <c r="V111" s="3">
        <f>3680.3+(867.6-1060.6)+(0+(0-0))+0-583.4-0</f>
        <v>2903.9</v>
      </c>
      <c r="W111" s="3">
        <f>3717.9+(487.5-866.6)+(-5.688387+(-0.745875--1.325898))+0-592.2--0.906066000000034</f>
        <v>2742.3977019999998</v>
      </c>
      <c r="X111" s="3">
        <f>3421.4+(585.2-740.9)+(-10.469484+(-1.790712--2.267154))+0-616.4--1.88618400000007</f>
        <v>2641.1931420000001</v>
      </c>
      <c r="Y111" s="3">
        <f>3251.9+(635.3-654.5)+(-3.316938+(-0.648006--0.66759))+0-711.7--0.725934000000114</f>
        <v>2518.4285799999998</v>
      </c>
      <c r="Z111" s="3">
        <f>3304.5+(490-401.8)+(1.685295+(0.2499-0.204918))+0-731.8-0.373217999999926</f>
        <v>2662.2570590000005</v>
      </c>
      <c r="AA111" s="3">
        <f>3337.5+(475.3-369.4)+(-1.702125+(-0.242403--0.188394))+0-720.9--0.367658999999927</f>
        <v>2721.1115249999998</v>
      </c>
      <c r="AB111" s="3">
        <f>3358.6+(490.3-424.7)+(-1.712886+(-0.250053--0.216597))+0-744.7--0.379796999999925</f>
        <v>2678.1334549999997</v>
      </c>
      <c r="AC111" s="3">
        <f>3314.7+(468.7-617.5)+(1.690497+(0.239037-0.314925))+0-581-0.296309999999941</f>
        <v>2586.2182990000001</v>
      </c>
      <c r="AD111">
        <v>2785.8</v>
      </c>
      <c r="AE111" s="3">
        <f>3321+(565-385)+(0+(0-0))+0-715.2-0</f>
        <v>2785.8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3315+(684.3-741.9)+(1.69065+(0.348993-0.378369))+0-717.1-0.365720999999927</f>
        <v>2541.5955530000001</v>
      </c>
      <c r="G112" s="3">
        <f>3327+(890-1106.9)+(0+(0-0))+0-692.6-0</f>
        <v>2417.5</v>
      </c>
      <c r="H112" s="3">
        <f>3325.8+(968.2-1175)+(1.696158+(0.493782-0.59925))+0-735.7-0.375206999999925</f>
        <v>2384.5154830000001</v>
      </c>
      <c r="I112" s="3">
        <f>3205.9+(1073.1-1273.8)+(-3.270018+(-1.094562--1.299276))+0-669.5--0.682890000000107</f>
        <v>2333.3175859999997</v>
      </c>
      <c r="J112" s="3">
        <f>3242.9+(1026.3-1250.2)+(-3.307758+(-1.046826--1.275204))+0-690.3--0.70410600000011</f>
        <v>2326.3247259999998</v>
      </c>
      <c r="K112" s="3">
        <f>3232.4+(1006.5-1097.6)+(-8.24262+(-2.566575--2.79888))+0-845.1--2.15500499999988</f>
        <v>2290.3446900000004</v>
      </c>
      <c r="L112" s="3">
        <f>3085.4+(978.5-1192)+(-4.720662+(-1.497105--1.82376))+0-670.1--1.02525300000004</f>
        <v>2198.4312460000006</v>
      </c>
      <c r="M112" s="3">
        <f>3234.5+(891.9-1002.8)+(1.649595+(0.454869-0.511428))+0-691.9-0.35286899999993</f>
        <v>2432.9401670000002</v>
      </c>
      <c r="N112" s="3">
        <f>3551.7+(589.5-956.2)+(0+(0-0))+0-631.5-0</f>
        <v>2553.5</v>
      </c>
      <c r="O112" s="3">
        <f>3634.6+(605-905.8)+(-3.707292+(-0.6171--0.923916))+0-683.5--0.697170000000109</f>
        <v>2647.5966940000003</v>
      </c>
      <c r="P112" s="3">
        <f>3679.2+(564.4-618.8)+(0+(0-0))+0-718.1-0</f>
        <v>2906.7</v>
      </c>
      <c r="Q112" s="3">
        <f>3653.4+(557.5-458.3)+(-3.726468+(-0.56865--0.467466))+0-665.5--0.678810000000106</f>
        <v>3083.9511579999999</v>
      </c>
      <c r="R112" s="3">
        <f>3658.2+(536.3-565.1)+(-1.865682+(-0.273513--0.288201))+0-700.3--0.357152999999929</f>
        <v>2927.6061589999999</v>
      </c>
      <c r="S112" s="3">
        <f>3694.3+(299.7-783.1)+(-1.884093+(-0.152847--0.399381))+0-467.9--0.238628999999953</f>
        <v>2741.6010700000002</v>
      </c>
      <c r="T112" s="3">
        <f>3851.1+(481.7-1116.1)+(-5.892183+(-0.737001--1.707633))+0-340.3--0.52065900000002</f>
        <v>2871.9991079999995</v>
      </c>
      <c r="U112" s="3">
        <f>3914.4+(706.4-1261.6)+(0+(0-0))+0-449.9-0</f>
        <v>2909.3</v>
      </c>
      <c r="V112" s="3">
        <f>3824.3+(774.1-1175.9)+(-1.950393+(-0.394791--0.599709))+0-508.2--0.259181999999948</f>
        <v>2912.8137069999998</v>
      </c>
      <c r="W112" s="3">
        <f>3478.9+(505-706.1)+(-8.871195+(-1.28775--1.800555))+0-462--1.17809999999993</f>
        <v>2808.6197100000004</v>
      </c>
      <c r="X112" s="3">
        <f>3358.9+(467.4-526)+(-11.991273+(-1.668618--1.87782))+0-615.7--2.19804900000001</f>
        <v>2675.0159779999999</v>
      </c>
      <c r="Y112" s="3">
        <f>3290.2+(834.4-770.9)+(1.678002+(0.425544-0.393159))+0-773.3-0.394382999999922</f>
        <v>2581.7160039999999</v>
      </c>
      <c r="Z112" s="3">
        <f>3265.1+(857.2-742.4)+(3.330402+(0.874344-0.757248))+0-680.6-0.694212000000109</f>
        <v>2702.0532859999998</v>
      </c>
      <c r="AA112" s="3">
        <f>3426.9+(673.1-624.4)+(-8.738595+(-1.716405--1.59222))+0-710.4--1.8115199999999</f>
        <v>2758.1487400000001</v>
      </c>
      <c r="AB112" s="3">
        <f>3505.9+(653.1-938.1)+(-5.364027+(-0.999243--1.435293))+0-517.1--0.79116300000003</f>
        <v>2699.6631860000002</v>
      </c>
      <c r="AC112" s="3">
        <f>3440.1+(719-884.9)+(-1.754451+(-0.36669--0.451299))+0-611.1--0.311660999999938</f>
        <v>2661.7418189999999</v>
      </c>
      <c r="AD112">
        <v>2784.8999999999996</v>
      </c>
      <c r="AE112" s="3">
        <f>3452+(654.7-583.8)+(0+(0-0))+0-738-0</f>
        <v>2784.9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3499.1+(749.5-976.8)+(-5.353623+(-1.146735--1.494504))+0-760.9--1.16417700000004</f>
        <v>2507.0583230000002</v>
      </c>
      <c r="G113" s="3">
        <f>3358.6+(804.3-1083.2)+(-8.56443+(-2.050965--2.76216))+0-716--1.8257999999999</f>
        <v>2357.6725649999998</v>
      </c>
      <c r="H113" s="3">
        <f>3300.3+(774.5-1039.3)+(-1.683153+(-0.394995--0.530043))+0-710.6--0.362405999999928</f>
        <v>2323.714301</v>
      </c>
      <c r="I113" s="3">
        <f>3236.1+(765.1-1092.6)+(-4.951233+(-1.170603--1.671678))+0-681.6--1.04284800000004</f>
        <v>2223.5926899999999</v>
      </c>
      <c r="J113" s="3">
        <f>3248+(834.7-1010.6)+(-1.65648+(-0.425697--0.515406))+0-831.1--0.423860999999916</f>
        <v>2239.85709</v>
      </c>
      <c r="K113" s="3">
        <f>3287.3+(786.5-1094.3)+(-16.76523+(-4.01115--5.58093))+0-699.8--3.56898000000005</f>
        <v>2268.0735299999997</v>
      </c>
      <c r="L113" s="3">
        <f>2886.2+(893.6-933.7)+(-8.831772+(-2.734416--2.857122))+0-724.3--2.21635800000008</f>
        <v>2115.307292</v>
      </c>
      <c r="M113" s="3">
        <f>2953.5+(829.7-870.3)+(3.01257+(0.846294-0.887706))+0-616.4-0.628728000000098</f>
        <v>2298.8424299999997</v>
      </c>
      <c r="N113" s="3">
        <f>3182.1+(770.3-732.8)+(3.245742+(0.785706-0.747456))+0-618.8-0.631176000000099</f>
        <v>2603.4528159999995</v>
      </c>
      <c r="O113" s="3">
        <f>3714.1+(670-869.2)+(-3.788382+(-0.6834--0.886584))+0-688.2--0.70196400000011</f>
        <v>2823.8167659999995</v>
      </c>
      <c r="P113" s="3">
        <f>3794+(525-996)+(1.93494+(0.26775-0.50796))+0-492-0.25091999999995</f>
        <v>2832.4438100000002</v>
      </c>
      <c r="Q113" s="3">
        <f>3783.1+(564.1-674.7)+(1.929381+(0.287691-0.344097))+0-711.1-0.362660999999928</f>
        <v>2962.9103140000002</v>
      </c>
      <c r="R113" s="3">
        <f>3670+(701.1-818)+(0+(0-0))+0-729-0</f>
        <v>2824.1</v>
      </c>
      <c r="S113" s="3">
        <f>3666+(572.5-971.4)+(1.86966+(0.291975-0.495414))+0-639.8-0.326297999999935</f>
        <v>2628.6399229999997</v>
      </c>
      <c r="T113" s="3">
        <f>3658.5+(695.3-946.9)+(3.73167+(0.709206-0.965838))+0-653.8-0.666876000000104</f>
        <v>2755.9081619999997</v>
      </c>
      <c r="U113" s="3">
        <f>3605.5+(726.4-812.6)+(-5.516415+(-1.111392--1.243278))+0-620.7--0.949671000000036</f>
        <v>2894.1651420000003</v>
      </c>
      <c r="V113" s="3">
        <f>3486.6+(590.4-651)+(-1.778166+(-0.301104--0.33201))+0-518.5--0.264434999999947</f>
        <v>2906.017175</v>
      </c>
      <c r="W113" s="3">
        <f>3484.3+(422.9-557.1)+(-7.107972+(-0.862716--1.136484))+0-597.5--1.21889999999997</f>
        <v>2746.9846960000004</v>
      </c>
      <c r="X113" s="3">
        <f>3298.6+(725.9-699.4)+(-6.729144+(-1.480836--1.426776))+0-582--1.18727999999997</f>
        <v>2737.5040760000002</v>
      </c>
      <c r="Y113" s="3">
        <f>3158.2+(924.4-758)+(-4.832046+(-1.414332--1.15974))+0-733.4--1.12210200000004</f>
        <v>2587.2354639999994</v>
      </c>
      <c r="Z113" s="3">
        <f>3249.1+(799.9-761.9)+(1.657041+(0.407949-0.388569))+0-662.2-0.337721999999933</f>
        <v>2626.238699</v>
      </c>
      <c r="AA113" s="3">
        <f>3436.1+(726.3-880.7)+(-5.257233+(-1.111239--1.347471))+0-617--0.944010000000036</f>
        <v>2660.6230089999999</v>
      </c>
      <c r="AB113" s="3">
        <f>3445.7+(862.8-1023.9)+(-1.757307+(-0.440028--0.522189))+0-667.8--0.340577999999932</f>
        <v>2615.4654319999995</v>
      </c>
      <c r="AC113" s="3">
        <f>3395.1+(877.1-1017.2)+(-3.463002+(-0.894642--1.037544))+0-629.7--0.642294000000101</f>
        <v>2622.6221940000005</v>
      </c>
      <c r="AD113">
        <v>2522.3999999999996</v>
      </c>
      <c r="AE113" s="3">
        <f>3431+(745.9-1002.8)+(0+(0-0))+0-651.7-0</f>
        <v>2522.3999999999996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3361+(837.7-1113.3)+(-3.42822+(-0.854454--1.135566))+0-636.3--0.649026000000101</f>
        <v>2446.6019180000003</v>
      </c>
      <c r="G114" s="3">
        <f>3356+(788-1051.9)+(-10.26936+(-2.41128--3.218814))+0-699.1--2.13924600000008</f>
        <v>2385.67742</v>
      </c>
      <c r="H114" s="3">
        <f>3266.9+(880-1023.5)+(-1.666119+(-0.4488--0.521985))+0-799.8--0.407897999999919</f>
        <v>2322.4149640000001</v>
      </c>
      <c r="I114" s="3">
        <f>3281.7+(843.3-1201.5)+(-6.694668+(-1.720332--2.45106))+0-667.6--1.36190399999997</f>
        <v>2251.2979639999999</v>
      </c>
      <c r="J114" s="3">
        <f>3229.3+(983.3-1181.1)+(1.646943+(0.501483-0.602361))+0-774.6-0.395045999999921</f>
        <v>2258.051019</v>
      </c>
      <c r="K114" s="3">
        <f>3102.8+(1050.7-1165.2)+(-1.582428+(-0.535857--0.594252))+0-768.3--0.391832999999922</f>
        <v>2218.8678000000004</v>
      </c>
      <c r="L114" s="3">
        <f>2997.4+(905.7-1071.2)+(-7.64337+(-2.309535--2.73156))+0-653.1--1.66540499999991</f>
        <v>2173.24406</v>
      </c>
      <c r="M114" s="3">
        <f>3056.4+(822.5-868.7)+(0+(0-0))+0-680.4-0</f>
        <v>2329.7999999999997</v>
      </c>
      <c r="N114" s="3">
        <f>3195.7+(823.6-834.1)+(0+(0-0))+0-610.4-0</f>
        <v>2574.7999999999997</v>
      </c>
      <c r="O114" s="3">
        <f>3201+(831.3-808.2)+(1.63251+(0.423963-0.412182))+0-557.3-0.284222999999943</f>
        <v>2668.1600679999997</v>
      </c>
      <c r="P114" s="3">
        <f>3444+(748.9-994.1)+(-1.75644+(-0.381939--0.506991))+0-356.6--0.181865999999964</f>
        <v>2840.7504780000004</v>
      </c>
      <c r="Q114" s="3">
        <f>3494.6+(611.9-753.8)+(3.564492+(0.624138-0.768876))+0-342.6-0.349452000000055</f>
        <v>3013.170302</v>
      </c>
      <c r="R114" s="3">
        <f>3510.3+(611.4-796.2)+(7.161012+(1.247256-1.624248))+0-338.4-0.690335999999985</f>
        <v>2993.1936839999998</v>
      </c>
      <c r="S114" s="3">
        <f>3567.4+(437.1-946.3)+(-1.819374+(-0.222921--0.482613))+0-402.4--0.205223999999959</f>
        <v>2654.4455419999999</v>
      </c>
      <c r="T114" s="3">
        <f>3575.5+(731.1-922.5)+(-1.823505+(-0.372861--0.470475))+0-477.6--0.243575999999952</f>
        <v>2905.0176849999998</v>
      </c>
      <c r="U114" s="3">
        <f>3559.2+(659.8-892)+(-3.630384+(-0.672996--0.90984))+0-360.8--0.368016000000058</f>
        <v>2963.1744759999997</v>
      </c>
      <c r="V114" s="3">
        <f>3547.8+(593.9-757.2)+(-3.618756+(-0.605778--0.772344))+0-547.5--0.558450000000087</f>
        <v>2834.10626</v>
      </c>
      <c r="W114" s="3">
        <f>3575.6+(351.6-754.3)+(-5.470668+(-0.537948--1.154079))+0-448.5--0.686205000000026</f>
        <v>2720.2316679999999</v>
      </c>
      <c r="X114" s="3">
        <f>3410.3+(759.8-809.2)+(-10.435518+(-2.324988--2.476152))+0-554--1.69524000000006</f>
        <v>2798.3108860000002</v>
      </c>
      <c r="Y114" s="3">
        <f>3229.1+(829.6-861.3)+(-3.293682+(-0.846192--0.878526))+0-463.6--0.472872000000074</f>
        <v>2731.0115240000005</v>
      </c>
      <c r="Z114" s="3">
        <f>3294.8+(484.3-804.2)+(5.041044+(0.740979-1.230426))+0-365.6-0.559368000000021</f>
        <v>2613.2922290000001</v>
      </c>
      <c r="AA114" s="3">
        <f>3408.7+(687.3-917.3)+(-5.215311+(-1.051569--1.403469))+0-361.1--0.552483000000021</f>
        <v>2813.289072</v>
      </c>
      <c r="AB114" s="3">
        <f>3415.4+(843.3-990.1)+(3.483708+(0.860166-1.009902))+0-545.8-0.556716000000087</f>
        <v>2725.5772559999996</v>
      </c>
      <c r="AC114" s="3">
        <f>3394.7+(916.3-1179.5)+(-6.925188+(-1.869252--2.40618))+0-464.5--0.94757999999998</f>
        <v>2661.5593199999998</v>
      </c>
      <c r="AD114">
        <v>2847.4</v>
      </c>
      <c r="AE114" s="3">
        <f>3407+(683.5-973)+(0+(0-0))+0-270.1-0</f>
        <v>2847.4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3359.1+(958.8-1209.4)+(0+(0-0))+0-555.7-0</f>
        <v>2552.8000000000002</v>
      </c>
      <c r="G115" s="3">
        <f>3290.9+(951.3-1265.1)+(0+(0-0))+0-509.2-0</f>
        <v>2467.9000000000005</v>
      </c>
      <c r="H115" s="3">
        <f>3298.8+(952.5-1334.4)+(-5.047164+(-1.457325--2.041632))+0-544.1--0.832473000000031</f>
        <v>2369.1696160000001</v>
      </c>
      <c r="I115" s="3">
        <f>3317.2+(954-1404.9)+(-6.767088+(-1.94616--2.865996))+0-539.2--1.09996799999998</f>
        <v>2322.3527159999999</v>
      </c>
      <c r="J115" s="3">
        <f>3298.1+(845.4-1395.8)+(-5.046093+(-1.293462--2.135574))+15-498.4--0.762552000000029</f>
        <v>2260.8585709999998</v>
      </c>
      <c r="K115" s="3">
        <f>3214.2+(895.3-1256.5)+(-11.474694+(-3.196221--4.485705))+0-566.1--2.02097700000001</f>
        <v>2278.7357670000001</v>
      </c>
      <c r="L115" s="3">
        <f>2889.9+(987-1217.7)+(-10.316943+(-3.52359--4.347189))+0-535.8--1.91280600000001</f>
        <v>2115.8194619999999</v>
      </c>
      <c r="M115" s="3">
        <f>2927.1+(813.4-959.2)+(2.985642+(0.829668-0.978384))+0-523.6-0.534072000000083</f>
        <v>2260.0028539999998</v>
      </c>
      <c r="N115" s="3">
        <f>3107.9+(725.1-700.1)+(4.755087+(1.109403-1.071153))+0-588.6-0.900558000000034</f>
        <v>2548.1927790000004</v>
      </c>
      <c r="O115" s="3">
        <f>3343.7+(617.1-667.8)+(0+(0-0))+0-540.2-0</f>
        <v>2752.8</v>
      </c>
      <c r="P115" s="3">
        <f>3509.2+(515-601.3)+(0+(0-0))+0-564.3-0</f>
        <v>2858.5999999999995</v>
      </c>
      <c r="Q115" s="3">
        <f>3482.7+(660-697.2)+(-5.328531+(-1.0098--1.066716))+0-501.3--0.766989000000029</f>
        <v>2939.6953739999999</v>
      </c>
      <c r="R115" s="3">
        <f>3621.9+(713.7-1007.4)+(-5.541507+(-1.091961--1.541322))+0-491.3--0.751689000000028</f>
        <v>2832.5595430000003</v>
      </c>
      <c r="S115" s="3">
        <f>3731.3+(725.7-1153.1)+(-3.805926+(-0.740214--1.176162))+0-467.3--0.476646000000075</f>
        <v>2833.7066680000003</v>
      </c>
      <c r="T115" s="3">
        <f>3741.1+(840.9-1083)+(-7.631844+(-1.715436--2.20932))+0-510.4--1.04121599999998</f>
        <v>2982.503256</v>
      </c>
      <c r="U115" s="3">
        <f>3772.3+(866.7-1149.4)+(-9.619365+(-2.210085--2.93097))+0-528.7--1.34818499999992</f>
        <v>2953.3497050000005</v>
      </c>
      <c r="V115" s="3">
        <f>3849+(694-1102.9)+(-11.77794+(-2.12364--3.374874))+0-490.8--1.50184800000006</f>
        <v>2940.2751419999995</v>
      </c>
      <c r="W115" s="3">
        <f>3806.9+(546.8-1064.4)+(-11.649114+(-1.673208--3.257064))+0-458.9--1.40423400000005</f>
        <v>2821.7389760000001</v>
      </c>
      <c r="X115" s="3">
        <f>3289.1+(1046.8-756.7)+(-10.064646+(-3.203208--2.315502))+0-550.1--1.68330600000006</f>
        <v>3019.830954</v>
      </c>
      <c r="Y115" s="3">
        <f>3216.3+(904.6-731.3)+(-8.201565+(-2.30673--1.864815))+0-602.6--1.53662999999991</f>
        <v>2779.8931500000003</v>
      </c>
      <c r="Z115" s="3">
        <f>3237.7+(936.4-685.6)+(0+(0-0))+0-640.6-0</f>
        <v>2847.9</v>
      </c>
      <c r="AA115" s="3">
        <f>3286.6+(1005.6-946)+(-8.38083+(-2.56428--2.4123))+0-485.8--1.23878999999993</f>
        <v>2853.1059799999994</v>
      </c>
      <c r="AB115" s="3">
        <f>3306.1+(1078.5-977.4)+(-13.488888+(-4.40028--3.987792))+0-604.3--2.46554399999995</f>
        <v>2791.464168</v>
      </c>
      <c r="AC115" s="3">
        <f>3263.3+(1113.4-1027.1)+(-1.664283+(-0.567834--0.523821))+0-553.8--0.282437999999944</f>
        <v>2794.3741420000001</v>
      </c>
      <c r="AD115">
        <v>2841.2000000000003</v>
      </c>
      <c r="AE115" s="3">
        <f>3295+(1008.1-939.3)+(0+(0-0))+0-522.6-0</f>
        <v>2841.2000000000003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3201.1+(1101.2-1192.8)+(0+(0-0))+0-584.1-0</f>
        <v>2525.4</v>
      </c>
      <c r="G116" s="3">
        <f>3221.4+(1118.4-1215.2)+(1.642914+(0.570384-0.619752))+0-665.6-0.339455999999932</f>
        <v>2460.2540900000004</v>
      </c>
      <c r="H116" s="3">
        <f>3245.3+(1013.7-1206.5)+(-1.655103+(-0.516987--0.615315))+0-653.7--0.333386999999934</f>
        <v>2397.5766120000003</v>
      </c>
      <c r="I116" s="3">
        <f>3258.6+(934.3-1179.3)+(-1.661886+(-0.476493--0.601443))+0-625--0.318749999999937</f>
        <v>2387.3818139999998</v>
      </c>
      <c r="J116" s="3">
        <f>3265.7+(882.6-1150.1)+(-4.996521+(-1.350378--1.759653))+0-617.7--0.945081000000036</f>
        <v>2376.8578349999998</v>
      </c>
      <c r="K116" s="3">
        <f>3186.6+(825.2-1166.9)+(-8.12583+(-2.10426--2.975595))+0-508.3--1.29616499999993</f>
        <v>2330.6416699999991</v>
      </c>
      <c r="L116" s="3">
        <f>2834.5+(967.8-1037.4)+(-2.89119+(-0.987156--1.058148))+0-555.5--0.566610000000089</f>
        <v>2207.1464120000001</v>
      </c>
      <c r="M116" s="3">
        <f>2820.2+(930.6-846.3)+(1.438302+(0.474606-0.431613))+0-518.9-0.264638999999947</f>
        <v>2386.816656</v>
      </c>
      <c r="N116" s="3">
        <f>2993.9+(777.4-700.3)+(1.526889+(0.396474-0.357153))+0-545.4-0.278153999999945</f>
        <v>2526.8880559999998</v>
      </c>
      <c r="O116" s="3">
        <f>3176.9+(665.1-688)+(-3.240438+(-0.678402--0.70176))+0-553.1--0.564162000000088</f>
        <v>2598.2470820000003</v>
      </c>
      <c r="P116" s="3">
        <f>3217.4+(638.1-557.3)+(0+(0-0))+0-497.3-0</f>
        <v>2800.9</v>
      </c>
      <c r="Q116" s="3">
        <f>3327.1+(821.9-674.5)+(3.393642+(0.838338-0.68799))+0-528-0.538560000000084</f>
        <v>2949.5054300000002</v>
      </c>
      <c r="R116" s="3">
        <f>3669.1+(904.8-1176.6)+(0+(0-0))+0-424.6-0</f>
        <v>2972.7000000000003</v>
      </c>
      <c r="S116" s="3">
        <f>3727.4+(837-1424.3)+(-7.603896+(-1.70748--2.905572))+0-471.3--0.961451999999979</f>
        <v>2663.3556480000002</v>
      </c>
      <c r="T116" s="3">
        <f>3650.4+(1001.2-1413.1)+(-7.446816+(-2.042448--2.882724))+0-495.1--1.01000399999998</f>
        <v>2737.8034639999996</v>
      </c>
      <c r="U116" s="3">
        <f>3576.3+(1107.9-1332.6)+(-9.119565+(-2.825145--3.39813))+0-596.4--1.52081999999991</f>
        <v>2748.1742399999998</v>
      </c>
      <c r="V116" s="3">
        <f>3576.9+(963.6-1319.3)+(-7.296876+(-1.965744--2.691372))+0-482.6--0.984503999999979</f>
        <v>2733.0132560000002</v>
      </c>
      <c r="W116" s="3">
        <f>3378.4+(920.6-1118.5)+(-8.61492+(-2.34753--2.852175))+0-499.4--1.27346999999993</f>
        <v>2674.263195</v>
      </c>
      <c r="X116" s="3">
        <f>3107.5+(1022.1-927.4)+(-12.6786+(-4.170168--3.783792))+0-564.4--2.30275199999995</f>
        <v>2627.0377759999997</v>
      </c>
      <c r="Y116" s="3">
        <f>3076.4+(885.1-785.4)+(-9.413784+(-2.708406--2.403324))+0-472.2--1.44493200000005</f>
        <v>2695.6260660000003</v>
      </c>
      <c r="Z116" s="3">
        <f>3084+(954.9-696.9)+(-1.57284+(-0.486999--0.355419))+0-576.6--0.294065999999942</f>
        <v>2763.989646</v>
      </c>
      <c r="AA116" s="3">
        <f>3189.8+(822-647.1)+(-9.760788+(-2.51532--1.980126))+0-533.9--1.63373400000006</f>
        <v>2822.1377520000001</v>
      </c>
      <c r="AB116" s="3">
        <f>3196.2+(920.8-823.7)+(-6.520248+(-1.878432--1.680348))+0-628.9--1.28295599999997</f>
        <v>2658.9646239999997</v>
      </c>
      <c r="AC116" s="3">
        <f>3195.7+(935.4-934.3)+(1.629807+(0.477054-0.476493))+0-578.2-0.294881999999941</f>
        <v>2619.9354859999994</v>
      </c>
      <c r="AD116">
        <v>2704.7</v>
      </c>
      <c r="AE116" s="3">
        <f>3182+(864.2-733.9)+(0+(0-0))+0-607.6-0</f>
        <v>2704.7000000000003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3173.4+(1011.3-1033.4)+(1.618434+(0.515763-0.527034))+0-589.7-0.30074699999994</f>
        <v>2562.9064160000003</v>
      </c>
      <c r="G117" s="3">
        <f>3190.5+(1030-1143.1)+(-3.25431+(-1.0506--1.165962))+0-652.4--0.665448000000104</f>
        <v>2422.5265000000004</v>
      </c>
      <c r="H117" s="3">
        <f>3166.8+(1068.7-1181.4)+(-4.845204+(-1.635111--1.807542))+0-657--1.00521000000004</f>
        <v>2393.4324370000008</v>
      </c>
      <c r="I117" s="3">
        <f>3095.9+(1119.9-1288.1)+(-1.578909+(-0.571149--0.656931))+0-602.7--0.307376999999939</f>
        <v>2323.8142500000004</v>
      </c>
      <c r="J117" s="3">
        <f>3106.6+(1128.4-1328.7)+(1.584366+(0.575484-0.677637))+0-652.4-0.332723999999934</f>
        <v>2255.049489</v>
      </c>
      <c r="K117" s="3">
        <f>3119.4+(1125-1383.5)+(-11.136258+(-4.01625--4.939095))+0-614.7--2.19447900000001</f>
        <v>2238.1810660000006</v>
      </c>
      <c r="L117" s="3">
        <f>3055.8+(1008.4-1332.2)+(-4.675374+(-1.542852--2.038266))+0-635.8--0.972774000000037</f>
        <v>2092.9928140000002</v>
      </c>
      <c r="M117" s="3">
        <f>2923.5+(997.3-1218.7)+(-5.96394+(-2.034492--2.486148))+0-574.1--1.17116399999998</f>
        <v>2123.65888</v>
      </c>
      <c r="N117" s="3">
        <f>2961+(903.3-1199.3)+(-3.02022+(-0.921366--1.223286))+0-473.7--0.483174000000076</f>
        <v>2189.0648740000001</v>
      </c>
      <c r="O117" s="3">
        <f>3028.2+(857.3-1122)+(0+(0-0))+0-516.4-0</f>
        <v>2247.1</v>
      </c>
      <c r="P117" s="3">
        <f>3038.6+(873-1134.7)+(4.649058+(1.33569-1.736091))+0-430.7-0.658971000000025</f>
        <v>2349.7896860000001</v>
      </c>
      <c r="Q117" s="3">
        <f>3169.3+(751.9-1010.8)+(3.232686+(0.766938-1.031016))+0-515.1-0.525402000000082</f>
        <v>2397.7432060000001</v>
      </c>
      <c r="R117" s="3">
        <f>3404.9+(689.4-1049.7)+(-1.736499+(-0.351594--0.535347))+0-556.8--0.283967999999943</f>
        <v>2486.5312219999996</v>
      </c>
      <c r="S117" s="3">
        <f>3549.9+(836.9-1304.4)+(3.620898+(0.853638-1.330488))+0-642.1-0.654942000000102</f>
        <v>2442.7891060000002</v>
      </c>
      <c r="T117" s="3">
        <f>3410.3+(849.9-1217.9)+(0+(0-0))+0-602.2-0</f>
        <v>2440.1000000000004</v>
      </c>
      <c r="U117" s="3">
        <f>3390.8+(825.6-1267.5)+(-3.458616+(-0.842112--1.29285))+0-592.9--0.604758000000095</f>
        <v>2353.5968800000001</v>
      </c>
      <c r="V117" s="3">
        <f>3199.5+(786.2-1036.1)+(-6.52698+(-1.603848--2.113644))+0-538.8--1.09915199999998</f>
        <v>2405.8819680000006</v>
      </c>
      <c r="W117" s="3">
        <f>3032+(848.3-983.6)+(-1.54632+(-0.432633--0.501636))+0-548.8--0.279887999999944</f>
        <v>2346.7025709999998</v>
      </c>
      <c r="X117" s="3">
        <f>3004.8+(971.7-1134.4)+(-1.532448+(-0.495567--0.578544))+0-520.5--0.265454999999947</f>
        <v>2320.4159840000002</v>
      </c>
      <c r="Y117" s="3">
        <f>2983+(979.7-1002)+(-6.08532+(-1.998588--2.04408))+0-597.2--1.21828799999997</f>
        <v>2358.6784600000001</v>
      </c>
      <c r="Z117" s="3">
        <f>3097.2+(897.4-1026.2)+(-3.159144+(-0.915348--1.046724))+0-547--0.557940000000087</f>
        <v>2418.9301719999999</v>
      </c>
      <c r="AA117" s="3">
        <f>3533+(817.1-1228.6)+(-5.40549+(-1.250163--1.879758))+0-611.9--0.936207000000035</f>
        <v>2505.7603119999999</v>
      </c>
      <c r="AB117" s="3">
        <f>3488.2+(778.9-1204.7)+(-10.673892+(-2.383434--3.686382))+0-590.6--1.80723600000007</f>
        <v>2464.236292</v>
      </c>
      <c r="AC117" s="3">
        <f>3426.4+(795-1140.3)+(5.242392+(1.21635-1.744659))+0-546.7-0.836451000000032</f>
        <v>2538.2776320000003</v>
      </c>
      <c r="AD117">
        <v>2622</v>
      </c>
      <c r="AE117" s="3">
        <f>3595+(812.2-1155.6)+(0+(0-0))+0-629.6-0</f>
        <v>2622.0000000000005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3346.7+(849.3-1237.9)+(-3.413634+(-0.866286--1.262658))+0-538.7--0.549474000000086</f>
        <v>2416.9322119999993</v>
      </c>
      <c r="G118" s="3">
        <f>3211.2+(972.6-1265)+(-11.463984+(-3.472182--4.51605))+0-656--2.34192000000001</f>
        <v>2254.7218039999998</v>
      </c>
      <c r="H118" s="3">
        <f>3161.5+(995.1-1381.2)+(0+(0-0))+0-549.6-0</f>
        <v>2225.8000000000002</v>
      </c>
      <c r="I118" s="3">
        <f>3168.2+(1048.4-1369.1)+(-1.615782+(-0.534684--0.698241))+0-621--0.316709999999937</f>
        <v>2225.3644850000001</v>
      </c>
      <c r="J118" s="3">
        <f>3176.5+(997.2-1343)+(0+(0-0))+0-641.5-0</f>
        <v>2189.1999999999998</v>
      </c>
      <c r="K118" s="3">
        <f>3197.1+(916.1-1326.6)+(1.630521+(0.467211-0.676566))+0-619.5-0.315944999999937</f>
        <v>2168.2052210000002</v>
      </c>
      <c r="L118" s="3">
        <f>3095+(784.4-1300.2)+(-6.3138+(-1.600176--2.652408))+0-473.1--0.965123999999979</f>
        <v>2101.8035559999998</v>
      </c>
      <c r="M118" s="3">
        <f>3162.5+(718.2-1115.4)+(0+(0-0))+0-549.6-0</f>
        <v>2215.7000000000003</v>
      </c>
      <c r="N118" s="3">
        <f>3226.6+(797.6-1011.8)+(-1.645566+(-0.406776--0.516018))+0-553.1--0.282080999999944</f>
        <v>2458.0457569999999</v>
      </c>
      <c r="O118" s="3">
        <f>3291.5+(813-834.2)+(0+(0-0))+0-596.2-0</f>
        <v>2674.1000000000004</v>
      </c>
      <c r="P118" s="3">
        <f>3287.6+(740.5-718.7)+(0+(0-0))+0-554.6-0</f>
        <v>2754.7999999999997</v>
      </c>
      <c r="Q118" s="3">
        <f>3298.2+(638.1-609.7)+(1.682082+(0.325431-0.310947))+0-447.7-0.228326999999955</f>
        <v>2880.3682390000004</v>
      </c>
      <c r="R118" s="3">
        <f>3451.5+(633.1-771.9)+(0+(0-0))+0-441.1-0</f>
        <v>2871.6</v>
      </c>
      <c r="S118" s="3">
        <f>3628.6+(661.8-1127.3)+(0+(0-0))+0-489.7-0</f>
        <v>2673.4</v>
      </c>
      <c r="T118" s="3">
        <f>3720.3+(759.6-1224.6)+(-3.794706+(-0.774792--1.249092))+0-502.9--0.51295800000008</f>
        <v>2749.5925520000005</v>
      </c>
      <c r="U118" s="3">
        <f>3750.3+(744.9-1257)+(-3.825306+(-0.759798--1.28214))+0-475.8--0.485316000000076</f>
        <v>2759.5823520000004</v>
      </c>
      <c r="V118" s="3">
        <f>3730+(838.3-1208.9)+(0+(0-0))+0-611.5-0</f>
        <v>2747.8999999999996</v>
      </c>
      <c r="W118" s="3">
        <f>3666.3+(544.6-1031)+(-1.869813+(-0.277746--0.52581))+0-531.3--0.270962999999946</f>
        <v>2647.2492140000004</v>
      </c>
      <c r="X118" s="3">
        <f>3343.1+(768.7-1085.8)+(-3.409962+(-0.784074--1.107516))+0-483.6--0.493272000000077</f>
        <v>2539.8067520000004</v>
      </c>
      <c r="Y118" s="3">
        <f>3151.2+(809.1-980.3)+(-1.607112+(-0.412641--0.499953))+0-509.3--0.259742999999948</f>
        <v>2469.4399429999999</v>
      </c>
      <c r="Z118" s="3">
        <f>3180.8+(843.6-888.3)+(1.622208+(0.430236-0.453033))+0-588.6-0.30018599999994</f>
        <v>2548.7992250000007</v>
      </c>
      <c r="AA118" s="3">
        <f>3315.1+(855.9-1036.3)+(-10.144206+(-2.619054--3.171078))+0-629.7--1.92688200000007</f>
        <v>2497.3346999999999</v>
      </c>
      <c r="AB118" s="3">
        <f>3333.3+(935.4-1106.2)+(-5.099949+(-1.431162--1.692486))+0-639--0.977670000000037</f>
        <v>2519.6390450000004</v>
      </c>
      <c r="AC118" s="3">
        <f>3337.3+(1017.6-1126.5)+(-3.404046+(-1.037952--1.14903))+0-699--0.712980000000111</f>
        <v>2526.8200120000001</v>
      </c>
      <c r="AD118">
        <v>2453.3999999999996</v>
      </c>
      <c r="AE118" s="3">
        <f>3343+(873-1095.3)+(0+(0-0))+0-667.3-0</f>
        <v>2453.3999999999996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3274.9+(990.3-1212.2)+(-3.340398+(-1.010106--1.236444))+0-583.2--0.594864000000093</f>
        <v>2467.2808040000004</v>
      </c>
      <c r="G119" s="3">
        <f>3295.7+(881.7-1068.1)+(-6.723228+(-1.798668--2.178924))+0-750.2--1.53040799999997</f>
        <v>2354.2874360000001</v>
      </c>
      <c r="H119" s="3">
        <f>3335+(678.4-1035.4)+(-5.10255+(-1.037952--1.584162))+0-707.3--1.08216900000004</f>
        <v>2267.225829</v>
      </c>
      <c r="I119" s="3">
        <f>3346.9+(691.7-1123.8)+(-3.413838+(-0.705534--1.146276))+0-686.8--0.70053600000011</f>
        <v>2225.7274400000006</v>
      </c>
      <c r="J119" s="3">
        <f>3364.5+(800.3-1229.8)+(-8.579475+(-2.040765--3.13599))+0-722.8--1.84313999999989</f>
        <v>2206.5588900000002</v>
      </c>
      <c r="K119" s="3">
        <f>3357.9+(739.2-1284.3)+(-8.562645+(-1.88496--3.274965))+0-658.5--1.6791749999999</f>
        <v>2148.8065350000002</v>
      </c>
      <c r="L119" s="3">
        <f>3268.9+(739.8-1343.1)+(-10.002834+(-2.263788--4.109886))+0-581.3--1.77877800000007</f>
        <v>2077.9220420000001</v>
      </c>
      <c r="M119" s="3">
        <f>3177.8+(639-1263.4)+(-1.620678+(-0.32589--0.644334))+0-461.3--0.235262999999953</f>
        <v>2091.0330289999997</v>
      </c>
      <c r="N119" s="3">
        <f>3179.6+(659.1-1016.3)+(-1.621596+(-0.336141--0.518313))+0-672.9--0.343178999999932</f>
        <v>2148.4037549999998</v>
      </c>
      <c r="O119" s="3">
        <f>3301.5+(600.4-1058.4)+(-1.683765+(-0.306204--0.539784))+0-584.2--0.297941999999941</f>
        <v>2258.1477569999997</v>
      </c>
      <c r="P119" s="3">
        <f>3318.9+(598.3-968.5)+(0+(0-0))+0-614-0</f>
        <v>2334.6999999999998</v>
      </c>
      <c r="Q119" s="3">
        <f>3402.5+(604.3-994.1)+(-1.735275+(-0.308193--0.506991))+0-649.5--0.331244999999934</f>
        <v>2361.9947679999996</v>
      </c>
      <c r="R119" s="3">
        <f>3587+(532.5-1030.5)+(-5.48811+(-0.814725--1.576665))+0-638.6--0.977058000000037</f>
        <v>2446.6508880000001</v>
      </c>
      <c r="S119" s="3">
        <f>3713.1+(475.5-1128.8)+(-3.787362+(-0.48501--1.151376))+0-662.4--0.675648000000106</f>
        <v>2394.9546519999999</v>
      </c>
      <c r="T119" s="3">
        <f>3683+(448.3-1093.6)+(-3.75666+(-0.457266--1.115472))+0-626.8--0.6393360000001</f>
        <v>2408.4408819999999</v>
      </c>
      <c r="U119" s="3">
        <f>3660.3+(456.6-1128.3)+(-1.866753+(-0.232866--0.575433))+0-600.3--0.306152999999939</f>
        <v>2387.0819670000005</v>
      </c>
      <c r="V119" s="3">
        <f>3708.1+(416.1-1148)+(-7.564524+(-0.848844--2.34192))+0-645.2--1.31620799999997</f>
        <v>2326.2447599999996</v>
      </c>
      <c r="W119" s="3">
        <f>3468.3+(513.8-1032.2)+(-10.612998+(-1.572228--3.158532))+0-626.5--1.91709000000007</f>
        <v>2316.2903959999999</v>
      </c>
      <c r="X119" s="3">
        <f>3200+(771.9-970.3)+(-6.528+(-1.574676--1.979412))+0-697.9--1.42371599999997</f>
        <v>2299.0004519999998</v>
      </c>
      <c r="Y119" s="3">
        <f>3157.8+(722.6-1009.9)+(-1.610478+(-0.368526--0.515049))+0-554.3--0.282692999999944</f>
        <v>2315.0187379999998</v>
      </c>
      <c r="Z119" s="3">
        <f>3208.5+(830.3-909.2)+(-1.636335+(-0.423453--0.463692))+0-632.2--0.322421999999936</f>
        <v>2496.1263259999992</v>
      </c>
      <c r="AA119" s="3">
        <f>3379.1+(646.5-704.7)+(-6.893364+(-1.31886--1.437588))+0-686.9--1.40127599999997</f>
        <v>2628.6266399999995</v>
      </c>
      <c r="AB119" s="3">
        <f>3384.4+(753.5-983)+(-6.904176+(-1.53714--2.00532))+0-570.2--1.16320799999998</f>
        <v>2579.4272119999996</v>
      </c>
      <c r="AC119" s="3">
        <f>3306.7+(913.3-1012.2)+(-5.059251+(-1.397349--1.548666))+0-703.1--1.07574300000004</f>
        <v>2500.8678089999999</v>
      </c>
      <c r="AD119">
        <v>2682.7</v>
      </c>
      <c r="AE119" s="3">
        <f>3363+(728.1-622.9)+(0+(0-0))+0-785.5-0</f>
        <v>2682.7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3313.6+(1038.2-1473.5)+(-8.44968+(-2.64741--3.757425))+0-555.1--1.41550499999992</f>
        <v>2317.2758400000002</v>
      </c>
      <c r="G120" s="3">
        <f>3336.5+(1109.8-1410.4)+(-11.911305+(-3.961986--5.035128))+0-759.3--2.71070100000001</f>
        <v>2268.472538</v>
      </c>
      <c r="H120" s="3">
        <f>3269.3+(1123.8-1398.8)+(0+(0-0))+0-668.5-0</f>
        <v>2325.8000000000002</v>
      </c>
      <c r="I120" s="3">
        <f>3121.7+(1168.9-1409.6)+(-14.328603+(-5.365251--6.470064))+0-616.7--2.83065300000011</f>
        <v>2253.9068630000002</v>
      </c>
      <c r="J120" s="3">
        <f>2934+(1183.4-1265.6)+(-2.99268+(-1.207068--1.290912))+0-630.2--0.642804000000101</f>
        <v>2219.3339679999999</v>
      </c>
      <c r="K120" s="3">
        <f>2936.1+(1176-1265.7)+(-13.476699+(-5.39784--5.809563))+0-595.1--2.7315090000001</f>
        <v>2240.9665329999998</v>
      </c>
      <c r="L120" s="3">
        <f>2620+(1289.9-1054.2)+(-10.6896+(-5.262792--4.301136))+0-663.7--2.70789599999994</f>
        <v>2183.0566399999998</v>
      </c>
      <c r="M120" s="3">
        <f>2739.4+(1213.4-966.8)+(1.397094+(0.618834-0.493068))+0-558-0.284579999999943</f>
        <v>2429.23828</v>
      </c>
      <c r="N120" s="3">
        <f>2883.2+(1099.3-838.8)+(0+(0-0))+0-520-0</f>
        <v>2623.7</v>
      </c>
      <c r="O120" s="3">
        <f>2956.7+(1074.7-759.5)+(0+(0-0))+0-568-0</f>
        <v>2703.8999999999996</v>
      </c>
      <c r="P120" s="3">
        <f>3101.3+(935-718.4)+(1.581663+(0.47685-0.366384))+0-577.5-0.294524999999941</f>
        <v>2741.7976040000003</v>
      </c>
      <c r="Q120" s="3">
        <f>3196.8+(853.1-566.1)+(1.630368+(0.435081-0.288711))+0-515.5-0.262904999999948</f>
        <v>2969.8138330000002</v>
      </c>
      <c r="R120" s="3">
        <f>3330.5+(957.5-735.8)+(0+(0-0))+0-573.9-0</f>
        <v>2978.2999999999997</v>
      </c>
      <c r="S120" s="3">
        <f>3446.9+(853-990.5)+(-1.757919+(-0.43503--0.505155))+0-597.8--0.304877999999939</f>
        <v>2710.2170839999999</v>
      </c>
      <c r="T120" s="3">
        <f>3682.4+(915.7-1177.8)+(-1.878024+(-0.467007--0.600678))+0-604.4--0.308243999999939</f>
        <v>2814.4638909999999</v>
      </c>
      <c r="U120" s="3">
        <f>3600.5+(858.4-1120.4)+(-3.67251+(-0.875568--1.142808))+0-611.8--0.624036000000098</f>
        <v>2723.9187659999998</v>
      </c>
      <c r="V120" s="3">
        <f>3500.6+(861.8-1015.7)+(1.785306+(0.439518-0.518007))+0-600-0.305999999999939</f>
        <v>2748.1008169999996</v>
      </c>
      <c r="W120" s="3">
        <f>3034.1+(949-507)+(-1.547391+(-0.48399--0.25857))+0-622.8--0.317627999999937</f>
        <v>2851.8448170000001</v>
      </c>
      <c r="X120" s="3">
        <f>2990.9+(996.6-666)+(-7.626795+(-2.54133--1.6983))+0-598.4--1.52591999999991</f>
        <v>2716.1560949999998</v>
      </c>
      <c r="Y120" s="3">
        <f>2878.2+(1029-712.5)+(-7.33941+(-2.62395--1.816875))+0-467.3--1.19161499999993</f>
        <v>2720.4451299999992</v>
      </c>
      <c r="Z120" s="3">
        <f>3141.4+(948.5-826.9)+(3.204228+(0.96747-0.843438))+0-487.7-0.497454000000078</f>
        <v>2778.1308060000001</v>
      </c>
      <c r="AA120" s="3">
        <f>3302.7+(831.9-771.2)+(-3.368754+(-0.848538--0.786624))+0-592--0.603840000000094</f>
        <v>2768.5731719999999</v>
      </c>
      <c r="AB120" s="3">
        <f>3316.3+(908.2-885.9)+(-1.691313+(-0.463182--0.451809))+0-600.7--0.306356999999939</f>
        <v>2736.5036709999999</v>
      </c>
      <c r="AC120" s="3">
        <f>3315.7+(970.4-1001.7)+(0+(0-0))+0-552.3-0</f>
        <v>2732.0999999999995</v>
      </c>
      <c r="AD120">
        <v>2848.6000000000004</v>
      </c>
      <c r="AE120" s="3">
        <f>3320+(836.6-683.6)+(0+(0-0))+0-624.4-0</f>
        <v>2848.6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3329.6+(917.3-1051)+(-10.188576+(-2.806938--3.21606))+0-592.4--1.81274400000007</f>
        <v>2595.5332899999999</v>
      </c>
      <c r="G121" s="3">
        <f>3286.7+(869.6-1085.8)+(-1.676217+(-0.443496--0.553758))+0-563.6--0.287435999999943</f>
        <v>2505.6214810000001</v>
      </c>
      <c r="H121" s="3">
        <f>3218.7+(852.9-1165.7)+(-3.283074+(-0.869958--1.189014))+0-520.2--0.530604000000083</f>
        <v>2383.2665859999993</v>
      </c>
      <c r="I121" s="3">
        <f>3237+(945.8-1267.9)+(-4.95261+(-1.447074--1.939887))+0-643.8--0.985014000000037</f>
        <v>2267.6252169999998</v>
      </c>
      <c r="J121" s="3">
        <f>3252.3+(932.2-1354.7)+(-8.293365+(-2.37711--3.454485))+0-531.5--1.35532499999992</f>
        <v>2292.439335</v>
      </c>
      <c r="K121" s="3">
        <f>3260.6+(964.4-1193.8)+(-6.651624+(-1.967376--2.435352))+0-699.9--1.42779599999997</f>
        <v>2326.5441479999995</v>
      </c>
      <c r="L121" s="3">
        <f>3042.9+(992.4-1125.9)+(-4.655637+(-1.518372--1.722627))+0-685--1.04805000000004</f>
        <v>2220.9966679999998</v>
      </c>
      <c r="M121" s="3">
        <f>2881.4+(952.3-1010.1)+(-1.469514+(-0.485673--0.515151))+0-442.3--0.225572999999955</f>
        <v>2380.0855369999999</v>
      </c>
      <c r="N121" s="3">
        <f>3073.3+(909-820.7)+(3.134766+(0.92718-0.837114))+0-563.4-0.57466800000009</f>
        <v>2600.8501639999999</v>
      </c>
      <c r="O121" s="3">
        <f>3271.3+(767.7-913.7)+(0+(0-0))+0-382.2-0</f>
        <v>2743.1000000000004</v>
      </c>
      <c r="P121" s="3">
        <f>3293.5+(787.5-742.7)+(3.35937+(0.80325-0.757554))+0-543.7-0.554574000000087</f>
        <v>2797.4504919999995</v>
      </c>
      <c r="Q121" s="3">
        <f>3453.3+(612.5-639.5)+(3.522366+(0.62475-0.65229))+0-461.7-0.470934000000074</f>
        <v>2967.6238920000005</v>
      </c>
      <c r="R121" s="3">
        <f>3677.2+(763.8-859.1)+(0+(0-0))+0-577.6-0</f>
        <v>3004.2999999999997</v>
      </c>
      <c r="S121" s="3">
        <f>3758.4+(662.2-1065.1)+(-3.833568+(-0.675444--1.086402))+0-548.1--0.559062000000087</f>
        <v>2804.5364520000003</v>
      </c>
      <c r="T121" s="3">
        <f>3759.6+(725.6-1041.3)+(1.917396+(0.370056-0.531063))+0-558.1-0.284630999999943</f>
        <v>2887.2717580000003</v>
      </c>
      <c r="U121" s="3">
        <f>3755.6+(701.1-1011.8)+(-5.746068+(-1.072683--1.548054))+0-520.6--0.79651800000003</f>
        <v>2919.8258210000004</v>
      </c>
      <c r="V121" s="3">
        <f>3738.2+(704.3-986.1)+(-7.625928+(-1.436772--2.011644))+0-581.5--1.18625999999997</f>
        <v>2869.0352039999998</v>
      </c>
      <c r="W121" s="3">
        <f>3685.8+(530.8-940.4)+(0+(0-0))+0-577.4-0</f>
        <v>2698.8</v>
      </c>
      <c r="X121" s="3">
        <f>3397.1+(901.3-1000.3)+(-3.465042+(-0.919326--1.020306))+0-606.6--0.618732000000097</f>
        <v>2688.7546699999998</v>
      </c>
      <c r="Y121" s="3">
        <f>3272.8+(915.1-984.5)+(-5.007384+(-1.400103--1.506285))+0-445.7--0.681921000000026</f>
        <v>2753.4807190000001</v>
      </c>
      <c r="Z121" s="3">
        <f>3349.6+(879.7-910.7)+(0+(0-0))+0-549.1-0</f>
        <v>2769.5</v>
      </c>
      <c r="AA121" s="3">
        <f>3561.7+(756.8-1019)+(0+(0-0))+0-538.5-0</f>
        <v>2761</v>
      </c>
      <c r="AB121" s="3">
        <f>3572.8+(839.9-1066.1)+(-7.288512+(-1.713396--2.174844))+0-608.6--1.24154399999997</f>
        <v>2732.4144800000004</v>
      </c>
      <c r="AC121" s="3">
        <f>3535+(1003.1-1174.1)+(0+(0-0))+0-670.1-0</f>
        <v>2693.9</v>
      </c>
      <c r="AD121">
        <v>2731.3999999999996</v>
      </c>
      <c r="AE121" s="3">
        <f>3561+(774.4-1059.1)+(0+(0-0))+0-544.9-0</f>
        <v>2731.4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3397.1+(1039.9-1185.1)+(-5.197563+(-1.591047--1.813203))+0-643.8--0.985014000000037</f>
        <v>2604.1096070000003</v>
      </c>
      <c r="G122" s="3">
        <f>3324.5+(1013.7-1179)+(-3.39099+(-1.033974--1.20258))+0-623--0.635460000000099</f>
        <v>2533.6130759999996</v>
      </c>
      <c r="H122" s="3">
        <f>3267.5+(1041.3-1296.9)+(-6.6657+(-2.124252--2.645676))+0-612--1.24847999999997</f>
        <v>2395.0042039999994</v>
      </c>
      <c r="I122" s="3">
        <f>3233.8+(1050.2-1267.9)+(-4.947714+(-1.606806--1.939887))+0-684.6--1.04743800000004</f>
        <v>2327.9328050000004</v>
      </c>
      <c r="J122" s="3">
        <f>3233.5+(987.4-1322.7)+(-6.59634+(-2.014296--2.698308))+0-567.8--1.15831199999998</f>
        <v>2325.6459840000002</v>
      </c>
      <c r="K122" s="3">
        <f>3089.7+(1046.9-1319.2)+(-6.302988+(-2.135676--2.691168))+0-551.8--1.12567199999998</f>
        <v>2260.9781759999996</v>
      </c>
      <c r="L122" s="3">
        <f>2951.9+(957.9-1207.2)+(-10.538283+(-3.419703--4.309704))+0-469.5--1.67611500000001</f>
        <v>2225.127833</v>
      </c>
      <c r="M122" s="3">
        <f>2785.6+(886.3-865.9)+(0+(0-0))+0-359-0</f>
        <v>2447</v>
      </c>
      <c r="N122" s="3">
        <f>2919.6+(888.3-647.3)+(0+(0-0))+0-523.2-0</f>
        <v>2637.3999999999996</v>
      </c>
      <c r="O122" s="3">
        <f>3147.1+(809.3-802.1)+(0+(0-0))+0-441.3-0</f>
        <v>2712.9999999999995</v>
      </c>
      <c r="P122" s="3">
        <f>3205.7+(688.1-733.4)+(3.269814+(0.701862-0.748068))+0-324.2-0.330684000000052</f>
        <v>2839.0929239999996</v>
      </c>
      <c r="Q122" s="3">
        <f>3283.1+(638.4-501.3)+(1.674381+(0.325584-0.255663))+0-526.9-0.268718999999947</f>
        <v>2894.7755829999996</v>
      </c>
      <c r="R122" s="3">
        <f>3421.1+(710.5-576.8)+(3.489522+(0.72471-0.588336))+0-567.5-0.57885000000009</f>
        <v>2990.3470460000003</v>
      </c>
      <c r="S122" s="3">
        <f>3734+(527.5-915.5)+(-1.90434+(-0.269025--0.466905))+0-527.1--0.268820999999947</f>
        <v>2817.4623610000003</v>
      </c>
      <c r="T122" s="3">
        <f>3873.4+(590.8-995.2)+(1.975434+(0.301308-0.507552))+0-552.1-0.281570999999944</f>
        <v>2918.3876190000001</v>
      </c>
      <c r="U122" s="3">
        <f>3870.4+(536-1051)+(-9.86952+(-1.3668--2.68005))+0-486.2--1.23980999999993</f>
        <v>2861.8835400000003</v>
      </c>
      <c r="V122" s="3">
        <f>3720.2+(612.5-947.5)+(-7.589208+(-1.2495--1.9329))+0-569.3--1.16137199999997</f>
        <v>2810.1555640000001</v>
      </c>
      <c r="W122" s="3">
        <f>3605.4+(682.9-973.8)+(-14.710032+(-2.786232--3.973104))+0-492.2--2.00817599999996</f>
        <v>2810.7850159999998</v>
      </c>
      <c r="X122" s="3">
        <f>3384.8+(807.5-889.6)+(-12.083736+(-2.882775--3.175872))+0-550.5--1.96528500000001</f>
        <v>2742.3746460000007</v>
      </c>
      <c r="Y122" s="3">
        <f>3238.1+(731.4-794.2)+(-3.302862+(-0.746028--0.810084))+0-494.1--0.503982000000079</f>
        <v>2678.4651760000002</v>
      </c>
      <c r="Z122" s="3">
        <f>3388.5+(662.9-729.9)+(-1.728135+(-0.338079--0.372249))+0-603.8--0.307937999999939</f>
        <v>2716.3139730000003</v>
      </c>
      <c r="AA122" s="3">
        <f>3540.9+(548.9-999.6)+(-7.223436+(-1.119756--2.039184))+0-317.4--0.647495999999986</f>
        <v>2767.1434879999997</v>
      </c>
      <c r="AB122" s="3">
        <f>3533.6+(628.2-1277.4)+(-9.01068+(-1.60191--3.25737))+0-226.1--0.576554999999967</f>
        <v>2651.5213349999999</v>
      </c>
      <c r="AC122" s="3">
        <f>3564.2+(726.5-1274.4)+(1.817742+(0.370515-0.649944))+0-284.3-0.144992999999971</f>
        <v>2733.3933199999997</v>
      </c>
      <c r="AD122">
        <v>2799.8</v>
      </c>
      <c r="AE122" s="3">
        <f>3552+(559.1-993.8)+(0+(0-0))+0-317.5-0</f>
        <v>2799.8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3354.7+(905-1192.5)+(-1.710897+(-0.46155--0.608175))+0-468.7--0.239036999999952</f>
        <v>2597.1747649999998</v>
      </c>
      <c r="G123" s="3">
        <f>3263.1+(978.5-1238.2)+(-3.328362+(-0.99807--1.262964))+0-546.2--0.557124000000087</f>
        <v>2454.6936559999995</v>
      </c>
      <c r="H123" s="3">
        <f>3258.8+(1084.7-1443)+(-1.661988+(-0.553197--0.73593))+0-550.6--0.280805999999944</f>
        <v>2348.7015509999997</v>
      </c>
      <c r="I123" s="3">
        <f>3278+(1091.8-1380.3)+(-10.03068+(-3.340908--4.223718))+0-601.9--1.84181400000007</f>
        <v>2380.293944</v>
      </c>
      <c r="J123" s="3">
        <f>3288.7+(1019.6-1439.1)+(-8.386185+(-2.59998--3.669705))+0-461.9--1.17784499999993</f>
        <v>2401.1613849999994</v>
      </c>
      <c r="K123" s="3">
        <f>3310.4+(879.8-1559.6)+(-11.818128+(-3.140886--5.567772))+0-302--1.07814</f>
        <v>2320.2868980000003</v>
      </c>
      <c r="L123" s="3">
        <f>3069.9+(1013.9-1292.5)+(-10.959543+(-3.619623--4.614225))+0-413--1.47441000000001</f>
        <v>2369.8094689999998</v>
      </c>
      <c r="M123" s="3">
        <f>2931.6+(1004.9-1141.2)+(-1.495116+(-0.512499--0.582012))+0-431.2--0.219911999999956</f>
        <v>2362.8943089999998</v>
      </c>
      <c r="N123" s="3">
        <f>3042.8+(919.8-1010.2)+(3.103656+(0.938196-1.030404))+0-395.7-0.403614000000063</f>
        <v>2559.3078340000002</v>
      </c>
      <c r="O123" s="3">
        <f>3257.1+(829.3-862.7)+(3.322242+(0.845886-0.879954))+0-485.9-0.495618000000077</f>
        <v>2740.5925559999996</v>
      </c>
      <c r="P123" s="3">
        <f>3326.4+(757.7-663.8)+(3.392928+(0.772854-0.677076))+0-562.9-0.57415800000009</f>
        <v>2860.3145480000003</v>
      </c>
      <c r="Q123" s="3">
        <f>3527.7+(570.5-486.4)+(0+(0-0))+0-568.4-0</f>
        <v>3043.3999999999996</v>
      </c>
      <c r="R123" s="3">
        <f>3485.6+(758.6-580.1)+(-5.332968+(-1.160658--0.887553))+0-592.7--0.906831000000034</f>
        <v>3066.700758</v>
      </c>
      <c r="S123" s="3">
        <f>3378.4+(528.7-615.5)+(-8.61492+(-1.348185--1.569525))+0-590.1--1.50475499999991</f>
        <v>2694.6111750000005</v>
      </c>
      <c r="T123" s="3">
        <f>3407.2+(596.8-740.9)+(0+(0-0))+0-615.7-0</f>
        <v>2647.3999999999996</v>
      </c>
      <c r="U123" s="3">
        <f>3469.3+(643.3-872.8)+(-7.077372+(-1.312332--1.780512))+0-570.3--1.16341199999998</f>
        <v>2664.05422</v>
      </c>
      <c r="V123" s="3">
        <f>3699.2+(538.3-1180.7)+(-3.773184+(-0.549066--1.204314))+0-523.8--0.534276000000083</f>
        <v>2530.4163399999993</v>
      </c>
      <c r="W123" s="3">
        <f>3754.7+(837.2-1555.2)+(-5.744691+(-1.280916--2.379456))+0-499.4--0.764082000000029</f>
        <v>2533.417931</v>
      </c>
      <c r="X123" s="3">
        <f>3325.2+(995-1237.4)+(-8.47926+(-2.53725--3.15537))+0-550.3--1.40326499999992</f>
        <v>2526.0421249999999</v>
      </c>
      <c r="Y123" s="3">
        <f>3146.8+(961.9-1017.7)+(-3.209736+(-0.981138--1.038054))+0-570.7--0.582114000000091</f>
        <v>2517.7292940000002</v>
      </c>
      <c r="Z123" s="3">
        <f>3262.4+(851.3-942.9)+(0+(0-0))+0-527.9-0</f>
        <v>2642.9</v>
      </c>
      <c r="AA123" s="3">
        <f>3447.4+(1007-1183.6)+(-8.79087+(-2.56785--3.01818))+0-574.7--1.46548499999992</f>
        <v>2689.2249449999999</v>
      </c>
      <c r="AB123" s="3">
        <f>3505.9+(947.6-1222.7)+(-1.788009+(-0.483276--0.623577))+0-521.1--0.265760999999947</f>
        <v>2708.3180530000004</v>
      </c>
      <c r="AC123" s="3">
        <f>3508.2+(966.6-1277.5)+(-1.789182+(-0.492966--0.651525))+0-580.3--0.295952999999941</f>
        <v>2615.6653299999998</v>
      </c>
      <c r="AD123">
        <v>2712.4000000000005</v>
      </c>
      <c r="AE123" s="3">
        <f>3438+(1031.3-1233.2)+(0+(0-0))+0-523.7-0</f>
        <v>2712.3999999999996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3429.3+(989.2-1321.3)+(-1.748943+(-0.504492--0.673863))+0-627.9--0.320228999999936</f>
        <v>2468.040657</v>
      </c>
      <c r="G124" s="3">
        <f>3354.2+(874.1-1211.4)+(3.421284+(0.891582-1.235628))+0-591.3-0.603126000000094</f>
        <v>2428.0741119999993</v>
      </c>
      <c r="H124" s="3">
        <f>3217.1+(831.6-1143.4)+(3.281442+(0.848232-1.166268))+0-520.3-0.530706000000083</f>
        <v>2387.4326999999998</v>
      </c>
      <c r="I124" s="3">
        <f>3227.2+(808.8-1236.7)+(1.645872+(0.412488-0.630717))+0-545.1-0.278000999999945</f>
        <v>2255.3496419999997</v>
      </c>
      <c r="J124" s="3">
        <f>3239.9+(857.7-1348.7)+(4.957047+(1.312281-2.063511))+0-620.2-0.948906000000036</f>
        <v>2131.9569109999998</v>
      </c>
      <c r="K124" s="3">
        <f>3218.5+(941-1430.1)+(-3.28287+(-0.95982--1.458702))+0-603.1--0.615162000000096</f>
        <v>2124.1311740000001</v>
      </c>
      <c r="L124" s="3">
        <f>3080.4+(938.9-1285.7)+(3.142008+(0.957678-1.311414))+0-645-0.657900000000103</f>
        <v>2090.7303719999995</v>
      </c>
      <c r="M124" s="3">
        <f>3065.1+(785.5-1267.4)+(-1.563201+(-0.400605--0.646374))+0-519.1--0.264740999999947</f>
        <v>2063.047309</v>
      </c>
      <c r="N124" s="3">
        <f>3040.6+(724-1071.7)+(4.652118+(1.10772-1.639701))+0-553.2-0.846396000000032</f>
        <v>2142.9737409999998</v>
      </c>
      <c r="O124" s="3">
        <f>3090.7+(699.4-1046.9)+(1.576257+(0.356694-0.533919))+0-541.9-0.276368999999945</f>
        <v>2202.4226629999994</v>
      </c>
      <c r="P124" s="3">
        <f>3137.9+(715.9-1059.9)+(4.800987+(1.095327-1.621647))+0-565-0.864450000000033</f>
        <v>2232.3102170000002</v>
      </c>
      <c r="Q124" s="3">
        <f>3211.9+(629.9-890.3)+(3.276138+(0.642498-0.908106))+0-575.1-0.586602000000092</f>
        <v>2378.8239279999998</v>
      </c>
      <c r="R124" s="3">
        <f>3266.4+(612.8-1004)+(-1.665864+(-0.312528--0.51204))+0-524.7--0.267596999999947</f>
        <v>2349.3012449999997</v>
      </c>
      <c r="S124" s="3">
        <f>3519.6+(568.2-1174.8)+(-1.794996+(-0.289782--0.599148))+0-545--0.277949999999945</f>
        <v>2366.79232</v>
      </c>
      <c r="T124" s="3">
        <f>3612.5+(552.2-1218.6)+(-5.527125+(-0.844866--1.864458))+0-534.1--0.817173000000031</f>
        <v>2408.3096400000004</v>
      </c>
      <c r="U124" s="3">
        <f>3582.7+(592.2-1242.9)+(1.827177+(0.302022-0.633879))+0-563.5-0.287384999999943</f>
        <v>2369.7079349999999</v>
      </c>
      <c r="V124" s="3">
        <f>3594.4+(563.5-1349.3)+(-1.833144+(-0.287385--0.688143))+0-466.2--0.237761999999953</f>
        <v>2341.2053760000003</v>
      </c>
      <c r="W124" s="3">
        <f>3595.5+(688.7-1390.1)+(-9.168525+(-1.756185--3.544755))+0-537.4--1.37036999999992</f>
        <v>2350.6904150000005</v>
      </c>
      <c r="X124" s="3">
        <f>3237.2+(807.8-1310)+(-4.952916+(-1.235934--2.0043))+0-452.2--0.691866000000026</f>
        <v>2279.3073160000004</v>
      </c>
      <c r="Y124" s="3">
        <f>3108.5+(625.3-1170)+(-11.097345+(-2.232321--4.1769))+0-325.7--1.162749</f>
        <v>2230.1099830000003</v>
      </c>
      <c r="Z124" s="3">
        <f>3243+(599-961.7)+(4.96179+(0.91647-1.471401))+0-452.2-0.691866000000026</f>
        <v>2431.8149930000004</v>
      </c>
      <c r="AA124" s="3">
        <f>3526.2+(291.4-701.6)+(-5.395086+(-0.445842--1.073448))+0-614.8--0.940644000000035</f>
        <v>2497.3731640000005</v>
      </c>
      <c r="AB124" s="3">
        <f>3423.6+(359.8-735.5)+(-3.492072+(-0.366996--0.75021))+0-547.2--0.558144000000087</f>
        <v>2498.1492860000003</v>
      </c>
      <c r="AC124" s="3">
        <f>3540.5+(413-825.4)+(1.805655+(0.21063-0.420954))+0-644.6-0.328745999999935</f>
        <v>2484.7665849999998</v>
      </c>
      <c r="AD124">
        <v>2480.5</v>
      </c>
      <c r="AE124" s="3">
        <f>3566+(289.4-672.2)+(0+(0-0))+0-702.7-0</f>
        <v>2480.5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3450.1+(538.1-1016.3)+(-3.519102+(-0.548862--1.036626))+0-576.2--0.587724000000092</f>
        <v>2393.256386</v>
      </c>
      <c r="G125" s="3">
        <f>3401.3+(738-1207.5)+(-3.469326+(-0.75276--1.23165))+0-642.3--0.655146000000102</f>
        <v>2287.16471</v>
      </c>
      <c r="H125" s="3">
        <f>3307.3+(892.9-1410.3)+(-5.060169+(-1.366137--2.157759))+0-574.9--0.879597000000033</f>
        <v>2211.61105</v>
      </c>
      <c r="I125" s="3">
        <f>3297.8+(831.9-1380.4)+(-5.045634+(-1.272807--2.112012))+0-585.2--0.895356000000034</f>
        <v>2160.7889270000005</v>
      </c>
      <c r="J125" s="3">
        <f>3233.4+(846.8-1371.9)+(-6.596136+(-1.727472--2.798676))+0-575.3--1.17361199999997</f>
        <v>2128.6486800000007</v>
      </c>
      <c r="K125" s="3">
        <f>3102.4+(944-1336.5)+(-6.328896+(-1.92576--2.72646))+0-584.5--1.19237999999997</f>
        <v>2121.0641839999998</v>
      </c>
      <c r="L125" s="3">
        <f>2929.5+(836.4-1141.5)+(-1.494045+(-0.426564--0.582165))+0-547.2--0.279071999999945</f>
        <v>2076.1406279999997</v>
      </c>
      <c r="M125" s="3">
        <f>2922.8+(680.8-913.1)+(0+(0-0))+0-495.2-0</f>
        <v>2195.3000000000002</v>
      </c>
      <c r="N125" s="3">
        <f>3205.3+(617-789.9)+(3.269406+(0.62934-0.805698))+0-521.5-0.531930000000083</f>
        <v>2513.4611180000002</v>
      </c>
      <c r="O125" s="3">
        <f>3435.7+(505.7-905.5)+(-1.752207+(-0.257907--0.461805))+0-350.5--0.178754999999964</f>
        <v>2684.0304459999998</v>
      </c>
      <c r="P125" s="3">
        <f>3402.6+(428.6-561.8)+(-1.735326+(-0.218586--0.286518))+0-461.4--0.235313999999953</f>
        <v>2806.56792</v>
      </c>
      <c r="Q125" s="3">
        <f>3446+(326.7-281.8)+(5.27238+(0.499851-0.431154))+0-579.4-0.886482000000033</f>
        <v>2915.9545950000002</v>
      </c>
      <c r="R125" s="3">
        <f>3713.5+(487.4-675.3)+(1.893885+(0.248574-0.344403))+0-614.5-0.313394999999938</f>
        <v>2912.5846609999999</v>
      </c>
      <c r="S125" s="3">
        <f>3771.2+(450.9-920.3)+(0+(0-0))+0-542-0</f>
        <v>2759.7999999999997</v>
      </c>
      <c r="T125" s="3">
        <f>3867.2+(552.9-949)+(-3.944544+(-0.563958--0.96798))+0-551.4--0.562428000000088</f>
        <v>2916.7219060000002</v>
      </c>
      <c r="U125" s="3">
        <f>3865.1+(460.4-940.9)+(-5.913603+(-0.704412--1.439577))+0-550.9--0.842877000000032</f>
        <v>2829.3644389999999</v>
      </c>
      <c r="V125" s="3">
        <f>3819.3+(357.8-861.4)+(-7.791372+(-0.729912--1.757256))+0-519.3--1.05937199999998</f>
        <v>2790.6953440000002</v>
      </c>
      <c r="W125" s="3">
        <f>3369.7+(469.5-647.7)+(-5.155641+(-0.718335--0.990981))+0-435.1--0.665703000000025</f>
        <v>2752.1827080000003</v>
      </c>
      <c r="X125" s="3">
        <f>3377.1+(697.7-933.6)+(-10.333926+(-2.134962--2.856816))+0-455.5--1.39383000000005</f>
        <v>2677.4817579999999</v>
      </c>
      <c r="Y125" s="3">
        <f>3365.8+(621.1-897.4)+(-1.716558+(-0.316761--0.457674))+0-482.1--0.245870999999951</f>
        <v>2606.0702260000003</v>
      </c>
      <c r="Z125" s="3">
        <f>3433.1+(467.1-690.7)+(-3.501762+(-0.476442--0.704514))+0-521.4--0.531828000000083</f>
        <v>2685.3581380000001</v>
      </c>
      <c r="AA125" s="3">
        <f>3559+(517.4-821.7)+(0+(0-0))+0-551.8-0</f>
        <v>2702.8999999999996</v>
      </c>
      <c r="AB125" s="3">
        <f>3566.1+(568.6-990.7)+(-5.456133+(-0.869958--1.515771))+0-466.5--0.713745000000027</f>
        <v>2673.403425</v>
      </c>
      <c r="AC125" s="3">
        <f>3633.8+(698-1114.6)+(0+(0-0))+0-542.1-0</f>
        <v>2675.1000000000004</v>
      </c>
      <c r="AD125">
        <v>2702.6000000000004</v>
      </c>
      <c r="AE125" s="3">
        <f>3546+(552-838.7)+(0+(0-0))+0-556.7-0</f>
        <v>2702.6000000000004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3501+(827.6-1292.7)+(-3.57102+(-0.844152--1.318554))+0-601.1--0.613122000000096</f>
        <v>2432.3165040000004</v>
      </c>
      <c r="G126" s="3">
        <f>3472.9+(868.2-1366.9)+(-8.855895+(-2.21391--3.485595))+0-528.8--1.34843999999992</f>
        <v>2439.1642299999994</v>
      </c>
      <c r="H126" s="3">
        <f>3315.2+(858.8-1402.9)+(-3.381504+(-0.875976--1.430958))+0-315.6--0.32191200000005</f>
        <v>2452.9953899999996</v>
      </c>
      <c r="I126" s="3">
        <f>3276.4+(756-1369.5)+(-6.683856+(-1.54224--2.79378))+0-312.1--0.636683999999986</f>
        <v>2346.0043680000003</v>
      </c>
      <c r="J126" s="3">
        <f>3286.6+(721.5-1419.3)+(-5.028498+(-1.103895--2.171529))+0-324.1--0.495873000000019</f>
        <v>2261.235009</v>
      </c>
      <c r="K126" s="3">
        <f>3295+(730.3-1534)+(-3.3609+(-0.744906--1.56468))+0-260.2--0.265404000000042</f>
        <v>2228.8242780000005</v>
      </c>
      <c r="L126" s="3">
        <f>3145.7+(770-1502.4)+(-8.021535+(-1.9635--3.83112))+0-217.1--0.553604999999968</f>
        <v>2190.59969</v>
      </c>
      <c r="M126" s="3">
        <f>3305.1+(583.8-1371.9)+(5.056803+(0.893214-2.099007))+0-155.9-0.238527000000009</f>
        <v>2364.7124829999998</v>
      </c>
      <c r="N126" s="3">
        <f>3385.7+(545.5-1183)+(0+(0-0))+0-129.7-0</f>
        <v>2618.5</v>
      </c>
      <c r="O126" s="3">
        <f>3385.8+(510.4-1063)+(1.726758+(0.260304-0.54213))+0-128-0.065279999999987</f>
        <v>2706.5796520000004</v>
      </c>
      <c r="P126" s="3">
        <f>3387.7+(485.3-957)+(1.727727+(0.247503-0.48807))+0-107.8-0.0549779999999891</f>
        <v>2809.6321819999998</v>
      </c>
      <c r="Q126" s="3">
        <f>3448.4+(391.5-790.7)+(5.276052+(0.598995-1.209771))+0-85.9-0.131427000000005</f>
        <v>2967.8338490000001</v>
      </c>
      <c r="R126" s="3">
        <f>3443.9+(362.6-626.5)+(0+(0-0))+0-172.7-0</f>
        <v>3007.3</v>
      </c>
      <c r="S126" s="3">
        <f>3440.3+(223.7-709.2)+(0+(0-0))+0-179.6-0</f>
        <v>2775.2000000000003</v>
      </c>
      <c r="T126" s="3">
        <f>3431.8+(258.3-620.2)+(5.250654+(0.395199-0.948906))+0-168.4-0.25765200000001</f>
        <v>2905.9392949999997</v>
      </c>
      <c r="U126" s="3">
        <f>3474.4+(263.6-668.4)+(-3.543888+(-0.268872--0.681768))+0-184.6--0.188292000000029</f>
        <v>2882.0573000000004</v>
      </c>
      <c r="V126" s="3">
        <f>3560.7+(209.8-752.1)+(-7.263828+(-0.427992--1.534284))+0-160.5--0.327419999999993</f>
        <v>2852.0698839999995</v>
      </c>
      <c r="W126" s="3">
        <f>3581.8+(279.3-943.5)+(-10.960308+(-0.854658--2.88711))+0-171--0.52326000000002</f>
        <v>2738.1954040000005</v>
      </c>
      <c r="X126" s="3">
        <f>3480.6+(532.2-1277.5)+(-10.650636+(-1.628532--3.90915))+0-114.9--0.351594000000013</f>
        <v>2612.3815760000002</v>
      </c>
      <c r="Y126" s="3">
        <f>3305.4+(481.2-952.7)+(-3.371508+(-0.490824--0.971754))+0-127.2--0.12974400000002</f>
        <v>2703.9391660000001</v>
      </c>
      <c r="Z126" s="3">
        <f>3432.6+(327.6-917.5)+(0+(0-0))+0-133-0</f>
        <v>2709.7</v>
      </c>
      <c r="AA126" s="3">
        <f>3739.3+(385.2-1283.5)+(-11.442258+(-1.178712--3.92751))+0-120.1--0.367506000000014</f>
        <v>2712.5740460000002</v>
      </c>
      <c r="AB126" s="3">
        <f>3648.7+(385.5-1099.3)+(-1.860837+(-0.196605--0.560643))+0-175.8--0.0896579999999822</f>
        <v>2757.6928589999993</v>
      </c>
      <c r="AC126" s="3">
        <f>3632.9+(284.9-952.2)+(-1.852779+(-0.145299--0.485622))+0-236.6--0.120665999999976</f>
        <v>2727.6082099999999</v>
      </c>
      <c r="AD126">
        <v>2688.7999999999997</v>
      </c>
      <c r="AE126" s="3">
        <f>3651+(511.7-1312.1)+(0+(0-0))+0-170.8-0</f>
        <v>2679.8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3575.3+(533.6-1116.8)+(-5.470209+(-0.816408--1.708704))+0-557.5--0.852975000000032</f>
        <v>2430.8750620000005</v>
      </c>
      <c r="G127" s="3">
        <f>3492.4+(568.5-1208.1)+(-5.343372+(-0.869805--1.848393))+0-393.7--0.602361000000023</f>
        <v>2455.3375770000007</v>
      </c>
      <c r="H127" s="3">
        <f>3394.4+(635-1353.6)+(-3.462288+(-0.6477--1.380672))+0-231.5--0.236130000000037</f>
        <v>2441.8068140000005</v>
      </c>
      <c r="I127" s="3">
        <f>3307.5+(608.5-1321.6)+(-3.37365+(-0.62067--1.348032))+0-238.2--0.242964000000038</f>
        <v>2353.7966760000004</v>
      </c>
      <c r="J127" s="3">
        <f>3176.1+(568.6-1249)+(3.239622+(0.579972-1.27398))+0-221.3-0.225726000000035</f>
        <v>2276.7198879999996</v>
      </c>
      <c r="K127" s="3">
        <f>3141+(649.5-1094.9)+(1.60191+(0.331245-0.558399))+0-436.5-0.222614999999956</f>
        <v>2260.2521409999999</v>
      </c>
      <c r="L127" s="3">
        <f>3067.6+(687.4-1033.6)+(-1.564476+(-0.350574--0.527136))+0-494.4--0.25214399999995</f>
        <v>2225.8642300000001</v>
      </c>
      <c r="M127" s="3">
        <f>3074.2+(602.2-875.5)+(-1.567842+(-0.307122--0.446505))+0-431.5--0.220064999999956</f>
        <v>2368.1916059999994</v>
      </c>
      <c r="N127" s="3">
        <f>3112.9+(597.6-717.2)+(0+(0-0))+0-486-0</f>
        <v>2507.3000000000002</v>
      </c>
      <c r="O127" s="3">
        <f>3324.4+(627.7-679.6)+(-3.390888+(-0.640254--0.693192))+0-494.3--0.504186000000079</f>
        <v>2775.3662359999998</v>
      </c>
      <c r="P127" s="3">
        <f>3426.4+(474-487.1)+(-1.747464+(-0.24174--0.248421))+0-497--0.25346999999995</f>
        <v>2914.8126870000001</v>
      </c>
      <c r="Q127" s="3">
        <f>3421.1+(340.4-302.6)+(0+(0-0))+0-467.4-0</f>
        <v>2991.4999999999995</v>
      </c>
      <c r="R127" s="3">
        <f>3641+(464.6-568.1)+(-7.42764+(-0.947784--1.158924))+0-488.8--0.997151999999979</f>
        <v>3042.4806519999997</v>
      </c>
      <c r="S127" s="3">
        <f>3727+(295.6-816.9)+(-5.70231+(-0.452268--1.249857))+0-464.9--0.711297000000027</f>
        <v>2736.6065759999997</v>
      </c>
      <c r="T127" s="3">
        <f>3818.4+(555-976.6)+(1.947384+(0.28305-0.498066))+0-498.6-0.254285999999949</f>
        <v>2899.6780820000004</v>
      </c>
      <c r="U127" s="3">
        <f>3697.5+(663.8-935.5)+(-3.77145+(-0.677076--0.95421))+0-515--0.525300000000082</f>
        <v>2907.8309840000006</v>
      </c>
      <c r="V127" s="3">
        <f>3680.5+(539.4-876.2)+(3.75411+(0.550188-0.893724))+0-457.8-0.466956000000073</f>
        <v>2888.8436179999994</v>
      </c>
      <c r="W127" s="3">
        <f>3649.7+(271.7-577.7)+(-7.445388+(-0.554268--1.178508))+0-512.9--1.04631599999998</f>
        <v>2825.0251679999997</v>
      </c>
      <c r="X127" s="3">
        <f>3402.6+(539.4-736.5)+(-5.205978+(-0.825282--1.126845))+0-494.5--0.756585000000029</f>
        <v>2706.8521700000001</v>
      </c>
      <c r="Y127" s="3">
        <f>3222.6+(682.7-797.1)+(-3.287052+(-0.696354--0.813042))+0-387.1--0.394842000000062</f>
        <v>2718.324478</v>
      </c>
      <c r="Z127" s="3">
        <f>3345.4+(647.9-787.3)+(0+(0-0))+0-404.1-0</f>
        <v>2801.9</v>
      </c>
      <c r="AA127" s="3">
        <f>3403.2+(459.2-695.1)+(-3.471264+(-0.468384--0.709002))+0-317.5--0.323850000000051</f>
        <v>2846.893204</v>
      </c>
      <c r="AB127" s="3">
        <f>3412.5+(572.9-724.2)+(-3.48075+(-0.584358--0.738684))+0-527--0.537540000000084</f>
        <v>2731.4111160000002</v>
      </c>
      <c r="AC127" s="3">
        <f>3373.3+(637.7-758.1)+(-1.720383+(-0.325227--0.386631))+0-562.4--0.286823999999943</f>
        <v>2689.127845</v>
      </c>
      <c r="AD127">
        <v>2811.7000000000003</v>
      </c>
      <c r="AE127" s="3">
        <f>3411+(480.6-630.8)+(0+(0-0))+0-449.1-0</f>
        <v>2811.7000000000003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3301.8+(693.3-1051.6)+(0+(0-0))+0-392.8-0</f>
        <v>2550.6999999999998</v>
      </c>
      <c r="G128" s="3">
        <f>3201.5+(722.4-879.2)+(1.632765+(0.368424-0.448392))+0-556.6-0.283865999999944</f>
        <v>2489.368931</v>
      </c>
      <c r="H128" s="3">
        <f>3173.5+(671.6-886.2)+(-6.47394+(-1.370064--1.807848))+0-508.1--1.03652399999998</f>
        <v>2445.8003680000002</v>
      </c>
      <c r="I128" s="3">
        <f>3190.8+(696.4-1046.4)+(3.254616+(0.710328-1.067328))+0-505.3-0.515406000000081</f>
        <v>2337.8822100000002</v>
      </c>
      <c r="J128" s="3">
        <f>3200.4+(732-1166.9)+(-6.528816+(-1.49328--2.380476))+0-479.4--0.977975999999979</f>
        <v>2281.4363560000002</v>
      </c>
      <c r="K128" s="3">
        <f>3202.5+(840.3-1241.5)+(-4.899825+(-1.285659--1.899495))+0-591--0.904230000000034</f>
        <v>2206.9182410000003</v>
      </c>
      <c r="L128" s="3">
        <f>3126.6+(773.5-1239.9)+(-7.97283+(-1.972425--3.161745))+0-465.1--1.18600499999993</f>
        <v>2189.5024949999997</v>
      </c>
      <c r="M128" s="3">
        <f>3054.4+(705.1-990.3)+(0+(0-0))+0-403.5-0</f>
        <v>2365.7000000000003</v>
      </c>
      <c r="N128" s="3">
        <f>3146.6+(729.9-896.2)+(8.02383+(1.861245-2.28531))+0-419-1.06844999999994</f>
        <v>2567.8313149999999</v>
      </c>
      <c r="O128" s="3">
        <f>3216+(622.1-806.4)+(0+(0-0))+0-424.1-0</f>
        <v>2607.6</v>
      </c>
      <c r="P128" s="3">
        <f>3229.2+(505.3-387.9)+(4.940676+(0.773109-0.593487))+0-523.1-0.80034300000003</f>
        <v>2827.8199549999999</v>
      </c>
      <c r="Q128" s="3">
        <f>3511.9+(379.3-479)+(5.373207+(0.580329-0.73287))+0-361.1-0.552483000000021</f>
        <v>3055.7681830000006</v>
      </c>
      <c r="R128" s="3">
        <f>3794.2+(596.2-806)+(3.870084+(0.608124-0.82212))+0-501.9-0.51193800000008</f>
        <v>3085.6441499999996</v>
      </c>
      <c r="S128" s="3">
        <f>3809.9+(585.6-1145.1)+(-1.943049+(-0.298656--0.584001))+0-407.8--0.207977999999959</f>
        <v>2841.1502739999996</v>
      </c>
      <c r="T128" s="3">
        <f>3997.3+(930.5-1517)+(2.038623+(0.474555-0.77367))+0-482.7-0.246176999999951</f>
        <v>2929.5933310000005</v>
      </c>
      <c r="U128" s="3">
        <f>4006.2+(903.3-1545.9)+(0+(0-0))+0-420.5-0</f>
        <v>2943.0999999999995</v>
      </c>
      <c r="V128" s="3">
        <f>3970.2+(735.7-1347.7)+(-10.12401+(-1.876035--3.436635))+0-434.6--1.10822999999994</f>
        <v>2916.1448199999995</v>
      </c>
      <c r="W128" s="3">
        <f>3656.4+(299.2-762)+(-9.32382+(-0.76296--1.9431))+0-400.3--1.02076499999994</f>
        <v>2786.1770849999994</v>
      </c>
      <c r="X128" s="3">
        <f>3476.1+(369.6-718.4)+(-5.318433+(-0.565488--1.099152))+0-489--0.748170000000028</f>
        <v>2634.2634010000002</v>
      </c>
      <c r="Y128" s="3">
        <f>3417.6+(501.4-691.7)+(1.742976+(0.255714-0.352767))+0-464.9-0.237098999999953</f>
        <v>2763.8088239999997</v>
      </c>
      <c r="Z128" s="3">
        <f>3592.7+(348-656)+(0+(0-0))+0-490.5-0</f>
        <v>2794.2</v>
      </c>
      <c r="AA128" s="3">
        <f>3984.3+(398-1020.1)+(-4.063986+(-0.40596--1.040502))+0-509.1--0.519282000000081</f>
        <v>2850.1898380000007</v>
      </c>
      <c r="AB128" s="3">
        <f>3997.2+(276.9-1058.5)+(-6.115716+(-0.423657--1.619505))+0-417.5--0.638775000000024</f>
        <v>2793.8189069999999</v>
      </c>
      <c r="AC128" s="3">
        <f>4015.1+(393.2-1104.5)+(-2.047701+(-0.200532--0.563295))+0-613.7--0.312986999999938</f>
        <v>2688.7280489999998</v>
      </c>
      <c r="AD128">
        <v>2846.9000000000005</v>
      </c>
      <c r="AE128" s="3">
        <f>3982+(381.6-990.9)+(0+(0-0))+0-525.8-0</f>
        <v>2846.8999999999996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3662.1+(386.7-1037.3)+(-5.603013+(-0.591651--1.587069))+0-468--0.716040000000027</f>
        <v>2539.6084450000003</v>
      </c>
      <c r="G129" s="3">
        <f>3498.5+(480.9-965.1)+(0+(0-0))+0-500.5-0</f>
        <v>2513.8000000000002</v>
      </c>
      <c r="H129" s="3">
        <f>3201+(651.4-960.2)+(-3.26502+(-0.664428--0.979404))+0-547.9--0.558858000000087</f>
        <v>2341.9088139999994</v>
      </c>
      <c r="I129" s="3">
        <f>3122.2+(696.2-942.1)+(3.184644+(0.710124-0.960942))+0-580.8-0.592416000000093</f>
        <v>2297.8414099999995</v>
      </c>
      <c r="J129" s="3">
        <f>3167.8+(836.4-1163.3)+(0+(0-0))+0-609.7-0</f>
        <v>2231.1999999999998</v>
      </c>
      <c r="K129" s="3">
        <f>3057.8+(1060.8-1265.1)+(-4.678434+(-1.623024--1.935603))+0-654.4--1.00123200000004</f>
        <v>2195.735377</v>
      </c>
      <c r="L129" s="3">
        <f>2898+(997-1225)+(-4.43394+(-1.52541--1.87425))+0-482.4--0.738072000000028</f>
        <v>2184.2529720000002</v>
      </c>
      <c r="M129" s="3">
        <f>2919.4+(920.3-1034.4)+(4.466682+(1.408059-1.582632))+0-527.7-0.807381000000031</f>
        <v>2281.0847280000003</v>
      </c>
      <c r="N129" s="3">
        <f>2944.3+(866.1-811.9)+(1.501593+(0.441711-0.414069))+0-364.5-0.185894999999963</f>
        <v>2635.3433399999999</v>
      </c>
      <c r="O129" s="3">
        <f>3285+(835.1-887.7)+(-1.67535+(-0.425901--0.452727))+0-484.4--0.247043999999951</f>
        <v>2746.5985199999996</v>
      </c>
      <c r="P129" s="3">
        <f>3690.3+(734.9-963.4)+(3.764106+(0.749598-0.982668))+0-539.3-0.550086000000086</f>
        <v>2925.4809500000001</v>
      </c>
      <c r="Q129" s="3">
        <f>3706.1+(733.5-1032.6)+(9.450555+(1.870425-2.63313))+0-430-1.09649999999994</f>
        <v>2984.5913499999997</v>
      </c>
      <c r="R129" s="3">
        <f>3689.2+(957.8-1088.4)+(-1.881492+(-0.488478--0.555084))+0-538.9--0.274838999999945</f>
        <v>3018.1599529999994</v>
      </c>
      <c r="S129" s="3">
        <f>3681.7+(744.1-1212.5)+(1.877667+(0.379491-0.618375))+0-452-0.230519999999954</f>
        <v>2762.7082629999995</v>
      </c>
      <c r="T129" s="3">
        <f>3671.1+(908.8-1313.6)+(0+(0-0))+0-455.3-0</f>
        <v>2811</v>
      </c>
      <c r="U129" s="3">
        <f>3663.6+(1017.1-1318.3)+(-1.868436+(-0.518721--0.672333))+0-443.9--0.226388999999955</f>
        <v>2917.0115649999998</v>
      </c>
      <c r="V129" s="3">
        <f>3673+(926.4-1264.8)+(-3.74646+(-0.944928--1.290096))+0-450.6--0.459612000000072</f>
        <v>2881.0583200000001</v>
      </c>
      <c r="W129" s="3">
        <f>3717.2+(744.8-1132.1)+(-5.687316+(-1.139544--1.732113))+0-547.5--0.837675000000032</f>
        <v>2778.1429279999998</v>
      </c>
      <c r="X129" s="3">
        <f>3575.2+(516-979.7)+(-12.763464+(-1.84212--3.497529))+0-388.1--1.38551700000001</f>
        <v>2713.6774620000001</v>
      </c>
      <c r="Y129" s="3">
        <f>3374.1+(759.6-887.3)+(-1.720791+(-0.387396--0.452523))+0-516--0.263159999999948</f>
        <v>2729.0074960000002</v>
      </c>
      <c r="Z129" s="3">
        <f>3419.2+(696-868.4)+(-5.231376+(-1.06488--1.328652))+0-442.5--0.677025000000026</f>
        <v>2800.0094209999997</v>
      </c>
      <c r="AA129" s="3">
        <f>3511.9+(620.7-792.3)+(-12.537483+(-2.215899--2.828511))+0-531.8--1.89852600000001</f>
        <v>2798.4736549999998</v>
      </c>
      <c r="AB129" s="3">
        <f>3467.8+(516.4-828.4)+(-5.305734+(-0.790092--1.267452))+0-426.5--0.652545000000025</f>
        <v>2725.1241709999999</v>
      </c>
      <c r="AC129" s="3">
        <f>3334.5+(580.7-736.2)+(-3.40119+(-0.592314--0.750924))+0-577.5--0.589050000000092</f>
        <v>2598.84647</v>
      </c>
      <c r="AD129">
        <v>2696.8999999999996</v>
      </c>
      <c r="AE129" s="3">
        <f>3474+(693.7-831.1)+(0+(0-0))+0-639.7-0</f>
        <v>2696.8999999999996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3140.8+(695.4-730)+(-1.601808+(-0.354654--0.3723))+0-552.5--0.281774999999944</f>
        <v>2552.3976130000001</v>
      </c>
      <c r="G130" s="3">
        <f>3078.8+(1015.4-1054.2)+(-4.710564+(-1.553562--1.612926))+0-591.4--0.904842000000034</f>
        <v>2444.853642</v>
      </c>
      <c r="H130" s="3">
        <f>3082.4+(1007-1182.3)+(-3.144048+(-1.02714--1.205946))+0-535.1--0.545802000000085</f>
        <v>2369.5805600000003</v>
      </c>
      <c r="I130" s="3">
        <f>2960.1+(823.3-933.7)+(3.019302+(0.839766-0.952374))+0-491.3-0.501126000000078</f>
        <v>2360.8055679999993</v>
      </c>
      <c r="J130" s="3">
        <f>2561.3+(578.1-304.3)+(-2.612526+(-0.589662--0.310386))+0-593--0.604860000000095</f>
        <v>2239.8130580000002</v>
      </c>
      <c r="K130" s="3">
        <f>2346.7+(623.5-194.4)+(1.196817+(0.317985-0.099144))+0-567.5-0.289424999999942</f>
        <v>2209.4262329999997</v>
      </c>
      <c r="L130" s="3">
        <f>2272.1+(576.3-168.6)+(-6.952626+(-1.763478--0.515916))+0-554.6--1.69707600000006</f>
        <v>2118.6968879999999</v>
      </c>
      <c r="M130" s="3">
        <f>2316.1+(645.7-211.9)+(0+(0-0))+0-396.4-0</f>
        <v>2353.5</v>
      </c>
      <c r="N130" s="3">
        <f>2525.3+(935.6-400)+(0+(0-0))+0-484.5-0</f>
        <v>2576.4</v>
      </c>
      <c r="O130" s="3">
        <f>2655.9+(899.6-573.4)+(-1.354509+(-0.458796--0.292434))+0-417.5--0.212924999999958</f>
        <v>2563.292054</v>
      </c>
      <c r="P130" s="3">
        <f>2723.4+(900.1-452.7)+(-1.388934+(-0.459051--0.230877))+0-549--0.279989999999944</f>
        <v>2620.4628820000003</v>
      </c>
      <c r="Q130" s="3">
        <f>2838.9+(893.8-382.3)+(-2.895678+(-0.911676--0.389946))+0-578.1--0.589662000000092</f>
        <v>2769.4722540000007</v>
      </c>
      <c r="R130" s="3">
        <f>2934.1+(967.2-573.9)+(-5.985564+(-1.973088--1.170756))+0-533.6--1.08854399999998</f>
        <v>2788.1006480000005</v>
      </c>
      <c r="S130" s="3">
        <f>3141.4+(882.7-825.6)+(-8.01057+(-2.250885--2.10528))+0-569.7--1.45273499999992</f>
        <v>2622.09656</v>
      </c>
      <c r="T130" s="3">
        <f>3584+(1011.6-1392.2)+(-5.48352+(-1.547748--2.130066))+0-497.9--0.761787000000029</f>
        <v>2701.3605849999999</v>
      </c>
      <c r="U130" s="3">
        <f>3671.7+(958.9-1486.1)+(0+(0-0))+0-502-0</f>
        <v>2642.5</v>
      </c>
      <c r="V130" s="3">
        <f>3625.5+(895.4-1461.2)+(-1.849005+(-0.456654--0.745212))+0-450.3--0.229652999999954</f>
        <v>2608.0692059999997</v>
      </c>
      <c r="W130" s="3">
        <f>3684.8+(917.3-1448.2)+(-15.033984+(-3.742584--5.908656))+0-487--1.98695999999996</f>
        <v>2656.0190480000001</v>
      </c>
      <c r="X130" s="3">
        <f>3089.2+(1025.9-1004.6)+(-9.452952+(-3.139254--3.074076))+0-488.1--1.49358600000006</f>
        <v>2614.3754560000002</v>
      </c>
      <c r="Y130" s="3">
        <f>2742.2+(1012.8-879.4)+(-6.99261+(-2.58264--2.24247))+0-449.6--1.14647999999993</f>
        <v>2419.8136999999997</v>
      </c>
      <c r="Z130" s="3">
        <f>2882.1+(1124.3-921)+(1.469871+(0.573393-0.46971))+0-504.1-0.257090999999949</f>
        <v>2582.6164629999998</v>
      </c>
      <c r="AA130" s="3">
        <f>3290.4+(1032.4-1155.7)+(-8.39052+(-2.63262--2.947035))+0-487.6--1.24337999999993</f>
        <v>2672.6672750000002</v>
      </c>
      <c r="AB130" s="3">
        <f>3335.1+(928.1-1165.1)+(-8.504505+(-2.366655--2.971005))+0-527.8--1.34588999999992</f>
        <v>2563.745735</v>
      </c>
      <c r="AC130" s="3">
        <f>3286.6+(913.6-1167.4)+(-1.676166+(-0.465936--0.595374))+0-532.9--0.271778999999946</f>
        <v>2498.625051</v>
      </c>
      <c r="AD130">
        <v>2616.6</v>
      </c>
      <c r="AE130" s="3">
        <f>3291+(1008.7-1129.2)+(0+(0-0))+0-553.9-0</f>
        <v>2616.6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3348.4+(929-1248)+(-1.707684+(-0.47379--0.63648))+0-617.8--0.315077999999937</f>
        <v>2410.3700840000006</v>
      </c>
      <c r="G131" s="3">
        <f>3048.3+(836.6-936.4)+(-3.109266+(-0.853332--0.955128))+0-647--0.659940000000103</f>
        <v>2299.15247</v>
      </c>
      <c r="H131" s="3">
        <f>2943.9+(820.5-1014.6)+(0+(0-0))+0-486.5-0</f>
        <v>2263.3000000000002</v>
      </c>
      <c r="I131" s="3">
        <f>2775.9+(923.4-915.2)+(-5.662836+(-1.883736--1.867008))+0-669.5--1.36577999999997</f>
        <v>2110.286216</v>
      </c>
      <c r="J131" s="3">
        <f>2619.2+(598-653.3)+(-6.67896+(-1.5249--1.665915))+0-542.8--1.38413999999992</f>
        <v>2015.9461949999995</v>
      </c>
      <c r="K131" s="3">
        <f>2516.1+(623.7-471.6)+(-6.416055+(-1.590435--1.20258))+0-632--1.61159999999991</f>
        <v>2031.0076899999997</v>
      </c>
      <c r="L131" s="3">
        <f>2251.3+(690.8-387.4)+(-5.740815+(-1.76154--0.98787))+0-661.5--1.6868249999999</f>
        <v>1888.3723400000001</v>
      </c>
      <c r="M131" s="3">
        <f>2306+(537.2-464.8)+(-3.52818+(-0.821916--0.711144))+0-496.7--0.759951000000029</f>
        <v>1878.8209990000003</v>
      </c>
      <c r="N131" s="3">
        <f>2744.7+(549.4-773.7)+(-2.799594+(-0.560388--0.789174))+0-545.5--0.556410000000087</f>
        <v>1972.8856019999998</v>
      </c>
      <c r="O131" s="3">
        <f>2738+(543.7-558.2)+(-1.39638+(-0.277287--0.284682))+0-553.4--0.282233999999944</f>
        <v>2168.9932489999997</v>
      </c>
      <c r="P131" s="3">
        <f>2735.2+(477.2-461.7)+(1.394952+(0.243372-0.235467))+0-462.2-0.235721999999953</f>
        <v>2289.6671350000001</v>
      </c>
      <c r="Q131" s="3">
        <f>2814.1+(518.6-480.3)+(0+(0-0))+0-538.6-0</f>
        <v>2313.8000000000002</v>
      </c>
      <c r="R131" s="3">
        <f>3097.8+(417-754.4)+(1.579878+(0.21267-0.384744))+0-411.3-0.209762999999958</f>
        <v>2350.298041</v>
      </c>
      <c r="S131" s="3">
        <f>3305.2+(614.7-1125.7)+(5.056956+(0.940491-1.722321))+0-481.4-0.736542000000028</f>
        <v>2316.3385839999996</v>
      </c>
      <c r="T131" s="3">
        <f>3559+(867.5-1467.4)+(-1.81509+(-0.442425--0.748374))+0-611.1--0.311660999999938</f>
        <v>2346.8025199999997</v>
      </c>
      <c r="U131" s="3">
        <f>3204.3+(779.6-1305.4)+(-6.536772+(-1.590384--2.663016))+0-391.4--0.798455999999983</f>
        <v>2282.4343159999999</v>
      </c>
      <c r="V131" s="3">
        <f>3091.2+(981.1-1151.5)+(-1.576512+(-0.500361--0.587265))+0-653.8--0.333437999999934</f>
        <v>2265.8438300000003</v>
      </c>
      <c r="W131" s="3">
        <f>2825.7+(944.9-966)+(-7.205535+(-2.409495--2.4633))+0-480.6--1.22552999999993</f>
        <v>2318.0737999999997</v>
      </c>
      <c r="X131" s="3">
        <f>2254.6+(1294.7-646.6)+(-2.299692+(-1.320594--0.659532))+0-617.9--0.630258000000098</f>
        <v>2282.4695039999997</v>
      </c>
      <c r="Y131" s="3">
        <f>2166.3+(1108.5-635.5)+(-4.419252+(-2.26134--1.29642))+0-480.8--0.980831999999979</f>
        <v>2154.0966600000002</v>
      </c>
      <c r="Z131" s="3">
        <f>2758.2+(866.4-769.8)+(-5.626728+(-1.767456--1.570392))+0-580.4--1.18401599999997</f>
        <v>2269.7602239999997</v>
      </c>
      <c r="AA131" s="3">
        <f>3690.6+(356.8-1184.7)+(-5.646618+(-0.545904--1.812591))+0-535.9--0.819927000000031</f>
        <v>2323.2399959999998</v>
      </c>
      <c r="AB131" s="3">
        <f>3774.1+(320.3-1224.2)+(-5.774373+(-0.490059--1.873026))+0-577.5--0.883575000000033</f>
        <v>2289.1921689999995</v>
      </c>
      <c r="AC131" s="3">
        <f>3741.2+(526.9-1293.9)+(0+(0-0))+0-611.9-0</f>
        <v>2362.2999999999997</v>
      </c>
      <c r="AD131">
        <v>2256.9</v>
      </c>
      <c r="AE131" s="3">
        <f>3778+(284.2-1218.7)+(0+(0-0))+0-586.6-0</f>
        <v>2256.9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3635.7+(627.2-1555.3)+(-7.416828+(-1.279488--3.172812))+0-473.9--0.966755999999979</f>
        <v>2229.1432519999998</v>
      </c>
      <c r="G132" s="3">
        <f>3260.9+(866.4-1342.5)+(-4.989177+(-1.325592--2.054025))+0-526.3--0.80523900000003</f>
        <v>2255.0444950000001</v>
      </c>
      <c r="H132" s="3">
        <f>3266.2+(757-1262.9)+(0+(0-0))+0-544.8-0</f>
        <v>2215.5</v>
      </c>
      <c r="I132" s="3">
        <f>3227.7+(645.9-1212.6)+(-6.584508+(-1.317636--2.473704))+0-519.2--1.05916799999998</f>
        <v>2137.4307279999994</v>
      </c>
      <c r="J132" s="3">
        <f>3145.7+(651.2-1069)+(-6.417228+(-1.328448--2.18076))+0-585.5--1.19441999999997</f>
        <v>2138.0295039999996</v>
      </c>
      <c r="K132" s="3">
        <f>2918+(711.5-1067.6)+(-7.4409+(-1.814325--2.72238))+0-500.2--1.27550999999993</f>
        <v>2056.442665</v>
      </c>
      <c r="L132" s="3">
        <f>2698.7+(839.2-1002.2)+(-6.881685+(-2.13996--2.55561))+0-541.2--1.38005999999992</f>
        <v>1989.4140249999998</v>
      </c>
      <c r="M132" s="3">
        <f>2750.7+(826.2-876.3)+(4.208571+(1.264086-1.340739))+0-421.4-0.644742000000024</f>
        <v>2282.6871759999999</v>
      </c>
      <c r="N132" s="3">
        <f>2960.6+(751.3-766.9)+(-1.509906+(-0.383163--0.391119))+0-404.2--0.206141999999959</f>
        <v>2539.5041920000003</v>
      </c>
      <c r="O132" s="3">
        <f>3296.1+(577.4-793.2)+(0+(0-0))+0-461.2-0</f>
        <v>2619.1</v>
      </c>
      <c r="P132" s="3">
        <f>3531.1+(533.2-839.2)+(3.601722+(0.543864-0.855984))+0-419.2-0.427584000000067</f>
        <v>2808.7620179999999</v>
      </c>
      <c r="Q132" s="3">
        <f>3899.8+(528.1-978.9)+(3.977796+(0.538662-0.998478))+0-506.5-0.516630000000081</f>
        <v>2945.50135</v>
      </c>
      <c r="R132" s="3">
        <f>4103.7+(669.9-1416)+(4.185774+(0.683298-1.44432))+0-397.4-0.405348000000063</f>
        <v>2963.2194039999995</v>
      </c>
      <c r="S132" s="3">
        <f>3878.9+(805.3-1447.5)+(-1.978239+(-0.410703--0.738225))+0-499.8--0.254897999999949</f>
        <v>2735.5041809999998</v>
      </c>
      <c r="T132" s="3">
        <f>3963.1+(901.7-1491.2)+(-4.042362+(-0.919734--1.521024))+0-475.3--0.484806000000076</f>
        <v>2895.3437339999996</v>
      </c>
      <c r="U132" s="3">
        <f>4041.7+(869.5-1609.6)+(6.183801+(1.330335-2.462688))+0-492.8-0.753984000000029</f>
        <v>2813.0974639999999</v>
      </c>
      <c r="V132" s="3">
        <f>4093.3+(758.7-1622.1)+(0+(0-0))+0-435.1-0</f>
        <v>2794.8000000000006</v>
      </c>
      <c r="W132" s="3">
        <f>4144.1+(605.9-1396.6)+(2.113491+(0.309009-0.712266))+0-548.8-0.279887999999944</f>
        <v>2806.0303460000005</v>
      </c>
      <c r="X132" s="3">
        <f>3496.5+(456.4-829.2)+(-5.349645+(-0.698292--1.268676))+0-372.6--0.570078000000022</f>
        <v>2746.890817</v>
      </c>
      <c r="Y132" s="3">
        <f>3273.9+(616.3-760.3)+(-3.339378+(-0.628626--0.775506))+0-502.2--0.51224400000008</f>
        <v>2625.0197460000004</v>
      </c>
      <c r="Z132" s="3">
        <f>3738.9+(432.9-956.5)+(1.906839+(0.220779-0.487815))+0-428.8-0.218687999999957</f>
        <v>2787.9211150000001</v>
      </c>
      <c r="AA132" s="3">
        <f>4065.6+(431.6-1154.8)+(-4.146912+(-0.440232--1.177896))+0-520--0.530400000000083</f>
        <v>2819.5211520000003</v>
      </c>
      <c r="AB132" s="3">
        <f>3976.8+(301.7-1181.2)+(-4.056336+(-0.307734--1.204824))+0-422.6--0.431052000000067</f>
        <v>2671.971806</v>
      </c>
      <c r="AC132" s="3">
        <f>3754.9+(609.4-1182.7)+(3.829998+(0.621588-1.206354))+0-590.2-0.602004000000094</f>
        <v>2594.0432279999995</v>
      </c>
      <c r="AD132">
        <v>2758.0000000000005</v>
      </c>
      <c r="AE132" s="3">
        <f>4070+(477.6-1147.5)+(0+(0-0))+0-624.1-0</f>
        <v>2776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3578+(599.9-1258.2)+(-9.1239+(-1.529745--3.20841))+0-482.4--1.23011999999993</f>
        <v>2431.0848849999993</v>
      </c>
      <c r="G133" s="3">
        <f>3583.7+(842.3-1349.7)+(-5.483061+(-1.288719--2.065041))+0-693.7--1.06136100000004</f>
        <v>2378.9546219999993</v>
      </c>
      <c r="H133" s="3">
        <f>3501.5+(827-1517.7)+(-8.928825+(-2.10885--3.870135))+0-441.5--1.12582499999994</f>
        <v>2363.2582850000003</v>
      </c>
      <c r="I133" s="3">
        <f>3307.1+(1010-1391.7)+(-6.746484+(-2.0604--2.839068))+0-654.4--1.33497599999997</f>
        <v>2266.3671599999998</v>
      </c>
      <c r="J133" s="3">
        <f>2962.5+(1011.7-1209.1)+(-4.532625+(-1.547901--1.849923))+0-467.9--0.715887000000027</f>
        <v>2293.6852840000001</v>
      </c>
      <c r="K133" s="3">
        <f>2724.3+(1072-1051.2)+(-4.168179+(-1.64016--1.608336))+0-534.6--0.817938000000031</f>
        <v>2207.1179350000007</v>
      </c>
      <c r="L133" s="3">
        <f>2732.1+(788.6-980.1)+(-2.786742+(-0.804372--0.999702))+0-419.3--0.427686000000067</f>
        <v>2119.1362739999995</v>
      </c>
      <c r="M133" s="3">
        <f>2811.1+(757.9-930.7)+(2.867322+(0.773058-0.949314))+0-446.3-0.455226000000071</f>
        <v>2194.2358399999994</v>
      </c>
      <c r="N133" s="3">
        <f>2943.4+(817.3-857)+(-6.004536+(-1.667292--1.74828))+0-403.1--0.822323999999982</f>
        <v>2495.4987759999999</v>
      </c>
      <c r="O133" s="3">
        <f>2912.8+(880.6-692.8)+(1.485528+(0.449106-0.353328))+0-422.9-0.215678999999957</f>
        <v>2679.0656270000004</v>
      </c>
      <c r="P133" s="3">
        <f>2935.7+(787-700.9)+(2.994414+(0.80274-0.714918))+0-241.5-0.246330000000039</f>
        <v>2783.135906</v>
      </c>
      <c r="Q133" s="3">
        <f>3198.1+(634.9-715.3)+(4.893093+(0.971397-1.094409))+0-230.2-0.352206000000013</f>
        <v>2891.9178750000001</v>
      </c>
      <c r="R133" s="3">
        <f>3811.9+(848.1-1423.8)+(1.944069+(0.432531-0.726138))+0-336.6-0.171665999999966</f>
        <v>2901.0787960000002</v>
      </c>
      <c r="S133" s="3">
        <f>3830.8+(824.1-1498.4)+(-1.953708+(-0.420291--0.764184))+0-428.3--0.218432999999957</f>
        <v>2726.808618</v>
      </c>
      <c r="T133" s="3">
        <f>3628.1+(837.7-1284.2)+(0+(0-0))+0-380.9-0</f>
        <v>2800.7</v>
      </c>
      <c r="U133" s="3">
        <f>3612.4+(880-1387.8)+(-5.526972+(-1.3464--2.123334))+0-332.6--0.508878000000019</f>
        <v>2767.7588400000004</v>
      </c>
      <c r="V133" s="3">
        <f>3874.4+(879.2-1616.9)+(-3.951888+(-0.896784--1.649238))+0-291.3--0.297126000000046</f>
        <v>2842.4976919999995</v>
      </c>
      <c r="W133" s="3">
        <f>3899.4+(653.5-1396.1)+(-1.988694+(-0.333285--0.712011))+0-354.8--0.180947999999964</f>
        <v>2800.57098</v>
      </c>
      <c r="X133" s="3">
        <f>3412.4+(571.7-807.2)+(-3.480648+(-0.583134--0.823344))+0-443.1--0.451962000000071</f>
        <v>2731.0115240000005</v>
      </c>
      <c r="Y133" s="3">
        <f>2983.5+(700.4-775.9)+(3.04317+(0.714408-0.791418))+0-306.7-0.312834000000049</f>
        <v>2603.9533260000003</v>
      </c>
      <c r="Z133" s="3">
        <f>3448.6+(631-947.4)+(-1.758786+(-0.32181--0.483174))+0-355--0.181049999999964</f>
        <v>2775.7836280000001</v>
      </c>
      <c r="AA133" s="3">
        <f>3884.5+(731.5-1318.8)+(-9.905475+(-1.865325--3.36294))+0-495.5--1.26352499999993</f>
        <v>2794.5556649999999</v>
      </c>
      <c r="AB133" s="3">
        <f>3593+(535.6-1109.2)+(1.83243+(0.273156-0.565692))+0-289.3-0.147542999999971</f>
        <v>2731.4923509999999</v>
      </c>
      <c r="AC133" s="3">
        <f>3546.5+(787.5-1142.6)+(-1.808715+(-0.401625--0.582726))+0-504.1--0.257090999999949</f>
        <v>2685.9294770000001</v>
      </c>
      <c r="AD133">
        <v>2801.3</v>
      </c>
      <c r="AE133" s="3">
        <f>3977+(812.5-1417.2)+(0+(0-0))+0-553-0</f>
        <v>2819.3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3550+(877.6-1379.9)+(-9.0525+(-2.23788--3.518745))+0-487.2--1.24235999999993</f>
        <v>2553.9707249999997</v>
      </c>
      <c r="G134" s="3">
        <f>3556.5+(747-1412.2)+(-7.25526+(-1.52388--2.880888))+0-478.5--0.976139999999979</f>
        <v>2407.877888</v>
      </c>
      <c r="H134" s="3">
        <f>3362.2+(787.8-1201.4)+(-12.003054+(-2.812446--4.288998))+0-603.8--2.15556600000001</f>
        <v>2336.4290639999995</v>
      </c>
      <c r="I134" s="3">
        <f>3086.7+(789.1-955.8)+(-1.574217+(-0.402441--0.487458))+0-625.9--0.319208999999937</f>
        <v>2292.9300089999997</v>
      </c>
      <c r="J134" s="3">
        <f>3094.9+(744.6-982.9)+(-1.578399+(-0.379746--0.501279))+0-561.8--0.286517999999943</f>
        <v>2293.6296520000005</v>
      </c>
      <c r="K134" s="3">
        <f>3080.9+(791.1-974)+(-1.571259+(-0.403461--0.49674))+0-603.7--0.307886999999939</f>
        <v>2293.1299069999995</v>
      </c>
      <c r="L134" s="3">
        <f>2808.5+(901.4-1069.6)+(-2.86467+(-0.919428--1.090992))+0-421--0.429420000000067</f>
        <v>2217.0363139999999</v>
      </c>
      <c r="M134" s="3">
        <f>2856.9+(706.5-771.4)+(4.371057+(1.080945-1.180242))+0-459.4-0.702882000000027</f>
        <v>2336.1688779999999</v>
      </c>
      <c r="N134" s="3">
        <f>2871.4+(829.7-720.3)+(-1.464414+(-0.423147--0.367353))+0-395.4--0.20165399999996</f>
        <v>2584.0814460000001</v>
      </c>
      <c r="O134" s="3">
        <f>2918.4+(901.2-553.9)+(4.465152+(1.378836-0.847467))+0-442.2-0.676566000000026</f>
        <v>2827.8199550000004</v>
      </c>
      <c r="P134" s="3">
        <f>3292.3+(700.3-677.8)+(3.358146+(0.714306-0.691356))+0-231.9-0.236538000000037</f>
        <v>3086.0445580000001</v>
      </c>
      <c r="Q134" s="3">
        <f>3879.5+(698.4-1375.9)+(3.95709+(0.712368-1.403418))+0-218.7-0.223074000000035</f>
        <v>2986.3429660000002</v>
      </c>
      <c r="R134" s="3">
        <f>3904.6+(970.2-1515.9)+(0+(0-0))+0-366-0</f>
        <v>2992.8999999999996</v>
      </c>
      <c r="S134" s="3">
        <f>3917.7+(983.7-1650.8)+(-1.998027+(-0.501687--0.841908))+0-389.4--0.19859399999996</f>
        <v>2859.7407879999996</v>
      </c>
      <c r="T134" s="3">
        <f>3902.8+(1100.6-1683.5)+(-3.980856+(-1.122612--1.71717))+0-452.6--0.461652000000072</f>
        <v>2864.3753540000002</v>
      </c>
      <c r="U134" s="3">
        <f>3894.5+(990.3-1657.2)+(-7.94478+(-2.020212--3.380688))+0-405.7--0.827627999999982</f>
        <v>2816.1433240000001</v>
      </c>
      <c r="V134" s="3">
        <f>3982+(697.3-1714.7)+(-2.03082+(-0.355623--0.874497))+0-183.5--0.0935849999999814</f>
        <v>2779.6816389999999</v>
      </c>
      <c r="W134" s="3">
        <f>4016.9+(536.3-1532.1)+(-4.097238+(-0.547026--1.562742))+0-279.6--0.285192000000045</f>
        <v>2738.7036700000003</v>
      </c>
      <c r="X134" s="3">
        <f>3875+(277.4-1236)+(-5.92875+(-0.424422--1.89108))+0-386.2--0.590886000000022</f>
        <v>2526.328794</v>
      </c>
      <c r="Y134" s="3">
        <f>3413.5+(445.8-893.8)+(3.48177+(0.454716-0.911676))+0-296.2-0.302124000000047</f>
        <v>2672.0226860000002</v>
      </c>
      <c r="Z134" s="3">
        <f>4042.6+(524.8-1277.2)+(2.061726+(0.267648-0.651372))+0-413.6-0.210935999999958</f>
        <v>2878.0670660000001</v>
      </c>
      <c r="AA134" s="3">
        <f>4175.5+(716.1-1431.4)+(-2.129505+(-0.365211--0.730014))+0-615.2--0.313751999999938</f>
        <v>2843.5490499999996</v>
      </c>
      <c r="AB134" s="3">
        <f>3948.3+(463-1231.1)+(-4.027266+(-0.47226--1.255722))+0-421.5--0.429930000000067</f>
        <v>2755.8861260000003</v>
      </c>
      <c r="AC134" s="3">
        <f>4015+(637.9-1338.6)+(2.04765+(0.325329-0.682686))+0-577.3-0.294422999999941</f>
        <v>2738.3958700000007</v>
      </c>
      <c r="AD134">
        <v>2876.3</v>
      </c>
      <c r="AE134" s="3">
        <f>4287+(799-1574.6)+(0+(0-0))+0-635.1-0</f>
        <v>2876.3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3761.4+(470-1208.8)+(1.918314+(0.2397-0.616488))+0-520-0.265199999999947</f>
        <v>2503.8763260000005</v>
      </c>
      <c r="G135" s="3">
        <f>3585.4+(688.3-1263.3)+(-7.314216+(-1.404132--2.577132))+0-601.3--1.22665199999997</f>
        <v>2404.1854360000002</v>
      </c>
      <c r="H135" s="3">
        <f>3279.6+(866-1269.1)+(-1.672596+(-0.44166--0.647241))+0-613.6--0.312935999999938</f>
        <v>2261.7459209999997</v>
      </c>
      <c r="I135" s="3">
        <f>3286.7+(907.1-1208)+(5.028651+(1.387863-1.84824))+0-614.5-0.940185000000035</f>
        <v>2374.928089</v>
      </c>
      <c r="J135" s="3">
        <f>3304.4+(917.7-1156.7)+(-1.685244+(-0.468027--0.589917))+0-667.7--0.340526999999932</f>
        <v>2396.4771729999998</v>
      </c>
      <c r="K135" s="3">
        <f>3201.9+(1104.2-1240.9)+(0+(0-0))+0-611.2-0</f>
        <v>2454</v>
      </c>
      <c r="L135" s="3">
        <f>3202.9+(1104.4-1246.1)+(-3.266958+(-1.126488--1.271022))+0-654.4--0.667488000000104</f>
        <v>2404.3450640000001</v>
      </c>
      <c r="M135" s="3">
        <f>3207.6+(885.1-1168.6)+(0+(0-0))+0-501.7-0</f>
        <v>2422.4</v>
      </c>
      <c r="N135" s="3">
        <f>3271.2+(861.6-942.9)+(1.668312+(0.439416-0.480879))+0-558.2-0.284681999999943</f>
        <v>2633.0421670000001</v>
      </c>
      <c r="O135" s="3">
        <f>3380.4+(771.7-927.3)+(6.896016+(1.574268-1.891692))+0-467.1-0.95288399999998</f>
        <v>2763.3257080000003</v>
      </c>
      <c r="P135" s="3">
        <f>3847+(466.6-1037.2)+(3.92394+(0.475932-1.057944))+0-420.4-0.428808000000067</f>
        <v>2858.9131199999997</v>
      </c>
      <c r="Q135" s="3">
        <f>4101.1+(717-1349)+(4.183122+(0.73134-1.37598))+0-530-0.540600000000084</f>
        <v>2942.097882</v>
      </c>
      <c r="R135" s="3">
        <f>4206.1+(883.5-1640)+(-6.435333+(-1.351755--2.5092))+0-495.4--0.757962000000029</f>
        <v>2949.6800740000003</v>
      </c>
      <c r="S135" s="3">
        <f>4206.2+(849.6-1729.5)+(-4.290324+(-0.866592--1.76409))+0-540.7--0.551514000000086</f>
        <v>2782.7586880000003</v>
      </c>
      <c r="T135" s="3">
        <f>4131.7+(1155.1-1862)+(0+(0-0))+0-507-0</f>
        <v>2917.7999999999997</v>
      </c>
      <c r="U135" s="3">
        <f>4105+(1108.4-1954.6)+(-4.1871+(-1.130568--1.993692))+0-505.1--0.515202000000081</f>
        <v>2750.8912260000002</v>
      </c>
      <c r="V135" s="3">
        <f>4053.5+(1004.2-1799.6)+(6.201855+(1.536426-2.753388))+0-594-0.908820000000034</f>
        <v>2668.1760730000001</v>
      </c>
      <c r="W135" s="3">
        <f>3848.5+(597.9-1321.3)+(-5.888205+(-0.914787--2.021589))+0-438.6--0.671058000000025</f>
        <v>2682.3896549999999</v>
      </c>
      <c r="X135" s="3">
        <f>3461.6+(399.6-810.5)+(-7.061664+(-0.815184--1.65342))+0-481.9--0.983075999999979</f>
        <v>2563.5596479999999</v>
      </c>
      <c r="Y135" s="3">
        <f>3361.4+(563.6-902.4)+(1.714314+(0.287436-0.460224))+0-488.8-0.24928799999995</f>
        <v>2535.0922380000002</v>
      </c>
      <c r="Z135" s="3">
        <f>3870.3+(690.9-1216.8)+(1.973853+(0.352359-0.620568))+0-388.2-0.197981999999961</f>
        <v>2957.7076620000003</v>
      </c>
      <c r="AA135" s="3">
        <f>3905.4+(747.5-1005.1)+(-9.95877+(-1.906125--2.563005))+0-553.9--1.41244499999992</f>
        <v>3086.0105549999998</v>
      </c>
      <c r="AB135" s="3">
        <f>3660.9+(567-947.7)+(-3.734118+(-0.57834--0.966654))+0-397.4--0.405348000000063</f>
        <v>2879.8595439999999</v>
      </c>
      <c r="AC135" s="3">
        <f>3570.7+(764.5-1066)+(-1.821057+(-0.389895--0.54366))+0-507.8--0.258977999999948</f>
        <v>2759.9916859999994</v>
      </c>
      <c r="AD135">
        <v>3166.4</v>
      </c>
      <c r="AE135" s="3">
        <f>3920+(853.5-1013.1)+(0+(0-0))+0-594-0</f>
        <v>3166.4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3678.6+(721.5-1243.3)+(-1.876086+(-0.367965--0.634083))+0-497.4--0.25367399999995</f>
        <v>2658.0437059999999</v>
      </c>
      <c r="G136" s="3">
        <f>3747.6+(820.5-1396.6)+(-9.55638+(-2.092275--3.56133))+0-657.7--1.6771349999999</f>
        <v>2507.3898099999997</v>
      </c>
      <c r="H136" s="3">
        <f>3555.2+(779.2-1377.4)+(-3.626304+(-0.794784--1.404948))+0-512.7--0.522954000000082</f>
        <v>2441.8068139999996</v>
      </c>
      <c r="I136" s="3">
        <f>3407.2+(974-1359.4)+(1.737672+(0.49674-0.693294))+0-656.7-0.334916999999933</f>
        <v>2366.3062009999994</v>
      </c>
      <c r="J136" s="3">
        <f>3509+(887.3-1469.2)+(-1.78959+(-0.452523--0.749292))+0-516.4--0.263363999999948</f>
        <v>2409.4705429999999</v>
      </c>
      <c r="K136" s="3">
        <f>3158.9+(959.4-1109.1)+(-1.611039+(-0.489294--0.565641))+0-630.9--0.321758999999936</f>
        <v>2377.0870669999999</v>
      </c>
      <c r="L136" s="3">
        <f>3037.6+(848.5-945.9)+(-4.647528+(-1.298205--1.447227))+0-582.8--0.891684000000034</f>
        <v>2353.7931779999999</v>
      </c>
      <c r="M136" s="3">
        <f>3020.6+(624.2-691.9)+(1.540506+(0.318342-0.352869))+0-542-0.276419999999945</f>
        <v>2412.129559</v>
      </c>
      <c r="N136" s="3">
        <f>3105.7+(838.3-721.8)+(0+(0-0))+0-606.4-0</f>
        <v>2615.7999999999997</v>
      </c>
      <c r="O136" s="3">
        <f>3523+(596.4-852.1)+(5.39019+(0.912492-1.303713))+0-492.3-0.753219000000029</f>
        <v>2779.24575</v>
      </c>
      <c r="P136" s="3">
        <f>3849.9+(609.6-1088.8)+(3.926898+(0.621792-1.110576))+0-470.2-0.479604000000075</f>
        <v>2903.4585100000004</v>
      </c>
      <c r="Q136" s="3">
        <f>4110+(844.6-1538.4)+(6.2883+(1.292238-2.353752))+0-452.7-0.692631000000026</f>
        <v>2968.0341550000003</v>
      </c>
      <c r="R136" s="3">
        <f>4145.8+(1227.9-1883.2)+(-2.114358+(-0.626229--0.960432))+0-532.5--0.271574999999946</f>
        <v>2956.4914199999998</v>
      </c>
      <c r="S136" s="3">
        <f>4126.4+(1140.5-1924)+(-2.104464+(-0.581655--0.98124))+0-550.4--0.280703999999944</f>
        <v>2791.0758249999994</v>
      </c>
      <c r="T136" s="3">
        <f>4069.2+(1209-1949.9)+(2.075292+(0.61659-0.994449))+0-438.1-0.223430999999956</f>
        <v>2891.6740019999997</v>
      </c>
      <c r="U136" s="3">
        <f>3782.3+(1151.9-1500.6)+(1.928973+(0.587469-0.765306))+0-564.5-0.287894999999943</f>
        <v>2870.5632410000003</v>
      </c>
      <c r="V136" s="3">
        <f>3844.3+(1011.3-1509.6)+(-1.960593+(-0.515763--0.769896))+0-500.8--0.255407999999949</f>
        <v>2843.7489479999999</v>
      </c>
      <c r="W136" s="3">
        <f>3894.4+(871.6-1337.5)+(-5.958432+(-1.333548--2.046375))+0-617.2--0.944316000000036</f>
        <v>2806.9987110000002</v>
      </c>
      <c r="X136" s="3">
        <f>3624.1+(540.9-942.4)+(-1.848291+(-0.275859--0.480624))+0-478.6--0.244085999999951</f>
        <v>2742.6005600000003</v>
      </c>
      <c r="Y136" s="3">
        <f>3873.3+(535.2-1193.6)+(-3.950766+(-0.545904--1.217472))+0-535.8--0.546516000000085</f>
        <v>2676.3673180000001</v>
      </c>
      <c r="Z136" s="3">
        <f>4093.2+(629-1449.3)+(-4.175064+(-0.64158--1.478286))+0-499--0.50898000000008</f>
        <v>2771.0706219999997</v>
      </c>
      <c r="AA136" s="3">
        <f>3739.1+(641.9-1148.6)+(-5.720823+(-0.982107--1.757358))+0-316.2--0.483786000000018</f>
        <v>2911.7382140000004</v>
      </c>
      <c r="AB136" s="3">
        <f>3643.5+(814.6-1100.4)+(1.858185+(0.415446-0.561204))+0-516.8-0.263567999999948</f>
        <v>2842.3488590000002</v>
      </c>
      <c r="AC136" s="3">
        <f>3917.7+(989.9-1436.4)+(-1.998027+(-0.504849--0.732564))+0-659.5--0.336344999999933</f>
        <v>2810.2660329999994</v>
      </c>
      <c r="AD136">
        <v>2860.8999999999996</v>
      </c>
      <c r="AE136" s="3">
        <f>4049+(625.4-1450.8)+(0+(0-0))+0-362.7-0</f>
        <v>2860.9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3821.1+(820.1-1370.2)+(0+(0-0))+0-603.8-0</f>
        <v>2667.2</v>
      </c>
      <c r="G137" s="3">
        <f>3702.6+(782.2-1272.4)+(-1.888326+(-0.398922--0.648924))+0-690.5--0.35215499999993</f>
        <v>2520.6138309999997</v>
      </c>
      <c r="H137" s="3">
        <f>3811.1+(683.7-1437.7)+(-3.887322+(-0.697374--1.466454))+0-617.5--0.629850000000099</f>
        <v>2437.1116080000002</v>
      </c>
      <c r="I137" s="3">
        <f>3905.6+(603.6-1395)+(-3.983712+(-0.615672--1.4229))+0-710.9--0.725118000000113</f>
        <v>2400.8486339999999</v>
      </c>
      <c r="J137" s="3">
        <f>3478+(857.3-1306.1)+(-7.09512+(-1.748892--2.664444))+0-598.9--1.22175599999997</f>
        <v>2425.3421879999996</v>
      </c>
      <c r="K137" s="3">
        <f>3177.7+(976.8-1125.9)+(-6.482508+(-1.992672--2.296836))+0-649.9--1.32579599999997</f>
        <v>2373.8474519999995</v>
      </c>
      <c r="L137" s="3">
        <f>3108.3+(874.3-1080.6)+(-6.340932+(-1.783572--2.204424))+0-580.1--1.18340399999997</f>
        <v>2317.1633240000001</v>
      </c>
      <c r="M137" s="3">
        <f>3052.6+(805.6-959.6)+(7.78413+(2.05428-2.44698))+0-502.4-1.28111999999993</f>
        <v>2402.3103099999998</v>
      </c>
      <c r="N137" s="3">
        <f>3125.1+(857.4-833.2)+(3.187602+(0.874548-0.849864))+0-570.4-0.581808000000091</f>
        <v>2581.5304779999997</v>
      </c>
      <c r="O137" s="3">
        <f>3433.5+(606.3-759.4)+(3.50217+(0.618426-0.774588))+0-549.3-0.560286000000088</f>
        <v>2733.885722</v>
      </c>
      <c r="P137" s="3">
        <f>3958.7+(596.9-1155.1)+(6.056811+(0.913257-1.767303))+0-553.9-0.847467000000032</f>
        <v>2850.9552979999999</v>
      </c>
      <c r="Q137" s="3">
        <f>3918.1+(815.8-1324.2)+(7.992924+(1.664232-2.701368))+0-492.2-1.00408799999998</f>
        <v>2923.4517000000001</v>
      </c>
      <c r="R137" s="3">
        <f>3835.9+(899.2-1465.1)+(3.912618+(0.917184-1.494402))+0-463.5-0.472770000000074</f>
        <v>2809.3626300000001</v>
      </c>
      <c r="S137" s="3">
        <f>3833.6+(1010.1-1580.2)+(-1.955136+(-0.515151--0.805902))+0-500.2--0.255101999999949</f>
        <v>2761.8907170000002</v>
      </c>
      <c r="T137" s="3">
        <f>3754+(926-1497.2)+(-1.91454+(-0.47226--0.763572))+0-463.7--0.236486999999953</f>
        <v>2717.7132590000006</v>
      </c>
      <c r="U137" s="3">
        <f>3697.7+(858.4-1324.7)+(-7.543308+(-1.751136--2.702388))+0-555.6--1.13342399999998</f>
        <v>2670.3413679999999</v>
      </c>
      <c r="V137" s="3">
        <f>3553.8+(841.1-1151.2)+(1.812438+(0.428961-0.587112))+0-567.9-0.289628999999942</f>
        <v>2677.1646580000001</v>
      </c>
      <c r="W137" s="3">
        <f>3702.5+(733.4-1217.7)+(-5.664825+(-1.122102--1.863081))+0-569.6--0.871488000000033</f>
        <v>2644.547642</v>
      </c>
      <c r="X137" s="3">
        <f>3646.9+(625-1027.4)+(-3.719838+(-0.6375--1.047948))+0-647.9--0.660858000000103</f>
        <v>2593.9514680000002</v>
      </c>
      <c r="Y137" s="3">
        <f>3507.2+(524.6-926.6)+(0+(0-0))+0-589.5-0</f>
        <v>2515.6999999999998</v>
      </c>
      <c r="Z137" s="3">
        <f>4093.3+(581.8-1505.7)+(-4.175166+(-0.593436--1.535814))+0-468.9--0.478278000000075</f>
        <v>2697.7454900000002</v>
      </c>
      <c r="AA137" s="3">
        <f>3859.8+(552.5-1349.3)+(-9.84249+(-1.408875--3.440715))+0-342.5--0.87337499999995</f>
        <v>2713.5627250000002</v>
      </c>
      <c r="AB137" s="3">
        <f>3697+(754.5-1155.3)+(-3.77094+(-0.76959--1.178406))+0-545--0.555900000000087</f>
        <v>2748.3937759999999</v>
      </c>
      <c r="AC137" s="3">
        <f>3824.5+(808.5-1448.9)+(-3.90099+(-0.82467--1.477878))+0-522.9--0.533358000000083</f>
        <v>2658.485576</v>
      </c>
      <c r="AD137">
        <v>2687.7</v>
      </c>
      <c r="AE137" s="3">
        <f>4132+(564.2-1593.8)+(0+(0-0))+0-414.7-0</f>
        <v>2687.7000000000003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4094.1+(828.4-1679.6)+(-2.087991+(-0.422484--0.856596))+0-678.3--0.345932999999931</f>
        <v>2563.292054</v>
      </c>
      <c r="G138" s="3">
        <f>4073.1+(731.1-1706.4)+(-4.154562+(-0.745722--1.740528))+0-649.3--0.662286000000104</f>
        <v>2446.0025300000002</v>
      </c>
      <c r="H138" s="3">
        <f>3753.9+(736.5-1474)+(-11.486934+(-2.25369--4.51044))+0-660.6--2.02143600000008</f>
        <v>2348.5912520000002</v>
      </c>
      <c r="I138" s="3">
        <f>3585.6+(748.7-1397.5)+(3.657312+(0.763674-1.42545))+0-645-0.657900000000103</f>
        <v>2294.1376359999999</v>
      </c>
      <c r="J138" s="3">
        <f>3458.2+(838.1-1303.9)+(-1.763682+(-0.427431--0.664989))+0-680.4--0.347003999999931</f>
        <v>2310.8208799999993</v>
      </c>
      <c r="K138" s="3">
        <f>3197+(851.1-1264.2)+(-1.63047+(-0.434061--0.644742))+0-568.6--0.289985999999942</f>
        <v>2214.1701969999999</v>
      </c>
      <c r="L138" s="3">
        <f>3173.7+(709.7-1234.9)+(-6.474348+(-1.447788--2.519196))+0-615.9--1.25643599999997</f>
        <v>2028.4534959999999</v>
      </c>
      <c r="M138" s="3">
        <f>3129.3+(588.6-1193.8)+(-6.383772+(-1.200744--2.435352))+0-517.3--1.05529199999998</f>
        <v>2002.7061280000005</v>
      </c>
      <c r="N138" s="3">
        <f>3110.6+(497.6-997.4)+(0+(0-0))+0-526.1-0</f>
        <v>2084.7000000000003</v>
      </c>
      <c r="O138" s="3">
        <f>3072.6+(635.8-971.1)+(0+(0-0))+0-551.8-0</f>
        <v>2185.5</v>
      </c>
      <c r="P138" s="3">
        <f>3078.3+(652.3-961.6)+(-3.139866+(-0.665346--0.980832))+0-461.6--0.470832000000074</f>
        <v>2305.046452</v>
      </c>
      <c r="Q138" s="3">
        <f>3126.8+(701-1047.9)+(3.189336+(0.71502-1.068858))+0-396.2-0.404124000000063</f>
        <v>2386.1313740000001</v>
      </c>
      <c r="R138" s="3">
        <f>3533+(646.3-1362)+(-3.60366+(-0.659226--1.38924))+0-427.3--0.435846000000068</f>
        <v>2387.5621999999998</v>
      </c>
      <c r="S138" s="3">
        <f>3770.3+(598.6-1493)+(1.922853+(0.305286-0.76143))+0-480.2-0.244901999999951</f>
        <v>2396.9218070000002</v>
      </c>
      <c r="T138" s="3">
        <f>4052.4+(633.7-1766.8)+(-2.066724+(-0.323187--0.901068))+0-479.5--0.244544999999951</f>
        <v>2438.5557020000001</v>
      </c>
      <c r="U138" s="3">
        <f>4102.3+(564.8-1821.1)+(-2.092173+(-0.288048--0.928761))+0-428.8--0.218687999999957</f>
        <v>2415.9672279999995</v>
      </c>
      <c r="V138" s="3">
        <f>4114.4+(573.8-1778.5)+(0+(0-0))+0-523.8-0</f>
        <v>2385.8999999999996</v>
      </c>
      <c r="W138" s="3">
        <f>4014.4+(609.3-1623.8)+(-8.189376+(-1.242972--3.312552))+0-629.4--1.28397599999997</f>
        <v>2365.6641800000002</v>
      </c>
      <c r="X138" s="3">
        <f>3583.8+(600.8-1363)+(-3.655476+(-0.612816--1.39026))+0-464.7--0.473994000000074</f>
        <v>2354.4959620000004</v>
      </c>
      <c r="Y138" s="3">
        <f>3588.4+(527.8-1183.1)+(-3.660168+(-0.538356--1.206762))+0-623.6--0.636072000000099</f>
        <v>2307.1443100000006</v>
      </c>
      <c r="Z138" s="3">
        <f>3662.6+(538.2-1186.7)+(-3.735852+(-0.548964--1.210434))+0-534.5--0.545190000000085</f>
        <v>2477.0708080000004</v>
      </c>
      <c r="AA138" s="3">
        <f>3802.6+(529.9-1246.9)+(-5.817978+(-0.810747--1.907757))+0-536.6--0.820998000000031</f>
        <v>2545.1000300000001</v>
      </c>
      <c r="AB138" s="3">
        <f>3939.7+(541.4-1439.6)+(-4.018494+(-0.552228--1.468392))+0-498.4--0.508368000000079</f>
        <v>2540.506038</v>
      </c>
      <c r="AC138" s="3">
        <f>4074.8+(613.6-1586.5)+(2.078148+(0.312936-0.809115))+0-500.9-0.255458999999949</f>
        <v>2602.3265099999999</v>
      </c>
      <c r="AD138">
        <v>2595.9000000000005</v>
      </c>
      <c r="AE138" s="3">
        <f>3926+(576.6-1305.6)+(0+(0-0))+0-601.1-0</f>
        <v>2595.9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3944.3+(643.5-1649.1)+(0+(0-0))+0-442.5-0</f>
        <v>2496.2000000000003</v>
      </c>
      <c r="G139" s="3">
        <f>3796.7+(760.3-1683.5)+(-1.936317+(-0.387753--0.858585))+0-452.5--0.230774999999954</f>
        <v>2419.7652899999998</v>
      </c>
      <c r="H139" s="3">
        <f>3641.7+(896.9-1586.1)+(-1.857267+(-0.457419--0.808911))+0-638.4--0.325583999999935</f>
        <v>2312.9198089999995</v>
      </c>
      <c r="I139" s="3">
        <f>3617.8+(913.8-1578)+(-3.690156+(-0.932076--1.60956))+0-643.7--0.656574000000103</f>
        <v>2307.5439020000008</v>
      </c>
      <c r="J139" s="3">
        <f>3707.3+(895.9-1578.3)+(-5.672169+(-1.370727--2.414799))+0-671.2--1.02693600000004</f>
        <v>2350.0988390000002</v>
      </c>
      <c r="K139" s="3">
        <f>3305.5+(922.9-1315.9)+(-5.057415+(-1.412037--2.013327))+0-575--0.879750000000033</f>
        <v>2333.9236249999999</v>
      </c>
      <c r="L139" s="3">
        <f>3187.1+(887.4-1018.6)+(-1.625421+(-0.452574--0.519486))+0-632.7--0.322676999999936</f>
        <v>2421.9641679999995</v>
      </c>
      <c r="M139" s="3">
        <f>3311.3+(590.3-976.8)+(3.377526+(0.602106-0.996336))+0-547.2-0.558144000000087</f>
        <v>2380.0251519999997</v>
      </c>
      <c r="N139" s="3">
        <f>3282+(618.3-735.1)+(5.02146+(0.945999-1.124703))+0-575.3-0.880209000000033</f>
        <v>2593.8625469999997</v>
      </c>
      <c r="O139" s="3">
        <f>3245.6+(644.3-662.2)+(1.655256+(0.328593-0.337722))+0-502.9-0.256478999999949</f>
        <v>2726.1896479999996</v>
      </c>
      <c r="P139" s="3">
        <f>3295.9+(505.5-421.1)+(0+(0-0))+0-513-0</f>
        <v>2867.3</v>
      </c>
      <c r="Q139" s="3">
        <f>3523.8+(608.8-642.1)+(1.797138+(0.310488-0.327471))+0-625.3-0.318902999999937</f>
        <v>2866.6612520000003</v>
      </c>
      <c r="R139" s="3">
        <f>3871.3+(619-1252.4)+(1.974363+(0.31569-0.638724))+0-318.7-0.162536999999968</f>
        <v>2920.6887919999999</v>
      </c>
      <c r="S139" s="3">
        <f>3943.7+(674.8-1431.6)+(-2.011287+(-0.344148--0.730116))+0-362.2--0.184721999999963</f>
        <v>2823.2594029999996</v>
      </c>
      <c r="T139" s="3">
        <f>3934.8+(775.9-1359.7)+(2.006748+(0.395709-0.693447))+0-338.4-0.172583999999966</f>
        <v>3014.136426</v>
      </c>
      <c r="U139" s="3">
        <f>3980.4+(728.5-1379.9)+(-6.090012+(-1.114605--2.111247))+0-400--0.612000000000023</f>
        <v>2924.51863</v>
      </c>
      <c r="V139" s="3">
        <f>4162.1+(795.7-1534.7)+(-2.122671+(-0.405807--0.782697))+0-569.5--0.290444999999942</f>
        <v>2852.1446640000004</v>
      </c>
      <c r="W139" s="3">
        <f>4125.4+(721.8-1604.4)+(-8.415816+(-1.472472--3.272976))+0-614.5--1.25357999999997</f>
        <v>2622.9382679999994</v>
      </c>
      <c r="X139" s="3">
        <f>4219.8+(450.9-1664.5)+(0+(0-0))+0-450-0</f>
        <v>2556.2000000000003</v>
      </c>
      <c r="Y139" s="3">
        <f>4142.3+(570.5-1468.2)+(6.337719+(0.872865-2.246346))+0-583.5-0.892755000000034</f>
        <v>2665.1714830000005</v>
      </c>
      <c r="Z139" s="3">
        <f>4269.5+(602.5-1527.6)+(2.177445+(0.307275-0.779076))+0-521.8-0.266117999999947</f>
        <v>2824.039526</v>
      </c>
      <c r="AA139" s="3">
        <f>4406.2+(621.1-1615.1)+(-6.741486+(-0.950283--2.471103))+0-569.5--0.871335000000033</f>
        <v>2838.3506689999995</v>
      </c>
      <c r="AB139" s="3">
        <f>4440.3+(571.5-1831.7)+(6.793659+(0.874395-2.802501))+0-426.9-0.653157000000025</f>
        <v>2757.4123960000002</v>
      </c>
      <c r="AC139" s="3">
        <f>4437.9+(637.5-1888)+(-2.263329+(-0.325125--0.96288))+0-339.8--0.173297999999966</f>
        <v>2846.1477239999995</v>
      </c>
      <c r="AD139">
        <v>2906.6</v>
      </c>
      <c r="AE139" s="3">
        <f>4382+(708.5-1623.9)+(0+(0-0))+0-560-0</f>
        <v>2906.6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4317.4+(641.9-1922.1)+(2.201874+(0.327369-0.980271))+0-339.1-0.172940999999966</f>
        <v>2699.4760310000001</v>
      </c>
      <c r="G140" s="3">
        <f>4082.1+(707.7-1727.2)+(0+(0-0))+0-517.2-0</f>
        <v>2545.3999999999996</v>
      </c>
      <c r="H140" s="3">
        <f>3857.7+(697.1-1571.8)+(5.902281+(1.066563-2.404854))+0-505.5-0.773415000000029</f>
        <v>2481.290575</v>
      </c>
      <c r="I140" s="3">
        <f>3747.2+(751-1511.6)+(0+(0-0))+0-631.3-0</f>
        <v>2355.3000000000002</v>
      </c>
      <c r="J140" s="3">
        <f>3815.8+(707.8-1445.7)+(1.946058+(0.360978-0.737307))+0-605.1-0.308600999999939</f>
        <v>2474.0611280000003</v>
      </c>
      <c r="K140" s="3">
        <f>3582.4+(676.8-1383.5)+(-1.827024+(-0.345168--0.705585))+0-434.4--0.221543999999956</f>
        <v>2440.0549369999999</v>
      </c>
      <c r="L140" s="3">
        <f>3458.9+(729.6-1269)+(-12.348273+(-2.604672--4.53033))+0-463.4--1.65433800000001</f>
        <v>2447.3317229999998</v>
      </c>
      <c r="M140" s="3">
        <f>3372.1+(570.7-1180.8)+(1.719771+(0.291057-0.602208))+0-296.4-0.15116399999997</f>
        <v>2466.8574560000002</v>
      </c>
      <c r="N140" s="3">
        <f>3307.1+(555.5-938.4)+(3.373242+(0.56661-0.957168))+0-249.1-0.25408200000004</f>
        <v>2677.828602</v>
      </c>
      <c r="O140" s="3">
        <f>3358.8+(652-944)+(1.712988+(0.33252-0.48144))+0-274.1-0.139790999999972</f>
        <v>2794.1242770000003</v>
      </c>
      <c r="P140" s="3">
        <f>3382.6+(723.6-972.2)+(3.450252+(0.738072-0.991644))+0-226.1-0.230622000000036</f>
        <v>2910.8660580000001</v>
      </c>
      <c r="Q140" s="3">
        <f>3796+(688.4-1252.4)+(-1.93596+(-0.351084--0.638724))+0-235.8--0.120257999999976</f>
        <v>2994.671938</v>
      </c>
      <c r="R140" s="3">
        <f>4262.4+(849.1-1793.2)+(0+(0-0))+0-230.7-0</f>
        <v>3087.6</v>
      </c>
      <c r="S140" s="3">
        <f>4332.4+(823-1958.8)+(-11.04762+(-2.09865--4.99494))+0-297.6--0.758879999999957</f>
        <v>2891.6075499999993</v>
      </c>
      <c r="T140" s="3">
        <f>4322.1+(897.2-1904.1)+(-4.408542+(-0.915144--1.942182))+0-373.9--0.38137800000006</f>
        <v>2938.2998740000007</v>
      </c>
      <c r="U140" s="3">
        <f>4295.8+(643.1-1876.2)+(-2.190858+(-0.327981--0.956862))+0-337.9--0.172328999999966</f>
        <v>2723.4103520000003</v>
      </c>
      <c r="V140" s="3">
        <f>4152.9+(633-1720.5)+(6.353937+(0.96849-2.632365))+0-362.9-0.555237000000021</f>
        <v>2706.6348249999996</v>
      </c>
      <c r="W140" s="3">
        <f>4009.9+(665.7-1586.2)+(-2.045049+(-0.339507--0.808962))+0-308.6--0.157385999999969</f>
        <v>2779.3817920000001</v>
      </c>
      <c r="X140" s="3">
        <f>4109.4+(113.5-1287.4)+(-8.383176+(-0.23154--2.626296))+59.2-343.6--0.700943999999985</f>
        <v>2645.8125239999995</v>
      </c>
      <c r="Y140" s="3">
        <f>3817.6+(109.8-979.9)+(-5.840928+(-0.167994--1.499247))+0-357.2--0.546516000000021</f>
        <v>2586.3368410000003</v>
      </c>
      <c r="Z140" s="3">
        <f>3917.6+(192.3-1137.9)+(-1.997976+(-0.098073--0.580329))+0-337.1--0.171920999999966</f>
        <v>2633.5562010000003</v>
      </c>
      <c r="AA140" s="3">
        <f>3958.4+(365.8-1217.5)+(-8.075136+(-0.746232--2.4837))+0-325.6--0.664223999999986</f>
        <v>2775.4265559999999</v>
      </c>
      <c r="AB140" s="3">
        <f>3996.6+(366.1-1257)+(-4.076532+(-0.373422--1.28214))+0-368.5--0.375870000000059</f>
        <v>2734.4080559999998</v>
      </c>
      <c r="AC140" s="3">
        <f>4360.3+(666.7-1597.2)+(0+(0-0))+0-594.9-0</f>
        <v>2834.9</v>
      </c>
      <c r="AD140">
        <v>2844.8</v>
      </c>
      <c r="AE140" s="3">
        <f>3933+(306.6-1063.5)+(0+(0-0))+0-331.3-0</f>
        <v>2844.7999999999997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4181.1+(577.6-1554.8)+(-12.794166+(-1.767456--4.757688))+0-535--1.63710000000006</f>
        <v>2660.7331660000004</v>
      </c>
      <c r="G141" s="3">
        <f>3889.6+(705.7-1499.6)+(-9.91848+(-1.799535--3.82398))+0-583.9--1.48894499999992</f>
        <v>2505.39491</v>
      </c>
      <c r="H141" s="3">
        <f>3846.5+(686.3-1513.7)+(-1.961715+(-0.350013--0.771987))+0-578--0.294779999999941</f>
        <v>2439.8550389999996</v>
      </c>
      <c r="I141" s="3">
        <f>3756+(763.1-1519.2)+(1.91556+(0.389181-0.774792))+0-582.4-0.297023999999941</f>
        <v>2418.7329250000003</v>
      </c>
      <c r="J141" s="3">
        <f>3812.8+(744-1542)+(-3.889056+(-0.75888--1.57284))+0-578.2--0.589764000000092</f>
        <v>2434.1146680000002</v>
      </c>
      <c r="K141" s="3">
        <f>3548.2+(784-1262.5)+(-5.428746+(-1.19952--1.931625))+0-551.4--0.843642000000032</f>
        <v>2514.4470009999995</v>
      </c>
      <c r="L141" s="3">
        <f>3413.9+(824-1076.8)+(-10.446534+(-2.52144--3.295008))+0-653.7--2.00032200000008</f>
        <v>2499.7273560000003</v>
      </c>
      <c r="M141" s="3">
        <f>3375.2+(589.1-1034.4)+(-3.442704+(-0.600882--1.055088))+0-465.4--0.474708000000074</f>
        <v>2461.9862099999996</v>
      </c>
      <c r="N141" s="3">
        <f>3421.1+(685.8-913.3)+(3.489522+(0.699516-0.931566))+0-587.1-0.598842000000094</f>
        <v>2609.1586299999999</v>
      </c>
      <c r="O141" s="3">
        <f>3518.7+(743.1-999)+(-5.383611+(-1.136943--1.52847))+0-469.1--0.717723000000027</f>
        <v>2789.425639</v>
      </c>
      <c r="P141" s="3">
        <f>3922.6+(630.2-1222.6)+(2.000526+(0.321402-0.623526))+0-434.6-0.221645999999956</f>
        <v>2897.0767559999999</v>
      </c>
      <c r="Q141" s="3">
        <f>4291.9+(722.2-1372.9)+(0+(0-0))+0-549.1-0</f>
        <v>3092.1</v>
      </c>
      <c r="R141" s="3">
        <f>4396.4+(762.9-1725.3)+(-2.242164+(-0.389079--0.879903))+0-316.9--0.161618999999968</f>
        <v>3115.5102789999996</v>
      </c>
      <c r="S141" s="3">
        <f>4315.5+(696.4-1791.6)+(-4.40181+(-0.710328--1.827432))+0-334.7--0.341394000000053</f>
        <v>2882.6566880000005</v>
      </c>
      <c r="T141" s="3">
        <f>4347+(784.8-1883.4)+(2.21697+(0.400248-0.960534))+0-342.3-0.174572999999965</f>
        <v>2907.5821109999997</v>
      </c>
      <c r="U141" s="3">
        <f>4359.7+(846.3-1985)+(-6.670341+(-1.294839--3.03705))+0-374.5--0.572985000000022</f>
        <v>2842.1448550000005</v>
      </c>
      <c r="V141" s="3">
        <f>4358.2+(739.1-1950.2)+(-11.11341+(-1.884705--4.97301))+0-334.8--0.853739999999951</f>
        <v>2805.1286349999996</v>
      </c>
      <c r="W141" s="3">
        <f>4350.8+(721.5-1725.3)+(-8.875632+(-1.47186--3.519612))+0-553.2--1.12852799999998</f>
        <v>2788.1006480000005</v>
      </c>
      <c r="X141" s="3">
        <f>3777.2+(519.5-1024.3)+(-11.558232+(-1.58967--3.134358))+0-560.9--1.71635400000006</f>
        <v>2703.2028099999998</v>
      </c>
      <c r="Y141" s="3">
        <f>3729+(411.1-856.6)+(-3.80358+(-0.419322--0.873732))+0-506.9--0.517038000000081</f>
        <v>2773.7678679999999</v>
      </c>
      <c r="Z141" s="3">
        <f>4136.9+(697.9-1421.5)+(0+(0-0))+0-549-0</f>
        <v>2864.2999999999997</v>
      </c>
      <c r="AA141" s="3">
        <f>4452.9+(779.3-1835)+(-15.896853+(-2.782101--6.55095))+0-538.6--1.92280200000001</f>
        <v>2848.3947979999998</v>
      </c>
      <c r="AB141" s="3">
        <f>4342.9+(796.8-1839.4)+(-6.644637+(-1.219104--2.814282))+0-457.1--0.699363000000026</f>
        <v>2838.8499039999997</v>
      </c>
      <c r="AC141" s="3">
        <f>4127.5+(938.4-1803.8)+(-4.21005+(-0.957168--1.839876))+0-490.7--0.500514000000078</f>
        <v>2768.5731720000003</v>
      </c>
      <c r="AD141">
        <v>2823.9</v>
      </c>
      <c r="AE141" s="3">
        <f>4446+(925.8-1845.5)+(0+(0-0))+0-702.4-0</f>
        <v>2823.9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3869.8+(847.4-1758.5)+(-3.947196+(-0.864348--1.79367))+0-326--0.332520000000052</f>
        <v>2630.0146460000001</v>
      </c>
      <c r="G142" s="3">
        <f>3983.1+(933.6-1682.9)+(-2.031381+(-0.476136--0.858279))+0-674.4--0.343943999999932</f>
        <v>2558.0947059999994</v>
      </c>
      <c r="H142" s="3">
        <f>3797.6+(950.9-1637.8)+(0+(0-0))+0-643.6-0</f>
        <v>2467.1</v>
      </c>
      <c r="I142" s="3">
        <f>3691.6+(908.3-1478)+(-5.648148+(-1.389699--2.26134))+0-654.8--1.00184400000004</f>
        <v>2463.3253369999998</v>
      </c>
      <c r="J142" s="3">
        <f>3641.9+(869.5-1337.1)+(5.572107+(1.330335-2.045763))+0-684.6-1.04743800000004</f>
        <v>2493.5092410000002</v>
      </c>
      <c r="K142" s="3">
        <f>3301.4+(866.2-1189.1)+(-6.734856+(-1.767048--2.425764))+0-544.7--1.11118799999998</f>
        <v>2428.8350479999999</v>
      </c>
      <c r="L142" s="3">
        <f>3161+(876.1-1260.2)+(-4.83633+(-1.340433--1.928106))+0-376.5--0.576045000000022</f>
        <v>2396.7273880000002</v>
      </c>
      <c r="M142" s="3">
        <f>3114+(907.3-1118)+(1.58814+(0.462723-0.57018))+0-440.7-0.224756999999955</f>
        <v>2463.8559260000006</v>
      </c>
      <c r="N142" s="3">
        <f>3105.5+(920.1-905.3)+(1.583805+(0.469251-0.461703))+0-489.8-0.24979799999995</f>
        <v>2631.841555</v>
      </c>
      <c r="O142" s="3">
        <f>3184.9+(934.6-729.6)+(3.248598+(0.953292-0.744192))+0-577.7-0.589254000000092</f>
        <v>2815.068444</v>
      </c>
      <c r="P142" s="3">
        <f>3651.3+(917.8-1105.3)+(0+(0-0))+0-509.1-0</f>
        <v>2954.7000000000003</v>
      </c>
      <c r="Q142" s="3">
        <f>4177.3+(1159.9-1780.4)+(4.260846+(1.183098-1.816008))+0-504.5-0.51459000000008</f>
        <v>3055.4133459999998</v>
      </c>
      <c r="R142" s="3">
        <f>4145.8+(1037.1-1934.7)+(2.114358+(0.528921-0.986697))+0-316.6-0.161465999999968</f>
        <v>2933.095116</v>
      </c>
      <c r="S142" s="3">
        <f>4023.2+(935.5-1933.7)+(-6.155496+(-1.431315--2.958561))+0-340.6--0.52111800000002</f>
        <v>2680.292868</v>
      </c>
      <c r="T142" s="3">
        <f>4059.2+(1008.3-1876.1)+(0+(0-0))+0-359.5-0</f>
        <v>2831.8999999999996</v>
      </c>
      <c r="U142" s="3">
        <f>4107.1+(1026.5-2006.3)+(-6.283863+(-1.570545--3.069639))+0-368.8--0.564264000000021</f>
        <v>2754.2794950000002</v>
      </c>
      <c r="V142" s="3">
        <f>4093.1+(1026-1961.4)+(-10.437405+(-2.6163--5.00157))+0-397.3--1.01311499999994</f>
        <v>2753.3609799999995</v>
      </c>
      <c r="W142" s="3">
        <f>3853.7+(933-1443.7)+(-5.896161+(-1.42749--2.208861))+0-523.9--0.80156700000003</f>
        <v>2814.7867769999998</v>
      </c>
      <c r="X142" s="3">
        <f>3560.6+(865.9-1127.5)+(-3.631812+(-0.883218--1.15005))+0-568.9--0.580278000000091</f>
        <v>2727.315298</v>
      </c>
      <c r="Y142" s="3">
        <f>3265.3+(767.3-812.4)+(3.330606+(0.782646-0.828648))+0-549.8-0.560796000000088</f>
        <v>2673.1238079999998</v>
      </c>
      <c r="Z142" s="3">
        <f>3457.2+(855.4-1038.2)+(-7.052688+(-1.745016--2.117928))+0-550--1.12199999999998</f>
        <v>2718.8422239999995</v>
      </c>
      <c r="AA142" s="3">
        <f>3529.8+(923-1143.8)+(-9.00099+(-2.35365--2.91669))+0-610.2--1.55600999999991</f>
        <v>2691.9180599999995</v>
      </c>
      <c r="AB142" s="3">
        <f>3448.4+(971.5-1140.1)+(-3.517368+(-0.99093--1.162902))+0-583.6--0.595272000000093</f>
        <v>2693.4498760000001</v>
      </c>
      <c r="AC142" s="3">
        <f>3435.4+(1040.1-1204.1)+(-3.504108+(-1.060902--1.228182))+0-614.2--0.626484000000098</f>
        <v>2654.4896560000002</v>
      </c>
      <c r="AD142">
        <v>2840.6000000000004</v>
      </c>
      <c r="AE142" s="3">
        <f>3707+(934.1-1177.8)+(0+(0-0))+0-622.7-0</f>
        <v>2840.6000000000004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3397.2+(975.9-1072.7)+(-8.66286+(-2.488545--2.735385))+0-684.2--1.7447099999999</f>
        <v>2609.5286899999992</v>
      </c>
      <c r="G143" s="3">
        <f>3396.4+(983.9-1137.3)+(-8.66082+(-2.508945--2.900115))+0-630.2--1.60700999999991</f>
        <v>2606.1373599999997</v>
      </c>
      <c r="H143" s="3">
        <f>3379.4+(948.2-1120.4)+(-8.61747+(-2.41791--2.85702))+0-712.9--1.8178949999999</f>
        <v>2487.9395349999995</v>
      </c>
      <c r="I143" s="3">
        <f>3214.9+(846.6-964.7)+(-3.279198+(-0.863532--0.983994))+0-664.9--0.678198000000106</f>
        <v>2429.4194620000003</v>
      </c>
      <c r="J143" s="3">
        <f>3197.7+(840.5-851)+(-4.892481+(-1.285965--1.30203))+0-723.2--1.10649600000004</f>
        <v>2460.2300799999998</v>
      </c>
      <c r="K143" s="3">
        <f>3224.6+(775.8-892.2)+(-1.644546+(-0.395658--0.455022))+0-688.9--0.35133899999993</f>
        <v>2418.0661569999997</v>
      </c>
      <c r="L143" s="3">
        <f>3251.9+(775.4-908)+(-9.950814+(-2.372724--2.77848))+0-695.4--2.12792400000008</f>
        <v>2416.4828659999998</v>
      </c>
      <c r="M143" s="3">
        <f>3261.5+(708.5-941.7)+(0+(0-0))+0-548.9-0</f>
        <v>2479.4</v>
      </c>
      <c r="N143" s="3">
        <f>3262.4+(819.4-925.9)+(0+(0-0))+0-562.6-0</f>
        <v>2593.3000000000002</v>
      </c>
      <c r="O143" s="3">
        <f>3648.1+(744.5-991.1)+(0+(0-0))+0-626-0</f>
        <v>2775.5</v>
      </c>
      <c r="P143" s="3">
        <f>3812.4+(781.3-1169.8)+(-1.944324+(-0.398463--0.596598))+0-501.9--0.255968999999949</f>
        <v>2920.5097799999999</v>
      </c>
      <c r="Q143" s="3">
        <f>3765.5+(1040.1-1229.6)+(7.68162+(2.121804-2.508384))+0-598.5-1.22093999999997</f>
        <v>2983.5740999999998</v>
      </c>
      <c r="R143" s="3">
        <f>4090.4+(1295.5-1745.8)+(-8.344416+(-2.64282--3.561432))+0-607.3--1.23889199999997</f>
        <v>3026.6130880000005</v>
      </c>
      <c r="S143" s="3">
        <f>4148.7+(1210.7-1988.2)+(-10.579185+(-3.087285--5.06991))+0-542.4--1.38311999999992</f>
        <v>2821.5865599999997</v>
      </c>
      <c r="T143" s="3">
        <f>4301.7+(1287.5-2206)+(-2.193867+(-0.656625--1.12506))+0-461.7--0.235466999999953</f>
        <v>2920.0100349999998</v>
      </c>
      <c r="U143" s="3">
        <f>4372.7+(1248.5-2211)+(-4.460154+(-1.27347--2.25522))+0-493.9--0.503778000000079</f>
        <v>2913.325374</v>
      </c>
      <c r="V143" s="3">
        <f>4378.6+(1104.4-2100.1)+(-2.233086+(-0.563244--1.071051))+0-512.9--0.261578999999948</f>
        <v>2868.5363000000007</v>
      </c>
      <c r="W143" s="3">
        <f>4349+(893.1-1937.1)+(-4.43598+(-0.910962--1.975842))+0-513.9--0.524178000000082</f>
        <v>2788.2530780000002</v>
      </c>
      <c r="X143" s="3">
        <f>3933.6+(806.9-1422.8)+(-6.018408+(-1.234557--2.176884))+0-543.1--0.830943000000031</f>
        <v>2770.3548619999997</v>
      </c>
      <c r="Y143" s="3">
        <f>3812.7+(716.4-1289.5)+(-3.888954+(-0.730728--1.31529))+0-516.5--0.526830000000082</f>
        <v>2720.3224380000001</v>
      </c>
      <c r="Z143" s="3">
        <f>4118+(884.5-1596.3)+(-8.40072+(-1.80438--3.256452))+0-552.4--1.12689599999998</f>
        <v>2847.9782479999994</v>
      </c>
      <c r="AA143" s="3">
        <f>4370.4+(856.7-1825)+(-11.14452+(-2.184585--4.65375))+0-568.6--1.44992999999992</f>
        <v>2826.2745749999995</v>
      </c>
      <c r="AB143" s="3">
        <f>4390.2+(829.9-1734)+(-6.717006+(-1.269747--2.65302))+0-571.1--0.873783000000033</f>
        <v>2910.5400500000001</v>
      </c>
      <c r="AC143" s="3">
        <f>4336.9+(860.7-1797.2)+(-4.423638+(-0.877914--1.833144))+0-592--0.603840000000094</f>
        <v>2805.5354319999997</v>
      </c>
      <c r="AD143">
        <v>2844</v>
      </c>
      <c r="AE143" s="3">
        <f>4465+(878.7-1881.7)+(0+(0-0))+0-618-0</f>
        <v>2844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4465.9+(909.7-1942.7)+(-11.388045+(-2.319735--4.953885))+0-709.3--1.8087149999999</f>
        <v>2716.6548199999997</v>
      </c>
      <c r="G144" s="3">
        <f>4461.1+(567.6-1869.5)+(-4.550322+(-0.578952--1.90689))+0-577.7--0.589254000000092</f>
        <v>2578.8668700000003</v>
      </c>
      <c r="H144" s="3">
        <f>4266.6+(660.4-1739.6)+(-2.175966+(-0.336804--0.887196))+0-731.5--0.373064999999926</f>
        <v>2454.6474910000002</v>
      </c>
      <c r="I144" s="3">
        <f>4209+(497.8-1684.8)+(0+(0-0))+0-592-0</f>
        <v>2430</v>
      </c>
      <c r="J144" s="3">
        <f>4221.3+(385.6-1606)+(6.458589+(0.589968-2.45718))+0-597.5-0.914175000000034</f>
        <v>2407.0772020000004</v>
      </c>
      <c r="K144" s="3">
        <f>3992.7+(525-1431.8)+(-14.253939+(-1.87425--5.111526))+0-678.2--2.42117400000001</f>
        <v>2399.1045109999995</v>
      </c>
      <c r="L144" s="3">
        <f>3544.6+(851.4-1356.7)+(-10.846476+(-2.605284--4.151502))+0-604.3--1.84915800000007</f>
        <v>2427.5488999999998</v>
      </c>
      <c r="M144" s="3">
        <f>3122.3+(894.8-1052)+(-1.592373+(-0.456348--0.53652))+0-569.8--0.290597999999942</f>
        <v>2394.0783970000007</v>
      </c>
      <c r="N144" s="3">
        <f>3184.6+(837.7-925.2)+(4.872438+(1.281681-1.415556))+0-511-0.78183000000003</f>
        <v>2590.0567329999999</v>
      </c>
      <c r="O144" s="3">
        <f>3638.9+(849.8-1062.2)+(-3.711678+(-0.866796--1.083444))+0-629.2--0.6417840000001</f>
        <v>2794.4467540000001</v>
      </c>
      <c r="P144" s="3">
        <f>3950.7+(984-1445.3)+(2.014857+(0.50184-0.737103))+0-596.2-0.30406199999994</f>
        <v>2894.6755319999993</v>
      </c>
      <c r="Q144" s="3">
        <f>4150.7+(1044-1827.5)+(-4.233714+(-1.06488--1.86405))+0-387--0.394740000000062</f>
        <v>2977.1601959999998</v>
      </c>
      <c r="R144" s="3">
        <f>4123.9+(1090.3-2075.2)+(-2.103189+(-0.556053--1.058352))+0-239--0.121889999999976</f>
        <v>2898.5209999999997</v>
      </c>
      <c r="S144" s="3">
        <f>4110.9+(1232.7-2206.1)+(-4.193118+(-1.257354--2.250222))+0-320.4--0.326808000000051</f>
        <v>2814.2265580000003</v>
      </c>
      <c r="T144" s="3">
        <f>4039+(1306.3-2053.2)+(2.05989+(0.666213-1.047132))+0-489.5-0.24964499999995</f>
        <v>2804.0293260000003</v>
      </c>
      <c r="U144" s="3">
        <f>3880.3+(1304.1-1873.2)+(-3.957906+(-1.330182--1.910664))+0-510.5--0.520710000000081</f>
        <v>2797.8432860000003</v>
      </c>
      <c r="V144" s="3">
        <f>3900.6+(1229.3-1819.3)+(0+(0-0))+0-586.8-0</f>
        <v>2723.8</v>
      </c>
      <c r="W144" s="3">
        <f>4023.5+(1015.5-1875.2)+(-2.051985+(-0.517905--0.956352))+0-461.1--0.235160999999953</f>
        <v>2701.3216230000003</v>
      </c>
      <c r="X144" s="3">
        <f>3890.3+(747.3-1550.7)+(-13.888371+(-2.667861--5.535999))+0-487.1--1.73894700000001</f>
        <v>2590.5187139999998</v>
      </c>
      <c r="Y144" s="3">
        <f>3551.3+(722.2-1185)+(-3.622326+(-0.736644--1.2087))+0-559.7--0.570894000000089</f>
        <v>2526.220624</v>
      </c>
      <c r="Z144" s="3">
        <f>3899.9+(955-1612.2)+(-11.933694+(-2.9223--4.933332))+0-540.7--1.65454200000006</f>
        <v>2693.7318800000003</v>
      </c>
      <c r="AA144" s="3">
        <f>3782.1+(956.8-1424.6)+(-1.928871+(-0.487968--0.726546))+0-565.2--0.288251999999943</f>
        <v>2747.6979589999996</v>
      </c>
      <c r="AB144" s="3">
        <f>4149.1+(878.9-1779.4)+(0+(0-0))+0-543.6-0</f>
        <v>2705.0000000000005</v>
      </c>
      <c r="AC144" s="3">
        <f>4128.4+(915.7-1760.4)+(0+(0-0))+0-580.4-0</f>
        <v>2703.2999999999997</v>
      </c>
      <c r="AD144">
        <v>2728.9000000000005</v>
      </c>
      <c r="AE144" s="3">
        <f>3492+(1050.1-1289.2)+(0+(0-0))+0-524-0</f>
        <v>2728.8999999999996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4142.2+(828.5-1790.8)+(2.112522+(0.422535-0.913308))+0-570.9-0.291158999999942</f>
        <v>2610.3305899999996</v>
      </c>
      <c r="G145" s="3">
        <f>4080.1+(742.4-1719.7)+(-2.080851+(-0.378624--0.877047))+0-619.8--0.316097999999937</f>
        <v>2481.7336699999992</v>
      </c>
      <c r="H145" s="3">
        <f>4087.6+(753.8-1878.4)+(2.084676+(0.384438-0.957984))+0-553-0.282029999999944</f>
        <v>2411.2291</v>
      </c>
      <c r="I145" s="3">
        <f>4098.4+(636.1-1766.1)+(-2.090184+(-0.324411--0.900711))+0-611.1--0.311660999999938</f>
        <v>2356.0977769999995</v>
      </c>
      <c r="J145" s="3">
        <f>4041+(515.5-1704.5)+(4.12182+(0.52581-1.73859))+0-515.5-0.525810000000082</f>
        <v>2338.8832299999999</v>
      </c>
      <c r="K145" s="3">
        <f>3527.7+(720.7-1316.1)+(-8.995635+(-1.837785--3.356055))+0-659.1--1.6807049999999</f>
        <v>2267.4033399999998</v>
      </c>
      <c r="L145" s="3">
        <f>2914.4+(918.3-1161.6)+(-2.972688+(-0.936666--1.184832))+0-555.7--0.566814000000089</f>
        <v>2113.2422920000004</v>
      </c>
      <c r="M145" s="3">
        <f>2851.6+(929.3-1199.8)+(1.454316+(0.473943-0.611898))+0-523-0.266729999999947</f>
        <v>2059.1496310000002</v>
      </c>
      <c r="N145" s="3">
        <f>2939.7+(827.7-1066.5)+(-1.499247+(-0.422127--0.543915))+0-569.7--0.290546999999942</f>
        <v>2130.1130879999996</v>
      </c>
      <c r="O145" s="3">
        <f>2924.6+(849.6-1162.6)+(1.491546+(0.433296-0.592926))+0-495.3-0.25260299999995</f>
        <v>2117.3793129999999</v>
      </c>
      <c r="P145" s="3">
        <f>3197.1+(751.5-1049.6)+(6.522084+(1.53306-2.141184))+0-595.8-1.21543199999997</f>
        <v>2307.8985279999997</v>
      </c>
      <c r="Q145" s="3">
        <f>3619.9+(591.6-1245.8)+(5.538447+(0.905148-1.906074))+0-561.9-0.859707000000032</f>
        <v>2407.4778140000003</v>
      </c>
      <c r="R145" s="3">
        <f>3949+(754.5-1645.5)+(-4.02798+(-0.76959--1.67841))+0-553.5--0.564570000000088</f>
        <v>2501.9454099999998</v>
      </c>
      <c r="S145" s="3">
        <f>3958.7+(837.1-1781.9)+(-2.018937+(-0.426921--0.908769))+0-599.5--0.305744999999939</f>
        <v>2413.1686559999998</v>
      </c>
      <c r="T145" s="3">
        <f>3936.3+(952.9-1824.9)+(4.015026+(0.971958-1.861398))+0-616.9-0.629238000000098</f>
        <v>2449.8963480000002</v>
      </c>
      <c r="U145" s="3">
        <f>3916.4+(914.1-1883.2)+(-3.994728+(-0.932382--1.920864))+0-515.8--0.526116000000082</f>
        <v>2429.0198700000001</v>
      </c>
      <c r="V145" s="3">
        <f>3877.7+(967.1-1872.6)+(-3.955254+(-0.986442--1.910052))+0-565.8--0.57711600000009</f>
        <v>2403.9454719999999</v>
      </c>
      <c r="W145" s="3">
        <f>3539+(906.9-1593)+(-3.60978+(-0.925038--1.62486))+0-468.8--0.478176000000075</f>
        <v>2381.6682179999998</v>
      </c>
      <c r="X145" s="3">
        <f>3210.7+(800.3-1094.1)+(-8.187285+(-2.040765--2.789955))+0-633.6--1.61567999999991</f>
        <v>2277.4775849999996</v>
      </c>
      <c r="Y145" s="3">
        <f>3272+(575.9-957.4)+(0+(0-0))+0-555.8-0</f>
        <v>2334.6999999999998</v>
      </c>
      <c r="Z145" s="3">
        <f>3801.1+(602.2-1416.1)+(1.938561+(0.307122-0.722211))+0-522.2-0.266321999999947</f>
        <v>2466.2571499999999</v>
      </c>
      <c r="AA145" s="3">
        <f>3870.3+(818.2-1561.3)+(-7.895412+(-1.669128--3.185052))+0-603.5--1.23113999999997</f>
        <v>2518.5516520000001</v>
      </c>
      <c r="AB145" s="3">
        <f>3608.1+(911.3-1363.1)+(-5.520393+(-1.394289--2.085543))+0-568.2--0.869346000000033</f>
        <v>2584.1402069999999</v>
      </c>
      <c r="AC145" s="3">
        <f>3628.6+(910.2-1456.5)+(3.701172+(0.928404-1.48563))+0-513.2-0.523464000000082</f>
        <v>2571.7204820000006</v>
      </c>
      <c r="AD145">
        <v>2391.2000000000003</v>
      </c>
      <c r="AE145" s="3">
        <f>3982+(785.3-1687.1)+(0+(0-0))+0-689-0</f>
        <v>2391.1999999999998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3975.8+(916.4-1739.2)+(2.027658+(0.467364-0.886992))+0-604.6-0.308345999999939</f>
        <v>2549.6996840000002</v>
      </c>
      <c r="G146" s="3">
        <f>3854.5+(828.2-1751.3)+(-3.93159+(-0.844764--1.786326))+0-597.7--0.609654000000095</f>
        <v>2331.319626</v>
      </c>
      <c r="H146" s="3">
        <f>3612.6+(753.7-1536.6)+(-3.684852+(-0.768774--1.567332))+0-541.4--0.552228000000086</f>
        <v>2285.9659339999998</v>
      </c>
      <c r="I146" s="3">
        <f>3152.5+(761.2-1214.2)+(1.607775+(0.388212-0.619242))+0-446.2-0.227561999999955</f>
        <v>2254.4491830000002</v>
      </c>
      <c r="J146" s="3">
        <f>3114.3+(863.8-1153.1)+(-1.588293+(-0.440538--0.588081))+0-562.3--0.286772999999943</f>
        <v>2261.5460229999999</v>
      </c>
      <c r="K146" s="3">
        <f>3024.7+(901.6-1034.1)+(-7.712985+(-2.29908--2.636955))+0-598.8--1.52693999999991</f>
        <v>2287.5518299999994</v>
      </c>
      <c r="L146" s="3">
        <f>2765.6+(970.5-936.8)+(-2.820912+(-0.98991--0.955536))+0-557.1--0.568242000000089</f>
        <v>2239.9129560000006</v>
      </c>
      <c r="M146" s="3">
        <f>2759.4+(898.4-737.2)+(2.814588+(0.916368-0.751944))+0-595.2-0.607104000000095</f>
        <v>2327.7719079999993</v>
      </c>
      <c r="N146" s="3">
        <f>2891.2+(818.9-697.6)+(7.37256+(2.088195-1.77888))+0-479.3-1.22221499999993</f>
        <v>2539.6596600000003</v>
      </c>
      <c r="O146" s="3">
        <f>3425.7+(681.6-833.3)+(1.747107+(0.347616-0.424983))+0-564.9-0.288098999999943</f>
        <v>2710.4816409999999</v>
      </c>
      <c r="P146" s="3">
        <f>3861.4+(1050.8-1379.7)+(1.969314+(0.535908-0.703647))+0-651.7-0.332366999999934</f>
        <v>2882.2692079999997</v>
      </c>
      <c r="Q146" s="3">
        <f>3939.8+(1284-1735.9)+(0+(0-0))+0-515.4-0</f>
        <v>2972.5</v>
      </c>
      <c r="R146" s="3">
        <f>3934+(1576.5-1884)+(6.01902+(2.412045-2.88252))+0-625.1-0.956403000000036</f>
        <v>3005.9921420000001</v>
      </c>
      <c r="S146" s="3">
        <f>4082.8+(1392.8-2084.3)+(-2.082228+(-0.710328--1.062993))+0-547.8--0.279377999999944</f>
        <v>2842.0498149999999</v>
      </c>
      <c r="T146" s="3">
        <f>4167+(1315.5-2065.7)+(0+(0-0))+0-522.6-0</f>
        <v>2894.2000000000003</v>
      </c>
      <c r="U146" s="3">
        <f>4158.9+(1117-2007.9)+(-8.484156+(-2.27868--4.096116))+0-401.1--0.818243999999983</f>
        <v>2861.0515239999995</v>
      </c>
      <c r="V146" s="3">
        <f>4172.2+(1190.4-1976.6)+(-4.255644+(-1.214208--2.016132))+0-584.4--0.596088000000093</f>
        <v>2798.7423680000002</v>
      </c>
      <c r="W146" s="3">
        <f>4271.7+(741.2-1864.6)+(-10.892835+(-1.89006--4.75473))+0-399--1.01744999999994</f>
        <v>2742.2892849999998</v>
      </c>
      <c r="X146" s="3">
        <f>4178.5+(631.2-1662.1)+(-17.04828+(-2.575296--6.781368))+0-404.6--1.65076799999996</f>
        <v>2731.8085600000004</v>
      </c>
      <c r="Y146" s="3">
        <f>4033+(589.8-1314.6)+(-2.05683+(-0.300798--0.670446))+0-536.5--0.273614999999946</f>
        <v>2770.2864329999998</v>
      </c>
      <c r="Z146" s="3">
        <f>4274.7+(810.8-1708)+(4.360194+(0.827016-1.74216))+0-509.1-0.519282000000081</f>
        <v>2871.3257679999997</v>
      </c>
      <c r="AA146" s="3">
        <f>4375.5+(741.1-1839.6)+(-4.46301+(-0.755922--1.876392))+0-481.4--0.491028000000077</f>
        <v>2792.7484879999997</v>
      </c>
      <c r="AB146" s="3">
        <f>4336.1+(851.2-1818.9)+(-4.422822+(-0.868224--1.855278))+0-641.8--0.654636000000102</f>
        <v>2723.8188680000012</v>
      </c>
      <c r="AC146" s="3">
        <f>4074.9+(825.2-1679.3)+(-4.156398+(-0.841704--1.712886))+0-481--0.490620000000077</f>
        <v>2737.005404</v>
      </c>
      <c r="AD146">
        <v>2760.5999999999995</v>
      </c>
      <c r="AE146" s="3">
        <f>4328+(827.4-1810.1)+(0+(0-0))+0-584.7-0</f>
        <v>2760.6000000000004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4102.7+(966.6-1694)+(-2.092377+(-0.492966--0.86394))+0-698.6--0.356285999999929</f>
        <v>2675.3348829999995</v>
      </c>
      <c r="G147" s="3">
        <f>4015.4+(891.5-1792)+(-6.143562+(-1.363995--2.74176))+0-549--0.839970000000032</f>
        <v>2561.9741730000001</v>
      </c>
      <c r="H147" s="3">
        <f>3948.4+(850.2-1689.7)+(2.013684+(0.433602-0.861747))+0-628.5-0.320534999999936</f>
        <v>2481.6650040000004</v>
      </c>
      <c r="I147" s="3">
        <f>3869.2+(672.9-1602.6)+(-3.946584+(-0.686358--1.634652))+0-483.5--0.493170000000077</f>
        <v>2453.4948800000002</v>
      </c>
      <c r="J147" s="3">
        <f>3843.3+(552.6-1526.5)+(-7.840332+(-1.127304--3.11406))+0-403.2--0.822527999999982</f>
        <v>2461.1689520000004</v>
      </c>
      <c r="K147" s="3">
        <f>3750.4+(420.8-1358.9)+(-7.650816+(-0.858432--2.772156))+0-415.5--0.847619999999982</f>
        <v>2391.9105280000003</v>
      </c>
      <c r="L147" s="3">
        <f>3438.5+(510.9-1239.8)+(-5.260905+(-0.781677--1.896894))+0-425.7--0.651321000000025</f>
        <v>2280.4056329999999</v>
      </c>
      <c r="M147" s="3">
        <f>3357.6+(482.5-1027.5)+(1.712376+(0.246075-0.524025))+0-424.1-0.216290999999957</f>
        <v>2389.7181349999996</v>
      </c>
      <c r="N147" s="3">
        <f>3378.5+(633.4-996.9)+(0+(0-0))+0-477.3-0</f>
        <v>2537.6999999999998</v>
      </c>
      <c r="O147" s="3">
        <f>3772.2+(590.8-1107.4)+(3.847644+(0.602616-1.129548))+0-424.4-0.432888000000068</f>
        <v>2834.0878239999993</v>
      </c>
      <c r="P147" s="3">
        <f>3854.7+(588-1077.1)+(5.897691+(0.89964-1.647963))+0-517.2-0.79131600000003</f>
        <v>2852.7580520000001</v>
      </c>
      <c r="Q147" s="3">
        <f>4110.5+(636.4-1303)+(4.19271+(0.649128-1.32906))+0-446.1-0.455022000000071</f>
        <v>3000.8577559999999</v>
      </c>
      <c r="R147" s="3">
        <f>3849.6+(859.2-1266.8)+(7.853184+(1.752768-2.584272))+0-515.8-1.05223199999998</f>
        <v>2932.1694479999996</v>
      </c>
      <c r="S147" s="3">
        <f>3283+(759-854.6)+(0+(0-0))+0-505.3-0</f>
        <v>2682.1</v>
      </c>
      <c r="T147" s="3">
        <f>3557.2+(780.3-1124)+(-3.628344+(-0.795906--1.14648))+0-379.1--0.38668200000006</f>
        <v>2831.5089119999998</v>
      </c>
      <c r="U147" s="3">
        <f>3783.2+(819.6-1379.4)+(1.929432+(0.417996-0.703494))+0-439.8-0.224297999999955</f>
        <v>2785.0196359999995</v>
      </c>
      <c r="V147" s="3">
        <f>4030.3+(624.1-1589.1)+(-2.055453+(-0.318291--0.810441))+0-284--0.144839999999971</f>
        <v>2779.8815370000002</v>
      </c>
      <c r="W147" s="3">
        <f>4121.9+(538-1715.5)+(-4.204338+(-0.54876--1.74981))+0-218.5--0.222870000000035</f>
        <v>2723.1195819999998</v>
      </c>
      <c r="X147" s="3">
        <f>3885.4+(664.2-1624.2)+(-11.889324+(-2.032452--4.970052))+0-265.5--0.812430000000031</f>
        <v>2651.760706</v>
      </c>
      <c r="Y147" s="3">
        <f>3718.8+(631.5-1311.6)+(0+(0-0))+0-261.6-0</f>
        <v>2777.1000000000004</v>
      </c>
      <c r="Z147" s="3">
        <f>4160.4+(771.4-1592.4)+(-4.243608+(-0.786828--1.624248))+0-472.2--0.481644000000075</f>
        <v>2864.2754559999998</v>
      </c>
      <c r="AA147" s="3">
        <f>4267.5+(785.6-1722.1)+(-10.882125+(-2.00328--4.391355))+0-501.5--1.27882499999993</f>
        <v>2822.2847750000001</v>
      </c>
      <c r="AB147" s="3">
        <f>4039.9+(825.9-1636.7)+(2.060349+(0.421209-0.834717))+0-449.8-0.229397999999954</f>
        <v>2780.717443</v>
      </c>
      <c r="AC147" s="3">
        <f>4002.5+(968.9-1590.5)+(-8.1651+(-1.976556--3.24462))+0-600.8--1.22563199999997</f>
        <v>2774.4285960000002</v>
      </c>
      <c r="AD147">
        <v>2829.6000000000004</v>
      </c>
      <c r="AE147" s="3">
        <f>4244+(843.8-1716.5)+(0+(0-0))+0-541.7-0</f>
        <v>2829.6000000000004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4061.8+(994-1714.8)+(-6.214554+(-1.52082--2.623644))+0-694.9--1.06319700000004</f>
        <v>2642.0514669999998</v>
      </c>
      <c r="G148" s="3">
        <f>4018+(1009-1855.6)+(-8.19672+(-2.05836--3.785424))+0-593.3--1.21033199999997</f>
        <v>2572.8406760000003</v>
      </c>
      <c r="H148" s="3">
        <f>3782.4+(875.2-1492.7)+(-5.787072+(-1.339056--2.283831))+0-647.4--0.990522000000037</f>
        <v>2513.6482249999999</v>
      </c>
      <c r="I148" s="3">
        <f>3574.8+(755.5-1282.1)+(-1.823148+(-0.385305--0.653871))+0-629.6--0.321095999999936</f>
        <v>2417.3665140000003</v>
      </c>
      <c r="J148" s="3">
        <f>3569.9+(729.1-1241)+(-7.282596+(-1.487364--2.53164))+0-625.3--1.27561199999997</f>
        <v>2427.7372920000003</v>
      </c>
      <c r="K148" s="3">
        <f>3308.7+(836.8-1038.5)+(-6.749748+(-1.707072--2.11854))+0-706.1--1.44044399999997</f>
        <v>2396.002164</v>
      </c>
      <c r="L148" s="3">
        <f>3250.2+(717.9-964.5)+(-9.945612+(-2.196774--2.95137))+0-593.5--1.81611000000007</f>
        <v>2402.7250939999999</v>
      </c>
      <c r="M148" s="3">
        <f>3205.7+(571.5-876.1)+(-3.269814+(-0.58293--0.893622))+0-426.5--0.435030000000068</f>
        <v>2472.0759079999998</v>
      </c>
      <c r="N148" s="3">
        <f>3199.7+(520.6-610.7)+(6.527388+(1.062024-1.245828))+0-442.3-0.902291999999981</f>
        <v>2672.7412920000002</v>
      </c>
      <c r="O148" s="3">
        <f>3246.3+(537.5-619.2)+(0+(0-0))+0-514-0</f>
        <v>2650.6000000000004</v>
      </c>
      <c r="P148" s="3">
        <f>3357.6+(676.2-690.1)+(-3.424752+(-0.689724--0.703902))+0-474.2--0.483684000000076</f>
        <v>2866.5731100000003</v>
      </c>
      <c r="Q148" s="3">
        <f>3435.6+(842.5-863.9)+(0+(0-0))+0-493.3-0</f>
        <v>2920.8999999999996</v>
      </c>
      <c r="R148" s="3">
        <f>3479+(786.9-1035.6)+(1.77429+(0.401319-0.528156))+0-281.3-0.143462999999971</f>
        <v>2950.5039900000002</v>
      </c>
      <c r="S148" s="3">
        <f>3532+(692.2-1145.9)+(-3.60264+(-0.706044--1.168818))+0-259.6--0.264792000000041</f>
        <v>2815.8249260000002</v>
      </c>
      <c r="T148" s="3">
        <f>3525.5+(743-1051.5)+(-5.394015+(-1.13679--1.608795))+0-276.2--0.422586000000016</f>
        <v>2936.3005760000005</v>
      </c>
      <c r="U148" s="3">
        <f>3488+(727.2-1091.5)+(-7.11552+(-1.483488--2.22666))+0-250.2--0.510407999999989</f>
        <v>2867.6380600000002</v>
      </c>
      <c r="V148" s="3">
        <f>3482.1+(696.2-1046)+(-7.103484+(-1.420248--2.13384))+0-330.8--0.674831999999986</f>
        <v>2795.78494</v>
      </c>
      <c r="W148" s="3">
        <f>3481.8+(657.3-901.7)+(-1.775718+(-0.335223--0.459867))+0-509.1--0.259640999999948</f>
        <v>2726.9085670000004</v>
      </c>
      <c r="X148" s="3">
        <f>3434.6+(717.5-951.6)+(-3.503292+(-0.73185--0.970632))+0-567.8--0.57915600000009</f>
        <v>2630.0146460000001</v>
      </c>
      <c r="Y148" s="3">
        <f>3394.4+(613.7-731.1)+(3.462288+(0.625974-0.745722))+0-587-0.598740000000094</f>
        <v>2692.7438000000002</v>
      </c>
      <c r="Z148" s="3">
        <f>3517.5+(689.9-855.5)+(0+(0-0))+0-528.1-0</f>
        <v>2823.8</v>
      </c>
      <c r="AA148" s="3">
        <f>3551.7+(741.1-954.5)+(-3.622734+(-0.755922--0.97359))+0-524.4--0.534888000000084</f>
        <v>2811.029822</v>
      </c>
      <c r="AB148" s="3">
        <f>3508.5+(749.5-1039.1)+(-7.15734+(-1.52898--2.119764))+0-474.2--0.967367999999979</f>
        <v>2739.1008120000001</v>
      </c>
      <c r="AC148" s="3">
        <f>3308.9+(916.6-949)+(-3.375078+(-0.934932--0.96798))+0-493.6--0.503472000000079</f>
        <v>2780.0614420000002</v>
      </c>
      <c r="AD148">
        <v>2798.3</v>
      </c>
      <c r="AE148" s="3">
        <f>3547+(801.8-971.1)+(0+(0-0))+0-579.4-0</f>
        <v>2798.2999999999997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3234.4+(943.8-1055.1)+(-3.299088+(-0.962676--1.076202))+0-456.4--0.465528000000073</f>
        <v>2663.9799660000003</v>
      </c>
      <c r="G149" s="3">
        <f>3240.8+(1016.3-1063.3)+(-4.958424+(-1.554939--1.626849))+0-640.8--0.980424000000037</f>
        <v>2549.0939100000001</v>
      </c>
      <c r="H149" s="3">
        <f>3250.6+(959.1-1089)+(-6.631224+(-1.956564--2.22156))+0-623.9--1.27275599999997</f>
        <v>2491.7065279999997</v>
      </c>
      <c r="I149" s="3">
        <f>3258.6+(860.7-1042.5)+(-3.323772+(-0.877914--1.06335))+0-623.2--0.635664000000099</f>
        <v>2451.0973280000003</v>
      </c>
      <c r="J149" s="3">
        <f>3262.4+(843.2-964.6)+(0+(0-0))+0-659.5-0</f>
        <v>2481.5</v>
      </c>
      <c r="K149" s="3">
        <f>3265.2+(802.8-1003.3)+(-8.32626+(-2.04714--2.558415))+0-663.3--1.6914149999999</f>
        <v>2395.2764299999994</v>
      </c>
      <c r="L149" s="3">
        <f>3194.9+(808-975.6)+(-3.258798+(-0.82416--0.995112))+0-630--0.6426000000001</f>
        <v>2394.8547540000004</v>
      </c>
      <c r="M149" s="3">
        <f>3204+(674.3-932.3)+(3.26808+(0.687786-0.950946))+0-487.1-0.496842000000078</f>
        <v>2461.4080779999999</v>
      </c>
      <c r="N149" s="3">
        <f>3220.5+(726.7-860.4)+(1.642455+(0.370617-0.438804))+0-488.4-0.24908399999995</f>
        <v>2599.7251839999999</v>
      </c>
      <c r="O149" s="3">
        <f>3288.5+(743.4-707.6)+(3.35427+(0.758268-0.721752))+0-577.4-0.588948000000092</f>
        <v>2749.701838</v>
      </c>
      <c r="P149" s="3">
        <f>3359.3+(716.7-802.1)+(-3.426486+(-0.731034--0.818142))+0-412.9--0.421158000000066</f>
        <v>2858.08178</v>
      </c>
      <c r="Q149" s="3">
        <f>3496.4+(749.9-769.3)+(1.783164+(0.382449-0.392343))+0-499.5-0.254744999999949</f>
        <v>2979.0185250000004</v>
      </c>
      <c r="R149" s="3">
        <f>3674.9+(893.1-1066.7)+(-3.748398+(-0.910962--1.088034))+0-406.4--0.414528000000065</f>
        <v>3091.7432020000001</v>
      </c>
      <c r="S149" s="3">
        <f>3667.1+(649.6-1172.9)+(-3.740442+(-0.662592--1.196358))+0-353.5--0.360570000000056</f>
        <v>2787.4538940000002</v>
      </c>
      <c r="T149" s="3">
        <f>3861.8+(792-1405.2)+(1.969518+(0.40392-0.716652))+0-367.8-0.187577999999963</f>
        <v>2882.2692080000002</v>
      </c>
      <c r="U149" s="3">
        <f>3869.5+(874.6-1391.8)+(0+(0-0))+0-524.2-0</f>
        <v>2828.1000000000004</v>
      </c>
      <c r="V149" s="3">
        <f>3540+(792.2-1089.3)+(-3.6108+(-0.808044--1.111086))+0-507--0.517140000000081</f>
        <v>2733.1093820000001</v>
      </c>
      <c r="W149" s="3">
        <f>3298.7+(844.8-850.8)+(-3.364674+(-0.861696--0.867816))+0-538.1--0.548862000000086</f>
        <v>2751.7903080000001</v>
      </c>
      <c r="X149" s="3">
        <f>3143.5+(841.3-815.4)+(-4.809555+(-1.287189--1.247562))+0-494.5--0.756585000000029</f>
        <v>2670.8074030000002</v>
      </c>
      <c r="Y149" s="3">
        <f>3073.5+(756.3-485.8)+(-3.13497+(-0.771426--0.495516))+0-599.6--0.611592000000096</f>
        <v>2741.6007120000004</v>
      </c>
      <c r="Z149" s="3">
        <f>3382.6+(735.3-842.8)+(-1.725126+(-0.375003--0.429828))+0-484.7--0.247196999999951</f>
        <v>2788.9768960000001</v>
      </c>
      <c r="AA149" s="3">
        <f>3445.1+(763.2-826.5)+(-8.785005+(-1.94616--2.107575))+0-557.5--1.42162499999992</f>
        <v>2817.098035</v>
      </c>
      <c r="AB149" s="3">
        <f>3378.6+(775.2-842.2)+(-3.446172+(-0.790704--0.859044))+0-509.1--0.519282000000081</f>
        <v>2799.6414500000001</v>
      </c>
      <c r="AC149" s="3">
        <f>3439.5+(861.9-881.5)+(0+(0-0))+0-569.1-0</f>
        <v>2850.8</v>
      </c>
      <c r="AD149">
        <v>2823.6000000000004</v>
      </c>
      <c r="AE149" s="3">
        <f>3429+(796.1-779.8)+(0+(0-0))+0-621.7-0</f>
        <v>2823.6000000000004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3336.6+(959.6-926.8)+(-8.50833+(-2.44698--2.36334))+0-692.5--1.7658749999999</f>
        <v>2670.0739050000002</v>
      </c>
      <c r="G150" s="3">
        <f>3264.8+(997.5-1143.3)+(-6.660192+(-2.0349--2.332332))+0-572.9--1.16871599999998</f>
        <v>2540.9059560000001</v>
      </c>
      <c r="H150" s="3">
        <f>3281.3+(1007-1079.6)+(-5.020389+(-1.54071--1.651788))+0-698.9--1.06931700000004</f>
        <v>2505.9600060000002</v>
      </c>
      <c r="I150" s="3">
        <f>3184.6+(897-1073.9)+(-1.624146+(-0.45747--0.547689))+0-613.6--0.312935999999938</f>
        <v>2392.8790089999998</v>
      </c>
      <c r="J150" s="3">
        <f>3173.4+(860-984.6)+(0+(0-0))+0-623.7-0</f>
        <v>2425.1000000000004</v>
      </c>
      <c r="K150" s="3">
        <f>3185.6+(813.7-945.2)+(-9.747936+(-2.489922--2.892312))+0-650.4--1.99022400000008</f>
        <v>2396.3446779999999</v>
      </c>
      <c r="L150" s="3">
        <f>2975+(841.4-852.4)+(-3.0345+(-0.858228--0.869448))+0-598.5--0.610470000000095</f>
        <v>2363.0871900000002</v>
      </c>
      <c r="M150" s="3">
        <f>2886.3+(840.2-791.3)+(4.416039+(1.285506-1.210689))+0-530-0.810900000000031</f>
        <v>2408.8799560000002</v>
      </c>
      <c r="N150" s="3">
        <f>3156+(708.6-764.6)+(1.60956+(0.361386-0.389946))+0-476.1-0.242810999999952</f>
        <v>2625.2381890000001</v>
      </c>
      <c r="O150" s="3">
        <f>3313+(706.1-733.5)+(-1.68963+(-0.360111--0.374085))+0-572--0.291719999999942</f>
        <v>2712.2160640000002</v>
      </c>
      <c r="P150" s="3">
        <f>3539.3+(712.6-791.8)+(-1.805043+(-0.363426--0.403818))+0-620.1--0.316250999999937</f>
        <v>2838.5516000000002</v>
      </c>
      <c r="Q150" s="3">
        <f>3594.6+(680.4-888.1)+(-3.666492+(-0.694008--0.905862))+0-403.9--0.411978000000064</f>
        <v>2979.9573399999995</v>
      </c>
      <c r="R150" s="3">
        <f>3678.4+(832.2-1091.6)+(1.875984+(0.424422-0.556716))+0-383-0.195329999999961</f>
        <v>3037.5483599999998</v>
      </c>
      <c r="S150" s="3">
        <f>3545.5+(605.1-1085.9)+(-5.424615+(-0.925803--1.661427))+0-257.6--0.394128000000015</f>
        <v>2802.8051369999998</v>
      </c>
      <c r="T150" s="3">
        <f>3607.4+(772.9-1197.7)+(0+(0-0))+0-318.6-0</f>
        <v>2864</v>
      </c>
      <c r="U150" s="3">
        <f>3417.8+(905.1-976.6)+(3.486156+(0.923202-0.996132))+0-499.2-0.50918400000008</f>
        <v>2850.0040420000005</v>
      </c>
      <c r="V150" s="3">
        <f>3300+(862.6-827)+(0+(0-0))+0-555.2-0</f>
        <v>2780.3999999999996</v>
      </c>
      <c r="W150" s="3">
        <f>3192.6+(754.9-604.3)+(-4.884678+(-1.154997--0.924579))+0-553.8--0.847314000000032</f>
        <v>2785.1322180000002</v>
      </c>
      <c r="X150" s="3">
        <f>3189.6+(859.8-826.2)+(-6.506784+(-1.753992--1.685448))+0-563.8--1.15015199999998</f>
        <v>2653.9748239999999</v>
      </c>
      <c r="Y150" s="3">
        <f>3212.2+(733.2-728)+(1.638222+(0.373932-0.37128))+0-515.3-0.262802999999948</f>
        <v>2703.478071</v>
      </c>
      <c r="Z150" s="3">
        <f>3248.6+(770.7-630.9)+(4.970358+(1.179171-0.965277))+0-580.7-0.888471000000034</f>
        <v>2811.9957809999996</v>
      </c>
      <c r="AA150" s="3">
        <f>3277.9+(710.7-676.2)+(-5.015187+(-1.087371--1.034586))+0-485.1--0.742203000000028</f>
        <v>2822.9742310000006</v>
      </c>
      <c r="AB150" s="3">
        <f>3286.2+(764.2-815)+(-1.675962+(-0.389742--0.41565))+0-496.5--0.25321499999995</f>
        <v>2737.5031609999992</v>
      </c>
      <c r="AC150" s="3">
        <f>3289.2+(858.5-734.9)+(0+(0-0))+0-606.8-0</f>
        <v>2806</v>
      </c>
      <c r="AD150">
        <v>2753.7</v>
      </c>
      <c r="AE150" s="3">
        <f>3231+(840-635.5)+(0+(0-0))+0-681.8-0</f>
        <v>2753.7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3277.3+(895-820)+(-3.342846+(-0.9129--0.8364))+0-694.9--0.708798000000111</f>
        <v>2654.6894520000001</v>
      </c>
      <c r="G151" s="3">
        <f>3277.5+(887.2-919.1)+(0+(0-0))+0-683.2-0</f>
        <v>2562.3999999999996</v>
      </c>
      <c r="H151" s="3">
        <f>3072.4+(943.1-986.1)+(1.566924+(0.480981-0.502911))+0-600.1-0.306050999999939</f>
        <v>2430.538943</v>
      </c>
      <c r="I151" s="3">
        <f>2994.6+(960.4-836.9)+(-1.527246+(-0.489804--0.426819))+0-725.5--0.370004999999926</f>
        <v>2391.3797739999995</v>
      </c>
      <c r="J151" s="3">
        <f>3022.8+(956.6-929.3)+(4.624884+(1.463598-1.421829))+0-657-1.00521000000004</f>
        <v>2396.7614430000003</v>
      </c>
      <c r="K151" s="3">
        <f>3009.8+(986.8-850)+(-9.209988+(-3.019608--2.601))+0-762--2.33172000000009</f>
        <v>2377.3031240000005</v>
      </c>
      <c r="L151" s="3">
        <f>2906.1+(946-907.4)+(-7.410555+(-2.4123--2.31387))+0-561.3--1.43131499999992</f>
        <v>2377.32233</v>
      </c>
      <c r="M151" s="3">
        <f>2944.6+(824.6-787.4)+(1.501746+(0.420546-0.401574))+0-652.5-0.332774999999934</f>
        <v>2330.4879430000005</v>
      </c>
      <c r="N151" s="3">
        <f>2895.9+(823.1-593.2)+(1.476909+(0.419781-0.302532))+0-582.6-0.297125999999941</f>
        <v>2544.4970320000002</v>
      </c>
      <c r="O151" s="3">
        <f>2859.4+(989.9-527.9)+(2.916588+(1.009698-0.538458))+0-630.2-0.642804000000101</f>
        <v>2693.9450239999996</v>
      </c>
      <c r="P151" s="3">
        <f>2864.2+(983.5-490)+(2.921484+(1.00317-0.4998))+0-518.4-0.528768000000083</f>
        <v>2842.1960859999995</v>
      </c>
      <c r="Q151" s="3">
        <f>2850.3+(1240.6-497.8)+(4.360959+(1.898118-0.761634))+0-688.2-1.05294600000004</f>
        <v>2909.3444970000005</v>
      </c>
      <c r="R151" s="3">
        <f>2911.6+(1293.9-679.4)+(-1.484916+(-0.659889--0.346494))+0-601.5--0.306764999999939</f>
        <v>2923.1084539999997</v>
      </c>
      <c r="S151" s="3">
        <f>3161.3+(1210-1078.7)+(-6.449052+(-2.4684--2.200548))+0-610.3--1.24501199999997</f>
        <v>2676.8281080000002</v>
      </c>
      <c r="T151" s="3">
        <f>3145.6+(1244.4-1169.7)+(-3.208512+(-1.269288--1.193094))+0-578.2--0.589764000000092</f>
        <v>2639.4050580000003</v>
      </c>
      <c r="U151" s="3">
        <f>2905.3+(1329.8-957.7)+(-4.445109+(-2.034594--1.465281))+0-542.6--0.830178000000031</f>
        <v>2730.6157560000001</v>
      </c>
      <c r="V151" s="3">
        <f>2840.8+(1163-852.6)+(-4.346424+(-1.77939--1.304478))+0-461.3--0.705789000000027</f>
        <v>2685.7844530000002</v>
      </c>
      <c r="W151" s="3">
        <f>2853.3+(1131.8-783.6)+(-5.820732+(-2.308872--1.598544))+0-557.6--1.13750399999998</f>
        <v>2638.5064440000001</v>
      </c>
      <c r="X151" s="3">
        <f>2691.4+(1166.7-688)+(-4.117842+(-1.785051--1.05264))+0-576.8--0.882504000000033</f>
        <v>2589.3322510000007</v>
      </c>
      <c r="Y151" s="3">
        <f>2685.2+(938.6-480)+(-1.369452+(-0.478686--0.2448))+0-494.2--0.25204199999995</f>
        <v>2648.2487040000001</v>
      </c>
      <c r="Z151" s="3">
        <f>3202.1+(1032.8-980.6)+(-3.266142+(-1.053456--1.000212))+0-549.5--0.560490000000088</f>
        <v>2702.0411039999999</v>
      </c>
      <c r="AA151" s="3">
        <f>3350.7+(1128.2-1022.5)+(-5.126571+(-1.726146--1.564425))+0-665.1--1.01760300000004</f>
        <v>2787.0293109999998</v>
      </c>
      <c r="AB151" s="3">
        <f>3351.3+(1022.1-1092.9)+(-1.709163+(-0.521271--0.557379))+0-567.2--0.289271999999942</f>
        <v>2711.916217</v>
      </c>
      <c r="AC151" s="3">
        <f>3361.7+(1105.4-1128.5)+(-1.714467+(-0.563754--0.575535))+0-679.1--0.346340999999931</f>
        <v>2658.1436549999999</v>
      </c>
      <c r="AD151">
        <v>2800.0000000000005</v>
      </c>
      <c r="AE151" s="3">
        <f>3364+(1231.1-1064.2)+(0+(0-0))+0-730.9-0</f>
        <v>2799.9999999999995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3174.1+(980.6-979.5)+(-3.237582+(-1.000212--0.99909))+0-657.5--0.670650000000105</f>
        <v>2515.131946</v>
      </c>
      <c r="G152" s="3">
        <f>3113.8+(1036.6-962.7)+(-3.176076+(-1.057332--0.981954))+0-694.4--0.708288000000111</f>
        <v>2490.7568339999998</v>
      </c>
      <c r="H152" s="3">
        <f>3013+(1019.7-932.5)+(-6.14652+(-2.080188--1.9023))+0-685.6--1.39862399999997</f>
        <v>2409.6742159999999</v>
      </c>
      <c r="I152" s="3">
        <f>2892.8+(999.1-911.5)+(-1.475328+(-0.509541--0.464865))+6.3-721.5--0.367964999999927</f>
        <v>2264.0479610000002</v>
      </c>
      <c r="J152" s="3">
        <f>2890.5+(960-870.3)+(-4.422465+(-1.4688--1.331559))+10-679.7--1.03994100000004</f>
        <v>2306.980235</v>
      </c>
      <c r="K152" s="3">
        <f>2910.8+(1009.6-960.2)+(-2.969016+(-1.029792--0.979404))+10-736.3--0.751026000000117</f>
        <v>2231.6316219999999</v>
      </c>
      <c r="L152" s="3">
        <f>2795.4+(1019.3-1015.2)+(-11.405232+(-4.158744--4.142016))+10-646.4--2.63731199999994</f>
        <v>2154.3153519999996</v>
      </c>
      <c r="M152" s="3">
        <f>2541.2+(927-853.4)+(0+(0-0))+6.7-570.8-0</f>
        <v>2050.6999999999998</v>
      </c>
      <c r="N152" s="3">
        <f>2649.2+(895-780.8)+(2.702184+(0.9129-0.796416))+0-656.2-0.669324000000105</f>
        <v>2109.3493439999997</v>
      </c>
      <c r="O152" s="3">
        <f>2813.6+(794.3-761.4)+(-2.869872+(-0.810186--0.776628))+0-640.4--0.653208000000102</f>
        <v>2203.8497780000002</v>
      </c>
      <c r="P152" s="3">
        <f>2911.2+(761.7-673.7)+(0+(0-0))+0-703.3-0</f>
        <v>2295.8999999999996</v>
      </c>
      <c r="Q152" s="3">
        <f>3087.9+(765.1-937.4)+(1.574829+(0.390201-0.478074))+0-509.6-0.259895999999948</f>
        <v>2407.2270600000006</v>
      </c>
      <c r="R152" s="3">
        <f>3283+(681.9-966)+(6.69732+(1.391076-1.97064))+0-547.6-1.11710399999998</f>
        <v>2456.3006520000004</v>
      </c>
      <c r="S152" s="3">
        <f>3546.1+(575.6-1097.9)+(0+(0-0))+0-558.4-0</f>
        <v>2465.3999999999996</v>
      </c>
      <c r="T152" s="3">
        <f>3519.8+(555-1131.9)+(-1.795098+(-0.28305--0.577269))+0-447.6--0.228275999999955</f>
        <v>2494.0273969999998</v>
      </c>
      <c r="U152" s="3">
        <f>3466.3+(661.3-1123.2)+(-1.767813+(-0.337263--0.572832))+0-555.3--0.283202999999944</f>
        <v>2447.8509590000003</v>
      </c>
      <c r="V152" s="3">
        <f>3298.4+(678.7-1004.7)+(-6.728736+(-1.384548--2.049588))+0-585.2--1.19380799999997</f>
        <v>2382.3301119999996</v>
      </c>
      <c r="W152" s="3">
        <f>3112.6+(794.4-953.5)+(-3.174852+(-0.810288--0.97257))+0-548.3--0.559266000000087</f>
        <v>2402.7466960000002</v>
      </c>
      <c r="X152" s="3">
        <f>3023.6+(849.1-875.9)+(-4.626108+(-1.299123--1.340127))+0-583.3--0.892449000000034</f>
        <v>2409.8073450000002</v>
      </c>
      <c r="Y152" s="3">
        <f>3042.6+(582.6-665.5)+(1.551726+(0.297126-0.339405))+0-557.8-0.284477999999943</f>
        <v>2403.124969</v>
      </c>
      <c r="Z152" s="3">
        <f>3097.2+(620.7-619.2)+(-3.159144+(-0.633114--0.631584))+0-574.8--0.586296000000092</f>
        <v>2521.3256219999998</v>
      </c>
      <c r="AA152" s="3">
        <f>3142+(688.1-689.2)+(-6.40968+(-1.403724--1.405968))+0-541--1.10363999999998</f>
        <v>2594.5962039999999</v>
      </c>
      <c r="AB152" s="3">
        <f>3128.3+(732.3-740.1)+(0+(0-0))+0-553.1-0</f>
        <v>2567.4</v>
      </c>
      <c r="AC152" s="3">
        <f>3122.1+(767.9-702.9)+(1.592271+(0.391629-0.358479))+0-612.6-0.312425999999938</f>
        <v>2575.8129950000002</v>
      </c>
      <c r="AD152">
        <v>2632.7999999999997</v>
      </c>
      <c r="AE152" s="3">
        <f>3119+(701.1-614.9)+(0+(0-0))+0-572.4-0</f>
        <v>2632.7999999999997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3080.6+(842.3-880.5)+(4.713318+(1.288719-1.347165))+0-624.9-0.956097000000036</f>
        <v>2421.1987749999994</v>
      </c>
      <c r="G153" s="3">
        <f>3085.4+(1030.7-1198.6)+(-4.720662+(-1.576971--1.833858))+0-498.6--0.762858000000029</f>
        <v>2415.199083</v>
      </c>
      <c r="H153" s="3">
        <f>3094.1+(1022.4-1139.7)+(-1.577991+(-0.521424--0.581247))+0-591--0.30140999999994</f>
        <v>2384.5832419999997</v>
      </c>
      <c r="I153" s="3">
        <f>3124.5+(955.4-1169.1)+(6.37398+(1.949016-2.384964))+0-636.5-1.29845999999997</f>
        <v>2278.9395720000002</v>
      </c>
      <c r="J153" s="3">
        <f>3142.6+(929-1172.9)+(0+(0-0))+0-619.7-0</f>
        <v>2279</v>
      </c>
      <c r="K153" s="3">
        <f>3149.5+(888.8-1105.7)+(-6.42498+(-1.813152--2.255628))+0-677.4--1.38189599999997</f>
        <v>2250.5993919999996</v>
      </c>
      <c r="L153" s="3">
        <f>3176.5+(803.2-1034.6)+(-6.48006+(-1.638528--2.110584))+0-636.7--1.29886799999997</f>
        <v>2303.6908640000001</v>
      </c>
      <c r="M153" s="3">
        <f>3201.1+(515.8-967.3)+(-1.632561+(-0.263058--0.493323))+0-463.9--0.236588999999953</f>
        <v>2284.5342929999997</v>
      </c>
      <c r="N153" s="3">
        <f>3271.3+(538.9-925.2)+(-3.336726+(-0.549678--0.943704))+0-563.2--0.57446400000009</f>
        <v>2319.4317639999999</v>
      </c>
      <c r="O153" s="3">
        <f>3266.2+(656.8-798.1)+(1.665762+(0.334968-0.407031))+0-490.8-0.25030799999995</f>
        <v>2635.4433909999993</v>
      </c>
      <c r="P153" s="3">
        <f>3350.6+(723.1-751.6)+(3.417612+(0.737562-0.766632))+0-598.5-0.610470000000095</f>
        <v>2726.378072</v>
      </c>
      <c r="Q153" s="3">
        <f>3672.1+(667.8-921.8)+(-1.872771+(-0.340578--0.470118))+0-509.8--0.259997999999948</f>
        <v>2906.8167669999998</v>
      </c>
      <c r="R153" s="3">
        <f>3674.2+(840.6-1058.8)+(0+(0-0))+0-495.7-0</f>
        <v>2960.3</v>
      </c>
      <c r="S153" s="3">
        <f>3683.7+(819.8-1243.9)+(-5.636061+(-1.254294--1.903167))+0-499.4--0.764082000000029</f>
        <v>2755.9768939999994</v>
      </c>
      <c r="T153" s="3">
        <f>3853.6+(866.1-1419.3)+(1.965336+(0.441711-0.723843))+0-472.5-0.240974999999952</f>
        <v>2829.3422289999999</v>
      </c>
      <c r="U153" s="3">
        <f>3838.9+(921.3-1396.1)+(3.915678+(0.939726-1.424022))+0-541.3-0.552126000000086</f>
        <v>2825.6792560000008</v>
      </c>
      <c r="V153" s="3">
        <f>3796.8+(801.5-1315.1)+(-7.745472+(-1.63506--2.682804))+0-515.7--1.05202799999998</f>
        <v>2761.8543</v>
      </c>
      <c r="W153" s="3">
        <f>3887.2+(659.6-1253.7)+(-3.964944+(-0.672792--1.278774))+0-597.6--0.609552000000095</f>
        <v>2692.7505900000001</v>
      </c>
      <c r="X153" s="3">
        <f>3555.3+(831.6-1158.7)+(-12.692421+(-2.968812--4.136559))+0-613.7--2.19090900000001</f>
        <v>2605.1662350000006</v>
      </c>
      <c r="Y153" s="3">
        <f>3220.5+(965.6-824.1)+(-1.642455+(-0.492456--0.420291))+0-669.3--0.341342999999932</f>
        <v>2691.3267230000001</v>
      </c>
      <c r="Z153" s="3">
        <f>3239.4+(963.5-848.8)+(0+(0-0))+0-521.3-0</f>
        <v>2832.8</v>
      </c>
      <c r="AA153" s="3">
        <f>3309+(1015.4-855.5)+(-6.75036+(-2.071416--1.74522))+0-615.6--1.25582399999997</f>
        <v>2847.479268</v>
      </c>
      <c r="AB153" s="3">
        <f>3302.2+(970-902.9)+(0+(0-0))+0-522.6-0</f>
        <v>2846.7</v>
      </c>
      <c r="AC153" s="3">
        <f>3290.1+(1030.7-949.9)+(-5.033853+(-1.576971--1.453347))+0-557.3--0.852669000000032</f>
        <v>2809.2951919999996</v>
      </c>
      <c r="AD153">
        <v>2838.2</v>
      </c>
      <c r="AE153" s="3">
        <f>3268+(1061.4-809.9)+(0+(0-0))+0-681.3-0</f>
        <v>2838.2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3225+(1065.7-1088.4)+(4.93425+(1.630521-1.665252))+0-489.5-0.748935000000028</f>
        <v>2716.9505840000002</v>
      </c>
      <c r="G154" s="3">
        <f>3224.7+(920.4-973.9)+(1.644597+(0.469404-0.496689))+0-575.8-0.293657999999942</f>
        <v>2596.7236539999999</v>
      </c>
      <c r="H154" s="3">
        <f>3248.8+(936.3-960.1)+(-4.970664+(-1.432539--1.468953))+0-708--1.08324000000004</f>
        <v>2513.1489900000001</v>
      </c>
      <c r="I154" s="3">
        <f>3264+(927.1-1119.9)+(1.66464+(0.472821-0.571149))+0-650-0.331499999999934</f>
        <v>2422.434812</v>
      </c>
      <c r="J154" s="3">
        <f>3287.4+(905.7-1064.7)+(0+(0-0))+0-699.1-0</f>
        <v>2429.3000000000002</v>
      </c>
      <c r="K154" s="3">
        <f>3300.6+(825.7-1029.8)+(-6.733224+(-1.684428--2.100792))+0-665.3--1.35721199999997</f>
        <v>2426.2403519999998</v>
      </c>
      <c r="L154" s="3">
        <f>3232.7+(800.9-870.4)+(-9.892062+(-2.450754--2.663424))+0-661.5--2.02419000000008</f>
        <v>2494.0447979999999</v>
      </c>
      <c r="M154" s="3">
        <f>3190+(552.3-841.4)+(1.6269+(0.281673-0.429114))+0-490.2-0.25000199999995</f>
        <v>2411.9294570000006</v>
      </c>
      <c r="N154" s="3">
        <f>3208.6+(530.8-740.5)+(1.636386+(0.270708-0.377655))+0-541.4-0.276113999999945</f>
        <v>2458.7533249999997</v>
      </c>
      <c r="O154" s="3">
        <f>3370.9+(536.6-753.3)+(1.719159+(0.273666-0.384183))+0-593.1-0.30248099999994</f>
        <v>2562.4061610000008</v>
      </c>
      <c r="P154" s="3">
        <f>3344.9+(617.6-712.6)+(6.823596+(1.259904-1.453704))+0-604.2-1.23256799999997</f>
        <v>2651.0972280000001</v>
      </c>
      <c r="Q154" s="3">
        <f>3321.1+(849.1-739.4)+(1.693761+(0.433041-0.377094))+0-530.9-0.270758999999946</f>
        <v>2901.3789489999999</v>
      </c>
      <c r="R154" s="3">
        <f>3385.5+(978.3-956.5)+(3.45321+(0.997866-0.97563))+0-476.4-0.485928000000076</f>
        <v>2933.889518</v>
      </c>
      <c r="S154" s="3">
        <f>3368.3+(997.3-1106.8)+(-3.435666+(-1.017246--1.128936))+0-497.5--0.507450000000079</f>
        <v>2758.4834740000001</v>
      </c>
      <c r="T154" s="3">
        <f>3645.7+(1119.2-1382.2)+(-3.718614+(-1.141584--1.409844))+0-615.7--0.628014000000098</f>
        <v>2764.1776599999994</v>
      </c>
      <c r="U154" s="3">
        <f>3639.5+(1078.8-1387.1)+(-7.42458+(-2.200752--2.829684))+0-546.9--1.11567599999998</f>
        <v>2778.6200279999998</v>
      </c>
      <c r="V154" s="3">
        <f>3380.5+(952.7-1077.1)+(-6.89622+(-1.943508--2.197284))+0-543.5--1.10873999999998</f>
        <v>2707.0662960000004</v>
      </c>
      <c r="W154" s="3">
        <f>3157.7+(922.5-862.7)+(-11.272989+(-3.293325--3.079839))+0-545.7--1.94814900000001</f>
        <v>2662.2616739999994</v>
      </c>
      <c r="X154" s="3">
        <f>3263.9+(852.6-912.4)+(-9.987534+(-2.608956--2.791944))+0-524.2--1.60405200000006</f>
        <v>2671.6995060000004</v>
      </c>
      <c r="Y154" s="3">
        <f>3282.5+(643.5-791)+(1.674075+(0.328185-0.40341))+0-561.1-0.286160999999943</f>
        <v>2575.212689</v>
      </c>
      <c r="Z154" s="3">
        <f>3322.7+(595.9-810.2)+(-1.694577+(-0.303909--0.413202))+0-469.9--0.239648999999952</f>
        <v>2637.1543649999999</v>
      </c>
      <c r="AA154" s="3">
        <f>3357.7+(648.2-807.3)+(-11.986989+(-2.314074--2.882061))+0-543.1--1.93886700000001</f>
        <v>2646.0198649999998</v>
      </c>
      <c r="AB154" s="3">
        <f>3359.5+(673.8-802.5)+(-8.566725+(-1.71819--2.046375))+0-634.8--1.61873999999991</f>
        <v>2589.3802000000005</v>
      </c>
      <c r="AC154" s="3">
        <f>3292.4+(608.2-770.1)+(1.679124+(0.310182-0.392751))+0-645.2-0.329051999999935</f>
        <v>2486.5675030000002</v>
      </c>
      <c r="AD154">
        <v>2595.8000000000002</v>
      </c>
      <c r="AE154" s="3">
        <f>3332+(593.3-709.3)+(0+(0-0))+0-620.2-0</f>
        <v>2595.8000000000002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3314+(647.1-916.2)+(-1.69014+(-0.330021--0.467262))+0-647.4--0.330173999999934</f>
        <v>2396.2772749999999</v>
      </c>
      <c r="G155" s="3">
        <f>3222+(851.1-1060.3)+(-4.92966+(-1.302183--1.622259))+0-696.2--1.06518600000004</f>
        <v>2313.0556020000008</v>
      </c>
      <c r="H155" s="3">
        <f>3141.9+(997.3-1131.4)+(-3.204738+(-1.017246--1.154028))+0-764.9--0.780198000000122</f>
        <v>2240.6122420000002</v>
      </c>
      <c r="I155" s="3">
        <f>3141.8+(1006.3-1326)+(4.806954+(1.539639-2.02878))+0-592.6-0.906678000000034</f>
        <v>2232.9111350000007</v>
      </c>
      <c r="J155" s="3">
        <f>3218.2+(1008.9-1256.2)+(1.641282+(0.514539-0.640662))+0-712.4-0.363323999999928</f>
        <v>2259.6518349999997</v>
      </c>
      <c r="K155" s="3">
        <f>3177.7+(903.5-1306.5)+(-4.861881+(-1.382355--1.998945))+0-565.6--0.865368000000033</f>
        <v>2205.7200769999999</v>
      </c>
      <c r="L155" s="3">
        <f>3024.5+(946.1-1272.8)+(-12.33996+(-3.860088--5.193024))+0-646.3--2.63690399999994</f>
        <v>2043.1298800000002</v>
      </c>
      <c r="M155" s="3">
        <f>2705.1+(1020-1202.8)+(0+(0-0))+0-604.2-0</f>
        <v>1918.1000000000001</v>
      </c>
      <c r="N155" s="3">
        <f>2700.1+(982.1-1117.2)+(5.508204+(2.003484-2.279088))+0-582.7-1.18870799999997</f>
        <v>1986.3438919999999</v>
      </c>
      <c r="O155" s="3">
        <f>2680+(927.1-1019.3)+(5.4672+(1.891284-2.079372))+0-641.8-1.30927199999997</f>
        <v>1949.9698400000004</v>
      </c>
      <c r="P155" s="3">
        <f>2679.9+(928.1-1105.1)+(0+(0-0))+0-530.8-0</f>
        <v>1972.1000000000001</v>
      </c>
      <c r="Q155" s="3">
        <f>3080.4+(949.5-1244.8)+(1.571004+(0.484245-0.634848))+0-588.7-0.30023699999994</f>
        <v>2197.520164</v>
      </c>
      <c r="R155" s="3">
        <f>3152.4+(976.6-1491.5)+(0+(0-0))+0-438.4-0</f>
        <v>2199.1</v>
      </c>
      <c r="S155" s="3">
        <f>3199+(1061.5-1498.9)+(-4.89447+(-1.624095--2.293317))+0-543.9--0.832167000000031</f>
        <v>2214.3069189999997</v>
      </c>
      <c r="T155" s="3">
        <f>3180.1+(996.1-1523.2)+(1.621851+(0.508011-0.776832))+0-394-0.20093999999996</f>
        <v>2260.15209</v>
      </c>
      <c r="U155" s="3">
        <f>3165.7+(1036.9-1331.9)+(-3.229014+(-1.057638--1.358538))+0-531.7--0.542334000000085</f>
        <v>2336.6142199999999</v>
      </c>
      <c r="V155" s="3">
        <f>3155.5+(878-1302.5)+(1.609305+(0.44778-0.664275))+0-520.3-0.265352999999947</f>
        <v>2211.8274570000003</v>
      </c>
      <c r="W155" s="3">
        <f>3170.4+(845-1134.8)+(-6.467616+(-1.7238--2.314992))+0-619.1--1.26296399999997</f>
        <v>2256.8865400000004</v>
      </c>
      <c r="X155" s="3">
        <f>3172.6+(803.1-1142.2)+(-1.618026+(-0.409581--0.582522))+0-507.8--0.258977999999948</f>
        <v>2324.5138929999998</v>
      </c>
      <c r="Y155" s="3">
        <f>3200.9+(572-957.9)+(-1.632459+(-0.29172--0.488529))+0-494.3--0.25209299999995</f>
        <v>2319.516443</v>
      </c>
      <c r="Z155" s="3">
        <f>3264.7+(703.3-907.7)+(-6.659988+(-1.434732--1.851708))+0-651.8--1.32967199999997</f>
        <v>2403.5866599999999</v>
      </c>
      <c r="AA155" s="3">
        <f>3283.6+(860.1-972.4)+(-3.349272+(-0.877302--0.991848))+0-561.7--0.57293400000009</f>
        <v>2606.938208</v>
      </c>
      <c r="AB155" s="3">
        <f>3266.8+(885-934.9)+(0+(0-0))+0-605.7-0</f>
        <v>2611.1999999999998</v>
      </c>
      <c r="AC155" s="3">
        <f>3275.9+(989.1-1068.6)+(-6.682836+(-2.017764--2.179944))+0-583.6--1.19054399999997</f>
        <v>2607.4698880000001</v>
      </c>
      <c r="AD155">
        <v>2424.1000000000004</v>
      </c>
      <c r="AE155" s="3">
        <f>3290+(718.3-936.7)+(0+(0-0))+0-647.5-0</f>
        <v>2424.1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3263.9+(1018.7-1165.8)+(-6.658356+(-2.078148--2.378232))+0-614.1--1.25276399999997</f>
        <v>2497.5944920000002</v>
      </c>
      <c r="G156" s="3">
        <f>3264.8+(1053.6-1369.2)+(-6.660192+(-2.149344--2.793168))+0-480.1--0.979403999999979</f>
        <v>2464.063036</v>
      </c>
      <c r="H156" s="3">
        <f>3283.3+(955.5-1333.4)+(-1.674483+(-0.487305--0.680034))+0-448.9--0.228938999999954</f>
        <v>2455.2471850000002</v>
      </c>
      <c r="I156" s="3">
        <f>3287+(760.2-1148.5)+(3.35274+(0.775404-1.17147))+0-600.9-0.612918000000096</f>
        <v>2300.1437559999995</v>
      </c>
      <c r="J156" s="3">
        <f>3305.9+(736.9-1040.1)+(3.372018+(0.751638-1.060902))+0-673.5-0.686970000000107</f>
        <v>2331.5757840000001</v>
      </c>
      <c r="K156" s="3">
        <f>3266.9+(753.5-1023.4)+(-4.998357+(-1.152855--1.565802))+0-717.7--1.09808100000004</f>
        <v>2275.8126709999997</v>
      </c>
      <c r="L156" s="3">
        <f>3147.8+(836-1079.9)+(0+(0-0))+0-638.2-0</f>
        <v>2265.6999999999998</v>
      </c>
      <c r="M156" s="3">
        <f>3062.2+(862.7-921.9)+(0+(0-0))+0-614.5-0</f>
        <v>2388.5</v>
      </c>
      <c r="N156" s="3">
        <f>3084.8+(837.2-838.1)+(4.719744+(1.280916-1.282293))+0-570.2-0.872406000000033</f>
        <v>2517.5459610000003</v>
      </c>
      <c r="O156" s="3">
        <f>3242.7+(973.3-895.4)+(3.307554+(0.992766-0.913308))+0-562.4-0.57364800000009</f>
        <v>2761.0133639999999</v>
      </c>
      <c r="P156" s="3">
        <f>3411.3+(910.6-841.1)+(6.959052+(1.857624-1.715844))+0-636.8-1.29907199999997</f>
        <v>2849.8017600000003</v>
      </c>
      <c r="Q156" s="3">
        <f>3583.7+(727.9-1080.9)+(3.655374+(0.742458-1.102518))+0-358.1-0.365262000000057</f>
        <v>2875.5300519999996</v>
      </c>
      <c r="R156" s="3">
        <f>3644.3+(792.7-1109.8)+(5.575779+(1.212831-1.697994))+0-388.6-0.594558000000022</f>
        <v>2943.0960580000001</v>
      </c>
      <c r="S156" s="3">
        <f>3634.2+(1003.1-1356)+(0+(0-0))+0-500.9-0</f>
        <v>2780.3999999999996</v>
      </c>
      <c r="T156" s="3">
        <f>3621.7+(1183.8-1365.2)+(0+(0-0))+0-599.7-0</f>
        <v>2840.5999999999995</v>
      </c>
      <c r="U156" s="3">
        <f>3519.7+(994.4-1272.8)+(-10.770282+(-3.042864--3.894768))+0-436.6--1.33599600000005</f>
        <v>2796.1176180000002</v>
      </c>
      <c r="V156" s="3">
        <f>3536.3+(843.7-1186.7)+(-5.410539+(-1.290861--1.815651))+0-414.7--0.634491000000024</f>
        <v>2774.3487420000001</v>
      </c>
      <c r="W156" s="3">
        <f>3670.3+(884.2-1310.8)+(-3.743706+(-0.901884--1.337016))+0-482.3--0.491946000000077</f>
        <v>2758.5833720000001</v>
      </c>
      <c r="X156" s="3">
        <f>3491.2+(894.1-1144.6)+(-5.341536+(-1.367973--1.751238))+0-492.1--0.752913000000028</f>
        <v>2744.3946419999997</v>
      </c>
      <c r="Y156" s="3">
        <f>3364.2+(902.3-977.6)+(3.431484+(0.920346-0.997152))+0-558.3-0.569466000000089</f>
        <v>2733.3852120000001</v>
      </c>
      <c r="Z156" s="3">
        <f>3489.3+(870.9-951.1)+(-3.559086+(-0.888318--0.970122))+0-584.5--0.596190000000093</f>
        <v>2821.7189080000007</v>
      </c>
      <c r="AA156" s="3">
        <f>3553+(820.9-1015.3)+(-5.43609+(-1.255977--1.553409))+0-515.1--0.78810300000003</f>
        <v>2839.149445</v>
      </c>
      <c r="AB156" s="3">
        <f>3500.6+(859.6-915.4)+(-5.355918+(-1.315188--1.400562))+0-664.6--1.01683800000004</f>
        <v>2775.9462940000003</v>
      </c>
      <c r="AC156" s="3">
        <f>3485.9+(883-1043.8)+(-3.555618+(-0.90066--1.064676))+0-547.6--0.558552000000087</f>
        <v>2774.6669500000003</v>
      </c>
      <c r="AD156">
        <v>2837.3</v>
      </c>
      <c r="AE156" s="3">
        <f>3505+(847.6-883.8)+(0+(0-0))+0-631.5-0</f>
        <v>2837.3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3474.1+(944.8-1103.5)+(-1.771791+(-0.481848--0.562785))+0-672.7--0.343076999999932</f>
        <v>2641.3522229999994</v>
      </c>
      <c r="G157" s="3">
        <f>3490+(873.4-1288.1)+(-5.3397+(-1.336302--1.970793))+0-574.6--0.879138000000033</f>
        <v>2496.8739290000003</v>
      </c>
      <c r="H157" s="3">
        <f>3501.8+(844.1-1339.9)+(-3.571836+(-0.860982--1.366698))+0-546.3--0.557226000000087</f>
        <v>2457.1911060000002</v>
      </c>
      <c r="I157" s="3">
        <f>3520+(909.2-1356.7)+(-8.976+(-2.31846--3.459585))+0-649.1--1.65520499999991</f>
        <v>2417.2203300000001</v>
      </c>
      <c r="J157" s="3">
        <f>3527.6+(963.1-1422.6)+(1.799076+(0.491181-0.725526))+0-659-0.336089999999933</f>
        <v>2410.3286410000001</v>
      </c>
      <c r="K157" s="3">
        <f>3533.7+(949.6-1447)+(-9.010935+(-2.42148--3.68985))+0-664.7--1.6949849999999</f>
        <v>2365.55242</v>
      </c>
      <c r="L157" s="3">
        <f>3385.4+(782.4-1280.5)+(-5.179662+(-1.197072--1.959165))+0-574.4--0.878832000000033</f>
        <v>2309.3612629999998</v>
      </c>
      <c r="M157" s="3">
        <f>3301+(679.2-1197.6)+(-3.36702+(-0.692784--1.221552))+0-428.8--0.437376000000068</f>
        <v>2351.399124</v>
      </c>
      <c r="N157" s="3">
        <f>3268.7+(719.3-1092.9)+(3.334074+(0.733686-1.114758))+0-431.5-0.440130000000069</f>
        <v>2466.1128719999997</v>
      </c>
      <c r="O157" s="3">
        <f>3302.3+(829.6-992.1)+(3.368346+(0.846192-1.011942))+0-567.3-0.57864600000009</f>
        <v>2575.1239500000001</v>
      </c>
      <c r="P157" s="3">
        <f>3276.3+(861.2-946.8)+(1.670913+(0.439212-0.482868))+0-454.4-0.231743999999954</f>
        <v>2737.6955130000001</v>
      </c>
      <c r="Q157" s="3">
        <f>3322.3+(846.7-837.3)+(-3.388746+(-0.863634--0.854046))+0-446.7--0.455634000000071</f>
        <v>2882.0573000000004</v>
      </c>
      <c r="R157" s="3">
        <f>3352.4+(970.8-849.8)+(-1.709724+(-0.495108--0.433398))+0-500.8--0.255407999999949</f>
        <v>2971.0839739999997</v>
      </c>
      <c r="S157" s="3">
        <f>3404.5+(986-972.2)+(-8.681475+(-2.5143--2.47911))+0-592.9--1.51189499999991</f>
        <v>2818.1952300000003</v>
      </c>
      <c r="T157" s="3">
        <f>3395.2+(974.4-941.4)+(-8.65776+(-2.48472--2.40057))+0-585.4--1.49276999999992</f>
        <v>2835.5508599999994</v>
      </c>
      <c r="U157" s="3">
        <f>3375.1+(955.6-1023.4)+(-5.163903+(-1.462068--1.565802))+0-472.4--0.722772000000027</f>
        <v>2830.5626030000003</v>
      </c>
      <c r="V157" s="3">
        <f>3360.9+(922-865.4)+(-5.142177+(-1.41066--1.324062))+0-606.7--0.928251000000035</f>
        <v>2806.4994759999995</v>
      </c>
      <c r="W157" s="3">
        <f>3314.8+(949.8-895.3)+(-3.381096+(-0.968796--0.913206))+0-597.3--0.609246000000095</f>
        <v>2769.17256</v>
      </c>
      <c r="X157" s="3">
        <f>3234.5+(1091.7-1059)+(-8.247975+(-2.783835--2.70045))+0-549.7--1.40173499999992</f>
        <v>2710.5703749999998</v>
      </c>
      <c r="Y157" s="3">
        <f>3357.2+(943.9-888.7)+(-1.712172+(-0.481389--0.453237))+0-663.1--0.338180999999933</f>
        <v>2747.8978569999999</v>
      </c>
      <c r="Z157" s="3">
        <f>3466.9+(995.2-1111.5)+(0+(0-0))+0-485.6-0</f>
        <v>2865.0000000000005</v>
      </c>
      <c r="AA157" s="3">
        <f>3477.7+(949.1-994.3)+(-7.094508+(-1.936164--2.028372))+0-582.8--1.18891199999997</f>
        <v>2843.8866119999998</v>
      </c>
      <c r="AB157" s="3">
        <f>3405.6+(979.4-1106.1)+(1.736856+(0.499494-0.564111))+0-463.7-0.236486999999953</f>
        <v>2816.6357520000001</v>
      </c>
      <c r="AC157" s="3">
        <f>3410.5+(1066.4-980.9)+(-6.95742+(-2.175456--2.001036))+0-702.5--1.43309999999997</f>
        <v>2787.8012600000002</v>
      </c>
      <c r="AD157">
        <v>2896</v>
      </c>
      <c r="AE157" s="3">
        <f>3464+(1070-993)+(0+(0-0))+0-645-0</f>
        <v>2896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3349.6+(1073.8-1115.7)+(-1.708296+(-0.547638--0.569007))+0-610--0.311099999999938</f>
        <v>2696.3241729999995</v>
      </c>
      <c r="G158" s="3">
        <f>3314.8+(1012.6-1105.9)+(0+(0-0))+0-663-0</f>
        <v>2558.5</v>
      </c>
      <c r="H158" s="3">
        <f>3310.9+(904.1-1151.9)+(0+(0-0))+0-605.2-0</f>
        <v>2457.8999999999996</v>
      </c>
      <c r="I158" s="3">
        <f>3389.2+(865.7-1269.5)+(5.185476+(1.324521-1.942335))+0-581.1-0.889083000000034</f>
        <v>2407.9785789999996</v>
      </c>
      <c r="J158" s="3">
        <f>3495.1+(788.1-1202)+(-1.782501+(-0.401931--0.61302))+0-695.8--0.354857999999929</f>
        <v>2384.1834460000005</v>
      </c>
      <c r="K158" s="3">
        <f>3369.3+(783.2-1129.4)+(-8.591715+(-1.99716--2.87997))+0-626.3--1.59706499999991</f>
        <v>2390.6881600000006</v>
      </c>
      <c r="L158" s="3">
        <f>3178.9+(783.1-1082.9)+(-6.484956+(-1.597524--2.209116))+0-459.9--0.93819599999998</f>
        <v>2414.2648319999998</v>
      </c>
      <c r="M158" s="3">
        <f>3061+(779.9-841.1)+(3.12222+(0.795498-0.857922))+0-561-0.572220000000089</f>
        <v>2441.2875760000002</v>
      </c>
      <c r="N158" s="3">
        <f>3010.2+(897.3-709.6)+(0+(0-0))+0-595.4-0</f>
        <v>2602.4999999999995</v>
      </c>
      <c r="O158" s="3">
        <f>3092.9+(1032-893.5)+(1.577379+(0.52632-0.455685))+0-530.9-0.270758999999946</f>
        <v>2701.8772549999999</v>
      </c>
      <c r="P158" s="3">
        <f>3287.2+(999-852)+(6.705888+(2.03796-1.73808))+0-510.7-1.04182799999998</f>
        <v>2929.4639400000001</v>
      </c>
      <c r="Q158" s="3">
        <f>3346.6+(1025.7-848.5)+(-8.53383+(-2.615535--2.163675))+0-572.6--1.46012999999992</f>
        <v>2943.6744400000002</v>
      </c>
      <c r="R158" s="3">
        <f>3341.8+(1069.3-1021.2)+(3.408636+(1.090686-1.041624))+0-441.8-0.45063600000007</f>
        <v>2951.107062</v>
      </c>
      <c r="S158" s="3">
        <f>3262.5+(1051.5-1089.8)+(-4.991625+(-1.608795--1.667394))+0-472.1--0.722313000000027</f>
        <v>2747.889287</v>
      </c>
      <c r="T158" s="3">
        <f>3240.3+(1102.4-1110)+(1.652553+(0.562224-0.5661))+0-477.3-0.243422999999952</f>
        <v>2756.8052540000003</v>
      </c>
      <c r="U158" s="3">
        <f>3265.5+(1024.7-1041.6)+(0+(0-0))+0-497.6-0</f>
        <v>2751.0000000000005</v>
      </c>
      <c r="V158" s="3">
        <f>3354.7+(913.8-1044.1)+(-8.554485+(-2.33019--2.662455))+0-531.3--1.35481499999992</f>
        <v>2686.2325949999999</v>
      </c>
      <c r="W158" s="3">
        <f>3357.7+(725.9-892.2)+(-5.137281+(-1.110627--1.365066))+0-538.2--0.823446000000031</f>
        <v>2649.1406039999997</v>
      </c>
      <c r="X158" s="3">
        <f>3218.9+(610-750.4)+(-4.924917+(-0.9333--1.148112))+0-493.2--0.754596000000028</f>
        <v>2581.3444910000003</v>
      </c>
      <c r="Y158" s="3">
        <f>3080.4+(667.9-587.6)+(3.142008+(0.681258-0.599352))+0-560.7-0.571914000000089</f>
        <v>2602.652</v>
      </c>
      <c r="Z158" s="3">
        <f>3310.2+(739.3-800.1)+(-11.817414+(-2.639301--2.856357))+0-516.3--1.84319100000001</f>
        <v>2723.3428329999997</v>
      </c>
      <c r="AA158" s="3">
        <f>3378.6+(752.3-822.4)+(-5.169258+(-1.151019--1.258272))+0-584.1--0.893673000000034</f>
        <v>2720.2316679999999</v>
      </c>
      <c r="AB158" s="3">
        <f>3387.6+(646.6-812.9)+(1.727676+(0.329766-0.414579))+0-528-0.269279999999946</f>
        <v>2694.6735830000002</v>
      </c>
      <c r="AC158" s="3">
        <f>3235+(721.2-673.3)+(-8.24925+(-1.83906--1.716915))+0-608.1--1.55065499999991</f>
        <v>2667.9792600000001</v>
      </c>
      <c r="AD158">
        <v>2717.2999999999997</v>
      </c>
      <c r="AE158" s="3">
        <f>3370+(792.2-805.4)+(0+(0-0))+0-639.5-0</f>
        <v>2717.3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3180.5+(798.8-786.4)+(-8.110275+(-2.03694--2.00532))+0-595.1--1.51750499999991</f>
        <v>2591.1756099999998</v>
      </c>
      <c r="G159" s="3">
        <f>3186.4+(785.6-846.9)+(-8.12532+(-2.00328--2.159595))+0-682.5--1.7403749999999</f>
        <v>2436.3713700000003</v>
      </c>
      <c r="H159" s="3">
        <f>3204.3+(724.9-1004.3)+(3.268386+(0.739398-1.024386))+0-580.4-0.592008000000093</f>
        <v>2346.8913899999998</v>
      </c>
      <c r="I159" s="3">
        <f>3129.9+(760.7-934.8)+(-4.788747+(-1.163871--1.430244))+0-658.5--1.00750500000004</f>
        <v>2293.7851310000001</v>
      </c>
      <c r="J159" s="3">
        <f>2980.8+(755.7-833.5)+(0+(0-0))+0-670-0</f>
        <v>2233</v>
      </c>
      <c r="K159" s="3">
        <f>2983.3+(788.7-1000.7)+(-7.607415+(-2.011185--2.551785))+0-617.1--1.57360499999991</f>
        <v>2148.7067900000002</v>
      </c>
      <c r="L159" s="3">
        <f>2993.6+(786.3-1053.7)+(-10.687152+(-2.807091--3.761709))+0-623.4--2.22553800000001</f>
        <v>2095.2930039999997</v>
      </c>
      <c r="M159" s="3">
        <f>2630.1+(890.6-968)+(1.341351+(0.454206-0.49368))+0-513.4-0.261833999999948</f>
        <v>2040.3400429999997</v>
      </c>
      <c r="N159" s="3">
        <f>2601+(867.3-768.5)+(1.32651+(0.442323-0.391935))+0-600.5-0.306254999999939</f>
        <v>2100.3706430000002</v>
      </c>
      <c r="O159" s="3">
        <f>2635.4+(869.5-721.6)+(-2.688108+(-0.88689--0.736032))+0-597.4--0.609348000000095</f>
        <v>2183.6703820000002</v>
      </c>
      <c r="P159" s="3">
        <f>2887.6+(732-734.7)+(2.945352+(0.74664-0.749394))+0-602-0.614040000000096</f>
        <v>2285.2285579999998</v>
      </c>
      <c r="Q159" s="3">
        <f>3042.2+(653.3-814.9)+(6.206088+(1.332732-1.662396))+0-510.4-1.04121599999998</f>
        <v>2375.0352079999998</v>
      </c>
      <c r="R159" s="3">
        <f>3024.7+(901.2-922.2)+(-4.627791+(-1.378836--1.410966))+0-534.9--0.818397000000031</f>
        <v>2465.0227359999999</v>
      </c>
      <c r="S159" s="3">
        <f>3019.9+(935.2-1043.2)+(-3.080298+(-0.953904--1.064064))+0-512.4--0.522648000000082</f>
        <v>2397.05251</v>
      </c>
      <c r="T159" s="3">
        <f>2993+(894.4-1184.1)+(1.52643+(0.456144-0.603891))+0-300-0.15299999999997</f>
        <v>2404.5256830000003</v>
      </c>
      <c r="U159" s="3">
        <f>2996.1+(880.6-1070.4)+(0+(0-0))+0-399.4-0</f>
        <v>2406.8999999999996</v>
      </c>
      <c r="V159" s="3">
        <f>2990.6+(879.9-1071.8)+(0+(0-0))+0-428.2-0</f>
        <v>2370.5</v>
      </c>
      <c r="W159" s="3">
        <f>2997.1+(719.8-994.1)+(0+(0-0))+0-543.9-0</f>
        <v>2178.8999999999996</v>
      </c>
      <c r="X159" s="3">
        <f>2951.7+(804.8-888.6)+(-4.516101+(-1.231344--1.359558))+0-574.7--0.879291000000033</f>
        <v>2289.6914040000001</v>
      </c>
      <c r="Y159" s="3">
        <f>2893.2+(824.2-633.8)+(4.426596+(1.261026-0.969714))+0-572-0.875160000000033</f>
        <v>2515.4427479999999</v>
      </c>
      <c r="Z159" s="3">
        <f>3068.1+(825.1-685.6)+(-3.129462+(-0.841602--0.699312))+0-580.2--0.591804000000093</f>
        <v>2624.7200520000001</v>
      </c>
      <c r="AA159" s="3">
        <f>3093.6+(808.8-770.9)+(-1.577736+(-0.412488--0.393159))+0-570.9--0.291158999999942</f>
        <v>2559.2940939999999</v>
      </c>
      <c r="AB159" s="3">
        <f>3093.4+(843.2-825)+(-3.155268+(-0.860064--0.8415))+0-532.5--0.543150000000085</f>
        <v>2576.4693180000004</v>
      </c>
      <c r="AC159" s="3">
        <f>3075.2+(1092.6-923.3)+(1.568352+(0.557226-0.470883))+0-587.1-0.29942099999994</f>
        <v>2658.7552740000001</v>
      </c>
      <c r="AD159">
        <v>2682.6000000000004</v>
      </c>
      <c r="AE159" s="3">
        <f>3105+(849.9-677.3)+(0+(0-0))+0-595-0</f>
        <v>2682.6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3068.6+(990.8-972.1)+(-1.564986+(-0.505308--0.495771))+0-616.7--0.314516999999937</f>
        <v>2469.339993999999</v>
      </c>
      <c r="G160" s="3">
        <f>3082.5+(996.8-1066.1)+(-9.43245+(-3.050208--3.262266))+0-697.9--2.13557400000008</f>
        <v>2308.2151819999995</v>
      </c>
      <c r="H160" s="3">
        <f>3092.8+(920.5-1218.7)+(-6.309312+(-1.87782--2.486148))+0-583.7--1.19074799999997</f>
        <v>2206.3897640000005</v>
      </c>
      <c r="I160" s="3">
        <f>3096.5+(834.2-1136.2)+(1.579215+(0.425442-0.579462))+0-651.9-0.332468999999934</f>
        <v>2143.6927259999998</v>
      </c>
      <c r="J160" s="3">
        <f>3109.4+(614.3-946.9)+(3.171588+(0.626586-0.965838))+0-576.3-0.587826000000092</f>
        <v>2202.7445100000004</v>
      </c>
      <c r="K160" s="3">
        <f>3118.3+(638.3-885.7)+(-1.590333+(-0.325533--0.451707))+0-651.2--0.332111999999934</f>
        <v>2218.5679529999998</v>
      </c>
      <c r="L160" s="3">
        <f>3129.6+(625.8-827.8)+(-7.98048+(-1.59579--2.11089))+0-703.7--1.7944349999999</f>
        <v>2218.2290549999998</v>
      </c>
      <c r="M160" s="3">
        <f>3165+(458.1-841.1)+(-3.2283+(-0.467262--0.857922))+0-516.1--0.526422000000082</f>
        <v>2263.5887819999998</v>
      </c>
      <c r="N160" s="3">
        <f>3180.5+(659.7-793.7)+(-3.24411+(-0.672894--0.809574))+0-568.2--0.579564000000091</f>
        <v>2475.7721340000003</v>
      </c>
      <c r="O160" s="3">
        <f>3134.6+(725.1-726.4)+(3.197292+(0.739602-0.740928))+0-457-0.466140000000073</f>
        <v>2679.0298260000004</v>
      </c>
      <c r="P160" s="3">
        <f>3310.8+(666.2-608.9)+(1.688508+(0.339762-0.310539))+0-630.9-0.321758999999936</f>
        <v>2738.5959720000005</v>
      </c>
      <c r="Q160" s="3">
        <f>3732.4+(639.4-875.6)+(3.807048+(0.652188-0.893112))+0-629.7-0.642294000000101</f>
        <v>2869.4238299999997</v>
      </c>
      <c r="R160" s="3">
        <f>3752.7+(801.8-1088.6)+(-1.913877+(-0.408918--0.555186))+0-579.6--0.295595999999941</f>
        <v>2884.8279869999997</v>
      </c>
      <c r="S160" s="3">
        <f>3745.8+(855.3-1374.2)+(-5.731074+(-1.308609--2.102526))+0-457.8--0.700434000000026</f>
        <v>2764.8632769999999</v>
      </c>
      <c r="T160" s="3">
        <f>3744+(840.1-1393.8)+(-1.90944+(-0.428451--0.710838))+0-367.2--0.187271999999963</f>
        <v>2821.6602190000003</v>
      </c>
      <c r="U160" s="3">
        <f>3757.6+(925.2-1369)+(-3.832752+(-0.943704--1.39638))+0-490.2--0.500004000000078</f>
        <v>2820.7199280000004</v>
      </c>
      <c r="V160" s="3">
        <f>3453.8+(854.8-975)+(-10.568628+(-2.615688--2.9835))+0-550.1--1.68330600000006</f>
        <v>2774.9824900000003</v>
      </c>
      <c r="W160" s="3">
        <f>3295.1+(821.3-832.8)+(-3.361002+(-0.837726--0.849456))+0-573.7--0.585174000000092</f>
        <v>2707.1359020000004</v>
      </c>
      <c r="X160" s="3">
        <f>3307.8+(797.8-821.3)+(-5.060934+(-1.220634--1.256589))+0-648.7--0.992511000000038</f>
        <v>2631.5675320000005</v>
      </c>
      <c r="Y160" s="3">
        <f>3347.3+(669.5-819.2)+(0+(0-0))+0-538.1-0</f>
        <v>2659.5000000000005</v>
      </c>
      <c r="Z160" s="3">
        <f>3402.6+(754.9-819.7)+(-3.470652+(-0.769998--0.836094))+0-562.9--0.57415800000009</f>
        <v>2772.0696019999996</v>
      </c>
      <c r="AA160" s="3">
        <f>3433.3+(727.6-878.4)+(-8.754915+(-1.85538--2.23992))+0-531.6--1.35557999999992</f>
        <v>2743.885205</v>
      </c>
      <c r="AB160" s="3">
        <f>3429.8+(645.9-817.4)+(-5.247594+(-0.988227--1.250622))+0-535.5--0.819315000000031</f>
        <v>2718.6341160000002</v>
      </c>
      <c r="AC160" s="3">
        <f>3400.8+(599.9-710.6)+(1.734408+(0.305949-0.362406))+0-574.8-0.293147999999942</f>
        <v>2716.684803000001</v>
      </c>
      <c r="AD160">
        <v>2660.5</v>
      </c>
      <c r="AE160" s="3">
        <f>3370+(736.3-741.5)+(0+(0-0))+0-704.3-0</f>
        <v>2660.5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3230.8+(699.5-770.4)+(-3.295416+(-0.71349--0.785808))+0-560--0.571200000000089</f>
        <v>2597.248102</v>
      </c>
      <c r="G161" s="3">
        <f>3237+(742.6-871.9)+(-3.30174+(-0.757452--0.889338))+0-623.3--0.635766000000099</f>
        <v>2481.8659119999998</v>
      </c>
      <c r="H161" s="3">
        <f>3245.4+(732.9-1001.6)+(-6.620616+(-1.495116--2.043264))+0-587.5--1.19849999999997</f>
        <v>2384.3260319999999</v>
      </c>
      <c r="I161" s="3">
        <f>3255.4+(769.8-1023.9)+(1.660254+(0.392598-0.522189))+0-662.9-0.338078999999933</f>
        <v>2339.592584</v>
      </c>
      <c r="J161" s="3">
        <f>3264.8+(667.9-1038.1)+(3.330096+(0.681258-1.058862))+0-572.8-0.584256000000091</f>
        <v>2324.1682360000004</v>
      </c>
      <c r="K161" s="3">
        <f>3213.6+(677.8-938.4)+(-8.19468+(-1.72839--2.39292))+0-603--1.53764999999991</f>
        <v>2344.0074999999997</v>
      </c>
      <c r="L161" s="3">
        <f>3135.9+(686.2-1024.3)+(-6.397236+(-1.399848--2.089572))+0-499.9--1.01979599999998</f>
        <v>2293.2122840000002</v>
      </c>
      <c r="M161" s="3">
        <f>3019.6+(747.8-862.2)+(1.539996+(0.381378-0.439722))+0-608.2-0.310181999999938</f>
        <v>2298.1714699999998</v>
      </c>
      <c r="N161" s="3">
        <f>3133.9+(673.8-859.3)+(1.598289+(0.343638-0.438243))+0-481.6-0.245615999999951</f>
        <v>2468.0580679999998</v>
      </c>
      <c r="O161" s="3">
        <f>3182.7+(688.2-677.1)+(-3.246354+(-0.701964--0.690642))+0-501.6--0.51163200000008</f>
        <v>2689.4539559999998</v>
      </c>
      <c r="P161" s="3">
        <f>3306.3+(726.6-763.8)+(1.686213+(0.370566-0.389538))+0-500.5-0.255254999999949</f>
        <v>2770.0119860000004</v>
      </c>
      <c r="Q161" s="3">
        <f>3357.1+(800.4-924.7)+(-1.712121+(-0.408204--0.471597))+0-406.9--0.207518999999959</f>
        <v>2824.4587909999996</v>
      </c>
      <c r="R161" s="3">
        <f>3331.4+(971-887.2)+(1.699014+(0.49521-0.452472))+0-530.8-0.270707999999946</f>
        <v>2885.8710439999995</v>
      </c>
      <c r="S161" s="3">
        <f>3326.1+(1023-1187.6)+(-6.785244+(-2.08692--2.422704))+0-471--0.960839999999979</f>
        <v>2685.0113800000004</v>
      </c>
      <c r="T161" s="3">
        <f>3299.2+(940.9-1030.7)+(-5.047776+(-1.439577--1.576971))+0-484.9--0.741897000000028</f>
        <v>2720.3315149999994</v>
      </c>
      <c r="U161" s="3">
        <f>3288.6+(962.1-1033.7)+(-3.354372+(-0.981342--1.054374))+0-483.8--0.493476000000077</f>
        <v>2730.4121359999999</v>
      </c>
      <c r="V161" s="3">
        <f>3176.6+(951.1-973.3)+(-3.240132+(-0.970122--0.992766))+0-464.8--0.474096000000074</f>
        <v>2686.8566080000001</v>
      </c>
      <c r="W161" s="3">
        <f>3163.7+(937.8-953.7)+(-8.067435+(-2.39139--2.431935))+0-500.5--1.27627499999993</f>
        <v>2640.5493849999993</v>
      </c>
      <c r="X161" s="3">
        <f>3157.4+(845-983.4)+(-9.661644+(-2.5857--3.009204))+0-466.8--1.42840800000005</f>
        <v>2544.3902680000001</v>
      </c>
      <c r="Y161" s="3">
        <f>3124.9+(762.7-852.3)+(0+(0-0))+0-448.9-0</f>
        <v>2586.4</v>
      </c>
      <c r="Z161" s="3">
        <f>3270.2+(881.8-891.9)+(-6.671208+(-1.798872--1.819476))+0-571.3--1.16545199999998</f>
        <v>2683.314848</v>
      </c>
      <c r="AA161" s="3">
        <f>3295.8+(794.9-955.6)+(-8.40429+(-2.026995--2.43678))+0-500.4--1.27601999999993</f>
        <v>2627.9815149999999</v>
      </c>
      <c r="AB161" s="3">
        <f>3292.2+(678.5-797.7)+(-6.716088+(-1.38414--1.627308))+0-544.3--1.11037199999998</f>
        <v>2623.3374519999998</v>
      </c>
      <c r="AC161" s="3">
        <f>3281.8+(669.6-812)+(-5.021154+(-1.024488--1.24236))+0-535--0.818550000000031</f>
        <v>2600.4152680000002</v>
      </c>
      <c r="AD161">
        <v>2617.6</v>
      </c>
      <c r="AE161" s="3">
        <f>3263+(813.6-854)+(0+(0-0))+0-605-0</f>
        <v>2617.6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3268.5+(807.4-931.6)+(-1.666935+(-0.411774--0.475116))+0-623.4--0.317933999999937</f>
        <v>2519.6143410000004</v>
      </c>
      <c r="G162" s="3">
        <f>3276.9+(777.7-1080.6)+(0+(0-0))+0-580.1-0</f>
        <v>2393.9</v>
      </c>
      <c r="H162" s="3">
        <f>3282.5+(657.9-1050.9)+(0+(0-0))+0-586.3-0</f>
        <v>2303.1999999999998</v>
      </c>
      <c r="I162" s="3">
        <f>3290.2+(643.7-1058.2)+(-5.034006+(-0.984861--1.619046))+0-625.4--0.956862000000036</f>
        <v>2246.8570409999998</v>
      </c>
      <c r="J162" s="3">
        <f>3209.6+(643-978.2)+(1.636896+(0.32793-0.498882))+0-721.6-0.368015999999927</f>
        <v>2153.8979279999999</v>
      </c>
      <c r="K162" s="3">
        <f>3074.1+(784.5-937.3)+(-1.567791+(-0.400095--0.478023))+0-716.4--0.365363999999927</f>
        <v>2203.7755010000001</v>
      </c>
      <c r="L162" s="3">
        <f>2956.3+(906.9-924.7)+(-6.030852+(-1.850076--1.886388))+0-699.8--1.42759199999997</f>
        <v>2234.1330520000001</v>
      </c>
      <c r="M162" s="3">
        <f>2897.2+(637.5-908.1)+(-5.910288+(-1.3005--1.852524))+0-346.2--0.706247999999985</f>
        <v>2275.7479840000001</v>
      </c>
      <c r="N162" s="3">
        <f>2847.1+(814.1-820.9)+(2.904042+(0.830382-0.837318))+0-397.6-0.405552000000063</f>
        <v>2445.191554</v>
      </c>
      <c r="O162" s="3">
        <f>2891.3+(1002.6-720.2)+(1.474563+(0.511326-0.367302))+0-578-0.294779999999941</f>
        <v>2597.0238070000005</v>
      </c>
      <c r="P162" s="3">
        <f>3006.9+(902.4-796.3)+(0+(0-0))+0-413.5-0</f>
        <v>2699.5</v>
      </c>
      <c r="Q162" s="3">
        <f>3226.4+(851.6-952)+(-1.645464+(-0.434316--0.48552))+0-415.6--0.211955999999958</f>
        <v>2709.0176960000003</v>
      </c>
      <c r="R162" s="3">
        <f>3238.5+(819-847)+(-6.60654+(-1.67076--1.72788))+0-466.8--0.95227199999998</f>
        <v>2738.102852</v>
      </c>
      <c r="S162" s="3">
        <f>3242+(786.5-944.9)+(-11.57394+(-2.807805--3.373293))+0-576.2--2.05703400000001</f>
        <v>2498.4485819999995</v>
      </c>
      <c r="T162" s="3">
        <f>3222.6+(860.3-1152.8)+(-8.21763+(-2.193765--2.93964))+0-425.9--1.08604499999994</f>
        <v>2497.8142899999998</v>
      </c>
      <c r="U162" s="3">
        <f>3218.9+(1008.3-1201.9)+(-4.924917+(-1.542699--1.838907))+0-506--0.774180000000029</f>
        <v>2515.445471</v>
      </c>
      <c r="V162" s="3">
        <f>3170.8+(983.2-1165)+(-4.851324+(-1.504296--1.78245))+0-490.9--0.751077000000028</f>
        <v>2494.2779069999997</v>
      </c>
      <c r="W162" s="3">
        <f>3180.3+(849.5-1282.7)+(-4.865859+(-1.299735--1.962531))+0-354.3--0.542079000000021</f>
        <v>2389.1390160000001</v>
      </c>
      <c r="X162" s="3">
        <f>3193.1+(789-1227.5)+(1.628481+(0.40239-0.626025))+0-335.7-0.171206999999966</f>
        <v>2420.1336390000001</v>
      </c>
      <c r="Y162" s="3">
        <f>3181.9+(699.1-981.8)+(-3.245538+(-0.713082--1.001436))+0-505--0.51510000000008</f>
        <v>2391.7579160000005</v>
      </c>
      <c r="Z162" s="3">
        <f>3372.3+(690.2-1119.4)+(-10.319238+(-2.112012--3.425364))+0-554.5--1.69677000000006</f>
        <v>2381.2908840000005</v>
      </c>
      <c r="AA162" s="3">
        <f>3434.6+(645.9-946.1)+(-7.006584+(-1.317636--1.930044))+0-632.9--1.29111599999997</f>
        <v>2496.3969399999996</v>
      </c>
      <c r="AB162" s="3">
        <f>3439.1+(615-988)+(1.753941+(0.31365-0.50388))+0-561.6-0.286415999999943</f>
        <v>2505.7772949999999</v>
      </c>
      <c r="AC162" s="3">
        <f>3386.3+(602-930.6)+(-3.454026+(-0.61404--0.949212))+0-647.7--0.660654000000103</f>
        <v>2407.5418000000009</v>
      </c>
      <c r="AD162">
        <v>2480.5</v>
      </c>
      <c r="AE162" s="3">
        <f>3414+(665.6-1002.4)+(0+(0-0))+0-596.7-0</f>
        <v>2480.5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3386.9+(911.1-1284.6)+(0+(0-0))+0-671.1-0</f>
        <v>2342.3000000000002</v>
      </c>
      <c r="G163" s="3">
        <f>3386.7+(809.5-1349.4)+(0+(0-0))+0-640.8-0</f>
        <v>2206</v>
      </c>
      <c r="H163" s="3">
        <f>3224.6+(799-1152.5)+(4.933638+(1.22247-1.763325))+0-735.7-1.12562100000004</f>
        <v>2138.6671619999997</v>
      </c>
      <c r="I163" s="3">
        <f>3083.2+(811.4-1107.9)+(0+(0-0))+0-708-0</f>
        <v>2078.6999999999998</v>
      </c>
      <c r="J163" s="3">
        <f>3088.7+(684.7-1068.4)+(0+(0-0))+0-606.2-0</f>
        <v>2098.8000000000002</v>
      </c>
      <c r="K163" s="3">
        <f>2961.2+(799.2-960.7)+(-10.571484+(-2.853144--3.429699))+0-665.1--2.37440700000001</f>
        <v>2126.9794779999997</v>
      </c>
      <c r="L163" s="3">
        <f>2666.9+(943.5-961.6)+(-9.520833+(-3.368295--3.432912))+0-542.7--1.93743900000001</f>
        <v>2098.5812229999997</v>
      </c>
      <c r="M163" s="3">
        <f>2686.1+(805.3-800.3)+(0+(0-0))+0-558.9-0</f>
        <v>2132.1999999999998</v>
      </c>
      <c r="N163" s="3">
        <f>3037.2+(652.8-855.2)+(3.097944+(0.665856-0.872304))+0-506.4-0.516528000000081</f>
        <v>2330.7749679999997</v>
      </c>
      <c r="O163" s="3">
        <f>3174.7+(680.1-928.5)+(3.238194+(0.693702-0.94707))+0-452.4-0.461448000000072</f>
        <v>2476.4233779999995</v>
      </c>
      <c r="P163" s="3">
        <f>3411.3+(660.9-982.9)+(1.739763+(0.337059-0.501279))+0-533-0.271829999999946</f>
        <v>2557.603713</v>
      </c>
      <c r="Q163" s="3">
        <f>3466.5+(737.2-1107.8)+(1.767915+(0.375972-0.564978))+0-482.2-0.245921999999951</f>
        <v>2615.032987</v>
      </c>
      <c r="R163" s="3">
        <f>3481.5+(735.6-1018.8)+(-5.326695+(-1.125468--1.558764))+0-603.2--0.922896000000035</f>
        <v>2591.1294969999999</v>
      </c>
      <c r="S163" s="3">
        <f>3468.6+(765.4-1213)+(-7.075944+(-1.561416--2.47452))+0-561.5--1.14545999999998</f>
        <v>2454.4826200000002</v>
      </c>
      <c r="T163" s="3">
        <f>3424.9+(697.4-1134.4)+(-1.746699+(-0.355674--0.578544))+0-552.4--0.281723999999944</f>
        <v>2434.2578949999997</v>
      </c>
      <c r="U163" s="3">
        <f>3365.4+(758-1129.5)+(1.716354+(0.38658-0.576045))+0-634.4-0.323543999999936</f>
        <v>2360.7033450000004</v>
      </c>
      <c r="V163" s="3">
        <f>3353.9+(821.1-1172.2)+(-5.131467+(-1.256283--1.793466))+0-644.6--0.986238000000037</f>
        <v>2354.5919540000004</v>
      </c>
      <c r="W163" s="3">
        <f>3307+(887.5-1166.8)+(-10.11942+(-2.71575--3.570408))+0-645.7--1.97584200000007</f>
        <v>2374.7110800000005</v>
      </c>
      <c r="X163" s="3">
        <f>3202.4+(845.5-1064.7)+(-9.799344+(-2.58723--3.257982))+0-582.3--1.78183800000007</f>
        <v>2393.5532459999995</v>
      </c>
      <c r="Y163" s="3">
        <f>3151.6+(593.6-763.2)+(-4.821948+(-0.908208--1.167696))+0-570.7--0.873171000000033</f>
        <v>2407.6107110000003</v>
      </c>
      <c r="Z163" s="3">
        <f>3217.1+(598.8-656.7)+(-8.203605+(-1.52694--1.674585))+0-677.8--1.7283899999999</f>
        <v>2475.0724299999997</v>
      </c>
      <c r="AA163" s="3">
        <f>3332.5+(588.6-864.1)+(-13.5966+(-2.401488--3.525528))+0-564.4--2.30275199999995</f>
        <v>2482.4301919999998</v>
      </c>
      <c r="AB163" s="3">
        <f>3350.8+(614.4-835.1)+(0+(0-0))+0-701.6-0</f>
        <v>2428.5000000000005</v>
      </c>
      <c r="AC163" s="3">
        <f>3305.6+(645.7-982)+(1.685856+(0.329307-0.50082))+0-652.5-0.332774999999934</f>
        <v>2317.9815680000002</v>
      </c>
      <c r="AD163">
        <v>2475.8000000000002</v>
      </c>
      <c r="AE163" s="3">
        <f>3250+(692-727.4)+(0+(0-0))+0-738.8-0</f>
        <v>2475.8000000000002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3300.4+(651.3-1148.1)+(0+(0-0))+0-635.6-0</f>
        <v>2168.0000000000005</v>
      </c>
      <c r="G164" s="3">
        <f>3141.4+(781-1102.8)+(-1.602114+(-0.39831--0.562428))+0-639--0.325889999999935</f>
        <v>2179.4878940000003</v>
      </c>
      <c r="H164" s="3">
        <f>2823.2+(963-908.1)+(-2.879664+(-0.98226--0.926262))+0-824.5--0.840990000000131</f>
        <v>2051.5053280000002</v>
      </c>
      <c r="I164" s="3">
        <f>2717.5+(1082.1-1083)+(1.385925+(0.551871-0.55233))+0-740.7-0.377756999999925</f>
        <v>1976.9077090000001</v>
      </c>
      <c r="J164" s="3">
        <f>2729.6+(1116.4-1079.9)+(0+(0-0))+0-814.9-0</f>
        <v>1951.1999999999998</v>
      </c>
      <c r="K164" s="3">
        <f>2739.2+(999.1-977.4)+(0+(0-0))+0-786.1-0</f>
        <v>1974.7999999999997</v>
      </c>
      <c r="L164" s="3">
        <f>2528+(1040-955.2)+(-9.02496+(-3.7128--3.410064))+0-698.3--2.49293100000001</f>
        <v>1907.6652350000004</v>
      </c>
      <c r="M164" s="3">
        <f>2243.5+(937.7-869)+(-3.432555+(-1.434681--1.32957))+0-548.2--0.838746000000032</f>
        <v>1761.3010799999997</v>
      </c>
      <c r="N164" s="3">
        <f>2258.2+(898.9-734.1)+(3.455046+(1.375317-1.123173))+0-577.3-0.883269000000033</f>
        <v>1848.5239210000002</v>
      </c>
      <c r="O164" s="3">
        <f>2493.2+(736-707.1)+(2.543064+(0.75072-0.721242))+0-686.7-0.70043400000011</f>
        <v>1837.2721079999997</v>
      </c>
      <c r="P164" s="3">
        <f>2654.6+(728.1-780.8)+(-1.353846+(-0.371331--0.398208))+0-736.6--0.375665999999925</f>
        <v>1864.3486969999999</v>
      </c>
      <c r="Q164" s="3">
        <f>2771.1+(621.1-750.7)+(0+(0-0))+0-713.8-0</f>
        <v>1927.7</v>
      </c>
      <c r="R164" s="3">
        <f>2802.3+(576.9-668.3)+(-1.429173+(-0.294219--0.340833))+0-799.7--0.407846999999919</f>
        <v>1910.2252879999999</v>
      </c>
      <c r="S164" s="3">
        <f>3027.5+(499.5-1010.5)+(0+(0-0))+0-670.5-0</f>
        <v>1846</v>
      </c>
      <c r="T164" s="3">
        <f>3010.3+(529.7-1122.3)+(-7.676265+(-1.350735--2.861865))+0-616.9--1.57309499999991</f>
        <v>1796.20796</v>
      </c>
      <c r="U164" s="3">
        <f>2951.1+(673.4-1031.4)+(-7.525305+(-1.71717--2.63007))+0-707.4--1.8038699999999</f>
        <v>1880.8914649999999</v>
      </c>
      <c r="V164" s="3">
        <f>2844.1+(754.2-1019.9)+(0+(0-0))+0-713.6-0</f>
        <v>1864.8000000000002</v>
      </c>
      <c r="W164" s="3">
        <f>2820.3+(629.2-860.6)+(-8.630118+(-1.925352--2.633436))+0-632--1.93392000000007</f>
        <v>1950.9118860000001</v>
      </c>
      <c r="X164" s="3">
        <f>2487.6+(856.3-645.2)+(-3.806028+(-1.310139--0.987156))+0-799.4--1.22308200000005</f>
        <v>1896.3940709999997</v>
      </c>
      <c r="Y164" s="3">
        <f>2525+(734.8-644.4)+(-1.28775+(-0.374748--0.328644))+0-614--0.313139999999938</f>
        <v>2000.3792860000001</v>
      </c>
      <c r="Z164" s="3">
        <f>2935.6+(655.7-762.6)+(-7.48578+(-1.672035--1.94463))+0-634.1--1.61695499999991</f>
        <v>2189.0037699999998</v>
      </c>
      <c r="AA164" s="3">
        <f>2988.8+(753.4-831.2)+(-7.62144+(-1.92117--2.11956))+0-739.4--1.88546999999989</f>
        <v>2166.0624199999997</v>
      </c>
      <c r="AB164" s="3">
        <f>2940.1+(709.1-723.6)+(-5.997804+(-1.446564--1.476144))+0-769.8--1.57039199999997</f>
        <v>2151.4021680000001</v>
      </c>
      <c r="AC164" s="3">
        <f>2906.1+(772.1-856.6)+(0+(0-0))+0-713.5-0</f>
        <v>2108.1</v>
      </c>
      <c r="AD164">
        <v>2164.3000000000002</v>
      </c>
      <c r="AE164" s="3">
        <f>2982+(688-807.1)+(0+(0-0))+0-698.6-0</f>
        <v>2164.3000000000002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2909.1+(787.9-935.8)+(-1.483641+(-0.401829--0.477258))+0-767.7--0.391526999999922</f>
        <v>1992.4833149999999</v>
      </c>
      <c r="G165" s="3">
        <f>2694.9+(880.1-973.2)+(-4.123197+(-1.346553--1.488996))+0-722.1--1.10481300000004</f>
        <v>1876.8240590000003</v>
      </c>
      <c r="H165" s="3">
        <f>2536.7+(964.2-911.1)+(-1.293717+(-0.491742--0.464661))+0-800.5--0.408254999999919</f>
        <v>1788.3874569999994</v>
      </c>
      <c r="I165" s="3">
        <f>2553.8+(1015.7-922.4)+(-2.604876+(-1.036014--0.940848))+0-824.7--0.841194000000132</f>
        <v>1820.5411520000005</v>
      </c>
      <c r="J165" s="3">
        <f>2567.9+(939-911.6)+(-1.309629+(-0.47889--0.464916))+0-720.7--0.367556999999927</f>
        <v>1873.6439540000003</v>
      </c>
      <c r="K165" s="3">
        <f>2575.6+(823.3-849)+(-5.254224+(-1.679532--1.73196))+0-756.9--1.54407599999997</f>
        <v>1789.3422799999996</v>
      </c>
      <c r="L165" s="3">
        <f>2352.1+(928.4-754.7)+(-8.396997+(-3.314388--2.694279))+0-792.1--2.82779700000001</f>
        <v>1727.510691</v>
      </c>
      <c r="M165" s="3">
        <f>2163.6+(918.8-645.6)+(-2.206872+(-0.937176--0.658512))+0-686.9--0.700638000000109</f>
        <v>1748.1151019999995</v>
      </c>
      <c r="N165" s="3">
        <f>2449.7+(804.4-684.9)+(0+(0-0))+0-642.2-0</f>
        <v>1926.9999999999998</v>
      </c>
      <c r="O165" s="3">
        <f>2737.8+(763.2-741.2)+(1.396278+(0.389232-0.378012))+0-738.4-0.376583999999925</f>
        <v>2022.4309140000003</v>
      </c>
      <c r="P165" s="3">
        <f>2946.3+(708-868.6)+(-1.502613+(-0.36108--0.442986))+0-639.9--0.326348999999935</f>
        <v>2144.7056419999999</v>
      </c>
      <c r="Q165" s="3">
        <f>3087.8+(595.1-896.9)+(-4.724334+(-0.910503--1.372257))+0-638.4--0.976752000000037</f>
        <v>2144.3141719999999</v>
      </c>
      <c r="R165" s="3">
        <f>3142.5+(568.9-942)+(-1.602675+(-0.290139--0.48042))+0-615.9--0.314108999999938</f>
        <v>2152.401715</v>
      </c>
      <c r="S165" s="3">
        <f>3146+(629.1-991.6)+(-3.20892+(-0.641682--1.011432))+0-743--0.757860000000118</f>
        <v>2038.41869</v>
      </c>
      <c r="T165" s="3">
        <f>3107.2+(648.7-1006.6)+(-1.584672+(-0.330837--0.513366))+0-675.5--0.344504999999931</f>
        <v>2072.742362</v>
      </c>
      <c r="U165" s="3">
        <f>3191.7+(630.2-1038.8)+(-6.511068+(-1.285608--2.119152))+0-693.3--1.41433199999997</f>
        <v>2085.5368079999994</v>
      </c>
      <c r="V165" s="3">
        <f>3158.2+(577.5-1068.7)+(4.832046+(0.883575-1.635111))+0-602.9-0.922437000000035</f>
        <v>2067.2580729999995</v>
      </c>
      <c r="W165" s="3">
        <f>3150.5+(525.2-947.2)+(-6.42702+(-1.071408--1.932288))+0-706.9--1.44207599999997</f>
        <v>2017.475936</v>
      </c>
      <c r="X165" s="3">
        <f>2798.6+(536.7-779.6)+(-2.854572+(-0.547434--0.795192))+0-555.1--0.566202000000089</f>
        <v>1998.5593879999997</v>
      </c>
      <c r="Y165" s="3">
        <f>2845.8+(426.5-656.7)+(0+(0-0))+0-485.6-0</f>
        <v>2130.0000000000005</v>
      </c>
      <c r="Z165" s="3">
        <f>3239.3+(484.6-893.9)+(-4.956129+(-0.741438--1.367667))+0-469.8--0.718794000000027</f>
        <v>2356.5888939999995</v>
      </c>
      <c r="AA165" s="3">
        <f>3308.7+(503.5-953.7)+(-8.437185+(-1.283925--2.431935))+0-566.7--1.44508499999992</f>
        <v>2285.9559100000001</v>
      </c>
      <c r="AB165" s="3">
        <f>3265.9+(497.8-1007.1)+(-4.996827+(-0.761634--1.540863))+0-512.6--0.78427800000003</f>
        <v>2240.5666799999999</v>
      </c>
      <c r="AC165" s="3">
        <f>3186.7+(581.1-926.2)+(1.625217+(0.296361-0.472362))+0-636.1-0.324410999999936</f>
        <v>2206.6248049999999</v>
      </c>
      <c r="AD165">
        <v>2269.1000000000004</v>
      </c>
      <c r="AE165" s="3">
        <f>3353+(453-922.7)+(0+(0-0))+0-614.2-0</f>
        <v>2269.1000000000004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3091.5+(586.8-959.2)+(3.15333+(0.598536-0.978384))+0-652.7-0.665754000000104</f>
        <v>2068.507728</v>
      </c>
      <c r="G166" s="3">
        <f>3088.7+(586.6-1022.4)+(-4.725711+(-0.897498--1.564272))+0-686.6--1.05049800000004</f>
        <v>1963.291561</v>
      </c>
      <c r="H166" s="3">
        <f>3089.4+(696.9-1111.1)+(-3.151188+(-0.710838--1.133322))+0-763.1--0.778362000000122</f>
        <v>1910.1496580000003</v>
      </c>
      <c r="I166" s="3">
        <f>3065.8+(730.2-1222.6)+(-7.81779+(-1.86201--3.11763))+0-712.3--1.8163649999999</f>
        <v>1856.3541950000003</v>
      </c>
      <c r="J166" s="3">
        <f>3068.1+(701.9-1290.2)+(-7.823655+(-1.789845--3.29001))+0-643.5--1.64092499999991</f>
        <v>1831.6174349999994</v>
      </c>
      <c r="K166" s="3">
        <f>2942.9+(836.7-1204.1)+(4.502637+(1.280151-1.842273))+0-746.9-1.14275700000004</f>
        <v>1831.3977579999996</v>
      </c>
      <c r="L166" s="3">
        <f>2769.9+(809.6-1116.4)+(-8.475894+(-2.477376--3.416184))+0-680--2.08080000000008</f>
        <v>1777.6437140000003</v>
      </c>
      <c r="M166" s="3">
        <f>2661.1+(666.9-948.9)+(1.357161+(0.340119-0.483939))+0-655.1-0.334100999999934</f>
        <v>1724.8792400000002</v>
      </c>
      <c r="N166" s="3">
        <f>2697.8+(574.8-758.2)+(4.127634+(0.879444-1.160046))+0-710.9-1.08767700000004</f>
        <v>1806.2593550000001</v>
      </c>
      <c r="O166" s="3">
        <f>2840.3+(504-938.1)+(0+(0-0))+0-506.5-0</f>
        <v>1899.7000000000003</v>
      </c>
      <c r="P166" s="3">
        <f>2946.3+(531.8-931.5)+(4.507839+(0.813654-1.425195))+0-557.7-0.853281000000032</f>
        <v>1991.9430170000005</v>
      </c>
      <c r="Q166" s="3">
        <f>2947.3+(530.7-816.6)+(3.006246+(0.541314-0.832932))+0-640-0.652800000000102</f>
        <v>2023.4618280000002</v>
      </c>
      <c r="R166" s="3">
        <f>3078.9+(435.5-865.5)+(-6.280956+(-0.88842--1.76562))+0-606--1.23623999999997</f>
        <v>2038.7324839999999</v>
      </c>
      <c r="S166" s="3">
        <f>3063.2+(464.2-918.2)+(0+(0-0))+0-611.9-0</f>
        <v>1997.2999999999997</v>
      </c>
      <c r="T166" s="3">
        <f>3044.2+(495.8-867.8)+(1.552542+(0.252858-0.442578))+0-702.6-0.358325999999929</f>
        <v>1970.6044959999999</v>
      </c>
      <c r="U166" s="3">
        <f>3003.2+(502.8-928.7)+(-4.594896+(-0.769284--1.420911))+0-599.3--0.916929000000035</f>
        <v>1974.9736599999999</v>
      </c>
      <c r="V166" s="3">
        <f>2963.8+(577.3-949.5)+(-6.046152+(-1.177692--1.93698))+0-620.1--1.26500399999997</f>
        <v>1967.4781400000002</v>
      </c>
      <c r="W166" s="3">
        <f>2938+(701.1-888.8)+(-4.49514+(-1.072683--1.359864))+0-753.6--1.15300800000004</f>
        <v>1993.6450490000004</v>
      </c>
      <c r="X166" s="3">
        <f>2949.9+(590-967.7)+(-7.522245+(-1.5045--2.467635))+0-600.1--1.53025499999991</f>
        <v>1967.0711449999997</v>
      </c>
      <c r="Y166" s="3">
        <f>2969.5+(505.7-744.2)+(0+(0-0))+0-638-0</f>
        <v>2093</v>
      </c>
      <c r="Z166" s="3">
        <f>3059.3+(440.1-604.4)+(-4.680729+(-0.673353--0.924732))+0-602.2--0.921366000000035</f>
        <v>2289.2920159999999</v>
      </c>
      <c r="AA166" s="3">
        <f>3123.4+(433.9-684.6)+(-4.778802+(-0.663867--1.047438))+0-614.8--0.940644000000035</f>
        <v>2254.4454130000004</v>
      </c>
      <c r="AB166" s="3">
        <f>3080.5+(430.3-693.2)+(-3.14211+(-0.438906--0.707064))+0-580.4--0.592008000000093</f>
        <v>2234.918056</v>
      </c>
      <c r="AC166" s="3">
        <f>3054.6+(501-765.4)+(-7.78923+(-1.27755--1.95177))+0-609.3--1.55371499999991</f>
        <v>2175.3387050000001</v>
      </c>
      <c r="AD166">
        <v>2261.6000000000004</v>
      </c>
      <c r="AE166" s="3">
        <f>3140+(439.9-526.8)+(0+(0-0))+0-791.5-0</f>
        <v>2261.6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3115.6+(759.4-998)+(-6.355824+(-1.549176--2.03592))+0-764.4--1.55937599999997</f>
        <v>2108.2902960000001</v>
      </c>
      <c r="G167" s="3">
        <f>3014.1+(909.1-1237.1)+(-7.685955+(-2.318205--3.154605))+0-617.9--1.57564499999991</f>
        <v>2062.9260899999999</v>
      </c>
      <c r="H167" s="3">
        <f>2941.9+(961.7-1218)+(-6.001476+(-1.961868--2.48472))+0-677.5--1.38209999999997</f>
        <v>2004.0034760000005</v>
      </c>
      <c r="I167" s="3">
        <f>2956.4+(994.2-1322.4)+(-1.507764+(-0.507042--0.674424))+0-667.3--0.340322999999932</f>
        <v>1959.8999409999999</v>
      </c>
      <c r="J167" s="3">
        <f>2956+(932.9-1245.3)+(0+(0-0))+0-695.4-0</f>
        <v>1948.1999999999998</v>
      </c>
      <c r="K167" s="3">
        <f>2827.4+(939.7-1058.4)+(4.325922+(1.437741-1.619352))+0-750.5-1.14826500000004</f>
        <v>1961.1960459999998</v>
      </c>
      <c r="L167" s="3">
        <f>2732.4+(809.4-1044.8)+(-8.361144+(-2.476764--3.197088))+0-578.4--1.76990400000007</f>
        <v>1912.7290839999998</v>
      </c>
      <c r="M167" s="3">
        <f>2633.3+(782-818.7)+(2.685966+(0.79764-0.835074))+0-574.7-0.586194000000092</f>
        <v>2023.9623380000003</v>
      </c>
      <c r="N167" s="3">
        <f>2722.4+(699.9-698.4)+(4.165272+(1.070847-1.068552))+0-477.4-0.730422000000028</f>
        <v>2249.9371449999999</v>
      </c>
      <c r="O167" s="3">
        <f>2992.5+(647.4-612.1)+(1.526175+(0.330174-0.312171))+0-596.2-0.30406199999994</f>
        <v>2432.8401160000003</v>
      </c>
      <c r="P167" s="3">
        <f>3049.5+(639.6-660.4)+(1.555245+(0.326196-0.336804))+0-536.6-0.273665999999946</f>
        <v>2493.3709709999998</v>
      </c>
      <c r="Q167" s="3">
        <f>3138.1+(700.2-693.9)+(0+(0-0))+0-499.6-0</f>
        <v>2644.8</v>
      </c>
      <c r="R167" s="3">
        <f>3242+(795-805.6)+(0+(0-0))+0-605.8-0</f>
        <v>2625.6000000000004</v>
      </c>
      <c r="S167" s="3">
        <f>3249.6+(954.6-1138.3)+(-4.971888+(-1.460538--1.741599))+0-630.1--0.964053000000036</f>
        <v>2432.0732260000004</v>
      </c>
      <c r="T167" s="3">
        <f>3271.4+(895.1-1101.1)+(1.668414+(0.456501-0.561561))+0-556.1-0.283610999999944</f>
        <v>2510.5797430000002</v>
      </c>
      <c r="U167" s="3">
        <f>3316.9+(846.8-998.3)+(-5.074857+(-1.295604--1.527399))+0-599.2--0.916776000000035</f>
        <v>2562.2737139999999</v>
      </c>
      <c r="V167" s="3">
        <f>3313.5+(689.6-1008.7)+(-6.75954+(-1.406784--2.057748))+0-459.3--0.93697199999998</f>
        <v>2529.9283959999998</v>
      </c>
      <c r="W167" s="3">
        <f>3255.8+(531.8-718.6)+(-8.30229+(-1.35609--1.83243))+0-550.2--1.40300999999992</f>
        <v>2512.3770599999998</v>
      </c>
      <c r="X167" s="3">
        <f>3182.3+(556.5-849.5)+(-11.360811+(-1.986705--3.032715))+0-413.1--1.47476700000001</f>
        <v>2467.3599660000004</v>
      </c>
      <c r="Y167" s="3">
        <f>3164.5+(476.3-545.7)+(-3.22779+(-0.485826--0.556614))+0-562.9--0.57415800000009</f>
        <v>2529.6171559999998</v>
      </c>
      <c r="Z167" s="3">
        <f>3292.9+(369.7-441.2)+(-1.679379+(-0.188547--0.225012))+0-584.6--0.298145999999941</f>
        <v>2635.4552320000003</v>
      </c>
      <c r="AA167" s="3">
        <f>3339.7+(344.4-725.1)+(-11.922729+(-1.229508--2.588607))+0-390.5--1.39408500000001</f>
        <v>2559.3304549999998</v>
      </c>
      <c r="AB167" s="3">
        <f>3220.5+(513.9-711.7)+(-3.28491+(-0.524178--0.725934))+0-540.8--0.551616000000086</f>
        <v>2479.3684619999999</v>
      </c>
      <c r="AC167" s="3">
        <f>3221.5+(598.7-844.1)+(-3.28593+(-0.610674--0.860982))+0-550.5--0.561510000000088</f>
        <v>2423.125888</v>
      </c>
      <c r="AD167">
        <v>2535.5999999999995</v>
      </c>
      <c r="AE167" s="3">
        <f>3333+(279.1-593.7)+(0+(0-0))+0-482.8-0</f>
        <v>2535.6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3205+(743.6-1079)+(-3.2691+(-0.758472--1.10058))+0-593.7--0.605574000000095</f>
        <v>2273.5785820000001</v>
      </c>
      <c r="G168" s="3">
        <f>3196.6+(666.8-1126.8)+(0+(0-0))+0-584.7-0</f>
        <v>2151.8999999999996</v>
      </c>
      <c r="H168" s="3">
        <f>3140.6+(603-1020.9)+(-1.601706+(-0.30753--0.520659))+0-651--0.332009999999934</f>
        <v>2070.6434329999997</v>
      </c>
      <c r="I168" s="3">
        <f>3103.4+(667.3-1030.1)+(-4.748202+(-1.020969--1.576053))+0-709.1--1.08492300000004</f>
        <v>2028.3918050000004</v>
      </c>
      <c r="J168" s="3">
        <f>3040+(706.8-997.7)+(-3.1008+(-0.720936--1.017654))+0-727.1--0.741642000000116</f>
        <v>2019.9375600000001</v>
      </c>
      <c r="K168" s="3">
        <f>2964.9+(741.6-929.4)+(-3.024198+(-0.756432--0.947988))+0-755.9--0.771018000000121</f>
        <v>2019.1383760000006</v>
      </c>
      <c r="L168" s="3">
        <f>2974.4+(592.4-914.1)+(-6.067776+(-1.208496--1.864764))+0-646.2--1.31824799999997</f>
        <v>2002.4067399999997</v>
      </c>
      <c r="M168" s="3">
        <f>2998.3+(559.2-788.8)+(3.058266+(0.570384-0.804576))+0-681.5-0.695130000000109</f>
        <v>2089.3289440000003</v>
      </c>
      <c r="N168" s="3">
        <f>3090.6+(587.4-799.4)+(3.152412+(0.599148-0.815388))+0-557.1-0.568242000000089</f>
        <v>2323.8679299999999</v>
      </c>
      <c r="O168" s="3">
        <f>3064.6+(564.8-634)+(0+(0-0))+0-550.7-0</f>
        <v>2444.6999999999998</v>
      </c>
      <c r="P168" s="3">
        <f>3061.9+(523-615.7)+(-3.123138+(-0.53346--0.628014))+0-380.6--0.388212000000061</f>
        <v>2585.9596279999996</v>
      </c>
      <c r="Q168" s="3">
        <f>3079.6+(528-445.5)+(1.570596+(0.26928-0.227205))+0-498-0.253979999999949</f>
        <v>2665.4586909999998</v>
      </c>
      <c r="R168" s="3">
        <f>3069.1+(465.3-414.8)+(-1.565241+(-0.237303--0.211548))+0-465--0.237149999999953</f>
        <v>2653.2461539999999</v>
      </c>
      <c r="S168" s="3">
        <f>3173.7+(497.9-775.1)+(-3.237174+(-0.507858--0.790602))+0-479.7--0.489294000000077</f>
        <v>2414.3348640000004</v>
      </c>
      <c r="T168" s="3">
        <f>3170.4+(507.1-669.2)+(1.616904+(0.258621-0.341292))+0-479.8-0.244697999999951</f>
        <v>2529.7895349999999</v>
      </c>
      <c r="U168" s="3">
        <f>3165+(493.6-589.2)+(-3.2283+(-0.503472--0.600984))+0-560.1--0.571302000000089</f>
        <v>2506.7405140000005</v>
      </c>
      <c r="V168" s="3">
        <f>3152.5+(517.1-523.2)+(-1.607775+(-0.263721--0.266832))+0-606.9--0.309518999999938</f>
        <v>2538.204855</v>
      </c>
      <c r="W168" s="3">
        <f>3177.6+(615.3-758.7)+(-4.861728+(-0.941409--1.160811))+0-532.5--0.814725000000031</f>
        <v>2497.8723989999999</v>
      </c>
      <c r="X168" s="3">
        <f>3152.2+(753.6-671.8)+(-4.822866+(-1.153008--1.027854))+0-658.7--1.00781100000004</f>
        <v>2571.3597910000003</v>
      </c>
      <c r="Y168" s="3">
        <f>3215.8+(600.2-597.5)+(-3.280116+(-0.612204--0.60945))+0-497.5--0.507450000000079</f>
        <v>2718.2245800000001</v>
      </c>
      <c r="Z168" s="3">
        <f>3334.6+(445.1-438.2)+(-1.700646+(-0.227001--0.223482))+0-656.2--0.334661999999933</f>
        <v>2683.9304969999998</v>
      </c>
      <c r="AA168" s="3">
        <f>3342.7+(341.7-683.8)+(-6.819108+(-0.697068--1.394952))+0-466--0.95063999999998</f>
        <v>2529.4294159999999</v>
      </c>
      <c r="AB168" s="3">
        <f>3346.8+(410.3-765.4)+(-10.241208+(-1.255518--2.342124))+0-476.6--1.45839600000006</f>
        <v>2507.4037940000003</v>
      </c>
      <c r="AC168" s="3">
        <f>3322.9+(446.2-736.7)+(-1.694679+(-0.227562--0.375717))+0-607.7--0.309926999999938</f>
        <v>2423.4634030000002</v>
      </c>
      <c r="AD168">
        <v>2553.6</v>
      </c>
      <c r="AE168" s="3">
        <f>3347+(411.4-594.7)+(0+(0-0))+0-610.1-0</f>
        <v>2553.6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3325.1+(383.9-945.5)+(-1.695801+(-0.195789--0.482205))+0-551.5--0.281264999999944</f>
        <v>2210.8718800000001</v>
      </c>
      <c r="G169" s="3">
        <f>3329.8+(587-1122)+(-5.094594+(-0.89811--1.71666))+0-692.4--1.05937200000004</f>
        <v>2099.1833280000001</v>
      </c>
      <c r="H169" s="3">
        <f>3343.5+(389.5-1024.8)+(-1.705185+(-0.198645--0.522648))+0-633.3--0.322982999999936</f>
        <v>2073.8418009999996</v>
      </c>
      <c r="I169" s="3">
        <f>3357.6+(458.4-1042.5)+(-3.424752+(-0.467568--1.06335))+0-703.9--0.717978000000112</f>
        <v>2067.489008</v>
      </c>
      <c r="J169" s="3">
        <f>3256.8+(481.3-985.1)+(4.982904+(0.736389-1.507203))+0-702.7-1.07513100000004</f>
        <v>2053.4369590000001</v>
      </c>
      <c r="K169" s="3">
        <f>3256.2+(480.1-944.9)+(0+(0-0))+0-710.8-0</f>
        <v>2080.5999999999995</v>
      </c>
      <c r="L169" s="3">
        <f>3259.5+(551.7-1020.5)+(-9.97407+(-1.688202--3.12273))+0-693.9--2.12333400000008</f>
        <v>2090.3837919999996</v>
      </c>
      <c r="M169" s="3">
        <f>3141+(554-943)+(1.60191+(0.28254-0.48093))+0-591.3-0.30156299999994</f>
        <v>2161.8019569999997</v>
      </c>
      <c r="N169" s="3">
        <f>3114.5+(419.5-741.3)+(-1.588395+(-0.213945--0.378063))+0-510.9--0.260558999999948</f>
        <v>2280.6362819999995</v>
      </c>
      <c r="O169" s="3">
        <f>3090.2+(678.9-653)+(1.576002+(0.346239-0.33303))+0-630.1-0.321350999999936</f>
        <v>2487.2678599999999</v>
      </c>
      <c r="P169" s="3">
        <f>3199.6+(559.8-596.9)+(1.631796+(0.285498-0.304419))+0-660.9-0.337058999999933</f>
        <v>2502.8758159999998</v>
      </c>
      <c r="Q169" s="3">
        <f>3293.5+(503.5-552.4)+(5.039055+(0.770355-0.845172))+0-537.7-0.822681000000031</f>
        <v>2711.041557</v>
      </c>
      <c r="R169" s="3">
        <f>3318.4+(515.1-456.1)+(-5.077152+(-0.788103--0.697833))+0-638.8--0.977364000000037</f>
        <v>2734.4099419999998</v>
      </c>
      <c r="S169" s="3">
        <f>3363.7+(586.8-841.3)+(0+(0-0))+0-613-0</f>
        <v>2496.1999999999998</v>
      </c>
      <c r="T169" s="3">
        <f>3353.8+(487.4-818.4)+(-1.710438+(-0.248574--0.417384))+0-471.8--0.240617999999952</f>
        <v>2549.6989899999999</v>
      </c>
      <c r="U169" s="3">
        <f>3346.3+(513.2-764.1)+(3.413226+(0.523464-0.779382))+0-488.6-0.498372000000078</f>
        <v>2609.458936</v>
      </c>
      <c r="V169" s="3">
        <f>3345.6+(516.2-688)+(0+(0-0))+0-582.6-0</f>
        <v>2591.2000000000003</v>
      </c>
      <c r="W169" s="3">
        <f>3345.5+(692-770.4)+(-6.82482+(-1.41168--1.571616))+0-681.4--1.39005599999997</f>
        <v>2580.4251720000002</v>
      </c>
      <c r="X169" s="3">
        <f>3242.7+(685.7-771.1)+(-4.961331+(-1.049121--1.179783))+0-517.1--0.79116300000003</f>
        <v>2636.1604939999997</v>
      </c>
      <c r="Y169" s="3">
        <f>3189.2+(696.9-602.7)+(1.626492+(0.355419-0.307377))+0-573.6-0.292535999999942</f>
        <v>2711.181998</v>
      </c>
      <c r="Z169" s="3">
        <f>3348.4+(503.6-665.7)+(-3.415368+(-0.513672--0.679014))+0-470.7--0.480114000000075</f>
        <v>2712.8300880000002</v>
      </c>
      <c r="AA169" s="3">
        <f>3366.8+(458.9-639.8)+(-8.58534+(-1.170195--1.63149))+0-570.5--1.45477499999992</f>
        <v>2608.7307299999998</v>
      </c>
      <c r="AB169" s="3">
        <f>3332.9+(517.7-891.5)+(-5.099337+(-0.792081--1.363995))+0-433.5--0.663255000000025</f>
        <v>2521.7358320000003</v>
      </c>
      <c r="AC169" s="3">
        <f>3265.5+(600.4-927.4)+(-3.33081+(-0.612408--0.945948))+0-507.8--0.517956000000081</f>
        <v>2428.2206860000001</v>
      </c>
      <c r="AD169">
        <v>2620</v>
      </c>
      <c r="AE169" s="3">
        <f>3377+(510.6-589)+(0+(0-0))+0-678.6-0</f>
        <v>2620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3275.2+(707.1-1162.1)+(-5.011056+(-1.081863--1.778013))+0-577--0.882810000000033</f>
        <v>2239.7679039999998</v>
      </c>
      <c r="G170" s="3">
        <f>3285.3+(714.6-1154.5)+(-5.026509+(-1.093338--1.766385))+0-585.6--0.895968000000034</f>
        <v>2256.342506</v>
      </c>
      <c r="H170" s="3">
        <f>3260.6+(596.1-1127.4)+(-3.325812+(-0.608022--1.149948))+0-549--0.559980000000088</f>
        <v>2178.0760939999996</v>
      </c>
      <c r="I170" s="3">
        <f>3256.4+(627-1099.9)+(-4.982292+(-0.95931--1.682847))+0-667.4--1.02112200000004</f>
        <v>2112.8623670000002</v>
      </c>
      <c r="J170" s="3">
        <f>3181.7+(551.4-1027.2)+(1.622667+(0.281214-0.523872))+0-650.5-0.331754999999934</f>
        <v>2056.4482539999995</v>
      </c>
      <c r="K170" s="3">
        <f>3112.5+(567.9-940.4)+(3.17475+(0.579258-0.959208))+0-679-0.692580000000108</f>
        <v>2063.1022200000002</v>
      </c>
      <c r="L170" s="3">
        <f>3031.1+(688.3-906.2)+(-1.545861+(-0.351033--0.462162))+0-729.5--0.372044999999926</f>
        <v>2082.6373129999997</v>
      </c>
      <c r="M170" s="3">
        <f>3032+(709.1-956.1)+(-3.09264+(-0.723282--0.975222))+0-484.7--0.494394000000077</f>
        <v>2297.9536940000003</v>
      </c>
      <c r="N170" s="3">
        <f>3009.5+(624.8-647.6)+(-3.06969+(-0.637296--0.660552))+0-618--0.630360000000099</f>
        <v>2366.2839260000001</v>
      </c>
      <c r="O170" s="3">
        <f>3024.6+(486.7-521)+(1.542546+(0.248217-0.26571))+0-503.7-0.256886999999949</f>
        <v>2487.8681659999997</v>
      </c>
      <c r="P170" s="3">
        <f>3177.4+(399.6-468.5)+(3.240948+(0.407592-0.47787))+0-565.4-0.57670800000009</f>
        <v>2545.6939619999998</v>
      </c>
      <c r="Q170" s="3">
        <f>3138.9+(495.7-426.6)+(0+(0-0))+0-476.3-0</f>
        <v>2731.7</v>
      </c>
      <c r="R170" s="3">
        <f>3139.3+(620.7-402.5)+(1.601043+(0.316557-0.205275))+0-627.1-0.319820999999936</f>
        <v>2731.792504</v>
      </c>
      <c r="S170" s="3">
        <f>3184.7+(572.6-799.6)+(-6.496788+(-1.168104--1.631184))+0-547--1.11587999999998</f>
        <v>2405.7821719999997</v>
      </c>
      <c r="T170" s="3">
        <f>3294.1+(632.8-790.9)+(1.679991+(0.322728-0.403359))+0-572.1-0.291770999999942</f>
        <v>2565.2075890000001</v>
      </c>
      <c r="U170" s="3">
        <f>3344+(631.6-818.7)+(-5.11632+(-0.966348--1.252611))+0-534.1--0.817173000000031</f>
        <v>2618.787116</v>
      </c>
      <c r="V170" s="3">
        <f>3296.6+(637.7-789.3)+(-1.681266+(-0.325227--0.402543))+0-518.5--0.264434999999947</f>
        <v>2625.1604849999999</v>
      </c>
      <c r="W170" s="3">
        <f>3252.9+(393.6-617.2)+(-4.976937+(-0.602208--0.944316))+0-381.5--0.583695000000022</f>
        <v>2643.7488659999999</v>
      </c>
      <c r="X170" s="3">
        <f>3091.4+(438.9-685.3)+(-3.153228+(-0.447678--0.699006))+0-298.1--0.304062000000048</f>
        <v>2544.3021620000004</v>
      </c>
      <c r="Y170" s="3">
        <f>3056.4+(330.2-430.9)+(0+(0-0))+0-405.5-0</f>
        <v>2550.2000000000003</v>
      </c>
      <c r="Z170" s="3">
        <f>3312.7+(393-422.4)+(0+(0-0))+0-617.9-0</f>
        <v>2665.3999999999996</v>
      </c>
      <c r="AA170" s="3">
        <f>3355.1+(391.1-711)+(-8.555505+(-0.997305--1.81305))+0-499.7--1.27423499999993</f>
        <v>2529.0344749999999</v>
      </c>
      <c r="AB170" s="3">
        <f>3349.6+(555.2-702.3)+(-8.54148+(-1.41576--1.790865))+0-690.1--1.7597549999999</f>
        <v>2505.9933800000003</v>
      </c>
      <c r="AC170" s="3">
        <f>3319.5+(525-692.9)+(-5.078835+(-0.80325--1.060137))+0-659.5--1.00903500000004</f>
        <v>2488.2870870000002</v>
      </c>
      <c r="AD170">
        <v>2578</v>
      </c>
      <c r="AE170" s="3">
        <f>3338+(404.4-449)+(0+(0-0))+0-715.4-0</f>
        <v>2578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3328.9+(418.3-972.5)+(-6.790956+(-0.853332--1.9839))+0-516.9--1.05447599999998</f>
        <v>2253.1940879999997</v>
      </c>
      <c r="G171" s="3">
        <f>3333.1+(493.7-1187.9)+(-5.099643+(-0.755361--1.817487))+0-543.7--0.831861000000031</f>
        <v>2091.9943439999993</v>
      </c>
      <c r="H171" s="3">
        <f>3252.2+(541.3-1136.1)+(-1.658622+(-0.276063--0.579411))+0-518.3--0.264332999999947</f>
        <v>2138.009059</v>
      </c>
      <c r="I171" s="3">
        <f>3223.8+(561.5-1148.7)+(-6.576552+(-1.14546--2.343348))+0-532.7--1.08670799999998</f>
        <v>2099.6080440000005</v>
      </c>
      <c r="J171" s="3">
        <f>3115.2+(596.8-1046.7)+(-3.177504+(-0.608736--1.067634))+0-567.8--0.57915600000009</f>
        <v>2095.3605499999999</v>
      </c>
      <c r="K171" s="3">
        <f>3024.4+(689.7-962.5)+(1.542444+(0.351747-0.490875))+0-679-0.346289999999931</f>
        <v>2073.6570260000003</v>
      </c>
      <c r="L171" s="3">
        <f>2923.7+(647.1-837.5)+(-10.437609+(-2.310147--2.989875))+0-588.7--2.10165900000001</f>
        <v>2136.9437779999998</v>
      </c>
      <c r="M171" s="3">
        <f>3035.9+(481.2-741.5)+(3.096618+(0.490824-0.75633))+0-488.8-0.498576000000078</f>
        <v>2289.1325359999996</v>
      </c>
      <c r="N171" s="3">
        <f>3076.8+(482.1-564.7)+(-1.569168+(-0.245871--0.287997))+0-612.9--0.312578999999938</f>
        <v>2380.0855369999999</v>
      </c>
      <c r="O171" s="3">
        <f>3206.8+(403.7-571.9)+(0+(0-0))+0-522.7-0</f>
        <v>2515.9000000000005</v>
      </c>
      <c r="P171" s="3">
        <f>3328.9+(363.1-532.6)+(-1.697739+(-0.185181--0.271626))+0-527.1--0.268820999999947</f>
        <v>2630.9575270000005</v>
      </c>
      <c r="Q171" s="3">
        <f>3302.7+(255.9-385.1)+(-1.684377+(-0.130509--0.196401))+0-509.2--0.259691999999948</f>
        <v>2662.9412070000003</v>
      </c>
      <c r="R171" s="3">
        <f>3265.8+(474-479.1)+(-1.665558+(-0.24174--0.244341))+0-561.3--0.286262999999943</f>
        <v>2698.023306</v>
      </c>
      <c r="S171" s="3">
        <f>3249.6+(522.6-798.6)+(-4.971888+(-0.799578--1.221858))+0-544.6--0.833238000000031</f>
        <v>2425.2836300000004</v>
      </c>
      <c r="T171" s="3">
        <f>3236.6+(580-606.8)+(-4.951998+(-0.8874--0.928404))+0-627.9--0.960687000000036</f>
        <v>2577.9496930000005</v>
      </c>
      <c r="U171" s="3">
        <f>3219.9+(573.1-615)+(-8.210745+(-1.461405--1.56825))+0-561.6--1.43207999999992</f>
        <v>2609.7281800000001</v>
      </c>
      <c r="V171" s="3">
        <f>3211.1+(597.9-628.4)+(-6.550644+(-1.219716--1.281936))+0-555.8--1.13383199999998</f>
        <v>2619.445408</v>
      </c>
      <c r="W171" s="3">
        <f>3234.8+(663.8-717.8)+(-9.898488+(-2.031228--2.196468))+0-545--1.66770000000006</f>
        <v>2627.7344520000001</v>
      </c>
      <c r="X171" s="3">
        <f>2969.4+(721.5-620.4)+(-10.600758+(-2.575755--2.214828))+0-491.6--1.75501200000001</f>
        <v>2569.693327</v>
      </c>
      <c r="Y171" s="3">
        <f>2990.3+(566.8-400.4)+(-1.525053+(-0.289068--0.204204))+0-391.7--0.19976699999996</f>
        <v>2763.5898500000003</v>
      </c>
      <c r="Z171" s="3">
        <f>3148.5+(378.2-334.4)+(-6.42294+(-0.771528--0.682176))+0-536.1--1.09364399999998</f>
        <v>2650.7813520000004</v>
      </c>
      <c r="AA171" s="3">
        <f>3171+(374-483.7)+(-9.70326+(-1.14444--1.480122))+0-505.6--1.54713600000006</f>
        <v>2547.8795580000005</v>
      </c>
      <c r="AB171" s="3">
        <f>3179.1+(395.7-528.1)+(-8.106705+(-1.009035--1.346655))+0-565.4--1.44176999999992</f>
        <v>2474.9726849999997</v>
      </c>
      <c r="AC171" s="3">
        <f>3134.3+(450.8-450.3)+(-3.196986+(-0.459816--0.459306))+0-689.5--0.70329000000011</f>
        <v>2442.8057940000003</v>
      </c>
      <c r="AD171">
        <v>2578.4</v>
      </c>
      <c r="AE171" s="3">
        <f>3151+(377.8-353)+(0+(0-0))+0-597.4-0</f>
        <v>2578.4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3130.6+(436.5-648.7)+(-3.193212+(-0.44523--0.661674))+0-649.6--0.662592000000104</f>
        <v>2266.4858239999999</v>
      </c>
      <c r="G172" s="3">
        <f>3140.9+(513.1-942.4)+(-4.805577+(-0.785043--1.441872))+0-734.7--1.12409100000004</f>
        <v>1973.8753430000004</v>
      </c>
      <c r="H172" s="3">
        <f>3149.8+(659.4-920.6)+(-1.606398+(-0.336294--0.469506))+0-665--0.339149999999933</f>
        <v>2222.465964</v>
      </c>
      <c r="I172" s="3">
        <f>3135.8+(735.2-938.7)+(-3.198516+(-0.749904--0.957474))+0-685.2--0.698904000000109</f>
        <v>2244.8079580000008</v>
      </c>
      <c r="J172" s="3">
        <f>3018.9+(614.6-909.9)+(1.539639+(0.313446-0.464049))+0-624.9-0.318698999999937</f>
        <v>2099.7703370000004</v>
      </c>
      <c r="K172" s="3">
        <f>2983+(662.9-880.6)+(-7.60665+(-1.690395--2.24553))+0-701.7--1.7893349999999</f>
        <v>2058.3378200000002</v>
      </c>
      <c r="L172" s="3">
        <f>2831.8+(717.7-766.6)+(-5.776872+(-1.464108--1.563864))+0-644--1.31375999999997</f>
        <v>2134.5366440000003</v>
      </c>
      <c r="M172" s="3">
        <f>2775.5+(776.7-800.3)+(-1.415505+(-0.396117--0.408153))+0-592.5--0.30217499999994</f>
        <v>2158.298706</v>
      </c>
      <c r="N172" s="3">
        <f>3002.5+(634.5-591.8)+(1.531275+(0.323595-0.301818))+0-614-0.313139999999938</f>
        <v>2432.4399120000003</v>
      </c>
      <c r="O172" s="3">
        <f>3243.7+(402.9-635.1)+(3.308574+(0.410958-0.647802))+0-424.2-0.432684000000068</f>
        <v>2589.9390460000004</v>
      </c>
      <c r="P172" s="3">
        <f>3313.1+(361.7-498.4)+(1.689681+(0.184467-0.254184))+0-572.9-0.292178999999942</f>
        <v>2604.8277849999999</v>
      </c>
      <c r="Q172" s="3">
        <f>3283.8+(336.5-329.5)+(3.349476+(0.34323-0.33609))+0-648.4-0.661368000000103</f>
        <v>2645.0952480000001</v>
      </c>
      <c r="R172" s="3">
        <f>3288.5+(232.4-208.9)+(0+(0-0))+0-664.6-0</f>
        <v>2647.4</v>
      </c>
      <c r="S172" s="3">
        <f>3274.9+(172.4-507.6)+(-8.350995+(-0.43962--1.29438))+0-602--1.53509999999991</f>
        <v>2331.7388649999998</v>
      </c>
      <c r="T172" s="3">
        <f>3254.2+(290.3-594.1)+(3.319284+(0.296106-0.605982))+0-540.1-0.550902000000086</f>
        <v>2412.7585059999997</v>
      </c>
      <c r="U172" s="3">
        <f>3238.6+(377-638.7)+(-3.303372+(-0.38454--0.651474))+0-585.7--0.597414000000093</f>
        <v>2388.760976</v>
      </c>
      <c r="V172" s="3">
        <f>3236.7+(600.5-727.2)+(-11.555019+(-2.143785--2.596104))+0-638--2.27766000000001</f>
        <v>2463.1749600000003</v>
      </c>
      <c r="W172" s="3">
        <f>3134.8+(653.9-751.4)+(-7.99374+(-1.667445--1.91607))+0-520--1.32599999999992</f>
        <v>2510.880885</v>
      </c>
      <c r="X172" s="3">
        <f>3141.5+(623.9-643.5)+(-4.806495+(-0.954567--0.984555))+0-679.3--1.03932900000004</f>
        <v>2438.8628220000001</v>
      </c>
      <c r="Y172" s="3">
        <f>3216.2+(486.7-545.4)+(-1.640262+(-0.248217--0.278154))+0-542.1--0.276470999999945</f>
        <v>2614.0661460000001</v>
      </c>
      <c r="Z172" s="3">
        <f>3341.7+(329.2-444.7)+(-8.521335+(-0.83946--1.133985))+0-632.3--1.61236499999991</f>
        <v>2587.2855549999995</v>
      </c>
      <c r="AA172" s="3">
        <f>3271.4+(298.4-567.7)+(-5.005242+(-0.456552--0.868581))+0-517.5--0.79177500000003</f>
        <v>2480.7985619999999</v>
      </c>
      <c r="AB172" s="3">
        <f>3227.2+(268.8-479.1)+(-8.22936+(-0.68544--1.221705))+0-611.8--1.56008999999991</f>
        <v>2398.9669949999998</v>
      </c>
      <c r="AC172" s="3">
        <f>3140.4+(262.2-522.3)+(0+(0-0))+0-606.1-0</f>
        <v>2274.2000000000003</v>
      </c>
      <c r="AD172">
        <v>2541.6</v>
      </c>
      <c r="AE172" s="3">
        <f>3326+(342.1-441.6)+(0+(0-0))+0-684.9-0</f>
        <v>2541.6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3025.2+(410-606.5)+(1.542852+(0.2091-0.309315))+0-628.5-0.320534999999936</f>
        <v>2201.3221020000001</v>
      </c>
      <c r="G173" s="3">
        <f>3020.7+(454.9-721.3)+(-4.621671+(-0.695997--1.103589))+0-685.8--1.04927400000004</f>
        <v>2065.3351949999997</v>
      </c>
      <c r="H173" s="3">
        <f>2807+(539-755.4)+(4.29471+(0.82467-1.155762))+0-565.2-0.864756000000033</f>
        <v>2028.4988620000001</v>
      </c>
      <c r="I173" s="3">
        <f>2763+(597.5-670.1)+(-2.81826+(-0.60945--0.683502))+0-756.6--0.771732000000121</f>
        <v>1931.8275240000003</v>
      </c>
      <c r="J173" s="3">
        <f>2664.3+(614-621.9)+(1.358793+(0.31314-0.317169))+0-729-0.371789999999926</f>
        <v>1928.3829740000003</v>
      </c>
      <c r="K173" s="3">
        <f>2603.7+(637.5-621.5)+(-2.655774+(-0.65025--0.63393))+0-700.6--0.714612000000112</f>
        <v>1917.1425180000001</v>
      </c>
      <c r="L173" s="3">
        <f>2437.4+(729.5-617.4)+(-2.486148+(-0.74409--0.629748))+0-665.2--0.678504000000106</f>
        <v>1882.3780140000003</v>
      </c>
      <c r="M173" s="3">
        <f>2439.5+(604.4-600.2)+(-2.48829+(-0.616488--0.612204))+0-622.1--0.634542000000099</f>
        <v>1819.741968</v>
      </c>
      <c r="N173" s="3">
        <f>2412.1+(529.7-419.8)+(-4.920684+(-1.080588--0.856392))+0-599.5--1.22297999999997</f>
        <v>1918.5781000000002</v>
      </c>
      <c r="O173" s="3">
        <f>2551.7+(502.4-326.9)+(3.904101+(0.768672-0.500157))+0-699.7-1.07054100000004</f>
        <v>2030.6020749999996</v>
      </c>
      <c r="P173" s="3">
        <f>2778+(384.4-428.2)+(-4.25034+(-0.588132--0.655146))+0-616.2--0.942786000000036</f>
        <v>2114.7594599999998</v>
      </c>
      <c r="Q173" s="3">
        <f>2893.7+(360.5-475.6)+(-1.475787+(-0.183855--0.242556))+0-649.7--0.331346999999934</f>
        <v>2127.814261</v>
      </c>
      <c r="R173" s="3">
        <f>3025+(255.9-575.7)+(-6.171+(-0.522036--1.174428))+0-586.8--1.19707199999997</f>
        <v>2114.0784640000002</v>
      </c>
      <c r="S173" s="3">
        <f>3008.8+(231.6-569.4)+(0+(0-0))+0-652.3-0</f>
        <v>2018.7</v>
      </c>
      <c r="T173" s="3">
        <f>2979.6+(323.9-618.5)+(-3.039192+(-0.330378--0.63087))+0-632--0.644640000000101</f>
        <v>2050.9059400000001</v>
      </c>
      <c r="U173" s="3">
        <f>2919.8+(344-692.9)+(-2.978196+(-0.35088--0.706758))+0-513--0.523260000000082</f>
        <v>2055.8009419999998</v>
      </c>
      <c r="V173" s="3">
        <f>2913.8+(375.5-716.2)+(-2.972076+(-0.38301--0.730524))+0-535--0.545700000000085</f>
        <v>2036.0211380000005</v>
      </c>
      <c r="W173" s="3">
        <f>2789.4+(450.4-666.6)+(-5.690376+(-0.918816--1.359864))+0-493.3--1.00633199999998</f>
        <v>2075.6570039999997</v>
      </c>
      <c r="X173" s="3">
        <f>2692.4+(537.9-659.2)+(-4.119372+(-0.822987--1.008576))+0-511.7--0.78290100000003</f>
        <v>2056.2491180000002</v>
      </c>
      <c r="Y173" s="3">
        <f>2863+(421-416.6)+(-1.46013+(-0.21471--0.212466))+0-595.5--0.30370499999994</f>
        <v>2270.7413309999997</v>
      </c>
      <c r="Z173" s="3">
        <f>3222.2+(127.3-547.5)+(-6.573288+(-0.259692--1.1169))+0-486.1--0.991643999999979</f>
        <v>2311.1755640000001</v>
      </c>
      <c r="AA173" s="3">
        <f>3206.8+(160.5-531.6)+(-11.448276+(-0.572985--1.897812))+0-615.5--2.19733500000001</f>
        <v>2212.2738859999999</v>
      </c>
      <c r="AB173" s="3">
        <f>3263.4+(175-593.3)+(3.328668+(0.1785-0.605166))+0-605.9-0.618018000000097</f>
        <v>2241.483984</v>
      </c>
      <c r="AC173" s="3">
        <f>3164.7+(181.7-541.8)+(-1.613997+(-0.092667--0.276318))+0-658.7--0.335936999999933</f>
        <v>2144.8055909999994</v>
      </c>
      <c r="AD173">
        <v>2219.6999999999998</v>
      </c>
      <c r="AE173" s="3">
        <f>3252+(141.5-472.3)+(0+(0-0))+0-701.5-0</f>
        <v>2219.6999999999998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3120.2+(232.6-502.2)+(0+(0-0))+0-754.9-0</f>
        <v>2095.6999999999998</v>
      </c>
      <c r="G174" s="3">
        <f>3129.7+(345.5-919.6)+(-1.596147+(-0.176205--0.468996))+0-631.9--0.322268999999936</f>
        <v>1922.7189129999999</v>
      </c>
      <c r="H174" s="3">
        <f>3055.8+(495.4-842.8)+(0+(0-0))+0-754.4-0</f>
        <v>1954</v>
      </c>
      <c r="I174" s="3">
        <f>2887.9+(536.6-845.1)+(-5.891316+(-1.094664--1.724004))+0-650.3--1.32661199999997</f>
        <v>1925.1646360000004</v>
      </c>
      <c r="J174" s="3">
        <f>2891.6+(578.8-874.5)+(-8.848296+(-1.771128--2.67597))+0-680.1--2.08110600000008</f>
        <v>1909.9376519999996</v>
      </c>
      <c r="K174" s="3">
        <f>2637.7+(621.8-701)+(-2.690454+(-0.634236--0.71502))+0-617.7--0.630054000000099</f>
        <v>1938.8203840000003</v>
      </c>
      <c r="L174" s="3">
        <f>2530.1+(707.2-691.2)+(-6.451755+(-1.80336--1.76256))+0-561.5--1.43182499999992</f>
        <v>1979.53927</v>
      </c>
      <c r="M174" s="3">
        <f>2575.1+(699.3-545.1)+(-1.313301+(-0.356643--0.278001))+0-591.5--0.30166499999994</f>
        <v>2136.7097219999996</v>
      </c>
      <c r="N174" s="3">
        <f>2806.2+(468.5-418)+(0+(0-0))+0-590.8-0</f>
        <v>2265.8999999999996</v>
      </c>
      <c r="O174" s="3">
        <f>2829.9+(419-428.2)+(-1.443249+(-0.21369--0.218382))+0-390--0.19889999999996</f>
        <v>2429.4603430000002</v>
      </c>
      <c r="P174" s="3">
        <f>3153.4+(319.9-393)+(6.432936+(0.652596-0.80172))+0-528.8-1.07875199999998</f>
        <v>2556.7050600000007</v>
      </c>
      <c r="Q174" s="3">
        <f>3212.1+(236.5-261.3)+(1.638171+(0.120615-0.133263))+0-560.9-0.286058999999943</f>
        <v>2627.7394639999998</v>
      </c>
      <c r="R174" s="3">
        <f>3200.3+(380.9-259.2)+(-3.264306+(-0.388518--0.264384))+0-616.9--0.629238000000098</f>
        <v>2702.3407979999997</v>
      </c>
      <c r="S174" s="3">
        <f>3186.3+(464.5-703.7)+(-6.500052+(-0.94758--1.435548))+0-544--1.10975999999998</f>
        <v>2398.1976760000002</v>
      </c>
      <c r="T174" s="3">
        <f>3162.5+(611.3-650.5)+(-1.612875+(-0.311763--0.331755))+0-548.2--0.279581999999944</f>
        <v>2573.7866990000002</v>
      </c>
      <c r="U174" s="3">
        <f>3151.1+(648.4-626.3)+(-1.607061+(-0.330684--0.319413))+0-546.9--0.278918999999945</f>
        <v>2624.9605869999996</v>
      </c>
      <c r="V174" s="3">
        <f>3146.6+(635.5-672.5)+(-4.814298+(-0.972315--1.028925))+0-521.2--0.79743600000003</f>
        <v>2584.4397479999998</v>
      </c>
      <c r="W174" s="3">
        <f>3178.1+(728.4-729)+(-8.104155+(-1.85742--1.85895))+0-634.1--1.61695499999991</f>
        <v>2536.9143300000001</v>
      </c>
      <c r="X174" s="3">
        <f>3131.3+(603.8-643)+(-4.790889+(-0.923814--0.98379))+0-559.1--0.855423000000032</f>
        <v>2529.1245100000006</v>
      </c>
      <c r="Y174" s="3">
        <f>3157.5+(529.8-588)+(0+(0-0))+0-483.9-0</f>
        <v>2615.4</v>
      </c>
      <c r="Z174" s="3">
        <f>3263.3+(683.8-778.7)+(-8.321415+(-1.74369--1.985685))+0-545.4--1.39076999999992</f>
        <v>2616.3113499999999</v>
      </c>
      <c r="AA174" s="3">
        <f>3269.6+(642.7-818.7)+(-8.33748+(-1.638885--2.087685))+0-526--1.34129999999992</f>
        <v>2561.0526199999999</v>
      </c>
      <c r="AB174" s="3">
        <f>3264.9+(578.6-774.1)+(-6.660396+(-1.180344--1.579164))+0-549.3--1.12057199999998</f>
        <v>2514.9589960000003</v>
      </c>
      <c r="AC174" s="3">
        <f>3255.9+(612.1-737.3)+(0+(0-0))+0-665-0</f>
        <v>2465.7000000000003</v>
      </c>
      <c r="AD174">
        <v>2608.8000000000002</v>
      </c>
      <c r="AE174" s="3">
        <f>3250+(721-867.2)+(0+(0-0))+0-495-0</f>
        <v>2608.8000000000002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3201.1+(501-768.4)+(-8.162805+(-1.27755--1.95942))+0-635.2--1.61975999999991</f>
        <v>2292.6388249999995</v>
      </c>
      <c r="G175" s="3">
        <f>3061.9+(597.9-862.7)+(-6.246276+(-1.219716--1.759908))+0-684.1--1.39556399999997</f>
        <v>2108.68948</v>
      </c>
      <c r="H175" s="3">
        <f>3033.4+(765-878.7)+(-3.094068+(-0.7803--0.896274))+0-751.5--0.76653000000012</f>
        <v>2165.9884360000001</v>
      </c>
      <c r="I175" s="3">
        <f>3024+(781.1-941.6)+(-7.7112+(-1.991805--2.40108))+0-684.2--1.7447099999999</f>
        <v>2173.7427849999995</v>
      </c>
      <c r="J175" s="3">
        <f>2908.5+(711.1-858.1)+(4.450005+(1.087983-1.312893))+0-714.5-1.09318500000004</f>
        <v>2050.1319099999996</v>
      </c>
      <c r="K175" s="3">
        <f>2885.6+(705.7-841.4)+(4.414968+(1.079721-1.287342))+0-706.2-1.08048600000004</f>
        <v>2046.826861</v>
      </c>
      <c r="L175" s="3">
        <f>2821+(744-844.2)+(-2.87742+(-0.75888--0.861084))+0-631.7--0.644334000000101</f>
        <v>2086.9691180000004</v>
      </c>
      <c r="M175" s="3">
        <f>2816.7+(726-747.8)+(1.436517+(0.37026-0.381378))+0-562.5-0.286874999999943</f>
        <v>2233.5385240000001</v>
      </c>
      <c r="N175" s="3">
        <f>3012.2+(571.7-535.9)+(-1.536222+(-0.291567--0.273309))+0-627.8--0.320177999999936</f>
        <v>2418.965698</v>
      </c>
      <c r="O175" s="3">
        <f>3247.6+(463.8-587.2)+(0+(0-0))+0-562.6-0</f>
        <v>2561.6</v>
      </c>
      <c r="P175" s="3">
        <f>3218.4+(448.5-500.2)+(1.641384+(0.228735-0.255102))+0-531.7-0.271166999999946</f>
        <v>2636.3438500000002</v>
      </c>
      <c r="Q175" s="3">
        <f>3207.4+(423.2-394)+(1.635774+(0.215832-0.20094))+0-528.3-0.269432999999946</f>
        <v>2709.6812329999998</v>
      </c>
      <c r="R175" s="3">
        <f>3182.4+(563.2-435.9)+(-1.623024+(-0.287232--0.222309))+0-599.3--0.305642999999939</f>
        <v>2709.0176960000003</v>
      </c>
      <c r="S175" s="3">
        <f>3170.6+(587.7-893.4)+(-9.702036+(-1.798362--2.733804))+0-453.9--1.38893400000005</f>
        <v>2403.6223399999999</v>
      </c>
      <c r="T175" s="3">
        <f>3161.5+(754.9-750.1)+(0+(0-0))+0-599.7-0</f>
        <v>2566.6000000000004</v>
      </c>
      <c r="U175" s="3">
        <f>3145.2+(636.9-703.1)+(-6.416208+(-1.299276--1.434324))+0-513.9--1.04835599999998</f>
        <v>2559.8671959999997</v>
      </c>
      <c r="V175" s="3">
        <f>3134.9+(473.3-586.6)+(0+(0-0))+0-486.7-0</f>
        <v>2534.9</v>
      </c>
      <c r="W175" s="3">
        <f>3102.4+(495.5-551.3)+(-4.746672+(-0.758115--0.843489))+0-488.7--0.747711000000028</f>
        <v>2553.9864130000005</v>
      </c>
      <c r="X175" s="3">
        <f>3052.4+(511.8-611.6)+(0+(0-0))+0-448.4-0</f>
        <v>2504.1999999999998</v>
      </c>
      <c r="Y175" s="3">
        <f>3109.7+(337.5-297.2)+(-1.585947+(-0.172125--0.151572))+0-525.8--0.268157999999947</f>
        <v>2622.8616579999998</v>
      </c>
      <c r="Z175" s="3">
        <f>3209.3+(337.2-252.1)+(-8.183715+(-0.85986--0.642855))+0-571.6--1.45757999999992</f>
        <v>2715.8568599999999</v>
      </c>
      <c r="AA175" s="3">
        <f>3244.4+(251.8-400.7)+(-9.927864+(-0.770508--1.226142))+0-508--1.55448000000006</f>
        <v>2579.5822500000004</v>
      </c>
      <c r="AB175" s="3">
        <f>3238.2+(351.7-471)+(-4.954446+(-0.538101--0.72063))+0-547.6--0.837828000000032</f>
        <v>2567.3659109999999</v>
      </c>
      <c r="AC175" s="3">
        <f>3214+(462.6-591.9)+(-4.91742+(-0.707778--0.905607))+0-619.8--0.948294000000036</f>
        <v>2461.1287029999999</v>
      </c>
      <c r="AD175">
        <v>2670.8</v>
      </c>
      <c r="AE175" s="3">
        <f>3223+(325.3-213.5)+(0+(0-0))+0-664-0</f>
        <v>2670.8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3219.4+(465.3-718.5)+(-6.567576+(-0.949212--1.46574))+0-660.6--1.34762399999997</f>
        <v>2300.8965760000006</v>
      </c>
      <c r="G176" s="3">
        <f>3210+(617.3-947)+(0+(0-0))+0-666.7-0</f>
        <v>2213.6000000000004</v>
      </c>
      <c r="H176" s="3">
        <f>3003.3+(672.6-881.9)+(0+(0-0))+0-673.7-0</f>
        <v>2120.3000000000002</v>
      </c>
      <c r="I176" s="3">
        <f>2853+(687.3-762.8)+(-1.45503+(-0.350523--0.389028))+0-700.8--0.357407999999929</f>
        <v>2075.640883</v>
      </c>
      <c r="J176" s="3">
        <f>2786.5+(682.5-773.4)+(-5.68446+(-1.3923--1.577736))+0-629.1--1.28336399999997</f>
        <v>2062.2843399999997</v>
      </c>
      <c r="K176" s="3">
        <f>2671.3+(750.7-715.2)+(1.362363+(0.382857-0.364752))+0-645.5-0.329204999999935</f>
        <v>2062.351263</v>
      </c>
      <c r="L176" s="3">
        <f>2620.9+(656.6-684.3)+(-6.683295+(-1.67433--1.744965))+0-528.3--1.34716499999992</f>
        <v>2059.6345050000009</v>
      </c>
      <c r="M176" s="3">
        <f>2634+(553.9-548)+(-1.34334+(-0.282489--0.27948))+0-497.1--0.25352099999995</f>
        <v>2141.7071720000004</v>
      </c>
      <c r="N176" s="3">
        <f>2907.6+(447.1-562.1)+(2.965752+(0.456042-0.573342))+0-419.7-0.428094000000067</f>
        <v>2375.3203580000004</v>
      </c>
      <c r="O176" s="3">
        <f>3009.4+(468.3-498.9)+(-4.604382+(-0.716499--0.763317))+0-473.6--0.724608000000027</f>
        <v>2501.3670440000001</v>
      </c>
      <c r="P176" s="3">
        <f>3212.3+(393-492.9)+(-1.638273+(-0.20043--0.251379))+0-455.9--0.232508999999954</f>
        <v>2655.1451849999999</v>
      </c>
      <c r="Q176" s="3">
        <f>3193.2+(420.9-340.1)+(0+(0-0))+0-539.6-0</f>
        <v>2734.4</v>
      </c>
      <c r="R176" s="3">
        <f>3180.4+(353.1-393.4)+(0+(0-0))+0-417.7-0</f>
        <v>2722.4000000000005</v>
      </c>
      <c r="S176" s="3">
        <f>3166.1+(453.2-612.3)+(-4.844133+(-0.693396--0.936819))+0-507.2--0.776016000000029</f>
        <v>2495.9753060000003</v>
      </c>
      <c r="T176" s="3">
        <f>3155.8+(442.9-553.8)+(-3.218916+(-0.451758--0.564876))+0-489.2--0.498984000000078</f>
        <v>2553.0931860000005</v>
      </c>
      <c r="U176" s="3">
        <f>3151.5+(476-586.9)+(-1.607265+(-0.24276--0.299319))+0-431.3--0.219962999999956</f>
        <v>2607.9692569999997</v>
      </c>
      <c r="V176" s="3">
        <f>3131.7+(463.1-409.2)+(-6.388668+(-0.944724--0.834768))+0-581.3--1.18585199999997</f>
        <v>2598.9872280000004</v>
      </c>
      <c r="W176" s="3">
        <f>3050.3+(381.5-353.3)+(-9.333918+(-1.16739--1.081098))+0-493--1.50858000000006</f>
        <v>2577.5883699999999</v>
      </c>
      <c r="X176" s="3">
        <f>3060.2+(430.4-423.5)+(-6.242808+(-0.878016--0.86394))+0-545.4--1.11261599999998</f>
        <v>2516.5557319999998</v>
      </c>
      <c r="Y176" s="3">
        <f>3109+(393.5-291.1)+(-3.17118+(-0.40137--0.296922))+0-578.7--0.590274000000092</f>
        <v>2630.0146460000005</v>
      </c>
      <c r="Z176" s="3">
        <f>3252.4+(339.7-498.2)+(-4.976172+(-0.519741--0.762246))+0-427.8--0.654534000000025</f>
        <v>2662.0208670000002</v>
      </c>
      <c r="AA176" s="3">
        <f>3265.3+(344.2-519.9)+(-4.995909+(-0.526626--0.795447))+0-530.1--0.811053000000031</f>
        <v>2555.5839650000003</v>
      </c>
      <c r="AB176" s="3">
        <f>3256.8+(180.4-551.5)+(-3.321936+(-0.184008--0.56253))+0-411.5--0.419730000000066</f>
        <v>2471.6763160000005</v>
      </c>
      <c r="AC176" s="3">
        <f>3197.1+(208.9-494.8)+(-1.630521+(-0.106539--0.252348))+0-512.3--0.261272999999948</f>
        <v>2397.6765610000002</v>
      </c>
      <c r="AD176">
        <v>2639.2000000000003</v>
      </c>
      <c r="AE176" s="3">
        <f>3243+(380.3-555.4)+(0+(0-0))+0-428.7-0</f>
        <v>2639.2000000000003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3128+(369.6-731.2)+(-4.78584+(-0.565488--1.118736))+0-485.6--0.742968000000028</f>
        <v>2277.3103760000004</v>
      </c>
      <c r="G177" s="3">
        <f>2970.6+(677.8-881.8)+(-4.545018+(-1.037034--1.349154))+0-614.5--0.940185000000035</f>
        <v>2148.8072869999996</v>
      </c>
      <c r="H177" s="3">
        <f>2949+(688.6-910)+(-6.01596+(-1.404744--1.8564))+0-637.2--1.29988799999997</f>
        <v>2086.1355840000001</v>
      </c>
      <c r="I177" s="3">
        <f>2784+(752.4-896.5)+(-1.41984+(-0.383724--0.457215))+0-586.8--0.29926799999994</f>
        <v>2052.0529189999997</v>
      </c>
      <c r="J177" s="3">
        <f>2698.8+(842.3-818.8)+(1.376388+(0.429573-0.417588))+0-677.4-0.345473999999931</f>
        <v>2045.9428989999999</v>
      </c>
      <c r="K177" s="3">
        <f>2699.5+(805-885.1)+(-1.376745+(-0.41055--0.451401))+0-562.9--0.287078999999943</f>
        <v>2055.4511849999999</v>
      </c>
      <c r="L177" s="3">
        <f>2529.3+(751.6-733.3)+(-1.289943+(-0.383316--0.373983))+0-490.2--0.25000199999995</f>
        <v>2056.3507260000001</v>
      </c>
      <c r="M177" s="3">
        <f>2422+(695.8-363.1)+(1.23522+(0.354858-0.185181))+0-626.2-0.319361999999936</f>
        <v>2129.5855349999997</v>
      </c>
      <c r="N177" s="3">
        <f>2653.1+(569.9-309.7)+(-5.412324+(-1.162596--0.631788))+0-561.2--1.14484799999998</f>
        <v>2347.3017159999999</v>
      </c>
      <c r="O177" s="3">
        <f>2690.7+(549.5-279.9)+(0+(0-0))+0-462.7-0</f>
        <v>2497.6</v>
      </c>
      <c r="P177" s="3">
        <f>2767.6+(609.3-236.6)+(2.822952+(0.621486-0.241332))+0-549.5-0.560490000000088</f>
        <v>2593.4426159999994</v>
      </c>
      <c r="Q177" s="3">
        <f>2991.1+(504.3-204.5)+(3.050922+(0.514386-0.20859))+0-580.6-0.592212000000093</f>
        <v>2713.0645060000002</v>
      </c>
      <c r="R177" s="3">
        <f>3026+(354-245)+(0+(0-0))+0-525-0</f>
        <v>2610</v>
      </c>
      <c r="S177" s="3">
        <f>3169+(395-670)+(0+(0-0))+0-560-0</f>
        <v>2334</v>
      </c>
      <c r="T177" s="3">
        <f>3362+(437-887)+(0+(0-0))+0-473-0</f>
        <v>2439</v>
      </c>
      <c r="U177" s="3">
        <f>3370+(503-833)+(0+(0-0))+0-511-0</f>
        <v>2529</v>
      </c>
      <c r="V177" s="3">
        <f>3270+(508-709)+(0+(0-0))+0-581-0</f>
        <v>2488</v>
      </c>
      <c r="W177" s="3">
        <f>3148+(580-777)+(0+(0-0))+0-556-0</f>
        <v>2395</v>
      </c>
      <c r="X177" s="3">
        <f>3145.9+(465-575)+(-8.022045+(-1.18575--1.46625))+0-590--1.50449999999991</f>
        <v>2439.6629550000002</v>
      </c>
      <c r="Y177" s="3">
        <f>3168.8+(299-402)+(-3.232176+(-0.30498--0.41004))+0-510--0.520200000000081</f>
        <v>2553.193084</v>
      </c>
      <c r="Z177" s="3">
        <f>3212.3+(397-438)+(-8.191365+(-1.01235--1.1169))+0-592--1.50959999999991</f>
        <v>2572.7227849999999</v>
      </c>
      <c r="AA177" s="3">
        <f>3227.2+(355-481)+(-9.875232+(-1.0863--1.47186))+0-603--1.84518000000007</f>
        <v>2490.5555079999999</v>
      </c>
      <c r="AB177" s="3">
        <f>3225.1+(365-634)+(-6.579204+(-0.7446--1.29336))+0-553--1.12811999999998</f>
        <v>2398.1976759999998</v>
      </c>
      <c r="AC177" s="3">
        <f>3027.9+(508-427)+(-1.544229+(-0.25908--0.21777))+0-744--0.379439999999925</f>
        <v>2363.6939009999996</v>
      </c>
      <c r="AD177">
        <v>2665.2000000000003</v>
      </c>
      <c r="AE177" s="3">
        <f>3198+(453.3-409.2)+(0+(0-0))+0-576.9-0</f>
        <v>2665.2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2917+(476.2-479.1)+(0+(0-0))+0-606.3-0</f>
        <v>2307.8000000000002</v>
      </c>
      <c r="G178" s="3">
        <f>2916+(724.2-726.8)+(0+(0-0))+0-704.7-0</f>
        <v>2208.6999999999998</v>
      </c>
      <c r="H178" s="3">
        <f>2882+(704.4-867.6)+(0+(0-0))+0-620.9-0</f>
        <v>2097.9</v>
      </c>
      <c r="I178" s="3">
        <f>2769+(702.8-732.1)+(0+(0-0))+0-686-0</f>
        <v>2053.6999999999998</v>
      </c>
      <c r="J178" s="3">
        <f>2656+(805.6-737.7)+(0+(0-0))+0-685.1-0</f>
        <v>2038.8000000000002</v>
      </c>
      <c r="K178" s="3">
        <f>2656+(685.3-682.1)+(0+(0-0))+0-607.2-0</f>
        <v>2052</v>
      </c>
      <c r="L178" s="3">
        <f>2516.2+(780.9-553.1)+(0+(0-0))+0-693.2-0</f>
        <v>2050.8000000000002</v>
      </c>
      <c r="M178" s="3">
        <f>2454.2+(683.4-423.8)+(1.251642+(0.348534-0.216138))+0-602.4-0.307223999999939</f>
        <v>2112.4768139999996</v>
      </c>
      <c r="N178" s="3">
        <f>2507.7+(810.8-401.7)+(-2.557854+(-0.827016--0.409734))+0-577.1--0.588642000000092</f>
        <v>2337.313506</v>
      </c>
      <c r="O178" s="3">
        <f>2535.8+(937.7-495.8)+(1.293258+(0.478227-0.252858))+0-444.2-0.226541999999955</f>
        <v>2534.7920850000005</v>
      </c>
      <c r="P178" s="3">
        <f>2587.9+(935.1-381.8)+(3.959487+(1.430703-0.584154))+0-504-0.771120000000029</f>
        <v>2641.2349159999999</v>
      </c>
      <c r="Q178" s="3">
        <f>2875+(764.2-365)+(1.46625+(0.389742-0.18615))+0-559.6-0.285395999999943</f>
        <v>2715.9844459999999</v>
      </c>
      <c r="R178" s="3">
        <f>2887.1+(758.6-431.1)+(2.944842+(0.773772-0.439722))+0-514.1-0.524382000000082</f>
        <v>2703.2545099999998</v>
      </c>
      <c r="S178" s="3">
        <f>2956.5+(895.7-780.3)+(-1.507815+(-0.456807--0.397953))+0-592.3--0.30207299999994</f>
        <v>2478.3354040000004</v>
      </c>
      <c r="T178" s="3">
        <f>3041.9+(842.3-935.9)+(-1.551369+(-0.429573--0.477309))+0-403.7--0.205886999999959</f>
        <v>2543.3022540000006</v>
      </c>
      <c r="U178" s="3">
        <f>3062.2+(924.6-861.8)+(-1.561722+(-0.471546--0.439518))+0-525.4--0.267953999999947</f>
        <v>2598.2742039999998</v>
      </c>
      <c r="V178" s="3">
        <f>3064.6+(817.6-783.8)+(-7.81473+(-2.08488--1.99869))+0-498.7--1.27168499999993</f>
        <v>2593.0707649999999</v>
      </c>
      <c r="W178" s="3">
        <f>2982.6+(806.1-660.7)+(-9.126756+(-2.466666--2.021742))+0-567.9--1.73777400000007</f>
        <v>2552.2660940000001</v>
      </c>
      <c r="X178" s="3">
        <f>2922.5+(550.4-523.1)+(-7.452375+(-1.40352--1.333905))+0-454.3--1.15846499999993</f>
        <v>2489.1364749999998</v>
      </c>
      <c r="Y178" s="3">
        <f>2946.1+(493.7-328.9)+(-3.005022+(-0.503574--0.335478))+0-487.1--0.496842000000078</f>
        <v>2621.123724</v>
      </c>
      <c r="Z178" s="3">
        <f>3059.5+(601.9-351.5)+(-9.36207+(-1.841814--1.07559))+0-668.7--2.04622200000008</f>
        <v>2633.1179279999997</v>
      </c>
      <c r="AA178" s="3">
        <f>3017.7+(621-566.3)+(-7.695135+(-1.58355--1.444065))+0-515.5--1.31452499999993</f>
        <v>2550.3799049999993</v>
      </c>
      <c r="AB178" s="3">
        <f>2943.7+(634.3-594.2)+(-4.503861+(-0.970479--0.909126))+0-516.8--0.79070400000003</f>
        <v>2463.2254899999998</v>
      </c>
      <c r="AC178" s="3">
        <f>2897+(719.8-641.5)+(-1.47747+(-0.367098--0.327165))+0-583.9--0.297788999999941</f>
        <v>2390.180386</v>
      </c>
      <c r="AD178">
        <v>2630.5</v>
      </c>
      <c r="AE178" s="3">
        <f>3024+(656.9-318.3)+(0+(0-0))+0-732.1-0</f>
        <v>2630.5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2906.1+(684.2-635.1)+(0+(0-0))+0-726.1-0</f>
        <v>2229.1</v>
      </c>
      <c r="G179" s="3">
        <f>2850.7+(799.1-875)+(-1.453857+(-0.407541--0.44625))+0-628--0.320279999999936</f>
        <v>2145.7051319999996</v>
      </c>
      <c r="H179" s="3">
        <f>2727.6+(875.8-796.7)+(4.173228+(1.339974-1.218951))+0-730.8-1.11812400000004</f>
        <v>2079.0761269999998</v>
      </c>
      <c r="I179" s="3">
        <f>2649.7+(764.5-775.9)+(-2.702694+(-0.77979--0.791418))+0-628.5--0.6410700000001</f>
        <v>2007.750004</v>
      </c>
      <c r="J179" s="3">
        <f>2604.5+(660.8-595.6)+(-3.984885+(-1.011024--0.911268))+0-656.6--1.00459800000004</f>
        <v>2010.019957</v>
      </c>
      <c r="K179" s="3">
        <f>2600.9+(665.6-558.5)+(-1.326459+(-0.339456--0.284835))+0-704.5--0.359294999999929</f>
        <v>2002.4782149999999</v>
      </c>
      <c r="L179" s="3">
        <f>2610.7+(618.2-600.4)+(-6.657285+(-1.57641--1.53102))+0-603.2--1.53815999999991</f>
        <v>2020.1354849999998</v>
      </c>
      <c r="M179" s="3">
        <f>2449.5+(596.1-469.7)+(0+(0-0))+0-505.7-0</f>
        <v>2070.2000000000003</v>
      </c>
      <c r="N179" s="3">
        <f>2500.3+(594.2-217.9)+(0+(0-0))+0-575.3-0</f>
        <v>2301.3000000000002</v>
      </c>
      <c r="O179" s="3">
        <f>2542.7+(651.4-230.3)+(0+(0-0))+0-522.5-0</f>
        <v>2441.2999999999997</v>
      </c>
      <c r="P179" s="3">
        <f>2753.5+(531.1-150.7)+(5.61714+(1.083444-0.307428))+0-589.2-1.20196799999997</f>
        <v>2549.8911880000001</v>
      </c>
      <c r="Q179" s="3">
        <f>2841+(451.7-110.7)+(0+(0-0))+0-597.7-0</f>
        <v>2584.3000000000002</v>
      </c>
      <c r="R179" s="3">
        <f>2827+(426.5-151.5)+(-2.88354+(-0.43503--0.15453))+0-514.1--0.524382000000082</f>
        <v>2585.260342</v>
      </c>
      <c r="S179" s="3">
        <f>2803.7+(721.2-522.9)+(-5.719548+(-1.471248--1.066716))+0-584.6--1.19258399999997</f>
        <v>2412.4685039999999</v>
      </c>
      <c r="T179" s="3">
        <f>2784.8+(979.1-767.2)+(-1.420248+(-0.499341--0.391272))+0-567.6--0.289475999999942</f>
        <v>2427.8611590000005</v>
      </c>
      <c r="U179" s="3">
        <f>2778.7+(954.1-783.3)+(-4.251411+(-1.459773--1.198449))+0-501.1--0.766683000000029</f>
        <v>2444.6539480000001</v>
      </c>
      <c r="V179" s="3">
        <f>2751.2+(903.4-695.4)+(-1.403112+(-0.460734--0.354654))+0-549.7--0.280346999999944</f>
        <v>2408.2711549999995</v>
      </c>
      <c r="W179" s="3">
        <f>2602+(694.2-365.9)+(-6.6351+(-1.77021--0.933045))+0-543.5--1.38592499999992</f>
        <v>2380.7136600000003</v>
      </c>
      <c r="X179" s="3">
        <f>2583.6+(584.6-378.1)+(0+(0-0))+0-456.5-0</f>
        <v>2333.6</v>
      </c>
      <c r="Y179" s="3">
        <f>2700.2+(512-285.4)+(0+(0-0))+0-428.9-0</f>
        <v>2497.8999999999996</v>
      </c>
      <c r="Z179" s="3">
        <f>2830.5+(494.9-239.8)+(-4.330665+(-0.757197--0.366894))+0-562.8--0.861084000000032</f>
        <v>2518.9401159999998</v>
      </c>
      <c r="AA179" s="3">
        <f>2902.1+(408.5-292.2)+(-7.400355+(-1.041675--0.74511))+0-588.8--1.50143999999991</f>
        <v>2423.40452</v>
      </c>
      <c r="AB179" s="3">
        <f>2925.6+(311-412.8)+(-7.46028+(-0.79305--1.05264))+0-464.1--1.18345499999993</f>
        <v>2353.6827649999996</v>
      </c>
      <c r="AC179" s="3">
        <f>2924.3+(519.6-447.6)+(-4.474179+(-0.794988--0.684828))+0-669.5--1.02433500000004</f>
        <v>2323.2399960000002</v>
      </c>
      <c r="AD179">
        <v>2511.6000000000004</v>
      </c>
      <c r="AE179" s="3">
        <f>2785+(570.8-194.4)+(0+(0-0))+0-649.8-0</f>
        <v>2511.6000000000004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2887.3+(566.7-561.1)+(-4.417569+(-0.867051--0.858483))+0-711.1--1.08798300000004</f>
        <v>2178.4618460000002</v>
      </c>
      <c r="G180" s="3">
        <f>2722.1+(525.1-483.1)+(-1.388271+(-0.267801--0.246381))+0-697.8--0.355877999999929</f>
        <v>2065.2461870000002</v>
      </c>
      <c r="H180" s="3">
        <f>2761.2+(594-666.9)+(-7.04106+(-1.5147--1.700595))+0-684.5--1.7454749999999</f>
        <v>1998.6903099999997</v>
      </c>
      <c r="I180" s="3">
        <f>2776.4+(617.2-763.7)+(0+(0-0))+0-677.7-0</f>
        <v>1952.2</v>
      </c>
      <c r="J180" s="3">
        <f>2680.8+(516.8-848)+(0+(0-0))+0-433.3-0</f>
        <v>1916.3000000000004</v>
      </c>
      <c r="K180" s="3">
        <f>2568.9+(655.4-624.4)+(3.930417+(1.002762-0.955332))+0-698.6-1.06885800000004</f>
        <v>1904.2089890000002</v>
      </c>
      <c r="L180" s="3">
        <f>2269.4+(780.3-534.7)+(3.472182+(1.193859-0.818091))+0-646-0.988380000000037</f>
        <v>1871.8595699999998</v>
      </c>
      <c r="M180" s="3">
        <f>2094.8+(746.3-437.2)+(-5.34174+(-1.903065--1.11486))+0-624.4--1.59221999999991</f>
        <v>1774.9622749999999</v>
      </c>
      <c r="N180" s="3">
        <f>2081.5+(697.4-374.2)+(0+(0-0))+0-540.2-0</f>
        <v>1864.4999999999998</v>
      </c>
      <c r="O180" s="3">
        <f>2255.2+(759.2-366)+(-3.450456+(-1.161576--0.55998))+0-678.1--1.03749300000004</f>
        <v>1967.2854409999998</v>
      </c>
      <c r="P180" s="3">
        <f>2335.4+(552.9-315.2)+(-2.382108+(-0.563958--0.321504))+0-509.4--0.519588000000081</f>
        <v>2061.595026</v>
      </c>
      <c r="Q180" s="3">
        <f>2435+(533.3-275)+(-2.4837+(-0.543966--0.2805))+0-576.1--0.587622000000092</f>
        <v>2115.0404560000002</v>
      </c>
      <c r="R180" s="3">
        <f>2482.7+(517.1-303.4)+(-2.532354+(-0.527442--0.309468))+0-576--0.587520000000092</f>
        <v>2118.2371919999996</v>
      </c>
      <c r="S180" s="3">
        <f>2469.9+(542.8-487.7)+(-2.519298+(-0.553656--0.497454))+0-473.6--0.483072000000076</f>
        <v>2049.3075720000002</v>
      </c>
      <c r="T180" s="3">
        <f>2484.3+(720.5-618.2)+(1.266993+(0.367455-0.315282))+0-546.2-0.278561999999945</f>
        <v>2041.4406040000006</v>
      </c>
      <c r="U180" s="3">
        <f>2508.1+(731.6-709.1)+(0+(0-0))+0-491.1-0</f>
        <v>2039.5</v>
      </c>
      <c r="V180" s="3">
        <f>2502.1+(688.6-578)+(-6.380355+(-1.75593--1.4739))+0-566.9--1.44559499999992</f>
        <v>2040.5832099999996</v>
      </c>
      <c r="W180" s="3">
        <f>2524.5+(578.7-652.4)+(-2.57499+(-0.590274--0.665448))+0-402.9--0.410958000000064</f>
        <v>2045.8111420000002</v>
      </c>
      <c r="X180" s="3">
        <f>2531.9+(429.9-419.2)+(-3.873807+(-0.657747--0.641376))+0-489.7--0.749241000000028</f>
        <v>2049.759063</v>
      </c>
      <c r="Y180" s="3">
        <f>2577.1+(378-103.4)+(0+(0-0))+0-584.1-0</f>
        <v>2267.6</v>
      </c>
      <c r="Z180" s="3">
        <f>2725.4+(439.6-249.4)+(-4.169862+(-0.672588--0.381582))+0-598.4--0.915552000000035</f>
        <v>2313.6546839999996</v>
      </c>
      <c r="AA180" s="3">
        <f>2639.3+(557.2-329.1)+(-6.730215+(-1.42086--0.839205))+0-596.3--1.52056499999991</f>
        <v>2265.3086949999997</v>
      </c>
      <c r="AB180" s="3">
        <f>2730.9+(442.1-332.6)+(-5.571036+(-0.901884--0.678504))+0-604.9--1.23399599999997</f>
        <v>2230.9395799999998</v>
      </c>
      <c r="AC180" s="3">
        <f>2748+(580.7-508.7)+(-2.80296+(-0.592314--0.518874))+0-621.2--0.633624000000099</f>
        <v>2196.5572240000001</v>
      </c>
      <c r="AD180">
        <v>2292.6000000000004</v>
      </c>
      <c r="AE180" s="3">
        <f>2730+(489.3-244.5)+(0+(0-0))+0-682.2-0</f>
        <v>2292.6000000000004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2752.5+(605.1-618.8)+(-5.6151+(-1.234404--1.262352))+0-639.2--1.30396799999997</f>
        <v>2095.3168160000005</v>
      </c>
      <c r="G181" s="3">
        <f>2753.7+(740.2-779.8)+(0+(0-0))+0-697-0</f>
        <v>2017.1</v>
      </c>
      <c r="H181" s="3">
        <f>2697.8+(731.4-787.4)+(-4.127634+(-1.119042--1.204722))+0-688.6--1.05355800000004</f>
        <v>1950.2116040000005</v>
      </c>
      <c r="I181" s="3">
        <f>2698.6+(620.8-697.4)+(-2.752572+(-0.633216--0.711348))+0-703.7--0.717774000000112</f>
        <v>1916.3433340000004</v>
      </c>
      <c r="J181" s="3">
        <f>2573.4+(639.1-701.6)+(-1.312434+(-0.325941--0.357816))+0-594--0.30293999999994</f>
        <v>1915.9223810000003</v>
      </c>
      <c r="K181" s="3">
        <f>2531.6+(569.8-815.5)+(-6.45558+(-1.45299--2.079525))+0-355.4--0.906269999999948</f>
        <v>1925.5772249999995</v>
      </c>
      <c r="L181" s="3">
        <f>2300.8+(584-629.7)+(-8.213856+(-2.08488--2.248029))+0-303.4--1.083138</f>
        <v>1944.7324310000004</v>
      </c>
      <c r="M181" s="3">
        <f>2284.3+(557.1-307.1)+(3.494979+(0.852363-0.469863))+0-510.5-0.78106500000003</f>
        <v>2026.8964140000003</v>
      </c>
      <c r="N181" s="3">
        <f>2498.7+(559.3-149.9)+(-2.548674+(-0.570486--0.152898))+0-643.7--0.656574000000103</f>
        <v>2262.0903119999998</v>
      </c>
      <c r="O181" s="3">
        <f>2736.1+(435.8-212.9)+(-1.395411+(-0.222258--0.108579))+0-532.7--0.271676999999946</f>
        <v>2425.0625869999994</v>
      </c>
      <c r="P181" s="3">
        <f>2799.1+(370.7-133.7)+(0+(0-0))+0-512.5-0</f>
        <v>2523.6</v>
      </c>
      <c r="Q181" s="3">
        <f>2819.2+(414.9-68)+(1.437792+(0.211599-0.03468))+0-557.5-0.284324999999943</f>
        <v>2609.930386</v>
      </c>
      <c r="R181" s="3">
        <f>2880+(402-200)+(-2.9376+(-0.41004--0.204))+0-467.9--0.477258000000075</f>
        <v>2611.433618</v>
      </c>
      <c r="S181" s="3">
        <f>2865.5+(597.6-393.8)+(1.461405+(0.304776-0.200838))+0-656.1-0.334610999999933</f>
        <v>2414.4307320000007</v>
      </c>
      <c r="T181" s="3">
        <f>2858.4+(688.1-424.3)+(1.457784+(0.350931-0.216393))+0-628.5-0.320534999999936</f>
        <v>2494.9717870000004</v>
      </c>
      <c r="U181" s="3">
        <f>2843.5+(727.5-427.7)+(-1.450185+(-0.371025--0.218127))+0-611.1--0.311660999999938</f>
        <v>2530.908578</v>
      </c>
      <c r="V181" s="3">
        <f>2853.5+(607.9-365.1)+(-4.365855+(-0.930087--0.558603))+0-570.4--0.872712000000033</f>
        <v>2522.0353730000002</v>
      </c>
      <c r="W181" s="3">
        <f>2936.3+(502.3-390.7)+(-5.990052+(-1.024692--0.797028))+0-557.8--1.13791199999998</f>
        <v>2485.0201960000004</v>
      </c>
      <c r="X181" s="3">
        <f>2871.2+(439.9-374.5)+(-2.928624+(-0.448698--0.38199))+0-498.3--0.508266000000079</f>
        <v>2435.812934</v>
      </c>
      <c r="Y181" s="3">
        <f>2983.6+(407.1-398.4)+(-1.521636+(-0.207621--0.203184))+0-342.8--0.174827999999965</f>
        <v>2648.1487550000002</v>
      </c>
      <c r="Z181" s="3">
        <f>3176.4+(270.3-534.5)+(-3.239928+(-0.275706--0.54519))+0-332.9--0.339558000000053</f>
        <v>2576.6691140000003</v>
      </c>
      <c r="AA181" s="3">
        <f>3104.2+(338.1-607.7)+(-9.498852+(-1.034586--1.859562))+0-365.7--1.11904200000004</f>
        <v>2461.3451660000005</v>
      </c>
      <c r="AB181" s="3">
        <f>3040.1+(446.7-512.7)+(1.550451+(0.227817-0.261477))+0-579.4-0.295493999999941</f>
        <v>2395.9212969999999</v>
      </c>
      <c r="AC181" s="3">
        <f>2992.6+(403.7-413.2)+(1.526226+(0.205887-0.210732))+0-647.6-0.330275999999934</f>
        <v>2336.6911049999999</v>
      </c>
      <c r="AD181">
        <v>2604.2000000000003</v>
      </c>
      <c r="AE181" s="3">
        <f>3160+(291.6-516.8)+(0+(0-0))+0-330.6-0</f>
        <v>2604.2000000000003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2923+(462.8-690.3)+(-1.49073+(-0.236028--0.352053))+0-612.4--0.312323999999938</f>
        <v>2082.0376189999997</v>
      </c>
      <c r="G182" s="3">
        <f>2867.8+(562.8-714)+(1.462578+(0.287028-0.36414))+0-631-0.321809999999936</f>
        <v>2086.6636560000006</v>
      </c>
      <c r="H182" s="3">
        <f>2649.9+(713.4-681.8)+(5.405796+(1.455336-1.390872))+0-669.5-1.36577999999997</f>
        <v>2016.1044800000002</v>
      </c>
      <c r="I182" s="3">
        <f>2522.4+(780.2-665.6)+(-3.859272+(-1.193706--1.018368))+0-618.3--0.945999000000036</f>
        <v>2015.6113889999999</v>
      </c>
      <c r="J182" s="3">
        <f>2288.3+(870.6-554.2)+(4.668132+(1.776024-1.130568))+0-605.1-1.23440399999997</f>
        <v>2003.6791840000003</v>
      </c>
      <c r="K182" s="3">
        <f>2261.5+(858.6-445.1)+(2.30673+(0.875772-0.454002))+0-628.7-0.6412740000001</f>
        <v>2048.3872260000003</v>
      </c>
      <c r="L182" s="3">
        <f>2261.7+(854.3-423.4)+(-2.306934+(-0.871386--0.431868))+0-576.6--0.588132000000092</f>
        <v>2113.8416800000005</v>
      </c>
      <c r="M182" s="3">
        <f>2262.3+(626.5-352.6)+(1.153773+(0.319515-0.179826))+0-390.5-0.19915499999996</f>
        <v>2146.7943070000006</v>
      </c>
      <c r="N182" s="3">
        <f>2360.4+(619.5-179.6)+(-1.203804+(-0.315945--0.091596))+0-497.4--0.25367399999995</f>
        <v>2301.7255210000003</v>
      </c>
      <c r="O182" s="3">
        <f>2473.8+(594.6-125.9)+(1.261638+(0.303246-0.064209))+0-480.6-0.245105999999951</f>
        <v>2463.155569</v>
      </c>
      <c r="P182" s="3">
        <f>2778.2+(440.3-113.2)+(0+(0-0))+0-535.7-0</f>
        <v>2569.5999999999995</v>
      </c>
      <c r="Q182" s="3">
        <f>2915.7+(340.5-69.8)+(4.461021+(0.520965-0.106794))+0-552.9-0.845937000000032</f>
        <v>2637.5292549999995</v>
      </c>
      <c r="R182" s="3">
        <f>2912.1+(299.4-98.9)+(1.485171+(0.152694-0.050439))+0-474.2-0.241841999999952</f>
        <v>2639.7455840000002</v>
      </c>
      <c r="S182" s="3">
        <f>2900.3+(338.5-226.3)+(-1.479153+(-0.172635--0.115413))+0-639.4--0.326093999999935</f>
        <v>2371.8897189999998</v>
      </c>
      <c r="T182" s="3">
        <f>2891.3+(341.9-297.7)+(1.474563+(0.174369-0.151827))+0-479.6-0.244595999999951</f>
        <v>2457.152509</v>
      </c>
      <c r="U182" s="3">
        <f>2968.7+(480.9-277.6)+(-4.542111+(-0.735777--0.424728))+0-663--1.01439000000004</f>
        <v>2505.1612299999997</v>
      </c>
      <c r="V182" s="3">
        <f>2995.9+(304.9-314.3)+(-6.111636+(-0.621996--0.641172))+0-478.5--0.976139999999979</f>
        <v>2502.8836799999999</v>
      </c>
      <c r="W182" s="3">
        <f>2925.3+(434.4-266.1)+(-8.951418+(-1.329264--0.814266))+0-609.7--1.86568200000007</f>
        <v>2476.2992660000004</v>
      </c>
      <c r="X182" s="3">
        <f>2784.4+(474.1-317.2)+(1.420044+(0.241791-0.161772))+0-486.7-0.248216999999951</f>
        <v>2455.8518460000005</v>
      </c>
      <c r="Y182" s="3">
        <f>2848.6+(384.6-151.2)+(1.452786+(0.196146-0.077112))+0-497.8-0.25387799999995</f>
        <v>2585.5179419999999</v>
      </c>
      <c r="Z182" s="3">
        <f>2967.5+(317.3-163.7)+(0+(0-0))+0-538.6-0</f>
        <v>2582.5</v>
      </c>
      <c r="AA182" s="3">
        <f>2950.3+(326.9-244.4)+(-7.523265+(-0.833595--0.62322))+0-555.9--1.41754499999992</f>
        <v>2470.583905</v>
      </c>
      <c r="AB182" s="3">
        <f>2930.2+(426.7-356.2)+(-7.47201+(-1.088085--0.90831))+0-602.7--1.53688499999991</f>
        <v>2391.8851</v>
      </c>
      <c r="AC182" s="3">
        <f>2846+(457.5-394.2)+(2.90292+(0.46665-0.402084))+0-586.9-0.598638000000094</f>
        <v>2324.7688480000002</v>
      </c>
      <c r="AD182">
        <v>2588.6999999999998</v>
      </c>
      <c r="AE182" s="3">
        <f>2971+(376.1-91.7)+(0+(0-0))+0-666.7-0</f>
        <v>2588.6999999999998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2853.3+(641.3-645.7)+(-2.910366+(-0.654126--0.658614))+0-708.8--0.722976000000113</f>
        <v>2137.9170979999999</v>
      </c>
      <c r="G183" s="3">
        <f>2857.3+(594.1-843.4)+(-5.828892+(-1.211964--1.720536))+0-527.4--1.07589599999998</f>
        <v>2076.3555759999999</v>
      </c>
      <c r="H183" s="3">
        <f>2658.6+(659.7-833.4)+(-1.355886+(-0.336447--0.425034))+0-458.8--0.233987999999953</f>
        <v>2025.066689</v>
      </c>
      <c r="I183" s="3">
        <f>2562.9+(736-743.4)+(-5.228316+(-1.50144--1.516536))+0-583.8--1.19095199999997</f>
        <v>1967.6777319999999</v>
      </c>
      <c r="J183" s="3">
        <f>2333.1+(814.2-646.7)+(5.949405+(2.07621-1.649085))+0-544.4-1.38821999999992</f>
        <v>1961.18831</v>
      </c>
      <c r="K183" s="3">
        <f>2318+(865.9-559.8)+(3.54654+(1.324827-0.856494))+0-674.6-1.03213800000004</f>
        <v>1952.482735</v>
      </c>
      <c r="L183" s="3">
        <f>2273.8+(832.7-440.2)+(-4.638552+(-1.698708--0.898008))+0-701.4--1.43085599999997</f>
        <v>1960.8916039999999</v>
      </c>
      <c r="M183" s="3">
        <f>2192.4+(660.4-221.4)+(0+(0-0))+0-593.7-0</f>
        <v>2037.7</v>
      </c>
      <c r="N183" s="3">
        <f>2295.8+(693.2-84.1)+(1.170858+(0.353532-0.042891))+0-636-0.324359999999935</f>
        <v>2270.057139</v>
      </c>
      <c r="O183" s="3">
        <f>2494.1+(584.1-109.2)+(1.271991+(0.297891-0.055692))+0-538.7-0.274736999999945</f>
        <v>2431.5394530000003</v>
      </c>
      <c r="P183" s="3">
        <f>2798+(505.2-103)+(1.42698+(0.257652-0.05253))+0-653.5-0.333284999999934</f>
        <v>2547.9988169999997</v>
      </c>
      <c r="Q183" s="3">
        <f>2944.2+(360.5-49.9)+(3.003084+(0.36771-0.050898))+0-633.6-0.646272000000101</f>
        <v>2623.8736239999998</v>
      </c>
      <c r="R183" s="3">
        <f>2936.1+(422.6-47.9)+(-1.497411+(-0.215526--0.024429))+0-699.3--0.356642999999929</f>
        <v>2610.1681349999999</v>
      </c>
      <c r="S183" s="3">
        <f>2918.8+(443.3-454.7)+(-4.465764+(-0.678249--0.695691))+0-524.2--0.80202600000003</f>
        <v>2379.5537039999995</v>
      </c>
      <c r="T183" s="3">
        <f>2970.7+(490.1-501.4)+(0+(0-0))+0-504.9-0</f>
        <v>2454.4999999999995</v>
      </c>
      <c r="U183" s="3">
        <f>3011.4+(402.4-514.4)+(-6.143256+(-0.820896--1.049376))+0-387.4--0.790295999999983</f>
        <v>2506.8755200000001</v>
      </c>
      <c r="V183" s="3">
        <f>2911.2+(419.6-332.4)+(-2.969424+(-0.427992--0.339048))+0-494.3--0.504186000000079</f>
        <v>2501.5458179999996</v>
      </c>
      <c r="W183" s="3">
        <f>2811.8+(368.1-184.3)+(-5.736072+(-0.750924--0.375972))+0-522.2--1.06528799999998</f>
        <v>2468.3542640000005</v>
      </c>
      <c r="X183" s="3">
        <f>2794+(443.4-189.5)+(-1.42494+(-0.226134--0.096645))+0-615.5--0.313904999999938</f>
        <v>2431.1594760000003</v>
      </c>
      <c r="Y183" s="3">
        <f>2889+(454.1-60.1)+(1.47339+(0.231591-0.030651))+0-726.5-0.370514999999926</f>
        <v>2557.8038149999998</v>
      </c>
      <c r="Z183" s="3">
        <f>2967.2+(345.5-81)+(-6.053088+(-0.70482--0.16524))+0-657.7--1.34170799999997</f>
        <v>2568.7490399999997</v>
      </c>
      <c r="AA183" s="3">
        <f>2976.3+(324-286)+(-6.071652+(-0.66096--0.58344))+0-551.6--1.12526399999998</f>
        <v>2457.6760920000002</v>
      </c>
      <c r="AB183" s="3">
        <f>2983.8+(316.3-360.1)+(-6.086952+(-0.645252--0.734604))+0-549--1.11995999999998</f>
        <v>2386.1223599999998</v>
      </c>
      <c r="AC183" s="3">
        <f>2934.1+(335.7-362.4)+(0+(0-0))+0-592-0</f>
        <v>2315.4</v>
      </c>
      <c r="AD183">
        <v>2635</v>
      </c>
      <c r="AE183" s="3">
        <f>2970+(432.1-85.4)+(0+(0-0))+0-681.7-0</f>
        <v>2635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2940.7+(559.5-735)+(-5.999028+(-1.14138--1.4994))+0-571.9--1.16667599999997</f>
        <v>2188.8256679999995</v>
      </c>
      <c r="G184" s="3">
        <f>2972.9+(723.8-860.4)+(-4.548537+(-1.107414--1.316412))+0-745.7--1.14092100000004</f>
        <v>2087.401382</v>
      </c>
      <c r="H184" s="3">
        <f>2850.8+(614.2-778.7)+(-4.361724+(-0.939726--1.191411))+0-668.2--1.02234600000004</f>
        <v>2015.012307</v>
      </c>
      <c r="I184" s="3">
        <f>2760.2+(449.2-707.8)+(2.815404+(0.458184-0.721956))+0-530.3-0.540906000000084</f>
        <v>1973.3107259999999</v>
      </c>
      <c r="J184" s="3">
        <f>2709.2+(602.6-611.3)+(6.90846+(1.53663-1.558815))+0-729-1.85894999999989</f>
        <v>1976.527325</v>
      </c>
      <c r="K184" s="3">
        <f>2644.3+(585.7-544.9)+(0+(0-0))+0-701.8-0</f>
        <v>1983.3000000000004</v>
      </c>
      <c r="L184" s="3">
        <f>2484.7+(701.6-464.1)+(-1.267197+(-0.357816--0.236691))+0-697.2--0.355571999999929</f>
        <v>2023.9672499999999</v>
      </c>
      <c r="M184" s="3">
        <f>2489+(607.5-389.2)+(-1.26939+(-0.309825--0.198492))+0-624.7--0.318596999999937</f>
        <v>2081.5378740000001</v>
      </c>
      <c r="N184" s="3">
        <f>2651.3+(553-334.1)+(0+(0-0))+0-561.2-0</f>
        <v>2309</v>
      </c>
      <c r="O184" s="3">
        <f>2664.3+(563.2-305.4)+(4.076379+(0.861696-0.467262))+0-460-0.703800000000027</f>
        <v>2465.867013</v>
      </c>
      <c r="P184" s="3">
        <f>2711.2+(494.8-262)+(2.765424+(0.504696-0.26724))+0-389.3-0.397086000000062</f>
        <v>2557.3057939999999</v>
      </c>
      <c r="Q184" s="3">
        <f>2713+(497.4-63.4)+(4.15089+(0.761022-0.097002))+0-575.4-0.880362000000033</f>
        <v>2575.5345480000001</v>
      </c>
      <c r="R184" s="3">
        <f>2712.5+(511.2-162.9)+(0+(0-0))+0-586.9-0</f>
        <v>2473.9</v>
      </c>
      <c r="S184" s="3">
        <f>2732.6+(736.3-543.9)+(-1.393626+(-0.375513--0.277389))+0-607.7--0.309926999999938</f>
        <v>2316.1181769999998</v>
      </c>
      <c r="T184" s="3">
        <f>2740.8+(907-625.3)+(1.397808+(0.46257-0.318903))+0-577.1-0.294320999999941</f>
        <v>2446.6471540000002</v>
      </c>
      <c r="U184" s="3">
        <f>2771.7+(933.2-665.1)+(2.827134+(0.951864-0.678402))+0-577.3-0.588846000000092</f>
        <v>2465.0117500000001</v>
      </c>
      <c r="V184" s="3">
        <f>2833.6+(864.4-682.7)+(-7.22568+(-2.20422--1.740885))+0-485.1--1.23700499999993</f>
        <v>2523.7479899999998</v>
      </c>
      <c r="W184" s="3">
        <f>2846.2+(774.6-584.6)+(-2.903124+(-0.790092--0.596292))+0-505.4--0.515508000000081</f>
        <v>2528.2185839999997</v>
      </c>
      <c r="X184" s="3">
        <f>2776.1+(770-398.4)+(0+(0-0))+0-524.1-0</f>
        <v>2623.6</v>
      </c>
      <c r="Y184" s="3">
        <f>2857.3+(588.4-332.9)+(0+(0-0))+0-474.8-0</f>
        <v>2638</v>
      </c>
      <c r="Z184" s="3">
        <f>2928.8+(485.1-388.2)+(-2.987376+(-0.494802--0.395964))+0-504.6--0.514692000000081</f>
        <v>2518.5284780000006</v>
      </c>
      <c r="AA184" s="3">
        <f>2939.8+(401.6-323.9)+(-7.49649+(-1.02408--0.825945))+0-529.8--1.35098999999992</f>
        <v>2481.3563649999996</v>
      </c>
      <c r="AB184" s="3">
        <f>2904.8+(320.3-394.1)+(-7.40724+(-0.816765--1.004955))+0-366.9--0.935594999999947</f>
        <v>2457.8165449999997</v>
      </c>
      <c r="AC184" s="3">
        <f>2859.1+(493.4-443.7)+(-1.458141+(-0.251634--0.226287))+0-563.5--0.287384999999943</f>
        <v>2344.103897</v>
      </c>
      <c r="AD184">
        <v>2443.8000000000002</v>
      </c>
      <c r="AE184" s="3">
        <f>2936+(458.2-397.2)+(0+(0-0))+0-553.2-0</f>
        <v>2443.8000000000002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2911.6+(602.7-674.3)+(-10.394412+(-2.151639--2.407251))+0-688--2.45616000000001</f>
        <v>2144.31736</v>
      </c>
      <c r="G185" s="3">
        <f>2994.4+(600.8-860.3)+(-12.217152+(-2.451264--3.510024))+0-677.9--2.76583199999994</f>
        <v>2048.6074400000002</v>
      </c>
      <c r="H185" s="3">
        <f>2914.6+(671.8-917.1)+(-8.918676+(-2.055708--2.806326))+0-719.5--2.20167000000008</f>
        <v>1943.8336119999997</v>
      </c>
      <c r="I185" s="3">
        <f>2862.6+(648.5-835.9)+(1.459926+(0.330735-0.426309))+0-693.3-0.35358299999993</f>
        <v>1982.9107690000001</v>
      </c>
      <c r="J185" s="3">
        <f>2796.2+(654-800.2)+(1.426062+(0.33354-0.408102))+0-605.6-0.308855999999939</f>
        <v>2045.4426440000004</v>
      </c>
      <c r="K185" s="3">
        <f>2799.5+(605-791)+(2.85549+(0.6171-0.80682))+0-573.5-0.584970000000091</f>
        <v>2042.0808</v>
      </c>
      <c r="L185" s="3">
        <f>2817.1+(655.7-925)+(-5.746884+(-1.337628--1.887))+0-425.8--0.868631999999981</f>
        <v>2117.67112</v>
      </c>
      <c r="M185" s="3">
        <f>2826.9+(600.7-777.8)+(2.883438+(0.612714-0.793356))+0-482.4-0.492048000000077</f>
        <v>2169.6107480000001</v>
      </c>
      <c r="N185" s="3">
        <f>2946.2+(518.4-612)+(-6.010248+(-1.057536--1.24848))+0-564.7--1.15198799999998</f>
        <v>2283.2326840000001</v>
      </c>
      <c r="O185" s="3">
        <f>3019+(498.4-496.3)+(-1.53969+(-0.254184--0.253113))+0-537--0.273869999999946</f>
        <v>2482.8331089999997</v>
      </c>
      <c r="P185" s="3">
        <f>3124.9+(335.7-429.1)+(-3.187398+(-0.342414--0.437682))+0-463.5--0.472770000000074</f>
        <v>2565.3806399999999</v>
      </c>
      <c r="Q185" s="3">
        <f>3099.5+(413-322.9)+(3.16149+(0.42126-0.329358))+0-542.8-0.553656000000087</f>
        <v>2649.4997359999998</v>
      </c>
      <c r="R185" s="3">
        <f>3068.3+(439-378.6)+(-3.129666+(-0.44778--0.386172))+0-510.9--0.521118000000081</f>
        <v>2615.1298440000005</v>
      </c>
      <c r="S185" s="3">
        <f>3051.2+(602.2-802.6)+(-3.112224+(-0.614244--0.818652))+0-492.3--0.502146000000078</f>
        <v>2356.0943299999999</v>
      </c>
      <c r="T185" s="3">
        <f>3120.1+(643.5-816.3)+(-3.182502+(-0.65637--0.832626))+0-495--0.504900000000079</f>
        <v>2449.7986540000002</v>
      </c>
      <c r="U185" s="3">
        <f>3107+(670.3-719.9)+(-6.33828+(-1.367412--1.468596))+0-540.3--1.10221199999998</f>
        <v>2511.9651160000003</v>
      </c>
      <c r="V185" s="3">
        <f>3045.7+(676.9-560.7)+(-6.213228+(-1.380876--1.143828))+0-656.5--1.33925999999997</f>
        <v>2500.2889839999998</v>
      </c>
      <c r="W185" s="3">
        <f>3033.1+(563.2-550.1)+(-7.734405+(-1.43616--1.402755))+0-494.9--1.26199499999993</f>
        <v>2544.7941849999997</v>
      </c>
      <c r="X185" s="3">
        <f>3020.4+(662.9-465.7)+(-4.621212+(-1.014237--0.712521))+0-717.6--1.09792800000004</f>
        <v>2496.1750000000002</v>
      </c>
      <c r="Y185" s="3">
        <f>3077.3+(530.1-379.4)+(-6.277692+(-1.081404--0.773976))+0-643--1.31171999999997</f>
        <v>2579.7266</v>
      </c>
      <c r="Z185" s="3">
        <f>3127.1+(443-360.7)+(-6.379284+(-0.90372--0.735828))+0-613.3--1.25113199999997</f>
        <v>2590.8039560000002</v>
      </c>
      <c r="AA185" s="3">
        <f>3137.6+(285.6-268.3)+(-12.801408+(-1.165248--1.094664))+0-640.4--2.61283199999994</f>
        <v>2504.2408399999999</v>
      </c>
      <c r="AB185" s="3">
        <f>3071.3+(269.8-330.7)+(-7.831815+(-0.68799--0.843285))+0-590.4--1.50551999999991</f>
        <v>2413.8289999999997</v>
      </c>
      <c r="AC185" s="3">
        <f>3026.2+(216.9-427.6)+(-3.086724+(-0.221238--0.436152))+0-491.5--0.501330000000078</f>
        <v>2321.62952</v>
      </c>
      <c r="AD185">
        <v>2450.6999999999998</v>
      </c>
      <c r="AE185" s="3">
        <f>3112+(463.2-454.8)+(0+(0-0))+0-669.7-0</f>
        <v>2450.6999999999998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3059.7+(548.2-920.6)+(-3.120894+(-0.559164--0.939012))+0-474.7--0.484194000000076</f>
        <v>2210.3431479999999</v>
      </c>
      <c r="G186" s="3">
        <f>2595.9+(704.8-920.3)+(3.971727+(1.078344-1.408059))+0-379.2-0.580176000000022</f>
        <v>2004.2618359999999</v>
      </c>
      <c r="H186" s="3">
        <f>2553.6+(864.2-796.4)+(3.907008+(1.322226-1.218492))+0-642.5-0.983025000000037</f>
        <v>1981.927717</v>
      </c>
      <c r="I186" s="3">
        <f>2515.4+(841.9-772.6)+(2.565708+(0.858738-0.788052))+0-539.4-0.550188000000086</f>
        <v>2047.3862059999997</v>
      </c>
      <c r="J186" s="3">
        <f>2324.7+(939-647.9)+(5.927985+(2.39445-1.652145))+0-619.6-1.57997999999991</f>
        <v>2001.2903099999999</v>
      </c>
      <c r="K186" s="3">
        <f>2271.8+(945.1-629)+(-5.79309+(-2.410005--1.60395))+0-529.4--1.34996999999992</f>
        <v>2053.2508249999996</v>
      </c>
      <c r="L186" s="3">
        <f>2194.2+(844-519.8)+(1.119042+(0.43044-0.265098))+0-502.3-0.256172999999949</f>
        <v>2017.1282109999997</v>
      </c>
      <c r="M186" s="3">
        <f>2456.4+(674.8-372.1)+(-1.252764+(-0.344148--0.189771))+0-563.8--0.287537999999943</f>
        <v>2194.1803969999996</v>
      </c>
      <c r="N186" s="3">
        <f>2776.8+(601.4-353.4)+(-2.832336+(-0.613428--0.360468))+0-615.7--0.628014000000098</f>
        <v>2406.6427180000001</v>
      </c>
      <c r="O186" s="3">
        <f>2833.1+(521.4-283.9)+(0+(0-0))+0-555-0</f>
        <v>2515.6</v>
      </c>
      <c r="P186" s="3">
        <f>2812.8+(498-163.6)+(-1.434528+(-0.25398--0.083436))+0-592.2--0.30202199999994</f>
        <v>2553.6969500000005</v>
      </c>
      <c r="Q186" s="3">
        <f>3078.3+(389.3-363)+(-6.279732+(-0.794172--0.74052))+0-529.1--1.07936399999998</f>
        <v>2570.2459800000006</v>
      </c>
      <c r="R186" s="3">
        <f>3106+(485.3-711.1)+(-7.9203+(-1.237515--1.813305))+0-496.6--1.26632999999993</f>
        <v>2377.5218199999999</v>
      </c>
      <c r="S186" s="3">
        <f>3108.3+(565.2-926.2)+(-6.340932+(-1.153008--1.889448))+0-458.8--0.93595199999998</f>
        <v>2283.8314599999999</v>
      </c>
      <c r="T186" s="3">
        <f>3050.4+(682.8-975.6)+(0+(0-0))+0-434.5-0</f>
        <v>2323.1</v>
      </c>
      <c r="U186" s="3">
        <f>2870.8+(612.8-663)+(-5.856432+(-1.250112--1.35252))+0-432.6--0.882503999999981</f>
        <v>2383.1284800000008</v>
      </c>
      <c r="V186" s="3">
        <f>2833.7+(595.2-444.1)+(-7.225935+(-1.51776--1.132455))+0-672.6--1.7151299999999</f>
        <v>2306.3038899999997</v>
      </c>
      <c r="W186" s="3">
        <f>2686.8+(619.8-374.7)+(-2.740536+(-0.632196--0.382194))+0-591--0.602820000000094</f>
        <v>2338.5122820000001</v>
      </c>
      <c r="X186" s="3">
        <f>2872.8+(407.1-102.9)+(-5.860512+(-0.830484--0.209916))+0-678.2--1.38352799999997</f>
        <v>2493.7024479999995</v>
      </c>
      <c r="Y186" s="3">
        <f>2976.4+(262.6-257.3)+(-9.107784+(-0.803556--0.787338))+0-528.3--1.61659800000006</f>
        <v>2445.8925960000001</v>
      </c>
      <c r="Z186" s="3">
        <f>2982.6+(256.7-500)+(-7.60563+(-0.654585--1.275))+0-353.9--0.902444999999949</f>
        <v>2379.3172299999997</v>
      </c>
      <c r="AA186" s="3">
        <f>2983.6+(258.9-441.2)+(-6.086544+(-0.528156--0.900048))+0-515.1--1.05080399999998</f>
        <v>2281.5361519999997</v>
      </c>
      <c r="AB186" s="3">
        <f>2990+(352.3-611)+(-4.5747+(-0.539019--0.93483))+0-500.2--0.765306000000029</f>
        <v>2227.6864170000008</v>
      </c>
      <c r="AC186" s="3">
        <f>2993.1+(437-600.5)+(-7.632405+(-1.11435--1.531275))+0-678.6--1.7304299999999</f>
        <v>2145.5149500000002</v>
      </c>
      <c r="AD186">
        <v>2440.3000000000002</v>
      </c>
      <c r="AE186" s="3">
        <f>2961+(277-191.9)+(0+(0-0))+0-605.8-0</f>
        <v>2440.3000000000002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2959.4+(637.9-875.9)+(-3.018588+(-0.650658--0.893418))+0-708.4--0.722568000000113</f>
        <v>2010.9467400000003</v>
      </c>
      <c r="G187" s="3">
        <f>2855.8+(740.5-984.5)+(1.456458+(0.377655-0.502095))+0-702-0.358019999999929</f>
        <v>1910.7739980000003</v>
      </c>
      <c r="H187" s="3">
        <f>2692.8+(722.4-919.3)+(2.746656+(0.736848-0.937686))+0-707.6-0.721752000000113</f>
        <v>1790.1240660000001</v>
      </c>
      <c r="I187" s="3">
        <f>2707.7+(677-874.6)+(0+(0-0))+0-693.6-0</f>
        <v>1816.5</v>
      </c>
      <c r="J187" s="3">
        <f>2712.6+(539.5-858.8)+(-4.150278+(-0.825435--1.313964))+0-577.9--0.884187000000033</f>
        <v>1812.6224380000003</v>
      </c>
      <c r="K187" s="3">
        <f>2491.9+(488.5-804.1)+(-7.625214+(-1.49481--2.460546))+0-399.5--1.22247000000005</f>
        <v>1771.3629920000003</v>
      </c>
      <c r="L187" s="3">
        <f>2257.5+(538.7-791.1)+(1.151325+(0.274737-0.403461))+0-353.6-0.180335999999964</f>
        <v>1652.3422649999998</v>
      </c>
      <c r="M187" s="3">
        <f>2249+(509.7-601.3)+(4.58796+(1.039788-1.226652))+0-410-0.836399999999982</f>
        <v>1750.9646960000002</v>
      </c>
      <c r="N187" s="3">
        <f>2203.8+(437.1-539.9)+(0+(0-0))+0-309.5-0</f>
        <v>1791.5</v>
      </c>
      <c r="O187" s="3">
        <f>2293.6+(481.5-417.1)+(2.339472+(0.49113-0.425442))+0-576.1-0.587622000000092</f>
        <v>1783.7175379999999</v>
      </c>
      <c r="P187" s="3">
        <f>2639.8+(476.7-417.7)+(0+(0-0))+0-679.5-0</f>
        <v>2019.3000000000002</v>
      </c>
      <c r="Q187" s="3">
        <f>2736.5+(380.9-510.4)+(-2.79123+(-0.388518--0.520608))+0-497.8--0.507756000000079</f>
        <v>2107.0486159999996</v>
      </c>
      <c r="R187" s="3">
        <f>2750.7+(374.5-404.2)+(1.402857+(0.190995-0.206142))+0-714.8-0.364547999999927</f>
        <v>2007.223162</v>
      </c>
      <c r="S187" s="3">
        <f>2738.7+(372.8-607.1)+(-2.793474+(-0.380256--0.619242))+0-561.8--0.57303600000009</f>
        <v>1940.6185479999995</v>
      </c>
      <c r="T187" s="3">
        <f>2729.5+(383-668)+(-4.176135+(-0.58599--1.02204))+0-502.2--0.768366000000029</f>
        <v>1939.3282810000001</v>
      </c>
      <c r="U187" s="3">
        <f>2693.6+(387.2-617.2)+(-5.494944+(-0.789888--1.259088))+0-485.7--0.990827999999979</f>
        <v>1973.8650839999998</v>
      </c>
      <c r="V187" s="3">
        <f>2553.9+(429.5-527.9)+(-3.907467+(-0.657135--0.807687))+0-480.1--0.734553000000028</f>
        <v>1972.3776380000002</v>
      </c>
      <c r="W187" s="3">
        <f>2553.1+(469.2-382.4)+(0+(0-0))+0-619.3-0</f>
        <v>2020.6000000000001</v>
      </c>
      <c r="X187" s="3">
        <f>2602.8+(326.3-133.5)+(0+(0-0))+0-608-0</f>
        <v>2187.6000000000004</v>
      </c>
      <c r="Y187" s="3">
        <f>2761.9+(297-230.1)+(-1.408569+(-0.15147--0.117351))+0-639--0.325889999999935</f>
        <v>2188.6832020000002</v>
      </c>
      <c r="Z187" s="3">
        <f>2818.1+(286.3-361.2)+(-4.311693+(-0.438039--0.552636))+0-570.9--0.873477000000033</f>
        <v>2168.9763809999999</v>
      </c>
      <c r="AA187" s="3">
        <f>2824.5+(293.9-482.6)+(-2.88099+(-0.299778--0.492252))+0-506.7--0.516834000000081</f>
        <v>2126.9283180000002</v>
      </c>
      <c r="AB187" s="3">
        <f>2815.6+(409.9-577.3)+(1.435956+(0.209049-0.294423))+0-578.7-0.295136999999941</f>
        <v>2070.555445</v>
      </c>
      <c r="AC187" s="3">
        <f>2805.8+(545.9-787.6)+(-1.430958+(-0.278409--0.401676))+0-662.9--0.338078999999933</f>
        <v>1900.2303880000002</v>
      </c>
      <c r="AD187">
        <v>2185.6</v>
      </c>
      <c r="AE187" s="3">
        <f>2813+(298.3-240.3)+(0+(0-0))+0-685.4-0</f>
        <v>2185.6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2800.3+(771.4-1086.7)+(0+(0-0))+0-635.1-0</f>
        <v>1849.9</v>
      </c>
      <c r="G188" s="3">
        <f>2809+(789.7-1030.3)+(1.43259+(0.402747-0.525453))+0-640.1-0.326450999999935</f>
        <v>1929.2834330000001</v>
      </c>
      <c r="H188" s="3">
        <f>2682.3+(773.9-956)+(2.735946+(0.789378-0.97512))+0-633.5-0.646170000000101</f>
        <v>1868.6040340000002</v>
      </c>
      <c r="I188" s="3">
        <f>2634.8+(659.6-1060.9)+(1.343748+(0.336396-0.541059))+0-395-0.20144999999996</f>
        <v>1839.4376349999998</v>
      </c>
      <c r="J188" s="3">
        <f>2637.2+(608.3-908.2)+(-2.689944+(-0.620466--0.926364))+0-525.1--0.535602000000084</f>
        <v>1810.3515559999998</v>
      </c>
      <c r="K188" s="3">
        <f>2635.1+(643.2-792.8)+(-6.719505+(-1.64016--2.02164))+0-711.4--1.8140699999999</f>
        <v>1769.5760449999998</v>
      </c>
      <c r="L188" s="3">
        <f>2454.3+(657.1-698.7)+(0+(0-0))+0-658.1-0</f>
        <v>1754.6000000000004</v>
      </c>
      <c r="M188" s="3">
        <f>2434.9+(632.2-628.5)+(0+(0-0))+0-599.4-0</f>
        <v>1839.2000000000003</v>
      </c>
      <c r="N188" s="3">
        <f>2432.9+(597.4-571.9)+(-1.240779+(-0.304674--0.291669))+0-483.5--0.246584999999951</f>
        <v>1973.892801</v>
      </c>
      <c r="O188" s="3">
        <f>2766.1+(472.9-279.6)+(0+(0-0))+0-690.6-0</f>
        <v>2268.7999999999997</v>
      </c>
      <c r="P188" s="3">
        <f>2707+(444.3-224)+(1.38057+(0.226593-0.11424))+0-684.6-0.349145999999931</f>
        <v>2243.843777</v>
      </c>
      <c r="Q188" s="3">
        <f>2688.6+(281.4-392.8)+(-4.113558+(-0.430542--0.600984))+0-495.4--0.757962000000029</f>
        <v>2078.6148459999999</v>
      </c>
      <c r="R188" s="3">
        <f>2686.7+(443.8-537.3)+(0+(0-0))+0-601.5-0</f>
        <v>1991.6999999999998</v>
      </c>
      <c r="S188" s="3">
        <f>2669.9+(706.2-767.9)+(1.361649+(0.360162-0.391629))+0-722.3-0.368372999999927</f>
        <v>1886.8618090000004</v>
      </c>
      <c r="T188" s="3">
        <f>2647.4+(880.1-900.4)+(0+(0-0))+0-614.5-0</f>
        <v>2012.6000000000004</v>
      </c>
      <c r="U188" s="3">
        <f>2637.7+(967.6-852.8)+(-2.690454+(-0.986952--0.869856))+0-668.9--0.682278000000107</f>
        <v>2081.4747280000001</v>
      </c>
      <c r="V188" s="3">
        <f>2664.9+(756.3-651.9)+(-4.077297+(-1.157139--0.997407))+0-668.7--1.02311100000004</f>
        <v>2097.3860820000004</v>
      </c>
      <c r="W188" s="3">
        <f>2641.6+(691.4-412.3)+(-2.694432+(-0.705228--0.420546))+0-620.9--0.633318000000099</f>
        <v>2297.4542039999997</v>
      </c>
      <c r="X188" s="3">
        <f>2661.9+(447.2-182.1)+(0+(0-0))+0-606.1-0</f>
        <v>2320.9</v>
      </c>
      <c r="Y188" s="3">
        <f>2724+(304.4-172.9)+(-1.38924+(-0.155244--0.088179))+0-535.8--0.273257999999946</f>
        <v>2318.5169530000003</v>
      </c>
      <c r="Z188" s="3">
        <f>2804.3+(250.2-292.9)+(-5.720772+(-0.510408--0.597516))+0-520.3--1.06141199999998</f>
        <v>2236.7277480000002</v>
      </c>
      <c r="AA188" s="3">
        <f>2866.5+(301.8-359.9)+(1.461915+(0.153918-0.183549))+0-649.1-0.331040999999934</f>
        <v>2160.4012430000002</v>
      </c>
      <c r="AB188" s="3">
        <f>2947.7+(477-708.4)+(-4.509981+(-0.72981--1.083852))+0-635.2--0.971856000000037</f>
        <v>2077.9159169999994</v>
      </c>
      <c r="AC188" s="3">
        <f>2942.9+(718-1089)+(-1.500879+(-0.36618--0.55539))+0-668.2--0.340781999999932</f>
        <v>1902.7291129999999</v>
      </c>
      <c r="AD188">
        <v>2239</v>
      </c>
      <c r="AE188" s="3">
        <f>2713+(378.7-133.1)+(0+(0-0))+0-719.6-0</f>
        <v>2239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2876+(756.1-1130)+(-1.46676+(-0.385611--0.5763))+0-681.9--0.347768999999931</f>
        <v>1819.271698</v>
      </c>
      <c r="G189" s="3">
        <f>2808.6+(760.9-1118.6)+(-4.297158+(-1.164177--1.711458))+0-615.7--0.942021000000036</f>
        <v>1832.3921439999999</v>
      </c>
      <c r="H189" s="3">
        <f>2718.8+(776.7-969.7)+(1.386588+(0.396117-0.494547))+0-787.8-0.40177799999992</f>
        <v>1738.8863800000001</v>
      </c>
      <c r="I189" s="3">
        <f>2640.5+(752.7-981.4)+(-1.346655+(-0.383877--0.500514))+0-698.2--0.356081999999929</f>
        <v>1712.726064</v>
      </c>
      <c r="J189" s="3">
        <f>2633.4+(661.8-938)+(-1.343034+(-0.337518--0.47838))+0-635.4--0.324053999999936</f>
        <v>1720.9218819999999</v>
      </c>
      <c r="K189" s="3">
        <f>2421.1+(613.1-978.7)+(-4.939044+(-1.250724--1.996548))+0-337.4--0.688295999999985</f>
        <v>1714.5950759999998</v>
      </c>
      <c r="L189" s="3">
        <f>2318.9+(583.4-864.8)+(-2.365278+(-0.595068--0.882096))+0-228.2--0.232764000000036</f>
        <v>1807.454514</v>
      </c>
      <c r="M189" s="3">
        <f>2425.7+(513.3-685.7)+(2.474214+(0.523566-0.699414))+0-244.7-0.249594000000039</f>
        <v>2010.6487719999996</v>
      </c>
      <c r="N189" s="3">
        <f>2738.8+(464-676.2)+(0+(0-0))+0-307.3-0</f>
        <v>2219.3000000000002</v>
      </c>
      <c r="O189" s="3">
        <f>2894+(422-349.4)+(1.47594+(0.21522-0.178194))+0-460.6-0.234905999999953</f>
        <v>2507.2780599999996</v>
      </c>
      <c r="P189" s="3">
        <f>2910+(375.3-224.3)+(-1.4841+(-0.191403--0.114393))+0-534.2--0.272441999999946</f>
        <v>2525.5113319999996</v>
      </c>
      <c r="Q189" s="3">
        <f>2979.2+(450.9-384.3)+(1.519392+(0.229959-0.195993))+0-526.9-0.268718999999947</f>
        <v>2520.1846389999996</v>
      </c>
      <c r="R189" s="3">
        <f>2978.8+(594.8-795.3)+(-3.038376+(-0.606696--0.811206))+0-488.6--0.498372000000078</f>
        <v>2287.3645060000003</v>
      </c>
      <c r="S189" s="3">
        <f>3029.5+(732.8-931.3)+(3.09009+(0.747456-0.949926))+0-486.1-0.495822000000078</f>
        <v>2347.2917980000002</v>
      </c>
      <c r="T189" s="3">
        <f>3078.8+(902.2-1075.8)+(-1.570188+(-0.460122--0.548658))+0-438.7--0.223736999999955</f>
        <v>2465.2420850000003</v>
      </c>
      <c r="U189" s="3">
        <f>2973.1+(948-990.2)+(-6.065124+(-1.93392--2.020008))+0-449.1--0.91616399999998</f>
        <v>2476.7371279999993</v>
      </c>
      <c r="V189" s="3">
        <f>2855.9+(927.8-796.8)+(-2.913018+(-0.946356--0.812736))+0-653.4--0.666468000000104</f>
        <v>2331.1198300000001</v>
      </c>
      <c r="W189" s="3">
        <f>2756.9+(859.3-592.1)+(1.406019+(0.438243-0.301971))+0-545.3-0.278102999999945</f>
        <v>2480.0641879999998</v>
      </c>
      <c r="X189" s="3">
        <f>2861.1+(725.1-385.2)+(-1.459161+(-0.369801--0.196452))+0-611.6--0.311915999999938</f>
        <v>2588.0794060000003</v>
      </c>
      <c r="Y189" s="3">
        <f>2948.8+(569.3-511.3)+(-7.51944+(-1.451715--1.303815))+0-512.2--1.30610999999993</f>
        <v>2488.2387700000004</v>
      </c>
      <c r="Z189" s="3">
        <f>2903.3+(548.5-532.8)+(-2.961366+(-0.55947--0.543456))+0-512.1--0.522342000000082</f>
        <v>2404.4449620000005</v>
      </c>
      <c r="AA189" s="3">
        <f>2875.9+(531.4-484)+(-1.466709+(-0.271014--0.24684))+0-567--0.289169999999942</f>
        <v>2355.0982870000003</v>
      </c>
      <c r="AB189" s="3">
        <f>2875.4+(550.5-664.3)+(-4.399362+(-0.842265--1.016379))+0-475.9--0.728127000000028</f>
        <v>2282.2028789999999</v>
      </c>
      <c r="AC189" s="3">
        <f>2813.3+(579.1-772.6)+(-7.173915+(-1.476705--1.97013))+0-397.9--1.01464499999994</f>
        <v>2216.2341549999996</v>
      </c>
      <c r="AD189">
        <v>2538.3000000000002</v>
      </c>
      <c r="AE189" s="3">
        <f>2953+(565.1-502.2)+(0+(0-0))+0-477.6-0</f>
        <v>2538.3000000000002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2490.1+(797.2-914.9)+(-6.349755+(-2.03286--2.332995))+0-351.9--0.897344999999949</f>
        <v>2015.3477250000001</v>
      </c>
      <c r="G190" s="3">
        <f>2392.6+(878.3-874.9)+(4.880904+(1.791732-1.784796))+0-421-0.858839999999982</f>
        <v>1979.029</v>
      </c>
      <c r="H190" s="3">
        <f>2412.2+(954.8-715.7)+(-2.460444+(-0.973896--0.730014))+0-722.8--0.737256000000115</f>
        <v>1926.5329299999999</v>
      </c>
      <c r="I190" s="3">
        <f>2357.4+(957.7-686.2)+(-2.404548+(-0.976854--0.699924))+0-667.4--0.680748000000106</f>
        <v>1959.49927</v>
      </c>
      <c r="J190" s="3">
        <f>2289.4+(881.7-730.1)+(-2.335188+(-0.899334--0.744702))+0-507.5--0.517650000000081</f>
        <v>1931.5278300000002</v>
      </c>
      <c r="K190" s="3">
        <f>2301.2+(860.3-680)+(-5.86806+(-2.193765--1.734))+0-562.9--1.43539499999992</f>
        <v>1913.70757</v>
      </c>
      <c r="L190" s="3">
        <f>2302.1+(757.7-610.7)+(-3.522213+(-1.159281--0.934371))+0-476.3--0.728739000000028</f>
        <v>1969.781616</v>
      </c>
      <c r="M190" s="3">
        <f>2290.1+(745.9-307.4)+(1.167951+(0.380409-0.156774))+0-562.2-0.286721999999943</f>
        <v>2167.5048640000005</v>
      </c>
      <c r="N190" s="3">
        <f>2337.5+(754.2-358)+(0+(0-0))+0-439.1-0</f>
        <v>2294.6</v>
      </c>
      <c r="O190" s="3">
        <f>2362.4+(737.4-254)+(1.204824+(0.376074-0.12954))+0-469.8-0.239597999999952</f>
        <v>2377.2117599999997</v>
      </c>
      <c r="P190" s="3">
        <f>2359+(912.2-255.4)+(2.40618+(0.930444-0.260508))+0-511.7-0.521934000000082</f>
        <v>2506.6541820000007</v>
      </c>
      <c r="Q190" s="3">
        <f>2394.4+(950.7-277.4)+(0+(0-0))+0-553.8-0</f>
        <v>2513.9000000000005</v>
      </c>
      <c r="R190" s="3">
        <f>2387.5+(1039.4-590.8)+(-3.652875+(-1.590282--0.903924))+0-494.7--0.756891000000029</f>
        <v>2337.8176580000004</v>
      </c>
      <c r="S190" s="3">
        <f>2376+(1275.4-706.6)+(-4.84704+(-2.601816--1.441464))+0-590.1--1.20380399999997</f>
        <v>2349.8964120000001</v>
      </c>
      <c r="T190" s="3">
        <f>2365.7+(1305.1-692)+(-6.032535+(-3.328005--1.7646))+0-520.2--1.32650999999992</f>
        <v>2452.3305699999992</v>
      </c>
      <c r="U190" s="3">
        <f>2372.4+(1196.8-667)+(-8.469468+(-4.272576--2.38119))+0-442.5--1.57972500000001</f>
        <v>2450.9188709999999</v>
      </c>
      <c r="V190" s="3">
        <f>2376.3+(1058.2-488.4)+(-8.483391+(-3.777774--1.743588))+0-511.3--1.82534100000001</f>
        <v>2426.1077640000003</v>
      </c>
      <c r="W190" s="3">
        <f>2405.2+(912.1-257.5)+(-4.906608+(-1.860684--0.5253))+0-374.6--0.764183999999984</f>
        <v>2679.7221919999997</v>
      </c>
      <c r="X190" s="3">
        <f>2509.9+(721.8-75.6)+(-5.120196+(-1.472472--0.154224))+0-542.7--1.10710799999998</f>
        <v>2608.0686640000004</v>
      </c>
      <c r="Y190" s="3">
        <f>2646.9+(597.1-465.9)+(-5.399676+(-1.218084--0.950436))+0-484.3--0.987971999999979</f>
        <v>2289.1206480000001</v>
      </c>
      <c r="Z190" s="3">
        <f>2655.4+(429.6-298)+(0+(0-0))+0-384.7-0</f>
        <v>2402.3000000000002</v>
      </c>
      <c r="AA190" s="3">
        <f>2657.3+(507.3-346.7)+(-6.776115+(-1.293615--0.884085))+0-537.6--1.37087999999992</f>
        <v>2274.4852350000001</v>
      </c>
      <c r="AB190" s="3">
        <f>2658.9+(480.5-380.2)+(-6.780195+(-1.225275--0.96951))+0-533.1--1.35940499999992</f>
        <v>2220.4234449999999</v>
      </c>
      <c r="AC190" s="3">
        <f>2657.9+(535.6-463.4)+(-6.777645+(-1.36578--1.18167))+0-662.6--1.6896299999999</f>
        <v>2062.2278750000005</v>
      </c>
      <c r="AD190">
        <v>2290.9</v>
      </c>
      <c r="AE190" s="3">
        <f>2649+(695-516.6)+(0+(0-0))+0-536.5-0</f>
        <v>2290.9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2567.6+(900.2-859.7)+(-5.237904+(-1.836408--1.753788))+0-648.9--1.32375599999997</f>
        <v>1955.2032319999996</v>
      </c>
      <c r="G191" s="3">
        <f>2337.3+(1131.8-760)+(0+(0-0))+0-747.6-0</f>
        <v>1961.5000000000005</v>
      </c>
      <c r="H191" s="3">
        <f>2233.7+(1119.9-679.9)+(0+(0-0))+0-750-0</f>
        <v>1923.6999999999998</v>
      </c>
      <c r="I191" s="3">
        <f>2192.4+(1120.7-650.1)+(0+(0-0))+0-740.1-0</f>
        <v>1922.9</v>
      </c>
      <c r="J191" s="3">
        <f>2208.3+(1086.1-622.3)+(-2.252466+(-1.107822--0.634746))+0-748.3--0.763266000000119</f>
        <v>1921.8377240000004</v>
      </c>
      <c r="K191" s="3">
        <f>2128.2+(1143.8-531.4)+(-1.085382+(-0.583338--0.271014))+0-761.5--0.388364999999923</f>
        <v>1978.0906589999997</v>
      </c>
      <c r="L191" s="3">
        <f>2084.3+(956.3-395.4)+(-2.125986+(-0.975426--0.403308))+0-658.9--0.672078000000105</f>
        <v>1984.2739740000002</v>
      </c>
      <c r="M191" s="3">
        <f>2180.1+(707.8-245.9)+(3.335553+(1.082934-0.376227))+0-443.4-0.678402000000026</f>
        <v>2201.9638580000001</v>
      </c>
      <c r="N191" s="3">
        <f>2217.3+(869.2-269.8)+(2.261646+(0.886584-0.275196))+0-532.9-0.543558000000085</f>
        <v>2286.1294760000001</v>
      </c>
      <c r="O191" s="3">
        <f>2250.3+(951-205.4)+(0+(0-0))+0-505.3-0</f>
        <v>2490.6</v>
      </c>
      <c r="P191" s="3">
        <f>2563.4+(676.5-311.2)+(-6.53667+(-1.725075--0.79356))+0-379.5--0.967724999999945</f>
        <v>2542.6995400000001</v>
      </c>
      <c r="Q191" s="3">
        <f>2613+(792.1-347.5)+(1.33263+(0.403971-0.177225))+0-349-0.177989999999965</f>
        <v>2709.9813859999999</v>
      </c>
      <c r="R191" s="3">
        <f>2592.7+(932.6-588.7)+(2.644554+(0.951252-0.600474))+0-622-0.634440000000099</f>
        <v>2316.9608919999996</v>
      </c>
      <c r="S191" s="3">
        <f>2613.1+(1163.2-651.3)+(5.330724+(2.372928-1.328652))+0-714.9-1.45839599999997</f>
        <v>2415.0166039999999</v>
      </c>
      <c r="T191" s="3">
        <f>2795.1+(1082.9-662.7)+(-4.276503+(-1.656837--1.013931))+0-628.6--0.961758000000036</f>
        <v>2582.7423490000001</v>
      </c>
      <c r="U191" s="3">
        <f>2797+(906.2-598.4)+(-7.13235+(-2.31081--1.52592))+0-649.9--1.65724499999991</f>
        <v>2448.6400049999997</v>
      </c>
      <c r="V191" s="3">
        <f>2731.7+(842.8-395.3)+(-6.965835+(-2.14914--1.008015))+0-681.3--1.7373149999999</f>
        <v>2491.5303549999994</v>
      </c>
      <c r="W191" s="3">
        <f>2861.9+(640-183.6)+(-4.378707+(-0.9792--0.280908))+0-680.4--1.04101200000004</f>
        <v>2633.8640130000003</v>
      </c>
      <c r="X191" s="3">
        <f>2928.5+(584.9-40.1)+(4.480605+(0.894897-0.061353))+0-730.6-1.11781800000004</f>
        <v>2746.8963309999999</v>
      </c>
      <c r="Y191" s="3">
        <f>2972+(456.1-309.7)+(-7.5786+(-1.163055--0.789735))+0-603.4--1.53866999999991</f>
        <v>2508.5867499999999</v>
      </c>
      <c r="Z191" s="3">
        <f>2983.1+(426.3-258.6)+(-3.042762+(-0.434826--0.263772))+0-702.7--0.716754000000112</f>
        <v>2445.602938</v>
      </c>
      <c r="AA191" s="3">
        <f>2988.1+(355.8-383.1)+(-4.571793+(-0.544374--0.586143))+0-612.3--0.936819000000035</f>
        <v>2344.9067949999994</v>
      </c>
      <c r="AB191" s="3">
        <f>2992.9+(485.5-631.3)+(-6.105516+(-0.99042--1.287852))+0-648.8--1.32355199999997</f>
        <v>2193.8154680000007</v>
      </c>
      <c r="AC191" s="3">
        <f>2983.5+(661.5-1017.7)+(-7.607925+(-1.686825--2.595135))+0-475.2--1.21175999999993</f>
        <v>2146.6121450000005</v>
      </c>
      <c r="AD191">
        <v>2609.5</v>
      </c>
      <c r="AE191" s="3">
        <f>2940+(546.1-144.3)+(0+(0-0))+0-732.3-0</f>
        <v>2609.5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2904.1+(794.1-1066.5)+(-5.924364+(-1.619964--2.17566))+0-653--1.33211999999997</f>
        <v>1974.6634519999998</v>
      </c>
      <c r="G192" s="3">
        <f>2912.2+(981-1097.7)+(-1.485222+(-0.50031--0.559827))+0-839.2--0.427991999999915</f>
        <v>1955.3022869999998</v>
      </c>
      <c r="H192" s="3">
        <f>2925.6+(902.1-1137.2)+(-5.968224+(-1.840284--2.319888))+0-725.3--1.47961199999997</f>
        <v>1961.1909919999998</v>
      </c>
      <c r="I192" s="3">
        <f>2934.6+(839.5-1130.2)+(1.496646+(0.428145-0.576402))+0-751-0.383009999999924</f>
        <v>1893.8653789999998</v>
      </c>
      <c r="J192" s="3">
        <f>2939+(807.4-1094.9)+(-2.99778+(-0.823548--1.116798))+0-733.3--0.747966000000117</f>
        <v>1916.2434360000002</v>
      </c>
      <c r="K192" s="3">
        <f>2814.1+(780-907.7)+(-7.175955+(-1.989--2.314635))+0-790.2--2.01500999999989</f>
        <v>1891.3646899999994</v>
      </c>
      <c r="L192" s="3">
        <f>2363.8+(852.6-745.3)+(-1.205538+(-0.434826--0.380103))+0-496.4--0.25316399999995</f>
        <v>1973.6929030000003</v>
      </c>
      <c r="M192" s="3">
        <f>2376.5+(905.8-511.2)+(1.212015+(0.461958-0.260712))+0-638.6-0.325685999999935</f>
        <v>2133.587575</v>
      </c>
      <c r="N192" s="3">
        <f>2522.3+(810.9-551.7)+(2.572746+(0.827118-0.562734))+0-475.1-0.484602000000076</f>
        <v>2308.752528</v>
      </c>
      <c r="O192" s="3">
        <f>2777.1+(777.5-465.4)+(4.248963+(1.189575-0.712062))+0-650.7-0.995571000000038</f>
        <v>2442.2309049999999</v>
      </c>
      <c r="P192" s="3">
        <f>2754.6+(779.2-478)+(0+(0-0))+0-553.1-0</f>
        <v>2502.7000000000003</v>
      </c>
      <c r="Q192" s="3">
        <f>2800.7+(971.7-556.5)+(1.428357+(0.495567-0.283815))+0-639.3-0.326042999999935</f>
        <v>2577.9140659999994</v>
      </c>
      <c r="R192" s="3">
        <f>2787.8+(1053.8-887.5)+(-4.265334+(-1.612314--1.357875))+0-638.2--0.976446000000037</f>
        <v>2312.3566730000007</v>
      </c>
      <c r="S192" s="3">
        <f>2778.9+(1195.8-900)+(1.417239+(0.609858-0.459))+0-715-0.364649999999927</f>
        <v>2360.9034469999997</v>
      </c>
      <c r="T192" s="3">
        <f>2779.5+(1127.2-833.2)+(-5.67018+(-2.299488--1.699728))+0-511.8--1.04407199999998</f>
        <v>2556.4741319999998</v>
      </c>
      <c r="U192" s="3">
        <f>2776.2+(1050-664.2)+(-7.07931+(-2.6775--1.69371))+0-571.1--1.45630499999992</f>
        <v>2584.2932049999999</v>
      </c>
      <c r="V192" s="3">
        <f>2658.6+(1128.8-668.2)+(-2.711772+(-1.151376--0.681564))+0-589.4--0.601188000000094</f>
        <v>2527.2196039999999</v>
      </c>
      <c r="W192" s="3">
        <f>2737.6+(823.6-449.2)+(0+(0-0))+0-622.9-0</f>
        <v>2489.1</v>
      </c>
      <c r="X192" s="3">
        <f>2824.5+(638.5-300.3)+(-2.88099+(-0.65127--0.306306))+0-565.7--0.57701400000009</f>
        <v>2594.3510599999995</v>
      </c>
      <c r="Y192" s="3">
        <f>2883+(708.3-474.7)+(-4.41099+(-1.083699--0.726291))+0-578.6--0.885258000000034</f>
        <v>2534.1168600000001</v>
      </c>
      <c r="Z192" s="3">
        <f>2897+(662.2-582.8)+(-4.43241+(-1.013166--0.891684))+0-441.4--0.675342000000025</f>
        <v>2531.1214500000001</v>
      </c>
      <c r="AA192" s="3">
        <f>2892.1+(674.7-618.9)+(-2.949942+(-0.688194--0.631278))+0-533.1--0.543762000000085</f>
        <v>2412.3369040000002</v>
      </c>
      <c r="AB192" s="3">
        <f>2885.2+(730.6-720.5)+(-1.471452+(-0.372606--0.367455))+0-622.2--0.317321999999937</f>
        <v>2271.9407189999993</v>
      </c>
      <c r="AC192" s="3">
        <f>2807.5+(800.9-794.4)+(-1.431825+(-0.408459--0.405144))+0-659.4--0.336293999999933</f>
        <v>2153.5011539999996</v>
      </c>
      <c r="AD192">
        <v>2635.2</v>
      </c>
      <c r="AE192" s="3">
        <f>2869+(748.1-391.9)+(0+(0-0))+0-590-0</f>
        <v>2635.2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2784.9+(863.5-976.3)+(-5.681196+(-1.76154--1.991652))+0-688--1.40351999999997</f>
        <v>1980.0524360000006</v>
      </c>
      <c r="G193" s="3">
        <f>2796.7+(785.8-1038.7)+(-7.131585+(-2.00379--2.648685))+0-603--1.53764999999991</f>
        <v>1935.8509599999995</v>
      </c>
      <c r="H193" s="3">
        <f>2808.3+(783.5-1023.2)+(-2.864466+(-0.79917--1.043664))+0-696.5--0.710430000000111</f>
        <v>1870.1904580000005</v>
      </c>
      <c r="I193" s="3">
        <f>2821+(579.4-1001.8)+(-5.75484+(-1.181976--2.043672))+0-499.8--1.01959199999998</f>
        <v>1894.9264479999997</v>
      </c>
      <c r="J193" s="3">
        <f>2827+(440.1-930)+(7.20885+(1.122255-2.3715))+0-398.8-1.01693999999994</f>
        <v>1943.242665</v>
      </c>
      <c r="K193" s="3">
        <f>2789.6+(481.9-772.6)+(-2.845392+(-0.491538--0.788052))+0-585.1--0.596802000000093</f>
        <v>1911.8479239999997</v>
      </c>
      <c r="L193" s="3">
        <f>2349.9+(674.8-537.4)+(4.793796+(1.376592-1.096296))+0-612.7-1.24990799999997</f>
        <v>1878.424184</v>
      </c>
      <c r="M193" s="3">
        <f>2545.9+(523-390.8)+(3.895227+(0.80019-0.597924))+0-581.8-0.890154000000034</f>
        <v>2099.5073390000002</v>
      </c>
      <c r="N193" s="3">
        <f>2715.5+(450.5-323.1)+(-2.76981+(-0.45951--0.329562))+0-666.8--0.680136000000106</f>
        <v>2173.8803779999998</v>
      </c>
      <c r="O193" s="3">
        <f>2712.9+(488.3-312.6)+(1.383579+(0.249033-0.159426))+0-566.6-0.288965999999943</f>
        <v>2323.1842200000001</v>
      </c>
      <c r="P193" s="3">
        <f>2780.2+(391.1-273)+(2.835804+(0.398922-0.27846))+0-541-0.551820000000086</f>
        <v>2359.7044459999997</v>
      </c>
      <c r="Q193" s="3">
        <f>2772.4+(582.6-279)+(0+(0-0))+0-693.2-0</f>
        <v>2382.8000000000002</v>
      </c>
      <c r="R193" s="3">
        <f>2760.9+(651.3-585.1)+(-7.040295+(-1.660815--1.492005))+0-516.8--1.31783999999992</f>
        <v>2304.408735</v>
      </c>
      <c r="S193" s="3">
        <f>2802.4+(668-629)+(-5.716896+(-1.36272--1.28316))+0-570.2--1.16320799999998</f>
        <v>2266.5667519999997</v>
      </c>
      <c r="T193" s="3">
        <f>2855.9+(622.1-703.8)+(-7.282545+(-1.586355--1.79469))+0-489.1--1.24720499999993</f>
        <v>2279.2729950000003</v>
      </c>
      <c r="U193" s="3">
        <f>2741.8+(667.3-558.5)+(-5.593272+(-1.361292--1.13934))+0-596.7--1.21726799999997</f>
        <v>2249.3020440000005</v>
      </c>
      <c r="V193" s="3">
        <f>2710.7+(870.9-550.5)+(-5.529828+(-1.776636--1.12302))+0-614.1--1.25276399999997</f>
        <v>2412.0693200000001</v>
      </c>
      <c r="W193" s="3">
        <f>2713.9+(589.9-378.1)+(-2.768178+(-0.601698--0.385662))+0-521.5--0.531930000000083</f>
        <v>2401.7477159999999</v>
      </c>
      <c r="X193" s="3">
        <f>2781.4+(461.3-222.9)+(2.837028+(0.470526-0.227358))+0-623.4-0.635868000000099</f>
        <v>2398.8443279999997</v>
      </c>
      <c r="Y193" s="3">
        <f>2829.8+(508.1-336.5)+(-4.329594+(-0.777393--0.514845))+0-639.2--0.977976000000037</f>
        <v>2358.5858340000004</v>
      </c>
      <c r="Z193" s="3">
        <f>2845.2+(496.6-459.7)+(-4.353156+(-0.759798--0.703341))+0-512--0.78336000000003</f>
        <v>2366.473747</v>
      </c>
      <c r="AA193" s="3">
        <f>2852+(557.6-456.4)+(-4.36356+(-0.853128--0.698292))+0-657.1--1.00536300000004</f>
        <v>2292.5869670000002</v>
      </c>
      <c r="AB193" s="3">
        <f>2842.8+(512.6-499.5)+(-1.449828+(-0.261426--0.254745))+0-571--0.291209999999942</f>
        <v>2283.7347009999999</v>
      </c>
      <c r="AC193" s="3">
        <f>2814.9+(578.2-611.4)+(-2.871198+(-0.589764--0.623628))+0-669.5--0.682890000000107</f>
        <v>2110.0455560000005</v>
      </c>
      <c r="AD193">
        <v>2359.7999999999997</v>
      </c>
      <c r="AE193" s="3">
        <f>2828+(595.7-327)+(0+(0-0))+0-736.9-0</f>
        <v>2359.7999999999997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2714.8+(704.8-903.5)+(2.769096+(0.718896-0.92157))+0-627.7-0.6402540000001</f>
        <v>1890.3261680000001</v>
      </c>
      <c r="G194" s="3">
        <f>2604.5+(790.8-945.3)+(1.328295+(0.403308-0.482103))+0-580.6-0.296105999999941</f>
        <v>1870.353394</v>
      </c>
      <c r="H194" s="3">
        <f>2474.4+(872.8-708.6)+(2.523888+(0.890256-0.722772))+0-726.6-0.741132000000116</f>
        <v>1913.9502399999997</v>
      </c>
      <c r="I194" s="3">
        <f>2533.4+(736.8-770.7)+(-1.292034+(-0.375768--0.393057))+0-648.3--0.330632999999934</f>
        <v>1850.2558879999999</v>
      </c>
      <c r="J194" s="3">
        <f>2537.9+(624.1-731.6)+(1.294329+(0.318291-0.373116))+0-508.3-0.259232999999948</f>
        <v>1923.0802710000003</v>
      </c>
      <c r="K194" s="3">
        <f>2378.4+(634-738.3)+(-6.06492+(-1.6167--1.882665))+0-428.7--1.09318499999994</f>
        <v>1840.6942300000001</v>
      </c>
      <c r="L194" s="3">
        <f>2042.2+(765-625.1)+(2.083044+(0.7803-0.637602))+0-327.1-0.333642000000052</f>
        <v>1856.8921</v>
      </c>
      <c r="M194" s="3">
        <f>2001.1+(647.6-503.7)+(0+(0-0))+0-334.7-0</f>
        <v>1810.3</v>
      </c>
      <c r="N194" s="3">
        <f>2000.9+(625.2-448.8)+(-3.061377+(-0.956556--0.686664))+0-346.6--0.53029800000002</f>
        <v>1827.8990290000006</v>
      </c>
      <c r="O194" s="3">
        <f>2180.5+(589.8-395.3)+(3.336165+(0.902394-0.604809))+0-434.1-0.664173000000025</f>
        <v>1943.8695769999999</v>
      </c>
      <c r="P194" s="3">
        <f>2507.8+(437.3-353.3)+(-2.557956+(-0.446046--0.360366))+0-650.5--0.663510000000104</f>
        <v>1939.3198740000005</v>
      </c>
      <c r="Q194" s="3">
        <f>2507+(386.1-324.7)+(0+(0-0))+0-633.1-0</f>
        <v>1935.3000000000002</v>
      </c>
      <c r="R194" s="3">
        <f>2518.2+(406.4-601.7)+(0+(0-0))+0-417-0</f>
        <v>1905.8999999999996</v>
      </c>
      <c r="S194" s="3">
        <f>2529.7+(501.7-635.6)+(-2.580294+(-0.511734--0.648312))+0-518.2--0.528564000000083</f>
        <v>1875.6848479999996</v>
      </c>
      <c r="T194" s="3">
        <f>2522+(679.4-785.3)+(-5.14488+(-1.385976--1.602012))+0-498.4--1.01673599999998</f>
        <v>1913.7878919999998</v>
      </c>
      <c r="U194" s="3">
        <f>2538.4+(661.7-971.4)+(-7.767504+(-2.024802--2.972484))+0-271.6--0.831096000000031</f>
        <v>1951.1112740000005</v>
      </c>
      <c r="V194" s="3">
        <f>2380.6+(523-616.2)+(-4.856424+(-1.06692--1.257048))+0-253.1--0.516323999999989</f>
        <v>2030.1500279999998</v>
      </c>
      <c r="W194" s="3">
        <f>2188.3+(407.5-233.3)+(2.232066+(0.41565-0.237966))+0-302-0.308040000000048</f>
        <v>2062.6017099999999</v>
      </c>
      <c r="X194" s="3">
        <f>2501.3+(213.3-178.2)+(1.275663+(0.108783-0.090882))+0-435.3-0.222002999999956</f>
        <v>2102.1715610000001</v>
      </c>
      <c r="Y194" s="3">
        <f>2534+(312.9-180)+(-2.58468+(-0.319158--0.1836))+0-540.3--0.551106000000086</f>
        <v>2124.4308680000004</v>
      </c>
      <c r="Z194" s="3">
        <f>2531.2+(462.7-296.3)+(-2.581824+(-0.471954--0.302226))+0-646.7--0.659634000000103</f>
        <v>2048.808082</v>
      </c>
      <c r="AA194" s="3">
        <f>2519.3+(618.8-618.5)+(-1.284843+(-0.315588--0.315435))+0-487.8--0.248777999999951</f>
        <v>2030.7637820000004</v>
      </c>
      <c r="AB194" s="3">
        <f>2516.4+(721.7-568.4)+(-3.850092+(-1.104201--0.869652))+0-627.9--0.960687000000036</f>
        <v>2038.6760460000003</v>
      </c>
      <c r="AC194" s="3">
        <f>2498.3+(900.5-763.6)+(-3.822399+(-1.377765--1.168308))+0-707.1--1.08186300000004</f>
        <v>1925.1500070000004</v>
      </c>
      <c r="AD194">
        <v>2027.1999999999998</v>
      </c>
      <c r="AE194" s="3">
        <f>2537+(512-259.4)+(0+(0-0))+0-762.4-0</f>
        <v>2027.1999999999998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2496.9+(869.5-844.5)+(-11.460771+(-3.991005--3.876255))+0-603.8--2.7714420000001</f>
        <v>1909.2959210000001</v>
      </c>
      <c r="G195" s="3">
        <f>2492.8+(829.1-915.8)+(-2.542656+(-0.845682--0.934116))+0-581.4--0.593028000000093</f>
        <v>1822.8388060000004</v>
      </c>
      <c r="H195" s="3">
        <f>2518.3+(725.8-1032.3)+(-7.705998+(-2.220948--3.158838))+0-403.1--1.23348600000005</f>
        <v>1803.1653780000001</v>
      </c>
      <c r="I195" s="3">
        <f>2523.1+(634.2-984.2)+(-3.860343+(-0.970326--1.505826))+0-388.3--0.594099000000022</f>
        <v>1782.069256</v>
      </c>
      <c r="J195" s="3">
        <f>2505.2+(596.1-824.1)+(0+(0-0))+0-483-0</f>
        <v>1794.1999999999998</v>
      </c>
      <c r="K195" s="3">
        <f>2505.4+(676.1-796.3)+(-3.833262+(-1.034433--1.218339))+0-619.6--0.947988000000036</f>
        <v>1762.8986320000006</v>
      </c>
      <c r="L195" s="3">
        <f>2537+(633.3-758.6)+(1.29387+(0.322983-0.386886))+0-561.7-0.286466999999943</f>
        <v>1850.9435000000001</v>
      </c>
      <c r="M195" s="3">
        <f>2630.2+(641-673.2)+(0+(0-0))+0-609.8-0</f>
        <v>1988.2</v>
      </c>
      <c r="N195" s="3">
        <f>2601.8+(697.5-534.1)+(2.653836+(0.71145-0.544782))+0-657.5-0.670650000000105</f>
        <v>2109.8498540000001</v>
      </c>
      <c r="O195" s="3">
        <f>2601.9+(666.1-280.7)+(5.307876+(1.358844-0.572628))+0-491.6-1.00286399999998</f>
        <v>2500.791228</v>
      </c>
      <c r="P195" s="3">
        <f>2603.2+(567.9-234.6)+(2.655264+(0.579258-0.239292))+0-539.7-0.550494000000086</f>
        <v>2399.2447359999996</v>
      </c>
      <c r="Q195" s="3">
        <f>2860.1+(608.5-654.8)+(1.458651+(0.310335-0.333948))+0-343.3-0.175082999999965</f>
        <v>2471.759955</v>
      </c>
      <c r="R195" s="3">
        <f>2857.7+(681-1136)+(-1.457427+(-0.34731--0.57936))+0-224.2--0.114341999999977</f>
        <v>2177.3889649999996</v>
      </c>
      <c r="S195" s="3">
        <f>2977.8+(1093.8-1315.5)+(6.074712+(2.231352-2.68362))+0-459.3-0.93697199999998</f>
        <v>2301.4854720000003</v>
      </c>
      <c r="T195" s="3">
        <f>2981.7+(1181.7-1269.5)+(-1.520667+(-0.602667--0.647445))+0-514.2--0.262241999999948</f>
        <v>2378.4863529999993</v>
      </c>
      <c r="U195" s="3">
        <f>2992.9+(1044.9-1181.9)+(-6.105516+(-2.131596--2.411076))+0-493.5--1.00673999999998</f>
        <v>2357.580704</v>
      </c>
      <c r="V195" s="3">
        <f>2843.5+(834.8-830.5)+(-5.80074+(-1.702992--1.69422))+0-494.3--1.00837199999998</f>
        <v>2348.69886</v>
      </c>
      <c r="W195" s="3">
        <f>2553.8+(757.6-336.4)+(-3.907314+(-1.159128--0.514692))+0-586.9--0.897957000000034</f>
        <v>2384.446207</v>
      </c>
      <c r="X195" s="3">
        <f>2614.3+(944.9-421)+(0+(0-0))+0-567-0</f>
        <v>2571.2000000000003</v>
      </c>
      <c r="Y195" s="3">
        <f>2651.6+(917.2-576.8)+(-6.76158+(-2.33886--1.47084))+0-553--1.41014999999992</f>
        <v>2432.7805499999995</v>
      </c>
      <c r="Z195" s="3">
        <f>2649+(892.6-785.1)+(-2.70198+(-0.910452--0.800802))+0-436.8--0.44553600000007</f>
        <v>2317.3339059999998</v>
      </c>
      <c r="AA195" s="3">
        <f>2642.3+(1039.4-905.6)+(-5.390292+(-2.120376--1.847424))+0-495.8--1.01143199999998</f>
        <v>2275.6481880000001</v>
      </c>
      <c r="AB195" s="3">
        <f>2645+(1117.2-971.5)+(-2.6979+(-1.139544--0.99093))+0-558.5--0.569670000000089</f>
        <v>2229.9231560000003</v>
      </c>
      <c r="AC195" s="3">
        <f>2623.9+(1104.8-1015.1)+(-8.029134+(-3.380688--3.106206))+0-615--1.88190000000007</f>
        <v>2092.1782839999996</v>
      </c>
      <c r="AD195">
        <v>2527.9</v>
      </c>
      <c r="AE195" s="3">
        <f>2629+(1020.8-445.3)+(0+(0-0))+0-676.6-0</f>
        <v>2527.9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2624+(1023.6-987.6)+(-6.6912+(-2.61018--2.51838))+0-631.7--1.61083499999991</f>
        <v>2023.127835</v>
      </c>
      <c r="G196" s="3">
        <f>2629.6+(835.3-860.4)+(0+(0-0))+0-643.7-0</f>
        <v>1960.8</v>
      </c>
      <c r="H196" s="3">
        <f>2640.5+(709.5-925.1)+(-4.039965+(-1.085535--1.415403))+0-585.2--0.895356000000034</f>
        <v>1836.8852589999999</v>
      </c>
      <c r="I196" s="3">
        <f>2521.8+(694-762)+(-3.858354+(-1.06182--1.16586))+0-601.3--0.919989000000035</f>
        <v>1849.6656750000004</v>
      </c>
      <c r="J196" s="3">
        <f>2506.4+(683.6-688.5)+(-3.834792+(-1.045908--1.053405))+0-615.2--0.941256000000036</f>
        <v>1883.413961</v>
      </c>
      <c r="K196" s="3">
        <f>2504.4+(626.6-700.1)+(-2.554488+(-0.639132--0.714102))+0-564.8--0.57609600000009</f>
        <v>1864.196578</v>
      </c>
      <c r="L196" s="3">
        <f>2438.8+(546-542)+(0+(0-0))+0-544.4-0</f>
        <v>1898.4</v>
      </c>
      <c r="M196" s="3">
        <f>2420.3+(447.7-344)+(3.703059+(0.684981-0.52632))+0-445.5-0.681615000000026</f>
        <v>2081.6801049999999</v>
      </c>
      <c r="N196" s="3">
        <f>2464.9+(431.8-301.1)+(2.514198+(0.440436-0.307122))+0-439.7-0.44849400000007</f>
        <v>2158.0990179999999</v>
      </c>
      <c r="O196" s="3">
        <f>2557.5+(470.2-298.1)+(-2.60865+(-0.479604--0.304062))+0-445.8--0.454716000000071</f>
        <v>2281.4705239999998</v>
      </c>
      <c r="P196" s="3">
        <f>2652.4+(551.1-301.1)+(-1.352724+(-0.281061--0.153561))+0-507.5--0.258824999999949</f>
        <v>2393.6786010000001</v>
      </c>
      <c r="Q196" s="3">
        <f>2818.3+(707.5-491.6)+(2.874666+(0.72165-0.501432))+0-491.7-0.501534000000078</f>
        <v>2545.0933500000006</v>
      </c>
      <c r="R196" s="3">
        <f>3003.3+(735.4-942.2)+(-1.531683+(-0.375054--0.480522))+0-501.5--0.255764999999949</f>
        <v>2293.8295499999999</v>
      </c>
      <c r="S196" s="3">
        <f>2992.9+(845.5-1177.4)+(0+(0-0))+0-390.9-0</f>
        <v>2270.1</v>
      </c>
      <c r="T196" s="3">
        <f>3012.2+(864.3-1206.6)+(-7.68111+(-2.203965--3.07683))+0-377.9--0.963644999999945</f>
        <v>2286.1553999999992</v>
      </c>
      <c r="U196" s="3">
        <f>3037.5+(789.2-1198.8)+(-6.1965+(-1.609968--2.445552))+0-249.2--0.508367999999989</f>
        <v>2373.847452</v>
      </c>
      <c r="V196" s="3">
        <f>2662.8+(726.2-674.4)+(-6.79014+(-1.85181--1.71972))+0-295.8--0.754289999999957</f>
        <v>2412.6320599999999</v>
      </c>
      <c r="W196" s="3">
        <f>2648.4+(640-405.9)+(-2.701368+(-0.6528--0.414018))+0-428.9--0.437478000000068</f>
        <v>2451.0973280000003</v>
      </c>
      <c r="X196" s="3">
        <f>2934.9+(450.8-311.7)+(-4.490397+(-0.689724--0.476901))+0-499.7--0.764541000000029</f>
        <v>2570.3613210000003</v>
      </c>
      <c r="Y196" s="3">
        <f>2975.7+(506.4-461.3)+(-4.552821+(-0.774792--0.705789))+0-452.3--0.692019000000026</f>
        <v>2564.5701949999998</v>
      </c>
      <c r="Z196" s="3">
        <f>2988.1+(462.8-443)+(-6.095724+(-0.944112--0.90372))+0-486.2--0.991847999999979</f>
        <v>2516.5557320000003</v>
      </c>
      <c r="AA196" s="3">
        <f>2906+(407.7-461.7)+(-4.44618+(-0.623781--0.706401))+0-447.9--0.685287000000026</f>
        <v>2400.4217270000004</v>
      </c>
      <c r="AB196" s="3">
        <f>2776.3+(419.6-484.1)+(-2.831826+(-0.427992--0.493782))+0-525.1--0.535602000000084</f>
        <v>2184.4695660000002</v>
      </c>
      <c r="AC196" s="3">
        <f>2755.6+(515.6-622.7)+(-7.02678+(-1.31478--1.587885))+0-579--1.47644999999992</f>
        <v>2064.2227750000002</v>
      </c>
      <c r="AD196">
        <v>2397.1999999999998</v>
      </c>
      <c r="AE196" s="3">
        <f>2971+(495.6-526.5)+(0+(0-0))+0-542.9-0</f>
        <v>2397.1999999999998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2672.5+(678.4-771.9)+(1.362975+(0.345984-0.393669))+0-656.2-0.334661999999933</f>
        <v>1923.780628</v>
      </c>
      <c r="G197" s="3">
        <f>2660.8+(732.9-858.9)+(-6.78504+(-1.868895--2.190195))+0-670--1.7084999999999</f>
        <v>1860.04476</v>
      </c>
      <c r="H197" s="3">
        <f>2601+(787.6-865)+(-1.32651+(-0.401676--0.44115))+0-670.1--0.341750999999932</f>
        <v>1852.5547149999998</v>
      </c>
      <c r="I197" s="3">
        <f>2591.9+(672.8-815.4)+(-1.321869+(-0.343128--0.415854))+0-594.9--0.30339899999994</f>
        <v>1853.454256</v>
      </c>
      <c r="J197" s="3">
        <f>2529.1+(635.4-720.5)+(-6.449205+(-1.62027--1.837275))+0-591.5--1.50832499999991</f>
        <v>1847.7761250000001</v>
      </c>
      <c r="K197" s="3">
        <f>2365.4+(651.3-631.1)+(-4.825416+(-1.328652--1.287444))+0-520.1--1.06100399999998</f>
        <v>1861.6943800000001</v>
      </c>
      <c r="L197" s="3">
        <f>2033.8+(665.6-297.5)+(-1.037238+(-0.339456--0.151725))+0-494.7--0.25229699999995</f>
        <v>1906.2273280000002</v>
      </c>
      <c r="M197" s="3">
        <f>2144.1+(620.9-206.8)+(1.093491+(0.316659-0.105468))+0-487.1-0.248420999999951</f>
        <v>2072.1562610000001</v>
      </c>
      <c r="N197" s="3">
        <f>2299.5+(598.7-242.1)+(2.34549+(0.610674-0.246942))+0-548.7-0.559674000000087</f>
        <v>2109.549548</v>
      </c>
      <c r="O197" s="3">
        <f>2456.9+(618.5-294)+(2.506038+(0.63087-0.29988))+0-545.2-0.556104000000087</f>
        <v>2238.4809239999995</v>
      </c>
      <c r="P197" s="3">
        <f>2508.3+(654.1-208.8)+(-1.279233+(-0.333591--0.106488))+0-545.3--0.278102999999945</f>
        <v>2407.0717670000008</v>
      </c>
      <c r="Q197" s="3">
        <f>2578.4+(573.4-131.9)+(-3.944952+(-0.877302--0.201807))+0-597.9--0.914787000000035</f>
        <v>2418.2943400000004</v>
      </c>
      <c r="R197" s="3">
        <f>2579+(543.1-328.4)+(-5.26116+(-1.107924--0.669936))+0-549.6--1.12118399999998</f>
        <v>2239.5220359999998</v>
      </c>
      <c r="S197" s="3">
        <f>2564.3+(767.4-507.8)+(-2.615586+(-0.782748--0.517956))+0-575.3--0.586806000000092</f>
        <v>2246.3064280000008</v>
      </c>
      <c r="T197" s="3">
        <f>2674.7+(794-682.7)+(-5.456388+(-1.61976--1.392708))+0-518.7--1.05814799999998</f>
        <v>2262.6747080000005</v>
      </c>
      <c r="U197" s="3">
        <f>2772.7+(653-543.5)+(-7.070385+(-1.66515--1.385925))+0-498.4--1.27091999999993</f>
        <v>2377.7213099999994</v>
      </c>
      <c r="V197" s="3">
        <f>2769+(599.1-315.7)+(-5.64876+(-1.222164--0.644028))+0-556.1--1.13444399999998</f>
        <v>2491.2075479999999</v>
      </c>
      <c r="W197" s="3">
        <f>2897.9+(528.1-598)+(2.955858+(0.538662-0.60996))+0-408.8-0.416976000000065</f>
        <v>2421.6675839999998</v>
      </c>
      <c r="X197" s="3">
        <f>2985.7+(710.6-619.5)+(-4.568121+(-1.087218--0.947835))+0-582.4--0.891072000000034</f>
        <v>2490.5835679999996</v>
      </c>
      <c r="Y197" s="3">
        <f>3017.6+(557.9-606.8)+(-3.077952+(-0.569058--0.618936))+0-485--0.494700000000077</f>
        <v>2481.1666260000002</v>
      </c>
      <c r="Z197" s="3">
        <f>3027.1+(570.9-590.6)+(-1.543821+(-0.291159--0.301206))+0-598.6--0.305285999999939</f>
        <v>2407.5715119999995</v>
      </c>
      <c r="AA197" s="3">
        <f>3005.7+(338.3-592.2)+(1.532907+(0.172533-0.302022))+0-500-0.254999999999949</f>
        <v>2252.9484179999995</v>
      </c>
      <c r="AB197" s="3">
        <f>2918.1+(542.1-689.6)+(-4.464693+(-0.829413--1.055088))+0-621.1--0.950283000000036</f>
        <v>2146.2112649999999</v>
      </c>
      <c r="AC197" s="3">
        <f>2781.2+(723.1-758.7)+(-4.255236+(-1.106343--1.160811))+0-641.7--0.981801000000037</f>
        <v>2100.6810329999998</v>
      </c>
      <c r="AD197">
        <v>2437.8000000000002</v>
      </c>
      <c r="AE197" s="3">
        <f>2975+(770.5-593.4)+(0+(0-0))+0-714.3-0</f>
        <v>2437.8000000000002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2662.8+(790.9-767.8)+(-5.432112+(-1.613436--1.566312))+0-680.2--1.38760799999997</f>
        <v>2001.6083719999999</v>
      </c>
      <c r="G198" s="3">
        <f>2573.5+(699.1-761.1)+(-2.62497+(-0.713082--0.776322))+0-584--0.595680000000093</f>
        <v>1925.5339500000002</v>
      </c>
      <c r="H198" s="3">
        <f>2452.1+(754.6-705.2)+(-1.250571+(-0.384846--0.359652))+0-636.7--0.324716999999935</f>
        <v>1863.8489520000001</v>
      </c>
      <c r="I198" s="3">
        <f>2462.5+(745.2-793.1)+(-2.51175+(-0.760104--0.808962))+0-592.2--0.604044000000095</f>
        <v>1820.541152</v>
      </c>
      <c r="J198" s="3">
        <f>2422.7+(752-692.1)+(0+(0-0))+0-606.3-0</f>
        <v>1876.3</v>
      </c>
      <c r="K198" s="3">
        <f>2319.7+(756.3-679)+(-4.732188+(-1.542852--1.38516))+0-508.3--1.03693199999998</f>
        <v>1884.8470519999998</v>
      </c>
      <c r="L198" s="3">
        <f>2176.8+(838.9-513.7)+(-1.110168+(-0.427839--0.261987))+0-550.5--0.280754999999944</f>
        <v>1950.5047350000002</v>
      </c>
      <c r="M198" s="3">
        <f>2146.7+(743.4-331.2)+(0+(0-0))+0-486.9-0</f>
        <v>2071.9999999999995</v>
      </c>
      <c r="N198" s="3">
        <f>2130.5+(710.6-278.5)+(1.086555+(0.362406-0.142035))+0-416.6-0.212465999999958</f>
        <v>2147.0944600000003</v>
      </c>
      <c r="O198" s="3">
        <f>2231.8+(829.3-241)+(0+(0-0))+0-495.6-0</f>
        <v>2324.5000000000005</v>
      </c>
      <c r="P198" s="3">
        <f>2329.6+(724.1-304.9)+(-2.376192+(-0.738582--0.310998))+0-317.4--0.323748000000051</f>
        <v>2428.9199720000001</v>
      </c>
      <c r="Q198" s="3">
        <f>2519.2+(653.5-251.2)+(-1.284792+(-0.333285--0.128112))+0-435.4--0.222053999999956</f>
        <v>2484.8320889999995</v>
      </c>
      <c r="R198" s="3">
        <f>2546+(657-528.6)+(-3.89538+(-1.00521--0.808758))+0-420.8--0.643824000000024</f>
        <v>2250.1519920000001</v>
      </c>
      <c r="S198" s="3">
        <f>2615.1+(788.8-823)+(-2.667402+(-0.804576--0.83946))+0-388.6--0.396372000000062</f>
        <v>2190.063854</v>
      </c>
      <c r="T198" s="3">
        <f>2761.7+(870.1-916.2)+(-2.816934+(-0.887502--0.934524))+0-401.1--0.409122000000064</f>
        <v>2312.1392099999998</v>
      </c>
      <c r="U198" s="3">
        <f>2838.6+(843.8-860.8)+(0+(0-0))+0-413.6-0</f>
        <v>2408</v>
      </c>
      <c r="V198" s="3">
        <f>2893.1+(710.2-728.5)+(-2.950962+(-0.724404--0.74307))+0-485.9--0.495618000000077</f>
        <v>2386.4633220000001</v>
      </c>
      <c r="W198" s="3">
        <f>2704.2+(605.4-389.5)+(-4.137426+(-0.926262--0.595935))+0-460.2--0.704106000000027</f>
        <v>2456.1363530000003</v>
      </c>
      <c r="X198" s="3">
        <f>2713.8+(622.9-279)+(-4.152114+(-0.953037--0.42687))+0-458.4--0.701352000000027</f>
        <v>2595.3230710000003</v>
      </c>
      <c r="Y198" s="3">
        <f>2791.5+(559.6-427.2)+(-7.118325+(-1.42698--1.08936))+0-536--1.36679999999992</f>
        <v>2381.8108549999997</v>
      </c>
      <c r="Z198" s="3">
        <f>2803.3+(407.2-356.7)+(0+(0-0))+0-510.7-0</f>
        <v>2343.1000000000004</v>
      </c>
      <c r="AA198" s="3">
        <f>2812.9+(339.9-385.8)+(-2.869158+(-0.346698--0.393516))+0-535.6--0.546312000000085</f>
        <v>2229.1239719999999</v>
      </c>
      <c r="AB198" s="3">
        <f>2727.7+(279.3-350)+(-6.955635+(-0.712215--0.8925))+0-491.2--1.25255999999993</f>
        <v>2160.2772100000002</v>
      </c>
      <c r="AC198" s="3">
        <f>2612.8+(418.9-411.7)+(0+(0-0))+0-589.5-0</f>
        <v>2030.5</v>
      </c>
      <c r="AD198">
        <v>2484.8000000000002</v>
      </c>
      <c r="AE198" s="3">
        <f>2740+(663.9-342.2)+(0+(0-0))+0-576.9-0</f>
        <v>2484.7999999999997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2416.9+(472.6-492.9)+(-1.232619+(-0.241026--0.251379))+0-494.5--0.25219499999995</f>
        <v>1901.1299290000002</v>
      </c>
      <c r="G199" s="3">
        <f>2269.9+(626.3-530.2)+(-1.157649+(-0.319413--0.270402))+0-567.1--0.289220999999943</f>
        <v>1797.9825610000003</v>
      </c>
      <c r="H199" s="3">
        <f>2209.2+(722.1-620.6)+(2.253384+(0.736542-0.633012))+0-539.7-0.550494000000086</f>
        <v>1772.8064199999997</v>
      </c>
      <c r="I199" s="3">
        <f>2215.6+(746.8-509.9)+(-1.129956+(-0.380868--0.260049))+0-631.1--0.321860999999936</f>
        <v>1820.471086</v>
      </c>
      <c r="J199" s="3">
        <f>2176.4+(656.2-432.1)+(-3.329892+(-1.003986--0.661113))+0-598--0.914940000000035</f>
        <v>1799.7421750000003</v>
      </c>
      <c r="K199" s="3">
        <f>2065.4+(694.6-329.6)+(-3.160062+(-1.062738--0.504288))+0-623.1--0.953343000000036</f>
        <v>1804.5348310000004</v>
      </c>
      <c r="L199" s="3">
        <f>1964.9+(583.2-173.1)+(0+(0-0))+0-549.2-0</f>
        <v>1825.8</v>
      </c>
      <c r="M199" s="3">
        <f>2052.2+(538.5-80.3)+(0+(0-0))+0-521.1-0</f>
        <v>1989.2999999999997</v>
      </c>
      <c r="N199" s="3">
        <f>2336.8+(547.2-229.7)+(1.191768+(0.279072-0.117147))+0-469.9-0.239648999999952</f>
        <v>2185.514044</v>
      </c>
      <c r="O199" s="3">
        <f>2368.6+(581.5-248.6)+(-3.623958+(-0.889695--0.380358))+0-402.5--0.615825000000023</f>
        <v>2295.4825299999998</v>
      </c>
      <c r="P199" s="3">
        <f>2309.4+(641.1-125.5)+(-1.177794+(-0.326961--0.064005))+0-471.2--0.240311999999952</f>
        <v>2352.5995619999999</v>
      </c>
      <c r="Q199" s="3">
        <f>2151.9+(827.4-115.5)+(-2.194938+(-0.843948--0.11781))+0-498.8--0.50877600000008</f>
        <v>2362.5877</v>
      </c>
      <c r="R199" s="3">
        <f>2148.4+(814.7-311)+(-7.669788+(-2.908479--1.11027))+0-471.3--1.68254100000001</f>
        <v>2173.0145440000001</v>
      </c>
      <c r="S199" s="3">
        <f>2137+(993.2-467)+(-2.17974+(-1.013064--0.47634))+0-522.9--0.533358000000083</f>
        <v>2138.1168939999998</v>
      </c>
      <c r="T199" s="3">
        <f>2132.6+(984.6-438.6)+(-4.350504+(-2.008584--0.894744))+0-435.2--0.887807999999981</f>
        <v>2238.8234640000001</v>
      </c>
      <c r="U199" s="3">
        <f>2130.7+(925.8-299.4)+(-1.086657+(-0.472158--0.152694))+0-518.3--0.264332999999947</f>
        <v>2237.6582120000003</v>
      </c>
      <c r="V199" s="3">
        <f>2140.3+(688.6-169.2)+(-3.274659+(-1.053558--0.258876))+0-443.8--0.679014000000026</f>
        <v>2212.509673</v>
      </c>
      <c r="W199" s="3">
        <f>2201.8+(762.5-133.9)+(1.122918+(0.388875-0.068289))+0-501-0.255509999999949</f>
        <v>2330.587994</v>
      </c>
      <c r="X199" s="3">
        <f>2275.3+(747.7-122.6)+(-2.320806+(-0.762654--0.125052))+0-424.9--0.433398000000068</f>
        <v>2472.9749900000002</v>
      </c>
      <c r="Y199" s="3">
        <f>2299.9+(667.6-102.3)+(-3.518847+(-1.021428--0.156519))+0-457--0.699210000000026</f>
        <v>2404.5154540000003</v>
      </c>
      <c r="Z199" s="3">
        <f>2295.8+(575.6-122.7)+(-1.170858+(-0.293556--0.062577))+0-479.4--0.244493999999951</f>
        <v>2268.1426570000003</v>
      </c>
      <c r="AA199" s="3">
        <f>2303.7+(635.9-200.4)+(-3.524661+(-0.972927--0.306612))+0-516.2--0.78978600000003</f>
        <v>2219.59881</v>
      </c>
      <c r="AB199" s="3">
        <f>2289.4+(651.8-257.8)+(-4.670376+(-1.329672--0.525912))+0-565.5--1.15361999999998</f>
        <v>2113.5794840000003</v>
      </c>
      <c r="AC199" s="3">
        <f>2261.3+(552.5-246.4)+(-2.306526+(-0.56355--0.251328))+0-541.5--0.552330000000086</f>
        <v>2023.8335820000002</v>
      </c>
      <c r="AD199">
        <v>2506.7000000000003</v>
      </c>
      <c r="AE199" s="3">
        <f>2289+(849.4-100.2)+(0+(0-0))+0-531.5-0</f>
        <v>2506.6999999999998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2198.1+(543.4-177.7)+(-4.484124+(-1.108536--0.362508))+0-688.8--1.40515199999997</f>
        <v>1871.1749999999997</v>
      </c>
      <c r="G200" s="3">
        <f>2105.9+(567.7-272.8)+(-5.370045+(-1.447635--0.69564))+0-631.3--1.60981499999991</f>
        <v>1764.9877749999998</v>
      </c>
      <c r="H200" s="3">
        <f>2115+(592.9-313.3)+(-5.39325+(-1.511895--0.798915))+0-631.4--1.61006999999991</f>
        <v>1758.7038399999999</v>
      </c>
      <c r="I200" s="3">
        <f>2112.5+(590.3-309.4)+(-4.3095+(-1.204212--0.631176))+0-621.4--1.26765599999997</f>
        <v>1768.3851199999999</v>
      </c>
      <c r="J200" s="3">
        <f>2116.9+(618.7-269.6)+(3.238857+(0.946611-0.412488))+0-719.6-1.10098800000004</f>
        <v>1749.0719920000001</v>
      </c>
      <c r="K200" s="3">
        <f>1945+(591.7-192.6)+(-4.95975+(-1.508835--0.49113))+0-546.8--1.39433999999992</f>
        <v>1792.7168849999996</v>
      </c>
      <c r="L200" s="3">
        <f>1692.4+(800-92.3)+(-0.863124+(-0.408--0.047073))+0-654.7--0.333896999999934</f>
        <v>1744.5098460000002</v>
      </c>
      <c r="M200" s="3">
        <f>1688.5+(861-93.4)+(0.861135+(0.43911-0.047634))+0-531.3-0.270962999999946</f>
        <v>1925.7816479999999</v>
      </c>
      <c r="N200" s="3">
        <f>1789.8+(984.4-138.5)+(0.912798+(0.502044-0.070635))+0-484.4-0.247043999999951</f>
        <v>2152.3971630000001</v>
      </c>
      <c r="O200" s="3">
        <f>1972.2+(892.9-131.1)+(0+(0-0))+0-472.7-0</f>
        <v>2261.3000000000002</v>
      </c>
      <c r="P200" s="3">
        <f>2091.8+(779-89.5)+(0+(0-0))+0-470.6-0</f>
        <v>2310.7000000000003</v>
      </c>
      <c r="Q200" s="3">
        <f>2194.4+(684.3-36.6)+(-3.357432+(-1.046979--0.055998))+0-514.7--0.78749100000003</f>
        <v>2323.839078</v>
      </c>
      <c r="R200" s="3">
        <f>2180+(566.6-58.1)+(-1.1118+(-0.288966--0.029631))+0-557.4--0.284273999999943</f>
        <v>2130.0131390000001</v>
      </c>
      <c r="S200" s="3">
        <f>2175.1+(582-185.6)+(2.218602+(0.59364-0.189312))+0-519.9-0.530298000000083</f>
        <v>2053.6926319999998</v>
      </c>
      <c r="T200" s="3">
        <f>2171.3+(623.2-198.1)+(-2.214726+(-0.635664--0.202062))+0-502.9--0.51295800000008</f>
        <v>2091.36463</v>
      </c>
      <c r="U200" s="3">
        <f>2139.4+(439-210.4)+(-5.45547+(-1.11945--0.53652))+0-287.5--0.733124999999958</f>
        <v>2075.1947249999998</v>
      </c>
      <c r="V200" s="3">
        <f>2049.4+(576.5-225.9)+(-5.22597+(-1.470075--0.576045))+0-377--0.961349999999945</f>
        <v>2017.8413500000001</v>
      </c>
      <c r="W200" s="3">
        <f>2142.9+(578.4-160.6)+(-1.092879+(-0.294984--0.081906))+0-431.4--0.220013999999956</f>
        <v>2128.2140569999997</v>
      </c>
      <c r="X200" s="3">
        <f>2359.8+(499.7-30.6)+(-1.203498+(-0.254847--0.015606))+0-490.2--0.25000199999995</f>
        <v>2337.507263</v>
      </c>
      <c r="Y200" s="3">
        <f>2442.2+(353.6-69.6)+(-8.718654+(-1.262352--0.248472))+0-407.5--1.45477500000001</f>
        <v>2310.4222409999998</v>
      </c>
      <c r="Z200" s="3">
        <f>2190.7+(587.9-102.6)+(-4.469028+(-1.199316--0.209304))+0-436.5--0.890459999999981</f>
        <v>2234.9314199999999</v>
      </c>
      <c r="AA200" s="3">
        <f>2189.8+(578.1-121.5)+(-5.58399+(-1.474155--0.309825))+0-529.2--1.34945999999992</f>
        <v>2111.80114</v>
      </c>
      <c r="AB200" s="3">
        <f>2171.1+(466-168.3)+(-3.321783+(-0.71298--0.257499))+0-434.9--0.665397000000025</f>
        <v>2030.7881329999998</v>
      </c>
      <c r="AC200" s="3">
        <f>2140+(373-156.4)+(-3.2742+(-0.57069--0.239292))+0-405.3--0.620109000000023</f>
        <v>1948.3145109999998</v>
      </c>
      <c r="AD200">
        <v>2328.5</v>
      </c>
      <c r="AE200" s="3">
        <f>2423+(626.3-48.6)+(0+(0-0))+0-672.2-0</f>
        <v>2328.5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2016.9+(350.5-124)+(2.057238+(0.35751-0.12648))+0-422.4-0.430848000000067</f>
        <v>1822.8574199999998</v>
      </c>
      <c r="G201" s="3">
        <f>1990+(358.5-62.6)+(0+(0-0))+0-590.9-0</f>
        <v>1695</v>
      </c>
      <c r="H201" s="3">
        <f>1952+(359.9-76.1)+(-1.99104+(-0.367098--0.077622))+0-563.8--0.57507600000009</f>
        <v>1670.2945600000005</v>
      </c>
      <c r="I201" s="3">
        <f>1856+(451.5-43.8)+(0.94656+(0.230265-0.022338))+0-594.4-0.30314399999994</f>
        <v>1670.1513429999995</v>
      </c>
      <c r="J201" s="3">
        <f>1799.6+(514.9-59.9)+(0.917796+(0.262599-0.030549))+0-612-0.312119999999938</f>
        <v>1643.4377259999997</v>
      </c>
      <c r="K201" s="3">
        <f>1782.1+(585.9-102.9)+(-0.908871+(-0.298809--0.052479))+0-658.2--0.335681999999933</f>
        <v>1606.0804809999997</v>
      </c>
      <c r="L201" s="3">
        <f>1634.5+(612.6-73.3)+(0+(0-0))+0-636.7-0</f>
        <v>1537.1000000000001</v>
      </c>
      <c r="M201" s="3">
        <f>1668.8+(570.8-115.9)+(0+(0-0))+0-464.4-0</f>
        <v>1659.2999999999997</v>
      </c>
      <c r="N201" s="3">
        <f>1857+(448.3-248.8)+(-5.68242+(-1.371798--0.761328))+0-345.3--1.05661800000004</f>
        <v>1705.9637279999999</v>
      </c>
      <c r="O201" s="3">
        <f>2079.4+(387.7-257.2)+(-1.060494+(-0.197727--0.131172))+0-371.8--0.189617999999962</f>
        <v>1837.1625689999998</v>
      </c>
      <c r="P201" s="3">
        <f>2115.6+(473-123.4)+(-2.157912+(-0.48246--0.125868))+0-581.9--0.593538000000093</f>
        <v>1881.3790339999996</v>
      </c>
      <c r="Q201" s="3">
        <f>2156.2+(347.8-112.3)+(-2.199324+(-0.354756--0.114546))+0-535--0.545700000000085</f>
        <v>1854.8061659999998</v>
      </c>
      <c r="R201" s="3">
        <f>2154.7+(367.2-228.9)+(-4.395588+(-0.749088--0.466956))+0-485.2--0.989807999999979</f>
        <v>1804.1120879999999</v>
      </c>
      <c r="S201" s="3">
        <f>2143.2+(508.5-290.1)+(-2.186064+(-0.51867--0.295902))+0-613.4--0.625668000000098</f>
        <v>1746.4168359999999</v>
      </c>
      <c r="T201" s="3">
        <f>2132.2+(589.3-412.7)+(-2.174844+(-0.601086--0.420954))+0-584.3--0.595986000000093</f>
        <v>1722.7410099999997</v>
      </c>
      <c r="U201" s="3">
        <f>2127+(511.4-338.5)+(-6.50862+(-1.564884--1.03581))+0-568--1.73808000000007</f>
        <v>1726.6003860000001</v>
      </c>
      <c r="V201" s="3">
        <f>2091.2+(486.4-185.7)+(-4.266048+(-0.992256--0.378828))+0-642--1.30967999999997</f>
        <v>1746.3302039999996</v>
      </c>
      <c r="W201" s="3">
        <f>2009.9+(480.6-77)+(-3.075147+(-0.735318--0.11781))+0-496.3--0.759339000000029</f>
        <v>1914.2666840000002</v>
      </c>
      <c r="X201" s="3">
        <f>2249.6+(412.9-77.7)+(-6.883776+(-1.263474--0.237762))+0-536.3--1.64107800000006</f>
        <v>2042.2315900000001</v>
      </c>
      <c r="Y201" s="3">
        <f>2286.7+(473.8-108.3)+(-5.831085+(-1.20819--0.276165))+0-621.5--1.58482499999991</f>
        <v>2025.5217149999999</v>
      </c>
      <c r="Z201" s="3">
        <f>2277.7+(385.3-181.3)+(-4.646508+(-0.786012--0.369852))+0-479--0.977159999999979</f>
        <v>1998.6144919999997</v>
      </c>
      <c r="AA201" s="3">
        <f>2215.6+(390.2-164.8)+(-4.519824+(-0.796008--0.336192))+0-490.7--1.00102799999998</f>
        <v>1946.3213879999998</v>
      </c>
      <c r="AB201" s="3">
        <f>2126.9+(591.3-177.6)+(0+(0-0))+0-659-0</f>
        <v>1881.6</v>
      </c>
      <c r="AC201" s="3">
        <f>2110+(518.3-247.8)+(-5.3805+(-1.321665--0.63189))+0-609.7--1.55473499999991</f>
        <v>1766.2844599999999</v>
      </c>
      <c r="AD201">
        <v>2059.1</v>
      </c>
      <c r="AE201" s="3">
        <f>2262+(524.7-99.6)+(0+(0-0))+0-628-0</f>
        <v>2059.1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2044.3+(401.6-237.5)+(-4.170372+(-0.819264--0.4845))+0-504.6--1.02938399999998</f>
        <v>1700.3242479999999</v>
      </c>
      <c r="G202" s="3">
        <f>1973.9+(526.7-207.5)+(-4.026756+(-1.074468--0.4233))+0-689.6--1.40678399999997</f>
        <v>1600.2288600000004</v>
      </c>
      <c r="H202" s="3">
        <f>1986.1+(519.4-296.8)+(-1.012911+(-0.264894--0.151368))+0-583.8--0.297737999999941</f>
        <v>1624.0713009999999</v>
      </c>
      <c r="I202" s="3">
        <f>1981.6+(522.6-269)+(-2.021232+(-0.533052--0.27438))+0-576.6--0.588132000000092</f>
        <v>1656.908228</v>
      </c>
      <c r="J202" s="3">
        <f>1871.9+(612.8-153.6)+(0+(0-0))+0-705.1-0</f>
        <v>1626</v>
      </c>
      <c r="K202" s="3">
        <f>1816.5+(642.2-181.4)+(0.926415+(0.327522-0.092514))+0-651.1-0.332060999999934</f>
        <v>1627.0293620000004</v>
      </c>
      <c r="L202" s="3">
        <f>1721+(669.4-272.6)+(0.87771+(0.341394-0.139026))+0-424.5-0.216494999999957</f>
        <v>1694.1635830000002</v>
      </c>
      <c r="M202" s="3">
        <f>1869.1+(709.1-148.7)+(-0.953241+(-0.361641--0.075837))+0-543.9--0.277388999999945</f>
        <v>1884.638344</v>
      </c>
      <c r="N202" s="3">
        <f>2141.5+(498.6-209.4)+(-1.092165+(-0.254286--0.106794))+0-323.3--0.164882999999967</f>
        <v>2106.3252259999995</v>
      </c>
      <c r="O202" s="3">
        <f>2300.3+(460.3-148)+(-2.346306+(-0.469506--0.15096))+0-401.5--0.409530000000064</f>
        <v>2208.8446780000004</v>
      </c>
      <c r="P202" s="3">
        <f>2286.8+(587.5-102.5)+(0+(0-0))+0-492.3-0</f>
        <v>2279.5</v>
      </c>
      <c r="Q202" s="3">
        <f>2315+(587.7-89.1)+(-3.54195+(-0.899181--0.136323))+0-508.9--0.778617000000029</f>
        <v>2301.1738089999999</v>
      </c>
      <c r="R202" s="3">
        <f>2321.5+(467.7-104.5)+(-5.919825+(-1.192635--0.266475))+0-489.4--1.24796999999993</f>
        <v>2189.7019849999997</v>
      </c>
      <c r="S202" s="3">
        <f>2309+(642.8-274.4)+(-3.53277+(-0.983484--0.419832))+0-503.8--0.770814000000029</f>
        <v>2170.2743919999998</v>
      </c>
      <c r="T202" s="3">
        <f>2299.5+(522.7-281.4)+(0+(0-0))+0-359.4-0</f>
        <v>2181.4</v>
      </c>
      <c r="U202" s="3">
        <f>2290.4+(532.8-180.5)+(-2.336208+(-0.543456--0.18411))+0-469--0.478380000000075</f>
        <v>2171.4828259999999</v>
      </c>
      <c r="V202" s="3">
        <f>2077.3+(599.2-119.1)+(-3.178269+(-0.916776--0.182223))+0-430.6--0.658818000000025</f>
        <v>2123.5459960000003</v>
      </c>
      <c r="W202" s="3">
        <f>2050.1+(768.3-33.7)+(-1.045551+(-0.391833--0.017187))+0-548.9--0.279938999999944</f>
        <v>2234.6597419999998</v>
      </c>
      <c r="X202" s="3">
        <f>2243.9+(753.2-19)+(-5.721945+(-1.92066--0.04845))+0-568.4--1.44941999999992</f>
        <v>2403.5552650000004</v>
      </c>
      <c r="Y202" s="3">
        <f>2371.1+(544.8-89.1)+(-4.837044+(-1.111392--0.181764))+0-508--1.03631999999998</f>
        <v>2314.0696479999997</v>
      </c>
      <c r="Z202" s="3">
        <f>2457.5+(508-163.8)+(-1.253325+(-0.25908--0.083538))+0-544--0.277439999999945</f>
        <v>2256.5485729999996</v>
      </c>
      <c r="AA202" s="3">
        <f>2467.8+(638-283.3)+(-6.29289+(-1.6269--0.722415))+0-616.5--1.57207499999991</f>
        <v>2200.3746999999998</v>
      </c>
      <c r="AB202" s="3">
        <f>2470+(583.7-358.5)+(-5.0388+(-1.190748--0.73134))+0-592.9--1.20951599999997</f>
        <v>2098.0113079999996</v>
      </c>
      <c r="AC202" s="3">
        <f>2394.8+(757.2-569.1)+(-6.10674+(-1.93086--1.451205))+0-623--1.58864999999991</f>
        <v>1954.9022550000002</v>
      </c>
      <c r="AD202">
        <v>2381.8000000000002</v>
      </c>
      <c r="AE202" s="3">
        <f>2265+(836.8-23.5)+(0+(0-0))+0-696.5-0</f>
        <v>2381.8000000000002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2400.5+(654.5-657)+(-1.224255+(-0.333795--0.33507))+0-562.4--0.286823999999943</f>
        <v>1834.6638439999999</v>
      </c>
      <c r="G203" s="3">
        <f>2415.2+(633.3-653.5)+(-6.15876+(-1.614915--1.666425))+0-625.8--1.59578999999991</f>
        <v>1764.6885399999999</v>
      </c>
      <c r="H203" s="3">
        <f>2352.9+(631.2-545.9)+(-1.199979+(-0.321912--0.278409))+0-701.8--0.357917999999929</f>
        <v>1735.5144360000004</v>
      </c>
      <c r="I203" s="3">
        <f>2334.2+(457.5-543.9)+(-1.190442+(-0.233325--0.277389))+0-550.8--0.280907999999944</f>
        <v>1696.1345299999998</v>
      </c>
      <c r="J203" s="3">
        <f>2347.6+(391.7-541.4)+(-2.394552+(-0.399534--0.552228))+0-480.9--0.490518000000077</f>
        <v>1715.2486600000002</v>
      </c>
      <c r="K203" s="3">
        <f>2261.8+(482-337.8)+(-3.460554+(-0.73746--0.516834))+0-667.1--1.02066300000004</f>
        <v>1736.2394830000001</v>
      </c>
      <c r="L203" s="3">
        <f>2032.1+(510.6-237.5)+(-1.036371+(-0.260406--0.121125))+0-558.9--0.285038999999943</f>
        <v>1745.4093869999997</v>
      </c>
      <c r="M203" s="3">
        <f>2135.3+(465.4-143)+(-1.089003+(-0.237354--0.07293))+0-510.8--0.260507999999948</f>
        <v>1945.9070810000001</v>
      </c>
      <c r="N203" s="3">
        <f>2274.5+(508.2-115.5)+(2.31999+(0.518364-0.11781))+0-504.5-0.51459000000008</f>
        <v>2164.9059539999994</v>
      </c>
      <c r="O203" s="3">
        <f>2535.4+(391.8-129.6)+(-2.586108+(-0.399636--0.132192))+0-546--0.556920000000087</f>
        <v>2249.3033680000003</v>
      </c>
      <c r="P203" s="3">
        <f>2536.8+(381.1-84.8)+(-1.293768+(-0.194361--0.043248))+0-531--0.270809999999946</f>
        <v>2300.9259290000005</v>
      </c>
      <c r="Q203" s="3">
        <f>2527.4+(415-101.1)+(-2.577948+(-0.4233--0.103122))+0-510.9--0.521118000000081</f>
        <v>2328.0229920000002</v>
      </c>
      <c r="R203" s="3">
        <f>2513.9+(491.9-298.5)+(-3.846267+(-0.752607--0.456705))+0-550.3--0.841959000000032</f>
        <v>2153.6997900000001</v>
      </c>
      <c r="S203" s="3">
        <f>2502.9+(604.4-396.8)+(-5.105916+(-1.232976--0.809472))+0-581.8--1.18687199999997</f>
        <v>2124.3574519999997</v>
      </c>
      <c r="T203" s="3">
        <f>2492.1+(551.3-366.2)+(-1.270971+(-0.281163--0.186762))+0-507.6--0.258875999999949</f>
        <v>2168.4935039999996</v>
      </c>
      <c r="U203" s="3">
        <f>2491.6+(539.6-243.6)+(-6.35358+(-1.37598--0.62118))+0-607.3--1.54861499999991</f>
        <v>2174.7402349999993</v>
      </c>
      <c r="V203" s="3">
        <f>2491+(332-131.1)+(-3.81123+(-0.50796--0.200583))+0-568.5--0.869805000000033</f>
        <v>2120.151198</v>
      </c>
      <c r="W203" s="3">
        <f>2536.3+(451.7-130.2)+(1.293513+(0.230367-0.066402))+0-562.5-0.286874999999943</f>
        <v>2296.4706030000002</v>
      </c>
      <c r="X203" s="3">
        <f>2562.4+(522-95.8)+(-2.613648+(-0.53244--0.097716))+0-555.3--0.566406000000088</f>
        <v>2430.8180339999999</v>
      </c>
      <c r="Y203" s="3">
        <f>2622.8+(307.6-249.9)+(-5.350512+(-0.627504--0.509796))+0-396.7--0.809267999999983</f>
        <v>2279.141048</v>
      </c>
      <c r="Z203" s="3">
        <f>2684.1+(330.1-162.4)+(-5.475564+(-0.673404--0.331296))+0-553--1.12811999999998</f>
        <v>2294.1104479999995</v>
      </c>
      <c r="AA203" s="3">
        <f>2728.1+(231.8-313.6)+(-2.782662+(-0.236436--0.319872))+0-465.2--0.474504000000074</f>
        <v>2178.875278</v>
      </c>
      <c r="AB203" s="3">
        <f>2739.6+(333.8-309.8)+(-2.794392+(-0.340476--0.315996))+0-608.4--0.620568000000097</f>
        <v>2153.0016960000003</v>
      </c>
      <c r="AC203" s="3">
        <f>2730.5+(194.9-518.9)+(-6.962775+(-0.496995--1.323195))+0-403.8--1.02968999999994</f>
        <v>1997.5931149999999</v>
      </c>
      <c r="AD203">
        <v>2384.1999999999998</v>
      </c>
      <c r="AE203" s="3">
        <f>2551+(645-114.8)+(0+(0-0))+0-697-0</f>
        <v>2384.1999999999998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2677.2+(226.1-595.1)+(-2.730744+(-0.230622--0.607002))+0-456.3--0.465426000000073</f>
        <v>1850.011062</v>
      </c>
      <c r="G204" s="3">
        <f>2543.8+(290.7-635.3)+(-3.892014+(-0.444771--0.972009))+0-438.5--0.670905000000025</f>
        <v>1758.0061290000003</v>
      </c>
      <c r="H204" s="3">
        <f>2558.5+(359.1-634.1)+(0+(0-0))+0-552.8-0</f>
        <v>1730.7</v>
      </c>
      <c r="I204" s="3">
        <f>2562.1+(228.2-754.4)+(0+(0-0))+0-322.5-0</f>
        <v>1713.3999999999999</v>
      </c>
      <c r="J204" s="3">
        <f>2452.3+(246.6-648.8)+(-3.752019+(-0.377298--0.992664))+0-317.8--0.486234000000018</f>
        <v>1729.6495810000004</v>
      </c>
      <c r="K204" s="3">
        <f>2156+(472.9-247.9)+(1.09956+(0.241179-0.126429))+0-631.9-0.322268999999936</f>
        <v>1749.9920409999997</v>
      </c>
      <c r="L204" s="3">
        <f>2096.8+(587.7-309.1)+(0+(0-0))+0-617-0</f>
        <v>1758.4</v>
      </c>
      <c r="M204" s="3">
        <f>2201.5+(488.9-286)+(-2.24553+(-0.498678--0.29172))+0-446.7--0.455634000000071</f>
        <v>1955.7031460000003</v>
      </c>
      <c r="N204" s="3">
        <f>2439.4+(472.6-149.9)+(3.732282+(0.723078-0.229347))+0-614.7-0.940491000000036</f>
        <v>2150.6855220000002</v>
      </c>
      <c r="O204" s="3">
        <f>2727.8+(363.1-287.6)+(-4.173534+(-0.555543--0.440028))+0-615.3--0.941409000000035</f>
        <v>2184.65236</v>
      </c>
      <c r="P204" s="3">
        <f>2706.6+(295-268.5)+(-5.521464+(-0.6018--0.54774))+0-502--1.02407999999998</f>
        <v>2226.5485560000002</v>
      </c>
      <c r="Q204" s="3">
        <f>2717.6+(243.7-212.9)+(-5.543904+(-0.497148--0.434316))+0-448--0.91391999999998</f>
        <v>2295.7071839999999</v>
      </c>
      <c r="R204" s="3">
        <f>2709.6+(159.5-258.4)+(-6.90948+(-0.406725--0.65892))+0-488.1--1.24465499999993</f>
        <v>2117.1873700000001</v>
      </c>
      <c r="S204" s="3">
        <f>2700.2+(357-320.6)+(1.377102+(0.18207-0.163506))+0-634.7-0.323696999999936</f>
        <v>2102.9719690000002</v>
      </c>
      <c r="T204" s="3">
        <f>2706.9+(261.2-355.7)+(-5.522076+(-0.532848--0.725628))+0-459.8--0.93799199999998</f>
        <v>2148.2086960000001</v>
      </c>
      <c r="U204" s="3">
        <f>2711.1+(303.5-231.6)+(-6.913305+(-0.773925--0.59058))+0-631.4--1.61006999999991</f>
        <v>2146.1134199999997</v>
      </c>
      <c r="V204" s="3">
        <f>2714+(241.5-410)+(-4.15242+(-0.369495--0.6273))+0-426.1--0.651933000000025</f>
        <v>2116.157318</v>
      </c>
      <c r="W204" s="3">
        <f>2757.6+(377.3-226.3)+(2.812752+(0.384846-0.230826))+0-667.1-0.680442000000106</f>
        <v>2243.7863299999999</v>
      </c>
      <c r="X204" s="3">
        <f>2773.8+(318.9-134.4)+(-7.07319+(-0.813195--0.34272))+0-541.7--1.38133499999992</f>
        <v>2410.4376700000003</v>
      </c>
      <c r="Y204" s="3">
        <f>2799.8+(407.3-256.9)+(-2.855796+(-0.415446--0.262038))+0-608.9--0.621078000000097</f>
        <v>2338.9118740000004</v>
      </c>
      <c r="Z204" s="3">
        <f>2795.7+(328.3-322.8)+(-4.277421+(-0.502299--0.493884))+0-551.5--0.843795000000032</f>
        <v>2246.257959</v>
      </c>
      <c r="AA204" s="3">
        <f>2801+(224-268.3)+(-5.71404+(-0.45696--0.547332))+0-564.5--1.15157999999998</f>
        <v>2187.7279119999998</v>
      </c>
      <c r="AB204" s="3">
        <f>2787.9+(190.8-251.9)+(0+(0-0))+0-644.9-0</f>
        <v>2081.9</v>
      </c>
      <c r="AC204" s="3">
        <f>2766.9+(219.7-393.3)+(-5.644476+(-0.448188--0.802332))+0-635.6--1.29662399999997</f>
        <v>1953.7062920000003</v>
      </c>
      <c r="AD204">
        <v>2316.1999999999998</v>
      </c>
      <c r="AE204" s="3">
        <f>2727+(419.6-155.8)+(0+(0-0))+0-674.6-0</f>
        <v>2316.2000000000003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2736.3+(407.3-644.4)+(0+(0-0))+0-636-0</f>
        <v>1863.2000000000003</v>
      </c>
      <c r="G205" s="3">
        <f>2700.1+(467.2-752.3)+(-4.131153+(-0.714816--1.151019))+0-625.5--0.957015000000036</f>
        <v>1786.7620649999999</v>
      </c>
      <c r="H205" s="3">
        <f>2556.2+(274.8-513.7)+(2.607324+(0.280296-0.523974))+0-582.5-0.594150000000093</f>
        <v>1736.5694959999994</v>
      </c>
      <c r="I205" s="3">
        <f>2539.8+(263.9-571.7)+(-3.885894+(-0.403767--0.874701))+0-508.3--0.777699000000029</f>
        <v>1721.062739</v>
      </c>
      <c r="J205" s="3">
        <f>2532.5+(336.4-444.1)+(0+(0-0))+0-686.8-0</f>
        <v>1738.0000000000002</v>
      </c>
      <c r="K205" s="3">
        <f>2544.6+(301.5-375.9)+(-3.893238+(-0.461295--0.575127))+0-731.1--1.11858300000004</f>
        <v>1736.4391769999997</v>
      </c>
      <c r="L205" s="3">
        <f>2542.5+(357.9-427)+(-2.59335+(-0.365058--0.43554))+0-666.4--0.679728000000106</f>
        <v>1805.1568600000001</v>
      </c>
      <c r="M205" s="3">
        <f>2535.5+(308.7-441.5)+(2.58621+(0.314874-0.45033))+0-392-0.399840000000062</f>
        <v>2012.7509139999997</v>
      </c>
      <c r="N205" s="3">
        <f>2553.1+(257.8-334.5)+(-1.302081+(-0.131478--0.170595))+0-357--0.182069999999964</f>
        <v>2118.3191059999999</v>
      </c>
      <c r="O205" s="3">
        <f>2578.3+(272.9-346.8)+(0+(0-0))+0-245.8-0</f>
        <v>2258.6</v>
      </c>
      <c r="P205" s="3">
        <f>2691+(353.1-267.2)+(-1.37241+(-0.180081--0.136272))+0-413.1--0.210680999999958</f>
        <v>2362.594462</v>
      </c>
      <c r="Q205" s="3">
        <f>2678.3+(382.5-185.8)+(-4.097799+(-0.585225--0.284274))+0-541.2--0.828036000000031</f>
        <v>2330.2292859999998</v>
      </c>
      <c r="R205" s="3">
        <f>2661.5+(411.3-396.2)+(-5.42946+(-0.839052--0.808248))+0-506--1.03223999999998</f>
        <v>2166.1719760000001</v>
      </c>
      <c r="S205" s="3">
        <f>2656+(544.9-468.8)+(-2.70912+(-0.555798--0.478176))+0-585.4--0.597108000000093</f>
        <v>2144.510366</v>
      </c>
      <c r="T205" s="3">
        <f>2651.7+(546.1-474.9)+(-2.704734+(-0.557022--0.484398))+0-539.9--0.550698000000086</f>
        <v>2180.7733399999997</v>
      </c>
      <c r="U205" s="3">
        <f>2640.8+(462-374.7)+(-5.387232+(-0.94248--0.764388))+0-569.5--1.16177999999998</f>
        <v>2154.1964560000001</v>
      </c>
      <c r="V205" s="3">
        <f>2592.5+(473-317.5)+(-3.966525+(-0.72369--0.485775))+0-585--0.895050000000034</f>
        <v>2159.6906100000001</v>
      </c>
      <c r="W205" s="3">
        <f>2669.1+(468.1-317.5)+(0+(0-0))+0-485-0</f>
        <v>2334.6999999999998</v>
      </c>
      <c r="X205" s="3">
        <f>2747+(429.6-146.8)+(-4.20291+(-0.657288--0.224604))+0-564--0.862920000000033</f>
        <v>2462.0273260000004</v>
      </c>
      <c r="Y205" s="3">
        <f>2748.4+(382.5-224.4)+(-2.803368+(-0.39015--0.228888))+0-512.6--0.522852000000082</f>
        <v>2391.4582220000002</v>
      </c>
      <c r="Z205" s="3">
        <f>2740+(407.3-226.8)+(-5.5896+(-0.830892--0.462672))+0-633.8--1.29295199999997</f>
        <v>2282.035132</v>
      </c>
      <c r="AA205" s="3">
        <f>2674.7+(389.6-352.3)+(-4.092291+(-0.596088--0.539019))+0-502.3--0.768519000000029</f>
        <v>2206.3191590000001</v>
      </c>
      <c r="AB205" s="3">
        <f>2627.5+(514-439.6)+(-6.700125+(-1.3107--1.12098))+0-467.3--1.19161499999993</f>
        <v>2228.9017699999995</v>
      </c>
      <c r="AC205" s="3">
        <f>2501.4+(531.7-557.3)+(-6.37857+(-1.355835--1.421115))+0-412--1.05059999999994</f>
        <v>2058.5373100000002</v>
      </c>
      <c r="AD205">
        <v>2425.8999999999996</v>
      </c>
      <c r="AE205" s="3">
        <f>2738+(436.2-125.5)+(0+(0-0))+0-622.8-0</f>
        <v>2425.8999999999996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2450.4+(759.5-696.6)+(-4.998816+(-1.54938--1.421064))+0-637.5--1.30049999999997</f>
        <v>1871.9733680000002</v>
      </c>
      <c r="G206" s="3">
        <f>2340.1+(835.7-770.3)+(-3.580353+(-1.278621--1.178559))+0-614.9--0.940797000000036</f>
        <v>1787.8603820000001</v>
      </c>
      <c r="H206" s="3">
        <f>2317.5+(701.4-845)+(-3.545775+(-1.073142--1.29285))+0-407--0.622710000000024</f>
        <v>1764.1966430000002</v>
      </c>
      <c r="I206" s="3">
        <f>2326.1+(729.2-678.7)+(-3.558933+(-1.115676--1.038411))+0-629.2--0.962676000000036</f>
        <v>1744.7264779999998</v>
      </c>
      <c r="J206" s="3">
        <f>2318.3+(754.7-616.3)+(2.364666+(0.769794-0.628626))+0-718.1-0.732462000000115</f>
        <v>1740.3733720000002</v>
      </c>
      <c r="K206" s="3">
        <f>2199.1+(669-509.8)+(-2.243082+(-0.68238--0.519996))+0-635.8--0.648516000000101</f>
        <v>1720.7430499999998</v>
      </c>
      <c r="L206" s="3">
        <f>2099+(655.1-406)+(-2.14098+(-0.668202--0.41412))+0-582.5--0.594150000000093</f>
        <v>1763.799088</v>
      </c>
      <c r="M206" s="3">
        <f>2117.5+(646.9-233)+(1.079925+(0.329919-0.11883))+0-571.2-0.291311999999942</f>
        <v>1961.1997020000001</v>
      </c>
      <c r="N206" s="3">
        <f>2346+(584.3-388.5)+(0+(0-0))+0-374.7-0</f>
        <v>2167.1000000000004</v>
      </c>
      <c r="O206" s="3">
        <f>2476+(681.1-326.9)+(-1.26276+(-0.347361--0.166719))+0-567.4--0.289373999999942</f>
        <v>2261.6459719999998</v>
      </c>
      <c r="P206" s="3">
        <f>2571.5+(545.6-367.1)+(-2.62293+(-0.556512--0.374442))+0-432.8--0.441456000000069</f>
        <v>2314.836456</v>
      </c>
      <c r="Q206" s="3">
        <f>2556.5+(497.2-248.2)+(-2.60763+(-0.507144--0.253164))+0-470--0.479400000000075</f>
        <v>2333.1177900000002</v>
      </c>
      <c r="R206" s="3">
        <f>2547.5+(475.3-399)+(-6.496125+(-1.212015--1.01745))+0-459.6--1.17197999999993</f>
        <v>2158.6812900000004</v>
      </c>
      <c r="S206" s="3">
        <f>2525.8+(579.1-465.1)+(-1.288158+(-0.295341--0.237201))+0-508.1--0.259130999999948</f>
        <v>2130.6128330000001</v>
      </c>
      <c r="T206" s="3">
        <f>2514.8+(620.1-457.8)+(-3.847644+(-0.948753--0.700434))+0-485.1--0.742203000000028</f>
        <v>2188.6462400000005</v>
      </c>
      <c r="U206" s="3">
        <f>2519.1+(508-230.3)+(-5.138964+(-1.03632--0.469812))+0-626.4--1.27785599999997</f>
        <v>2165.9723839999997</v>
      </c>
      <c r="V206" s="3">
        <f>2469+(353.1-285.9)+(-3.77757+(-0.540243--0.437427))+0-386--0.590580000000022</f>
        <v>2146.910194</v>
      </c>
      <c r="W206" s="3">
        <f>2523.5+(465.1-81.4)+(-1.286985+(-0.237201--0.041514))+0-600.8--0.306407999999939</f>
        <v>2305.2237359999995</v>
      </c>
      <c r="X206" s="3">
        <f>2591.7+(357.8-54.8)+(0+(0-0))+0-441.7-0</f>
        <v>2453</v>
      </c>
      <c r="Y206" s="3">
        <f>2629.2+(301.6-73.1)+(-6.70446+(-0.76908--0.186405))+0-496.7--1.26658499999993</f>
        <v>2354.9794499999998</v>
      </c>
      <c r="Z206" s="3">
        <f>2623.3+(385.2-137.9)+(-1.337883+(-0.196452--0.070329))+0-618.9--0.315638999999937</f>
        <v>2250.551633</v>
      </c>
      <c r="AA206" s="3">
        <f>2514.6+(418.2-171)+(-5.129784+(-0.853128--0.34884))+0-565.3--1.15321199999998</f>
        <v>2192.0191400000003</v>
      </c>
      <c r="AB206" s="3">
        <f>2490.4+(443.1-158.3)+(-3.810312+(-0.677943--0.242199))+0-697.2--1.06671600000004</f>
        <v>2074.8206599999999</v>
      </c>
      <c r="AC206" s="3">
        <f>2472.2+(459.8-324)+(-6.30411+(-1.17249--0.8262))+0-616--1.57079999999991</f>
        <v>1986.9204</v>
      </c>
      <c r="AD206">
        <v>2332.0000000000005</v>
      </c>
      <c r="AE206" s="3">
        <f>2628+(310.8-164.2)+(0+(0-0))+0-442.6-0</f>
        <v>2332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2390.1+(702.5-487.8)+(0+(0-0))+0-713.2-0</f>
        <v>1891.5999999999997</v>
      </c>
      <c r="G207" s="3">
        <f>2275.9+(740.6-666.4)+(0+(0-0))+0-550.2-0</f>
        <v>1799.9000000000003</v>
      </c>
      <c r="H207" s="3">
        <f>2171.9+(845.5-582.2)+(1.107669+(0.431205-0.296922))+0-678.3-0.345932999999931</f>
        <v>1757.7960189999999</v>
      </c>
      <c r="I207" s="3">
        <f>2170.8+(830.3-573.8)+(-2.214216+(-0.846906--0.585276))+0-677.7--0.691254000000108</f>
        <v>1747.8154080000004</v>
      </c>
      <c r="J207" s="3">
        <f>2122.6+(842.5-437.5)+(0+(0-0))+0-774.1-0</f>
        <v>1753.5</v>
      </c>
      <c r="K207" s="3">
        <f>2040.4+(781.8-414.7)+(-5.20302+(-1.99359--1.057485))+0-640.5--1.63327499999991</f>
        <v>1762.4941499999998</v>
      </c>
      <c r="L207" s="3">
        <f>1878.1+(814.4-301.7)+(-1.915662+(-0.830688--0.307734))+0-640.4--0.653208000000102</f>
        <v>1748.6145920000004</v>
      </c>
      <c r="M207" s="3">
        <f>1916.3+(614.2-278.2)+(2.931939+(0.939726-0.425646))+0-350.1-0.53565300000002</f>
        <v>1905.1103660000003</v>
      </c>
      <c r="N207" s="3">
        <f>2294.4+(470.3-446.6)+(0+(0-0))+0-186.6-0</f>
        <v>2131.5</v>
      </c>
      <c r="O207" s="3">
        <f>2424.2+(456.9-428.1)+(-2.472684+(-0.466038--0.436662))+0-248.1--0.25306200000004</f>
        <v>2202.6510020000005</v>
      </c>
      <c r="P207" s="3">
        <f>2428.6+(496.9-238.2)+(2.477172+(0.506838-0.242964))+0-384-0.391680000000061</f>
        <v>2305.6493659999996</v>
      </c>
      <c r="Q207" s="3">
        <f>2345.7+(670.6-229.7)+(-3.588921+(-1.026018--0.351441))+0-443.6--0.678708000000026</f>
        <v>2339.4152100000001</v>
      </c>
      <c r="R207" s="3">
        <f>2329.5+(721.4-356.9)+(-1.188045+(-0.367914--0.182019))+0-565.9--0.288608999999943</f>
        <v>2127.0146689999997</v>
      </c>
      <c r="S207" s="3">
        <f>2290.2+(815.9-491.4)+(2.336004+(0.832218-0.501228))+0-521.7-0.532134000000083</f>
        <v>2095.1348600000001</v>
      </c>
      <c r="T207" s="3">
        <f>2279+(836.2-493.7)+(1.16229+(0.426462-0.251787))+0-531-0.270809999999946</f>
        <v>2091.566155</v>
      </c>
      <c r="U207" s="3">
        <f>2274.1+(794.5-375.8)+(-5.798955+(-2.025975--0.95829))+0-636.6--1.62332999999991</f>
        <v>2050.9566899999995</v>
      </c>
      <c r="V207" s="3">
        <f>2274.4+(642.1-323.3)+(-1.159944+(-0.327471--0.164883))+0-578.4--0.294983999999941</f>
        <v>2013.7724519999999</v>
      </c>
      <c r="W207" s="3">
        <f>2366.2+(516.4-84.6)+(0+(0-0))+0-667.5-0</f>
        <v>2130.5</v>
      </c>
      <c r="X207" s="3">
        <f>2474.7+(486.6-30.6)+(-3.786291+(-0.744498--0.046818))+0-603.6--0.923508000000035</f>
        <v>2323.5395369999997</v>
      </c>
      <c r="Y207" s="3">
        <f>2487.7+(364.3-80.8)+(-5.074908+(-0.743172--0.164832))+0-507.2--1.03468799999998</f>
        <v>2259.3814400000001</v>
      </c>
      <c r="Z207" s="3">
        <f>2437.6+(283.8-294)+(-6.21588+(-0.72369--0.7497))+0-234.6--0.598229999999966</f>
        <v>2187.2083600000001</v>
      </c>
      <c r="AA207" s="3">
        <f>2429.7+(510.8-278.6)+(-2.478294+(-0.521016--0.284172))+0-526.1--0.536622000000084</f>
        <v>2133.6214839999998</v>
      </c>
      <c r="AB207" s="3">
        <f>2412.9+(715.7-359.7)+(-1.230579+(-0.365007--0.183447))+0-704.2--0.359141999999929</f>
        <v>2063.6470029999996</v>
      </c>
      <c r="AC207" s="3">
        <f>2380.4+(741.6-571.4)+(-1.214004+(-0.378216--0.291414))+0-589.2--0.30049199999994</f>
        <v>1960.399686</v>
      </c>
      <c r="AD207">
        <v>2281.4</v>
      </c>
      <c r="AE207" s="3">
        <f>2430+(503.1-45.1)+(0+(0-0))+0-606.6-0</f>
        <v>2281.4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2129.9+(819.8-772.3)+(0+(0-0))+0-322.9-0</f>
        <v>1854.5</v>
      </c>
      <c r="G208" s="3">
        <f>2055.6+(931.3-768.7)+(0+(0-0))+0-457-0</f>
        <v>1761.1999999999998</v>
      </c>
      <c r="H208" s="3">
        <f>1983.5+(942.1-711.5)+(1.011585+(0.480471-0.362865))+0-509.3-0.259742999999948</f>
        <v>1705.6694480000001</v>
      </c>
      <c r="I208" s="3">
        <f>1995.8+(937-714.9)+(0+(0-0))+0-541.4-0</f>
        <v>1676.5</v>
      </c>
      <c r="J208" s="3">
        <f>1995.4+(837.1-678.9)+(2.035308+(0.853842-0.692478))+0-489.9-0.499698000000078</f>
        <v>1665.3969740000002</v>
      </c>
      <c r="K208" s="3">
        <f>1932.3+(746.8-616.3)+(-1.970946+(-0.761736--0.628626))+0-401.5--0.409530000000064</f>
        <v>1659.6054740000002</v>
      </c>
      <c r="L208" s="3">
        <f>1789+(839-452.5)+(-1.82478+(-0.85578--0.46155))+0-598.1--0.610062000000095</f>
        <v>1575.7910520000005</v>
      </c>
      <c r="M208" s="3">
        <f>1697.3+(852.8-472.4)+(2.596869+(1.304784-0.722772))+0-442.6-0.677178000000026</f>
        <v>1637.6017029999998</v>
      </c>
      <c r="N208" s="3">
        <f>1708.4+(919.6-405.5)+(0.871284+(0.468996-0.206805))+0-491.7-0.25076699999995</f>
        <v>1731.682708</v>
      </c>
      <c r="O208" s="3">
        <f>2220.5+(529.7-453.1)+(-2.26491+(-0.540294--0.462162))+0-468.9--0.478278000000075</f>
        <v>1826.3352359999999</v>
      </c>
      <c r="P208" s="3">
        <f>2269+(587.7-385)+(0+(0-0))+0-585.4-0</f>
        <v>1886.2999999999997</v>
      </c>
      <c r="Q208" s="3">
        <f>2270.7+(448.6-357.4)+(-5.790285+(-1.14393--0.91137))+0-458.7--1.16968499999993</f>
        <v>1898.3468399999995</v>
      </c>
      <c r="R208" s="3">
        <f>2263.4+(440.5-565.1)+(-3.463002+(-0.673965--0.864603))+0-280.1--0.428553000000016</f>
        <v>1855.8561890000003</v>
      </c>
      <c r="S208" s="3">
        <f>2255.7+(649.9-581.1)+(2.300814+(0.662898-0.592722))+0-506.4-0.516528000000081</f>
        <v>1819.9544619999997</v>
      </c>
      <c r="T208" s="3">
        <f>2259.6+(761.3-734.4)+(-6.914376+(-2.329578--2.247264))+0-485.4--1.48532400000006</f>
        <v>1795.588634</v>
      </c>
      <c r="U208" s="3">
        <f>2255+(646-673.1)+(0+(0-0))+0-465.8-0</f>
        <v>1762.1000000000001</v>
      </c>
      <c r="V208" s="3">
        <f>2252.6+(491.5-550.2)+(0+(0-0))+0-539.1-0</f>
        <v>1654.7999999999997</v>
      </c>
      <c r="W208" s="3">
        <f>2353.4+(408-434.2)+(1.200234+(0.20808-0.221442))+0-489.8-0.24979799999995</f>
        <v>1838.3370740000005</v>
      </c>
      <c r="X208" s="3">
        <f>2444.6+(435.8-246.6)+(-3.740238+(-0.666774--0.377298))+0-538.3--0.823599000000031</f>
        <v>2092.2938849999996</v>
      </c>
      <c r="Y208" s="3">
        <f>2449.9+(457.7-268.1)+(-3.748347+(-0.700281--0.410193))+0-551.6--0.843948000000032</f>
        <v>2084.7055130000003</v>
      </c>
      <c r="Z208" s="3">
        <f>2457.9+(516.1-426.9)+(1.253529+(0.263211-0.217719))+0-486.9-0.248318999999951</f>
        <v>2061.2507020000003</v>
      </c>
      <c r="AA208" s="3">
        <f>2453.9+(694.1-463.2)+(0+(0-0))+0-683.3-0</f>
        <v>2001.5000000000002</v>
      </c>
      <c r="AB208" s="3">
        <f>2443.7+(700.8-517.1)+(-3.738861+(-1.072224--0.791163))+0-666.8--1.02020400000004</f>
        <v>1957.6002819999999</v>
      </c>
      <c r="AC208" s="3">
        <f>2346.5+(902.1-767.7)+(-5.983575+(-2.300355--1.957635))+0-636.5--1.62307499999991</f>
        <v>1839.6967800000002</v>
      </c>
      <c r="AD208">
        <v>2123.2999999999997</v>
      </c>
      <c r="AE208" s="3">
        <f>2443+(426.9-310.3)+(0+(0-0))+0-436.3-0</f>
        <v>2123.2999999999997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2137.2+(731.5-572.2)+(-5.44986+(-1.865325--1.45911))+0-627.1--1.59910499999991</f>
        <v>1665.14303</v>
      </c>
      <c r="G209" s="3">
        <f>2079.8+(767.3-619.3)+(-4.242792+(-1.565292--1.263372))+0-599.2--1.22236799999997</f>
        <v>1625.2776560000002</v>
      </c>
      <c r="H209" s="3">
        <f>2088.3+(855-666.3)+(-3.195099+(-1.30815--1.019439))+0-659.7--1.00934100000004</f>
        <v>1614.8255309999997</v>
      </c>
      <c r="I209" s="3">
        <f>1961.5+(912.9-709.1)+(0+(0-0))+0-593.2-0</f>
        <v>1572.1000000000001</v>
      </c>
      <c r="J209" s="3">
        <f>1939.8+(956.7-641.8)+(-2.967894+(-1.463751--0.981954))+0-678.2--1.03764600000004</f>
        <v>1574.087955</v>
      </c>
      <c r="K209" s="3">
        <f>1948.8+(820.3-615.7)+(-2.981664+(-1.255059--0.942021))+0-591.5--0.904995000000034</f>
        <v>1559.5102929999996</v>
      </c>
      <c r="L209" s="3">
        <f>1950+(781.2-512.6)+(0+(0-0))+0-549.4-0</f>
        <v>1669.1999999999998</v>
      </c>
      <c r="M209" s="3">
        <f>1979.1+(623.7-344.8)+(1.009341+(0.318087-0.175848))+0-385.5-0.196604999999961</f>
        <v>1873.4549750000003</v>
      </c>
      <c r="N209" s="3">
        <f>2447.3+(506.7-184.1)+(1.248123+(0.258417-0.093891))+0-519.3-0.264842999999947</f>
        <v>2251.7478060000003</v>
      </c>
      <c r="O209" s="3">
        <f>2549.2+(487-269.6)+(2.600184+(0.49674-0.274992))+0-560.4-0.571608000000089</f>
        <v>2208.4503239999995</v>
      </c>
      <c r="P209" s="3">
        <f>2544.2+(350.2-96.9)+(-1.297542+(-0.178602--0.049419))+0-450.8--0.229907999999954</f>
        <v>2345.5031829999998</v>
      </c>
      <c r="Q209" s="3">
        <f>2523.3+(258.1-85.8)+(-2.573766+(-0.263262--0.087516))+0-376.3--0.38382600000006</f>
        <v>2316.9343140000005</v>
      </c>
      <c r="R209" s="3">
        <f>2515.2+(292.7-250.9)+(0+(0-0))+0-424.5-0</f>
        <v>2132.5</v>
      </c>
      <c r="S209" s="3">
        <f>2505.4+(374.7-322.8)+(-1.277754+(-0.191097--0.164628))+0-440.9--0.224858999999955</f>
        <v>2115.3206359999999</v>
      </c>
      <c r="T209" s="3">
        <f>2498.5+(377.5-232.7)+(0+(0-0))+0-486.5-0</f>
        <v>2156.8000000000002</v>
      </c>
      <c r="U209" s="3">
        <f>2510.2+(301.5-165.7)+(-3.840606+(-0.461295--0.253521))+0-494.8--0.757044000000029</f>
        <v>2147.9086639999996</v>
      </c>
      <c r="V209" s="3">
        <f>2490.5+(438.2-368.5)+(-3.810465+(-0.670446--0.563805))+0-460.2--0.704106000000027</f>
        <v>2096.7870000000003</v>
      </c>
      <c r="W209" s="3">
        <f>2511.2+(379-272.7)+(0+(0-0))+0-373.3-0</f>
        <v>2244.1999999999998</v>
      </c>
      <c r="X209" s="3">
        <f>2575.5+(512.5-233.4)+(-5.25402+(-1.0455--0.476136))+0-464.8--0.94819199999998</f>
        <v>2384.9248079999998</v>
      </c>
      <c r="Y209" s="3">
        <f>2583.8+(459-58)+(0+(0-0))+0-672.1-0</f>
        <v>2312.7000000000003</v>
      </c>
      <c r="Z209" s="3">
        <f>2590.6+(371.5-260.9)+(-5.284824+(-0.75786--0.532236))+0-463.2--0.94492799999998</f>
        <v>2233.4344799999999</v>
      </c>
      <c r="AA209" s="3">
        <f>2592.3+(540-399.6)+(-1.322073+(-0.2754--0.203796))+0-547.6--0.279275999999944</f>
        <v>2183.9855990000001</v>
      </c>
      <c r="AB209" s="3">
        <f>2609.2+(646.4-692.2)+(-6.65346+(-1.64832--1.76511))+0-478.1--1.21915499999993</f>
        <v>2079.9824849999995</v>
      </c>
      <c r="AC209" s="3">
        <f>2564.4+(807.9-777.7)+(-1.307844+(-0.412029--0.396627))+0-628.3--0.320432999999936</f>
        <v>1965.2971869999999</v>
      </c>
      <c r="AD209">
        <v>2371.6</v>
      </c>
      <c r="AE209" s="3">
        <f>2563+(554.1-178)+(0+(0-0))+0-567.5-0</f>
        <v>2371.6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2500.4+(928.6-955.3)+(-6.37602+(-2.36793--2.436015))+0-627.5--1.60012499999991</f>
        <v>1841.4921900000004</v>
      </c>
      <c r="G210" s="3">
        <f>2521.3+(670.5-1021.3)+(-1.285863+(-0.341955--0.520863))+0-386.1--0.196910999999961</f>
        <v>1783.4899559999999</v>
      </c>
      <c r="H210" s="3">
        <f>2413.1+(658.3-1012.7)+(-3.692043+(-1.007199--1.549431))+0-327--0.500310000000019</f>
        <v>1729.0504989999997</v>
      </c>
      <c r="I210" s="3">
        <f>2160.1+(799.1-697.3)+(-1.101651+(-0.407541--0.355623))+0-540.3--0.275552999999945</f>
        <v>1720.721984</v>
      </c>
      <c r="J210" s="3">
        <f>2161.2+(839.8-777.3)+(0+(0-0))+0-499.8-0</f>
        <v>1723.8999999999999</v>
      </c>
      <c r="K210" s="3">
        <f>2146.5+(822.2-698.1)+(-3.284145+(-1.257966--1.068093))+0-537.2--0.821916000000031</f>
        <v>1730.7478980000001</v>
      </c>
      <c r="L210" s="3">
        <f>2114.9+(719.3-702)+(0+(0-0))+0-401.7-0</f>
        <v>1730.4999999999998</v>
      </c>
      <c r="M210" s="3">
        <f>2113.4+(590.8-526.5)+(1.077834+(0.301308-0.268515))+0-241-0.122909999999976</f>
        <v>1937.6877169999998</v>
      </c>
      <c r="N210" s="3">
        <f>2138.6+(684-400.8)+(1.090686+(0.34884-0.204408))+0-274.7-0.140096999999972</f>
        <v>2148.195021</v>
      </c>
      <c r="O210" s="3">
        <f>2326.1+(615.4-235.2)+(0+(0-0))+0-480.7-0</f>
        <v>2225.6</v>
      </c>
      <c r="P210" s="3">
        <f>2479.2+(389.1-157)+(-1.264392+(-0.198441--0.08007))+0-425--0.216749999999957</f>
        <v>2285.1339869999997</v>
      </c>
      <c r="Q210" s="3">
        <f>2464.2+(527.9-120.9)+(2.513484+(0.538458-0.123318))+0-555.1-0.566202000000089</f>
        <v>2318.4624220000001</v>
      </c>
      <c r="R210" s="3">
        <f>2467+(451.9-350.3)+(-6.29085+(-1.152345--0.893265))+0-448.4--1.14341999999993</f>
        <v>2114.7934899999996</v>
      </c>
      <c r="S210" s="3">
        <f>2467.6+(764.1-581.9)+(0+(0-0))+0-514.3-0</f>
        <v>2135.5</v>
      </c>
      <c r="T210" s="3">
        <f>2446.3+(824.8-554.4)+(-2.495226+(-0.841296--0.565488))+0-552.3--0.563346000000088</f>
        <v>2162.1923120000001</v>
      </c>
      <c r="U210" s="3">
        <f>2445.7+(640.5-467.9)+(-6.236535+(-1.633275--1.193145))+0-457.9--1.16764499999993</f>
        <v>2154.8909799999997</v>
      </c>
      <c r="V210" s="3">
        <f>2434+(547.4-359.4)+(-6.2067+(-1.39587--0.91647))+0-493--1.25714999999993</f>
        <v>2123.57105</v>
      </c>
      <c r="W210" s="3">
        <f>2471.2+(331.7-214.7)+(2.520624+(0.338334-0.218994))+0-293.3-0.299166000000047</f>
        <v>2297.2407979999994</v>
      </c>
      <c r="X210" s="3">
        <f>2522.8+(546.2-200.1)+(-2.573256+(-0.557124--0.204102))+0-444.8--0.453696000000071</f>
        <v>2421.627418</v>
      </c>
      <c r="Y210" s="3">
        <f>2543.2+(432-190.5)+(0+(0-0))+0-439.6-0</f>
        <v>2345.1</v>
      </c>
      <c r="Z210" s="3">
        <f>2544.1+(450.6-261.2)+(-1.297491+(-0.229806--0.133212))+0-466.6--0.237965999999953</f>
        <v>2265.7438810000003</v>
      </c>
      <c r="AA210" s="3">
        <f>2555+(634.2-630.4)+(-5.2122+(-1.293768--1.286016))+0-363.7--0.741947999999984</f>
        <v>2190.6219960000003</v>
      </c>
      <c r="AB210" s="3">
        <f>2572.9+(884.5-874.9)+(-5.248716+(-1.80438--1.784796))+0-483.1--0.985523999999979</f>
        <v>2095.1172240000001</v>
      </c>
      <c r="AC210" s="3">
        <f>2538.9+(997.9-1038.3)+(-7.769034+(-3.053574--3.177198))+0-529--1.61874000000006</f>
        <v>1963.47333</v>
      </c>
      <c r="AD210">
        <v>2445.3000000000002</v>
      </c>
      <c r="AE210" s="3">
        <f>2515+(584-164.2)+(0+(0-0))+0-489.5-0</f>
        <v>2445.3000000000002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2544.6+(807-998.4)+(-6.48873+(-2.05785--2.54592))+0-525.8--1.34078999999992</f>
        <v>1822.7401299999997</v>
      </c>
      <c r="G211" s="3">
        <f>2549.6+(797.9-943.7)+(3.900888+(1.220787-1.443861))+0-634.1-0.970173000000037</f>
        <v>1772.407641</v>
      </c>
      <c r="H211" s="3">
        <f>2591.9+(781.2-965.3)+(-6.609345+(-1.99206--2.461515))+0-673.6--1.7176799999999</f>
        <v>1729.7777900000003</v>
      </c>
      <c r="I211" s="3">
        <f>2518.3+(579.2-981.8)+(-3.852999+(-0.886176--1.502154))+0-397.3--0.607869000000023</f>
        <v>1715.7708480000003</v>
      </c>
      <c r="J211" s="3">
        <f>2452.5+(750.9-800.2)+(-1.250775+(-0.382959--0.408102))+0-670.6--0.342005999999932</f>
        <v>1731.7163739999996</v>
      </c>
      <c r="K211" s="3">
        <f>2339.5+(782.5-721.7)+(1.193145+(0.399075-0.368067))+0-667.4-0.340373999999932</f>
        <v>1733.7837790000003</v>
      </c>
      <c r="L211" s="3">
        <f>2320.4+(670.8-640.9)+(0+(0-0))+0-588.3-0</f>
        <v>1762.0000000000002</v>
      </c>
      <c r="M211" s="3">
        <f>2360.4+(581.4-486.5)+(1.203804+(0.296514-0.248115))+0-526.3-0.268412999999947</f>
        <v>1929.9837900000002</v>
      </c>
      <c r="N211" s="3">
        <f>2483.8+(630.6-357.5)+(1.266738+(0.321606-0.182325))+0-623.7-0.318086999999937</f>
        <v>2134.2879319999997</v>
      </c>
      <c r="O211" s="3">
        <f>2516.1+(516.4-397.8)+(-3.849633+(-0.790092--0.608634))+0-472.9--0.723537000000027</f>
        <v>2158.4924459999997</v>
      </c>
      <c r="P211" s="3">
        <f>2533.6+(438.7-205)+(2.584272+(0.447474-0.2091))+0-579.3-0.590886000000092</f>
        <v>2190.2317599999997</v>
      </c>
      <c r="Q211" s="3">
        <f>2517+(404.2-160.9)+(0+(0-0))+0-542.1-0</f>
        <v>2218.2000000000003</v>
      </c>
      <c r="R211" s="3">
        <f>2495.4+(503.1-304.7)+(-1.272654+(-0.256581--0.155397))+0-526.2--0.268361999999947</f>
        <v>2166.4945239999997</v>
      </c>
      <c r="S211" s="3">
        <f>2490.9+(671.4-442.9)+(-1.270359+(-0.342414--0.225879))+0-588.7--0.30023699999994</f>
        <v>2129.6133429999995</v>
      </c>
      <c r="T211" s="3">
        <f>2491.7+(603-430.3)+(1.270767+(0.30753-0.219453))+0-517.4-0.263873999999947</f>
        <v>2148.0949699999996</v>
      </c>
      <c r="U211" s="3">
        <f>2518.3+(541.2-384.4)+(0+(0-0))+0-532.1-0</f>
        <v>2143.0000000000005</v>
      </c>
      <c r="V211" s="3">
        <f>2529.1+(361.6-311.8)+(-5.159364+(-0.737664--0.636072))+0-532.9--1.08711599999998</f>
        <v>2041.8261599999998</v>
      </c>
      <c r="W211" s="3">
        <f>2558.9+(423.9-101.1)+(3.915117+(0.648567-0.154683))+0-575.4-0.880362000000033</f>
        <v>2309.8286389999998</v>
      </c>
      <c r="X211" s="3">
        <f>2610.2+(537.5-158.9)+(-7.987212+(-1.64475--0.486234))+0-523.9--1.60313400000006</f>
        <v>2457.3574059999996</v>
      </c>
      <c r="Y211" s="3">
        <f>2606.3+(416.8-181)+(1.329213+(0.212568-0.09231))+0-464.8-0.237047999999953</f>
        <v>2378.5124230000001</v>
      </c>
      <c r="Z211" s="3">
        <f>2603.6+(567.2-277.8)+(-1.327836+(-0.289272--0.141678))+0-583.9--0.297788999999941</f>
        <v>2307.9223589999997</v>
      </c>
      <c r="AA211" s="3">
        <f>2626.9+(620-440)+(-4.019157+(-0.9486--0.6732))+0-616.8--0.943704000000036</f>
        <v>2186.7491470000004</v>
      </c>
      <c r="AB211" s="3">
        <f>2630.4+(386.7-488.9)+(-5.366016+(-0.788868--0.997356))+0-494.1--1.00796399999998</f>
        <v>2029.9504360000001</v>
      </c>
      <c r="AC211" s="3">
        <f>2570.7+(608.5-497.5)+(-2.622114+(-0.62067--0.50745))+0-711.7--0.725934000000114</f>
        <v>1967.9905999999999</v>
      </c>
      <c r="AD211">
        <v>2552.8000000000002</v>
      </c>
      <c r="AE211" s="3">
        <f>2614+(665.5-145.7)+(0+(0-0))+0-581-0</f>
        <v>2552.8000000000002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2559.5+(564.5-680.8)+(-6.526725+(-1.439475--1.73604))+0-618--1.57589999999991</f>
        <v>1820.5457399999996</v>
      </c>
      <c r="G212" s="3">
        <f>2535.7+(646-737.2)+(-1.293207+(-0.32946--0.375972))+0-690.7--0.35225699999993</f>
        <v>1752.9055620000001</v>
      </c>
      <c r="H212" s="3">
        <f>2410.1+(745-820.8)+(2.458302+(0.7599-0.837216))+0-612.9-0.625158000000098</f>
        <v>1723.1558280000002</v>
      </c>
      <c r="I212" s="3">
        <f>2374.3+(816.3-795.9)+(-4.843572+(-1.665252--1.623636))+0-689.6--1.40678399999997</f>
        <v>1701.6215960000002</v>
      </c>
      <c r="J212" s="3">
        <f>2303.3+(797.4-693)+(1.174683+(0.406674-0.35343))+0-695.4-0.354653999999929</f>
        <v>1713.1732730000001</v>
      </c>
      <c r="K212" s="3">
        <f>2291.9+(776.3-649.1)+(-2.337738+(-0.791826--0.662082))+0-685.6--0.699312000000109</f>
        <v>1731.7318300000002</v>
      </c>
      <c r="L212" s="3">
        <f>2299.6+(704.7-623)+(-3.518388+(-1.078191--0.95319))+0-632.1--0.967113000000037</f>
        <v>1746.5237240000004</v>
      </c>
      <c r="M212" s="3">
        <f>2300.5+(540.5-384.1)+(2.34651+(0.55131-0.391782))+0-535.2-0.545904000000085</f>
        <v>1923.660134</v>
      </c>
      <c r="N212" s="3">
        <f>2410.6+(487.2-531.7)+(0+(0-0))+0-316.9-0</f>
        <v>2049.1999999999998</v>
      </c>
      <c r="O212" s="3">
        <f>2559.9+(498-395.5)+(-1.305549+(-0.25398--0.201705))+0-464.5--0.236894999999953</f>
        <v>2196.7790709999999</v>
      </c>
      <c r="P212" s="3">
        <f>2553.6+(507.2-247.7)+(1.302336+(0.258672-0.126327))+0-521.4-0.265913999999947</f>
        <v>2292.8687669999999</v>
      </c>
      <c r="Q212" s="3">
        <f>2544.5+(407.5-146.4)+(-6.488475+(-1.039125--0.37332))+0-492.5--1.25587499999993</f>
        <v>2307.2015949999995</v>
      </c>
      <c r="R212" s="3">
        <f>2542+(315-315)+(-1.29642+(-0.16065--0.16065))+0-412--0.210119999999958</f>
        <v>2128.9136999999996</v>
      </c>
      <c r="S212" s="3">
        <f>2542+(569-407)+(0+(0-0))+0-593-0</f>
        <v>2111</v>
      </c>
      <c r="T212" s="3">
        <f>2518.5+(690.7-477.7)+(-3.853305+(-1.056771--0.730881))+0-556.6--0.851598000000032</f>
        <v>2171.5724030000001</v>
      </c>
      <c r="U212" s="3">
        <f>2515.2+(569-314)+(0+(0-0))+0-535-0</f>
        <v>2235.1999999999998</v>
      </c>
      <c r="V212" s="3">
        <f>2529.2+(422.6-293.2)+(-7.739352+(-1.293156--0.897192))+0-528.5--1.61721000000006</f>
        <v>2123.5818939999999</v>
      </c>
      <c r="W212" s="3">
        <f>2556.9+(496.2-132.9)+(2.608038+(0.506124-0.135558))+0-605.8-0.617916000000097</f>
        <v>2316.7606879999994</v>
      </c>
      <c r="X212" s="3">
        <f>2591.4+(589-209)+(-7.929684+(-1.80234--0.63954))+0-507.2--1.55203200000006</f>
        <v>2456.6595480000005</v>
      </c>
      <c r="Y212" s="3">
        <f>2606.5+(473.6-174.9)+(-3.987945+(-0.724608--0.267597))+0-565--0.864450000000033</f>
        <v>2336.619494</v>
      </c>
      <c r="Z212" s="3">
        <f>2623+(378.6-192.8)+(-6.68865+(-0.96543--0.49164))+0-536.6--1.36832999999992</f>
        <v>2266.40589</v>
      </c>
      <c r="AA212" s="3">
        <f>2641.1+(345-197.1)+(-5.387844+(-0.7038--0.402084))+0-602.4--1.22889599999997</f>
        <v>2182.1393360000002</v>
      </c>
      <c r="AB212" s="3">
        <f>2639.4+(245.1-190.5)+(-1.346094+(-0.125001--0.097155))+0-622.1--0.317270999999937</f>
        <v>2070.843331</v>
      </c>
      <c r="AC212" s="3">
        <f>2596.1+(248.9-166.3)+(-1.324011+(-0.126939--0.084813))+0-721.5--0.367964999999927</f>
        <v>1956.2018279999998</v>
      </c>
      <c r="AD212">
        <v>2464.8999999999996</v>
      </c>
      <c r="AE212" s="3">
        <f>2584+(679.7-191)+(0+(0-0))+0-607.8-0</f>
        <v>2464.8999999999996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2554.7+(559.6-663.7)+(-3.908691+(-0.856188--1.015461))+0-652.7--0.998631000000038</f>
        <v>1795.1492129999999</v>
      </c>
      <c r="G213" s="3">
        <f>2344.8+(773.1-726.7)+(2.391696+(0.788562-0.741234))+0-685.2-0.698904000000109</f>
        <v>1707.7401199999999</v>
      </c>
      <c r="H213" s="3">
        <f>2235.3+(801.6-618.4)+(-1.140003+(-0.408816--0.315384))+0-693.9--0.35388899999993</f>
        <v>1723.7204539999998</v>
      </c>
      <c r="I213" s="3">
        <f>2237.8+(593.1-568.4)+(3.423834+(0.907443-0.869652))+0-650.8-0.995724000000038</f>
        <v>1614.1659009999998</v>
      </c>
      <c r="J213" s="3">
        <f>2242.3+(566.2-520.6)+(1.143573+(0.288762-0.265506))+0-686.5-0.35011499999993</f>
        <v>1602.2167139999999</v>
      </c>
      <c r="K213" s="3">
        <f>2249.6+(597.3-600.1)+(-4.589184+(-1.218492--1.224204))+0-563.5--1.14953999999998</f>
        <v>1679.8660679999998</v>
      </c>
      <c r="L213" s="3">
        <f>2252.4+(717.5-557.1)+(-4.594896+(-1.4637--1.136484))+0-677.7--1.38250799999997</f>
        <v>1731.5603959999999</v>
      </c>
      <c r="M213" s="3">
        <f>2355.8+(595.6-480.5)+(1.201458+(0.303756-0.245055))+0-554.4-0.282743999999944</f>
        <v>1917.4774150000001</v>
      </c>
      <c r="N213" s="3">
        <f>2451.2+(619.8-306.9)+(0+(0-0))+0-642.9-0</f>
        <v>2121.1999999999998</v>
      </c>
      <c r="O213" s="3">
        <f>2454.2+(601.1-371.2)+(-2.503284+(-0.613122--0.378624))+0-442.1--0.450942000000071</f>
        <v>2239.7131599999998</v>
      </c>
      <c r="P213" s="3">
        <f>2440.1+(599.7-151.5)+(-2.488902+(-0.611694--0.15453))+0-578.3--0.589866000000092</f>
        <v>2307.6438000000007</v>
      </c>
      <c r="Q213" s="3">
        <f>2421.9+(493-76.9)+(-4.940676+(-1.00572--0.156876))+0-537.8--1.09711199999998</f>
        <v>2295.5075920000004</v>
      </c>
      <c r="R213" s="3">
        <f>2407.9+(476.7-109.5)+(-3.684087+(-0.729351--0.167535))+0-595.1--0.910503000000034</f>
        <v>2176.6646000000001</v>
      </c>
      <c r="S213" s="3">
        <f>2394.8+(441.3-234.2)+(-2.442696+(-0.450126--0.238884))+0-472.1--0.481542000000075</f>
        <v>2127.6276040000002</v>
      </c>
      <c r="T213" s="3">
        <f>2388.6+(498.7-251)+(0+(0-0))+0-450.5-0</f>
        <v>2185.7999999999997</v>
      </c>
      <c r="U213" s="3">
        <f>2391.2+(536.3-233.3)+(-2.439024+(-0.547026--0.237966))+0-511--0.521220000000082</f>
        <v>2180.9731360000001</v>
      </c>
      <c r="V213" s="3">
        <f>2398.4+(489.4-206.8)+(0+(0-0))+0-552.6-0</f>
        <v>2128.4</v>
      </c>
      <c r="W213" s="3">
        <f>2437.3+(604-169.4)+(-1.243023+(-0.30804--0.086394))+0-567.4--0.289373999999942</f>
        <v>2303.324705</v>
      </c>
      <c r="X213" s="3">
        <f>2437.1+(619.2-97.2)+(-6.214605+(-1.57896--0.24786))+0-560.1--1.42825499999992</f>
        <v>2392.8825499999998</v>
      </c>
      <c r="Y213" s="3">
        <f>2452.7+(523-154.2)+(-3.752631+(-0.80019--0.235926))+0-511.5--0.78259500000003</f>
        <v>2306.4657000000002</v>
      </c>
      <c r="Z213" s="3">
        <f>2466+(461.7-214.1)+(-3.77298+(-0.706401--0.327573))+0-486.9--0.744957000000028</f>
        <v>2223.2931489999996</v>
      </c>
      <c r="AA213" s="3">
        <f>2474.3+(356.2-177.4)+(-3.785679+(-0.544986--0.271422))+0-493.4--0.754902000000028</f>
        <v>2156.3956590000003</v>
      </c>
      <c r="AB213" s="3">
        <f>2487.5+(303.3-227.5)+(0+(0-0))+0-507.8-0</f>
        <v>2055.5</v>
      </c>
      <c r="AC213" s="3">
        <f>2451.9+(410.7-227)+(-5.001876+(-0.837828--0.46308))+0-686.1--1.39964399999997</f>
        <v>1945.5230200000001</v>
      </c>
      <c r="AD213">
        <v>2391.3999999999996</v>
      </c>
      <c r="AE213" s="3">
        <f>2448+(644.2-81.8)+(0+(0-0))+0-619-0</f>
        <v>2391.4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2456.7+(606.6-550.1)+(-3.758751+(-0.928098--0.841653))+0-676.2--1.03458600000004</f>
        <v>1834.1893899999995</v>
      </c>
      <c r="G214" s="3">
        <f>2459.2+(750.9-757)+(-1.254192+(-0.382959--0.38607))+0-681.5--0.347564999999931</f>
        <v>1770.6964840000001</v>
      </c>
      <c r="H214" s="3">
        <f>2470.6+(669.7-796.2)+(-7.560036+(-2.049282--2.436372))+0-616.9--1.88771400000007</f>
        <v>1721.9147679999996</v>
      </c>
      <c r="I214" s="3">
        <f>2432.5+(656.9-741)+(-3.721725+(-1.005057--1.13373))+0-652.3--0.998019000000038</f>
        <v>1693.5049670000001</v>
      </c>
      <c r="J214" s="3">
        <f>2210.8+(724.9-528.8)+(0+(0-0))+0-683-0</f>
        <v>1723.9</v>
      </c>
      <c r="K214" s="3">
        <f>2123.7+(735.6-470.4)+(-1.083087+(-0.375156--0.239904))+0-648.3--0.330632999999934</f>
        <v>1739.7122939999997</v>
      </c>
      <c r="L214" s="3">
        <f>2072.3+(791.3-414.4)+(-3.170619+(-1.210689--0.634032))+0-707.5--1.08247500000004</f>
        <v>1739.0351990000001</v>
      </c>
      <c r="M214" s="3">
        <f>2099.1+(714.8-373.2)+(1.070541+(0.364548-0.190332))+0-542.2-0.276521999999945</f>
        <v>1899.4682349999998</v>
      </c>
      <c r="N214" s="3">
        <f>2360.7+(635-394.4)+(3.611871+(0.97155-0.603432))+0-497.9-0.761787000000029</f>
        <v>2106.6182019999997</v>
      </c>
      <c r="O214" s="3">
        <f>2436.9+(555.8-324.4)+(0+(0-0))+0-446.6-0</f>
        <v>2221.7000000000003</v>
      </c>
      <c r="P214" s="3">
        <f>2419.2+(673.6-264)+(2.467584+(0.687072-0.26928))+0-548.4-0.559368000000087</f>
        <v>2282.7260079999996</v>
      </c>
      <c r="Q214" s="3">
        <f>2423.5+(799.8-335.5)+(-1.235985+(-0.407898--0.171105))+0-598.9--0.305438999999939</f>
        <v>2287.732661</v>
      </c>
      <c r="R214" s="3">
        <f>2402.5+(561.3-239.7)+(-3.675825+(-0.858789--0.366741))+0-617.6--0.944928000000036</f>
        <v>2103.277055</v>
      </c>
      <c r="S214" s="3">
        <f>2415.4+(262.3-138.5)+(-7.391124+(-0.802638--0.42381))+0-519.4--1.58936400000006</f>
        <v>2013.6194120000002</v>
      </c>
      <c r="T214" s="3">
        <f>2411.4+(336.9-130.3)+(-2.459628+(-0.343638--0.132906))+0-604.5--0.616590000000096</f>
        <v>2011.44623</v>
      </c>
      <c r="U214" s="3">
        <f>2432.1+(363.8-278.2)+(-3.721113+(-0.556614--0.425646))+0-529.1--0.809523000000031</f>
        <v>1985.557442</v>
      </c>
      <c r="V214" s="3">
        <f>2432.8+(444.7-353.9)+(-3.722184+(-0.680391--0.541467))+0-571.2--0.873936000000033</f>
        <v>1949.4128280000002</v>
      </c>
      <c r="W214" s="3">
        <f>2481.1+(491.4-213.6)+(-3.796083+(-0.751842--0.326808))+0-627.3--0.959769000000036</f>
        <v>2128.3386519999995</v>
      </c>
      <c r="X214" s="3">
        <f>2513.1+(462.7-104.5)+(-7.690086+(-1.415862--0.31977))+0-598.6--1.83171600000007</f>
        <v>2265.7455380000001</v>
      </c>
      <c r="Y214" s="3">
        <f>2523+(435.1-153.9)+(-3.86019+(-0.665703--0.235467))+0-602.6--0.921978000000035</f>
        <v>2198.2315519999997</v>
      </c>
      <c r="Z214" s="3">
        <f>2495.4+(509.8-298.8)+(-1.272654+(-0.259998--0.152388))+0-589--0.30038999999994</f>
        <v>2116.3201260000001</v>
      </c>
      <c r="AA214" s="3">
        <f>2445.2+(593.4-434.6)+(-2.494104+(-0.605268--0.443292))+0-541--0.551820000000086</f>
        <v>2060.8957399999999</v>
      </c>
      <c r="AB214" s="3">
        <f>2405+(533.9-339)+(-3.67965+(-0.816867--0.51867))+0-615.5--0.941715000000036</f>
        <v>1981.3638679999999</v>
      </c>
      <c r="AC214" s="3">
        <f>2368.5+(345.2-222.4)+(-6.039675+(-0.88026--0.56712))+0-604.3--1.54096499999991</f>
        <v>1882.18815</v>
      </c>
      <c r="AD214">
        <v>2272</v>
      </c>
      <c r="AE214" s="3">
        <f>2515+(600.4-74.4)+(0+(0-0))+0-769-0</f>
        <v>2272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2361.1+(428.7-376.3)+(-3.612483+(-0.655911--0.575739))+0-626.4--0.958392000000036</f>
        <v>1784.3657370000001</v>
      </c>
      <c r="G215" s="3">
        <f>2260+(372.5-302.8)+(-4.6104+(-0.7599--0.617712))+0-629.7--1.28458799999997</f>
        <v>1696.5319999999999</v>
      </c>
      <c r="H215" s="3">
        <f>2250.6+(411.5-293.3)+(-5.73903+(-1.049325--0.747915))+0-716.4--1.8268199999999</f>
        <v>1648.1863799999994</v>
      </c>
      <c r="I215" s="3">
        <f>2107.5+(410-258.9)+(-4.2993+(-0.8364--0.528156))+0-637.3--1.30009199999997</f>
        <v>1617.9925479999999</v>
      </c>
      <c r="J215" s="3">
        <f>1964.6+(518.1-159.8)+(-1.001946+(-0.264231--0.081498))+0-712.3--0.363272999999928</f>
        <v>1609.7785940000001</v>
      </c>
      <c r="K215" s="3">
        <f>1966.3+(466.3-180.4)+(-1.002813+(-0.237813--0.092004))+0-636.5--0.324614999999935</f>
        <v>1614.8759929999997</v>
      </c>
      <c r="L215" s="3">
        <f>1961.1+(464.1-185.8)+(0+(0-0))+0-694.2-0</f>
        <v>1545.2</v>
      </c>
      <c r="M215" s="3">
        <f>1999.3+(379.3-168.6)+(-1.019643+(-0.193443--0.085986))+0-629.7--0.321146999999936</f>
        <v>1579.4940469999997</v>
      </c>
      <c r="N215" s="3">
        <f>2106.4+(378.9-239.2)+(-2.148528+(-0.386478--0.243984))+0-563.3--0.57456600000009</f>
        <v>1681.0835440000001</v>
      </c>
      <c r="O215" s="3">
        <f>2113.2+(456.1-267.2)+(-2.155464+(-0.465222--0.272544))+0-543.3--0.554166000000087</f>
        <v>1757.0060240000003</v>
      </c>
      <c r="P215" s="3">
        <f>2179.1+(464.3-267.6)+(-3.334023+(-0.710379--0.409428))+0-553.9--0.847467000000032</f>
        <v>1819.1124929999996</v>
      </c>
      <c r="Q215" s="3">
        <f>2199.6+(459.4-219.6)+(0+(0-0))+0-600.9-0</f>
        <v>1838.5</v>
      </c>
      <c r="R215" s="3">
        <f>2192.3+(339-242.2)+(-4.472292+(-0.69156--0.494088))+0-537--1.09547999999998</f>
        <v>1748.5257160000001</v>
      </c>
      <c r="S215" s="3">
        <f>2179+(415.8-201.5)+(-4.44516+(-0.848232--0.41106))+0-665.9--1.35843599999997</f>
        <v>1723.8761039999999</v>
      </c>
      <c r="T215" s="3">
        <f>2173.9+(285.6-177.6)+(-2.217378+(-0.291312--0.181152))+0-570.8--0.582216000000091</f>
        <v>1709.3546780000001</v>
      </c>
      <c r="U215" s="3">
        <f>2176.6+(273.6-202.1)+(-1.110066+(-0.139536--0.103071))+0-551.3--0.281162999999944</f>
        <v>1695.934632</v>
      </c>
      <c r="V215" s="3">
        <f>2177.1+(330.2-265.7)+(0+(0-0))+0-538.5-0</f>
        <v>1703.1</v>
      </c>
      <c r="W215" s="3">
        <f>2338.5+(371.4-303.2)+(-3.577905+(-0.568242--0.463896))+0-530.4--0.811512000000031</f>
        <v>1873.4292609999995</v>
      </c>
      <c r="X215" s="3">
        <f>2677.1+(422.7-477.7)+(-5.461284+(-0.862308--0.974508))+0-604.5--1.23317999999997</f>
        <v>2013.4840959999999</v>
      </c>
      <c r="Y215" s="3">
        <f>2617.1+(449.4-504.7)+(-4.004163+(-0.687582--0.772191))+0-577.3--0.883269000000033</f>
        <v>1981.4637149999996</v>
      </c>
      <c r="Z215" s="3">
        <f>2554.7+(453.3-433.8)+(-6.514485+(-1.155915--1.10619))+0-619.1--1.57870499999991</f>
        <v>1950.1144949999998</v>
      </c>
      <c r="AA215" s="3">
        <f>2540.4+(483.8-511.8)+(-5.182416+(-0.986952--1.044072))+0-601.4--1.22685599999997</f>
        <v>1907.1015599999998</v>
      </c>
      <c r="AB215" s="3">
        <f>2505.4+(418.2-522.6)+(-6.38877+(-1.06641--1.33263))+0-563--1.43564999999992</f>
        <v>1833.3130999999998</v>
      </c>
      <c r="AC215" s="3">
        <f>2450.4+(314.4-409)+(-6.24852+(-0.80172--1.04295))+0-619.1--1.57870499999991</f>
        <v>1732.2714150000002</v>
      </c>
      <c r="AD215">
        <v>2308</v>
      </c>
      <c r="AE215" s="3">
        <f>2680+(550-452)+(0+(0-0))+0-470-0</f>
        <v>2308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2250.2+(268.3-167.7)+(-2.295204+(-0.273666--0.171054))+0-712.5--0.726750000000114</f>
        <v>1636.6289339999996</v>
      </c>
      <c r="G216" s="3">
        <f>2170.8+(246.7-131.3)+(-2.214216+(-0.251634--0.133926))+0-705.7--0.719814000000113</f>
        <v>1578.8878900000002</v>
      </c>
      <c r="H216" s="3">
        <f>2106.3+(320.7-120.2)+(-4.296852+(-0.654228--0.245208))+0-771.5--1.57385999999997</f>
        <v>1532.1679880000002</v>
      </c>
      <c r="I216" s="3">
        <f>1923.5+(338.8-117.9)+(-1.96197+(-0.345576--0.120258))+0-615.8--0.628116000000098</f>
        <v>1527.0408280000001</v>
      </c>
      <c r="J216" s="3">
        <f>1881.2+(435.4-74.8)+(1.918824+(0.444108-0.076296))+0-714.6-0.728892000000114</f>
        <v>1528.757744</v>
      </c>
      <c r="K216" s="3">
        <f>1880.3+(467.6-117.7)+(4.794765+(1.19238-0.300135))+0-678.4-1.7299199999999</f>
        <v>1555.7570899999998</v>
      </c>
      <c r="L216" s="3">
        <f>1891.6+(516.4-152.7)+(-0.964716+(-0.263364--0.077877))+0-662.4--0.337823999999933</f>
        <v>1592.0876209999994</v>
      </c>
      <c r="M216" s="3">
        <f>2021.1+(419.5-165.1)+(0+(0-0))+0-489.6-0</f>
        <v>1785.9</v>
      </c>
      <c r="N216" s="3">
        <f>2429.9+(392-188.5)+(-1.239249+(-0.19992--0.096135))+0-620--0.316199999999937</f>
        <v>2012.3731660000001</v>
      </c>
      <c r="O216" s="3">
        <f>2606.8+(382.7-320.7)+(-5.317872+(-0.780708--0.654228))+0-557.7--1.13770799999998</f>
        <v>2106.7933560000001</v>
      </c>
      <c r="P216" s="3">
        <f>2598.7+(482.4-364.8)+(-1.325337+(-0.246024--0.186048))+0-573.7--0.292586999999942</f>
        <v>2141.5072739999996</v>
      </c>
      <c r="Q216" s="3">
        <f>2584.5+(636.3-424.8)+(-3.954285+(-0.973539--0.649944))+0-607.5--0.929475000000035</f>
        <v>2185.1515949999998</v>
      </c>
      <c r="R216" s="3">
        <f>2570+(471.3-359.6)+(-6.5535+(-1.201815--0.91698))+0-641.4--1.63556999999991</f>
        <v>2035.0972349999997</v>
      </c>
      <c r="S216" s="3">
        <f>2471.5+(507.1-215)+(-1.260465+(-0.258621--0.10965))+0-747.1--0.381020999999924</f>
        <v>2015.471585</v>
      </c>
      <c r="T216" s="3">
        <f>2411.9+(640.1-281.3)+(0+(0-0))+0-707.5-0</f>
        <v>2063.2000000000003</v>
      </c>
      <c r="U216" s="3">
        <f>2267.1+(676.8-352)+(-1.156221+(-0.345168--0.17952))+0-527.1--0.268820999999947</f>
        <v>2063.746952</v>
      </c>
      <c r="V216" s="3">
        <f>2229+(883.5-379.1)+(2.27358+(0.90117-0.386682))+0-706.5-0.720630000000113</f>
        <v>2028.9674379999999</v>
      </c>
      <c r="W216" s="3">
        <f>2498.1+(1073-594.5)+(2.548062+(1.09446-0.60639))+0-760.9-0.776118000000121</f>
        <v>2217.9600139999998</v>
      </c>
      <c r="X216" s="3">
        <f>2693.7+(1196.7-889.9)+(-5.495148+(-2.441268--1.815396))+0-662.4--1.35129599999997</f>
        <v>2333.3302759999997</v>
      </c>
      <c r="Y216" s="3">
        <f>2682+(1066-776.7)+(-5.47128+(-2.17464--1.584468))+0-740.8--1.51123199999997</f>
        <v>2225.9497799999999</v>
      </c>
      <c r="Z216" s="3">
        <f>2621.6+(849.3-647.1)+(-5.348064+(-1.732572--1.320084))+0-686.9--1.40127599999997</f>
        <v>2132.5407239999995</v>
      </c>
      <c r="AA216" s="3">
        <f>2457.5+(807.3-429.3)+(-2.50665+(-0.823446--0.437886))+0-749.2--0.76418400000012</f>
        <v>2084.1719740000003</v>
      </c>
      <c r="AB216" s="3">
        <f>2426.8+(620.9-423.1)+(-6.18834+(-1.583295--1.078905))+0-660.1--1.6832549999999</f>
        <v>1959.4905250000002</v>
      </c>
      <c r="AC216" s="3">
        <f>2267.5+(485.7-343)+(-1.156425+(-0.247707--0.17493))+0-591.2--0.30151199999994</f>
        <v>1818.0723099999998</v>
      </c>
      <c r="AD216">
        <v>2358.8999999999996</v>
      </c>
      <c r="AE216" s="3">
        <f>2677+(1294.7-877)+(0+(0-0))+0-735.8-0</f>
        <v>2358.8999999999996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2063.4+(489-95.5)+(-2.104668+(-0.49878--0.09741))+0-718.6--0.732972000000115</f>
        <v>1736.5269340000002</v>
      </c>
      <c r="G217" s="3">
        <f>2079.5+(476.8-102.9)+(-2.12109+(-0.486336--0.104958))+0-773--0.788460000000123</f>
        <v>1678.6859920000002</v>
      </c>
      <c r="H217" s="3">
        <f>2096.1+(345-157.6)+(0+(0-0))+0-643.8-0</f>
        <v>1639.7</v>
      </c>
      <c r="I217" s="3">
        <f>2091+(441.6-155.5)+(2.13282+(0.450432-0.15861))+0-764.8-0.780096000000122</f>
        <v>1613.9445459999997</v>
      </c>
      <c r="J217" s="3">
        <f>2071.8+(380.9-230)+(1.056618+(0.194259-0.1173))+0-584-0.297839999999941</f>
        <v>1639.5357370000004</v>
      </c>
      <c r="K217" s="3">
        <f>2007.7+(521.9-138.9)+(0+(0-0))+0-743.1-0</f>
        <v>1647.6</v>
      </c>
      <c r="L217" s="3">
        <f>2032.1+(501.9-274.6)+(4.145484+(1.023876-0.560184))+0-595.6-1.21502399999997</f>
        <v>1667.1941519999998</v>
      </c>
      <c r="M217" s="3">
        <f>2197.3+(574.3-298.6)+(2.241246+(0.585786-0.304572))+0-661.6-0.674832000000106</f>
        <v>1813.2476280000001</v>
      </c>
      <c r="N217" s="3">
        <f>2445.3+(485.6-295.8)+(-1.247103+(-0.247656--0.150858))+0-604.7--0.308396999999939</f>
        <v>2029.3644960000001</v>
      </c>
      <c r="O217" s="3">
        <f>2534.5+(402.5-301.4)+(1.292595+(0.205275-0.153714))+0-510-0.260099999999948</f>
        <v>2126.6840560000001</v>
      </c>
      <c r="P217" s="3">
        <f>2603.5+(490.3-388.6)+(-3.983355+(-0.750159--0.594558))+0-566.8--0.867204000000033</f>
        <v>2135.128248</v>
      </c>
      <c r="Q217" s="3">
        <f>2641.3+(544.1-451.1)+(-1.347063+(-0.277491--0.230061))+0-549.7--0.280346999999944</f>
        <v>2183.4858540000005</v>
      </c>
      <c r="R217" s="3">
        <f>2633.8+(470.9-585.8)+(-6.71619+(-1.200795--1.49379))+0-489.2--1.24745999999993</f>
        <v>2024.524265</v>
      </c>
      <c r="S217" s="3">
        <f>2591.8+(317.6-403.6)+(-1.321818+(-0.161976--0.205836))+0-513--0.261629999999948</f>
        <v>1991.783672</v>
      </c>
      <c r="T217" s="3">
        <f>2462.1+(429.7-355)+(0+(0-0))+0-545.4-0</f>
        <v>1991.3999999999996</v>
      </c>
      <c r="U217" s="3">
        <f>2419.9+(533-432.4)+(-7.404894+(-1.63098--1.323144))+0-465.7--1.42504200000005</f>
        <v>2048.5123119999998</v>
      </c>
      <c r="V217" s="3">
        <f>2419.8+(608.1-513.3)+(-1.234098+(-0.310131--0.261783))+0-479.7--0.244646999999951</f>
        <v>2033.8622010000001</v>
      </c>
      <c r="W217" s="3">
        <f>2500.8+(913.3-647)+(0+(0-0))+0-528.9-0</f>
        <v>2238.2000000000003</v>
      </c>
      <c r="X217" s="3">
        <f>2558.6+(1090.6-716.8)+(-7.829316+(-3.337236--2.193408))+0-600.2--1.83661200000007</f>
        <v>2325.0634679999994</v>
      </c>
      <c r="Y217" s="3">
        <f>2493.5+(1003.8-750.6)+(-2.54337+(-1.023876--0.765612))+0-491--0.500820000000078</f>
        <v>2253.3991860000001</v>
      </c>
      <c r="Z217" s="3">
        <f>2485.3+(976.9-660.5)+(-5.070012+(-1.992876--1.34742))+0-623.9--1.27275599999997</f>
        <v>2173.3572880000002</v>
      </c>
      <c r="AA217" s="3">
        <f>2492.5+(848.6-741.5)+(-3.813525+(-1.298358--1.134495))+0-496.7--0.759951000000029</f>
        <v>2099.6825630000003</v>
      </c>
      <c r="AB217" s="3">
        <f>2445+(856.9-677)+(-4.9878+(-1.748076--1.38108))+0-619.4--1.26357599999997</f>
        <v>2001.40878</v>
      </c>
      <c r="AC217" s="3">
        <f>2239.8+(844.1-572.3)+(-4.569192+(-1.721964--1.167492))+0-631.6--1.28846399999997</f>
        <v>1876.1648000000002</v>
      </c>
      <c r="AD217">
        <v>2335.3999999999996</v>
      </c>
      <c r="AE217" s="3">
        <f>2578+(1109.4-669.2)+(0+(0-0))+0-682.8-0</f>
        <v>2335.3999999999996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2052+(642.4-235.2)+(-2.09304+(-0.655248--0.239904))+0-686.3--0.700026000000109</f>
        <v>1771.0916419999999</v>
      </c>
      <c r="G218" s="3">
        <f>2046.9+(554.4-147.8)+(0+(0-0))+0-757.4-0</f>
        <v>1696.1</v>
      </c>
      <c r="H218" s="3">
        <f>2048.2+(493.7-165.6)+(0+(0-0))+0-703.1-0</f>
        <v>1673.1999999999998</v>
      </c>
      <c r="I218" s="3">
        <f>2045.9+(541.4-164.4)+(0+(0-0))+0-763.5-0</f>
        <v>1659.4</v>
      </c>
      <c r="J218" s="3">
        <f>2047.6+(559-251.8)+(1.044276+(0.28509-0.128418))+0-701.6-0.357815999999929</f>
        <v>1654.043132</v>
      </c>
      <c r="K218" s="3">
        <f>2049.8+(658.5-344.9)+(-3.136194+(-1.007505--0.527697))+0-706.6--1.08109800000004</f>
        <v>1654.2650960000001</v>
      </c>
      <c r="L218" s="3">
        <f>2082.8+(763.3-528.4)+(1.062228+(0.389283-0.269484))+0-644.9-0.328898999999935</f>
        <v>1673.6531280000002</v>
      </c>
      <c r="M218" s="3">
        <f>2206.4+(739.4-404.2)+(1.125264+(0.377094-0.206142))+0-677.8-0.345677999999931</f>
        <v>1864.7505380000002</v>
      </c>
      <c r="N218" s="3">
        <f>2413.8+(768.3-454.2)+(-1.231038+(-0.391833--0.231642))+0-659.8--0.336497999999933</f>
        <v>2067.0452690000006</v>
      </c>
      <c r="O218" s="3">
        <f>2547.5+(909-537.5)+(1.299225+(0.46359-0.274125))+0-613.3-0.312782999999938</f>
        <v>2306.8759070000001</v>
      </c>
      <c r="P218" s="3">
        <f>2526.7+(943.4-560.8)+(0+(0-0))+0-688.2-0</f>
        <v>2221.0999999999995</v>
      </c>
      <c r="Q218" s="3">
        <f>2504.5+(904.3-522.1)+(-1.277295+(-0.461193--0.266271))+0-677.2--0.345371999999931</f>
        <v>2208.3731549999993</v>
      </c>
      <c r="R218" s="3">
        <f>2496.7+(760.1-511.6)+(-6.366585+(-1.938255--1.30458))+0-684.4--1.7452199999999</f>
        <v>2055.5449599999997</v>
      </c>
      <c r="S218" s="3">
        <f>2460+(499.1-367.3)+(-7.5276+(-1.527246--1.123938))+0-644.7--1.97278200000007</f>
        <v>1941.1418740000004</v>
      </c>
      <c r="T218" s="3">
        <f>2481+(528.9-475.8)+(0+(0-0))+0-475.3-0</f>
        <v>2058.7999999999997</v>
      </c>
      <c r="U218" s="3">
        <f>2482.4+(587-366.4)+(-3.798072+(-0.89811--0.560592))+0-653.5--0.999855000000038</f>
        <v>2046.3642650000002</v>
      </c>
      <c r="V218" s="3">
        <f>2479.8+(667.4-530.1)+(-1.264698+(-0.340374--0.270351))+0-616.1--0.314210999999938</f>
        <v>1999.9794900000002</v>
      </c>
      <c r="W218" s="3">
        <f>2527+(1073-747.9)+(0+(0-0))+0-613.5-0</f>
        <v>2238.6</v>
      </c>
      <c r="X218" s="3">
        <f>2553.5+(1439-900.7)+(-3.906855+(-2.20167--1.378071))+0-741.1--1.13388300000004</f>
        <v>2347.1034290000002</v>
      </c>
      <c r="Y218" s="3">
        <f>2571.2+(1344-1009.8)+(-3.933936+(-2.05632--1.544994))+0-745.1--1.14000300000004</f>
        <v>2156.9947409999995</v>
      </c>
      <c r="Z218" s="3">
        <f>2568.1+(1275.7-857.4)+(-3.929193+(-1.951821--1.311822))+0-810.6--1.24021800000005</f>
        <v>2172.4710260000002</v>
      </c>
      <c r="AA218" s="3">
        <f>2569.1+(839.7-530.5)+(-2.620482+(-0.856494--0.54111))+0-782.3--0.797946000000125</f>
        <v>2093.8620800000003</v>
      </c>
      <c r="AB218" s="3">
        <f>2576.4+(615.9-432)+(-6.56982+(-1.570545--1.1016))+0-761.7--1.94233499999989</f>
        <v>1993.5035700000003</v>
      </c>
      <c r="AC218" s="3">
        <f>2490.9+(642.1-577.6)+(-2.540718+(-0.654942--0.589152))+0-627.5--0.6400500000001</f>
        <v>1925.9335420000004</v>
      </c>
      <c r="AD218">
        <v>2336.6000000000004</v>
      </c>
      <c r="AE218" s="3">
        <f>2540+(1471-853.2)+(0+(0-0))+0-821.2-0</f>
        <v>2336.6000000000004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2346.8+(728.9-470.3)+(-1.196868+(-0.371739--0.239853))+0-766.2--0.390761999999922</f>
        <v>1838.2620079999999</v>
      </c>
      <c r="G219" s="3">
        <f>2305.1+(640.4-427.6)+(-4.702404+(-1.306416--0.872304))+0-770.5--1.57181999999997</f>
        <v>1743.8353039999995</v>
      </c>
      <c r="H219" s="3">
        <f>2121.6+(640.6-356.2)+(-5.41008+(-1.63353--0.90831))+0-681.9--1.7388449999999</f>
        <v>1719.7035449999998</v>
      </c>
      <c r="I219" s="3">
        <f>1997.5+(743-260.4)+(-2.03745+(-0.75786--0.265608))+0-773.7--0.789174000000123</f>
        <v>1704.6594720000003</v>
      </c>
      <c r="J219" s="3">
        <f>1995.4+(742.8-303)+(1.017654+(0.378828-0.15453))+0-725.3-0.369902999999926</f>
        <v>1710.7720489999997</v>
      </c>
      <c r="K219" s="3">
        <f>1988.2+(853.7-414.3)+(1.013982+(0.435387-0.211293))+0-685.2-0.349451999999931</f>
        <v>1743.288624</v>
      </c>
      <c r="L219" s="3">
        <f>1988.8+(938.5-439.1)+(3.042864+(1.435905-0.671823))+0-737.9-1.12898700000004</f>
        <v>1752.9779589999998</v>
      </c>
      <c r="M219" s="3">
        <f>2023.7+(949.5-392.5)+(-1.032087+(-0.484245--0.200175))+0-671.1--0.342260999999932</f>
        <v>1908.6261039999997</v>
      </c>
      <c r="N219" s="3">
        <f>2342+(976.5-538.2)+(2.38884+(0.99603-0.548964))+0-741.6-0.756432000000118</f>
        <v>2040.7794739999999</v>
      </c>
      <c r="O219" s="3">
        <f>2468.4+(1144.3-659.6)+(-2.517768+(-1.167186--0.672792))+0-739.4--0.754188000000118</f>
        <v>2211.4420260000002</v>
      </c>
      <c r="P219" s="3">
        <f>2459.5+(1099.4-641.6)+(-5.01738+(-2.242776--1.308864))+0-704.9--1.43799599999997</f>
        <v>2207.886704</v>
      </c>
      <c r="Q219" s="3">
        <f>2440.8+(1124.3-618.7)+(-2.489616+(-1.146786--0.631074))+0-678.9--0.692478000000108</f>
        <v>2265.1871499999997</v>
      </c>
      <c r="R219" s="3">
        <f>2424.6+(919.5-488.7)+(-4.946184+(-1.87578--0.996948))+0-764.2--1.55896799999997</f>
        <v>2086.9339519999999</v>
      </c>
      <c r="S219" s="3">
        <f>2404.4+(764.7-350.7)+(-1.226244+(-0.389997--0.178857))+0-790.5--0.40315499999992</f>
        <v>2026.8657710000002</v>
      </c>
      <c r="T219" s="3">
        <f>2402.4+(758.2-352.9)+(3.675672+(1.160046-0.539937))+0-735.8-1.12577400000004</f>
        <v>2075.0700070000003</v>
      </c>
      <c r="U219" s="3">
        <f>2414.2+(739.5-448.4)+(-6.15621+(-1.885725--1.14342))+0-619.7--1.58023499999991</f>
        <v>2080.2817199999995</v>
      </c>
      <c r="V219" s="3">
        <f>2384.7+(987.1-531.1)+(-1.216197+(-0.503421--0.270861))+0-756.2--0.385661999999923</f>
        <v>2083.436905</v>
      </c>
      <c r="W219" s="3">
        <f>2459.6+(1416.5-842.8)+(-1.254396+(-0.722415--0.429828))+0-743.7--0.379286999999925</f>
        <v>2288.4323039999999</v>
      </c>
      <c r="X219" s="3">
        <f>2491.9+(1350.6-873.8)+(-6.354345+(-3.44403--2.22819))+0-641.4--1.63556999999991</f>
        <v>2321.3653849999996</v>
      </c>
      <c r="Y219" s="3">
        <f>2497.1+(1158-716.6)+(-1.273521+(-0.59058--0.365466))+0-699.7--0.356846999999929</f>
        <v>2237.6582120000003</v>
      </c>
      <c r="Z219" s="3">
        <f>2497.7+(986.3-601.2)+(-2.547654+(-1.006026--0.613224))+0-723--0.737460000000115</f>
        <v>2157.5970040000002</v>
      </c>
      <c r="AA219" s="3">
        <f>2505.1+(927-490.8)+(-5.110404+(-1.89108--1.001232))+0-851.3--1.73665199999996</f>
        <v>2085.7364000000002</v>
      </c>
      <c r="AB219" s="3">
        <f>2435.6+(721.3-511.4)+(-3.726468+(-1.103589--0.782442))+0-652.2--0.997866000000038</f>
        <v>1990.2502509999999</v>
      </c>
      <c r="AC219" s="3">
        <f>2300.1+(665-456.4)+(-4.692204+(-1.3566--0.931056))+0-630.1--1.28540399999997</f>
        <v>1874.7676559999998</v>
      </c>
      <c r="AD219">
        <v>2354.1</v>
      </c>
      <c r="AE219" s="3">
        <f>2469+(1710.9-965.2)+(0+(0-0))+0-860.6-0</f>
        <v>2354.1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2159.6+(677.9-575.9)+(-5.50698+(-1.728645--1.468545))+0-511.8--1.30508999999993</f>
        <v>1745.3380099999997</v>
      </c>
      <c r="G220" s="3">
        <f>1871.8+(691.8-366.7)+(-0.954618+(-0.352818--0.187017))+0-542--0.276419999999945</f>
        <v>1654.0560010000002</v>
      </c>
      <c r="H220" s="3">
        <f>1859.8+(779.7-99.3)+(-0.948498+(-0.397647--0.050643))+0-854.4--0.435743999999913</f>
        <v>1684.9402419999997</v>
      </c>
      <c r="I220" s="3">
        <f>1857.5+(748.8-94.3)+(-1.89465+(-0.763776--0.096186))+0-874.8--0.892296000000139</f>
        <v>1635.5300560000001</v>
      </c>
      <c r="J220" s="3">
        <f>1859.8+(749.6-73.6)+(-0.948498+(-0.382296--0.037536))+0-898--0.457979999999909</f>
        <v>1636.9647219999999</v>
      </c>
      <c r="K220" s="3">
        <f>1859.1+(781.9-90.7)+(-0.948141+(-0.398769--0.046257))+0-867.8--0.442577999999912</f>
        <v>1681.6419249999999</v>
      </c>
      <c r="L220" s="3">
        <f>1856.5+(800.4-108.9)+(-1.89363+(-0.816408--0.111078))+0-871.2--0.888624000000139</f>
        <v>1675.0896640000003</v>
      </c>
      <c r="M220" s="3">
        <f>1977.4+(734.3-110.1)+(0+(0-0))+0-750.4-0</f>
        <v>1851.1999999999998</v>
      </c>
      <c r="N220" s="3">
        <f>2436.9+(686.8-364.7)+(-2.485638+(-0.700536--0.371994))+0-669.9--0.683298000000107</f>
        <v>2086.969118</v>
      </c>
      <c r="O220" s="3">
        <f>2490.8+(941.1-403.5)+(2.540616+(0.959922-0.41157))+0-853.2-0.870264000000136</f>
        <v>2177.4187039999997</v>
      </c>
      <c r="P220" s="3">
        <f>2476.9+(1002.4-506.8)+(-5.052876+(-2.044896--1.033872))+0-747.9--1.52571599999997</f>
        <v>2220.0618159999999</v>
      </c>
      <c r="Q220" s="3">
        <f>2449+(1026.6-500.8)+(-1.24899+(-0.523566--0.255408))+0-776.5--0.396014999999921</f>
        <v>2197.1788670000001</v>
      </c>
      <c r="R220" s="3">
        <f>2444.8+(651-393.5)+(-2.493696+(-0.66402--0.40137))+0-624.3--0.6367860000001</f>
        <v>2075.8804399999999</v>
      </c>
      <c r="S220" s="3">
        <f>2429.7+(724.1-261.1)+(-3.717441+(-1.107873--0.399483))+0-858.8--1.31396400000005</f>
        <v>2030.7881329999998</v>
      </c>
      <c r="T220" s="3">
        <f>2424.8+(621.2-309.4)+(0+(0-0))+0-636.6-0</f>
        <v>2100.0000000000005</v>
      </c>
      <c r="U220" s="3">
        <f>2437.2+(742.1-402.3)+(1.242972+(0.378471-0.205173))+0-718.8-0.366587999999927</f>
        <v>2059.2496820000006</v>
      </c>
      <c r="V220" s="3">
        <f>2449.5+(928-562)+(-2.49849+(-0.94656--0.57324))+0-757.6--0.772752000000121</f>
        <v>2055.8009420000003</v>
      </c>
      <c r="W220" s="3">
        <f>2518.7+(1315.5-729.7)+(0+(0-0))+0-823.2-0</f>
        <v>2281.3000000000002</v>
      </c>
      <c r="X220" s="3">
        <f>2525.7+(995.5-384.7)+(-3.864321+(-1.523115--0.588591))+0-798.6--1.22185800000005</f>
        <v>2334.3230130000002</v>
      </c>
      <c r="Y220" s="3">
        <f>2528.2+(748.3-305.9)+(-2.578764+(-0.763266--0.312018))+0-722.1--0.736542000000115</f>
        <v>2246.2065299999999</v>
      </c>
      <c r="Z220" s="3">
        <f>2535.2+(608.9-213.4)+(-2.585904+(-0.621078--0.217668))+0-778.6--0.794172000000124</f>
        <v>2149.9048580000003</v>
      </c>
      <c r="AA220" s="3">
        <f>2488+(482.6-79.7)+(-2.53776+(-0.492252--0.081294))+0-800.6--0.816612000000128</f>
        <v>2088.1678940000002</v>
      </c>
      <c r="AB220" s="3">
        <f>2465.9+(433.1-82)+(0+(0-0))+0-816.7-0</f>
        <v>2000.3</v>
      </c>
      <c r="AC220" s="3">
        <f>2423.3+(523.4-165.3)+(-3.707649+(-0.800802--0.252909))+0-900.1--1.37715300000005</f>
        <v>1878.4216110000004</v>
      </c>
      <c r="AD220">
        <v>2548.6999999999998</v>
      </c>
      <c r="AE220" s="3">
        <f>2514+(1531.7-581.7)+(0+(0-0))+0-915.3-0</f>
        <v>2548.6999999999998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2425+(659.9-569.8)+(-2.4735+(-0.673098--0.581196))+0-748.4--0.763368000000119</f>
        <v>1764.8979659999998</v>
      </c>
      <c r="G221" s="3">
        <f>2423.6+(698.5-600.9)+(-1.236036+(-0.356235--0.306459))+0-818--0.417179999999917</f>
        <v>1702.3313679999997</v>
      </c>
      <c r="H221" s="3">
        <f>2456.3+(675-600.8)+(3.758139+(1.03275-0.919224))+0-876.7-1.34135100000005</f>
        <v>1656.330314</v>
      </c>
      <c r="I221" s="3">
        <f>2483.3+(567.4-597.6)+(-5.065932+(-1.157496--1.219104))+0-806.2--1.64464799999996</f>
        <v>1643.5403240000003</v>
      </c>
      <c r="J221" s="3">
        <f>2445.2+(562.4-522.4)+(2.494104+(0.573648-0.532848))+0-837.5-0.854250000000134</f>
        <v>1649.3806539999998</v>
      </c>
      <c r="K221" s="3">
        <f>2446.9+(562.9-528.7)+(-3.743757+(-0.861237--0.808911))+0-812.1--1.24251300000005</f>
        <v>1666.44643</v>
      </c>
      <c r="L221" s="3">
        <f>2451.3+(626.5-476.9)+(-2.500326+(-0.63903--0.486438))+0-926.2--0.944724000000148</f>
        <v>1672.991806</v>
      </c>
      <c r="M221" s="3">
        <f>2480.5+(538.1-404.7)+(1.265055+(0.274431-0.206397))+0-789.4-0.40259399999992</f>
        <v>1825.4304950000003</v>
      </c>
      <c r="N221" s="3">
        <f>2497.2+(534.8-180.6)+(3.820716+(0.818244-0.276318))+0-808.2-1.23654600000005</f>
        <v>2046.3260959999996</v>
      </c>
      <c r="O221" s="3">
        <f>2484.6+(819.9-401.2)+(1.267146+(0.418149-0.204612))+0-785-0.40034999999992</f>
        <v>2119.3803330000001</v>
      </c>
      <c r="P221" s="3">
        <f>2466.1+(1088-566.6)+(1.257711+(0.55488-0.288966))+0-801.8-0.408917999999919</f>
        <v>2186.8147069999995</v>
      </c>
      <c r="Q221" s="3">
        <f>2460.3+(1144.2-609.5)+(-6.273765+(-2.91771--1.554225))+0-797.8--2.03438999999988</f>
        <v>2191.5971399999999</v>
      </c>
      <c r="R221" s="3">
        <f>2490.4+(692.4-383)+(-5.080416+(-1.412496--0.78132))+0-755.4--1.54101599999997</f>
        <v>2040.2294239999999</v>
      </c>
      <c r="S221" s="3">
        <f>2580.5+(385.5-208.9)+(-6.580275+(-0.983025--0.532695))+0-789.9--2.01424499999989</f>
        <v>1962.1836399999997</v>
      </c>
      <c r="T221" s="3">
        <f>2578.6+(346.8-94.9)+(-1.315086+(-0.176868--0.048399))+0-854.3--0.435692999999913</f>
        <v>1975.1921380000001</v>
      </c>
      <c r="U221" s="3">
        <f>2552.9+(318.2-231.4)+(-3.905937+(-0.486846--0.354042))+0-685--1.04805000000004</f>
        <v>1951.7093090000005</v>
      </c>
      <c r="V221" s="3">
        <f>2538.8+(550.9-314.2)+(-1.294788+(-0.280959--0.160242))+0-799.1--0.407540999999919</f>
        <v>1975.392036</v>
      </c>
      <c r="W221" s="3">
        <f>2627+(820.3-449.2)+(0+(0-0))+0-830.5-0</f>
        <v>2167.6</v>
      </c>
      <c r="X221" s="3">
        <f>2680.9+(711.3-510.2)+(-1.367259+(-0.362763--0.260202))+0-704.2--0.359141999999929</f>
        <v>2176.6893219999997</v>
      </c>
      <c r="Y221" s="3">
        <f>2681.5+(875.7-569.3)+(1.367565+(0.446607-0.290343))+0-849.9-0.433448999999914</f>
        <v>2139.0903800000001</v>
      </c>
      <c r="Z221" s="3">
        <f>2679.5+(659.9-543.3)+(-4.099635+(-1.009647--0.831249))+0-744.1--1.13847300000004</f>
        <v>2048.8604399999999</v>
      </c>
      <c r="AA221" s="3">
        <f>2674.8+(645.5-491.2)+(-1.364148+(-0.329205--0.250512))+0-827.9--0.422228999999916</f>
        <v>2000.1793880000002</v>
      </c>
      <c r="AB221" s="3">
        <f>2679.9+(418.3-414)+(-2.733498+(-0.426666--0.42228))+0-775.4--0.790908000000124</f>
        <v>1906.8530240000002</v>
      </c>
      <c r="AC221" s="3">
        <f>2605.5+(442.9-438.6)+(-2.65761+(-0.451758--0.447372))+0-798.1--0.814062000000127</f>
        <v>1809.8520660000006</v>
      </c>
      <c r="AD221">
        <v>2178.1999999999998</v>
      </c>
      <c r="AE221" s="3">
        <f>2668+(628.6-335.1)+(0+(0-0))+0-783.3-0</f>
        <v>2178.1999999999998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2534.6+(555.6-602.8)+(-2.585292+(-0.566712--0.614856))+0-774.4--0.789888000000123</f>
        <v>1711.2527400000001</v>
      </c>
      <c r="G222" s="3">
        <f>2434.4+(650.5-550)+(2.483088+(0.66351-0.561))+0-897.2-0.915144000000143</f>
        <v>1639.3704540000001</v>
      </c>
      <c r="H222" s="3">
        <f>2110.2+(715.8-406.5)+(0+(0-0))+0-821.8-0</f>
        <v>1597.7</v>
      </c>
      <c r="I222" s="3">
        <f>2072.2+(698.1-409.5)+(-2.113644+(-0.712062--0.41769))+0-793.2--0.809064000000127</f>
        <v>1566.0010479999999</v>
      </c>
      <c r="J222" s="3">
        <f>2069.4+(769.5-385.3)+(6.332364+(2.35467-1.179018))+0-882.3-2.6998380000001</f>
        <v>1576.1081780000002</v>
      </c>
      <c r="K222" s="3">
        <f>2028.8+(794.7-394.5)+(0+(0-0))+0-863.3-0</f>
        <v>1565.7</v>
      </c>
      <c r="L222" s="3">
        <f>1979.4+(827.2-550.5)+(-1.009494+(-0.421872--0.280755))+0-764.3--0.389792999999922</f>
        <v>1491.0391820000002</v>
      </c>
      <c r="M222" s="3">
        <f>1978.6+(727-445)+(-1.009086+(-0.37077--0.22695))+0-742.4--0.378623999999925</f>
        <v>1517.425718</v>
      </c>
      <c r="N222" s="3">
        <f>1974.6+(700.8-422)+(3.021138+(1.072224-0.64566))+0-668.6-1.02295800000004</f>
        <v>1587.2247439999996</v>
      </c>
      <c r="O222" s="3">
        <f>2115.2+(779.4-438.8)+(1.078752+(0.397494-0.223788))+0-763.8-0.389537999999923</f>
        <v>1692.8629199999998</v>
      </c>
      <c r="P222" s="3">
        <f>2333.4+(879-677.3)+(0+(0-0))+0-800.5-0</f>
        <v>1734.6000000000004</v>
      </c>
      <c r="Q222" s="3">
        <f>2454.4+(756.9-669.9)+(-3.755232+(-1.158057--1.024947))+0-797.7--1.22048100000005</f>
        <v>1741.0321389999999</v>
      </c>
      <c r="R222" s="3">
        <f>2475.1+(511.8-456.1)+(-2.524602+(-0.522036--0.465222))+0-813.3--0.82956600000013</f>
        <v>1715.7481499999999</v>
      </c>
      <c r="S222" s="3">
        <f>2460.2+(330.7-324.6)+(-5.018808+(-0.674628--0.662184))+0-795.8--1.62343199999997</f>
        <v>1667.0921799999994</v>
      </c>
      <c r="T222" s="3">
        <f>2407.3+(263.9-318.8)+(-3.683169+(-0.403767--0.487764))+0-704.2--1.07742600000004</f>
        <v>1645.6782539999999</v>
      </c>
      <c r="U222" s="3">
        <f>2404.7+(302.4-458.5)+(0+(0-0))+0-589.1-0</f>
        <v>1659.5</v>
      </c>
      <c r="V222" s="3">
        <f>2409.3+(364.4-287)+(1.228743+(0.185844-0.14637))+0-801.6-0.408815999999919</f>
        <v>1685.9594010000003</v>
      </c>
      <c r="W222" s="3">
        <f>2442.1+(489.4-250.8)+(0+(0-0))+0-789-0</f>
        <v>1891.6999999999998</v>
      </c>
      <c r="X222" s="3">
        <f>2461.9+(581.3-303)+(-6.277845+(-1.482315--0.77265))+0-744.7--1.89898499999989</f>
        <v>1990.4114749999997</v>
      </c>
      <c r="Y222" s="3">
        <f>2464.2+(561.5-282.8)+(-6.28371+(-1.431825--0.72114))+0-771.7--1.96783499999989</f>
        <v>1966.1734399999993</v>
      </c>
      <c r="Z222" s="3">
        <f>2455.8+(494.8-331.1)+(-5.009832+(-1.009392--0.675444))+0-687.5--1.40249999999997</f>
        <v>1928.0587199999998</v>
      </c>
      <c r="AA222" s="3">
        <f>2457.2+(448.4-263.6)+(0+(0-0))+0-750.3-0</f>
        <v>1891.7</v>
      </c>
      <c r="AB222" s="3">
        <f>2445.3+(427.5-196.1)+(-4.988412+(-0.8721--0.400044))+0-833.7--1.70074799999996</f>
        <v>1839.24028</v>
      </c>
      <c r="AC222" s="3">
        <f>2353.9+(384.4-221.6)+(-6.002445+(-0.98022--0.56508))+0-783.3--1.99741499999989</f>
        <v>1728.97983</v>
      </c>
      <c r="AD222">
        <v>1961.6</v>
      </c>
      <c r="AE222" s="3">
        <f>2455+(631.6-295.1)+(0+(0-0))+0-829.9-0</f>
        <v>1961.6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2250.5+(678.6-420.8)+(-4.59102+(-1.384344--0.858432))+0-796.1--1.62404399999997</f>
        <v>1708.7071120000003</v>
      </c>
      <c r="G223" s="3">
        <f>2246.8+(578.2-497.2)+(-1.145868+(-0.294882--0.253572))+0-848--0.432479999999914</f>
        <v>1479.045302</v>
      </c>
      <c r="H223" s="3">
        <f>2257.8+(581.6-496.4)+(1.151478+(0.296616-0.253164))+0-870.3-0.443852999999912</f>
        <v>1473.4510770000002</v>
      </c>
      <c r="I223" s="3">
        <f>2251.6+(640.7-479.9)+(-3.444948+(-0.980271--0.734247))+0-862.3--1.31931900000005</f>
        <v>1547.7283470000002</v>
      </c>
      <c r="J223" s="3">
        <f>2182.3+(594.1-426.4)+(-1.112973+(-0.302991--0.217464))+0-792.7--0.40427699999992</f>
        <v>1556.5057769999999</v>
      </c>
      <c r="K223" s="3">
        <f>2217.1+(630-373.6)+(0+(0-0))+0-923.7-0</f>
        <v>1549.8</v>
      </c>
      <c r="L223" s="3">
        <f>2251+(611.4-452.3)+(0+(0-0))+0-803.2-0</f>
        <v>1606.8999999999999</v>
      </c>
      <c r="M223" s="3">
        <f>2330+(538.1-250.9)+(3.5649+(0.823293-0.383877))+0-829.4-1.26898200000005</f>
        <v>1790.5353339999997</v>
      </c>
      <c r="N223" s="3">
        <f>2324.7+(604.5-192.1)+(2.371194+(0.61659-0.195942))+0-758.1-0.773262000000121</f>
        <v>1981.0185799999999</v>
      </c>
      <c r="O223" s="3">
        <f>2312.7+(915.3-341.2)+(1.179477+(0.466803-0.174012))+0-783.8-0.39973799999992</f>
        <v>2104.0725299999995</v>
      </c>
      <c r="P223" s="3">
        <f>2284.9+(1104-481.9)+(2.330598+(1.12608-0.491538))+0-776.2-0.791724000000124</f>
        <v>2132.9734159999994</v>
      </c>
      <c r="Q223" s="3">
        <f>2271.3+(1164.7-526.6)+(1.158363+(0.593997-0.268566))+0-717-0.365669999999927</f>
        <v>2193.5181240000002</v>
      </c>
      <c r="R223" s="3">
        <f>2270.5+(837.3-428.7)+(-3.473865+(-1.281069--0.655911))+0-639.2--0.977976000000037</f>
        <v>2036.7789529999998</v>
      </c>
      <c r="S223" s="3">
        <f>2267.6+(737.7-302.5)+(-1.156476+(-0.376227--0.154275))+0-703.2--0.358631999999929</f>
        <v>1998.5802040000001</v>
      </c>
      <c r="T223" s="3">
        <f>2266.9+(677-275.3)+(0+(0-0))+0-637.8-0</f>
        <v>2030.8</v>
      </c>
      <c r="U223" s="3">
        <f>2265.9+(823.8-324.6)+(-3.466827+(-1.260414--0.496638))+0-723.3--1.10664900000004</f>
        <v>2038.676046</v>
      </c>
      <c r="V223" s="3">
        <f>2262.1+(1079.3-549.6)+(3.461013+(1.651329-0.840888))+0-746.6-1.14229800000004</f>
        <v>2048.3291559999998</v>
      </c>
      <c r="W223" s="3">
        <f>2298.9+(1386.7-700.8)+(2.344878+(1.414434-0.714816))+0-775.7-0.791214000000124</f>
        <v>2211.3532819999996</v>
      </c>
      <c r="X223" s="3">
        <f>2331.7+(1199.5-426.7)+(-3.567501+(-1.835235--0.652851))+0-766.8--1.17320400000004</f>
        <v>2334.1233189999998</v>
      </c>
      <c r="Y223" s="3">
        <f>2346.7+(989.3-291.7)+(-1.196817+(-0.504543--0.148767))+0-794.8--0.405347999999919</f>
        <v>2248.3527549999994</v>
      </c>
      <c r="Z223" s="3">
        <f>2355.6+(858.4-328)+(-2.402712+(-0.875568--0.33456))+0-730.9--0.745518000000116</f>
        <v>2152.9017979999999</v>
      </c>
      <c r="AA223" s="3">
        <f>2358.3+(837.3-374.2)+(-3.608199+(-1.281069--0.572526))+0-740.5--1.13296500000004</f>
        <v>2077.7162230000004</v>
      </c>
      <c r="AB223" s="3">
        <f>2358.9+(815.6-386.5)+(-4.812156+(-1.663824--0.78846))+0-802.3--1.63669199999996</f>
        <v>1981.6491720000001</v>
      </c>
      <c r="AC223" s="3">
        <f>2317.4+(664.5-425.5)+(-3.545622+(-1.016685--0.651015))+0-688.8--1.05386400000004</f>
        <v>1864.7425720000003</v>
      </c>
      <c r="AD223">
        <v>2450.6999999999998</v>
      </c>
      <c r="AE223" s="3">
        <f>2326+(1312.3-469.9)+(0+(0-0))+0-717.7-0</f>
        <v>2450.6999999999998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2259.3+(727.9-539.2)+(-1.152243+(-0.371229--0.274992))+0-685.1--0.349400999999931</f>
        <v>1762.0009209999998</v>
      </c>
      <c r="G224" s="3">
        <f>2300+(793.4-562.8)+(-3.519+(-1.213902--0.861084))+0-843.8--1.29101400000005</f>
        <v>1684.219196</v>
      </c>
      <c r="H224" s="3">
        <f>2090.5+(792-458.3)+(2.13231+(0.80784-0.467466))+0-754.1-0.76918200000012</f>
        <v>1671.8035019999995</v>
      </c>
      <c r="I224" s="3">
        <f>1956.9+(784.6-227.5)+(1.996038+(0.800292-0.23205))+0-874.7-0.892194000000139</f>
        <v>1640.9720859999998</v>
      </c>
      <c r="J224" s="3">
        <f>1963.6+(760.7-270.2)+(1.001436+(0.387957-0.137802))+0-790.9-0.40335899999992</f>
        <v>1664.0482320000001</v>
      </c>
      <c r="K224" s="3">
        <f>1968.1+(797.3-346)+(0+(0-0))+0-746.5-0</f>
        <v>1672.8999999999996</v>
      </c>
      <c r="L224" s="3">
        <f>1972.6+(887.8-429.5)+(0+(0-0))+0-752.4-0</f>
        <v>1678.4999999999995</v>
      </c>
      <c r="M224" s="3">
        <f>1972.5+(845-226.1)+(4.0239+(1.7238-0.461244))+0-656.3-1.33885199999997</f>
        <v>1939.0476040000001</v>
      </c>
      <c r="N224" s="3">
        <f>2114.3+(807.4-229)+(1.078293+(0.411774-0.11679))+0-659.6-0.336395999999933</f>
        <v>2034.1368810000006</v>
      </c>
      <c r="O224" s="3">
        <f>2283.7+(946.7-420.5)+(-1.164687+(-0.482817--0.214455))+0-601.6--0.306815999999939</f>
        <v>2207.1737669999993</v>
      </c>
      <c r="P224" s="3">
        <f>2273.7+(1211.9-623.5)+(2.319174+(1.236138-0.63597))+0-666.9-0.680238000000106</f>
        <v>2197.439104</v>
      </c>
      <c r="Q224" s="3">
        <f>2289.2+(1337-699.9)+(0+(0-0))+0-672.8-0</f>
        <v>2253.5</v>
      </c>
      <c r="R224" s="3">
        <f>2351.6+(1068.6-737.5)+(-5.99658+(-2.72493--1.880625))+0-662.4--1.6891199999999</f>
        <v>2015.1482349999997</v>
      </c>
      <c r="S224" s="3">
        <f>2384.5+(836-655.6)+(0+(0-0))+0-587.1-0</f>
        <v>1977.8000000000002</v>
      </c>
      <c r="T224" s="3">
        <f>2429.8+(983.6-553.4)+(1.239198+(0.501636-0.282234))+0-798.4-0.407183999999919</f>
        <v>2062.6514159999997</v>
      </c>
      <c r="U224" s="3">
        <f>2443.5+(948.4-674.7)+(-2.49237+(-0.967368--0.688194))+0-654--0.667080000000104</f>
        <v>2061.0955359999998</v>
      </c>
      <c r="V224" s="3">
        <f>2459.6+(1098.8-833.9)+(3.763188+(1.681164-1.275867))+0-657.4-1.00582200000004</f>
        <v>2070.262663</v>
      </c>
      <c r="W224" s="3">
        <f>2507.9+(1556.3-1050.2)+(2.558058+(1.587426-1.071204))+0-684-0.697680000000109</f>
        <v>2332.3765999999996</v>
      </c>
      <c r="X224" s="3">
        <f>2524.2+(1562-1019.3)+(-3.862026+(-2.38986--1.559529))+0-685--1.04805000000004</f>
        <v>2378.2556929999996</v>
      </c>
      <c r="Y224" s="3">
        <f>2522.9+(1393.3-841)+(-5.146716+(-2.842332--1.71564))+0-782.3--1.59589199999997</f>
        <v>2288.2224839999994</v>
      </c>
      <c r="Z224" s="3">
        <f>2529.4+(1023.2-611.4)+(-3.869982+(-1.565496--0.935442))+0-748.3--1.14489900000004</f>
        <v>2189.5448630000001</v>
      </c>
      <c r="AA224" s="3">
        <f>2519.3+(677.7-370.8)+(-5.139372+(-1.382508--0.756432))+0-721.1--1.47104399999997</f>
        <v>2100.8055960000002</v>
      </c>
      <c r="AB224" s="3">
        <f>2511+(446-201.5)+(-6.40305+(-1.1373--0.513825))+0-769.5--1.96222499999989</f>
        <v>1980.9356999999998</v>
      </c>
      <c r="AC224" s="3">
        <f>2449.5+(413.3-283.6)+(-3.747735+(-0.632349--0.433908))+0-696.8--1.06610400000004</f>
        <v>1879.5199279999999</v>
      </c>
      <c r="AD224">
        <v>2375.6</v>
      </c>
      <c r="AE224" s="3">
        <f>2512+(1659.3-939.8)+(0+(0-0))+0-855.9-0</f>
        <v>2375.6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2330.7+(384.9-264.2)+(-7.131942+(-1.177794--0.808452))+0-677.1--2.07192600000008</f>
        <v>1768.8706419999999</v>
      </c>
      <c r="G225" s="3">
        <f>2333.7+(310.1-152.8)+(-3.570561+(-0.474453--0.233784))+0-782.1--1.19661300000005</f>
        <v>1706.2853830000004</v>
      </c>
      <c r="H225" s="3">
        <f>2338.5+(318.4-207.8)+(-3.577905+(-0.487152--0.317934))+0-773.5--1.18345500000004</f>
        <v>1673.0363319999999</v>
      </c>
      <c r="I225" s="3">
        <f>2333.2+(362.9-202.6)+(-2.379864+(-0.370158--0.206652))+0-840.8--0.857616000000134</f>
        <v>1651.0142460000004</v>
      </c>
      <c r="J225" s="3">
        <f>2212.2+(421.5-186)+(5.64111+(1.074825-0.4743))+0-790.4-2.01551999999989</f>
        <v>1661.5261149999997</v>
      </c>
      <c r="K225" s="3">
        <f>2344.5+(510.1-275.7)+(1.195695+(0.260151-0.140607))+0-915.1-0.466700999999907</f>
        <v>1664.6485380000004</v>
      </c>
      <c r="L225" s="3">
        <f>2429+(514.1-410.1)+(-1.23879+(-0.262191--0.209151))+0-826.7--0.421616999999916</f>
        <v>1705.4297869999998</v>
      </c>
      <c r="M225" s="3">
        <f>2440+(474.6-312.4)+(2.4888+(0.484092-0.318648))+0-738.9-0.753678000000118</f>
        <v>1865.2005659999995</v>
      </c>
      <c r="N225" s="3">
        <f>2481.4+(729.7-335.5)+(1.265514+(0.372147-0.171105))+0-717.7-0.366026999999927</f>
        <v>2159.0005289999999</v>
      </c>
      <c r="O225" s="3">
        <f>2465.4+(984-633.2)+(3.772062+(1.50552-0.968796))+0-705.9-1.08002700000004</f>
        <v>2113.5287589999998</v>
      </c>
      <c r="P225" s="3">
        <f>2461.9+(1176.2-735.6)+(3.766707+(1.799586-1.125468))+0-649-0.992970000000038</f>
        <v>2256.9478549999999</v>
      </c>
      <c r="Q225" s="3">
        <f>2463.8+(1193.1-843.4)+(-6.28269+(-3.042405--2.15067))+0-549.4--1.40096999999992</f>
        <v>2258.3265449999999</v>
      </c>
      <c r="R225" s="3">
        <f>2532.2+(917.1-1025.5)+(-5.165688+(-1.870884--2.09202))+0-370.7--0.756227999999984</f>
        <v>2048.9116760000002</v>
      </c>
      <c r="S225" s="3">
        <f>2542.3+(617.1-721.1)+(-5.186292+(-1.258884--1.471044))+0-469.8--0.958391999999979</f>
        <v>1964.4842600000004</v>
      </c>
      <c r="T225" s="3">
        <f>2572.2+(561.9-441.2)+(1.311822+(0.286569-0.225012))+0-633.8-0.323237999999936</f>
        <v>2060.1501410000001</v>
      </c>
      <c r="U225" s="3">
        <f>2470.4+(758.9-424.1)+(-7.559424+(-2.322234--1.297746))+0-713.7--2.18392200000008</f>
        <v>2085.1000100000001</v>
      </c>
      <c r="V225" s="3">
        <f>2452.5+(814.2-522)+(3.752325+(1.245726-0.79866))+0-666.7-1.02005100000004</f>
        <v>2081.1793400000001</v>
      </c>
      <c r="W225" s="3">
        <f>2506.3+(1310.1-745.9)+(5.112852+(2.672604-1.521636))+0-697.8-1.42351199999997</f>
        <v>2377.5403080000001</v>
      </c>
      <c r="X225" s="3">
        <f>2532.5+(1390.3-969)+(-6.457875+(-3.545265--2.47095))+0-619.4--1.57946999999991</f>
        <v>2328.4472800000003</v>
      </c>
      <c r="Y225" s="3">
        <f>2534.2+(1216.1-829.8)+(-6.46221+(-3.101055--2.11599))+0-700.5--1.7862749999999</f>
        <v>2214.3389999999999</v>
      </c>
      <c r="Z225" s="3">
        <f>2533.7+(958.6-696.1)+(-5.168748+(-1.955544--1.420044))+0-656.4--1.33905599999997</f>
        <v>2135.4348079999995</v>
      </c>
      <c r="AA225" s="3">
        <f>2536.1+(702.1-509.4)+(-6.467055+(-1.790355--1.29897))+0-703.4--1.7936699999999</f>
        <v>2020.23523</v>
      </c>
      <c r="AB225" s="3">
        <f>2532.2+(462.2-366.4)+(2.582844+(0.471444-0.373728))+0-687.6-0.70135200000011</f>
        <v>1942.3792079999998</v>
      </c>
      <c r="AC225" s="3">
        <f>2496.4+(333.6-278.3)+(-5.092656+(-0.680544--0.567732))+0-740--1.50959999999997</f>
        <v>1808.004132</v>
      </c>
      <c r="AD225">
        <v>2476.1000000000004</v>
      </c>
      <c r="AE225" s="3">
        <f>2513+(1600.3-981)+(0+(0-0))+0-656.2-0</f>
        <v>2476.1000000000004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2435.8+(378.7-279.4)+(-4.969032+(-0.772548--0.569976))+0-731.3--1.49185199999997</f>
        <v>1800.1202480000002</v>
      </c>
      <c r="G226" s="3">
        <f>2421.5+(464.8-362.6)+(-4.93986+(-0.948192--0.739704))+0-804--1.64015999999996</f>
        <v>1716.1918119999996</v>
      </c>
      <c r="H226" s="3">
        <f>2348.5+(492.4-353.9)+(0+(0-0))+0-736.4-0</f>
        <v>1750.6</v>
      </c>
      <c r="I226" s="3">
        <f>2276.8+(553.5-257.1)+(-4.644672+(-1.12914--0.524484))+0-905.3--1.84681199999996</f>
        <v>1664.4974840000004</v>
      </c>
      <c r="J226" s="3">
        <f>2145.8+(590.4-275.7)+(3.283074+(0.903312-0.421821))+0-797.3-1.21986900000005</f>
        <v>1665.744696</v>
      </c>
      <c r="K226" s="3">
        <f>2131.3+(614.2-275.8)+(1.086963+(0.313242-0.140658))+0-787.7-0.40172699999992</f>
        <v>1682.8578200000004</v>
      </c>
      <c r="L226" s="3">
        <f>2135.3+(677.6-274.2)+(-2.178006+(-0.691152--0.279684))+0-790.8--0.806616000000126</f>
        <v>1746.1171420000005</v>
      </c>
      <c r="M226" s="3">
        <f>2211.1+(618.4-200.7)+(2.255322+(0.630768-0.204714))+0-742.4-0.757248000000118</f>
        <v>1888.3241279999995</v>
      </c>
      <c r="N226" s="3">
        <f>2488.4+(776.2-286.7)+(2.538168+(0.791724-0.292434))+0-762.4-0.777648000000122</f>
        <v>2217.7598099999996</v>
      </c>
      <c r="O226" s="3">
        <f>2516.8+(898.2-501.9)+(3.850704+(1.374246-0.767907))+0-686.4-1.05019200000004</f>
        <v>2230.106851</v>
      </c>
      <c r="P226" s="3">
        <f>2507.3+(987.8-549.8)+(-6.393615+(-2.51889--1.40199))+0-692.2--1.7651099999999</f>
        <v>2247.3545950000002</v>
      </c>
      <c r="Q226" s="3">
        <f>2498.6+(1084.3-532.2)+(-3.822858+(-1.658979--0.814266))+0-761--1.16433000000004</f>
        <v>2286.1967589999999</v>
      </c>
      <c r="R226" s="3">
        <f>2496.3+(824.9-508)+(-5.092452+(-1.682796--1.03632))+0-714.9--1.45839599999997</f>
        <v>2094.019468</v>
      </c>
      <c r="S226" s="3">
        <f>2521.6+(789.7-455.8)+(2.572032+(0.805494-0.464916))+0-822.8-0.839256000000131</f>
        <v>2034.7733539999997</v>
      </c>
      <c r="T226" s="3">
        <f>2608.7+(705.8-511)+(-3.991311+(-1.079874--0.78183))+0-677.2--1.03611600000004</f>
        <v>2123.0467610000005</v>
      </c>
      <c r="U226" s="3">
        <f>2598.7+(734.4-524.7)+(-3.976011+(-1.123632--0.802791))+0-696.7--1.06595100000004</f>
        <v>2108.4690989999995</v>
      </c>
      <c r="V226" s="3">
        <f>2494.3+(975.8-658.3)+(1.272093+(0.497658-0.335733))+0-684.8-0.349247999999931</f>
        <v>2128.0847699999999</v>
      </c>
      <c r="W226" s="3">
        <f>2540.4+(1405.3-740.9)+(1.295604+(0.716703-0.377859))+0-729.8-0.372197999999926</f>
        <v>2476.2622499999998</v>
      </c>
      <c r="X226" s="3">
        <f>2553.7+(1332.8-931.3)+(-3.907161+(-2.039184--1.424889))+0-644.4--0.985932000000037</f>
        <v>2307.2644759999998</v>
      </c>
      <c r="Y226" s="3">
        <f>2555.7+(1109.7-829.3)+(-6.517035+(-2.829735--2.114715))+0-705.2--1.7982599999999</f>
        <v>2125.4662050000002</v>
      </c>
      <c r="Z226" s="3">
        <f>2561.4+(829-499.7)+(-1.306314+(-0.42279--0.254847))+0-727.9--0.371228999999926</f>
        <v>2161.6969720000002</v>
      </c>
      <c r="AA226" s="3">
        <f>2567.5+(620.2-370.4)+(-3.928275+(-0.948906--0.566712))+0-827.4--1.26592200000005</f>
        <v>1986.8554530000001</v>
      </c>
      <c r="AB226" s="3">
        <f>2559.6+(416.4-201.4)+(-3.916188+(-0.637092--0.308142))+0-729.9--1.11674700000004</f>
        <v>2041.5716089999996</v>
      </c>
      <c r="AC226" s="3">
        <f>2527.9+(295.3-239.2)+(-6.446145+(-0.753015--0.60996))+0-691.6--1.7635799999999</f>
        <v>1887.57438</v>
      </c>
      <c r="AD226">
        <v>2314.9</v>
      </c>
      <c r="AE226" s="3">
        <f>2552+(1385.8-885.5)+(0+(0-0))+0-737.4-0</f>
        <v>2314.9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2332.3+(374.7-123.7)+(-2.378946+(-0.382194--0.126174))+0-814.9--0.83119800000013</f>
        <v>1766.5962320000001</v>
      </c>
      <c r="G227" s="3">
        <f>2176.6+(419.5-89.1)+(-1.110066+(-0.213945--0.045441))+0-796.1--0.406010999999919</f>
        <v>1710.027441</v>
      </c>
      <c r="H227" s="3">
        <f>2090.3+(535-75)+(-1.066053+(-0.27285--0.03825))+0-850.6--0.433805999999914</f>
        <v>1698.8331530000005</v>
      </c>
      <c r="I227" s="3">
        <f>2033.9+(539-85.2)+(-1.037289+(-0.27489--0.043452))+0-791.6--0.40371599999992</f>
        <v>1695.2349890000003</v>
      </c>
      <c r="J227" s="3">
        <f>2017.5+(527.2-72.1)+(-1.028925+(-0.268872--0.036771))+0-768.1--0.391730999999922</f>
        <v>1703.6307049999998</v>
      </c>
      <c r="K227" s="3">
        <f>2028.5+(512.6-67.8)+(2.06907+(0.522852-0.069156))+0-722.6-0.737052000000115</f>
        <v>1752.4857140000001</v>
      </c>
      <c r="L227" s="3">
        <f>2179.3+(452.4-293.2)+(1.111443+(0.230724-0.149532))+0-606-0.309059999999939</f>
        <v>1733.3835749999998</v>
      </c>
      <c r="M227" s="3">
        <f>2207.8+(530.1-192.5)+(3.377934+(0.811053-0.294525))+0-656.1-1.00383300000004</f>
        <v>1892.1906290000004</v>
      </c>
      <c r="N227" s="3">
        <f>2386.9+(619.7-254.3)+(0+(0-0))+0-651.4-0</f>
        <v>2100.9</v>
      </c>
      <c r="O227" s="3">
        <f>2518.8+(663.6-292.2)+(0+(0-0))+0-722.8-0</f>
        <v>2167.4000000000005</v>
      </c>
      <c r="P227" s="3">
        <f>2509+(862.3-498.4)+(0+(0-0))+0-680.1-0</f>
        <v>2192.8000000000002</v>
      </c>
      <c r="Q227" s="3">
        <f>2532.8+(937.2-567.1)+(0+(0-0))+0-624.1-0</f>
        <v>2278.8000000000002</v>
      </c>
      <c r="R227" s="3">
        <f>2511.4+(709.6-613.2)+(-2.561628+(-0.723792--0.625464))+0-555.5--0.566610000000089</f>
        <v>2050.2066540000005</v>
      </c>
      <c r="S227" s="3">
        <f>2396.3+(855.4-590.8)+(-1.222113+(-0.436254--0.301308))+0-621.4--0.316913999999937</f>
        <v>2038.4598550000001</v>
      </c>
      <c r="T227" s="3">
        <f>2417.6+(881.8-549.9)+(-1.232976+(-0.449718--0.280449))+0-603--0.307529999999939</f>
        <v>2145.4052849999998</v>
      </c>
      <c r="U227" s="3">
        <f>2416.1+(877.8-489.4)+(-3.696633+(-1.343034--0.748782))+0-663--1.01439000000004</f>
        <v>2138.2235049999999</v>
      </c>
      <c r="V227" s="3">
        <f>2463.8+(873.1-550.5)+(-1.256538+(-0.445281--0.280755))+0-662.7--0.337976999999933</f>
        <v>2122.6169129999998</v>
      </c>
      <c r="W227" s="3">
        <f>2566.3+(1240.5-751.7)+(0+(0-0))+0-666-0</f>
        <v>2389.1000000000004</v>
      </c>
      <c r="X227" s="3">
        <f>2575.8+(1203.3-808.5)+(-5.254632+(-2.454732--1.64934))+0-670.1--1.36700399999997</f>
        <v>2295.8069800000007</v>
      </c>
      <c r="Y227" s="3">
        <f>2571.1+(960.8-678.8)+(-2.622522+(-0.980016--0.692376))+0-735--0.749700000000117</f>
        <v>2115.9395380000001</v>
      </c>
      <c r="Z227" s="3">
        <f>2576.9+(772.3-383.8)+(0+(0-0))+0-800.1-0</f>
        <v>2165.3000000000002</v>
      </c>
      <c r="AA227" s="3">
        <f>2583.8+(557-296.8)+(-3.953214+(-0.85221--0.454104))+0-717.4--1.09762200000004</f>
        <v>2123.3463019999999</v>
      </c>
      <c r="AB227" s="3">
        <f>2568.9+(523-262.7)+(-3.930417+(-0.80019--0.401931))+0-755.4--1.15576200000004</f>
        <v>2070.627086</v>
      </c>
      <c r="AC227" s="3">
        <f>2522.8+(466.6-293.9)+(-3.859884+(-0.713898--0.449667))+0-758.9--1.16111700000004</f>
        <v>1933.6370019999999</v>
      </c>
      <c r="AD227">
        <v>2408.3000000000002</v>
      </c>
      <c r="AE227" s="3">
        <f>2563+(1537.2-853.7)+(0+(0-0))+0-838.2-0</f>
        <v>2408.3000000000002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2425.8+(489.9-285.7)+(0+(0-0))+0-805.2-0</f>
        <v>1824.8</v>
      </c>
      <c r="G228" s="3">
        <f>2319.9+(465.4-223.5)+(-2.366298+(-0.474708--0.22797))+0-852.6--0.869652000000136</f>
        <v>1707.4566160000002</v>
      </c>
      <c r="H228" s="3">
        <f>2220.4+(499.7-98.2)+(-5.66202+(-1.274235--0.25041))+0-895.2--2.28275999999987</f>
        <v>1722.2969149999999</v>
      </c>
      <c r="I228" s="3">
        <f>2102.7+(486.6-89.5)+(0+(0-0))+0-828.1-0</f>
        <v>1671.6999999999998</v>
      </c>
      <c r="J228" s="3">
        <f>2107.1+(561.9-62.6)+(0+(0-0))+0-922.6-0</f>
        <v>1683.7999999999997</v>
      </c>
      <c r="K228" s="3">
        <f>2105.5+(457.1-163.5)+(1.073805+(0.233121-0.083385))+0-666.4-0.339863999999932</f>
        <v>1733.5836769999996</v>
      </c>
      <c r="L228" s="3">
        <f>2117.9+(528.2-154.8)+(-3.240387+(-0.808146--0.236844))+0-783.9--1.19936700000005</f>
        <v>1704.7876779999999</v>
      </c>
      <c r="M228" s="3">
        <f>2313.2+(456.4-163)+(-1.179732+(-0.232764--0.08313))+0-728.8--0.371687999999926</f>
        <v>1876.842322</v>
      </c>
      <c r="N228" s="3">
        <f>2497.2+(443.2-149.3)+(1.273572+(0.226032-0.076143))+0-712.4-0.363323999999928</f>
        <v>2079.7601369999998</v>
      </c>
      <c r="O228" s="3">
        <f>2529.4+(736.2-216)+(1.289994+(0.375462-0.11016))+0-640-0.326399999999935</f>
        <v>2410.8288960000004</v>
      </c>
      <c r="P228" s="3">
        <f>2587.5+(1010.8-541.5)+(1.319625+(0.515508-0.276165))+0-735.3-0.375002999999925</f>
        <v>2322.6839650000002</v>
      </c>
      <c r="Q228" s="3">
        <f>2538.2+(1209.2-534.8)+(0+(0-0))+0-809.3-0</f>
        <v>2403.3000000000002</v>
      </c>
      <c r="R228" s="3">
        <f>2510+(977-597.7)+(-1.2801+(-0.49827--0.304827))+0-775--0.395249999999921</f>
        <v>2113.2217070000002</v>
      </c>
      <c r="S228" s="3">
        <f>2505.3+(719.7-585.9)+(-3.833109+(-1.101141--0.896427))+0-780.3--1.19385900000005</f>
        <v>1855.9560360000003</v>
      </c>
      <c r="T228" s="3">
        <f>2493.9+(605.6-353.4)+(2.543778+(0.617712-0.360468))+0-809.5-0.825690000000129</f>
        <v>1938.5753320000003</v>
      </c>
      <c r="U228" s="3">
        <f>2497.9+(527.7-292)+(-2.547858+(-0.538254--0.29784))+0-801.3--0.817326000000128</f>
        <v>1930.3290540000007</v>
      </c>
      <c r="V228" s="3">
        <f>2500.6+(596.8-290.2)+(0+(0-0))+0-819.2-0</f>
        <v>1987.9999999999998</v>
      </c>
      <c r="W228" s="3">
        <f>2548.6+(977.2-642)+(2.599572+(0.996744-0.65484))+0-671.7-0.685134000000107</f>
        <v>2214.356342</v>
      </c>
      <c r="X228" s="3">
        <f>2571.1+(1237-779.3)+(0+(0-0))+0-810.4-0</f>
        <v>2218.4</v>
      </c>
      <c r="Y228" s="3">
        <f>2571.9+(1015.9-715.6)+(-7.870014+(-3.108654--2.189736))+0-746.7--2.28490200000009</f>
        <v>2118.9959699999995</v>
      </c>
      <c r="Z228" s="3">
        <f>2565.6+(940.5-571.8)+(-2.616912+(-0.95931--0.583236))+0-870.3--0.887706000000139</f>
        <v>2061.8947199999998</v>
      </c>
      <c r="AA228" s="3">
        <f>2566.8+(741-598.3)+(-3.927204+(-1.13373--0.915399))+0-708.6--1.08415800000004</f>
        <v>1997.8386230000001</v>
      </c>
      <c r="AB228" s="3">
        <f>2554.8+(752-493.8)+(-3.908844+(-1.15056--0.755514))+0-900.1--1.37715300000005</f>
        <v>1909.9732630000001</v>
      </c>
      <c r="AC228" s="3">
        <f>2503.2+(350-395.6)+(-6.38316+(-0.8925--1.00878))+0-753.9--1.92244499999989</f>
        <v>1699.3555649999996</v>
      </c>
      <c r="AD228">
        <v>2217.5</v>
      </c>
      <c r="AE228" s="3">
        <f>2561+(1271.1-792.8)+(0+(0-0))+0-821.8-0</f>
        <v>2217.5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2453.5+(341.8-211.6)+(0+(0-0))+0-812.1-0</f>
        <v>1771.6</v>
      </c>
      <c r="G229" s="3">
        <f>2376.7+(321.8-217.7)+(-1.212117+(-0.164118--0.111027))+0-848.6--0.432785999999914</f>
        <v>1631.3675779999999</v>
      </c>
      <c r="H229" s="3">
        <f>2283+(396.6-169)+(0+(0-0))+0-874.8-0</f>
        <v>1635.8</v>
      </c>
      <c r="I229" s="3">
        <f>2287.7+(391.9-246.3)+(0+(0-0))+0-815-0</f>
        <v>1618.2999999999997</v>
      </c>
      <c r="J229" s="3">
        <f>2316.1+(419.7-223.6)+(1.181211+(0.214047-0.114036))+0-851.4-0.434213999999914</f>
        <v>1661.6470079999999</v>
      </c>
      <c r="K229" s="3">
        <f>2327.6+(457.6-229.2)+(-2.374152+(-0.466752--0.233784))+0-867.1--0.884442000000138</f>
        <v>1687.177322</v>
      </c>
      <c r="L229" s="3">
        <f>2346.3+(429.2-345.6)+(-3.589839+(-0.656676--0.528768))+0-862.5--1.31962500000005</f>
        <v>1565.001878</v>
      </c>
      <c r="M229" s="3">
        <f>2195.7+(367.1-333.6)+(-1.119807+(-0.187221--0.170136))+0-715.4--0.364853999999927</f>
        <v>1513.0279619999997</v>
      </c>
      <c r="N229" s="3">
        <f>2195.8+(329.8-303)+(1.119858+(0.168198-0.15453))+0-604.9-0.308498999999939</f>
        <v>1618.5250270000004</v>
      </c>
      <c r="O229" s="3">
        <f>2241.4+(425.1-277.5)+(0+(0-0))+0-650.8-0</f>
        <v>1738.2</v>
      </c>
      <c r="P229" s="3">
        <f>2326.3+(548.7-235.1)+(-2.372826+(-0.559674--0.239802))+0-870.3--0.887706000000139</f>
        <v>1767.7950080000005</v>
      </c>
      <c r="Q229" s="3">
        <f>2299.3+(470.2-276.9)+(-3.517929+(-0.719406--0.423657))+0-583.5--0.892755000000034</f>
        <v>1906.1790770000005</v>
      </c>
      <c r="R229" s="3">
        <f>2180.5+(503.5-393.4)+(-3.336165+(-0.770355--0.601902))+0-442.5--0.677025000000026</f>
        <v>1845.2724069999999</v>
      </c>
      <c r="S229" s="3">
        <f>2170.9+(586.3-491.8)+(-3.321477+(-0.897039--0.752454))+0-591.6--0.905148000000034</f>
        <v>1671.2390860000003</v>
      </c>
      <c r="T229" s="3">
        <f>2163+(706-415.8)+(-2.20626+(-0.72012--0.424116))+0-826.8--0.843336000000132</f>
        <v>1624.7410719999998</v>
      </c>
      <c r="U229" s="3">
        <f>2164.1+(551.3-435.4)+(-1.103691+(-0.281163--0.222054))+0-665.7--0.339506999999933</f>
        <v>1613.4767069999998</v>
      </c>
      <c r="V229" s="3">
        <f>2233+(631.5-433.1)+(3.41649+(0.966195-0.662643))+0-682.8-1.04468400000004</f>
        <v>1751.2753580000001</v>
      </c>
      <c r="W229" s="3">
        <f>2327.8+(1083.8-634.9)+(3.561534+(1.658214-0.971397))+0-688.2-1.05294600000004</f>
        <v>2091.6954049999999</v>
      </c>
      <c r="X229" s="3">
        <f>2372.7+(1226-930)+(1.210077+(0.62526-0.4743))+0-708.8-0.361487999999928</f>
        <v>1960.899549</v>
      </c>
      <c r="Y229" s="3">
        <f>2377.8+(1095.6-959.4)+(0+(0-0))+0-566.5-0</f>
        <v>1947.5</v>
      </c>
      <c r="Z229" s="3">
        <f>2374.8+(1122-910)+(2.422296+(1.14444-0.9282))+0-656.7-0.669834000000105</f>
        <v>1932.068702</v>
      </c>
      <c r="AA229" s="3">
        <f>2382.4+(952-772.3)+(0+(0-0))+0-734.6-0</f>
        <v>1827.5000000000005</v>
      </c>
      <c r="AB229" s="3">
        <f>2366.8+(636.1-518.7)+(-2.414136+(-0.648822--0.529074))+0-738.2--0.752964000000118</f>
        <v>1744.2190800000003</v>
      </c>
      <c r="AC229" s="3">
        <f>2370.5+(298.8-329.8)+(-3.626865+(-0.457164--0.504594))+0-763--1.16739000000004</f>
        <v>1574.087955</v>
      </c>
      <c r="AD229">
        <v>1896.0000000000002</v>
      </c>
      <c r="AE229" s="3">
        <f>2365+(1257.8-953)+(0+(0-0))+0-773.8-0</f>
        <v>1896.0000000000002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2275.9+(239.2-304.4)+(0+(0-0))+0-624.2-0</f>
        <v>1586.5000000000002</v>
      </c>
      <c r="G230" s="3">
        <f>2277+(296.4-211.5)+(2.32254+(0.302328-0.21573))+0-825.6-0.842112000000132</f>
        <v>1537.8670260000001</v>
      </c>
      <c r="H230" s="3">
        <f>2276.3+(234.6-261.7)+(0+(0-0))+0-700.8-0</f>
        <v>1548.4000000000003</v>
      </c>
      <c r="I230" s="3">
        <f>2262.7+(272.8-216.9)+(-2.307954+(-0.278256--0.221238))+0-784.5--0.800190000000125</f>
        <v>1532.5352180000002</v>
      </c>
      <c r="J230" s="3">
        <f>1977.4+(446.6-97)+(0+(0-0))+0-754.3-0</f>
        <v>1572.7</v>
      </c>
      <c r="K230" s="3">
        <f>1991.2+(571.1-80.7)+(1.015512+(0.291261-0.041157))+0-874-0.445739999999911</f>
        <v>1608.4198760000002</v>
      </c>
      <c r="L230" s="3">
        <f>2156.7+(394.6-127.5)+(-2.199834+(-0.402492--0.13005))+0-720.7--0.735114000000115</f>
        <v>1701.3628379999998</v>
      </c>
      <c r="M230" s="3">
        <f>2395+(317.3-174.5)+(1.22145+(0.161823-0.088995))+0-678-0.345779999999931</f>
        <v>1860.7484980000002</v>
      </c>
      <c r="N230" s="3">
        <f>2381.1+(447.5-190.9)+(3.643083+(0.684675-0.292077))+0-645.3-0.987309000000037</f>
        <v>1995.4483719999996</v>
      </c>
      <c r="O230" s="3">
        <f>2358.7+(646.8-221.9)+(-1.202937+(-0.329868--0.113169))+0-702.4--0.358223999999929</f>
        <v>2080.1385879999998</v>
      </c>
      <c r="P230" s="3">
        <f>2351.8+(880.5-520.7)+(3.598254+(1.347165-0.796671))+0-540.5-0.826965000000031</f>
        <v>2174.4217830000002</v>
      </c>
      <c r="Q230" s="3">
        <f>2345.6+(1156.4-594.2)+(0+(0-0))+0-690.6-0</f>
        <v>2217.2000000000003</v>
      </c>
      <c r="R230" s="3">
        <f>2339.1+(764-454.1)+(1.192941+(0.38964-0.231591))+0-738.8-0.376787999999925</f>
        <v>1911.1742019999999</v>
      </c>
      <c r="S230" s="3">
        <f>2326.9+(414.8-332.7)+(2.373438+(0.423096-0.339354))+0-542.5-0.553350000000086</f>
        <v>1868.4038299999997</v>
      </c>
      <c r="T230" s="3">
        <f>2329.4+(606.6-174)+(2.375988+(0.618732-0.17748))+0-705.1-0.719202000000112</f>
        <v>2058.9980379999997</v>
      </c>
      <c r="U230" s="3">
        <f>2347.1+(553.8-140.7)+(-1.197021+(-0.282438--0.071757))+0-674--0.343739999999932</f>
        <v>2085.1360379999996</v>
      </c>
      <c r="V230" s="3">
        <f>2423.9+(610-220.8)+(0+(0-0))+0-654.7-0</f>
        <v>2158.3999999999996</v>
      </c>
      <c r="W230" s="3">
        <f>2475.7+(1009-438.3)+(2.525214+(1.02918-0.447066))+0-613.2-0.625464000000098</f>
        <v>2435.6818639999997</v>
      </c>
      <c r="X230" s="3">
        <f>2499.4+(1022.1-466.1)+(0+(0-0))+0-743-0</f>
        <v>2312.4</v>
      </c>
      <c r="Y230" s="3">
        <f>2481.4+(743.8-336.3)+(0+(0-0))+0-717.3-0</f>
        <v>2171.6000000000004</v>
      </c>
      <c r="Z230" s="3">
        <f>2460.1+(684.7-276.8)+(-3.763953+(-1.047591--0.423504))+0-738.8--1.13036400000004</f>
        <v>2125.9423240000001</v>
      </c>
      <c r="AA230" s="3">
        <f>2459.6+(500.7-196.9)+(-3.763188+(-0.766071--0.301257))+0-788--1.20564000000005</f>
        <v>1972.3776379999999</v>
      </c>
      <c r="AB230" s="3">
        <f>2465.6+(537.9-376.4)+(-5.029824+(-1.097316--0.767856))+0-808.3--1.64893199999996</f>
        <v>1815.0896479999999</v>
      </c>
      <c r="AC230" s="3">
        <f>2463+(510.3-380)+(-6.28065+(-1.301265--0.969))+0-703.8--1.7946899999999</f>
        <v>1884.681775</v>
      </c>
      <c r="AD230">
        <v>2456.8000000000002</v>
      </c>
      <c r="AE230" s="3">
        <f>2488+(1265.1-548.5)+(0+(0-0))+0-747.8-0</f>
        <v>2456.8000000000002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2279.2+(560.3-309.9)+(-2.324784+(-0.571506--0.316098))+0-799.8--0.815796000000128</f>
        <v>1728.0356040000001</v>
      </c>
      <c r="G231" s="3">
        <f>2173+(605.4-233.8)+(-5.54115+(-1.54377--0.59619))+0-860.4--2.19401999999988</f>
        <v>1679.9052899999997</v>
      </c>
      <c r="H231" s="3">
        <f>2178.1+(429.1-126.7)+(1.110831+(0.218841-0.064617))+0-788.3-0.40203299999992</f>
        <v>1693.063022</v>
      </c>
      <c r="I231" s="3">
        <f>2184.3+(362.8-137.6)+(-3.341979+(-0.555084--0.210528))+0-774--1.18422000000004</f>
        <v>1632.9976850000003</v>
      </c>
      <c r="J231" s="3">
        <f>2189.5+(394.8-115.3)+(3.349935+(0.604044-0.176409))+0-862.2-1.31916600000005</f>
        <v>1609.2584040000002</v>
      </c>
      <c r="K231" s="3">
        <f>2194.9+(327.7-189.8)+(-4.477596+(-0.668508--0.387192))+0-696--1.41983999999997</f>
        <v>1633.4609280000004</v>
      </c>
      <c r="L231" s="3">
        <f>2196+(415.2-152.7)+(-4.47984+(-0.847008--0.311508))+0-776--1.58303999999997</f>
        <v>1679.0677000000001</v>
      </c>
      <c r="M231" s="3">
        <f>2195.6+(450.1-175.8)+(-4.479024+(-0.918204--0.358632))+0-747.1--1.52408399999997</f>
        <v>1719.2854880000002</v>
      </c>
      <c r="N231" s="3">
        <f>2181.2+(499.4-152.8)+(-4.449648+(-1.018776--0.311712))+0-650.3--1.32661199999997</f>
        <v>1873.6698999999999</v>
      </c>
      <c r="O231" s="3">
        <f>2175+(712.1-78.7)+(-4.437+(-1.452684--0.160548))+0-642.9--1.31151599999997</f>
        <v>2161.0823799999998</v>
      </c>
      <c r="P231" s="3">
        <f>2171+(783.8-99.5)+(0+(0-0))+0-686.9-0</f>
        <v>2168.4</v>
      </c>
      <c r="Q231" s="3">
        <f>2185+(922.9-180.7)+(-2.2287+(-0.941358--0.184314))+0-663.2--0.676464000000106</f>
        <v>2261.6907199999996</v>
      </c>
      <c r="R231" s="3">
        <f>2180.6+(729.5-209.3)+(-2.224212+(-0.74409--0.213486))+0-664.5--0.677790000000106</f>
        <v>2034.2229740000002</v>
      </c>
      <c r="S231" s="3">
        <f>2208+(517.5-157)+(-2.25216+(-0.52785--0.16014))+0-629.3--0.6418860000001</f>
        <v>1937.2220160000002</v>
      </c>
      <c r="T231" s="3">
        <f>2230.5+(540.9-78.4)+(-1.137555+(-0.275859--0.039984))+0-670--0.341699999999932</f>
        <v>2021.9682699999998</v>
      </c>
      <c r="U231" s="3">
        <f>2194.3+(485-112.8)+(-1.119093+(-0.24735--0.057528))+0-556.5--0.283814999999944</f>
        <v>2008.9748999999999</v>
      </c>
      <c r="V231" s="3">
        <f>2304.5+(845.8-292.2)+(2.35059+(0.862716-0.298044))+0-758-0.773160000000121</f>
        <v>2102.2421019999997</v>
      </c>
      <c r="W231" s="3">
        <f>2369.2+(890.3-305.2)+(-2.416584+(-0.908106--0.311304))+0-700.9--0.714918000000112</f>
        <v>2251.1015319999997</v>
      </c>
      <c r="X231" s="3">
        <f>2396.1+(892-313.3)+(-3.666033+(-1.36476--0.479349))+0-701.8--1.07375400000004</f>
        <v>2269.5223100000003</v>
      </c>
      <c r="Y231" s="3">
        <f>2402.5+(852.3-404.9)+(-2.45055+(-0.869346--0.412998))+0-651--0.664020000000104</f>
        <v>2196.6571220000001</v>
      </c>
      <c r="Z231" s="3">
        <f>2416.1+(644.9-426.9)+(-1.232211+(-0.328899--0.217719))+0-646.1--0.329510999999935</f>
        <v>1986.98612</v>
      </c>
      <c r="AA231" s="3">
        <f>2412.5+(696.7-357.8)+(-3.691125+(-1.065951--0.547434))+0-875.8--1.33997400000005</f>
        <v>1872.7303320000003</v>
      </c>
      <c r="AB231" s="3">
        <f>2400.6+(603.2-266.8)+(-2.448612+(-0.615264--0.272136))+0-886.5--0.904230000000141</f>
        <v>1848.61249</v>
      </c>
      <c r="AC231" s="3">
        <f>2343+(524-326.3)+(-4.77972+(-1.06896--0.665652))+0-749.4--1.52877599999997</f>
        <v>1787.6457479999997</v>
      </c>
      <c r="AD231">
        <v>2280.6999999999998</v>
      </c>
      <c r="AE231" s="3">
        <f>2378+(1012-287.9)+(0+(0-0))+0-821.4-0</f>
        <v>2280.6999999999998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2211.5+(548.6-340.2)+(-1.127865+(-0.279786--0.173502))+0-949.2--0.484091999999904</f>
        <v>1469.9499430000001</v>
      </c>
      <c r="G232" s="3">
        <f>2045+(535.3-329.3)+(1.04295+(0.273003-0.167943))+0-858.8-0.437987999999913</f>
        <v>1392.910022</v>
      </c>
      <c r="H232" s="3">
        <f>1853.1+(506.6-279.3)+(0+(0-0))+0-690.6-0</f>
        <v>1389.8000000000002</v>
      </c>
      <c r="I232" s="3">
        <f>1854.7+(502.3-246.8)+(-1.891794+(-0.512346--0.251736))+0-726.8--0.741336000000116</f>
        <v>1381.988932</v>
      </c>
      <c r="J232" s="3">
        <f>1851.1+(530.7-229)+(0.944061+(0.270657-0.11679))+0-769.7-0.392546999999922</f>
        <v>1383.8053810000004</v>
      </c>
      <c r="K232" s="3">
        <f>1850.1+(490.4-245.1)+(-1.887102+(-0.500208--0.250002))+0-703.7--0.717774000000112</f>
        <v>1390.2804660000004</v>
      </c>
      <c r="L232" s="3">
        <f>1864.3+(435.8-318.5)+(0.950793+(0.222258-0.162435))+0-598.6-0.305285999999939</f>
        <v>1383.70533</v>
      </c>
      <c r="M232" s="3">
        <f>1856.4+(386-312.7)+(-0.946764+(-0.19686--0.159477))+0-615.6--0.313955999999938</f>
        <v>1313.4298090000002</v>
      </c>
      <c r="N232" s="3">
        <f>1871.9+(417.9-322)+(1.909338+(0.426258-0.32844))+0-610.9-0.623118000000097</f>
        <v>1358.284038</v>
      </c>
      <c r="O232" s="3">
        <f>2028.5+(579.2-413.5)+(-1.034535+(-0.295392--0.210885))+0-606.9--0.309518999999938</f>
        <v>1586.4904769999998</v>
      </c>
      <c r="P232" s="3">
        <f>2030.4+(627.1-234.2)+(-5.17752+(-1.599105--0.59721))+0-749.2--1.91045999999989</f>
        <v>1669.8310449999999</v>
      </c>
      <c r="Q232" s="3">
        <f>2027.4+(682.8-208.6)+(-2.067948+(-0.696456--0.212772))+0-755.3--0.77040600000012</f>
        <v>1744.5187739999999</v>
      </c>
      <c r="R232" s="3">
        <f>2012.1+(737.8-258.7)+(-4.104684+(-1.505112--0.527748))+0-813.4--1.65933599999996</f>
        <v>1674.3772879999995</v>
      </c>
      <c r="S232" s="3">
        <f>2009.7+(621.3-280.9)+(-4.099788+(-1.267452--0.573036))+0-724.6--1.47818399999997</f>
        <v>1622.1839800000002</v>
      </c>
      <c r="T232" s="3">
        <f>2006.9+(458-227.3)+(-1.023519+(-0.23358--0.115923))+0-668.8--0.341087999999932</f>
        <v>1567.9999119999998</v>
      </c>
      <c r="U232" s="3">
        <f>2022.4+(394.9-314.9)+(0+(0-0))+0-590.9-0</f>
        <v>1511.5</v>
      </c>
      <c r="V232" s="3">
        <f>2102+(433.4-311.2)+(-3.21606+(-0.663102--0.476136))+0-755.7--1.15622100000004</f>
        <v>1466.2531949999998</v>
      </c>
      <c r="W232" s="3">
        <f>2200.6+(796.4-327.8)+(-1.122306+(-0.406164--0.167178))+0-719.5--0.366944999999927</f>
        <v>1948.7056529999998</v>
      </c>
      <c r="X232" s="3">
        <f>2201.8+(985.3-463.8)+(-4.491672+(-2.010012--0.946152))+0-768.2--1.56712799999997</f>
        <v>1951.1115960000002</v>
      </c>
      <c r="Y232" s="3">
        <f>2221.9+(1040.4-532.7)+(-3.399507+(-1.591812--0.815031))+0-784.5--1.20028500000005</f>
        <v>1942.1239970000004</v>
      </c>
      <c r="Z232" s="3">
        <f>2242.7+(833.8-617.7)+(-3.431331+(-1.275714--0.945081))+0-605.1--0.925803000000035</f>
        <v>1850.8638390000001</v>
      </c>
      <c r="AA232" s="3">
        <f>2255.3+(700-610.2)+(-5.751015+(-1.785--1.55601))+0-594.6--1.51622999999991</f>
        <v>1746.0362250000005</v>
      </c>
      <c r="AB232" s="3">
        <f>2297.4+(847.1-580)+(-2.343348+(-0.864042--0.5916))+0-818.2--0.834564000000131</f>
        <v>1744.5187740000003</v>
      </c>
      <c r="AC232" s="3">
        <f>2168.9+(733.8-512.5)+(-5.530695+(-1.87119--1.306875))+0-747--1.90484999999989</f>
        <v>1639.0098399999997</v>
      </c>
      <c r="AD232">
        <v>1943.9</v>
      </c>
      <c r="AE232" s="3">
        <f>2264+(1127.4-463.5)+(0+(0-0))+0-984-0</f>
        <v>1943.9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1810+(687.3-136.6)+(-1.8462+(-0.701046--0.139332))+0-835--0.851700000000133</f>
        <v>1524.1437860000001</v>
      </c>
      <c r="G233" s="3">
        <f>1884.5+(462.9-100.1)+(0+(0-0))+0-804.4-0</f>
        <v>1442.9</v>
      </c>
      <c r="H233" s="3">
        <f>1858.7+(548.5-118.6)+(-1.895874+(-0.55947--0.120972))+0-772--0.787440000000123</f>
        <v>1515.0530680000002</v>
      </c>
      <c r="I233" s="3">
        <f>1941.5+(430.8-166.6)+(-4.950825+(-1.09854--0.42483))+0-643.5--1.64092499999991</f>
        <v>1558.2163899999998</v>
      </c>
      <c r="J233" s="3">
        <f>1992.6+(367.3-104.5)+(1.016226+(0.187323-0.053295))+0-748.5-0.381734999999924</f>
        <v>1507.6685190000003</v>
      </c>
      <c r="K233" s="3">
        <f>2041.4+(426.7-127.6)+(0+(0-0))+0-809.2-0</f>
        <v>1531.3</v>
      </c>
      <c r="L233" s="3">
        <f>2055.4+(448.9-185.2)+(2.096508+(0.457878-0.188904))+0-753.3-0.76836600000012</f>
        <v>1567.3971160000001</v>
      </c>
      <c r="M233" s="3">
        <f>2101.1+(378.3-200.8)+(2.143122+(0.385866-0.204816))+0-535.2-0.545904000000085</f>
        <v>1745.1782679999999</v>
      </c>
      <c r="N233" s="3">
        <f>2322.4+(439.8-286.3)+(0+(0-0))+0-469.6-0</f>
        <v>2006.3000000000002</v>
      </c>
      <c r="O233" s="3">
        <f>2495.2+(701.7-300.4)+(2.545104+(0.715734-0.306408))+0-639.6-0.652392000000102</f>
        <v>2259.2020379999999</v>
      </c>
      <c r="P233" s="3">
        <f>2503.3+(984.5-704.4)+(1.276683+(0.502095-0.359244))+0-631.6-0.322115999999936</f>
        <v>2152.8974180000005</v>
      </c>
      <c r="Q233" s="3">
        <f>2507.4+(1390.2-814.5)+(1.278774+(0.709002-0.415395))+0-811.3-0.413762999999918</f>
        <v>2272.9586180000001</v>
      </c>
      <c r="R233" s="3">
        <f>2605.4+(1009-879.6)+(-5.315016+(-2.05836--1.794384))+0-770.3--1.57141199999997</f>
        <v>1960.49242</v>
      </c>
      <c r="S233" s="3">
        <f>2699.1+(712.7-758.5)+(-5.506164+(-1.453908--1.54734))+0-749.7--1.52938799999997</f>
        <v>1899.7166560000003</v>
      </c>
      <c r="T233" s="3">
        <f>2697.4+(691.1-716.6)+(-4.127022+(-1.057383--1.096398))+0-636.8--0.974304000000037</f>
        <v>2031.9862970000004</v>
      </c>
      <c r="U233" s="3">
        <f>2699.1+(692.7-748.1)+(-1.376541+(-0.353277--0.381531))+0-601.9--0.306968999999939</f>
        <v>2040.7586819999999</v>
      </c>
      <c r="V233" s="3">
        <f>2695.9+(598.5-600.8)+(1.374909+(0.305235-0.306408))+0-618.5-0.315434999999937</f>
        <v>2076.1583010000004</v>
      </c>
      <c r="W233" s="3">
        <f>2719.2+(1124.8-868.3)+(-2.773584+(-1.147296--0.885666))+0-668.2--0.681564000000107</f>
        <v>2305.1463499999995</v>
      </c>
      <c r="X233" s="3">
        <f>2734.4+(1141.9-903.7)+(-8.367264+(-3.494214--2.765322))+0-770.7--2.35834200000009</f>
        <v>2195.162186</v>
      </c>
      <c r="Y233" s="3">
        <f>2738+(979.3-781.2)+(-4.18914+(-1.498329--1.195236))+0-736.7--1.12715100000004</f>
        <v>2196.0349179999998</v>
      </c>
      <c r="Z233" s="3">
        <f>2726.3+(943.3-716.1)+(-1.390413+(-0.481083--0.365211))+0-828--0.422279999999916</f>
        <v>2124.4159949999998</v>
      </c>
      <c r="AA233" s="3">
        <f>2707+(657.9-608.1)+(-6.90285+(-1.677645--1.550655))+0-764.8--1.95023999999989</f>
        <v>1986.9204</v>
      </c>
      <c r="AB233" s="3">
        <f>2645.6+(430.4-591)+(-4.047768+(-0.658512--0.90423))+0-555.9--0.850527000000032</f>
        <v>1926.1484770000002</v>
      </c>
      <c r="AC233" s="3">
        <f>2452+(531.2-615.5)+(-2.50104+(-0.541824--0.62781))+0-579.1--0.590682000000092</f>
        <v>1786.7756279999999</v>
      </c>
      <c r="AD233">
        <v>2409.5</v>
      </c>
      <c r="AE233" s="3">
        <f>2722+(1251.2-914.6)+(0+(0-0))+0-649.1-0</f>
        <v>2409.5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2410.7+(463.4-463.5)+(-1.229457+(-0.236334--0.236385))+0-795.2--0.405551999999919</f>
        <v>1614.5761459999999</v>
      </c>
      <c r="G234" s="3">
        <f>2296.5+(305.4-309.4)+(-5.856075+(-0.77877--0.78897))+0-710.8--1.8125399999999</f>
        <v>1577.666665</v>
      </c>
      <c r="H234" s="3">
        <f>2249.5+(360.7-225.1)+(-1.147245+(-0.183957--0.114801))+0-776--0.395759999999921</f>
        <v>1608.2793589999997</v>
      </c>
      <c r="I234" s="3">
        <f>2246.3+(367.7-261.1)+(-4.582452+(-0.750108--0.532644))+0-749.8--1.52959199999997</f>
        <v>1599.8296760000001</v>
      </c>
      <c r="J234" s="3">
        <f>2191.8+(463-297.2)+(-1.117818+(-0.23613--0.151572))+0-786.5--0.40111499999992</f>
        <v>1570.2987390000001</v>
      </c>
      <c r="K234" s="3">
        <f>2159.9+(468.2-239)+(-1.101549+(-0.238782--0.12189))+0-793.6--0.404735999999919</f>
        <v>1594.686295</v>
      </c>
      <c r="L234" s="3">
        <f>2168.3+(451.3-264.3)+(-1.105833+(-0.230163--0.134793))+0-698.7--0.356336999999929</f>
        <v>1655.755134</v>
      </c>
      <c r="M234" s="3">
        <f>2219.9+(415.5-238.8)+(0+(0-0))+0-620.7-0</f>
        <v>1775.8999999999999</v>
      </c>
      <c r="N234" s="3">
        <f>2563.1+(293-312)+(-1.307181+(-0.14943--0.15912))+0-610--0.311099999999938</f>
        <v>1933.113609</v>
      </c>
      <c r="O234" s="3">
        <f>2709.5+(394.9-286.9)+(-2.76369+(-0.402798--0.292638))+0-718.2--0.732564000000115</f>
        <v>2097.1587140000001</v>
      </c>
      <c r="P234" s="3">
        <f>2706.6+(582-375.2)+(0+(0-0))+0-646.9-0</f>
        <v>2266.5</v>
      </c>
      <c r="Q234" s="3">
        <f>2704.6+(697-498)+(-1.379346+(-0.35547--0.25398))+0-656.4--0.334763999999933</f>
        <v>2246.0539279999994</v>
      </c>
      <c r="R234" s="3">
        <f>2697.5+(499.3-513.8)+(-1.375725+(-0.254643--0.262038))+0-695.2--0.354551999999929</f>
        <v>1986.7862220000002</v>
      </c>
      <c r="S234" s="3">
        <f>2688+(355-406.9)+(-4.11264+(-0.54315--0.622557))+0-643.5--0.984555000000037</f>
        <v>1989.5513219999998</v>
      </c>
      <c r="T234" s="3">
        <f>2682.1+(400-361.2)+(1.367871+(0.204-0.184212))+0-659-0.336089999999933</f>
        <v>2062.9515690000003</v>
      </c>
      <c r="U234" s="3">
        <f>2687.8+(394.2-327.1)+(-2.741556+(-0.402084--0.333642))+0-724.1--0.738582000000116</f>
        <v>2028.7285840000002</v>
      </c>
      <c r="V234" s="3">
        <f>2692.5+(395.6-436.7)+(0+(0-0))+0-549.5-0</f>
        <v>2101.9</v>
      </c>
      <c r="W234" s="3">
        <f>2731.5+(957-632.2)+(-2.78613+(-0.97614--0.644844))+0-714.5--0.728790000000114</f>
        <v>2339.4113640000005</v>
      </c>
      <c r="X234" s="3">
        <f>2822.2+(667.8-662.1)+(-4.317966+(-1.021734--1.013013))+0-598.7--0.916011000000035</f>
        <v>2225.7893239999994</v>
      </c>
      <c r="Y234" s="3">
        <f>2896.5+(371.6-552.2)+(-5.90886+(-0.758064--1.126488))+0-505.7--1.03162799999998</f>
        <v>2205.6911920000007</v>
      </c>
      <c r="Z234" s="3">
        <f>2907.5+(206.6-356.5)+(-1.482825+(-0.105366--0.181815))+0-624.6--0.318545999999937</f>
        <v>2131.9121700000001</v>
      </c>
      <c r="AA234" s="3">
        <f>2918.4+(174.5-383.1)+(-4.465152+(-0.266985--0.586143))+0-636.9--0.974457000000037</f>
        <v>2069.7284630000004</v>
      </c>
      <c r="AB234" s="3">
        <f>2800.4+(222.1-546.7)+(0+(0-0))+0-490.9-0</f>
        <v>1984.9</v>
      </c>
      <c r="AC234" s="3">
        <f>2554.3+(394-311.6)+(-6.513465+(-1.0047--0.79458))+0-751.4--1.91606999999989</f>
        <v>1880.492485</v>
      </c>
      <c r="AD234">
        <v>2379.9</v>
      </c>
      <c r="AE234" s="3">
        <f>2764+(1000.8-732.4)+(0+(0-0))+0-652.5-0</f>
        <v>2379.9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2439+(394.3-390.8)+(0+(0-0))+0-677.1-0</f>
        <v>1765.4</v>
      </c>
      <c r="G235" s="3">
        <f>2368.3+(372.1-350.8)+(0+(0-0))+0-696.5-0</f>
        <v>1693.1000000000004</v>
      </c>
      <c r="H235" s="3">
        <f>2348.8+(382.3-289.5)+(-1.197888+(-0.194973--0.147645))+0-787.6--0.40167599999992</f>
        <v>1653.1564600000006</v>
      </c>
      <c r="I235" s="3">
        <f>2281.9+(377.4-207.3)+(0+(0-0))+0-789.9-0</f>
        <v>1662.1</v>
      </c>
      <c r="J235" s="3">
        <f>2256.6+(393.4-196.2)+(1.150866+(0.200634-0.100062))+0-799.7-0.407846999999919</f>
        <v>1654.9435909999995</v>
      </c>
      <c r="K235" s="3">
        <f>2337.1+(432.5-236.6)+(5.959605+(1.102875-0.60333))+0-818.4-2.08691999999988</f>
        <v>1718.9722300000001</v>
      </c>
      <c r="L235" s="3">
        <f>2478.4+(283-395.6)+(-3.791952+(-0.43299--0.605268))+0-680.9--1.04177700000004</f>
        <v>1682.3221030000002</v>
      </c>
      <c r="M235" s="3">
        <f>2507.5+(181.4-395)+(3.836475+(0.277542-0.60435))+0-557.8-0.853434000000032</f>
        <v>1738.7562329999998</v>
      </c>
      <c r="N235" s="3">
        <f>2430.7+(670.8-340.3)+(4.958628+(1.368432-0.694212))+0-849.4-1.73277599999996</f>
        <v>1915.7000719999999</v>
      </c>
      <c r="O235" s="3">
        <f>2102.5+(986.4-380.7)+(-1.072275+(-0.503064--0.194157))+0-653.4--0.333233999999934</f>
        <v>2053.7520519999994</v>
      </c>
      <c r="P235" s="3">
        <f>2101.2+(1219-411.5)+(-1.071612+(-0.62169--0.209865))+0-776.9--0.396218999999921</f>
        <v>2130.7127819999996</v>
      </c>
      <c r="Q235" s="3">
        <f>2103.4+(1300.2-431.3)+(0+(0-0))+0-822.2-0</f>
        <v>2150.1000000000004</v>
      </c>
      <c r="R235" s="3">
        <f>2066.1+(1058.8-448.4)+(-5.268555+(-2.69994--1.14342))+0-682.3--1.7398649999999</f>
        <v>1989.1147899999999</v>
      </c>
      <c r="S235" s="3">
        <f>2017.8+(1146.8-510.2)+(-3.087234+(-1.754604--0.780606))+0-717.3--1.09746900000004</f>
        <v>1934.1362369999997</v>
      </c>
      <c r="T235" s="3">
        <f>2030.6+(1204.5-539.9)+(3.106818+(1.842885-0.826047))+0-803.4-1.22920200000005</f>
        <v>1894.694454</v>
      </c>
      <c r="U235" s="3">
        <f>2111+(1026.6-574.4)+(-2.15322+(-1.047132--0.585888))+0-690--0.70380000000011</f>
        <v>1871.2893359999996</v>
      </c>
      <c r="V235" s="3">
        <f>2168.4+(960.6-573.5)+(-1.105884+(-0.489906--0.292485))+0-677--0.345269999999931</f>
        <v>1877.5419650000001</v>
      </c>
      <c r="W235" s="3">
        <f>2237.3+(1158.7-617.8)+(2.282046+(1.181874-0.630156))+0-617.1-0.629442000000098</f>
        <v>2163.3043220000004</v>
      </c>
      <c r="X235" s="3">
        <f>2281.7+(1128.1-649.6)+(-1.163667+(-0.575331--0.331296))+0-594.1--0.30299099999994</f>
        <v>2164.995289</v>
      </c>
      <c r="Y235" s="3">
        <f>2315.6+(1017.6-545.3)+(0+(0-0))+0-686.2-0</f>
        <v>2101.6999999999998</v>
      </c>
      <c r="Z235" s="3">
        <f>2315.3+(835-489.8)+(-4.723212+(-1.7034--0.999192))+0-702.7--1.43350799999997</f>
        <v>1953.806088</v>
      </c>
      <c r="AA235" s="3">
        <f>2315.6+(541.5-250.2)+(-2.361912+(-0.55233--0.255204))+0-679.9--0.693498000000108</f>
        <v>1925.0344600000003</v>
      </c>
      <c r="AB235" s="3">
        <f>2316+(444.6-152.1)+(-3.54348+(-0.680238--0.232713))+0-741.1--1.13388300000004</f>
        <v>1864.5428780000002</v>
      </c>
      <c r="AC235" s="3">
        <f>2302.9+(458.1-180.5)+(-1.174479+(-0.233631--0.092055))+0-749.3--0.382142999999924</f>
        <v>1830.2660880000001</v>
      </c>
      <c r="AD235">
        <v>2269.9000000000005</v>
      </c>
      <c r="AE235" s="3">
        <f>2259+(1347.9-715.8)+(0+(0-0))+0-621.2-0</f>
        <v>2269.9000000000005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2230.3+(451.9-201.6)+(-2.274906+(-0.460938--0.205632))+0-742.9--0.757758000000118</f>
        <v>1735.9275460000003</v>
      </c>
      <c r="G236" s="3">
        <f>1997+(536.2-176.6)+(0+(0-0))+0-675.2-0</f>
        <v>1681.3999999999999</v>
      </c>
      <c r="H236" s="3">
        <f>1853.9+(602-149.8)+(3.781956+(1.22808-0.305592))+0-727.3-1.48369199999997</f>
        <v>1582.0207519999999</v>
      </c>
      <c r="I236" s="3">
        <f>1841.2+(615.8-162.8)+(3.756048+(1.256232-0.332112))+0-730.9-1.49103599999997</f>
        <v>1566.4891319999997</v>
      </c>
      <c r="J236" s="3">
        <f>1690.8+(702.9-158.9)+(0+(0-0))+0-711.3-0</f>
        <v>1523.5000000000002</v>
      </c>
      <c r="K236" s="3">
        <f>1681.4+(675.3-143.2)+(2.572542+(1.033209-0.219096))+0-685.7-1.04912100000004</f>
        <v>1530.1375339999997</v>
      </c>
      <c r="L236" s="3">
        <f>1683.6+(706.3-146.2)+(0+(0-0))+0-751.2-0</f>
        <v>1492.4999999999998</v>
      </c>
      <c r="M236" s="3">
        <f>1679.3+(611.7-60.7)+(0.856443+(0.311967-0.030957))+0-794.2-0.405041999999919</f>
        <v>1436.8324110000001</v>
      </c>
      <c r="N236" s="3">
        <f>1787.2+(499.3-73.7)+(0.911472+(0.254643-0.037587))+0-692.5-0.35317499999993</f>
        <v>1521.0753530000004</v>
      </c>
      <c r="O236" s="3">
        <f>2106.2+(511.1-148.4)+(3.222486+(0.781983-0.227052))+0-780.5-1.19416500000005</f>
        <v>1690.9832519999993</v>
      </c>
      <c r="P236" s="3">
        <f>2101.8+(610.6-211.1)+(-2.143836+(-0.622812--0.215322))+0-711.4--0.725628000000113</f>
        <v>1788.0743020000004</v>
      </c>
      <c r="Q236" s="3">
        <f>2110.3+(731.1-304.3)+(2.152506+(0.745722-0.310386))+0-735.7-0.750414000000117</f>
        <v>1803.2374280000001</v>
      </c>
      <c r="R236" s="3">
        <f>2143.8+(685.8-327.4)+(-4.373352+(-1.399032--0.667896))+0-787.1--1.60568399999997</f>
        <v>1711.6011960000003</v>
      </c>
      <c r="S236" s="3">
        <f>2176.6+(470.1-234.3)+(0+(0-0))+0-775.3-0</f>
        <v>1637.1000000000001</v>
      </c>
      <c r="T236" s="3">
        <f>2236.3+(282.8-227.2)+(-4.562052+(-0.576912--0.463488))+0-701--1.43003999999997</f>
        <v>1587.6545640000002</v>
      </c>
      <c r="U236" s="3">
        <f>2184.4+(282.3-234.4)+(-1.114044+(-0.143973--0.119544))+0-592.5--0.30217499999994</f>
        <v>1638.9637020000002</v>
      </c>
      <c r="V236" s="3">
        <f>2198.7+(416.6-192.4)+(-1.121337+(-0.212466--0.098124))+0-708.9--0.361538999999928</f>
        <v>1713.1258599999996</v>
      </c>
      <c r="W236" s="3">
        <f>2281.6+(967-665.5)+(1.163616+(0.49317-0.339405))+0-603.9-0.307988999999939</f>
        <v>1980.2093919999998</v>
      </c>
      <c r="X236" s="3">
        <f>2314.6+(1275.4-903.2)+(-2.360892+(-1.300908--0.921264))+0-693.7--0.707574000000111</f>
        <v>1991.0670380000004</v>
      </c>
      <c r="Y236" s="3">
        <f>2358.7+(1281.4-891.5)+(-1.202937+(-0.653514--0.454665))+0-798.1--0.407030999999919</f>
        <v>1949.5052450000001</v>
      </c>
      <c r="Z236" s="3">
        <f>2418.3+(1005.7-899.7)+(-3.699999+(-1.538721--1.376541))+0-626.6--0.958698000000036</f>
        <v>1894.7965190000002</v>
      </c>
      <c r="AA236" s="3">
        <f>2367.6+(1057.3-737.9)+(-1.207476+(-0.539223--0.376329))+0-808.9--0.412538999999918</f>
        <v>1877.1421689999997</v>
      </c>
      <c r="AB236" s="3">
        <f>2228+(1087.8-805.5)+(-3.40884+(-1.664334--1.232415))+0-741.9--1.13510700000004</f>
        <v>1765.694348</v>
      </c>
      <c r="AC236" s="3">
        <f>1990.8+(985.5-465.7)+(-2.030616+(-1.00521--0.475014))+0-867.2--0.884544000000138</f>
        <v>1641.7237319999999</v>
      </c>
      <c r="AD236">
        <v>1974.9</v>
      </c>
      <c r="AE236" s="3">
        <f>2304+(1393.9-864.4)+(0+(0-0))+0-858.6-0</f>
        <v>1974.9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1926.2+(591.5-193.1)+(1.964724+(0.60333-0.196962))+0-734.1-0.748782000000117</f>
        <v>1592.1223099999997</v>
      </c>
      <c r="G237" s="3">
        <f>1925.1+(530.1-115.2)+(0+(0-0))+0-808.4-0</f>
        <v>1531.6</v>
      </c>
      <c r="H237" s="3">
        <f>1928.8+(479.2-97.4)+(-1.967376+(-0.488784--0.099348))+0-806.7--0.822834000000129</f>
        <v>1502.3660219999999</v>
      </c>
      <c r="I237" s="3">
        <f>1929.3+(472.7-117.7)+(-2.951829+(-0.723231--0.180081))+0-743.1--1.13694300000004</f>
        <v>1538.8419640000002</v>
      </c>
      <c r="J237" s="3">
        <f>1927.8+(580.7-128.9)+(-1.966356+(-0.592314--0.131478))+0-820--0.836400000000131</f>
        <v>1558.0092079999999</v>
      </c>
      <c r="K237" s="3">
        <f>1930.2+(499.3-171.6)+(0.984402+(0.254643-0.087516))+0-705-0.359549999999928</f>
        <v>1553.6919790000004</v>
      </c>
      <c r="L237" s="3">
        <f>2055.9+(449-147.6)+(1.048509+(0.22899-0.075276))+0-791.4-0.40361399999992</f>
        <v>1566.698609</v>
      </c>
      <c r="M237" s="3">
        <f>2389.1+(252.1-203.5)+(0+(0-0))+0-710-0</f>
        <v>1727.6999999999998</v>
      </c>
      <c r="N237" s="3">
        <f>2494.4+(505.6-367.2)+(3.816432+(0.773568-0.561816))+0-609-0.931770000000035</f>
        <v>2026.8964139999998</v>
      </c>
      <c r="O237" s="3">
        <f>2484.8+(1094.5-735.5)+(1.267248+(0.558195-0.375105))+0-707.3-0.360722999999928</f>
        <v>2137.5896150000008</v>
      </c>
      <c r="P237" s="3">
        <f>2470+(1230-757.5)+(-2.5194+(-1.2546--0.77265))+0-736.4--0.751128000000117</f>
        <v>2203.8497780000002</v>
      </c>
      <c r="Q237" s="3">
        <f>2472.3+(1149.1-842.5)+(-3.782619+(-1.758123--1.289025))+0-653--0.999090000000038</f>
        <v>2122.6473730000002</v>
      </c>
      <c r="R237" s="3">
        <f>2477.9+(1001.6-795)+(-1.263729+(-0.510816--0.40545))+0-666.5--0.339914999999932</f>
        <v>2016.97082</v>
      </c>
      <c r="S237" s="3">
        <f>2449.5+(853-662.7)+(-2.49849+(-0.87006--0.675954))+0-699.4--0.713388000000111</f>
        <v>1938.4207920000003</v>
      </c>
      <c r="T237" s="3">
        <f>2402.7+(816.4-667.1)+(0+(0-0))+0-605.7-0</f>
        <v>1946.3</v>
      </c>
      <c r="U237" s="3">
        <f>2402.4+(922.5-643)+(2.450448+(0.94095-0.65586))+0-678.3-0.691866000000108</f>
        <v>2005.6436719999999</v>
      </c>
      <c r="V237" s="3">
        <f>2453.2+(1248-716.7)+(2.502264+(1.27296-0.731034))+0-802-0.818040000000128</f>
        <v>2184.72615</v>
      </c>
      <c r="W237" s="3">
        <f>2489.9+(1815.7-1157.9)+(2.539698+(1.852014-1.181058))+0-773.8-0.789276000000123</f>
        <v>2376.3213780000001</v>
      </c>
      <c r="X237" s="3">
        <f>2496.2+(1553.4-1009.3)+(-6.36531+(-3.96117--2.573715))+0-819.6--2.08997999999988</f>
        <v>2215.0372149999998</v>
      </c>
      <c r="Y237" s="3">
        <f>2491.4+(1166.3-861.2)+(-2.541228+(-1.189626--0.878424))+0-612.1--0.624342000000098</f>
        <v>2182.1719120000002</v>
      </c>
      <c r="Z237" s="3">
        <f>2494.6+(1103.9-761.6)+(-7.633476+(-3.377934--2.330496))+0-762.5--2.33325000000009</f>
        <v>2068.0523360000002</v>
      </c>
      <c r="AA237" s="3">
        <f>2495.3+(1131.1-746.5)+(-2.545206+(-1.153722--0.76143))+0-781.1--0.796722000000125</f>
        <v>2096.6592240000004</v>
      </c>
      <c r="AB237" s="3">
        <f>2489.3+(1138.3-798.4)+(-3.808629+(-1.741599--1.221552))+0-792.4--1.21237200000005</f>
        <v>2033.6836960000001</v>
      </c>
      <c r="AC237" s="3">
        <f>2363+(1034.9-816.2)+(-2.41026+(-1.055598--0.832524))+0-698--0.711960000000111</f>
        <v>1881.7786259999998</v>
      </c>
      <c r="AD237">
        <v>2401.7999999999997</v>
      </c>
      <c r="AE237" s="3">
        <f>2487+(1964.2-1165.8)+(0+(0-0))+0-883.6-0</f>
        <v>2401.8000000000002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2276+(963.8-683.1)+(0+(0-0))+0-782-0</f>
        <v>1774.6999999999998</v>
      </c>
      <c r="G238" s="3">
        <f>1974+(1124.8-559.5)+(-2.01348+(-1.147296--0.57069))+0-858.9--0.876078000000137</f>
        <v>1678.6859920000002</v>
      </c>
      <c r="H238" s="3">
        <f>1953.3+(972.8-481.6)+(-1.992366+(-0.992256--0.491232))+0-823.3--0.839766000000131</f>
        <v>1619.546376</v>
      </c>
      <c r="I238" s="3">
        <f>2037.5+(906.7-490.8)+(2.07825+(0.924834-0.500616))+0-803.5-0.819570000000128</f>
        <v>1651.5828980000001</v>
      </c>
      <c r="J238" s="3">
        <f>2040.9+(968-469.9)+(1.040859+(0.49368-0.239649))+0-873.9-0.445688999999911</f>
        <v>1665.9492010000001</v>
      </c>
      <c r="K238" s="3">
        <f>2041+(878.5-455.5)+(2.08182+(0.89607-0.46461))+0-795.8-0.811716000000127</f>
        <v>1669.901564</v>
      </c>
      <c r="L238" s="3">
        <f>2272+(586.5-564.7)+(3.47616+(0.897345-0.863991))+0-399.9-0.611847000000023</f>
        <v>1896.7976669999998</v>
      </c>
      <c r="M238" s="3">
        <f>2418.3+(537.7-730.9)+(2.466666+(0.548454-0.745518))+0-463.9-0.473178000000074</f>
        <v>1762.9964240000002</v>
      </c>
      <c r="N238" s="3">
        <f>2415.2+(786-927.7)+(1.231752+(0.40086-0.473127))+0-552.4-0.281723999999944</f>
        <v>1721.9777610000001</v>
      </c>
      <c r="O238" s="3">
        <f>2409+(1179.5-996)+(0+(0-0))+0-564.8-0</f>
        <v>2027.7</v>
      </c>
      <c r="P238" s="3">
        <f>2418.4+(1187.7-947.9)+(-1.233384+(-0.605727--0.483429))+0-505.1--0.257600999999949</f>
        <v>2152.0019190000003</v>
      </c>
      <c r="Q238" s="3">
        <f>2398.4+(1270.5-933.9)+(-3.669552+(-1.943865--1.428867))+0-558.4--0.854352000000032</f>
        <v>2173.2698019999998</v>
      </c>
      <c r="R238" s="3">
        <f>2468+(1076.4-917.2)+(0+(0-0))+0-699.1-0</f>
        <v>1928.1</v>
      </c>
      <c r="S238" s="3">
        <f>2471.4+(957.7-847.4)+(1.260414+(0.488427-0.432174))+0-584.3-0.297992999999941</f>
        <v>1998.4186740000005</v>
      </c>
      <c r="T238" s="3">
        <f>2468.8+(958.2-746.4)+(2.518176+(0.977364-0.761328))+0-573.4-0.584868000000091</f>
        <v>2109.3493440000002</v>
      </c>
      <c r="U238" s="3">
        <f>2467.1+(861.9-730.5)+(1.258221+(0.439569-0.372555))+0-505.4-0.257753999999949</f>
        <v>2094.167481</v>
      </c>
      <c r="V238" s="3">
        <f>2471.5+(1044.3-696)+(3.781395+(1.597779-1.06488))+0-704.7-1.07819100000004</f>
        <v>2118.3361030000001</v>
      </c>
      <c r="W238" s="3">
        <f>2493.5+(1468.7-867.6)+(0+(0-0))+0-667.4-0</f>
        <v>2427.1999999999998</v>
      </c>
      <c r="X238" s="3">
        <f>2498.7+(1249.9-902.2)+(-2.548674+(-1.274898--0.920244))+16.7-657.6--0.670752000000105</f>
        <v>2203.2674239999997</v>
      </c>
      <c r="Y238" s="3">
        <f>2508+(1140.8-842.3)+(-1.27908+(-0.581808--0.429573))+0-666.9--0.340118999999932</f>
        <v>2138.5088040000001</v>
      </c>
      <c r="Z238" s="3">
        <f>2502.3+(1006.6-784.9)+(-1.276173+(-0.513366--0.400299))+0-749.6--0.382295999999924</f>
        <v>1973.3930560000001</v>
      </c>
      <c r="AA238" s="3">
        <f>2497.9+(755.2-720.8)+(-2.547858+(-0.770304--0.735216))+0-605.9--0.618018000000097</f>
        <v>1924.4350720000002</v>
      </c>
      <c r="AB238" s="3">
        <f>2407+(824.7-707.8)+(0+(0-0))+0-777.7-0</f>
        <v>1746.2</v>
      </c>
      <c r="AC238" s="3">
        <f>2211.8+(812.2-652)+(2.256036+(0.828444-0.66504))+0-735.9-0.750618000000117</f>
        <v>1637.768822</v>
      </c>
      <c r="AD238">
        <v>2416.8000000000002</v>
      </c>
      <c r="AE238" s="3">
        <f>2508+(1522.2-963.6)+(0+(0-0))+0-649.8-0</f>
        <v>2416.8000000000002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2218+(554.4-679.1)+(-1.13118+(-0.282744--0.346341))+0-761.5--0.388364999999923</f>
        <v>1331.1207820000002</v>
      </c>
      <c r="G239" s="3">
        <f>2206.9+(499.4-655)+(-1.125519+(-0.254694--0.33405))+0-724.1--0.369290999999927</f>
        <v>1326.5231280000003</v>
      </c>
      <c r="H239" s="3">
        <f>2117+(593.7-796.9)+(-4.31868+(-1.211148--1.625676))+0-511.5--1.04345999999998</f>
        <v>1399.439308</v>
      </c>
      <c r="I239" s="3">
        <f>1970.4+(667.4-720.9)+(5.02452+(1.70187-1.838295))+0-539.8-1.37648999999992</f>
        <v>1380.6116050000003</v>
      </c>
      <c r="J239" s="3">
        <f>1970+(704.7-617.9)+(0+(0-0))+0-706.8-0</f>
        <v>1350.0000000000002</v>
      </c>
      <c r="K239" s="3">
        <f>2033.2+(649.4-596.6)+(-4.147728+(-1.324776--1.217064))+0-780.9--1.59303599999997</f>
        <v>1302.437596</v>
      </c>
      <c r="L239" s="3">
        <f>2165.8+(553.7-671.4)+(2.209116+(0.564774-0.684828))+0-708.2-0.722364000000113</f>
        <v>1341.2666980000001</v>
      </c>
      <c r="M239" s="3">
        <f>2257.5+(522.4-602)+(3.453975+(0.799272-0.92106))+0-738.5-1.12990500000004</f>
        <v>1441.6022820000001</v>
      </c>
      <c r="N239" s="3">
        <f>2424.5+(646.8-510.6)+(2.47299+(0.659736-0.520812))+0-698.5-0.712470000000111</f>
        <v>1864.0994439999997</v>
      </c>
      <c r="O239" s="3">
        <f>2502.6+(967.8-736)+(3.828978+(1.480734-1.12608))+0-701.9-1.07390700000004</f>
        <v>2035.6097249999998</v>
      </c>
      <c r="P239" s="3">
        <f>2497.9+(1258.7-845.8)+(1.273929+(0.641937-0.431358))+0-671.3-0.342362999999932</f>
        <v>2240.6421450000007</v>
      </c>
      <c r="Q239" s="3">
        <f>2499+(1030.9-772.3)+(-6.37245+(-2.628795--1.969365))+0-526.7--1.34308499999992</f>
        <v>2225.2112050000001</v>
      </c>
      <c r="R239" s="3">
        <f>2458.9+(722.4-706.1)+(-6.270195+(-1.84212--1.800555))+0-413.9--1.05544499999994</f>
        <v>2056.0436849999996</v>
      </c>
      <c r="S239" s="3">
        <f>2413.5+(598.8-664.7)+(-1.230885+(-0.305388--0.338997))+0-361.1--0.184160999999963</f>
        <v>1985.486885</v>
      </c>
      <c r="T239" s="3">
        <f>2409.3+(829.7-650.5)+(1.228743+(0.423147-0.331755))+0-541-0.275909999999945</f>
        <v>2048.5442250000001</v>
      </c>
      <c r="U239" s="3">
        <f>2406.2+(1022.3-652.8)+(0+(0-0))+0-765.2-0</f>
        <v>2010.4999999999998</v>
      </c>
      <c r="V239" s="3">
        <f>2446.6+(962.4-698.6)+(-1.247766+(-0.490824--0.356286))+0-691.3--0.35256299999993</f>
        <v>2018.0702589999994</v>
      </c>
      <c r="W239" s="3">
        <f>2499.4+(1426.9-789)+(0+(0-0))+0-739.8-0</f>
        <v>2397.5</v>
      </c>
      <c r="X239" s="3">
        <f>2512.8+(1387.7-797.7)+(-3.844584+(-2.123181--1.220481))+0-787.9--1.20548700000005</f>
        <v>2311.3582030000002</v>
      </c>
      <c r="Y239" s="3">
        <f>2514.8+(1038.8-737.9)+(-3.847644+(-1.589364--1.128987))+0-676.8--1.03550400000004</f>
        <v>2135.6274830000007</v>
      </c>
      <c r="Z239" s="3">
        <f>2507.1+(1012.6-738.9)+(-3.835863+(-1.549278--1.130517))+0-695.1--1.06350300000004</f>
        <v>2082.508879</v>
      </c>
      <c r="AA239" s="3">
        <f>2512.5+(1103.8-732.1)+(-2.56275+(-1.125876--0.746742))+0-818.1--0.83446200000013</f>
        <v>2063.9925780000003</v>
      </c>
      <c r="AB239" s="3">
        <f>2484.1+(939.2-725.6)+(-3.800673+(-1.436976--1.110168))+0-742.1--1.13541300000004</f>
        <v>1952.6079319999999</v>
      </c>
      <c r="AC239" s="3">
        <f>2280.8+(797-673.4)+(-1.163208+(-0.40647--0.343434))+0-728.7--0.371636999999926</f>
        <v>1674.8453930000001</v>
      </c>
      <c r="AD239">
        <v>2459.5000000000005</v>
      </c>
      <c r="AE239" s="3">
        <f>2495+(1546.8-838.2)+(0+(0-0))+0-744.1-0</f>
        <v>2459.5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2085.5+(542.1-356.1)+(1.063605+(0.276471-0.181611))+0-734.5-0.374594999999926</f>
        <v>1537.78387</v>
      </c>
      <c r="G240" s="3">
        <f>2050.1+(611.2-259.6)+(1.045551+(0.311712-0.132396))+0-752.8-0.383927999999924</f>
        <v>1649.7409389999998</v>
      </c>
      <c r="H240" s="3">
        <f>2049.9+(699.4-399.2)+(0+(0-0))+0-709-0</f>
        <v>1641.1</v>
      </c>
      <c r="I240" s="3">
        <f>1947.9+(732.1-390.4)+(0+(0-0))+0-739-0</f>
        <v>1550.6000000000004</v>
      </c>
      <c r="J240" s="3">
        <f>1900+(652.6-274.4)+(0.969+(0.332826-0.139944))+0-734.9-0.374798999999925</f>
        <v>1544.0870829999997</v>
      </c>
      <c r="K240" s="3">
        <f>1943.9+(523.3-250.4)+(1.982778+(0.533766-0.255408))+0-672.7-0.686154000000107</f>
        <v>1545.674982</v>
      </c>
      <c r="L240" s="3">
        <f>2069.8+(493.6-300.9)+(-2.111196+(-0.503472--0.306918))+0-717.5--0.731850000000114</f>
        <v>1543.4241000000002</v>
      </c>
      <c r="M240" s="3">
        <f>2073+(457.8-201)+(-1.05723+(-0.233478--0.10251))+0-759.3--0.387242999999923</f>
        <v>1569.6990450000003</v>
      </c>
      <c r="N240" s="3">
        <f>2111.6+(447.1-141.3)+(0+(0-0))+0-705-0</f>
        <v>1712.4</v>
      </c>
      <c r="O240" s="3">
        <f>2268.2+(524.1-93.9)+(1.156782+(0.267291-0.047889))+0-797.5-0.406724999999919</f>
        <v>1901.869459</v>
      </c>
      <c r="P240" s="3">
        <f>2278.7+(531.4-159.1)+(3.486411+(0.813042-0.243423))+0-684.6-1.04743800000004</f>
        <v>1969.4085920000002</v>
      </c>
      <c r="Q240" s="3">
        <f>2284.5+(579.8-386.1)+(2.33019+(0.591396-0.393822))+0-589.8-0.601596000000094</f>
        <v>1890.3261679999996</v>
      </c>
      <c r="R240" s="3">
        <f>2289+(461.2-422.9)+(-7.00434+(-1.411272--1.294074))+0-533.2--1.63159200000006</f>
        <v>1788.6100540000002</v>
      </c>
      <c r="S240" s="3">
        <f>2281.3+(277.1-416.8)+(-4.653852+(-0.565284--0.850272))+0-444.7--0.907187999999981</f>
        <v>1693.4383240000002</v>
      </c>
      <c r="T240" s="3">
        <f>2273.5+(295.9-306.4)+(0+(0-0))+0-584.9-0</f>
        <v>1678.1</v>
      </c>
      <c r="U240" s="3">
        <f>2277.1+(347-204.8)+(1.161321+(0.17697-0.104448))+0-664.7-0.338996999999933</f>
        <v>1755.4948459999998</v>
      </c>
      <c r="V240" s="3">
        <f>2278+(434.1-141)+(-1.16178+(-0.221391--0.07191))+0-711.8--0.363017999999928</f>
        <v>1858.3517570000001</v>
      </c>
      <c r="W240" s="3">
        <f>2301.9+(974.3-542.8)+(0+(0-0))+0-674.6-0</f>
        <v>2058.8000000000002</v>
      </c>
      <c r="X240" s="3">
        <f>2311.1+(963-598)+(-3.535983+(-1.47339--0.91494))+0-695.1--1.06350300000004</f>
        <v>1977.9690699999999</v>
      </c>
      <c r="Y240" s="3">
        <f>2303.9+(802.6-371)+(0+(0-0))+0-777.4-0</f>
        <v>1958.1</v>
      </c>
      <c r="Z240" s="3">
        <f>2290.7+(576.5-220.9)+(-2.336514+(-0.58803--0.225318))+0-712.4--0.726648000000114</f>
        <v>1931.9274219999995</v>
      </c>
      <c r="AA240" s="3">
        <f>2289.2+(539.1-186.6)+(-2.334984+(-0.549882--0.190332))+0-717.4--0.731748000000114</f>
        <v>1922.3372139999997</v>
      </c>
      <c r="AB240" s="3">
        <f>2277.3+(512-234.7)+(-3.484269+(-0.78336--0.359091))+0-682.8--1.04468400000004</f>
        <v>1868.9361460000002</v>
      </c>
      <c r="AC240" s="3">
        <f>2173.2+(474.7-111.6)+(-3.324996+(-0.726291--0.170748))+0-752.8--1.15178400000004</f>
        <v>1780.7712449999997</v>
      </c>
      <c r="AD240">
        <v>1813.6999999999998</v>
      </c>
      <c r="AE240" s="3">
        <f>2298+(942-796.9)+(0+(0-0))+0-629.4-0</f>
        <v>1813.6999999999998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2119.2+(472.7-254.8)+(-3.242376+(-0.723231--0.389844))+0-744.6--1.13923800000004</f>
        <v>1590.0634750000002</v>
      </c>
      <c r="G241" s="3">
        <f>1992.8+(536.3-211.1)+(-2.032656+(-0.547026--0.215322))+0-719.8--0.734196000000115</f>
        <v>1596.5698360000001</v>
      </c>
      <c r="H241" s="3">
        <f>1891.3+(647.1-128.7)+(1.929126+(0.660042-0.131274))+0-787-0.802740000000125</f>
        <v>1624.3551539999999</v>
      </c>
      <c r="I241" s="3">
        <f>1887.4+(617.4-110.9)+(0+(0-0))+0-784.6-0</f>
        <v>1609.3000000000002</v>
      </c>
      <c r="J241" s="3">
        <f>1920.5+(583.9-197.2)+(-1.95891+(-0.595578--0.201144))+0-733.7--0.748374000000117</f>
        <v>1571.8950299999997</v>
      </c>
      <c r="K241" s="3">
        <f>1959.4+(545.6-97.5)+(-1.998588+(-0.556512--0.09945))+0-760.4--0.775608000000121</f>
        <v>1645.4199580000002</v>
      </c>
      <c r="L241" s="3">
        <f>1975.2+(515.8-120.9)+(-1.007352+(-0.263058--0.061659))+0-698.7--0.356336999999929</f>
        <v>1670.5475859999997</v>
      </c>
      <c r="M241" s="3">
        <f>2063.4+(497.5-53.1)+(0+(0-0))+0-632.2-0</f>
        <v>1875.6000000000001</v>
      </c>
      <c r="N241" s="3">
        <f>2245+(560.9-166.7)+(0+(0-0))+0-624.2-0</f>
        <v>2014.9999999999998</v>
      </c>
      <c r="O241" s="3">
        <f>2236.4+(971.7-437.2)+(3.421692+(1.486701-0.668916))+0-657.3-1.00566900000004</f>
        <v>2116.8338080000003</v>
      </c>
      <c r="P241" s="3">
        <f>2252.2+(1143.2-563.5)+(-3.445866+(-1.749096--0.862155))+0-633.8--0.969714000000037</f>
        <v>2194.7369069999995</v>
      </c>
      <c r="Q241" s="3">
        <f>2333.9+(1176.8-614.8)+(-1.190289+(-0.600168--0.313548))+0-706.5--0.360314999999928</f>
        <v>2188.283406</v>
      </c>
      <c r="R241" s="3">
        <f>2328.3+(763.6-594.7)+(-3.562299+(-1.168308--0.909891))+0-559.2--0.855576000000032</f>
        <v>1935.03486</v>
      </c>
      <c r="S241" s="3">
        <f>2371.2+(768.9-474)+(-3.627936+(-1.176417--0.72522))+0-719.9--1.10144700000004</f>
        <v>1943.2223139999996</v>
      </c>
      <c r="T241" s="3">
        <f>2365.5+(761.2-476.2)+(0+(0-0))+0-630.3-0</f>
        <v>2020.2</v>
      </c>
      <c r="U241" s="3">
        <f>2326.6+(805.3-371.4)+(-1.186566+(-0.410703--0.189414))+0-725.6--0.370055999999926</f>
        <v>2033.8622010000001</v>
      </c>
      <c r="V241" s="3">
        <f>2415.4+(589.7-437.8)+(-1.231854+(-0.300747--0.223278))+0-637.1--0.324920999999935</f>
        <v>1929.2155980000002</v>
      </c>
      <c r="W241" s="3">
        <f>2623.2+(1064.9-722.3)+(0+(0-0))+0-778.5-0</f>
        <v>2187.3000000000002</v>
      </c>
      <c r="X241" s="3">
        <f>2652.9+(845.4-636.2)+(-4.058937+(-1.293462--0.973386))+0-736.4--1.12669200000004</f>
        <v>2122.4476789999994</v>
      </c>
      <c r="Y241" s="3">
        <f>2721.6+(669.8-517.8)+(-6.94008+(-1.70799--1.32039))+0-760--1.93799999999989</f>
        <v>2108.2103200000001</v>
      </c>
      <c r="Z241" s="3">
        <f>2721.8+(520.3-490.4)+(-5.552472+(-1.061412--1.000416))+0-726.4--1.48185599999997</f>
        <v>2021.168388</v>
      </c>
      <c r="AA241" s="3">
        <f>2633.6+(558.2-524.2)+(-2.686272+(-0.569364--0.534684))+0-670.7--0.684114000000107</f>
        <v>1994.8631619999999</v>
      </c>
      <c r="AB241" s="3">
        <f>2579.7+(663.7-436.3)+(-6.578235+(-1.692435--1.112565))+0-869.7--2.21773499999987</f>
        <v>1932.4596299999998</v>
      </c>
      <c r="AC241" s="3">
        <f>2481.8+(455.8-384.9)+(-1.265718+(-0.232458--0.196299))+0-767.2--0.391271999999922</f>
        <v>1784.5893950000002</v>
      </c>
      <c r="AD241">
        <v>2251.3000000000002</v>
      </c>
      <c r="AE241" s="3">
        <f>2714+(1189.2-799.6)+(0+(0-0))+0-852.3-0</f>
        <v>2251.3000000000002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2271.4+(312-239.5)+(-4.633656+(-0.63648--0.48858))+0-673.7--1.37434799999997</f>
        <v>1666.7927920000002</v>
      </c>
      <c r="G242" s="3">
        <f>2202+(366.1-211.4)+(-4.49208+(-0.746844--0.431256))+0-764.1--1.55876399999997</f>
        <v>1589.3510959999999</v>
      </c>
      <c r="H242" s="3">
        <f>2204+(300.4-349)+(0+(0-0))+0-645.7-0</f>
        <v>1509.7</v>
      </c>
      <c r="I242" s="3">
        <f>2167.6+(262-484.7)+(-3.316428+(-0.40086--0.741591))+0-437.7--0.669681000000025</f>
        <v>1504.8939839999998</v>
      </c>
      <c r="J242" s="3">
        <f>2039.6+(296.5-297.6)+(1.040196+(0.151215-0.151776))+0-524.6-0.267545999999947</f>
        <v>1514.6720890000001</v>
      </c>
      <c r="K242" s="3">
        <f>2019.5+(369-132.5)+(-1.029945+(-0.18819--0.067575))+0-722.1--0.368270999999927</f>
        <v>1533.1177109999999</v>
      </c>
      <c r="L242" s="3">
        <f>2008.6+(429.1-139.2)+(-5.12193+(-1.094205--0.35496))+0-785.9--2.00404499999989</f>
        <v>1508.7428699999998</v>
      </c>
      <c r="M242" s="3">
        <f>2084+(334.4-151.8)+(1.06284+(0.170544-0.077418))+0-628.1-0.320330999999936</f>
        <v>1639.3356349999999</v>
      </c>
      <c r="N242" s="3">
        <f>2465.3+(298.7-303.3)+(1.257303+(0.152337-0.154683))+0-632.4-0.322523999999936</f>
        <v>1829.2324330000004</v>
      </c>
      <c r="O242" s="3">
        <f>2517.4+(302-288.1)+(-2.567748+(-0.30804--0.293862))+0-587--0.598740000000094</f>
        <v>1942.3168140000005</v>
      </c>
      <c r="P242" s="3">
        <f>2393.7+(348.9-348.8)+(1.220787+(0.177939-0.177888))+0-386.7-0.197216999999961</f>
        <v>2008.123621</v>
      </c>
      <c r="Q242" s="3">
        <f>2425+(486.8-485.1)+(-4.947+(-0.993072--0.989604))+0-410.7--0.837827999999982</f>
        <v>2011.8873599999997</v>
      </c>
      <c r="R242" s="3">
        <f>2389.3+(234.4-640.7)+(-9.748344+(-0.956352--2.614056))+0-245.2--1.00041599999998</f>
        <v>1730.7097760000001</v>
      </c>
      <c r="S242" s="3">
        <f>2306.1+(155.6-500.8)+(-1.176111+(-0.079356--0.255408))+0-265.2--0.135251999999973</f>
        <v>1694.8351929999999</v>
      </c>
      <c r="T242" s="3">
        <f>2267.8+(209-279.5)+(0+(0-0))+0-447.6-0</f>
        <v>1749.7000000000003</v>
      </c>
      <c r="U242" s="3">
        <f>2284.2+(245.5-336.7)+(-4.659768+(-0.50082--0.686868))+0-459.5--0.93737999999998</f>
        <v>1729.9636600000001</v>
      </c>
      <c r="V242" s="3">
        <f>2301+(378.4-538.6)+(1.17351+(0.192984-0.274686))+0-366.7-0.187016999999963</f>
        <v>1775.0047910000003</v>
      </c>
      <c r="W242" s="3">
        <f>2700.3+(1064.5-1100.7)+(0+(0-0))+0-396.2-0</f>
        <v>2267.9000000000005</v>
      </c>
      <c r="X242" s="3">
        <f>2763.2+(1085.7-1029.4)+(-7.04616+(-2.768535--2.62497))+0-455.6--1.16177999999993</f>
        <v>2357.8720549999998</v>
      </c>
      <c r="Y242" s="3">
        <f>2767.9+(1044.2-781.6)+(0+(0-0))+0-723.3-0</f>
        <v>2307.1999999999998</v>
      </c>
      <c r="Z242" s="3">
        <f>2769.4+(837.7-640.6)+(-5.649576+(-1.708908--1.306824))+0-758.4--1.54713599999997</f>
        <v>2203.595476</v>
      </c>
      <c r="AA242" s="3">
        <f>2691.5+(659.6-514.9)+(-1.372665+(-0.336396--0.262599))+0-603.6--0.307835999999939</f>
        <v>2231.461374</v>
      </c>
      <c r="AB242" s="3">
        <f>2537.5+(518-390.6)+(-3.882375+(-0.79254--0.597618))+0-631.5--0.966195000000036</f>
        <v>2030.2888980000002</v>
      </c>
      <c r="AC242" s="3">
        <f>2311.9+(359.3-244.4)+(-9.432552+(-1.465944--0.997152))+0-655.1--2.67280799999994</f>
        <v>1764.4714640000004</v>
      </c>
      <c r="AD242">
        <v>2437.8000000000002</v>
      </c>
      <c r="AE242" s="3">
        <f>2772+(1447.5-1514.3)+(0+(0-0))+0-526.2-0</f>
        <v>2179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2216.9+(462.3-225.8)+(-5.653095+(-1.178865--0.57579))+0-814.7--2.07748499999988</f>
        <v>1634.5213149999997</v>
      </c>
      <c r="G243" s="3">
        <f>2215.5+(478.3-398)+(1.129905+(0.243933-0.20298))+0-730-0.372299999999926</f>
        <v>1566.5985580000001</v>
      </c>
      <c r="H243" s="3">
        <f>2219.3+(482.9-364.8)+(-4.527372+(-0.985116--0.744192))+0-883.1--1.80152399999996</f>
        <v>1451.333228</v>
      </c>
      <c r="I243" s="3">
        <f>2220.4+(484.6-380.7)+(0+(0-0))+0-853.8-0</f>
        <v>1470.5000000000002</v>
      </c>
      <c r="J243" s="3">
        <f>2216.8+(451.8-437.6)+(-2.261136+(-0.460836--0.446352))+0-832--0.848640000000133</f>
        <v>1397.5730200000003</v>
      </c>
      <c r="K243" s="3">
        <f>2224.1+(433.2-396.4)+(2.268582+(0.441864-0.404328))+0-858.3-0.875466000000137</f>
        <v>1404.0306519999999</v>
      </c>
      <c r="L243" s="3">
        <f>2220.9+(416.3-427.8)+(-2.265318+(-0.424626--0.436356))+0-797.8--0.813756000000127</f>
        <v>1410.1601680000003</v>
      </c>
      <c r="M243" s="3">
        <f>2219+(366.2-457.7)+(-2.26338+(-0.373524--0.466854))+0-732.8--0.747456000000117</f>
        <v>1393.2774059999999</v>
      </c>
      <c r="N243" s="3">
        <f>2279.6+(290.9-410.4)+(-1.162596+(-0.148359--0.209304))+0-772.1--0.393770999999922</f>
        <v>1387.2921200000001</v>
      </c>
      <c r="O243" s="3">
        <f>2276.1+(222.6-305.6)+(-2.321622+(-0.227052--0.311712))+0-757.7--0.772854000000121</f>
        <v>1433.935892</v>
      </c>
      <c r="P243" s="3">
        <f>2440.9+(341-507.5)+(-3.734577+(-0.52173--0.776475))+0-734.8--1.12424400000004</f>
        <v>1537.2444120000002</v>
      </c>
      <c r="Q243" s="3">
        <f>2641.8+(480.3-747.2)+(-2.694636+(-0.489906--0.762144))+0-771--0.786420000000123</f>
        <v>1602.2640220000001</v>
      </c>
      <c r="R243" s="3">
        <f>2581.4+(356.4-680.8)+(-3.949542+(-0.545292--1.041624))+0-724.1--1.10787300000004</f>
        <v>1530.5546629999999</v>
      </c>
      <c r="S243" s="3">
        <f>2461.2+(276.8-607.2)+(-3.765636+(-0.423504--0.929016))+0-653.7--1.00016100000004</f>
        <v>1474.8400369999997</v>
      </c>
      <c r="T243" s="3">
        <f>2528.6+(252.7-674.1)+(-5.158344+(-0.515508--1.375164))+0-630.6--1.28642399999997</f>
        <v>1473.5877359999999</v>
      </c>
      <c r="U243" s="3">
        <f>2472.3+(286.3-584.1)+(0+(0-0))+0-699.5-0</f>
        <v>1475</v>
      </c>
      <c r="V243" s="3">
        <f>2668.9+(328.6-806.7)+(0+(0-0))+0-635.4-0</f>
        <v>1555.4</v>
      </c>
      <c r="W243" s="3">
        <f>2753.9+(935.8-1002.4)+(1.404489+(0.477258-0.511224))+0-769.4-0.392393999999922</f>
        <v>1918.8781290000002</v>
      </c>
      <c r="X243" s="3">
        <f>2765.9+(931.8-1118.2)+(0+(0-0))+0-684.9-0</f>
        <v>1894.6</v>
      </c>
      <c r="Y243" s="3">
        <f>2770.4+(778.6-1038.4)+(1.412904+(0.397086-0.529584))+0-709.9-0.362048999999928</f>
        <v>1801.6183569999998</v>
      </c>
      <c r="Z243" s="3">
        <f>2762.9+(697.7-990.2)+(-2.818158+(-0.711654--1.010004))+0-720.6--0.735012000000115</f>
        <v>1748.0152040000003</v>
      </c>
      <c r="AA243" s="3">
        <f>2740+(497.6-950.7)+(-2.7948+(-0.507552--0.969714))+0-584.9--0.596598000000093</f>
        <v>1700.2639600000002</v>
      </c>
      <c r="AB243" s="3">
        <f>2689.3+(566.9-884.3)+(-5.486172+(-1.156476--1.803972))+0-765.5--1.56161999999997</f>
        <v>1603.1229440000002</v>
      </c>
      <c r="AC243" s="3">
        <f>2278.9+(407.8-483.4)+(-4.648956+(-0.831912--0.986136))+0-713.7--1.45594799999997</f>
        <v>1486.5612160000001</v>
      </c>
      <c r="AD243">
        <v>1913</v>
      </c>
      <c r="AE243" s="3">
        <f>2756+(1130.6-1103.5)+(0+(0-0))+0-870.1-0</f>
        <v>1913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2073+(401.1-383.7)+(0+(0-0))+0-744.3-0</f>
        <v>1346.1000000000001</v>
      </c>
      <c r="G244" s="3">
        <f>1950.4+(395.1-393.7)+(-4.97352+(-1.007505--1.003935))+0-686.7--1.7510849999999</f>
        <v>1261.8739949999999</v>
      </c>
      <c r="H244" s="3">
        <f>1930.9+(504.8-409.4)+(2.954277+(0.772344-0.626382))+0-771.2-1.17993600000004</f>
        <v>1257.0203030000002</v>
      </c>
      <c r="I244" s="3">
        <f>1879.3+(423.3-385.9)+(-1.916886+(-0.431766--0.393618))+0-700.2--0.714204000000112</f>
        <v>1215.25917</v>
      </c>
      <c r="J244" s="3">
        <f>1859+(555.1-390.3)+(4.74045+(1.415505-0.995265))+0-810.1-2.06575499999988</f>
        <v>1216.7949350000001</v>
      </c>
      <c r="K244" s="3">
        <f>1850.9+(578.4-406.2)+(0.943959+(0.294984-0.207162))+0-752.9-0.383978999999924</f>
        <v>1270.847802</v>
      </c>
      <c r="L244" s="3">
        <f>2027.5+(494.7-396.4)+(-3.102075+(-0.756891--0.606492))+0-781.7--1.19600100000005</f>
        <v>1342.0435270000003</v>
      </c>
      <c r="M244" s="3">
        <f>2232.6+(228.4-444.4)+(1.138626+(0.116484-0.226644))+0-591.2-0.30151199999994</f>
        <v>1426.1269539999998</v>
      </c>
      <c r="N244" s="3">
        <f>2414.7+(445.5-541.9)+(1.231497+(0.227205-0.276369))+0-575.1-0.293300999999942</f>
        <v>1744.0890320000001</v>
      </c>
      <c r="O244" s="3">
        <f>2619.2+(824.9-777.5)+(-5.343168+(-1.682796--1.5861))+0-657.8--1.34191199999997</f>
        <v>2004.7020479999999</v>
      </c>
      <c r="P244" s="3">
        <f>2475.9+(1007.3-793.1)+(-1.262709+(-0.513723--0.404481))+0-565.7--0.288506999999943</f>
        <v>2123.3165559999993</v>
      </c>
      <c r="Q244" s="3">
        <f>2598.3+(1185.6-1005.7)+(1.325133+(0.604656-0.512907))+0-598.7-0.305336999999939</f>
        <v>2180.6115449999998</v>
      </c>
      <c r="R244" s="3">
        <f>2561.1+(922-938.6)+(-3.918483+(-1.41066--1.436058))+0-505.4--0.773262000000029</f>
        <v>2035.9801769999997</v>
      </c>
      <c r="S244" s="3">
        <f>2463.5+(870.3-769.1)+(-3.769155+(-1.331559--1.176723))+0-629.5--0.963135000000036</f>
        <v>1932.2391439999997</v>
      </c>
      <c r="T244" s="3">
        <f>2480.6+(923.3-890.9)+(-1.265106+(-0.470883--0.454359))+0-523--0.266729999999947</f>
        <v>1988.9851000000001</v>
      </c>
      <c r="U244" s="3">
        <f>2580+(1079.8-1076.2)+(-3.9474+(-1.652094--1.646586))+0-540.1--0.826353000000031</f>
        <v>2040.3734449999997</v>
      </c>
      <c r="V244" s="3">
        <f>2607.8+(1153.7-1183.1)+(-1.329978+(-0.588387--0.603381))+0-483.5--0.246584999999951</f>
        <v>2093.8316010000003</v>
      </c>
      <c r="W244" s="3">
        <f>2729+(1742.8-1532.3)+(1.39179+(0.888828-0.781473))+0-628-0.320279999999936</f>
        <v>2312.6788650000003</v>
      </c>
      <c r="X244" s="3">
        <f>2675.5+(1541.8-1372.2)+(-5.45802+(-3.145272--2.799288))+0-559.5--1.14137999999998</f>
        <v>2280.9373759999999</v>
      </c>
      <c r="Y244" s="3">
        <f>2528.8+(1411.1-1209.7)+(0+(0-0))+0-518.6-0</f>
        <v>2211.6</v>
      </c>
      <c r="Z244" s="3">
        <f>2576.8+(1230.5-1074.7)+(-1.314168+(-0.627555--0.548097))+0-634--0.323339999999936</f>
        <v>2097.5297140000002</v>
      </c>
      <c r="AA244" s="3">
        <f>2648.5+(837.1-895.3)+(-8.10441+(-2.561526--2.739618))+0-569.2--1.74175200000007</f>
        <v>2014.9154340000005</v>
      </c>
      <c r="AB244" s="3">
        <f>2347.2+(683.4-616.1)+(-2.394144+(-0.697068--0.628422))+0-490--0.499800000000078</f>
        <v>1922.53701</v>
      </c>
      <c r="AC244" s="3">
        <f>2184.8+(643.3-455.6)+(-7.799736+(-2.296581--1.626492))+0-575.7--2.05524900000001</f>
        <v>1790.3854239999998</v>
      </c>
      <c r="AD244">
        <v>2404.3000000000002</v>
      </c>
      <c r="AE244" s="3">
        <f>2733+(1839.3-1486.5)+(0+(0-0))+0-681.5-0</f>
        <v>2404.3000000000002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2088.6+(730.6-315.3)+(-3.195558+(-1.117818--0.482409))+0-786.7--1.20365100000005</f>
        <v>1714.5726840000002</v>
      </c>
      <c r="G245" s="3">
        <f>1945+(595.8-244.7)+(-1.9839+(-0.607716--0.249594))+0-633.7--0.646374000000101</f>
        <v>1660.7043520000002</v>
      </c>
      <c r="H245" s="3">
        <f>1946.4+(640.8-227.8)+(0+(0-0))+0-803.2-0</f>
        <v>1556.2</v>
      </c>
      <c r="I245" s="3">
        <f>1944.8+(573.6-207)+(0+(0-0))+0-769.4-0</f>
        <v>1542</v>
      </c>
      <c r="J245" s="3">
        <f>1940.9+(672.8-259.4)+(1.979718+(0.686256-0.264588))+0-754.1-0.76918200000012</f>
        <v>1601.832204</v>
      </c>
      <c r="K245" s="3">
        <f>1933.2+(638-250.4)+(1.971864+(0.65076-0.255408))+0-798.6-0.814572000000127</f>
        <v>1523.7526440000001</v>
      </c>
      <c r="L245" s="3">
        <f>1924.9+(587.8-174.2)+(2.945097+(0.899334-0.266526))+0-619.5-0.947835000000036</f>
        <v>1721.6300700000002</v>
      </c>
      <c r="M245" s="3">
        <f>2108.2+(643.9-366.1)+(3.225546+(0.985167-0.560133))+0-661.6-1.01224800000004</f>
        <v>1727.0383320000001</v>
      </c>
      <c r="N245" s="3">
        <f>2299.3+(903.4-506.5)+(-1.172643+(-0.460734--0.258315))+0-696.3--0.355112999999929</f>
        <v>1998.8800510000001</v>
      </c>
      <c r="O245" s="3">
        <f>2405.4+(945.8-728.4)+(-1.226754+(-0.482358--0.371484))+0-554.2--0.282641999999944</f>
        <v>2067.5450140000003</v>
      </c>
      <c r="P245" s="3">
        <f>2451.5+(1091.2-804.9)+(-1.250265+(-0.556512--0.410499))+0-600.3--0.306152999999939</f>
        <v>2136.4098749999998</v>
      </c>
      <c r="Q245" s="3">
        <f>2671.8+(1221.9-1150.6)+(-4.087854+(-1.869507--1.760418))+0-607.4--0.929322000000035</f>
        <v>2132.4323790000003</v>
      </c>
      <c r="R245" s="3">
        <f>2687.5+(1137.4-1140.6)+(-4.111875+(-1.740222--1.745118))+0-666.1--1.01913300000004</f>
        <v>2015.1121540000001</v>
      </c>
      <c r="S245" s="3">
        <f>2547.2+(946.2-833)+(-5.196288+(-1.930248--1.69932))+0-661.7--1.34986799999997</f>
        <v>1994.6226519999996</v>
      </c>
      <c r="T245" s="3">
        <f>2449.4+(864-657.2)+(-1.249194+(-0.44064--0.335172))+0-616.3--0.314312999999937</f>
        <v>2038.8596509999995</v>
      </c>
      <c r="U245" s="3">
        <f>2387.8+(845.4-666.9)+(3.653334+(1.293462-1.020357))+0-524.7-0.80279100000003</f>
        <v>2044.7236479999999</v>
      </c>
      <c r="V245" s="3">
        <f>2461+(1107.5-841.3)+(-6.27555+(-2.824125--2.145315))+0-650--1.65749999999991</f>
        <v>2071.9031399999994</v>
      </c>
      <c r="W245" s="3">
        <f>2475.2+(1099-955.1)+(1.262352+(0.56049-0.487101))+0-618.5-0.315434999999937</f>
        <v>2001.6203059999998</v>
      </c>
      <c r="X245" s="3">
        <f>2489.2+(1249-935.7)+(-7.616952+(-3.82194--2.863242))+0-657--2.01042000000008</f>
        <v>2138.9347699999998</v>
      </c>
      <c r="Y245" s="3">
        <f>2490.3+(1151.5-887.5)+(-2.540106+(-1.17453--0.90525))+0-663.4--0.676668000000106</f>
        <v>2088.7672820000003</v>
      </c>
      <c r="Z245" s="3">
        <f>2489.2+(970.1-889.1)+(-5.077968+(-1.979004--1.813764))+0-576--1.17503999999997</f>
        <v>1990.131832</v>
      </c>
      <c r="AA245" s="3">
        <f>2486.9+(1054.4-891.5)+(-6.341595+(-2.68872--2.273325))+0-722.1--1.8413549999999</f>
        <v>1922.7843650000002</v>
      </c>
      <c r="AB245" s="3">
        <f>2483.4+(823.4-827.7)+(-3.799602+(-1.259802--1.266381))+0-631.1--0.965583000000037</f>
        <v>1845.1725599999997</v>
      </c>
      <c r="AC245" s="3">
        <f>2306.7+(878.2-658.8)+(-2.352834+(-0.895764--0.671976))+0-799.2--0.815184000000127</f>
        <v>1725.1385619999999</v>
      </c>
      <c r="AD245">
        <v>2243.5</v>
      </c>
      <c r="AE245" s="3">
        <f>2477+(1442.5-915)+(0+(0-0))+0-761-0</f>
        <v>2243.5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1963.2+(542.4-340)+(2.002464+(0.553248-0.3468))+0-613.6-0.625872000000098</f>
        <v>1553.58304</v>
      </c>
      <c r="G246" s="3">
        <f>1925.9+(543-209.6)+(-1.964418+(-0.55386--0.213792))+0-774.8--0.790296000000123</f>
        <v>1482.9858100000004</v>
      </c>
      <c r="H246" s="3">
        <f>1884.8+(536.7-258)+(0.961248+(0.273717-0.13158))+0-667.4-0.340373999999932</f>
        <v>1496.8630109999999</v>
      </c>
      <c r="I246" s="3">
        <f>1800.5+(577-190)+(0.918255+(0.29427-0.0969))+0-708.8-0.361487999999928</f>
        <v>1479.4541369999999</v>
      </c>
      <c r="J246" s="3">
        <f>1803.5+(504.7-202)+(-1.83957+(-0.514794--0.20604))+0-621.7--0.634134000000099</f>
        <v>1482.9858100000001</v>
      </c>
      <c r="K246" s="3">
        <f>1799.3+(456.5-183)+(1.835286+(0.46563-0.18666))+0-556.4-0.567528000000089</f>
        <v>1517.9467279999999</v>
      </c>
      <c r="L246" s="3">
        <f>1933.9+(314.8-239.4)+(-1.972578+(-0.321096--0.244188))+0-480.4--0.490008000000077</f>
        <v>1527.3405220000002</v>
      </c>
      <c r="M246" s="3">
        <f>1967.7+(229.8-267.3)+(-1.003527+(-0.117198--0.136323))+0-271.8--0.138617999999972</f>
        <v>1657.554216</v>
      </c>
      <c r="N246" s="3">
        <f>1979.4+(509.5-405.6)+(0+(0-0))+0-217-0</f>
        <v>1866.3000000000002</v>
      </c>
      <c r="O246" s="3">
        <f>2144.2+(819.8-626.5)+(1.093542+(0.418098-0.319515))+0-387.7-0.197726999999961</f>
        <v>1950.794398</v>
      </c>
      <c r="P246" s="3">
        <f>2199.3+(932.8-651)+(-2.243286+(-0.951456--0.66402))+0-483.4--0.493068000000077</f>
        <v>1995.6623460000003</v>
      </c>
      <c r="Q246" s="3">
        <f>2217+(904.7-737.3)+(-5.65335+(-2.306985--1.880115))+0-359.4--0.916469999999948</f>
        <v>2019.8362500000001</v>
      </c>
      <c r="R246" s="3">
        <f>2247+(667-606.1)+(-3.43791+(-1.02051--0.927333))+0-430.1--0.658053000000025</f>
        <v>1874.9269660000004</v>
      </c>
      <c r="S246" s="3">
        <f>2191+(717.6-496.9)+(-2.23482+(-0.731952--0.506838))+0-545--0.555900000000087</f>
        <v>1864.7959659999999</v>
      </c>
      <c r="T246" s="3">
        <f>2185+(794.6-623.5)+(3.34305+(1.215738-0.953955))+0-495.5-0.758115000000029</f>
        <v>1863.4467179999997</v>
      </c>
      <c r="U246" s="3">
        <f>2218.1+(772.4-712.7)+(1.131231+(0.393924-0.363477))+0-426.4-0.217463999999957</f>
        <v>1852.3442139999995</v>
      </c>
      <c r="V246" s="3">
        <f>2319.5+(817.5-814.4)+(0+(0-0))+0-449.8-0</f>
        <v>1872.8</v>
      </c>
      <c r="W246" s="3">
        <f>2350.2+(1423-1010.7)+(0+(0-0))+0-613.5-0</f>
        <v>2149</v>
      </c>
      <c r="X246" s="3">
        <f>2357.7+(1189-820.2)+(-3.607281+(-1.81917--1.254906))+0-576.4--0.881892000000033</f>
        <v>2146.8103469999996</v>
      </c>
      <c r="Y246" s="3">
        <f>2356+(849.4-584.1)+(-6.0078+(-2.16597--1.489455))+0-550.7--1.40428499999992</f>
        <v>2065.31997</v>
      </c>
      <c r="Z246" s="3">
        <f>2340.4+(668.5-361.1)+(0+(0-0))+0-643-0</f>
        <v>2004.8000000000002</v>
      </c>
      <c r="AA246" s="3">
        <f>2296.1+(474.9-206.2)+(-5.855055+(-1.210995--0.52581))+0-619.6--1.57997999999991</f>
        <v>1940.23974</v>
      </c>
      <c r="AB246" s="3">
        <f>2202.9+(553.1-201.7)+(-4.493916+(-1.128324--0.411468))+0-692.9--1.41351599999997</f>
        <v>1857.6027440000003</v>
      </c>
      <c r="AC246" s="3">
        <f>2203.6+(544.4-220.8)+(-4.495344+(-1.110576--0.450432))+0-768.5--1.56773999999997</f>
        <v>1755.1122519999999</v>
      </c>
      <c r="AD246">
        <v>2261.2999999999997</v>
      </c>
      <c r="AE246" s="3">
        <f>2336+(1509.7-1042)+(0+(0-0))+0-542.4-0</f>
        <v>2261.2999999999997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2173.5+(571-427)+(-3.325455+(-0.87363--0.65331))+0-693.9--1.06166700000004</f>
        <v>1621.1158919999998</v>
      </c>
      <c r="G247" s="3">
        <f>2059+(614.4-306.8)+(0+(0-0))+0-795.4-0</f>
        <v>1571.1999999999998</v>
      </c>
      <c r="H247" s="3">
        <f>1761+(749.4-241.8)+(0+(0-0))+0-759.1-0</f>
        <v>1509.5</v>
      </c>
      <c r="I247" s="3">
        <f>1710.4+(683.9-110.9)+(0+(0-0))+0-783.8-0</f>
        <v>1499.6000000000001</v>
      </c>
      <c r="J247" s="3">
        <f>1710.6+(804.3-119.3)+(3.489624+(1.640772-0.243372))+0-890.7-1.81702799999996</f>
        <v>1507.969996</v>
      </c>
      <c r="K247" s="3">
        <f>1707.6+(722.9-177.3)+(3.483504+(1.474716-0.361692))+0-725.7-1.48042799999997</f>
        <v>1530.6160999999997</v>
      </c>
      <c r="L247" s="3">
        <f>1717+(741.7-105)+(1.75134+(0.756534-0.1071))+0-783.7-0.799374000000125</f>
        <v>1571.6013999999998</v>
      </c>
      <c r="M247" s="3">
        <f>1787.9+(588.2-174.2)+(0+(0-0))+0-515-0</f>
        <v>1686.9</v>
      </c>
      <c r="N247" s="3">
        <f>2106.1+(547.4-338.7)+(1.074111+(0.279174-0.172737))+0-448.7-0.228836999999954</f>
        <v>1867.0517109999996</v>
      </c>
      <c r="O247" s="3">
        <f>2197.4+(860.6-575.6)+(2.241348+(0.877812-0.587112))+0-534.5-0.545190000000085</f>
        <v>1949.8868580000001</v>
      </c>
      <c r="P247" s="3">
        <f>2201.2+(1115.2-755.9)+(-1.122612+(-0.568752--0.385509))+0-542.8--0.276827999999945</f>
        <v>2016.670973</v>
      </c>
      <c r="Q247" s="3">
        <f>2217.9+(1208.6-809)+(-6.786774+(-3.698316--2.47554))+0-558.4--1.70870400000006</f>
        <v>2052.7991539999998</v>
      </c>
      <c r="R247" s="3">
        <f>2324.7+(920.1-692)+(-4.742388+(-1.877004--1.41168))+0-657.4--1.34109599999997</f>
        <v>1891.5333839999996</v>
      </c>
      <c r="S247" s="3">
        <f>2372.6+(888.5-798.6)+(-1.210026+(-0.453135--0.407286))+0-729.1--0.371840999999926</f>
        <v>1732.5159660000002</v>
      </c>
      <c r="T247" s="3">
        <f>2491.5+(986.5-894.5)+(0+(0-0))+0-675.7-0</f>
        <v>1907.8</v>
      </c>
      <c r="U247" s="3">
        <f>2703.3+(1135-1187.1)+(1.378683+(0.57885-0.605421))+0-729.7-0.372146999999926</f>
        <v>1922.4799650000004</v>
      </c>
      <c r="V247" s="3">
        <f>2666.3+(1136.6-1242.3)+(1.359813+(0.579666-0.633573))+0-630.4-0.321503999999936</f>
        <v>1931.1844020000003</v>
      </c>
      <c r="W247" s="3">
        <f>2737.6+(1613.2-1524.6)+(-1.396176+(-0.822732--0.777546))+0-614.3--0.313292999999938</f>
        <v>2210.7719310000002</v>
      </c>
      <c r="X247" s="3">
        <f>2730+(1429.2-1237.1)+(0+(0-0))+0-659.5-0</f>
        <v>2262.6000000000004</v>
      </c>
      <c r="Y247" s="3">
        <f>2828.9+(1109.8-1199.8)+(-5.770956+(-2.263992--2.447592))+0-611.5--1.24745999999997</f>
        <v>2123.0601040000001</v>
      </c>
      <c r="Z247" s="3">
        <f>2747+(949.4-986.6)+(-1.40097+(-0.484194--0.503166))+0-644.5--0.328694999999935</f>
        <v>2064.2466970000005</v>
      </c>
      <c r="AA247" s="3">
        <f>2816.2+(808.9-1002.9)+(-5.745048+(-1.650156--2.045916))+0-648.4--1.32273599999997</f>
        <v>1969.7734479999999</v>
      </c>
      <c r="AB247" s="3">
        <f>2662.7+(862.8-907.8)+(-4.073931+(-1.320084--1.388934))+0-669.4--1.02418200000004</f>
        <v>1945.319101</v>
      </c>
      <c r="AC247" s="3">
        <f>2626.9+(618.8-894.7)+(-4.019157+(-0.946764--1.368891))+0-638.7--0.977211000000037</f>
        <v>1709.6801810000002</v>
      </c>
      <c r="AD247">
        <v>2191.5</v>
      </c>
      <c r="AE247" s="3">
        <f>2722+(1530.4-1345.2)+(0+(0-0))+0-715.7-0</f>
        <v>2191.5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2390.3+(485.2-523.6)+(-2.438106+(-0.494904--0.534072))+0-699.9--0.713898000000112</f>
        <v>1650.3149600000004</v>
      </c>
      <c r="G248" s="3">
        <f>2313.8+(457.1-440.8)+(-2.360076+(-0.466242--0.449616))+0-746.2--0.761124000000119</f>
        <v>1582.2844220000004</v>
      </c>
      <c r="H248" s="3">
        <f>2116.3+(474.6-308.1)+(-2.158626+(-0.484092--0.314262))+0-731.5--0.746130000000117</f>
        <v>1549.7176740000002</v>
      </c>
      <c r="I248" s="3">
        <f>2050.8+(360.3-245.9)+(-1.045908+(-0.183753--0.125409))+0-632.6--0.322625999999936</f>
        <v>1531.8183740000002</v>
      </c>
      <c r="J248" s="3">
        <f>2052.6+(485.3-173.5)+(2.093652+(0.495006-0.17697))+0-819.1-0.835482000000131</f>
        <v>1546.8762060000001</v>
      </c>
      <c r="K248" s="3">
        <f>2052.2+(360.2-137.2)+(2.093244+(0.367404-0.139944))+0-713.3-0.727566000000114</f>
        <v>1563.493138</v>
      </c>
      <c r="L248" s="3">
        <f>2087.2+(433.4-188.9)+(-1.064472+(-0.221034--0.096339))+0-725.9--0.370208999999926</f>
        <v>1604.9810419999997</v>
      </c>
      <c r="M248" s="3">
        <f>2284.4+(427.5-287)+(0+(0-0))+0-702.5-0</f>
        <v>1722.4</v>
      </c>
      <c r="N248" s="3">
        <f>2588.1+(309.2-445.5)+(-1.319931+(-0.157692--0.227205))+0-640.1--0.326450999999935</f>
        <v>1810.7760329999996</v>
      </c>
      <c r="O248" s="3">
        <f>2714.8+(953.3-917.7)+(1.384548+(0.486183-0.468027))+0-766.8-0.391067999999922</f>
        <v>1984.6116360000003</v>
      </c>
      <c r="P248" s="3">
        <f>2536.1+(1240.8-1117.6)+(-1.293411+(-0.632808--0.569976))+0-663--0.338129999999933</f>
        <v>1995.2818869999999</v>
      </c>
      <c r="Q248" s="3">
        <f>2494.2+(1462.8-1260.6)+(-5.088168+(-2.984112--2.571624))+0-665.6--1.35782399999997</f>
        <v>2026.6571679999995</v>
      </c>
      <c r="R248" s="3">
        <f>2630.3+(1089.6-1191.3)+(-6.707265+(-2.77848--3.037815))+0-650.9--1.65979499999991</f>
        <v>1872.9118650000003</v>
      </c>
      <c r="S248" s="3">
        <f>2649.7+(915.8-1017.8)+(-5.405388+(-1.868232--2.076312))+0-701.2--1.43044799999997</f>
        <v>1842.73314</v>
      </c>
      <c r="T248" s="3">
        <f>2628.7+(828.3-1049.1)+(-4.021911+(-1.267299--1.605123))+0-543.2--0.831096000000031</f>
        <v>1861.8470089999996</v>
      </c>
      <c r="U248" s="3">
        <f>2741.4+(986.9-1424.1)+(-2.796228+(-1.006638--1.452582))+0-408.1--0.416262000000065</f>
        <v>1894.1659780000002</v>
      </c>
      <c r="V248" s="3">
        <f>2886.6+(855.3-1300.4)+(-2.944332+(-0.872406--1.326408))+0-523.5--0.533970000000083</f>
        <v>1916.0436400000001</v>
      </c>
      <c r="W248" s="3">
        <f>2855.2+(1187.3-1381.7)+(1.456152+(0.605523-0.704667))+0-486.5-0.248114999999951</f>
        <v>2175.4088929999998</v>
      </c>
      <c r="X248" s="3">
        <f>2862.8+(1235.9-1363.6)+(-8.760168+(-3.781854--4.172616))+0-655.5--2.00583000000008</f>
        <v>2073.2364240000006</v>
      </c>
      <c r="Y248" s="3">
        <f>2863.1+(922-1136)+(-10.221267+(-3.29154--4.05552))+0-564.9--2.01669300000001</f>
        <v>2076.7594059999997</v>
      </c>
      <c r="Z248" s="3">
        <f>2862.9+(825.3-1054.8)+(-4.380237+(-1.262709--1.613844))+0-616.5--0.943245000000036</f>
        <v>2013.8141430000001</v>
      </c>
      <c r="AA248" s="3">
        <f>2864.5+(763-989.1)+(-2.92179+(-0.77826--1.008882))+0-664.8--0.678096000000106</f>
        <v>1971.5869280000004</v>
      </c>
      <c r="AB248" s="3">
        <f>2866.4+(734.9-919.8)+(-4.385592+(-1.124397--1.407294))+0-765.5--1.17121500000004</f>
        <v>1913.06852</v>
      </c>
      <c r="AC248" s="3">
        <f>2901.7+(673.4-1113.5)+(-1.479867+(-0.343434--0.567885))+0-622.8--0.317627999999937</f>
        <v>1837.862212</v>
      </c>
      <c r="AD248">
        <v>2137.5</v>
      </c>
      <c r="AE248" s="3">
        <f>2986+(1264.8-1331)+(0+(0-0))+0-782.3-0</f>
        <v>2137.5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2516.9+(319.5-449.7)+(-3.850857+(-0.488835--0.688041))+0-672.9--1.02953700000004</f>
        <v>1711.1778860000002</v>
      </c>
      <c r="G249" s="3">
        <f>2433.2+(387.4-476)+(-2.481864+(-0.395148--0.48552))+0-710.7--0.724914000000113</f>
        <v>1632.2334219999998</v>
      </c>
      <c r="H249" s="3">
        <f>2382+(380.2-471.8)+(-4.85928+(-0.775608--0.962472))+0-692.1--1.41188399999997</f>
        <v>1595.0394680000002</v>
      </c>
      <c r="I249" s="3">
        <f>2165.3+(477.9-322.2)+(2.208606+(0.487458-0.328644))+0-747.1-0.762042000000119</f>
        <v>1575.5053780000001</v>
      </c>
      <c r="J249" s="3">
        <f>2131.7+(373.8-244.9)+(-4.348668+(-0.762552--0.499596))+0-711.9--1.45227599999997</f>
        <v>1545.5406519999997</v>
      </c>
      <c r="K249" s="3">
        <f>2130.5+(356.4-245.6)+(-3.259665+(-0.545292--0.375768))+0-674.2--1.03152600000004</f>
        <v>1564.7023370000002</v>
      </c>
      <c r="L249" s="3">
        <f>2132.9+(308.5-161.3)+(0+(0-0))+0-715.7-0</f>
        <v>1564.3999999999999</v>
      </c>
      <c r="M249" s="3">
        <f>2231.8+(234.8-190.3)+(0+(0-0))+0-619.1-0</f>
        <v>1657.2000000000003</v>
      </c>
      <c r="N249" s="3">
        <f>2588+(258.4-307.1)+(2.63976+(0.263568-0.313242))+0-686.2-0.699924000000109</f>
        <v>1854.9901620000003</v>
      </c>
      <c r="O249" s="3">
        <f>2755.1+(589.5-731.4)+(-1.405101+(-0.300645--0.373014))+0-653.8--0.333437999999934</f>
        <v>1958.4007059999999</v>
      </c>
      <c r="P249" s="3">
        <f>2782.8+(1017.2-1078.6)+(-1.419228+(-0.518772--0.550086))+0-697.3--0.355622999999929</f>
        <v>2023.0677090000006</v>
      </c>
      <c r="Q249" s="3">
        <f>2832.4+(1128.9-1257.7)+(-4.333572+(-1.727217--1.924281))+0-667.2--1.02081600000004</f>
        <v>2033.2843080000002</v>
      </c>
      <c r="R249" s="3">
        <f>2720.2+(911.3-1038)+(-5.549208+(-1.859052--2.11752))+0-716.7--1.46206799999997</f>
        <v>1872.9713280000001</v>
      </c>
      <c r="S249" s="3">
        <f>2916.8+(657-1126)+(2.975136+(0.67014-1.14852))+8.9-657.1-0.670242000000105</f>
        <v>1801.4265140000002</v>
      </c>
      <c r="T249" s="3">
        <f>2996.2+(1011.4-1589.9)+(-1.528062+(-0.515814--0.810849))+0-615.5--0.313904999999938</f>
        <v>1801.2808779999996</v>
      </c>
      <c r="U249" s="3">
        <f>2996.4+(1203.3-1738)+(-1.528164+(-0.613683--0.88638))+0-665.7--0.339506999999933</f>
        <v>1795.0840399999997</v>
      </c>
      <c r="V249" s="3">
        <f>2994.4+(938.3-1488.9)+(-1.527144+(-0.478533--0.759339))+0-636.7--0.324716999999935</f>
        <v>1806.1783790000002</v>
      </c>
      <c r="W249" s="3">
        <f>3004.8+(1292.5-1516.7)+(1.532448+(0.659175-0.773517))+0-688.1-0.35093099999993</f>
        <v>2093.5671750000006</v>
      </c>
      <c r="X249" s="3">
        <f>3011.8+(1036.1-1264.6)+(-9.216108+(-3.170466--3.869676))+0-673.3--2.06029800000008</f>
        <v>2103.5434</v>
      </c>
      <c r="Y249" s="3">
        <f>2989.2+(893.6-1190.2)+(-4.573476+(-1.367208--1.821006))+0-655.1--1.00230300000004</f>
        <v>2034.382625</v>
      </c>
      <c r="Z249" s="3">
        <f>2914+(682.7-961.5)+(-5.94456+(-1.392708--1.96146))+0-670.8--1.36843199999997</f>
        <v>1960.3926240000001</v>
      </c>
      <c r="AA249" s="3">
        <f>2718.6+(446.3-621.4)+(-2.772972+(-0.455226--0.633828))+0-626.1--0.6386220000001</f>
        <v>1915.4442520000005</v>
      </c>
      <c r="AB249" s="3">
        <f>2538.3+(285.1-324)+(-3.883599+(-0.436203--0.49572))+0-669.3--1.02402900000004</f>
        <v>1827.299947</v>
      </c>
      <c r="AC249" s="3">
        <f>2421.6+(365.2-289.7)+(-7.410096+(-1.117512--0.886482))+0-752.3--2.30203800000009</f>
        <v>1739.460912</v>
      </c>
      <c r="AD249">
        <v>2073.6000000000004</v>
      </c>
      <c r="AE249" s="3">
        <f>3005+(1212-1504.1)+(0+(0-0))+0-639.3-0</f>
        <v>2073.6000000000004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2341.9+(423.5-378.3)+(2.388738+(0.43197-0.385866))+0-719.1-0.733482000000115</f>
        <v>1669.70136</v>
      </c>
      <c r="G250" s="3">
        <f>2343+(290.1-352)+(-3.58479+(-0.443853--0.53856))+0-692.5--1.05952500000004</f>
        <v>1586.1694419999999</v>
      </c>
      <c r="H250" s="3">
        <f>2260.8+(350.6-363.3)+(-3.459024+(-0.536418--0.555849))+0-710.2--1.08660600000004</f>
        <v>1535.5470130000003</v>
      </c>
      <c r="I250" s="3">
        <f>2243+(376.8-409.7)+(-2.28786+(-0.384336--0.417894))+0-688.3--0.70206600000011</f>
        <v>1520.2477640000002</v>
      </c>
      <c r="J250" s="3">
        <f>2245.1+(426.8-389.2)+(-3.435003+(-0.653004--0.595476))+0-753.6--1.15300800000004</f>
        <v>1526.760477</v>
      </c>
      <c r="K250" s="3">
        <f>2118.2+(344.2-235.5)+(-2.160564+(-0.351084--0.24021))+0-698.6--0.712572000000111</f>
        <v>1526.7411339999996</v>
      </c>
      <c r="L250" s="3">
        <f>2085.7+(224.2-206.1)+(-7.445949+(-0.800394--0.735777))+0-672--2.39904000000001</f>
        <v>1426.6884739999998</v>
      </c>
      <c r="M250" s="3">
        <f>2082.3+(218.4-200.5)+(-2.123946+(-0.222768--0.20451))+0-700.4--0.714408000000112</f>
        <v>1398.372204</v>
      </c>
      <c r="N250" s="3">
        <f>2177.2+(201-203.4)+(1.110372+(0.10251-0.103734))+0-728.2-0.371381999999926</f>
        <v>1447.3377659999996</v>
      </c>
      <c r="O250" s="3">
        <f>2368+(139.2-285.7)+(-6.0384+(-0.35496--0.728535))+0-711.1--1.8133049999999</f>
        <v>1506.5484800000002</v>
      </c>
      <c r="P250" s="3">
        <f>2487.5+(237.6-471.5)+(-3.805875+(-0.363528--0.721395))+0-678.5--1.03810500000004</f>
        <v>1572.6900970000002</v>
      </c>
      <c r="Q250" s="3">
        <f>2385.7+(303.8-346.1)+(-2.433414+(-0.309876--0.353022))+0-731.1--0.745722000000117</f>
        <v>1610.6554539999997</v>
      </c>
      <c r="R250" s="3">
        <f>2372.2+(262.2-421.5)+(-4.839288+(-0.534888--0.85986))+0-660.7--1.34782799999997</f>
        <v>1549.0335119999997</v>
      </c>
      <c r="S250" s="3">
        <f>2333.8+(255.3-425.2)+(-3.570714+(-0.390609--0.650556))+0-666.3--1.01943900000004</f>
        <v>1495.3086720000003</v>
      </c>
      <c r="T250" s="3">
        <f>2335.2+(261.9-410.5)+(0+(0-0))+0-694.5-0</f>
        <v>1492.1</v>
      </c>
      <c r="U250" s="3">
        <f>2384.3+(210.7-434.6)+(-1.215993+(-0.107457--0.221646))+0-663.9--0.338588999999933</f>
        <v>1495.7367850000001</v>
      </c>
      <c r="V250" s="3">
        <f>2606.1+(395.1-815.3)+(2.658222+(0.403002-0.831606))+0-605.9-0.618018000000097</f>
        <v>1581.6115999999997</v>
      </c>
      <c r="W250" s="3">
        <f>2819.6+(904.1-1210)+(4.313988+(1.383273-1.8513))+0-659.4-1.00888200000004</f>
        <v>1857.1370789999996</v>
      </c>
      <c r="X250" s="3">
        <f>2834.5+(834.6-1072.1)+(-2.89119+(-0.851292--1.093542))+0-704.9--0.718998000000112</f>
        <v>1890.1700579999999</v>
      </c>
      <c r="Y250" s="3">
        <f>2830.4+(655.9-934.8)+(-2.887008+(-0.669018--0.953496))+0-665.2--0.678504000000106</f>
        <v>1884.375974</v>
      </c>
      <c r="Z250" s="3">
        <f>2821.7+(484.3-800.1)+(-2.878134+(-0.493986--0.816102))+0-656.2--0.669324000000105</f>
        <v>1847.8133059999996</v>
      </c>
      <c r="AA250" s="3">
        <f>2825.1+(442.5-792.8)+(-4.322403+(-0.677025--1.212984))+0-643.1--0.983943000000037</f>
        <v>1828.8974990000004</v>
      </c>
      <c r="AB250" s="3">
        <f>2736.7+(473.8-710.2)+(-1.395717+(-0.241638--0.362202))+0-741.3--0.378062999999925</f>
        <v>1758.1029099999996</v>
      </c>
      <c r="AC250" s="3">
        <f>2447.9+(540.4-567.7)+(-3.745287+(-0.826812--0.868581))+0-764.2--1.16922600000004</f>
        <v>1653.865708</v>
      </c>
      <c r="AD250">
        <v>1877.4</v>
      </c>
      <c r="AE250" s="3">
        <f>2823+(1000.3-1238)+(0+(0-0))+0-707.9-0</f>
        <v>1877.4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2064.1+(543.4-255.4)+(-1.052691+(-0.277134--0.130254))+0-770--0.392699999999922</f>
        <v>1581.2931289999997</v>
      </c>
      <c r="G251" s="3">
        <f>1741.7+(594.9-103.6)+(0+(0-0))+0-728.4-0</f>
        <v>1504.6</v>
      </c>
      <c r="H251" s="3">
        <f>1687.8+(637.3-81)+(1.721556+(0.650046-0.08262))+0-775.9-0.791418000000124</f>
        <v>1469.6975639999998</v>
      </c>
      <c r="I251" s="3">
        <f>1681.8+(692.4-90.3)+(4.28859+(1.76562-0.230265))+0-833.9-2.12644499999988</f>
        <v>1453.6975000000002</v>
      </c>
      <c r="J251" s="3">
        <f>1682.7+(601.7-70.9)+(-0.858177+(-0.306867--0.036159))+0-754.9--0.384998999999923</f>
        <v>1457.8561139999997</v>
      </c>
      <c r="K251" s="3">
        <f>1732.5+(713.9-91.7)+(3.5343+(1.456356-0.187068))+0-877.7-1.79050799999996</f>
        <v>1480.0130799999999</v>
      </c>
      <c r="L251" s="3">
        <f>1942.1+(518.2-127.9)+(2.971413+(0.792846-0.195687))+0-762.5-1.16662500000004</f>
        <v>1572.3019470000002</v>
      </c>
      <c r="M251" s="3">
        <f>2066.7+(452.3-155.3)+(-2.108034+(-0.461346--0.158406))+0-671.3--0.684726000000107</f>
        <v>1690.6737520000001</v>
      </c>
      <c r="N251" s="3">
        <f>2216.9+(771.8-204.6)+(2.261238+(0.787236-0.208692))+0-845.5-0.862410000000135</f>
        <v>1940.5773719999997</v>
      </c>
      <c r="O251" s="3">
        <f>2187.6+(1030.7-422.4)+(-3.347028+(-1.576971--0.646272))+0-630.5--0.964665000000036</f>
        <v>2162.0869379999999</v>
      </c>
      <c r="P251" s="3">
        <f>2215.5+(1286.1-607.9)+(2.25981+(1.311822-0.620058))+0-755.1-0.77020200000012</f>
        <v>2140.7813719999999</v>
      </c>
      <c r="Q251" s="3">
        <f>2438.2+(1448.6-954.3)+(0+(0-0))+0-734-0</f>
        <v>2198.5</v>
      </c>
      <c r="R251" s="3">
        <f>2514.5+(1115.5-1082.9)+(-3.847185+(-1.706715--1.656837))+0-600.3--0.918459000000035</f>
        <v>1943.821396</v>
      </c>
      <c r="S251" s="3">
        <f>2368+(1076.4-936.7)+(-1.20768+(-0.548964--0.477717))+0-674.2--0.343841999999932</f>
        <v>1832.5649149999999</v>
      </c>
      <c r="T251" s="3">
        <f>2247.4+(883.5-599.1)+(-1.146174+(-0.450585--0.305541))+11.7-705.4--0.359753999999928</f>
        <v>1837.1685359999999</v>
      </c>
      <c r="U251" s="3">
        <f>2254.7+(894.9-611.6)+(-3.449691+(-1.369197--0.935748))+0-685.4--1.04866200000004</f>
        <v>1849.7655220000001</v>
      </c>
      <c r="V251" s="3">
        <f>2206.6+(1170.4-809.7)+(2.250732+(1.193808-0.825894))+0-585.4-0.597108000000093</f>
        <v>1983.9215379999998</v>
      </c>
      <c r="W251" s="3">
        <f>2529+(1658.7-1123.9)+(1.28979+(0.845937-0.573189))+0-775.7-0.395606999999921</f>
        <v>2289.2669310000006</v>
      </c>
      <c r="X251" s="3">
        <f>2545.4+(1552.7-1186.3)+(-3.894462+(-2.375631--1.815039))+0-669.7--1.02464100000004</f>
        <v>2238.6695870000003</v>
      </c>
      <c r="Y251" s="3">
        <f>2532.3+(1465.3-1131.2)+(-1.291473+(-0.747303--0.576912))+0-772.7--0.394076999999922</f>
        <v>2092.6322129999999</v>
      </c>
      <c r="Z251" s="3">
        <f>2510.3+(1085.2-958.5)+(-2.560506+(-1.106904--0.97767))+0-642.8--0.655656000000102</f>
        <v>1992.1659160000004</v>
      </c>
      <c r="AA251" s="3">
        <f>2264.9+(747.9-457.5)+(-2.310198+(-0.762858--0.46665))+0-590.9--0.602718000000094</f>
        <v>1962.3963120000003</v>
      </c>
      <c r="AB251" s="3">
        <f>2248+(692.4-329.7)+(-1.14648+(-0.353124--0.168147))+0-721.7--0.368066999999927</f>
        <v>1888.0366099999999</v>
      </c>
      <c r="AC251" s="3">
        <f>1960.7+(521.4-126)+(-0.999957+(-0.265914--0.06426))+0-604.8--0.308447999999939</f>
        <v>1750.406837</v>
      </c>
      <c r="AD251">
        <v>2249.3999999999996</v>
      </c>
      <c r="AE251" s="3">
        <f>2543+(1612.9-1098.8)+(0+(0-0))+0-807.7-0</f>
        <v>2249.4000000000005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1770.6+(703.9-54.8)+(-1.806012+(-0.717978--0.055896))+0-826.2--0.842724000000132</f>
        <v>1591.87463</v>
      </c>
      <c r="G252" s="3">
        <f>1772.3+(698.8-83.8)+(-1.807746+(-0.712776--0.085476))+0-806.1--0.822222000000129</f>
        <v>1579.5871760000005</v>
      </c>
      <c r="H252" s="3">
        <f>1695.8+(699.6-88.9)+(1.729716+(0.713592-0.090678))+0-764.1-0.779382000000122</f>
        <v>1543.9732479999998</v>
      </c>
      <c r="I252" s="3">
        <f>1686.6+(706.8-64.6)+(2.580498+(1.081404-0.098838))+0-820.6-1.25551800000005</f>
        <v>1510.5075459999998</v>
      </c>
      <c r="J252" s="3">
        <f>1685.9+(656.3-76.2)+(4.299045+(1.673565-0.19431))+0-750.5-1.91377499999989</f>
        <v>1519.364525</v>
      </c>
      <c r="K252" s="3">
        <f>1742.8+(706.1-48.4)+(2.666484+(1.080333-0.074052))+0-817.7-1.25108100000005</f>
        <v>1585.2216839999996</v>
      </c>
      <c r="L252" s="3">
        <f>1957.8+(518.2-117.7)+(-3.993912+(-1.057128--0.240108))+0-777.1--1.58528399999997</f>
        <v>1577.9743520000004</v>
      </c>
      <c r="M252" s="3">
        <f>1969.3+(400.7-126.3)+(-1.004343+(-0.204357--0.064413))+0-613--0.312629999999938</f>
        <v>1629.8683429999996</v>
      </c>
      <c r="N252" s="3">
        <f>2110.9+(509.2-176.8)+(2.153118+(0.519384-0.180336))+0-584.6-0.596292000000093</f>
        <v>1860.5958740000001</v>
      </c>
      <c r="O252" s="3">
        <f>2261.4+(790.7-480.7)+(0+(0-0))+0-646.2-0</f>
        <v>1925.2</v>
      </c>
      <c r="P252" s="3">
        <f>2259.1+(1047.6-637.8)+(1.152141+(0.534276-0.325278))+0-559-0.285089999999943</f>
        <v>2110.9760489999999</v>
      </c>
      <c r="Q252" s="3">
        <f>2264.5+(1069.1-735.2)+(-2.30979+(-1.090482--0.749904))+0-477--0.486540000000076</f>
        <v>2119.2361719999994</v>
      </c>
      <c r="R252" s="3">
        <f>2281.7+(869.5-754.7)+(-6.982002+(-2.66067--2.309382))+0-676--2.06856000000008</f>
        <v>1715.2352700000001</v>
      </c>
      <c r="S252" s="3">
        <f>2277.9+(739.3-672.2)+(-5.808645+(-1.885215--1.71411))+0-564.8--1.44023999999992</f>
        <v>1775.66049</v>
      </c>
      <c r="T252" s="3">
        <f>2337.4+(809.2-702.4)+(-2.384148+(-0.825384--0.716448))+0-614.2--0.626484000000098</f>
        <v>1828.1334000000002</v>
      </c>
      <c r="U252" s="3">
        <f>2264+(795.3-840.5)+(2.30928+(0.811206-0.85731))+0-622.3-0.634746000000099</f>
        <v>1598.12843</v>
      </c>
      <c r="V252" s="3">
        <f>2550.6+(989.7-887.9)+(2.601612+(1.009494-0.905658))+0-666.8-0.680136000000106</f>
        <v>1987.6253120000001</v>
      </c>
      <c r="W252" s="3">
        <f>2917.7+(1458.5-1529.4)+(4.464081+(2.231505-2.339982))+0-537.9-0.822987000000031</f>
        <v>2312.4326169999995</v>
      </c>
      <c r="X252" s="3">
        <f>2899.2+(1438-1430.2)+(-4.435776+(-2.20014--2.188206))+0-645.2--0.987156000000037</f>
        <v>2258.339446</v>
      </c>
      <c r="Y252" s="3">
        <f>2654.7+(1037.2-945.8)+(-2.707794+(-1.057944--0.964716))+0-576.9--0.588438000000092</f>
        <v>2166.9874159999999</v>
      </c>
      <c r="Z252" s="3">
        <f>2509.5+(1141.5-845.2)+(-1.279845+(-0.582165--0.431052))+0-786.8--0.40126799999992</f>
        <v>2017.9703100000002</v>
      </c>
      <c r="AA252" s="3">
        <f>2425.9+(923-622.1)+(-2.474418+(-0.94146--0.634542))+0-717.3--0.731646000000114</f>
        <v>2007.4503100000004</v>
      </c>
      <c r="AB252" s="3">
        <f>2311+(679.4-239.1)+(-7.07166+(-2.078964--0.731646))+0-800--2.44800000000009</f>
        <v>1945.3290220000001</v>
      </c>
      <c r="AC252" s="3">
        <f>2304.9+(513.6-184.1)+(-5.877495+(-1.30968--0.469455))+0-758.3--1.93366499999989</f>
        <v>1871.3159449999998</v>
      </c>
      <c r="AD252">
        <v>2348.4000000000005</v>
      </c>
      <c r="AE252" s="3">
        <f>2976+(1674.8-1666.7)+(0+(0-0))+0-635.7-0</f>
        <v>2348.3999999999996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2089.3+(629-120.1)+(-1.065543+(-0.32079--0.061251))+0-894.4--0.456143999999909</f>
        <v>1702.9310620000003</v>
      </c>
      <c r="G253" s="3">
        <f>1970.2+(488.6-116.9)+(-4.019208+(-0.996744--0.238476))+0-727.9--1.48491599999997</f>
        <v>1610.7074399999997</v>
      </c>
      <c r="H253" s="3">
        <f>1962+(493.1-120.5)+(3.00186+(0.754443-0.184365))+0-768.7-1.17611100000004</f>
        <v>1568.2958269999999</v>
      </c>
      <c r="I253" s="3">
        <f>1898.7+(497-143)+(-2.905011+(-0.76041--0.21879))+0-688.2--1.05294600000004</f>
        <v>1562.106315</v>
      </c>
      <c r="J253" s="3">
        <f>1818.4+(621.1-95.5)+(3.709536+(1.267044-0.19482))+0-747.2-1.52428799999997</f>
        <v>1600.0574719999997</v>
      </c>
      <c r="K253" s="3">
        <f>1815.3+(612.1-172.5)+(0.925803+(0.312171-0.087975))+0-716.4-0.365363999999927</f>
        <v>1539.2846350000002</v>
      </c>
      <c r="L253" s="3">
        <f>1796.7+(765.3-244.9)+(-0.916317+(-0.390303--0.124899))+0-750.7--0.382856999999924</f>
        <v>1565.6011359999998</v>
      </c>
      <c r="M253" s="3">
        <f>1867.7+(929.3-285.3)+(-0.952527+(-0.473943--0.145503))+0-811.7--0.413966999999918</f>
        <v>1699.1329999999996</v>
      </c>
      <c r="N253" s="3">
        <f>1978.8+(841.2-233.5)+(-1.009188+(-0.429012--0.119085))+0-585.9--0.298808999999941</f>
        <v>1999.579694</v>
      </c>
      <c r="O253" s="3">
        <f>2161.5+(810.1-214.2)+(-1.102365+(-0.413151--0.109242))+0-706.1--0.360110999999928</f>
        <v>2050.2538370000002</v>
      </c>
      <c r="P253" s="3">
        <f>2430.6+(963-455.9)+(-1.239606+(-0.49113--0.232509))+0-823.3--0.419882999999916</f>
        <v>2113.3216559999996</v>
      </c>
      <c r="Q253" s="3">
        <f>2294+(968-461.8)+(-3.50982+(-1.48104--0.706554))+0-725.5--1.11001500000004</f>
        <v>2071.525709</v>
      </c>
      <c r="R253" s="3">
        <f>2259.9+(643.4-365)+(-3.457647+(-0.984402--0.55845))+0-644.5--0.986085000000037</f>
        <v>1890.9024860000004</v>
      </c>
      <c r="S253" s="3">
        <f>2188.6+(600.5-137.7)+(-1.116186+(-0.306255--0.070227))+0-773.2--0.394331999999922</f>
        <v>1877.2421179999999</v>
      </c>
      <c r="T253" s="3">
        <f>2015.8+(867.2-175.7)+(3.084174+(1.326816-0.268821))+0-766.1-1.17213300000004</f>
        <v>1944.1700360000004</v>
      </c>
      <c r="U253" s="3">
        <f>2098.5+(746.8-280.1)+(0+(0-0))+0-651.8-0</f>
        <v>1913.3999999999999</v>
      </c>
      <c r="V253" s="3">
        <f>2320.6+(760.1-472.5)+(-4.734024+(-1.550604--0.9639))+0-685.5--1.39841999999997</f>
        <v>1918.7776919999997</v>
      </c>
      <c r="W253" s="3">
        <f>2918.4+(1598.8-1529.7)+(1.488384+(0.815388-0.780147))+0-731.5-0.373064999999926</f>
        <v>2257.15056</v>
      </c>
      <c r="X253" s="3">
        <f>2968.8+(1454.8-1601.5)+(-4.542264+(-2.225844--2.450295))+0-651.2--0.996336000000038</f>
        <v>2167.5785230000001</v>
      </c>
      <c r="Y253" s="3">
        <f>2959.2+(1298.7-1394.6)+(0+(0-0))+0-738.5-0</f>
        <v>2124.8000000000002</v>
      </c>
      <c r="Z253" s="3">
        <f>2957.7+(1066.7-1276)+(0+(0-0))+0-732.8-0</f>
        <v>2015.5999999999997</v>
      </c>
      <c r="AA253" s="3">
        <f>2747.7+(851.2-829.9)+(-5.605308+(-1.736448--1.692996))+0-792.4--1.61649599999997</f>
        <v>1972.5677359999997</v>
      </c>
      <c r="AB253" s="3">
        <f>2563+(530.9-454.6)+(-9.14991+(-1.895313--1.622922))+0-743.7--2.65500900000001</f>
        <v>1888.8327080000001</v>
      </c>
      <c r="AC253" s="3">
        <f>2545.9+(448.7-405.6)+(-6.492045+(-1.144185--1.03428))+0-783.8--1.99868999999989</f>
        <v>1800.5967399999997</v>
      </c>
      <c r="AD253">
        <v>2299.0000000000005</v>
      </c>
      <c r="AE253" s="3">
        <f>2953+(1792.1-1627.5)+(0+(0-0))+0-818.6-0</f>
        <v>2299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2234+(364.4-148.2)+(-7.97538+(-1.300908--0.529074))+0-761.9--2.71998300000001</f>
        <v>1682.2727689999997</v>
      </c>
      <c r="G254" s="3">
        <f>2185.9+(412.3-177.6)+(-4.459236+(-0.841092--0.362304))+0-825.4--1.68381599999996</f>
        <v>1591.9457919999998</v>
      </c>
      <c r="H254" s="3">
        <f>2066+(407-202.8)+(0+(0-0))+0-714.2-0</f>
        <v>1555.9999999999998</v>
      </c>
      <c r="I254" s="3">
        <f>1970.8+(500.5-111.8)+(-2.010216+(-0.51051--0.114036))+0-824.3--0.840786000000131</f>
        <v>1533.6340960000005</v>
      </c>
      <c r="J254" s="3">
        <f>1957.4+(428.3-85.9)+(0+(0-0))+0-732.1-0</f>
        <v>1567.7000000000003</v>
      </c>
      <c r="K254" s="3">
        <f>1952.4+(504.6-85)+(2.987172+(0.772038-0.13005))+0-766.3-1.17243900000004</f>
        <v>1608.1567210000001</v>
      </c>
      <c r="L254" s="3">
        <f>2113.9+(582.2-213)+(-4.312356+(-1.187688--0.43452))+0-895.5--1.82681999999996</f>
        <v>1584.3612960000003</v>
      </c>
      <c r="M254" s="3">
        <f>2343.8+(456.4-385.7)+(-1.195338+(-0.232764--0.196707))+0-701.1--0.357560999999929</f>
        <v>1712.5261660000003</v>
      </c>
      <c r="N254" s="3">
        <f>2395.5+(469.6-394.2)+(0+(0-0))+0-639.4-0</f>
        <v>1831.5</v>
      </c>
      <c r="O254" s="3">
        <f>2725.6+(765.7-911.9)+(-1.390056+(-0.390507--0.465069))+0-740.6--0.377705999999925</f>
        <v>1837.8622120000002</v>
      </c>
      <c r="P254" s="3">
        <f>2680.5+(887-949.2)+(-5.46822+(-1.80948--1.936368))+0-651.5--1.32905999999997</f>
        <v>1962.7877280000002</v>
      </c>
      <c r="Q254" s="3">
        <f>2660.4+(1099.9-844.1)+(-6.78402+(-2.804745--2.152455))+0-809.4--2.06396999999988</f>
        <v>2101.4276599999998</v>
      </c>
      <c r="R254" s="3">
        <f>2533.7+(916.7-782.5)+(-6.460935+(-2.337585--1.995375))+0-742.5--1.89337499999989</f>
        <v>1920.4902299999997</v>
      </c>
      <c r="S254" s="3">
        <f>2533.1+(780.7-653.9)+(-3.875643+(-1.194471--1.000467))+0-693--1.06029000000004</f>
        <v>1963.8906430000004</v>
      </c>
      <c r="T254" s="3">
        <f>2502.9+(700.8-644.5)+(-3.829437+(-1.072224--0.986085))+0-548--0.838440000000032</f>
        <v>2008.1228639999999</v>
      </c>
      <c r="U254" s="3">
        <f>2514.1+(677.4-643.5)+(-2.564382+(-0.690948--0.65637))+0-597--0.608940000000095</f>
        <v>1949.0099800000003</v>
      </c>
      <c r="V254" s="3">
        <f>2651+(766-768.1)+(0+(0-0))+0-630-0</f>
        <v>2018.9</v>
      </c>
      <c r="W254" s="3">
        <f>2649.6+(1459.9-1330.8)+(5.405184+(2.978196-2.714832))+0-684.7-1.39678799999997</f>
        <v>2098.2717599999996</v>
      </c>
      <c r="X254" s="3">
        <f>2875.7+(1428.8-1417.4)+(-4.399821+(-2.186064--2.168622))+0-684.6--1.04743800000004</f>
        <v>2199.1301749999998</v>
      </c>
      <c r="Y254" s="3">
        <f>2792.2+(1168.1-1187.7)+(-8.544132+(-3.574386--3.634362))+0-638.2--1.95289200000007</f>
        <v>2127.8687359999994</v>
      </c>
      <c r="Z254" s="3">
        <f>2653+(1036.9-927.9)+(-4.05909+(-1.586457--1.419687))+0-733.1--1.12164300000004</f>
        <v>2025.795783</v>
      </c>
      <c r="AA254" s="3">
        <f>2394.4+(861.5-527.4)+(-3.663432+(-1.318095--0.806922))+0-756.4--1.15729200000004</f>
        <v>1969.0826869999999</v>
      </c>
      <c r="AB254" s="3">
        <f>2406.2+(682.6-490.8)+(-1.227162+(-0.348126--0.250308))+0-685.7--0.34970699999993</f>
        <v>1911.3247269999999</v>
      </c>
      <c r="AC254" s="3">
        <f>2308.2+(592.1-352.7)+(-5.88591+(-1.509855--0.899385))+0-831.8--2.12108999999988</f>
        <v>1711.4247099999998</v>
      </c>
      <c r="AD254">
        <v>2322.4</v>
      </c>
      <c r="AE254" s="3">
        <f>2961+(1553.8-1510.3)+(0+(0-0))+0-682.1-0</f>
        <v>2322.4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2302.8+(327.9-273.4)+(-4.697712+(-0.668916--0.557736))+0-639.6--1.30478399999997</f>
        <v>1714.1958920000002</v>
      </c>
      <c r="G255" s="3">
        <f>2221.2+(477-299.9)+(1.132812+(0.24327-0.152949))+0-760-0.387599999999923</f>
        <v>1639.1355329999997</v>
      </c>
      <c r="H255" s="3">
        <f>2186+(625-367.6)+(2.22972+(0.6375-0.374952))+0-832.6-0.849252000000133</f>
        <v>1612.4430159999999</v>
      </c>
      <c r="I255" s="3">
        <f>2199.9+(509.5-449.8)+(-3.365847+(-0.779535--0.688194))+0-659.1--1.00842300000004</f>
        <v>1598.0512350000001</v>
      </c>
      <c r="J255" s="3">
        <f>2066.4+(542.8-293.1)+(-1.053864+(-0.276828--0.149481))+0-711.3--0.362762999999928</f>
        <v>1603.9815519999997</v>
      </c>
      <c r="K255" s="3">
        <f>2063+(598.3-330.8)+(4.20852+(1.220532-0.674832))+0-709.6-1.44758399999997</f>
        <v>1624.2066359999999</v>
      </c>
      <c r="L255" s="3">
        <f>2084.9+(535.1-282.1)+(0+(0-0))+0-697.5-0</f>
        <v>1640.4</v>
      </c>
      <c r="M255" s="3">
        <f>2134.8+(707-360.8)+(-1.088748+(-0.36057--0.184008))+0-616--0.314159999999937</f>
        <v>1864.0488499999997</v>
      </c>
      <c r="N255" s="3">
        <f>2200.4+(772.8-233.7)+(0+(0-0))+0-531.1-0</f>
        <v>2208.4</v>
      </c>
      <c r="O255" s="3">
        <f>2193.8+(781.5-154.6)+(0+(0-0))+0-670.1-0</f>
        <v>2150.6000000000004</v>
      </c>
      <c r="P255" s="3">
        <f>2189.6+(1011.5-238.4)+(-1.116696+(-0.515865--0.121584))+0-750.8--0.382907999999924</f>
        <v>2210.7719309999998</v>
      </c>
      <c r="Q255" s="3">
        <f>2177.1+(963.8-215.8)+(-1.110321+(-0.491538--0.110058))+0-649.2--0.331091999999934</f>
        <v>2274.7392909999994</v>
      </c>
      <c r="R255" s="3">
        <f>2189+(805.2-199.1)+(0+(0-0))+0-716.4-0</f>
        <v>2078.6999999999998</v>
      </c>
      <c r="S255" s="3">
        <f>2186.4+(678.6-214.9)+(0+(0-0))+0-666.3-0</f>
        <v>1983.8000000000004</v>
      </c>
      <c r="T255" s="3">
        <f>2193+(723.1-204)+(2.23686+(0.737562-0.20808))+0-705.6-0.719712000000112</f>
        <v>2008.5466299999998</v>
      </c>
      <c r="U255" s="3">
        <f>2202.6+(695.7-215.4)+(-2.246652+(-0.709614--0.219708))+0-612.5--0.624750000000098</f>
        <v>2068.288192</v>
      </c>
      <c r="V255" s="3">
        <f>2196.3+(794-230.4)+(0+(0-0))+0-697.6-0</f>
        <v>2062.3000000000002</v>
      </c>
      <c r="W255" s="3">
        <f>2463.5+(1210.8-604.6)+(0+(0-0))+0-731.9-0</f>
        <v>2337.7999999999997</v>
      </c>
      <c r="X255" s="3">
        <f>2710.1+(1069.2-741)+(-4.146453+(-1.635876--1.13373))+0-734--1.12302000000004</f>
        <v>2300.7744210000001</v>
      </c>
      <c r="Y255" s="3">
        <f>2705.3+(908.6-658.5)+(-5.518812+(-1.853544--1.34334))+0-681.2--1.38964799999997</f>
        <v>2269.5606320000002</v>
      </c>
      <c r="Z255" s="3">
        <f>2703.1+(706.6-638.2)+(-2.757162+(-0.720732--0.650964))+0-686.6--0.70033200000011</f>
        <v>2082.7734019999998</v>
      </c>
      <c r="AA255" s="3">
        <f>2704.3+(652.4-625.2)+(-4.137579+(-0.998172--0.956556))+0-768.3--1.17549900000004</f>
        <v>1960.1963039999998</v>
      </c>
      <c r="AB255" s="3">
        <f>2673.6+(546.4-566.9)+(-5.454144+(-1.114656--1.156476))+0-762.2--1.55488799999997</f>
        <v>1887.0425639999999</v>
      </c>
      <c r="AC255" s="3">
        <f>2462.3+(630.7-397.3)+(-5.023092+(-1.286628--0.810492))+0-841.1--1.71584399999996</f>
        <v>1850.8166160000003</v>
      </c>
      <c r="AD255">
        <v>2338.1999999999998</v>
      </c>
      <c r="AE255" s="3">
        <f>2569+(1346.6-632)+(0+(0-0))+0-945.4-0</f>
        <v>2338.1999999999998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2184.6+(506.2-206.8)+(-3.342438+(-0.774486--0.316404))+0-749.5--1.14673500000004</f>
        <v>1731.8462150000003</v>
      </c>
      <c r="G256" s="3">
        <f>2129.5+(509.9-204.5)+(-8.68836+(-2.080392--0.83436))+0-791.5--3.22931999999993</f>
        <v>1636.6949279999999</v>
      </c>
      <c r="H256" s="3">
        <f>2103.7+(476.1-162.4)+(-7.510209+(-1.699677--0.579768))+0-781.3--2.78924100000001</f>
        <v>1630.2591229999996</v>
      </c>
      <c r="I256" s="3">
        <f>2032.6+(463.9-164.9)+(-4.146504+(-0.946356--0.336396))+0-717.3--1.46329199999997</f>
        <v>1611.0068279999998</v>
      </c>
      <c r="J256" s="3">
        <f>2014.6+(496.3-174.5)+(-1.027446+(-0.253113--0.088995))+0-771.1--0.393260999999922</f>
        <v>1564.5016969999999</v>
      </c>
      <c r="K256" s="3">
        <f>2084+(486.3-198)+(0+(0-0))+0-770.1-0</f>
        <v>1602.2000000000003</v>
      </c>
      <c r="L256" s="3">
        <f>2241.3+(442.6-235)+(-2.286126+(-0.451452--0.2397))+0-827.2--0.843744000000132</f>
        <v>1620.0458660000002</v>
      </c>
      <c r="M256" s="3">
        <f>2231+(313-195.7)+(1.13781+(0.15963-0.099807))+0-601.7-0.306866999999939</f>
        <v>1747.4907660000003</v>
      </c>
      <c r="N256" s="3">
        <f>2411.8+(581-397)+(2.460036+(0.59262-0.40494))+0-721.8-0.736236000000115</f>
        <v>1875.91148</v>
      </c>
      <c r="O256" s="3">
        <f>2418+(811.4-331.6)+(-1.23318+(-0.413814--0.169116))+0-754.1--0.384590999999924</f>
        <v>2142.6067130000001</v>
      </c>
      <c r="P256" s="3">
        <f>2342.5+(1100.6-468.5)+(0+(0-0))+0-783.7-0</f>
        <v>2190.8999999999996</v>
      </c>
      <c r="Q256" s="3">
        <f>2241.6+(1207.9-596.4)+(-3.429648+(-1.848087--0.912492))+0-750.6--1.14841800000004</f>
        <v>2099.283175</v>
      </c>
      <c r="R256" s="3">
        <f>2159.3+(866.6-470.9)+(-6.607458+(-2.651796--1.440954))+0-656.4--2.00858400000008</f>
        <v>1892.7902840000002</v>
      </c>
      <c r="S256" s="3">
        <f>2209.2+(486.3-322.2)+(-5.63346+(-1.240065--0.82161))+0-713.1--1.8184049999999</f>
        <v>1655.9664899999998</v>
      </c>
      <c r="T256" s="3">
        <f>2316.4+(454.2-318.8)+(1.181364+(0.231642-0.162588))+0-628.1-0.320330999999936</f>
        <v>1824.6300870000005</v>
      </c>
      <c r="U256" s="3">
        <f>2236.1+(452.5-215.6)+(-3.421233+(-0.692325--0.329868))+0-641.4--0.981342000000037</f>
        <v>1828.7976519999997</v>
      </c>
      <c r="V256" s="3">
        <f>2245.1+(542.1-237.8)+(0+(0-0))+0-717.7-0</f>
        <v>1831.7</v>
      </c>
      <c r="W256" s="3">
        <f>2669.3+(1042.2-749.4)+(-1.361343+(-0.531522--0.382194))+0-736.2--0.375461999999925</f>
        <v>2224.7647910000005</v>
      </c>
      <c r="X256" s="3">
        <f>2711.9+(883.8-670.5)+(2.766138+(0.901476-0.68391))+0-781-0.796620000000125</f>
        <v>2146.387084</v>
      </c>
      <c r="Y256" s="3">
        <f>2705+(628.6-639.8)+(-5.5182+(-1.282344--1.305192))+0-689.1--1.40576399999997</f>
        <v>2000.6104120000002</v>
      </c>
      <c r="Z256" s="3">
        <f>2592.4+(562.9-490.7)+(-5.288496+(-1.148316--1.001028))+0-728.4--1.48593599999997</f>
        <v>1932.2501520000001</v>
      </c>
      <c r="AA256" s="3">
        <f>2683.6+(566.6-539.2)+(1.368636+(0.288966-0.274992))+0-740.1-0.377450999999925</f>
        <v>1971.9051590000004</v>
      </c>
      <c r="AB256" s="3">
        <f>2682.5+(525.2-514.3)+(-1.368075+(-0.267852--0.262293))+0-828.1--0.422330999999916</f>
        <v>1864.3486970000001</v>
      </c>
      <c r="AC256" s="3">
        <f>2260.7+(374-228.7)+(-3.458871+(-0.57222--0.349911))+0-615.1--0.941103000000036</f>
        <v>1788.1599230000002</v>
      </c>
      <c r="AD256">
        <v>2266.5000000000005</v>
      </c>
      <c r="AE256" s="3">
        <f>2692+(1009.3-793.2)+(0+(0-0))+0-641.6-0</f>
        <v>2266.5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2142.8+(614.4-262.3)+(-5.46414+(-1.56672--0.668865))+0-794.9--2.02699499999988</f>
        <v>1695.6649999999997</v>
      </c>
      <c r="G257" s="3">
        <f>2043.4+(533.5-296.7)+(-2.084268+(-0.54417--0.302634))+0-796.8--0.812736000000127</f>
        <v>1481.8869320000003</v>
      </c>
      <c r="H257" s="3">
        <f>2003.4+(467.8-169.8)+(-2.043468+(-0.477156--0.173196))+0-756.7--0.771834000000121</f>
        <v>1543.1244060000001</v>
      </c>
      <c r="I257" s="3">
        <f>1971.1+(539.2-243.7)+(-1.005261+(-0.274992--0.124287))+0-731.1--0.372860999999926</f>
        <v>1534.716895</v>
      </c>
      <c r="J257" s="3">
        <f>1929.6+(645.6-215.7)+(-0.984096+(-0.329256--0.110007))+0-831.4--0.424013999999916</f>
        <v>1527.320669</v>
      </c>
      <c r="K257" s="3">
        <f>1952.1+(734.2-305.5)+(3.982284+(1.497768-0.62322))+0-830-1.69319999999996</f>
        <v>1553.9636320000002</v>
      </c>
      <c r="L257" s="3">
        <f>1889.1+(596.6-225.1)+(-1.926882+(-0.608532--0.229602))+0-749.1--0.76408200000012</f>
        <v>1509.9582700000001</v>
      </c>
      <c r="M257" s="3">
        <f>1818.5+(461.5-250.1)+(0+(0-0))+0-604-0</f>
        <v>1425.9</v>
      </c>
      <c r="N257" s="3">
        <f>1882.1+(557.4-300.5)+(0+(0-0))+0-651.4-0</f>
        <v>1487.6</v>
      </c>
      <c r="O257" s="3">
        <f>2015.2+(653.4-359.3)+(-1.027752+(-0.333234--0.183243))+0-668.8--0.341087999999932</f>
        <v>1639.6633449999999</v>
      </c>
      <c r="P257" s="3">
        <f>2155.6+(732.4-487.6)+(-3.298068+(-1.120572--0.746028))+0-692.4--1.05937200000004</f>
        <v>1705.3867599999996</v>
      </c>
      <c r="Q257" s="3">
        <f>2143.8+(738.7-459.8)+(-4.373352+(-1.506948--0.937992))+0-711.1--1.45064399999997</f>
        <v>1708.1083360000002</v>
      </c>
      <c r="R257" s="3">
        <f>2059.8+(721.4-371.2)+(-5.25249+(-1.83957--0.94656))+0-750.6--1.91402999999989</f>
        <v>1655.1685299999999</v>
      </c>
      <c r="S257" s="3">
        <f>1918.9+(623.2-201.8)+(-1.957278+(-0.635664--0.205836))+0-747.5--0.762450000000119</f>
        <v>1591.1753440000002</v>
      </c>
      <c r="T257" s="3">
        <f>1916.8+(596.2-307.6)+(0+(0-0))+0-658.2-0</f>
        <v>1547.2</v>
      </c>
      <c r="U257" s="3">
        <f>1916.9+(652.4-305.5)+(2.932857+(0.998172-0.467415))+0-733-1.12149000000004</f>
        <v>1533.142124</v>
      </c>
      <c r="V257" s="3">
        <f>2059.9+(723.6-446.6)+(0+(0-0))+0-720.9-0</f>
        <v>1616</v>
      </c>
      <c r="W257" s="3">
        <f>2155.9+(1220.1-571.3)+(-2.199018+(-1.244502--0.582726))+0-799--0.814980000000127</f>
        <v>2003.6541859999998</v>
      </c>
      <c r="X257" s="3">
        <f>2160.3+(1203.6-607.9)+(-1.101753+(-0.613836--0.310029))+0-746.1--0.380510999999924</f>
        <v>2008.8749509999998</v>
      </c>
      <c r="Y257" s="3">
        <f>2148.6+(1145.1-688.2)+(-3.287358+(-1.752003--1.052946))+0-709.9--1.08614700000004</f>
        <v>1892.699732</v>
      </c>
      <c r="Z257" s="3">
        <f>2139.6+(911.5-569.3)+(-2.182392+(-0.92973--0.580686))+0-624.4--0.636888000000099</f>
        <v>1855.5054519999999</v>
      </c>
      <c r="AA257" s="3">
        <f>2132.4+(705.3-471.6)+(1.087524+(0.359703-0.240516))+0-586-0.298859999999941</f>
        <v>1781.0078509999998</v>
      </c>
      <c r="AB257" s="3">
        <f>2131.8+(720.8-373.6)+(2.174436+(0.735216-0.381072))+0-731.6-0.746232000000117</f>
        <v>1749.182348</v>
      </c>
      <c r="AC257" s="3">
        <f>2130.6+(661-274.9)+(0+(0-0))+0-835.6-0</f>
        <v>1681.1</v>
      </c>
      <c r="AD257">
        <v>2075.1</v>
      </c>
      <c r="AE257" s="3">
        <f>2158+(1234.3-617.8)+(0+(0-0))+0-699.4-0</f>
        <v>2075.1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2007.7+(554.5-247.2)+(-2.047854+(-0.56559--0.252144))+0-736.1--0.750822000000117</f>
        <v>1577.2895220000003</v>
      </c>
      <c r="G258" s="3">
        <f>1873.5+(783.6-197.1)+(-0.955485+(-0.399636--0.100521))+0-904.6--0.461345999999908</f>
        <v>1554.6067459999997</v>
      </c>
      <c r="H258" s="3">
        <f>1855.8+(621.3-215.6)+(-1.892916+(-0.633726--0.219912))+0-769.8--0.785196000000123</f>
        <v>1490.1784660000003</v>
      </c>
      <c r="I258" s="3">
        <f>1871.3+(702.6-242.4)+(-0.954363+(-0.358326--0.123624))+0-866--0.441659999999912</f>
        <v>1464.7525949999999</v>
      </c>
      <c r="J258" s="3">
        <f>1834.7+(641.1-183.2)+(0.935697+(0.326961-0.093432))+0-808.5-0.412334999999918</f>
        <v>1484.8568909999999</v>
      </c>
      <c r="K258" s="3">
        <f>1922.3+(717-276.2)+(-0.980373+(-0.36567--0.140862))+0-880.7--0.449156999999911</f>
        <v>1481.6439760000001</v>
      </c>
      <c r="L258" s="3">
        <f>1804+(601.4-179.9)+(-0.92004+(-0.306714--0.091749))+0-701.6--0.357815999999929</f>
        <v>1523.122811</v>
      </c>
      <c r="M258" s="3">
        <f>2076.7+(610.4-343.3)+(-3.177351+(-0.933912--0.525249))+0-685.5--1.04881500000004</f>
        <v>1655.7628009999999</v>
      </c>
      <c r="N258" s="3">
        <f>2313.5+(600-386.5)+(-1.179885+(-0.306--0.197115))+0-617.6--0.314975999999937</f>
        <v>1908.4262059999999</v>
      </c>
      <c r="O258" s="3">
        <f>2429.2+(684-590.8)+(-2.477784+(-0.69768--0.602616))+0-406.5--0.414630000000065</f>
        <v>2113.7417820000001</v>
      </c>
      <c r="P258" s="3">
        <f>2339.1+(907.6-668.7)+(-1.192941+(-0.462876--0.341037))+0-381.7--0.194666999999961</f>
        <v>2195.1798869999998</v>
      </c>
      <c r="Q258" s="3">
        <f>2535.7+(1102.6-1019.8)+(-1.293207+(-0.562326--0.520098))+0-496.2--0.25306199999995</f>
        <v>2121.217627</v>
      </c>
      <c r="R258" s="3">
        <f>2534.1+(940.2-922.3)+(-5.169564+(-1.918008--1.881492))+0-648--1.32191999999997</f>
        <v>1900.1158399999999</v>
      </c>
      <c r="S258" s="3">
        <f>2399.8+(769.7-622.3)+(-1.223898+(-0.392547--0.317373))+0-719.6--0.366995999999927</f>
        <v>1826.6679240000005</v>
      </c>
      <c r="T258" s="3">
        <f>2404.3+(707.1-591.8)+(-4.904772+(-1.442484--1.207272))+0-603--1.23011999999997</f>
        <v>1912.6901360000004</v>
      </c>
      <c r="U258" s="3">
        <f>2525.9+(773.4-705.4)+(0+(0-0))+0-688-0</f>
        <v>1905.9</v>
      </c>
      <c r="V258" s="3">
        <f>2598.4+(887.5-850.3)+(-1.325184+(-0.452625--0.433653))+0-646.8--0.329867999999934</f>
        <v>1987.7857120000003</v>
      </c>
      <c r="W258" s="3">
        <f>2603.2+(1622.1-1200.3)+(-2.655264+(-1.654542--1.224306))+0-623.1--0.635562000000099</f>
        <v>2399.4500619999999</v>
      </c>
      <c r="X258" s="3">
        <f>2703.3+(1534.5-1229.2)+(-5.514732+(-3.13038--2.507568))+0-705.4--1.43901599999997</f>
        <v>2298.5014719999999</v>
      </c>
      <c r="Y258" s="3">
        <f>2696.3+(1221.2-1158.7)+(-6.875565+(-3.11406--2.954685))+0-661.8--1.6875899999999</f>
        <v>2091.6526500000004</v>
      </c>
      <c r="Z258" s="3">
        <f>2700.2+(988.7-1010.4)+(-4.131306+(-1.512711--1.545912))+0-640.2--0.979506000000037</f>
        <v>2035.1814010000001</v>
      </c>
      <c r="AA258" s="3">
        <f>2705.4+(831-893.8)+(-2.759508+(-0.84762--0.911676))+0-704.6--0.718692000000112</f>
        <v>1936.0232400000007</v>
      </c>
      <c r="AB258" s="3">
        <f>2583.6+(657.8-806.8)+(-1.317636+(-0.335478--0.411468))+0-518.1--0.264230999999947</f>
        <v>1915.5225849999999</v>
      </c>
      <c r="AC258" s="3">
        <f>2438.4+(708.1-569.3)+(0+(0-0))+0-778.7-0</f>
        <v>1798.5000000000002</v>
      </c>
      <c r="AD258">
        <v>2505</v>
      </c>
      <c r="AE258" s="3">
        <f>2701+(1799.1-1346.4)+(0+(0-0))+0-648.7-0</f>
        <v>2505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2260.4+(415.5-356.6)+(-2.305608+(-0.42381--0.363732))+0-696.8--0.710736000000111</f>
        <v>1620.8450500000004</v>
      </c>
      <c r="G259" s="3">
        <f>2013+(489.8-176.1)+(-4.10652+(-0.999192--0.359244))+0-726.8--1.48267199999997</f>
        <v>1596.6362039999999</v>
      </c>
      <c r="H259" s="3">
        <f>2023.7+(589.1-262.9)+(-1.032087+(-0.300441--0.134079))+0-756.7--0.385916999999923</f>
        <v>1592.3874679999999</v>
      </c>
      <c r="I259" s="3">
        <f>1953.6+(587.4-249)+(-1.992672+(-0.599148--0.25398))+0-744.1--0.758982000000119</f>
        <v>1546.321142</v>
      </c>
      <c r="J259" s="3">
        <f>1845.5+(583.5-201.3)+(-1.88241+(-0.59517--0.205326))+0-682.6--0.696252000000109</f>
        <v>1543.5239980000001</v>
      </c>
      <c r="K259" s="3">
        <f>1891+(495.3-203.2)+(3.85764+(1.010412-0.414528))+0-675.8-1.37863199999997</f>
        <v>1510.374892</v>
      </c>
      <c r="L259" s="3">
        <f>2060.6+(406.5-186.7)+(-4.203624+(-0.82926--0.380868))+0-695.2--1.41820799999997</f>
        <v>1581.9661920000001</v>
      </c>
      <c r="M259" s="3">
        <f>2222.3+(233.8-188.6)+(-2.266746+(-0.238476--0.192372))+0-488.7--0.498474000000078</f>
        <v>1776.9856240000001</v>
      </c>
      <c r="N259" s="3">
        <f>2307.8+(387.3-234.1)+(-1.176978+(-0.197523--0.119391))+0-549.1--0.280040999999944</f>
        <v>1910.924931</v>
      </c>
      <c r="O259" s="3">
        <f>2388.7+(508.1-520.8)+(0+(0-0))+0-378.9-0</f>
        <v>1997.1</v>
      </c>
      <c r="P259" s="3">
        <f>2597.9+(989-990.6)+(-6.624645+(-2.52195--2.52603))+0-530.6--1.35302999999992</f>
        <v>2060.4324649999999</v>
      </c>
      <c r="Q259" s="3">
        <f>2382.3+(951.2-744)+(-2.429946+(-0.970224--0.75888))+0-411.4--0.419628000000066</f>
        <v>2175.878338</v>
      </c>
      <c r="R259" s="3">
        <f>2375.4+(886.4-802.3)+(-9.691632+(-3.616512--3.273384))+31.9-633.3--2.58386399999994</f>
        <v>1850.6491040000001</v>
      </c>
      <c r="S259" s="3">
        <f>2276.9+(575-673.4)+(-2.322438+(-0.5865--0.686868))+0-444.9--0.453798000000071</f>
        <v>1731.8317280000001</v>
      </c>
      <c r="T259" s="3">
        <f>2239.4+(715.6-601.2)+(-3.426282+(-1.094868--0.919836))+0-544.8--0.833544000000031</f>
        <v>1806.2322300000003</v>
      </c>
      <c r="U259" s="3">
        <f>2263.6+(670.5-652.7)+(-3.463308+(-1.025865--0.998631))+0-523.2--0.80049600000003</f>
        <v>1755.5099539999997</v>
      </c>
      <c r="V259" s="3">
        <f>2226.5+(697.3-622.7)+(3.406545+(1.066869-0.952731))+0-515.3-0.78840900000003</f>
        <v>1788.5322740000001</v>
      </c>
      <c r="W259" s="3">
        <f>2341.5+(992.9-694.3)+(-1.194165+(-0.506379--0.354093))+0-589.6--0.30069599999994</f>
        <v>2049.4542449999999</v>
      </c>
      <c r="X259" s="3">
        <f>2286+(914-654.1)+(-8.16102+(-3.26298--2.335137))+0-556.7--1.98741900000001</f>
        <v>1982.0985560000001</v>
      </c>
      <c r="Y259" s="3">
        <f>2207.9+(955.6-675.7)+(-2.252058+(-0.974712--0.689214))+0-524.8--0.535296000000084</f>
        <v>1960.99774</v>
      </c>
      <c r="Z259" s="3">
        <f>2197.2+(841.2-653.1)+(-4.482288+(-1.716048--1.332324))+0-549--1.11995999999998</f>
        <v>1832.5539479999998</v>
      </c>
      <c r="AA259" s="3">
        <f>2190.9+(840.1-583.8)+(-3.352077+(-1.285353--0.893214))+0-663.5--1.01515500000004</f>
        <v>1780.9709390000003</v>
      </c>
      <c r="AB259" s="3">
        <f>2180+(950-645.2)+(-2.2236+(-0.969--0.658104))+0-736.5--0.751230000000117</f>
        <v>1746.516734</v>
      </c>
      <c r="AC259" s="3">
        <f>2300.5+(689.8-762.5)+(-3.519765+(-1.055394--1.166625))+0-607.2--0.929016000000035</f>
        <v>1618.120482</v>
      </c>
      <c r="AD259">
        <v>2034.5000000000005</v>
      </c>
      <c r="AE259" s="3">
        <f>2411+(1162.8-791.7)+(0+(0-0))+0-747.6-0</f>
        <v>2034.5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2298.7+(773.3-747.2)+(1.172337+(0.394383-0.381072))+7.5-775.7-0.395606999999921</f>
        <v>1557.3900409999999</v>
      </c>
      <c r="G260" s="3">
        <f>2045.6+(689.7-636.6)+(2.086512+(0.703494-0.649332))+0-688-0.70176000000011</f>
        <v>1412.1389139999999</v>
      </c>
      <c r="H260" s="3">
        <f>1928.5+(760.6-594)+(0+(0-0))+0-748.7-0</f>
        <v>1346.3999999999999</v>
      </c>
      <c r="I260" s="3">
        <f>1925.7+(832.7-612)+(3.928428+(1.698708-1.24848))+0-789.7-1.61098799999997</f>
        <v>1359.467668</v>
      </c>
      <c r="J260" s="3">
        <f>1926.5+(778.9-577.4)+(-1.96503+(-0.794478--0.588948))+0-716.2--0.730524000000114</f>
        <v>1410.359964</v>
      </c>
      <c r="K260" s="3">
        <f>1924+(749-547.8)+(1.96248+(0.76398-0.558756))+0-799.6-0.815592000000128</f>
        <v>1326.9521119999997</v>
      </c>
      <c r="L260" s="3">
        <f>1849.6+(662.4-359.6)+(-4.71648+(-1.68912--0.91698))+0-861.4--2.19656999999988</f>
        <v>1287.7079499999993</v>
      </c>
      <c r="M260" s="3">
        <f>1841.6+(433.9-420.5)+(-0.939216+(-0.221289--0.214455))+0-618.5--0.315434999999937</f>
        <v>1235.869385</v>
      </c>
      <c r="N260" s="3">
        <f>1866.2+(476.3-335.4)+(1.903524+(0.485826-0.342108))+0-749.4-0.764388000000119</f>
        <v>1258.9828540000003</v>
      </c>
      <c r="O260" s="3">
        <f>1714.1+(490.5-161.3)+(-3.496764+(-1.00062--0.329052))+0-732--1.49327999999997</f>
        <v>1308.6249479999999</v>
      </c>
      <c r="P260" s="3">
        <f>1723.9+(535-123.3)+(-0.879189+(-0.27285--0.062883))+0-793--0.40442999999992</f>
        <v>1341.9152739999997</v>
      </c>
      <c r="Q260" s="3">
        <f>1727.4+(525.3-141.8)+(-5.285844+(-1.607418--0.433908))+0-758.3--2.32039800000009</f>
        <v>1348.4610440000001</v>
      </c>
      <c r="R260" s="3">
        <f>1742.6+(479.7-202.1)+(0+(0-0))+0-714.8-0</f>
        <v>1305.3999999999999</v>
      </c>
      <c r="S260" s="3">
        <f>1759.2+(462.6-217.8)+(0+(0-0))+0-764.5-0</f>
        <v>1239.5</v>
      </c>
      <c r="T260" s="3">
        <f>1760.3+(436.4-414.2)+(-4.488765+(-1.11282--1.05621))+0-521.4--1.32956999999992</f>
        <v>1257.8841950000001</v>
      </c>
      <c r="U260" s="3">
        <f>1694.4+(484.4-334.9)+(2.592432+(0.741132-0.512397))+0-605.5-0.926415000000035</f>
        <v>1240.294752</v>
      </c>
      <c r="V260" s="3">
        <f>1693.4+(491.2-250.6)+(-0.863634+(-0.250512--0.127806))+0-639.9--0.326348999999935</f>
        <v>1293.4400089999999</v>
      </c>
      <c r="W260" s="3">
        <f>1915.6+(617.2-225.2)+(0+(0-0))+0-736.2-0</f>
        <v>1571.3999999999999</v>
      </c>
      <c r="X260" s="3">
        <f>1991.7+(484.2-176.4)+(-7.110369+(-1.728594--0.629748))+0-668.3--2.38583100000001</f>
        <v>1625.3766160000002</v>
      </c>
      <c r="Y260" s="3">
        <f>1973.8+(577.3-183.2)+(-4.026552+(-1.177692--0.373728))+0-778.2--1.58752799999997</f>
        <v>1586.4570120000001</v>
      </c>
      <c r="Z260" s="3">
        <f>1907.2+(577.4-255.4)+(-2.918016+(-0.883422--0.390762))+0-675.8--1.03397400000004</f>
        <v>1551.0232979999998</v>
      </c>
      <c r="AA260" s="3">
        <f>1894+(563.3-303.2)+(0+(0-0))+0-610.8-0</f>
        <v>1543.3</v>
      </c>
      <c r="AB260" s="3">
        <f>1901.7+(691.4-331.6)+(-1.939734+(-0.705228--0.338232))+0-702.3--0.716346000000112</f>
        <v>1557.6096160000004</v>
      </c>
      <c r="AC260" s="3">
        <f>1899+(655.4-327.2)+(-5.81094+(-2.005524--1.001232))+0-789.9--2.41709400000009</f>
        <v>1432.9018619999999</v>
      </c>
      <c r="AD260">
        <v>1570.9</v>
      </c>
      <c r="AE260" s="3">
        <f>1991+(598.8-170.9)+(0+(0-0))+0-848-0</f>
        <v>1570.9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1888.1+(568.9-325.5)+(-2.888793+(-0.870417--0.498015))+0-776.5--1.18804500000004</f>
        <v>1352.9268500000001</v>
      </c>
      <c r="G261" s="3">
        <f>1721.3+(572.8-274.9)+(-1.755726+(-0.584256--0.280398))+0-719.1--0.733482000000115</f>
        <v>1298.7738979999999</v>
      </c>
      <c r="H261" s="3">
        <f>1666+(543.3-308.7)+(-3.39864+(-1.108332--0.629748))+0-684--1.39535999999997</f>
        <v>1214.1181359999998</v>
      </c>
      <c r="I261" s="3">
        <f>1663.9+(482.4-224.3)+(0+(0-0))+0-740-0</f>
        <v>1182</v>
      </c>
      <c r="J261" s="3">
        <f>1669.1+(464.5-169.4)+(0.851241+(0.236895-0.086394))+0-764.5-0.389894999999922</f>
        <v>1200.3118469999997</v>
      </c>
      <c r="K261" s="3">
        <f>1684.8+(491.5-155.4)+(-2.577744+(-0.751995--0.237762))+0-756.2--1.15698600000004</f>
        <v>1262.765009</v>
      </c>
      <c r="L261" s="3">
        <f>1687.6+(493.4-204.7)+(-1.721352+(-0.503268--0.208794))+0-787.9--0.803658000000126</f>
        <v>1187.1878319999998</v>
      </c>
      <c r="M261" s="3">
        <f>1679.6+(371.8-263.8)+(-2.569788+(-0.568854--0.403614))+0-766.8--1.17320400000004</f>
        <v>1019.238176</v>
      </c>
      <c r="N261" s="3">
        <f>1664.6+(338.2-273)+(-0.848946+(-0.172482--0.13923))+0-667.9--0.340628999999932</f>
        <v>1061.3584309999999</v>
      </c>
      <c r="O261" s="3">
        <f>1666.6+(412.7-265.3)+(0+(0-0))+0-688.7-0</f>
        <v>1125.3</v>
      </c>
      <c r="P261" s="3">
        <f>1656.3+(403.7-280.1)+(-5.068278+(-1.235322--0.857106))+0-643.9--1.97033400000007</f>
        <v>1132.5238399999998</v>
      </c>
      <c r="Q261" s="3">
        <f>1642.7+(353.6-209)+(-0.837777+(-0.180336--0.10659))+0-706.2--0.360161999999928</f>
        <v>1080.5486390000001</v>
      </c>
      <c r="R261" s="3">
        <f>1676+(198-300)+(0.85476+(0.10098-0.153))+0-650-0.331499999999934</f>
        <v>924.47124000000019</v>
      </c>
      <c r="S261" s="3">
        <f>1673+(199-235)+(2.55969+(0.30447-0.35955))+0-698-1.06794000000004</f>
        <v>940.43666999999994</v>
      </c>
      <c r="T261" s="3">
        <f>1681+(273-328)+(-0.85731+(-0.13923--0.16728))+0-649--0.330989999999934</f>
        <v>976.50172999999995</v>
      </c>
      <c r="U261" s="3">
        <f>1697+(320-456)+(-0.86547+(-0.1632--0.23256))+0-573--0.292229999999942</f>
        <v>987.49611999999991</v>
      </c>
      <c r="V261" s="3">
        <f>1872+(218-355)+(-1.90944+(-0.22236--0.3621))+0-698--0.711960000000111</f>
        <v>1035.94226</v>
      </c>
      <c r="W261" s="3">
        <f>2027+(251-343)+(0+(0-0))+0-587-0</f>
        <v>1348</v>
      </c>
      <c r="X261" s="3">
        <f>2073.9+(240.3-318.7)+(-5.288445+(-0.612765--0.812685))+0-465.9--1.18804499999993</f>
        <v>1525.6995200000001</v>
      </c>
      <c r="Y261" s="3">
        <f>2053.7+(347.4-213.6)+(0+(0-0))+0-620.9-0</f>
        <v>1566.6</v>
      </c>
      <c r="Z261" s="3">
        <f>2042.5+(438.2-207.2)+(0+(0-0))+0-738.9-0</f>
        <v>1534.6</v>
      </c>
      <c r="AA261" s="3">
        <f>2035.8+(395.8-231)+(-1.038258+(-0.201858--0.11781))+0-654.1--0.333590999999934</f>
        <v>1545.7112849999996</v>
      </c>
      <c r="AB261" s="3">
        <f>2010.5+(414.2-298.5)+(-1.025355+(-0.211242--0.152235))+0-561.4--0.286313999999943</f>
        <v>1564.0019519999996</v>
      </c>
      <c r="AC261" s="3">
        <f>2020+(506.5-234.6)+(0+(0-0))+0-835.3-0</f>
        <v>1456.6000000000001</v>
      </c>
      <c r="AD261">
        <v>1572.1999999999998</v>
      </c>
      <c r="AE261" s="3">
        <f>2061+(582.2-182.6)+(0+(0-0))+0-888.4-0</f>
        <v>1572.1999999999998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2017.4+(408.1-341.5)+(-5.14437+(-1.040655--0.870825))+0-680--1.7339999999999</f>
        <v>1400.4198000000001</v>
      </c>
      <c r="G262" s="3">
        <f>1808.6+(472.1-191.4)+(-2.767158+(-0.722313--0.292842))+0-779.8--1.19309400000004</f>
        <v>1307.4964650000002</v>
      </c>
      <c r="H262" s="3">
        <f>1777.6+(476.4-205.1)+(-0.906576+(-0.242964--0.104601))+0-745.6--0.380255999999924</f>
        <v>1302.6353169999993</v>
      </c>
      <c r="I262" s="3">
        <f>1782.2+(468.9-166.3)+(-3.635688+(-0.956556--0.339252))+0-690.3--1.40821199999997</f>
        <v>1391.6552200000001</v>
      </c>
      <c r="J262" s="3">
        <f>1816+(466.9-142.5)+(-0.92616+(-0.238119--0.072675))+0-746.9--0.380918999999924</f>
        <v>1392.7893149999998</v>
      </c>
      <c r="K262" s="3">
        <f>1849.6+(458.7-178.9)+(2.829888+(0.701811-0.273717))+0-702.8-1.07528400000004</f>
        <v>1428.7826979999998</v>
      </c>
      <c r="L262" s="3">
        <f>1867.9+(458.3-251)+(-2.857887+(-0.701199--0.38403))+0-614.4--0.940032000000036</f>
        <v>1458.5649760000001</v>
      </c>
      <c r="M262" s="3">
        <f>2000+(325.4-120)+(2.04+(0.331908-0.1224))+0-637.3-0.650046000000102</f>
        <v>1569.6994619999998</v>
      </c>
      <c r="N262" s="3">
        <f>2074.8+(445.3-139.8)+(-1.058148+(-0.227103--0.071298))+0-573.6--0.292535999999942</f>
        <v>1805.7785830000003</v>
      </c>
      <c r="O262" s="3">
        <f>2151.3+(615.1-246.4)+(1.097163+(0.313701-0.125664))+0-554.5-0.282794999999944</f>
        <v>1966.502405</v>
      </c>
      <c r="P262" s="3">
        <f>2206+(917.3-399.9)+(0+(0-0))+0-613.3-0</f>
        <v>2110.1000000000004</v>
      </c>
      <c r="Q262" s="3">
        <f>2216.4+(1026.1-639.9)+(-1.130364+(-0.523311--0.326349))+0-542.1--0.276470999999945</f>
        <v>2059.449145</v>
      </c>
      <c r="R262" s="3">
        <f>2231.8+(836.2-607)+(-6.829308+(-2.558772--1.85742))+0-603--1.84518000000007</f>
        <v>1852.3145200000001</v>
      </c>
      <c r="S262" s="3">
        <f>2211.2+(550-452.8)+(-4.510848+(-1.122--0.923712))+0-494.3--1.00837199999998</f>
        <v>1810.3992359999997</v>
      </c>
      <c r="T262" s="3">
        <f>2114.9+(661.1-388.1)+(-3.235797+(-1.011483--0.593793))+0-475.3--0.727209000000028</f>
        <v>1909.6737220000002</v>
      </c>
      <c r="U262" s="3">
        <f>2081.1+(699-360.2)+(-3.184083+(-1.06947--0.551106))+0-570.1--0.872253000000033</f>
        <v>1846.9698060000001</v>
      </c>
      <c r="V262" s="3">
        <f>2153.8+(846.3-488)+(0+(0-0))+0-604.2-0</f>
        <v>1907.9000000000003</v>
      </c>
      <c r="W262" s="3">
        <f>2719.6+(1488.4-1321.3)+(1.386996+(0.759084-0.673863))+0-677.2-0.345371999999931</f>
        <v>2210.6268449999998</v>
      </c>
      <c r="X262" s="3">
        <f>2774.3+(1402.7-1457.5)+(-8.489358+(-4.292262--4.45995))+0-535.8--1.63954800000006</f>
        <v>2177.0178780000006</v>
      </c>
      <c r="Y262" s="3">
        <f>2766.4+(980.8-1193.3)+(-4.232592+(-1.500624--1.825749))+0-500.2--0.765306000000029</f>
        <v>2050.5578390000005</v>
      </c>
      <c r="Z262" s="3">
        <f>2433.5+(789.3-578.6)+(-1.241085+(-0.402543--0.295086))+0-624.5--0.318494999999937</f>
        <v>2018.6699529999996</v>
      </c>
      <c r="AA262" s="3">
        <f>2246.8+(617.9-243)+(1.145868+(0.315129-0.12393))+0-650.4-0.331703999999934</f>
        <v>1972.3053630000002</v>
      </c>
      <c r="AB262" s="3">
        <f>2226.6+(475.5-242.9)+(-3.406698+(-0.727515--0.371637))+0-608--0.930240000000035</f>
        <v>1848.3676639999999</v>
      </c>
      <c r="AC262" s="3">
        <f>2152.3+(586.1-206.5)+(-6.586038+(-1.793466--0.63189))+0-707.8--2.16586800000008</f>
        <v>1818.5182540000003</v>
      </c>
      <c r="AD262">
        <v>2209.0999999999995</v>
      </c>
      <c r="AE262" s="3">
        <f>2766+(1722.9-1529.4)+(0+(0-0))+0-750.4-0</f>
        <v>2209.1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2014+(563.2-206.6)+(-5.1357+(-1.43616--0.52683))+0-714--1.8206999999999</f>
        <v>1652.3756699999997</v>
      </c>
      <c r="G263" s="3">
        <f>1960.7+(613-198.4)+(-5.999742+(-1.87578--0.607104))+0-837.6--2.5630560000001</f>
        <v>1532.9946380000004</v>
      </c>
      <c r="H263" s="3">
        <f>1936.6+(495.8-192.4)+(2.962998+(0.758574-0.294372))+0-743.3-1.13724900000004</f>
        <v>1498.989951</v>
      </c>
      <c r="I263" s="3">
        <f>1937.3+(468.7-146.7)+(0+(0-0))+0-736.6-0</f>
        <v>1522.7000000000003</v>
      </c>
      <c r="J263" s="3">
        <f>1939.4+(443.7-136.9)+(2.967282+(0.678861-0.209457))+0-724.6-1.10863800000004</f>
        <v>1523.928048</v>
      </c>
      <c r="K263" s="3">
        <f>1942+(472.3-113.9)+(-2.97126+(-0.722619--0.174267))+0-755.2--1.15545600000004</f>
        <v>1542.835844</v>
      </c>
      <c r="L263" s="3">
        <f>2029.2+(344-153.1)+(-1.034892+(-0.17544--0.078081))+0-626.7--0.319616999999936</f>
        <v>1592.5873659999997</v>
      </c>
      <c r="M263" s="3">
        <f>2084.8+(456.4-188.6)+(-2.126496+(-0.465528--0.192372))+0-725--0.739500000000116</f>
        <v>1625.9398480000004</v>
      </c>
      <c r="N263" s="3">
        <f>2143.4+(536.5-152.4)+(2.186268+(0.54723-0.155448))+0-661.1-0.674322000000105</f>
        <v>1868.3037280000001</v>
      </c>
      <c r="O263" s="3">
        <f>2220.3+(595.8-158.6)+(1.132353+(0.303858-0.080886))+0-613.6-0.312935999999938</f>
        <v>2044.942389</v>
      </c>
      <c r="P263" s="3">
        <f>2202.4+(990.6-319.6)+(3.369672+(1.515618-0.488988))+0-698.2-1.06824600000004</f>
        <v>2178.5280560000001</v>
      </c>
      <c r="Q263" s="3">
        <f>2217.8+(1007.4-529.7)+(-1.131078+(-0.513774--0.270147))+0-610.2--0.311201999999938</f>
        <v>2084.2364969999999</v>
      </c>
      <c r="R263" s="3">
        <f>2232.6+(760.5-441.3)+(-3.415878+(-1.163565--0.675189))+0-705.4--1.07926200000004</f>
        <v>1843.5750079999996</v>
      </c>
      <c r="S263" s="3">
        <f>2231.3+(489.6-232.9)+(-5.689815+(-1.24848--0.593895))+0-618.8--1.57793999999991</f>
        <v>1864.43354</v>
      </c>
      <c r="T263" s="3">
        <f>2230.1+(478.3-220.9)+(-3.412053+(-0.731799--0.337977))+0-667--1.02051000000004</f>
        <v>1817.714635</v>
      </c>
      <c r="U263" s="3">
        <f>2240.4+(443.4-282.4)+(-4.570416+(-0.904536--0.576096))+0-638.2--1.30192799999997</f>
        <v>1759.6030720000001</v>
      </c>
      <c r="V263" s="3">
        <f>2245.6+(514.2-353.1)+(-3.435768+(-0.786726--0.540243))+0-603.4--0.923202000000035</f>
        <v>1800.5409509999995</v>
      </c>
      <c r="W263" s="3">
        <f>2270.4+(1090-654)+(1.157904+(0.5559-0.33354))+0-594.7-0.30329699999994</f>
        <v>2112.7769670000002</v>
      </c>
      <c r="X263" s="3">
        <f>2261.3+(1192.9-753.1)+(0+(0-0))+0-561.8-0</f>
        <v>2139.3000000000002</v>
      </c>
      <c r="Y263" s="3">
        <f>2232.4+(1081.6-628.2)+(-5.69262+(-2.75808--1.60191))+0-642.3--1.63786499999991</f>
        <v>2038.2890750000001</v>
      </c>
      <c r="Z263" s="3">
        <f>2259.9+(977.3-607.8)+(-4.610196+(-1.993692--1.239912))+0-640.6--1.30682399999997</f>
        <v>1984.7428480000001</v>
      </c>
      <c r="AA263" s="3">
        <f>2235.5+(860.1-562.4)+(-3.420315+(-1.315953--0.860472))+0-621.1--0.950283000000036</f>
        <v>1909.1744870000002</v>
      </c>
      <c r="AB263" s="3">
        <f>2214.2+(965.4-559.6)+(-3.387726+(-1.477062--0.856188))+0-749.1--1.14612300000004</f>
        <v>1868.037523</v>
      </c>
      <c r="AC263" s="3">
        <f>2071.2+(1043.5-583.8)+(-2.112624+(-1.06437--0.595476))+0-685.5--0.699210000000109</f>
        <v>1843.5176919999999</v>
      </c>
      <c r="AD263">
        <v>2159</v>
      </c>
      <c r="AE263" s="3">
        <f>2272+(1220.8-803.3)+(0+(0-0))+0-530.5-0</f>
        <v>2159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1946.9+(728.4-439.7)+(-2.978757+(-1.114452--0.672741))+0-551.9--0.844407000000032</f>
        <v>1681.1239390000001</v>
      </c>
      <c r="G264" s="3">
        <f>1953.4+(720.7-256.4)+(-1.992468+(-0.735114--0.261528))+0-833.4--0.850068000000133</f>
        <v>1582.6840140000004</v>
      </c>
      <c r="H264" s="3">
        <f>1751.5+(731.6-239.4)+(0+(0-0))+0-660-0</f>
        <v>1583.6999999999998</v>
      </c>
      <c r="I264" s="3">
        <f>1751.5+(739.6-116.7)+(0.893265+(0.377196-0.059517))+0-735.3-0.375002999999925</f>
        <v>1639.9359410000002</v>
      </c>
      <c r="J264" s="3">
        <f>1763.7+(779-139)+(-0.899487+(-0.39729--0.07089))+0-750.4--0.382703999999924</f>
        <v>1652.4568169999995</v>
      </c>
      <c r="K264" s="3">
        <f>1746.6+(773.9-206.9)+(4.45383+(1.973445-0.527595))+0-719.4-1.8344699999999</f>
        <v>1598.2652099999998</v>
      </c>
      <c r="L264" s="3">
        <f>1871.1+(545.4-251.6)+(-4.771305+(-1.39077--0.64158))+0-631.7--1.61083499999991</f>
        <v>1529.2903399999993</v>
      </c>
      <c r="M264" s="3">
        <f>1863.6+(461-200)+(-2.851308+(-0.70533--0.306))+0-646.2--0.988686000000037</f>
        <v>1476.138048</v>
      </c>
      <c r="N264" s="3">
        <f>1912.8+(412.6-186.9)+(1.951056+(0.420852-0.190638))+0-610.7-0.622914000000097</f>
        <v>1529.358356</v>
      </c>
      <c r="O264" s="3">
        <f>1964.8+(492.7-200.8)+(2.004096+(0.502554-0.204816))+0-607.5-0.619650000000097</f>
        <v>1650.8821839999996</v>
      </c>
      <c r="P264" s="3">
        <f>2028+(520.6-173.2)+(-2.06856+(-0.531012--0.176664))+0-713.6--0.727872000000114</f>
        <v>1660.1049640000003</v>
      </c>
      <c r="Q264" s="3">
        <f>2025.2+(488.5-254)+(-2.065704+(-0.49827--0.25908))+0-535.3--0.546006000000085</f>
        <v>1722.641112</v>
      </c>
      <c r="R264" s="3">
        <f>2023.1+(486.1-240.6)+(-4.127124+(-0.991644--0.490824))+0-605.8--1.23583199999997</f>
        <v>1659.4078880000002</v>
      </c>
      <c r="S264" s="3">
        <f>2023.7+(308.7-267.6)+(-4.128348+(-0.629748--0.545904))+0-515.9--1.05243599999998</f>
        <v>1545.7402440000001</v>
      </c>
      <c r="T264" s="3">
        <f>1943.9+(377.5-191)+(-0.991389+(-0.192525--0.09741))+0-564.8--0.288047999999943</f>
        <v>1564.8015440000001</v>
      </c>
      <c r="U264" s="3">
        <f>1940+(397.6-167.2)+(-2.9682+(-0.608328--0.255816))+0-595.8--0.911574000000034</f>
        <v>1572.1908619999999</v>
      </c>
      <c r="V264" s="3">
        <f>2016.1+(344-238.9)+(-1.028211+(-0.17544--0.121839))+0-466.6--0.237965999999953</f>
        <v>1653.7561539999999</v>
      </c>
      <c r="W264" s="3">
        <f>2052.9+(1102.6-574.2)+(-3.140937+(-1.686978--0.878526))+0-532.5--0.814725000000031</f>
        <v>2045.6653360000003</v>
      </c>
      <c r="X264" s="3">
        <f>2056+(1114.6-562.6)+(-1.04856+(-0.568446--0.286926))+0-596.5--0.30421499999994</f>
        <v>2010.4741349999997</v>
      </c>
      <c r="Y264" s="3">
        <f>2053+(1041.5-587)+(-1.04703+(-0.531165--0.29937))+0-607.2--0.309671999999938</f>
        <v>1899.3308469999999</v>
      </c>
      <c r="Z264" s="3">
        <f>2043.5+(998.3-513.4)+(-2.08437+(-1.018266--0.523668))+0-674.2--0.687684000000108</f>
        <v>1852.3087160000005</v>
      </c>
      <c r="AA264" s="3">
        <f>2041.6+(879.2-357.8)+(-3.123648+(-1.345176--0.547434))+0-723.4--1.10680200000004</f>
        <v>1836.785412</v>
      </c>
      <c r="AB264" s="3">
        <f>2039.9+(724.1-247.4)+(-3.121047+(-1.107873--0.378522))+0-724.4--1.10833200000004</f>
        <v>1789.4579340000003</v>
      </c>
      <c r="AC264" s="3">
        <f>2040.2+(502.7-155.2)+(-6.243012+(-1.538262--0.474912))+0-702.7--2.15026200000008</f>
        <v>1679.8439000000001</v>
      </c>
      <c r="AD264">
        <v>2051.2000000000003</v>
      </c>
      <c r="AE264" s="3">
        <f>2048+(1134.9-467.2)+(0+(0-0))+0-664.5-0</f>
        <v>2051.1999999999998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1913.4+(510.8-165.4)+(-4.87917+(-1.30254--0.42177))+0-639.5--1.63072499999991</f>
        <v>1615.1707850000003</v>
      </c>
      <c r="G265" s="3">
        <f>1763.6+(623.8-75.3)+(-3.597744+(-1.272552--0.153612))+0-752.3--1.53469199999997</f>
        <v>1556.6180079999999</v>
      </c>
      <c r="H265" s="3">
        <f>1759.2+(549.4-111.4)+(0+(0-0))+0-698.4-0</f>
        <v>1498.7999999999997</v>
      </c>
      <c r="I265" s="3">
        <f>1751.4+(637.3-123.5)+(-0.893214+(-0.325023--0.062985))+0-753.9--0.384488999999924</f>
        <v>1510.5292369999997</v>
      </c>
      <c r="J265" s="3">
        <f>1749.8+(547.6-108.2)+(0.892398+(0.279276-0.055182))+0-663.8-0.338537999999933</f>
        <v>1526.177954</v>
      </c>
      <c r="K265" s="3">
        <f>1854.2+(588.7-162.6)+(0.945642+(0.300237-0.082926))+0-745-0.379949999999924</f>
        <v>1536.0830030000002</v>
      </c>
      <c r="L265" s="3">
        <f>1999.7+(589.4-265.5)+(0+(0-0))+0-680-0</f>
        <v>1643.6</v>
      </c>
      <c r="M265" s="3">
        <f>2117.5+(566.6-271.3)+(3.239775+(0.866898-0.415089))+0-624.6-0.955638000000036</f>
        <v>1790.9359460000003</v>
      </c>
      <c r="N265" s="3">
        <f>2269+(733.7-309.4)+(2.31438+(0.748374-0.315588))+0-622.9-0.635358000000099</f>
        <v>2072.5118080000002</v>
      </c>
      <c r="O265" s="3">
        <f>2402.5+(949.7-545.4)+(0+(0-0))+0-686-0</f>
        <v>2120.8000000000002</v>
      </c>
      <c r="P265" s="3">
        <f>2591+(1080.4-905.4)+(-3.96423+(-1.653012--1.385262))+0-577.1--0.882963000000033</f>
        <v>2185.5509830000001</v>
      </c>
      <c r="Q265" s="3">
        <f>2653.7+(1160.2-1065.6)+(-2.706774+(-1.183404--1.086912))+0-541.5--0.552330000000086</f>
        <v>2204.5490640000003</v>
      </c>
      <c r="R265" s="3">
        <f>2658.8+(937.4-982.2)+(-6.77994+(-2.39037--2.50461))+0-644.3--1.64296499999991</f>
        <v>1964.677265</v>
      </c>
      <c r="S265" s="3">
        <f>2636.8+(791.1-917.1)+(0+(0-0))+0-654.7-0</f>
        <v>1856.1000000000001</v>
      </c>
      <c r="T265" s="3">
        <f>2738.4+(844.5-994.6)+(-2.793168+(-0.86139--1.014492))+0-568.9--0.580278000000091</f>
        <v>2017.3402120000003</v>
      </c>
      <c r="U265" s="3">
        <f>2664.4+(724.8-926.6)+(0+(0-0))+0-491.8-0</f>
        <v>1970.8</v>
      </c>
      <c r="V265" s="3">
        <f>2778.1+(877.6-1067.7)+(-1.416831+(-0.447576--0.544527))+0-522.3--0.266372999999947</f>
        <v>2064.6464929999997</v>
      </c>
      <c r="W265" s="3">
        <f>2798.7+(1359.6-1174.8)+(2.854674+(1.386792-1.198296))+0-476.4-0.485928000000076</f>
        <v>2509.6572419999998</v>
      </c>
      <c r="X265" s="3">
        <f>2779.3+(1446.3-1056.4)+(-4.252329+(-2.212839--1.616292))+0-658.3--1.00719900000004</f>
        <v>2507.0583229999997</v>
      </c>
      <c r="Y265" s="3">
        <f>2779.2+(1037.8-1135.2)+(-1.417392+(-0.529278--0.578952))+0-524.5--0.267494999999947</f>
        <v>2156.1997769999998</v>
      </c>
      <c r="Z265" s="3">
        <f>2775.2+(678.7-873.4)+(-1.415352+(-0.346137--0.445434))+0-462--0.235619999999953</f>
        <v>2117.4195650000001</v>
      </c>
      <c r="AA265" s="3">
        <f>2774.1+(626.9-760.1)+(0+(0-0))+0-599.1-0</f>
        <v>2041.7999999999997</v>
      </c>
      <c r="AB265" s="3">
        <f>2538+(720.7-536.1)+(0+(0-0))+0-748.4-0</f>
        <v>1974.1999999999998</v>
      </c>
      <c r="AC265" s="3">
        <f>2423.8+(610.4-512.3)+(0+(0-0))+0-656.1-0</f>
        <v>1865.8000000000002</v>
      </c>
      <c r="AD265">
        <v>2320.3000000000002</v>
      </c>
      <c r="AE265" s="3">
        <f>2790+(1526-1272.6)+(0+(0-0))+0-723.1-0</f>
        <v>2320.3000000000002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2301.4+(513.2-337.9)+(-3.521142+(-0.785196--0.516987))+0-756.8--1.15790400000004</f>
        <v>1717.2685530000006</v>
      </c>
      <c r="G266" s="3">
        <f>2240.3+(549.1-273.3)+(-5.712765+(-1.400205--0.696915))+0-750.8--1.91453999999989</f>
        <v>1760.7984850000003</v>
      </c>
      <c r="H266" s="3">
        <f>2100.1+(593-314.4)+(0+(0-0))+0-658.7-0</f>
        <v>1719.9999999999998</v>
      </c>
      <c r="I266" s="3">
        <f>2098.3+(628.2-354.2)+(0+(0-0))+0-746.6-0</f>
        <v>1625.7000000000003</v>
      </c>
      <c r="J266" s="3">
        <f>2101.3+(573.4-396.8)+(-2.143326+(-0.584868--0.404736))+0-623.8--0.636276000000099</f>
        <v>1652.4128180000005</v>
      </c>
      <c r="K266" s="3">
        <f>2099+(560.2-356)+(3.21147+(0.857106-0.54468))+0-679.4-1.03948200000004</f>
        <v>1626.2844139999997</v>
      </c>
      <c r="L266" s="3">
        <f>2112.3+(560-347.4)+(2.154546+(0.5712-0.354348))+0-641.1-0.653922000000102</f>
        <v>1685.5174760000002</v>
      </c>
      <c r="M266" s="3">
        <f>2137.5+(501.7-308.4)+(4.3605+(1.023468-0.629136))+0-609.7-1.24378799999997</f>
        <v>1724.6110440000002</v>
      </c>
      <c r="N266" s="3">
        <f>2400.9+(431.7-317.7)+(-2.448918+(-0.440334--0.324054))+0-559.6--0.570792000000089</f>
        <v>1953.3055940000004</v>
      </c>
      <c r="O266" s="3">
        <f>2532.5+(646.6-398.6)+(1.291575+(0.329766-0.203286))+0-604.2-0.308141999999939</f>
        <v>2177.4099130000004</v>
      </c>
      <c r="P266" s="3">
        <f>2700.9+(906.1-775)+(1.377459+(0.462111-0.39525))+0-570.1-0.290750999999942</f>
        <v>2263.0535690000002</v>
      </c>
      <c r="Q266" s="3">
        <f>2694.9+(991.9-959.7)+(-5.497596+(-2.023476--1.957788))+0-641.2--1.30804799999997</f>
        <v>2081.6447639999997</v>
      </c>
      <c r="R266" s="3">
        <f>2580.4+(804.2-767.9)+(-3.948012+(-1.230426--1.174887))+0-678.2--1.03764600000004</f>
        <v>1935.5340950000004</v>
      </c>
      <c r="S266" s="3">
        <f>2530.3+(647.9-684.2)+(-2.580906+(-0.660858--0.697884))+0-571.9--0.583338000000091</f>
        <v>1920.1394579999999</v>
      </c>
      <c r="T266" s="3">
        <f>2657.5+(717.6-752.8)+(2.71065+(0.731952-0.767856))+0-618.6-0.630972000000099</f>
        <v>2005.7437740000003</v>
      </c>
      <c r="U266" s="3">
        <f>2648.5+(650.6-763.3)+(-2.70147+(-0.663612--0.778566))+0-573.2--0.584664000000091</f>
        <v>1960.5981480000005</v>
      </c>
      <c r="V266" s="3">
        <f>2649.9+(739.2-794.4)+(2.702898+(0.753984-0.810288))+0-575.6-0.587112000000092</f>
        <v>2021.159482</v>
      </c>
      <c r="W266" s="3">
        <f>2851.3+(1400.2-1286.2)+(2.908326+(1.428204-1.311924))+0-554.3-0.565386000000088</f>
        <v>2413.4592199999997</v>
      </c>
      <c r="X266" s="3">
        <f>2975.9+(1467.1-1568.4)+(-6.070836+(-2.992884--3.199536))+0-628.3--1.28173199999997</f>
        <v>2241.7175480000001</v>
      </c>
      <c r="Y266" s="3">
        <f>2599.8+(1224.1-997.9)+(-7.955388+(-3.745746--3.053574))+0-691.4--2.11568400000008</f>
        <v>2128.0681239999999</v>
      </c>
      <c r="Z266" s="3">
        <f>2462.4+(1042.2-838.8)+(-3.767472+(-1.594566--1.283364))+0-598.4--0.915552000000035</f>
        <v>2064.2368780000002</v>
      </c>
      <c r="AA266" s="3">
        <f>2446.1+(945-681.1)+(-2.495022+(-0.9639--0.694722))+0-731.1--0.745722000000117</f>
        <v>1976.8815220000001</v>
      </c>
      <c r="AB266" s="3">
        <f>2418.4+(793.4-548.8)+(-7.400304+(-2.427804--1.679328))+0-775.5--2.37303000000009</f>
        <v>1881.7242500000002</v>
      </c>
      <c r="AC266" s="3">
        <f>2406.2+(572.7-450.6)+(-3.681486+(-0.876231--0.689418))+0-684.1--1.04667300000004</f>
        <v>1841.3783739999997</v>
      </c>
      <c r="AD266">
        <v>2538.8000000000002</v>
      </c>
      <c r="AE266" s="3">
        <f>3007+(1645.1-1432.1)+(0+(0-0))+0-681.2-0</f>
        <v>2538.8000000000002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2331.3+(552.4-429.4)+(-3.566889+(-0.845172--0.656982))+0-730.3--1.11735900000004</f>
        <v>1721.3622800000003</v>
      </c>
      <c r="G267" s="3">
        <f>2112.3+(472.4-275.8)+(4.309092+(0.963696-0.562632))+0-768.5-1.56773999999997</f>
        <v>1543.5424160000002</v>
      </c>
      <c r="H267" s="3">
        <f>2075.2+(486.6-251.8)+(3.175056+(0.744498-0.385254))+0-754.1-1.15377300000004</f>
        <v>1558.2805269999999</v>
      </c>
      <c r="I267" s="3">
        <f>2074.3+(444.3-202.6)+(1.057893+(0.226593-0.103326))+0-722.9-0.368678999999927</f>
        <v>1593.9124810000001</v>
      </c>
      <c r="J267" s="3">
        <f>2076.5+(406.8-231.1)+(-5.295075+(-1.03734--0.589305))+0-637.1--1.62460499999991</f>
        <v>1610.981495</v>
      </c>
      <c r="K267" s="3">
        <f>2081.4+(443.6-199.1)+(1.061514+(0.226236-0.101541))+0-747.3-0.381122999999924</f>
        <v>1579.4050860000002</v>
      </c>
      <c r="L267" s="3">
        <f>2095.5+(459-178.9)+(-2.13741+(-0.46818--0.182478))+0-748.7--0.763674000000119</f>
        <v>1625.240562</v>
      </c>
      <c r="M267" s="3">
        <f>2155.5+(420.8-118.7)+(1.099305+(0.214608-0.060537))+0-603.1-0.307580999999939</f>
        <v>1855.4457950000001</v>
      </c>
      <c r="N267" s="3">
        <f>2448.1+(414.1-163)+(0+(0-0))+0-628.2-0</f>
        <v>2071</v>
      </c>
      <c r="O267" s="3">
        <f>2498.8+(738.5-487.4)+(1.274388+(0.376635-0.248574))+0-657.9-0.335528999999933</f>
        <v>2093.0669200000002</v>
      </c>
      <c r="P267" s="3">
        <f>2627.3+(877.4-765.9)+(-1.339923+(-0.447474--0.390609))+0-604.1--0.308090999999939</f>
        <v>2133.6113030000001</v>
      </c>
      <c r="Q267" s="3">
        <f>2745.8+(1019.1-952.8)+(-4.201074+(-1.559223--1.457784))+0-709.3--1.08522900000004</f>
        <v>2099.5827160000008</v>
      </c>
      <c r="R267" s="3">
        <f>2667.4+(835.2-910)+(-2.720748+(-0.851904--0.9282))+0-597.2--0.609144000000095</f>
        <v>1993.3646920000003</v>
      </c>
      <c r="S267" s="3">
        <f>2647.4+(725.8-755.9)+(-5.400696+(-1.480632--1.542036))+0-704.5--1.43717999999997</f>
        <v>1908.897888</v>
      </c>
      <c r="T267" s="3">
        <f>2613.6+(593.9-735)+(-2.665872+(-0.605778--0.7497))+0-510.7--0.520914000000081</f>
        <v>1959.7989640000003</v>
      </c>
      <c r="U267" s="3">
        <f>2492.1+(783.5-608.3)+(-3.812913+(-1.198755--0.930699))+0-686.9--1.05095700000004</f>
        <v>1977.3699880000001</v>
      </c>
      <c r="V267" s="3">
        <f>2637.6+(832.2-776.7)+(-2.690352+(-0.848844--0.792234))+0-636.8--0.649536000000101</f>
        <v>2054.2025739999999</v>
      </c>
      <c r="W267" s="3">
        <f>2781.4+(1348.5-1185.7)+(-1.418514+(-0.687735--0.604707))+0-560--0.285599999999943</f>
        <v>2382.984058</v>
      </c>
      <c r="X267" s="3">
        <f>2798.4+(1337.9-1320)+(-7.13592+(-3.411645--3.366))+0-516.4--1.31681999999993</f>
        <v>2294.0352550000002</v>
      </c>
      <c r="Y267" s="3">
        <f>2691.4+(1272.2-1080.4)+(-2.745228+(-1.297644--1.102008))+0-700.6--0.714612000000112</f>
        <v>2180.373748</v>
      </c>
      <c r="Z267" s="3">
        <f>2694.6+(969.7-1041.9)+(-5.496984+(-1.978188--2.125476))+0-496.4--1.01265599999998</f>
        <v>2121.6629599999992</v>
      </c>
      <c r="AA267" s="3">
        <f>2617.5+(1082.7-979.1)+(-2.66985+(-1.104354--0.998682))+0-735.8--0.750516000000117</f>
        <v>1983.2749940000001</v>
      </c>
      <c r="AB267" s="3">
        <f>2619+(808.8-845.2)+(-8.01414+(-2.474928--2.586312))+0-662.3--2.02663800000008</f>
        <v>1914.423882</v>
      </c>
      <c r="AC267" s="3">
        <f>2450.3+(605-567.5)+(-3.748959+(-0.92565--0.868275))+0-660.8--1.01102400000004</f>
        <v>1824.2046900000005</v>
      </c>
      <c r="AD267">
        <v>2385.1</v>
      </c>
      <c r="AE267" s="3">
        <f>2775+(1487.5-1354.9)+(0+(0-0))+0-522.5-0</f>
        <v>2385.1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2358.3+(521.5-403.6)+(-1.202733+(-0.265965--0.205836))+0-707.7--0.360926999999928</f>
        <v>1767.5980650000001</v>
      </c>
      <c r="G268" s="3">
        <f>2168.2+(429.8-288.8)+(-1.105782+(-0.219198--0.147288))+0-622.8--0.317627999999937</f>
        <v>1685.5399359999997</v>
      </c>
      <c r="H268" s="3">
        <f>2093.8+(335.7-298.7)+(1.067838+(0.171207-0.152337))+0-500-0.254999999999949</f>
        <v>1631.6317080000001</v>
      </c>
      <c r="I268" s="3">
        <f>2165.1+(398.2-234.3)+(3.312603+(0.609246-0.358479))+0-704.5-1.07788500000004</f>
        <v>1626.9854849999997</v>
      </c>
      <c r="J268" s="3">
        <f>2130.8+(353.2-171.3)+(-1.086708+(-0.180132--0.087363))+0-678.7--0.346136999999931</f>
        <v>1633.1666600000001</v>
      </c>
      <c r="K268" s="3">
        <f>2125.3+(366.7-187.5)+(4.335612+(0.748068-0.3825))+0-655-1.33619999999997</f>
        <v>1652.8649800000001</v>
      </c>
      <c r="L268" s="3">
        <f>2329.7+(294.2-155.5)+(0+(0-0))+0-766.6-0</f>
        <v>1701.7999999999997</v>
      </c>
      <c r="M268" s="3">
        <f>2392.6+(250.1-147.8)+(1.220226+(0.127551-0.075378))+0-605.3-0.308702999999939</f>
        <v>1890.5636960000002</v>
      </c>
      <c r="N268" s="3">
        <f>2476.7+(577.7-167.5)+(1.263117+(0.294627-0.085425))+0-763.9-0.389588999999922</f>
        <v>2124.0827299999996</v>
      </c>
      <c r="O268" s="3">
        <f>2625.9+(755.1-591.2)+(2.678418+(0.770202-0.603024))+0-570.2-0.581604000000091</f>
        <v>2221.8639920000005</v>
      </c>
      <c r="P268" s="3">
        <f>2752.3+(1043.2-851.8)+(-1.403673+(-0.532032--0.434418))+0-667.1--0.340220999999932</f>
        <v>2275.4389340000002</v>
      </c>
      <c r="Q268" s="3">
        <f>2745+(1129.5-981.4)+(-4.19985+(-1.728135--1.501542))+0-662--1.01286000000004</f>
        <v>2227.6864169999999</v>
      </c>
      <c r="R268" s="3">
        <f>2753.5+(929.1-945.4)+(-5.61714+(-1.895364--1.928616))+0-684.7--1.39678799999997</f>
        <v>2048.3128999999994</v>
      </c>
      <c r="S268" s="3">
        <f>2748.1+(575.7-839.6)+(-1.401531+(-0.293607--0.428196))+0-535.2--0.272951999999946</f>
        <v>1948.0060099999996</v>
      </c>
      <c r="T268" s="3">
        <f>2744.8+(659.9-777.1)+(2.799696+(0.673098-0.792642))+0-640-0.652800000000102</f>
        <v>1989.6273520000002</v>
      </c>
      <c r="U268" s="3">
        <f>2746.1+(627.7-766.8)+(0+(0-0))+0-543.6-0</f>
        <v>2063.4</v>
      </c>
      <c r="V268" s="3">
        <f>2741.3+(737.9-867)+(2.796126+(0.752658-0.88434))+0-474-0.483480000000076</f>
        <v>2140.3809640000004</v>
      </c>
      <c r="W268" s="3">
        <f>3073.5+(1576.4-1466)+(4.702455+(2.411892-2.24298))+0-672.4-1.02877200000004</f>
        <v>2515.3425950000001</v>
      </c>
      <c r="X268" s="3">
        <f>3142.8+(1665-1471.3)+(0+(0-0))+0-902.5-0</f>
        <v>2434</v>
      </c>
      <c r="Y268" s="3">
        <f>3040.9+(1304.7-1386.3)+(-7.754295+(-3.326985--3.535065))+0-685.9--1.7490449999999</f>
        <v>2267.6028300000003</v>
      </c>
      <c r="Z268" s="3">
        <f>2889.9+(1104.8-1138.9)+(-2.947698+(-1.126896--1.161678))+0-707.6--0.721752000000113</f>
        <v>2146.008836</v>
      </c>
      <c r="AA268" s="3">
        <f>2773.5+(1007.2-1025)+(-2.82897+(-1.027344--1.0455))+0-746.8--0.761736000000119</f>
        <v>2006.8509220000001</v>
      </c>
      <c r="AB268" s="3">
        <f>2685.5+(1024-907.8)+(0+(0-0))+0-807-0</f>
        <v>1994.6999999999998</v>
      </c>
      <c r="AC268" s="3">
        <f>2682.1+(686.2-702.9)+(-4.103613+(-1.049886--1.075437))+0-794.3--1.21527900000005</f>
        <v>1868.2372170000001</v>
      </c>
      <c r="AD268">
        <v>2435.4000000000005</v>
      </c>
      <c r="AE268" s="3">
        <f>3136+(1734.8-1420.2)+(0+(0-0))+0-1015.2-0</f>
        <v>2435.3999999999996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2610.1+(418.7-591)+(-2.662302+(-0.427074--0.60282))+0-703.6--0.717672000000112</f>
        <v>1732.4311160000002</v>
      </c>
      <c r="G269" s="3">
        <f>2535.8+(447.8-515.9)+(-2.586516+(-0.456756--0.526218))+0-708.2--0.722364000000113</f>
        <v>1757.7053100000005</v>
      </c>
      <c r="H269" s="3">
        <f>2324.5+(417.6-357.3)+(-1.185495+(-0.212976--0.182223))+0-714.1--0.364190999999928</f>
        <v>1669.847943</v>
      </c>
      <c r="I269" s="3">
        <f>2371.2+(461.2-408.2)+(-1.209312+(-0.235212--0.208182))+0-806.8--0.411467999999918</f>
        <v>1616.5751259999997</v>
      </c>
      <c r="J269" s="3">
        <f>2305.7+(551.9-427.8)+(8.231349+(1.970283-1.527246))+0-832.5-2.97202500000001</f>
        <v>1603.0023609999998</v>
      </c>
      <c r="K269" s="3">
        <f>2304.3+(505-416.1)+(2.350386+(0.5151-0.424422))+0-751.1-0.76612200000012</f>
        <v>1643.7749420000002</v>
      </c>
      <c r="L269" s="3">
        <f>2376+(404.4-395.5)+(-1.21176+(-0.206244--0.201705))+0-739.8--0.377297999999925</f>
        <v>1644.2609989999999</v>
      </c>
      <c r="M269" s="3">
        <f>2527.2+(434.2-421.8)+(-2.577744+(-0.442884--0.430236))+0-618.3--0.630666000000099</f>
        <v>1919.3402739999999</v>
      </c>
      <c r="N269" s="3">
        <f>2749.4+(557.4-556.5)+(-1.402194+(-0.284274--0.283815))+0-597--0.304469999999939</f>
        <v>2152.2018170000001</v>
      </c>
      <c r="O269" s="3">
        <f>2758.6+(839.9-751.6)+(-1.406886+(-0.428349--0.383316))+0-595.2--0.30355199999994</f>
        <v>2250.5516329999996</v>
      </c>
      <c r="P269" s="3">
        <f>2760.6+(1002.6-795.9)+(0+(0-0))+0-676.8-0</f>
        <v>2290.5</v>
      </c>
      <c r="Q269" s="3">
        <f>2755.9+(1101.5-1001.2)+(-2.811018+(-1.12353--1.021224))+0-608.9--0.621078000000097</f>
        <v>2245.0077539999997</v>
      </c>
      <c r="R269" s="3">
        <f>2749.2+(710.3-912)+(-4.206276+(-1.086759--1.39536))+0-595.2--0.910656000000034</f>
        <v>1949.3129809999998</v>
      </c>
      <c r="S269" s="3">
        <f>2745.4+(427.6-690.9)+(-4.200462+(-0.654228--1.057077))+0-556.2--0.850986000000032</f>
        <v>1922.9533730000001</v>
      </c>
      <c r="T269" s="3">
        <f>2743+(401.8-597.8)+(4.19679+(0.614754-0.914634))+0-514.7-0.78749100000003</f>
        <v>2035.4094189999998</v>
      </c>
      <c r="U269" s="3">
        <f>2753.9+(620.4-710.8)+(0+(0-0))+0-632.6-0</f>
        <v>2030.9</v>
      </c>
      <c r="V269" s="3">
        <f>2634.8+(588.2-655.4)+(-1.343748+(-0.299982--0.334254))+0-501.2--0.255611999999949</f>
        <v>2065.3461360000006</v>
      </c>
      <c r="W269" s="3">
        <f>2754.2+(1429.6-1211.3)+(2.809284+(1.458192-1.235526))+0-547.8-0.558756000000087</f>
        <v>2427.1731940000004</v>
      </c>
      <c r="X269" s="3">
        <f>2702.2+(1412.6-1113.2)+(-5.512488+(-2.881704--2.270928))+0-648.2--1.32232799999997</f>
        <v>2348.5990639999995</v>
      </c>
      <c r="Y269" s="3">
        <f>2640.3+(1143.9-935.9)+(-8.079318+(-3.500334--2.863854))+0-614.9--1.88159400000007</f>
        <v>2226.5657959999999</v>
      </c>
      <c r="Z269" s="3">
        <f>2642.8+(746.4-712.3)+(-1.347828+(-0.380664--0.363273))+0-630.9--0.321758999999936</f>
        <v>2044.9565400000001</v>
      </c>
      <c r="AA269" s="3">
        <f>2647.7+(770.4-605.6)+(-5.401308+(-1.571616--1.235424))+0-721.8--1.47247199999997</f>
        <v>2086.4349719999996</v>
      </c>
      <c r="AB269" s="3">
        <f>2629.1+(709.6-591.8)+(-5.363364+(-1.447584--1.207272))+0-753.4--1.53693599999997</f>
        <v>1989.4332599999998</v>
      </c>
      <c r="AC269" s="3">
        <f>2589.6+(633.6-631.1)+(-5.282784+(-1.292544--1.287444))+0-722.8--1.47451199999997</f>
        <v>1865.4866280000001</v>
      </c>
      <c r="AD269">
        <v>2459.4999999999995</v>
      </c>
      <c r="AE269" s="3">
        <f>2771+(1693.9-1290.5)+(0+(0-0))+0-714.9-0</f>
        <v>2459.5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2496.6+(307.4-424.3)+(-6.36633+(-0.78387--1.081965))+0-612.4--1.56161999999991</f>
        <v>1762.7933849999995</v>
      </c>
      <c r="G270" s="3">
        <f>2476.5+(268-637.5)+(-1.263015+(-0.13668--0.325125))+0-486.3--0.248012999999951</f>
        <v>1619.8734429999997</v>
      </c>
      <c r="H270" s="3">
        <f>2304.1+(528.8-523.9)+(-3.525273+(-0.809064--0.801567))+0-646.6--0.989298000000037</f>
        <v>1659.8565280000003</v>
      </c>
      <c r="I270" s="3">
        <f>1958.8+(634.5-166)+(2.996964+(0.970785-0.25398))+0-818.4-1.25215200000005</f>
        <v>1611.361617</v>
      </c>
      <c r="J270" s="3">
        <f>1956.3+(550.3-149.9)+(0.997713+(0.280653-0.076449))+0-759.1-0.387140999999923</f>
        <v>1598.4147759999998</v>
      </c>
      <c r="K270" s="3">
        <f>1860.4+(543.6-79.7)+(2.846412+(0.831708-0.121941))+0-689.5-1.05493500000004</f>
        <v>1637.3012440000002</v>
      </c>
      <c r="L270" s="3">
        <f>1770.2+(783.5-121)+(0.902802+(0.399585-0.06171))+0-774.5-0.394994999999921</f>
        <v>1659.0456819999997</v>
      </c>
      <c r="M270" s="3">
        <f>1931.8+(683.5-113.2)+(0.985218+(0.348585-0.057732))+0-672.3-0.342872999999932</f>
        <v>1830.7331979999999</v>
      </c>
      <c r="N270" s="3">
        <f>2297.4+(635.1-68.5)+(1.171674+(0.323901-0.034935))+0-773.4-0.394433999999922</f>
        <v>2091.6662059999999</v>
      </c>
      <c r="O270" s="3">
        <f>2484.7+(804-432.8)+(-1.267197+(-0.41004--0.220728))+0-672.8--0.343127999999932</f>
        <v>2181.9866189999998</v>
      </c>
      <c r="P270" s="3">
        <f>2629.7+(1287.6-838.5)+(-2.682294+(-1.313352--0.85527))+0-799.2--0.815184000000127</f>
        <v>2277.2748080000001</v>
      </c>
      <c r="Q270" s="3">
        <f>2529+(1262.3-894)+(-5.15916+(-2.575092--1.82376))+0-638.5--1.30253999999997</f>
        <v>2254.1920480000003</v>
      </c>
      <c r="R270" s="3">
        <f>2509.3+(975.2-739.3)+(-7.678458+(-2.984112--2.262258))+0-690.9--2.11415400000008</f>
        <v>2048.0138419999998</v>
      </c>
      <c r="S270" s="3">
        <f>2377.8+(841.2-615.4)+(0+(0-0))+0-687-0</f>
        <v>1916.6000000000004</v>
      </c>
      <c r="T270" s="3">
        <f>2202.3+(494.7-323.3)+(-4.492692+(-1.009188--0.659532))+0-457.4--0.93309599999998</f>
        <v>1912.390748</v>
      </c>
      <c r="U270" s="3">
        <f>2199.8+(478.9-228.2)+(0+(0-0))+0-564.3-0</f>
        <v>1886.2</v>
      </c>
      <c r="V270" s="3">
        <f>2359.6+(630.4-412.6)+(0+(0-0))+0-600.9-0</f>
        <v>1976.4999999999995</v>
      </c>
      <c r="W270" s="3">
        <f>2875.4+(1293-1082.6)+(0+(0-0))+0-743.2-0</f>
        <v>2342.6000000000004</v>
      </c>
      <c r="X270" s="3">
        <f>2804.6+(1125.5-1065.2)+(-5.721384+(-2.29602--2.173008))+0-687.2--1.40188799999997</f>
        <v>2173.2574919999993</v>
      </c>
      <c r="Y270" s="3">
        <f>2798.7+(921.4-893.9)+(-4.282011+(-1.409742--1.367667))+0-732.3--1.12041900000004</f>
        <v>2090.6963329999999</v>
      </c>
      <c r="Z270" s="3">
        <f>2709.3+(656.1-635.3)+(-1.381743+(-0.334611--0.324003))+0-726.9--0.370718999999926</f>
        <v>2002.1783680000003</v>
      </c>
      <c r="AA270" s="3">
        <f>2781.9+(520.9-519.2)+(-5.675076+(-1.062636--1.059168))+0-773--1.57691999999997</f>
        <v>2006.498376</v>
      </c>
      <c r="AB270" s="3">
        <f>2621.3+(443.5-410.7)+(-6.684315+(-1.130925--1.047285))+0-704.7--1.7969849999999</f>
        <v>1944.4290300000005</v>
      </c>
      <c r="AC270" s="3">
        <f>2313.7+(436.7-199.6)+(-5.899935+(-1.113585--0.50898))+0-769.2--1.96145999999989</f>
        <v>1777.0569199999998</v>
      </c>
      <c r="AD270">
        <v>2411.1999999999998</v>
      </c>
      <c r="AE270" s="3">
        <f>2932+(1539.2-1133.8)+(0+(0-0))+0-926.2-0</f>
        <v>2411.1999999999998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2216.3+(385.1-193.9)+(-2.260626+(-0.392802--0.197778))+0-703.5--0.717570000000112</f>
        <v>1702.2619200000001</v>
      </c>
      <c r="G271" s="3">
        <f>2146.7+(470.3-178.6)+(-4.379268+(-0.959412--0.364344))+0-852.8--1.73971199999996</f>
        <v>1582.3653759999995</v>
      </c>
      <c r="H271" s="3">
        <f>1919+(493.4-136.1)+(-0.97869+(-0.251634--0.069411))+0-707.3--0.360722999999928</f>
        <v>1568.1998100000001</v>
      </c>
      <c r="I271" s="3">
        <f>1906.5+(579.8-120.2)+(-1.94463+(-0.591396--0.122604))+0-750.7--0.76571400000012</f>
        <v>1613.7522919999999</v>
      </c>
      <c r="J271" s="3">
        <f>1901.7+(605.6-90.7)+(0.969867+(0.308856-0.046257))+0-860.8-0.439007999999913</f>
        <v>1556.5934580000001</v>
      </c>
      <c r="K271" s="3">
        <f>1903.4+(475.3-121.1)+(0+(0-0))+0-680.9-0</f>
        <v>1576.7000000000003</v>
      </c>
      <c r="L271" s="3">
        <f>2042.3+(428.6-135.2)+(-1.041573+(-0.218586--0.068952))+0-773.1--0.394280999999922</f>
        <v>1561.8030739999999</v>
      </c>
      <c r="M271" s="3">
        <f>2065+(176.7-190.6)+(-7.37205+(-0.630819--0.680442))+0-557.6--1.99063200000001</f>
        <v>1488.1682049999999</v>
      </c>
      <c r="N271" s="3">
        <f>2046.8+(354.5-164.2)+(2.087736+(0.36159-0.167484))+0-669.2-0.682584000000107</f>
        <v>1569.4992579999996</v>
      </c>
      <c r="O271" s="3">
        <f>2073.4+(450-235.7)+(0+(0-0))+0-610-0</f>
        <v>1677.7000000000003</v>
      </c>
      <c r="P271" s="3">
        <f>2145.5+(530.8-211.3)+(-4.37682+(-1.082832--0.431052))+0-719.6--1.46798399999997</f>
        <v>1741.8393839999999</v>
      </c>
      <c r="Q271" s="3">
        <f>2141.2+(547.4-254.7)+(-2.184024+(-0.558348--0.259794))+0-667.7--0.681054000000107</f>
        <v>1764.3984759999996</v>
      </c>
      <c r="R271" s="3">
        <f>2141+(500.8-336.5)+(-5.45955+(-1.27704--0.858075))+0-581.8--1.48358999999992</f>
        <v>1719.1050750000002</v>
      </c>
      <c r="S271" s="3">
        <f>2138.2+(285.6-316.7)+(-3.271446+(-0.436968--0.484551))+0-472.8--0.723384000000027</f>
        <v>1631.7995209999999</v>
      </c>
      <c r="T271" s="3">
        <f>2136.5+(353.3-258.6)+(-2.17923+(-0.360366--0.263772))+0-646.9--0.659838000000103</f>
        <v>1582.6840139999999</v>
      </c>
      <c r="U271" s="3">
        <f>2136.2+(368.2-210.1)+(1.089462+(0.187782-0.107151))+0-696.1-0.355010999999929</f>
        <v>1599.0150820000001</v>
      </c>
      <c r="V271" s="3">
        <f>2133+(392.6-304.1)+(2.17566+(0.400452-0.310182))+0-542-0.552840000000086</f>
        <v>1681.21309</v>
      </c>
      <c r="W271" s="3">
        <f>2400+(839.7-552.1)+(0+(0-0))+0-746.4-0</f>
        <v>1941.1999999999998</v>
      </c>
      <c r="X271" s="3">
        <f>2452.8+(956.9-686.8)+(-6.25464+(-2.440095--1.75134))+0-707.3--1.8036149999999</f>
        <v>2010.4602200000002</v>
      </c>
      <c r="Y271" s="3">
        <f>2592.9+(1197.9-1062.2)+(1.322379+(0.610929-0.541722))+0-719.2-0.366791999999927</f>
        <v>2010.4247940000005</v>
      </c>
      <c r="Z271" s="3">
        <f>2515.2+(937.3-895.4)+(-2.565504+(-0.956046--0.913308))+0-628.6--0.6411720000001</f>
        <v>1926.5329300000003</v>
      </c>
      <c r="AA271" s="3">
        <f>2502.1+(900.4-872.6)+(-6.380355+(-2.29602--2.22513))+0-684.5--1.7454749999999</f>
        <v>1840.6942299999994</v>
      </c>
      <c r="AB271" s="3">
        <f>2417.1+(982.1-944.9)+(-3.698163+(-1.502613--1.445697))+0-614.5--0.940185000000035</f>
        <v>1836.9851060000001</v>
      </c>
      <c r="AC271" s="3">
        <f>2187.7+(718.9-644.6)+(-5.578635+(-1.833195--1.64373))+0-608.9--1.55269499999991</f>
        <v>1648.884595</v>
      </c>
      <c r="AD271">
        <v>1990.1000000000001</v>
      </c>
      <c r="AE271" s="3">
        <f>2453+(990.3-616.4)+(0+(0-0))+0-836.8-0</f>
        <v>1990.1000000000001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1918.7+(565.8-222.1)+(0+(0-0))+0-735.4-0</f>
        <v>1527</v>
      </c>
      <c r="G272" s="3">
        <f>1849.4+(474.7-111.6)+(-3.772776+(-0.968388--0.227664))+0-692--1.41167999999997</f>
        <v>1517.3981799999999</v>
      </c>
      <c r="H272" s="3">
        <f>1742.5+(530.1-44.8)+(-4.443375+(-1.351755--0.11424))+0-743.6--1.89617999999989</f>
        <v>1480.4152900000001</v>
      </c>
      <c r="I272" s="3">
        <f>1740+(539.7-46.7)+(2.6622+(0.825741-0.071451))+0-754-1.15362000000004</f>
        <v>1481.26287</v>
      </c>
      <c r="J272" s="3">
        <f>1736.8+(431.7-78.3)+(0+(0-0))+0-585.4-0</f>
        <v>1504.7999999999997</v>
      </c>
      <c r="K272" s="3">
        <f>1777.7+(544.1-41.4)+(2.719881+(0.832473-0.063342))+0-754.2-1.15392600000004</f>
        <v>1528.5350860000001</v>
      </c>
      <c r="L272" s="3">
        <f>1943.4+(501.1-90)+(-0.991134+(-0.255561--0.0459))+0-721.8--0.368117999999927</f>
        <v>1631.8673229999997</v>
      </c>
      <c r="M272" s="3">
        <f>2095.9+(483.6-154)+(1.068909+(0.246636-0.07854))+0-553.8-0.282437999999944</f>
        <v>1872.654567</v>
      </c>
      <c r="N272" s="3">
        <f>2640.4+(749.9-815.4)+(-1.346604+(-0.382449--0.415854))+0-510.3--0.260252999999948</f>
        <v>2063.5470539999997</v>
      </c>
      <c r="O272" s="3">
        <f>2811.4+(1220.5-1191.3)+(-4.301442+(-1.867365--1.822689))+0-650.6--0.995418000000038</f>
        <v>2186.6493000000005</v>
      </c>
      <c r="P272" s="3">
        <f>2731.3+(1335.1-1220.6)+(-4.178889+(-2.042703--1.867518))+0-547.3--0.837369000000032</f>
        <v>2294.983295</v>
      </c>
      <c r="Q272" s="3">
        <f>2635.9+(1539.9-1330.7)+(-4.032927+(-2.356047--2.035971))+0-650.8--0.995724000000038</f>
        <v>2190.9427209999999</v>
      </c>
      <c r="R272" s="3">
        <f>2531.8+(1227.1-1172.8)+(-3.873654+(-1.877463--1.794384))+0-612.5--0.937125000000035</f>
        <v>1970.5803920000003</v>
      </c>
      <c r="S272" s="3">
        <f>2414.1+(1287.5-1097)+(-2.462382+(-1.31325--1.11894))+0-598.8--0.610776000000095</f>
        <v>2003.7540839999999</v>
      </c>
      <c r="T272" s="3">
        <f>2336.6+(1223-1087.2)+(-4.766664+(-2.49492--2.217888))+0-437.1--0.891683999999981</f>
        <v>2031.1479879999995</v>
      </c>
      <c r="U272" s="3">
        <f>2438.2+(1209.3-1109.8)+(-1.243482+(-0.616743--0.565998))+0-559.2--0.285191999999943</f>
        <v>1977.490965</v>
      </c>
      <c r="V272" s="3">
        <f>2668+(951.5-1142.9)+(-1.36068+(-0.485265--0.582879))+0-448.4--0.228683999999955</f>
        <v>2027.1656179999998</v>
      </c>
      <c r="W272" s="3">
        <f>3014.1+(1488.7-1509.4)+(-1.537191+(-0.759237--0.769794))+0-609.6--0.310895999999938</f>
        <v>2382.5842619999999</v>
      </c>
      <c r="X272" s="3">
        <f>3040.6+(1303.3-1489.1)+(-6.202824+(-2.658732--3.037764))+0-559.8--1.14199199999998</f>
        <v>2290.3181999999997</v>
      </c>
      <c r="Y272" s="3">
        <f>2844.3+(1190.6-1089.3)+(-7.252965+(-3.03603--2.777715))+0-738.7--1.88368499999989</f>
        <v>2201.2724049999997</v>
      </c>
      <c r="Z272" s="3">
        <f>2801.9+(962.3-971.9)+(-7.144845+(-2.453865--2.478345))+0-690.7--1.7612849999999</f>
        <v>2096.2409199999997</v>
      </c>
      <c r="AA272" s="3">
        <f>2906.8+(689-888.4)+(-4.447404+(-1.05417--1.359252))+0-628--0.960840000000036</f>
        <v>2076.2185180000001</v>
      </c>
      <c r="AB272" s="3">
        <f>2903.5+(724.4-879.5)+(-7.403925+(-1.84722--2.242725))+0-740.5--1.88827499999989</f>
        <v>2002.7798549999998</v>
      </c>
      <c r="AC272" s="3">
        <f>2634.9+(696.5-798.7)+(-6.718995+(-1.776075--2.036685))+0-648--1.65239999999991</f>
        <v>1879.8940149999999</v>
      </c>
      <c r="AD272">
        <v>2369.6999999999998</v>
      </c>
      <c r="AE272" s="3">
        <f>3023+(1676.8-1642.3)+(0+(0-0))+0-687.8-0</f>
        <v>2369.6999999999998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2240.4+(578-339.1)+(0+(0-0))+0-760-0</f>
        <v>1719.3000000000002</v>
      </c>
      <c r="G273" s="3">
        <f>2225.9+(515.9-376.4)+(0+(0-0))+0-639.2-0</f>
        <v>1726.2</v>
      </c>
      <c r="H273" s="3">
        <f>2214.8+(444.4-281.9)+(0+(0-0))+0-761.3-0</f>
        <v>1616.0000000000002</v>
      </c>
      <c r="I273" s="3">
        <f>2027+(451.5-204.7)+(0+(0-0))+0-644-0</f>
        <v>1629.8000000000002</v>
      </c>
      <c r="J273" s="3">
        <f>1905.9+(623.8-161.8)+(0+(0-0))+0-758.3-0</f>
        <v>1609.6000000000001</v>
      </c>
      <c r="K273" s="3">
        <f>1931.3+(609.5-180.7)+(0+(0-0))+0-745.7-0</f>
        <v>1614.3999999999999</v>
      </c>
      <c r="L273" s="3">
        <f>2092.4+(476.4-158.4)+(0+(0-0))+0-685.4-0</f>
        <v>1725</v>
      </c>
      <c r="M273" s="3">
        <f>2219.4+(502.2-170.5)+(0+(0-0))+0-696-0</f>
        <v>1855.1</v>
      </c>
      <c r="N273" s="3">
        <f>2489.8+(813.3-565.1)+(0+(0-0))+0-610.5-0</f>
        <v>2127.5</v>
      </c>
      <c r="O273" s="3">
        <f>2749.5+(937.9-887)+(-2.80449+(-0.956658--0.90474))+0-653.3--0.666366000000104</f>
        <v>2144.9099579999997</v>
      </c>
      <c r="P273" s="3">
        <f>2840.6+(1077.1-1080.6)+(-4.346118+(-1.647963--1.653318))+0-534.5--0.817785000000031</f>
        <v>2299.0770219999999</v>
      </c>
      <c r="Q273" s="3">
        <f>2701.5+(1141.1-982.3)+(-4.133295+(-1.745883--1.502919))+0-664.1--1.01607300000004</f>
        <v>2192.8398140000004</v>
      </c>
      <c r="R273" s="3">
        <f>2446.9+(1083.5-877.9)+(-4.991676+(-2.21034--1.790916))+0-604.9--1.23399599999997</f>
        <v>2043.422896</v>
      </c>
      <c r="S273" s="3">
        <f>2333.9+(1106.7-869.4)+(-5.951445+(-2.822085--2.21697))+0-564.2--1.43870999999992</f>
        <v>2001.8821500000001</v>
      </c>
      <c r="T273" s="3">
        <f>2319+(1201.2-899.6)+(0+(0-0))+0-580-0</f>
        <v>2040.6</v>
      </c>
      <c r="U273" s="3">
        <f>2319.6+(1264.3-941.2)+(-5.91498+(-3.223965--2.40006))+0-612.8--1.56263999999991</f>
        <v>2024.7237549999995</v>
      </c>
      <c r="V273" s="3">
        <f>2643.2+(1052-1124.4)+(-1.348032+(-0.53652--0.573444))+0-541.8--0.276317999999945</f>
        <v>2027.9652099999998</v>
      </c>
      <c r="W273" s="3">
        <f>3019.1+(1445.6-1562.6)+(1.539741+(0.737256-0.796926))+0-597.4-0.304673999999939</f>
        <v>2305.8753969999998</v>
      </c>
      <c r="X273" s="3">
        <f>3011.6+(1401.9-1453.9)+(-3.071832+(-1.429938--1.482978))+0-659.7--0.672894000000105</f>
        <v>2297.5541020000001</v>
      </c>
      <c r="Y273" s="3">
        <f>2895.6+(1247.9-1343.4)+(-2.953512+(-1.272858--1.370268))+0-589.8--0.601596000000094</f>
        <v>2208.0454939999995</v>
      </c>
      <c r="Z273" s="3">
        <f>2739.3+(1245.7-1163.6)+(-5.588172+(-2.541228--2.373744))+0-725.4--1.47981599999997</f>
        <v>2091.7241600000007</v>
      </c>
      <c r="AA273" s="3">
        <f>2468.2+(1048-824.3)+(-5.035128+(-2.13792--1.681572))+0-702.2--1.43248799999997</f>
        <v>1985.6410119999994</v>
      </c>
      <c r="AB273" s="3">
        <f>2421.8+(878.6-743.6)+(-3.705354+(-1.344258--1.137708))+0-629.6--0.963288000000036</f>
        <v>1924.2513840000004</v>
      </c>
      <c r="AC273" s="3">
        <f>2423.3+(769.3-741.5)+(-4.943532+(-1.569372--1.51266))+0-563.9--1.15035599999998</f>
        <v>1883.3501120000003</v>
      </c>
      <c r="AD273">
        <v>2409.5000000000005</v>
      </c>
      <c r="AE273" s="3">
        <f>2994+(1590.6-1552.5)+(0+(0-0))+0-622.6-0</f>
        <v>2409.5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2227.1+(716.6-569.5)+(-3.407463+(-1.096398--0.871335))+0-618.9--0.946917000000036</f>
        <v>1752.6143909999998</v>
      </c>
      <c r="G274" s="3">
        <f>2087.3+(680.1-399.1)+(-5.322615+(-1.734255--1.017705))+0-732.2--1.86710999999989</f>
        <v>1631.9279449999999</v>
      </c>
      <c r="H274" s="3">
        <f>1984.3+(615.7-361.8)+(-1.011993+(-0.314007--0.184518))+0-615.7--0.314006999999938</f>
        <v>1621.6725249999997</v>
      </c>
      <c r="I274" s="3">
        <f>1972.8+(673.3-268.8)+(0+(0-0))+0-749.6-0</f>
        <v>1627.6999999999998</v>
      </c>
      <c r="J274" s="3">
        <f>1967.5+(640.7-302.6)+(1.003425+(0.326757-0.154326))+0-656-0.334559999999933</f>
        <v>1650.4412959999997</v>
      </c>
      <c r="K274" s="3">
        <f>1969.5+(677-297.4)+(4.01778+(1.38108-0.606696))+0-712-1.45247999999997</f>
        <v>1640.4396839999999</v>
      </c>
      <c r="L274" s="3">
        <f>1994.2+(636-260.1)+(3.051126+(0.97308-0.397953))+0-669.7-1.02464100000004</f>
        <v>1703.0016119999998</v>
      </c>
      <c r="M274" s="3">
        <f>1990.8+(701.1-202.7)+(0+(0-0))+0-626.9-0</f>
        <v>1862.2999999999997</v>
      </c>
      <c r="N274" s="3">
        <f>2284+(1027.7-544.6)+(-1.16484+(-0.524127--0.277746))+0-635--0.323849999999936</f>
        <v>2131.0126289999998</v>
      </c>
      <c r="O274" s="3">
        <f>2707+(1013.5-944.6)+(-2.76114+(-1.03377--0.963492))+0-549.8--0.560796000000088</f>
        <v>2223.8293779999999</v>
      </c>
      <c r="P274" s="3">
        <f>2887.8+(1159.5-1166.5)+(-2.945556+(-1.18269--1.18983))+0-603.3--0.615366000000096</f>
        <v>2275.17695</v>
      </c>
      <c r="Q274" s="3">
        <f>3028.8+(1153.9-1348.1)+(-6.178752+(-2.353956--2.750124))+0-616.6--1.25786399999997</f>
        <v>2213.4752800000006</v>
      </c>
      <c r="R274" s="3">
        <f>2911.7+(970.3-1204.8)+(-4.454901+(-1.484559--1.843344))+0-617.3--0.944469000000036</f>
        <v>2056.748353</v>
      </c>
      <c r="S274" s="3">
        <f>2959.8+(910.2-1180.6)+(-3.018996+(-0.928404--1.204212))+0-668.3--0.681666000000106</f>
        <v>2019.0384780000009</v>
      </c>
      <c r="T274" s="3">
        <f>2872.4+(1009.4-1222.9)+(-2.929848+(-1.029588--1.247358))+0-572.4--0.583848000000091</f>
        <v>2084.3717700000002</v>
      </c>
      <c r="U274" s="3">
        <f>2905.3+(1086.3-1271.2)+(-1.481703+(-0.554013--0.648312))+16-691.6--0.35271599999993</f>
        <v>2043.765312</v>
      </c>
      <c r="V274" s="3">
        <f>2898.1+(880.5-1115.7)+(-1.478031+(-0.449055--0.569007))+0-613.6--0.312935999999938</f>
        <v>2048.2548569999994</v>
      </c>
      <c r="W274" s="3">
        <f>3253.7+(1272-1425.7)+(3.318774+(1.29744-1.454214))+0-670.3-0.683706000000107</f>
        <v>2432.1782939999998</v>
      </c>
      <c r="X274" s="3">
        <f>3058.9+(1310-1215.4)+(0+(0-0))+0-758.1-0</f>
        <v>2395.4</v>
      </c>
      <c r="Y274" s="3">
        <f>3033.9+(1013.5-1232.7)+(-9.283734+(-3.10131--3.772062))+0-588.9--1.80203400000007</f>
        <v>2218.9890519999999</v>
      </c>
      <c r="Z274" s="3">
        <f>3034.1+(909.4-1258.3)+(0+(0-0))+0-556.7-0</f>
        <v>2128.5</v>
      </c>
      <c r="AA274" s="3">
        <f>3031.9+(807.8-1240)+(-4.638807+(-1.235934--1.8972))+0-554.6--0.848538000000032</f>
        <v>2041.9709969999997</v>
      </c>
      <c r="AB274" s="3">
        <f>2934.7+(1120.8-1290.3)+(-5.986788+(-2.286432--2.632212))+0-786.3--1.60405199999997</f>
        <v>1974.8630439999997</v>
      </c>
      <c r="AC274" s="3">
        <f>2655.1+(861.6-981.4)+(-6.770505+(-2.19708--2.50257))+0-775.6--1.97777999999989</f>
        <v>1755.212765</v>
      </c>
      <c r="AD274">
        <v>2394.3000000000002</v>
      </c>
      <c r="AE274" s="3">
        <f>3022+(1382.1-1172.5)+(0+(0-0))+0-837.3-0</f>
        <v>2394.3000000000002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2435.4+(599.2-608)+(-4.968216+(-1.222368--1.24032))+0-657.9--1.34211599999997</f>
        <v>1765.0918520000002</v>
      </c>
      <c r="G275" s="3">
        <f>2345.1+(572.7-466)+(-2.392002+(-0.584154--0.47532))+0-777.1--0.792642000000124</f>
        <v>1672.9918060000002</v>
      </c>
      <c r="H275" s="3">
        <f>2236.4+(465.4-404.4)+(-1.140564+(-0.237354--0.206244))+0-673.1--0.343280999999932</f>
        <v>1623.4716069999999</v>
      </c>
      <c r="I275" s="3">
        <f>2180.4+(553.1-416.8)+(1.112004+(0.282081-0.212568))+0-720.7-0.367556999999927</f>
        <v>1596.8139600000002</v>
      </c>
      <c r="J275" s="3">
        <f>2204.2+(396.8-416.4)+(-6.744852+(-1.214208--1.274184))+0-592.6--1.81335600000007</f>
        <v>1587.1284800000003</v>
      </c>
      <c r="K275" s="3">
        <f>2192.2+(441.3-241.2)+(4.472088+(0.900252-0.492048))+0-755.4-1.54101599999997</f>
        <v>1640.2392759999996</v>
      </c>
      <c r="L275" s="3">
        <f>2282.3+(434.7-228.6)+(2.327946+(0.443394-0.233172))+0-773.4-0.788868000000123</f>
        <v>1716.7492999999999</v>
      </c>
      <c r="M275" s="3">
        <f>2304.8+(501.9-371.6)+(-5.87724+(-1.279845--0.94758))+0-551.8--1.40708999999992</f>
        <v>1878.4975850000005</v>
      </c>
      <c r="N275" s="3">
        <f>2560.1+(536.2-562.9)+(1.305651+(0.273462-0.287079))+0-505.3-0.257702999999949</f>
        <v>2029.1343310000002</v>
      </c>
      <c r="O275" s="3">
        <f>2914.8+(817.6-1034.4)+(-2.973096+(-0.833952--1.055088))+0-549.1--0.560082000000088</f>
        <v>2146.708122</v>
      </c>
      <c r="P275" s="3">
        <f>3241+(881-1431.7)+(1.65291+(0.44931-0.730167))+0-470.6-0.240005999999952</f>
        <v>2220.8320470000003</v>
      </c>
      <c r="Q275" s="3">
        <f>3276.6+(1053.5-1497.1)+(-1.671066+(-0.537285--0.763521))+0-571--0.291209999999942</f>
        <v>2260.84638</v>
      </c>
      <c r="R275" s="3">
        <f>3152.1+(789.4-1370.6)+(-8.037855+(-2.01297--3.49503))+0-486.6--1.24082999999993</f>
        <v>2078.9850349999997</v>
      </c>
      <c r="S275" s="3">
        <f>3000.8+(601.7-1099.5)+(-4.591224+(-0.920601--1.682235))+0-477.8--0.731034000000028</f>
        <v>2022.1014440000004</v>
      </c>
      <c r="T275" s="3">
        <f>3000.4+(683.8-1053.5)+(-1.530204+(-0.348738--0.537285))+0-557.8--0.284477999999943</f>
        <v>2071.8428209999997</v>
      </c>
      <c r="U275" s="3">
        <f>2975.1+(681-1037)+(6.069204+(1.38924-2.11548))+0-533.2-1.08772799999998</f>
        <v>2090.1552360000001</v>
      </c>
      <c r="V275" s="3">
        <f>2905.8+(741.7-971.3)+(-2.963916+(-0.756534--0.990726))+0-612.9--0.625158000000098</f>
        <v>2061.1954340000007</v>
      </c>
      <c r="W275" s="3">
        <f>2809.1+(1412.7-1196)+(1.432641+(0.720477-0.60996))+0-581.4-0.296513999999941</f>
        <v>2445.6466439999999</v>
      </c>
      <c r="X275" s="3">
        <f>2751.6+(1382.7-1153.8)+(-5.613264+(-2.820708--2.353752))+0-670.5--1.36781999999997</f>
        <v>2305.2876000000001</v>
      </c>
      <c r="Y275" s="3">
        <f>2732.1+(1093.8-1105.8)+(-5.573484+(-2.231352--2.255832))+0-522.5--1.06589999999998</f>
        <v>2193.116896</v>
      </c>
      <c r="Z275" s="3">
        <f>2851.7+(1142.7-1309.3)+(-4.363101+(-1.748331--2.003229))+0-527.5--0.807075000000031</f>
        <v>2154.2988720000003</v>
      </c>
      <c r="AA275" s="3">
        <f>2938.9+(1181.5-1368.8)+(-4.496517+(-1.807695--2.094264))+0-683.6--1.04590800000004</f>
        <v>2064.8359600000003</v>
      </c>
      <c r="AB275" s="3">
        <f>2857.6+(851.5-1179.6)+(-4.372128+(-1.302795--1.804788))+0-575.2--0.880056000000033</f>
        <v>1951.3099209999998</v>
      </c>
      <c r="AC275" s="3">
        <f>2646.2+(690.8-855.1)+(-6.74781+(-1.76154--2.180505))+0-675.1--1.7215049999999</f>
        <v>1802.1926599999997</v>
      </c>
      <c r="AD275">
        <v>2580</v>
      </c>
      <c r="AE275" s="3">
        <f>2842+(1632.4-1245.7)+(0+(0-0))+0-648.7-0</f>
        <v>2580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2274.8+(687.1-481.4)+(-3.480444+(-1.051263--0.736542))+0-776.6--1.18819800000004</f>
        <v>1701.2930330000002</v>
      </c>
      <c r="G276" s="3">
        <f>2274.9+(638.5-462.8)+(-2.320398+(-0.65127--0.472056))+0-749.2--0.76418400000012</f>
        <v>1699.6645719999999</v>
      </c>
      <c r="H276" s="3">
        <f>2277.7+(483.8-399)+(-2.323254+(-0.493476--0.40698))+0-713.4--0.727668000000114</f>
        <v>1647.4179180000003</v>
      </c>
      <c r="I276" s="3">
        <f>2278.4+(453.8-289)+(1.161984+(0.231438-0.14739))+0-804.9-0.410498999999918</f>
        <v>1639.1355330000004</v>
      </c>
      <c r="J276" s="3">
        <f>2183.8+(445.9-310.6)+(1.113738+(0.227409-0.158406))+0-693.8-0.35383799999993</f>
        <v>1626.1289030000005</v>
      </c>
      <c r="K276" s="3">
        <f>2179.3+(539.6-213.5)+(1.111443+(0.275196-0.108885))+0-882-0.449819999999911</f>
        <v>1624.2279340000005</v>
      </c>
      <c r="L276" s="3">
        <f>2195.6+(408.9-248.2)+(1.119756+(0.208539-0.126582))+0-679.4-0.346493999999931</f>
        <v>1677.7552189999997</v>
      </c>
      <c r="M276" s="3">
        <f>2347.4+(340.1-311.2)+(-2.394348+(-0.346902--0.317424))+0-547.6--0.558552000000087</f>
        <v>1826.8347260000003</v>
      </c>
      <c r="N276" s="3">
        <f>2483.3+(596.3-455.2)+(3.799449+(0.912339-0.696456))+0-536.4-0.820692000000031</f>
        <v>2091.1946399999997</v>
      </c>
      <c r="O276" s="3">
        <f>2684.7+(860.8-781.5)+(-6.845985+(-2.19504--1.992825))+0-507.3--1.29361499999993</f>
        <v>2250.9454149999997</v>
      </c>
      <c r="P276" s="3">
        <f>2720.5+(898.2-1020)+(-1.387455+(-0.458082--0.5202))+0-304.6--0.155345999999969</f>
        <v>2292.9300089999997</v>
      </c>
      <c r="Q276" s="3">
        <f>2859.5+(1121.7-1307.5)+(-4.375035+(-1.716201--2.000475))+0-354.2--0.54192600000002</f>
        <v>2315.9511649999999</v>
      </c>
      <c r="R276" s="3">
        <f>2847+(1103.4-1368)+(-2.90394+(-1.125468--1.39536))+0-467.8--0.477156000000075</f>
        <v>2112.4431079999999</v>
      </c>
      <c r="S276" s="3">
        <f>2824.4+(1029.3-1280.6)+(-2.880888+(-1.049886--1.306212))+0-546.4--0.557328000000087</f>
        <v>2024.6327660000004</v>
      </c>
      <c r="T276" s="3">
        <f>2829+(978.5-1188.3)+(-4.32837+(-1.497105--1.818099))+0-566.8--0.867204000000033</f>
        <v>2049.2598280000002</v>
      </c>
      <c r="U276" s="3">
        <f>2787.3+(902.1-1119.6)+(-7.107615+(-2.300355--2.85498))+0-550.3--1.40326499999992</f>
        <v>2014.350275</v>
      </c>
      <c r="V276" s="3">
        <f>2697.6+(872.5-960.1)+(2.751552+(0.88995-0.979302))+0-565.8-0.57711600000009</f>
        <v>2046.2850840000001</v>
      </c>
      <c r="W276" s="3">
        <f>2926.5+(1268.4-1362.5)+(-4.477545+(-1.940652--2.084625))+0-369.4--0.565182000000021</f>
        <v>2459.2316099999998</v>
      </c>
      <c r="X276" s="3">
        <f>3006+(1040.2-1406)+(-6.13224+(-2.122008--2.86824))+0-342.1--0.697883999999985</f>
        <v>2293.4118760000001</v>
      </c>
      <c r="Y276" s="3">
        <f>3002.4+(1130.7-1533.4)+(3.062448+(1.153314-1.564068))+0-420.6-0.429012000000067</f>
        <v>2181.322682</v>
      </c>
      <c r="Z276" s="3">
        <f>2769.8+(1172-1374.5)+(-5.650392+(-2.39088--2.80398))+0-519.4--1.05957599999998</f>
        <v>2043.7222840000002</v>
      </c>
      <c r="AA276" s="3">
        <f>2442+(1052.7-1142.1)+(-4.98168+(-2.147508--2.329884))+0-386.2--0.787847999999983</f>
        <v>1962.3885440000001</v>
      </c>
      <c r="AB276" s="3">
        <f>2344.3+(1210.7-1138.1)+(1.195593+(0.617457-0.580431))+0-473.8-0.241637999999952</f>
        <v>1944.0909810000005</v>
      </c>
      <c r="AC276" s="3">
        <f>2162.6+(1339.7-975.2)+(-1.102926+(-0.683247--0.497352))+0-715.1--0.364700999999927</f>
        <v>1811.0758799999999</v>
      </c>
      <c r="AD276">
        <v>2367.3000000000002</v>
      </c>
      <c r="AE276" s="3">
        <f>2997+(1091.4-1328.3)+(0+(0-0))+0-392.8-0</f>
        <v>2367.3000000000002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2152.6+(801.9-725.7)+(-1.097826+(-0.408969--0.370107))+0-541.1--0.275960999999945</f>
        <v>1686.8392729999998</v>
      </c>
      <c r="G277" s="3">
        <f>2067.9+(666.2-373.1)+(-1.054629+(-0.339762--0.190281))+0-798.8--0.407387999999919</f>
        <v>1561.4032779999998</v>
      </c>
      <c r="H277" s="3">
        <f>1951.4+(435.1-177.8)+(0+(0-0))+0-635.7-0</f>
        <v>1573.0000000000002</v>
      </c>
      <c r="I277" s="3">
        <f>1948.9+(454.7-108.4)+(-0.993939+(-0.231897--0.055284))+0-673.7--0.343586999999932</f>
        <v>1620.6730349999996</v>
      </c>
      <c r="J277" s="3">
        <f>1945.3+(557.8-72.4)+(0.992103+(0.284478-0.036924))+0-834.1-0.425390999999915</f>
        <v>1597.414266</v>
      </c>
      <c r="K277" s="3">
        <f>1942.8+(437.4-108.4)+(0+(0-0))+0-701.5-0</f>
        <v>1570.3000000000002</v>
      </c>
      <c r="L277" s="3">
        <f>2003.3+(639.4-171.4)+(1.021683+(0.326094-0.087414))+0-828.5-0.422534999999916</f>
        <v>1643.6378280000001</v>
      </c>
      <c r="M277" s="3">
        <f>2103.1+(611.9-237)+(0+(0-0))+0-674.9-0</f>
        <v>1803.1</v>
      </c>
      <c r="N277" s="3">
        <f>2400.7+(464.1-176.1)+(-2.448714+(-0.473382--0.179622))+0-729--0.743580000000116</f>
        <v>1957.7011059999998</v>
      </c>
      <c r="O277" s="3">
        <f>2771.6+(678.5-609.2)+(1.413516+(0.346035-0.310692))+0-688-0.35087999999993</f>
        <v>2153.9979789999998</v>
      </c>
      <c r="P277" s="3">
        <f>2853.7+(973.7-952)+(4.366161+(1.489761-1.45656))+0-722.1-1.10481300000004</f>
        <v>2156.5945489999999</v>
      </c>
      <c r="Q277" s="3">
        <f>2848.1+(1081.1-1034.9)+(-1.452531+(-0.551361--0.527799))+0-698.7--0.356336999999929</f>
        <v>2194.4802439999989</v>
      </c>
      <c r="R277" s="3">
        <f>2840.9+(776.3-995.1)+(-7.244295+(-1.979565--2.537505))+0-641.2--1.63505999999991</f>
        <v>1975.8487049999999</v>
      </c>
      <c r="S277" s="3">
        <f>2640.9+(524.5-548.9)+(-5.387436+(-1.06998--1.119756))+0-710.3--1.44901199999997</f>
        <v>1902.3113519999999</v>
      </c>
      <c r="T277" s="3">
        <f>2469.6+(498.4-313)+(-1.259496+(-0.254184--0.15963))+0-731.9--0.373268999999926</f>
        <v>1922.1192189999999</v>
      </c>
      <c r="U277" s="3">
        <f>2434.6+(470.3-350.5)+(-6.20823+(-1.199265--0.893775))+0-669--1.7059499999999</f>
        <v>1880.59223</v>
      </c>
      <c r="V277" s="3">
        <f>2402.4+(650.8-439)+(3.675672+(0.995724-0.67167))+0-710.2-1.08660600000004</f>
        <v>1906.9131199999997</v>
      </c>
      <c r="W277" s="3">
        <f>2735.5+(1324.4-1256.6)+(0+(0-0))+0-660.9-0</f>
        <v>2142.4</v>
      </c>
      <c r="X277" s="3">
        <f>2850.9+(1383.3-1332.6)+(-7.269795+(-3.527415--3.39813))+0-715.1--1.8235049999999</f>
        <v>2180.9244250000002</v>
      </c>
      <c r="Y277" s="3">
        <f>2851.2+(1164.5-1341.7)+(-7.27056+(-2.969475--3.421335))+0-543.6--1.38617999999992</f>
        <v>2124.9674800000003</v>
      </c>
      <c r="Z277" s="3">
        <f>2884.2+(1369.6-1440.4)+(-4.412826+(-2.095488--2.203812))+0-773.5--1.18345500000004</f>
        <v>2036.7789529999998</v>
      </c>
      <c r="AA277" s="3">
        <f>2855.3+(1327.1-1396)+(-1.456203+(-0.676821--0.71196))+0-784.4--0.40004399999992</f>
        <v>2000.9789799999999</v>
      </c>
      <c r="AB277" s="3">
        <f>2792.1+(900.5-1104.6)+(-4.271913+(-1.377765--1.690038))+0-689.7--1.05524100000004</f>
        <v>1895.3956009999999</v>
      </c>
      <c r="AC277" s="3">
        <f>2654+(531.2-578.9)+(-2.70708+(-0.541824--0.590478))+0-785.3--0.801006000000125</f>
        <v>1819.1425800000004</v>
      </c>
      <c r="AD277">
        <v>2175.8000000000002</v>
      </c>
      <c r="AE277" s="3">
        <f>2863+(1556.5-1497.1)+(0+(0-0))+0-746.6-0</f>
        <v>2175.8000000000002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2440.7+(247.6-415.5)+(0+(0-0))+0-596.2-0</f>
        <v>1676.5999999999997</v>
      </c>
      <c r="G278" s="3">
        <f>2386.5+(347.1-335.8)+(-6.085575+(-0.885105--0.85629))+0-805.6--2.05427999999988</f>
        <v>1588.1398899999999</v>
      </c>
      <c r="H278" s="3">
        <f>2287.8+(266.7-223.9)+(-4.667112+(-0.544068--0.456756))+0-771.1--1.57304399999997</f>
        <v>1556.3186200000002</v>
      </c>
      <c r="I278" s="3">
        <f>2251.6+(282.4-171)+(1.148316+(0.144024-0.08721))+0-817.6-0.416975999999917</f>
        <v>1546.1881539999999</v>
      </c>
      <c r="J278" s="3">
        <f>2204+(298.4-176.6)+(1.12404+(0.152184-0.090066))+0-776.5-0.396014999999921</f>
        <v>1550.0901430000001</v>
      </c>
      <c r="K278" s="3">
        <f>2202.5+(360-209.4)+(0+(0-0))+0-803.8-0</f>
        <v>1549.3</v>
      </c>
      <c r="L278" s="3">
        <f>2212.3+(287.7-215)+(-1.128273+(-0.146727--0.10965))+0-694--0.35393999999993</f>
        <v>1590.1885899999997</v>
      </c>
      <c r="M278" s="3">
        <f>2210.8+(260.8-319.9)+(2.255016+(0.266016-0.326298))+0-685.4-0.699108000000109</f>
        <v>1467.7956260000003</v>
      </c>
      <c r="N278" s="3">
        <f>2218.1+(284-320.6)+(2.262462+(0.28968-0.327012))+0-776.1-0.791622000000124</f>
        <v>1406.8335079999997</v>
      </c>
      <c r="O278" s="3">
        <f>2489.1+(362-604.3)+(0+(0-0))+0-690.4-0</f>
        <v>1556.4</v>
      </c>
      <c r="P278" s="3">
        <f>2970.2+(638.1-1055)+(-3.029604+(-0.650862--1.0761))+0-736.7--0.751434000000118</f>
        <v>1814.7470679999997</v>
      </c>
      <c r="Q278" s="3">
        <f>3019.5+(766.8-1144.2)+(3.07989+(0.782136-1.167084))+0-717.1-0.731442000000114</f>
        <v>1926.9635000000001</v>
      </c>
      <c r="R278" s="3">
        <f>3024+(595-1221.4)+(-4.62672+(-0.91035--1.868742))+0-680--1.04040000000004</f>
        <v>1714.9720719999998</v>
      </c>
      <c r="S278" s="3">
        <f>2897.3+(482.2-951)+(-7.388115+(-1.22961--2.42505))+0-765.8--1.95278999999989</f>
        <v>1658.4601150000001</v>
      </c>
      <c r="T278" s="3">
        <f>2723.9+(285.1-645.8)+(-4.167567+(-0.436203--0.988074))+0-738.1--1.12929300000004</f>
        <v>1622.6135970000005</v>
      </c>
      <c r="U278" s="3">
        <f>2622.7+(121.4-463)+(-5.350308+(-0.247656--0.94452))+0-673.6--1.37414399999997</f>
        <v>1604.2206999999999</v>
      </c>
      <c r="V278" s="3">
        <f>2657.5+(208.4-441.8)+(-1.355325+(-0.106284--0.225318))+0-724.4--0.369443999999927</f>
        <v>1698.8331529999996</v>
      </c>
      <c r="W278" s="3">
        <f>2889.5+(852.7-908.1)+(1.473645+(0.434877-0.463131))+0-706.2-0.360161999999928</f>
        <v>2128.9852289999999</v>
      </c>
      <c r="X278" s="3">
        <f>2838.6+(869.7-1063.3)+(-5.790744+(-1.774188--2.169132))+0-675.5--1.37801999999997</f>
        <v>1965.4822200000001</v>
      </c>
      <c r="Y278" s="3">
        <f>2813.6+(810-1009.9)+(4.304808+(1.2393-1.545147))+0-689.9-1.05554700000004</f>
        <v>1926.7434139999996</v>
      </c>
      <c r="Z278" s="3">
        <f>2894.6+(697.3-1079.8)+(-1.476246+(-0.355623--0.550698))+0-607--0.309569999999938</f>
        <v>1904.1283989999997</v>
      </c>
      <c r="AA278" s="3">
        <f>2909.8+(707.4-994)+(-4.451994+(-1.082322--1.52082))+0-740--1.13220000000004</f>
        <v>1880.3187040000003</v>
      </c>
      <c r="AB278" s="3">
        <f>2748.8+(468.4-719.9)+(-2.803776+(-0.477768--0.734298))+0-685.1--0.698802000000109</f>
        <v>1810.3515560000003</v>
      </c>
      <c r="AC278" s="3">
        <f>2741.9+(389.3-662.9)+(-4.195107+(-0.595629--1.014237))+0-707.8--1.08293400000004</f>
        <v>1757.8064350000002</v>
      </c>
      <c r="AD278">
        <v>1961.3999999999996</v>
      </c>
      <c r="AE278" s="3">
        <f>3032+(1066.9-1354.6)+(0+(0-0))+0-782.9-0</f>
        <v>1961.4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2513+(241.4-377.5)+(-6.40815+(-0.61557--0.962625))+0-783.1--1.99690499999989</f>
        <v>1589.7358100000001</v>
      </c>
      <c r="G279" s="3">
        <f>2253+(239.7-187.7)+(-3.44709+(-0.366741--0.287181))+0-734.3--1.12347900000004</f>
        <v>1568.2968290000003</v>
      </c>
      <c r="H279" s="3">
        <f>2064+(371.3-160.6)+(-5.2632+(-0.946815--0.40953))+0-747.7--1.90663499999989</f>
        <v>1523.1061499999994</v>
      </c>
      <c r="I279" s="3">
        <f>2055.7+(339.5-141.7)+(-2.096814+(-0.34629--0.144534))+0-747.1--0.762042000000119</f>
        <v>1504.8634720000002</v>
      </c>
      <c r="J279" s="3">
        <f>2088.8+(384-149.4)+(0+(0-0))+0-823-0</f>
        <v>1500.4</v>
      </c>
      <c r="K279" s="3">
        <f>2239.1+(221.4-232.1)+(-2.283882+(-0.225828--0.236742))+0-699.3--0.713286000000111</f>
        <v>1527.5403180000001</v>
      </c>
      <c r="L279" s="3">
        <f>2398.6+(394.5-344.9)+(1.223286+(0.201195-0.175899))+0-823.7-0.420086999999916</f>
        <v>1625.328495</v>
      </c>
      <c r="M279" s="3">
        <f>2450.4+(402.1-421.4)+(2.499408+(0.410142-0.429828))+0-581.7-0.593334000000093</f>
        <v>1851.2863880000002</v>
      </c>
      <c r="N279" s="3">
        <f>2758.5+(621.8-689.1)+(1.406835+(0.317118-0.351441))+0-671.7-0.342566999999932</f>
        <v>2020.5299449999998</v>
      </c>
      <c r="O279" s="3">
        <f>2917.2+(722.6-800.9)+(5.951088+(1.474104-1.633836))+0-674.7-1.37638799999997</f>
        <v>2168.6149679999994</v>
      </c>
      <c r="P279" s="3">
        <f>2973.9+(898.4-999.7)+(1.516689+(0.458184-0.509847))+0-734.3-0.374492999999925</f>
        <v>2139.3905330000002</v>
      </c>
      <c r="Q279" s="3">
        <f>2892.3+(1012.3-964.6)+(1.475073+(0.516273-0.491946))+0-650.6-0.331805999999934</f>
        <v>2290.5675940000001</v>
      </c>
      <c r="R279" s="3">
        <f>2929.2+(834-956.3)+(-7.46946+(-2.1267--2.438565))+0-748.6--1.90892999999989</f>
        <v>2053.0513349999997</v>
      </c>
      <c r="S279" s="3">
        <f>2612.2+(672.3-611.8)+(1.332222+(0.342873-0.312018))+0-753.1-0.384080999999924</f>
        <v>1920.578996</v>
      </c>
      <c r="T279" s="3">
        <f>2670.4+(518.8-625.4)+(2.723808+(0.529176-0.637908))+0-563.3-0.57456600000009</f>
        <v>2002.5405100000003</v>
      </c>
      <c r="U279" s="3">
        <f>2675.5+(652.2-541.6)+(0+(0-0))+0-751.6-0</f>
        <v>2034.5</v>
      </c>
      <c r="V279" s="3">
        <f>2869.2+(664-783.2)+(-2.926584+(-0.67728--0.798864))+0-691.4--0.70522800000011</f>
        <v>2056.5002280000003</v>
      </c>
      <c r="W279" s="3">
        <f>3299.4+(1371.5-1491.9)+(0+(0-0))+0-704.8-0</f>
        <v>2474.1999999999998</v>
      </c>
      <c r="X279" s="3">
        <f>3364.7+(1449.6-1674.2)+(-3.431994+(-1.478592--1.707684))+0-751.1--0.76612200000012</f>
        <v>2386.5632199999995</v>
      </c>
      <c r="Y279" s="3">
        <f>3033.2+(1051.7-1352.5)+(-6.187728+(-2.145468--2.7591))+0-562.6--1.14770399999998</f>
        <v>2165.3736079999999</v>
      </c>
      <c r="Z279" s="3">
        <f>2869.7+(991.4-1066.2)+(-1.463547+(-0.505614--0.543762))+0-687--0.35036999999993</f>
        <v>2106.8249709999996</v>
      </c>
      <c r="AA279" s="3">
        <f>2709.2+(693.9-696.9)+(-2.763384+(-0.707778--0.710838))+0-671--0.684420000000107</f>
        <v>2033.124096</v>
      </c>
      <c r="AB279" s="3">
        <f>2615.4+(488.7-384.8)+(-1.333854+(-0.249237--0.196248))+0-776.8--0.396167999999921</f>
        <v>1941.509325</v>
      </c>
      <c r="AC279" s="3">
        <f>2546+(426.2-350.3)+(-1.29846+(-0.217362--0.178653))+0-692.5--0.35317499999993</f>
        <v>1928.4160060000002</v>
      </c>
      <c r="AD279">
        <v>2521.6000000000004</v>
      </c>
      <c r="AE279" s="3">
        <f>3360+(1602.3-1700.6)+(0+(0-0))+0-740.1-0</f>
        <v>2521.6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2478.9+(439.1-431.6)+(-2.528478+(-0.447882--0.440232))+0-758.5--0.773670000000121</f>
        <v>1726.1375419999999</v>
      </c>
      <c r="G280" s="3">
        <f>2439.4+(293.7-263.3)+(-1.244094+(-0.149787--0.134283))+0-850--0.433499999999914</f>
        <v>1618.973902</v>
      </c>
      <c r="H280" s="3">
        <f>2324.2+(168-188.8)+(-3.556026+(-0.25704--0.288864))+0-681.4--1.04254200000004</f>
        <v>1619.5183399999996</v>
      </c>
      <c r="I280" s="3">
        <f>2288.6+(319.8-204.5)+(-3.501558+(-0.489294--0.312885))+0-795--1.21635000000005</f>
        <v>1606.4383830000002</v>
      </c>
      <c r="J280" s="3">
        <f>2155+(458.7-235.3)+(0+(0-0))+0-740.1-0</f>
        <v>1638.3000000000002</v>
      </c>
      <c r="K280" s="3">
        <f>2148.8+(435.4-244.3)+(0+(0-0))+0-664.2-0</f>
        <v>1675.7</v>
      </c>
      <c r="L280" s="3">
        <f>2155.9+(554-342.1)+(0+(0-0))+0-663.2-0</f>
        <v>1704.6000000000001</v>
      </c>
      <c r="M280" s="3">
        <f>2287+(556.1-336.7)+(2.33274+(0.567222-0.343434))+0-653-0.666060000000104</f>
        <v>1855.2904680000001</v>
      </c>
      <c r="N280" s="3">
        <f>2725+(462.3-523.8)+(2.7795+(0.471546-0.534276))+0-565.8-0.57711600000009</f>
        <v>2099.8396539999999</v>
      </c>
      <c r="O280" s="3">
        <f>2872.2+(923.6-952.2)+(-1.464822+(-0.471036--0.485622))+0-652.8--0.332927999999934</f>
        <v>2189.6826919999994</v>
      </c>
      <c r="P280" s="3">
        <f>2788.8+(949.3-1032.2)+(0+(0-0))+0-532.1-0</f>
        <v>2173.8000000000002</v>
      </c>
      <c r="Q280" s="3">
        <f>2911.3+(1074.1-1312.8)+(-4.454289+(-1.643373--2.008584))+0-404.5--0.618885000000023</f>
        <v>2264.6298070000003</v>
      </c>
      <c r="R280" s="3">
        <f>2849.3+(819.1-1088.7)+(-2.906286+(-0.835482--1.110474))+0-544.8--0.555696000000087</f>
        <v>2032.8244020000006</v>
      </c>
      <c r="S280" s="3">
        <f>2662.8+(633.7-778.7)+(-4.074084+(-0.969561--1.191411))+0-542--0.829260000000031</f>
        <v>1972.7770260000002</v>
      </c>
      <c r="T280" s="3">
        <f>2575.7+(629.5-657.5)+(0+(0-0))+0-527.7-0</f>
        <v>2019.9999999999998</v>
      </c>
      <c r="U280" s="3">
        <f>2655+(727.4-818.9)+(4.06215+(1.112922-1.252917))+0-498.7-0.763011000000029</f>
        <v>2067.9591440000004</v>
      </c>
      <c r="V280" s="3">
        <f>2934.2+(809.7-1134.6)+(2.992884+(0.825894-1.157292))+0-588.4-0.600168000000094</f>
        <v>2022.9613179999999</v>
      </c>
      <c r="W280" s="3">
        <f>3278.9+(1417.2-1664.3)+(5.016717+(2.168316-2.546379))+0-630.1-0.964053000000036</f>
        <v>2405.374601</v>
      </c>
      <c r="X280" s="3">
        <f>3216.5+(1301.9-1693)+(-3.28083+(-1.327938--1.72686))+0-600.6--0.612612000000096</f>
        <v>2222.5307040000002</v>
      </c>
      <c r="Y280" s="3">
        <f>3037.3+(1051.7-1349.3)+(-7.745115+(-2.681835--3.440715))+0-592.6--1.51112999999991</f>
        <v>2141.6248950000004</v>
      </c>
      <c r="Z280" s="3">
        <f>2745.2+(786.3-795.9)+(1.400052+(0.401013-0.405909))+0-602.7-0.307376999999939</f>
        <v>2133.987779</v>
      </c>
      <c r="AA280" s="3">
        <f>2725.6+(525.1-664)+(-4.170168+(-0.803403--1.01592))+0-622--0.951660000000036</f>
        <v>1961.6940089999996</v>
      </c>
      <c r="AB280" s="3">
        <f>2584.4+(381-328.4)+(-5.272176+(-0.77724--0.669936))+0-702.5--1.43309999999997</f>
        <v>1930.5536199999999</v>
      </c>
      <c r="AC280" s="3">
        <f>2502.4+(217.4-297.8)+(-5.104896+(-0.443496--0.607512))+0-599.1--1.22216399999997</f>
        <v>1819.181284</v>
      </c>
      <c r="AD280">
        <v>2391.6</v>
      </c>
      <c r="AE280" s="3">
        <f>3323+(1586.7-1858.1)+(0+(0-0))+0-660-0</f>
        <v>2391.6000000000004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2275.2+(325.9-211.1)+(-4.641408+(-0.664836--0.430644))+0-699.6--1.42718399999997</f>
        <v>1686.9515840000001</v>
      </c>
      <c r="G281" s="3">
        <f>2109.9+(328.9-168.5)+(-2.152098+(-0.335478--0.17187))+0-620.8--0.633216000000099</f>
        <v>1647.8175100000005</v>
      </c>
      <c r="H281" s="3">
        <f>1997.5+(393.6-101.3)+(-1.018725+(-0.200736--0.051663))+0-689.5--0.35164499999993</f>
        <v>1599.4838470000002</v>
      </c>
      <c r="I281" s="3">
        <f>1898.3+(605.6-71.8)+(2.904399+(0.926568-0.109854))+0-848.8-1.29866400000005</f>
        <v>1585.7224489999999</v>
      </c>
      <c r="J281" s="3">
        <f>1897+(446.8-79.5)+(0+(0-0))+0-673.9-0</f>
        <v>1590.4</v>
      </c>
      <c r="K281" s="3">
        <f>1981.8+(458.9-64.1)+(6.064308+(1.404234-0.196146))+0-781.8-2.39230800000009</f>
        <v>1599.6800879999996</v>
      </c>
      <c r="L281" s="3">
        <f>2215+(239.8-132.2)+(0+(0-0))+0-617.5-0</f>
        <v>1705.1</v>
      </c>
      <c r="M281" s="3">
        <f>2348.8+(274.2-128.1)+(2.395776+(0.279684-0.130662))+0-678.2-0.691764000000108</f>
        <v>1818.5530339999998</v>
      </c>
      <c r="N281" s="3">
        <f>2469+(437.4-138.2)+(0+(0-0))+0-745.7-0</f>
        <v>2022.4999999999998</v>
      </c>
      <c r="O281" s="3">
        <f>2617.9+(655.9-506.9)+(2.670258+(0.669018-0.517038))+0-661.5-0.674730000000106</f>
        <v>2107.5475080000001</v>
      </c>
      <c r="P281" s="3">
        <f>2903.4+(1001.5-1225.3)+(4.442202+(1.532295-1.874709))+0-617.6-0.944928000000036</f>
        <v>2065.1548600000006</v>
      </c>
      <c r="Q281" s="3">
        <f>3060.4+(1511-1615.7)+(-1.560804+(-0.77061--0.824007))+0-772.2--0.393821999999922</f>
        <v>2182.3864149999999</v>
      </c>
      <c r="R281" s="3">
        <f>2905.2+(1076.4-1316.1)+(-7.40826+(-2.74482--3.356055))+0-675.4--1.7222699999999</f>
        <v>1985.025245</v>
      </c>
      <c r="S281" s="3">
        <f>2828.1+(715-846.8)+(-4.326993+(-1.09395--1.295604))+0-712.6--1.09027800000004</f>
        <v>1980.6649390000002</v>
      </c>
      <c r="T281" s="3">
        <f>2764.3+(730.7-806.7)+(1.409793+(0.372657-0.411417))+0-669.5-0.341444999999932</f>
        <v>2019.8295880000001</v>
      </c>
      <c r="U281" s="3">
        <f>2766.9+(653.6-734.2)+(-1.411119+(-0.333336--0.374442))+0-664--0.338639999999933</f>
        <v>2021.2686269999999</v>
      </c>
      <c r="V281" s="3">
        <f>2957.8+(731.5-1012.9)+(-3.016956+(-0.74613--1.033158))+0-618.9--0.631278000000099</f>
        <v>2055.4013500000001</v>
      </c>
      <c r="W281" s="3">
        <f>3289.8+(1253.4-1484.8)+(3.355596+(1.278468-1.514496))+0-671.7-0.685134000000107</f>
        <v>2389.1344340000005</v>
      </c>
      <c r="X281" s="3">
        <f>3360.4+(1285.4-1701.7)+(-8.56902+(-3.27777--4.339335))+0-649.4--1.65596999999991</f>
        <v>2288.8485150000001</v>
      </c>
      <c r="Y281" s="3">
        <f>3169.9+(992.5-1407.2)+(-1.616649+(-0.506175--0.717672))+0-548.6--0.279785999999944</f>
        <v>2205.4746340000002</v>
      </c>
      <c r="Z281" s="3">
        <f>2943.9+(958.3-1129)+(-1.501389+(-0.488733--0.57579))+0-624.8--0.318647999999937</f>
        <v>2147.3043160000002</v>
      </c>
      <c r="AA281" s="3">
        <f>2694.1+(895.7-862.3)+(-2.747982+(-0.913614--0.879546))+0-683.7--0.697374000000109</f>
        <v>2041.7153240000002</v>
      </c>
      <c r="AB281" s="3">
        <f>2596.9+(1054.7-848.6)+(-6.622095+(-2.689485--2.16393))+0-796.9--2.03209499999988</f>
        <v>2000.9844449999998</v>
      </c>
      <c r="AC281" s="3">
        <f>2477.5+(872.1-731.5)+(-2.52705+(-0.889542--0.74613))+0-728.9--0.743478000000116</f>
        <v>1887.2730159999999</v>
      </c>
      <c r="AD281">
        <v>2367.8999999999996</v>
      </c>
      <c r="AE281" s="3">
        <f>3350+(1562.7-1788.6)+(0+(0-0))+0-756.2-0</f>
        <v>2367.9000000000005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2310.1+(589.3-427)+(-4.712604+(-1.202172--0.87108))+0-776.5--1.58405999999997</f>
        <v>1692.4403639999994</v>
      </c>
      <c r="G282" s="3">
        <f>2142.1+(508.9-235.1)+(-2.184942+(-0.519078--0.239802))+0-760.5--0.775710000000121</f>
        <v>1653.7114919999997</v>
      </c>
      <c r="H282" s="3">
        <f>2070.5+(536.8-163.2)+(-4.22382+(-1.095072--0.332928))+0-816.7--1.66606799999996</f>
        <v>1624.0801039999999</v>
      </c>
      <c r="I282" s="3">
        <f>2071.5+(495.7-182.8)+(-4.22586+(-1.011228--0.372912))+0-737.2--1.50388799999997</f>
        <v>1643.839712</v>
      </c>
      <c r="J282" s="3">
        <f>2073.5+(521.1-134.9)+(-2.11497+(-0.531522--0.137598))+0-816.5--0.83283000000013</f>
        <v>1641.5239359999998</v>
      </c>
      <c r="K282" s="3">
        <f>2073.6+(461.2-143.6)+(0+(0-0))+0-707.3-0</f>
        <v>1683.8999999999999</v>
      </c>
      <c r="L282" s="3">
        <f>2224.3+(434.4-107.3)+(-1.134393+(-0.221544--0.054723))+0-800.6--0.408305999999919</f>
        <v>1749.9070919999999</v>
      </c>
      <c r="M282" s="3">
        <f>2275.4+(378.8-146.4)+(1.160454+(0.193188-0.074664))+0-633-0.322829999999936</f>
        <v>1875.7561480000002</v>
      </c>
      <c r="N282" s="3">
        <f>2350.3+(366.5-77.5)+(2.397306+(0.37383-0.07905))+0-671.8-0.685236000000107</f>
        <v>1969.5068500000002</v>
      </c>
      <c r="O282" s="3">
        <f>2557.9+(624.3-275.1)+(2.609058+(0.636786-0.280602))+0-657-0.670140000000105</f>
        <v>2252.395102</v>
      </c>
      <c r="P282" s="3">
        <f>2853.6+(882.1-889.3)+(1.455336+(0.449871-0.453543))+0-656.2-0.334661999999933</f>
        <v>2191.3170020000002</v>
      </c>
      <c r="Q282" s="3">
        <f>2965.8+(989-1076.7)+(0+(0-0))+0-673.3-0</f>
        <v>2204.8000000000002</v>
      </c>
      <c r="R282" s="3">
        <f>3006.9+(794.4-1189.6)+(-7.667595+(-2.02572--3.03348))+0-559.2--1.42595999999992</f>
        <v>2047.2661250000003</v>
      </c>
      <c r="S282" s="3">
        <f>2774.2+(683.9-778.3)+(-9.903894+(-2.441523--2.778531))+0-665.8--2.37690600000001</f>
        <v>2006.8100199999997</v>
      </c>
      <c r="T282" s="3">
        <f>2705.4+(481.1-585.9)+(0+(0-0))+0-583.7-0</f>
        <v>2016.9000000000003</v>
      </c>
      <c r="U282" s="3">
        <f>2542.2+(541.1-534)+(3.889566+(0.827883-0.81702))+0-659.3-1.00872900000004</f>
        <v>1892.8916999999994</v>
      </c>
      <c r="V282" s="3">
        <f>2615.8+(754.3-720)+(-2.668116+(-0.769386--0.7344))+0-683.8--0.697476000000109</f>
        <v>1964.2943740000005</v>
      </c>
      <c r="W282" s="3">
        <f>3073.1+(1245.4-1507)+(4.701843+(1.905462-2.30571))+0-585.5-0.895815000000034</f>
        <v>2229.40578</v>
      </c>
      <c r="X282" s="3">
        <f>3317.2+(1383.2-1698.9)+(-8.45886+(-3.52716--4.332195))+0-734.8--1.87373999999989</f>
        <v>2260.9199150000004</v>
      </c>
      <c r="Y282" s="3">
        <f>3213.8+(1050-1399.8)+(-8.19519+(-2.6775--3.56949))+0-687--1.7518499999999</f>
        <v>2171.4486500000003</v>
      </c>
      <c r="Z282" s="3">
        <f>3080.1+(811.6-1077.5)+(-6.283404+(-1.655664--2.1981))+0-734.4--1.49817599999997</f>
        <v>2075.5572079999997</v>
      </c>
      <c r="AA282" s="3">
        <f>3104.2+(828.2-1085.6)+(-6.332568+(-1.689528--2.214624))+0-829.4--1.69197599999996</f>
        <v>2013.2845040000002</v>
      </c>
      <c r="AB282" s="3">
        <f>2902.2+(825.8-1131.4)+(-2.960244+(-0.842316--1.154028))+0-675.3--0.688806000000108</f>
        <v>1919.3402739999995</v>
      </c>
      <c r="AC282" s="3">
        <f>2857.7+(707.8-1057)+(-11.659416+(-2.887824--4.31256))+0-695.8--2.83886399999994</f>
        <v>1805.3041839999999</v>
      </c>
      <c r="AD282">
        <v>2303</v>
      </c>
      <c r="AE282" s="3">
        <f>3325+(1479.9-1810.6)+(0+(0-0))+0-691.3-0</f>
        <v>2303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2451.9+(354-466.5)+(-2.500938+(-0.36108--0.47583))+0-584.3--0.595986000000093</f>
        <v>1753.3097980000002</v>
      </c>
      <c r="G283" s="3">
        <f>2353.7+(308.1-283.4)+(1.200387+(0.157131-0.144534))+0-715.5-0.364904999999927</f>
        <v>1663.7480789999995</v>
      </c>
      <c r="H283" s="3">
        <f>2351.5+(207.5-294.1)+(1.199265+(0.105825-0.149991))+0-614.2-0.313241999999938</f>
        <v>1651.5418570000002</v>
      </c>
      <c r="I283" s="3">
        <f>2349.1+(285-153.6)+(-1.198041+(-0.14535--0.078336))+0-837--0.426869999999915</f>
        <v>1642.6618150000002</v>
      </c>
      <c r="J283" s="3">
        <f>2345.8+(206.7-238.1)+(-5.98179+(-0.527085--0.607155))+0-681.1--1.7368049999999</f>
        <v>1629.1350850000003</v>
      </c>
      <c r="K283" s="3">
        <f>2324.2+(222.7-187.9)+(-1.185342+(-0.113577--0.095829))+0-700.4--0.357203999999929</f>
        <v>1657.7541139999998</v>
      </c>
      <c r="L283" s="3">
        <f>2084.2+(364.3-124.7)+(-1.062942+(-0.185793--0.063597))+0-613.9--0.313088999999938</f>
        <v>1709.0279509999998</v>
      </c>
      <c r="M283" s="3">
        <f>2207.9+(388.6-164.6)+(1.126029+(0.198186-0.083946))+0-601-0.306509999999939</f>
        <v>1831.8337590000001</v>
      </c>
      <c r="N283" s="3">
        <f>2621.8+(221.1-275)+(-1.337118+(-0.112761--0.14025))+0-536.3--0.273512999999946</f>
        <v>2030.5638840000001</v>
      </c>
      <c r="O283" s="3">
        <f>3039.6+(341.5-682.4)+(1.550196+(0.174165-0.348024))+0-547.8-0.279377999999944</f>
        <v>2151.9969590000005</v>
      </c>
      <c r="P283" s="3">
        <f>3274.6+(394.6-1015)+(-1.670046+(-0.201246--0.51765))+0-440.6--0.224705999999955</f>
        <v>2212.4710639999998</v>
      </c>
      <c r="Q283" s="3">
        <f>3164.8+(554.5-1021.2)+(-3.228096+(-0.56559--1.041624))+0-470.2--0.479604000000075</f>
        <v>2225.6275420000006</v>
      </c>
      <c r="R283" s="3">
        <f>2956.3+(624.2-974.2)+(-4.523139+(-0.955026--1.490526))+0-550.1--0.841653000000032</f>
        <v>2053.0540140000003</v>
      </c>
      <c r="S283" s="3">
        <f>2915.7+(675-1003.2)+(-1.487007+(-0.34425--0.511632))+0-582.7--0.297176999999941</f>
        <v>2003.7775519999998</v>
      </c>
      <c r="T283" s="3">
        <f>2845.7+(775.7-955.9)+(-2.902614+(-0.791214--0.975018))+0-612.5--0.624750000000098</f>
        <v>2050.9059400000001</v>
      </c>
      <c r="U283" s="3">
        <f>2889.5+(590.5-933.9)+(-1.473645+(-0.301155--0.476289))+0-504.2--0.257141999999949</f>
        <v>2040.8586309999998</v>
      </c>
      <c r="V283" s="3">
        <f>2955+(618.7-952.9)+(0+(0-0))+0-580.1-0</f>
        <v>2040.7000000000003</v>
      </c>
      <c r="W283" s="3">
        <f>3542.1+(1132.1-1775.8)+(3.612942+(1.154742-1.811316))+0-604.7-0.616794000000096</f>
        <v>2296.0395739999999</v>
      </c>
      <c r="X283" s="3">
        <f>3664.3+(1337.8-1938)+(-9.343965+(-3.41139--4.9419))+0-726.1--1.85155499999989</f>
        <v>2332.0381000000002</v>
      </c>
      <c r="Y283" s="3">
        <f>3477.1+(1105.5-1576.1)+(-8.866605+(-2.819025--4.019055))+0-760.3--1.93876499999989</f>
        <v>2240.4721899999995</v>
      </c>
      <c r="Z283" s="3">
        <f>3174.8+(847.8-1230.9)+(-6.476592+(-1.729512--2.511036))+0-630.6--1.28642399999997</f>
        <v>2156.6913559999998</v>
      </c>
      <c r="AA283" s="3">
        <f>2903.1+(768.3-777.6)+(-4.441743+(-1.175499--1.189728))+0-794.8--1.21604400000005</f>
        <v>2095.7885300000003</v>
      </c>
      <c r="AB283" s="3">
        <f>2676.1+(651-597.8)+(-4.094433+(-0.99603--0.914634))+0-737.8--1.12883400000004</f>
        <v>1988.4530050000005</v>
      </c>
      <c r="AC283" s="3">
        <f>2469.3+(463.3-346.4)+(-6.296715+(-1.181415--0.88332))+0-719.5--1.8347249999999</f>
        <v>1861.9399150000002</v>
      </c>
      <c r="AD283">
        <v>2350.5000000000005</v>
      </c>
      <c r="AE283" s="3">
        <f>3757+(1461.1-2149.2)+(0+(0-0))+0-718.4-0</f>
        <v>2350.5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2405.6+(295-216.2)+(-3.680568+(-0.45135--0.330786))+0-750--1.14750000000004</f>
        <v>1731.7463680000001</v>
      </c>
      <c r="G284" s="3">
        <f>2178+(303.4-245)+(-6.66468+(-0.928404--0.7497))+0-598.2--1.83049200000007</f>
        <v>1633.1871080000003</v>
      </c>
      <c r="H284" s="3">
        <f>2105.5+(368.9-199.3)+(-2.14761+(-0.376278--0.203286))+0-706--0.720120000000113</f>
        <v>1567.4995180000003</v>
      </c>
      <c r="I284" s="3">
        <f>1950.9+(387.5-104.9)+(-2.984877+(-0.592875--0.160497))+0-694.3--1.06227900000004</f>
        <v>1536.8450240000002</v>
      </c>
      <c r="J284" s="3">
        <f>1946.5+(415.5-76.2)+(1.98543+(0.42381-0.077724))+0-768.5-0.783870000000123</f>
        <v>1518.8476460000002</v>
      </c>
      <c r="K284" s="3">
        <f>2050.4+(327.9-80.2)+(-1.045704+(-0.167229--0.040902))+0-758.2--0.386681999999923</f>
        <v>1539.1146509999996</v>
      </c>
      <c r="L284" s="3">
        <f>2397.3+(272.1-181.2)+(1.222623+(0.138771-0.092412))+0-783.8-0.39973799999992</f>
        <v>1705.2692440000005</v>
      </c>
      <c r="M284" s="3">
        <f>2465.1+(205-184.5)+(-2.514402+(-0.2091--0.18819))+0-688.9--0.70267800000011</f>
        <v>1794.8673659999999</v>
      </c>
      <c r="N284" s="3">
        <f>2551.1+(266.2-156.1)+(0+(0-0))+0-679.1-0</f>
        <v>1982.1</v>
      </c>
      <c r="O284" s="3">
        <f>2686+(548.8-361.9)+(1.36986+(0.279888-0.184569))+0-679.9-0.346748999999931</f>
        <v>2194.11843</v>
      </c>
      <c r="P284" s="3">
        <f>2967.7+(911.8-910.1)+(-1.513527+(-0.465018--0.464151))+0-775.5--0.395504999999921</f>
        <v>2192.7811109999998</v>
      </c>
      <c r="Q284" s="3">
        <f>2979.4+(899.9-1052.8)+(-7.59747+(-2.294745--2.68464))+0-628.9--1.60369499999991</f>
        <v>2191.9961199999998</v>
      </c>
      <c r="R284" s="3">
        <f>2837.9+(787.3-899.8)+(-2.894658+(-0.803046--0.917796))+0-756.7--0.771834000000121</f>
        <v>1966.6919260000002</v>
      </c>
      <c r="S284" s="3">
        <f>2578.5+(672.4-620.3)+(-1.315035+(-0.342924--0.316353))+0-749.3--0.382142999999924</f>
        <v>1880.3405369999998</v>
      </c>
      <c r="T284" s="3">
        <f>2357.7+(629.7-372.4)+(-2.404854+(-0.642294--0.379848))+0-669.7--0.683094000000107</f>
        <v>1943.3157940000001</v>
      </c>
      <c r="U284" s="3">
        <f>2350.8+(644.7-366.9)+(-4.795632+(-1.315188--0.748476))+0-748.1--1.52612399999997</f>
        <v>1876.6637800000003</v>
      </c>
      <c r="V284" s="3">
        <f>2581.1+(522.4-593.3)+(1.316361+(0.266424-0.302583))+0-668.9-0.341138999999932</f>
        <v>1842.2390629999998</v>
      </c>
      <c r="W284" s="3">
        <f>3266.8+(1055.1-1373.4)+(3.332136+(1.076202-1.400868))+0-718.3-0.732666000000115</f>
        <v>2232.4748039999999</v>
      </c>
      <c r="X284" s="3">
        <f>3114.5+(1154.7-1302.1)+(-6.35358+(-2.355588--2.656284))+0-635.9--1.29723599999997</f>
        <v>2326.444352</v>
      </c>
      <c r="Y284" s="3">
        <f>2893.2+(1115.1-1137.2)+(-5.902128+(-2.274804--2.319888))+0-708.8--1.44595199999997</f>
        <v>2157.8889079999999</v>
      </c>
      <c r="Z284" s="3">
        <f>2801.9+(1007.5-1025.5)+(0+(0-0))+0-763-0</f>
        <v>2020.9</v>
      </c>
      <c r="AA284" s="3">
        <f>2750.6+(793.1-858.2)+(-5.611224+(-1.617924--1.750728))+0-725.2--1.47940799999997</f>
        <v>1956.300988</v>
      </c>
      <c r="AB284" s="3">
        <f>2682.2+(768.8-774.2)+(-2.735844+(-0.784176--0.789684))+0-734.6--0.749292000000117</f>
        <v>1940.2189559999999</v>
      </c>
      <c r="AC284" s="3">
        <f>2763.1+(629-839.5)+(-2.818362+(-0.64158--0.85629))+0-791.9--0.807738000000126</f>
        <v>1758.9040860000002</v>
      </c>
      <c r="AD284">
        <v>2151.5</v>
      </c>
      <c r="AE284" s="3">
        <f>3376+(1150.8-1701.8)+(0+(0-0))+0-673.5-0</f>
        <v>2151.5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2319+(413.7-320.9)+(-3.54807+(-0.632961--0.490977))+0-836.8--1.28030400000005</f>
        <v>1572.5902500000002</v>
      </c>
      <c r="G285" s="3">
        <f>2205.7+(420.4-219.1)+(1.124907+(0.214404-0.111741))+0-742.6-0.378725999999925</f>
        <v>1665.2488440000002</v>
      </c>
      <c r="H285" s="3">
        <f>2181+(397.3-233.8)+(-3.33693+(-0.607869--0.357714))+0-764.3--1.16937900000004</f>
        <v>1577.7822939999999</v>
      </c>
      <c r="I285" s="3">
        <f>2133.8+(359.1-277.9)+(-4.352952+(-0.732564--0.566916))+0-731.1--1.49144399999997</f>
        <v>1480.8728440000002</v>
      </c>
      <c r="J285" s="3">
        <f>2057.1+(404.4-203)+(-4.196484+(-0.824976--0.41412))+0-806.5--1.64525999999996</f>
        <v>1449.03792</v>
      </c>
      <c r="K285" s="3">
        <f>2068.6+(399.6-180.7)+(1.054986+(0.203796-0.092157))+0-825.6-0.421055999999916</f>
        <v>1462.645569</v>
      </c>
      <c r="L285" s="3">
        <f>2033.8+(457.6-291.2)+(-3.111714+(-0.700128--0.445536))+0-702.1--1.07421300000004</f>
        <v>1495.8079070000001</v>
      </c>
      <c r="M285" s="3">
        <f>1989.5+(628.4-309.5)+(-7.102515+(-2.243388--1.104915))+0-804.6--2.87242200000001</f>
        <v>1498.4314340000001</v>
      </c>
      <c r="N285" s="3">
        <f>2085.5+(527.3-312.1)+(1.063605+(0.268923-0.159171))+0-703-0.358529999999929</f>
        <v>1598.514827</v>
      </c>
      <c r="O285" s="3">
        <f>2624.4+(340.4-536.7)+(0+(0-0))+0-748.2-0</f>
        <v>1679.8999999999999</v>
      </c>
      <c r="P285" s="3">
        <f>2667.3+(399.3-713.6)+(2.720646+(0.407286-0.727872))+0-680.3-0.693906000000108</f>
        <v>1674.4061539999998</v>
      </c>
      <c r="Q285" s="3">
        <f>2742.9+(526.5-856)+(-4.196637+(-0.805545--1.30968))+0-753.6--1.15300800000004</f>
        <v>1657.2605060000003</v>
      </c>
      <c r="R285" s="3">
        <f>2743.9+(442.6-849.2)+(0+(0-0))+0-697.3-0</f>
        <v>1640.0000000000002</v>
      </c>
      <c r="S285" s="3">
        <f>2678.7+(463.3-867.6)+(-4.098411+(-0.708849--1.327428))+0-705.5--1.07941500000004</f>
        <v>1566.4995829999998</v>
      </c>
      <c r="T285" s="3">
        <f>2438.2+(589-782.2)+(0+(0-0))+0-684.3-0</f>
        <v>1560.7</v>
      </c>
      <c r="U285" s="3">
        <f>2396.4+(608.5-782.1)+(1.222164+(0.310335-0.398871))+0-695-0.354449999999929</f>
        <v>1528.5791780000002</v>
      </c>
      <c r="V285" s="3">
        <f>2378.3+(531.5-688.9)+(-1.212933+(-0.271065--0.351339))+0-701.7--0.357866999999929</f>
        <v>1518.4252080000001</v>
      </c>
      <c r="W285" s="3">
        <f>2616.1+(705-724.9)+(2.668422+(0.7191-0.739398))+0-730.2-0.744804000000116</f>
        <v>1867.9033199999994</v>
      </c>
      <c r="X285" s="3">
        <f>2789.6+(898.5-893.6)+(-1.422696+(-0.458235--0.455736))+0-827.3--0.421922999999916</f>
        <v>1966.1967280000001</v>
      </c>
      <c r="Y285" s="3">
        <f>2527.8+(672.3-694)+(-1.289178+(-0.342873--0.35394))+0-653.4--0.333233999999934</f>
        <v>1851.7551230000001</v>
      </c>
      <c r="Z285" s="3">
        <f>2491.2+(680.3-616.7)+(-1.270512+(-0.346953--0.314517))+0-722.8--0.368627999999927</f>
        <v>1831.0656799999997</v>
      </c>
      <c r="AA285" s="3">
        <f>2288.2+(716.4-412.9)+(0+(0-0))+0-813.5-0</f>
        <v>1778.1999999999998</v>
      </c>
      <c r="AB285" s="3">
        <f>2258.2+(484.8-343.7)+(-4.606728+(-0.988992--0.701148))+0-713.1--1.45472399999997</f>
        <v>1682.7601519999996</v>
      </c>
      <c r="AC285" s="3">
        <f>2178.3+(480.5-227.9)+(-3.332799+(-0.735165--0.348687))+0-855.1--1.30830300000005</f>
        <v>1573.3890260000001</v>
      </c>
      <c r="AD285">
        <v>1981.7000000000003</v>
      </c>
      <c r="AE285" s="3">
        <f>2784+(892.9-888.8)+(0+(0-0))+0-806.4-0</f>
        <v>1981.6999999999998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2176.3+(500.4-469.1)+(-2.219826+(-0.510408--0.478482))+0-674.5--0.687990000000108</f>
        <v>1531.5362380000004</v>
      </c>
      <c r="G286" s="3">
        <f>2095.7+(497.8-273)+(-4.275228+(-1.015512--0.55692))+0-746.1--1.52204399999997</f>
        <v>1571.1882240000002</v>
      </c>
      <c r="H286" s="3">
        <f>1971+(541.5-160.3)+(0+(0-0))+0-839.8-0</f>
        <v>1512.3999999999999</v>
      </c>
      <c r="I286" s="3">
        <f>1797.7+(587.7-125.2)+(0.916827+(0.299727-0.063852))+0-729-0.371789999999926</f>
        <v>1531.9809120000002</v>
      </c>
      <c r="J286" s="3">
        <f>1780.2+(590.6-84.9)+(-0.907902+(-0.301206--0.043299))+0-767.9--0.391628999999922</f>
        <v>1517.2258199999999</v>
      </c>
      <c r="K286" s="3">
        <f>1987.5+(390.1-142.1)+(0+(0-0))+0-724-0</f>
        <v>1511.5</v>
      </c>
      <c r="L286" s="3">
        <f>2260.3+(278.3-252.1)+(-1.152753+(-0.141933--0.128571))+0-692.1--0.35297099999993</f>
        <v>1593.5868560000001</v>
      </c>
      <c r="M286" s="3">
        <f>2320.5+(290.8-166.2)+(3.550365+(0.444924-0.254286))+0-712-1.08936000000004</f>
        <v>1735.7516430000001</v>
      </c>
      <c r="N286" s="3">
        <f>2474.5+(601-374.9)+(-1.261995+(-0.30651--0.191199))+0-742--0.378419999999925</f>
        <v>1957.6011140000001</v>
      </c>
      <c r="O286" s="3">
        <f>2743.2+(910.7-871.6)+(2.798064+(0.928914-0.889032))+0-669-0.682380000000107</f>
        <v>2115.4555659999996</v>
      </c>
      <c r="P286" s="3">
        <f>2969.2+(1003.3-1139.8)+(1.514292+(0.511683-0.581298))+0-592.2-0.30202199999994</f>
        <v>2241.6426549999996</v>
      </c>
      <c r="Q286" s="3">
        <f>2978.4+(1138.9-1342.5)+(-3.037968+(-1.161678--1.36935))+0-689.8--0.70359600000011</f>
        <v>2082.8733000000002</v>
      </c>
      <c r="R286" s="3">
        <f>2781.6+(1038.6-1042.9)+(-2.837232+(-1.059372--1.063758))+0-745.9--0.760818000000119</f>
        <v>2029.327972</v>
      </c>
      <c r="S286" s="3">
        <f>2692.2+(764.5-867)+(-1.373022+(-0.389895--0.44217))+0-623.2--0.317831999999937</f>
        <v>1965.4970849999995</v>
      </c>
      <c r="T286" s="3">
        <f>2702.2+(824.1-845)+(-1.378122+(-0.420291--0.43095))+0-655.8--0.334457999999933</f>
        <v>2024.4669949999998</v>
      </c>
      <c r="U286" s="3">
        <f>2661.3+(545.7-766.8)+(-2.714526+(-0.556614--0.782136))+0-430.3--0.438906000000069</f>
        <v>2007.8499020000004</v>
      </c>
      <c r="V286" s="3">
        <f>3049.7+(891.7-1193.9)+(-1.555347+(-0.454767--0.608889))+0-672.1--0.342770999999932</f>
        <v>2074.3415460000001</v>
      </c>
      <c r="W286" s="3">
        <f>3516.5+(1407.8-1901.8)+(-1.793415+(-0.717978--0.969918))+0-599.7--0.305846999999939</f>
        <v>2421.5643720000003</v>
      </c>
      <c r="X286" s="3">
        <f>3309.4+(1192.5-1719.4)+(-5.063382+(-1.824525--2.630682))+0-389.7--0.596241000000023</f>
        <v>2389.1390160000005</v>
      </c>
      <c r="Y286" s="3">
        <f>3077.5+(1155.9-1372.5)+(-1.569525+(-0.589509--0.699975))+0-646.7--0.329816999999934</f>
        <v>2213.0707579999998</v>
      </c>
      <c r="Z286" s="3">
        <f>2975.5+(1056.8-1223.9)+(-4.552515+(-1.616904--1.872567))+0-710.5--1.08706500000004</f>
        <v>2094.6902129999999</v>
      </c>
      <c r="AA286" s="3">
        <f>2735+(873.2-814.6)+(-5.5794+(-1.781328--1.661784))+0-788.2--1.60792799999997</f>
        <v>2001.3089839999996</v>
      </c>
      <c r="AB286" s="3">
        <f>2590.6+(809.2-766.5)+(-3.963618+(-1.238076--1.172745))+0-715.8--1.09517400000004</f>
        <v>1914.5662250000003</v>
      </c>
      <c r="AC286" s="3">
        <f>2423.3+(868.6-733.9)+(-4.943532+(-1.771944--1.497156))+0-747.9--1.52571599999997</f>
        <v>1806.4073959999998</v>
      </c>
      <c r="AD286">
        <v>2611.7999999999993</v>
      </c>
      <c r="AE286" s="3">
        <f>3663+(1491.9-1993.4)+(0+(0-0))+0-549.7-0</f>
        <v>2611.8000000000002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2220.9+(558-505.4)+(-4.530636+(-1.13832--1.031016))+0-673.7--1.37434799999997</f>
        <v>1596.5364079999999</v>
      </c>
      <c r="G287" s="3">
        <f>2109.8+(632.6-284.3)+(2.151996+(0.645252-0.289986))+0-832-0.848640000000133</f>
        <v>1627.7586220000003</v>
      </c>
      <c r="H287" s="3">
        <f>2117.9+(336.1-259.7)+(-4.320516+(-0.685644--0.529788))+0-613.4--1.25133599999997</f>
        <v>1577.674964</v>
      </c>
      <c r="I287" s="3">
        <f>2110.9+(351.3-153.6)+(0+(0-0))+0-716.7-0</f>
        <v>1591.8999999999999</v>
      </c>
      <c r="J287" s="3">
        <f>2109.8+(382.8-138.6)+(0+(0-0))+0-763.4-0</f>
        <v>1590.6</v>
      </c>
      <c r="K287" s="3">
        <f>2101.1+(458.4-124.3)+(0+(0-0))+0-766.9-0</f>
        <v>1668.2999999999997</v>
      </c>
      <c r="L287" s="3">
        <f>2109.1+(419.1-127.3)+(0+(0-0))+0-766.9-0</f>
        <v>1634</v>
      </c>
      <c r="M287" s="3">
        <f>2108.5+(455.2-48.6)+(-1.075335+(-0.232152--0.024786))+0-737.2--0.375971999999925</f>
        <v>1776.9932709999996</v>
      </c>
      <c r="N287" s="3">
        <f>2222.8+(365.7-112.6)+(-4.534512+(-0.746028--0.229704))+0-438.1--0.893723999999981</f>
        <v>2033.6428880000003</v>
      </c>
      <c r="O287" s="3">
        <f>2772.6+(837.8-674.3)+(-4.242078+(-1.281834--1.031679))+0-682.1--1.04361300000004</f>
        <v>2250.5513799999999</v>
      </c>
      <c r="P287" s="3">
        <f>3033.1+(786.1-928.7)+(-1.546881+(-0.400911--0.473637))+0-559.4--0.285293999999943</f>
        <v>2329.9111389999998</v>
      </c>
      <c r="Q287" s="3">
        <f>3218.4+(918.7-1247.2)+(-6.565536+(-1.874148--2.544288))+0-603.3--1.23073199999997</f>
        <v>2281.9353360000005</v>
      </c>
      <c r="R287" s="3">
        <f>3010.9+(519.1-976.4)+(-7.677795+(-1.323705--2.48982))+0-508.7--1.29718499999993</f>
        <v>2039.6855050000001</v>
      </c>
      <c r="S287" s="3">
        <f>2979.4+(418.5-815)+(1.519494+(0.213435-0.41565))+0-595.9-0.30390899999994</f>
        <v>1988.0133699999999</v>
      </c>
      <c r="T287" s="3">
        <f>3050.8+(433.1-840.5)+(1.555908+(0.220881-0.428655))+0-573.8-0.292637999999942</f>
        <v>2070.6554960000003</v>
      </c>
      <c r="U287" s="3">
        <f>3098+(470-911.4)+(0+(0-0))+0-611.6-0</f>
        <v>2045</v>
      </c>
      <c r="V287" s="3">
        <f>3282+(513.3-1085.7)+(-6.69528+(-1.047132--2.214828))+0-625--1.27499999999997</f>
        <v>2080.3474160000001</v>
      </c>
      <c r="W287" s="3">
        <f>3482.8+(1108.2-1633.5)+(0+(0-0))+0-642.5-0</f>
        <v>2315</v>
      </c>
      <c r="X287" s="3">
        <f>3579.6+(1195.8-1823.3)+(-7.302384+(-2.439432--3.719532))+0-628.8--1.28275199999997</f>
        <v>2318.5604679999997</v>
      </c>
      <c r="Y287" s="3">
        <f>3432.1+(1091.3-1604.3)+(-7.001484+(-2.226252--3.272772))+0-678.1--1.38332399999997</f>
        <v>2236.4283599999999</v>
      </c>
      <c r="Z287" s="3">
        <f>3375.3+(868.1-1474.9)+(-6.885612+(-1.770924--3.008796))+0-617.3--1.25929199999997</f>
        <v>2146.8115520000006</v>
      </c>
      <c r="AA287" s="3">
        <f>3307.1+(884-1325.5)+(-5.059863+(-1.35252--2.028015))+0-738--1.12914000000004</f>
        <v>2124.3447719999999</v>
      </c>
      <c r="AB287" s="3">
        <f>3172+(768.1-1185.9)+(-6.47088+(-1.566924--2.419236))+0-704.5--1.43717999999997</f>
        <v>2045.5186119999998</v>
      </c>
      <c r="AC287" s="3">
        <f>2889.8+(498.6-910.7)+(-4.421394+(-0.762858--1.393371))+0-624.4--0.955332000000036</f>
        <v>1850.4644510000003</v>
      </c>
      <c r="AD287">
        <v>2300.6</v>
      </c>
      <c r="AE287" s="3">
        <f>3634+(1466-1963.9)+(0+(0-0))+0-835.5-0</f>
        <v>2300.6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2673.2+(133.1-492)+(-2.726664+(-0.135762--0.50184))+0-682.6--0.696252000000109</f>
        <v>1630.0356660000002</v>
      </c>
      <c r="G288" s="3">
        <f>2543.9+(207.9-395.2)+(-1.297389+(-0.106029--0.201552))+0-648.4--0.330683999999934</f>
        <v>1707.328818</v>
      </c>
      <c r="H288" s="3">
        <f>2488+(175-317.4)+(-1.26888+(-0.08925--0.161874))+0-689.3--0.35154299999993</f>
        <v>1655.4552869999998</v>
      </c>
      <c r="I288" s="3">
        <f>2345.4+(290.2-283.1)+(1.196154+(0.148002-0.144381))+0-751.9-0.383468999999924</f>
        <v>1601.4163060000001</v>
      </c>
      <c r="J288" s="3">
        <f>2303+(235.8-258.3)+(-4.69812+(-0.481032--0.526932))+0-711.2--1.45084799999997</f>
        <v>1566.098628</v>
      </c>
      <c r="K288" s="3">
        <f>2322.7+(262.5-256.8)+(1.184577+(0.133875-0.130968))+0-734.3-0.374492999999925</f>
        <v>1594.9129909999997</v>
      </c>
      <c r="L288" s="3">
        <f>2379.8+(170.4-290.1)+(-3.641094+(-0.260712--0.443853))+0-631.5--0.966195000000036</f>
        <v>1626.1082420000002</v>
      </c>
      <c r="M288" s="3">
        <f>2556.9+(164.9-278.4)+(-1.304019+(-0.084099--0.141984))+0-657--0.335069999999933</f>
        <v>1785.488936</v>
      </c>
      <c r="N288" s="3">
        <f>2598.5+(409.1-329.6)+(0+(0-0))+0-600.4-0</f>
        <v>2077.6</v>
      </c>
      <c r="O288" s="3">
        <f>2939.8+(603.1-656.8)+(0+(0-0))+0-651.4-0</f>
        <v>2234.7000000000003</v>
      </c>
      <c r="P288" s="3">
        <f>3275.7+(968.3-1314.3)+(1.670607+(0.493833-0.670293))+0-663.3-0.338282999999933</f>
        <v>2267.5558639999999</v>
      </c>
      <c r="Q288" s="3">
        <f>3373.6+(1078.1-1587)+(-5.161608+(-1.649493--2.42811))+0-611.3--0.935289000000035</f>
        <v>2249.9522980000002</v>
      </c>
      <c r="R288" s="3">
        <f>3270.1+(729.6-1514.2)+(-10.006506+(-2.232576--4.633452))+0-441.6--1.35129600000005</f>
        <v>2037.6456660000001</v>
      </c>
      <c r="S288" s="3">
        <f>3018.8+(572.7-1086.7)+(-6.158352+(-1.168308--2.216868))+0-525.2--1.07140799999998</f>
        <v>1975.561616</v>
      </c>
      <c r="T288" s="3">
        <f>2987.6+(556.8-964.4)+(-1.523676+(-0.283968--0.491844))+0-585.1--0.298400999999941</f>
        <v>1993.8826010000002</v>
      </c>
      <c r="U288" s="3">
        <f>2774.2+(356.8-848.1)+(-1.414842+(-0.181968--0.432531))+0-258.1--0.131630999999974</f>
        <v>2023.7673519999996</v>
      </c>
      <c r="V288" s="3">
        <f>3033.1+(628.5-1201.6)+(-3.093762+(-0.64107--1.225632))+0-418.9--0.427278000000067</f>
        <v>2039.0180780000001</v>
      </c>
      <c r="W288" s="3">
        <f>3394.4+(1092.8-1690.7)+(-5.193432+(-1.671984--2.586771))+0-414.8--0.634644000000024</f>
        <v>2378.0559990000002</v>
      </c>
      <c r="X288" s="3">
        <f>3454.2+(1220-1639.8)+(-7.046568+(-2.4888--3.345192))+0-635.5--1.29641999999997</f>
        <v>2394.0062439999997</v>
      </c>
      <c r="Y288" s="3">
        <f>3333.6+(894.4-1482.5)+(-8.50068+(-2.28072--3.780375))+0-518.7--1.32268499999992</f>
        <v>2221.1216599999998</v>
      </c>
      <c r="Z288" s="3">
        <f>3163.4+(732.2-1128.5)+(-3.226668+(-0.746844--1.15107))+0-671.1--0.684522000000107</f>
        <v>2093.8620800000003</v>
      </c>
      <c r="AA288" s="3">
        <f>3089.1+(601.1-925.8)+(-9.452646+(-1.839366--2.832948))+0-673.5--2.06091000000008</f>
        <v>2084.5018460000001</v>
      </c>
      <c r="AB288" s="3">
        <f>2954.3+(572.3-736.2)+(-6.026772+(-1.167492--1.501848))+0-757.8--1.54591199999997</f>
        <v>2028.4534960000003</v>
      </c>
      <c r="AC288" s="3">
        <f>2739+(445.2-679.6)+(-2.79378+(-0.454104--0.693192))+0-661--0.674220000000105</f>
        <v>1841.7195279999999</v>
      </c>
      <c r="AD288">
        <v>2427.8000000000002</v>
      </c>
      <c r="AE288" s="3">
        <f>3452+(1206.8-1678.2)+(0+(0-0))+0-552.8-0</f>
        <v>2427.8000000000002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2569.6+(328.7-434.4)+(-6.55248+(-0.838185--1.10772))+0-822.3--2.09686499999988</f>
        <v>1637.4139200000002</v>
      </c>
      <c r="G289" s="3">
        <f>2355.2+(284.9-218.5)+(0+(0-0))+0-732.2-0</f>
        <v>1689.3999999999999</v>
      </c>
      <c r="H289" s="3">
        <f>2140.7+(426.7-137.1)+(-2.183514+(-0.435234--0.139842))+0-812.9--0.82915800000013</f>
        <v>1615.750252</v>
      </c>
      <c r="I289" s="3">
        <f>2095.1+(474.7-121.8)+(2.137002+(0.484194-0.124236))+0-839.5-0.856290000000134</f>
        <v>1610.1406699999998</v>
      </c>
      <c r="J289" s="3">
        <f>2093.4+(421.4-142.1)+(1.067634+(0.214914-0.072471))+0-740.5-0.377654999999925</f>
        <v>1633.032422</v>
      </c>
      <c r="K289" s="3">
        <f>2170+(297.4-147)+(2.2134+(0.303348-0.14994))+0-705.8-0.719916000000112</f>
        <v>1616.2468920000003</v>
      </c>
      <c r="L289" s="3">
        <f>2319.2+(86.1-272.1)+(4.731168+(0.175644-0.555084))+0-431.2-0.879647999999981</f>
        <v>1705.4720799999998</v>
      </c>
      <c r="M289" s="3">
        <f>2344.7+(148.4-172.7)+(-1.195797+(-0.075684--0.088077))+0-475.2--0.242351999999952</f>
        <v>1844.2589479999997</v>
      </c>
      <c r="N289" s="3">
        <f>2657.6+(251.5-203.3)+(1.355376+(0.128265-0.103683))+0-640.7-0.326756999999935</f>
        <v>2066.1532010000001</v>
      </c>
      <c r="O289" s="3">
        <f>3121.4+(453-785.4)+(0+(0-0))+0-643.6-0</f>
        <v>2145.4</v>
      </c>
      <c r="P289" s="3">
        <f>3122.2+(548-1044.9)+(0+(0-0))+0-446.1-0</f>
        <v>2179.1999999999998</v>
      </c>
      <c r="Q289" s="3">
        <f>3243.7+(701.3-1328.3)+(-6.617148+(-1.430652--2.709732))+0-388.4--0.792335999999983</f>
        <v>2223.7542679999997</v>
      </c>
      <c r="R289" s="3">
        <f>3192.6+(548.2-1077)+(-4.884678+(-0.838746--1.64781))+0-631.6--0.966348000000037</f>
        <v>2029.0907340000003</v>
      </c>
      <c r="S289" s="3">
        <f>3163.3+(351.9-876.6)+(-4.839849+(-0.538407--1.341198))+0-670.2--1.02540600000004</f>
        <v>1965.3883480000004</v>
      </c>
      <c r="T289" s="3">
        <f>3225.6+(340.4-919.9)+(1.645056+(0.173604-0.469149))+0-606.8-0.309467999999938</f>
        <v>2040.3400429999999</v>
      </c>
      <c r="U289" s="3">
        <f>3285.2+(258.7-980.2)+(-1.675452+(-0.131937--0.499902))+0-520.3--0.265352999999947</f>
        <v>2042.3578659999998</v>
      </c>
      <c r="V289" s="3">
        <f>3285.6+(410.2-987.4)+(-5.026968+(-0.627606--1.510722))+0-646.7--0.989451000000038</f>
        <v>2058.5455989999996</v>
      </c>
      <c r="W289" s="3">
        <f>3554.7+(1033.9-1556.2)+(0+(0-0))+0-649.6-0</f>
        <v>2382.7999999999997</v>
      </c>
      <c r="X289" s="3">
        <f>3564.2+(1164.9-1698.5)+(-5.453226+(-1.782297--2.598705))+0-701.1--1.07268300000004</f>
        <v>2325.9358649999999</v>
      </c>
      <c r="Y289" s="3">
        <f>3178.6+(944.2-1234.8)+(-4.863258+(-1.444626--1.889244))+0-653.3--0.999549000000038</f>
        <v>2231.2809090000001</v>
      </c>
      <c r="Z289" s="3">
        <f>2976.6+(879.2-1041.3)+(-7.59033+(-2.24196--2.655315))+0-675.3--1.7220149999999</f>
        <v>2133.7450400000002</v>
      </c>
      <c r="AA289" s="3">
        <f>2976.5+(757-1014.2)+(-1.518015+(-0.38607--0.517242))+0-634--0.323339999999936</f>
        <v>2084.2364969999999</v>
      </c>
      <c r="AB289" s="3">
        <f>2836.5+(801.4-835.6)+(-4.339845+(-1.226142--1.278468))+0-803.5--1.22935500000005</f>
        <v>1995.7418360000001</v>
      </c>
      <c r="AC289" s="3">
        <f>2698+(306.4-526.3)+(-5.50392+(-0.625056--1.073652))+0-691.7--1.41106799999997</f>
        <v>1782.7557439999998</v>
      </c>
      <c r="AD289">
        <v>2524.7000000000003</v>
      </c>
      <c r="AE289" s="3">
        <f>3888+(1578.3-2143.2)+(0+(0-0))+0-798.4-0</f>
        <v>2524.7000000000003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2606.9+(231.4-447)+(-5.318076+(-0.472056--0.91188))+0-760.4--1.55121599999997</f>
        <v>1627.5729640000002</v>
      </c>
      <c r="G290" s="3">
        <f>2466.5+(179.1-305)+(-1.257915+(-0.091341--0.15555))+0-685.2--0.349451999999931</f>
        <v>1654.5557459999998</v>
      </c>
      <c r="H290" s="3">
        <f>2274.3+(291.6-197.7)+(-2.319786+(-0.297432--0.201654))+0-746.1--0.761022000000119</f>
        <v>1620.4454580000006</v>
      </c>
      <c r="I290" s="3">
        <f>2129.1+(389.7-133.6)+(2.171682+(0.397494-0.136272))+0-760.2-0.775404000000121</f>
        <v>1626.6574999999993</v>
      </c>
      <c r="J290" s="3">
        <f>2126.7+(393.1-125.4)+(0+(0-0))+0-737.9-0</f>
        <v>1656.4999999999995</v>
      </c>
      <c r="K290" s="3">
        <f>2191.9+(431.3-146.5)+(2.235738+(0.439926-0.14943))+0-848.7-0.865674000000135</f>
        <v>1629.66056</v>
      </c>
      <c r="L290" s="3">
        <f>2332.9+(325.1-297.3)+(2.379558+(0.331602-0.303246))+0-614.7-0.626994000000098</f>
        <v>1747.7809199999999</v>
      </c>
      <c r="M290" s="3">
        <f>2615.2+(178.5-465.3)+(2.667504+(0.18207-0.474606))+0-375.7-0.38321400000006</f>
        <v>1954.6917539999997</v>
      </c>
      <c r="N290" s="3">
        <f>2750.1+(130.4-198)+(0+(0-0))+0-561.6-0</f>
        <v>2120.9</v>
      </c>
      <c r="O290" s="3">
        <f>2928.1+(541.9-604.3)+(0+(0-0))+0-624.6-0</f>
        <v>2241.1</v>
      </c>
      <c r="P290" s="3">
        <f>3159.4+(812.9-957.9)+(1.611294+(0.414579-0.488529))+0-656.6-0.334865999999933</f>
        <v>2359.0024779999999</v>
      </c>
      <c r="Q290" s="3">
        <f>3360+(863.6-1440.5)+(-1.7136+(-0.440436--0.734655))+0-575.4--0.293453999999942</f>
        <v>2206.5740729999998</v>
      </c>
      <c r="R290" s="3">
        <f>3211+(695.6-1213.6)+(-6.55044+(-1.419024--2.475744))+0-671--1.36883999999997</f>
        <v>2017.8751199999999</v>
      </c>
      <c r="S290" s="3">
        <f>3034.4+(544.3-993.5)+(-1.547544+(-0.277593--0.506685))+0-563.9--0.287588999999943</f>
        <v>2020.2691369999998</v>
      </c>
      <c r="T290" s="3">
        <f>3054.9+(631.8-1018.2)+(0+(0-0))+0-640.2-0</f>
        <v>2028.3</v>
      </c>
      <c r="U290" s="3">
        <f>3154.4+(583.6-1147.6)+(-3.217488+(-0.595272--1.170552))+0-512.5--0.522750000000082</f>
        <v>2075.780542</v>
      </c>
      <c r="V290" s="3">
        <f>3213.8+(1008.5-1601)+(1.639038+(0.514335-0.81651))+0-587.8-0.29977799999994</f>
        <v>2034.5370850000004</v>
      </c>
      <c r="W290" s="3">
        <f>3382.3+(1200.9-1595.7)+(3.449946+(1.224918-1.627614))+0-548.4-0.559368000000087</f>
        <v>2441.5878819999998</v>
      </c>
      <c r="X290" s="3">
        <f>3500.5+(1352-1773.3)+(-1.785255+(-0.68952--0.904383))+0-620.5--0.316454999999937</f>
        <v>2457.4460629999999</v>
      </c>
      <c r="Y290" s="3">
        <f>3362.7+(1003-1552.3)+(-6.859908+(-2.04612--3.166692))+0-561.9--1.14627599999998</f>
        <v>2246.9069399999994</v>
      </c>
      <c r="Z290" s="3">
        <f>3071.3+(770.7-1085)+(-4.699089+(-1.179171--1.66005))+0-633.4--0.969102000000037</f>
        <v>2120.3508919999999</v>
      </c>
      <c r="AA290" s="3">
        <f>3039.9+(723.4-1025.5)+(-4.651047+(-1.106802--1.569015))+0-655.5--1.00291500000004</f>
        <v>2079.1140810000002</v>
      </c>
      <c r="AB290" s="3">
        <f>3034+(709.9-1019)+(-4.64202+(-1.086147--1.55907))+0-695.2--1.06365600000004</f>
        <v>2026.5945590000001</v>
      </c>
      <c r="AC290" s="3">
        <f>2863.4+(374.2-711.2)+(-8.762004+(-1.145052--2.176272))+0-719.8--2.20258800000008</f>
        <v>1801.0718040000004</v>
      </c>
      <c r="AD290">
        <v>2418.1999999999998</v>
      </c>
      <c r="AE290" s="3">
        <f>3491+(1485-1835.8)+(0+(0-0))+0-722-0</f>
        <v>2418.1999999999998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2556.1+(234.2-510.9)+(-2.607222+(-0.238884--0.521118))+0-722--0.736440000000115</f>
        <v>1555.8114520000004</v>
      </c>
      <c r="G291" s="3">
        <f>2499.1+(133.3-570.2)+(-3.823623+(-0.203949--0.872406))+0-431.3--0.659889000000025</f>
        <v>1628.4047229999999</v>
      </c>
      <c r="H291" s="3">
        <f>2482.5+(145.4-345.2)+(-1.266075+(-0.074154--0.176052))+0-719.6--0.366995999999927</f>
        <v>1562.3028189999998</v>
      </c>
      <c r="I291" s="3">
        <f>2319.2+(171.5-301)+(5.91396+(0.437325-0.76755))+0-618.3-1.57666499999991</f>
        <v>1575.4070700000002</v>
      </c>
      <c r="J291" s="3">
        <f>2223.4+(219.6-246.1)+(4.535736+(0.447984-0.502044))+0-640.5-1.30661999999997</f>
        <v>1559.5750559999999</v>
      </c>
      <c r="K291" s="3">
        <f>2425.9+(140.4-323.6)+(4.948836+(0.286416-0.660144))+0-631.7-1.28866799999997</f>
        <v>1614.2864400000003</v>
      </c>
      <c r="L291" s="3">
        <f>2467.4+(183.6-290.2)+(8.808618+(0.655452-1.036014))+0-710.1-2.53505700000001</f>
        <v>1656.5929990000004</v>
      </c>
      <c r="M291" s="3">
        <f>2625.8+(99.9-405.1)+(-4.017474+(-0.152847--0.619803))+0-648.3--0.991899000000037</f>
        <v>1669.7413810000005</v>
      </c>
      <c r="N291" s="3">
        <f>2840.3+(419.1-631.8)+(4.345659+(0.641223-0.966654))+0-644-0.985320000000037</f>
        <v>1986.6349080000002</v>
      </c>
      <c r="O291" s="3">
        <f>3249.2+(1076.3-1550.1)+(3.314184+(1.097826-1.581102))+0-684.1-0.697782000000109</f>
        <v>2093.4331259999994</v>
      </c>
      <c r="P291" s="3">
        <f>3366.8+(1452-1965.5)+(3.434136+(1.48104-2.00481))+0-704.5-0.718590000000112</f>
        <v>2150.9917760000003</v>
      </c>
      <c r="Q291" s="3">
        <f>3462.7+(1606.1-2166.5)+(0+(0-0))+0-741.8-0</f>
        <v>2160.5</v>
      </c>
      <c r="R291" s="3">
        <f>3119.4+(1154.6-1628.2)+(-4.772682+(-1.766538--2.491146))+0-702.4--1.07467200000004</f>
        <v>1940.4265980000002</v>
      </c>
      <c r="S291" s="3">
        <f>3086.6+(789.9-1237)+(0+(0-0))+0-799.6-0</f>
        <v>1839.9</v>
      </c>
      <c r="T291" s="3">
        <f>2676.3+(468.7-720.5)+(-1.364913+(-0.239037--0.367455))+0-621--0.316709999999937</f>
        <v>1802.5802149999997</v>
      </c>
      <c r="U291" s="3">
        <f>2445.2+(348.7-353.5)+(2.494104+(0.355674-0.36057))+0-634.9-0.647598000000101</f>
        <v>1807.3416099999995</v>
      </c>
      <c r="V291" s="3">
        <f>2590.1+(505-545.7)+(1.320951+(0.25755-0.278307))+0-729.3-0.371942999999926</f>
        <v>1821.0282509999997</v>
      </c>
      <c r="W291" s="3">
        <f>3165.2+(1377.4-1757.1)+(4.842756+(2.107422-2.688363))+0-641.3-0.981189000000037</f>
        <v>2147.4806259999996</v>
      </c>
      <c r="X291" s="3">
        <f>3206.3+(1536.4-1867.6)+(-8.176065+(-3.91782--4.76238))+0-671--1.7110499999999</f>
        <v>2198.4795450000001</v>
      </c>
      <c r="Y291" s="3">
        <f>2880+(1245.4-1365.5)+(-2.9376+(-1.270308--1.39281))+0-760.7--0.775914000000121</f>
        <v>1997.1608160000001</v>
      </c>
      <c r="Z291" s="3">
        <f>2753.9+(991.3-1102.7)+(-9.831423+(-3.538941--3.936639))+0-734.4--2.62180800000001</f>
        <v>1901.2880830000001</v>
      </c>
      <c r="AA291" s="3">
        <f>2679.7+(547.5-615)+(-8.199882+(-1.67535--1.8819))+0-728.6--2.22951600000008</f>
        <v>1877.836184</v>
      </c>
      <c r="AB291" s="3">
        <f>2728.2+(464.4-618.7)+(-1.391382+(-0.236844--0.315537))+0-739.8--0.377297999999925</f>
        <v>1833.1646089999997</v>
      </c>
      <c r="AC291" s="3">
        <f>2597.3+(395.2-528.3)+(1.324623+(0.201552-0.269433))+0-761.7-0.388466999999923</f>
        <v>1703.3682750000003</v>
      </c>
      <c r="AD291">
        <v>2295.8000000000006</v>
      </c>
      <c r="AE291" s="3">
        <f>3393+(1706.6-2139.2)+(0+(0-0))+0-664.6-0</f>
        <v>2295.8000000000002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2478.5+(136.7-324.2)+(-6.320175+(-0.348585--0.82671))+0-753.4--1.92116999999989</f>
        <v>1533.6791199999996</v>
      </c>
      <c r="G292" s="3">
        <f>2462.9+(274.1-387.7)+(0+(0-0))+0-818.2-0</f>
        <v>1531.1000000000001</v>
      </c>
      <c r="H292" s="3">
        <f>2355.3+(208.1-330.5)+(-1.201203+(-0.106131--0.168555))+0-732.4--0.373523999999926</f>
        <v>1499.734745</v>
      </c>
      <c r="I292" s="3">
        <f>2284.2+(276.6-297.1)+(2.329884+(0.282132-0.303042))+0-781.8-0.797436000000125</f>
        <v>1483.4115379999998</v>
      </c>
      <c r="J292" s="3">
        <f>2289.3+(297.5-414.5)+(-2.335086+(-0.30345--0.42279))+0-704.6--0.718692000000112</f>
        <v>1466.2029460000006</v>
      </c>
      <c r="K292" s="3">
        <f>2292.5+(342-456.6)+(3.507525+(0.52326-0.698598))+0-702.5-1.07482500000004</f>
        <v>1477.6573619999999</v>
      </c>
      <c r="L292" s="3">
        <f>2380.5+(341.2-483.5)+(0+(0-0))+0-713.6-0</f>
        <v>1524.6</v>
      </c>
      <c r="M292" s="3">
        <f>2392.3+(401.8-656.4)+(-1.220073+(-0.204918--0.334764))+0-672--0.342719999999932</f>
        <v>1464.952493</v>
      </c>
      <c r="N292" s="3">
        <f>2387.9+(391.2-514.7)+(1.217829+(0.199512-0.262497))+0-691.1-0.35246099999993</f>
        <v>1574.1023830000004</v>
      </c>
      <c r="O292" s="3">
        <f>2610.4+(208.6-479.2)+(3.993912+(0.319158-0.733176))+0-761.3-1.16478900000004</f>
        <v>1580.9151050000003</v>
      </c>
      <c r="P292" s="3">
        <f>2928.3+(257.7-738.6)+(0+(0-0))+0-682.6-0</f>
        <v>1764.8000000000002</v>
      </c>
      <c r="Q292" s="3">
        <f>3176.3+(408.8-1074)+(-4.859739+(-0.625464--1.64322))+0-774.1--1.18437300000004</f>
        <v>1734.3423900000007</v>
      </c>
      <c r="R292" s="3">
        <f>2979.2+(223.2-878.1)+(-7.59696+(-0.56916--2.239155))+0-736.6--1.87832999999989</f>
        <v>1583.6513649999995</v>
      </c>
      <c r="S292" s="3">
        <f>2886+(132.8-785.2)+(-4.41558+(-0.203184--1.201356))+0-689.8--1.05539400000004</f>
        <v>1541.4379860000001</v>
      </c>
      <c r="T292" s="3">
        <f>2625.9+(143.3-487.2)+(-4.017627+(-0.219249--0.745416))+0-751.7--1.15010100000004</f>
        <v>1527.9586409999997</v>
      </c>
      <c r="U292" s="3">
        <f>2591.1+(72.2-494.3)+(3.964383+(0.110466-0.756279))+0-658.4-1.00735200000004</f>
        <v>1512.9112179999997</v>
      </c>
      <c r="V292" s="3">
        <f>2686.8+(246-613.3)+(0+(0-0))+0-759.4-0</f>
        <v>1560.1</v>
      </c>
      <c r="W292" s="3">
        <f>3202+(916.3-1556.5)+(-3.26604+(-0.934626--1.58763))+0-623.7--0.636174000000099</f>
        <v>1936.1231380000002</v>
      </c>
      <c r="X292" s="3">
        <f>3192.2+(1021.6-1641.6)+(-3.256044+(-1.042032--1.674432))+0-672.9--0.686358000000107</f>
        <v>1897.3627140000001</v>
      </c>
      <c r="Y292" s="3">
        <f>3062.2+(1019.5-1489.5)+(-3.123444+(-1.03989--1.51929))+0-716.9--0.731238000000114</f>
        <v>1873.3871939999997</v>
      </c>
      <c r="Z292" s="3">
        <f>3069.6+(769-1352.7)+(-3.130992+(-0.78438--1.379754))+0-672--0.685440000000107</f>
        <v>1812.0498219999999</v>
      </c>
      <c r="AA292" s="3">
        <f>3023.9+(492.4-1027.9)+(-1.542189+(-0.251124--0.524229))+0-708--0.361079999999928</f>
        <v>1779.491996</v>
      </c>
      <c r="AB292" s="3">
        <f>2877.1+(284.7-672)+(-2.934642+(-0.290394--0.68544))+0-793.4--0.809268000000126</f>
        <v>1694.6696719999998</v>
      </c>
      <c r="AC292" s="3">
        <f>2634.5+(126.3-382)+(-5.37438+(-0.257652--0.77928))+0-792.7--1.61710799999997</f>
        <v>1582.8643560000003</v>
      </c>
      <c r="AD292">
        <v>1918.1000000000001</v>
      </c>
      <c r="AE292" s="3">
        <f>3262+(1122.5-1658.2)+(0+(0-0))+0-808.2-0</f>
        <v>1918.1000000000001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2536.9+(269.7-470.1)+(-6.469095+(-0.687735--1.198755))+0-782.4--1.99511999999989</f>
        <v>1550.1370449999997</v>
      </c>
      <c r="G293" s="3">
        <f>2515.4+(243.8-458.8)+(0+(0-0))+0-731.7-0</f>
        <v>1568.7</v>
      </c>
      <c r="H293" s="3">
        <f>2298.5+(220.6-238.4)+(2.34447+(0.225012-0.243168))+0-760.3-0.775506000000121</f>
        <v>1521.9508079999996</v>
      </c>
      <c r="I293" s="3">
        <f>2336.1+(207.8-334.2)+(-1.191411+(-0.105978--0.170442))+0-630.4--0.321503999999936</f>
        <v>1578.4945569999995</v>
      </c>
      <c r="J293" s="3">
        <f>2357.3+(206.9-231.6)+(2.404446+(0.211038-0.236232))+0-775.9-0.791418000000124</f>
        <v>1558.2878340000004</v>
      </c>
      <c r="K293" s="3">
        <f>2256.2+(246.6-272.3)+(-3.451986+(-0.377298--0.416619))+0-690.7--1.05677100000004</f>
        <v>1537.4441060000001</v>
      </c>
      <c r="L293" s="3">
        <f>2319.9+(195.6-216.9)+(-2.366298+(-0.199512--0.221238))+0-663.6--0.676872000000106</f>
        <v>1633.3323</v>
      </c>
      <c r="M293" s="3">
        <f>2368.8+(339.5-127.8)+(-1.208088+(-0.173145--0.065178))+0-639.6--0.326195999999935</f>
        <v>1939.9101410000003</v>
      </c>
      <c r="N293" s="3">
        <f>2757.7+(758.8-744.3)+(1.406427+(0.386988-0.379593))+0-646.7-0.329816999999934</f>
        <v>2126.5840049999997</v>
      </c>
      <c r="O293" s="3">
        <f>3019.2+(1467.9-1517.6)+(0+(0-0))+0-657.1-0</f>
        <v>2312.4</v>
      </c>
      <c r="P293" s="3">
        <f>3057+(1563.3-1728.9)+(1.55907+(0.797283-0.881739))+0-684.9-0.349298999999931</f>
        <v>2207.6253149999998</v>
      </c>
      <c r="Q293" s="3">
        <f>3061.7+(1477.2-1751.1)+(-4.684401+(-2.260116--2.679183))+0-562.7--0.860931000000033</f>
        <v>2221.6955969999999</v>
      </c>
      <c r="R293" s="3">
        <f>2726.1+(1074.3-1328.4)+(-2.780622+(-1.095786--1.354968))+0-600.8--0.612816000000096</f>
        <v>1869.2913760000001</v>
      </c>
      <c r="S293" s="3">
        <f>2528.5+(662.1-934.1)+(-2.57907+(-0.675342--0.952782))+0-559.6--0.570792000000089</f>
        <v>1695.1691620000001</v>
      </c>
      <c r="T293" s="3">
        <f>2463.6+(714.4-628.5)+(2.512872+(0.728688-0.64107))+0-674.9-0.688398000000108</f>
        <v>1876.5120919999997</v>
      </c>
      <c r="U293" s="3">
        <f>2383.5+(663.6-563)+(-2.43117+(-0.676872--0.57426))+0-625.2--0.6377040000001</f>
        <v>1857.0039220000001</v>
      </c>
      <c r="V293" s="3">
        <f>2403+(665-529.1)+(0+(0-0))+0-648.7-0</f>
        <v>1890.2</v>
      </c>
      <c r="W293" s="3">
        <f>2807.7+(1296.7-1139.6)+(2.863854+(1.322634-1.162392))+0-676.5-0.690030000000108</f>
        <v>2290.6340660000001</v>
      </c>
      <c r="X293" s="3">
        <f>2761.7+(1438.1-1394.7)+(-4.225401+(-2.200293--2.133891))+0-680.7--1.04147100000004</f>
        <v>2121.1496679999996</v>
      </c>
      <c r="Y293" s="3">
        <f>2471.2+(1029-989.8)+(-1.260312+(-0.52479--0.504798))+0-551.1--0.281060999999944</f>
        <v>1958.3007569999997</v>
      </c>
      <c r="Z293" s="3">
        <f>2278.4+(707.8-441.8)+(-4.647936+(-1.443912--0.901272))+0-621.3--1.26745199999997</f>
        <v>1919.1768760000002</v>
      </c>
      <c r="AA293" s="3">
        <f>2344+(491.3-364.8)+(-2.39088+(-0.501126--0.372096))+0-688.7--0.70247400000011</f>
        <v>1779.9825640000001</v>
      </c>
      <c r="AB293" s="3">
        <f>2368.5+(355.8-143.4)+(-1.207935+(-0.181458--0.073134))+0-768.7--0.392036999999922</f>
        <v>1811.2757779999997</v>
      </c>
      <c r="AC293" s="3">
        <f>2335.1+(258.3-156.4)+(-3.572703+(-0.395199--0.239292))+0-787.9--1.20548700000005</f>
        <v>1646.5768769999997</v>
      </c>
      <c r="AD293">
        <v>2570.9</v>
      </c>
      <c r="AE293" s="3">
        <f>3033+(1716.5-1382.2)+(0+(0-0))+0-796.4-0</f>
        <v>2570.9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2365.5+(346.2-140.9)+(-4.82562+(-0.706248--0.287436))+0-780.5--1.59221999999997</f>
        <v>1786.6477880000002</v>
      </c>
      <c r="G294" s="3">
        <f>2372.5+(192-220.9)+(-3.629925+(-0.29376--0.337977))+0-673.4--1.03030200000004</f>
        <v>1667.6445939999999</v>
      </c>
      <c r="H294" s="3">
        <f>2232.2+(380.9-129.7)+(-1.138422+(-0.194259--0.066147))+0-829.9--0.423248999999916</f>
        <v>1652.6567149999996</v>
      </c>
      <c r="I294" s="3">
        <f>2008.4+(461.8-105.9)+(-3.072852+(-0.706554--0.162027))+0-720.3--1.10205900000004</f>
        <v>1641.4846800000005</v>
      </c>
      <c r="J294" s="3">
        <f>2004.1+(460.8-128.7)+(0+(0-0))+0-744-0</f>
        <v>1592.1999999999998</v>
      </c>
      <c r="K294" s="3">
        <f>2001.3+(414.3-127.1)+(-3.061989+(-0.633879--0.194463))+0-674.5--1.03198500000004</f>
        <v>1611.5305800000001</v>
      </c>
      <c r="L294" s="3">
        <f>2244+(345-152)+(0+(0-0))+0-727-0</f>
        <v>1710</v>
      </c>
      <c r="M294" s="3">
        <f>2475+(175-217)+(0+(0-0))+0-616-0</f>
        <v>1817</v>
      </c>
      <c r="N294" s="3">
        <f>2537+(162-104)+(0+(0-0))+0-595-0</f>
        <v>2000</v>
      </c>
      <c r="O294" s="3">
        <f>2623+(480-369)+(0+(0-0))+0-616-0</f>
        <v>2118</v>
      </c>
      <c r="P294" s="3">
        <f>2774+(786-809)+(0+(0-0))+0-544-0</f>
        <v>2207</v>
      </c>
      <c r="Q294" s="3">
        <f>2849+(1090-1067)+(0+(0-0))+0-631-0</f>
        <v>2241</v>
      </c>
      <c r="R294" s="3">
        <f>2849+(1185-1045)+(0+(0-0))+0-621-0</f>
        <v>2368</v>
      </c>
      <c r="S294" s="3">
        <f>2657+(621-669)+(0+(0-0))+0-657-0</f>
        <v>1952</v>
      </c>
      <c r="T294" s="3">
        <f>2655+(415-398)+(-4.06215+(-0.63495--0.60894))+0-581--0.888930000000034</f>
        <v>2087.8007700000003</v>
      </c>
      <c r="U294" s="3">
        <f>2565.7+(339.8-207.4)+(0+(0-0))+0-657.4-0</f>
        <v>2040.6999999999998</v>
      </c>
      <c r="V294" s="3">
        <f>2607.1+(347.8-363.8)+(2.659242+(0.354756-0.371076))+0-561.4-0.57262800000009</f>
        <v>2031.7702939999997</v>
      </c>
      <c r="W294" s="3">
        <f>3213.3+(1217.5-1350.7)+(3.277566+(1.24185-1.377714))+0-708.8-0.722976000000113</f>
        <v>2373.7187260000001</v>
      </c>
      <c r="X294" s="3">
        <f>3294.4+(1300.5-1604.6)+(-3.360288+(-1.32651--1.636692))+0-655.8--0.668916000000105</f>
        <v>2332.1188100000004</v>
      </c>
      <c r="Y294" s="3">
        <f>3290.1+(1044.8-1513.1)+(-1.677951+(-0.532848--0.771681))+0-639--0.325889999999935</f>
        <v>2181.6867720000005</v>
      </c>
      <c r="Z294" s="3">
        <f>2920.4+(681.1-822.2)+(-1.489404+(-0.347361--0.419322))+0-684.4--0.349043999999931</f>
        <v>2093.8316010000003</v>
      </c>
      <c r="AA294" s="3">
        <f>2587.7+(418.4-377.6)+(0+(0-0))+0-756.7-0</f>
        <v>1871.8</v>
      </c>
      <c r="AB294" s="3">
        <f>2588.9+(201.6-121.7)+(0+(0-0))+0-658.3-0</f>
        <v>2010.5000000000002</v>
      </c>
      <c r="AC294" s="3">
        <f>2493.2+(203.5-74.9)+(-3.814596+(-0.311355--0.114597))+0-753.5--1.15285500000004</f>
        <v>1865.4415009999996</v>
      </c>
      <c r="AD294">
        <v>2539.9</v>
      </c>
      <c r="AE294" s="3">
        <f>3299+(1485-1558)+(0+(0-0))+0-686.1-0</f>
        <v>2539.9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2489.1+(210.5-360.4)+(-2.538882+(-0.21471--0.367608))+0-571.3--0.582726000000091</f>
        <v>1766.0967419999999</v>
      </c>
      <c r="G295" s="3">
        <f>2422.7+(317.9-288.9)+(-7.413462+(-0.972774--0.884034))+0-762.1--2.33202600000009</f>
        <v>1684.4298239999998</v>
      </c>
      <c r="H295" s="3">
        <f>2206.7+(401.2-161.9)+(0+(0-0))+0-811.7-0</f>
        <v>1634.3</v>
      </c>
      <c r="I295" s="3">
        <f>2091.7+(462.1-178.3)+(-2.133534+(-0.471342--0.181866))+0-755.9--0.771018000000121</f>
        <v>1617.9480080000001</v>
      </c>
      <c r="J295" s="3">
        <f>2059.6+(512.9-144.5)+(-1.050396+(-0.261579--0.073695))+0-775.5--0.395504999999921</f>
        <v>1651.6572249999999</v>
      </c>
      <c r="K295" s="3">
        <f>2060.2+(540.2-100.5)+(3.152106+(0.826506-0.153765))+0-815.6-1.24786800000005</f>
        <v>1686.8769789999994</v>
      </c>
      <c r="L295" s="3">
        <f>2068.5+(544.2-159.4)+(-1.054935+(-0.277542--0.081294))+0-727.6--0.371075999999926</f>
        <v>1724.8198930000003</v>
      </c>
      <c r="M295" s="3">
        <f>2360.7+(472.8-223.2)+(-2.407914+(-0.482256--0.227664))+0-718.4--0.732768000000115</f>
        <v>1889.9702619999996</v>
      </c>
      <c r="N295" s="3">
        <f>2578.6+(402-148.7)+(-3.945258+(-0.61506--0.227511))+0-731.3--1.11888900000004</f>
        <v>2097.3860820000004</v>
      </c>
      <c r="O295" s="3">
        <f>2661.8+(417.7-203.6)+(-1.357518+(-0.213027--0.103836))+0-623.8--0.318137999999937</f>
        <v>2250.9514290000002</v>
      </c>
      <c r="P295" s="3">
        <f>2666.2+(545.4-334.9)+(-2.719524+(-0.556308--0.341598))+0-639.2--0.651984000000102</f>
        <v>2235.2177499999998</v>
      </c>
      <c r="Q295" s="3">
        <f>2652.1+(641.6-401.1)+(-2.705142+(-0.654432--0.409122))+0-552--0.563040000000088</f>
        <v>2338.2125879999999</v>
      </c>
      <c r="R295" s="3">
        <f>2646+(313.2-486.1)+(-5.39784+(-0.638928--0.991644))+0-486.3--0.992051999999979</f>
        <v>1982.7469279999998</v>
      </c>
      <c r="S295" s="3">
        <f>2646.4+(254.9-317.1)+(-4.048992+(-0.389997--0.485163))+0-649.7--0.994041000000038</f>
        <v>1931.5402150000002</v>
      </c>
      <c r="T295" s="3">
        <f>2577+(333.8-169.7)+(-1.31427+(-0.170238--0.086547))+0-669.6--0.341495999999932</f>
        <v>2070.4435349999999</v>
      </c>
      <c r="U295" s="3">
        <f>2611.3+(307.5-242.5)+(-1.331763+(-0.156825--0.123675))+0-645.6--0.329255999999935</f>
        <v>2029.6643430000004</v>
      </c>
      <c r="V295" s="3">
        <f>2699.8+(320.1-330.2)+(0+(0-0))+0-663.7-0</f>
        <v>2026.0000000000002</v>
      </c>
      <c r="W295" s="3">
        <f>3027.1+(1087.4-1025.4)+(-1.543821+(-0.554574--0.522954))+0-681.3--0.347462999999931</f>
        <v>2406.5720220000003</v>
      </c>
      <c r="X295" s="3">
        <f>3099.1+(1222.7-1387)+(-4.741623+(-1.870731--2.12211))+0-656.5--1.00444500000004</f>
        <v>2274.8142010000001</v>
      </c>
      <c r="Y295" s="3">
        <f>3040.9+(1004.8-1246.3)+(-6.203436+(-2.049792--2.542452))+0-565.2--1.15300799999998</f>
        <v>2229.6422319999997</v>
      </c>
      <c r="Z295" s="3">
        <f>2844.5+(749.7-794.8)+(-4.352085+(-1.147041--1.216044))+0-629.4--0.962982000000036</f>
        <v>2166.6799000000001</v>
      </c>
      <c r="AA295" s="3">
        <f>2813.7+(475.5-641.5)+(-8.609922+(-1.45503--1.96299))+0-560.5--1.71513000000006</f>
        <v>2080.8131679999997</v>
      </c>
      <c r="AB295" s="3">
        <f>2707.6+(556.3-404.5)+(-2.761752+(-0.567426--0.41259))+0-851--0.868020000000136</f>
        <v>2006.3514319999997</v>
      </c>
      <c r="AC295" s="3">
        <f>2641.7+(340.8-452.5)+(-1.347267+(-0.173808--0.230775))+0-705--0.359549999999928</f>
        <v>1824.0692499999998</v>
      </c>
      <c r="AD295">
        <v>2339</v>
      </c>
      <c r="AE295" s="3">
        <f>3087+(1390.7-1410)+(0+(0-0))+0-728.7-0</f>
        <v>2339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2324.2+(366-285.9)+(-1.185342+(-0.18666--0.145809))+0-750.3--0.382652999999924</f>
        <v>1653.1564599999997</v>
      </c>
      <c r="G296" s="3">
        <f>2178.9+(560.7-215.1)+(-5.556195+(-1.429785--0.548505))+0-848.6--2.16392999999988</f>
        <v>1671.6264549999999</v>
      </c>
      <c r="H296" s="3">
        <f>2058.4+(377.2-211.5)+(-1.049784+(-0.192372--0.107865))+0-599.8--0.305897999999939</f>
        <v>1623.4716069999999</v>
      </c>
      <c r="I296" s="3">
        <f>1961.1+(569.1-177.7)+(0+(0-0))+0-753.6-0</f>
        <v>1598.9</v>
      </c>
      <c r="J296" s="3">
        <f>1961+(577.4-192.6)+(1.00011+(0.294474-0.098226))+0-765-0.390149999999922</f>
        <v>1581.6062080000004</v>
      </c>
      <c r="K296" s="3">
        <f>1953.8+(532.1-270.1)+(1.992876+(0.542742-0.275502))+0-642.4-0.655248000000102</f>
        <v>1575.004868</v>
      </c>
      <c r="L296" s="3">
        <f>2157.5+(540.6-496.3)+(-1.100325+(-0.275706--0.253113))+0-503.3--0.256682999999949</f>
        <v>1697.633765</v>
      </c>
      <c r="M296" s="3">
        <f>2341.7+(482.2-447.6)+(0+(0-0))+0-512.6-0</f>
        <v>1863.6999999999998</v>
      </c>
      <c r="N296" s="3">
        <f>2508.6+(444.4-326.5)+(0+(0-0))+0-595.3-0</f>
        <v>2031.2</v>
      </c>
      <c r="O296" s="3">
        <f>2633.3+(563.3-371.3)+(0+(0-0))+0-673.8-0</f>
        <v>2151.5</v>
      </c>
      <c r="P296" s="3">
        <f>2833.8+(921.7-821.7)+(-2.890476+(-0.940134--0.838134))+0-584--0.595680000000093</f>
        <v>2347.4032040000002</v>
      </c>
      <c r="Q296" s="3">
        <f>2819.2+(755.5-948.2)+(-2.875584+(-0.77061--0.967164))+0-385.4--0.393108000000061</f>
        <v>2238.8140780000003</v>
      </c>
      <c r="R296" s="3">
        <f>2810.1+(514.9-922.7)+(-7.165755+(-1.312995--2.352885))+0-322.5--0.822374999999953</f>
        <v>2074.4965099999995</v>
      </c>
      <c r="S296" s="3">
        <f>2747.3+(549.6-763.8)+(1.401123+(0.280296-0.389538))+0-593.7-0.30278699999994</f>
        <v>1940.3890940000006</v>
      </c>
      <c r="T296" s="3">
        <f>2603.4+(659.5-504.1)+(1.327734+(0.336345-0.257091))+0-701.6-0.357815999999929</f>
        <v>2058.2491720000007</v>
      </c>
      <c r="U296" s="3">
        <f>2530.6+(502-375.6)+(0+(0-0))+0-651.5-0</f>
        <v>2005.5</v>
      </c>
      <c r="V296" s="3">
        <f>2690.4+(345.6-293.6)+(-4.116312+(-0.528768--0.449208))+0-698.6--1.06885800000004</f>
        <v>2040.6729860000005</v>
      </c>
      <c r="W296" s="3">
        <f>3368.1+(757.6-1127.4)+(-3.435462+(-0.772752--1.149948))+0-650.1--0.663102000000104</f>
        <v>2345.8048359999998</v>
      </c>
      <c r="X296" s="3">
        <f>3442.1+(756-1252.5)+(-5.266413+(-1.15668--1.916325))+0-634.4--0.970632000000037</f>
        <v>2307.6638639999996</v>
      </c>
      <c r="Y296" s="3">
        <f>3243+(637.1-944.2)+(-8.26965+(-1.624605--2.40771))+0-706--1.8002999999999</f>
        <v>2224.2137549999998</v>
      </c>
      <c r="Z296" s="3">
        <f>2838.9+(550-434.2)+(-1.447839+(-0.2805--0.221442))+0-710.9--0.362558999999928</f>
        <v>2242.6556620000001</v>
      </c>
      <c r="AA296" s="3">
        <f>2553.2+(621-475.4)+(-5.208528+(-1.26684--0.969816))+0-624--1.27295999999997</f>
        <v>2070.5674079999994</v>
      </c>
      <c r="AB296" s="3">
        <f>2551.8+(692.4-435.8)+(-6.50709+(-1.76562--1.11129))+0-762.3--1.94386499999989</f>
        <v>2040.8824450000002</v>
      </c>
      <c r="AC296" s="3">
        <f>2437.3+(485.6-343.2)+(-8.701161+(-1.733592--1.225224))+0-709--2.53113000000001</f>
        <v>1864.0216010000001</v>
      </c>
      <c r="AD296">
        <v>2183.8000000000002</v>
      </c>
      <c r="AE296" s="3">
        <f>3492+(901.3-1433.8)+(0+(0-0))+0-775.7-0</f>
        <v>2183.8000000000002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2434.3+(166.3-167.2)+(-2.482986+(-0.169626--0.170544))+0-761.8--0.777036000000121</f>
        <v>1669.8949680000005</v>
      </c>
      <c r="G297" s="3">
        <f>2435+(190.6-331.3)+(-4.9674+(-0.388824--0.675852))+0-734.9--1.49919599999997</f>
        <v>1556.2188240000003</v>
      </c>
      <c r="H297" s="3">
        <f>2373.2+(250.9-245.3)+(-1.210332+(-0.127959--0.125103))+0-765.5--0.390404999999922</f>
        <v>1612.4772169999994</v>
      </c>
      <c r="I297" s="3">
        <f>2356.7+(249.6-290.4)+(-3.605751+(-0.381888--0.444312))+0-714.3--1.09287900000004</f>
        <v>1599.1495519999999</v>
      </c>
      <c r="J297" s="3">
        <f>2343.3+(275.5-231)+(0+(0-0))+0-815.2-0</f>
        <v>1572.6000000000001</v>
      </c>
      <c r="K297" s="3">
        <f>2285.4+(298.2-272.4)+(0+(0-0))+0-705.3-0</f>
        <v>1605.9000000000003</v>
      </c>
      <c r="L297" s="3">
        <f>2473.2+(418-366.5)+(0+(0-0))+0-707.7-0</f>
        <v>1816.9999999999998</v>
      </c>
      <c r="M297" s="3">
        <f>2586.4+(312.9-440.7)+(1.319064+(0.159579-0.224757))+0-452-0.230519999999954</f>
        <v>2007.623366</v>
      </c>
      <c r="N297" s="3">
        <f>2696.7+(235-309.7)+(2.750634+(0.2397-0.315894))+0-425.7-0.434214000000068</f>
        <v>2198.5402260000001</v>
      </c>
      <c r="O297" s="3">
        <f>2777.3+(362.2-358.4)+(4.249269+(0.554166-0.548352))+0-353.2-0.54039600000002</f>
        <v>2431.6146870000007</v>
      </c>
      <c r="P297" s="3">
        <f>3052+(552.9-816.7)+(3.11304+(0.563958-0.833034))+0-542.5-0.553350000000086</f>
        <v>2247.9906139999998</v>
      </c>
      <c r="Q297" s="3">
        <f>3075.5+(655.8-858.9)+(-3.13701+(-0.668916--0.876078))+0-609.5--0.621690000000097</f>
        <v>2260.5918419999998</v>
      </c>
      <c r="R297" s="3">
        <f>3009.6+(389.1-767.1)+(-9.209376+(-1.190646--2.347326))+0-630.9--1.93055400000007</f>
        <v>1994.5778579999997</v>
      </c>
      <c r="S297" s="3">
        <f>2827.4+(364.1-660.3)+(1.441974+(0.185691-0.336753))+0-654.7-0.333896999999934</f>
        <v>1877.4570150000002</v>
      </c>
      <c r="T297" s="3">
        <f>2595.9+(292.1-327.5)+(1.323909+(0.148971-0.167025))+0-486.2-0.247961999999951</f>
        <v>2075.3578930000003</v>
      </c>
      <c r="U297" s="3">
        <f>2698.2+(379.5-381)+(1.376082+(0.193545-0.19431))+0-625.5-0.319004999999937</f>
        <v>2072.256312</v>
      </c>
      <c r="V297" s="3">
        <f>2733.3+(394.6-451.6)+(-1.393983+(-0.201246--0.230316))+0-537.6--0.274175999999945</f>
        <v>2137.6092630000003</v>
      </c>
      <c r="W297" s="3">
        <f>3197.3+(1068.3-1155)+(-1.630623+(-0.544833--0.58905))+0-658.1--0.335630999999933</f>
        <v>2451.2492250000005</v>
      </c>
      <c r="X297" s="3">
        <f>3384.3+(1067.2-1432.4)+(-3.451986+(-1.088544--1.461048))+0-690.5--0.70431000000011</f>
        <v>2326.2248280000003</v>
      </c>
      <c r="Y297" s="3">
        <f>2805.3+(601.5-642.5)+(-1.430703+(-0.306765--0.327675))+0-573--0.292229999999942</f>
        <v>2190.1824370000004</v>
      </c>
      <c r="Z297" s="3">
        <f>2749.5+(444.6-400)+(-1.402245+(-0.226746--0.204))+0-684.7--0.349196999999931</f>
        <v>2108.3242059999998</v>
      </c>
      <c r="AA297" s="3">
        <f>2707.1+(342.9-362.7)+(-5.522484+(-0.699516--0.739908))+0-727.9--1.48491599999997</f>
        <v>1955.4028239999993</v>
      </c>
      <c r="AB297" s="3">
        <f>2736.3+(236.2-260.2)+(1.395513+(0.120462-0.132702))+0-695.6-0.354755999999929</f>
        <v>2017.7285170000002</v>
      </c>
      <c r="AC297" s="3">
        <f>2749.6+(299.3-527.3)+(-7.01148+(-0.763215--1.344615))+0-657.1--1.6756049999999</f>
        <v>1859.7455249999998</v>
      </c>
      <c r="AD297">
        <v>2358.6999999999998</v>
      </c>
      <c r="AE297" s="3">
        <f>3351+(1348.9-1652)+(0+(0-0))+0-689.2-0</f>
        <v>2358.6999999999998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2748.9+(397.9-542.9)+(-2.803878+(-0.405858--0.553758))+0-762.3--0.777546000000122</f>
        <v>1839.7215680000004</v>
      </c>
      <c r="G298" s="3">
        <f>2561.1+(550.6-541.8)+(1.306161+(0.280806-0.276318))+0-811-0.413609999999918</f>
        <v>1759.7970390000003</v>
      </c>
      <c r="H298" s="3">
        <f>2433.7+(496.7-481.5)+(0+(0-0))+0-753.2-0</f>
        <v>1695.6999999999996</v>
      </c>
      <c r="I298" s="3">
        <f>2372.7+(602.6-410.8)+(1.210077+(0.307326-0.209508))+0-872.4-0.444923999999912</f>
        <v>1692.9629709999999</v>
      </c>
      <c r="J298" s="3">
        <f>2385.5+(373.7-381.8)+(-6.083025+(-0.952935--0.97359))+0-683.7--1.7434349999999</f>
        <v>1689.3810649999998</v>
      </c>
      <c r="K298" s="3">
        <f>2410+(424.8-372.7)+(2.4582+(0.433296-0.380154))+0-790.8-0.806616000000126</f>
        <v>1673.0047259999997</v>
      </c>
      <c r="L298" s="3">
        <f>2545.9+(474.7-564.2)+(0+(0-0))+0-760.3-0</f>
        <v>1696.1000000000001</v>
      </c>
      <c r="M298" s="3">
        <f>2638.2+(353.9-574.9)+(-1.345482+(-0.180489--0.293199))+0-617.9--0.315128999999937</f>
        <v>1798.3823569999997</v>
      </c>
      <c r="N298" s="3">
        <f>2801.7+(353.3-464.3)+(2.857734+(0.360366-0.473586))+0-650.8-0.663816000000104</f>
        <v>2041.9806979999998</v>
      </c>
      <c r="O298" s="3">
        <f>3074.1+(648.4-666.5)+(4.703373+(0.992052-1.019745))+0-682.2-1.04376600000004</f>
        <v>2377.4319139999993</v>
      </c>
      <c r="P298" s="3">
        <f>3259.6+(773.4-1085.1)+(0+(0-0))+0-738.5-0</f>
        <v>2209.4</v>
      </c>
      <c r="Q298" s="3">
        <f>3255.6+(632-1055.7)+(-3.320712+(-0.64464--1.076814))+0-640.2--0.653004000000102</f>
        <v>2189.4644659999999</v>
      </c>
      <c r="R298" s="3">
        <f>3261.7+(377.7-950.2)+(-4.990401+(-0.577881--1.453806))+0-665--1.01745000000004</f>
        <v>2021.1029739999997</v>
      </c>
      <c r="S298" s="3">
        <f>3199.1+(223.2-824.4)+(-8.157705+(-0.56916--2.10222))+0-742.7--1.89388499999989</f>
        <v>1850.4692399999997</v>
      </c>
      <c r="T298" s="3">
        <f>2801.1+(90-344.1)+(-8.571366+(-0.2754--1.052946))+0-638.2--1.95289200000007</f>
        <v>1902.9590720000001</v>
      </c>
      <c r="U298" s="3">
        <f>2713.1+(114.1-284.8)+(-5.534724+(-0.232764--0.580992))+0-650.9--1.32783599999997</f>
        <v>1887.6413400000001</v>
      </c>
      <c r="V298" s="3">
        <f>2658.4+(95.2-295.2)+(-1.355784+(-0.048552--0.150552))+0-558.6--0.284885999999943</f>
        <v>1898.8311020000001</v>
      </c>
      <c r="W298" s="3">
        <f>3077.2+(416.3-584)+(-3.138744+(-0.424626--0.59568))+0-711.1--0.725322000000113</f>
        <v>2196.1576320000004</v>
      </c>
      <c r="X298" s="3">
        <f>3224.4+(592.8-975.3)+(-4.933332+(-0.906984--1.492209))+0-622.7--0.952731000000036</f>
        <v>2215.8046239999999</v>
      </c>
      <c r="Y298" s="3">
        <f>3043.8+(557.8-729.4)+(0+(0-0))+0-715.9-0</f>
        <v>2156.3000000000002</v>
      </c>
      <c r="Z298" s="3">
        <f>2713.3+(662.8-516.6)+(-1.383783+(-0.338028--0.263466))+0-771.9--0.393668999999922</f>
        <v>2086.5353239999999</v>
      </c>
      <c r="AA298" s="3">
        <f>2653+(653.4-509.5)+(-2.70606+(-0.666468--0.51969))+0-783.9--0.799578000000125</f>
        <v>2010.9467400000003</v>
      </c>
      <c r="AB298" s="3">
        <f>2519.5+(677.6-448.3)+(-3.854835+(-1.036728--0.685899))+0-805.6--1.23256800000005</f>
        <v>1940.2269040000003</v>
      </c>
      <c r="AC298" s="3">
        <f>2421.7+(384-331.2)+(-6.175335+(-0.9792--0.84456))+0-730.7--1.86328499999989</f>
        <v>1739.3533099999997</v>
      </c>
      <c r="AD298">
        <v>2283.1000000000004</v>
      </c>
      <c r="AE298" s="3">
        <f>3304+(569.8-946.2)+(0+(0-0))+0-644.5-0</f>
        <v>2283.1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2033.4+(510.4-100.6)+(-1.037034+(-0.260304--0.051306))+0-720.2--0.367301999999927</f>
        <v>1722.1212699999996</v>
      </c>
      <c r="G299" s="3">
        <f>1884.4+(696.1-148.5)+(-0.961044+(-0.355011--0.075735))+0-833.5--0.425084999999915</f>
        <v>1597.684765</v>
      </c>
      <c r="H299" s="3">
        <f>1846.2+(804.8-139.8)+(-0.941562+(-0.410448--0.071298))+0-786.8--0.40126799999992</f>
        <v>1723.5205559999995</v>
      </c>
      <c r="I299" s="3">
        <f>1813.4+(782.3-126.3)+(1.849668+(0.797946-0.128826))+0-795.8-0.811716000000127</f>
        <v>1675.3070719999998</v>
      </c>
      <c r="J299" s="3">
        <f>1817.6+(675.4-135.2)+(-1.853952+(-0.688908--0.137904))+0-682.4--0.696048000000109</f>
        <v>1673.6910920000003</v>
      </c>
      <c r="K299" s="3">
        <f>1821.4+(747.5-136.4)+(-0.928914+(-0.381225--0.069564))+0-773.2--0.394331999999922</f>
        <v>1658.453757</v>
      </c>
      <c r="L299" s="3">
        <f>1753.3+(691.1-162.4)+(0.894183+(0.352461-0.082824))+0-689.3-0.35154299999993</f>
        <v>1593.5122770000003</v>
      </c>
      <c r="M299" s="3">
        <f>1827.6+(592.8-207.5)+(-1.864152+(-0.604656--0.21165))+0-651--0.664020000000104</f>
        <v>1560.3068619999999</v>
      </c>
      <c r="N299" s="3">
        <f>2071.7+(497.8-326)+(0+(0-0))+0-617.4-0</f>
        <v>1626.1</v>
      </c>
      <c r="O299" s="3">
        <f>2356.8+(400.7-369.6)+(-2.403936+(-0.408714--0.376992))+0-649.5--0.662490000000104</f>
        <v>1736.6268320000004</v>
      </c>
      <c r="P299" s="3">
        <f>2391.7+(311.6-279.1)+(-1.219767+(-0.158916--0.142341))+0-587.4--0.29957399999994</f>
        <v>1835.8632319999995</v>
      </c>
      <c r="Q299" s="3">
        <f>2396.6+(281.2-263.3)+(-2.444532+(-0.286824--0.268566))+0-547.3--0.558246000000087</f>
        <v>1865.2954560000001</v>
      </c>
      <c r="R299" s="3">
        <f>2168.3+(329.6-285.7)+(1.105833+(0.168096-0.145707))+12.4-669.1-0.341240999999932</f>
        <v>1556.2869810000004</v>
      </c>
      <c r="S299" s="3">
        <f>2097.9+(274.5-231)+(-4.279716+(-0.55998--0.47124))+6.5-626.4--1.27785599999997</f>
        <v>1518.4093999999998</v>
      </c>
      <c r="T299" s="3">
        <f>2232.4+(211.8-230.2)+(-1.138524+(-0.108018--0.117402))+0-720.1--0.367250999999927</f>
        <v>1493.138111</v>
      </c>
      <c r="U299" s="3">
        <f>2233.1+(201.3-309.7)+(0+(0-0))+0-627.7-0</f>
        <v>1496.9999999999998</v>
      </c>
      <c r="V299" s="3">
        <f>2281.7+(216.4-355.9)+(-3.491001+(-0.331092--0.544527))+0-678.9--1.03871700000004</f>
        <v>1461.0611509999997</v>
      </c>
      <c r="W299" s="3">
        <f>2404+(201.1-217.1)+(-4.90416+(-0.410244--0.442884))+0-682.3--1.39189199999997</f>
        <v>1702.2203719999998</v>
      </c>
      <c r="X299" s="3">
        <f>2771.8+(97.6-394.4)+(-7.06809+(-0.24888--1.00572))+0-503.1--1.28290499999993</f>
        <v>1966.8716549999999</v>
      </c>
      <c r="Y299" s="3">
        <f>2734+(271.6-408)+(-1.39434+(-0.138516--0.20808))+0-742.2--0.378521999999925</f>
        <v>1854.4537459999999</v>
      </c>
      <c r="Z299" s="3">
        <f>2659.1+(199.9-337)+(-5.424564+(-0.407796--0.68748))+0-585.9--1.19523599999997</f>
        <v>1932.1503560000001</v>
      </c>
      <c r="AA299" s="3">
        <f>2697.1+(192.8-409.9)+(-4.126563+(-0.294984--0.627147))+0-546.1--0.835533000000032</f>
        <v>1930.9411329999998</v>
      </c>
      <c r="AB299" s="3">
        <f>2611.7+(267.2-480)+(-2.663934+(-0.272544--0.4896))+0-557.3--0.568446000000089</f>
        <v>1839.7215679999995</v>
      </c>
      <c r="AC299" s="3">
        <f>2251.1+(358.6-387.3)+(-3.444183+(-0.548658--0.592569))+0-529.5--0.810135000000031</f>
        <v>1690.3098630000002</v>
      </c>
      <c r="AD299">
        <v>1922.3999999999999</v>
      </c>
      <c r="AE299" s="3">
        <f>2781+(108.6-443)+(0+(0-0))+0-524.2-0</f>
        <v>1922.3999999999999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1886.3+(360.7-116.2)+(-0.962013+(-0.183957--0.059262))+0-568.5--0.289934999999942</f>
        <v>1561.5032270000004</v>
      </c>
      <c r="G300" s="3">
        <f>1807.8+(615.8-192.8)+(-0.921978+(-0.314058--0.098328))+0-804.9--0.410498999999918</f>
        <v>1425.1727909999993</v>
      </c>
      <c r="H300" s="3">
        <f>1746.9+(623.4-211.2)+(-1.781838+(-0.635868--0.215424))+0-614.1--0.626382000000098</f>
        <v>1543.4241</v>
      </c>
      <c r="I300" s="3">
        <f>1743.9+(730.7-205.6)+(0+(0-0))+0-775.4-0</f>
        <v>1493.6</v>
      </c>
      <c r="J300" s="3">
        <f>1741.6+(605.9-210.4)+(-2.664648+(-0.927027--0.321912))+0-660.6--1.01071800000004</f>
        <v>1474.2409550000002</v>
      </c>
      <c r="K300" s="3">
        <f>1745.4+(506.7-280.3)+(0+(0-0))+0-475.6-0</f>
        <v>1496.2000000000003</v>
      </c>
      <c r="L300" s="3">
        <f>1753.2+(527.5-264.8)+(1.788264+(0.53805-0.270096))+0-460.1-0.469302000000073</f>
        <v>1557.3869159999999</v>
      </c>
      <c r="M300" s="3">
        <f>1761+(648.7-236.3)+(-0.89811+(-0.330837--0.120513))+0-711--0.362609999999928</f>
        <v>1461.6541759999998</v>
      </c>
      <c r="N300" s="3">
        <f>1907+(606.1-233.5)+(2.91771+(0.927333-0.357255))+0-742.2-1.13556600000004</f>
        <v>1539.7522219999996</v>
      </c>
      <c r="O300" s="3">
        <f>2006.1+(482.1-198.5)+(0+(0-0))+0-661.9-0</f>
        <v>1627.7999999999997</v>
      </c>
      <c r="P300" s="3">
        <f>2046+(392.8-122)+(-1.04346+(-0.200328--0.06222))+0-683.5--0.348584999999931</f>
        <v>1632.4670170000002</v>
      </c>
      <c r="Q300" s="3">
        <f>2044.1+(335.6-193.7)+(-1.042491+(-0.171156--0.098787))+0-534.2--0.272441999999946</f>
        <v>1650.9575819999998</v>
      </c>
      <c r="R300" s="3">
        <f>2076.8+(309.8-158.6)+(-4.236672+(-0.631992--0.323544))+0-691.1--1.40984399999997</f>
        <v>1533.7647239999999</v>
      </c>
      <c r="S300" s="3">
        <f>2114.4+(293.1-215.3)+(1.078344+(0.149481-0.109803))+0-694-0.35393999999993</f>
        <v>1498.9640820000004</v>
      </c>
      <c r="T300" s="3">
        <f>2081.4+(257.9-153.4)+(-3.184542+(-0.394587--0.234702))+0-708.7--1.08431100000004</f>
        <v>1474.9398840000001</v>
      </c>
      <c r="U300" s="3">
        <f>2157.1+(213.1-157.1)+(-1.100121+(-0.108681--0.080121))+0-680.4--0.347003999999931</f>
        <v>1531.9183229999996</v>
      </c>
      <c r="V300" s="3">
        <f>2170.6+(226.7-149.9)+(-2.214012+(-0.231234--0.152898))+0-728.7--0.743274000000116</f>
        <v>1517.1509260000003</v>
      </c>
      <c r="W300" s="3">
        <f>2304.8+(300-341.6)+(2.350896+(0.306-0.348432))+0-593.5-0.605370000000095</f>
        <v>1671.4030940000005</v>
      </c>
      <c r="X300" s="3">
        <f>2732.1+(700.5-769.2)+(-5.573484+(-1.42902--1.569168))+0-697.1--1.42208399999997</f>
        <v>1962.2887479999997</v>
      </c>
      <c r="Y300" s="3">
        <f>2726.4+(748.1-801)+(-5.561856+(-1.526124--1.63404))+0-717.6--1.46390399999997</f>
        <v>1951.9099640000002</v>
      </c>
      <c r="Z300" s="3">
        <f>2725.7+(718.4-908)+(0+(0-0))+0-663.7-0</f>
        <v>1872.3999999999999</v>
      </c>
      <c r="AA300" s="3">
        <f>2672.7+(689.5-756.6)+(-1.363077+(-0.351645--0.385866))+0-794.4--0.405143999999919</f>
        <v>1810.2762879999996</v>
      </c>
      <c r="AB300" s="3">
        <f>2385.6+(678.9-407.7)+(-1.216656+(-0.346239--0.207927))+0-817.6--0.416975999999917</f>
        <v>1838.2620079999997</v>
      </c>
      <c r="AC300" s="3">
        <f>2331.4+(369.8-271.9)+(-4.756056+(-0.754392--0.554676))+0-739.8--1.50919199999997</f>
        <v>1686.0534200000004</v>
      </c>
      <c r="AD300">
        <v>1964.6999999999998</v>
      </c>
      <c r="AE300" s="3">
        <f>2741+(709.6-784.9)+(0+(0-0))+0-701-0</f>
        <v>1964.6999999999998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2380.5+(396.1-253.6)+(-4.85622+(-0.808044--0.517344))+0-807.3--1.64689199999996</f>
        <v>1712.1999719999999</v>
      </c>
      <c r="G301" s="3">
        <f>2108.6+(517.6-292.6)+(-3.226158+(-0.791928--0.447678))+0-652--0.997560000000038</f>
        <v>1679.0271519999999</v>
      </c>
      <c r="H301" s="3">
        <f>1932.1+(678.6-213.3)+(-0.985371+(-0.346086--0.108783))+0-766.3--0.390812999999922</f>
        <v>1630.268139</v>
      </c>
      <c r="I301" s="3">
        <f>1934.8+(735.9-198.4)+(-3.946992+(-1.501236--0.404736))+0-810.2--1.65280799999996</f>
        <v>1658.7093160000004</v>
      </c>
      <c r="J301" s="3">
        <f>1893+(671-192.6)+(-2.89629+(-1.02663--0.294678))+0-725.4--1.10986200000004</f>
        <v>1643.4816199999998</v>
      </c>
      <c r="K301" s="3">
        <f>1872.1+(812.1-139.3)+(0.954771+(0.414171-0.071043))+0-857.9-0.437528999999913</f>
        <v>1687.8603699999999</v>
      </c>
      <c r="L301" s="3">
        <f>2025.1+(406.4-204)+(-2.065602+(-0.414528--0.20808))+0-528.4--0.538968000000084</f>
        <v>1697.3669179999999</v>
      </c>
      <c r="M301" s="3">
        <f>2274.7+(378.1-259.5)+(1.160097+(0.192831-0.132345))+0-547.3-0.279122999999944</f>
        <v>1846.9414599999996</v>
      </c>
      <c r="N301" s="3">
        <f>2400+(259.2-284.9)+(0+(0-0))+0-344.4-0</f>
        <v>2029.9</v>
      </c>
      <c r="O301" s="3">
        <f>2613.6+(650.4-639.7)+(1.332936+(0.331704-0.326247))+0-529.5-0.270044999999946</f>
        <v>2095.868348</v>
      </c>
      <c r="P301" s="3">
        <f>2751.5+(1027-874.3)+(0+(0-0))+0-683.1-0</f>
        <v>2221.1</v>
      </c>
      <c r="Q301" s="3">
        <f>2750.2+(1169.3-954.8)+(-5.610408+(-2.385372--1.947792))+0-639.2--1.30396799999997</f>
        <v>2320.7559799999999</v>
      </c>
      <c r="R301" s="3">
        <f>2649.9+(797.1-892.5)+(-5.405796+(-1.626084--1.8207))+0-536.9--1.09527599999998</f>
        <v>2013.4840960000001</v>
      </c>
      <c r="S301" s="3">
        <f>2572.6+(797.7-847.7)+(-5.248104+(-1.627308--1.729308))+0-565.1--1.15280399999998</f>
        <v>1953.5067000000001</v>
      </c>
      <c r="T301" s="3">
        <f>2595.4+(958.6-879)+(1.323654+(0.488886-0.44829))+0-582.2-0.296921999999941</f>
        <v>2093.8673279999998</v>
      </c>
      <c r="U301" s="3">
        <f>2686.1+(929.3-980.3)+(-1.369911+(-0.473943--0.499953))+0-546--0.278459999999945</f>
        <v>2088.0345589999997</v>
      </c>
      <c r="V301" s="3">
        <f>2896.9+(672.7-932.3)+(-1.477419+(-0.343077--0.475473))+0-631.3--0.321962999999936</f>
        <v>2004.9769400000002</v>
      </c>
      <c r="W301" s="3">
        <f>3123.2+(921.2-1134.7)+(4.778496+(1.409436-1.736091))+0-667.8-1.02173400000004</f>
        <v>2245.3301069999998</v>
      </c>
      <c r="X301" s="3">
        <f>3280+(1109.4-1375.9)+(0+(0-0))+0-688.2-0</f>
        <v>2325.3000000000002</v>
      </c>
      <c r="Y301" s="3">
        <f>3108.7+(946.8-958.7)+(-4.756311+(-1.448604--1.466811))+0-837.8--1.28183400000005</f>
        <v>2255.5437299999999</v>
      </c>
      <c r="Z301" s="3">
        <f>2711+(436.4-333.3)+(1.38261+(0.222564-0.169983))+0-685.2-0.349451999999931</f>
        <v>2129.9857390000002</v>
      </c>
      <c r="AA301" s="3">
        <f>2678+(379.5-213.5)+(-5.46312+(-0.77418--0.43554))+0-761.7--1.55386799999997</f>
        <v>2078.0521079999999</v>
      </c>
      <c r="AB301" s="3">
        <f>2630.5+(442.1-437.9)+(-1.341555+(-0.225471--0.223329))+0-625.8--0.319157999999936</f>
        <v>2007.8754610000001</v>
      </c>
      <c r="AC301" s="3">
        <f>2327.6+(505.9-474.8)+(-5.93538+(-1.290045--1.21074))+0-544.4--1.38821999999992</f>
        <v>1809.6735349999994</v>
      </c>
      <c r="AD301">
        <v>2310.9000000000005</v>
      </c>
      <c r="AE301" s="3">
        <f>3255+(1212.1-1387.4)+(0+(0-0))+0-768.8-0</f>
        <v>2310.8999999999996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2143.8+(570.6-373.1)+(0+(0-0))+0-627.4-0</f>
        <v>1713.9</v>
      </c>
      <c r="G302" s="3">
        <f>1977.7+(612.5-303.8)+(-2.017254+(-0.62475--0.309876))+0-697.9--0.711858000000111</f>
        <v>1586.8797300000001</v>
      </c>
      <c r="H302" s="3">
        <f>1869.4+(549.4-169.3)+(-0.953394+(-0.280194--0.086343))+0-611.1--0.311660999999938</f>
        <v>1637.5644159999999</v>
      </c>
      <c r="I302" s="3">
        <f>1869.7+(667.9-169.9)+(2.860641+(1.021887-0.259947))+0-767.1-1.17366300000004</f>
        <v>1603.048918</v>
      </c>
      <c r="J302" s="3">
        <f>1863.5+(795.9-170.9)+(-0.950385+(-0.405909--0.087159))+0-835.8--0.426257999999915</f>
        <v>1651.857123</v>
      </c>
      <c r="K302" s="3">
        <f>1862.6+(802.8-204.6)+(0+(0-0))+0-810.5-0</f>
        <v>1650.2999999999997</v>
      </c>
      <c r="L302" s="3">
        <f>1933.2+(724-234.1)+(0.985932+(0.36924-0.119391))+0-680.9-0.347258999999931</f>
        <v>1743.0885219999998</v>
      </c>
      <c r="M302" s="3">
        <f>2052.7+(708-203.8)+(-1.046877+(-0.36108--0.103938))+0-662.1--0.337670999999933</f>
        <v>1893.8336519999996</v>
      </c>
      <c r="N302" s="3">
        <f>2427.6+(543.9-188.4)+(0+(0-0))+0-649.7-0</f>
        <v>2133.3999999999996</v>
      </c>
      <c r="O302" s="3">
        <f>2533.6+(740.1-485.6)+(-1.292136+(-0.377451--0.247656))+0-623.5--0.317984999999937</f>
        <v>2163.4960540000002</v>
      </c>
      <c r="P302" s="3">
        <f>2703.2+(965.8-849.9)+(-4.135896+(-1.477674--1.300347))+0-588.6--0.900558000000034</f>
        <v>2227.0873349999997</v>
      </c>
      <c r="Q302" s="3">
        <f>2871.4+(1195-1112.4)+(-5.857656+(-2.4378--2.269296))+0-616.1--1.25684399999997</f>
        <v>2333.1306840000002</v>
      </c>
      <c r="R302" s="3">
        <f>2775.1+(931.4-1015.8)+(-2.830602+(-0.950028--1.036116))+0-719.9--0.734298000000115</f>
        <v>1968.7897839999998</v>
      </c>
      <c r="S302" s="3">
        <f>2709.3+(557.3-751.9)+(0+(0-0))+0-549.1-0</f>
        <v>1965.6000000000004</v>
      </c>
      <c r="T302" s="3">
        <f>2592.5+(598.9-611.3)+(-1.322175+(-0.305439--0.311763))+0-514.9--0.262598999999948</f>
        <v>2064.1467480000001</v>
      </c>
      <c r="U302" s="3">
        <f>2592.9+(619.1-585.9)+(1.322379+(0.315741-0.298809))+0-590-0.30089999999994</f>
        <v>2037.1384110000006</v>
      </c>
      <c r="V302" s="3">
        <f>2596.8+(625.9-467.3)+(1.324368+(0.319209-0.238323))+0-728-0.371279999999926</f>
        <v>2028.433974</v>
      </c>
      <c r="W302" s="3">
        <f>2901.8+(850.6-747.5)+(1.479918+(0.433806-0.381225))+0-615.1-0.313700999999938</f>
        <v>2391.0187980000001</v>
      </c>
      <c r="X302" s="3">
        <f>3139.7+(1118.8-1293.9)+(-6.404988+(-2.282352--2.639556))+0-625.2--1.27540799999997</f>
        <v>2334.6276239999993</v>
      </c>
      <c r="Y302" s="3">
        <f>2948.9+(945.8-1005.8)+(-1.503939+(-0.482358--0.512958))+0-640.9--0.326858999999935</f>
        <v>2246.8535199999997</v>
      </c>
      <c r="Z302" s="3">
        <f>2565.2+(812.2-571.8)+(-3.924756+(-1.242666--0.874854))+0-623.6--0.954108000000036</f>
        <v>2178.6615400000001</v>
      </c>
      <c r="AA302" s="3">
        <f>2566.3+(796.1-443.5)+(-3.926439+(-1.218033--0.678555))+0-836.1--1.27923300000005</f>
        <v>2079.6133160000004</v>
      </c>
      <c r="AB302" s="3">
        <f>2569.2+(619-431.1)+(-3.930876+(-0.94707--0.659583))+0-674.5--1.03198500000004</f>
        <v>2079.413622</v>
      </c>
      <c r="AC302" s="3">
        <f>2556.9+(440.1-329.6)+(-3.912057+(-0.673353--0.504288))+0-848.9--1.29881700000005</f>
        <v>1815.717695</v>
      </c>
      <c r="AD302">
        <v>2495.3000000000002</v>
      </c>
      <c r="AE302" s="3">
        <f>3300+(1143.8-1270.6)+(0+(0-0))+0-677.9-0</f>
        <v>2495.2999999999997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2443+(346-394.1)+(-3.73779+(-0.52938--0.602973))+0-701.8--1.07375400000004</f>
        <v>1690.5095570000001</v>
      </c>
      <c r="G303" s="3">
        <f>2327.2+(367.4-393.5)+(-2.373744+(-0.374748--0.40137))+0-775--0.790500000000124</f>
        <v>1524.5433779999998</v>
      </c>
      <c r="H303" s="3">
        <f>2256.1+(540.1-383.9)+(1.150611+(0.275451-0.195789))+0-786.6-0.40116599999992</f>
        <v>1626.5291070000005</v>
      </c>
      <c r="I303" s="3">
        <f>2265.9+(410.1-451.7)+(-3.466827+(-0.627453--0.691101))+0-573.7--0.877761000000033</f>
        <v>1648.0745820000002</v>
      </c>
      <c r="J303" s="3">
        <f>2198.4+(406.9-432.7)+(2.242368+(0.415038-0.441354))+0-509.8-0.519996000000081</f>
        <v>1664.4960560000002</v>
      </c>
      <c r="K303" s="3">
        <f>2178.5+(590.9-399.6)+(3.333105+(0.904077-0.611388))+0-723.6-1.10710800000004</f>
        <v>1648.7186860000002</v>
      </c>
      <c r="L303" s="3">
        <f>2284.1+(565-358.4)+(2.329782+(0.5763-0.365568))+0-770.7-0.786114000000123</f>
        <v>1721.7543999999994</v>
      </c>
      <c r="M303" s="3">
        <f>2383.1+(380-418.7)+(0+(0-0))+0-531.7-0</f>
        <v>1812.7</v>
      </c>
      <c r="N303" s="3">
        <f>2510.9+(176.1-326.7)+(0+(0-0))+0-362.7-0</f>
        <v>1997.6000000000001</v>
      </c>
      <c r="O303" s="3">
        <f>2804.2+(425.2-834.5)+(-1.430142+(-0.216852--0.425595))+0-331.5--0.169064999999966</f>
        <v>2062.3476659999997</v>
      </c>
      <c r="P303" s="3">
        <f>2850.8+(723.5-896.5)+(-2.907816+(-0.73797--0.91443))+0-512.9--0.523158000000082</f>
        <v>2162.6918020000003</v>
      </c>
      <c r="Q303" s="3">
        <f>2991.1+(985.9-1144.8)+(-1.525461+(-0.502809--0.583848))+0-634.9--0.323798999999936</f>
        <v>2196.1793769999995</v>
      </c>
      <c r="R303" s="3">
        <f>2961.4+(832-1124.8)+(-4.530942+(-1.27296--1.720944))+0-642.5--0.983025000000037</f>
        <v>2023.0000670000004</v>
      </c>
      <c r="S303" s="3">
        <f>2768.3+(503.9-682.2)+(-1.411833+(-0.256989--0.347922))+0-625.8--0.319157999999936</f>
        <v>1963.1982579999999</v>
      </c>
      <c r="T303" s="3">
        <f>2755.4+(504.9-662.5)+(-1.405254+(-0.257499--0.337875))+0-559--0.285089999999943</f>
        <v>2037.7602120000001</v>
      </c>
      <c r="U303" s="3">
        <f>2707.8+(386.9-585.1)+(-2.761956+(-0.394638--0.596802))+0-507.5--0.517650000000081</f>
        <v>2000.0578580000004</v>
      </c>
      <c r="V303" s="3">
        <f>2641+(428.1-431.7)+(2.69382+(0.436662-0.440334))+0-645.6-0.658512000000103</f>
        <v>1993.8316360000001</v>
      </c>
      <c r="W303" s="3">
        <f>2814.4+(839-946.6)+(1.435344+(0.42789-0.482766))+0-510.4-0.260303999999948</f>
        <v>2197.520164</v>
      </c>
      <c r="X303" s="3">
        <f>3023.1+(1157.2-1252.8)+(-3.083562+(-1.180344--1.277856))+0-631.1--0.643722000000101</f>
        <v>2294.0576720000004</v>
      </c>
      <c r="Y303" s="3">
        <f>2698.6+(958.2-761.4)+(-5.505144+(-1.954728--1.553256))+0-608.4--1.24113599999997</f>
        <v>2282.3345199999999</v>
      </c>
      <c r="Z303" s="3">
        <f>2570.7+(774.6-469.3)+(-3.933171+(-1.185138--0.718029))+0-722.9--1.10603700000004</f>
        <v>2149.8057570000001</v>
      </c>
      <c r="AA303" s="3">
        <f>2574.8+(486.1-256.9)+(-2.626296+(-0.495822--0.262038))+0-734.2--0.748884000000117</f>
        <v>2067.6888039999999</v>
      </c>
      <c r="AB303" s="3">
        <f>2578+(444.5-273.9)+(-3.94434+(-0.680085--0.419067))+0-773.6--1.18360800000004</f>
        <v>1971.9782499999999</v>
      </c>
      <c r="AC303" s="3">
        <f>2448.6+(537.8-394.2)+(-4.995144+(-1.097112--0.804168))+0-693.7--1.41514799999997</f>
        <v>1894.62706</v>
      </c>
      <c r="AD303">
        <v>2230.6999999999998</v>
      </c>
      <c r="AE303" s="3">
        <f>3044+(1112.3-1257.4)+(0+(0-0))+0-668.2-0</f>
        <v>2230.6999999999998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2146.9+(484.7-212.3)+(-3.284757+(-0.741591--0.324819))+0-784.7--1.20059100000005</f>
        <v>1632.0990620000002</v>
      </c>
      <c r="G304" s="3">
        <f>2025.8+(604.8-182.8)+(-1.033158+(-0.308448--0.093228))+0-746.5--0.380714999999924</f>
        <v>1700.432337</v>
      </c>
      <c r="H304" s="3">
        <f>1849.7+(717-151.7)+(1.886694+(0.73134-0.154734))+0-797.3-0.813246000000127</f>
        <v>1619.3500539999998</v>
      </c>
      <c r="I304" s="3">
        <f>1852.1+(656.4-130.4)+(1.889142+(0.669528-0.133008))+0-733.4-0.748068000000117</f>
        <v>1646.3775939999998</v>
      </c>
      <c r="J304" s="3">
        <f>1912.8+(613.9-128.3)+(-1.951056+(-0.626178--0.130866))+0-768.6--0.783972000000123</f>
        <v>1628.1376040000005</v>
      </c>
      <c r="K304" s="3">
        <f>2153.2+(410.6-205.6)+(-1.098132+(-0.209406--0.104856))+0-734.1--0.374390999999926</f>
        <v>1623.2717089999996</v>
      </c>
      <c r="L304" s="3">
        <f>2496.7+(401.3-278.2)+(-3.819951+(-0.613989--0.425646))+0-817.5--1.25077500000005</f>
        <v>1799.5424809999995</v>
      </c>
      <c r="M304" s="3">
        <f>2573.8+(329.6-326.8)+(-3.937914+(-0.504288--0.500004))+0-766.3--1.17243900000004</f>
        <v>1807.5302410000002</v>
      </c>
      <c r="N304" s="3">
        <f>2564.3+(329.9-201.8)+(1.307793+(0.168249-0.102918))+0-815.4-0.415853999999917</f>
        <v>1877.9572700000003</v>
      </c>
      <c r="O304" s="3">
        <f>2558.1+(530.6-315.2)+(-2.609262+(-0.541212--0.321504))+0-674.4--0.687888000000108</f>
        <v>2096.9589179999998</v>
      </c>
      <c r="P304" s="3">
        <f>2802.2+(716.4-613.3)+(1.429122+(0.365364-0.312783))+0-721.6-0.368015999999927</f>
        <v>2184.8136869999998</v>
      </c>
      <c r="Q304" s="3">
        <f>3012.9+(729.8-934.6)+(-3.073158+(-0.744396--0.953292))+0-642.1--0.654942000000102</f>
        <v>2163.7906800000001</v>
      </c>
      <c r="R304" s="3">
        <f>2758.6+(528.4-610.1)+(-1.406886+(-0.269484--0.311151))+0-660--0.336599999999933</f>
        <v>2015.8713809999997</v>
      </c>
      <c r="S304" s="3">
        <f>2767.5+(402.3-541.2)+(-1.411425+(-0.205173--0.276012))+0-711.7--0.362966999999928</f>
        <v>1915.9223810000001</v>
      </c>
      <c r="T304" s="3">
        <f>2771.6+(433.3-514.3)+(-1.413516+(-0.220983--0.262293))+0-653.1--0.333080999999934</f>
        <v>2036.460875</v>
      </c>
      <c r="U304" s="3">
        <f>2764.2+(374.3-498.1)+(0+(0-0))+0-634.5-0</f>
        <v>2005.8999999999996</v>
      </c>
      <c r="V304" s="3">
        <f>2809+(364.7-524.8)+(0+(0-0))+0-703-0</f>
        <v>1945.9</v>
      </c>
      <c r="W304" s="3">
        <f>2896.2+(691-708.6)+(1.477062+(0.35241-0.361386))+0-608.7-0.310436999999938</f>
        <v>2271.0576489999994</v>
      </c>
      <c r="X304" s="3">
        <f>2904.2+(982.3-971.2)+(-5.924568+(-2.003892--1.981248))+0-684.8--1.39699199999997</f>
        <v>2225.9497799999999</v>
      </c>
      <c r="Y304" s="3">
        <f>2827.1+(748.1-769.7)+(-5.767284+(-1.526124--1.570188))+0-686.2--1.39984799999997</f>
        <v>2114.9766280000003</v>
      </c>
      <c r="Z304" s="3">
        <f>2775.3+(653.8-739.1)+(0+(0-0))+0-674.1-0</f>
        <v>2015.9</v>
      </c>
      <c r="AA304" s="3">
        <f>2582.9+(546.9-498.9)+(-7.903674+(-1.673514--1.526634))+0-702.4--2.14934400000008</f>
        <v>1922.5987900000002</v>
      </c>
      <c r="AB304" s="3">
        <f>2487.7+(544.2-388.6)+(-3.806181+(-0.832626--0.594558))+0-721.8--1.10435400000004</f>
        <v>1918.5601049999998</v>
      </c>
      <c r="AC304" s="3">
        <f>2412.3+(316.5-320.7)+(-9.842184+(-1.29132--1.308456))+0-690.4--2.81683199999994</f>
        <v>1710.6917840000001</v>
      </c>
      <c r="AD304">
        <v>2166.8000000000002</v>
      </c>
      <c r="AE304" s="3">
        <f>2895+(1017.1-982.8)+(0+(0-0))+0-762.5-0</f>
        <v>2166.8000000000002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2293.9+(399-282.6)+(-4.679556+(-0.81396--0.576504))+0-759.3--1.54897199999997</f>
        <v>1647.6319600000004</v>
      </c>
      <c r="G305" s="3">
        <f>2206.4+(542.2-344.3)+(-4.501056+(-1.106088--0.702372))+0-757.5--1.54529999999997</f>
        <v>1643.4405280000003</v>
      </c>
      <c r="H305" s="3">
        <f>2198.4+(493.7-394.7)+(-6.727104+(-1.510722--1.207782))+0-776.5--2.37609000000009</f>
        <v>1516.2460460000002</v>
      </c>
      <c r="I305" s="3">
        <f>2190.8+(504.8-383.3)+(0+(0-0))+0-834.3-0</f>
        <v>1478.0000000000002</v>
      </c>
      <c r="J305" s="3">
        <f>2117.8+(603.5-385.5)+(2.160156+(0.61557-0.39321))+0-826.3-0.842826000000132</f>
        <v>1511.0396900000003</v>
      </c>
      <c r="K305" s="3">
        <f>2118.6+(504-354.1)+(0+(0-0))+0-712.3-0</f>
        <v>1556.2</v>
      </c>
      <c r="L305" s="3">
        <f>2238.6+(481.5-296.9)+(-1.141686+(-0.245565--0.151419))+0-785.1--0.40040099999992</f>
        <v>1637.2645689999999</v>
      </c>
      <c r="M305" s="3">
        <f>2328.3+(465.9-268.2)+(0+(0-0))+0-712.1-0</f>
        <v>1813.9</v>
      </c>
      <c r="N305" s="3">
        <f>2448.1+(538-270.6)+(2.497062+(0.54876-0.276012))+0-693.1-0.706962000000111</f>
        <v>2024.4628479999997</v>
      </c>
      <c r="O305" s="3">
        <f>2590.6+(707.4-464.2)+(2.642412+(0.721548-0.473484))+0-546.4-0.557328000000087</f>
        <v>2289.7331479999998</v>
      </c>
      <c r="P305" s="3">
        <f>2618.9+(935-875.2)+(4.006917+(1.43055-1.339056))+0-556.1-0.850833000000032</f>
        <v>2125.8475779999999</v>
      </c>
      <c r="Q305" s="3">
        <f>2615.7+(1028-910.6)+(1.334007+(0.52428-0.464406))+0-502.6-0.256325999999949</f>
        <v>2231.6375549999998</v>
      </c>
      <c r="R305" s="3">
        <f>2565+(713.1-886.8)+(-5.2326+(-1.454724--1.809072))+0-479.3--0.977771999999979</f>
        <v>1908.0995200000002</v>
      </c>
      <c r="S305" s="3">
        <f>2586.3+(415.8-615.4)+(-2.638026+(-0.424116--0.627708))+0-522.9--0.533358000000083</f>
        <v>1861.8989240000005</v>
      </c>
      <c r="T305" s="3">
        <f>2617.9+(435.4-527.7)+(0+(0-0))+0-698.1-0</f>
        <v>1827.5</v>
      </c>
      <c r="U305" s="3">
        <f>2633.7+(244.4-440.1)+(0+(0-0))+0-644.3-0</f>
        <v>1793.7</v>
      </c>
      <c r="V305" s="3">
        <f>2607.9+(279.8-417.2)+(-3.990087+(-0.428094--0.638316))+0-725.5--1.11001500000004</f>
        <v>1742.33015</v>
      </c>
      <c r="W305" s="3">
        <f>2681.1+(489.8-472.3)+(4.102083+(0.749394-0.722619))+0-647.1-0.990063000000037</f>
        <v>2054.6387949999998</v>
      </c>
      <c r="X305" s="3">
        <f>2793.6+(687.1-734.2)+(-2.849472+(-0.700842--0.748884))+0-643.6--0.656472000000103</f>
        <v>2100.7550420000002</v>
      </c>
      <c r="Y305" s="3">
        <f>2723.6+(568.5-621.6)+(-5.556144+(-1.15974--1.268064))+0-624.2--1.27336799999997</f>
        <v>2042.125548</v>
      </c>
      <c r="Z305" s="3">
        <f>2651.5+(434.9-431.8)+(-6.761325+(-1.108995--1.10109))+0-712.1--1.8158549999999</f>
        <v>1937.5466249999999</v>
      </c>
      <c r="AA305" s="3">
        <f>2556.7+(240.1-288.5)+(-3.911751+(-0.367353--0.441405))+0-640.3--0.979659000000037</f>
        <v>1865.1419599999997</v>
      </c>
      <c r="AB305" s="3">
        <f>2501.8+(361.7-376)+(-1.275918+(-0.184467--0.19176))+0-691.7--0.35276699999993</f>
        <v>1794.8841419999997</v>
      </c>
      <c r="AC305" s="3">
        <f>2376.6+(420-450.7)+(-2.424132+(-0.4284--0.459714))+0-685.6--0.699312000000109</f>
        <v>1658.6064940000006</v>
      </c>
      <c r="AD305">
        <v>2105</v>
      </c>
      <c r="AE305" s="3">
        <f>2792+(697.9-742)+(0+(0-0))+0-642.9-0</f>
        <v>2105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2272.9+(368-310.3)+(-2.318358+(-0.37536--0.316506))+0-679.3--0.692886000000108</f>
        <v>1649.6156740000001</v>
      </c>
      <c r="G306" s="3">
        <f>2135.8+(336.5-367.4)+(0+(0-0))+0-576.8-0</f>
        <v>1528.1000000000001</v>
      </c>
      <c r="H306" s="3">
        <f>2095.1+(410.2-297.9)+(1.068501+(0.209202-0.151929))+0-760-0.387599999999923</f>
        <v>1448.1381740000002</v>
      </c>
      <c r="I306" s="3">
        <f>2091.7+(552-347.6)+(2.133534+(0.56304-0.354552))+0-770.5-0.785910000000123</f>
        <v>1527.1561119999997</v>
      </c>
      <c r="J306" s="3">
        <f>2111.5+(523.5-286.6)+(0+(0-0))+0-881-0</f>
        <v>1467.4</v>
      </c>
      <c r="K306" s="3">
        <f>2180.5+(428.2-440)+(0+(0-0))+0-728.5-0</f>
        <v>1440.1999999999998</v>
      </c>
      <c r="L306" s="3">
        <f>2190.7+(538.1-390.3)+(0+(0-0))+0-847.1-0</f>
        <v>1491.4</v>
      </c>
      <c r="M306" s="3">
        <f>2123+(537.5-422.4)+(-3.24819+(-0.822375--0.646272))+0-755.8--1.15637400000004</f>
        <v>1480.0320810000001</v>
      </c>
      <c r="N306" s="3">
        <f>2188+(351.7-358.1)+(2.23176+(0.358734-0.365262))+0-694.5-0.708390000000111</f>
        <v>1488.6168419999997</v>
      </c>
      <c r="O306" s="3">
        <f>2367.9+(291.9-296.3)+(-1.207629+(-0.148869--0.151113))+0-697.1--0.355520999999929</f>
        <v>1665.5501359999998</v>
      </c>
      <c r="P306" s="3">
        <f>2600.4+(345.9-738.4)+(-1.326204+(-0.176409--0.376584))+0-545.6--0.278255999999945</f>
        <v>1661.4522270000002</v>
      </c>
      <c r="Q306" s="3">
        <f>2663.3+(457.9-880)+(-1.358283+(-0.233529--0.4488))+0-556.2--0.283661999999944</f>
        <v>1684.1406500000003</v>
      </c>
      <c r="R306" s="3">
        <f>2562.2+(323-697.4)+(-3.920166+(-0.49419--1.067022))+0-536--0.820080000000031</f>
        <v>1649.2727459999996</v>
      </c>
      <c r="S306" s="3">
        <f>2268.5+(172.9-252.9)+(-4.62774+(-0.352716--0.515916))+0-595.7--1.21522799999997</f>
        <v>1589.550688</v>
      </c>
      <c r="T306" s="3">
        <f>2214.1+(162.1-353.2)+(-3.387573+(-0.248013--0.540396))+0-464--0.709920000000027</f>
        <v>1556.61473</v>
      </c>
      <c r="U306" s="3">
        <f>2182.4+(230.8-328.9)+(0+(0-0))+0-528.4-0</f>
        <v>1555.9</v>
      </c>
      <c r="V306" s="3">
        <f>2183.4+(260.3-290.8)+(0+(0-0))+0-626.9-0</f>
        <v>1526</v>
      </c>
      <c r="W306" s="3">
        <f>2557+(482.7-733.3)+(-1.30407+(-0.246177--0.373983))+0-600.7--0.306356999999939</f>
        <v>1704.8300929999998</v>
      </c>
      <c r="X306" s="3">
        <f>2758.3+(811.6-1043.9)+(0+(0-0))+0-636.8-0</f>
        <v>1889.2</v>
      </c>
      <c r="Y306" s="3">
        <f>2748+(922.4-1141.7)+(-5.60592+(-1.881696--2.329068))+0-662.8--1.35211199999997</f>
        <v>1862.093564</v>
      </c>
      <c r="Z306" s="3">
        <f>2495.8+(754.5-777.1)+(-2.545716+(-0.76959--0.792642))+0-635.4--0.648108000000101</f>
        <v>1835.9254440000002</v>
      </c>
      <c r="AA306" s="3">
        <f>2382.7+(753.7-549.4)+(-1.215177+(-0.384387--0.280194))+0-782.1--0.398870999999921</f>
        <v>1803.9795009999998</v>
      </c>
      <c r="AB306" s="3">
        <f>2388.4+(662.5-544.5)+(-6.09042+(-1.689375--1.388475))+0-753.4--1.92116999999989</f>
        <v>1748.5298499999997</v>
      </c>
      <c r="AC306" s="3">
        <f>2372+(498.9-473.7)+(-4.83888+(-1.017756--0.966348))+0-790.1--1.61180399999997</f>
        <v>1603.8215159999997</v>
      </c>
      <c r="AD306">
        <v>1809.7</v>
      </c>
      <c r="AE306" s="3">
        <f>2751+(891.9-1041.4)+(0+(0-0))+0-791.8-0</f>
        <v>1809.7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2346.7+(272.1-434)+(-2.393634+(-0.277542--0.44268))+0-721.9--0.736338000000115</f>
        <v>1461.4078419999996</v>
      </c>
      <c r="G307" s="3">
        <f>2260.8+(366.3-345.5)+(-1.153008+(-0.186813--0.176205))+0-819.4--0.417893999999917</f>
        <v>1461.4542780000004</v>
      </c>
      <c r="H307" s="3">
        <f>2183.4+(374-360.6)+(-4.454136+(-0.76296--0.735624))+0-755.8--1.54183199999997</f>
        <v>1438.0603600000002</v>
      </c>
      <c r="I307" s="3">
        <f>2100.8+(474.2-280.9)+(1.071408+(0.241842-0.143259))+0-866.4-0.441863999999912</f>
        <v>1428.4281270000006</v>
      </c>
      <c r="J307" s="3">
        <f>2100.4+(437.4-353.8)+(2.142408+(0.446148-0.360876))+0-717.4-0.731748000000114</f>
        <v>1468.0959319999997</v>
      </c>
      <c r="K307" s="3">
        <f>2103.5+(458.5-291.4)+(2.14557+(0.46767-0.297228))+0-782.4-0.798048000000125</f>
        <v>1489.7179639999995</v>
      </c>
      <c r="L307" s="3">
        <f>2205.5+(363.5-412.7)+(2.24961+(0.37077-0.420954))+0-630.7-0.643314000000101</f>
        <v>1527.1561120000001</v>
      </c>
      <c r="M307" s="3">
        <f>2276.2+(210.5-431.6)+(-2.321724+(-0.21471--0.440232))+0-427.2--0.435744000000068</f>
        <v>1626.2395419999998</v>
      </c>
      <c r="N307" s="3">
        <f>2261.2+(414.3-136.4)+(4.612848+(0.845172-0.278256))+0-635.8-1.29703199999997</f>
        <v>1907.182732</v>
      </c>
      <c r="O307" s="3">
        <f>2332.1+(689.3-591.5)+(2.378742+(0.703086-0.60333))+0-573.7-0.585174000000092</f>
        <v>1858.0933239999995</v>
      </c>
      <c r="P307" s="3">
        <f>2532.3+(1047.4-1060.9)+(-3.874419+(-1.602522--1.623177))+0-574.8--0.879444000000033</f>
        <v>1941.0256800000002</v>
      </c>
      <c r="Q307" s="3">
        <f>2507.1+(969.2-1046.7)+(-2.557242+(-0.988584--1.067634))+0-449.2--0.458184000000072</f>
        <v>1978.3799919999999</v>
      </c>
      <c r="R307" s="3">
        <f>2544.8+(930.3-1045.8)+(-3.893544+(-1.423359--1.600074))+0-612.2--0.936666000000035</f>
        <v>1814.3198370000002</v>
      </c>
      <c r="S307" s="3">
        <f>2547.6+(625.3-904.1)+(1.299276+(0.318903-0.461091))+0-548.3-0.279632999999944</f>
        <v>1721.3774549999998</v>
      </c>
      <c r="T307" s="3">
        <f>2565.9+(676.1-889.3)+(-3.925827+(-1.034433--1.360629))+0-588.9--0.901017000000034</f>
        <v>1761.1013860000003</v>
      </c>
      <c r="U307" s="3">
        <f>2412.4+(737.3-763.2)+(-1.230324+(-0.376023--0.389232))+0-612.7--0.312476999999938</f>
        <v>1772.895362</v>
      </c>
      <c r="V307" s="3">
        <f>2408.4+(449-619.7)+(-2.456568+(-0.45798--0.632094))+0-528.1--0.538662000000084</f>
        <v>1707.8562079999999</v>
      </c>
      <c r="W307" s="3">
        <f>2503.1+(657.2-589.9)+(3.829743+(1.005516-0.902547))+0-656.8-1.00490400000004</f>
        <v>1916.5278079999998</v>
      </c>
      <c r="X307" s="3">
        <f>2521.9+(919.5-683.6)+(0+(0-0))+0-670.5-0</f>
        <v>2087.3000000000002</v>
      </c>
      <c r="Y307" s="3">
        <f>2318.5+(907.5-463.5)+(-3.547305+(-1.388475--0.709155))+0-728.5--1.11460500000004</f>
        <v>2030.8879800000002</v>
      </c>
      <c r="Z307" s="3">
        <f>2232.2+(687.8-411.2)+(-3.415266+(-1.052334--0.629136))+0-623--0.953190000000036</f>
        <v>1882.9147259999997</v>
      </c>
      <c r="AA307" s="3">
        <f>2207.8+(663.5-341.9)+(-5.62989+(-1.691925--0.871845))+0-688--1.7543999999999</f>
        <v>1836.7044299999998</v>
      </c>
      <c r="AB307" s="3">
        <f>2204.5+(636.8-246.4)+(-5.621475+(-1.62384--0.62832))+0-754.1--1.92295499999989</f>
        <v>1836.1059600000003</v>
      </c>
      <c r="AC307" s="3">
        <f>2170.2+(671.9-456.9)+(-1.106802+(-0.342669--0.233019))+0-663.9--0.338588999999933</f>
        <v>1720.4221369999996</v>
      </c>
      <c r="AD307">
        <v>2078.3000000000002</v>
      </c>
      <c r="AE307" s="3">
        <f>2509+(987.5-688.4)+(0+(0-0))+0-729.8-0</f>
        <v>2078.3000000000002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1840+(810.5-321.9)+(0+(0-0))+0-794.8-0</f>
        <v>1533.8</v>
      </c>
      <c r="G308" s="3">
        <f>1826+(658.7-290.1)+(-0.93126+(-0.335937--0.147951))+0-665.4--0.339353999999932</f>
        <v>1528.4201079999996</v>
      </c>
      <c r="H308" s="3">
        <f>1826+(660.5-178.8)+(0+(0-0))+0-814-0</f>
        <v>1493.6999999999998</v>
      </c>
      <c r="I308" s="3">
        <f>1696+(517.8-171.5)+(0+(0-0))+0-731.8-0</f>
        <v>1310.5</v>
      </c>
      <c r="J308" s="3">
        <f>1625.8+(516.5-122.6)+(1.658316+(0.52683-0.125052))+0-636-0.648720000000101</f>
        <v>1385.1113739999996</v>
      </c>
      <c r="K308" s="3">
        <f>1636+(610.7-124.9)+(0.83436+(0.311457-0.063699))+0-683.7-0.348686999999931</f>
        <v>1438.833431</v>
      </c>
      <c r="L308" s="3">
        <f>1656+(452.6-198.6)+(0+(0-0))+0-585.8-0</f>
        <v>1324.2</v>
      </c>
      <c r="M308" s="3">
        <f>1643+(353.7-124.4)+(-1.67586+(-0.360774--0.126888))+0-590.2--0.602004000000094</f>
        <v>1280.7922579999999</v>
      </c>
      <c r="N308" s="3">
        <f>1647+(410.1-125.2)+(1.67994+(0.418302-0.127704))+0-617.2-0.629544000000098</f>
        <v>1316.040994</v>
      </c>
      <c r="O308" s="3">
        <f>1682+(370.9-160.1)+(-2.57346+(-0.567477--0.244953))+0-559.1--0.855423000000032</f>
        <v>1331.659439</v>
      </c>
      <c r="P308" s="3">
        <f>2043+(295.3-215.2)+(-3.12579+(-0.451809--0.329256))+0-716.3--1.09593900000004</f>
        <v>1404.6475959999998</v>
      </c>
      <c r="Q308" s="3">
        <f>2137+(284.8-271.4)+(-5.44935+(-0.72624--0.69207))+0-685--1.7467499999999</f>
        <v>1461.6632299999997</v>
      </c>
      <c r="R308" s="3">
        <f>2137.7+(311.3-338.5)+(-2.180454+(-0.317526--0.34527))+0-650.5--0.663510000000104</f>
        <v>1458.5108000000002</v>
      </c>
      <c r="S308" s="3">
        <f>2143.3+(299.6-381.3)+(-1.093083+(-0.152796--0.194463))+0-644.8--0.328847999999935</f>
        <v>1416.0774320000005</v>
      </c>
      <c r="T308" s="3">
        <f>2144.4+(317.6-472.4)+(-1.093644+(-0.161976--0.240924))+0-584.9--0.298298999999941</f>
        <v>1403.9836030000001</v>
      </c>
      <c r="U308" s="3">
        <f>2141.3+(308.5-397.2)+(-4.368252+(-0.62934--0.810288))+0-636.7--1.29886799999997</f>
        <v>1413.0115640000001</v>
      </c>
      <c r="V308" s="3">
        <f>2055.4+(328.7-335.8)+(-1.048254+(-0.167637--0.171258))+0-637.5--0.325124999999935</f>
        <v>1410.080492</v>
      </c>
      <c r="W308" s="3">
        <f>2219.3+(363.4-307.3)+(0+(0-0))+0-700.6-0</f>
        <v>1574.8000000000002</v>
      </c>
      <c r="X308" s="3">
        <f>2550.4+(612.3-707.6)+(1.300704+(0.312273-0.360876))+0-725.1-0.369800999999926</f>
        <v>1730.8823000000002</v>
      </c>
      <c r="Y308" s="3">
        <f>2547.3+(594.5-749.8)+(-2.598246+(-0.60639--0.764796))+0-700.5--0.714510000000112</f>
        <v>1689.77467</v>
      </c>
      <c r="Z308" s="3">
        <f>2606.3+(614.3-810.8)+(-2.658426+(-0.626586--0.827016))+0-715.2--0.729504000000114</f>
        <v>1692.8715080000002</v>
      </c>
      <c r="AA308" s="3">
        <f>2605.3+(573-828.4)+(-3.986109+(-0.87669--1.267452))+0-612.8--0.937584000000035</f>
        <v>1734.4422370000002</v>
      </c>
      <c r="AB308" s="3">
        <f>2425.3+(642.4-559)+(-3.710709+(-0.982872--0.85527))+0-813.3--1.24434900000005</f>
        <v>1692.8060380000004</v>
      </c>
      <c r="AC308" s="3">
        <f>2166+(364.9-256.3)+(-5.5233+(-0.930495--0.653565))+0-644.3--1.64296499999991</f>
        <v>1626.1427350000001</v>
      </c>
      <c r="AD308">
        <v>1734.2000000000003</v>
      </c>
      <c r="AE308" s="3">
        <f>2626+(678.3-756.7)+(0+(0-0))+0-813.4-0</f>
        <v>1734.1999999999998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2034.7+(465.3-217.6)+(-5.188485+(-1.186515--0.55488))+0-785.6--2.00327999999989</f>
        <v>1492.9831600000002</v>
      </c>
      <c r="G309" s="3">
        <f>1949.6+(388.3-241.8)+(-3.977184+(-0.792132--0.493272))+0-619--1.26275999999997</f>
        <v>1474.0867159999998</v>
      </c>
      <c r="H309" s="3">
        <f>1859.6+(472.4-202.7)+(0.948396+(0.240924-0.103377))+0-691.9-0.35286899999993</f>
        <v>1438.1330739999999</v>
      </c>
      <c r="I309" s="3">
        <f>1858.1+(440-202.2)+(1.895262+(0.4488-0.206244))+0-679.5-0.693090000000108</f>
        <v>1417.844728</v>
      </c>
      <c r="J309" s="3">
        <f>1858.6+(484.9-203)+(0.947886+(0.247299-0.10353))+0-727.9-0.371228999999926</f>
        <v>1413.3204260000002</v>
      </c>
      <c r="K309" s="3">
        <f>1859.8+(505.8-215)+(0.948498+(0.257958-0.10965))+0-677.5-0.345524999999931</f>
        <v>1473.851281</v>
      </c>
      <c r="L309" s="3">
        <f>1938.6+(667.3-215.9)+(0.988686+(0.340323-0.110109))+0-711.8-0.363017999999928</f>
        <v>1679.0558819999999</v>
      </c>
      <c r="M309" s="3">
        <f>2069.1+(562.8-223.7)+(1.055241+(0.287028-0.114087))+0-665.8-0.339557999999932</f>
        <v>1743.2886239999998</v>
      </c>
      <c r="N309" s="3">
        <f>2211.7+(288.1-187)+(-1.127967+(-0.146931--0.09537))+0-398.8--0.20338799999996</f>
        <v>1913.0238599999996</v>
      </c>
      <c r="O309" s="3">
        <f>2332.6+(803.5-680.4)+(3.568878+(1.229355-1.041012))+0-597.3-0.913869000000034</f>
        <v>1861.2433519999997</v>
      </c>
      <c r="P309" s="3">
        <f>2424.2+(1201.9-936.4)+(2.472684+(1.225938-0.955128))+0-775.9-0.791418000000124</f>
        <v>1915.7520759999995</v>
      </c>
      <c r="Q309" s="3">
        <f>2689.3+(1313.8-1258.2)+(2.743086+(1.340076-1.283364))+0-773.6-0.789072000000123</f>
        <v>1973.3107260000002</v>
      </c>
      <c r="R309" s="3">
        <f>2605.6+(979.6-1199.6)+(-3.986568+(-1.498788--1.835388))+0-655.4--1.00276200000004</f>
        <v>1727.5527939999997</v>
      </c>
      <c r="S309" s="3">
        <f>2648.6+(772.4-1031.1)+(-5.403144+(-1.575696--2.103444))+0-667.3--1.36129199999997</f>
        <v>1719.0858960000003</v>
      </c>
      <c r="T309" s="3">
        <f>2651.6+(748-958)+(-1.352316+(-0.38148--0.48858))+0-700--0.356999999999929</f>
        <v>1740.7117840000001</v>
      </c>
      <c r="U309" s="3">
        <f>2581.1+(783.8-839.2)+(-3.949083+(-1.199214--1.283976))+0-773.6--1.18360800000004</f>
        <v>1749.4192869999999</v>
      </c>
      <c r="V309" s="3">
        <f>2406.6+(593.8-611.5)+(-2.454732+(-0.605676--0.62373))+0-604.1--0.616182000000096</f>
        <v>1782.9795039999999</v>
      </c>
      <c r="W309" s="3">
        <f>2639.2+(699.3-640.2)+(0+(0-0))+0-612.8-0</f>
        <v>2085.5</v>
      </c>
      <c r="X309" s="3">
        <f>2848.1+(935.7-941.3)+(-5.810124+(-1.908828--1.920252))+0-601.8--1.22767199999997</f>
        <v>2236.1289720000004</v>
      </c>
      <c r="Y309" s="3">
        <f>2770.6+(888.6-712)+(-7.06503+(-2.26593--1.8156))+0-788.4--2.01041999999989</f>
        <v>2153.2950599999999</v>
      </c>
      <c r="Z309" s="3">
        <f>2629.9+(599-474.7)+(-2.682498+(-0.61098--0.484194))+0-647.3--0.660246000000103</f>
        <v>2104.7509620000005</v>
      </c>
      <c r="AA309" s="3">
        <f>2626.8+(434.8-361)+(-1.339668+(-0.221748--0.18411))+0-667.8--0.340577999999932</f>
        <v>2031.7632720000004</v>
      </c>
      <c r="AB309" s="3">
        <f>2588.6+(398.2-255.3)+(-6.60093+(-1.01541--0.651015))+0-649.4--1.65596999999991</f>
        <v>2076.7906449999996</v>
      </c>
      <c r="AC309" s="3">
        <f>2491.9+(308.3-305.6)+(-2.541738+(-0.314466--0.311712))+0-689.3--0.70308600000011</f>
        <v>1803.4585940000002</v>
      </c>
      <c r="AD309">
        <v>2076.8000000000002</v>
      </c>
      <c r="AE309" s="3">
        <f>2849+(1003.1-979.5)+(0+(0-0))+0-795.8-0</f>
        <v>2076.8000000000002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2414.3+(285.3-230.3)+(-6.156465+(-0.727515--0.587265))+0-721.4--1.8395699999999</f>
        <v>1743.442855</v>
      </c>
      <c r="G310" s="3">
        <f>2325.7+(331.4-208.6)+(-2.372214+(-0.338028--0.212772))+0-766.7--0.782034000000122</f>
        <v>1680.0845640000002</v>
      </c>
      <c r="H310" s="3">
        <f>2326.7+(361.1-251.6)+(-5.933085+(-0.920805--0.64158))+0-753.1--1.92040499999989</f>
        <v>1678.8080949999999</v>
      </c>
      <c r="I310" s="3">
        <f>2115+(479.4-204.8)+(0+(0-0))+0-697-0</f>
        <v>1692.6</v>
      </c>
      <c r="J310" s="3">
        <f>2066.6+(577.6-199.8)+(1.053966+(0.294576-0.101898))+0-780-0.397799999999921</f>
        <v>1665.248844</v>
      </c>
      <c r="K310" s="3">
        <f>2120.5+(536.9-242.8)+(-1.081455+(-0.273819--0.123828))+0-761.5--0.388364999999923</f>
        <v>1652.2569190000002</v>
      </c>
      <c r="L310" s="3">
        <f>2169.1+(531.3-254.5)+(-3.318723+(-0.812889--0.389385))+0-741--1.13373000000004</f>
        <v>1702.2915029999995</v>
      </c>
      <c r="M310" s="3">
        <f>2165.5+(443.5-293.9)+(-2.20881+(-0.45237--0.299778))+0-662.2--0.675444000000106</f>
        <v>1651.2140420000001</v>
      </c>
      <c r="N310" s="3">
        <f>2270.9+(575-302.4)+(-1.158159+(-0.29325--0.154224))+0-764.3--0.389792999999922</f>
        <v>1778.292608</v>
      </c>
      <c r="O310" s="3">
        <f>2387.5+(521.2-343.6)+(-1.217625+(-0.265812--0.175236))+0-649.8--0.331397999999934</f>
        <v>1914.3231970000002</v>
      </c>
      <c r="P310" s="3">
        <f>2545.6+(625.1-618.9)+(0+(0-0))+0-706.2-0</f>
        <v>1845.6000000000001</v>
      </c>
      <c r="Q310" s="3">
        <f>2526.4+(713.7-662.2)+(-1.288464+(-0.363987--0.337722))+0-705.3--0.359702999999928</f>
        <v>1871.6449739999998</v>
      </c>
      <c r="R310" s="3">
        <f>2409.4+(486-679.3)+(-2.457588+(-0.49572--0.692886))+0-572.6--0.584052000000091</f>
        <v>1641.8236300000008</v>
      </c>
      <c r="S310" s="3">
        <f>2297+(688.8-587.5)+(-4.68588+(-1.405152--1.1985))+0-798.3--1.62853199999997</f>
        <v>1596.7360000000003</v>
      </c>
      <c r="T310" s="3">
        <f>2265.5+(522.7-524.6)+(-2.31081+(-0.533154--0.535092))+0-540.7--0.551514000000086</f>
        <v>1721.1426419999998</v>
      </c>
      <c r="U310" s="3">
        <f>2224.3+(567.7-537.3)+(1.134393+(0.289527-0.274023))+0-548.7-0.279836999999944</f>
        <v>1706.87006</v>
      </c>
      <c r="V310" s="3">
        <f>2222.4+(795.3-635.9)+(0+(0-0))+0-689.2-0</f>
        <v>1692.6000000000001</v>
      </c>
      <c r="W310" s="3">
        <f>2312.9+(1111.7-876.1)+(5.897895+(2.834835-2.234055))+0-762.5-1.94437499999989</f>
        <v>1790.5543</v>
      </c>
      <c r="X310" s="3">
        <f>2644+(1289.2-1199.3)+(-4.04532+(-1.972476--1.834929))+0-765.5--1.17121500000004</f>
        <v>1965.3883480000002</v>
      </c>
      <c r="Y310" s="3">
        <f>2584.3+(1089.6-1095.2)+(-5.271972+(-2.222784--2.234208))+0-681.4--1.39005599999997</f>
        <v>1893.4295079999995</v>
      </c>
      <c r="Z310" s="3">
        <f>2522.4+(932.7-838.2)+(-1.286424+(-0.475677--0.427482))+0-745.4--0.380153999999924</f>
        <v>1870.5455349999997</v>
      </c>
      <c r="AA310" s="3">
        <f>2347.6+(866.6-581.9)+(1.197276+(0.441966-0.296769))+0-763.2-0.389231999999923</f>
        <v>1870.0532410000003</v>
      </c>
      <c r="AB310" s="3">
        <f>2264.3+(743.9-417.3)+(-2.309586+(-0.758778--0.425646))+0-725.7--0.740214000000116</f>
        <v>1863.2974960000001</v>
      </c>
      <c r="AC310" s="3">
        <f>2125.6+(687.4-328.2)+(-4.336224+(-1.402296--0.669528))+0-776--1.58303999999997</f>
        <v>1705.3140479999997</v>
      </c>
      <c r="AD310">
        <v>2153.3000000000002</v>
      </c>
      <c r="AE310" s="3">
        <f>2717+(1439.5-1186.6)+(0+(0-0))+0-816.6-0</f>
        <v>2153.3000000000002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2128.9+(627.8-266.8)+(0+(0-0))+0-727.9-0</f>
        <v>1762</v>
      </c>
      <c r="G311" s="3">
        <f>2173.7+(475.2-218.3)+(-2.217174+(-0.484704--0.222666))+0-711.1--0.725322000000113</f>
        <v>1717.7461099999998</v>
      </c>
      <c r="H311" s="3">
        <f>2185.2+(414.2-186.5)+(-1.114452+(-0.211242--0.095115))+0-770.7--0.393056999999922</f>
        <v>1641.3624779999996</v>
      </c>
      <c r="I311" s="3">
        <f>2188.8+(461.7-214)+(1.116288+(0.235467-0.10914))+0-782.7-0.399176999999921</f>
        <v>1654.6434380000001</v>
      </c>
      <c r="J311" s="3">
        <f>2190.2+(429.5-243.4)+(1.117002+(0.219045-0.124134))+0-724.4-0.369443999999927</f>
        <v>1652.7424689999998</v>
      </c>
      <c r="K311" s="3">
        <f>2199.7+(444.1-300.9)+(2.243694+(0.452982-0.306918))+0-704.6-0.718692000000112</f>
        <v>1639.9710659999994</v>
      </c>
      <c r="L311" s="3">
        <f>2267.9+(618.1-351.3)+(1.156629+(0.315231-0.179163))+0-751.2-0.383111999999924</f>
        <v>1784.4095850000001</v>
      </c>
      <c r="M311" s="3">
        <f>2307.7+(634.9-352)+(0+(0-0))+0-663.4-0</f>
        <v>1927.1999999999998</v>
      </c>
      <c r="N311" s="3">
        <f>2418.5+(754.3-350.3)+(2.46687+(0.769386-0.357306))+0-704.3-0.718386000000112</f>
        <v>2120.3605640000001</v>
      </c>
      <c r="O311" s="3">
        <f>2516.6+(1085.9-906.7)+(2.566932+(1.107618-0.924834))+0-707.3-0.721446000000113</f>
        <v>1990.52827</v>
      </c>
      <c r="P311" s="3">
        <f>2530.2+(1128.7-1245.8)+(0+(0-0))+0-553.5-0</f>
        <v>1859.6</v>
      </c>
      <c r="Q311" s="3">
        <f>2530.4+(1249.6-1271.6)+(1.290504+(0.637296-0.648516))+0-672.7-0.343076999999932</f>
        <v>1836.6362070000002</v>
      </c>
      <c r="R311" s="3">
        <f>2762.8+(1070.8-1404.4)+(-4.227084+(-1.638324--2.148732))+0-606.8--0.928404000000035</f>
        <v>1819.6117279999999</v>
      </c>
      <c r="S311" s="3">
        <f>2691.3+(799.1-1188.7)+(0+(0-0))+0-542.7-0</f>
        <v>1759.0000000000002</v>
      </c>
      <c r="T311" s="3">
        <f>2343.8+(769.4-741.1)+(2.390676+(0.784788-0.755922))+0-539.3-0.550086000000086</f>
        <v>1834.6694560000003</v>
      </c>
      <c r="U311" s="3">
        <f>2424.8+(666.3-582.7)+(-1.236648+(-0.339813--0.297177))+0-626.5--0.319514999999936</f>
        <v>1880.9402309999998</v>
      </c>
      <c r="V311" s="3">
        <f>2562+(468.9-545.7)+(0+(0-0))+0-523-0</f>
        <v>1962.1999999999998</v>
      </c>
      <c r="W311" s="3">
        <f>2658.8+(847-882.4)+(1.355988+(0.43197-0.450024))+0-466.7-0.238016999999953</f>
        <v>2157.7999170000003</v>
      </c>
      <c r="X311" s="3">
        <f>2719+(1149.7-1151.8)+(-2.77338+(-1.172694--1.174836))+0-634.9--0.647598000000101</f>
        <v>2079.8763600000002</v>
      </c>
      <c r="Y311" s="3">
        <f>2788.4+(895.9-953.9)+(-2.844168+(-0.913818--0.972978))+0-694.7--0.708594000000111</f>
        <v>2033.6235860000004</v>
      </c>
      <c r="Z311" s="3">
        <f>2753.5+(661.3-637)+(-2.80857+(-0.674526--0.64974))+0-713.3--0.727566000000114</f>
        <v>2062.3942099999999</v>
      </c>
      <c r="AA311" s="3">
        <f>2607.8+(517-451.5)+(-2.659956+(-0.52734--0.46053))+0-679.3--0.692886000000108</f>
        <v>1991.96612</v>
      </c>
      <c r="AB311" s="3">
        <f>2477.7+(659.2-294.1)+(-1.263627+(-0.336192--0.149991))+0-803.6--0.409835999999918</f>
        <v>2038.1600079999998</v>
      </c>
      <c r="AC311" s="3">
        <f>2337.4+(625.5-295.4)+(-4.768296+(-1.27602--0.602616))+0-731.6--1.49246399999997</f>
        <v>1931.9507640000002</v>
      </c>
      <c r="AD311">
        <v>2128.1999999999998</v>
      </c>
      <c r="AE311" s="3">
        <f>2714+(1212.9-1059)+(0+(0-0))+0-739.7-0</f>
        <v>2128.1999999999998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2322.5+(530.3-407.3)+(0+(0-0))+0-643.3-0</f>
        <v>1802.2</v>
      </c>
      <c r="G312" s="3">
        <f>2300.4+(493.6-378.5)+(-1.173204+(-0.251736--0.193035))+0-650.8--0.331907999999934</f>
        <v>1763.8000029999998</v>
      </c>
      <c r="H312" s="3">
        <f>2282.4+(579.7-311.7)+(0+(0-0))+0-839-0</f>
        <v>1711.4</v>
      </c>
      <c r="I312" s="3">
        <f>2215.2+(615.6-331.8)+(3.389256+(0.941868-0.507654))+0-774.8-1.18544400000004</f>
        <v>1726.8380259999999</v>
      </c>
      <c r="J312" s="3">
        <f>2202.2+(585.8-369.8)+(0+(0-0))+0-672.7-0</f>
        <v>1745.4999999999998</v>
      </c>
      <c r="K312" s="3">
        <f>2161.9+(678.1-301.3)+(6.615414+(2.074986-0.921978))+0-832.9-2.5486740000001</f>
        <v>1711.0197480000002</v>
      </c>
      <c r="L312" s="3">
        <f>2229.9+(690.7-378.3)+(1.137249+(0.352257-0.192933))+0-739.1-0.376940999999925</f>
        <v>1804.1196320000004</v>
      </c>
      <c r="M312" s="3">
        <f>2246+(823-437.4)+(2.29092+(0.83946-0.446148))+0-717.5-0.731850000000114</f>
        <v>1916.0523819999999</v>
      </c>
      <c r="N312" s="3">
        <f>2298.1+(990.8-474.5)+(4.688124+(2.021232-0.96798))+0-700.9-1.42983599999997</f>
        <v>2117.8115399999997</v>
      </c>
      <c r="O312" s="3">
        <f>2394.1+(1061.2-718.8)+(4.883964+(2.164848-1.466352))+0-727.1-1.48328399999997</f>
        <v>2013.4991760000003</v>
      </c>
      <c r="P312" s="3">
        <f>2850.4+(1134.9-1043.9)+(1.453704+(0.578799-0.532389))+0-744.5-0.379694999999924</f>
        <v>2198.0204189999999</v>
      </c>
      <c r="Q312" s="3">
        <f>2891.3+(1113.9-1095.2)+(0+(0-0))+0-761.9-0</f>
        <v>2148.1</v>
      </c>
      <c r="R312" s="3">
        <f>2744.2+(942.1-992.9)+(-6.99771+(-2.402355--2.531895))+0-775.4--1.97726999999989</f>
        <v>1913.1090999999992</v>
      </c>
      <c r="S312" s="3">
        <f>2503.5+(755.6-682.3)+(-2.55357+(-0.770712--0.695946))+0-699.9--0.713898000000112</f>
        <v>1874.9855620000001</v>
      </c>
      <c r="T312" s="3">
        <f>2426.1+(784.2-644.1)+(2.474622+(0.799884-0.656982))+0-640.9-0.653718000000102</f>
        <v>1927.2638059999995</v>
      </c>
      <c r="U312" s="3">
        <f>2430.3+(817-642.9)+(0+(0-0))+0-708.8-0</f>
        <v>1895.6000000000001</v>
      </c>
      <c r="V312" s="3">
        <f>2430.7+(851.1-677.9)+(2.479314+(0.868122-0.691458))+0-717.6-0.731952000000114</f>
        <v>1888.2240259999994</v>
      </c>
      <c r="W312" s="3">
        <f>2579.2+(1090.2-847.4)+(3.946176+(1.668006-1.296522))+0-806.6-1.23409800000005</f>
        <v>2018.4835620000001</v>
      </c>
      <c r="X312" s="3">
        <f>2681.8+(1276.1-1105.9)+(-1.367718+(-0.650811--0.564009))+0-762.4--0.388823999999923</f>
        <v>2088.5343040000002</v>
      </c>
      <c r="Y312" s="3">
        <f>2687.2+(1065.3-996.1)+(-2.740944+(-1.086606--1.016022))+0-760.4--0.775608000000121</f>
        <v>1993.9640799999995</v>
      </c>
      <c r="Z312" s="3">
        <f>2681.8+(959-896.5)+(-2.735436+(-0.97818--0.91443))+0-814.8--0.83109600000013</f>
        <v>1927.5319100000002</v>
      </c>
      <c r="AA312" s="3">
        <f>2655.8+(853.2-827)+(-1.354458+(-0.435132--0.42177))+0-809.6--0.412895999999918</f>
        <v>1871.445076</v>
      </c>
      <c r="AB312" s="3">
        <f>2558.3+(737.6-630.6)+(-10.437864+(-3.009408--2.572848))+0-691.9--2.82295199999994</f>
        <v>1965.348528</v>
      </c>
      <c r="AC312" s="3">
        <f>2370.3+(762.2-539.9)+(-3.626559+(-1.166166--0.826047))+0-715--1.09395000000004</f>
        <v>1874.7272720000005</v>
      </c>
      <c r="AD312">
        <v>2217.6999999999998</v>
      </c>
      <c r="AE312" s="3">
        <f>2676+(1460.3-1095.8)+(0+(0-0))+0-822.8-0</f>
        <v>2217.6999999999998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2200.1+(818.3-496.6)+(1.122051+(0.417333-0.253266))+0-727.4-0.370973999999926</f>
        <v>1795.3151439999997</v>
      </c>
      <c r="G313" s="3">
        <f>2074.3+(969.5-499.2)+(-1.057893+(-0.494445--0.254592))+0-776.8--0.396167999999921</f>
        <v>1766.8984220000002</v>
      </c>
      <c r="H313" s="3">
        <f>2059.8+(940.4-491.9)+(0+(0-0))+0-801.3-0</f>
        <v>1707.0000000000002</v>
      </c>
      <c r="I313" s="3">
        <f>1982.7+(936.2-454.1)+(2.022354+(0.954924-0.463182))+0-763-0.778260000000122</f>
        <v>1703.535836</v>
      </c>
      <c r="J313" s="3">
        <f>1982+(891.5-433.7)+(-4.04328+(-1.81866--0.884748))+0-758.8--1.54795199999997</f>
        <v>1677.5707600000003</v>
      </c>
      <c r="K313" s="3">
        <f>2026.1+(925.2-461.1)+(-3.099933+(-1.415556--0.705483))+0-814.8--1.24664400000005</f>
        <v>1672.8366379999998</v>
      </c>
      <c r="L313" s="3">
        <f>2218.5+(710.7-534.7)+(-9.05148+(-2.899656--2.181576))+0-694.3--2.83274399999994</f>
        <v>1693.2631839999999</v>
      </c>
      <c r="M313" s="3">
        <f>2221.1+(798.7-664.6)+(-1.132761+(-0.407337--0.338946))+0-732.4--0.373523999999926</f>
        <v>1621.9723719999995</v>
      </c>
      <c r="N313" s="3">
        <f>2295.2+(765.6-728.2)+(0+(0-0))+0-676.4-0</f>
        <v>1656.1999999999998</v>
      </c>
      <c r="O313" s="3">
        <f>2286.1+(1038.1-743.1)+(-2.331822+(-1.058862--0.757962))+0-830.2--0.846804000000132</f>
        <v>1749.1140820000001</v>
      </c>
      <c r="P313" s="3">
        <f>2324.7+(986.6-743.3)+(0+(0-0))+0-683.7-0</f>
        <v>1884.3</v>
      </c>
      <c r="Q313" s="3">
        <f>2321.7+(867.3-717.9)+(-2.368134+(-0.884646--0.732258))+0-664.4--0.677688000000106</f>
        <v>1804.8571660000002</v>
      </c>
      <c r="R313" s="3">
        <f>2345.8+(853.6-712.3)+(-4.785432+(-1.741344--1.453092))+0-701.8--1.43167199999997</f>
        <v>1781.6579880000004</v>
      </c>
      <c r="S313" s="3">
        <f>2323.3+(688.1-729.6)+(-2.369766+(-0.701862--0.744192))+0-565.6--0.57691200000009</f>
        <v>1714.4494760000002</v>
      </c>
      <c r="T313" s="3">
        <f>2323.2+(457.6-780.4)+(-4.739328+(-0.933504--1.592016))+0-292.2--0.596087999999987</f>
        <v>1704.7152719999999</v>
      </c>
      <c r="U313" s="3">
        <f>2318.9+(472.6-787.9)+(-1.182639+(-0.241026--0.401829))+0-352.5--0.179774999999964</f>
        <v>1650.2579390000003</v>
      </c>
      <c r="V313" s="3">
        <f>2322+(476.5-771.4)+(-3.55266+(-0.729045--1.180242))+0-379--0.579870000000022</f>
        <v>1645.578407</v>
      </c>
      <c r="W313" s="3">
        <f>2456.5+(698.2-885.4)+(1.252815+(0.356082-0.451554))+0-558.5-0.284834999999943</f>
        <v>1711.6725080000001</v>
      </c>
      <c r="X313" s="3">
        <f>2837.9+(1068-1247.4)+(-2.894658+(-1.08936--1.272348))+0-766.1--0.781422000000122</f>
        <v>1890.469752</v>
      </c>
      <c r="Y313" s="3">
        <f>2763.4+(901.8-1178.6)+(0+(0-0))+0-618.8-0</f>
        <v>1867.8000000000004</v>
      </c>
      <c r="Z313" s="3">
        <f>2641.7+(935.8-1028)+(-2.694534+(-0.954516--1.04856))+0-739.3--0.754086000000118</f>
        <v>1808.3535960000004</v>
      </c>
      <c r="AA313" s="3">
        <f>2405.2+(842.3-726.4)+(-2.453304+(-0.859146--0.740928))+0-735.8--0.750516000000117</f>
        <v>1783.4789939999998</v>
      </c>
      <c r="AB313" s="3">
        <f>2339.5+(824.9-603.4)+(-1.193145+(-0.420699--0.307734))+0-835.8--0.426257999999915</f>
        <v>1724.320148</v>
      </c>
      <c r="AC313" s="3">
        <f>2191.8+(609.8-493.5)+(-4.471272+(-1.243992--1.00674))+0-643.9--1.31355599999997</f>
        <v>1660.8050320000002</v>
      </c>
      <c r="AD313">
        <v>1889.3</v>
      </c>
      <c r="AE313" s="3">
        <f>2895+(1188.8-1344.8)+(0+(0-0))+0-849.7-0</f>
        <v>1889.3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2156.3+(679.1-425)+(-5.498565+(-1.731705--1.08375))+0-687.2--1.7523599999999</f>
        <v>1718.8058400000002</v>
      </c>
      <c r="G314" s="3">
        <f>2116.6+(664.1-384.3)+(-2.158932+(-0.677382--0.391986))+0-756.7--0.771834000000121</f>
        <v>1638.0275060000001</v>
      </c>
      <c r="H314" s="3">
        <f>2006.4+(708.2-338.1)+(-4.093056+(-1.444728--0.689724))+0-768--1.56671999999997</f>
        <v>1605.2186600000002</v>
      </c>
      <c r="I314" s="3">
        <f>1969.9+(736.1-327.9)+(-3.013947+(-1.126233--0.501687))+0-768.9--1.17641700000004</f>
        <v>1606.7379240000005</v>
      </c>
      <c r="J314" s="3">
        <f>1965.6+(807-383.2)+(2.004912+(0.82314-0.390864))+0-748.3-0.763266000000119</f>
        <v>1642.7739219999999</v>
      </c>
      <c r="K314" s="3">
        <f>2000.3+(829.3-381.7)+(-2.040306+(-0.845886--0.389334))+0-823.2--0.839664000000131</f>
        <v>1623.0428060000002</v>
      </c>
      <c r="L314" s="3">
        <f>2321.4+(716.8-582.6)+(1.183914+(0.365568-0.297126))+0-681.9-0.347768999999931</f>
        <v>1774.6045869999998</v>
      </c>
      <c r="M314" s="3">
        <f>2561.1+(732.7-652.5)+(1.306161+(0.373677-0.332775))+0-728.7-0.371636999999926</f>
        <v>1913.5754260000003</v>
      </c>
      <c r="N314" s="3">
        <f>2591.7+(829.4-515)+(2.643534+(0.845988-0.5253))+0-737.9-0.752658000000118</f>
        <v>2170.4115639999995</v>
      </c>
      <c r="O314" s="3">
        <f>2779.3+(939.2-653.1)+(-1.417443+(-0.478992--0.333081))+0-795.9--0.405908999999919</f>
        <v>2268.3425550000002</v>
      </c>
      <c r="P314" s="3">
        <f>2770.6+(1088.2-967.2)+(-2.826012+(-1.109964--0.986544))+0-737.6--0.752352000000118</f>
        <v>2151.8029200000001</v>
      </c>
      <c r="Q314" s="3">
        <f>2772.6+(1199.4-1050.6)+(-2.828052+(-1.223388--1.071612))+0-820.3--0.836706000000131</f>
        <v>2098.956878</v>
      </c>
      <c r="R314" s="3">
        <f>2759.5+(872-1061.3)+(-8.44407+(-2.66832--3.247578))+0-722.6--2.21115600000008</f>
        <v>1841.9463440000002</v>
      </c>
      <c r="S314" s="3">
        <f>2618+(644.4-686.6)+(-4.00554+(-0.985932--1.050498))+0-760.2--1.16310600000004</f>
        <v>1812.822132</v>
      </c>
      <c r="T314" s="3">
        <f>2524.9+(809.7-605.6)+(-1.287699+(-0.412947--0.308856))+0-815.8--0.416057999999917</f>
        <v>1912.2242679999999</v>
      </c>
      <c r="U314" s="3">
        <f>2520.9+(615.1-590.1)+(-3.856977+(-0.941103--0.902853))+0-599.6--0.917388000000035</f>
        <v>1943.3221610000003</v>
      </c>
      <c r="V314" s="3">
        <f>2579.9+(500.9-431)+(1.315749+(0.255459-0.21981))+0-731.8-0.373217999999926</f>
        <v>1918.9781800000001</v>
      </c>
      <c r="W314" s="3">
        <f>2786.8+(666-860.9)+(-1.421268+(-0.33966--0.439059))+0-498.4--0.254183999999949</f>
        <v>2092.432315</v>
      </c>
      <c r="X314" s="3">
        <f>3156.2+(1268.4-1465)+(3.219324+(1.293768-1.4943))+0-695.7-0.709614000000111</f>
        <v>2266.2091779999992</v>
      </c>
      <c r="Y314" s="3">
        <f>3083.9+(1101-1258.6)+(-7.863945+(-2.80755--3.20943))+0-723.7--1.8454349999999</f>
        <v>2196.9833699999995</v>
      </c>
      <c r="Z314" s="3">
        <f>2949.4+(891.8-995.9)+(-4.512582+(-1.364454--1.523727))+0-725.8--1.11047400000004</f>
        <v>2116.257165</v>
      </c>
      <c r="AA314" s="3">
        <f>2765+(823.6-710.1)+(-9.87105+(-2.940252--2.535057))+0-823.1--2.93846700000001</f>
        <v>2048.062222</v>
      </c>
      <c r="AB314" s="3">
        <f>2702.7+(647.7-549.3)+(-5.513508+(-1.321308--1.120572))+0-819.8--1.67239199999996</f>
        <v>1977.2581480000001</v>
      </c>
      <c r="AC314" s="3">
        <f>2579.8+(223.3-276.6)+(-6.57849+(-0.569415--0.70533))+0-681.8--1.7385899999999</f>
        <v>1839.9960149999999</v>
      </c>
      <c r="AD314">
        <v>2230.8000000000002</v>
      </c>
      <c r="AE314" s="3">
        <f>3168+(1308.8-1417.6)+(0+(0-0))+0-828.4-0</f>
        <v>2230.7999999999997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2571+(172.5-232.7)+(0+(0-0))+0-774.9-0</f>
        <v>1735.9</v>
      </c>
      <c r="G315" s="3">
        <f>2536.9+(174.8-267)+(-6.469095+(-0.44574--0.68085))+0-782--1.99409999999989</f>
        <v>1658.4601150000003</v>
      </c>
      <c r="H315" s="3">
        <f>2493.9+(232.5-246.1)+(-3.815667+(-0.355725--0.376533))+0-841.6--1.28764800000005</f>
        <v>1636.1927890000002</v>
      </c>
      <c r="I315" s="3">
        <f>2465.4+(167.4-351.8)+(-5.029416+(-0.341496--0.717672))+0-636.8--1.29907199999997</f>
        <v>1640.845832</v>
      </c>
      <c r="J315" s="3">
        <f>2374.4+(372.4-247.5)+(3.632832+(0.569772-0.378675))+0-857.8-1.31243400000005</f>
        <v>1644.0114950000004</v>
      </c>
      <c r="K315" s="3">
        <f>2377.9+(266.7-270.5)+(-1.212729+(-0.136017--0.137955))+0-714.3--0.364292999999928</f>
        <v>1658.9535019999998</v>
      </c>
      <c r="L315" s="3">
        <f>2377.7+(318.3-419.1)+(0+(0-0))+0-555.4-0</f>
        <v>1721.4999999999995</v>
      </c>
      <c r="M315" s="3">
        <f>2451.5+(229.9-454.1)+(1.250265+(0.117249-0.231591))+0-489.6-0.24969599999995</f>
        <v>1738.5862270000002</v>
      </c>
      <c r="N315" s="3">
        <f>2586.7+(192.6-329.3)+(-3.957651+(-0.294678--0.503829))+0-519.3--0.79452900000003</f>
        <v>1927.7460289999999</v>
      </c>
      <c r="O315" s="3">
        <f>2781.9+(706-677.1)+(-1.418769+(-0.36006--0.345321))+0-689--0.35138999999993</f>
        <v>2120.7178819999999</v>
      </c>
      <c r="P315" s="3">
        <f>2767.5+(870-931.1)+(-5.6457+(-1.7748--1.899444))+0-607.5--1.23929999999997</f>
        <v>2094.6182440000002</v>
      </c>
      <c r="Q315" s="3">
        <f>2695.6+(1002.3-821.4)+(-4.124268+(-1.533519--1.256742))+0-673.7--1.03076100000004</f>
        <v>2199.4297159999996</v>
      </c>
      <c r="R315" s="3">
        <f>2642.7+(739.9-716.7)+(-9.434439+(-2.641443--2.558619))+0-614.1--2.19233700000001</f>
        <v>2044.4750739999995</v>
      </c>
      <c r="S315" s="3">
        <f>2488.8+(767.2-658.7)+(-3.807864+(-1.173816--1.007811))+0-662.3--1.01331900000004</f>
        <v>1932.0394500000004</v>
      </c>
      <c r="T315" s="3">
        <f>2434.7+(775.5-706.8)+(-1.241697+(-0.395505--0.360468))+0-460.7--0.234956999999953</f>
        <v>2041.6582229999995</v>
      </c>
      <c r="U315" s="3">
        <f>2435.5+(853.7-635.6)+(1.242105+(0.435387-0.324156))+0-589.5-0.30064499999994</f>
        <v>2065.1526910000002</v>
      </c>
      <c r="V315" s="3">
        <f>2556.2+(906.6-843.8)+(-2.607324+(-0.924732--0.860676))+0-654.1--0.667182000000104</f>
        <v>1962.895802</v>
      </c>
      <c r="W315" s="3">
        <f>2786.1+(1137.6-1130.7)+(0+(0-0))+0-674.9-0</f>
        <v>2118.1</v>
      </c>
      <c r="X315" s="3">
        <f>3039.6+(1540.6-1463.7)+(-1.550196+(-0.785706--0.746487))+0-798--0.406979999999919</f>
        <v>2317.3175649999998</v>
      </c>
      <c r="Y315" s="3">
        <f>3077.4+(1226.4-1352.9)+(-4.708422+(-1.876392--2.069937))+0-633.7--0.969561000000037</f>
        <v>2313.6546840000001</v>
      </c>
      <c r="Z315" s="3">
        <f>2977.4+(1027.2-1026.6)+(-7.59237+(-2.61936--2.61783))+0-752.4--1.91861999999989</f>
        <v>2219.92472</v>
      </c>
      <c r="AA315" s="3">
        <f>2785.4+(604.1-709.9)+(-5.682216+(-1.232364--1.448196))+0-559.6--1.14158399999998</f>
        <v>2115.6752000000006</v>
      </c>
      <c r="AB315" s="3">
        <f>2620.4+(435.9-317)+(-6.68202+(-1.111545--0.80835))+0-642.4--1.63811999999991</f>
        <v>2091.552905</v>
      </c>
      <c r="AC315" s="3">
        <f>2601+(327.7-183.5)+(-5.30604+(-0.668508--0.37434))+0-803.6--1.63934399999997</f>
        <v>1937.639136</v>
      </c>
      <c r="AD315">
        <v>2375.9</v>
      </c>
      <c r="AE315" s="3">
        <f>3066+(1516.8-1378)+(0+(0-0))+0-828.9-0</f>
        <v>2375.9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2524+(419.3-255.2)+(-5.14896+(-0.855372--0.520608))+0-766.6--1.56386399999997</f>
        <v>1917.5801399999998</v>
      </c>
      <c r="G316" s="3">
        <f>2435+(453.8-397.7)+(-6.20925+(-1.15719--1.014135))+0-754.9--1.92499499999989</f>
        <v>1731.7726899999998</v>
      </c>
      <c r="H316" s="3">
        <f>2406+(520.5-479.1)+(-3.68118+(-0.796365--0.733023))+0-773.4--1.18330200000004</f>
        <v>1671.4387800000002</v>
      </c>
      <c r="I316" s="3">
        <f>2195+(428-386.3)+(-1.11945+(-0.21828--0.197013))+0-657.3--0.335222999999933</f>
        <v>1578.5945059999997</v>
      </c>
      <c r="J316" s="3">
        <f>2201+(385.1-353)+(-4.49004+(-0.785604--0.72012))+0-590.9--1.20543599999997</f>
        <v>1638.8499119999999</v>
      </c>
      <c r="K316" s="3">
        <f>2314+(452.6-376.7)+(0+(0-0))+0-757.8-0</f>
        <v>1632.1000000000001</v>
      </c>
      <c r="L316" s="3">
        <f>2479+(438.1-616.6)+(-2.52858+(-0.446862--0.628932))+0-561.1--0.572322000000089</f>
        <v>1737.6258120000002</v>
      </c>
      <c r="M316" s="3">
        <f>2543+(393.8-468.9)+(3.89079+(0.602514-0.717417))+0-725.5-1.11001500000004</f>
        <v>1745.0658719999999</v>
      </c>
      <c r="N316" s="3">
        <f>2536+(458.2-312.6)+(0+(0-0))+0-630.7-0</f>
        <v>2050.8999999999996</v>
      </c>
      <c r="O316" s="3">
        <f>2547.9+(717.2-443.7)+(0+(0-0))+0-663.5-0</f>
        <v>2157.9</v>
      </c>
      <c r="P316" s="3">
        <f>2684.8+(905.8-803.9)+(-4.107744+(-1.385874--1.229967))+0-666.3--1.01943900000004</f>
        <v>2117.1557880000005</v>
      </c>
      <c r="Q316" s="3">
        <f>2754.5+(847.5-887.9)+(-2.80959+(-0.86445--0.905658))+0-565.2--0.57650400000009</f>
        <v>2146.7081219999995</v>
      </c>
      <c r="R316" s="3">
        <f>2655.3+(647.2-704.6)+(-5.416812+(-1.320288--1.437384))+0-605.3--1.23481199999997</f>
        <v>1988.5350960000001</v>
      </c>
      <c r="S316" s="3">
        <f>2580.9+(366.9-417.2)+(-6.581295+(-0.935595--1.06386))+0-494.3--1.26046499999993</f>
        <v>2031.1074349999997</v>
      </c>
      <c r="T316" s="3">
        <f>2507.5+(482.4-304.3)+(2.55765+(0.492048-0.310386))+0-624.1-0.6365820000001</f>
        <v>2063.6027300000001</v>
      </c>
      <c r="U316" s="3">
        <f>2475.5+(479.8-322.2)+(0+(0-0))+0-579.7-0</f>
        <v>2053.3999999999996</v>
      </c>
      <c r="V316" s="3">
        <f>2494.3+(412.9-367.2)+(-2.544186+(-0.421158--0.374544))+0-534.4--0.545088000000085</f>
        <v>2003.554288</v>
      </c>
      <c r="W316" s="3">
        <f>2670.8+(741.2-705.8)+(2.724216+(0.756024-0.719916))+0-557.6-0.568752000000089</f>
        <v>2150.7915720000001</v>
      </c>
      <c r="X316" s="3">
        <f>2930.6+(1425.4-1272.4)+(-5.978424+(-2.907816--2.595696))+0-753.1--1.53632399999997</f>
        <v>2325.7457800000002</v>
      </c>
      <c r="Y316" s="3">
        <f>2885.8+(1078.2-1064.6)+(-5.887032+(-2.199528--2.171784))+0-639--1.30355999999997</f>
        <v>2255.7887840000003</v>
      </c>
      <c r="Z316" s="3">
        <f>2779.4+(892.8-886.9)+(-2.834988+(-0.910656--0.904638))+0-610.7--0.622914000000097</f>
        <v>2172.3819079999998</v>
      </c>
      <c r="AA316" s="3">
        <f>2757.3+(904.4-787.7)+(-2.812446+(-0.922488--0.803454))+0-765.4--0.780708000000122</f>
        <v>2106.4492279999999</v>
      </c>
      <c r="AB316" s="3">
        <f>2746.8+(723.9-733.8)+(-4.202604+(-1.107567--1.122714))+0-712.4--1.08997200000004</f>
        <v>2021.402515</v>
      </c>
      <c r="AC316" s="3">
        <f>2576.2+(695-571.1)+(-6.56931+(-1.77225--1.456305))+0-802.4--2.04611999999988</f>
        <v>1892.8608649999996</v>
      </c>
      <c r="AD316">
        <v>2292.2999999999997</v>
      </c>
      <c r="AE316" s="3">
        <f>3000+(1494.7-1427.9)+(0+(0-0))+0-774.5-0</f>
        <v>2292.3000000000002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2391.3+(475.1-196.1)+(-4.878252+(-0.969204--0.400044))+0-794.4--1.62057599999997</f>
        <v>1872.0731640000001</v>
      </c>
      <c r="G317" s="3">
        <f>2230.4+(395.1-192.1)+(-3.412512+(-0.604503--0.293913))+0-783.8--1.19921400000005</f>
        <v>1647.0761120000002</v>
      </c>
      <c r="H317" s="3">
        <f>2149.3+(415.8-217.6)+(-5.480715+(-1.06029--0.55488))+0-750.2--1.91300999999989</f>
        <v>1593.226885</v>
      </c>
      <c r="I317" s="3">
        <f>2147.9+(522.5-228)+(-1.095429+(-0.266475--0.11628))+0-870.7--0.444056999999912</f>
        <v>1570.8984329999998</v>
      </c>
      <c r="J317" s="3">
        <f>2144.5+(462-275.8)+(0+(0-0))+0-757.2-0</f>
        <v>1573.4999999999998</v>
      </c>
      <c r="K317" s="3">
        <f>2143.4+(616.9-360.7)+(-1.093134+(-0.314619--0.183957))+0-807.9--0.412028999999918</f>
        <v>1590.8882329999994</v>
      </c>
      <c r="L317" s="3">
        <f>2246.3+(833.3-542.2)+(-2.291226+(-0.849966--0.553044))+0-805.5--0.821610000000128</f>
        <v>1730.1334620000005</v>
      </c>
      <c r="M317" s="3">
        <f>2354.7+(709.4-467.9)+(2.401794+(0.723588-0.477258))+0-660.2-0.673404000000105</f>
        <v>1937.9747199999995</v>
      </c>
      <c r="N317" s="3">
        <f>2402.4+(634.3-377.9)+(2.450448+(0.646986-0.385458))+0-560.3-0.571506000000089</f>
        <v>2100.6404700000003</v>
      </c>
      <c r="O317" s="3">
        <f>2602.6+(1035-770.3)+(2.654652+(1.0557-0.785706))+0-715.2-0.729504000000114</f>
        <v>2154.2951419999999</v>
      </c>
      <c r="P317" s="3">
        <f>2603.7+(1238.7-790.1)+(0+(0-0))+0-730.7-0</f>
        <v>2321.5999999999995</v>
      </c>
      <c r="Q317" s="3">
        <f>2633.2+(1367.8-877.3)+(1.342932+(0.697578-0.447423))+0-789.6-0.40269599999992</f>
        <v>2335.290391</v>
      </c>
      <c r="R317" s="3">
        <f>2687.8+(1194.4-868.8)+(-4.112334+(-1.827432--1.329264))+0-740.6--1.13311800000004</f>
        <v>2269.3226160000008</v>
      </c>
      <c r="S317" s="3">
        <f>2418.8+(954.2-475.5)+(-2.467176+(-0.973284--0.48501))+0-758.9--0.774078000000121</f>
        <v>2136.4186279999999</v>
      </c>
      <c r="T317" s="3">
        <f>2400.5+(951.9-448)+(1.224255+(0.485469-0.22848))+0-731.9-0.373268999999926</f>
        <v>2173.6079750000004</v>
      </c>
      <c r="U317" s="3">
        <f>2400.8+(875-391.1)+(-6.12204+(-2.23125--0.997305))+0-737.1--1.87960499999989</f>
        <v>2142.1236200000003</v>
      </c>
      <c r="V317" s="3">
        <f>2401.3+(799.8-362.5)+(0+(0-0))+0-698.3-0</f>
        <v>2140.3000000000002</v>
      </c>
      <c r="W317" s="3">
        <f>2770.6+(1083-945.4)+(-2.826012+(-1.10466--0.964308))+0-623.5--0.635970000000099</f>
        <v>2282.3696060000002</v>
      </c>
      <c r="X317" s="3">
        <f>3100.3+(1375.8-1227)+(-1.581153+(-0.701658--0.62577))+0-832.7--0.424676999999916</f>
        <v>2415.1676360000001</v>
      </c>
      <c r="Y317" s="3">
        <f>2768.5+(1142.5-823.7)+(-4.235805+(-1.748025--1.260261))+0-741.5--1.13449500000004</f>
        <v>2342.2109260000002</v>
      </c>
      <c r="Z317" s="3">
        <f>2540.4+(937.3-535.2)+(-5.182416+(-1.912092--1.091808))+0-718.1--1.46492399999997</f>
        <v>2219.862224</v>
      </c>
      <c r="AA317" s="3">
        <f>2404.7+(860.4-361.3)+(-4.905588+(-1.755216--0.737052))+0-761.6--1.55366399999997</f>
        <v>2137.8299119999997</v>
      </c>
      <c r="AB317" s="3">
        <f>2402.3+(445.2-298)+(-3.675519+(-0.681156--0.45594))+0-501.3--0.766989000000029</f>
        <v>2045.0662539999998</v>
      </c>
      <c r="AC317" s="3">
        <f>2351.9+(437.7-159.7)+(-3.598407+(-0.669681--0.244341))+0-706.4--1.08079200000004</f>
        <v>1920.5570449999998</v>
      </c>
      <c r="AD317">
        <v>2415.5</v>
      </c>
      <c r="AE317" s="3">
        <f>3104+(1455.6-1302.4)+(0+(0-0))+0-841.7-0</f>
        <v>2415.5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2265+(449.4-183.4)+(0+(0-0))+0-731.8-0</f>
        <v>1799.2</v>
      </c>
      <c r="G318" s="3">
        <f>2095.6+(700.8-246)+(0+(0-0))+0-825.3-0</f>
        <v>1725.0999999999997</v>
      </c>
      <c r="H318" s="3">
        <f>2079.7+(549.1-356.4)+(1.060647+(0.280041-0.181764))+0-572.3-0.291872999999942</f>
        <v>1700.9670509999996</v>
      </c>
      <c r="I318" s="3">
        <f>2082.8+(660.6-326.3)+(0+(0-0))+0-734.8-0</f>
        <v>1682.3000000000004</v>
      </c>
      <c r="J318" s="3">
        <f>2083.3+(668.3-345.8)+(0+(0-0))+0-724.5-0</f>
        <v>1681.3000000000002</v>
      </c>
      <c r="K318" s="3">
        <f>2082.2+(795-374.7)+(2.123844+(0.8109-0.382194))+0-772.1-0.787542000000123</f>
        <v>1732.1650079999999</v>
      </c>
      <c r="L318" s="3">
        <f>2240.6+(484.6-479.6)+(-2.285412+(-0.494292--0.489192))+0-545.5--0.556410000000087</f>
        <v>1698.365898</v>
      </c>
      <c r="M318" s="3">
        <f>2378.4+(406.5-396)+(0+(0-0))+0-490-0</f>
        <v>1898.9</v>
      </c>
      <c r="N318" s="3">
        <f>2368.9+(516-268.1)+(3.624417+(0.78948-0.410193))+0-519-0.79407000000003</f>
        <v>2101.0096340000005</v>
      </c>
      <c r="O318" s="3">
        <f>2462+(730.7-403.1)+(-1.25562+(-0.372657--0.205581))+0-616.3--0.314312999999937</f>
        <v>2172.1916169999995</v>
      </c>
      <c r="P318" s="3">
        <f>2517.7+(967.6-633.4)+(2.568054+(0.986952-0.646068))+0-601.4-0.613428000000096</f>
        <v>2252.7955099999995</v>
      </c>
      <c r="Q318" s="3">
        <f>2544.5+(1111.8-750.8)+(-5.19078+(-2.268072--1.531632))+0-603.3--1.23073199999997</f>
        <v>2297.5035120000002</v>
      </c>
      <c r="R318" s="3">
        <f>2586.9+(745.1-575.6)+(-5.277276+(-1.520004--1.174224))+0-596.5--1.21685999999997</f>
        <v>2155.4938040000002</v>
      </c>
      <c r="S318" s="3">
        <f>2471.2+(582.4-357.6)+(-2.520624+(-0.594048--0.364752))+0-597.2--0.609144000000095</f>
        <v>2096.659224</v>
      </c>
      <c r="T318" s="3">
        <f>2411.4+(747.5-433)+(-2.459628+(-0.76245--0.44166))+0-634.7--0.647394000000101</f>
        <v>2089.0669760000005</v>
      </c>
      <c r="U318" s="3">
        <f>2408.2+(619.1-410.3)+(0+(0-0))+0-526-0</f>
        <v>2091</v>
      </c>
      <c r="V318" s="3">
        <f>2457.6+(648.3-432.6)+(-2.506752+(-0.661266--0.441252))+0-569--0.580380000000091</f>
        <v>2102.1536139999994</v>
      </c>
      <c r="W318" s="3">
        <f>2736.8+(882.1-804.6)+(0+(0-0))+0-591.8-0</f>
        <v>2222.5</v>
      </c>
      <c r="X318" s="3">
        <f>2949.8+(1139.8-1178.8)+(-4.513194+(-1.743894--1.803564))+0-589.1--0.901323000000034</f>
        <v>2318.1477990000003</v>
      </c>
      <c r="Y318" s="3">
        <f>2857.7+(1102.9-1088.2)+(-1.457427+(-0.562479--0.554982))+0-642--0.327419999999935</f>
        <v>2229.2624959999998</v>
      </c>
      <c r="Z318" s="3">
        <f>2627.2+(1167-959.7)+(-2.679744+(-1.19034--0.978894))+0-694.8--0.708696000000111</f>
        <v>2137.5175060000006</v>
      </c>
      <c r="AA318" s="3">
        <f>2600.2+(1010.4-794.6)+(-2.652204+(-1.030608--0.810492))+0-715.7--0.730014000000114</f>
        <v>2098.157694</v>
      </c>
      <c r="AB318" s="3">
        <f>2450.1+(700.7-465.1)+(-2.499102+(-0.714714--0.474402))+0-665.9--0.679218000000106</f>
        <v>2017.7398039999998</v>
      </c>
      <c r="AC318" s="3">
        <f>2376.2+(333-291)+(-3.635586+(-0.50949--0.44523))+0-503.4--0.770202000000029</f>
        <v>1911.8703559999997</v>
      </c>
      <c r="AD318">
        <v>2288.6999999999998</v>
      </c>
      <c r="AE318" s="3">
        <f>2982+(1155-1197.1)+(0+(0-0))+0-651.2-0</f>
        <v>2288.6999999999998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2372.3+(175.5-193.5)+(-4.839492+(-0.35802--0.39474))+0-550.3--1.12261199999998</f>
        <v>1800.3198400000001</v>
      </c>
      <c r="G319" s="3">
        <f>2257.8+(308.1-167.8)+(-5.75739+(-0.785655--0.42789))+0-693.6--1.7686799999999</f>
        <v>1700.1535250000004</v>
      </c>
      <c r="H319" s="3">
        <f>1944.5+(487.7-113.3)+(-0.991695+(-0.248727--0.057783))+0-641.9--0.327368999999935</f>
        <v>1676.1447299999998</v>
      </c>
      <c r="I319" s="3">
        <f>1756.5+(757.2-101.5)+(0+(0-0))+0-771.5-0</f>
        <v>1640.6999999999998</v>
      </c>
      <c r="J319" s="3">
        <f>1753.2+(592.4-121.5)+(0+(0-0))+0-593.9-0</f>
        <v>1630.1999999999998</v>
      </c>
      <c r="K319" s="3">
        <f>1828.3+(595.6-169.7)+(-0.932433+(-0.303756--0.086547))+0-645--0.328949999999935</f>
        <v>1608.3793079999998</v>
      </c>
      <c r="L319" s="3">
        <f>1836.7+(705.7-198.6)+(-1.873434+(-0.719814--0.202572))+0-697--0.710940000000111</f>
        <v>1645.1202640000004</v>
      </c>
      <c r="M319" s="3">
        <f>1930.8+(531-198.1)+(-1.969416+(-0.54162--0.202062))+0-580.2--0.591804000000093</f>
        <v>1681.7828299999999</v>
      </c>
      <c r="N319" s="3">
        <f>2384.5+(335.6-312.5)+(0+(0-0))+0-522-0</f>
        <v>1885.6</v>
      </c>
      <c r="O319" s="3">
        <f>2571.4+(514-645.3)+(0+(0-0))+0-443.3-0</f>
        <v>1996.8000000000004</v>
      </c>
      <c r="P319" s="3">
        <f>2636.6+(876.5-913.7)+(1.344666+(0.447015-0.465987))+0-531.2-0.270911999999946</f>
        <v>2069.254782</v>
      </c>
      <c r="Q319" s="3">
        <f>2631+(996.9-1013.8)+(-6.70905+(-2.542095--2.58519))+0-529.3--1.34971499999992</f>
        <v>2079.4837599999996</v>
      </c>
      <c r="R319" s="3">
        <f>2602.6+(747.5-809)+(-6.63663+(-1.906125--2.06295))+0-596.9--1.52209499999991</f>
        <v>1939.2422899999997</v>
      </c>
      <c r="S319" s="3">
        <f>2566.8+(692.9-614.1)+(-5.236272+(-1.413516--1.252764))+0-823.3--1.67953199999996</f>
        <v>1818.5825080000004</v>
      </c>
      <c r="T319" s="3">
        <f>2502.6+(439.8-384)+(-2.552652+(-0.448596--0.39168))+0-717.3--0.731646000000114</f>
        <v>1839.2220780000005</v>
      </c>
      <c r="U319" s="3">
        <f>2549.4+(145.7-249.1)+(-3.900582+(-0.222921--0.381123))+0-661.6--1.01224800000004</f>
        <v>1781.669868</v>
      </c>
      <c r="V319" s="3">
        <f>2408.8+(332.8-255.7)+(1.228488+(0.169728-0.130407))+0-686-0.34985999999993</f>
        <v>1800.817949</v>
      </c>
      <c r="W319" s="3">
        <f>2550.8+(495.2-324.3)+(1.300908+(0.252552-0.165393))+0-831.9-0.424268999999916</f>
        <v>1890.7637980000002</v>
      </c>
      <c r="X319" s="3">
        <f>2606.4+(793.8-521.9)+(-2.658528+(-0.809676--0.532338))+0-710.2--0.724404000000113</f>
        <v>2165.8885380000006</v>
      </c>
      <c r="Y319" s="3">
        <f>2609.9+(776.1-506.8)+(-3.993147+(-1.187433--0.775404))+0-784--1.19952000000005</f>
        <v>2091.9943440000002</v>
      </c>
      <c r="Z319" s="3">
        <f>2606.3+(603.9-492.9)+(0+(0-0))+0-686.2-0</f>
        <v>2031.1000000000001</v>
      </c>
      <c r="AA319" s="3">
        <f>2604.9+(546.7-385.7)+(-1.328499+(-0.278817--0.196707))+0-799--0.407489999999919</f>
        <v>1965.8968809999999</v>
      </c>
      <c r="AB319" s="3">
        <f>2605.2+(491.5-405.8)+(1.328652+(0.250665-0.206958))+0-772.4-0.393923999999922</f>
        <v>1919.4784349999995</v>
      </c>
      <c r="AC319" s="3">
        <f>2588.8+(354.6-393.4)+(-6.60144+(-0.90423--1.00317))+0-738.3--1.88266499999989</f>
        <v>1807.0801649999999</v>
      </c>
      <c r="AD319">
        <v>2172.4</v>
      </c>
      <c r="AE319" s="3">
        <f>2604+(688-537.5)+(0+(0-0))+0-582.1-0</f>
        <v>2172.4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2585.5+(459.6-553.1)+(0+(0-0))+0-782.7-0</f>
        <v>1709.3</v>
      </c>
      <c r="G320" s="3">
        <f>2322.1+(419.8-439.3)+(2.368542+(0.428196-0.448086))+0-697.7-0.711654000000111</f>
        <v>1606.5369979999998</v>
      </c>
      <c r="H320" s="3">
        <f>2076+(625.1-348.4)+(-1.05876+(-0.318801--0.177684))+0-824.3--0.420392999999916</f>
        <v>1527.6205159999997</v>
      </c>
      <c r="I320" s="3">
        <f>2049.7+(562.7-343.8)+(-2.090694+(-0.573954--0.350676))+0-721.9--0.736338000000115</f>
        <v>1545.1223660000001</v>
      </c>
      <c r="J320" s="3">
        <f>2050.7+(617.7-339.5)+(2.091714+(0.630054-0.34629))+0-802.4-0.818448000000128</f>
        <v>1528.0570299999993</v>
      </c>
      <c r="K320" s="3">
        <f>2095.4+(521.3-441.9)+(1.068654+(0.265863-0.225369))+0-624.3-0.318392999999937</f>
        <v>1551.2907550000002</v>
      </c>
      <c r="L320" s="3">
        <f>2336.7+(584.3-609.7)+(-9.533736+(-2.383944--2.487576))+0-725.7--2.96085599999994</f>
        <v>1579.1307519999996</v>
      </c>
      <c r="M320" s="3">
        <f>2216.9+(605.1-589.3)+(0+(0-0))+0-734.5-0</f>
        <v>1498.2000000000003</v>
      </c>
      <c r="N320" s="3">
        <f>2274+(459.9-680)+(-1.15974+(-0.234549--0.3468))+0-518.1--0.264230999999947</f>
        <v>1535.016742</v>
      </c>
      <c r="O320" s="3">
        <f>2473.1+(487.5-566.8)+(1.261281+(0.248625-0.289068))+0-798.6-0.407285999999919</f>
        <v>1596.0135520000006</v>
      </c>
      <c r="P320" s="3">
        <f>2510.4+(437.9-584.7)+(0+(0-0))+0-692-0</f>
        <v>1671.6</v>
      </c>
      <c r="Q320" s="3">
        <f>2506.6+(360.4-398.7)+(0+(0-0))+0-771.4-0</f>
        <v>1696.8999999999996</v>
      </c>
      <c r="R320" s="3">
        <f>2498.3+(260-358.3)+(-2.548266+(-0.2652--0.365466))+0-767--0.782340000000122</f>
        <v>1631.3343400000003</v>
      </c>
      <c r="S320" s="3">
        <f>2548.1+(233.8-369.2)+(-2.599062+(-0.238476--0.376584))+4.7-758.4--0.773568000000121</f>
        <v>1657.3126139999995</v>
      </c>
      <c r="T320" s="3">
        <f>2565.9+(102.9-535.4)+(-5.234436+(-0.209916--1.092216))+0-525.4--1.07181599999998</f>
        <v>1604.7196799999999</v>
      </c>
      <c r="U320" s="3">
        <f>2512+(137.3-595)+(-1.28112+(-0.070023--0.30345))+0-465--0.237149999999953</f>
        <v>1588.4894570000001</v>
      </c>
      <c r="V320" s="3">
        <f>2549.7+(149.7-563.9)+(2.600694+(0.152694-0.575178))+0-537.5-0.548250000000086</f>
        <v>1599.62996</v>
      </c>
      <c r="W320" s="3">
        <f>2850.4+(214.9-681.8)+(0+(0-0))+0-649.3-0</f>
        <v>1734.2</v>
      </c>
      <c r="X320" s="3">
        <f>3180.8+(930.5-1151.5)+(-1.622208+(-0.474555--0.587265))+0-824.5--0.420494999999916</f>
        <v>2134.2109970000001</v>
      </c>
      <c r="Y320" s="3">
        <f>3061.8+(771-1010)+(-1.561518+(-0.39321--0.5151))+0-675.8--0.344657999999931</f>
        <v>2145.9050299999999</v>
      </c>
      <c r="Z320" s="3">
        <f>3081.6+(762.8-1006.3)+(0+(0-0))+0-716.3-0</f>
        <v>2121.8000000000002</v>
      </c>
      <c r="AA320" s="3">
        <f>3025.8+(396.5-718.2)+(-3.086316+(-0.40443--0.732564))+0-737.1--0.751842000000118</f>
        <v>1964.9936600000005</v>
      </c>
      <c r="AB320" s="3">
        <f>2783.8+(306.4-400.9)+(-1.419738+(-0.156264--0.204459))+0-823.3--0.419882999999916</f>
        <v>1865.0483400000001</v>
      </c>
      <c r="AC320" s="3">
        <f>2591.6+(162-261.2)+(-1.321716+(-0.08262--0.133212))+0-766.6--0.390965999999922</f>
        <v>1724.9198420000002</v>
      </c>
      <c r="AD320">
        <v>1971.6</v>
      </c>
      <c r="AE320" s="3">
        <f>3210+(1007.4-1401.7)+(0+(0-0))+0-844.1-0</f>
        <v>1971.6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2573+(240.9-434.8)+(-3.93669+(-0.368577--0.665244))+0-741.5--1.13449500000004</f>
        <v>1635.094472</v>
      </c>
      <c r="G321" s="3">
        <f>2135.4+(486.6-255.5)+(3.267162+(0.744498-0.390915))+0-804.9-1.23149700000005</f>
        <v>1563.9892480000001</v>
      </c>
      <c r="H321" s="3">
        <f>2111.2+(569.9-297)+(-3.230136+(-0.871947--0.45441))+0-860.3--1.31625900000005</f>
        <v>1521.468586</v>
      </c>
      <c r="I321" s="3">
        <f>1999.5+(665.3-275.6)+(4.07898+(1.357212-0.562224))+0-870.1-1.77500399999996</f>
        <v>1522.1989639999999</v>
      </c>
      <c r="J321" s="3">
        <f>2033.9+(466.9-305.8)+(-1.037289+(-0.238119--0.155958))+0-677.7--0.345626999999931</f>
        <v>1516.5261769999997</v>
      </c>
      <c r="K321" s="3">
        <f>2375.2+(449.1-457.6)+(-3.634056+(-0.687123--0.700128))+0-814.5--1.24618500000005</f>
        <v>1549.8251339999997</v>
      </c>
      <c r="L321" s="3">
        <f>2715.5+(460.3-729)+(-1.384905+(-0.234753--0.37179))+0-776.8--0.396167999999921</f>
        <v>1669.1483000000003</v>
      </c>
      <c r="M321" s="3">
        <f>2934+(379.6-829.9)+(-1.49634+(-0.193596--0.423249))+0-699.1--0.356540999999929</f>
        <v>1783.689854</v>
      </c>
      <c r="N321" s="3">
        <f>2894+(317-562.7)+(0+(0-0))+0-682.3-0</f>
        <v>1966.0000000000002</v>
      </c>
      <c r="O321" s="3">
        <f>2915.5+(237.9-500.9)+(2.97381+(0.242658-0.510918))+0-561.6-0.57283200000009</f>
        <v>2093.0327179999999</v>
      </c>
      <c r="P321" s="3">
        <f>3094.9+(535.7-916.7)+(0+(0-0))+0-529.3-0</f>
        <v>2184.6000000000004</v>
      </c>
      <c r="Q321" s="3">
        <f>3133.8+(617.4-1147.8)+(0+(0-0))+0-396-0</f>
        <v>2207.4</v>
      </c>
      <c r="R321" s="3">
        <f>3136.4+(518.4-1084)+(0+(0-0))+0-511.1-0</f>
        <v>2059.7000000000003</v>
      </c>
      <c r="S321" s="3">
        <f>3005.3+(311.4-811.8)+(-3.065406+(-0.317628--0.828036))+0-478.2--0.487764000000076</f>
        <v>2024.6327659999999</v>
      </c>
      <c r="T321" s="3">
        <f>2762.7+(382.4-686.6)+(-2.817954+(-0.390048--0.700332))+0-468.4--0.477768000000075</f>
        <v>1988.0700979999999</v>
      </c>
      <c r="U321" s="3">
        <f>2708.7+(431.7-636.8)+(1.381437+(0.220167-0.324768))+0-483-0.246329999999951</f>
        <v>2021.630506</v>
      </c>
      <c r="V321" s="3">
        <f>2761.8+(426.9-739)+(-1.408518+(-0.217719--0.37689))+0-467--0.238169999999953</f>
        <v>1981.6888230000002</v>
      </c>
      <c r="W321" s="3">
        <f>3101.1+(632.9-1242.2)+(0+(0-0))+0-363.6-0</f>
        <v>2128.1999999999998</v>
      </c>
      <c r="X321" s="3">
        <f>3386.5+(962.9-1671.4)+(-5.181345+(-1.473237--2.557242))+0-363.3--0.555849000000021</f>
        <v>2311.1585089999999</v>
      </c>
      <c r="Y321" s="3">
        <f>3359.8+(921.5-1614.7)+(-3.426996+(-0.93993--1.646994))+0-399.7--0.407694000000064</f>
        <v>2264.5877620000006</v>
      </c>
      <c r="Z321" s="3">
        <f>3177.9+(765.6-1473.1)+(-6.482916+(-1.561824--3.005124))+0-293.9--0.599555999999987</f>
        <v>2172.0599400000001</v>
      </c>
      <c r="AA321" s="3">
        <f>3130.5+(745.5-1047.5)+(1.596555+(0.380205-0.534225))+0-687.9-0.35082899999993</f>
        <v>2141.6917060000001</v>
      </c>
      <c r="AB321" s="3">
        <f>3126.7+(549.3-839.1)+(1.594617+(0.280143-0.427941))+0-812.4-0.414323999999918</f>
        <v>2025.5324949999995</v>
      </c>
      <c r="AC321" s="3">
        <f>2900.4+(115.2-434.5)+(-4.437612+(-0.176256--0.664785))+0-688--1.05264000000004</f>
        <v>1890.203557</v>
      </c>
      <c r="AD321">
        <v>2327.8000000000002</v>
      </c>
      <c r="AE321" s="3">
        <f>3384+(1060.8-1663.6)+(0+(0-0))+0-453.4-0</f>
        <v>2327.7999999999997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2743.9+(108.8-322.6)+(-2.798778+(-0.110976--0.329052))+0-774.5--0.789990000000124</f>
        <v>1753.8092879999999</v>
      </c>
      <c r="G322" s="3">
        <f>2605.3+(256.4-505.4)+(-3.986109+(-0.392292--0.773262))+0-700.5--1.07176500000004</f>
        <v>1653.2666260000005</v>
      </c>
      <c r="H322" s="3">
        <f>2535.9+(342.1-485)+(0+(0-0))+0-788.4-0</f>
        <v>1604.6</v>
      </c>
      <c r="I322" s="3">
        <f>2544+(352.5-493.1)+(0+(0-0))+0-832.4-0</f>
        <v>1571</v>
      </c>
      <c r="J322" s="3">
        <f>2536.8+(237-496.8)+(-1.293768+(-0.12087--0.253368))+0-711.4--0.362813999999928</f>
        <v>1564.8015439999997</v>
      </c>
      <c r="K322" s="3">
        <f>2483.3+(404.1-438.2)+(1.266483+(0.206091-0.223482))+0-842.2-0.429521999999915</f>
        <v>1607.8195700000003</v>
      </c>
      <c r="L322" s="3">
        <f>2594.5+(329.1-657.3)+(0+(0-0))+0-533-0</f>
        <v>1733.3000000000002</v>
      </c>
      <c r="M322" s="3">
        <f>2676.5+(349.7-730.4)+(-2.73003+(-0.356694--0.745008))+0-446.4--0.455328000000071</f>
        <v>1847.5136120000002</v>
      </c>
      <c r="N322" s="3">
        <f>2723.9+(149-367.9)+(2.778378+(0.15198-0.375258))+0-486.1-0.495822000000078</f>
        <v>2020.959278</v>
      </c>
      <c r="O322" s="3">
        <f>2727.6+(388.3-500.6)+(-1.391076+(-0.198033--0.255306))+0-493.7--0.25178699999995</f>
        <v>2120.5179840000001</v>
      </c>
      <c r="P322" s="3">
        <f>2831.2+(620.2-900.4)+(-1.443912+(-0.316302--0.459204))+0-476.4--0.242963999999952</f>
        <v>2073.5419539999998</v>
      </c>
      <c r="Q322" s="3">
        <f>2993.9+(867.8-1064.5)+(-6.107556+(-1.770312--2.17158))+0-573.5--1.16993999999997</f>
        <v>2219.1636519999997</v>
      </c>
      <c r="R322" s="3">
        <f>2970.6+(646.6-1013.3)+(-7.57503+(-1.64883--2.583915))+0-534.4--1.36271999999992</f>
        <v>2064.2227750000002</v>
      </c>
      <c r="S322" s="3">
        <f>3002.6+(417.3-933.5)+(0+(0-0))+0-477.5-0</f>
        <v>2008.8999999999996</v>
      </c>
      <c r="T322" s="3">
        <f>3036.1+(388.5-931.3)+(0+(0-0))+0-448.6-0</f>
        <v>2044.7000000000003</v>
      </c>
      <c r="U322" s="3">
        <f>2974.7+(317.6-834.3)+(1.517097+(0.161976-0.425493))+0-427.8-0.218177999999957</f>
        <v>2031.2354020000002</v>
      </c>
      <c r="V322" s="3">
        <f>2967.7+(201.7-905.1)+(-6.054108+(-0.411468--1.846404))+0-285.7--0.582827999999987</f>
        <v>1974.5636559999996</v>
      </c>
      <c r="W322" s="3">
        <f>2972.1+(433-997.6)+(0+(0-0))+0-282.5-0</f>
        <v>2125</v>
      </c>
      <c r="X322" s="3">
        <f>3145.1+(1072.4-1540.4)+(-3.208002+(-1.093848--1.571208))+0-282.7--0.288354000000045</f>
        <v>2391.9577120000004</v>
      </c>
      <c r="Y322" s="3">
        <f>3022.2+(985.1-1498.2)+(-7.70661+(-2.512005--3.82041))+0-256.8--0.654839999999963</f>
        <v>2246.5566349999999</v>
      </c>
      <c r="Z322" s="3">
        <f>2966.8+(757.8-1288.9)+(-4.539204+(-1.159434--1.972017))+0-371.5--0.568395000000022</f>
        <v>2061.0417740000003</v>
      </c>
      <c r="AA322" s="3">
        <f>2960.6+(573.4-1000.5)+(-1.509906+(-0.292434--0.510255))+0-555.6--0.283355999999944</f>
        <v>1976.891271</v>
      </c>
      <c r="AB322" s="3">
        <f>2853.5+(259.9-688.5)+(-2.91057+(-0.265098--0.70227))+0-467.3--0.476646000000075</f>
        <v>1955.6032480000001</v>
      </c>
      <c r="AC322" s="3">
        <f>2767.5+(204.6-519.4)+(-2.82285+(-0.208692--0.529788))+0-640.1--0.652902000000102</f>
        <v>1810.7511480000001</v>
      </c>
      <c r="AD322">
        <v>2339.3000000000002</v>
      </c>
      <c r="AE322" s="3">
        <f>3237+(1172-1766.6)+(0+(0-0))+0-303.1-0</f>
        <v>2339.3000000000002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2651.3+(134-624.1)+(-6.760815+(-0.3417--1.591455))+0-504.6--1.28672999999993</f>
        <v>1652.3756700000006</v>
      </c>
      <c r="G323" s="3">
        <f>2381.7+(207.3-411.5)+(-2.429334+(-0.211446--0.41973))+0-637.5--0.650250000000102</f>
        <v>1538.4292</v>
      </c>
      <c r="H323" s="3">
        <f>2253.3+(306.8-428.8)+(-3.447549+(-0.469404--0.656064))+0-626.7--0.958851000000036</f>
        <v>1502.2979620000001</v>
      </c>
      <c r="I323" s="3">
        <f>2121.5+(479.5-417)+(2.16393+(0.48909-0.42534))+0-594.9-0.606798000000095</f>
        <v>1590.7208819999998</v>
      </c>
      <c r="J323" s="3">
        <f>2318.1+(436.9-457.3)+(-3.546693+(-0.668457--0.699669))+0-657--1.00521000000004</f>
        <v>1638.1897289999999</v>
      </c>
      <c r="K323" s="3">
        <f>2476.2+(452.7-630.3)+(1.262862+(0.230877-0.321453))+0-604.2-0.308141999999939</f>
        <v>1695.264144</v>
      </c>
      <c r="L323" s="3">
        <f>2725.3+(540.2-1016.8)+(-2.779806+(-0.551004--1.037136))+0-594.9--0.606798000000095</f>
        <v>1652.1131240000002</v>
      </c>
      <c r="M323" s="3">
        <f>2770+(501.6-967.2)+(-4.2381+(-0.767448--1.479816))+0-487.3--0.745569000000028</f>
        <v>1814.319837</v>
      </c>
      <c r="N323" s="3">
        <f>2766.2+(396.4-688.6)+(4.232286+(0.606492-1.053558))+0-361.6-0.553248000000021</f>
        <v>2115.6319720000001</v>
      </c>
      <c r="O323" s="3">
        <f>3094.6+(578.9-864.9)+(1.578246+(0.295239-0.441099))+0-576.8-0.294167999999941</f>
        <v>2232.9382179999998</v>
      </c>
      <c r="P323" s="3">
        <f>3324.6+(842.3-1212.4)+(1.695546+(0.429573-0.618324))+0-670-0.341699999999932</f>
        <v>2285.6650949999998</v>
      </c>
      <c r="Q323" s="3">
        <f>3267+(917-1250)+(-1.66617+(-0.46767--0.6375))+0-674.5--0.343994999999932</f>
        <v>2258.3476549999996</v>
      </c>
      <c r="R323" s="3">
        <f>2903.8+(594.9-900.3)+(0+(0-0))+0-677.4-0</f>
        <v>1921</v>
      </c>
      <c r="S323" s="3">
        <f>2827.9+(634.7-695.8)+(-4.326687+(-0.971091--1.064574))+0-862.8--1.32008400000005</f>
        <v>1901.0868800000001</v>
      </c>
      <c r="T323" s="3">
        <f>2823.1+(472.5-641.7)+(-1.439781+(-0.240975--0.327267))+0-707.1--0.360620999999928</f>
        <v>1945.8071319999997</v>
      </c>
      <c r="U323" s="3">
        <f>2824.4+(370.1-593.1)+(-2.880888+(-0.377502--0.604962))+0-640.5--0.653310000000102</f>
        <v>1958.8998820000002</v>
      </c>
      <c r="V323" s="3">
        <f>2836.5+(469.3-611.2)+(2.89323+(0.478686-0.623424))+0-718.5-0.732870000000115</f>
        <v>1978.115622</v>
      </c>
      <c r="W323" s="3">
        <f>3156.4+(672.6-941.4)+(4.829292+(1.029078-1.440342))+0-732.9-1.12133700000004</f>
        <v>2157.9966910000003</v>
      </c>
      <c r="X323" s="3">
        <f>3385.9+(1289.2-1487)+(0+(0-0))+0-726.5-0</f>
        <v>2461.6000000000004</v>
      </c>
      <c r="Y323" s="3">
        <f>3198.8+(1064.4-1289.5)+(-4.894164+(-1.628532--1.972935))+0-663.4--1.01500200000004</f>
        <v>2306.7652410000001</v>
      </c>
      <c r="Z323" s="3">
        <f>3132.7+(1066.8-1224.5)+(-1.597677+(-0.544068--0.624495))+0-762.8--0.389027999999923</f>
        <v>2211.071778</v>
      </c>
      <c r="AA323" s="3">
        <f>3129.1+(958.2-1131.9)+(-1.595841+(-0.488682--0.577269))+0-864.6--0.440945999999912</f>
        <v>2089.7336919999993</v>
      </c>
      <c r="AB323" s="3">
        <f>3027.7+(573.7-938.5)+(-4.632381+(-0.877761--1.435905))+0-669--1.02357000000004</f>
        <v>1990.8493329999999</v>
      </c>
      <c r="AC323" s="3">
        <f>2765.4+(437.4-582.1)+(-4.231062+(-0.669222--0.890613))+0-783.8--1.19921400000005</f>
        <v>1834.089543</v>
      </c>
      <c r="AD323">
        <v>2463.7999999999993</v>
      </c>
      <c r="AE323" s="3">
        <f>3379+(1482.4-1491.8)+(0+(0-0))+0-905.8-0</f>
        <v>2463.8000000000002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2585.8+(290-528.7)+(0+(0-0))+0-716-0</f>
        <v>1631.1000000000004</v>
      </c>
      <c r="G324" s="3">
        <f>2497.1+(411.4-474.6)+(-1.273521+(-0.209814--0.242046))+0-831.3--0.423962999999916</f>
        <v>1601.7826739999996</v>
      </c>
      <c r="H324" s="3">
        <f>2362.4+(589.1-543.4)+(3.614472+(0.901323-0.831402))+0-790-1.20870000000005</f>
        <v>1620.5756930000002</v>
      </c>
      <c r="I324" s="3">
        <f>2361.1+(539.6-556.8)+(-3.612483+(-0.825588--0.851904))+0-727.6--1.11322800000004</f>
        <v>1613.8270610000002</v>
      </c>
      <c r="J324" s="3">
        <f>2357+(557.8-623.9)+(1.20207+(0.284478-0.318189))+0-708.5-0.361334999999928</f>
        <v>1583.207024</v>
      </c>
      <c r="K324" s="3">
        <f>2385.8+(726.5-704.4)+(1.216758+(0.370515-0.359244))+0-772.3-0.393872999999922</f>
        <v>1636.434156</v>
      </c>
      <c r="L324" s="3">
        <f>2460.6+(839.9-953)+(-3.764718+(-1.285047--1.45809))+0-677.6--1.03672800000004</f>
        <v>1667.345053</v>
      </c>
      <c r="M324" s="3">
        <f>2485.7+(774.6-923.9)+(1.267707+(0.395046-0.471189))+0-500.2-0.255101999999949</f>
        <v>1837.1364619999999</v>
      </c>
      <c r="N324" s="3">
        <f>2596.2+(826.8-597.4)+(2.648124+(0.843336-0.609348))+0-694.8-0.708696000000111</f>
        <v>2132.9734159999994</v>
      </c>
      <c r="O324" s="3">
        <f>2756.5+(913.1-604.4)+(2.81163+(0.931362-0.616488))+0-811.8-0.828036000000129</f>
        <v>2255.6984679999991</v>
      </c>
      <c r="P324" s="3">
        <f>2959.4+(1011.8-939.7)+(-1.509294+(-0.516018--0.479247))+0-731.6--0.373115999999926</f>
        <v>2298.7270509999998</v>
      </c>
      <c r="Q324" s="3">
        <f>3004.2+(1047.9-1101.3)+(-3.064284+(-1.068858--1.123326))+0-767.7--0.783054000000122</f>
        <v>2180.8732380000006</v>
      </c>
      <c r="R324" s="3">
        <f>2873.4+(951.4-966.6)+(-7.32717+(-2.42607--2.46483))+0-766.1--1.95355499999989</f>
        <v>2086.7651449999998</v>
      </c>
      <c r="S324" s="3">
        <f>2632.7+(599.1-604)+(0+(0-0))+0-658.9-0</f>
        <v>1968.8999999999996</v>
      </c>
      <c r="T324" s="3">
        <f>2531.2+(719.4-508.3)+(1.290912+(0.366894-0.259233))+0-743.8-0.379337999999925</f>
        <v>1999.5192349999998</v>
      </c>
      <c r="U324" s="3">
        <f>2531.7+(688.7-552.1)+(-1.291167+(-0.351237--0.281571))+0-664.1--0.338690999999933</f>
        <v>2003.1778579999996</v>
      </c>
      <c r="V324" s="3">
        <f>2541.5+(633.8-541.8)+(2.59233+(0.646476-0.552636))+0-674-0.687480000000107</f>
        <v>1961.4986899999999</v>
      </c>
      <c r="W324" s="3">
        <f>2858.2+(1120.3-1078.9)+(2.915364+(1.142706-1.100478))+0-664.3-0.677586000000106</f>
        <v>2237.5800059999997</v>
      </c>
      <c r="X324" s="3">
        <f>3016.1+(1600.3-1589.5)+(1.538211+(0.816153-0.810645))+0-708.9-0.361538999999928</f>
        <v>2319.1821799999993</v>
      </c>
      <c r="Y324" s="3">
        <f>2888.6+(1338.8-1339.7)+(-5.892744+(-2.731152--2.732988))+0-641--1.30763999999997</f>
        <v>2242.116732</v>
      </c>
      <c r="Z324" s="3">
        <f>2721.1+(1246.6-1110.7)+(-6.938805+(-3.17883--2.832285))+0-738.5--1.88317499999989</f>
        <v>2113.0978249999998</v>
      </c>
      <c r="AA324" s="3">
        <f>2587.7+(1157.1-908.7)+(-1.319727+(-0.590121--0.463437))+0-770.7--0.393056999999922</f>
        <v>2064.3466459999995</v>
      </c>
      <c r="AB324" s="3">
        <f>2544.3+(962.2-782.3)+(0+(0-0))+0-764.9-0</f>
        <v>1959.3000000000002</v>
      </c>
      <c r="AC324" s="3">
        <f>2386.5+(665.4-449.4)+(-2.43423+(-0.678708--0.458388))+0-794.9--0.810798000000127</f>
        <v>1805.7562479999999</v>
      </c>
      <c r="AD324">
        <v>2292.8999999999996</v>
      </c>
      <c r="AE324" s="3">
        <f>3019+(1685.2-1550.8)+(0+(0-0))+0-860.5-0</f>
        <v>2292.9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2329+(584-428.4)+(0+(0-0))+0-738.3-0</f>
        <v>1746.3</v>
      </c>
      <c r="G325" s="3">
        <f>2297+(529.7-422.3)+(0+(0-0))+0-761.7-0</f>
        <v>1642.7</v>
      </c>
      <c r="H325" s="3">
        <f>2121.3+(629.8-456.8)+(0+(0-0))+0-733.4-0</f>
        <v>1560.9</v>
      </c>
      <c r="I325" s="3">
        <f>2057+(676.7-426.8)+(-3.14721+(-1.035351--0.653004))+0-715.6--1.09486800000004</f>
        <v>1588.8653110000005</v>
      </c>
      <c r="J325" s="3">
        <f>2002.4+(720-377.5)+(2.042448+(0.7344-0.38505))+0-802.8-0.818856000000128</f>
        <v>1543.6729420000001</v>
      </c>
      <c r="K325" s="3">
        <f>2054.2+(713.4-400.9)+(2.095284+(0.727668-0.408918))+0-755.3-0.77040600000012</f>
        <v>1613.0436279999997</v>
      </c>
      <c r="L325" s="3">
        <f>2260.6+(703.7-536.9)+(0+(0-0))+0-757.4-0</f>
        <v>1670</v>
      </c>
      <c r="M325" s="3">
        <f>2367.9+(708.9-505.5)+(0+(0-0))+0-734.6-0</f>
        <v>1836.7000000000003</v>
      </c>
      <c r="N325" s="3">
        <f>2619.5+(930.6-705.1)+(-1.335945+(-0.474606--0.359601))+0-518.7--0.264536999999947</f>
        <v>2325.1135869999998</v>
      </c>
      <c r="O325" s="3">
        <f>2847.5+(1189-1104)+(-1.452225+(-0.60639--0.56304))+0-638.3--0.325532999999935</f>
        <v>2293.0299579999996</v>
      </c>
      <c r="P325" s="3">
        <f>3017.6+(1373.3-1399.7)+(-1.538976+(-0.700383--0.713847))+0-696.8--0.355367999999929</f>
        <v>2293.2298559999995</v>
      </c>
      <c r="Q325" s="3">
        <f>2899.2+(1204.7-1456.3)+(-2.957184+(-1.228794--1.485426))+0-352--0.359040000000056</f>
        <v>2293.2584880000004</v>
      </c>
      <c r="R325" s="3">
        <f>2765.8+(870.6-1329.9)+(-4.231674+(-1.332018--2.034747))+0-426.4--0.652392000000025</f>
        <v>1877.2234469999999</v>
      </c>
      <c r="S325" s="3">
        <f>2520+(793.4-787.2)+(-3.8556+(-1.213902--1.204416))+0-646.3--0.988839000000037</f>
        <v>1877.0237530000002</v>
      </c>
      <c r="T325" s="3">
        <f>2398.8+(789.6-514)+(0+(0-0))+0-560.9-0</f>
        <v>2113.5</v>
      </c>
      <c r="U325" s="3">
        <f>2283.9+(823.8-415.8)+(2.329578+(0.840276-0.424116))+0-646.2-0.659124000000103</f>
        <v>2047.7866140000003</v>
      </c>
      <c r="V325" s="3">
        <f>2339.5+(759.3-429.7)+(1.193145+(0.387243-0.219147))+0-670.2-0.341801999999932</f>
        <v>1999.919439</v>
      </c>
      <c r="W325" s="3">
        <f>2540.7+(1147.3-763.3)+(2.591514+(1.170246-0.778566))+0-728.9-0.743478000000116</f>
        <v>2198.0397159999993</v>
      </c>
      <c r="X325" s="3">
        <f>2788.2+(1627.4-1246.5)+(-7.10991+(-4.14987--3.178575))+0-689--1.7569499999999</f>
        <v>2473.7757449999999</v>
      </c>
      <c r="Y325" s="3">
        <f>2704.3+(1496.2-1223.7)+(-4.137579+(-2.289186--1.872261))+0-663.4--1.01500200000004</f>
        <v>2309.860498</v>
      </c>
      <c r="Z325" s="3">
        <f>2687+(1417-1242.9)+(-1.37037+(-0.72267--0.633879))+0-666.8--0.340067999999932</f>
        <v>2193.1809069999995</v>
      </c>
      <c r="AA325" s="3">
        <f>2582.1+(1301.6-983.2)+(1.316871+(0.663816-0.501432))+0-801.4-0.408713999999919</f>
        <v>2100.170541</v>
      </c>
      <c r="AB325" s="3">
        <f>2583.6+(1015.4-928.6)+(1.317636+(0.517854-0.473586))+0-706-0.360059999999928</f>
        <v>1965.4018439999995</v>
      </c>
      <c r="AC325" s="3">
        <f>2406.2+(672.5-493.4)+(0+(0-0))+0-772.3-0</f>
        <v>1812.9999999999998</v>
      </c>
      <c r="AD325">
        <v>2495.8000000000002</v>
      </c>
      <c r="AE325" s="3">
        <f>2824+(1708.6-1263.5)+(0+(0-0))+0-773.3-0</f>
        <v>2495.8000000000002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2363.3+(526.3-516.9)+(-6.026415+(-1.342065--1.318095))+0-669.9--1.7082449999999</f>
        <v>1698.45786</v>
      </c>
      <c r="G326" s="3">
        <f>2362.4+(616.8-512.5)+(-2.409648+(-0.629136--0.52275))+0-753.3--0.76836600000012</f>
        <v>1711.6523319999997</v>
      </c>
      <c r="H326" s="3">
        <f>2356.3+(588.1-507.3)+(-7.210278+(-1.799586--1.552338))+0-761.1--2.32896600000009</f>
        <v>1670.8714400000003</v>
      </c>
      <c r="I326" s="3">
        <f>2209+(695.6-472.3)+(2.25318+(0.709512-0.481746))+0-767.8-0.783156000000122</f>
        <v>1666.1977900000002</v>
      </c>
      <c r="J326" s="3">
        <f>2206.4+(533.8-432.1)+(-1.125264+(-0.272238--0.220371))+0-652.5--0.332774999999934</f>
        <v>1654.7556439999998</v>
      </c>
      <c r="K326" s="3">
        <f>2252.7+(729-512.3)+(3.446631+(1.11537-0.783819))+0-841.2-1.28703600000005</f>
        <v>1630.6911459999997</v>
      </c>
      <c r="L326" s="3">
        <f>2386.8+(606.6-646.3)+(2.434536+(0.618732-0.659226))+0-666.8-0.680136000000106</f>
        <v>1682.0139060000001</v>
      </c>
      <c r="M326" s="3">
        <f>2567.6+(676.3-697.4)+(2.618952+(0.689826-0.711348))+0-726.4-0.740928000000116</f>
        <v>1821.9565019999995</v>
      </c>
      <c r="N326" s="3">
        <f>2779.4+(946-814.5)+(1.417494+(0.48246-0.415395))+0-753.1-0.384080999999924</f>
        <v>2158.900478</v>
      </c>
      <c r="O326" s="3">
        <f>2975.5+(1050.9-1120)+(1.517505+(0.535959-0.5712))+0-675.3-0.344402999999931</f>
        <v>2232.2378610000005</v>
      </c>
      <c r="P326" s="3">
        <f>3049.4+(1394-1363.8)+(1.555194+(0.71094-0.695538))+0-792.8-0.40432799999992</f>
        <v>2287.9662680000006</v>
      </c>
      <c r="Q326" s="3">
        <f>3043.6+(1484.1-1566.1)+(0+(0-0))+0-771.7-0</f>
        <v>2189.8999999999996</v>
      </c>
      <c r="R326" s="3">
        <f>2768.9+(1101.4-1203.6)+(-4.236417+(-1.685142--1.841508))+0-737--1.12761000000004</f>
        <v>1926.7475590000004</v>
      </c>
      <c r="S326" s="3">
        <f>2536.4+(719.8-709)+(0+(0-0))+0-729.9-0</f>
        <v>1817.2999999999997</v>
      </c>
      <c r="T326" s="3">
        <f>2394.2+(680.3-464.2)+(0+(0-0))+0-807.4-0</f>
        <v>1802.8999999999996</v>
      </c>
      <c r="U326" s="3">
        <f>2324.5+(531.8-349.4)+(-2.37099+(-0.542436--0.356388))+0-689.6--0.70339200000011</f>
        <v>1815.4463540000004</v>
      </c>
      <c r="V326" s="3">
        <f>2330.3+(534.8-280.5)+(-2.376906+(-0.545496--0.28611))+0-680.7--0.694314000000109</f>
        <v>1901.9580220000003</v>
      </c>
      <c r="W326" s="3">
        <f>2541.1+(809.2-532.9)+(-1.295961+(-0.412692--0.271779))+0-791--0.40340999999992</f>
        <v>2025.366536</v>
      </c>
      <c r="X326" s="3">
        <f>2977.1+(1232.6-1087.7)+(-3.036642+(-1.257252--1.109454))+0-719.4--0.733788000000115</f>
        <v>2400.1493479999999</v>
      </c>
      <c r="Y326" s="3">
        <f>2836.7+(1089.6-987.5)+(-5.786868+(-2.222784--2.0145))+0-703.6--1.43534399999997</f>
        <v>2230.6401919999998</v>
      </c>
      <c r="Z326" s="3">
        <f>2669.3+(1033.4-815.5)+(-6.806715+(-2.63517--2.079525))+0-809.6--2.06447999999988</f>
        <v>2072.3021200000003</v>
      </c>
      <c r="AA326" s="3">
        <f>2522.6+(908.2-707.2)+(-1.286526+(-0.463182--0.360672))+0-741.2--0.378011999999925</f>
        <v>1981.3889759999997</v>
      </c>
      <c r="AB326" s="3">
        <f>2451.3+(891-684.2)+(1.250163+(0.45441-0.348942))+0-797.4-0.406673999999919</f>
        <v>1861.6489570000003</v>
      </c>
      <c r="AC326" s="3">
        <f>2425.6+(584.4-455.5)+(-1.237056+(-0.298044--0.232305))+0-779.9--0.397748999999921</f>
        <v>1773.6949539999998</v>
      </c>
      <c r="AD326">
        <v>2375</v>
      </c>
      <c r="AE326" s="3">
        <f>2996+(1319.3-1061.1)+(0+(0-0))+0-879.2-0</f>
        <v>2375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2380.6+(402.9-365.9)+(-3.642318+(-0.616437--0.559827))+0-795.4--1.21696200000005</f>
        <v>1619.718034</v>
      </c>
      <c r="G327" s="3">
        <f>2378.4+(428.1-402.3)+(1.212984+(0.218331-0.205173))+0-817.8-0.417077999999917</f>
        <v>1587.2090640000004</v>
      </c>
      <c r="H327" s="3">
        <f>2367.2+(438.7-407.5)+(-2.414544+(-0.447474--0.41565))+0-826.7--0.843234000000132</f>
        <v>1570.0968659999999</v>
      </c>
      <c r="I327" s="3">
        <f>2286.5+(462.9-466.9)+(1.166115+(0.236079-0.238119))+0-744.6-0.379745999999924</f>
        <v>1538.6843290000004</v>
      </c>
      <c r="J327" s="3">
        <f>2290.5+(493.1-527.7)+(-2.33631+(-0.502962--0.538254))+0-751.1--0.76612200000012</f>
        <v>1503.2651040000003</v>
      </c>
      <c r="K327" s="3">
        <f>2208.1+(719-573.1)+(2.252262+(0.73338-0.584562))+0-836.8-0.853536000000133</f>
        <v>1518.7475440000001</v>
      </c>
      <c r="L327" s="3">
        <f>2210.2+(689.4-672.8)+(-1.127202+(-0.351594--0.343128))+0-714.1--0.364190999999928</f>
        <v>1511.9285229999998</v>
      </c>
      <c r="M327" s="3">
        <f>2212.7+(803.5-707.4)+(0+(0-0))+0-812.1-0</f>
        <v>1496.6999999999998</v>
      </c>
      <c r="N327" s="3">
        <f>2285.9+(776.2-718.6)+(2.331618+(0.791724-0.732972))+0-725.3-0.739806000000116</f>
        <v>1619.8505640000001</v>
      </c>
      <c r="O327" s="3">
        <f>2370.3+(732-636.6)+(0+(0-0))+0-750.6-0</f>
        <v>1715.1000000000004</v>
      </c>
      <c r="P327" s="3">
        <f>2365+(596.8-539.9)+(0+(0-0))+0-627-0</f>
        <v>1794.9</v>
      </c>
      <c r="Q327" s="3">
        <f>2560.1+(596.3-718)+(3.916953+(0.912339-1.09854))+0-639.5-0.978435000000037</f>
        <v>1801.6523169999996</v>
      </c>
      <c r="R327" s="3">
        <f>2584.4+(555.5-775.5)+(-5.272176+(-1.13322--1.58202))+0-651.2--1.32844799999997</f>
        <v>1709.7050720000002</v>
      </c>
      <c r="S327" s="3">
        <f>2467.1+(616.2-705.5)+(-1.258221+(-0.314262--0.359805))+0-717.4--0.365873999999927</f>
        <v>1659.5531960000001</v>
      </c>
      <c r="T327" s="3">
        <f>2362.2+(551.8-514.1)+(0+(0-0))+0-737.7-0</f>
        <v>1662.1999999999996</v>
      </c>
      <c r="U327" s="3">
        <f>2202.6+(415-396.7)+(-3.369978+(-0.63495--0.606951))+0-666.2--1.01928600000004</f>
        <v>1552.3213089999999</v>
      </c>
      <c r="V327" s="3">
        <f>2131+(493.9-456.3)+(-1.08681+(-0.251889--0.232713))+0-708--0.361079999999928</f>
        <v>1459.8550939999998</v>
      </c>
      <c r="W327" s="3">
        <f>2148.4+(587.4-357.9)+(-2.191368+(-0.599148--0.365058))+0-701.4--0.715428000000112</f>
        <v>1674.78997</v>
      </c>
      <c r="X327" s="3">
        <f>2546.5+(890.1-771.5)+(-1.298715+(-0.453951--0.393465))+0-663--0.338129999999933</f>
        <v>2001.0789289999996</v>
      </c>
      <c r="Y327" s="3">
        <f>2490.9+(929.4-631.6)+(-3.811077+(-1.421982--0.966348))+0-813.3--1.24434900000005</f>
        <v>1972.3776379999997</v>
      </c>
      <c r="Z327" s="3">
        <f>2484.8+(1052.3-720.4)+(-2.534496+(-1.073346--0.734808))+0-827.9--0.844458000000132</f>
        <v>1986.771424</v>
      </c>
      <c r="AA327" s="3">
        <f>2340.4+(947.7-616.8)+(-4.774416+(-1.933308--1.258272))+0-783--1.59731999999997</f>
        <v>1884.4478680000004</v>
      </c>
      <c r="AB327" s="3">
        <f>2228.9+(889.3-462.8)+(-1.136739+(-0.453543--0.236028))+0-832.9--0.424778999999915</f>
        <v>1821.5705250000001</v>
      </c>
      <c r="AC327" s="3">
        <f>2215.4+(909.6-560.3)+(2.259708+(0.927792-0.571506))+0-846.9-0.863838000000135</f>
        <v>1719.5521559999997</v>
      </c>
      <c r="AD327">
        <v>2031.8</v>
      </c>
      <c r="AE327" s="3">
        <f>2592+(1028.1-764.5)+(0+(0-0))+0-823.8-0</f>
        <v>2031.8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2186.1+(560.6-446)+(-4.459644+(-1.143624--0.90984))+0-795--1.62179999999997</f>
        <v>1502.6283719999997</v>
      </c>
      <c r="G328" s="3">
        <f>2102.4+(379.9-276)+(-2.144448+(-0.387498--0.28152))+0-709.4--0.723588000000113</f>
        <v>1495.3731620000001</v>
      </c>
      <c r="H328" s="3">
        <f>2050.6+(514-299.2)+(-4.183224+(-1.04856--0.610368))+0-780.4--1.59201599999997</f>
        <v>1481.9706000000001</v>
      </c>
      <c r="I328" s="3">
        <f>1959.1+(745-318.4)+(0.999141+(0.37995-0.162384))+0-911.9-0.465068999999907</f>
        <v>1474.5516379999999</v>
      </c>
      <c r="J328" s="3">
        <f>1966.2+(662.9-351.5)+(-3.008286+(-1.014237--0.537795))+0-758.8--1.16096400000004</f>
        <v>1516.4762360000002</v>
      </c>
      <c r="K328" s="3">
        <f>1966.1+(688.9-396)+(1.002711+(0.351339-0.20196))+0-757.3-0.386222999999923</f>
        <v>1502.4658670000001</v>
      </c>
      <c r="L328" s="3">
        <f>1973.2+(783.2-426.2)+(1.006332+(0.399432-0.217362))+0-869.7-0.443546999999912</f>
        <v>1461.2448550000006</v>
      </c>
      <c r="M328" s="3">
        <f>1982.2+(838.6-574.6)+(-3.032766+(-1.283058--0.879138))+0-756.3--1.15713900000004</f>
        <v>1487.620453</v>
      </c>
      <c r="N328" s="3">
        <f>2078.8+(907.7-622.3)+(-1.060188+(-0.462927--0.317373))+0-756.8--0.385967999999923</f>
        <v>1606.580226</v>
      </c>
      <c r="O328" s="3">
        <f>2142.9+(951.4-594.6)+(0+(0-0))+0-716-0</f>
        <v>1783.6999999999998</v>
      </c>
      <c r="P328" s="3">
        <f>2139.2+(965.7-353.9)+(-2.181984+(-0.985014--0.360978))+0-790.1--0.805902000000126</f>
        <v>1958.8998820000002</v>
      </c>
      <c r="Q328" s="3">
        <f>2133.5+(834-305.3)+(-3.264255+(-1.27602--0.467109))+0-743.7--1.13786100000004</f>
        <v>1915.5646949999996</v>
      </c>
      <c r="R328" s="3">
        <f>2140.1+(614.6-342.5)+(-3.274353+(-0.940338--0.524025))+0-656--1.00368000000004</f>
        <v>1753.5130139999999</v>
      </c>
      <c r="S328" s="3">
        <f>2149.2+(633.3-357.7)+(-4.384368+(-1.291932--0.729708))+0-720.4--1.46961599999997</f>
        <v>1700.9230239999997</v>
      </c>
      <c r="T328" s="3">
        <f>2152.7+(576.6-367.8)+(-1.097877+(-0.294066--0.187578))+0-672.1--0.342770999999932</f>
        <v>1688.5384059999999</v>
      </c>
      <c r="U328" s="3">
        <f>2152.9+(683.5-339.2)+(0+(0-0))+0-782.3-0</f>
        <v>1714.9000000000003</v>
      </c>
      <c r="V328" s="3">
        <f>2160.2+(683.8-288.4)+(-1.101702+(-0.348738--0.147084))+0-802.8--0.409427999999919</f>
        <v>1751.906072</v>
      </c>
      <c r="W328" s="3">
        <f>2178.7+(638.7-370.8)+(0+(0-0))+0-588.8-0</f>
        <v>1857.8</v>
      </c>
      <c r="X328" s="3">
        <f>2406.8+(1347.6-874.4)+(-2.454936+(-1.374552--0.891888))+0-691.5--0.70533000000011</f>
        <v>2186.26773</v>
      </c>
      <c r="Y328" s="3">
        <f>2421.8+(1296-1053.5)+(-1.235118+(-0.66096--0.537285))+0-627.3--0.319922999999936</f>
        <v>2035.9611300000004</v>
      </c>
      <c r="Z328" s="3">
        <f>2584.2+(1263.7-1165.4)+(-2.635884+(-1.288974--1.188708))+0-674.9--0.688398000000108</f>
        <v>2005.5522479999997</v>
      </c>
      <c r="AA328" s="3">
        <f>2661.5+(1236.9-1263.5)+(0+(0-0))+0-662-0</f>
        <v>1972.9</v>
      </c>
      <c r="AB328" s="3">
        <f>2656.6+(1257.6-1227.7)+(-1.354866+(-0.641376--0.626127))+0-773.9--0.394688999999921</f>
        <v>1911.6245739999997</v>
      </c>
      <c r="AC328" s="3">
        <f>2609.8+(1060.1-1080)+(-6.65499+(-2.703255--2.754))+0-794.7--2.02648499999988</f>
        <v>1790.6222399999999</v>
      </c>
      <c r="AD328">
        <v>2042.3000000000002</v>
      </c>
      <c r="AE328" s="3">
        <f>2535+(1408-1224.2)+(0+(0-0))+0-676.5-0</f>
        <v>2042.3000000000002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2187.1+(565.6-554.2)+(-3.346263+(-0.865368--0.847926))+0-718.1--1.09869300000004</f>
        <v>1478.134988</v>
      </c>
      <c r="G329" s="3">
        <f>1930.1+(606.1-269.7)+(-2.953053+(-0.927333--0.412641))+0-831.4--1.27204200000005</f>
        <v>1432.904297</v>
      </c>
      <c r="H329" s="3">
        <f>1858.2+(685.9-261.9)+(-3.790728+(-1.399236--0.534276))+0-776.1--1.58324399999997</f>
        <v>1503.027556</v>
      </c>
      <c r="I329" s="3">
        <f>1702.5+(780.6-248.1)+(-0.868275+(-0.398106--0.126531))+0-725.6--0.370055999999926</f>
        <v>1508.630206</v>
      </c>
      <c r="J329" s="3">
        <f>1699.4+(858.8-282.4)+(2.600082+(1.313964-0.432072))+0-775.1-1.18590300000004</f>
        <v>1502.996071</v>
      </c>
      <c r="K329" s="3">
        <f>1701+(822.7-290.9)+(0.86751+(0.419577-0.148359))+0-681.5-0.347564999999931</f>
        <v>1552.0911630000001</v>
      </c>
      <c r="L329" s="3">
        <f>1923.2+(842.7-418.9)+(0.980832+(0.429777-0.213639))+0-711.4-0.362813999999928</f>
        <v>1636.434156</v>
      </c>
      <c r="M329" s="3">
        <f>2163.7+(731.6-515.3)+(0+(0-0))+0-587.6-0</f>
        <v>1792.4</v>
      </c>
      <c r="N329" s="3">
        <f>2296.9+(761-396.3)+(2.342838+(0.77622-0.404226))+0-613.6-0.625872000000098</f>
        <v>2050.08896</v>
      </c>
      <c r="O329" s="3">
        <f>2427.3+(716.3-375.3)+(1.237923+(0.365313-0.191403))+0-559.1-0.285140999999943</f>
        <v>2210.3266920000005</v>
      </c>
      <c r="P329" s="3">
        <f>2520.7+(913.1-590.5)+(1.285557+(0.465681-0.301155))+0-639.5-0.326144999999935</f>
        <v>2204.9239379999999</v>
      </c>
      <c r="Q329" s="3">
        <f>2836.6+(1173.2-1031.5)+(-2.893332+(-1.196664--1.05213))+0-657.1--0.670242000000105</f>
        <v>2318.8323760000003</v>
      </c>
      <c r="R329" s="3">
        <f>2661.1+(917.7-874.3)+(-6.785805+(-2.340135--2.229465))+0-570.1--1.45375499999992</f>
        <v>2128.9572800000001</v>
      </c>
      <c r="S329" s="3">
        <f>2531+(960.1-756.6)+(-2.58162+(-0.979302--0.771732))+0-634.8--0.647496000000101</f>
        <v>2097.5583060000004</v>
      </c>
      <c r="T329" s="3">
        <f>2488+(1206.8-825)+(-3.80664+(-1.846404--1.26225))+0-671--1.02663000000004</f>
        <v>2195.4358360000001</v>
      </c>
      <c r="U329" s="3">
        <f>2484.4+(850.3-972.9)+(-1.267044+(-0.433653--0.496179))+0-256.6--0.130865999999974</f>
        <v>2104.1263480000002</v>
      </c>
      <c r="V329" s="3">
        <f>2390.1+(921.6-947)+(1.218951+(0.470016-0.48297))+0-308.8-0.157487999999969</f>
        <v>2056.9485089999998</v>
      </c>
      <c r="W329" s="3">
        <f>2505.8+(1193.7-1159.9)+(0+(0-0))+0-386.6-0</f>
        <v>2153.0000000000005</v>
      </c>
      <c r="X329" s="3">
        <f>2682.7+(1484.1-1275.3)+(-1.368177+(-0.756891--0.650403))+0-579.4--0.295493999999941</f>
        <v>2310.9208289999997</v>
      </c>
      <c r="Y329" s="3">
        <f>2668.2+(1438.2-1188.1)+(0+(0-0))+0-602-0</f>
        <v>2316.3000000000002</v>
      </c>
      <c r="Z329" s="3">
        <f>2655.8+(1571.8-1189.2)+(-6.77229+(-4.00809--3.03246))+0-662.6--1.6896299999999</f>
        <v>2369.7417100000002</v>
      </c>
      <c r="AA329" s="3">
        <f>2574.5+(1516.9-1265.3)+(0+(0-0))+0-612.1-0</f>
        <v>2214.0000000000005</v>
      </c>
      <c r="AB329" s="3">
        <f>2572.5+(1537.5-1276.6)+(-6.559875+(-3.920625--3.25533))+0-713.8--1.8201899999999</f>
        <v>2114.1950199999997</v>
      </c>
      <c r="AC329" s="3">
        <f>2441.6+(1449.9-1319.8)+(-6.22608+(-3.697245--3.36549))+0-644.8--1.64423999999991</f>
        <v>1921.9864049999996</v>
      </c>
      <c r="AD329">
        <v>2205.9</v>
      </c>
      <c r="AE329" s="3">
        <f>2661+(1442.5-1198)+(0+(0-0))+0-699.6-0</f>
        <v>2205.9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2176+(952.4-949.5)+(-2.21952+(-0.971448--0.96849))+0-638.6--0.651372000000102</f>
        <v>1538.7288940000001</v>
      </c>
      <c r="G330" s="3">
        <f>1929.5+(731.2-376.7)+(3.93618+(1.491648-0.768468))+0-740.5-1.51061999999997</f>
        <v>1546.6487400000001</v>
      </c>
      <c r="H330" s="3">
        <f>1875.7+(643.1-178.4)+(2.869821+(0.983943-0.272952))+0-767.6-1.17442800000004</f>
        <v>1575.2063840000003</v>
      </c>
      <c r="I330" s="3">
        <f>1861.1+(687.8-123)+(-3.796644+(-1.403112--0.25092))+0-812.2--1.65688799999996</f>
        <v>1610.4080519999995</v>
      </c>
      <c r="J330" s="3">
        <f>1858.4+(765.4-145.1)+(1.895568+(0.780708-0.148002))+0-848.3-0.865266000000135</f>
        <v>1632.0630079999994</v>
      </c>
      <c r="K330" s="3">
        <f>1865.4+(781.4-154.9)+(0+(0-0))+0-825.5-0</f>
        <v>1666.4</v>
      </c>
      <c r="L330" s="3">
        <f>1923.5+(743.3-254.7)+(0.980985+(0.379083-0.129897))+0-696-0.354959999999929</f>
        <v>1716.9752110000002</v>
      </c>
      <c r="M330" s="3">
        <f>2173+(704.9-395.5)+(-2.21646+(-0.718998--0.40341))+0-646.2--0.659124000000103</f>
        <v>1834.327076</v>
      </c>
      <c r="N330" s="3">
        <f>2258.4+(738.4-322.9)+(-1.151784+(-0.376584--0.164679))+0-551.5--0.281264999999944</f>
        <v>2121.3175760000004</v>
      </c>
      <c r="O330" s="3">
        <f>2537.7+(734.2-512.9)+(-1.294227+(-0.374442--0.261579))+0-587.7--0.29972699999994</f>
        <v>2170.1926369999996</v>
      </c>
      <c r="P330" s="3">
        <f>2659.3+(896.1-752.3)+(-4.068729+(-1.371033--1.151019))+0-585.2--0.895356000000034</f>
        <v>2214.5066130000005</v>
      </c>
      <c r="Q330" s="3">
        <f>2649.7+(969.6-721.1)+(-1.351347+(-0.494496--0.367761))+0-618.6--0.315485999999937</f>
        <v>2278.4374039999998</v>
      </c>
      <c r="R330" s="3">
        <f>2484.7+(929.5-619)+(-3.801591+(-1.422135--0.94707))+0-648.8--0.992664000000037</f>
        <v>2143.1160079999995</v>
      </c>
      <c r="S330" s="3">
        <f>2447+(924.6-678.9)+(0+(0-0))+0-578-0</f>
        <v>2114.6999999999998</v>
      </c>
      <c r="T330" s="3">
        <f>2448.2+(915.2-859.1)+(-1.248582+(-0.466752--0.438141))+0-455.7--0.232406999999954</f>
        <v>2047.5552139999998</v>
      </c>
      <c r="U330" s="3">
        <f>2443.8+(890.7-944.2)+(-1.246338+(-0.454257--0.481542))+0-352.6--0.179825999999964</f>
        <v>2036.6607730000005</v>
      </c>
      <c r="V330" s="3">
        <f>2436.5+(699.9-803.2)+(2.48523+(0.713898-0.819264))+0-391-0.398820000000062</f>
        <v>1944.1810439999997</v>
      </c>
      <c r="W330" s="3">
        <f>2490.4+(848.6-736.7)+(-1.270104+(-0.432786--0.375717))+0-479.3--0.244442999999951</f>
        <v>2121.9172699999999</v>
      </c>
      <c r="X330" s="3">
        <f>2658.6+(1515.7-1055.5)+(-1.355886+(-0.773007--0.538305))+0-600.4--0.306203999999939</f>
        <v>2517.115616</v>
      </c>
      <c r="Y330" s="3">
        <f>2661.2+(1587.6-1201.3)+(-5.428848+(-3.238704--2.450652))+0-672.1--1.37108399999997</f>
        <v>2370.5541840000001</v>
      </c>
      <c r="Z330" s="3">
        <f>2658.4+(1615.1-1281.7)+(-1.355784+(-0.823701--0.653667))+0-768.2--0.391781999999922</f>
        <v>2222.4659640000004</v>
      </c>
      <c r="AA330" s="3">
        <f>2571.3+(1498.5-1261.6)+(5.245452+(3.05694-2.573664))+0-659.1-1.34456399999997</f>
        <v>2153.4841640000004</v>
      </c>
      <c r="AB330" s="3">
        <f>2553.8+(1447.7-1151.3)+(-2.604876+(-1.476654--1.174326))+0-798.3--0.814266000000127</f>
        <v>2049.8070620000008</v>
      </c>
      <c r="AC330" s="3">
        <f>2423.6+(1071.1-874.5)+(-4.944144+(-2.185044--1.78398))+0-771--1.57283999999997</f>
        <v>1845.4276319999997</v>
      </c>
      <c r="AD330">
        <v>2519.7000000000003</v>
      </c>
      <c r="AE330" s="3">
        <f>2653+(1694.8-1120)+(0+(0-0))+0-708.1-0</f>
        <v>2519.7000000000003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2186.1+(680.9-535)+(-3.344733+(-1.041777--0.81855))+0-790.9--1.21007700000005</f>
        <v>1538.742117</v>
      </c>
      <c r="G331" s="3">
        <f>2053.9+(541-232.5)+(-2.094978+(-0.55182--0.23715))+0-794--0.809880000000127</f>
        <v>1566.8002320000003</v>
      </c>
      <c r="H331" s="3">
        <f>1973.3+(624.6-98.1)+(1.006383+(0.318546-0.050031))+0-832.6-0.424625999999916</f>
        <v>1668.0502720000004</v>
      </c>
      <c r="I331" s="3">
        <f>1873.4+(646.5-92.6)+(0+(0-0))+0-807-0</f>
        <v>1620.3000000000002</v>
      </c>
      <c r="J331" s="3">
        <f>1873.9+(615.5-108.3)+(0.955689+(0.313905-0.055233))+0-763.3-0.389282999999923</f>
        <v>1618.6250779999998</v>
      </c>
      <c r="K331" s="3">
        <f>1882.8+(734.4-139.9)+(4.80114+(1.87272-0.356745))+0-850.8-2.16953999999988</f>
        <v>1630.6475750000002</v>
      </c>
      <c r="L331" s="3">
        <f>2082.1+(622.3-219)+(-1.061871+(-0.317373--0.11169))+0-784.5--0.40009499999992</f>
        <v>1700.0325409999996</v>
      </c>
      <c r="M331" s="3">
        <f>2196.3+(611.8-267.2)+(0+(0-0))+0-729-0</f>
        <v>1811.9</v>
      </c>
      <c r="N331" s="3">
        <f>2294.5+(691.1-186)+(0+(0-0))+0-632.3-0</f>
        <v>2167.3000000000002</v>
      </c>
      <c r="O331" s="3">
        <f>2483+(869.6-469.9)+(1.26633+(0.443496-0.239649))+0-716-0.365159999999927</f>
        <v>2167.8050170000001</v>
      </c>
      <c r="P331" s="3">
        <f>2562.6+(1029.1-699.8)+(-2.613852+(-1.049682--0.713796))+0-644.1--0.656982000000103</f>
        <v>2245.5072439999999</v>
      </c>
      <c r="Q331" s="3">
        <f>2635.1+(1082-811.7)+(-4.031703+(-1.65546--1.241901))+0-643.1--0.983943000000037</f>
        <v>2258.8386809999997</v>
      </c>
      <c r="R331" s="3">
        <f>2726.5+(880.8-854.9)+(-2.78103+(-0.898416--0.871998))+0-653.6--0.666672000000104</f>
        <v>2096.6592240000004</v>
      </c>
      <c r="S331" s="3">
        <f>2494.1+(773.7-509.5)+(3.815973+(1.183761-0.779535))+0-709.6-1.08568800000004</f>
        <v>2051.834511</v>
      </c>
      <c r="T331" s="3">
        <f>2497.4+(762.3-552.1)+(-2.547348+(-0.777546--0.563142))+0-635.8--0.648516000000101</f>
        <v>2069.686764</v>
      </c>
      <c r="U331" s="3">
        <f>2287.6+(675.1-338.3)+(1.166676+(0.344301-0.172533))+0-570-0.290699999999942</f>
        <v>2055.4477440000001</v>
      </c>
      <c r="V331" s="3">
        <f>2271.4+(734.8-369.2)+(1.158414+(0.374748-0.188292))+0-613.7-0.312986999999938</f>
        <v>2024.3318829999998</v>
      </c>
      <c r="W331" s="3">
        <f>2360.2+(1032.7-522.6)+(1.203702+(0.526677-0.266526))+0-752.3-0.383672999999924</f>
        <v>2119.0801800000004</v>
      </c>
      <c r="X331" s="3">
        <f>2926.9+(1625.3-1526.7)+(0+(0-0))+0-680-0</f>
        <v>2345.5</v>
      </c>
      <c r="Y331" s="3">
        <f>2944+(1696.1-1539.1)+(-7.5072+(-4.325055--3.924705))+0-801.5--2.04382499999988</f>
        <v>2293.6362749999998</v>
      </c>
      <c r="Z331" s="3">
        <f>2762.2+(1729.9-1561.4)+(-1.408722+(-0.882249--0.796314))+0-721.2--0.367811999999927</f>
        <v>2208.3731549999998</v>
      </c>
      <c r="AA331" s="3">
        <f>2725.7+(1678.9-1433.1)+(-4.170321+(-2.568717--2.192643))+0-823.2--1.25949600000005</f>
        <v>2145.013101</v>
      </c>
      <c r="AB331" s="3">
        <f>2718.7+(1614.9-1510.9)+(-1.386537+(-0.823599--0.770559))+0-756.7--0.385916999999923</f>
        <v>2064.94634</v>
      </c>
      <c r="AC331" s="3">
        <f>2375.1+(1169.2-771.9)+(-6.056505+(-2.98146--1.968345))+0-839.4--2.14046999999988</f>
        <v>1928.0708499999996</v>
      </c>
      <c r="AD331">
        <v>2277.4000000000005</v>
      </c>
      <c r="AE331" s="3">
        <f>3022+(1795.3-1627.6)+(0+(0-0))+0-912.3-0</f>
        <v>2277.3999999999996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2164.3+(796.8-310.8)+(-4.415172+(-1.625472--0.634032))+0-864.3--1.76317199999996</f>
        <v>1782.3565599999999</v>
      </c>
      <c r="G332" s="3">
        <f>2041.3+(562.7-96.6)+(0+(0-0))+0-794.8-0</f>
        <v>1712.6000000000001</v>
      </c>
      <c r="H332" s="3">
        <f>2037.9+(598.5-181)+(-1.039329+(-0.305235--0.09231))+0-781.8--0.398717999999921</f>
        <v>1672.7464640000001</v>
      </c>
      <c r="I332" s="3">
        <f>1965+(710.4-174.5)+(2.0043+(0.724608-0.17799))+0-839-0.855780000000134</f>
        <v>1663.5951379999999</v>
      </c>
      <c r="J332" s="3">
        <f>1962.5+(563.9-189.4)+(-2.00175+(-0.575178--0.193188))+0-671.6--0.685032000000107</f>
        <v>1663.701292</v>
      </c>
      <c r="K332" s="3">
        <f>1948.3+(820.6-220.8)+(0.993633+(0.418506-0.112608))+0-857.5-0.437324999999913</f>
        <v>1691.4622060000002</v>
      </c>
      <c r="L332" s="3">
        <f>1960.2+(717.6-229.8)+(0+(0-0))+0-732.5-0</f>
        <v>1715.5</v>
      </c>
      <c r="M332" s="3">
        <f>2172.8+(646.8-279.9)+(1.108128+(0.329868-0.142749))+0-695.8-0.354857999999929</f>
        <v>1844.8403890000004</v>
      </c>
      <c r="N332" s="3">
        <f>2366.8+(733.2-374.4)+(3.621204+(1.121796-0.572832))+0-645.8-0.988074000000037</f>
        <v>2082.9820940000009</v>
      </c>
      <c r="O332" s="3">
        <f>2476+(946.9-600)+(3.78828+(1.448757-0.918))+0-613.5-0.938655000000035</f>
        <v>2212.7803820000004</v>
      </c>
      <c r="P332" s="3">
        <f>2549.5+(1337.1-826.3)+(5.20098+(2.727684-1.685652))+0-783.1-1.59752399999997</f>
        <v>2281.8454880000004</v>
      </c>
      <c r="Q332" s="3">
        <f>2550.6+(1278.6-1008.8)+(-2.601612+(-1.304172--1.028976))+0-524.5--0.534990000000084</f>
        <v>2293.5581819999998</v>
      </c>
      <c r="R332" s="3">
        <f>2333+(1043.7-700.4)+(-5.94915+(-2.661435--1.78602))+0-565.5--1.44202499999992</f>
        <v>2105.4174600000001</v>
      </c>
      <c r="S332" s="3">
        <f>2307.4+(846-532.2)+(1.176774+(0.43146-0.271422))+0-626.8-0.319667999999936</f>
        <v>1995.417144</v>
      </c>
      <c r="T332" s="3">
        <f>2159.5+(831.3-360.3)+(0+(0-0))+0-545.4-0</f>
        <v>2085.1</v>
      </c>
      <c r="U332" s="3">
        <f>2086.1+(958.9-306.4)+(2.127822+(0.978078-0.312528))+0-677.5-0.691050000000108</f>
        <v>2063.2023220000001</v>
      </c>
      <c r="V332" s="3">
        <f>2171.3+(997.2-358)+(-2.214726+(-1.017144--0.36516))+0-738.5--0.753270000000118</f>
        <v>2069.8865600000004</v>
      </c>
      <c r="W332" s="3">
        <f>2360.9+(974.1-751.1)+(-2.408118+(-0.993582--0.766122))+0-356.3--0.363426000000057</f>
        <v>2225.3278479999999</v>
      </c>
      <c r="X332" s="3">
        <f>2610.1+(1421.9-1169.7)+(-3.993453+(-2.175507--1.789641))+0-420.3--0.643059000000024</f>
        <v>2438.2637399999999</v>
      </c>
      <c r="Y332" s="3">
        <f>2377+(1349.1-959.8)+(-4.84908+(-2.752164--1.957992))+0-441.8--0.901271999999981</f>
        <v>2319.7580200000002</v>
      </c>
      <c r="Z332" s="3">
        <f>2235.5+(1411.8-889.4)+(-3.420315+(-2.160054--1.360782))+0-469.7--0.718641000000027</f>
        <v>2284.6990540000002</v>
      </c>
      <c r="AA332" s="3">
        <f>2237.1+(1353.9-737.2)+(-3.422763+(-2.071467--1.127916))+0-672.4--1.02877200000004</f>
        <v>2178.0624580000003</v>
      </c>
      <c r="AB332" s="3">
        <f>2232.2+(1319.8-668.4)+(-2.276844+(-1.346196--0.681768))+0-803.6--0.819672000000128</f>
        <v>2077.8784000000001</v>
      </c>
      <c r="AC332" s="3">
        <f>2212.5+(1224.2-745.3)+(-2.25675+(-1.248684--0.760206))+0-738--0.752760000000118</f>
        <v>1951.4075319999999</v>
      </c>
      <c r="AD332">
        <v>2369.9</v>
      </c>
      <c r="AE332" s="3">
        <f>2550+(1478-1153.1)+(0+(0-0))+0-505-0</f>
        <v>2369.9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2140.5+(899.2-576.7)+(-5.458275+(-2.29296--1.470585))+0-796.2--2.03030999999988</f>
        <v>1662.5496599999997</v>
      </c>
      <c r="G333" s="3">
        <f>1992.5+(573.3-239.7)+(-3.048525+(-0.877149--0.366741))+0-742.1--1.13541300000004</f>
        <v>1581.5764800000002</v>
      </c>
      <c r="H333" s="3">
        <f>1990.2+(539.6-189.4)+(-3.045006+(-0.825588--0.289782))+0-731.2--1.11873600000004</f>
        <v>1606.737924</v>
      </c>
      <c r="I333" s="3">
        <f>1988.5+(591.8-179.9)+(-4.05654+(-1.207272--0.366996))+0-784.9--1.60119599999997</f>
        <v>1612.2043800000001</v>
      </c>
      <c r="J333" s="3">
        <f>1985.7+(599.3-206.5)+(2.025414+(0.611286-0.21063))+0-739.4-0.754188000000118</f>
        <v>1640.7718819999998</v>
      </c>
      <c r="K333" s="3">
        <f>1985.2+(798.8-293.6)+(1.012452+(0.407388-0.149736))+0-856-0.436559999999913</f>
        <v>1635.2335440000004</v>
      </c>
      <c r="L333" s="3">
        <f>1995.9+(798.4-316.4)+(-1.017909+(-0.407184--0.161364))+0-706.7--0.360416999999928</f>
        <v>1770.2966880000001</v>
      </c>
      <c r="M333" s="3">
        <f>2052.4+(908.2-322.6)+(0+(0-0))+0-744-0</f>
        <v>1894</v>
      </c>
      <c r="N333" s="3">
        <f>2276.8+(1003.8-297.6)+(1.161168+(0.511938-0.151776))+0-769.3-0.392342999999922</f>
        <v>2214.8289870000003</v>
      </c>
      <c r="O333" s="3">
        <f>2296.6+(1200.1-420.5)+(-1.171266+(-0.612051--0.214455))+0-728.7--0.371636999999926</f>
        <v>2346.3027749999997</v>
      </c>
      <c r="P333" s="3">
        <f>2443.2+(1593.8-786.9)+(0+(0-0))+0-795.7-0</f>
        <v>2454.3999999999996</v>
      </c>
      <c r="Q333" s="3">
        <f>2536.8+(1689.7-1100.7)+(-2.587536+(-1.723494--1.122714))+0-741--0.755820000000118</f>
        <v>2382.3675040000003</v>
      </c>
      <c r="R333" s="3">
        <f>2417.9+(1474.8-959.5)+(-4.932516+(-3.008592--1.95738))+0-840.4--1.71441599999996</f>
        <v>2088.5306879999994</v>
      </c>
      <c r="S333" s="3">
        <f>2266.1+(994.6-526.5)+(-4.622844+(-2.028984--1.07406))+0-700--1.42799999999997</f>
        <v>2030.0502319999996</v>
      </c>
      <c r="T333" s="3">
        <f>2232.6+(899.2-311.3)+(-2.277252+(-0.917184--0.317526))+0-781.5--0.797130000000125</f>
        <v>2036.9202200000002</v>
      </c>
      <c r="U333" s="3">
        <f>2270.5+(700.1-258.2)+(-4.63182+(-1.428204--0.526728))+0-671--1.36883999999997</f>
        <v>2037.2355439999999</v>
      </c>
      <c r="V333" s="3">
        <f>2272.4+(717.5-293.6)+(-1.158924+(-0.365925--0.149736))+0-623.4--0.317933999999937</f>
        <v>2071.8428210000002</v>
      </c>
      <c r="W333" s="3">
        <f>2351.8+(706.1-504.4)+(-3.598254+(-1.080333--0.771732))+0-384.4--0.588132000000022</f>
        <v>2165.7812769999996</v>
      </c>
      <c r="X333" s="3">
        <f>2751.3+(1022.2-1054.1)+(-2.806326+(-1.042644--1.075182))+0-385.8--0.393516000000062</f>
        <v>2331.2197280000005</v>
      </c>
      <c r="Y333" s="3">
        <f>2660.5+(1235.5-1318.1)+(-2.71371+(-1.26021--1.344462))+0-332.2--0.338844000000053</f>
        <v>2243.4093860000003</v>
      </c>
      <c r="Z333" s="3">
        <f>2587+(1365-1399.4)+(-3.95811+(-2.08845--2.141082))+0-428.1--0.654993000000025</f>
        <v>2121.249515</v>
      </c>
      <c r="AA333" s="3">
        <f>2519.9+(1477.7-1219.6)+(-2.570298+(-1.507254--1.243992))+0-728--0.742560000000116</f>
        <v>2047.9090000000001</v>
      </c>
      <c r="AB333" s="3">
        <f>2517.4+(1408.7-1194.8)+(-3.851622+(-2.155311--1.828044))+0-785.3--1.20150900000005</f>
        <v>1943.0226200000004</v>
      </c>
      <c r="AC333" s="3">
        <f>2273.9+(1386.4-1090.1)+(0+(0-0))+0-755.4-0</f>
        <v>1814.8000000000002</v>
      </c>
      <c r="AD333">
        <v>2334.7000000000003</v>
      </c>
      <c r="AE333" s="3">
        <f>2788+(1024.8-1084.7)+(0+(0-0))+0-393.4-0</f>
        <v>2334.6999999999998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1862.3+(1109.7-618.7)+(-1.899546+(-1.131894--0.631074))+0-843.8--0.860676000000134</f>
        <v>1507.9603100000006</v>
      </c>
      <c r="G334" s="3">
        <f>1844.6+(905.8-365.9)+(-0.940746+(-0.461958--0.186609))+0-861.4--0.439313999999913</f>
        <v>1522.3232189999997</v>
      </c>
      <c r="H334" s="3">
        <f>1845.1+(759.5-237.6)+(0+(0-0))+0-906.4-0</f>
        <v>1460.6</v>
      </c>
      <c r="I334" s="3">
        <f>1848.5+(581.5-185)+(-1.88547+(-0.59313--0.1887))+0-730.4--0.745008000000116</f>
        <v>1513.0551079999998</v>
      </c>
      <c r="J334" s="3">
        <f>1857+(722-146.4)+(4.73535+(1.8411-0.37332))+0-858.3-2.18866499999988</f>
        <v>1578.3144649999999</v>
      </c>
      <c r="K334" s="3">
        <f>1803.6+(711.8-138.2)+(0.919836+(0.363018-0.070482))+0-794-0.404939999999919</f>
        <v>1584.0074319999999</v>
      </c>
      <c r="L334" s="3">
        <f>1773.4+(709.9-132.2)+(-1.808868+(-0.724098--0.134844))+0-816.8--0.83313600000013</f>
        <v>1532.7350140000005</v>
      </c>
      <c r="M334" s="3">
        <f>1778.6+(608.1-216.2)+(0.907086+(0.310131-0.110262))+0-686.7-0.35021699999993</f>
        <v>1484.5567380000002</v>
      </c>
      <c r="N334" s="3">
        <f>1956.3+(706.2-370.8)+(0+(0-0))+0-750.5-0</f>
        <v>1541.1999999999998</v>
      </c>
      <c r="O334" s="3">
        <f>2190.8+(705.4-502.8)+(-1.117308+(-0.359754--0.256428))+0-712.1--0.363170999999928</f>
        <v>1680.4425370000004</v>
      </c>
      <c r="P334" s="3">
        <f>2367.6+(918.7-703)+(-1.207476+(-0.468537--0.35853))+0-768.6--0.391985999999922</f>
        <v>1813.7745030000003</v>
      </c>
      <c r="Q334" s="3">
        <f>2310.9+(984.2-824.9)+(-4.714236+(-2.007768--1.682796))+0-670.5--1.36781999999997</f>
        <v>1796.0286120000001</v>
      </c>
      <c r="R334" s="3">
        <f>2262.7+(1107.1-895.8)+(-3.461931+(-1.693863--1.370574))+0-786.2--1.20288600000005</f>
        <v>1685.2176659999998</v>
      </c>
      <c r="S334" s="3">
        <f>2129.9+(960.4-696)+(-3.258747+(-1.469412--1.06488))+0-775.2--1.18605600000004</f>
        <v>1616.6227770000003</v>
      </c>
      <c r="T334" s="3">
        <f>1799.6+(926.5-449.3)+(-3.671184+(-1.89006--0.916572))+0-709.3--1.44697199999997</f>
        <v>1564.3022999999998</v>
      </c>
      <c r="U334" s="3">
        <f>1790.2+(840-373.3)+(-0.913002+(-0.4284--0.190383))+0-703--0.358529999999929</f>
        <v>1553.1075110000002</v>
      </c>
      <c r="V334" s="3">
        <f>1784.8+(851.6-382.6)+(-0.910248+(-0.434316--0.195126))+0-689.8--0.35179799999993</f>
        <v>1563.2023600000002</v>
      </c>
      <c r="W334" s="3">
        <f>1842.7+(989.3-428.6)+(-1.879554+(-1.009086--0.437172))+0-731.5--0.746130000000117</f>
        <v>1670.1946620000001</v>
      </c>
      <c r="X334" s="3">
        <f>2082+(1182-531.9)+(0+(0-0))+0-786.2-0</f>
        <v>1945.8999999999999</v>
      </c>
      <c r="Y334" s="3">
        <f>2137.5+(1137.6-660.6)+(1.090125+(0.580176-0.336906))+0-673.1-0.343280999999932</f>
        <v>1942.3901140000003</v>
      </c>
      <c r="Z334" s="3">
        <f>2129.5+(1158.1-669.2)+(-2.17209+(-1.181262--0.682584))+0-713--0.727260000000114</f>
        <v>1903.4564919999998</v>
      </c>
      <c r="AA334" s="3">
        <f>2102.9+(1151.3-630.8)+(-5.362395+(-2.935815--1.60854))+0-750.3--1.91326499999989</f>
        <v>1868.3235949999998</v>
      </c>
      <c r="AB334" s="3">
        <f>2125.6+(1224.2-733.6)+(-2.168112+(-1.248684--0.748272))+0-735.3--0.750006000000117</f>
        <v>1878.9814819999999</v>
      </c>
      <c r="AC334" s="3">
        <f>1980+(1062.2-581.9)+(-4.0392+(-2.166888--1.187076))+0-727.1--1.48328399999997</f>
        <v>1729.664272</v>
      </c>
      <c r="AD334">
        <v>2002</v>
      </c>
      <c r="AE334" s="3">
        <f>2128+(1205-558)+(0+(0-0))+0-773-0</f>
        <v>2002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1965.2+(823.7-449.2)+(-5.01126+(-2.100435--1.14546))+0-836.8--2.13383999999988</f>
        <v>1499.0676050000004</v>
      </c>
      <c r="G335" s="3">
        <f>1932.4+(525.2-254.8)+(-4.92762+(-1.33926--0.64974))+0-731.2--1.86455999999989</f>
        <v>1467.8474200000003</v>
      </c>
      <c r="H335" s="3">
        <f>1817.1+(697.5-155.7)+(-3.706884+(-1.4229--0.317628))+0-884.3--1.80397199999996</f>
        <v>1471.5918159999997</v>
      </c>
      <c r="I335" s="3">
        <f>1814.5+(578.3-131.9)+(-3.70158+(-1.179732--0.269076))+0-768.9--1.56855599999997</f>
        <v>1488.95632</v>
      </c>
      <c r="J335" s="3">
        <f>1810.9+(582.6-107.7)+(0.923559+(0.297126-0.054927))+0-773.2-0.394331999999922</f>
        <v>1513.3714260000004</v>
      </c>
      <c r="K335" s="3">
        <f>1813.5+(614-122.9)+(3.69954+(1.25256-0.250716))+0-777.4-1.58589599999997</f>
        <v>1530.3154879999997</v>
      </c>
      <c r="L335" s="3">
        <f>1966.5+(497.9-158.5)+(-5.014575+(-1.269645--0.404175))+0-690.6--1.7610299999999</f>
        <v>1611.1809850000002</v>
      </c>
      <c r="M335" s="3">
        <f>2194.8+(826.7-532)+(2.238696+(0.843234-0.54264))+0-706.3-0.720426000000113</f>
        <v>1785.0188640000001</v>
      </c>
      <c r="N335" s="3">
        <f>2536.9+(1035.8-871.5)+(0+(0-0))+0-667.4-0</f>
        <v>2033.7999999999997</v>
      </c>
      <c r="O335" s="3">
        <f>2655+(1164.2-1050.9)+(-1.35405+(-0.593742--0.535959))+0-626.5--0.319514999999936</f>
        <v>2140.7076820000002</v>
      </c>
      <c r="P335" s="3">
        <f>2690+(1130.3-1183.6)+(-6.8595+(-2.882265--3.01818))+0-377.3--0.962114999999945</f>
        <v>2253.6385299999993</v>
      </c>
      <c r="Q335" s="3">
        <f>2730.2+(1287.3-1161.7)+(2.784804+(1.313046-1.184934))+0-652.1-0.665142000000104</f>
        <v>2205.9477739999998</v>
      </c>
      <c r="R335" s="3">
        <f>2558.7+(958.6-957.5)+(-6.524685+(-2.44443--2.441625))+0-675.9--1.7235449999999</f>
        <v>1879.0960549999995</v>
      </c>
      <c r="S335" s="3">
        <f>2402.8+(1084.7-771.5)+(-6.12714+(-2.765985--1.967325))+0-752.5--1.91887499999989</f>
        <v>1958.4930749999999</v>
      </c>
      <c r="T335" s="3">
        <f>2246.4+(1210.4-797.8)+(-1.145664+(-0.617304--0.406878))+0-648.8--0.330887999999934</f>
        <v>2009.1747979999998</v>
      </c>
      <c r="U335" s="3">
        <f>2245.8+(1336.5-828)+(0+(0-0))+0-767.2-0</f>
        <v>1987.1000000000001</v>
      </c>
      <c r="V335" s="3">
        <f>2244.9+(1196.4-822.6)+(-2.289798+(-1.220328--0.839052))+0-653.4--0.666468000000104</f>
        <v>1963.2953940000004</v>
      </c>
      <c r="W335" s="3">
        <f>2267.6+(984.9-876.6)+(1.156476+(0.502299-0.447066))+0-302.9-0.154478999999969</f>
        <v>2074.0572299999999</v>
      </c>
      <c r="X335" s="3">
        <f>2569.9+(1038.3-868.9)+(-1.310649+(-0.529533--0.443139))+0-350.5--0.178754999999964</f>
        <v>2387.5817120000002</v>
      </c>
      <c r="Y335" s="3">
        <f>2648.8+(954.4-923.1)+(-1.350888+(-0.486744--0.470781))+0-308--0.157079999999969</f>
        <v>2370.8902290000001</v>
      </c>
      <c r="Z335" s="3">
        <f>2628.7+(1117.9-1159.3)+(-5.362548+(-2.280516--2.364972))+0-330.6--0.674423999999986</f>
        <v>2252.0963320000001</v>
      </c>
      <c r="AA335" s="3">
        <f>2498.5+(1163.3-993.1)+(1.274235+(0.593283-0.506481))+0-670.2-0.341801999999932</f>
        <v>1999.519235</v>
      </c>
      <c r="AB335" s="3">
        <f>2394.7+(1008.6-763.8)+(-4.885188+(-2.057544--1.558152))+0-678.3--1.38373199999997</f>
        <v>1957.1991520000001</v>
      </c>
      <c r="AC335" s="3">
        <f>2165.3+(832.2-526.9)+(-5.521515+(-2.12211--1.343595))+0-736.9--1.87909499999989</f>
        <v>1729.2790650000002</v>
      </c>
      <c r="AD335">
        <v>2266.4</v>
      </c>
      <c r="AE335" s="3">
        <f>2577+(954.2-879.7)+(0+(0-0))+0-385.1-0</f>
        <v>2266.4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2192.5+(483-162.6)+(-3.354525+(-0.73899--0.248778))+0-769.3--1.17702900000004</f>
        <v>1740.9322920000002</v>
      </c>
      <c r="G336" s="3">
        <f>2008.9+(581.4-154.2)+(-4.098156+(-1.186056--0.314568))+0-748--1.52591999999997</f>
        <v>1684.6562760000002</v>
      </c>
      <c r="H336" s="3">
        <f>1879.2+(737.8-103.4)+(1.916784+(0.752556-0.105468))+0-872.4-0.889848000000139</f>
        <v>1642.874024</v>
      </c>
      <c r="I336" s="3">
        <f>1882.4+(614.8-128)+(-2.880072+(-0.940644--0.19584))+0-737.2--1.12791600000004</f>
        <v>1629.5030400000001</v>
      </c>
      <c r="J336" s="3">
        <f>1885.7+(707.1-181.6)+(-0.961707+(-0.360621--0.092616))+0-784.4--0.40004399999992</f>
        <v>1625.9703319999999</v>
      </c>
      <c r="K336" s="3">
        <f>1886.1+(681.4-170.9)+(1.923822+(0.695028-0.174318))+0-786.7-0.802434000000125</f>
        <v>1611.5420979999997</v>
      </c>
      <c r="L336" s="3">
        <f>1889.1+(666.4-178.7)+(0.963441+(0.339864-0.091137))+0-700.6-0.357305999999929</f>
        <v>1677.054862</v>
      </c>
      <c r="M336" s="3">
        <f>2104.9+(615.2-192.2)+(1.073499+(0.313752-0.098022))+0-727.5-0.371024999999926</f>
        <v>1801.3182040000002</v>
      </c>
      <c r="N336" s="3">
        <f>2464.8+(583.7-294.4)+(-1.257048+(-0.297687--0.150144))+0-670.6--0.342005999999932</f>
        <v>2082.4374150000003</v>
      </c>
      <c r="O336" s="3">
        <f>2646.3+(799.1-539.8)+(-1.349613+(-0.407541--0.275298))+0-774.8--0.395147999999921</f>
        <v>2129.7132920000008</v>
      </c>
      <c r="P336" s="3">
        <f>2720.7+(903.4-668.2)+(1.387557+(0.460734-0.340782))+0-693.9-0.35388899999993</f>
        <v>2263.1536199999996</v>
      </c>
      <c r="Q336" s="3">
        <f>2714.2+(1105.3-731.2)+(-2.768484+(-1.127406--0.745824))+0-775.8--0.791316000000124</f>
        <v>2310.1412500000001</v>
      </c>
      <c r="R336" s="3">
        <f>2589+(1060.4-840)+(-5.28156+(-2.163216--1.7136))+0-738.1--1.50572399999997</f>
        <v>2067.0745480000005</v>
      </c>
      <c r="S336" s="3">
        <f>2468.6+(1134.8-793.7)+(-3.776958+(-1.736244--1.214361))+0-768.6--1.17595800000004</f>
        <v>2037.9771170000001</v>
      </c>
      <c r="T336" s="3">
        <f>2294+(1202.4-840.6)+(1.16994+(0.613224-0.428706))+0-736.2-0.375461999999925</f>
        <v>1920.578996</v>
      </c>
      <c r="U336" s="3">
        <f>2297.2+(1182.7-910.3)+(-4.686288+(-2.412708--1.857012))+0-568.7--1.16014799999998</f>
        <v>1996.818164</v>
      </c>
      <c r="V336" s="3">
        <f>2297.4+(1181.9-838.8)+(0+(0-0))+0-670.1-0</f>
        <v>1970.4</v>
      </c>
      <c r="W336" s="3">
        <f>2337+(1332.1-822.6)+(-1.19187+(-0.679371--0.419526))+0-810--0.413099999999918</f>
        <v>2035.4613849999998</v>
      </c>
      <c r="X336" s="3">
        <f>2598.5+(1279-1172.5)+(-1.325235+(-0.65229--0.597975))+0-430.8--0.219707999999956</f>
        <v>2273.0401579999998</v>
      </c>
      <c r="Y336" s="3">
        <f>2540.5+(1313.5-1215.3)+(-3.886965+(-2.009655--1.859409))+0-401.2--0.613836000000023</f>
        <v>2234.0766250000001</v>
      </c>
      <c r="Z336" s="3">
        <f>2500.4+(1352-1240)+(-6.37602+(-3.4476--3.162))+0-442.8--1.12913999999994</f>
        <v>2164.0675200000001</v>
      </c>
      <c r="AA336" s="3">
        <f>2494.6+(1512-1091.9)+(1.272246+(0.77112-0.556869))+0-807-0.411569999999918</f>
        <v>2108.7749269999999</v>
      </c>
      <c r="AB336" s="3">
        <f>2590.7+(1501.9-1346.4)+(-5.285028+(-3.063876--2.746656))+0-742.4--1.51449599999997</f>
        <v>1999.7122479999996</v>
      </c>
      <c r="AC336" s="3">
        <f>2422.6+(1328.8-1025)+(-4.942104+(-2.710752--2.091))+0-805.1--1.64240399999996</f>
        <v>1917.3805479999999</v>
      </c>
      <c r="AD336">
        <v>2263.6999999999998</v>
      </c>
      <c r="AE336" s="3">
        <f>2595+(1316.1-1215.4)+(0+(0-0))+0-432-0</f>
        <v>2263.6999999999998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2115+(804.8-321)+(-4.3146+(-1.641792--0.65484))+0-770--1.57079999999997</f>
        <v>1825.0692480000002</v>
      </c>
      <c r="G337" s="3">
        <f>2071+(525.4-188.2)+(-3.16863+(-0.803862--0.287946))+0-710.9--1.08767700000004</f>
        <v>1694.7031309999998</v>
      </c>
      <c r="H337" s="3">
        <f>2072+(510.6-175.2)+(-2.11344+(-0.520812--0.178704))+0-751.5--0.76653000000012</f>
        <v>1654.2109820000003</v>
      </c>
      <c r="I337" s="3">
        <f>2069.4+(450-198.9)+(-2.110788+(-0.459--0.202878))+0-683.2--0.696864000000109</f>
        <v>1635.6299539999998</v>
      </c>
      <c r="J337" s="3">
        <f>2067.1+(537.7-182)+(2.108442+(0.548454-0.18564))+0-776.1-0.791622000000124</f>
        <v>1648.3796339999999</v>
      </c>
      <c r="K337" s="3">
        <f>2071.2+(562.4-226.1)+(3.168936+(0.860472-0.345933))+0-748.4-1.14505200000004</f>
        <v>1661.6384229999996</v>
      </c>
      <c r="L337" s="3">
        <f>2072.9+(846.4-363.4)+(2.114358+(0.863328-0.370668))+0-863.3-0.880566000000138</f>
        <v>1694.3264520000002</v>
      </c>
      <c r="M337" s="3">
        <f>2177.8+(578-314.1)+(-1.110678+(-0.29478--0.160191))+0-614.2--0.313241999999938</f>
        <v>1826.5679750000004</v>
      </c>
      <c r="N337" s="3">
        <f>2394+(603.4-311.9)+(3.66282+(0.923202-0.477207))+0-690.1-1.05585300000004</f>
        <v>1998.4529620000001</v>
      </c>
      <c r="O337" s="3">
        <f>2459.8+(1107.3-686.4)+(2.508996+(1.129446-0.700128))+0-748.7-0.763674000000119</f>
        <v>2134.1746399999997</v>
      </c>
      <c r="P337" s="3">
        <f>2626.9+(1240.7-909.6)+(2.679438+(1.265514-0.927792))+0-790.8-0.806616000000126</f>
        <v>2169.4105439999998</v>
      </c>
      <c r="Q337" s="3">
        <f>2763.4+(1283.6-1131.8)+(-1.409334+(-0.654636--0.577218))+0-736.9--0.375818999999925</f>
        <v>2177.1890669999998</v>
      </c>
      <c r="R337" s="3">
        <f>2628.1+(1027.3-886.3)+(-4.020993+(-1.571769--1.356039))+0-696.2--1.06518600000004</f>
        <v>2069.7284629999999</v>
      </c>
      <c r="S337" s="3">
        <f>2552.3+(1132.7-865.1)+(1.301673+(0.577677-0.441201))+0-730.2-0.372401999999926</f>
        <v>2090.7657470000004</v>
      </c>
      <c r="T337" s="3">
        <f>2586+(1182.8-900.2)+(-1.31886+(-0.603228--0.459102))+0-746--0.380459999999924</f>
        <v>2121.5174739999998</v>
      </c>
      <c r="U337" s="3">
        <f>2491.8+(1025.7-791.1)+(-5.083272+(-2.092428--1.613844))+0-593.7--1.21114799999997</f>
        <v>2128.3492920000003</v>
      </c>
      <c r="V337" s="3">
        <f>2463+(951.1-669.1)+(1.25613+(0.485061-0.341241))+0-641.2-0.327011999999935</f>
        <v>2104.8729380000004</v>
      </c>
      <c r="W337" s="3">
        <f>2510.5+(889.6-889.3)+(0+(0-0))+0-332.8-0</f>
        <v>2178</v>
      </c>
      <c r="X337" s="3">
        <f>2791+(1459.6-1524.1)+(-2.84682+(-1.488792--1.554582))+0-340.3--0.347106000000054</f>
        <v>2383.7660759999999</v>
      </c>
      <c r="Y337" s="3">
        <f>2834.3+(1405.5-1581.3)+(-10.118451+(-5.017635--5.645241))+0-371.8--1.32732600000001</f>
        <v>2278.5364810000001</v>
      </c>
      <c r="Z337" s="3">
        <f>2816.9+(1263.9-1509)+(-5.746476+(-2.578356--3.07836))+0-360.6--0.735623999999984</f>
        <v>2206.6891520000004</v>
      </c>
      <c r="AA337" s="3">
        <f>2733.8+(1294.9-1149.6)+(-8.365428+(-3.962394--3.517776))+0-780.5--2.38833000000009</f>
        <v>2092.1782840000005</v>
      </c>
      <c r="AB337" s="3">
        <f>2731.9+(1299.6-1235.3)+(-2.786538+(-1.325592--1.260006))+0-751.2--0.76622400000012</f>
        <v>2042.9141</v>
      </c>
      <c r="AC337" s="3">
        <f>2684.9+(1288.6-1241)+(-5.477196+(-2.628744--2.53164))+0-808.6--1.64954399999996</f>
        <v>1919.9752439999997</v>
      </c>
      <c r="AD337">
        <v>2386.4999999999995</v>
      </c>
      <c r="AE337" s="3">
        <f>2876+(1504.4-1631.3)+(0+(0-0))+0-362.6-0</f>
        <v>2386.5000000000005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2197.6+(1000.4-595.9)+(-3.362328+(-1.530612--0.911727))+0-793.7--1.21436100000005</f>
        <v>1805.6331479999999</v>
      </c>
      <c r="G338" s="3">
        <f>2058.6+(580.2-185.2)+(-1.049886+(-0.295902--0.094452))+0-735.1--0.374900999999925</f>
        <v>1717.6235650000001</v>
      </c>
      <c r="H338" s="3">
        <f>2060.9+(630.6-172.2)+(-5.255295+(-1.60803--0.43911))+0-849.2--2.16545999999988</f>
        <v>1665.8412450000001</v>
      </c>
      <c r="I338" s="3">
        <f>2060.6+(532.9-181.6)+(-2.101812+(-0.543558--0.185232))+0-745.3--0.760206000000119</f>
        <v>1664.9000679999999</v>
      </c>
      <c r="J338" s="3">
        <f>2061+(569.9-162)+(-4.20444+(-1.162596--0.33048))+0-797.4--1.62669599999997</f>
        <v>1668.09014</v>
      </c>
      <c r="K338" s="3">
        <f>2057.8+(571.6-217.2)+(0+(0-0))+0-724.1-0</f>
        <v>1688.1000000000004</v>
      </c>
      <c r="L338" s="3">
        <f>2047.2+(714.5-242.9)+(-4.176288+(-1.45758--0.495516))+0-796.2--1.62424799999997</f>
        <v>1719.0858960000003</v>
      </c>
      <c r="M338" s="3">
        <f>1923.9+(741.8-168.3)+(-0.981189+(-0.378318--0.085833))+0-660.1--0.336650999999933</f>
        <v>1836.362977</v>
      </c>
      <c r="N338" s="3">
        <f>2159.7+(735.2-198.9)+(4.405788+(1.499808-0.405756))+0-652.6-1.33130399999997</f>
        <v>2047.568536</v>
      </c>
      <c r="O338" s="3">
        <f>2462.2+(1010.8-524.9)+(1.255722+(0.515508-0.267699))+0-783.5-0.399584999999921</f>
        <v>2165.7039459999996</v>
      </c>
      <c r="P338" s="3">
        <f>2607.3+(1051.6-781.4)+(0+(0-0))+0-629-0</f>
        <v>2248.5</v>
      </c>
      <c r="Q338" s="3">
        <f>2611.9+(1087.1-860.4)+(-5.328276+(-2.217684--1.755216))+0-571.7--1.16626799999998</f>
        <v>2262.2755239999997</v>
      </c>
      <c r="R338" s="3">
        <f>2363.8+(972.9-704.1)+(-6.02769+(-2.480895--1.795455))+0-516.1--1.31605499999993</f>
        <v>2111.1029250000001</v>
      </c>
      <c r="S338" s="3">
        <f>2349.8+(1008.4-582.7)+(-3.595194+(-1.542852--0.891531))+0-708.4--1.08385200000004</f>
        <v>2063.9373370000003</v>
      </c>
      <c r="T338" s="3">
        <f>2355.8+(1042-629.9)+(-3.604374+(-1.59426--0.963747))+0-669--1.02357000000004</f>
        <v>2095.6886829999999</v>
      </c>
      <c r="U338" s="3">
        <f>2332.9+(976.3-684.7)+(-3.569337+(-1.493739--1.047591))+0-526.3--0.80523900000003</f>
        <v>2094.9897540000002</v>
      </c>
      <c r="V338" s="3">
        <f>2332.3+(1000-615.5)+(2.378946+(1.02-0.62781))+0-655.9-0.669018000000105</f>
        <v>2063.0021179999999</v>
      </c>
      <c r="W338" s="3">
        <f>2471.3+(905.5-996.6)+(1.260363+(0.461805-0.508266))+0-258.6-0.131885999999974</f>
        <v>2122.6820160000002</v>
      </c>
      <c r="X338" s="3">
        <f>2811+(1640.4-1722.6)+(0+(0-0))+0-368.4-0</f>
        <v>2360.4</v>
      </c>
      <c r="Y338" s="3">
        <f>2832.3+(1617.2-1743.7)+(-7.222365+(-4.12386--4.446435))+0-367.9--0.938144999999947</f>
        <v>2331.9383550000002</v>
      </c>
      <c r="Z338" s="3">
        <f>2817.4+(1531.6-1736.5)+(0+(0-0))+0-360.8-0</f>
        <v>2251.6999999999998</v>
      </c>
      <c r="AA338" s="3">
        <f>2819.7+(1435.5-1265.5)+(-4.314141+(-2.196315--1.936215))+0-807.2--1.23501600000005</f>
        <v>2179.1607749999998</v>
      </c>
      <c r="AB338" s="3">
        <f>2744.5+(1063-1187.1)+(-4.199085+(-1.62639--1.816263))+0-562--0.859860000000032</f>
        <v>2055.2506480000002</v>
      </c>
      <c r="AC338" s="3">
        <f>2679.8+(1046.4-1064.3)+(-2.733396+(-1.067328--1.085586))+0-704.9--0.718998000000112</f>
        <v>1955.0038600000005</v>
      </c>
      <c r="AD338">
        <v>2357.5999999999995</v>
      </c>
      <c r="AE338" s="3">
        <f>2821+(1767.4-1864.5)+(0+(0-0))+0-366.3-0</f>
        <v>2357.6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2324.8+(513.6-326.7)+(-3.556944+(-0.785808--0.499851))+0-679.3--1.03932900000004</f>
        <v>1829.5964280000003</v>
      </c>
      <c r="G339" s="3">
        <f>2219.6+(532.4-202.2)+(0+(0-0))+0-862.8-0</f>
        <v>1686.9999999999998</v>
      </c>
      <c r="H339" s="3">
        <f>2149.4+(473.1-244.5)+(-3.288582+(-0.723843--0.374085))+0-670.4--1.02571200000004</f>
        <v>1704.9873720000001</v>
      </c>
      <c r="I339" s="3">
        <f>1972.2+(547.3-215.4)+(1.005822+(0.279123-0.109854))+0-688.9-0.35133899999993</f>
        <v>1616.0237520000001</v>
      </c>
      <c r="J339" s="3">
        <f>1885.9+(649.7-190.5)+(-0.961809+(-0.331347--0.097155))+0-722.6--0.368525999999927</f>
        <v>1621.6725250000006</v>
      </c>
      <c r="K339" s="3">
        <f>1882.7+(548.9-220.8)+(2.880531+(0.839817-0.337824))+0-566.4-0.866592000000033</f>
        <v>1646.9159320000001</v>
      </c>
      <c r="L339" s="3">
        <f>1955.2+(390.4-293)+(-0.997152+(-0.199104--0.14943))+0-327--0.166769999999967</f>
        <v>1724.7199440000002</v>
      </c>
      <c r="M339" s="3">
        <f>1993+(563.4-282.1)+(1.01643+(0.287334-0.143871))+0-433.5-0.221084999999956</f>
        <v>1841.7388080000003</v>
      </c>
      <c r="N339" s="3">
        <f>2356.6+(546.7-202.6)+(-1.201866+(-0.278817--0.103326))+0-656.2--0.334661999999933</f>
        <v>2043.4573049999999</v>
      </c>
      <c r="O339" s="3">
        <f>2640.5+(613.1-640.1)+(-1.346655+(-0.312681--0.326451))+0-455.5--0.232304999999954</f>
        <v>2156.8994200000002</v>
      </c>
      <c r="P339" s="3">
        <f>2674.7+(831.3-767.7)+(0+(0-0))+0-497.8-0</f>
        <v>2240.4999999999995</v>
      </c>
      <c r="Q339" s="3">
        <f>2678.4+(983.7-947.4)+(-2.731968+(-1.003374--0.966348))+0-585--0.596700000000093</f>
        <v>2127.5277060000003</v>
      </c>
      <c r="R339" s="3">
        <f>2685.9+(1142.8-1227)+(-5.479236+(-2.331312--2.50308))+0-624.8--1.27459199999997</f>
        <v>1972.8671239999999</v>
      </c>
      <c r="S339" s="3">
        <f>2669.5+(1155.2-1119.8)+(-4.084335+(-1.767456--1.713294))+0-630--0.963900000000036</f>
        <v>2071.7254030000004</v>
      </c>
      <c r="T339" s="3">
        <f>2587.5+(1228.2-1118.1)+(-5.2785+(-2.505528--2.280924))+0-598.7--1.22134799999997</f>
        <v>2094.6182440000002</v>
      </c>
      <c r="U339" s="3">
        <f>2535.9+(1167.9-1098.8)+(-3.879927+(-1.786887--1.681164))+0-504.3--0.771579000000029</f>
        <v>2097.4859289999999</v>
      </c>
      <c r="V339" s="3">
        <f>2475.6+(1046.3-1002.9)+(-2.525112+(-1.067226--1.022958))+0-455.5--0.464610000000073</f>
        <v>2061.3952300000001</v>
      </c>
      <c r="W339" s="3">
        <f>2560.3+(1013.5-1146.2)+(-2.611506+(-1.03377--1.169124))+0-312.3--0.31854600000005</f>
        <v>2113.142394</v>
      </c>
      <c r="X339" s="3">
        <f>2940+(1447.3-1672.7)+(-4.4982+(-2.214369--2.559231))+0-354.3--0.542079000000021</f>
        <v>2356.6887409999995</v>
      </c>
      <c r="Y339" s="3">
        <f>2974+(1337.4-1661.7)+(-3.03348+(-1.364148--1.694934))+0-336.3--0.343026000000054</f>
        <v>2311.0403319999996</v>
      </c>
      <c r="Z339" s="3">
        <f>2971.2+(1311.1-1701.7)+(-9.091872+(-4.011966--5.207202))+0-352.3--1.07803800000004</f>
        <v>2221.4814019999994</v>
      </c>
      <c r="AA339" s="3">
        <f>2943.4+(1212.7-1486.2)+(-3.002268+(-1.236954--1.515924))+0-503--0.51306000000008</f>
        <v>2164.6897620000004</v>
      </c>
      <c r="AB339" s="3">
        <f>2821.4+(1089.2-1170.5)+(-7.19457+(-2.77746--2.984775))+0-665.9--1.6980449999999</f>
        <v>2068.9107900000004</v>
      </c>
      <c r="AC339" s="3">
        <f>2635.1+(771.7-952.4)+(-5.375604+(-1.574268--1.942896))+0-509.6--1.03958399999998</f>
        <v>1940.8326079999999</v>
      </c>
      <c r="AD339">
        <v>2424</v>
      </c>
      <c r="AE339" s="3">
        <f>2972+(1448-1624.5)+(0+(0-0))+0-371.5-0</f>
        <v>2424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2595.5+(701.9-710.4)+(-2.64741+(-0.715938--0.724608))+0-778.1--0.793662000000124</f>
        <v>1807.0549220000003</v>
      </c>
      <c r="G340" s="3">
        <f>2411+(389.3-380.6)+(0+(0-0))+0-694.1-0</f>
        <v>1725.6</v>
      </c>
      <c r="H340" s="3">
        <f>2362.3+(396.1-322)+(-1.204773+(-0.202011--0.16422))+0-816.4--0.416363999999917</f>
        <v>1619.1737999999998</v>
      </c>
      <c r="I340" s="3">
        <f>2242.8+(500.2-351.7)+(4.575312+(1.020408-0.717468))+0-779.2-1.58956799999997</f>
        <v>1615.3886840000002</v>
      </c>
      <c r="J340" s="3">
        <f>2222.1+(489.9-331.6)+(3.399813+(0.749547-0.507348))+0-768.5-1.17580500000004</f>
        <v>1614.3662069999993</v>
      </c>
      <c r="K340" s="3">
        <f>2223.3+(481.1-259.8)+(5.669415+(1.226805-0.66249))+0-817.1-2.08360499999988</f>
        <v>1631.6501250000006</v>
      </c>
      <c r="L340" s="3">
        <f>2301.5+(406.6-252)+(-1.173765+(-0.207366--0.12852))+0-754.8--0.384947999999923</f>
        <v>1700.432337</v>
      </c>
      <c r="M340" s="3">
        <f>2292+(338.5-248.5)+(0+(0-0))+0-579.4-0</f>
        <v>1802.6</v>
      </c>
      <c r="N340" s="3">
        <f>2345+(752.4-347.4)+(4.7838+(1.534896-0.708696))+0-750.2-1.53040799999997</f>
        <v>2003.879592</v>
      </c>
      <c r="O340" s="3">
        <f>2628.5+(1133.3-963.4)+(2.68107+(1.155966-0.982668))+0-659.1-0.672282000000105</f>
        <v>2141.482086</v>
      </c>
      <c r="P340" s="3">
        <f>2726.5+(1259.6-1041.1)+(0+(0-0))+0-715.3-0</f>
        <v>2229.6999999999998</v>
      </c>
      <c r="Q340" s="3">
        <f>2790.9+(1362.7-1096.9)+(4.270077+(2.084931-1.678257))+0-788.1-1.20579300000005</f>
        <v>2272.0709579999998</v>
      </c>
      <c r="R340" s="3">
        <f>2877.4+(1081.6-1124)+(-8.804844+(-3.309696--3.43944))+0-733.3--2.24389800000008</f>
        <v>2095.2687980000005</v>
      </c>
      <c r="S340" s="3">
        <f>2773.8+(714.3-726.7)+(-8.487828+(-2.185758--2.223702))+0-762.1--2.33202600000009</f>
        <v>1993.1821420000001</v>
      </c>
      <c r="T340" s="3">
        <f>2443.3+(362.9-320.7)+(-2.492166+(-0.370158--0.327114))+0-510.9--0.521118000000081</f>
        <v>1972.585908</v>
      </c>
      <c r="U340" s="3">
        <f>2441.5+(363.9-282.7)+(-6.225825+(-0.927945--0.720885))+0-587.5--1.49812499999991</f>
        <v>1930.2652399999995</v>
      </c>
      <c r="V340" s="3">
        <f>2441.1+(456.3-364.9)+(-2.489922+(-0.465426--0.372198))+0-633.8--0.646476000000101</f>
        <v>1896.7633260000002</v>
      </c>
      <c r="W340" s="3">
        <f>2522.6+(313.5-528.4)+(0+(0-0))+0-359.5-0</f>
        <v>1948.1999999999998</v>
      </c>
      <c r="X340" s="3">
        <f>2695+(921.5-1048.9)+(0+(0-0))+0-372.4-0</f>
        <v>2195.1999999999998</v>
      </c>
      <c r="Y340" s="3">
        <f>2784.8+(1124.2-1341.6)+(-2.840496+(-1.146684--1.368432))+0-392--0.399840000000062</f>
        <v>2173.1810920000007</v>
      </c>
      <c r="Z340" s="3">
        <f>2831.7+(1125.6-1482.4)+(-5.776668+(-2.296224--3.024096))+0-367.7--0.750107999999984</f>
        <v>2102.901312</v>
      </c>
      <c r="AA340" s="3">
        <f>2953.3+(1446.4-1530.9)+(0+(0-0))+0-805.9-0</f>
        <v>2062.9</v>
      </c>
      <c r="AB340" s="3">
        <f>2940+(1185.3-1398.5)+(-5.9976+(-2.418012--2.85294))+0-760.5--1.55141999999997</f>
        <v>1962.2887480000002</v>
      </c>
      <c r="AC340" s="3">
        <f>2832.8+(1195-1304)+(-2.889456+(-1.2189--1.33008))+0-846.3--0.863226000000135</f>
        <v>1875.5849500000004</v>
      </c>
      <c r="AD340">
        <v>2167.8000000000002</v>
      </c>
      <c r="AE340" s="3">
        <f>2696+(1029.5-1139.6)+(0+(0-0))+0-418.1-0</f>
        <v>2167.8000000000002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2524+(811.2-841.5)+(-2.57448+(-0.827424--0.85833))+0-724--0.738480000000115</f>
        <v>1767.8949060000002</v>
      </c>
      <c r="G341" s="3">
        <f>2295.9+(646-454.4)+(-1.170909+(-0.32946--0.231744))+0-822.6--0.419525999999917</f>
        <v>1664.0509009999998</v>
      </c>
      <c r="H341" s="3">
        <f>2240.6+(450.9-249.2)+(3.428118+(0.689877-0.381276))+0-826.8-1.26500400000005</f>
        <v>1617.9717149999997</v>
      </c>
      <c r="I341" s="3">
        <f>2179.5+(458.2-260.4)+(-3.334635+(-0.701046--0.398412))+0-791.4--1.21084200000005</f>
        <v>1583.4735730000002</v>
      </c>
      <c r="J341" s="3">
        <f>2127.4+(464.5-221.7)+(-1.084974+(-0.236895--0.113067))+0-784.4--0.40004399999992</f>
        <v>1584.9912420000001</v>
      </c>
      <c r="K341" s="3">
        <f>2052.7+(522.2-168.7)+(0+(0-0))+0-848-0</f>
        <v>1558.1999999999998</v>
      </c>
      <c r="L341" s="3">
        <f>2048.4+(379-177.4)+(-4.178736+(-0.77316--0.361896))+0-724.3--1.47757199999997</f>
        <v>1522.5875719999999</v>
      </c>
      <c r="M341" s="3">
        <f>2059.2+(375.3-180.7)+(-1.050192+(-0.191403--0.092157))+0-735.9--0.375308999999925</f>
        <v>1517.1258709999997</v>
      </c>
      <c r="N341" s="3">
        <f>2124.7+(433.5-203.4)+(-1.083597+(-0.221085--0.103734))+0-747.5--0.381224999999924</f>
        <v>1606.4802769999994</v>
      </c>
      <c r="O341" s="3">
        <f>2189.1+(537-382)+(0+(0-0))+0-649.7-0</f>
        <v>1694.3999999999999</v>
      </c>
      <c r="P341" s="3">
        <f>2617.6+(766.9-858.9)+(1.334976+(0.391119-0.438039))+0-761.4-0.388313999999923</f>
        <v>1765.0997419999999</v>
      </c>
      <c r="Q341" s="3">
        <f>2568.5+(677.1-914.1)+(-5.23974+(-1.381284--1.864764))+0-543--1.10771999999998</f>
        <v>1784.8514599999999</v>
      </c>
      <c r="R341" s="3">
        <f>2478.3+(568-732)+(-3.791799+(-0.86904--1.11996))+0-571.8--0.874854000000033</f>
        <v>1739.8339750000002</v>
      </c>
      <c r="S341" s="3">
        <f>2371.5+(735.5-636.9)+(-3.628395+(-1.125315--0.974457))+0-777--1.18881000000005</f>
        <v>1690.5095569999999</v>
      </c>
      <c r="T341" s="3">
        <f>2328.1+(666.5-633.8)+(-3.561993+(-1.019745--0.969714))+0-708.2--1.08354600000004</f>
        <v>1650.0715220000002</v>
      </c>
      <c r="U341" s="3">
        <f>2301.8+(678.2-579.4)+(-2.347836+(-0.691764--0.590988))+0-753.1--0.76816200000012</f>
        <v>1645.8195500000004</v>
      </c>
      <c r="V341" s="3">
        <f>2096.4+(665-337.9)+(0+(0-0))+0-768.9-0</f>
        <v>1654.6</v>
      </c>
      <c r="W341" s="3">
        <f>2155.1+(613.2-598.5)+(-2.198202+(-0.625464--0.61047))+0-441.7--0.45053400000007</f>
        <v>1726.337338</v>
      </c>
      <c r="X341" s="3">
        <f>2594.8+(976.7-1149.4)+(0+(0-0))+0-450.2-0</f>
        <v>1971.9000000000003</v>
      </c>
      <c r="Y341" s="3">
        <f>2676.4+(1035.2-1236)+(0+(0-0))+0-469.6-0</f>
        <v>2006.0000000000005</v>
      </c>
      <c r="Z341" s="3">
        <f>2598.6+(863.5-1054)+(-1.325286+(-0.440385--0.53754))+0-427.9--0.218228999999957</f>
        <v>1979.190098</v>
      </c>
      <c r="AA341" s="3">
        <f>2655.8+(974-871.8)+(0+(0-0))+0-808.2-0</f>
        <v>1949.8</v>
      </c>
      <c r="AB341" s="3">
        <f>2669.7+(848-783.8)+(-6.807735+(-2.1624--1.99869))+0-856.8--2.18483999999988</f>
        <v>1872.3133949999994</v>
      </c>
      <c r="AC341" s="3">
        <f>2643.8+(569-746.7)+(-5.393352+(-1.16076--1.523268))+0-679.4--1.38597599999997</f>
        <v>1783.0551320000004</v>
      </c>
      <c r="AD341">
        <v>1971.3000000000002</v>
      </c>
      <c r="AE341" s="3">
        <f>2666+(1080.8-1237.1)+(0+(0-0))+0-538.4-0</f>
        <v>1971.2999999999997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2335.8+(420.4-236.5)+(0+(0-0))+0-849.1-0</f>
        <v>1670.6000000000004</v>
      </c>
      <c r="G342" s="3">
        <f>2296+(289.8-261.5)+(1.17096+(0.147798-0.133365))+0-776.8-0.396167999999921</f>
        <v>1548.2892250000004</v>
      </c>
      <c r="H342" s="3">
        <f>2272.4+(343.4-234)+(0+(0-0))+0-871.5-0</f>
        <v>1510.3000000000002</v>
      </c>
      <c r="I342" s="3">
        <f>2214.2+(339.3-250.2)+(-1.129242+(-0.173043--0.127602))+0-792.1--0.40397099999992</f>
        <v>1510.4292879999996</v>
      </c>
      <c r="J342" s="3">
        <f>2204.6+(349.6-257.9)+(-1.124346+(-0.178296--0.131529))+0-793.3--0.404582999999919</f>
        <v>1502.2334700000004</v>
      </c>
      <c r="K342" s="3">
        <f>2210.2+(322.8-255.3)+(4.508808+(0.658512-0.520812))+0-734.3-1.49797199999997</f>
        <v>1546.5485359999998</v>
      </c>
      <c r="L342" s="3">
        <f>2279.8+(316.1-240.9)+(2.325396+(0.322422-0.245718))+0-795.7-0.811614000000127</f>
        <v>1560.8904859999996</v>
      </c>
      <c r="M342" s="3">
        <f>2431+(452.1-225.6)+(1.23981+(0.230571-0.115056))+0-818-0.417179999999917</f>
        <v>1840.4381450000001</v>
      </c>
      <c r="N342" s="3">
        <f>2794.2+(646.8-566.8)+(0+(0-0))+0-784.2-0</f>
        <v>2090</v>
      </c>
      <c r="O342" s="3">
        <f>2870.9+(1012.8-935.8)+(0+(0-0))+0-757.1-0</f>
        <v>2190.8000000000002</v>
      </c>
      <c r="P342" s="3">
        <f>3011.9+(1287.8-1162.4)+(1.536069+(0.656778-0.592824))+0-824.4-0.420443999999916</f>
        <v>2314.0795790000002</v>
      </c>
      <c r="Q342" s="3">
        <f>2937.4+(1375.2-1214)+(-4.494222+(-2.104056--1.85742))+0-749.2--1.14627600000004</f>
        <v>2345.8054180000004</v>
      </c>
      <c r="R342" s="3">
        <f>2622.9+(1197.9-865.2)+(-4.013037+(-1.832787--1.323756))+0-766.6--1.17289800000004</f>
        <v>2185.6508300000005</v>
      </c>
      <c r="S342" s="3">
        <f>2462.4+(965.6-559)+(-2.511648+(-0.984912--0.57018))+0-724--0.738480000000115</f>
        <v>2142.8121000000001</v>
      </c>
      <c r="T342" s="3">
        <f>2506.1+(835.5-626.3)+(1.278111+(0.426105-0.319413))+0-528.7-0.269636999999946</f>
        <v>2187.7151660000004</v>
      </c>
      <c r="U342" s="3">
        <f>2679.6+(884-773.5)+(0+(0-0))+0-641-0</f>
        <v>2149.1</v>
      </c>
      <c r="V342" s="3">
        <f>2870.6+(890.8-948.1)+(-1.464006+(-0.454308--0.483531))+0-652.5--0.332774999999934</f>
        <v>2159.6979919999994</v>
      </c>
      <c r="W342" s="3">
        <f>2859.9+(819.2-1012.8)+(0+(0-0))+0-448.9-0</f>
        <v>2217.4</v>
      </c>
      <c r="X342" s="3">
        <f>3179.3+(1169.2-1613)+(0+(0-0))+0-374.9-0</f>
        <v>2360.6</v>
      </c>
      <c r="Y342" s="3">
        <f>3088.3+(1271-1586.1)+(-6.300132+(-2.59284--3.235644))+0-447.3--0.912491999999981</f>
        <v>2321.1551640000002</v>
      </c>
      <c r="Z342" s="3">
        <f>2986.9+(1333.8-1703.4)+(1.523319+(0.680238-0.868734))+0-392.1-0.19997099999996</f>
        <v>2226.3348520000004</v>
      </c>
      <c r="AA342" s="3">
        <f>3020.4+(1468.2-1573.6)+(-4.621212+(-2.246346--2.407608))+0-748--1.14444000000004</f>
        <v>2163.6844900000001</v>
      </c>
      <c r="AB342" s="3">
        <f>2820.2+(1103.8-1165.8)+(-10.068114+(-3.940566--4.161906))+0-736.7--2.63001900000001</f>
        <v>2014.2832449999996</v>
      </c>
      <c r="AC342" s="3">
        <f>2407.2+(582.8-382.6)+(-7.366032+(-1.783368--1.170756))+0-709.1--2.16984600000008</f>
        <v>1892.4912019999999</v>
      </c>
      <c r="AD342">
        <v>2406.8000000000002</v>
      </c>
      <c r="AE342" s="3">
        <f>3223+(1316.1-1701.4)+(0+(0-0))+0-430.9-0</f>
        <v>2406.7999999999997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2364.8+(388.9-183.6)+(0+(0-0))+0-808.1-0</f>
        <v>1762.0000000000005</v>
      </c>
      <c r="G343" s="3">
        <f>2349.9+(287.7-267.6)+(-4.793796+(-0.586908--0.545904))+0-671.4--1.36965599999997</f>
        <v>1695.1348559999999</v>
      </c>
      <c r="H343" s="3">
        <f>2338.5+(455.6-284.3)+(1.192635+(0.232356-0.144993))+0-857.1-0.437120999999913</f>
        <v>1653.5428770000003</v>
      </c>
      <c r="I343" s="3">
        <f>2341.2+(277.4-411.4)+(-3.582036+(-0.424422--0.629442))+0-562--0.859860000000032</f>
        <v>1642.6828439999999</v>
      </c>
      <c r="J343" s="3">
        <f>2353.1+(440.2-352.6)+(3.600243+(0.673506-0.539478))+0-808.5-1.23700500000005</f>
        <v>1634.6972659999997</v>
      </c>
      <c r="K343" s="3">
        <f>2424+(430.3-406.3)+(4.94496+(0.877812-0.828852))+0-813.7-1.65994799999996</f>
        <v>1637.6339719999999</v>
      </c>
      <c r="L343" s="3">
        <f>2471.7+(324.8-423.8)+(0+(0-0))+0-721.9-0</f>
        <v>1650.7999999999997</v>
      </c>
      <c r="M343" s="3">
        <f>2608.5+(235.3-525.1)+(-1.330335+(-0.120003--0.267801))+0-544.9--0.277898999999945</f>
        <v>1772.8953619999995</v>
      </c>
      <c r="N343" s="3">
        <f>2961.5+(638.8-879.3)+(-3.02073+(-0.651576--0.896886))+0-751.6--0.76663200000012</f>
        <v>1967.3912120000002</v>
      </c>
      <c r="O343" s="3">
        <f>2976.6+(850.2-878)+(-3.036132+(-0.867204--0.89556))+0-683--0.696660000000109</f>
        <v>2263.4888840000003</v>
      </c>
      <c r="P343" s="3">
        <f>3152.7+(877.2-1319.5)+(-8.039385+(-2.23686--3.364725))+0-618.8--1.57793999999991</f>
        <v>2086.2664199999999</v>
      </c>
      <c r="Q343" s="3">
        <f>3142.8+(860.6-1438)+(0+(0-0))+0-395-0</f>
        <v>2170.4</v>
      </c>
      <c r="R343" s="3">
        <f>2960.3+(737.9-1240.4)+(-1.509753+(-0.376329--0.632604))+0-417.3--0.212822999999958</f>
        <v>2039.4593450000002</v>
      </c>
      <c r="S343" s="3">
        <f>2840.5+(904.6-996.8)+(-2.89731+(-0.922692--1.016736))+0-624.8--0.6372960000001</f>
        <v>2121.33403</v>
      </c>
      <c r="T343" s="3">
        <f>2709.2+(1129.2-1011.1)+(0+(0-0))+0-664.8-0</f>
        <v>2162.5</v>
      </c>
      <c r="U343" s="3">
        <f>2747.5+(1042.2-928.6)+(-1.401225+(-0.531522--0.473586))+0-695--0.354449999999929</f>
        <v>2164.9952889999995</v>
      </c>
      <c r="V343" s="3">
        <f>2705.7+(763.4-763.6)+(-4.139721+(-1.168002--1.168308))+0-660.2--1.01010600000004</f>
        <v>2042.1706909999998</v>
      </c>
      <c r="W343" s="3">
        <f>2704.9+(668.5-802.5)+(-2.758998+(-0.68187--0.81855))+0-499.6--0.50959200000008</f>
        <v>2069.1872739999999</v>
      </c>
      <c r="X343" s="3">
        <f>3020.1+(858.5-1274)+(-4.620753+(-1.313505--1.94922))+0-347.3--0.53136900000002</f>
        <v>2253.8463309999997</v>
      </c>
      <c r="Y343" s="3">
        <f>3092.2+(893.6-1377.1)+(-3.154044+(-0.911472--1.404642))+0-388.9--0.396678000000062</f>
        <v>2217.5358039999996</v>
      </c>
      <c r="Z343" s="3">
        <f>3088.2+(828.6-1408.4)+(0+(0-0))+0-354.4-0</f>
        <v>2153.9999999999995</v>
      </c>
      <c r="AA343" s="3">
        <f>3081.1+(896-1247.1)+(-3.142722+(-0.91392--1.272042))+0-715.4--0.729708000000114</f>
        <v>2012.545108</v>
      </c>
      <c r="AB343" s="3">
        <f>2903.2+(875.7-1110)+(-7.40316+(-2.233035--2.8305))+0-737.6--1.88087999999989</f>
        <v>1926.3751849999996</v>
      </c>
      <c r="AC343" s="3">
        <f>2751.3+(765.5-934.8)+(-2.806326+(-0.78081--0.953496))+0-708.6--0.722772000000113</f>
        <v>1871.4891320000002</v>
      </c>
      <c r="AD343">
        <v>2294.4999999999995</v>
      </c>
      <c r="AE343" s="3">
        <f>3096+(1029.4-1391.4)+(0+(0-0))+0-439.5-0</f>
        <v>2294.5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2504.1+(540.9-500.2)+(-3.831273+(-0.827577--0.765306))+0-814.2--1.24572600000005</f>
        <v>1727.9521819999998</v>
      </c>
      <c r="G344" s="3">
        <f>2317.7+(319.3-218)+(-1.182027+(-0.162843--0.11118))+0-752.1--0.383570999999924</f>
        <v>1666.0498809999999</v>
      </c>
      <c r="H344" s="3">
        <f>2318+(377.9-224)+(2.36436+(0.385458-0.22848))+0-838.4-0.855168000000134</f>
        <v>1635.16617</v>
      </c>
      <c r="I344" s="3">
        <f>2253.4+(397.3-209.8)+(0+(0-0))+0-814.2-0</f>
        <v>1626.7</v>
      </c>
      <c r="J344" s="3">
        <f>2230.9+(402.3-212.1)+(-2.275518+(-0.410346--0.216342))+0-792.3--0.808146000000126</f>
        <v>1627.1386240000002</v>
      </c>
      <c r="K344" s="3">
        <f>2227.8+(431-221)+(-1.136178+(-0.21981--0.11271))+0-779.3--0.397442999999921</f>
        <v>1657.6541650000001</v>
      </c>
      <c r="L344" s="3">
        <f>2242.7+(414.9-323.2)+(-5.718885+(-1.057995--0.82416))+0-654.7--1.66948499999991</f>
        <v>1675.4167649999993</v>
      </c>
      <c r="M344" s="3">
        <f>2390.5+(353.2-267.8)+(2.43831+(0.360264-0.273156))+0-662-0.675240000000106</f>
        <v>1815.7501780000002</v>
      </c>
      <c r="N344" s="3">
        <f>2656.4+(316.3-301)+(4.064292+(0.483939-0.46053))+0-642.6-0.983178000000037</f>
        <v>2032.2045230000003</v>
      </c>
      <c r="O344" s="3">
        <f>2913.3+(613.2-792.6)+(-7.428915+(-1.56366--2.02113))+0-610.1--1.55575499999991</f>
        <v>2118.3843099999999</v>
      </c>
      <c r="P344" s="3">
        <f>2910.6+(821.6-857.5)+(2.968812+(0.838032-0.87465))+0-654.1-0.667182000000104</f>
        <v>2222.8650119999998</v>
      </c>
      <c r="Q344" s="3">
        <f>2902.5+(932.7-948.7)+(-2.96055+(-0.951354--0.967674))+0-577.8--0.589356000000092</f>
        <v>2306.3451259999997</v>
      </c>
      <c r="R344" s="3">
        <f>2905.4+(737.4-1030.7)+(-1.481754+(-0.376074--0.525657))+0-616.7--0.314516999999937</f>
        <v>1994.3823459999999</v>
      </c>
      <c r="S344" s="3">
        <f>2894.6+(748.5-1041.5)+(-2.952492+(-0.76347--1.06233))+0-642.6--0.655452000000103</f>
        <v>1957.0018200000002</v>
      </c>
      <c r="T344" s="3">
        <f>2823+(735.3-920.3)+(-1.43973+(-0.375003--0.469353))+0-566--0.288659999999943</f>
        <v>2070.94328</v>
      </c>
      <c r="U344" s="3">
        <f>2757.6+(813.3-867)+(-5.625504+(-1.659132--1.76868))+0-664.4--1.35537599999997</f>
        <v>2035.3394199999993</v>
      </c>
      <c r="V344" s="3">
        <f>2789.5+(648.5-1027.4)+(-1.422645+(-0.330735--0.523974))+0-395.8--0.20185799999996</f>
        <v>2013.7724519999999</v>
      </c>
      <c r="W344" s="3">
        <f>2798.2+(541.8-963.9)+(-5.708328+(-1.105272--1.966356))+0-306.3--0.624851999999987</f>
        <v>2065.5776079999996</v>
      </c>
      <c r="X344" s="3">
        <f>2915.4+(807.4-1133.8)+(-1.486854+(-0.411774--0.578238))+0-311.2--0.158711999999968</f>
        <v>2276.6383220000002</v>
      </c>
      <c r="Y344" s="3">
        <f>2950.2+(900.9-1278.9)+(-7.52301+(-2.297295--3.261195))+0-303.6--0.774179999999956</f>
        <v>2262.8150699999997</v>
      </c>
      <c r="Z344" s="3">
        <f>2923.2+(795-1206.6)+(-4.472496+(-1.21635--1.846098))+0-309.4--0.473382000000018</f>
        <v>2198.8306339999999</v>
      </c>
      <c r="AA344" s="3">
        <f>3038.1+(925.8-1131.5)+(-1.549431+(-0.472158--0.577065))+0-694.5--0.35419499999993</f>
        <v>2136.8096709999995</v>
      </c>
      <c r="AB344" s="3">
        <f>3026.6+(781.8-980.6)+(-1.543566+(-0.398718--0.500106))+0-775.5--0.395504999999921</f>
        <v>2051.2533269999999</v>
      </c>
      <c r="AC344" s="3">
        <f>2710.7+(316.9-423.1)+(0+(0-0))+0-701.9-0</f>
        <v>1902.6</v>
      </c>
      <c r="AD344">
        <v>2296.4</v>
      </c>
      <c r="AE344" s="3">
        <f>3054+(927.8-1361.9)+(0+(0-0))+0-323.5-0</f>
        <v>2296.3999999999996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2493.3+(329.1-377.2)+(-6.357915+(-0.839205--0.96186))+0-668.9--1.7056949999999</f>
        <v>1771.7704350000001</v>
      </c>
      <c r="G345" s="3">
        <f>2373.5+(362.8-311.9)+(-3.631455+(-0.555084--0.477207))+0-725.8--1.11047400000004</f>
        <v>1696.0011420000003</v>
      </c>
      <c r="H345" s="3">
        <f>2135.1+(541.6-237.2)+(-2.177802+(-0.552432--0.241944))+0-768.1--0.783462000000122</f>
        <v>1669.6951720000004</v>
      </c>
      <c r="I345" s="3">
        <f>2097.2+(589.6-239.2)+(-3.208716+(-0.902088--0.365976))+0-807.9--1.23608700000005</f>
        <v>1637.1912589999999</v>
      </c>
      <c r="J345" s="3">
        <f>2018.4+(563.7-208.6)+(2.058768+(0.574974-0.212772))+0-730.8-0.745416000000116</f>
        <v>1644.375554</v>
      </c>
      <c r="K345" s="3">
        <f>2014.2+(677.3-208)+(1.027242+(0.345423-0.10608))+0-815.9-0.416108999999917</f>
        <v>1668.4504759999998</v>
      </c>
      <c r="L345" s="3">
        <f>2322.7+(560.4-309.3)+(1.184577+(0.285804-0.157743))+0-797.5-0.406724999999919</f>
        <v>1777.2059129999998</v>
      </c>
      <c r="M345" s="3">
        <f>2623.4+(366.7-373.4)+(1.337934+(0.187017-0.190434))+0-729.6-0.372095999999926</f>
        <v>1888.0624210000003</v>
      </c>
      <c r="N345" s="3">
        <f>2758.9+(479.8-542.8)+(2.814078+(0.489396-0.553656))+0-654.7-0.667794000000104</f>
        <v>2043.2820239999996</v>
      </c>
      <c r="O345" s="3">
        <f>3032.2+(872.6-969.1)+(3.092844+(0.890052-0.988482))+0-772.8-0.788256000000123</f>
        <v>2165.1061579999991</v>
      </c>
      <c r="P345" s="3">
        <f>2807.3+(945.9-895.4)+(-4.295169+(-1.447227--1.369962))+0-641.5--0.981495000000037</f>
        <v>2212.9090610000003</v>
      </c>
      <c r="Q345" s="3">
        <f>2750.1+(1141.6-932.8)+(-2.805102+(-1.164432--0.951456))+0-732--0.746640000000117</f>
        <v>2224.6285619999999</v>
      </c>
      <c r="R345" s="3">
        <f>2744.6+(828.2-841.5)+(-6.99873+(-2.11191--2.145825))+0-691.5--1.7633249999999</f>
        <v>2034.5985100000003</v>
      </c>
      <c r="S345" s="3">
        <f>2580.1+(824.3-752)+(2.631702+(0.840786-0.76704))+0-651.4-0.664428000000104</f>
        <v>2003.0410199999997</v>
      </c>
      <c r="T345" s="3">
        <f>2622.1+(883.2-803.7)+(-2.674542+(-0.900864--0.819774))+0-669.1--0.682482000000107</f>
        <v>2030.4268500000003</v>
      </c>
      <c r="U345" s="3">
        <f>2585.6+(824.8-843.3)+(5.274624+(1.682592-1.720332))+0-546.6-1.11506399999998</f>
        <v>2024.6218199999998</v>
      </c>
      <c r="V345" s="3">
        <f>2710.7+(812.8-877.7)+(-2.764914+(-0.829056--0.895254))+0-651.4--0.664428000000104</f>
        <v>1992.3657119999998</v>
      </c>
      <c r="W345" s="3">
        <f>2804+(440.1-916.8)+(1.43004+(0.224451-0.467568))+0-312.1-0.159170999999968</f>
        <v>2016.2277520000005</v>
      </c>
      <c r="X345" s="3">
        <f>2892.8+(874.4-1159.4)+(2.950656+(0.891888-1.182588))+0-354.1-0.361182000000056</f>
        <v>2255.9987740000001</v>
      </c>
      <c r="Y345" s="3">
        <f>2872.6+(958.8-1214.5)+(1.465026+(0.488988-0.619395))+0-370.3-0.188852999999962</f>
        <v>2247.7457659999995</v>
      </c>
      <c r="Z345" s="3">
        <f>2676.8+(938.6-1112.9)+(-2.730336+(-0.957372--1.135158))+0-334.7--0.341394000000053</f>
        <v>2165.5888440000003</v>
      </c>
      <c r="AA345" s="3">
        <f>2595.4+(958.1-941.3)+(-2.647308+(-0.977262--0.960126))+0-500.9--0.51091800000008</f>
        <v>2109.1464740000001</v>
      </c>
      <c r="AB345" s="3">
        <f>2581+(972.3-783.3)+(-3.94893+(-1.487619--1.198449))+0-748.7--1.14551100000004</f>
        <v>2018.2074109999999</v>
      </c>
      <c r="AC345" s="3">
        <f>2468.4+(710.8-487.7)+(-3.776652+(-1.087524--0.746181))+0-786.4--1.20319200000005</f>
        <v>1902.1851969999998</v>
      </c>
      <c r="AD345">
        <v>2321.3000000000002</v>
      </c>
      <c r="AE345" s="3">
        <f>2901+(1034.3-1248.7)+(0+(0-0))+0-365.3-0</f>
        <v>2321.2999999999997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2413.8+(358.6-289.1)+(0+(0-0))+0-720.1-0</f>
        <v>1763.2000000000003</v>
      </c>
      <c r="G346" s="3">
        <f>2346.8+(317.3-206.7)+(-4.787472+(-0.647292--0.421668))+0-778.9--1.58895599999997</f>
        <v>1675.0758599999999</v>
      </c>
      <c r="H346" s="3">
        <f>2332.8+(349.5-242)+(-3.569184+(-0.534735--0.37026))+0-793.2--1.21359600000005</f>
        <v>1644.5799370000002</v>
      </c>
      <c r="I346" s="3">
        <f>2269.1+(378.8-307.7)+(-2.314482+(-0.386376--0.313854))+0-714.7--0.728994000000114</f>
        <v>1623.8419899999997</v>
      </c>
      <c r="J346" s="3">
        <f>2253.6+(373.6-297)+(1.149336+(0.190536-0.15147))+0-710.2-0.362201999999928</f>
        <v>1620.8262</v>
      </c>
      <c r="K346" s="3">
        <f>2290.1+(391.7-203.2)+(1.167951+(0.199767-0.103632))+0-826.4-0.421463999999916</f>
        <v>1653.0426219999999</v>
      </c>
      <c r="L346" s="3">
        <f>2357.6+(397.7-292.9)+(1.202376+(0.202827-0.149379))+0-764.8-0.390047999999922</f>
        <v>1698.465776</v>
      </c>
      <c r="M346" s="3">
        <f>2547.8+(295.9-256.8)+(0+(0-0))+0-753.4-0</f>
        <v>1833.5</v>
      </c>
      <c r="N346" s="3">
        <f>2783.5+(555.9-561.2)+(1.419585+(0.283509-0.286212))+0-710.4-0.362303999999928</f>
        <v>2068.8545779999999</v>
      </c>
      <c r="O346" s="3">
        <f>2874.4+(826-969.1)+(0+(0-0))+0-536-0</f>
        <v>2195.3000000000002</v>
      </c>
      <c r="P346" s="3">
        <f>3019.2+(1068.2-1247.5)+(-6.159168+(-2.179128--2.5449))+0-588.1--1.19972399999997</f>
        <v>2247.2063279999998</v>
      </c>
      <c r="Q346" s="3">
        <f>3004.7+(1190.9-1332.7)+(0+(0-0))+0-604.9-0</f>
        <v>2257.9999999999995</v>
      </c>
      <c r="R346" s="3">
        <f>3007.8+(974.4-1234.5)+(-3.067956+(-0.993888--1.25919))+0-665.5--0.678810000000106</f>
        <v>2080.0761560000001</v>
      </c>
      <c r="S346" s="3">
        <f>2986.7+(789.5-1091.8)+(-1.523217+(-0.402645--0.556818))+0-659.1--0.336140999999933</f>
        <v>2024.2670969999997</v>
      </c>
      <c r="T346" s="3">
        <f>2777.7+(826.7-848.7)+(1.416627+(0.421617-0.432837))+2.2-689.4-0.35159399999993</f>
        <v>2069.553813</v>
      </c>
      <c r="U346" s="3">
        <f>2619.6+(721.1-692.5)+(-6.67998+(-1.838805--1.765875))+0-574.1--1.46395499999992</f>
        <v>2068.8110449999995</v>
      </c>
      <c r="V346" s="3">
        <f>2705.7+(558.4-672)+(0+(0-0))+0-589.4-0</f>
        <v>2002.6999999999998</v>
      </c>
      <c r="W346" s="3">
        <f>2656.1+(383.8-665.5)+(-5.418444+(-0.782952--1.35762))+0-299.5--0.610979999999987</f>
        <v>2070.6672039999999</v>
      </c>
      <c r="X346" s="3">
        <f>2896.3+(958.4-1204.1)+(-2.954226+(-0.977568--1.228182))+0-373.2--0.38066400000006</f>
        <v>2275.077052000001</v>
      </c>
      <c r="Y346" s="3">
        <f>3032+(968.1-1364.2)+(-9.27792+(-2.962386--4.174452))+0-370.1--1.13250600000004</f>
        <v>2258.8666520000002</v>
      </c>
      <c r="Z346" s="3">
        <f>3069.3+(888.6-1331.8)+(-4.696029+(-1.359558--2.037654))+0-447--0.683910000000026</f>
        <v>2175.7659770000005</v>
      </c>
      <c r="AA346" s="3">
        <f>3141.4+(791.2-1139.6)+(-3.204228+(-0.807024--1.162392))+0-664.8--0.678096000000106</f>
        <v>2126.0292359999999</v>
      </c>
      <c r="AB346" s="3">
        <f>3141.4+(635.5-1047.3)+(-4.806342+(-0.972315--1.602369))+0-707.9--1.08308700000004</f>
        <v>2018.6067990000001</v>
      </c>
      <c r="AC346" s="3">
        <f>2802.8+(399.6-563.8)+(-7.14714+(-1.01898--1.43769))+0-712.7--1.8173849999999</f>
        <v>1920.988955</v>
      </c>
      <c r="AD346">
        <v>2439.6</v>
      </c>
      <c r="AE346" s="3">
        <f>3030+(1123.2-1282.2)+(0+(0-0))+0-431.4-0</f>
        <v>2439.6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2427.2+(380.7-258.5)+(-4.951488+(-0.776628--0.52734))+0-757.6--1.54550399999997</f>
        <v>1788.1447279999995</v>
      </c>
      <c r="G347" s="3">
        <f>2390+(349.9-236.1)+(3.6567+(0.535347-0.361233))+0-792.6-1.21267800000005</f>
        <v>1713.8181360000001</v>
      </c>
      <c r="H347" s="3">
        <f>2318+(366.4-218.7)+(-5.9109+(-0.93432--0.557685))+0-793.1--2.02240499999989</f>
        <v>1668.3348699999999</v>
      </c>
      <c r="I347" s="3">
        <f>2155.3+(545.9-238.5)+(2.198406+(0.556818-0.24327))+0-815.6-0.83191200000013</f>
        <v>1648.7800420000003</v>
      </c>
      <c r="J347" s="3">
        <f>2143.7+(517.1-220.6)+(-4.373148+(-1.054884--0.450024))+0-803.2--1.63852799999997</f>
        <v>1633.6605199999997</v>
      </c>
      <c r="K347" s="3">
        <f>2145.4+(528.9-236.8)+(-2.188308+(-0.539478--0.241536))+0-766.3--0.781626000000122</f>
        <v>1669.4953760000003</v>
      </c>
      <c r="L347" s="3">
        <f>2151.7+(682.3-316.1)+(-4.389468+(-1.391892--0.644844))+0-835.3--1.70401199999996</f>
        <v>1679.1674959999996</v>
      </c>
      <c r="M347" s="3">
        <f>2198.8+(652.3-314.5)+(6.728328+(1.996038-0.96237))+0-734.2-2.24665200000008</f>
        <v>1807.9153440000005</v>
      </c>
      <c r="N347" s="3">
        <f>2546.8+(656.5-414.1)+(5.195472+(1.33926-0.844764))+0-782.5-1.59629999999997</f>
        <v>2010.7936680000005</v>
      </c>
      <c r="O347" s="3">
        <f>2786.3+(944.4-919.4)+(-1.421013+(-0.481644--0.468894))+0-681.8--0.347717999999931</f>
        <v>2128.413955</v>
      </c>
      <c r="P347" s="3">
        <f>2982.8+(1395.4-1345.4)+(3.042456+(1.423308-1.372308))+0-818.4-0.834768000000131</f>
        <v>2216.658688</v>
      </c>
      <c r="Q347" s="3">
        <f>2990.8+(1366.8-1376.8)+(0+(0-0))+0-764-0</f>
        <v>2216.8000000000002</v>
      </c>
      <c r="R347" s="3">
        <f>2979+(1114.1-1230.5)+(-9.11574+(-3.409146--3.76533))+0-819--2.50614000000009</f>
        <v>2037.3465840000001</v>
      </c>
      <c r="S347" s="3">
        <f>2964.2+(900.6-1116.7)+(-9.070452+(-2.755836--3.417102))+0-782.1--2.39322600000009</f>
        <v>1959.9840400000003</v>
      </c>
      <c r="T347" s="3">
        <f>2951.2+(789.7-953.9)+(6.020448+(1.610988-1.945956))+0-846.5-1.72685999999996</f>
        <v>1944.4586200000001</v>
      </c>
      <c r="U347" s="3">
        <f>2574.2+(649.7-582.2)+(1.312842+(0.331347-0.296922))+0-735.2-0.374951999999925</f>
        <v>1907.472315</v>
      </c>
      <c r="V347" s="3">
        <f>2471.1+(592.5-509.2)+(-1.260261+(-0.302175--0.259692))+0-714.1--0.364190999999928</f>
        <v>1839.361447</v>
      </c>
      <c r="W347" s="3">
        <f>2443.7+(320.6-419.1)+(-2.492574+(-0.327012--0.427482))+0-465--0.474300000000074</f>
        <v>1878.2821959999999</v>
      </c>
      <c r="X347" s="3">
        <f>2700.6+(769.7-891)+(-1.377306+(-0.392547--0.45441))+0-452.4--0.230723999999954</f>
        <v>2125.8152810000001</v>
      </c>
      <c r="Y347" s="3">
        <f>3002+(863.7-1254.9)+(-4.59306+(-1.321461--1.919997))+0-455.5--0.696915000000026</f>
        <v>2152.002391</v>
      </c>
      <c r="Z347" s="3">
        <f>2935.2+(923.5-1290.2)+(-5.987808+(-1.88394--2.632008))+0-466.1--0.95084399999998</f>
        <v>2098.1111040000001</v>
      </c>
      <c r="AA347" s="3">
        <f>2929.5+(1070.4-1004.1)+(0+(0-0))+0-871.8-0</f>
        <v>2124</v>
      </c>
      <c r="AB347" s="3">
        <f>2889.6+(580-725.1)+(-7.36848+(-1.479--1.849005))+0-765.3--1.95151499999989</f>
        <v>1974.1530400000001</v>
      </c>
      <c r="AC347" s="3">
        <f>2629+(497.3-383.9)+(0+(0-0))+0-823.4-0</f>
        <v>1919</v>
      </c>
      <c r="AD347">
        <v>2199.8000000000002</v>
      </c>
      <c r="AE347" s="3">
        <f>2901+(943-1175.2)+(0+(0-0))+0-469-0</f>
        <v>2199.8000000000002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2215.7+(489.5-141.1)+(-4.520028+(-0.99858--0.287844))+0-853--1.74011999999996</f>
        <v>1707.6093559999999</v>
      </c>
      <c r="G348" s="3">
        <f>2134.6+(469.5-179.2)+(0+(0-0))+0-792.1-0</f>
        <v>1632.8000000000002</v>
      </c>
      <c r="H348" s="3">
        <f>2132.6+(411.1-151.1)+(1.087626+(0.209661-0.077061))+0-811.1-0.413660999999918</f>
        <v>1582.3065650000001</v>
      </c>
      <c r="I348" s="3">
        <f>2134.9+(444.9-161.4)+(-2.177598+(-0.453798--0.164628))+0-858.4--0.875568000000137</f>
        <v>1558.4088000000004</v>
      </c>
      <c r="J348" s="3">
        <f>2128.3+(343.4-296.6)+(-5.427165+(-0.87567--0.75633))+0-625.1--1.59400499999991</f>
        <v>1546.0475000000006</v>
      </c>
      <c r="K348" s="3">
        <f>2074.7+(337.5-194.4)+(2.116194+(0.34425-0.198288))+0-665.9-0.679218000000106</f>
        <v>1553.4829379999992</v>
      </c>
      <c r="L348" s="3">
        <f>2086.8+(377.6-283.9)+(1.064268+(0.192576-0.144789))+0-662.2-0.337721999999933</f>
        <v>1519.074333</v>
      </c>
      <c r="M348" s="3">
        <f>2057.8+(438.6-247.9)+(0+(0-0))+0-737.4-0</f>
        <v>1511.1</v>
      </c>
      <c r="N348" s="3">
        <f>2109.1+(588-250.8)+(1.075641+(0.29988-0.127908))+0-828.4-0.422483999999916</f>
        <v>1618.7251289999997</v>
      </c>
      <c r="O348" s="3">
        <f>2209.7+(499.2-206.5)+(2.253894+(0.509184-0.21063))+0-789.9-0.805698000000126</f>
        <v>1714.2467499999993</v>
      </c>
      <c r="P348" s="3">
        <f>2304.1+(513.9-259.6)+(-1.175091+(-0.262089--0.132396))+0-787.2--0.40147199999992</f>
        <v>1770.2966879999997</v>
      </c>
      <c r="Q348" s="3">
        <f>2323.9+(510.6-293.3)+(-1.185189+(-0.260406--0.149583))+0-779.4--0.397493999999921</f>
        <v>1760.9014820000002</v>
      </c>
      <c r="R348" s="3">
        <f>2302.9+(401.7-349.1)+(0+(0-0))+0-568.2-0</f>
        <v>1787.3</v>
      </c>
      <c r="S348" s="3">
        <f>2291.2+(575.2-290.2)+(0+(0-0))+0-861.4-0</f>
        <v>1714.7999999999997</v>
      </c>
      <c r="T348" s="3">
        <f>2287.3+(529.4-315.7)+(0+(0-0))+0-819.3-0</f>
        <v>1681.7</v>
      </c>
      <c r="U348" s="3">
        <f>2337.5+(479.7-406.7)+(0+(0-0))+0-743.2-0</f>
        <v>1667.3</v>
      </c>
      <c r="V348" s="3">
        <f>2426.2+(601.6-560.2)+(0+(0-0))+0-806-0</f>
        <v>1661.6</v>
      </c>
      <c r="W348" s="3">
        <f>2494.3+(561.1-904.3)+(0+(0-0))+0-488.1-0</f>
        <v>1663.0000000000005</v>
      </c>
      <c r="X348" s="3">
        <f>2774.5+(1173.7-1594)+(0+(0-0))+0-457.2-0</f>
        <v>1896.9999999999998</v>
      </c>
      <c r="Y348" s="3">
        <f>2885.8+(1305.2-1804.6)+(0+(0-0))+0-430-0</f>
        <v>1956.4000000000005</v>
      </c>
      <c r="Z348" s="3">
        <f>2879.4+(1359.4-1854.9)+(0+(0-0))+0-451.5-0</f>
        <v>1932.4</v>
      </c>
      <c r="AA348" s="3">
        <f>2923.3+(1306.3-1487.5)+(0+(0-0))+0-836.5-0</f>
        <v>1905.6000000000004</v>
      </c>
      <c r="AB348" s="3">
        <f>2795.2+(975.4-1157.2)+(0+(0-0))+0-773.2-0</f>
        <v>1840.1999999999996</v>
      </c>
      <c r="AC348" s="3">
        <f>2428.3+(859.9-745.9)+(0+(0-0))+0-803.1-0</f>
        <v>1739.2000000000003</v>
      </c>
      <c r="AD348">
        <v>2006.6</v>
      </c>
      <c r="AE348" s="3">
        <f>2893+(1328.9-1720.7)+(0+(0-0))+0-494.6-0</f>
        <v>2006.6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2157.3+(537.7-175.6)+(0+(0-0))+0-861.9-0</f>
        <v>1657.5</v>
      </c>
      <c r="G349" s="3">
        <f>2097.4+(439.8-235.6)+(0+(0-0))+0-760.7-0</f>
        <v>1540.8999999999999</v>
      </c>
      <c r="H349" s="3">
        <f>2080.8+(489.7-256.4)+(0+(0-0))+0-791.5-0</f>
        <v>1522.6000000000004</v>
      </c>
      <c r="I349" s="3">
        <f>2054.5+(567.6-229)+(0+(0-0))+0-857.1-0</f>
        <v>1536</v>
      </c>
      <c r="J349" s="3">
        <f>2030.7+(614.9-230.9)+(0+(0-0))+0-857.4-0</f>
        <v>1557.2999999999997</v>
      </c>
      <c r="K349" s="3">
        <f>2158.3+(410.4-270)+(0+(0-0))+0-724.5-0</f>
        <v>1574.2000000000003</v>
      </c>
      <c r="L349" s="3">
        <f>2275.3+(547.3-327.7)+(5.802015+(1.395615-0.835635))+0-875.5-2.23252499999987</f>
        <v>1623.5294700000004</v>
      </c>
      <c r="M349" s="3">
        <f>2322.5+(575.1-397.3)+(4.7379+(1.173204-0.810492))+0-724.7-1.47838799999997</f>
        <v>1779.2222240000003</v>
      </c>
      <c r="N349" s="3">
        <f>2508.3+(703.9-338.7)+(0+(0-0))+0-858.8-0</f>
        <v>2014.7</v>
      </c>
      <c r="O349" s="3">
        <f>2732+(923.7-736.8)+(1.39332+(0.471087-0.375768))+0-758.2-0.386681999999923</f>
        <v>2161.8019570000001</v>
      </c>
      <c r="P349" s="3">
        <f>2858.3+(1206.7-998.1)+(1.457733+(0.615417-0.509031))+0-827.7-0.422126999999916</f>
        <v>2240.3419920000006</v>
      </c>
      <c r="Q349" s="3">
        <f>2780.4+(1184.1-1019.3)+(-4.254012+(-1.811673--1.559529))+0-683.9--1.04636700000004</f>
        <v>2257.8402109999997</v>
      </c>
      <c r="R349" s="3">
        <f>2723.5+(1006.7-849.5)+(0+(0-0))+0-772.4-0</f>
        <v>2108.2999999999997</v>
      </c>
      <c r="S349" s="3">
        <f>2570.5+(754.6-597.7)+(-2.62191+(-0.769692--0.609654))+0-697.7--0.711654000000111</f>
        <v>2027.6297060000004</v>
      </c>
      <c r="T349" s="3">
        <f>2477.3+(836.3-457.2)+(0+(0-0))+0-808.1-0</f>
        <v>2048.3000000000002</v>
      </c>
      <c r="U349" s="3">
        <f>2404.3+(744.6-275.7)+(-3.678579+(-1.139238--0.421821))+0-832.8--1.27418400000005</f>
        <v>2037.2781880000002</v>
      </c>
      <c r="V349" s="3">
        <f>2388.6+(595-276.5)+(1.218186+(0.30345-0.141015))+0-730.2-0.372401999999926</f>
        <v>1977.9082189999997</v>
      </c>
      <c r="W349" s="3">
        <f>2472.4+(692.2-341)+(-2.521848+(-0.706044--0.34782))+0-810.8--0.827016000000129</f>
        <v>2010.7469440000007</v>
      </c>
      <c r="X349" s="3">
        <f>2952.1+(1173.7-1086.4)+(0+(0-0))+0-790.6-0</f>
        <v>2248.7999999999997</v>
      </c>
      <c r="Y349" s="3">
        <f>3021.5+(1292.8-1331.6)+(-4.622895+(-1.977984--2.037348))+0-731.1--1.11858300000004</f>
        <v>2248.1550520000001</v>
      </c>
      <c r="Z349" s="3">
        <f>3137.9+(1339.3-1602.7)+(-4.800987+(-2.049129--2.452131))+0-697.1--1.06656300000004</f>
        <v>2174.0685779999999</v>
      </c>
      <c r="AA349" s="3">
        <f>3096.9+(1416-1644.2)+(-1.579419+(-0.72216--0.838542))+0-733.9--0.374288999999926</f>
        <v>2133.7112519999996</v>
      </c>
      <c r="AB349" s="3">
        <f>2994.6+(1054-1222.3)+(-6.108984+(-2.15016--2.493492))+0-789.2--1.60996799999997</f>
        <v>2032.9443160000001</v>
      </c>
      <c r="AC349" s="3">
        <f>2702.9+(556.8-622)+(-6.892395+(-1.41984--1.5861))+0-738.6--1.88342999999989</f>
        <v>1894.2572949999999</v>
      </c>
      <c r="AD349">
        <v>2243.7999999999993</v>
      </c>
      <c r="AE349" s="3">
        <f>3025+(1298.9-1276.4)+(0+(0-0))+0-803.7-0</f>
        <v>2243.8000000000002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2295.4+(479.4-144.9)+(-5.85327+(-1.22247--0.369495))+0-870.7--2.22028499999987</f>
        <v>1754.7140400000001</v>
      </c>
      <c r="G350" s="3">
        <f>2178.7+(422.2-262.3)+(-5.555685+(-1.07661--0.668865))+0-659--1.6804499999999</f>
        <v>1675.31702</v>
      </c>
      <c r="H350" s="3">
        <f>2136.2+(520.4-168.3)+(-5.44731+(-1.32702--0.429165))+0-843.3--2.15041499999988</f>
        <v>1640.8052499999994</v>
      </c>
      <c r="I350" s="3">
        <f>2013+(513.2-170.5)+(-1.02663+(-0.261732--0.086955))+0-729.1--0.371840999999926</f>
        <v>1625.7704339999998</v>
      </c>
      <c r="J350" s="3">
        <f>1960.5+(624.4-153)+(-4.999275+(-1.59222--0.39015))+0-805.4--2.05376999999988</f>
        <v>1622.352425</v>
      </c>
      <c r="K350" s="3">
        <f>2050.6+(627.8-157.7)+(1.045806+(0.320178-0.080427))+0-881.7-0.449666999999911</f>
        <v>1639.8358900000001</v>
      </c>
      <c r="L350" s="3">
        <f>2305.9+(396.1-359)+(-3.528027+(-0.606033--0.54927))+0-688.7--1.05371100000004</f>
        <v>1651.7689210000001</v>
      </c>
      <c r="M350" s="3">
        <f>2288.3+(420.8-268.9)+(-2.334066+(-0.429216--0.274278))+0-647.9--0.660858000000103</f>
        <v>1790.4718540000003</v>
      </c>
      <c r="N350" s="3">
        <f>2342.4+(591.8-275.1)+(1.194624+(0.301818-0.140301))+0-631.8-0.322217999999936</f>
        <v>2028.3339230000001</v>
      </c>
      <c r="O350" s="3">
        <f>2599+(1120.6-848.5)+(2.65098+(1.143012-0.86547))+0-678.8-0.692376000000108</f>
        <v>2194.5361460000004</v>
      </c>
      <c r="P350" s="3">
        <f>2854.6+(1479.6-1359.4)+(-1.455846+(-0.754596--0.693294))+0-718--0.366179999999927</f>
        <v>2255.6490319999998</v>
      </c>
      <c r="Q350" s="3">
        <f>2998.7+(1564.4-1525.3)+(-3.058674+(-1.595688--1.555806))+0-742.1--0.756942000000118</f>
        <v>2293.3583860000003</v>
      </c>
      <c r="R350" s="3">
        <f>2587.3+(1119.5-927.2)+(-1.319523+(-0.570945--0.472872))+0-691.3--0.35256299999993</f>
        <v>2087.2349670000008</v>
      </c>
      <c r="S350" s="3">
        <f>2447.6+(1003.7-653.8)+(2.496552+(1.023774-0.666876))+0-727.8-0.742356000000116</f>
        <v>2071.8110940000001</v>
      </c>
      <c r="T350" s="3">
        <f>2343.1+(1013.1-495)+(1.194981+(0.516681-0.25245))+0-782.4-0.399023999999921</f>
        <v>2079.8601880000001</v>
      </c>
      <c r="U350" s="3">
        <f>2350+(895.3-550.9)+(1.1985+(0.456603-0.280959))+0-610.6-0.311405999999938</f>
        <v>2084.8627380000003</v>
      </c>
      <c r="V350" s="3">
        <f>2354.2+(942.3-574)+(-1.200642+(-0.480573--0.29274))+0-695.2--0.354551999999929</f>
        <v>2026.2660769999998</v>
      </c>
      <c r="W350" s="3">
        <f>2509+(965-741.8)+(3.83877+(1.47645-1.134954))+0-649.9-0.994347000000038</f>
        <v>2085.4859189999997</v>
      </c>
      <c r="X350" s="3">
        <f>2889.1+(1655.7-1511.9)+(0+(0-0))+0-728.6-0</f>
        <v>2304.2999999999997</v>
      </c>
      <c r="Y350" s="3">
        <f>2971.5+(1717.3-1607.8)+(-4.546395+(-2.627469--2.459934))+0-766.1--1.17213300000004</f>
        <v>2311.3582030000002</v>
      </c>
      <c r="Z350" s="3">
        <f>2983.3+(1467.1-1527.4)+(-3.042966+(-1.496442--1.557948))+0-693.1--0.706962000000111</f>
        <v>2227.6255020000003</v>
      </c>
      <c r="AA350" s="3">
        <f>2975.9+(1371.8-1429.5)+(-7.588545+(-3.49809--3.645225))+0-752.2--1.91810999999989</f>
        <v>2160.4766999999997</v>
      </c>
      <c r="AB350" s="3">
        <f>2823+(955.3-1049.1)+(-4.31919+(-1.461609--1.605123))+0-679.9--1.04024700000004</f>
        <v>2046.164571</v>
      </c>
      <c r="AC350" s="3">
        <f>2584.1+(640.1-579.7)+(-5.271564+(-1.305804--1.182588))+0-735.7--1.50082799999997</f>
        <v>1904.9060479999998</v>
      </c>
      <c r="AD350">
        <v>2443.1999999999998</v>
      </c>
      <c r="AE350" s="3">
        <f>3110+(1905.4-1752.5)+(0+(0-0))+0-819.7-0</f>
        <v>2443.1999999999998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2286.2+(484.7-253.6)+(1.165962+(0.247197-0.129336))+0-739.7-0.377246999999925</f>
        <v>1778.506576</v>
      </c>
      <c r="G351" s="3">
        <f>2178.5+(541.4-242.8)+(-2.22207+(-0.552228--0.247656))+0-788.5--0.804270000000126</f>
        <v>1686.8776280000002</v>
      </c>
      <c r="H351" s="3">
        <f>2025.4+(595.5-245.3)+(-1.032954+(-0.303705--0.125103))+0-726--0.370259999999926</f>
        <v>1648.7587039999996</v>
      </c>
      <c r="I351" s="3">
        <f>1952.6+(647.7-181)+(0.995826+(0.330327-0.09231))+0-779.6-0.397595999999921</f>
        <v>1640.5362470000002</v>
      </c>
      <c r="J351" s="3">
        <f>1948+(643.7-169.3)+(-1.98696+(-0.656574--0.172686))+0-774--0.789480000000123</f>
        <v>1646.7186320000003</v>
      </c>
      <c r="K351" s="3">
        <f>1943+(596.7-152.5)+(0+(0-0))+0-676.6-0</f>
        <v>1710.6</v>
      </c>
      <c r="L351" s="3">
        <f>1973.1+(604.7-122.1)+(-2.012562+(-0.616794--0.124542))+0-778.4--0.793968000000124</f>
        <v>1675.589154</v>
      </c>
      <c r="M351" s="3">
        <f>2383+(593.8-360.9)+(1.21533+(0.302838-0.184059))+0-762.3-0.388772999999923</f>
        <v>1854.5453360000001</v>
      </c>
      <c r="N351" s="3">
        <f>2717.8+(812-637.5)+(2.772156+(0.82824-0.65025))+0-815.9-0.83221800000013</f>
        <v>2078.5179280000002</v>
      </c>
      <c r="O351" s="3">
        <f>2804.5+(1104.2-987.3)+(1.430295+(0.563142-0.503523))+0-743.5-0.379184999999925</f>
        <v>2179.0107290000005</v>
      </c>
      <c r="P351" s="3">
        <f>2919.6+(1441.4-1289.7)+(-4.466988+(-2.205342--1.973241))+0-836.8--1.28030400000005</f>
        <v>2231.0812150000002</v>
      </c>
      <c r="Q351" s="3">
        <f>2800.1+(1545.9-1357.6)+(-5.712204+(-3.153636--2.769504))+0-729.1--1.48736399999997</f>
        <v>2254.6910280000002</v>
      </c>
      <c r="R351" s="3">
        <f>2614.3+(1241-1031.1)+(-3.999879+(-1.89873--1.577583))+0-743.9--1.13816700000004</f>
        <v>2077.1171410000002</v>
      </c>
      <c r="S351" s="3">
        <f>2410.4+(1134.4-755.8)+(-6.14652+(-2.89272--1.92729))+0-845.8--2.15678999999988</f>
        <v>1938.2448399999998</v>
      </c>
      <c r="T351" s="3">
        <f>2305.7+(1009-598.2)+(1.175907+(0.51459-0.305082))+0-718.5-0.366434999999927</f>
        <v>1999.0189800000003</v>
      </c>
      <c r="U351" s="3">
        <f>2317.4+(932-529.9)+(-4.727496+(-1.90128--1.080996))+0-684.3--1.39597199999997</f>
        <v>2031.0481920000002</v>
      </c>
      <c r="V351" s="3">
        <f>2324.7+(855.8-558.2)+(0+(0-0))+0-627.3-0</f>
        <v>1994.9999999999998</v>
      </c>
      <c r="W351" s="3">
        <f>2389.2+(892.1-587.3)+(1.218492+(0.454971-0.299523))+0-642.3-0.327572999999935</f>
        <v>2052.7463670000002</v>
      </c>
      <c r="X351" s="3">
        <f>2922.9+(1393.5-1324.5)+(2.981358+(1.42137-1.35099))+0-713.6-0.727872000000114</f>
        <v>2280.6238660000004</v>
      </c>
      <c r="Y351" s="3">
        <f>3246.5+(1557.9-1763)+(0+(0-0))+0-750.7-0</f>
        <v>2290.6999999999998</v>
      </c>
      <c r="Z351" s="3">
        <f>3248+(1276-1603.4)+(1.65648+(0.65076-0.817734))+0-706.8-0.360467999999928</f>
        <v>2214.9290380000002</v>
      </c>
      <c r="AA351" s="3">
        <f>3106.7+(962.4-1281.7)+(-3.168834+(-0.981648--1.307334))+0-634.4--0.647088000000101</f>
        <v>2150.8039399999998</v>
      </c>
      <c r="AB351" s="3">
        <f>2885.8+(616.4-798.4)+(-1.471758+(-0.314364--0.407184))+0-661.1--0.337160999999933</f>
        <v>2041.6582230000004</v>
      </c>
      <c r="AC351" s="3">
        <f>2661.6+(413.4-397.1)+(-5.429664+(-0.843336--0.810084))+0-769.5--1.56977999999997</f>
        <v>1904.5068639999997</v>
      </c>
      <c r="AD351">
        <v>2383.5</v>
      </c>
      <c r="AE351" s="3">
        <f>3253+(1643.8-1706.5)+(0+(0-0))+0-806.8-0</f>
        <v>2383.5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2272.2+(383.5-270.9)+(-1.158822+(-0.195585--0.138159))+0-619.5--0.315944999999937</f>
        <v>1764.3996969999994</v>
      </c>
      <c r="G352" s="3">
        <f>2264.6+(449.5-232.2)+(0+(0-0))+0-792.1-0</f>
        <v>1689.8000000000002</v>
      </c>
      <c r="H352" s="3">
        <f>2198.8+(531.4-318)+(-1.121388+(-0.271014--0.16218))+0-765.9--0.390608999999922</f>
        <v>1645.4603869999999</v>
      </c>
      <c r="I352" s="3">
        <f>2057.7+(567.3-280.4)+(0+(0-0))+0-748.4-0</f>
        <v>1596.1999999999998</v>
      </c>
      <c r="J352" s="3">
        <f>2036.4+(516.7-280.1)+(2.077128+(0.527034-0.285702))+0-699.5-0.713490000000112</f>
        <v>1575.1049699999999</v>
      </c>
      <c r="K352" s="3">
        <f>2011.8+(549.4-224.7)+(-1.026018+(-0.280194--0.114597))+0-768--0.391679999999922</f>
        <v>1567.7000649999998</v>
      </c>
      <c r="L352" s="3">
        <f>1998.7+(423.9-228.7)+(-1.019337+(-0.216189--0.116637))+0-638--0.325379999999935</f>
        <v>1555.1064910000002</v>
      </c>
      <c r="M352" s="3">
        <f>2007.6+(537.6-194.3)+(2.047752+(0.548352-0.198186))+0-645-0.657900000000103</f>
        <v>1707.6400180000001</v>
      </c>
      <c r="N352" s="3">
        <f>2330.7+(669.1-426.9)+(2.377314+(0.682482-0.435438))+0-646-0.658920000000103</f>
        <v>1928.8654379999996</v>
      </c>
      <c r="O352" s="3">
        <f>2341.9+(849.6-570.8)+(2.388738+(0.866592-0.582216))+0-675-0.688500000000108</f>
        <v>1947.6846140000002</v>
      </c>
      <c r="P352" s="3">
        <f>2304.2+(1238.8-789.4)+(3.525426+(1.895364-1.207782))+0-675.9-1.03412700000004</f>
        <v>2080.8788810000001</v>
      </c>
      <c r="Q352" s="3">
        <f>2479.4+(1417.2-1095.8)+(-3.793482+(-2.168316--1.676574))+0-518.4--0.79315200000003</f>
        <v>2278.9079280000001</v>
      </c>
      <c r="R352" s="3">
        <f>2441.1+(1159.9-1031.2)+(-4.979844+(-2.366196--2.103648))+0-469.5--0.95777999999998</f>
        <v>2096.0153880000003</v>
      </c>
      <c r="S352" s="3">
        <f>2384.3+(1128.8-888.7)+(-6.079965+(-2.87844--2.266185))+0-559.6--1.42697999999992</f>
        <v>2059.53476</v>
      </c>
      <c r="T352" s="3">
        <f>2377.7+(813.5-859.2)+(3.637881+(1.244655-1.314576))+0-243.5-0.372555000000014</f>
        <v>2091.6954049999999</v>
      </c>
      <c r="U352" s="3">
        <f>2378.5+(911.1-812.6)+(3.639105+(1.393983-1.243278))+0-390.8-0.597924000000023</f>
        <v>2089.3918859999999</v>
      </c>
      <c r="V352" s="3">
        <f>2409.6+(956.5-820.7)+(-1.228896+(-0.487815--0.418557))+0-502.1--0.256070999999949</f>
        <v>2042.2579169999997</v>
      </c>
      <c r="W352" s="3">
        <f>2615.3+(929.9-897.4)+(-1.333803+(-0.474249--0.457674))+0-554.2--0.282641999999944</f>
        <v>2092.5322640000004</v>
      </c>
      <c r="X352" s="3">
        <f>3161.2+(1392.9-1694.2)+(0+(0-0))+0-565.1-0</f>
        <v>2294.7999999999997</v>
      </c>
      <c r="Y352" s="3">
        <f>3393.2+(1470.5-2025.8)+(-5.191596+(-2.249865--3.099474))+0-507.5--0.776475000000029</f>
        <v>2326.834488</v>
      </c>
      <c r="Z352" s="3">
        <f>3342.5+(1229.4-1761.4)+(-3.40935+(-1.253988--1.796628))+0-571--0.582420000000091</f>
        <v>2237.2157100000004</v>
      </c>
      <c r="AA352" s="3">
        <f>3034.7+(806.5-1148.5)+(-3.095394+(-0.82263--1.17147))+0-528.2--0.538764000000084</f>
        <v>2162.2922099999996</v>
      </c>
      <c r="AB352" s="3">
        <f>2934+(610.2-782.8)+(-5.98536+(-1.244808--1.596912))+0-700.6--1.42922399999997</f>
        <v>2056.5959680000001</v>
      </c>
      <c r="AC352" s="3">
        <f>2629.5+(271.5-370.2)+(-4.023135+(-0.415395--0.566406))+0-624.4--0.955332000000036</f>
        <v>1903.4832080000001</v>
      </c>
      <c r="AD352">
        <v>2253.5000000000005</v>
      </c>
      <c r="AE352" s="3">
        <f>3383+(1475.1-2044.6)+(0+(0-0))+0-560-0</f>
        <v>2253.5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2528+(216.8-294.9)+(-9.02496+(-0.773976--1.052793))+0-674.5--2.40796500000001</f>
        <v>1769.0618220000003</v>
      </c>
      <c r="G353" s="3">
        <f>2360.4+(298.4-346.1)+(-2.407608+(-0.304368--0.353022))+0-694.2--0.708084000000111</f>
        <v>1616.8491300000001</v>
      </c>
      <c r="H353" s="3">
        <f>2125.9+(382.2-271.7)+(-4.336836+(-0.779688--0.554268))+0-669.2--1.36516799999997</f>
        <v>1564.0029119999999</v>
      </c>
      <c r="I353" s="3">
        <f>2112.6+(468.6-258.3)+(1.077426+(0.238986-0.131733))+0-678.7-0.346136999999931</f>
        <v>1645.038542</v>
      </c>
      <c r="J353" s="3">
        <f>2101.9+(469-251.1)+(0+(0-0))+0-690.5-0</f>
        <v>1629.3000000000002</v>
      </c>
      <c r="K353" s="3">
        <f>2194.6+(459.5-268.1)+(-2.238492+(-0.46869--0.273462))+0-721.9--0.736338000000115</f>
        <v>1662.4026180000001</v>
      </c>
      <c r="L353" s="3">
        <f>2449.9+(328.2-386.2)+(1.249449+(0.167382-0.196962))+0-730.4-0.372503999999926</f>
        <v>1662.3473650000001</v>
      </c>
      <c r="M353" s="3">
        <f>2526.6+(227-400.9)+(2.577132+(0.23154-0.408918))+0-524.6-0.535092000000084</f>
        <v>1829.9646619999999</v>
      </c>
      <c r="N353" s="3">
        <f>2637+(675.8-558)+(2.68974+(0.689316-0.56916))+0-688.8-0.70257600000011</f>
        <v>2068.1073200000005</v>
      </c>
      <c r="O353" s="3">
        <f>2961.9+(1056.4-1250.7)+(0+(0-0))+0-581-0</f>
        <v>2186.6000000000004</v>
      </c>
      <c r="P353" s="3">
        <f>3089.2+(1411.7-1607.3)+(-3.150984+(-1.439934--1.639446))+0-608.5--0.620670000000097</f>
        <v>2282.769198</v>
      </c>
      <c r="Q353" s="3">
        <f>2799+(1299.6-1229.4)+(-7.13745+(-3.31398--3.13497))+0-605.2--1.54325999999991</f>
        <v>2258.2267999999999</v>
      </c>
      <c r="R353" s="3">
        <f>2666.5+(692.7-948.4)+(-4.079745+(-1.059831--1.451052))+0-371.4--0.568242000000021</f>
        <v>2036.279718</v>
      </c>
      <c r="S353" s="3">
        <f>2709.1+(657.5-1046.4)+(-5.526564+(-1.3413--2.134656))+0-258.5--0.527339999999989</f>
        <v>2057.4941319999998</v>
      </c>
      <c r="T353" s="3">
        <f>2703.8+(775.4-903.7)+(-1.378938+(-0.395454--0.460887))+0-461.2--0.235211999999953</f>
        <v>2113.2217070000002</v>
      </c>
      <c r="U353" s="3">
        <f>2702.2+(819.9-840.1)+(0+(0-0))+0-555.9-0</f>
        <v>2126.1</v>
      </c>
      <c r="V353" s="3">
        <f>2709+(778.9-852.5)+(4.14477+(1.191717-1.304325))+0-564-0.862920000000033</f>
        <v>2074.569242</v>
      </c>
      <c r="W353" s="3">
        <f>2837.4+(624.5-895.2)+(-4.341222+(-0.955485--1.369656))+0-471.9--0.722007000000027</f>
        <v>2091.5949559999995</v>
      </c>
      <c r="X353" s="3">
        <f>3069.9+(1053.5-1221.7)+(3.131298+(1.07457-1.246134))+0-623.6-0.636072000000099</f>
        <v>2280.4236619999997</v>
      </c>
      <c r="Y353" s="3">
        <f>2981.7+(949.8-1099.7)+(-4.562001+(-1.453194--1.682541))+0-537.5--0.822375000000031</f>
        <v>2290.7897210000001</v>
      </c>
      <c r="Z353" s="3">
        <f>3001.6+(711.5-974.8)+(-6.123264+(-1.45146--1.988592))+0-541.7--1.10506799999998</f>
        <v>2192.1189359999998</v>
      </c>
      <c r="AA353" s="3">
        <f>2752.8+(490.2-456.3)+(-4.211784+(-0.750006--0.698139))+0-626.7--0.958851000000036</f>
        <v>2156.6951999999997</v>
      </c>
      <c r="AB353" s="3">
        <f>2664.3+(283.1-329.1)+(-6.793965+(-0.721905--0.839205))+0-574.3--1.46446499999992</f>
        <v>2038.7878000000003</v>
      </c>
      <c r="AC353" s="3">
        <f>2648.2+(249.7-333.7)+(-1.350582+(-0.127347--0.170187))+0-635.3--0.324002999999936</f>
        <v>1927.9162609999998</v>
      </c>
      <c r="AD353">
        <v>2393.5000000000005</v>
      </c>
      <c r="AE353" s="3">
        <f>3141+(994.6-1135.6)+(0+(0-0))+0-606.5-0</f>
        <v>2393.5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2658.7+(299.5-401)+(-6.779685+(-0.763725--1.02255))+0-762.7--1.94488499999989</f>
        <v>1789.9240249999996</v>
      </c>
      <c r="G354" s="3">
        <f>2669.6+(281.3-476)+(-6.80748+(-0.717315--1.2138))+0-762.3--1.94386499999989</f>
        <v>1708.2328700000003</v>
      </c>
      <c r="H354" s="3">
        <f>2563.9+(202.5-464.4)+(-3.922767+(-0.309825--0.710532))+0-637.2--0.974916000000037</f>
        <v>1662.2528560000003</v>
      </c>
      <c r="I354" s="3">
        <f>2344.2+(289.7-332.3)+(3.586626+(0.443241-0.508419))+0-649.8-0.994194000000037</f>
        <v>1654.3272539999998</v>
      </c>
      <c r="J354" s="3">
        <f>2343+(317.3-311.4)+(4.77972+(0.647292-0.635256))+0-699.9-1.42779599999997</f>
        <v>1652.3639600000001</v>
      </c>
      <c r="K354" s="3">
        <f>2341.2+(273.3-358)+(5.97006+(0.696915-0.9129))+0-598.1-1.52515499999991</f>
        <v>1662.6289200000001</v>
      </c>
      <c r="L354" s="3">
        <f>2348.1+(407.1-298.9)+(-2.395062+(-0.415242--0.304878))+0-793.9--0.809778000000127</f>
        <v>1660.704352</v>
      </c>
      <c r="M354" s="3">
        <f>2520.3+(287.4-354.6)+(2.570706+(0.293148-0.361692))+0-627.3-0.6398460000001</f>
        <v>1827.6623160000006</v>
      </c>
      <c r="N354" s="3">
        <f>2668.7+(528.4-432.6)+(1.361037+(0.269484-0.220626))+0-695-0.354449999999929</f>
        <v>2070.555445</v>
      </c>
      <c r="O354" s="3">
        <f>2924.1+(961.5-1050.7)+(2.982582+(0.98073-1.071714))+0-637-0.649740000000102</f>
        <v>2200.1418579999995</v>
      </c>
      <c r="P354" s="3">
        <f>3099+(1165-1261.4)+(-3.16098+(-1.1883--1.286628))+0-727.8--0.742356000000116</f>
        <v>2272.4797039999999</v>
      </c>
      <c r="Q354" s="3">
        <f>3081.8+(1196.7-1249.4)+(-4.715154+(-1.830951--1.911582))+0-744.9--1.13969700000004</f>
        <v>2280.7051740000002</v>
      </c>
      <c r="R354" s="3">
        <f>2807.1+(858.2-951.1)+(-5.726484+(-1.750728--1.940244))+0-606.8--1.23787199999997</f>
        <v>2103.1009040000004</v>
      </c>
      <c r="S354" s="3">
        <f>2583.4+(771.2-537.2)+(2.635068+(0.786624-0.547944))+0-775.1-0.790602000000124</f>
        <v>2044.3831460000001</v>
      </c>
      <c r="T354" s="3">
        <f>2450.6+(803.4-530)+(2.499612+(0.819468-0.5406))+0-678.9-0.692478000000108</f>
        <v>2047.1860019999997</v>
      </c>
      <c r="U354" s="3">
        <f>2435.6+(789.8-458.1)+(-2.484312+(-0.805596--0.467262))+0-742.1--0.756942000000118</f>
        <v>2023.1342959999999</v>
      </c>
      <c r="V354" s="3">
        <f>2465.6+(612.6-523.7)+(-3.772368+(-0.937278--0.801261))+0-579.5--0.886635000000033</f>
        <v>1971.9782499999999</v>
      </c>
      <c r="W354" s="3">
        <f>2673.8+(509.8-480.6)+(-6.81819+(-1.29999--1.22553))+0-728.3--1.85716499999989</f>
        <v>1969.6645150000002</v>
      </c>
      <c r="X354" s="3">
        <f>3085.4+(845.3-994.1)+(1.573554+(0.431103-0.506991))+0-733.7-0.374186999999926</f>
        <v>2204.023479</v>
      </c>
      <c r="Y354" s="3">
        <f>3129.9+(878.3-1116.3)+(-9.577494+(-2.687598--3.415878))+0-682.4--2.08814400000008</f>
        <v>2202.7389300000004</v>
      </c>
      <c r="Z354" s="3">
        <f>2992+(520.8-729.9)+(0+(0-0))+0-652.8-0</f>
        <v>2130.1000000000004</v>
      </c>
      <c r="AA354" s="3">
        <f>2779.3+(355.8-369)+(-4.252329+(-0.544374--0.56457))+0-697.8--1.06763400000004</f>
        <v>2065.1355010000007</v>
      </c>
      <c r="AB354" s="3">
        <f>2653.5+(355-235)+(-5.41314+(-0.7242--0.4794))+0-788.4--1.60833599999997</f>
        <v>1981.0503959999999</v>
      </c>
      <c r="AC354" s="3">
        <f>2624.3+(248.2-277.1)+(-1.338393+(-0.126582--0.141321))+0-692.7--0.35327699999993</f>
        <v>1901.7296230000002</v>
      </c>
      <c r="AD354">
        <v>2223.2000000000003</v>
      </c>
      <c r="AE354" s="3">
        <f>3130+(1101.6-1129)+(0+(0-0))+0-879.4-0</f>
        <v>2223.1999999999998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2584.5+(359.6-300.3)+(-3.954285+(-0.550188--0.459459))+0-749.7--1.14704100000004</f>
        <v>1891.2020270000003</v>
      </c>
      <c r="G355" s="3">
        <f>2418.7+(425.1-364.1)+(-4.934148+(-0.867204--0.742764))+0-748.7--1.52734799999997</f>
        <v>1727.46876</v>
      </c>
      <c r="H355" s="3">
        <f>2356.1+(347.2-296.3)+(-1.201611+(-0.177072--0.151113))+0-779.9--0.397748999999921</f>
        <v>1626.2701789999999</v>
      </c>
      <c r="I355" s="3">
        <f>2354.8+(333.8-360.2)+(-3.602844+(-0.510714--0.551106))+0-728.7--1.11491100000004</f>
        <v>1597.252459</v>
      </c>
      <c r="J355" s="3">
        <f>2357.5+(336.7-335.7)+(1.202325+(0.171717-0.171207))+0-760.3-0.387752999999923</f>
        <v>1599.0150820000001</v>
      </c>
      <c r="K355" s="3">
        <f>2365.2+(277-373.5)+(0+(0-0))+0-673.3-0</f>
        <v>1595.3999999999999</v>
      </c>
      <c r="L355" s="3">
        <f>2375.9+(298.1-398.4)+(-4.846836+(-0.608124--0.812736))+0-736.8--1.50307199999997</f>
        <v>1535.6608480000002</v>
      </c>
      <c r="M355" s="3">
        <f>2372+(336.1-423.5)+(1.20972+(0.171411-0.215985))+0-730.1-0.372350999999926</f>
        <v>1555.2927949999998</v>
      </c>
      <c r="N355" s="3">
        <f>2342.3+(357.2-368.3)+(2.389146+(0.364344-0.375666))+0-651.1-0.664122000000104</f>
        <v>1681.8137020000004</v>
      </c>
      <c r="O355" s="3">
        <f>2572.1+(529-561.7)+(-1.311771+(-0.26979--0.286467))+0-664.9--0.339098999999933</f>
        <v>1873.5440049999995</v>
      </c>
      <c r="P355" s="3">
        <f>2621.6+(528.8-594.5)+(1.337016+(0.269688-0.303195))+0-683.8-0.348737999999931</f>
        <v>1873.0547709999996</v>
      </c>
      <c r="Q355" s="3">
        <f>2616.6+(555-632.4)+(-4.003398+(-0.84915--0.967572))+0-703.2--1.07589600000004</f>
        <v>1833.19092</v>
      </c>
      <c r="R355" s="3">
        <f>2464.2+(458.6-454.5)+(-7.540452+(-1.403316--1.39077))+0-684.8--2.09548800000008</f>
        <v>1778.0424899999998</v>
      </c>
      <c r="S355" s="3">
        <f>2275.2+(382.9-233.9)+(-1.160352+(-0.195279--0.119289))+0-708.9--0.361538999999928</f>
        <v>1714.4251969999996</v>
      </c>
      <c r="T355" s="3">
        <f>2262.7+(249.6-216.6)+(0+(0-0))+0-598.2-0</f>
        <v>1697.4999999999998</v>
      </c>
      <c r="U355" s="3">
        <f>2272.9+(252.9-163.4)+(-1.159179+(-0.128979--0.083334))+0-682.7--0.348176999999931</f>
        <v>1678.843353</v>
      </c>
      <c r="V355" s="3">
        <f>2274.6+(258.8-174.8)+(-2.320092+(-0.263976--0.178296))+0-673.5--0.686970000000107</f>
        <v>1683.381198</v>
      </c>
      <c r="W355" s="3">
        <f>2296.6+(317.1-225.8)+(-4.685064+(-0.646884--0.460632))+0-686.3--1.40005199999997</f>
        <v>1698.1287359999999</v>
      </c>
      <c r="X355" s="3">
        <f>2540.2+(918.4-762.7)+(1.295502+(0.468384-0.388977))+0-718.3-0.366332999999927</f>
        <v>1978.6085759999999</v>
      </c>
      <c r="Y355" s="3">
        <f>2645.4+(1244.1-1109.6)+(-4.047462+(-1.903473--1.697688))+0-689.3--1.05462900000004</f>
        <v>2087.401382</v>
      </c>
      <c r="Z355" s="3">
        <f>2542.4+(1211.9-1093.4)+(2.593248+(1.236138-1.115268))+0-630-0.6426000000001</f>
        <v>2032.9715179999998</v>
      </c>
      <c r="AA355" s="3">
        <f>2543.9+(978.2-965.1)+(-5.189556+(-1.995528--1.968804))+0-683.5--1.39433999999997</f>
        <v>1869.67806</v>
      </c>
      <c r="AB355" s="3">
        <f>2569.4+(813.8-864.6)+(-1.310394+(-0.415038--0.440946))+0-664.2--0.338741999999933</f>
        <v>1853.4542559999998</v>
      </c>
      <c r="AC355" s="3">
        <f>2433.3+(794.4-752.6)+(-3.722949+(-1.215432--1.151478))+0-788--1.20564000000005</f>
        <v>1684.5187370000003</v>
      </c>
      <c r="AD355">
        <v>2090.5</v>
      </c>
      <c r="AE355" s="3">
        <f>2654+(1331.2-1087.1)+(0+(0-0))+0-807.6-0</f>
        <v>2090.5000000000005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2171.7+(723.7-493.6)+(-2.215134+(-0.738174--0.503472))+0-740.5--0.755310000000118</f>
        <v>1659.605474</v>
      </c>
      <c r="G356" s="3">
        <f>2106.2+(398.6-240.3)+(-2.148324+(-0.406572--0.245106))+0-697.9--0.711858000000111</f>
        <v>1565.0020680000002</v>
      </c>
      <c r="H356" s="3">
        <f>2111.8+(345.4-222.5)+(2.154036+(0.352308-0.22695))+0-763.5-0.778770000000122</f>
        <v>1472.7006240000003</v>
      </c>
      <c r="I356" s="3">
        <f>2113.3+(400.4-252.8)+(-3.233349+(-0.612612--0.386784))+0-740.6--1.13311800000004</f>
        <v>1517.973941</v>
      </c>
      <c r="J356" s="3">
        <f>2109.2+(416.8-249.8)+(-2.151384+(-0.425136--0.254796))+0-731.3--0.745926000000117</f>
        <v>1543.324202</v>
      </c>
      <c r="K356" s="3">
        <f>2207.8+(376.5-232.2)+(0+(0-0))+0-789.1-0</f>
        <v>1563.0000000000005</v>
      </c>
      <c r="L356" s="3">
        <f>2355.6+(259.9-377.8)+(0+(0-0))+0-622.2-0</f>
        <v>1615.4999999999998</v>
      </c>
      <c r="M356" s="3">
        <f>2535.3+(376.8-403.7)+(2.586006+(0.384336-0.411774))+0-644.1-0.656982000000103</f>
        <v>1866.2015859999999</v>
      </c>
      <c r="N356" s="3">
        <f>2713.2+(740.6-717.2)+(0+(0-0))+0-562.4-0</f>
        <v>2174.1999999999998</v>
      </c>
      <c r="O356" s="3">
        <f>2845.2+(1109.8-1119.2)+(1.451052+(0.565998-0.570792))+0-647.4-0.330173999999934</f>
        <v>2189.5160839999999</v>
      </c>
      <c r="P356" s="3">
        <f>2914.5+(1284.2-1372)+(0+(0-0))+0-554.7-0</f>
        <v>2272</v>
      </c>
      <c r="Q356" s="3">
        <f>2710.3+(1549.8-1454.9)+(0+(0-0))+0-502-0</f>
        <v>2303.1999999999998</v>
      </c>
      <c r="R356" s="3">
        <f>2589.6+(1250.8-1314.6)+(-6.60348+(-3.18954--3.35223))+0-456.9--1.16509499999993</f>
        <v>2063.6243049999998</v>
      </c>
      <c r="S356" s="3">
        <f>2339.5+(1043.5-861.2)+(-1.193145+(-0.532185--0.439212))+0-501.4--0.255713999999949</f>
        <v>2019.369596</v>
      </c>
      <c r="T356" s="3">
        <f>2259.6+(973-691.2)+(0+(0-0))+0-459.1-0</f>
        <v>2082.2999999999997</v>
      </c>
      <c r="U356" s="3">
        <f>2068.8+(838.7-443.8)+(-1.055088+(-0.427737--0.226338))+0-403.4--0.205733999999959</f>
        <v>2059.2492470000002</v>
      </c>
      <c r="V356" s="3">
        <f>2082.7+(735.7-297.1)+(-2.124354+(-0.750414--0.303042))+0-488.9--0.498678000000078</f>
        <v>2030.3269519999997</v>
      </c>
      <c r="W356" s="3">
        <f>2131.5+(871.1-373.6)+(-3.261195+(-1.332783--0.571608))+0-545.6--0.834768000000032</f>
        <v>2080.2123980000001</v>
      </c>
      <c r="X356" s="3">
        <f>2154.6+(1387.7-648.9)+(0+(0-0))+0-531.2-0</f>
        <v>2362.1999999999998</v>
      </c>
      <c r="Y356" s="3">
        <f>2172.6+(1543.9-812.7)+(-3.324078+(-2.362167--1.243431))+0-573--0.876690000000033</f>
        <v>2327.2338760000002</v>
      </c>
      <c r="Z356" s="3">
        <f>2173.3+(1333.3-733.8)+(-5.541915+(-3.399915--1.87119))+0-565.1--1.44100499999992</f>
        <v>2202.0703650000005</v>
      </c>
      <c r="AA356" s="3">
        <f>2169.5+(1070.2-561.6)+(-4.42578+(-2.183208--1.145664))+0-649.7--1.32538799999997</f>
        <v>2024.262064</v>
      </c>
      <c r="AB356" s="3">
        <f>2100.7+(1093.4-489.3)+(-1.071357+(-0.557634--0.249543))+0-653.1--0.333080999999934</f>
        <v>2050.6536329999999</v>
      </c>
      <c r="AC356" s="3">
        <f>2023+(909.1-363.2)+(-4.12692+(-1.854564--0.740928))+0-695.5--1.41881999999997</f>
        <v>1869.5782639999998</v>
      </c>
      <c r="AD356">
        <v>2398.8000000000002</v>
      </c>
      <c r="AE356" s="3">
        <f>2148+(1596.4-746.1)+(0+(0-0))+0-599.5-0</f>
        <v>2398.8000000000002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1902.6+(801.7-206)+(-1.940652+(-0.817734--0.21012))+0-735.3--0.750006000000117</f>
        <v>1761.2017400000007</v>
      </c>
      <c r="G357" s="3">
        <f>1910.6+(647.5-203.2)+(-1.948812+(-0.66045--0.207264))+0-627.3--0.6398460000001</f>
        <v>1725.8378480000003</v>
      </c>
      <c r="H357" s="3">
        <f>1879.1+(676.7-223.8)+(-3.833364+(-1.380468--0.456552))+0-625.7--1.27642799999997</f>
        <v>1702.819148</v>
      </c>
      <c r="I357" s="3">
        <f>1781.8+(755.9-193.9)+(0+(0-0))+0-668.7-0</f>
        <v>1675.1000000000001</v>
      </c>
      <c r="J357" s="3">
        <f>1781.5+(706.5-209.9)+(-1.81713+(-0.72063--0.214098))+0-628--0.6405600000001</f>
        <v>1648.4168980000002</v>
      </c>
      <c r="K357" s="3">
        <f>1827.9+(729.3-205)+(0.932229+(0.371943-0.10455))+0-651.9-0.332468999999934</f>
        <v>1701.1671529999999</v>
      </c>
      <c r="L357" s="3">
        <f>2084.5+(525.4-239)+(-1.063095+(-0.267954--0.12189))+0-573.5--0.292484999999942</f>
        <v>1796.483326</v>
      </c>
      <c r="M357" s="3">
        <f>2250+(556.6-301.5)+(0+(0-0))+0-580.9-0</f>
        <v>1924.1999999999998</v>
      </c>
      <c r="N357" s="3">
        <f>2287.2+(1007.7-484)+(1.166472+(0.513927-0.24684))+0-572.1-0.291770999999942</f>
        <v>2239.9417879999996</v>
      </c>
      <c r="O357" s="3">
        <f>2384.4+(1304.5-732.9)+(-1.216044+(-0.665295--0.373779))+0-464.7--0.236996999999953</f>
        <v>2490.0294370000001</v>
      </c>
      <c r="P357" s="3">
        <f>2407.5+(1491.1-1062.6)+(-1.227825+(-0.760461--0.541926))+0-446.5--0.227714999999955</f>
        <v>2388.2813550000001</v>
      </c>
      <c r="Q357" s="3">
        <f>2332.8+(1561.8-1072.9)+(1.189728+(0.796518-0.547179))+0-483.3-0.246482999999951</f>
        <v>2339.5925839999995</v>
      </c>
      <c r="R357" s="3">
        <f>2206+(1395.5-952.7)+(-5.6253+(-3.558525--2.429385))+0-483.3--1.23241499999993</f>
        <v>2159.9779749999998</v>
      </c>
      <c r="S357" s="3">
        <f>2178.1+(1270.8-887.4)+(-4.443324+(-2.592432--1.810296))+0-478.2--0.975527999999979</f>
        <v>2079.050068</v>
      </c>
      <c r="T357" s="3">
        <f>2295.6+(1292.9-964.1)+(1.170756+(0.659379-0.491691))+0-555.3-0.283202999999944</f>
        <v>2070.1552410000004</v>
      </c>
      <c r="U357" s="3">
        <f>2333.6+(1198.3-977.6)+(-2.380272+(-1.222266--0.997152))+0-441.8--0.45063600000007</f>
        <v>2110.3452499999994</v>
      </c>
      <c r="V357" s="3">
        <f>2422.6+(1022.2-905.6)+(-6.17763+(-2.60661--2.30928))+0-486.9--1.24159499999993</f>
        <v>2047.0666349999997</v>
      </c>
      <c r="W357" s="3">
        <f>2521.8+(999.3-872.8)+(-5.144472+(-2.038572--1.780512))+0-518.3--1.05733199999998</f>
        <v>2125.6547999999998</v>
      </c>
      <c r="X357" s="3">
        <f>2736.2+(1239.4-1057.2)+(-1.395462+(-0.632094--0.539172))+0-433.1--0.220880999999956</f>
        <v>2484.0324969999992</v>
      </c>
      <c r="Y357" s="3">
        <f>2755.9+(1403.1-1114.5)+(-4.216527+(-2.146743--1.705185))+0-589.4--0.901782000000034</f>
        <v>2451.3436969999998</v>
      </c>
      <c r="Z357" s="3">
        <f>2656.9+(1326.3-1040)+(-4.065057+(-2.029239--1.5912))+0-576.4--0.881892000000033</f>
        <v>2363.1787959999997</v>
      </c>
      <c r="AA357" s="3">
        <f>2380.9+(1393.5-960.2)+(-2.428518+(-1.42137--0.979404))+0-579.5--0.591090000000092</f>
        <v>2232.4206059999997</v>
      </c>
      <c r="AB357" s="3">
        <f>2379.1+(989.6-840.3)+(-3.640023+(-1.514088--1.285659))+0-478.2--0.731646000000028</f>
        <v>2047.0631939999998</v>
      </c>
      <c r="AC357" s="3">
        <f>2302.2+(1015.1-814.1)+(-1.174122+(-0.517701--0.415191))+0-558.4--0.284783999999943</f>
        <v>1943.8081519999996</v>
      </c>
      <c r="AD357">
        <v>2198.6999999999998</v>
      </c>
      <c r="AE357" s="3">
        <f>2616+(1470.5-1270.6)+(0+(0-0))+0-617.2-0</f>
        <v>2198.6999999999998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2148+(904.5-574.3)+(-3.28644+(-1.383885--0.878679))+0-698.4--1.06855200000004</f>
        <v>1777.0769059999996</v>
      </c>
      <c r="G358" s="3">
        <f>2144.6+(677.6-486.1)+(-2.187492+(-0.691152--0.495822))+0-666.2--0.679524000000106</f>
        <v>1668.196702</v>
      </c>
      <c r="H358" s="3">
        <f>2145+(654-425.4)+(-3.28185+(-1.00062--0.650862))+0-660.3--1.01025900000004</f>
        <v>1710.6786509999999</v>
      </c>
      <c r="I358" s="3">
        <f>2145.6+(667.5-410.3)+(-2.188512+(-0.68085--0.418506))+0-641.6--0.654432000000102</f>
        <v>1759.4035759999999</v>
      </c>
      <c r="J358" s="3">
        <f>2219.5+(574.7-412.2)+(2.26389+(0.586194-0.420444))+0-645.3-0.658206000000103</f>
        <v>1738.4714339999998</v>
      </c>
      <c r="K358" s="3">
        <f>2269.3+(582.4-439.6)+(0+(0-0))+0-654.3-0</f>
        <v>1757.8000000000004</v>
      </c>
      <c r="L358" s="3">
        <f>2365+(423.5-411.6)+(1.20615+(0.215985-0.209916))+0-653.9-0.333488999999934</f>
        <v>1723.8787300000001</v>
      </c>
      <c r="M358" s="3">
        <f>2509+(518.4-458.3)+(2.55918+(0.528768-0.467466))+0-598.8-0.610776000000095</f>
        <v>1972.3097059999998</v>
      </c>
      <c r="N358" s="3">
        <f>2530.1+(813.1-509.3)+(2.580702+(0.829362-0.519486))+0-575.5-0.587010000000092</f>
        <v>2260.7035679999999</v>
      </c>
      <c r="O358" s="3">
        <f>2513.2+(1187.1-677.2)+(1.281732+(0.605421-0.345372))+0-525.5-0.268004999999947</f>
        <v>2498.8737759999995</v>
      </c>
      <c r="P358" s="3">
        <f>2513.1+(1253.3-956.5)+(0+(0-0))+0-506.9-0</f>
        <v>2302.9999999999995</v>
      </c>
      <c r="Q358" s="3">
        <f>2496.6+(1337.6-1008.5)+(0+(0-0))+0-502.3-0</f>
        <v>2323.3999999999996</v>
      </c>
      <c r="R358" s="3">
        <f>2513+(1158.5-987.6)+(-5.12652+(-2.36334--2.014704))+0-562.7--1.14790799999998</f>
        <v>2116.8727520000002</v>
      </c>
      <c r="S358" s="3">
        <f>2510.1+(973.5-893.5)+(-1.280151+(-0.496485--0.455685))+0-565.5--0.288404999999943</f>
        <v>2023.5674539999998</v>
      </c>
      <c r="T358" s="3">
        <f>2504.4+(948.8-806.3)+(0+(0-0))+0-532.5-0</f>
        <v>2114.4</v>
      </c>
      <c r="U358" s="3">
        <f>2521.5+(1005.9-849.7)+(-2.57193+(-1.026018--0.866694))+0-537.7--0.548454000000086</f>
        <v>2137.8172</v>
      </c>
      <c r="V358" s="3">
        <f>2538.2+(1019-950.4)+(1.294482+(0.51969-0.484704))+0-480.1-0.244850999999951</f>
        <v>2127.7846169999998</v>
      </c>
      <c r="W358" s="3">
        <f>2683.9+(1078.6-1036.1)+(1.368789+(0.550086-0.528411))+0-580-0.295799999999941</f>
        <v>2147.4946640000003</v>
      </c>
      <c r="X358" s="3">
        <f>2983.5+(1350.2-1325.3)+(1.521585+(0.688602-0.675903))+0-609.8-0.310997999999938</f>
        <v>2399.8232859999998</v>
      </c>
      <c r="Y358" s="3">
        <f>2994.5+(1138-1335.8)+(-1.527195+(-0.58038--0.681258))+0-445.3--0.227102999999955</f>
        <v>2350.2007859999999</v>
      </c>
      <c r="Z358" s="3">
        <f>2833.7+(1017.6-1051)+(1.445187+(0.518976-0.53601))+0-620-0.316199999999937</f>
        <v>2181.4119529999998</v>
      </c>
      <c r="AA358" s="3">
        <f>2723.8+(685.8-814.3)+(-1.389138+(-0.349758--0.415293))+0-516.2--0.263261999999948</f>
        <v>2078.0396590000005</v>
      </c>
      <c r="AB358" s="3">
        <f>2697.3+(808.5-745.7)+(-11.004984+(-3.29868--3.042456))+0-686.3--2.80010399999994</f>
        <v>2065.3388960000002</v>
      </c>
      <c r="AC358" s="3">
        <f>2665.4+(562-700.4)+(-8.156124+(-1.71972--2.143224))+0-602.8--1.84456800000007</f>
        <v>1918.3119479999998</v>
      </c>
      <c r="AD358">
        <v>2486.8000000000002</v>
      </c>
      <c r="AE358" s="3">
        <f>3124+(1510.1-1479.6)+(0+(0-0))+0-667.7-0</f>
        <v>2486.8000000000002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2512.4+(432.5-490.9)+(-3.843972+(-0.661725--0.751077))+0-653.1--0.999243000000038</f>
        <v>1798.1446229999999</v>
      </c>
      <c r="G359" s="3">
        <f>2497+(368.8-406.9)+(-1.27347+(-0.188088--0.207519))+0-723.9--0.369188999999927</f>
        <v>1734.1151500000001</v>
      </c>
      <c r="H359" s="3">
        <f>2416.5+(441-554.9)+(0+(0-0))+0-606.5-0</f>
        <v>1696.1</v>
      </c>
      <c r="I359" s="3">
        <f>2390.9+(478.8-538.9)+(1.219359+(0.244188-0.274839))+0-674.3-0.343892999999932</f>
        <v>1657.3448150000004</v>
      </c>
      <c r="J359" s="3">
        <f>2236.2+(610.4-503)+(0+(0-0))+0-685.9-0</f>
        <v>1657.6999999999998</v>
      </c>
      <c r="K359" s="3">
        <f>2215.4+(522.3-467.2)+(1.129854+(0.266373-0.238272))+0-667.6-0.340475999999932</f>
        <v>1603.7174790000004</v>
      </c>
      <c r="L359" s="3">
        <f>2292.5+(414.4-385.6)+(-4.6767+(-0.845376--0.786624))+0-619--1.26275999999997</f>
        <v>1698.8273080000004</v>
      </c>
      <c r="M359" s="3">
        <f>2478+(573.1-481.8)+(3.79134+(0.876843-0.737154))+0-551.4-0.843642000000032</f>
        <v>2020.9873869999999</v>
      </c>
      <c r="N359" s="3">
        <f>2639+(895.1-719.5)+(2.69178+(0.913002-0.73389))+0-636.4-0.649128000000101</f>
        <v>2180.4217639999997</v>
      </c>
      <c r="O359" s="3">
        <f>2613.6+(1373-939.5)+(5.331744+(2.80092-1.91658))+0-654.4-1.33497599999997</f>
        <v>2397.5811079999999</v>
      </c>
      <c r="P359" s="3">
        <f>2576+(1257.7-1071)+(0+(0-0))+0-480.9-0</f>
        <v>2281.7999999999997</v>
      </c>
      <c r="Q359" s="3">
        <f>2530.6+(1271.7-1051.7)+(-1.290606+(-0.648567--0.536367))+0-531.5--0.271064999999946</f>
        <v>2217.9682589999998</v>
      </c>
      <c r="R359" s="3">
        <f>2517.6+(1169.1-882.6)+(0+(0-0))+0-653.3-0</f>
        <v>2150.8000000000002</v>
      </c>
      <c r="S359" s="3">
        <f>2389.2+(912.8-665.1)+(0+(0-0))+0-652.2-0</f>
        <v>1984.6999999999996</v>
      </c>
      <c r="T359" s="3">
        <f>2274.6+(1015.3-509)+(0+(0-0))+0-652.6-0</f>
        <v>2128.2999999999997</v>
      </c>
      <c r="U359" s="3">
        <f>2360.6+(991.6-645.5)+(-3.611718+(-1.517148--0.987615))+0-578.9--0.885717000000033</f>
        <v>2124.5444659999998</v>
      </c>
      <c r="V359" s="3">
        <f>2448.7+(685.3-684.2)+(4.995348+(1.398012-1.395768))+0-378.6-0.772343999999983</f>
        <v>2075.425248</v>
      </c>
      <c r="W359" s="3">
        <f>2562.1+(868.6-794.6)+(-1.306671+(-0.442986--0.405246))+0-547.8--0.279377999999944</f>
        <v>2087.2349669999999</v>
      </c>
      <c r="X359" s="3">
        <f>2578.1+(1341.3-989.9)+(0+(0-0))+0-521.8-0</f>
        <v>2407.6999999999998</v>
      </c>
      <c r="Y359" s="3">
        <f>2533.9+(1279.3-1015.5)+(-3.876867+(-1.957329--1.553715))+0-355.6--0.544068000000021</f>
        <v>2438.3635870000003</v>
      </c>
      <c r="Z359" s="3">
        <f>2383.8+(1090.3-804.4)+(-1.215738+(-0.556053--0.410244))+0-460.6--0.234905999999953</f>
        <v>2207.9733590000005</v>
      </c>
      <c r="AA359" s="3">
        <f>2358+(985.2-699.5)+(-1.20258+(-0.502452--0.356745))+0-655--0.334049999999934</f>
        <v>1987.685763</v>
      </c>
      <c r="AB359" s="3">
        <f>2338+(835.4-597.5)+(-5.9619+(-2.13027--1.523625))+0-618.7--1.57768499999991</f>
        <v>1952.2091399999999</v>
      </c>
      <c r="AC359" s="3">
        <f>2378.4+(618.3-573.4)+(-6.06492+(-1.576665--1.46217))+0-527--1.34384999999992</f>
        <v>1891.4644350000001</v>
      </c>
      <c r="AD359">
        <v>2667</v>
      </c>
      <c r="AE359" s="3">
        <f>2671+(1550.7-1066)+(0+(0-0))+0-488.7-0</f>
        <v>2667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2382.5+(648.7-499.3)+(-2.43015+(-0.661674--0.509286))+0-692--0.70584000000011</f>
        <v>1838.0233020000001</v>
      </c>
      <c r="G360" s="3">
        <f>2275.6+(628-503.7)+(-1.160556+(-0.32028--0.256887))+0-638.1--0.325430999999935</f>
        <v>1760.901482</v>
      </c>
      <c r="H360" s="3">
        <f>2095.1+(782.3-458.3)+(0+(0-0))+0-694.2-0</f>
        <v>1724.8999999999999</v>
      </c>
      <c r="I360" s="3">
        <f>2023.8+(844.4-537.9)+(2.064276+(0.861288-0.548658))+0-663.6-0.676872000000106</f>
        <v>1668.4000340000002</v>
      </c>
      <c r="J360" s="3">
        <f>2014+(718.8-490)+(5.1357+(1.83294-1.2495))+0-548.3-1.39816499999992</f>
        <v>1698.8209750000005</v>
      </c>
      <c r="K360" s="3">
        <f>2204.4+(647.8-495.7)+(5.62122+(1.65189-1.264035))+0-638.6-1.62842999999991</f>
        <v>1722.280645</v>
      </c>
      <c r="L360" s="3">
        <f>2290.5+(394.7-564.3)+(1.168155+(0.201297-0.287793))+0-449.8-0.229397999999954</f>
        <v>1671.9522610000001</v>
      </c>
      <c r="M360" s="3">
        <f>2445.9+(520.2-540.1)+(0+(0-0))+0-552.3-0</f>
        <v>1873.7</v>
      </c>
      <c r="N360" s="3">
        <f>2618.3+(767.1-653.3)+(0+(0-0))+0-563-0</f>
        <v>2169.1000000000004</v>
      </c>
      <c r="O360" s="3">
        <f>2489.3+(1176.8-733.9)+(2.539086+(1.200336-0.748578))+0-551.6-0.562632000000088</f>
        <v>2383.0282120000002</v>
      </c>
      <c r="P360" s="3">
        <f>2455.5+(1303-968)+(-1.252305+(-0.66453--0.49368))+0-421.7--0.215066999999957</f>
        <v>2367.5919120000003</v>
      </c>
      <c r="Q360" s="3">
        <f>2436.1+(1378.4-1061.4)+(-2.484822+(-1.405968--1.082628))+0-479--0.488580000000076</f>
        <v>2271.7804180000003</v>
      </c>
      <c r="R360" s="3">
        <f>2418.7+(1090.6-969.1)+(-2.467074+(-1.112412--0.988482))+0-460.7--0.469914000000073</f>
        <v>2077.3789100000004</v>
      </c>
      <c r="S360" s="3">
        <f>2417+(1048.6-727.6)+(-1.23267+(-0.534786--0.371076))+0-597.7--0.304826999999939</f>
        <v>2139.208447</v>
      </c>
      <c r="T360" s="3">
        <f>2419.8+(1036.4-752.2)+(-4.936392+(-2.114256--1.534488))+0-574--1.17095999999997</f>
        <v>2125.6547999999998</v>
      </c>
      <c r="U360" s="3">
        <f>2428+(883.5-738.9)+(0+(0-0))+0-395.7-0</f>
        <v>2176.9</v>
      </c>
      <c r="V360" s="3">
        <f>2416.6+(927.8-701.8)+(-2.464932+(-0.946356--0.715836))+0-611.9--0.624138000000098</f>
        <v>2028.628686</v>
      </c>
      <c r="W360" s="3">
        <f>2428.1+(649.3-632.5)+(-1.238331+(-0.331143--0.322575))+0-456.8--0.232967999999954</f>
        <v>1987.0860689999995</v>
      </c>
      <c r="X360" s="3">
        <f>2938.6+(1293.4-1077.3)+(-1.498686+(-0.659634--0.549423))+0-658.1--0.335630999999933</f>
        <v>2495.3267339999998</v>
      </c>
      <c r="Y360" s="3">
        <f>3270.1+(1545.2-1603)+(-3.335502+(-1.576104--1.63506))+0-665.2--0.678504000000106</f>
        <v>2544.5019580000003</v>
      </c>
      <c r="Z360" s="3">
        <f>3001.9+(1394.8-1498.2)+(-7.654845+(-3.55674--3.82041))+0-479.2--1.22195999999993</f>
        <v>2413.1307849999998</v>
      </c>
      <c r="AA360" s="3">
        <f>2668.1+(1149.2-1107.2)+(-2.721462+(-1.172184--1.129344))+0-491--0.500820000000078</f>
        <v>2216.8365180000001</v>
      </c>
      <c r="AB360" s="3">
        <f>2645.2+(1102.6-956.9)+(-4.047156+(-1.686978--1.464057))+0-697.3--1.06686900000004</f>
        <v>2090.3967919999996</v>
      </c>
      <c r="AC360" s="3">
        <f>2500.3+(862.6-878.5)+(-3.825459+(-1.319778--1.344105))+0-532.2--0.814266000000031</f>
        <v>1949.2131340000001</v>
      </c>
      <c r="AD360">
        <v>2325.7999999999997</v>
      </c>
      <c r="AE360" s="3">
        <f>3232+(1720.7-1796.9)+(0+(0-0))+0-830-0</f>
        <v>2325.8000000000002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2379.4+(661.5-501.9)+(-2.426988+(-0.67473--0.511938))+0-711.6--0.725832000000114</f>
        <v>1825.5360520000004</v>
      </c>
      <c r="G361" s="3">
        <f>2350+(442.3-329.5)+(1.1985+(0.225573-0.168045))+0-745.6-0.380255999999924</f>
        <v>1718.0757720000001</v>
      </c>
      <c r="H361" s="3">
        <f>2350.6+(411.1-319.7)+(-3.596418+(-0.628983--0.489141))+0-776.8--1.18850400000004</f>
        <v>1662.6522439999999</v>
      </c>
      <c r="I361" s="3">
        <f>2208.2+(531.6-283.1)+(-2.252364+(-0.542232--0.288762))+0-793.1--0.808962000000127</f>
        <v>1661.9031279999999</v>
      </c>
      <c r="J361" s="3">
        <f>2217.2+(415.9-339.2)+(-3.392316+(-0.636327--0.518976))+0-653.2--0.999396000000038</f>
        <v>1638.1897289999997</v>
      </c>
      <c r="K361" s="3">
        <f>2334.1+(490.2-277.1)+(3.571173+(0.750006-0.423963))+0-883.7-1.35206100000005</f>
        <v>1666.0451549999996</v>
      </c>
      <c r="L361" s="3">
        <f>2397+(259.2-276.9)+(-2.44494+(-0.264384--0.282438))+0-721--0.735420000000115</f>
        <v>1656.6085340000002</v>
      </c>
      <c r="M361" s="3">
        <f>2395.9+(310.2-245)+(0+(0-0))+0-639.4-0</f>
        <v>1821.6999999999998</v>
      </c>
      <c r="N361" s="3">
        <f>2424+(837.2-599)+(2.47248+(0.853944-0.61098))+0-603.8-0.615876000000096</f>
        <v>2060.4995679999997</v>
      </c>
      <c r="O361" s="3">
        <f>2511.7+(1236.3-1021.3)+(3.842901+(1.891539-1.562589))+0-587.3-0.898569000000034</f>
        <v>2142.6732819999997</v>
      </c>
      <c r="P361" s="3">
        <f>2606.3+(1479-1241.2)+(0+(0-0))+0-637.9-0</f>
        <v>2206.2000000000003</v>
      </c>
      <c r="Q361" s="3">
        <f>2606.5+(1533.7-1284.7)+(-1.329315+(-0.782187--0.655197))+0-639.1--0.325940999999935</f>
        <v>2215.269636</v>
      </c>
      <c r="R361" s="3">
        <f>2695.8+(1255-1280.9)+(-10.998864+(-5.1204--5.226072))+0-625.2--2.55081599999995</f>
        <v>2036.357624</v>
      </c>
      <c r="S361" s="3">
        <f>2566.7+(896.1-900.1)+(-5.236068+(-1.828044--1.836204))+0-624.9--1.27479599999997</f>
        <v>1933.8468879999998</v>
      </c>
      <c r="T361" s="3">
        <f>2569.3+(702.1-725.6)+(1.310343+(0.358071-0.370056))+0-599-0.305489999999939</f>
        <v>1947.7928680000002</v>
      </c>
      <c r="U361" s="3">
        <f>2433.3+(544.2-507.4)+(-7.445898+(-1.665252--1.552644))+0-575.3--1.76041800000007</f>
        <v>1889.0019120000006</v>
      </c>
      <c r="V361" s="3">
        <f>2329.4+(275.4-363.9)+(-7.127964+(-0.842724--1.113534))+0-398.4--1.21910400000005</f>
        <v>1836.8619500000002</v>
      </c>
      <c r="W361" s="3">
        <f>2298.8+(386-330)+(-3.517164+(-0.59058--0.5049))+0-503.9--0.770967000000029</f>
        <v>1848.068123</v>
      </c>
      <c r="X361" s="3">
        <f>2360.8+(805-481.2)+(-1.204008+(-0.41055--0.245412))+0-650.6--0.331805999999934</f>
        <v>2032.9626600000004</v>
      </c>
      <c r="Y361" s="3">
        <f>2511.1+(744-500.6)+(-5.122644+(-1.51776--1.021224))+0-589.8--1.20319199999997</f>
        <v>2160.2840120000001</v>
      </c>
      <c r="Z361" s="3">
        <f>2522.7+(827.1-496.4)+(1.286577+(0.421821-0.253164))+0-764.2-0.389741999999922</f>
        <v>2090.265492</v>
      </c>
      <c r="AA361" s="3">
        <f>2506.9+(641.9-332.4)+(-3.835557+(-0.982107--0.508572))+0-773.2--1.18299600000004</f>
        <v>2040.0739040000001</v>
      </c>
      <c r="AB361" s="3">
        <f>2476.6+(481.4-185)+(-1.263066+(-0.245514--0.09435))+0-812.4--0.414323999999918</f>
        <v>1959.6000939999999</v>
      </c>
      <c r="AC361" s="3">
        <f>2435.5+(339.6-199.3)+(-8.694735+(-1.212372--0.711501))+0-722.6--2.57968200000001</f>
        <v>1846.5840760000001</v>
      </c>
      <c r="AD361">
        <v>2088.6000000000004</v>
      </c>
      <c r="AE361" s="3">
        <f>2388+(926.1-611.3)+(0+(0-0))+0-614.2-0</f>
        <v>2088.6000000000004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2243.2+(468.3-152.9)+(-2.288064+(-0.477666--0.155958))+0-832.5--0.849150000000133</f>
        <v>1724.3393780000004</v>
      </c>
      <c r="G362" s="3">
        <f>2068.4+(526.8-144.7)+(-4.219536+(-1.074672--0.295188))+0-795.7--1.62322799999997</f>
        <v>1651.4242079999997</v>
      </c>
      <c r="H362" s="3">
        <f>2042.6+(458.5-144.8)+(-3.125178+(-0.701505--0.221544))+0-746.8--1.14260400000004</f>
        <v>1607.0374650000001</v>
      </c>
      <c r="I362" s="3">
        <f>2043.4+(493-129.6)+(-4.168536+(-1.00572--0.264384))+0-847.3--1.72849199999996</f>
        <v>1556.31862</v>
      </c>
      <c r="J362" s="3">
        <f>2041.8+(317.1-165.3)+(3.123954+(0.485163-0.252909))+0-634.4-0.970632000000037</f>
        <v>1561.5855759999999</v>
      </c>
      <c r="K362" s="3">
        <f>2037.4+(474-106.1)+(4.156296+(0.96696-0.216444))+0-839.2-1.71196799999996</f>
        <v>1569.2948440000002</v>
      </c>
      <c r="L362" s="3">
        <f>2051+(421.5-169.6)+(-1.04601+(-0.214965--0.086496))+0-790.4--0.40310399999992</f>
        <v>1511.7286250000002</v>
      </c>
      <c r="M362" s="3">
        <f>2048.9+(447.8-167.7)+(-1.044939+(-0.228378--0.085527))+0-751.4--0.383213999999924</f>
        <v>1576.7954239999999</v>
      </c>
      <c r="N362" s="3">
        <f>2093.3+(494.8-222.2)+(-3.202749+(-0.757044--0.339966))+0-692.3--1.05921900000004</f>
        <v>1671.0393920000001</v>
      </c>
      <c r="O362" s="3">
        <f>2284.5+(315.3-221.9)+(0+(0-0))+0-592.2-0</f>
        <v>1785.7</v>
      </c>
      <c r="P362" s="3">
        <f>2276.6+(427.3-205.2)+(4.644264+(0.871692-0.418608))+0-651.4-1.32885599999997</f>
        <v>1851.0684919999997</v>
      </c>
      <c r="Q362" s="3">
        <f>2277.9+(456.4-245.8)+(-1.161729+(-0.232764--0.125358))+0-626.9--0.319718999999936</f>
        <v>1860.6505839999998</v>
      </c>
      <c r="R362" s="3">
        <f>2262.1+(367.4-168.5)+(-5.768355+(-0.93687--0.429675))+0-658.3--1.6786649999999</f>
        <v>1798.1031150000001</v>
      </c>
      <c r="S362" s="3">
        <f>2188.9+(334.5-200.8)+(-1.116339+(-0.170595--0.102408))+0-584.1--0.297890999999941</f>
        <v>1737.6133649999999</v>
      </c>
      <c r="T362" s="3">
        <f>2189.9+(314.3-181.3)+(-5.584245+(-0.801465--0.462315))+0-611.8--1.56008999999991</f>
        <v>1706.7366950000003</v>
      </c>
      <c r="U362" s="3">
        <f>2187.7+(287.6-212)+(-1.115727+(-0.146676--0.10812))+0-566.1--0.288710999999943</f>
        <v>1696.3344279999999</v>
      </c>
      <c r="V362" s="3">
        <f>2185.3+(304.4-210.3)+(-1.114503+(-0.155244--0.107253))+0-579.7--0.295646999999941</f>
        <v>1698.8331529999998</v>
      </c>
      <c r="W362" s="3">
        <f>2205.8+(414.1-156.9)+(1.124958+(0.211191-0.080019))+0-733-0.373829999999926</f>
        <v>1730.8823000000002</v>
      </c>
      <c r="X362" s="3">
        <f>2287.6+(553.5-217.4)+(0+(0-0))+0-673.2-0</f>
        <v>1950.4999999999998</v>
      </c>
      <c r="Y362" s="3">
        <f>2263.2+(888.3-372.5)+(-5.77116+(-2.265165--0.949875))+0-727.9--1.85614499999989</f>
        <v>2045.8696950000001</v>
      </c>
      <c r="Z362" s="3">
        <f>2144.8+(1083.7-488)+(0+(0-0))+0-721.9-0</f>
        <v>2018.6</v>
      </c>
      <c r="AA362" s="3">
        <f>2104+(1136.7-569.9)+(-6.43824+(-3.478302--1.743894))+0-687.6--2.10405600000008</f>
        <v>1977.1314080000002</v>
      </c>
      <c r="AB362" s="3">
        <f>2058.4+(1034-544.4)+(-1.049784+(-0.52734--0.277644))+0-640.8--0.326807999999935</f>
        <v>1906.2273279999999</v>
      </c>
      <c r="AC362" s="3">
        <f>2059.7+(892.8-364)+(-4.201788+(-1.821312--0.74256))+0-769.8--1.57039199999997</f>
        <v>1814.9898519999999</v>
      </c>
      <c r="AD362">
        <v>2086</v>
      </c>
      <c r="AE362" s="3">
        <f>2287+(783.9-280.9)+(0+(0-0))+0-704-0</f>
        <v>2086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2029.4+(485.9-105.4)+(-2.069988+(-0.495618--0.107508))+0-708.3--0.722466000000113</f>
        <v>1699.8643680000002</v>
      </c>
      <c r="G363" s="3">
        <f>1923.8+(501.4-97.6)+(-1.962276+(-0.511428--0.099552))+0-680.9--0.694518000000109</f>
        <v>1645.020366</v>
      </c>
      <c r="H363" s="3">
        <f>1880.4+(562.9-80)+(0+(0-0))+0-763.8-0</f>
        <v>1599.5000000000002</v>
      </c>
      <c r="I363" s="3">
        <f>1843+(521.1-85.5)+(-2.81979+(-0.797283--0.130815))+0-731.3--1.11888900000004</f>
        <v>1544.9326310000001</v>
      </c>
      <c r="J363" s="3">
        <f>1824.3+(524.4-75.5)+(0.930393+(0.267444-0.038505))+0-733.3-0.373982999999926</f>
        <v>1540.6853490000001</v>
      </c>
      <c r="K363" s="3">
        <f>1824.1+(635.8-77.7)+(2.790873+(0.972774-0.118881))+0-838.4-1.28275200000005</f>
        <v>1546.1620139999995</v>
      </c>
      <c r="L363" s="3">
        <f>1910.9+(482.1-128.9)+(-4.872795+(-1.229355--0.328695))+0-734.5--1.87297499999989</f>
        <v>1525.6995200000003</v>
      </c>
      <c r="M363" s="3">
        <f>2003.5+(394.9-140.2)+(-4.08714+(-0.805596--0.286008))+0-565.2--1.15300799999998</f>
        <v>1689.5462799999996</v>
      </c>
      <c r="N363" s="3">
        <f>2147.1+(582.5-153)+(0+(0-0))+0-642.8-0</f>
        <v>1933.8</v>
      </c>
      <c r="O363" s="3">
        <f>2270.2+(537.5-119.1)+(1.157802+(0.274125-0.060741))+0-652.7-0.332876999999934</f>
        <v>2036.9383089999999</v>
      </c>
      <c r="P363" s="3">
        <f>2277.4+(433.9-167.5)+(0+(0-0))+0-458-0</f>
        <v>2085.8000000000002</v>
      </c>
      <c r="Q363" s="3">
        <f>2274.2+(597.2-181.6)+(0+(0-0))+0-598-0</f>
        <v>2091.7999999999997</v>
      </c>
      <c r="R363" s="3">
        <f>2127.8+(438.3-211.6)+(-4.340712+(-0.894132--0.431664))+0-469.9--0.958595999999979</f>
        <v>1880.755416</v>
      </c>
      <c r="S363" s="3">
        <f>2117.5+(525.1-207.8)+(-3.239775+(-0.803403--0.317934))+0-490.8--0.750924000000028</f>
        <v>1941.02568</v>
      </c>
      <c r="T363" s="3">
        <f>2115.7+(527.9-214.2)+(-1.079007+(-0.269229--0.109242))+0-543--0.276929999999945</f>
        <v>1885.4379359999998</v>
      </c>
      <c r="U363" s="3">
        <f>2119+(574-198)+(0+(0-0))+0-561-0</f>
        <v>1934</v>
      </c>
      <c r="V363" s="3">
        <f>2110.2+(612.6-254.5)+(-3.228606+(-0.937278--0.389385))+0-627.4--0.959922000000036</f>
        <v>1838.0834229999996</v>
      </c>
      <c r="W363" s="3">
        <f>2117.5+(597.2-262.1)+(0+(0-0))+0-551.4-0</f>
        <v>1901.1999999999998</v>
      </c>
      <c r="X363" s="3">
        <f>2166+(840.1-311)+(-1.10466+(-0.428451--0.15861))+0-631.2--0.321911999999936</f>
        <v>2062.8474110000002</v>
      </c>
      <c r="Y363" s="3">
        <f>2213.1+(806.9-285.6)+(-3.386043+(-1.234557--0.436968))+0-555.2--0.849456000000032</f>
        <v>2175.8658239999995</v>
      </c>
      <c r="Z363" s="3">
        <f>2197.4+(877.8-378.6)+(-3.362022+(-1.343034--0.579258))+0-620.3--0.949059000000036</f>
        <v>2073.1232610000002</v>
      </c>
      <c r="AA363" s="3">
        <f>2135.2+(866.6-401)+(-2.177904+(-0.883932--0.40902))+0-531.5--0.542130000000085</f>
        <v>2067.1893140000002</v>
      </c>
      <c r="AB363" s="3">
        <f>2136.5+(925.6-310.9)+(-5.448075+(-2.36028--0.792795))+0-767.9--1.95814499999989</f>
        <v>1978.2425849999997</v>
      </c>
      <c r="AC363" s="3">
        <f>2135.6+(745.5-241.1)+(-3.267468+(-1.140615--0.368883))+0-831.8--1.27265400000005</f>
        <v>1805.433454</v>
      </c>
      <c r="AD363">
        <v>2185</v>
      </c>
      <c r="AE363" s="3">
        <f>2201+(864.5-261.9)+(0+(0-0))+0-618.6-0</f>
        <v>2185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2012.8+(510.4-248.8)+(-5.13264+(-1.30152--0.63444))+0-702.5--1.7913749999999</f>
        <v>1567.8916549999999</v>
      </c>
      <c r="G364" s="3">
        <f>1890.6+(751.4-267.7)+(-4.82103+(-1.91607--0.682635))+0-833.4--2.12516999999988</f>
        <v>1536.9707049999993</v>
      </c>
      <c r="H364" s="3">
        <f>1828.1+(766.6-288.8)+(-0.932331+(-0.390966--0.147288))+0-784.4--0.40004399999992</f>
        <v>1520.7240350000002</v>
      </c>
      <c r="I364" s="3">
        <f>1827.5+(706-304.8)+(-2.796075+(-1.08018--0.466344))+0-688--1.05264000000004</f>
        <v>1538.3427289999997</v>
      </c>
      <c r="J364" s="3">
        <f>1824.4+(759.7-281.3)+(-2.791332+(-1.162341--0.430389))+0-737.7--1.12868100000004</f>
        <v>1562.7053970000004</v>
      </c>
      <c r="K364" s="3">
        <f>1826.5+(605-220.5)+(-2.794545+(-0.92565--0.337365))+0-661.4--1.01194200000004</f>
        <v>1547.229112</v>
      </c>
      <c r="L364" s="3">
        <f>1835.4+(539.5-283.9)+(-1.872108+(-0.55029--0.289578))+0-646--0.658920000000103</f>
        <v>1443.5261000000003</v>
      </c>
      <c r="M364" s="3">
        <f>1946.1+(638-249.8)+(0.992511+(0.32538-0.127398))+0-656-0.334559999999933</f>
        <v>1679.1559329999998</v>
      </c>
      <c r="N364" s="3">
        <f>2010.4+(572.5-232.3)+(1.025304+(0.291975-0.118473))+0-513.3-0.261782999999948</f>
        <v>1838.2370229999999</v>
      </c>
      <c r="O364" s="3">
        <f>2009.1+(688.9-182.8)+(0+(0-0))+0-597.6-0</f>
        <v>1917.6</v>
      </c>
      <c r="P364" s="3">
        <f>2011.4+(568.4-194)+(-3.077442+(-0.869652--0.29682))+0-414.3--0.633879000000024</f>
        <v>1968.4836050000001</v>
      </c>
      <c r="Q364" s="3">
        <f>2018.8+(472.1-206.1)+(0+(0-0))+0-342-0</f>
        <v>1942.8000000000002</v>
      </c>
      <c r="R364" s="3">
        <f>2025.8+(396.1-343.1)+(-2.066316+(-0.404022--0.349962))+0-247--0.251940000000039</f>
        <v>1829.9315640000004</v>
      </c>
      <c r="S364" s="3">
        <f>2033.3+(335.4-367.5)+(-2.073966+(-0.342108--0.37485))+0-234.5--0.239190000000037</f>
        <v>1764.8979659999998</v>
      </c>
      <c r="T364" s="3">
        <f>2022.2+(393.1-304.8)+(0+(0-0))+0-342.6-0</f>
        <v>1767.9</v>
      </c>
      <c r="U364" s="3">
        <f>2021.9+(283.6-228.8)+(-1.031169+(-0.144636--0.116688))+0-365.3--0.186302999999963</f>
        <v>1710.5271860000005</v>
      </c>
      <c r="V364" s="3">
        <f>2026.3+(242.1-268.9)+(-1.033413+(-0.123471--0.137139))+0-325.5--0.166004999999967</f>
        <v>1673.14626</v>
      </c>
      <c r="W364" s="3">
        <f>2028.4+(210.6-279.9)+(-2.068968+(-0.214812--0.285498))+0-234.6--0.239292000000037</f>
        <v>1722.7410100000002</v>
      </c>
      <c r="X364" s="3">
        <f>2048.1+(555.9-343.8)+(-1.044531+(-0.283509--0.175338))+0-314.9--0.160598999999968</f>
        <v>1944.3078969999999</v>
      </c>
      <c r="Y364" s="3">
        <f>2136.4+(741.6-241.4)+(-5.44782+(-1.89108--0.61557))+0-600.9--1.53229499999991</f>
        <v>2030.5089650000004</v>
      </c>
      <c r="Z364" s="3">
        <f>2132.5+(596.3-246.5)+(-6.52545+(-1.824678--0.75429))+0-517.2--1.58263200000006</f>
        <v>1959.0867940000001</v>
      </c>
      <c r="AA364" s="3">
        <f>2068.4+(633.9-226.9)+(-2.109768+(-0.646578--0.231438))+0-551.9--0.562938000000088</f>
        <v>1921.5380300000002</v>
      </c>
      <c r="AB364" s="3">
        <f>2000.9+(829.3-216.1)+(-4.081836+(-1.691772--0.440844))+0-770--1.57079999999997</f>
        <v>1840.3380359999996</v>
      </c>
      <c r="AC364" s="3">
        <f>1972.5+(702.7-285.2)+(-2.01195+(-0.716754--0.290904))+0-658.2--0.671364000000105</f>
        <v>1730.0335639999998</v>
      </c>
      <c r="AD364">
        <v>2036.6</v>
      </c>
      <c r="AE364" s="3">
        <f>2196+(674.7-218.5)+(0+(0-0))+0-615.6-0</f>
        <v>2036.6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1965.8+(504.9-202.8)+(1.002558+(0.257499-0.103428))+0-677.1-0.345320999999931</f>
        <v>1591.6113080000002</v>
      </c>
      <c r="G365" s="3">
        <f>1942.7+(517.2-254.1)+(-4.953885+(-1.31886--0.647955))+0-702.7--1.7918849999999</f>
        <v>1499.2670950000002</v>
      </c>
      <c r="H365" s="3">
        <f>1796.1+(653-248)+(-0.916011+(-0.33303--0.12648))+0-746.4--0.380663999999924</f>
        <v>1453.9581029999997</v>
      </c>
      <c r="I365" s="3">
        <f>1778.4+(705.8-247.4)+(-1.813968+(-0.719916--0.252348))+0-826.7--0.843234000000132</f>
        <v>1408.6616980000003</v>
      </c>
      <c r="J365" s="3">
        <f>1715.8+(566.4-219.8)+(2.625174+(0.866592-0.336294))+0-659.9-1.00964700000004</f>
        <v>1404.6458249999998</v>
      </c>
      <c r="K365" s="3">
        <f>1660.1+(604-253.5)+(0.846651+(0.30804-0.129285))+0-629.1-0.320840999999936</f>
        <v>1382.2045649999998</v>
      </c>
      <c r="L365" s="3">
        <f>1644.8+(734-323.9)+(-3.355392+(-1.49736--0.660756))+0-759.7--1.54978799999997</f>
        <v>1292.5577920000001</v>
      </c>
      <c r="M365" s="3">
        <f>1635.7+(569.8-356.9)+(0.834207+(0.290598-0.182019))+0-503.3-0.256682999999949</f>
        <v>1345.9861030000002</v>
      </c>
      <c r="N365" s="3">
        <f>1833.9+(468.1-281)+(1.870578+(0.477462-0.28662))+0-496.7-0.506634000000079</f>
        <v>1525.8547859999999</v>
      </c>
      <c r="O365" s="3">
        <f>1932.5+(624.4-225.9)+(-0.985575+(-0.318444--0.115209))+0-651.5--0.332264999999934</f>
        <v>1678.6434549999999</v>
      </c>
      <c r="P365" s="3">
        <f>2060.8+(530.6-279)+(-4.204032+(-1.082424--0.56916))+0-601.5--1.22705999999997</f>
        <v>1707.4097640000002</v>
      </c>
      <c r="Q365" s="3">
        <f>2066.9+(618.9-347.7)+(-1.054119+(-0.315639--0.177327))+0-543.7--0.277286999999945</f>
        <v>1793.4848559999998</v>
      </c>
      <c r="R365" s="3">
        <f>2065.7+(475.6-368)+(-6.321042+(-1.455336--1.12608))+0-523--1.60038000000006</f>
        <v>1645.2500819999998</v>
      </c>
      <c r="S365" s="3">
        <f>1997.3+(485.9-384.2)+(1.018623+(0.247809-0.195942))+0-510.8-0.260507999999948</f>
        <v>1589.0099820000003</v>
      </c>
      <c r="T365" s="3">
        <f>1968.7+(568.6-347)+(-1.004037+(-0.289986--0.17697))+0-629.2--0.320891999999936</f>
        <v>1560.3038390000002</v>
      </c>
      <c r="U365" s="3">
        <f>1936.2+(248.5-341.9)+(-0.987462+(-0.126735--0.174369))+0-297.3--0.15162299999997</f>
        <v>1544.7117950000002</v>
      </c>
      <c r="V365" s="3">
        <f>1899.4+(395-280.1)+(0+(0-0))+0-470.2-0</f>
        <v>1544.1000000000001</v>
      </c>
      <c r="W365" s="3">
        <f>1902.6+(485.7-265.4)+(-3.881304+(-0.990828--0.541416))+0-517.7--1.05610799999998</f>
        <v>1601.9253920000001</v>
      </c>
      <c r="X365" s="3">
        <f>2013.9+(573.5-374.6)+(-3.081267+(-0.877455--0.573138))+0-386--0.590580000000022</f>
        <v>1824.0049960000001</v>
      </c>
      <c r="Y365" s="3">
        <f>2079.8+(965.5-584.2)+(-3.182094+(-1.477215--0.893826))+0-524.3--0.80217900000003</f>
        <v>1933.8366960000003</v>
      </c>
      <c r="Z365" s="3">
        <f>2060.7+(1000.2-521)+(-5.254785+(-2.55051--1.32855))+0-644--1.64219999999991</f>
        <v>1891.0654549999997</v>
      </c>
      <c r="AA365" s="3">
        <f>2011.1+(1029.8-550.6)+(-4.102644+(-2.100792--1.123224))+0-634--1.29335999999997</f>
        <v>1852.5131479999998</v>
      </c>
      <c r="AB365" s="3">
        <f>2008.3+(1079.4-501)+(-4.096932+(-2.201976--1.02204))+0-769.9--1.57059599999997</f>
        <v>1813.0937279999998</v>
      </c>
      <c r="AC365" s="3">
        <f>1882.6+(941-381.6)+(-2.880378+(-1.43973--0.583848))+0-706.4--1.08079200000004</f>
        <v>1732.9445319999998</v>
      </c>
      <c r="AD365">
        <v>1876.5</v>
      </c>
      <c r="AE365" s="3">
        <f>2056+(977.3-494.4)+(0+(0-0))+0-662.4-0</f>
        <v>1876.5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3938.2+(81.9-1809)+(-10.04241+(-0.208845--4.61295))+0-521.4--1.32956999999992</f>
        <v>1685.3912649999997</v>
      </c>
      <c r="G1" s="3">
        <f>3862.8+(163.4-1766.4)+(-5.910084+(-0.250002--2.702592))+0-695.1--1.06350300000004</f>
        <v>1562.3060090000001</v>
      </c>
      <c r="H1" s="3">
        <f>3708.2+(219.6-1914.9)+(-1.891182+(-0.111996--0.976599))+0-492.9--0.25137899999995</f>
        <v>1519.2247999999997</v>
      </c>
      <c r="I1" s="3">
        <f>3439.5+(270.9-1689.1)+(-8.770725+(-0.690795--4.307205))+0-588.7--1.50118499999991</f>
        <v>1428.94687</v>
      </c>
      <c r="J1" s="3">
        <f>3305.7+(253.4-1513.8)+(-1.685907+(-0.129234--0.772038))+0-682.7--0.348176999999931</f>
        <v>1361.9050739999998</v>
      </c>
      <c r="K1" s="3">
        <f>3198.5+(254.9-1497.6)+(-8.156175+(-0.649995--3.81888))+0-553--1.41014999999992</f>
        <v>1399.2228600000001</v>
      </c>
      <c r="L1" s="3">
        <f>2948.1+(247.8-1221.1)+(0+(0-0))+0-634.8-0</f>
        <v>1340</v>
      </c>
      <c r="M1" s="3">
        <f>3229.2+(169.3-1424.2)+(0+(0-0))+0-568.6-0</f>
        <v>1405.6999999999998</v>
      </c>
      <c r="N1" s="3">
        <f>3166.9+(206.3-1211.2)+(-4.845357+(-0.315639--1.853136))+0-668.4--1.02265200000004</f>
        <v>1491.3147920000001</v>
      </c>
      <c r="O1" s="3">
        <f>3219.2+(217.6-1466.7)+(-1.641792+(-0.110976--0.748017))+0-529.6--0.270095999999946</f>
        <v>1439.7653449999996</v>
      </c>
      <c r="P1" s="3">
        <f>3402.4+(284.9-1667.5)+(-5.205672+(-0.435897--2.551275))+0-610--0.933300000000035</f>
        <v>1407.6430060000002</v>
      </c>
      <c r="Q1" s="3">
        <f>2974.9+(238.8-1291.2)+(-4.551597+(-0.365364--1.975536))+0-477.6--0.730728000000028</f>
        <v>1442.6893030000001</v>
      </c>
      <c r="R1" s="3">
        <f>2944.1+(240.3-1051.6)+(-1.501491+(-0.122553--0.536316))+0-639.6--0.326195999999935</f>
        <v>1492.4384680000003</v>
      </c>
      <c r="S1" s="3">
        <f>2936+(252.6-1150.1)+(2.99472+(0.257652-1.173102))+0-574.4-0.585888000000092</f>
        <v>1465.593382</v>
      </c>
      <c r="T1" s="3">
        <f>2870.8+(249.6-1032.4)+(-4.392324+(-0.381888--1.579572))+0-633.3--0.968949000000036</f>
        <v>1452.4743089999999</v>
      </c>
      <c r="U1" s="3">
        <f>2794.4+(211.3-1007.7)+(-2.850288+(-0.215526--1.027854))+0-568.4--0.579768000000091</f>
        <v>1428.1418079999999</v>
      </c>
      <c r="V1" s="3">
        <f>2917.1+(241.4-1140.1)+(-1.487721+(-0.123114--0.581451))+0-588--0.29987999999994</f>
        <v>1429.6704960000002</v>
      </c>
      <c r="W1" s="3">
        <f>3058+(222.1-1166.2)+(0+(0-0))+0-644.1-0</f>
        <v>1469.8000000000002</v>
      </c>
      <c r="X1" s="3">
        <f>3522.3+(189.7-1578.2)+(0+(0-0))+0-512.4-0</f>
        <v>1621.4</v>
      </c>
      <c r="Y1" s="3">
        <f>3794.3+(382.7-1932.9)+(-1.935093+(-0.195177--0.985779))+0-579.3--0.295442999999941</f>
        <v>1663.9509520000004</v>
      </c>
      <c r="Z1" s="3">
        <f>3654.4+(471.5-1954.4)+(1.863744+(0.240465-0.996744))+0-543.3-0.277082999999945</f>
        <v>1629.0303820000001</v>
      </c>
      <c r="AA1" s="3">
        <f>3727.3+(475-2024.2)+(0+(0-0))+0-609.7-0</f>
        <v>1568.4000000000003</v>
      </c>
      <c r="AB1" s="3">
        <f>3722.5+(411.7-1926.3)+(0+(0-0))+0-603.4-0</f>
        <v>1604.5</v>
      </c>
      <c r="AC1" s="3">
        <f>3772.7+(402.4-1893.3)+(-1.924077+(-0.205224--0.965583))+0-678.9--0.346238999999931</f>
        <v>1602.0825209999998</v>
      </c>
      <c r="AD1">
        <v>1873.4</v>
      </c>
      <c r="AE1" s="3">
        <f>3998.2+(592.3-1964.7)+(0+(0-0))+0-752.4-0</f>
        <v>1873.3999999999996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1677.0412604999999</v>
      </c>
      <c r="G2" s="3">
        <f>2911+(265-863)+(0+(0-0))+0-561-0</f>
        <v>1752</v>
      </c>
      <c r="H2" s="3">
        <f>2762.8+(277.7-852.3)+(-5.636112+(-0.566508--1.738692))+0-685.4--1.39821599999997</f>
        <v>1499.7342880000001</v>
      </c>
      <c r="I2" s="3">
        <f>2649.2+(301-909)+(-2.702184+(-0.30702--0.92718))+0-619.1--0.631482000000099</f>
        <v>1420.6494579999996</v>
      </c>
      <c r="J2" s="3">
        <f>2736.8+(272.3-901.7)+(0+(0-0))+0-687.4-0</f>
        <v>1420</v>
      </c>
      <c r="K2" s="3">
        <f>2537.4+(324.4-860)+(-3.882222+(-0.496332--1.3158))+0-623.8--0.954414000000036</f>
        <v>1375.8916600000002</v>
      </c>
      <c r="L2" s="3">
        <f>2519.7+(288.7-824.5)+(-2.570094+(-0.294474--0.84099))+0-621.8--0.634236000000099</f>
        <v>1360.710658</v>
      </c>
      <c r="M2" s="3">
        <f>2414+(286.1-665.4)+(-8.61798+(-1.021377--2.375478))+0-625.5--2.23303500000001</f>
        <v>1404.1691559999999</v>
      </c>
      <c r="N2" s="3">
        <f>2761.9+(130.1-892.1)+(4.225707+(0.199053-1.364913))+0-551.1-0.843183000000032</f>
        <v>1451.0166640000002</v>
      </c>
      <c r="O2" s="3">
        <f>3190.2+(87.7-1089.3)+(4.881006+(0.134181-1.666629))+0-630.5-0.964665000000036</f>
        <v>1560.4838930000001</v>
      </c>
      <c r="P2" s="3">
        <f>3196+(162-1464.3)+(3.25992+(0.16524-1.493586))+0-472.9-0.482358000000075</f>
        <v>1422.2492159999999</v>
      </c>
      <c r="Q2" s="3">
        <f>3099+(494.8-1237.8)+(-9.48294+(-1.514088--3.787668))+0-608.1--1.86078600000007</f>
        <v>1742.5514260000002</v>
      </c>
      <c r="R2" s="3">
        <f>3080.8+(458.3-1345.8)+(-1.571208+(-0.233733--0.686358))+0-519.6--0.264995999999947</f>
        <v>1672.8464130000002</v>
      </c>
      <c r="S2" s="3">
        <f>3239.1+(485.1-1389.2)+(3.303882+(0.494802-1.416984))+0-648.9-0.661878000000103</f>
        <v>1687.8198219999997</v>
      </c>
      <c r="T2" s="3">
        <f>3239.9+(473.9-1461)+(-4.957047+(-0.725067--2.23533))+0-602.8--0.922284000000035</f>
        <v>1647.4755</v>
      </c>
      <c r="U2" s="3">
        <f>3392.2+(432.6-1559.3)+(0+(0-0))+0-630.6-0</f>
        <v>1634.9</v>
      </c>
      <c r="V2" s="3">
        <f>3366.4+(262.9-1474.3)+(-5.150592+(-0.402237--2.255679))+0-532.4--0.814572000000031</f>
        <v>1620.117422</v>
      </c>
      <c r="W2" s="3">
        <f>3661.5+(266.6-1670.1)+(-7.46946+(-0.543864--3.407004))+0-608.3--1.24093199999997</f>
        <v>1646.3346120000001</v>
      </c>
      <c r="X2" s="3">
        <f>3808.7+(275.8-1810)+(-7.769748+(-0.562632--3.6924))+0-621.2--1.26724799999997</f>
        <v>1649.9272679999999</v>
      </c>
      <c r="Y2" s="3">
        <f>4042.3+(397.2-2031.3)+(-6.184719+(-0.607716--3.107889))+0-593.5--0.908055000000034</f>
        <v>1811.9235090000004</v>
      </c>
      <c r="Z2" s="3">
        <f>4225.4+(401.6-2095.1)+(-10.77477+(-1.02408--5.342505))+0-556.9--1.42009499999992</f>
        <v>1969.9637499999994</v>
      </c>
      <c r="AA2" s="3">
        <f>4397+(399.1-2247.3)+(-2.24247+(-0.203541--1.146123))+0-630.3--0.321452999999936</f>
        <v>1917.5215649999998</v>
      </c>
      <c r="AB2" s="3">
        <f>4092.6+(401.9-2039.1)+(-12.523356+(-1.229814--6.239646))+0-598.2--1.83049200000007</f>
        <v>1851.5169680000001</v>
      </c>
      <c r="AC2" s="3">
        <f>3768.6+(409-1801.4)+(-3.843972+(-0.41718--1.837428))+0-585.7--0.597414000000093</f>
        <v>1788.6736899999996</v>
      </c>
      <c r="AD2">
        <v>1984.9</v>
      </c>
      <c r="AE2" s="3">
        <f>4380+(408.3-2104.8)+(0+(0-0))+0-698.6-0</f>
        <v>1984.9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3776.4+(76.1-1697.2)+(-3.851928+(-0.077622--1.731144))+0-625.9--0.6384180000001</f>
        <v>1527.8400120000001</v>
      </c>
      <c r="G3" s="3">
        <f>3241.6+(204-1146.1)+(0+(0-0))+0-662.3-0</f>
        <v>1637.2</v>
      </c>
      <c r="H3" s="3">
        <f>2867+(262.8-1027.1)+(-5.84868+(-0.536112--2.095284))+0-562.7--1.14790799999998</f>
        <v>1536.8583999999998</v>
      </c>
      <c r="I3" s="3">
        <f>2833.3+(255.4-917.3)+(0+(0-0))+0-701.4-0</f>
        <v>1470</v>
      </c>
      <c r="J3" s="3">
        <f>2755.1+(276.6-1010.2)+(-7.025505+(-0.70533--2.57601))+0-575--1.46624999999992</f>
        <v>1442.8114249999999</v>
      </c>
      <c r="K3" s="3">
        <f>2770.5+(317.8-1007.6)+(5.65182+(0.648312-2.055504))+0-672.3-1.37149199999997</f>
        <v>1411.2731359999998</v>
      </c>
      <c r="L3" s="3">
        <f>2777.6+(302.1-1041.6)+(-4.249728+(-0.462213--1.593648))+0-604.3--0.924579000000035</f>
        <v>1431.606286</v>
      </c>
      <c r="M3" s="3">
        <f>2611+(260.6-804.3)+(-1.33161+(-0.132906--0.410193))+0-617.4--0.314873999999937</f>
        <v>1449.1605510000002</v>
      </c>
      <c r="N3" s="3">
        <f>2818.3+(136-864.2)+(0+(0-0))+0-617.2-0</f>
        <v>1472.9000000000003</v>
      </c>
      <c r="O3" s="3">
        <f>3295+(133.3-1380.4)+(-1.68045+(-0.067983--0.704004))+0-488.9--0.24933899999995</f>
        <v>1558.2049099999999</v>
      </c>
      <c r="P3" s="3">
        <f>3298+(623.6-1574.4)+(0+(0-0))+0-583.4-0</f>
        <v>1763.7999999999997</v>
      </c>
      <c r="Q3" s="3">
        <f>3281.8+(684.9-1699.9)+(0+(0-0))+0-575.5-0</f>
        <v>1691.3000000000002</v>
      </c>
      <c r="R3" s="3">
        <f>3596.9+(589.5-1942.6)+(-3.668838+(-0.60129--1.981452))+0-581.4--0.593028000000093</f>
        <v>1660.704352</v>
      </c>
      <c r="S3" s="3">
        <f>3715.9+(550.2-2036.6)+(0+(0-0))+0-575.4-0</f>
        <v>1654.1</v>
      </c>
      <c r="T3" s="3">
        <f>3683.4+(551.6-1924.8)+(1.878534+(0.281316-0.981648))+0-641.1-0.326960999999935</f>
        <v>1669.9512410000004</v>
      </c>
      <c r="U3" s="3">
        <f>3609.4+(446.4-1801.4)+(-3.681588+(-0.455328--1.837428))+0-605.3--0.617406000000096</f>
        <v>1647.4179180000001</v>
      </c>
      <c r="V3" s="3">
        <f>3951.6+(393.2-2075.2)+(2.015316+(0.200532-1.058352))+0-613.4-0.312833999999938</f>
        <v>1657.0446620000002</v>
      </c>
      <c r="W3" s="3">
        <f>4043.3+(400.6-2140.4)+(-2.062083+(-0.204306--1.091604))+0-639.5--0.326144999999935</f>
        <v>1663.1513599999998</v>
      </c>
      <c r="X3" s="3">
        <f>4138.5+(398.5-2324.3)+(2.110635+(0.203235-1.185393))+0-537.6-0.274175999999945</f>
        <v>1675.9543010000002</v>
      </c>
      <c r="Y3" s="3">
        <f>4199+(388.2-2141.4)+(2.14149+(0.197982-1.092114))+0-629.2-0.320891999999936</f>
        <v>1817.5264660000003</v>
      </c>
      <c r="Z3" s="3">
        <f>4284.2+(487.1-2184.1)+(-2.184942+(-0.248421--1.113891))+0-562.5--0.286874999999943</f>
        <v>2023.6674029999997</v>
      </c>
      <c r="AA3" s="3">
        <f>4247.2+(204.8-1981.4)+(0+(0-0))+0-520.8-0</f>
        <v>1949.7999999999995</v>
      </c>
      <c r="AB3" s="3">
        <f>4031.6+(125.6-1710.9)+(2.056116+(0.064056-0.872559))+0-566.6-0.288965999999943</f>
        <v>1880.658647</v>
      </c>
      <c r="AC3" s="3">
        <f>3678.6+(147.6-1455.7)+(-1.876086+(-0.075276--0.742407))+0-530.6--0.270605999999946</f>
        <v>1838.9616510000001</v>
      </c>
      <c r="AD3">
        <v>1820.3999999999996</v>
      </c>
      <c r="AE3" s="3">
        <f>4148+(556.2-2230.9)+(0+(0-0))+0-652.9-0</f>
        <v>1820.4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3748.7+(111.4-1519.7)+(-1.911837+(-0.056814--0.775047))+0-585--0.298349999999941</f>
        <v>1754.5047459999996</v>
      </c>
      <c r="G4" s="3">
        <f>3467.7+(109.7-1350.2)+(-5.305581+(-0.167841--2.065806))+0-586.6--0.897498000000034</f>
        <v>1638.089882</v>
      </c>
      <c r="H4" s="3">
        <f>3140.5+(141.6-1050.3)+(-3.20331+(-0.144432--1.071306))+0-669.3--0.682686000000107</f>
        <v>1560.9062500000002</v>
      </c>
      <c r="I4" s="3">
        <f>2702.1+(218-811.8)+(2.756142+(0.22236-0.828036))+0-622.7-0.635154000000099</f>
        <v>1487.1153120000001</v>
      </c>
      <c r="J4" s="3">
        <f>2620.6+(233.4-817.7)+(-2.673012+(-0.238068--0.834054))+0-586.4--0.598128000000093</f>
        <v>1448.4211019999998</v>
      </c>
      <c r="K4" s="3">
        <f>2471.6+(285.6-739.8)+(3.781548+(0.436968-1.131894))+0-586.5-0.897345000000034</f>
        <v>1433.089277</v>
      </c>
      <c r="L4" s="3">
        <f>2244.5+(290.3-470.6)+(-5.723475+(-0.740265--1.20003))+0-641--1.63454999999991</f>
        <v>1419.5708399999996</v>
      </c>
      <c r="M4" s="3">
        <f>2067.8+(365.3-369.5)+(2.109156+(0.372606-0.37689))+0-664.6-0.677892000000106</f>
        <v>1400.4269800000002</v>
      </c>
      <c r="N4" s="3">
        <f>2202.9+(238.8-473.1)+(0+(0-0))+0-487.4-0</f>
        <v>1481.2000000000003</v>
      </c>
      <c r="O4" s="3">
        <f>2379+(285.8-452.3)+(1.21329+(0.145758-0.230673))+0-651.8-0.332417999999934</f>
        <v>1561.4959569999999</v>
      </c>
      <c r="P4" s="3">
        <f>2897.4+(99-882.7)+(-1.477674+(-0.05049--0.450177))+0-532.2--0.271421999999946</f>
        <v>1580.6934349999997</v>
      </c>
      <c r="Q4" s="3">
        <f>3179.6+(183.1-1217.8)+(-3.243192+(-0.186762--1.242156))+0-527.3--0.537846000000084</f>
        <v>1615.9500479999999</v>
      </c>
      <c r="R4" s="3">
        <f>3226.1+(287.6-1397.5)+(-1.645311+(-0.146676--0.712725))+0-551.3--0.281162999999944</f>
        <v>1564.1019009999995</v>
      </c>
      <c r="S4" s="3">
        <f>3328.6+(509.7-1656.9)+(-5.092758+(-0.779841--2.535057))+0-582.7--0.891531000000034</f>
        <v>1596.2539889999994</v>
      </c>
      <c r="T4" s="3">
        <f>2966.7+(519.4-1298.9)+(-7.565085+(-1.32447--3.312195))+0-575--1.46624999999992</f>
        <v>1608.0888899999995</v>
      </c>
      <c r="U4" s="3">
        <f>3289.3+(440.2-1625.7)+(6.710172+(0.898008-3.316428))+0-551-1.12403999999998</f>
        <v>1555.9677120000003</v>
      </c>
      <c r="V4" s="3">
        <f>3350.1+(522.5-1664.4)+(1.708551+(0.266475-0.848844))+0-631.2-0.321911999999936</f>
        <v>1577.8042699999999</v>
      </c>
      <c r="W4" s="3">
        <f>3298.4+(343.1-1518.8)+(-3.364368+(-0.349962--1.549176))+0-551.3--0.562326000000088</f>
        <v>1569.7971720000005</v>
      </c>
      <c r="X4" s="3">
        <f>3381.6+(385.4-1596.7)+(-3.449232+(-0.393108--1.628634))+0-572.4--0.583848000000091</f>
        <v>1596.2701419999996</v>
      </c>
      <c r="Y4" s="3">
        <f>4145.6+(273.8-2110.8)+(2.114256+(0.139638-1.076508))+0-570.2-0.290801999999942</f>
        <v>1739.2865840000002</v>
      </c>
      <c r="Z4" s="3">
        <f>4898.9+(301.9-2821.8)+(0+(0-0))+0-552.8-0</f>
        <v>1826.1999999999996</v>
      </c>
      <c r="AA4" s="3">
        <f>4702+(413.3-2601.5)+(-4.79604+(-0.421566--2.65353))+0-640.3--0.653106000000102</f>
        <v>1871.5890300000003</v>
      </c>
      <c r="AB4" s="3">
        <f>4057+(427.8-2157.3)+(2.06907+(0.218178-1.100223))+0-531.4-0.271013999999946</f>
        <v>1797.0160110000002</v>
      </c>
      <c r="AC4" s="3">
        <f>3779.3+(444.5-1855.6)+(1.927443+(0.226695-0.946356))+0-619.7-0.316046999999937</f>
        <v>1749.3917350000002</v>
      </c>
      <c r="AD4">
        <v>2013</v>
      </c>
      <c r="AE4" s="3">
        <f>5200+(399.2-2935.2)+(0+(0-0))+0-651-0</f>
        <v>2013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3321.3+(183.4-1274.9)+(-5.081589+(-0.280602--1.950597))+0-579.3--0.886329000000033</f>
        <v>1647.974735</v>
      </c>
      <c r="G5" s="3">
        <f>3218.7+(137.2-1182.9)+(-3.283074+(-0.139944--1.206558))+0-582.5--0.594150000000093</f>
        <v>1588.87769</v>
      </c>
      <c r="H5" s="3">
        <f>2874.1+(197.9-908.3)+(0+(0-0))+0-662.4-0</f>
        <v>1501.2999999999997</v>
      </c>
      <c r="I5" s="3">
        <f>2385.6+(321.6-710.4)+(0+(0-0))+0-539.5-0</f>
        <v>1457.3</v>
      </c>
      <c r="J5" s="3">
        <f>2204.9+(382.1-590.6)+(1.124499+(0.194871-0.301206))+0-578.6-0.295085999999941</f>
        <v>1418.5230780000004</v>
      </c>
      <c r="K5" s="3">
        <f>2037.5+(411.2-478.3)+(0+(0-0))+0-572.9-0</f>
        <v>1397.5</v>
      </c>
      <c r="L5" s="3">
        <f>1984.8+(477.1-420.7)+(3.036744+(0.729963-0.643671))+0-632-0.966960000000037</f>
        <v>1411.356076</v>
      </c>
      <c r="M5" s="3">
        <f>1994.7+(345.9-404.6)+(-4.069188+(-0.705636--0.825384))+0-515.2--1.05100799999998</f>
        <v>1417.9015679999998</v>
      </c>
      <c r="N5" s="3">
        <f>2060.7+(318.9-472)+(1.050957+(0.162639-0.24072))+0-439.6-0.224195999999955</f>
        <v>1468.7486799999999</v>
      </c>
      <c r="O5" s="3">
        <f>2294.6+(325.9-604.8)+(-3.510738+(-0.498627--0.925344))+0-523.7--0.80126100000003</f>
        <v>1489.7172399999999</v>
      </c>
      <c r="P5" s="3">
        <f>2437.9+(592.5-944.2)+(0+(0-0))+0-531.3-0</f>
        <v>1554.8999999999999</v>
      </c>
      <c r="Q5" s="3">
        <f>2768.6+(427.8-1071.6)+(1.411986+(0.218178-0.546516))+0-563.2-0.287231999999943</f>
        <v>1562.396416</v>
      </c>
      <c r="R5" s="3">
        <f>2621.5+(425.6-953.2)+(-4.010895+(-0.651168--1.458396))+0-491.1--0.751383000000028</f>
        <v>1600.347716</v>
      </c>
      <c r="S5" s="3">
        <f>2978.8+(208.8-1131.9)+(-3.038376+(-0.212976--1.154538))+0-539.1--0.549882000000086</f>
        <v>1515.0530679999999</v>
      </c>
      <c r="T5" s="3">
        <f>2846+(406-1093.6)+(-7.2573+(-1.0353--2.78868))+0-554.6--1.41422999999992</f>
        <v>1599.7103099999999</v>
      </c>
      <c r="U5" s="3">
        <f>2646.9+(323.9-850.9)+(-4.049757+(-0.495567--1.301877))+0-531.7--0.813501000000031</f>
        <v>1585.7700540000003</v>
      </c>
      <c r="V5" s="3">
        <f>3018.3+(374.2-1179.4)+(0+(0-0))+0-633-0</f>
        <v>1580.1000000000004</v>
      </c>
      <c r="W5" s="3">
        <f>2821.9+(291.7-1119.4)+(-1.439169+(-0.148767--0.570894))+0-418.8--0.213587999999958</f>
        <v>1574.596546</v>
      </c>
      <c r="X5" s="3">
        <f>3294.3+(314.2-1411)+(0+(0-0))+0-580.9-0</f>
        <v>1616.6</v>
      </c>
      <c r="Y5" s="3">
        <f>4492.9+(267.8-2315.1)+(0+(0-0))+0-470-0</f>
        <v>1975.5999999999995</v>
      </c>
      <c r="Z5" s="3">
        <f>4981.3+(283.2-2605.5)+(-5.080926+(-0.288864--2.65761))+0-474.3--0.483786000000076</f>
        <v>2182.4716060000001</v>
      </c>
      <c r="AA5" s="3">
        <f>4595.5+(285.7-2645.7)+(-2.343705+(-0.145707--1.349307))+0-479.2--0.244391999999951</f>
        <v>1755.4042870000001</v>
      </c>
      <c r="AB5" s="3">
        <f>4257.1+(277.1-2344.3)+(0+(0-0))+0-544.2-0</f>
        <v>1645.7</v>
      </c>
      <c r="AC5" s="3">
        <f>3817.3+(291.1-2002)+(-3.893646+(-0.296922--2.04204))+0-480.2--0.489804000000077</f>
        <v>1624.5412759999999</v>
      </c>
      <c r="AD5">
        <v>2280.6999999999998</v>
      </c>
      <c r="AE5" s="3">
        <f>5366+(288-2766.3)+(0+(0-0))+0-607-0</f>
        <v>2280.6999999999998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3854.7+(98.7-1842.7)+(-3.931794+(-0.100674--1.879554))+0-541.2--0.552024000000086</f>
        <v>1567.8991100000001</v>
      </c>
      <c r="G6" s="3">
        <f>3377.5+(93.7-1429)+(-3.44505+(-0.095574--1.45758))+0-494.9--0.504798000000079</f>
        <v>1545.7217540000004</v>
      </c>
      <c r="H6" s="3">
        <f>3069.1+(266.7-1266.8)+(0+(0-0))+0-638.4-0</f>
        <v>1430.6</v>
      </c>
      <c r="I6" s="3">
        <f>2606.5+(357.8-1033.7)+(0+(0-0))+0-514.4-0</f>
        <v>1416.1999999999998</v>
      </c>
      <c r="J6" s="3">
        <f>2542.4+(396.7-916.4)+(2.593248+(0.404634-0.934728))+0-685-0.698700000000109</f>
        <v>1339.0644539999998</v>
      </c>
      <c r="K6" s="3">
        <f>2530.7+(379.5-942.2)+(-5.162628+(-0.77418--1.922088))+0-522--1.06487999999998</f>
        <v>1443.0501599999998</v>
      </c>
      <c r="L6" s="3">
        <f>2507+(400.9-851.9)+(-1.27857+(-0.204459--0.434469))+0-684.5--0.349094999999931</f>
        <v>1370.8005349999999</v>
      </c>
      <c r="M6" s="3">
        <f>2254.5+(402.7-636.6)+(-2.29959+(-0.410754--0.649332))+0-638.5--0.651270000000102</f>
        <v>1380.6902580000001</v>
      </c>
      <c r="N6" s="3">
        <f>2605.9+(386.1-941.2)+(3.987027+(0.590733-1.440036))+0-664.2-1.01622600000004</f>
        <v>1388.7214980000003</v>
      </c>
      <c r="O6" s="3">
        <f>2800.9+(422.1-1235.4)+(-1.428459+(-0.215271--0.630054))+0-631.4--0.322013999999936</f>
        <v>1355.5083379999996</v>
      </c>
      <c r="P6" s="3">
        <f>3059.7+(459.1-1638.4)+(-3.120894+(-0.468282--1.671168))+0-597.9--0.609858000000095</f>
        <v>1281.1918499999995</v>
      </c>
      <c r="Q6" s="3">
        <f>3100.8+(464.3-1775.2)+(-1.581408+(-0.236793--0.905352))+0-537.9--0.274328999999945</f>
        <v>1251.36148</v>
      </c>
      <c r="R6" s="3">
        <f>3057.3+(560.6-1567.8)+(-1.559223+(-0.285906--0.799578))+0-565.6--0.288455999999943</f>
        <v>1483.7429050000003</v>
      </c>
      <c r="S6" s="3">
        <f>3005.1+(499.2-1478.1)+(-4.597803+(-0.763776--2.261493))+0-540.7--0.827271000000031</f>
        <v>1483.2271850000002</v>
      </c>
      <c r="T6" s="3">
        <f>3054.7+(380.8-1321.3)+(-6.231588+(-0.776832--2.695452))+0-636.7--1.29886799999997</f>
        <v>1474.4858999999994</v>
      </c>
      <c r="U6" s="3">
        <f>3044.3+(269.6-1260.6)+(-6.210372+(-0.549984--2.571624))+0-537--1.09547999999998</f>
        <v>1513.2067480000001</v>
      </c>
      <c r="V6" s="3">
        <f>3199.2+(213.3-1199.3)+(-4.894776+(-0.326349--1.834929))+0-660.9--1.01117700000004</f>
        <v>1549.9249809999999</v>
      </c>
      <c r="W6" s="3">
        <f>3108.4+(227.7-1218.3)+(-4.755852+(-0.348381--1.863999))+0-526.6--0.80569800000003</f>
        <v>1588.7654640000005</v>
      </c>
      <c r="X6" s="3">
        <f>3150.5+(213-1158.3)+(-4.820265+(-0.32589--1.772199))+0-643.1--0.983943000000037</f>
        <v>1559.709987</v>
      </c>
      <c r="Y6" s="3">
        <f>3805.4+(408.2-1821.1)+(0+(0-0))+0-641.6-0</f>
        <v>1750.9</v>
      </c>
      <c r="Z6" s="3">
        <f>4577.5+(501.8-2383.9)+(-7.003575+(-0.767754--3.647367))+0-587.1--0.898263000000034</f>
        <v>2105.0743009999997</v>
      </c>
      <c r="AA6" s="3">
        <f>5100.6+(476.5-2862.3)+(-7.803918+(-0.729045--4.379319))+0-627.5--0.960075000000036</f>
        <v>2084.1064310000002</v>
      </c>
      <c r="AB6" s="3">
        <f>4487.1+(449.7-2492.4)+(-2.288421+(-0.229347--1.271124))+0-477.8--0.243677999999952</f>
        <v>1965.5970340000008</v>
      </c>
      <c r="AC6" s="3">
        <f>4366+(409.3-2372.3)+(-4.45332+(-0.417486--2.419746))+0-613.2--0.625464000000098</f>
        <v>1787.9744040000003</v>
      </c>
      <c r="AD6">
        <v>1861.3</v>
      </c>
      <c r="AE6" s="3">
        <f>4759+(543.2-2763.1)+(0+(0-0))+0-677.8-0</f>
        <v>1861.3000000000004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3680.2+(528.4-1990.3)+(0+(0-0))+0-622.3-0</f>
        <v>1595.9999999999998</v>
      </c>
      <c r="G7" s="3">
        <f>3514.9+(523.8-1962.5)+(0+(0-0))+0-590.2-0</f>
        <v>1485.9999999999998</v>
      </c>
      <c r="H7" s="3">
        <f>2656.7+(539.8-1159.3)+(-4.064751+(-0.825894--1.773729))+0-628.6--0.961758000000036</f>
        <v>1406.4448420000001</v>
      </c>
      <c r="I7" s="3">
        <f>2318.8+(433.2-822.6)+(1.182588+(0.220932-0.419526))+0-611.2-0.311711999999938</f>
        <v>1318.872282</v>
      </c>
      <c r="J7" s="3">
        <f>2333.2+(337.9-802.5)+(0+(0-0))+0-573.1-0</f>
        <v>1295.5</v>
      </c>
      <c r="K7" s="3">
        <f>2200.8+(367.3-644.2)+(2.244816+(0.374646-0.657084))+0-589-0.600780000000094</f>
        <v>1336.261598</v>
      </c>
      <c r="L7" s="3">
        <f>2181.1+(322.3-549.9)+(-2.224722+(-0.328746--0.560898))+0-597.7--0.609654000000095</f>
        <v>1354.4170840000002</v>
      </c>
      <c r="M7" s="3">
        <f>2054.6+(433.3-433)+(0+(0-0))+0-529.9-0</f>
        <v>1525</v>
      </c>
      <c r="N7" s="3">
        <f>2392.4+(329-651.3)+(0+(0-0))+0-610.1-0</f>
        <v>1460.0000000000005</v>
      </c>
      <c r="O7" s="3">
        <f>2626.2+(476-1002.1)+(0+(0-0))+0-500-0</f>
        <v>1600.1</v>
      </c>
      <c r="P7" s="3">
        <f>3430.6+(457-1826.9)+(3.499212+(0.46614-1.863438))+0-484.8-0.494496000000077</f>
        <v>1577.5074179999997</v>
      </c>
      <c r="Q7" s="3">
        <f>3888.6+(551.9-2231.7)+(-7.932744+(-1.125876--4.552668))+0-602.9--1.22991599999997</f>
        <v>1602.6239640000001</v>
      </c>
      <c r="R7" s="3">
        <f>3865.9+(550.1-2342.7)+(-7.886436+(-1.122204--4.779108))+0-455.2--0.92860799999998</f>
        <v>1614.7990760000002</v>
      </c>
      <c r="S7" s="3">
        <f>3581+(382.1-1912.9)+(-1.82631+(-0.194871--0.975579))+0-420.8--0.214607999999957</f>
        <v>1628.5690059999997</v>
      </c>
      <c r="T7" s="3">
        <f>3456.7+(452-1670.1)+(3.525834+(0.46104-1.703502))+0-588.4-0.600168000000094</f>
        <v>1651.8832039999995</v>
      </c>
      <c r="U7" s="3">
        <f>3382.2+(448-1582.8)+(-3.449844+(-0.45696--1.614456))+0-660.5--0.673710000000105</f>
        <v>1585.2813619999997</v>
      </c>
      <c r="V7" s="3">
        <f>3189.1+(428.6-1581.3)+(-4.879323+(-0.655758--2.419389))+0-538--0.823140000000031</f>
        <v>1496.107448</v>
      </c>
      <c r="W7" s="3">
        <f>3105.1+(438.7-1473.9)+(3.167202+(0.447474-1.503378))+0-490-0.499800000000078</f>
        <v>1581.5114979999994</v>
      </c>
      <c r="X7" s="3">
        <f>3015.5+(450.6-1365.9)+(-1.537905+(-0.229806--0.696609))+0-495.7--0.25280699999995</f>
        <v>1603.6817049999997</v>
      </c>
      <c r="Y7" s="3">
        <f>4125+(503.1-2334.1)+(6.31125+(0.769743-3.571173))+0-579.2-0.886176000000033</f>
        <v>1717.4236440000002</v>
      </c>
      <c r="Z7" s="3">
        <f>5234+(564.8-3218.7)+(2.66934+(0.288048-1.641537))+0-631.7-0.322166999999936</f>
        <v>1949.3936840000001</v>
      </c>
      <c r="AA7" s="3">
        <f>5122.9+(571.2-3195.3)+(0+(0-0))+0-615.4-0</f>
        <v>1883.3999999999992</v>
      </c>
      <c r="AB7" s="3">
        <f>4397+(546.9-2453.2)+(0+(0-0))+0-666.9-0</f>
        <v>1823.8000000000002</v>
      </c>
      <c r="AC7" s="3">
        <f>4249.4+(303.8-2181.7)+(2.167194+(0.154938-1.112667))+0-608.2-0.310181999999938</f>
        <v>1764.1992829999999</v>
      </c>
      <c r="AD7">
        <v>1898.7999999999997</v>
      </c>
      <c r="AE7" s="3">
        <f>5366+(554.9-3367.1)+(0+(0-0))+0-655-0</f>
        <v>1898.8000000000002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3401+(105.5-1235.3)+(-10.40706+(-0.32283--3.780018))+0-597.2--1.82743200000007</f>
        <v>1668.8775599999997</v>
      </c>
      <c r="G8" s="3">
        <f>2926.6+(119.7-873.7)+(-4.477698+(-0.183141--1.336761))+0-616.4--0.943092000000036</f>
        <v>1553.8190139999997</v>
      </c>
      <c r="H8" s="3">
        <f>2442.6+(179.3-558.2)+(-1.245726+(-0.091443--0.284682))+0-592.6--0.30222599999994</f>
        <v>1470.349739</v>
      </c>
      <c r="I8" s="3">
        <f>2195.6+(210.5-458.5)+(-5.59878+(-0.536775--1.169175))+0-499.3--1.27321499999993</f>
        <v>1444.6068349999998</v>
      </c>
      <c r="J8" s="3">
        <f>2272.6+(135.9-412.9)+(0+(0-0))+0-599.5-0</f>
        <v>1396.1</v>
      </c>
      <c r="K8" s="3">
        <f>2369.1+(122.6-540)+(3.624723+(0.187578-0.8262))+0-548.9-0.839817000000032</f>
        <v>1404.9462839999997</v>
      </c>
      <c r="L8" s="3">
        <f>2393.4+(148.5-493.3)+(2.441268+(0.15147-0.503166))+0-605.8-0.617916000000097</f>
        <v>1444.2716559999997</v>
      </c>
      <c r="M8" s="3">
        <f>2262.3+(244.7-406.7)+(-3.461319+(-0.374391--0.622251))+0-619.7--0.948141000000036</f>
        <v>1478.3346820000002</v>
      </c>
      <c r="N8" s="3">
        <f>2324.4+(301.5-619.8)+(-1.185444+(-0.153765--0.316098))+0-553.4--0.282233999999944</f>
        <v>1451.9591230000003</v>
      </c>
      <c r="O8" s="3">
        <f>2583.6+(294.9-977)+(-2.635272+(-0.300798--0.99654))+0-530.6--0.541212000000085</f>
        <v>1369.5016820000001</v>
      </c>
      <c r="P8" s="3">
        <f>3049.8+(307.2-1210.2)+(-3.110796+(-0.313344--1.234404))+0-597.5--0.609450000000095</f>
        <v>1547.7197140000005</v>
      </c>
      <c r="Q8" s="3">
        <f>3145.4+(300.5-1587.1)+(-1.604154+(-0.153255--0.809421))+0-413.9--0.211088999999958</f>
        <v>1444.1631010000001</v>
      </c>
      <c r="R8" s="3">
        <f>3199+(308-1600.5)+(-3.26298+(-0.31416--1.63251))+0-451.9--0.460938000000072</f>
        <v>1453.1163080000001</v>
      </c>
      <c r="S8" s="3">
        <f>3004.2+(314.9-1264)+(-3.064284+(-0.321198--1.28928))+0-578.6--0.590172000000092</f>
        <v>1474.99397</v>
      </c>
      <c r="T8" s="3">
        <f>3041.2+(290-1482.6)+(-6.204048+(-0.5916--3.024504))+0-464.8--0.94819199999998</f>
        <v>1380.977048</v>
      </c>
      <c r="U8" s="3">
        <f>3222.3+(280.3-1539.4)+(-1.643373+(-0.142953--0.785094))+0-577.6--0.294575999999941</f>
        <v>1384.8933439999998</v>
      </c>
      <c r="V8" s="3">
        <f>3173+(275.8-1491)+(-6.47292+(-0.562632--3.04164))+0-466.8--0.95227199999998</f>
        <v>1487.9583600000001</v>
      </c>
      <c r="W8" s="3">
        <f>2979.8+(286.3-1138.1)+(-6.078792+(-0.584052--2.321724))+0-537.5--1.09649999999998</f>
        <v>1587.2553799999998</v>
      </c>
      <c r="X8" s="3">
        <f>3064.7+(291.2-1160.3)+(1.562997+(0.148512-0.591753))+0-616.9-0.314618999999937</f>
        <v>1579.5051369999999</v>
      </c>
      <c r="Y8" s="3">
        <f>3813.4+(261.9-2003.5)+(1.944834+(0.133569-1.021785))+0-521.1-0.265760999999947</f>
        <v>1551.4908570000005</v>
      </c>
      <c r="Z8" s="3">
        <f>4868.5+(297.6-2791.7)+(-2.482935+(-0.151776--1.423767))+0-623.6--0.318035999999937</f>
        <v>1749.9070920000001</v>
      </c>
      <c r="AA8" s="3">
        <f>4658.6+(307-2767.2)+(-9.503544+(-0.62628--5.645088))+0-515.7--1.05202799999998</f>
        <v>1679.2672920000007</v>
      </c>
      <c r="AB8" s="3">
        <f>4543.4+(287.4-2620.6)+(-4.634268+(-0.293148--2.673012))+0-596.5--0.608430000000095</f>
        <v>1612.054026</v>
      </c>
      <c r="AC8" s="3">
        <f>4428.1+(297.5-2600)+(-2.258331+(-0.151725--1.326))+0-584.6--0.298145999999941</f>
        <v>1540.2140900000002</v>
      </c>
      <c r="AD8">
        <v>1960.8000000000004</v>
      </c>
      <c r="AE8" s="3">
        <f>4942+(532.8-2806.7)+(0+(0-0))+0-707.3-0</f>
        <v>1960.8000000000004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3498.9+(80-1634.9)+(-3.568878+(-0.0816--1.667598))+0-511.7--0.521934000000082</f>
        <v>1430.839054</v>
      </c>
      <c r="G9" s="3">
        <f>2731+(109.7-681.6)+(-6.96405+(-0.279735--1.73808))+0-594.8--1.51673999999991</f>
        <v>1560.3110349999997</v>
      </c>
      <c r="H9" s="3">
        <f>1797.2+(505.9-225.4)+(0+(0-0))+0-617.9-0</f>
        <v>1459.7999999999997</v>
      </c>
      <c r="I9" s="3">
        <f>1789.4+(524.2-250)+(-3.650376+(-1.069368--0.51))+0-625.6--1.27622399999997</f>
        <v>1435.0664800000006</v>
      </c>
      <c r="J9" s="3">
        <f>1799.5+(479.4-293.9)+(-1.83549+(-0.488988--0.299778))+0-596--0.607920000000095</f>
        <v>1387.5832200000002</v>
      </c>
      <c r="K9" s="3">
        <f>1715+(474.8-200.6)+(-0.87465+(-0.242148--0.102306))+0-564.4--0.287843999999943</f>
        <v>1424.0733519999999</v>
      </c>
      <c r="L9" s="3">
        <f>1760.3+(517.2-252.5)+(0+(0-0))+0-597.3-0</f>
        <v>1427.7</v>
      </c>
      <c r="M9" s="3">
        <f>1749.6+(503.4-230.4)+(-3.569184+(-1.026936--0.470016))+0-555.4--1.13301599999998</f>
        <v>1464.2069119999999</v>
      </c>
      <c r="N9" s="3">
        <f>2006.5+(357.1-477)+(1.023315+(0.182121-0.24327))+0-548.5-0.279734999999944</f>
        <v>1338.7824310000001</v>
      </c>
      <c r="O9" s="3">
        <f>2531.4+(528.9-893.7)+(0+(0-0))+0-540.2-0</f>
        <v>1626.3999999999999</v>
      </c>
      <c r="P9" s="3">
        <f>3011.9+(558.3-1339.2)+(-3.072138+(-0.569466--1.365984))+0-539.2--0.549984000000086</f>
        <v>1690.0743640000001</v>
      </c>
      <c r="Q9" s="3">
        <f>3310.3+(544.7-1600.4)+(-1.688253+(-0.277797--0.816204))+0-557.6--0.284375999999943</f>
        <v>1696.1345300000005</v>
      </c>
      <c r="R9" s="3">
        <f>3197+(547.3-1640.1)+(-9.78282+(-1.674738--5.018706))+0-387.3--1.18513800000004</f>
        <v>1711.6462859999997</v>
      </c>
      <c r="S9" s="3">
        <f>2938.9+(550.4-1268.1)+(-4.496517+(-0.842112--1.940193))+0-586--0.896580000000034</f>
        <v>1632.6981440000004</v>
      </c>
      <c r="T9" s="3">
        <f>3139.9+(535.8-1454)+(-4.804047+(-0.819774--2.22462))+0-521.5--0.79789500000003</f>
        <v>1697.5986939999996</v>
      </c>
      <c r="U9" s="3">
        <f>3122.1+(533.1-1385.9)+(-4.776813+(-0.815643--2.120427))+0-583.3--0.892449000000034</f>
        <v>1683.4204199999997</v>
      </c>
      <c r="V9" s="3">
        <f>3033.6+(529.3-1329.4)+(-3.094272+(-0.539886--1.355988))+0-561.8--0.57303600000009</f>
        <v>1669.994866</v>
      </c>
      <c r="W9" s="3">
        <f>3058.6+(428.7-1299.6)+(-4.679658+(-0.655911--1.988388))+0-495.6--0.758268000000029</f>
        <v>1689.5110869999999</v>
      </c>
      <c r="X9" s="3">
        <f>3222.7+(388.7-1333.3)+(-6.574308+(-0.792948--2.719932))+0-591.4--1.20645599999997</f>
        <v>1683.2591319999997</v>
      </c>
      <c r="Y9" s="3">
        <f>3813.3+(448.1-1967.3)+(1.944783+(0.228531-1.003323))+0-489.7-0.24974699999995</f>
        <v>1805.3202440000007</v>
      </c>
      <c r="Z9" s="3">
        <f>4359.2+(546.7-2327.1)+(0+(0-0))+0-585.6-0</f>
        <v>1993.2000000000003</v>
      </c>
      <c r="AA9" s="3">
        <f>4118+(570.3-2378)+(-10.5009+(-1.454265--6.0639))+0-499.4--1.27346999999993</f>
        <v>1806.2822049999997</v>
      </c>
      <c r="AB9" s="3">
        <f>3629.7+(637.8-1876.6)+(-7.404588+(-1.301112--3.828264))+0-523.7--1.06834799999998</f>
        <v>1863.3909119999994</v>
      </c>
      <c r="AC9" s="3">
        <f>3256.1+(703-1625.2)+(-4.981833+(-1.07559--2.486556))+0-521.6--0.79804800000003</f>
        <v>1809.5271809999999</v>
      </c>
      <c r="AD9">
        <v>1959.6999999999998</v>
      </c>
      <c r="AE9" s="3">
        <f>4452+(531.2-2393.1)+(0+(0-0))+0-630.4-0</f>
        <v>1959.7000000000003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2949.9+(446.2-1180.4)+(-3.008898+(-0.455124--1.204008))+0-487.7--0.497454000000078</f>
        <v>1726.2374399999999</v>
      </c>
      <c r="G10" s="3">
        <f>2612.1+(206-631.8)+(-6.660855+(-0.5253--1.61109))+0-577.8--1.47338999999992</f>
        <v>1604.3983250000001</v>
      </c>
      <c r="H10" s="3">
        <f>2196.4+(249.1-413.5)+(-1.120164+(-0.127041--0.210885))+0-510.9--0.260558999999948</f>
        <v>1520.3242390000003</v>
      </c>
      <c r="I10" s="3">
        <f>1976.9+(402.2-305.9)+(-4.032876+(-0.820488--0.624036))+0-618.8--1.26235199999997</f>
        <v>1451.4330240000004</v>
      </c>
      <c r="J10" s="3">
        <f>2043.3+(379.7-450.8)+(0+(0-0))+0-537.2-0</f>
        <v>1434.9999999999998</v>
      </c>
      <c r="K10" s="3">
        <f>2110.4+(401.3-414.3)+(-1.076304+(-0.204663--0.211293))+0-676.3--0.344912999999931</f>
        <v>1420.3752390000002</v>
      </c>
      <c r="L10" s="3">
        <f>1991.6+(364.9-348)+(-2.031432+(-0.372198--0.35496))+0-542.9--0.553758000000087</f>
        <v>1464.1050880000003</v>
      </c>
      <c r="M10" s="3">
        <f>2154.5+(358.9-397.8)+(1.098795+(0.183039-0.202878))+0-671.4-0.342413999999932</f>
        <v>1444.9365419999997</v>
      </c>
      <c r="N10" s="3">
        <f>2581.1+(203.3-730.1)+(0+(0-0))+0-485.9-0</f>
        <v>1568.4</v>
      </c>
      <c r="O10" s="3">
        <f>2992.5+(480-1156.2)+(0+(0-0))+0-462-0</f>
        <v>1854.3000000000002</v>
      </c>
      <c r="P10" s="3">
        <f>3574.5+(533-2002.9)+(1.822995+(0.27183-1.021479))+0-457.9-0.233528999999954</f>
        <v>1647.5398170000001</v>
      </c>
      <c r="Q10" s="3">
        <f>4200.8+(522.7-2442.7)+(-6.427224+(-0.799731--3.737331))+0-480.7--0.735471000000028</f>
        <v>1797.3458470000003</v>
      </c>
      <c r="R10" s="3">
        <f>3986.3+(549.5-2244.9)+(-8.132052+(-1.12098--4.579596))+0-574.4--1.17177599999997</f>
        <v>1712.9983399999999</v>
      </c>
      <c r="S10" s="3">
        <f>3516.2+(550.8-1855.1)+(0+(0-0))+0-473.3-0</f>
        <v>1738.5999999999997</v>
      </c>
      <c r="T10" s="3">
        <f>3546.5+(548.8-1785.1)+(-1.808715+(-0.279888--0.910401))+0-528--0.269279999999946</f>
        <v>1781.2910779999997</v>
      </c>
      <c r="U10" s="3">
        <f>3348.2+(548.5-1632.4)+(-3.415164+(-0.55947--1.665048))+0-518.2--0.528564000000083</f>
        <v>1744.318978</v>
      </c>
      <c r="V10" s="3">
        <f>3285.3+(548.7-1620.9)+(0+(0-0))+0-509.4-0</f>
        <v>1703.7000000000003</v>
      </c>
      <c r="W10" s="3">
        <f>3123.5+(556.2-1411.3)+(-3.18597+(-0.567324--1.439526))+0-529.3--0.539886000000084</f>
        <v>1737.3261180000002</v>
      </c>
      <c r="X10" s="3">
        <f>2708.8+(568.9-1016.4)+(-6.90744+(-1.450695--2.59182))+0-547.9--1.39714499999992</f>
        <v>1709.0308300000002</v>
      </c>
      <c r="Y10" s="3">
        <f>3273.7+(504.1-1515.1)+(3.339174+(0.514182-1.545402))+0-460.8-0.470016000000073</f>
        <v>1803.7379379999998</v>
      </c>
      <c r="Z10" s="3">
        <f>4332.4+(590.9-2329.3)+(-8.838096+(-1.205436--4.751772))+0-581.8--1.18687199999997</f>
        <v>2008.0951119999995</v>
      </c>
      <c r="AA10" s="3">
        <f>3940.4+(663.7-2067.1)+(2.009604+(0.338487-1.054221))+0-568.1-0.289730999999942</f>
        <v>1969.9041390000002</v>
      </c>
      <c r="AB10" s="3">
        <f>3601.1+(624.5-1757.1)+(-7.346244+(-1.27398--3.584484))+0-581.2--1.18564799999997</f>
        <v>1883.4499080000001</v>
      </c>
      <c r="AC10" s="3">
        <f>3734.2+(589-1899.2)+(-1.904442+(-0.30039--0.968592))+0-604.9--0.308498999999939</f>
        <v>1818.1722589999997</v>
      </c>
      <c r="AD10">
        <v>2003.5999999999995</v>
      </c>
      <c r="AE10" s="3">
        <f>4532+(562.9-2524.9)+(0+(0-0))+0-566.4-0</f>
        <v>2003.6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3576.5+(112.3-1438.4)+(-1.824015+(-0.057273--0.733584))+0-563.5--0.287384999999943</f>
        <v>1686.0396809999995</v>
      </c>
      <c r="G11" s="3">
        <f>2975.2+(154.7-876.2)+(-4.552056+(-0.236691--1.340586))+0-623.3--0.953649000000036</f>
        <v>1627.9054880000001</v>
      </c>
      <c r="H11" s="3">
        <f>2248.4+(280.2-406.8)+(-1.146684+(-0.142902--0.207468))+0-522.6--0.266525999999947</f>
        <v>1598.3844080000003</v>
      </c>
      <c r="I11" s="3">
        <f>2094.5+(408.3-316.9)+(-4.27278+(-0.832932--0.646476))+0-656.3--1.33885199999997</f>
        <v>1526.4796159999999</v>
      </c>
      <c r="J11" s="3">
        <f>1967.8+(338.9-284.1)+(-6.021468+(-1.037034--0.869346))+0-553--1.69218000000006</f>
        <v>1465.103024</v>
      </c>
      <c r="K11" s="3">
        <f>1987.8+(405.2-295.5)+(-1.013778+(-0.206652--0.150705))+0-626.6--0.319565999999936</f>
        <v>1470.1498410000002</v>
      </c>
      <c r="L11" s="3">
        <f>1992.3+(375.2-289.5)+(-3.048219+(-0.574056--0.442935))+0-580.2--0.887706000000034</f>
        <v>1495.5083659999998</v>
      </c>
      <c r="M11" s="3">
        <f>1966.8+(426.3-277.9)+(-1.003068+(-0.217413--0.141729))+0-622.6--0.317525999999937</f>
        <v>1491.8387740000001</v>
      </c>
      <c r="N11" s="3">
        <f>2112.1+(304.4-421.6)+(1.077171+(0.155244-0.215016))+0-485.3-0.247502999999951</f>
        <v>1510.3698959999999</v>
      </c>
      <c r="O11" s="3">
        <f>2760.5+(543.2-1049.4)+(4.223565+(0.831096-1.605582))+0-491.6-0.752148000000028</f>
        <v>1765.3969310000002</v>
      </c>
      <c r="P11" s="3">
        <f>3218.3+(538.9-1679.9)+(-1.641333+(-0.274839--0.856749))+0-447.3--0.228122999999955</f>
        <v>1629.1686999999999</v>
      </c>
      <c r="Q11" s="3">
        <f>3665+(523.6-2022.1)+(5.60745+(0.801108-3.093813))+0-451.4-0.690642000000026</f>
        <v>1717.724103</v>
      </c>
      <c r="R11" s="3">
        <f>3806.2+(507.2-2102.6)+(0+(0-0))+0-483.7-0</f>
        <v>1727.1000000000001</v>
      </c>
      <c r="S11" s="3">
        <f>3593.8+(499.7-1791)+(-3.665676+(-0.509694--1.82682))+0-556.6--0.567732000000089</f>
        <v>1744.1191819999999</v>
      </c>
      <c r="T11" s="3">
        <f>3049.6+(498.5-1428.6)+(-6.221184+(-1.01694--2.914344))+0-517.8--1.05631199999998</f>
        <v>1598.4325319999998</v>
      </c>
      <c r="U11" s="3">
        <f>3055.7+(498.5-1263.9)+(1.558407+(0.254235-0.644589))+0-566.9-0.289118999999943</f>
        <v>1724.2789339999995</v>
      </c>
      <c r="V11" s="3">
        <f>3017.7+(501.2-1306.7)+(-7.695135+(-1.27806--3.332085))+0-477.7--1.21813499999993</f>
        <v>1730.0770249999996</v>
      </c>
      <c r="W11" s="3">
        <f>2938.5+(496.1-1178.4)+(-4.495905+(-0.759033--1.802952))+0-535--0.818550000000031</f>
        <v>1718.5665639999997</v>
      </c>
      <c r="X11" s="3">
        <f>2941.4+(501-1083.3)+(-6.000456+(-1.02204--2.209932))+0-566.6--1.15586399999998</f>
        <v>1788.8433000000007</v>
      </c>
      <c r="Y11" s="3">
        <f>3734.9+(491.9-1872.3)+(3.809598+(0.501738-1.909746))+0-498.7-0.508674000000079</f>
        <v>1857.6929159999997</v>
      </c>
      <c r="Z11" s="3">
        <f>5075+(504.7-2928.1)+(-10.353+(-1.029588--5.973324))+0-614.1--1.25276399999997</f>
        <v>2033.3435000000002</v>
      </c>
      <c r="AA11" s="3">
        <f>4701.7+(504.8-2638.6)+(-9.591468+(-1.029792--5.382744))+0-574.9--1.17279599999997</f>
        <v>1988.9342800000002</v>
      </c>
      <c r="AB11" s="3">
        <f>4318.6+(372.5-2268.9)+(-11.01243+(-0.949875--5.785695))+0-554.6--1.41422999999992</f>
        <v>1862.8376200000002</v>
      </c>
      <c r="AC11" s="3">
        <f>4248.1+(386.6-2180.8)+(2.166531+(0.197166-1.112208))+0-601-0.306509999999939</f>
        <v>1853.8449790000004</v>
      </c>
      <c r="AD11">
        <v>1958.8</v>
      </c>
      <c r="AE11" s="3">
        <f>5198+(498.3-3075.8)+(0+(0-0))+0-661.7-0</f>
        <v>1958.8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3731.8+(231.8-1813.9)+(0+(0-0))+0-550.4-0</f>
        <v>1599.2999999999997</v>
      </c>
      <c r="G12" s="3">
        <f>2936.2+(186.7-955.8)+(-4.492386+(-0.285651--1.462374))+0-601.2--0.919836000000035</f>
        <v>1563.504173</v>
      </c>
      <c r="H12" s="3">
        <f>2280.3+(247.4-411)+(-6.977718+(-0.757044--1.25766))+0-551.4--1.68728400000006</f>
        <v>1560.5101820000004</v>
      </c>
      <c r="I12" s="3">
        <f>2028.3+(391.7-301)+(-4.137732+(-0.799068--0.61404))+0-583.7--1.19074799999997</f>
        <v>1532.1679879999999</v>
      </c>
      <c r="J12" s="3">
        <f>1903.8+(418.7-246.5)+(-0.970938+(-0.213537--0.125715))+0-601.3--0.306662999999939</f>
        <v>1473.947903</v>
      </c>
      <c r="K12" s="3">
        <f>2002.6+(339.4-252.1)+(-1.021326+(-0.173094--0.128571))+0-617--0.314669999999937</f>
        <v>1472.148821</v>
      </c>
      <c r="L12" s="3">
        <f>1904.6+(385.6-244)+(-5.828076+(-1.179936--0.74664))+0-542.1--1.65882600000006</f>
        <v>1499.4974540000001</v>
      </c>
      <c r="M12" s="3">
        <f>1850.3+(454.3-217.9)+(-1.887306+(-0.463386--0.222258))+0-604--0.616080000000096</f>
        <v>1481.1876459999996</v>
      </c>
      <c r="N12" s="3">
        <f>2212.8+(361.2-498.7)+(1.128528+(0.184212-0.254337))+0-586.8-0.29926799999994</f>
        <v>1489.2591350000002</v>
      </c>
      <c r="O12" s="3">
        <f>2297.1+(256-558)+(-3.514563+(-0.39168--0.85374))+0-546.6--0.836298000000032</f>
        <v>1446.2837950000001</v>
      </c>
      <c r="P12" s="3">
        <f>2585.6+(194.3-740.4)+(-3.955968+(-0.297279--1.132812))+6.5-537.3--0.822069000000031</f>
        <v>1506.4016340000001</v>
      </c>
      <c r="Q12" s="3">
        <f>2858.3+(181.7-1009.5)+(-5.830932+(-0.370668--2.05938))+0-501.6--1.02326399999998</f>
        <v>1525.7810440000003</v>
      </c>
      <c r="R12" s="3">
        <f>2924.4+(176.6-1052.2)+(-4.474332+(-0.270198--1.609866))+0-483.9--0.740367000000028</f>
        <v>1562.5057030000005</v>
      </c>
      <c r="S12" s="3">
        <f>3060.8+(177.4-1036.7)+(-1.561008+(-0.090474--0.528717))+0-640.4--0.326603999999935</f>
        <v>1560.3038389999997</v>
      </c>
      <c r="T12" s="3">
        <f>2563.5+(183.3-698.2)+(0+(0-0))+0-463.6-0</f>
        <v>1585</v>
      </c>
      <c r="U12" s="3">
        <f>2413.3+(353.6-554.6)+(-3.692349+(-0.541008--0.848538))+0-650.4--0.995112000000038</f>
        <v>1559.5102930000003</v>
      </c>
      <c r="V12" s="3">
        <f>2366.6+(266.2-539)+(-4.827864+(-0.543048--1.09956))+0-545--1.11179999999998</f>
        <v>1545.6404479999994</v>
      </c>
      <c r="W12" s="3">
        <f>2466.5+(279.3-575.2)+(2.51583+(0.284886-0.586704))+0-604-0.616080000000096</f>
        <v>1568.1979319999998</v>
      </c>
      <c r="X12" s="3">
        <f>2299.7+(283.7-437.1)+(-5.864235+(-0.723435--1.114605))+0-624.5--1.59247499999991</f>
        <v>1517.9194099999995</v>
      </c>
      <c r="Y12" s="3">
        <f>3154.5+(203.1-1163.3)+(0+(0-0))+0-609.8-0</f>
        <v>1584.5000000000002</v>
      </c>
      <c r="Z12" s="3">
        <f>4270.1+(222.1-2120.8)+(0+(0-0))+0-572.7-0</f>
        <v>1798.7</v>
      </c>
      <c r="AA12" s="3">
        <f>4060.4+(228.2-1961.3)+(-10.35402+(-0.58191--5.001315))+0-558.7--1.42468499999992</f>
        <v>1764.09007</v>
      </c>
      <c r="AB12" s="3">
        <f>3645.2+(235.4-1545.6)+(-7.436208+(-0.480216--3.153024))+0-582.1--1.18748399999997</f>
        <v>1749.3240840000003</v>
      </c>
      <c r="AC12" s="3">
        <f>3061.7+(261.6-1101.9)+(-4.684401+(-0.400248--1.685907))+0-518.3--0.79299900000003</f>
        <v>1700.4942569999998</v>
      </c>
      <c r="AD12">
        <v>2088.8000000000002</v>
      </c>
      <c r="AE12" s="3">
        <f>4523+(392.5-2148.5)+(0+(0-0))+0-678.2-0</f>
        <v>2088.8000000000002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3080.6+(184.3-955.2)+(-3.142212+(-0.187986--0.974304))+0-584.8--0.596496000000093</f>
        <v>1723.1406020000002</v>
      </c>
      <c r="G13" s="3">
        <f>3133.1+(100.2-946.1)+(-6.391524+(-0.204408--1.930044))+0-577.2--1.17748799999998</f>
        <v>1706.5115999999998</v>
      </c>
      <c r="H13" s="3">
        <f>2648.1+(118.7-598.4)+(-6.752655+(-0.302685--1.52592))+0-532.2--1.35710999999992</f>
        <v>1632.0276900000001</v>
      </c>
      <c r="I13" s="3">
        <f>2371.7+(197.1-465.2)+(2.419134+(0.201042-0.474504))+0-558.2-0.569364000000089</f>
        <v>1546.9763079999998</v>
      </c>
      <c r="J13" s="3">
        <f>2317.6+(256.4-393.6)+(-2.363952+(-0.261528--0.401472))+0-655.3--0.668406000000104</f>
        <v>1523.5443979999995</v>
      </c>
      <c r="K13" s="3">
        <f>2071+(289.8-346.8)+(1.05621+(0.147798-0.176868))+0-522.5-0.266474999999947</f>
        <v>1492.260665</v>
      </c>
      <c r="L13" s="3">
        <f>2044.3+(367.1-254.2)+(-7.298151+(-1.310547--0.907494))+0-660.3--2.35727100000001</f>
        <v>1491.556067</v>
      </c>
      <c r="M13" s="3">
        <f>1652.1+(554.4-201.4)+(-0.842571+(-0.282744--0.102714))+0-526.6--0.268565999999947</f>
        <v>1477.7459649999998</v>
      </c>
      <c r="N13" s="3">
        <f>1766+(519.7-248.4)+(0.90066+(0.265047-0.126684))+0-566.7-0.289016999999943</f>
        <v>1471.3500060000003</v>
      </c>
      <c r="O13" s="3">
        <f>1765.9+(577.9-251.6)+(-2.701827+(-0.884187--0.384948))+0-593.4--0.907902000000034</f>
        <v>1496.5068359999996</v>
      </c>
      <c r="P13" s="3">
        <f>1905.1+(446.4-291)+(1.943202+(0.455328-0.29682))+0-563.2-0.57446400000009</f>
        <v>1498.8272459999998</v>
      </c>
      <c r="Q13" s="3">
        <f>1886.2+(400.9-272.3)+(-1.923924+(-0.408918--0.277746))+0-518.7--0.529074000000083</f>
        <v>1494.5739779999999</v>
      </c>
      <c r="R13" s="3">
        <f>1973.4+(360-337.3)+(-2.012868+(-0.3672--0.344046))+0-461.2--0.470424000000074</f>
        <v>1533.3344020000002</v>
      </c>
      <c r="S13" s="3">
        <f>1986.1+(424.2-295.8)+(0+(0-0))+0-600.8-0</f>
        <v>1513.7</v>
      </c>
      <c r="T13" s="3">
        <f>1935.8+(511.3-264.7)+(-0.987258+(-0.260763--0.134997))+0-641.8--0.327317999999935</f>
        <v>1539.8142939999998</v>
      </c>
      <c r="U13" s="3">
        <f>1813+(541.4-271.1)+(-1.84926+(-0.552228--0.276522))+0-497.2--0.507144000000079</f>
        <v>1584.4821780000004</v>
      </c>
      <c r="V13" s="3">
        <f>2054.9+(432.4-304)+(-2.095998+(-0.441048--0.31008))+0-548.5--0.559470000000088</f>
        <v>1633.1325040000002</v>
      </c>
      <c r="W13" s="3">
        <f>2034.9+(449-294.9)+(-1.037799+(-0.22899--0.150399))+0-541.3--0.276062999999945</f>
        <v>1646.8596729999999</v>
      </c>
      <c r="X13" s="3">
        <f>2095.7+(350-330.4)+(-5.344035+(-0.8925--0.84252))+0-496.3--1.26556499999993</f>
        <v>1614.8715499999998</v>
      </c>
      <c r="Y13" s="3">
        <f>2964.2+(54-887.1)+(-3.023484+(-0.05508--0.904842))+0-593.8--0.605676000000095</f>
        <v>1535.7319540000001</v>
      </c>
      <c r="Z13" s="3">
        <f>3592.4+(58.1-1427.1)+(-1.832124+(-0.029631--0.727821))+0-534.4--0.272543999999946</f>
        <v>1688.13861</v>
      </c>
      <c r="AA13" s="3">
        <f>3961.5+(59.7-1628.8)+(-2.020365+(-0.030447--0.830688))+0-542--0.276419999999945</f>
        <v>1849.4562960000001</v>
      </c>
      <c r="AB13" s="3">
        <f>3746+(68.3-1283.9)+(-5.73138+(-0.104499--1.964367))+0-604--0.924120000000035</f>
        <v>1923.4526079999996</v>
      </c>
      <c r="AC13" s="3">
        <f>3355.8+(67.7-932.3)+(-3.422916+(-0.069054--0.950946))+0-590.7--0.602514000000094</f>
        <v>1898.5614900000003</v>
      </c>
      <c r="AD13">
        <v>1983.1999999999998</v>
      </c>
      <c r="AE13" s="3">
        <f>3985.1+(330.4-1707.8)+(0+(0-0))+0-624.5-0</f>
        <v>1983.1999999999998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2872.8+(170.4-496.3)+(-5.860512+(-0.347616--1.012452))+0-581.7--1.18666799999997</f>
        <v>1961.1909920000003</v>
      </c>
      <c r="G14" s="3">
        <f>2198.3+(577.9-290.7)+(1.121133+(0.294729-0.148257))+0-674.5-0.343994999999932</f>
        <v>1811.9236100000001</v>
      </c>
      <c r="H14" s="3">
        <f>1892.9+(693.7-216.8)+(-1.930758+(-0.707574--0.221136))+0-584.1--0.595782000000093</f>
        <v>1783.8785860000005</v>
      </c>
      <c r="I14" s="3">
        <f>1854.5+(694.1-199.4)+(-1.89159+(-0.707982--0.203388))+0-633.4--0.646068000000101</f>
        <v>1714.0498839999996</v>
      </c>
      <c r="J14" s="3">
        <f>1907.8+(568.9-289.3)+(0+(0-0))+0-502.6-0</f>
        <v>1684.8000000000002</v>
      </c>
      <c r="K14" s="3">
        <f>1869.6+(649.2-248.9)+(0+(0-0))+0-638.7-0</f>
        <v>1631.2</v>
      </c>
      <c r="L14" s="3">
        <f>1860.6+(641.4-278.5)+(-3.795624+(-1.308456--0.56814))+0-575--1.17299999999997</f>
        <v>1645.1370599999998</v>
      </c>
      <c r="M14" s="3">
        <f>2201.5+(332.5-306.9)+(-1.122765+(-0.169575--0.156519))+0-605.5--0.308804999999939</f>
        <v>1620.772984</v>
      </c>
      <c r="N14" s="3">
        <f>2630.1+(224.2-661.4)+(0+(0-0))+0-496-0</f>
        <v>1696.9</v>
      </c>
      <c r="O14" s="3">
        <f>3055.5+(442-1382.3)+(0+(0-0))+0-474-0</f>
        <v>1641.1999999999998</v>
      </c>
      <c r="P14" s="3">
        <f>3640.1+(420-1837.7)+(-1.856451+(-0.2142--0.937227))+0-462--0.235619999999953</f>
        <v>1759.5021959999995</v>
      </c>
      <c r="Q14" s="3">
        <f>4018.6+(528.8-2092.8)+(-6.148458+(-0.809064--3.201984))+0-447.7--0.684981000000026</f>
        <v>2003.8294429999996</v>
      </c>
      <c r="R14" s="3">
        <f>3714.6+(529.1-1886.7)+(-5.683338+(-0.809523--2.886651))+0-441.1--0.674883000000026</f>
        <v>1912.9686730000003</v>
      </c>
      <c r="S14" s="3">
        <f>3661.3+(543.4-1679.7)+(-7.469052+(-1.108536--3.426588))+0-446.8--0.911471999999981</f>
        <v>2073.9604719999998</v>
      </c>
      <c r="T14" s="3">
        <f>3436.1+(546.1-1491.5)+(-5.257233+(-0.835533--2.281995))+0-484.4--0.741132000000028</f>
        <v>2003.2303609999999</v>
      </c>
      <c r="U14" s="3">
        <f>3363.8+(549.1-1326)+(-6.862152+(-1.120164--2.70504))+0-496.7--1.01326799999998</f>
        <v>2085.9359920000006</v>
      </c>
      <c r="V14" s="3">
        <f>2966.3+(460-1063.8)+(-9.076878+(-1.4076--3.255228))+0-502.8--1.53856800000006</f>
        <v>1854.0093180000003</v>
      </c>
      <c r="W14" s="3">
        <f>2727.1+(530-808.1)+(-6.954105+(-1.3515--2.060655))+0-523.1--1.33390499999992</f>
        <v>1920.9889550000003</v>
      </c>
      <c r="X14" s="3">
        <f>2503+(549.4-728.3)+(-3.82959+(-0.840582--1.114299))+0-446--0.682380000000026</f>
        <v>1875.2265070000001</v>
      </c>
      <c r="Y14" s="3">
        <f>3263+(417.4-1365.5)+(0+(0-0))+0-321.6-0</f>
        <v>1993.3000000000002</v>
      </c>
      <c r="Z14" s="3">
        <f>3887.1+(612.7-1837.4)+(-7.929684+(-1.249908--3.748296))+0-487.2--0.993887999999979</f>
        <v>2170.7625919999996</v>
      </c>
      <c r="AA14" s="3">
        <f>3294.1+(624-1374.9)+(-6.719964+(-1.27296--2.804796))+0-386.2--0.787847999999983</f>
        <v>2152.5997200000002</v>
      </c>
      <c r="AB14" s="3">
        <f>3128.1+(596.8-1070.1)+(-4.785993+(-0.913104--1.637253))+0-508.5--0.778005000000029</f>
        <v>2143.0161610000005</v>
      </c>
      <c r="AC14" s="3">
        <f>2859.7+(512.9-714.7)+(-5.833788+(-1.046316--1.457988))+0-526--1.07303999999998</f>
        <v>2127.5509239999992</v>
      </c>
      <c r="AD14">
        <v>2119.8000000000006</v>
      </c>
      <c r="AE14" s="3">
        <f>3884+(659.1-1957.6)+(0+(0-0))+0-465.7-0</f>
        <v>2119.8000000000002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2381.6+(605.4-343.7)+(-6.07308+(-1.54377--0.876435))+0-534.3--1.36246499999992</f>
        <v>2103.6220499999995</v>
      </c>
      <c r="G15" s="3">
        <f>1779+(1125.5-226.7)+(-4.53645+(-2.870025--0.578085))+0-637.2--1.62485999999991</f>
        <v>2035.3964699999999</v>
      </c>
      <c r="H15" s="3">
        <f>1766.4+(979.7-215.8)+(-2.702592+(-1.498941--0.330174))+0-562.8--0.861084000000032</f>
        <v>1964.4897250000001</v>
      </c>
      <c r="I15" s="3">
        <f>1837.2+(887-225.9)+(-2.810916+(-1.35711--0.345627))+0-587.3--0.898569000000034</f>
        <v>1908.07617</v>
      </c>
      <c r="J15" s="3">
        <f>1613.9+(1014.7-193.2)+(-1.646178+(-1.034994--0.197064))+0-598.5--0.610470000000095</f>
        <v>1835.0263620000001</v>
      </c>
      <c r="K15" s="3">
        <f>1657.2+(948.2-193.6)+(1.690344+(0.967164-0.197472))+0-616.6-0.628932000000098</f>
        <v>1797.0311040000001</v>
      </c>
      <c r="L15" s="3">
        <f>1776.9+(799.2-228.2)+(-1.812438+(-0.815184--0.232764))+0-568.3--0.579666000000091</f>
        <v>1777.7848080000001</v>
      </c>
      <c r="M15" s="3">
        <f>1873.8+(746.7-372.5)+(0+(0-0))+0-502.5-0</f>
        <v>1745.5</v>
      </c>
      <c r="N15" s="3">
        <f>2388.5+(633.7-691.1)+(-1.218135+(-0.323187--0.352461))+0-515.2--0.262751999999948</f>
        <v>1814.9738909999996</v>
      </c>
      <c r="O15" s="3">
        <f>2829.7+(619.1-1220.5)+(2.886294+(0.631482-1.24491))+0-422.3-0.430746000000067</f>
        <v>1807.8421199999996</v>
      </c>
      <c r="P15" s="3">
        <f>3131.4+(759.5-1689.2)+(-1.597014+(-0.387345--0.861492))+0-346.6--0.176765999999965</f>
        <v>1854.1538989999999</v>
      </c>
      <c r="Q15" s="3">
        <f>3466.6+(749.2-1871.7)+(-1.767966+(-0.382092--0.954567))+0-416.9--0.212618999999958</f>
        <v>1926.2171279999998</v>
      </c>
      <c r="R15" s="3">
        <f>3703.1+(670.4-1989.6)+(-1.888581+(-0.341904--1.014696))+0-448.5--0.228734999999955</f>
        <v>1934.4129460000001</v>
      </c>
      <c r="S15" s="3">
        <f>3290.3+(658-1516.1)+(-8.390265+(-1.6779--3.866055))+0-469.6--1.19747999999993</f>
        <v>1957.5953700000002</v>
      </c>
      <c r="T15" s="3">
        <f>2644.7+(695.2-948.8)+(-5.395188+(-1.418208--1.935552))+0-438.6--0.894743999999981</f>
        <v>1948.5168999999999</v>
      </c>
      <c r="U15" s="3">
        <f>2516.4+(807-931.5)+(-2.566728+(-0.82314--0.95013))+0-379.6--0.387192000000061</f>
        <v>2010.2474540000003</v>
      </c>
      <c r="V15" s="3">
        <f>2173.9+(906.1-819.1)+(-3.326067+(-1.386333--1.253223))+0-364.7--0.557991000000021</f>
        <v>1893.298814</v>
      </c>
      <c r="W15" s="3">
        <f>2063.9+(871.2-628.8)+(1.052589+(0.444312-0.320688))+0-438.1-0.223430999999956</f>
        <v>1869.1527820000006</v>
      </c>
      <c r="X15" s="3">
        <f>2371.1+(668.5-810.9)+(-3.627783+(-1.022805--1.240677))+0-363.1--0.555543000000021</f>
        <v>1862.7456319999997</v>
      </c>
      <c r="Y15" s="3">
        <f>3603.1+(433.5-1607.1)+(-3.675162+(-0.44217--1.639242))+0-487.7--0.497454000000078</f>
        <v>1939.819364</v>
      </c>
      <c r="Z15" s="3">
        <f>4200.1+(478.6-2203.6)+(-8.568204+(-0.976344--4.495344))+0-439.7--0.896987999999981</f>
        <v>2031.2477840000004</v>
      </c>
      <c r="AA15" s="3">
        <f>4410.4+(269.3-2141.9)+(-2.249304+(-0.137343--1.092369))+0-466.5--0.237914999999953</f>
        <v>2070.2436369999996</v>
      </c>
      <c r="AB15" s="3">
        <f>3374.2+(301.9-1094.7)+(-8.60421+(-0.769845--2.791485))+0-475.3--1.21201499999993</f>
        <v>2100.7294449999995</v>
      </c>
      <c r="AC15" s="3">
        <f>2947.7+(364-696.3)+(-1.503327+(-0.18564--0.355113))+0-463.4--0.236333999999953</f>
        <v>2150.9024799999997</v>
      </c>
      <c r="AD15">
        <v>2012.9</v>
      </c>
      <c r="AE15" s="3">
        <f>4466+(381-2268.7)+(0+(0-0))+0-565.4-0</f>
        <v>2012.9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2659.3+(429.1-467.1)+(-4.068729+(-0.656523--0.714663))+0-492.4--0.753372000000028</f>
        <v>2125.6427830000002</v>
      </c>
      <c r="G16" s="3">
        <f>2387.2+(559.2-442.2)+(0+(0-0))+0-404.4-0</f>
        <v>2099.7999999999997</v>
      </c>
      <c r="H16" s="3">
        <f>2046.8+(840.3-355)+(1.043868+(0.428553-0.18105))+0-503.2-0.256631999999949</f>
        <v>2029.9347389999998</v>
      </c>
      <c r="I16" s="3">
        <f>1713+(997.5-255.5)+(0+(0-0))+0-479.4-0</f>
        <v>1975.6</v>
      </c>
      <c r="J16" s="3">
        <f>1693.4+(980.8-249)+(-5.181804+(-3.001248--0.76194))+0-507.4--1.55264400000006</f>
        <v>1911.9315319999998</v>
      </c>
      <c r="K16" s="3">
        <f>1806.4+(875.2-330.8)+(1.842528+(0.892704-0.337416))+0-479.5-0.489090000000076</f>
        <v>1873.2087260000003</v>
      </c>
      <c r="L16" s="3">
        <f>1675.5+(819.1-219.8)+(-0.854505+(-0.417741--0.112098))+0-460.4--0.234803999999953</f>
        <v>1813.4746560000001</v>
      </c>
      <c r="M16" s="3">
        <f>1859.5+(710.7-365.2)+(-1.89669+(-0.724914--0.372504))+0-479--0.488580000000076</f>
        <v>1724.2394800000002</v>
      </c>
      <c r="N16" s="3">
        <f>2108.6+(719.8-605.9)+(-1.075386+(-0.367098--0.309009))+0-489.4--0.24959399999995</f>
        <v>1732.2161189999997</v>
      </c>
      <c r="O16" s="3">
        <f>2444.1+(820.8-1149.1)+(1.246491+(0.418608-0.586041))+0-395.8-0.20185799999996</f>
        <v>1720.8772000000001</v>
      </c>
      <c r="P16" s="3">
        <f>2967.5+(971.5-1725.5)+(1.513425+(0.495465-0.880005))+0-412.3-0.210272999999958</f>
        <v>1802.1186120000002</v>
      </c>
      <c r="Q16" s="3">
        <f>3420.2+(901.4-2121.8)+(0+(0-0))+0-400.3-0</f>
        <v>1799.4999999999998</v>
      </c>
      <c r="R16" s="3">
        <f>3448+(768.9-1951.4)+(-3.51696+(-0.784278--1.990428))+0-384.5--0.392190000000061</f>
        <v>1879.0813800000001</v>
      </c>
      <c r="S16" s="3">
        <f>2912.1+(665.6-1278.9)+(-2.970342+(-0.678912--1.304478))+0-410.3--0.418506000000065</f>
        <v>1886.5737299999998</v>
      </c>
      <c r="T16" s="3">
        <f>2926.3+(568.3-1094.5)+(-2.984826+(-0.579666--1.11639))+0-423.4--0.431868000000067</f>
        <v>1974.6837660000006</v>
      </c>
      <c r="U16" s="3">
        <f>2917.8+(528.2-1072.4)+(1.488078+(0.269382-0.546924))+0-407.2-0.207671999999959</f>
        <v>1967.4028640000004</v>
      </c>
      <c r="V16" s="3">
        <f>2809.4+(587.6-1009.5)+(-1.432794+(-0.299676--0.514845))+0-460.1--0.234650999999953</f>
        <v>1926.4170259999999</v>
      </c>
      <c r="W16" s="3">
        <f>2515.4+(675.6-823.6)+(-3.848562+(-1.033668--1.260108))+0-442.8--0.677484000000026</f>
        <v>1921.655362</v>
      </c>
      <c r="X16" s="3">
        <f>2400.4+(655.5-732)+(-2.448408+(-0.66861--0.74664))+0-429.5--0.438090000000068</f>
        <v>1892.4677120000001</v>
      </c>
      <c r="Y16" s="3">
        <f>2716.4+(693.1-1090.9)+(-1.385364+(-0.353481--0.556359))+0-428.3--0.218432999999957</f>
        <v>1889.3359469999998</v>
      </c>
      <c r="Z16" s="3">
        <f>3668.5+(756.5-1748.8)+(-9.354675+(-1.929075--4.45944))+0-497--1.26734999999993</f>
        <v>2173.6430399999999</v>
      </c>
      <c r="AA16" s="3">
        <f>3480.6+(567.8-1393.2)+(-5.325318+(-0.868734--2.131596))+0-485.2--0.742356000000028</f>
        <v>2166.6799000000001</v>
      </c>
      <c r="AB16" s="3">
        <f>3302.9+(527-1074.3)+(-5.053437+(-0.80631--1.643679))+0-586.1--0.896733000000034</f>
        <v>2166.1806650000003</v>
      </c>
      <c r="AC16" s="3">
        <f>3313.8+(337-953.7)+(-8.45019+(-0.85935--2.431935))+0-535.8--1.36628999999992</f>
        <v>2155.7886850000004</v>
      </c>
      <c r="AD16">
        <v>2194.5</v>
      </c>
      <c r="AE16" s="3">
        <f>3656+(786.2-1745.1)+(0+(0-0))+0-502.6-0</f>
        <v>2194.5000000000005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2938.1+(333.8-588.3)+(-2.996862+(-0.340476--0.600066))+0-528.4--0.538968000000084</f>
        <v>2153.0016960000003</v>
      </c>
      <c r="G17" s="3">
        <f>2272.7+(709-300.4)+(-9.272616+(-2.89272--1.225632))+0-617.5--2.51939999999995</f>
        <v>2055.379696</v>
      </c>
      <c r="H17" s="3">
        <f>2026.6+(839.6-396.3)+(-3.100698+(-1.284588--0.606339))+0-474.6--0.726138000000027</f>
        <v>1992.2471910000004</v>
      </c>
      <c r="I17" s="3">
        <f>2078.6+(812.3-351.4)+(-2.120172+(-0.828546--0.358428))+0-621.1--0.633522000000099</f>
        <v>1916.4432320000001</v>
      </c>
      <c r="J17" s="3">
        <f>2012.9+(747.8-357.7)+(-5.132895+(-1.90689--0.912135))+0-555.9--1.41754499999992</f>
        <v>1842.389895</v>
      </c>
      <c r="K17" s="3">
        <f>2175.4+(668.6-392.3)+(1.109454+(0.340986-0.200073))+0-626.2-0.319361999999936</f>
        <v>1826.4310050000004</v>
      </c>
      <c r="L17" s="3">
        <f>2070.9+(589.8-366.4)+(-2.112318+(-0.601596--0.373728))+0-533.3--0.543966000000085</f>
        <v>1759.2037800000005</v>
      </c>
      <c r="M17" s="3">
        <f>2005.2+(566.9-364.2)+(-2.045304+(-0.578238--0.371484))+0-522.2--0.532644000000083</f>
        <v>1683.9805860000001</v>
      </c>
      <c r="N17" s="3">
        <f>2270.3+(551.4-552.5)+(-2.315706+(-0.562428--0.56355))+0-534.9--0.545598000000085</f>
        <v>1732.5310140000001</v>
      </c>
      <c r="O17" s="3">
        <f>2971.6+(421.9-1213.5)+(-1.515516+(-0.215169--0.618885))+0-457.8--0.233477999999954</f>
        <v>1721.3216779999998</v>
      </c>
      <c r="P17" s="3">
        <f>3214.6+(567.9-1439.6)+(0+(0-0))+0-471.6-0</f>
        <v>1871.3000000000002</v>
      </c>
      <c r="Q17" s="3">
        <f>3328.7+(545-1645.9)+(-1.697637+(-0.27795--0.839409))+0-442.4--0.225623999999955</f>
        <v>1784.4894459999994</v>
      </c>
      <c r="R17" s="3">
        <f>3458.3+(498.6-1500.3)+(-1.763733+(-0.254286--0.765153))+0-543.9--0.277388999999945</f>
        <v>1911.7245230000003</v>
      </c>
      <c r="S17" s="3">
        <f>3131.5+(450.9-1084.8)+(-4.791195+(-0.689877--1.659744))+0-492.4--0.753372000000028</f>
        <v>2002.132044</v>
      </c>
      <c r="T17" s="3">
        <f>3167+(411.3-1180.9)+(-1.61517+(-0.209763--0.602259))+0-470.8--0.240107999999952</f>
        <v>1925.6174339999995</v>
      </c>
      <c r="U17" s="3">
        <f>3086.5+(449-976.3)+(-11.018805+(-1.60293--3.485391))+0-566.5--2.02240500000001</f>
        <v>1985.5860609999997</v>
      </c>
      <c r="V17" s="3">
        <f>2892+(447.4-920.3)+(-4.42476+(-0.684522--1.408059))+0-483.1--0.739143000000028</f>
        <v>1933.03792</v>
      </c>
      <c r="W17" s="3">
        <f>2861.7+(502-911.7)+(-8.756802+(-1.53612--2.789802))+0-545.2--1.66831200000006</f>
        <v>1900.9651920000001</v>
      </c>
      <c r="X17" s="3">
        <f>2824.4+(504.5-873.3)+(-4.321332+(-0.771885--1.336149))+0-486.5--0.744345000000028</f>
        <v>1966.0872770000005</v>
      </c>
      <c r="Y17" s="3">
        <f>3403+(395.8-1205.4)+(-3.47106+(-0.403716--1.229508))+0-535.4--0.546108000000085</f>
        <v>2055.9008399999993</v>
      </c>
      <c r="Z17" s="3">
        <f>3960.7+(444.5-1806.3)+(-8.079828+(-0.90678--3.684852))+0-438.5--0.894539999999981</f>
        <v>2155.9927839999996</v>
      </c>
      <c r="AA17" s="3">
        <f>4091.6+(390.7-1753.9)+(-8.346864+(-0.797028--3.577956))+0-561.1--1.14464399999998</f>
        <v>2162.8787079999997</v>
      </c>
      <c r="AB17" s="3">
        <f>3969.1+(281.4-1668.5)+(-4.048482+(-0.287028--1.70187))+0-467.9--0.477258000000075</f>
        <v>2111.9436179999998</v>
      </c>
      <c r="AC17" s="3">
        <f>3727.7+(230.3-1297.4)+(-3.802254+(-0.234906--1.323348))+0-515.7--0.526014000000082</f>
        <v>2142.7122019999997</v>
      </c>
      <c r="AD17">
        <v>2176.5</v>
      </c>
      <c r="AE17" s="3">
        <f>4177+(417.3-1984.4)+(0+(0-0))+0-433.4-0</f>
        <v>2176.4999999999995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3614.5+(129.1-1004.2)+(-9.216975+(-0.329205--2.56071))+0-512.2--1.30610999999993</f>
        <v>2221.5206400000002</v>
      </c>
      <c r="G18" s="3">
        <f>2760.9+(221.8-417.7)+(-4.224177+(-0.339354--0.639081))+0-578.7--0.885411000000033</f>
        <v>1983.260961</v>
      </c>
      <c r="H18" s="3">
        <f>2278.1+(410.2-283.4)+(0+(0-0))+0-523.5-0</f>
        <v>1881.4</v>
      </c>
      <c r="I18" s="3">
        <f>2062+(509.1-222.7)+(-3.15486+(-0.778923--0.340731))+0-551.2--0.843336000000032</f>
        <v>1794.450284</v>
      </c>
      <c r="J18" s="3">
        <f>1865.8+(560.5-186.9)+(-5.709348+(-1.71513--0.571914))+0-478.2--1.46329200000006</f>
        <v>1755.8107280000004</v>
      </c>
      <c r="K18" s="3">
        <f>1914+(524.9-196.4)+(-1.95228+(-0.535398--0.200328))+0-511.6--0.521832000000082</f>
        <v>1729.1344820000002</v>
      </c>
      <c r="L18" s="3">
        <f>2049.7+(448.2-289.4)+(-4.181388+(-0.914328--0.590376))+0-511.7--1.04386799999998</f>
        <v>1693.3385279999998</v>
      </c>
      <c r="M18" s="3">
        <f>2104.5+(388-336)+(0+(0-0))+0-516.4-0</f>
        <v>1640.1</v>
      </c>
      <c r="N18" s="3">
        <f>2683.2+(273.8-772.9)+(-2.736864+(-0.279276--0.788358))+0-530.5--0.541110000000085</f>
        <v>1651.9133280000001</v>
      </c>
      <c r="O18" s="3">
        <f>2965.8+(377.9-1216.5)+(0+(0-0))+0-455.5-0</f>
        <v>1671.7000000000003</v>
      </c>
      <c r="P18" s="3">
        <f>3464.6+(329.9-1645.6)+(1.766946+(0.168249-0.839256))+0-478.2-0.243881999999951</f>
        <v>1671.5520569999999</v>
      </c>
      <c r="Q18" s="3">
        <f>3474.3+(245.9-1551.7)+(-5.315679+(-0.376227--2.374101))+0-439.6--0.672588000000025</f>
        <v>1726.2547830000001</v>
      </c>
      <c r="R18" s="3">
        <f>3444.8+(240.6-1243.8)+(-3.513696+(-0.245412--1.268676))+0-513.2--0.523464000000082</f>
        <v>1926.4330320000004</v>
      </c>
      <c r="S18" s="3">
        <f>3105.7+(239.4-893.9)+(-3.167814+(-0.244188--0.911778))+0-594.7--0.606594000000095</f>
        <v>1854.60637</v>
      </c>
      <c r="T18" s="3">
        <f>3015.2+(253.3-794.1)+(0+(0-0))+0-585.9-0</f>
        <v>1888.4999999999995</v>
      </c>
      <c r="U18" s="3">
        <f>2895.3+(260.8-654.1)+(-5.906412+(-0.532032--1.334364))+0-578.6--1.18034399999997</f>
        <v>1919.4762639999999</v>
      </c>
      <c r="V18" s="3">
        <f>2993.8+(253.9-747.3)+(-3.053676+(-0.258978--0.762246))+0-586.2--0.597924000000093</f>
        <v>1912.2475160000001</v>
      </c>
      <c r="W18" s="3">
        <f>2777.9+(329.9-682.1)+(-4.250187+(-0.504747--1.043613))+0-572.6--0.876078000000033</f>
        <v>1850.2647569999997</v>
      </c>
      <c r="X18" s="3">
        <f>2677.3+(324.2-496.9)+(-5.461692+(-0.661368--1.013676))+0-551.8--1.12567199999998</f>
        <v>1948.8162880000004</v>
      </c>
      <c r="Y18" s="3">
        <f>3231.4+(194.3-962.7)+(-1.648014+(-0.099093--0.490977))+0-578.3--0.294932999999941</f>
        <v>1883.7388029999997</v>
      </c>
      <c r="Z18" s="3">
        <f>4282.4+(217.3-1902.1)+(2.184024+(0.110823-0.970071))+0-527.5-0.269024999999947</f>
        <v>2071.1557509999993</v>
      </c>
      <c r="AA18" s="3">
        <f>3974+(235.5-1539.8)+(-8.10696+(-0.48042--3.141192))+0-621.4--1.26765599999997</f>
        <v>2044.1214679999998</v>
      </c>
      <c r="AB18" s="3">
        <f>3476+(258.5-1126.9)+(-7.09104+(-0.52734--2.298876))+0-568.9--1.16055599999998</f>
        <v>2034.5410519999998</v>
      </c>
      <c r="AC18" s="3">
        <f>3024.1+(319.3-682.9)+(-3.084582+(-0.325686--0.696558))+0-632.1--0.644742000000101</f>
        <v>2026.3310320000003</v>
      </c>
      <c r="AD18">
        <v>2218.2999999999997</v>
      </c>
      <c r="AE18" s="3">
        <f>4404+(336.7-2095.6)+(0+(0-0))+0-488.8-0</f>
        <v>2156.3000000000002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2675.3+(324.4-511.9)+(-2.728806+(-0.330888--0.522138))+0-513.3--0.523566000000082</f>
        <v>1972.4860100000001</v>
      </c>
      <c r="G19" s="3">
        <f>2568.5+(430.6-500.1)+(-1.309935+(-0.219606--0.255051))+0-544.8--0.277847999999945</f>
        <v>1953.2033580000002</v>
      </c>
      <c r="H19" s="3">
        <f>2126.4+(759.7-234.7)+(-3.253392+(-1.162341--0.359091))+0-639.5--0.978435000000037</f>
        <v>2008.8217930000001</v>
      </c>
      <c r="I19" s="3">
        <f>1723.2+(974.4-219.8)+(0+(0-0))+0-551.6-0</f>
        <v>1926.2000000000003</v>
      </c>
      <c r="J19" s="3">
        <f>1735.6+(1029.4-208)+(-2.655468+(-1.574982--0.31824))+0-661.6--1.01224800000004</f>
        <v>1892.5000380000001</v>
      </c>
      <c r="K19" s="3">
        <f>1632.7+(1088.7-197)+(0.832677+(0.555237-0.10047))+0-686.9-0.35031899999993</f>
        <v>1838.4371250000002</v>
      </c>
      <c r="L19" s="3">
        <f>1403.1+(1120-198.3)+(-2.146743+(-1.7136--0.303399))+0-507.4--0.776322000000029</f>
        <v>1814.6193780000001</v>
      </c>
      <c r="M19" s="3">
        <f>1495.4+(1140-211.8)+(-3.050616+(-2.3256--0.432072))+0-694.1--1.41596399999997</f>
        <v>1725.9718200000004</v>
      </c>
      <c r="N19" s="3">
        <f>1897.5+(542.3-274.7)+(-4.838625+(-1.382865--0.700485))+0-519.6--1.32497999999992</f>
        <v>1641.3039749999998</v>
      </c>
      <c r="O19" s="3">
        <f>2431.4+(379.2-479.7)+(-1.240014+(-0.193392--0.244647))+0-648.8--0.330887999999934</f>
        <v>1681.242129</v>
      </c>
      <c r="P19" s="3">
        <f>2792+(371.8-905.8)+(-2.84784+(-0.379236--0.923916))+0-583.8--0.595476000000093</f>
        <v>1672.4923160000003</v>
      </c>
      <c r="Q19" s="3">
        <f>2944.8+(274.3-936.7)+(-1.501848+(-0.139893--0.477717))+0-546.1--0.278510999999945</f>
        <v>1735.414487</v>
      </c>
      <c r="R19" s="3">
        <f>3065.9+(239.9-1011.3)+(-4.690827+(-0.367047--1.547289))+0-589.8--0.902394000000034</f>
        <v>1702.091809</v>
      </c>
      <c r="S19" s="3">
        <f>2872.2+(222.3-809.2)+(-8.788932+(-0.680238--2.476152))+0-478.3--1.46359800000006</f>
        <v>1801.4705799999997</v>
      </c>
      <c r="T19" s="3">
        <f>2765.8+(322-631.5)+(-2.821116+(-0.32844--0.64413))+0-537.7--0.548454000000086</f>
        <v>1916.643028</v>
      </c>
      <c r="U19" s="3">
        <f>2451+(491.5-513.8)+(-7.50006+(-1.50399--1.572228))+0-531.4--1.62608400000006</f>
        <v>1891.4942619999997</v>
      </c>
      <c r="V19" s="3">
        <f>2293+(580.5-503.1)+(-3.50829+(-0.888165--0.769743))+0-501.6--0.767448000000029</f>
        <v>1865.940736</v>
      </c>
      <c r="W19" s="3">
        <f>2175+(661.9-482.1)+(-1.10925+(-0.337569--0.245871))+0-535.1--0.272900999999946</f>
        <v>1818.7719530000002</v>
      </c>
      <c r="X19" s="3">
        <f>2075.2+(759.9-451.2)+(0+(0-0))+0-654.6-0</f>
        <v>1729.2999999999997</v>
      </c>
      <c r="Y19" s="3">
        <f>2719.2+(524.7-837.5)+(-1.386792+(-0.267597--0.427125))+0-598.7--0.305336999999939</f>
        <v>1806.7780729999995</v>
      </c>
      <c r="Z19" s="3">
        <f>4179.8+(361.9-1839)+(-6.395094+(-0.553707--2.81367))+0-621.6--0.951048000000036</f>
        <v>2077.9159170000003</v>
      </c>
      <c r="AA19" s="3">
        <f>3935.2+(382.2-1612.7)+(-2.006952+(-0.194922--0.822477))+0-588.1--0.29993099999994</f>
        <v>2115.5205339999998</v>
      </c>
      <c r="AB19" s="3">
        <f>3429.4+(390.9-1147.5)+(-6.995976+(-0.797436--2.3409))+0-567.2--1.15708799999998</f>
        <v>2101.3045760000005</v>
      </c>
      <c r="AC19" s="3">
        <f>3185.3+(385.6-774.9)+(-1.624503+(-0.196656--0.395199))+0-597.3--0.304622999999939</f>
        <v>2197.5786630000002</v>
      </c>
      <c r="AD19">
        <v>2158.6999999999998</v>
      </c>
      <c r="AE19" s="3">
        <f>4458+(390.2-1972.2)+(0+(0-0))+0-717.3-0</f>
        <v>2158.6999999999998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2820.5+(563.3-374.5)+(-7.192275+(-1.436415--0.954975))+0-649--1.65494999999991</f>
        <v>2354.2812350000004</v>
      </c>
      <c r="G20" s="3">
        <f>2585+(567.1-391.8)+(-3.95505+(-0.867663--0.599454))+0-546.5--0.836145000000032</f>
        <v>2210.4128860000005</v>
      </c>
      <c r="H20" s="3">
        <f>2438+(669-396.5)+(2.48676+(0.68238-0.40443))+0-643.8-0.656676000000103</f>
        <v>2068.8080340000001</v>
      </c>
      <c r="I20" s="3">
        <f>1940.1+(961.9-232.3)+(0+(0-0))+0-651.7-0</f>
        <v>2017.9999999999998</v>
      </c>
      <c r="J20" s="3">
        <f>1770.3+(949.1-211.5)+(-1.805706+(-0.968082--0.21573))+0-579.6--0.591192000000092</f>
        <v>1926.3331340000002</v>
      </c>
      <c r="K20" s="3">
        <f>1811.5+(914.4-211.6)+(-2.771595+(-1.399032--0.323748))+0-645--0.986850000000037</f>
        <v>1866.439971</v>
      </c>
      <c r="L20" s="3">
        <f>1611.3+(1018.3-203.6)+(-3.287052+(-2.077332--0.415344))+0-617.3--1.25929199999997</f>
        <v>1805.010252</v>
      </c>
      <c r="M20" s="3">
        <f>1886.7+(807.2-355.1)+(0+(0-0))+0-601.6-0</f>
        <v>1737.2000000000003</v>
      </c>
      <c r="N20" s="3">
        <f>2361.5+(964.3-987.4)+(0+(0-0))+0-642.2-0</f>
        <v>1696.2</v>
      </c>
      <c r="O20" s="3">
        <f>3006.1+(923.4-1499)+(0+(0-0))+0-542.1-0</f>
        <v>1888.4</v>
      </c>
      <c r="P20" s="3">
        <f>3483.8+(832.7-1815.9)+(0+(0-0))+0-618.1-0</f>
        <v>1882.5000000000005</v>
      </c>
      <c r="Q20" s="3">
        <f>3712.9+(753.3-2025.4)+(-7.574316+(-1.536732--4.131816))+0-443.3--0.904331999999981</f>
        <v>1993.4251000000002</v>
      </c>
      <c r="R20" s="3">
        <f>3689+(720.7-1940)+(-1.88139+(-0.367557--0.9894))+0-495.9--0.25290899999995</f>
        <v>1972.7933619999997</v>
      </c>
      <c r="S20" s="3">
        <f>3463.4+(699.1-1401.4)+(-3.532668+(-0.713082--1.429428))+0-586.4--0.598128000000093</f>
        <v>2172.4818059999998</v>
      </c>
      <c r="T20" s="3">
        <f>3255.7+(675.2-1102.5)+(-3.320814+(-0.688704--1.12455))+0-575.2--0.586704000000092</f>
        <v>2250.9017359999998</v>
      </c>
      <c r="U20" s="3">
        <f>3174.2+(719.4-1126.5)+(0+(0-0))+0-523.1-0</f>
        <v>2244</v>
      </c>
      <c r="V20" s="3">
        <f>2961.9+(771.9-943.8)+(-1.510569+(-0.393669--0.481338))+0-611.1--0.311660999999938</f>
        <v>2177.7887609999998</v>
      </c>
      <c r="W20" s="3">
        <f>2546.4+(751.5-713.5)+(-7.791984+(-2.29959--2.18331))+0-521.1--1.59456600000006</f>
        <v>2056.9863020000003</v>
      </c>
      <c r="X20" s="3">
        <f>2484+(761.7-785.1)+(-5.06736+(-1.553868--1.601604))+0-563.1--1.14872399999998</f>
        <v>1893.6290999999999</v>
      </c>
      <c r="Y20" s="3">
        <f>2931.4+(712.6-1158.5)+(2.990028+(0.726852-1.18167))+0-535.7-0.546414000000085</f>
        <v>1951.7887959999998</v>
      </c>
      <c r="Z20" s="3">
        <f>4282.2+(695.7-2246.6)+(0+(0-0))+0-490-0</f>
        <v>2241.3000000000002</v>
      </c>
      <c r="AA20" s="3">
        <f>4124.3+(711.4-1964.2)+(-10.516965+(-1.81407--5.00871))+0-587.8--1.49888999999991</f>
        <v>2277.8765649999996</v>
      </c>
      <c r="AB20" s="3">
        <f>3228+(737.6-1076.7)+(-1.64628+(-0.376176--0.549117))+0-614.1--0.313190999999938</f>
        <v>2273.6398519999998</v>
      </c>
      <c r="AC20" s="3">
        <f>2943.6+(645.9-782.1)+(-3.002472+(-0.658818--0.797742))+0-547.7--0.558654000000087</f>
        <v>2257.3951059999995</v>
      </c>
      <c r="AD20">
        <v>2229.4</v>
      </c>
      <c r="AE20" s="3">
        <f>4447+(682.3-2387.4)+(0+(0-0))+0-512.5-0</f>
        <v>2229.3999999999996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2379.6+(726.2-269.8)+(-2.427192+(-0.740724--0.275196))+0-593.4--0.605268000000095</f>
        <v>2240.3125480000003</v>
      </c>
      <c r="G21" s="3">
        <f>2038.7+(983.4-233.5)+(0+(0-0))+0-613.6-0</f>
        <v>2175</v>
      </c>
      <c r="H21" s="3">
        <f>1939.8+(830.7-220.9)+(-3.957192+(-1.694628--0.450636))+0-479.7--0.978587999999979</f>
        <v>2065.677404</v>
      </c>
      <c r="I21" s="3">
        <f>1874.4+(870.8-203.3)+(-3.823776+(-1.776432--0.414732))+0-537.4--1.09629599999998</f>
        <v>2000.4108199999998</v>
      </c>
      <c r="J21" s="3">
        <f>1908+(770.3-202.2)+(-2.91924+(-1.178559--0.309366))+0-562.9--0.861237000000032</f>
        <v>1910.2728039999997</v>
      </c>
      <c r="K21" s="3">
        <f>1976.5+(710.6-286.9)+(-3.024045+(-1.087218--0.438957))+0-577.2--0.883116000000033</f>
        <v>1820.2108099999998</v>
      </c>
      <c r="L21" s="3">
        <f>1824+(779.2-215.5)+(-0.93024+(-0.397392--0.109905))+0-588.9--0.30033899999994</f>
        <v>1797.8826119999994</v>
      </c>
      <c r="M21" s="3">
        <f>1831.7+(660.3-353.6)+(0+(0-0))+0-527.4-0</f>
        <v>1611</v>
      </c>
      <c r="N21" s="3">
        <f>2021+(603.4-522)+(-1.03071+(-0.307734--0.26622))+0-368.4--0.187883999999963</f>
        <v>1733.1156599999999</v>
      </c>
      <c r="O21" s="3">
        <f>2612.9+(655.7-971.6)+(-2.665158+(-0.668814--0.991032))+0-552.5--0.563550000000088</f>
        <v>1742.7206100000001</v>
      </c>
      <c r="P21" s="3">
        <f>3279.6+(490.7-1365.5)+(-1.672596+(-0.250257--0.696405))+0-502.3--0.256172999999949</f>
        <v>1901.5297250000003</v>
      </c>
      <c r="Q21" s="3">
        <f>3660.1+(371.3-1629.1)+(0+(0-0))+0-473.5-0</f>
        <v>1928.8000000000002</v>
      </c>
      <c r="R21" s="3">
        <f>3920.2+(334.1-1785.9)+(0+(0-0))+0-528.9-0</f>
        <v>1939.4999999999995</v>
      </c>
      <c r="S21" s="3">
        <f>3853.1+(248.3-1471.8)+(-3.930162+(-0.253266--1.501236))+0-561.6--0.57283200000009</f>
        <v>2065.8906400000001</v>
      </c>
      <c r="T21" s="3">
        <f>3805.8+(248-1462.5)+(0+(0-0))+0-502.6-0</f>
        <v>2088.7000000000003</v>
      </c>
      <c r="U21" s="3">
        <f>3501.6+(291.1-1152)+(0+(0-0))+0-542.3-0</f>
        <v>2098.3999999999996</v>
      </c>
      <c r="V21" s="3">
        <f>3111.9+(520.4-1070.6)+(-4.761207+(-0.796212--1.638018))+0-493.3--0.754749000000029</f>
        <v>2065.2353480000002</v>
      </c>
      <c r="W21" s="3">
        <f>2693.7+(579-715.1)+(-4.121361+(-0.88587--1.094103))+0-576.3--0.881739000000033</f>
        <v>1978.2686109999997</v>
      </c>
      <c r="X21" s="3">
        <f>2502.4+(492.3-515.6)+(-5.104896+(-1.004292--1.051824))+0-534.8--1.09099199999998</f>
        <v>1940.3336280000001</v>
      </c>
      <c r="Y21" s="3">
        <f>3123.7+(425.8-1083.4)+(0+(0-0))+0-574.1-0</f>
        <v>1891.9999999999995</v>
      </c>
      <c r="Z21" s="3">
        <f>4335.3+(483-2159.1)+(-8.844012+(-0.98532--4.404564))+0-499.9--1.01979599999998</f>
        <v>2154.8950280000004</v>
      </c>
      <c r="AA21" s="3">
        <f>4012+(499.6-1788.8)+(-6.13836+(-0.764388--2.736864))+0-508.1--0.777393000000029</f>
        <v>2211.3115090000001</v>
      </c>
      <c r="AB21" s="3">
        <f>3566.5+(500.1-1292.3)+(-5.456745+(-0.765153--1.977219))+0-616.3--0.942939000000036</f>
        <v>2154.6982600000006</v>
      </c>
      <c r="AC21" s="3">
        <f>3175.7+(514.4-893.1)+(-4.858821+(-0.787032--1.366443))+0-553.3--0.846549000000032</f>
        <v>2240.2671389999996</v>
      </c>
      <c r="AD21">
        <v>2270.0999999999995</v>
      </c>
      <c r="AE21" s="3">
        <f>4337+(600.4-2189.3)+(0+(0-0))+0-478-0</f>
        <v>2270.1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2607.7+(614.4-380.2)+(-2.659854+(-0.626688--0.387804))+0-581.9--0.593538000000093</f>
        <v>2257.6947999999998</v>
      </c>
      <c r="G22" s="3">
        <f>2242.8+(798.7-269.1)+(0+(0-0))+0-547.9-0</f>
        <v>2224.5</v>
      </c>
      <c r="H22" s="3">
        <f>1982.8+(1036.3-236)+(-3.033684+(-1.585539--0.36108))+0-640.4--0.979812000000037</f>
        <v>2139.4216689999998</v>
      </c>
      <c r="I22" s="3">
        <f>1941.4+(884-290.5)+(-1.980228+(-0.90168--0.29631))+0-483.8--0.493476000000077</f>
        <v>2049.0078779999999</v>
      </c>
      <c r="J22" s="3">
        <f>2045.1+(806.1-265.2)+(1.043001+(0.411111-0.135252))+0-630.6-0.321605999999936</f>
        <v>1956.397254</v>
      </c>
      <c r="K22" s="3">
        <f>1979.2+(777.3-300.7)+(-2.018784+(-0.792846--0.306714))+0-572.7--0.584154000000091</f>
        <v>1881.1792380000004</v>
      </c>
      <c r="L22" s="3">
        <f>1887.6+(804-220.6)+(-2.888028+(-1.23012--0.337518))+0-601.4--0.920142000000035</f>
        <v>1866.7395119999996</v>
      </c>
      <c r="M22" s="3">
        <f>1880.6+(689.8-241.4)+(0+(0-0))+0-617.8-0</f>
        <v>1711.2</v>
      </c>
      <c r="N22" s="3">
        <f>2371.5+(499.6-690.2)+(4.83786+(1.019184-1.408008))+0-503.6-1.02734399999998</f>
        <v>1680.7216920000001</v>
      </c>
      <c r="O22" s="3">
        <f>3097.8+(574.5-1389.2)+(1.579878+(0.292995-0.708492))+0-589.9-0.30084899999994</f>
        <v>1694.0635320000004</v>
      </c>
      <c r="P22" s="3">
        <f>3450.6+(409.3-1652.4)+(0+(0-0))+0-538.9-0</f>
        <v>1668.6</v>
      </c>
      <c r="Q22" s="3">
        <f>3724.5+(302.7-1845.1)+(0+(0-0))+0-504.4-0</f>
        <v>1677.7000000000003</v>
      </c>
      <c r="R22" s="3">
        <f>4033.5+(235.4-1802.5)+(-8.22834+(-0.480216--3.6771))+0-566--1.15463999999998</f>
        <v>1896.5231839999999</v>
      </c>
      <c r="S22" s="3">
        <f>3588.5+(236.7-1319.4)+(-3.66027+(-0.241434--1.345788))+0-465.7--0.475014000000074</f>
        <v>2038.0190980000004</v>
      </c>
      <c r="T22" s="3">
        <f>3493.7+(307-1174.3)+(0+(0-0))+0-489.5-0</f>
        <v>2136.8999999999996</v>
      </c>
      <c r="U22" s="3">
        <f>3359.8+(315.4-1053.2)+(-3.426996+(-0.321708--1.074264))+0-551.2--0.562224000000088</f>
        <v>2068.6877840000006</v>
      </c>
      <c r="V22" s="3">
        <f>3178.6+(300.5-888.3)+(-3.242172+(-0.30651--0.906066))+0-547.7--0.558654000000087</f>
        <v>2041.0160380000002</v>
      </c>
      <c r="W22" s="3">
        <f>2946.2+(367.2-684.7)+(0+(0-0))+0-553-0</f>
        <v>2075.6999999999998</v>
      </c>
      <c r="X22" s="3">
        <f>2455.8+(572.8-493.6)+(-1.252458+(-0.292128--0.251736))+0-548.8--0.279887999999944</f>
        <v>1985.1870380000003</v>
      </c>
      <c r="Y22" s="3">
        <f>3063.9+(490-1048.8)+(-1.562589+(-0.2499--0.534888))+0-544.1--0.277490999999945</f>
        <v>1959.9998900000007</v>
      </c>
      <c r="Z22" s="3">
        <f>4256.9+(459-1841.6)+(-8.684076+(-0.93636--3.756864))+0-639.2--1.30396799999997</f>
        <v>2230.5403959999994</v>
      </c>
      <c r="AA22" s="3">
        <f>4000.7+(460.6-1495.1)+(-8.161428+(-0.939624--3.050004))+0-661.7--1.34986799999997</f>
        <v>2299.7988199999995</v>
      </c>
      <c r="AB22" s="3">
        <f>3726.9+(366.8-1250.7)+(-5.702157+(-0.561204--1.913571))+0-584--0.893520000000034</f>
        <v>2255.5437299999999</v>
      </c>
      <c r="AC22" s="3">
        <f>3786+(450.3-1254.3)+(-7.72344+(-0.918612--2.558772))+0-607.5--1.23929999999997</f>
        <v>2369.6560200000004</v>
      </c>
      <c r="AD22">
        <v>2249.8999999999996</v>
      </c>
      <c r="AE22" s="3">
        <f>4361+(620.9-2012.7)+(0+(0-0))+0-719.3-0</f>
        <v>2249.8999999999996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3280.1+(415-556.1)+(-5.018553+(-0.63495--0.850833))+0-605.7--0.926721000000035</f>
        <v>2529.424051</v>
      </c>
      <c r="G23" s="3">
        <f>2583.2+(815-395.6)+(-6.58716+(-2.07825--1.00878))+51.7-588.4--1.50041999999991</f>
        <v>2459.7437899999995</v>
      </c>
      <c r="H23" s="3">
        <f>2253.1+(946.6-321.5)+(-1.149081+(-0.482766--0.163965))+0-602.3--0.307172999999939</f>
        <v>2274.7392909999999</v>
      </c>
      <c r="I23" s="3">
        <f>2181.3+(933.6-294)+(-4.449852+(-1.904544--0.59976))+0-624.6--1.27418399999997</f>
        <v>2191.8195479999999</v>
      </c>
      <c r="J23" s="3">
        <f>2202.8+(857.3-323)+(-4.493712+(-1.748892--0.65892))+0-616.8--1.25827199999997</f>
        <v>2115.974588</v>
      </c>
      <c r="K23" s="3">
        <f>2151.8+(851.9-242.6)+(1.097418+(0.434469-0.123726))+0-687.1-0.35042099999993</f>
        <v>2075.0577400000002</v>
      </c>
      <c r="L23" s="3">
        <f>2045.4+(787.7-253.4)+(-4.172616+(-1.606908--0.516936))+0-616.1--1.25684399999997</f>
        <v>1959.5942560000003</v>
      </c>
      <c r="M23" s="3">
        <f>2005.9+(794.1-337.7)+(-2.046018+(-0.809982--0.344454))+0-628.2--0.6407640000001</f>
        <v>1832.2292179999999</v>
      </c>
      <c r="N23" s="3">
        <f>2219.4+(653.8-438.8)+(0+(0-0))+0-602.1-0</f>
        <v>1832.3000000000002</v>
      </c>
      <c r="O23" s="3">
        <f>2719.4+(582.2-964.3)+(1.386894+(0.296922-0.491793))+0-453.6-0.231335999999954</f>
        <v>1884.6606870000003</v>
      </c>
      <c r="P23" s="3">
        <f>3509.4+(461-1458.9)+(1.789794+(0.23511-0.744039))+0-565.2-0.288251999999943</f>
        <v>1947.2926130000003</v>
      </c>
      <c r="Q23" s="3">
        <f>3818.3+(361.6-1744.3)+(-1.947333+(-0.184416--0.889593))+0-421.3--0.214862999999957</f>
        <v>2013.2727070000005</v>
      </c>
      <c r="R23" s="3">
        <f>4261.1+(350.4-1869.2)+(-2.173161+(-0.178704--0.953292))+0-598--0.304979999999939</f>
        <v>2143.2064070000001</v>
      </c>
      <c r="S23" s="3">
        <f>3887.6+(345.1-1460.3)+(-9.91338+(-0.880005--3.723765))+0-471.6--1.20257999999993</f>
        <v>2294.9329600000001</v>
      </c>
      <c r="T23" s="3">
        <f>3901.9+(339.8-1294.9)+(-3.979938+(-0.346596--1.320798))+0-550.9--0.561918000000088</f>
        <v>2393.4561819999999</v>
      </c>
      <c r="U23" s="3">
        <f>3853.9+(343.6-1292.3)+(-3.930978+(-0.350472--1.318146))+0-533.3--0.543966000000085</f>
        <v>2369.4806620000008</v>
      </c>
      <c r="V23" s="3">
        <f>3536.8+(354.2-1066.6)+(0+(0-0))+0-482.2-0</f>
        <v>2342.2000000000007</v>
      </c>
      <c r="W23" s="3">
        <f>3192+(484.4-895.3)+(-8.1396+(-1.23522--2.283015))+0-614.4--1.56671999999991</f>
        <v>2161.1749149999996</v>
      </c>
      <c r="X23" s="3">
        <f>2976.1+(500.9-917.8)+(-6.071244+(-1.021836--1.872312))+0-521.9--1.06467599999998</f>
        <v>2033.1439079999996</v>
      </c>
      <c r="Y23" s="3">
        <f>3312.2+(473.2-1214.8)+(1.689222+(0.241332-0.619548))+0-535.8-0.273257999999946</f>
        <v>2035.8377479999999</v>
      </c>
      <c r="Z23" s="3">
        <f>4473.3+(383.7-1987.7)+(-6.844149+(-0.587061--3.041181))+0-590.9--0.904077000000034</f>
        <v>2274.9140480000001</v>
      </c>
      <c r="AA23" s="3">
        <f>3971.1+(397.5-1530.3)+(-10.126305+(-1.013625--3.902265))+0-605.3--1.54351499999991</f>
        <v>2227.3058500000002</v>
      </c>
      <c r="AB23" s="3">
        <f>3319.7+(426.6-823.8)+(-8.465235+(-1.08783--2.10069))+0-550.7--1.40428499999992</f>
        <v>2365.7519100000004</v>
      </c>
      <c r="AC23" s="3">
        <f>3038.6+(645.7-573.5)+(-3.099372+(-0.658614--0.58497))+0-535--0.545700000000085</f>
        <v>2573.1726840000001</v>
      </c>
      <c r="AD23">
        <v>2264.6</v>
      </c>
      <c r="AE23" s="3">
        <f>4555+(381.4-2055.2)+(0+(0-0))+0-616.6-0</f>
        <v>2264.6000000000004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2726.2+(796.9-454.2)+(0+(0-0))+0-625-0</f>
        <v>2443.8999999999996</v>
      </c>
      <c r="G24" s="3">
        <f>2715.7+(542.4-434.4)+(2.770014+(0.553248-0.443088))+0-578.6-0.590172000000092</f>
        <v>2247.3900019999996</v>
      </c>
      <c r="H24" s="3">
        <f>2530+(780.9-330.8)+(-3.8709+(-1.194777--0.506124))+0-646.3--0.988839000000037</f>
        <v>2330.2292860000002</v>
      </c>
      <c r="I24" s="3">
        <f>2124+(936.4-248)+(-2.16648+(-0.955128--0.25296))+0-553.4--0.564468000000088</f>
        <v>2256.6958199999999</v>
      </c>
      <c r="J24" s="3">
        <f>2161.7+(885.1-243.3)+(-4.409868+(-1.805604--0.496332))+0-607.7--1.23970799999997</f>
        <v>2191.3205680000001</v>
      </c>
      <c r="K24" s="3">
        <f>2190.3+(810.2-262.2)+(0+(0-0))+0-604.7-0</f>
        <v>2133.6000000000004</v>
      </c>
      <c r="L24" s="3">
        <f>2191.5+(743.7-290.3)+(-1.117665+(-0.379287--0.148053))+0-600.7--0.306356999999939</f>
        <v>2043.1574579999999</v>
      </c>
      <c r="M24" s="3">
        <f>2110.5+(685.5-284.4)+(0+(0-0))+0-595.1-0</f>
        <v>1916.5</v>
      </c>
      <c r="N24" s="3">
        <f>2370.4+(521-428.5)+(-1.208904+(-0.26571--0.218535))+0-572.2--0.291821999999942</f>
        <v>1889.7357429999997</v>
      </c>
      <c r="O24" s="3">
        <f>2915.2+(418.4-866.1)+(-1.486752+(-0.213384--0.441711))+0-550.3--0.280652999999944</f>
        <v>1916.2222280000001</v>
      </c>
      <c r="P24" s="3">
        <f>3596.2+(447.5-1581.3)+(-3.668124+(-0.45645--1.612926))+0-527.7--0.538254000000084</f>
        <v>1932.7266059999995</v>
      </c>
      <c r="Q24" s="3">
        <f>3885+(525.7-1885.7)+(-3.9627+(-0.536214--1.923414))+0-582.9--0.594558000000093</f>
        <v>1940.119058</v>
      </c>
      <c r="R24" s="3">
        <f>3752.7+(523.4-1803.3)+(-3.827754+(-0.533868--1.839366))+0-516--0.526320000000082</f>
        <v>1954.8040639999997</v>
      </c>
      <c r="S24" s="3">
        <f>3342.4+(440.3-1254.5)+(-3.409248+(-0.449106--1.27959))+0-534.7--0.545394000000085</f>
        <v>1991.4666299999999</v>
      </c>
      <c r="T24" s="3">
        <f>3506.8+(410.8-1388.4)+(0+(0-0))+0-515.9-0</f>
        <v>2013.2999999999997</v>
      </c>
      <c r="U24" s="3">
        <f>3237.2+(588.7-1280.1)+(-3.301944+(-0.600474--1.305702))+0-562.3--0.57354600000009</f>
        <v>1981.4768300000003</v>
      </c>
      <c r="V24" s="3">
        <f>3333.8+(588.2-1428.1)+(5.100714+(0.899946-2.184993))+0-546.9-0.836757000000032</f>
        <v>1949.9789100000003</v>
      </c>
      <c r="W24" s="3">
        <f>3032.1+(602.5-1191.7)+(-6.185484+(-1.2291--2.431068))+0-530.2--1.08160799999998</f>
        <v>1908.7980919999998</v>
      </c>
      <c r="X24" s="3">
        <f>2960+(542.4-973.1)+(1.5096+(0.276624-0.496281))+0-634.2-0.323441999999936</f>
        <v>1896.0665010000005</v>
      </c>
      <c r="Y24" s="3">
        <f>3330.3+(514.4-1341.5)+(1.698453+(0.262344-0.684165))+0-571.1-0.291260999999942</f>
        <v>1933.0853710000006</v>
      </c>
      <c r="Z24" s="3">
        <f>4126.9+(571.8-1975.8)+(-8.418876+(-1.166472--4.030632))+0-633.3--1.29193199999997</f>
        <v>2085.3372159999999</v>
      </c>
      <c r="AA24" s="3">
        <f>3992.7+(420.4-1792.4)+(-12.217662+(-1.286424--5.484744))+0-560.2--1.71421200000006</f>
        <v>2054.1948699999994</v>
      </c>
      <c r="AB24" s="3">
        <f>3463+(427-1266.9)+(-7.06452+(-0.87108--2.584476))+0-635.8--1.29703199999997</f>
        <v>1983.2459080000001</v>
      </c>
      <c r="AC24" s="3">
        <f>3182.8+(560.7-1261.5)+(-6.492912+(-1.143828--2.57346))+0-509.9--1.04019599999998</f>
        <v>1968.076916</v>
      </c>
      <c r="AD24">
        <v>2117</v>
      </c>
      <c r="AE24" s="3">
        <f>4214+(566.8-2026.1)+(0+(0-0))+0-637.7-0</f>
        <v>2117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2794+(397.5-925.6)+(-1.42494+(-0.202725--0.472056))+0-567.2--0.289271999999942</f>
        <v>1697.8336630000001</v>
      </c>
      <c r="G25" s="3">
        <f>2318.6+(516.2-662.9)+(-4.729944+(-1.053048--1.352316))+0-548--1.11791999999998</f>
        <v>1620.5872440000001</v>
      </c>
      <c r="H25" s="3">
        <f>2088.7+(544.9-544.8)+(-2.130474+(-0.555798--0.555696))+0-490.4--0.500208000000078</f>
        <v>1596.7696319999998</v>
      </c>
      <c r="I25" s="3">
        <f>1944.4+(590.3-389.4)+(0.991644+(0.301053-0.198594))+0-580.4-0.296003999999941</f>
        <v>1565.698099</v>
      </c>
      <c r="J25" s="3">
        <f>1952.2+(518.4-366.6)+(1.991244+(0.528768-0.373932))+0-522.7-0.533154000000083</f>
        <v>1582.9129259999997</v>
      </c>
      <c r="K25" s="3">
        <f>1886.3+(579.1-344.5)+(-0.962013+(-0.295341--0.175695))+0-567.5--0.289424999999942</f>
        <v>1552.6077660000001</v>
      </c>
      <c r="L25" s="3">
        <f>1768.4+(609.6-234.3)+(-2.705652+(-0.932688--0.358479))+0-579.5--0.886635000000033</f>
        <v>1561.8067740000004</v>
      </c>
      <c r="M25" s="3">
        <f>1842.8+(580.1-363.9)+(0+(0-0))+0-528.1-0</f>
        <v>1530.9</v>
      </c>
      <c r="N25" s="3">
        <f>2258.6+(506.3-667)+(0+(0-0))+0-611.6-0</f>
        <v>1486.3000000000002</v>
      </c>
      <c r="O25" s="3">
        <f>2791.2+(391.1-1091.4)+(-1.423512+(-0.199461--0.556614))+0-531.8--0.271217999999946</f>
        <v>1558.3048589999996</v>
      </c>
      <c r="P25" s="3">
        <f>3066.8+(309.2-1173.9)+(4.692204+(0.473076-1.796067))+0-536.2-0.820386000000031</f>
        <v>1668.4488270000002</v>
      </c>
      <c r="Q25" s="3">
        <f>3555.9+(239.5-1450.2)+(-10.881054+(-0.73287--4.437612))+0-600.9--1.83875400000007</f>
        <v>1738.9624419999998</v>
      </c>
      <c r="R25" s="3">
        <f>3608.5+(216.9-1671.6)+(-9.201675+(-0.553095--4.26258))+0-569.9--1.45324499999992</f>
        <v>1579.8610550000001</v>
      </c>
      <c r="S25" s="3">
        <f>3424.3+(210.1-1161.5)+(-1.746393+(-0.107151--0.592365))+0-678.9--0.346238999999931</f>
        <v>1793.0850599999999</v>
      </c>
      <c r="T25" s="3">
        <f>3362.3+(173.5-1322.7)+(1.714773+(0.088485-0.674577))+0-494.7-0.25229699999995</f>
        <v>1719.2763840000005</v>
      </c>
      <c r="U25" s="3">
        <f>3507.6+(198.3-1295.5)+(-1.788876+(-0.101133--0.660705))+0-707.1--0.360620999999928</f>
        <v>1702.4313169999998</v>
      </c>
      <c r="V25" s="3">
        <f>2993.4+(272.1-973.8)+(-6.106536+(-0.555084--1.986552))+0-597.8--1.21951199999997</f>
        <v>1690.4444440000002</v>
      </c>
      <c r="W25" s="3">
        <f>2823.3+(369.5-731.3)+(-4.319649+(-0.565335--1.118889))+0-665.4--1.01806200000004</f>
        <v>1793.3519670000001</v>
      </c>
      <c r="X25" s="3">
        <f>2718.7+(384.1-785.8)+(-2.773074+(-0.391782--0.801516))+0-565.7--0.57701400000009</f>
        <v>1749.5136740000003</v>
      </c>
      <c r="Y25" s="3">
        <f>3115+(294.4-1113.7)+(-6.3546+(-0.600576--2.271948))+0-602.7--1.22950799999997</f>
        <v>1689.5462799999998</v>
      </c>
      <c r="Z25" s="3">
        <f>3736.8+(318.5-1524.9)+(-9.52884+(-0.812175--3.888495))+0-648.6--1.65392999999991</f>
        <v>1877.0014100000003</v>
      </c>
      <c r="AA25" s="3">
        <f>3242.5+(384.4-1140)+(-4.961025+(-0.588132--1.7442))+0-670.4--1.02571200000004</f>
        <v>1813.7207550000003</v>
      </c>
      <c r="AB25" s="3">
        <f>2877.4+(421.1-903.7)+(-2.934948+(-0.429522--0.921774))+0-628.3--0.6408660000001</f>
        <v>1764.6981700000003</v>
      </c>
      <c r="AC25" s="3">
        <f>2731.6+(375.7-783.4)+(-1.393116+(-0.191607--0.399534))+0-540.8--0.275807999999945</f>
        <v>1782.1906190000002</v>
      </c>
      <c r="AD25">
        <v>1993.4999999999998</v>
      </c>
      <c r="AE25" s="3">
        <f>3632+(456.6-1546.9)+(0+(0-0))+0-548.2-0</f>
        <v>1993.4999999999998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2517.7+(424.4-545.3)+(-1.284027+(-0.216444--0.278103))+0-617.3--0.314822999999937</f>
        <v>1778.5924549999995</v>
      </c>
      <c r="G26" s="3">
        <f>2519.6+(404.7-606.6)+(-2.569992+(-0.412794--0.618732))+0-670.7--0.684114000000107</f>
        <v>1645.3200599999998</v>
      </c>
      <c r="H26" s="3">
        <f>2104.9+(479.1-516.3)+(-3.220497+(-0.733023--0.789939))+0-616.4--0.943092000000036</f>
        <v>1449.0795110000004</v>
      </c>
      <c r="I26" s="3">
        <f>2012.6+(563.3-436.6)+(0+(0-0))+0-677.4-0</f>
        <v>1461.8999999999996</v>
      </c>
      <c r="J26" s="3">
        <f>2054+(580.1-509)+(0+(0-0))+0-677.2-0</f>
        <v>1447.8999999999999</v>
      </c>
      <c r="K26" s="3">
        <f>1976.4+(496.2-479.6)+(-2.015928+(-0.506124--0.489192))+0-577.2--0.588744000000092</f>
        <v>1414.3558840000001</v>
      </c>
      <c r="L26" s="3">
        <f>1947.5+(617.4-469.6)+(-7.9458+(-2.518992--1.915968))+0-693.2--2.82825599999994</f>
        <v>1396.3794320000002</v>
      </c>
      <c r="M26" s="3">
        <f>1874.1+(529.5-423)+(-1.911582+(-0.54009--0.43146))+0-586.3--0.598026000000093</f>
        <v>1392.8778140000002</v>
      </c>
      <c r="N26" s="3">
        <f>2345.4+(471.6-789.5)+(4.784616+(0.962064-1.61058))+0-672.9-1.37271599999997</f>
        <v>1357.363384</v>
      </c>
      <c r="O26" s="3">
        <f>2675.6+(425-1262.2)+(-4.093668+(-0.65025--1.931166))+0-496.6--0.759798000000029</f>
        <v>1339.747046</v>
      </c>
      <c r="P26" s="3">
        <f>3460.8+(276.5-1811.7)+(3.530016+(0.28203-1.847934))+0-452.8-0.461856000000072</f>
        <v>1474.3022559999999</v>
      </c>
      <c r="Q26" s="3">
        <f>3784.7+(281.9-1883.2)+(-5.790591+(-0.431307--2.881296))+0-614--0.939420000000035</f>
        <v>1566.9988179999993</v>
      </c>
      <c r="R26" s="3">
        <f>3415.7+(312.5-1647.2)+(-12.194049+(-1.115625--5.880504))+0-524--1.87068000000001</f>
        <v>1551.4415100000001</v>
      </c>
      <c r="S26" s="3">
        <f>3384.5+(321.8-1567.8)+(0+(0-0))+0-611.6-0</f>
        <v>1526.9</v>
      </c>
      <c r="T26" s="3">
        <f>3264.4+(338.4-1508)+(-3.329688+(-0.345168--1.53816))+0-545.6--0.556512000000087</f>
        <v>1547.6198160000004</v>
      </c>
      <c r="U26" s="3">
        <f>3279.8+(343.6-1563)+(-1.672698+(-0.175236--0.79713))+0-495.6--0.25275599999995</f>
        <v>1564.0019520000001</v>
      </c>
      <c r="V26" s="3">
        <f>3028.1+(329.5-1158.9)+(-6.177324+(-0.67218--2.364156))+0-595.1--1.21400399999997</f>
        <v>1600.3286559999997</v>
      </c>
      <c r="W26" s="3">
        <f>3036.1+(312.9-1227.3)+(-1.548411+(-0.159579--0.625923))+0-538.7--0.274736999999945</f>
        <v>1582.1926699999999</v>
      </c>
      <c r="X26" s="3">
        <f>3039.1+(267.2-1125.6)+(1.549941+(0.136272-0.574056))+0-566.4-0.288863999999943</f>
        <v>1615.1232929999999</v>
      </c>
      <c r="Y26" s="3">
        <f>3086.8+(225.5-1092.6)+(-6.297072+(-0.46002--2.228904))+0-579.4--1.18197599999997</f>
        <v>1636.9537880000005</v>
      </c>
      <c r="Z26" s="3">
        <f>3613.6+(274.3-1443.7)+(-1.842936+(-0.139893--0.736287))+0-532.6--0.271625999999946</f>
        <v>1910.625084</v>
      </c>
      <c r="AA26" s="3">
        <f>3741.6+(321.7-1501)+(-7.632864+(-0.656268--3.06204))+0-646.8--1.31947199999997</f>
        <v>1911.59238</v>
      </c>
      <c r="AB26" s="3">
        <f>3800.3+(378.4-1813.7)+(-3.876306+(-0.385968--1.849974))+0-557.6--0.568752000000089</f>
        <v>1805.5564520000003</v>
      </c>
      <c r="AC26" s="3">
        <f>3581.2+(415.9-1622.5)+(-7.305648+(-0.848436--3.3099))+0-624.5--1.27397999999997</f>
        <v>1746.5297959999998</v>
      </c>
      <c r="AD26">
        <v>2120.4000000000005</v>
      </c>
      <c r="AE26" s="3">
        <f>3864+(393.1-1532.5)+(0+(0-0))+0-604.2-0</f>
        <v>2120.3999999999996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3423.4+(595.5-1443.5)+(0+(0-0))+0-658.1-0</f>
        <v>1917.3000000000002</v>
      </c>
      <c r="G27" s="3">
        <f>3217.5+(358.1-1122.6)+(-8.204625+(-0.913155--2.86263))+0-608.9--1.55269499999991</f>
        <v>1839.3975449999998</v>
      </c>
      <c r="H27" s="3">
        <f>2792.4+(442-757.9)+(-1.424124+(-0.22542--0.386529))+0-692.4--0.35312399999993</f>
        <v>1783.1901089999999</v>
      </c>
      <c r="I27" s="3">
        <f>2286+(643.6-633.4)+(1.16586+(0.328236-0.323034))+0-601.7-0.306866999999939</f>
        <v>1695.3641949999997</v>
      </c>
      <c r="J27" s="3">
        <f>1858.5+(863.8-397.9)+(-0.947835+(-0.440538--0.202929))+0-676.3--0.344912999999931</f>
        <v>1647.2594689999999</v>
      </c>
      <c r="K27" s="3">
        <f>1871.7+(856.3-429.8)+(0.954567+(0.436713-0.219198))+0-675.2-0.344351999999932</f>
        <v>1623.82773</v>
      </c>
      <c r="L27" s="3">
        <f>1729.3+(804.5-339.3)+(-4.409715+(-2.051475--0.865215))+0-584.7--1.49098499999992</f>
        <v>1605.6950099999997</v>
      </c>
      <c r="M27" s="3">
        <f>1973.4+(607.5-466.5)+(2.012868+(0.61965-0.47583))+0-586.3-0.598026000000093</f>
        <v>1529.658662</v>
      </c>
      <c r="N27" s="3">
        <f>2720.4+(447.1-969.9)+(0+(0-0))+0-565.5-0</f>
        <v>1632.1000000000004</v>
      </c>
      <c r="O27" s="3">
        <f>3331.6+(331.3-1503.7)+(0+(0-0))+0-464-0</f>
        <v>1695.1999999999998</v>
      </c>
      <c r="P27" s="3">
        <f>3702+(307.7-1710.4)+(3.77604+(0.313854-1.744608))+0-563.6-0.57487200000009</f>
        <v>1737.4704140000003</v>
      </c>
      <c r="Q27" s="3">
        <f>3980.6+(338.5-2047.3)+(-4.060212+(-0.34527--2.088246))+0-456--0.465120000000073</f>
        <v>1813.9478840000004</v>
      </c>
      <c r="R27" s="3">
        <f>4275.9+(286.4-2207.5)+(-2.180709+(-0.146064--1.125825))+0-444.4--0.226643999999955</f>
        <v>1909.4256959999993</v>
      </c>
      <c r="S27" s="3">
        <f>4062.5+(284.3-1819.2)+(0+(0-0))+0-542.3-0</f>
        <v>1985.3</v>
      </c>
      <c r="T27" s="3">
        <f>3782.7+(279.5-1553.7)+(-1.929177+(-0.142545--0.792387))+0-503.1--0.256580999999949</f>
        <v>2004.3772459999998</v>
      </c>
      <c r="U27" s="3">
        <f>3445.2+(429.8-1252.9)+(-5.271156+(-0.657594--1.916937))+0-579.3--0.886329000000033</f>
        <v>2039.6745159999994</v>
      </c>
      <c r="V27" s="3">
        <f>3348.8+(312.8-1214.1)+(-1.707888+(-0.159528--0.619191))+0-551.7--0.281366999999944</f>
        <v>1894.8331420000002</v>
      </c>
      <c r="W27" s="3">
        <f>3245.5+(127.4-859.5)+(-6.62082+(-0.259896--1.75338))+0-552.7--1.12750799999998</f>
        <v>1956.7001720000001</v>
      </c>
      <c r="X27" s="3">
        <f>2648.3+(547.8-740.3)+(-6.753165+(-1.39689--1.887765))+0-574.1--1.46395499999992</f>
        <v>1876.9016650000001</v>
      </c>
      <c r="Y27" s="3">
        <f>2931.5+(512.5-1027.5)+(-1.495065+(-0.261375--0.524025))+0-538.9--0.274838999999945</f>
        <v>1876.6424239999999</v>
      </c>
      <c r="Z27" s="3">
        <f>4341.5+(553.7-2153.2)+(-8.85666+(-1.129548--4.392528))+0-562.6--1.14770399999998</f>
        <v>2174.9540240000001</v>
      </c>
      <c r="AA27" s="3">
        <f>4431.7+(550.4-2128.6)+(-6.780501+(-0.842112--3.256758))+0-516.2--0.78978600000003</f>
        <v>2333.723931</v>
      </c>
      <c r="AB27" s="3">
        <f>3957.3+(546.3-1819.5)+(-10.091115+(-1.393065--4.639725))+0-599.5--1.52872499999991</f>
        <v>2079.2842700000006</v>
      </c>
      <c r="AC27" s="3">
        <f>3845.2+(443.8-1560.3)+(-7.844208+(-0.905352--3.183012))+0-550.5--1.12301999999998</f>
        <v>2173.756472</v>
      </c>
      <c r="AD27">
        <v>2242.5</v>
      </c>
      <c r="AE27" s="3">
        <f>4742+(539.4-2479.2)+(0+(0-0))+0-559.7-0</f>
        <v>2242.5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3211.1+(238.2-767.4)+(-4.912983+(-0.364446--1.174122))+0-538.5--0.823905000000031</f>
        <v>2140.120598</v>
      </c>
      <c r="G28" s="3">
        <f>2739.7+(483.5-521.8)+(-2.794494+(-0.49317--0.532236))+0-580--0.591600000000093</f>
        <v>2119.2361719999999</v>
      </c>
      <c r="H28" s="3">
        <f>2276.9+(522.2-288.6)+(-4.644876+(-1.065288--0.588744))+0-473.5--0.965939999999979</f>
        <v>2032.8445200000001</v>
      </c>
      <c r="I28" s="3">
        <f>2233.5+(588.5-229.7)+(-2.27817+(-0.60027--0.234294))+0-640.2--0.653004000000102</f>
        <v>1950.1088580000001</v>
      </c>
      <c r="J28" s="3">
        <f>2224.9+(469.1-293.2)+(-4.538796+(-0.956964--0.598128))+0-509.4--1.03917599999998</f>
        <v>1887.5415439999999</v>
      </c>
      <c r="K28" s="3">
        <f>2276.5+(467.3-323.7)+(0+(0-0))+0-594-0</f>
        <v>1826.1</v>
      </c>
      <c r="L28" s="3">
        <f>2087.3+(486.2-228.7)+(-7.451661+(-1.735734--0.816459))+0-571.3--2.03954100000001</f>
        <v>1767.1686050000005</v>
      </c>
      <c r="M28" s="3">
        <f>2185.3+(368.8-455.1)+(0+(0-0))+0-448.6-0</f>
        <v>1650.4</v>
      </c>
      <c r="N28" s="3">
        <f>2556.1+(510.4-1050.6)+(2.607222+(0.520608-1.071612))+0-514-0.524280000000082</f>
        <v>1503.4319379999999</v>
      </c>
      <c r="O28" s="3">
        <f>3118+(489.4-1505.2)+(-3.18036+(-0.499188--1.535304))+0-582.9--0.594558000000093</f>
        <v>1517.7503139999997</v>
      </c>
      <c r="P28" s="3">
        <f>3595.2+(433.4-1854.1)+(1.833552+(0.221034-0.945591))+0-481.7-0.245666999999951</f>
        <v>1693.6633280000001</v>
      </c>
      <c r="Q28" s="3">
        <f>4309.4+(408.9-2298.4)+(0+(0-0))+0-501-0</f>
        <v>1918.8999999999996</v>
      </c>
      <c r="R28" s="3">
        <f>4311.8+(332.9-2288.8)+(-10.99509+(-0.848895--5.83644))+0-447--1.13984999999994</f>
        <v>1904.0323050000002</v>
      </c>
      <c r="S28" s="3">
        <f>3838.5+(329.4-1810.2)+(-7.83054+(-0.671976--3.692808))+0-387.8--0.791111999999983</f>
        <v>1965.881404</v>
      </c>
      <c r="T28" s="3">
        <f>4172.6+(316.3-1915.8)+(4.256052+(0.322626-1.954116))+0-479.2-0.488784000000076</f>
        <v>2096.0357780000004</v>
      </c>
      <c r="U28" s="3">
        <f>4162.5+(318.4-1827.3)+(-8.4915+(-0.649536--3.727692))+0-522--1.06487999999998</f>
        <v>2127.2515359999998</v>
      </c>
      <c r="V28" s="3">
        <f>3850.8+(341-1630.3)+(-7.855632+(-0.69564--3.325812))+0-536.4--1.09425599999998</f>
        <v>2020.9687959999999</v>
      </c>
      <c r="W28" s="3">
        <f>3390.4+(359.4-1262.7)+(-10.374624+(-1.099764--3.863862))+0-491.7--1.50460200000006</f>
        <v>1989.2940759999999</v>
      </c>
      <c r="X28" s="3">
        <f>3101.2+(343.7-1225)+(-6.326448+(-0.701148--2.499))+0-460.5--0.93941999999998</f>
        <v>1755.8108239999995</v>
      </c>
      <c r="Y28" s="3">
        <f>3649.4+(319.8-1696.7)+(1.861194+(0.163098-0.865317))+0-550.8-0.280907999999944</f>
        <v>1722.5780669999999</v>
      </c>
      <c r="Z28" s="3">
        <f>4575.5+(346.4-2253.9)+(-11.667525+(-0.88332--5.747445))+0-610.4--1.55651999999991</f>
        <v>2052.3531200000002</v>
      </c>
      <c r="AA28" s="3">
        <f>4430.5+(344.4-2117.8)+(-11.297775+(-0.87822--5.40039))+0-552.6--1.40912999999992</f>
        <v>2099.1335250000002</v>
      </c>
      <c r="AB28" s="3">
        <f>4242.5+(326.2-1875.7)+(-15.145725+(-1.164534--6.696249))+0-534.7--1.90887900000001</f>
        <v>2150.594869</v>
      </c>
      <c r="AC28" s="3">
        <f>3815.4+(267.4-1303.3)+(-9.72927+(-0.68187--3.323415))+0-493.8--1.25918999999993</f>
        <v>2279.8714649999997</v>
      </c>
      <c r="AD28">
        <v>2321.8000000000002</v>
      </c>
      <c r="AE28" s="3">
        <f>4666+(578-2356.4)+(0+(0-0))+0-565.8-0</f>
        <v>2321.8000000000002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3239.5+(476.2-568.8)+(-4.956435+(-0.728586--0.870264))+0-595--0.910350000000034</f>
        <v>2547.9955930000001</v>
      </c>
      <c r="G29" s="3">
        <f>3109.5+(313.7-512.3)+(-11.100915+(-1.119909--1.828911))+0-511.3--1.82534100000001</f>
        <v>2391.0334280000002</v>
      </c>
      <c r="H29" s="3">
        <f>2441.6+(584.5-263.6)+(-3.735648+(-0.894285--0.403308))+0-451.2--0.690336000000026</f>
        <v>2307.7637110000005</v>
      </c>
      <c r="I29" s="3">
        <f>2252.7+(740.9-213.1)+(0+(0-0))+0-625.9-0</f>
        <v>2154.6</v>
      </c>
      <c r="J29" s="3">
        <f>2156.2+(646.8-208.3)+(-4.398648+(-1.319472--0.424932))+0-536.4--1.09425599999998</f>
        <v>2054.1010679999995</v>
      </c>
      <c r="K29" s="3">
        <f>2244.4+(571.5-272.1)+(-2.289288+(-0.58293--0.277542))+0-556.1--0.567222000000089</f>
        <v>1985.6725460000002</v>
      </c>
      <c r="L29" s="3">
        <f>2094.8+(594.5-231.5)+(-4.273392+(-1.21278--0.47226))+0-554--1.13015999999998</f>
        <v>1899.9162480000002</v>
      </c>
      <c r="M29" s="3">
        <f>2177.2+(519.7-311.4)+(1.110372+(0.265047-0.158814))+0-621.5-0.316964999999937</f>
        <v>1764.8996400000001</v>
      </c>
      <c r="N29" s="3">
        <f>2705.8+(498.3-910.8)+(1.379958+(0.254133-0.464508))+0-548.7-0.279836999999944</f>
        <v>1745.489746</v>
      </c>
      <c r="O29" s="3">
        <f>3207.5+(515.5-1198.1)+(-4.907475+(-0.788715--1.833093))+0-553--0.846090000000032</f>
        <v>1968.8829930000002</v>
      </c>
      <c r="P29" s="3">
        <f>3160.4+(405.9-1114.1)+(-6.447216+(-0.828036--2.272764))+0-558.6--1.13954399999998</f>
        <v>1889.7370560000002</v>
      </c>
      <c r="Q29" s="3">
        <f>3588.7+(551.7-1543)+(-1.830237+(-0.281367--0.78693))+0-538--0.274379999999945</f>
        <v>2058.3497059999995</v>
      </c>
      <c r="R29" s="3">
        <f>3916.5+(567.9-1511.8)+(1.997415+(0.289629-0.771018))+0-558-0.284579999999943</f>
        <v>2415.8314459999997</v>
      </c>
      <c r="S29" s="3">
        <f>4031.1+(562.5-1553.5)+(-2.055861+(-0.286875--0.792285))+0-594.7--0.30329699999994</f>
        <v>2444.1528459999995</v>
      </c>
      <c r="T29" s="3">
        <f>4163.5+(576.3-1528.5)+(-4.24677+(-0.587826--1.55907))+0-600.8--0.612816000000096</f>
        <v>2607.8372900000008</v>
      </c>
      <c r="U29" s="3">
        <f>3608.7+(586.7-1153.1)+(-5.521311+(-0.897651--1.764243))+0-526.3--0.80523900000003</f>
        <v>2512.1505200000001</v>
      </c>
      <c r="V29" s="3">
        <f>3487.5+(603.1-1145.7)+(-7.1145+(-1.230324--2.337228))+0-522.3--1.06549199999998</f>
        <v>2417.6578960000002</v>
      </c>
      <c r="W29" s="3">
        <f>3668.5+(594.4-1497)+(-3.74187+(-0.606288--1.52694))+0-409--0.417180000000065</f>
        <v>2354.495962</v>
      </c>
      <c r="X29" s="3">
        <f>3593.6+(602.7-1535.4)+(-9.16368+(-1.536885--3.91527))+0-457.1--1.16560499999993</f>
        <v>2198.1803099999997</v>
      </c>
      <c r="Y29" s="3">
        <f>3982.3+(582.7-1878.2)+(-4.061946+(-0.594354--1.915764))+0-525.9--0.536418000000084</f>
        <v>2158.6958820000004</v>
      </c>
      <c r="Z29" s="3">
        <f>4744.5+(621.9-2299.1)+(-4.83939+(-0.634338--2.345082))+0-668.6--0.681972000000107</f>
        <v>2396.2533260000005</v>
      </c>
      <c r="AA29" s="3">
        <f>4345+(629.1-1826.9)+(-6.64785+(-0.962523--2.795157))+0-617.5--0.944775000000036</f>
        <v>2525.8295589999998</v>
      </c>
      <c r="AB29" s="3">
        <f>3743+(615.7-1155.4)+(-9.54465+(-1.570035--2.94627))+0-596.2--1.52030999999991</f>
        <v>2600.4518950000001</v>
      </c>
      <c r="AC29" s="3">
        <f>3405.1+(638.8-697.9)+(-3.473202+(-0.651576--0.711858))+0-609--0.621180000000097</f>
        <v>2734.2082599999999</v>
      </c>
      <c r="AD29">
        <v>2382.1999999999998</v>
      </c>
      <c r="AE29" s="3">
        <f>4852+(617.2-2380.9)+(0+(0-0))+0-706.1-0</f>
        <v>2382.2000000000003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2934.9+(662.2-581.4)+(-7.483995+(-1.68861--1.48257))+0-490.9--1.25179499999993</f>
        <v>2518.3617600000002</v>
      </c>
      <c r="G30" s="3">
        <f>2575.4+(967.4-524.3)+(-2.626908+(-0.986748--0.534786))+0-604.7--0.616794000000096</f>
        <v>2411.3379239999999</v>
      </c>
      <c r="H30" s="3">
        <f>2352.3+(963.9-460.1)+(-2.399346+(-0.983178--0.469302))+0-553--0.564060000000088</f>
        <v>2300.7508380000004</v>
      </c>
      <c r="I30" s="3">
        <f>2336.3+(986.1-444.1)+(-4.766052+(-2.011644--0.905964))+0-664--1.35455999999997</f>
        <v>2209.7828279999999</v>
      </c>
      <c r="J30" s="3">
        <f>2262.1+(857.7-377.7)+(-5.768355+(-2.187135--0.963135))+0-611.6--1.55957999999991</f>
        <v>2125.0672250000002</v>
      </c>
      <c r="K30" s="3">
        <f>2237.3+(820.9-431.3)+(-1.141023+(-0.418659--0.219963))+0-643--0.327929999999935</f>
        <v>1982.888211</v>
      </c>
      <c r="L30" s="3">
        <f>2067.1+(820.4-402.1)+(0+(0-0))+0-564.4-0</f>
        <v>1920.9999999999995</v>
      </c>
      <c r="M30" s="3">
        <f>2263.6+(654.3-712.6)+(0+(0-0))+0-435.7-0</f>
        <v>1769.5999999999997</v>
      </c>
      <c r="N30" s="3">
        <f>2577.6+(601.6-897.4)+(-3.943728+(-0.920448--1.373022))+0-565.2--0.864756000000033</f>
        <v>1713.9736020000003</v>
      </c>
      <c r="O30" s="3">
        <f>3297.8+(368.9-1253.9)+(-3.363756+(-0.376278--1.278978))+0-492--0.501840000000078</f>
        <v>1918.8407840000002</v>
      </c>
      <c r="P30" s="3">
        <f>4028.6+(223.3-1621.9)+(-2.054586+(-0.113883--0.827169))+0-544.2--0.277541999999945</f>
        <v>2084.7362419999999</v>
      </c>
      <c r="Q30" s="3">
        <f>3945.2+(287.3-1574.2)+(-6.036156+(-0.439569--2.408526))+0-487.3--0.745569000000028</f>
        <v>2167.6783699999996</v>
      </c>
      <c r="R30" s="3">
        <f>3984.9+(264.4-1184.7)+(2.032299+(0.134844-0.604197))+0-471.2-0.240311999999952</f>
        <v>2594.7226340000002</v>
      </c>
      <c r="S30" s="3">
        <f>3763.6+(182-678.2)+(-9.59718+(-0.4641--1.72941))+0-643.7--1.64143499999991</f>
        <v>2617.0095649999998</v>
      </c>
      <c r="T30" s="3">
        <f>3802.1+(181.6-739.6)+(-1.939071+(-0.092616--0.377196))+0-427.2--0.217871999999957</f>
        <v>2815.4633810000005</v>
      </c>
      <c r="U30" s="3">
        <f>4050.8+(243.2-741.7)+(0+(0-0))+0-711.2-0</f>
        <v>2841.1000000000004</v>
      </c>
      <c r="V30" s="3">
        <f>3439.3+(357.5-691.6)+(-7.016172+(-0.7293--1.410864))+0-583.8--1.19095199999997</f>
        <v>2516.2563440000004</v>
      </c>
      <c r="W30" s="3">
        <f>3174.4+(452.1-645.6)+(0+(0-0))+0-518.2-0</f>
        <v>2462.6999999999998</v>
      </c>
      <c r="X30" s="3">
        <f>2787.7+(592.2-453.9)+(-7.108635+(-1.51011--1.157445))+0-605.8--1.54478999999991</f>
        <v>2314.2834899999998</v>
      </c>
      <c r="Y30" s="3">
        <f>3031.3+(450.1-599.7)+(-1.545963+(-0.229551--0.305847))+0-552.9--0.281978999999944</f>
        <v>2327.6123120000002</v>
      </c>
      <c r="Z30" s="3">
        <f>3639.7+(436.9-982.5)+(-3.712494+(-0.445638--1.00215))+0-567.6--0.578952000000091</f>
        <v>2523.9229700000001</v>
      </c>
      <c r="AA30" s="3">
        <f>3464+(602.7-820.9)+(-3.53328+(-0.614754--0.837318))+0-647--0.659940000000103</f>
        <v>2596.1492240000002</v>
      </c>
      <c r="AB30" s="3">
        <f>3081.7+(712.5-580.6)+(-7.858335+(-1.816875--1.48053))+0-618.7--1.57768499999991</f>
        <v>2588.2830049999998</v>
      </c>
      <c r="AC30" s="3">
        <f>3054.9+(873.6-563.6)+(0+(0-0))+0-621.3-0</f>
        <v>2743.6000000000004</v>
      </c>
      <c r="AD30">
        <v>2709.7</v>
      </c>
      <c r="AE30" s="3">
        <f>3700+(603.5-1015.1)+(0+(0-0))+0-578.7-0</f>
        <v>2709.7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2523.6+(1208.5-426.6)+(-1.287036+(-0.616335--0.217566))+0-599--0.305489999999939</f>
        <v>2705.1196849999997</v>
      </c>
      <c r="G31" s="3">
        <f>2102.4+(1455.7-319.3)+(-5.36112+(-3.712035--0.814215))+0-652.4--1.66361999999991</f>
        <v>2579.8046799999997</v>
      </c>
      <c r="H31" s="3">
        <f>1909.9+(1545-278.7)+(-0.974049+(-0.78795--0.142137))+0-641.9--0.327368999999935</f>
        <v>2533.0075069999998</v>
      </c>
      <c r="I31" s="3">
        <f>1764.6+(1555.9-277.3)+(-0.899946+(-0.793509--0.141423))+0-616.9--0.314618999999937</f>
        <v>2425.0625869999994</v>
      </c>
      <c r="J31" s="3">
        <f>1810.6+(1349-274.2)+(-1.846812+(-1.37598--0.279684))+0-661.1--0.674322000000105</f>
        <v>2222.0312140000001</v>
      </c>
      <c r="K31" s="3">
        <f>1892.2+(1207.4-294.6)+(0+(0-0))+0-677.5-0</f>
        <v>2127.5</v>
      </c>
      <c r="L31" s="3">
        <f>1779.3+(1108.4-301.9)+(-4.537215+(-2.82642--0.769845))+0-600.7--1.53178499999991</f>
        <v>1980.0379950000001</v>
      </c>
      <c r="M31" s="3">
        <f>1756.6+(910.8-449.4)+(-1.791732+(-0.929016--0.458388))+0-525.8--0.536316000000084</f>
        <v>1690.473956</v>
      </c>
      <c r="N31" s="3">
        <f>2205.9+(744-748.3)+(2.250018+(0.75888-0.763266))+0-536.8-0.547536000000086</f>
        <v>1666.4980960000005</v>
      </c>
      <c r="O31" s="3">
        <f>3039.3+(417.6-1066)+(-3.100086+(-0.425952--1.08732))+0-563.8--0.57507600000009</f>
        <v>1825.2363580000003</v>
      </c>
      <c r="P31" s="3">
        <f>3246.2+(406.8-1081.4)+(-1.655562+(-0.207468--0.551514))+0-590.2--0.30100199999994</f>
        <v>1980.3894859999991</v>
      </c>
      <c r="Q31" s="3">
        <f>3433.7+(385.7-1269)+(-1.751187+(-0.196707--0.64719))+0-542.7--0.276776999999945</f>
        <v>2006.6760729999994</v>
      </c>
      <c r="R31" s="3">
        <f>3845+(394.9-1305.5)+(-5.88285+(-0.604197--1.997415))+0-704.2--1.07742600000004</f>
        <v>2226.7877939999998</v>
      </c>
      <c r="S31" s="3">
        <f>3629+(287.8-985.7)+(0+(0-0))+0-541.3-0</f>
        <v>2389.8000000000002</v>
      </c>
      <c r="T31" s="3">
        <f>4099.6+(207.8-1130)+(0+(0-0))+0-637.1-0</f>
        <v>2540.3000000000006</v>
      </c>
      <c r="U31" s="3">
        <f>3990.3+(260.2-998)+(-4.070106+(-0.265404--1.01796))+0-632.6--0.645252000000101</f>
        <v>2617.2277020000001</v>
      </c>
      <c r="V31" s="3">
        <f>3774.5+(341.5-938.9)+(0+(0-0))+0-637.4-0</f>
        <v>2539.6999999999998</v>
      </c>
      <c r="W31" s="3">
        <f>3463.7+(357.3-725.5)+(-10.598922+(-1.093338--2.22003))+0-683.2--2.09059200000008</f>
        <v>2404.9183619999999</v>
      </c>
      <c r="X31" s="3">
        <f>2932.8+(453.7-531.6)+(-11.965824+(-1.851096--2.168928))+0-629.4--2.56795199999994</f>
        <v>2216.4199599999997</v>
      </c>
      <c r="Y31" s="3">
        <f>3104.8+(340.7-584.1)+(-6.333792+(-0.695028--1.191564))+0-644.1--1.31396399999997</f>
        <v>2212.7767080000003</v>
      </c>
      <c r="Z31" s="3">
        <f>3755.8+(329.2-871.8)+(-13.408206+(-1.175244--3.112326))+0-672.8--2.40189600000001</f>
        <v>2531.3307719999998</v>
      </c>
      <c r="AA31" s="3">
        <f>3856.8+(208.7-771.2)+(-3.933936+(-0.212874--0.786624))+0-616.8--0.629136000000098</f>
        <v>2674.7689500000001</v>
      </c>
      <c r="AB31" s="3">
        <f>3634.8+(317.9-539.7)+(-9.26874+(-0.810645--1.376235))+0-675.5--1.7225249999999</f>
        <v>2730.5193749999999</v>
      </c>
      <c r="AC31" s="3">
        <f>3770.8+(351-627.7)+(0+(0-0))+0-629-0</f>
        <v>2865.1000000000004</v>
      </c>
      <c r="AD31">
        <v>2529.6000000000004</v>
      </c>
      <c r="AE31" s="3">
        <f>4041+(348.5-1140.1)+(0+(0-0))+0-719.8-0</f>
        <v>2529.6000000000004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3116.1+(805.4-398.3)+(0+(0-0))+0-594.3-0</f>
        <v>2928.8999999999996</v>
      </c>
      <c r="G32" s="3">
        <f>2399.4+(1223.3-251.1)+(2.447388+(1.247766-0.256122))+0-530.8-0.541416000000085</f>
        <v>2843.6976160000004</v>
      </c>
      <c r="H32" s="3">
        <f>2118.4+(1438.2-236.6)+(-2.160768+(-1.466964--0.241332))+0-607.4--0.619548000000097</f>
        <v>2709.8331480000002</v>
      </c>
      <c r="I32" s="3">
        <f>1793+(1649.7-224.8)+(-3.65772+(-3.365388--0.458592))+0-607.1--1.23848399999997</f>
        <v>2605.4739680000002</v>
      </c>
      <c r="J32" s="3">
        <f>1924.2+(1520.3-224.5)+(2.944026+(2.326059-0.343485))+0-649.6-0.993888000000038</f>
        <v>2574.3327119999999</v>
      </c>
      <c r="K32" s="3">
        <f>2069.5+(1152.2-231.9)+(1.055445+(0.587622-0.118269))+0-595.6-0.30375599999994</f>
        <v>2395.4210420000004</v>
      </c>
      <c r="L32" s="3">
        <f>1802.2+(1175.3-226.4)+(-1.838244+(-1.198806--0.230928))+0-608--0.620160000000097</f>
        <v>2140.9140379999999</v>
      </c>
      <c r="M32" s="3">
        <f>1914.1+(1006.8-356.6)+(1.952382+(1.026936-0.363732))+0-675.9-0.689418000000108</f>
        <v>1890.3261679999994</v>
      </c>
      <c r="N32" s="3">
        <f>2438.9+(885.7-973.4)+(1.243839+(0.451707-0.496434))+0-563.5-0.287384999999943</f>
        <v>1788.6117270000002</v>
      </c>
      <c r="O32" s="3">
        <f>3198.1+(839.1-1653.8)+(3.262062+(0.855882-1.686876))+0-588.1-0.599862000000094</f>
        <v>1797.131206</v>
      </c>
      <c r="P32" s="3">
        <f>3740.5+(736.3-2163.8)+(0+(0-0))+0-508.4-0</f>
        <v>1804.6</v>
      </c>
      <c r="Q32" s="3">
        <f>4067.3+(645.8-2270.5)+(8.297292+(1.317432-4.63182))+0-558.7-1.13974799999998</f>
        <v>1887.7431560000002</v>
      </c>
      <c r="R32" s="3">
        <f>4092.1+(648.8-2113.6)+(0+(0-0))+0-580.3-0</f>
        <v>2047.0000000000002</v>
      </c>
      <c r="S32" s="3">
        <f>3659.6+(464.2-1632)+(-3.732792+(-0.473484--1.66464))+0-560.2--0.571404000000089</f>
        <v>1929.6297680000002</v>
      </c>
      <c r="T32" s="3">
        <f>4075.5+(367.4-1514)+(6.235515+(0.562122-2.31642))+0-493.1-0.754443000000029</f>
        <v>2439.5267740000004</v>
      </c>
      <c r="U32" s="3">
        <f>3626.9+(373.7-1083)+(-9.248595+(-0.952935--2.76165))+0-396.4--1.01081999999994</f>
        <v>2514.7709400000003</v>
      </c>
      <c r="V32" s="3">
        <f>3097.2+(580-669.6)+(0+(0-0))+0-602.6-0</f>
        <v>2405</v>
      </c>
      <c r="W32" s="3">
        <f>3101.2+(502.6-842.4)+(-11.071284+(-1.794282--3.007368))+0-564.7--2.01597900000001</f>
        <v>2188.8577809999997</v>
      </c>
      <c r="X32" s="3">
        <f>2755.5+(633.3-828.5)+(-5.62122+(-1.291932--1.69014))+0-553.6--1.12934399999998</f>
        <v>2002.6063320000003</v>
      </c>
      <c r="Y32" s="3">
        <f>2949.9+(512.5-852)+(-3.008898+(-0.52275--0.86904))+0-611.9--0.624138000000098</f>
        <v>1996.46153</v>
      </c>
      <c r="Z32" s="3">
        <f>3565+(434.4-1162.2)+(-9.09075+(-1.10772--2.96361))+0-651--1.66004999999991</f>
        <v>2180.6251899999997</v>
      </c>
      <c r="AA32" s="3">
        <f>3754.2+(393.8-1147.2)+(-13.402494+(-1.405866--4.095504))+0-607.9--2.17020300000001</f>
        <v>2384.3573469999997</v>
      </c>
      <c r="AB32" s="3">
        <f>3800.8+(408.2-1092.6)+(-7.753632+(-0.832728--2.228904))+0-650.6--1.32722399999997</f>
        <v>2460.7697680000006</v>
      </c>
      <c r="AC32" s="3">
        <f>3810.3+(458.1-943.2)+(-3.886506+(-0.467262--0.962064))+0-656.4--0.669528000000105</f>
        <v>2666.077824</v>
      </c>
      <c r="AD32">
        <v>2683</v>
      </c>
      <c r="AE32" s="3">
        <f>3830+(676-1112.8)+(0+(0-0))+0-710.2-0</f>
        <v>2683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3235.9+(814.9-591.2)+(-8.251545+(-2.077995--1.50756))+0-684.7--1.7459849999999</f>
        <v>2767.8240049999999</v>
      </c>
      <c r="G33" s="3">
        <f>2658.4+(1131-287.7)+(-6.77892+(-2.88405--0.733635))+0-604.5--1.54147499999991</f>
        <v>2889.81214</v>
      </c>
      <c r="H33" s="3">
        <f>2497.7+(1285.8-203.7)+(-3.821481+(-1.967274--0.311661))+0-650.2--0.994806000000038</f>
        <v>2925.1177119999998</v>
      </c>
      <c r="I33" s="3">
        <f>2343.2+(1228.7-169.1)+(-1.195032+(-0.626637--0.086241))+0-568.3--0.289832999999942</f>
        <v>2833.0544049999999</v>
      </c>
      <c r="J33" s="3">
        <f>2308.5+(1224.9-177.1)+(-2.35467+(-1.249398--0.180642))+0-616.1--0.628422000000098</f>
        <v>2737.4049960000007</v>
      </c>
      <c r="K33" s="3">
        <f>2067.2+(1367.8-192)+(-2.108544+(-1.395156--0.19584))+0-597.2--0.609144000000095</f>
        <v>2643.1012840000003</v>
      </c>
      <c r="L33" s="3">
        <f>1654.2+(1621.8-224.8)+(-4.21821+(-4.13559--0.57324))+0-573.5--1.46242499999992</f>
        <v>2471.3818649999994</v>
      </c>
      <c r="M33" s="3">
        <f>1580.2+(1530.4-205.7)+(0+(0-0))+0-641.8-0</f>
        <v>2263.1000000000004</v>
      </c>
      <c r="N33" s="3">
        <f>1906.9+(1043.6-230.5)+(-2.917557+(-1.596708--0.352665))+0-561.3--0.858789000000032</f>
        <v>2155.3971890000003</v>
      </c>
      <c r="O33" s="3">
        <f>2467.6+(575.9-369.3)+(-1.258476+(-0.293709--0.188343))+0-631.2--0.321911999999936</f>
        <v>2041.9580699999995</v>
      </c>
      <c r="P33" s="3">
        <f>2493+(518.3-438.1)+(-2.54286+(-0.528666--0.446862))+0-614.2--0.626484000000098</f>
        <v>1957.00182</v>
      </c>
      <c r="Q33" s="3">
        <f>2768.1+(434.8-634.8)+(0+(0-0))+0-591-0</f>
        <v>1977.1</v>
      </c>
      <c r="R33" s="3">
        <f>3098.4+(350.1-849.9)+(-1.580184+(-0.178551--0.433449))+0-560.9--0.286058999999943</f>
        <v>2036.6607730000005</v>
      </c>
      <c r="S33" s="3">
        <f>3092.9+(447.5-779)+(-6.309516+(-0.9129--1.58916))+0-626.6--1.27826399999997</f>
        <v>2130.4450080000001</v>
      </c>
      <c r="T33" s="3">
        <f>2984.1+(607.4-748.3)+(-1.521891+(-0.309774--0.381633))+0-631.2--0.321911999999936</f>
        <v>2210.8718799999992</v>
      </c>
      <c r="U33" s="3">
        <f>2899.1+(721.8-771.5)+(-4.435623+(-1.104354--1.180395))+0-661.8--1.01255400000004</f>
        <v>2184.2529719999993</v>
      </c>
      <c r="V33" s="3">
        <f>2945.9+(549.7-821.9)+(-7.512045+(-1.401735--2.095845))+0-576.9--1.47109499999992</f>
        <v>2091.45316</v>
      </c>
      <c r="W33" s="3">
        <f>2931.6+(431.2-719.3)+(-4.485348+(-0.659736--1.100529))+0-651--0.996030000000038</f>
        <v>1989.4514750000001</v>
      </c>
      <c r="X33" s="3">
        <f>2836.6+(368-632.3)+(-5.786664+(-0.75072--1.289892))+0-666.3--1.35925199999997</f>
        <v>1902.1117600000002</v>
      </c>
      <c r="Y33" s="3">
        <f>2959.2+(336.3-728.3)+(0+(0-0))+0-618.9-0</f>
        <v>1948.2999999999997</v>
      </c>
      <c r="Z33" s="3">
        <f>3077.9+(412.7-713.2)+(-6.278916+(-0.841908--1.454928))+0-649.4--1.32477599999997</f>
        <v>2123.65888</v>
      </c>
      <c r="AA33" s="3">
        <f>2953.7+(458.2-635.2)+(0+(0-0))+0-638.8-0</f>
        <v>2137.8999999999996</v>
      </c>
      <c r="AB33" s="3">
        <f>3184.8+(351.7-744.2)+(-1.624248+(-0.179367--0.379542))+0-642.5--0.327674999999935</f>
        <v>2148.703602</v>
      </c>
      <c r="AC33" s="3">
        <f>3055.7+(429.8-700.6)+(-7.792035+(-1.09599--1.78653))+0-619.3--1.57921499999991</f>
        <v>2160.0777199999993</v>
      </c>
      <c r="AD33">
        <v>2306.9</v>
      </c>
      <c r="AE33" s="3">
        <f>3235+(560.6-814.1)+(0+(0-0))+0-674.6-0</f>
        <v>2306.9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2617.2+(884.3-464.8)+(-1.334772+(-0.450993--0.237048))+0-632.4--0.322523999999936</f>
        <v>2403.0738069999998</v>
      </c>
      <c r="G34" s="3">
        <f>2477+(879.6-420)+(-3.78981+(-1.345788--0.6426))+0-620.4--0.949212000000036</f>
        <v>2312.6562139999996</v>
      </c>
      <c r="H34" s="3">
        <f>2496.6+(769-303)+(-1.273266+(-0.39219--0.15453))+0-721.9--0.368168999999927</f>
        <v>2239.5572429999997</v>
      </c>
      <c r="I34" s="3">
        <f>2439+(654.8-365.8)+(-2.48778+(-0.667896--0.373116))+0-591.4--0.603228000000094</f>
        <v>2134.4206679999998</v>
      </c>
      <c r="J34" s="3">
        <f>2495.7+(650-299.8)+(-3.818421+(-0.9945--0.458694))+0-720.3--1.10205900000004</f>
        <v>2122.3478319999995</v>
      </c>
      <c r="K34" s="3">
        <f>2579+(510-454.1)+(-1.31529+(-0.2601--0.231591))+0-570.5--0.290954999999942</f>
        <v>2063.3471559999998</v>
      </c>
      <c r="L34" s="3">
        <f>2457.7+(493.7-418.1)+(-3.760281+(-0.755361--0.639693))+0-596.7--0.912951000000035</f>
        <v>1933.6370019999995</v>
      </c>
      <c r="M34" s="3">
        <f>2533.1+(420.2-501.9)+(3.875643+(0.642906-0.767907))+0-659.4-1.00888200000004</f>
        <v>1794.7417599999999</v>
      </c>
      <c r="N34" s="3">
        <f>2304.8+(665.9-489.2)+(1.175448+(0.339609-0.249492))+0-614.8-0.313547999999938</f>
        <v>1867.6520170000003</v>
      </c>
      <c r="O34" s="3">
        <f>2351.4+(824.5-691.6)+(0+(0-0))+0-542-0</f>
        <v>1942.3000000000002</v>
      </c>
      <c r="P34" s="3">
        <f>2585.6+(771.4-843.6)+(-1.318656+(-0.393414--0.430236))+0-446.4--0.227663999999955</f>
        <v>2065.9458299999997</v>
      </c>
      <c r="Q34" s="3">
        <f>2894+(756.3-871.5)+(1.47594+(0.385713-0.444465))+0-544.6-0.277745999999945</f>
        <v>2235.3394420000004</v>
      </c>
      <c r="R34" s="3">
        <f>3138.8+(774.7-921.8)+(-1.600788+(-0.395097--0.470118))+0-556.8--0.283967999999943</f>
        <v>2433.6582010000002</v>
      </c>
      <c r="S34" s="3">
        <f>3120.3+(1029.2-976.6)+(0+(0-0))+0-458.6-0</f>
        <v>2714.3</v>
      </c>
      <c r="T34" s="3">
        <f>3573.7+(959.2-1085.2)+(0+(0-0))+0-567.4-0</f>
        <v>2880.2999999999997</v>
      </c>
      <c r="U34" s="3">
        <f>3670.5+(902.4-1102)+(-7.48782+(-1.840896--2.24808))+0-559.7--1.14178799999998</f>
        <v>2905.261152</v>
      </c>
      <c r="V34" s="3">
        <f>3089.6+(1030.4-824.6)+(-6.302784+(-2.102016--1.682184))+0-532.3--1.08589199999998</f>
        <v>2757.4632760000004</v>
      </c>
      <c r="W34" s="3">
        <f>2379.6+(1204.7-586.6)+(-4.854384+(-2.457588--1.196664))+0-480.2--0.979607999999979</f>
        <v>2512.3643000000002</v>
      </c>
      <c r="X34" s="3">
        <f>1692.7+(1433.2-335.5)+(-2.589831+(-2.192796--0.513315))+0-492--0.752760000000028</f>
        <v>2294.883448</v>
      </c>
      <c r="Y34" s="3">
        <f>1796.8+(1489.7-347.4)+(0+(0-0))+0-627.2-0</f>
        <v>2311.9000000000005</v>
      </c>
      <c r="Z34" s="3">
        <f>2952.3+(822.9-762.4)+(-7.528365+(-2.098395--1.94412))+0-563.3--1.43641499999992</f>
        <v>2443.2537750000001</v>
      </c>
      <c r="AA34" s="3">
        <f>2924+(1053.3-597.5)+(-7.4562+(-2.685915--1.523625))+0-624.8--1.59323999999991</f>
        <v>2747.9747499999999</v>
      </c>
      <c r="AB34" s="3">
        <f>2600.2+(1283.6-489.7)+(-2.652204+(-1.309272--0.499494))+0-473.8--0.483276000000076</f>
        <v>2917.3212939999994</v>
      </c>
      <c r="AC34" s="3">
        <f>2256.9+(1730.2-372.9)+(-2.302038+(-1.764804--0.380358))+0-535.1--0.545802000000085</f>
        <v>3075.9593180000006</v>
      </c>
      <c r="AD34">
        <v>2584.8000000000002</v>
      </c>
      <c r="AE34" s="3">
        <f>3141+(898.3-825.5)+(0+(0-0))+0-629-0</f>
        <v>2584.8000000000002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1954+(2033.8-262.5)+(-1.99308+(-2.074476--0.26775))+0-551.8--0.562836000000088</f>
        <v>3170.2630300000001</v>
      </c>
      <c r="G35" s="3">
        <f>1835.8+(2089.9-218.9)+(-1.872516+(-2.131698--0.223278))+0-623.9--0.636378000000099</f>
        <v>3079.7554420000001</v>
      </c>
      <c r="H35" s="3">
        <f>1504.8+(2266.1-212)+(-1.534896+(-2.311422--0.21624))+0-615.7--0.628014000000098</f>
        <v>2940.1979359999996</v>
      </c>
      <c r="I35" s="3">
        <f>1435.7+(2195.7-204.6)+(-2.196621+(-3.359421--0.313038))+0-585.2--0.895356000000034</f>
        <v>2837.2523520000004</v>
      </c>
      <c r="J35" s="3">
        <f>1467.3+(2105.5-214.8)+(-3.741615+(-5.369025--0.54774))+0-619.2--1.57895999999991</f>
        <v>2731.8160600000001</v>
      </c>
      <c r="K35" s="3">
        <f>1389.1+(2033.4-200.8)+(-3.542205+(-5.18517--0.51204))+0-581.3--1.48231499999992</f>
        <v>2633.6669799999995</v>
      </c>
      <c r="L35" s="3">
        <f>1250.7+(1955.6-200.2)+(-3.827142+(-5.984136--0.612612))+0-617.2--1.88863200000007</f>
        <v>2381.5899660000005</v>
      </c>
      <c r="M35" s="3">
        <f>1318.9+(1600.5-223.3)+(0+(0-0))+0-553.1-0</f>
        <v>2143.0000000000005</v>
      </c>
      <c r="N35" s="3">
        <f>1875.3+(1074.6-261.6)+(0+(0-0))+0-540.9-0</f>
        <v>2147.3999999999996</v>
      </c>
      <c r="O35" s="3">
        <f>2279.4+(816.9-438.3)+(0+(0-0))+0-543.4-0</f>
        <v>2114.6</v>
      </c>
      <c r="P35" s="3">
        <f>2709.4+(629-592.4)+(0+(0-0))+0-391-0</f>
        <v>2355</v>
      </c>
      <c r="Q35" s="3">
        <f>3008.1+(534-755.1)+(-4.602393+(-0.81702--1.155303))+0-408--0.624240000000024</f>
        <v>2375.36013</v>
      </c>
      <c r="R35" s="3">
        <f>3187+(550.6-813)+(-8.12685+(-1.40403--2.07315))+0-455.5--1.16152499999993</f>
        <v>2462.8037949999998</v>
      </c>
      <c r="S35" s="3">
        <f>2899.7+(694-713.3)+(1.478847+(0.35394-0.363783))+0-575-0.293249999999942</f>
        <v>2306.575754</v>
      </c>
      <c r="T35" s="3">
        <f>3017.3+(655.1-721.4)+(-4.616469+(-1.002303--1.103742))+0-556.1--0.850833000000032</f>
        <v>2391.235803</v>
      </c>
      <c r="U35" s="3">
        <f>3206.1+(761.1-777.6)+(-6.540444+(-1.552644--1.586304))+0-553.3--1.12873199999998</f>
        <v>2630.9219480000002</v>
      </c>
      <c r="V35" s="3">
        <f>2959.8+(833.4-685.3)+(-7.54749+(-2.12517--1.747515))+0-508.8--1.29743999999993</f>
        <v>2592.4722949999996</v>
      </c>
      <c r="W35" s="3">
        <f>3061.2+(696.9-884.2)+(-6.244848+(-1.421676--1.803768))+0-597.7--1.21930799999997</f>
        <v>2271.5565519999996</v>
      </c>
      <c r="X35" s="3">
        <f>2906.8+(595.5-950)+(-5.929872+(-1.21482--1.938))+0-515.8--1.05223199999998</f>
        <v>2032.34554</v>
      </c>
      <c r="Y35" s="3">
        <f>3060.2+(581.2-1039.8)+(-6.242808+(-1.185648--2.121192))+0-575.4--1.17381599999997</f>
        <v>2022.0665519999998</v>
      </c>
      <c r="Z35" s="3">
        <f>3786.2+(582.2-1544.6)+(-5.792886+(-0.890766--2.363238))+0-522.8--0.79988400000003</f>
        <v>2297.4794700000002</v>
      </c>
      <c r="AA35" s="3">
        <f>4046.3+(578.1-1645.9)+(-10.318065+(-1.474155--4.197045))+0-587.6--1.49837999999991</f>
        <v>2384.8032050000002</v>
      </c>
      <c r="AB35" s="3">
        <f>3350.5+(614.1-902.1)+(-11.961285+(-2.192337--3.220497))+0-546.8--1.95207600000001</f>
        <v>2506.7189510000003</v>
      </c>
      <c r="AC35" s="3">
        <f>2719.3+(941.6-405.6)+(-2.773686+(-0.960432--0.413712))+0-611.1--0.623322000000097</f>
        <v>2641.5029160000004</v>
      </c>
      <c r="AD35">
        <v>2485.9999999999995</v>
      </c>
      <c r="AE35" s="3">
        <f>4158+(562.2-1733.3)+(0+(0-0))+0-500.9-0</f>
        <v>2486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2029.4+(1503.7-248.3)+(-1.034994+(-0.766887--0.126633))+0-516.6--0.263465999999948</f>
        <v>2766.7882180000001</v>
      </c>
      <c r="G36" s="3">
        <f>1943.7+(1595.9-221.6)+(-2.973861+(-2.441727--0.339048))+0-588.8--0.900864000000034</f>
        <v>2725.024324</v>
      </c>
      <c r="H36" s="3">
        <f>1904.2+(1469-221.8)+(-3.884568+(-2.99676--0.452472))+0-529.3--1.07977199999998</f>
        <v>2616.750916</v>
      </c>
      <c r="I36" s="3">
        <f>1933.8+(1346.1-205.1)+(2.958714+(2.059533-0.313803))+0-517.5-0.79177500000003</f>
        <v>2561.212669</v>
      </c>
      <c r="J36" s="3">
        <f>1908.9+(1357.5-197.5)+(-1.947078+(-1.38465--0.20145))+0-633--0.645660000000101</f>
        <v>2433.4153820000001</v>
      </c>
      <c r="K36" s="3">
        <f>1795.9+(1141-190.2)+(-2.747727+(-1.74573--0.291006))+0-544.9--0.833697000000031</f>
        <v>2198.4312459999996</v>
      </c>
      <c r="L36" s="3">
        <f>1733.4+(1188.4-210.4)+(-2.652102+(-1.818252--0.321912))+0-721.6--1.10404800000004</f>
        <v>1986.7556060000002</v>
      </c>
      <c r="M36" s="3">
        <f>1790.8+(853.4-258.3)+(-0.913308+(-0.435234--0.131733))+0-584.5--0.298094999999941</f>
        <v>1800.4812859999995</v>
      </c>
      <c r="N36" s="3">
        <f>2131.2+(600.3-318.9)+(-1.086912+(-0.306153--0.162639))+0-622.4--0.317423999999937</f>
        <v>1789.2869979999996</v>
      </c>
      <c r="O36" s="3">
        <f>2474.9+(421.1-591.1)+(-2.524398+(-0.429522--0.602922))+0-524.3--0.534786000000084</f>
        <v>1778.7837880000004</v>
      </c>
      <c r="P36" s="3">
        <f>2565+(676.5-736.5)+(-2.6163+(-0.69003--0.75123))+0-591.5--0.603330000000094</f>
        <v>1911.5482300000001</v>
      </c>
      <c r="Q36" s="3">
        <f>2954.9+(593.4-1091.7)+(-4.520997+(-0.907902--1.670301))+0-545.1--0.834003000000032</f>
        <v>1908.575405</v>
      </c>
      <c r="R36" s="3">
        <f>2937.5+(440.1-811)+(-7.490625+(-1.122255--2.06805))+0-569.8--1.45298999999992</f>
        <v>1991.7081600000001</v>
      </c>
      <c r="S36" s="3">
        <f>2973.5+(458.7-722.2)+(-3.03297+(-0.467874--0.736644))+0-608--0.620160000000097</f>
        <v>2099.8559599999999</v>
      </c>
      <c r="T36" s="3">
        <f>3179.6+(564.9-909.4)+(-3.243192+(-0.576198--0.927588))+0-590.3--0.602106000000094</f>
        <v>2242.5103040000004</v>
      </c>
      <c r="U36" s="3">
        <f>2960+(753.8-813.2)+(-6.0384+(-1.537752--1.658928))+0-639.3--1.30417199999997</f>
        <v>2256.6869480000005</v>
      </c>
      <c r="V36" s="3">
        <f>3153.8+(633.5-1058.2)+(-4.825314+(-0.969255--1.619046))+0-531.7--0.813501000000031</f>
        <v>2194.0379780000007</v>
      </c>
      <c r="W36" s="3">
        <f>3118.9+(592.4-1087.7)+(-3.181278+(-0.604248--1.109454))+0-526.6--0.537132000000084</f>
        <v>2094.8610599999997</v>
      </c>
      <c r="X36" s="3">
        <f>3082.5+(591.4-1102.2)+(-6.2883+(-1.206456--2.248488))+0-587.2--1.19788799999997</f>
        <v>1980.4516199999998</v>
      </c>
      <c r="Y36" s="3">
        <f>3312+(567.4-1315.5)+(-3.37824+(-0.578748--1.34181))+0-533.6--0.544272000000085</f>
        <v>2028.2290940000003</v>
      </c>
      <c r="Z36" s="3">
        <f>3420.7+(575.2-1131)+(-3.489114+(-0.586704--1.15362))+0-630.5--0.643110000000101</f>
        <v>2232.1209119999994</v>
      </c>
      <c r="AA36" s="3">
        <f>3278.4+(575.2-1026.8)+(-8.35992+(-1.46676--2.61834))+0-583.6--1.48817999999992</f>
        <v>2237.47984</v>
      </c>
      <c r="AB36" s="3">
        <f>3364.3+(579.3-984.6)+(-5.147379+(-0.886329--1.506438))+0-605.4--0.926262000000035</f>
        <v>2349.9989919999998</v>
      </c>
      <c r="AC36" s="3">
        <f>3500.7+(569.4-989.2)+(-1.785357+(-0.290394--0.504492))+0-616.2--0.314261999999938</f>
        <v>2463.4430029999994</v>
      </c>
      <c r="AD36">
        <v>2226.3999999999996</v>
      </c>
      <c r="AE36" s="3">
        <f>3553+(551.2-1209.8)+(0+(0-0))+0-668-0</f>
        <v>2226.4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2727.2+(686.9-491.4)+(-2.781744+(-0.700638--0.501228))+0-585.1--0.596802000000093</f>
        <v>2335.2156479999999</v>
      </c>
      <c r="G37" s="3">
        <f>2434.8+(859.9-450.7)+(-4.966992+(-1.754196--0.919428))+0-564.9--1.15239599999998</f>
        <v>2274.450636</v>
      </c>
      <c r="H37" s="3">
        <f>2153.7+(990.5-371)+(0+(0-0))+0-602.1-0</f>
        <v>2171.1</v>
      </c>
      <c r="I37" s="3">
        <f>2071.2+(1015.8-295.7)+(-4.225248+(-2.072232--0.603228))+0-662.4--1.35129599999997</f>
        <v>2124.5570439999997</v>
      </c>
      <c r="J37" s="3">
        <f>1753.8+(1344.4-253.9)+(0.894438+(0.685644-0.129489))+0-622.7-0.317576999999937</f>
        <v>2222.7330160000001</v>
      </c>
      <c r="K37" s="3">
        <f>1811.3+(1260.3-222.9)+(0+(0-0))+0-697.1-0</f>
        <v>2151.6</v>
      </c>
      <c r="L37" s="3">
        <f>1699.1+(1075.3-232.4)+(-2.599623+(-1.645209--0.355572))+0-582.1--0.890613000000034</f>
        <v>1956.9013530000002</v>
      </c>
      <c r="M37" s="3">
        <f>1949.2+(796.1-284.3)+(0+(0-0))+0-628.1-0</f>
        <v>1832.9</v>
      </c>
      <c r="N37" s="3">
        <f>2153.8+(536.6-341.7)+(-2.196876+(-0.547332--0.348534))+0-601.4--0.613428000000096</f>
        <v>1745.5177540000004</v>
      </c>
      <c r="O37" s="3">
        <f>2259.4+(551.8-429.1)+(2.304588+(0.562836-0.437682))+0-649.5-0.662490000000104</f>
        <v>1734.3672519999996</v>
      </c>
      <c r="P37" s="3">
        <f>2777.2+(422.7-932.9)+(-2.832744+(-0.431154--0.951558))+0-478.3--0.487866000000076</f>
        <v>1786.8755260000003</v>
      </c>
      <c r="Q37" s="3">
        <f>3138.4+(370.4-944.9)+(-1.600584+(-0.188904--0.481899))+0-668.5--0.340934999999932</f>
        <v>1894.433346</v>
      </c>
      <c r="R37" s="3">
        <f>2812.3+(328.6-478.4)+(-1.434273+(-0.167586--0.243984))+0-544.2--0.277541999999945</f>
        <v>2117.2196669999994</v>
      </c>
      <c r="S37" s="3">
        <f>3039.2+(432.6-437.2)+(-1.549992+(-0.220626--0.222972))+0-659.7--0.336446999999933</f>
        <v>2373.6888009999998</v>
      </c>
      <c r="T37" s="3">
        <f>3157.9+(468-600.9)+(3.221058+(0.47736-0.612918))+0-605.4-0.617508000000097</f>
        <v>2422.0679919999998</v>
      </c>
      <c r="U37" s="3">
        <f>3336.4+(427.1-673.5)+(3.403128+(0.435642-0.68697))+0-660-0.673200000000105</f>
        <v>2432.4785999999999</v>
      </c>
      <c r="V37" s="3">
        <f>3142.7+(427.1-705.8)+(-6.411108+(-0.871284--1.439832))+0-511.3--1.04305199999998</f>
        <v>2347.9004919999998</v>
      </c>
      <c r="W37" s="3">
        <f>3026+(423.8-599.9)+(-4.62978+(-0.648414--0.917847))+0-592--0.905760000000034</f>
        <v>2254.4454130000004</v>
      </c>
      <c r="X37" s="3">
        <f>2884.1+(431.7-679.3)+(-7.354455+(-1.100835--1.732215))+0-590.3--1.50526499999991</f>
        <v>2040.9821900000002</v>
      </c>
      <c r="Y37" s="3">
        <f>2890.7+(366.9-710.2)+(-1.474257+(-0.187119--0.362202))+0-603.3--0.307682999999939</f>
        <v>1943.1085089999995</v>
      </c>
      <c r="Z37" s="3">
        <f>3225.8+(336.1-718.8)+(-1.645158+(-0.171411--0.366588))+0-569.2--0.290291999999942</f>
        <v>2272.740311</v>
      </c>
      <c r="AA37" s="3">
        <f>3272.3+(366.9-554)+(-8.344365+(-0.935595--1.4127))+0-632.2--1.61210999999991</f>
        <v>2446.74485</v>
      </c>
      <c r="AB37" s="3">
        <f>3099.2+(476.9-431.5)+(-3.161184+(-0.486438--0.44013))+0-583.3--0.594966000000093</f>
        <v>2558.6874739999998</v>
      </c>
      <c r="AC37" s="3">
        <f>3374.7+(475.2-679.8)+(-6.884388+(-0.969408--1.386792))+0-503--1.02611999999998</f>
        <v>2661.6591159999998</v>
      </c>
      <c r="AD37">
        <v>2532.8000000000002</v>
      </c>
      <c r="AE37" s="3">
        <f>3326+(502.4-716.9)+(0+(0-0))+0-578.7-0</f>
        <v>2532.8000000000002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2786.8+(1144.5-310.8)+(-2.842536+(-1.16739--0.317016))+0-698.4--0.712368000000111</f>
        <v>2919.1194579999997</v>
      </c>
      <c r="G38" s="3">
        <f>2356.6+(1309.5-249.7)+(-6.00933+(-3.339225--0.636735))+0-585.4--1.49276999999992</f>
        <v>2823.7809499999994</v>
      </c>
      <c r="H38" s="3">
        <f>1796.1+(1738.5-214.7)+(-2.748033+(-2.659905--0.328491))+0-677--1.03581000000004</f>
        <v>2638.8563629999994</v>
      </c>
      <c r="I38" s="3">
        <f>1692.1+(1708.9-209.8)+(-1.725942+(-1.743078--0.213996))+0-613.9--0.626178000000098</f>
        <v>2574.6711539999997</v>
      </c>
      <c r="J38" s="3">
        <f>1825.1+(1502.4-222.6)+(-0.930801+(-0.766224--0.113526))+0-630.4--0.321503999999936</f>
        <v>2473.2380050000002</v>
      </c>
      <c r="K38" s="3">
        <f>1750.8+(1439.4-214.5)+(-1.785816+(-1.468188--0.21879))+0-621.3--0.633726000000099</f>
        <v>2351.9985120000001</v>
      </c>
      <c r="L38" s="3">
        <f>1567.5+(1390.3-212.8)+(-3.997125+(-3.545265--0.54264))+0-612.1--1.56085499999991</f>
        <v>2127.4611049999999</v>
      </c>
      <c r="M38" s="3">
        <f>1653+(1146.3-228.7)+(-0.84303+(-0.584613--0.116637))+0-652.5--0.332774999999934</f>
        <v>1917.1217689999999</v>
      </c>
      <c r="N38" s="3">
        <f>1907.3+(873.4-264.7)+(-2.918169+(-1.336302--0.404991))+0-583.3--0.892449000000034</f>
        <v>1929.7429690000001</v>
      </c>
      <c r="O38" s="3">
        <f>2219.3+(694.2-263)+(-1.131843+(-0.354042--0.13413))+0-635.5--0.324104999999936</f>
        <v>2013.9723499999998</v>
      </c>
      <c r="P38" s="3">
        <f>2435.3+(503.2-238.4)+(-1.242003+(-0.256632--0.121584))+0-578.1--0.294830999999941</f>
        <v>2120.9177800000007</v>
      </c>
      <c r="Q38" s="3">
        <f>2577+(517.3-237.7)+(-6.57135+(-1.319115--0.606135))+0-654.5--1.66897499999991</f>
        <v>2196.484645</v>
      </c>
      <c r="R38" s="3">
        <f>2690.8+(544.2-286)+(-2.744616+(-0.555084--0.29172))+0-568--0.579360000000091</f>
        <v>2378.5713800000003</v>
      </c>
      <c r="S38" s="3">
        <f>3173.9+(590.2-501.9)+(-1.618689+(-0.301002--0.255969))+0-657.7--0.335426999999933</f>
        <v>2603.1717050000007</v>
      </c>
      <c r="T38" s="3">
        <f>3361.1+(581.8-581.8)+(-1.714161+(-0.296718--0.296718))+0-549.4--0.280193999999944</f>
        <v>2810.2660329999999</v>
      </c>
      <c r="U38" s="3">
        <f>3469.9+(467.4-580)+(-8.848245+(-1.19187--1.479))+0-518.4--1.32191999999992</f>
        <v>2831.660805</v>
      </c>
      <c r="V38" s="3">
        <f>3332.2+(506.4-514.6)+(-1.699422+(-0.258264--0.262446))+0-596--0.30395999999994</f>
        <v>2726.6087199999997</v>
      </c>
      <c r="W38" s="3">
        <f>2980.6+(619.4-530.6)+(-7.60053+(-1.57947--1.35303))+0-559.9--1.42774499999992</f>
        <v>2503.1007749999994</v>
      </c>
      <c r="X38" s="3">
        <f>2800.4+(621.6-569.6)+(-4.284612+(-0.951048--0.871488))+0-615.3--0.941409000000035</f>
        <v>2233.6772369999999</v>
      </c>
      <c r="Y38" s="3">
        <f>2565.1+(655-398.6)+(-5.232804+(-1.3362--0.813144))+0-570--1.16279999999998</f>
        <v>2246.9069399999998</v>
      </c>
      <c r="Z38" s="3">
        <f>3549.4+(544.7-1119.7)+(-3.620388+(-0.555594--1.142094))+0-540.5--0.551310000000086</f>
        <v>2431.4174220000004</v>
      </c>
      <c r="AA38" s="3">
        <f>3925+(320.9-1159.3)+(-8.007+(-0.654636--2.364972))+0-517.7--1.05610799999998</f>
        <v>2563.6594439999999</v>
      </c>
      <c r="AB38" s="3">
        <f>3676.3+(320.9-731.3)+(-9.374565+(-0.818295--1.864815))+0-592.7--1.51138499999991</f>
        <v>2666.3833399999994</v>
      </c>
      <c r="AC38" s="3">
        <f>3876.4+(534.9-1019)+(-5.930892+(-0.818397--1.55907))+0-587.5--0.898875000000034</f>
        <v>2800.508656</v>
      </c>
      <c r="AD38">
        <v>2481.3999999999996</v>
      </c>
      <c r="AE38" s="3">
        <f>3739+(544.4-1200.2)+(0+(0-0))+0-601.8-0</f>
        <v>2481.3999999999996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3284.4+(967.9-714.6)+(-6.700176+(-1.974516--1.457784))+0-649.8--1.32559199999997</f>
        <v>2882.0086840000004</v>
      </c>
      <c r="G39" s="3">
        <f>2546.4+(1265.4-363.7)+(-9.090648+(-4.517478--1.298409))+0-644.9--2.30229300000001</f>
        <v>2793.1925760000004</v>
      </c>
      <c r="H39" s="3">
        <f>2098.6+(1475.2-255.4)+(-8.562288+(-6.018816--1.042032))+0-666.7--2.72013599999994</f>
        <v>2640.8810639999992</v>
      </c>
      <c r="I39" s="3">
        <f>2177.6+(1211.7-225.5)+(1.110576+(0.617967-0.115005))+0-660.7-0.336956999999933</f>
        <v>2504.376581</v>
      </c>
      <c r="J39" s="3">
        <f>2209.2+(1072.8-225.4)+(-4.506768+(-2.188512--0.459816))+0-658.4--1.34313599999997</f>
        <v>2393.3076719999999</v>
      </c>
      <c r="K39" s="3">
        <f>2198.1+(937.5-253.3)+(-2.242062+(-0.95625--0.258366))+0-616.4--0.628728000000098</f>
        <v>2263.5887820000003</v>
      </c>
      <c r="L39" s="3">
        <f>1928.2+(948.7-218.6)+(-1.966764+(-0.967674--0.222972))+0-643.6--0.656472000000103</f>
        <v>2012.6450060000002</v>
      </c>
      <c r="M39" s="3">
        <f>2129+(685.7-326)+(-1.08579+(-0.349707--0.16626))+0-639.2--0.325991999999935</f>
        <v>1848.5567549999998</v>
      </c>
      <c r="N39" s="3">
        <f>2119.1+(823.7-435.4)+(-2.161482+(-0.840174--0.444108))+0-650.1--0.663102000000104</f>
        <v>1855.4055540000002</v>
      </c>
      <c r="O39" s="3">
        <f>2609.4+(596.2-693.2)+(-1.330794+(-0.304062--0.353532))+0-614.6--0.313445999999938</f>
        <v>1896.832122</v>
      </c>
      <c r="P39" s="3">
        <f>3041.4+(443.6-895.9)+(-4.653342+(-0.678708--1.370727))+0-603.9--0.923967000000035</f>
        <v>1982.1626440000002</v>
      </c>
      <c r="Q39" s="3">
        <f>3156.6+(493.3-966.6)+(0+(0-0))+0-592.5-0</f>
        <v>2090.7999999999997</v>
      </c>
      <c r="R39" s="3">
        <f>3178.9+(571.6-868.1)+(-9.727434+(-1.749096--2.656386))+0-654.9--2.00399400000008</f>
        <v>2220.6838500000003</v>
      </c>
      <c r="S39" s="3">
        <f>3179.9+(613.9-823)+(1.621749+(0.313089-0.41973))+0-502.9-0.256478999999949</f>
        <v>2469.158629</v>
      </c>
      <c r="T39" s="3">
        <f>3478.8+(688.6-840.3)+(0+(0-0))+0-668.2-0</f>
        <v>2658.9000000000005</v>
      </c>
      <c r="U39" s="3">
        <f>3313.8+(744.6-838.6)+(-5.070114+(-1.139238--1.283058))+0-548--0.838440000000032</f>
        <v>2667.7121460000003</v>
      </c>
      <c r="V39" s="3">
        <f>3426+(564.9-822.1)+(-5.24178+(-0.864297--1.257813))+0-580.8--0.888624000000034</f>
        <v>2584.04036</v>
      </c>
      <c r="W39" s="3">
        <f>3237.9+(504.6-743.3)+(-4.953987+(-0.772038--1.137249))+0-612.8--0.937584000000035</f>
        <v>2382.7488080000003</v>
      </c>
      <c r="X39" s="3">
        <f>3185.9+(529-870.7)+(-9.748854+(-1.61874--2.664342))+0-673.7--2.06152200000008</f>
        <v>2163.8582699999997</v>
      </c>
      <c r="Y39" s="3">
        <f>2772.8+(499.7-582)+(-5.656512+(-1.019388--1.18728))+0-603.9--1.23195599999997</f>
        <v>2082.3433359999999</v>
      </c>
      <c r="Z39" s="3">
        <f>3268+(424.3-676.9)+(-6.66672+(-0.865572--1.380876))+0-664.2--1.35496799999997</f>
        <v>2346.4035520000002</v>
      </c>
      <c r="AA39" s="3">
        <f>3074.3+(527-516)+(-4.703679+(-0.80631--0.78948))+0-562.7--0.860931000000033</f>
        <v>2518.7404219999999</v>
      </c>
      <c r="AB39" s="3">
        <f>2965.3+(683.3-331)+(-6.049212+(-1.393932--0.67524))+0-694--1.41575999999997</f>
        <v>2618.2478560000004</v>
      </c>
      <c r="AC39" s="3">
        <f>3148.8+(645.1-416.9)+(-4.817664+(-0.987003--0.637857))+0-613.8--0.939114000000035</f>
        <v>2758.9723040000003</v>
      </c>
      <c r="AD39">
        <v>2281.2999999999997</v>
      </c>
      <c r="AE39" s="3">
        <f>3672+(360.2-1005)+(0+(0-0))+0-745.9-0</f>
        <v>2281.2999999999997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3204+(802.7-396.5)+(-3.26808+(-0.818754--0.40443))+0-703.5--0.717570000000112</f>
        <v>2903.7351659999999</v>
      </c>
      <c r="G40" s="3">
        <f>3067.2+(867.1-400.9)+(-7.82136+(-2.211105--1.022295))+0-634.7--1.61848499999991</f>
        <v>2891.3083149999993</v>
      </c>
      <c r="H40" s="3">
        <f>2776.5+(1068.4-440.5)+(-4.248045+(-1.634652--0.673965))+0-612.2--0.936666000000035</f>
        <v>2787.9279339999998</v>
      </c>
      <c r="I40" s="3">
        <f>2524.5+(1180.7-411.8)+(-1.287495+(-0.602157--0.210018))+0-598.3--0.305132999999939</f>
        <v>2693.7254990000001</v>
      </c>
      <c r="J40" s="3">
        <f>2522.3+(1164.2-445.2)+(-7.718238+(-3.562452--1.362312))+0-659.6--2.01837600000008</f>
        <v>2573.7999980000004</v>
      </c>
      <c r="K40" s="3">
        <f>2221.2+(1197.4-392.1)+(-4.531248+(-2.442696--0.799884))+0-556.1--1.13444399999998</f>
        <v>2465.3603840000001</v>
      </c>
      <c r="L40" s="3">
        <f>1959.9+(1272.7-256.6)+(-2.998647+(-1.947231--0.392598))+0-726.4--1.11139200000004</f>
        <v>2246.1581120000001</v>
      </c>
      <c r="M40" s="3">
        <f>1831+(1093-249)+(-0.93381+(-0.55743--0.12699))+0-611.8--0.312017999999938</f>
        <v>2062.1477680000003</v>
      </c>
      <c r="N40" s="3">
        <f>2146.2+(932.1-383.7)+(-2.189124+(-0.950742--0.391374))+0-697.4--0.711348000000111</f>
        <v>1995.1628559999997</v>
      </c>
      <c r="O40" s="3">
        <f>2043.3+(907.3-422.4)+(0+(0-0))+0-549.6-0</f>
        <v>1978.6</v>
      </c>
      <c r="P40" s="3">
        <f>2703.9+(658.4-652.4)+(-4.136967+(-1.007352--0.998172))+0-695.7--1.06442100000004</f>
        <v>2011.1182740000002</v>
      </c>
      <c r="Q40" s="3">
        <f>2558.1+(659.8-657.6)+(-3.913893+(-1.009494--1.006128))+0-484.7--0.741591000000028</f>
        <v>2072.424332</v>
      </c>
      <c r="R40" s="3">
        <f>3083.2+(654.5-772.8)+(-3.144864+(-0.66759--0.788256))+0-697.9--0.711858000000111</f>
        <v>2264.6876599999996</v>
      </c>
      <c r="S40" s="3">
        <f>3124.7+(719.4-835.6)+(-6.374388+(-1.467576--1.704624))+0-468.3--0.95533199999998</f>
        <v>2535.0179919999996</v>
      </c>
      <c r="T40" s="3">
        <f>3014.8+(1106.1-711.5)+(-3.075096+(-1.128222--0.72573))+0-631.8--0.644436000000101</f>
        <v>2774.7668479999998</v>
      </c>
      <c r="U40" s="3">
        <f>2847.7+(1276.6-651.7)+(-4.356981+(-1.953198--0.997101))+0-652.1--0.997713000000038</f>
        <v>2816.1846349999996</v>
      </c>
      <c r="V40" s="3">
        <f>2835.3+(1104.2-593.8)+(-2.892006+(-1.126284--0.605676))+0-618.3--0.630666000000099</f>
        <v>2724.6180520000007</v>
      </c>
      <c r="W40" s="3">
        <f>2825.9+(888.8-469.1)+(-7.206045+(-2.26644--1.196205))+0-697.5--1.7786249999999</f>
        <v>2541.6023449999998</v>
      </c>
      <c r="X40" s="3">
        <f>2439.8+(764.9-343.5)+(-4.977192+(-1.560396--0.70074))+0-580.7--1.18462799999997</f>
        <v>2275.8477800000001</v>
      </c>
      <c r="Y40" s="3">
        <f>2373.7+(900.4-424.6)+(-3.631761+(-1.377612--0.649638))+0-701.4--1.07314200000004</f>
        <v>2144.8134070000001</v>
      </c>
      <c r="Z40" s="3">
        <f>3119.6+(691.6-677.2)+(-6.363984+(-1.410864--1.381488))+0-642--1.30967999999997</f>
        <v>2486.9163199999998</v>
      </c>
      <c r="AA40" s="3">
        <f>3640.6+(633.4-880.6)+(-3.713412+(-0.646068--0.898212))+0-681.8--0.695436000000109</f>
        <v>2708.8341679999994</v>
      </c>
      <c r="AB40" s="3">
        <f>3730.6+(709.1-968.4)+(-5.707818+(-1.084923--1.481652))+0-628.9--0.962217000000036</f>
        <v>2838.0511280000005</v>
      </c>
      <c r="AC40" s="3">
        <f>4167.5+(595.2-988.6)+(-2.125425+(-0.303552--0.504186))+0-685.6--0.34965599999993</f>
        <v>3086.924865</v>
      </c>
      <c r="AD40">
        <v>2599.5</v>
      </c>
      <c r="AE40" s="3">
        <f>3531+(665.8-843.5)+(0+(0-0))+0-753.8-0</f>
        <v>2599.5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3525+(938.4-707.9)+(-3.5955+(-0.957168--0.722058))+0-507.6--0.517752000000081</f>
        <v>3244.5871420000003</v>
      </c>
      <c r="G41" s="3">
        <f>2990.1+(1433.3-434.3)+(-6.099804+(-2.923932--0.885972))+0-700.8--1.42963199999997</f>
        <v>3281.591868</v>
      </c>
      <c r="H41" s="3">
        <f>2586.5+(1455.5-368)+(-3.957345+(-2.226915--0.56304))+0-545--0.833850000000032</f>
        <v>3124.21263</v>
      </c>
      <c r="I41" s="3">
        <f>2510.6+(1460.8-292)+(-1.280406+(-0.745008--0.14892))+0-635.5--0.324104999999936</f>
        <v>3042.3476109999997</v>
      </c>
      <c r="J41" s="3">
        <f>2098.7+(1810-261.6)+(-7.492359+(-6.4617--0.933912))+0-674.4--2.40760800000001</f>
        <v>2962.0874609999996</v>
      </c>
      <c r="K41" s="3">
        <f>2011.5+(1532.9-232.8)+(-6.15519+(-4.690674--0.712368))+0-535.1--1.63740600000006</f>
        <v>2768.0039100000008</v>
      </c>
      <c r="L41" s="3">
        <f>2080.9+(1195.9-243.8)+(-4.245036+(-2.439636--0.497352))+0-703.7--1.43554799999997</f>
        <v>2324.5482280000001</v>
      </c>
      <c r="M41" s="3">
        <f>2123.6+(954.7-252.3)+(-1.083036+(-0.486897--0.128673))+0-516.4--0.263363999999948</f>
        <v>2308.4221039999998</v>
      </c>
      <c r="N41" s="3">
        <f>2443.8+(767.9-328.3)+(-2.492676+(-0.783258--0.334866))+0-670.7--0.684114000000107</f>
        <v>2210.4430459999999</v>
      </c>
      <c r="O41" s="3">
        <f>2652.6+(571.5-559.3)+(-4.058478+(-0.874395--0.855729))+0-489.8--0.749394000000028</f>
        <v>2171.6722500000001</v>
      </c>
      <c r="P41" s="3">
        <f>3452.6+(464.4-1015.2)+(-1.760826+(-0.236844--0.517752))+0-588.4--0.30008399999994</f>
        <v>2312.2201659999996</v>
      </c>
      <c r="Q41" s="3">
        <f>4076.7+(520.1-1743.6)+(0+(0-0))+0-515.7-0</f>
        <v>2337.5</v>
      </c>
      <c r="R41" s="3">
        <f>4412+(499.3-1933.1)+(-2.25012+(-0.254643--0.985881))+0-519--0.264689999999947</f>
        <v>2457.9458079999999</v>
      </c>
      <c r="S41" s="3">
        <f>4165.2+(509.3-1700)+(-2.124252+(-0.259743--0.867))+0-521--0.265709999999947</f>
        <v>2452.2487150000002</v>
      </c>
      <c r="T41" s="3">
        <f>4437+(500.1-1770.2)+(-6.78861+(-0.765153--2.708406))+0-528.7--0.808911000000031</f>
        <v>2634.1635539999997</v>
      </c>
      <c r="U41" s="3">
        <f>3961.3+(711.9-1500.4)+(-6.060789+(-1.089207--2.295612))+0-547.8--0.838134000000032</f>
        <v>2620.9837499999999</v>
      </c>
      <c r="V41" s="3">
        <f>3433.5+(869.1-1238.8)+(-3.50217+(-0.886482--1.263576))+0-584.2--0.595884000000093</f>
        <v>2477.0708080000004</v>
      </c>
      <c r="W41" s="3">
        <f>2697.7+(972.3-769.1)+(-4.127481+(-1.487619--1.176723))+0-588.1--0.899793000000034</f>
        <v>2309.2614159999998</v>
      </c>
      <c r="X41" s="3">
        <f>2167.5+(900.6-500.2)+(-4.4217+(-1.837224--1.020408))+0-422.3--0.861491999999982</f>
        <v>2141.222976</v>
      </c>
      <c r="Y41" s="3">
        <f>2316.3+(837.9-503.6)+(-1.181313+(-0.427329--0.256836))+0-586.9--0.29931899999994</f>
        <v>2062.6475129999999</v>
      </c>
      <c r="Z41" s="3">
        <f>3185.1+(377.9-844.6)+(-9.746406+(-1.156374--2.584476))+0-427.4--1.30784400000005</f>
        <v>2283.9895399999996</v>
      </c>
      <c r="AA41" s="3">
        <f>3210+(430.6-639.9)+(-6.5484+(-0.878424--1.305396))+0-683.2--1.39372799999997</f>
        <v>2312.7722999999996</v>
      </c>
      <c r="AB41" s="3">
        <f>2945.1+(599.5-745.2)+(-7.510005+(-1.528725--1.90026))+0-515.5--1.31452499999993</f>
        <v>2278.0760549999995</v>
      </c>
      <c r="AC41" s="3">
        <f>3009.8+(778.1-809.5)+(-6.139992+(-1.587324--1.65138))+0-654.2--1.33456799999997</f>
        <v>2319.4586319999994</v>
      </c>
      <c r="AD41">
        <v>2438.8000000000002</v>
      </c>
      <c r="AE41" s="3">
        <f>3583+(403.2-822.1)+(0+(0-0))+0-725.3-0</f>
        <v>2438.8000000000002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2962.5+(817.1-681.5)+(-4.532625+(-1.250163--1.042695))+0-563--0.861390000000033</f>
        <v>2531.221297</v>
      </c>
      <c r="G42" s="3">
        <f>2638.3+(1067.1-500.6)+(-8.073198+(-3.265326--1.531836))+0-668.7--2.04622200000008</f>
        <v>2528.3395339999997</v>
      </c>
      <c r="H42" s="3">
        <f>2554.8+(1005-467.2)+(-5.211792+(-2.0502--0.953088))+0-656.6--1.33946399999997</f>
        <v>2431.0305600000006</v>
      </c>
      <c r="I42" s="3">
        <f>2840.5+(901.5-667.9)+(1.448655+(0.459765-0.340629))+0-665.3-0.339302999999932</f>
        <v>2410.0284879999999</v>
      </c>
      <c r="J42" s="3">
        <f>2864.7+(774-638.8)+(1.460997+(0.39474-0.325788))+0-676.8-0.345167999999931</f>
        <v>2324.2847810000003</v>
      </c>
      <c r="K42" s="3">
        <f>2484.7+(883.3-390.6)+(0+(0-0))+0-677.4-0</f>
        <v>2299.9999999999995</v>
      </c>
      <c r="L42" s="3">
        <f>2076.1+(941.7-235.5)+(-5.294055+(-2.401335--0.600525))+0-648.7--1.65418499999991</f>
        <v>2128.1593200000002</v>
      </c>
      <c r="M42" s="3">
        <f>2095.8+(779.3-326.1)+(-3.206574+(-1.192329--0.498933))+0-592.9--0.907137000000034</f>
        <v>1953.1071669999999</v>
      </c>
      <c r="N42" s="3">
        <f>2141.9+(681.9-379.7)+(-4.369476+(-1.391076--0.774588))+0-591.5--1.20665999999997</f>
        <v>1848.820696</v>
      </c>
      <c r="O42" s="3">
        <f>2203.7+(768.3-493.6)+(0+(0-0))+0-487.5-0</f>
        <v>1990.8999999999996</v>
      </c>
      <c r="P42" s="3">
        <f>2560.4+(570.8-731.3)+(-2.611608+(-0.582216--0.745926))+0-582.3--0.593946000000093</f>
        <v>1815.7460480000004</v>
      </c>
      <c r="Q42" s="3">
        <f>3048.5+(405.2-1003.6)+(-4.664205+(-0.619956--1.535508))+0-587.9--0.899487000000034</f>
        <v>1859.3508339999998</v>
      </c>
      <c r="R42" s="3">
        <f>3341.5+(492.9-1097.4)+(-10.22499+(-1.508274--3.358044))+0-580.3--1.77571800000007</f>
        <v>2150.1004979999998</v>
      </c>
      <c r="S42" s="3">
        <f>3418.5+(727.9-1101.6)+(-6.97374+(-1.484916--2.247264))+0-638.6--1.30274399999997</f>
        <v>2401.2913520000002</v>
      </c>
      <c r="T42" s="3">
        <f>3410.1+(1006.1-1127.8)+(-10.434906+(-3.078666--3.451068))+0-594.1--1.81794600000007</f>
        <v>2686.0554420000003</v>
      </c>
      <c r="U42" s="3">
        <f>2827.1+(1353.4-941.6)+(-5.767284+(-2.760936--1.920864))+0-609.8--1.24399199999997</f>
        <v>2623.7366360000001</v>
      </c>
      <c r="V42" s="3">
        <f>2820.9+(1169-818.7)+(-7.193295+(-2.98095--2.087685))+0-670.4--1.7095199999999</f>
        <v>2494.4229599999994</v>
      </c>
      <c r="W42" s="3">
        <f>2415.2+(1046.6-525)+(-4.927008+(-2.135064--1.071))+0-600.1--1.22420399999997</f>
        <v>2331.9331320000001</v>
      </c>
      <c r="X42" s="3">
        <f>2268.9+(954.9-383.7)+(-8.099973+(-3.408993--1.369809))+0-694.5--2.47936500000001</f>
        <v>2137.9402080000004</v>
      </c>
      <c r="Y42" s="3">
        <f>2402.3+(783.4-510.7)+(0+(0-0))+0-581.1-0</f>
        <v>2093.9</v>
      </c>
      <c r="Z42" s="3">
        <f>2842.6+(833.9-691.9)+(-7.24863+(-2.126445--1.764345))+0-610.1--1.55575499999991</f>
        <v>2368.445025</v>
      </c>
      <c r="AA42" s="3">
        <f>2983.9+(914-705.2)+(-6.087156+(-1.86456--1.438608))+0-676.5--1.38005999999997</f>
        <v>2511.0669519999997</v>
      </c>
      <c r="AB42" s="3">
        <f>3198.6+(861.3-840.3)+(-3.262572+(-0.878526--0.857106))+0-602.4--0.614448000000096</f>
        <v>2614.530456</v>
      </c>
      <c r="AC42" s="3">
        <f>3087.3+(1194.4-858.9)+(-3.149046+(-1.218288--0.876078))+0-688.7--0.70247400000011</f>
        <v>2731.3112180000003</v>
      </c>
      <c r="AD42">
        <v>2476.4</v>
      </c>
      <c r="AE42" s="3">
        <f>2973+(886.9-642.9)+(0+(0-0))+0-740.6-0</f>
        <v>2476.4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2906.9+(1308.4-723.5)+(-8.895114+(-4.003704--2.21391))+0-627.8--1.92106800000007</f>
        <v>2855.2361599999999</v>
      </c>
      <c r="G43" s="3">
        <f>2771.8+(1256.2-616.9)+(-5.654472+(-2.562648--1.258476))+0-658.9--1.34415599999997</f>
        <v>2746.5855120000006</v>
      </c>
      <c r="H43" s="3">
        <f>3128.2+(992.4-893.2)+(-3.190764+(-1.012248--0.911064))+0-615.5--0.627810000000098</f>
        <v>2609.2358619999995</v>
      </c>
      <c r="I43" s="3">
        <f>3084.5+(932-800.2)+(-4.719285+(-1.42596--1.224306))+0-697.2--1.06671600000004</f>
        <v>2515.2457769999996</v>
      </c>
      <c r="J43" s="3">
        <f>2613.1+(827.6-470.9)+(-1.332681+(-0.422076--0.240159))+0-574.4--0.292943999999942</f>
        <v>2394.1783459999997</v>
      </c>
      <c r="K43" s="3">
        <f>2353.2+(924.1-328.6)+(-4.800528+(-1.885164--0.670344))+0-643.9--1.31355599999997</f>
        <v>2300.0982079999999</v>
      </c>
      <c r="L43" s="3">
        <f>2332.6+(722-274.2)+(-7.137756+(-2.20932--0.839052))+0-699--2.13894000000008</f>
        <v>2075.0309160000002</v>
      </c>
      <c r="M43" s="3">
        <f>2372.9+(509.4-384)+(-2.420358+(-0.519588--0.39168))+0-611.3--0.623526000000097</f>
        <v>1885.0752600000005</v>
      </c>
      <c r="N43" s="3">
        <f>2408.6+(587.4-478.3)+(-3.685158+(-0.898722--0.731799))+0-586.1--0.896733000000034</f>
        <v>1928.644652</v>
      </c>
      <c r="O43" s="3">
        <f>2449.1+(599.7-500.4)+(-3.747123+(-0.917541--0.765612))+0-549.2--0.840276000000032</f>
        <v>1996.141224</v>
      </c>
      <c r="P43" s="3">
        <f>2881+(435.9-672.7)+(-5.87724+(-0.889236--1.372308))+0-594.4--1.21257599999997</f>
        <v>2045.6184079999998</v>
      </c>
      <c r="Q43" s="3">
        <f>3212.5+(259.1-930.5)+(-4.915125+(-0.396423--1.423665))+0-409.4--0.626382000000024</f>
        <v>2128.4384989999999</v>
      </c>
      <c r="R43" s="3">
        <f>4010.5+(203.5-1259.4)+(-10.226775+(-0.518925--3.21147))+0-614.3--1.56646499999991</f>
        <v>2334.3322349999999</v>
      </c>
      <c r="S43" s="3">
        <f>3917.9+(307.1-1168.9)+(-1.998129+(-0.156621--0.596139))+0-543.2--0.277031999999945</f>
        <v>2511.6184210000001</v>
      </c>
      <c r="T43" s="3">
        <f>4337.5+(301.2-1509.1)+(-6.636375+(-0.460836--2.308923))+0-480.1--0.734553000000028</f>
        <v>2645.4462650000005</v>
      </c>
      <c r="U43" s="3">
        <f>4294.9+(364.8-1451.1)+(-10.951995+(-0.93024--3.700305))+0-571.3--1.45681499999992</f>
        <v>2630.5748849999995</v>
      </c>
      <c r="V43" s="3">
        <f>3935+(404.7-1293)+(-10.03425+(-1.031985--3.29715))+0-481.1--1.22680499999993</f>
        <v>2559.0577199999998</v>
      </c>
      <c r="W43" s="3">
        <f>3429.5+(535.2-1036.4)+(-6.99618+(-1.091808--2.114256))+0-579.9--1.18299599999997</f>
        <v>2343.6092640000002</v>
      </c>
      <c r="X43" s="3">
        <f>2725.6+(641.1-625.8)+(-6.95028+(-1.634805--1.59579))+0-548.4--1.39841999999992</f>
        <v>2186.9091250000001</v>
      </c>
      <c r="Y43" s="3">
        <f>2784.7+(436.3-621.2)+(1.420197+(0.222513-0.316812))+0-498.6-0.254285999999949</f>
        <v>2102.271612</v>
      </c>
      <c r="Z43" s="3">
        <f>3329.7+(492.5-910.9)+(-3.396294+(-0.50235--0.929118))+0-617.5--0.629850000000099</f>
        <v>2291.4603240000001</v>
      </c>
      <c r="AA43" s="3">
        <f>3443.3+(455.1-933.9)+(-10.536498+(-1.392606--2.857734))+0-501--1.53306000000006</f>
        <v>2455.9616900000001</v>
      </c>
      <c r="AB43" s="3">
        <f>3233.8+(689.2-775.5)+(-11.544666+(-2.460444--2.768535))+0-565.7--2.01954900000001</f>
        <v>2572.5829740000004</v>
      </c>
      <c r="AC43" s="3">
        <f>3198.4+(806.2-751.4)+(-4.893552+(-1.233486--1.149642))+0-458.3--0.701199000000027</f>
        <v>2790.623803</v>
      </c>
      <c r="AD43">
        <v>2345.7999999999997</v>
      </c>
      <c r="AE43" s="3">
        <f>3547+(389.1-1013.2)+(0+(0-0))+0-577.1-0</f>
        <v>2345.8000000000002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3147+(948.6-699.4)+(0+(0-0))+0-437.4-0</f>
        <v>2958.7999999999997</v>
      </c>
      <c r="G44" s="3">
        <f>3103.4+(901.6-734.5)+(0+(0-0))+0-507.5-0</f>
        <v>2763</v>
      </c>
      <c r="H44" s="3">
        <f>2916.5+(955.3-663.7)+(0+(0-0))+0-571.7-0</f>
        <v>2636.3999999999996</v>
      </c>
      <c r="I44" s="3">
        <f>2829.1+(939.2-498.9)+(0+(0-0))+0-621-0</f>
        <v>2648.4</v>
      </c>
      <c r="J44" s="3">
        <f>2647.5+(909.5-409.6)+(-4.050675+(-1.391535--0.626688))+0-636--0.973080000000037</f>
        <v>2507.5575580000004</v>
      </c>
      <c r="K44" s="3">
        <f>2233.8+(989.3-221.5)+(-2.278476+(-1.009086--0.22593))+0-612.9--0.625158000000098</f>
        <v>2386.2635260000006</v>
      </c>
      <c r="L44" s="3">
        <f>1974.4+(1130.8-258)+(2.013888+(1.153416-0.26316))+0-644.4-0.657288000000103</f>
        <v>2205.0468559999999</v>
      </c>
      <c r="M44" s="3">
        <f>2248.8+(746.3-359.8)+(2.293776+(0.761226-0.366996))+0-555.6-0.566712000000089</f>
        <v>2081.8212939999999</v>
      </c>
      <c r="N44" s="3">
        <f>2476.9+(650.8-449.1)+(-1.263219+(-0.331908--0.229041))+0-614.7--0.313496999999938</f>
        <v>2062.8474109999997</v>
      </c>
      <c r="O44" s="3">
        <f>2537.4+(564.4-567.7)+(0+(0-0))+0-469-0</f>
        <v>2065.1</v>
      </c>
      <c r="P44" s="3">
        <f>3008.3+(385.8-730.9)+(0+(0-0))+0-563.4-0</f>
        <v>2099.8000000000002</v>
      </c>
      <c r="Q44" s="3">
        <f>3152.6+(459.4-926.2)+(-6.431304+(-0.937176--1.889448))+0-464.6--0.94778399999998</f>
        <v>2216.6687519999996</v>
      </c>
      <c r="R44" s="3">
        <f>3212.1+(533.7-973.1)+(-1.638171+(-0.272187--0.496281))+26.4-446.6--0.227765999999955</f>
        <v>2351.3136890000001</v>
      </c>
      <c r="S44" s="3">
        <f>3182.1+(994-980.4)+(0+(0-0))+0-570.9-0</f>
        <v>2624.7999999999997</v>
      </c>
      <c r="T44" s="3">
        <f>3446+(958.8-1085.6)+(-1.75746+(-0.488988--0.553656))+0-562.4--0.286823999999943</f>
        <v>2755.3940319999997</v>
      </c>
      <c r="U44" s="3">
        <f>3359.6+(862.7-954.8)+(-11.993772+(-3.079839--3.408636))+0-495.9--1.77036300000001</f>
        <v>2761.7053879999999</v>
      </c>
      <c r="V44" s="3">
        <f>2814.8+(906.8-620.1)+(-8.613288+(-2.774808--1.897506))+0-579.8--1.77418800000007</f>
        <v>2513.9835980000003</v>
      </c>
      <c r="W44" s="3">
        <f>2529.3+(857.6-476.5)+(-9.029601+(-3.061632--1.701105))+0-558.1--1.99241700000001</f>
        <v>2343.9022890000001</v>
      </c>
      <c r="X44" s="3">
        <f>2515.8+(845.4-393)+(-6.41529+(-2.15577--1.00215))+0-650.5--1.65877499999991</f>
        <v>2311.7898650000002</v>
      </c>
      <c r="Y44" s="3">
        <f>2469.5+(950-509.7)+(-6.297225+(-2.4225--1.299735))+0-585.4--1.49276999999992</f>
        <v>2318.4727800000001</v>
      </c>
      <c r="Z44" s="3">
        <f>3295.9+(521-775.3)+(-6.723636+(-1.06284--1.581612))+0-655.5--1.33721999999997</f>
        <v>2381.2323560000004</v>
      </c>
      <c r="AA44" s="3">
        <f>3335.8+(490.3-824.4)+(-6.805032+(-1.000212--1.681776))+0-562.3--1.14709199999998</f>
        <v>2434.4236240000009</v>
      </c>
      <c r="AB44" s="3">
        <f>3358.2+(678.8-655.5)+(1.712682+(0.346188-0.334305))+0-654.9-0.333998999999934</f>
        <v>2727.9905659999999</v>
      </c>
      <c r="AC44" s="3">
        <f>3343.9+(856.8-660.7)+(-3.410778+(-0.873936--0.673914))+0-651.9--0.664938000000104</f>
        <v>2885.1541379999999</v>
      </c>
      <c r="AD44">
        <v>2834.4</v>
      </c>
      <c r="AE44" s="3">
        <f>3548+(776.5-724.5)+(0+(0-0))+0-765.6-0</f>
        <v>2834.4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3158.3+(1075.5-513)+(0+(0-0))+0-610.8-0</f>
        <v>3110</v>
      </c>
      <c r="G45" s="3">
        <f>2845.4+(1216.1-337.5)+(-2.902308+(-1.240422--0.34425))+0-664.1--0.677382000000106</f>
        <v>3056.7789020000005</v>
      </c>
      <c r="H45" s="3">
        <f>2587.4+(1194-360.3)+(0+(0-0))+0-454.9-0</f>
        <v>2966.2000000000003</v>
      </c>
      <c r="I45" s="3">
        <f>2314.5+(1307.6-235.8)+(-3.541185+(-2.000628--0.360774))+0-605.6--0.926568000000035</f>
        <v>2776.4455290000001</v>
      </c>
      <c r="J45" s="3">
        <f>2424.1+(1195.1-299.2)+(2.472582+(1.219002-0.305184))+0-642.4-0.655248000000102</f>
        <v>2680.3311519999997</v>
      </c>
      <c r="K45" s="3">
        <f>2403.3+(1114.2-314.1)+(-4.902732+(-2.272968--0.640764))+0-618--1.26071999999997</f>
        <v>2580.1257839999998</v>
      </c>
      <c r="L45" s="3">
        <f>1988.1+(1236.3-243.1)+(-1.013931+(-0.630513--0.123981))+0-642.9--0.327878999999935</f>
        <v>2337.2074159999997</v>
      </c>
      <c r="M45" s="3">
        <f>2303.2+(812.1-386.3)+(-1.174632+(-0.414171--0.197013))+0-650.3--0.331652999999934</f>
        <v>2077.6398629999999</v>
      </c>
      <c r="N45" s="3">
        <f>2478+(750.1-554.7)+(-1.26378+(-0.382551--0.282897))+0-599--0.305489999999939</f>
        <v>2073.342056</v>
      </c>
      <c r="O45" s="3">
        <f>2877.3+(590.7-776.2)+(-2.934846+(-0.602514--0.791724))+0-634.8--0.647496000000101</f>
        <v>2054.9018600000004</v>
      </c>
      <c r="P45" s="3">
        <f>3030.9+(509.3-743)+(-4.637277+(-0.779229--1.13679))+0-613.6--0.938808000000036</f>
        <v>2180.2590920000002</v>
      </c>
      <c r="Q45" s="3">
        <f>3300.7+(472.8-849.6)+(0+(0-0))+0-609-0</f>
        <v>2314.8999999999996</v>
      </c>
      <c r="R45" s="3">
        <f>3212.6+(584.8-662.2)+(-8.19213+(-1.49124--1.68861))+0-649.1--1.65520499999991</f>
        <v>2479.7604449999999</v>
      </c>
      <c r="S45" s="3">
        <f>3207.4+(799.4-654.1)+(0+(0-0))+0-556.7-0</f>
        <v>2796</v>
      </c>
      <c r="T45" s="3">
        <f>3366.3+(1092.2-679.4)+(-6.867252+(-2.228088--1.385976))+0-746.1--1.52204399999997</f>
        <v>3026.8126800000005</v>
      </c>
      <c r="U45" s="3">
        <f>3265.2+(1111.4-680.4)+(-8.32626+(-2.83407--1.73502))+0-643.2--1.64015999999991</f>
        <v>3045.2148499999994</v>
      </c>
      <c r="V45" s="3">
        <f>3299.8+(1036.8-713.2)+(-5.048694+(-1.586304--1.091196))+0-694.5--1.06258500000004</f>
        <v>2924.4187830000001</v>
      </c>
      <c r="W45" s="3">
        <f>2907.4+(846.6-506.8)+(-4.448322+(-1.295298--0.775404))+0-584.7--0.894591000000034</f>
        <v>2658.426375</v>
      </c>
      <c r="X45" s="3">
        <f>2532+(879.8-432.4)+(-6.4566+(-2.24349--1.10262))+0-601.5--1.53382499999991</f>
        <v>2371.8363549999999</v>
      </c>
      <c r="Y45" s="3">
        <f>2387.1+(892.1-470.3)+(-3.652263+(-1.364913--0.719559))+0-608.3--0.930699000000035</f>
        <v>2197.2330820000002</v>
      </c>
      <c r="Z45" s="3">
        <f>3036+(569.5-695.2)+(-1.54836+(-0.290445--0.354552))+0-481.9--0.245768999999951</f>
        <v>2427.1615160000001</v>
      </c>
      <c r="AA45" s="3">
        <f>3528.1+(535-779.3)+(-7.197324+(-1.0914--1.589772))+0-636.2--1.29784799999997</f>
        <v>2642.1988959999999</v>
      </c>
      <c r="AB45" s="3">
        <f>3318.5+(609.2-586.2)+(-8.462175+(-1.55346--1.49481))+0-564.5--1.43947499999992</f>
        <v>2769.9186500000001</v>
      </c>
      <c r="AC45" s="3">
        <f>3363.7+(780.4-671.8)+(-5.146461+(-1.194012--1.027854))+0-634.7--0.971091000000037</f>
        <v>2833.258472</v>
      </c>
      <c r="AD45">
        <v>2668.6</v>
      </c>
      <c r="AE45" s="3">
        <f>3437+(627-849.4)+(0+(0-0))+0-546-0</f>
        <v>2668.6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3190.5+(1043.9-510.4)+(-6.50862+(-2.129556--1.041216))+0-580.8--1.18483199999997</f>
        <v>3136.7878719999999</v>
      </c>
      <c r="G46" s="3">
        <f>2508.2+(1519.7-315.7)+(-1.279182+(-0.775047--0.161007))+0-649.5--0.331244999999934</f>
        <v>3061.1380229999995</v>
      </c>
      <c r="H46" s="3">
        <f>2307.8+(1612.1-245)+(-1.176978+(-0.822171--0.12495))+0-645.1--0.329000999999935</f>
        <v>3028.2548020000004</v>
      </c>
      <c r="I46" s="3">
        <f>2226.8+(1527.5-256.7)+(-1.135668+(-0.779025--0.130917))+0-547.7--0.279326999999944</f>
        <v>2948.3955510000001</v>
      </c>
      <c r="J46" s="3">
        <f>2199.1+(1565.2-264.5)+(-4.486164+(-3.193008--0.53958))+0-718.6--1.46594399999997</f>
        <v>2775.5263520000003</v>
      </c>
      <c r="K46" s="3">
        <f>2075.7+(1478.1-236.1)+(-8.468856+(-6.030648--0.963288))+0-641.8--2.61854399999994</f>
        <v>2664.9823280000001</v>
      </c>
      <c r="L46" s="3">
        <f>2015.8+(1228.1-258.5)+(-3.084174+(-1.878993--0.395505))+0-702.4--1.07467200000004</f>
        <v>2279.5070099999998</v>
      </c>
      <c r="M46" s="3">
        <f>2348.6+(816.6-424.1)+(0+(0-0))+0-604.2-0</f>
        <v>2136.8999999999996</v>
      </c>
      <c r="N46" s="3">
        <f>2934.6+(539-670.6)+(0+(0-0))+0-606-0</f>
        <v>2197</v>
      </c>
      <c r="O46" s="3">
        <f>3439.5+(386.5-952)+(1.754145+(0.197115-0.48552))+0-637.2-0.324971999999935</f>
        <v>2237.9407679999999</v>
      </c>
      <c r="P46" s="3">
        <f>3740.8+(355-1191.3)+(-5.723424+(-0.54315--1.822689))+0-565.4--0.865062000000033</f>
        <v>2335.5211769999996</v>
      </c>
      <c r="Q46" s="3">
        <f>3964.5+(343-1242.5)+(-6.065685+(-0.52479--1.901025))+0-703.7--1.07666100000004</f>
        <v>2357.6872110000004</v>
      </c>
      <c r="R46" s="3">
        <f>3920+(333.8-1063.3)+(-5.9976+(-0.510714--1.626849))+0-622.6--0.952578000000036</f>
        <v>2563.9711130000001</v>
      </c>
      <c r="S46" s="3">
        <f>4103.7+(419.9-1147.9)+(-4.185774+(-0.428298--1.170858))+0-571.1--0.582522000000091</f>
        <v>2801.7393080000002</v>
      </c>
      <c r="T46" s="3">
        <f>4516.4+(501.2-1407.5)+(2.303364+(0.255612-0.717825))+0-567.7-0.289526999999942</f>
        <v>3043.9516239999994</v>
      </c>
      <c r="U46" s="3">
        <f>4420.8+(606-1409.8)+(-6.763824+(-0.92718--2.156994))+0-635.7--0.972621000000037</f>
        <v>2976.7386109999998</v>
      </c>
      <c r="V46" s="3">
        <f>3927.3+(638.2-1203.1)+(-8.011692+(-1.301928--2.454324))+0-548.4--1.11873599999998</f>
        <v>2808.2594400000003</v>
      </c>
      <c r="W46" s="3">
        <f>3253.3+(831.9-962.8)+(-4.977549+(-1.272807--1.473084))+0-604.5--0.924885000000035</f>
        <v>2514.0476130000002</v>
      </c>
      <c r="X46" s="3">
        <f>2461.7+(832.8-543.1)+(-5.021868+(-1.698912--1.107924))+0-575.8--1.17463199999997</f>
        <v>2171.1617759999995</v>
      </c>
      <c r="Y46" s="3">
        <f>2623.4+(749.4-670.9)+(-1.337934+(-0.382194--0.342159))+0-674.1--0.343790999999932</f>
        <v>2026.7658220000001</v>
      </c>
      <c r="Z46" s="3">
        <f>2943.7+(798.5-716.2)+(-7.506435+(-2.036175--1.82631))+0-620--1.58099999999991</f>
        <v>2399.8647000000001</v>
      </c>
      <c r="AA46" s="3">
        <f>3031.2+(929.9-627.9)+(-4.637736+(-1.422747--0.960687))+0-623--0.953190000000036</f>
        <v>2706.053394</v>
      </c>
      <c r="AB46" s="3">
        <f>3184.4+(932.8-652.8)+(-4.872132+(-1.427184--0.998784))+0-591.6--0.905148000000034</f>
        <v>2868.4046159999998</v>
      </c>
      <c r="AC46" s="3">
        <f>3283.6+(1045.4-654.4)+(-3.349272+(-1.066308--0.667488))+0-599--0.610980000000096</f>
        <v>3072.462888</v>
      </c>
      <c r="AD46">
        <v>3023.2</v>
      </c>
      <c r="AE46" s="3">
        <f>3132+(1235-655)+(0+(0-0))+0-688.8-0</f>
        <v>3023.2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3141.1+(1361.7-710.4)+(-4.805883+(-2.083401--1.086912))+0-619.8--0.948294000000036</f>
        <v>3167.7459220000005</v>
      </c>
      <c r="G47" s="3">
        <f>2889.5+(1455.5-476.6)+(-4.420935+(-2.226915--0.729198))+0-590.1--0.902853000000034</f>
        <v>3273.2842010000004</v>
      </c>
      <c r="H47" s="3">
        <f>2865+(1442.2-448.5)+(0+(0-0))+0-664.4-0</f>
        <v>3194.2999999999997</v>
      </c>
      <c r="I47" s="3">
        <f>2637+(1420.3-385)+(-6.72435+(-3.621765--0.98175))+0-632.6--1.61312999999991</f>
        <v>3031.9487650000001</v>
      </c>
      <c r="J47" s="3">
        <f>2656.1+(1210.7-341.8)+(2.709222+(1.234914-0.348636))+0-622.7-0.635154000000099</f>
        <v>2905.2603459999996</v>
      </c>
      <c r="K47" s="3">
        <f>2621.1+(1148.3-301)+(-5.347044+(-2.342532--0.61404))+0-677.9--1.38291599999997</f>
        <v>2784.8073799999997</v>
      </c>
      <c r="L47" s="3">
        <f>2387.1+(1009.6-280.5)+(1.217421+(0.514896-0.143055))+0-556.2-0.283661999999944</f>
        <v>2561.3055999999997</v>
      </c>
      <c r="M47" s="3">
        <f>2460.5+(950.4-331.8)+(0+(0-0))+0-699.2-0</f>
        <v>2379.8999999999996</v>
      </c>
      <c r="N47" s="3">
        <f>2577.6+(699.4-400.7)+(-1.314576+(-0.356694--0.204357))+0-608.2--0.310181999999938</f>
        <v>2266.943268999999</v>
      </c>
      <c r="O47" s="3">
        <f>2818.2+(428.1-525.5)+(0+(0-0))+0-481-0</f>
        <v>2239.7999999999997</v>
      </c>
      <c r="P47" s="3">
        <f>3317+(312-713.2)+(-1.69167+(-0.15912--0.363732))+0-638.8--0.325787999999935</f>
        <v>2275.8387300000004</v>
      </c>
      <c r="Q47" s="3">
        <f>3531.6+(308.5-867.1)+(1.801116+(0.157335-0.442221))+0-587.7-0.29972699999994</f>
        <v>2386.5165030000003</v>
      </c>
      <c r="R47" s="3">
        <f>3771.3+(477.1-918.8)+(-3.846726+(-0.486642--0.937176))+0-667--0.680340000000106</f>
        <v>2659.8841480000001</v>
      </c>
      <c r="S47" s="3">
        <f>4061.8+(674.8-1050.3)+(-4.143036+(-0.688296--1.071306))+0-681.4--0.695028000000109</f>
        <v>3001.8350020000003</v>
      </c>
      <c r="T47" s="3">
        <f>4264+(838.5-1126.4)+(-6.52392+(-1.282905--1.723392))+0-688.9--1.05401700000004</f>
        <v>3282.170584</v>
      </c>
      <c r="U47" s="3">
        <f>4089.9+(985.4-1021.8)+(-8.343396+(-2.010216--2.084472))+0-674.2--1.37536799999997</f>
        <v>3372.4062279999998</v>
      </c>
      <c r="V47" s="3">
        <f>3566.9+(1142.1-799.8)+(-9.095595+(-2.912355--2.03949))+0-674--1.7186999999999</f>
        <v>3226.9502399999997</v>
      </c>
      <c r="W47" s="3">
        <f>2666.4+(1362.7-449.4)+(-5.439456+(-2.779908--0.916776))+0-662.4--1.35129599999997</f>
        <v>2911.348708</v>
      </c>
      <c r="X47" s="3">
        <f>2379.3+(1131.4-399.7)+(-6.067215+(-2.88507--1.019235))+0-642.5--1.63837499999991</f>
        <v>2462.2053249999999</v>
      </c>
      <c r="Y47" s="3">
        <f>2669.5+(850.8-526.2)+(-5.44578+(-1.735632--1.073448))+0-624.9--1.27479599999997</f>
        <v>2364.3668320000002</v>
      </c>
      <c r="Z47" s="3">
        <f>2800.5+(1041.9-601.1)+(-7.141275+(-2.656845--1.532805))+0-626.1--1.59655499999991</f>
        <v>2608.5312400000003</v>
      </c>
      <c r="AA47" s="3">
        <f>2761.1+(1266.2-509.5)+(-7.040805+(-3.22881--1.299225))+0-657.4--1.6763699999999</f>
        <v>2853.1059799999998</v>
      </c>
      <c r="AB47" s="3">
        <f>3016.4+(1262.9-623.2)+(-3.076728+(-1.288158--0.635664))+0-617.9--0.630258000000098</f>
        <v>3035.1010360000005</v>
      </c>
      <c r="AC47" s="3">
        <f>3147.5+(1447.6-668)+(-4.815675+(-2.214828--1.02204))+0-621.3--0.950589000000036</f>
        <v>3300.7421260000001</v>
      </c>
      <c r="AD47">
        <v>2984.4</v>
      </c>
      <c r="AE47" s="3">
        <f>2621+(1508.5-460.7)+(0+(0-0))+0-684.4-0</f>
        <v>2984.4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2833+(1728.7-401.6)+(-5.77932+(-3.526548--0.819264))+0-629.3--1.28377199999997</f>
        <v>3523.5971680000002</v>
      </c>
      <c r="G48" s="3">
        <f>2695.2+(1788-288.8)+(-6.87276+(-4.5594--0.73644))+0-596.7--1.52158499999991</f>
        <v>3588.5258650000001</v>
      </c>
      <c r="H48" s="3">
        <f>2635.4+(1636.3-294.9)+(-5.376216+(-3.338052--0.601596))+0-616.7--1.25806799999997</f>
        <v>3353.2453960000003</v>
      </c>
      <c r="I48" s="3">
        <f>2569.5+(1520.3-284.4)+(-3.931335+(-2.326059--0.435132))+0-632.9--0.968337000000037</f>
        <v>3167.6460750000001</v>
      </c>
      <c r="J48" s="3">
        <f>2483.3+(1565.6-222.2)+(-5.065932+(-3.193824--0.453288))+0-663.1--1.35272399999997</f>
        <v>3157.1462559999995</v>
      </c>
      <c r="K48" s="3">
        <f>2404.3+(1499.5-223.6)+(-3.678579+(-2.294235--0.342108))+0-647.7--0.990981000000038</f>
        <v>3027.860275</v>
      </c>
      <c r="L48" s="3">
        <f>2272.4+(1416.5-252.7)+(-5.79462+(-3.612075--0.644385))+0-606.4--1.54631999999991</f>
        <v>2822.5840099999996</v>
      </c>
      <c r="M48" s="3">
        <f>2391.9+(1124.4-276.7)+(2.439738+(1.146888-0.282234))+0-590.9-0.602718000000094</f>
        <v>2651.4016740000002</v>
      </c>
      <c r="N48" s="3">
        <f>2468.1+(1002-309.5)+(-1.258731+(-0.51102--0.157845))+0-647.9--0.330428999999934</f>
        <v>2511.4185229999998</v>
      </c>
      <c r="O48" s="3">
        <f>2714.3+(972.2-602.2)+(-2.768586+(-0.991644--0.614244))+0-641.2--0.654024000000102</f>
        <v>2440.6080379999999</v>
      </c>
      <c r="P48" s="3">
        <f>2865.7+(897.7-795.8)+(-5.846028+(-1.831308--1.623432))+0-554.2--1.13056799999998</f>
        <v>2408.4766640000003</v>
      </c>
      <c r="Q48" s="3">
        <f>3140.3+(898.9-1007.9)+(-4.804659+(-1.375317--1.542087))+0-529.6--0.810288000000031</f>
        <v>2497.8723990000003</v>
      </c>
      <c r="R48" s="3">
        <f>3528.6+(1019.9-1122.4)+(-7.198344+(-2.080596--2.289696))+0-704--1.43615999999997</f>
        <v>2716.5469159999998</v>
      </c>
      <c r="S48" s="3">
        <f>3600.1+(1147.8-1115.7)+(-9.180255+(-2.92689--2.845035))+0-616.6--1.57232999999991</f>
        <v>3007.9102199999998</v>
      </c>
      <c r="T48" s="3">
        <f>4005.3+(1065.1-1264.4)+(-4.085406+(-1.086402--1.289688))+0-633.7--0.646374000000101</f>
        <v>3169.0642539999999</v>
      </c>
      <c r="U48" s="3">
        <f>4062.5+(1085.4-1385.7)+(-8.2875+(-2.214216--2.826828))+0-567.4--1.15749599999998</f>
        <v>3188.2826079999995</v>
      </c>
      <c r="V48" s="3">
        <f>3813.9+(856-1087.6)+(0+(0-0))+0-504.3-0</f>
        <v>3078</v>
      </c>
      <c r="W48" s="3">
        <f>3309.5+(922.7-759.2)+(-5.063535+(-1.411731--1.161576))+0-685.7--1.04912100000004</f>
        <v>2783.0354310000002</v>
      </c>
      <c r="X48" s="3">
        <f>2954.1+(781-642.8)+(-6.026364+(-1.59324--1.311312))+0-615.2--1.25500799999997</f>
        <v>2472.0467159999998</v>
      </c>
      <c r="Y48" s="3">
        <f>2813.5+(730-587)+(-5.73954+(-1.4892--1.19748))+0-578.6--1.18034399999997</f>
        <v>2373.0490839999998</v>
      </c>
      <c r="Z48" s="3">
        <f>3429.9+(775-819.8)+(-5.247747+(-1.18575--1.254294))+0-720.5--1.10236500000004</f>
        <v>2660.5231620000004</v>
      </c>
      <c r="AA48" s="3">
        <f>3509.8+(793.4-696)+(-7.159992+(-1.618536--1.41984))+0-631.4--1.28805599999997</f>
        <v>2969.7293680000002</v>
      </c>
      <c r="AB48" s="3">
        <f>3691.7+(935.1-765)+(-3.765534+(-0.953802--0.7803))+0-678.2--0.691764000000108</f>
        <v>3180.3527279999998</v>
      </c>
      <c r="AC48" s="3">
        <f>3710.1+(1249.1-862.6)+(-7.568604+(-2.548164--1.759704))+0-659.8--1.34599199999997</f>
        <v>3429.7889279999995</v>
      </c>
      <c r="AD48">
        <v>2816.2999999999993</v>
      </c>
      <c r="AE48" s="3">
        <f>3794+(628.9-937.8)+(0+(0-0))+0-668.8-0</f>
        <v>2816.3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3486.1+(1550.1-757.3)+(0+(0-0))+0-723.7-0</f>
        <v>3555.2</v>
      </c>
      <c r="G49" s="3">
        <f>3069.9+(1494.8-512.8)+(-1.565649+(-0.762348--0.261528))+0-577.1--0.294320999999941</f>
        <v>3473.0278520000002</v>
      </c>
      <c r="H49" s="3">
        <f>2599+(1657.1-309)+(-9.27843+(-5.915847--1.10313))+0-667.2--2.38190400000001</f>
        <v>3268.1907569999994</v>
      </c>
      <c r="I49" s="3">
        <f>2582.4+(1504.8-312.7)+(-3.951072+(-2.302344--0.478431))+0-663.9--1.01576700000004</f>
        <v>3105.8407819999998</v>
      </c>
      <c r="J49" s="3">
        <f>2803.4+(1127.4-315.2)+(0+(0-0))+0-586.5-0</f>
        <v>3029.1000000000004</v>
      </c>
      <c r="K49" s="3">
        <f>2674.4+(1251.4-260.8)+(-1.363944+(-0.638214--0.133008))+0-647.8--0.330377999999934</f>
        <v>3015.6612280000004</v>
      </c>
      <c r="L49" s="3">
        <f>2404.5+(1133.9-261.3)+(-1.226295+(-0.578289--0.133263))+0-572.7--0.292076999999942</f>
        <v>2703.0207560000008</v>
      </c>
      <c r="M49" s="3">
        <f>2353.4+(1084.6-300.6)+(1.200234+(0.553146-0.153306))+0-621.5-0.316964999999937</f>
        <v>2517.1831090000001</v>
      </c>
      <c r="N49" s="3">
        <f>2440.1+(1076.2-482.3)+(2.488902+(1.097724-0.491946))+0-630.8-0.643416000000101</f>
        <v>2405.6512640000001</v>
      </c>
      <c r="O49" s="3">
        <f>2901.7+(822.1-654.4)+(0+(0-0))+0-589-0</f>
        <v>2480.3999999999996</v>
      </c>
      <c r="P49" s="3">
        <f>3442.1+(592.9-964.7)+(0+(0-0))+0-577.1-0</f>
        <v>2493.1999999999998</v>
      </c>
      <c r="Q49" s="3">
        <f>4027.2+(494.2-1241.2)+(2.053872+(0.252042-0.633012))+0-565.2-0.288251999999943</f>
        <v>2716.3846499999995</v>
      </c>
      <c r="R49" s="3">
        <f>4337.6+(536.1-1338.2)+(4.424352+(0.546822-1.364964))+0-462.2-0.471444000000074</f>
        <v>3076.4347660000003</v>
      </c>
      <c r="S49" s="3">
        <f>4494.1+(721.4-1312.9)+(-2.291991+(-0.367914--0.669579))+0-405.2--0.206651999999959</f>
        <v>3495.6163260000003</v>
      </c>
      <c r="T49" s="3">
        <f>4853+(730-1375.2)+(0+(0-0))+0-448.7-0</f>
        <v>3759.1000000000004</v>
      </c>
      <c r="U49" s="3">
        <f>4907.3+(787.4-1418.6)+(0+(0-0))+0-475-0</f>
        <v>3801.1000000000004</v>
      </c>
      <c r="V49" s="3">
        <f>4224.5+(977.5-1065.6)+(-8.61798+(-1.9941--2.173824))+0-566.9--1.15647599999998</f>
        <v>3562.2182199999993</v>
      </c>
      <c r="W49" s="3">
        <f>3192.6+(1209-623.6)+(-6.512904+(-2.46636--1.272144))+0-507--1.03427999999998</f>
        <v>3264.3271599999998</v>
      </c>
      <c r="X49" s="3">
        <f>2722+(1131.2-424.2)+(-11.10576+(-4.615296--1.730736))+0-533.7--2.17749599999995</f>
        <v>2883.4871760000001</v>
      </c>
      <c r="Y49" s="3">
        <f>2794.8+(879.1-514.3)+(-7.12674+(-2.241705--1.311465))+0-479.1--1.22170499999993</f>
        <v>2673.6647250000005</v>
      </c>
      <c r="Z49" s="3">
        <f>3252+(928.1-559.8)+(-4.97556+(-1.419993--0.856494))+0-603--0.922590000000035</f>
        <v>3012.6835310000001</v>
      </c>
      <c r="AA49" s="3">
        <f>3639+(998.3-642.1)+(-11.13534+(-3.054798--1.964826))+0-581.1--1.77816600000007</f>
        <v>3403.6528539999999</v>
      </c>
      <c r="AB49" s="3">
        <f>3565.2+(1050.1-546.9)+(-3.636504+(-1.071102--0.557838))+0-481.4--0.491028000000077</f>
        <v>3583.3412599999992</v>
      </c>
      <c r="AC49" s="3">
        <f>3586.8+(1435.3-585.7)+(-3.658536+(-1.464006--0.597414))+0-610.2--0.622404000000097</f>
        <v>3822.2972759999998</v>
      </c>
      <c r="AD49">
        <v>3297.4000000000005</v>
      </c>
      <c r="AE49" s="3">
        <f>3738+(911.3-778.6)+(0+(0-0))+0-573.3-0</f>
        <v>3297.3999999999996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3439.3+(1566.3-491.7)+(-8.770215+(-3.994065--1.253835))+0-642.6--1.63862999999991</f>
        <v>3861.4281849999998</v>
      </c>
      <c r="G50" s="3">
        <f>3421.6+(1350.8-482.6)+(-3.490032+(-1.377816--0.492252))+0-565.2--0.57650400000009</f>
        <v>3720.8009080000006</v>
      </c>
      <c r="H50" s="3">
        <f>3291.6+(1340.6-361.3)+(-3.357432+(-1.367412--0.368526))+0-644.3--0.657186000000103</f>
        <v>3622.9008679999993</v>
      </c>
      <c r="I50" s="3">
        <f>2964.8+(1492.8-296.3)+(0+(0-0))+0-587.1-0</f>
        <v>3574.2000000000003</v>
      </c>
      <c r="J50" s="3">
        <f>2945+(1373.5-281.6)+(3.0039+(1.40097-0.287232))+0-593.4-0.605268000000095</f>
        <v>3447.0123699999999</v>
      </c>
      <c r="K50" s="3">
        <f>2783.8+(1201.5-258.6)+(-7.09869+(-3.063825--0.65943))+0-513.1--1.30840499999993</f>
        <v>3205.4053200000003</v>
      </c>
      <c r="L50" s="3">
        <f>2506.2+(1285.2-256.3)+(-6.39081+(-3.27726--0.653565))+0-613.5--1.56442499999991</f>
        <v>2914.1499199999998</v>
      </c>
      <c r="M50" s="3">
        <f>2483.5+(1068.7-302.2)+(0+(0-0))+0-574.9-0</f>
        <v>2675.1</v>
      </c>
      <c r="N50" s="3">
        <f>2556.7+(952.3-473.4)+(-2.607834+(-0.971346--0.482868))+0-468.6--0.477972000000075</f>
        <v>2564.38166</v>
      </c>
      <c r="O50" s="3">
        <f>2994.4+(708.3-673.6)+(-6.108576+(-1.444932--1.374144))+0-528.4--1.07793599999998</f>
        <v>2495.5985719999999</v>
      </c>
      <c r="P50" s="3">
        <f>3213.2+(445-845.6)+(-1.638732+(-0.22695--0.431256))+0-507--0.258569999999949</f>
        <v>2304.4241440000001</v>
      </c>
      <c r="Q50" s="3">
        <f>3780.4+(409.2-1007.3)+(0+(0-0))+0-501.4-0</f>
        <v>2680.9</v>
      </c>
      <c r="R50" s="3">
        <f>4342.1+(368.5-1219.9)+(-8.857884+(-0.75174--2.488596))+0-442--0.901679999999981</f>
        <v>3042.4806520000002</v>
      </c>
      <c r="S50" s="3">
        <f>4096.8+(882.3-1101.4)+(-12.536208+(-2.699838--3.370284))+0-421.5--1.28979000000005</f>
        <v>3445.6240280000002</v>
      </c>
      <c r="T50" s="3">
        <f>4006.6+(1127.5-906.9)+(-8.173464+(-2.3001--1.850076))+0-461.1--0.94064399999998</f>
        <v>3758.4171559999995</v>
      </c>
      <c r="U50" s="3">
        <f>3935.7+(1160.6-820.3)+(0+(0-0))+0-552.8-0</f>
        <v>3723.2</v>
      </c>
      <c r="V50" s="3">
        <f>3633.1+(1174.1-668.6)+(-9.264405+(-2.993955--1.70493))+0-559.5--1.42672499999992</f>
        <v>3569.9732949999993</v>
      </c>
      <c r="W50" s="3">
        <f>2880.7+(1293.5-396.8)+(-7.345785+(-3.298425--1.01184))+0-568.5--1.44967499999992</f>
        <v>3200.7173049999997</v>
      </c>
      <c r="X50" s="3">
        <f>2950.9+(965.8-501.2)+(-6.019836+(-1.970232--1.022448))+0-640.9--1.30743599999997</f>
        <v>2768.9398160000001</v>
      </c>
      <c r="Y50" s="3">
        <f>2789.3+(810.8-453.2)+(-1.422543+(-0.413508--0.231132))+0-624.6--0.318545999999937</f>
        <v>2521.0136270000003</v>
      </c>
      <c r="Z50" s="3">
        <f>3294.9+(692.5-601.8)+(-1.680399+(-0.353175--0.306918))+0-700.3--0.357152999999929</f>
        <v>2683.9304970000003</v>
      </c>
      <c r="AA50" s="3">
        <f>3571.4+(586.2-528.6)+(-1.821414+(-0.298962--0.269586))+0-618.9--0.315638999999937</f>
        <v>3008.5648489999999</v>
      </c>
      <c r="AB50" s="3">
        <f>3750.7+(722.4-568.5)+(-1.912857+(-0.368424--0.289935))+0-688.8--0.35128799999993</f>
        <v>3214.1599420000002</v>
      </c>
      <c r="AC50" s="3">
        <f>3345.5+(1198.3-462.4)+(-8.531025+(-3.055665--1.17912))+0-663.3--1.6914149999999</f>
        <v>3409.3838449999998</v>
      </c>
      <c r="AD50">
        <v>2977.1000000000004</v>
      </c>
      <c r="AE50" s="3">
        <f>3606.1+(782.4-641.7)+(0+(0-0))+0-769.7-0</f>
        <v>2977.0999999999995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3105.8+(1407-467)+(-3.167916+(-1.43514--0.47634))+0-567.2--0.578544000000091</f>
        <v>3475.0518279999997</v>
      </c>
      <c r="G51" s="3">
        <f>3068.1+(1469.2-434.4)+(-6.258924+(-2.997168--0.886176))+0-728.9--1.48695599999997</f>
        <v>3367.1170399999996</v>
      </c>
      <c r="H51" s="3">
        <f>2838.1+(1456.8-340.2)+(0+(0-0))+0-640.3-0</f>
        <v>3314.3999999999996</v>
      </c>
      <c r="I51" s="3">
        <f>2846.2+(1428-382)+(-7.25781+(-3.6414--0.9741))+0-709.3--1.8087149999999</f>
        <v>3174.7836049999996</v>
      </c>
      <c r="J51" s="3">
        <f>2577.4+(1454.1-342.3)+(-6.57237+(-3.707955--0.872865))+0-653.4--1.66616999999991</f>
        <v>3028.0587099999998</v>
      </c>
      <c r="K51" s="3">
        <f>2409.3+(1580.8-270.4)+(-2.457486+(-1.612416--0.275808))+0-666.5--0.679830000000106</f>
        <v>3050.0857360000005</v>
      </c>
      <c r="L51" s="3">
        <f>2161.4+(1424.4-212.8)+(-7.716198+(-5.085108--0.759696))+0-670.9--2.39511300000001</f>
        <v>2692.4535029999997</v>
      </c>
      <c r="M51" s="3">
        <f>2266.9+(1170.3-309.6)+(3.468357+(1.790559-0.473688))+0-638.9-0.977517000000037</f>
        <v>2492.5077109999997</v>
      </c>
      <c r="N51" s="3">
        <f>2555.3+(1044.8-432.1)+(2.606406+(1.065696-0.440742))+0-670-0.683400000000107</f>
        <v>2500.5479600000003</v>
      </c>
      <c r="O51" s="3">
        <f>2861.8+(691.2-745.9)+(-2.919036+(-0.705024--0.760818))+0-611.1--0.623322000000097</f>
        <v>2193.7600800000005</v>
      </c>
      <c r="P51" s="3">
        <f>3107.6+(469.4-806.8)+(-4.754628+(-0.718182--1.234404))+0-565.6--0.865368000000033</f>
        <v>2201.2269620000002</v>
      </c>
      <c r="Q51" s="3">
        <f>4076.3+(193.8-976.9)+(2.078913+(0.098838-0.498219))+0-566-0.288659999999943</f>
        <v>2728.5908720000002</v>
      </c>
      <c r="R51" s="3">
        <f>4530.2+(359.1-941.6)+(-4.620804+(-0.366282--0.960432))+0-586--0.597720000000093</f>
        <v>3358.2710660000002</v>
      </c>
      <c r="S51" s="3">
        <f>4199.3+(717.7-895.9)+(-4.283286+(-0.732054--0.913818))+0-594.2--0.606084000000095</f>
        <v>3423.4045620000006</v>
      </c>
      <c r="T51" s="3">
        <f>4608.6+(847.3-1026.2)+(-4.700772+(-0.864246--1.046724))+0-668.1--0.681462000000107</f>
        <v>3757.7631680000004</v>
      </c>
      <c r="U51" s="3">
        <f>4283.2+(919.6-861.5)+(-10.92216+(-2.34498--2.196825))+0-541.9--1.38184499999992</f>
        <v>3789.71153</v>
      </c>
      <c r="V51" s="3">
        <f>3977+(1055.9-724.6)+(-4.05654+(-1.077018--0.739092))+0-675--0.688500000000108</f>
        <v>3629.5940340000006</v>
      </c>
      <c r="W51" s="3">
        <f>3265.7+(1129.8-423.5)+(-11.658549+(-4.033386--1.511895))+0-571.3--2.03954100000001</f>
        <v>3388.5595009999997</v>
      </c>
      <c r="X51" s="3">
        <f>2622.4+(1243.7-375.9)+(-9.361968+(-4.440009--1.341963))+0-578.5--2.06524500000001</f>
        <v>2901.3052310000007</v>
      </c>
      <c r="Y51" s="3">
        <f>2625.8+(963.1-356.8)+(-2.678316+(-0.982362--0.363936))+0-627.9--0.6404580000001</f>
        <v>2601.5437160000006</v>
      </c>
      <c r="Z51" s="3">
        <f>3099.9+(836.8-584.3)+(-4.742847+(-1.280304--0.893979))+0-567--0.867510000000033</f>
        <v>2781.1383380000002</v>
      </c>
      <c r="AA51" s="3">
        <f>3181.4+(1054.1-501.1)+(-8.11257+(-2.687955--1.277805))+0-613.4--1.56416999999991</f>
        <v>3113.0414500000002</v>
      </c>
      <c r="AB51" s="3">
        <f>3407.2+(1033-456.4)+(0+(0-0))+0-582.7-0</f>
        <v>3401.0999999999995</v>
      </c>
      <c r="AC51" s="3">
        <f>3482.3+(1268.5-485)+(-10.655838+(-3.88161--1.4841))+0-634.6--1.94187600000007</f>
        <v>3620.0885279999998</v>
      </c>
      <c r="AD51">
        <v>3247.2</v>
      </c>
      <c r="AE51" s="3">
        <f>3290+(1303-589.1)+(0+(0-0))+0-756.7-0</f>
        <v>3247.2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2950.8+(1692.6-233.7)+(0+(0-0))+0-542.2-0</f>
        <v>3867.5</v>
      </c>
      <c r="G52" s="3">
        <f>2910.8+(1774.8-239)+(-5.938032+(-3.620592--0.48756))+0-661.6--1.34966399999997</f>
        <v>3777.2786000000006</v>
      </c>
      <c r="H52" s="3">
        <f>2933.8+(1659-240.2)+(-4.488714+(-2.53827--0.367506))+0-667.7--1.02158100000004</f>
        <v>3679.2621030000009</v>
      </c>
      <c r="I52" s="3">
        <f>2774+(1798.8-245.8)+(-2.82948+(-1.834776--0.250716))+0-689.8--0.70359600000011</f>
        <v>3633.4900560000005</v>
      </c>
      <c r="J52" s="3">
        <f>2710.6+(1713.8-233)+(-5.529624+(-3.496152--0.47532))+0-646.1--1.31804399999997</f>
        <v>3538.0675879999999</v>
      </c>
      <c r="K52" s="3">
        <f>2581+(1644.9-226.5)+(-6.58155+(-4.194495--0.577575))+0-608.8--1.55243999999991</f>
        <v>3381.95397</v>
      </c>
      <c r="L52" s="3">
        <f>2489.5+(1432.1-254.1)+(-2.53929+(-1.460742--0.259182))+0-646.3--0.659226000000103</f>
        <v>3018.1183759999999</v>
      </c>
      <c r="M52" s="3">
        <f>2327.5+(1281-314)+(-7.12215+(-3.91986--0.96084))+0-657.3--2.01133800000008</f>
        <v>2629.1301680000006</v>
      </c>
      <c r="N52" s="3">
        <f>2680.1+(917.5-473.5)+(2.733702+(0.93585-0.48297))+0-553.6-0.564672000000088</f>
        <v>2573.1219099999998</v>
      </c>
      <c r="O52" s="3">
        <f>2887.2+(981.2-650.8)+(0+(0-0))+0-556-0</f>
        <v>2661.6</v>
      </c>
      <c r="P52" s="3">
        <f>3065.2+(850.6-709.3)+(-3.126504+(-0.867612--0.723486))+0-608.1--0.620262000000097</f>
        <v>2595.749632</v>
      </c>
      <c r="Q52" s="3">
        <f>3818.4+(634.9-885)+(-3.894768+(-0.647598--0.9027))+0-558.5--0.569670000000089</f>
        <v>3006.7300040000005</v>
      </c>
      <c r="R52" s="3">
        <f>4479.3+(604.2-1076.3)+(-4.568886+(-0.616284--1.097826))+0-676.8--0.690336000000108</f>
        <v>3327.0029920000002</v>
      </c>
      <c r="S52" s="3">
        <f>4451.2+(879.1-928.7)+(0+(0-0))+0-549.7-0</f>
        <v>3851.8999999999996</v>
      </c>
      <c r="T52" s="3">
        <f>4623.1+(1179.2-1015.3)+(2.357781+(0.601392-0.517803))+0-708.3-0.361232999999928</f>
        <v>4080.7801369999993</v>
      </c>
      <c r="U52" s="3">
        <f>4559.9+(1106.9-1082.1)+(-2.325549+(-0.564519--0.551871))+0-477.5--0.243524999999952</f>
        <v>4105.1053279999996</v>
      </c>
      <c r="V52" s="3">
        <f>4496.8+(975.2-901.3)+(-11.46684+(-2.48676--2.298315))+0-612.8--1.56263999999991</f>
        <v>3947.8073550000008</v>
      </c>
      <c r="W52" s="3">
        <f>3357.4+(1230.8-436.1)+(-11.985918+(-4.393956--1.556877))+0-578.7--2.06595900000001</f>
        <v>3560.6429620000004</v>
      </c>
      <c r="X52" s="3">
        <f>2714.9+(1330.5-339.3)+(-5.538396+(-2.71422--0.692172))+0-577.8--1.17871199999997</f>
        <v>3121.9182680000004</v>
      </c>
      <c r="Y52" s="3">
        <f>2640.3+(1246.6-322.9)+(-6.732765+(-3.17883--0.823395))+0-684.3--1.7449649999999</f>
        <v>2872.3567649999995</v>
      </c>
      <c r="Z52" s="3">
        <f>3333.5+(1032-564.1)+(-5.100255+(-1.57896--0.863073))+0-660.1--1.00995300000004</f>
        <v>3136.4938110000003</v>
      </c>
      <c r="AA52" s="3">
        <f>3597.1+(1180.1-575.7)+(0+(0-0))+0-677.5-0</f>
        <v>3524</v>
      </c>
      <c r="AB52" s="3">
        <f>3367.2+(1464.3-501.3)+(-1.717272+(-0.746793--0.255663))+0-621.1--0.316760999999937</f>
        <v>3707.2083589999997</v>
      </c>
      <c r="AC52" s="3">
        <f>3419.8+(1664.7-546)+(-1.744098+(-0.848997--0.27846))+0-634.1--0.323390999999936</f>
        <v>3902.4087560000003</v>
      </c>
      <c r="AD52">
        <v>3675.3</v>
      </c>
      <c r="AE52" s="3">
        <f>3826+(1216-634.4)+(0+(0-0))+0-732.3-0</f>
        <v>3675.3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3632.9+(1684.9-568.1)+(-1.852779+(-0.859299--0.289731))+0-644.3--0.328592999999935</f>
        <v>4103.306246000001</v>
      </c>
      <c r="G53" s="3">
        <f>3633.5+(1649.2-572.1)+(-5.559255+(-2.523276--0.875313))+0-744.7--1.13939100000004</f>
        <v>3959.8321730000011</v>
      </c>
      <c r="H53" s="3">
        <f>3497+(1426.8-449.5)+(-8.91735+(-3.63834--1.146225))+0-628.2--1.60190999999991</f>
        <v>3836.2924450000005</v>
      </c>
      <c r="I53" s="3">
        <f>3408+(1465.5-434.2)+(-8.6904+(-3.737025--1.10721))+0-719.6--1.8349799999999</f>
        <v>3710.2147650000006</v>
      </c>
      <c r="J53" s="3">
        <f>3478.6+(1274.6-450.4)+(1.774086+(0.650046-0.229704))+0-659.5-0.336344999999933</f>
        <v>3645.1580830000003</v>
      </c>
      <c r="K53" s="3">
        <f>3043.5+(1473-259.2)+(-1.552185+(-0.75123--0.132192))+0-738.5--0.376634999999925</f>
        <v>3517.005412</v>
      </c>
      <c r="L53" s="3">
        <f>2407+(1612.3-226.8)+(-4.91028+(-3.289092--0.462672))+0-617.7--1.26010799999997</f>
        <v>3168.3234079999997</v>
      </c>
      <c r="M53" s="3">
        <f>2567+(1208.8-293.4)+(2.61834+(1.232976-0.299268))+0-574.2-0.585684000000092</f>
        <v>2911.1663640000002</v>
      </c>
      <c r="N53" s="3">
        <f>2809+(1074.3-514.1)+(2.86518+(1.095786-0.524382))+0-562.8-0.57405600000009</f>
        <v>2809.2625279999997</v>
      </c>
      <c r="O53" s="3">
        <f>3198.4+(937.5-697.7)+(1.631184+(0.478125-0.355827))+0-639.2-0.325991999999935</f>
        <v>2800.42749</v>
      </c>
      <c r="P53" s="3">
        <f>3670.6+(714.9-810.5)+(-1.872006+(-0.364599--0.413355))+0-622.5--0.317474999999937</f>
        <v>2950.9942249999999</v>
      </c>
      <c r="Q53" s="3">
        <f>4195.5+(581.1-997.6)+(-6.419115+(-0.889083--1.526328))+0-660.3--1.01025900000004</f>
        <v>3113.9283890000002</v>
      </c>
      <c r="R53" s="3">
        <f>4337.2+(690.4-985.1)+(-4.423944+(-0.704208--1.004802))+0-517.4--0.527748000000082</f>
        <v>3521.504398</v>
      </c>
      <c r="S53" s="3">
        <f>4251.7+(1159.5-838.9)+(-4.336734+(-1.18269--0.855678))+0-635.8--0.648516000000101</f>
        <v>3932.48477</v>
      </c>
      <c r="T53" s="3">
        <f>4005+(1658.7-786.4)+(-2.04255+(-0.845937--0.401064))+0-689.5--0.35164499999993</f>
        <v>4185.6642220000003</v>
      </c>
      <c r="U53" s="3">
        <f>3699.2+(1731.9-631.3)+(-9.43296+(-4.416345--1.609815))+0-563--1.43564999999992</f>
        <v>4225.9961600000006</v>
      </c>
      <c r="V53" s="3">
        <f>3276.5+(1782.6-362.1)+(-1.671015+(-0.909126--0.184671))+0-668.2--0.340781999999932</f>
        <v>4026.7453119999996</v>
      </c>
      <c r="W53" s="3">
        <f>2574+(1917.8-246.1)+(-9.18918+(-6.846546--0.878577))+0-580.9--2.07381300000001</f>
        <v>3651.716664</v>
      </c>
      <c r="X53" s="3">
        <f>2394.3+(1523-223.9)+(-4.884372+(-3.10692--0.456756))+0-583.9--1.19115599999997</f>
        <v>3103.1566199999997</v>
      </c>
      <c r="Y53" s="3">
        <f>2526.3+(1306.3-249.3)+(-5.153652+(-2.664852--0.508572))+0-640.9--1.30743599999997</f>
        <v>2936.397504</v>
      </c>
      <c r="Z53" s="3">
        <f>2908.2+(1347-348.9)+(-4.449546+(-2.06091--0.533817))+0-624.6--0.955638000000036</f>
        <v>3276.6789989999997</v>
      </c>
      <c r="AA53" s="3">
        <f>2955.3+(1551.6-290.9)+(-6.028812+(-3.165264--0.593436))+0-699.7--1.42738799999997</f>
        <v>3509.1267480000006</v>
      </c>
      <c r="AB53" s="3">
        <f>2997.3+(1570-244.7)+(-3.057246+(-1.6014--0.249594))+0-610.4--0.622608000000097</f>
        <v>3708.4135560000004</v>
      </c>
      <c r="AC53" s="3">
        <f>3084.6+(1617.7-263.1)+(-6.292584+(-3.300108--0.536724))+0-497.6--1.01510399999998</f>
        <v>3933.5591360000003</v>
      </c>
      <c r="AD53">
        <v>3537.7</v>
      </c>
      <c r="AE53" s="3">
        <f>2915+(1626.9-338.5)+(0+(0-0))+0-665.7-0</f>
        <v>3537.7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3021.5+(1911.6-229.3)+(-4.622895+(-2.924748--0.350829))+0-577.4--0.883422000000033</f>
        <v>4120.0866080000005</v>
      </c>
      <c r="G54" s="3">
        <f>3017.4+(1843-234.9)+(-4.616622+(-2.81979--0.359397))+0-664.1--1.01607300000004</f>
        <v>3955.3390580000005</v>
      </c>
      <c r="H54" s="3">
        <f>2816.8+(1917.2-220.4)+(-5.746272+(-3.911088--0.449616))+0-715.2--1.45900799999997</f>
        <v>3790.6512640000001</v>
      </c>
      <c r="I54" s="3">
        <f>2885.1+(1817.1-232.1)+(0+(0-0))+0-638.2-0</f>
        <v>3831.9000000000005</v>
      </c>
      <c r="J54" s="3">
        <f>2770.8+(1918.5-236.9)+(-2.826216+(-1.95687--0.241638))+0-708.5--0.722670000000113</f>
        <v>3740.0812219999998</v>
      </c>
      <c r="K54" s="3">
        <f>2640.5+(1861.8-238.6)+(0+(0-0))+0-636.3-0</f>
        <v>3627.3999999999996</v>
      </c>
      <c r="L54" s="3">
        <f>2194+(2063.8-211.5)+(-5.5947+(-5.26269--0.539325))+0-674.4--1.7197199999999</f>
        <v>3363.3016550000002</v>
      </c>
      <c r="M54" s="3">
        <f>2155+(1699.9-192.9)+(2.1981+(1.733898-0.196758))+0-570.4-0.581808000000091</f>
        <v>3094.753432</v>
      </c>
      <c r="N54" s="3">
        <f>2300.1+(1536.9-226.8)+(1.173051+(0.783819-0.115668))+0-687.7-0.35072699999993</f>
        <v>2923.9904749999996</v>
      </c>
      <c r="O54" s="3">
        <f>2290.3+(1403.2-244.9)+(-2.336106+(-1.431264--0.249798))+0-638.9--0.651678000000102</f>
        <v>2806.8341060000002</v>
      </c>
      <c r="P54" s="3">
        <f>2550.3+(1132.4-228.7)+(-1.300653+(-0.577524--0.116637))+0-668--0.340679999999932</f>
        <v>2784.5791399999998</v>
      </c>
      <c r="Q54" s="3">
        <f>2919.9+(997.9-374.9)+(2.978298+(1.017858-0.382398))+0-574.8-0.586296000000092</f>
        <v>2971.1274619999999</v>
      </c>
      <c r="R54" s="3">
        <f>3522.6+(1084.5-583.5)+(7.186104+(2.21238-1.19034))+0-720.9-1.47063599999997</f>
        <v>3309.437508</v>
      </c>
      <c r="S54" s="3">
        <f>3964.6+(1132.3-654.8)+(-2.021946+(-0.577473--0.333948))+0-629.2--0.320891999999936</f>
        <v>3810.9554210000006</v>
      </c>
      <c r="T54" s="3">
        <f>4109.8+(1232-620)+(-10.47999+(-3.1416--1.581))+0-592.8--1.51163999999991</f>
        <v>4118.4710500000001</v>
      </c>
      <c r="U54" s="3">
        <f>3994+(1412.7-539.1)+(-8.14776+(-2.881908--1.099764))+0-656--1.33823999999997</f>
        <v>4203.0083360000008</v>
      </c>
      <c r="V54" s="3">
        <f>3632.4+(1394.5-421.5)+(-5.557572+(-2.133585--0.644895))+0-584.1--0.893673000000034</f>
        <v>4015.1474109999999</v>
      </c>
      <c r="W54" s="3">
        <f>3342.2+(1160.3-345.3)+(-10.227132+(-3.550518--1.056618))+0-535.8--1.63954800000006</f>
        <v>3610.3185159999994</v>
      </c>
      <c r="X54" s="3">
        <f>2989.4+(913.9-235.1)+(-7.62297+(-2.330445--0.599505))+0-516--1.31579999999993</f>
        <v>3144.1618899999999</v>
      </c>
      <c r="Y54" s="3">
        <f>3002.3+(679.4-394)+(0+(0-0))+0-481.7-0</f>
        <v>2806.0000000000005</v>
      </c>
      <c r="Z54" s="3">
        <f>3875.3+(419.3-597.5)+(-7.905612+(-0.855372--1.2189))+0-607.2--1.23868799999997</f>
        <v>3083.5966039999998</v>
      </c>
      <c r="AA54" s="3">
        <f>4052.9+(507.9-545.2)+(-6.200937+(-0.777087--0.834156))+0-554.8--0.848844000000032</f>
        <v>3455.5049760000002</v>
      </c>
      <c r="AB54" s="3">
        <f>4291.6+(632.3-610.3)+(0+(0-0))+0-597.2-0</f>
        <v>3716.4000000000005</v>
      </c>
      <c r="AC54" s="3">
        <f>3984.5+(948.6-460.3)+(-4.06419+(-0.967572--0.469506))+0-521.2--0.531624000000083</f>
        <v>3947.5693680000004</v>
      </c>
      <c r="AD54">
        <v>3740.5</v>
      </c>
      <c r="AE54" s="3">
        <f>4464+(503.1-695.3)+(0+(0-0))+0-531.3-0</f>
        <v>3740.5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3422.9+(1639.7-263)+(-5.237037+(-2.508741--0.40239))+0-631.8--0.966654000000036</f>
        <v>4161.4232659999998</v>
      </c>
      <c r="G55" s="3">
        <f>3085.2+(1923.1-251.2)+(-7.86726+(-4.903905--0.64056))+0-568.6--1.44992999999992</f>
        <v>4177.8193249999986</v>
      </c>
      <c r="H55" s="3">
        <f>2859.8+(1991.3-228.4)+(1.458498+(1.015563-0.116484))+0-645.2-0.329051999999935</f>
        <v>3979.5285249999997</v>
      </c>
      <c r="I55" s="3">
        <f>2695.2+(2057.2-223.8)+(-5.498208+(-4.196688--0.456552))+0-592--1.20767999999997</f>
        <v>3928.5693359999991</v>
      </c>
      <c r="J55" s="3">
        <f>2662.8+(2008.1-233.5)+(-4.074084+(-3.072393--0.357255))+0-615.3--0.941409000000035</f>
        <v>3816.2521869999991</v>
      </c>
      <c r="K55" s="3">
        <f>2625.4+(1874-217.9)+(-5.355816+(-3.82296--0.444516))+0-600.8--1.22563199999997</f>
        <v>3673.1913719999998</v>
      </c>
      <c r="L55" s="3">
        <f>2488.3+(1600.2-229.2)+(-6.345165+(-4.08051--0.58446))+0-530.4--1.35251999999992</f>
        <v>3320.4113050000001</v>
      </c>
      <c r="M55" s="3">
        <f>2728.8+(1196.6-322)+(0+(0-0))+0-586.1-0</f>
        <v>3017.3</v>
      </c>
      <c r="N55" s="3">
        <f>2674.6+(1162.8-283.6)+(-6.82023+(-2.96514--0.72318))+0-587.8--1.49888999999991</f>
        <v>2958.4366999999993</v>
      </c>
      <c r="O55" s="3">
        <f>2886.5+(1028.9-448.3)+(-4.416345+(-1.574217--0.685899))+0-545.4--0.834462000000031</f>
        <v>2917.2297990000006</v>
      </c>
      <c r="P55" s="3">
        <f>3158.7+(791-516.8)+(-3.221874+(-0.80682--0.527136))+0-497--0.506940000000079</f>
        <v>2932.9053819999999</v>
      </c>
      <c r="Q55" s="3">
        <f>4116+(640.3-965.7)+(0+(0-0))+0-652.4-0</f>
        <v>3138.2</v>
      </c>
      <c r="R55" s="3">
        <f>4447+(463.1-945.4)+(-6.80391+(-0.708543--1.446462))+0-504.9--0.772497000000029</f>
        <v>3454.5065059999997</v>
      </c>
      <c r="S55" s="3">
        <f>4361.2+(542.4-570.8)+(-8.896848+(-1.106496--1.164432))+0-464.1--0.94676399999998</f>
        <v>3860.8078519999999</v>
      </c>
      <c r="T55" s="3">
        <f>4867.7+(688.1-740.3)+(-9.930108+(-1.403724--1.510212))+0-687.9--1.40331599999997</f>
        <v>4119.1796960000001</v>
      </c>
      <c r="U55" s="3">
        <f>4361.9+(901.2-673.6)+(-2.224569+(-0.459612--0.343536))+0-510.5--0.260354999999948</f>
        <v>4076.9197099999997</v>
      </c>
      <c r="V55" s="3">
        <f>4629.8+(703.6-714.3)+(0+(0-0))+0-687.6-0</f>
        <v>3931.5000000000005</v>
      </c>
      <c r="W55" s="3">
        <f>3154.1+(1157.2-469.8)+(-9.651546+(-3.541032--1.437588))+0-612.9--1.87547400000007</f>
        <v>3218.7204839999999</v>
      </c>
      <c r="X55" s="3">
        <f>2415.8+(1319.6-243.1)+(-11.088522+(-6.056964--1.115829))+0-508.6--2.33447400000009</f>
        <v>2970.0048170000005</v>
      </c>
      <c r="Y55" s="3">
        <f>2521.3+(1216.6-246.5)+(-2.571726+(-1.240932--0.25143))+0-618.3--0.630666000000099</f>
        <v>2870.1694379999999</v>
      </c>
      <c r="Z55" s="3">
        <f>2854.5+(1327.2-269.7)+(-4.367385+(-2.030616--0.412641))+0-630.1--0.964053000000036</f>
        <v>3276.8786930000001</v>
      </c>
      <c r="AA55" s="3">
        <f>3040.3+(1482-286.2)+(-4.651659+(-2.26746--0.437886))+0-617--0.944010000000036</f>
        <v>3613.5627770000001</v>
      </c>
      <c r="AB55" s="3">
        <f>3183.5+(1435.3-190.8)+(-1.623585+(-0.732003--0.097308))+0-594--0.30293999999994</f>
        <v>3832.04466</v>
      </c>
      <c r="AC55" s="3">
        <f>3486.4+(1282.7-83.4)+(-3.556128+(-1.308354--0.085068))+0-572.2--0.583644000000091</f>
        <v>4109.3042300000006</v>
      </c>
      <c r="AD55">
        <v>3548.2</v>
      </c>
      <c r="AE55" s="3">
        <f>3095+(1423.7-377.3)+(0+(0-0))+0-593.2-0</f>
        <v>3548.2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3261.7+(1442.6-100.7)+(-3.326934+(-1.471452--0.102714))+0-566.8--0.57813600000009</f>
        <v>4032.6824639999995</v>
      </c>
      <c r="G56" s="3">
        <f>2851.7+(1876.9-218.1)+(-8.726202+(-5.743314--0.667386))+0-529--1.61874000000006</f>
        <v>3969.3166099999999</v>
      </c>
      <c r="H56" s="3">
        <f>2707.5+(1831.6-228)+(-4.142475+(-2.802348--0.34884))+0-644.9--0.986697000000037</f>
        <v>3660.5907139999999</v>
      </c>
      <c r="I56" s="3">
        <f>2524.6+(2000.3-237.2)+(-2.575092+(-2.040306--0.241944))+0-535.7--0.546414000000085</f>
        <v>3748.1729600000003</v>
      </c>
      <c r="J56" s="3">
        <f>2474.5+(2006.5-227.1)+(-5.04798+(-4.09326--0.463284))+0-695.7--1.41922799999997</f>
        <v>3550.9412719999991</v>
      </c>
      <c r="K56" s="3">
        <f>2505.7+(1831.8-230.5)+(-8.945349+(-6.539526--0.822885))+0-649.7--2.31942900000001</f>
        <v>3444.9574389999998</v>
      </c>
      <c r="L56" s="3">
        <f>2553.8+(1615.8-219.9)+(-2.604876+(-1.648116--0.224298))+0-677.7--0.691254000000108</f>
        <v>3268.6625599999998</v>
      </c>
      <c r="M56" s="3">
        <f>2708.1+(1162.7-241.8)+(1.381131+(0.592977-0.123318))+0-626.2-0.319361999999936</f>
        <v>3004.331428</v>
      </c>
      <c r="N56" s="3">
        <f>2970.5+(959-379.6)+(3.02991+(0.97818-0.387192))+0-655.5-0.668610000000105</f>
        <v>2897.352288</v>
      </c>
      <c r="O56" s="3">
        <f>3295.2+(506.3-649)+(5.041656+(0.774639-0.99297))+0-578.3-0.884799000000033</f>
        <v>2578.1385260000002</v>
      </c>
      <c r="P56" s="3">
        <f>3833.6+(266.1-776.6)+(1.955136+(0.135711-0.396066))+0-656.7-0.334916999999933</f>
        <v>2667.7598639999997</v>
      </c>
      <c r="Q56" s="3">
        <f>3805.8+(287.4-721.1)+(-5.822874+(-0.439722--1.103283))+0-680.9--1.04177700000004</f>
        <v>2687.0824640000001</v>
      </c>
      <c r="R56" s="3">
        <f>4088.6+(616-820.3)+(6.255558+(0.94248-1.255059))+0-657-1.00521000000004</f>
        <v>3232.2377689999998</v>
      </c>
      <c r="S56" s="3">
        <f>3667.7+(893-717.9)+(-3.741054+(-0.91086--0.732258))+0-621.3--0.633726000000099</f>
        <v>3218.21407</v>
      </c>
      <c r="T56" s="3">
        <f>4090.1+(972.5-908.5)+(-2.085951+(-0.495975--0.463335))+0-564.2--0.287741999999943</f>
        <v>3588.0691510000001</v>
      </c>
      <c r="U56" s="3">
        <f>3905.3+(1078.9-869.1)+(-7.966812+(-2.200956--1.772964))+0-514.4--1.04937599999998</f>
        <v>3593.3545720000006</v>
      </c>
      <c r="V56" s="3">
        <f>3505.7+(1135.2-560.8)+(-3.575814+(-1.157904--0.572016))+0-646.4--0.659328000000103</f>
        <v>3430.1976260000001</v>
      </c>
      <c r="W56" s="3">
        <f>2936.2+(1128.6-234.7)+(-8.984772+(-3.453516--0.718182))+0-554.1--1.69554600000006</f>
        <v>3265.9754399999993</v>
      </c>
      <c r="X56" s="3">
        <f>3086.6+(728.9-244.2)+(-6.296664+(-1.486956--0.498168))+0-663.8--1.35415199999997</f>
        <v>2901.5686999999998</v>
      </c>
      <c r="Y56" s="3">
        <f>2840.1+(712.4-290)+(-1.448451+(-0.363324--0.1479))+0-539.3--0.275042999999945</f>
        <v>2721.8111679999997</v>
      </c>
      <c r="Z56" s="3">
        <f>3114+(832.7-254.1)+(-3.17628+(-0.849354--0.259182))+0-694.4--0.708288000000111</f>
        <v>2995.1418360000002</v>
      </c>
      <c r="AA56" s="3">
        <f>3256.5+(845.5-244.5)+(-4.982445+(-1.293615--0.374085))+0-557.7--0.853281000000032</f>
        <v>3294.7513059999997</v>
      </c>
      <c r="AB56" s="3">
        <f>3657.9+(740.6-306.2)+(0+(0-0))+0-670.5-0</f>
        <v>3421.8</v>
      </c>
      <c r="AC56" s="3">
        <f>3536.7+(1003.8-281.2)+(-5.411151+(-1.535814--0.430236))+0-642.3--0.982719000000037</f>
        <v>3611.4659899999992</v>
      </c>
      <c r="AD56">
        <v>3067.1</v>
      </c>
      <c r="AE56" s="3">
        <f>3191+(834.3-258.8)+(0+(0-0))+0-699.4-0</f>
        <v>3067.1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3028.1+(1694.8-255.5)+(-7.721655+(-4.32174--0.651525))+0-582.7--1.48588499999992</f>
        <v>3874.7940149999995</v>
      </c>
      <c r="G57" s="3">
        <f>2808.4+(1768.5-218.3)+(-7.16142+(-4.509675--0.556665))+0-538.5--1.37317499999992</f>
        <v>3810.3587450000005</v>
      </c>
      <c r="H57" s="3">
        <f>2773.8+(1864.3-240.4)+(-7.07319+(-4.753965--0.61302))+0-694.7--1.7714849999999</f>
        <v>3693.5573499999996</v>
      </c>
      <c r="I57" s="3">
        <f>2699.7+(1634-244.9)+(-2.753694+(-1.66668--0.249798))+0-652.3--0.665346000000104</f>
        <v>3432.9947699999998</v>
      </c>
      <c r="J57" s="3">
        <f>2541.1+(1723.6-211.3)+(-1.295961+(-0.879036--0.107763))+0-598.3--0.305132999999939</f>
        <v>3453.3378989999992</v>
      </c>
      <c r="K57" s="3">
        <f>2537.3+(1671.9-201.1)+(-3.882069+(-2.558007--0.307683))+0-679.9--1.04024700000004</f>
        <v>3323.1078540000003</v>
      </c>
      <c r="L57" s="3">
        <f>2167.9+(1688.1-222.9)+(-2.211258+(-1.721862--0.227358))+0-665.8--0.679116000000106</f>
        <v>2964.2733539999999</v>
      </c>
      <c r="M57" s="3">
        <f>2395.4+(1149.2-254)+(0+(0-0))+0-570.4-0</f>
        <v>2720.2000000000003</v>
      </c>
      <c r="N57" s="3">
        <f>2670.9+(958.8-344.1)+(2.724318+(0.977976-0.350982))+0-655.8-0.668916000000105</f>
        <v>2632.4823959999999</v>
      </c>
      <c r="O57" s="3">
        <f>2763.5+(847-411.1)+(0+(0-0))+0-516.5-0</f>
        <v>2682.9</v>
      </c>
      <c r="P57" s="3">
        <f>3200.1+(731.2-642.2)+(0+(0-0))+0-574.5-0</f>
        <v>2714.6</v>
      </c>
      <c r="Q57" s="3">
        <f>3712.9+(808.3-977.4)+(1.893579+(0.412233-0.498474))+0-621.2-0.316811999999937</f>
        <v>2924.090526</v>
      </c>
      <c r="R57" s="3">
        <f>3971.7+(643.2-982.9)+(-6.076701+(-0.984096--1.503837))+0-521.9--0.79850700000003</f>
        <v>3105.341547</v>
      </c>
      <c r="S57" s="3">
        <f>4044.6+(825.1-648.4)+(-2.062746+(-0.420801--0.330684))+0-656.7--0.334916999999933</f>
        <v>3562.7820540000002</v>
      </c>
      <c r="T57" s="3">
        <f>4456.5+(865.1-795.9)+(-13.63689+(-2.647206--2.435454))+0-628.1--1.92198600000007</f>
        <v>3885.6733440000003</v>
      </c>
      <c r="U57" s="3">
        <f>4171.4+(977.2-634.9)+(-12.764484+(-2.990232--1.942794))+0-565.6--1.73073600000007</f>
        <v>3936.018814</v>
      </c>
      <c r="V57" s="3">
        <f>3745.8+(1097.3-331.9)+(-13.372506+(-3.917361--1.184883))+0-626.3--2.23589100000001</f>
        <v>3871.0309069999998</v>
      </c>
      <c r="W57" s="3">
        <f>3163.9+(1109.1-211.7)+(-12.908712+(-4.525128--0.863736))+0-502.4--2.04979199999996</f>
        <v>3544.379688</v>
      </c>
      <c r="X57" s="3">
        <f>2612.5+(1352.3-232.4)+(-9.326625+(-4.827711--0.829668))+0-638.9--2.28087300000001</f>
        <v>3082.4562049999995</v>
      </c>
      <c r="Y57" s="3">
        <f>2541.9+(1218.1-243.7)+(-5.185476+(-2.484924--0.497148))+0-663.2--1.35292799999997</f>
        <v>2847.2796759999997</v>
      </c>
      <c r="Z57" s="3">
        <f>2945.3+(1071.3-255.8)+(-9.012618+(-3.278178--0.782748))+0-658.5--2.01501000000008</f>
        <v>3092.8069620000001</v>
      </c>
      <c r="AA57" s="3">
        <f>2906.8+(1472.4-245.1)+(-5.929872+(-3.003696--0.500004))+0-652--1.33007999999997</f>
        <v>3474.9965160000006</v>
      </c>
      <c r="AB57" s="3">
        <f>2927.6+(1634.2-241.6)+(-5.972304+(-3.333768--0.492864))+0-662.8--1.35211199999997</f>
        <v>3649.9389040000001</v>
      </c>
      <c r="AC57" s="3">
        <f>3160.7+(1812.3-247.6)+(-4.835871+(-2.772819--0.378828))+0-662.9--1.01423700000004</f>
        <v>4056.2843749999993</v>
      </c>
      <c r="AD57">
        <v>3397.2</v>
      </c>
      <c r="AE57" s="3">
        <f>2849+(1475.7-246.1)+(0+(0-0))+0-681.4-0</f>
        <v>3397.2000000000003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2895.1+(2016.2-245.6)+(-2.953002+(-2.056524--0.250512))+0-680.1--0.693702000000109</f>
        <v>3981.5346879999997</v>
      </c>
      <c r="G58" s="3">
        <f>2765.4+(2105.4-235.4)+(-5.641416+(-4.295016--0.480216))+0-669.7--1.36618799999997</f>
        <v>3957.6099720000002</v>
      </c>
      <c r="H58" s="3">
        <f>2684.3+(2033.2-229.3)+(-2.737986+(-2.073864--0.233886))+0-637.1--0.649842000000102</f>
        <v>3847.171878000001</v>
      </c>
      <c r="I58" s="3">
        <f>2582.2+(2125.8-237.7)+(-5.267688+(-4.336632--0.484908))+0-730.2--1.48960799999997</f>
        <v>3732.4701960000002</v>
      </c>
      <c r="J58" s="3">
        <f>2551.7+(2001.5-231)+(-3.904101+(-3.062295--0.35343))+0-639.5--0.978435000000037</f>
        <v>3677.0654690000001</v>
      </c>
      <c r="K58" s="3">
        <f>2369.5+(2134.2-236.9)+(-7.25067+(-6.530652--0.724914))+0-714.9--2.18759400000008</f>
        <v>3541.0311859999988</v>
      </c>
      <c r="L58" s="3">
        <f>2328.2+(1668.9-225.5)+(-5.93691+(-4.255695--0.575025))+0-646--1.64729999999991</f>
        <v>3117.6297199999999</v>
      </c>
      <c r="M58" s="3">
        <f>2598.7+(1250.3-231.8)+(-1.325337+(-0.637653--0.118218))+0-697.2--0.355571999999929</f>
        <v>2918.5107999999996</v>
      </c>
      <c r="N58" s="3">
        <f>2495.5+(1200.3-223)+(0+(0-0))+0-623.5-0</f>
        <v>2849.3</v>
      </c>
      <c r="O58" s="3">
        <f>2477.4+(1065.8-230.9)+(-1.263474+(-0.543558--0.117759))+0-539.7--0.275246999999945</f>
        <v>2771.1859740000004</v>
      </c>
      <c r="P58" s="3">
        <f>2907.8+(673.4-246.6)+(1.482978+(0.343434-0.125766))+0-603.4-0.307733999999939</f>
        <v>2732.5929120000001</v>
      </c>
      <c r="Q58" s="3">
        <f>3395.6+(467.6-545.1)+(3.463512+(0.476952-0.556002))+0-473.8-0.483276000000076</f>
        <v>2847.2011859999998</v>
      </c>
      <c r="R58" s="3">
        <f>3928.1+(499.5-660.3)+(-4.006662+(-0.50949--0.673506))+0-629.5--0.6420900000001</f>
        <v>3134.5994440000004</v>
      </c>
      <c r="S58" s="3">
        <f>3914.6+(780.8-742.3)+(-9.98223+(-1.99104--1.892865))+0-500.5--1.27627499999993</f>
        <v>3443.7958699999995</v>
      </c>
      <c r="T58" s="3">
        <f>4233.8+(986.9-691.2)+(0+(0-0))+0-631.4-0</f>
        <v>3898.1</v>
      </c>
      <c r="U58" s="3">
        <f>4185.6+(1073.5-719.3)+(-6.403968+(-1.642455--1.100529))+0-673.9--1.03106700000004</f>
        <v>3859.9851729999996</v>
      </c>
      <c r="V58" s="3">
        <f>3867.9+(1076.5-492.1)+(-3.945258+(-1.09803--0.501942))+0-642.5--0.655350000000102</f>
        <v>3805.9140040000002</v>
      </c>
      <c r="W58" s="3">
        <f>3039.7+(873.2-267)+(-9.301482+(-2.671992--0.81702))+0-592.3--1.81243800000007</f>
        <v>3044.2559839999994</v>
      </c>
      <c r="X58" s="3">
        <f>2511.5+(999-255.5)+(-7.68519+(-3.05694--0.78183))+0-465.5--1.42443000000005</f>
        <v>2780.9641299999998</v>
      </c>
      <c r="Y58" s="3">
        <f>2500.7+(1094-235.3)+(-3.826071+(-1.67382--0.360009))+0-562.1--0.860013000000033</f>
        <v>2793.0201309999998</v>
      </c>
      <c r="Z58" s="3">
        <f>2892.5+(1093.3-275.4)+(-5.9007+(-2.230332--0.561816))+0-495.4--1.01061599999998</f>
        <v>3208.4414000000002</v>
      </c>
      <c r="AA58" s="3">
        <f>2867.1+(1393.5-233.9)+(-7.311105+(-3.553425--0.596445))+0-617.9--1.57564499999991</f>
        <v>3400.1075599999995</v>
      </c>
      <c r="AB58" s="3">
        <f>2949.8+(1665.5-231.7)+(0+(0-0))+0-555-0</f>
        <v>3828.6000000000004</v>
      </c>
      <c r="AC58" s="3">
        <f>2845+(1998.3-272.3)+(-5.8038+(-4.076532--0.555492))+0-659.1--1.34456399999997</f>
        <v>3903.9197239999999</v>
      </c>
      <c r="AD58">
        <v>3373.2</v>
      </c>
      <c r="AE58" s="3">
        <f>2867+(1315.4-215.1)+(0+(0-0))+0-594.1-0</f>
        <v>3373.2000000000003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2962+(2194.1-280.3)+(-6.04248+(-4.475964--0.571812))+0-603--1.23011999999997</f>
        <v>4264.0834880000002</v>
      </c>
      <c r="G59" s="3">
        <f>2811.7+(2292.6-257)+(-2.867934+(-2.338452--0.26214))+0-645.4--0.658308000000103</f>
        <v>4197.6140619999996</v>
      </c>
      <c r="H59" s="3">
        <f>2599.7+(2252.6-230.7)+(-1.325847+(-1.148826--0.117657))+0-607.4--0.309773999999938</f>
        <v>4012.1527579999993</v>
      </c>
      <c r="I59" s="3">
        <f>2438.9+(2386-230.1)+(-2.487678+(-2.43372--0.234702))+0-666.2--0.679524000000106</f>
        <v>3924.5928280000007</v>
      </c>
      <c r="J59" s="3">
        <f>2416.3+(2206.2-229.6)+(0+(0-0))+0-587.6-0</f>
        <v>3805.2999999999997</v>
      </c>
      <c r="K59" s="3">
        <f>2372.1+(2226.7-230.7)+(-4.839084+(-4.542468--0.470628))+0-657.4--1.34109599999997</f>
        <v>3703.1301719999997</v>
      </c>
      <c r="L59" s="3">
        <f>2284+(1863.5-228.1)+(-5.8242+(-4.751925--0.581655))+0-605.4--1.54376999999991</f>
        <v>3305.5492999999997</v>
      </c>
      <c r="M59" s="3">
        <f>2438.3+(1459-231.6)+(0+(0-0))+0-612.2-0</f>
        <v>3053.5</v>
      </c>
      <c r="N59" s="3">
        <f>2572.9+(1210.6-233.5)+(-1.312179+(-0.617406--0.119085))+0-581.2--0.296411999999941</f>
        <v>2967.2859119999998</v>
      </c>
      <c r="O59" s="3">
        <f>2903.3+(780.3-272.6)+(-1.480683+(-0.397953--0.139026))+0-568.1--0.289730999999942</f>
        <v>2841.4501209999999</v>
      </c>
      <c r="P59" s="3">
        <f>3357.7+(841.7-485.3)+(-3.424854+(-0.858534--0.495006))+0-598.4--0.610368000000095</f>
        <v>3112.5219859999997</v>
      </c>
      <c r="Q59" s="3">
        <f>3695.7+(758.1-676.2)+(1.884807+(0.386631-0.344862))+0-485.4-0.247553999999951</f>
        <v>3293.8790219999996</v>
      </c>
      <c r="R59" s="3">
        <f>4265.7+(776.6-836.5)+(-2.175507+(-0.396066--0.426615))+0-509--0.259589999999948</f>
        <v>3694.9146320000004</v>
      </c>
      <c r="S59" s="3">
        <f>4407.4+(1067.5-812.9)+(2.247774+(0.544425-0.414579))+0-550.1-0.280550999999944</f>
        <v>4113.997069</v>
      </c>
      <c r="T59" s="3">
        <f>4859.4+(1089.7-931.6)+(-2.478294+(-0.555747--0.475116))+0-616.2--0.314261999999938</f>
        <v>4399.0553369999998</v>
      </c>
      <c r="U59" s="3">
        <f>4887.2+(1122.7-978)+(-12.46236+(-2.862885--2.4939))+0-569.6--1.45247999999992</f>
        <v>4450.9211349999996</v>
      </c>
      <c r="V59" s="3">
        <f>4765+(1032-853)+(-9.7206+(-2.10528--1.74012))+0-592.2--1.20808799999997</f>
        <v>4342.9223280000006</v>
      </c>
      <c r="W59" s="3">
        <f>3667.1+(1264.8-431.9)+(-9.351105+(-3.22524--1.101345))+0-575.3--1.46701499999992</f>
        <v>3914.6920149999992</v>
      </c>
      <c r="X59" s="3">
        <f>2716.9+(1579.3-250.7)+(-9.699333+(-5.638101--0.894999))+0-610.5--2.17948500000001</f>
        <v>3422.7370500000002</v>
      </c>
      <c r="Y59" s="3">
        <f>2516.8+(1472.4-286.1)+(-2.567136+(-1.501848--0.291822))+0-614.4--0.626688000000098</f>
        <v>3085.5495260000007</v>
      </c>
      <c r="Z59" s="3">
        <f>3104.8+(1301-336.7)+(-3.166896+(-1.32702--0.343434))+0-569--0.580380000000091</f>
        <v>3496.5298980000002</v>
      </c>
      <c r="AA59" s="3">
        <f>3078.4+(1797.4-283.5)+(-6.279936+(-3.666696--0.57834))+0-650.3--1.32661199999997</f>
        <v>3933.9583199999997</v>
      </c>
      <c r="AB59" s="3">
        <f>2930.8+(2144.7-305.5)+(-7.47354+(-5.468985--0.779025))+0-617.2--1.57385999999991</f>
        <v>4142.21036</v>
      </c>
      <c r="AC59" s="3">
        <f>3108+(2166.2-328.9)+(-1.58508+(-1.104762--0.167739))+0-669.4--0.341393999999932</f>
        <v>4273.7192909999994</v>
      </c>
      <c r="AD59">
        <v>3893.3000000000006</v>
      </c>
      <c r="AE59" s="3">
        <f>3412+(1408.8-267.4)+(0+(0-0))+0-660.1-0</f>
        <v>3893.2999999999997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2983.5+(2455.8-307.3)+(-7.607925+(-6.26229--0.783615))+0-627.5--1.60012499999991</f>
        <v>4493.0135250000003</v>
      </c>
      <c r="G60" s="3">
        <f>2778.6+(2472.4-236)+(-1.417086+(-1.260924--0.12036))+0-667.4--0.340373999999932</f>
        <v>4345.382724000001</v>
      </c>
      <c r="H60" s="3">
        <f>2676.5+(2394.9-229.8)+(-5.46006+(-4.885596--0.468792))+0-645.7--1.31722799999997</f>
        <v>4187.3403640000006</v>
      </c>
      <c r="I60" s="3">
        <f>2622.3+(2259.6-157.5)+(-6.686865+(-5.76198--0.401625))+0-673.8--1.7181899999999</f>
        <v>4040.2709699999991</v>
      </c>
      <c r="J60" s="3">
        <f>2589.3+(1895.8-148.5)+(-3.961629+(-2.900574--0.227205))+0-619.6--0.947988000000036</f>
        <v>3711.3129899999999</v>
      </c>
      <c r="K60" s="3">
        <f>2547.8+(1578.7-213.6)+(-3.898134+(-2.415411--0.326808))+0-684.2--1.04682600000004</f>
        <v>3223.7600890000008</v>
      </c>
      <c r="L60" s="3">
        <f>2353.4+(1645.5-235.1)+(-1.200234+(-0.839205--0.119901))+0-616.5--0.314414999999937</f>
        <v>3145.6948769999999</v>
      </c>
      <c r="M60" s="3">
        <f>2581+(1481.6-234)+(-1.31631+(-0.755616--0.11934))+0-588--0.29987999999994</f>
        <v>3238.9472940000001</v>
      </c>
      <c r="N60" s="3">
        <f>2518.9+(1474.9-228.2)+(1.284639+(0.752199-0.116382))+0-673.2-0.343331999999932</f>
        <v>3093.9771240000005</v>
      </c>
      <c r="O60" s="3">
        <f>2844.5+(907.9-266.5)+(-4.352085+(-1.389087--0.407745))+0-458.2--0.701046000000026</f>
        <v>3023.0676190000004</v>
      </c>
      <c r="P60" s="3">
        <f>3802.6+(663.2-533)+(-3.878652+(-0.676464--0.54366))+0-751.6--0.76663200000012</f>
        <v>3177.9551760000004</v>
      </c>
      <c r="Q60" s="3">
        <f>4225.1+(763.2-843.3)+(-4.309602+(-0.778464--0.860166))+0-594.5--0.606390000000095</f>
        <v>3546.8784900000001</v>
      </c>
      <c r="R60" s="3">
        <f>4979.3+(950.2-1155.2)+(2.539443+(0.484602-0.589152))+0-639.5-0.326144999999935</f>
        <v>4136.9087479999998</v>
      </c>
      <c r="S60" s="3">
        <f>5094.9+(1092.3-1192.5)+(-2.598399+(-0.557073--0.608175))+0-631--0.321809999999936</f>
        <v>4361.4745130000001</v>
      </c>
      <c r="T60" s="3">
        <f>5218.3+(1174.5-1188.2)+(2.661333+(0.598995-0.605982))+0-569.8-0.290597999999942</f>
        <v>4637.1637480000009</v>
      </c>
      <c r="U60" s="3">
        <f>5156.3+(1289.7-1208.1)+(-7.889139+(-1.973241--1.848393))+0-597.1--0.913563000000035</f>
        <v>4633.699576</v>
      </c>
      <c r="V60" s="3">
        <f>4387.1+(1610.3-864.9)+(-2.237421+(-0.821253--0.441099))+0-596.5--0.30421499999994</f>
        <v>4533.6866399999999</v>
      </c>
      <c r="W60" s="3">
        <f>3516.5+(1644.5-414.1)+(-8.967075+(-4.193475--1.055955))+0-612--1.56059999999991</f>
        <v>4124.3560049999996</v>
      </c>
      <c r="X60" s="3">
        <f>2773+(1799.2-221.6)+(-7.07115+(-4.58796--0.56508))+0-730.2--1.86200999999989</f>
        <v>3611.1679800000002</v>
      </c>
      <c r="Y60" s="3">
        <f>2586.5+(1511.9-223.1)+(-3.957345+(-2.313207--0.341343))+0-610.4--0.933912000000035</f>
        <v>3259.9047030000002</v>
      </c>
      <c r="Z60" s="3">
        <f>3130.4+(1403.7-260)+(-4.789512+(-2.147661--0.3978))+0-672.3--1.02861900000004</f>
        <v>3596.2892460000007</v>
      </c>
      <c r="AA60" s="3">
        <f>3164.6+(1774.6-259.3)+(-8.06973+(-4.52523--0.661215))+0-544.5--1.38847499999992</f>
        <v>4124.8547299999991</v>
      </c>
      <c r="AB60" s="3">
        <f>3399.9+(1598.5-256.1)+(-3.467898+(-1.63047--0.261222))+0-495.2--0.505104000000079</f>
        <v>4242.7679580000004</v>
      </c>
      <c r="AC60" s="3">
        <f>3563.2+(1802.6-309.7)+(0+(0-0))+0-637.5-0</f>
        <v>4418.5999999999995</v>
      </c>
      <c r="AD60">
        <v>3946.7999999999993</v>
      </c>
      <c r="AE60" s="3">
        <f>3306+(1534.9-264.6)+(0+(0-0))+0-629.5-0</f>
        <v>3946.8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3567+(1898.2-273.5)+(0+(0-0))+0-659.7-0</f>
        <v>4532</v>
      </c>
      <c r="G61" s="3">
        <f>3426.9+(2012.3-295.4)+(-6.990876+(-4.105092--0.602616))+0-673--1.37291999999997</f>
        <v>4461.6795679999996</v>
      </c>
      <c r="H61" s="3">
        <f>3423.9+(1866.6-279.5)+(0+(0-0))+0-647.4-0</f>
        <v>4363.6000000000004</v>
      </c>
      <c r="I61" s="3">
        <f>3310.6+(1847.6-254.8)+(-1.688406+(-0.942276--0.129948))+0-693.1--0.35348099999993</f>
        <v>4208.1527469999992</v>
      </c>
      <c r="J61" s="3">
        <f>3560.2+(1475.3-222.4)+(0+(0-0))+0-587.1-0</f>
        <v>4225.9999999999991</v>
      </c>
      <c r="K61" s="3">
        <f>2957.7+(2059.3-191.7)+(-6.033708+(-4.200972--0.391068))+0-753.2--1.53652799999997</f>
        <v>4063.7929160000008</v>
      </c>
      <c r="L61" s="3">
        <f>2519.6+(1861.5-217.9)+(-11.564964+(-8.544285--1.000161))+0-558.5--2.5635150000001</f>
        <v>3588.1544269999999</v>
      </c>
      <c r="M61" s="3">
        <f>2581.3+(1698.4-234.9)+(1.316463+(0.866184-0.119799))+0-640.9-0.326858999999935</f>
        <v>3405.6359890000003</v>
      </c>
      <c r="N61" s="3">
        <f>2575.6+(1615-232.3)+(-2.627112+(-1.6473--0.236946))+0-699.3--0.713286000000111</f>
        <v>3255.6758200000004</v>
      </c>
      <c r="O61" s="3">
        <f>2625.7+(1459.2-237.5)+(0+(0-0))+0-526.2-0</f>
        <v>3321.2</v>
      </c>
      <c r="P61" s="3">
        <f>3070+(1173.7-215.2)+(-1.5657+(-0.598587--0.109752))+0-702.8--0.358427999999929</f>
        <v>3324.0038929999996</v>
      </c>
      <c r="Q61" s="3">
        <f>3624.1+(880.2-334.1)+(3.696582+(0.897804-0.340782))+0-517.1-0.527442000000082</f>
        <v>3656.8261620000003</v>
      </c>
      <c r="R61" s="3">
        <f>4256.6+(1051-531.6)+(-6.512598+(-1.60803--0.813348))+0-622.1--0.951813000000036</f>
        <v>4147.5445329999993</v>
      </c>
      <c r="S61" s="3">
        <f>4309.6+(1486.4-568.6)+(0+(0-0))+0-659.3-0</f>
        <v>4568.1000000000004</v>
      </c>
      <c r="T61" s="3">
        <f>3826+(1906.2-518.8)+(-5.85378+(-2.916486--0.793764))+0-614.1--0.939573000000036</f>
        <v>4592.2630709999985</v>
      </c>
      <c r="U61" s="3">
        <f>4132.9+(1761.4-624.4)+(-2.107779+(-0.898314--0.318444))+0-633.4--0.323033999999936</f>
        <v>4634.1353849999996</v>
      </c>
      <c r="V61" s="3">
        <f>3835.9+(1897.2-483.4)+(1.956309+(0.967572-0.246534))+0-675.4-0.344453999999931</f>
        <v>4576.6328930000009</v>
      </c>
      <c r="W61" s="3">
        <f>3064.4+(2053.1-310)+(-7.81422+(-5.235405--0.7905))+0-651--1.66004999999991</f>
        <v>4145.9009249999999</v>
      </c>
      <c r="X61" s="3">
        <f>2601.8+(1962.3-252.8)+(-7.961508+(-6.004638--0.773568))+0-585.9--1.79285400000007</f>
        <v>3714.0002760000002</v>
      </c>
      <c r="Y61" s="3">
        <f>2614.4+(1594.6-259.3)+(-4.000032+(-2.439738--0.396729))+0-580.9--0.888777000000034</f>
        <v>3363.6457359999999</v>
      </c>
      <c r="Z61" s="3">
        <f>3447.1+(1223.6-403.4)+(1.758021+(0.624036-0.205734))+0-653.1-0.333080999999934</f>
        <v>3616.0432420000002</v>
      </c>
      <c r="AA61" s="3">
        <f>4291.8+(1086.2-583.8)+(0+(0-0))+0-683.5-0</f>
        <v>4110.7000000000007</v>
      </c>
      <c r="AB61" s="3">
        <f>4279.1+(1360.2-587.3)+(0+(0-0))+0-688.5-0</f>
        <v>4363.5</v>
      </c>
      <c r="AC61" s="3">
        <f>4060.2+(1754.4-566.2)+(-6.212106+(-2.684232--0.866286))+0-677.6--1.03672800000004</f>
        <v>4563.8066759999992</v>
      </c>
      <c r="AD61">
        <v>4095.2</v>
      </c>
      <c r="AE61" s="3">
        <f>4534+(993.2-694.2)+(0+(0-0))+0-737.8-0</f>
        <v>4095.2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3876.4+(1941.5-549.4)+(-1.976964+(-0.990165--0.280194))+0-621.1--0.316760999999937</f>
        <v>4645.029826</v>
      </c>
      <c r="G62" s="3">
        <f>3522.6+(2190.6-480.4)+(-3.593052+(-2.234412--0.490008))+0-615.4--0.627708000000098</f>
        <v>4612.6902519999994</v>
      </c>
      <c r="H62" s="3">
        <f>3336.6+(2194.7-444.4)+(-5.104998+(-3.357891--0.679932))+0-599.2--0.916776000000035</f>
        <v>4480.8338189999995</v>
      </c>
      <c r="I62" s="3">
        <f>3047.4+(2303.5-372.5)+(-3.108348+(-2.34957--0.37995))+0-693.8--0.707676000000111</f>
        <v>4280.2297079999998</v>
      </c>
      <c r="J62" s="3">
        <f>2797.3+(2314.3-312.3)+(-4.279869+(-3.540879--0.477819))+0-597.2--0.913716000000035</f>
        <v>4195.670787</v>
      </c>
      <c r="K62" s="3">
        <f>2635.7+(2287.8-283.7)+(-6.721035+(-5.83389--0.723435))+0-680.4--1.7350199999999</f>
        <v>3949.3035300000006</v>
      </c>
      <c r="L62" s="3">
        <f>2661+(1778.9-256.7)+(-1.35711+(-0.907239--0.130917))+0-555.4--0.283253999999944</f>
        <v>3625.949822</v>
      </c>
      <c r="M62" s="3">
        <f>2889.3+(1459-243)+(-1.473543+(-0.74409--0.12393))+0-576--0.293759999999942</f>
        <v>3527.5000570000007</v>
      </c>
      <c r="N62" s="3">
        <f>2947.1+(1181.8-247.5)+(-1.503021+(-0.602718--0.126225))+0-610.4--0.311303999999938</f>
        <v>3269.3317899999993</v>
      </c>
      <c r="O62" s="3">
        <f>3310+(843.1-285.2)+(0+(0-0))+0-617-0</f>
        <v>3250.9</v>
      </c>
      <c r="P62" s="3">
        <f>3914.5+(536.3-559.9)+(-1.996395+(-0.273513--0.285549))+0-581.8--0.296717999999941</f>
        <v>3307.4123590000004</v>
      </c>
      <c r="Q62" s="3">
        <f>4449.3+(514.2-786.8)+(0+(0-0))+2.3-654.4-0</f>
        <v>3524.6000000000008</v>
      </c>
      <c r="R62" s="3">
        <f>4894.8+(690.6-1065.4)+(2.496348+(0.352206-0.543354))+0-553.4-0.282233999999944</f>
        <v>3968.6229659999999</v>
      </c>
      <c r="S62" s="3">
        <f>4652.7+(1342-927.2)+(-4.745754+(-1.36884--0.945744))+0-572.7--0.584154000000091</f>
        <v>4490.2153040000003</v>
      </c>
      <c r="T62" s="3">
        <f>5232.6+(1323.5-1143.8)+(2.668626+(0.674985-0.583338))+0-614.5-0.313394999999938</f>
        <v>4800.2468779999999</v>
      </c>
      <c r="U62" s="3">
        <f>4846.5+(1507.8-979.9)+(-2.471715+(-0.768978--0.499749))+0-569.4--0.290393999999942</f>
        <v>4802.5494499999995</v>
      </c>
      <c r="V62" s="3">
        <f>4532.1+(1498.4-819.2)+(-9.245484+(-3.056736--1.671168))+0-553.5--1.12913999999998</f>
        <v>4648.2980880000005</v>
      </c>
      <c r="W62" s="3">
        <f>3288.2+(1849.8-317.4)+(-10.061892+(-5.660388--0.971244))+0-545.4--1.66892400000006</f>
        <v>4262.1178880000007</v>
      </c>
      <c r="X62" s="3">
        <f>3016+(1446.1-244.6)+(-4.61448+(-2.212533--0.374238))+0-553.7--0.847161000000032</f>
        <v>3658.1943860000006</v>
      </c>
      <c r="Y62" s="3">
        <f>2944.9+(1156.9-240.3)+(-1.501899+(-0.590019--0.122553))+0-453.1--0.231080999999954</f>
        <v>3406.6617160000001</v>
      </c>
      <c r="Z62" s="3">
        <f>3223.1+(1278.5-282)+(-1.643781+(-0.652035--0.14382))+0-665--0.339149999999933</f>
        <v>3552.7871540000006</v>
      </c>
      <c r="AA62" s="3">
        <f>3140.6+(1619.4-234)+(-4.805118+(-2.477682--0.35802))+0-445.4--0.681462000000026</f>
        <v>4074.3566819999996</v>
      </c>
      <c r="AB62" s="3">
        <f>3286.9+(1845.4-240.3)+(-5.028957+(-2.823462--0.367659))+0-574.7--0.879291000000033</f>
        <v>4310.6945310000001</v>
      </c>
      <c r="AC62" s="3">
        <f>3361.9+(1987.1-266.4)+(-6.858276+(-4.053684--0.543456))+0-593--1.20971999999997</f>
        <v>4480.4412160000002</v>
      </c>
      <c r="AD62">
        <v>4061</v>
      </c>
      <c r="AE62" s="3">
        <f>3320+(1501-231)+(0+(0-0))+0-529-0</f>
        <v>4061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3208.8+(2151-276.7)+(-6.545952+(-4.38804--0.564468))+0-522.8--1.06651199999998</f>
        <v>4550.9969880000008</v>
      </c>
      <c r="G63" s="3">
        <f>2979.5+(2078.3-230.9)+(-7.597725+(-5.299665--0.588795))+0-321.8--0.820589999999953</f>
        <v>4493.6119949999993</v>
      </c>
      <c r="H63" s="3">
        <f>2938.7+(2012.3-250.9)+(-2.997474+(-2.052546--0.255918))+0-327.3--0.333846000000052</f>
        <v>4368.3397439999999</v>
      </c>
      <c r="I63" s="3">
        <f>2862.7+(2103.8-274.5)+(-5.839908+(-4.291752--0.55998))+0-430.4--0.878015999999981</f>
        <v>4252.906336</v>
      </c>
      <c r="J63" s="3">
        <f>2851.9+(2106.6-239.1)+(-10.181283+(-7.520562--0.853587))+0-588.4--2.10058800000001</f>
        <v>4116.2523300000003</v>
      </c>
      <c r="K63" s="3">
        <f>2823.4+(2017-242.7)+(-10.079538+(-7.20069--0.866439))+0-607.2--2.16770400000001</f>
        <v>3976.2539149999998</v>
      </c>
      <c r="L63" s="3">
        <f>2577.5+(1835.1-246.1)+(-3.943575+(-2.807703--0.376533))+0-586.2--0.896886000000034</f>
        <v>3574.8221410000001</v>
      </c>
      <c r="M63" s="3">
        <f>2893.7+(1359.9-300.5)+(2.951574+(1.387098-0.30651))+0-634.7-0.647394000000101</f>
        <v>3321.784768</v>
      </c>
      <c r="N63" s="3">
        <f>3043.4+(1067.7-343.1)+(1.552134+(0.544527-0.174981))+0-557.8-0.284477999999943</f>
        <v>3211.8372020000002</v>
      </c>
      <c r="O63" s="3">
        <f>3091.4+(1014.8-312.4)+(-1.576614+(-0.517548--0.159324))+0-548.7--0.279836999999944</f>
        <v>3243.4449990000003</v>
      </c>
      <c r="P63" s="3">
        <f>3500.3+(847.7-542.9)+(-1.785153+(-0.432327--0.276879))+0-516.8--0.263567999999948</f>
        <v>3286.6229670000007</v>
      </c>
      <c r="Q63" s="3">
        <f>4210.1+(556.5-695.9)+(-6.441453+(-0.851445--1.064727))+0-467.8--0.715734000000027</f>
        <v>3597.3875629999998</v>
      </c>
      <c r="R63" s="3">
        <f>4901.5+(764.3-1074.3)+(0+(0-0))+0-567.3-0</f>
        <v>4024.2</v>
      </c>
      <c r="S63" s="3">
        <f>5321.8+(937.8-1097.7)+(-2.714118+(-0.478278--0.559827))+0-538--0.274379999999945</f>
        <v>4621.5418109999991</v>
      </c>
      <c r="T63" s="3">
        <f>5766.4+(913.8-1199.2)+(0+(0-0))+0-559.1-0</f>
        <v>4921.8999999999996</v>
      </c>
      <c r="U63" s="3">
        <f>5699.6+(1048.6-1154.4)+(-11.627184+(-2.139144--2.354976))+0-636.2--1.29784799999997</f>
        <v>4947.4864960000004</v>
      </c>
      <c r="V63" s="3">
        <f>5166.1+(1139-1004.6)+(-7.904133+(-1.74267--1.537038))+0-486.6--0.744498000000028</f>
        <v>4806.5347329999995</v>
      </c>
      <c r="W63" s="3">
        <f>3812.1+(1477.5-411.8)+(-5.832513+(-2.260575--0.630054))+0-585.2--0.895356000000034</f>
        <v>4286.032322</v>
      </c>
      <c r="X63" s="3">
        <f>2915.6+(1605.8-236.8)+(-13.382604+(-7.370622--1.086912))+0-549.6--2.5226640000001</f>
        <v>3717.8563500000005</v>
      </c>
      <c r="Y63" s="3">
        <f>2998.4+(1233.5-272)+(-6.116736+(-2.51634--0.55488))+0-587.4--1.19829599999997</f>
        <v>3365.6201000000001</v>
      </c>
      <c r="Z63" s="3">
        <f>3058.2+(1324.1-308.8)+(-4.679046+(-2.025873--0.472464))+0-511.8--0.78305400000003</f>
        <v>3556.250599</v>
      </c>
      <c r="AA63" s="3">
        <f>3351.8+(1685.3-250.5)+(-10.256508+(-5.157018--0.76653))+0-670.7--2.05234200000008</f>
        <v>4103.3053460000001</v>
      </c>
      <c r="AB63" s="3">
        <f>3310+(1822-252.7)+(-6.7524+(-3.71688--0.515508))+0-555.5--1.13321999999998</f>
        <v>4314.979448</v>
      </c>
      <c r="AC63" s="3">
        <f>3694.5+(1769.2-304.1)+(-1.884195+(-0.902292--0.155091))+0-639--0.325889999999935</f>
        <v>4518.2944940000007</v>
      </c>
      <c r="AD63">
        <v>4145</v>
      </c>
      <c r="AE63" s="3">
        <f>3471+(1677.2-258)+(0+(0-0))+0-745.2-0</f>
        <v>4145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3407.9+(2092-290.2)+(-8.690145+(-5.3346--0.74001))+0-609.3--1.55371499999991</f>
        <v>4588.6689799999995</v>
      </c>
      <c r="G64" s="3">
        <f>3352+(2003.5-248.1)+(-1.70952+(-1.021785--0.126531))+0-557.9--0.284528999999943</f>
        <v>4547.1797549999992</v>
      </c>
      <c r="H64" s="3">
        <f>3274.2+(1943.3-252.9)+(3.339684+(1.982166-0.257958))+0-605-0.617100000000096</f>
        <v>4364.0467919999992</v>
      </c>
      <c r="I64" s="3">
        <f>3029.9+(1987.8-251.2)+(-4.635747+(-3.041334--0.384336))+0-529.6--0.810288000000031</f>
        <v>4230.4175429999996</v>
      </c>
      <c r="J64" s="3">
        <f>2977.6+(1983.6-245.2)+(-6.074304+(-4.046544--0.500208))+0-565.7--1.15402799999998</f>
        <v>4141.833388</v>
      </c>
      <c r="K64" s="3">
        <f>2873+(1977.2-251.3)+(-11.72184+(-8.066976--1.025304))+0-621.6--2.53612799999995</f>
        <v>3961.072615999999</v>
      </c>
      <c r="L64" s="3">
        <f>2679.3+(1767.1-246.8)+(-9.565101+(-6.308547--0.881076))+0-554.4--1.97920800000001</f>
        <v>3632.1866360000004</v>
      </c>
      <c r="M64" s="3">
        <f>2807.7+(1417.9-257.6)+(0+(0-0))+0-628.2-0</f>
        <v>3339.8</v>
      </c>
      <c r="N64" s="3">
        <f>3004.6+(1102.8-289.2)+(-6.129384+(-2.249712--0.589968))+0-546.9--1.11567599999998</f>
        <v>3264.6265479999997</v>
      </c>
      <c r="O64" s="3">
        <f>3097.3+(973.8-329)+(3.159246+(0.993276-0.33558))+0-521-0.531420000000083</f>
        <v>3224.385522</v>
      </c>
      <c r="P64" s="3">
        <f>3555.3+(711-432.5)+(1.813203+(0.36261-0.220575))+0-495.9-0.25290899999995</f>
        <v>3339.6023290000003</v>
      </c>
      <c r="Q64" s="3">
        <f>4495.2+(403.7-844.9)+(-2.292552+(-0.205887--0.430899))+0-468.2--0.238781999999953</f>
        <v>3583.9712420000001</v>
      </c>
      <c r="R64" s="3">
        <f>4912.8+(556.3-873.3)+(0+(0-0))+0-509.3-0</f>
        <v>4086.5</v>
      </c>
      <c r="S64" s="3">
        <f>4669.6+(1248.3-714.1)+(-7.144488+(-1.909899--1.092573))+0-586.3--0.897039000000034</f>
        <v>4610.4352250000002</v>
      </c>
      <c r="T64" s="3">
        <f>5066.6+(1231-877.8)+(-2.583966+(-0.62781--0.447678))+0-595.6--0.30375599999994</f>
        <v>4821.7396580000004</v>
      </c>
      <c r="U64" s="3">
        <f>4825.8+(1399.9-790.9)+(2.461158+(0.713949-0.403359))+0-558.7-0.284936999999943</f>
        <v>4878.5868110000001</v>
      </c>
      <c r="V64" s="3">
        <f>4625.2+(1312-593.1)+(-7.076556+(-2.00736--0.907443))+0-596.5--0.912645000000034</f>
        <v>4740.3361719999994</v>
      </c>
      <c r="W64" s="3">
        <f>3396.9+(1711.4-261.6)+(-6.929676+(-3.491256--0.533664))+0-513.3--1.04713199999998</f>
        <v>4324.5598639999998</v>
      </c>
      <c r="X64" s="3">
        <f>3006.6+(1576.4-255.2)+(-9.200196+(-4.823784--0.780912))+0-611.8--1.87210800000007</f>
        <v>3704.6290400000003</v>
      </c>
      <c r="Y64" s="3">
        <f>3091.3+(1011.4-269.9)+(0+(0-0))+0-543.7-0</f>
        <v>3289.1000000000004</v>
      </c>
      <c r="Z64" s="3">
        <f>3462+(914.5-272.7)+(-3.53124+(-0.93279--0.278154))+0-630.8--0.643416000000101</f>
        <v>3469.4575400000003</v>
      </c>
      <c r="AA64" s="3">
        <f>3773.5+(985.3-281.7)+(-3.84897+(-1.005006--0.287334))+0-537.9--0.548658000000086</f>
        <v>3935.1820160000007</v>
      </c>
      <c r="AB64" s="3">
        <f>3959.2+(1165.5-265.3)+(-6.057576+(-1.783215--0.405909))+0-700.5--1.07176500000004</f>
        <v>4152.5368829999998</v>
      </c>
      <c r="AC64" s="3">
        <f>4190.2+(1031.4-262.4)+(-10.68501+(-2.63007--0.66912))+0-598.2--1.52540999999991</f>
        <v>4349.8794500000004</v>
      </c>
      <c r="AD64">
        <v>3852.3999999999996</v>
      </c>
      <c r="AE64" s="3">
        <f>3891+(878.2-357)+(0+(0-0))+0-559.8-0</f>
        <v>3852.3999999999996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3995.3+(1472.1-260.6)+(-10.188015+(-3.753855--0.66453))+0-701.1--1.7878049999999</f>
        <v>4494.2104650000001</v>
      </c>
      <c r="G65" s="3">
        <f>3640.7+(1552.2-247.3)+(-9.283785+(-3.95811--0.630615))+0-515.2--1.31375999999993</f>
        <v>4419.1024800000005</v>
      </c>
      <c r="H65" s="3">
        <f>3316.6+(1740.1-242.7)+(-3.382932+(-1.774902--0.247554))+0-533.9--0.544578000000085</f>
        <v>4275.7342980000003</v>
      </c>
      <c r="I65" s="3">
        <f>3213.4+(1852.3-245.9)+(-6.555336+(-3.778692--0.501636))+0-657--1.34027999999997</f>
        <v>4154.3078880000003</v>
      </c>
      <c r="J65" s="3">
        <f>2904+(1962.4-214.9)+(-7.4052+(-5.00412--0.547995))+0-657.3--1.6761149999999</f>
        <v>3984.0147899999997</v>
      </c>
      <c r="K65" s="3">
        <f>2894.5+(1875.1-241.1)+(-4.428585+(-2.868903--0.368883))+0-674.3--1.03167900000004</f>
        <v>3848.3030739999999</v>
      </c>
      <c r="L65" s="3">
        <f>2897.1+(1421.7-236.8)+(-4.432563+(-2.175201--0.362304))+0-622.7--0.952731000000036</f>
        <v>3454.0072709999999</v>
      </c>
      <c r="M65" s="3">
        <f>3045+(1022.7-250.4)+(4.65885+(1.564731-0.383112))+0-610.9-0.934677000000035</f>
        <v>3211.3057920000001</v>
      </c>
      <c r="N65" s="3">
        <f>3171.9+(852.6-296.8)+(-6.470676+(-1.739304--0.605472))+0-547.7--1.11730799999998</f>
        <v>3173.5127999999995</v>
      </c>
      <c r="O65" s="3">
        <f>3202.8+(791.8-310.9)+(-4.900284+(-1.211454--0.475677))+0-534.1--0.817173000000031</f>
        <v>3144.7811120000001</v>
      </c>
      <c r="P65" s="3">
        <f>3294.7+(690.9-367.5)+(-1.680297+(-0.352359--0.187425))+0-484.5--0.247094999999951</f>
        <v>3132.0018640000003</v>
      </c>
      <c r="Q65" s="3">
        <f>3948.4+(566-599.6)+(0+(0-0))+0-545.3-0</f>
        <v>3369.5</v>
      </c>
      <c r="R65" s="3">
        <f>4482.5+(447.7-743.4)+(-6.858225+(-0.684981--1.137402))+0-511.1--0.78198300000003</f>
        <v>3670.0761790000001</v>
      </c>
      <c r="S65" s="3">
        <f>4809.3+(735.8-827.5)+(-4.905486+(-0.750516--0.84405))+0-506.4--0.516528000000081</f>
        <v>4206.9045760000008</v>
      </c>
      <c r="T65" s="3">
        <f>5123.9+(850.3-779.2)+(-2.613189+(-0.433653--0.397392))+0-636.6--0.324665999999935</f>
        <v>4556.0752159999993</v>
      </c>
      <c r="U65" s="3">
        <f>4952.5+(979-748.2)+(-12.628875+(-2.49645--1.90791))+0-528.6--1.34792999999992</f>
        <v>4642.8305149999997</v>
      </c>
      <c r="V65" s="3">
        <f>4862.9+(859.6-536.5)+(-17.360553+(-3.068772--1.915305))+0-581--2.07417000000001</f>
        <v>4588.5601500000002</v>
      </c>
      <c r="W65" s="3">
        <f>3970.7+(1044.8-340.6)+(-14.175399+(-3.729936--1.215942))+0-519.1--1.85318700000001</f>
        <v>4140.9637939999993</v>
      </c>
      <c r="X65" s="3">
        <f>2968.1+(1340.1-243.1)+(-12.109848+(-5.467608--0.991848))+0-555.3--2.26562399999995</f>
        <v>3495.480016</v>
      </c>
      <c r="Y65" s="3">
        <f>2594.7+(1336.1-242.6)+(-6.616485+(-3.407055--0.61863))+0-509.2--1.29845999999993</f>
        <v>3170.8935499999998</v>
      </c>
      <c r="Z65" s="3">
        <f>3177.9+(1052.5-282.5)+(-1.620729+(-0.536775--0.144075))+0-564.2--0.287741999999943</f>
        <v>3381.9743130000002</v>
      </c>
      <c r="AA65" s="3">
        <f>3653.5+(1008.7-300.5)+(-9.316425+(-2.572185--0.766275))+0-570.9--1.45579499999992</f>
        <v>3781.1334599999996</v>
      </c>
      <c r="AB65" s="3">
        <f>3694.7+(1070.8-238.9)+(-7.537188+(-2.184432--0.487356))+0-561.6--1.14566399999998</f>
        <v>3956.9114</v>
      </c>
      <c r="AC65" s="3">
        <f>3765.8+(1345.2-248.7)+(-7.682232+(-2.744208--0.507348))+0-638.3--1.30213199999997</f>
        <v>4215.3830399999997</v>
      </c>
      <c r="AD65">
        <v>3832.7999999999997</v>
      </c>
      <c r="AE65" s="3">
        <f>3805+(991.4-379.5)+(0+(0-0))+0-584.1-0</f>
        <v>3832.7999999999997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3817.2+(1458.5-245.8)+(0+(0-0))+0-646-0</f>
        <v>4383.8999999999996</v>
      </c>
      <c r="G66" s="3">
        <f>3223.5+(1942-245.8)+(-4.931955+(-2.97126--0.376074))+0-628.9--0.962217000000036</f>
        <v>4284.2350760000008</v>
      </c>
      <c r="H66" s="3">
        <f>3042.7+(2017.9-248.2)+(-3.103554+(-2.058258--0.253164))+0-655.7--0.668814000000105</f>
        <v>4152.4601659999998</v>
      </c>
      <c r="I66" s="3">
        <f>2906.2+(2074.7-244.7)+(-1.482162+(-1.058097--0.124797))+0-689--0.35138999999993</f>
        <v>4045.1359279999997</v>
      </c>
      <c r="J66" s="3">
        <f>2811.7+(1959.4-229.1)+(-7.169835+(-4.99647--0.584205))+0-665.3--1.6965149999999</f>
        <v>3866.8144150000003</v>
      </c>
      <c r="K66" s="3">
        <f>2686.7+(1925.3-255.1)+(-6.851085+(-4.909515--0.650505))+0-624.2--1.59170999999991</f>
        <v>3723.1816149999995</v>
      </c>
      <c r="L66" s="3">
        <f>2662.2+(1528.5-253.7)+(-1.357722+(-0.779535--0.129387))+0-671.8--0.342617999999932</f>
        <v>3263.5347480000005</v>
      </c>
      <c r="M66" s="3">
        <f>2775.3+(1147.4-251.6)+(1.415403+(0.585174-0.128316))+0-595.3-0.30360299999994</f>
        <v>3077.3686580000008</v>
      </c>
      <c r="N66" s="3">
        <f>2843.5+(1078.6-269.5)+(1.450185+(0.550086-0.137445))+0-635.2-0.323951999999936</f>
        <v>3018.9388740000004</v>
      </c>
      <c r="O66" s="3">
        <f>2865.8+(903.6-278.4)+(-1.461558+(-0.460836--0.141984))+0-493.7--0.25178699999995</f>
        <v>2995.7713770000005</v>
      </c>
      <c r="P66" s="3">
        <f>3028.9+(746.9-291.3)+(1.544739+(0.380919-0.148563))+0-447.3-0.228122999999955</f>
        <v>3038.7489719999999</v>
      </c>
      <c r="Q66" s="3">
        <f>4004.1+(261.2-444.4)+(-2.042091+(-0.133212--0.226644))+0-527.7--0.269126999999946</f>
        <v>3291.5204680000002</v>
      </c>
      <c r="R66" s="3">
        <f>4353.2+(449.9-448.7)+(-2.220132+(-0.229449--0.228837))+0-532--0.271319999999946</f>
        <v>3820.4505759999993</v>
      </c>
      <c r="S66" s="3">
        <f>4324.9+(937.3-442)+(-4.411398+(-0.956046--0.45084))+0-533--0.543660000000085</f>
        <v>4282.8270560000001</v>
      </c>
      <c r="T66" s="3">
        <f>4865.3+(846-579.7)+(0+(0-0))+0-539-0</f>
        <v>4592.6000000000004</v>
      </c>
      <c r="U66" s="3">
        <f>4938.4+(854.1-625.8)+(-15.111504+(-2.613546--1.914948))+0-563.4--1.72400400000007</f>
        <v>4589.2139019999995</v>
      </c>
      <c r="V66" s="3">
        <f>4563.6+(975.6-349.2)+(-11.63718+(-2.48778--0.89046))+0-533--1.35914999999992</f>
        <v>4645.1246500000007</v>
      </c>
      <c r="W66" s="3">
        <f>3784+(1024.8-233.6)+(-11.57904+(-3.135888--0.714816))+0-505.9--1.54805400000006</f>
        <v>4056.8479419999999</v>
      </c>
      <c r="X66" s="3">
        <f>3505.4+(970.6-243.7)+(-8.93877+(-2.47503--0.621435))+0-602.8--1.53713999999991</f>
        <v>3620.2447749999997</v>
      </c>
      <c r="Y66" s="3">
        <f>3155.7+(765-318.4)+(-1.609407+(-0.39015--0.162384))+0-539.9--0.275348999999945</f>
        <v>3060.8381759999997</v>
      </c>
      <c r="Z66" s="3">
        <f>3443.4+(812.8-419.6)+(-3.512268+(-0.829056--0.427992))+0-552--0.563040000000088</f>
        <v>3281.2497079999998</v>
      </c>
      <c r="AA66" s="3">
        <f>3502.3+(945.4-271.6)+(-7.144692+(-1.928616--0.554064))+0-611.9--1.24827599999997</f>
        <v>3556.929032</v>
      </c>
      <c r="AB66" s="3">
        <f>3850.8+(891.2-231.5)+(-9.81954+(-2.27256--0.590325))+0-604.8--1.54223999999991</f>
        <v>3895.7404649999999</v>
      </c>
      <c r="AC66" s="3">
        <f>3905.7+(1070.5-302.4)+(-5.975721+(-1.637865--0.462672))+0-567.2--0.867816000000033</f>
        <v>4100.3169020000005</v>
      </c>
      <c r="AD66">
        <v>3531.2</v>
      </c>
      <c r="AE66" s="3">
        <f>3821+(933.5-426.6)+(0+(0-0))+0-603.7-0</f>
        <v>3724.2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3715.4+(1596.3-437.5)+(-9.47427+(-4.070565--1.115625))+0-557.7--1.42213499999992</f>
        <v>4305.4929249999996</v>
      </c>
      <c r="G67" s="3">
        <f>3553.7+(1690.7-384.5)+(-7.249548+(-3.449028--0.78438))+0-646.5--1.31885999999997</f>
        <v>4204.8046640000002</v>
      </c>
      <c r="H67" s="3">
        <f>3168.7+(1885.7-370.8)+(-4.848111+(-2.885121--0.567324))+0-580.8--0.888624000000034</f>
        <v>4096.5227160000004</v>
      </c>
      <c r="I67" s="3">
        <f>2887.7+(2004.8-301.8)+(-5.890908+(-4.089792--0.615672))+0-633.7--1.29274799999997</f>
        <v>3948.9277199999997</v>
      </c>
      <c r="J67" s="3">
        <f>2890.1+(1883.1-289.9)+(1.473951+(0.960381-0.147849))+0-627.2-0.319871999999936</f>
        <v>3858.0666109999993</v>
      </c>
      <c r="K67" s="3">
        <f>2777.2+(1761-247.5)+(-7.08186+(-4.49055--0.631125))+0-615.9--1.57054499999991</f>
        <v>3665.4292599999999</v>
      </c>
      <c r="L67" s="3">
        <f>2654.6+(1472.8-235.8)+(-4.061538+(-2.253384--0.360774))+0-620--0.948600000000036</f>
        <v>3266.5944520000003</v>
      </c>
      <c r="M67" s="3">
        <f>3033+(884.5-319)+(7.73415+(2.255475-0.81345))+0-589.7-1.50373499999991</f>
        <v>3016.47244</v>
      </c>
      <c r="N67" s="3">
        <f>3176.7+(654.9-287.7)+(-1.620117+(-0.333999--0.146727))+0-587.7--0.29972699999994</f>
        <v>2954.6923379999994</v>
      </c>
      <c r="O67" s="3">
        <f>3436.8+(476.1-364.3)+(3.505536+(0.485622-0.371586))+0-584.6-0.596292000000093</f>
        <v>2967.0232800000003</v>
      </c>
      <c r="P67" s="3">
        <f>3628.2+(473.6-490.9)+(-1.850382+(-0.241536--0.250359))+0-595.6--0.30375599999994</f>
        <v>3013.7621969999996</v>
      </c>
      <c r="Q67" s="3">
        <f>3810.5+(559.9-706.9)+(3.88671+(0.571098-0.721038))+0-485.1-0.494802000000077</f>
        <v>3181.6419679999999</v>
      </c>
      <c r="R67" s="3">
        <f>4556.3+(689.6-1116.6)+(-4.647426+(-0.703392--1.138932))+0-572.7--0.584154000000091</f>
        <v>3552.9722680000004</v>
      </c>
      <c r="S67" s="3">
        <f>4553.8+(876.1-1089.8)+(-11.61219+(-2.234055--2.77899))+0-475.2--1.21175999999993</f>
        <v>3855.0445050000008</v>
      </c>
      <c r="T67" s="3">
        <f>4998.4+(945.1-1114.3)+(-12.74592+(-2.410005--2.841465))+0-557.6--1.42187999999992</f>
        <v>4260.7074199999997</v>
      </c>
      <c r="U67" s="3">
        <f>4860.8+(1139.9-1083.1)+(-7.437024+(-1.744047--1.657143))+0-501.6--0.767448000000029</f>
        <v>4409.24352</v>
      </c>
      <c r="V67" s="3">
        <f>4513.3+(1073.4-719.5)+(-4.603566+(-1.094868--0.73389))+0-616.7--0.629034000000098</f>
        <v>4246.164490000001</v>
      </c>
      <c r="W67" s="3">
        <f>3789.6+(1116.1-381.7)+(-3.865392+(-1.138422--0.389334))+0-598.8--0.610776000000095</f>
        <v>3921.1962959999996</v>
      </c>
      <c r="X67" s="3">
        <f>3125.9+(1186.9-248.6)+(-9.565254+(-3.631914--0.760716))+0-602--1.84212000000007</f>
        <v>3451.6056680000006</v>
      </c>
      <c r="Y67" s="3">
        <f>2968+(997.3-303)+(-3.02736+(-1.017246--0.30906))+0-618.5--0.630870000000099</f>
        <v>3040.6953240000003</v>
      </c>
      <c r="Z67" s="3">
        <f>3760.4+(630.9-401.8)+(-3.835608+(-0.643518--0.409836))+0-447--0.455940000000071</f>
        <v>3538.8866500000004</v>
      </c>
      <c r="AA67" s="3">
        <f>4234.9+(490.9-422.3)+(-8.639196+(-1.001436--0.861492))+0-570--1.16279999999998</f>
        <v>3725.8836600000004</v>
      </c>
      <c r="AB67" s="3">
        <f>4148.5+(750.8-478.6)+(-10.578675+(-1.91454--1.22043))+0-614--1.56569999999991</f>
        <v>3796.9929149999998</v>
      </c>
      <c r="AC67" s="3">
        <f>4459.5+(893.6-540)+(0+(0-0))+0-575-0</f>
        <v>4238.1000000000004</v>
      </c>
      <c r="AD67">
        <v>3963.2</v>
      </c>
      <c r="AE67" s="3">
        <f>4295+(529.5-368.3)+(0+(0-0))+0-493-0</f>
        <v>3963.2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3895.1+(1387.8-509.4)+(-7.946004+(-2.831112--1.039176))+0-489--0.997559999999979</f>
        <v>4275.7596199999998</v>
      </c>
      <c r="G68" s="3">
        <f>3716.2+(1617.4-462.1)+(-3.790524+(-1.649748--0.471342))+0-609--0.621180000000097</f>
        <v>4258.1522500000001</v>
      </c>
      <c r="H68" s="3">
        <f>3290.8+(1849-393.8)+(-5.034924+(-2.82897--0.602514))+0-574--0.878220000000033</f>
        <v>4165.6168399999997</v>
      </c>
      <c r="I68" s="3">
        <f>3405.1+(1607.5-359.6)+(0+(0-0))+0-624-0</f>
        <v>4029</v>
      </c>
      <c r="J68" s="3">
        <f>3286.5+(1437.8-306.5)+(1.676115+(0.733278-0.156315))+0-527-0.268769999999947</f>
        <v>3892.7843079999998</v>
      </c>
      <c r="K68" s="3">
        <f>3471.4+(1183.7-289.9)+(-7.081656+(-2.414748--0.591396))+0-611--1.24643999999997</f>
        <v>3746.541432</v>
      </c>
      <c r="L68" s="3">
        <f>3146.7+(1107.9-260)+(-3.209634+(-1.130058--0.2652))+0-550--0.561000000000088</f>
        <v>3441.0865079999999</v>
      </c>
      <c r="M68" s="3">
        <f>3189.2+(808.8-348.9)+(-3.252984+(-0.824976--0.355878))+0-412--0.420240000000066</f>
        <v>3233.7981580000001</v>
      </c>
      <c r="N68" s="3">
        <f>2853.4+(1100-284.9)+(-4.365702+(-1.683--0.435897))+0-563--0.861390000000033</f>
        <v>3100.7485849999998</v>
      </c>
      <c r="O68" s="3">
        <f>2836.6+(967.6-294.4)+(-2.893332+(-0.986952--0.300288))+0-492--0.501840000000078</f>
        <v>3014.7218440000001</v>
      </c>
      <c r="P68" s="3">
        <f>3097.9+(742.3-289.9)+(-4.739787+(-1.135719--0.443547))+0-471--0.720630000000027</f>
        <v>3074.588671</v>
      </c>
      <c r="Q68" s="3">
        <f>3149.8+(998.1-438)+(-4.819194+(-1.527093--0.67014))+0-460--0.703800000000027</f>
        <v>3244.9276530000002</v>
      </c>
      <c r="R68" s="3">
        <f>3618.2+(1109.7-576.9)+(-1.845282+(-0.565947--0.294219))+0-569--0.290189999999942</f>
        <v>3580.1731800000002</v>
      </c>
      <c r="S68" s="3">
        <f>3824.4+(1399-645.6)+(-1.950444+(-0.71349--0.329256))+0-577--0.294269999999941</f>
        <v>3998.7595919999999</v>
      </c>
      <c r="T68" s="3">
        <f>4088.5+(1486.8-682)+(-8.34054+(-3.033072--1.39128))+0-410--0.836399999999982</f>
        <v>4474.1540680000007</v>
      </c>
      <c r="U68" s="3">
        <f>4104.3+(1545-639.3)+(-2.093193+(-0.78795--0.326043))+0-651--0.332009999999934</f>
        <v>4356.7769100000005</v>
      </c>
      <c r="V68" s="3">
        <f>3963.7+(1392-510.2)+(-2.021487+(-0.70992--0.260202))+0-376--0.191759999999962</f>
        <v>4467.2205549999999</v>
      </c>
      <c r="W68" s="3">
        <f>3363+(1419.8-297.3)+(-6.86052+(-2.896392--0.606492))+0-573--1.16891999999998</f>
        <v>3904.5185000000001</v>
      </c>
      <c r="X68" s="3">
        <f>3009.8+(1188.8-194.1)+(-7.67499+(-3.03144--0.494955))+0-461--1.17554999999993</f>
        <v>3534.4640749999999</v>
      </c>
      <c r="Y68" s="3">
        <f>3107+(915.2-303.7)+(-4.75371+(-1.400256--0.464661))+0-658--1.00674000000004</f>
        <v>3055.8174350000004</v>
      </c>
      <c r="Z68" s="3">
        <f>3396.3+(792.4-272)+(-5.196339+(-1.212372--0.41616))+0-650--0.994500000000038</f>
        <v>3261.7019490000007</v>
      </c>
      <c r="AA68" s="3">
        <f>3718+(940.8-268.1)+(-5.68854+(-1.439424--0.410193))+0-667--1.02051000000004</f>
        <v>3718.002739</v>
      </c>
      <c r="AB68" s="3">
        <f>3686.3+(1205.9-268.2)+(-7.520052+(-2.460036--0.547128))+0-606--1.23623999999997</f>
        <v>4009.8032800000001</v>
      </c>
      <c r="AC68" s="3">
        <f>3452.5+(1751.9-317.5)+(-5.282325+(-2.680407--0.485775))+0-576--0.881280000000033</f>
        <v>4304.3043229999994</v>
      </c>
      <c r="AD68">
        <v>4116.2</v>
      </c>
      <c r="AE68" s="3">
        <f>4161+(952.4-341.2)+(0+(0-0))+0-656-0</f>
        <v>4116.2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3259.6+(2090.3-329.6)+(-6.649584+(-4.264212--0.672384))+0-669--1.36475999999997</f>
        <v>4342.4233480000003</v>
      </c>
      <c r="G69" s="3">
        <f>3240.5+(1982.4-284.1)+(-6.61062+(-4.044096--0.579564))+0-644--1.31375999999997</f>
        <v>4286.0386079999998</v>
      </c>
      <c r="H69" s="3">
        <f>3123.9+(1950.4-227.8)+(-3.186378+(-1.989408--0.232356))+0-679--0.692580000000108</f>
        <v>4163.2491499999996</v>
      </c>
      <c r="I69" s="3">
        <f>3205.2+(1688.8-253.1)+(-1.634652+(-0.861288--0.129081))+0-594--0.30293999999994</f>
        <v>4044.8360809999999</v>
      </c>
      <c r="J69" s="3">
        <f>3112.9+(1648-258.9)+(-3.175158+(-1.68096--0.264078))+0-584--0.595680000000093</f>
        <v>3914.0036399999995</v>
      </c>
      <c r="K69" s="3">
        <f>2674.4+(1986.7-251.7)+(-6.81972+(-5.066085--0.641835))+0-638--1.62689999999991</f>
        <v>3761.7829299999989</v>
      </c>
      <c r="L69" s="3">
        <f>2430.4+(1826.7-250.1)+(0+(0-0))+0-655-0</f>
        <v>3352</v>
      </c>
      <c r="M69" s="3">
        <f>2664.3+(1390.5-281.2)+(-2.717586+(-1.41831--0.286824))+0-640--0.652800000000102</f>
        <v>3130.4037280000007</v>
      </c>
      <c r="N69" s="3">
        <f>2828.4+(1178.4-309.7)+(-5.769936+(-2.403936--0.631788))+0-605.7--1.23562799999997</f>
        <v>3085.0935439999998</v>
      </c>
      <c r="O69" s="3">
        <f>3086.3+(1000.1-302.8)+(-1.574013+(-0.510051--0.154428))+0-615.7--0.314006999999938</f>
        <v>3166.2843710000006</v>
      </c>
      <c r="P69" s="3">
        <f>3273.9+(932.7-368.8)+(0+(0-0))+0-646-0</f>
        <v>3191.8</v>
      </c>
      <c r="Q69" s="3">
        <f>3806.6+(832.1-639.4)+(3.882732+(0.848742-0.652188))+0-552.4-0.563448000000088</f>
        <v>3450.4158380000003</v>
      </c>
      <c r="R69" s="3">
        <f>4654.9+(701.3-817.8)+(-2.373999+(-0.357663--0.417078))+0-583--0.297329999999941</f>
        <v>3953.3827459999998</v>
      </c>
      <c r="S69" s="3">
        <f>4804+(935.7-781)+(0+(0-0))+0-485.9-0</f>
        <v>4472.8</v>
      </c>
      <c r="T69" s="3">
        <f>5091.1+(1033-736.2)+(-2.596461+(-0.52683--0.375462))+0-666.6--0.339965999999932</f>
        <v>4718.8921369999998</v>
      </c>
      <c r="U69" s="3">
        <f>5145.3+(1043.5-799)+(-13.120515+(-2.660925--2.03745))+0-566.6--1.44482999999992</f>
        <v>4810.9008400000002</v>
      </c>
      <c r="V69" s="3">
        <f>4914.2+(977.1-499.9)+(-7.518726+(-1.494963--0.764847))+0-671--1.02663000000004</f>
        <v>4713.177788</v>
      </c>
      <c r="W69" s="3">
        <f>3775.2+(1400-242.4)+(-13.477464+(-4.998--0.865368))+0-601.6--2.14771200000001</f>
        <v>4315.7376159999985</v>
      </c>
      <c r="X69" s="3">
        <f>2993.7+(1628-272.2)+(-10.687509+(-5.81196--0.971754))+0-589.4--2.10415800000001</f>
        <v>3746.6764429999998</v>
      </c>
      <c r="Y69" s="3">
        <f>2873.8+(1342.5-255.5)+(-1.465638+(-0.684675--0.130305))+0-589--0.30038999999994</f>
        <v>3370.0803820000001</v>
      </c>
      <c r="Z69" s="3">
        <f>3389.4+(978.4-300.6)+(-3.457188+(-0.997968--0.306612))+0-554.5--0.565590000000088</f>
        <v>3509.1170459999998</v>
      </c>
      <c r="AA69" s="3">
        <f>3706.2+(1267.2-242.5)+(-11.340972+(-3.877632--0.74205))+0-660.5--2.02113000000008</f>
        <v>4057.9445759999999</v>
      </c>
      <c r="AB69" s="3">
        <f>3680.6+(1429.6-240)+(-7.508424+(-2.916384--0.4896))+0-577.2--1.17748799999998</f>
        <v>4284.2422800000004</v>
      </c>
      <c r="AC69" s="3">
        <f>3975.9+(1455.5-258.8)+(-12.166254+(-4.45383--0.791928))+0-629.8--1.92718800000007</f>
        <v>4528.8990320000003</v>
      </c>
      <c r="AD69">
        <v>3973.2</v>
      </c>
      <c r="AE69" s="3">
        <f>3629+(1253.2-283.7)+(0+(0-0))+0-625.3-0</f>
        <v>3973.2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3879.7+(1651.8-273.3)+(-3.957294+(-1.684836--0.278766))+0-567.1--0.57844200000009</f>
        <v>4686.3150779999996</v>
      </c>
      <c r="G70" s="3">
        <f>3493.3+(1953.6-245)+(-8.907915+(-4.98168--0.62475))+0-688--1.7543999999999</f>
        <v>4502.3895549999997</v>
      </c>
      <c r="H70" s="3">
        <f>3356.3+(1878.9-255.2)+(-6.846852+(-3.832956--0.520608))+0-540.6--1.10282399999998</f>
        <v>4430.3436239999992</v>
      </c>
      <c r="I70" s="3">
        <f>3374+(1887-264.4)+(-5.16222+(-2.88711--0.404532))+0-663.7--1.01546100000004</f>
        <v>4326.2706630000002</v>
      </c>
      <c r="J70" s="3">
        <f>3105.7+(1878.8-244.5)+(-4.751721+(-2.874564--0.374085))+0-608.1--0.930393000000035</f>
        <v>4125.5781929999994</v>
      </c>
      <c r="K70" s="3">
        <f>3012.3+(1827.3-272.4)+(-6.145092+(-3.727692--0.555696))+0-634.3--1.29397199999997</f>
        <v>3924.8768840000007</v>
      </c>
      <c r="L70" s="3">
        <f>2893.5+(1394.2-279.9)+(-4.427055+(-2.133126--0.428247))+0-581.4--0.889542000000034</f>
        <v>3421.157608</v>
      </c>
      <c r="M70" s="3">
        <f>3082.2+(1146.1-289.8)+(-1.571922+(-0.584511--0.147798))+0-596.7--0.30431699999994</f>
        <v>3340.0956820000001</v>
      </c>
      <c r="N70" s="3">
        <f>3262.4+(953.8-362.7)+(0+(0-0))+0-606.2-0</f>
        <v>3247.3</v>
      </c>
      <c r="O70" s="3">
        <f>3587.8+(654.9-404.5)+(1.829778+(0.333999-0.206295))+0-510.4-0.260303999999948</f>
        <v>3329.4971780000001</v>
      </c>
      <c r="P70" s="3">
        <f>3743.1+(871.7-678.9)+(1.908981+(0.444567-0.346239))+0-564.8-0.288047999999943</f>
        <v>3372.8192610000001</v>
      </c>
      <c r="Q70" s="3">
        <f>4609.3+(844.9-1216.4)+(2.350743+(0.430899-0.620364))+0-551.2-0.281111999999944</f>
        <v>3688.4801659999998</v>
      </c>
      <c r="R70" s="3">
        <f>5337+(695.2-1249.3)+(0+(0-0))+0-546.8-0</f>
        <v>4236.0999999999995</v>
      </c>
      <c r="S70" s="3">
        <f>4821.2+(1067.9-580.1)+(0+(0-0))+0-576.2-0</f>
        <v>4732.8</v>
      </c>
      <c r="T70" s="3">
        <f>5088+(1100.9-646.9)+(-7.78464+(-1.684377--0.989757))+0-568--0.869040000000033</f>
        <v>4966.3897799999995</v>
      </c>
      <c r="U70" s="3">
        <f>5180.1+(1114.6-772.6)+(5.283702+(1.136892-0.788052))+0-486.1-0.495822000000078</f>
        <v>5041.1367200000004</v>
      </c>
      <c r="V70" s="3">
        <f>4829.6+(1190.7-563.5)+(-4.926192+(-1.214514--0.57477))+0-571.4--0.582828000000091</f>
        <v>4880.4168920000011</v>
      </c>
      <c r="W70" s="3">
        <f>3972.4+(1337.8-242.8)+(-14.181468+(-4.775946--0.866796))+0-590.7--2.10879900000001</f>
        <v>4460.7181809999993</v>
      </c>
      <c r="X70" s="3">
        <f>2957.8+(1868.4-246.1)+(-7.54239+(-4.76442--0.627555))+0-554.3--1.41346499999992</f>
        <v>4015.5342100000003</v>
      </c>
      <c r="Y70" s="3">
        <f>2850.5+(1614.5-225)+(-4.361265+(-2.470185--0.34425))+0-509.8--0.77999400000003</f>
        <v>3724.4927940000002</v>
      </c>
      <c r="Z70" s="3">
        <f>3112+(1110.1-224.5)+(-3.17424+(-1.132302--0.22899))+0-375.7--0.38321400000006</f>
        <v>3618.2056619999998</v>
      </c>
      <c r="AA70" s="3">
        <f>4094.2+(1281.7-279.9)+(-10.44021+(-3.268335--0.713745))+0-610.5--1.55677499999991</f>
        <v>4474.0619749999996</v>
      </c>
      <c r="AB70" s="3">
        <f>3340.7+(2015.1-238.6)+(-6.815028+(-4.110804--0.486744))+0-568.3--1.15933199999998</f>
        <v>4539.6202439999997</v>
      </c>
      <c r="AC70" s="3">
        <f>3461.7+(2043.4-234.9)+(-7.061868+(-4.168536--0.479196))+0-607.1--1.23848399999997</f>
        <v>4653.5872759999993</v>
      </c>
      <c r="AD70">
        <v>4282</v>
      </c>
      <c r="AE70" s="3">
        <f>4129+(1062.3-307.6)+(0+(0-0))+0-601.7-0</f>
        <v>4282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3328.2+(2137.6-241.7)+(-3.394764+(-2.180352--0.246534))+0-529.7--0.540294000000085</f>
        <v>4689.6117119999999</v>
      </c>
      <c r="G71" s="3">
        <f>3347.6+(2092.1-218.9)+(-6.829104+(-4.267884--0.446556))+0-630.5--1.28621999999997</f>
        <v>4580.9357879999989</v>
      </c>
      <c r="H71" s="3">
        <f>3233.7+(2080.2-226.1)+(-6.596748+(-4.243608--0.461244))+0-591.9--1.20747599999997</f>
        <v>4486.7283639999996</v>
      </c>
      <c r="I71" s="3">
        <f>3156.9+(2041.3-240.4)+(-4.830057+(-3.123189--0.367812))+0-614.7--0.940491000000036</f>
        <v>4336.455057000001</v>
      </c>
      <c r="J71" s="3">
        <f>2970.6+(2105.1-232.9)+(-1.515006+(-1.073601--0.118779))+0-607.5--0.309824999999938</f>
        <v>4233.1399969999993</v>
      </c>
      <c r="K71" s="3">
        <f>2923.9+(2005.9-233.8)+(-4.473567+(-3.069027--0.357714))+0-615.9--0.942327000000036</f>
        <v>4073.8574470000003</v>
      </c>
      <c r="L71" s="3">
        <f>2790.2+(1767.3-222.8)+(-2.846004+(-1.802646--0.227256))+0-644.9--0.657798000000103</f>
        <v>3686.0364039999999</v>
      </c>
      <c r="M71" s="3">
        <f>2890.9+(1453.3-250.7)+(0+(0-0))+0-611.1-0</f>
        <v>3482.4</v>
      </c>
      <c r="N71" s="3">
        <f>3265.6+(1180.6-316.2)+(3.330912+(1.204212-0.322524))+0-639.2-0.651984000000102</f>
        <v>3494.3606159999999</v>
      </c>
      <c r="O71" s="3">
        <f>3609.7+(835.8-431)+(1.840947+(0.426258-0.21981))+0-595.4-0.30365399999994</f>
        <v>3420.8437410000001</v>
      </c>
      <c r="P71" s="3">
        <f>4083.2+(873.8-675.9)+(2.082432+(0.445638-0.344709))+0-610.7-0.311456999999938</f>
        <v>3672.2719040000002</v>
      </c>
      <c r="Q71" s="3">
        <f>4766.7+(840.4-944.4)+(4.862034+(0.857208-0.963288))+0-617.2-0.629544000000098</f>
        <v>4049.6264100000003</v>
      </c>
      <c r="R71" s="3">
        <f>5078.3+(826.7-660.2)+(2.589933+(0.421617-0.336702))+0-716.6-0.365465999999927</f>
        <v>4530.5093819999993</v>
      </c>
      <c r="S71" s="3">
        <f>5251.4+(1119.9-817.3)+(-2.678214+(-0.571149--0.416823))+0-637.4--0.325073999999935</f>
        <v>4914.0925340000003</v>
      </c>
      <c r="T71" s="3">
        <f>5644.7+(1067.2-986.9)+(-2.878797+(-0.544272--0.503319))+0-623.3--0.317882999999937</f>
        <v>5099.0981329999995</v>
      </c>
      <c r="U71" s="3">
        <f>5703.8+(988-1005.6)+(-8.726814+(-1.51164--1.538568))+0-534--0.817020000000031</f>
        <v>5144.3171339999999</v>
      </c>
      <c r="V71" s="3">
        <f>5312.8+(972-650.4)+(-5.419056+(-0.99144--0.663408))+0-674.9--0.688398000000108</f>
        <v>4954.4413100000011</v>
      </c>
      <c r="W71" s="3">
        <f>4451.3+(1275.7-302.3)+(-13.620978+(-3.903642--0.925038))+0-608.9--1.86323400000007</f>
        <v>4801.0636520000016</v>
      </c>
      <c r="X71" s="3">
        <f>3003.7+(1944.7-202.3)+(-9.191322+(-5.950782--0.619038))+0-612.8--1.87516800000007</f>
        <v>4120.6521020000009</v>
      </c>
      <c r="Y71" s="3">
        <f>2677.9+(1851.9-224.5)+(-5.462916+(-3.777876--0.45798))+0-556.7--1.13566799999998</f>
        <v>3740.9528559999999</v>
      </c>
      <c r="Z71" s="3">
        <f>3267.7+(1415.6-226.2)+(-3.333054+(-1.443912--0.230724))+0-584.9--0.596598000000093</f>
        <v>3868.2503559999991</v>
      </c>
      <c r="AA71" s="3">
        <f>3465.2+(1527.9-244.6)+(-10.603512+(-4.675374--0.748476))+0-345.7--1.05784200000004</f>
        <v>4389.327432</v>
      </c>
      <c r="AB71" s="3">
        <f>3325.2+(2167.3-234.1)+(-6.783408+(-4.421292--0.477564))+0-598.7--1.22134799999997</f>
        <v>4650.1942119999994</v>
      </c>
      <c r="AC71" s="3">
        <f>3567+(2242.9-262.6)+(-1.81917+(-1.143879--0.133926))+0-736.6--0.375665999999925</f>
        <v>4808.2465429999993</v>
      </c>
      <c r="AD71">
        <v>4386</v>
      </c>
      <c r="AE71" s="3">
        <f>3597+(1437.3-235)+(0+(0-0))+0-413.3-0</f>
        <v>4386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3518.5+(2257.4-222.8)+(-3.58887+(-2.302548--0.227256))+0-653.3--0.666366000000104</f>
        <v>4894.8022040000005</v>
      </c>
      <c r="G72" s="3">
        <f>3487.8+(2242.7-213.8)+(-7.115112+(-4.575108--0.436152))+0-717.9--1.46451599999997</f>
        <v>4789.010448</v>
      </c>
      <c r="H72" s="3">
        <f>3114.8+(2451.3-234.1)+(-6.354192+(-5.000652--0.477564))+0-680.1--1.38740399999997</f>
        <v>4642.410124</v>
      </c>
      <c r="I72" s="3">
        <f>3061.9+(2316.4-253.6)+(-6.246276+(-4.725456--0.517344))+0-600.3--1.22461199999997</f>
        <v>4515.1702240000004</v>
      </c>
      <c r="J72" s="3">
        <f>3024.7+(2326.2-236.3)+(-1.542597+(-1.186362--0.120513))+0-692.3--0.35307299999993</f>
        <v>4420.0446269999993</v>
      </c>
      <c r="K72" s="3">
        <f>2842.7+(2278.7-236.7)+(-11.598216+(-9.297096--0.965736))+0-587.9--2.39863199999995</f>
        <v>4279.2690560000001</v>
      </c>
      <c r="L72" s="3">
        <f>2765.1+(1988.4-221.9)+(-2.820402+(-2.028168--0.226338))+0-658.2--0.671364000000105</f>
        <v>3869.4491320000011</v>
      </c>
      <c r="M72" s="3">
        <f>3026.8+(1525.2-239)+(-3.087336+(-1.555704--0.24378))+0-650.4--0.663408000000104</f>
        <v>3658.8641479999997</v>
      </c>
      <c r="N72" s="3">
        <f>3132.7+(1322.3-266.9)+(0+(0-0))+0-517.9-0</f>
        <v>3670.2000000000003</v>
      </c>
      <c r="O72" s="3">
        <f>3193.9+(1293.6-270.4)+(-3.257778+(-1.319472--0.275808))+0-501.7--0.51173400000008</f>
        <v>3711.6102920000008</v>
      </c>
      <c r="P72" s="3">
        <f>3523.9+(1202.8-313.8)+(-5.391567+(-1.840284--0.480114))+0-657--1.00521000000004</f>
        <v>3750.1534730000003</v>
      </c>
      <c r="Q72" s="3">
        <f>4270.8+(948.2-388.3)+(-8.712432+(-1.934328--0.792132))+0-664.4--1.35537599999997</f>
        <v>4157.8007480000006</v>
      </c>
      <c r="R72" s="3">
        <f>4779.1+(995.3-516.3)+(-4.874682+(-1.015206--0.526626))+0-616.6--0.628932000000098</f>
        <v>4636.7656700000007</v>
      </c>
      <c r="S72" s="3">
        <f>4743.1+(1528.9-392.9)+(-4.837962+(-1.559478--0.400758))+0-723.3--0.737766000000115</f>
        <v>5150.5410840000004</v>
      </c>
      <c r="T72" s="3">
        <f>4669.3+(1529.9-623.9)+(2.381343+(0.780249-0.318189))+0-612.8-0.312527999999938</f>
        <v>4965.0308749999995</v>
      </c>
      <c r="U72" s="3">
        <f>4911.1+(1559.8-556)+(-5.009322+(-1.590996--0.56712))+0-663.1--0.676362000000106</f>
        <v>5246.4431640000003</v>
      </c>
      <c r="V72" s="3">
        <f>4900.4+(1313-406.9)+(-17.494428+(-4.68741--1.452633))+0-652.5--2.32942500000001</f>
        <v>5135.6002200000003</v>
      </c>
      <c r="W72" s="3">
        <f>4369.2+(1393.7-262.5)+(-4.456584+(-1.421574--0.26775))+0-635--0.647700000000101</f>
        <v>4860.4372920000005</v>
      </c>
      <c r="X72" s="3">
        <f>4068.6+(1269-243.7)+(-10.37493+(-3.23595--0.621435))+0-675.2--1.7217599999999</f>
        <v>4407.4323149999991</v>
      </c>
      <c r="Y72" s="3">
        <f>3093.9+(1718.5-250)+(0+(0-0))+0-576.2-0</f>
        <v>3986.2</v>
      </c>
      <c r="Z72" s="3">
        <f>3406.8+(1603.3-225.1)+(0+(0-0))+0-608.7-0</f>
        <v>4176.3</v>
      </c>
      <c r="AA72" s="3">
        <f>4204+(1413.9-232.2)+(-8.57616+(-2.884356--0.473688))+0-658--1.34231999999997</f>
        <v>4718.0554919999995</v>
      </c>
      <c r="AB72" s="3">
        <f>4044.1+(1728-226.2)+(0+(0-0))+0-641.4-0</f>
        <v>4904.5</v>
      </c>
      <c r="AC72" s="3">
        <f>3755.2+(2164.2-231.4)+(-7.660608+(-4.414968--0.472056))+0-633.5--1.29233999999997</f>
        <v>5044.1888200000003</v>
      </c>
      <c r="AD72">
        <v>4770.7</v>
      </c>
      <c r="AE72" s="3">
        <f>4341+(1334.4-246.5)+(0+(0-0))+0-658.2-0</f>
        <v>4770.7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3508.8+(2298.1-221.6)+(-7.157952+(-4.688124--0.452064))+0-534.2--1.08976799999998</f>
        <v>5040.7957560000004</v>
      </c>
      <c r="G73" s="3">
        <f>3179.8+(2405-251.5)+(-8.10849+(-6.13275--0.641325))+0-352.3--0.898364999999949</f>
        <v>4968.2984500000002</v>
      </c>
      <c r="H73" s="3">
        <f>3182.9+(2205.1-249.7)+(-1.623279+(-1.124601--0.127347))+0-286--0.145859999999971</f>
        <v>4849.8253269999996</v>
      </c>
      <c r="I73" s="3">
        <f>2953.3+(2388.3-252.8)+(0+(0-0))+0-328.3-0</f>
        <v>4760.5</v>
      </c>
      <c r="J73" s="3">
        <f>2853.4+(2651.7-243.3)+(-2.910468+(-2.704734--0.248166))+0-597.4--0.609348000000095</f>
        <v>4659.6423119999999</v>
      </c>
      <c r="K73" s="3">
        <f>2800.6+(2515.7-253.9)+(-7.14153+(-6.415035--0.647445))+0-536.6--1.36832999999992</f>
        <v>4514.2592099999993</v>
      </c>
      <c r="L73" s="3">
        <f>2594+(2363.6-251.5)+(2.64588+(2.410872-0.25653))+0-626.7-0.6392340000001</f>
        <v>4083.5609880000002</v>
      </c>
      <c r="M73" s="3">
        <f>2707.8+(1913.1-251.9)+(-1.380978+(-0.975681--0.128469))+0-497.2--0.25357199999995</f>
        <v>3869.8253820000004</v>
      </c>
      <c r="N73" s="3">
        <f>2923.5+(1607.8-258.2)+(4.472955+(2.459934-0.395046))+0-434.2-0.664326000000025</f>
        <v>3844.7735170000005</v>
      </c>
      <c r="O73" s="3">
        <f>3140.7+(1534-273.8)+(-1.601757+(-0.78234--0.139638))+0-552.3--0.281672999999944</f>
        <v>3846.6372139999999</v>
      </c>
      <c r="P73" s="3">
        <f>3971.5+(1068.9-576.2)+(0+(0-0))+0-568.1-0</f>
        <v>3896.1</v>
      </c>
      <c r="Q73" s="3">
        <f>5032.2+(718-834.1)+(0+(0-0))+0-502.4-0</f>
        <v>4413.7</v>
      </c>
      <c r="R73" s="3">
        <f>5619.6+(670.9-857)+(2.865996+(0.342159-0.43707))+0-562.9-0.287078999999943</f>
        <v>4873.084006000001</v>
      </c>
      <c r="S73" s="3">
        <f>5328.5+(1150.1-726.3)+(-10.87014+(-2.346204--1.481652))+0-548.8--1.11955199999998</f>
        <v>5192.8848600000001</v>
      </c>
      <c r="T73" s="3">
        <f>5050.7+(1141-425.8)+(-10.303428+(-2.32764--0.868632))+0-411.3--0.839051999999982</f>
        <v>5343.6766159999997</v>
      </c>
      <c r="U73" s="3">
        <f>5158.9+(1209.3-360)+(-5.262078+(-1.233486--0.3672))+0-682.2--0.695844000000109</f>
        <v>5320.5674799999997</v>
      </c>
      <c r="V73" s="3">
        <f>5009.3+(1265.3-318.6)+(-10.218972+(-2.581212--0.649944))+0-668.9--1.36455599999997</f>
        <v>5276.314316</v>
      </c>
      <c r="W73" s="3">
        <f>3742+(2075-219.1)+(-9.5421+(-5.29125--0.558705))+0-564.2--1.43870999999992</f>
        <v>5020.8640649999998</v>
      </c>
      <c r="X73" s="3">
        <f>2773.5+(2431.9-253.1)+(-14.14485+(-12.40269--1.29081))+0-450--2.29500000000003</f>
        <v>4479.3382700000002</v>
      </c>
      <c r="Y73" s="3">
        <f>2735.9+(1946-245.4)+(-4.185927+(-2.97738--0.375462))+0-382--0.584460000000022</f>
        <v>4048.2966150000002</v>
      </c>
      <c r="Z73" s="3">
        <f>2901.2+(1987.1-230.3)+(1.479612+(1.013421-0.117453))+0-469.3-0.239342999999952</f>
        <v>4190.8362369999995</v>
      </c>
      <c r="AA73" s="3">
        <f>3137+(2490.7-180.5)+(-6.39948+(-5.081028--0.36822))+0-670.6--1.36802399999997</f>
        <v>4766.8557359999995</v>
      </c>
      <c r="AB73" s="3">
        <f>3240.1+(2498.2-249.3)+(-3.304902+(-2.548164--0.254286))+0-547.8--0.558756000000087</f>
        <v>4936.1599759999999</v>
      </c>
      <c r="AC73" s="3">
        <f>3126+(2839-253.1)+(-7.9713+(-7.23945--0.645405))+0-705.2--1.7982599999999</f>
        <v>4993.9329149999994</v>
      </c>
      <c r="AD73">
        <v>5026.7999999999993</v>
      </c>
      <c r="AE73" s="3">
        <f>3464+(2556.4-251.8)+(0+(0-0))+0-741.8-0</f>
        <v>5026.8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2912.5+(2963.7-246.9)+(-7.426875+(-7.557435--0.629595))+0-555.5--1.41652499999992</f>
        <v>5060.8618099999985</v>
      </c>
      <c r="G74" s="3">
        <f>3198.3+(2689.9-254.3)+(-8.155665+(-6.859245--0.648465))+0-660.4--1.6840199999999</f>
        <v>4960.817575</v>
      </c>
      <c r="H74" s="3">
        <f>3328.2+(2356.1-268)+(1.697382+(1.201611-0.13668))+0-629.2-0.320891999999936</f>
        <v>4789.5414209999999</v>
      </c>
      <c r="I74" s="3">
        <f>3108+(2545.2-271.9)+(-1.58508+(-1.298052--0.138669))+0-688.4--0.35108399999993</f>
        <v>4690.5066209999995</v>
      </c>
      <c r="J74" s="3">
        <f>2868.6+(2621-273.1)+(-10.240902+(-9.35697--0.974967))+0-657.5--2.34727500000001</f>
        <v>4542.7243699999999</v>
      </c>
      <c r="K74" s="3">
        <f>2821.7+(2509.4-274.5)+(-12.951603+(-11.518146--1.259955))+0-608.5--2.79301500000011</f>
        <v>4427.6832210000002</v>
      </c>
      <c r="L74" s="3">
        <f>2606.4+(2385.6-262.6)+(-6.64632+(-6.08328--0.66963))+0-669.4--1.7069699999999</f>
        <v>4049.646999999999</v>
      </c>
      <c r="M74" s="3">
        <f>2851+(1944-256.5)+(4.36203+(2.97432-0.392445))+0-709.9-1.08614700000004</f>
        <v>3834.457758</v>
      </c>
      <c r="N74" s="3">
        <f>2976.3+(1691-287.7)+(4.553739+(2.58723-0.440181))+0-560.5-0.857565000000032</f>
        <v>3824.9432230000002</v>
      </c>
      <c r="O74" s="3">
        <f>3303.1+(1377.5-263.2)+(6.738324+(2.8101-0.536928))+0-608.7-1.24174799999997</f>
        <v>3816.469748</v>
      </c>
      <c r="P74" s="3">
        <f>4025.1+(1132.1-516.6)+(6.158403+(1.732113-0.790398))+0-665.4-1.01806200000004</f>
        <v>3981.2820559999996</v>
      </c>
      <c r="Q74" s="3">
        <f>4237.6+(1132.7-448.6)+(0+(0-0))+0-581-0</f>
        <v>4340.7000000000007</v>
      </c>
      <c r="R74" s="3">
        <f>4513.3+(1312.8-422.2)+(-2.301783+(-0.669528--0.215322))+0-596.5--0.30421499999994</f>
        <v>4804.9482259999995</v>
      </c>
      <c r="S74" s="3">
        <f>4634.3+(1410.7-248.6)+(-11.817465+(-3.597285--0.63393))+0-636.4--1.62281999999991</f>
        <v>5146.8420000000006</v>
      </c>
      <c r="T74" s="3">
        <f>5034.4+(1421.4-342.3)+(-15.405264+(-4.349484--1.047438))+0-740.7--2.26654200000009</f>
        <v>5356.3592320000007</v>
      </c>
      <c r="U74" s="3">
        <f>5151.5+(1242-393.8)+(-7.881795+(-1.90026--0.602514))+0-673.5--1.03045500000004</f>
        <v>5318.0509139999995</v>
      </c>
      <c r="V74" s="3">
        <f>5184.9+(1105.9-366.6)+(0+(0-0))+0-674.7-0</f>
        <v>5249.5</v>
      </c>
      <c r="W74" s="3">
        <f>4979.2+(917.3-315.8)+(5.078784+(0.935646-0.322116))+0-701-0.715020000000112</f>
        <v>4884.6772939999992</v>
      </c>
      <c r="X74" s="3">
        <f>4260.2+(1140.7-282.1)+(-6.518106+(-1.745271--0.431613))+0-640.7--0.980271000000037</f>
        <v>4471.2485070000012</v>
      </c>
      <c r="Y74" s="3">
        <f>3247.7+(1764.6-246)+(1.656327+(0.899946-0.12546))+0-682.8-0.348227999999931</f>
        <v>4085.5825849999992</v>
      </c>
      <c r="Z74" s="3">
        <f>3065.9+(2125.8-256.6)+(-4.690827+(-3.252474--0.392598))+0-660.4--1.01041200000004</f>
        <v>4268.1597090000005</v>
      </c>
      <c r="AA74" s="3">
        <f>3368.9+(2423.8-276)+(-3.436278+(-2.472276--0.28152))+0-686.7--0.70043400000011</f>
        <v>4825.0734000000011</v>
      </c>
      <c r="AB74" s="3">
        <f>3307.2+(2517.9-253.7)+(-5.060016+(-3.852387--0.388161))+0-641--0.980730000000037</f>
        <v>4922.8564879999994</v>
      </c>
      <c r="AC74" s="3">
        <f>3153.8+(2524.3-240.6)+(0+(0-0))+0-650.8-0</f>
        <v>4786.7</v>
      </c>
      <c r="AD74">
        <v>4994.2</v>
      </c>
      <c r="AE74" s="3">
        <f>3475+(2545.2-283)+(0+(0-0))+0-743-0</f>
        <v>4994.2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3192.8+(2776.6-249.6)+(-3.256656+(-2.832132--0.254592))+0-733.8--0.748476000000117</f>
        <v>4980.91428</v>
      </c>
      <c r="G75" s="3">
        <f>2976.4+(2804.9-242.6)+(-6.071856+(-5.721996--0.494904))+0-562.1--1.14668399999998</f>
        <v>4966.447736000001</v>
      </c>
      <c r="H75" s="3">
        <f>2840.2+(2947-191)+(-5.794008+(-6.01188--0.38964))+0-745.7--1.52122799999997</f>
        <v>4840.6049799999992</v>
      </c>
      <c r="I75" s="3">
        <f>2816.3+(2811.4-241.9)+(1.436313+(1.433814-0.123369))+0-594.8-0.30334799999994</f>
        <v>4793.4434099999999</v>
      </c>
      <c r="J75" s="3">
        <f>2686.8+(2978.8-249.1)+(-2.740536+(-3.038376--0.254082))+0-736.2--0.750924000000117</f>
        <v>4675.5260939999998</v>
      </c>
      <c r="K75" s="3">
        <f>2518.8+(2916.9-249.6)+(-2.569176+(-2.975238--0.254592))+0-626.2--0.6387240000001</f>
        <v>4555.2489020000012</v>
      </c>
      <c r="L75" s="3">
        <f>2240.9+(2961-245.8)+(-5.714295+(-7.55055--0.62679))+0-747.4--1.90586999999989</f>
        <v>4197.967815</v>
      </c>
      <c r="M75" s="3">
        <f>2242.1+(2553.3-249.3)+(0+(0-0))+0-529-0</f>
        <v>4017.1000000000004</v>
      </c>
      <c r="N75" s="3">
        <f>2550.7+(2168.8-265.7)+(3.902571+(3.318264-0.406521))+0-634.9-0.971397000000037</f>
        <v>3824.742917</v>
      </c>
      <c r="O75" s="3">
        <f>2519.2+(2036.3-262.9)+(3.854376+(3.115539-0.402237))+0-593.9-0.908667000000034</f>
        <v>3704.3590110000005</v>
      </c>
      <c r="P75" s="3">
        <f>2725.4+(1849.5-261.9)+(6.94977+(4.716225-0.667845))+0-593.9-1.51444499999991</f>
        <v>3728.5837050000005</v>
      </c>
      <c r="Q75" s="3">
        <f>2881.7+(1850.5-255.5)+(4.409001+(2.831265-0.390915))+0-591.7-0.905301000000034</f>
        <v>3890.9440499999996</v>
      </c>
      <c r="R75" s="3">
        <f>3952.8+(1385.5-287)+(-4.031856+(-1.41321--0.29274))+0-644.4--0.657288000000103</f>
        <v>4402.4049620000005</v>
      </c>
      <c r="S75" s="3">
        <f>4535.5+(1133.7-420.9)+(-2.313105+(-0.578187--0.214659))+0-580--0.295799999999941</f>
        <v>4665.919167</v>
      </c>
      <c r="T75" s="3">
        <f>4959.9+(1286.5-654.4)+(0+(0-0))+0-644.7-0</f>
        <v>4947.3</v>
      </c>
      <c r="U75" s="3">
        <f>5178.8+(1266.3-752.9)+(0+(0-0))+0-702.3-0</f>
        <v>4989.8999999999996</v>
      </c>
      <c r="V75" s="3">
        <f>5134.1+(1116.4-676.3)+(-7.855173+(-1.708092--1.034739))+0-666.7--1.02005100000004</f>
        <v>4899.9915250000013</v>
      </c>
      <c r="W75" s="3">
        <f>4448.6+(1082.8-265.5)+(-11.34393+(-2.76114--0.677025))+0-702.7--1.7918849999999</f>
        <v>4551.5638400000007</v>
      </c>
      <c r="X75" s="3">
        <f>3276.9+(1592.7-244.8)+(-8.356095+(-4.061385--0.62424))+0-587.3--1.49761499999991</f>
        <v>4027.2043749999998</v>
      </c>
      <c r="Y75" s="3">
        <f>2959.2+(1521.6-248.5)+(-3.018384+(-1.552032--0.25347))+0-664.8--0.678096000000106</f>
        <v>3563.8611499999993</v>
      </c>
      <c r="Z75" s="3">
        <f>3225.4+(1335.8-235)+(-3.289908+(-1.362516--0.2397))+0-642--0.654840000000102</f>
        <v>3680.4421160000002</v>
      </c>
      <c r="AA75" s="3">
        <f>3931.6+(1171.2-305.3)+(-8.020464+(-2.389248--0.622812))+0-594.4--1.21257599999997</f>
        <v>4194.5256760000002</v>
      </c>
      <c r="AB75" s="3">
        <f>4177.4+(1152-389.3)+(-8.521896+(-2.35008--0.794172))+0-587.1--1.19768399999997</f>
        <v>4344.1198799999993</v>
      </c>
      <c r="AC75" s="3">
        <f>3714.2+(1338.2-322.1)+(-3.788484+(-1.364964--0.328542))+0-555--0.566100000000089</f>
        <v>4171.0411940000004</v>
      </c>
      <c r="AD75">
        <v>4348.7999999999993</v>
      </c>
      <c r="AE75" s="3">
        <f>4395+(1040.9-424.8)+(0+(0-0))+0-662.3-0</f>
        <v>4348.8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3592.8+(2135.9-267.3)+(-7.329312+(-4.357236--0.545292))+0-680.6--1.38842399999997</f>
        <v>4771.0471680000001</v>
      </c>
      <c r="G76" s="3">
        <f>3665.1+(1888.6-312.3)+(0+(0-0))+0-608.9-0</f>
        <v>4632.5</v>
      </c>
      <c r="H76" s="3">
        <f>3590+(1911.6-375.2)+(-5.4927+(-2.924748--0.574056))+0-673--1.02969000000004</f>
        <v>4446.5862980000002</v>
      </c>
      <c r="I76" s="3">
        <f>3173.5+(2091.7-316)+(-3.23697+(-2.133534--0.32232))+0-628.7--0.6412740000001</f>
        <v>4316.0930900000003</v>
      </c>
      <c r="J76" s="3">
        <f>2828.4+(2260.1-235.4)+(1.442484+(1.152651-0.120054))+0-631.1-0.321860999999936</f>
        <v>4224.1532199999992</v>
      </c>
      <c r="K76" s="3">
        <f>2622.6+(2401.8-258.7)+(-8.025156+(-7.349508--0.791622))+0-680.8--2.08324800000008</f>
        <v>4072.4002060000003</v>
      </c>
      <c r="L76" s="3">
        <f>2459.6+(2209.9-259.6)+(-3.763188+(-3.381147--0.397188))+0-649--0.992970000000038</f>
        <v>3755.1458229999998</v>
      </c>
      <c r="M76" s="3">
        <f>2614.1+(1747.9-244.3)+(2.666382+(1.782858-0.249186))+0-621.3-0.633726000000099</f>
        <v>3499.9663279999995</v>
      </c>
      <c r="N76" s="3">
        <f>2606.2+(1694.8-257.8)+(-6.64581+(-4.32174--0.65739))+0-619--1.57844999999991</f>
        <v>3415.4682899999998</v>
      </c>
      <c r="O76" s="3">
        <f>2633.7+(1628-257.4)+(-1.343187+(-0.83028--0.131274))+0-633.8--0.323237999999936</f>
        <v>3368.7810449999997</v>
      </c>
      <c r="P76" s="3">
        <f>2719.6+(1535.1-244.7)+(0+(0-0))+0-601.9-0</f>
        <v>3408.1</v>
      </c>
      <c r="Q76" s="3">
        <f>3164.6+(1299-239.8)+(1.613946+(0.66249-0.122298))+0-604.2-0.308141999999939</f>
        <v>3621.4459960000004</v>
      </c>
      <c r="R76" s="3">
        <f>3871.7+(1371.3-468.2)+(0+(0-0))+0-742.7-0</f>
        <v>4032.0999999999995</v>
      </c>
      <c r="S76" s="3">
        <f>4407.2+(1568.7-756.1)+(-2.247672+(-0.800037--0.385611))+0-613.2--0.312731999999938</f>
        <v>4604.2506340000009</v>
      </c>
      <c r="T76" s="3">
        <f>4773.2+(1624.5-866.4)+(-12.17166+(-4.142475--2.20932))+0-722.5--1.8423749999999</f>
        <v>4796.5375600000007</v>
      </c>
      <c r="U76" s="3">
        <f>4741.6+(1576.1-845.1)+(-4.836432+(-1.607622--0.862002))+0-583.9--0.595578000000093</f>
        <v>4883.7135260000014</v>
      </c>
      <c r="V76" s="3">
        <f>4717.4+(1338.8-701.8)+(-12.02937+(-3.41394--1.78959))+0-617.6--1.57487999999991</f>
        <v>4724.7211599999991</v>
      </c>
      <c r="W76" s="3">
        <f>4431.1+(1247.6-519.3)+(-9.039444+(-2.545104--1.059372))+0-650.2--1.32640799999997</f>
        <v>4500.0012320000005</v>
      </c>
      <c r="X76" s="3">
        <f>3251.8+(1666.5-245.1)+(-9.950508+(-5.09949--0.750006))+0-702.3--2.14903800000008</f>
        <v>3958.7490460000004</v>
      </c>
      <c r="Y76" s="3">
        <f>2844+(1536.4-269.6)+(-4.35132+(-2.350692--0.412488))+0-620.4--0.949212000000036</f>
        <v>3485.0596880000003</v>
      </c>
      <c r="Z76" s="3">
        <f>3333.8+(1289.8-342)+(-3.400476+(-1.315596--0.34884))+0-692.2--0.70604400000011</f>
        <v>3585.738812000001</v>
      </c>
      <c r="AA76" s="3">
        <f>3949.1+(1186.7-349.5)+(-8.056164+(-2.420868--0.71298))+0-643.9--1.31355599999997</f>
        <v>4133.9495040000002</v>
      </c>
      <c r="AB76" s="3">
        <f>4006.1+(1368.7-301.5)+(-6.129333+(-2.094111--0.461295))+0-715.5--1.09471500000004</f>
        <v>4351.1325660000002</v>
      </c>
      <c r="AC76" s="3">
        <f>4232.7+(1370.4-355.3)+(-6.476031+(-2.096712--0.543609))+0-708.2--1.08354600000004</f>
        <v>4532.6544119999999</v>
      </c>
      <c r="AD76">
        <v>4141.8999999999996</v>
      </c>
      <c r="AE76" s="3">
        <f>4071+(1232.2-352.8)+(0+(0-0))+0-808.5-0</f>
        <v>4141.8999999999996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4109.1+(1495.2-344.5)+(-8.382564+(-3.050208--0.70278))+0-650.8--1.32763199999997</f>
        <v>4599.59764</v>
      </c>
      <c r="G77" s="3">
        <f>3878+(1567-286.5)+(1.97778+(0.79917-0.146115))+0-640.9-0.326858999999935</f>
        <v>4519.9039760000005</v>
      </c>
      <c r="H77" s="3">
        <f>3532.7+(1738.2-254.7)+(-3.603354+(-1.772964--0.259794))+0-603.8--0.615876000000096</f>
        <v>4407.8993519999995</v>
      </c>
      <c r="I77" s="3">
        <f>3230.3+(1916.8-250.9)+(0+(0-0))+0-625.7-0</f>
        <v>4270.5</v>
      </c>
      <c r="J77" s="3">
        <f>2785.1+(2282.8-246.7)+(4.261203+(3.492684-0.377451))+0-644.6-0.986238000000037</f>
        <v>4182.9901979999986</v>
      </c>
      <c r="K77" s="3">
        <f>2574.7+(2323.1-266.2)+(-7.878582+(-7.108686--0.814572))+0-590.8--1.80784800000007</f>
        <v>4028.4351520000005</v>
      </c>
      <c r="L77" s="3">
        <f>2518.6+(2011.9-249.7)+(-2.568972+(-2.052138--0.254694))+0-596.7--0.608634000000095</f>
        <v>3680.3422180000007</v>
      </c>
      <c r="M77" s="3">
        <f>2794.3+(1494.6-263.9)+(1.425093+(0.762246-0.134589))+0-573-0.292229999999942</f>
        <v>3453.7605199999998</v>
      </c>
      <c r="N77" s="3">
        <f>2954.2+(1316-273.9)+(0+(0-0))+0-636.5-0</f>
        <v>3359.7999999999997</v>
      </c>
      <c r="O77" s="3">
        <f>2919+(1198-300)+(-2.97738+(-1.22196--0.306))+0-482.2--0.491844000000077</f>
        <v>3331.3985040000002</v>
      </c>
      <c r="P77" s="3">
        <f>2967.4+(1144.7-296)+(0+(0-0))+0-456.9-0</f>
        <v>3359.2000000000003</v>
      </c>
      <c r="Q77" s="3">
        <f>3340.3+(1127.6-286.9)+(1.703553+(0.575076-0.146319))+0-598.9-0.305438999999939</f>
        <v>3583.9268710000001</v>
      </c>
      <c r="R77" s="3">
        <f>4156+(983.3-453.7)+(4.23912+(1.002966-0.462774))+0-625.4-0.6379080000001</f>
        <v>4064.3414039999998</v>
      </c>
      <c r="S77" s="3">
        <f>4160.5+(1581.6-551.5)+(-2.121855+(-0.806616--0.281265))+0-598.5--0.305234999999939</f>
        <v>4589.7580290000005</v>
      </c>
      <c r="T77" s="3">
        <f>4530.5+(1639.1-602.5)+(2.310555+(0.835941-0.307275))+0-667-0.340169999999932</f>
        <v>4902.5990510000011</v>
      </c>
      <c r="U77" s="3">
        <f>4751.6+(1558.2-733.7)+(-4.846632+(-1.589364--0.748374))+0-557--0.568140000000089</f>
        <v>5013.9805180000003</v>
      </c>
      <c r="V77" s="3">
        <f>4708.1+(1507.6-599)+(-4.802262+(-1.537752--0.61098))+0-673.4--0.686868000000107</f>
        <v>4938.2578340000009</v>
      </c>
      <c r="W77" s="3">
        <f>3926.1+(1587.5-296.6)+(-10.011555+(-4.048125--0.75633))+0-596.8--1.52183999999991</f>
        <v>4608.41849</v>
      </c>
      <c r="X77" s="3">
        <f>3047.2+(1908-251.5)+(-10.878504+(-6.81156--0.897855))+0-590.4--2.10772800000001</f>
        <v>4098.6155189999999</v>
      </c>
      <c r="Y77" s="3">
        <f>2860.8+(1638.3-251.1)+(-2.918016+(-1.671066--0.256122))+0-620.2--0.632604000000099</f>
        <v>3624.0996440000004</v>
      </c>
      <c r="Z77" s="3">
        <f>3574.8+(981.1-299.7)+(1.823148+(0.500361-0.152847))+0-504.7-0.257396999999949</f>
        <v>3753.4132650000015</v>
      </c>
      <c r="AA77" s="3">
        <f>4468.1+(883.7-331.7)+(-6.836193+(-1.352061--0.507501))+0-632.7--0.968031000000037</f>
        <v>4380.6872780000012</v>
      </c>
      <c r="AB77" s="3">
        <f>4535.4+(1006.4-331)+(-9.252216+(-2.053056--0.67524))+0-592.6--1.20890399999997</f>
        <v>4608.778871999999</v>
      </c>
      <c r="AC77" s="3">
        <f>4506.9+(1259.9-422.7)+(-11.492595+(-3.212745--1.077885))+0-564.3--1.43896499999992</f>
        <v>4767.6115099999997</v>
      </c>
      <c r="AD77">
        <v>4396.7999999999993</v>
      </c>
      <c r="AE77" s="3">
        <f>4790+(698.7-407.3)+(0+(0-0))+0-684.6-0</f>
        <v>4396.7999999999993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4055.2+(1843-367.9)+(-6.204456+(-2.81979--0.562887))+0-662.6--1.01377800000004</f>
        <v>4860.2524189999995</v>
      </c>
      <c r="G78" s="3">
        <f>3980.1+(1753.9-324.1)+(-4.059702+(-1.788978--0.330582))+0-617.9--0.630258000000098</f>
        <v>4787.1121600000006</v>
      </c>
      <c r="H78" s="3">
        <f>3554.4+(2036.6-271.9)+(-3.625488+(-2.077332--0.277338))+0-632.8--0.645456000000101</f>
        <v>4681.5199740000007</v>
      </c>
      <c r="I78" s="3">
        <f>3368.2+(2092.9-282.3)+(1.717782+(1.067379-0.143973))+0-647-0.329969999999934</f>
        <v>4534.111218</v>
      </c>
      <c r="J78" s="3">
        <f>3098.1+(2206.1-269.6)+(-7.900155+(-5.625555--0.68748))+0-579--1.47644999999992</f>
        <v>4444.2382200000002</v>
      </c>
      <c r="K78" s="3">
        <f>3052.9+(2179.9-280.6)+(-10.898853+(-7.782243--1.001742))+0-614.3--2.19305100000001</f>
        <v>4322.4136970000009</v>
      </c>
      <c r="L78" s="3">
        <f>3017.9+(1845-281)+(3.078258+(1.8819-0.28662))+0-608.3-0.620466000000097</f>
        <v>3977.6530719999992</v>
      </c>
      <c r="M78" s="3">
        <f>3186.4+(1410.5-266.1)+(0+(0-0))+0-530.6-0</f>
        <v>3800.2000000000003</v>
      </c>
      <c r="N78" s="3">
        <f>3268.4+(1468-280.4)+(0+(0-0))+0-688.9-0</f>
        <v>3767.1</v>
      </c>
      <c r="O78" s="3">
        <f>3453.7+(1222.8-280.6)+(1.761387+(0.623628-0.143106))+0-611.9-0.312068999999938</f>
        <v>3785.9298399999998</v>
      </c>
      <c r="P78" s="3">
        <f>3968+(934.7-478.2)+(4.04736+(0.953394-0.487764))+0-625.8-0.6383160000001</f>
        <v>3802.574674</v>
      </c>
      <c r="Q78" s="3">
        <f>4757.3+(964.3-984.1)+(2.426223+(0.491793-0.501891))+0-581.4-0.296513999999941</f>
        <v>4158.2196110000004</v>
      </c>
      <c r="R78" s="3">
        <f>5510.4+(924.3-875.6)+(2.810304+(0.471393-0.446556))+0-630.6-0.321605999999936</f>
        <v>4931.0135349999991</v>
      </c>
      <c r="S78" s="3">
        <f>5376.7+(1084.6-697.3)+(-5.484234+(-1.106292--0.711246))+0-654.7--0.667794000000104</f>
        <v>5104.088514</v>
      </c>
      <c r="T78" s="3">
        <f>5761.1+(1034-922.8)+(-2.938161+(-0.52734--0.470628))+0-583.7--0.297686999999941</f>
        <v>5285.9028140000009</v>
      </c>
      <c r="U78" s="3">
        <f>5670.5+(1110.5-914.4)+(-11.56782+(-2.26542--1.865376))+0-569.8--1.16239199999998</f>
        <v>5285.9945280000002</v>
      </c>
      <c r="V78" s="3">
        <f>5367.8+(1285.9-733.1)+(-19.163046+(-4.590663--2.617167))+0-696.1--2.48507700000001</f>
        <v>5205.8485350000001</v>
      </c>
      <c r="W78" s="3">
        <f>4677.8+(983.4-360.5)+(-7.157034+(-1.504602--0.551565))+0-489.7--0.749241000000028</f>
        <v>4803.6391700000004</v>
      </c>
      <c r="X78" s="3">
        <f>3364.1+(1788.8-287.6)+(-8.578455+(-4.56144--0.73338))+0-529.5--1.35022499999992</f>
        <v>4324.7437099999997</v>
      </c>
      <c r="Y78" s="3">
        <f>3094.3+(1529.6-264.8)+(-4.734279+(-2.340288--0.405144))+0-517.4--0.79162200000003</f>
        <v>3835.8221990000002</v>
      </c>
      <c r="Z78" s="3">
        <f>3408.3+(1433.4-259.5)+(-3.476466+(-1.462068--0.26469))+0-553.8--0.564876000000088</f>
        <v>4024.2910320000005</v>
      </c>
      <c r="AA78" s="3">
        <f>4389+(1116-272.5)+(-8.95356+(-2.27664--0.5559))+0-581.8--1.18687199999997</f>
        <v>4641.2125720000004</v>
      </c>
      <c r="AB78" s="3">
        <f>3802.1+(1853.7-261.1)+(-7.756284+(-3.781548--0.532644))+0-513.9--1.04835599999998</f>
        <v>4870.8431680000003</v>
      </c>
      <c r="AC78" s="3">
        <f>3558.3+(2356.4-262.7)+(-5.444199+(-3.605292--0.401931))+0-584.1--0.893673000000034</f>
        <v>5060.1461129999989</v>
      </c>
      <c r="AD78">
        <v>4714.0999999999995</v>
      </c>
      <c r="AE78" s="3">
        <f>4748+(929.7-339.5)+(0+(0-0))+0-624.1-0</f>
        <v>4714.0999999999995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3211.9+(2754.1-258.4)+(-8.190345+(-7.022955--0.65892))+0-546.3--1.39306499999992</f>
        <v>5148.1386850000008</v>
      </c>
      <c r="G79" s="3">
        <f>3078.8+(2759.6-239.3)+(-6.280752+(-5.629584--0.488172))+0-533.7--1.08874799999998</f>
        <v>5055.0665840000011</v>
      </c>
      <c r="H79" s="3">
        <f>3033.2+(2721.7-259.8)+(-3.093864+(-2.776134--0.264996))+0-549.6--0.560592000000088</f>
        <v>4940.4555899999987</v>
      </c>
      <c r="I79" s="3">
        <f>2937.9+(2715.6-256.7)+(-7.491645+(-6.92478--0.654585))+0-572.7--1.46038499999992</f>
        <v>4811.7985450000006</v>
      </c>
      <c r="J79" s="3">
        <f>2965.8+(2650.2-249.4)+(-7.56279+(-6.75801--0.63597))+0-642.2--1.63760999999991</f>
        <v>4712.3527800000002</v>
      </c>
      <c r="K79" s="3">
        <f>2938.8+(2613.3-257.8)+(-7.49394+(-6.663915--0.65739))+0-658.2--1.6784099999999</f>
        <v>4624.2779449999998</v>
      </c>
      <c r="L79" s="3">
        <f>2957.4+(2058-248)+(1.508274+(1.04958-0.12648))+0-541.6-0.276215999999945</f>
        <v>4227.9551579999988</v>
      </c>
      <c r="M79" s="3">
        <f>3256.1+(1611.8-260.8)+(0+(0-0))+0-558-0</f>
        <v>4049.1000000000004</v>
      </c>
      <c r="N79" s="3">
        <f>3350.3+(1564.2-258.1)+(-3.417306+(-1.595484--0.263262))+0-675.5--0.689010000000108</f>
        <v>3976.8394819999994</v>
      </c>
      <c r="O79" s="3">
        <f>3218.8+(1696.3-249.5)+(-3.283176+(-1.730226--0.25449))+0-608.4--0.620568000000097</f>
        <v>4053.0616560000003</v>
      </c>
      <c r="P79" s="3">
        <f>3718.8+(1328.4-306.5)+(-5.689764+(-2.032452--0.468945))+0-562.8--0.861084000000032</f>
        <v>4171.5078130000011</v>
      </c>
      <c r="Q79" s="3">
        <f>4638.3+(1023.6-529.4)+(2.365533+(0.522036-0.269994))+0-536.2-0.273461999999946</f>
        <v>4598.6441130000003</v>
      </c>
      <c r="R79" s="3">
        <f>5469.6+(881-755.9)+(5.578992+(0.89862-0.771018))+0-518.6-0.528972000000083</f>
        <v>5081.2776220000005</v>
      </c>
      <c r="S79" s="3">
        <f>5572.1+(1065.6-778.2)+(-5.683542+(-1.086912--0.793764))+0-462.3--0.471546000000074</f>
        <v>5391.6948559999992</v>
      </c>
      <c r="T79" s="3">
        <f>6108+(968.9-967.8)+(-3.11508+(-0.494139--0.493578))+0-600--0.305999999999939</f>
        <v>5506.2903589999996</v>
      </c>
      <c r="U79" s="3">
        <f>6344.2+(725.5-990.2)+(-3.235542+(-0.370005--0.505002))+0-535.8--0.273257999999946</f>
        <v>5540.8727129999997</v>
      </c>
      <c r="V79" s="3">
        <f>5973.2+(782.5-797)+(-6.092664+(-0.79815--0.81294))+0-551.6--0.562632000000088</f>
        <v>5401.584758</v>
      </c>
      <c r="W79" s="3">
        <f>4758.3+(1356.1-385.4)+(-7.280199+(-2.074833--0.589662))+0-569.8--0.871794000000033</f>
        <v>5151.3064239999994</v>
      </c>
      <c r="X79" s="3">
        <f>3295+(2094.2-233.9)+(-8.40225+(-5.34021--0.596445))+0-491.1--1.25230499999993</f>
        <v>4652.3062899999986</v>
      </c>
      <c r="Y79" s="3">
        <f>3061.1+(1995.6-254.3)+(-6.244644+(-4.071024--0.518772))+0-620.3--1.26541199999997</f>
        <v>4173.5685159999994</v>
      </c>
      <c r="Z79" s="3">
        <f>3541.7+(1589.4-259.8)+(0+(0-0))+0-564.7-0</f>
        <v>4306.6000000000004</v>
      </c>
      <c r="AA79" s="3">
        <f>3644.8+(2154.3-256.5)+(-3.717696+(-2.197386--0.26163))+0-621.3--0.633726000000099</f>
        <v>4916.2802740000006</v>
      </c>
      <c r="AB79" s="3">
        <f>3690.2+(2294.2-251.8)+(-5.646006+(-3.510126--0.385254))+0-655.3--1.00260900000004</f>
        <v>5069.5317309999991</v>
      </c>
      <c r="AC79" s="3">
        <f>3534.6+(2418.7-247.4)+(-1.802646+(-1.233537--0.126174))+0-535.6--0.273155999999946</f>
        <v>5167.6631469999993</v>
      </c>
      <c r="AD79">
        <v>4913</v>
      </c>
      <c r="AE79" s="3">
        <f>3856+(1871.2-250.9)+(0+(0-0))+0-563.3-0</f>
        <v>4913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3228.6+(2781.3-226.5)+(-1.646586+(-1.418463--0.115515))+0-559.9--0.285548999999943</f>
        <v>5220.8360149999999</v>
      </c>
      <c r="G80" s="3">
        <f>3233.2+(2706.5-238.1)+(-3.297864+(-2.76063--0.242862))+0-593--0.604860000000095</f>
        <v>5103.3892280000009</v>
      </c>
      <c r="H80" s="3">
        <f>3181.6+(2662.9-263.4)+(-3.245232+(-2.716158--0.268668))+0-592.5--0.604350000000094</f>
        <v>4983.5116280000011</v>
      </c>
      <c r="I80" s="3">
        <f>3019.4+(2637.1-242.2)+(-9.239364+(-8.069526--0.741132))+0-522.1--1.59762600000006</f>
        <v>4877.2298679999994</v>
      </c>
      <c r="J80" s="3">
        <f>2980.8+(2576-236.7)+(1.520208+(1.31376-0.120717))+0-534.6-0.272645999999946</f>
        <v>4787.9406049999998</v>
      </c>
      <c r="K80" s="3">
        <f>2833.3+(2693.7-244.2)+(-2.889966+(-2.747574--0.249084))+0-619.4--0.631788000000099</f>
        <v>4658.6433320000006</v>
      </c>
      <c r="L80" s="3">
        <f>2819+(2348.9-263.8)+(-2.87538+(-2.395878--0.269076))+0-649.4--0.662388000000104</f>
        <v>4250.3602060000003</v>
      </c>
      <c r="M80" s="3">
        <f>3132.8+(1765.6-270.1)+(3.195456+(1.800912-0.275502))+0-582.2-0.593844000000093</f>
        <v>4050.227022</v>
      </c>
      <c r="N80" s="3">
        <f>3322.4+(1551.8-274.8)+(5.083272+(2.374254-0.420444))+0-634.3-0.970479000000037</f>
        <v>3971.1666029999992</v>
      </c>
      <c r="O80" s="3">
        <f>3073.4+(1702.7-269.2)+(1.567434+(0.868377-0.137292))+0-513.8-0.262037999999948</f>
        <v>3995.1364809999995</v>
      </c>
      <c r="P80" s="3">
        <f>3584.9+(1381.4-246)+(1.828299+(0.704514-0.12546))+0-544.3-0.277592999999945</f>
        <v>4178.1297599999998</v>
      </c>
      <c r="Q80" s="3">
        <f>4630.8+(980.1-574.7)+(0+(0-0))+0-529.2-0</f>
        <v>4507</v>
      </c>
      <c r="R80" s="3">
        <f>5393.9+(846-814)+(2.750889+(0.43146-0.41514))+0-532.1-0.271370999999946</f>
        <v>4896.2958379999991</v>
      </c>
      <c r="S80" s="3">
        <f>5798.8+(944.4-785)+(-8.872164+(-1.444932--1.20105))+0-570.7--0.873171000000033</f>
        <v>5379.2571250000001</v>
      </c>
      <c r="T80" s="3">
        <f>6316.5+(916.1-1048.8)+(6.44283+(0.934422-1.069776))+0-636.6-0.649332000000101</f>
        <v>5552.8581439999998</v>
      </c>
      <c r="U80" s="3">
        <f>6270.2+(868.9-1095.4)+(-12.791208+(-1.772556--2.234616))+0-453.8--0.92575199999998</f>
        <v>5578.4966039999999</v>
      </c>
      <c r="V80" s="3">
        <f>5880.9+(933-832.2)+(-8.997777+(-1.42749--1.273266))+0-543.2--0.831096000000031</f>
        <v>5430.1790949999995</v>
      </c>
      <c r="W80" s="3">
        <f>4877.1+(1324.2-471.2)+(-4.974642+(-1.350684--0.480624))+0-618.1--0.630462000000099</f>
        <v>5106.7857599999998</v>
      </c>
      <c r="X80" s="3">
        <f>3654.2+(1934.6-253.5)+(-14.909136+(-7.893168--1.03428))+0-627.3--2.55938399999995</f>
        <v>4688.7913599999993</v>
      </c>
      <c r="Y80" s="3">
        <f>3311.7+(1701.5-255.9)+(-3.377934+(-1.73553--0.261018))+0-532.8--0.543456000000085</f>
        <v>4220.1910099999996</v>
      </c>
      <c r="Z80" s="3">
        <f>3558.4+(1671.1-223.4)+(-7.259136+(-3.409044--0.455736))+0-634.4--1.29417599999997</f>
        <v>4362.7817320000013</v>
      </c>
      <c r="AA80" s="3">
        <f>3921.6+(1798.5-240.1)+(-10.00008+(-4.586175--0.612255))+0-585--1.49174999999992</f>
        <v>4882.51775</v>
      </c>
      <c r="AB80" s="3">
        <f>3956.2+(2001.7-260)+(-8.070648+(-4.083468--0.5304))+0-605.5--1.23521999999997</f>
        <v>5082.0115039999991</v>
      </c>
      <c r="AC80" s="3">
        <f>4103.3+(1991.7-256.2)+(-8.370732+(-4.063068--0.522648))+0-611.7--1.24786799999997</f>
        <v>5216.4367160000011</v>
      </c>
      <c r="AD80">
        <v>4997</v>
      </c>
      <c r="AE80" s="3">
        <f>4070+(1805.7-272.2)+(0+(0-0))+0-606.5-0</f>
        <v>4997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3820+(2298-250.5)+(0+(0-0))+0-598.6-0</f>
        <v>5268.9</v>
      </c>
      <c r="G81" s="3">
        <f>3895+(2015.7-246.7)+(-1.98645+(-1.028007--0.125817))+0-497.2--0.25357199999995</f>
        <v>5164.1649319999997</v>
      </c>
      <c r="H81" s="3">
        <f>3712+(2183.5-265.9)+(1.89312+(1.113585-0.135609))+0-579.5-0.295544999999941</f>
        <v>5052.6755510000003</v>
      </c>
      <c r="I81" s="3">
        <f>3590.4+(2171.7-259.4)+(-1.831104+(-1.107567--0.132294))+0-560.3--0.285752999999943</f>
        <v>4939.8793759999999</v>
      </c>
      <c r="J81" s="3">
        <f>3395.8+(2296.5-266.6)+(-1.731858+(-1.171215--0.135966))+0-589.5--0.30064499999994</f>
        <v>4833.7335380000013</v>
      </c>
      <c r="K81" s="3">
        <f>3287.1+(2364.1-265.5)+(-8.382105+(-6.028455--0.677025))+0-676.3--1.7245649999999</f>
        <v>4697.3910299999989</v>
      </c>
      <c r="L81" s="3">
        <f>3129.5+(2112.5-256.4)+(-3.19209+(-2.15475--0.261528))+0-631.6--0.644232000000101</f>
        <v>4349.5589199999995</v>
      </c>
      <c r="M81" s="3">
        <f>3072.5+(1864.4-249.5)+(3.13395+(1.901688-0.25449))+0-626.8-0.6393360000001</f>
        <v>4064.7418119999993</v>
      </c>
      <c r="N81" s="3">
        <f>3288.3+(1615.4-251.1)+(5.031099+(2.471562-0.384183))+0-626.9-0.959157000000036</f>
        <v>4031.8593210000004</v>
      </c>
      <c r="O81" s="3">
        <f>3502.5+(1354.6-260.8)+(0+(0-0))+0-596.9-0</f>
        <v>3999.4</v>
      </c>
      <c r="P81" s="3">
        <f>4119.1+(981.3-323.2)+(0+(0-0))+0-592.4-0</f>
        <v>4184.8000000000011</v>
      </c>
      <c r="Q81" s="3">
        <f>5178.9+(769.4-791.2)+(5.282478+(0.784788-0.807024))+0-591.5-0.603330000000094</f>
        <v>4570.2569119999998</v>
      </c>
      <c r="R81" s="3">
        <f>5974.6+(788.6-1129.2)+(-3.047046+(-0.402186--0.575892))+0-580.6--0.296105999999941</f>
        <v>5050.8227659999993</v>
      </c>
      <c r="S81" s="3">
        <f>5899.7+(1073.3-980)+(-12.035388+(-2.189532--1.9992))+0-689.8--1.40719199999997</f>
        <v>5292.3814719999991</v>
      </c>
      <c r="T81" s="3">
        <f>5873.7+(1141.5-907)+(-11.982348+(-2.32866--1.85028))+0-615.5--1.25561999999997</f>
        <v>5481.4948919999997</v>
      </c>
      <c r="U81" s="3">
        <f>5540.3+(1236.7-942.5)+(-2.825553+(-0.630717--0.480675))+0-451.3--0.230162999999954</f>
        <v>5380.4545680000001</v>
      </c>
      <c r="V81" s="3">
        <f>5203+(1410.4-681.6)+(-13.26765+(-3.59652--1.73808))+0-570.5--1.45477499999992</f>
        <v>5347.6286850000006</v>
      </c>
      <c r="W81" s="3">
        <f>4107.3+(1894.8-300.5)+(-4.189446+(-1.932696--0.30651))+0-621--0.633420000000099</f>
        <v>5075.4177880000007</v>
      </c>
      <c r="X81" s="3">
        <f>3176.4+(2291-248.8)+(-9.719784+(-7.01046--0.761328))+0-614.7--1.88098200000007</f>
        <v>4589.8120660000004</v>
      </c>
      <c r="Y81" s="3">
        <f>3190.2+(1668.5-266.7)+(-1.627002+(-0.850935--0.136017))+0-496.5--0.25321499999995</f>
        <v>4093.4112949999999</v>
      </c>
      <c r="Z81" s="3">
        <f>3395.9+(1579.5-250.9)+(-5.195727+(-2.416635--0.383877))+0-576.8--0.882504000000033</f>
        <v>4141.3540190000003</v>
      </c>
      <c r="AA81" s="3">
        <f>4088+(1518.9-272.4)+(-6.25464+(-2.323917--0.416772))+0-593--0.907290000000034</f>
        <v>4734.2455049999999</v>
      </c>
      <c r="AB81" s="3">
        <f>4187.8+(1541.8-261.9)+(-12.814668+(-4.717908--0.801414))+0-578.9--1.77143400000007</f>
        <v>4873.8402720000013</v>
      </c>
      <c r="AC81" s="3">
        <f>4375.9+(1480.9-257.6)+(-4.463418+(-1.510518--0.262752))+0-661.3--0.674526000000105</f>
        <v>4932.8633419999996</v>
      </c>
      <c r="AD81">
        <v>4707.6000000000004</v>
      </c>
      <c r="AE81" s="3">
        <f>4216+(1437.5-301.5)+(0+(0-0))+0-644.4-0</f>
        <v>4707.6000000000004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4278.3+(1685.1-277.2)+(-8.727732+(-3.437604--0.565488))+0-595.4--1.21461599999997</f>
        <v>5080.4147680000005</v>
      </c>
      <c r="G82" s="3">
        <f>4188.8+(1813.9-279.4)+(-10.68144+(-4.625445--0.71247))+0-660.3--1.6837649999999</f>
        <v>5050.0893500000002</v>
      </c>
      <c r="H82" s="3">
        <f>4296.4+(1620.9-269.9)+(-4.382328+(-1.653318--0.275298))+0-677.7--0.691254000000108</f>
        <v>4964.6309060000003</v>
      </c>
      <c r="I82" s="3">
        <f>4222.4+(1554.6-254.5)+(-2.153424+(-0.792846--0.129795))+0-692.5--0.35317499999993</f>
        <v>4827.5367000000006</v>
      </c>
      <c r="J82" s="3">
        <f>3636.3+(1902.3-262.3)+(-3.709026+(-1.940346--0.267546))+0-582.2--0.593844000000093</f>
        <v>4689.3120180000005</v>
      </c>
      <c r="K82" s="3">
        <f>3345.9+(2221.1-257)+(-8.532045+(-5.663805--0.65535))+0-718.5--1.8321749999999</f>
        <v>4579.7916749999995</v>
      </c>
      <c r="L82" s="3">
        <f>3069.6+(2019.6-253.2)+(0+(0-0))+0-560.8-0</f>
        <v>4275.2</v>
      </c>
      <c r="M82" s="3">
        <f>3208.7+(1754.4-250.6)+(1.636437+(0.894744-0.127806))+0-674.4-0.343943999999932</f>
        <v>4040.159431</v>
      </c>
      <c r="N82" s="3">
        <f>3461.9+(1269.4-255.8)+(-1.765569+(-0.647394--0.130458))+0-562.8--0.287027999999943</f>
        <v>3910.7045229999994</v>
      </c>
      <c r="O82" s="3">
        <f>3736.4+(986.4-257.4)+(-1.905564+(-0.503064--0.131274))+0-630.1--0.321350999999936</f>
        <v>3833.3439969999999</v>
      </c>
      <c r="P82" s="3">
        <f>3652.6+(1085.3-272.7)+(-1.862826+(-0.553503--0.139077))+0-573.2--0.292331999999942</f>
        <v>3890.0150800000001</v>
      </c>
      <c r="Q82" s="3">
        <f>4029.2+(944.3-319.1)+(2.054892+(0.481593-0.162741))+0-584-0.297839999999941</f>
        <v>4072.4759040000004</v>
      </c>
      <c r="R82" s="3">
        <f>4503.3+(1084.1-500.5)+(-2.296683+(-0.552891--0.255255))+0-673.3--0.343382999999932</f>
        <v>4411.349064</v>
      </c>
      <c r="S82" s="3">
        <f>4712+(1358-640.2)+(-4.80624+(-1.38516--0.653004))+0-645.2--0.658104000000103</f>
        <v>4779.7197080000005</v>
      </c>
      <c r="T82" s="3">
        <f>4612.2+(1510.1-510.9)+(-9.408888+(-3.080604--1.042236))+0-575.4--1.17381599999997</f>
        <v>5025.7265599999992</v>
      </c>
      <c r="U82" s="3">
        <f>4580.6+(1656.8-495.8)+(-7.008318+(-2.534904--0.758574))+0-650.4--0.995112000000038</f>
        <v>5083.4104640000005</v>
      </c>
      <c r="V82" s="3">
        <f>4714.9+(1440.4-473.8)+(-7.213797+(-2.203812--0.724914))+0-652.7--0.998631000000038</f>
        <v>5021.1059360000008</v>
      </c>
      <c r="W82" s="3">
        <f>4982.8+(849.8-495.8)+(-12.70614+(-2.16699--1.26429))+0-619.3--1.57921499999991</f>
        <v>4705.4703749999999</v>
      </c>
      <c r="X82" s="3">
        <f>4132+(925.3-269)+(-10.5366+(-2.359515--0.68595))+0-549.3--1.40071499999992</f>
        <v>4228.1905499999993</v>
      </c>
      <c r="Y82" s="3">
        <f>3091.3+(1574.1-268.8)+(-3.153126+(-1.605582--0.274176))+0-670.9--0.684318000000107</f>
        <v>3721.8997859999999</v>
      </c>
      <c r="Z82" s="3">
        <f>3419.7+(1253.9-258)+(1.744047+(0.639489-0.13158))+0-587.5-0.29962499999994</f>
        <v>3830.0523310000003</v>
      </c>
      <c r="AA82" s="3">
        <f>4233.5+(1282-343.7)+(-8.63634+(-2.61528--0.701148))+0-732.7--1.49470799999997</f>
        <v>4430.0442360000006</v>
      </c>
      <c r="AB82" s="3">
        <f>3894+(1648-276)+(-3.97188+(-1.68096--0.28152))+0-593.7--0.605574000000095</f>
        <v>4667.5342540000001</v>
      </c>
      <c r="AC82" s="3">
        <f>3734.5+(1945.9-250.9)+(-3.80919+(-1.984818--0.255918))+0-662.1--0.675342000000106</f>
        <v>4762.5372520000001</v>
      </c>
      <c r="AD82">
        <v>4439.9000000000005</v>
      </c>
      <c r="AE82" s="3">
        <f>4417+(1225.3-419.4)+(0+(0-0))+0-783-0</f>
        <v>4439.8999999999996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4042.1+(1823.1-254.3)+(-4.122942+(-1.859562--0.259386))+0-647.4--0.660348000000103</f>
        <v>4958.4372300000005</v>
      </c>
      <c r="G83" s="3">
        <f>4164.7+(1585.5-261.9)+(-10.619985+(-4.043025--0.667845))+0-635.7--1.62103499999991</f>
        <v>4840.2258699999993</v>
      </c>
      <c r="H83" s="3">
        <f>4101+(1503.7-240)+(-10.45755+(-3.834435--0.612))+0-635.9--1.62154499999991</f>
        <v>4716.7415600000004</v>
      </c>
      <c r="I83" s="3">
        <f>3782.8+(1727-203.4)+(1.929228+(0.88077-0.103734))+0-686.7-0.35021699999993</f>
        <v>4622.056047</v>
      </c>
      <c r="J83" s="3">
        <f>3493.2+(1891.3-216.3)+(0+(0-0))+0-652.6-0</f>
        <v>4515.5999999999995</v>
      </c>
      <c r="K83" s="3">
        <f>3213.5+(2095.3-226.2)+(-9.83331+(-6.411618--0.692172))+0-692.9--2.12027400000008</f>
        <v>4376.2675180000006</v>
      </c>
      <c r="L83" s="3">
        <f>2917.6+(2059.7-252.8)+(4.463928+(3.151341-0.386784))+0-665.2-1.01775600000004</f>
        <v>4065.5107289999996</v>
      </c>
      <c r="M83" s="3">
        <f>3091.4+(1735.9-265.6)+(-4.729842+(-2.655927--0.406368))+0-666.1--1.01913300000004</f>
        <v>3889.6397320000015</v>
      </c>
      <c r="N83" s="3">
        <f>2810.8+(1793.9-222.3)+(2.867016+(1.829778-0.226746))+0-509.7-0.519894000000081</f>
        <v>3876.6501540000008</v>
      </c>
      <c r="O83" s="3">
        <f>3127.4+(1421.5-236.4)+(3.189948+(1.44993-0.241128))+0-513.8-0.524076000000082</f>
        <v>3802.574674</v>
      </c>
      <c r="P83" s="3">
        <f>3429+(1187.9-257.7)+(5.24637+(1.817487-0.394281))+0-653-0.999090000000038</f>
        <v>3711.8704859999998</v>
      </c>
      <c r="Q83" s="3">
        <f>3985.8+(1035.2-400.2)+(0+(0-0))+0-508.8-0</f>
        <v>4112</v>
      </c>
      <c r="R83" s="3">
        <f>4676.2+(874.6-418.8)+(2.384862+(0.446046-0.213588))+0-576.2-0.293861999999942</f>
        <v>4558.1234580000009</v>
      </c>
      <c r="S83" s="3">
        <f>5093.1+(1013.3-537.5)+(-2.597481+(-0.516783--0.274125))+0-577.2--0.294371999999941</f>
        <v>4989.1542330000011</v>
      </c>
      <c r="T83" s="3">
        <f>5682.4+(830.7-692.2)+(-2.898024+(-0.423657--0.353022))+0-540.7--0.275756999999945</f>
        <v>5277.507098</v>
      </c>
      <c r="U83" s="3">
        <f>5670.2+(938.7-651.6)+(-5.783604+(-0.957474--0.664632))+0-645--0.657900000000103</f>
        <v>5306.8814540000003</v>
      </c>
      <c r="V83" s="3">
        <f>5201+(972.7-532.6)+(-5.30502+(-0.992154--0.543252))+0-524--0.534480000000084</f>
        <v>5111.8805580000007</v>
      </c>
      <c r="W83" s="3">
        <f>4127.3+(1679.5-293.6)+(-8.419692+(-3.42618--0.598944))+0-678.9--1.38495599999997</f>
        <v>4824.4380280000014</v>
      </c>
      <c r="X83" s="3">
        <f>3538.4+(1783.7-247.6)+(-9.02292+(-4.548435--0.63138))+0-545.6--1.39127999999992</f>
        <v>4517.3513049999992</v>
      </c>
      <c r="Y83" s="3">
        <f>3460.4+(1518.7-279.1)+(-5.294412+(-2.323611--0.427023))+0-658.4--1.00735200000004</f>
        <v>4035.4163520000002</v>
      </c>
      <c r="Z83" s="3">
        <f>3750.7+(1077.9-318.8)+(-5.738571+(-1.649187--0.487764))+0-586.4--0.897192000000034</f>
        <v>3917.3971979999997</v>
      </c>
      <c r="AA83" s="3">
        <f>4384.7+(1176.3-388.6)+(-6.708591+(-1.799739--0.594558))+0-693.7--1.06136100000004</f>
        <v>4471.847589</v>
      </c>
      <c r="AB83" s="3">
        <f>4042.8+(1489.4-287.3)+(-2.061828+(-0.759594--0.146523))+0-547.1--0.279020999999945</f>
        <v>4695.4041220000008</v>
      </c>
      <c r="AC83" s="3">
        <f>4041.5+(1663.7-259.9)+(-4.12233+(-1.696974--0.265098))+0-622.6--0.635052000000099</f>
        <v>4817.7808460000006</v>
      </c>
      <c r="AD83">
        <v>4626.0999999999995</v>
      </c>
      <c r="AE83" s="3">
        <f>4480+(1288.5-390.3)+(0+(0-0))+0-752.1-0</f>
        <v>4626.0999999999995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4009.7+(1712.6-259.9)+(-2.044947+(-0.873426--0.132549))+0-580.9--0.296258999999941</f>
        <v>4879.0104350000001</v>
      </c>
      <c r="G84" s="3">
        <f>3608.4+(2141.3-271.4)+(-5.520852+(-3.276189--0.415242))+0-670.6--1.02601800000004</f>
        <v>4800.3442190000005</v>
      </c>
      <c r="H84" s="3">
        <f>3374.5+(2192.8-260.7)+(-1.720995+(-1.118328--0.132957))+0-628.5--0.320534999999936</f>
        <v>4675.7141689999999</v>
      </c>
      <c r="I84" s="3">
        <f>3369.8+(2156.3-266.9)+(-5.155794+(-3.299139--0.408357))+0-673.4--1.03030200000004</f>
        <v>4578.7837260000015</v>
      </c>
      <c r="J84" s="3">
        <f>3099.6+(2265.3-263.9)+(-6.323184+(-4.621212--0.538356))+0-626.8--1.27867199999997</f>
        <v>4465.0726320000003</v>
      </c>
      <c r="K84" s="3">
        <f>3062.5+(2239.5-262.8)+(-14.056875+(-10.279305--1.206252))+0-688.7--3.16113300000012</f>
        <v>4330.5312050000002</v>
      </c>
      <c r="L84" s="3">
        <f>3063.7+(1799.2-250.3)+(-12.499896+(-7.340736--1.021224))+0-661.7--2.69973599999994</f>
        <v>3934.7803280000003</v>
      </c>
      <c r="M84" s="3">
        <f>3253.6+(1386.2-276.4)+(-3.318672+(-1.413924--0.281928))+0-563.8--0.57507600000009</f>
        <v>3795.7244079999991</v>
      </c>
      <c r="N84" s="3">
        <f>3233.3+(1419.5-265.6)+(-6.595932+(-2.89578--0.541824))+0-626.9--1.27887599999997</f>
        <v>3752.6289880000004</v>
      </c>
      <c r="O84" s="3">
        <f>3172.6+(1435.4-296.9)+(-4.854078+(-2.196162--0.454257))+0-601.6--0.920448000000035</f>
        <v>3703.8244650000001</v>
      </c>
      <c r="P84" s="3">
        <f>3400.4+(1267.9-279.3)+(-3.468408+(-1.293258--0.284886))+0-615.5--0.627810000000098</f>
        <v>3769.65103</v>
      </c>
      <c r="Q84" s="3">
        <f>3682.6+(1221.1-364.4)+(-1.878126+(-0.622761--0.185844))+0-505.3--0.257702999999949</f>
        <v>4031.9426600000002</v>
      </c>
      <c r="R84" s="3">
        <f>4522.7+(1123.3-556.6)+(-6.919731+(-1.718649--0.851598))+0-568.7--0.870111000000033</f>
        <v>4513.7833289999999</v>
      </c>
      <c r="S84" s="3">
        <f>4713.1+(1260.4-480.7)+(-7.211043+(-1.928412--0.735471))+0-527.7--0.807381000000031</f>
        <v>4957.5033970000004</v>
      </c>
      <c r="T84" s="3">
        <f>5194.1+(1246.2-469.4)+(2.648991+(0.635562-0.239394))+0-472.6-0.241025999999952</f>
        <v>5501.1041330000007</v>
      </c>
      <c r="U84" s="3">
        <f>5124.7+(1171.5-602.2)+(-13.067985+(-2.987325--1.53561))+0-448.8--1.14443999999993</f>
        <v>5231.82474</v>
      </c>
      <c r="V84" s="3">
        <f>4895.6+(1236.5-512.5)+(0+(0-0))+0-535.7-0</f>
        <v>5083.9000000000005</v>
      </c>
      <c r="W84" s="3">
        <f>4726+(1178.5-448.2)+(-4.82052+(-1.20207--0.457164))+0-650.6--0.663612000000104</f>
        <v>4800.798186</v>
      </c>
      <c r="X84" s="3">
        <f>3882.9+(1352.3-484.1)+(-5.940837+(-2.069019--0.740673))+0-515.2--0.78825600000003</f>
        <v>4229.419073</v>
      </c>
      <c r="Y84" s="3">
        <f>3268+(1447.3-312.2)+(-1.66668+(-0.738123--0.159222))+0-595.9--0.30390899999994</f>
        <v>3805.2583279999999</v>
      </c>
      <c r="Z84" s="3">
        <f>3749.2+(1012.5-341.4)+(-1.912092+(-0.516375--0.174114))+0-458.5--0.233834999999953</f>
        <v>3959.7794819999999</v>
      </c>
      <c r="AA84" s="3">
        <f>4593.5+(936.2-435.1)+(-9.37074+(-1.909848--0.887604))+0-628--1.28111999999997</f>
        <v>4457.4881359999999</v>
      </c>
      <c r="AB84" s="3">
        <f>4448.3+(1015.4-373.2)+(-2.268633+(-0.517854--0.190332))+0-460.3--0.234752999999953</f>
        <v>4627.8385979999994</v>
      </c>
      <c r="AC84" s="3">
        <f>4489+(1144.5-298.4)+(2.28939+(0.583695-0.152184))+0-594-0.30293999999994</f>
        <v>4743.5179610000005</v>
      </c>
      <c r="AD84">
        <v>4649.1000000000004</v>
      </c>
      <c r="AE84" s="3">
        <f>4764+(932.2-399.9)+(0+(0-0))+0-647.2-0</f>
        <v>4649.1000000000004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4322+(1537.8-276.4)+(-8.81688+(-3.137112--0.563856))+0-661--1.34843999999997</f>
        <v>4912.3583039999994</v>
      </c>
      <c r="G85" s="3">
        <f>4048.7+(1539-263.1)+(-4.129674+(-1.56978--0.268362))+0-565.7--0.57701400000009</f>
        <v>4754.0459220000012</v>
      </c>
      <c r="H85" s="3">
        <f>3436.4+(1876.2-258.5)+(-7.010256+(-3.827448--0.52734))+0-611.5--1.24745999999997</f>
        <v>4433.537096</v>
      </c>
      <c r="I85" s="3">
        <f>2948.6+(2282.9-255)+(-7.51893+(-5.821395--0.65025))+0-490.2--1.25000999999993</f>
        <v>4474.8599349999995</v>
      </c>
      <c r="J85" s="3">
        <f>3007.8+(2254.5-243)+(3.067956+(2.29959-0.24786))+0-682.2-0.695844000000109</f>
        <v>4341.5238420000005</v>
      </c>
      <c r="K85" s="3">
        <f>2960.6+(2079.4-239.1)+(-7.54953+(-5.30247--0.609705))+0-554.3--1.41346499999992</f>
        <v>4235.7711699999991</v>
      </c>
      <c r="L85" s="3">
        <f>2921.4+(1796.6-241.9)+(-7.44957+(-4.58133--0.616845))+2.3-616.2--1.57130999999991</f>
        <v>3852.3572550000004</v>
      </c>
      <c r="M85" s="3">
        <f>3103.9+(1346.9-339.8)+(3.165978+(1.373838-0.346596))+5-475.4-0.484908000000076</f>
        <v>3644.3083120000001</v>
      </c>
      <c r="N85" s="3">
        <f>3436.2+(1149.2-390.4)+(0+(0-0))+2.7-610.2-0</f>
        <v>3587.5</v>
      </c>
      <c r="O85" s="3">
        <f>3500.2+(1049.4-482.3)+(1.785102+(0.535194-0.245973))+0-504.6-0.257345999999949</f>
        <v>3564.5169770000002</v>
      </c>
      <c r="P85" s="3">
        <f>3555.1+(1266.2-516.4)+(-3.626202+(-1.291524--0.526728))+0-520--0.530400000000083</f>
        <v>3781.0394019999999</v>
      </c>
      <c r="Q85" s="3">
        <f>3798.9+(1085.3-486.1)+(1.937439+(0.553503-0.247911))+0-530.5-0.270554999999946</f>
        <v>3869.5724760000003</v>
      </c>
      <c r="R85" s="3">
        <f>4364.5+(954.4-538.1)+(-4.45179+(-0.973488--0.548862))+0-565.1--0.57640200000009</f>
        <v>4211.3999859999994</v>
      </c>
      <c r="S85" s="3">
        <f>4687.5+(877.9-165.2)+(-2.390625+(-0.447729--0.084252))+0-699--0.356489999999929</f>
        <v>4698.8023880000001</v>
      </c>
      <c r="T85" s="3">
        <f>5405.5+(746.9-513.6)+(0+(0-0))+0-667.4-0</f>
        <v>4971.4000000000005</v>
      </c>
      <c r="U85" s="3">
        <f>5500.2+(677.4-462.4)+(-8.415306+(-1.036422--0.707472))+0-679.7--1.03994100000004</f>
        <v>5027.795685</v>
      </c>
      <c r="V85" s="3">
        <f>5202.2+(763.6-300.2)+(0+(0-0))+0-715.1-0</f>
        <v>4950.4999999999991</v>
      </c>
      <c r="W85" s="3">
        <f>4212.9+(1175.6-113.7)+(-4.297158+(-1.199112--0.115974))+0-649.3--0.662286000000104</f>
        <v>4620.7819899999986</v>
      </c>
      <c r="X85" s="3">
        <f>3480.2+(1440.8-232.6)+(-7.099608+(-2.939232--0.474504))+0-597.7--1.21930799999997</f>
        <v>4082.3549719999996</v>
      </c>
      <c r="Y85" s="3">
        <f>3217.4+(1321.7-411.2)+(-3.281748+(-1.348134--0.419424))+0-533.8--0.544476000000085</f>
        <v>3590.4340179999999</v>
      </c>
      <c r="Z85" s="3">
        <f>3823.3+(914.6-414.9)+(-1.949883+(-0.466446--0.211599))+0-634.6--0.323645999999936</f>
        <v>3686.5189159999995</v>
      </c>
      <c r="AA85" s="3">
        <f>4699.7+(832.3-622.3)+(-7.190541+(-1.273419--0.952119))+0-685--1.04805000000004</f>
        <v>4218.2362090000006</v>
      </c>
      <c r="AB85" s="3">
        <f>4669.7+(924.5-529.8)+(-11.907735+(-2.357475--1.35099))+0-583--1.48664999999992</f>
        <v>4469.9724299999998</v>
      </c>
      <c r="AC85" s="3">
        <f>4583.7+(1083.9-406.3)+(-4.675374+(-1.105578--0.414426))+0-649.9--0.662898000000104</f>
        <v>4606.6963720000012</v>
      </c>
      <c r="AD85">
        <v>4421.8</v>
      </c>
      <c r="AE85" s="3">
        <f>4895+(837-661.3)+(0+(0-0))+0-648.9-0</f>
        <v>4421.8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4476.8+(1269.6-343.9)+(-6.849504+(-1.942488--0.526167))+0-657.3--1.00566900000004</f>
        <v>4737.9398439999995</v>
      </c>
      <c r="G86" s="3">
        <f>4104.6+(1547.8-338.4)+(-10.46673+(-3.94689--0.86292))+0-670.2--1.7090099999999</f>
        <v>4631.95831</v>
      </c>
      <c r="H86" s="3">
        <f>3365.2+(2189.4-328)+(-1.716252+(-1.116594--0.16728))+0-686.1--0.34991099999993</f>
        <v>4538.1843450000006</v>
      </c>
      <c r="I86" s="3">
        <f>3221.9+(2200.8-325)+(-6.572676+(-4.489632--0.663))+0-680.7--1.38862799999997</f>
        <v>4407.9893200000006</v>
      </c>
      <c r="J86" s="3">
        <f>3131.1+(2064.8-308.4)+(-7.984305+(-5.26524--0.78642))+0-581.9--1.48384499999992</f>
        <v>4294.6207199999999</v>
      </c>
      <c r="K86" s="3">
        <f>3115.2+(1962-316)+(-12.710016+(-8.00496--1.28928))+0-606.3--2.47370399999995</f>
        <v>4137.9480079999994</v>
      </c>
      <c r="L86" s="3">
        <f>2931.5+(1751.4-298.3)+(-4.485195+(-2.679642--0.456399))+0-633.8--0.969714000000037</f>
        <v>3745.0612760000004</v>
      </c>
      <c r="M86" s="3">
        <f>3239.3+(1353.5-334)+(1.652043+(0.690285-0.17034))+0-652-0.332519999999934</f>
        <v>3608.6394680000003</v>
      </c>
      <c r="N86" s="3">
        <f>3449.2+(1177.4-452.8)+(1.759092+(0.600474-0.230928))+0-590.9-0.30135899999994</f>
        <v>3584.7272790000002</v>
      </c>
      <c r="O86" s="3">
        <f>3445.5+(1228.9-551.1)+(1.757205+(0.626739-0.281061))+0-575.4-0.293453999999942</f>
        <v>3549.7094289999995</v>
      </c>
      <c r="P86" s="3">
        <f>3623.4+(1185-728.8)+(1.847934+(0.60435-0.371688))+0-484.7-0.247196999999951</f>
        <v>3596.7333990000002</v>
      </c>
      <c r="Q86" s="3">
        <f>4485.2+(1233-1102.6)+(2.287452+(0.62883-0.562326))+0-634.7-0.323696999999936</f>
        <v>3982.9302590000007</v>
      </c>
      <c r="R86" s="3">
        <f>5051.1+(1064.3-1075.2)+(2.576061+(0.542793-0.548352))+0-628.3-0.320432999999936</f>
        <v>4414.1500690000003</v>
      </c>
      <c r="S86" s="3">
        <f>5366.3+(848.4-761.8)+(-5.473626+(-0.865368--0.777036))+0-578.3--0.589866000000092</f>
        <v>4869.6279080000004</v>
      </c>
      <c r="T86" s="3">
        <f>5844.7+(724-1113.8)+(-2.980797+(-0.36924--0.568038))+0-499.6--0.254795999999949</f>
        <v>4952.7727969999996</v>
      </c>
      <c r="U86" s="3">
        <f>5918.5+(854.4-1220.1)+(-12.07374+(-1.742976--2.489004))+0-517--1.05467999999998</f>
        <v>5025.5269680000001</v>
      </c>
      <c r="V86" s="3">
        <f>5515+(968.5-937.7)+(0+(0-0))+0-671.5-0</f>
        <v>4874.3</v>
      </c>
      <c r="W86" s="3">
        <f>4454.3+(1270.4-603.8)+(-13.630158+(-3.887424--1.847628))+0-555.1--1.69860600000006</f>
        <v>4551.8286520000001</v>
      </c>
      <c r="X86" s="3">
        <f>3240.1+(1724.5-331.7)+(-11.567157+(-6.156465--1.184169))+0-645.5--2.30443500000001</f>
        <v>3973.1649819999993</v>
      </c>
      <c r="Y86" s="3">
        <f>3325.7+(1196.1-426)+(-8.480535+(-3.050055--1.0863))+0-481.5--1.22782499999993</f>
        <v>3605.0835349999998</v>
      </c>
      <c r="Z86" s="3">
        <f>3604.8+(1007.6-425.5)+(0+(0-0))+0-558.7-0</f>
        <v>3628.2000000000007</v>
      </c>
      <c r="AA86" s="3">
        <f>3947+(1233.3-392.3)+(-12.07782+(-3.773898--1.200438))+0-639--1.95534000000007</f>
        <v>4136.3040600000004</v>
      </c>
      <c r="AB86" s="3">
        <f>4156.3+(1148.4-443.9)+(-4.239426+(-1.171368--0.452778))+0-468--0.477360000000075</f>
        <v>4388.3193440000005</v>
      </c>
      <c r="AC86" s="3">
        <f>4502.1+(984.6-406.9)+(2.296071+(0.502146-0.207519))+0-682-0.347819999999931</f>
        <v>4400.0428780000002</v>
      </c>
      <c r="AD86">
        <v>4293</v>
      </c>
      <c r="AE86" s="3">
        <f>4084+(1205.5-382.9)+(0+(0-0))+0-613.6-0</f>
        <v>4293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3757.8+(1704.2-321.2)+(-9.58239+(-4.34571--0.81906))+0-590.3--1.50526499999991</f>
        <v>4538.8962249999995</v>
      </c>
      <c r="G87" s="3">
        <f>3853.2+(1647.1-334.6)+(-5.895396+(-2.520063--0.511938))+0-648--0.991440000000037</f>
        <v>4510.7879189999994</v>
      </c>
      <c r="H87" s="3">
        <f>3483.6+(1855.1-321.1)+(-3.553272+(-1.892202--0.327522))+0-609.3--0.621486000000097</f>
        <v>4403.8035340000006</v>
      </c>
      <c r="I87" s="3">
        <f>3142.2+(2046-320.8)+(-6.410088+(-4.17384--0.654432))+0-623.1--1.27112399999997</f>
        <v>4235.6416279999994</v>
      </c>
      <c r="J87" s="3">
        <f>3091.4+(1982.2-321.7)+(1.576614+(1.010922-0.164067))+0-639.4-0.326093999999935</f>
        <v>4114.5973750000003</v>
      </c>
      <c r="K87" s="3">
        <f>2942.5+(1999.3-331.1)+(-1.500675+(-1.019643--0.168861))+0-668.1--0.340730999999932</f>
        <v>3940.5892739999999</v>
      </c>
      <c r="L87" s="3">
        <f>2970.1+(1440.8-321.6)+(1.514751+(0.734808-0.164016))+0-581.5-0.296564999999941</f>
        <v>3509.5889779999998</v>
      </c>
      <c r="M87" s="3">
        <f>3010.7+(1183.2-319.4)+(1.535457+(0.603432-0.162894))+0-515-0.262649999999948</f>
        <v>3361.2133449999997</v>
      </c>
      <c r="N87" s="3">
        <f>3203.3+(1106.1-373.7)+(-1.633683+(-0.564111--0.190587))+0-599.8--0.305897999999939</f>
        <v>3334.1986910000001</v>
      </c>
      <c r="O87" s="3">
        <f>3340+(1099.8-444.4)+(-1.7034+(-0.560898--0.226644))+0-550.7--0.280856999999944</f>
        <v>3442.9432029999998</v>
      </c>
      <c r="P87" s="3">
        <f>3612.1+(927.6-635.5)+(-1.842171+(-0.473076--0.324105))+0-445.1--0.227000999999955</f>
        <v>3457.3358589999998</v>
      </c>
      <c r="Q87" s="3">
        <f>4270.6+(976.6-939.8)+(-6.534018+(-1.494198--1.437894))+0-640--0.979200000000037</f>
        <v>3661.7888780000008</v>
      </c>
      <c r="R87" s="3">
        <f>4752.9+(1033.3-1108.9)+(-2.423979+(-0.526983--0.565539))+0-583.3--0.297482999999941</f>
        <v>4091.9120599999992</v>
      </c>
      <c r="S87" s="3">
        <f>5258.6+(967.8-908.6)+(-5.363772+(-0.987156--0.926772))+0-518.3--0.528666000000083</f>
        <v>4794.6045100000001</v>
      </c>
      <c r="T87" s="3">
        <f>5552.2+(855.7-1063.4)+(-8.494866+(-1.309221--1.627002))+0-519.8--0.79529400000003</f>
        <v>4817.318209</v>
      </c>
      <c r="U87" s="3">
        <f>5534.2+(878.2-940.9)+(-14.11221+(-2.23941--2.399295))+0-524.3--1.33696499999992</f>
        <v>4934.5846399999991</v>
      </c>
      <c r="V87" s="3">
        <f>5335+(1007.5-855.5)+(-10.8834+(-2.0553--1.74522))+0-558.8--1.13995199999998</f>
        <v>4918.1464719999994</v>
      </c>
      <c r="W87" s="3">
        <f>4829.9+(968.7-691.3)+(-7.389747+(-1.482111--1.057689))+0-597.7--0.914481000000035</f>
        <v>4502.700311999999</v>
      </c>
      <c r="X87" s="3">
        <f>4016+(1185.1-512.1)+(-12.28896+(-3.626406--1.567026))+0-665--2.03490000000008</f>
        <v>4011.6865600000006</v>
      </c>
      <c r="Y87" s="3">
        <f>3472.5+(1080.7-376.7)+(-5.312925+(-1.653471--0.576351))+0-632.8--0.968184000000036</f>
        <v>3538.2781389999996</v>
      </c>
      <c r="Z87" s="3">
        <f>4245.8+(611.9-760.5)+(-2.165358+(-0.312069--0.387855))+0-617.3--0.314822999999937</f>
        <v>3478.1252509999999</v>
      </c>
      <c r="AA87" s="3">
        <f>4844+(728.5-905.9)+(-7.41132+(-1.114605--1.386027))+0-653--0.999090000000038</f>
        <v>4007.4591920000003</v>
      </c>
      <c r="AB87" s="3">
        <f>4866.3+(672.8-673.3)+(-4.963626+(-0.686256--0.686766))+0-603--0.615060000000096</f>
        <v>4258.4519440000004</v>
      </c>
      <c r="AC87" s="3">
        <f>4795.9+(733.9-451.3)+(-4.891818+(-0.748578--0.460326))+0-684.8--0.698496000000109</f>
        <v>4389.2184259999995</v>
      </c>
      <c r="AD87">
        <v>4096.7</v>
      </c>
      <c r="AE87" s="3">
        <f>4761+(849.2-820.3)+(0+(0-0))+0-693.2-0</f>
        <v>4096.7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4263.8+(1154.8-345.5)+(-6.523614+(-1.766844--0.528615))+0-571.3--0.874089000000033</f>
        <v>4494.9122459999999</v>
      </c>
      <c r="G88" s="3">
        <f>4091+(1408.4-349.3)+(-4.17282+(-1.436568--0.356286))+0-678.6--0.692172000000108</f>
        <v>4466.9390700000004</v>
      </c>
      <c r="H88" s="3">
        <f>3639.1+(1659.2-319.7)+(-9.279705+(-4.23096--0.815235))+0-628.3--1.60216499999991</f>
        <v>4339.2067350000007</v>
      </c>
      <c r="I88" s="3">
        <f>3448.2+(1732.8-303.9)+(0+(0-0))+0-635.3-0</f>
        <v>4241.8</v>
      </c>
      <c r="J88" s="3">
        <f>3209.1+(1739.3-308.6)+(-9.819846+(-5.322258--0.944316))+0-631.1--1.93116600000007</f>
        <v>3996.4333779999988</v>
      </c>
      <c r="K88" s="3">
        <f>3137.2+(1749.4-315)+(-7.99986+(-4.46097--0.80325))+0-607.7--1.54963499999991</f>
        <v>3953.7920550000003</v>
      </c>
      <c r="L88" s="3">
        <f>2981+(1592.1-320.2)+(-4.56093+(-2.435913--0.489906))+0-700.7--1.07207100000004</f>
        <v>3546.7651339999998</v>
      </c>
      <c r="M88" s="3">
        <f>3029.5+(1125-182.6)+(-4.635135+(-1.72125--0.279378))+0-594.5--0.909585000000034</f>
        <v>3372.2325780000001</v>
      </c>
      <c r="N88" s="3">
        <f>3028.3+(1055.9-66)+(-3.088866+(-1.077018--0.06732))+0-463--0.472260000000074</f>
        <v>3551.5736960000004</v>
      </c>
      <c r="O88" s="3">
        <f>3096.6+(842.2-81.7)+(-6.317064+(-1.718088--0.166668))+0-500--1.01999999999998</f>
        <v>3350.2515159999998</v>
      </c>
      <c r="P88" s="3">
        <f>3624+(629.3-172.1)+(1.84824+(0.320943-0.087771))+0-685-0.34934999999993</f>
        <v>3397.9320619999999</v>
      </c>
      <c r="Q88" s="3">
        <f>4156.2+(429.5-416.1)+(-4.239324+(-0.43809--0.424422))+0-557.4--0.568548000000089</f>
        <v>3608.5155559999998</v>
      </c>
      <c r="R88" s="3">
        <f>4781.1+(626.1-663.3)+(-2.438361+(-0.319311--0.338283))+0-569.8--0.290597999999942</f>
        <v>4171.9712090000003</v>
      </c>
      <c r="S88" s="3">
        <f>5316.2+(888.3-1044.7)+(-8.133786+(-1.359099--1.598391))+0-599.8--0.917694000000035</f>
        <v>4553.0231999999987</v>
      </c>
      <c r="T88" s="3">
        <f>5638.5+(1039.1-1181.3)+(-5.75127+(-1.059882--1.204926))+0-642.9--0.655758000000103</f>
        <v>4848.4495320000005</v>
      </c>
      <c r="U88" s="3">
        <f>5680.5+(1108.1-1189.8)+(-8.691165+(-1.695393--1.820394))+0-597.9--0.914787000000035</f>
        <v>4993.2486230000004</v>
      </c>
      <c r="V88" s="3">
        <f>5310.5+(1288.2-1014.6)+(-8.125065+(-1.970946--1.552338))+0-578.2--0.884646000000033</f>
        <v>4998.2409730000008</v>
      </c>
      <c r="W88" s="3">
        <f>4053.9+(1509.8-491.5)+(-6.202467+(-2.309994--0.751995))+0-581.2--0.889236000000034</f>
        <v>4484.1287700000003</v>
      </c>
      <c r="X88" s="3">
        <f>3367.1+(1690-344)+(-10.303326+(-5.1714--1.05264))+0-578.2--1.76929200000007</f>
        <v>4122.2472060000009</v>
      </c>
      <c r="Y88" s="3">
        <f>3188.9+(1364.1-350.3)+(-4.879017+(-2.087073--0.535959))+0-570--0.872100000000033</f>
        <v>3627.1419689999998</v>
      </c>
      <c r="Z88" s="3">
        <f>3825.6+(1058.9-451)+(3.902112+(1.080078-0.46002))+0-663.5-0.676770000000106</f>
        <v>3773.8454000000002</v>
      </c>
      <c r="AA88" s="3">
        <f>4559+(898.5-504.4)+(-13.95054+(-2.74941--1.543464))+0-731.7--2.23900200000008</f>
        <v>4208.4825160000009</v>
      </c>
      <c r="AB88" s="3">
        <f>4791.7+(642-469.8)+(-4.887534+(-0.65484--0.479196))+0-643.5--0.656370000000103</f>
        <v>4315.993191999999</v>
      </c>
      <c r="AC88" s="3">
        <f>4824+(813-465.1)+(-4.92048+(-0.82926--0.474402))+0-749.5--0.764490000000119</f>
        <v>4417.8891519999997</v>
      </c>
      <c r="AD88">
        <v>4096.3999999999996</v>
      </c>
      <c r="AE88" s="3">
        <f>4744+(823.2-550.7)+(0+(0-0))+0-770.1-0</f>
        <v>4246.3999999999996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4893.3+(787.7-422.8)+(4.991166+(0.803454-0.431256))+0-642.5-0.655350000000102</f>
        <v>4620.4080139999996</v>
      </c>
      <c r="G89" s="3">
        <f>4450.3+(1286.4-387.7)+(-9.078612+(-2.624256--0.790908))+0-713.6--1.45574399999997</f>
        <v>4625.9437839999991</v>
      </c>
      <c r="H89" s="3">
        <f>3788.7+(1520.1-308)+(0+(0-0))+0-700.2-0</f>
        <v>4300.5999999999995</v>
      </c>
      <c r="I89" s="3">
        <f>3694.7+(1584.6-280.7)+(-3.768594+(-1.616292--0.286314))+0-639.7--0.652494000000102</f>
        <v>4354.4539219999997</v>
      </c>
      <c r="J89" s="3">
        <f>3579.5+(1556.8-291.2)+(0+(0-0))+0-599.6-0</f>
        <v>4245.5</v>
      </c>
      <c r="K89" s="3">
        <f>3252.7+(1757.7-296.3)+(-9.953262+(-5.378562--0.906678))+0-606.2--1.85497200000007</f>
        <v>4095.329826000001</v>
      </c>
      <c r="L89" s="3">
        <f>2853+(1885-297.6)+(-7.27515+(-4.80675--0.75888))+0-656.6--1.6743299999999</f>
        <v>3774.1513099999997</v>
      </c>
      <c r="M89" s="3">
        <f>2776.8+(1703.7-308.7)+(-2.832336+(-1.737774--0.314874))+0-611.1--0.623322000000097</f>
        <v>3557.0680860000002</v>
      </c>
      <c r="N89" s="3">
        <f>3031.3+(1324.6-300.2)+(1.545963+(0.675546-0.153102))+0-574.1-0.292790999999942</f>
        <v>3483.3756160000003</v>
      </c>
      <c r="O89" s="3">
        <f>3071.7+(1254.7-320.1)+(-6.266268+(-2.559588--0.653004))+0-596.8--1.21747199999997</f>
        <v>3402.5446199999992</v>
      </c>
      <c r="P89" s="3">
        <f>3274.2+(1204.1-324.8)+(1.669842+(0.614091-0.165648))+0-694.4-0.35414399999993</f>
        <v>3460.8641409999996</v>
      </c>
      <c r="Q89" s="3">
        <f>4117.5+(657-471.5)+(0+(0-0))+0-614.4-0</f>
        <v>3688.6</v>
      </c>
      <c r="R89" s="3">
        <f>5026+(850.5-1047.5)+(0+(0-0))+0-718.3-0</f>
        <v>4110.7</v>
      </c>
      <c r="S89" s="3">
        <f>5284.1+(982.5-1094.9)+(-2.694891+(-0.501075--0.558399))+0-560.4--0.285803999999943</f>
        <v>4608.9482370000014</v>
      </c>
      <c r="T89" s="3">
        <f>5592.9+(1159.6-1111.5)+(2.852379+(0.591396-0.566865))+0-715.3-0.364802999999927</f>
        <v>4928.2121070000003</v>
      </c>
      <c r="U89" s="3">
        <f>5803+(1028.8-1207.8)+(-2.95953+(-0.524688--0.615978))+0-600.7--0.306356999999939</f>
        <v>5020.7381170000008</v>
      </c>
      <c r="V89" s="3">
        <f>5695.2+(1071-979.9)+(-11.618208+(-2.18484--1.998996))+0-664.8--1.35619199999997</f>
        <v>5111.0521399999998</v>
      </c>
      <c r="W89" s="3">
        <f>4727.9+(1199.9-464.4)+(-2.411229+(-0.611949--0.236844))+0-706.3--0.360212999999928</f>
        <v>4754.673878999999</v>
      </c>
      <c r="X89" s="3">
        <f>3631.4+(1663.1-334.7)+(-11.112084+(-5.089086--1.024182))+0-670--2.05020000000008</f>
        <v>4276.6732119999997</v>
      </c>
      <c r="Y89" s="3">
        <f>3160.9+(1562.4-335.1)+(-4.836177+(-2.390472--0.512703))+0-658.8--1.00796400000004</f>
        <v>3723.6940180000006</v>
      </c>
      <c r="Z89" s="3">
        <f>3314+(1421.3-334.6)+(10.14084+(4.349178-1.023876))+0-695.2-2.12731200000008</f>
        <v>3716.8388300000001</v>
      </c>
      <c r="AA89" s="3">
        <f>3500.4+(2025.6-335.4)+(-1.785204+(-1.033056--0.171054))+0-699.2--0.356591999999929</f>
        <v>4489.109386000001</v>
      </c>
      <c r="AB89" s="3">
        <f>3415.8+(2277.7-347)+(-3.484116+(-2.323254--0.35394))+0-645.2--0.658104000000103</f>
        <v>4696.5046740000007</v>
      </c>
      <c r="AC89" s="3">
        <f>3548.3+(2373.9-350.7)+(-3.619266+(-2.421378--0.357714))+0-685.2--0.698904000000109</f>
        <v>4881.3159740000001</v>
      </c>
      <c r="AD89">
        <v>4659.2999999999993</v>
      </c>
      <c r="AE89" s="3">
        <f>3813+(1917.4-330.6)+(0+(0-0))+0-740.5-0</f>
        <v>4659.3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3449+(2363-351.1)+(-8.79495+(-6.02565--0.895305))+0-614.4--1.56671999999991</f>
        <v>4834.1414249999998</v>
      </c>
      <c r="G90" s="3">
        <f>3395.4+(2348.2-374.2)+(-10.389924+(-7.185492--1.145052))+0-576--1.76256000000007</f>
        <v>4778.7321959999999</v>
      </c>
      <c r="H90" s="3">
        <f>3468.6+(2245.3-352.9)+(-7.075944+(-4.580412--0.719916))+0-741--1.51163999999997</f>
        <v>4610.5751999999993</v>
      </c>
      <c r="I90" s="3">
        <f>3579.7+(1949-382)+(-3.651294+(-1.98798--0.38964))+0-640.9--0.653718000000102</f>
        <v>4501.2040840000009</v>
      </c>
      <c r="J90" s="3">
        <f>3526.9+(1931.8-351.3)+(-8.993595+(-4.92609--0.895815))+0-721.7--1.8403349999999</f>
        <v>4374.5164649999997</v>
      </c>
      <c r="K90" s="3">
        <f>3384.2+(1893.9-339.1)+(-3.451884+(-1.931778--0.345882))+0-674.9--0.688398000000108</f>
        <v>4259.7506180000009</v>
      </c>
      <c r="L90" s="3">
        <f>3260.9+(1718.4-358)+(-1.663059+(-0.876384--0.18258))+0-714.6--0.364445999999927</f>
        <v>3904.7075830000003</v>
      </c>
      <c r="M90" s="3">
        <f>3312.9+(1316.1-364.9)+(1.689579+(0.671211-0.186099))+0-647-0.329969999999934</f>
        <v>3618.9447210000008</v>
      </c>
      <c r="N90" s="3">
        <f>3476.6+(1156.9-337.8)+(3.546132+(1.180038-0.344556))+0-598.9-0.610878000000096</f>
        <v>3700.5707359999997</v>
      </c>
      <c r="O90" s="3">
        <f>3888.6+(837.8-408.2)+(3.966372+(0.854556-0.416364))+0-554.6-0.565692000000088</f>
        <v>3767.4388720000002</v>
      </c>
      <c r="P90" s="3">
        <f>4550.4+(662-833.5)+(-4.641408+(-0.67524--0.85017))+0-564.6--0.57589200000009</f>
        <v>3810.4094139999997</v>
      </c>
      <c r="Q90" s="3">
        <f>5363.2+(723.5-1355.1)+(5.470464+(0.73797-1.382202))+0-639-0.651780000000102</f>
        <v>4096.7744520000006</v>
      </c>
      <c r="R90" s="3">
        <f>6300+(688.3-1738.2)+(0+(0-0))+0-465.1-0</f>
        <v>4785</v>
      </c>
      <c r="S90" s="3">
        <f>6364.5+(885.7-1573)+(6.49179+(0.903414-1.60446))+0-560.6-0.571812000000089</f>
        <v>5121.8189319999992</v>
      </c>
      <c r="T90" s="3">
        <f>6854.7+(1084.8-1885.2)+(-6.991794+(-1.106496--1.922904))+0-525.9--0.536418000000084</f>
        <v>5522.7610319999994</v>
      </c>
      <c r="U90" s="3">
        <f>6294.3+(1190.5-1517.8)+(-6.420186+(-1.21431--1.548156))+0-596.7--0.608634000000095</f>
        <v>5364.8222940000005</v>
      </c>
      <c r="V90" s="3">
        <f>6131.8+(1230.5-1147.7)+(-12.508872+(-2.51022--2.341308))+0-548--1.11791999999998</f>
        <v>5655.0401359999996</v>
      </c>
      <c r="W90" s="3">
        <f>4731.9+(1512.9-539.3)+(-14.479614+(-4.629474--1.650258))+0-802--2.45412000000009</f>
        <v>4888.4952900000008</v>
      </c>
      <c r="X90" s="3">
        <f>3688.9+(1985.4-344.2)+(-11.288034+(-6.075324--1.053252))+0-741--2.26746000000009</f>
        <v>4575.0573540000005</v>
      </c>
      <c r="Y90" s="3">
        <f>3234+(1792.5-353.2)+(-4.94802+(-2.742525--0.540396))+0-651.6--0.996948000000038</f>
        <v>4015.5467990000002</v>
      </c>
      <c r="Z90" s="3">
        <f>3953.9+(1074.6-336)+(0+(0-0))+0-573.5-0</f>
        <v>4119</v>
      </c>
      <c r="AA90" s="3">
        <f>4385.9+(1256.2-344.6)+(-6.710427+(-1.921986--0.527238))+0-565.3--0.864909000000033</f>
        <v>4724.959734</v>
      </c>
      <c r="AB90" s="3">
        <f>4063.6+(1804-354.3)+(-10.36218+(-4.6002--0.903465))+0-604.7--1.54198499999991</f>
        <v>4896.0830700000006</v>
      </c>
      <c r="AC90" s="3">
        <f>3961.3+(1991.8-328.3)+(0+(0-0))+0-635.2-0</f>
        <v>4989.6000000000004</v>
      </c>
      <c r="AD90">
        <v>4708.7</v>
      </c>
      <c r="AE90" s="3">
        <f>4397.1+(1201.7-343)+(0+(0-0))+0-547.1-0</f>
        <v>4708.7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3622.1+(2425.7-338.3)+(-1.847271+(-1.237107--0.172533))+0-622.7--0.317576999999937</f>
        <v>5084.2057320000004</v>
      </c>
      <c r="G91" s="3">
        <f>3282.4+(2675.1-351.8)+(-3.348048+(-2.728602--0.358836))+0-669.1--0.682482000000107</f>
        <v>4931.564668</v>
      </c>
      <c r="H91" s="3">
        <f>3313.1+(2413.4-330.3)+(-6.758724+(-4.923336--0.673812))+0-592.7--1.20910799999997</f>
        <v>4793.7008599999999</v>
      </c>
      <c r="I91" s="3">
        <f>3220.7+(2453.1-349.1)+(0+(0-0))+0-647.8-0</f>
        <v>4676.8999999999996</v>
      </c>
      <c r="J91" s="3">
        <f>3193.4+(2363.3-334)+(-6.514536+(-4.821132--0.68136))+0-644--1.31375999999997</f>
        <v>4569.3594520000006</v>
      </c>
      <c r="K91" s="3">
        <f>3179.1+(2387.1-326)+(-9.728046+(-7.304526--0.99756))+0-695.9--2.12945400000008</f>
        <v>4530.3944419999998</v>
      </c>
      <c r="L91" s="3">
        <f>2943.1+(1998.7-331.9)+(-10.506867+(-7.135359--1.184883))+0-541.5--1.93315500000001</f>
        <v>4053.8758119999998</v>
      </c>
      <c r="M91" s="3">
        <f>3162.3+(1713.5-353.8)+(1.612773+(0.873885-0.180438))+0-697.2-0.355571999999929</f>
        <v>3826.7506480000006</v>
      </c>
      <c r="N91" s="3">
        <f>3367.8+(1368.9-310.7)+(5.152734+(2.094417-0.475371))+0-626.1-0.957933000000036</f>
        <v>3805.713847</v>
      </c>
      <c r="O91" s="3">
        <f>3803+(923.4-352.8)+(1.93953+(0.470934-0.179928))+0-627-0.319769999999936</f>
        <v>3748.5107660000003</v>
      </c>
      <c r="P91" s="3">
        <f>4677+(567.5-726.4)+(0+(0-0))+0-646.7-0</f>
        <v>3871.4000000000005</v>
      </c>
      <c r="Q91" s="3">
        <f>5565.3+(442.1-1145.7)+(5.676606+(0.450942-1.168614))+0-660-0.673200000000105</f>
        <v>4205.9857339999999</v>
      </c>
      <c r="R91" s="3">
        <f>5980.2+(249.6-751.2)+(0+(0-0))+0-664-0</f>
        <v>4814.5999999999995</v>
      </c>
      <c r="S91" s="3">
        <f>5966.9+(388.7-647.7)+(0+(0-0))+0-605-0</f>
        <v>5102.8999999999996</v>
      </c>
      <c r="T91" s="3">
        <f>6407.4+(887.9-1375.3)+(0+(0-0))+0-555.7-0</f>
        <v>5364.3</v>
      </c>
      <c r="U91" s="3">
        <f>6512.6+(991.3-1383.6)+(-6.642852+(-1.011126--1.411272))+0-629.9--0.6424980000001</f>
        <v>5484.7997920000007</v>
      </c>
      <c r="V91" s="3">
        <f>6267.9+(1002.6-1210.8)+(-3.196629+(-0.511326--0.617508))+0-661.3--0.337262999999933</f>
        <v>5395.6468160000004</v>
      </c>
      <c r="W91" s="3">
        <f>4644.5+(1424.9-409.1)+(0+(0-0))+0-589.8-0</f>
        <v>5070.5</v>
      </c>
      <c r="X91" s="3">
        <f>3628.6+(1888.7-314.4)+(-1.850586+(-0.963237--0.160344))+0-623.2--0.317831999999937</f>
        <v>4577.3643529999999</v>
      </c>
      <c r="Y91" s="3">
        <f>3315.9+(1783.6-316.2)+(0+(0-0))+0-703.2-0</f>
        <v>4080.1000000000004</v>
      </c>
      <c r="Z91" s="3">
        <f>3642.8+(1414-329.2)+(-3.715656+(-1.44228--0.335784))+0-582.8--0.594456000000093</f>
        <v>4140.5723040000003</v>
      </c>
      <c r="AA91" s="3">
        <f>4529.3+(1217.1-355.9)+(-6.929829+(-1.862163--0.544527))+0-700.7--1.07207100000004</f>
        <v>4682.6246059999994</v>
      </c>
      <c r="AB91" s="3">
        <f>4230.8+(1646.2-356.5)+(-4.315416+(-1.679124--0.36363))+0-655.2--0.668304000000104</f>
        <v>4860.3373940000001</v>
      </c>
      <c r="AC91" s="3">
        <f>4175.1+(1847.8-368.1)+(-4.258602+(-1.884756--0.375462))+0-606.8--0.618936000000097</f>
        <v>5042.8510399999996</v>
      </c>
      <c r="AD91">
        <v>4671.6000000000004</v>
      </c>
      <c r="AE91" s="3">
        <f>4573+(1210.6-340.4)+(0+(0-0))+0-771.6-0</f>
        <v>4671.5999999999995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3961+(2162.7-343.1)+(-12.12066+(-6.617862--1.049886))+0-715.7--2.19004200000008</f>
        <v>5049.4014060000009</v>
      </c>
      <c r="G92" s="3">
        <f>3930.8+(2091.2-329)+(-8.018832+(-4.266048--0.67116))+0-687.6--1.40270399999997</f>
        <v>4995.1889839999994</v>
      </c>
      <c r="H92" s="3">
        <f>3758.9+(2078.8-310.3)+(-5.751117+(-3.180564--0.474759))+0-663.7--1.01546100000004</f>
        <v>4856.2585390000004</v>
      </c>
      <c r="I92" s="3">
        <f>3701.4+(2031.5-299.3)+(3.775428+(2.07213-0.305286))+0-724.6-0.739092000000116</f>
        <v>4713.8031799999999</v>
      </c>
      <c r="J92" s="3">
        <f>3426.8+(2156.1-317.6)+(-6.990672+(-4.398444--0.647904))+0-653.8--1.33375199999997</f>
        <v>4602.0925399999996</v>
      </c>
      <c r="K92" s="3">
        <f>3323+(2226.3-330)+(-8.47365+(-5.677065--0.8415))+0-718.7--1.8326849999999</f>
        <v>4489.1234700000005</v>
      </c>
      <c r="L92" s="3">
        <f>2924.7+(2117.8-318.3)+(-2.983194+(-2.160156--0.324666))+0-646--0.658920000000103</f>
        <v>4074.0402360000003</v>
      </c>
      <c r="M92" s="3">
        <f>3038.9+(1905.9-314.3)+(7.749195+(4.860045-0.801465))+0-576-1.46879999999992</f>
        <v>4064.8389750000001</v>
      </c>
      <c r="N92" s="3">
        <f>3382+(1447.6-304.3)+(1.72482+(0.738276-0.155193))+0-616.6-0.314465999999937</f>
        <v>3910.6934370000004</v>
      </c>
      <c r="O92" s="3">
        <f>3530.7+(1287.1-313.9)+(-1.800657+(-0.656421--0.160089))+0-646.6--0.329765999999934</f>
        <v>3855.3327769999992</v>
      </c>
      <c r="P92" s="3">
        <f>4025+(905-375.9)+(6.15825+(1.38465-0.575127))+0-596-0.911880000000034</f>
        <v>3964.1558930000006</v>
      </c>
      <c r="Q92" s="3">
        <f>5074.7+(592.3-686.5)+(10.352388+(1.208292-1.40046))+0-649-1.32395999999997</f>
        <v>4340.33626</v>
      </c>
      <c r="R92" s="3">
        <f>5845.8+(742.1-1170.3)+(2.981358+(0.378471-0.596853))+0-466-0.237659999999953</f>
        <v>4954.1253160000006</v>
      </c>
      <c r="S92" s="3">
        <f>5924.2+(1064.9-1172.7)+(3.021342+(0.543099-0.598077))+0-519-0.264689999999947</f>
        <v>5300.1016739999995</v>
      </c>
      <c r="T92" s="3">
        <f>6201.8+(916.9-1122.9)+(6.325836+(0.935238-1.145358))+0-565.1-0.57640200000009</f>
        <v>5436.2393140000004</v>
      </c>
      <c r="U92" s="3">
        <f>6196.7+(974.2-1108)+(0+(0-0))+0-556.4-0</f>
        <v>5506.5</v>
      </c>
      <c r="V92" s="3">
        <f>6240.8+(960.2-1148.8)+(3.182808+(0.489702-0.585888))+0-606-0.309059999999939</f>
        <v>5448.9775620000009</v>
      </c>
      <c r="W92" s="3">
        <f>5321+(937.5-542.6)+(-8.14113+(-1.434375--0.830178))+0-572--0.875160000000033</f>
        <v>5136.0298329999996</v>
      </c>
      <c r="X92" s="3">
        <f>3679.5+(1608.4-282.8)+(-7.50618+(-3.281136--0.576912))+0-540.7--1.10302799999998</f>
        <v>4455.2926239999997</v>
      </c>
      <c r="Y92" s="3">
        <f>3233.2+(1669-265.8)+(-8.24466+(-4.25595--0.67779))+0-540.7--1.37878499999992</f>
        <v>4085.2559649999994</v>
      </c>
      <c r="Z92" s="3">
        <f>3564.5+(1393.9-259.9)+(0+(0-0))+0-561.4-0</f>
        <v>4137.1000000000004</v>
      </c>
      <c r="AA92" s="3">
        <f>3932.3+(1617.2-238)+(-2.005473+(-0.824772--0.12138))+0-619.5--0.315944999999937</f>
        <v>4689.6070800000007</v>
      </c>
      <c r="AB92" s="3">
        <f>4000.3+(1832-246.2)+(-4.080306+(-1.86864--0.251124))+0-653.7--0.666774000000104</f>
        <v>4927.3689520000007</v>
      </c>
      <c r="AC92" s="3">
        <f>4133.3+(1804.5-258.9)+(-4.215966+(-1.84059--0.264078))+0-578.7--0.590274000000092</f>
        <v>5094.9977959999997</v>
      </c>
      <c r="AD92">
        <v>4747.8</v>
      </c>
      <c r="AE92" s="3">
        <f>4045+(1575.7-234.5)+(0+(0-0))+0-638.4-0</f>
        <v>4747.8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3799.5+(2221.2-266.9)+(-3.87549+(-2.265624--0.272238))+0-662.4--0.675648000000106</f>
        <v>5086.2067719999995</v>
      </c>
      <c r="G93" s="3">
        <f>3343.3+(2556.2-255.3)+(0+(0-0))+0-671.3-0</f>
        <v>4972.8999999999996</v>
      </c>
      <c r="H93" s="3">
        <f>3071.6+(2688-225.3)+(-4.699548+(-4.11264--0.344709))+0-716.3--1.09593900000004</f>
        <v>4810.628459999999</v>
      </c>
      <c r="I93" s="3">
        <f>2897.6+(2752.8-262.1)+(-2.955552+(-2.807856--0.267342))+0-718.2--0.732564000000115</f>
        <v>4665.3364980000006</v>
      </c>
      <c r="J93" s="3">
        <f>3074.7+(2474.9-260)+(-7.840485+(-6.310995--0.663))+0-707.8--1.8048899999999</f>
        <v>4570.1164100000005</v>
      </c>
      <c r="K93" s="3">
        <f>2952.6+(2433.3-258.4)+(-7.52913+(-6.204915--0.65892))+0-682.9--1.7413949999999</f>
        <v>4433.2662700000001</v>
      </c>
      <c r="L93" s="3">
        <f>2701.4+(2192.3-248.6)+(0+(0-0))+0-643.2-0</f>
        <v>4001.9000000000005</v>
      </c>
      <c r="M93" s="3">
        <f>2813.3+(1930.1-220.3)+(1.434783+(0.984351-0.112353))+0-728.3-0.371432999999926</f>
        <v>3796.7353480000006</v>
      </c>
      <c r="N93" s="3">
        <f>2877.2+(1745-247.9)+(-2.934744+(-1.7799--0.252858))+0-639.6--0.652392000000102</f>
        <v>3730.8906059999995</v>
      </c>
      <c r="O93" s="3">
        <f>3102.2+(1572.3-278.9)+(-3.164244+(-1.603746--0.284478))+0-652.7--0.665754000000104</f>
        <v>3739.0822420000009</v>
      </c>
      <c r="P93" s="3">
        <f>3752.1+(994.7-330.5)+(1.913571+(0.507297-0.168555))+0-577.6-0.294575999999941</f>
        <v>3840.6577370000005</v>
      </c>
      <c r="Q93" s="3">
        <f>4819.3+(611-602.9)+(0+(0-0))+0-642.1-0</f>
        <v>4185.3</v>
      </c>
      <c r="R93" s="3">
        <f>5397.5+(610.2-762.9)+(-5.50545+(-0.622404--0.778158))+0-664.4--0.677688000000106</f>
        <v>4575.7279920000001</v>
      </c>
      <c r="S93" s="3">
        <f>5528.6+(938.8-897)+(-2.819586+(-0.478788--0.45747))+0-566.3--0.288812999999943</f>
        <v>5001.5479090000008</v>
      </c>
      <c r="T93" s="3">
        <f>6143+(716.9-1096.8)+(0+(0-0))+0-591.7-0</f>
        <v>5171.4000000000005</v>
      </c>
      <c r="U93" s="3">
        <f>6329.4+(703-1105.6)+(-3.227994+(-0.35853--0.563856))+0-638.5--0.325634999999935</f>
        <v>5285.6029669999998</v>
      </c>
      <c r="V93" s="3">
        <f>5634.6+(1181.9-835.7)+(-2.873646+(-0.602769--0.426207))+0-667.5--0.340424999999932</f>
        <v>5310.5902170000008</v>
      </c>
      <c r="W93" s="3">
        <f>4385.3+(1557.5-383)+(-4.473006+(-1.58865--0.39066))+0-578.4--0.589968000000092</f>
        <v>4976.3189720000009</v>
      </c>
      <c r="X93" s="3">
        <f>3589.5+(1668.8-247.1)+(-5.491935+(-2.553264--0.378063))+0-572.2--0.875466000000033</f>
        <v>4432.2083300000004</v>
      </c>
      <c r="Y93" s="3">
        <f>3343.6+(1437.8-225.8)+(-13.641888+(-5.866224--0.921264))+0-578.8--2.36150399999995</f>
        <v>3960.5746560000002</v>
      </c>
      <c r="Z93" s="3">
        <f>3899.9+(857.8-348.2)+(3.977898+(0.874956-0.355164))+0-493.3-0.503166000000079</f>
        <v>3920.194524</v>
      </c>
      <c r="AA93" s="3">
        <f>4169.7+(1329.2-284.4)+(-2.126547+(-0.677892--0.145044))+0-646--0.329459999999934</f>
        <v>4566.1700650000002</v>
      </c>
      <c r="AB93" s="3">
        <f>4268.9+(1432.3-290)+(-2.177139+(-0.730473--0.1479))+0-685.2--0.349451999999931</f>
        <v>4723.5897400000003</v>
      </c>
      <c r="AC93" s="3">
        <f>4292+(1548.1-271)+(-8.75568+(-3.158124--0.55284))+0-741.5--1.51265999999997</f>
        <v>4817.7516960000003</v>
      </c>
      <c r="AD93">
        <v>4721.3999999999996</v>
      </c>
      <c r="AE93" s="3">
        <f>4214+(1453.7-284.3)+(0+(0-0))+0-662-0</f>
        <v>4721.3999999999996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4099.1+(1651.6-254.2)+(-10.452705+(-4.21158--0.64821))+0-499--1.27244999999993</f>
        <v>4984.7563749999999</v>
      </c>
      <c r="G94" s="3">
        <f>3849.9+(2041.3-246.5)+(-7.853796+(-4.164252--0.50286))+0-716--1.46063999999997</f>
        <v>4918.6454519999998</v>
      </c>
      <c r="H94" s="3">
        <f>3383.8+(2204.7-259.8)+(-8.62869+(-5.621985--0.66249))+0-651.5--1.66132499999991</f>
        <v>4665.2731400000002</v>
      </c>
      <c r="I94" s="3">
        <f>3217.1+(2324.4-265.4)+(-6.562884+(-4.741776--0.541416))+0-727.6--1.48430399999997</f>
        <v>4539.2210599999999</v>
      </c>
      <c r="J94" s="3">
        <f>3368.6+(1987.1-258)+(-1.717986+(-1.013421--0.13158))+0-682.2--0.347921999999931</f>
        <v>4413.2480949999999</v>
      </c>
      <c r="K94" s="3">
        <f>3370.3+(1848.1-263.1)+(-6.875412+(-3.770124--0.536724))+0-675.8--1.37863199999997</f>
        <v>4270.7698199999995</v>
      </c>
      <c r="L94" s="3">
        <f>3206.3+(1574.8-239.2)+(-3.270426+(-1.606296--0.243984))+0-644.5--0.657390000000103</f>
        <v>3893.4246519999997</v>
      </c>
      <c r="M94" s="3">
        <f>3250.9+(1315.1-288.7)+(1.657959+(0.670701-0.147237))+0-591.1-0.30146099999994</f>
        <v>3688.0799620000003</v>
      </c>
      <c r="N94" s="3">
        <f>3300.5+(1242.3-280.7)+(-1.683255+(-0.633573--0.143157))+0-586.9--0.29931899999994</f>
        <v>3673.3256480000005</v>
      </c>
      <c r="O94" s="3">
        <f>3111+(1453.8-279)+(0+(0-0))+0-589.9-0</f>
        <v>3695.9</v>
      </c>
      <c r="P94" s="3">
        <f>3705.2+(1020.3-298.1)+(0+(0-0))+0-644.9-0</f>
        <v>3782.4999999999995</v>
      </c>
      <c r="Q94" s="3">
        <f>4420.1+(695.9-547.2)+(0+(0-0))+0-539.5-0</f>
        <v>4029.3</v>
      </c>
      <c r="R94" s="3">
        <f>5201+(723.4-761.8)+(0+(0-0))+0-597.9-0</f>
        <v>4564.7000000000007</v>
      </c>
      <c r="S94" s="3">
        <f>5420.2+(1007-768.5)+(-5.528604+(-1.02714--0.78387))+0-644.5--0.657390000000103</f>
        <v>5009.0855160000001</v>
      </c>
      <c r="T94" s="3">
        <f>5801.5+(1096.8-1013.6)+(2.958765+(0.559368-0.516936))+0-641.9-0.327368999999935</f>
        <v>5245.4738280000001</v>
      </c>
      <c r="U94" s="3">
        <f>5924.7+(1091-1165.6)+(-3.021597+(-0.55641--0.594456))+0-643.9--0.328388999999935</f>
        <v>5203.5448380000007</v>
      </c>
      <c r="V94" s="3">
        <f>5910.8+(1064.2-1073)+(-6.029016+(-1.085484--1.09446))+0-644.9--0.657798000000103</f>
        <v>5251.7377580000002</v>
      </c>
      <c r="W94" s="3">
        <f>4838+(1360.9-514.8)+(-4.93476+(-1.388118--0.525096))+0-643.9--0.656778000000103</f>
        <v>5035.0589960000016</v>
      </c>
      <c r="X94" s="3">
        <f>3346.6+(2038.1-238.9)+(-11.947362+(-7.276017--0.852873))+0-640.3--2.28587100000001</f>
        <v>4489.4153649999989</v>
      </c>
      <c r="Y94" s="3">
        <f>2871.4+(1807.7-249.9)+(-2.928828+(-1.843854--0.254898))+0-521.3--0.531726000000083</f>
        <v>3903.9139420000001</v>
      </c>
      <c r="Z94" s="3">
        <f>3405+(1426.7-288.8)+(-3.4731+(-1.455234--0.294576))+0-683.3--0.696966000000109</f>
        <v>3855.6632079999995</v>
      </c>
      <c r="AA94" s="3">
        <f>4202.2+(1415.6-286.4)+(-12.858732+(-4.331736--0.876384))+0-676.7--2.07070200000008</f>
        <v>4640.4566180000002</v>
      </c>
      <c r="AB94" s="3">
        <f>3899+(1559.1-247.8)+(-3.97698+(-1.590282--0.252756))+0-506.3--0.516426000000081</f>
        <v>4699.2019200000004</v>
      </c>
      <c r="AC94" s="3">
        <f>4523.6+(1368.8-296.6)+(0+(0-0))+0-641.9-0</f>
        <v>4953.9000000000005</v>
      </c>
      <c r="AD94">
        <v>4619.9000000000005</v>
      </c>
      <c r="AE94" s="3">
        <f>4162+(1393.5-293.2)+(0+(0-0))+0-642.4-0</f>
        <v>4619.9000000000005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4047.2+(1919.2-236.7)+(-2.064072+(-0.978792--0.120717))+0-677.8--0.345677999999931</f>
        <v>5049.3235309999991</v>
      </c>
      <c r="G95" s="3">
        <f>3773+(2112.7-261.3)+(-1.92423+(-1.077477--0.133263))+0-671.2--0.342311999999932</f>
        <v>4950.6738679999999</v>
      </c>
      <c r="H95" s="3">
        <f>3317.7+(2359-260.4)+(-1.692027+(-1.20309--0.132804))+0-713.1--0.363680999999928</f>
        <v>4700.8013679999985</v>
      </c>
      <c r="I95" s="3">
        <f>3171.2+(2364.2-265.9)+(-3.234624+(-2.411484--0.271218))+0-693.3--0.707166000000111</f>
        <v>4571.5322759999999</v>
      </c>
      <c r="J95" s="3">
        <f>3189.5+(2267.7-251.9)+(3.25329+(2.313054-0.256938))+0-680-0.693600000000108</f>
        <v>4529.9158059999991</v>
      </c>
      <c r="K95" s="3">
        <f>3136.2+(2098-244.5)+(-9.596772+(-6.41988--0.74817))+0-668.2--2.04469200000008</f>
        <v>4308.27621</v>
      </c>
      <c r="L95" s="3">
        <f>3006.4+(1839.6-232.1)+(-4.599792+(-2.814588--0.355113))+57-683.6--1.04590800000004</f>
        <v>3981.2866410000001</v>
      </c>
      <c r="M95" s="3">
        <f>3164.7+(1506.2-208.6)+(3.227994+(1.536324-0.212772))+60-730.4-0.745008000000116</f>
        <v>3795.7065379999995</v>
      </c>
      <c r="N95" s="3">
        <f>3284.8+(1303.1-301)+(5.025744+(1.993743-0.46053))+0-563.9-0.862767000000033</f>
        <v>3728.6961899999997</v>
      </c>
      <c r="O95" s="3">
        <f>3488.1+(1198.6-323)+(5.336793+(1.833858-0.49419))+0-694.6-1.06273800000004</f>
        <v>3674.7137229999998</v>
      </c>
      <c r="P95" s="3">
        <f>3833.9+(1022.9-476.3)+(0+(0-0))+0-645-0</f>
        <v>3735.5</v>
      </c>
      <c r="Q95" s="3">
        <f>4627.9+(761.8-610.6)+(-2.360229+(-0.388518--0.311406))+0-636.2--0.324461999999935</f>
        <v>4140.7871209999994</v>
      </c>
      <c r="R95" s="3">
        <f>5291.4+(619.2-747.6)+(0+(0-0))+0-611.9-0</f>
        <v>4551.1000000000004</v>
      </c>
      <c r="S95" s="3">
        <f>5351.6+(1063.9-713.5)+(-19.105212+(-3.798123--2.547195))+0-673.6--2.40475200000001</f>
        <v>5010.4486120000001</v>
      </c>
      <c r="T95" s="3">
        <f>5293.4+(1392.7-814.1)+(-5.399268+(-1.420554--0.830382))+0-669.8--0.683196000000107</f>
        <v>5196.8937559999995</v>
      </c>
      <c r="U95" s="3">
        <f>5444.6+(1511.6-857.7)+(-8.330238+(-2.312748--1.312281))+0-664.8--1.01714400000004</f>
        <v>5425.3864389999999</v>
      </c>
      <c r="V95" s="3">
        <f>5242.2+(1449.5-773.6)+(-5.347044+(-1.47849--0.789072))+0-654.8--0.667896000000104</f>
        <v>5257.9314339999992</v>
      </c>
      <c r="W95" s="3">
        <f>4783.1+(1469.1-543.1)+(-9.757524+(-2.996964--1.107924))+0-661.8--1.35007199999997</f>
        <v>5037.0035080000007</v>
      </c>
      <c r="X95" s="3">
        <f>3801.7+(1571.6-320.4)+(-11.633202+(-4.809096--0.980424))+0-659.8--2.01898800000008</f>
        <v>4379.6571139999996</v>
      </c>
      <c r="Y95" s="3">
        <f>3172.7+(1780.1-253.4)+(-9.708462+(-5.447106--0.775404))+0-660.8--2.02204800000008</f>
        <v>4026.2418839999996</v>
      </c>
      <c r="Z95" s="3">
        <f>3505.1+(1425.7-296.4)+(0+(0-0))+0-651.8-0</f>
        <v>3982.5999999999995</v>
      </c>
      <c r="AA95" s="3">
        <f>3828.1+(1751.2-313)+(-13.666317+(-6.251784--1.11741))+0-665.1--2.37440700000001</f>
        <v>4584.7737159999997</v>
      </c>
      <c r="AB95" s="3">
        <f>3856.5+(1474.2-294.1)+(-5.900445+(-2.255526--0.449973))+0-436--0.667080000000025</f>
        <v>4593.5610820000002</v>
      </c>
      <c r="AC95" s="3">
        <f>4245.6+(1346.3-311.7)+(-2.165256+(-0.686613--0.158967))+0-382.2--0.194921999999961</f>
        <v>4895.5020200000008</v>
      </c>
      <c r="AD95">
        <v>4574.2</v>
      </c>
      <c r="AE95" s="3">
        <f>3789+(1886.5-324)+(0+(0-0))+0-777.3-0</f>
        <v>4574.2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4051.3+(1626.4-274.9)+(0+(0-0))+0-413.4-0</f>
        <v>4989.4000000000005</v>
      </c>
      <c r="G96" s="3">
        <f>3937.2+(1714.2-243.5)+(-4.015944+(-1.748484--0.24837))+0-509--0.519180000000081</f>
        <v>4893.9031219999997</v>
      </c>
      <c r="H96" s="3">
        <f>3701.1+(1755.6-256)+(-1.887561+(-0.895356--0.13056))+0-573--0.292229999999942</f>
        <v>4625.3398729999999</v>
      </c>
      <c r="I96" s="3">
        <f>3662.4+(1894.6-276.4)+(-7.471296+(-3.864984--0.563856))+0-643.1--1.31192399999997</f>
        <v>4628.0394999999999</v>
      </c>
      <c r="J96" s="3">
        <f>3557.4+(1905-244.9)+(3.628548+(1.9431-0.249798))+0-679.4-0.692988000000108</f>
        <v>4542.7288620000008</v>
      </c>
      <c r="K96" s="3">
        <f>3020.3+(2259.2-257)+(-4.621059+(-3.456576--0.39321))+0-636.8--0.974304000000037</f>
        <v>4378.9898789999997</v>
      </c>
      <c r="L96" s="3">
        <f>2671.4+(2350.7-249.1)+(-2.724828+(-2.397714--0.254082))+0-655.9--0.669018000000105</f>
        <v>4112.9005580000012</v>
      </c>
      <c r="M96" s="3">
        <f>2890.3+(1867.5-248.4)+(4.422159+(2.857275-0.380052))+0-678.3-1.03779900000004</f>
        <v>3836.9615829999989</v>
      </c>
      <c r="N96" s="3">
        <f>2921.9+(1734.5-260)+(0+(0-0))+0-596.5-0</f>
        <v>3799.8999999999996</v>
      </c>
      <c r="O96" s="3">
        <f>2872.5+(1717.8-265.7)+(-2.92995+(-1.752156--0.271014))+0-608.6--0.620772000000097</f>
        <v>3712.2096800000004</v>
      </c>
      <c r="P96" s="3">
        <f>3224.7+(1405.2-285.3)+(3.289194+(1.433304-0.291006))+0-589.3-0.601086000000094</f>
        <v>3759.1304059999998</v>
      </c>
      <c r="Q96" s="3">
        <f>4211.5+(787.2-343.2)+(2.147865+(0.401472-0.175032))+0-594.5-0.30319499999994</f>
        <v>4063.0711100000003</v>
      </c>
      <c r="R96" s="3">
        <f>4426.7+(1141-527)+(2.257617+(0.58191-0.26877))+0-607.8-0.309977999999938</f>
        <v>4435.1607789999998</v>
      </c>
      <c r="S96" s="3">
        <f>5061.1+(1105.7-721.3)+(-2.581161+(-0.563907--0.367863))+0-568.6--0.289985999999942</f>
        <v>4874.4127809999991</v>
      </c>
      <c r="T96" s="3">
        <f>5529.1+(1154.5-741.3)+(0+(0-0))+0-795.7-0</f>
        <v>5146.6000000000004</v>
      </c>
      <c r="U96" s="3">
        <f>5554.3+(973.7-750.6)+(-5.665386+(-0.993174--0.765612))+0-548.7--0.559674000000087</f>
        <v>5223.3667260000011</v>
      </c>
      <c r="V96" s="3">
        <f>5464.3+(1069-676.9)+(5.573586+(1.09038-0.690438))+0-678.2-0.691764000000108</f>
        <v>5183.481764000001</v>
      </c>
      <c r="W96" s="3">
        <f>4684.6+(1313.3-395.8)+(-2.389146+(-0.669783--0.201858))+0-702.3--0.358172999999929</f>
        <v>4897.3011019999994</v>
      </c>
      <c r="X96" s="3">
        <f>3183+(1981.7-215.2)+(-3.24666+(-2.021334--0.219504))+0-622.9--0.635358000000099</f>
        <v>4322.1868680000007</v>
      </c>
      <c r="Y96" s="3">
        <f>3015.6+(1753.8-257.5)+(-3.075912+(-1.788876--0.26265))+0-638.1--0.650862000000102</f>
        <v>3869.8487239999995</v>
      </c>
      <c r="Z96" s="3">
        <f>3721.2+(1322.8-303.2)+(-3.795624+(-1.349256--0.309264))+0-721.4--0.735828000000115</f>
        <v>4015.3002119999992</v>
      </c>
      <c r="AA96" s="3">
        <f>3972.6+(1586.5-320.9)+(-12.156156+(-4.85469--0.981954))+0-629.7--1.92688200000007</f>
        <v>4594.3979899999995</v>
      </c>
      <c r="AB96" s="3">
        <f>4085.6+(1703.1-314.4)+(-4.167312+(-1.737162--0.320688))+0-675.1--0.688602000000108</f>
        <v>4794.3048159999989</v>
      </c>
      <c r="AC96" s="3">
        <f>3976.6+(1789.3-288.7)+(-2.028066+(-0.912543--0.147237))+0-547.8--0.279377999999944</f>
        <v>4926.8860059999997</v>
      </c>
      <c r="AD96">
        <v>4773.5</v>
      </c>
      <c r="AE96" s="3">
        <f>4239+(1632-288.8)+(0+(0-0))+0-808.7-0</f>
        <v>4773.5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3863.1+(1981.8-246.9)+(-9.850905+(-5.05359--0.629595))+0-531--1.35404999999992</f>
        <v>5054.0791499999996</v>
      </c>
      <c r="G97" s="3">
        <f>3875.7+(1872.2-226.6)+(-7.906428+(-3.819288--0.462264))+0-534.9--1.09119599999998</f>
        <v>4976.2277440000007</v>
      </c>
      <c r="H97" s="3">
        <f>3753.1+(2017.1-248.6)+(-1.914081+(-1.028721--0.126786))+0-699.1--0.356540999999929</f>
        <v>4820.0405250000003</v>
      </c>
      <c r="I97" s="3">
        <f>3438.8+(2187.8-251.1)+(-5.261364+(-3.347334--0.384183))+0-691.8--1.05845400000004</f>
        <v>4676.5339389999999</v>
      </c>
      <c r="J97" s="3">
        <f>3249.1+(2298.5-242.6)+(-3.314082+(-2.34447--0.247452))+0-716.7--0.731034000000114</f>
        <v>4583.6199340000003</v>
      </c>
      <c r="K97" s="3">
        <f>3015.7+(2365.4-235.1)+(-9.228042+(-7.238124--0.719406))+0-646.8--1.97920800000007</f>
        <v>4485.4324479999996</v>
      </c>
      <c r="L97" s="3">
        <f>2962.2+(2029.3-215.5)+(-6.042888+(-4.139772--0.43962))+0-576.9--1.17687599999997</f>
        <v>4190.5338359999996</v>
      </c>
      <c r="M97" s="3">
        <f>3155+(1782.4-231)+(0+(0-0))+0-643.7-0</f>
        <v>4062.7</v>
      </c>
      <c r="N97" s="3">
        <f>3335.2+(1619.9-264.3)+(-5.102856+(-2.478447--0.404379))+0-672.9--1.02953700000004</f>
        <v>4011.7526129999997</v>
      </c>
      <c r="O97" s="3">
        <f>3556.9+(1451.9-337.6)+(3.628038+(1.480938-0.344352))+0-604-0.616080000000096</f>
        <v>4071.3485440000009</v>
      </c>
      <c r="P97" s="3">
        <f>4120.8+(1122-325.6)+(-2.101608+(-0.57222--0.166056))+0-644--0.328439999999935</f>
        <v>4271.0206680000001</v>
      </c>
      <c r="Q97" s="3">
        <f>4694.2+(783.4-483.3)+(-2.394042+(-0.399534--0.246483))+0-456.9--0.233018999999954</f>
        <v>4535.0859260000007</v>
      </c>
      <c r="R97" s="3">
        <f>5541+(688.5-675.2)+(2.82591+(0.351135-0.344352))+0-608.5-0.310334999999938</f>
        <v>4948.3223580000003</v>
      </c>
      <c r="S97" s="3">
        <f>5476.7+(1025-667.3)+(-2.793117+(-0.52275--0.340323))+0-543.6--0.277235999999945</f>
        <v>5288.1016919999993</v>
      </c>
      <c r="T97" s="3">
        <f>6246.6+(827.1-1121.7)+(-6.371532+(-0.843642--1.144134))+0-488.4--0.498168000000078</f>
        <v>5458.0271280000006</v>
      </c>
      <c r="U97" s="3">
        <f>6602+(859.8-1252)+(-10.10106+(-1.315494--1.91556))+0-671.1--1.02678300000004</f>
        <v>5530.2257890000001</v>
      </c>
      <c r="V97" s="3">
        <f>6105+(909.8-890.3)+(-15.56775+(-2.31999--2.270265))+0-629.5--1.60522499999991</f>
        <v>5480.9877500000002</v>
      </c>
      <c r="W97" s="3">
        <f>5240.4+(1187.9-625.4)+(-18.708228+(-4.240803--2.232678))+0-662--2.36334000000001</f>
        <v>5122.5469869999997</v>
      </c>
      <c r="X97" s="3">
        <f>3447.7+(2029.3-255.5)+(-10.549962+(-6.209658--0.78183))+0-527.7--1.61476200000006</f>
        <v>4679.4369720000004</v>
      </c>
      <c r="Y97" s="3">
        <f>2960.6+(2058-261.9)+(-6.039624+(-4.19832--0.534276))+0-653.7--1.33354799999997</f>
        <v>4094.62988</v>
      </c>
      <c r="Z97" s="3">
        <f>3178.5+(1872.8-251.6)+(0+(0-0))+0-526.1-0</f>
        <v>4273.5999999999995</v>
      </c>
      <c r="AA97" s="3">
        <f>3411.8+(2384.8-270.5)+(-3.480036+(-2.432496--0.27591))+0-673.8--0.687276000000107</f>
        <v>4847.3506539999998</v>
      </c>
      <c r="AB97" s="3">
        <f>3502.1+(2380-241.2)+(-5.358213+(-3.6414--0.369036))+0-605.6--0.926568000000035</f>
        <v>5027.5959909999992</v>
      </c>
      <c r="AC97" s="3">
        <f>3650.8+(2370.5-245.6)+(-1.861908+(-1.208955--0.125256))+0-615.2--0.313751999999938</f>
        <v>5157.8681450000013</v>
      </c>
      <c r="AD97">
        <v>5040.6000000000004</v>
      </c>
      <c r="AE97" s="3">
        <f>3723+(2354.1-285.9)+(0+(0-0))+0-750.6-0</f>
        <v>5040.5999999999995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3456.4+(2585.3-258.6)+(-5.288292+(-3.955509--0.395658))+0-552--0.844560000000032</f>
        <v>5223.0964170000007</v>
      </c>
      <c r="G98" s="3">
        <f>3264+(2610-254.8)+(-4.99392+(-3.9933--0.389844))+0-509--0.778770000000029</f>
        <v>5102.381394</v>
      </c>
      <c r="H98" s="3">
        <f>3179.7+(2587.9-242.7)+(-3.243294+(-2.639658--0.247554))+0-596.3--0.608226000000095</f>
        <v>4923.5728279999994</v>
      </c>
      <c r="I98" s="3">
        <f>3387.2+(2282.3-248)+(5.182416+(3.491919-0.37944))+0-614.1-0.939573000000036</f>
        <v>4814.755322</v>
      </c>
      <c r="J98" s="3">
        <f>3282.7+(2266.4-225.9)+(0+(0-0))+0-618.5-0</f>
        <v>4704.7</v>
      </c>
      <c r="K98" s="3">
        <f>3165+(2252.1-218.5)+(-3.2283+(-2.297142--0.22287))+0-619.3--0.631686000000099</f>
        <v>4574.6291140000003</v>
      </c>
      <c r="L98" s="3">
        <f>2958.6+(2144.9-238.7)+(-6.035544+(-4.375596--0.486948))+0-634.5--1.29437999999997</f>
        <v>4221.6701880000001</v>
      </c>
      <c r="M98" s="3">
        <f>3236.5+(1841.4-254.9)+(9.90369+(5.634684-0.779994))+0-754-2.30724000000009</f>
        <v>4081.4511400000001</v>
      </c>
      <c r="N98" s="3">
        <f>3203.5+(1683-271)+(-6.53514+(-3.43332--0.55284))+0-557.9--1.13811599999998</f>
        <v>4049.3224960000002</v>
      </c>
      <c r="O98" s="3">
        <f>3442.5+(1587.9-286.7)+(-1.755675+(-0.809829--0.146217))+0-661.8--0.337517999999933</f>
        <v>4079.8182309999997</v>
      </c>
      <c r="P98" s="3">
        <f>3696.4+(1301.5-261.8)+(-1.885164+(-0.663765--0.133518))+0-547.1--0.279020999999945</f>
        <v>4186.8636100000003</v>
      </c>
      <c r="Q98" s="3">
        <f>4716.3+(750.5-485.5)+(-2.405313+(-0.382755--0.247605))+0-440--0.224399999999955</f>
        <v>4538.983937</v>
      </c>
      <c r="R98" s="3">
        <f>5754+(546.2-751.3)+(0+(0-0))+0-554-0</f>
        <v>4994.8999999999996</v>
      </c>
      <c r="S98" s="3">
        <f>6029.8+(617.1-864.8)+(-6.150396+(-0.629442--0.882096))+0-534.2--0.544884000000085</f>
        <v>5242.5471420000003</v>
      </c>
      <c r="T98" s="3">
        <f>6563.3+(676.7-1140.5)+(-13.389132+(-1.380468--2.32662))+0-606.1--1.23644399999997</f>
        <v>5482.1934639999999</v>
      </c>
      <c r="U98" s="3">
        <f>6683.7+(767.6-1251.7)+(-10.226061+(-1.174428--1.915101))+0-738.2--1.12944600000004</f>
        <v>5453.0440579999995</v>
      </c>
      <c r="V98" s="3">
        <f>6054.2+(925.3-949.4)+(-3.087642+(-0.471903--0.484194))+0-607.9--0.310028999999938</f>
        <v>5419.4346779999996</v>
      </c>
      <c r="W98" s="3">
        <f>4805.6+(1299.3-463.6)+(-2.450856+(-0.662643--0.236436))+0-534.9--0.272798999999946</f>
        <v>5103.7957360000009</v>
      </c>
      <c r="X98" s="3">
        <f>3610.5+(1934-268.4)+(-11.04813+(-5.91804--0.821304))+0-600.8--1.83844800000007</f>
        <v>4660.993582000001</v>
      </c>
      <c r="Y98" s="3">
        <f>3393.5+(1510.9-257.1)+(-5.192055+(-2.311677--0.393363))+0-577.7--0.883881000000033</f>
        <v>4063.3735120000006</v>
      </c>
      <c r="Z98" s="3">
        <f>3838.6+(1191.7-297.4)+(-5.873058+(-1.823301--0.455022))+0-458.3--0.701199000000027</f>
        <v>4268.0598619999992</v>
      </c>
      <c r="AA98" s="3">
        <f>4298.2+(1254-309.5)+(-2.192082+(-0.63954--0.157845))+0-536.5--0.273614999999946</f>
        <v>4703.7998379999999</v>
      </c>
      <c r="AB98" s="3">
        <f>4237.5+(1577.6-255.8)+(-8.6445+(-3.218304--0.521832))+0-650.1--1.32620399999997</f>
        <v>4899.1852319999998</v>
      </c>
      <c r="AC98" s="3">
        <f>4209.5+(1596.6-256.1)+(-4.29369+(-1.628532--0.261222))+0-701.9--0.715938000000112</f>
        <v>4843.1549380000006</v>
      </c>
      <c r="AD98">
        <v>4736.4000000000005</v>
      </c>
      <c r="AE98" s="3">
        <f>4354+(1273.8-317)+(0+(0-0))+0-574.4-0</f>
        <v>4736.4000000000005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4230.1+(1757.7-242.1)+(-6.472053+(-2.689281--0.370413))+0-681.6--1.04284800000004</f>
        <v>5056.3519270000006</v>
      </c>
      <c r="G99" s="3">
        <f>3817.8+(2036.1-271.4)+(-7.788312+(-4.153644--0.553656))+0-632.8--1.29091199999997</f>
        <v>4939.6026120000006</v>
      </c>
      <c r="H99" s="3">
        <f>3585.8+(2217.5-259.2)+(-7.315032+(-4.5237--0.528768))+0-730.9--1.49103599999997</f>
        <v>4803.381072000001</v>
      </c>
      <c r="I99" s="3">
        <f>3354.2+(2234.9-261.7)+(-8.55321+(-5.698995--0.667335))+0-626.2--1.59680999999991</f>
        <v>4689.2119400000001</v>
      </c>
      <c r="J99" s="3">
        <f>3194.7+(2237.2-234)+(-9.775782+(-6.845832--0.71604))+0-598.4--1.83110400000007</f>
        <v>4585.4255299999995</v>
      </c>
      <c r="K99" s="3">
        <f>3135.2+(2199.5-220.8)+(-7.99476+(-5.608725--0.56304))+0-594.7--1.51648499999991</f>
        <v>4507.6760400000003</v>
      </c>
      <c r="L99" s="3">
        <f>3040.6+(1900-243.9)+(-1.550706+(-0.969--0.124389))+0-594.6--0.30324599999994</f>
        <v>4100.0079289999985</v>
      </c>
      <c r="M99" s="3">
        <f>3048.3+(1758.5-254)+(-1.554633+(-0.896835--0.12954))+0-600.4--0.306203999999939</f>
        <v>3950.3842759999998</v>
      </c>
      <c r="N99" s="3">
        <f>3173.2+(1603.4-250.7)+(1.618332+(0.817734-0.127857))+0-612.7-0.312476999999938</f>
        <v>3915.1957319999997</v>
      </c>
      <c r="O99" s="3">
        <f>3534.8+(1191.2-315.7)+(-1.802748+(-0.607512--0.161007))+0-488.5--0.24913499999995</f>
        <v>3919.7998820000003</v>
      </c>
      <c r="P99" s="3">
        <f>3989.1+(868.6-312.6)+(-2.034441+(-0.442986--0.159426))+0-583.6--0.297635999999941</f>
        <v>3959.4796350000006</v>
      </c>
      <c r="Q99" s="3">
        <f>5190.5+(359.9-730.8)+(0+(0-0))+0-495-0</f>
        <v>4324.6000000000004</v>
      </c>
      <c r="R99" s="3">
        <f>5860.1+(355.8-925.1)+(0+(0-0))+0-527.5-0</f>
        <v>4763.3</v>
      </c>
      <c r="S99" s="3">
        <f>5848.6+(672.2-882.4)+(-5.965572+(-0.685644--0.900048))+0-453.8--0.462876000000072</f>
        <v>5179.3117080000011</v>
      </c>
      <c r="T99" s="3">
        <f>6315.3+(821.6-1091.7)+(-3.220803+(-0.419016--0.556767))+0-572.8--0.292127999999942</f>
        <v>5469.6090759999997</v>
      </c>
      <c r="U99" s="3">
        <f>6253+(1017.6-1181.8)+(3.18903+(0.518976-0.602718))+0-645.3-0.329102999999935</f>
        <v>5446.2761849999997</v>
      </c>
      <c r="V99" s="3">
        <f>6039.7+(1004.3-1169.7)+(-3.080247+(-0.512193--0.596547))+0-561.1--0.286160999999943</f>
        <v>5310.4902679999987</v>
      </c>
      <c r="W99" s="3">
        <f>5146.9+(1047.8-466)+(-18.374433+(-3.740646--1.66362))+0-604--2.15628000000001</f>
        <v>5106.4048210000001</v>
      </c>
      <c r="X99" s="3">
        <f>3816.4+(1716-267.8)+(-11.678184+(-5.25096--0.819468))+0-689.5--2.10987000000008</f>
        <v>4561.1001940000006</v>
      </c>
      <c r="Y99" s="3">
        <f>3439.4+(1508.7-279.5)+(-1.754094+(-0.769437--0.142545))+0-637.6--0.325175999999935</f>
        <v>4028.9441900000002</v>
      </c>
      <c r="Z99" s="3">
        <f>3851.7+(1236.8-297.5)+(1.964367+(0.630768-0.151725))+0-688-0.35087999999993</f>
        <v>4105.0925299999999</v>
      </c>
      <c r="AA99" s="3">
        <f>4815.9+(1031.3-480.5)+(-9.824436+(-2.103852--0.98022))+0-636.1--1.29764399999997</f>
        <v>4720.949576</v>
      </c>
      <c r="AB99" s="3">
        <f>4309.3+(1523.2-248.4)+(-2.197743+(-0.776832--0.126684))+0-699.3--0.356642999999929</f>
        <v>4882.3087519999999</v>
      </c>
      <c r="AC99" s="3">
        <f>4170.7+(1737.3-255.1)+(0+(0-0))+0-663.7-0</f>
        <v>4989.2</v>
      </c>
      <c r="AD99">
        <v>4879</v>
      </c>
      <c r="AE99" s="3">
        <f>4902+(1007.3-460)+(0+(0-0))+0-570.3-0</f>
        <v>4879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3896.6+(2026.8-229.3)+(-9.93633+(-5.16834--0.584715))+0-554.1--1.41295499999992</f>
        <v>5126.893</v>
      </c>
      <c r="G100" s="3">
        <f>3870.3+(2131.3-271.2)+(-7.895412+(-4.347852--0.553248))+0-558--1.13831999999998</f>
        <v>5161.848304000001</v>
      </c>
      <c r="H100" s="3">
        <f>3483.1+(2236.6-251.4)+(-3.552762+(-2.281332--0.256428))+0-823.2--0.839664000000131</f>
        <v>4640.3619979999994</v>
      </c>
      <c r="I100" s="3">
        <f>3381.2+(2352.1-242.9)+(-5.173236+(-3.598713--0.371637))+0-767--1.17351000000004</f>
        <v>4716.1731979999995</v>
      </c>
      <c r="J100" s="3">
        <f>3125+(2350.6-210.6)+(-7.96875+(-5.99403--0.53703))+0-597--1.52234999999991</f>
        <v>4656.0965999999999</v>
      </c>
      <c r="K100" s="3">
        <f>3041.1+(2363-233.4)+(-7.754805+(-6.02565--0.59517))+0-714.5--1.8219749999999</f>
        <v>4444.8366900000001</v>
      </c>
      <c r="L100" s="3">
        <f>2925.5+(1917-256.6)+(1.492005+(0.97767-0.130866))+0-589.5-0.30064499999994</f>
        <v>3998.4381639999997</v>
      </c>
      <c r="M100" s="3">
        <f>3077.6+(1625.6-179.3)+(-4.708728+(-2.487168--0.274329))+0-665.2--1.01775600000004</f>
        <v>3852.7961889999997</v>
      </c>
      <c r="N100" s="3">
        <f>3302.8+(1167.2-123.1)+(1.684428+(0.595272-0.062781))+0-445.6-0.227255999999955</f>
        <v>3903.2896630000009</v>
      </c>
      <c r="O100" s="3">
        <f>3528.1+(1116.7-108.6)+(0+(0-0))+0-584.9-0</f>
        <v>3951.2999999999997</v>
      </c>
      <c r="P100" s="3">
        <f>3950.1+(723.9-337.9)+(-2.014551+(-0.369189--0.172329))+0-565.8--0.288557999999943</f>
        <v>3768.3771469999997</v>
      </c>
      <c r="Q100" s="3">
        <f>4837.4+(469.8-570.2)+(4.934148+(0.479196-0.581604))+0-416-0.424320000000066</f>
        <v>4325.4074199999995</v>
      </c>
      <c r="R100" s="3">
        <f>5936.1+(618.6-1019.8)+(6.054822+(0.630972-1.040196))+0-625.5-0.6380100000001</f>
        <v>4914.4075880000009</v>
      </c>
      <c r="S100" s="3">
        <f>6028+(678.7-898.1)+(0+(0-0))+0-624.9-0</f>
        <v>5183.7000000000007</v>
      </c>
      <c r="T100" s="3">
        <f>6403.7+(778.6-1156.7)+(-3.265887+(-0.397086--0.589917))+0-573.2--0.292331999999942</f>
        <v>5449.6192759999994</v>
      </c>
      <c r="U100" s="3">
        <f>6394+(799.1-1172)+(-3.26094+(-0.407541--0.59772))+0-538.9--0.274838999999945</f>
        <v>5479.4040780000005</v>
      </c>
      <c r="V100" s="3">
        <f>6425.7+(806.9-1191.5)+(-9.831321+(-1.234557--1.822995))+0-638.9--0.977517000000037</f>
        <v>5393.9346340000002</v>
      </c>
      <c r="W100" s="3">
        <f>5251.1+(847.6-501.2)+(5.356122+(0.864552-0.511224))+0-522.9-0.533358000000083</f>
        <v>5079.776092000001</v>
      </c>
      <c r="X100" s="3">
        <f>3675.5+(1766.4-282.4)+(-7.49802+(-3.603456--0.576096))+0-550.2--1.12240799999998</f>
        <v>4599.8970280000003</v>
      </c>
      <c r="Y100" s="3">
        <f>3128.8+(1619.2-264.2)+(-3.191376+(-1.651584--0.269484))+0-433.2--0.441864000000069</f>
        <v>4046.4683880000007</v>
      </c>
      <c r="Z100" s="3">
        <f>3522.4+(1492.7-285.5)+(0+(0-0))+0-657.3-0</f>
        <v>4072.3</v>
      </c>
      <c r="AA100" s="3">
        <f>3935.4+(1637.9-299.6)+(-2.007054+(-0.835329--0.152796))+0-572--0.291719999999942</f>
        <v>4699.302133000001</v>
      </c>
      <c r="AB100" s="3">
        <f>3769.1+(2066.9-241.2)+(-5.766723+(-3.162357--0.369036))+0-714.1--1.09257300000004</f>
        <v>4873.2325289999999</v>
      </c>
      <c r="AC100" s="3">
        <f>3836.4+(2170.8-260.3)+(0+(0-0))+0-674.2-0</f>
        <v>5072.7000000000007</v>
      </c>
      <c r="AD100">
        <v>4646</v>
      </c>
      <c r="AE100" s="3">
        <f>4036+(1559.7-306.4)+(0+(0-0))+0-643.3-0</f>
        <v>4646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3936.3+(1944.8-274.4)+(-6.022539+(-2.975544--0.419832))+0-620.2--0.948906000000036</f>
        <v>4978.8706550000006</v>
      </c>
      <c r="G101" s="3">
        <f>3934+(2004.8-278.2)+(0+(0-0))+0-648.5-0</f>
        <v>5012.1000000000004</v>
      </c>
      <c r="H101" s="3">
        <f>3435+(2325-264.7)+(-8.75925+(-5.92875--0.674985))+0-653--1.66514999999991</f>
        <v>4829.9521349999995</v>
      </c>
      <c r="I101" s="3">
        <f>3260.1+(2385.2-277.4)+(-4.987953+(-3.649356--0.424422))+0-607.6--0.929628000000035</f>
        <v>4753.0167409999995</v>
      </c>
      <c r="J101" s="3">
        <f>3185.6+(2311.2-260)+(-4.873968+(-3.536136--0.3978))+0-637.5--0.975375000000037</f>
        <v>4592.2630709999994</v>
      </c>
      <c r="K101" s="3">
        <f>3079.6+(2295.5-258.5)+(-9.423576+(-7.02423--0.79101))+0-693.9--2.12333400000008</f>
        <v>4409.1665380000004</v>
      </c>
      <c r="L101" s="3">
        <f>2966.9+(1999.6-259.3)+(-3.026238+(-2.039592--0.264486))+0-643.3--0.656166000000103</f>
        <v>4059.7548219999994</v>
      </c>
      <c r="M101" s="3">
        <f>3142.4+(1692.2-258.1)+(1.602624+(0.863022-0.131631))+0-688.7-0.35123699999993</f>
        <v>3889.7827780000007</v>
      </c>
      <c r="N101" s="3">
        <f>3279.5+(1445.2-312.4)+(3.34509+(1.474104-0.318648))+0-518-0.528360000000083</f>
        <v>3898.2721860000001</v>
      </c>
      <c r="O101" s="3">
        <f>3147.7+(1590-276.8)+(-4.815981+(-2.4327--0.423504))+0-599.2--0.916776000000035</f>
        <v>3855.7915990000001</v>
      </c>
      <c r="P101" s="3">
        <f>3504.9+(1281.7-310.9)+(0+(0-0))+0-522.9-0</f>
        <v>3952.7999999999997</v>
      </c>
      <c r="Q101" s="3">
        <f>4434.4+(851-436.7)+(2.261544+(0.43401-0.222717))+0-702.1-0.358070999999929</f>
        <v>4148.7147660000001</v>
      </c>
      <c r="R101" s="3">
        <f>5515.9+(756.8-952)+(-2.813109+(-0.385968--0.48552))+0-595.7--0.30380699999994</f>
        <v>4722.5902500000002</v>
      </c>
      <c r="S101" s="3">
        <f>5656.2+(841.7-729.9)+(-11.538648+(-1.717068--1.488996))+0-595.7--1.21522799999997</f>
        <v>5161.7485080000006</v>
      </c>
      <c r="T101" s="3">
        <f>6393.4+(929-1268.8)+(3.260634+(0.47379-0.647088))+0-637.1-0.324920999999935</f>
        <v>5419.2624149999983</v>
      </c>
      <c r="U101" s="3">
        <f>6297.1+(999.6-1079.8)+(-16.057605+(-2.54898--2.75349))+0-637.1--1.62460499999991</f>
        <v>5565.5715099999998</v>
      </c>
      <c r="V101" s="3">
        <f>5898.6+(1159.2-1032.8)+(0+(0-0))+0-635.8-0</f>
        <v>5389.2</v>
      </c>
      <c r="W101" s="3">
        <f>4984.6+(1201.1-473.1)+(-7.626438+(-1.837683--0.723843))+0-635.8--0.972774000000037</f>
        <v>5069.0324959999998</v>
      </c>
      <c r="X101" s="3">
        <f>3795.4+(1854.9-242.3)+(-7.742616+(-3.783996--0.494292))+0-635.5--1.29641999999997</f>
        <v>4762.7640999999994</v>
      </c>
      <c r="Y101" s="3">
        <f>3256.6+(1654.4-244.5)+(-3.321732+(-1.687488--0.24939))+0-669.7--0.683094000000107</f>
        <v>3992.7232640000002</v>
      </c>
      <c r="Z101" s="3">
        <f>3715.1+(1203.5-281.1)+(-7.578804+(-2.45514--0.573444))+0-589.5--1.20257999999997</f>
        <v>4039.74208</v>
      </c>
      <c r="AA101" s="3">
        <f>4094.1+(1539.9-280.3)+(-6.263973+(-2.356047--0.428859))+0-704.1--1.07727300000004</f>
        <v>4642.4861119999996</v>
      </c>
      <c r="AB101" s="3">
        <f>4050.7+(1656.8-278.3)+(-6.197571+(-2.534904--0.425799))+0-616.8--0.943704000000036</f>
        <v>4805.0370279999997</v>
      </c>
      <c r="AC101" s="3">
        <f>4434.3+(1513.9-311.7)+(4.522986+(1.544178-0.317934))+0-665.1-0.678402000000106</f>
        <v>4976.4708279999995</v>
      </c>
      <c r="AD101">
        <v>4688.2999999999993</v>
      </c>
      <c r="AE101" s="3">
        <f>4242+(1372.7-318.6)+(0+(0-0))+0-607.8-0</f>
        <v>4688.3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4307.9+(1669.4-297.9)+(-2.197029+(-0.851394--0.151929))+0-620--0.316199999999937</f>
        <v>5056.8197060000002</v>
      </c>
      <c r="G102" s="3">
        <f>4048.9+(1832.9-247.8)+(-4.129878+(-1.869558--0.252756))+0-722--0.736440000000115</f>
        <v>4906.9897599999995</v>
      </c>
      <c r="H102" s="3">
        <f>3681.1+(2034.5-228.6)+(-3.754722+(-2.07519--0.233172))+0-608.7--0.620874000000097</f>
        <v>4873.3241340000004</v>
      </c>
      <c r="I102" s="3">
        <f>3466.3+(2240.8-221.4)+(1.767813+(1.142808-0.112914))+0-557-0.284069999999943</f>
        <v>4931.2136370000007</v>
      </c>
      <c r="J102" s="3">
        <f>3156.1+(2343.2-226.4)+(-4.828833+(-3.585096--0.346392))+0-590--0.902700000000034</f>
        <v>4675.7351629999994</v>
      </c>
      <c r="K102" s="3">
        <f>3092.7+(2338.1-236.3)+(-7.886385+(-5.962155--0.602565))+0-669.3--1.7067149999999</f>
        <v>4513.6607400000003</v>
      </c>
      <c r="L102" s="3">
        <f>2968.4+(2123-244.9)+(-9.083304+(-6.49638--0.749394))+0-644.9--1.97339400000007</f>
        <v>4188.7431040000001</v>
      </c>
      <c r="M102" s="3">
        <f>2984+(1730.3-227.9)+(-1.52184+(-0.882453--0.116229))+0-534.9--0.272798999999946</f>
        <v>3949.4847349999991</v>
      </c>
      <c r="N102" s="3">
        <f>3165.5+(1498.4-251)+(-1.614405+(-0.764184--0.12801))+0-567.7--0.289526999999942</f>
        <v>3843.2389480000002</v>
      </c>
      <c r="O102" s="3">
        <f>3173.9+(1279.2-289.9)+(0+(0-0))+0-394.6-0</f>
        <v>3768.6</v>
      </c>
      <c r="P102" s="3">
        <f>3388.2+(1343.1-305.9)+(0+(0-0))+0-588.6-0</f>
        <v>3836.7999999999997</v>
      </c>
      <c r="Q102" s="3">
        <f>4107.5+(822.5-318.1)+(-6.284475+(-1.258425--0.486693))+0-602.1--0.921213000000035</f>
        <v>4003.6650060000002</v>
      </c>
      <c r="R102" s="3">
        <f>4821+(602-440.5)+(-2.45871+(-0.30702--0.224655))+0-562.8--0.287027999999943</f>
        <v>4417.4459529999995</v>
      </c>
      <c r="S102" s="3">
        <f>5242.3+(832.6-590.6)+(-13.367865+(-2.12313--1.50603))+0-601.7--1.53433499999991</f>
        <v>4870.149370000001</v>
      </c>
      <c r="T102" s="3">
        <f>5350.5+(944.7-673.6)+(2.728755+(0.481797-0.343536))+0-516.2-0.263261999999948</f>
        <v>5108.0037540000003</v>
      </c>
      <c r="U102" s="3">
        <f>5316+(1111.2-612.5)+(2.71116+(0.566712-0.312375))+0-630.1-0.321350999999936</f>
        <v>5187.244146</v>
      </c>
      <c r="V102" s="3">
        <f>5127.4+(1076.3-541.9)+(-5.229948+(-1.097826--0.552738))+0-583.7--0.595374000000093</f>
        <v>5072.9203379999999</v>
      </c>
      <c r="W102" s="3">
        <f>4628.6+(1148.4-316.7)+(-7.081758+(-1.757052--0.484551))+0-622.9--0.953037000000036</f>
        <v>4829.998778000001</v>
      </c>
      <c r="X102" s="3">
        <f>3497.4+(1707.8-281.9)+(-7.134696+(-3.483912--0.575076))+0-588.9--1.20135599999997</f>
        <v>4325.5578240000004</v>
      </c>
      <c r="Y102" s="3">
        <f>3388.4+(1495.1-270.9)+(-5.184252+(-2.287503--0.414477))+0-639.4--0.978282000000037</f>
        <v>3967.1210040000001</v>
      </c>
      <c r="Z102" s="3">
        <f>3942.5+(975.9-293.1)+(2.010675+(0.497709-0.149481))+0-603.6-0.307835999999939</f>
        <v>4023.7510670000006</v>
      </c>
      <c r="AA102" s="3">
        <f>4532.5+(909.9-337.5)+(-6.934725+(-1.392147--0.516375))+0-607.5--0.929475000000035</f>
        <v>4490.5189779999992</v>
      </c>
      <c r="AB102" s="3">
        <f>4420.9+(1134.4-294.9)+(-4.509318+(-1.157088--0.300798))+0-608.7--0.620874000000097</f>
        <v>4646.9552659999999</v>
      </c>
      <c r="AC102" s="3">
        <f>4398.9+(1294.5-307.6)+(4.486878+(1.32039-0.313752))+0-619.3-0.631686000000099</f>
        <v>4771.3618299999998</v>
      </c>
      <c r="AD102">
        <v>4601</v>
      </c>
      <c r="AE102" s="3">
        <f>4508+(954.5-302.3)+(0+(0-0))+0-559.2-0</f>
        <v>4601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4164+(1580.1-245.7)+(-4.24728+(-1.611702--0.250614))+0-635.7--0.648414000000101</f>
        <v>4857.7400459999999</v>
      </c>
      <c r="G103" s="3">
        <f>3650.1+(2054.3-250.6)+(-1.861551+(-1.047693--0.127806))+0-605.2--0.308651999999939</f>
        <v>4846.1272140000001</v>
      </c>
      <c r="H103" s="3">
        <f>3446.8+(2194.9-231.8)+(-7.031472+(-4.477596--0.472872))+0-675.4--1.37781599999997</f>
        <v>4724.8416200000011</v>
      </c>
      <c r="I103" s="3">
        <f>3373+(2114.8-241.1)+(-8.60115+(-5.39274--0.614805))+0-640.4--1.63301999999991</f>
        <v>4594.5539350000017</v>
      </c>
      <c r="J103" s="3">
        <f>3376.3+(2033.9-257)+(3.443826+(2.074578-0.26214))+0-665.5-0.678810000000106</f>
        <v>4492.277454</v>
      </c>
      <c r="K103" s="3">
        <f>3085.9+(2128.6-264.3)+(-7.869045+(-5.42793--0.673965))+0-555.1--1.41550499999992</f>
        <v>4383.8924949999991</v>
      </c>
      <c r="L103" s="3">
        <f>3056.6+(2001-236.8)+(-1.558866+(-1.02051--0.120768))+0-699.2--0.356591999999929</f>
        <v>4119.4979840000005</v>
      </c>
      <c r="M103" s="3">
        <f>3050.5+(1672.5-236.9)+(-3.11151+(-1.70595--0.241638))+0-597.9--0.609858000000095</f>
        <v>3884.2340360000007</v>
      </c>
      <c r="N103" s="3">
        <f>3130.2+(1417.3-236.5)+(-3.192804+(-1.445646--0.24123))+0-592.8--0.604656000000094</f>
        <v>3714.407436</v>
      </c>
      <c r="O103" s="3">
        <f>3254.6+(1232.3-281.6)+(1.659846+(0.628473-0.143616))+0-565-0.288149999999943</f>
        <v>3642.1565530000003</v>
      </c>
      <c r="P103" s="3">
        <f>3531.1+(1045.7-312.9)+(-3.601722+(-1.066614--0.319158))+0-612.7--0.624954000000098</f>
        <v>3647.4757759999993</v>
      </c>
      <c r="Q103" s="3">
        <f>3862.9+(716.3-306.9)+(0+(0-0))+0-473.9-0</f>
        <v>3798.4</v>
      </c>
      <c r="R103" s="3">
        <f>4740.9+(535.2-389.1)+(7.253577+(0.818856-0.595323))+0-506.9-0.775557000000029</f>
        <v>4386.8015530000002</v>
      </c>
      <c r="S103" s="3">
        <f>5106+(685.5-623.7)+(0+(0-0))+0-561.4-0</f>
        <v>4606.4000000000005</v>
      </c>
      <c r="T103" s="3">
        <f>5439.2+(876.4-768.3)+(2.773992+(0.446964-0.391833))+0-670.8-0.342107999999932</f>
        <v>4878.9870150000006</v>
      </c>
      <c r="U103" s="3">
        <f>5541.2+(888.2-870.5)+(-16.956072+(-2.717892--2.66373))+0-505.4--1.54652400000006</f>
        <v>5038.03629</v>
      </c>
      <c r="V103" s="3">
        <f>5441.5+(900.2-738.1)+(8.325495+(1.377306-1.129293))+0-568.8-0.870264000000033</f>
        <v>5042.5032440000004</v>
      </c>
      <c r="W103" s="3">
        <f>4870.1+(1076.4-555.5)+(-12.418755+(-2.74482--1.416525))+0-620.8--1.58303999999991</f>
        <v>4758.0359899999994</v>
      </c>
      <c r="X103" s="3">
        <f>3704.5+(1482.8-246)+(-9.446475+(-3.78114--0.6273))+0-627.8--1.60088999999991</f>
        <v>4302.500575</v>
      </c>
      <c r="Y103" s="3">
        <f>3698.5+(1160-269.7)+(-3.77247+(-1.1832--0.275094))+0-645.8--0.658716000000103</f>
        <v>3938.9781400000002</v>
      </c>
      <c r="Z103" s="3">
        <f>3963.2+(889.2-256.1)+(-4.042464+(-0.906984--0.261222))+0-618.5--0.630870000000099</f>
        <v>3973.7426439999999</v>
      </c>
      <c r="AA103" s="3">
        <f>4102.5+(1147.1-234.1)+(-8.3691+(-2.340084--0.477564))+0-616.7--1.25806799999997</f>
        <v>4389.8264480000007</v>
      </c>
      <c r="AB103" s="3">
        <f>4564.3+(971.2-345.8)+(-4.655586+(-0.990624--0.352716))+0-550.7--0.561714000000088</f>
        <v>4634.2682200000017</v>
      </c>
      <c r="AC103" s="3">
        <f>4599.5+(1217.8-293.9)+(-7.037235+(-1.863234--0.449667))+0-725.7--1.11032100000004</f>
        <v>4790.3595189999996</v>
      </c>
      <c r="AD103">
        <v>4546.6000000000004</v>
      </c>
      <c r="AE103" s="3">
        <f>4523+(964.1-282.3)+(0+(0-0))+0-658.2-0</f>
        <v>4546.6000000000004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4061.6+(1713.7-261.9)+(-2.071416+(-0.873987--0.133569))+0-614.7--0.313496999999938</f>
        <v>4896.2016629999998</v>
      </c>
      <c r="G104" s="3">
        <f>3340.3+(2371.2-258)+(-3.407106+(-2.418624--0.26316))+0-620.3--0.632706000000099</f>
        <v>4828.2701360000001</v>
      </c>
      <c r="H104" s="3">
        <f>3268.8+(2247.3-245.3)+(3.334176+(2.292246-0.250206))+0-573.9-0.585378000000091</f>
        <v>4701.6908380000004</v>
      </c>
      <c r="I104" s="3">
        <f>3145.2+(2280.4-242.5)+(-1.604052+(-1.163004--0.123675))+0-567.5--0.289424999999942</f>
        <v>4613.2460440000004</v>
      </c>
      <c r="J104" s="3">
        <f>3076.3+(2149-246.2)+(-4.706739+(-3.28797--0.376686))+0-468.7--0.717111000000027</f>
        <v>4503.4990880000005</v>
      </c>
      <c r="K104" s="3">
        <f>3030.5+(2251-264.8)+(-12.36444+(-9.18408--1.080384))+0-612--2.49695999999995</f>
        <v>4386.7288239999998</v>
      </c>
      <c r="L104" s="3">
        <f>2776.7+(2275.3-262.4)+(-5.664468+(-4.641612--0.535296))+0-706.8--1.44187199999997</f>
        <v>4074.4710879999998</v>
      </c>
      <c r="M104" s="3">
        <f>2937.3+(1807.2-268)+(4.494069+(2.765016-0.41004))+0-589.4-0.901782000000034</f>
        <v>3893.0472629999999</v>
      </c>
      <c r="N104" s="3">
        <f>3115.7+(1531.1-241.2)+(1.589007+(0.780861-0.123012))+0-599.2-0.305591999999939</f>
        <v>3808.3412639999992</v>
      </c>
      <c r="O104" s="3">
        <f>3513.6+(1136.5-323.1)+(1.791936+(0.579615-0.164781))+0-642-0.327419999999935</f>
        <v>3686.8793499999997</v>
      </c>
      <c r="P104" s="3">
        <f>4244+(696.4-544.3)+(-4.32888+(-0.710328--0.555186))+0-609--0.621180000000097</f>
        <v>3783.2371580000008</v>
      </c>
      <c r="Q104" s="3">
        <f>5281.7+(444.6-1069)+(-2.693667+(-0.226746--0.54519))+0-642.8--0.327827999999935</f>
        <v>4012.4526049999999</v>
      </c>
      <c r="R104" s="3">
        <f>5980.6+(321-1170.1)+(-6.100212+(-0.32742--1.193502))+0-668.3--0.681666000000106</f>
        <v>4458.6475360000004</v>
      </c>
      <c r="S104" s="3">
        <f>5873.4+(687.8-1017.1)+(-2.995434+(-0.350778--0.518721))+0-642.4--0.327623999999935</f>
        <v>4899.2001329999994</v>
      </c>
      <c r="T104" s="3">
        <f>6121+(927.6-1237.9)+(-9.36513+(-1.419228--1.893987))+0-572--0.875160000000033</f>
        <v>5230.684788999999</v>
      </c>
      <c r="U104" s="3">
        <f>6327.9+(847.6-1379.3)+(0+(0-0))+0-504.7-0</f>
        <v>5291.5</v>
      </c>
      <c r="V104" s="3">
        <f>6377.6+(897.2-1302.5)+(-6.505152+(-0.915144--1.32855))+0-636.6--0.649332000000101</f>
        <v>5330.2575859999997</v>
      </c>
      <c r="W104" s="3">
        <f>4927.7+(1142.7-563.5)+(-12.565635+(-2.913885--1.436925))+0-564.2--1.43870999999992</f>
        <v>4930.0961150000003</v>
      </c>
      <c r="X104" s="3">
        <f>3480.4+(1824.4-255.4)+(-8.87502+(-4.65222--0.65127))+0-594.1--1.51495499999991</f>
        <v>4443.9389849999989</v>
      </c>
      <c r="Y104" s="3">
        <f>3249.2+(1540.3-266.5)+(-9.942552+(-4.713318--0.81549))+0-558.3--1.70839800000006</f>
        <v>3952.5680180000004</v>
      </c>
      <c r="Z104" s="3">
        <f>3496+(1394.6-277.8)+(3.56592+(1.422492-0.283356))+0-644.2-0.657084000000103</f>
        <v>3972.6479720000002</v>
      </c>
      <c r="AA104" s="3">
        <f>3915.1+(1488.5-274.3)+(-5.990103+(-2.277405--0.419679))+0-583.7--0.893061000000034</f>
        <v>4538.6452319999999</v>
      </c>
      <c r="AB104" s="3">
        <f>3959.7+(1683.6-295.6)+(-4.038894+(-1.717272--0.301512))+0-683.9--0.697578000000109</f>
        <v>4659.0429240000003</v>
      </c>
      <c r="AC104" s="3">
        <f>4071+(1707.9-264.3)+(2.07621+(0.871029-0.134793))+0-672-0.342719999999932</f>
        <v>4845.0697260000006</v>
      </c>
      <c r="AD104">
        <v>4756</v>
      </c>
      <c r="AE104" s="3">
        <f>4047+(1591-291)+(0+(0-0))+0-591-0</f>
        <v>4756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3856.8+(1981.8-255.1)+(0+(0-0))+0-617-0</f>
        <v>4966.5</v>
      </c>
      <c r="G105" s="3">
        <f>3760.2+(1959.9-250.9)+(-1.917702+(-0.999549--0.127959))+0-553--0.282029999999944</f>
        <v>4913.6927379999997</v>
      </c>
      <c r="H105" s="3">
        <f>3222.8+(2290.5-221.9)+(-4.930884+(-3.504465--0.339507))+0-595--0.910350000000034</f>
        <v>4689.214508</v>
      </c>
      <c r="I105" s="3">
        <f>3142.7+(2247.2-204.4)+(-4.808331+(-3.438216--0.312732))+0-552--0.844560000000032</f>
        <v>4626.4107450000001</v>
      </c>
      <c r="J105" s="3">
        <f>3122.9+(2168-230)+(-7.963395+(-5.5284--0.5865))+0-564--1.43819999999992</f>
        <v>4485.4329049999997</v>
      </c>
      <c r="K105" s="3">
        <f>3124.8+(2048.8-243.3)+(-7.96824+(-5.22444--0.620415))+0-569--1.45094999999992</f>
        <v>4350.1786849999999</v>
      </c>
      <c r="L105" s="3">
        <f>3065.8+(1714.4-230.4)+(-3.127116+(-1.748688--0.235008))+0-573--0.584460000000091</f>
        <v>3972.7436640000005</v>
      </c>
      <c r="M105" s="3">
        <f>3119.8+(1449.6-227.2)+(-1.591098+(-0.739296--0.115872))+0-528--0.269279999999946</f>
        <v>3812.2547579999996</v>
      </c>
      <c r="N105" s="3">
        <f>3291.1+(1224.7-325.8)+(1.678461+(0.624597-0.166158))+0-531.9-0.271268999999946</f>
        <v>3659.9656310000005</v>
      </c>
      <c r="O105" s="3">
        <f>3312.7+(1122.4-335.8)+(0+(0-0))+0-502.4-0</f>
        <v>3596.9</v>
      </c>
      <c r="P105" s="3">
        <f>3932.2+(760.9-430.9)+(4.010844+(0.776118-0.439518))+0-479-0.488580000000076</f>
        <v>3787.0588639999996</v>
      </c>
      <c r="Q105" s="3">
        <f>4642.9+(462.7-632.8)+(-2.367879+(-0.235977--0.322728))+0-505.1--0.257600999999949</f>
        <v>3965.6764729999995</v>
      </c>
      <c r="R105" s="3">
        <f>5627.9+(288.4-927)+(-5.740458+(-0.294168--0.94554))+0-525.3--0.535806000000084</f>
        <v>4459.446719999999</v>
      </c>
      <c r="S105" s="3">
        <f>5826.1+(584.5-957.7)+(-5.942622+(-0.59619--0.976854))+0-575.6--0.587112000000092</f>
        <v>4872.3251540000001</v>
      </c>
      <c r="T105" s="3">
        <f>6243.7+(860.9-1422.1)+(0+(0-0))+0-500.7-0</f>
        <v>5181.8</v>
      </c>
      <c r="U105" s="3">
        <f>6386.9+(115.5-586.8)+(0+(0-0))+0-493-0</f>
        <v>5422.5999999999995</v>
      </c>
      <c r="V105" s="3">
        <f>6212.9+(106.4-592)+(3.168579+(0.054264-0.30192))+0-512-0.261119999999948</f>
        <v>5217.9598029999988</v>
      </c>
      <c r="W105" s="3">
        <f>4838.2+(1300.4-600.5)+(-9.869928+(-2.652816--1.22502))+0-517.9--1.05651599999998</f>
        <v>5009.9587920000004</v>
      </c>
      <c r="X105" s="3">
        <f>3314.8+(1870.8-231.6)+(-11.833836+(-6.678756--0.826812))+0-518.2--1.84997400000001</f>
        <v>4419.9641940000001</v>
      </c>
      <c r="Y105" s="3">
        <f>3152.4+(1546.1-253.5)+(-8.03862+(-3.942555--0.646425))+0-526.7--1.34308499999992</f>
        <v>3908.3083350000002</v>
      </c>
      <c r="Z105" s="3">
        <f>3634.2+(1087.8-314.8)+(-1.853442+(-0.554778--0.160548))+0-469.7--0.239546999999952</f>
        <v>3935.4918749999997</v>
      </c>
      <c r="AA105" s="3">
        <f>3907.1+(1430.2-284.6)+(-7.970484+(-2.917608--0.580584))+0-617.8--1.26031199999997</f>
        <v>4425.8528040000001</v>
      </c>
      <c r="AB105" s="3">
        <f>3816.8+(1663.2-261.4)+(-5.839704+(-2.544696--0.399942))+0-558.9--0.855117000000032</f>
        <v>4652.5706590000009</v>
      </c>
      <c r="AC105" s="3">
        <f>3987.1+(1629.8-294.9)+(2.033421+(0.831198-0.150399))+0-505.2-0.257651999999949</f>
        <v>4819.2565679999998</v>
      </c>
      <c r="AD105">
        <v>4538</v>
      </c>
      <c r="AE105" s="3">
        <f>4169+(1403.8-297.3)+(0+(0-0))+0-737.5-0</f>
        <v>4538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3951.6+(1793.8-253.2)+(0+(0-0))+0-609.1-0</f>
        <v>4883.0999999999995</v>
      </c>
      <c r="G106" s="3">
        <f>3513.4+(2007.4-263.4)+(-7.167336+(-4.095096--0.537336))+0-436.9--0.891275999999981</f>
        <v>4810.6661800000002</v>
      </c>
      <c r="H106" s="3">
        <f>3347+(2066.3-262.9)+(1.70697+(1.053813-0.134079))+0-474.4-0.241943999999952</f>
        <v>4678.3847599999999</v>
      </c>
      <c r="I106" s="3">
        <f>3191.3+(2165.5-273.2)+(-6.510252+(-4.41762--0.557328))+0-524.4--1.06977599999998</f>
        <v>4549.8992320000007</v>
      </c>
      <c r="J106" s="3">
        <f>3142+(2076.3-256.8)+(0+(0-0))+0-517.3-0</f>
        <v>4444.2</v>
      </c>
      <c r="K106" s="3">
        <f>3071.8+(2138-257.5)+(-7.83309+(-5.4519--0.656625))+0-602.1--1.53535499999991</f>
        <v>4339.1069900000002</v>
      </c>
      <c r="L106" s="3">
        <f>2791.9+(1975.1-259.1)+(-7.119345+(-5.036505--0.660705))+0-561.9--1.43284499999992</f>
        <v>3935.9376999999995</v>
      </c>
      <c r="M106" s="3">
        <f>2965.6+(1582.2-268)+(0+(0-0))+0-528.9-0</f>
        <v>3750.9</v>
      </c>
      <c r="N106" s="3">
        <f>3254.6+(1205.1-259.8)+(4.979538+(1.843803-0.397494))+0-537.8-0.822834000000031</f>
        <v>3667.7030129999998</v>
      </c>
      <c r="O106" s="3">
        <f>3304.3+(1194.7-330.2)+(3.370386+(1.218594-0.336804))+0-497.8-0.507756000000079</f>
        <v>3674.74442</v>
      </c>
      <c r="P106" s="3">
        <f>3822.7+(999.6-504.8)+(5.848731+(1.529388-0.772344))+0-604-0.924120000000035</f>
        <v>3719.1816549999999</v>
      </c>
      <c r="Q106" s="3">
        <f>4940.2+(468.6-942)+(7.558506+(0.716958-1.44126))+0-527.9-0.80768700000003</f>
        <v>3944.9265169999999</v>
      </c>
      <c r="R106" s="3">
        <f>5865.6+(311.4-1173.9)+(-2.991456+(-0.158814--0.598689))+0-592.7--0.30227699999994</f>
        <v>4408.1506960000006</v>
      </c>
      <c r="S106" s="3">
        <f>6065.9+(517.5-1216.9)+(-12.374436+(-1.0557--2.482476))+0-485.9--0.991235999999979</f>
        <v>4870.6435760000004</v>
      </c>
      <c r="T106" s="3">
        <f>6611.2+(770.9-1687.5)+(10.115136+(1.179477-2.581875))+0-553-0.846090000000032</f>
        <v>5149.4666479999996</v>
      </c>
      <c r="U106" s="3">
        <f>6821.9+(1054.4-2065)+(-6.958338+(-1.075488--2.1063))+0-551.4--0.562428000000088</f>
        <v>5254.5349019999994</v>
      </c>
      <c r="V106" s="3">
        <f>6318.6+(1027.9-1574.4)+(-12.889944+(-2.096916--3.211776))+0-603.3--1.23073199999997</f>
        <v>5158.2556480000003</v>
      </c>
      <c r="W106" s="3">
        <f>5624.3+(659.4-790.3)+(-11.473572+(-1.345176--1.612212))+0-570.6--1.16402399999998</f>
        <v>4912.7574880000002</v>
      </c>
      <c r="X106" s="3">
        <f>3647.9+(1600.3-278.8)+(-7.441716+(-3.264612--0.568752))+0-598.4--1.22073599999997</f>
        <v>4362.0831600000001</v>
      </c>
      <c r="Y106" s="3">
        <f>3087.9+(1580.6-249.2)+(-6.299316+(-3.224424--0.508368))+0-533.8--1.08895199999998</f>
        <v>3877.5735800000002</v>
      </c>
      <c r="Z106" s="3">
        <f>3187.9+(1581.9-286.7)+(-1.625829+(-0.806769--0.146217))+0-592.6--0.30222599999994</f>
        <v>3888.5158450000004</v>
      </c>
      <c r="AA106" s="3">
        <f>3798.4+(1604.4-329.7)+(-5.811552+(-2.454732--0.504441))+0-601.2--0.919836000000035</f>
        <v>4465.0579930000004</v>
      </c>
      <c r="AB106" s="3">
        <f>3474.9+(2017.3-248.9)+(-7.088796+(-4.115292--0.507756))+0-577.1--1.17728399999997</f>
        <v>4656.6809519999997</v>
      </c>
      <c r="AC106" s="3">
        <f>3510.3+(2152.7-245.7)+(0+(0-0))+0-591.2-0</f>
        <v>4826.1000000000004</v>
      </c>
      <c r="AD106">
        <v>4464.8999999999996</v>
      </c>
      <c r="AE106" s="3">
        <f>3891+(1621.3-374.6)+(0+(0-0))+0-672.8-0</f>
        <v>4464.8999999999996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3167.2+(2518.8-210.3)+(-4.845816+(-3.853764--0.321759))+0-543.8--0.832014000000031</f>
        <v>4924.3541929999992</v>
      </c>
      <c r="G107" s="3">
        <f>3318.6+(2437.8-244.8)+(-11.847402+(-8.702946--0.873936))+0-644.8--2.30193600000001</f>
        <v>4849.4255240000002</v>
      </c>
      <c r="H107" s="3">
        <f>3216.8+(2371-245.4)+(-9.843408+(-7.25526--0.750924))+0-638.3--1.95319800000007</f>
        <v>4689.7054539999999</v>
      </c>
      <c r="I107" s="3">
        <f>3018.1+(2381.8-237.5)+(-7.696155+(-6.07359--0.605625))+0-590.7--1.50628499999991</f>
        <v>4560.0421649999989</v>
      </c>
      <c r="J107" s="3">
        <f>2955.5+(2414.4-206.4)+(4.521915+(3.694032-0.315792))+0-712.5-1.09012500000004</f>
        <v>4457.8100300000006</v>
      </c>
      <c r="K107" s="3">
        <f>2775+(2395.4-217.8)+(-4.24575+(-3.664962--0.333234))+0-629.1--0.962523000000036</f>
        <v>4316.885045</v>
      </c>
      <c r="L107" s="3">
        <f>2739.4+(2081.4-206.6)+(-5.588376+(-4.246056--0.421464))+0-694.9--1.41759599999997</f>
        <v>3911.3046280000008</v>
      </c>
      <c r="M107" s="3">
        <f>2930.5+(1606.8-258)+(0+(0-0))+0-564.1-0</f>
        <v>3715.2000000000003</v>
      </c>
      <c r="N107" s="3">
        <f>3169.1+(1437.4-267.9)+(-4.848723+(-2.199222--0.409887))+0-666.3--1.01943900000004</f>
        <v>3666.6813810000008</v>
      </c>
      <c r="O107" s="3">
        <f>3367.5+(1109.3-343.1)+(1.717425+(0.565743-0.174981))+0-469.2-0.239291999999952</f>
        <v>3666.3688950000001</v>
      </c>
      <c r="P107" s="3">
        <f>3768.5+(904.2-397.3)+(0+(0-0))+0-460.9-0</f>
        <v>3814.4999999999995</v>
      </c>
      <c r="Q107" s="3">
        <f>4339.4+(827.8-633.5)+(-4.426188+(-0.844356--0.64617))+0-561.4--0.57262800000009</f>
        <v>3968.2482539999996</v>
      </c>
      <c r="R107" s="3">
        <f>5176.4+(527.5-752.9)+(0+(0-0))+0-569.8-0</f>
        <v>4381.2</v>
      </c>
      <c r="S107" s="3">
        <f>5606.8+(680.1-874)+(-5.718936+(-0.693702--0.89148))+0-555.8--0.566916000000089</f>
        <v>4852.1457580000006</v>
      </c>
      <c r="T107" s="3">
        <f>6110.9+(693.7-1118.2)+(-6.233118+(-0.707574--1.140564))+0-615.9--0.628218000000098</f>
        <v>5065.32809</v>
      </c>
      <c r="U107" s="3">
        <f>6313.7+(782.5-1390.7)+(-9.659961+(-1.197225--2.127771))+0-497.1--0.760563000000029</f>
        <v>5200.4311479999997</v>
      </c>
      <c r="V107" s="3">
        <f>5836.2+(870.8-1018.5)+(-2.976462+(-0.444108--0.519435))+0-557.8--0.284477999999943</f>
        <v>5128.0833429999993</v>
      </c>
      <c r="W107" s="3">
        <f>4980.1+(1103.5-713.4)+(-7.619553+(-1.688355--1.091502))+0-591.4--0.904842000000034</f>
        <v>4771.4884360000015</v>
      </c>
      <c r="X107" s="3">
        <f>3971.8+(1342.6-264)+(-10.12809+(-3.42363--0.6732))+0-665.7--1.6975349999999</f>
        <v>4373.5190149999999</v>
      </c>
      <c r="Y107" s="3">
        <f>3369.2+(1238.7-244.1)+(-5.154876+(-1.895211--0.373473))+0-521.8--0.79835400000003</f>
        <v>3836.12174</v>
      </c>
      <c r="Z107" s="3">
        <f>3528.6+(1294.7-276.6)+(-3.599172+(-1.320594--0.282132))+0-673.1--0.686562000000107</f>
        <v>3869.6489280000005</v>
      </c>
      <c r="AA107" s="3">
        <f>3971.3+(1308.1-324.2)+(-4.050726+(-1.334262--0.330684))+0-471.8--0.481236000000075</f>
        <v>4478.826931999999</v>
      </c>
      <c r="AB107" s="3">
        <f>3939.3+(1658.5-252)+(-8.036172+(-3.38334--0.51408))+0-679.4--1.38597599999997</f>
        <v>4656.8805440000006</v>
      </c>
      <c r="AC107" s="3">
        <f>3885.4+(1773.3-265.6)+(-3.963108+(-1.808766--0.270912))+0-580.9--0.592518000000093</f>
        <v>4807.291556000001</v>
      </c>
      <c r="AD107">
        <v>4504.5</v>
      </c>
      <c r="AE107" s="3">
        <f>4082+(1363.2-338.3)+(0+(0-0))+0-602.4-0</f>
        <v>4504.5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3449.6+(2335.4-228.2)+(-5.277888+(-3.573162--0.349146))+0-635.1--0.971703000000037</f>
        <v>4914.1697990000002</v>
      </c>
      <c r="G108" s="3">
        <f>3151.7+(2569-216.5)+(-4.822101+(-3.93057--0.331245))+0-655--1.00215000000004</f>
        <v>4841.7807240000002</v>
      </c>
      <c r="H108" s="3">
        <f>2966.3+(2703.2-235.2)+(0+(0-0))+0-710.8-0</f>
        <v>4723.5</v>
      </c>
      <c r="I108" s="3">
        <f>2910.9+(2605.5-259.8)+(-5.938236+(-5.31522--0.529992))+0-658.8--1.34395199999997</f>
        <v>4588.4204880000007</v>
      </c>
      <c r="J108" s="3">
        <f>2958.3+(2390.1-242.4)+(-6.034932+(-4.875804--0.494496))+0-616.1--1.25684399999997</f>
        <v>4480.7406039999996</v>
      </c>
      <c r="K108" s="3">
        <f>2992.9+(2083.4-245.4)+(-6.105516+(-4.250136--0.500616))+0-480.1--0.979403999999979</f>
        <v>4341.924367999999</v>
      </c>
      <c r="L108" s="3">
        <f>2901.9+(1904.5-209.8)+(-5.919876+(-3.88518--0.427992))+0-574.1--1.17116399999998</f>
        <v>4014.2941000000001</v>
      </c>
      <c r="M108" s="3">
        <f>3051.2+(1483.8-209.4)+(4.668336+(2.270214-0.320382))+0-543-0.830790000000031</f>
        <v>3788.3873779999994</v>
      </c>
      <c r="N108" s="3">
        <f>3179.6+(1536.7-293.6)+(3.243192+(1.567434-0.299472))+0-701.4-0.715428000000112</f>
        <v>3725.0957259999996</v>
      </c>
      <c r="O108" s="3">
        <f>3159.5+(1452.7-358.1)+(0+(0-0))+0-469-0</f>
        <v>3785.1000000000004</v>
      </c>
      <c r="P108" s="3">
        <f>3298+(1402.7-254.3)+(1.68198+(0.715377-0.129693))+0-621-0.316709999999937</f>
        <v>3827.3509539999995</v>
      </c>
      <c r="Q108" s="3">
        <f>4076.1+(1022.1-422.4)+(0+(0-0))+0-584-0</f>
        <v>4091.8</v>
      </c>
      <c r="R108" s="3">
        <f>5024.5+(774.4-699.4)+(2.562495+(0.394944-0.356694))+0-584.8-0.298247999999941</f>
        <v>4517.0024969999995</v>
      </c>
      <c r="S108" s="3">
        <f>5789.3+(686.1-828.8)+(5.905086+(0.699822-0.845376))+0-577.3-0.588846000000092</f>
        <v>5074.4706860000006</v>
      </c>
      <c r="T108" s="3">
        <f>6280.8+(610.5-1053.5)+(-6.406416+(-0.62271--1.07457))+0-576.3--0.587826000000092</f>
        <v>5256.1332700000003</v>
      </c>
      <c r="U108" s="3">
        <f>6552.9+(622.4-1184.7)+(6.683958+(0.634848-1.208394))+0-702.4-0.716448000000112</f>
        <v>5293.5939639999997</v>
      </c>
      <c r="V108" s="3">
        <f>6170.5+(739.3-936.2)+(-15.734775+(-1.885215--2.38731))+0-647.8--1.65188999999991</f>
        <v>5312.2192100000002</v>
      </c>
      <c r="W108" s="3">
        <f>4998+(1067.8-530.5)+(-15.29388+(-3.267468--1.62333))+0-629--1.92474000000007</f>
        <v>4891.2867220000007</v>
      </c>
      <c r="X108" s="3">
        <f>3608+(1746.5-252)+(-11.04048+(-5.34429--0.77112))+0-672.6--2.05815600000008</f>
        <v>4416.3445059999995</v>
      </c>
      <c r="Y108" s="3">
        <f>3308+(1465.6-253.6)+(-3.37416+(-1.494912--0.258672))+0-576.8--0.588336000000092</f>
        <v>3939.1779360000005</v>
      </c>
      <c r="Z108" s="3">
        <f>3779.3+(1091.8-294.9)+(-5.782329+(-1.670454--0.451197))+0-537.8--0.822834000000031</f>
        <v>4032.2212479999994</v>
      </c>
      <c r="AA108" s="3">
        <f>4235.7+(1290-306.4)+(-10.801035+(-3.2895--0.78132))+0-599--1.52744999999991</f>
        <v>4608.5182349999995</v>
      </c>
      <c r="AB108" s="3">
        <f>4106.5+(1459.5-269)+(-4.18863+(-1.48869--0.27438))+0-613.2--0.625464000000098</f>
        <v>4679.022524</v>
      </c>
      <c r="AC108" s="3">
        <f>4173.9+(1652.9-285.7)+(8.514756+(3.371916-0.582828))+0-657.4-1.34109599999997</f>
        <v>4893.6627479999997</v>
      </c>
      <c r="AD108">
        <v>4561.0999999999995</v>
      </c>
      <c r="AE108" s="3">
        <f>4027+(1495.3-299.6)+(0+(0-0))+0-661.6-0</f>
        <v>4561.0999999999995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3904.6+(2132.8-235.4)+(-3.982692+(-2.175456--0.240108))+0-759--0.774180000000121</f>
        <v>5037.8561400000008</v>
      </c>
      <c r="G109" s="3">
        <f>3552+(2209.4-232.8)+(0+(0-0))+0-633.9-0</f>
        <v>4894.7000000000007</v>
      </c>
      <c r="H109" s="3">
        <f>3225.7+(2458.3-271.7)+(-3.290214+(-2.507466--0.277134))+0-585--0.596700000000093</f>
        <v>4822.3761540000005</v>
      </c>
      <c r="I109" s="3">
        <f>3389.3+(2298.3-270.3)+(0+(0-0))+0-720.7-0</f>
        <v>4696.6000000000004</v>
      </c>
      <c r="J109" s="3">
        <f>3285.3+(2178.1-248.5)+(0+(0-0))+0-620.4-0</f>
        <v>4594.5</v>
      </c>
      <c r="K109" s="3">
        <f>3081+(2311.5-244.4)+(-7.85655+(-5.894325--0.62322))+0-645.7--1.64653499999991</f>
        <v>4490.9188800000002</v>
      </c>
      <c r="L109" s="3">
        <f>3101.9+(2020.2-221.9)+(-3.163938+(-2.060604--0.226338))+0-677.4--0.690948000000108</f>
        <v>4218.4927440000001</v>
      </c>
      <c r="M109" s="3">
        <f>3192.4+(1541.3-219)+(3.256248+(1.572126-0.22338))+0-533.2-0.543864000000085</f>
        <v>3985.56113</v>
      </c>
      <c r="N109" s="3">
        <f>3343.2+(1314.8-273)+(1.705032+(0.670548-0.13923))+0-516.9-0.263618999999948</f>
        <v>3870.0727310000002</v>
      </c>
      <c r="O109" s="3">
        <f>3391.4+(1210.4-304.7)+(3.459228+(1.234608-0.310794))+0-471.5-0.480930000000075</f>
        <v>3829.5021120000006</v>
      </c>
      <c r="P109" s="3">
        <f>3863.1+(895.1-451.2)+(1.970181+(0.456501-0.230112))+0-431.3-0.219962999999956</f>
        <v>3877.6766069999999</v>
      </c>
      <c r="Q109" s="3">
        <f>4655.6+(779.9-798.8)+(4.748712+(0.795498-0.814776))+0-522.7-0.533154000000083</f>
        <v>4118.196280000001</v>
      </c>
      <c r="R109" s="3">
        <f>5912.7+(653.6-1370.4)+(0+(0-0))+0-611.1-0</f>
        <v>4584.7999999999993</v>
      </c>
      <c r="S109" s="3">
        <f>6123+(776-1251.3)+(0+(0-0))+0-667.7-0</f>
        <v>4980</v>
      </c>
      <c r="T109" s="3">
        <f>6566.8+(812.8-1419.9)+(-3.349068+(-0.414528--0.724149))+0-693.5--0.35368499999993</f>
        <v>5263.5142379999998</v>
      </c>
      <c r="U109" s="3">
        <f>6434.7+(778.7-1453.1)+(-6.563394+(-0.794274--1.482162))+0-453.6--0.462672000000072</f>
        <v>5301.2871659999992</v>
      </c>
      <c r="V109" s="3">
        <f>6622.6+(795.8-1380)+(0+(0-0))+0-529.2-0</f>
        <v>5509.2000000000007</v>
      </c>
      <c r="W109" s="3">
        <f>5234.6+(919-394.2)+(-5.339292+(-0.93738--0.402084))+0-579.6--0.591192000000092</f>
        <v>5174.5166040000004</v>
      </c>
      <c r="X109" s="3">
        <f>4076.9+(1131.1-217)+(0+(0-0))+0-600.4-0</f>
        <v>4390.6000000000004</v>
      </c>
      <c r="Y109" s="3">
        <f>3253.4+(1556.3-232.8)+(-8.29617+(-3.968565--0.59364))+0-630.7--1.60828499999991</f>
        <v>3936.1371899999999</v>
      </c>
      <c r="Z109" s="3">
        <f>3545.1+(1443.4-351.3)+(1.808001+(0.736134-0.179163))+0-615.8-0.314057999999938</f>
        <v>4023.450914</v>
      </c>
      <c r="AA109" s="3">
        <f>4272.3+(1353.2-333.3)+(-4.357746+(-1.380264--0.339966))+0-693.8--0.707676000000111</f>
        <v>4593.709632000001</v>
      </c>
      <c r="AB109" s="3">
        <f>3837.2+(1894.3-309.1)+(0+(0-0))+0-645-0</f>
        <v>4777.3999999999996</v>
      </c>
      <c r="AC109" s="3">
        <f>3926.8+(1861.3-377.5)+(-4.005336+(-1.898526--0.38505))+0-599.4--0.611388000000096</f>
        <v>4806.2925760000007</v>
      </c>
      <c r="AD109">
        <v>4719.1000000000004</v>
      </c>
      <c r="AE109" s="3">
        <f>4448+(1356.8-336.7)+(0+(0-0))+0-749-0</f>
        <v>4719.1000000000004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3771.4+(2179.2-337)+(-7.693656+(-4.445568--0.68748))+0-657.8--1.34191199999997</f>
        <v>4945.6901680000001</v>
      </c>
      <c r="G110" s="3">
        <f>3971.2+(2081.9-360.1)+(-6.075936+(-3.185307--0.550953))+0-741.2--1.13403600000004</f>
        <v>4944.2237460000006</v>
      </c>
      <c r="H110" s="3">
        <f>3735.1+(2040.3-353.1)+(-5.714703+(-3.121659--0.540243))+0-602.7--0.922131000000035</f>
        <v>4812.2260120000001</v>
      </c>
      <c r="I110" s="3">
        <f>3753.9+(2009.1-356.4)+(-9.572445+(-5.123205--0.90882))+0-680.6--1.7355299999999</f>
        <v>4713.9486999999999</v>
      </c>
      <c r="J110" s="3">
        <f>3717.8+(1865.5-314.3)+(-1.896078+(-0.951405--0.160293))+0-643.2--0.328031999999935</f>
        <v>4623.4408420000009</v>
      </c>
      <c r="K110" s="3">
        <f>3569+(1922.6-313.8)+(-5.46057+(-2.941578--0.480114))+0-653.6--1.00000800000004</f>
        <v>4517.2779739999996</v>
      </c>
      <c r="L110" s="3">
        <f>3469.2+(1748.3-362.5)+(-7.077168+(-3.566532--0.7395))+0-613.9--1.25235599999997</f>
        <v>4232.4481560000004</v>
      </c>
      <c r="M110" s="3">
        <f>3264.3+(1688.5-338.4)+(-3.329586+(-1.72227--0.345168))+0-610.8--0.623016000000097</f>
        <v>3999.5163279999992</v>
      </c>
      <c r="N110" s="3">
        <f>3633.4+(1264-350.4)+(1.853034+(0.64464-0.178704))+0-665.3-0.339302999999932</f>
        <v>3883.6796670000003</v>
      </c>
      <c r="O110" s="3">
        <f>3651.1+(1122.6-367.7)+(0+(0-0))+0-576.9-0</f>
        <v>3829.1</v>
      </c>
      <c r="P110" s="3">
        <f>3917.6+(1010.4-520.9)+(3.995952+(1.030608-0.531318))+0-547.4-0.558348000000087</f>
        <v>3863.6368940000002</v>
      </c>
      <c r="Q110" s="3">
        <f>4325+(1068.6-701.5)+(4.4115+(1.089972-0.71553))+0-537.7-0.548454000000086</f>
        <v>4158.6374880000012</v>
      </c>
      <c r="R110" s="3">
        <f>4826.4+(1121-755)+(2.461464+(0.57171-0.38505))+0-604.8-0.308447999999939</f>
        <v>4589.939676</v>
      </c>
      <c r="S110" s="3">
        <f>5540+(1189.6-1039.2)+(0+(0-0))+0-691.1-0</f>
        <v>4999.2999999999993</v>
      </c>
      <c r="T110" s="3">
        <f>5845.8+(1137.4-1091.8)+(-5.962716+(-1.160148--1.113636))+0-652.9--0.665958000000104</f>
        <v>5233.1567300000015</v>
      </c>
      <c r="U110" s="3">
        <f>6123.4+(1116.3-1160.1)+(-9.368802+(-1.707939--1.774953))+0-727.4--1.11292200000004</f>
        <v>5344.0111340000003</v>
      </c>
      <c r="V110" s="3">
        <f>5750.2+(1145.5-946.8)+(0+(0-0))+0-668.6-0</f>
        <v>5280.2999999999993</v>
      </c>
      <c r="W110" s="3">
        <f>5155.2+(1050.9-522.5)+(-2.629152+(-0.535959--0.266475))+0-683.9--0.348788999999931</f>
        <v>4997.1501530000005</v>
      </c>
      <c r="X110" s="3">
        <f>3832.6+(1667.4-336.5)+(-9.77313+(-4.25187--0.858075))+0-570.8--1.45553999999992</f>
        <v>4580.9886149999993</v>
      </c>
      <c r="Y110" s="3">
        <f>3122+(1957.2-329.6)+(-6.36888+(-3.992688--0.672384))+0-588.8--1.20115199999997</f>
        <v>4152.311968</v>
      </c>
      <c r="Z110" s="3">
        <f>3611.8+(1664.9-370.3)+(1.842018+(0.849099-0.188853))+0-636.2-0.324461999999935</f>
        <v>4272.3778020000009</v>
      </c>
      <c r="AA110" s="3">
        <f>4290.4+(1630.2-374.8)+(-10.94052+(-4.15701--0.95574))+0-653.8--1.6671899999999</f>
        <v>4879.5253999999995</v>
      </c>
      <c r="AB110" s="3">
        <f>4314.4+(1643.2-311.7)+(-8.801376+(-3.352128--0.635868))+0-581.6--1.18646399999997</f>
        <v>5053.968828</v>
      </c>
      <c r="AC110" s="3">
        <f>4495.4+(1650.3-358.3)+(-2.292654+(-0.841653--0.182733))+0-567.5--0.289424999999942</f>
        <v>5217.2378509999999</v>
      </c>
      <c r="AD110">
        <v>4982.2999999999993</v>
      </c>
      <c r="AE110" s="3">
        <f>4446+(1609.9-361.8)+(0+(0-0))+0-711.8-0</f>
        <v>4982.3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4268.2+(1992.7-325.3)+(0+(0-0))+0-682.5-0</f>
        <v>5253.1</v>
      </c>
      <c r="G111" s="3">
        <f>4118.5+(2070.8-331.6)+(-8.40174+(-4.224432--0.676464))+0-678.3--1.38373199999997</f>
        <v>5168.8340240000007</v>
      </c>
      <c r="H111" s="3">
        <f>3954.9+(2033.2-327.7)+(4.033998+(2.073864-0.334254))+0-626.4-0.6389280000001</f>
        <v>5039.1346800000001</v>
      </c>
      <c r="I111" s="3">
        <f>3730.3+(2260.3-330.3)+(-1.902453+(-1.152753--0.168453))+0-720--0.367199999999927</f>
        <v>4937.7804470000001</v>
      </c>
      <c r="J111" s="3">
        <f>3539.7+(2078.2-335.6)+(-5.415741+(-3.179646--0.513468))+0-486.3--0.744039000000028</f>
        <v>4788.662119999999</v>
      </c>
      <c r="K111" s="3">
        <f>3594.2+(2224.5-344.1)+(-7.332168+(-4.53798--0.701964))+0-749.2--1.52836799999997</f>
        <v>4715.7601840000007</v>
      </c>
      <c r="L111" s="3">
        <f>3326.8+(2032.5-330.3)+(-3.393336+(-2.07315--0.336906))+0-574.2--0.585684000000092</f>
        <v>4450.2561040000001</v>
      </c>
      <c r="M111" s="3">
        <f>3745.3+(1609.6-348.4)+(-5.730309+(-2.462688--0.533052))+0-782--1.19646000000005</f>
        <v>4218.0365149999998</v>
      </c>
      <c r="N111" s="3">
        <f>3344.9+(1766.5-362.3)+(0+(0-0))+0-575.8-0</f>
        <v>4173.3</v>
      </c>
      <c r="O111" s="3">
        <f>3769.4+(1387.8-376.2)+(1.922394+(0.707778-0.191862))+0-559.9-0.285548999999943</f>
        <v>4223.2527609999997</v>
      </c>
      <c r="P111" s="3">
        <f>4925+(687-553.7)+(5.0235+(0.70074-0.564774))+0-593-0.604860000000095</f>
        <v>4469.8546059999999</v>
      </c>
      <c r="Q111" s="3">
        <f>5638.1+(580.4-934.6)+(0+(0-0))+0-587-0</f>
        <v>4696.9000000000005</v>
      </c>
      <c r="R111" s="3">
        <f>6417+(735.3-1416.4)+(-3.27267+(-0.375003--0.722364))+0-568--0.289679999999942</f>
        <v>5165.2643709999993</v>
      </c>
      <c r="S111" s="3">
        <f>6914.2+(795.5-1518.4)+(-3.526242+(-0.405705--0.774384))+0-604.7--0.308396999999939</f>
        <v>5583.7508339999995</v>
      </c>
      <c r="T111" s="3">
        <f>7138.5+(798.2-1555.8)+(-3.640635+(-0.407082--0.793458))+0-597.8--0.304877999999939</f>
        <v>5780.1506189999991</v>
      </c>
      <c r="U111" s="3">
        <f>6973.7+(850.4-1495.7)+(-10.669761+(-1.301112--2.288421))+0-599.8--0.917694000000035</f>
        <v>5719.8352419999992</v>
      </c>
      <c r="V111" s="3">
        <f>6861.3+(788.6-1378.4)+(0+(0-0))+0-594.9-0</f>
        <v>5676.6</v>
      </c>
      <c r="W111" s="3">
        <f>5554.3+(1081.3-608.8)+(-8.498079+(-1.654389--0.931464))+0-564--0.862920000000033</f>
        <v>5454.4419160000007</v>
      </c>
      <c r="X111" s="3">
        <f>4017+(1979.8-309.2)+(-12.29202+(-6.058188--0.946152))+0-654.2--2.00185200000008</f>
        <v>5017.9977960000006</v>
      </c>
      <c r="Y111" s="3">
        <f>3650.4+(1950.9-354.5)+(-3.723408+(-1.989918--0.36159))+0-627.4--0.6399480000001</f>
        <v>4614.6882120000009</v>
      </c>
      <c r="Z111" s="3">
        <f>4174+(1405.8-343.5)+(2.12874+(0.716958-0.175185))+0-581.9-0.296768999999941</f>
        <v>4656.773744000001</v>
      </c>
      <c r="AA111" s="3">
        <f>5285.5+(1065.3-420.3)+(-2.695605+(-0.543303--0.214353))+0-626.5--0.319514999999936</f>
        <v>5301.2949600000002</v>
      </c>
      <c r="AB111" s="3">
        <f>5343.8+(1098.8-386.8)+(-2.725338+(-0.560388--0.197268))+0-632--0.322319999999936</f>
        <v>5421.0338620000002</v>
      </c>
      <c r="AC111" s="3">
        <f>5151+(1321-348)+(2.62701+(0.67371-0.17748))+0-678.3-0.345932999999931</f>
        <v>5448.4773070000001</v>
      </c>
      <c r="AD111">
        <v>5463.9</v>
      </c>
      <c r="AE111" s="3">
        <f>5465+(1125.6-485.1)+(0+(0-0))+0-641.6-0</f>
        <v>5463.9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4775.3+(1680-347)+(2.435403+(0.8568-0.17697))+0-642-0.327419999999935</f>
        <v>5469.087813000001</v>
      </c>
      <c r="G112" s="3">
        <f>3764.7+(2402.2-164.2)+(0+(0-0))+0-648.9-0</f>
        <v>5353.8</v>
      </c>
      <c r="H112" s="3">
        <f>3301+(2685.4-76.9)+(1.68351+(1.369554-0.039219))+0-692.4-0.35312399999993</f>
        <v>5219.7607210000006</v>
      </c>
      <c r="I112" s="3">
        <f>3049.3+(2939.9-216.9)+(-3.110286+(-2.998698--0.221238))+0-637.1--0.649842000000102</f>
        <v>5129.9620959999993</v>
      </c>
      <c r="J112" s="3">
        <f>3029.9+(2956.5-282.8)+(-3.090498+(-3.01563--0.288456))+0-716.1--0.730422000000114</f>
        <v>4982.4127500000004</v>
      </c>
      <c r="K112" s="3">
        <f>2992.4+(2756.4-286.9)+(-7.63062+(-7.02882--0.731595))+0-580.9--1.48129499999992</f>
        <v>4868.5534499999994</v>
      </c>
      <c r="L112" s="3">
        <f>2941.7+(2687.9-323)+(-4.500801+(-4.112487--0.49419))+0-702.4--1.07467200000004</f>
        <v>4597.1555740000003</v>
      </c>
      <c r="M112" s="3">
        <f>3016.6+(2300-323)+(1.538466+(1.173-0.16473))+0-535.8-0.273257999999946</f>
        <v>4460.0734780000003</v>
      </c>
      <c r="N112" s="3">
        <f>3152+(2244.9-337.1)+(0+(0-0))+0-614.7-0</f>
        <v>4445.1000000000004</v>
      </c>
      <c r="O112" s="3">
        <f>3186.4+(2285.1-465.3)+(-3.250128+(-2.330802--0.474606))+0-683.4--0.697068000000109</f>
        <v>4318.3907440000003</v>
      </c>
      <c r="P112" s="3">
        <f>3874.8+(1652.7-342.6)+(0+(0-0))+0-591.4-0</f>
        <v>4593.5</v>
      </c>
      <c r="Q112" s="3">
        <f>5127.2+(1013.2-510)+(-5.229744+(-1.033464--0.5202))+0-631.4--0.644028000000101</f>
        <v>4993.9010199999993</v>
      </c>
      <c r="R112" s="3">
        <f>5830.5+(738.5-799)+(-2.973555+(-0.376635--0.40749))+0-448.2--0.228581999999955</f>
        <v>5319.0858820000003</v>
      </c>
      <c r="S112" s="3">
        <f>5885.4+(885.1-573.2)+(-3.001554+(-0.451401--0.292332))+0-635--0.323849999999936</f>
        <v>5559.4632269999993</v>
      </c>
      <c r="T112" s="3">
        <f>6436.2+(965.5-1030.3)+(-9.847386+(-1.477215--1.576359))+0-615--0.940950000000036</f>
        <v>5747.5927080000001</v>
      </c>
      <c r="U112" s="3">
        <f>6562.4+(1048.2-1260.8)+(0+(0-0))+0-663.7-0</f>
        <v>5686.0999999999995</v>
      </c>
      <c r="V112" s="3">
        <f>6522.9+(1050.4-1313.9)+(-3.326679+(-0.535704--0.670089))+0-631.3--0.321962999999936</f>
        <v>5625.2296689999994</v>
      </c>
      <c r="W112" s="3">
        <f>6004.7+(821.2-804.5)+(-15.311985+(-2.09406--2.051475))+0-622.9--1.58839499999991</f>
        <v>5384.7338249999993</v>
      </c>
      <c r="X112" s="3">
        <f>4126.9+(1563.1-344.3)+(-14.733033+(-5.580267--1.229151))+0-561.3--2.00384100000001</f>
        <v>4767.3196919999991</v>
      </c>
      <c r="Y112" s="3">
        <f>3143.1+(2127.1-351.1)+(1.602981+(1.084821-0.179061))+0-666.9-0.340118999999932</f>
        <v>4254.3686220000009</v>
      </c>
      <c r="Z112" s="3">
        <f>3622+(1914.5-354.8)+(3.69444+(1.95279-0.361896))+0-661.2-0.674424000000105</f>
        <v>4525.1109100000003</v>
      </c>
      <c r="AA112" s="3">
        <f>4503.8+(1576.9-349.5)+(-11.48469+(-4.021095--0.891225))+0-688.1--1.7546549999999</f>
        <v>5030.2400950000001</v>
      </c>
      <c r="AB112" s="3">
        <f>4119.1+(2058.7-350.7)+(-6.302223+(-3.149811--0.536571))+0-652.8--0.998784000000038</f>
        <v>5166.3833210000003</v>
      </c>
      <c r="AC112" s="3">
        <f>4271.3+(1905.2-325.5)+(-2.178363+(-0.971652--0.166005))+0-670.7--0.342056999999932</f>
        <v>5177.6580469999999</v>
      </c>
      <c r="AD112">
        <v>4906.0000000000009</v>
      </c>
      <c r="AE112" s="3">
        <f>4438+(1499.8-319.4)+(0+(0-0))+0-712.4-0</f>
        <v>4906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4190.3+(1955.9-336)+(-6.411159+(-2.992527--0.51408))+0-551.5--0.843795000000032</f>
        <v>5250.6541890000008</v>
      </c>
      <c r="G113" s="3">
        <f>3672.3+(2386.5-333.5)+(-9.364365+(-6.085575--0.850425))+0-604.3--1.54096499999991</f>
        <v>5107.9414500000003</v>
      </c>
      <c r="H113" s="3">
        <f>3470.8+(2379-335.9)+(-1.770108+(-1.21329--0.171309))+0-600.9--0.306458999999939</f>
        <v>4910.4943700000003</v>
      </c>
      <c r="I113" s="3">
        <f>3224.9+(2489.7-350.4)+(-4.934097+(-3.809241--0.536112))+0-516.6--0.79039800000003</f>
        <v>4840.1831719999991</v>
      </c>
      <c r="J113" s="3">
        <f>3256.1+(2491.2-341.7)+(-1.660611+(-1.270512--0.174267))+0-631.6--0.322115999999936</f>
        <v>4771.5652600000003</v>
      </c>
      <c r="K113" s="3">
        <f>3011.2+(2596.9-322.7)+(-15.35712+(-13.24419--1.64577))+0-611.7--3.11967000000004</f>
        <v>4649.8641299999999</v>
      </c>
      <c r="L113" s="3">
        <f>3022.7+(2340.7-330.3)+(-9.249462+(-7.162542--1.010718))+0-608.9--1.86323400000007</f>
        <v>4410.6619479999999</v>
      </c>
      <c r="M113" s="3">
        <f>3152+(2138.4-344)+(3.21504+(2.181168-0.35088))+0-694.6-0.708492000000111</f>
        <v>4256.1368359999997</v>
      </c>
      <c r="N113" s="3">
        <f>3144.5+(1968.8-344.3)+(3.20739+(2.008176-0.351186))+0-544.2-0.555084000000087</f>
        <v>4229.1092959999996</v>
      </c>
      <c r="O113" s="3">
        <f>3170.5+(2144.8-328.8)+(-3.23391+(-2.187696--0.335376))+0-649.2--0.662184000000104</f>
        <v>4332.8759540000001</v>
      </c>
      <c r="P113" s="3">
        <f>3332.5+(1977.2-323)+(1.699575+(1.008372-0.16473))+0-494-0.25193999999995</f>
        <v>4494.9912770000001</v>
      </c>
      <c r="Q113" s="3">
        <f>5010+(1327-603.4)+(2.5551+(0.67677-0.307734))+0-589-0.30038999999994</f>
        <v>5147.2237459999997</v>
      </c>
      <c r="R113" s="3">
        <f>5932.4+(876.9-995.1)+(0+(0-0))+0-522-0</f>
        <v>5292.2</v>
      </c>
      <c r="S113" s="3">
        <f>5688.6+(1136.5-803.3)+(2.901186+(0.579615-0.409683))+0-510.8-0.260507999999948</f>
        <v>5513.8106099999995</v>
      </c>
      <c r="T113" s="3">
        <f>6218.7+(997.7-956.6)+(6.343074+(1.017654-0.975732))+0-695.9-0.709818000000111</f>
        <v>5569.5751780000001</v>
      </c>
      <c r="U113" s="3">
        <f>6273.3+(906.5-967.2)+(-9.598149+(-1.386945--1.479816))+0-571.5--0.874395000000033</f>
        <v>5632.4691170000006</v>
      </c>
      <c r="V113" s="3">
        <f>6265.6+(723-790.6)+(-3.195456+(-0.36873--0.403206))+0-668.3--0.340832999999932</f>
        <v>5526.8798530000004</v>
      </c>
      <c r="W113" s="3">
        <f>5406.6+(1020.7-473)+(-11.029464+(-2.082228--0.96492))+0-634.6--1.29458399999997</f>
        <v>5308.847812</v>
      </c>
      <c r="X113" s="3">
        <f>3818.7+(1867.1-334.8)+(-7.790148+(-3.808884--0.682992))+0-490.8--1.00123199999998</f>
        <v>4850.2851919999994</v>
      </c>
      <c r="Y113" s="3">
        <f>3211.6+(2115-344.9)+(-4.913748+(-3.23595--0.527697))+0-579.6--0.886788000000034</f>
        <v>4395.3647869999995</v>
      </c>
      <c r="Z113" s="3">
        <f>3437.4+(1936-336.1)+(1.753074+(0.98736-0.171411))+0-562.1-0.286670999999943</f>
        <v>4477.482352</v>
      </c>
      <c r="AA113" s="3">
        <f>3955.6+(2077.6-303)+(-6.052068+(-3.178728--0.46359))+0-643.3--0.984249000000037</f>
        <v>5079.1170429999993</v>
      </c>
      <c r="AB113" s="3">
        <f>3885.3+(2284.5-334.9)+(-1.981503+(-1.165095--0.170799))+0-617.9--0.315128999999937</f>
        <v>5214.3393299999998</v>
      </c>
      <c r="AC113" s="3">
        <f>3997+(2159.9-281.5)+(-4.07694+(-2.203098--0.28713))+0-577.4--0.588948000000092</f>
        <v>5292.5960400000004</v>
      </c>
      <c r="AD113">
        <v>5138.1000000000004</v>
      </c>
      <c r="AE113" s="3">
        <f>3956+(2244.3-352.3)+(0+(0-0))+0-709.9-0</f>
        <v>5138.1000000000004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3805.1+(2336.1-293.4)+(-3.881202+(-2.382822--0.299268))+0-541.6--0.552432000000086</f>
        <v>5300.787675999999</v>
      </c>
      <c r="G114" s="3">
        <f>3750.1+(2314.8-303.4)+(-11.475306+(-7.083288--0.928404))+0-560.7--1.71574200000006</f>
        <v>5184.8855520000006</v>
      </c>
      <c r="H114" s="3">
        <f>3379.6+(2476.4-324.7)+(-1.723596+(-1.262964--0.165597))+0-428--0.218279999999957</f>
        <v>5100.6973170000001</v>
      </c>
      <c r="I114" s="3">
        <f>2932.7+(2661-345.5)+(-5.982708+(-5.42844--0.70482))+0-307.6--0.627503999999987</f>
        <v>4930.5211759999993</v>
      </c>
      <c r="J114" s="3">
        <f>2987.4+(2740.9-345.7)+(1.523574+(1.397859-0.176307))+0-508.8-0.259487999999948</f>
        <v>4876.2856380000003</v>
      </c>
      <c r="K114" s="3">
        <f>2971.4+(2710.9-337.2)+(-1.515414+(-1.382559--0.171972))+0-563.5--0.287384999999943</f>
        <v>4779.161384</v>
      </c>
      <c r="L114" s="3">
        <f>2924.1+(2536.5-339.6)+(-7.456455+(-6.468075--0.86598))+0-590.6--1.50602999999991</f>
        <v>4518.8474799999995</v>
      </c>
      <c r="M114" s="3">
        <f>3104.2+(2141-336.9)+(0+(0-0))+0-525.8-0</f>
        <v>4382.4999999999991</v>
      </c>
      <c r="N114" s="3">
        <f>3183.7+(2094.3-296.5)+(0+(0-0))+0-591.7-0</f>
        <v>4389.8</v>
      </c>
      <c r="O114" s="3">
        <f>3120.9+(2139.3-340.5)+(1.591659+(1.091043-0.173655))+0-423-0.215729999999957</f>
        <v>4498.9933170000004</v>
      </c>
      <c r="P114" s="3">
        <f>3295.4+(2201.2-342.1)+(-1.680654+(-1.122612--0.174471))+0-508--0.259079999999948</f>
        <v>4644.1302850000002</v>
      </c>
      <c r="Q114" s="3">
        <f>4170.1+(1544.5-346.7)+(4.253502+(1.57539-0.353634))+0-426-0.434520000000068</f>
        <v>4946.9407380000011</v>
      </c>
      <c r="R114" s="3">
        <f>4857+(1355.6-464.6)+(9.90828+(2.765424-0.947784))+0-497-1.01387999999998</f>
        <v>5261.7120399999994</v>
      </c>
      <c r="S114" s="3">
        <f>5373.4+(1279-561.1)+(-2.740434+(-0.65229--0.286161))+0-545--0.277949999999945</f>
        <v>5543.4713869999987</v>
      </c>
      <c r="T114" s="3">
        <f>5829.1+(1077.2-782.4)+(-2.972841+(-0.549372--0.399024))+0-559.6--0.285395999999943</f>
        <v>5561.4622070000005</v>
      </c>
      <c r="U114" s="3">
        <f>5889.6+(1028.7-733.5)+(-6.007392+(-1.049274--0.74817))+0-564.9--0.57619800000009</f>
        <v>5614.1677020000006</v>
      </c>
      <c r="V114" s="3">
        <f>5999.3+(915.3-737.5)+(-6.119286+(-0.933606--0.75225))+0-577.6--0.589152000000092</f>
        <v>5593.7885100000003</v>
      </c>
      <c r="W114" s="3">
        <f>4929.1+(1250.3-341.4)+(-7.541523+(-1.912959--0.522342))+0-475.3--0.727209000000028</f>
        <v>5354.4950689999996</v>
      </c>
      <c r="X114" s="3">
        <f>3667.3+(1995.6-318.3)+(-11.221938+(-6.106536--0.973998))+0-474.3--1.45135800000005</f>
        <v>4855.396882</v>
      </c>
      <c r="Y114" s="3">
        <f>3144.5+(2146.8-358.1)+(-3.20739+(-2.189736--0.365262))+0-479.4--0.488988000000076</f>
        <v>4449.2571240000016</v>
      </c>
      <c r="Z114" s="3">
        <f>3471.1+(1874.1-312.7)+(5.310783+(2.867373-0.478431))+0-536.8-0.821304000000031</f>
        <v>4502.5784210000002</v>
      </c>
      <c r="AA114" s="3">
        <f>3977.4+(1922.7-325.4)+(-6.085422+(-2.941731--0.497862))+0-518.9--0.79391700000003</f>
        <v>5048.0646260000012</v>
      </c>
      <c r="AB114" s="3">
        <f>3850.2+(2158.9-336.6)+(3.927204+(2.202078-0.343332))+0-528.3-0.538866000000084</f>
        <v>5149.4470840000004</v>
      </c>
      <c r="AC114" s="3">
        <f>3609+(2437.7-332.4)+(-7.36236+(-4.972908--0.678096))+0-521.6--1.06406399999998</f>
        <v>5182.1068919999989</v>
      </c>
      <c r="AD114">
        <v>5119</v>
      </c>
      <c r="AE114" s="3">
        <f>3987+(2012.9-333.7)+(0+(0-0))+0-547.2-0</f>
        <v>5119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3507.5+(2513.3-309.3)+(0+(0-0))+0-448-0</f>
        <v>5263.5</v>
      </c>
      <c r="G115" s="3">
        <f>2963.7+(2583.5-344.8)+(0+(0-0))+0-317-0</f>
        <v>4885.3999999999996</v>
      </c>
      <c r="H115" s="3">
        <f>3003.9+(2791.3-345.1)+(-4.595967+(-4.270689--0.528003))+0-500.4--0.765612000000029</f>
        <v>4942.1269590000011</v>
      </c>
      <c r="I115" s="3">
        <f>2774.2+(2926.5-332.6)+(-5.659368+(-5.97006--0.678504))+0-522.2--1.06528799999998</f>
        <v>4836.0143640000006</v>
      </c>
      <c r="J115" s="3">
        <f>2798+(2863.2-342.9)+(-4.28094+(-4.380696--0.524637))+0-532.1--0.814113000000031</f>
        <v>4778.877113999999</v>
      </c>
      <c r="K115" s="3">
        <f>2836.3+(2743.2-360.6)+(-10.125591+(-9.793224--1.287342))+0-534.5--1.90816500000001</f>
        <v>4667.6766919999991</v>
      </c>
      <c r="L115" s="3">
        <f>2554.1+(2711.3-336)+(-9.118137+(-9.679341--1.19952))+0-478.7--1.70895900000001</f>
        <v>4434.8110009999991</v>
      </c>
      <c r="M115" s="3">
        <f>2645.3+(2284.9-340.5)+(2.698206+(2.330598-0.34731))+0-359.2-0.366384000000057</f>
        <v>4234.8151100000014</v>
      </c>
      <c r="N115" s="3">
        <f>3007.8+(1941.3-343.5)+(4.601934+(2.970189-0.525555))+0-390.9-0.598077000000023</f>
        <v>4221.1484910000008</v>
      </c>
      <c r="O115" s="3">
        <f>3369.8+(1507.9-336)+(0+(0-0))+0-393.8-0</f>
        <v>4147.9000000000005</v>
      </c>
      <c r="P115" s="3">
        <f>3942.2+(1162-354.3)+(0+(0-0))+0-346-0</f>
        <v>4403.8999999999996</v>
      </c>
      <c r="Q115" s="3">
        <f>4566.9+(1077.6-560.4)+(-6.987357+(-1.648728--0.857412))+0-394.8--0.604044000000023</f>
        <v>4682.1253709999992</v>
      </c>
      <c r="R115" s="3">
        <f>5090.2+(1233.8-708.2)+(-7.788006+(-1.887714--1.083546))+0-399--0.610470000000023</f>
        <v>5208.8182959999986</v>
      </c>
      <c r="S115" s="3">
        <f>5232.6+(1482.4-732.2)+(-5.337252+(-1.512048--0.746844))+0-406.7--0.414834000000065</f>
        <v>5570.4123780000009</v>
      </c>
      <c r="T115" s="3">
        <f>5971.4+(1202.7-963.1)+(-12.181656+(-2.453508--1.964724))+0-512.6--1.04570399999998</f>
        <v>5686.7752639999999</v>
      </c>
      <c r="U115" s="3">
        <f>5989.8+(1197.5-1029)+(-15.27399+(-3.053625--2.62395))+0-456.4--1.16381999999993</f>
        <v>5687.3601550000003</v>
      </c>
      <c r="V115" s="3">
        <f>5602+(1306.2-816.2)+(-17.14212+(-3.996972--2.497572))+0-460.4--1.40882400000005</f>
        <v>5614.3673040000003</v>
      </c>
      <c r="W115" s="3">
        <f>4516.5+(1792-416)+(-13.82049+(-5.48352--1.27296))+0-452.4--1.38434400000005</f>
        <v>5423.4532940000008</v>
      </c>
      <c r="X115" s="3">
        <f>3309.7+(2228.4-515)+(-10.127682+(-6.818904--1.5759))+0-462--1.41372000000005</f>
        <v>4547.1430340000006</v>
      </c>
      <c r="Y115" s="3">
        <f>3118.4+(2191.7-363.2)+(-7.95192+(-5.588835--0.92616))+0-531--1.35404999999992</f>
        <v>4404.6394549999995</v>
      </c>
      <c r="Z115" s="3">
        <f>3356.9+(1819.2-324.5)+(0+(0-0))+0-437.6-0</f>
        <v>4414</v>
      </c>
      <c r="AA115" s="3">
        <f>3831.1+(2144.5-344.6)+(-9.769305+(-5.468475--0.87873))+0-592.4--1.51061999999991</f>
        <v>5025.7515700000004</v>
      </c>
      <c r="AB115" s="3">
        <f>3732+(2274.5-333.8)+(-15.22656+(-9.27996--1.361904))+0-502.8--2.05142399999996</f>
        <v>5148.8068080000003</v>
      </c>
      <c r="AC115" s="3">
        <f>3875.8+(2369-363.3)+(-1.976658+(-1.20819--0.185283))+0-590.5--0.30115499999994</f>
        <v>5288.30159</v>
      </c>
      <c r="AD115">
        <v>5124.5999999999995</v>
      </c>
      <c r="AE115" s="3">
        <f>3907+(2117.4-342.7)+(0+(0-0))+0-557.1-0</f>
        <v>5124.5999999999995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3767.2+(2492.8-359.9)+(0+(0-0))+0-616-0</f>
        <v>5284.1</v>
      </c>
      <c r="G116" s="3">
        <f>3559.6+(2683-352.5)+(1.815396+(1.36833-0.179775))+0-615.6-0.313955999999938</f>
        <v>5277.1899949999997</v>
      </c>
      <c r="H116" s="3">
        <f>3179.1+(2733.6-336.9)+(-1.621341+(-1.394136--0.171819))+0-476.9--0.243218999999952</f>
        <v>5096.2995609999998</v>
      </c>
      <c r="I116" s="3">
        <f>3101.2+(2793.7-336.5)+(-1.581612+(-1.424787--0.171615))+0-546.7--0.278816999999945</f>
        <v>5009.1440330000005</v>
      </c>
      <c r="J116" s="3">
        <f>3039.1+(2731.4-338.1)+(-4.649823+(-4.179042--0.517293))+0-511.4--0.78244200000003</f>
        <v>4913.4708700000001</v>
      </c>
      <c r="K116" s="3">
        <f>3075.2+(2647.8-353.7)+(-7.84176+(-6.75189--0.901935))+0-558.2--1.42340999999992</f>
        <v>4798.8316950000008</v>
      </c>
      <c r="L116" s="3">
        <f>3048+(2340.2-341)+(-3.10896+(-2.387004--0.34782))+0-596--0.607920000000095</f>
        <v>4446.6597760000004</v>
      </c>
      <c r="M116" s="3">
        <f>3064.6+(1969.2-362.2)+(1.562946+(1.004292-0.184722))+0-543.7-0.277286999999945</f>
        <v>4130.0052290000003</v>
      </c>
      <c r="N116" s="3">
        <f>3288.3+(1696.2-328.6)+(1.677033+(0.865062-0.167586))+0-534.5-0.272594999999946</f>
        <v>4123.5019139999995</v>
      </c>
      <c r="O116" s="3">
        <f>3314+(1750.4-356.4)+(-3.38028+(-1.785408--0.363528))+0-535.8--0.546516000000085</f>
        <v>4167.944356</v>
      </c>
      <c r="P116" s="3">
        <f>3794.3+(1288.8-359.4)+(0+(0-0))+0-485.7-0</f>
        <v>4238</v>
      </c>
      <c r="Q116" s="3">
        <f>4622.3+(1055.5-562)+(4.714746+(1.07661-0.57324))+0-515.3-0.525606000000082</f>
        <v>4605.1925099999999</v>
      </c>
      <c r="R116" s="3">
        <f>4983.7+(1327.5-774.9)+(0+(0-0))+0-407.1-0</f>
        <v>5129.2</v>
      </c>
      <c r="S116" s="3">
        <f>5258+(1660.9-735)+(-10.72632+(-3.388236--1.4994))+0-698.8--1.42555199999997</f>
        <v>5473.9103959999993</v>
      </c>
      <c r="T116" s="3">
        <f>5402.3+(1600.7-907.5)+(-11.020692+(-3.265428--1.8513))+0-433.2--0.883727999999981</f>
        <v>5650.7489079999996</v>
      </c>
      <c r="U116" s="3">
        <f>5365.7+(1587.4-872.2)+(-13.682535+(-4.04787--2.22411))+0-489.2--1.24745999999993</f>
        <v>5577.4411649999993</v>
      </c>
      <c r="V116" s="3">
        <f>4973.4+(1754.2-605.3)+(-10.145736+(-3.578568--1.234812))+0-572.8--1.16851199999997</f>
        <v>5538.1790199999996</v>
      </c>
      <c r="W116" s="3">
        <f>4244.8+(2004.3-331)+(-10.82424+(-5.110965--0.84405))+0-563.4--1.43666999999992</f>
        <v>5341.0455150000007</v>
      </c>
      <c r="X116" s="3">
        <f>3387.2+(2395.1-320.2)+(-13.819776+(-9.772008--1.306416))+0-495.4--2.02123199999996</f>
        <v>4946.4358640000009</v>
      </c>
      <c r="Y116" s="3">
        <f>3114.8+(2238.3-344.5)+(-9.531288+(-6.849198--1.05417))+0-517.8--1.58446800000006</f>
        <v>4477.0581520000005</v>
      </c>
      <c r="Z116" s="3">
        <f>3584.5+(1850.2-332.9)+(-1.828095+(-0.943602--0.169779))+0-560.3--0.285752999999943</f>
        <v>4539.1838349999998</v>
      </c>
      <c r="AA116" s="3">
        <f>4403.4+(1625.4-346)+(-13.474404+(-4.973724--1.05876))+0-561.9--1.71941400000006</f>
        <v>5105.2300459999997</v>
      </c>
      <c r="AB116" s="3">
        <f>4260+(1906.2-334)+(-8.6904+(-3.888648--0.68136))+0-571.6--1.16606399999998</f>
        <v>5249.8683759999994</v>
      </c>
      <c r="AC116" s="3">
        <f>4275.3+(1993.7-338.9)+(2.180403+(1.016787-0.172839))+0-567.5-0.289424999999942</f>
        <v>5365.3349260000005</v>
      </c>
      <c r="AD116">
        <v>5147.5</v>
      </c>
      <c r="AE116" s="3">
        <f>4250+(1842.2-321.7)+(0+(0-0))+0-623-0</f>
        <v>5147.5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4115.5+(2114.8-333.5)+(2.098905+(1.078548-0.170085))+0-572-0.291719999999942</f>
        <v>5327.5156479999996</v>
      </c>
      <c r="G117" s="3">
        <f>4079.7+(2257.2-389.4)+(-4.161294+(-2.302344--0.397188))+0-641--0.653820000000102</f>
        <v>5301.0873700000002</v>
      </c>
      <c r="H117" s="3">
        <f>3987.8+(2265.8-397.3)+(-6.101334+(-3.466674--0.607869))+0-623.7--0.954261000000036</f>
        <v>5224.5941220000004</v>
      </c>
      <c r="I117" s="3">
        <f>3525+(2416.7-330.1)+(-1.79775+(-1.232517--0.168351))+0-496.1--0.25301099999995</f>
        <v>5112.891095</v>
      </c>
      <c r="J117" s="3">
        <f>3444.7+(2611.1-318.8)+(1.756797+(1.331661-0.162588))+0-697-0.355469999999929</f>
        <v>5042.5704000000005</v>
      </c>
      <c r="K117" s="3">
        <f>3057.1+(2801.4-333.4)+(-10.913847+(-10.000998--1.190238))+0-607.5--2.16877500000001</f>
        <v>4900.0441680000004</v>
      </c>
      <c r="L117" s="3">
        <f>2963+(2645.7-311.9)+(-4.53339+(-4.047921--0.477207))+0-663.4--1.01500200000004</f>
        <v>4626.3108979999997</v>
      </c>
      <c r="M117" s="3">
        <f>2924.6+(2384-306)+(-5.966184+(-4.86336--0.62424))+0-596.1--1.21604399999997</f>
        <v>4397.5107399999997</v>
      </c>
      <c r="N117" s="3">
        <f>2969.7+(2282.9-309)+(-3.029094+(-2.328558--0.31518))+0-641.2--0.654024000000102</f>
        <v>4298.0115520000008</v>
      </c>
      <c r="O117" s="3">
        <f>3037+(2232.1-345.6)+(0+(0-0))+0-641.7-0</f>
        <v>4281.8</v>
      </c>
      <c r="P117" s="3">
        <f>3265.2+(2183.7-358.8)+(4.995756+(3.341061-0.548964))+0-641.7-0.981801000000037</f>
        <v>4455.2060519999995</v>
      </c>
      <c r="Q117" s="3">
        <f>4088+(1566.6-344.1)+(4.16976+(1.597932-0.350982))+0-619.3-0.631686000000099</f>
        <v>4695.9850240000005</v>
      </c>
      <c r="R117" s="3">
        <f>4695.1+(1333-359.4)+(-2.394501+(-0.67983--0.183294))+0-608.4--0.310283999999938</f>
        <v>5057.7192470000009</v>
      </c>
      <c r="S117" s="3">
        <f>5172.4+(1526.1-545.4)+(5.275848+(1.556622-0.556308))+0-710.3-0.724506000000113</f>
        <v>5448.3516559999989</v>
      </c>
      <c r="T117" s="3">
        <f>5262+(1471.5-626.9)+(0+(0-0))+0-632.7-0</f>
        <v>5473.9000000000005</v>
      </c>
      <c r="U117" s="3">
        <f>5343.9+(1585.7-623.7)+(-5.450778+(-1.617414--0.636174))+0-689.9--0.70369800000011</f>
        <v>5610.2716799999998</v>
      </c>
      <c r="V117" s="3">
        <f>5099.9+(1415.3-386.5)+(-10.403796+(-2.887212--0.78846))+0-567.1--1.15688399999998</f>
        <v>5550.2543359999991</v>
      </c>
      <c r="W117" s="3">
        <f>4546.3+(1728.4-267.8)+(-2.318613+(-0.881484--0.136578))+0-630.1--0.321350999999936</f>
        <v>5374.0578319999995</v>
      </c>
      <c r="X117" s="3">
        <f>3377.2+(2504.8-334.4)+(-1.722372+(-1.277448--0.170544))+0-621.1--0.316760999999937</f>
        <v>4923.9874849999997</v>
      </c>
      <c r="Y117" s="3">
        <f>2974.4+(2397.8-340.7)+(-6.067776+(-4.891512--0.695028))+0-552.3--1.12669199999998</f>
        <v>4470.0624319999997</v>
      </c>
      <c r="Z117" s="3">
        <f>3131.3+(2299.2-337.6)+(-3.193926+(-2.345184--0.344352))+0-564.4--0.57568800000009</f>
        <v>4523.8809300000003</v>
      </c>
      <c r="AA117" s="3">
        <f>3958.2+(2195.9-341.4)+(-6.056046+(-3.359727--0.522342))+0-668.1--1.02219300000004</f>
        <v>5136.7287619999988</v>
      </c>
      <c r="AB117" s="3">
        <f>4084.1+(2013.9-335.8)+(-12.497346+(-6.162534--1.027548))+0-489.8--1.49878800000006</f>
        <v>5256.2664559999994</v>
      </c>
      <c r="AC117" s="3">
        <f>4274.1+(1892.5-268.8)+(6.539373+(2.895525-0.411264))+0-559-0.855270000000032</f>
        <v>5346.9683640000003</v>
      </c>
      <c r="AD117">
        <v>5198.4000000000005</v>
      </c>
      <c r="AE117" s="3">
        <f>4244+(2022.1-342)+(0+(0-0))+0-725.7-0</f>
        <v>5198.4000000000005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4219.6+(2113.7-260.8)+(-4.303992+(-2.155974--0.266016))+0-648.1--0.661062000000103</f>
        <v>5418.8671119999999</v>
      </c>
      <c r="G118" s="3">
        <f>3818+(2385.9-283.7)+(-13.63026+(-8.517663--1.012809))+0-579.2--2.06774400000001</f>
        <v>5321.9326300000012</v>
      </c>
      <c r="H118" s="3">
        <f>3535+(2627.9-342.3)+(0+(0-0))+0-646.7-0</f>
        <v>5173.9000000000005</v>
      </c>
      <c r="I118" s="3">
        <f>3203.9+(2781.7-336)+(-1.633989+(-1.418667--0.17136))+0-604.3--0.308192999999939</f>
        <v>5042.7268970000005</v>
      </c>
      <c r="J118" s="3">
        <f>3135.2+(2805-310.1)+(0+(0-0))+0-681.9-0</f>
        <v>4948.2000000000007</v>
      </c>
      <c r="K118" s="3">
        <f>3014.9+(2828.1-332.5)+(1.537599+(1.442331-0.169575))+0-616.4-0.314363999999937</f>
        <v>4896.5959910000001</v>
      </c>
      <c r="L118" s="3">
        <f>2958.1+(2647.7-315.8)+(-6.034524+(-5.401308--0.644232))+0-640.3--1.30621199999997</f>
        <v>4640.2146120000007</v>
      </c>
      <c r="M118" s="3">
        <f>3159.5+(2235.5-312.2)+(0+(0-0))+0-636.8-0</f>
        <v>4446</v>
      </c>
      <c r="N118" s="3">
        <f>3163.9+(2159.8-333.2)+(-1.613589+(-1.101498--0.169932))+0-621.8--0.317117999999937</f>
        <v>4366.471963</v>
      </c>
      <c r="O118" s="3">
        <f>3312.9+(2003.1-358.1)+(0+(0-0))+0-571.2-0</f>
        <v>4386.7</v>
      </c>
      <c r="P118" s="3">
        <f>3550.3+(1729.9-329.7)+(0+(0-0))+0-520.3-0</f>
        <v>4430.2</v>
      </c>
      <c r="Q118" s="3">
        <f>4478.7+(1235.1-367.2)+(2.284137+(0.629901-0.187272))+0-608.2-0.310181999999938</f>
        <v>4740.8165839999992</v>
      </c>
      <c r="R118" s="3">
        <f>5299.1+(999.2-576)+(0+(0-0))+0-512.8-0</f>
        <v>5209.5</v>
      </c>
      <c r="S118" s="3">
        <f>5876.7+(1135.5-781.8)+(0+(0-0))+0-572-0</f>
        <v>5658.4</v>
      </c>
      <c r="T118" s="3">
        <f>6206.4+(1110.7-950)+(-6.330528+(-1.132914--0.969))+0-629--0.6415800000001</f>
        <v>5732.2471379999997</v>
      </c>
      <c r="U118" s="3">
        <f>6011.6+(1205-831.3)+(-6.131832+(-1.2291--0.847926))+0-619.9--0.632298000000099</f>
        <v>5759.5192920000009</v>
      </c>
      <c r="V118" s="3">
        <f>5865.4+(1286.2-858.8)+(0+(0-0))+0-651.4-0</f>
        <v>5641.4</v>
      </c>
      <c r="W118" s="3">
        <f>4726.6+(1464.2-326.4)+(-2.410566+(-0.746742--0.166464))+0-592.1--0.30197099999994</f>
        <v>5269.6111270000001</v>
      </c>
      <c r="X118" s="3">
        <f>3643.1+(2201.7-267.5)+(-3.715962+(-2.245734--0.27285))+0-606.1--0.618222000000097</f>
        <v>4966.129375999999</v>
      </c>
      <c r="Y118" s="3">
        <f>3056.6+(2329.6-315.5)+(-1.558866+(-1.188096--0.160905))+0-589.8--0.30079799999994</f>
        <v>4478.6147409999994</v>
      </c>
      <c r="Z118" s="3">
        <f>3507.4+(1952.8-305.1)+(1.788774+(0.995928-0.155601))+0-590.7-0.30125699999994</f>
        <v>4566.7278440000009</v>
      </c>
      <c r="AA118" s="3">
        <f>3884.2+(2021-340.4)+(-11.885652+(-6.18426--1.041624))+0-509.9--1.56029400000006</f>
        <v>5039.4320059999991</v>
      </c>
      <c r="AB118" s="3">
        <f>3895.6+(2176-336.9)+(-5.960268+(-3.32928--0.515457))+0-630.7--0.964971000000037</f>
        <v>5096.1908800000001</v>
      </c>
      <c r="AC118" s="3">
        <f>4098.3+(2157.9-359.1)+(-4.180266+(-2.201058--0.366282))+0-688--0.70176000000011</f>
        <v>5203.7867180000003</v>
      </c>
      <c r="AD118">
        <v>5036.3</v>
      </c>
      <c r="AE118" s="3">
        <f>3870+(2122.5-346)+(0+(0-0))+0-610.2-0</f>
        <v>5036.3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3999.8+(2229.4-340.9)+(-4.079796+(-2.273988--0.347718))+0-668.9--0.682278000000107</f>
        <v>5214.0762120000009</v>
      </c>
      <c r="G119" s="3">
        <f>4137.5+(2043.5-339.4)+(-8.4405+(-4.16874--0.692376))+0-679.2--1.38556799999997</f>
        <v>5151.8687040000004</v>
      </c>
      <c r="H119" s="3">
        <f>4000.2+(2009.9-338.2)+(-6.120306+(-3.075147--0.517446))+0-621.3--0.950589000000036</f>
        <v>5042.8725819999991</v>
      </c>
      <c r="I119" s="3">
        <f>3656.2+(2283.4-342.2)+(-3.729324+(-2.329068--0.349044))+0-663.5--0.676770000000106</f>
        <v>4928.8674219999994</v>
      </c>
      <c r="J119" s="3">
        <f>3211.1+(2589.4-313.5)+(-8.188305+(-6.60297--0.799425))+0-653--1.66514999999991</f>
        <v>4821.6732999999995</v>
      </c>
      <c r="K119" s="3">
        <f>2858+(2749.5-324)+(-7.2879+(-7.011225--0.8262))+0-549.2--1.40045999999992</f>
        <v>4722.227535</v>
      </c>
      <c r="L119" s="3">
        <f>2753.7+(2693.9-295.5)+(-8.426322+(-8.243334--0.90423))+0-675.3--2.06641800000008</f>
        <v>4463.1009920000006</v>
      </c>
      <c r="M119" s="3">
        <f>2823.9+(2261.2-293.9)+(-1.440189+(-1.153212--0.149889))+0-551.3--0.281162999999944</f>
        <v>4237.7376509999995</v>
      </c>
      <c r="N119" s="3">
        <f>2994.9+(2051.7-335.1)+(-1.527399+(-1.046367--0.170901))+0-576.8--0.294167999999941</f>
        <v>4132.5913030000002</v>
      </c>
      <c r="O119" s="3">
        <f>2855.8+(2134.6-367.7)+(-1.456458+(-1.088646--0.187527))+0-540.1--0.275450999999945</f>
        <v>4080.5178740000001</v>
      </c>
      <c r="P119" s="3">
        <f>3072.6+(2019.4-351.5)+(0+(0-0))+0-598.9-0</f>
        <v>4141.6000000000004</v>
      </c>
      <c r="Q119" s="3">
        <f>3557.9+(1842.3-346.1)+(-1.814529+(-0.939573--0.176511))+0-674.5--0.343994999999932</f>
        <v>4377.3664040000003</v>
      </c>
      <c r="R119" s="3">
        <f>4142.6+(1501.2-325.7)+(-6.338178+(-2.296836--0.498321))+0-582--0.890460000000034</f>
        <v>4728.8537669999996</v>
      </c>
      <c r="S119" s="3">
        <f>4796.9+(1384-377.1)+(-4.892838+(-1.41168--0.384642))+0-693.4--0.707268000000111</f>
        <v>5105.1873919999998</v>
      </c>
      <c r="T119" s="3">
        <f>5219+(1268.9-511.1)+(-5.32338+(-1.294278--0.521322))+0-633.8--0.646476000000101</f>
        <v>5337.5501400000003</v>
      </c>
      <c r="U119" s="3">
        <f>5208.8+(1308.2-557.4)+(-2.656488+(-0.667182--0.284274))+0-564.8--0.288047999999943</f>
        <v>5392.0486520000004</v>
      </c>
      <c r="V119" s="3">
        <f>4951+(1508-441.1)+(-10.10004+(-3.07632--0.899844))+0-457.5--0.93329999999998</f>
        <v>5549.0567839999994</v>
      </c>
      <c r="W119" s="3">
        <f>4202.3+(1839.3-331.6)+(-12.859038+(-5.628258--1.014696))+0-556.2--1.70197200000006</f>
        <v>5138.029372</v>
      </c>
      <c r="X119" s="3">
        <f>3221.8+(2310.2-313.3)+(-6.572472+(-4.712808--0.639132))+0-575.5--1.17401999999997</f>
        <v>4633.7278720000004</v>
      </c>
      <c r="Y119" s="3">
        <f>2754.3+(2452.4-319.3)+(-1.404693+(-1.250724--0.162843))+0-716.8--0.365567999999927</f>
        <v>4168.4729939999997</v>
      </c>
      <c r="Z119" s="3">
        <f>3106.6+(2161.4-322.9)+(-1.584366+(-1.102314--0.164679))+0-607.6--0.309875999999938</f>
        <v>4335.287875</v>
      </c>
      <c r="AA119" s="3">
        <f>4425.6+(1580.9-331.1)+(-9.028224+(-3.225036--0.675444))+0-629.8--1.28479199999997</f>
        <v>5035.3069760000008</v>
      </c>
      <c r="AB119" s="3">
        <f>4068.6+(1957.7-297.7)+(-8.299944+(-3.993708--0.607308))+0-672.9--1.37271599999997</f>
        <v>5045.3863720000008</v>
      </c>
      <c r="AC119" s="3">
        <f>3946.2+(2056-315.4)+(-6.037686+(-3.14568--0.482562))+0-544.5--0.833085000000031</f>
        <v>5134.4322809999994</v>
      </c>
      <c r="AD119">
        <v>5072.2</v>
      </c>
      <c r="AE119" s="3">
        <f>4630+(1481.9-350.3)+(0+(0-0))+0-689.4-0</f>
        <v>5072.2000000000007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3619.6+(2811.8-292.5)+(-9.22998+(-7.17009--0.745875))+0-580--1.47899999999992</f>
        <v>5544.7248049999998</v>
      </c>
      <c r="G120" s="3">
        <f>3315.7+(2836.4-281.1)+(-11.837049+(-10.125948--1.003527))+0-623--2.22411000000001</f>
        <v>5229.2646400000003</v>
      </c>
      <c r="H120" s="3">
        <f>2992.3+(3005.4-295.6)+(0+(0-0))+0-663.6-0</f>
        <v>5038.5</v>
      </c>
      <c r="I120" s="3">
        <f>2786.2+(3095.3-315.7)+(-12.788658+(-14.207427--1.449063))+0-637.6--2.92658400000011</f>
        <v>4905.5795619999999</v>
      </c>
      <c r="J120" s="3">
        <f>2721.4+(3042.8-295.6)+(-2.775828+(-3.103656--0.301512))+0-605.5--0.617610000000097</f>
        <v>4858.1396380000006</v>
      </c>
      <c r="K120" s="3">
        <f>2692+(3061.6-317.5)+(-12.35628+(-14.052744--1.457325))+0-679.8--3.12028200000012</f>
        <v>4734.4685829999999</v>
      </c>
      <c r="L120" s="3">
        <f>2548.8+(2789.8-294.3)+(-10.399104+(-11.382384--1.200744))+0-581--2.37047999999995</f>
        <v>4445.0897359999999</v>
      </c>
      <c r="M120" s="3">
        <f>2751.3+(2487.5-274.7)+(1.403163+(1.268625-0.140097))+0-682.9-0.348278999999931</f>
        <v>4283.383412000001</v>
      </c>
      <c r="N120" s="3">
        <f>2828.3+(2313.4-283.7)+(0+(0-0))+0-608.4-0</f>
        <v>4249.6000000000004</v>
      </c>
      <c r="O120" s="3">
        <f>2849.4+(2266.5-303.8)+(0+(0-0))+0-484.2-0</f>
        <v>4327.9000000000005</v>
      </c>
      <c r="P120" s="3">
        <f>3355.7+(1907.9-290.5)+(1.711407+(0.973029-0.148155))+0-485.9-0.247808999999951</f>
        <v>4489.4884720000009</v>
      </c>
      <c r="Q120" s="3">
        <f>4569.6+(1205.1-425.7)+(2.330496+(0.614601-0.217107))+0-547.9-0.279428999999944</f>
        <v>4803.5485610000005</v>
      </c>
      <c r="R120" s="3">
        <f>5248.4+(1115.7-703.5)+(0+(0-0))+0-586.9-0</f>
        <v>5073.7</v>
      </c>
      <c r="S120" s="3">
        <f>5288.4+(1356.7-738.7)+(-2.697084+(-0.691917--0.376737))+0-543--0.276929999999945</f>
        <v>5360.6646659999997</v>
      </c>
      <c r="T120" s="3">
        <f>5871.9+(1389.5-1017.6)+(-2.994669+(-0.708645--0.518976))+0-673.5--0.343484999999932</f>
        <v>5567.4591469999996</v>
      </c>
      <c r="U120" s="3">
        <f>5896.5+(1348.8-1036.6)+(-6.01443+(-1.375776--1.057332))+0-544.3--0.555186000000087</f>
        <v>5658.6223120000004</v>
      </c>
      <c r="V120" s="3">
        <f>5592.7+(1419.8-763.8)+(2.852277+(0.724098-0.389538))+0-614.1-0.313190999999938</f>
        <v>5637.4736459999995</v>
      </c>
      <c r="W120" s="3">
        <f>5064.1+(1295.8-354.3)+(-2.582691+(-0.660858--0.180693))+0-600.6--0.306305999999939</f>
        <v>5402.2434499999999</v>
      </c>
      <c r="X120" s="3">
        <f>3386.2+(2081.7-104.3)+(-8.63481+(-5.308335--0.265965))+0-484.1--1.23445499999993</f>
        <v>4867.0572749999992</v>
      </c>
      <c r="Y120" s="3">
        <f>2583.3+(2119.1-76.9)+(-6.587415+(-5.403705--0.196095))+0-251.6--0.641579999999964</f>
        <v>4362.7465549999988</v>
      </c>
      <c r="Z120" s="3">
        <f>3033.1+(2202-213.2)+(3.093762+(2.24604-0.217464))+0-546.6-0.557532000000087</f>
        <v>4479.8648059999996</v>
      </c>
      <c r="AA120" s="3">
        <f>4080.9+(1925.6-319.3)+(-4.162518+(-1.964112--0.325686))+0-694.5--0.708390000000111</f>
        <v>4987.607446</v>
      </c>
      <c r="AB120" s="3">
        <f>3964.7+(2065.6-275.9)+(-2.021997+(-1.053456--0.140709))+0-559.3--0.285242999999943</f>
        <v>5192.4504989999996</v>
      </c>
      <c r="AC120" s="3">
        <f>4028.8+(2220.2-297)+(0+(0-0))+0-663.3-0</f>
        <v>5288.7</v>
      </c>
      <c r="AD120">
        <v>5067.5</v>
      </c>
      <c r="AE120" s="3">
        <f>4324+(1775.8-359.8)+(0+(0-0))+0-672.5-0</f>
        <v>5067.5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3892.5+(2309.5-282.1)+(-11.91105+(-7.06707--0.863226))+0-575.6--1.76133600000007</f>
        <v>5327.9464419999995</v>
      </c>
      <c r="G121" s="3">
        <f>3683.4+(2315.1-286.2)+(-1.878534+(-1.180701--0.145962))+0-550.2--0.280601999999944</f>
        <v>5159.4673290000001</v>
      </c>
      <c r="H121" s="3">
        <f>3535.2+(2463.4-295.3)+(-3.605904+(-2.512668--0.301206))+0-694.7--0.708594000000111</f>
        <v>5003.491227999999</v>
      </c>
      <c r="I121" s="3">
        <f>2938.7+(2829.2-306.3)+(-4.496211+(-4.328676--0.468639))+0-579.2--0.886176000000033</f>
        <v>4874.9299279999996</v>
      </c>
      <c r="J121" s="3">
        <f>2769.9+(2988.7-309.5)+(-7.063245+(-7.621185--0.789225))+0-665.2--1.6962599999999</f>
        <v>4771.7010550000005</v>
      </c>
      <c r="K121" s="3">
        <f>2800.1+(2794-315.3)+(-5.712204+(-5.69976--0.643212))+0-600.4--1.22481599999997</f>
        <v>4668.8560639999996</v>
      </c>
      <c r="L121" s="3">
        <f>2533+(2737.5-276.8)+(-3.87549+(-4.188375--0.423504))+0-560.1--0.856953000000032</f>
        <v>4426.8165920000001</v>
      </c>
      <c r="M121" s="3">
        <f>2536.6+(2576.6-276.5)+(-1.293666+(-1.314066--0.141015))+0-594.6--0.30324599999994</f>
        <v>4239.9365289999987</v>
      </c>
      <c r="N121" s="3">
        <f>2689.5+(2391.3-301.1)+(2.74329+(2.439126-0.307122))+0-580.2-0.591804000000093</f>
        <v>4203.7834900000016</v>
      </c>
      <c r="O121" s="3">
        <f>2640+(2429.1-314.4)+(0+(0-0))+0-546-0</f>
        <v>4208.7</v>
      </c>
      <c r="P121" s="3">
        <f>3000+(2140.3-305.5)+(3.06+(2.183106-0.31161))+0-535-0.545700000000085</f>
        <v>4304.1857960000007</v>
      </c>
      <c r="Q121" s="3">
        <f>3871.3+(1566-319.4)+(3.948726+(1.59732-0.325788))+0-559.1-0.570282000000089</f>
        <v>4563.4499759999999</v>
      </c>
      <c r="R121" s="3">
        <f>4801+(1353.5-648.9)+(0+(0-0))+0-493.3-0</f>
        <v>5012.3</v>
      </c>
      <c r="S121" s="3">
        <f>5265.8+(1550.4-758)+(-5.371116+(-1.581408--0.77316))+0-683.6--0.697272000000109</f>
        <v>5369.1179080000011</v>
      </c>
      <c r="T121" s="3">
        <f>5645.6+(1346.4-962.8)+(2.879256+(0.686664-0.491028))+0-482.6-0.246125999999951</f>
        <v>5549.428766</v>
      </c>
      <c r="U121" s="3">
        <f>5808.1+(1245.3-1008.9)+(-8.886393+(-1.905309--1.543617))+0-468--0.716040000000027</f>
        <v>5567.9679550000001</v>
      </c>
      <c r="V121" s="3">
        <f>5604.1+(1390.7-872.9)+(-11.432364+(-2.837028--1.780716))+0-539.3--1.10017199999998</f>
        <v>5571.2114960000008</v>
      </c>
      <c r="W121" s="3">
        <f>4354.1+(1828.5-331.5)+(0+(0-0))+0-539.3-0</f>
        <v>5311.8</v>
      </c>
      <c r="X121" s="3">
        <f>2933.1+(2715.2-306.9)+(-2.991762+(-2.769504--0.313038))+0-579.1--0.590682000000092</f>
        <v>4757.4424539999991</v>
      </c>
      <c r="Y121" s="3">
        <f>2592.9+(2546.5-327)+(-3.967137+(-3.896145--0.50031))+0-563.4--0.862002000000033</f>
        <v>4242.4990299999999</v>
      </c>
      <c r="Z121" s="3">
        <f>2916.3+(2284.2-325.6)+(0+(0-0))+0-569.5-0</f>
        <v>4305.3999999999996</v>
      </c>
      <c r="AA121" s="3">
        <f>3593.7+(2266.5-325)+(0+(0-0))+0-602.6-0</f>
        <v>4932.5999999999995</v>
      </c>
      <c r="AB121" s="3">
        <f>3459+(2381.2-310.1)+(-7.05636+(-4.857648--0.632604))+0-463.3--0.94513199999998</f>
        <v>5056.4637279999997</v>
      </c>
      <c r="AC121" s="3">
        <f>3427.1+(2630.6-313.7)+(0+(0-0))+0-530.7-0</f>
        <v>5213.3</v>
      </c>
      <c r="AD121">
        <v>4974.6000000000004</v>
      </c>
      <c r="AE121" s="3">
        <f>3636+(2341.5-320.5)+(0+(0-0))+0-682.4-0</f>
        <v>4974.6000000000004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3362.6+(2640.1-303.6)+(-5.144778+(-4.039353--0.464508))+0-494.2--0.756126000000029</f>
        <v>5196.9365030000008</v>
      </c>
      <c r="G122" s="3">
        <f>3511.6+(2640.4-321.5)+(-3.581832+(-2.693208--0.32793))+0-704--0.718080000000112</f>
        <v>5121.2709700000005</v>
      </c>
      <c r="H122" s="3">
        <f>2822.6+(2982.2-302.3)+(-5.758104+(-6.083688--0.616692))+0-559.6--1.14158399999998</f>
        <v>4932.8164839999999</v>
      </c>
      <c r="I122" s="3">
        <f>2614.3+(3066.1-314.6)+(-3.999879+(-4.691133--0.481338))+0-522.6--0.79957800000003</f>
        <v>4835.7899040000002</v>
      </c>
      <c r="J122" s="3">
        <f>2581.1+(3100.2-313.6)+(-5.265444+(-6.324408--0.639744))+0-579.4--1.18197599999997</f>
        <v>4778.531868</v>
      </c>
      <c r="K122" s="3">
        <f>2583.6+(3081.5-310.6)+(-5.270544+(-6.28626--0.633624))+0-652.1--1.33028399999997</f>
        <v>4692.8071039999995</v>
      </c>
      <c r="L122" s="3">
        <f>2506+(2827.6-312.3)+(-8.94642+(-10.094532--1.114911))+0-651.9--2.32728300000001</f>
        <v>4353.8012419999995</v>
      </c>
      <c r="M122" s="3">
        <f>2840.5+(2112-318.2)+(0+(0-0))+0-509.4-0</f>
        <v>4124.9000000000005</v>
      </c>
      <c r="N122" s="3">
        <f>3106+(1877.4-312.3)+(0+(0-0))+0-562-0</f>
        <v>4109.1000000000004</v>
      </c>
      <c r="O122" s="3">
        <f>2847.9+(2183-343)+(0+(0-0))+0-552.5-0</f>
        <v>4135.3999999999996</v>
      </c>
      <c r="P122" s="3">
        <f>3129+(1986.3-320.5)+(3.19158+(2.026026-0.32691))+0-542.9-0.553758000000087</f>
        <v>4256.2369380000009</v>
      </c>
      <c r="Q122" s="3">
        <f>3762.3+(1604.8-341.5)+(1.918773+(0.818448-0.174165))+0-541.3-0.276062999999945</f>
        <v>4486.5869929999999</v>
      </c>
      <c r="R122" s="3">
        <f>4641+(1389.1-491.3)+(4.73382+(1.416882-0.501126))+0-552.1-0.563142000000088</f>
        <v>4991.7864339999996</v>
      </c>
      <c r="S122" s="3">
        <f>4563.6+(1725.1-358)+(-2.327436+(-0.879801--0.18258))+0-558.5--0.284834999999943</f>
        <v>5369.4601780000012</v>
      </c>
      <c r="T122" s="3">
        <f>5480.3+(1371.9-673.5)+(2.794953+(0.699669-0.343485))+0-640.6-0.326705999999935</f>
        <v>5540.9244310000004</v>
      </c>
      <c r="U122" s="3">
        <f>5253+(1482.7-653.9)+(-13.39515+(-3.780885--1.667445))+0-483.4--1.23266999999993</f>
        <v>5584.1240800000005</v>
      </c>
      <c r="V122" s="3">
        <f>4907.7+(1694.6-485.6)+(-10.011708+(-3.456984--0.990624))+0-569.7--1.16218799999998</f>
        <v>5535.6841199999999</v>
      </c>
      <c r="W122" s="3">
        <f>3940.3+(2245.3-325.7)+(-16.076424+(-9.160824--1.328856))+0-599.8--2.44718399999995</f>
        <v>5238.6387919999997</v>
      </c>
      <c r="X122" s="3">
        <f>2907.2+(2743.1-337.7)+(-10.378704+(-9.792867--1.205589))+0-528.3--1.88603100000001</f>
        <v>4767.2200490000005</v>
      </c>
      <c r="Y122" s="3">
        <f>2683.9+(2355.2-329.8)+(-2.737578+(-2.402304--0.336396))+0-449.4--0.458388000000072</f>
        <v>4255.5549020000008</v>
      </c>
      <c r="Z122" s="3">
        <f>3145.3+(2028.7-302.6)+(-1.604103+(-1.034637--0.154326))+0-542.3--0.276572999999945</f>
        <v>4326.892159</v>
      </c>
      <c r="AA122" s="3">
        <f>3648.6+(2256.3-312.7)+(-7.443144+(-4.602852--0.637908))+0-675.7--1.37842799999997</f>
        <v>4906.4703399999999</v>
      </c>
      <c r="AB122" s="3">
        <f>3220.8+(2733.9-290.3)+(-8.21304+(-6.971445--0.740265))+0-599.6--1.52897999999991</f>
        <v>5051.884759999999</v>
      </c>
      <c r="AC122" s="3">
        <f>3421.2+(2458.4-293.8)+(1.744812+(1.253784-0.149838))+0-429.5-0.219044999999956</f>
        <v>5158.9297129999995</v>
      </c>
      <c r="AD122">
        <v>5037.2</v>
      </c>
      <c r="AE122" s="3">
        <f>3832+(2258.1-330.3)+(0+(0-0))+0-722.6-0</f>
        <v>5037.2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3184.8+(2550.9-285.1)+(-1.624248+(-1.300959--0.145401))+0-282.5--0.144074999999971</f>
        <v>5165.464269000001</v>
      </c>
      <c r="G123" s="3">
        <f>2855.3+(2785.8-332.5)+(-2.912406+(-2.841516--0.33915))+0-265.9--0.271218000000042</f>
        <v>5037.5564460000005</v>
      </c>
      <c r="H123" s="3">
        <f>2152.8+(3319.2-301.5)+(-1.097928+(-1.692792--0.153765))+0-294.7--0.15029699999997</f>
        <v>4873.3133420000004</v>
      </c>
      <c r="I123" s="3">
        <f>2153.4+(3305.8-295.2)+(-6.589404+(-10.115748--0.903312))+0-357--1.09242000000004</f>
        <v>4792.2905799999999</v>
      </c>
      <c r="J123" s="3">
        <f>2223.9+(3112.8-280.8)+(-5.670945+(-7.93764--0.71604))+0-342.8--0.87413999999995</f>
        <v>4701.0815949999997</v>
      </c>
      <c r="K123" s="3">
        <f>2134.4+(3097.2-273.6)+(-7.619808+(-11.057004--0.976752))+0-355.2--1.268064</f>
        <v>4586.3680039999999</v>
      </c>
      <c r="L123" s="3">
        <f>2028.9+(2969.9-301.6)+(-7.243173+(-10.602543--1.076712))+0-358.7--1.28055900000001</f>
        <v>4323.011555000001</v>
      </c>
      <c r="M123" s="3">
        <f>2053.6+(2739.8-313.3)+(-1.047336+(-1.397298--0.159783))+0-352.3--0.179672999999964</f>
        <v>4125.6948219999995</v>
      </c>
      <c r="N123" s="3">
        <f>2205.4+(2562.9-300.6)+(2.249508+(2.614158-0.306612))+0-404.1-0.412182000000064</f>
        <v>4067.7448720000007</v>
      </c>
      <c r="O123" s="3">
        <f>2407.5+(2410.3-307.6)+(2.45565+(2.458506-0.313752))+0-401.2-0.409224000000064</f>
        <v>4113.1911800000007</v>
      </c>
      <c r="P123" s="3">
        <f>2944+(1960.6-299)+(3.00288+(1.999812-0.30498))+0-410-0.418200000000065</f>
        <v>4199.8795120000004</v>
      </c>
      <c r="Q123" s="3">
        <f>4296.4+(1114.9-509)+(0+(0-0))+0-407.1-0</f>
        <v>4495.1999999999989</v>
      </c>
      <c r="R123" s="3">
        <f>5376.3+(801.8-893.3)+(-8.225739+(-1.226754--1.366749))+0-422--0.645660000000024</f>
        <v>4855.3599160000003</v>
      </c>
      <c r="S123" s="3">
        <f>5685.7+(735-780.1)+(-14.498535+(-1.87425--1.989255))+0-406.6--1.03682999999994</f>
        <v>5220.653299999999</v>
      </c>
      <c r="T123" s="3">
        <f>5604.9+(996.4-807.4)+(0+(0-0))+0-405.4-0</f>
        <v>5388.5</v>
      </c>
      <c r="U123" s="3">
        <f>5254.5+(1283.5-677.9)+(-10.71918+(-2.61834--1.382916))+0-403.7--0.823547999999982</f>
        <v>5445.2689440000013</v>
      </c>
      <c r="V123" s="3">
        <f>4241.3+(1901.9-354.9)+(-4.326126+(-1.939938--0.361998))+0-397--0.404940000000063</f>
        <v>5385.8008740000005</v>
      </c>
      <c r="W123" s="3">
        <f>2915.6+(2915.7-285.5)+(-4.460868+(-4.461021--0.436815))+0-387.1--0.592263000000022</f>
        <v>5150.8071889999992</v>
      </c>
      <c r="X123" s="3">
        <f>2321.4+(3071.3-322.8)+(-5.91957+(-7.831815--0.82314))+0-392.7--1.00138499999994</f>
        <v>4665.2731399999993</v>
      </c>
      <c r="Y123" s="3">
        <f>2276.2+(2684.5-318.1)+(-2.321724+(-2.73819--0.324462))+0-471.1--0.480522000000075</f>
        <v>4167.2450699999999</v>
      </c>
      <c r="Z123" s="3">
        <f>2816.6+(2298.9-295.7)+(0+(0-0))+0-511.6-0</f>
        <v>4308.2</v>
      </c>
      <c r="AA123" s="3">
        <f>3004.1+(2711.8-316.9)+(-7.660455+(-6.91509--0.808095))+0-534.6--1.36322999999992</f>
        <v>4851.9957799999993</v>
      </c>
      <c r="AB123" s="3">
        <f>3286+(2664.4-307.1)+(-1.67586+(-1.358844--0.156621))+0-685.4--0.34955399999993</f>
        <v>4955.3714710000013</v>
      </c>
      <c r="AC123" s="3">
        <f>3213.2+(2747.4-276.7)+(-1.638732+(-1.401174--0.141117))+0-610.2--0.311201999999938</f>
        <v>5071.1124129999998</v>
      </c>
      <c r="AD123">
        <v>4892.5</v>
      </c>
      <c r="AE123" s="3">
        <f>2959+(2795.6-308.1)+(0+(0-0))+0-554-0</f>
        <v>4892.5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3116.4+(2942.4-293.2)+(-1.589364+(-1.500624--0.149532))+0-644.3--0.328592999999935</f>
        <v>5118.6881370000001</v>
      </c>
      <c r="G124" s="3">
        <f>3161.2+(2748.1-283.7)+(3.224424+(2.803062-0.289374))+0-576.5-0.588030000000092</f>
        <v>5054.2500820000005</v>
      </c>
      <c r="H124" s="3">
        <f>3229.9+(2640.9-285.2)+(3.294498+(2.693718-0.290904))+0-644.1-0.656982000000103</f>
        <v>4946.5403299999998</v>
      </c>
      <c r="I124" s="3">
        <f>2919.7+(2791.9-308.8)+(1.489047+(1.423869-0.157488))+0-555.7-0.283406999999944</f>
        <v>4849.5720209999999</v>
      </c>
      <c r="J124" s="3">
        <f>2610.7+(3043.6-313.5)+(3.994371+(4.656708-0.479655))+0-586.4-0.897192000000034</f>
        <v>4761.6742319999994</v>
      </c>
      <c r="K124" s="3">
        <f>2586.8+(3110.5-309.3)+(-2.638536+(-3.17271--0.315486))+0-688.4--0.70216800000011</f>
        <v>4694.8064080000004</v>
      </c>
      <c r="L124" s="3">
        <f>2486.5+(2828-315.2)+(2.53623+(2.88456-0.321504))+0-551.3-0.562326000000088</f>
        <v>4452.5369599999995</v>
      </c>
      <c r="M124" s="3">
        <f>2493+(2740.8-334.4)+(-1.27143+(-1.397808--0.170544))+0-676.6--0.345065999999931</f>
        <v>4220.6463719999992</v>
      </c>
      <c r="N124" s="3">
        <f>2601.9+(2311.4-312.1)+(3.980907+(3.536442-0.477513))+0-505-0.772650000000029</f>
        <v>4102.4671860000008</v>
      </c>
      <c r="O124" s="3">
        <f>2615.1+(2352.4-323.8)+(1.333701+(1.199724-0.165138))+0-577.2-0.294371999999941</f>
        <v>4068.5739150000004</v>
      </c>
      <c r="P124" s="3">
        <f>2659.6+(2360.6-277)+(4.069188+(3.611718-0.42381))+0-619.6-0.947988000000036</f>
        <v>4129.9091079999998</v>
      </c>
      <c r="Q124" s="3">
        <f>3218+(1938.4-291.3)+(3.28236+(1.977168-0.297126))+0-506.7-0.516834000000081</f>
        <v>4362.8455680000006</v>
      </c>
      <c r="R124" s="3">
        <f>3791.8+(1949.8-306.6)+(-1.933818+(-0.994398--0.156366))+0-665.5--0.339404999999933</f>
        <v>4767.0675549999996</v>
      </c>
      <c r="S124" s="3">
        <f>4222.5+(1884.3-327.1)+(-2.153475+(-0.960993--0.166821))+0-654--0.333539999999934</f>
        <v>5123.0858929999995</v>
      </c>
      <c r="T124" s="3">
        <f>4514.8+(1790.6-352.2)+(-6.907644+(-2.739618--0.538866))+0-615.7--0.942021000000036</f>
        <v>5329.3336250000002</v>
      </c>
      <c r="U124" s="3">
        <f>4512.5+(1869.8-322.5)+(2.301375+(0.953598-0.164475))+0-632.7-0.322676999999936</f>
        <v>5429.8678209999998</v>
      </c>
      <c r="V124" s="3">
        <f>4275.7+(2061.9-296.7)+(-2.180607+(-1.051569--0.151317))+0-624.7--0.318596999999937</f>
        <v>5413.4377379999996</v>
      </c>
      <c r="W124" s="3">
        <f>3526+(2537.4-244.3)+(-8.9913+(-6.47037--0.622965))+0-578.9--1.47619499999992</f>
        <v>5226.8374900000008</v>
      </c>
      <c r="X124" s="3">
        <f>2667.3+(2922.6-239.6)+(-4.080969+(-4.471578--0.366588))+0-586.6--0.897498000000034</f>
        <v>4756.4115389999997</v>
      </c>
      <c r="Y124" s="3">
        <f>2480.7+(2664.5-268.6)+(-8.856099+(-9.512265--0.958902))+0-582.2--2.07845400000001</f>
        <v>4279.0689920000013</v>
      </c>
      <c r="Z124" s="3">
        <f>3127.2+(2063.1-258.6)+(4.784616+(3.156543-0.395658))+0-509.3-0.779229000000029</f>
        <v>4429.1662719999995</v>
      </c>
      <c r="AA124" s="3">
        <f>4476.8+(1310.3-237.9)+(-6.849504+(-2.004759--0.363987))+0-571.6--0.874548000000033</f>
        <v>4969.9842719999988</v>
      </c>
      <c r="AB124" s="3">
        <f>4576.4+(1359.9-257.3)+(-4.667928+(-1.387098--0.262446))+0-550.9--0.561918000000088</f>
        <v>5122.8693380000004</v>
      </c>
      <c r="AC124" s="3">
        <f>4598.8+(1582.6-269.1)+(2.345388+(0.807126-0.137241))+0-643-0.327929999999935</f>
        <v>5271.9873429999998</v>
      </c>
      <c r="AD124">
        <v>4970.5</v>
      </c>
      <c r="AE124" s="3">
        <f>4562+(1243-306.2)+(0+(0-0))+0-528.3-0</f>
        <v>4970.5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3949.9+(2142.7-277.6)+(-4.028898+(-2.185554--0.283152))+0-538.1--0.548862000000086</f>
        <v>5271.5175619999991</v>
      </c>
      <c r="G125" s="3">
        <f>3394.5+(2743.3-268.5)+(-3.46239+(-2.798166--0.27387))+0-655.7--0.668814000000105</f>
        <v>5208.2821279999998</v>
      </c>
      <c r="H125" s="3">
        <f>2723.9+(3206.8-282.1)+(-4.167567+(-4.906404--0.431613))+0-569.9--0.871947000000033</f>
        <v>5070.9295890000003</v>
      </c>
      <c r="I125" s="3">
        <f>2742.4+(3064.6-282.9)+(-4.195872+(-4.688838--0.432837))+0-556.5--0.851445000000032</f>
        <v>4959.9995720000006</v>
      </c>
      <c r="J125" s="3">
        <f>2747.5+(3000.5-299.2)+(-5.6049+(-6.12102--0.610368))+0-578--1.17911999999997</f>
        <v>4860.8635679999998</v>
      </c>
      <c r="K125" s="3">
        <f>2627.1+(3005.6-314.8)+(-5.359284+(-6.131424--0.642192))+0-563.8--1.15015199999998</f>
        <v>4744.4016359999996</v>
      </c>
      <c r="L125" s="3">
        <f>2630.8+(2722.1-300.5)+(-1.341708+(-1.388271--0.153255))+0-621--0.316709999999937</f>
        <v>4429.1399860000001</v>
      </c>
      <c r="M125" s="3">
        <f>2882.9+(2199.3-285)+(0+(0-0))+0-313.4-0</f>
        <v>4483.8000000000011</v>
      </c>
      <c r="N125" s="3">
        <f>2969.6+(1974.9-279.6)+(3.028992+(2.014398-0.285192))+0-484.9-0.494598000000077</f>
        <v>4184.2636000000002</v>
      </c>
      <c r="O125" s="3">
        <f>2880.1+(2108.5-294.8)+(-1.468851+(-1.075335--0.150348))+0-499.4--0.254693999999949</f>
        <v>4192.2608560000008</v>
      </c>
      <c r="P125" s="3">
        <f>3778.7+(1430.5-333.1)+(-1.927137+(-0.729555--0.169881))+0-562.4--0.286823999999943</f>
        <v>4311.5000130000008</v>
      </c>
      <c r="Q125" s="3">
        <f>4737+(813.5-389.9)+(7.24761+(1.244655-0.596547))+0-580-0.887400000000034</f>
        <v>4587.6083180000005</v>
      </c>
      <c r="R125" s="3">
        <f>5293.7+(964-670.2)+(2.699787+(0.49164-0.341802))+0-577.6-0.294575999999941</f>
        <v>5012.4550489999992</v>
      </c>
      <c r="S125" s="3">
        <f>5423.3+(1182-566.1)+(0+(0-0))+0-661.7-0</f>
        <v>5377.5</v>
      </c>
      <c r="T125" s="3">
        <f>5795.6+(1067.5-782.8)+(-5.911512+(-1.08885--0.798456))+0-536.3--0.547026000000086</f>
        <v>5538.34512</v>
      </c>
      <c r="U125" s="3">
        <f>5738.2+(1108-724.2)+(-8.779446+(-1.69524--1.108026))+0-576--0.881280000000033</f>
        <v>5537.5146199999999</v>
      </c>
      <c r="V125" s="3">
        <f>5450.7+(1244.8-540.4)+(-11.119428+(-2.539392--1.102416))+0-644.3--1.31437199999997</f>
        <v>5499.5579679999992</v>
      </c>
      <c r="W125" s="3">
        <f>4512.4+(1675.5-347.9)+(-6.903972+(-2.563515--0.532287))+0-520.2--0.79590600000003</f>
        <v>5311.6607060000006</v>
      </c>
      <c r="X125" s="3">
        <f>3169.5+(2463.6-328)+(-9.69867+(-7.538616--1.00368))+0-526.2--1.61017200000006</f>
        <v>4764.2765660000005</v>
      </c>
      <c r="Y125" s="3">
        <f>2907.5+(2337.5-327.7)+(-1.482825+(-1.192125--0.167127))+0-617.6--0.314975999999937</f>
        <v>4297.5071529999996</v>
      </c>
      <c r="Z125" s="3">
        <f>3481.9+(1749.5-309.7)+(-3.551538+(-1.78449--0.315894))+0-533.8--0.544476000000085</f>
        <v>4383.4243419999993</v>
      </c>
      <c r="AA125" s="3">
        <f>4052.9+(1929.7-330.6)+(0+(0-0))+0-659.9-0</f>
        <v>4992.1000000000004</v>
      </c>
      <c r="AB125" s="3">
        <f>3899.2+(2168.8-320)+(-5.965776+(-3.318264--0.4896))+0-621.2--0.950436000000036</f>
        <v>5118.9559960000006</v>
      </c>
      <c r="AC125" s="3">
        <f>3744.8+(2360-330.2)+(0+(0-0))+0-586.4-0</f>
        <v>5188.2000000000007</v>
      </c>
      <c r="AD125">
        <v>5033.4000000000005</v>
      </c>
      <c r="AE125" s="3">
        <f>4118+(1983.8-327)+(0+(0-0))+0-741.4-0</f>
        <v>5033.4000000000005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3301.3+(2835.3-318.5)+(-3.367326+(-2.892006--0.32487))+0-605.6--0.617712000000097</f>
        <v>5207.18325</v>
      </c>
      <c r="G126" s="3">
        <f>2917.9+(3101.6-321.8)+(-7.440645+(-7.90908--0.82059))+0-595.4--1.51826999999991</f>
        <v>5089.289135</v>
      </c>
      <c r="H126" s="3">
        <f>2730.8+(3106.9-340)+(-2.785416+(-3.169038--0.3468))+0-539.6--0.550392000000086</f>
        <v>4953.0427380000001</v>
      </c>
      <c r="I126" s="3">
        <f>2750.2+(3034.1-335.3)+(-5.610408+(-6.189564--0.684012))+0-587.7--1.19890799999997</f>
        <v>4851.3829480000004</v>
      </c>
      <c r="J126" s="3">
        <f>2764.7+(2961.4-333.4)+(-4.229991+(-4.530942--0.510102))+0-613.7--0.938961000000036</f>
        <v>4771.6881299999995</v>
      </c>
      <c r="K126" s="3">
        <f>2617.6+(3019.5-341.8)+(-2.669952+(-3.07989--0.348636))+0-572.2--0.583644000000091</f>
        <v>4718.2824380000002</v>
      </c>
      <c r="L126" s="3">
        <f>2339.2+(3040.2-328)+(-5.96496+(-7.75251--0.8364))+0-608.5--1.55167499999991</f>
        <v>4431.570604999999</v>
      </c>
      <c r="M126" s="3">
        <f>2416.2+(2666.6-330)+(3.696786+(4.079898-0.5049))+0-484.2-0.740826000000028</f>
        <v>4275.1309579999988</v>
      </c>
      <c r="N126" s="3">
        <f>2557.7+(2441.2-323.7)+(0+(0-0))+0-451.8-0</f>
        <v>4223.3999999999996</v>
      </c>
      <c r="O126" s="3">
        <f>2666.9+(2498.4-307)+(1.360119+(1.274184-0.15657))+0-607-0.309569999999938</f>
        <v>4253.4681629999995</v>
      </c>
      <c r="P126" s="3">
        <f>3088.1+(2107.2-339)+(1.574931+(1.074672-0.17289))+0-395-0.20144999999996</f>
        <v>4463.5752629999997</v>
      </c>
      <c r="Q126" s="3">
        <f>3891.6+(1614.6-341.3)+(5.954148+(2.470338-0.522189))+0-553.2-0.846396000000032</f>
        <v>4618.7559009999995</v>
      </c>
      <c r="R126" s="3">
        <f>4862.2+(1040.5-252.5)+(0+(0-0))+0-548.5-0</f>
        <v>5101.7</v>
      </c>
      <c r="S126" s="3">
        <f>5262.9+(974.2-254.7)+(0+(0-0))+0-465.4-0</f>
        <v>5517</v>
      </c>
      <c r="T126" s="3">
        <f>6068.7+(659.2-459.9)+(9.285111+(1.008576-0.703647))+0-609.8-0.932994000000035</f>
        <v>5666.8570460000001</v>
      </c>
      <c r="U126" s="3">
        <f>5953.5+(740.2-497)+(-6.07257+(-0.755004--0.50694))+0-517.5--0.527850000000083</f>
        <v>5673.4072160000005</v>
      </c>
      <c r="V126" s="3">
        <f>5818.3+(848.2-405)+(-11.869332+(-1.730328--0.8262))+0-627.7--1.28050799999997</f>
        <v>5622.3070479999997</v>
      </c>
      <c r="W126" s="3">
        <f>4555.8+(1621-294)+(-13.940748+(-4.96026--0.89964))+0-503.2--1.53979200000006</f>
        <v>5363.1384240000007</v>
      </c>
      <c r="X126" s="3">
        <f>3084.9+(2717.9-243)+(-9.439794+(-8.316774--0.74358))+0-616.4--1.88618400000007</f>
        <v>4928.2731960000001</v>
      </c>
      <c r="Y126" s="3">
        <f>3167.3+(2053.7-304.9)+(-3.230646+(-2.094774--0.310998))+0-498.4--0.508368000000079</f>
        <v>4413.1939460000003</v>
      </c>
      <c r="Z126" s="3">
        <f>3501.1+(1821.7-249)+(0+(0-0))+0-470.6-0</f>
        <v>4603.2</v>
      </c>
      <c r="AA126" s="3">
        <f>3682.3+(2267.4-268)+(-11.267838+(-6.938244--0.82008))+0-533.5--1.63251000000006</f>
        <v>5132.4465080000009</v>
      </c>
      <c r="AB126" s="3">
        <f>4178.4+(1969.9-271.4)+(-2.130984+(-1.004649--0.138414))+0-570.1--0.290750999999942</f>
        <v>5304.093531999999</v>
      </c>
      <c r="AC126" s="3">
        <f>4603.8+(1637.4-277)+(-2.347938+(-0.835074--0.14127))+0-573.9--0.292688999999942</f>
        <v>5387.5509470000006</v>
      </c>
      <c r="AD126">
        <v>5257.2000000000007</v>
      </c>
      <c r="AE126" s="3">
        <f>3674+(2447.1-265.2)+(0+(0-0))+0-598.7-0</f>
        <v>5257.2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3949.9+(2249.8-341)+(-6.043347+(-3.442194--0.52173))+0-482.8--0.738684000000028</f>
        <v>5367.6748730000008</v>
      </c>
      <c r="G127" s="3">
        <f>3717.7+(2456.3-349.2)+(-5.688081+(-3.758139--0.534276))+0-546.4--0.835992000000031</f>
        <v>5270.3240480000004</v>
      </c>
      <c r="H127" s="3">
        <f>3320.7+(2755.4-341.4)+(-3.387114+(-2.810508--0.348228))+0-592.2--0.604044000000095</f>
        <v>5137.2546499999999</v>
      </c>
      <c r="I127" s="3">
        <f>3097.9+(2798.8-298.3)+(-3.159858+(-2.854776--0.304266))+0-555.4--0.566508000000089</f>
        <v>5037.8561399999999</v>
      </c>
      <c r="J127" s="3">
        <f>3157.4+(2731.2-331.5)+(3.220548+(2.785824-0.33813))+0-593.4-0.605268000000095</f>
        <v>4968.7629740000002</v>
      </c>
      <c r="K127" s="3">
        <f>3223.9+(2520.8-344)+(1.644189+(1.285608-0.17544))+0-508.4-0.259283999999948</f>
        <v>4894.7950730000011</v>
      </c>
      <c r="L127" s="3">
        <f>3164.2+(2412.6-347.5)+(-1.613742+(-1.230426--0.177225))+0-587--0.29936999999994</f>
        <v>4639.9324269999988</v>
      </c>
      <c r="M127" s="3">
        <f>3269.5+(2045.9-360.6)+(-1.667445+(-1.043409--0.183906))+0-530.5--0.270554999999946</f>
        <v>4422.0436070000005</v>
      </c>
      <c r="N127" s="3">
        <f>3332.1+(1888.7-342.4)+(0+(0-0))+0-567.8-0</f>
        <v>4310.5999999999995</v>
      </c>
      <c r="O127" s="3">
        <f>3419.8+(1887.7-312.2)+(-3.488196+(-1.925454--0.318444))+0-610--0.622200000000097</f>
        <v>4380.826994</v>
      </c>
      <c r="P127" s="3">
        <f>3697+(1426.6-160.3)+(-1.88547+(-0.727566--0.081753))+0-493.2--0.25153199999995</f>
        <v>4467.8202490000003</v>
      </c>
      <c r="Q127" s="3">
        <f>4633.1+(920.7-194)+(0+(0-0))+0-601.7-0</f>
        <v>4758.1000000000004</v>
      </c>
      <c r="R127" s="3">
        <f>5389.1+(761.8-514)+(-10.993764+(-1.554072--1.04856))+0-446.9--0.91167599999998</f>
        <v>5179.4124000000011</v>
      </c>
      <c r="S127" s="3">
        <f>5401.4+(1009.5-383.5)+(-8.264142+(-1.544535--0.586755))+0-437.5--0.669375000000025</f>
        <v>5581.3474530000003</v>
      </c>
      <c r="T127" s="3">
        <f>6245+(941.6-814.7)+(3.18495+(0.480216-0.415497))+0-650.2-0.331601999999934</f>
        <v>5724.6180669999994</v>
      </c>
      <c r="U127" s="3">
        <f>6383.5+(804.1-976.4)+(-6.51117+(-0.820182--0.995928))+0-458.4--0.467568000000073</f>
        <v>5746.9321440000003</v>
      </c>
      <c r="V127" s="3">
        <f>6258.7+(848-850.1)+(6.383874+(0.86496-0.867102))+0-534.6-0.545292000000085</f>
        <v>5727.8364399999991</v>
      </c>
      <c r="W127" s="3">
        <f>5470.2+(1074.8-442.2)+(-11.159208+(-2.192592--0.902088))+0-612.1--1.24868399999997</f>
        <v>5479.4989719999994</v>
      </c>
      <c r="X127" s="3">
        <f>3721.5+(2098.5-312.6)+(-5.693895+(-3.210705--0.478278))+0-516.4--0.79009200000003</f>
        <v>4983.3637699999999</v>
      </c>
      <c r="Y127" s="3">
        <f>3169.7+(2215.7-339)+(-3.233094+(-2.260014--0.34578))+0-527.9--0.538458000000084</f>
        <v>4513.89113</v>
      </c>
      <c r="Z127" s="3">
        <f>3512.8+(2111.9-326.7)+(0+(0-0))+0-599.7-0</f>
        <v>4698.3</v>
      </c>
      <c r="AA127" s="3">
        <f>4473.4+(1688.9-349.3)+(-4.562868+(-1.722678--0.356286))+0-532.2--0.542844000000085</f>
        <v>5275.4135840000008</v>
      </c>
      <c r="AB127" s="3">
        <f>4361.6+(1848.7-341.8)+(-4.448832+(-1.885674--0.348636))+0-492.6--0.502452000000079</f>
        <v>5370.4165819999989</v>
      </c>
      <c r="AC127" s="3">
        <f>4480.8+(1964.9-351.3)+(-2.285208+(-1.002099--0.179163))+0-603.9--0.307988999999939</f>
        <v>5487.699845000001</v>
      </c>
      <c r="AD127">
        <v>5364.8</v>
      </c>
      <c r="AE127" s="3">
        <f>4616+(1636.9-349.2)+(0+(0-0))+0-538.9-0</f>
        <v>5364.8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3921.3+(2447.3-333.6)+(0+(0-0))+0-553.3-0</f>
        <v>5481.7</v>
      </c>
      <c r="G128" s="3">
        <f>3964.4+(2237-328.5)+(2.021844+(1.14087-0.167535))+0-483-0.246329999999951</f>
        <v>5392.6488489999992</v>
      </c>
      <c r="H128" s="3">
        <f>3745.1+(2269.2-271.5)+(-7.640004+(-4.629168--0.55386))+0-459.6--0.93758399999998</f>
        <v>5272.4222719999989</v>
      </c>
      <c r="I128" s="3">
        <f>3375.4+(2586.4-275.8)+(3.442908+(2.638128-0.281316))+0-530.7-0.541314000000085</f>
        <v>5160.5584060000001</v>
      </c>
      <c r="J128" s="3">
        <f>3097+(2828.1-305.6)+(-6.31788+(-5.769324--0.623424))+0-558.6--1.13954399999998</f>
        <v>5050.5757639999993</v>
      </c>
      <c r="K128" s="3">
        <f>2769.7+(3016.6-312.9)+(-4.237641+(-4.615398--0.478737))+0-504.6--0.772038000000029</f>
        <v>4961.1977359999992</v>
      </c>
      <c r="L128" s="3">
        <f>2651.3+(2877-312.7)+(-6.760815+(-7.33635--0.797385))+0-528.7--1.34818499999992</f>
        <v>4674.9484050000001</v>
      </c>
      <c r="M128" s="3">
        <f>2945+(2338.9-340.8)+(0+(0-0))+0-517.1-0</f>
        <v>4426</v>
      </c>
      <c r="N128" s="3">
        <f>2975.2+(2234.3-321.2)+(7.58676+(5.697465-0.81906))+0-514.9-1.31299499999993</f>
        <v>4384.5521699999999</v>
      </c>
      <c r="O128" s="3">
        <f>3061.5+(2105.5-310)+(0+(0-0))+0-483-0</f>
        <v>4374</v>
      </c>
      <c r="P128" s="3">
        <f>3873.7+(1340.8-329)+(5.926761+(2.051424-0.50337))+0-466-0.712980000000027</f>
        <v>4426.2618349999993</v>
      </c>
      <c r="Q128" s="3">
        <f>4669.5+(1104.4-489)+(7.144335+(1.689732-0.74817))+0-504.4-0.771732000000029</f>
        <v>4787.8141649999998</v>
      </c>
      <c r="R128" s="3">
        <f>5818.5+(998.2-997.4)+(5.93487+(1.018164-1.017348))+0-463.5-0.472770000000074</f>
        <v>5361.2629159999997</v>
      </c>
      <c r="S128" s="3">
        <f>6394.4+(931.3-1080.7)+(-3.261144+(-0.474963--0.551157))+0-530.7--0.270656999999946</f>
        <v>5711.3857070000004</v>
      </c>
      <c r="T128" s="3">
        <f>6796.1+(1088.7-1586.4)+(3.466011+(0.555237-0.809064))+0-452.2-0.230621999999954</f>
        <v>5849.1815620000007</v>
      </c>
      <c r="U128" s="3">
        <f>6769.3+(1132-1494)+(0+(0-0))+0-535.1-0</f>
        <v>5872.2</v>
      </c>
      <c r="V128" s="3">
        <f>6159.8+(1179.4-1161.6)+(-15.70749+(-3.00747--2.96208))+0-402.9--1.02739499999994</f>
        <v>5759.9745150000008</v>
      </c>
      <c r="W128" s="3">
        <f>5089.5+(1240.3-463.2)+(-12.978225+(-3.162765--1.18116))+0-294.5--0.750974999999957</f>
        <v>5557.8911450000005</v>
      </c>
      <c r="X128" s="3">
        <f>3960+(1867.4-286)+(-6.0588+(-2.857122--0.43758))+0-393.4--0.601902000000023</f>
        <v>5140.12356</v>
      </c>
      <c r="Y128" s="3">
        <f>3855.2+(1798.8-296.7)+(1.966152+(0.917388-0.151317))+0-603.7-0.307886999999939</f>
        <v>4756.0243359999995</v>
      </c>
      <c r="Z128" s="3">
        <f>4297.3+(1466.1-314)+(0+(0-0))+0-579.8-0</f>
        <v>4869.5999999999995</v>
      </c>
      <c r="AA128" s="3">
        <f>5274.8+(1423.3-653.1)+(-5.380296+(-1.451766--0.666162))+0-574.2--0.585684000000092</f>
        <v>5465.2197839999999</v>
      </c>
      <c r="AB128" s="3">
        <f>5062.8+(1502.1-477.3)+(-7.746084+(-2.298213--0.730269))+0-569.8--0.871794000000033</f>
        <v>5509.3577660000001</v>
      </c>
      <c r="AC128" s="3">
        <f>5086.4+(1720.8-571.9)+(-2.594064+(-0.877608--0.291669))+0-632.4--0.322523999999936</f>
        <v>5600.0425209999994</v>
      </c>
      <c r="AD128">
        <v>5477.5999999999995</v>
      </c>
      <c r="AE128" s="3">
        <f>5489+(1311.7-664.1)+(0+(0-0))+0-659-0</f>
        <v>5477.6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4612.1+(1913.7-380.4)+(-7.056513+(-2.927961--0.582012))+0-528.5--0.808605000000031</f>
        <v>5608.3061430000007</v>
      </c>
      <c r="G129" s="3">
        <f>4575.3+(1902.2-356.3)+(0+(0-0))+0-634.4-0</f>
        <v>5486.8000000000011</v>
      </c>
      <c r="H129" s="3">
        <f>4082.6+(2077.2-316.4)+(-4.164252+(-2.118744--0.322728))+0-515.3--0.525606000000082</f>
        <v>5322.6653379999998</v>
      </c>
      <c r="I129" s="3">
        <f>3925+(2100.1-294.6)+(4.0035+(2.142102-0.300492))+0-528.4-0.538968000000084</f>
        <v>5207.4061420000007</v>
      </c>
      <c r="J129" s="3">
        <f>3477.4+(2558.1-315.1)+(0+(0-0))+0-590.8-0</f>
        <v>5129.5999999999995</v>
      </c>
      <c r="K129" s="3">
        <f>3007.3+(3011.9-337.6)+(-4.601169+(-4.608207--0.516528))+0-631.6--0.966348000000037</f>
        <v>5042.2735000000002</v>
      </c>
      <c r="L129" s="3">
        <f>2870.4+(2927.3-337.3)+(-4.391712+(-4.478769--0.516069))+0-674.3--1.03167900000004</f>
        <v>4778.7772669999995</v>
      </c>
      <c r="M129" s="3">
        <f>2993.8+(2483.6-333.3)+(4.580514+(3.799908-0.509949))+0-589.4-0.901782000000034</f>
        <v>4561.6686910000008</v>
      </c>
      <c r="N129" s="3">
        <f>3128+(2269.2-360)+(1.59528+(1.157292-0.1836))+0-601.1-0.306560999999939</f>
        <v>4438.3624109999992</v>
      </c>
      <c r="O129" s="3">
        <f>3161.4+(2253-353.7)+(-1.612314+(-1.14903--0.180387))+0-550.9--0.280958999999944</f>
        <v>4507.5000019999998</v>
      </c>
      <c r="P129" s="3">
        <f>3884.8+(1795.6-498.8)+(3.962496+(1.831512-0.508776))+0-537.8-0.548556000000086</f>
        <v>4648.5366760000006</v>
      </c>
      <c r="Q129" s="3">
        <f>4999.1+(1596.1-932.6)+(12.747705+(4.070055-2.37813))+0-638-1.62689999999991</f>
        <v>5037.41273</v>
      </c>
      <c r="R129" s="3">
        <f>5836.4+(1409.3-1212.7)+(-2.976564+(-0.718743--0.618477))+0-554.4--0.282743999999944</f>
        <v>5475.8059140000005</v>
      </c>
      <c r="S129" s="3">
        <f>5917.3+(1494.6-970)+(3.017823+(0.762246-0.4947))+0-602.9-0.307478999999939</f>
        <v>5841.9778900000001</v>
      </c>
      <c r="T129" s="3">
        <f>6389.5+(1221.8-1410.9)+(0+(0-0))+0-233.4-0</f>
        <v>5967</v>
      </c>
      <c r="U129" s="3">
        <f>6846.8+(1161.7-1602.6)+(-3.491868+(-0.592467--0.817326))+0-380.2--0.193901999999961</f>
        <v>6022.6268930000006</v>
      </c>
      <c r="V129" s="3">
        <f>6357.8+(1162.2-1417.5)+(-6.484956+(-1.185444--1.44585))+70-324--0.330480000000052</f>
        <v>5842.6059299999997</v>
      </c>
      <c r="W129" s="3">
        <f>5609.3+(1511.9-1009.8)+(-8.582229+(-2.313207--1.544994))+35-430.5--0.658665000000025</f>
        <v>5707.2082230000005</v>
      </c>
      <c r="X129" s="3">
        <f>4713+(1897.5-467)+(-16.82541+(-6.774075--1.66719))+0-628.6--2.24410200000001</f>
        <v>5495.2118069999997</v>
      </c>
      <c r="Y129" s="3">
        <f>4782.8+(1393.2-747.7)+(-2.439228+(-0.710532--0.381327))+0-510.1--0.260150999999948</f>
        <v>4915.6917179999991</v>
      </c>
      <c r="Z129" s="3">
        <f>5335.8+(1251.3-907.5)+(-8.163774+(-1.914489--1.388475))+0-644.8--0.986544000000037</f>
        <v>5027.0967560000008</v>
      </c>
      <c r="AA129" s="3">
        <f>5484.6+(1400.9-728.6)+(-19.580022+(-5.001213--2.601102))+0-606.2--2.16413400000001</f>
        <v>5530.8840010000004</v>
      </c>
      <c r="AB129" s="3">
        <f>5327.8+(1486.8-573.4)+(-8.151534+(-2.274804--0.877302))+0-635.4--0.972162000000037</f>
        <v>5597.2231259999999</v>
      </c>
      <c r="AC129" s="3">
        <f>5280.4+(1550.9-597.2)+(-5.386008+(-1.581918--0.609144))+0-587.5--0.599250000000094</f>
        <v>5640.8404679999994</v>
      </c>
      <c r="AD129">
        <v>5623.8</v>
      </c>
      <c r="AE129" s="3">
        <f>5556+(1466.7-765.9)+(0+(0-0))+0-633-0</f>
        <v>5623.8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4955.2+(1787.9-419.5)+(-2.527152+(-0.911829--0.213945))+0-656.2--0.334661999999933</f>
        <v>5664.5096260000009</v>
      </c>
      <c r="G130" s="3">
        <f>3907.3+(2569.2-334.5)+(-5.978169+(-3.930876--0.511785))+0-630.4--0.964512000000036</f>
        <v>5503.1672520000011</v>
      </c>
      <c r="H130" s="3">
        <f>3628.8+(2821.6-335.3)+(-3.701376+(-2.878032--0.342006))+0-703.9--0.717978000000112</f>
        <v>5405.6805760000007</v>
      </c>
      <c r="I130" s="3">
        <f>3750.6+(2530.5-365)+(3.825612+(2.58111-0.3723))+0-594.6-0.606492000000095</f>
        <v>5326.9279299999998</v>
      </c>
      <c r="J130" s="3">
        <f>5660.8+(798.9-781.4)+(-5.774016+(-0.814878--0.797028))+0-470.3--0.479706000000075</f>
        <v>5202.6878400000005</v>
      </c>
      <c r="K130" s="3">
        <f>5798.4+(712.1-818)+(2.957184+(0.363171-0.41718))+0-561.5-0.286364999999943</f>
        <v>5133.6168100000004</v>
      </c>
      <c r="L130" s="3">
        <f>5169+(938.3-505.6)+(-15.81714+(-2.871198--1.547136))+0-691.6--2.11629600000008</f>
        <v>4895.0750939999998</v>
      </c>
      <c r="M130" s="3">
        <f>5259.6+(865.5-724.2)+(0+(0-0))+0-666.8-0</f>
        <v>4734.1000000000004</v>
      </c>
      <c r="N130" s="3">
        <f>6066.2+(635.1-1399.3)+(0+(0-0))+0-616.7-0</f>
        <v>4685.3</v>
      </c>
      <c r="O130" s="3">
        <f>6169.3+(573.8-1423.3)+(-3.146343+(-0.292638--0.725883))+0-593.3--0.30258299999994</f>
        <v>4724.0894849999995</v>
      </c>
      <c r="P130" s="3">
        <f>6354.3+(430.9-1424.7)+(-3.240693+(-0.219759--0.726597))+0-510.7--0.260456999999948</f>
        <v>4847.3266020000001</v>
      </c>
      <c r="Q130" s="3">
        <f>6758.4+(376.9-1434.3)+(-6.893568+(-0.384438--1.462986))+0-558.9--0.570078000000089</f>
        <v>5136.8550580000001</v>
      </c>
      <c r="R130" s="3">
        <f>7099.2+(382.2-1614.6)+(-14.482368+(-0.779688--3.293784))+0-449.3--0.91657199999998</f>
        <v>5406.4483</v>
      </c>
      <c r="S130" s="3">
        <f>7060.3+(645.3-1462.3)+(-18.003765+(-1.645515--3.728865))+0-540.3--1.37776499999992</f>
        <v>5688.4573500000006</v>
      </c>
      <c r="T130" s="3">
        <f>7047.7+(1036.8-1780)+(-10.782981+(-1.586304--2.7234))+0-511.9--0.78320700000003</f>
        <v>5783.7373220000009</v>
      </c>
      <c r="U130" s="3">
        <f>7153.3+(1079.3-1779.8)+(0+(0-0))+0-646.8-0</f>
        <v>5806</v>
      </c>
      <c r="V130" s="3">
        <f>6982.1+(1093.7-1669.7)+(-3.560871+(-0.557787--0.851547))+0-612.7--0.312476999999938</f>
        <v>5790.4453659999999</v>
      </c>
      <c r="W130" s="3">
        <f>6759.7+(1091.3-1682.1)+(-27.579576+(-4.452504--6.862968))+0-462.7--1.88781599999996</f>
        <v>5682.9187040000006</v>
      </c>
      <c r="X130" s="3">
        <f>6701.7+(812-1761)+(-20.507202+(-2.48472--5.38866))+0-595.3--1.82161800000007</f>
        <v>5141.6183559999999</v>
      </c>
      <c r="Y130" s="3">
        <f>6554.3+(495.2-1747.4)+(-16.713465+(-1.26276--4.45587))+0-628.9--1.60369499999991</f>
        <v>4661.2833400000009</v>
      </c>
      <c r="Z130" s="3">
        <f>7030.9+(349.3-1957.4)+(3.585759+(0.178143-0.998274))+0-570.8-0.291107999999942</f>
        <v>4854.4745199999988</v>
      </c>
      <c r="AA130" s="3">
        <f>7052+(732.9-1879)+(-17.9826+(-1.868895--4.79145))+0-566.3--1.44406499999992</f>
        <v>5325.984019999999</v>
      </c>
      <c r="AB130" s="3">
        <f>7010.2+(692.1-1735.1)+(-17.87601+(-1.764855--4.424505))+0-628.5--1.60267499999991</f>
        <v>5325.0863149999996</v>
      </c>
      <c r="AC130" s="3">
        <f>7051.1+(614.9-1737.4)+(-3.596061+(-0.313599--0.886074))+0-575.9--0.293708999999942</f>
        <v>5349.9701230000001</v>
      </c>
      <c r="AD130">
        <v>5589.8</v>
      </c>
      <c r="AE130" s="3">
        <f>7242+(766.7-1834.2)+(0+(0-0))+0-584.7-0</f>
        <v>5589.8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7106.2+(705.6-1744)+(-3.624162+(-0.359856--0.88944))+0-587--0.29936999999994</f>
        <v>5478.0047919999988</v>
      </c>
      <c r="G131" s="3">
        <f>6956.3+(550.3-1503.1)+(-7.095426+(-0.561306--1.533162))+0-607.1--0.619242000000097</f>
        <v>5390.8956719999996</v>
      </c>
      <c r="H131" s="3">
        <f>6806+(601.8-1535.9)+(0+(0-0))+0-664.8-0</f>
        <v>5207.0999999999995</v>
      </c>
      <c r="I131" s="3">
        <f>6828.2+(534.1-1584.8)+(-13.929528+(-1.089564--3.232992))+0-625.6--1.27622399999997</f>
        <v>5141.3901239999996</v>
      </c>
      <c r="J131" s="3">
        <f>6376.6+(474.8-1100.8)+(-16.26033+(-1.21074--2.80704))+0-683.5--1.7429249999999</f>
        <v>5054.178895</v>
      </c>
      <c r="K131" s="3">
        <f>5924.5+(515-935.7)+(-15.107475+(-1.31325--2.386035))+0-596.8--1.52183999999991</f>
        <v>4894.4871499999999</v>
      </c>
      <c r="L131" s="3">
        <f>5489.6+(781.3-769.8)+(-13.99848+(-1.992315--1.96299))+0-604.9--1.54249499999991</f>
        <v>4883.7146900000007</v>
      </c>
      <c r="M131" s="3">
        <f>4550.3+(1086.5-396.9)+(-6.961959+(-1.662345--0.607257))+0-627.2--0.959616000000036</f>
        <v>4605.6425690000005</v>
      </c>
      <c r="N131" s="3">
        <f>3906.9+(1665.8-338.3)+(-3.985038+(-1.699116--0.345066))+0-693.4--0.707268000000111</f>
        <v>4536.3681800000004</v>
      </c>
      <c r="O131" s="3">
        <f>4185.4+(1299.2-379.6)+(-2.134554+(-0.662592--0.193596))+0-602.3--0.307172999999939</f>
        <v>4500.4036230000002</v>
      </c>
      <c r="P131" s="3">
        <f>4746+(989.3-526.3)+(2.42046+(0.504543-0.268413))+0-619.3-0.315842999999937</f>
        <v>4592.0407469999991</v>
      </c>
      <c r="Q131" s="3">
        <f>5590.7+(668.6-880.3)+(0+(0-0))+0-583.3-0</f>
        <v>4795.7</v>
      </c>
      <c r="R131" s="3">
        <f>6016+(730.4-920.2)+(3.06816+(0.372504-0.469302))+0-658.8-0.335987999999933</f>
        <v>5170.035374</v>
      </c>
      <c r="S131" s="3">
        <f>6408.5+(869.3-1243.7)+(9.805005+(1.330029-1.902861))+0-647.1-0.990063000000037</f>
        <v>5395.2421100000001</v>
      </c>
      <c r="T131" s="3">
        <f>6933.2+(1047.9-1657.7)+(-3.535932+(-0.534429--0.845427))+0-733.8--0.374237999999926</f>
        <v>5586.7493039999999</v>
      </c>
      <c r="U131" s="3">
        <f>7056.4+(718.1-1642.5)+(-14.395056+(-1.464924--3.3507))+0-538.1--1.09772399999998</f>
        <v>5582.4884439999996</v>
      </c>
      <c r="V131" s="3">
        <f>7448+(618.9-1809.8)+(-3.79848+(-0.315639--0.922998))+0-667.7--0.340526999999932</f>
        <v>5586.549406000001</v>
      </c>
      <c r="W131" s="3">
        <f>7070.8+(611-1680.6)+(-18.03054+(-1.55805--4.28553))+0-578.1--1.47415499999992</f>
        <v>5409.2710950000001</v>
      </c>
      <c r="X131" s="3">
        <f>6947.6+(481.2-1905.3)+(-7.086552+(-0.490824--1.943406))+0-590--0.601800000000094</f>
        <v>4928.4678300000005</v>
      </c>
      <c r="Y131" s="3">
        <f>6177.6+(587.4-1647.9)+(-12.602304+(-1.198296--3.361716))+0-637.3--1.30009199999997</f>
        <v>4470.6612080000004</v>
      </c>
      <c r="Z131" s="3">
        <f>5917.5+(561.2-1206)+(-12.0717+(-1.144848--2.46024))+0-531.4--1.08405599999998</f>
        <v>4731.6277479999999</v>
      </c>
      <c r="AA131" s="3">
        <f>4752.7+(1555.4-546.4)+(-7.271631+(-2.379762--0.835992))+0-619.4--0.947682000000036</f>
        <v>5134.4322810000003</v>
      </c>
      <c r="AB131" s="3">
        <f>4426.6+(1932.8-432.5)+(-6.772698+(-2.957184--0.661725))+0-650.9--0.995877000000038</f>
        <v>5267.9277200000015</v>
      </c>
      <c r="AC131" s="3">
        <f>4226.8+(2255.9-423)+(0+(0-0))+0-681.5-0</f>
        <v>5378.2000000000007</v>
      </c>
      <c r="AD131">
        <v>5248.1</v>
      </c>
      <c r="AE131" s="3">
        <f>4619+(1725-451.2)+(0+(0-0))+0-644.7-0</f>
        <v>5248.1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3529.6+(2807-317.4)+(-7.200384+(-5.72628--0.647496))+0-676.7--1.38046799999997</f>
        <v>5331.6013000000003</v>
      </c>
      <c r="G132" s="3">
        <f>3310.5+(2848.8-285)+(-5.065065+(-4.358664--0.43605))+0-596.7--0.912951000000035</f>
        <v>5269.5252720000008</v>
      </c>
      <c r="H132" s="3">
        <f>3358.3+(2771.6-313.5)+(0+(0-0))+0-677.9-0</f>
        <v>5138.5</v>
      </c>
      <c r="I132" s="3">
        <f>3338.5+(2678.8-343.1)+(-6.81054+(-5.464752--0.699924))+0-644.5--1.31477999999997</f>
        <v>5019.4394120000006</v>
      </c>
      <c r="J132" s="3">
        <f>3362.1+(2556.4-320.2)+(-6.858684+(-5.215056--0.653208))+0-634.8--1.29499199999997</f>
        <v>4953.37446</v>
      </c>
      <c r="K132" s="3">
        <f>3354.5+(2525.8-324.6)+(-8.553975+(-6.44079--0.82773))+0-660.1--1.6832549999999</f>
        <v>4883.1162199999999</v>
      </c>
      <c r="L132" s="3">
        <f>3304.9+(2394.2-325.3)+(-8.427495+(-6.10521--0.829515))+0-677.9--1.7286449999999</f>
        <v>4683.9254549999996</v>
      </c>
      <c r="M132" s="3">
        <f>3298.3+(2170.1-314.1)+(5.046399+(3.320253-0.480573))+0-603.9-0.923967000000035</f>
        <v>4557.3621120000007</v>
      </c>
      <c r="N132" s="3">
        <f>3348.5+(2063-331.2)+(-1.707735+(-1.05213--0.168912))+0-527.1--0.268820999999947</f>
        <v>4550.8778679999996</v>
      </c>
      <c r="O132" s="3">
        <f>3346.4+(2098-313)+(0+(0-0))+0-507-0</f>
        <v>4624.3999999999996</v>
      </c>
      <c r="P132" s="3">
        <f>3536.9+(1970.4-321.3)+(3.607638+(2.009808-0.327726))+0-471.1-0.480522000000075</f>
        <v>4719.7091979999996</v>
      </c>
      <c r="Q132" s="3">
        <f>4319.3+(1646.2-515.9)+(4.405686+(1.679124-0.526218))+0-429.2-0.437784000000068</f>
        <v>5025.5208080000011</v>
      </c>
      <c r="R132" s="3">
        <f>4687.5+(1872.6-671.1)+(4.78125+(1.910052-0.684522))+0-510.6-0.520812000000081</f>
        <v>5383.8859679999996</v>
      </c>
      <c r="S132" s="3">
        <f>5159.2+(1816.1-698.4)+(-2.631192+(-0.926211--0.356184))+0-570--0.290699999999942</f>
        <v>5703.9894809999996</v>
      </c>
      <c r="T132" s="3">
        <f>5597.4+(1702.8-868)+(-5.709348+(-1.736856--0.88536))+0-622.5--0.634950000000099</f>
        <v>5803.7741059999998</v>
      </c>
      <c r="U132" s="3">
        <f>5537.7+(1841.2-980.7)+(8.472681+(2.817036-1.500471))+0-554.9-0.848997000000032</f>
        <v>5852.2402490000004</v>
      </c>
      <c r="V132" s="3">
        <f>5381.5+(2005.4-819)+(0+(0-0))+0-503.9-0</f>
        <v>6064</v>
      </c>
      <c r="W132" s="3">
        <f>4703.2+(2185.5-579)+(2.398632+(1.114605-0.29529))+0-480.9-0.245258999999951</f>
        <v>5831.772688</v>
      </c>
      <c r="X132" s="3">
        <f>4128.8+(1852.9-310)+(-6.317064+(-2.834937--0.4743))+0-547.4--0.837522000000032</f>
        <v>5116.4598210000013</v>
      </c>
      <c r="Y132" s="3">
        <f>3475.1+(1919.3-287.3)+(-3.544602+(-1.957686--0.293046))+0-482.5--0.492150000000077</f>
        <v>4619.8829080000005</v>
      </c>
      <c r="Z132" s="3">
        <f>4151.8+(1648.1-335.3)+(2.117418+(0.840531-0.171003))+0-575.9-0.293708999999942</f>
        <v>4891.1932370000013</v>
      </c>
      <c r="AA132" s="3">
        <f>5010.9+(1472.5-607.5)+(-5.111118+(-1.50195--0.61965))+0-480.5--0.490110000000077</f>
        <v>5389.8966919999993</v>
      </c>
      <c r="AB132" s="3">
        <f>4634.4+(1679.7-395)+(-4.727088+(-1.713294--0.4029))+0-465.3--0.474606000000074</f>
        <v>5448.2371239999993</v>
      </c>
      <c r="AC132" s="3">
        <f>4635.7+(1886.2-444.7)+(4.728414+(1.923924-0.453594))+0-546.3-0.557226000000087</f>
        <v>5536.541518</v>
      </c>
      <c r="AD132">
        <v>5418.5</v>
      </c>
      <c r="AE132" s="3">
        <f>5173+(1464.2-665.7)+(0+(0-0))+0-553-0</f>
        <v>5418.5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4141+(2142.4-312.2)+(-10.55955+(-5.46312--0.79611))+0-416.7--1.06258499999994</f>
        <v>5540.3360249999996</v>
      </c>
      <c r="G133" s="3">
        <f>3641.6+(2541.8-300.9)+(-5.571648+(-3.888954--0.460377))+0-445.6--0.681768000000026</f>
        <v>5428.5815430000002</v>
      </c>
      <c r="H133" s="3">
        <f>3203.7+(2867.8-304.3)+(-8.169435+(-7.31289--0.775965))+0-515.8--1.31528999999993</f>
        <v>5238.0089299999991</v>
      </c>
      <c r="I133" s="3">
        <f>3202.8+(2933.1-317.2)+(-6.533712+(-5.983524--0.647088))+0-658.4--1.34313599999997</f>
        <v>5149.7729880000015</v>
      </c>
      <c r="J133" s="3">
        <f>3185.8+(2770.4-312)+(-4.874274+(-4.238712--0.47736))+0-535.4--0.819162000000031</f>
        <v>5100.9835360000006</v>
      </c>
      <c r="K133" s="3">
        <f>3198.7+(2849.6-348.9)+(-4.894011+(-4.359888--0.533817))+0-663.5--1.01515500000004</f>
        <v>5028.1950729999999</v>
      </c>
      <c r="L133" s="3">
        <f>3108.3+(2500.6-329.1)+(-3.170466+(-2.550612--0.335682))+0-528.1--0.538662000000084</f>
        <v>4746.8532660000001</v>
      </c>
      <c r="M133" s="3">
        <f>3282+(2286.4-320.5)+(3.34764+(2.332128-0.32691))+0-624.5-0.6369900000001</f>
        <v>4628.1158679999999</v>
      </c>
      <c r="N133" s="3">
        <f>3160.6+(2378-340.1)+(-6.447624+(-4.85112--0.693804))+0-575.5--1.17401999999997</f>
        <v>4613.5690800000002</v>
      </c>
      <c r="O133" s="3">
        <f>3357.7+(2134.1-346.8)+(1.712427+(1.088391-0.176868))+0-457.4-0.233273999999954</f>
        <v>4689.9906760000003</v>
      </c>
      <c r="P133" s="3">
        <f>3766.5+(1992.6-315.8)+(3.84183+(2.032452-0.322116))+0-599.1-0.611082000000096</f>
        <v>4849.1410839999999</v>
      </c>
      <c r="Q133" s="3">
        <f>4408.5+(1540.5-399.2)+(6.745005+(2.356965-0.610776))+0-425.2-0.650556000000025</f>
        <v>5132.4406380000009</v>
      </c>
      <c r="R133" s="3">
        <f>5292.4+(1698.1-898)+(2.699124+(0.866031-0.45798))+0-553.5-0.282284999999944</f>
        <v>5541.8248899999999</v>
      </c>
      <c r="S133" s="3">
        <f>5713.4+(1654.7-930.8)+(-2.913834+(-0.843897--0.474708))+0-610.3--0.311252999999938</f>
        <v>5824.028229999999</v>
      </c>
      <c r="T133" s="3">
        <f>6214.4+(1331.4-1153.1)+(0+(0-0))+0-439.6-0</f>
        <v>5953.0999999999995</v>
      </c>
      <c r="U133" s="3">
        <f>6659+(1284.6-1326.3)+(-10.18827+(-1.965438--2.029239))+0-446--0.682380000000026</f>
        <v>6161.8579110000001</v>
      </c>
      <c r="V133" s="3">
        <f>6210.1+(1473.4-1332.4)+(-6.334302+(-1.502868--1.359048))+0-507.8--0.517956000000081</f>
        <v>5837.3398339999994</v>
      </c>
      <c r="W133" s="3">
        <f>5489.8+(1667.5-895.5)+(-2.799798+(-0.850425--0.456705))+0-591--0.30140999999994</f>
        <v>5667.9078920000002</v>
      </c>
      <c r="X133" s="3">
        <f>4482.5+(1748.6-432.6)+(-4.57215+(-1.783572--0.441252))+0-572.2--0.583644000000091</f>
        <v>5220.9691740000007</v>
      </c>
      <c r="Y133" s="3">
        <f>3542+(2114-316.6)+(3.61284+(2.15628-0.322932))+0-570.4-0.581808000000091</f>
        <v>4773.86438</v>
      </c>
      <c r="Z133" s="3">
        <f>4176.2+(1920-375.5)+(-2.129862+(-0.9792--0.191505))+0-648.6--0.330785999999934</f>
        <v>5069.5132289999992</v>
      </c>
      <c r="AA133" s="3">
        <f>5017.1+(1880.7-710.1)+(-12.793605+(-4.795785--1.810755))+0-684.9--1.7464949999999</f>
        <v>5488.7678600000017</v>
      </c>
      <c r="AB133" s="3">
        <f>4843.8+(1755-437.8)+(2.470338+(0.89505-0.223278))+0-631.6-0.322115999999936</f>
        <v>5532.2199939999991</v>
      </c>
      <c r="AC133" s="3">
        <f>4929.9+(1907.7-524.4)+(-2.514249+(-0.972927--0.267444))+0-689.9--0.35184899999993</f>
        <v>5620.4321170000003</v>
      </c>
      <c r="AD133">
        <v>5595.6</v>
      </c>
      <c r="AE133" s="3">
        <f>5104+(1974.6-773.6)+(0+(0-0))+0-709.4-0</f>
        <v>5595.6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4043.3+(2555.6-331.1)+(-10.310415+(-6.51678--0.844305))+0-674.8--1.7207399999999</f>
        <v>5578.7378499999995</v>
      </c>
      <c r="G134" s="3">
        <f>3693.9+(2744.7-335.4)+(-7.535556+(-5.599188--0.684216))+0-635--1.29539999999997</f>
        <v>5457.0448719999995</v>
      </c>
      <c r="H134" s="3">
        <f>3548+(2703.8-317.7)+(-12.66636+(-9.652566--1.134189))+0-632.8--2.25909600000001</f>
        <v>5282.3743590000004</v>
      </c>
      <c r="I134" s="3">
        <f>3604.1+(2553.6-335.9)+(-1.838091+(-1.302336--0.171309))+0-636--0.324359999999935</f>
        <v>5183.1552419999989</v>
      </c>
      <c r="J134" s="3">
        <f>3467.7+(2624.1-343)+(-1.768527+(-1.338291--0.17493))+0-592.4--0.30212399999994</f>
        <v>5153.7702359999994</v>
      </c>
      <c r="K134" s="3">
        <f>3391.2+(2565.7-329.9)+(-1.729512+(-1.308507--0.168249))+0-587.4--0.29957399999994</f>
        <v>5037.0298039999998</v>
      </c>
      <c r="L134" s="3">
        <f>3189.4+(2648.1-339.7)+(-3.253188+(-2.701062--0.346494))+0-677.2--0.690744000000108</f>
        <v>4815.6829880000005</v>
      </c>
      <c r="M134" s="3">
        <f>3447.7+(2170.7-354.6)+(5.274981+(3.321171-0.542538))+0-560.2-0.857106000000032</f>
        <v>4710.7965079999994</v>
      </c>
      <c r="N134" s="3">
        <f>3505.7+(2079.4-344.2)+(-1.787907+(-1.060494--0.175542))+0-533.3--0.271982999999946</f>
        <v>4705.1991239999988</v>
      </c>
      <c r="O134" s="3">
        <f>3775.3+(1800.1-354)+(5.776209+(2.754153-0.54162))+0-469.1-0.717723000000027</f>
        <v>4759.5710189999991</v>
      </c>
      <c r="P134" s="3">
        <f>4581.8+(1349.9-478.7)+(4.673436+(1.376898-0.488274))+0-513.8-0.524076000000082</f>
        <v>4944.2379840000003</v>
      </c>
      <c r="Q134" s="3">
        <f>5200.2+(1500.3-946.2)+(5.304204+(1.530306-0.965124))+0-536.6-0.547332000000086</f>
        <v>5223.0220539999991</v>
      </c>
      <c r="R134" s="3">
        <f>6037.7+(1354.6-1367.8)+(0+(0-0))+0-486.9-0</f>
        <v>5537.6</v>
      </c>
      <c r="S134" s="3">
        <f>6622.3+(1357.1-1534.1)+(-3.377373+(-0.692121--0.782391))+0-640--0.326399999999935</f>
        <v>5802.3392970000004</v>
      </c>
      <c r="T134" s="3">
        <f>6900.6+(1361.9-1785.4)+(-7.038612+(-1.389138--1.821108))+0-555.6--0.566712000000089</f>
        <v>5915.4600700000001</v>
      </c>
      <c r="U134" s="3">
        <f>6636.8+(1365.6-1588)+(-13.539072+(-2.785824--3.23952))+0-500.5--1.02101999999998</f>
        <v>5901.8356439999998</v>
      </c>
      <c r="V134" s="3">
        <f>6351.3+(1435.2-1197.9)+(-3.239163+(-0.731952--0.610929))+0-687.8--0.35077799999993</f>
        <v>5897.7905920000003</v>
      </c>
      <c r="W134" s="3">
        <f>5475.3+(1555.2-815.6)+(-5.584806+(-1.586304--0.831912))+0-521.8--0.532236000000083</f>
        <v>5687.2930380000007</v>
      </c>
      <c r="X134" s="3">
        <f>4156.7+(2089.9-382.6)+(-6.359751+(-3.197547--0.585378))+0-560.7--0.857871000000032</f>
        <v>5295.1859510000004</v>
      </c>
      <c r="Y134" s="3">
        <f>4256+(1875.7-325)+(4.34112+(1.913214-0.3315))+0-627.9-0.6404580000001</f>
        <v>5184.0823760000003</v>
      </c>
      <c r="Z134" s="3">
        <f>4555.5+(1739.8-522.5)+(2.323305+(0.887298-0.266475))+0-526.7-0.268616999999947</f>
        <v>5248.7755110000007</v>
      </c>
      <c r="AA134" s="3">
        <f>5667.7+(1540.5-963.7)+(-2.890527+(-0.785655--0.491487))+0-643--0.327929999999935</f>
        <v>5598.6432350000005</v>
      </c>
      <c r="AB134" s="3">
        <f>5356.6+(1466-627)+(-5.463732+(-1.49532--0.63954))+0-519.8--0.530196000000083</f>
        <v>5670.0106839999999</v>
      </c>
      <c r="AC134" s="3">
        <f>5319.2+(1735.7-666.9)+(2.712792+(0.885207-0.340119))+0-720.3-0.367352999999927</f>
        <v>5670.5905270000003</v>
      </c>
      <c r="AD134">
        <v>5648</v>
      </c>
      <c r="AE134" s="3">
        <f>5882+(1604.2-1088.7)+(0+(0-0))+0-749.5-0</f>
        <v>5648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4690.4+(1979.1-414.8)+(2.392104+(1.009341-0.211548))+0-663.3-0.338282999999933</f>
        <v>5594.2516139999998</v>
      </c>
      <c r="G135" s="3">
        <f>3939.7+(2488.3-317.5)+(-8.036988+(-5.076132--0.6477))+0-624.3--1.27357199999997</f>
        <v>5475.0081519999994</v>
      </c>
      <c r="H135" s="3">
        <f>3532.4+(2752.8-308.8)+(-1.801524+(-1.403928--0.157488))+0-627.7--0.320126999999936</f>
        <v>5345.9721629999995</v>
      </c>
      <c r="I135" s="3">
        <f>3558.1+(2673.3-311)+(5.443893+(4.090149-0.47583))+0-676.3-1.03473900000004</f>
        <v>5252.1234729999996</v>
      </c>
      <c r="J135" s="3">
        <f>3524+(2649.3-308)+(-1.79724+(-1.351143--0.15708))+0-650.4--0.331703999999934</f>
        <v>5212.2404010000009</v>
      </c>
      <c r="K135" s="3">
        <f>3161.3+(2869.4-331)+(0+(0-0))+0-666.7-0</f>
        <v>5033.0000000000009</v>
      </c>
      <c r="L135" s="3">
        <f>3002.7+(2841.4-326.1)+(-3.062754+(-2.898228--0.332622))+0-700.4--0.714408000000112</f>
        <v>4812.6860480000005</v>
      </c>
      <c r="M135" s="3">
        <f>2998.2+(2607.6-328.8)+(0+(0-0))+0-632-0</f>
        <v>4645</v>
      </c>
      <c r="N135" s="3">
        <f>3300.9+(2348.6-320.8)+(1.683459+(1.197786-0.163608))+0-631.6-0.322115999999936</f>
        <v>4699.4955209999989</v>
      </c>
      <c r="O135" s="3">
        <f>3540.3+(2211-338.7)+(7.222212+(4.51044-0.690948))+0-599.7-1.22338799999997</f>
        <v>4822.7183160000004</v>
      </c>
      <c r="P135" s="3">
        <f>4272.8+(1768.1-394.2)+(4.358256+(1.803462-0.402084))+0-638.2-0.650964000000102</f>
        <v>5013.6086699999996</v>
      </c>
      <c r="Q135" s="3">
        <f>5265.3+(1482-926.4)+(5.370606+(1.51164-0.944928))+0-463.1-0.472362000000074</f>
        <v>5363.264956</v>
      </c>
      <c r="R135" s="3">
        <f>6100.6+(1420.3-1282.1)+(-9.333918+(-2.173059--1.961613))+0-402--0.615060000000023</f>
        <v>5827.8696960000007</v>
      </c>
      <c r="S135" s="3">
        <f>6307.7+(1376.2-1391.1)+(-6.433854+(-1.403724--1.418922))+0-376.3--0.38382600000006</f>
        <v>5910.4651700000004</v>
      </c>
      <c r="T135" s="3">
        <f>7081.8+(1309.1-2020)+(0+(0-0))+0-361.8-0</f>
        <v>6009.0999999999995</v>
      </c>
      <c r="U135" s="3">
        <f>7024.1+(1330.5-1904)+(-7.164582+(-1.35711--1.94208))+0-365--0.372300000000058</f>
        <v>6079.3926879999999</v>
      </c>
      <c r="V135" s="3">
        <f>6826.7+(1286.1-1752.3)+(10.444851+(1.967733-2.681019))+0-368-0.563040000000021</f>
        <v>6001.668525</v>
      </c>
      <c r="W135" s="3">
        <f>5949+(1150.4-955.7)+(-9.10197+(-1.760112--1.462221))+0-373.6--0.571608000000022</f>
        <v>5761.2717469999998</v>
      </c>
      <c r="X135" s="3">
        <f>4927.2+(1430.5-498.4)+(-10.051488+(-2.91822--1.016736))+0-505.3--1.03081199999998</f>
        <v>5343.0778399999999</v>
      </c>
      <c r="Y135" s="3">
        <f>4109+(1922.3-339.5)+(2.09559+(0.980373-0.173145))+0-576.5-0.294014999999942</f>
        <v>5117.9088030000003</v>
      </c>
      <c r="Z135" s="3">
        <f>5169.2+(1394.9-672)+(2.636292+(0.711399-0.34272))+0-562-0.286619999999943</f>
        <v>5332.8183510000008</v>
      </c>
      <c r="AA135" s="3">
        <f>6085.2+(997.8-981.7)+(-15.51726+(-2.54439--2.503335))+0-708--1.8053999999999</f>
        <v>5379.5470849999992</v>
      </c>
      <c r="AB135" s="3">
        <f>5661.9+(1056.2-675)+(-5.775138+(-1.077324--0.6885))+0-528--0.538560000000084</f>
        <v>5509.4745979999998</v>
      </c>
      <c r="AC135" s="3">
        <f>5525.2+(1437.9-600.7)+(-2.817852+(-0.733329--0.306357))+0-664.8--0.339047999999933</f>
        <v>5694.6942239999989</v>
      </c>
      <c r="AD135">
        <v>5239.5</v>
      </c>
      <c r="AE135" s="3">
        <f>6128+(980.7-1140.1)+(0+(0-0))+0-729.1-0</f>
        <v>5239.5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4513.9+(2045.9-336.2)+(-2.302089+(-1.043409--0.171462))+0-574.3--0.292892999999942</f>
        <v>5646.4188569999988</v>
      </c>
      <c r="G136" s="3">
        <f>3815.7+(2626.7-319.1)+(-9.730035+(-6.698085--0.813705))+0-640--1.63199999999991</f>
        <v>5469.3175849999989</v>
      </c>
      <c r="H136" s="3">
        <f>3628.2+(2652.3-328.6)+(-3.700764+(-2.705346--0.335172))+0-623.8--0.636276000000099</f>
        <v>5322.6653379999998</v>
      </c>
      <c r="I136" s="3">
        <f>3247.6+(2955.6-318)+(1.656276+(1.507356-0.16218))+0-695.3-0.354602999999929</f>
        <v>5192.5468490000003</v>
      </c>
      <c r="J136" s="3">
        <f>3205.2+(2961.7-342.5)+(-1.634652+(-1.510467--0.174675))+0-642.1--0.327470999999935</f>
        <v>5179.6570269999993</v>
      </c>
      <c r="K136" s="3">
        <f>3233.1+(2759.6-339.6)+(-1.648881+(-1.407396--0.173196))+0-613.4--0.312833999999938</f>
        <v>5037.1297530000011</v>
      </c>
      <c r="L136" s="3">
        <f>3236.2+(2549-334)+(-4.951386+(-3.89997--0.51102))+0-689.8--1.05539400000004</f>
        <v>4754.1150579999994</v>
      </c>
      <c r="M136" s="3">
        <f>3449.7+(2025.2-363.3)+(1.759347+(1.032852-0.185283))+0-550.4-0.280703999999944</f>
        <v>4563.5262120000007</v>
      </c>
      <c r="N136" s="3">
        <f>3601.5+(2033.5-317.4)+(0+(0-0))+0-640.5-0</f>
        <v>4677.1000000000004</v>
      </c>
      <c r="O136" s="3">
        <f>3908+(1770.3-297.8)+(5.97924+(2.708559-0.455634))+0-549.2-0.840276000000032</f>
        <v>4838.6918890000006</v>
      </c>
      <c r="P136" s="3">
        <f>4679.2+(1375.4-668.2)+(4.772784+(1.402908-0.681564))+0-413.7-0.421974000000066</f>
        <v>4977.7721540000002</v>
      </c>
      <c r="Q136" s="3">
        <f>5532.6+(1336-1202.1)+(8.464878+(2.04408-1.839213))+0-399.7-0.611541000000023</f>
        <v>5274.8582040000001</v>
      </c>
      <c r="R136" s="3">
        <f>6754.5+(1275.3-1898.6)+(-3.444795+(-0.650403--0.968286))+0-471--0.240209999999952</f>
        <v>5657.313298</v>
      </c>
      <c r="S136" s="3">
        <f>7028.7+(1283.7-1872)+(-3.584637+(-0.654687--0.95472))+0-514.5--0.262394999999948</f>
        <v>5922.877790999999</v>
      </c>
      <c r="T136" s="3">
        <f>7411.7+(1233.3-2068.5)+(3.779967+(0.628983-1.054935))+0-538.9-0.274838999999945</f>
        <v>6040.6791760000006</v>
      </c>
      <c r="U136" s="3">
        <f>7482.2+(1008.9-1878.7)+(3.815922+(0.514539-0.958137))+0-598.1-0.305030999999939</f>
        <v>6017.3672929999993</v>
      </c>
      <c r="V136" s="3">
        <f>7235.3+(1093.4-1651.8)+(-3.690003+(-0.557634--0.842418))+0-747--0.380969999999924</f>
        <v>5926.8757510000005</v>
      </c>
      <c r="W136" s="3">
        <f>6454.5+(1166.2-1240)+(-9.875385+(-1.784286--1.8972))+0-596.7--0.912951000000035</f>
        <v>5775.1504800000002</v>
      </c>
      <c r="X136" s="3">
        <f>4876.6+(1645.8-482.6)+(-2.487066+(-0.839358--0.246126))+0-630.3--0.321452999999936</f>
        <v>5406.7411549999997</v>
      </c>
      <c r="Y136" s="3">
        <f>3716.1+(2187.3-357.5)+(-3.790422+(-2.231046--0.36465))+0-549.5--0.560490000000088</f>
        <v>4991.3036719999991</v>
      </c>
      <c r="Z136" s="3">
        <f>4767.1+(1781.8-699)+(-4.862442+(-1.817436--0.71298))+0-471.3--0.480726000000075</f>
        <v>5373.1138280000005</v>
      </c>
      <c r="AA136" s="3">
        <f>5222+(1364.3-584.3)+(-7.98966+(-2.087379--0.893979))+0-318.7--0.487611000000018</f>
        <v>5674.6045510000004</v>
      </c>
      <c r="AB136" s="3">
        <f>5306.5+(1531.4-640.5)+(2.706315+(0.781014-0.326655))+0-487-0.248369999999951</f>
        <v>5713.3123039999991</v>
      </c>
      <c r="AC136" s="3">
        <f>5200.5+(1946.4-740.3)+(-2.652255+(-0.992664--0.377553))+0-684--0.348839999999931</f>
        <v>5719.681474</v>
      </c>
      <c r="AD136">
        <v>5562.6</v>
      </c>
      <c r="AE136" s="3">
        <f>5262+(1488.5-807)+(0+(0-0))+0-380.9-0</f>
        <v>5562.6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4466.8+(2198.7-491.6)+(0+(0-0))+0-516.7-0</f>
        <v>5657.2</v>
      </c>
      <c r="G137" s="3">
        <f>3959.8+(2495-319.7)+(-2.019498+(-1.27245--0.163047))+0-602.3--0.307172999999939</f>
        <v>5529.9782720000003</v>
      </c>
      <c r="H137" s="3">
        <f>3516.6+(2765.7-317.3)+(-3.586932+(-2.821014--0.323646))+0-584.2--0.595884000000093</f>
        <v>5375.311584</v>
      </c>
      <c r="I137" s="3">
        <f>3429.1+(2732.1-311.1)+(-3.497682+(-2.786742--0.317322))+0-583.9--0.595578000000093</f>
        <v>5260.8284760000015</v>
      </c>
      <c r="J137" s="3">
        <f>3215.3+(2960.9-318.9)+(-6.559212+(-6.040236--0.650556))+0-599--1.22195999999997</f>
        <v>5247.5730679999997</v>
      </c>
      <c r="K137" s="3">
        <f>3095.4+(2941.7-293.5)+(-6.314616+(-6.001068--0.59874))+0-596.6--1.21706399999997</f>
        <v>5136.5001200000006</v>
      </c>
      <c r="L137" s="3">
        <f>3173.1+(2616.9-308)+(-6.473124+(-5.338476--0.62832))+0-620.8--1.26643199999997</f>
        <v>4851.283152</v>
      </c>
      <c r="M137" s="3">
        <f>3304.8+(2233.9-309.6)+(8.42724+(5.696445-0.78948))+0-577.9-1.47364499999992</f>
        <v>4663.0605600000008</v>
      </c>
      <c r="N137" s="3">
        <f>3410.4+(2179.4-296.9)+(3.478608+(2.222988-0.302838))+0-602.6-0.614652000000096</f>
        <v>4695.0841059999993</v>
      </c>
      <c r="O137" s="3">
        <f>3734.8+(1907.8-311.4)+(3.809496+(1.945956-0.317628))+0-541.4-0.552228000000086</f>
        <v>4794.6855960000003</v>
      </c>
      <c r="P137" s="3">
        <f>4622.4+(1581.5-644.6)+(7.072272+(2.419695-0.986238))+0-583-0.891990000000034</f>
        <v>4983.9137389999996</v>
      </c>
      <c r="Q137" s="3">
        <f>5716.2+(1256.4-1129.2)+(11.661048+(2.563056-2.303568))+0-565.9-1.15443599999998</f>
        <v>5288.2660999999998</v>
      </c>
      <c r="R137" s="3">
        <f>6466.8+(1119.5-1396.2)+(6.596136+(1.14189-1.424124))+0-595.5-0.607410000000095</f>
        <v>5600.3064919999997</v>
      </c>
      <c r="S137" s="3">
        <f>7021.2+(1072.7-1647)+(-3.580812+(-0.547077--0.83997))+0-608.9--0.310538999999938</f>
        <v>5835.0226199999997</v>
      </c>
      <c r="T137" s="3">
        <f>7211.4+(1025.6-1576.2)+(-3.677814+(-0.523056--0.803862))+0-614--0.313139999999938</f>
        <v>6043.7161319999996</v>
      </c>
      <c r="U137" s="3">
        <f>6936.4+(1000.8-1413.3)+(-14.150256+(-2.041632--2.883132))+0-622--1.26887999999997</f>
        <v>5889.8601239999989</v>
      </c>
      <c r="V137" s="3">
        <f>6985.2+(904.9-1338.4)+(3.562452+(0.461499-0.682584))+0-633.1-0.322880999999936</f>
        <v>5921.6184859999994</v>
      </c>
      <c r="W137" s="3">
        <f>5925.5+(1253.2-872.9)+(-9.066015+(-1.917396--1.335537))+0-519.1--0.79422300000003</f>
        <v>5777.8463489999995</v>
      </c>
      <c r="X137" s="3">
        <f>4309.8+(1945.5-357.3)+(-4.395996+(-1.98441--0.364446))+0-543.4--0.554268000000087</f>
        <v>5349.1383080000005</v>
      </c>
      <c r="Y137" s="3">
        <f>3765.5+(2094.9-255)+(0+(0-0))+0-595.8-0</f>
        <v>5009.5999999999995</v>
      </c>
      <c r="Z137" s="3">
        <f>4320.1+(2180.3-469.3)+(-4.406502+(-2.223906--0.478686))+0-616.2--0.628524000000098</f>
        <v>5409.3768020000007</v>
      </c>
      <c r="AA137" s="3">
        <f>4923.2+(1889.2-499)+(-12.55416+(-4.81746--1.27245))+0-607.5--1.54912499999991</f>
        <v>5691.3499549999988</v>
      </c>
      <c r="AB137" s="3">
        <f>4804.9+(1806.2-523.5)+(-4.900998+(-1.842324--0.53397))+0-611.5--0.623730000000097</f>
        <v>5470.5143779999999</v>
      </c>
      <c r="AC137" s="3">
        <f>4463.3+(2243.6-499.9)+(-4.552566+(-2.288472--0.509898))+0-594.2--0.606084000000095</f>
        <v>5607.074944</v>
      </c>
      <c r="AD137">
        <v>5663.4000000000005</v>
      </c>
      <c r="AE137" s="3">
        <f>4753+(1999.7-543.4)+(0+(0-0))+0-545.9-0</f>
        <v>5663.4000000000005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3880.3+(2637.9-343.9)+(-1.978953+(-1.345329--0.175389))+0-550.9--0.280958999999944</f>
        <v>5620.5320660000007</v>
      </c>
      <c r="G138" s="3">
        <f>3559.9+(2892.4-268.9)+(-3.631098+(-2.950248--0.274278))+0-648.2--0.661164000000103</f>
        <v>5529.5540959999998</v>
      </c>
      <c r="H138" s="3">
        <f>3449.7+(2855.9-259.1)+(-10.556082+(-8.739054--0.792846))+0-581.4--1.77908400000007</f>
        <v>5448.3767939999998</v>
      </c>
      <c r="I138" s="3">
        <f>3221.5+(2906.4-279.9)+(3.28593+(2.964528-0.285498))+0-517.7-0.528054000000083</f>
        <v>5335.7369060000001</v>
      </c>
      <c r="J138" s="3">
        <f>3184.1+(2896.4-283)+(-1.623891+(-1.477164--0.14433))+0-500.9--0.255458999999949</f>
        <v>5293.8987340000003</v>
      </c>
      <c r="K138" s="3">
        <f>2765.5+(3197.3-278.2)+(-1.410405+(-1.630623--0.141882))+0-503.9--0.256988999999949</f>
        <v>5178.0578430000005</v>
      </c>
      <c r="L138" s="3">
        <f>2601.5+(3113.9-196.6)+(-5.30706+(-6.352356--0.401064))+0-542.5--1.10669999999998</f>
        <v>4966.1483480000006</v>
      </c>
      <c r="M138" s="3">
        <f>2724.6+(2821.7-265.4)+(-5.558184+(-5.756268--0.541416))+0-512.8--1.04611199999998</f>
        <v>4758.3730759999999</v>
      </c>
      <c r="N138" s="3">
        <f>3089.5+(2324-241.2)+(0+(0-0))+0-489.1-0</f>
        <v>4683.2</v>
      </c>
      <c r="O138" s="3">
        <f>3277.7+(2156.2-257.4)+(0+(0-0))+0-528.4-0</f>
        <v>4648.1000000000004</v>
      </c>
      <c r="P138" s="3">
        <f>3332.2+(2195.4-275.4)+(-3.398844+(-2.239308--0.280908))+0-519.8--0.530196000000083</f>
        <v>4727.5729519999995</v>
      </c>
      <c r="Q138" s="3">
        <f>3547.8+(2149.7-266.5)+(3.618756+(2.192694-0.27183))+0-426.5-0.435030000000068</f>
        <v>5009.6045899999999</v>
      </c>
      <c r="R138" s="3">
        <f>4092.6+(2059.3-252.6)+(-4.174452+(-2.100486--0.257652))+0-565.9--0.57721800000009</f>
        <v>5327.9599320000007</v>
      </c>
      <c r="S138" s="3">
        <f>4522.6+(1896.1-296.1)+(2.306526+(0.967011-0.151011))+0-529.3-0.269942999999946</f>
        <v>5596.152583</v>
      </c>
      <c r="T138" s="3">
        <f>4818.2+(2041.8-409.1)+(-2.457282+(-1.041318--0.208641))+0-676.7--0.345116999999931</f>
        <v>5771.2551579999999</v>
      </c>
      <c r="U138" s="3">
        <f>4697.1+(2094.6-433.1)+(-2.395521+(-1.068246--0.220881))+0-554.9--0.282998999999944</f>
        <v>5800.7401130000007</v>
      </c>
      <c r="V138" s="3">
        <f>4609+(2154.7-400.3)+(0+(0-0))+0-599.4-0</f>
        <v>5764</v>
      </c>
      <c r="W138" s="3">
        <f>3937.8+(2435.3-260)+(-8.033112+(-4.968012--0.5304))+0-508.1--1.03652399999998</f>
        <v>5593.5658000000003</v>
      </c>
      <c r="X138" s="3">
        <f>3272.7+(2624.5-279.4)+(-3.338154+(-2.67699--0.284988))+0-449.5--0.458490000000072</f>
        <v>5163.0283339999996</v>
      </c>
      <c r="Y138" s="3">
        <f>3155.9+(2504.6-284)+(-3.219018+(-2.554692--0.28968))+0-617.6--0.629952000000099</f>
        <v>4754.0459220000002</v>
      </c>
      <c r="Z138" s="3">
        <f>3760.1+(2096.6-276.2)+(-3.835302+(-2.138532--0.281724))+0-472.6--0.482052000000075</f>
        <v>5102.689942</v>
      </c>
      <c r="AA138" s="3">
        <f>4072.9+(2070-286.2)+(-6.231537+(-3.1671--0.437886))+0-565.2--0.864756000000033</f>
        <v>5283.4040050000003</v>
      </c>
      <c r="AB138" s="3">
        <f>3882.2+(2295.9-280.4)+(-3.959844+(-2.341818--0.286008))+0-522.4--0.532848000000083</f>
        <v>5369.8171940000002</v>
      </c>
      <c r="AC138" s="3">
        <f>3795.6+(2402.7-286.1)+(1.935756+(1.225377-0.145911))+0-522.4-0.266423999999947</f>
        <v>5392.5487979999998</v>
      </c>
      <c r="AD138">
        <v>5491.9</v>
      </c>
      <c r="AE138" s="3">
        <f>4243+(2182.8-276.6)+(0+(0-0))+0-657.3-0</f>
        <v>5491.9000000000005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3689+(2560.9-282)+(0+(0-0))+0-510.1-0</f>
        <v>5457.7999999999993</v>
      </c>
      <c r="G139" s="3">
        <f>3393.2+(2863-265.5)+(-1.730532+(-1.46013--0.135405))+0-599.9--0.305948999999939</f>
        <v>5388.0506919999998</v>
      </c>
      <c r="H139" s="3">
        <f>3126.9+(2971.4-272.1)+(-1.594719+(-1.515414--0.138771))+0-558.1--0.284630999999943</f>
        <v>5265.4132689999997</v>
      </c>
      <c r="I139" s="3">
        <f>2976.7+(2956.9-252.5)+(-3.036234+(-3.016038--0.25755))+0-611.5--0.623730000000097</f>
        <v>5064.429008000001</v>
      </c>
      <c r="J139" s="3">
        <f>2982.6+(2904-268.6)+(-4.563378+(-4.44312--0.410958))+0-541.1--0.827883000000031</f>
        <v>5069.1323429999993</v>
      </c>
      <c r="K139" s="3">
        <f>2891.8+(2830.9-278)+(-4.424454+(-4.331277--0.42534))+0-556.6--0.851598000000032</f>
        <v>4880.6212070000001</v>
      </c>
      <c r="L139" s="3">
        <f>2938.8+(2494-304.7)+(-1.498788+(-1.27194--0.155397))+0-490.5--0.25015499999995</f>
        <v>4635.2348240000001</v>
      </c>
      <c r="M139" s="3">
        <f>3013+(2329.6-304.5)+(3.07326+(2.376192-0.31059))+0-579-0.590580000000092</f>
        <v>4463.6482820000001</v>
      </c>
      <c r="N139" s="3">
        <f>3468.9+(1805.5-287.5)+(5.307417+(2.762415-0.439875))+0-485.8-0.743274000000028</f>
        <v>4507.9866829999992</v>
      </c>
      <c r="O139" s="3">
        <f>3817.7+(1581.1-296.8)+(1.947027+(0.806361-0.151368))+0-568.6-0.289985999999942</f>
        <v>4535.7120340000001</v>
      </c>
      <c r="P139" s="3">
        <f>4618.3+(917.4-355.1)+(0+(0-0))+0-478-0</f>
        <v>4702.6000000000004</v>
      </c>
      <c r="Q139" s="3">
        <f>5163.6+(891.1-677)+(2.633436+(0.454461-0.34527))+0-494-0.25193999999995</f>
        <v>4886.1906870000003</v>
      </c>
      <c r="R139" s="3">
        <f>5359+(1258.3-757.9)+(2.73309+(0.641733-0.386529))+0-409.8-0.208997999999958</f>
        <v>5452.3792959999992</v>
      </c>
      <c r="S139" s="3">
        <f>5655.1+(1329.7-839.1)+(-2.884101+(-0.678147--0.427941))+0-388.2--0.197981999999961</f>
        <v>5754.5636750000003</v>
      </c>
      <c r="T139" s="3">
        <f>6225+(1212.5-1074.8)+(3.17475+(0.618375-0.548148))+0-425.6-0.217055999999957</f>
        <v>5940.1279209999993</v>
      </c>
      <c r="U139" s="3">
        <f>6040.9+(1352.4-1000.7)+(-9.242577+(-2.069172--1.531071))+0-441.7--0.675801000000026</f>
        <v>5941.7951229999999</v>
      </c>
      <c r="V139" s="3">
        <f>5651.9+(1661-950)+(-2.882469+(-0.84711--0.4845))+0-454.7--0.231896999999954</f>
        <v>5905.1868179999992</v>
      </c>
      <c r="W139" s="3">
        <f>4891.1+(2123.2-581.8)+(-9.977844+(-4.331328--1.186872))+0-679.4--1.38597599999997</f>
        <v>5741.3636759999999</v>
      </c>
      <c r="X139" s="3">
        <f>3408.7+(2753.8-263)+(0+(0-0))+0-549-0</f>
        <v>5350.5</v>
      </c>
      <c r="Y139" s="3">
        <f>3255.6+(2613-266.5)+(4.981068+(3.99789-0.407745))+0-630.1-0.964053000000036</f>
        <v>4979.6071600000005</v>
      </c>
      <c r="Z139" s="3">
        <f>4117.1+(2124-306.1)+(2.099721+(1.08324-0.156111))+0-582.6-0.297125999999941</f>
        <v>5355.1297239999994</v>
      </c>
      <c r="AA139" s="3">
        <f>4256.3+(2152.1-283.6)+(-6.512139+(-3.292713--0.433908))+0-584.7--0.894591000000034</f>
        <v>5531.6236470000003</v>
      </c>
      <c r="AB139" s="3">
        <f>3694.5+(2630.3-263.7)+(5.652585+(4.024359-0.403461))+0-569.7-0.871641000000033</f>
        <v>5499.8018420000008</v>
      </c>
      <c r="AC139" s="3">
        <f>3668.2+(2691.9-276)+(-1.870782+(-1.372869--0.14076))+0-533.4--0.272033999999946</f>
        <v>5547.8691429999999</v>
      </c>
      <c r="AD139">
        <v>5615</v>
      </c>
      <c r="AE139" s="3">
        <f>4693+(2042.9-459.9)+(0+(0-0))+0-661-0</f>
        <v>5615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3400.6+(2875.3-269.3)+(1.734306+(1.466403-0.137343))+0-482.8-0.246227999999951</f>
        <v>5526.6171380000005</v>
      </c>
      <c r="G140" s="3">
        <f>3341+(2892.4-280.2)+(0+(0-0))+0-519.7-0</f>
        <v>5433.5000000000009</v>
      </c>
      <c r="H140" s="3">
        <f>3327.7+(2744.8-220)+(5.091381+(4.199544-0.3366))+0-566.2-0.866286000000033</f>
        <v>5294.3880389999995</v>
      </c>
      <c r="I140" s="3">
        <f>3311.4+(2749.4-242)+(0+(0-0))+0-584.4-0</f>
        <v>5234.4000000000005</v>
      </c>
      <c r="J140" s="3">
        <f>3301.5+(2670.4-273.1)+(1.683765+(1.361904-0.139281))+0-574.9-0.293198999999942</f>
        <v>5126.5131890000011</v>
      </c>
      <c r="K140" s="3">
        <f>3122.9+(2802.2-277.3)+(-1.592679+(-1.429122--0.141423))+0-647.5--0.330224999999934</f>
        <v>4997.7498469999991</v>
      </c>
      <c r="L140" s="3">
        <f>3060.5+(2541.9-278.2)+(-10.925985+(-9.074583--0.993174))+0-572.3--2.04311100000001</f>
        <v>4734.9357170000003</v>
      </c>
      <c r="M140" s="3">
        <f>2981.6+(2400.2-276.4)+(1.520616+(1.224102-0.140964))+0-557.4-0.284273999999943</f>
        <v>4550.3194800000001</v>
      </c>
      <c r="N140" s="3">
        <f>3266.2+(2088-276)+(3.331524+(2.12976-0.28152))+0-526.1-0.536622000000084</f>
        <v>4556.7431419999994</v>
      </c>
      <c r="O140" s="3">
        <f>3319.5+(2087-280.3)+(1.692945+(1.06437-0.142953))+0-514-0.262139999999948</f>
        <v>4614.5522220000003</v>
      </c>
      <c r="P140" s="3">
        <f>3628.2+(1918.8-258.4)+(3.700764+(1.957176-0.263568))+0-544.4-0.555288000000087</f>
        <v>4749.039084</v>
      </c>
      <c r="Q140" s="3">
        <f>4014.5+(1812.7-288.5)+(-2.047395+(-0.924477--0.147135))+0-554.5--0.282794999999944</f>
        <v>4981.658058</v>
      </c>
      <c r="R140" s="3">
        <f>4502.4+(2024.2-589.1)+(0+(0-0))+0-547.6-0</f>
        <v>5389.9</v>
      </c>
      <c r="S140" s="3">
        <f>4405.5+(2196.6-589.8)+(-11.234025+(-5.60133--1.50399))+0-352.4--0.898619999999949</f>
        <v>5645.4672550000005</v>
      </c>
      <c r="T140" s="3">
        <f>4913.4+(2010.1-733.6)+(-5.011668+(-2.050302--0.748272))+0-338.8--0.345576000000054</f>
        <v>5845.1318779999992</v>
      </c>
      <c r="U140" s="3">
        <f>4687.3+(2132.5-622.3)+(-2.390523+(-1.087575--0.317373))+0-346.5--0.176714999999965</f>
        <v>5848.0159899999999</v>
      </c>
      <c r="V140" s="3">
        <f>4780+(2032.7-622.2)+(7.3134+(3.110031-0.951966))+0-354.5-0.54238500000002</f>
        <v>5844.9290799999999</v>
      </c>
      <c r="W140" s="3">
        <f>4164.9+(2155.1-317.9)+(-2.124099+(-1.099101--0.162129))+0-335.2--0.170951999999966</f>
        <v>5664.009881</v>
      </c>
      <c r="X140" s="3">
        <f>4091.3+(1894.5-310.1)+(-8.346252+(-3.86478--0.632604))+25-399.9--0.815795999999983</f>
        <v>5290.0373680000012</v>
      </c>
      <c r="Y140" s="3">
        <f>3817.9+(1691.6-276)+(-5.841387+(-2.588148--0.42228))+0-367.2--0.561816000000021</f>
        <v>4858.8545610000001</v>
      </c>
      <c r="Z140" s="3">
        <f>4749.9+(1505.4-450.5)+(-2.422449+(-0.767754--0.229755))+0-365--0.186149999999963</f>
        <v>5437.025701999999</v>
      </c>
      <c r="AA140" s="3">
        <f>4701.7+(1552-375.1)+(-9.591468+(-3.16608--0.765204))+0-382.5--0.780299999999983</f>
        <v>5484.8879560000005</v>
      </c>
      <c r="AB140" s="3">
        <f>4613.1+(1573.5-346.1)+(-4.705362+(-1.60497--0.353022))+0-396.7--0.404634000000063</f>
        <v>5438.2473240000008</v>
      </c>
      <c r="AC140" s="3">
        <f>4615.4+(1999.4-445.2)+(0+(0-0))+0-605.9-0</f>
        <v>5563.7</v>
      </c>
      <c r="AD140">
        <v>5352.9</v>
      </c>
      <c r="AE140" s="3">
        <f>4881+(1298.7-427)+(0+(0-0))+0-399.8-0</f>
        <v>5352.9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4193.5+(2202.7-273.8)+(-12.83211+(-6.740262--0.837828))+0-603.4--1.84640400000007</f>
        <v>5502.11186</v>
      </c>
      <c r="G141" s="3">
        <f>3628.3+(2540.3-275)+(-9.252165+(-6.477765--0.70125))+0-592.8--1.51163999999991</f>
        <v>5287.2829599999995</v>
      </c>
      <c r="H141" s="3">
        <f>3308.9+(2687.9-252)+(-1.687539+(-1.370829--0.12852))+0-597.1--0.304520999999939</f>
        <v>5145.0746730000001</v>
      </c>
      <c r="I141" s="3">
        <f>3033.4+(2826.7-267)+(1.547034+(1.441617-0.13617))+0-542.9-0.276878999999945</f>
        <v>5052.7756020000006</v>
      </c>
      <c r="J141" s="3">
        <f>3001.2+(2839.4-271)+(-3.061224+(-2.896188--0.27642))+0-587.8--0.599556000000094</f>
        <v>4976.7185640000007</v>
      </c>
      <c r="K141" s="3">
        <f>2996.4+(2712-274.4)+(-4.584492+(-4.14936--0.419832))+0-583.6--0.892908000000034</f>
        <v>4842.9788879999996</v>
      </c>
      <c r="L141" s="3">
        <f>3048+(2465.5-281.1)+(-9.32688+(-7.54443--0.860166))+0-624.3--1.91035800000007</f>
        <v>4593.9992139999995</v>
      </c>
      <c r="M141" s="3">
        <f>3212.5+(2035.1-236.4)+(-3.27675+(-2.075802--0.241128))+0-584.5--0.596190000000093</f>
        <v>4422.1847660000003</v>
      </c>
      <c r="N141" s="3">
        <f>3298.6+(1902.9-262.5)+(3.364572+(1.940958-0.26775))+0-563.1-0.57436200000009</f>
        <v>4380.363417999999</v>
      </c>
      <c r="O141" s="3">
        <f>3316.3+(2011.6-225.6)+(-5.073939+(-3.077748--0.345168))+0-575.9--0.881127000000033</f>
        <v>4519.4746080000004</v>
      </c>
      <c r="P141" s="3">
        <f>3559+(1846-275)+(1.81509+(0.94146-0.14025))+0-519-0.264689999999947</f>
        <v>4613.3516099999997</v>
      </c>
      <c r="Q141" s="3">
        <f>4287.2+(1535.4-478.8)+(0+(0-0))+0-450.4-0</f>
        <v>4893.4000000000005</v>
      </c>
      <c r="R141" s="3">
        <f>4772.3+(1504-713.7)+(-2.433873+(-0.76704--0.363987))+0-248.9--0.126938999999975</f>
        <v>5310.9900130000005</v>
      </c>
      <c r="S141" s="3">
        <f>5029+(1614.1-725.3)+(-5.12958+(-1.646382--0.739806))+0-245.5--0.250410000000039</f>
        <v>5666.5142539999997</v>
      </c>
      <c r="T141" s="3">
        <f>5400.4+(1562.6-884.9)+(2.754204+(0.796926-0.451299))+0-243.9-0.124388999999975</f>
        <v>5837.1754420000007</v>
      </c>
      <c r="U141" s="3">
        <f>5382.5+(1693.1-967.8)+(-8.235225+(-2.590443--1.480734))+0-261.5--0.400095000000015</f>
        <v>5837.3551610000004</v>
      </c>
      <c r="V141" s="3">
        <f>5201+(1808.4-865.3)+(-13.26255+(-4.61142--2.206515))+0-269.9--0.688244999999961</f>
        <v>5859.2207900000012</v>
      </c>
      <c r="W141" s="3">
        <f>4710.5+(1832.3-602.9)+(-9.60942+(-3.737892--1.229916))+0-261.4--0.533255999999989</f>
        <v>5666.9158600000001</v>
      </c>
      <c r="X141" s="3">
        <f>3857.8+(1805.2-230)+(-11.804868+(-5.523912--0.7038))+0-311.1--0.951966000000036</f>
        <v>5106.2269859999997</v>
      </c>
      <c r="Y141" s="3">
        <f>3847.6+(1475.5-220)+(-3.924552+(-1.50501--0.2244))+0-343.5--0.350370000000055</f>
        <v>4754.7452080000003</v>
      </c>
      <c r="Z141" s="3">
        <f>4161.6+(1671.8-280.5)+(0+(0-0))+0-255.3-0</f>
        <v>5297.6</v>
      </c>
      <c r="AA141" s="3">
        <f>4117.8+(2044.1-555)+(-14.700546+(-7.297437--1.98135))+0-263--0.938910000000004</f>
        <v>5324.8222769999993</v>
      </c>
      <c r="AB141" s="3">
        <f>4137+(2057.1-505.8)+(-6.32961+(-3.147363--0.773874))+0-267.2--0.408816000000015</f>
        <v>5412.8057170000002</v>
      </c>
      <c r="AC141" s="3">
        <f>4201.6+(2234.3-529.6)+(-4.285632+(-2.278986--0.540192))+0-259.4--0.264588000000041</f>
        <v>5641.1401620000015</v>
      </c>
      <c r="AD141">
        <v>5330.2</v>
      </c>
      <c r="AE141" s="3">
        <f>4264+(2086.7-734.3)+(0+(0-0))+0-286.2-0</f>
        <v>5330.2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3566.4+(2438.7-309.6)+(-3.637728+(-2.487474--0.315792))+0-278.9--0.284478000000044</f>
        <v>5411.075068000001</v>
      </c>
      <c r="G142" s="3">
        <f>3279.1+(2599.2-283.2)+(-1.672341+(-1.325592--0.144432))+0-271.8--0.138617999999972</f>
        <v>5320.5851170000005</v>
      </c>
      <c r="H142" s="3">
        <f>3166.8+(2727.2-268.1)+(0+(0-0))+0-441.8-0</f>
        <v>5184.0999999999995</v>
      </c>
      <c r="I142" s="3">
        <f>3343+(2595.5-269.1)+(-5.11479+(-3.971115--0.411723))+0-602.5--0.921825000000035</f>
        <v>5059.1476430000002</v>
      </c>
      <c r="J142" s="3">
        <f>3411.6+(2447-258.3)+(5.219748+(3.74391-0.395199))+0-586-0.896580000000034</f>
        <v>5021.9718789999997</v>
      </c>
      <c r="K142" s="3">
        <f>3048.8+(2627.6-263.4)+(-6.219552+(-5.360304--0.537336))+0-541.4--1.10445599999998</f>
        <v>4861.6619360000004</v>
      </c>
      <c r="L142" s="3">
        <f>2823.3+(2729.5-267.5)+(-4.319649+(-4.176135--0.409275))+0-639.5--0.978435000000037</f>
        <v>4638.6919260000004</v>
      </c>
      <c r="M142" s="3">
        <f>2826.6+(2404.5-218.6)+(1.441566+(1.226295-0.111486))+0-613.4-0.312833999999938</f>
        <v>4401.3435410000002</v>
      </c>
      <c r="N142" s="3">
        <f>3206.4+(2024.4-272.9)+(1.635264+(1.032444-0.139179))+0-541-0.275909999999945</f>
        <v>4419.1526189999995</v>
      </c>
      <c r="O142" s="3">
        <f>3506.5+(1853.1-301.6)+(3.57663+(1.890162-0.307632))+0-578.4-0.589968000000092</f>
        <v>4484.1691920000003</v>
      </c>
      <c r="P142" s="3">
        <f>3562.9+(1870.2-306.5)+(0+(0-0))+0-527.3-0</f>
        <v>4599.3</v>
      </c>
      <c r="Q142" s="3">
        <f>3849.7+(2270.7-547.9)+(3.926694+(2.316114-0.558858))+0-682.1-0.695742000000109</f>
        <v>4895.3882079999994</v>
      </c>
      <c r="R142" s="3">
        <f>4554.4+(2154.7-738)+(2.322744+(1.098897-0.37638))+0-579-0.295289999999941</f>
        <v>5394.8499709999996</v>
      </c>
      <c r="S142" s="3">
        <f>4631.3+(2271.6-726.5)+(-7.085889+(-3.475548--1.111545))+0-508--0.777240000000029</f>
        <v>5659.7273480000003</v>
      </c>
      <c r="T142" s="3">
        <f>4967.4+(2108.3-876.3)+(0+(0-0))+0-378.6-0</f>
        <v>5820.7999999999993</v>
      </c>
      <c r="U142" s="3">
        <f>4900.1+(2225.6-829.5)+(-7.497153+(-3.405168--1.269135))+0-401.7--0.614601000000023</f>
        <v>5885.4814150000011</v>
      </c>
      <c r="V142" s="3">
        <f>4833.9+(2255-757.3)+(-12.326445+(-5.75025--1.931115))+0-442.6--1.12862999999994</f>
        <v>5873.9830499999989</v>
      </c>
      <c r="W142" s="3">
        <f>4497.3+(2058.2-410)+(-6.880869+(-3.149046--0.6273))+0-478.7--0.732411000000028</f>
        <v>5658.1297960000002</v>
      </c>
      <c r="X142" s="3">
        <f>3792.2+(2249.8-221.3)+(-3.868044+(-2.294796--0.225726))+0-601.2--0.613224000000096</f>
        <v>5214.1761099999994</v>
      </c>
      <c r="Y142" s="3">
        <f>3759.2+(1809.2-256.2)+(3.834384+(1.845384-0.261324))+0-470.4-0.479808000000075</f>
        <v>4846.738636</v>
      </c>
      <c r="Z142" s="3">
        <f>4347.3+(1774.4-275.4)+(-8.868492+(-3.619776--0.561816))+0-613.6--1.25174399999997</f>
        <v>5222.0252920000003</v>
      </c>
      <c r="AA142" s="3">
        <f>4585.3+(1827.8-328.5)+(-11.692515+(-4.66089--0.837675))+0-621.1--1.58380499999991</f>
        <v>5449.5680750000001</v>
      </c>
      <c r="AB142" s="3">
        <f>4586.5+(1788.9-337.1)+(-4.67823+(-1.824678--0.343842))+0-578.8--0.590376000000092</f>
        <v>5453.9313099999999</v>
      </c>
      <c r="AC142" s="3">
        <f>4669+(1803.8-444.9)+(-4.76238+(-1.839876--0.453798))+0-542.3--0.553146000000086</f>
        <v>5480.004688</v>
      </c>
      <c r="AD142">
        <v>5496.1</v>
      </c>
      <c r="AE142" s="3">
        <f>4608+(1925.1-330.1)+(0+(0-0))+0-706.9-0</f>
        <v>5496.1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4542.8+(1845.5-280.1)+(-11.58414+(-4.706025--0.714255))+0-608.4--1.55141999999991</f>
        <v>5485.7755100000013</v>
      </c>
      <c r="G143" s="3">
        <f>4085.4+(2103.9-221.6)+(-10.41777+(-5.364945--0.56508))+0-578.5--1.47517499999992</f>
        <v>5375.4575400000003</v>
      </c>
      <c r="H143" s="3">
        <f>3871.3+(2203.6-232.9)+(-9.871815+(-5.61918--0.593895))+0-568.6--1.44992999999992</f>
        <v>5259.9528299999993</v>
      </c>
      <c r="I143" s="3">
        <f>3889.6+(2065.9-273.5)+(-3.967392+(-2.107218--0.27897))+0-556.1--0.567222000000089</f>
        <v>5120.671581999999</v>
      </c>
      <c r="J143" s="3">
        <f>4050.9+(1897.1-257.7)+(-6.197877+(-2.902563--0.394281))+0-626.4--0.958392000000036</f>
        <v>5056.1522330000007</v>
      </c>
      <c r="K143" s="3">
        <f>3714.3+(2016.1-272)+(-1.894293+(-1.028211--0.13872))+0-534--0.272339999999946</f>
        <v>4921.888555999999</v>
      </c>
      <c r="L143" s="3">
        <f>3541.7+(2049.3-281.1)+(-10.837602+(-6.270858--0.860166))+0-609.1--1.86384600000007</f>
        <v>4686.4155519999995</v>
      </c>
      <c r="M143" s="3">
        <f>3493.5+(1798.5-278.2)+(0+(0-0))+0-578.7-0</f>
        <v>4435.1000000000004</v>
      </c>
      <c r="N143" s="3">
        <f>3462.7+(1712.6-270.4)+(0+(0-0))+0-508.7-0</f>
        <v>4396.2</v>
      </c>
      <c r="O143" s="3">
        <f>3500.9+(1749.7-286.2)+(0+(0-0))+0-439.7-0</f>
        <v>4524.7</v>
      </c>
      <c r="P143" s="3">
        <f>3659.3+(1817-356.4)+(-1.866243+(-0.92667--0.181764))+0-462.8--0.236027999999953</f>
        <v>4654.7248789999994</v>
      </c>
      <c r="Q143" s="3">
        <f>4080.9+(1780.2-521.5)+(8.325036+(3.631608-1.06386))+0-485.4-0.990215999999979</f>
        <v>4864.1025680000002</v>
      </c>
      <c r="R143" s="3">
        <f>4743.5+(2040-900.6)+(-9.67674+(-4.1616--1.837224))+0-587.5--1.19849999999997</f>
        <v>5284.5973839999997</v>
      </c>
      <c r="S143" s="3">
        <f>4486.7+(2368.4-754.3)+(-11.441085+(-6.03942--1.923465))+0-474.4--1.20971999999993</f>
        <v>5612.0526800000007</v>
      </c>
      <c r="T143" s="3">
        <f>5010.8+(2278.2-1062.5)+(-2.555508+(-1.161882--0.541875))+0-476.8--0.243167999999952</f>
        <v>5746.7676529999999</v>
      </c>
      <c r="U143" s="3">
        <f>4911+(2373-924.8)+(-5.00922+(-2.42046--0.943296))+0-585.6--0.597312000000093</f>
        <v>5767.7109279999995</v>
      </c>
      <c r="V143" s="3">
        <f>4617.9+(2383.9-656.4)+(-2.355129+(-1.215789--0.334764))+0-571.1--0.291260999999942</f>
        <v>5771.3551069999994</v>
      </c>
      <c r="W143" s="3">
        <f>3816.9+(2530-287.5)+(-3.893238+(-2.5806--0.29325))+0-508.4--0.518568000000081</f>
        <v>5545.3379800000002</v>
      </c>
      <c r="X143" s="3">
        <f>3370.6+(2453.8-80)+(-5.157018+(-3.754314--0.1224))+0-684.3--1.04697900000004</f>
        <v>5052.3580469999988</v>
      </c>
      <c r="Y143" s="3">
        <f>3265.5+(1979.5-91.7)+(-3.33081+(-2.01909--0.093534))+0-464.2--0.473484000000074</f>
        <v>4684.3171180000008</v>
      </c>
      <c r="Z143" s="3">
        <f>3502.6+(2166-171.9)+(-7.145304+(-4.41864--0.350676))+0-456.4--0.93105599999998</f>
        <v>5030.0177880000001</v>
      </c>
      <c r="AA143" s="3">
        <f>3645.5+(2406.1-180.7)+(-9.296025+(-6.135555--0.460785))+0-561.4--1.43156999999992</f>
        <v>5295.9607749999996</v>
      </c>
      <c r="AB143" s="3">
        <f>3725.9+(2266.4-240.3)+(-5.700627+(-3.467592--0.367659))+0-433.7--0.663561000000025</f>
        <v>5310.1630010000008</v>
      </c>
      <c r="AC143" s="3">
        <f>3834.4+(2312.7-381.2)+(-3.911088+(-2.358954--0.388824))+0-388.2--0.395964000000062</f>
        <v>5372.2147459999996</v>
      </c>
      <c r="AD143">
        <v>5336.1</v>
      </c>
      <c r="AE143" s="3">
        <f>3809+(2375.2-213.2)+(0+(0-0))+0-634.9-0</f>
        <v>5336.1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3720.3+(2494.7-452.2)+(-9.486765+(-6.361485--1.15311))+0-382--0.974099999999945</f>
        <v>5367.0789600000007</v>
      </c>
      <c r="G144" s="3">
        <f>3900.8+(2282-413.4)+(-3.978816+(-2.32764--0.421668))+0-486.8--0.496536000000078</f>
        <v>5277.2117479999988</v>
      </c>
      <c r="H144" s="3">
        <f>3928.8+(2173.3-475.8)+(-2.003688+(-1.108383--0.242658))+0-472.1--0.240770999999952</f>
        <v>5151.5713579999992</v>
      </c>
      <c r="I144" s="3">
        <f>3903.8+(2047.5-394.3)+(0+(0-0))+0-534.3-0</f>
        <v>5022.7</v>
      </c>
      <c r="J144" s="3">
        <f>4070.3+(1843.2-399.5)+(6.227559+(2.820096-0.611235))+0-538.1-0.823293000000031</f>
        <v>4983.5131269999993</v>
      </c>
      <c r="K144" s="3">
        <f>3579.7+(2014.2-294.4)+(-12.779529+(-7.190694--1.051008))+0-417.7--1.49118900000001</f>
        <v>4864.3719740000006</v>
      </c>
      <c r="L144" s="3">
        <f>3107.7+(2302.1-230.2)+(-9.509562+(-7.044426--0.704412))+0-526.5--1.61109000000006</f>
        <v>4638.8615140000011</v>
      </c>
      <c r="M144" s="3">
        <f>3261.8+(1893.3-224.8)+(-1.663518+(-0.965583--0.114648))+0-536.2--0.273461999999946</f>
        <v>4391.8590090000007</v>
      </c>
      <c r="N144" s="3">
        <f>3272.6+(1825.9-230.9)+(5.007078+(2.793627-0.353277))+0-469.4-0.718182000000027</f>
        <v>4404.9292460000015</v>
      </c>
      <c r="O144" s="3">
        <f>3205.8+(1832.9-242.8)+(-3.269916+(-1.869558--0.247656))+0-343.4--0.350268000000055</f>
        <v>4447.958450000001</v>
      </c>
      <c r="P144" s="3">
        <f>3325.6+(1949.4-330)+(1.696056+(0.994194-0.1683))+0-366.1-0.186710999999963</f>
        <v>4581.2352389999996</v>
      </c>
      <c r="Q144" s="3">
        <f>3782.7+(2035.1-488)+(-3.858354+(-2.075802--0.49776))+0-469.7--0.479094000000075</f>
        <v>4855.1426979999997</v>
      </c>
      <c r="R144" s="3">
        <f>4346.4+(2134.1-708.7)+(-2.216664+(-1.088391--0.361437))+0-601.3--0.306662999999939</f>
        <v>5167.8630449999991</v>
      </c>
      <c r="S144" s="3">
        <f>4682+(2272.2-834)+(-4.77564+(-2.317644--0.85068))+0-655--0.668100000000104</f>
        <v>5459.6254959999997</v>
      </c>
      <c r="T144" s="3">
        <f>4998.2+(2136.1-1035.3)+(2.549082+(1.089411-0.528003))+0-481.3-0.245462999999951</f>
        <v>5620.5650269999996</v>
      </c>
      <c r="U144" s="3">
        <f>5252.9+(2023.9-1040.3)+(-5.357958+(-2.064378--1.061106))+0-577.8--0.589356000000092</f>
        <v>5652.9281259999998</v>
      </c>
      <c r="V144" s="3">
        <f>5113.2+(2028.1-960.8)+(0+(0-0))+0-595.3-0</f>
        <v>5585.2</v>
      </c>
      <c r="W144" s="3">
        <f>4161.5+(2306.3-461)+(-2.122365+(-1.176213--0.23511))+0-635.1--0.323900999999936</f>
        <v>5368.9604329999993</v>
      </c>
      <c r="X144" s="3">
        <f>3369.9+(2406.9-234.8)+(-12.030543+(-8.592633--0.838236))+0-596.8--2.13057600000001</f>
        <v>4927.5456359999998</v>
      </c>
      <c r="Y144" s="3">
        <f>3377.2+(2053.2-265.8)+(-3.444744+(-2.094264--0.271116))+0-539.6--0.550392000000086</f>
        <v>4620.2824999999993</v>
      </c>
      <c r="Z144" s="3">
        <f>3600.1+(2285.4-287.1)+(-11.016306+(-6.993324--0.878526))+0-606.4--1.85558400000007</f>
        <v>4976.7244799999999</v>
      </c>
      <c r="AA144" s="3">
        <f>4125.1+(1958.1-321.1)+(-2.103801+(-0.998631--0.163761))+0-582.4--0.297023999999941</f>
        <v>5177.0583530000004</v>
      </c>
      <c r="AB144" s="3">
        <f>4019.6+(2240.4-323.9)+(0+(0-0))+0-748.8-0</f>
        <v>5187.3</v>
      </c>
      <c r="AC144" s="3">
        <f>4120.6+(2120.4-459.2)+(0+(0-0))+0-552.6-0</f>
        <v>5229.2</v>
      </c>
      <c r="AD144">
        <v>5353.3</v>
      </c>
      <c r="AE144" s="3">
        <f>4310+(1951.4-314.7)+(0+(0-0))+0-593.4-0</f>
        <v>5353.3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4161.8+(2213.7-323.8)+(2.122518+(1.128987-0.165138))+0-721-0.367709999999927</f>
        <v>5333.4186570000002</v>
      </c>
      <c r="G145" s="3">
        <f>3956.5+(2154.6-279.2)+(-2.017815+(-1.098846--0.142392))+0-562.7--0.286976999999943</f>
        <v>5266.5127079999993</v>
      </c>
      <c r="H145" s="3">
        <f>3569.7+(2516.7-222.1)+(1.820547+(1.283517-0.113271))+0-726.2-0.370361999999926</f>
        <v>5140.7204309999997</v>
      </c>
      <c r="I145" s="3">
        <f>3426.4+(2405.9-259.2)+(-1.747464+(-1.227009--0.132192))+0-571.3--0.291362999999942</f>
        <v>4999.2490820000003</v>
      </c>
      <c r="J145" s="3">
        <f>3529.8+(2338.8-249.3)+(3.600396+(2.385576-0.254286))+0-667.1-0.680442000000106</f>
        <v>4957.251244</v>
      </c>
      <c r="K145" s="3">
        <f>3438.5+(2355.5-246)+(-8.768175+(-6.006525--0.6273))+0-708.4--1.8064199999999</f>
        <v>4827.2590200000004</v>
      </c>
      <c r="L145" s="3">
        <f>3132.5+(2282.7-288.3)+(-3.19515+(-2.328354--0.294066))+0-522.2--0.532644000000083</f>
        <v>4600.0032059999994</v>
      </c>
      <c r="M145" s="3">
        <f>3013.9+(2227.4-282.2)+(1.537089+(1.135974-0.143922))+0-598.6-0.305285999999939</f>
        <v>4362.7238550000002</v>
      </c>
      <c r="N145" s="3">
        <f>3023.1+(2145.2-293.6)+(-1.541781+(-1.094052--0.149736))+0-579--0.295289999999941</f>
        <v>4293.5091929999999</v>
      </c>
      <c r="O145" s="3">
        <f>3173.4+(2183.2-263)+(1.618434+(1.113432-0.13413))+0-665-0.339149999999933</f>
        <v>4430.8585860000003</v>
      </c>
      <c r="P145" s="3">
        <f>3325.8+(1938.4-269.5)+(6.784632+(3.954336-0.54978))+0-622.4-1.26969599999997</f>
        <v>4381.2194920000011</v>
      </c>
      <c r="Q145" s="3">
        <f>3669.9+(1757.6-292.9)+(5.614947+(2.689128-0.448137))+0-542.9-0.830637000000031</f>
        <v>4598.7253010000004</v>
      </c>
      <c r="R145" s="3">
        <f>4087.5+(1870.3-336.1)+(-4.16925+(-1.907706--0.342822))+0-690.7--0.70451400000011</f>
        <v>4925.9703799999997</v>
      </c>
      <c r="S145" s="3">
        <f>4145.5+(2029-415.6)+(-2.114205+(-1.03479--0.211956))+0-496.3--0.25311299999995</f>
        <v>5259.9160739999988</v>
      </c>
      <c r="T145" s="3">
        <f>4498+(2059.3-523.9)+(4.58796+(2.100486-0.534378))+0-572.6-0.584052000000091</f>
        <v>5466.3700159999989</v>
      </c>
      <c r="U145" s="3">
        <f>4216.8+(2234.1-343.8)+(-4.301136+(-2.278782--0.350676))+0-595.1--0.607002000000095</f>
        <v>5506.3777599999994</v>
      </c>
      <c r="V145" s="3">
        <f>4138+(2335.4-354.9)+(-4.22076+(-2.382108--0.361998))+0-641.8--0.654636000000102</f>
        <v>5471.1137660000004</v>
      </c>
      <c r="W145" s="3">
        <f>3394.6+(2627.5-256.5)+(-3.462492+(-2.68005--0.26163))+0-511.9--0.522138000000082</f>
        <v>5248.3412260000014</v>
      </c>
      <c r="X145" s="3">
        <f>3258.4+(2452.9-264.3)+(-8.30892+(-6.254895--0.673965))+0-613.4--1.56416999999991</f>
        <v>4821.2743200000004</v>
      </c>
      <c r="Y145" s="3">
        <f>3306.5+(2035.7-267)+(0+(0-0))+0-574.1-0</f>
        <v>4501.0999999999995</v>
      </c>
      <c r="Z145" s="3">
        <f>3769.9+(2065.4-284.8)+(1.922649+(1.053354-0.145248))+0-537-0.273869999999946</f>
        <v>5016.056885</v>
      </c>
      <c r="AA145" s="3">
        <f>3894.9+(2344.9-292.8)+(-7.945596+(-4.783596--0.597312))+0-526--1.07303999999998</f>
        <v>5409.9411600000003</v>
      </c>
      <c r="AB145" s="3">
        <f>3759.5+(2306.8-285.4)+(-5.752035+(-3.529404--0.436662))+0-524.4--0.80233200000003</f>
        <v>5248.457555</v>
      </c>
      <c r="AC145" s="3">
        <f>3749.4+(2404.7-284.6)+(3.824388+(2.452794-0.290292))+0-620-0.632400000000099</f>
        <v>5254.8544899999997</v>
      </c>
      <c r="AD145">
        <v>5432.3</v>
      </c>
      <c r="AE145" s="3">
        <f>4066+(2389.1-358.8)+(0+(0-0))+0-664-0</f>
        <v>5432.3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3702.4+(2650.5-264.8)+(1.888224+(1.351755-0.135048))+0-726.4-0.370463999999926</f>
        <v>5364.434467000001</v>
      </c>
      <c r="G146" s="3">
        <f>3371.8+(2892.5-272.3)+(-3.439236+(-2.95035--0.277746))+0-671.7--0.685134000000107</f>
        <v>5314.8732940000009</v>
      </c>
      <c r="H146" s="3">
        <f>3365.3+(2797.9-267)+(-3.432606+(-2.853858--0.27234))+0-709.1--0.723282000000113</f>
        <v>5181.809158</v>
      </c>
      <c r="I146" s="3">
        <f>3391.2+(2555.9-265.2)+(1.729512+(1.303509-0.135252))+0-613.7-0.312986999999938</f>
        <v>5070.7847819999997</v>
      </c>
      <c r="J146" s="3">
        <f>3420.2+(2505.6-295.7)+(-1.744302+(-1.277856--0.150807))+0-637.7--0.325226999999935</f>
        <v>4989.853876000001</v>
      </c>
      <c r="K146" s="3">
        <f>3276.5+(2412.5-273.6)+(-8.355075+(-6.151875--0.69768))+0-558.5--1.42417499999992</f>
        <v>4844.514905</v>
      </c>
      <c r="L146" s="3">
        <f>3212.4+(2305.2-278.6)+(-3.276648+(-2.351304--0.284172))+0-603.3--0.615366000000096</f>
        <v>4630.9715859999997</v>
      </c>
      <c r="M146" s="3">
        <f>3380.4+(1909.9-273.5)+(3.448008+(1.948098-0.27897))+0-595.1-0.607002000000095</f>
        <v>4426.2101339999999</v>
      </c>
      <c r="N146" s="3">
        <f>3580.4+(1754-281.2)+(9.13002+(4.4727-0.71706))+0-603.8-1.53968999999991</f>
        <v>4460.7459699999999</v>
      </c>
      <c r="O146" s="3">
        <f>3726.3+(1716.5-303.1)+(1.900413+(0.875415-0.154581))+0-631-0.321809999999936</f>
        <v>4510.9994370000004</v>
      </c>
      <c r="P146" s="3">
        <f>4014.9+(1731.1-592.5)+(2.047599+(0.882861-0.302175))+0-504.7-0.257396999999949</f>
        <v>4651.1708879999996</v>
      </c>
      <c r="Q146" s="3">
        <f>4803.3+(1579.3-952.7)+(0+(0-0))+0-519-0</f>
        <v>4910.8999999999996</v>
      </c>
      <c r="R146" s="3">
        <f>5526.3+(1500.2-1365.9)+(8.455239+(2.295306-2.089827))+0-397.9-0.608787000000023</f>
        <v>5270.7519310000007</v>
      </c>
      <c r="S146" s="3">
        <f>5674.9+(1677.1-1292.8)+(-2.894199+(-0.855321--0.659328))+0-507--0.258569999999949</f>
        <v>5549.3683780000001</v>
      </c>
      <c r="T146" s="3">
        <f>5904+(1580.6-1311.6)+(0+(0-0))+0-423.1-0</f>
        <v>5749.9</v>
      </c>
      <c r="U146" s="3">
        <f>5629.2+(1746.2-1099.7)+(-11.483568+(-3.562248--2.243388))+0-619.2--1.26316799999997</f>
        <v>5644.9607400000004</v>
      </c>
      <c r="V146" s="3">
        <f>5266.6+(1905-1021.6)+(-5.371932+(-1.9431--1.042032))+0-578.9--0.590478000000092</f>
        <v>5565.4174780000003</v>
      </c>
      <c r="W146" s="3">
        <f>4006.8+(2342.5-341.4)+(-10.21734+(-5.973375--0.87057))+0-634.6--1.61822999999991</f>
        <v>5359.5980849999996</v>
      </c>
      <c r="X146" s="3">
        <f>3168.9+(2554.2-258.1)+(-12.929112+(-10.421136--1.053048))+0-573--2.33783999999995</f>
        <v>4872.0406400000002</v>
      </c>
      <c r="Y146" s="3">
        <f>3389.2+(2057-271.4)+(-1.728492+(-1.04907--0.138414))+0-522.6--0.266525999999947</f>
        <v>4649.827377999999</v>
      </c>
      <c r="Z146" s="3">
        <f>4121.3+(1974.2-505.3)+(4.203726+(2.013684-0.515406))+0-515.2-0.525504000000082</f>
        <v>5080.1765000000005</v>
      </c>
      <c r="AA146" s="3">
        <f>4289.6+(2142.8-497.6)+(-4.375392+(-2.185656--0.507552))+0-664--0.677280000000106</f>
        <v>5265.4237840000005</v>
      </c>
      <c r="AB146" s="3">
        <f>3907+(2337.3-459.7)+(-3.98514+(-2.384046--0.468894))+0-498.7--0.508674000000079</f>
        <v>5280.508382</v>
      </c>
      <c r="AC146" s="3">
        <f>3816.6+(2343.5-312.9)+(-3.892932+(-2.39037--0.319158))+0-475.9--0.485418000000076</f>
        <v>5365.8212740000008</v>
      </c>
      <c r="AD146">
        <v>5341.5</v>
      </c>
      <c r="AE146" s="3">
        <f>4577+(2063.7-610.4)+(0+(0-0))+0-688.8-0</f>
        <v>5341.4999999999991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3773.6+(2547.4-307)+(-1.924536+(-1.299174--0.15657))+0-644.7--0.328796999999935</f>
        <v>5366.5616570000002</v>
      </c>
      <c r="G147" s="3">
        <f>3353.8+(2710.1-276)+(-5.131314+(-4.146453--0.42228))+0-535.6--0.819468000000031</f>
        <v>5244.2639809999991</v>
      </c>
      <c r="H147" s="3">
        <f>3362.9+(2619.1-263.9)+(1.715079+(1.335741-0.134589))+0-582.3-0.296972999999941</f>
        <v>5138.4192580000008</v>
      </c>
      <c r="I147" s="3">
        <f>3319.1+(2428.8-275)+(-3.385482+(-2.477376--0.2805))+0-475.5--0.485010000000076</f>
        <v>4992.3026520000003</v>
      </c>
      <c r="J147" s="3">
        <f>3475.2+(2328.1-272.3)+(-7.089408+(-4.749324--0.555492))+0-640.6--1.30682399999997</f>
        <v>4880.4235840000001</v>
      </c>
      <c r="K147" s="3">
        <f>3365+(2213-269.9)+(-6.8646+(-4.51452--0.550596))+0-542.9--1.10751599999998</f>
        <v>4755.4789920000012</v>
      </c>
      <c r="L147" s="3">
        <f>3242.5+(2195.5-261.3)+(-4.961025+(-3.359115--0.399789))+0-697.9--1.06778700000004</f>
        <v>4471.9474360000004</v>
      </c>
      <c r="M147" s="3">
        <f>3227.1+(1808.1-250.3)+(1.645821+(0.922131-0.127653))+0-500.9-0.255458999999949</f>
        <v>4286.1848399999999</v>
      </c>
      <c r="N147" s="3">
        <f>3302.6+(1929.4-254.9)+(0+(0-0))+0-654.8-0</f>
        <v>4322.3</v>
      </c>
      <c r="O147" s="3">
        <f>3324.4+(1859.6-275.1)+(3.390888+(1.896792-0.280602))+0-526.7-0.537234000000084</f>
        <v>4386.6698439999991</v>
      </c>
      <c r="P147" s="3">
        <f>3451.5+(1822.1-256.3)+(5.280795+(2.787813-0.392139))+0-529.4-0.809982000000031</f>
        <v>4494.7664870000008</v>
      </c>
      <c r="Q147" s="3">
        <f>4316.6+(1481.4-400.6)+(4.402932+(1.511028-0.408612))+0-576.4-0.587928000000092</f>
        <v>4825.9174200000007</v>
      </c>
      <c r="R147" s="3">
        <f>5402.3+(1130.7-771.2)+(11.020692+(2.306628-1.573248))+0-565.3-1.15321199999998</f>
        <v>5207.1008599999996</v>
      </c>
      <c r="S147" s="3">
        <f>5678.4+(821.8-519.5)+(0+(0-0))+0-497.3-0</f>
        <v>5483.4</v>
      </c>
      <c r="T147" s="3">
        <f>5964.5+(899.2-727.8)+(-6.08379+(-0.917184--0.742356))+0-463.5--0.472770000000074</f>
        <v>5666.6141520000001</v>
      </c>
      <c r="U147" s="3">
        <f>5920.8+(1266.9-851.8)+(3.019608+(0.646119-0.434418))+0-653.9-0.333488999999934</f>
        <v>5684.897820000001</v>
      </c>
      <c r="V147" s="3">
        <f>5055.6+(1626.8-582.8)+(-2.578356+(-0.829668--0.297228))+0-602.6--0.307325999999939</f>
        <v>5494.1965300000002</v>
      </c>
      <c r="W147" s="3">
        <f>3990+(2241.8-320.8)+(-4.0698+(-2.286636--0.327216))+0-519.5--0.529890000000083</f>
        <v>5386.0006699999994</v>
      </c>
      <c r="X147" s="3">
        <f>3004.6+(2932.4-271.9)+(-9.194076+(-8.973144--0.832014))+0-647.9--1.98257400000007</f>
        <v>5001.8473680000006</v>
      </c>
      <c r="Y147" s="3">
        <f>3032.9+(2427.2-283.6)+(0+(0-0))+0-552.4-0</f>
        <v>4624.1000000000004</v>
      </c>
      <c r="Z147" s="3">
        <f>3770.7+(2119.8-341.4)+(-3.846114+(-2.162196--0.348228))+0-561.4--0.57262800000009</f>
        <v>4982.6125460000003</v>
      </c>
      <c r="AA147" s="3">
        <f>3859+(2223.6-363.3)+(-9.84045+(-5.67018--0.926415))+0-520.8--1.32803999999992</f>
        <v>5185.2438250000005</v>
      </c>
      <c r="AB147" s="3">
        <f>3638.4+(2286.8-278.6)+(1.855584+(1.166268-0.142086))+0-449.3-0.229142999999954</f>
        <v>5199.9506230000006</v>
      </c>
      <c r="AC147" s="3">
        <f>3893.5+(2340.8-329.9)+(-7.94274+(-4.775232--0.672996))+0-668.5--1.36373999999997</f>
        <v>5225.2187639999993</v>
      </c>
      <c r="AD147">
        <v>5262.5999999999995</v>
      </c>
      <c r="AE147" s="3">
        <f>4210+(2126.9-454.5)+(0+(0-0))+0-619.8-0</f>
        <v>5262.5999999999995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3483+(2601.4-273.3)+(-5.32899+(-3.980142--0.418149))+0-558--0.853740000000032</f>
        <v>5245.0627570000006</v>
      </c>
      <c r="G148" s="3">
        <f>3064.5+(2975.6-262.1)+(-6.25158+(-6.070224--0.534684))+0-576.2--1.17544799999997</f>
        <v>5191.1883280000002</v>
      </c>
      <c r="H148" s="3">
        <f>3211.9+(2653.5-259.9)+(-4.914207+(-4.059855--0.397647))+0-540.5--0.826965000000031</f>
        <v>5057.2505499999997</v>
      </c>
      <c r="I148" s="3">
        <f>3221.2+(2518-248)+(-1.642812+(-1.28418--0.12648))+0-601.8--0.306917999999939</f>
        <v>4886.9064060000001</v>
      </c>
      <c r="J148" s="3">
        <f>3203+(2436-260.1)+(-6.53412+(-4.96944--0.530604))+0-576.1--1.17524399999997</f>
        <v>4793.0022879999997</v>
      </c>
      <c r="K148" s="3">
        <f>3148.9+(2365.3-262.9)+(-6.423756+(-4.825212--0.536316))+0-598.1--1.22012399999997</f>
        <v>4643.7074720000001</v>
      </c>
      <c r="L148" s="3">
        <f>3007.9+(2138-270.9)+(-9.204174+(-6.54228--0.828954))+0-506.4--1.54958400000006</f>
        <v>4355.2320840000011</v>
      </c>
      <c r="M148" s="3">
        <f>3170.5+(1898.7-282.2)+(-3.23391+(-1.936674--0.287844))+0-601.3--0.613326000000096</f>
        <v>4181.4305859999995</v>
      </c>
      <c r="N148" s="3">
        <f>3348.6+(1501-267.1)+(6.831144+(3.06204-0.544884))+0-485.3-0.990011999999979</f>
        <v>4105.5582879999993</v>
      </c>
      <c r="O148" s="3">
        <f>3511.9+(1545.1-275.7)+(0+(0-0))+0-541.7-0</f>
        <v>4239.6000000000004</v>
      </c>
      <c r="P148" s="3">
        <f>3782.1+(1399-297.7)+(-3.857742+(-1.42698--0.303654))+0-513--0.523260000000082</f>
        <v>4365.9421919999995</v>
      </c>
      <c r="Q148" s="3">
        <f>4381.4+(1274.4-370.2)+(0+(0-0))+0-677.9-0</f>
        <v>4607.7</v>
      </c>
      <c r="R148" s="3">
        <f>4836.9+(1119.8-569)+(2.466819+(0.571098-0.29019))+0-362.5-0.184874999999963</f>
        <v>5027.7628519999998</v>
      </c>
      <c r="S148" s="3">
        <f>5044.4+(1202.7-617.1)+(-5.145288+(-1.226754--0.629442))+0-352.9--0.359958000000056</f>
        <v>5271.7173580000008</v>
      </c>
      <c r="T148" s="3">
        <f>5619.1+(960.2-787.6)+(-8.597223+(-1.469106--1.205028))+0-298.1--0.456093000000017</f>
        <v>5485.1947920000002</v>
      </c>
      <c r="U148" s="3">
        <f>5324.8+(1201.8-672.8)+(-10.862592+(-2.451672--1.372512))+0-291.3--0.594251999999987</f>
        <v>5551.1525000000001</v>
      </c>
      <c r="V148" s="3">
        <f>5089.5+(1315.7-557.2)+(-10.38258+(-2.684028--1.136688))+0-292--0.595679999999987</f>
        <v>5544.6657600000008</v>
      </c>
      <c r="W148" s="3">
        <f>4330.5+(1606.3-328.9)+(-2.208555+(-0.819213--0.167739))+0-290.1--0.147950999999971</f>
        <v>5315.0879219999988</v>
      </c>
      <c r="X148" s="3">
        <f>3442+(2272.3-272.6)+(-3.51084+(-2.317746--0.278052))+0-586--0.597720000000093</f>
        <v>4850.7471860000005</v>
      </c>
      <c r="Y148" s="3">
        <f>3591.9+(1813.5-289.2)+(3.663738+(1.84977-0.294984))+0-625.8-0.6383160000001</f>
        <v>4494.980207999999</v>
      </c>
      <c r="Z148" s="3">
        <f>4470.3+(1478.9-347.9)+(0+(0-0))+0-549.5-0</f>
        <v>5051.8</v>
      </c>
      <c r="AA148" s="3">
        <f>4506.1+(1617.1-327.9)+(-4.596222+(-1.649442--0.334458))+0-699.5--0.713490000000112</f>
        <v>5090.6022840000005</v>
      </c>
      <c r="AB148" s="3">
        <f>4081.2+(1967.1-275.6)+(-8.325648+(-4.012884--0.562224))+0-651.8--1.32967199999997</f>
        <v>5110.4533639999991</v>
      </c>
      <c r="AC148" s="3">
        <f>4075+(2034.1-272.4)+(-4.1565+(-2.074782--0.277848))+0-636.7--0.649434000000102</f>
        <v>5194.6959999999999</v>
      </c>
      <c r="AD148">
        <v>5153</v>
      </c>
      <c r="AE148" s="3">
        <f>4643+(1640-362.7)+(0+(0-0))+0-767.3-0</f>
        <v>5153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4021+(2070.6-287.2)+(-4.10142+(-2.112012--0.292944))+0-635.4--0.648108000000101</f>
        <v>5163.7276200000006</v>
      </c>
      <c r="G149" s="3">
        <f>3711.5+(2368.2-283)+(-5.678595+(-3.623346--0.43299))+0-755.4--1.15576200000004</f>
        <v>5033.5868110000001</v>
      </c>
      <c r="H149" s="3">
        <f>3377.9+(2556.1-269.9)+(-6.890916+(-5.214444--0.550596))+0-617.4--1.25949599999997</f>
        <v>5036.404732</v>
      </c>
      <c r="I149" s="3">
        <f>3207+(2570.2-285.7)+(-3.27114+(-2.621604--0.291414))+0-661.3--0.674526000000105</f>
        <v>4825.2731959999992</v>
      </c>
      <c r="J149" s="3">
        <f>3280.1+(2375.4-271.5)+(0+(0-0))+0-672.8-0</f>
        <v>4711.2</v>
      </c>
      <c r="K149" s="3">
        <f>3109.5+(2492.3-278.8)+(-7.929225+(-6.355365--0.71094))+0-586.5--1.49557499999991</f>
        <v>4724.4219249999996</v>
      </c>
      <c r="L149" s="3">
        <f>2953+(2329.7-291.1)+(-3.01206+(-2.376294--0.296922))+0-601--0.613020000000096</f>
        <v>4386.121588</v>
      </c>
      <c r="M149" s="3">
        <f>2885+(2185.4-281.8)+(2.9427+(2.229108-0.287436))+0-651.8-0.664836000000104</f>
        <v>4141.0195360000007</v>
      </c>
      <c r="N149" s="3">
        <f>2984.2+(2025.3-257.7)+(1.521942+(1.032903-0.131427))+0-597.2-0.304571999999939</f>
        <v>4156.7188459999998</v>
      </c>
      <c r="O149" s="3">
        <f>3162.7+(1793.4-277.7)+(3.225954+(1.829268-0.283254))+0-498.8-0.50877600000008</f>
        <v>4183.8631919999998</v>
      </c>
      <c r="P149" s="3">
        <f>3185.6+(1827-274.8)+(-3.249312+(-1.86354--0.280296))+0-464.4--0.473688000000074</f>
        <v>4269.0411320000003</v>
      </c>
      <c r="Q149" s="3">
        <f>4165.4+(1288.3-367.6)+(2.124354+(0.657033-0.187476))+0-510.7-0.260456999999948</f>
        <v>4577.7334539999993</v>
      </c>
      <c r="R149" s="3">
        <f>4586.7+(1240.8-636.5)+(-4.678434+(-1.265616--0.64923))+0-312.5--0.31875000000005</f>
        <v>4873.5239300000003</v>
      </c>
      <c r="S149" s="3">
        <f>4713.7+(1373.9-537.9)+(-4.807974+(-1.401378--0.548658))+0-291.6--0.297432000000046</f>
        <v>5252.7367379999996</v>
      </c>
      <c r="T149" s="3">
        <f>5337.1+(1300-833.1)+(2.721921+(0.663-0.424881))+0-297.5-0.15172499999997</f>
        <v>5509.3083150000002</v>
      </c>
      <c r="U149" s="3">
        <f>5671.7+(1361.5-920.3)+(0+(0-0))+0-553-0</f>
        <v>5559.9</v>
      </c>
      <c r="V149" s="3">
        <f>5485.5+(1292.9-714.8)+(-5.59521+(-1.318758--0.729096))+0-555.9--0.567018000000089</f>
        <v>5502.0821460000006</v>
      </c>
      <c r="W149" s="3">
        <f>4401.1+(1653.1-323.9)+(-4.489122+(-1.686162--0.330378))+0-491.9--0.501738000000078</f>
        <v>5233.0568320000002</v>
      </c>
      <c r="X149" s="3">
        <f>3455.5+(2158.7-265.9)+(-5.286915+(-3.302811--0.406827))+0-603.5--0.923355000000035</f>
        <v>4737.5404559999988</v>
      </c>
      <c r="Y149" s="3">
        <f>3650.1+(1517.3-288.3)+(-3.723102+(-1.547646--0.294066))+0-444.2--0.453084000000071</f>
        <v>4430.3764019999999</v>
      </c>
      <c r="Z149" s="3">
        <f>4099.6+(1656.4-282.8)+(-2.090796+(-0.844764--0.144228))+0-587.8--0.29977799999994</f>
        <v>4882.9084460000004</v>
      </c>
      <c r="AA149" s="3">
        <f>4304.3+(1592.1-303.4)+(-10.975965+(-4.059855--0.77367))+0-511.9--1.30534499999993</f>
        <v>5068.1431950000006</v>
      </c>
      <c r="AB149" s="3">
        <f>4331.9+(1633.4-272.9)+(-4.418538+(-1.666068--0.278358))+0-560.2--0.571404000000089</f>
        <v>5126.9651560000002</v>
      </c>
      <c r="AC149" s="3">
        <f>4293.5+(1726.6-275.1)+(0+(0-0))+0-538.7-0</f>
        <v>5206.3</v>
      </c>
      <c r="AD149">
        <v>5059.8999999999996</v>
      </c>
      <c r="AE149" s="3">
        <f>4534+(1458.4-368.4)+(0+(0-0))+0-564.1-0</f>
        <v>5059.8999999999996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4079.1+(2034-261.3)+(-10.401705+(-5.1867--0.666315))+0-568.9--1.45069499999992</f>
        <v>5269.4286050000001</v>
      </c>
      <c r="G150" s="3">
        <f>3431+(2547.2-271.3)+(-6.99924+(-5.196288--0.553452))+0-563.2--1.14892799999998</f>
        <v>5133.2068519999993</v>
      </c>
      <c r="H150" s="3">
        <f>3268.7+(2563.7-263.1)+(-5.001111+(-3.922461--0.402543))+0-515.5--0.78871500000003</f>
        <v>5046.0676859999985</v>
      </c>
      <c r="I150" s="3">
        <f>3148.2+(2605.9-267.4)+(-1.605582+(-1.329009--0.136374))+0-476.4--0.242963999999952</f>
        <v>5007.7447470000006</v>
      </c>
      <c r="J150" s="3">
        <f>3222.9+(2459.6-273.8)+(0+(0-0))+0-666.5-0</f>
        <v>4742.2</v>
      </c>
      <c r="K150" s="3">
        <f>3240.7+(2499.7-269.2)+(-9.916542+(-7.649082--0.823752))+0-684.1--2.09334600000008</f>
        <v>4772.4514739999995</v>
      </c>
      <c r="L150" s="3">
        <f>3195.2+(2101.9-275.9)+(-3.259104+(-2.143938--0.281418))+0-563.7--0.57497400000009</f>
        <v>4452.9533499999998</v>
      </c>
      <c r="M150" s="3">
        <f>3253.8+(1914.7-281.5)+(4.978314+(2.929491-0.430695))+0-711.2-1.08813600000004</f>
        <v>4182.1889739999997</v>
      </c>
      <c r="N150" s="3">
        <f>3276.5+(1779.5-278.5)+(1.671015+(0.907545-0.142035))+0-619.5-0.315944999999937</f>
        <v>4160.1205799999998</v>
      </c>
      <c r="O150" s="3">
        <f>3147.2+(1987.2-271)+(-1.605072+(-1.013472--0.13821))+0-671.2--0.342311999999932</f>
        <v>4190.0619779999997</v>
      </c>
      <c r="P150" s="3">
        <f>3360.3+(1891-270.2)+(-1.713753+(-0.96441--0.137802))+0-669.9--0.341648999999932</f>
        <v>4309.0012880000004</v>
      </c>
      <c r="Q150" s="3">
        <f>3813.6+(1534.9-297.3)+(-3.889872+(-1.565598--0.303246))+0-588.1--0.599862000000094</f>
        <v>4458.5476379999991</v>
      </c>
      <c r="R150" s="3">
        <f>4566.9+(1428.3-497.1)+(2.329119+(0.728433-0.253521))+0-657-0.335069999999933</f>
        <v>4843.568960999999</v>
      </c>
      <c r="S150" s="3">
        <f>4819.5+(1401.7-382.5)+(-7.373835+(-2.144601--0.585225))+0-652.1--0.997713000000038</f>
        <v>5178.6645019999996</v>
      </c>
      <c r="T150" s="3">
        <f>5530.5+(1329.6-669.5)+(0+(0-0))+0-544.4-0</f>
        <v>5646.2000000000007</v>
      </c>
      <c r="U150" s="3">
        <f>5817.2+(1078.9-807.7)+(5.933544+(1.100478-0.823854))+0-665.8-0.679116000000106</f>
        <v>5428.1310519999988</v>
      </c>
      <c r="V150" s="3">
        <f>5816.3+(1115.6-657.7)+(0+(0-0))+0-793-0</f>
        <v>5481.2</v>
      </c>
      <c r="W150" s="3">
        <f>4963.3+(1219.2-310.6)+(-7.593849+(-1.865376--0.475218))+0-626.8--0.959004000000036</f>
        <v>5237.0749970000006</v>
      </c>
      <c r="X150" s="3">
        <f>3553.4+(2152.6-290.7)+(-7.248936+(-4.391304--0.593028))+0-728.9--1.48695599999997</f>
        <v>4676.8397439999999</v>
      </c>
      <c r="Y150" s="3">
        <f>3460.1+(1922.3-296.8)+(1.764651+(0.980373-0.151368))+0-616.6-0.314465999999937</f>
        <v>4471.2791900000002</v>
      </c>
      <c r="Z150" s="3">
        <f>4520.8+(1248-331.2)+(6.916824+(1.90944-0.506736))+0-704.3-1.07757900000004</f>
        <v>4740.5419490000004</v>
      </c>
      <c r="AA150" s="3">
        <f>4836.3+(1173.8-298)+(-7.399539+(-1.795914--0.45594))+0-544.1--0.832473000000031</f>
        <v>5160.0929599999999</v>
      </c>
      <c r="AB150" s="3">
        <f>4569.3+(1376.8-287.9)+(-2.330343+(-0.702168--0.146829))+0-714.6--0.364445999999927</f>
        <v>4941.0787639999999</v>
      </c>
      <c r="AC150" s="3">
        <f>4795.4+(1280-331.9)+(0+(0-0))+0-726-0</f>
        <v>5017.5</v>
      </c>
      <c r="AD150">
        <v>5208.3</v>
      </c>
      <c r="AE150" s="3">
        <f>4853+(1261.1-344.7)+(0+(0-0))+0-561.1-0</f>
        <v>5208.2999999999993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4629.6+(1560.3-294.9)+(-4.722192+(-1.591506--0.300798))+0-719--0.733380000000115</f>
        <v>5170.72048</v>
      </c>
      <c r="G151" s="3">
        <f>4370.1+(1648.6-281.8)+(0+(0-0))+0-623-0</f>
        <v>5113.9000000000005</v>
      </c>
      <c r="H151" s="3">
        <f>3948.6+(1974.2-278.8)+(2.013786+(1.006842-0.142188))+0-649.9-0.331448999999934</f>
        <v>4996.6469910000005</v>
      </c>
      <c r="I151" s="3">
        <f>3831+(1940.7-275.9)+(-1.95381+(-0.989757--0.140709))+0-655.8--0.334457999999933</f>
        <v>4837.5316000000003</v>
      </c>
      <c r="J151" s="3">
        <f>3536.9+(2144.1-282)+(5.411457+(3.280473-0.43146))+0-648.5-0.992205000000038</f>
        <v>4757.7682649999997</v>
      </c>
      <c r="K151" s="3">
        <f>3378.8+(2178.4-288.1)+(-10.339128+(-6.665904--0.881586))+0-687.7--2.10436200000008</f>
        <v>4567.380916000001</v>
      </c>
      <c r="L151" s="3">
        <f>3137.3+(2144.4-275.2)+(-8.000115+(-5.46822--0.70176))+0-648.8--1.65443999999991</f>
        <v>4346.5878650000004</v>
      </c>
      <c r="M151" s="3">
        <f>3238.2+(1860.8-280)+(1.651482+(0.949008-0.1428))+0-703.9-0.358988999999929</f>
        <v>4117.1987010000003</v>
      </c>
      <c r="N151" s="3">
        <f>3230.5+(1712.2-272.5)+(1.647555+(0.873222-0.138975))+0-591.5-0.30166499999994</f>
        <v>4080.7801369999997</v>
      </c>
      <c r="O151" s="3">
        <f>3362.9+(1676.4-302.9)+(3.430158+(1.709928-0.308958))+0-612-0.624240000000098</f>
        <v>4128.6068879999993</v>
      </c>
      <c r="P151" s="3">
        <f>3876.8+(1338.8-373.2)+(3.954336+(1.365576-0.380664))+0-612.8-0.625056000000098</f>
        <v>4233.9141919999993</v>
      </c>
      <c r="Q151" s="3">
        <f>4581.6+(928.6-665.5)+(7.009848+(1.420758-1.018215))+0-415.2-0.635256000000024</f>
        <v>4436.2771350000012</v>
      </c>
      <c r="R151" s="3">
        <f>5220.1+(801.7-792.9)+(-2.662251+(-0.408867--0.404379))+0-479.3--0.244442999999951</f>
        <v>4747.1777039999997</v>
      </c>
      <c r="S151" s="3">
        <f>5104.8+(1317.7-827.5)+(-10.413792+(-2.688108--1.6881))+0-538.5--1.09853999999998</f>
        <v>5046.1847399999997</v>
      </c>
      <c r="T151" s="3">
        <f>5340.5+(1435.4-849.4)+(-5.44731+(-1.464108--0.866388))+0-626.1--0.6386220000001</f>
        <v>5294.9935919999998</v>
      </c>
      <c r="U151" s="3">
        <f>5305.6+(1333.2-723.6)+(-8.117568+(-2.039796--1.107108))+0-552.5--0.845325000000032</f>
        <v>5354.4950690000005</v>
      </c>
      <c r="V151" s="3">
        <f>5084.1+(1398.5-494.8)+(-7.778673+(-2.139705--0.757044))+0-684.1--1.04667300000004</f>
        <v>5295.5853389999993</v>
      </c>
      <c r="W151" s="3">
        <f>4128.5+(1819-300.7)+(-8.42214+(-3.71076--0.613428))+0-599.5--1.22297999999997</f>
        <v>5037.0035079999998</v>
      </c>
      <c r="X151" s="3">
        <f>3501.9+(2090.2-280)+(-5.357907+(-3.198006--0.4284))+0-639.4--0.978282000000037</f>
        <v>4665.5507690000004</v>
      </c>
      <c r="Y151" s="3">
        <f>3624.7+(1543.9-286.1)+(-1.848597+(-0.787389--0.145911))+0-571--0.291209999999942</f>
        <v>4309.3011350000006</v>
      </c>
      <c r="Z151" s="3">
        <f>4036.6+(1752.3-424)+(-4.117332+(-1.787346--0.43248))+0-660.1--0.673302000000105</f>
        <v>4700.001103999999</v>
      </c>
      <c r="AA151" s="3">
        <f>4437.9+(1570.4-578.4)+(-6.789987+(-2.402712--0.884952))+0-550.8--0.842724000000032</f>
        <v>4871.6349769999997</v>
      </c>
      <c r="AB151" s="3">
        <f>4152.5+(1791-456.5)+(-2.117775+(-0.91341--0.232815))+0-629.6--0.321095999999936</f>
        <v>4854.9227259999989</v>
      </c>
      <c r="AC151" s="3">
        <f>4148.3+(1895.2-474.2)+(-2.115633+(-0.966552--0.241842))+0-664--0.338639999999933</f>
        <v>4902.7982970000003</v>
      </c>
      <c r="AD151">
        <v>5010.5</v>
      </c>
      <c r="AE151" s="3">
        <f>4452+(1648.4-609.2)+(0+(0-0))+0-480.7-0</f>
        <v>5010.5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4039.3+(1918.6-300.4)+(-4.120086+(-1.956972--0.306408))+0-647--0.659940000000103</f>
        <v>5005.3892900000001</v>
      </c>
      <c r="G152" s="3">
        <f>3828.2+(2038.7-283.5)+(-3.904764+(-2.079474--0.28917))+0-642.5--0.655350000000102</f>
        <v>4935.8602819999996</v>
      </c>
      <c r="H152" s="3">
        <f>3722+(2108.6-268.4)+(-7.59288+(-4.301544--0.547536))+0-699.1--1.42616399999997</f>
        <v>4853.1792759999989</v>
      </c>
      <c r="I152" s="3">
        <f>3421.6+(2280.5-275.7)+(-1.745016+(-1.163055--0.140607))+0-666.3--0.339812999999932</f>
        <v>4757.6723489999995</v>
      </c>
      <c r="J152" s="3">
        <f>3362+(2271.7-287.3)+(-5.14386+(-3.475701--0.439569))+0-646.1--0.988533000000037</f>
        <v>4693.1085409999987</v>
      </c>
      <c r="K152" s="3">
        <f>2941.8+(2530.5-290.8)+(-3.000636+(-2.58111--0.296616))+0-630.2--0.642804000000101</f>
        <v>4546.657674</v>
      </c>
      <c r="L152" s="3">
        <f>2681.4+(2638.5-281.8)+(-10.940112+(-10.76508--1.149744))+0-667.4--2.72299199999994</f>
        <v>4352.8675440000006</v>
      </c>
      <c r="M152" s="3">
        <f>2707.5+(2221.9-269.9)+(0+(0-0))+0-561.1-0</f>
        <v>4098.3999999999996</v>
      </c>
      <c r="N152" s="3">
        <f>2822.9+(2080.7-259.1)+(2.879358+(2.122314-0.264282))+0-624.7-0.6371940000001</f>
        <v>4023.9001960000005</v>
      </c>
      <c r="O152" s="3">
        <f>2940.3+(1995-264.2)+(-2.999106+(-2.0349--0.269484))+0-660.9--0.674118000000105</f>
        <v>4006.1095959999998</v>
      </c>
      <c r="P152" s="3">
        <f>3116.4+(1783.9-283.4)+(0+(0-0))+0-580.2-0</f>
        <v>4036.7</v>
      </c>
      <c r="Q152" s="3">
        <f>3142.3+(1950-294.6)+(1.602573+(0.9945-0.150246))+0-569.8-0.290597999999942</f>
        <v>4230.0562290000007</v>
      </c>
      <c r="R152" s="3">
        <f>3710.6+(1731.4-282.1)+(7.569624+(3.532056-0.575484))+0-688.2-1.40392799999997</f>
        <v>4480.8222679999999</v>
      </c>
      <c r="S152" s="3">
        <f>4232.5+(1510.4-293.3)+(0+(0-0))+0-615.4-0</f>
        <v>4834.2000000000007</v>
      </c>
      <c r="T152" s="3">
        <f>4677.5+(1406.8-328.2)+(-2.385525+(-0.717468--0.167382))+0-563.8--0.287537999999943</f>
        <v>5189.6519269999999</v>
      </c>
      <c r="U152" s="3">
        <f>4663.6+(1524.7-355.9)+(-2.378436+(-0.777597--0.181509))+0-679.6--0.346595999999931</f>
        <v>5150.1720720000003</v>
      </c>
      <c r="V152" s="3">
        <f>4563.8+(1591.9-306.9)+(-9.310152+(-3.247476--0.626076))+0-621.8--1.26847199999997</f>
        <v>5216.3369199999997</v>
      </c>
      <c r="W152" s="3">
        <f>4035.6+(1981.8-287.9)+(-4.116312+(-2.021436--0.293658))+0-774.9--0.790398000000124</f>
        <v>4949.5463080000009</v>
      </c>
      <c r="X152" s="3">
        <f>3236.7+(2198.4-294.9)+(-4.952151+(-3.363552--0.451197))+0-626.4--0.958392000000036</f>
        <v>4506.8938860000007</v>
      </c>
      <c r="Y152" s="3">
        <f>3362.1+(1834.3-293.9)+(1.714671+(0.935493-0.149889))+0-698.4-0.356183999999929</f>
        <v>4206.2440910000005</v>
      </c>
      <c r="Z152" s="3">
        <f>4109.2+(1502.3-293.4)+(-4.191384+(-1.532346--0.299268))+0-745.6--0.760512000000119</f>
        <v>4567.8360499999999</v>
      </c>
      <c r="AA152" s="3">
        <f>4248.7+(1511-298.2)+(-8.667348+(-3.08244--0.608328))+0-681.9--1.39107599999997</f>
        <v>4769.8496160000004</v>
      </c>
      <c r="AB152" s="3">
        <f>4075.3+(1693.5-286.6)+(0+(0-0))+0-622.6-0</f>
        <v>4859.6000000000004</v>
      </c>
      <c r="AC152" s="3">
        <f>4090.9+(1673.2-283.8)+(2.086359+(0.853332-0.144738))+0-601.8-0.306917999999939</f>
        <v>4880.9880349999994</v>
      </c>
      <c r="AD152">
        <v>5031.6000000000004</v>
      </c>
      <c r="AE152" s="3">
        <f>4511+(1393-255.4)+(0+(0-0))+0-617-0</f>
        <v>5031.6000000000004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3852.6+(2009.6-256.2)+(5.894478+(3.074688-0.391986))+0-668.9-1.02341700000004</f>
        <v>4944.6537630000003</v>
      </c>
      <c r="G153" s="3">
        <f>3222.6+(2606.4-258.2)+(-4.930578+(-3.987792--0.395046))+0-610.6--0.934218000000035</f>
        <v>4952.6108940000004</v>
      </c>
      <c r="H153" s="3">
        <f>3102+(2612.6-245.2)+(-1.58202+(-1.332426--0.125052))+0-593.5--0.30268499999994</f>
        <v>4873.4132909999989</v>
      </c>
      <c r="I153" s="3">
        <f>2945.3+(2685.3-258.2)+(6.008412+(5.478012-0.526728))+0-600-1.22399999999997</f>
        <v>4782.1356960000003</v>
      </c>
      <c r="J153" s="3">
        <f>2961.4+(2646.6-221.5)+(0+(0-0))+0-656.7-0</f>
        <v>4729.8</v>
      </c>
      <c r="K153" s="3">
        <f>2877.3+(2588.7-219)+(-5.869692+(-5.280948--0.44676))+0-443.1--0.903923999999981</f>
        <v>4794.1000439999998</v>
      </c>
      <c r="L153" s="3">
        <f>2856.5+(2436.7-219.4)+(-5.82726+(-4.970868--0.447576))+0-699--1.42595999999997</f>
        <v>4365.875407999999</v>
      </c>
      <c r="M153" s="3">
        <f>2860.8+(2137.2-211.1)+(-1.459008+(-1.089972--0.107661))+0-635.6--0.324155999999936</f>
        <v>4149.1828369999994</v>
      </c>
      <c r="N153" s="3">
        <f>2938.6+(2088.3-218.5)+(-2.997372+(-2.130066--0.22287))+0-703.9--0.717978000000112</f>
        <v>4100.3134099999997</v>
      </c>
      <c r="O153" s="3">
        <f>3032.4+(1883-252.2)+(1.546524+(0.96033-0.128622))+0-451.2-0.230111999999954</f>
        <v>4214.1481199999998</v>
      </c>
      <c r="P153" s="3">
        <f>3573.4+(1666.6-252.7)+(3.644868+(1.699932-0.257754))+0-643.9-0.656778000000103</f>
        <v>4347.8302679999997</v>
      </c>
      <c r="Q153" s="3">
        <f>3901.1+(1451-290.1)+(-1.989561+(-0.74001--0.147951))+0-579.9--0.295748999999941</f>
        <v>4479.8141290000003</v>
      </c>
      <c r="R153" s="3">
        <f>4543.5+(1351.2-404.3)+(0+(0-0))+0-508.9-0</f>
        <v>4981.5</v>
      </c>
      <c r="S153" s="3">
        <f>4921.3+(1455.8-505.9)+(-7.529589+(-2.227374--0.774027))+0-613.2--0.938196000000036</f>
        <v>5249.9552599999997</v>
      </c>
      <c r="T153" s="3">
        <f>5282.3+(1457.4-672.6)+(2.693973+(0.743274-0.343026))+0-621.5-0.316964999999937</f>
        <v>5448.3772560000007</v>
      </c>
      <c r="U153" s="3">
        <f>5611.6+(1368.6-817.2)+(5.723832+(1.395972-0.833544))+0-677.2-0.690744000000108</f>
        <v>5491.3955159999996</v>
      </c>
      <c r="V153" s="3">
        <f>5100.4+(1460.4-588.5)+(-10.404816+(-2.979216--1.20054))+0-561.7--1.14586799999998</f>
        <v>5399.5623759999989</v>
      </c>
      <c r="W153" s="3">
        <f>3909.4+(2083.2-192.5)+(-3.987588+(-2.124864--0.19635))+0-676.9--0.690438000000108</f>
        <v>5117.9743360000011</v>
      </c>
      <c r="X153" s="3">
        <f>2874.7+(2683.2-188.5)+(-10.262679+(-9.579024--0.672945))+0-677.7--2.41938900000001</f>
        <v>4674.9506309999997</v>
      </c>
      <c r="Y153" s="3">
        <f>2959.7+(2271.5-234.9)+(-1.509447+(-1.158465--0.119799))+0-604.7--0.308396999999939</f>
        <v>4389.3602839999994</v>
      </c>
      <c r="Z153" s="3">
        <f>4005.6+(1820.3-230.4)+(0+(0-0))+0-666-0</f>
        <v>4929.5</v>
      </c>
      <c r="AA153" s="3">
        <f>4106.6+(1799.1-237.2)+(-8.377464+(-3.670164--0.483888))+0-637.1--1.29968399999997</f>
        <v>5021.1359439999997</v>
      </c>
      <c r="AB153" s="3">
        <f>4009.2+(1838.3-198.7)+(0+(0-0))+0-633.1-0</f>
        <v>5015.6999999999989</v>
      </c>
      <c r="AC153" s="3">
        <f>3898.9+(2038.9-217.6)+(-5.965317+(-3.119517--0.332928))+0-675.1--1.03290300000004</f>
        <v>5037.3809970000002</v>
      </c>
      <c r="AD153">
        <v>5170.5</v>
      </c>
      <c r="AE153" s="3">
        <f>4278+(1776.6-313.8)+(0+(0-0))+0-570.3-0</f>
        <v>5170.5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3693.1+(2243.3-246.3)+(5.650443+(3.432249-0.376839))+0-616.4-0.943092000000036</f>
        <v>5081.4627610000007</v>
      </c>
      <c r="G154" s="3">
        <f>3815.5+(2166.1-271.2)+(1.945905+(1.104711-0.138312))+0-701.8-0.357917999999929</f>
        <v>5011.1543860000002</v>
      </c>
      <c r="H154" s="3">
        <f>3488.9+(2305.1-253.4)+(-5.338017+(-3.526803--0.387702))+0-649.2--0.993276000000038</f>
        <v>4883.9161580000009</v>
      </c>
      <c r="I154" s="3">
        <f>3123.5+(2560.9-273.2)+(1.592985+(1.306059-0.139332))+0-649.2-0.331091999999934</f>
        <v>4764.4286200000006</v>
      </c>
      <c r="J154" s="3">
        <f>3257.9+(2378-290.4)+(0+(0-0))+0-666.7-0</f>
        <v>4678.8</v>
      </c>
      <c r="K154" s="3">
        <f>3127+(2429.1-283.3)+(-6.37908+(-4.955364--0.577932))+0-700.4--1.42881599999997</f>
        <v>4563.0723039999993</v>
      </c>
      <c r="L154" s="3">
        <f>3033.6+(2194.7-280.5)+(-9.282816+(-6.715782--0.85833))+0-650.5--1.99053000000008</f>
        <v>4284.1502619999992</v>
      </c>
      <c r="M154" s="3">
        <f>3032.2+(1946.1-285.6)+(1.546422+(0.992511-0.145656))+0-620.9-0.316658999999937</f>
        <v>4073.8766179999998</v>
      </c>
      <c r="N154" s="3">
        <f>3180.1+(1821.3-257.9)+(1.621851+(0.928863-0.131529))+0-580.1-0.295850999999941</f>
        <v>4165.5233339999995</v>
      </c>
      <c r="O154" s="3">
        <f>3169+(1818.5-276.9)+(1.61619+(0.927435-0.141219))+0-594.4-0.30314399999994</f>
        <v>4118.2992620000014</v>
      </c>
      <c r="P154" s="3">
        <f>3308.9+(1613.9-296.3)+(6.750156+(3.292356-0.604452))+0-579.2-1.18156799999997</f>
        <v>4055.5564920000006</v>
      </c>
      <c r="Q154" s="3">
        <f>3947.4+(1147.4-469)+(2.013174+(0.585174-0.23919))+0-465.2-0.237251999999953</f>
        <v>4162.7219060000007</v>
      </c>
      <c r="R154" s="3">
        <f>4437+(1401.1-417.1)+(4.52574+(1.429122-0.425442))+0-547.6-0.558552000000087</f>
        <v>4878.3708679999991</v>
      </c>
      <c r="S154" s="3">
        <f>4516.3+(1644.6-396.6)+(-4.606626+(-1.677492--0.404532))+0-551.4--0.562428000000088</f>
        <v>5207.5828420000007</v>
      </c>
      <c r="T154" s="3">
        <f>4791.9+(1849-567.6)+(-4.887738+(-1.88598--0.578952))+0-625--0.6375000000001</f>
        <v>5442.7427339999995</v>
      </c>
      <c r="U154" s="3">
        <f>4673.7+(1925.3-474.9)+(-9.534348+(-3.927612--0.968796))+0-637.6--1.30070399999997</f>
        <v>5475.3075399999998</v>
      </c>
      <c r="V154" s="3">
        <f>4577.1+(1818.8-303.2)+(-9.337284+(-3.710352--0.618528))+0-658.5--1.34333999999997</f>
        <v>5423.1142320000008</v>
      </c>
      <c r="W154" s="3">
        <f>3893.1+(2111.3-266.6)+(-13.898367+(-7.537341--0.951762))+0-583.9--2.08452300000001</f>
        <v>5135.5005770000007</v>
      </c>
      <c r="X154" s="3">
        <f>3173.9+(2363-289.8)+(-9.712134+(-7.23078--0.886788))+0-594.3--1.81855800000007</f>
        <v>4638.5624319999997</v>
      </c>
      <c r="Y154" s="3">
        <f>3182.8+(2065.3-291.1)+(1.623228+(1.053303-0.148461))+0-595.3-0.30360299999994</f>
        <v>4363.9244669999998</v>
      </c>
      <c r="Z154" s="3">
        <f>3937.4+(1770.1-302.7)+(-2.008074+(-0.902751--0.154377))+0-585.8--0.298757999999941</f>
        <v>4816.5423099999998</v>
      </c>
      <c r="AA154" s="3">
        <f>4073+(1763.1-289.6)+(-14.54061+(-6.294267--1.033872))+0-583.9--2.08452300000001</f>
        <v>4944.8835180000005</v>
      </c>
      <c r="AB154" s="3">
        <f>3828.3+(1898.4-291.5)+(-9.762165+(-4.84092--0.743325))+0-459.4--1.17146999999993</f>
        <v>4963.111710000001</v>
      </c>
      <c r="AC154" s="3">
        <f>3965.6+(1826.5-303.7)+(2.022456+(0.931515-0.154887))+0-512.7-0.261476999999948</f>
        <v>4978.237607</v>
      </c>
      <c r="AD154">
        <v>5138.8999999999996</v>
      </c>
      <c r="AE154" s="3">
        <f>4411+(1564.1-322.1)+(0+(0-0))+0-514.1-0</f>
        <v>5138.8999999999996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3740.3+(2129.3-294.1)+(-1.907553+(-1.085943--0.149991))+0-587.8--0.29977799999994</f>
        <v>4985.1562729999996</v>
      </c>
      <c r="G155" s="3">
        <f>3342.2+(2485.3-294.1)+(-5.113566+(-3.802509--0.449973))+0-598.2--0.915246000000035</f>
        <v>4927.649144</v>
      </c>
      <c r="H155" s="3">
        <f>3038.9+(2700.9-288.9)+(-3.099678+(-2.754918--0.294678))+0-576.4--0.587928000000092</f>
        <v>4869.52801</v>
      </c>
      <c r="I155" s="3">
        <f>2890.7+(2828.4-284)+(4.422771+(4.327452-0.43452))+0-600.6-0.918918000000035</f>
        <v>4841.8967849999999</v>
      </c>
      <c r="J155" s="3">
        <f>3012.2+(2745.7-282.3)+(1.536222+(1.400307-0.143973))+0-613.8-0.313037999999938</f>
        <v>4864.2795179999994</v>
      </c>
      <c r="K155" s="3">
        <f>2821.3+(2887.6-292.9)+(-4.316589+(-4.418028--0.448137))+0-587.1--0.898263000000034</f>
        <v>4821.5117829999999</v>
      </c>
      <c r="L155" s="3">
        <f>2742.4+(2818.1-284.3)+(-11.188992+(-11.497848--1.159944))+0-623.5--2.54387999999995</f>
        <v>4633.7169839999997</v>
      </c>
      <c r="M155" s="3">
        <f>2569.7+(2761.4-280.6)+(0+(0-0))+0-600.8-0</f>
        <v>4449.7</v>
      </c>
      <c r="N155" s="3">
        <f>2752.3+(2521.6-286.5)+(5.614692+(5.144064-0.58446))+0-592.4-1.20849599999997</f>
        <v>4403.9657999999999</v>
      </c>
      <c r="O155" s="3">
        <f>2869.7+(2333-281.8)+(5.854188+(4.75932-0.574872))+0-502.1-1.02428399999998</f>
        <v>4427.8143519999994</v>
      </c>
      <c r="P155" s="3">
        <f>2836.6+(2497-274.6)+(0+(0-0))+0-534.7-0</f>
        <v>4524.3</v>
      </c>
      <c r="Q155" s="3">
        <f>2903.4+(2642.8-295.7)+(1.480734+(1.347828-0.150807))+0-557.3-0.284222999999943</f>
        <v>4695.5935319999999</v>
      </c>
      <c r="R155" s="3">
        <f>2884.6+(2920.5-288.9)+(0+(0-0))+0-560.4-0</f>
        <v>4955.8</v>
      </c>
      <c r="S155" s="3">
        <f>3265.9+(2818.2-293)+(-4.996827+(-4.311846--0.44829))+0-626.2--0.958086000000036</f>
        <v>5156.997703</v>
      </c>
      <c r="T155" s="3">
        <f>3523.1+(2607.2-260.2)+(1.796781+(1.329672-0.132702))+0-571.7-0.291566999999942</f>
        <v>5301.1021840000003</v>
      </c>
      <c r="U155" s="3">
        <f>3833.9+(2359.7-288.7)+(-3.910578+(-2.406894--0.294474))+0-589.6--0.601392000000094</f>
        <v>5309.8783939999994</v>
      </c>
      <c r="V155" s="3">
        <f>3834+(2335.7-289.3)+(1.95534+(1.191207-0.147543))+0-577-0.294269999999941</f>
        <v>5306.1047339999996</v>
      </c>
      <c r="W155" s="3">
        <f>3589.6+(2298.8-290.2)+(-7.322784+(-4.689552--0.592008))+0-549.1--1.12016399999998</f>
        <v>5038.7998359999992</v>
      </c>
      <c r="X155" s="3">
        <f>3179.6+(2388.2-293.4)+(-1.621596+(-1.217982--0.149634))+0-628--0.320279999999936</f>
        <v>4644.0303359999998</v>
      </c>
      <c r="Y155" s="3">
        <f>3382.6+(1909.1-308.7)+(-1.725126+(-0.973641--0.157437))+0-501.4--0.255713999999949</f>
        <v>4479.3143840000002</v>
      </c>
      <c r="Z155" s="3">
        <f>4054.3+(1926.5-295.6)+(-8.270772+(-3.93006--0.603024))+0-659.2--1.34476799999997</f>
        <v>5015.7469600000004</v>
      </c>
      <c r="AA155" s="3">
        <f>4084.8+(1919.9-287.3)+(-4.166496+(-1.958298--0.293046))+0-526.2--0.536724000000084</f>
        <v>5185.9049760000016</v>
      </c>
      <c r="AB155" s="3">
        <f>4275.3+(1841-281.1)+(0+(0-0))+0-597.9-0</f>
        <v>5237.3000000000011</v>
      </c>
      <c r="AC155" s="3">
        <f>4091.9+(2082.3-287.8)+(-8.347476+(-4.247892--0.587112))+0-573.8--1.17055199999997</f>
        <v>5301.7622959999999</v>
      </c>
      <c r="AD155">
        <v>5102</v>
      </c>
      <c r="AE155" s="3">
        <f>4208+(1954.4-303.9)+(0+(0-0))+0-756.5-0</f>
        <v>5102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3797.8+(2392.9-287.2)+(-7.747512+(-4.881516--0.585888))+0-543.8--1.10935199999998</f>
        <v>5348.7662120000005</v>
      </c>
      <c r="G156" s="3">
        <f>3333.3+(2829-288.5)+(-6.799932+(-5.77116--0.58854))+0-593.2--1.21012799999997</f>
        <v>5269.8275759999997</v>
      </c>
      <c r="H156" s="3">
        <f>3227.6+(2757.7-279.7)+(-1.646076+(-1.406427--0.142647))+0-574.9--0.293198999999942</f>
        <v>5128.0833430000002</v>
      </c>
      <c r="I156" s="3">
        <f>3227.4+(2507.4-94.5)+(3.291948+(2.557548-0.09639))+0-619.9-0.632298000000099</f>
        <v>5025.5208080000002</v>
      </c>
      <c r="J156" s="3">
        <f>3321.3+(2326.1-93.5)+(3.387726+(2.372622-0.09537))+0-593.4-0.605268000000095</f>
        <v>4965.5597099999995</v>
      </c>
      <c r="K156" s="3">
        <f>3195.6+(2355.2-93.4)+(-4.889268+(-3.603456--0.142902))+0-571.7--0.874701000000033</f>
        <v>4878.2248789999994</v>
      </c>
      <c r="L156" s="3">
        <f>3075.6+(2429.3-222.3)+(0+(0-0))+0-557.2-0</f>
        <v>4725.4000000000005</v>
      </c>
      <c r="M156" s="3">
        <f>3152.4+(2252.1-257.9)+(0+(0-0))+0-599.8-0</f>
        <v>4546.8</v>
      </c>
      <c r="N156" s="3">
        <f>3274.5+(2156.6-277.4)+(5.009985+(3.299598-0.424422))+0-562.7-0.860931000000033</f>
        <v>4598.02423</v>
      </c>
      <c r="O156" s="3">
        <f>3351.8+(2219.6-278.6)+(3.418836+(2.263992-0.284172))+0-577.9-0.589458000000092</f>
        <v>4719.7091980000005</v>
      </c>
      <c r="P156" s="3">
        <f>3732.3+(1934.2-288.6)+(7.613892+(3.945768-0.588744))+0-496.2-1.01224799999998</f>
        <v>4891.658668</v>
      </c>
      <c r="Q156" s="3">
        <f>4039.5+(2000.6-289)+(4.12029+(2.040612-0.29478))+0-621.2-0.633624000000099</f>
        <v>5135.1324980000009</v>
      </c>
      <c r="R156" s="3">
        <f>4580.8+(1647-347.5)+(7.008624+(2.51991-0.531675))+0-536.2-0.820386000000031</f>
        <v>5352.2764729999999</v>
      </c>
      <c r="S156" s="3">
        <f>4926.1+(1736.9-515.7)+(0+(0-0))+0-584.4-0</f>
        <v>5562.9000000000005</v>
      </c>
      <c r="T156" s="3">
        <f>5540.9+(1568.1-792.2)+(0+(0-0))+0-599.6-0</f>
        <v>5717.1999999999989</v>
      </c>
      <c r="U156" s="3">
        <f>5302.5+(1572-603.6)+(-16.22565+(-4.81032--1.847016))+0-563.2--1.72339200000007</f>
        <v>5690.2344379999995</v>
      </c>
      <c r="V156" s="3">
        <f>4859.4+(1733.1-315.6)+(-7.434882+(-2.651643--0.482868))+0-618.4--0.946152000000036</f>
        <v>5649.8424950000008</v>
      </c>
      <c r="W156" s="3">
        <f>3919.8+(2241.4-254.7)+(-3.998196+(-2.286228--0.259794))+0-530.4--0.541008000000085</f>
        <v>5370.6163780000006</v>
      </c>
      <c r="X156" s="3">
        <f>3386.6+(2405.9-252)+(-5.181498+(-3.681027--0.38556))+0-599.5--0.917235000000035</f>
        <v>4933.4402700000001</v>
      </c>
      <c r="Y156" s="3">
        <f>3387.6+(2157.4-288.2)+(3.455352+(2.200548-0.293964))+0-531.2-0.541824000000085</f>
        <v>4730.4201120000007</v>
      </c>
      <c r="Z156" s="3">
        <f>4386.6+(1845.4-284.4)+(-4.474332+(-1.882308--0.290088))+0-687.9--0.70165800000011</f>
        <v>5254.3351060000005</v>
      </c>
      <c r="AA156" s="3">
        <f>4333.8+(1855.7-268.8)+(-6.630714+(-2.839221--0.411264))+0-504.5--0.771885000000029</f>
        <v>5407.9132140000011</v>
      </c>
      <c r="AB156" s="3">
        <f>4422.6+(1845-266)+(-6.766578+(-2.82285--0.40698))+0-588.3--0.900099000000034</f>
        <v>5405.017651000001</v>
      </c>
      <c r="AC156" s="3">
        <f>4162.4+(2092.2-273.6)+(-4.245648+(-2.134044--0.279072))+0-583.8--0.595476000000093</f>
        <v>5391.6948560000001</v>
      </c>
      <c r="AD156">
        <v>5540.9000000000005</v>
      </c>
      <c r="AE156" s="3">
        <f>4648+(1653.1-270)+(0+(0-0))+0-490.2-0</f>
        <v>5540.9000000000005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3972.7+(2270.5-283.9)+(-2.026077+(-1.157955--0.144789))+0-623.8--0.318137999999937</f>
        <v>5332.7788949999986</v>
      </c>
      <c r="G157" s="3">
        <f>3665.7+(2534.5-276.7)+(-5.608521+(-3.877785--0.423351))+0-704.3--1.07757900000004</f>
        <v>5211.2146239999993</v>
      </c>
      <c r="H157" s="3">
        <f>3392.7+(2630.1-277.6)+(-3.460554+(-2.682702--0.283152))+0-667.1--0.680442000000106</f>
        <v>5072.920337999999</v>
      </c>
      <c r="I157" s="3">
        <f>3209.9+(2764.4-273.8)+(-8.185245+(-7.04922--0.69819))+0-701.6--1.7890799999999</f>
        <v>4986.1528049999988</v>
      </c>
      <c r="J157" s="3">
        <f>3030.6+(2885.3-271)+(1.545606+(1.471503-0.13821))+0-632.7-0.322676999999936</f>
        <v>5014.756222</v>
      </c>
      <c r="K157" s="3">
        <f>2921.5+(3020.1-278.4)+(-7.449825+(-7.701255--0.70992))+0-720--1.8359999999999</f>
        <v>4930.5948399999997</v>
      </c>
      <c r="L157" s="3">
        <f>2859.8+(2719.9-277)+(-4.375494+(-4.161447--0.42381))+0-565.4--0.865062000000033</f>
        <v>4730.0519310000009</v>
      </c>
      <c r="M157" s="3">
        <f>2890.1+(2368.9-99.6)+(-2.947902+(-2.416278--0.101592))+0-670.8--0.684216000000107</f>
        <v>4484.0216280000004</v>
      </c>
      <c r="N157" s="3">
        <f>2979.9+(2229.4-83)+(3.039498+(2.273988-0.08466))+0-638.4-0.651168000000102</f>
        <v>4492.4776579999998</v>
      </c>
      <c r="O157" s="3">
        <f>2926.2+(2239.6-82.2)+(2.984724+(2.284392-0.083844))+0-475.4-0.484908000000076</f>
        <v>4612.9003640000001</v>
      </c>
      <c r="P157" s="3">
        <f>3472.4+(2091.6-87.8)+(1.770924+(1.066716-0.044778))+0-685.6-0.34965599999993</f>
        <v>4793.0432059999994</v>
      </c>
      <c r="Q157" s="3">
        <f>4113.7+(1648.1-132.8)+(-4.195974+(-1.681062--0.135456))+0-545.4--0.556308000000087</f>
        <v>5078.4147280000007</v>
      </c>
      <c r="R157" s="3">
        <f>4573+(1439.1-213.2)+(-2.33223+(-0.733941--0.108732))+0-546--0.278459999999945</f>
        <v>5250.2210209999994</v>
      </c>
      <c r="S157" s="3">
        <f>4793.4+(1644.6-346.8)+(-12.22317+(-4.19373--0.88434))+0-516.7--1.31758499999993</f>
        <v>5560.2850250000001</v>
      </c>
      <c r="T157" s="3">
        <f>5103+(1528.7-389.8)+(-13.01265+(-3.898185--0.99399))+0-537.7--1.37113499999992</f>
        <v>5689.6542900000004</v>
      </c>
      <c r="U157" s="3">
        <f>4950.5+(1653.4-334.6)+(-7.574265+(-2.529702--0.511938))+0-571--0.873630000000033</f>
        <v>5689.5816009999999</v>
      </c>
      <c r="V157" s="3">
        <f>4826.9+(1643.1-299.8)+(-7.385157+(-2.513943--0.458694))+0-556--0.850680000000032</f>
        <v>5605.6102740000006</v>
      </c>
      <c r="W157" s="3">
        <f>4051.6+(2117.3-259.1)+(-4.132632+(-2.159646--0.264282))+0-509.3--0.519486000000081</f>
        <v>5394.9914900000003</v>
      </c>
      <c r="X157" s="3">
        <f>3197.3+(2630-274.4)+(-8.153115+(-6.7065--0.69972))+0-660.2--1.6835099999999</f>
        <v>4880.2236149999999</v>
      </c>
      <c r="Y157" s="3">
        <f>3219.4+(2274.9-271.9)+(-1.641894+(-1.160199--0.138669))+0-561.4--0.286313999999943</f>
        <v>4658.6228899999996</v>
      </c>
      <c r="Z157" s="3">
        <f>3699.3+(2265.8-260.9)+(0+(0-0))+0-597.8-0</f>
        <v>5106.4000000000005</v>
      </c>
      <c r="AA157" s="3">
        <f>4035+(2081.6-293.1)+(-8.2314+(-4.246464--0.597924))+0-608.8--1.24195199999997</f>
        <v>5204.0620120000003</v>
      </c>
      <c r="AB157" s="3">
        <f>3831+(2283.3-262.4)+(1.95381+(1.164483-0.133824))+0-625.2-0.318851999999937</f>
        <v>5229.3656169999995</v>
      </c>
      <c r="AC157" s="3">
        <f>3971.1+(2162.3-270.8)+(-8.101044+(-4.411092--0.552432))+0-625.2--1.27540799999997</f>
        <v>5226.7157040000002</v>
      </c>
      <c r="AD157">
        <v>5533.4</v>
      </c>
      <c r="AE157" s="3">
        <f>3985+(2050.4-270.1)+(0+(0-0))+0-231.9-0</f>
        <v>5533.4000000000005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3727.5+(2380.2-272.8)+(-1.901025+(-1.213902--0.139128))+0-542.6--0.276725999999945</f>
        <v>5289.6009269999995</v>
      </c>
      <c r="G158" s="3">
        <f>3560.4+(2515.6-277.8)+(0+(0-0))+0-424.4-0</f>
        <v>5373.8</v>
      </c>
      <c r="H158" s="3">
        <f>3176.5+(2659.3-261.1)+(0+(0-0))+0-509.7-0</f>
        <v>5065.0000000000009</v>
      </c>
      <c r="I158" s="3">
        <f>3178.4+(2660.2-272.9)+(4.862952+(4.070106-0.417537))+0-541.9-0.829107000000031</f>
        <v>5031.486414</v>
      </c>
      <c r="J158" s="3">
        <f>3216.7+(2444.8-270.9)+(-1.640517+(-1.246848--0.138159))+0-498.9--0.254438999999949</f>
        <v>4889.2052330000006</v>
      </c>
      <c r="K158" s="3">
        <f>3157.4+(2368.8-259.3)+(-8.05137+(-6.04044--0.661215))+0-431.7--1.10083499999994</f>
        <v>4822.8702400000002</v>
      </c>
      <c r="L158" s="3">
        <f>2993+(2256.7-262.8)+(-6.10572+(-4.603668--0.536112))+0-567.2--1.15708799999998</f>
        <v>4410.6838119999993</v>
      </c>
      <c r="M158" s="3">
        <f>3057.7+(1932.1-273)+(3.118854+(1.970742-0.27846))+0-569.3-0.580686000000091</f>
        <v>4151.7304499999991</v>
      </c>
      <c r="N158" s="3">
        <f>3143+(1786.5-257.7)+(0+(0-0))+0-547.4-0</f>
        <v>4124.4000000000005</v>
      </c>
      <c r="O158" s="3">
        <f>3090+(1966.8-276.6)+(1.5759+(1.003068-0.141066))+0-503.9-0.256988999999949</f>
        <v>4278.4809130000003</v>
      </c>
      <c r="P158" s="3">
        <f>3498.5+(1608.1-272.4)+(7.13694+(3.280524-0.555696))+0-562.9-1.14831599999998</f>
        <v>4280.0134520000001</v>
      </c>
      <c r="Q158" s="3">
        <f>3903.4+(1426.9-322.9)+(-9.95367+(-3.638595--0.823395))+0-511.9--1.30534499999993</f>
        <v>4484.0364749999999</v>
      </c>
      <c r="R158" s="3">
        <f>4332.3+(1433.5-369.7)+(4.418946+(1.46217-0.377094))+0-529.4-0.539988000000084</f>
        <v>4871.6640340000004</v>
      </c>
      <c r="S158" s="3">
        <f>4595.7+(1528.1-386.1)+(-7.031421+(-2.337993--0.590733))+0-601.1--0.919683000000035</f>
        <v>5128.7410019999998</v>
      </c>
      <c r="T158" s="3">
        <f>4882.7+(1516.4-483.1)+(2.490177+(0.773364-0.246381))+0-548.6-0.279785999999944</f>
        <v>5370.1373739999999</v>
      </c>
      <c r="U158" s="3">
        <f>4878.5+(1604.7-390)+(0+(0-0))+0-713.4-0</f>
        <v>5379.8</v>
      </c>
      <c r="V158" s="3">
        <f>4680.1+(1705.3-334.4)+(-11.934255+(-4.348515--0.85272))+0-673.4--1.7171699999999</f>
        <v>5363.8871200000003</v>
      </c>
      <c r="W158" s="3">
        <f>4178.7+(1764.4-297.7)+(-6.393411+(-2.699532--0.455481))+0-557.5--0.852975000000032</f>
        <v>5080.1155129999997</v>
      </c>
      <c r="X158" s="3">
        <f>3785+(1735.1-271.5)+(-5.79105+(-2.654703--0.415395))+0-661.4--1.01194200000004</f>
        <v>4580.1815840000008</v>
      </c>
      <c r="Y158" s="3">
        <f>3952.7+(1300.6-301.7)+(4.031754+(1.326612-0.307734))+0-604.9-0.616998000000096</f>
        <v>4351.1336339999998</v>
      </c>
      <c r="Z158" s="3">
        <f>4394.2+(1362.4-302.8)+(-15.687294+(-4.863768--1.080996))+0-636.9--2.27373300000001</f>
        <v>4799.7036670000007</v>
      </c>
      <c r="AA158" s="3">
        <f>4430.5+(1388.1-302.8)+(-6.778665+(-2.123793--0.463284))+0-611.6--0.935748000000035</f>
        <v>4896.6965739999996</v>
      </c>
      <c r="AB158" s="3">
        <f>4516.1+(1309.6-272.9)+(2.303211+(0.667896-0.139179))+0-633.3-0.322982999999936</f>
        <v>4922.0089449999996</v>
      </c>
      <c r="AC158" s="3">
        <f>4754.6+(1146.4-296.1)+(-12.12423+(-2.92332--0.755055))+0-637.1--1.62460499999991</f>
        <v>4955.1321100000005</v>
      </c>
      <c r="AD158">
        <v>4896.3999999999996</v>
      </c>
      <c r="AE158" s="3">
        <f>4551+(1336.8-334.3)+(0+(0-0))+0-657.1-0</f>
        <v>4896.3999999999996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4476.3+(1457.1-268.6)+(-11.414565+(-3.715605--0.68493))+0-622.1--1.58635499999991</f>
        <v>5029.8411149999993</v>
      </c>
      <c r="G159" s="3">
        <f>4177.5+(1705.4-298)+(-10.652625+(-4.34877--0.7599))+0-456.8--1.16483999999993</f>
        <v>5115.0233449999996</v>
      </c>
      <c r="H159" s="3">
        <f>3669.3+(2032.7-293)+(3.742686+(2.073354-0.29886))+0-661.8-0.675036000000105</f>
        <v>4752.0421439999991</v>
      </c>
      <c r="I159" s="3">
        <f>3618.9+(2045.1-296.9)+(-5.536917+(-3.129003--0.454257))+0-634.7--0.971091000000037</f>
        <v>4725.1594280000008</v>
      </c>
      <c r="J159" s="3">
        <f>3486.3+(1925.1-268.4)+(0+(0-0))+0-370-0</f>
        <v>4773</v>
      </c>
      <c r="K159" s="3">
        <f>3141.7+(2273.1-268.1)+(-8.011335+(-5.796405--0.683655))+0-707.7--1.8046349999999</f>
        <v>4427.6805499999991</v>
      </c>
      <c r="L159" s="3">
        <f>2791.1+(2336-284.2)+(-9.964227+(-8.33952--1.014594))+0-616--2.19912000000001</f>
        <v>4211.8099670000001</v>
      </c>
      <c r="M159" s="3">
        <f>2599.5+(2112.9-284.1)+(1.325745+(1.077579-0.144891))+0-461.2-0.235211999999953</f>
        <v>3969.1232210000003</v>
      </c>
      <c r="N159" s="3">
        <f>2926.9+(1881-270.1)+(1.492719+(0.95931-0.137751))+0-621.5-0.316964999999937</f>
        <v>3918.297313</v>
      </c>
      <c r="O159" s="3">
        <f>2837.3+(1967.6-288.5)+(-2.894046+(-2.006952--0.29427))+0-541.3--0.552126000000086</f>
        <v>3971.0453979999998</v>
      </c>
      <c r="P159" s="3">
        <f>2945.2+(1828.3-265.2)+(3.004104+(1.864866-0.270504))+0-482.7-0.492354000000077</f>
        <v>4029.7061119999998</v>
      </c>
      <c r="Q159" s="3">
        <f>3354.4+(1648.8-282.3)+(6.842976+(3.363552-0.575892))+0-508.9-1.03815599999998</f>
        <v>4220.5924800000003</v>
      </c>
      <c r="R159" s="3">
        <f>3588.8+(1823.7-275.1)+(-5.490864+(-2.790261--0.420903))+0-596.3--0.912339000000034</f>
        <v>4534.1521169999996</v>
      </c>
      <c r="S159" s="3">
        <f>3987.9+(1753.3-308.8)+(-4.067658+(-1.788366--0.314976))+0-513.8--0.524076000000082</f>
        <v>4913.5830279999991</v>
      </c>
      <c r="T159" s="3">
        <f>4341.4+(1652.4-340.3)+(2.214114+(0.842724-0.173553))+0-470.5-0.239954999999952</f>
        <v>5185.6433299999999</v>
      </c>
      <c r="U159" s="3">
        <f>4599.7+(1632.6-340.9)+(0+(0-0))+0-620.9-0</f>
        <v>5270.5</v>
      </c>
      <c r="V159" s="3">
        <f>4390+(1867.4-292.5)+(0+(0-0))+0-710.2-0</f>
        <v>5254.7</v>
      </c>
      <c r="W159" s="3">
        <f>3800.4+(2101.3-303)+(0+(0-0))+0-639.6-0</f>
        <v>4959.1000000000004</v>
      </c>
      <c r="X159" s="3">
        <f>3220.5+(2289.1-281.8)+(-4.927365+(-3.502323--0.431154))+0-703.2--1.07589600000004</f>
        <v>4517.6773620000004</v>
      </c>
      <c r="Y159" s="3">
        <f>3356.8+(1809.3-289.9)+(5.135904+(2.768229-0.443547))+0-569.5-0.871335000000033</f>
        <v>4313.2892510000011</v>
      </c>
      <c r="Z159" s="3">
        <f>4252.8+(1498.5-297.9)+(-4.337856+(-1.52847--0.303858))+0-635.5--0.648210000000101</f>
        <v>4812.9857419999998</v>
      </c>
      <c r="AA159" s="3">
        <f>4227.5+(1603.8-289.2)+(-2.156025+(-0.817938--0.147492))+0-638.5--0.325634999999935</f>
        <v>4901.0991640000002</v>
      </c>
      <c r="AB159" s="3">
        <f>4187.8+(1623.5-283.9)+(-4.271556+(-1.65597--0.289578))+0-570.7--0.582114000000091</f>
        <v>4951.644166</v>
      </c>
      <c r="AC159" s="3">
        <f>3979.1+(1948.2-295.7)+(2.029341+(0.993582-0.150807))+0-606.2-0.309161999999939</f>
        <v>5027.9629540000005</v>
      </c>
      <c r="AD159">
        <v>5065.1000000000004</v>
      </c>
      <c r="AE159" s="3">
        <f>4515+(1475.1-298.1)+(0+(0-0))+0-626.9-0</f>
        <v>5065.1000000000004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3937.4+(2079.9-271.2)+(-2.008074+(-1.060749--0.138312))+0-630.2--0.321401999999936</f>
        <v>5113.2908910000006</v>
      </c>
      <c r="G160" s="3">
        <f>3604.1+(2400-289.5)+(-11.028546+(-7.344--0.88587))+0-447.8--1.37026800000005</f>
        <v>5250.6835919999994</v>
      </c>
      <c r="H160" s="3">
        <f>3088.6+(2721-289.8)+(-6.300744+(-5.55084--0.591192))+0-422.9--0.862715999999982</f>
        <v>5086.5023239999991</v>
      </c>
      <c r="I160" s="3">
        <f>3101.5+(2674.3-297)+(1.581765+(1.363893-0.15147))+0-441.9-0.225368999999955</f>
        <v>5039.4688190000006</v>
      </c>
      <c r="J160" s="3">
        <f>3326.9+(2240-287.1)+(3.393438+(2.2848-0.292842))+0-384.3-0.391986000000061</f>
        <v>4900.49341</v>
      </c>
      <c r="K160" s="3">
        <f>3217+(2238.2-285.1)+(-1.64067+(-1.141482--0.145401))+0-393.1--0.20048099999996</f>
        <v>4774.5637299999999</v>
      </c>
      <c r="L160" s="3">
        <f>3099.5+(2172.5-280.6)+(-7.903725+(-5.539875--0.71553))+0-554.9--1.41499499999992</f>
        <v>4425.186925</v>
      </c>
      <c r="M160" s="3">
        <f>3136.2+(1851-279.2)+(-3.198924+(-1.88802--0.284784))+0-583.5--0.595170000000093</f>
        <v>4120.2930100000003</v>
      </c>
      <c r="N160" s="3">
        <f>3198.3+(1830.2-270.5)+(-3.262266+(-1.866804--0.27591))+0-600.7--0.612714000000096</f>
        <v>4153.0595540000004</v>
      </c>
      <c r="O160" s="3">
        <f>3436.6+(1763.8-286)+(3.505332+(1.799076-0.29172))+0-575-0.586500000000092</f>
        <v>4343.8261879999991</v>
      </c>
      <c r="P160" s="3">
        <f>3959.3+(1261.4-308.1)+(2.019243+(0.643314-0.157131))+0-455-0.232049999999954</f>
        <v>4459.8733760000005</v>
      </c>
      <c r="Q160" s="3">
        <f>4530.1+(1190.5-479.7)+(4.620702+(1.21431-0.489294))+0-560.1-0.571302000000089</f>
        <v>4685.5744159999995</v>
      </c>
      <c r="R160" s="3">
        <f>4948.3+(1243.3-538.9)+(-2.523633+(-0.634083--0.274839))+0-554.5--0.282794999999944</f>
        <v>5095.5999179999999</v>
      </c>
      <c r="S160" s="3">
        <f>4858.1+(1641.4-496.4)+(-7.432893+(-2.511342--0.759492))+0-564--0.862920000000033</f>
        <v>5430.7781770000011</v>
      </c>
      <c r="T160" s="3">
        <f>5144.4+(1599.6-534.2)+(-2.623644+(-0.815796--0.272442))+0-592.7--0.30227699999994</f>
        <v>5614.2352789999995</v>
      </c>
      <c r="U160" s="3">
        <f>5185.6+(1658.6-563.7)+(-5.289312+(-1.691772--0.574974))+0-546.7--0.557634000000087</f>
        <v>5727.9515240000001</v>
      </c>
      <c r="V160" s="3">
        <f>5135.4+(1463.4-350.8)+(-15.714324+(-4.478004--1.073448))+0-569.8--1.74358800000007</f>
        <v>5660.8247080000001</v>
      </c>
      <c r="W160" s="3">
        <f>4532+(1635.1-244.8)+(-4.62264+(-1.667802--0.249696))+0-542.2--0.553044000000086</f>
        <v>5374.6122980000009</v>
      </c>
      <c r="X160" s="3">
        <f>3767.2+(1962.4-233.5)+(-5.763816+(-3.002472--0.357255))+0-611--0.934830000000035</f>
        <v>4877.6257970000006</v>
      </c>
      <c r="Y160" s="3">
        <f>3510.8+(1864.8-238.7)+(0+(0-0))+0-521.6-0</f>
        <v>4615.2999999999993</v>
      </c>
      <c r="Z160" s="3">
        <f>4292+(1618.3-223.9)+(-4.37784+(-1.650666--0.228378))+0-565.6--0.57691200000009</f>
        <v>5115.5767839999999</v>
      </c>
      <c r="AA160" s="3">
        <f>4353.3+(1678.6-245.9)+(-11.100915+(-4.28043--0.627045))+0-598.4--1.52591999999991</f>
        <v>5174.3716200000008</v>
      </c>
      <c r="AB160" s="3">
        <f>4469+(1561.3-230.2)+(-6.83757+(-2.388789--0.352206))+0-595.5--0.911115000000034</f>
        <v>5196.6369620000005</v>
      </c>
      <c r="AC160" s="3">
        <f>4584.8+(1417.3-234.3)+(2.338248+(0.722823-0.119493))+0-590-0.30089999999994</f>
        <v>5180.4406779999999</v>
      </c>
      <c r="AD160">
        <v>5375.4000000000005</v>
      </c>
      <c r="AE160" s="3">
        <f>4634+(1448.1-268.2)+(0+(0-0))+0-438.5-0</f>
        <v>5375.4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4405.7+(1669.6-287.9)+(-4.493814+(-1.702992--0.293658))+0-655.2--0.668304000000104</f>
        <v>5126.9651559999993</v>
      </c>
      <c r="G161" s="3">
        <f>3908.7+(1990-281.3)+(-3.986874+(-2.0298--0.286926))+0-603--0.615060000000096</f>
        <v>5009.285312</v>
      </c>
      <c r="H161" s="3">
        <f>3405.9+(2353.7-275.3)+(-6.948036+(-4.801548--0.561612))+0-622.8--1.27051199999997</f>
        <v>4851.5825399999994</v>
      </c>
      <c r="I161" s="3">
        <f>3226+(2428.5-268.3)+(1.64526+(1.238535-0.136833))+0-579.2-0.295391999999941</f>
        <v>4809.4515700000002</v>
      </c>
      <c r="J161" s="3">
        <f>3268.5+(2372.7-289.5)+(3.33387+(2.420154-0.29529))+0-660.7-0.673914000000105</f>
        <v>4695.7848199999999</v>
      </c>
      <c r="K161" s="3">
        <f>3265.2+(2155.4-285.4)+(-8.32626+(-5.49627--0.72777))+0-557.5--1.42162499999992</f>
        <v>4566.0268649999998</v>
      </c>
      <c r="L161" s="3">
        <f>3159.6+(2123-281)+(-6.445584+(-4.33092--0.57324))+0-646.2--1.31824799999997</f>
        <v>4346.5149840000004</v>
      </c>
      <c r="M161" s="3">
        <f>3061+(1856.6-263.4)+(1.56111+(0.946866-0.134334))+0-522-0.266219999999947</f>
        <v>4134.3074219999999</v>
      </c>
      <c r="N161" s="3">
        <f>3049.8+(1854.2-266.4)+(1.555398+(0.945642-0.135864))+0-540-0.275399999999945</f>
        <v>4099.6897760000011</v>
      </c>
      <c r="O161" s="3">
        <f>3105.4+(1734.5-267)+(-3.167508+(-1.76919--0.27234))+0-443.2--0.452064000000071</f>
        <v>4125.4877059999999</v>
      </c>
      <c r="P161" s="3">
        <f>3271+(1783.8-278.3)+(1.66821+(0.909738-0.141933))+0-552.3-0.281672999999944</f>
        <v>4226.3543420000005</v>
      </c>
      <c r="Q161" s="3">
        <f>3327.3+(1831.5-253)+(-1.696923+(-0.934065--0.12903))+0-445--0.226949999999955</f>
        <v>4458.5249920000006</v>
      </c>
      <c r="R161" s="3">
        <f>3925.4+(1664.9-254.5)+(2.001954+(0.849099-0.129795))+0-503.2-0.256631999999949</f>
        <v>4835.0646260000003</v>
      </c>
      <c r="S161" s="3">
        <f>4072.6+(1855.2-303.4)+(-8.308104+(-3.784608--0.618936))+0-407.1--0.830483999999982</f>
        <v>5206.6567079999995</v>
      </c>
      <c r="T161" s="3">
        <f>4768.5+(1501.9-288.9)+(-7.295805+(-2.297907--0.442017))+0-474.5--0.725985000000027</f>
        <v>5498.5742900000005</v>
      </c>
      <c r="U161" s="3">
        <f>4648.8+(1642.4-293.9)+(-4.741776+(-1.675248--0.299778))+0-360.7--0.367914000000058</f>
        <v>5630.850668000001</v>
      </c>
      <c r="V161" s="3">
        <f>4493.5+(1791.9-240.1)+(-4.58337+(-1.827738--0.244902))+0-583.7--0.595374000000093</f>
        <v>5456.0291680000009</v>
      </c>
      <c r="W161" s="3">
        <f>3769.6+(2128.6-248.9)+(-9.61248+(-5.42793--0.634695))+0-481.7--1.22833499999993</f>
        <v>5154.4226199999994</v>
      </c>
      <c r="X161" s="3">
        <f>3109.6+(2394.3-275)+(-9.515376+(-7.326558--0.8415))+0-580.7--1.77694200000007</f>
        <v>4633.9765080000006</v>
      </c>
      <c r="Y161" s="3">
        <f>3293+(1957.1-289.8)+(0+(0-0))+0-439.1-0</f>
        <v>4521.2</v>
      </c>
      <c r="Z161" s="3">
        <f>3748.4+(1877.8-264.5)+(-7.646736+(-3.830712--0.53958))+0-648.2--1.32232799999997</f>
        <v>4703.8844600000002</v>
      </c>
      <c r="AA161" s="3">
        <f>3940.2+(1942-288.3)+(-10.04751+(-4.9521--0.735165))+0-525.9--1.34104499999992</f>
        <v>5055.0766000000003</v>
      </c>
      <c r="AB161" s="3">
        <f>4026.2+(1742.6-271.6)+(-8.213448+(-3.554904--0.554064))+0-675.3--1.37761199999997</f>
        <v>4812.0633239999997</v>
      </c>
      <c r="AC161" s="3">
        <f>4061.6+(1795.4-297.7)+(-6.214248+(-2.746962--0.455481))+0-551.8--0.844254000000032</f>
        <v>4999.8385249999992</v>
      </c>
      <c r="AD161">
        <v>5037.1000000000004</v>
      </c>
      <c r="AE161" s="3">
        <f>4172+(1760.3-279.5)+(0+(0-0))+0-615.7-0</f>
        <v>5037.1000000000004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3833+(2097.6-300.1)+(-1.95483+(-1.069776--0.153051))+0-602.2--0.307121999999939</f>
        <v>5025.7355670000006</v>
      </c>
      <c r="G162" s="3">
        <f>3395.8+(2408.3-317)+(0+(0-0))+0-534.3-0</f>
        <v>4952.8</v>
      </c>
      <c r="H162" s="3">
        <f>3355.2+(2370.1-312.7)+(0+(0-0))+0-568.5-0</f>
        <v>4844.1000000000004</v>
      </c>
      <c r="I162" s="3">
        <f>3205.4+(2440.3-316.6)+(-4.904262+(-3.733659--0.484398))+0-620.5--0.949365000000036</f>
        <v>4701.3958420000008</v>
      </c>
      <c r="J162" s="3">
        <f>3202.4+(2291.6-313.9)+(1.633224+(1.168716-0.160089))+0-578.4-0.294983999999941</f>
        <v>4604.0468670000009</v>
      </c>
      <c r="K162" s="3">
        <f>3122.3+(2215.1-307.4)+(-1.592373+(-1.129701--0.156774))+0-571.2--0.291311999999942</f>
        <v>4456.5260120000003</v>
      </c>
      <c r="L162" s="3">
        <f>2980.8+(2150.2-262.3)+(-6.080832+(-4.386408--0.535092))+0-645.9--1.31763599999997</f>
        <v>4214.1854880000001</v>
      </c>
      <c r="M162" s="3">
        <f>2921.4+(1849.8-281.5)+(-5.959656+(-3.773592--0.57426))+0-544.5--1.11077999999998</f>
        <v>3937.1517919999997</v>
      </c>
      <c r="N162" s="3">
        <f>3026.8+(1704.3-286)+(3.087336+(1.738386-0.29172))+0-522.7-0.533154000000083</f>
        <v>3926.4008480000007</v>
      </c>
      <c r="O162" s="3">
        <f>3066.3+(1620.5-282.5)+(1.563813+(0.826455-0.144075))+0-468.9-0.239138999999952</f>
        <v>3937.4070540000002</v>
      </c>
      <c r="P162" s="3">
        <f>3110.9+(1565.1-288.9)+(0+(0-0))+0-353.3-0</f>
        <v>4033.8</v>
      </c>
      <c r="Q162" s="3">
        <f>3371.7+(1658.5-253.9)+(-1.719567+(-0.845835--0.129489))+0-533.9--0.272288999999946</f>
        <v>4240.2363759999989</v>
      </c>
      <c r="R162" s="3">
        <f>4114.2+(1364.8-345.8)+(-8.392968+(-2.784192--0.705432))+0-480.7--0.980627999999979</f>
        <v>4643.0088999999998</v>
      </c>
      <c r="S162" s="3">
        <f>3932.3+(1762.8-276.4)+(-14.038311+(-6.293196--0.986748))+0-466.1--1.66397700000001</f>
        <v>4934.9192180000009</v>
      </c>
      <c r="T162" s="3">
        <f>3898.1+(2116.1-269.1)+(-9.940155+(-5.396055--0.686205))+0-519--1.32344999999992</f>
        <v>5212.7734449999998</v>
      </c>
      <c r="U162" s="3">
        <f>3703.5+(2376.2-289)+(-5.666355+(-3.635586--0.44217))+0-435.8--0.666774000000025</f>
        <v>5346.7070029999995</v>
      </c>
      <c r="V162" s="3">
        <f>3701.8+(2336.8-243.8)+(-5.663754+(-3.575304--0.373014))+0-562.1--0.860013000000033</f>
        <v>5224.6939689999999</v>
      </c>
      <c r="W162" s="3">
        <f>3203.5+(2532.5-267.4)+(-4.901355+(-3.874725--0.409122))+0-503.5--0.770355000000029</f>
        <v>4957.5033970000004</v>
      </c>
      <c r="X162" s="3">
        <f>3094.7+(2257.9-279.5)+(1.578297+(1.151529-0.142545))+0-543.2-0.277031999999945</f>
        <v>4532.2102490000007</v>
      </c>
      <c r="Y162" s="3">
        <f>3320+(1824.9-279.9)+(-3.3864+(-1.861398--0.285498))+0-581.1--0.592722000000093</f>
        <v>4279.5304219999998</v>
      </c>
      <c r="Z162" s="3">
        <f>3402.7+(2169.4-279)+(-10.412262+(-6.638364--0.85374))+0-510.3--1.56151800000006</f>
        <v>4768.1646320000009</v>
      </c>
      <c r="AA162" s="3">
        <f>3909.5+(1793.5-284.1)+(-7.97538+(-3.65874--0.579564))+0-551.4--1.12485599999998</f>
        <v>4857.5703000000003</v>
      </c>
      <c r="AB162" s="3">
        <f>3857+(1832.2-277.1)+(1.96707+(0.934422-0.141321))+0-552.6-0.281825999999944</f>
        <v>4861.9783449999995</v>
      </c>
      <c r="AC162" s="3">
        <f>3957+(1801.4-282.2)+(-4.03614+(-1.837428--0.287844))+0-556--0.567120000000089</f>
        <v>4915.1813959999999</v>
      </c>
      <c r="AD162">
        <v>4868.8999999999996</v>
      </c>
      <c r="AE162" s="3">
        <f>3867+(1899.9-298.7)+(0+(0-0))+0-599.3-0</f>
        <v>4868.8999999999996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3261.6+(2578.4-296.4)+(0+(0-0))+0-630.5-0</f>
        <v>4913.1000000000004</v>
      </c>
      <c r="G163" s="3">
        <f>3100.4+(2744.6-291.8)+(0+(0-0))+0-627.9-0</f>
        <v>4925.3</v>
      </c>
      <c r="H163" s="3">
        <f>3164.9+(2530.6-299.6)+(4.842297+(3.871818-0.458388))+0-616.5-0.943245000000036</f>
        <v>4786.712481999999</v>
      </c>
      <c r="I163" s="3">
        <f>3179.5+(2480.1-293.5)+(0+(0-0))+0-711.7-0</f>
        <v>4654.4000000000005</v>
      </c>
      <c r="J163" s="3">
        <f>3090.9+(2353.1-291.9)+(0+(0-0))+0-585.1-0</f>
        <v>4567</v>
      </c>
      <c r="K163" s="3">
        <f>3073.7+(2287.5-283.5)+(-10.973109+(-8.166375--1.012095))+0-641.3--2.28944100000001</f>
        <v>4420.5620519999993</v>
      </c>
      <c r="L163" s="3">
        <f>2935.9+(2207.3-280.1)+(-10.481163+(-7.880061--0.999957))+0-687.9--2.45580300000001</f>
        <v>4160.2945360000003</v>
      </c>
      <c r="M163" s="3">
        <f>2902.3+(1817.5-287.9)+(0+(0-0))+0-516-0</f>
        <v>3915.8999999999996</v>
      </c>
      <c r="N163" s="3">
        <f>3055.7+(1721.8-292.9)+(3.116814+(1.756236-0.298758))+0-526.5-0.537030000000084</f>
        <v>3962.1372620000006</v>
      </c>
      <c r="O163" s="3">
        <f>3043.4+(1833.9-296)+(3.104268+(1.870578-0.30192))+0-539.4-0.550188000000086</f>
        <v>4046.0227380000001</v>
      </c>
      <c r="P163" s="3">
        <f>3042.7+(1918-294.4)+(1.551777+(0.97818-0.150144))+0-518.3-0.264332999999947</f>
        <v>4150.1154799999986</v>
      </c>
      <c r="Q163" s="3">
        <f>3092.7+(2233.3-307.5)+(1.577277+(1.138983-0.156825))+0-666.6-0.339965999999932</f>
        <v>4354.1194690000002</v>
      </c>
      <c r="R163" s="3">
        <f>3574.3+(2068.2-282.4)+(-5.468679+(-3.164346--0.432072))+0-695.1--1.06350300000004</f>
        <v>4657.8625500000007</v>
      </c>
      <c r="S163" s="3">
        <f>3641.2+(2296-298.2)+(-7.428048+(-4.68384--0.608328))+0-653.7--1.33354799999997</f>
        <v>4975.1299879999997</v>
      </c>
      <c r="T163" s="3">
        <f>4105.7+(2017.7-288.3)+(-2.093907+(-1.029027--0.147033))+0-600.9--0.306458999999939</f>
        <v>5231.5305580000013</v>
      </c>
      <c r="U163" s="3">
        <f>4259.5+(1952.1-303.2)+(2.172345+(0.995571-0.154632))+0-647.5-0.330224999999934</f>
        <v>5263.5830589999996</v>
      </c>
      <c r="V163" s="3">
        <f>3932.7+(2206.6-294.9)+(-6.017031+(-3.376098--0.451197))+0-696.7--1.06595100000004</f>
        <v>5139.8240189999997</v>
      </c>
      <c r="W163" s="3">
        <f>3258.2+(2437.4-292.7)+(-9.970092+(-7.458444--0.895662))+0-585.3--1.79101800000007</f>
        <v>4802.8581439999989</v>
      </c>
      <c r="X163" s="3">
        <f>3140.2+(2236.6-282.2)+(-9.609012+(-6.843996--0.863532))+0-725.6--2.22033600000008</f>
        <v>4355.6308599999993</v>
      </c>
      <c r="Y163" s="3">
        <f>3460.7+(1553.7-292.4)+(-5.294871+(-2.377161--0.447372))+0-535.2--0.818856000000031</f>
        <v>4180.3941960000002</v>
      </c>
      <c r="Z163" s="3">
        <f>4185+(1455.9-324.9)+(-10.67175+(-3.712545--0.828495))+0-623.6--1.59017999999991</f>
        <v>4680.4343799999997</v>
      </c>
      <c r="AA163" s="3">
        <f>4016.2+(1747.3-310.2)+(-16.386096+(-7.128984--1.265616))+6.3-717.5--2.92739999999994</f>
        <v>4722.7779359999986</v>
      </c>
      <c r="AB163" s="3">
        <f>3668.8+(1770.8-292.7)+(0+(0-0))+47-549.5-0</f>
        <v>4644.3999999999996</v>
      </c>
      <c r="AC163" s="3">
        <f>3662.9+(2028-271.6)+(1.868079+(1.03428-0.138516))+35.3-657.7-0.335426999999933</f>
        <v>4799.3284160000003</v>
      </c>
      <c r="AD163">
        <v>4851</v>
      </c>
      <c r="AE163" s="3">
        <f>4248+(1628.9-252.2)+(0+(0-0))+0-773.7-0</f>
        <v>4851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3472.4+(2329-285.5)+(0+(0-0))+0-633.9-0</f>
        <v>4882</v>
      </c>
      <c r="G164" s="3">
        <f>3446.1+(2377.5-293.9)+(-1.757511+(-1.212525--0.149889))+0-654.2--0.333641999999934</f>
        <v>4873.0134949999992</v>
      </c>
      <c r="H164" s="3">
        <f>3319+(2332.1-279.6)+(-3.38538+(-2.378742--0.285192))+0-593.6--0.605472000000095</f>
        <v>4773.0265419999996</v>
      </c>
      <c r="I164" s="3">
        <f>2848.4+(2737-271.8)+(1.452684+(1.39587-0.138618))+0-648.7-0.330836999999934</f>
        <v>4667.2790990000012</v>
      </c>
      <c r="J164" s="3">
        <f>2697.7+(2749.8-262.4)+(0+(0-0))+0-663.6-0</f>
        <v>4521.5</v>
      </c>
      <c r="K164" s="3">
        <f>2785.1+(2454.2-274.6)+(0+(0-0))+0-576.8-0</f>
        <v>4387.8999999999996</v>
      </c>
      <c r="L164" s="3">
        <f>2754.9+(2429.9-277.4)+(-9.834993+(-8.674743--0.990318))+0-709.2--2.53184400000001</f>
        <v>4183.2124260000001</v>
      </c>
      <c r="M164" s="3">
        <f>2564.2+(2123.7-278.5)+(-3.923226+(-3.249261--0.426105))+0-572.1--0.875313000000033</f>
        <v>3831.4289309999995</v>
      </c>
      <c r="N164" s="3">
        <f>2789.2+(1743.7-273.2)+(4.267476+(2.667861-0.417996))+0-545.2-0.834156000000032</f>
        <v>3720.1831849999999</v>
      </c>
      <c r="O164" s="3">
        <f>2961.5+(1755.5-277.9)+(3.02073+(1.79061-0.283458))+0-633.9-0.646578000000101</f>
        <v>3809.0813040000003</v>
      </c>
      <c r="P164" s="3">
        <f>2837.8+(1992.7-298.6)+(-1.447278+(-1.016277--0.152286))+0-569.5--0.290444999999942</f>
        <v>3960.3791759999999</v>
      </c>
      <c r="Q164" s="3">
        <f>3295.1+(1790.8-294.4)+(0+(0-0))+0-587.9-0</f>
        <v>4203.6000000000004</v>
      </c>
      <c r="R164" s="3">
        <f>3728.8+(1571.9-293.8)+(-1.901688+(-0.801669--0.149838))+0-595.9--0.30390899999994</f>
        <v>4408.7503900000011</v>
      </c>
      <c r="S164" s="3">
        <f>3706+(1929.7-304.4)+(0+(0-0))+0-727-0</f>
        <v>4604.3</v>
      </c>
      <c r="T164" s="3">
        <f>3756+(2074.1-287.7)+(-9.5778+(-5.288955--0.733635))+0-570.6--1.45502999999992</f>
        <v>4959.1219099999989</v>
      </c>
      <c r="U164" s="3">
        <f>3728.6+(1912.5-282.9)+(-9.50793+(-4.876875--0.721395))+0-550.3--1.40326499999992</f>
        <v>4795.6398549999994</v>
      </c>
      <c r="V164" s="3">
        <f>3926.3+(1954.6-287.8)+(0+(0-0))+0-765.5-0</f>
        <v>4827.6000000000004</v>
      </c>
      <c r="W164" s="3">
        <f>3741+(1746.1-301.4)+(-11.44746+(-5.343066--0.922284))+0-472.5--1.44585000000005</f>
        <v>4698.7776080000003</v>
      </c>
      <c r="X164" s="3">
        <f>3478.5+(1760.1-280.8)+(-5.322105+(-2.692953--0.429624))+0-720--1.10160000000004</f>
        <v>4231.3161660000005</v>
      </c>
      <c r="Y164" s="3">
        <f>3371.6+(1544.1-294.5)+(-1.719516+(-0.787491--0.150195))+0-665.3--0.339302999999932</f>
        <v>3953.8824909999994</v>
      </c>
      <c r="Z164" s="3">
        <f>3755.6+(1656.7-289.1)+(-9.57678+(-4.224585--0.737205))+0-662.3--1.6888649999999</f>
        <v>4449.5247049999998</v>
      </c>
      <c r="AA164" s="3">
        <f>3665.3+(1866.1-285.9)+(-9.346515+(-4.758555--0.729045))+0-664.5--1.6944749999999</f>
        <v>4569.3184500000007</v>
      </c>
      <c r="AB164" s="3">
        <f>3952.9+(1549.9-297.3)+(-8.063916+(-3.161796--0.606492))+0-597.1--1.21808399999997</f>
        <v>4598.9988640000001</v>
      </c>
      <c r="AC164" s="3">
        <f>3733.1+(1872.4-305.9)+(0+(0-0))+0-625.8-0</f>
        <v>4673.8</v>
      </c>
      <c r="AD164">
        <v>4574.5</v>
      </c>
      <c r="AE164" s="3">
        <f>3682+(1831.2-285)+(0+(0-0))+0-653.7-0</f>
        <v>4574.5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3672.6+(1991.5-283.5)+(-1.873026+(-1.015665--0.144585))+0-593.7--0.30278699999994</f>
        <v>4784.4586810000001</v>
      </c>
      <c r="G165" s="3">
        <f>3500.3+(2183.2-286.7)+(-5.355459+(-3.340296--0.438651))+0-675--1.03275000000004</f>
        <v>4714.5756460000002</v>
      </c>
      <c r="H165" s="3">
        <f>3319.6+(2239.4-261.3)+(-1.692996+(-1.142094--0.133263))+0-677.4--0.345473999999931</f>
        <v>4617.9436470000001</v>
      </c>
      <c r="I165" s="3">
        <f>3048.8+(2334.2-261.2)+(-3.109776+(-2.380884--0.266424))+0-620.8--0.633216000000099</f>
        <v>4496.4089800000002</v>
      </c>
      <c r="J165" s="3">
        <f>3057.1+(2230.7-270.5)+(-1.559121+(-1.137657--0.137955))+0-616.9--0.314618999999937</f>
        <v>4398.1557959999991</v>
      </c>
      <c r="K165" s="3">
        <f>3043.2+(2075.2-279.5)+(-6.208128+(-4.233408--0.57018))+0-497.4--1.01469599999998</f>
        <v>4332.6433400000005</v>
      </c>
      <c r="L165" s="3">
        <f>3028.6+(2013.4-252.8)+(-10.812102+(-7.187838--0.902496))+0-573.6--2.04775200000001</f>
        <v>4200.5503079999999</v>
      </c>
      <c r="M165" s="3">
        <f>2930.6+(1798.2-242.1)+(-2.989212+(-1.834164--0.246942))+0-592.2--0.604044000000095</f>
        <v>3890.5276100000005</v>
      </c>
      <c r="N165" s="3">
        <f>2977+(1690-246.9)+(0+(0-0))+0-618.6-0</f>
        <v>3801.5000000000005</v>
      </c>
      <c r="O165" s="3">
        <f>2886.2+(1776.6-256.4)+(1.471962+(0.906066-0.130764))+0-562-0.286619999999943</f>
        <v>3846.3606439999994</v>
      </c>
      <c r="P165" s="3">
        <f>2866.7+(1931.7-275.8)+(-1.462017+(-0.985167--0.140658))+0-573.9--0.292688999999942</f>
        <v>3946.6861629999999</v>
      </c>
      <c r="Q165" s="3">
        <f>2971.9+(2017.2-281.8)+(-4.547007+(-3.086316--0.431154))+0-519.8--0.79529400000003</f>
        <v>4181.0931250000003</v>
      </c>
      <c r="R165" s="3">
        <f>3274.2+(1970.3-278.9)+(-1.669842+(-1.004853--0.142239))+0-529.3--0.269942999999946</f>
        <v>4434.0374870000005</v>
      </c>
      <c r="S165" s="3">
        <f>3703.1+(1966.6-273)+(-3.777162+(-2.005932--0.27846))+0-714.1--0.728382000000114</f>
        <v>4677.8237479999998</v>
      </c>
      <c r="T165" s="3">
        <f>4131.1+(1750.8-291.8)+(-2.106861+(-0.892908--0.148818))+0-530.4--0.270503999999946</f>
        <v>5057.1195530000005</v>
      </c>
      <c r="U165" s="3">
        <f>4256.7+(1664.2-305.2)+(-8.683668+(-3.394968--0.622608))+0-517--1.05467999999998</f>
        <v>5088.2986520000004</v>
      </c>
      <c r="V165" s="3">
        <f>4152.5+(1807.1-297.3)+(6.353325+(2.764863-0.454869))+0-512.9-0.78473700000003</f>
        <v>5157.2785820000008</v>
      </c>
      <c r="W165" s="3">
        <f>3871.1+(1763.2-300.6)+(-7.897044+(-3.596928--0.613224))+0-658.5--1.34333999999997</f>
        <v>4665.6625920000006</v>
      </c>
      <c r="X165" s="3">
        <f>3686.1+(1477.7-284.1)+(-3.759822+(-1.507254--0.289782))+0-608.1--0.620262000000097</f>
        <v>4267.2429679999996</v>
      </c>
      <c r="Y165" s="3">
        <f>3863.7+(967.6-318.7)+(0+(0-0))+0-516.3-0</f>
        <v>3996.3</v>
      </c>
      <c r="Z165" s="3">
        <f>4042.8+(1324.8-348)+(-6.185484+(-2.026944--0.53244))+0-783--1.19799000000005</f>
        <v>4230.1180020000002</v>
      </c>
      <c r="AA165" s="3">
        <f>3998.9+(1702.1-324)+(-10.197195+(-4.340355--0.8262))+0-698.7--1.7816849999999</f>
        <v>4666.3703350000005</v>
      </c>
      <c r="AB165" s="3">
        <f>3829.2+(1738.4-304.2)+(-5.858676+(-2.659752--0.465426))+0-692.5--1.05952500000004</f>
        <v>4563.9065229999997</v>
      </c>
      <c r="AC165" s="3">
        <f>3973.3+(1786-290.9)+(2.026383+(0.91086-0.148359))+0-706.7-0.360416999999928</f>
        <v>4764.1284669999995</v>
      </c>
      <c r="AD165">
        <v>4670.8</v>
      </c>
      <c r="AE165" s="3">
        <f>4119+(1602.6-329.5)+(0+(0-0))+0-721.3-0</f>
        <v>4670.8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3852.3+(1768.1-295.1)+(3.929346+(1.803462-0.301002))+0-570.9-0.582318000000091</f>
        <v>4759.2494880000004</v>
      </c>
      <c r="G166" s="3">
        <f>3804.8+(1935.2-294.2)+(-5.821344+(-2.960856--0.450126))+0-696.5--1.06564500000004</f>
        <v>4742.0335709999999</v>
      </c>
      <c r="H166" s="3">
        <f>3392.3+(2203.9-296.3)+(-3.460146+(-2.247978--0.302226))+0-642.8--0.655656000000102</f>
        <v>4652.3497580000003</v>
      </c>
      <c r="I166" s="3">
        <f>3022.4+(2472.1-285)+(-7.70712+(-6.303855--0.72675))+0-666.3--1.6990649999999</f>
        <v>4531.6148399999993</v>
      </c>
      <c r="J166" s="3">
        <f>2753.4+(2630.9-277)+(-7.02117+(-6.708795--0.70635))+0-663.6--1.6921799999999</f>
        <v>4432.3685649999998</v>
      </c>
      <c r="K166" s="3">
        <f>2753.9+(2470.3-288.6)+(4.213467+(3.779559-0.441558))+0-613.4-0.938502000000035</f>
        <v>4328.8129660000004</v>
      </c>
      <c r="L166" s="3">
        <f>2581+(2467-277.2)+(-7.89786+(-7.54902--0.848232))+0-618.4--1.89230400000007</f>
        <v>4139.6936560000004</v>
      </c>
      <c r="M166" s="3">
        <f>2589.8+(2074.7-274.6)+(1.320798+(1.058097-0.140046))+0-532.4-0.271523999999946</f>
        <v>3859.4673250000001</v>
      </c>
      <c r="N166" s="3">
        <f>3001.1+(1655.8-284.7)+(4.591683+(2.533374-0.435591))+0-633-0.968490000000037</f>
        <v>3744.9209759999994</v>
      </c>
      <c r="O166" s="3">
        <f>2911.1+(1733.9-295.4)+(0+(0-0))+0-624.3-0</f>
        <v>3725.3</v>
      </c>
      <c r="P166" s="3">
        <f>3003.4+(1664.4-296.6)+(4.595202+(2.546532-0.453798))+0-575.6-0.880668000000033</f>
        <v>3801.4072680000008</v>
      </c>
      <c r="Q166" s="3">
        <f>3303.2+(1576.4-336.7)+(3.369264+(1.607928-0.343434))+0-607-0.619140000000097</f>
        <v>3939.9146179999993</v>
      </c>
      <c r="R166" s="3">
        <f>3653.8+(1636.5-370.7)+(-7.453752+(-3.33846--0.756228))+0-505.5--1.03121999999998</f>
        <v>4405.0952360000001</v>
      </c>
      <c r="S166" s="3">
        <f>3717.3+(1784.9-297)+(0+(0-0))+0-571.3-0</f>
        <v>4633.9000000000005</v>
      </c>
      <c r="T166" s="3">
        <f>4111.8+(1707.2-298)+(2.097018+(0.870672-0.15198))+0-574.1-0.292790999999942</f>
        <v>4949.4229189999996</v>
      </c>
      <c r="U166" s="3">
        <f>4039.2+(1687.3-302.5)+(-6.179976+(-2.581569--0.462825))+0-557--0.852210000000032</f>
        <v>4859.5534900000002</v>
      </c>
      <c r="V166" s="3">
        <f>3835+(1817.9-290.8)+(-7.8234+(-3.708516--0.593232))+0-650.7--1.32742799999997</f>
        <v>4701.7887440000004</v>
      </c>
      <c r="W166" s="3">
        <f>3516.5+(2023-292.9)+(-5.380245+(-3.09519--0.448137))+0-591.8--0.905454000000034</f>
        <v>4647.6781559999999</v>
      </c>
      <c r="X166" s="3">
        <f>3192.1+(1753-279.8)+(-8.139855+(-4.47015--0.71349))+0-573.7--1.46293499999992</f>
        <v>4081.16642</v>
      </c>
      <c r="Y166" s="3">
        <f>3311.9+(1419.8-342.9)+(0+(0-0))+0-464.1-0</f>
        <v>3924.7000000000003</v>
      </c>
      <c r="Z166" s="3">
        <f>4056.3+(1291.4-373.9)+(-6.206139+(-1.975842--0.572067))+0-533.8--0.816714000000031</f>
        <v>4433.2067999999999</v>
      </c>
      <c r="AA166" s="3">
        <f>4045.6+(1417.8-337.7)+(-6.189768+(-2.169234--0.516681))+0-699.3--1.06992900000004</f>
        <v>4419.6276079999998</v>
      </c>
      <c r="AB166" s="3">
        <f>4144.4+(1374.3-331.2)+(-4.227288+(-1.401786--0.337824))+0-585.6--0.597312000000093</f>
        <v>4597.2060619999993</v>
      </c>
      <c r="AC166" s="3">
        <f>3981.9+(1581.9-298.2)+(-10.153845+(-4.033845--0.76041))+0-746.7--1.90408499999989</f>
        <v>4507.3768050000008</v>
      </c>
      <c r="AD166">
        <v>4491.3</v>
      </c>
      <c r="AE166" s="3">
        <f>4215+(1249-315)+(0+(0-0))+0-657.7-0</f>
        <v>4491.3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3501.3+(2164.8-288.6)+(-7.142652+(-4.416192--0.588744))+0-644--1.31375999999997</f>
        <v>4723.8436600000005</v>
      </c>
      <c r="G167" s="3">
        <f>3025.7+(2585.1-278.7)+(-7.715535+(-6.592005--0.710685))+0-689.1--1.7572049999999</f>
        <v>4631.1603500000001</v>
      </c>
      <c r="H167" s="3">
        <f>2895.8+(2568.8-271.9)+(-5.907432+(-5.240352--0.554676))+0-671.7--1.37026799999997</f>
        <v>4511.7771600000005</v>
      </c>
      <c r="I167" s="3">
        <f>2865.9+(2523.7-271.2)+(-1.461609+(-1.287087--0.138312))+0-702.6--0.358325999999929</f>
        <v>4413.5479419999992</v>
      </c>
      <c r="J167" s="3">
        <f>2922.9+(2271.2-264.2)+(0+(0-0))+0-630.1-0</f>
        <v>4299.7999999999993</v>
      </c>
      <c r="K167" s="3">
        <f>3024.7+(2030.3-279.7)+(4.627791+(3.106359-0.427941))+0-583.1-0.892143000000034</f>
        <v>4198.6140659999992</v>
      </c>
      <c r="L167" s="3">
        <f>2787.5+(2122.5-279.5)+(-8.52975+(-6.49485--0.85527))+0-656.1--2.00766600000008</f>
        <v>3962.2383360000003</v>
      </c>
      <c r="M167" s="3">
        <f>2821.4+(1824.1-285.7)+(2.877828+(1.860582-0.291414))+0-627.3-0.6398460000001</f>
        <v>3736.3071499999996</v>
      </c>
      <c r="N167" s="3">
        <f>3124.3+(1566.4-293.9)+(4.780179+(2.396592-0.449667))+0-678.1-1.03749300000004</f>
        <v>3724.3896110000001</v>
      </c>
      <c r="O167" s="3">
        <f>3180.1+(1448.9-302.6)+(1.621851+(0.738939-0.154326))+0-561.4-0.286313999999943</f>
        <v>3766.9201499999995</v>
      </c>
      <c r="P167" s="3">
        <f>3231.9+(1604.1-284.4)+(1.648269+(0.818091-0.145044))+0-634-0.323339999999936</f>
        <v>3919.597976</v>
      </c>
      <c r="Q167" s="3">
        <f>3401.1+(1578.6-272.1)+(0+(0-0))+0-496.5-0</f>
        <v>4211.1000000000004</v>
      </c>
      <c r="R167" s="3">
        <f>3583.3+(1652.9-294.1)+(0+(0-0))+11.9-487.5-0</f>
        <v>4466.5</v>
      </c>
      <c r="S167" s="3">
        <f>3742.3+(2055.4-309.2)+(-5.725719+(-3.144762--0.473076))+0-625.5--0.957015000000036</f>
        <v>4855.5596100000002</v>
      </c>
      <c r="T167" s="3">
        <f>4155.6+(1864.6-341.1)+(2.119356+(0.950946-0.173961))+0-563.6-0.287435999999943</f>
        <v>5118.108905</v>
      </c>
      <c r="U167" s="3">
        <f>4370.3+(1744.6-315.9)+(-6.686559+(-2.669238--0.483327))+0-641--0.980730000000037</f>
        <v>5150.10826</v>
      </c>
      <c r="V167" s="3">
        <f>4154+(1728.3-291.8)+(-8.47416+(-3.525732--0.595272))+0-513.2--1.04692799999998</f>
        <v>5066.9423079999997</v>
      </c>
      <c r="W167" s="3">
        <f>4047.7+(1509.9-341.9)+(-10.321635+(-3.850245--0.871845))+0-455.7--1.16203499999993</f>
        <v>4747.8620000000001</v>
      </c>
      <c r="X167" s="3">
        <f>3438.1+(1731.5-319.3)+(-12.274017+(-6.181455--1.139901))+0-597.6--2.13343200000001</f>
        <v>4237.5178609999994</v>
      </c>
      <c r="Y167" s="3">
        <f>3731.1+(1216.6-396.9)+(-3.805722+(-1.240932--0.404838))+8.8-580.2--0.591804000000093</f>
        <v>3975.3499880000004</v>
      </c>
      <c r="Z167" s="3">
        <f>4487.6+(939.9-393.9)+(-2.288676+(-0.479349--0.200889))+0-564.7--0.287996999999943</f>
        <v>4466.6208610000012</v>
      </c>
      <c r="AA167" s="3">
        <f>4247.6+(1414.5-300.6)+(-15.163932+(-5.049765--1.073142))+0-694.1--2.47793700000001</f>
        <v>4650.7373819999993</v>
      </c>
      <c r="AB167" s="3">
        <f>4117.3+(1489.9-290.8)+(-4.199646+(-1.519698--0.296616))+0-621.7--0.634134000000099</f>
        <v>4689.9114060000011</v>
      </c>
      <c r="AC167" s="3">
        <f>4036.1+(1659.4-261)+(-4.116822+(-1.692588--0.26622))+0-706.7--0.720834000000113</f>
        <v>4722.9776439999996</v>
      </c>
      <c r="AD167">
        <v>4856.5999999999995</v>
      </c>
      <c r="AE167" s="3">
        <f>4670+(1087.2-305.3)+(0+(0-0))+0-595.3-0</f>
        <v>4856.5999999999995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3727.5+(1969.2-267.8)+(-3.80205+(-2.008584--0.273156))+0-666.9--0.680238000000106</f>
        <v>4757.1427599999997</v>
      </c>
      <c r="G168" s="3">
        <f>3454.2+(2126.6-271.9)+(0+(0-0))+0-602.9-0</f>
        <v>4706</v>
      </c>
      <c r="H168" s="3">
        <f>3408.8+(2085.5-276.3)+(-1.738488+(-1.063605--0.140913))+0-627.1--0.319820999999936</f>
        <v>4588.5586409999996</v>
      </c>
      <c r="I168" s="3">
        <f>3213.4+(2218.1-281.1)+(-4.916502+(-3.393693--0.430083))+0-679.7--1.03994100000004</f>
        <v>4463.859829</v>
      </c>
      <c r="J168" s="3">
        <f>3187.7+(2061.9-268.7)+(-3.251454+(-2.103138--0.274074))+0-634.4--0.647088000000101</f>
        <v>4342.06657</v>
      </c>
      <c r="K168" s="3">
        <f>3195.1+(2032.1-281.4)+(-3.259002+(-2.072742--0.287028))+0-718.8--0.733176000000115</f>
        <v>4222.6884599999985</v>
      </c>
      <c r="L168" s="3">
        <f>2981.3+(1909.4-271.1)+(-6.081852+(-3.895176--0.553044))+0-611.9--1.24827599999997</f>
        <v>3999.5242920000001</v>
      </c>
      <c r="M168" s="3">
        <f>3024.9+(1576.6-280.4)+(3.085398+(1.608132-0.286008))+0-581-0.592620000000093</f>
        <v>3743.9149020000009</v>
      </c>
      <c r="N168" s="3">
        <f>3085.5+(1623.6-308.2)+(3.14721+(1.656072-0.314364))+0-703.5-0.717570000000112</f>
        <v>3701.1713479999994</v>
      </c>
      <c r="O168" s="3">
        <f>3227+(1410.8-406.5)+(0+(0-0))+0-533.3-0</f>
        <v>3698</v>
      </c>
      <c r="P168" s="3">
        <f>3390.2+(1472.8-374.5)+(-3.458004+(-1.502256--0.38199))+0-620.8--0.633216000000099</f>
        <v>3863.754946</v>
      </c>
      <c r="Q168" s="3">
        <f>3682.5+(1176.8-368.8)+(1.878075+(0.600168-0.188088))+0-535.8-0.273257999999946</f>
        <v>3956.7168969999993</v>
      </c>
      <c r="R168" s="3">
        <f>4311.8+(909.1-306.7)+(-2.199018+(-0.463641--0.156417))+0-518.4--0.264383999999947</f>
        <v>4393.5581420000008</v>
      </c>
      <c r="S168" s="3">
        <f>4353.4+(1325.4-294.1)+(-4.440468+(-1.351908--0.299982))+0-587--0.598740000000094</f>
        <v>4792.8063460000003</v>
      </c>
      <c r="T168" s="3">
        <f>4973.5+(1002.3-302)+(2.536485+(0.511173-0.15402))+0-637.6-0.325175999999935</f>
        <v>5038.7684619999991</v>
      </c>
      <c r="U168" s="3">
        <f>5343.2+(863.3-323.4)+(-5.450064+(-0.880566--0.329868))+0-605--0.617100000000096</f>
        <v>5272.7163380000002</v>
      </c>
      <c r="V168" s="3">
        <f>5017.5+(932.9-308.1)+(-2.558925+(-0.475779--0.157131))+0-626.8--0.319667999999936</f>
        <v>5012.9420950000003</v>
      </c>
      <c r="W168" s="3">
        <f>3831.8+(1730-302.8)+(-5.862654+(-2.6469--0.463284))+0-570.2--0.872406000000033</f>
        <v>4681.6261360000008</v>
      </c>
      <c r="X168" s="3">
        <f>3233.4+(1888.5-283.8)+(-4.947102+(-2.889405--0.434214))+0-648.5--0.992205000000038</f>
        <v>4183.1899120000007</v>
      </c>
      <c r="Y168" s="3">
        <f>3379.8+(1430.7-312.6)+(-3.447396+(-1.459314--0.318852))+0-588.6--0.600372000000094</f>
        <v>3905.3125139999997</v>
      </c>
      <c r="Z168" s="3">
        <f>4184.2+(1156-330.1)+(-2.133942+(-0.58956--0.168351))+0-615.9--0.314108999999938</f>
        <v>4391.9589580000002</v>
      </c>
      <c r="AA168" s="3">
        <f>4236.5+(1382.1-337.5)+(-8.64246+(-2.819484--0.6885))+0-656.2--1.33864799999997</f>
        <v>4615.4652040000001</v>
      </c>
      <c r="AB168" s="3">
        <f>3992.1+(1601.2-328.1)+(-12.215826+(-4.899672--1.003986))+0-675--2.06550000000008</f>
        <v>4576.1539879999991</v>
      </c>
      <c r="AC168" s="3">
        <f>4058.4+(1609.3-337.1)+(-2.069784+(-0.820743--0.171921))+0-650--0.331499999999934</f>
        <v>4678.2128940000002</v>
      </c>
      <c r="AD168">
        <v>4779.3</v>
      </c>
      <c r="AE168" s="3">
        <f>4316+(1447-345.5)+(0+(0-0))+0-638.2-0</f>
        <v>4779.3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3724.8+(1939.4-322.5)+(-1.899648+(-0.989094--0.164475))+0-616.9--0.314618999999937</f>
        <v>4722.3903520000013</v>
      </c>
      <c r="G169" s="3">
        <f>3141.5+(2546.3-312.8)+(-4.806495+(-3.895839--0.478584))+0-703.5--1.07635500000004</f>
        <v>4664.352605</v>
      </c>
      <c r="H169" s="3">
        <f>3189.8+(2238.5-290.8)+(-1.626798+(-1.141635--0.148308))+0-614.2--0.313241999999938</f>
        <v>4520.993117</v>
      </c>
      <c r="I169" s="3">
        <f>3113.1+(2213.9-291.4)+(-3.175362+(-2.258178--0.297228))+0-657.8--0.670956000000105</f>
        <v>4373.3346440000005</v>
      </c>
      <c r="J169" s="3">
        <f>3094.1+(2128.4-279.6)+(4.733973+(3.256452-0.427788))+0-623.8-0.954414000000036</f>
        <v>4325.7082229999996</v>
      </c>
      <c r="K169" s="3">
        <f>3010.1+(2059.2-289.7)+(0+(0-0))+0-631.1-0</f>
        <v>4148.4999999999991</v>
      </c>
      <c r="L169" s="3">
        <f>2817.1+(1985.1-257)+(-8.620326+(-6.074406--0.78642))+0-598--1.82988000000007</f>
        <v>3935.1215680000005</v>
      </c>
      <c r="M169" s="3">
        <f>2964.5+(1723.6-309.2)+(1.511895+(0.879036-0.157692))+0-706.4-0.360263999999928</f>
        <v>3674.3729749999998</v>
      </c>
      <c r="N169" s="3">
        <f>2972.1+(1527.3-259.2)+(-1.515771+(-0.778923--0.132192))+0-529.9--0.270248999999946</f>
        <v>3708.4077469999997</v>
      </c>
      <c r="O169" s="3">
        <f>2900.3+(1710.4-286.9)+(1.479153+(0.872304-0.146319))+0-629.8-0.321197999999936</f>
        <v>3695.8839400000002</v>
      </c>
      <c r="P169" s="3">
        <f>3271.4+(1479.8-287)+(1.668414+(0.754698-0.14637))+0-502-0.256019999999949</f>
        <v>3964.220722</v>
      </c>
      <c r="Q169" s="3">
        <f>3946.1+(1062.6-334.1)+(6.037533+(1.625778-0.511173))+0-512-0.78336000000003</f>
        <v>4168.9687779999995</v>
      </c>
      <c r="R169" s="3">
        <f>4599.6+(817.7-401.6)+(-7.037388+(-1.251081--0.614448))+0-622.6--0.952578000000036</f>
        <v>4386.3785570000009</v>
      </c>
      <c r="S169" s="3">
        <f>4270.7+(1195.2-324.4)+(0+(0-0))+0-412.7-0</f>
        <v>4728.8</v>
      </c>
      <c r="T169" s="3">
        <f>4923.9+(1140.7-378)+(-2.511189+(-0.581757--0.19278))+0-522.8--0.266627999999947</f>
        <v>5161.1664619999992</v>
      </c>
      <c r="U169" s="3">
        <f>5145.4+(1117.9-396.4)+(5.248308+(1.140258-0.404328))+0-627.6-0.6401520000001</f>
        <v>5244.6440859999993</v>
      </c>
      <c r="V169" s="3">
        <f>4835.9+(1107.4-329)+(0+(0-0))+0-466.6-0</f>
        <v>5147.6999999999989</v>
      </c>
      <c r="W169" s="3">
        <f>3911.4+(1621.2-302.5)+(-7.979256+(-3.307248--0.6171))+0-563.7--1.14994799999998</f>
        <v>4656.8805440000006</v>
      </c>
      <c r="X169" s="3">
        <f>3110.9+(1922-286.9)+(-4.759677+(-2.94066--0.438957))+0-500--0.765000000000029</f>
        <v>4239.5036200000004</v>
      </c>
      <c r="Y169" s="3">
        <f>3237.5+(1646.9-294.2)+(1.651125+(0.839919-0.150042))+0-637.5-0.325124999999935</f>
        <v>3954.7158770000001</v>
      </c>
      <c r="Z169" s="3">
        <f>3764.1+(1595.8-303.9)+(-3.839382+(-1.627716--0.309978))+0-587.8--0.599556000000094</f>
        <v>4463.6424360000001</v>
      </c>
      <c r="AA169" s="3">
        <f>3945.3+(1542.6-308.5)+(-10.060515+(-3.93363--0.786675))+0-546.4--1.39331999999992</f>
        <v>4621.1858499999998</v>
      </c>
      <c r="AB169" s="3">
        <f>3726.4+(1974.5-306.1)+(-5.701392+(-3.020985--0.468333))+0-698.4--1.06855200000004</f>
        <v>4689.214508</v>
      </c>
      <c r="AC169" s="3">
        <f>3559.6+(2125.3-313.2)+(-3.630792+(-2.167806--0.319464))+0-601.9--0.613938000000096</f>
        <v>4764.9348040000004</v>
      </c>
      <c r="AD169">
        <v>4589.9999999999991</v>
      </c>
      <c r="AE169" s="3">
        <f>3944+(1483.9-320.6)+(0+(0-0))+0-517.3-0</f>
        <v>4590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3318.7+(2525.2-263)+(-5.077611+(-3.863556--0.40239))+0-535--0.818550000000031</f>
        <v>5038.1797729999998</v>
      </c>
      <c r="G170" s="3">
        <f>3144.1+(2554.7-277.4)+(-4.810473+(-3.908691--0.424422))+0-621.9--0.951507000000036</f>
        <v>4792.1567649999997</v>
      </c>
      <c r="H170" s="3">
        <f>3081.4+(2445.2-282.9)+(-3.143028+(-2.494104--0.288558))+0-606.6--0.618732000000097</f>
        <v>4632.3701579999997</v>
      </c>
      <c r="I170" s="3">
        <f>3001+(2454.1-287.8)+(-4.59153+(-3.754773--0.440334))+0-640.5--0.979965000000037</f>
        <v>4519.8739959999994</v>
      </c>
      <c r="J170" s="3">
        <f>2895.1+(2351.6-278.4)+(1.476501+(1.199316-0.141984))+0-575.3-0.293402999999942</f>
        <v>4395.2404299999998</v>
      </c>
      <c r="K170" s="3">
        <f>2943.5+(2219.9-278.5)+(3.00237+(2.264298-0.28407))+0-601.1-0.613122000000096</f>
        <v>4288.1694759999991</v>
      </c>
      <c r="L170" s="3">
        <f>2809.6+(2218.8-275.1)+(-1.432896+(-1.131588--0.140301))+0-686.5--0.35011499999993</f>
        <v>4064.7259319999998</v>
      </c>
      <c r="M170" s="3">
        <f>2842.2+(1698.9-286.7)+(-2.899044+(-1.732878--0.292434))+0-529.6--0.540192000000084</f>
        <v>3721.000704</v>
      </c>
      <c r="N170" s="3">
        <f>3093.2+(1543.3-307.9)+(-3.155064+(-1.574166--0.314058))+0-692.5--0.70635000000011</f>
        <v>3632.3911780000003</v>
      </c>
      <c r="O170" s="3">
        <f>3138.2+(1418.6-315.2)+(1.600482+(0.723486-0.160752))+0-522.6-0.266525999999947</f>
        <v>3720.8966899999996</v>
      </c>
      <c r="P170" s="3">
        <f>3347+(1240.4-278.5)+(3.41394+(1.265208-0.28407))+0-517.1-0.527442000000082</f>
        <v>3795.6676359999992</v>
      </c>
      <c r="Q170" s="3">
        <f>3795.9+(1025.9-282.9)+(0+(0-0))+0-510-0</f>
        <v>4028.9000000000005</v>
      </c>
      <c r="R170" s="3">
        <f>4666.2+(826.7-357.3)+(2.379762+(0.421617-0.182223))+0-652.8-0.332927999999934</f>
        <v>4485.0862279999992</v>
      </c>
      <c r="S170" s="3">
        <f>4270.6+(1354.7-323.4)+(-8.712024+(-2.763588--0.659736))+0-442.2--0.902087999999981</f>
        <v>4849.7862120000009</v>
      </c>
      <c r="T170" s="3">
        <f>4780.6+(1262.1-362.7)+(2.438106+(0.643671-0.184977))+0-536.8-0.273767999999946</f>
        <v>5145.8230320000002</v>
      </c>
      <c r="U170" s="3">
        <f>4660.5+(1329.4-335.5)+(-7.130565+(-2.033982--0.513315))+0-528--0.807840000000031</f>
        <v>5118.5566079999999</v>
      </c>
      <c r="V170" s="3">
        <f>4613.5+(1387.2-284.1)+(-2.352885+(-0.707472--0.144891))+0-602.7--0.307376999999939</f>
        <v>5111.2919110000003</v>
      </c>
      <c r="W170" s="3">
        <f>4317.3+(1229.1-292.8)+(-6.605469+(-1.880523--0.447984))+0-495.6--0.758268000000029</f>
        <v>4750.7202599999991</v>
      </c>
      <c r="X170" s="3">
        <f>3479.8+(1407.8-273.2)+(-3.549396+(-1.435956--0.278664))+0-425.9--0.434418000000068</f>
        <v>4184.2277299999996</v>
      </c>
      <c r="Y170" s="3">
        <f>3808.5+(1021.1-303)+(0+(0-0))+0-590.5-0</f>
        <v>3936.1000000000004</v>
      </c>
      <c r="Z170" s="3">
        <f>4409.6+(906.1-318.1)+(0+(0-0))+0-539.7-0</f>
        <v>4457.9000000000005</v>
      </c>
      <c r="AA170" s="3">
        <f>4224+(1328-301.8)+(-10.7712+(-3.3864--0.76959))+0-637.3--1.62511499999991</f>
        <v>4601.1371049999998</v>
      </c>
      <c r="AB170" s="3">
        <f>4222.4+(1320.5-296.3)+(-10.76712+(-3.367275--0.755565))+0-576.5--1.47007499999992</f>
        <v>4658.191245</v>
      </c>
      <c r="AC170" s="3">
        <f>4253.8+(1331.8-293.8)+(-6.508314+(-2.037654--0.449514))+0-588--0.899640000000034</f>
        <v>4696.6031859999994</v>
      </c>
      <c r="AD170">
        <v>4642.8</v>
      </c>
      <c r="AE170" s="3">
        <f>4465+(997.8-306.1)+(0+(0-0))+0-513.9-0</f>
        <v>4642.8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3949.2+(1751.3-289.2)+(-8.056368+(-3.572652--0.589968))+0-648.3--1.32253199999997</f>
        <v>4753.2834799999991</v>
      </c>
      <c r="G171" s="3">
        <f>3266.3+(2253.7-291.9)+(-4.997439+(-3.448161--0.446607))+0-619.1--0.947223000000036</f>
        <v>4601.94823</v>
      </c>
      <c r="H171" s="3">
        <f>3087.1+(2226.1-287.1)+(-1.574421+(-1.135311--0.146421))+0-565.1--0.288200999999943</f>
        <v>4458.7248900000004</v>
      </c>
      <c r="I171" s="3">
        <f>2993.6+(2287.4-286)+(-6.106944+(-4.666296--0.58344))+0-672.1--1.37108399999997</f>
        <v>4314.0812839999999</v>
      </c>
      <c r="J171" s="3">
        <f>3009.5+(2059.2-281.5)+(-3.06969+(-2.100384--0.28713))+0-487.3--0.497046000000078</f>
        <v>4295.5141020000001</v>
      </c>
      <c r="K171" s="3">
        <f>3162.1+(1877-280.2)+(1.612671+(0.95727-0.142902))+0-696.6-0.355265999999929</f>
        <v>4064.3717729999998</v>
      </c>
      <c r="L171" s="3">
        <f>2982.6+(1768.6-276.5)+(-10.647882+(-6.313902--0.987105))+0-371.4--1.32589800000001</f>
        <v>4088.6512189999999</v>
      </c>
      <c r="M171" s="3">
        <f>2983.4+(1525-286.6)+(3.043068+(1.5555-0.292332))+0-596.5-0.608430000000095</f>
        <v>3628.9978060000003</v>
      </c>
      <c r="N171" s="3">
        <f>3122+(1300.1-286.3)+(-1.59222+(-0.663051--0.146013))+0-629.6--0.321095999999936</f>
        <v>3504.411838</v>
      </c>
      <c r="O171" s="3">
        <f>3265.4+(1263.8-318.7)+(0+(0-0))+0-585-0</f>
        <v>3625.5</v>
      </c>
      <c r="P171" s="3">
        <f>3313+(1123.7-320.6)+(-1.68963+(-0.573087--0.163506))+0-418--0.213179999999958</f>
        <v>3696.2139690000004</v>
      </c>
      <c r="Q171" s="3">
        <f>3777.5+(922.3-324.2)+(-1.926525+(-0.470373--0.165342))+0-573.5--0.292484999999942</f>
        <v>3800.1609290000006</v>
      </c>
      <c r="R171" s="3">
        <f>4346.5+(845.7-334.3)+(-2.216715+(-0.431307--0.170493))+0-595.4--0.30365399999994</f>
        <v>4260.3261250000005</v>
      </c>
      <c r="S171" s="3">
        <f>4398.2+(1165.7-308.5)+(-6.729246+(-1.783521--0.472005))+0-590.4--0.903312000000034</f>
        <v>4657.8625500000007</v>
      </c>
      <c r="T171" s="3">
        <f>4966.3+(929.4-365.3)+(-7.598439+(-1.421982--0.558909))+0-611--0.934830000000035</f>
        <v>4911.8733179999999</v>
      </c>
      <c r="U171" s="3">
        <f>4979+(961.6-336.9)+(-12.69645+(-2.45208--0.859095))+0-584.7--1.49098499999992</f>
        <v>5006.2015500000007</v>
      </c>
      <c r="V171" s="3">
        <f>4583.4+(1166.9-310.8)+(-9.350136+(-2.380476--0.634032))+0-585.3--1.19401199999997</f>
        <v>4844.2974319999994</v>
      </c>
      <c r="W171" s="3">
        <f>3608.4+(1737.8-322.6)+(-11.041704+(-5.317668--0.987156))+0-533.5--1.63251000000006</f>
        <v>4476.360294000001</v>
      </c>
      <c r="X171" s="3">
        <f>3100.6+(1771.6-321.7)+(-11.069142+(-6.324612--1.148469))+0-499.4--1.78285800000001</f>
        <v>4036.637573</v>
      </c>
      <c r="Y171" s="3">
        <f>3406.3+(1133.4-315.7)+(-1.737213+(-0.578034--0.161007))+0-475.9--0.242708999999952</f>
        <v>3746.1884690000002</v>
      </c>
      <c r="Z171" s="3">
        <f>4327.9+(782.2-317.5)+(-8.828916+(-1.595688--0.6477))+0-520.6--1.06202399999998</f>
        <v>4263.2851199999986</v>
      </c>
      <c r="AA171" s="3">
        <f>4365.7+(967.2-314.6)+(-13.359042+(-2.959632--0.962676))+0-568.1--1.73838600000007</f>
        <v>4436.5823879999998</v>
      </c>
      <c r="AB171" s="3">
        <f>4424.3+(1024.7-304)+(-11.281965+(-2.612985--0.7752))+0-569.4--1.45196999999992</f>
        <v>4563.9322200000006</v>
      </c>
      <c r="AC171" s="3">
        <f>4471.3+(1058.4-321.4)+(-4.560726+(-1.079568--0.327828))+0-610.6--0.622812000000097</f>
        <v>4593.010346</v>
      </c>
      <c r="AD171">
        <v>4437.3999999999996</v>
      </c>
      <c r="AE171" s="3">
        <f>4332+(854.2-234)+(0+(0-0))+0-514.8-0</f>
        <v>4437.3999999999996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4155.5+(1419.5-288.7)+(-4.23861+(-1.44789--0.294474))+0-670.1--0.683502000000107</f>
        <v>4611.4914759999992</v>
      </c>
      <c r="G172" s="3">
        <f>3433.4+(2063.5-284.3)+(-5.253102+(-3.157155--0.434979))+0-499.1--0.763623000000029</f>
        <v>4706.2883449999999</v>
      </c>
      <c r="H172" s="3">
        <f>3319.7+(2026.7-279.8)+(-1.693047+(-1.033617--0.142698))+0-577.1--0.294320999999941</f>
        <v>4487.2103550000002</v>
      </c>
      <c r="I172" s="3">
        <f>3333.8+(1915-278.1)+(-3.400476+(-1.9533--0.283662))+0-642.5--0.655350000000102</f>
        <v>4323.7852360000006</v>
      </c>
      <c r="J172" s="3">
        <f>3371.7+(1781-285.9)+(1.719567+(0.90831-0.145809))+0-467.4-0.238373999999953</f>
        <v>4401.6436940000003</v>
      </c>
      <c r="K172" s="3">
        <f>3356.9+(1692.4-292.5)+(-8.560095+(-4.31562--0.745875))+0-686.6--1.7508299999999</f>
        <v>4059.8209900000006</v>
      </c>
      <c r="L172" s="3">
        <f>3282.8+(1471-290)+(-6.696912+(-3.00084--0.5916))+0-623.4--1.27173599999997</f>
        <v>3832.5655839999999</v>
      </c>
      <c r="M172" s="3">
        <f>2996.8+(1516.2-391.9)+(-1.528368+(-0.773262--0.199869))+0-548.4--0.279683999999944</f>
        <v>3570.8779230000005</v>
      </c>
      <c r="N172" s="3">
        <f>3216.8+(1204-555.5)+(1.640568+(0.61404-0.283305))+0-483.4-0.246533999999951</f>
        <v>3383.624769</v>
      </c>
      <c r="O172" s="3">
        <f>3309.6+(1228.3-578.1)+(3.375792+(1.252866-0.589662))+0-570.8-0.582216000000091</f>
        <v>3392.45678</v>
      </c>
      <c r="P172" s="3">
        <f>3366.3+(1013.2-508.9)+(1.716813+(0.516732-0.259539))+0-431-0.219809999999956</f>
        <v>3441.3541960000002</v>
      </c>
      <c r="Q172" s="3">
        <f>3837.2+(813.7-400.1)+(3.913944+(0.829974-0.408102))+0-614.3-0.626586000000098</f>
        <v>3640.2092299999995</v>
      </c>
      <c r="R172" s="3">
        <f>4275.2+(569.1-351.7)+(0+(0-0))+0-510.5-0</f>
        <v>3982.0999999999995</v>
      </c>
      <c r="S172" s="3">
        <f>4284.7+(943.4-297)+(-10.925985+(-2.40567--0.75735))+0-439.1--1.11970499999994</f>
        <v>4480.5453999999991</v>
      </c>
      <c r="T172" s="3">
        <f>4535.5+(974.5-290.3)+(4.62621+(0.99399-0.296106))+0-540.1-0.550902000000086</f>
        <v>4684.3731919999991</v>
      </c>
      <c r="U172" s="3">
        <f>4637.2+(1091.9-287.7)+(-4.729944+(-1.113738--0.293454))+0-611.3--0.623526000000097</f>
        <v>4825.1732979999997</v>
      </c>
      <c r="V172" s="3">
        <f>4088.3+(1431-279.5)+(-14.595231+(-5.10867--0.997815))+0-469.6--1.67647200000001</f>
        <v>4753.1703859999998</v>
      </c>
      <c r="W172" s="3">
        <f>3405+(1761.7-255.1)+(-8.68275+(-4.492335--0.650505))+0-516.6--1.31732999999993</f>
        <v>4383.7927499999996</v>
      </c>
      <c r="X172" s="3">
        <f>3117.4+(1531.7-287.7)+(-4.769622+(-2.343501--0.440181))+0-498.4--0.762552000000029</f>
        <v>3857.0896099999995</v>
      </c>
      <c r="Y172" s="3">
        <f>3515.6+(1110.8-397.1)+(-1.792956+(-0.566508--0.202521))+0-550.6--0.280805999999944</f>
        <v>3676.8238630000001</v>
      </c>
      <c r="Z172" s="3">
        <f>4330.9+(891.9-557.4)+(-11.043795+(-2.274345--1.42137))+0-579.9--1.47874499999992</f>
        <v>4075.0819749999991</v>
      </c>
      <c r="AA172" s="3">
        <f>4312+(1051.1-478)+(-6.59736+(-1.608183--0.73134))+0-544.4--0.832932000000031</f>
        <v>4334.0587290000012</v>
      </c>
      <c r="AB172" s="3">
        <f>4336.6+(834.5-400.2)+(-11.05833+(-2.127975--1.02051))+0-516.7--1.31758499999993</f>
        <v>4243.3517900000006</v>
      </c>
      <c r="AC172" s="3">
        <f>4123.9+(1126.6-296.3)+(0+(0-0))+0-572.1-0</f>
        <v>4382.0999999999995</v>
      </c>
      <c r="AD172">
        <v>4053.6</v>
      </c>
      <c r="AE172" s="3">
        <f>4301+(918.2-529.7)+(0+(0-0))+0-635.9-0</f>
        <v>4053.6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4001.5+(1338.6-267.6)+(2.040765+(0.682686-0.136476))+0-582.9-0.297278999999941</f>
        <v>4491.8896960000002</v>
      </c>
      <c r="G173" s="3">
        <f>3679+(1538.4-270.6)+(-5.62887+(-2.353752--0.414018))+0-468.9--0.717417000000027</f>
        <v>4471.0488130000003</v>
      </c>
      <c r="H173" s="3">
        <f>3586.4+(1646.1-254.8)+(5.487192+(2.518533-0.389844))+0-631.8-0.966654000000036</f>
        <v>4352.5492269999995</v>
      </c>
      <c r="I173" s="3">
        <f>3287.4+(1655.6-262.7)+(-3.353148+(-1.688712--0.267954))+0-478.3--0.487866000000076</f>
        <v>4197.71396</v>
      </c>
      <c r="J173" s="3">
        <f>3263.2+(1591.7-240.5)+(1.664232+(0.811767-0.122655))+0-523.4-0.266933999999947</f>
        <v>4093.0864099999999</v>
      </c>
      <c r="K173" s="3">
        <f>3205+(1577.9-247.5)+(-3.2691+(-1.609458--0.25245))+0-566--0.57732000000009</f>
        <v>3965.3512119999991</v>
      </c>
      <c r="L173" s="3">
        <f>3014.4+(1539.4-243.5)+(-3.074688+(-1.570188--0.24837))+0-527.9--0.538458000000084</f>
        <v>3778.541952</v>
      </c>
      <c r="M173" s="3">
        <f>2861.5+(1460.3-261.1)+(-2.91873+(-1.489506--0.266322))+0-609.7--0.621894000000097</f>
        <v>3447.4799800000001</v>
      </c>
      <c r="N173" s="3">
        <f>2935.2+(1076.7-250)+(-5.987808+(-2.196468--0.51))+0-469.5--0.95777999999998</f>
        <v>3285.6835039999996</v>
      </c>
      <c r="O173" s="3">
        <f>3041.6+(897.1-285.8)+(4.653648+(1.372563-0.437274))+0-415.4-0.635562000000024</f>
        <v>3242.4533749999996</v>
      </c>
      <c r="P173" s="3">
        <f>2988.2+(938.8-269)+(-4.571946+(-1.436364--0.41157))+0-386.7--0.591651000000022</f>
        <v>3266.2949110000004</v>
      </c>
      <c r="Q173" s="3">
        <f>3282.8+(909.8-281.8)+(-1.674228+(-0.463998--0.143718))+0-454.9--0.231998999999954</f>
        <v>3454.137491</v>
      </c>
      <c r="R173" s="3">
        <f>3606.5+(892-285.1)+(-7.35726+(-1.81968--0.581604))+0-373.3--0.761531999999984</f>
        <v>3832.2661959999991</v>
      </c>
      <c r="S173" s="3">
        <f>4203+(830.6-279)+(0+(0-0))+0-650.2-0</f>
        <v>4104.4000000000005</v>
      </c>
      <c r="T173" s="3">
        <f>4256.4+(919.4-91.1)+(-4.341528+(-0.937788--0.092922))+0-611.9--0.624138000000098</f>
        <v>4468.237744</v>
      </c>
      <c r="U173" s="3">
        <f>4287.3+(1043-86.5)+(-4.373046+(-1.06386--0.08823))+0-588--0.599760000000094</f>
        <v>4651.0510840000006</v>
      </c>
      <c r="V173" s="3">
        <f>4261.5+(1132.9-228.3)+(-4.34673+(-1.155558--0.232866))+0-379.5--0.387090000000061</f>
        <v>4781.7176680000002</v>
      </c>
      <c r="W173" s="3">
        <f>3792.1+(1201.5-267.1)+(-7.735884+(-2.45106--0.544884))+0-486.3--0.992051999999979</f>
        <v>4231.5499919999993</v>
      </c>
      <c r="X173" s="3">
        <f>3275.1+(1257.1-242.9)+(-5.010903+(-1.923363--0.371637))+0-577--0.882810000000033</f>
        <v>3706.6201810000002</v>
      </c>
      <c r="Y173" s="3">
        <f>3668.2+(777.5-314.8)+(-1.870782+(-0.396525--0.160548))+0-546.5--0.278714999999945</f>
        <v>3582.5719559999993</v>
      </c>
      <c r="Z173" s="3">
        <f>4366.2+(763-429)+(-8.907048+(-1.55652--0.87516))+0-648.1--1.32212399999997</f>
        <v>4043.8337160000001</v>
      </c>
      <c r="AA173" s="3">
        <f>4436.6+(724.8-354.5)+(-15.838662+(-2.587536--1.265565))+0-448.6--1.60150200000001</f>
        <v>4342.7408690000002</v>
      </c>
      <c r="AB173" s="3">
        <f>4567.5+(626.2-436.1)+(4.65885+(0.638724-0.444822))+0-486.7-0.496434000000078</f>
        <v>4275.2563180000006</v>
      </c>
      <c r="AC173" s="3">
        <f>4595.8+(804.2-333)+(-2.343858+(-0.410142--0.16983))+0-632.4--0.322523999999936</f>
        <v>4432.3383540000004</v>
      </c>
      <c r="AD173">
        <v>4181.5</v>
      </c>
      <c r="AE173" s="3">
        <f>4509+(670.2-418.2)+(0+(0-0))+0-579.5-0</f>
        <v>4181.5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4315.5+(1021.5-287.9)+(0+(0-0))+0-563-0</f>
        <v>4486.1000000000004</v>
      </c>
      <c r="G174" s="3">
        <f>3448.3+(1859.3-290.8)+(-1.758633+(-0.948243--0.148308))+0-601.9--0.306968999999939</f>
        <v>4412.6484010000004</v>
      </c>
      <c r="H174" s="3">
        <f>3403.4+(1792.3-289.6)+(0+(0-0))+0-616.5-0</f>
        <v>4289.6000000000004</v>
      </c>
      <c r="I174" s="3">
        <f>3193.2+(1843.3-287.4)+(-6.514128+(-3.760332--0.586296))+0-559--1.14035999999998</f>
        <v>4181.5521960000005</v>
      </c>
      <c r="J174" s="3">
        <f>3044.9+(1933.6-286.8)+(-9.317394+(-5.916816--0.877608))+0-623.7--1.90852200000007</f>
        <v>4055.5519200000003</v>
      </c>
      <c r="K174" s="3">
        <f>2998.3+(1690.5-284.8)+(-3.058266+(-1.72431--0.290496))+0-488.5--0.498270000000078</f>
        <v>3911.5061900000001</v>
      </c>
      <c r="L174" s="3">
        <f>2960.8+(1638.7-265.1)+(-7.55004+(-4.178685--0.676005))+0-620.2--1.58150999999991</f>
        <v>3704.7287900000001</v>
      </c>
      <c r="M174" s="3">
        <f>3016.8+(1247.7-291.1)+(-1.538568+(-0.636327--0.148461))+0-542.6--0.276725999999945</f>
        <v>3429.0502920000004</v>
      </c>
      <c r="N174" s="3">
        <f>3137.7+(1057.8-281.9)+(0+(0-0))+0-578.5-0</f>
        <v>3335.1</v>
      </c>
      <c r="O174" s="3">
        <f>3294.2+(946.8-326.1)+(-1.680042+(-0.482868--0.166311))+0-575.8--0.293657999999942</f>
        <v>3337.3970589999994</v>
      </c>
      <c r="P174" s="3">
        <f>3456.7+(884.7-346.3)+(7.051668+(1.804788-0.706452))+0-554.9-1.13199599999998</f>
        <v>3447.2180079999998</v>
      </c>
      <c r="Q174" s="3">
        <f>3905.4+(612.2-372)+(1.991754+(0.312222-0.18972))+0-472.2-0.240821999999952</f>
        <v>3675.2734340000006</v>
      </c>
      <c r="R174" s="3">
        <f>4606.7+(319.6-446.1)+(-4.698834+(-0.325992--0.455022))+0-518.7--0.529074000000083</f>
        <v>3957.4592700000003</v>
      </c>
      <c r="S174" s="3">
        <f>4629.9+(829.9-379.1)+(-9.444996+(-1.692996--0.773364))+0-639.8--1.30519199999997</f>
        <v>4431.8405639999992</v>
      </c>
      <c r="T174" s="3">
        <f>5166.1+(669.1-505.8)+(-2.634711+(-0.341241--0.257958))+0-520.9--0.265658999999947</f>
        <v>4806.047665000001</v>
      </c>
      <c r="U174" s="3">
        <f>5147.3+(760.6-493.8)+(-2.625123+(-0.387906--0.251838))+0-583.8--0.297737999999941</f>
        <v>4827.8365470000008</v>
      </c>
      <c r="V174" s="3">
        <f>4636+(1074.4-356.1)+(-7.09308+(-1.643832--0.544833))+0-585.4--0.895662000000034</f>
        <v>4761.6035830000001</v>
      </c>
      <c r="W174" s="3">
        <f>3595+(1621.3-290.4)+(-9.16725+(-4.134315--0.74052))+0-460--1.17299999999993</f>
        <v>4454.511954999999</v>
      </c>
      <c r="X174" s="3">
        <f>3268.2+(1555.3-269)+(-5.000346+(-2.379609--0.41157))+0-633--0.968490000000037</f>
        <v>3915.5001050000001</v>
      </c>
      <c r="Y174" s="3">
        <f>3272.7+(1341.8-269)+(0+(0-0))+0-613-0</f>
        <v>3732.5</v>
      </c>
      <c r="Z174" s="3">
        <f>3328.7+(1630.4-284.6)+(-8.488185+(-4.15752--0.72573))+0-599.6--1.52897999999991</f>
        <v>4064.5090050000003</v>
      </c>
      <c r="AA174" s="3">
        <f>3543.2+(1644.4-285.5)+(-9.03516+(-4.19322--0.728025))+0-516--1.31579999999993</f>
        <v>4374.9154450000005</v>
      </c>
      <c r="AB174" s="3">
        <f>3677.3+(1450.2-280.8)+(-7.501692+(-2.958408--0.572832))+0-461.6--0.94166399999998</f>
        <v>4376.1543959999999</v>
      </c>
      <c r="AC174" s="3">
        <f>3863.9+(1422.3-285.2)+(0+(0-0))+0-471.9-0</f>
        <v>4529.1000000000004</v>
      </c>
      <c r="AD174">
        <v>4301.3</v>
      </c>
      <c r="AE174" s="3">
        <f>3375+(1786.6-304)+(0+(0-0))+0-556.3-0</f>
        <v>4301.3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3831.1+(1515.9-275.6)+(-9.769305+(-3.865545--0.70278))+0-565.8--1.44278999999992</f>
        <v>4494.1107199999997</v>
      </c>
      <c r="G175" s="3">
        <f>3571.7+(1788.6-287.4)+(-7.286268+(-3.648744--0.586296))+0-475.1--0.969203999999979</f>
        <v>4588.4204879999988</v>
      </c>
      <c r="H175" s="3">
        <f>3286.1+(1923.1-279.6)+(-3.351822+(-1.961562--0.285192))+0-650.6--0.663612000000104</f>
        <v>4274.6354200000005</v>
      </c>
      <c r="I175" s="3">
        <f>3012.3+(2044.3-271.4)+(-7.681365+(-5.212965--0.69207))+0-426.9--1.08859499999994</f>
        <v>4347.1863350000012</v>
      </c>
      <c r="J175" s="3">
        <f>2964+(1986.3-279.8)+(4.53492+(3.039039-0.428094))+0-606.8-0.928404000000035</f>
        <v>4069.917461</v>
      </c>
      <c r="K175" s="3">
        <f>3023.6+(1896.3-286.2)+(4.626108+(2.901339-0.437886))+0-641.4-0.981342000000037</f>
        <v>3998.4082189999995</v>
      </c>
      <c r="L175" s="3">
        <f>2711.5+(1878.8-273.8)+(-2.76573+(-1.916376--0.279276))+0-567--0.57834000000009</f>
        <v>3745.67551</v>
      </c>
      <c r="M175" s="3">
        <f>2713.3+(1586.4-269.7)+(1.383783+(0.809064-0.137547))+0-597.6-0.304775999999939</f>
        <v>3434.1505240000001</v>
      </c>
      <c r="N175" s="3">
        <f>2937.4+(1189.2-259.3)+(-1.498074+(-0.606492--0.132243))+0-484.7--0.247196999999951</f>
        <v>3380.8748740000005</v>
      </c>
      <c r="O175" s="3">
        <f>2918.9+(1268.8-299.3)+(0+(0-0))+0-534.8-0</f>
        <v>3353.6000000000004</v>
      </c>
      <c r="P175" s="3">
        <f>3073+(1223.4-290.6)+(1.56723+(0.623934-0.148206))+0-591.9-0.30186899999994</f>
        <v>3415.6410890000002</v>
      </c>
      <c r="Q175" s="3">
        <f>3360.3+(900.1-315.7)+(1.713753+(0.459051-0.161007))+0-416.6-0.212465999999958</f>
        <v>3529.8993310000005</v>
      </c>
      <c r="R175" s="3">
        <f>3972.7+(851.2-326)+(-2.026077+(-0.434112--0.16626))+0-539.8--0.275297999999945</f>
        <v>3956.0813689999991</v>
      </c>
      <c r="S175" s="3">
        <f>3616.3+(1538.4-329.3)+(-11.065878+(-4.707504--1.007658))+0-340--1.04040000000004</f>
        <v>4471.6746760000005</v>
      </c>
      <c r="T175" s="3">
        <f>4324.7+(1288.7-396.5)+(0+(0-0))+0-607.7-0</f>
        <v>4609.2</v>
      </c>
      <c r="U175" s="3">
        <f>4502.9+(1102.7-440.8)+(-9.185916+(-2.249508--0.899232))+0-398.2--0.812327999999983</f>
        <v>4756.8761359999999</v>
      </c>
      <c r="V175" s="3">
        <f>4378.2+(974.8-334.2)+(0+(0-0))+0-495.4-0</f>
        <v>4523.3999999999996</v>
      </c>
      <c r="W175" s="3">
        <f>3844.2+(1185.4-281.8)+(-5.881626+(-1.813662--0.431154))+0-628.9--0.962217000000036</f>
        <v>4112.5980830000008</v>
      </c>
      <c r="X175" s="3">
        <f>3155.9+(1338.6-301.9)+(0+(0-0))+0-574.7-0</f>
        <v>3617.9000000000005</v>
      </c>
      <c r="Y175" s="3">
        <f>3821.8+(722.6-431.9)+(-1.949118+(-0.368526--0.220269))+0-593.1--0.30248099999994</f>
        <v>3517.6051059999995</v>
      </c>
      <c r="Z175" s="3">
        <f>4607.3+(473.7-503.9)+(-11.748615+(-1.207935--1.284945))+0-546.8--1.39433999999992</f>
        <v>4020.0227350000005</v>
      </c>
      <c r="AA175" s="3">
        <f>4585.9+(657.2-436.7)+(-14.032854+(-2.011032--1.336302))+0-522.4--1.59854400000006</f>
        <v>4270.8909600000006</v>
      </c>
      <c r="AB175" s="3">
        <f>4308.4+(769.2-326.3)+(-6.591852+(-1.176876--0.499239))+0-537.4--0.822222000000031</f>
        <v>4207.4527329999992</v>
      </c>
      <c r="AC175" s="3">
        <f>4087.2+(1195.4-296.1)+(-6.253416+(-1.828962--0.453033))+0-540.7--0.827271000000031</f>
        <v>4438.997926</v>
      </c>
      <c r="AD175">
        <v>4136.7</v>
      </c>
      <c r="AE175" s="3">
        <f>4793+(436.2-497.3)+(0+(0-0))+0-595.2-0</f>
        <v>4136.7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3854.3+(1446.2-285.4)+(-7.862772+(-2.950248--0.582216))+0-544.9--1.11159599999998</f>
        <v>4461.0807920000007</v>
      </c>
      <c r="G176" s="3">
        <f>3364.6+(1963-284.4)+(0+(0-0))+0-656.4-0</f>
        <v>4386.8</v>
      </c>
      <c r="H176" s="3">
        <f>3211.3+(1870.4-286.1)+(0+(0-0))+0-535.7-0</f>
        <v>4259.9000000000005</v>
      </c>
      <c r="I176" s="3">
        <f>3281.7+(1699.8-290.3)+(-1.673667+(-0.866898--0.148053))+0-574.7--0.293096999999942</f>
        <v>4114.4005849999994</v>
      </c>
      <c r="J176" s="3">
        <f>3182.3+(1642.2-278)+(-6.491892+(-3.350088--0.56712))+0-520.8--1.06243199999998</f>
        <v>4017.4875719999995</v>
      </c>
      <c r="K176" s="3">
        <f>3048.5+(1639.7-281.7)+(1.554735+(0.836247-0.143667))+0-548.3-0.279632999999944</f>
        <v>3860.1676819999993</v>
      </c>
      <c r="L176" s="3">
        <f>2902.7+(1625.9-280)+(-7.401885+(-4.146045--0.714))+0-637.8--1.62638999999991</f>
        <v>3601.5924600000003</v>
      </c>
      <c r="M176" s="3">
        <f>2832.8+(1216.8-272)+(-1.444728+(-0.620568--0.13872))+0-558.9--0.285038999999943</f>
        <v>3217.0584630000003</v>
      </c>
      <c r="N176" s="3">
        <f>2919.4+(1011.2-320)+(2.977788+(1.031424-0.3264))+0-490-0.499800000000078</f>
        <v>3123.7830120000003</v>
      </c>
      <c r="O176" s="3">
        <f>2974.9+(1066.7-291)+(-4.551597+(-1.632051--0.44523))+0-540.2--0.826506000000031</f>
        <v>3205.4880880000005</v>
      </c>
      <c r="P176" s="3">
        <f>3145.4+(877.9-313.4)+(-1.604154+(-0.447729--0.159834))+0-482.7--0.246176999999951</f>
        <v>3225.5541280000002</v>
      </c>
      <c r="Q176" s="3">
        <f>3570.9+(697.4-337.1)+(0+(0-0))+0-520.1-0</f>
        <v>3411.1</v>
      </c>
      <c r="R176" s="3">
        <f>3980.9+(592-325.2)+(0+(0-0))+0-540.4-0</f>
        <v>3707.2999999999997</v>
      </c>
      <c r="S176" s="3">
        <f>4141.8+(931.1-335.5)+(-6.336954+(-1.424583--0.513315))+0-476--0.728280000000027</f>
        <v>4254.8800580000006</v>
      </c>
      <c r="T176" s="3">
        <f>4657.8+(729.7-432.4)+(-4.750956+(-0.744294--0.441048))+0-577.1--0.588642000000092</f>
        <v>4373.5344399999994</v>
      </c>
      <c r="U176" s="3">
        <f>4836.8+(769.8-430.4)+(-2.466768+(-0.392598--0.219504))+0-558.7--0.284936999999943</f>
        <v>4615.1450750000004</v>
      </c>
      <c r="V176" s="3">
        <f>4837.5+(525.8-418.9)+(-9.8685+(-1.072632--0.854556))+0-388--0.791519999999983</f>
        <v>4547.1049439999997</v>
      </c>
      <c r="W176" s="3">
        <f>4461.4+(583.1-398.3)+(-13.651884+(-1.784286--1.218798))+0-589.5--1.80387000000007</f>
        <v>4044.2864979999999</v>
      </c>
      <c r="X176" s="3">
        <f>3753.3+(726.8-332)+(-7.656732+(-1.482672--0.67728))+0-448.4--0.91473599999998</f>
        <v>3692.1526120000008</v>
      </c>
      <c r="Y176" s="3">
        <f>3798.4+(482.8-360)+(-3.874368+(-0.492456--0.3672))+0-553.1--0.564162000000088</f>
        <v>3364.6645380000004</v>
      </c>
      <c r="Z176" s="3">
        <f>3922.9+(849.3-292)+(-6.002037+(-1.299429--0.44676))+0-463.2--0.708696000000027</f>
        <v>4010.8539900000001</v>
      </c>
      <c r="AA176" s="3">
        <f>4069.7+(842.2-293.2)+(-6.226641+(-1.288566--0.448596))+0-462.3--0.707319000000027</f>
        <v>4150.0407079999995</v>
      </c>
      <c r="AB176" s="3">
        <f>4425+(680.4-334.3)+(-4.5135+(-0.694008--0.340986))+0-567.3--0.57864600000009</f>
        <v>4199.5121239999999</v>
      </c>
      <c r="AC176" s="3">
        <f>4689.3+(624.6-336.1)+(-2.391543+(-0.318546--0.171411))+0-619.6--0.315995999999937</f>
        <v>4355.9773180000002</v>
      </c>
      <c r="AD176">
        <v>3979.5000000000005</v>
      </c>
      <c r="AE176" s="3">
        <f>3946+(921.6-282.7)+(0+(0-0))+0-605.4-0</f>
        <v>3979.4999999999995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3982.1+(1254.6-284.6)+(-6.092613+(-1.919538--0.435438))+0-602.3--0.921519000000035</f>
        <v>4343.1448059999993</v>
      </c>
      <c r="G177" s="3">
        <f>3343.2+(1843.2-285.2)+(-5.115096+(-2.820096--0.436356))+0-610.4--0.933912000000035</f>
        <v>4284.2350760000008</v>
      </c>
      <c r="H177" s="3">
        <f>3058.6+(1965.2-262.7)+(-6.239544+(-4.009008--0.535908))+0-591.6--1.20686399999997</f>
        <v>4160.9942199999996</v>
      </c>
      <c r="I177" s="3">
        <f>3061.6+(1888.6-277.5)+(-1.561416+(-0.963186--0.141525))+0-592.4--0.30212399999994</f>
        <v>4078.2190469999991</v>
      </c>
      <c r="J177" s="3">
        <f>3101.5+(1677.5-285.8)+(1.581765+(0.855525-0.145758))+0-618.9-0.315638999999937</f>
        <v>3876.275893</v>
      </c>
      <c r="K177" s="3">
        <f>2856.1+(1788.6-267.6)+(-1.456611+(-0.912186--0.136476))+0-600.1--0.306050999999939</f>
        <v>3775.0737300000001</v>
      </c>
      <c r="L177" s="3">
        <f>2853.8+(1516.7-254.7)+(-1.455438+(-0.773517--0.129897))+0-573.1--0.292280999999942</f>
        <v>3540.8932230000005</v>
      </c>
      <c r="M177" s="3">
        <f>2903.4+(1045.8-264.6)+(1.480734+(0.533358-0.134946))+0-472.6-0.241025999999952</f>
        <v>3213.6381200000001</v>
      </c>
      <c r="N177" s="3">
        <f>3102.4+(934.1-286.2)+(-6.328896+(-1.905564--0.583848))+0-623.7--1.27234799999997</f>
        <v>3120.221736</v>
      </c>
      <c r="O177" s="3">
        <f>3099.6+(792.7-346.3)+(0+(0-0))+0-474.2-0</f>
        <v>3071.8</v>
      </c>
      <c r="P177" s="3">
        <f>3345.9+(639.1-413.8)+(3.412818+(0.651882-0.422076))+0-452.3-0.461346000000072</f>
        <v>3122.0812780000001</v>
      </c>
      <c r="Q177" s="3">
        <f>3810.4+(395.9-568.2)+(3.886608+(0.403818-0.579564))+0-471.6-0.481032000000075</f>
        <v>3169.7298299999998</v>
      </c>
      <c r="R177" s="3">
        <f>4526.2+(206.1-504)+(0+(0-0))+0-399.2-0</f>
        <v>3829.1000000000004</v>
      </c>
      <c r="S177" s="3">
        <f>4669.2+(702.5-448.3)+(0+(0-0))+0-600.2-0</f>
        <v>4323.2</v>
      </c>
      <c r="T177" s="3">
        <f>4917.2+(891.6-554.8)+(0+(0-0))+0-357.2-0</f>
        <v>4896.8</v>
      </c>
      <c r="U177" s="3">
        <f>4784.5+(743.3-575.2)+(0+(0-0))+0-443.2-0</f>
        <v>4509.4000000000005</v>
      </c>
      <c r="V177" s="3">
        <f>4445.5+(916.5-438.3)+(0+(0-0))+0-527.2-0</f>
        <v>4396.5</v>
      </c>
      <c r="W177" s="3">
        <f>3587.5+(1339.8-234)+(0+(0-0))+0-484.2-0</f>
        <v>4209.1000000000004</v>
      </c>
      <c r="X177" s="3">
        <f>2993.4+(1256.4-254)+(-7.63317+(-3.20382--0.6477))+0-470.2--1.19900999999993</f>
        <v>3516.6097200000004</v>
      </c>
      <c r="Y177" s="3">
        <f>3366+(771-278)+(-3.43332+(-0.78642--0.28356))+0-576.2--0.587724000000092</f>
        <v>3279.4515439999996</v>
      </c>
      <c r="Z177" s="3">
        <f>4022.9+(669-343)+(-10.258395+(-1.70595--0.87465))+0-480.2--1.22450999999993</f>
        <v>3858.8348150000002</v>
      </c>
      <c r="AA177" s="3">
        <f>4385.9+(836.6-307)+(-13.420854+(-2.559996--0.93942))+0-511.2--1.56427200000006</f>
        <v>4390.8228419999996</v>
      </c>
      <c r="AB177" s="3">
        <f>4057.2+(992.7-283)+(-8.276688+(-2.025108--0.57732))+0-576.2--1.17544799999997</f>
        <v>4182.1509719999995</v>
      </c>
      <c r="AC177" s="3">
        <f>4488.7+(694.9-361)+(-2.289237+(-0.354399--0.18411))+0-573.2--0.292331999999942</f>
        <v>4247.232806</v>
      </c>
      <c r="AD177">
        <v>4037.6000000000004</v>
      </c>
      <c r="AE177" s="3">
        <f>4165+(708.8-340.5)+(0+(0-0))+0-495.7-0</f>
        <v>4037.6000000000004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4395+(908.1-320.6)+(0+(0-0))+0-612.7-0</f>
        <v>4369.8</v>
      </c>
      <c r="G178" s="3">
        <f>3560+(1583.7-299)+(0+(0-0))+0-538.2-0</f>
        <v>4306.5</v>
      </c>
      <c r="H178" s="3">
        <f>3125+(1859.2-304.7)+(0+(0-0))+0-607.5-0</f>
        <v>4072</v>
      </c>
      <c r="I178" s="3">
        <f>3064+(1688.9-267.7)+(0+(0-0))+0-582.6-0</f>
        <v>3902.6</v>
      </c>
      <c r="J178" s="3">
        <f>3069+(1584.5-241.6)+(0+(0-0))+0-573.3-0</f>
        <v>3838.5999999999995</v>
      </c>
      <c r="K178" s="3">
        <f>3190+(1413.7-235.6)+(0+(0-0))+0-603.3-0</f>
        <v>3764.8</v>
      </c>
      <c r="L178" s="3">
        <f>2987.2+(1327.6-242.8)+(0+(0-0))+0-606.4-0</f>
        <v>3465.6</v>
      </c>
      <c r="M178" s="3">
        <f>2939.4+(946.5-238.3)+(1.499094+(0.482715-0.121533))+0-467.8-0.238577999999953</f>
        <v>3181.4216980000001</v>
      </c>
      <c r="N178" s="3">
        <f>2911.9+(1003.9-280.4)+(-2.970138+(-1.023978--0.286008))+0-632.1--0.644742000000101</f>
        <v>3000.2366340000003</v>
      </c>
      <c r="O178" s="3">
        <f>2824.3+(1099.2-315.3)+(1.440393+(0.560592-0.160803))+0-523.9-0.267188999999947</f>
        <v>3085.872993</v>
      </c>
      <c r="P178" s="3">
        <f>3150+(822.6-338.9)+(4.8195+(1.258578-0.518517))+0-480.1-0.734553000000028</f>
        <v>3158.4250079999997</v>
      </c>
      <c r="Q178" s="3">
        <f>3384+(832.4-360.9)+(1.72584+(0.424524-0.184059))+0-487.8-0.248777999999951</f>
        <v>3369.4175269999996</v>
      </c>
      <c r="R178" s="3">
        <f>3962.1+(718.5-485.7)+(4.041342+(0.73287-0.495414))+0-496.7-0.506634000000079</f>
        <v>3701.9721639999998</v>
      </c>
      <c r="S178" s="3">
        <f>4094.9+(1137-571.5)+(-2.088399+(-0.57987--0.291465))+0-527--0.268769999999947</f>
        <v>4131.2919659999989</v>
      </c>
      <c r="T178" s="3">
        <f>4140.3+(1349.1-490.2)+(-2.111553+(-0.688041--0.250002))+0-494.4--0.25214399999995</f>
        <v>4502.5025519999999</v>
      </c>
      <c r="U178" s="3">
        <f>4265.8+(1332.7-513.7)+(-2.175558+(-0.679677--0.261987))+0-520.9--0.265658999999947</f>
        <v>4561.5724110000001</v>
      </c>
      <c r="V178" s="3">
        <f>4057.3+(1242.8-362.4)+(-10.346115+(-3.16914--0.92412))+0-476.5--1.21507499999993</f>
        <v>4449.8239400000002</v>
      </c>
      <c r="W178" s="3">
        <f>3303.7+(1430.6-281.3)+(-10.109322+(-4.377636--0.860778))+0-425.6--1.30233600000005</f>
        <v>4015.0761560000001</v>
      </c>
      <c r="X178" s="3">
        <f>3050.5+(1159.5-262.9)+(-7.778775+(-2.956725--0.670395))+0-417.1--1.06360499999994</f>
        <v>3520.9984999999997</v>
      </c>
      <c r="Y178" s="3">
        <f>3681.9+(634.7-327.8)+(-3.755538+(-0.647394--0.334356))+0-575.4--0.586908000000092</f>
        <v>3409.9183320000002</v>
      </c>
      <c r="Z178" s="3">
        <f>3935.5+(833.2-332.2)+(-12.04263+(-2.549592--1.016532))+0-543.3--1.66249800000006</f>
        <v>3881.2868080000003</v>
      </c>
      <c r="AA178" s="3">
        <f>3977.8+(967.7-316.1)+(-10.14339+(-2.467635--0.806055))+0-588.4--1.50041999999991</f>
        <v>4030.6954500000002</v>
      </c>
      <c r="AB178" s="3">
        <f>4247.2+(787.5-358.7)+(-6.498216+(-1.204875--0.548811))+0-558--0.853740000000032</f>
        <v>4111.6994600000007</v>
      </c>
      <c r="AC178" s="3">
        <f>4180.2+(972.1-344.6)+(-2.131902+(-0.495771--0.175746))+0-533.7--0.272186999999946</f>
        <v>4271.8202599999995</v>
      </c>
      <c r="AD178">
        <v>3874.7</v>
      </c>
      <c r="AE178" s="3">
        <f>4034+(806.1-357.6)+(0+(0-0))+0-607.8-0</f>
        <v>3874.7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3918.3+(1389.9-254)+(0+(0-0))+0-602-0</f>
        <v>4452.2000000000007</v>
      </c>
      <c r="G179" s="3">
        <f>3210.1+(1839.7-267.2)+(-1.637151+(-0.938247--0.136272))+0-550.9--0.280958999999944</f>
        <v>4229.5418330000002</v>
      </c>
      <c r="H179" s="3">
        <f>3135.7+(1873.2-257)+(4.797621+(2.865996-0.39321))+0-655.9-1.00352700000004</f>
        <v>4102.2668800000001</v>
      </c>
      <c r="I179" s="3">
        <f>3023.1+(1881.2-268.8)+(-3.083562+(-1.918824--0.274176))+0-672.8--0.686256000000107</f>
        <v>3958.6580459999996</v>
      </c>
      <c r="J179" s="3">
        <f>3049+(1584.1-245.7)+(-4.66497+(-2.423673--0.375921))+0-550.3--0.841959000000032</f>
        <v>3831.2292369999991</v>
      </c>
      <c r="K179" s="3">
        <f>3062.9+(1541.8-240.4)+(-1.562079+(-0.786318--0.122604))+0-674--0.343739999999932</f>
        <v>3688.4179470000004</v>
      </c>
      <c r="L179" s="3">
        <f>2820.1+(1483.3-246.7)+(-7.191255+(-3.782415--0.629085))+0-592.5--1.51087499999991</f>
        <v>3455.3662899999999</v>
      </c>
      <c r="M179" s="3">
        <f>2976.4+(1167.1-371)+(0+(0-0))+0-641.9-0</f>
        <v>3130.6</v>
      </c>
      <c r="N179" s="3">
        <f>3120.8+(853.8-463.6)+(0+(0-0))+0-561.4-0</f>
        <v>2949.6</v>
      </c>
      <c r="O179" s="3">
        <f>3149.3+(941.5-370.5)+(0+(0-0))+0-666.6-0</f>
        <v>3053.7000000000003</v>
      </c>
      <c r="P179" s="3">
        <f>3163.5+(825.3-405.3)+(6.45354+(1.683612-0.826812))+0-542.1-1.10588399999998</f>
        <v>3047.604456</v>
      </c>
      <c r="Q179" s="3">
        <f>3511.5+(702.6-379.8)+(0+(0-0))+0-556.9-0</f>
        <v>3277.4</v>
      </c>
      <c r="R179" s="3">
        <f>3992.2+(585.1-366.4)+(-4.072044+(-0.596802--0.373728))+0-579.8--0.591396000000092</f>
        <v>3627.3962779999997</v>
      </c>
      <c r="S179" s="3">
        <f>3850.1+(1026.2-356.3)+(-7.854204+(-2.093448--0.726852))+0-544.3--1.11037199999998</f>
        <v>3967.5895719999999</v>
      </c>
      <c r="T179" s="3">
        <f>4221.5+(1230.7-458.9)+(-2.152965+(-0.627657--0.234039))+0-648.4--0.330683999999934</f>
        <v>4342.6841009999998</v>
      </c>
      <c r="U179" s="3">
        <f>3948+(1360.4-378.6)+(-6.04044+(-2.081412--0.579258))+0-491.9--0.752607000000028</f>
        <v>4431.1100130000013</v>
      </c>
      <c r="V179" s="3">
        <f>3669.6+(1489.6-279.9)+(-1.871496+(-0.759696--0.142749))+0-594.3--0.30309299999994</f>
        <v>4282.8146499999984</v>
      </c>
      <c r="W179" s="3">
        <f>3392.7+(1336.6-280.6)+(-8.651385+(-3.40833--0.71553))+0-576.1--1.46905499999992</f>
        <v>3862.72487</v>
      </c>
      <c r="X179" s="3">
        <f>2986.3+(1278.9-246.5)+(0+(0-0))+0-666.4-0</f>
        <v>3352.3</v>
      </c>
      <c r="Y179" s="3">
        <f>3537.6+(758.4-360.7)+(0+(0-0))+0-618.9-0</f>
        <v>3316.3999999999996</v>
      </c>
      <c r="Z179" s="3">
        <f>4029+(672.8-390.4)+(-6.16437+(-1.029384--0.597312))+0-566--0.865980000000033</f>
        <v>3739.6695379999996</v>
      </c>
      <c r="AA179" s="3">
        <f>3972.6+(860.8-348.8)+(-10.13013+(-2.19504--0.88944))+0-608.4--1.55141999999991</f>
        <v>3866.315689999999</v>
      </c>
      <c r="AB179" s="3">
        <f>3979.4+(771.2-319.3)+(-10.14747+(-1.96656--0.814215))+0-473.5--1.20742499999993</f>
        <v>3947.7076099999999</v>
      </c>
      <c r="AC179" s="3">
        <f>3997.8+(1000.4-311.1)+(-6.116634+(-1.530612--0.475983))+0-601.4--0.920142000000035</f>
        <v>4079.448879</v>
      </c>
      <c r="AD179">
        <v>3706</v>
      </c>
      <c r="AE179" s="3">
        <f>4051+(644.3-440.6)+(0+(0-0))+0-548.7-0</f>
        <v>3706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3845.4+(1203.6-250.5)+(-5.883462+(-1.841508--0.383265))+0-618.7--0.946611000000036</f>
        <v>4173.4049060000007</v>
      </c>
      <c r="G180" s="3">
        <f>3844.2+(1194.9-262.1)+(-1.960542+(-0.609399--0.133671))+0-637.3--0.325022999999935</f>
        <v>4137.588753</v>
      </c>
      <c r="H180" s="3">
        <f>3440.5+(1542.5-261)+(-8.773275+(-3.933375--0.66555))+0-665.9--1.6980449999999</f>
        <v>4045.7569449999996</v>
      </c>
      <c r="I180" s="3">
        <f>3134+(1653-262.7)+(0+(0-0))+0-604.5-0</f>
        <v>3919.8</v>
      </c>
      <c r="J180" s="3">
        <f>2954.3+(1698.4-223.9)+(0+(0-0))+0-655.1-0</f>
        <v>3773.7000000000003</v>
      </c>
      <c r="K180" s="3">
        <f>2985.2+(1444.8-211.8)+(4.567356+(2.210544-0.324054))+0-566.8-0.867204000000033</f>
        <v>3656.9866419999998</v>
      </c>
      <c r="L180" s="3">
        <f>2899.4+(1444.2-236.7)+(4.436082+(2.209626-0.362151))+0-688.3-1.05309900000004</f>
        <v>3423.830457999999</v>
      </c>
      <c r="M180" s="3">
        <f>2577.2+(1306.7-245.3)+(-6.57186+(-3.332085--0.625515))+0-547.2--1.39535999999992</f>
        <v>3083.5169300000002</v>
      </c>
      <c r="N180" s="3">
        <f>2651.1+(1040.9-245)+(0+(0-0))+0-501.2-0</f>
        <v>2945.8</v>
      </c>
      <c r="O180" s="3">
        <f>2789+(1084.9-282.8)+(-4.26717+(-1.659897--0.432684))+0-630.8--0.965124000000036</f>
        <v>2955.7707409999998</v>
      </c>
      <c r="P180" s="3">
        <f>2942.7+(826.8-365.2)+(-3.001554+(-0.843336--0.372504))+0-515.6--0.525912000000082</f>
        <v>2885.753526</v>
      </c>
      <c r="Q180" s="3">
        <f>3267+(773.1-386.6)+(-3.33234+(-0.788562--0.394332))+0-631.5--0.644130000000101</f>
        <v>3018.9175600000003</v>
      </c>
      <c r="R180" s="3">
        <f>3639.1+(621.5-365.5)+(-3.711882+(-0.63393--0.37281))+0-596.8--0.608736000000095</f>
        <v>3294.9357339999997</v>
      </c>
      <c r="S180" s="3">
        <f>4070.6+(596.6-367.4)+(-4.152012+(-0.608532--0.374748))+0-608--0.620160000000097</f>
        <v>3688.0343640000006</v>
      </c>
      <c r="T180" s="3">
        <f>4269.3+(755.6-388.7)+(2.177343+(0.385356-0.198237))+0-554-0.282539999999944</f>
        <v>4084.2819219999992</v>
      </c>
      <c r="U180" s="3">
        <f>4319.6+(907.3-386.6)+(0+(0-0))+0-667.2-0</f>
        <v>4173.1000000000004</v>
      </c>
      <c r="V180" s="3">
        <f>4067.2+(947.5-307.8)+(-10.37136+(-2.416125--0.78489))+0-595.1--1.51750499999991</f>
        <v>4101.3149099999991</v>
      </c>
      <c r="W180" s="3">
        <f>3113.4+(1501.7-273.3)+(-3.175668+(-1.531734--0.278766))+0-655.2--0.668304000000104</f>
        <v>3682.839668000001</v>
      </c>
      <c r="X180" s="3">
        <f>2893.1+(1200.5-284.5)+(-4.426443+(-1.836765--0.435285))+0-540.9--0.827577000000031</f>
        <v>3263.199654</v>
      </c>
      <c r="Y180" s="3">
        <f>3673.3+(620.5-513.4)+(0+(0-0))+0-576.1-0</f>
        <v>3204.3</v>
      </c>
      <c r="Z180" s="3">
        <f>3979.6+(734.7-395.1)+(-6.088788+(-1.124091--0.604503))+0-655.8--1.00337400000004</f>
        <v>3657.7949979999994</v>
      </c>
      <c r="AA180" s="3">
        <f>3814.9+(887.7-344.6)+(-9.727995+(-2.263635--0.87873))+0-588.2--1.49990999999991</f>
        <v>3760.1870100000001</v>
      </c>
      <c r="AB180" s="3">
        <f>4091.3+(830.6-347.7)+(-8.346252+(-1.694424--0.709308))+0-684--1.39535999999997</f>
        <v>3882.2639919999997</v>
      </c>
      <c r="AC180" s="3">
        <f>3603.7+(1270.1-323.7)+(-3.675774+(-1.295502--0.330174))+0-521.3--0.531726000000083</f>
        <v>4024.6906239999998</v>
      </c>
      <c r="AD180">
        <v>3750.3</v>
      </c>
      <c r="AE180" s="3">
        <f>3998+(744.8-401.3)+(0+(0-0))+0-591.2-0</f>
        <v>3750.3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3443.4+(1566.7-269)+(-7.024536+(-3.196068--0.54876))+0-667--1.36067999999997</f>
        <v>4065.7888359999997</v>
      </c>
      <c r="G181" s="3">
        <f>2951.9+(1908-273.5)+(0+(0-0))+0-623.6-0</f>
        <v>3962.7999999999997</v>
      </c>
      <c r="H181" s="3">
        <f>2854.1+(1955.7-279.8)+(-4.366773+(-2.992221--0.428094))+0-651.7--0.997101000000038</f>
        <v>3872.3662009999998</v>
      </c>
      <c r="I181" s="3">
        <f>2745.3+(1771.4-277.4)+(-2.800206+(-1.806828--0.282948))+0-473.4--0.482868000000075</f>
        <v>3762.0587820000005</v>
      </c>
      <c r="J181" s="3">
        <f>2866.5+(1567-266.5)+(-1.461915+(-0.79917--0.135915))+0-570.6--0.291005999999942</f>
        <v>3594.5658359999998</v>
      </c>
      <c r="K181" s="3">
        <f>2668+(1714.6-261.3)+(-6.8034+(-4.37223--0.666315))+0-638.8--1.62893999999991</f>
        <v>3473.6196249999998</v>
      </c>
      <c r="L181" s="3">
        <f>2556.2+(1498.4-260)+(-9.125634+(-5.349288--0.9282))+0-535.2--1.91066400000001</f>
        <v>3247.7639419999996</v>
      </c>
      <c r="M181" s="3">
        <f>2705.9+(1117.6-345.1)+(4.140027+(1.709928-0.528003))+0-555.4-0.849762000000032</f>
        <v>2927.47219</v>
      </c>
      <c r="N181" s="3">
        <f>2740.7+(979-319.7)+(-2.795514+(-0.99858--0.326094))+0-547.9--0.558858000000087</f>
        <v>2849.1908579999999</v>
      </c>
      <c r="O181" s="3">
        <f>2792.8+(967.2-337.6)+(-1.424328+(-0.493272--0.172176))+0-489.5--0.24964499999995</f>
        <v>2931.4042209999998</v>
      </c>
      <c r="P181" s="3">
        <f>3054.7+(740.1-435.2)+(0+(0-0))+0-465.6-0</f>
        <v>2894</v>
      </c>
      <c r="Q181" s="3">
        <f>3496.9+(447.6-587.5)+(1.783419+(0.228276-0.299625))+0-305.9-0.156008999999969</f>
        <v>3052.6560610000001</v>
      </c>
      <c r="R181" s="3">
        <f>3890.8+(291.9-534.2)+(-3.968616+(-0.297738--0.544884))+0-305.2--0.311304000000049</f>
        <v>3339.8898340000001</v>
      </c>
      <c r="S181" s="3">
        <f>4046.7+(490-489.4)+(2.063817+(0.2499-0.249594))+0-271.7-0.138566999999972</f>
        <v>3777.5255560000001</v>
      </c>
      <c r="T181" s="3">
        <f>4854.1+(311.6-621.4)+(2.475591+(0.158916-0.316914))+0-407.8-0.207977999999959</f>
        <v>4138.6096149999994</v>
      </c>
      <c r="U181" s="3">
        <f>5006.2+(388.2-629.9)+(-2.553162+(-0.197982--0.321249))+0-521.2--0.265811999999947</f>
        <v>4241.1359169999996</v>
      </c>
      <c r="V181" s="3">
        <f>4571.2+(547-420.2)+(-6.993936+(-0.83691--0.642906))+0-597.7--0.914481000000035</f>
        <v>4094.0265410000006</v>
      </c>
      <c r="W181" s="3">
        <f>3315.3+(1191.3-287.1)+(-6.763212+(-2.430252--0.585684))+0-505.3--1.03081199999998</f>
        <v>3706.6230319999995</v>
      </c>
      <c r="X181" s="3">
        <f>2911.7+(1232.6-255.8)+(-2.969934+(-1.257252--0.260916))+0-617--0.629340000000098</f>
        <v>3268.1630700000001</v>
      </c>
      <c r="Y181" s="3">
        <f>3274+(789.8-276.9)+(-1.66974+(-0.402798--0.141219))+0-575.4--0.293453999999942</f>
        <v>3209.8621350000003</v>
      </c>
      <c r="Z181" s="3">
        <f>3715.4+(865.6-283.3)+(-3.789708+(-0.882912--0.288966))+0-677.2--0.690744000000108</f>
        <v>3616.8070899999998</v>
      </c>
      <c r="AA181" s="3">
        <f>3540.7+(1128.9-261.5)+(-10.834542+(-3.454434--0.80019))+0-647--1.97982000000007</f>
        <v>3749.5910340000005</v>
      </c>
      <c r="AB181" s="3">
        <f>3629.3+(1134.3-274.8)+(1.850943+(0.578493-0.140148))+0-600.4-0.306203999999939</f>
        <v>3890.3830840000001</v>
      </c>
      <c r="AC181" s="3">
        <f>4329.6+(936.4-296.9)+(2.208096+(0.477564-0.151419))+0-652.5-0.332774999999934</f>
        <v>4318.8014660000008</v>
      </c>
      <c r="AD181">
        <v>3611.6000000000004</v>
      </c>
      <c r="AE181" s="3">
        <f>3738+(878.3-295.2)+(0+(0-0))+0-709.5-0</f>
        <v>3611.6000000000004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3475.9+(1546-256.5)+(-1.772709+(-0.78846--0.130815))+0-635.1--0.323900999999936</f>
        <v>4128.1935469999989</v>
      </c>
      <c r="G182" s="3">
        <f>3191.8+(1750.5-262.3)+(1.627818+(0.892755-0.133773))+0-625.4-0.318953999999937</f>
        <v>4056.6678460000003</v>
      </c>
      <c r="H182" s="3">
        <f>3047+(1772.8-277.4)+(6.21588+(3.616512-0.565896))+0-644.7-1.31518799999997</f>
        <v>3905.651308</v>
      </c>
      <c r="I182" s="3">
        <f>2907+(1768.3-278.1)+(-4.44771+(-2.705499--0.425493))+0-616.7--0.943551000000036</f>
        <v>3774.7158349999995</v>
      </c>
      <c r="J182" s="3">
        <f>2848.8+(1624.8-248.5)+(5.811552+(3.314592-0.50694))+0-585.6-1.19462399999997</f>
        <v>3646.9245800000003</v>
      </c>
      <c r="K182" s="3">
        <f>2992.9+(1442.6-239.6)+(3.052758+(1.471452-0.244392))+0-698.5-0.712470000000111</f>
        <v>3500.9673479999997</v>
      </c>
      <c r="L182" s="3">
        <f>2620.5+(1428.7-245.9)+(-2.67291+(-1.457274--0.250818))+0-628.2--0.6407640000001</f>
        <v>3171.8613980000005</v>
      </c>
      <c r="M182" s="3">
        <f>2670.8+(1231.4-252.4)+(1.362108+(0.628014-0.128724))+0-710.4-0.362303999999928</f>
        <v>2940.8990940000003</v>
      </c>
      <c r="N182" s="3">
        <f>2726+(974.4-294.1)+(-1.39026+(-0.496944--0.149991))+0-555.7--0.283406999999944</f>
        <v>2849.1461939999999</v>
      </c>
      <c r="O182" s="3">
        <f>2854+(871.6-365.5)+(1.45554+(0.444516-0.186405))+0-488.8-0.24928799999995</f>
        <v>2872.7643629999998</v>
      </c>
      <c r="P182" s="3">
        <f>3016.8+(852.1-485.7)+(0+(0-0))+0-472.9-0</f>
        <v>2910.3</v>
      </c>
      <c r="Q182" s="3">
        <f>3569.8+(686.1-584.6)+(5.461794+(1.049733-0.894438))+0-619.5-0.947835000000036</f>
        <v>3056.4692540000001</v>
      </c>
      <c r="R182" s="3">
        <f>4099.5+(449.6-672.4)+(2.090745+(0.229296-0.342924))+0-548.5-0.279734999999944</f>
        <v>3329.8973819999997</v>
      </c>
      <c r="S182" s="3">
        <f>4140.5+(578.6-408)+(-2.111655+(-0.295086--0.20808))+0-567.9--0.289628999999942</f>
        <v>3741.2909679999998</v>
      </c>
      <c r="T182" s="3">
        <f>4681.9+(470.9-427.7)+(2.387769+(0.240159-0.218127))+0-605.3-0.308702999999939</f>
        <v>4121.9010979999994</v>
      </c>
      <c r="U182" s="3">
        <f>4973.5+(404-606.2)+(-7.609455+(-0.61812--0.927486))+0-566.3--0.866439000000033</f>
        <v>4198.5663500000001</v>
      </c>
      <c r="V182" s="3">
        <f>4393.2+(757.5-335.8)+(-8.962128+(-1.5453--0.685032))+0-665.1--1.35680399999997</f>
        <v>4141.3344079999997</v>
      </c>
      <c r="W182" s="3">
        <f>3373.2+(1212.2-274.5)+(-10.321992+(-3.709332--0.83997))+0-574.4--1.75766400000007</f>
        <v>3725.0663100000002</v>
      </c>
      <c r="X182" s="3">
        <f>2830+(1334.5-234)+(1.4433+(0.680595-0.11934))+0-618.5-0.315434999999937</f>
        <v>3313.68912</v>
      </c>
      <c r="Y182" s="3">
        <f>3441.9+(848.3-367.5)+(1.755369+(0.432633-0.187425))+0-618.1-0.315230999999937</f>
        <v>3306.2853459999997</v>
      </c>
      <c r="Z182" s="3">
        <f>4003.5+(771.3-458)+(0+(0-0))+0-640.5-0</f>
        <v>3676.3</v>
      </c>
      <c r="AA182" s="3">
        <f>3876.7+(896.2-341.6)+(-9.885585+(-2.28531--0.87108))+0-630--1.60649999999991</f>
        <v>3791.6066849999997</v>
      </c>
      <c r="AB182" s="3">
        <f>3639.3+(1073.2-288.3)+(-9.280215+(-2.73666--0.735165))+0-517--1.31834999999993</f>
        <v>3897.2366400000005</v>
      </c>
      <c r="AC182" s="3">
        <f>3686+(1222.5-282.8)+(3.75972+(1.24695-0.288456))+0-551.4-0.562428000000088</f>
        <v>4078.455786</v>
      </c>
      <c r="AD182">
        <v>3783.4000000000005</v>
      </c>
      <c r="AE182" s="3">
        <f>4111+(737.6-434)+(0+(0-0))+0-631.2-0</f>
        <v>3783.4000000000005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3373.2+(1844-262.3)+(-3.440664+(-1.88088--0.267546))+0-701.5--0.715530000000112</f>
        <v>4249.0615319999997</v>
      </c>
      <c r="G183" s="3">
        <f>2887.1+(2113.9-263.7)+(-5.889684+(-4.312356--0.537948))+0-642.3--1.31029199999997</f>
        <v>4086.6462000000001</v>
      </c>
      <c r="H183" s="3">
        <f>2854.6+(1997-255.3)+(-1.455846+(-1.01847--0.130203))+0-627--0.319769999999936</f>
        <v>3967.2756570000001</v>
      </c>
      <c r="I183" s="3">
        <f>2813+(1956-255.7)+(-5.73852+(-3.99024--0.521628))+0-684.3--1.39597199999997</f>
        <v>3821.1888399999993</v>
      </c>
      <c r="J183" s="3">
        <f>2569.5+(1951.6-247.1)+(6.552225+(4.97658-0.630105))+0-569.5-1.45222499999992</f>
        <v>3713.9464749999997</v>
      </c>
      <c r="K183" s="3">
        <f>2527.1+(1874.5-247)+(3.866463+(2.867985-0.37791))+0-590.6-0.903618000000034</f>
        <v>3569.4529200000006</v>
      </c>
      <c r="L183" s="3">
        <f>2524.5+(1718.1-246.5)+(-5.14998+(-3.504924--0.50286))+0-646.7--1.31926799999997</f>
        <v>3342.5672240000004</v>
      </c>
      <c r="M183" s="3">
        <f>2666.6+(1222.9-269.9)+(0+(0-0))+0-587.3-0</f>
        <v>3032.3</v>
      </c>
      <c r="N183" s="3">
        <f>2908.1+(968.3-403.5)+(1.483131+(0.493833-0.205785))+0-583.5-0.297584999999941</f>
        <v>2890.8735939999997</v>
      </c>
      <c r="O183" s="3">
        <f>3009.3+(980.1-577.4)+(1.534743+(0.499851-0.294474))+0-535.9-0.273308999999946</f>
        <v>2877.5668109999997</v>
      </c>
      <c r="P183" s="3">
        <f>3192.6+(886.2-580.2)+(1.628226+(0.451962-0.295902))+0-543.6-0.277235999999945</f>
        <v>2956.5070500000002</v>
      </c>
      <c r="Q183" s="3">
        <f>3513+(697.5-533.1)+(3.58326+(0.71145-0.543762))+0-577.6-0.589152000000092</f>
        <v>3102.961796</v>
      </c>
      <c r="R183" s="3">
        <f>3913.4+(629.7-477)+(-1.995834+(-0.321147--0.24327))+0-641--0.326909999999935</f>
        <v>3423.3531990000001</v>
      </c>
      <c r="S183" s="3">
        <f>3748.8+(994-259)+(-5.735664+(-1.52082--0.39627))+0-607--0.928710000000035</f>
        <v>3870.8684960000001</v>
      </c>
      <c r="T183" s="3">
        <f>4275.4+(921.6-269.2)+(0+(0-0))+0-652.3-0</f>
        <v>4275.4999999999991</v>
      </c>
      <c r="U183" s="3">
        <f>4296.8+(955.9-313.8)+(-8.765472+(-1.950036--0.640152))+0-603.9--1.23195599999997</f>
        <v>4326.1565999999993</v>
      </c>
      <c r="V183" s="3">
        <f>4043.7+(1033.9-299.3)+(-4.124574+(-1.054578--0.305286))+0-607.6--0.619752000000097</f>
        <v>4166.4458860000004</v>
      </c>
      <c r="W183" s="3">
        <f>3818.3+(950.1-292)+(-7.789332+(-1.938204--0.59568))+0-680.2--1.38760799999997</f>
        <v>3788.4557520000008</v>
      </c>
      <c r="X183" s="3">
        <f>3246.6+(995.7-338)+(-1.655766+(-0.507807--0.17238))+0-563.2--0.287231999999943</f>
        <v>3339.3960390000007</v>
      </c>
      <c r="Y183" s="3">
        <f>3814.8+(702.9-501.9)+(1.945548+(0.358479-0.255969))+0-722-0.368219999999927</f>
        <v>3295.4798380000002</v>
      </c>
      <c r="Z183" s="3">
        <f>4261.8+(639.2-488.3)+(-8.694072+(-1.303968--0.996132))+0-607.4--1.23909599999997</f>
        <v>3797.5371879999993</v>
      </c>
      <c r="AA183" s="3">
        <f>3997.4+(935.3-309.8)+(-8.154696+(-1.908012--0.631992))+0-664--1.35455999999997</f>
        <v>3950.8238439999996</v>
      </c>
      <c r="AB183" s="3">
        <f>3936.3+(1022-274.2)+(-8.030052+(-2.08488--0.559368))+0-632.2--1.28968799999997</f>
        <v>4043.6341240000002</v>
      </c>
      <c r="AC183" s="3">
        <f>4027.2+(1042.2-250.8)+(0+(0-0))+0-622.9-0</f>
        <v>4195.7000000000007</v>
      </c>
      <c r="AD183">
        <v>3774.6</v>
      </c>
      <c r="AE183" s="3">
        <f>4204+(645.2-462.2)+(0+(0-0))+0-612.4-0</f>
        <v>3774.6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3489.3+(1810.7-281.8)+(-7.118172+(-3.693828--0.574872))+0-669.1--1.36496399999997</f>
        <v>4340.2278360000009</v>
      </c>
      <c r="G184" s="3">
        <f>2931.9+(2275.1-280.1)+(-4.485807+(-3.480903--0.428553))+0-662.7--1.01393100000004</f>
        <v>4257.6757740000003</v>
      </c>
      <c r="H184" s="3">
        <f>2933.8+(2110-258.6)+(-4.488714+(-3.2283--0.395658))+0-651.6--0.996948000000038</f>
        <v>4127.275592</v>
      </c>
      <c r="I184" s="3">
        <f>2948.8+(1860.5-264)+(3.007776+(1.89771-0.26928))+0-605.9-0.618018000000097</f>
        <v>3943.4181880000001</v>
      </c>
      <c r="J184" s="3">
        <f>2922.6+(1792.3-281)+(7.45263+(4.570365-0.71655))+0-658.9-1.6801949999999</f>
        <v>3784.6262499999998</v>
      </c>
      <c r="K184" s="3">
        <f>2850+(1658.5-285.8)+(0+(0-0))+0-524.4-0</f>
        <v>3698.2999999999997</v>
      </c>
      <c r="L184" s="3">
        <f>2901.5+(1507.2-285.7)+(-1.479765+(-0.768672--0.145707))+0-562.8--0.287027999999943</f>
        <v>3558.3842979999999</v>
      </c>
      <c r="M184" s="3">
        <f>2813.4+(1345.4-321.3)+(-1.434834+(-0.686154--0.163863))+13.9-612.1--0.312170999999938</f>
        <v>3237.6550460000003</v>
      </c>
      <c r="N184" s="3">
        <f>2910+(1216.6-351.8)+(0+(0-0))+16-570.3-0</f>
        <v>3220.5</v>
      </c>
      <c r="O184" s="3">
        <f>2914.2+(1179.2-312.3)+(4.458726+(1.804176-0.477819))+14.4-482.2-0.737766000000028</f>
        <v>3318.3473170000002</v>
      </c>
      <c r="P184" s="3">
        <f>3349.9+(1039.5-337.1)+(3.416898+(1.06029-0.343842))+0-695.6-0.709512000000111</f>
        <v>3360.1238340000004</v>
      </c>
      <c r="Q184" s="3">
        <f>3864.1+(719.1-391.1)+(5.912073+(1.100223-0.598383))+0-526.6-0.80569800000003</f>
        <v>3671.1082150000007</v>
      </c>
      <c r="R184" s="3">
        <f>4182.2+(836.3-353.1)+(0+(0-0))+0-616.2-0</f>
        <v>4049.2</v>
      </c>
      <c r="S184" s="3">
        <f>3920.7+(1393.8-295.5)+(-1.999557+(-0.710838--0.150705))+0-670.4--0.341903999999932</f>
        <v>4346.3822140000002</v>
      </c>
      <c r="T184" s="3">
        <f>4123.1+(1411-292.5)+(2.102781+(0.71961-0.149175))+0-639-0.325889999999935</f>
        <v>4604.9473260000004</v>
      </c>
      <c r="U184" s="3">
        <f>4290.6+(1428.3-288.8)+(4.376412+(1.456866-0.294576))+0-695.5-0.709410000000111</f>
        <v>4739.4292919999998</v>
      </c>
      <c r="V184" s="3">
        <f>3708.5+(1621.5-251.1)+(-9.456675+(-4.134825--0.640305))+0-628.8--1.60343999999991</f>
        <v>4438.7522449999997</v>
      </c>
      <c r="W184" s="3">
        <f>2986.5+(1942.4-281.2)+(-3.04623+(-1.981248--0.286824))+0-651.7--0.664734000000104</f>
        <v>3991.9240799999998</v>
      </c>
      <c r="X184" s="3">
        <f>2860.3+(1519.6-260.6)+(0+(0-0))+0-605.9-0</f>
        <v>3513.4</v>
      </c>
      <c r="Y184" s="3">
        <f>3368.5+(1166.1-340.3)+(0+(0-0))+0-619.8-0</f>
        <v>3574.5</v>
      </c>
      <c r="Z184" s="3">
        <f>3822+(1179.7-302.5)+(-3.89844+(-1.203294--0.30855))+0-638.5--0.651270000000102</f>
        <v>4056.558086</v>
      </c>
      <c r="AA184" s="3">
        <f>4233.5+(991.8-310.9)+(-10.795425+(-2.52909--0.792795))+0-693.4--1.7681699999999</f>
        <v>4210.2364500000003</v>
      </c>
      <c r="AB184" s="3">
        <f>4212.4+(990.9-336.4)+(-10.74162+(-2.526795--0.85782))+0-543.7--1.38643499999992</f>
        <v>4312.1758399999999</v>
      </c>
      <c r="AC184" s="3">
        <f>4174.6+(1316.1-336.4)+(-2.129046+(-0.671211--0.171564))+0-690.4--0.35210399999993</f>
        <v>4461.6234110000005</v>
      </c>
      <c r="AD184">
        <v>4372.3999999999996</v>
      </c>
      <c r="AE184" s="3">
        <f>4089+(1198.2-278.7)+(0+(0-0))+0-636.1-0</f>
        <v>4372.3999999999996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3656+(1866.5-358.3)+(-13.05192+(-6.663405--1.279131))+0-668.1--2.38511700000001</f>
        <v>4480.0489229999994</v>
      </c>
      <c r="G185" s="3">
        <f>3133.1+(2272-362.3)+(-12.783048+(-9.26976--1.478184))+0-608.2--2.48145599999995</f>
        <v>4416.506832</v>
      </c>
      <c r="H185" s="3">
        <f>2863.8+(2469-335.6)+(-8.763228+(-7.55514--1.026936))+0-661--2.02266000000008</f>
        <v>4322.9312280000004</v>
      </c>
      <c r="I185" s="3">
        <f>2873+(2292.1-325.1)+(1.46523+(1.168971-0.165801))+0-638.9-0.325838999999935</f>
        <v>4203.242561</v>
      </c>
      <c r="J185" s="3">
        <f>2848.1+(2146.1-324.5)+(1.452531+(1.094511-0.165495))+0-564-0.287639999999943</f>
        <v>4107.7939070000002</v>
      </c>
      <c r="K185" s="3">
        <f>3029.2+(2031.8-340)+(3.089784+(2.072436-0.3468))+0-689.9-0.70369800000011</f>
        <v>4035.2117219999996</v>
      </c>
      <c r="L185" s="3">
        <f>2769.4+(2107.9-338.5)+(-5.649576+(-4.300116--0.69054))+0-626.1--1.27724399999997</f>
        <v>3904.7180920000005</v>
      </c>
      <c r="M185" s="3">
        <f>2799.3+(1819-443.3)+(2.855286+(1.85538-0.452166))+0-574.7-0.586194000000092</f>
        <v>3603.9723060000001</v>
      </c>
      <c r="N185" s="3">
        <f>2829.2+(1603.6-335.8)+(-5.771568+(-3.271344--0.685032))+0-624.7--1.27438799999997</f>
        <v>3465.2165079999995</v>
      </c>
      <c r="O185" s="3">
        <f>2786.4+(1582.5-340.9)+(-1.421064+(-0.807075--0.173859))+0-534.4--0.272543999999946</f>
        <v>3491.818264</v>
      </c>
      <c r="P185" s="3">
        <f>2917.8+(1580.6-327.8)+(-2.976156+(-1.612212--0.334356))+0-595.4--0.607308000000095</f>
        <v>3571.553296</v>
      </c>
      <c r="Q185" s="3">
        <f>3192.3+(1409.8-323.5)+(3.256146+(1.437996-0.32997))+0-500.5-0.51051000000008</f>
        <v>3781.9536619999999</v>
      </c>
      <c r="R185" s="3">
        <f>3511.3+(1400.3-300.3)+(-3.581526+(-1.428306--0.306306))+0-531.6--0.542232000000085</f>
        <v>4075.5387060000003</v>
      </c>
      <c r="S185" s="3">
        <f>3538.1+(1857.8-346.1)+(-3.608862+(-1.894956--0.353022))+0-592.9--0.604758000000095</f>
        <v>4452.3539620000001</v>
      </c>
      <c r="T185" s="3">
        <f>4043+(1611.3-334.3)+(-4.12386+(-1.643526--0.340986))+0-663.4--0.676668000000106</f>
        <v>4651.8502680000001</v>
      </c>
      <c r="U185" s="3">
        <f>4093.2+(1531.1-343.5)+(-8.350128+(-3.123444--0.70074))+0-636.5--1.29845999999997</f>
        <v>4634.8256279999996</v>
      </c>
      <c r="V185" s="3">
        <f>3852+(1573.6-350.1)+(-7.85808+(-3.210144--0.714204))+0-637.8--1.30111199999997</f>
        <v>4428.6470920000002</v>
      </c>
      <c r="W185" s="3">
        <f>2889.4+(1966.5-350.3)+(-7.36797+(-5.014575--0.893265))+0-593.6--1.51367999999991</f>
        <v>3902.0244000000007</v>
      </c>
      <c r="X185" s="3">
        <f>2610.6+(1813.6-345.2)+(-3.994218+(-2.774808--0.528156))+0-637.1--0.974763000000037</f>
        <v>3436.6338930000002</v>
      </c>
      <c r="Y185" s="3">
        <f>3157+(1404.2-397.6)+(-6.44028+(-2.864568--0.811104))+0-584.8--1.19299199999997</f>
        <v>3571.4992479999996</v>
      </c>
      <c r="Z185" s="3">
        <f>3940.8+(1192.3-415.1)+(-8.039232+(-2.432292--0.846804))+0-656.1--1.33844399999997</f>
        <v>4053.6137240000003</v>
      </c>
      <c r="AA185" s="3">
        <f>4362.8+(965.6-425.2)+(-17.800224+(-3.939648--1.734816))+0-664.8--2.71238399999994</f>
        <v>4221.107328000001</v>
      </c>
      <c r="AB185" s="3">
        <f>4441.1+(931.4-443.2)+(-11.324805+(-2.37507--1.13016))+0-626.3--1.59706499999991</f>
        <v>4292.0273500000003</v>
      </c>
      <c r="AC185" s="3">
        <f>4443.1+(1002.4-409.6)+(-4.531962+(-1.022448--0.417792))+0-665.7--0.679014000000106</f>
        <v>4365.7423960000006</v>
      </c>
      <c r="AD185">
        <v>4301.0999999999995</v>
      </c>
      <c r="AE185" s="3">
        <f>3891+(1440-373.3)+(0+(0-0))+0-656.6-0</f>
        <v>4301.0999999999995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3081.4+(2051-356.5)+(-3.143028+(-2.09202--0.36363))+0-452--0.461040000000072</f>
        <v>4319.4896220000001</v>
      </c>
      <c r="G186" s="3">
        <f>2967.1+(2059.3-354.8)+(4.539663+(3.150729-0.542844))+0-407.2-0.623016000000024</f>
        <v>4270.924532</v>
      </c>
      <c r="H186" s="3">
        <f>2937.6+(2040-349.6)+(4.494528+(3.1212-0.534888))+0-497.3-0.760869000000029</f>
        <v>4137.0199709999997</v>
      </c>
      <c r="I186" s="3">
        <f>2799.9+(1937.2-323.4)+(2.855898+(1.975944-0.329868))+0-421.1-0.429522000000067</f>
        <v>3996.6724520000007</v>
      </c>
      <c r="J186" s="3">
        <f>2920.9+(1904.7-314.7)+(7.448295+(4.856985-0.802485))+0-627.2-1.59935999999991</f>
        <v>3893.6034350000004</v>
      </c>
      <c r="K186" s="3">
        <f>2747.8+(1885.8-324.4)+(-7.00689+(-4.80879--0.82722))+0-633.1--1.61440499999991</f>
        <v>3666.725945000001</v>
      </c>
      <c r="L186" s="3">
        <f>2589.8+(1671.7-333.6)+(1.320798+(0.852567-0.170136))+0-639.8-0.326297999999935</f>
        <v>3289.7769310000003</v>
      </c>
      <c r="M186" s="3">
        <f>2741.2+(1359.2-360.5)+(-1.398012+(-0.693192--0.183855))+0-593.5--0.30268499999994</f>
        <v>3144.7953359999997</v>
      </c>
      <c r="N186" s="3">
        <f>2794.3+(1339.7-359.3)+(-2.850186+(-1.366494--0.366486))+0-640.2--0.653004000000102</f>
        <v>3131.3028100000006</v>
      </c>
      <c r="O186" s="3">
        <f>2912.2+(1136.9-323.1)+(0+(0-0))+0-547.1-0</f>
        <v>3178.9</v>
      </c>
      <c r="P186" s="3">
        <f>3327.3+(873.1-367.9)+(-1.696923+(-0.445281--0.187629))+0-531--0.270809999999946</f>
        <v>3299.8162349999998</v>
      </c>
      <c r="Q186" s="3">
        <f>3617.7+(870.4-365.9)+(-7.380108+(-1.775616--0.746436))+0-579.1--1.18136399999997</f>
        <v>3535.8720760000001</v>
      </c>
      <c r="R186" s="3">
        <f>3587.4+(1227.2-314.2)+(-9.14787+(-3.12936--0.80121))+0-597.8--1.52438999999991</f>
        <v>3892.6483699999994</v>
      </c>
      <c r="S186" s="3">
        <f>3612+(1531.5-335.9)+(-7.36848+(-3.12426--0.685236))+0-596.9--1.21767599999997</f>
        <v>4202.1101720000006</v>
      </c>
      <c r="T186" s="3">
        <f>3386.8+(1789-300.7)+(0+(0-0))+0-598.3-0</f>
        <v>4276.8</v>
      </c>
      <c r="U186" s="3">
        <f>3559.2+(1599.3-310.9)+(-7.260768+(-3.262572--0.634236))+0-685.7--1.39882799999997</f>
        <v>4153.409724000001</v>
      </c>
      <c r="V186" s="3">
        <f>3202.6+(1591.3-336.3)+(-8.16663+(-4.057815--0.857565))+0-653.6--1.66667999999991</f>
        <v>3794.2998000000007</v>
      </c>
      <c r="W186" s="3">
        <f>2864.7+(1398.5-361.9)+(-2.921994+(-1.42647--0.369138))+0-623.9--0.636378000000099</f>
        <v>3274.0570519999997</v>
      </c>
      <c r="X186" s="3">
        <f>3732+(754.5-518.4)+(-7.61328+(-1.53918--1.057536))+0-639.9--1.30539599999997</f>
        <v>3321.4104719999996</v>
      </c>
      <c r="Y186" s="3">
        <f>3902.8+(791.7-391.9)+(-11.942568+(-2.422602--1.199214))+0-700.4--2.14322400000008</f>
        <v>3591.1772680000004</v>
      </c>
      <c r="Z186" s="3">
        <f>3832.6+(1039-389.8)+(-9.77313+(-2.64945--0.99399))+0-601.1--1.53280499999991</f>
        <v>3870.8042149999997</v>
      </c>
      <c r="AA186" s="3">
        <f>3843.8+(1050.5-398.5)+(-7.841352+(-2.14302--0.81294))+0-659.4--1.34517599999997</f>
        <v>3828.5737439999998</v>
      </c>
      <c r="AB186" s="3">
        <f>3615.9+(1289.4-339.7)+(-5.532327+(-1.972782--0.519741))+0-625.7--0.957321000000036</f>
        <v>3933.8719530000008</v>
      </c>
      <c r="AC186" s="3">
        <f>3587.4+(1393.9-334.3)+(-9.14787+(-3.554445--0.852465))+0-591.3--1.50781499999991</f>
        <v>4045.3579650000001</v>
      </c>
      <c r="AD186">
        <v>3898.7999999999993</v>
      </c>
      <c r="AE186" s="3">
        <f>4054+(751.4-382.6)+(0+(0-0))+0-524-0</f>
        <v>3898.8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2961.7+(2000.8-337.9)+(-3.020934+(-2.040816--0.344658))+0-597.3--0.609246000000095</f>
        <v>4023.1921540000003</v>
      </c>
      <c r="G187" s="3">
        <f>2610.6+(2252.2-328.9)+(1.331406+(1.148622-0.167739))+0-608.3-0.310232999999938</f>
        <v>3927.6020559999997</v>
      </c>
      <c r="H187" s="3">
        <f>2560.5+(2119-313.9)+(2.61171+(2.16138-0.320178))+0-549.1-0.560082000000088</f>
        <v>3820.3928300000002</v>
      </c>
      <c r="I187" s="3">
        <f>2523.6+(2042.1-310.8)+(0+(0-0))+0-562.6-0</f>
        <v>3692.2999999999997</v>
      </c>
      <c r="J187" s="3">
        <f>2563.3+(1985.7-316.8)+(-3.921849+(-3.038121--0.484704))+0-647.6--0.990828000000037</f>
        <v>3579.1155620000004</v>
      </c>
      <c r="K187" s="3">
        <f>2489.8+(1864-302.2)+(-7.618788+(-5.70384--0.924732))+0-635--1.94310000000007</f>
        <v>3406.1452040000004</v>
      </c>
      <c r="L187" s="3">
        <f>2206.8+(1837.3-302)+(1.125468+(0.937023-0.15402))+0-635.6-0.324155999999936</f>
        <v>3108.0843150000005</v>
      </c>
      <c r="M187" s="3">
        <f>2450.9+(1410.3-289.7)+(4.999836+(2.877012-0.590988))+0-622.9-1.27071599999997</f>
        <v>2954.6151439999999</v>
      </c>
      <c r="N187" s="3">
        <f>2575.6+(1263.9-337.3)+(0+(0-0))+0-587.4-0</f>
        <v>2914.7999999999997</v>
      </c>
      <c r="O187" s="3">
        <f>2716.3+(1123.7-362)+(2.770626+(1.146174-0.36924))+0-577-0.588540000000092</f>
        <v>2903.9590199999998</v>
      </c>
      <c r="P187" s="3">
        <f>2672.4+(1223.9-334.2)+(0+(0-0))+0-576.7-0</f>
        <v>2985.4000000000005</v>
      </c>
      <c r="Q187" s="3">
        <f>3005.5+(1144.3-332.3)+(-3.06561+(-1.167186--0.338946))+0-612.8--0.625056000000098</f>
        <v>3201.4312060000007</v>
      </c>
      <c r="R187" s="3">
        <f>3637.2+(876.4-385.6)+(1.854972+(0.446964-0.196656))+0-670.6-0.342005999999932</f>
        <v>3459.163274</v>
      </c>
      <c r="S187" s="3">
        <f>3991.4+(906.5-379.4)+(-4.071228+(-0.92463--0.386988))+0-734.6--0.749292000000117</f>
        <v>3780.040422</v>
      </c>
      <c r="T187" s="3">
        <f>4168.2+(923.4-457)+(-6.377346+(-1.412802--0.69921))+0-700.6--1.07191800000004</f>
        <v>3927.9809799999994</v>
      </c>
      <c r="U187" s="3">
        <f>3844.1+(1016.7-352.3)+(-7.841964+(-2.074068--0.718692))+0-579.4--1.18197599999997</f>
        <v>3921.084636</v>
      </c>
      <c r="V187" s="3">
        <f>3384.3+(1141.1-339.8)+(-5.177979+(-1.745883--0.519894))+0-585.2--0.895356000000034</f>
        <v>3594.8913880000009</v>
      </c>
      <c r="W187" s="3">
        <f>2915.5+(1080.2-342.4)+(0+(0-0))+0-650.8-0</f>
        <v>3002.5</v>
      </c>
      <c r="X187" s="3">
        <f>3865.2+(485.4-502.9)+(0+(0-0))+0-626.9-0</f>
        <v>3220.7999999999997</v>
      </c>
      <c r="Y187" s="3">
        <f>4296.8+(508.8-519.9)+(-2.191368+(-0.259488--0.265149))+0-652.6--0.332825999999934</f>
        <v>3631.2471190000001</v>
      </c>
      <c r="Z187" s="3">
        <f>4239.1+(637-400.5)+(-6.485823+(-0.97461--0.612765))+0-588--0.899640000000034</f>
        <v>3881.6519720000001</v>
      </c>
      <c r="AA187" s="3">
        <f>4057.9+(796.9-355.7)+(-4.139058+(-0.812838--0.362814))+0-689.7--0.70349400000011</f>
        <v>3805.5144120000004</v>
      </c>
      <c r="AB187" s="3">
        <f>3945.2+(998.3-342.2)+(2.012052+(0.509133-0.174522))+0-560.8-0.286007999999943</f>
        <v>4042.5606549999993</v>
      </c>
      <c r="AC187" s="3">
        <f>3536.4+(1553.1-333.3)+(-1.803564+(-0.792081--0.169983))+0-572.8--0.292127999999942</f>
        <v>4181.266466</v>
      </c>
      <c r="AD187">
        <v>3815.1000000000004</v>
      </c>
      <c r="AE187" s="3">
        <f>4381+(513.6-460.5)+(0+(0-0))+0-619-0</f>
        <v>3815.1000000000004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2808.8+(2358.2-361.5)+(0+(0-0))+0-632.7-0</f>
        <v>4172.8</v>
      </c>
      <c r="G188" s="3">
        <f>2754.9+(2279.7-343.6)+(1.404999+(1.162647-0.175236))+0-598.8-0.305387999999939</f>
        <v>4094.2870220000004</v>
      </c>
      <c r="H188" s="3">
        <f>2876.1+(2163.7-354.2)+(2.933622+(2.206974-0.361284))+0-694.4-0.708288000000111</f>
        <v>3995.2710239999988</v>
      </c>
      <c r="I188" s="3">
        <f>2580.8+(2243.8-345.3)+(1.316208+(1.144338-0.176103))+0-577.6-0.294575999999941</f>
        <v>3903.689867</v>
      </c>
      <c r="J188" s="3">
        <f>2664.1+(2076.8-361.1)+(-2.717382+(-2.118336--0.368322))+0-586.7--0.598434000000094</f>
        <v>3789.2310380000004</v>
      </c>
      <c r="K188" s="3">
        <f>2594.8+(2054.7-356.3)+(-6.61674+(-5.239485--0.908565))+0-630.2--1.60700999999991</f>
        <v>3653.6593499999999</v>
      </c>
      <c r="L188" s="3">
        <f>2552.6+(1797.4-362.3)+(0+(0-0))+0-666.5-0</f>
        <v>3321.2</v>
      </c>
      <c r="M188" s="3">
        <f>2505.6+(1629.1-353.3)+(0+(0-0))+0-637.1-0</f>
        <v>3144.2999999999997</v>
      </c>
      <c r="N188" s="3">
        <f>2610.3+(1369.6-329.8)+(-1.331253+(-0.698496--0.168198))+0-568--0.289679999999942</f>
        <v>3080.5281290000003</v>
      </c>
      <c r="O188" s="3">
        <f>2818.6+(934.6-367.2)+(0+(0-0))+0-629.9-0</f>
        <v>2756.1</v>
      </c>
      <c r="P188" s="3">
        <f>3487.2+(796.9-442.8)+(1.778472+(0.406419-0.225828))+0-579.9-0.295748999999941</f>
        <v>3263.0633139999995</v>
      </c>
      <c r="Q188" s="3">
        <f>3632.4+(878.4-365.7)+(-5.557572+(-1.343952--0.559521))+0-632.9--0.968337000000037</f>
        <v>3506.8263340000008</v>
      </c>
      <c r="R188" s="3">
        <f>3955.7+(975.7-367.3)+(0+(0-0))+0-638-0</f>
        <v>3926.1000000000004</v>
      </c>
      <c r="S188" s="3">
        <f>3836.3+(1443.3-395.8)+(1.956513+(0.736083-0.201858))+0-658.1-0.335630999999933</f>
        <v>4227.8551070000003</v>
      </c>
      <c r="T188" s="3">
        <f>3487.2+(1827.7-371.9)+(0+(0-0))+0-547.3-0</f>
        <v>4395.7</v>
      </c>
      <c r="U188" s="3">
        <f>3179.4+(2052.2-350.3)+(-3.242988+(-2.093244--0.357306))+0-588.9--0.600678000000094</f>
        <v>4288.0217520000006</v>
      </c>
      <c r="V188" s="3">
        <f>3057.6+(1788.9-287)+(-4.678128+(-2.737017--0.43911))+0-658.1--1.00689300000004</f>
        <v>3895.4308580000006</v>
      </c>
      <c r="W188" s="3">
        <f>3023.4+(1262.1-288)+(-3.083868+(-1.287342--0.29376))+0-593.7--0.605574000000095</f>
        <v>3400.3281239999997</v>
      </c>
      <c r="X188" s="3">
        <f>3839.4+(731.3-426)+(0+(0-0))+0-640.1-0</f>
        <v>3504.6</v>
      </c>
      <c r="Y188" s="3">
        <f>4419.4+(574.8-481.8)+(-2.253894+(-0.293148--0.245718))+0-587.8--0.29977799999994</f>
        <v>3922.5984539999995</v>
      </c>
      <c r="Z188" s="3">
        <f>4411.9+(765.6-425.7)+(-9.000276+(-1.561824--0.868428))+0-640.5--1.30661999999997</f>
        <v>4102.9129479999992</v>
      </c>
      <c r="AA188" s="3">
        <f>4267.6+(938.2-396.5)+(2.176476+(0.478482-0.202215))+0-623.8-0.318137999999937</f>
        <v>4187.6346050000002</v>
      </c>
      <c r="AB188" s="3">
        <f>3759.4+(1690.8-374.8)+(-5.751882+(-2.586924--0.573444))+0-670.2--1.02540600000004</f>
        <v>4398.4600439999995</v>
      </c>
      <c r="AC188" s="3">
        <f>2836.2+(2585.1-356.5)+(-1.446462+(-1.318401--0.181815))+0-542.5--0.276674999999945</f>
        <v>4519.9936269999989</v>
      </c>
      <c r="AD188">
        <v>4103.2</v>
      </c>
      <c r="AE188" s="3">
        <f>4831+(503.9-513.4)+(0+(0-0))+0-718.3-0</f>
        <v>4103.2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2843.8+(2680.5-353.1)+(-1.450338+(-1.367055--0.180081))+0-711.4--0.362813999999928</f>
        <v>4457.5255020000013</v>
      </c>
      <c r="G189" s="3">
        <f>2605.4+(2735.7-348.5)+(-3.986262+(-4.185621--0.533205))+0-652.9--0.998937000000038</f>
        <v>4333.0602590000008</v>
      </c>
      <c r="H189" s="3">
        <f>2620.1+(2581.2-337.6)+(1.336251+(1.316412-0.172176))+0-657.2-0.335171999999933</f>
        <v>4208.6453149999998</v>
      </c>
      <c r="I189" s="3">
        <f>2616.4+(2530.9-346.9)+(-1.334364+(-1.290759--0.176919))+0-703.5--0.358784999999929</f>
        <v>4094.8105809999993</v>
      </c>
      <c r="J189" s="3">
        <f>2585.9+(2372.7-345.6)+(-1.318809+(-1.210077--0.176256))+0-622.7--0.317576999999937</f>
        <v>3988.2649469999997</v>
      </c>
      <c r="K189" s="3">
        <f>2532.4+(2274.3-342.5)+(-5.166096+(-4.639572--0.6987))+0-653.5--1.33313999999997</f>
        <v>3802.9261720000009</v>
      </c>
      <c r="L189" s="3">
        <f>2365.7+(1991.6-339.1)+(-2.413014+(-2.031432--0.345882))+0-630.9--0.643518000000101</f>
        <v>3383.8449540000001</v>
      </c>
      <c r="M189" s="3">
        <f>2595.8+(1487.2-356.1)+(2.647716+(1.516944-0.363222))+0-523.5-0.533970000000083</f>
        <v>3206.6674680000001</v>
      </c>
      <c r="N189" s="3">
        <f>2808.8+(1514.4-383)+(0+(0-0))+0-576.7-0</f>
        <v>3363.5</v>
      </c>
      <c r="O189" s="3">
        <f>2987.3+(1009.4-375.4)+(1.523523+(0.514794-0.191454))+0-556.7-0.283916999999944</f>
        <v>3066.1629460000004</v>
      </c>
      <c r="P189" s="3">
        <f>3594.1+(804.9-414.2)+(-1.832991+(-0.410499--0.211242))+0-556.7--0.283916999999944</f>
        <v>3426.3516689999997</v>
      </c>
      <c r="Q189" s="3">
        <f>4064.7+(887.6-388.8)+(2.072997+(0.452676-0.198288))+0-563.7-0.287486999999943</f>
        <v>4001.8398979999997</v>
      </c>
      <c r="R189" s="3">
        <f>3974+(1439.1-399.9)+(-4.05348+(-1.467882--0.407898))+0-541.7--0.552534000000086</f>
        <v>4466.9390700000004</v>
      </c>
      <c r="S189" s="3">
        <f>4179+(1588.7-444.5)+(4.26258+(1.620474-0.45339))+0-667.7-0.681054000000107</f>
        <v>4660.2486100000006</v>
      </c>
      <c r="T189" s="3">
        <f>3943.5+(1911.9-403)+(-2.011185+(-0.975069--0.20553))+0-593--0.30242999999994</f>
        <v>4856.9217059999992</v>
      </c>
      <c r="U189" s="3">
        <f>3637.7+(1987.5-351.6)+(-7.420908+(-4.0545--0.717264))+0-671.4--1.36965599999997</f>
        <v>4592.8115120000002</v>
      </c>
      <c r="V189" s="3">
        <f>3238.9+(2038.2-335.5)+(-3.303678+(-2.078964--0.34221))+0-589--0.600780000000094</f>
        <v>4348.1603480000003</v>
      </c>
      <c r="W189" s="3">
        <f>3020.3+(1623.9-349.7)+(1.540353+(0.828189-0.178347))+0-689.5-0.35164499999993</f>
        <v>3606.8385500000004</v>
      </c>
      <c r="X189" s="3">
        <f>3484.3+(1225.4-378.1)+(-1.776993+(-0.624954--0.192831))+0-637.4--0.325073999999935</f>
        <v>3692.3159580000001</v>
      </c>
      <c r="Y189" s="3">
        <f>3731.1+(1321.4-338.2)+(-9.514305+(-3.36957--0.86241))+0-733.4--1.87016999999989</f>
        <v>3970.748705</v>
      </c>
      <c r="Z189" s="3">
        <f>3857.7+(1334.8-359.3)+(-3.934854+(-1.361496--0.366486))+0-611.1--0.623322000000097</f>
        <v>4217.7934580000001</v>
      </c>
      <c r="AA189" s="3">
        <f>3961.6+(1210-367)+(-2.020416+(-0.6171--0.18717))+0-626.2--0.319361999999936</f>
        <v>4176.2690160000011</v>
      </c>
      <c r="AB189" s="3">
        <f>3828.2+(1557.8-373.8)+(-5.857146+(-2.383434--0.571914))+0-580.2--0.887706000000034</f>
        <v>4425.2190400000009</v>
      </c>
      <c r="AC189" s="3">
        <f>3541.5+(1826.4-326.6)+(-9.030825+(-4.65732--0.83283))+0-767.4--1.95686999999989</f>
        <v>4263.0015550000007</v>
      </c>
      <c r="AD189">
        <v>4058.3</v>
      </c>
      <c r="AE189" s="3">
        <f>3768+(1288.8-347.5)+(0+(0-0))+0-651-0</f>
        <v>4058.3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2802.4+(2422.6-252.1)+(-7.14612+(-6.17763--0.642855))+0-629.9--1.60624499999991</f>
        <v>4331.9253499999995</v>
      </c>
      <c r="G190" s="3">
        <f>2607.9+(2483.6-251.1)+(5.320116+(5.066544-0.512244))+0-638.3-1.30213199999997</f>
        <v>4210.6722839999993</v>
      </c>
      <c r="H190" s="3">
        <f>2612.4+(2328-248.4)+(-2.664648+(-2.37456--0.253368))+0-623.7--0.636174000000099</f>
        <v>4064.1503340000008</v>
      </c>
      <c r="I190" s="3">
        <f>2557.7+(2265.8-263.7)+(-2.608854+(-2.311116--0.268974))+0-614--0.626280000000098</f>
        <v>3941.7752839999998</v>
      </c>
      <c r="J190" s="3">
        <f>2483.8+(2228.4-261.8)+(-2.533476+(-2.272968--0.267036))+0-675.7--0.689214000000108</f>
        <v>3770.8498060000011</v>
      </c>
      <c r="K190" s="3">
        <f>2357+(2139.2-265.5)+(-6.01035+(-5.45496--0.677025))+0-618.5--1.57717499999991</f>
        <v>3602.9888900000001</v>
      </c>
      <c r="L190" s="3">
        <f>2358+(1810.4-258.1)+(-3.60774+(-2.769912--0.394893))+0-728.9--1.11521700000004</f>
        <v>3176.5324580000001</v>
      </c>
      <c r="M190" s="3">
        <f>2720.4+(1188.9-295.8)+(1.387404+(0.606339-0.150858))+0-680.8-0.347207999999931</f>
        <v>2934.1956769999997</v>
      </c>
      <c r="N190" s="3">
        <f>2468.3+(1497.1-306.3)+(0+(0-0))+0-557-0</f>
        <v>3102.1000000000004</v>
      </c>
      <c r="O190" s="3">
        <f>2524.8+(1349.7-302.6)+(1.287648+(0.688347-0.154326))+0-582.7-0.297176999999941</f>
        <v>2990.7244919999998</v>
      </c>
      <c r="P190" s="3">
        <f>2729.7+(1423.2-333.4)+(2.784294+(1.451664-0.340068))+0-425.4-0.433908000000068</f>
        <v>3397.5619819999997</v>
      </c>
      <c r="Q190" s="3">
        <f>3084.8+(1465.4-326.3)+(0+(0-0))+0-663.9-0</f>
        <v>3560.0000000000005</v>
      </c>
      <c r="R190" s="3">
        <f>3036.7+(1949.7-280.1)+(-4.646151+(-2.983041--0.428553))+0-670.2--1.02540600000004</f>
        <v>4029.924767</v>
      </c>
      <c r="S190" s="3">
        <f>3559.9+(1931.7-361.6)+(-7.262196+(-3.940668--0.737664))+0-625.4--1.27581599999997</f>
        <v>4495.410616000001</v>
      </c>
      <c r="T190" s="3">
        <f>3755.5+(1862-381.2)+(-9.576525+(-4.7481--0.97206))+0-534.4--1.36271999999992</f>
        <v>4689.9101550000005</v>
      </c>
      <c r="U190" s="3">
        <f>3477.3+(2123.1-172.7)+(-12.413961+(-7.579467--0.616539))+0-522--1.86354000000001</f>
        <v>4888.186651</v>
      </c>
      <c r="V190" s="3">
        <f>3153.4+(1954.5-160.6)+(-11.257638+(-6.977565--0.573342))+0-671--2.39547000000001</f>
        <v>4261.033609000001</v>
      </c>
      <c r="W190" s="3">
        <f>2952+(1300.3-171.1)+(-6.02208+(-2.652612--0.349044))+0-526.5--1.07405999999998</f>
        <v>3547.4484119999997</v>
      </c>
      <c r="X190" s="3">
        <f>3749.9+(819.5-301.2)+(-7.649796+(-1.67178--0.614448))+0-655.3--1.33681199999997</f>
        <v>3605.5296839999996</v>
      </c>
      <c r="Y190" s="3">
        <f>3199.3+(1566.2-194.8)+(-6.526572+(-3.195048--0.397392))+0-590.6--1.20482399999997</f>
        <v>3971.9805960000003</v>
      </c>
      <c r="Z190" s="3">
        <f>3982.3+(976.1-274.4)+(0+(0-0))+0-567.2-0</f>
        <v>4116.8</v>
      </c>
      <c r="AA190" s="3">
        <f>4211.7+(1106.5-401.9)+(-10.739835+(-2.821575--1.024845))+0-706.5--1.8015749999999</f>
        <v>4199.0650099999993</v>
      </c>
      <c r="AB190" s="3">
        <f>3983.6+(1195.5-391.3)+(-10.15818+(-3.048525--0.997815))+0-538--1.37189999999992</f>
        <v>4238.9630100000004</v>
      </c>
      <c r="AC190" s="3">
        <f>3848.8+(1483.8-348.5)+(-9.81444+(-3.78369--0.888675))+0-564--1.43819999999992</f>
        <v>4408.8287449999998</v>
      </c>
      <c r="AD190">
        <v>3817.3</v>
      </c>
      <c r="AE190" s="3">
        <f>3036+(1761.8-198.8)+(0+(0-0))+0-627.7-0</f>
        <v>3971.3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2998.7+(2388.1-351.7)+(-6.117348+(-4.871724--0.717468))+0-660.4--1.34721599999997</f>
        <v>4365.7756120000004</v>
      </c>
      <c r="G191" s="3">
        <f>2867.9+(2396.7-349.6)+(0+(0-0))+0-666.1-0</f>
        <v>4248.8999999999996</v>
      </c>
      <c r="H191" s="3">
        <f>2827.7+(2225.9-349.8)+(0+(0-0))+0-599.3-0</f>
        <v>4104.5</v>
      </c>
      <c r="I191" s="3">
        <f>2827.8+(2121.5-334.8)+(0+(0-0))+0-621.9-0</f>
        <v>3992.6</v>
      </c>
      <c r="J191" s="3">
        <f>2732.7+(2143-335.3)+(-2.787354+(-2.18586--0.342006))+0-655.9--0.669018000000105</f>
        <v>3880.5378099999998</v>
      </c>
      <c r="K191" s="3">
        <f>2640.5+(2017.5-315.8)+(-1.346655+(-1.028925--0.161058))+0-638.3--0.325532999999935</f>
        <v>3702.0110109999991</v>
      </c>
      <c r="L191" s="3">
        <f>2571.9+(1663.2-309.8)+(-2.623338+(-1.696464--0.315996))+0-653.8--0.666876000000104</f>
        <v>3268.1630700000005</v>
      </c>
      <c r="M191" s="3">
        <f>2836.6+(1085.4-341.1)+(4.339998+(1.660662-0.521883))+0-544.3-0.832779000000031</f>
        <v>3041.2459979999999</v>
      </c>
      <c r="N191" s="3">
        <f>2872.1+(1237.5-359.3)+(2.929542+(1.26225-0.366486))+0-667.4-0.680748000000106</f>
        <v>3086.0445580000001</v>
      </c>
      <c r="O191" s="3">
        <f>2959.7+(1064.1-426.8)+(0+(0-0))+0-401.9-0</f>
        <v>3195.1</v>
      </c>
      <c r="P191" s="3">
        <f>3147.8+(1145-422.5)+(-8.02689+(-2.91975--1.077375))+0-550.5--1.40377499999992</f>
        <v>3311.3345100000001</v>
      </c>
      <c r="Q191" s="3">
        <f>2989.8+(1419.6-308.7)+(1.524798+(0.723996-0.157437))+0-445.8-0.227357999999955</f>
        <v>3656.7639989999998</v>
      </c>
      <c r="R191" s="3">
        <f>3207.7+(1665.7-255)+(3.271854+(1.699014-0.2601))+0-527.4-0.537948000000084</f>
        <v>4095.1728199999993</v>
      </c>
      <c r="S191" s="3">
        <f>4063.5+(1584.5-468.2)+(8.28954+(3.23238-0.955128))+0-626.9-1.27887599999997</f>
        <v>4562.1879159999999</v>
      </c>
      <c r="T191" s="3">
        <f>4328+(1430.1-437.2)+(-6.62184+(-2.188053--0.668916))+0-480--0.734400000000028</f>
        <v>4833.4934229999999</v>
      </c>
      <c r="U191" s="3">
        <f>3970.8+(1536.9-436.7)+(-10.12554+(-3.919095--1.113585))+0-456.7--1.16458499999993</f>
        <v>4602.5335349999996</v>
      </c>
      <c r="V191" s="3">
        <f>3641.3+(1595.9-465.6)+(-9.285315+(-4.069545--1.18728))+0-591--1.50704999999991</f>
        <v>4169.9394700000003</v>
      </c>
      <c r="W191" s="3">
        <f>3610.2+(1047.4-448.6)+(-5.523606+(-1.602522--0.686358))+0-536.7--0.821151000000031</f>
        <v>3666.6813810000003</v>
      </c>
      <c r="X191" s="3">
        <f>4010.8+(635.6-520.1)+(6.136524+(0.972468-0.795753))+0-536-0.820080000000031</f>
        <v>3595.7931590000003</v>
      </c>
      <c r="Y191" s="3">
        <f>3916.9+(1122.6-419)+(-9.988095+(-2.86263--1.06845))+0-600.1--1.53025499999991</f>
        <v>4010.1479800000006</v>
      </c>
      <c r="Z191" s="3">
        <f>4049.4+(989-427.1)+(-4.130388+(-1.00878--0.435642))+0-478.2--0.487764000000076</f>
        <v>4128.8842380000006</v>
      </c>
      <c r="AA191" s="3">
        <f>4216.1+(1137.6-409.2)+(-6.450633+(-1.740528--0.626076))+0-707.4--1.08232200000004</f>
        <v>4230.6172370000004</v>
      </c>
      <c r="AB191" s="3">
        <f>3697.7+(1600.2-392.8)+(-7.543308+(-3.264408--0.801312))+0-557.8--1.13791199999998</f>
        <v>4338.4315080000006</v>
      </c>
      <c r="AC191" s="3">
        <f>3359.8+(2234.9-392.3)+(-8.56749+(-5.698995--1.000365))+0-721.1--1.8388049999999</f>
        <v>4469.8726850000003</v>
      </c>
      <c r="AD191">
        <v>3944.2</v>
      </c>
      <c r="AE191" s="3">
        <f>4121+(808.8-463.1)+(0+(0-0))+0-522.5-0</f>
        <v>3944.2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2798.9+(2586.3-358.9)+(-5.709756+(-5.276052--0.732156))+0-528--1.07711999999998</f>
        <v>4489.1234679999998</v>
      </c>
      <c r="G192" s="3">
        <f>2476.4+(2856.2-351.9)+(-1.262964+(-1.456662--0.179469))+0-633.4--0.323033999999936</f>
        <v>4345.0828769999998</v>
      </c>
      <c r="H192" s="3">
        <f>2346.9+(2899.5-352.4)+(-4.787676+(-5.91498--0.718896))+0-674.2--1.37536799999997</f>
        <v>4211.1916080000001</v>
      </c>
      <c r="I192" s="3">
        <f>2241.9+(2780.7-342.3)+(1.143369+(1.418157-0.174573))+0-678-0.345779999999931</f>
        <v>4004.3411729999993</v>
      </c>
      <c r="J192" s="3">
        <f>2268.2+(2766.3-356.2)+(-2.313564+(-2.821626--0.363324))+0-689.1--0.70288200000011</f>
        <v>3985.1310160000003</v>
      </c>
      <c r="K192" s="3">
        <f>2252.4+(2507.5-349.7)+(-5.74362+(-6.394125--0.891735))+0-550.8--1.40453999999992</f>
        <v>3849.5585300000007</v>
      </c>
      <c r="L192" s="3">
        <f>2092.2+(2201.7-354.2)+(-1.067022+(-1.122867--0.180642))+0-580.3--0.295952999999941</f>
        <v>3357.6867059999995</v>
      </c>
      <c r="M192" s="3">
        <f>2226.2+(1903.5-356.9)+(1.135362+(0.970785-0.182019))+0-664.6-0.338945999999933</f>
        <v>3109.7851820000001</v>
      </c>
      <c r="N192" s="3">
        <f>2294.3+(1809.1-365.4)+(2.340186+(1.845282-0.372708))+0-571.2-0.582624000000091</f>
        <v>3170.0301359999999</v>
      </c>
      <c r="O192" s="3">
        <f>2511.8+(1691.8-345.2)+(3.843054+(2.588454-0.528156))+0-617-0.944010000000036</f>
        <v>3246.3593419999997</v>
      </c>
      <c r="P192" s="3">
        <f>2675.4+(1656.4-355.1)+(0+(0-0))+0-554.3-0</f>
        <v>3422.4000000000005</v>
      </c>
      <c r="Q192" s="3">
        <f>2885.1+(1648.2-330.9)+(1.471401+(0.840582-0.168759))+0-451.3-0.230162999999954</f>
        <v>3753.0130609999997</v>
      </c>
      <c r="R192" s="3">
        <f>3288.6+(1858-425.9)+(-5.031558+(-2.84274--0.651627))+0-616.8--0.943704000000036</f>
        <v>4097.6210329999994</v>
      </c>
      <c r="S192" s="3">
        <f>3835.7+(1915.3-549.8)+(1.956207+(0.976803-0.280398))+0-454.1-0.231590999999954</f>
        <v>4749.5210209999996</v>
      </c>
      <c r="T192" s="3">
        <f>4032.9+(1889.5-459.8)+(-8.227116+(-3.85458--0.937992))+0-630.4--1.28601599999997</f>
        <v>4822.3423120000007</v>
      </c>
      <c r="U192" s="3">
        <f>3574.5+(2073.4-360.3)+(-9.114975+(-5.28717--0.918765))+0-523.7--1.33543499999992</f>
        <v>4751.7520550000008</v>
      </c>
      <c r="V192" s="3">
        <f>2715.3+(2366.8-360)+(-2.769606+(-2.414136--0.3672))+0-447.4--0.456348000000071</f>
        <v>4270.3398060000009</v>
      </c>
      <c r="W192" s="3">
        <f>2732.2+(1797.7-337.8)+(0+(0-0))+0-482.8-0</f>
        <v>3709.3</v>
      </c>
      <c r="X192" s="3">
        <f>3289.7+(1290.4-360.1)+(-3.355494+(-1.316208--0.367302))+0-469.7--0.479094000000075</f>
        <v>3746.4746940000005</v>
      </c>
      <c r="Y192" s="3">
        <f>3324.2+(1687.2-342.8)+(-5.086026+(-2.581416--0.524484))+0-582.3--0.890919000000034</f>
        <v>4080.0479609999998</v>
      </c>
      <c r="Z192" s="3">
        <f>3381.2+(1784.9-348.5)+(-5.173236+(-2.730897--0.533205))+0-445.8--0.682074000000026</f>
        <v>4365.1111460000002</v>
      </c>
      <c r="AA192" s="3">
        <f>3428.3+(1865-361)+(-3.496866+(-1.9023--0.36822))+0-675.6--0.689112000000108</f>
        <v>4252.358166</v>
      </c>
      <c r="AB192" s="3">
        <f>3329.2+(2154.4-356.5)+(-1.697892+(-1.098744--0.181815))+0-623.8--0.318137999999937</f>
        <v>4501.0033169999997</v>
      </c>
      <c r="AC192" s="3">
        <f>3116.6+(2388.1-334.9)+(-1.589466+(-1.217931--0.170799))+0-620.1--0.316250999999937</f>
        <v>4547.3796529999991</v>
      </c>
      <c r="AD192">
        <v>4251.3999999999996</v>
      </c>
      <c r="AE192" s="3">
        <f>3376+(1614.3-350.3)+(0+(0-0))+0-388.6-0</f>
        <v>4251.3999999999996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2620.6+(2824.4-357.6)+(-5.346024+(-5.761776--0.729504))+0-627.1--1.27928399999997</f>
        <v>4451.2009879999996</v>
      </c>
      <c r="G193" s="3">
        <f>2437.4+(2920.3-348.9)+(-6.21537+(-7.446765--0.889695))+0-683.4--1.7426699999999</f>
        <v>4314.3702300000004</v>
      </c>
      <c r="H193" s="3">
        <f>2279.1+(2959.2-335)+(-2.324682+(-3.018384--0.3417))+0-735.3--0.750006000000117</f>
        <v>4163.7486399999989</v>
      </c>
      <c r="I193" s="3">
        <f>2373.3+(2739.2-331.9)+(-4.841532+(-5.587968--0.677076))+0-699.5--1.42697999999997</f>
        <v>4072.7745560000003</v>
      </c>
      <c r="J193" s="3">
        <f>2719.7+(2319.6-357.9)+(6.935235+(5.91498-0.912645))+0-609.1-1.55320499999991</f>
        <v>4082.6843650000001</v>
      </c>
      <c r="K193" s="3">
        <f>2616.7+(2192.6-344.1)+(-2.669034+(-2.236452--0.350982))+0-676.2--0.689724000000108</f>
        <v>3785.1352200000006</v>
      </c>
      <c r="L193" s="3">
        <f>2497.3+(1873.8-341.7)+(5.094492+(3.822552-0.697068))+0-616.7-1.25806799999997</f>
        <v>3419.661908</v>
      </c>
      <c r="M193" s="3">
        <f>2702.2+(1479.7-354.6)+(4.134366+(2.263941-0.542538))+0-640.9-0.980577000000037</f>
        <v>3191.2751919999996</v>
      </c>
      <c r="N193" s="3">
        <f>2612.2+(1492.5-368)+(-2.664444+(-1.52235--0.37536))+0-589.1--0.600882000000094</f>
        <v>3144.3894479999999</v>
      </c>
      <c r="O193" s="3">
        <f>2681.2+(1413-362.3)+(1.367412+(0.72063-0.184773))+0-530.4-0.270503999999946</f>
        <v>3203.1327649999994</v>
      </c>
      <c r="P193" s="3">
        <f>3035.2+(1212.4-385.2)+(3.095904+(1.236648-0.392904))+0-517.9-0.528258000000083</f>
        <v>3347.9113899999993</v>
      </c>
      <c r="Q193" s="3">
        <f>3512.4+(1215.7-488.9)+(0+(0-0))+0-594.4-0</f>
        <v>3644.7999999999997</v>
      </c>
      <c r="R193" s="3">
        <f>3872.6+(1306.2-510.4)+(-9.87513+(-3.33081--1.30152))+0-529.1--1.34920499999992</f>
        <v>4128.744784999999</v>
      </c>
      <c r="S193" s="3">
        <f>4088.3+(1430.4-544.7)+(-8.340132+(-2.918016--1.111188))+0-447--0.91187999999998</f>
        <v>4517.7649199999996</v>
      </c>
      <c r="T193" s="3">
        <f>3899.7+(1600.4-451.6)+(-9.944235+(-4.08102--1.15158))+0-540.4--1.37801999999992</f>
        <v>4496.6043450000006</v>
      </c>
      <c r="U193" s="3">
        <f>3706+(1704.5-358.6)+(-7.56024+(-3.47718--0.731544))+0-682.4--1.39209599999997</f>
        <v>4360.5862199999992</v>
      </c>
      <c r="V193" s="3">
        <f>3180.1+(1610.8-348.5)+(-6.487404+(-3.286032--0.71094))+0-321--0.654839999999986</f>
        <v>4112.9923440000002</v>
      </c>
      <c r="W193" s="3">
        <f>3191.9+(1187.4-335.8)+(-3.255738+(-1.211148--0.342516))+0-744.2--0.759084000000119</f>
        <v>3295.934714</v>
      </c>
      <c r="X193" s="3">
        <f>3847.9+(793.5-430.2)+(3.924858+(0.80937-0.438804))+0-667.9-0.681258000000107</f>
        <v>3546.9141659999996</v>
      </c>
      <c r="Y193" s="3">
        <f>3930.4+(953.6-392.9)+(-6.013512+(-1.459008--0.601137))+0-614.6--0.940338000000036</f>
        <v>3870.5689550000006</v>
      </c>
      <c r="Z193" s="3">
        <f>3843.8+(1140.2-358.2)+(-5.881014+(-1.744506--0.548046))+0-683.5--1.04575500000004</f>
        <v>3936.2682810000006</v>
      </c>
      <c r="AA193" s="3">
        <f>3746.1+(1258.1-338.1)+(-5.731533+(-1.924893--0.517293))+0-791.6--1.21114800000005</f>
        <v>3868.5720149999997</v>
      </c>
      <c r="AB193" s="3">
        <f>3710.1+(1283.2-353.3)+(-1.892151+(-0.654432--0.180183))+0-358.7--0.182936999999964</f>
        <v>4279.1165369999999</v>
      </c>
      <c r="AC193" s="3">
        <f>3188.9+(1696.2-363.3)+(-3.252678+(-1.730124--0.370566))+0-280.7--0.286314000000045</f>
        <v>4236.7740780000004</v>
      </c>
      <c r="AD193">
        <v>4018.9999999999995</v>
      </c>
      <c r="AE193" s="3">
        <f>4105+(985.4-407.8)+(0+(0-0))+0-663.6-0</f>
        <v>4019.0000000000005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2592+(2406-345.5)+(2.64384+(2.45412-0.35241))+0-642.9-0.655758000000103</f>
        <v>4013.6897919999997</v>
      </c>
      <c r="G194" s="3">
        <f>2714.8+(2502.5-365.1)+(1.384548+(1.276275-0.186201))+0-694.7-0.35429699999993</f>
        <v>4159.6203250000008</v>
      </c>
      <c r="H194" s="3">
        <f>2819.6+(2241-374.4)+(2.875992+(2.28582-0.381888))+0-553.9-0.564978000000088</f>
        <v>4136.5149460000002</v>
      </c>
      <c r="I194" s="3">
        <f>2757.7+(2242.6-357.5)+(-1.406427+(-1.143726--0.182325))+0-621.5--0.316964999999937</f>
        <v>4019.2491369999989</v>
      </c>
      <c r="J194" s="3">
        <f>2803.9+(2083.3-364.4)+(1.429989+(1.062483-0.185844))+0-719.6-0.366995999999927</f>
        <v>3805.1396320000008</v>
      </c>
      <c r="K194" s="3">
        <f>2595.1+(2091.3-353.6)+(-6.617505+(-5.332815--0.90168))+0-738.3--1.88266499999989</f>
        <v>3585.3340250000001</v>
      </c>
      <c r="L194" s="3">
        <f>2392.2+(1897.5-350.2)+(2.440044+(1.93545-0.357204))+0-613.2-0.625464000000098</f>
        <v>3329.692826</v>
      </c>
      <c r="M194" s="3">
        <f>2477.8+(1654.3-354.9)+(0+(0-0))+0-680.7-0</f>
        <v>3096.5</v>
      </c>
      <c r="N194" s="3">
        <f>2385.4+(1581.4-361)+(-3.649662+(-2.419542--0.55233))+0-596.6--0.912798000000035</f>
        <v>3004.5959240000002</v>
      </c>
      <c r="O194" s="3">
        <f>2458+(1495.7-359.8)+(3.76074+(2.288421-0.550494))+0-580.4-0.888012000000034</f>
        <v>3018.110655</v>
      </c>
      <c r="P194" s="3">
        <f>2539.2+(1458.9-234)+(-2.589984+(-1.488078--0.23868))+0-662.8--0.676056000000106</f>
        <v>3098.1366740000003</v>
      </c>
      <c r="Q194" s="3">
        <f>2723.5+(1411.9-271.3)+(0+(0-0))+0-504.3-0</f>
        <v>3359.8</v>
      </c>
      <c r="R194" s="3">
        <f>3094.4+(1653.2-351)+(0+(0-0))+0-647.8-0</f>
        <v>3748.8</v>
      </c>
      <c r="S194" s="3">
        <f>3455.7+(1679.8-355.4)+(-3.524814+(-1.713396--0.362508))+0-576--0.587520000000092</f>
        <v>4199.8118180000001</v>
      </c>
      <c r="T194" s="3">
        <f>3455.3+(1849-356)+(-7.048812+(-3.77196--0.72624))+0-571.3--1.16545199999998</f>
        <v>4368.0709200000001</v>
      </c>
      <c r="U194" s="3">
        <f>3073.1+(2047.2-315.7)+(-9.403686+(-6.264432--0.966042))+0-480.1--1.46910600000006</f>
        <v>4311.2670300000009</v>
      </c>
      <c r="V194" s="3">
        <f>3086.1+(1609.1-319.9)+(-6.295644+(-3.282564--0.652596))+0-679.9--1.38699599999997</f>
        <v>3687.8613839999994</v>
      </c>
      <c r="W194" s="3">
        <f>3295.7+(981-329.7)+(3.361614+(1.00062-0.336294))+0-558.5-0.569670000000089</f>
        <v>3391.9562699999997</v>
      </c>
      <c r="X194" s="3">
        <f>3878.1+(661.7-415)+(1.977831+(0.337467-0.21165))+0-666.7-0.340016999999932</f>
        <v>3459.8636310000006</v>
      </c>
      <c r="Y194" s="3">
        <f>4386.7+(598.7-467.9)+(-4.474434+(-0.610674--0.477258))+0-635.3--0.648006000000101</f>
        <v>3878.2401559999994</v>
      </c>
      <c r="Z194" s="3">
        <f>4078.7+(996.9-429.2)+(-4.160274+(-1.016838--0.437784))+0-575.8--0.587316000000092</f>
        <v>4066.4479879999999</v>
      </c>
      <c r="AA194" s="3">
        <f>3639.7+(1643-354.9)+(-1.856247+(-0.83793--0.180999))+0-727.7--0.371126999999926</f>
        <v>4197.9579489999996</v>
      </c>
      <c r="AB194" s="3">
        <f>3536.4+(1861.7-350.4)+(-5.410692+(-2.848401--0.536112))+0-529.1--0.809523000000031</f>
        <v>4511.6865420000004</v>
      </c>
      <c r="AC194" s="3">
        <f>3180.8+(2361.6-336.6)+(-4.866624+(-3.613248--0.514998))+0-607.1--0.928863000000035</f>
        <v>4591.6639889999997</v>
      </c>
      <c r="AD194">
        <v>4311.7000000000007</v>
      </c>
      <c r="AE194" s="3">
        <f>4512+(900.6-483.4)+(0+(0-0))+0-617.5-0</f>
        <v>4311.7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2947.4+(2475.8-336.8)+(-13.528566+(-11.363922--1.545912))+0-522.5--2.39827500000009</f>
        <v>4542.9516990000002</v>
      </c>
      <c r="G195" s="3">
        <f>2696.9+(2606.8-329.9)+(-2.750838+(-2.658936--0.336498))+0-549.4--0.560388000000088</f>
        <v>4419.8871120000003</v>
      </c>
      <c r="H195" s="3">
        <f>2468.4+(2745.3-340.3)+(-7.553304+(-8.400618--1.041318))+0-539--1.64934000000006</f>
        <v>4321.1367359999995</v>
      </c>
      <c r="I195" s="3">
        <f>2451.6+(2705.1-340.1)+(-3.750948+(-4.138803--0.520353))+0-644.6--0.986238000000037</f>
        <v>4165.6168400000006</v>
      </c>
      <c r="J195" s="3">
        <f>2580.6+(2454-349.6)+(0+(0-0))+0-624.3-0</f>
        <v>4060.7</v>
      </c>
      <c r="K195" s="3">
        <f>2468.1+(2416.9-337.1)+(-3.776193+(-3.697857--0.515763))+0-646.6--0.989298000000037</f>
        <v>3895.3310109999993</v>
      </c>
      <c r="L195" s="3">
        <f>2102.7+(2310.6-346.3)+(1.072377+(1.178406-0.176613))+0-577.4-0.294473999999941</f>
        <v>3491.379696</v>
      </c>
      <c r="M195" s="3">
        <f>2152.8+(2150.5-335.3)+(0+(0-0))+0-669.2-0</f>
        <v>3298.8</v>
      </c>
      <c r="N195" s="3">
        <f>2328.4+(1931.8-343.9)+(2.374968+(1.970436-0.350778))+0-612.5-0.624750000000098</f>
        <v>3307.1698760000004</v>
      </c>
      <c r="O195" s="3">
        <f>2695+(1442.9-386.7)+(5.4978+(2.943516-0.788868))+0-545.5-1.11281999999998</f>
        <v>3212.2396279999998</v>
      </c>
      <c r="P195" s="3">
        <f>3564.4+(883.4-480.4)+(3.635688+(0.901068-0.490008))+0-468.7-0.478074000000075</f>
        <v>3502.2686740000004</v>
      </c>
      <c r="Q195" s="3">
        <f>4148.9+(881.7-611)+(2.115939+(0.449667-0.31161))+0-597.3-0.304622999999939</f>
        <v>3824.2493729999997</v>
      </c>
      <c r="R195" s="3">
        <f>3891.5+(1416.1-565.3)+(-1.984665+(-0.722211--0.288303))+0-599.5--0.305744999999939</f>
        <v>4140.6871719999999</v>
      </c>
      <c r="S195" s="3">
        <f>4168.5+(1682.8-780.8)+(8.50374+(3.432912-1.592832))+0-516.9-1.05447599999998</f>
        <v>4562.8893440000002</v>
      </c>
      <c r="T195" s="3">
        <f>4535.4+(1602.1-914.3)+(-2.313054+(-0.817071--0.466293))+0-583.7--0.297686999999941</f>
        <v>4637.133855</v>
      </c>
      <c r="U195" s="3">
        <f>4003.1+(1702.9-668.4)+(-8.166324+(-3.473916--1.363536))+0-504.5--1.02917999999998</f>
        <v>4523.852476</v>
      </c>
      <c r="V195" s="3">
        <f>3095.6+(1886.2-319.3)+(-6.315024+(-3.847848--0.651372))+0-593.6--1.21094399999997</f>
        <v>4060.5994440000004</v>
      </c>
      <c r="W195" s="3">
        <f>3032.4+(1458-391)+(-4.639572+(-2.23074--0.59823))+0-542.8--0.830484000000031</f>
        <v>3551.158402</v>
      </c>
      <c r="X195" s="3">
        <f>4435.7+(629-674.1)+(0+(0-0))+0-639-0</f>
        <v>3751.5999999999995</v>
      </c>
      <c r="Y195" s="3">
        <f>4206.6+(885.1-569.7)+(-10.72683+(-2.257005--1.452735))+0-597.2--1.52285999999991</f>
        <v>3914.7917600000001</v>
      </c>
      <c r="Z195" s="3">
        <f>3865.1+(1252.5-427.1)+(-3.942402+(-1.27755--0.435642))+0-656--0.669120000000105</f>
        <v>4030.38481</v>
      </c>
      <c r="AA195" s="3">
        <f>3720.7+(1527.2-431.2)+(-7.590228+(-3.115488--0.879648))+0-667.6--1.36190399999997</f>
        <v>4140.6358359999995</v>
      </c>
      <c r="AB195" s="3">
        <f>3511.3+(1796.2-411.9)+(-3.581526+(-1.832124--0.420138))+0-640.1--0.652902000000102</f>
        <v>4251.1593899999998</v>
      </c>
      <c r="AC195" s="3">
        <f>3201.7+(2143.9-371.9)+(-9.797202+(-6.560334--1.138014))+0-635--1.94310000000007</f>
        <v>4325.4235779999999</v>
      </c>
      <c r="AD195">
        <v>3939.2999999999993</v>
      </c>
      <c r="AE195" s="3">
        <f>4651+(566.2-803.1)+(0+(0-0))+0-474.8-0</f>
        <v>3939.3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2961.5+(2364.5-341.6)+(-7.551825+(-6.029475--0.87108))+0-659.4--1.6814699999999</f>
        <v>4313.9712499999996</v>
      </c>
      <c r="G196" s="3">
        <f>2848.9+(2310.3-337.7)+(0+(0-0))+0-631.3-0</f>
        <v>4190.2</v>
      </c>
      <c r="H196" s="3">
        <f>2637.3+(2403.1-338.5)+(-4.035069+(-3.676743--0.517905))+0-637.3--0.975069000000037</f>
        <v>4058.3811619999997</v>
      </c>
      <c r="I196" s="3">
        <f>2803.7+(2128.7-327)+(-4.289661+(-3.256911--0.50031))+0-659.8--1.00949400000004</f>
        <v>3939.5632319999995</v>
      </c>
      <c r="J196" s="3">
        <f>2752.4+(1997.8-340.9)+(-4.211172+(-3.056634--0.521577))+0-582.4--0.891072000000034</f>
        <v>3821.0448429999997</v>
      </c>
      <c r="K196" s="3">
        <f>2632.9+(2011.7-334.9)+(-2.685558+(-2.051934--0.341598))+0-706.2--0.720324000000113</f>
        <v>3599.8244300000006</v>
      </c>
      <c r="L196" s="3">
        <f>2491.5+(1601.3-334.8)+(0+(0-0))+0-601.6-0</f>
        <v>3156.4</v>
      </c>
      <c r="M196" s="3">
        <f>2671.9+(1112.5-315.5)+(4.088007+(1.702125-0.482715))+0-584.7-0.894591000000034</f>
        <v>2888.6128259999996</v>
      </c>
      <c r="N196" s="3">
        <f>2621.6+(1120.5-336.9)+(2.674032+(1.14291-0.343638))+0-466.5-0.475830000000074</f>
        <v>2941.6974740000001</v>
      </c>
      <c r="O196" s="3">
        <f>2614.4+(1128.9-351.2)+(-2.666688+(-1.151478--0.358224))+0-439.3--0.44808600000007</f>
        <v>2949.7881440000001</v>
      </c>
      <c r="P196" s="3">
        <f>2996.5+(1045.9-362.5)+(-1.528215+(-0.533409--0.184875))+0-592.4--0.30212399999994</f>
        <v>3085.9253749999998</v>
      </c>
      <c r="Q196" s="3">
        <f>3086.8+(1044.1-411.4)+(3.148536+(1.064982-0.419628))+0-445.7-0.454614000000071</f>
        <v>3277.1392759999999</v>
      </c>
      <c r="R196" s="3">
        <f>3205.6+(1431.9-465.6)+(-1.634856+(-0.730269--0.237456))+0-588.1--0.29993099999994</f>
        <v>3581.9722619999993</v>
      </c>
      <c r="S196" s="3">
        <f>3271.8+(1688-528.7)+(0+(0-0))+0-469.5-0</f>
        <v>3961.6000000000004</v>
      </c>
      <c r="T196" s="3">
        <f>3642.6+(1676.5-546)+(-9.28863+(-4.275075--1.3923))+0-652.7--1.66438499999991</f>
        <v>4109.8929800000005</v>
      </c>
      <c r="U196" s="3">
        <f>2962.6+(1932-334.8)+(-6.043704+(-3.94128--0.682992))+0-465--0.94859999999998</f>
        <v>4086.4466080000007</v>
      </c>
      <c r="V196" s="3">
        <f>2823.5+(1674.2-339)+(-7.199925+(-4.26921--0.86445))+0-551.5--1.40632499999992</f>
        <v>3598.0016399999995</v>
      </c>
      <c r="W196" s="3">
        <f>2679.4+(1316.1-329.5)+(-2.732988+(-1.342422--0.33609))+0-545.8--0.556716000000087</f>
        <v>3117.0173960000002</v>
      </c>
      <c r="X196" s="3">
        <f>3457.4+(713.6-421)+(-5.289822+(-1.091808--0.64413))+0-478.7--0.732411000000028</f>
        <v>3266.294911</v>
      </c>
      <c r="Y196" s="3">
        <f>3540.2+(923.3-363)+(-5.416506+(-1.412649--0.55539))+0-657--1.00521000000004</f>
        <v>3438.2314450000003</v>
      </c>
      <c r="Z196" s="3">
        <f>3626.3+(833.7-369.7)+(-7.397652+(-1.700748--0.754188))+0-514.3--1.04917199999998</f>
        <v>3568.70496</v>
      </c>
      <c r="AA196" s="3">
        <f>3622.2+(901.7-350.4)+(-5.541966+(-1.379601--0.536112))+0-514.6--0.78733800000003</f>
        <v>3653.3018830000005</v>
      </c>
      <c r="AB196" s="3">
        <f>3566.8+(1054.7-364.8)+(-3.638136+(-1.075794--0.372096))+0-521.2--0.531624000000083</f>
        <v>3731.6897900000013</v>
      </c>
      <c r="AC196" s="3">
        <f>3238.6+(1538.9-316.2)+(-8.25843+(-3.924195--0.80631))+0-627.8--1.60088999999991</f>
        <v>3823.7245749999993</v>
      </c>
      <c r="AD196">
        <v>3562.3</v>
      </c>
      <c r="AE196" s="3">
        <f>3477+(1062.1-369.8)+(0+(0-0))+0-630-0</f>
        <v>3539.3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2812.2+(1885.8-337.1)+(1.434222+(0.961758-0.171921))+0-538.8-0.274787999999945</f>
        <v>3824.0492709999994</v>
      </c>
      <c r="G197" s="3">
        <f>2544.6+(2091.3-339.6)+(-6.48873+(-5.332815--0.86598))+0-601--1.53254999999991</f>
        <v>3685.8769849999999</v>
      </c>
      <c r="H197" s="3">
        <f>2330.9+(2156.5-325.7)+(-1.188759+(-1.099815--0.166107))+0-602.8--0.307427999999939</f>
        <v>3557.0849609999996</v>
      </c>
      <c r="I197" s="3">
        <f>2334.2+(1997.2-318.2)+(-1.190442+(-1.018572--0.162282))+0-583.1--0.297380999999941</f>
        <v>3428.350649</v>
      </c>
      <c r="J197" s="3">
        <f>2242+(1822.2-162.3)+(-5.7171+(-4.64661--0.413865))+0-586--1.49429999999991</f>
        <v>3307.4444549999998</v>
      </c>
      <c r="K197" s="3">
        <f>2179.1+(1667.3-72.7)+(-4.445364+(-3.401292--0.148308))+0-626--1.27703999999997</f>
        <v>3141.2786919999999</v>
      </c>
      <c r="L197" s="3">
        <f>2231.6+(1054.5-76.7)+(-1.138116+(-0.537795--0.039117))+0-488.1--0.24893099999995</f>
        <v>2719.9121369999998</v>
      </c>
      <c r="M197" s="3">
        <f>2381.1+(875.1-151.7)+(1.214361+(0.446301-0.077367))+0-583.8-0.297737999999941</f>
        <v>2521.9855570000004</v>
      </c>
      <c r="N197" s="3">
        <f>2278.9+(1025.8-181.2)+(2.324478+(1.046316-0.184824))+0-498-0.507960000000079</f>
        <v>2628.1780100000001</v>
      </c>
      <c r="O197" s="3">
        <f>2197.5+(1121.3-178.3)+(2.24145+(1.143726-0.181866))+0-521-0.531420000000083</f>
        <v>2622.1718899999996</v>
      </c>
      <c r="P197" s="3">
        <f>2331.1+(953.7-271.4)+(-1.188861+(-0.486387--0.138414))+0-470.3--0.239852999999952</f>
        <v>2541.8030189999999</v>
      </c>
      <c r="Q197" s="3">
        <f>2682.4+(922.4-287.6)+(-4.104072+(-1.411272--0.440028))+0-431--0.659430000000025</f>
        <v>2881.784114</v>
      </c>
      <c r="R197" s="3">
        <f>2602+(1200.9-251.3)+(-5.30808+(-2.449836--0.512652))+0-414--0.844559999999982</f>
        <v>3131.1992960000002</v>
      </c>
      <c r="S197" s="3">
        <f>3031.4+(1206.9-252.9)+(-3.092028+(-1.231038--0.257958))+0-398.6--0.406572000000064</f>
        <v>3583.1414640000003</v>
      </c>
      <c r="T197" s="3">
        <f>3187.1+(1316.4-288.6)+(-6.501684+(-2.685456--0.588744))+0-493.1--1.00592399999998</f>
        <v>3714.2075279999995</v>
      </c>
      <c r="U197" s="3">
        <f>2979.1+(1335.9-315.1)+(-7.596705+(-3.406545--0.803505))+0-306--0.780299999999956</f>
        <v>3684.4805550000001</v>
      </c>
      <c r="V197" s="3">
        <f>2906.2+(989.7-366.5)+(-5.928648+(-2.018988--0.74766))+0-244.9--0.499595999999989</f>
        <v>3277.7996199999998</v>
      </c>
      <c r="W197" s="3">
        <f>3113.9+(1131.3-918)+(3.176178+(1.153926-0.93636))+0-357.9-0.365058000000057</f>
        <v>2972.3286859999998</v>
      </c>
      <c r="X197" s="3">
        <f>3721.6+(970.2-1295.2)+(-5.694048+(-1.484406--1.981656))+0-456.2--0.697986000000026</f>
        <v>2935.9011880000003</v>
      </c>
      <c r="Y197" s="3">
        <f>3856.3+(939.4-1159.2)+(-3.933426+(-0.958188--1.182384))+0-429.1--0.437682000000068</f>
        <v>3204.1284520000004</v>
      </c>
      <c r="Z197" s="3">
        <f>4154.2+(971.3-1176.8)+(-2.118642+(-0.495363--0.600168))+0-538--0.274379999999945</f>
        <v>3408.9605429999997</v>
      </c>
      <c r="AA197" s="3">
        <f>3285.5+(1130.7-499.4)+(1.675605+(0.576657-0.254694))+0-468.6-0.238985999999952</f>
        <v>3449.9585820000002</v>
      </c>
      <c r="AB197" s="3">
        <f>2841.6+(1626.4-347)+(-4.347648+(-2.488392--0.53091))+0-604.7--0.925191000000035</f>
        <v>3510.9200610000003</v>
      </c>
      <c r="AC197" s="3">
        <f>2604.9+(1986.4-320.5)+(-3.985497+(-3.039192--0.490365))+0-570.1--0.872253000000033</f>
        <v>3695.0379290000001</v>
      </c>
      <c r="AD197">
        <v>3326.7999999999997</v>
      </c>
      <c r="AE197" s="3">
        <f>4057+(931.4-1372)+(0+(0-0))+0-289.6-0</f>
        <v>3326.8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2470.4+(2140-321.5)+(-5.039616+(-4.3656--0.65586))+0-653.2--1.33252799999997</f>
        <v>3628.2831719999995</v>
      </c>
      <c r="G198" s="3">
        <f>2315.2+(2147.9-308.4)+(-2.361504+(-2.190858--0.314568))+0-593--0.604860000000095</f>
        <v>3558.0670660000001</v>
      </c>
      <c r="H198" s="3">
        <f>2372.8+(2057.1-320.3)+(-1.210128+(-1.049121--0.163353))+0-693--0.35342999999993</f>
        <v>3414.8575340000007</v>
      </c>
      <c r="I198" s="3">
        <f>1966.9+(2276.1-321.5)+(-2.006238+(-2.321622--0.32793))+0-623--0.635460000000099</f>
        <v>3295.13553</v>
      </c>
      <c r="J198" s="3">
        <f>2058.7+(2069.1-317.6)+(0+(0-0))+0-615.8-0</f>
        <v>3194.3999999999996</v>
      </c>
      <c r="K198" s="3">
        <f>1966.2+(1917.5-302.1)+(-4.011048+(-3.9117--0.616284))+0-551.4--1.12485599999998</f>
        <v>3024.0183920000004</v>
      </c>
      <c r="L198" s="3">
        <f>1993.4+(1536.6-298.4)+(-1.016634+(-0.783666--0.152184))+0-633.6--0.323135999999936</f>
        <v>2596.6750200000001</v>
      </c>
      <c r="M198" s="3">
        <f>2159.4+(1230.7-330.7)+(0+(0-0))+0-703.5-0</f>
        <v>2355.9</v>
      </c>
      <c r="N198" s="3">
        <f>2289.4+(1172.2-447.7)+(1.167594+(0.597822-0.228327))+0-520-0.265199999999947</f>
        <v>2495.1718890000002</v>
      </c>
      <c r="O198" s="3">
        <f>2313.2+(1116.8-418.7)+(0+(0-0))+0-491.9-0</f>
        <v>2519.3999999999996</v>
      </c>
      <c r="P198" s="3">
        <f>2313.2+(1161.4-381.9)+(-2.359464+(-1.184628--0.389538))+0-486.1--0.495822000000078</f>
        <v>2603.9412679999996</v>
      </c>
      <c r="Q198" s="3">
        <f>2695.4+(936.6-439.5)+(-1.374654+(-0.477666--0.224145))+0-445.7--0.227306999999955</f>
        <v>2745.3991320000005</v>
      </c>
      <c r="R198" s="3">
        <f>2643.8+(1306.2-350.3)+(-4.045014+(-1.998486--0.535959))+0-621--0.950130000000036</f>
        <v>2974.1425890000005</v>
      </c>
      <c r="S198" s="3">
        <f>2567.6+(1698.6-331.6)+(-2.618952+(-1.732572--0.338232))+0-645--0.657900000000103</f>
        <v>3286.244608</v>
      </c>
      <c r="T198" s="3">
        <f>2766.1+(1697.2-337.1)+(-2.821422+(-1.731144--0.343842))+0-650.2--0.663204000000104</f>
        <v>3472.4544799999999</v>
      </c>
      <c r="U198" s="3">
        <f>2582.5+(1727.3-327.7)+(0+(0-0))+0-583-0</f>
        <v>3399.1</v>
      </c>
      <c r="V198" s="3">
        <f>2562.6+(1568.3-402.3)+(-2.613852+(-1.599666--0.410346))+0-642.8--0.655656000000102</f>
        <v>3082.6524840000002</v>
      </c>
      <c r="W198" s="3">
        <f>2377.8+(1303.8-337.4)+(-3.638034+(-1.994814--0.516222))+0-603.8--0.923814000000035</f>
        <v>2736.2071880000008</v>
      </c>
      <c r="X198" s="3">
        <f>3187+(881.9-621)+(-4.87611+(-1.349307--0.95013))+0-560.3--0.857259000000032</f>
        <v>2883.1819719999999</v>
      </c>
      <c r="Y198" s="3">
        <f>3052.1+(1142.6-522.3)+(-7.782855+(-2.91363--1.331865))+0-635.4--1.62026999999991</f>
        <v>3029.2556499999996</v>
      </c>
      <c r="Z198" s="3">
        <f>3290.1+(944.9-608.2)+(0+(0-0))+0-544.3-0</f>
        <v>3082.5</v>
      </c>
      <c r="AA198" s="3">
        <f>3528.2+(939.9-632.1)+(-3.598764+(-0.958698--0.644742))+0-694.4--0.708288000000111</f>
        <v>3138.3955680000004</v>
      </c>
      <c r="AB198" s="3">
        <f>3136.8+(992.1-400.2)+(-7.99884+(-2.529855--1.02051))+0-516.5--1.31707499999993</f>
        <v>3204.0088900000001</v>
      </c>
      <c r="AC198" s="3">
        <f>3205.2+(1108.5-368.6)+(0+(0-0))+0-522.7-0</f>
        <v>3422.3999999999996</v>
      </c>
      <c r="AD198">
        <v>3090.9999999999995</v>
      </c>
      <c r="AE198" s="3">
        <f>3396+(962.9-673.9)+(0+(0-0))+0-594-0</f>
        <v>3091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2808.5+(1424.2-296.5)+(-1.432335+(-0.726342--0.151215))+0-639.2--0.325991999999935</f>
        <v>3295.3185299999996</v>
      </c>
      <c r="G199" s="3">
        <f>2283+(1834-293.7)+(-1.16433+(-0.93534--0.149787))+0-633.6--0.323135999999936</f>
        <v>3188.073253</v>
      </c>
      <c r="H199" s="3">
        <f>1928+(2134.1-306.5)+(1.96656+(2.176782-0.31263))+0-676.4-0.689928000000108</f>
        <v>3082.3407839999995</v>
      </c>
      <c r="I199" s="3">
        <f>1921.8+(1902.3-297)+(-0.980118+(-0.970173--0.15147))+0-564--0.287639999999943</f>
        <v>2961.5888190000001</v>
      </c>
      <c r="J199" s="3">
        <f>2028.7+(1666-284.7)+(-3.103911+(-2.54898--0.435591))+0-601.3--0.919989000000035</f>
        <v>2804.4026890000005</v>
      </c>
      <c r="K199" s="3">
        <f>2019.6+(1527.3-273.5)+(-3.089988+(-2.336769--0.418455))+0-650--0.994500000000038</f>
        <v>2619.3861979999997</v>
      </c>
      <c r="L199" s="3">
        <f>2142.5+(1107.4-296.3)+(0+(0-0))+0-635.9-0</f>
        <v>2317.7000000000003</v>
      </c>
      <c r="M199" s="3">
        <f>2352.5+(855.1-494.3)+(0+(0-0))+0-564-0</f>
        <v>2149.3000000000002</v>
      </c>
      <c r="N199" s="3">
        <f>2198.3+(1070-448.2)+(1.121133+(0.5457-0.228582))+0-659.1-0.336140999999933</f>
        <v>2162.1021100000007</v>
      </c>
      <c r="O199" s="3">
        <f>2171.5+(1029.5-615.9)+(-3.322395+(-1.575135--0.942327))+0-406.4--0.621792000000023</f>
        <v>2175.3665889999997</v>
      </c>
      <c r="P199" s="3">
        <f>2336.7+(1006.4-484.2)+(-1.191717+(-0.513264--0.246942))+0-569.7--0.290546999999942</f>
        <v>2288.0325079999998</v>
      </c>
      <c r="Q199" s="3">
        <f>2607.8+(1020.6-545)+(-2.659956+(-1.041012--0.5559))+0-663.2--0.676464000000106</f>
        <v>2417.7313960000001</v>
      </c>
      <c r="R199" s="3">
        <f>2290.6+(1273.8-419.5)+(-8.177442+(-4.547466--1.497615))+0-515--1.83855000000001</f>
        <v>2620.5112569999997</v>
      </c>
      <c r="S199" s="3">
        <f>2521.6+(1485.9-383)+(-2.572032+(-1.515618--0.39066))+0-706.9--0.721038000000113</f>
        <v>2914.6240480000001</v>
      </c>
      <c r="T199" s="3">
        <f>2704.2+(1365.4-390.7)+(-5.516568+(-2.785416--0.797028))+0-603.8--1.23175199999997</f>
        <v>3068.8267959999998</v>
      </c>
      <c r="U199" s="3">
        <f>2985+(1036.1-471.8)+(-1.52235+(-0.528411--0.240618))+0-547.1--0.279020999999945</f>
        <v>3000.6688779999999</v>
      </c>
      <c r="V199" s="3">
        <f>2481.5+(1170-341)+(-3.796695+(-1.7901--0.52173))+0-534.5--0.817785000000031</f>
        <v>2771.7527200000004</v>
      </c>
      <c r="W199" s="3">
        <f>2371.1+(1134.9-460.3)+(1.209261+(0.578799-0.234753))+0-533.2-0.271931999999946</f>
        <v>2513.781375</v>
      </c>
      <c r="X199" s="3">
        <f>3085.8+(828.2-610)+(-3.147516+(-0.844764--0.6222))+0-590.2--0.602004000000094</f>
        <v>2711.0319239999999</v>
      </c>
      <c r="Y199" s="3">
        <f>3396+(669.1-703.6)+(-5.19588+(-1.023723--1.076508))+0-530.5--0.811665000000031</f>
        <v>2826.6685700000003</v>
      </c>
      <c r="Z199" s="3">
        <f>3590.4+(598.5-769.9)+(-1.831104+(-0.305235--0.392649))+0-584.7--0.298196999999941</f>
        <v>2832.854507</v>
      </c>
      <c r="AA199" s="3">
        <f>3384.4+(644.7-598.5)+(-5.178132+(-0.986391--0.915705))+0-599.4--0.917082000000035</f>
        <v>2826.8682640000002</v>
      </c>
      <c r="AB199" s="3">
        <f>3277.1+(697-541.6)+(-6.685284+(-1.42188--1.104864))+0-564.6--1.15178399999998</f>
        <v>2862.0494840000001</v>
      </c>
      <c r="AC199" s="3">
        <f>3158.7+(910.2-410.1)+(-3.221874+(-0.928404--0.418302))+0-715.5--0.729810000000114</f>
        <v>2940.297834</v>
      </c>
      <c r="AD199">
        <v>2806</v>
      </c>
      <c r="AE199" s="3">
        <f>3419+(751.2-745)+(0+(0-0))+0-619.2-0</f>
        <v>2806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2876.3+(1030.4-380.3)+(-5.867652+(-2.102016--0.775812))+0-570.2--1.16320799999998</f>
        <v>2950.1693520000008</v>
      </c>
      <c r="G200" s="3">
        <f>2509.5+(1338.5-299.3)+(-6.399225+(-3.413175--0.763215))+0-700.2--1.7855099999999</f>
        <v>2841.2363249999999</v>
      </c>
      <c r="H200" s="3">
        <f>2289.4+(1360.3-278.5)+(-5.83797+(-3.468765--0.710175))+0-650.4--1.65851999999991</f>
        <v>2713.8619599999997</v>
      </c>
      <c r="I200" s="3">
        <f>2112.8+(1288.7-270.2)+(-4.310112+(-2.628948--0.551208))+0-526.9--1.07487599999998</f>
        <v>2599.0870240000004</v>
      </c>
      <c r="J200" s="3">
        <f>2181.7+(1257.3-273.6)+(3.338001+(1.923669-0.418608))+0-684.9-1.04789700000004</f>
        <v>2484.2951649999995</v>
      </c>
      <c r="K200" s="3">
        <f>2221.3+(1040.6-307.9)+(-5.664315+(-2.65353--0.785145))+0-592.9--1.51189499999991</f>
        <v>2355.0791949999998</v>
      </c>
      <c r="L200" s="3">
        <f>2275.9+(888-469.7)+(-1.160709+(-0.45288--0.239547))+0-626.8--0.319667999999936</f>
        <v>2066.3456260000003</v>
      </c>
      <c r="M200" s="3">
        <f>2170.1+(844.1-526.9)+(1.106751+(0.430491-0.268719))+0-515.4-0.262853999999948</f>
        <v>1972.9056690000002</v>
      </c>
      <c r="N200" s="3">
        <f>2149.7+(958.8-522.7)+(1.096347+(0.488988-0.266577))+0-579-0.295289999999941</f>
        <v>2007.8234679999996</v>
      </c>
      <c r="O200" s="3">
        <f>2176.7+(968.4-523.5)+(0+(0-0))+0-569.8-0</f>
        <v>2051.8000000000002</v>
      </c>
      <c r="P200" s="3">
        <f>2297.8+(890.2-504.2)+(0+(0-0))+0-546.4-0</f>
        <v>2137.4</v>
      </c>
      <c r="Q200" s="3">
        <f>2605.8+(769.5-572)+(-3.986874+(-1.177335--0.87516))+0-569.7--0.871641000000033</f>
        <v>2230.1825920000006</v>
      </c>
      <c r="R200" s="3">
        <f>2842.7+(701.8-568.4)+(-1.449777+(-0.357918--0.289884))+0-547.9--0.279428999999944</f>
        <v>2426.9616179999998</v>
      </c>
      <c r="S200" s="3">
        <f>2885.2+(723.7-521.3)+(2.942904+(0.738174-0.531726))+0-507.1-0.517242000000081</f>
        <v>2583.13211</v>
      </c>
      <c r="T200" s="3">
        <f>2972.9+(818.2-491.3)+(-3.032358+(-0.834564--0.501126))+0-622.9--0.635358000000099</f>
        <v>2674.169562</v>
      </c>
      <c r="U200" s="3">
        <f>2417.3+(1041.4-337.7)+(-6.164115+(-2.65557--0.861135))+0-472.6--1.20512999999993</f>
        <v>2641.6465800000001</v>
      </c>
      <c r="V200" s="3">
        <f>2179.4+(1120.5-316.8)+(-5.55747+(-2.857275--0.80784))+0-539.2--1.37495999999992</f>
        <v>2437.6680550000001</v>
      </c>
      <c r="W200" s="3">
        <f>2029.5+(1081.1-327.4)+(-1.035045+(-0.551361--0.166974))+0-538.5--0.274634999999945</f>
        <v>2243.5552029999994</v>
      </c>
      <c r="X200" s="3">
        <f>2766.5+(777-558)+(-1.410915+(-0.39627--0.28458))+0-466.8--0.238067999999953</f>
        <v>2517.4154629999998</v>
      </c>
      <c r="Y200" s="3">
        <f>2840.1+(754.1-611.4)+(-10.139157+(-2.692137--2.182698))+0-333.5--1.190595</f>
        <v>2639.8419990000002</v>
      </c>
      <c r="Z200" s="3">
        <f>3326.2+(670.1-1034.4)+(-6.785448+(-1.367004--2.110176))+0-313--0.638519999999986</f>
        <v>2643.4962439999995</v>
      </c>
      <c r="AA200" s="3">
        <f>3314.4+(556.6-935.7)+(-8.45172+(-1.41933--2.386035))+0-257--0.655349999999963</f>
        <v>2671.470335</v>
      </c>
      <c r="AB200" s="3">
        <f>3128.9+(511.1-651.6)+(-4.787217+(-0.781983--0.996948))+0-250.8--0.383724000000015</f>
        <v>2733.4114719999998</v>
      </c>
      <c r="AC200" s="3">
        <f>2963.4+(612-531.9)+(-4.534002+(-0.93636--0.813807))+0-254.5--0.389385000000015</f>
        <v>2784.7328299999999</v>
      </c>
      <c r="AD200">
        <v>2516.5</v>
      </c>
      <c r="AE200" s="3">
        <f>2836+(804.9-645.6)+(0+(0-0))+0-478.8-0</f>
        <v>2516.5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2895.2+(658.4-497.1)+(2.953104+(0.671568-0.507042))+0-304.4-0.310488000000049</f>
        <v>2754.907142</v>
      </c>
      <c r="G201" s="3">
        <f>2990+(712-465.5)+(0+(0-0))+0-563.6-0</f>
        <v>2672.9</v>
      </c>
      <c r="H201" s="3">
        <f>2828.4+(683.9-497.8)+(-2.884968+(-0.697578--0.507756))+0-445.4--0.454308000000071</f>
        <v>2566.4795179999996</v>
      </c>
      <c r="I201" s="3">
        <f>2814.2+(669.6-482.2)+(1.435242+(0.341496-0.245922))+0-541.3-0.276062999999945</f>
        <v>2461.5547529999999</v>
      </c>
      <c r="J201" s="3">
        <f>2584.3+(751.1-432.3)+(1.317993+(0.383061-0.220473))+0-557.2-0.284171999999944</f>
        <v>2347.0964090000002</v>
      </c>
      <c r="K201" s="3">
        <f>2265.4+(884.8-382.4)+(-1.155354+(-0.451248--0.195024))+0-533.9--0.272288999999946</f>
        <v>2232.7607109999999</v>
      </c>
      <c r="L201" s="3">
        <f>2161+(816-436.6)+(0+(0-0))+0-529.2-0</f>
        <v>2011.2</v>
      </c>
      <c r="M201" s="3">
        <f>2375.2+(740.8-653.9)+(0+(0-0))+0-665-0</f>
        <v>1797.1</v>
      </c>
      <c r="N201" s="3">
        <f>2188.4+(941.7-506)+(-6.696504+(-2.881602--1.54836))+0-599.3--1.83385800000007</f>
        <v>2018.6041120000002</v>
      </c>
      <c r="O201" s="3">
        <f>2325.4+(908.7-640.7)+(-1.185954+(-0.463437--0.326757))+0-486.3--0.248012999999951</f>
        <v>2106.0253789999997</v>
      </c>
      <c r="P201" s="3">
        <f>2497.6+(804.9-601.3)+(-2.547552+(-0.820998--0.613326))+0-520.9--0.531318000000083</f>
        <v>2178.076094</v>
      </c>
      <c r="Q201" s="3">
        <f>2534.8+(665-409.2)+(-2.585496+(-0.6783--0.417384))+0-607.7--0.619854000000097</f>
        <v>2180.6734420000007</v>
      </c>
      <c r="R201" s="3">
        <f>2416.4+(761.5-363.8)+(-4.929456+(-1.55346--0.742152))+0-551.9--1.12587599999998</f>
        <v>2257.5851119999998</v>
      </c>
      <c r="S201" s="3">
        <f>2637+(862.8-358)+(-2.68974+(-0.880056--0.36516))+0-663.4--0.676668000000106</f>
        <v>2475.8720320000002</v>
      </c>
      <c r="T201" s="3">
        <f>2415+(1133.4-338.3)+(-2.4633+(-1.156068--0.345066))+0-667.8--0.681156000000106</f>
        <v>2539.7068540000005</v>
      </c>
      <c r="U201" s="3">
        <f>2305.4+(1133-334.9)+(-7.054524+(-3.46698--1.024794))+0-588.9--1.80203400000007</f>
        <v>2506.9053240000003</v>
      </c>
      <c r="V201" s="3">
        <f>2457.9+(974.1-370.7)+(-5.014116+(-1.987164--0.756228))+0-697.5--1.42289999999997</f>
        <v>2358.977848</v>
      </c>
      <c r="W201" s="3">
        <f>2665.6+(716.8-644.5)+(-4.078368+(-1.096704--0.986085))+0-535.6--0.819468000000031</f>
        <v>2198.9304809999999</v>
      </c>
      <c r="X201" s="3">
        <f>3006.3+(725.1-625.5)+(-9.199278+(-2.218806--1.91403))+0-691.2--2.11507200000008</f>
        <v>2407.3110179999999</v>
      </c>
      <c r="Y201" s="3">
        <f>3322.8+(771.2-906.2)+(-8.47314+(-1.96656--2.31081))+0-582.4--1.48511999999992</f>
        <v>2598.75623</v>
      </c>
      <c r="Z201" s="3">
        <f>3298.5+(779.4-855.7)+(-6.72894+(-1.589976--1.745628))+0-593.3--1.21033199999997</f>
        <v>2623.5370440000002</v>
      </c>
      <c r="AA201" s="3">
        <f>3429.5+(692.3-826.1)+(-6.99618+(-1.412292--1.685244))+0-631.4--1.28805599999997</f>
        <v>2658.8648279999998</v>
      </c>
      <c r="AB201" s="3">
        <f>3374.1+(646.7-654.5)+(0+(0-0))+0-580.6-0</f>
        <v>2785.7000000000003</v>
      </c>
      <c r="AC201" s="3">
        <f>3012.2+(958-422.8)+(-7.68111+(-2.4429--1.07814))+0-593.5--1.51342499999991</f>
        <v>2946.3675549999998</v>
      </c>
      <c r="AD201">
        <v>2600.5</v>
      </c>
      <c r="AE201" s="3">
        <f>3073+(831.3-590.9)+(0+(0-0))+0-712.9-0</f>
        <v>2600.5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2840.3+(959.4-345.8)+(-5.794212+(-1.957176--0.705432))+0-565.7--1.15402799999998</f>
        <v>2882.3080719999998</v>
      </c>
      <c r="G202" s="3">
        <f>2613.8+(1091.7-323.1)+(-5.332152+(-2.227068--0.659124))+0-587.3--1.19809199999997</f>
        <v>2789.3979960000001</v>
      </c>
      <c r="H202" s="3">
        <f>2350.2+(1146-286.5)+(-1.198602+(-0.58446--0.146115))+0-523.9--0.267188999999947</f>
        <v>2684.4302419999999</v>
      </c>
      <c r="I202" s="3">
        <f>2393.1+(1136.8-295.5)+(-2.440962+(-1.159536--0.30141))+0-648.2--0.661164000000103</f>
        <v>2583.5620759999993</v>
      </c>
      <c r="J202" s="3">
        <f>2400.6+(1025.3-376.2)+(0+(0-0))+0-567.2-0</f>
        <v>2482.5</v>
      </c>
      <c r="K202" s="3">
        <f>2328.7+(1082.9-380.8)+(1.187637+(0.552279-0.194208))+0-668.8-0.341087999999932</f>
        <v>2363.2046200000004</v>
      </c>
      <c r="L202" s="3">
        <f>2383.5+(1116.1-765.9)+(1.215585+(0.569211-0.390609))+0-635.7-0.324206999999936</f>
        <v>2099.0699799999998</v>
      </c>
      <c r="M202" s="3">
        <f>2492.7+(937.8-896)+(-1.271277+(-0.478278--0.45696))+0-528.1--0.269330999999946</f>
        <v>2005.3767360000002</v>
      </c>
      <c r="N202" s="3">
        <f>2549.7+(884.1-777.6)+(-1.300347+(-0.450891--0.396576))+0-706.1--0.360110999999928</f>
        <v>1949.1054489999997</v>
      </c>
      <c r="O202" s="3">
        <f>2587.4+(857.4-732.7)+(-2.639148+(-0.874548--0.747354))+0-506.7--0.516834000000081</f>
        <v>2203.1504920000002</v>
      </c>
      <c r="P202" s="3">
        <f>2952.6+(815-857.9)+(0+(0-0))+0-555-0</f>
        <v>2354.6999999999998</v>
      </c>
      <c r="Q202" s="3">
        <f>3111.7+(761.7-954.3)+(-4.760901+(-1.165401--1.460079))+0-501.8--0.767754000000029</f>
        <v>2413.6015309999998</v>
      </c>
      <c r="R202" s="3">
        <f>2874.6+(779.6-582.1)+(-7.33023+(-1.98798--1.484355))+0-522.4--1.33211999999992</f>
        <v>2543.198265</v>
      </c>
      <c r="S202" s="3">
        <f>2872.3+(909.1-483.4)+(-4.394619+(-1.390923--0.739602))+0-499--0.763470000000029</f>
        <v>2794.7175299999999</v>
      </c>
      <c r="T202" s="3">
        <f>3030.8+(968.2-390.9)+(0+(0-0))+0-653.6-0</f>
        <v>2954.5000000000005</v>
      </c>
      <c r="U202" s="3">
        <f>2847.1+(1029.7-379.6)+(-2.904042+(-1.050294--0.387192))+0-611.7--0.623934000000098</f>
        <v>2882.5567899999996</v>
      </c>
      <c r="V202" s="3">
        <f>2753.3+(947.8-411)+(-4.212549+(-1.450134--0.62883))+0-618.7--0.946611000000036</f>
        <v>2667.3127580000005</v>
      </c>
      <c r="W202" s="3">
        <f>2869.6+(869.1-603.3)+(-1.463496+(-0.443241--0.307683))+0-655.1--0.334100999999934</f>
        <v>2479.0350470000003</v>
      </c>
      <c r="X202" s="3">
        <f>3353+(730.6-801.9)+(-8.55015+(-1.86303--2.044845))+0-590--1.50449999999991</f>
        <v>2684.8361649999997</v>
      </c>
      <c r="Y202" s="3">
        <f>3271.6+(791.6-566)+(-6.674064+(-1.614864--1.15464))+0-648.5--1.32293999999997</f>
        <v>2842.8886519999996</v>
      </c>
      <c r="Z202" s="3">
        <f>3330.6+(725.1-553.1)+(-1.698606+(-0.369801--0.282081))+0-601.3--0.306662999999939</f>
        <v>2899.8203369999997</v>
      </c>
      <c r="AA202" s="3">
        <f>3209+(899.5-465.7)+(-8.18295+(-2.293725--1.187535))+0-652.9--1.66489499999991</f>
        <v>2982.2757550000001</v>
      </c>
      <c r="AB202" s="3">
        <f>3177.2+(908.3-422.3)+(-6.481488+(-1.852932--0.861492))+0-566--1.15463999999998</f>
        <v>3090.8817119999999</v>
      </c>
      <c r="AC202" s="3">
        <f>2808.4+(1483.2-354.1)+(-7.16142+(-3.78216--0.902955))+0-717.5--1.8296249999999</f>
        <v>3211.7889999999998</v>
      </c>
      <c r="AD202">
        <v>2735.5</v>
      </c>
      <c r="AE202" s="3">
        <f>3584+(683.5-966.3)+(0+(0-0))+0-565.7-0</f>
        <v>2735.5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2369.2+(1719.1-314.2)+(-1.208292+(-0.876741--0.160242))+0-552--0.281519999999944</f>
        <v>3220.4567289999995</v>
      </c>
      <c r="G203" s="3">
        <f>2290.3+(1777.1-303.2)+(-5.840265+(-4.531605--0.77316))+0-651.2--1.66055999999991</f>
        <v>3105.0618499999996</v>
      </c>
      <c r="H203" s="3">
        <f>2366.6+(1585.6-310.5)+(-1.206966+(-0.808656--0.158355))+0-663.5--0.338384999999933</f>
        <v>2976.681118</v>
      </c>
      <c r="I203" s="3">
        <f>2312.7+(1483.5-301.8)+(-1.179477+(-0.756585--0.153918))+0-623.1--0.317780999999937</f>
        <v>2869.8356369999997</v>
      </c>
      <c r="J203" s="3">
        <f>2281.7+(1416.5-291.8)+(-2.327334+(-1.44483--0.297636))+0-656.9--0.670038000000105</f>
        <v>2746.6955099999996</v>
      </c>
      <c r="K203" s="3">
        <f>2319+(1187.2-286.9)+(-3.54807+(-1.816416--0.438957))+0-621--0.950130000000036</f>
        <v>2594.3246010000003</v>
      </c>
      <c r="L203" s="3">
        <f>2159.5+(1130.1-323.6)+(-1.101345+(-0.576351--0.165036))+0-680.3--0.346952999999931</f>
        <v>2284.5342930000002</v>
      </c>
      <c r="M203" s="3">
        <f>2201.2+(939-420)+(-1.122612+(-0.47889--0.2142))+0-568.5--0.289934999999942</f>
        <v>2150.6026329999995</v>
      </c>
      <c r="N203" s="3">
        <f>2294.4+(947.1-457.7)+(2.340288+(0.966042-0.466854))+0-572.3-0.583746000000091</f>
        <v>2213.7557299999999</v>
      </c>
      <c r="O203" s="3">
        <f>2385.4+(956.9-529)+(-2.433108+(-0.976038--0.53958))+0-530.2--0.540804000000085</f>
        <v>2280.7712380000003</v>
      </c>
      <c r="P203" s="3">
        <f>2617.7+(887.5-476.1)+(-1.335027+(-0.452625--0.242811))+0-628.3--0.320432999999936</f>
        <v>2399.5755920000001</v>
      </c>
      <c r="Q203" s="3">
        <f>2691.3+(840.7-433.1)+(-2.745126+(-0.857514--0.441762))+0-552.6--0.563652000000088</f>
        <v>2543.7027740000003</v>
      </c>
      <c r="R203" s="3">
        <f>2762+(1012.8-395.8)+(-4.22586+(-1.549584--0.605574))+0-659.4--1.00888200000004</f>
        <v>2715.4390119999998</v>
      </c>
      <c r="S203" s="3">
        <f>3060.7+(940.2-428.1)+(-6.243828+(-1.918008--0.873324))+0-581.3--1.18585199999997</f>
        <v>2985.39734</v>
      </c>
      <c r="T203" s="3">
        <f>3203+(902.7-406.5)+(-1.63353+(-0.460377--0.207315))+0-599.4--0.305693999999939</f>
        <v>3098.219102</v>
      </c>
      <c r="U203" s="3">
        <f>2962+(996.6-353.7)+(-7.5531+(-2.54133--0.901935))+0-593.2--1.51265999999991</f>
        <v>3004.0201650000004</v>
      </c>
      <c r="V203" s="3">
        <f>2677.5+(961.4-302.6)+(-4.096575+(-1.470942--0.462978))+0-585--0.895050000000034</f>
        <v>2747.0905110000003</v>
      </c>
      <c r="W203" s="3">
        <f>3013.3+(724-600.5)+(1.536783+(0.36924-0.306255))+0-618.7-0.315536999999937</f>
        <v>2519.3842310000005</v>
      </c>
      <c r="X203" s="3">
        <f>3620.6+(572.3-773.4)+(-3.693012+(-0.583746--0.788868))+0-662.7--0.675954000000106</f>
        <v>2753.9880640000001</v>
      </c>
      <c r="Y203" s="3">
        <f>3566.9+(604.7-632.8)+(-7.276476+(-1.233588--1.290912))+0-624--1.27295999999997</f>
        <v>2908.8538079999998</v>
      </c>
      <c r="Z203" s="3">
        <f>3487.7+(602.3-529.6)+(-7.114908+(-1.228692--1.080384))+0-604.9--1.23399599999997</f>
        <v>2949.4707799999996</v>
      </c>
      <c r="AA203" s="3">
        <f>3276.2+(800.1-346.2)+(-3.341724+(-0.816102--0.353124))+0-697.1--0.711042000000111</f>
        <v>3029.90634</v>
      </c>
      <c r="AB203" s="3">
        <f>3165.5+(898.6-348.3)+(-3.22881+(-0.916572--0.355266))+0-557--0.568140000000089</f>
        <v>3155.5780240000004</v>
      </c>
      <c r="AC203" s="3">
        <f>3014.1+(1164.6-311.2)+(-7.685955+(-2.96973--0.79356))+0-658.6--1.6794299999999</f>
        <v>3200.7173049999997</v>
      </c>
      <c r="AD203">
        <v>2763.4</v>
      </c>
      <c r="AE203" s="3">
        <f>3876+(534-911.5)+(0+(0-0))+0-735.1-0</f>
        <v>2763.4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2531.2+(1533.9-294)+(-2.581824+(-1.564578--0.29988))+0-581.7--0.593334000000093</f>
        <v>3186.146812</v>
      </c>
      <c r="G204" s="3">
        <f>2399.8+(1617.6-286.1)+(-3.671694+(-2.474928--0.437733))+0-663.2--1.01469600000004</f>
        <v>3063.4058070000001</v>
      </c>
      <c r="H204" s="3">
        <f>2112.3+(1726.7-313.7)+(0+(0-0))+0-583.2-0</f>
        <v>2942.1000000000004</v>
      </c>
      <c r="I204" s="3">
        <f>2041.3+(1701.1-305.9)+(0+(0-0))+0-623.2-0</f>
        <v>2813.3</v>
      </c>
      <c r="J204" s="3">
        <f>2041.5+(1520.2-288.2)+(-3.123495+(-2.325906--0.440946))+0-598.6--0.915858000000035</f>
        <v>2670.8074029999998</v>
      </c>
      <c r="K204" s="3">
        <f>2308.7+(1119.9-329.2)+(1.177437+(0.571149-0.167892))+0-588.2-0.29998199999994</f>
        <v>2512.480712</v>
      </c>
      <c r="L204" s="3">
        <f>2161.6+(1132.4-470)+(0+(0-0))+0-626.7-0</f>
        <v>2197.3000000000002</v>
      </c>
      <c r="M204" s="3">
        <f>2121.9+(1015.8-510.6)+(-2.164338+(-1.036116--0.520812))+0-565.4--0.57670800000009</f>
        <v>2059.5970659999998</v>
      </c>
      <c r="N204" s="3">
        <f>2312.5+(885.7-603.4)+(3.538125+(1.355121-0.923202))+0-507.8-0.776934000000029</f>
        <v>2090.1931100000002</v>
      </c>
      <c r="O204" s="3">
        <f>2171.4+(1046.4-430.2)+(-3.322242+(-1.600992--0.658206))+0-624.7--0.955791000000036</f>
        <v>2159.5907630000006</v>
      </c>
      <c r="P204" s="3">
        <f>2324.6+(929-645.4)+(-4.742184+(-1.89516--1.316616))+0-419--0.854759999999982</f>
        <v>2184.7340319999998</v>
      </c>
      <c r="Q204" s="3">
        <f>2674.1+(787.7-417)+(-5.455164+(-1.606908--0.85068))+0-586.8--1.19707199999997</f>
        <v>2452.9856799999998</v>
      </c>
      <c r="R204" s="3">
        <f>2526.8+(795.4-59.9)+(-6.44334+(-2.02827--0.152745))+0-588--1.49939999999991</f>
        <v>2667.4805349999997</v>
      </c>
      <c r="S204" s="3">
        <f>2604.1+(927.1-55.2)+(1.328091+(0.472821-0.028152))+0-584.5-0.298094999999941</f>
        <v>2892.9746649999997</v>
      </c>
      <c r="T204" s="3">
        <f>2804.6+(883.4-55.1)+(-5.721384+(-1.802136--0.112404))+0-528.2--1.07752799999998</f>
        <v>3098.3664119999994</v>
      </c>
      <c r="U204" s="3">
        <f>2712+(734.7-57.5)+(-6.9156+(-1.873485--0.146625))+0-558.9--1.42519499999992</f>
        <v>2823.0827349999995</v>
      </c>
      <c r="V204" s="3">
        <f>2902.9+(573.5-229)+(-4.441437+(-0.877455--0.35037))+0-512.9--0.78473700000003</f>
        <v>2730.3162149999998</v>
      </c>
      <c r="W204" s="3">
        <f>3222.3+(345.8-529.5)+(3.286746+(0.352716-0.54009))+0-534.2-0.544884000000085</f>
        <v>2506.9544880000003</v>
      </c>
      <c r="X204" s="3">
        <f>3530.9+(371.2-535.3)+(-9.003795+(-0.94656--1.365015))+0-621.7--1.58533499999991</f>
        <v>2738.0999949999996</v>
      </c>
      <c r="Y204" s="3">
        <f>3869.2+(337.8-764.2)+(-3.946584+(-0.344556--0.779484))+0-541.4--0.552228000000086</f>
        <v>2898.4405719999995</v>
      </c>
      <c r="Z204" s="3">
        <f>3905.5+(255.9-645.6)+(-5.975415+(-0.391527--0.987768))+0-528.2--0.808146000000031</f>
        <v>2983.0289719999996</v>
      </c>
      <c r="AA204" s="3">
        <f>3757.6+(221.4-322.9)+(-7.665504+(-0.451656--0.658716))+0-580.2--1.18360799999997</f>
        <v>3069.6251639999996</v>
      </c>
      <c r="AB204" s="3">
        <f>3652.5+(265.6-227.3)+(0+(0-0))+0-489.5-0</f>
        <v>3201.3</v>
      </c>
      <c r="AC204" s="3">
        <f>3315.8+(495-119.5)+(-6.764232+(-1.0098--0.24378))+0-410.9--0.838235999999982</f>
        <v>3273.7079840000001</v>
      </c>
      <c r="AD204">
        <v>2798.2</v>
      </c>
      <c r="AE204" s="3">
        <f>3730+(372.2-604.6)+(0+(0-0))+0-699.4-0</f>
        <v>2798.2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2766.3+(1132.6-63.2)+(0+(0-0))+0-625.1-0</f>
        <v>3210.6</v>
      </c>
      <c r="G205" s="3">
        <f>2235.6+(1519.4-48)+(-3.420468+(-2.324682--0.07344))+0-632.5--0.967725000000037</f>
        <v>3069.7960149999999</v>
      </c>
      <c r="H205" s="3">
        <f>2607.2+(1017-74.6)+(2.659344+(1.03734-0.076092))+0-628.8-0.6413760000001</f>
        <v>2923.7792160000004</v>
      </c>
      <c r="I205" s="3">
        <f>2346+(1151.1-51)+(-3.58938+(-1.761183--0.07803))+0-660.6--1.01071800000004</f>
        <v>2781.2381850000002</v>
      </c>
      <c r="J205" s="3">
        <f>2336.7+(1001.6-66.6)+(0+(0-0))+0-609.5-0</f>
        <v>2662.2</v>
      </c>
      <c r="K205" s="3">
        <f>2208.1+(951.1-51)+(-3.378393+(-1.455183--0.07803))+0-578.4--0.884952000000033</f>
        <v>2525.9294059999997</v>
      </c>
      <c r="L205" s="3">
        <f>2033.5+(922.1-127.8)+(-2.07417+(-0.940542--0.130356))+0-652.3--0.665346000000104</f>
        <v>2173.2809900000007</v>
      </c>
      <c r="M205" s="3">
        <f>2152.1+(798.7-279.4)+(2.195142+(0.814674-0.284988))+0-609.3-0.621486000000097</f>
        <v>2064.2033419999998</v>
      </c>
      <c r="N205" s="3">
        <f>2109+(820.9-241.4)+(-1.07559+(-0.418659--0.123114))+0-592.4--0.30212399999994</f>
        <v>2095.0309889999999</v>
      </c>
      <c r="O205" s="3">
        <f>2055.7+(894.3-189.9)+(0+(0-0))+0-587.1-0</f>
        <v>2173</v>
      </c>
      <c r="P205" s="3">
        <f>2047.1+(857.3-166.4)+(-1.044021+(-0.437223--0.084864))+0-493.8--0.25183799999995</f>
        <v>2243.0554579999998</v>
      </c>
      <c r="Q205" s="3">
        <f>2436.9+(700.4-195.2)+(-3.728457+(-1.071612--0.298656))+0-511.9--0.78320700000003</f>
        <v>2426.4817939999998</v>
      </c>
      <c r="R205" s="3">
        <f>2398.7+(917.3-103.4)+(-4.893348+(-1.871292--0.210936))+0-565.6--1.15382399999998</f>
        <v>2641.6001200000001</v>
      </c>
      <c r="S205" s="3">
        <f>2675.5+(915.3-97.9)+(-2.72901+(-0.933606--0.099858))+0-551.2--0.562224000000088</f>
        <v>2938.699466</v>
      </c>
      <c r="T205" s="3">
        <f>2703.5+(1059.5-101.2)+(-2.75757+(-1.08069--0.103224))+0-629.8--0.6423960000001</f>
        <v>3028.9073600000002</v>
      </c>
      <c r="U205" s="3">
        <f>2547.3+(1002.1-334.3)+(-5.196492+(-2.044284--0.681972))+0-658.5--1.34333999999997</f>
        <v>2551.3845360000005</v>
      </c>
      <c r="V205" s="3">
        <f>2848.7+(965.8-431.4)+(-4.358511+(-1.477674--0.660042))+0-681.8--1.04315400000004</f>
        <v>2697.1670109999995</v>
      </c>
      <c r="W205" s="3">
        <f>2756.9+(860.2-549.1)+(0+(0-0))+0-567.2-0</f>
        <v>2500.8000000000002</v>
      </c>
      <c r="X205" s="3">
        <f>3699.2+(485.7-719.1)+(-5.659776+(-0.743121--1.100223))+0-690.8--1.05692400000004</f>
        <v>2770.7542499999995</v>
      </c>
      <c r="Y205" s="3">
        <f>3278.8+(672.7-440.2)+(-3.344376+(-0.686154--0.449004))+0-516.9--0.527238000000082</f>
        <v>2991.3457120000003</v>
      </c>
      <c r="Z205" s="3">
        <f>3191.4+(807.1-387.4)+(-6.510456+(-1.646484--0.790296))+0-587.6--1.19870399999997</f>
        <v>3017.3320600000002</v>
      </c>
      <c r="AA205" s="3">
        <f>3276.3+(859.5-397.3)+(-5.012739+(-1.315035--0.607869))+0-651.3--0.996489000000038</f>
        <v>3082.476584</v>
      </c>
      <c r="AB205" s="3">
        <f>3514.3+(866.2-482.3)+(-8.961465+(-2.20881--1.229865))+0-639.7--1.63123499999991</f>
        <v>3250.1908249999997</v>
      </c>
      <c r="AC205" s="3">
        <f>3201+(1147.4-352.1)+(-8.16255+(-2.92587--0.897855))+0-673.5--1.7174249999999</f>
        <v>3314.3268600000001</v>
      </c>
      <c r="AD205">
        <v>2840.4</v>
      </c>
      <c r="AE205" s="3">
        <f>3804+(466.5-767.5)+(0+(0-0))+0-662.6-0</f>
        <v>2840.4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2523.4+(1758.1-336.4)+(-5.147736+(-3.586524--0.686256))+0-660--1.34639999999997</f>
        <v>3278.3983959999996</v>
      </c>
      <c r="G206" s="3">
        <f>2208.1+(1912.4-347.7)+(-3.378393+(-2.925972--0.531981))+0-610.1--0.933453000000035</f>
        <v>3157.8610690000005</v>
      </c>
      <c r="H206" s="3">
        <f>2159.7+(1904-336)+(-3.304341+(-2.91312--0.51408))+0-686.8--1.05080400000004</f>
        <v>3036.2474230000003</v>
      </c>
      <c r="I206" s="3">
        <f>2186.2+(1659.7-336.9)+(-3.344886+(-2.539341--0.515457))+0-573.1--0.876843000000033</f>
        <v>2931.4080730000001</v>
      </c>
      <c r="J206" s="3">
        <f>2187.6+(1571.6-328.6)+(2.231352+(1.603032-0.335172))+0-610.3-0.622506000000097</f>
        <v>2823.1767059999997</v>
      </c>
      <c r="K206" s="3">
        <f>2234.3+(1353.4-315.7)+(-2.278986+(-1.380468--0.322014))+0-594.6--0.606492000000095</f>
        <v>2674.6690520000002</v>
      </c>
      <c r="L206" s="3">
        <f>2190.1+(1119.3-305.9)+(-2.233902+(-1.141686--0.312018))+0-646.8--0.659736000000103</f>
        <v>2354.2961660000005</v>
      </c>
      <c r="M206" s="3">
        <f>2193.7+(899.7-361.5)+(1.118787+(0.458847-0.184365))+0-546.1-0.278510999999945</f>
        <v>2186.9147579999999</v>
      </c>
      <c r="N206" s="3">
        <f>2186.8+(1094.4-344.9)+(0+(0-0))+0-638.9-0</f>
        <v>2297.4</v>
      </c>
      <c r="O206" s="3">
        <f>2222+(1156.7-360)+(-1.13322+(-0.589917--0.1836))+0-553.8--0.282437999999944</f>
        <v>2463.6429009999997</v>
      </c>
      <c r="P206" s="3">
        <f>2347.7+(1203.7-356.1)+(-2.394654+(-1.227774--0.363222))+0-517.7--0.528054000000083</f>
        <v>2674.8688479999996</v>
      </c>
      <c r="Q206" s="3">
        <f>2633.9+(1020.8-344.5)+(-2.686578+(-1.041216--0.35139))+0-591--0.602820000000094</f>
        <v>2716.4264159999998</v>
      </c>
      <c r="R206" s="3">
        <f>2524.2+(1230.9-346.7)+(-6.43671+(-3.138795--0.884085))+0-372.1--0.948854999999946</f>
        <v>3028.5574349999997</v>
      </c>
      <c r="S206" s="3">
        <f>2825.4+(1350.9-348.1)+(-1.440954+(-0.688959--0.177531))+0-574.2--0.292841999999942</f>
        <v>3252.3404600000003</v>
      </c>
      <c r="T206" s="3">
        <f>3039.3+(1209.4-379)+(-4.650129+(-1.850382--0.57987))+0-578.2--0.884646000000033</f>
        <v>3286.4640050000003</v>
      </c>
      <c r="U206" s="3">
        <f>3040.4+(945.9-363.9)+(-6.202416+(-1.929636--0.742356))+0-454.5--0.92717999999998</f>
        <v>3161.437484</v>
      </c>
      <c r="V206" s="3">
        <f>2934.8+(837.6-362.3)+(-4.490244+(-1.281528--0.554319))+0-543.9--0.832167000000031</f>
        <v>2861.8147140000001</v>
      </c>
      <c r="W206" s="3">
        <f>3013.2+(557.8-514.3)+(-1.536732+(-0.284478--0.262293))+0-429.4--0.218993999999956</f>
        <v>2625.9600769999997</v>
      </c>
      <c r="X206" s="3">
        <f>3591+(450.3-577.5)+(0+(0-0))+0-561.9-0</f>
        <v>2901.9</v>
      </c>
      <c r="Y206" s="3">
        <f>3572.9+(560-447.7)+(-9.110895+(-1.428--1.141635))+0-626.3--1.59706499999991</f>
        <v>3051.0998049999998</v>
      </c>
      <c r="Z206" s="3">
        <f>3960.8+(481.8-690.5)+(-2.020008+(-0.245718--0.352155))+0-593.1--0.30248099999994</f>
        <v>3157.3889100000001</v>
      </c>
      <c r="AA206" s="3">
        <f>3989.9+(564.8-681)+(-8.139396+(-1.152192--1.38924))+0-659--1.34435999999997</f>
        <v>3208.1420119999998</v>
      </c>
      <c r="AB206" s="3">
        <f>3942.6+(607.5-551.9)+(-6.032178+(-0.929475--0.844407))+0-678.5--1.03810500000004</f>
        <v>3314.6208590000001</v>
      </c>
      <c r="AC206" s="3">
        <f>3337.3+(1059.8-362.1)+(-8.510115+(-2.70249--0.923355))+0-631.2--1.60955999999991</f>
        <v>3395.1203100000002</v>
      </c>
      <c r="AD206">
        <v>2972</v>
      </c>
      <c r="AE206" s="3">
        <f>3598+(477.5-518.1)+(0+(0-0))+0-585.4-0</f>
        <v>2972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2834.2+(1446.7-343.5)+(0+(0-0))+0-587.3-0</f>
        <v>3350.0999999999995</v>
      </c>
      <c r="G207" s="3">
        <f>2606.9+(1698.1-345.3)+(0+(0-0))+0-695.9-0</f>
        <v>3263.7999999999997</v>
      </c>
      <c r="H207" s="3">
        <f>2474.6+(1602.8-337.7)+(1.262046+(0.817428-0.172227))+0-633.5-0.323084999999936</f>
        <v>3107.7841619999999</v>
      </c>
      <c r="I207" s="3">
        <f>2386.3+(1540.6-324.6)+(-2.434026+(-1.571412--0.331092))+0-605.8--0.617916000000097</f>
        <v>2993.4435700000004</v>
      </c>
      <c r="J207" s="3">
        <f>2451.5+(1403-315.8)+(0+(0-0))+0-647.5-0</f>
        <v>2891.2</v>
      </c>
      <c r="K207" s="3">
        <f>2381.7+(1345.1-321.5)+(-6.073335+(-3.430005--0.819825))+0-633.9--1.61644499999991</f>
        <v>2764.3329299999996</v>
      </c>
      <c r="L207" s="3">
        <f>2218.3+(1170.9-328.9)+(-2.262666+(-1.194318--0.335478))+0-598.6--0.610572000000095</f>
        <v>2459.1890660000004</v>
      </c>
      <c r="M207" s="3">
        <f>2292.1+(1004.2-360.4)+(3.506913+(1.536426-0.551412))+0-656.3-1.00413900000004</f>
        <v>2283.0877880000003</v>
      </c>
      <c r="N207" s="3">
        <f>2229.7+(1064.6-431.7)+(0+(0-0))+0-528.8-0</f>
        <v>2333.7999999999993</v>
      </c>
      <c r="O207" s="3">
        <f>2398.5+(1087-387.4)+(-2.44647+(-1.10874--0.395148))+0-627.3--0.6398460000001</f>
        <v>2468.2797840000003</v>
      </c>
      <c r="P207" s="3">
        <f>2650.5+(809.7-411.7)+(2.70351+(0.825894-0.419934))+0-480.1-0.489702000000077</f>
        <v>2571.0197680000001</v>
      </c>
      <c r="Q207" s="3">
        <f>2728.2+(941.9-397.8)+(-4.174146+(-1.441107--0.608634))+0-557.5--0.852975000000032</f>
        <v>2710.6463559999997</v>
      </c>
      <c r="R207" s="3">
        <f>2885.3+(1079-398.5)+(-1.471503+(-0.55029--0.203235))+0-576--0.293759999999942</f>
        <v>2988.2752020000003</v>
      </c>
      <c r="S207" s="3">
        <f>2861+(1313.8-384.2)+(2.91822+(1.340076-0.391884))+0-594.4-0.606288000000095</f>
        <v>3199.4601239999997</v>
      </c>
      <c r="T207" s="3">
        <f>2783.8+(1447.6-369.3)+(1.419738+(0.738276-0.188343))+0-630.6-0.321605999999936</f>
        <v>3233.1480650000003</v>
      </c>
      <c r="U207" s="3">
        <f>2570.8+(1431-360.1)+(-6.55554+(-3.64905--0.918255))+0-545.1--1.39000499999992</f>
        <v>3088.7036700000003</v>
      </c>
      <c r="V207" s="3">
        <f>2583.4+(1271.5-374)+(-1.317534+(-0.648465--0.19074))+0-699.9--0.356948999999929</f>
        <v>2779.58169</v>
      </c>
      <c r="W207" s="3">
        <f>2918.5+(721.9-445.3)+(0+(0-0))+0-632.1-0</f>
        <v>2563</v>
      </c>
      <c r="X207" s="3">
        <f>3872+(473.1-815.1)+(-5.92416+(-0.723843--1.247103))+0-650--0.994500000000038</f>
        <v>2875.5936000000002</v>
      </c>
      <c r="Y207" s="3">
        <f>3516.8+(647.5-507.1)+(-7.174272+(-1.3209--1.034484))+0-637.3--1.30009199999997</f>
        <v>3013.7394040000004</v>
      </c>
      <c r="Z207" s="3">
        <f>3282.2+(922.7-464.7)+(-8.36961+(-2.352885--1.184985))+0-682.8--1.7411399999999</f>
        <v>3049.6036299999996</v>
      </c>
      <c r="AA207" s="3">
        <f>3326.7+(858.6-424.3)+(-3.393234+(-0.875772--0.432786))+0-628.4--0.6409680000001</f>
        <v>3129.4047479999999</v>
      </c>
      <c r="AB207" s="3">
        <f>3060.6+(1215-392.9)+(-1.560906+(-0.61965--0.200379))+0-645.8--0.329357999999934</f>
        <v>3235.2491810000001</v>
      </c>
      <c r="AC207" s="3">
        <f>2778.3+(1502.7-345.1)+(-1.416933+(-0.766377--0.176001))+0-649.1--0.331040999999934</f>
        <v>3285.123732</v>
      </c>
      <c r="AD207">
        <v>2869</v>
      </c>
      <c r="AE207" s="3">
        <f>3983+(502.8-879.9)+(0+(0-0))+0-736.9-0</f>
        <v>2869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2362.9+(1875.7-351.1)+(0+(0-0))+0-625.6-0</f>
        <v>3261.9</v>
      </c>
      <c r="G208" s="3">
        <f>2185.2+(2034.6-354.1)+(0+(0-0))+0-685.6-0</f>
        <v>3180.1</v>
      </c>
      <c r="H208" s="3">
        <f>2057.7+(2004.8-394.4)+(1.049427+(1.022448-0.201144))+0-605.9-0.309008999999939</f>
        <v>3063.7617219999997</v>
      </c>
      <c r="I208" s="3">
        <f>1982.2+(2038-394.8)+(0+(0-0))+0-682.3-0</f>
        <v>2943.1000000000004</v>
      </c>
      <c r="J208" s="3">
        <f>1939.1+(1864.2-388.6)+(1.977882+(1.901484-0.396372))+0-582.8-0.594456000000093</f>
        <v>2834.7885379999993</v>
      </c>
      <c r="K208" s="3">
        <f>2031.5+(1687-384.1)+(-2.07213+(-1.72074--0.391782))+0-629.2--0.6417840000001</f>
        <v>2702.4406960000001</v>
      </c>
      <c r="L208" s="3">
        <f>1870.1+(1492.2-378.3)+(-1.907502+(-1.522044--0.385866))+0-556.1--0.567222000000089</f>
        <v>2425.423542</v>
      </c>
      <c r="M208" s="3">
        <f>1842.4+(1464.5-377.9)+(2.818872+(2.240685-0.578187))+0-649-0.992970000000038</f>
        <v>2283.4883999999997</v>
      </c>
      <c r="N208" s="3">
        <f>1860.7+(1401.6-398.5)+(0.948957+(0.714816-0.203235))+0-593.9-0.30288899999994</f>
        <v>2271.0576489999999</v>
      </c>
      <c r="O208" s="3">
        <f>2006.2+(1216.8-363.6)+(-2.046324+(-1.241136--0.370872))+0-569.1--0.580482000000091</f>
        <v>2287.9638940000004</v>
      </c>
      <c r="P208" s="3">
        <f>2096.8+(1147-367.3)+(0+(0-0))+0-524-0</f>
        <v>2352.5</v>
      </c>
      <c r="Q208" s="3">
        <f>2495.2+(928.9-365.7)+(-6.36276+(-2.368695--0.932535))+0-550.1--1.40275499999992</f>
        <v>2501.9038349999996</v>
      </c>
      <c r="R208" s="3">
        <f>2467.6+(1170.2-362.1)+(-3.775428+(-1.790406--0.554013))+0-520.6--0.79651800000003</f>
        <v>2750.884697</v>
      </c>
      <c r="S208" s="3">
        <f>2730+(1226.4-382)+(2.7846+(1.250928-0.38964))+0-558-0.569160000000089</f>
        <v>3019.4767280000001</v>
      </c>
      <c r="T208" s="3">
        <f>2571.4+(1530.3-373.4)+(-7.868484+(-4.682718--1.142604))+0-620.7--1.89934200000007</f>
        <v>3098.0907440000005</v>
      </c>
      <c r="U208" s="3">
        <f>2259.7+(1554.2-353.9)+(0+(0-0))+0-465.3-0</f>
        <v>2994.7</v>
      </c>
      <c r="V208" s="3">
        <f>2151.4+(1502.6-350.9)+(0+(0-0))+0-575.5-0</f>
        <v>2727.6</v>
      </c>
      <c r="W208" s="3">
        <f>2201.5+(1243.5-357.7)+(1.122765+(0.634185-0.182427))+0-565.4-0.288353999999943</f>
        <v>2523.1861690000005</v>
      </c>
      <c r="X208" s="3">
        <f>3076.6+(739.9-403.4)+(-4.707198+(-1.132047--0.617202))+0-549.6--0.840888000000032</f>
        <v>2859.118845</v>
      </c>
      <c r="Y208" s="3">
        <f>3430.9+(646.3-428.1)+(-5.249277+(-0.988839--0.654993))+0-629.8--0.963594000000036</f>
        <v>3014.6804709999997</v>
      </c>
      <c r="Z208" s="3">
        <f>3187.1+(900.5-392.7)+(1.625421+(0.459255-0.200277))+0-607.9-0.310028999999938</f>
        <v>3088.5743700000003</v>
      </c>
      <c r="AA208" s="3">
        <f>3128.6+(1135.3-387.8)+(0+(0-0))+0-737.6-0</f>
        <v>3138.5</v>
      </c>
      <c r="AB208" s="3">
        <f>3104.9+(1125-367.5)+(-4.750497+(-1.72125--0.562275))+0-562.5--0.860625000000033</f>
        <v>3294.8511530000005</v>
      </c>
      <c r="AC208" s="3">
        <f>2714.3+(1694.7-340)+(-6.921465+(-4.321485--0.867))+0-713.7--1.8199349999999</f>
        <v>3346.7439849999996</v>
      </c>
      <c r="AD208">
        <v>3016.2999999999993</v>
      </c>
      <c r="AE208" s="3">
        <f>3471+(688.9-430.9)+(0+(0-0))+0-712.7-0</f>
        <v>3016.3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2674.1+(1535.2-294.2)+(-6.818955+(-3.91476--0.75021))+0-570.6--1.45502999999992</f>
        <v>3335.9715249999999</v>
      </c>
      <c r="G209" s="3">
        <f>2600+(1723.4-299)+(-5.304+(-3.515736--0.60996))+0-732.4--1.49409599999997</f>
        <v>3285.2843199999998</v>
      </c>
      <c r="H209" s="3">
        <f>2194.1+(1832.3-296.6)+(-3.356973+(-2.803419--0.453798))+0-565.4--0.865062000000033</f>
        <v>3159.5584679999993</v>
      </c>
      <c r="I209" s="3">
        <f>1890.2+(2027-303.1)+(0+(0-0))+0-611.8-0</f>
        <v>3002.3</v>
      </c>
      <c r="J209" s="3">
        <f>1817.9+(1941.1-308)+(-2.781387+(-2.969883--0.47124))+0-635.2--0.971856000000037</f>
        <v>2811.4918260000004</v>
      </c>
      <c r="K209" s="3">
        <f>1691.7+(1883.3-290.2)+(-2.588301+(-2.881449--0.444006))+0-638.9--0.977517000000037</f>
        <v>2641.8517730000003</v>
      </c>
      <c r="L209" s="3">
        <f>1677.3+(1661-284.4)+(0+(0-0))+0-664-0</f>
        <v>2389.8999999999996</v>
      </c>
      <c r="M209" s="3">
        <f>1887.9+(1188.6-307.4)+(0.962829+(0.606186-0.156774))+0-501.4-0.255713999999949</f>
        <v>2268.8565269999999</v>
      </c>
      <c r="N209" s="3">
        <f>2189.7+(983.7-326.7)+(1.116747+(0.501687-0.166617))+0-625-0.318749999999937</f>
        <v>2222.833067</v>
      </c>
      <c r="O209" s="3">
        <f>2259+(1014.4-383.8)+(2.30418+(1.034688-0.391476))+0-480.5-0.490110000000077</f>
        <v>2411.5572819999998</v>
      </c>
      <c r="P209" s="3">
        <f>2639.5+(817.7-400.3)+(-1.346145+(-0.417027--0.204153))+0-610--0.311099999999938</f>
        <v>2445.6520810000002</v>
      </c>
      <c r="Q209" s="3">
        <f>2770.4+(881.1-342.9)+(-2.825808+(-0.898722--0.349758))+0-539--0.549780000000086</f>
        <v>2766.7750080000005</v>
      </c>
      <c r="R209" s="3">
        <f>2880.5+(951.5-334.8)+(0+(0-0))+0-561-0</f>
        <v>2936.2</v>
      </c>
      <c r="S209" s="3">
        <f>3356.7+(915.5-368.3)+(-1.711917+(-0.466905--0.187833))+0-644.3--0.328592999999935</f>
        <v>3257.9376039999993</v>
      </c>
      <c r="T209" s="3">
        <f>3685.8+(735.7-455.7)+(0+(0-0))+0-604-0</f>
        <v>3361.8</v>
      </c>
      <c r="U209" s="3">
        <f>3434.9+(917.2-363.7)+(-5.255397+(-1.403316--0.556461))+0-680.5--1.04116500000004</f>
        <v>3302.838913</v>
      </c>
      <c r="V209" s="3">
        <f>2608.8+(1302.4-327.3)+(-3.991464+(-1.992672--0.500769))+0-626.5--0.958545000000036</f>
        <v>2952.8751780000007</v>
      </c>
      <c r="W209" s="3">
        <f>2965.6+(765.7-451.8)+(0+(0-0))+0-593.7-0</f>
        <v>2685.8</v>
      </c>
      <c r="X209" s="3">
        <f>3976.2+(469.1-946.2)+(-8.111448+(-0.956964--1.930248))+0-651.4--1.32885599999997</f>
        <v>2841.8906919999999</v>
      </c>
      <c r="Y209" s="3">
        <f>3724.1+(501.8-635.9)+(0+(0-0))+0-585.5-0</f>
        <v>3004.5</v>
      </c>
      <c r="Z209" s="3">
        <f>3217.2+(908.8-334.6)+(-6.563088+(-1.853952--0.682584))+0-588.1--1.19972399999997</f>
        <v>3196.7652679999997</v>
      </c>
      <c r="AA209" s="3">
        <f>2981.7+(1285.8-332.8)+(-1.520667+(-0.655758--0.169728))+0-688--0.35087999999993</f>
        <v>3245.044183</v>
      </c>
      <c r="AB209" s="3">
        <f>2480.3+(1788.2-320.7)+(-6.324765+(-4.55991--0.817785))+0-603.3--1.53841499999991</f>
        <v>3335.9715249999999</v>
      </c>
      <c r="AC209" s="3">
        <f>2287.8+(2041.4-304.3)+(-1.166778+(-1.041114--0.155193))+0-632.9--0.322778999999936</f>
        <v>3390.2700800000007</v>
      </c>
      <c r="AD209">
        <v>2928.4</v>
      </c>
      <c r="AE209" s="3">
        <f>4148+(476.2-978.2)+(0+(0-0))+0-717.6-0</f>
        <v>2928.4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2054.8+(2264.2-321)+(-5.23974+(-5.77371--0.81855))+0-639.9--1.63174499999991</f>
        <v>3349.5368450000001</v>
      </c>
      <c r="G210" s="3">
        <f>1953.9+(2172.1-327.9)+(-0.996489+(-1.107771--0.167229))+0-559.6--0.285395999999943</f>
        <v>3236.8483649999998</v>
      </c>
      <c r="H210" s="3">
        <f>1933.1+(2202.7-310.6)+(-2.957643+(-3.370131--0.475218))+0-740.4--1.13281200000004</f>
        <v>3080.0802559999997</v>
      </c>
      <c r="I210" s="3">
        <f>2002.2+(1818.4-322)+(-1.021122+(-0.927384--0.16422))+0-529.2--0.269891999999946</f>
        <v>2967.8856060000003</v>
      </c>
      <c r="J210" s="3">
        <f>1919.7+(1984.9-315)+(0+(0-0))+0-729.9-0</f>
        <v>2859.7000000000003</v>
      </c>
      <c r="K210" s="3">
        <f>1631.3+(1876.3-304.4)+(-2.495889+(-2.870739--0.465732))+0-521.8--0.79835400000003</f>
        <v>2677.2974579999996</v>
      </c>
      <c r="L210" s="3">
        <f>1530.6+(1756.9-301.5)+(0+(0-0))+0-632.3-0</f>
        <v>2353.6999999999998</v>
      </c>
      <c r="M210" s="3">
        <f>1658.2+(1391.3-307.4)+(0.845682+(0.709563-0.156774))+0-576.8-0.294167999999941</f>
        <v>2166.4043030000007</v>
      </c>
      <c r="N210" s="3">
        <f>1886.1+(1252.2-323)+(0.961911+(0.638622-0.16473))+0-555-0.283049999999944</f>
        <v>2261.452753</v>
      </c>
      <c r="O210" s="3">
        <f>2119.1+(1010.3-338.3)+(0+(0-0))+0-510.3-0</f>
        <v>2280.7999999999997</v>
      </c>
      <c r="P210" s="3">
        <f>2485.2+(824.4-384)+(-1.267452+(-0.420444--0.19584))+0-515.6--0.262955999999948</f>
        <v>2408.7709</v>
      </c>
      <c r="Q210" s="3">
        <f>3034.3+(648.9-503.6)+(3.094986+(0.661878-0.513672))+0-607.4-0.619548000000097</f>
        <v>2574.8236440000001</v>
      </c>
      <c r="R210" s="3">
        <f>2983+(834.7-368.4)+(-7.60665+(-2.128485--0.93942))+0-584.7--1.49098499999992</f>
        <v>2857.2952700000001</v>
      </c>
      <c r="S210" s="3">
        <f>3044+(1061.4-401.8)+(0+(0-0))+0-566.3-0</f>
        <v>3137.3</v>
      </c>
      <c r="T210" s="3">
        <f>3207.3+(1138.4-435.5)+(-3.271446+(-1.161168--0.44421))+0-628.9--0.6414780000001</f>
        <v>3277.953074</v>
      </c>
      <c r="U210" s="3">
        <f>2942.1+(1223-324.3)+(-7.502355+(-3.11865--0.826965))+0-631.2--1.60955999999991</f>
        <v>3201.4155199999996</v>
      </c>
      <c r="V210" s="3">
        <f>2484.4+(1246-231.5)+(-6.33522+(-3.1773--0.590325))+0-609.8--1.55498999999991</f>
        <v>2881.7327950000004</v>
      </c>
      <c r="W210" s="3">
        <f>2801.7+(686.4-194.9)+(2.857734+(0.700128-0.198798))+0-644.8-0.657696000000103</f>
        <v>2651.1013679999996</v>
      </c>
      <c r="X210" s="3">
        <f>3972.7+(390.1-779.4)+(-4.052154+(-0.397902--0.794988))+0-662.9--0.676158000000106</f>
        <v>2917.5210899999997</v>
      </c>
      <c r="Y210" s="3">
        <f>3664.3+(475.2-495.6)+(0+(0-0))+0-585.9-0</f>
        <v>3058</v>
      </c>
      <c r="Z210" s="3">
        <f>3293.5+(759.9-277.2)+(-1.679685+(-0.387549--0.141372))+0-658.9--0.336038999999933</f>
        <v>3115.7101769999995</v>
      </c>
      <c r="AA210" s="3">
        <f>2605.9+(1478.5-203.2)+(-5.316036+(-3.01614--0.414528))+0-691.8--1.41127199999997</f>
        <v>3182.8936239999998</v>
      </c>
      <c r="AB210" s="3">
        <f>2123.9+(2019.8-202.3)+(-4.332756+(-4.120392--0.412692))+0-631.2--1.28764799999997</f>
        <v>3303.4471920000001</v>
      </c>
      <c r="AC210" s="3">
        <f>1912+(2385.7-259.9)+(-5.85072+(-7.300242--0.795294))+0-646.2--1.97737200000007</f>
        <v>3381.2217039999996</v>
      </c>
      <c r="AD210">
        <v>2933.8999999999996</v>
      </c>
      <c r="AE210" s="3">
        <f>4035+(393.4-781.5)+(0+(0-0))+0-713-0</f>
        <v>2933.9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1821.2+(2452.3-298.1)+(-4.64406+(-6.253365--0.760155))+0-599.1--1.52770499999991</f>
        <v>3367.6904350000004</v>
      </c>
      <c r="G211" s="3">
        <f>1729.9+(2448.6-335.9)+(2.646747+(3.746358-0.513927))+0-596.3-0.912339000000034</f>
        <v>3251.2668390000003</v>
      </c>
      <c r="H211" s="3">
        <f>1632.7+(2484.8-327.5)+(-4.163385+(-6.33624--0.835125))+0-671.8--1.7130899999999</f>
        <v>3110.2485899999997</v>
      </c>
      <c r="I211" s="3">
        <f>1546.9+(2345.3-315.5)+(-2.366757+(-3.588309--0.482715))+0-581.4--0.889542000000034</f>
        <v>2990.7171910000002</v>
      </c>
      <c r="J211" s="3">
        <f>1583.6+(2187.9-307.9)+(-0.807636+(-1.115829--0.157029))+0-612.3--0.312272999999938</f>
        <v>2849.8458370000003</v>
      </c>
      <c r="K211" s="3">
        <f>1610.4+(2022-299.7)+(0.821304+(1.03122-0.152847))+0-647.4-0.330173999999934</f>
        <v>2686.6695030000001</v>
      </c>
      <c r="L211" s="3">
        <f>1563.1+(1735.8-298.4)+(0+(0-0))+0-651.5-0</f>
        <v>2349</v>
      </c>
      <c r="M211" s="3">
        <f>1694.4+(1385.5-299.2)+(0.864144+(0.706605-0.152592))+0-633.4-0.323033999999936</f>
        <v>2148.3951229999998</v>
      </c>
      <c r="N211" s="3">
        <f>1764.1+(1234.4-303.5)+(0.899691+(0.629544-0.154785))+0-507.7-0.258926999999949</f>
        <v>2188.4155230000001</v>
      </c>
      <c r="O211" s="3">
        <f>1867.9+(1247.8-320.8)+(-2.857887+(-1.909134--0.490824))+0-496.8--0.760104000000029</f>
        <v>2294.5839069999997</v>
      </c>
      <c r="P211" s="3">
        <f>2309.9+(928.8-338)+(2.356098+(0.947376-0.34476))+0-466.8-0.476136000000074</f>
        <v>2436.3825779999993</v>
      </c>
      <c r="Q211" s="3">
        <f>2845.3+(722.1-445.8)+(0+(0-0))+0-475.1-0</f>
        <v>2646.5000000000005</v>
      </c>
      <c r="R211" s="3">
        <f>2944.9+(777.2-370.4)+(-1.501899+(-0.396372--0.188904))+0-446.4--0.227663999999955</f>
        <v>2903.8182970000003</v>
      </c>
      <c r="S211" s="3">
        <f>3199.5+(879.2-376.6)+(-1.631745+(-0.448392--0.192066))+0-527.6--0.269075999999946</f>
        <v>3172.8810050000002</v>
      </c>
      <c r="T211" s="3">
        <f>3230.7+(869.4-381.9)+(1.647657+(0.443394-0.194769))+0-420.4-0.214403999999957</f>
        <v>3299.4818780000001</v>
      </c>
      <c r="U211" s="3">
        <f>3040.5+(1082.2-333.8)+(0+(0-0))+0-612.4-0</f>
        <v>3176.5</v>
      </c>
      <c r="V211" s="3">
        <f>2442.5+(1126.6-197.8)+(-4.9827+(-2.298264--0.403512))+0-525--1.07099999999998</f>
        <v>2840.4935479999999</v>
      </c>
      <c r="W211" s="3">
        <f>3014.4+(540.1-346.1)+(4.612032+(0.826353-0.529533))+0-573.7-0.877761000000033</f>
        <v>2638.7310910000001</v>
      </c>
      <c r="X211" s="3">
        <f>3721.4+(391.7-607.6)+(-11.387484+(-1.198602--1.859256))+0-601.5--1.84059000000007</f>
        <v>2895.1137600000002</v>
      </c>
      <c r="Y211" s="3">
        <f>3186.7+(586.1-147.9)+(1.625217+(0.298911-0.075429))+0-608.3-0.310232999999938</f>
        <v>3018.1384659999994</v>
      </c>
      <c r="Z211" s="3">
        <f>2960.9+(902.7-108.1)+(-1.510059+(-0.460377--0.055131))+0-674.7--0.344096999999932</f>
        <v>3079.2287919999999</v>
      </c>
      <c r="AA211" s="3">
        <f>2679+(1203.1-146.6)+(-4.09887+(-1.840743--0.224298))+0-646--0.988380000000037</f>
        <v>3084.7730650000003</v>
      </c>
      <c r="AB211" s="3">
        <f>2680.8+(1279-58.1)+(-5.468832+(-2.60916--0.118524))+0-624.8--1.27459199999997</f>
        <v>3270.2151240000003</v>
      </c>
      <c r="AC211" s="3">
        <f>2426.4+(1632.7-55.7)+(-2.474928+(-1.665354--0.056814))+0-639.9--0.652698000000102</f>
        <v>3360.0692300000005</v>
      </c>
      <c r="AD211">
        <v>2955.9000000000005</v>
      </c>
      <c r="AE211" s="3">
        <f>3810+(387.1-655.6)+(0+(0-0))+0-585.6-0</f>
        <v>2955.9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2199.4+(1782.5-57.3)+(-5.60847+(-4.545375--0.146115))+0-597.4--1.52336999999991</f>
        <v>3318.7156400000003</v>
      </c>
      <c r="G212" s="3">
        <f>1888+(1918.1-55.6)+(-0.96288+(-0.978231--0.028356))+0-542.9--0.276878999999945</f>
        <v>3205.9641240000001</v>
      </c>
      <c r="H212" s="3">
        <f>1739.3+(2038-55.4)+(1.774086+(2.07876-0.056508))+0-636.4-0.649128000000101</f>
        <v>3088.6472099999996</v>
      </c>
      <c r="I212" s="3">
        <f>1649.1+(2044.1-53.7)+(-3.364164+(-4.169964--0.109548))+0-674.6--1.37618399999997</f>
        <v>2958.8516040000004</v>
      </c>
      <c r="J212" s="3">
        <f>1677.7+(1829-53.9)+(0.855627+(0.93279-0.027489))+0-616.1-0.314210999999938</f>
        <v>2838.1467170000005</v>
      </c>
      <c r="K212" s="3">
        <f>1658+(1734.6-54.4)+(-1.69116+(-1.769292--0.055488))+0-635.5--0.648210000000101</f>
        <v>2699.9432460000003</v>
      </c>
      <c r="L212" s="3">
        <f>1652.2+(1469-71.5)+(-2.527866+(-2.24757--0.109395))+0-684.8--1.04774400000004</f>
        <v>2361.2817030000001</v>
      </c>
      <c r="M212" s="3">
        <f>1828.5+(998.6-165.4)+(1.86507+(1.018572-0.168708))+0-477-0.486540000000076</f>
        <v>2186.928394</v>
      </c>
      <c r="N212" s="3">
        <f>1963+(1082.3-164.8)+(0+(0-0))+0-654-0</f>
        <v>2226.5</v>
      </c>
      <c r="O212" s="3">
        <f>1919.5+(965.3-157.2)+(-0.978945+(-0.492303--0.080172))+0-376--0.191759999999962</f>
        <v>2350.4006840000002</v>
      </c>
      <c r="P212" s="3">
        <f>2252.4+(821.1-124.6)+(1.148724+(0.418761-0.063546))+0-576-0.293759999999942</f>
        <v>2374.1101790000002</v>
      </c>
      <c r="Q212" s="3">
        <f>2825.3+(494-285.5)+(-7.204515+(-1.2597--0.728025))+0-409--1.04294999999994</f>
        <v>2618.1067600000001</v>
      </c>
      <c r="R212" s="3">
        <f>2647.4+(613.7-191.4)+(-1.350174+(-0.312987--0.097614))+0-441.8--0.225317999999955</f>
        <v>2626.5597709999997</v>
      </c>
      <c r="S212" s="3">
        <f>3378.4+(550.7-284.4)+(0+(0-0))+0-502.8-0</f>
        <v>3141.9</v>
      </c>
      <c r="T212" s="3">
        <f>3292.3+(615.8-221.2)+(-5.037219+(-0.942174--0.338436))+0-367.4--0.562122000000021</f>
        <v>3314.4211649999997</v>
      </c>
      <c r="U212" s="3">
        <f>2973.8+(671.6-114.2)+(0+(0-0))+0-710.8-0</f>
        <v>2820.4000000000005</v>
      </c>
      <c r="V212" s="3">
        <f>2777.1+(881.2-65.4)+(-8.497926+(-2.696472--0.200124))+0-677.4--2.07284400000008</f>
        <v>2906.5785700000001</v>
      </c>
      <c r="W212" s="3">
        <f>3349.2+(413.3-561.2)+(3.416184+(0.421566-0.572424))+0-559-0.570180000000089</f>
        <v>2644.9951459999997</v>
      </c>
      <c r="X212" s="3">
        <f>4027.6+(326.7-788.4)+(-12.324456+(-0.999702--2.412504))+0-676.3--2.06947800000008</f>
        <v>2880.7578239999998</v>
      </c>
      <c r="Y212" s="3">
        <f>3549.7+(374.1-370.5)+(-5.431041+(-0.572373--0.566865))+0-567.9--0.868887000000033</f>
        <v>2980.8323379999997</v>
      </c>
      <c r="Z212" s="3">
        <f>3342.8+(566.7-148.7)+(-8.52414+(-1.445085--0.379185))+0-683--1.7416499999999</f>
        <v>3069.9516100000001</v>
      </c>
      <c r="AA212" s="3">
        <f>3324.1+(605-148)+(-6.781164+(-1.2342--0.30192))+0-670.6--1.36802399999997</f>
        <v>3104.1545799999999</v>
      </c>
      <c r="AB212" s="3">
        <f>3525.9+(486.2-201.6)+(-1.798209+(-0.247962--0.102816))+0-561.5--0.286364999999943</f>
        <v>3247.34301</v>
      </c>
      <c r="AC212" s="3">
        <f>3463.2+(593.1-93)+(-1.766232+(-0.302481--0.04743))+0-631.9--0.322268999999936</f>
        <v>3329.7009859999994</v>
      </c>
      <c r="AD212">
        <v>2860.3999999999996</v>
      </c>
      <c r="AE212" s="3">
        <f>4224+(330.9-893.9)+(0+(0-0))+0-800.6-0</f>
        <v>2860.4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2484+(1475.3-67.1)+(-3.80052+(-2.257209--0.102663))+0-605--0.925650000000035</f>
        <v>3282.170584</v>
      </c>
      <c r="G213" s="3">
        <f>2242.7+(1666.7-65)+(2.287554+(1.700034-0.0663))+0-680-0.693600000000108</f>
        <v>3167.6276879999996</v>
      </c>
      <c r="H213" s="3">
        <f>2184.2+(1594.5-55.7)+(-1.113942+(-0.813195--0.028407))+0-666.1--0.339710999999932</f>
        <v>3055.3409810000003</v>
      </c>
      <c r="I213" s="3">
        <f>2195.9+(1401.5-58.4)+(3.359727+(2.144295-0.089352))+0-592.8-0.906984000000034</f>
        <v>2950.7076859999997</v>
      </c>
      <c r="J213" s="3">
        <f>2204.5+(1323.1-58.6)+(1.124295+(0.674781-0.029886))+0-642.1-0.327470999999935</f>
        <v>2828.341719</v>
      </c>
      <c r="K213" s="3">
        <f>2000.1+(1308.8-59)+(-4.080204+(-2.669952--0.12036))+0-560.6--1.14362399999998</f>
        <v>2683.8138279999994</v>
      </c>
      <c r="L213" s="3">
        <f>1923.6+(1208-171.1)+(-3.924144+(-2.46432--0.349044))+0-617.6--1.25990399999997</f>
        <v>2338.120484</v>
      </c>
      <c r="M213" s="3">
        <f>2014.6+(1023.9-318.9)+(1.027446+(0.522189-0.162639))+0-630.1-0.321350999999936</f>
        <v>2090.5656450000001</v>
      </c>
      <c r="N213" s="3">
        <f>2124.6+(956.5-385.6)+(0+(0-0))+0-573.7-0</f>
        <v>2121.8000000000002</v>
      </c>
      <c r="O213" s="3">
        <f>2055.6+(1125.6-378.7)+(-2.096712+(-1.148112--0.386274))+0-556.6--0.567732000000089</f>
        <v>2243.6091820000001</v>
      </c>
      <c r="P213" s="3">
        <f>2347.4+(822.6-314.8)+(-2.394348+(-0.839052--0.321096))+0-564.4--0.57568800000009</f>
        <v>2288.4633840000001</v>
      </c>
      <c r="Q213" s="3">
        <f>2654+(639.8-338.8)+(-5.41416+(-1.305192--0.691152))+0-609.2--1.24276799999997</f>
        <v>2341.0145679999996</v>
      </c>
      <c r="R213" s="3">
        <f>2887.6+(546-268.9)+(-4.418028+(-0.83538--0.411417))+0-545.1--0.834003000000032</f>
        <v>2615.5920120000001</v>
      </c>
      <c r="S213" s="3">
        <f>3080.4+(596.9-388.3)+(-3.142008+(-0.608838--0.396066))+0-516.5--0.526830000000082</f>
        <v>2769.6720500000001</v>
      </c>
      <c r="T213" s="3">
        <f>3396.8+(620.9-530.2)+(0+(0-0))+0-564.8-0</f>
        <v>2922.7</v>
      </c>
      <c r="U213" s="3">
        <f>3205.4+(797.1-497.3)+(-3.269508+(-0.813042--0.507246))+0-640.7--0.653514000000102</f>
        <v>2861.5782100000001</v>
      </c>
      <c r="V213" s="3">
        <f>2949.2+(805.5-487.4)+(0+(0-0))+0-545.2-0</f>
        <v>2722.0999999999995</v>
      </c>
      <c r="W213" s="3">
        <f>3218.2+(593.3-751.5)+(-1.641282+(-0.302583--0.383265))+0-526--0.268259999999947</f>
        <v>2532.70766</v>
      </c>
      <c r="X213" s="3">
        <f>3858+(466.8-977.9)+(-9.8379+(-1.19034--2.493645))+0-537.8--1.37138999999992</f>
        <v>2801.9367950000001</v>
      </c>
      <c r="Y213" s="3">
        <f>3964.8+(477.9-898)+(-6.066144+(-0.731187--1.37394))+0-639.5--0.978435000000037</f>
        <v>2900.7550440000005</v>
      </c>
      <c r="Z213" s="3">
        <f>3947.5+(487.5-868.3)+(-6.039675+(-0.745875--1.328499))+0-603.4--0.923202000000035</f>
        <v>2958.7661509999998</v>
      </c>
      <c r="AA213" s="3">
        <f>3745.4+(515.5-636.7)+(-5.730462+(-0.788715--0.974151))+0-603--0.922590000000035</f>
        <v>3016.5775640000002</v>
      </c>
      <c r="AB213" s="3">
        <f>3667.6+(608.4-511.9)+(0+(0-0))+0-628.2-0</f>
        <v>3135.8999999999996</v>
      </c>
      <c r="AC213" s="3">
        <f>3424.7+(779.3-390.5)+(-6.986388+(-1.589772--0.79662))+0-605.2--1.23460799999997</f>
        <v>3201.7550679999995</v>
      </c>
      <c r="AD213">
        <v>2884.7999999999997</v>
      </c>
      <c r="AE213" s="3">
        <f>4048+(455.2-954.8)+(0+(0-0))+0-663.6-0</f>
        <v>2884.8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2733.5+(1455.6-323.1)+(-4.182255+(-2.227068--0.494343))+0-627.5--0.960075000000036</f>
        <v>3233.5450949999999</v>
      </c>
      <c r="G214" s="3">
        <f>2180.8+(1899.5-322.1)+(-1.112208+(-0.968745--0.164271))+0-645.6--0.329255999999935</f>
        <v>3111.0125740000003</v>
      </c>
      <c r="H214" s="3">
        <f>2030.7+(1902.1-324.5)+(-6.213942+(-5.820426--0.99297))+0-623.4--1.90760400000007</f>
        <v>2975.7662060000002</v>
      </c>
      <c r="I214" s="3">
        <f>2057.7+(1758.2-314.2)+(-3.148281+(-2.690046--0.480726))+0-657.1--1.00536300000004</f>
        <v>2840.247762</v>
      </c>
      <c r="J214" s="3">
        <f>2239.4+(1394.9-310)+(0+(0-0))+0-580-0</f>
        <v>2744.3</v>
      </c>
      <c r="K214" s="3">
        <f>2313.5+(1268.7-303.7)+(-1.179885+(-0.647037--0.154887))+0-674.2--0.343841999999932</f>
        <v>2602.9718069999994</v>
      </c>
      <c r="L214" s="3">
        <f>2170.3+(1123.1-347.4)+(-3.320559+(-1.718343--0.531522))+0-617.8--0.945234000000036</f>
        <v>2324.6378540000001</v>
      </c>
      <c r="M214" s="3">
        <f>2150.6+(1056.1-454.8)+(1.096806+(0.538611-0.231948))+0-610.2-0.311201999999938</f>
        <v>2142.7922669999998</v>
      </c>
      <c r="N214" s="3">
        <f>2253.1+(1088.1-605.7)+(3.447243+(1.664793-0.926721))+0-586.2-0.896886000000034</f>
        <v>2152.5884289999999</v>
      </c>
      <c r="O214" s="3">
        <f>2704.6+(922.9-749.8)+(0+(0-0))+0-681.1-0</f>
        <v>2196.6</v>
      </c>
      <c r="P214" s="3">
        <f>3303+(575.3-1011.8)+(3.36906+(0.586806-1.032036))+0-596.5-0.608430000000095</f>
        <v>2272.3154</v>
      </c>
      <c r="Q214" s="3">
        <f>3784.8+(451.7-1296.7)+(-1.930248+(-0.230367--0.661317))+0-573.9--0.292688999999942</f>
        <v>2364.6933909999998</v>
      </c>
      <c r="R214" s="3">
        <f>3825.1+(386.2-1033.2)+(-5.852403+(-0.590886--1.580796))+0-662.1--1.01301300000004</f>
        <v>2512.1505200000001</v>
      </c>
      <c r="S214" s="3">
        <f>3455.8+(420.5-588.1)+(-10.574748+(-1.28673--1.799586))+0-603.4--1.84640400000007</f>
        <v>2676.5845119999999</v>
      </c>
      <c r="T214" s="3">
        <f>3491.6+(385.9-535.5)+(-3.561432+(-0.393618--0.54621))+0-628.5--0.6410700000001</f>
        <v>2710.7322300000001</v>
      </c>
      <c r="U214" s="3">
        <f>2774.9+(761.5-344.2)+(-4.245597+(-1.165095--0.526626))+0-592.1--0.905913000000034</f>
        <v>2596.1218470000003</v>
      </c>
      <c r="V214" s="3">
        <f>2509.2+(877.2-414.1)+(-3.839076+(-1.342116--0.633573))+0-617.1--0.944163000000036</f>
        <v>2351.596544</v>
      </c>
      <c r="W214" s="3">
        <f>2524.7+(749.9-411.9)+(-3.862791+(-1.147347--0.630207))+0-630.1--0.964053000000036</f>
        <v>2229.1841220000001</v>
      </c>
      <c r="X214" s="3">
        <f>3024.5+(564.5-513.2)+(-9.25497+(-1.72737--1.570392))+0-639.5--1.95687000000007</f>
        <v>2428.8449220000002</v>
      </c>
      <c r="Y214" s="3">
        <f>2869.7+(599.4-467.2)+(-4.390641+(-0.917082--0.714816))+0-596.9--0.913257000000035</f>
        <v>2401.3203499999995</v>
      </c>
      <c r="Z214" s="3">
        <f>3380.3+(492.2-880.6)+(-1.723953+(-0.251022--0.449106))+0-650.8--0.331907999999934</f>
        <v>2339.9060390000004</v>
      </c>
      <c r="AA214" s="3">
        <f>3792.2+(425.5-1285.2)+(-3.868044+(-0.43401--1.310904))+0-625.1--0.6376020000001</f>
        <v>2305.0464520000005</v>
      </c>
      <c r="AB214" s="3">
        <f>3563.6+(377.7-1133.7)+(-5.452308+(-0.577881--1.734561))+0-568.3--0.869499000000033</f>
        <v>2235.8738710000002</v>
      </c>
      <c r="AC214" s="3">
        <f>3180.6+(404.6-712.5)+(-8.11053+(-1.03173--1.816875))+0-679.7--1.7332349999999</f>
        <v>2187.4078499999996</v>
      </c>
      <c r="AD214">
        <v>2412.6999999999998</v>
      </c>
      <c r="AE214" s="3">
        <f>3020+(567.8-535.3)+(0+(0-0))+0-639.8-0</f>
        <v>2412.6999999999998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2314.2+(733.8-347.1)+(-3.540726+(-1.122714--0.531063))+0-586.8--0.897804000000034</f>
        <v>2110.8654269999997</v>
      </c>
      <c r="G215" s="3">
        <f>2246.1+(630.7-268.3)+(-4.582044+(-1.286628--0.547332))+0-574.5--1.17197999999997</f>
        <v>2029.8506400000001</v>
      </c>
      <c r="H215" s="3">
        <f>2222.5+(596.2-243)+(-5.667375+(-1.52031--0.61965))+0-596.1--1.52005499999991</f>
        <v>1974.5520200000001</v>
      </c>
      <c r="I215" s="3">
        <f>2153.6+(576.4-236.3)+(-4.393344+(-1.175856--0.482052))+0-602.8--1.22971199999997</f>
        <v>1887.0425639999999</v>
      </c>
      <c r="J215" s="3">
        <f>2162.4+(510-269)+(-1.102824+(-0.2601--0.13719))+0-601.3--0.306662999999939</f>
        <v>1801.1809289999999</v>
      </c>
      <c r="K215" s="3">
        <f>2081.8+(567.1-308.9)+(-1.061718+(-0.289221--0.157539))+0-602.8--0.307427999999939</f>
        <v>1736.3140279999998</v>
      </c>
      <c r="L215" s="3">
        <f>1971.4+(598.5-344.4)+(0+(0-0))+0-594.2-0</f>
        <v>1631.3</v>
      </c>
      <c r="M215" s="3">
        <f>2188.6+(509.9-472.2)+(-1.116186+(-0.260049--0.240822))+0-664.2--0.338741999999933</f>
        <v>1561.3033289999996</v>
      </c>
      <c r="N215" s="3">
        <f>2023.2+(637.5-537.9)+(-2.063664+(-0.65025--0.548658))+0-519.1--0.529482000000083</f>
        <v>1602.0642260000002</v>
      </c>
      <c r="O215" s="3">
        <f>2003.5+(704.7-604.1)+(-2.04357+(-0.718794--0.616182))+0-481.4--0.491028000000077</f>
        <v>1621.044846</v>
      </c>
      <c r="P215" s="3">
        <f>2357.8+(646-718.5)+(-3.607434+(-0.98838--1.099305))+0-601.6--0.920448000000035</f>
        <v>1681.1239390000003</v>
      </c>
      <c r="Q215" s="3">
        <f>2574.4+(500.4-821.3)+(0+(0-0))+0-542.3-0</f>
        <v>1711.2</v>
      </c>
      <c r="R215" s="3">
        <f>2720.9+(429.5-833.9)+(-5.550636+(-0.87618--1.701156))+0-609.1--1.24256399999997</f>
        <v>1703.9169039999999</v>
      </c>
      <c r="S215" s="3">
        <f>2858.9+(321.9-949.9)+(-5.832156+(-0.656676--1.937796))+0-496.3--1.01245199999998</f>
        <v>1731.0614160000002</v>
      </c>
      <c r="T215" s="3">
        <f>2931.3+(254.1-787.8)+(-2.989926+(-0.259182--0.803556))+0-606.2--0.618324000000097</f>
        <v>1789.5727720000002</v>
      </c>
      <c r="U215" s="3">
        <f>2606.4+(355.1-646.6)+(-1.329264+(-0.181101--0.329766))+0-592.6--0.30222599999994</f>
        <v>1721.4216270000004</v>
      </c>
      <c r="V215" s="3">
        <f>2544.4+(457.4-702.8)+(0+(0-0))+0-597.5-0</f>
        <v>1701.5</v>
      </c>
      <c r="W215" s="3">
        <f>2295.1+(686.9-602.1)+(-3.511503+(-1.050957--0.921213))+0-650.9--0.995877000000038</f>
        <v>1726.3546299999996</v>
      </c>
      <c r="X215" s="3">
        <f>2759.3+(710.2-942.8)+(-5.628972+(-1.448808--1.923312))+0-519.7--1.06018799999998</f>
        <v>2002.90572</v>
      </c>
      <c r="Y215" s="3">
        <f>3141.9+(643.8-1113.4)+(-4.807107+(-0.985014--1.703502))+0-697.4--1.06702200000004</f>
        <v>1971.8784029999999</v>
      </c>
      <c r="Z215" s="3">
        <f>3301+(473.9-1222.1)+(-8.41755+(-1.208445--3.116355))+0-647.6--1.65137999999991</f>
        <v>1900.3417400000001</v>
      </c>
      <c r="AA215" s="3">
        <f>3248.4+(467.9-1270.9)+(-6.626736+(-0.954516--2.592636))+0-603.7--1.23154799999997</f>
        <v>1837.9429319999999</v>
      </c>
      <c r="AB215" s="3">
        <f>3278.8+(429.3-1262.6)+(-8.36094+(-1.094715--3.21963))+0-644.2--1.64270999999991</f>
        <v>1796.7066849999997</v>
      </c>
      <c r="AC215" s="3">
        <f>2900+(410.1-979.2)+(-7.395+(-1.045755--2.49696))+0-607.3--1.54861499999991</f>
        <v>1719.2048199999999</v>
      </c>
      <c r="AD215">
        <v>1949</v>
      </c>
      <c r="AE215" s="3">
        <f>2996+(744-1037)+(0+(0-0))+0-754-0</f>
        <v>1949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2246.9+(456.4-500.9)+(-2.291838+(-0.465528--0.510918))+0-582--0.593640000000093</f>
        <v>1618.7471920000003</v>
      </c>
      <c r="G216" s="3">
        <f>2087.8+(382.3-391.6)+(-2.129556+(-0.389946--0.399432))+0-525.8--0.536316000000084</f>
        <v>1551.1162460000003</v>
      </c>
      <c r="H216" s="3">
        <f>2057.2+(423.1-346.2)+(-4.196688+(-0.863124--0.706248))+0-639.1--1.30376399999997</f>
        <v>1491.9502</v>
      </c>
      <c r="I216" s="3">
        <f>1964.3+(418.5-381)+(-2.003586+(-0.42687--0.38862))+0-530.8--0.541416000000085</f>
        <v>1469.4995799999999</v>
      </c>
      <c r="J216" s="3">
        <f>2017.2+(397.4-487.6)+(2.057544+(0.405348-0.497352))+0-475.4-0.484908000000076</f>
        <v>1453.0806319999999</v>
      </c>
      <c r="K216" s="3">
        <f>2151.5+(468.2-564)+(5.486325+(1.19391-1.4382))+0-605.9-1.54504499999991</f>
        <v>1453.4969900000001</v>
      </c>
      <c r="L216" s="3">
        <f>2074.5+(545-633.8)+(-1.057995+(-0.27795--0.323238))+0-532.5--0.271574999999946</f>
        <v>1452.4588679999999</v>
      </c>
      <c r="M216" s="3">
        <f>2034.8+(567.5-600.3)+(0+(0-0))+0-577.5-0</f>
        <v>1424.5</v>
      </c>
      <c r="N216" s="3">
        <f>2162.3+(557.8-702.6)+(-1.102773+(-0.284478--0.358326))+0-546--0.278459999999945</f>
        <v>1470.7495349999999</v>
      </c>
      <c r="O216" s="3">
        <f>2193.9+(701.4-829.9)+(-4.475556+(-1.430856--1.692996))+0-568.1--1.15892399999998</f>
        <v>1494.2455080000002</v>
      </c>
      <c r="P216" s="3">
        <f>2302.2+(767.8-912)+(-1.174122+(-0.391578--0.46512))+0-549--0.279989999999944</f>
        <v>1608.1794100000002</v>
      </c>
      <c r="Q216" s="3">
        <f>2718+(664.9-1139.1)+(-4.15854+(-1.017297--1.742823))+0-541.2--0.828036000000031</f>
        <v>1699.9950220000001</v>
      </c>
      <c r="R216" s="3">
        <f>2432.3+(671.5-901.5)+(-6.202365+(-1.712325--2.298825))+0-488.3--1.24516499999993</f>
        <v>1709.6293000000001</v>
      </c>
      <c r="S216" s="3">
        <f>2630.1+(540.2-968.2)+(-1.341351+(-0.275502--0.493782))+0-505.9--0.258008999999949</f>
        <v>1695.3349379999997</v>
      </c>
      <c r="T216" s="3">
        <f>3012.5+(456.5-1273.3)+(0+(0-0))+0-516.9-0</f>
        <v>1678.7999999999997</v>
      </c>
      <c r="U216" s="3">
        <f>3052.4+(404.9-1305.5)+(-1.556724+(-0.206499--0.665805))+0-491.6--0.25071599999995</f>
        <v>1659.3532980000004</v>
      </c>
      <c r="V216" s="3">
        <f>3194.6+(421.9-1461.4)+(3.258492+(0.430338-1.490628))+0-500.9-0.51091800000008</f>
        <v>1655.8872839999997</v>
      </c>
      <c r="W216" s="3">
        <f>3664.4+(449.7-1800.6)+(3.737688+(0.458694-1.836612))+0-516-0.526320000000082</f>
        <v>1799.3334499999999</v>
      </c>
      <c r="X216" s="3">
        <f>4421.8+(447.3-2268.4)+(-9.020472+(-0.912492--4.627536))+0-586.4--1.19625599999997</f>
        <v>2010.1908279999996</v>
      </c>
      <c r="Y216" s="3">
        <f>4168.3+(405.6-2111.2)+(-8.503332+(-0.827424--4.306848))+0-481.9--0.983075999999979</f>
        <v>1976.759168</v>
      </c>
      <c r="Z216" s="3">
        <f>3878+(375.7-1795.3)+(-7.91112+(-0.766428--3.662412))+0-561.8--1.14607199999998</f>
        <v>1892.7309360000002</v>
      </c>
      <c r="AA216" s="3">
        <f>3688.5+(278.8-1631.3)+(-3.76227+(-0.284376--1.663926))+0-484--0.493680000000077</f>
        <v>1850.11096</v>
      </c>
      <c r="AB216" s="3">
        <f>3383.1+(332.1-1322.9)+(-8.626905+(-0.846855--3.373395))+0-613.5--1.56442499999991</f>
        <v>1774.2640599999997</v>
      </c>
      <c r="AC216" s="3">
        <f>2982.4+(317.3-1013.3)+(-1.521024+(-0.161823--0.516783))+0-596--0.30395999999994</f>
        <v>1689.537896</v>
      </c>
      <c r="AD216">
        <v>2033.5999999999997</v>
      </c>
      <c r="AE216" s="3">
        <f>4607+(439.2-2381.9)+(0+(0-0))+0-630.7-0</f>
        <v>2033.6000000000001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2411.9+(342.4-624.6)+(-2.460138+(-0.349248--0.637092))+0-542.8--0.553656000000087</f>
        <v>1585.2813619999999</v>
      </c>
      <c r="G217" s="3">
        <f>2043.9+(455.5-427.5)+(-2.084778+(-0.46461--0.43605))+0-569.6--0.580992000000091</f>
        <v>1500.7676540000002</v>
      </c>
      <c r="H217" s="3">
        <f>1956.6+(472.7-448.6)+(0+(0-0))+0-513.7-0</f>
        <v>1466.9999999999998</v>
      </c>
      <c r="I217" s="3">
        <f>1899.3+(528-469.4)+(1.937286+(0.53856-0.478788))+0-530.4-0.541008000000085</f>
        <v>1428.9560499999998</v>
      </c>
      <c r="J217" s="3">
        <f>1933.6+(555.4-488.9)+(0.986136+(0.283254-0.249339))+0-595.1-0.30350099999994</f>
        <v>1405.7165500000001</v>
      </c>
      <c r="K217" s="3">
        <f>2189+(409.1-673.6)+(0+(0-0))+0-503-0</f>
        <v>1421.5</v>
      </c>
      <c r="L217" s="3">
        <f>2012+(637.4-587.7)+(4.10448+(1.300296-1.198908))+0-621.2-1.26724799999997</f>
        <v>1443.4386199999999</v>
      </c>
      <c r="M217" s="3">
        <f>2274.9+(560.6-886.6)+(2.320398+(0.571812-0.904332))+0-521.3-0.531726000000083</f>
        <v>1429.0561519999999</v>
      </c>
      <c r="N217" s="3">
        <f>2073.5+(650.8-702.1)+(-1.057485+(-0.331908--0.358071))+0-553.9--0.282488999999944</f>
        <v>1467.5511669999999</v>
      </c>
      <c r="O217" s="3">
        <f>2072+(635.2-667)+(1.05672+(0.323952-0.34017))+0-486.8-0.248267999999951</f>
        <v>1554.1922340000001</v>
      </c>
      <c r="P217" s="3">
        <f>2142.1+(686-673.4)+(-3.277413+(-1.04958--1.030302))+0-545--0.833850000000032</f>
        <v>1607.2371589999998</v>
      </c>
      <c r="Q217" s="3">
        <f>2204.2+(759.1-650.7)+(-1.124142+(-0.387141--0.331857))+0-614.9--0.313598999999938</f>
        <v>1696.8341729999995</v>
      </c>
      <c r="R217" s="3">
        <f>2128.6+(790.8-730.2)+(-5.42793+(-2.01654--1.86201))+0-483--1.23164999999993</f>
        <v>1701.8491899999997</v>
      </c>
      <c r="S217" s="3">
        <f>2244.4+(607.2-736.2)+(-1.144644+(-0.309672--0.375462))+0-377.2--0.192371999999962</f>
        <v>1737.3135180000002</v>
      </c>
      <c r="T217" s="3">
        <f>2679.7+(523-973)+(0+(0-0))+0-440-0</f>
        <v>1789.6999999999998</v>
      </c>
      <c r="U217" s="3">
        <f>2745.7+(477.8-1150.4)+(-8.401842+(-1.462068--3.520224))+0-436.7--1.33630200000005</f>
        <v>1631.3926159999994</v>
      </c>
      <c r="V217" s="3">
        <f>2823.8+(523.2-1223.2)+(-1.440138+(-0.266832--0.623832))+0-518.1--0.264230999999947</f>
        <v>1604.8810930000002</v>
      </c>
      <c r="W217" s="3">
        <f>3371.5+(519.2-1685.1)+(0+(0-0))+0-512.2-0</f>
        <v>1693.4000000000003</v>
      </c>
      <c r="X217" s="3">
        <f>3980.2+(589-1902)+(-12.179412+(-1.80234--5.82012))+0-601.6--1.84089600000007</f>
        <v>2059.2792640000002</v>
      </c>
      <c r="Y217" s="3">
        <f>3930+(514.1-1864.2)+(-4.0086+(-0.524382--1.901484))+0-552.7--0.563754000000088</f>
        <v>2025.1322559999999</v>
      </c>
      <c r="Z217" s="3">
        <f>3804+(500.6-1773.8)+(-7.76016+(-1.021224--3.618552))+0-551--1.12403999999998</f>
        <v>1975.7612080000001</v>
      </c>
      <c r="AA217" s="3">
        <f>3666+(504.3-1661.3)+(-5.60898+(-0.771579--2.541789))+0-585.9--0.896427000000034</f>
        <v>1920.1576570000002</v>
      </c>
      <c r="AB217" s="3">
        <f>3464.2+(508.7-1573.9)+(-7.066968+(-1.037748--3.210756))+0-553.9--1.12995599999998</f>
        <v>1841.335996</v>
      </c>
      <c r="AC217" s="3">
        <f>3239.4+(518.4-1392.5)+(-6.608376+(-1.057536--2.8407))+0-581--1.18523999999997</f>
        <v>1780.660028</v>
      </c>
      <c r="AD217">
        <v>2074.6000000000004</v>
      </c>
      <c r="AE217" s="3">
        <f>4000+(598.3-1872.6)+(0+(0-0))+0-651.1-0</f>
        <v>2074.6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2360.6+(516.4-726.5)+(-2.407812+(-0.526728--0.74103))+0-490.3--0.500106000000078</f>
        <v>1658.5065960000002</v>
      </c>
      <c r="G218" s="3">
        <f>2080.6+(504-479.8)+(0+(0-0))+0-520.9-0</f>
        <v>1583.8999999999996</v>
      </c>
      <c r="H218" s="3">
        <f>1839+(617-346.5)+(0+(0-0))+0-590.6-0</f>
        <v>1518.9</v>
      </c>
      <c r="I218" s="3">
        <f>1824.8+(644.8-440.5)+(0+(0-0))+0-494.8-0</f>
        <v>1534.3</v>
      </c>
      <c r="J218" s="3">
        <f>1882.1+(715.6-492.6)+(0.959871+(0.364956-0.251226))+0-614.3-0.313292999999938</f>
        <v>1491.5603080000001</v>
      </c>
      <c r="K218" s="3">
        <f>1892.7+(769.1-632.3)+(-2.895831+(-1.176723--0.967419))+0-528.4--0.80845200000003</f>
        <v>1498.8033170000001</v>
      </c>
      <c r="L218" s="3">
        <f>1936.1+(956.9-780.4)+(0.987411+(0.488019-0.398004))+0-636.1-0.324410999999936</f>
        <v>1477.253015</v>
      </c>
      <c r="M218" s="3">
        <f>1945.7+(870.4-834.5)+(0.992307+(0.443904-0.425595))+0-467.1-0.238220999999953</f>
        <v>1515.2723950000002</v>
      </c>
      <c r="N218" s="3">
        <f>2164.6+(920.1-895.3)+(-1.103946+(-0.469251--0.456603))+0-635.5--0.324104999999936</f>
        <v>1553.1075109999999</v>
      </c>
      <c r="O218" s="3">
        <f>2290.8+(858-1174.8)+(1.168308+(0.43758-0.599148))+0-515.8-0.263057999999948</f>
        <v>1458.9436820000003</v>
      </c>
      <c r="P218" s="3">
        <f>2697.5+(818.5-1292.6)+(0+(0-0))+0-513.6-0</f>
        <v>1709.8000000000002</v>
      </c>
      <c r="Q218" s="3">
        <f>3111.6+(772.7-1410.6)+(-1.586916+(-0.394077--0.719406))+0-559.3--0.285242999999943</f>
        <v>1913.4236559999999</v>
      </c>
      <c r="R218" s="3">
        <f>2681+(779.6-1108.5)+(-6.83655+(-1.98798--2.826675))+0-587.8--1.49888999999991</f>
        <v>1759.8010349999997</v>
      </c>
      <c r="S218" s="3">
        <f>2296.2+(788.5-724.7)+(-7.026372+(-2.41281--2.217582))+0-530--1.62180000000006</f>
        <v>1824.4002000000003</v>
      </c>
      <c r="T218" s="3">
        <f>2332.5+(884-749.9)+(0+(0-0))+0-641.2-0</f>
        <v>1825.3999999999999</v>
      </c>
      <c r="U218" s="3">
        <f>2334.6+(814.7-736)+(-3.571938+(-1.246491--1.12608))+0-577--0.882810000000033</f>
        <v>1833.4904610000003</v>
      </c>
      <c r="V218" s="3">
        <f>2280.5+(937.5-806.5)+(-1.163055+(-0.478125--0.411315))+0-639.5--0.326144999999935</f>
        <v>1771.0962800000002</v>
      </c>
      <c r="W218" s="3">
        <f>3458.2+(703.8-1698.2)+(0+(0-0))+0-534.6-0</f>
        <v>1929.1999999999998</v>
      </c>
      <c r="X218" s="3">
        <f>4355.2+(612.6-2407.3)+(-6.663456+(-0.937278--3.683169))+0-511.6--0.78274800000003</f>
        <v>2045.7651829999995</v>
      </c>
      <c r="Y218" s="3">
        <f>4336.1+(675.9-2323.9)+(-6.634233+(-1.034127--3.555567))+0-614.7--0.940491000000036</f>
        <v>2070.2276980000001</v>
      </c>
      <c r="Z218" s="3">
        <f>3906.8+(710.7-2057.1)+(-5.977404+(-1.087371--3.147363))+0-541.3--0.828189000000031</f>
        <v>2016.0107770000009</v>
      </c>
      <c r="AA218" s="3">
        <f>3137.8+(720.6-1270.4)+(-3.200556+(-0.735012--1.295808))+0-626.6--0.6391320000001</f>
        <v>1959.3993720000001</v>
      </c>
      <c r="AB218" s="3">
        <f>2428.1+(816-773.9)+(-6.191655+(-2.0808--1.973445))+0-566--1.44329999999992</f>
        <v>1899.3442899999995</v>
      </c>
      <c r="AC218" s="3">
        <f>2333.1+(903.7-765.6)+(-2.379762+(-0.921774--0.780912))+0-628.7--0.6412740000001</f>
        <v>1840.6206499999996</v>
      </c>
      <c r="AD218">
        <v>2044.1</v>
      </c>
      <c r="AE218" s="3">
        <f>4414+(594.2-2415)+(0+(0-0))+0-549.1-0</f>
        <v>2044.1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2282.4+(804.1-748.1)+(-1.164024+(-0.410091--0.381531))+0-586.5--0.299114999999941</f>
        <v>1751.0065310000002</v>
      </c>
      <c r="G219" s="3">
        <f>2026.3+(808.8-566.4)+(-4.133652+(-1.649952--1.155456))+0-608.6--1.24154399999997</f>
        <v>1656.7133960000001</v>
      </c>
      <c r="H219" s="3">
        <f>2042.2+(747.6-562)+(-5.20761+(-1.90638--1.4331))+0-618.7--1.57768499999991</f>
        <v>1604.996795</v>
      </c>
      <c r="I219" s="3">
        <f>2302.6+(625.7-719.2)+(-2.348652+(-0.638214--0.733584))+0-639--0.651780000000102</f>
        <v>1568.4984979999999</v>
      </c>
      <c r="J219" s="3">
        <f>2355+(638.4-769.2)+(1.20105+(0.325584-0.392292))+0-611-0.311609999999938</f>
        <v>1614.0227319999997</v>
      </c>
      <c r="K219" s="3">
        <f>2414.2+(721.8-1002.9)+(1.231242+(0.368118-0.511479))+0-617.8-0.315077999999937</f>
        <v>1516.072803</v>
      </c>
      <c r="L219" s="3">
        <f>2318.2+(755.8-1045.6)+(3.546846+(1.156374-1.599768))+0-526-0.80478000000003</f>
        <v>1504.698672</v>
      </c>
      <c r="M219" s="3">
        <f>2412.5+(719-1118.2)+(-1.230375+(-0.36669--0.570282))+0-498.9--0.254438999999949</f>
        <v>1513.6276559999999</v>
      </c>
      <c r="N219" s="3">
        <f>2668.6+(696.1-1366)+(2.721972+(0.710022-1.39332))+0-465.9-0.475218000000074</f>
        <v>1534.3634559999996</v>
      </c>
      <c r="O219" s="3">
        <f>2688.4+(834.6-1454.9)+(-2.742168+(-0.851292--1.483998))+0-458.4--0.467568000000073</f>
        <v>1608.058106</v>
      </c>
      <c r="P219" s="3">
        <f>2815+(754.6-1381.9)+(-5.7426+(-1.539384--2.819076))+0-504--1.02815999999998</f>
        <v>1680.2652519999999</v>
      </c>
      <c r="Q219" s="3">
        <f>2912.4+(701.4-1413.5)+(-2.970648+(-0.715428--1.44177))+0-425.8--0.434316000000068</f>
        <v>1772.6900100000003</v>
      </c>
      <c r="R219" s="3">
        <f>2721.3+(713.8-1070.1)+(-5.551452+(-1.456152--2.183004))+0-486.1--0.991643999999979</f>
        <v>1875.0670440000001</v>
      </c>
      <c r="S219" s="3">
        <f>2800.3+(593-942.2)+(-1.428153+(-0.30243--0.480522))+0-459.5--0.234344999999953</f>
        <v>1990.584284</v>
      </c>
      <c r="T219" s="3">
        <f>2659.3+(611.5-913.6)+(4.068729+(0.935595-1.397808))+0-486-0.743580000000028</f>
        <v>1874.062936</v>
      </c>
      <c r="U219" s="3">
        <f>2640.9+(681.3-970.4)+(-6.734295+(-1.737315--2.47452))+0-511.3--1.30381499999993</f>
        <v>1835.8067250000004</v>
      </c>
      <c r="V219" s="3">
        <f>2777.3+(770.6-1258.2)+(-1.416423+(-0.393006--0.641682))+0-562.8--0.287027999999943</f>
        <v>1726.0192810000003</v>
      </c>
      <c r="W219" s="3">
        <f>3857.4+(701.4-2151.2)+(-1.967274+(-0.357714--1.097112))+0-536.9--0.273818999999946</f>
        <v>1869.7459430000004</v>
      </c>
      <c r="X219" s="3">
        <f>4252.8+(616.6-2190.7)+(-10.84464+(-1.57233--5.586285))+0-520.6--1.32752999999992</f>
        <v>2152.5968450000005</v>
      </c>
      <c r="Y219" s="3">
        <f>4037.4+(644-1918.3)+(-2.059074+(-0.32844--0.978333))+0-557.7--0.284426999999943</f>
        <v>2204.2752460000006</v>
      </c>
      <c r="Z219" s="3">
        <f>3554.7+(699.4-1596.5)+(-3.625794+(-0.713388--1.62843))+0-532.6--0.543252000000085</f>
        <v>2122.8325</v>
      </c>
      <c r="AA219" s="3">
        <f>3397.4+(731.1-1388)+(-6.930696+(-1.491444--2.83152))+0-630.4--1.28601599999997</f>
        <v>2105.795396</v>
      </c>
      <c r="AB219" s="3">
        <f>3092.4+(738.5-1175.2)+(-4.731372+(-1.129905--1.798056))+0-510.4--0.780912000000029</f>
        <v>2142.017691</v>
      </c>
      <c r="AC219" s="3">
        <f>2573.9+(942.9-803.2)+(-5.250756+(-1.923516--1.638528))+0-622.7--1.27030799999997</f>
        <v>2086.634564</v>
      </c>
      <c r="AD219">
        <v>2045.6</v>
      </c>
      <c r="AE219" s="3">
        <f>4648+(577.2-2705.6)+(0+(0-0))+0-474-0</f>
        <v>2045.6000000000004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2201+(1111.4-708.2)+(-5.61255+(-2.83407--1.80591))+0-545.7--1.39153499999992</f>
        <v>2053.2508249999992</v>
      </c>
      <c r="G220" s="3">
        <f>2118.1+(980.7-532.3)+(-1.080231+(-0.500157--0.271473))+0-595.5--0.30370499999994</f>
        <v>1969.99479</v>
      </c>
      <c r="H220" s="3">
        <f>2102+(760.7-458.3)+(-1.07202+(-0.387957--0.233733))+0-502.6--0.256325999999949</f>
        <v>1900.8300820000002</v>
      </c>
      <c r="I220" s="3">
        <f>1965.8+(765.2-307.2)+(-2.005116+(-0.780504--0.313344))+0-583.3--0.594966000000093</f>
        <v>1838.6226900000004</v>
      </c>
      <c r="J220" s="3">
        <f>1947.6+(732.9-411.6)+(-0.993276+(-0.373779--0.209916))+0-474.3--0.241892999999952</f>
        <v>1793.6847539999997</v>
      </c>
      <c r="K220" s="3">
        <f>2060.2+(780.9-515.6)+(-1.050702+(-0.398259--0.262956))+0-561.4--0.286313999999943</f>
        <v>1763.2003089999998</v>
      </c>
      <c r="L220" s="3">
        <f>1926.2+(833.5-555)+(-1.964724+(-0.85017--0.5661))+0-512.9--0.523158000000082</f>
        <v>1690.0743639999998</v>
      </c>
      <c r="M220" s="3">
        <f>2127.6+(743.3-686.5)+(0+(0-0))+0-544.2-0</f>
        <v>1640.1999999999996</v>
      </c>
      <c r="N220" s="3">
        <f>1983.6+(950.5-680.8)+(-2.023272+(-0.96951--0.694416))+0-555.8--0.566916000000089</f>
        <v>1695.7685500000002</v>
      </c>
      <c r="O220" s="3">
        <f>2509.3+(728.2-998.8)+(2.559486+(0.742764-1.018776))+0-451.7-0.460734000000072</f>
        <v>1788.8227400000001</v>
      </c>
      <c r="P220" s="3">
        <f>2910.4+(682.2-1225.6)+(-5.937216+(-1.391688--2.500224))+0-494.7--1.00918799999998</f>
        <v>1868.4805079999999</v>
      </c>
      <c r="Q220" s="3">
        <f>2764.6+(727.4-1254.6)+(-1.409946+(-0.370974--0.639846))+0-377.5--0.192524999999962</f>
        <v>1858.9514509999999</v>
      </c>
      <c r="R220" s="3">
        <f>2745.1+(741.6-873.8)+(-2.800002+(-0.756432--0.891276))+0-587.7--0.599454000000094</f>
        <v>2023.1342960000004</v>
      </c>
      <c r="S220" s="3">
        <f>2730.8+(669.9-751.1)+(-4.178124+(-1.024947--1.149183))+0-495.1--0.757503000000029</f>
        <v>2151.2036150000004</v>
      </c>
      <c r="T220" s="3">
        <f>2657.2+(704.7-626.3)+(0+(0-0))+0-565.4-0</f>
        <v>2170.1999999999998</v>
      </c>
      <c r="U220" s="3">
        <f>2723+(726.1-767.6)+(1.38873+(0.370311-0.391476))+0-539.3-0.275042999999945</f>
        <v>2143.2925220000002</v>
      </c>
      <c r="V220" s="3">
        <f>3133+(758.5-1217.4)+(-3.19566+(-0.77367--1.241748))+0-552.2--0.563244000000088</f>
        <v>2119.735662</v>
      </c>
      <c r="W220" s="3">
        <f>4216.8+(650.5-2044.6)+(0+(0-0))+0-577.1-0</f>
        <v>2245.6000000000004</v>
      </c>
      <c r="X220" s="3">
        <f>3746+(611.9-1289.7)+(-5.73138+(-0.936207--1.973241))+0-540.7--0.827271000000031</f>
        <v>2523.6329249999999</v>
      </c>
      <c r="Y220" s="3">
        <f>3585+(659.9-994.3)+(-3.6567+(-0.673098--1.014186))+0-608.8--0.620976000000097</f>
        <v>2639.105364</v>
      </c>
      <c r="Z220" s="3">
        <f>3125.7+(756.3-699.6)+(-3.188214+(-0.771426--0.713592))+0-505.3--0.515406000000081</f>
        <v>2674.3693579999995</v>
      </c>
      <c r="AA220" s="3">
        <f>2830.1+(832.3-432.2)+(-2.886702+(-0.848946--0.440844))+0-563.3--0.57456600000009</f>
        <v>2664.1797619999998</v>
      </c>
      <c r="AB220" s="3">
        <f>3009.8+(679.7-508.4)+(0+(0-0))+0-461.7-0</f>
        <v>2719.4000000000005</v>
      </c>
      <c r="AC220" s="3">
        <f>2668.2+(983-344)+(-4.082346+(-1.50399--0.52632))+0-551.5--0.843795000000032</f>
        <v>2751.4837790000001</v>
      </c>
      <c r="AD220">
        <v>2374.4</v>
      </c>
      <c r="AE220" s="3">
        <f>4705+(553.7-2454.6)+(0+(0-0))+0-429.7-0</f>
        <v>2374.4000000000005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1825.7+(1741.3-302.6)+(-1.862214+(-1.776126--0.308652))+0-555.2--0.566304000000089</f>
        <v>2706.436616</v>
      </c>
      <c r="G221" s="3">
        <f>1620.4+(1854.1-295.2)+(-0.826404+(-0.945591--0.150552))+0-579.4--0.295493999999941</f>
        <v>2598.5740510000001</v>
      </c>
      <c r="H221" s="3">
        <f>1579.5+(1813.1-293.4)+(2.416635+(2.774043-0.448902))+0-580.8-0.888624000000034</f>
        <v>2522.2531519999993</v>
      </c>
      <c r="I221" s="3">
        <f>1496+(1791.5-290.8)+(-3.05184+(-3.65466--0.593232))+0-540.2--1.10200799999998</f>
        <v>2451.4887399999998</v>
      </c>
      <c r="J221" s="3">
        <f>1470.3+(1700.5-274.9)+(1.499706+(1.73451-0.280398))+0-512.2-0.522444000000082</f>
        <v>2386.1313739999996</v>
      </c>
      <c r="K221" s="3">
        <f>1499.1+(1654.2-269.2)+(-2.293623+(-2.530926--0.411876))+0-568.3--0.869499000000033</f>
        <v>2312.2568260000003</v>
      </c>
      <c r="L221" s="3">
        <f>1502.2+(1532.4-277.6)+(-1.532244+(-1.563048--0.283152))+0-579.3--0.590886000000092</f>
        <v>2175.4787459999998</v>
      </c>
      <c r="M221" s="3">
        <f>1637.1+(1299.1-341)+(0.834921+(0.662541-0.17391))+0-559.8-0.285497999999943</f>
        <v>2036.4380539999997</v>
      </c>
      <c r="N221" s="3">
        <f>2055.3+(956.6-452.1)+(3.144609+(1.463598-0.691713))+0-504-0.771120000000029</f>
        <v>2058.9453740000004</v>
      </c>
      <c r="O221" s="3">
        <f>3008.4+(760.4-1181.6)+(1.534284+(0.387804-0.602616))+0-482.2-0.245921999999951</f>
        <v>2106.0735500000005</v>
      </c>
      <c r="P221" s="3">
        <f>3919.9+(639.5-1778.8)+(1.999149+(0.326145-0.907188))+0-577.8-0.294677999999941</f>
        <v>2203.9234280000005</v>
      </c>
      <c r="Q221" s="3">
        <f>4155.1+(578.9-1913.6)+(-10.595505+(-1.476195--4.87968))+0-528.8--1.34843999999992</f>
        <v>2285.7564200000006</v>
      </c>
      <c r="R221" s="3">
        <f>3504.3+(592.9-1142.9)+(-7.148772+(-1.209516--2.331516))+0-592.1--1.20788399999997</f>
        <v>2357.381112</v>
      </c>
      <c r="S221" s="3">
        <f>2882.5+(635-647.1)+(-7.350375+(-1.61925--1.650105))+0-466.2--1.18880999999993</f>
        <v>2398.0692900000004</v>
      </c>
      <c r="T221" s="3">
        <f>2697.2+(681.6-554)+(-1.375572+(-0.347616--0.28254))+0-530.8--0.270707999999946</f>
        <v>2292.8300600000002</v>
      </c>
      <c r="U221" s="3">
        <f>2387.5+(801.4-458.1)+(-3.652875+(-1.226142--0.700893))+0-530.1--0.811053000000031</f>
        <v>2197.3329290000001</v>
      </c>
      <c r="V221" s="3">
        <f>2420.7+(799.9-629.2)+(-1.234557+(-0.407949--0.320892))+0-494.2--0.25204199999995</f>
        <v>2096.1304279999999</v>
      </c>
      <c r="W221" s="3">
        <f>3377.2+(661-1204.1)+(0+(0-0))+0-575.8-0</f>
        <v>2258.3000000000002</v>
      </c>
      <c r="X221" s="3">
        <f>3853.6+(525.4-1292.5)+(-1.965336+(-0.267954--0.659175))+0-520.9--0.265658999999947</f>
        <v>2564.2915440000002</v>
      </c>
      <c r="Y221" s="3">
        <f>4071.5+(522-1543)+(2.076465+(0.26622-0.78693))+0-531.3-0.270962999999946</f>
        <v>2520.4847920000002</v>
      </c>
      <c r="Z221" s="3">
        <f>3743.7+(594.7-1192.9)+(-5.727861+(-0.909891--1.825137))+0-616.5--0.943245000000036</f>
        <v>2525.1306300000001</v>
      </c>
      <c r="AA221" s="3">
        <f>3626.6+(671.7-1097.2)+(-1.849566+(-0.342567--0.559572))+0-636.4--0.324563999999935</f>
        <v>2563.3920029999999</v>
      </c>
      <c r="AB221" s="3">
        <f>3049.5+(831-647.6)+(-3.11049+(-0.84762--0.660552))+0-607.5--0.619650000000097</f>
        <v>2622.722092</v>
      </c>
      <c r="AC221" s="3">
        <f>2696.5+(1014.5-454.7)+(-2.75043+(-1.03479--0.463794))+0-694.9--0.708798000000111</f>
        <v>2558.7873720000002</v>
      </c>
      <c r="AD221">
        <v>2492.6</v>
      </c>
      <c r="AE221" s="3">
        <f>3641+(533-1051.9)+(0+(0-0))+0-629.5-0</f>
        <v>2492.6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2102.6+(1372.5-351.7)+(-2.144652+(-1.39995--0.358734))+0-548.6--0.559572000000087</f>
        <v>2572.1737039999998</v>
      </c>
      <c r="G222" s="3">
        <f>2112.2+(1402.6-358.6)+(2.154444+(1.430652-0.365772))+0-658.6-0.671772000000105</f>
        <v>2500.1475519999999</v>
      </c>
      <c r="H222" s="3">
        <f>2090.2+(1289.8-373)+(0+(0-0))+0-602.3-0</f>
        <v>2404.6999999999998</v>
      </c>
      <c r="I222" s="3">
        <f>2025.8+(1241.3-357.9)+(-2.066316+(-1.266126--0.365058))+0-564.3--0.57558600000009</f>
        <v>2342.508202</v>
      </c>
      <c r="J222" s="3">
        <f>1894.1+(1244.4-320.1)+(5.795946+(3.807864-0.979506))+0-570.1-1.74450600000007</f>
        <v>2255.1797980000001</v>
      </c>
      <c r="K222" s="3">
        <f>1855.4+(1175.3-329)+(0+(0-0))+0-505.8-0</f>
        <v>2195.8999999999996</v>
      </c>
      <c r="L222" s="3">
        <f>1793.5+(1304.6-375.2)+(-0.914685+(-0.665346--0.191352))+0-662.5--0.337874999999933</f>
        <v>2059.3491959999992</v>
      </c>
      <c r="M222" s="3">
        <f>1839.7+(1144.7-476.3)+(-0.938247+(-0.583797--0.242913))+0-557.7--0.284426999999943</f>
        <v>1949.4052960000006</v>
      </c>
      <c r="N222" s="3">
        <f>2051.2+(1052.5-621.9)+(3.138336+(1.610325-0.951507))+0-534.7-0.818091000000031</f>
        <v>1950.0790629999995</v>
      </c>
      <c r="O222" s="3">
        <f>2725.5+(881.4-996.2)+(1.390005+(0.449514-0.508062))+0-563.6-0.287435999999943</f>
        <v>2048.1440209999996</v>
      </c>
      <c r="P222" s="3">
        <f>3077.7+(850.6-1346.2)+(0+(0-0))+0-450.9-0</f>
        <v>2131.1999999999998</v>
      </c>
      <c r="Q222" s="3">
        <f>3016.7+(855.2-1104.7)+(-4.615551+(-1.308456--1.690191))+0-603.9--0.923967000000035</f>
        <v>2159.990151</v>
      </c>
      <c r="R222" s="3">
        <f>2902.7+(681.6-740.8)+(-2.960754+(-0.695232--0.755616))+0-547.5--0.558450000000087</f>
        <v>2293.6580800000002</v>
      </c>
      <c r="S222" s="3">
        <f>2873.6+(562.9-541.3)+(-5.862144+(-1.148316--1.104252))+0-517.9--1.05651599999998</f>
        <v>2372.4503079999999</v>
      </c>
      <c r="T222" s="3">
        <f>2709.7+(720.9-389.3)+(-4.145841+(-1.102977--0.595629))+0-669.7--1.02464100000004</f>
        <v>2367.9714519999998</v>
      </c>
      <c r="U222" s="3">
        <f>2119.2+(1025.7-312.7)+(0+(0-0))+0-515.7-0</f>
        <v>2316.5</v>
      </c>
      <c r="V222" s="3">
        <f>2303.3+(878.3-310.8)+(1.174683+(0.447933-0.158508))+0-679-0.346289999999931</f>
        <v>2192.9178180000004</v>
      </c>
      <c r="W222" s="3">
        <f>2810.7+(562.5-561.1)+(0+(0-0))+0-560.9-0</f>
        <v>2251.1999999999998</v>
      </c>
      <c r="X222" s="3">
        <f>3360+(579.6-787.6)+(-8.568+(-1.47798--2.00838))+0-625.8--1.59578999999991</f>
        <v>2519.75819</v>
      </c>
      <c r="Y222" s="3">
        <f>3264.8+(591.6-680)+(-8.32524+(-1.50858--1.734))+0-592.9--1.51189499999991</f>
        <v>2576.9120750000002</v>
      </c>
      <c r="Z222" s="3">
        <f>3173.5+(563.6-584.8)+(-6.47394+(-1.149744--1.192992))+0-506.4--1.03305599999998</f>
        <v>2640.5023639999999</v>
      </c>
      <c r="AA222" s="3">
        <f>3296.3+(538.5-517.9)+(0+(0-0))+0-686.5-0</f>
        <v>2630.4</v>
      </c>
      <c r="AB222" s="3">
        <f>3169.3+(554-430.8)+(-6.465372+(-1.13016--0.878832))+0-592.5--1.20869999999997</f>
        <v>2694.4920000000002</v>
      </c>
      <c r="AC222" s="3">
        <f>2960.9+(746.2-313.4)+(-7.550295+(-1.90281--0.79917))+0-609.2--1.55345999999991</f>
        <v>2777.3995250000007</v>
      </c>
      <c r="AD222">
        <v>2571.8999999999996</v>
      </c>
      <c r="AE222" s="3">
        <f>3453+(577.9-803.7)+(0+(0-0))+0-655.3-0</f>
        <v>2571.8999999999996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2262.3+(1423.6-291.8)+(-4.615092+(-2.904144--0.595272))+0-618.1--1.26092399999997</f>
        <v>2770.3369600000005</v>
      </c>
      <c r="G223" s="3">
        <f>2007.7+(1516.3-306.8)+(-1.023927+(-0.773313--0.156468))+0-550.4--0.280703999999944</f>
        <v>2665.4399319999993</v>
      </c>
      <c r="H223" s="3">
        <f>1996.4+(1526.6-316.6)+(1.018164+(0.778566-0.161466))+0-615.8-0.314057999999938</f>
        <v>2591.921206</v>
      </c>
      <c r="I223" s="3">
        <f>1949.5+(1499-301.2)+(-2.982735+(-2.29347--0.460836))+0-651.2--0.996336000000038</f>
        <v>2492.2809670000006</v>
      </c>
      <c r="J223" s="3">
        <f>2083.6+(1261.3-308.8)+(-1.062636+(-0.643263--0.157488))+0-540.2--0.275501999999945</f>
        <v>2494.6270909999998</v>
      </c>
      <c r="K223" s="3">
        <f>2064.3+(1222.6-306.3)+(0+(0-0))+0-614.7-0</f>
        <v>2365.9000000000005</v>
      </c>
      <c r="L223" s="3">
        <f>2089+(1045.2-324.3)+(0+(0-0))+0-609.2-0</f>
        <v>2200.6999999999998</v>
      </c>
      <c r="M223" s="3">
        <f>2212.3+(869.4-334.5)+(3.384819+(1.330182-0.511785))+0-623.2-0.953496000000036</f>
        <v>2127.2497199999998</v>
      </c>
      <c r="N223" s="3">
        <f>2639.8+(613.7-527.5)+(2.692596+(0.625974-0.53805))+0-605-0.617100000000096</f>
        <v>2123.1634199999999</v>
      </c>
      <c r="O223" s="3">
        <f>3324.4+(474.4-1172.2)+(1.695444+(0.241944-0.597822))+0-509.7-0.259946999999948</f>
        <v>2117.9796190000002</v>
      </c>
      <c r="P223" s="3">
        <f>4011.2+(393-1648)+(4.091424+(0.40086-1.68096))+0-541-0.551820000000086</f>
        <v>2217.4595039999995</v>
      </c>
      <c r="Q223" s="3">
        <f>4315.1+(364-1811.8)+(2.200701+(0.18564-0.924018))+0-539.2-0.274991999999945</f>
        <v>2329.287331</v>
      </c>
      <c r="R223" s="3">
        <f>3787.2+(431.2-1272.2)+(-5.794416+(-0.659736--1.946466))+0-539.7--0.825741000000031</f>
        <v>2402.8180550000002</v>
      </c>
      <c r="S223" s="3">
        <f>3547.5+(451.9-965.6)+(-1.809225+(-0.230469--0.492456))+0-575.6--0.293555999999942</f>
        <v>2456.9463180000002</v>
      </c>
      <c r="T223" s="3">
        <f>3518.6+(446.4-883.1)+(0+(0-0))+0-616.9-0</f>
        <v>2464.9999999999995</v>
      </c>
      <c r="U223" s="3">
        <f>3306.1+(505.4-971.2)+(-5.058333+(-0.773262--1.485936))+0-500.1--0.765153000000029</f>
        <v>2336.6194939999996</v>
      </c>
      <c r="V223" s="3">
        <f>3509.9+(565.5-1350.7)+(5.370147+(0.865215-2.066571))+0-477.8-0.731034000000028</f>
        <v>2250.3377569999998</v>
      </c>
      <c r="W223" s="3">
        <f>4266.7+(504.5-1875.7)+(4.352034+(0.51459-1.913214))+0-599.7-0.611694000000096</f>
        <v>2298.1417160000001</v>
      </c>
      <c r="X223" s="3">
        <f>4181.1+(491.4-1502.6)+(-6.397083+(-0.751842--2.298978))+0-636.8--0.974304000000037</f>
        <v>2529.2243570000005</v>
      </c>
      <c r="Y223" s="3">
        <f>3825.7+(491.6-1085.8)+(-1.951107+(-0.250716--0.553758))+0-640.3--0.326552999999935</f>
        <v>2589.8784880000003</v>
      </c>
      <c r="Z223" s="3">
        <f>3616.5+(521-935.8)+(-3.68883+(-0.53142--0.954516))+0-577.3--0.588846000000092</f>
        <v>2621.7231120000001</v>
      </c>
      <c r="AA223" s="3">
        <f>3524.6+(577.8-859.2)+(-5.392638+(-0.884034--1.314576))+0-656.9--1.00505700000004</f>
        <v>2582.3429609999994</v>
      </c>
      <c r="AB223" s="3">
        <f>3326.5+(594.9-752.8)+(-6.78606+(-1.213596--1.535712))+0-535.1--1.09160399999998</f>
        <v>2628.1276600000001</v>
      </c>
      <c r="AC223" s="3">
        <f>2932.3+(750.9-455.7)+(-4.486419+(-1.148877--0.697221))+0-580--0.887400000000034</f>
        <v>2643.449325</v>
      </c>
      <c r="AD223">
        <v>2426.6000000000004</v>
      </c>
      <c r="AE223" s="3">
        <f>4395+(461.8-1740.5)+(0+(0-0))+0-689.7-0</f>
        <v>2426.6000000000004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2168.8+(1316.7-322.8)+(-1.106088+(-0.671517--0.164628))+0-584.1--0.297890999999941</f>
        <v>2577.2849140000008</v>
      </c>
      <c r="G224" s="3">
        <f>2105.8+(1292-319.1)+(-3.221874+(-1.97676--0.488223))+0-609.1--0.931923000000035</f>
        <v>2465.8215120000004</v>
      </c>
      <c r="H224" s="3">
        <f>2153.9+(1093.9-306.6)+(2.196978+(1.115778-0.312732))+0-591.5-0.603330000000094</f>
        <v>2352.0966940000003</v>
      </c>
      <c r="I224" s="3">
        <f>2147.4+(971.5-322.2)+(2.190348+(0.99093-0.328644))+0-588.5-0.600270000000094</f>
        <v>2210.4523639999998</v>
      </c>
      <c r="J224" s="3">
        <f>2008.9+(855.2-302.7)+(1.024539+(0.436152-0.154377))+0-425.8-0.217157999999957</f>
        <v>2136.6891559999999</v>
      </c>
      <c r="K224" s="3">
        <f>2064.6+(908.1-333.1)+(0+(0-0))+0-602.9-0</f>
        <v>2036.6999999999998</v>
      </c>
      <c r="L224" s="3">
        <f>1846.7+(877.6-355.3)+(0+(0-0))+0-500.1-0</f>
        <v>1868.9</v>
      </c>
      <c r="M224" s="3">
        <f>2028.2+(770.6-503.9)+(4.137528+(1.572024-1.027956))+0-531.9-1.08507599999998</f>
        <v>1766.5965199999998</v>
      </c>
      <c r="N224" s="3">
        <f>2213.4+(737.5-611.7)+(1.128834+(0.376125-0.311967))+0-575.4-0.293453999999942</f>
        <v>1764.6995379999996</v>
      </c>
      <c r="O224" s="3">
        <f>2607.5+(680.3-1238.4)+(-1.329825+(-0.346953--0.631584))+0-424.4--0.216443999999957</f>
        <v>1624.1712499999996</v>
      </c>
      <c r="P224" s="3">
        <f>3140.6+(602.7-1494.2)+(3.203412+(0.614754-1.524084))+0-382.2-0.389844000000061</f>
        <v>1868.8042379999997</v>
      </c>
      <c r="Q224" s="3">
        <f>3802.1+(495.1-1908.2)+(0+(0-0))+0-420.4-0</f>
        <v>1968.6</v>
      </c>
      <c r="R224" s="3">
        <f>3731.2+(511.4-1594.9)+(-9.51456+(-1.30407--4.066995))+0-577.3--1.47211499999992</f>
        <v>2065.12048</v>
      </c>
      <c r="S224" s="3">
        <f>3514.3+(491-1312.8)+(0+(0-0))+0-489-0</f>
        <v>2203.5</v>
      </c>
      <c r="T224" s="3">
        <f>3746.9+(441.7-1481.5)+(1.910919+(0.225267-0.755565))+0-502.2-0.256121999999949</f>
        <v>2206.0244990000006</v>
      </c>
      <c r="U224" s="3">
        <f>3635.6+(513.7-1483.1)+(-3.708312+(-0.523974--1.512762))+0-523.6--0.534072000000083</f>
        <v>2140.4145479999997</v>
      </c>
      <c r="V224" s="3">
        <f>3765.7+(492.6-1743.3)+(5.761521+(0.753678-2.667249))+0-462-0.706860000000027</f>
        <v>2056.1410899999996</v>
      </c>
      <c r="W224" s="3">
        <f>5048.6+(283.6-2706.4)+(5.149572+(0.289272-2.760528))+0-501.8-0.51183600000008</f>
        <v>2126.1664799999999</v>
      </c>
      <c r="X224" s="3">
        <f>5376.1+(271.6-2865.9)+(-8.225433+(-0.415548--4.384827))+0-470--0.719100000000027</f>
        <v>2308.2629460000003</v>
      </c>
      <c r="Y224" s="3">
        <f>4788+(344.1-2385)+(-9.76752+(-0.701964--4.8654))+0-486.9--0.993275999999979</f>
        <v>2255.5891919999999</v>
      </c>
      <c r="Z224" s="3">
        <f>3674.9+(444.5-1608)+(-5.622597+(-0.680085--2.46024))+0-433.7--0.663561000000025</f>
        <v>2074.521119</v>
      </c>
      <c r="AA224" s="3">
        <f>2963.8+(506.9-925.5)+(-6.046152+(-1.034076--1.88802))+0-547.6--1.11710399999998</f>
        <v>1993.5248960000004</v>
      </c>
      <c r="AB224" s="3">
        <f>2384+(553.4-437.9)+(-6.0792+(-1.41117--1.116645))+0-474.4--1.20971999999993</f>
        <v>2019.9359949999998</v>
      </c>
      <c r="AC224" s="3">
        <f>2375.2+(474-380.9)+(-3.634056+(-0.72522--0.582777))+0-519.3--0.79452900000003</f>
        <v>1946.0180299999997</v>
      </c>
      <c r="AD224">
        <v>2324.4999999999995</v>
      </c>
      <c r="AE224" s="3">
        <f>5351+(273.4-2849.4)+(0+(0-0))+0-450.5-0</f>
        <v>2324.5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2233.1+(451.1-285.4)+(-6.833286+(-1.380366--0.873324))+0-533.1--1.63128600000006</f>
        <v>1859.9909580000001</v>
      </c>
      <c r="G225" s="3">
        <f>2103.3+(403.5-232.9)+(-3.218049+(-0.617355--0.356337))+0-485.8--0.743274000000028</f>
        <v>1785.3642069999999</v>
      </c>
      <c r="H225" s="3">
        <f>2016.9+(518-208.9)+(-3.085857+(-0.79254--0.319617))+0-598.5--0.915705000000035</f>
        <v>1724.8569250000003</v>
      </c>
      <c r="I225" s="3">
        <f>1972.6+(412.7-209.9)+(-2.012052+(-0.420954--0.214098))+0-466.8--0.476136000000074</f>
        <v>1706.8572280000003</v>
      </c>
      <c r="J225" s="3">
        <f>2096.5+(391.8-293)+(5.346075+(0.99909-0.74715))+0-499.5-1.27372499999993</f>
        <v>1700.1242900000002</v>
      </c>
      <c r="K225" s="3">
        <f>2493.7+(428.5-531)+(1.271787+(0.218535-0.27081))+0-620.3-0.316352999999937</f>
        <v>1771.8031590000001</v>
      </c>
      <c r="L225" s="3">
        <f>2104+(542-596.1)+(-1.07304+(-0.27642--0.304011))+0-449.9--0.229448999999954</f>
        <v>1599.1839999999997</v>
      </c>
      <c r="M225" s="3">
        <f>2331+(442.1-702.6)+(2.37762+(0.450942-0.716652))+0-516.1-0.526422000000082</f>
        <v>1555.985488</v>
      </c>
      <c r="N225" s="3">
        <f>2791.6+(456.3-1117.4)+(1.423716+(0.232713-0.569874))+0-537.2-0.273971999999946</f>
        <v>1594.1125829999999</v>
      </c>
      <c r="O225" s="3">
        <f>3557.3+(381.2-1668.8)+(5.442669+(0.583236-2.553264))+0-502-0.768060000000029</f>
        <v>1770.404581</v>
      </c>
      <c r="P225" s="3">
        <f>3888.8+(342.7-1931.2)+(5.949864+(0.524331-2.954736))+0-552.7-0.845631000000032</f>
        <v>1750.2738280000001</v>
      </c>
      <c r="Q225" s="3">
        <f>3992.3+(347.6-1969.5)+(-10.180365+(-0.88638--5.022225))+0-536.3--1.36756499999992</f>
        <v>1829.4230450000002</v>
      </c>
      <c r="R225" s="3">
        <f>3641.7+(346.4-1600)+(-7.429068+(-0.706656--3.264))+0-526.1--1.07324399999998</f>
        <v>1858.2015199999998</v>
      </c>
      <c r="S225" s="3">
        <f>3057.5+(317.1-1005.7)+(-6.2373+(-0.646884--2.051628))+0-584.8--1.19299199999997</f>
        <v>1780.4604360000003</v>
      </c>
      <c r="T225" s="3">
        <f>2849.1+(300.8-898.1)+(1.453041+(0.153408-0.458031))+0-496.5-0.25321499999995</f>
        <v>1756.1952030000004</v>
      </c>
      <c r="U225" s="3">
        <f>3104.4+(283-1149.2)+(-9.499464+(-0.86598--3.516552))+0-516.3--1.57987800000006</f>
        <v>1716.6309859999999</v>
      </c>
      <c r="V225" s="3">
        <f>3262+(309.3-1262.9)+(4.99086+(0.473229-1.932237))+0-594.3-0.909279000000034</f>
        <v>1716.7225729999998</v>
      </c>
      <c r="W225" s="3">
        <f>4239.6+(199.4-2181.9)+(8.648784+(0.406776-4.451076))+0-373-0.760919999999984</f>
        <v>1887.9435640000004</v>
      </c>
      <c r="X225" s="3">
        <f>4661.4+(269.1-2320.9)+(-11.88657+(-0.686205--5.918295))+0-562.2--1.43360999999992</f>
        <v>2042.1791299999991</v>
      </c>
      <c r="Y225" s="3">
        <f>4069.9+(337.5-1926.8)+(-10.378245+(-0.860625--4.91334))+0-471.4--1.20206999999993</f>
        <v>2004.07654</v>
      </c>
      <c r="Z225" s="3">
        <f>3615.3+(386.4-1469.8)+(-7.375212+(-0.788256--2.998392))+0-662.1--1.35068399999997</f>
        <v>1865.985608</v>
      </c>
      <c r="AA225" s="3">
        <f>2889.2+(439-895.3)+(-7.36746+(-1.11945--2.283015))+0-553--1.41014999999992</f>
        <v>1875.1062549999995</v>
      </c>
      <c r="AB225" s="3">
        <f>2307.7+(587-399.8)+(2.353854+(0.59874-0.407796))+0-644.2-0.657084000000103</f>
        <v>1852.5877139999993</v>
      </c>
      <c r="AC225" s="3">
        <f>1863.9+(785.3-258.2)+(-3.802356+(-1.602012--0.526728))+0-603.1--1.23032399999997</f>
        <v>1784.2526839999998</v>
      </c>
      <c r="AD225">
        <v>2062.8999999999996</v>
      </c>
      <c r="AE225" s="3">
        <f>4875+(240.4-2719.3)+(0+(0-0))+0-333.2-0</f>
        <v>2062.9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1702.5+(758.3-227.7)+(-3.4731+(-1.546932--0.464508))+0-497.6--1.01510399999998</f>
        <v>1731.9595800000002</v>
      </c>
      <c r="G226" s="3">
        <f>1755.8+(801.1-216.9)+(-3.581832+(-1.634244--0.442476))+0-681.3--1.38985199999997</f>
        <v>1655.3162520000001</v>
      </c>
      <c r="H226" s="3">
        <f>1780.5+(655.1-267.7)+(0+(0-0))+0-537.3-0</f>
        <v>1630.6000000000001</v>
      </c>
      <c r="I226" s="3">
        <f>1827.3+(604.6-268.6)+(-3.727692+(-1.233384--0.547944))+0-584.7--1.19278799999997</f>
        <v>1575.3796560000001</v>
      </c>
      <c r="J226" s="3">
        <f>1694.7+(634.1-226)+(2.592891+(0.970173-0.34578))+0-524-0.80172000000003</f>
        <v>1581.2155640000001</v>
      </c>
      <c r="K226" s="3">
        <f>1790.8+(682.8-234.4)+(0.913308+(0.348228-0.119544))+0-667.1-0.340220999999932</f>
        <v>1572.9017709999998</v>
      </c>
      <c r="L226" s="3">
        <f>1688.6+(658.5-237.9)+(-1.722372+(-0.67167--0.242658))+0-511.1--0.521322000000082</f>
        <v>1596.4699380000002</v>
      </c>
      <c r="M226" s="3">
        <f>1885+(620-285.7)+(1.9227+(0.6324-0.291414))+0-635.6-0.648312000000101</f>
        <v>1585.315374</v>
      </c>
      <c r="N226" s="3">
        <f>2481+(524.2-879.8)+(2.53062+(0.534684-0.897396))+0-501.8-0.51183600000008</f>
        <v>1625.2560719999999</v>
      </c>
      <c r="O226" s="3">
        <f>2973.6+(453.7-1177.1)+(4.549608+(0.694161-1.800963))+0-590.3-0.903159000000034</f>
        <v>1662.4396469999999</v>
      </c>
      <c r="P226" s="3">
        <f>3158.7+(350.4-1378)+(-8.054685+(-0.89352--3.5139))+0-446.6--1.13882999999994</f>
        <v>1680.2045249999996</v>
      </c>
      <c r="Q226" s="3">
        <f>3416.7+(295.5-1512.6)+(-5.227551+(-0.452115--2.314278))+0-446.6--0.683298000000026</f>
        <v>1750.3179099999998</v>
      </c>
      <c r="R226" s="3">
        <f>3129.3+(302.9-1169.8)+(-6.383772+(-0.617916--2.386392))+0-506.5--1.03325999999998</f>
        <v>1752.3179640000001</v>
      </c>
      <c r="S226" s="3">
        <f>3223.2+(227.4-1200.1)+(3.287664+(0.231948-1.224102))+0-488.6-0.498372000000078</f>
        <v>1763.697138</v>
      </c>
      <c r="T226" s="3">
        <f>3027.2+(270-1117.8)+(-4.631616+(-0.4131--1.710234))+0-456.5--0.698445000000026</f>
        <v>1720.2639629999994</v>
      </c>
      <c r="U226" s="3">
        <f>2812.4+(333.7-1055.3)+(-4.302972+(-0.510561--1.614609))+0-382.3--0.584919000000022</f>
        <v>1705.8859950000005</v>
      </c>
      <c r="V226" s="3">
        <f>3042.9+(408.5-1392.6)+(1.551879+(0.208335-0.710226))+0-358.4-0.182783999999964</f>
        <v>1701.2672040000004</v>
      </c>
      <c r="W226" s="3">
        <f>4260+(257.9-2255.5)+(2.1726+(0.131529-1.150305))+0-328.1-0.167330999999967</f>
        <v>1935.2864930000003</v>
      </c>
      <c r="X226" s="3">
        <f>4632.9+(236.6-2256.5)+(-7.088337+(-0.361998--3.452445))+0-511.1--0.78198300000003</f>
        <v>2098.6840929999994</v>
      </c>
      <c r="Y226" s="3">
        <f>4053.3+(276.5-1776.9)+(-10.335915+(-0.705075--4.531095))+0-491.9--1.25434499999993</f>
        <v>2055.7444499999997</v>
      </c>
      <c r="Z226" s="3">
        <f>3448.7+(314.3-1215.7)+(-1.758837+(-0.160293--0.620007))+0-589--0.30038999999994</f>
        <v>1957.3012669999998</v>
      </c>
      <c r="AA226" s="3">
        <f>3052.8+(257.3-818.6)+(-4.670784+(-0.393669--1.252458))+0-566.2--0.866286000000033</f>
        <v>1922.3542909999999</v>
      </c>
      <c r="AB226" s="3">
        <f>2684.5+(264.3-567.9)+(-4.107285+(-0.404379--0.868887))+0-526.9--0.80615700000003</f>
        <v>1851.16338</v>
      </c>
      <c r="AC226" s="3">
        <f>2269.4+(333.1-274.9)+(-5.78697+(-0.849405--0.700995))+0-567.3--1.44661499999992</f>
        <v>1755.8112350000004</v>
      </c>
      <c r="AD226">
        <v>2067</v>
      </c>
      <c r="AE226" s="3">
        <f>4608+(239.5-2228.8)+(0+(0-0))+0-551.7-0</f>
        <v>2067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2039.7+(363.1-251.1)+(-2.080494+(-0.370362--0.256122))+0-547--0.557940000000087</f>
        <v>1603.0632060000003</v>
      </c>
      <c r="G227" s="3">
        <f>2131.3+(305.7-293.9)+(-1.086963+(-0.155907--0.149889))+0-619--0.315689999999937</f>
        <v>1523.3227090000005</v>
      </c>
      <c r="H227" s="3">
        <f>2079.1+(339-322.3)+(-1.060341+(-0.17289--0.164373))+0-600.1--0.306050999999939</f>
        <v>1494.9371929999998</v>
      </c>
      <c r="I227" s="3">
        <f>2059.1+(319.3-304.9)+(-1.050141+(-0.162843--0.155499))+0-615.4--0.313853999999938</f>
        <v>1457.3563690000001</v>
      </c>
      <c r="J227" s="3">
        <f>1992.7+(301.4-269.6)+(-1.016277+(-0.153714--0.137496))+0-563.6--0.287435999999943</f>
        <v>1460.154941</v>
      </c>
      <c r="K227" s="3">
        <f>2058.2+(297.7-292)+(2.099364+(0.303654-0.29784))+0-594.3-0.606186000000095</f>
        <v>1471.0989919999993</v>
      </c>
      <c r="L227" s="3">
        <f>2030+(457.2-347.8)+(1.0353+(0.233172-0.177378))+0-592.9-0.30237899999994</f>
        <v>1547.2887149999999</v>
      </c>
      <c r="M227" s="3">
        <f>2226.3+(350.7-543.3)+(3.406239+(0.536571-0.831249))+0-478.5-0.732105000000028</f>
        <v>1557.5794560000002</v>
      </c>
      <c r="N227" s="3">
        <f>2585.5+(289.6-809.2)+(0+(0-0))+0-489-0</f>
        <v>1576.9</v>
      </c>
      <c r="O227" s="3">
        <f>3005.2+(171.5-1061.2)+(0+(0-0))+0-431.2-0</f>
        <v>1684.3</v>
      </c>
      <c r="P227" s="3">
        <f>3293.7+(192-1371.6)+(0+(0-0))+0-418-0</f>
        <v>1696.1</v>
      </c>
      <c r="Q227" s="3">
        <f>3564.4+(228.8-1525.3)+(0+(0-0))+0-506.8-0</f>
        <v>1761.1000000000001</v>
      </c>
      <c r="R227" s="3">
        <f>3353.7+(127.8-1306.4)+(-3.420774+(-0.130356--1.332528))+0-424.3--0.432786000000068</f>
        <v>1749.0141839999997</v>
      </c>
      <c r="S227" s="3">
        <f>3708.2+(80.4-1605.5)+(-1.891182+(-0.041004--0.818805))+0-446.6--0.227765999999955</f>
        <v>1735.6143849999999</v>
      </c>
      <c r="T227" s="3">
        <f>3892.8+(86.8-1654.8)+(-1.985328+(-0.044268--0.843948))+0-593.8--0.30283799999994</f>
        <v>1730.1171899999999</v>
      </c>
      <c r="U227" s="3">
        <f>3734.4+(97.9-1528.9)+(-5.713632+(-0.149787--2.339217))+0-550.1--0.841653000000032</f>
        <v>1750.6174510000001</v>
      </c>
      <c r="V227" s="3">
        <f>3515.1+(107.7-1529.1)+(-1.792701+(-0.054927--0.779841))+0-495.3--0.25260299999995</f>
        <v>1597.5848159999998</v>
      </c>
      <c r="W227" s="3">
        <f>4543.1+(127.2-2245.3)+(0+(0-0))+0-645.8-0</f>
        <v>1779.2</v>
      </c>
      <c r="X227" s="3">
        <f>4390.5+(214.8-2091.7)+(-8.95662+(-0.438192--4.267068))+0-538.1--1.09772399999998</f>
        <v>1971.4699800000005</v>
      </c>
      <c r="Y227" s="3">
        <f>3834.7+(266.9-1550.7)+(-3.911394+(-0.272238--1.581714))+0-615.9--0.628218000000098</f>
        <v>1933.0262999999998</v>
      </c>
      <c r="Z227" s="3">
        <f>3373.7+(192.8-1175.9)+(0+(0-0))+0-552.3-0</f>
        <v>1838.2999999999995</v>
      </c>
      <c r="AA227" s="3">
        <f>3034.2+(189.2-824.1)+(-4.642326+(-0.289476--1.260873))+0-603.9--0.923967000000035</f>
        <v>1792.6530379999997</v>
      </c>
      <c r="AB227" s="3">
        <f>2825.7+(195.3-778.6)+(-4.323321+(-0.298809--1.191258))+0-507.1--0.775863000000029</f>
        <v>1732.6449909999999</v>
      </c>
      <c r="AC227" s="3">
        <f>2646.3+(223.3-642.3)+(-4.048839+(-0.341649--0.982719))+0-614.6--0.940338000000036</f>
        <v>1610.2325690000005</v>
      </c>
      <c r="AD227">
        <v>1954.2999999999997</v>
      </c>
      <c r="AE227" s="3">
        <f>5131+(181.5-2640.8)+(0+(0-0))+0-717.4-0</f>
        <v>1954.2999999999997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2338.2+(271.7-587)+(0+(0-0))+0-473.5-0</f>
        <v>1549.3999999999999</v>
      </c>
      <c r="G228" s="3">
        <f>2237.7+(189.4-435.1)+(-2.282454+(-0.193188--0.443802))+0-510--0.520200000000081</f>
        <v>1480.4883599999998</v>
      </c>
      <c r="H228" s="3">
        <f>2124+(168.3-361.1)+(-5.4162+(-0.429165--0.920805))+0-465.5--1.18702499999993</f>
        <v>1461.9624650000001</v>
      </c>
      <c r="I228" s="3">
        <f>2098.2+(203-302.6)+(0+(0-0))+0-574.7-0</f>
        <v>1423.8999999999999</v>
      </c>
      <c r="J228" s="3">
        <f>2053.3+(194.7-348.5)+(0+(0-0))+0-485.4-0</f>
        <v>1414.1000000000004</v>
      </c>
      <c r="K228" s="3">
        <f>2047.9+(257.8-289.4)+(1.044429+(0.131478-0.147594))+0-559.3-0.285242999999943</f>
        <v>1457.7430700000002</v>
      </c>
      <c r="L228" s="3">
        <f>1900.6+(388.3-273.7)+(-2.907918+(-0.594099--0.418761))+0-531.6--0.813348000000031</f>
        <v>1481.3300920000001</v>
      </c>
      <c r="M228" s="3">
        <f>2081+(234.2-365.4)+(-1.06131+(-0.119442--0.186354))+0-439.3--0.224042999999955</f>
        <v>1509.7296449999999</v>
      </c>
      <c r="N228" s="3">
        <f>2450.3+(147.9-529.9)+(1.249653+(0.075429-0.270249))+0-482.4-0.246023999999951</f>
        <v>1586.7088090000002</v>
      </c>
      <c r="O228" s="3">
        <f>3128.1+(133-1145.1)+(1.595331+(0.06783-0.584001))+0-402.6-0.205325999999959</f>
        <v>1714.2738339999999</v>
      </c>
      <c r="P228" s="3">
        <f>3845+(101.7-1583.4)+(1.96095+(0.051867-0.807534))+0-561-0.286109999999943</f>
        <v>1803.219173</v>
      </c>
      <c r="Q228" s="3">
        <f>4157+(112.8-1837.8)+(0+(0-0))+0-529.5-0</f>
        <v>1902.5</v>
      </c>
      <c r="R228" s="3">
        <f>3968.8+(101.1-1614)+(-2.024088+(-0.051561--0.82314))+0-599.1--0.305540999999939</f>
        <v>1855.8530320000002</v>
      </c>
      <c r="S228" s="3">
        <f>3348.6+(97.2-1172.2)+(-5.123358+(-0.148716--1.793466))+0-548.2--0.838746000000032</f>
        <v>1722.7601380000001</v>
      </c>
      <c r="T228" s="3">
        <f>3044.4+(93-933.4)+(3.105288+(0.09486-0.952068))+0-547.7-0.558654000000087</f>
        <v>1657.9894259999996</v>
      </c>
      <c r="U228" s="3">
        <f>2742.2+(98.4-715.8)+(-2.797044+(-0.100368--0.730116))+0-548.7--0.559674000000087</f>
        <v>1574.4923779999997</v>
      </c>
      <c r="V228" s="3">
        <f>2982.5+(113.3-879.3)+(0+(0-0))+0-579.3-0</f>
        <v>1637.2</v>
      </c>
      <c r="W228" s="3">
        <f>4133.2+(95.2-1893.7)+(4.215864+(0.097104-1.931574))+0-512.7-0.522954000000082</f>
        <v>1823.8584399999997</v>
      </c>
      <c r="X228" s="3">
        <f>4855.1+(55.2-2364.5)+(0+(0-0))+0-581.5-0</f>
        <v>1964.3000000000002</v>
      </c>
      <c r="Y228" s="3">
        <f>4425.1+(60.2-1998.4)+(-13.540806+(-0.184212--6.115104))+0-628--1.92168000000007</f>
        <v>1853.2117660000006</v>
      </c>
      <c r="Z228" s="3">
        <f>4114.7+(50-1823.3)+(-4.196994+(-0.051--1.859766))+0-573.9--0.585378000000091</f>
        <v>1765.6971499999997</v>
      </c>
      <c r="AA228" s="3">
        <f>3899.2+(42.7-1598.9)+(-5.965776+(-0.065331--2.446317))+0-623.8--0.954414000000036</f>
        <v>1716.5696240000002</v>
      </c>
      <c r="AB228" s="3">
        <f>3604+(40-1403.8)+(-5.51412+(-0.0612--2.147814))+0-543--0.830790000000031</f>
        <v>1694.6032839999998</v>
      </c>
      <c r="AC228" s="3">
        <f>2729.4+(99-569.8)+(-6.95997+(-0.25245--1.45299))+0-633.3--1.61491499999991</f>
        <v>1621.1554850000002</v>
      </c>
      <c r="AD228">
        <v>1937</v>
      </c>
      <c r="AE228" s="3">
        <f>4933+(95.7-2412.6)+(0+(0-0))+0-679.1-0</f>
        <v>1937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2422+(106.7-516.5)+(0+(0-0))+0-472.7-0</f>
        <v>1539.5</v>
      </c>
      <c r="G229" s="3">
        <f>2234.9+(127.3-390.3)+(-1.139799+(-0.064923--0.199053))+0-535.3--0.273002999999946</f>
        <v>1435.8673340000003</v>
      </c>
      <c r="H229" s="3">
        <f>2107.9+(177.2-350.3)+(0+(0-0))+0-543.3-0</f>
        <v>1391.5000000000002</v>
      </c>
      <c r="I229" s="3">
        <f>2197.7+(206.8-442.2)+(0+(0-0))+0-582-0</f>
        <v>1380.2999999999997</v>
      </c>
      <c r="J229" s="3">
        <f>2250.6+(223-473.1)+(1.147806+(0.11373-0.241281))+0-645.2-0.329051999999935</f>
        <v>1355.9912029999998</v>
      </c>
      <c r="K229" s="3">
        <f>2257.2+(235.4-555.2)+(-2.302344+(-0.240108--0.566304))+0-541.4--0.552228000000086</f>
        <v>1394.5760799999998</v>
      </c>
      <c r="L229" s="3">
        <f>1979.6+(368.5-377.7)+(-3.028788+(-0.563805--0.577881))+0-676.8--1.03550400000004</f>
        <v>1291.6207919999999</v>
      </c>
      <c r="M229" s="3">
        <f>2041.8+(273.6-425.1)+(-1.041318+(-0.139536--0.216801))+0-555.6--0.283355999999944</f>
        <v>1334.019303</v>
      </c>
      <c r="N229" s="3">
        <f>2394.3+(125.6-524.1)+(1.221093+(0.064056-0.267291))+0-611.7-0.311966999999938</f>
        <v>1384.8058910000002</v>
      </c>
      <c r="O229" s="3">
        <f>2798.4+(69.5-765.5)+(0+(0-0))+0-540-0</f>
        <v>1562.4</v>
      </c>
      <c r="P229" s="3">
        <f>2922.8+(69.1-909.1)+(-2.981256+(-0.070482--0.927282))+0-629--0.6415800000001</f>
        <v>1452.3171240000004</v>
      </c>
      <c r="Q229" s="3">
        <f>3019.7+(38.4-1002.7)+(-4.620141+(-0.058752--1.534131))+0-464.8--0.711144000000027</f>
        <v>1588.1663819999999</v>
      </c>
      <c r="R229" s="3">
        <f>3381.7+(77.4-1139.8)+(-5.174001+(-0.118422--1.743894))+0-683.4--1.04560200000004</f>
        <v>1633.3970730000001</v>
      </c>
      <c r="S229" s="3">
        <f>3329.7+(70.2-1357.8)+(-5.094441+(-0.107406--2.077434))+0-529.1--0.809523000000031</f>
        <v>1510.6851100000001</v>
      </c>
      <c r="T229" s="3">
        <f>3461+(63.3-1507.4)+(-3.53022+(-0.064566--1.537548))+0-548.7--0.559674000000087</f>
        <v>1466.7024359999998</v>
      </c>
      <c r="U229" s="3">
        <f>3312.6+(74-1323.1)+(-1.689426+(-0.03774--0.674781))+0-479.6--0.244595999999951</f>
        <v>1583.0922110000001</v>
      </c>
      <c r="V229" s="3">
        <f>3512.9+(78.2-1471.4)+(5.374737+(0.119646-2.251242))+0-565.9-0.865827000000033</f>
        <v>1556.1773139999996</v>
      </c>
      <c r="W229" s="3">
        <f>4434.7+(85.6-2320.8)+(6.785091+(0.130968-3.550824))+0-451.9-0.691407000000026</f>
        <v>1750.2738279999996</v>
      </c>
      <c r="X229" s="3">
        <f>4889.6+(105.7-2511.6)+(2.493696+(0.053907-1.280916))+0-546.5-0.278714999999945</f>
        <v>1938.1879720000002</v>
      </c>
      <c r="Y229" s="3">
        <f>4612.6+(114.1-2361.6)+(0+(0-0))+0-446.5-0</f>
        <v>1918.6000000000004</v>
      </c>
      <c r="Z229" s="3">
        <f>4643.5+(120-2326.4)+(4.73637+(0.1224-2.372928))+0-550.8-0.561816000000088</f>
        <v>1888.2240259999999</v>
      </c>
      <c r="AA229" s="3">
        <f>4293+(121.3-1989.9)+(0+(0-0))+0-604.7-0</f>
        <v>1819.6999999999996</v>
      </c>
      <c r="AB229" s="3">
        <f>3479.3+(118.4-1398)+(-3.548886+(-0.120768--1.42596))+0-466.3--0.475626000000074</f>
        <v>1731.6319320000007</v>
      </c>
      <c r="AC229" s="3">
        <f>2583.6+(202.2-599.1)+(-3.952908+(-0.309366--0.916623))+0-566.9--0.867357000000033</f>
        <v>1617.3217059999997</v>
      </c>
      <c r="AD229">
        <v>1892.8999999999996</v>
      </c>
      <c r="AE229" s="3">
        <f>4967+(105.9-2604)+(0+(0-0))+0-576-0</f>
        <v>1892.9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2079.1+(339.8-340.2)+(0+(0-0))+0-530-0</f>
        <v>1548.6999999999998</v>
      </c>
      <c r="G230" s="3">
        <f>1995.3+(384.5-300)+(2.035206+(0.39219-0.306))+0-599.3-0.611286000000095</f>
        <v>1482.0101100000002</v>
      </c>
      <c r="H230" s="3">
        <f>2020.2+(219.8-352.2)+(0+(0-0))+0-467.1-0</f>
        <v>1420.7000000000003</v>
      </c>
      <c r="I230" s="3">
        <f>2008.1+(247.9-303.2)+(-2.048262+(-0.252858--0.309264))+0-553.5--0.564570000000088</f>
        <v>1397.8727139999999</v>
      </c>
      <c r="J230" s="3">
        <f>2230.4+(184-510.2)+(0+(0-0))+0-511.6-0</f>
        <v>1392.6</v>
      </c>
      <c r="K230" s="3">
        <f>2532.2+(199.5-684.6)+(1.291422+(0.101745-0.349146))+0-601.3-0.306662999999939</f>
        <v>1446.5373580000003</v>
      </c>
      <c r="L230" s="3">
        <f>2079.3+(282.7-408.3)+(-2.120886+(-0.288354--0.416466))+0-453.3--0.462366000000072</f>
        <v>1498.8695920000002</v>
      </c>
      <c r="M230" s="3">
        <f>2211.5+(264.7-476.8)+(1.127865+(0.134997-0.243168))+0-466.4-0.237863999999953</f>
        <v>1533.7818300000001</v>
      </c>
      <c r="N230" s="3">
        <f>2740.8+(125-923.3)+(4.193424+(0.19125-1.412649))+0-406.6-0.622098000000024</f>
        <v>1538.2499270000001</v>
      </c>
      <c r="O230" s="3">
        <f>3308.3+(97.1-1379.9)+(-1.687233+(-0.049521--0.703749))+0-407--0.207569999999959</f>
        <v>1617.674565</v>
      </c>
      <c r="P230" s="3">
        <f>3967.8+(95.1-1937.8)+(6.070734+(0.145503-2.964834))+0-412.3-0.630819000000024</f>
        <v>1715.4205840000006</v>
      </c>
      <c r="Q230" s="3">
        <f>4453.5+(87.8-2354.6)+(0+(0-0))+0-435-0</f>
        <v>1751.7000000000003</v>
      </c>
      <c r="R230" s="3">
        <f>3795.6+(98.4-1602.9)+(1.935756+(0.050184-0.817479))+0-544.8-0.277847999999945</f>
        <v>1747.1906130000002</v>
      </c>
      <c r="S230" s="3">
        <f>3127.9+(93.3-984.7)+(3.190458+(0.095166-1.004394))+0-503.4-0.51346800000008</f>
        <v>1734.8677619999999</v>
      </c>
      <c r="T230" s="3">
        <f>3213.8+(92.3-1054.6)+(3.278076+(0.094146-1.075692))+0-584.5-0.596190000000093</f>
        <v>1668.7003399999999</v>
      </c>
      <c r="U230" s="3">
        <f>2992.3+(103.7-880)+(-1.526073+(-0.052887--0.4488))+0-546--0.278459999999945</f>
        <v>1669.1482999999998</v>
      </c>
      <c r="V230" s="3">
        <f>3100.9+(117.9-984.4)+(0+(0-0))+0-528.3-0</f>
        <v>1706.1000000000001</v>
      </c>
      <c r="W230" s="3">
        <f>4475.3+(100.5-2119.4)+(4.564806+(0.10251-2.161788))+0-512.9-0.523158000000082</f>
        <v>1945.4823699999999</v>
      </c>
      <c r="X230" s="3">
        <f>4630+(103.4-2013.8)+(0+(0-0))+0-629.5-0</f>
        <v>2090.1000000000004</v>
      </c>
      <c r="Y230" s="3">
        <f>3938+(107.9-1480.5)+(0+(0-0))+0-454.5-0</f>
        <v>2110.9</v>
      </c>
      <c r="Z230" s="3">
        <f>3717+(114.3-1094.3)+(-5.68701+(-0.174879--1.674279))+0-623.5--0.953955000000036</f>
        <v>2110.266345</v>
      </c>
      <c r="AA230" s="3">
        <f>3078+(140.2-704)+(-4.70934+(-0.214506--1.07712))+0-494.5--0.756585000000029</f>
        <v>2016.6098589999997</v>
      </c>
      <c r="AB230" s="3">
        <f>2395+(452.4-370.8)+(-4.8858+(-0.922896--0.756432))+0-608.5--1.24133999999997</f>
        <v>1864.289076</v>
      </c>
      <c r="AC230" s="3">
        <f>1910+(556.6-86.8)+(-4.8705+(-1.41933--0.22134))+0-599.5--1.52872499999991</f>
        <v>1775.760235</v>
      </c>
      <c r="AD230">
        <v>2109.6999999999998</v>
      </c>
      <c r="AE230" s="3">
        <f>5193+(99.9-2604.6)+(0+(0-0))+0-578.6-0</f>
        <v>2109.7000000000003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1953+(489.7-176.9)+(-1.99206+(-0.499494--0.180438))+0-598--0.609960000000095</f>
        <v>1666.0988440000003</v>
      </c>
      <c r="G231" s="3">
        <f>1958+(389.6-310.4)+(-4.9929+(-0.99348--0.79152))+0-630--1.60649999999991</f>
        <v>1403.6116399999999</v>
      </c>
      <c r="H231" s="3">
        <f>2044+(251.7-323.3)+(1.04244+(0.128367-0.164883))+0-621-0.316709999999937</f>
        <v>1352.0892140000003</v>
      </c>
      <c r="I231" s="3">
        <f>1954+(306-314.9)+(-2.98962+(-0.46818--0.481797))+0-600--0.918000000000035</f>
        <v>1343.041997</v>
      </c>
      <c r="J231" s="3">
        <f>2038+(303.5-292.6)+(3.11814+(0.464355-0.447678))+0-606-0.927180000000035</f>
        <v>1445.1076370000001</v>
      </c>
      <c r="K231" s="3">
        <f>1914+(417.7-279.6)+(-3.90456+(-0.852108--0.570384))+0-619--1.26275999999997</f>
        <v>1430.1764760000001</v>
      </c>
      <c r="L231" s="3">
        <f>2049+(512.9-287.2)+(-4.17996+(-1.046316--0.585888))+0-559--1.14035999999998</f>
        <v>1712.1999719999999</v>
      </c>
      <c r="M231" s="3">
        <f>2079+(510.7-341.3)+(-4.24116+(-1.041828--0.696252))+0-609--1.24235999999997</f>
        <v>1636.0556239999999</v>
      </c>
      <c r="N231" s="3">
        <f>2316+(503.8-613.2)+(-4.72464+(-1.027752--1.250928))+0-500--1.01999999999998</f>
        <v>1703.1185359999999</v>
      </c>
      <c r="O231" s="3">
        <f>2656.9+(384.7-957)+(-5.420076+(-0.784788--1.95228))+0-531.6--1.08446399999998</f>
        <v>1549.8318800000006</v>
      </c>
      <c r="P231" s="3">
        <f>2918.1+(304.2-1151.1)+(0+(0-0))+0-476.1-0</f>
        <v>1595.1</v>
      </c>
      <c r="Q231" s="3">
        <f>3342.4+(271.8-1465.8)+(-3.409248+(-0.277236--1.495116))+0-480--0.489600000000077</f>
        <v>1666.6982320000004</v>
      </c>
      <c r="R231" s="3">
        <f>3050.8+(309.4-1189.2)+(-3.111816+(-0.315588--1.212984))+0-472--0.481440000000075</f>
        <v>1697.2670200000002</v>
      </c>
      <c r="S231" s="3">
        <f>2752.3+(332.9-827.4)+(-2.807346+(-0.339558--0.843948))+0-547.7--0.558654000000087</f>
        <v>1708.3556980000003</v>
      </c>
      <c r="T231" s="3">
        <f>2620.4+(396.5-820.9)+(-1.336404+(-0.202215--0.418659))+0-508.5--0.259334999999948</f>
        <v>1686.639375</v>
      </c>
      <c r="U231" s="3">
        <f>2301.1+(482-682.1)+(-1.173561+(-0.24582--0.347871))+0-448.5--0.228734999999955</f>
        <v>1651.6572249999997</v>
      </c>
      <c r="V231" s="3">
        <f>2869.9+(474-1273)+(2.927298+(0.48348-1.29846))+0-403-0.411060000000064</f>
        <v>1669.6012579999999</v>
      </c>
      <c r="W231" s="3">
        <f>3523.2+(354.6-1540.9)+(-3.593664+(-0.361692--1.571718))+0-522.6--0.533052000000083</f>
        <v>1812.4494139999999</v>
      </c>
      <c r="X231" s="3">
        <f>3731.9+(348.8-1575.2)+(-5.709807+(-0.533664--2.410056))+0-562.1--0.860013000000033</f>
        <v>1940.426598</v>
      </c>
      <c r="Y231" s="3">
        <f>3645.2+(329.3-1643.9)+(-3.718104+(-0.335886--1.676778))+0-446.2--0.455124000000071</f>
        <v>1882.4779119999996</v>
      </c>
      <c r="Z231" s="3">
        <f>3285.9+(471.6-1309)+(-1.675809+(-0.240516--0.66759))+0-588.7--0.30023699999994</f>
        <v>1858.8515019999998</v>
      </c>
      <c r="AA231" s="3">
        <f>3023.9+(460.8-1265.4)+(-4.626567+(-0.705024--1.936062))+0-462.3--0.707319000000027</f>
        <v>1754.3117900000004</v>
      </c>
      <c r="AB231" s="3">
        <f>2654.7+(490.4-1038.1)+(-2.707794+(-0.500208--1.058862))+0-423.2--0.431664000000067</f>
        <v>1682.0825239999999</v>
      </c>
      <c r="AC231" s="3">
        <f>2459+(557.3-960)+(-5.01636+(-1.136892--1.9584))+0-467.9--0.954515999999979</f>
        <v>1585.159664</v>
      </c>
      <c r="AD231">
        <v>1977.6000000000001</v>
      </c>
      <c r="AE231" s="3">
        <f>3891+(253.5-1665.1)+(0+(0-0))+0-501.8-0</f>
        <v>1977.6000000000001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1993.1+(613.1-737.8)+(-1.016481+(-0.312681--0.376278))+0-502.2--0.256121999999949</f>
        <v>1365.503238</v>
      </c>
      <c r="G232" s="3">
        <f>1924.1+(588-702.7)+(0.981291+(0.29988-0.358377))+0-442.1-0.225470999999955</f>
        <v>1367.9973229999998</v>
      </c>
      <c r="H232" s="3">
        <f>1860.2+(513.6-659.3)+(0+(0-0))+0-400.6-0</f>
        <v>1313.9</v>
      </c>
      <c r="I232" s="3">
        <f>1929.1+(471.5-707.7)+(-1.967682+(-0.48093--0.721854))+0-416--0.424320000000066</f>
        <v>1275.5975619999999</v>
      </c>
      <c r="J232" s="3">
        <f>1939.5+(495.7-662.7)+(0.989145+(0.252807-0.337977))+0-519.3-0.264842999999947</f>
        <v>1253.8391320000001</v>
      </c>
      <c r="K232" s="3">
        <f>1962.6+(514.5-678.5)+(-2.001852+(-0.52479--0.69207))+0-511.6--0.521832000000082</f>
        <v>1285.6872599999999</v>
      </c>
      <c r="L232" s="3">
        <f>1892.6+(607.9-590.3)+(0.965226+(0.310029-0.301053))+0-586.3-0.299012999999941</f>
        <v>1324.5751890000001</v>
      </c>
      <c r="M232" s="3">
        <f>1957.6+(496.3-609.7)+(-0.998376+(-0.253113--0.310947))+0-534--0.272339999999946</f>
        <v>1309.5317979999998</v>
      </c>
      <c r="N232" s="3">
        <f>1991.7+(534.6-641)+(2.031534+(0.545292-0.65382))+0-493-0.502860000000079</f>
        <v>1393.7201460000001</v>
      </c>
      <c r="O232" s="3">
        <f>1943.1+(797.2-655.8)+(-0.990981+(-0.406572--0.334458))+0-586.8--0.29926799999994</f>
        <v>1496.9361730000001</v>
      </c>
      <c r="P232" s="3">
        <f>1908.1+(769.2-616.3)+(-4.865655+(-1.96146--1.571565))+0-425.4--1.08476999999994</f>
        <v>1631.42922</v>
      </c>
      <c r="Q232" s="3">
        <f>2152.8+(696.5-735.3)+(-2.195856+(-0.71043--0.750006))+0-483.5--0.493170000000077</f>
        <v>1628.8368899999998</v>
      </c>
      <c r="R232" s="3">
        <f>2245.5+(764.8-766.7)+(-4.58082+(-1.560192--1.564068))+0-587.9--1.19931599999997</f>
        <v>1652.3223719999999</v>
      </c>
      <c r="S232" s="3">
        <f>2094.5+(689.2-734.8)+(-4.27278+(-1.405968--1.498992))+0-423.8--0.864551999999982</f>
        <v>1621.7847960000001</v>
      </c>
      <c r="T232" s="3">
        <f>2164+(565.7-648.8)+(-1.10364+(-0.288507--0.330888))+0-507.9--0.259028999999948</f>
        <v>1572.19777</v>
      </c>
      <c r="U232" s="3">
        <f>2169.6+(503.9-676.6)+(0+(0-0))+0-470.3-0</f>
        <v>1526.6</v>
      </c>
      <c r="V232" s="3">
        <f>2316.6+(440.4-668.8)+(-3.544398+(-0.673812--1.023264))+0-522.4--0.79927200000003</f>
        <v>1563.4043259999996</v>
      </c>
      <c r="W232" s="3">
        <f>3303.3+(429.3-1280.4)+(-1.684683+(-0.218943--0.653004))+0-570.6--0.291005999999942</f>
        <v>1880.6403839999998</v>
      </c>
      <c r="X232" s="3">
        <f>3742.6+(374.4-1654.2)+(-7.634904+(-0.763776--3.374568))+0-411.7--0.839867999999982</f>
        <v>2046.9157559999996</v>
      </c>
      <c r="Y232" s="3">
        <f>3947.3+(321.3-1846.9)+(-6.039369+(-0.491589--2.825757))+0-489.8--0.749394000000028</f>
        <v>1928.9441929999996</v>
      </c>
      <c r="Z232" s="3">
        <f>3598.5+(387.5-1656.2)+(-5.505705+(-0.592875--2.533986))+0-505.9--0.774027000000029</f>
        <v>1821.1094330000001</v>
      </c>
      <c r="AA232" s="3">
        <f>3448.1+(370.7-1506.5)+(-8.792655+(-0.945285--3.841575))+0-572.7--1.46038499999992</f>
        <v>1735.1640199999999</v>
      </c>
      <c r="AB232" s="3">
        <f>3467.9+(375.4-1642.1)+(-3.537258+(-0.382908--1.674942))+0-537.8--0.548556000000086</f>
        <v>1661.7033320000007</v>
      </c>
      <c r="AC232" s="3">
        <f>3352.9+(290.3-1489.3)+(-8.549895+(-0.740265--3.797715))+0-533.5--1.36042499999992</f>
        <v>1616.2679800000001</v>
      </c>
      <c r="AD232">
        <v>2101.5999999999995</v>
      </c>
      <c r="AE232" s="3">
        <f>3938+(417.7-1751.8)+(0+(0-0))+0-502.3-0</f>
        <v>2101.6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2736.2+(257-928.9)+(-2.790924+(-0.26214--0.947478))+0-565.5--0.57681000000009</f>
        <v>1497.2712239999996</v>
      </c>
      <c r="G233" s="3">
        <f>1942.6+(414-357.3)+(0+(0-0))+0-576-0</f>
        <v>1423.3</v>
      </c>
      <c r="H233" s="3">
        <f>1804.6+(404.6-247.3)+(-1.840692+(-0.412692--0.252246))+0-579.3--0.590886000000092</f>
        <v>1381.189748</v>
      </c>
      <c r="I233" s="3">
        <f>1752.9+(318.7-266.8)+(-4.469895+(-0.812685--0.68034))+0-516.3--1.31656499999992</f>
        <v>1285.2143250000001</v>
      </c>
      <c r="J233" s="3">
        <f>1991.7+(324.3-397.1)+(1.015767+(0.165393-0.202521))+0-557.4-0.284273999999943</f>
        <v>1362.1943650000001</v>
      </c>
      <c r="K233" s="3">
        <f>1868.6+(401.8-381.8)+(0+(0-0))+0-477.5-0</f>
        <v>1411.1</v>
      </c>
      <c r="L233" s="3">
        <f>1801.7+(516.9-291)+(1.837734+(0.527238-0.29682))+0-538.5-0.549270000000086</f>
        <v>1490.618882</v>
      </c>
      <c r="M233" s="3">
        <f>1864.4+(462.1-359.3)+(1.901688+(0.471342-0.366486))+0-468.3-0.477666000000075</f>
        <v>1500.4288780000002</v>
      </c>
      <c r="N233" s="3">
        <f>2042.2+(650.8-620.3)+(0+(0-0))+0-499.7-0</f>
        <v>1572.9999999999998</v>
      </c>
      <c r="O233" s="3">
        <f>2634.6+(461.4-1126.2)+(2.687292+(0.470628-1.148724))+0-386.9-0.394638000000062</f>
        <v>1584.5145579999996</v>
      </c>
      <c r="P233" s="3">
        <f>3369.1+(376.7-1685.4)+(1.718241+(0.192117-0.859554))+0-435.6-0.222155999999956</f>
        <v>1625.6286479999997</v>
      </c>
      <c r="Q233" s="3">
        <f>3767.7+(354.9-2273.5)+(1.921527+(0.180999-1.159485))+0-349.8-0.178397999999965</f>
        <v>1500.0646429999999</v>
      </c>
      <c r="R233" s="3">
        <f>3163.5+(522.2-1651.4)+(-6.45354+(-1.065288--3.368856))+0-418.6--0.853943999999982</f>
        <v>1612.4039720000001</v>
      </c>
      <c r="S233" s="3">
        <f>2349.2+(660.5-946.3)+(-4.792368+(-1.34742--1.930452))+0-497.1--1.01408399999998</f>
        <v>1563.1047479999997</v>
      </c>
      <c r="T233" s="3">
        <f>1967.9+(765.1-788.7)+(-3.010887+(-1.170603--1.206711))+0-417.4--0.638622000000024</f>
        <v>1524.5638430000004</v>
      </c>
      <c r="U233" s="3">
        <f>2014.3+(860.9-816.7)+(-1.027293+(-0.439059--0.416517))+0-533.7--0.272186999999946</f>
        <v>1524.0223520000002</v>
      </c>
      <c r="V233" s="3">
        <f>2784.3+(374.3-1120.2)+(1.419993+(0.190893-0.571302))+0-449.2-0.229091999999954</f>
        <v>1590.0104920000001</v>
      </c>
      <c r="W233" s="3">
        <f>4176+(327.7-2111.1)+(-4.25952+(-0.334254--2.153322))+0-519.1--0.529482000000083</f>
        <v>1871.5890300000008</v>
      </c>
      <c r="X233" s="3">
        <f>4140.7+(354.4-2076.4)+(-12.670542+(-1.084464--6.353784))+0-538.5--1.64781000000006</f>
        <v>1874.446588</v>
      </c>
      <c r="Y233" s="3">
        <f>3932.5+(248.8-1778.9)+(-6.016725+(-0.380664--2.721717))+0-524.5--0.80248500000003</f>
        <v>1875.0268129999997</v>
      </c>
      <c r="Z233" s="3">
        <f>3967.7+(171.4-1704.3)+(-2.023527+(-0.087414--0.869193))+0-586.5--0.299114999999941</f>
        <v>1847.3573670000003</v>
      </c>
      <c r="AA233" s="3">
        <f>3417.6+(141.1-1263)+(-8.71488+(-0.359805--3.22065))+0-549.5--1.40122499999992</f>
        <v>1741.7471899999998</v>
      </c>
      <c r="AB233" s="3">
        <f>2950.9+(155.6-975.7)+(-4.514877+(-0.238068--1.492821))+0-477.7--0.730881000000028</f>
        <v>1650.5707570000002</v>
      </c>
      <c r="AC233" s="3">
        <f>3097.9+(105.3-1120.7)+(-3.159858+(-0.107406--1.143114))+0-501.7--0.51173400000008</f>
        <v>1579.187584</v>
      </c>
      <c r="AD233">
        <v>1834.3000000000004</v>
      </c>
      <c r="AE233" s="3">
        <f>4585+(237.6-2463.1)+(0+(0-0))+0-630.2-0</f>
        <v>1729.3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2796.7+(66.5-911.5)+(-1.426317+(-0.033915--0.464865))+0-491.7--0.25076699999995</f>
        <v>1459.2553999999998</v>
      </c>
      <c r="G234" s="3">
        <f>1960.3+(220.9-385.1)+(-4.998765+(-0.563295--0.982005))+0-410.3--1.04626499999994</f>
        <v>1382.26621</v>
      </c>
      <c r="H234" s="3">
        <f>1903.4+(203.1-391.8)+(-0.970734+(-0.103581--0.199818))+0-380.6--0.194105999999961</f>
        <v>1333.419609</v>
      </c>
      <c r="I234" s="3">
        <f>1911.8+(231-387.7)+(-3.900072+(-0.47124--0.790908))+0-451.3--0.92065199999998</f>
        <v>1301.1402479999999</v>
      </c>
      <c r="J234" s="3">
        <f>1903.7+(294.5-377.1)+(-0.970887+(-0.150195--0.192321))+0-511.8--0.261017999999948</f>
        <v>1308.632257</v>
      </c>
      <c r="K234" s="3">
        <f>2001.9+(313.6-374.4)+(-1.020969+(-0.159936--0.190944))+0-600.1--0.306050999999939</f>
        <v>1340.3160900000003</v>
      </c>
      <c r="L234" s="3">
        <f>2024.9+(373.4-438.9)+(-1.032699+(-0.190434--0.223839))+0-398.4--0.20318399999996</f>
        <v>1560.2038900000002</v>
      </c>
      <c r="M234" s="3">
        <f>2178.8+(356.3-397.3)+(0+(0-0))+0-553.6-0</f>
        <v>1584.2000000000003</v>
      </c>
      <c r="N234" s="3">
        <f>2114.2+(344.6-487.8)+(-1.078242+(-0.175746--0.248778))+0-364.2--0.185741999999963</f>
        <v>1605.9805319999996</v>
      </c>
      <c r="O234" s="3">
        <f>2559.8+(264.8-678)+(-2.610996+(-0.270096--0.69156))+0-497.9--0.507858000000079</f>
        <v>1647.0183260000006</v>
      </c>
      <c r="P234" s="3">
        <f>2957+(207.1-1047.9)+(0+(0-0))+0-447.8-0</f>
        <v>1668.3999999999999</v>
      </c>
      <c r="Q234" s="3">
        <f>3452.7+(156.7-1407.8)+(-1.760877+(-0.079917--0.717978))+0-510.2--0.260201999999948</f>
        <v>1690.5373859999997</v>
      </c>
      <c r="R234" s="3">
        <f>3114.2+(200-1105.1)+(-1.588242+(-0.102--0.563601))+0-546.3--0.278612999999945</f>
        <v>1661.9519720000001</v>
      </c>
      <c r="S234" s="3">
        <f>2725.5+(152.2-826.1)+(-4.170015+(-0.232866--1.263933))+0-419.1--0.641223000000024</f>
        <v>1630.0022750000003</v>
      </c>
      <c r="T234" s="3">
        <f>2841.7+(125.1-877.8)+(1.449267+(0.063801-0.447678))+0-472.1-0.240770999999952</f>
        <v>1617.7246190000003</v>
      </c>
      <c r="U234" s="3">
        <f>2715.3+(180.4-785.2)+(-2.769606+(-0.184008--0.800904))+0-524.4--0.534888000000084</f>
        <v>1584.4821780000002</v>
      </c>
      <c r="V234" s="3">
        <f>2858.6+(216.3-911.8)+(0+(0-0))+0-505.4-0</f>
        <v>1657.6999999999998</v>
      </c>
      <c r="W234" s="3">
        <f>4089.5+(115.5-1715.4)+(-4.17129+(-0.11781--1.749708))+0-561--0.572220000000089</f>
        <v>1926.6328279999998</v>
      </c>
      <c r="X234" s="3">
        <f>3722.7+(148.3-1249.3)+(-5.695731+(-0.226899--1.911429))+0-534.7--0.818091000000031</f>
        <v>2083.8068899999998</v>
      </c>
      <c r="Y234" s="3">
        <f>3211.9+(230-829.6)+(-6.552276+(-0.4692--1.692384))+0-568.4--1.15953599999998</f>
        <v>2039.730444</v>
      </c>
      <c r="Z234" s="3">
        <f>2754.4+(270.4-433.9)+(-1.404744+(-0.137904--0.221289))+0-595.1--0.30350099999994</f>
        <v>1994.782142</v>
      </c>
      <c r="AA234" s="3">
        <f>2345.8+(431.4-305.2)+(-3.589074+(-0.660042--0.466956))+0-531.7--0.813501000000031</f>
        <v>1937.3313409999998</v>
      </c>
      <c r="AB234" s="3">
        <f>2365.7+(475.9-453)+(0+(0-0))+0-555.8-0</f>
        <v>1832.8</v>
      </c>
      <c r="AC234" s="3">
        <f>2596+(331.1-658.2)+(-6.6198+(-0.844305--1.67841))+0-550.3--1.40326499999992</f>
        <v>1714.21757</v>
      </c>
      <c r="AD234">
        <v>2038.6</v>
      </c>
      <c r="AE234" s="3">
        <f>4387+(116.5-1838.4)+(0+(0-0))+0-626.5-0</f>
        <v>2038.6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2139.3+(448.3-477.1)+(0+(0-0))+0-504.3-0</f>
        <v>1606.2</v>
      </c>
      <c r="G235" s="3">
        <f>1893.4+(469.8-338.2)+(0+(0-0))+0-547-0</f>
        <v>1478</v>
      </c>
      <c r="H235" s="3">
        <f>1932.8+(427.8-385.1)+(-0.985728+(-0.218178--0.196401))+0-551.5--0.281264999999944</f>
        <v>1423.2737599999998</v>
      </c>
      <c r="I235" s="3">
        <f>1984+(388.3-437.2)+(0+(0-0))+0-526.2-0</f>
        <v>1408.8999999999999</v>
      </c>
      <c r="J235" s="3">
        <f>2099.2+(344.1-504.2)+(1.070592+(0.175491-0.257142))+0-532.4-0.271523999999946</f>
        <v>1407.4174169999999</v>
      </c>
      <c r="K235" s="3">
        <f>2158.4+(370-548.1)+(5.50392+(0.9435-1.397655))+0-549.7-1.40173499999992</f>
        <v>1434.2480300000002</v>
      </c>
      <c r="L235" s="3">
        <f>2170.3+(467.3-536.9)+(-3.320559+(-0.714969--0.821457))+0-554.8--0.848844000000032</f>
        <v>1543.5347730000005</v>
      </c>
      <c r="M235" s="3">
        <f>2121.3+(392.2-490.4)+(3.245589+(0.600066-0.750312))+0-427.6-0.654228000000025</f>
        <v>1597.9411149999999</v>
      </c>
      <c r="N235" s="3">
        <f>2868.5+(291.3-1015.6)+(5.85174+(0.594252-2.071824))+0-505.2-1.03060799999998</f>
        <v>1642.3435599999996</v>
      </c>
      <c r="O235" s="3">
        <f>3360+(176-1481.6)+(-1.7136+(-0.08976--0.755616))+0-366--0.186659999999963</f>
        <v>1687.5389160000002</v>
      </c>
      <c r="P235" s="3">
        <f>4013.7+(91.6-1880.8)+(-2.046987+(-0.046716--0.959208))+0-529.8--0.270197999999946</f>
        <v>1693.8357030000002</v>
      </c>
      <c r="Q235" s="3">
        <f>3972.7+(100.5-2010.2)+(0+(0-0))+0-416.7-0</f>
        <v>1646.3</v>
      </c>
      <c r="R235" s="3">
        <f>3559.1+(225.1-1662.8)+(-9.075705+(-0.574005--4.24014))+0-448.6--1.14392999999994</f>
        <v>1668.5343599999999</v>
      </c>
      <c r="S235" s="3">
        <f>3585.7+(251.5-1768.3)+(-5.486121+(-0.384795--2.705499))+0-436.2--0.667386000000025</f>
        <v>1630.2019689999995</v>
      </c>
      <c r="T235" s="3">
        <f>3420.5+(267.2-1765.5)+(5.233365+(0.408816-2.701215))+0-396.2-0.606186000000023</f>
        <v>1528.3347799999999</v>
      </c>
      <c r="U235" s="3">
        <f>3585.7+(242.5-1753.4)+(-3.657414+(-0.24735--1.788468))+0-519.6--0.529992000000083</f>
        <v>1553.6136959999997</v>
      </c>
      <c r="V235" s="3">
        <f>3560.4+(262.2-1703)+(-1.815804+(-0.133722--0.86853))+0-444.9--0.226898999999955</f>
        <v>1673.8459030000001</v>
      </c>
      <c r="W235" s="3">
        <f>4325+(157.9-2004)+(4.4115+(0.161058-2.04408))+0-562.2-0.57344400000009</f>
        <v>1918.6550340000001</v>
      </c>
      <c r="X235" s="3">
        <f>4430.5+(169.3-1993)+(-2.259555+(-0.086343--1.01643))+0-542.3--0.276572999999945</f>
        <v>2063.4471050000002</v>
      </c>
      <c r="Y235" s="3">
        <f>4016+(235.5-1715.1)+(0+(0-0))+0-504-0</f>
        <v>2032.4</v>
      </c>
      <c r="Z235" s="3">
        <f>3495.8+(325.4-1311.1)+(-7.131432+(-0.663816--2.674644))+0-581.8--1.18687199999997</f>
        <v>1924.3662680000002</v>
      </c>
      <c r="AA235" s="3">
        <f>2819.6+(372.4-728)+(-2.875992+(-0.379848--0.74256))+0-595.5--0.607410000000095</f>
        <v>1866.59413</v>
      </c>
      <c r="AB235" s="3">
        <f>2415.1+(403.7-480.7)+(-3.695103+(-0.617661--0.735471))+0-548--0.838440000000032</f>
        <v>1787.3611470000001</v>
      </c>
      <c r="AC235" s="3">
        <f>2365.3+(404.1-509.2)+(-1.206303+(-0.206091--0.259692))+0-548.5--0.279734999999944</f>
        <v>1710.8270330000003</v>
      </c>
      <c r="AD235">
        <v>2056.1999999999998</v>
      </c>
      <c r="AE235" s="3">
        <f>4818+(126.7-2359.9)+(0+(0-0))+0-528.6-0</f>
        <v>2056.1999999999998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2335.6+(430.7-488.2)+(-2.382312+(-0.439314--0.497964))+0-682.8--0.696456000000109</f>
        <v>1593.6727940000003</v>
      </c>
      <c r="G236" s="3">
        <f>2173.7+(402.7-542.1)+(0+(0-0))+0-517.4-0</f>
        <v>1516.8999999999996</v>
      </c>
      <c r="H236" s="3">
        <f>2279.2+(377.7-599.1)+(4.649568+(0.770508-1.222164))+0-593.3-1.21033199999997</f>
        <v>1467.48758</v>
      </c>
      <c r="I236" s="3">
        <f>2405.1+(356.5-746.2)+(4.906404+(0.72726-1.522248))+0-582.8-1.18891199999997</f>
        <v>1435.5225039999998</v>
      </c>
      <c r="J236" s="3">
        <f>2326.7+(441.6-726.3)+(0+(0-0))+0-612.8-0</f>
        <v>1429.2</v>
      </c>
      <c r="K236" s="3">
        <f>2317.3+(447.3-672.9)+(3.545469+(0.684369-1.029537))+0-633-0.968490000000037</f>
        <v>1460.9318110000002</v>
      </c>
      <c r="L236" s="3">
        <f>2382.1+(435.7-699.5)+(0+(0-0))+0-604.3-0</f>
        <v>1513.9999999999998</v>
      </c>
      <c r="M236" s="3">
        <f>2397+(381.6-606.8)+(1.22247+(0.194616-0.309468))+0-615.8-0.314057999999938</f>
        <v>1556.7935600000003</v>
      </c>
      <c r="N236" s="3">
        <f>2457.8+(355.7-579)+(1.253478+(0.181407-0.29529))+0-604.2-0.308141999999939</f>
        <v>1631.1314530000002</v>
      </c>
      <c r="O236" s="3">
        <f>2822.2+(202.6-885.5)+(4.317966+(0.309978-1.354815))+0-465.8-0.712674000000027</f>
        <v>1676.0604549999998</v>
      </c>
      <c r="P236" s="3">
        <f>3283.1+(133.7-1087.8)+(-3.348762+(-0.136374--1.109556))+0-605.6--0.617712000000097</f>
        <v>1721.6421320000004</v>
      </c>
      <c r="Q236" s="3">
        <f>3444.5+(77-1262.9)+(3.51339+(0.07854-1.288158))+0-608.7-0.620874000000097</f>
        <v>1651.5828979999999</v>
      </c>
      <c r="R236" s="3">
        <f>3227.1+(151.1-1197.4)+(-6.583284+(-0.308244--2.442696))+0-490.5--1.00061999999998</f>
        <v>1686.8517879999997</v>
      </c>
      <c r="S236" s="3">
        <f>2906.2+(211.4-773)+(0+(0-0))+0-695.1-0</f>
        <v>1649.5</v>
      </c>
      <c r="T236" s="3">
        <f>2478.5+(218.2-535.6)+(-5.05614+(-0.445128--1.092624))+0-526.4--1.07385599999998</f>
        <v>1631.3652119999997</v>
      </c>
      <c r="U236" s="3">
        <f>2513.9+(191.3-506.5)+(-1.282089+(-0.097563--0.258315))+0-567.8--0.289577999999942</f>
        <v>1630.0682410000002</v>
      </c>
      <c r="V236" s="3">
        <f>2594.7+(282.7-651.1)+(-1.323297+(-0.144177--0.332061))+0-563.4--0.287333999999943</f>
        <v>1662.0519209999995</v>
      </c>
      <c r="W236" s="3">
        <f>4079+(167.9-1829.3)+(2.08029+(0.085629-0.932943))+0-580.8-0.296207999999941</f>
        <v>1837.7367680000002</v>
      </c>
      <c r="X236" s="3">
        <f>4709.4+(169.2-2282.6)+(-4.803588+(-0.172584--2.328252))+0-597.2--0.609144000000095</f>
        <v>1996.7612239999996</v>
      </c>
      <c r="Y236" s="3">
        <f>4494.2+(221.3-2235)+(-2.292042+(-0.112863--1.13985))+0-516.6--0.263465999999948</f>
        <v>1962.8984110000001</v>
      </c>
      <c r="Z236" s="3">
        <f>4151.9+(290.5-1857.9)+(-6.352407+(-0.444465--2.842587))+0-612.8--0.937584000000035</f>
        <v>1968.6832989999998</v>
      </c>
      <c r="AA236" s="3">
        <f>3895.1+(301.4-1785.6)+(-1.986501+(-0.153714--0.910656))+0-580--0.295799999999941</f>
        <v>1829.9662410000001</v>
      </c>
      <c r="AB236" s="3">
        <f>3945.8+(219.8-1949.7)+(-6.037074+(-0.336294--2.983041))+0-512.5--0.78412500000003</f>
        <v>1700.7937980000002</v>
      </c>
      <c r="AC236" s="3">
        <f>3680.8+(89.1-1581.3)+(-3.754416+(-0.090882--1.612926))+0-582.9--0.594558000000093</f>
        <v>1604.0621860000003</v>
      </c>
      <c r="AD236">
        <v>1961.1000000000004</v>
      </c>
      <c r="AE236" s="3">
        <f>4949+(121.8-2456.1)+(0+(0-0))+0-653.6-0</f>
        <v>1961.1000000000004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2794.2+(165.2-815.9)+(2.850084+(0.168504-0.832218))+0-583.9-0.595578000000093</f>
        <v>1561.1907919999996</v>
      </c>
      <c r="G237" s="3">
        <f>2344.2+(206.5-632.5)+(0+(0-0))+0-523.8-0</f>
        <v>1394.3999999999999</v>
      </c>
      <c r="H237" s="3">
        <f>2224.4+(191.3-485.6)+(-2.268888+(-0.195126--0.495312))+0-569.1--0.580482000000091</f>
        <v>1359.6117800000004</v>
      </c>
      <c r="I237" s="3">
        <f>2196+(257.3-505.8)+(-3.35988+(-0.393669--0.773874))+0-591.6--0.905148000000034</f>
        <v>1353.8254730000001</v>
      </c>
      <c r="J237" s="3">
        <f>2249.1+(291.5-612.5)+(-2.294082+(-0.29733--0.62475))+0-566.9--0.57823800000009</f>
        <v>1359.8115760000001</v>
      </c>
      <c r="K237" s="3">
        <f>2331.3+(282.4-587.1)+(1.188963+(0.144024-0.299421))+0-619.6-0.315995999999937</f>
        <v>1407.71757</v>
      </c>
      <c r="L237" s="3">
        <f>2428.8+(264.7-558.4)+(1.238688+(0.134997-0.284784))+0-627.5-0.320024999999936</f>
        <v>1508.3688760000005</v>
      </c>
      <c r="M237" s="3">
        <f>2426.1+(270.8-506.6)+(0+(0-0))+0-606.9-0</f>
        <v>1583.3999999999996</v>
      </c>
      <c r="N237" s="3">
        <f>3066.6+(266.4-1130.5)+(4.691898+(0.407592-1.729665))+0-560-0.856800000000032</f>
        <v>1645.0130250000002</v>
      </c>
      <c r="O237" s="3">
        <f>4093.2+(175.4-2192)+(2.087532+(0.089454-1.11792))+0-483.1-0.246380999999951</f>
        <v>1594.3126849999999</v>
      </c>
      <c r="P237" s="3">
        <f>4429.6+(124.2-2340.6)+(-4.518192+(-0.126684--2.387412))+0-498.4--0.508368000000079</f>
        <v>1713.0509040000004</v>
      </c>
      <c r="Q237" s="3">
        <f>4401.1+(124-2330.2)+(-6.733683+(-0.18972--3.565206))+0-390.3--0.597159000000023</f>
        <v>1801.8389620000005</v>
      </c>
      <c r="R237" s="3">
        <f>4183.5+(131-2105.8)+(-2.133585+(-0.06681--1.073958))+0-524.3--0.267392999999947</f>
        <v>1683.5409559999998</v>
      </c>
      <c r="S237" s="3">
        <f>3792.7+(170.6-1830.5)+(-3.868554+(-0.174012--1.86711))+0-481.2--0.490824000000077</f>
        <v>1649.9153679999997</v>
      </c>
      <c r="T237" s="3">
        <f>3661+(235.6-1704.8)+(0+(0-0))+0-568.9-0</f>
        <v>1622.9</v>
      </c>
      <c r="U237" s="3">
        <f>3729.2+(221.2-1797.6)+(3.803784+(0.225624-1.833552))+0-572.3-0.583746000000091</f>
        <v>1582.11211</v>
      </c>
      <c r="V237" s="3">
        <f>4209.2+(227.2-2251.7)+(4.293384+(0.231744-2.296734))+0-505.9-0.516018000000081</f>
        <v>1680.5123759999999</v>
      </c>
      <c r="W237" s="3">
        <f>5721.7+(177.2-3389)+(5.836134+(0.180744-3.45678))+0-604.8-0.616896000000096</f>
        <v>1907.0432019999996</v>
      </c>
      <c r="X237" s="3">
        <f>5164.6+(242.4-2789.9)+(-13.16973+(-0.61812--7.114245))+0-575.3--1.46701499999992</f>
        <v>2036.5934100000004</v>
      </c>
      <c r="Y237" s="3">
        <f>4400.4+(344.5-2124.6)+(-4.488408+(-0.35139--2.167092))+0-632.3--0.644946000000101</f>
        <v>1985.9722400000001</v>
      </c>
      <c r="Z237" s="3">
        <f>3988.4+(365.1-1883.4)+(-12.204504+(-1.117206--5.763204))+0-523.1--1.60068600000006</f>
        <v>1941.0421800000001</v>
      </c>
      <c r="AA237" s="3">
        <f>4073.1+(378.8-1923.5)+(-4.154562+(-0.386376--1.96197))+0-646.3--0.659226000000103</f>
        <v>1880.1802579999999</v>
      </c>
      <c r="AB237" s="3">
        <f>3797.4+(370.8-1928.2)+(-5.810022+(-0.567324--2.950146))+0-494.6--0.756738000000029</f>
        <v>1742.729538</v>
      </c>
      <c r="AC237" s="3">
        <f>3608.4+(366.9-1744.7)+(-3.680568+(-0.374238--1.779594))+0-590.2--0.602004000000094</f>
        <v>1638.7267919999999</v>
      </c>
      <c r="AD237">
        <v>2011.3000000000002</v>
      </c>
      <c r="AE237" s="3">
        <f>6104+(156-3621.2)+(0+(0-0))+0-627.5-0</f>
        <v>2011.3000000000002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3020.1+(403.9-1414.1)+(0+(0-0))+0-486.8-0</f>
        <v>1523.1000000000001</v>
      </c>
      <c r="G238" s="3">
        <f>2904.5+(433.3-1371.6)+(-2.96259+(-0.441966--1.399032))+0-531.1--0.541722000000085</f>
        <v>1433.6361980000004</v>
      </c>
      <c r="H238" s="3">
        <f>2670.6+(443.4-1125.6)+(-2.724012+(-0.452268--1.148112))+0-597.8--0.609756000000095</f>
        <v>1389.1815880000001</v>
      </c>
      <c r="I238" s="3">
        <f>2598.1+(453-1070.6)+(2.650062+(0.46206-1.092012))+0-610.3-0.622506000000097</f>
        <v>1371.5976039999998</v>
      </c>
      <c r="J238" s="3">
        <f>2603.7+(467.3-1100.4)+(1.327887+(0.238323-0.561204))+0-598.9-0.305438999999939</f>
        <v>1372.3995669999997</v>
      </c>
      <c r="K238" s="3">
        <f>2671.8+(409.7-1111.2)+(2.725236+(0.417894-1.133424))+0-558.3-0.569466000000089</f>
        <v>1413.4402400000001</v>
      </c>
      <c r="L238" s="3">
        <f>3018+(352.6-1240.8)+(4.61754+(0.539478-1.898424))+0-590.1-0.902853000000034</f>
        <v>1542.0557410000001</v>
      </c>
      <c r="M238" s="3">
        <f>3008.5+(315.8-1491.6)+(3.06867+(0.322116-1.521432))+0-546.3-0.557226000000087</f>
        <v>1287.7121279999999</v>
      </c>
      <c r="N238" s="3">
        <f>4158.6+(151.6-2054.3)+(2.120886+(0.077316-1.047693))+0-626.9-0.319718999999936</f>
        <v>1629.8307900000002</v>
      </c>
      <c r="O238" s="3">
        <f>4507+(151.6-2370.6)+(0+(0-0))+0-628.6-0</f>
        <v>1659.4</v>
      </c>
      <c r="P238" s="3">
        <f>4353+(184.5-2404.2)+(-2.22003+(-0.094095--1.226142))+0-488.8--0.24928799999995</f>
        <v>1643.6613050000003</v>
      </c>
      <c r="Q238" s="3">
        <f>4418.7+(208.5-2451.7)+(-6.760611+(-0.319005--3.751101))+0-497.3--0.760869000000029</f>
        <v>1675.6323539999999</v>
      </c>
      <c r="R238" s="3">
        <f>4114.2+(210.3-2160.5)+(0+(0-0))+0-539.6-0</f>
        <v>1624.4</v>
      </c>
      <c r="S238" s="3">
        <f>3934.9+(212.3-1956.4)+(2.006799+(0.108273-0.997764))+0-559.7-0.285446999999943</f>
        <v>1631.931861</v>
      </c>
      <c r="T238" s="3">
        <f>3942.7+(203.1-1900.9)+(4.021554+(0.207162-1.938918))+0-620.5-0.632910000000099</f>
        <v>1626.0568879999994</v>
      </c>
      <c r="U238" s="3">
        <f>3624.2+(241.5-1723.1)+(1.848342+(0.123165-0.878781))+0-560.5-0.285854999999943</f>
        <v>1582.9068709999999</v>
      </c>
      <c r="V238" s="3">
        <f>3869.4+(276.7-1898.5)+(5.920182+(0.423351-2.904705))+0-593.3-0.907749000000034</f>
        <v>1656.8310790000003</v>
      </c>
      <c r="W238" s="3">
        <f>4652.4+(395-2556.8)+(0+(0-0))+0-522.2-0</f>
        <v>1968.3999999999994</v>
      </c>
      <c r="X238" s="3">
        <f>4316.4+(467.5-2260.6)+(-4.402728+(-0.47685--2.305812))+0-591.2--0.603024000000094</f>
        <v>1930.1292579999997</v>
      </c>
      <c r="Y238" s="3">
        <f>3924.4+(532.7-1997)+(-2.001444+(-0.271677--1.01847))+0-570.9--0.291158999999942</f>
        <v>1888.236508</v>
      </c>
      <c r="Z238" s="3">
        <f>3360.9+(580.6-1647.3)+(-1.714059+(-0.296106--0.840123))+0-536.9--0.273818999999946</f>
        <v>1756.403777</v>
      </c>
      <c r="AA238" s="3">
        <f>2982.3+(631.1-1303.6)+(-3.041946+(-0.643722--1.329672))+0-630.5--0.643110000000101</f>
        <v>1677.5871140000006</v>
      </c>
      <c r="AB238" s="3">
        <f>2586.9+(692-1206.4)+(0+(0-0))+0-526.8-0</f>
        <v>1545.7</v>
      </c>
      <c r="AC238" s="3">
        <f>2779+(543.3-1264.2)+(2.83458+(0.554166-1.289484))+0-601.3-0.613326000000096</f>
        <v>1458.285936</v>
      </c>
      <c r="AD238">
        <v>1818.9000000000005</v>
      </c>
      <c r="AE238" s="3">
        <f>4713+(385.6-2735.7)+(0+(0-0))+0-544-0</f>
        <v>1818.9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1909.7+(662.9-419.6)+(-0.973947+(-0.338079--0.213996))+0-584.9--0.298298999999941</f>
        <v>1567.3002689999998</v>
      </c>
      <c r="G239" s="3">
        <f>1576.7+(772.4-348.5)+(-0.804117+(-0.393924--0.177735))+0-517.9--0.264128999999947</f>
        <v>1481.9438229999998</v>
      </c>
      <c r="H239" s="3">
        <f>1540.8+(952-414)+(-3.143232+(-1.94208--0.84456))+0-606.2--1.23664799999997</f>
        <v>1469.595896</v>
      </c>
      <c r="I239" s="3">
        <f>1651+(835.9-458)+(4.21005+(2.131545-1.1679))+0-548.3-1.39816499999992</f>
        <v>1484.3755300000003</v>
      </c>
      <c r="J239" s="3">
        <f>1792.3+(712.8-501.8)+(0+(0-0))+0-506.6-0</f>
        <v>1496.6999999999998</v>
      </c>
      <c r="K239" s="3">
        <f>1805.2+(701.1-412)+(-3.682608+(-1.430244--0.84048))+0-555.6--1.13342399999998</f>
        <v>1535.5610520000002</v>
      </c>
      <c r="L239" s="3">
        <f>1865.4+(712.6-378.7)+(1.902708+(0.726852-0.386274))+0-491.6-0.501432000000078</f>
        <v>1709.4418540000001</v>
      </c>
      <c r="M239" s="3">
        <f>2133.2+(565-421.6)+(3.263796+(0.86445-0.645048))+0-579.7-0.886941000000034</f>
        <v>1699.4962569999998</v>
      </c>
      <c r="N239" s="3">
        <f>2849.2+(389.3-1087.7)+(2.906184+(0.397086-1.109454))+0-475.4-0.484908000000076</f>
        <v>1677.1089079999995</v>
      </c>
      <c r="O239" s="3">
        <f>3598+(395-1702.1)+(5.50494+(0.60435-2.604213))+0-553.3-0.846549000000032</f>
        <v>1740.2585279999998</v>
      </c>
      <c r="P239" s="3">
        <f>3771.7+(479.1-2140.4)+(1.923567+(0.244341-1.091604))+0-434.4-0.221543999999956</f>
        <v>1676.8547599999997</v>
      </c>
      <c r="Q239" s="3">
        <f>3611.8+(582.2-1759.1)+(-9.21009+(-1.48461--4.485705))+0-588.8--1.50143999999991</f>
        <v>1841.3924450000006</v>
      </c>
      <c r="R239" s="3">
        <f>3072.1+(626.4-1354.8)+(-7.833855+(-1.59732--3.45474))+0-569.5--1.45222499999992</f>
        <v>1769.6757899999998</v>
      </c>
      <c r="S239" s="3">
        <f>2899+(587.6-1215.5)+(-1.47849+(-0.299676--0.619905))+0-568.3--0.289832999999942</f>
        <v>1701.931572</v>
      </c>
      <c r="T239" s="3">
        <f>2881.6+(669.4-1279.1)+(1.469616+(0.341394-0.652341))+0-606.7-0.309416999999938</f>
        <v>1666.049252</v>
      </c>
      <c r="U239" s="3">
        <f>3092.6+(620.9-1492.8)+(0+(0-0))+0-578.1-0</f>
        <v>1642.6</v>
      </c>
      <c r="V239" s="3">
        <f>3077.6+(636.8-1459.9)+(-1.569576+(-0.324768--0.744549))+0-588--0.29987999999994</f>
        <v>1665.6500850000002</v>
      </c>
      <c r="W239" s="3">
        <f>4470.1+(483.3-2338.2)+(0+(0-0))+0-542.8-0</f>
        <v>2072.4000000000005</v>
      </c>
      <c r="X239" s="3">
        <f>4530.8+(475.1-2259.6)+(-6.932124+(-0.726903--3.457188))+0-672.4--1.02877200000004</f>
        <v>2070.7269330000004</v>
      </c>
      <c r="Y239" s="3">
        <f>3613.3+(567.5-1688.6)+(-5.528349+(-0.868275--2.583558))+0-548.6--0.839358000000032</f>
        <v>1940.6262920000001</v>
      </c>
      <c r="Z239" s="3">
        <f>3521.7+(619.3-1568)+(-5.388201+(-0.947529--2.39904))+0-649.9--0.994347000000038</f>
        <v>1920.157657</v>
      </c>
      <c r="AA239" s="3">
        <f>3457.4+(635.1-1652.6)+(-3.526548+(-0.647802--1.685652))+0-612--0.624240000000098</f>
        <v>1826.0355420000001</v>
      </c>
      <c r="AB239" s="3">
        <f>3096+(658.6-1421.5)+(-4.73688+(-1.007658--2.174895))+0-521.8--0.79835400000003</f>
        <v>1808.5287110000002</v>
      </c>
      <c r="AC239" s="3">
        <f>3155.3+(467.5-1271.5)+(-1.609203+(-0.238425--0.648465))+0-679.1--0.346340999999931</f>
        <v>1671.347178</v>
      </c>
      <c r="AD239">
        <v>2172.1999999999998</v>
      </c>
      <c r="AE239" s="3">
        <f>5060+(454.9-2725.6)+(0+(0-0))+0-617.1-0</f>
        <v>2172.2000000000003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2121.5+(563.3-714.9)+(1.081965+(0.287283-0.364599))+0-537.4-0.274073999999945</f>
        <v>1433.230575</v>
      </c>
      <c r="G240" s="3">
        <f>1889.3+(712.3-649.6)+(0.963543+(0.363273-0.331296))+0-609.6-0.310895999999938</f>
        <v>1343.0846240000001</v>
      </c>
      <c r="H240" s="3">
        <f>1799.1+(780.7-755.1)+(0+(0-0))+0-523.7-0</f>
        <v>1300.9999999999998</v>
      </c>
      <c r="I240" s="3">
        <f>1890.8+(738.1-761.2)+(0+(0-0))+0-612.3-0</f>
        <v>1255.3999999999999</v>
      </c>
      <c r="J240" s="3">
        <f>1979.5+(585.7-781.2)+(1.009545+(0.298707-0.398412))+0-532.6-0.271625999999946</f>
        <v>1252.0382139999999</v>
      </c>
      <c r="K240" s="3">
        <f>1880.5+(595.6-659.9)+(1.91811+(0.607512-0.673098))+0-568.6-0.579972000000091</f>
        <v>1248.8725519999998</v>
      </c>
      <c r="L240" s="3">
        <f>1856.7+(608.9-648.8)+(-1.893834+(-0.621078--0.661776))+0-562--0.57324000000009</f>
        <v>1253.5201040000004</v>
      </c>
      <c r="M240" s="3">
        <f>1982.8+(484.8-663.7)+(-1.011228+(-0.247248--0.338487))+0-512--0.261119999999948</f>
        <v>1291.2411309999998</v>
      </c>
      <c r="N240" s="3">
        <f>1955.9+(524-615.3)+(0+(0-0))+0-559.3-0</f>
        <v>1305.3000000000002</v>
      </c>
      <c r="O240" s="3">
        <f>2482.3+(374.3-867.7)+(1.265973+(0.190893-0.442527))+0-516.2-0.263261999999948</f>
        <v>1473.4510770000002</v>
      </c>
      <c r="P240" s="3">
        <f>2738.6+(377.3-986.9)+(4.190058+(0.577269-1.509957))+0-541.7-0.828801000000031</f>
        <v>1589.7285689999997</v>
      </c>
      <c r="Q240" s="3">
        <f>3027.9+(338.5-1256.4)+(3.088458+(0.34527-1.281528))+0-517.8-0.528156000000083</f>
        <v>1593.824044</v>
      </c>
      <c r="R240" s="3">
        <f>2983.5+(384.3-1097.2)+(-9.12951+(-1.175958--3.357432))+0-609.6--1.86537600000007</f>
        <v>1655.9173400000002</v>
      </c>
      <c r="S240" s="3">
        <f>2449.4+(487.7-811.7)+(-4.996776+(-0.994908--1.655868))+0-599.4--1.22277599999997</f>
        <v>1522.8869600000003</v>
      </c>
      <c r="T240" s="3">
        <f>2221+(499-725.6)+(0+(0-0))+0-554.1-0</f>
        <v>1440.3000000000002</v>
      </c>
      <c r="U240" s="3">
        <f>2183.2+(471.4-644.6)+(1.113432+(0.240414-0.328746))+0-573.8-0.292637999999942</f>
        <v>1436.932462</v>
      </c>
      <c r="V240" s="3">
        <f>2554.3+(407.7-853.1)+(-1.302693+(-0.207927--0.435081))+0-595.6--0.30375599999994</f>
        <v>1512.5282170000003</v>
      </c>
      <c r="W240" s="3">
        <f>3938.7+(273.5-1764.9)+(0+(0-0))+0-572.4-0</f>
        <v>1874.8999999999996</v>
      </c>
      <c r="X240" s="3">
        <f>4120.6+(238.7-1858.1)+(-6.304518+(-0.365211--2.842893))+0-542.4--0.829872000000031</f>
        <v>1955.8030360000005</v>
      </c>
      <c r="Y240" s="3">
        <f>3652.6+(304.4-1522.8)+(0+(0-0))+0-555.6-0</f>
        <v>1878.6</v>
      </c>
      <c r="Z240" s="3">
        <f>3118.5+(371.2-1133.1)+(-3.18087+(-0.378624--1.155762))+0-600.5--0.612510000000096</f>
        <v>1754.3087780000003</v>
      </c>
      <c r="AA240" s="3">
        <f>2962.9+(410.6-1054.1)+(-3.022158+(-0.418812--1.075182))+0-653.2--0.666264000000104</f>
        <v>1664.5004760000002</v>
      </c>
      <c r="AB240" s="3">
        <f>2778.1+(418-1083.3)+(-4.250493+(-0.63954--1.657449))+0-521.3--0.79758900000003</f>
        <v>1589.0650050000004</v>
      </c>
      <c r="AC240" s="3">
        <f>2491.3+(445.2-880.7)+(-3.811689+(-0.681156--1.347471))+0-613.4--0.938502000000035</f>
        <v>1440.1931279999999</v>
      </c>
      <c r="AD240">
        <v>1923.3999999999996</v>
      </c>
      <c r="AE240" s="3">
        <f>4213+(253.7-1846.4)+(0+(0-0))+0-696.9-0</f>
        <v>1923.4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1826.2+(649.1-444.7)+(-2.794086+(-0.993123--0.680391))+0-524.4--0.80233200000003</f>
        <v>1503.895514</v>
      </c>
      <c r="G241" s="3">
        <f>1865.7+(633.8-472.3)+(-1.903014+(-0.646476--0.481746))+0-553.4--0.564468000000088</f>
        <v>1472.2967240000003</v>
      </c>
      <c r="H241" s="3">
        <f>2239+(485.5-677.9)+(2.28378+(0.49521-0.691458))+0-585.3-0.597006000000093</f>
        <v>1462.7905259999998</v>
      </c>
      <c r="I241" s="3">
        <f>1883.1+(545.3-470.2)+(0+(0-0))+0-533.1-0</f>
        <v>1425.1</v>
      </c>
      <c r="J241" s="3">
        <f>1739.2+(637.3-379.7)+(-1.773984+(-0.650046--0.387294))+0-589.1--0.600882000000094</f>
        <v>1406.264146</v>
      </c>
      <c r="K241" s="3">
        <f>1824.1+(552.6-432.6)+(-1.860582+(-0.563652--0.441252))+0-544.3--0.555186000000087</f>
        <v>1398.372204</v>
      </c>
      <c r="L241" s="3">
        <f>1857.7+(541.5-351)+(-0.947427+(-0.276165--0.17901))+0-574.6--0.293045999999942</f>
        <v>1472.8484639999999</v>
      </c>
      <c r="M241" s="3">
        <f>1945.8+(445.9-409.5)+(0+(0-0))+0-463.3-0</f>
        <v>1518.8999999999999</v>
      </c>
      <c r="N241" s="3">
        <f>2339.2+(443.4-725.1)+(0+(0-0))+0-490.2-0</f>
        <v>1567.3</v>
      </c>
      <c r="O241" s="3">
        <f>3269.7+(416-1523.6)+(5.002641+(0.63648-2.331108))+0-530.1-0.811053000000031</f>
        <v>1634.4969599999997</v>
      </c>
      <c r="P241" s="3">
        <f>3629+(365.1-1898.2)+(-5.55237+(-0.558603--2.904246))+0-415.3--0.635409000000024</f>
        <v>1678.0286820000003</v>
      </c>
      <c r="Q241" s="3">
        <f>3772.1+(377.2-1941.2)+(-1.923771+(-0.192372--0.990012))+0-460.3--0.234752999999953</f>
        <v>1746.9086219999999</v>
      </c>
      <c r="R241" s="3">
        <f>3147.4+(367.8-1324.2)+(-4.815522+(-0.562734--2.026026))+0-497--0.760410000000029</f>
        <v>1691.4081800000001</v>
      </c>
      <c r="S241" s="3">
        <f>2911.2+(415.5-1198.2)+(-4.454136+(-0.635715--1.833246))+0-493.3--0.754749000000029</f>
        <v>1632.698144</v>
      </c>
      <c r="T241" s="3">
        <f>2789.3+(478.6-1070.4)+(0+(0-0))+0-553.6-0</f>
        <v>1643.9</v>
      </c>
      <c r="U241" s="3">
        <f>2566+(529.2-999.2)+(-1.30866+(-0.269892--0.509592))+0-474.2--0.241841999999952</f>
        <v>1620.9728819999998</v>
      </c>
      <c r="V241" s="3">
        <f>2734.1+(484.4-918.7)+(-1.394391+(-0.247044--0.468537))+0-603.9--0.307988999999939</f>
        <v>1695.0350909999997</v>
      </c>
      <c r="W241" s="3">
        <f>4108.3+(319.6-1963.9)+(0+(0-0))+0-531.6-0</f>
        <v>1932.4</v>
      </c>
      <c r="X241" s="3">
        <f>3802.7+(322.1-1585.3)+(-5.818131+(-0.492813--2.425509))+0-509.6--0.779688000000029</f>
        <v>2026.794253</v>
      </c>
      <c r="Y241" s="3">
        <f>3324.3+(415.3-1184.2)+(-8.476965+(-1.059015--3.01971))+0-562.7--1.43488499999992</f>
        <v>1987.6186149999999</v>
      </c>
      <c r="Z241" s="3">
        <f>2811.2+(515.7-876.6)+(-5.734848+(-1.052028--1.788264))+0-515--1.05059999999998</f>
        <v>1931.3519879999999</v>
      </c>
      <c r="AA241" s="3">
        <f>3063.4+(499.4-1015.4)+(-3.124668+(-0.509388--1.035708))+0-682.9--0.696558000000109</f>
        <v>1862.5982100000001</v>
      </c>
      <c r="AB241" s="3">
        <f>2870+(504.1-1050.4)+(-7.3185+(-1.285455--2.67852))+0-531.5--1.35532499999992</f>
        <v>1787.6298899999997</v>
      </c>
      <c r="AC241" s="3">
        <f>2352.1+(635-642.8)+(-1.199571+(-0.32385--0.327828))+0-618.1--0.315230999999937</f>
        <v>1725.3196380000004</v>
      </c>
      <c r="AD241">
        <v>2054.3000000000002</v>
      </c>
      <c r="AE241" s="3">
        <f>4495+(340.5-2169)+(0+(0-0))+0-612.2-0</f>
        <v>2054.3000000000002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2101.7+(519.3-437.1)+(-4.287468+(-1.059372--0.891684))+0-564--1.15055999999998</f>
        <v>1616.5954039999997</v>
      </c>
      <c r="G242" s="3">
        <f>1939.9+(569.3-310.7)+(-3.957396+(-1.161372--0.633828))+0-647.5--1.32089999999997</f>
        <v>1547.8359600000001</v>
      </c>
      <c r="H242" s="3">
        <f>1856.4+(577.3-338.9)+(0+(0-0))+0-594.5-0</f>
        <v>1500.3000000000002</v>
      </c>
      <c r="I242" s="3">
        <f>1810.5+(656.7-386.5)+(-2.770065+(-1.004751--0.591345))+0-592.7--0.906831000000034</f>
        <v>1485.72336</v>
      </c>
      <c r="J242" s="3">
        <f>1806.5+(586.5-342.7)+(0.921315+(0.299115-0.174777))+0-578-0.294779999999941</f>
        <v>1473.0508730000004</v>
      </c>
      <c r="K242" s="3">
        <f>1864.6+(533.4-349.1)+(-0.950946+(-0.272034--0.178041))+0-541.8--0.276317999999945</f>
        <v>1506.3313789999995</v>
      </c>
      <c r="L242" s="3">
        <f>1866.4+(617.3-344.4)+(-4.75932+(-1.574115--0.87822))+0-588.5--1.50067499999991</f>
        <v>1546.8454600000002</v>
      </c>
      <c r="M242" s="3">
        <f>1985.5+(532-418.3)+(1.012605+(0.27132-0.213333))+0-507.9-0.259028999999948</f>
        <v>1592.1115629999997</v>
      </c>
      <c r="N242" s="3">
        <f>2059.3+(582.8-471.6)+(1.050243+(0.297228-0.240516))+0-570.1-0.290750999999942</f>
        <v>1601.2162040000003</v>
      </c>
      <c r="O242" s="3">
        <f>2501.8+(375.7-721.1)+(-2.551836+(-0.383214--0.735522))+0-479.6--0.489192000000077</f>
        <v>1675.0896640000001</v>
      </c>
      <c r="P242" s="3">
        <f>2774.8+(287.2-855.3)+(1.415148+(0.146472-0.436203))+0-532.4-0.271523999999946</f>
        <v>1675.1538930000004</v>
      </c>
      <c r="Q242" s="3">
        <f>3050.7+(331.7-1147.5)+(-6.223428+(-0.676668--2.3409))+0-505.3--1.03081199999998</f>
        <v>1726.0716159999995</v>
      </c>
      <c r="R242" s="3">
        <f>2787+(400.7-791.8)+(-11.37096+(-1.634856--3.230544))+0-578.3--2.35946399999995</f>
        <v>1810.1841920000002</v>
      </c>
      <c r="S242" s="3">
        <f>2336.9+(399.1-505.9)+(-1.191819+(-0.203541--0.258009))+0-517.1--0.263720999999948</f>
        <v>1712.1263700000006</v>
      </c>
      <c r="T242" s="3">
        <f>2361.5+(396.2-500.3)+(0+(0-0))+0-613.7-0</f>
        <v>1643.7</v>
      </c>
      <c r="U242" s="3">
        <f>2239.3+(407.7-593.5)+(-4.568172+(-0.831708--1.21074))+0-457.2--0.93268799999998</f>
        <v>1593.0435479999999</v>
      </c>
      <c r="V242" s="3">
        <f>2753.1+(374.4-981)+(1.404081+(0.190944-0.50031))+0-573.2-0.292331999999942</f>
        <v>1574.1023830000001</v>
      </c>
      <c r="W242" s="3">
        <f>4164.9+(318.8-2155.4)+(0+(0-0))+0-526.1-0</f>
        <v>1802.1999999999994</v>
      </c>
      <c r="X242" s="3">
        <f>4218.5+(292.2-2209.2)+(-10.757175+(-0.74511--5.63346))+0-502.6--1.28162999999993</f>
        <v>1794.312805</v>
      </c>
      <c r="Y242" s="3">
        <f>3904.8+(362.1-1922.4)+(0+(0-0))+0-649.2-0</f>
        <v>1695.3</v>
      </c>
      <c r="Z242" s="3">
        <f>3150.2+(391-1433)+(-6.426408+(-0.79764--2.92332))+0-499--1.01795999999998</f>
        <v>1605.9172319999996</v>
      </c>
      <c r="AA242" s="3">
        <f>2768.9+(428.9-1086.1)+(-1.412139+(-0.218739--0.553911))+0-608--0.310079999999938</f>
        <v>1502.9331130000003</v>
      </c>
      <c r="AB242" s="3">
        <f>2422.3+(392.3-705.2)+(-3.706119+(-0.600219--1.078956))+0-578.9--0.885717000000033</f>
        <v>1528.1583350000001</v>
      </c>
      <c r="AC242" s="3">
        <f>2107.4+(524.6-333.5)+(-8.598192+(-2.140368--1.36068))+0-607.1--2.47696799999995</f>
        <v>1684.499088</v>
      </c>
      <c r="AD242">
        <v>2284.8000000000002</v>
      </c>
      <c r="AE242" s="3">
        <f>4751+(628-2691.5)+(0+(0-0))+0-560.2-0</f>
        <v>2127.3000000000002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1879.4+(609.4-295.6)+(-4.79247+(-1.55397--0.75378))+0-592.7--1.51138499999991</f>
        <v>1596.418725</v>
      </c>
      <c r="G243" s="3">
        <f>1948.2+(607.5-447.9)+(0.993582+(0.309825-0.228429))+0-596.9-0.304418999999939</f>
        <v>1511.6705590000001</v>
      </c>
      <c r="H243" s="3">
        <f>1818.2+(541.5-380)+(-3.709128+(-1.10466--0.7752))+0-611--1.24643999999997</f>
        <v>1365.907852</v>
      </c>
      <c r="I243" s="3">
        <f>2063.4+(497.7-493.2)+(0+(0-0))+0-626.6-0</f>
        <v>1441.3000000000002</v>
      </c>
      <c r="J243" s="3">
        <f>1816.7+(559-418)+(-1.853034+(-0.57018--0.42636))+0-595.8--0.607716000000095</f>
        <v>1360.5108620000001</v>
      </c>
      <c r="K243" s="3">
        <f>1968.3+(482.1-441.4)+(2.007666+(0.491742-0.450228))+0-613.5-0.625770000000098</f>
        <v>1396.9234099999999</v>
      </c>
      <c r="L243" s="3">
        <f>1779.7+(576.2-449.4)+(-1.815294+(-0.587724--0.458388))+0-614--0.626280000000098</f>
        <v>1291.1816500000002</v>
      </c>
      <c r="M243" s="3">
        <f>1915.3+(587-508.6)+(-1.953606+(-0.59874--0.518772))+0-589.3--0.601086000000094</f>
        <v>1402.9675119999999</v>
      </c>
      <c r="N243" s="3">
        <f>1795.7+(601.5-424.4)+(-0.915807+(-0.306765--0.216444))+0-563.9--0.287588999999943</f>
        <v>1408.1814610000001</v>
      </c>
      <c r="O243" s="3">
        <f>1903.7+(454-404.9)+(-1.941774+(-0.46308--0.412998))+0-555.9--0.567018000000089</f>
        <v>1395.4751620000002</v>
      </c>
      <c r="P243" s="3">
        <f>2099.1+(504.7-723.9)+(-3.211623+(-0.772191--1.107567))+0-349.2--0.53427600000002</f>
        <v>1528.358029</v>
      </c>
      <c r="Q243" s="3">
        <f>2271.2+(692.2-911.7)+(-2.316624+(-0.706044--0.929934))+0-514.3--0.524586000000082</f>
        <v>1535.831852</v>
      </c>
      <c r="R243" s="3">
        <f>2086.6+(708.6-678.8)+(-3.192498+(-1.084158--1.038564))+0-615--0.940950000000036</f>
        <v>1499.102858</v>
      </c>
      <c r="S243" s="3">
        <f>2011.6+(640.6-584.7)+(-3.077748+(-0.980118--0.894591))+0-548.5--0.839205000000032</f>
        <v>1516.6759300000001</v>
      </c>
      <c r="T243" s="3">
        <f>2058+(702.2-595)+(-4.19832+(-1.432488--1.2138))+0-648.8--1.32355199999997</f>
        <v>1513.306544</v>
      </c>
      <c r="U243" s="3">
        <f>1996.6+(629.1-582.9)+(0+(0-0))+0-517.4-0</f>
        <v>1525.4</v>
      </c>
      <c r="V243" s="3">
        <f>2184+(771.8-705)+(0+(0-0))+0-677.2-0</f>
        <v>1573.6000000000001</v>
      </c>
      <c r="W243" s="3">
        <f>3466.6+(648.8-1681.7)+(1.767966+(0.330888-0.857667))+0-543.9-0.277388999999945</f>
        <v>1890.763798</v>
      </c>
      <c r="X243" s="3">
        <f>3630.6+(678.2-1867.4)+(0+(0-0))+0-605.8-0</f>
        <v>1835.5999999999997</v>
      </c>
      <c r="Y243" s="3">
        <f>3191.4+(708.5-1595.4)+(1.627614+(0.361335-0.813654))+0-534.5-0.272594999999946</f>
        <v>1770.9027000000001</v>
      </c>
      <c r="Z243" s="3">
        <f>3031.6+(739.8-1416.8)+(-3.092232+(-0.754596--1.445136))+0-663.6--0.676872000000106</f>
        <v>1689.2751800000001</v>
      </c>
      <c r="AA243" s="3">
        <f>2561.9+(765.3-1139.4)+(-2.613138+(-0.780606--1.162188))+0-587.7--0.599454000000094</f>
        <v>1598.4678980000001</v>
      </c>
      <c r="AB243" s="3">
        <f>2328.9+(814.3-1036.3)+(-4.750956+(-1.661172--2.114052))+0-619.2--1.26316799999997</f>
        <v>1484.665092</v>
      </c>
      <c r="AC243" s="3">
        <f>2371.4+(461-764.4)+(-4.837656+(-0.94044--1.559376))+0-649.6--1.32518399999997</f>
        <v>1415.5064640000003</v>
      </c>
      <c r="AD243">
        <v>1867.1999999999998</v>
      </c>
      <c r="AE243" s="3">
        <f>3927+(650.7-2086.6)+(0+(0-0))+0-623.9-0</f>
        <v>1867.2000000000003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1913+(470.7-581.6)+(0+(0-0))+0-590.4-0</f>
        <v>1211.6999999999998</v>
      </c>
      <c r="G244" s="3">
        <f>1785.5+(469.1-515.6)+(-4.553025+(-1.196205--1.31478))+0-626.7--1.59808499999991</f>
        <v>1109.4636349999998</v>
      </c>
      <c r="H244" s="3">
        <f>1911.3+(452.2-663.4)+(2.924289+(0.691866-1.015002))+0-595-0.910350000000034</f>
        <v>1106.7908029999999</v>
      </c>
      <c r="I244" s="3">
        <f>1794.6+(415.3-583.4)+(-1.830492+(-0.423606--0.595068))+0-554.8--0.565896000000088</f>
        <v>1070.6068660000001</v>
      </c>
      <c r="J244" s="3">
        <f>1863.3+(469.2-658.4)+(4.751415+(1.19646-1.67892))+0-608.4-1.55141999999991</f>
        <v>1068.4175349999998</v>
      </c>
      <c r="K244" s="3">
        <f>1865.8+(542.5-719.9)+(0.951558+(0.276675-0.367149))+0-564.5-0.287894999999943</f>
        <v>1124.473189</v>
      </c>
      <c r="L244" s="3">
        <f>1990.8+(528.4-715.5)+(-3.045924+(-0.808452--1.094715))+0-543.3--0.831249000000031</f>
        <v>1258.4715879999999</v>
      </c>
      <c r="M244" s="3">
        <f>1865.4+(564.4-544.6)+(0.951354+(0.287844-0.277746))+0-669-0.341189999999932</f>
        <v>1216.8202620000002</v>
      </c>
      <c r="N244" s="3">
        <f>2281.4+(492.6-887.2)+(1.163514+(0.251226-0.452472))+0-441.7-0.225266999999955</f>
        <v>1445.8370010000001</v>
      </c>
      <c r="O244" s="3">
        <f>2777+(626-1350.8)+(-5.66508+(-1.27704--2.755632))+0-617--1.25867999999997</f>
        <v>1432.2721919999999</v>
      </c>
      <c r="P244" s="3">
        <f>3383.7+(444.6-1729.8)+(-1.725687+(-0.226746--0.882198))+0-480--0.244799999999951</f>
        <v>1617.6745649999998</v>
      </c>
      <c r="Q244" s="3">
        <f>3647.6+(565.9-1996.3)+(1.860276+(0.288609-1.018113))+0-516-0.263159999999948</f>
        <v>1702.0676119999998</v>
      </c>
      <c r="R244" s="3">
        <f>3396+(579.3-1658.4)+(-5.19588+(-0.886329--2.537352))+0-621.4--0.950742000000036</f>
        <v>1692.9058849999997</v>
      </c>
      <c r="S244" s="3">
        <f>3088.2+(434.8-1469.6)+(-4.724946+(-0.665244--2.248488))+0-452.1--0.691713000000026</f>
        <v>1598.8500109999998</v>
      </c>
      <c r="T244" s="3">
        <f>2898+(520.3-1290.5)+(-1.47798+(-0.265353--0.658155))+0-503.4--0.256733999999949</f>
        <v>1623.5715560000003</v>
      </c>
      <c r="U244" s="3">
        <f>2848.1+(669.8-1375.3)+(-4.357593+(-1.024794--2.104209))+0-516--0.78948000000003</f>
        <v>1624.111302</v>
      </c>
      <c r="V244" s="3">
        <f>3061.3+(704.5-1488.7)+(-1.561263+(-0.359295--0.759237))+0-539.4--0.275093999999945</f>
        <v>1736.8137730000001</v>
      </c>
      <c r="W244" s="3">
        <f>4684+(600.2-2667.1)+(2.38884+(0.306102-1.360221))+0-555.6-0.283355999999944</f>
        <v>2062.5513650000007</v>
      </c>
      <c r="X244" s="3">
        <f>4533.9+(604.4-2428.2)+(-9.249156+(-1.232976--4.953528))+0-642.4--1.31049599999997</f>
        <v>2063.4818919999998</v>
      </c>
      <c r="Y244" s="3">
        <f>3929.8+(682.8-2105.5)+(0+(0-0))+0-578.3-0</f>
        <v>1928.8000000000004</v>
      </c>
      <c r="Z244" s="3">
        <f>3325.6+(772.7-1711.2)+(-1.696056+(-0.394077--0.872712))+0-590.2--0.30100199999994</f>
        <v>1795.983581</v>
      </c>
      <c r="AA244" s="3">
        <f>2607.3+(785.9-1061.1)+(-7.978338+(-2.404854--3.246966))+0-607.4--1.85864400000007</f>
        <v>1719.4224180000003</v>
      </c>
      <c r="AB244" s="3">
        <f>2468.6+(564.5-825)+(-2.517972+(-0.57579--0.8415))+0-573.7--0.585174000000092</f>
        <v>1632.7329119999999</v>
      </c>
      <c r="AC244" s="3">
        <f>2157+(513.2-516.8)+(-7.70049+(-1.832124--1.844976))+0-644.3--2.30015100000001</f>
        <v>1503.7125130000002</v>
      </c>
      <c r="AD244">
        <v>1996.7999999999997</v>
      </c>
      <c r="AE244" s="3">
        <f>5209+(570.7-3101)+(0+(0-0))+0-681.9-0</f>
        <v>1996.7999999999997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2023.6+(394.4-501)+(-3.096108+(-0.603432--0.76653))+0-481.1--0.736083000000028</f>
        <v>1433.7030729999999</v>
      </c>
      <c r="G245" s="3">
        <f>1954.7+(407.9-445.4)+(-1.993794+(-0.416058--0.454308))+0-570.4--0.581808000000091</f>
        <v>1345.4262640000004</v>
      </c>
      <c r="H245" s="3">
        <f>1931.9+(340.1-485)+(0+(0-0))+0-469.3-0</f>
        <v>1317.7</v>
      </c>
      <c r="I245" s="3">
        <f>1930.9+(314.8-339.2)+(0+(0-0))+0-617.1-0</f>
        <v>1289.4000000000001</v>
      </c>
      <c r="J245" s="3">
        <f>2075.2+(333.8-543.5)+(2.116704+(0.340476-0.55437))+0-503.8-0.51387600000008</f>
        <v>1363.0889339999999</v>
      </c>
      <c r="K245" s="3">
        <f>1985.7+(318.1-347.2)+(2.025414+(0.324462-0.354144))+0-654.9-0.667998000000104</f>
        <v>1303.027734</v>
      </c>
      <c r="L245" s="3">
        <f>2024.2+(312.1-359.8)+(3.097026+(0.477513-0.550494))+0-540-0.826200000000031</f>
        <v>1438.6978449999999</v>
      </c>
      <c r="M245" s="3">
        <f>2145+(454.9-552.1)+(3.28185+(0.695997-0.844713))+0-620.6-0.949518000000036</f>
        <v>1429.3836159999998</v>
      </c>
      <c r="N245" s="3">
        <f>2486+(491.8-967.2)+(-1.26786+(-0.250818--0.493272))+0-568.7--0.290036999999942</f>
        <v>1441.1646309999999</v>
      </c>
      <c r="O245" s="3">
        <f>2790.6+(498.6-1162.4)+(-1.423206+(-0.254286--0.592824))+0-568.5--0.289934999999942</f>
        <v>1557.5052669999998</v>
      </c>
      <c r="P245" s="3">
        <f>3192.8+(417-1592.1)+(-1.628328+(-0.21267--0.811971))+0-397.6--0.20277599999996</f>
        <v>1619.2737490000002</v>
      </c>
      <c r="Q245" s="3">
        <f>3302.2+(630.8-1820.3)+(-5.052366+(-0.965124--2.785059))+0-513.8--0.78611400000003</f>
        <v>1596.453683</v>
      </c>
      <c r="R245" s="3">
        <f>3022.7+(707-1502.5)+(-4.624731+(-1.08171--2.298825))+0-575.5--0.880515000000033</f>
        <v>1649.1728989999999</v>
      </c>
      <c r="S245" s="3">
        <f>2877.6+(475.3-1196.7)+(-5.870304+(-0.969612--2.441268))+0-579.4--1.18197599999997</f>
        <v>1573.5833279999999</v>
      </c>
      <c r="T245" s="3">
        <f>2536.1+(436.6-945.8)+(-1.293411+(-0.222666--0.482358))+0-410.6--0.209405999999958</f>
        <v>1615.4756870000001</v>
      </c>
      <c r="U245" s="3">
        <f>2563.3+(459.8-1082.1)+(3.921849+(0.703494-1.655613))+0-671.4-1.02724200000004</f>
        <v>1271.542488</v>
      </c>
      <c r="V245" s="3">
        <f>3112.2+(444.9-1468.1)+(-7.93611+(-1.134495--3.743655))+0-597--1.52234999999991</f>
        <v>1488.1953999999998</v>
      </c>
      <c r="W245" s="3">
        <f>4098.9+(285-1756.4)+(2.090439+(0.14535-0.895764))+0-593-0.30242999999994</f>
        <v>2035.5375949999996</v>
      </c>
      <c r="X245" s="3">
        <f>4166.5+(257.1-2012.4)+(-12.74949+(-0.786726--6.157944))+0-593.1--1.81488600000007</f>
        <v>1812.5366140000001</v>
      </c>
      <c r="Y245" s="3">
        <f>3953.2+(273.2-1899.2)+(-4.032264+(-0.278664--1.937184))+0-556.7--0.567834000000089</f>
        <v>1768.69409</v>
      </c>
      <c r="Z245" s="3">
        <f>3510.5+(349.8-1619.4)+(-7.16142+(-0.713592--3.303576))+0-524.3--1.06957199999998</f>
        <v>1713.0981359999994</v>
      </c>
      <c r="AA245" s="3">
        <f>3325.2+(365.4-1657.9)+(-8.47926+(-0.93177--4.227645))+0-369--0.940949999999946</f>
        <v>1659.4575649999997</v>
      </c>
      <c r="AB245" s="3">
        <f>3123.4+(363-1340.3)+(-4.778802+(-0.55539--2.050659))+0-539.3--0.825129000000031</f>
        <v>1604.3415960000007</v>
      </c>
      <c r="AC245" s="3">
        <f>2914.1+(356.5-1235.6)+(-2.972382+(-0.36363--1.260312))+0-550.5--0.561510000000088</f>
        <v>1482.9858099999999</v>
      </c>
      <c r="AD245">
        <v>1801.6</v>
      </c>
      <c r="AE245" s="3">
        <f>4449+(225.2-2175.5)+(0+(0-0))+0-697.1-0</f>
        <v>1801.6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2222.5+(279.5-655.2)+(2.26695+(0.28509-0.668304))+0-472.5-0.481950000000075</f>
        <v>1375.7017859999999</v>
      </c>
      <c r="G246" s="3">
        <f>2072.2+(311-460.3)+(-2.113644+(-0.31722--0.469506))+0-640--0.652800000000102</f>
        <v>1281.5914419999999</v>
      </c>
      <c r="H246" s="3">
        <f>2114.3+(308-600.5)+(1.078293+(0.15708-0.306255))+0-593.3-0.30258299999994</f>
        <v>1229.1265350000003</v>
      </c>
      <c r="I246" s="3">
        <f>2352.7+(235.6-709.3)+(1.199877+(0.120156-0.361743))+0-661.1-0.337160999999933</f>
        <v>1218.5211290000002</v>
      </c>
      <c r="J246" s="3">
        <f>2099.4+(275.6-582.5)+(-2.141388+(-0.281112--0.59415))+0-562.4--0.57364800000009</f>
        <v>1228.8452980000002</v>
      </c>
      <c r="K246" s="3">
        <f>2132.9+(288.2-549.7)+(2.175558+(0.293964-0.560694))+0-594.7-0.606594000000095</f>
        <v>1278.002234</v>
      </c>
      <c r="L246" s="3">
        <f>2089.9+(324.2-451.1)+(-2.131698+(-0.330684--0.460122))+0-561.7--0.57293400000009</f>
        <v>1399.870674</v>
      </c>
      <c r="M246" s="3">
        <f>2306.4+(281.5-513.8)+(-1.176264+(-0.143565--0.262038))+0-619.2--0.315791999999937</f>
        <v>1454.158001</v>
      </c>
      <c r="N246" s="3">
        <f>2684.9+(219.1-897.1)+(0+(0-0))+0-513-0</f>
        <v>1493.9</v>
      </c>
      <c r="O246" s="3">
        <f>3212.8+(217.9-1453.1)+(1.638528+(0.111129-0.741081))+0-451.5-0.230264999999954</f>
        <v>1526.8783110000004</v>
      </c>
      <c r="P246" s="3">
        <f>3471.4+(191.4-1606.8)+(-3.540828+(-0.195228--1.638936))+0-500.2--0.51020400000008</f>
        <v>1554.2130840000002</v>
      </c>
      <c r="Q246" s="3">
        <f>3341.6+(234.6-1592.5)+(-8.52108+(-0.59823--4.060875))+0-401.2--1.02305999999994</f>
        <v>1578.4646249999998</v>
      </c>
      <c r="R246" s="3">
        <f>2935+(308.6-1176.7)+(-4.49055+(-0.472158--1.800351))+0-507.7--0.776781000000029</f>
        <v>1556.8144239999999</v>
      </c>
      <c r="S246" s="3">
        <f>2873.1+(275.6-1139.7)+(-2.930562+(-0.281112--1.162494))+0-487--0.496740000000078</f>
        <v>1520.4475600000001</v>
      </c>
      <c r="T246" s="3">
        <f>3038+(276.3-1344.9)+(4.64814+(0.422739-2.057697))+0-466.1-0.713133000000027</f>
        <v>1505.6000489999999</v>
      </c>
      <c r="U246" s="3">
        <f>3157.1+(306.5-1452.6)+(1.610121+(0.156315-0.740826))+0-512.7-0.261476999999948</f>
        <v>1499.0641329999999</v>
      </c>
      <c r="V246" s="3">
        <f>3314.3+(301.9-1565.8)+(0+(0-0))+0-484.1-0</f>
        <v>1566.3000000000002</v>
      </c>
      <c r="W246" s="3">
        <f>4846.8+(121.8-2534.3)+(0+(0-0))+0-616.9-0</f>
        <v>1817.4</v>
      </c>
      <c r="X246" s="3">
        <f>4393+(134.5-2072.2)+(-6.72129+(-0.205785--3.170466))+0-538.8--0.824364000000031</f>
        <v>1913.5677550000003</v>
      </c>
      <c r="Y246" s="3">
        <f>3587.3+(186.8-1456)+(-9.147615+(-0.47634--3.7128))+0-436.8--1.11383999999994</f>
        <v>1876.5026850000006</v>
      </c>
      <c r="Z246" s="3">
        <f>2973.9+(240-983.7)+(0+(0-0))+0-391.8-0</f>
        <v>1838.3999999999999</v>
      </c>
      <c r="AA246" s="3">
        <f>2689+(286.5-619.4)+(-6.85695+(-0.730575--1.57947))+0-610.9--1.55779499999991</f>
        <v>1740.74974</v>
      </c>
      <c r="AB246" s="3">
        <f>2614+(337.9-650.9)+(-5.33256+(-0.689316--1.327836))+0-580.3--1.18381199999997</f>
        <v>1717.1897720000002</v>
      </c>
      <c r="AC246" s="3">
        <f>2448.9+(287.7-637.3)+(-4.995756+(-0.586908--1.300092))+0-573.4--1.16973599999998</f>
        <v>1522.7871640000001</v>
      </c>
      <c r="AD246">
        <v>1889.9</v>
      </c>
      <c r="AE246" s="3">
        <f>5208+(118.5-2729)+(0+(0-0))+0-707.6-0</f>
        <v>1889.9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2470.7+(295.8-841.3)+(-3.780171+(-0.452574--1.287189))+0-505--0.772650000000029</f>
        <v>1418.027094</v>
      </c>
      <c r="G247" s="3">
        <f>2321.5+(346.7-667.3)+(0+(0-0))+0-662.6-0</f>
        <v>1338.3000000000002</v>
      </c>
      <c r="H247" s="3">
        <f>2298.6+(325.1-833.8)+(0+(0-0))+0-501-0</f>
        <v>1288.9000000000001</v>
      </c>
      <c r="I247" s="3">
        <f>2140.2+(369.1-613.1)+(0+(0-0))+0-635.3-0</f>
        <v>1260.8999999999999</v>
      </c>
      <c r="J247" s="3">
        <f>2206.2+(365.8-701.3)+(4.500648+(0.746232-1.430652))+0-614.4-1.25337599999997</f>
        <v>1258.862852</v>
      </c>
      <c r="K247" s="3">
        <f>2159.7+(421-658.5)+(4.405788+(0.85884-1.34334))+0-616.3-1.25725199999997</f>
        <v>1308.564036</v>
      </c>
      <c r="L247" s="3">
        <f>2153.3+(451.5-609.3)+(2.196366+(0.46053-0.621486))+0-579.2-0.590784000000092</f>
        <v>1417.7446260000002</v>
      </c>
      <c r="M247" s="3">
        <f>2211.9+(422.9-571.1)+(0+(0-0))+0-585-0</f>
        <v>1478.6999999999998</v>
      </c>
      <c r="N247" s="3">
        <f>2445.4+(355.6-758.9)+(1.247154+(0.181356-0.387039))+0-539.9-0.275348999999945</f>
        <v>1502.9661220000003</v>
      </c>
      <c r="O247" s="3">
        <f>3019.6+(319.8-1318.3)+(3.079992+(0.326196-1.344666))+0-458-0.467160000000073</f>
        <v>1564.6943619999997</v>
      </c>
      <c r="P247" s="3">
        <f>3546.1+(248.7-1802.1)+(-1.808511+(-0.126837--0.919071))+0-452.4--0.230723999999954</f>
        <v>1539.514447</v>
      </c>
      <c r="Q247" s="3">
        <f>3882.3+(241.4-1942.9)+(-11.879838+(-0.738684--5.945274))+0-565.8--1.73134800000007</f>
        <v>1610.0581000000002</v>
      </c>
      <c r="R247" s="3">
        <f>3248.3+(292.5-1497)+(-6.626532+(-0.5967--3.05388))+0-467.3--0.95329199999998</f>
        <v>1573.2839400000003</v>
      </c>
      <c r="S247" s="3">
        <f>3378+(293.5-1499.9)+(-1.72278+(-0.149685--0.764949))+0-543--0.276929999999945</f>
        <v>1627.7694139999999</v>
      </c>
      <c r="T247" s="3">
        <f>3268.5+(383.7-1567.9)+(0+(0-0))+0-581.4-0</f>
        <v>1502.9</v>
      </c>
      <c r="U247" s="3">
        <f>3081.3+(593.3-1790.7)+(1.571463+(0.302583-0.913257))+0-385.8-0.196757999999961</f>
        <v>1498.8640310000001</v>
      </c>
      <c r="V247" s="3">
        <f>3394.3+(577.6-1827)+(1.731093+(0.294576-0.93177))+0-585-0.298349999999941</f>
        <v>1560.695549</v>
      </c>
      <c r="W247" s="3">
        <f>4257.3+(682.9-2640.6)+(-2.171223+(-0.348279--1.346706))+0-426--0.217259999999957</f>
        <v>1872.6444640000004</v>
      </c>
      <c r="X247" s="3">
        <f>4035.5+(716.6-2256.3)+(0+(0-0))+0-482.8-0</f>
        <v>2012.9999999999998</v>
      </c>
      <c r="Y247" s="3">
        <f>3509.6+(799.4-1758.4)+(-7.159584+(-1.630776--3.587136))+0-615.2--1.25500799999997</f>
        <v>1931.4517839999999</v>
      </c>
      <c r="Z247" s="3">
        <f>3109.9+(713.9-1484.5)+(-1.586049+(-0.364089--0.757095))+0-432.1--0.220370999999956</f>
        <v>1906.2273279999999</v>
      </c>
      <c r="AA247" s="3">
        <f>2855.7+(838.1-1206.5)+(-5.825628+(-1.709724--2.46126))+0-630.6--1.28642399999997</f>
        <v>1852.9123319999999</v>
      </c>
      <c r="AB247" s="3">
        <f>2844.1+(727.1-1269.6)+(-4.351473+(-1.112463--1.942488))+0-479--0.732870000000028</f>
        <v>1819.811422</v>
      </c>
      <c r="AC247" s="3">
        <f>2695.1+(618.9-1046.9)+(-4.123503+(-0.946917--1.601757))+0-667.7--1.02158100000004</f>
        <v>1596.9529179999997</v>
      </c>
      <c r="AD247">
        <v>1965.9999999999998</v>
      </c>
      <c r="AE247" s="3">
        <f>4188+(694.4-2489.1)+(0+(0-0))+0-427.3-0</f>
        <v>1966.0000000000002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2286.8+(402.4-676.6)+(-2.332536+(-0.410448--0.690132))+0-511.8--0.522036000000082</f>
        <v>1499.2691840000002</v>
      </c>
      <c r="G248" s="3">
        <f>2265+(389.3-562.5)+(-2.3103+(-0.397086--0.57375))+0-672.4--0.685848000000107</f>
        <v>1417.9522120000001</v>
      </c>
      <c r="H248" s="3">
        <f>2202+(274.4-591.1)+(-2.24604+(-0.279888--0.602922))+0-531.9--0.542538000000085</f>
        <v>1352.0195320000003</v>
      </c>
      <c r="I248" s="3">
        <f>2135.4+(289.9-407.7)+(-1.089054+(-0.147849--0.207927))+0-685.6--0.34965599999993</f>
        <v>1331.3206799999998</v>
      </c>
      <c r="J248" s="3">
        <f>2218.5+(223.5-615.4)+(2.26287+(0.22797-0.627708))+0-509.4-0.519588000000081</f>
        <v>1318.5435439999997</v>
      </c>
      <c r="K248" s="3">
        <f>2204.7+(226.6-433)+(2.248794+(0.231132-0.44166))+0-630.5-0.643110000000101</f>
        <v>1369.1951559999995</v>
      </c>
      <c r="L248" s="3">
        <f>2298.2+(228.9-514.1)+(-1.172082+(-0.116739--0.262191))+0-540.3--0.275552999999945</f>
        <v>1471.9489229999997</v>
      </c>
      <c r="M248" s="3">
        <f>2438.9+(285.4-578.5)+(0+(0-0))+0-582.8-0</f>
        <v>1563.0000000000002</v>
      </c>
      <c r="N248" s="3">
        <f>2544.8+(255.9-757.8)+(-1.297848+(-0.130509--0.386478))+0-563--0.287129999999943</f>
        <v>1479.1452509999999</v>
      </c>
      <c r="O248" s="3">
        <f>3055.1+(425.3-1520.4)+(1.558101+(0.216903-0.775404))+0-412.1-0.210170999999958</f>
        <v>1548.6894289999998</v>
      </c>
      <c r="P248" s="3">
        <f>3710.4+(356.8-2014.2)+(-1.892304+(-0.181968--1.027242))+0-490--0.24989999999995</f>
        <v>1562.2028699999998</v>
      </c>
      <c r="Q248" s="3">
        <f>3947.6+(338.9-2345.6)+(-8.053104+(-0.691356--4.785024))+0-388.8--0.793151999999983</f>
        <v>1548.933716</v>
      </c>
      <c r="R248" s="3">
        <f>3577.4+(390.3-1851.7)+(-9.12237+(-0.995265--4.721835))+0-566.6--1.44482999999992</f>
        <v>1545.4490300000002</v>
      </c>
      <c r="S248" s="3">
        <f>2978.7+(411-1409.5)+(-6.076548+(-0.83844--2.87538))+0-459.4--0.93717599999998</f>
        <v>1517.6975679999996</v>
      </c>
      <c r="T248" s="3">
        <f>2771.9+(416-1281)+(-4.241007+(-0.63648--1.95993))+0-500.5--0.765765000000029</f>
        <v>1404.2482080000002</v>
      </c>
      <c r="U248" s="3">
        <f>3064+(573.4-1767.1)+(-3.12528+(-0.584868--1.802442))+0-467.1--0.476442000000075</f>
        <v>1401.7687360000004</v>
      </c>
      <c r="V248" s="3">
        <f>3227.6+(610.4-1830.9)+(-3.292152+(-0.622608--1.867518))+0-482.6--0.492252000000077</f>
        <v>1522.9450099999999</v>
      </c>
      <c r="W248" s="3">
        <f>4312.5+(506.8-2482.3)+(2.199375+(0.258468-1.265973))+0-506-0.258059999999949</f>
        <v>1831.9338100000002</v>
      </c>
      <c r="X248" s="3">
        <f>4405+(626.9-2435.6)+(-13.4793+(-1.918314--7.452936))+0-562.4--1.72094400000006</f>
        <v>2027.6762660000004</v>
      </c>
      <c r="Y248" s="3">
        <f>3876.3+(632.8-1859.3)+(-13.838391+(-2.259096--6.637701))+0-634.2--2.26409400000001</f>
        <v>2008.4043080000004</v>
      </c>
      <c r="Z248" s="3">
        <f>3500.1+(673.3-1617.6)+(-5.355153+(-1.030149--2.474928))+0-576.4--0.881892000000033</f>
        <v>1976.3715180000002</v>
      </c>
      <c r="AA248" s="3">
        <f>3351.5+(621.4-1524.4)+(-3.41853+(-0.633828--1.554888))+0-583--0.594660000000093</f>
        <v>1863.5971900000004</v>
      </c>
      <c r="AB248" s="3">
        <f>3038.4+(625.9-1427.6)+(-4.648752+(-0.957627--2.184228))+0-458.3--0.701199000000027</f>
        <v>1775.6790480000002</v>
      </c>
      <c r="AC248" s="3">
        <f>3052.2+(702.8-1392.9)+(-1.556622+(-0.358428--0.710379))+0-690.7--0.35225699999993</f>
        <v>1670.5475859999995</v>
      </c>
      <c r="AD248">
        <v>2034.6</v>
      </c>
      <c r="AE248" s="3">
        <f>4522+(620-2428.3)+(0+(0-0))+0-679.1-0</f>
        <v>2034.6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2068.2+(397.7-628)+(-3.164346+(-0.608481--0.96084))+0-512.7--0.78443100000003</f>
        <v>1323.1724439999998</v>
      </c>
      <c r="G249" s="3">
        <f>2082.5+(429.5-577.7)+(-2.12415+(-0.43809--0.589254))+0-562.4--0.57364800000009</f>
        <v>1370.5006619999999</v>
      </c>
      <c r="H249" s="3">
        <f>2089+(377.9-586.5)+(-4.26156+(-0.770916--1.19646))+0-535.6--1.09262399999998</f>
        <v>1342.0566079999999</v>
      </c>
      <c r="I249" s="3">
        <f>2218.7+(264.3-667.2)+(2.263074+(0.269586-0.680544))+0-399.2-0.407184000000064</f>
        <v>1418.0449319999996</v>
      </c>
      <c r="J249" s="3">
        <f>2214.9+(335.2-471.1)+(-4.518396+(-0.683808--0.961044))+0-694.6--1.41698399999997</f>
        <v>1381.575824</v>
      </c>
      <c r="K249" s="3">
        <f>2133.1+(267.6-503.1)+(-3.263643+(-0.409428--0.769743))+0-489.4--0.748782000000028</f>
        <v>1406.0454540000001</v>
      </c>
      <c r="L249" s="3">
        <f>2299+(284.9-479.4)+(0+(0-0))+0-612.2-0</f>
        <v>1492.3</v>
      </c>
      <c r="M249" s="3">
        <f>2290.7+(276-550.1)+(0+(0-0))+0-468.8-0</f>
        <v>1547.8</v>
      </c>
      <c r="N249" s="3">
        <f>2508.4+(335.6-600.1)+(2.558568+(0.342312-0.612102))+0-625-0.6375000000001</f>
        <v>1620.5512780000001</v>
      </c>
      <c r="O249" s="3">
        <f>3051.6+(413.5-1249.4)+(-1.556316+(-0.210885--0.637194))+0-552--0.281519999999944</f>
        <v>1662.8515129999996</v>
      </c>
      <c r="P249" s="3">
        <f>3720.2+(411.7-2016.9)+(-1.897302+(-0.209967--1.028619))+0-543.6--0.277235999999945</f>
        <v>1570.5985860000001</v>
      </c>
      <c r="Q249" s="3">
        <f>3939+(494.8-2212.2)+(-6.02667+(-0.757044--3.384666))+0-520.8--0.79682400000003</f>
        <v>1698.1977760000002</v>
      </c>
      <c r="R249" s="3">
        <f>3675.5+(402.9-1882.4)+(-7.49802+(-0.821916--3.840096))+0-553.8--1.12975199999998</f>
        <v>1638.8499120000001</v>
      </c>
      <c r="S249" s="3">
        <f>3098.4+(639.8-1544)+(3.160368+(0.652596-1.57488))+3-545-0.555900000000087</f>
        <v>1653.8821839999998</v>
      </c>
      <c r="T249" s="3">
        <f>3603.8+(764.7-2131.4)+(-1.837938+(-0.389997--1.087014))+0-616.6--0.314465999999937</f>
        <v>1619.6735450000003</v>
      </c>
      <c r="U249" s="3">
        <f>3879.4+(742.7-2414.1)+(-1.978494+(-0.378777--1.231191))+0-581.3--0.296462999999941</f>
        <v>1625.8703829999999</v>
      </c>
      <c r="V249" s="3">
        <f>3528.5+(761-1967.9)+(-1.799535+(-0.38811--1.003629))+0-640.8--0.326807999999935</f>
        <v>1679.9427919999998</v>
      </c>
      <c r="W249" s="3">
        <f>4476.5+(596.7-2577.4)+(2.283015+(0.304317-1.314474))+0-513.1-0.261680999999948</f>
        <v>1983.7111770000001</v>
      </c>
      <c r="X249" s="3">
        <f>4096.8+(605.3-2055.4)+(-12.536208+(-1.852218--6.289524))+0-628.7--1.92382200000007</f>
        <v>2011.8249199999996</v>
      </c>
      <c r="Y249" s="3">
        <f>3658.6+(641.2-1780.3)+(-5.597658+(-0.981036--2.723859))+0-551.8--0.844254000000032</f>
        <v>1964.689419</v>
      </c>
      <c r="Z249" s="3">
        <f>3257+(644.5-1384.5)+(-6.64428+(-1.31478--2.82438))+0-569.9--1.16259599999998</f>
        <v>1943.1279159999997</v>
      </c>
      <c r="AA249" s="3">
        <f>2927.8+(515.7-991.6)+(-2.986356+(-0.526014--1.011432))+0-528.4--0.538968000000084</f>
        <v>1921.5380299999999</v>
      </c>
      <c r="AB249" s="3">
        <f>2547.1+(417.5-591.2)+(-3.897063+(-0.638775--0.904536))+0-634.9--0.971397000000037</f>
        <v>1735.8400949999998</v>
      </c>
      <c r="AC249" s="3">
        <f>2409.7+(378.5-588.2)+(-7.373682+(-1.15821--1.799892))+0-572.1--1.75062600000007</f>
        <v>1622.9186260000001</v>
      </c>
      <c r="AD249">
        <v>2181.8999999999996</v>
      </c>
      <c r="AE249" s="3">
        <f>4733+(602-2480.3)+(0+(0-0))+0-672.8-0</f>
        <v>2181.8999999999996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2385.9+(268.6-838.9)+(2.433618+(0.273972-0.855678))+0-477.7-0.487254000000076</f>
        <v>1339.2646580000001</v>
      </c>
      <c r="G250" s="3">
        <f>2139.4+(342.2-563)+(-3.273282+(-0.523566--0.86139))+0-641.3--0.981189000000037</f>
        <v>1275.3457310000003</v>
      </c>
      <c r="H250" s="3">
        <f>2091.2+(415.3-597.1)+(-3.199536+(-0.635409--0.913563))+0-529.4--0.809982000000031</f>
        <v>1377.8886</v>
      </c>
      <c r="I250" s="3">
        <f>1977.3+(535.3-543.5)+(-2.016846+(-0.546006--0.55437))+0-607.8--0.619956000000097</f>
        <v>1359.911474</v>
      </c>
      <c r="J250" s="3">
        <f>2008.4+(537.9-569.7)+(-3.072852+(-0.822987--0.871641))+0-572.2--0.875466000000033</f>
        <v>1402.2512679999998</v>
      </c>
      <c r="K250" s="3">
        <f>2111.6+(337.7-516.8)+(-2.153832+(-0.344454--0.527136))+0-536.4--0.547128000000086</f>
        <v>1394.6759780000002</v>
      </c>
      <c r="L250" s="3">
        <f>2023.9+(407.4-293.4)+(-7.225323+(-1.454418--1.047438))+0-673.4--2.40403800000001</f>
        <v>1459.271735</v>
      </c>
      <c r="M250" s="3">
        <f>2028.1+(218.5-364.9)+(-2.068662+(-0.22287--0.372198))+0-402.5--0.410550000000064</f>
        <v>1477.6912159999999</v>
      </c>
      <c r="N250" s="3">
        <f>2078.1+(351.9-345.7)+(1.059831+(0.179469-0.176307))+0-567.7-0.289526999999942</f>
        <v>1517.3734659999998</v>
      </c>
      <c r="O250" s="3">
        <f>2176.5+(336.5-371.2)+(-5.550075+(-0.858075--0.94656))+0-540.4--1.37801999999992</f>
        <v>1597.3164300000001</v>
      </c>
      <c r="P250" s="3">
        <f>2542.5+(336.1-657.6)+(-3.890025+(-0.514233--1.006128))+0-577.9--0.884187000000033</f>
        <v>1640.586057</v>
      </c>
      <c r="Q250" s="3">
        <f>2626.3+(236.9-746.1)+(-2.678826+(-0.241638--0.761022))+0-505.4--0.515508000000081</f>
        <v>1610.0560660000003</v>
      </c>
      <c r="R250" s="3">
        <f>2498.7+(228.6-741.2)+(-5.097348+(-0.466344--1.512048))+0-518.9--1.05855599999998</f>
        <v>1464.2069120000001</v>
      </c>
      <c r="S250" s="3">
        <f>2547.6+(196.9-697)+(-3.897828+(-0.301257--1.06641))+0-550.6--0.842418000000032</f>
        <v>1494.6097429999998</v>
      </c>
      <c r="T250" s="3">
        <f>2422.5+(201.2-692)+(0+(0-0))+0-505.8-0</f>
        <v>1425.9</v>
      </c>
      <c r="U250" s="3">
        <f>2295+(285.3-561)+(-1.17045+(-0.145503--0.28611))+0-556.7--0.283916999999944</f>
        <v>1461.8540739999999</v>
      </c>
      <c r="V250" s="3">
        <f>2574.2+(460.9-956.2)+(2.625684+(0.470118-0.975324))+0-480.7-0.490314000000077</f>
        <v>1599.8301639999993</v>
      </c>
      <c r="W250" s="3">
        <f>3675.8+(586.3-1835.3)+(5.623974+(0.897039-2.808009))+0-582.8-0.891684000000034</f>
        <v>1846.8213200000005</v>
      </c>
      <c r="X250" s="3">
        <f>3559.3+(602.6-1667.1)+(-3.630486+(-0.614652--1.700442))+0-495--0.504900000000079</f>
        <v>1997.7602040000004</v>
      </c>
      <c r="Y250" s="3">
        <f>3210.4+(617.9-1247.8)+(-3.274608+(-0.630258--1.272756))+0-536.6--0.547332000000086</f>
        <v>2041.8152220000002</v>
      </c>
      <c r="Z250" s="3">
        <f>2757.9+(639-877.6)+(-2.813058+(-0.65178--0.895152))+0-572.1--0.583542000000091</f>
        <v>1945.2138560000005</v>
      </c>
      <c r="AA250" s="3">
        <f>2769.8+(612.6-911)+(-4.237794+(-0.937278--1.39383))+0-566.6--0.866898000000033</f>
        <v>1901.8856560000002</v>
      </c>
      <c r="AB250" s="3">
        <f>2493.1+(691-850)+(-1.271481+(-0.35241--0.4335))+0-534.3--0.272492999999946</f>
        <v>1798.8821019999998</v>
      </c>
      <c r="AC250" s="3">
        <f>2363.4+(692.4-805.1)+(-3.616002+(-1.059372--1.231803))+0-550--0.841500000000032</f>
        <v>1698.097929</v>
      </c>
      <c r="AD250">
        <v>2116.8999999999996</v>
      </c>
      <c r="AE250" s="3">
        <f>4041+(593.7-2006.9)+(0+(0-0))+0-510.9-0</f>
        <v>2116.9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1934.3+(570.1-409.4)+(-0.986493+(-0.290751--0.208794))+0-522.7--0.266576999999947</f>
        <v>1571.4981269999996</v>
      </c>
      <c r="G251" s="3">
        <f>1919.5+(467.1-338.1)+(0+(0-0))+0-573.7-0</f>
        <v>1474.8</v>
      </c>
      <c r="H251" s="3">
        <f>1977.6+(418-409.5)+(2.017152+(0.42636-0.41769))+0-573.3-0.584766000000091</f>
        <v>1414.2410559999998</v>
      </c>
      <c r="I251" s="3">
        <f>2069.1+(433.6-464)+(5.276205+(1.10568-1.1832))+0-666.8-1.7003399999999</f>
        <v>1375.3983450000001</v>
      </c>
      <c r="J251" s="3">
        <f>1967.4+(418.1-456.1)+(-1.003374+(-0.213231--0.232611))+0-548.6--0.279785999999944</f>
        <v>1380.0957919999998</v>
      </c>
      <c r="K251" s="3">
        <f>1986.6+(468.5-482.2)+(4.052664+(0.95574-0.983688))+0-529.3-1.07977199999998</f>
        <v>1446.5449439999998</v>
      </c>
      <c r="L251" s="3">
        <f>2102.7+(547.3-404.9)+(3.217131+(0.837369-0.619497))+0-684.6-1.04743800000004</f>
        <v>1562.887565</v>
      </c>
      <c r="M251" s="3">
        <f>2018.3+(565.9-404.6)+(-2.058666+(-0.577218--0.412692))+0-541.4--0.552228000000086</f>
        <v>1636.5290359999999</v>
      </c>
      <c r="N251" s="3">
        <f>2789+(405.3-895.2)+(2.84478+(0.413406-0.913104))+0-610.9-0.623118000000097</f>
        <v>1689.9219639999994</v>
      </c>
      <c r="O251" s="3">
        <f>3191.5+(469.5-1543.6)+(-4.882995+(-0.718335--2.361708))+0-463.4--0.709002000000027</f>
        <v>1651.46938</v>
      </c>
      <c r="P251" s="3">
        <f>3771.1+(457.6-2041.3)+(3.846522+(0.466752-2.082126))+0-459.9-0.469098000000073</f>
        <v>1729.2620499999998</v>
      </c>
      <c r="Q251" s="3">
        <f>4074.2+(600.2-2393.9)+(0+(0-0))+0-580.3-0</f>
        <v>1700.2</v>
      </c>
      <c r="R251" s="3">
        <f>3572.6+(715.5-1927.7)+(-5.466078+(-1.094715--2.949381))+0-508.6--0.778158000000029</f>
        <v>1848.9667459999996</v>
      </c>
      <c r="S251" s="3">
        <f>3367.2+(629-1726.6)+(-1.717272+(-0.32079--0.880566))+0-571.1--0.291260999999942</f>
        <v>1697.633765</v>
      </c>
      <c r="T251" s="3">
        <f>3233.3+(366-1515.4)+(-1.648983+(-0.18666--0.772854))+0-569.8--0.290597999999942</f>
        <v>1513.3278090000001</v>
      </c>
      <c r="U251" s="3">
        <f>3213.7+(412.2-1533.2)+(-4.916961+(-0.630666--2.345796))+0-507.2--0.776016000000029</f>
        <v>1583.0741849999999</v>
      </c>
      <c r="V251" s="3">
        <f>3568.6+(527.2-1932.2)+(3.639972+(0.537744-1.970844))+0-433.3-0.441966000000069</f>
        <v>1732.0649060000001</v>
      </c>
      <c r="W251" s="3">
        <f>4968.3+(590.4-2872.8)+(2.533833+(0.301104-1.465128))+0-607.5-0.309824999999938</f>
        <v>2079.4599840000001</v>
      </c>
      <c r="X251" s="3">
        <f>4800.5+(689.7-2705)+(-7.344765+(-1.055241--4.13865))+0-606.4--0.927792000000035</f>
        <v>2175.4664359999997</v>
      </c>
      <c r="Y251" s="3">
        <f>4275.3+(753.2-2365.7)+(-2.180403+(-0.384132--1.206507))+0-517.8--0.264077999999947</f>
        <v>2143.9060500000005</v>
      </c>
      <c r="Z251" s="3">
        <f>3623+(795.6-1735.6)+(-3.69546+(-0.811512--1.770312))+0-614.1--0.626382000000098</f>
        <v>2066.789722</v>
      </c>
      <c r="AA251" s="3">
        <f>2983.3+(605.7-1078.9)+(-3.042966+(-0.617814--1.100478))+0-471.6--0.481032000000075</f>
        <v>2036.4207300000007</v>
      </c>
      <c r="AB251" s="3">
        <f>2723.5+(634.5-868.8)+(-1.388985+(-0.323595--0.443088))+0-623.8--0.318137999999937</f>
        <v>1864.4486459999998</v>
      </c>
      <c r="AC251" s="3">
        <f>2365.8+(429.2-583.8)+(-1.206558+(-0.218892--0.297738))+0-459.1--0.234140999999953</f>
        <v>1751.2064290000003</v>
      </c>
      <c r="AD251">
        <v>2239.0999999999995</v>
      </c>
      <c r="AE251" s="3">
        <f>5091+(604.9-2812.9)+(0+(0-0))+0-643.9-0</f>
        <v>2239.1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2360+(457.5-586.7)+(-2.4072+(-0.46665--0.598434))+0-574.6--0.586092000000092</f>
        <v>1654.5106760000003</v>
      </c>
      <c r="G252" s="3">
        <f>2228.9+(450.6-572.1)+(-2.273478+(-0.459612--0.583542))+0-540.8--0.551616000000086</f>
        <v>1565.0020680000005</v>
      </c>
      <c r="H252" s="3">
        <f>2052.8+(507.6-494.4)+(2.093856+(0.517752-0.504288))+0-560.5-0.571710000000089</f>
        <v>1507.0356099999999</v>
      </c>
      <c r="I252" s="3">
        <f>2007+(435.7-480)+(3.07071+(0.666621-0.7344))+0-496-0.758880000000029</f>
        <v>1468.9440509999999</v>
      </c>
      <c r="J252" s="3">
        <f>2014.3+(436.5-452.3)+(5.136465+(1.113075-1.153365))+0-573.6-1.46267999999992</f>
        <v>1428.5334949999999</v>
      </c>
      <c r="K252" s="3">
        <f>2131.8+(430.6-551.8)+(3.261654+(0.658818-0.844254))+0-499.7-0.764541000000029</f>
        <v>1513.2116770000002</v>
      </c>
      <c r="L252" s="3">
        <f>2229.5+(542.3-363.2)+(-4.54818+(-1.106292--0.740928))+0-651.3--1.32865199999997</f>
        <v>1753.7151079999999</v>
      </c>
      <c r="M252" s="3">
        <f>2193.9+(399.7-410.6)+(-1.118889+(-0.203847--0.209406))+0-481.8--0.245717999999951</f>
        <v>1700.3323879999998</v>
      </c>
      <c r="N252" s="3">
        <f>2565.7+(424.9-798.6)+(2.617014+(0.433398-0.814572))+0-503.1-0.51316200000008</f>
        <v>1690.6226779999997</v>
      </c>
      <c r="O252" s="3">
        <f>2904+(562.3-1398.4)+(0+(0-0))+0-525.7-0</f>
        <v>1542.1999999999996</v>
      </c>
      <c r="P252" s="3">
        <f>3467.7+(545.3-1815.9)+(1.768527+(0.278103-0.926109))+0-506.8-0.258467999999949</f>
        <v>1691.1620529999993</v>
      </c>
      <c r="Q252" s="3">
        <f>3541.9+(490.3-1923.6)+(-3.612738+(-0.500106--1.962072))+0-445.4--0.454308000000071</f>
        <v>1661.5035360000004</v>
      </c>
      <c r="R252" s="3">
        <f>3332.3+(509.4-1529.9)+(-10.196838+(-1.558764--4.681494))+0-543--1.66158000000006</f>
        <v>1763.3874720000003</v>
      </c>
      <c r="S252" s="3">
        <f>3027.7+(537.3-1315.6)+(-7.720635+(-1.370115--3.35478))+0-622.8--1.58813999999991</f>
        <v>1622.4521699999993</v>
      </c>
      <c r="T252" s="3">
        <f>2778.7+(540.5-1445.6)+(-2.834274+(-0.55131--1.474512))+0-433.3--0.441966000000069</f>
        <v>1438.8308939999999</v>
      </c>
      <c r="U252" s="3">
        <f>2752.5+(784.1-1361)+(2.80755+(0.799782-1.38822))+0-586.4-0.598128000000093</f>
        <v>1590.820984</v>
      </c>
      <c r="V252" s="3">
        <f>3353.2+(604.8-1785)+(3.420264+(0.616896-1.8207))+0-476-0.485520000000076</f>
        <v>1698.7309399999999</v>
      </c>
      <c r="W252" s="3">
        <f>4715.6+(800.6-2892.6)+(7.214868+(1.224918-4.425678))+0-588.5-0.900405000000034</f>
        <v>2038.2137030000001</v>
      </c>
      <c r="X252" s="3">
        <f>4762.5+(738.5-2768.5)+(-7.286625+(-1.129905--4.235805))+0-559.8--0.856494000000032</f>
        <v>2169.3757689999998</v>
      </c>
      <c r="Y252" s="3">
        <f>4271.9+(484.2-2012.7)+(-4.357338+(-0.493884--2.052954))+0-643.5--0.656370000000103</f>
        <v>2097.7581019999998</v>
      </c>
      <c r="Z252" s="3">
        <f>4000.3+(571.5-1924.5)+(-2.040153+(-0.291465--0.981495))+0-590.3--0.30105299999994</f>
        <v>2055.95093</v>
      </c>
      <c r="AA252" s="3">
        <f>3565.6+(549.6-1494.8)+(-3.636912+(-0.560592--1.524696))+0-609.7--0.621894000000097</f>
        <v>2008.6490860000004</v>
      </c>
      <c r="AB252" s="3">
        <f>3176.2+(325.6-1079.3)+(-9.719172+(-0.996336--3.302658))+0-541.5--1.65699000000006</f>
        <v>1875.2441399999998</v>
      </c>
      <c r="AC252" s="3">
        <f>2367.1+(509.6-434.9)+(-6.036105+(-1.29948--1.108995))+0-653.9--1.66744499999991</f>
        <v>1783.3408549999997</v>
      </c>
      <c r="AD252">
        <v>2158.1999999999998</v>
      </c>
      <c r="AE252" s="3">
        <f>5284+(845.7-3285.5)+(0+(0-0))+0-686-0</f>
        <v>2158.1999999999998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2221.8+(408.7-435.8)+(-1.133118+(-0.208437--0.222258))+0-572.7--0.292076999999942</f>
        <v>1621.1727799999999</v>
      </c>
      <c r="G253" s="3">
        <f>2191.1+(332.5-447.3)+(-4.469844+(-0.6783--0.912492))+0-604.7--1.23358799999997</f>
        <v>1468.5979359999999</v>
      </c>
      <c r="H253" s="3">
        <f>2164.5+(346.2-460.3)+(3.311685+(0.529686-0.704259))+0-613.6-0.938808000000036</f>
        <v>1438.998304</v>
      </c>
      <c r="I253" s="3">
        <f>2066.1+(382.3-382.4)+(-3.161133+(-0.584919--0.585072))+0-590.9--0.904077000000034</f>
        <v>1472.8430969999999</v>
      </c>
      <c r="J253" s="3">
        <f>2061.4+(391.3-462.8)+(4.205256+(0.798252-0.944112))+0-571.9-1.16667599999997</f>
        <v>1420.8927200000001</v>
      </c>
      <c r="K253" s="3">
        <f>2012.5+(519.5-423.9)+(1.026375+(0.264945-0.216189))+0-669-0.341189999999932</f>
        <v>1439.8339410000001</v>
      </c>
      <c r="L253" s="3">
        <f>2168.4+(538.5-550.6)+(-1.105884+(-0.274635--0.280806))+0-570.3--0.290852999999942</f>
        <v>1585.1911400000001</v>
      </c>
      <c r="M253" s="3">
        <f>2327.8+(502.4-685.9)+(-1.187178+(-0.256224--0.349809))+0-535.3--0.273002999999946</f>
        <v>1608.1794100000002</v>
      </c>
      <c r="N253" s="3">
        <f>2470.6+(318.1-790.1)+(-1.260006+(-0.162231--0.402951))+0-432.5--0.220574999999956</f>
        <v>1565.301289</v>
      </c>
      <c r="O253" s="3">
        <f>2968.5+(191.4-1041.9)+(-1.513935+(-0.097614--0.531369))+0-527.6--0.269075999999946</f>
        <v>1589.5888960000002</v>
      </c>
      <c r="P253" s="3">
        <f>3206.9+(319.9-1452)+(-1.635519+(-0.163149--0.74052))+0-483.8--0.246737999999951</f>
        <v>1590.1885900000002</v>
      </c>
      <c r="Q253" s="3">
        <f>3440.2+(197-1505.5)+(-5.263506+(-0.30141--2.303415))+0-510.9--0.781677000000029</f>
        <v>1618.3201759999997</v>
      </c>
      <c r="R253" s="3">
        <f>2921.5+(173.3-977.6)+(-4.469895+(-0.265149--1.495728))+0-527--0.806310000000031</f>
        <v>1587.7669939999996</v>
      </c>
      <c r="S253" s="3">
        <f>2681.2+(194.6-826.7)+(-1.367412+(-0.099246--0.421617))+0-474.8--0.242147999999952</f>
        <v>1573.4971070000001</v>
      </c>
      <c r="T253" s="3">
        <f>3068.8+(105.3-1183.3)+(4.695264+(0.161109-1.810449))+0-460.7-0.704871000000027</f>
        <v>1532.441053</v>
      </c>
      <c r="U253" s="3">
        <f>2940.5+(147.3-1074.7)+(0+(0-0))+0-491.6-0</f>
        <v>1521.5</v>
      </c>
      <c r="V253" s="3">
        <f>2973.2+(305.5-1148.3)+(-6.065328+(-0.62322--2.342532))+0-482.6--0.984503999999979</f>
        <v>1644.4384879999998</v>
      </c>
      <c r="W253" s="3">
        <f>4484.6+(796-2758.3)+(2.287146+(0.40596-1.406733))+0-557.8-0.284477999999943</f>
        <v>1965.5018950000001</v>
      </c>
      <c r="X253" s="3">
        <f>4307.2+(846.1-2480.1)+(-6.590016+(-1.294533--3.794553))+0-565.9--0.865827000000033</f>
        <v>2104.0758309999997</v>
      </c>
      <c r="Y253" s="3">
        <f>3916.6+(838.9-2185.7)+(0+(0-0))+0-487.1-0</f>
        <v>2082.7000000000003</v>
      </c>
      <c r="Z253" s="3">
        <f>3507+(860.4-1759.5)+(0+(0-0))+0-569.6-0</f>
        <v>2038.3000000000002</v>
      </c>
      <c r="AA253" s="3">
        <f>3164.1+(672.4-1289.8)+(-6.454764+(-1.371696--2.631192))+0-574.6--1.17218399999998</f>
        <v>1968.076916</v>
      </c>
      <c r="AB253" s="3">
        <f>2477.4+(639.6-740.8)+(-8.844318+(-2.283372--2.644656))+0-505.1--1.80320700000001</f>
        <v>1864.4201730000004</v>
      </c>
      <c r="AC253" s="3">
        <f>1993.1+(798.3-501.2)+(-5.082405+(-2.035665--1.27806))+0-551.3--1.40581499999992</f>
        <v>1734.4658049999998</v>
      </c>
      <c r="AD253">
        <v>2107.2999999999997</v>
      </c>
      <c r="AE253" s="3">
        <f>4940+(831.5-3108.3)+(0+(0-0))+0-555.9-0</f>
        <v>2107.2999999999997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1928.4+(514.6-365.7)+(-6.884388+(-1.837122--1.305549))+0-472.2--1.68575400000001</f>
        <v>1599.3697930000001</v>
      </c>
      <c r="G254" s="3">
        <f>1891.5+(476.6-384.2)+(-3.85866+(-0.972264--0.783768))+0-520.9--1.06263599999998</f>
        <v>1460.0154799999998</v>
      </c>
      <c r="H254" s="3">
        <f>1888.8+(458.4-393.7)+(0+(0-0))+0-535.8-0</f>
        <v>1417.7</v>
      </c>
      <c r="I254" s="3">
        <f>1754.8+(552.5-328.7)+(-1.789896+(-0.56355--0.335274))+0-578.3--0.589866000000092</f>
        <v>1398.8716939999999</v>
      </c>
      <c r="J254" s="3">
        <f>1867.7+(485.6-359.7)+(0+(0-0))+0-581.2-0</f>
        <v>1412.4</v>
      </c>
      <c r="K254" s="3">
        <f>1883.3+(477.5-430.7)+(2.881449+(0.730575-0.658971))+0-518.8-0.79376400000003</f>
        <v>1413.4592889999999</v>
      </c>
      <c r="L254" s="3">
        <f>1869.9+(631.5-455.8)+(-3.814596+(-1.28826--0.929832))+0-546.5--1.11485999999998</f>
        <v>1496.0418360000001</v>
      </c>
      <c r="M254" s="3">
        <f>1863.7+(743.3-418.4)+(-0.950487+(-0.379083--0.213384))+0-584.1--0.297890999999941</f>
        <v>1603.6817049999997</v>
      </c>
      <c r="N254" s="3">
        <f>2350.6+(618.7-557.3)+(0+(0-0))+0-490.4-0</f>
        <v>1921.6</v>
      </c>
      <c r="O254" s="3">
        <f>3117.5+(635.5-1383.9)+(-1.589925+(-0.324105--0.705789))+0-562.4--0.286823999999943</f>
        <v>1805.778583</v>
      </c>
      <c r="P254" s="3">
        <f>3332.7+(467.4-1455.6)+(-6.798708+(-0.953496--2.969424))+0-432.4--0.882095999999981</f>
        <v>1908.199316</v>
      </c>
      <c r="Q254" s="3">
        <f>3567.7+(417.8-1690.1)+(-9.097635+(-1.06539--4.309755))+0-561.2--1.43105999999992</f>
        <v>1729.7777899999994</v>
      </c>
      <c r="R254" s="3">
        <f>3270.6+(333.3-1526.6)+(-8.34003+(-0.849915--3.89283))+0-305.1--0.778004999999956</f>
        <v>1767.6808900000003</v>
      </c>
      <c r="S254" s="3">
        <f>3136.7+(319.7-1190.7)+(-4.799151+(-0.489141--1.821771))+0-534.2--0.817326000000031</f>
        <v>1728.850805</v>
      </c>
      <c r="T254" s="3">
        <f>2999.3+(335.6-1132.3)+(-4.588929+(-0.513468--1.732419))+0-501.9--0.767907000000029</f>
        <v>1698.097929</v>
      </c>
      <c r="U254" s="3">
        <f>2930.6+(429.1-1166)+(-2.989212+(-0.437682--1.18932))+0-488.7--0.498474000000078</f>
        <v>1703.2608999999995</v>
      </c>
      <c r="V254" s="3">
        <f>3029.9+(513.9-1238.3)+(0+(0-0))+0-482.8-0</f>
        <v>1822.7</v>
      </c>
      <c r="W254" s="3">
        <f>4445.3+(692.8-2510.5)+(9.068412+(1.413312-5.12142))+0-482.6-0.984503999999979</f>
        <v>2149.3758000000003</v>
      </c>
      <c r="X254" s="3">
        <f>4437.2+(731.1-2478.7)+(-6.788916+(-1.118583--3.792411))+0-511.4--0.78244200000003</f>
        <v>2174.867354</v>
      </c>
      <c r="Y254" s="3">
        <f>3988.9+(645.6-1978.3)+(-12.206034+(-1.975536--6.053598))+0-531.1--1.62516600000006</f>
        <v>2118.5971940000009</v>
      </c>
      <c r="Z254" s="3">
        <f>3643+(571.6-1643.5)+(-5.57379+(-0.874548--2.514555))+0-520.7--0.79667100000003</f>
        <v>2047.262888</v>
      </c>
      <c r="AA254" s="3">
        <f>3531.8+(310.7-1326.3)+(-5.403654+(-0.475371--2.029239))+0-577.7--0.883881000000033</f>
        <v>1935.534095</v>
      </c>
      <c r="AB254" s="3">
        <f>3144.3+(294.7-1130.7)+(-1.603593+(-0.150297--0.576657))+0-501.2--0.255611999999949</f>
        <v>1806.1783790000002</v>
      </c>
      <c r="AC254" s="3">
        <f>2472.6+(529.3-630.5)+(-6.30513+(-1.349715--1.607775))+0-654.8--1.6697399999999</f>
        <v>1712.2226699999994</v>
      </c>
      <c r="AD254">
        <v>2208.6999999999998</v>
      </c>
      <c r="AE254" s="3">
        <f>4600+(816.2-2713.6)+(0+(0-0))+0-493.9-0</f>
        <v>2208.7000000000003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1936+(515.4-376.6)+(-3.94944+(-1.051416--0.768264))+0-441.5--0.900659999999981</f>
        <v>1629.9680680000004</v>
      </c>
      <c r="G255" s="3">
        <f>1954+(629.3-370.7)+(0.99654+(0.320943-0.189057))+0-669-0.341189999999932</f>
        <v>1544.3872360000003</v>
      </c>
      <c r="H255" s="3">
        <f>1839.6+(524.2-497.2)+(1.876392+(0.534684-0.507144))+0-365.3-0.372606000000058</f>
        <v>1502.8313259999998</v>
      </c>
      <c r="I255" s="3">
        <f>1747.3+(742.4-370.1)+(-2.673369+(-1.135872--0.566253))+0-630.7--0.964971000000037</f>
        <v>1486.621983</v>
      </c>
      <c r="J255" s="3">
        <f>1758+(589-378.4)+(-0.89658+(-0.30039--0.192984))+0-491--0.25040999999995</f>
        <v>1476.8464239999998</v>
      </c>
      <c r="K255" s="3">
        <f>1846.6+(670.9-388.5)+(3.767064+(1.368636-0.79254))+0-600.6-1.22522399999997</f>
        <v>1531.517936</v>
      </c>
      <c r="L255" s="3">
        <f>1939+(641.5-398.4)+(0+(0-0))+0-527-0</f>
        <v>1655.1</v>
      </c>
      <c r="M255" s="3">
        <f>1981.1+(717.7-428.6)+(-1.010361+(-0.366027--0.218586))+0-509.6--0.259895999999948</f>
        <v>1759.7020939999998</v>
      </c>
      <c r="N255" s="3">
        <f>2791.2+(286.3-682.6)+(0+(0-0))+0-629.3-0</f>
        <v>1765.5999999999997</v>
      </c>
      <c r="O255" s="3">
        <f>3336.3+(105-1212.9)+(0+(0-0))+0-378.1-0</f>
        <v>1850.3000000000002</v>
      </c>
      <c r="P255" s="3">
        <f>3771.8+(105.9-1497.3)+(-1.923618+(-0.054009--0.763623))+0-595.3--0.30360299999994</f>
        <v>1784.1895990000005</v>
      </c>
      <c r="Q255" s="3">
        <f>3573+(91.2-1528.1)+(-1.82223+(-0.046512--0.779331))+0-382.5--0.195074999999961</f>
        <v>1752.7056640000003</v>
      </c>
      <c r="R255" s="3">
        <f>3343.5+(119.7-1195.7)+(0+(0-0))+0-505.2-0</f>
        <v>1762.3</v>
      </c>
      <c r="S255" s="3">
        <f>3113.4+(143.7-1033.4)+(0+(0-0))+0-485.6-0</f>
        <v>1738.1</v>
      </c>
      <c r="T255" s="3">
        <f>3058.8+(173.4-998.1)+(3.119976+(0.176868-1.018062))+0-514.1-0.524382000000082</f>
        <v>1721.7544000000003</v>
      </c>
      <c r="U255" s="3">
        <f>2987.8+(161.2-957.6)+(-3.047556+(-0.164424--0.976752))+0-441.8--0.45063600000007</f>
        <v>1747.8154080000002</v>
      </c>
      <c r="V255" s="3">
        <f>3115.7+(189.4-1042.2)+(0+(0-0))+0-449.8-0</f>
        <v>1813.0999999999997</v>
      </c>
      <c r="W255" s="3">
        <f>3916.3+(376.5-1692)+(0+(0-0))+0-500.8-0</f>
        <v>2100</v>
      </c>
      <c r="X255" s="3">
        <f>3632.2+(627.2-1514.6)+(-5.557266+(-0.959616--2.317338))+0-519.9--0.79544700000003</f>
        <v>2221.495903</v>
      </c>
      <c r="Y255" s="3">
        <f>3560.2+(612.3-1401)+(-7.262808+(-1.249092--2.85804))+0-587--1.19747999999997</f>
        <v>2180.0436199999999</v>
      </c>
      <c r="Z255" s="3">
        <f>3083.5+(626.1-1074)+(-3.14517+(-0.638622--1.09548))+0-528.2--0.538764000000084</f>
        <v>2105.2504519999993</v>
      </c>
      <c r="AA255" s="3">
        <f>2865.5+(698.4-932.7)+(-4.384215+(-1.068552--1.427031))+0-589.8--0.902394000000034</f>
        <v>2038.2766579999998</v>
      </c>
      <c r="AB255" s="3">
        <f>2264.2+(864.1-633.4)+(-4.618968+(-1.762764--1.292136))+0-523.8--1.06855199999998</f>
        <v>1967.0789559999998</v>
      </c>
      <c r="AC255" s="3">
        <f>1973.2+(918.6-481.7)+(-4.025328+(-1.873944--0.982668))+0-528.6--1.07834399999998</f>
        <v>1877.66174</v>
      </c>
      <c r="AD255">
        <v>2226</v>
      </c>
      <c r="AE255" s="3">
        <f>4238+(491.3-1911.4)+(0+(0-0))+0-591.9-0</f>
        <v>2225.9999999999995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1926.9+(679.2-353.6)+(-2.948157+(-1.039176--0.541008))+0-487.4--0.745722000000028</f>
        <v>1762.3993970000001</v>
      </c>
      <c r="G256" s="3">
        <f>1871.9+(687.5-326.7)+(-7.637352+(-2.805--1.332936))+0-570.8--2.32886399999995</f>
        <v>1655.1194480000004</v>
      </c>
      <c r="H256" s="3">
        <f>1898.3+(523.1-347.4)+(-6.776931+(-1.867467--1.240218))+0-487.5--1.74037500000001</f>
        <v>1580.8361950000001</v>
      </c>
      <c r="I256" s="3">
        <f>2051.9+(503.4-373.8)+(-4.185876+(-1.026936--0.762552))+0-509.4--1.03917599999998</f>
        <v>1668.6889159999998</v>
      </c>
      <c r="J256" s="3">
        <f>2092.1+(566.8-345.4)+(-1.066971+(-0.289068--0.176154))+0-546--0.278459999999945</f>
        <v>1766.598575</v>
      </c>
      <c r="K256" s="3">
        <f>1939.4+(578.5-378.3)+(0+(0-0))+0-523.1-0</f>
        <v>1616.5</v>
      </c>
      <c r="L256" s="3">
        <f>2010.8+(715-376.7)+(-2.051016+(-0.7293--0.384234))+0-635.3--0.648006000000101</f>
        <v>1712.0519239999999</v>
      </c>
      <c r="M256" s="3">
        <f>2104.7+(558.5-364.5)+(1.073397+(0.284835-0.185895))+0-538.1-0.274430999999945</f>
        <v>1761.4979059999998</v>
      </c>
      <c r="N256" s="3">
        <f>2465.1+(571.3-593)+(2.514402+(0.582726-0.60486))+0-655-0.668100000000104</f>
        <v>1790.2241679999995</v>
      </c>
      <c r="O256" s="3">
        <f>3235.6+(279.3-1196.5)+(-1.650156+(-0.142443--0.610215))+0-495.9--0.25290899999995</f>
        <v>1821.5705249999994</v>
      </c>
      <c r="P256" s="3">
        <f>3916.5+(309.4-1771.1)+(0+(0-0))+0-644.9-0</f>
        <v>1809.9</v>
      </c>
      <c r="Q256" s="3">
        <f>4082.9+(231.5-2032.3)+(-6.246837+(-0.354195--3.109419))+0-460--0.703800000000027</f>
        <v>1819.3121870000002</v>
      </c>
      <c r="R256" s="3">
        <f>3696.6+(165.1-1494.7)+(-11.311596+(-0.505206--4.573782))+0-619.3--1.89505800000007</f>
        <v>1742.3520380000002</v>
      </c>
      <c r="S256" s="3">
        <f>2947+(195.5-819.7)+(-7.51485+(-0.498525--2.090235))+0-653.5--1.66642499999991</f>
        <v>1665.0432850000002</v>
      </c>
      <c r="T256" s="3">
        <f>2647.7+(370.1-706.5)+(1.350327+(0.188751-0.360315))+0-681.8-0.347717999999931</f>
        <v>1630.3310449999997</v>
      </c>
      <c r="U256" s="3">
        <f>2776.6+(243.5-761.3)+(-4.248198+(-0.372555--1.164789))+0-524.7--0.80279100000003</f>
        <v>1731.446827</v>
      </c>
      <c r="V256" s="3">
        <f>2970.7+(248.5-839.7)+(0+(0-0))+0-598-0</f>
        <v>1781.5</v>
      </c>
      <c r="W256" s="3">
        <f>3969.2+(531.7-1790)+(-2.024292+(-0.271167--0.9129))+0-642.1--0.327470999999935</f>
        <v>2067.7449119999997</v>
      </c>
      <c r="X256" s="3">
        <f>3522+(582.1-1428.3)+(3.59244+(0.593742-1.456866))+0-471.7-0.481134000000075</f>
        <v>2206.3481820000002</v>
      </c>
      <c r="Y256" s="3">
        <f>3089+(622.5-906.4)+(-6.30156+(-1.2699--1.849056))+0-650--1.32599999999997</f>
        <v>2150.7035959999998</v>
      </c>
      <c r="Z256" s="3">
        <f>2571.6+(662.7-631.6)+(-5.246064+(-1.351908--1.288464))+0-526.3--1.07365199999998</f>
        <v>2072.1641440000003</v>
      </c>
      <c r="AA256" s="3">
        <f>2524.4+(712.2-698.9)+(1.287444+(0.363222-0.356439))+0-535.6-0.273155999999946</f>
        <v>2003.1210710000003</v>
      </c>
      <c r="AB256" s="3">
        <f>2518.7+(746.6-724.8)+(-1.284537+(-0.380766--0.369648))+0-621.6--0.317015999999937</f>
        <v>1917.9213610000002</v>
      </c>
      <c r="AC256" s="3">
        <f>2358.4+(557.2-462.8)+(-3.608352+(-0.852516--0.708084))+0-627.3--0.959769000000036</f>
        <v>1822.7069850000005</v>
      </c>
      <c r="AD256">
        <v>2208.8000000000002</v>
      </c>
      <c r="AE256" s="3">
        <f>3873+(559.7-1796.7)+(0+(0-0))+0-427.2-0</f>
        <v>2208.8000000000002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2401.4+(599.9-663.5)+(-6.12357+(-1.529745--1.691925))+0-530.2--1.35200999999992</f>
        <v>1802.99062</v>
      </c>
      <c r="G257" s="3">
        <f>2069.5+(723-511.8)+(-2.11089+(-0.73746--0.522036))+0-590.4--0.602208000000094</f>
        <v>1688.5758939999998</v>
      </c>
      <c r="H257" s="3">
        <f>1956.4+(609.1-444.4)+(-1.995528+(-0.621282--0.453288))+0-557.5--0.568650000000089</f>
        <v>1562.0051280000007</v>
      </c>
      <c r="I257" s="3">
        <f>2000.3+(608-492.3)+(-1.020153+(-0.31008--0.251073))+0-574--0.292739999999942</f>
        <v>1541.2135800000001</v>
      </c>
      <c r="J257" s="3">
        <f>1996.5+(637.1-493.1)+(-1.018215+(-0.324921--0.251481))+0-568.1--0.289730999999942</f>
        <v>1571.5980759999998</v>
      </c>
      <c r="K257" s="3">
        <f>2201.1+(584.8-602.4)+(4.490244+(1.192992-1.228896))+0-615.5-1.25561999999997</f>
        <v>1571.1987199999999</v>
      </c>
      <c r="L257" s="3">
        <f>2114.9+(632.1-529.6)+(-2.157198+(-0.644742--0.540192))+0-602.7--0.614754000000096</f>
        <v>1613.0530060000003</v>
      </c>
      <c r="M257" s="3">
        <f>2093+(641.2-439.6)+(0+(0-0))+0-612.7-0</f>
        <v>1681.8999999999999</v>
      </c>
      <c r="N257" s="3">
        <f>2137.5+(601.4-508.3)+(0+(0-0))+0-484.2-0</f>
        <v>1746.3999999999999</v>
      </c>
      <c r="O257" s="3">
        <f>2573.9+(485-619.9)+(-1.312689+(-0.24735--0.316149))+0-634.6--0.323645999999936</f>
        <v>1803.4797559999997</v>
      </c>
      <c r="P257" s="3">
        <f>2873.2+(419.5-918.4)+(-4.395996+(-0.641835--1.405152))+0-552.1--0.844713000000032</f>
        <v>1819.4120339999999</v>
      </c>
      <c r="Q257" s="3">
        <f>3093.7+(306.4-1062.9)+(-6.311148+(-0.625056--2.168316))+0-579.9--1.18299599999997</f>
        <v>1753.7151079999999</v>
      </c>
      <c r="R257" s="3">
        <f>3041.1+(355.9-965.6)+(-7.754805+(-0.907545--2.46228))+0-647--1.64984999999991</f>
        <v>1779.8497799999998</v>
      </c>
      <c r="S257" s="3">
        <f>2652.9+(340.6-745.6)+(-2.705958+(-0.347412--0.760512))+0-514--0.524280000000082</f>
        <v>1732.1314220000004</v>
      </c>
      <c r="T257" s="3">
        <f>2633.5+(400.7-680.7)+(0+(0-0))+0-629.6-0</f>
        <v>1723.9</v>
      </c>
      <c r="U257" s="3">
        <f>2628.6+(403.2-693.6)+(4.021758+(0.616896-1.061208))+0-616.7-0.943551000000036</f>
        <v>1724.1338949999995</v>
      </c>
      <c r="V257" s="3">
        <f>2799.3+(427.4-821.2)+(0+(0-0))+0-582.2-0</f>
        <v>1823.3</v>
      </c>
      <c r="W257" s="3">
        <f>4239.9+(315.5-1882.5)+(-4.324698+(-0.32181--1.92015))+0-601.7--0.613734000000096</f>
        <v>2069.0873759999999</v>
      </c>
      <c r="X257" s="3">
        <f>4362.3+(334.4-1866.4)+(-2.224773+(-0.170544--0.951864))+0-630.2--0.321401999999936</f>
        <v>2198.9779490000005</v>
      </c>
      <c r="Y257" s="3">
        <f>4245.6+(330.5-1795.3)+(-6.495768+(-0.505665--2.746809))+0-625.4--0.956862000000036</f>
        <v>2152.1022379999999</v>
      </c>
      <c r="Z257" s="3">
        <f>3890.3+(329.9-1500.3)+(-3.968106+(-0.336498--1.530306))+0-637.6--0.650352000000102</f>
        <v>2080.1760540000005</v>
      </c>
      <c r="AA257" s="3">
        <f>3446.6+(369.3-1167.2)+(1.757766+(0.188343-0.595272))+0-613.2-0.312731999999938</f>
        <v>2036.5381049999999</v>
      </c>
      <c r="AB257" s="3">
        <f>3324.5+(421.7-1177.4)+(3.39099+(0.430134-1.200948))+0-621.5-0.633930000000099</f>
        <v>1949.2862459999999</v>
      </c>
      <c r="AC257" s="3">
        <f>2825.9+(431.3-780.1)+(0+(0-0))+0-605.6-0</f>
        <v>1871.5</v>
      </c>
      <c r="AD257">
        <v>2392.5</v>
      </c>
      <c r="AE257" s="3">
        <f>4650+(344-1888)+(0+(0-0))+0-713.5-0</f>
        <v>2392.5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2080.8+(734.4-463.7)+(-2.122416+(-0.749088--0.472974))+0-585.3--0.597006000000093</f>
        <v>1764.3984760000003</v>
      </c>
      <c r="G258" s="3">
        <f>2060.8+(705.6-551.8)+(-1.051008+(-0.359856--0.281418))+0-581.7--0.296666999999941</f>
        <v>1632.0672210000002</v>
      </c>
      <c r="H258" s="3">
        <f>2025.2+(661.5-501.6)+(-2.065704+(-0.67473--0.511632))+0-614.3--0.626586000000098</f>
        <v>1569.197784</v>
      </c>
      <c r="I258" s="3">
        <f>2000.3+(718.8-520.3)+(-1.020153+(-0.366588--0.265353))+0-640.9--0.326858999999935</f>
        <v>1557.1054710000001</v>
      </c>
      <c r="J258" s="3">
        <f>2040.2+(568.6-521.9)+(1.040502+(0.289986-0.266169))+0-559.7-0.285446999999943</f>
        <v>1527.9788720000001</v>
      </c>
      <c r="K258" s="3">
        <f>2241.1+(707.5-607.4)+(-1.142961+(-0.360825--0.309774))+0-691.5--0.35266499999993</f>
        <v>1648.8586529999998</v>
      </c>
      <c r="L258" s="3">
        <f>2225.6+(589.6-541.9)+(-1.135056+(-0.300696--0.276369))+0-557.5--0.284324999999943</f>
        <v>1714.9249419999999</v>
      </c>
      <c r="M258" s="3">
        <f>2250.6+(751.8-585.1)+(-3.443418+(-1.150254--0.895203))+0-621.6--0.951048000000036</f>
        <v>1792.952579</v>
      </c>
      <c r="N258" s="3">
        <f>2466+(650.4-672.6)+(-1.25766+(-0.331704--0.343026))+0-586.9--0.29931899999994</f>
        <v>1855.9529810000001</v>
      </c>
      <c r="O258" s="3">
        <f>2995.9+(590.5-1195.1)+(-3.055818+(-0.60231--1.219002))+0-497.3--0.507246000000079</f>
        <v>1892.0681200000001</v>
      </c>
      <c r="P258" s="3">
        <f>3559.6+(349.7-1574.9)+(-1.815396+(-0.178347--0.803199))+0-497.8--0.25387799999995</f>
        <v>1835.6633339999996</v>
      </c>
      <c r="Q258" s="3">
        <f>3870.9+(419.3-1858)+(-1.974159+(-0.213843--0.94758))+0-622--0.317219999999937</f>
        <v>1809.2767979999999</v>
      </c>
      <c r="R258" s="3">
        <f>3416.5+(434.9-1601.8)+(-6.96966+(-0.887196--3.267672))+0-496.7--1.01326799999998</f>
        <v>1749.3240839999999</v>
      </c>
      <c r="S258" s="3">
        <f>3338+(333.9-1249.3)+(-1.70238+(-0.170289--0.637143))+0-645.8--0.329357999999934</f>
        <v>1775.893832</v>
      </c>
      <c r="T258" s="3">
        <f>3205.7+(379.4-1231.9)+(-6.539628+(-0.773976--2.513076))+0-529.1--1.07936399999998</f>
        <v>1820.3788359999996</v>
      </c>
      <c r="U258" s="3">
        <f>3168+(520.4-1340.3)+(0+(0-0))+0-522.3-0</f>
        <v>1825.8</v>
      </c>
      <c r="V258" s="3">
        <f>3493.9+(604.1-1557.4)+(-1.781889+(-0.308091--0.794274))+0-553.3--0.282182999999944</f>
        <v>1986.2864770000001</v>
      </c>
      <c r="W258" s="3">
        <f>5174.3+(483.1-2830.3)+(-5.277786+(-0.492762--2.886906))+0-621--0.633420000000099</f>
        <v>2203.8497780000002</v>
      </c>
      <c r="X258" s="3">
        <f>4962.8+(579-2631.9)+(-10.124112+(-1.18116--5.369076))+0-569.5--1.16177999999998</f>
        <v>2335.6255839999999</v>
      </c>
      <c r="Y258" s="3">
        <f>4333.6+(598.1-2029.3)+(-11.05068+(-1.525155--5.174715))+0-587.4--1.49786999999991</f>
        <v>2309.0967500000002</v>
      </c>
      <c r="Z258" s="3">
        <f>3817.6+(683.3-1672.7)+(-5.840928+(-1.045449--2.559231))+0-589.3--0.901629000000034</f>
        <v>2235.474483</v>
      </c>
      <c r="AA258" s="3">
        <f>3432.3+(708.7-1398.9)+(-3.500946+(-0.722874--1.426878))+0-605.3--0.617406000000096</f>
        <v>2134.6204640000005</v>
      </c>
      <c r="AB258" s="3">
        <f>3188.9+(644.6-1190.2)+(-1.626339+(-0.328746--0.607002))+0-603.3--0.307682999999939</f>
        <v>2038.9596000000004</v>
      </c>
      <c r="AC258" s="3">
        <f>2919.5+(506.9-1115.8)+(0+(0-0))+0-528.1-0</f>
        <v>1782.5</v>
      </c>
      <c r="AD258">
        <v>2333.3999999999996</v>
      </c>
      <c r="AE258" s="3">
        <f>5578+(569.9-3183.7)+(0+(0-0))+0-630.8-0</f>
        <v>2333.4000000000005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2248.9+(653.8-395.2)+(-2.293878+(-0.666876--0.403104))+0-661.7--0.674934000000106</f>
        <v>1843.9172839999999</v>
      </c>
      <c r="G259" s="3">
        <f>2204.3+(545.3-423.5)+(-4.496772+(-1.112412--0.86394))+0-580.1--1.18340399999997</f>
        <v>1742.4381600000002</v>
      </c>
      <c r="H259" s="3">
        <f>2334.4+(545.3-601.8)+(-1.190544+(-0.278103--0.306918))+0-630.8--0.321707999999936</f>
        <v>1646.2599790000002</v>
      </c>
      <c r="I259" s="3">
        <f>2212.9+(522.7-561)+(-2.257158+(-0.533154--0.57222))+0-542.7--0.553554000000087</f>
        <v>1630.2354620000003</v>
      </c>
      <c r="J259" s="3">
        <f>2219.2+(482.7-559.5)+(-2.263584+(-0.492354--0.57069))+0-518.6--0.528972000000083</f>
        <v>1622.143724</v>
      </c>
      <c r="K259" s="3">
        <f>2289.2+(481.6-451.5)+(4.669968+(0.982464-0.92106))+0-654.9-1.33599599999997</f>
        <v>1667.7953759999998</v>
      </c>
      <c r="L259" s="3">
        <f>2281.5+(471-438.5)+(-4.65426+(-0.96084--0.89454))+0-583.7--1.19074799999997</f>
        <v>1726.7701879999997</v>
      </c>
      <c r="M259" s="3">
        <f>2309.2+(479.6-392.9)+(-2.355384+(-0.489192--0.400758))+0-607.7--0.619854000000097</f>
        <v>1786.3760359999994</v>
      </c>
      <c r="N259" s="3">
        <f>2579.3+(436.9-572.4)+(-1.315443+(-0.222819--0.291924))+0-579.9--0.295748999999941</f>
        <v>1862.9494110000001</v>
      </c>
      <c r="O259" s="3">
        <f>3055.4+(425.6-1020.3)+(0+(0-0))+0-532.1-0</f>
        <v>1928.6000000000004</v>
      </c>
      <c r="P259" s="3">
        <f>3709+(581.5-1827.3)+(-9.45795+(-1.482825--4.659615))+0-466.7--1.19008499999993</f>
        <v>1991.4089249999997</v>
      </c>
      <c r="Q259" s="3">
        <f>3712.8+(436.2-1735)+(-3.787056+(-0.444924--1.7697))+0-508.4--0.518568000000081</f>
        <v>1903.6562879999999</v>
      </c>
      <c r="R259" s="3">
        <f>3379.3+(463.5-1403.6)+(-13.787544+(-1.89108--5.726688))+0-553.3--2.25746399999995</f>
        <v>1878.2055280000004</v>
      </c>
      <c r="S259" s="3">
        <f>2876.4+(482.9-920.1)+(-2.933928+(-0.492558--0.938502))+0-555.5--0.566610000000089</f>
        <v>1881.778626</v>
      </c>
      <c r="T259" s="3">
        <f>2965.2+(493.6-1017.3)+(-4.536756+(-0.755208--1.556469))+0-576.5--0.882045000000033</f>
        <v>1862.1465500000002</v>
      </c>
      <c r="U259" s="3">
        <f>2731+(521.8-912.8)+(-4.17843+(-0.798354--1.396584))+0-465--0.711450000000027</f>
        <v>1872.1312500000001</v>
      </c>
      <c r="V259" s="3">
        <f>3201.1+(485.4-1116.1)+(4.897683+(0.742662-1.707633))+0-602.7-0.922131000000035</f>
        <v>1970.7105809999998</v>
      </c>
      <c r="W259" s="3">
        <f>4074.5+(318.9-1733.5)+(-2.077995+(-0.162639--0.884085))+0-467.9--0.238628999999953</f>
        <v>2190.8820799999999</v>
      </c>
      <c r="X259" s="3">
        <f>4417.2+(220.6-1678.3)+(-15.769404+(-0.787542--5.991531))+0-679--2.42403000000001</f>
        <v>2272.3586150000001</v>
      </c>
      <c r="Y259" s="3">
        <f>4337.9+(262.7-1781.2)+(-4.424658+(-0.267954--1.816824))+0-580.2--0.591804000000093</f>
        <v>2236.9160159999997</v>
      </c>
      <c r="Z259" s="3">
        <f>3923.2+(365.2-1530.7)+(-8.003328+(-0.745008--3.122628))+0-593.4--1.21053599999997</f>
        <v>2159.8848279999997</v>
      </c>
      <c r="AA259" s="3">
        <f>3668.4+(391.6-1449.4)+(-5.612652+(-0.599148--2.217582))+0-486.2--0.743886000000028</f>
        <v>2121.1496680000005</v>
      </c>
      <c r="AB259" s="3">
        <f>3465.1+(542.9-1437.2)+(-3.534402+(-0.553758--1.465944))+0-495.9--0.505818000000079</f>
        <v>2072.7836019999995</v>
      </c>
      <c r="AC259" s="3">
        <f>2730.7+(778.5-952.2)+(-4.177971+(-1.191105--1.456866))+0-523.1--0.80034300000003</f>
        <v>2030.7881330000002</v>
      </c>
      <c r="AD259">
        <v>2276.5</v>
      </c>
      <c r="AE259" s="3">
        <f>4596+(314.2-2049.9)+(0+(0-0))+0-583.8-0</f>
        <v>2276.5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2799.9+(708.7-1058)+(1.427949+(0.361437-0.53958))+0-566.9-0.289118999999943</f>
        <v>1884.6606870000001</v>
      </c>
      <c r="G260" s="3">
        <f>2421.5+(692-803.3)+(2.46993+(0.70584-0.819366))+0-530.3-0.540906000000084</f>
        <v>1781.7154979999998</v>
      </c>
      <c r="H260" s="3">
        <f>2384+(704.4-820.3)+(0+(0-0))+0-546.8-0</f>
        <v>1721.3</v>
      </c>
      <c r="I260" s="3">
        <f>2535.9+(693.9-999.7)+(5.173236+(1.415556-2.039388))+0-577.6-1.17830399999997</f>
        <v>1655.8710999999998</v>
      </c>
      <c r="J260" s="3">
        <f>2603.8+(652.5-1050.4)+(-2.655876+(-0.66555--1.071408))+0-581.5--0.593130000000093</f>
        <v>1622.7431120000001</v>
      </c>
      <c r="K260" s="3">
        <f>2587+(584.7-990.1)+(2.63874+(0.596394-1.009902))+0-553.5-0.564570000000088</f>
        <v>1629.7606619999997</v>
      </c>
      <c r="L260" s="3">
        <f>2275.7+(621.8-623)+(-5.803035+(-1.58559--1.58865))+0-594.6--1.51622999999991</f>
        <v>1675.6162550000001</v>
      </c>
      <c r="M260" s="3">
        <f>2134.4+(651.7-485.2)+(-1.088544+(-0.332367--0.247452))+0-595.9--0.30390899999994</f>
        <v>1704.1304499999999</v>
      </c>
      <c r="N260" s="3">
        <f>2325.6+(524.5-563.7)+(2.372112+(0.53499-0.574974))+0-508.7-0.518874000000081</f>
        <v>1779.5132539999995</v>
      </c>
      <c r="O260" s="3">
        <f>2445.5+(447.4-463.7)+(-4.98882+(-0.912696--0.945948))+0-585.8--1.19503199999997</f>
        <v>1839.6394640000001</v>
      </c>
      <c r="P260" s="3">
        <f>2472+(397.3-510.3)+(-1.26072+(-0.202623--0.260253))+0-520.5--0.265454999999947</f>
        <v>1837.562365</v>
      </c>
      <c r="Q260" s="3">
        <f>2466.6+(368.5-563.2)+(-7.547796+(-1.12761--1.723392))+0-502.4--1.53734400000006</f>
        <v>1764.0853299999997</v>
      </c>
      <c r="R260" s="3">
        <f>2280.4+(460.9-519.9)+(0+(0-0))+0-448.4-0</f>
        <v>1773</v>
      </c>
      <c r="S260" s="3">
        <f>2284.9+(434-534.3)+(0+(0-0))+0-440.5-0</f>
        <v>1744.1000000000004</v>
      </c>
      <c r="T260" s="3">
        <f>2284.3+(607.6-594)+(-5.824965+(-1.54938--1.5147))+0-547.2--1.39535999999992</f>
        <v>1746.235715</v>
      </c>
      <c r="U260" s="3">
        <f>2299.6+(499.9-602.6)+(3.518388+(0.764847-0.921978))+0-465.8-0.712674000000027</f>
        <v>1733.7485829999996</v>
      </c>
      <c r="V260" s="3">
        <f>2640+(385-716.3)+(-1.3464+(-0.19635--0.365313))+0-503.6--0.256835999999949</f>
        <v>1804.1793990000001</v>
      </c>
      <c r="W260" s="3">
        <f>3237.9+(333.7-849.6)+(0+(0-0))+0-651.8-0</f>
        <v>2070.1999999999998</v>
      </c>
      <c r="X260" s="3">
        <f>3061.5+(336.3-613.9)+(-10.929555+(-1.200591--2.191623))+0-587.9--2.09880300000001</f>
        <v>2188.1602800000001</v>
      </c>
      <c r="Y260" s="3">
        <f>2829.3+(406.3-576.6)+(-5.771772+(-0.828852--1.176264))+0-535.2--1.09180799999998</f>
        <v>2119.4674480000003</v>
      </c>
      <c r="Z260" s="3">
        <f>2759.7+(510.5-572.6)+(-4.222341+(-0.781065--0.876078))+0-679.5--1.03963500000004</f>
        <v>2015.012307</v>
      </c>
      <c r="AA260" s="3">
        <f>2775.2+(505.1-735.2)+(0+(0-0))+0-583.5-0</f>
        <v>1961.6</v>
      </c>
      <c r="AB260" s="3">
        <f>2810.6+(523.4-848)+(-2.866812+(-0.533868--0.86496))+0-622.6--0.635052000000099</f>
        <v>1861.4993320000003</v>
      </c>
      <c r="AC260" s="3">
        <f>2284.7+(545.1-533.1)+(-6.991182+(-1.668006--1.631286))+0-481--1.47186000000006</f>
        <v>1810.1439580000001</v>
      </c>
      <c r="AD260">
        <v>2207.6000000000004</v>
      </c>
      <c r="AE260" s="3">
        <f>3434.2+(304.4-766.8)+(0+(0-0))+0-764.2-0</f>
        <v>2207.5999999999995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1938.2+(546.5-369.4)+(-2.965446+(-0.836145--0.565182))+0-338--0.51714000000002</f>
        <v>1774.580731</v>
      </c>
      <c r="G261" s="3">
        <f>1893.7+(498.6-457.2)+(-1.931574+(-0.508572--0.466344))+0-227.6--0.232152000000036</f>
        <v>1705.7583500000003</v>
      </c>
      <c r="H261" s="3">
        <f>1661.9+(679.6-324)+(-3.390276+(-1.386384--0.66096))+0-380.5--0.776219999999983</f>
        <v>1633.6605199999999</v>
      </c>
      <c r="I261" s="3">
        <f>1583.4+(640.7-315.2)+(0+(0-0))+0-295.2-0</f>
        <v>1613.7</v>
      </c>
      <c r="J261" s="3">
        <f>1741.9+(710.8-312.9)+(0.888369+(0.362508-0.159579))+0-540.7-0.275756999999945</f>
        <v>1599.9155410000001</v>
      </c>
      <c r="K261" s="3">
        <f>1684.2+(738.3-326)+(-2.576826+(-1.129599--0.49878))+0-503.1--0.769743000000029</f>
        <v>1590.9620980000002</v>
      </c>
      <c r="L261" s="3">
        <f>1680.5+(908.7-313.9)+(-1.71411+(-0.926874--0.320178))+0-629--0.6415800000001</f>
        <v>1644.6207740000002</v>
      </c>
      <c r="M261" s="3">
        <f>1644.9+(897.4-324.1)+(-2.516697+(-1.373022--0.495873))+0-551.1--0.843183000000032</f>
        <v>1664.5493369999999</v>
      </c>
      <c r="N261" s="3">
        <f>1735.7+(788.7-330)+(-0.885207+(-0.402237--0.1683))+0-509.3--0.259742999999948</f>
        <v>1684.2405990000002</v>
      </c>
      <c r="O261" s="3">
        <f>1673.4+(746.2-322.4)+(0+(0-0))+0-464.8-0</f>
        <v>1632.4000000000003</v>
      </c>
      <c r="P261" s="3">
        <f>1670.2+(688.8-314.1)+(-5.110812+(-2.107728--0.961146))+0-476.4--1.45778400000006</f>
        <v>1563.7003900000002</v>
      </c>
      <c r="Q261" s="3">
        <f>1706.5+(664.8-303)+(-0.870315+(-0.339048--0.15453))+0-584.3--0.297992999999941</f>
        <v>1483.24316</v>
      </c>
      <c r="R261" s="3">
        <f>1722+(589.5-307)+(0.87822+(0.300645-0.15657))+0-481-0.245309999999951</f>
        <v>1524.276985</v>
      </c>
      <c r="S261" s="3">
        <f>1962+(520.8-361)+(3.00186+(0.796824-0.55233))+0-564.2-0.863226000000033</f>
        <v>1559.9831280000001</v>
      </c>
      <c r="T261" s="3">
        <f>1848+(726.9-324)+(-0.94248+(-0.370719--0.16524))+0-657.3--0.335222999999933</f>
        <v>1592.7872640000003</v>
      </c>
      <c r="U261" s="3">
        <f>1865+(627.1-330)+(-0.95115+(-0.319821--0.1683))+0-546.4--0.278663999999945</f>
        <v>1614.8759929999997</v>
      </c>
      <c r="V261" s="3">
        <f>2281+(378.7-371)+(-2.32662+(-0.386274--0.37842))+0-586.6--0.598332000000094</f>
        <v>1700.3638579999997</v>
      </c>
      <c r="W261" s="3">
        <f>2716+(323.8-444)+(0+(0-0))+0-585.8-0</f>
        <v>2010.0000000000002</v>
      </c>
      <c r="X261" s="3">
        <f>2722+(421.7-359.5)+(-6.9411+(-1.075335--0.916725))+0-660.5--1.6842749999999</f>
        <v>2118.2845649999999</v>
      </c>
      <c r="Y261" s="3">
        <f>2791.2+(327.6-472.4)+(0+(0-0))+0-542.8-0</f>
        <v>2103.5999999999995</v>
      </c>
      <c r="Z261" s="3">
        <f>2852+(324.2-536.8)+(0+(0-0))+0-569.1-0</f>
        <v>2070.3000000000002</v>
      </c>
      <c r="AA261" s="3">
        <f>2814.3+(300.8-517.5)+(-1.435293+(-0.153408--0.263925))+0-560.3--0.285752999999943</f>
        <v>2036.2609770000004</v>
      </c>
      <c r="AB261" s="3">
        <f>2689.2+(351.1-549)+(-1.371492+(-0.179061--0.27999))+0-518.2--0.264281999999947</f>
        <v>1972.0937189999995</v>
      </c>
      <c r="AC261" s="3">
        <f>2555.8+(329.8-490.9)+(0+(0-0))+0-529.1-0</f>
        <v>1865.6000000000004</v>
      </c>
      <c r="AD261">
        <v>2021.3999999999996</v>
      </c>
      <c r="AE261" s="3">
        <f>3033.2+(324.1-664.9)+(0+(0-0))+0-671-0</f>
        <v>2021.3999999999996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1866.7+(768.3-350.8)+(-4.760085+(-1.959165--0.89454))+0-585.6--1.49327999999992</f>
        <v>1694.26857</v>
      </c>
      <c r="G262" s="3">
        <f>1851.2+(638.9-359.3)+(-2.832336+(-0.977517--0.549729))+0-499.8--0.764694000000029</f>
        <v>1628.5045700000003</v>
      </c>
      <c r="H262" s="3">
        <f>1867.6+(671.3-349.4)+(-0.952476+(-0.342363--0.178194))+0-611.4--0.311813999999938</f>
        <v>1577.2951689999998</v>
      </c>
      <c r="I262" s="3">
        <f>1849.4+(522.7-345.8)+(-3.772776+(-1.066308--0.705432))+0-458--0.93431999999998</f>
        <v>1565.1006680000003</v>
      </c>
      <c r="J262" s="3">
        <f>2134.4+(406-417.8)+(-1.088544+(-0.20706--0.213078))+0-562.5--0.286874999999943</f>
        <v>1559.3043489999998</v>
      </c>
      <c r="K262" s="3">
        <f>2258.3+(334.8-468.7)+(3.455199+(0.512244-0.717111))+0-534.6-0.817938000000031</f>
        <v>1592.2323940000001</v>
      </c>
      <c r="L262" s="3">
        <f>2013+(520.4-359)+(-3.07989+(-0.796212--0.54927))+0-518.2--0.79284600000003</f>
        <v>1653.6660139999999</v>
      </c>
      <c r="M262" s="3">
        <f>2150.3+(312.8-278.7)+(2.193306+(0.319056-0.284274))+0-447.9-0.456858000000071</f>
        <v>1738.2712299999998</v>
      </c>
      <c r="N262" s="3">
        <f>2853.4+(143.7-640.4)+(-1.455234+(-0.073287--0.326604))+0-513.4--0.261833999999948</f>
        <v>1842.3599170000002</v>
      </c>
      <c r="O262" s="3">
        <f>3253.9+(171.8-1038.2)+(1.659489+(0.087618-0.529482))+0-495.2-0.25255199999995</f>
        <v>1893.2650730000003</v>
      </c>
      <c r="P262" s="3">
        <f>3846.7+(163.2-1651.8)+(0+(0-0))+0-460.3-0</f>
        <v>1897.8</v>
      </c>
      <c r="Q262" s="3">
        <f>4081.2+(169.7-1809.6)+(-2.081412+(-0.086547--0.922896))+0-526.3--0.268412999999947</f>
        <v>1914.0233500000004</v>
      </c>
      <c r="R262" s="3">
        <f>3714.2+(238.8-1434.8)+(-11.365452+(-0.730728--4.390488))+0-567--1.73502000000007</f>
        <v>1945.2293279999999</v>
      </c>
      <c r="S262" s="3">
        <f>3136.7+(267-988.6)+(-6.398868+(-0.54468--2.016744))+0-490.4--1.00041599999998</f>
        <v>1920.7736119999997</v>
      </c>
      <c r="T262" s="3">
        <f>3230.4+(297-1174.7)+(-4.942512+(-0.45441--1.797291))+0-463.3--0.708849000000027</f>
        <v>1886.5092179999999</v>
      </c>
      <c r="U262" s="3">
        <f>3181.6+(288.5-1100.2)+(-4.867848+(-0.441405--1.683306))+0-504.4--0.771732000000029</f>
        <v>1862.6457849999995</v>
      </c>
      <c r="V262" s="3">
        <f>3547.8+(252.5-1380)+(0+(0-0))+0-505.6-0</f>
        <v>1914.7000000000003</v>
      </c>
      <c r="W262" s="3">
        <f>4726.9+(533.2-2559.4)+(2.410719+(0.271932-1.305294))+0-526.8-0.268667999999947</f>
        <v>2175.0086889999998</v>
      </c>
      <c r="X262" s="3">
        <f>4663.5+(628.4-2457.6)+(-14.27031+(-1.922904--7.520256))+0-535.4--1.63832400000006</f>
        <v>2291.865366</v>
      </c>
      <c r="Y262" s="3">
        <f>3742.7+(844.2-1700.7)+(-5.726331+(-1.291626--2.602071))+0-605.2--0.925956000000035</f>
        <v>2277.5100700000003</v>
      </c>
      <c r="Z262" s="3">
        <f>3481.1+(561.6-1237.2)+(-1.775361+(-0.286416--0.630972))+0-594.6--0.30324599999994</f>
        <v>2209.7724410000001</v>
      </c>
      <c r="AA262" s="3">
        <f>3082.8+(506.4-854.9)+(1.572228+(0.258264-0.435999))+0-591.1-0.30146099999994</f>
        <v>2144.293032</v>
      </c>
      <c r="AB262" s="3">
        <f>2833+(596.7-720)+(-4.33449+(-0.912951--1.1016))+0-641.1--0.980883000000037</f>
        <v>2065.4350420000001</v>
      </c>
      <c r="AC262" s="3">
        <f>2641.5+(640.9-725.1)+(-8.08299+(-1.961154--2.218806))+0-606--1.85436000000007</f>
        <v>1945.3290220000001</v>
      </c>
      <c r="AD262">
        <v>2298.0000000000005</v>
      </c>
      <c r="AE262" s="3">
        <f>5347+(539.8-2996.7)+(0+(0-0))+0-592.1-0</f>
        <v>2298.0000000000005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2522.6+(658.7-674.9)+(-6.43263+(-1.679685--1.720995))+0-648.5--1.65367499999991</f>
        <v>1853.1623549999999</v>
      </c>
      <c r="G263" s="3">
        <f>2340.8+(621.9-685.2)+(-7.162848+(-1.903014--2.096712))+0-515.5--1.57743000000006</f>
        <v>1756.6082800000001</v>
      </c>
      <c r="H263" s="3">
        <f>2429.2+(484.4-601.9)+(3.716676+(0.741132-0.920907))+0-614-0.939420000000035</f>
        <v>1700.2974809999998</v>
      </c>
      <c r="I263" s="3">
        <f>2317.5+(501.4-541.1)+(0+(0-0))+0-633.6-0</f>
        <v>1644.2000000000003</v>
      </c>
      <c r="J263" s="3">
        <f>2157.6+(539.9-476)+(3.301128+(0.826047-0.72828))+0-592.6-0.906678000000034</f>
        <v>1631.3922169999998</v>
      </c>
      <c r="K263" s="3">
        <f>2122.7+(581.5-483)+(-3.247731+(-0.889695--0.73899))+0-558.7--0.854811000000032</f>
        <v>1659.9563749999998</v>
      </c>
      <c r="L263" s="3">
        <f>2277.1+(585.6-443)+(-1.161321+(-0.298656--0.22593))+0-665.3--0.339302999999932</f>
        <v>1753.5052559999999</v>
      </c>
      <c r="M263" s="3">
        <f>2410+(549.2-544.2)+(-2.4582+(-0.560184--0.555084))+0-594.1--0.605982000000095</f>
        <v>1819.0426820000002</v>
      </c>
      <c r="N263" s="3">
        <f>2672.7+(397.7-647)+(2.726154+(0.405654-0.65994))+0-516.6-0.526932000000082</f>
        <v>1908.7449359999998</v>
      </c>
      <c r="O263" s="3">
        <f>2920.5+(466.7-872.4)+(1.489455+(0.238017-0.444924))+0-606.9-0.309518999999938</f>
        <v>1908.8730290000003</v>
      </c>
      <c r="P263" s="3">
        <f>3430.9+(490.6-1568.7)+(5.249277+(0.750618-2.400111))+0-430.8-0.659124000000025</f>
        <v>1924.9406600000002</v>
      </c>
      <c r="Q263" s="3">
        <f>3548.5+(633.6-1609.3)+(-1.809735+(-0.323136--0.820743))+0-589.3--0.30054299999994</f>
        <v>1982.488415</v>
      </c>
      <c r="R263" s="3">
        <f>2986+(672.2-1118.4)+(-4.56858+(-1.028466--1.711152))+0-575.1--0.879903000000033</f>
        <v>1961.6940090000003</v>
      </c>
      <c r="S263" s="3">
        <f>2645.1+(692.9-686.1)+(-6.745005+(-1.766895--1.749555))+0-601.3--1.53331499999991</f>
        <v>2045.3709699999995</v>
      </c>
      <c r="T263" s="3">
        <f>2554.7+(675.4-657.1)+(-3.908691+(-1.033362--1.005363))+0-633.9--0.969867000000037</f>
        <v>1936.1331769999999</v>
      </c>
      <c r="U263" s="3">
        <f>2568.5+(620.4-691.4)+(-5.23974+(-1.265616--1.410456))+0-537.5--1.09649999999998</f>
        <v>1956.0015999999998</v>
      </c>
      <c r="V263" s="3">
        <f>2741.7+(679.5-837.7)+(-4.194801+(-1.039635--1.281681))+0-619.8--0.948294000000036</f>
        <v>1960.6955390000003</v>
      </c>
      <c r="W263" s="3">
        <f>4056.2+(593.9-1836.9)+(2.068662+(0.302889-0.936819))+0-594.6-0.30324599999994</f>
        <v>2219.7314860000001</v>
      </c>
      <c r="X263" s="3">
        <f>4286+(646.6-2064.1)+(0+(0-0))+0-591.2-0</f>
        <v>2277.3000000000002</v>
      </c>
      <c r="Y263" s="3">
        <f>3931.5+(711.2-1802.6)+(-10.025325+(-1.81356--4.59663))+0-607.8--1.54988999999991</f>
        <v>2226.6076349999998</v>
      </c>
      <c r="Z263" s="3">
        <f>3683+(781.3-1649.5)+(-7.51332+(-1.593852--3.36498))+0-618.1--1.26092399999997</f>
        <v>2192.2187320000003</v>
      </c>
      <c r="AA263" s="3">
        <f>3453+(724.2-1476.7)+(-5.28309+(-1.108026--2.259351))+0-610.6--0.934218000000035</f>
        <v>2086.7024529999999</v>
      </c>
      <c r="AB263" s="3">
        <f>3648.7+(648-1663.4)+(-5.582511+(-0.99144--2.545002))+0-563.6--0.862308000000033</f>
        <v>2066.533359</v>
      </c>
      <c r="AC263" s="3">
        <f>3989.4+(580.1-1873.1)+(-4.069188+(-0.591702--1.910562))+0-677.1--0.690642000000108</f>
        <v>2017.2403140000001</v>
      </c>
      <c r="AD263">
        <v>2294.1</v>
      </c>
      <c r="AE263" s="3">
        <f>4437.2+(607.5-2153.5)+(0+(0-0))+0-597.1-0</f>
        <v>2294.1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3210.8+(541.9-1322.6)+(-4.912524+(-0.829107--2.023578))+0-571.1--0.873783000000033</f>
        <v>1856.1557300000004</v>
      </c>
      <c r="G264" s="3">
        <f>2732+(552.7-985.8)+(-2.78664+(-0.563754--1.005516))+0-552.8--0.563856000000088</f>
        <v>1744.3189780000002</v>
      </c>
      <c r="H264" s="3">
        <f>2652.1+(575.6-1069.5)+(0+(0-0))+0-566.3-0</f>
        <v>1591.8999999999999</v>
      </c>
      <c r="I264" s="3">
        <f>2691+(562.7-958)+(1.37241+(0.286977-0.48858))+0-572.5-0.291974999999942</f>
        <v>1724.0788319999999</v>
      </c>
      <c r="J264" s="3">
        <f>2662.2+(560.9-1092.4)+(-1.357722+(-0.286059--0.557124))+0-466.6--0.237965999999953</f>
        <v>1663.251309</v>
      </c>
      <c r="K264" s="3">
        <f>2908.7+(607.1-1221.1)+(7.417185+(1.548105-3.113805))+0-634.1-1.61695499999991</f>
        <v>1664.8345300000001</v>
      </c>
      <c r="L264" s="3">
        <f>2663.9+(586.6-1037.7)+(-6.792945+(-1.49583--2.646135))+0-466.6--1.18982999999993</f>
        <v>1741.7471900000003</v>
      </c>
      <c r="M264" s="3">
        <f>2650.3+(597.3-943.6)+(-4.054959+(-0.913869--1.443708))+0-520.2--0.79590600000003</f>
        <v>1781.0707860000002</v>
      </c>
      <c r="N264" s="3">
        <f>2776.3+(537-938.3)+(2.831826+(0.54774-0.957066))+0-530.2-0.540804000000085</f>
        <v>1846.6816960000001</v>
      </c>
      <c r="O264" s="3">
        <f>2992.4+(438.7-1047.5)+(3.052248+(0.447474-1.06845))+0-498-0.507960000000079</f>
        <v>1887.523312</v>
      </c>
      <c r="P264" s="3">
        <f>2960.4+(415.2-946.2)+(-3.019608+(-0.423504--0.965124))+0-533--0.543660000000085</f>
        <v>1894.465672</v>
      </c>
      <c r="Q264" s="3">
        <f>3024.4+(330.5-976.7)+(-3.084888+(-0.33711--0.996234))+0-489.1--0.498882000000078</f>
        <v>1887.1731179999999</v>
      </c>
      <c r="R264" s="3">
        <f>3007.3+(388.7-1004.5)+(-6.134892+(-0.792948--2.04918))+0-581.6--1.18646399999997</f>
        <v>1806.2078040000001</v>
      </c>
      <c r="S264" s="3">
        <f>2641.7+(450.4-770.3)+(-5.389068+(-0.918816--1.571412))+0-511.3--1.04305199999998</f>
        <v>1806.8065799999997</v>
      </c>
      <c r="T264" s="3">
        <f>2576.4+(572.7-727.2)+(-1.313964+(-0.292077--0.370872))+0-667.3--0.340322999999932</f>
        <v>1753.705154</v>
      </c>
      <c r="U264" s="3">
        <f>2559.7+(456.2-773.7)+(-3.916341+(-0.697986--1.183761))+0-465.2--0.711756000000027</f>
        <v>1774.2811899999997</v>
      </c>
      <c r="V264" s="3">
        <f>2917.8+(420.4-846.1)+(-1.488078+(-0.214404--0.431511))+0-638.4--0.325583999999935</f>
        <v>1852.7546130000003</v>
      </c>
      <c r="W264" s="3">
        <f>4584+(187.9-2028.9)+(-7.01352+(-0.287487--3.104217))+0-611.9--0.936207000000035</f>
        <v>2127.8394170000001</v>
      </c>
      <c r="X264" s="3">
        <f>4819.8+(247.1-2137.3)+(-2.458098+(-0.126021--1.090023))+0-676.9--0.345218999999931</f>
        <v>2251.5511229999997</v>
      </c>
      <c r="Y264" s="3">
        <f>4600.6+(291.9-2130.4)+(-2.346306+(-0.148869--1.086504))+0-550.9--0.280958999999944</f>
        <v>2210.0722880000003</v>
      </c>
      <c r="Z264" s="3">
        <f>4489.8+(299.5-1937.3)+(-4.579596+(-0.30549--1.976046))+0-677.7--0.691254000000108</f>
        <v>2172.082214</v>
      </c>
      <c r="AA264" s="3">
        <f>3956.7+(327.6-1618.1)+(-6.053751+(-0.501228--2.475693))+0-550.4--0.842112000000032</f>
        <v>2112.5628259999994</v>
      </c>
      <c r="AB264" s="3">
        <f>3513.8+(440.4-1337.5)+(-5.376114+(-0.673812--2.046375))+0-604.9--0.925497000000035</f>
        <v>2008.7219460000003</v>
      </c>
      <c r="AC264" s="3">
        <f>2869.4+(580-965.1)+(-8.780364+(-1.7748--2.953206))+0-560.1--1.71390600000006</f>
        <v>1918.311948</v>
      </c>
      <c r="AD264">
        <v>2179.5</v>
      </c>
      <c r="AE264" s="3">
        <f>4852+(200.2-2127)+(0+(0-0))+0-745.7-0</f>
        <v>2179.5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2738.6+(582.1-875.7)+(-6.98343+(-1.484355--2.233035))+0-673.7--1.7179349999999</f>
        <v>1766.7831849999998</v>
      </c>
      <c r="G265" s="3">
        <f>2669.4+(492.7-895.3)+(-5.445576+(-1.005108--1.826412))+0-586.6--1.19666399999997</f>
        <v>1676.7723920000003</v>
      </c>
      <c r="H265" s="3">
        <f>2468.3+(598.6-771.6)+(0+(0-0))+0-670.2-0</f>
        <v>1625.1000000000001</v>
      </c>
      <c r="I265" s="3">
        <f>2335.5+(602.4-751.1)+(-1.191105+(-0.307224--0.383061))+0-590.2--0.30100199999994</f>
        <v>1595.785734</v>
      </c>
      <c r="J265" s="3">
        <f>2393+(512.1-769.4)+(1.22043+(0.261171-0.392394))+0-530-0.270299999999946</f>
        <v>1606.5189069999999</v>
      </c>
      <c r="K265" s="3">
        <f>2487.3+(573-820.7)+(1.268523+(0.29223-0.418557))+0-632.7-0.322676999999936</f>
        <v>1607.7195190000002</v>
      </c>
      <c r="L265" s="3">
        <f>2684.5+(532.3-820.2)+(0+(0-0))+0-648.8-0</f>
        <v>1747.8</v>
      </c>
      <c r="M265" s="3">
        <f>2911.3+(423.4-867.1)+(4.454289+(0.647802-1.326663))+0-628.1-0.960993000000036</f>
        <v>1842.3144350000002</v>
      </c>
      <c r="N265" s="3">
        <f>3523.2+(284.1-1413.8)+(3.593664+(0.289782-1.442076))+0-526.4-0.536928000000084</f>
        <v>1869.0044419999999</v>
      </c>
      <c r="O265" s="3">
        <f>3916.7+(440.5-1896.7)+(0+(0-0))+0-557.3-0</f>
        <v>1903.2</v>
      </c>
      <c r="P265" s="3">
        <f>4011.8+(643.8-2179.8)+(-6.138054+(-0.985014--3.335094))+0-550.8--0.842724000000032</f>
        <v>1922.0547500000005</v>
      </c>
      <c r="Q265" s="3">
        <f>4166.8+(615.5-2430.2)+(-4.250136+(-0.62781--2.478804))+0-517--0.527340000000082</f>
        <v>1833.2281980000002</v>
      </c>
      <c r="R265" s="3">
        <f>3594.7+(736.9-2017.3)+(-9.166485+(-1.879095--5.144115))+0-464.9--1.18549499999993</f>
        <v>1844.6840299999997</v>
      </c>
      <c r="S265" s="3">
        <f>3445.5+(712.5-1787.6)+(0+(0-0))+0-567.9-0</f>
        <v>1802.5</v>
      </c>
      <c r="T265" s="3">
        <f>3574+(700.9-1952.1)+(-3.64548+(-0.714918--1.991142))+0-570.6--0.582012000000091</f>
        <v>1750.4127560000004</v>
      </c>
      <c r="U265" s="3">
        <f>3442+(622.7-1754.3)+(0+(0-0))+0-553.5-0</f>
        <v>1756.9</v>
      </c>
      <c r="V265" s="3">
        <f>3787.4+(694.4-1994.7)+(-1.931574+(-0.354144--1.017297))+0-651.7--0.332366999999934</f>
        <v>1834.4639459999996</v>
      </c>
      <c r="W265" s="3">
        <f>4976.7+(583.3-2818.4)+(5.076234+(0.594966-2.874768))+0-620.6-0.633012000000099</f>
        <v>2123.1634199999994</v>
      </c>
      <c r="X265" s="3">
        <f>5177.2+(536.7-2913.7)+(-7.921116+(-0.821151--4.457961))+0-658.3--1.00719900000004</f>
        <v>2138.6228930000002</v>
      </c>
      <c r="Y265" s="3">
        <f>4342.3+(559.8-2232.6)+(-2.214573+(-0.285498--1.138626))+0-530.2--0.270401999999946</f>
        <v>2138.2089569999998</v>
      </c>
      <c r="Z265" s="3">
        <f>3718.6+(654.2-1628.8)+(-1.896486+(-0.333642--0.830688))+0-659.7--0.336446999999933</f>
        <v>2083.2370070000002</v>
      </c>
      <c r="AA265" s="3">
        <f>3327.1+(720.6-1449.7)+(0+(0-0))+0-584.7-0</f>
        <v>2013.3</v>
      </c>
      <c r="AB265" s="3">
        <f>3390.2+(586.3-1482.4)+(0+(0-0))+0-575.8-0</f>
        <v>1918.2999999999995</v>
      </c>
      <c r="AC265" s="3">
        <f>3199.4+(609.5-1308.8)+(0+(0-0))+0-651-0</f>
        <v>1849.1000000000004</v>
      </c>
      <c r="AD265">
        <v>2479.6</v>
      </c>
      <c r="AE265" s="3">
        <f>5722+(566.9-3055.7)+(0+(0-0))+0-753.6-0</f>
        <v>2479.6000000000004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2655.3+(608.3-946.5)+(-4.062609+(-0.930699--1.448145))+0-580.6--0.888318000000034</f>
        <v>1733.8431550000007</v>
      </c>
      <c r="G266" s="3">
        <f>2697.2+(554.9-995.3)+(-6.87786+(-1.414995--2.538015))+0-616.7--1.57258499999991</f>
        <v>1635.9177449999995</v>
      </c>
      <c r="H266" s="3">
        <f>2635.4+(544.7-1029.4)+(0+(0-0))+0-567.3-0</f>
        <v>1583.3999999999999</v>
      </c>
      <c r="I266" s="3">
        <f>2627.4+(583.6-1002.3)+(0+(0-0))+0-677.5-0</f>
        <v>1531.2000000000003</v>
      </c>
      <c r="J266" s="3">
        <f>2630.6+(532-1088.8)+(-2.683212+(-0.54264--1.110576))+0-540.9--0.551718000000086</f>
        <v>1531.3364420000003</v>
      </c>
      <c r="K266" s="3">
        <f>2844.6+(485.2-1113.6)+(4.352238+(0.742356-1.703808))+0-655-1.00215000000004</f>
        <v>1563.5886359999997</v>
      </c>
      <c r="L266" s="3">
        <f>2786.1+(520.7-1076.6)+(2.841822+(0.531114-1.098132))+0-514.4-0.524688000000082</f>
        <v>1717.5501159999999</v>
      </c>
      <c r="M266" s="3">
        <f>2877.9+(529.4-982)+(5.870916+(1.079976-2.00328))+0-614.1-1.25276399999997</f>
        <v>1814.8948480000001</v>
      </c>
      <c r="N266" s="3">
        <f>2845.8+(522.1-989.9)+(-2.902716+(-0.532542--1.009698))+0-556.6--0.567732000000089</f>
        <v>1819.5421719999999</v>
      </c>
      <c r="O266" s="3">
        <f>3336.8+(537.1-1453.2)+(1.701768+(0.273921-0.741132))+0-554.9-0.282998999999944</f>
        <v>1866.7515580000004</v>
      </c>
      <c r="P266" s="3">
        <f>3665.3+(638.9-1876.2)+(1.869303+(0.325839-0.956862))+0-510.1-0.260150999999948</f>
        <v>1918.8781290000002</v>
      </c>
      <c r="Q266" s="3">
        <f>3824+(666.1-2020.5)+(-7.80096+(-1.358844--4.12182))+0-446.1--0.910043999999981</f>
        <v>2019.3720599999999</v>
      </c>
      <c r="R266" s="3">
        <f>3541.5+(614.8-1659.9)+(-5.418495+(-0.940644--2.539647))+0-600.2--0.918306000000035</f>
        <v>1893.2988139999995</v>
      </c>
      <c r="S266" s="3">
        <f>3263.5+(577.1-1460.4)+(-3.32877+(-0.588642--1.489608))+0-474.4--0.483888000000076</f>
        <v>1903.8560839999998</v>
      </c>
      <c r="T266" s="3">
        <f>3419.8+(607-1594.5)+(3.488196+(0.61914-1.62639))+0-577.4-0.588948000000092</f>
        <v>1856.7919980000001</v>
      </c>
      <c r="U266" s="3">
        <f>3456.4+(453.8-1559.5)+(-3.525528+(-0.462876--1.59069))+0-517.9--0.528258000000083</f>
        <v>1830.9305439999996</v>
      </c>
      <c r="V266" s="3">
        <f>3595.3+(490.2-1661.8)+(3.667206+(0.500004-1.695036))+0-535-0.545700000000085</f>
        <v>1890.6264740000001</v>
      </c>
      <c r="W266" s="3">
        <f>5095+(559.7-2912.7)+(5.1969+(0.570894-2.970954))+0-578.9-0.590478000000092</f>
        <v>2165.3063619999998</v>
      </c>
      <c r="X266" s="3">
        <f>5187.3+(660.1-3023)+(-10.582092+(-1.346604--6.16692))+0-519.7--1.06018799999998</f>
        <v>2299.9984120000004</v>
      </c>
      <c r="Y266" s="3">
        <f>5127+(347.4-2537.3)+(-15.68862+(-1.063044--7.764138))+0-670.8--2.05264800000008</f>
        <v>2259.3651220000002</v>
      </c>
      <c r="Z266" s="3">
        <f>4700.7+(294.7-2211.2)+(-7.192071+(-0.450891--3.383136))+0-541.8--0.828954000000031</f>
        <v>2238.9691280000002</v>
      </c>
      <c r="AA266" s="3">
        <f>4528.2+(260.1-1958.7)+(-4.618764+(-0.265302--1.997874))+0-676.3--0.689826000000108</f>
        <v>2151.1036340000005</v>
      </c>
      <c r="AB266" s="3">
        <f>3949.4+(311.4-1612.1)+(-12.085164+(-0.952884--4.933026))+0-579.3--1.77265800000007</f>
        <v>2063.0676359999998</v>
      </c>
      <c r="AC266" s="3">
        <f>3614.6+(341.3-1298.1)+(-5.530338+(-0.522189--1.986093))+0-658.2--1.00704600000004</f>
        <v>1996.5406120000002</v>
      </c>
      <c r="AD266">
        <v>2261.1000000000004</v>
      </c>
      <c r="AE266" s="3">
        <f>5526+(664.5-3299.7)+(0+(0-0))+0-629.7-0</f>
        <v>2261.1000000000004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2995.3+(397.4-1176.3)+(-4.582809+(-0.608022--1.799739))+0-438.7--0.671211000000025</f>
        <v>1774.9801190000003</v>
      </c>
      <c r="G267" s="3">
        <f>2810.3+(360.3-827)+(5.733012+(0.735012-1.68708))+0-685.1-1.39760399999997</f>
        <v>1661.8833400000005</v>
      </c>
      <c r="H267" s="3">
        <f>2760.2+(282.6-878.4)+(4.223106+(0.432378-1.343952))+0-544-0.832320000000031</f>
        <v>1622.8792119999998</v>
      </c>
      <c r="I267" s="3">
        <f>2758.5+(331.6-828.7)+(1.406835+(0.169116-0.422637))+0-668.2-0.340781999999932</f>
        <v>1594.0125320000002</v>
      </c>
      <c r="J267" s="3">
        <f>2724.3+(288.9-852.6)+(-6.946965+(-0.736695--2.17413))+0-563.8--1.43768999999992</f>
        <v>1592.7281600000006</v>
      </c>
      <c r="K267" s="3">
        <f>2907.4+(271.3-905.8)+(1.482774+(0.138363-0.461958))+0-639.4-0.326093999999935</f>
        <v>1634.3330850000002</v>
      </c>
      <c r="L267" s="3">
        <f>2991.2+(273.3-870.2)+(-3.051024+(-0.278766--0.887604))+0-630.2--0.642804000000101</f>
        <v>1762.3006179999995</v>
      </c>
      <c r="M267" s="3">
        <f>2968.9+(297.9-800.1)+(1.514139+(0.151929-0.408051))+0-584.1-0.297890999999941</f>
        <v>1883.5601260000001</v>
      </c>
      <c r="N267" s="3">
        <f>3072.7+(365.7-1016.8)+(0+(0-0))+0-523.4-0</f>
        <v>1898.1999999999998</v>
      </c>
      <c r="O267" s="3">
        <f>3477.6+(402-1576.6)+(1.773576+(0.20502-0.804066))+0-357.3-0.182222999999964</f>
        <v>1946.6923069999998</v>
      </c>
      <c r="P267" s="3">
        <f>3785.8+(524-1825.3)+(-1.930758+(-0.26724--0.930903))+0-535.5--0.273104999999946</f>
        <v>1948.0060099999998</v>
      </c>
      <c r="Q267" s="3">
        <f>3864.5+(681-2049.1)+(-5.912685+(-1.04193--3.135123))+0-377.3--0.577269000000022</f>
        <v>2115.8577769999997</v>
      </c>
      <c r="R267" s="3">
        <f>4050.3+(505.9-1875.2)+(-4.131306+(-0.516018--1.912704))+0-588.3--0.600066000000094</f>
        <v>2090.5654459999996</v>
      </c>
      <c r="S267" s="3">
        <f>3695.9+(426.1-1587)+(-7.539636+(-0.869244--3.23748))+0-460.8--0.94003199999998</f>
        <v>2069.9686319999996</v>
      </c>
      <c r="T267" s="3">
        <f>3558.2+(472.8-1401.4)+(-3.629364+(-0.482256--1.429428))+0-588--0.599760000000094</f>
        <v>2039.5175679999993</v>
      </c>
      <c r="U267" s="3">
        <f>3679.9+(419.8-1579)+(-5.630247+(-0.642294--2.41587))+0-471.9--0.722007000000027</f>
        <v>2045.6653359999998</v>
      </c>
      <c r="V267" s="3">
        <f>3702.5+(563.6-1650.9)+(-3.77655+(-0.574872--1.683918))+0-546.4--0.557328000000087</f>
        <v>2066.6898239999996</v>
      </c>
      <c r="W267" s="3">
        <f>5203.1+(461.8-2771.3)+(-2.653581+(-0.235518--1.413363))+0-607.2--0.309671999999938</f>
        <v>2285.2339360000001</v>
      </c>
      <c r="X267" s="3">
        <f>5467+(405.8-2813.5)+(-13.94085+(-1.03479--7.174425))+0-629.4--1.60496999999991</f>
        <v>2423.703755</v>
      </c>
      <c r="Y267" s="3">
        <f>5076.7+(388.1-2544)+(-5.178234+(-0.395862--2.59488))+0-590.4--0.602208000000094</f>
        <v>2328.0229919999997</v>
      </c>
      <c r="Z267" s="3">
        <f>4378.9+(532.1-2146.3)+(-8.932956+(-1.085484--4.378452))+0-484.9--0.989195999999979</f>
        <v>2275.1492079999994</v>
      </c>
      <c r="AA267" s="3">
        <f>4458.7+(530.2-2120.6)+(-4.547874+(-0.540804--2.163012))+0-665.6--0.678912000000106</f>
        <v>2200.4532460000005</v>
      </c>
      <c r="AB267" s="3">
        <f>3757.2+(633.8-1654.2)+(-11.497032+(-1.939428--5.061852))+0-548.7--1.67902200000006</f>
        <v>2181.4044139999996</v>
      </c>
      <c r="AC267" s="3">
        <f>3242.5+(571.1-1208.6)+(-4.961025+(-0.873783--1.849158))+0-605.8--0.926874000000035</f>
        <v>1996.141224</v>
      </c>
      <c r="AD267">
        <v>2267.1000000000004</v>
      </c>
      <c r="AE267" s="3">
        <f>5602+(427.1-3074.8)+(0+(0-0))+0-687.2-0</f>
        <v>2267.0999999999995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2658.5+(655-878.7)+(-1.355835+(-0.33405--0.448137))+0-609.3--0.310742999999938</f>
        <v>1824.5689950000003</v>
      </c>
      <c r="G268" s="3">
        <f>2608.5+(468-790.5)+(-1.330335+(-0.23868--0.403155))+0-587.3--0.29952299999994</f>
        <v>1697.8336629999999</v>
      </c>
      <c r="H268" s="3">
        <f>2632.5+(428.3-758.1)+(1.342575+(0.218433-0.386631))+0-602.2-0.307121999999939</f>
        <v>1701.3672549999997</v>
      </c>
      <c r="I268" s="3">
        <f>2572.3+(430.7-779.4)+(3.935619+(0.658971-1.192482))+0-598.5-0.915705000000035</f>
        <v>1627.5864030000005</v>
      </c>
      <c r="J268" s="3">
        <f>2448.1+(464.4-665.1)+(-1.248531+(-0.236844--0.339201))+0-624.5--0.318494999999937</f>
        <v>1622.0723209999996</v>
      </c>
      <c r="K268" s="3">
        <f>2546.3+(501.7-738.2)+(5.194452+(1.023468-1.505928))+0-645.6-1.31702399999997</f>
        <v>1667.5949680000003</v>
      </c>
      <c r="L268" s="3">
        <f>2465.9+(529.2-653.2)+(0+(0-0))+0-599.4-0</f>
        <v>1742.5</v>
      </c>
      <c r="M268" s="3">
        <f>2675.5+(436.1-670.8)+(1.364505+(0.222411-0.342108))+0-550.9-0.280958999999944</f>
        <v>1890.8638490000001</v>
      </c>
      <c r="N268" s="3">
        <f>3368.4+(313-1172.8)+(1.717884+(0.15963-0.598128))+0-616.9-0.314618999999937</f>
        <v>1892.6647670000004</v>
      </c>
      <c r="O268" s="3">
        <f>3799.8+(383.3-1714.7)+(3.875796+(0.390966-1.748994))+0-534.4-0.545088000000085</f>
        <v>1935.9726800000001</v>
      </c>
      <c r="P268" s="3">
        <f>4027.5+(486.2-2144.3)+(-2.054025+(-0.247962--1.093593))+0-443.8--0.226337999999955</f>
        <v>1924.6179439999994</v>
      </c>
      <c r="Q268" s="3">
        <f>4257.2+(545.8-2272.6)+(-6.513516+(-0.835074--3.477078))+0-574.8--0.879444000000033</f>
        <v>1952.6079319999994</v>
      </c>
      <c r="R268" s="3">
        <f>3770.4+(552.1-1932.8)+(-7.691616+(-1.126284--3.942912))+0-558--1.13831999999998</f>
        <v>1827.9633320000003</v>
      </c>
      <c r="S268" s="3">
        <f>3233.9+(416.5-1429.5)+(-1.649289+(-0.212415--0.729045))+0-388--0.197879999999961</f>
        <v>1831.9652210000002</v>
      </c>
      <c r="T268" s="3">
        <f>3423.7+(379.8-1468.7)+(3.492174+(0.387396-1.498074))+0-520.1-0.530502000000083</f>
        <v>1816.5509939999997</v>
      </c>
      <c r="U268" s="3">
        <f>3434.6+(382.6-1493.7)+(0+(0-0))+0-525.1-0</f>
        <v>1798.4</v>
      </c>
      <c r="V268" s="3">
        <f>3663.4+(388-1653.6)+(3.736668+(0.39576-1.686672))+0-522.7-0.533154000000083</f>
        <v>1877.012602</v>
      </c>
      <c r="W268" s="3">
        <f>5056.6+(624.4-2987.5)+(7.736598+(0.955332-4.570875))+0-516.2-0.78978600000003</f>
        <v>2180.6312690000009</v>
      </c>
      <c r="X268" s="3">
        <f>5279+(687.8-3060.7)+(0+(0-0))+0-647.6-0</f>
        <v>2258.5000000000005</v>
      </c>
      <c r="Y268" s="3">
        <f>4699.9+(634.6-2522.7)+(-11.984745+(-1.61823--6.432885))+0-573.5--1.46242499999992</f>
        <v>2232.5923349999994</v>
      </c>
      <c r="Z268" s="3">
        <f>4454.6+(508.6-2247.2)+(-4.543692+(-0.518772--2.292144))+0-532--0.542640000000085</f>
        <v>2181.7723200000005</v>
      </c>
      <c r="AA268" s="3">
        <f>4377.2+(465.8-2094.1)+(-4.464744+(-0.475116--2.135982))+0-594.6--0.606492000000095</f>
        <v>2152.1026139999994</v>
      </c>
      <c r="AB268" s="3">
        <f>4187+(474.2-2094.6)+(0+(0-0))+0-590.8-0</f>
        <v>1975.8000000000004</v>
      </c>
      <c r="AC268" s="3">
        <f>3347.3+(604.3-1434.6)+(-5.121369+(-0.924579--2.194938))+0-613.1--0.938043000000035</f>
        <v>1900.9870330000003</v>
      </c>
      <c r="AD268">
        <v>2360.3000000000002</v>
      </c>
      <c r="AE268" s="3">
        <f>5432+(724.3-3115.3)+(0+(0-0))+0-680.7-0</f>
        <v>2360.3000000000002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2573.1+(752.9-929.2)+(-2.624562+(-0.767958--0.947784))+0-631.2--0.643824000000101</f>
        <v>1763.7990879999998</v>
      </c>
      <c r="G269" s="3">
        <f>2485.4+(717.7-1059.7)+(-2.535108+(-0.732054--1.080894))+0-478--0.487560000000076</f>
        <v>1663.7012920000002</v>
      </c>
      <c r="H269" s="3">
        <f>2694.5+(586.1-941.3)+(-1.374195+(-0.298911--0.480063))+0-628.2--0.320381999999936</f>
        <v>1710.2273389999998</v>
      </c>
      <c r="I269" s="3">
        <f>2581.6+(534-1004.5)+(-1.316616+(-0.27234--0.512295))+0-528.5--0.269534999999946</f>
        <v>1581.7928739999998</v>
      </c>
      <c r="J269" s="3">
        <f>2763.9+(551.2-1096.1)+(9.867123+(1.967784-3.913077))+0-619.5-2.21161500000001</f>
        <v>1605.2102150000003</v>
      </c>
      <c r="K269" s="3">
        <f>2846.7+(561.8-1132.1)+(2.903634+(0.573036-1.154742))+0-634.6-0.647292000000101</f>
        <v>1643.4746359999995</v>
      </c>
      <c r="L269" s="3">
        <f>2704.4+(587-879.9)+(-1.379244+(-0.29937--0.448749))+0-608.9--0.310538999999938</f>
        <v>1801.680674</v>
      </c>
      <c r="M269" s="3">
        <f>2708.3+(579.2-892.6)+(-2.762466+(-0.590784--0.910452))+0-544.6--0.555492000000087</f>
        <v>1848.4126940000003</v>
      </c>
      <c r="N269" s="3">
        <f>3070.4+(497.3-1214.2)+(-1.565904+(-0.253623--0.619242))+0-501.2--0.255611999999949</f>
        <v>1851.355327</v>
      </c>
      <c r="O269" s="3">
        <f>3782.5+(421-1782.7)+(-1.929075+(-0.21471--0.909177))+0-548.8--0.279887999999944</f>
        <v>1871.04528</v>
      </c>
      <c r="P269" s="3">
        <f>4065.1+(367-2039.8)+(0+(0-0))+0-383.8-0</f>
        <v>2008.5000000000002</v>
      </c>
      <c r="Q269" s="3">
        <f>4174.3+(420.9-2267.8)+(-4.257786+(-0.429318--2.313156))+0-393--0.400860000000063</f>
        <v>1932.4269120000001</v>
      </c>
      <c r="R269" s="3">
        <f>3426.6+(509.2-1671.8)+(-5.242698+(-0.779076--2.557854))+0-452--0.691560000000026</f>
        <v>1809.2276399999998</v>
      </c>
      <c r="S269" s="3">
        <f>2866.8+(513.9-1117.2)+(-4.386204+(-0.786267--1.709316))+0-396.5--0.606645000000023</f>
        <v>1864.1434900000002</v>
      </c>
      <c r="T269" s="3">
        <f>2877.9+(519.7-1126.3)+(4.403187+(0.795141-1.723239))+0-452-0.691560000000026</f>
        <v>1822.0835290000002</v>
      </c>
      <c r="U269" s="3">
        <f>3284.5+(520.2-1452.1)+(0+(0-0))+0-562.4-0</f>
        <v>1790.2000000000003</v>
      </c>
      <c r="V269" s="3">
        <f>3373.5+(412.9-1368.4)+(-1.720485+(-0.210579--0.697884))+0-582.4--0.297023999999941</f>
        <v>1834.6638439999997</v>
      </c>
      <c r="W269" s="3">
        <f>5256.6+(354.4-2845.9)+(5.361732+(0.361488-2.902818))+0-595.4-0.607308000000095</f>
        <v>2171.913094</v>
      </c>
      <c r="X269" s="3">
        <f>5401.8+(274.7-2790.1)+(-11.019672+(-0.560388--5.691804))+0-641.8--1.30927199999997</f>
        <v>2240.0210160000001</v>
      </c>
      <c r="Y269" s="3">
        <f>4941.1+(304.6-2350.2)+(-15.119766+(-0.932076--7.191612))+0-610.3--1.86751800000007</f>
        <v>2278.2072880000005</v>
      </c>
      <c r="Z269" s="3">
        <f>4073+(351.8-1602.7)+(-2.07723+(-0.179418--0.817377))+0-604.7--0.308396999999939</f>
        <v>2216.2691259999992</v>
      </c>
      <c r="AA269" s="3">
        <f>4189.9+(291.7-1705.4)+(-8.547396+(-0.595068--3.479016))+0-654.7--1.33558799999997</f>
        <v>2117.1721399999997</v>
      </c>
      <c r="AB269" s="3">
        <f>3902.9+(311.5-1602.2)+(-7.961916+(-0.63546--3.268488))+0-547.1--1.11608399999998</f>
        <v>2060.8871959999997</v>
      </c>
      <c r="AC269" s="3">
        <f>3905+(270.9-1578.8)+(-7.9662+(-0.552636--3.220752))+0-661.9--1.35027599999997</f>
        <v>1931.2521919999997</v>
      </c>
      <c r="AD269">
        <v>2249.3000000000002</v>
      </c>
      <c r="AE269" s="3">
        <f>5870+(353.7-3319.1)+(0+(0-0))+0-655.3-0</f>
        <v>2249.3000000000002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2783.7+(350-964.6)+(-7.098435+(-0.8925--2.45973))+0-498.5--1.27117499999993</f>
        <v>1666.33997</v>
      </c>
      <c r="G270" s="3">
        <f>2592.2+(612.5-1009.8)+(-1.322022+(-0.312375--0.514998))+0-642.9--0.327878999999935</f>
        <v>1551.2084799999993</v>
      </c>
      <c r="H270" s="3">
        <f>2538.4+(578.3-1050.8)+(-3.883752+(-0.884799--1.607724))+0-544.3--0.832779000000031</f>
        <v>1519.2719520000001</v>
      </c>
      <c r="I270" s="3">
        <f>2851.4+(335.6-1123.2)+(4.362642+(0.513468-1.718496))+0-547.4-0.837522000000032</f>
        <v>1518.7200920000002</v>
      </c>
      <c r="J270" s="3">
        <f>2585+(388.6-886.9)+(1.31835+(0.198186-0.452319))+0-576.6-0.294065999999942</f>
        <v>1510.8701510000001</v>
      </c>
      <c r="K270" s="3">
        <f>2547.8+(432.9-794.4)+(3.898134+(0.662337-1.215432))+0-601.6-0.920448000000035</f>
        <v>1587.124591</v>
      </c>
      <c r="L270" s="3">
        <f>2547.8+(553.4-754.1)+(1.299378+(0.282234-0.384591))+0-636.6-0.324665999999935</f>
        <v>1711.3723550000004</v>
      </c>
      <c r="M270" s="3">
        <f>2698.6+(472-744.7)+(1.376286+(0.24072-0.379797))+0-633.3-0.322982999999936</f>
        <v>1793.5142259999996</v>
      </c>
      <c r="N270" s="3">
        <f>2961.9+(314-863.4)+(1.510569+(0.16014-0.440334))+0-603.6-0.307835999999939</f>
        <v>1809.8225390000002</v>
      </c>
      <c r="O270" s="3">
        <f>3757.9+(308.1-1597.3)+(-1.916529+(-0.157131--0.814623))+0-612.1--0.312170999999938</f>
        <v>1855.6531340000006</v>
      </c>
      <c r="P270" s="3">
        <f>4360.8+(394.1-2374.7)+(-4.448016+(-0.401982--2.422194))+0-498.6--0.50857200000008</f>
        <v>1879.6807680000006</v>
      </c>
      <c r="Q270" s="3">
        <f>4609.5+(306.5-2375.1)+(-9.40338+(-0.62526--4.845204))+0-660.3--1.34701199999997</f>
        <v>1876.7635760000003</v>
      </c>
      <c r="R270" s="3">
        <f>4111.7+(262.9-1880.7)+(-12.581802+(-0.804474--5.754942))+0-556.8--1.70380800000006</f>
        <v>1931.1724739999995</v>
      </c>
      <c r="S270" s="3">
        <f>3831.1+(211.5-1623.1)+(0+(0-0))+0-603.2-0</f>
        <v>1816.3</v>
      </c>
      <c r="T270" s="3">
        <f>3318.5+(128.2-1094.3)+(-6.76974+(-0.261528--2.232372))+0-577.4--1.17789599999997</f>
        <v>1771.3790000000001</v>
      </c>
      <c r="U270" s="3">
        <f>3229.1+(165.8-1029.9)+(0+(0-0))+0-594.4-0</f>
        <v>1770.6</v>
      </c>
      <c r="V270" s="3">
        <f>3609.5+(203.4-1349.2)+(0+(0-0))+0-625.7-0</f>
        <v>1837.9999999999998</v>
      </c>
      <c r="W270" s="3">
        <f>4770.3+(499.4-2578.2)+(0+(0-0))+0-557.6-0</f>
        <v>2133.9000000000005</v>
      </c>
      <c r="X270" s="3">
        <f>4660.2+(422.5-2233.7)+(-9.506808+(-0.8619--4.556748))+0-654.3--1.33477199999997</f>
        <v>2190.222812</v>
      </c>
      <c r="Y270" s="3">
        <f>4147.8+(420-1823.8)+(-6.346134+(-0.6426--2.790414))+0-599.6--0.917388000000035</f>
        <v>2141.119068</v>
      </c>
      <c r="Z270" s="3">
        <f>3690.1+(361.9-1356)+(-1.881951+(-0.184569--0.69156))+0-600--0.305999999999939</f>
        <v>2094.9310399999999</v>
      </c>
      <c r="AA270" s="3">
        <f>3175.4+(529.3-1110.3)+(-6.477816+(-1.079772--2.265012))+0-580--1.18319999999997</f>
        <v>2010.2906240000002</v>
      </c>
      <c r="AB270" s="3">
        <f>3164.9+(451.8-1014)+(-8.070495+(-1.15209--2.5857))+0-658.4--1.6789199999999</f>
        <v>1939.3420349999997</v>
      </c>
      <c r="AC270" s="3">
        <f>3092.2+(338-947)+(-7.88511+(-0.8619--2.41485))+0-627.4--1.59986999999991</f>
        <v>1851.0677099999998</v>
      </c>
      <c r="AD270">
        <v>2407.0000000000005</v>
      </c>
      <c r="AE270" s="3">
        <f>5487+(584.3-2983.7)+(0+(0-0))+0-680.6-0</f>
        <v>2407.0000000000005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2813.7+(367.9-865.9)+(-2.869974+(-0.375258--0.883218))+0-570.5--0.581910000000091</f>
        <v>1743.4198960000001</v>
      </c>
      <c r="G271" s="3">
        <f>2719.5+(399.8-822.8)+(-5.54778+(-0.815592--1.678512))+0-651.1--1.32824399999997</f>
        <v>1642.0433840000003</v>
      </c>
      <c r="H271" s="3">
        <f>2668.7+(338.9-821.8)+(-1.361037+(-0.172839--0.419118))+0-600.2--0.306101999999939</f>
        <v>1584.7913439999995</v>
      </c>
      <c r="I271" s="3">
        <f>2626.5+(340.9-845.7)+(-2.67903+(-0.347718--0.862614))+0-563.3--0.57456600000009</f>
        <v>1556.8104319999998</v>
      </c>
      <c r="J271" s="3">
        <f>2716.5+(353.6-866)+(1.385415+(0.180336-0.44166))+0-659.6-0.336395999999933</f>
        <v>1545.2876950000002</v>
      </c>
      <c r="K271" s="3">
        <f>2677.3+(312.4-869.2)+(0+(0-0))+0-555-0</f>
        <v>1565.5</v>
      </c>
      <c r="L271" s="3">
        <f>2933.4+(296.5-888.6)+(-1.496034+(-0.151215--0.453186))+0-686.9--0.35031899999993</f>
        <v>1653.5562560000001</v>
      </c>
      <c r="M271" s="3">
        <f>2589.3+(280.6-666.6)+(-9.243801+(-1.001742--2.379762))+0-503.7--1.79820900000001</f>
        <v>1693.5324280000002</v>
      </c>
      <c r="N271" s="3">
        <f>3201.7+(132.1-921.7)+(3.265734+(0.134742-0.940134))+0-660.2-0.673404000000105</f>
        <v>1753.6869379999996</v>
      </c>
      <c r="O271" s="3">
        <f>3304.1+(122.1-1189.9)+(0+(0-0))+0-491.4-0</f>
        <v>1744.8999999999996</v>
      </c>
      <c r="P271" s="3">
        <f>3353.6+(104.5-1079.5)+(-6.841344+(-0.21318--2.20218))+0-499--1.01795999999998</f>
        <v>1875.7656159999999</v>
      </c>
      <c r="Q271" s="3">
        <f>3577.3+(99.2-1184.2)+(-3.648846+(-0.101184--1.207884))+0-594.3--0.606186000000095</f>
        <v>1896.0640400000007</v>
      </c>
      <c r="R271" s="3">
        <f>3414.6+(92.9-1289.9)+(-8.70723+(-0.236895--3.289245))+0-410.3--1.04626499999994</f>
        <v>1802.6913849999999</v>
      </c>
      <c r="S271" s="3">
        <f>3272.9+(138.3-980.3)+(-5.007537+(-0.211599--1.499859))+0-654.5--1.00138500000004</f>
        <v>1773.682108</v>
      </c>
      <c r="T271" s="3">
        <f>3234.3+(120.4-1041.2)+(-3.298986+(-0.122808--1.062024))+0-565.2--0.57650400000009</f>
        <v>1746.516734</v>
      </c>
      <c r="U271" s="3">
        <f>3236.6+(120.8-1030.8)+(1.650666+(0.061608-0.525708))+0-561.2-0.286211999999943</f>
        <v>1766.3003539999997</v>
      </c>
      <c r="V271" s="3">
        <f>3414.8+(121.7-1143.3)+(3.483096+(0.124134-1.166166))+0-584.9-0.596598000000093</f>
        <v>1810.1444660000002</v>
      </c>
      <c r="W271" s="3">
        <f>4095.6+(266.9-1770.7)+(0+(0-0))+0-536.9-0</f>
        <v>2054.8999999999996</v>
      </c>
      <c r="X271" s="3">
        <f>4497.2+(308.3-2063.5)+(-11.46786+(-0.786165--5.261925))+0-573--1.46114999999992</f>
        <v>2163.4690500000002</v>
      </c>
      <c r="Y271" s="3">
        <f>4794.2+(531.1-2509.9)+(2.445042+(0.270861-1.280049))+0-652.4-0.332723999999934</f>
        <v>2164.1031299999995</v>
      </c>
      <c r="Z271" s="3">
        <f>4259.7+(464.4-2032.7)+(-4.344894+(-0.473688--2.073354))+0-602.6--0.614652000000096</f>
        <v>2086.6694239999997</v>
      </c>
      <c r="AA271" s="3">
        <f>4054.4+(490.2-1898.9)+(-10.33872+(-1.25001--4.842195))+0-625.4--1.59476999999991</f>
        <v>2015.1482349999994</v>
      </c>
      <c r="AB271" s="3">
        <f>3956.3+(579.2-1977.8)+(-6.053139+(-0.886176--3.026034))+0-619.3--0.947529000000036</f>
        <v>1935.4342480000003</v>
      </c>
      <c r="AC271" s="3">
        <f>3358+(454.8-1370)+(-8.5629+(-1.15974--3.4935))+0-639.5--1.63072499999991</f>
        <v>1798.7015850000003</v>
      </c>
      <c r="AD271">
        <v>2106</v>
      </c>
      <c r="AE271" s="3">
        <f>4515+(265.5-2052.9)+(0+(0-0))+0-621.6-0</f>
        <v>2106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2845.5+(308.8-929.2)+(0+(0-0))+0-539.6-0</f>
        <v>1685.5</v>
      </c>
      <c r="G272" s="3">
        <f>2735.6+(300.2-779.2)+(-5.580624+(-0.612408--1.589568))+0-651.4--1.32885599999997</f>
        <v>1601.9253919999999</v>
      </c>
      <c r="H272" s="3">
        <f>2648.2+(245.4-768.8)+(-6.75291+(-0.62577--1.96044))+0-560.8--1.43003999999992</f>
        <v>1560.0117999999998</v>
      </c>
      <c r="I272" s="3">
        <f>2659.2+(209.4-774.5)+(4.068576+(0.320382-1.184985))+0-576.6-0.882198000000033</f>
        <v>1519.8217750000001</v>
      </c>
      <c r="J272" s="3">
        <f>2655.8+(210-749.5)+(0+(0-0))+0-586.3-0</f>
        <v>1530.0000000000002</v>
      </c>
      <c r="K272" s="3">
        <f>3031.4+(162.2-1005.1)+(4.638042+(0.248166-1.537803))+0-637.3-0.975069000000037</f>
        <v>1553.5733360000002</v>
      </c>
      <c r="L272" s="3">
        <f>2894.9+(260.6-892)+(-1.476399+(-0.132906--0.45492))+0-614.1--0.313190999999938</f>
        <v>1648.5588060000002</v>
      </c>
      <c r="M272" s="3">
        <f>3093.9+(292-967)+(1.577889+(0.14892-0.49317))+0-572.1-0.291770999999942</f>
        <v>1847.7418680000003</v>
      </c>
      <c r="N272" s="3">
        <f>3293.2+(713.5-1558.1)+(-1.679532+(-0.363885--0.794631))+0-599.3--0.305642999999939</f>
        <v>1848.3568569999998</v>
      </c>
      <c r="O272" s="3">
        <f>3492.4+(923.2-2110.1)+(-5.343372+(-1.412496--3.228453))+0-530.9--0.812277000000031</f>
        <v>1771.8848619999999</v>
      </c>
      <c r="P272" s="3">
        <f>3904.5+(841.4-2356.8)+(-5.973885+(-1.287342--3.605904))+0-528--0.807840000000031</f>
        <v>1858.2525169999999</v>
      </c>
      <c r="Q272" s="3">
        <f>3984.2+(753-2540.2)+(-6.095826+(-1.15209--3.886506))+0-401.9--0.614907000000023</f>
        <v>1792.3534970000001</v>
      </c>
      <c r="R272" s="3">
        <f>3587.2+(759.4-2023.8)+(-5.488416+(-1.161882--3.096414))+0-520.6--0.79651800000003</f>
        <v>1799.442634</v>
      </c>
      <c r="S272" s="3">
        <f>3670.3+(735.1-2141)+(-3.743706+(-0.749802--2.18382))+0-514.7--0.524994000000082</f>
        <v>1747.9153060000003</v>
      </c>
      <c r="T272" s="3">
        <f>3516.3+(701.8-2042.9)+(-7.173252+(-1.431672--4.167516))+0-436.5--0.890459999999981</f>
        <v>1735.1530520000001</v>
      </c>
      <c r="U272" s="3">
        <f>3185+(836.3-1889.3)+(-1.62435+(-0.426513--0.963543))+0-465--0.237149999999953</f>
        <v>1666.1498299999998</v>
      </c>
      <c r="V272" s="3">
        <f>3154.6+(868.2-1825.9)+(-1.608846+(-0.442782--0.931209))+0-440.8--0.224807999999955</f>
        <v>1755.2043889999998</v>
      </c>
      <c r="W272" s="3">
        <f>4614.6+(900.1-2944.8)+(-2.353446+(-0.459051--1.501848))+0-524.9--0.267698999999947</f>
        <v>2043.95705</v>
      </c>
      <c r="X272" s="3">
        <f>4507.3+(869.8-2723.1)+(-9.194892+(-1.774392--5.555124))+0-464.9--0.94839599999998</f>
        <v>2184.6342359999999</v>
      </c>
      <c r="Y272" s="3">
        <f>4409.4+(681-2367.5)+(-11.24397+(-1.73655--6.037125))+0-578.2--1.47440999999992</f>
        <v>2139.2310149999994</v>
      </c>
      <c r="Z272" s="3">
        <f>3903+(649-1979.4)+(-9.95265+(-1.65495--5.04747))+0-464.8--1.18523999999993</f>
        <v>2102.4251099999997</v>
      </c>
      <c r="AA272" s="3">
        <f>3248.8+(806.3-1507.7)+(-4.970664+(-1.233639--2.306781))+0-496.9--0.760257000000029</f>
        <v>2047.3627349999999</v>
      </c>
      <c r="AB272" s="3">
        <f>2996.4+(915.7-1405.2)+(-7.64082+(-2.335035--3.58326))+0-568--1.44839999999992</f>
        <v>1933.9558050000003</v>
      </c>
      <c r="AC272" s="3">
        <f>2588.8+(964.8-1191.9)+(-6.60144+(-2.46024--3.039345))+0-519.3--1.32421499999992</f>
        <v>1837.7018799999996</v>
      </c>
      <c r="AD272">
        <v>2103.9000000000005</v>
      </c>
      <c r="AE272" s="3">
        <f>5084+(872.8-3259.7)+(0+(0-0))+0-593.2-0</f>
        <v>2103.9000000000005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2221.1+(837.2-720.1)+(0+(0-0))+0-612.7-0</f>
        <v>1725.4999999999998</v>
      </c>
      <c r="G273" s="3">
        <f>2165.9+(776-747)+(0+(0-0))+0-522.2-0</f>
        <v>1672.7</v>
      </c>
      <c r="H273" s="3">
        <f>2090.7+(682.8-589)+(0+(0-0))+0-614.4-0</f>
        <v>1570.1</v>
      </c>
      <c r="I273" s="3">
        <f>2148.3+(556.7-613.7)+(0+(0-0))+0-530.6-0</f>
        <v>1560.7000000000003</v>
      </c>
      <c r="J273" s="3">
        <f>2215.9+(578.6-683.4)+(0+(0-0))+0-559.5-0</f>
        <v>1551.6000000000004</v>
      </c>
      <c r="K273" s="3">
        <f>2290.2+(612.5-718.9)+(0+(0-0))+0-604.6-0</f>
        <v>1579.1999999999998</v>
      </c>
      <c r="L273" s="3">
        <f>2372.5+(564.1-683.9)+(0+(0-0))+0-478.2-0</f>
        <v>1774.4999999999998</v>
      </c>
      <c r="M273" s="3">
        <f>2495+(647.8-709.5)+(0+(0-0))+0-588.4-0</f>
        <v>1844.9</v>
      </c>
      <c r="N273" s="3">
        <f>2650.6+(917.2-1172.4)+(0+(0-0))+0-531.2-0</f>
        <v>1864.1999999999996</v>
      </c>
      <c r="O273" s="3">
        <f>2907+(978-1440.9)+(-2.96514+(-0.99756--1.469718))+0-523--0.533460000000083</f>
        <v>1919.1404779999998</v>
      </c>
      <c r="P273" s="3">
        <f>3274.3+(946.4-1804.9)+(-5.009679+(-1.447992--2.761497))+0-516.6--0.79039800000003</f>
        <v>1896.2942240000002</v>
      </c>
      <c r="Q273" s="3">
        <f>3210.3+(776.7-1811.2)+(-4.911759+(-1.188351--2.771136))+0-409.7--0.626841000000024</f>
        <v>1763.3978670000001</v>
      </c>
      <c r="R273" s="3">
        <f>3118.9+(920.9-1633.3)+(-6.362556+(-1.878636--3.331932))+0-616.2--1.25704799999997</f>
        <v>1786.647788</v>
      </c>
      <c r="S273" s="3">
        <f>2921.8+(920.2-1597.6)+(-7.45059+(-2.34651--4.07388))+0-441.6--1.12607999999994</f>
        <v>1798.2028600000008</v>
      </c>
      <c r="T273" s="3">
        <f>3202.6+(895.6-1707.3)+(0+(0-0))+0-566.2-0</f>
        <v>1824.7</v>
      </c>
      <c r="U273" s="3">
        <f>3222.9+(882-1833)+(-8.218395+(-2.2491--4.67415))+0-487.6--1.24337999999993</f>
        <v>1779.750035</v>
      </c>
      <c r="V273" s="3">
        <f>3212.5+(1024.5-1975.1)+(-1.638375+(-0.522495--1.007301))+0-457.2--0.233171999999954</f>
        <v>1803.779603</v>
      </c>
      <c r="W273" s="3">
        <f>4291.2+(1101.7-2781.1)+(2.188512+(0.561867-1.418361))+0-510.6-0.260405999999948</f>
        <v>2102.2716120000005</v>
      </c>
      <c r="X273" s="3">
        <f>4266.8+(1080.7-2643.9)+(-4.352136+(-1.102314--2.696778))+0-484.9--0.494598000000077</f>
        <v>2216.4369260000003</v>
      </c>
      <c r="Y273" s="3">
        <f>3937.6+(1071.1-2303)+(-4.016352+(-1.092522--2.34906))+0-520.4--0.530808000000083</f>
        <v>2183.0709939999997</v>
      </c>
      <c r="Z273" s="3">
        <f>3764+(1046.6-2124.2)+(-7.67856+(-2.135064--4.333368))+0-529--1.07915999999998</f>
        <v>2152.998904</v>
      </c>
      <c r="AA273" s="3">
        <f>3554.1+(835.4-1822.9)+(-7.250364+(-1.704216--3.718716))+0-506.9--1.03407599999998</f>
        <v>2055.4982119999995</v>
      </c>
      <c r="AB273" s="3">
        <f>3223.2+(828.7-1525.2)+(-4.931496+(-1.267911--2.333556))+0-547--0.836910000000032</f>
        <v>1976.6710589999998</v>
      </c>
      <c r="AC273" s="3">
        <f>2844.1+(909.4-1396.8)+(-5.801964+(-1.855176--2.849472))+0-490.4--1.00041599999998</f>
        <v>1862.4927479999999</v>
      </c>
      <c r="AD273">
        <v>2214.5</v>
      </c>
      <c r="AE273" s="3">
        <f>4733+(1051.8-3037.9)+(0+(0-0))+0-532.4-0</f>
        <v>2214.4999999999995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2255+(926.2-983.5)+(-3.45015+(-1.417086--1.504755))+0-490--0.749700000000028</f>
        <v>1705.0872189999998</v>
      </c>
      <c r="G274" s="3">
        <f>2160.4+(838.5-815.5)+(-5.50902+(-2.138175--2.079525))+0-570.6--1.45502999999992</f>
        <v>1608.6873600000001</v>
      </c>
      <c r="H274" s="3">
        <f>2145.3+(733-728.7)+(-1.094103+(-0.37383--0.371637))+0-569.3--0.290342999999942</f>
        <v>1579.4940470000001</v>
      </c>
      <c r="I274" s="3">
        <f>2172.6+(697.8-765.1)+(0+(0-0))+0-559.2-0</f>
        <v>1546.0999999999997</v>
      </c>
      <c r="J274" s="3">
        <f>2258.9+(707.6-801.5)+(1.152039+(0.360876-0.408765))+0-623-0.317729999999937</f>
        <v>1542.7864200000001</v>
      </c>
      <c r="K274" s="3">
        <f>2416.8+(681.1-923.4)+(4.930272+(1.389444-1.883736))+0-604.3-1.23277199999997</f>
        <v>1573.4032080000002</v>
      </c>
      <c r="L274" s="3">
        <f>2184.5+(845-692.2)+(3.342285+(1.29285-1.059066))+0-609.6-0.932688000000035</f>
        <v>1730.3433810000004</v>
      </c>
      <c r="M274" s="3">
        <f>2379.1+(808.8-799.8)+(0+(0-0))+0-563.1-0</f>
        <v>1825</v>
      </c>
      <c r="N274" s="3">
        <f>2879+(865.2-1309.7)+(-1.46829+(-0.441252--0.667947))+0-505.1--0.257600999999949</f>
        <v>1928.4160060000002</v>
      </c>
      <c r="O274" s="3">
        <f>3036.4+(979.2-1582.1)+(-3.097128+(-0.998784--1.613742))+0-569.5--0.580890000000091</f>
        <v>1862.09872</v>
      </c>
      <c r="P274" s="3">
        <f>3178.8+(1002.9-1780.8)+(-3.242376+(-1.022958--1.816416))+0-525.1--0.535602000000084</f>
        <v>1873.8866840000003</v>
      </c>
      <c r="Q274" s="3">
        <f>3147+(1059.1-1763.4)+(-6.41988+(-2.160564--3.597336))+0-577.6--1.17830399999997</f>
        <v>1861.295196</v>
      </c>
      <c r="R274" s="3">
        <f>2927.8+(924.2-1547.9)+(-4.479534+(-1.414026--2.368287))+0-478.8--0.732564000000028</f>
        <v>1822.5072910000004</v>
      </c>
      <c r="S274" s="3">
        <f>3204.9+(740.8-1574.5)+(-3.268998+(-0.755616--1.60599))+0-571.4--0.582828000000091</f>
        <v>1797.9642039999999</v>
      </c>
      <c r="T274" s="3">
        <f>3191.8+(753.4-1676.4)+(-3.255636+(-0.768468--1.709928))+0-506.6--0.516732000000081</f>
        <v>1760.4025560000005</v>
      </c>
      <c r="U274" s="3">
        <f>3273.7+(812.7-1828.6)+(-1.669587+(-0.414477--0.932586))+0-525.7--0.268106999999947</f>
        <v>1731.2166289999998</v>
      </c>
      <c r="V274" s="3">
        <f>3467+(757.2-1814.2)+(-1.76817+(-0.386172--0.925242))+0-612.2--0.312221999999938</f>
        <v>1796.883122</v>
      </c>
      <c r="W274" s="3">
        <f>4610.8+(733.9-2775.5)+(4.703016+(0.748578-2.83101))+0-487.4-0.497148000000078</f>
        <v>2083.923436</v>
      </c>
      <c r="X274" s="3">
        <f>5135.5+(525-2771)+(0+(0-0))+0-640.1-0</f>
        <v>2249.4</v>
      </c>
      <c r="Y274" s="3">
        <f>4466.6+(601.1-2290.1)+(-13.667796+(-1.839366--7.007706))+0-529.6--1.62057600000006</f>
        <v>2241.1211200000007</v>
      </c>
      <c r="Z274" s="3">
        <f>4208.4+(688.8-2063.4)+(0+(0-0))+0-638.6-0</f>
        <v>2195.1999999999994</v>
      </c>
      <c r="AA274" s="3">
        <f>3840.3+(722.6-1884)+(-5.875659+(-1.105578--2.88252))+0-545.6--0.834768000000032</f>
        <v>2130.0360510000005</v>
      </c>
      <c r="AB274" s="3">
        <f>4138.2+(757-2285.8)+(-8.441928+(-1.54428--4.663032))+0-578--1.17911999999997</f>
        <v>2027.2559439999998</v>
      </c>
      <c r="AC274" s="3">
        <f>3625.2+(610.9-1784.4)+(-9.24426+(-1.557795--4.55022))+0-555.2--1.41575999999992</f>
        <v>1891.6639249999996</v>
      </c>
      <c r="AD274">
        <v>2278.9</v>
      </c>
      <c r="AE274" s="3">
        <f>5348+(492.8-2863.3)+(0+(0-0))+0-698.6-0</f>
        <v>2278.9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2637.9+(772.7-1024)+(-5.381316+(-1.576308--2.08896))+0-649.2--1.32436799999997</f>
        <v>1733.8557040000003</v>
      </c>
      <c r="G275" s="3">
        <f>2571.1+(601.6-945.5)+(-2.622522+(-0.613632--0.96441))+0-576.1--0.587622000000092</f>
        <v>1649.4158779999998</v>
      </c>
      <c r="H275" s="3">
        <f>2684.3+(476.4-994.9)+(-1.368993+(-0.242964--0.507399))+0-577.5--0.294524999999941</f>
        <v>1587.4899670000002</v>
      </c>
      <c r="I275" s="3">
        <f>2714.3+(490.3-1046.7)+(1.384293+(0.250053-0.533817))+0-587.8-0.29977799999994</f>
        <v>1570.9007510000001</v>
      </c>
      <c r="J275" s="3">
        <f>2470.6+(526.7-757)+(-7.560036+(-1.611702--2.31642))+0-668.9--2.04683400000008</f>
        <v>1566.5915160000002</v>
      </c>
      <c r="K275" s="3">
        <f>2738.5+(385.6-875.7)+(5.58654+(0.786624-1.786428))+0-621.7-1.26826799999997</f>
        <v>1630.0184680000002</v>
      </c>
      <c r="L275" s="3">
        <f>2584.8+(521.5-754.9)+(2.636496+(0.53193-0.769998))+0-584.7-0.596394000000093</f>
        <v>1768.5020339999999</v>
      </c>
      <c r="M275" s="3">
        <f>2470.1+(731.1-749.9)+(-6.298755+(-1.864305--1.912245))+0-574.9--1.46599499999992</f>
        <v>1871.6151800000002</v>
      </c>
      <c r="N275" s="3">
        <f>2929.4+(596-1064.3)+(1.493994+(0.30396-0.542793))+0-540.5-0.275654999999945</f>
        <v>1921.5795060000005</v>
      </c>
      <c r="O275" s="3">
        <f>3223.5+(664.5-1581.7)+(-3.28797+(-0.67779--1.613334))+0-384.5--0.392190000000061</f>
        <v>1919.8397640000003</v>
      </c>
      <c r="P275" s="3">
        <f>3099.5+(1006.9-1743.3)+(1.580745+(0.513519-0.889083))+0-473.9-0.241688999999952</f>
        <v>1890.1634919999997</v>
      </c>
      <c r="Q275" s="3">
        <f>3221.4+(1030.5-2000.9)+(-1.642914+(-0.525555--1.020459))+0-369.4--0.188393999999963</f>
        <v>1880.640384</v>
      </c>
      <c r="R275" s="3">
        <f>3015.4+(903.3-1677.5)+(-7.68927+(-2.303415--4.277625))+0-370.2--0.944009999999946</f>
        <v>1866.2289499999997</v>
      </c>
      <c r="S275" s="3">
        <f>2972.8+(747.8-1395.3)+(-4.548384+(-1.144134--2.134809))+0-485--0.742050000000028</f>
        <v>1837.4843410000001</v>
      </c>
      <c r="T275" s="3">
        <f>3024.1+(734.1-1435)+(-1.542291+(-0.374391--0.73185))+0-489.4--0.24959399999995</f>
        <v>1832.8647619999997</v>
      </c>
      <c r="U275" s="3">
        <f>2971+(747.1-1466.1)+(6.06084+(1.524084-2.990844))+0-433.2-0.883727999999981</f>
        <v>1822.5103519999998</v>
      </c>
      <c r="V275" s="3">
        <f>2933.4+(820.3-1446)+(-2.992068+(-0.836706--1.47492))+0-570.1--0.581502000000091</f>
        <v>1735.827648</v>
      </c>
      <c r="W275" s="3">
        <f>4577.1+(763.3-2687.3)+(2.334321+(0.389283-1.370523))+0-558.5-0.284834999999943</f>
        <v>2095.6682460000006</v>
      </c>
      <c r="X275" s="3">
        <f>4695.5+(662.1-2623.7)+(-9.57882+(-1.350684--5.352348))+0-520.7--1.06222799999998</f>
        <v>2208.6850720000002</v>
      </c>
      <c r="Y275" s="3">
        <f>4305.6+(734-2212)+(-8.783424+(-1.49736--4.51248))+0-600.8--1.22563199999997</f>
        <v>2222.2573280000001</v>
      </c>
      <c r="Z275" s="3">
        <f>4250.5+(761.8-2408.8)+(-6.503265+(-1.165554--3.685464))+0-461.2--0.705636000000027</f>
        <v>2139.0222810000005</v>
      </c>
      <c r="AA275" s="3">
        <f>3873.1+(987.1-2254.7)+(-5.925843+(-1.510263--3.449691))+0-521.6--0.79804800000003</f>
        <v>2080.7116330000003</v>
      </c>
      <c r="AB275" s="3">
        <f>3350.5+(951.1-1807.3)+(-5.126265+(-1.455183--2.765169))+0-602.5--0.921825000000035</f>
        <v>1888.9055460000002</v>
      </c>
      <c r="AC275" s="3">
        <f>2967+(774.4-1343.7)+(-7.56585+(-1.97472--3.426435))+0-544--1.38719999999992</f>
        <v>1848.9730649999999</v>
      </c>
      <c r="AD275">
        <v>2148.6999999999998</v>
      </c>
      <c r="AE275" s="3">
        <f>5016+(748-3049.6)+(0+(0-0))+0-565.7-0</f>
        <v>2148.6999999999998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2605.8+(729.8-1072.8)+(-3.986874+(-1.116594--1.641384))+0-551.2--0.843336000000032</f>
        <v>1708.9812520000005</v>
      </c>
      <c r="G276" s="3">
        <f>2121.4+(911.1-813.6)+(-2.163828+(-0.929322--0.829872))+0-583.2--0.594864000000093</f>
        <v>1634.0315860000003</v>
      </c>
      <c r="H276" s="3">
        <f>1967.9+(856.1-677.3)+(-2.007258+(-0.873222--0.690846))+0-569.3--0.580686000000091</f>
        <v>1575.7910520000005</v>
      </c>
      <c r="I276" s="3">
        <f>1981+(803.6-628.2)+(1.01031+(0.409836-0.320382))+0-608.7-0.310436999999938</f>
        <v>1548.4893270000002</v>
      </c>
      <c r="J276" s="3">
        <f>2021.9+(751.3-696.2)+(1.031169+(0.383163-0.355062))+0-506-0.258059999999949</f>
        <v>1571.8012100000003</v>
      </c>
      <c r="K276" s="3">
        <f>2319.3+(727.3-819.5)+(1.182843+(0.370923-0.417945))+0-643.5-0.328184999999935</f>
        <v>1584.4076360000004</v>
      </c>
      <c r="L276" s="3">
        <f>2316.2+(672.3-784.3)+(1.181262+(0.342873-0.399993))+0-467.4-0.238373999999953</f>
        <v>1737.6857679999998</v>
      </c>
      <c r="M276" s="3">
        <f>2224.2+(858.8-650.6)+(-2.268684+(-0.875976--0.663612))+0-607.1--0.619242000000097</f>
        <v>1823.4381939999996</v>
      </c>
      <c r="N276" s="3">
        <f>2768.3+(714.1-1154.5)+(4.235499+(1.092573-1.766385))+0-488.9-0.748017000000028</f>
        <v>1841.8136699999998</v>
      </c>
      <c r="O276" s="3">
        <f>3035.8+(867-1591.9)+(-7.74129+(-2.21085--4.059345))+0-477.4--1.21736999999993</f>
        <v>1828.8245749999996</v>
      </c>
      <c r="P276" s="3">
        <f>3036.6+(974.3-1673.4)+(-1.548666+(-0.496893--0.853434))+0-512.4--0.261323999999948</f>
        <v>1824.1691989999999</v>
      </c>
      <c r="Q276" s="3">
        <f>3336.4+(1012.7-2134.8)+(-5.104692+(-1.549431--3.266244))+0-359.3--0.549729000000021</f>
        <v>1852.1618500000004</v>
      </c>
      <c r="R276" s="3">
        <f>3450.9+(1028.5-2123.6)+(-3.519918+(-1.04907--2.166072))+0-508.3--0.518466000000081</f>
        <v>1845.6155500000002</v>
      </c>
      <c r="S276" s="3">
        <f>3303.3+(1003.4-2001.6)+(-3.369366+(-1.023468--2.041632))+0-506.6--0.516732000000081</f>
        <v>1796.6655300000007</v>
      </c>
      <c r="T276" s="3">
        <f>3116.2+(1043.7-1847)+(-4.767786+(-1.596861--2.82591))+0-545.2--0.834156000000032</f>
        <v>1764.9954189999999</v>
      </c>
      <c r="U276" s="3">
        <f>3037.8+(984.3-1820.2)+(-7.74639+(-2.509965--4.64151))+0-431.6--1.10057999999994</f>
        <v>1765.7857350000002</v>
      </c>
      <c r="V276" s="3">
        <f>3203.4+(914.8-1797.5)+(3.267468+(0.933096-1.83345))+0-486.8-0.496536000000078</f>
        <v>1835.7705779999999</v>
      </c>
      <c r="W276" s="3">
        <f>4205.5+(1046.9-2652.4)+(-6.434415+(-1.601757--4.058172))+0-472.2--0.722466000000027</f>
        <v>2124.5444660000003</v>
      </c>
      <c r="X276" s="3">
        <f>3829.3+(1224.5-2180)+(-7.811772+(-2.49798--4.4472))+0-636.8--1.29907199999997</f>
        <v>2232.4365200000002</v>
      </c>
      <c r="Y276" s="3">
        <f>3894.5+(1171.5-2402.2)+(3.97239+(1.19493-2.450244))+0-445.2-0.454104000000071</f>
        <v>2220.8629720000004</v>
      </c>
      <c r="Z276" s="3">
        <f>4376.1+(961.6-2526.1)+(-8.927244+(-1.961664--5.153244))+0-662.9--1.35231599999997</f>
        <v>2144.3166520000004</v>
      </c>
      <c r="AA276" s="3">
        <f>4142+(766.6-2336.4)+(-8.44968+(-1.563864--4.766256))+0-489.4--0.998375999999979</f>
        <v>2078.5510879999997</v>
      </c>
      <c r="AB276" s="3">
        <f>4360.3+(753-2500.4)+(2.223753+(0.38403-1.275204))+0-641.9-0.327368999999935</f>
        <v>1972.00521</v>
      </c>
      <c r="AC276" s="3">
        <f>4353.8+(578.8-2560.6)+(-2.220438+(-0.295188--1.305906))+0-528.6--0.269585999999946</f>
        <v>1842.4598660000001</v>
      </c>
      <c r="AD276">
        <v>2285.5</v>
      </c>
      <c r="AE276" s="3">
        <f>4006+(1179-2302.6)+(0+(0-0))+0-596.9-0</f>
        <v>2285.5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3529+(652.7-1722.8)+(-1.79979+(-0.332877--0.878628))+0-615.9--0.314108999999938</f>
        <v>1842.06007</v>
      </c>
      <c r="G277" s="3">
        <f>2721.6+(660.7-1130.1)+(-1.388016+(-0.336957--0.576351))+0-530.3--0.270452999999946</f>
        <v>1721.0218309999996</v>
      </c>
      <c r="H277" s="3">
        <f>2349.5+(635.3-759.2)+(0+(0-0))+0-584-0</f>
        <v>1641.6</v>
      </c>
      <c r="I277" s="3">
        <f>2386+(617-791.3)+(-1.21686+(-0.31467--0.403563))+0-606.8--0.309467999999938</f>
        <v>1604.0815009999999</v>
      </c>
      <c r="J277" s="3">
        <f>2360.6+(599.1-860)+(1.203906+(0.305541-0.4386))+0-496.3-0.25311299999995</f>
        <v>1604.2177339999998</v>
      </c>
      <c r="K277" s="3">
        <f>2371.3+(635.6-765.2)+(0+(0-0))+0-604.5-0</f>
        <v>1637.2000000000003</v>
      </c>
      <c r="L277" s="3">
        <f>2487.5+(671.1-860.5)+(1.268625+(0.342261-0.438855))+0-574.1-0.292790999999942</f>
        <v>1724.8792400000002</v>
      </c>
      <c r="M277" s="3">
        <f>2461.2+(629.7-819.6)+(0+(0-0))+0-529.5-0</f>
        <v>1741.7999999999997</v>
      </c>
      <c r="N277" s="3">
        <f>2911.6+(467.5-980.4)+(-2.969832+(-0.47685--1.000008))+0-566.8--0.57813600000009</f>
        <v>1830.0314620000001</v>
      </c>
      <c r="O277" s="3">
        <f>3143.4+(703.9-1507)+(1.603134+(0.358989-0.76857))+0-464.4-0.236843999999953</f>
        <v>1876.8567090000001</v>
      </c>
      <c r="P277" s="3">
        <f>3674+(788-2033.7)+(5.62122+(1.20564-3.111561))+0-560.8-0.858024000000032</f>
        <v>1870.3572750000001</v>
      </c>
      <c r="Q277" s="3">
        <f>3730.1+(808.4-2254.5)+(-1.902351+(-0.412284--1.149795))+0-429.9--0.219248999999956</f>
        <v>1853.154409</v>
      </c>
      <c r="R277" s="3">
        <f>3286.2+(887.5-1758.2)+(-8.37981+(-2.263125--4.48341))+0-542.1--1.38235499999992</f>
        <v>1868.62283</v>
      </c>
      <c r="S277" s="3">
        <f>2863.8+(709.6-1253.8)+(-5.842152+(-1.447584--2.557752))+0-530.2--1.08160799999998</f>
        <v>1785.7496240000003</v>
      </c>
      <c r="T277" s="3">
        <f>2902.5+(557.3-1144.7)+(-1.480275+(-0.284223--0.583797))+0-557.2--0.284171999999944</f>
        <v>1757.0034709999995</v>
      </c>
      <c r="U277" s="3">
        <f>2782.8+(538.4-1143.2)+(-7.09614+(-1.37292--2.91516))+0-436.1--1.11205499999994</f>
        <v>1737.458155</v>
      </c>
      <c r="V277" s="3">
        <f>3309+(511.7-1456.9)+(5.06277+(0.782901-2.229057))+0-536-0.820080000000031</f>
        <v>1830.5965340000002</v>
      </c>
      <c r="W277" s="3">
        <f>4847.1+(595.3-2790.5)+(0+(0-0))+0-558.8-0</f>
        <v>2093.1000000000004</v>
      </c>
      <c r="X277" s="3">
        <f>4978.6+(674.4-2882.3)+(-12.69543+(-1.71972--7.349865))+0-544.8--1.38923999999992</f>
        <v>2220.2239549999999</v>
      </c>
      <c r="Y277" s="3">
        <f>4641.5+(721.3-2582.2)+(-11.835825+(-1.839315--6.58461))+0-601.8--1.53458999999991</f>
        <v>2173.2440600000004</v>
      </c>
      <c r="Z277" s="3">
        <f>4793+(740.6-2870.5)+(-7.33329+(-1.133118--4.391865))+0-537.7--0.822681000000031</f>
        <v>2122.148138</v>
      </c>
      <c r="AA277" s="3">
        <f>4774.9+(765-2837)+(-2.435199+(-0.39015--1.44687))+0-654.7--0.333896999999934</f>
        <v>2047.1554179999996</v>
      </c>
      <c r="AB277" s="3">
        <f>3830.7+(798.5-2113.9)+(-5.860971+(-1.221705--3.234267))+0-530.9--0.812277000000031</f>
        <v>1981.3638679999995</v>
      </c>
      <c r="AC277" s="3">
        <f>3071.1+(744.6-1294.7)+(-3.132522+(-0.759492--1.320594))+0-646.3--0.659226000000103</f>
        <v>1872.7878059999998</v>
      </c>
      <c r="AD277">
        <v>2143.3999999999996</v>
      </c>
      <c r="AE277" s="3">
        <f>5236+(594.7-3194.8)+(0+(0-0))+0-492.5-0</f>
        <v>2143.3999999999996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2662.4+(678.2-904.1)+(0+(0-0))+0-619.7-0</f>
        <v>1816.8</v>
      </c>
      <c r="G278" s="3">
        <f>2558.3+(650.2-882.1)+(-6.523665+(-1.65801--2.249355))+0-646.8--1.64933999999991</f>
        <v>1675.3170200000002</v>
      </c>
      <c r="H278" s="3">
        <f>2303.1+(631.5-689.9)+(-4.698324+(-1.28826--1.407396))+0-595.5--1.21481999999997</f>
        <v>1645.8356319999996</v>
      </c>
      <c r="I278" s="3">
        <f>2240.4+(621.8-654.1)+(1.142604+(0.317118-0.333591))+0-600.8-0.306407999999939</f>
        <v>1608.119723</v>
      </c>
      <c r="J278" s="3">
        <f>2365.7+(459.3-755.2)+(1.206507+(0.234243-0.385152))+0-469.2-0.239291999999952</f>
        <v>1601.4163059999996</v>
      </c>
      <c r="K278" s="3">
        <f>2703.9+(430.6-920.5)+(0+(0-0))+0-580.4-0</f>
        <v>1633.6</v>
      </c>
      <c r="L278" s="3">
        <f>2516.7+(541.4-781.4)+(-1.283517+(-0.276114--0.398514))+0-622.8--0.317627999999937</f>
        <v>1653.0565109999998</v>
      </c>
      <c r="M278" s="3">
        <f>2389.9+(564.9-640.9)+(2.437698+(0.576198-0.653718))+0-598.6-0.610572000000095</f>
        <v>1717.049606</v>
      </c>
      <c r="N278" s="3">
        <f>2467.1+(681.5-722.2)+(2.516442+(0.69513-0.736644))+0-640.5-0.653310000000102</f>
        <v>1787.7216179999996</v>
      </c>
      <c r="O278" s="3">
        <f>2696.1+(550.6-974.8)+(0+(0-0))+0-419.5-0</f>
        <v>1852.4</v>
      </c>
      <c r="P278" s="3">
        <f>3085.5+(716.8-1376)+(-3.14721+(-0.731136--1.40352))+0-549.1--0.560082000000088</f>
        <v>1875.2852560000003</v>
      </c>
      <c r="Q278" s="3">
        <f>3176.7+(632.6-1472.3)+(3.240234+(0.645252-1.501746))+0-505.9-0.516018000000081</f>
        <v>1832.9677220000001</v>
      </c>
      <c r="R278" s="3">
        <f>2947.2+(714.3-1354.4)+(-4.509216+(-1.092879--2.072232))+0-581.2--0.889236000000034</f>
        <v>1723.2593729999992</v>
      </c>
      <c r="S278" s="3">
        <f>2681.5+(645.3-1152.5)+(-6.837825+(-1.645515--2.938875))+0-490.1--1.24975499999993</f>
        <v>1679.9052900000002</v>
      </c>
      <c r="T278" s="3">
        <f>2258.3+(708.5-723.7)+(-3.455199+(-1.084005--1.107261))+0-603.5--0.923355000000035</f>
        <v>1637.0914120000004</v>
      </c>
      <c r="U278" s="3">
        <f>1781.4+(876.2-495.1)+(-3.634056+(-1.787448--1.010004))+0-534.5--1.09037999999998</f>
        <v>1624.6788799999997</v>
      </c>
      <c r="V278" s="3">
        <f>2039.5+(843.5-619.5)+(-1.040145+(-0.430185--0.315945))+0-601--0.306509999999939</f>
        <v>1661.6521250000001</v>
      </c>
      <c r="W278" s="3">
        <f>3569.4+(691.4-1722.7)+(1.820394+(0.352614-0.878577))+0-555.9-0.283508999999944</f>
        <v>1983.2109219999998</v>
      </c>
      <c r="X278" s="3">
        <f>4173+(674.6-1941)+(-8.51292+(-1.376184--3.95964))+0-675.3--1.37761199999997</f>
        <v>2226.7481480000001</v>
      </c>
      <c r="Y278" s="3">
        <f>4022.7+(669.1-1897.7)+(6.154731+(1.023723-2.903481))+0-590.7-0.903771000000034</f>
        <v>2206.7712019999999</v>
      </c>
      <c r="Z278" s="3">
        <f>3778.3+(780.1-1755.4)+(-1.926933+(-0.397851--0.895254))+0-656.4--0.334763999999933</f>
        <v>2145.5052339999997</v>
      </c>
      <c r="AA278" s="3">
        <f>3713.9+(706.1-1682.5)+(-5.682267+(-1.080333--2.574225))+0-657.7--1.00628100000004</f>
        <v>2076.6179059999995</v>
      </c>
      <c r="AB278" s="3">
        <f>3229.7+(608.9-1286.3)+(-3.294294+(-0.621078--1.312026))+0-552--0.563040000000088</f>
        <v>1998.2596939999999</v>
      </c>
      <c r="AC278" s="3">
        <f>3055.4+(641.3-1182.7)+(-4.674762+(-0.981189--1.809531))+0-654.4--1.00123200000004</f>
        <v>1856.7548120000001</v>
      </c>
      <c r="AD278">
        <v>2287.6999999999998</v>
      </c>
      <c r="AE278" s="3">
        <f>4377+(830.2-2225.1)+(0+(0-0))+0-694.4-0</f>
        <v>2287.7000000000003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2389.1+(658.7-844.4)+(-6.092205+(-1.679685--2.15322))+0-527.3--1.34461499999992</f>
        <v>1671.8259450000003</v>
      </c>
      <c r="G279" s="3">
        <f>1881.8+(866.4-485.9)+(-2.879154+(-1.325592--0.743427))+0-653.5--0.999855000000038</f>
        <v>1606.3385360000002</v>
      </c>
      <c r="H279" s="3">
        <f>1833.7+(800.8-496.4)+(-4.675935+(-2.04204--1.26582))+0-564.6--1.43972999999992</f>
        <v>1569.4875749999999</v>
      </c>
      <c r="I279" s="3">
        <f>2193.4+(623-596.5)+(-2.237268+(-0.63546--0.60843))+0-663.9--0.677178000000106</f>
        <v>1554.4128800000001</v>
      </c>
      <c r="J279" s="3">
        <f>1963+(706.6-535.7)+(0+(0-0))+0-573.5-0</f>
        <v>1560.4</v>
      </c>
      <c r="K279" s="3">
        <f>2092.4+(652.3-517.8)+(-2.134248+(-0.665346--0.528156))+0-655.5--0.668610000000105</f>
        <v>1569.797172</v>
      </c>
      <c r="L279" s="3">
        <f>2131.4+(783.6-591.4)+(1.087014+(0.399636-0.301614))+0-604.2-0.308141999999939</f>
        <v>1720.2768940000003</v>
      </c>
      <c r="M279" s="3">
        <f>2347.2+(644.8-640.8)+(2.394144+(0.657696-0.653616))+0-543-0.553860000000087</f>
        <v>1810.0443639999999</v>
      </c>
      <c r="N279" s="3">
        <f>2491.9+(702.4-873.1)+(1.270869+(0.358224-0.445281))+0-437.3-0.223022999999956</f>
        <v>1884.8607890000001</v>
      </c>
      <c r="O279" s="3">
        <f>2950.7+(656.4-1223.5)+(6.019428+(1.339056-2.49594))+0-555.7-1.13362799999998</f>
        <v>1831.6289159999999</v>
      </c>
      <c r="P279" s="3">
        <f>3486.7+(612.8-1633.7)+(1.778217+(0.312528-0.833187))+0-527-0.268769999999947</f>
        <v>1939.7887879999996</v>
      </c>
      <c r="Q279" s="3">
        <f>3600.3+(506.7-1883.9)+(1.836153+(0.258417-0.960789))+0-364.1-0.185690999999963</f>
        <v>1859.9480900000005</v>
      </c>
      <c r="R279" s="3">
        <f>3361.4+(578.3-1557.3)+(-8.57157+(-1.474665--3.971115))+0-550.9--1.40479499999992</f>
        <v>1826.829675</v>
      </c>
      <c r="S279" s="3">
        <f>3071.4+(367.7-1239.4)+(1.566414+(0.187527-0.632094))+0-381.3-0.194462999999961</f>
        <v>1819.3273839999997</v>
      </c>
      <c r="T279" s="3">
        <f>2929.4+(401.2-1079.3)+(2.987988+(0.409224-1.100886))+0-507.5-0.517650000000081</f>
        <v>1745.5786760000003</v>
      </c>
      <c r="U279" s="3">
        <f>3098.6+(399.2-1309.1)+(0+(0-0))+0-455.9-0</f>
        <v>1732.7999999999997</v>
      </c>
      <c r="V279" s="3">
        <f>3184.3+(489.1-1389.6)+(-3.247986+(-0.498882--1.417392))+0-435.6--0.444312000000069</f>
        <v>1846.3148360000005</v>
      </c>
      <c r="W279" s="3">
        <f>4422.3+(741.6-2613.6)+(0+(0-0))+0-436.2-0</f>
        <v>2114.1000000000004</v>
      </c>
      <c r="X279" s="3">
        <f>4605.2+(810.5-2711)+(-4.697304+(-0.82671--2.76522))+0-468.6--0.477972000000075</f>
        <v>2233.8191780000002</v>
      </c>
      <c r="Y279" s="3">
        <f>4328+(490.5-2076.3)+(-8.82912+(-1.00062--4.235652))+0-494.1--1.00796399999998</f>
        <v>2243.513876</v>
      </c>
      <c r="Z279" s="3">
        <f>4286.6+(328-1897.1)+(-2.186166+(-0.16728--0.967521))+0-582.4--0.297023999999941</f>
        <v>2134.0110990000003</v>
      </c>
      <c r="AA279" s="3">
        <f>3922.5+(212.7-1476.8)+(-4.00095+(-0.216954--1.506336))+0-530.6--0.541212000000085</f>
        <v>2125.6296440000001</v>
      </c>
      <c r="AB279" s="3">
        <f>3486.7+(306.7-1188.9)+(-1.778217+(-0.156417--0.606339))+0-593.4--0.30263399999994</f>
        <v>2010.074339</v>
      </c>
      <c r="AC279" s="3">
        <f>3274.2+(352.6-1163.8)+(-1.669842+(-0.179826--0.593538))+0-566.6--0.288965999999943</f>
        <v>1895.4328359999997</v>
      </c>
      <c r="AD279">
        <v>2232.4</v>
      </c>
      <c r="AE279" s="3">
        <f>4903+(806.8-3030.6)+(0+(0-0))+0-446.8-0</f>
        <v>2232.3999999999996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3078+(344.4-1135.9)+(-3.13956+(-0.351288--1.158618))+0-541.8--0.552636000000086</f>
        <v>1742.9204060000002</v>
      </c>
      <c r="G280" s="3">
        <f>2398.8+(454.2-728.4)+(-1.223388+(-0.231642--0.371484))+0-485.2--0.247451999999951</f>
        <v>1638.5639060000003</v>
      </c>
      <c r="H280" s="3">
        <f>2239.1+(477.9-514.5)+(-3.425823+(-0.731187--0.787185))+0-589.2--0.901476000000034</f>
        <v>1610.8316509999997</v>
      </c>
      <c r="I280" s="3">
        <f>2211.7+(459.7-537.7)+(-3.383901+(-0.703341--0.822681))+0-556.1--0.850833000000032</f>
        <v>1575.1862719999999</v>
      </c>
      <c r="J280" s="3">
        <f>2234+(535.8-585.4)+(0+(0-0))+0-609-0</f>
        <v>1575.4</v>
      </c>
      <c r="K280" s="3">
        <f>2240.6+(500-545.1)+(0+(0-0))+0-562.5-0</f>
        <v>1633</v>
      </c>
      <c r="L280" s="3">
        <f>2231.2+(675.5-611.6)+(0+(0-0))+0-552.5-0</f>
        <v>1742.6</v>
      </c>
      <c r="M280" s="3">
        <f>2380+(730.7-693.2)+(2.4276+(0.745314-0.707064))+0-554.6-0.565692000000088</f>
        <v>1864.800158</v>
      </c>
      <c r="N280" s="3">
        <f>2809+(508.7-914.7)+(2.86518+(0.518874-0.932994))+0-573.7-0.585174000000092</f>
        <v>1831.1658859999998</v>
      </c>
      <c r="O280" s="3">
        <f>3682.6+(496-1782.8)+(-1.878126+(-0.25296--0.909228))+0-554.4--0.282743999999944</f>
        <v>1840.4608860000001</v>
      </c>
      <c r="P280" s="3">
        <f>3824.7+(450.4-1859.3)+(0+(0-0))+0-546.5-0</f>
        <v>1869.2999999999997</v>
      </c>
      <c r="Q280" s="3">
        <f>4069.4+(507.1-2158.8)+(-6.226182+(-0.775863--3.302964))+0-571.5--0.874395000000033</f>
        <v>1843.3753139999997</v>
      </c>
      <c r="R280" s="3">
        <f>3603.7+(562.8-1748.4)+(-3.675774+(-0.574056--1.783368))+0-531.9--0.542538000000085</f>
        <v>1884.2760759999996</v>
      </c>
      <c r="S280" s="3">
        <f>3485.5+(365.5-1431.3)+(-5.332815+(-0.559215--2.189889))+0-556.9--0.852057000000032</f>
        <v>1859.9499159999996</v>
      </c>
      <c r="T280" s="3">
        <f>3396.3+(431.5-1450.6)+(0+(0-0))+0-581-0</f>
        <v>1796.2000000000003</v>
      </c>
      <c r="U280" s="3">
        <f>3429.3+(493.4-1698.5)+(5.246829+(0.754902-2.598705))+0-416.7-0.637551000000024</f>
        <v>1810.2654750000002</v>
      </c>
      <c r="V280" s="3">
        <f>3362.3+(734.1-1759.4)+(3.429546+(0.748782-1.794588))+0-498.8-0.50877600000008</f>
        <v>1840.0749640000001</v>
      </c>
      <c r="W280" s="3">
        <f>4314.2+(921.4-2648.9)+(6.600726+(1.409742-4.052817))+0-460.3-0.704259000000027</f>
        <v>2129.6533919999997</v>
      </c>
      <c r="X280" s="3">
        <f>4521.5+(918.3-2475.3)+(-4.61193+(-0.936666--2.524806))+0-498.3--0.508266000000079</f>
        <v>2463.6844759999999</v>
      </c>
      <c r="Y280" s="3">
        <f>4058.2+(788.8-2013.2)+(-10.34841+(-2.01144--5.13366))+0-584.3--1.48996499999992</f>
        <v>2243.7637749999994</v>
      </c>
      <c r="Z280" s="3">
        <f>3854.4+(512.3-1666.6)+(1.965744+(0.261273-0.849966))+0-558.2-0.284681999999943</f>
        <v>2142.9923690000001</v>
      </c>
      <c r="AA280" s="3">
        <f>3422.5+(506.6-1216.4)+(-5.236425+(-0.775098--1.861092))+0-611.7--0.935901000000035</f>
        <v>2097.7854699999998</v>
      </c>
      <c r="AB280" s="3">
        <f>3172.5+(393.3-1034.8)+(-6.4719+(-0.802332--2.110992))+0-577.6--1.17830399999997</f>
        <v>1949.4150640000003</v>
      </c>
      <c r="AC280" s="3">
        <f>2942.3+(343.3-837.8)+(-6.002292+(-0.700332--1.709112))+0-615.1--1.25480399999997</f>
        <v>1828.9612920000002</v>
      </c>
      <c r="AD280">
        <v>2232.6000000000004</v>
      </c>
      <c r="AE280" s="3">
        <f>4761+(947.5-2941.7)+(0+(0-0))+0-534.2-0</f>
        <v>2232.6000000000004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2466.1+(487.3-680)+(-5.030844+(-0.994092--1.3872))+0-574.9--1.17279599999997</f>
        <v>1695.0350599999999</v>
      </c>
      <c r="G281" s="3">
        <f>2301.4+(529.9-616.6)+(-2.347428+(-0.540498--0.628932))+0-622.6--0.635052000000099</f>
        <v>1590.4760580000002</v>
      </c>
      <c r="H281" s="3">
        <f>2297+(493.4-625.3)+(-1.17147+(-0.251634--0.318903))+0-585.8--0.298757999999941</f>
        <v>1578.4945569999998</v>
      </c>
      <c r="I281" s="3">
        <f>2521.3+(472.9-766.6)+(3.857589+(0.723537-1.172898))+0-663.9-1.01576700000004</f>
        <v>1566.092461</v>
      </c>
      <c r="J281" s="3">
        <f>2314.7+(468.6-668.9)+(0+(0-0))+0-541.5-0</f>
        <v>1572.8999999999996</v>
      </c>
      <c r="K281" s="3">
        <f>2374.8+(487.7-630.7)+(7.266888+(1.492362-1.929942))+0-541.5-1.65699000000006</f>
        <v>1695.4723180000001</v>
      </c>
      <c r="L281" s="3">
        <f>2419.3+(554.8-624.2)+(0+(0-0))+0-620.9-0</f>
        <v>1729</v>
      </c>
      <c r="M281" s="3">
        <f>2657.7+(512.1-709.8)+(2.710854+(0.522342-0.723996))+0-584.8-0.596496000000093</f>
        <v>1877.1127039999999</v>
      </c>
      <c r="N281" s="3">
        <f>3138.4+(351.8-980.7)+(0+(0-0))+0-623.4-0</f>
        <v>1886.1</v>
      </c>
      <c r="O281" s="3">
        <f>3444.8+(371.2-1348.1)+(3.513696+(0.378624-1.375062))+0-539.8-0.550596000000086</f>
        <v>1930.0666620000004</v>
      </c>
      <c r="P281" s="3">
        <f>4132.9+(604.9-2206.7)+(6.323337+(0.925497-3.376251))+0-537.7-0.822681000000031</f>
        <v>1996.4499019999996</v>
      </c>
      <c r="Q281" s="3">
        <f>4607.5+(725.8-2891.9)+(-2.349825+(-0.370158--1.474869))+0-539.2--0.274991999999945</f>
        <v>1901.2298779999996</v>
      </c>
      <c r="R281" s="3">
        <f>3971.5+(688.2-2213.1)+(-10.127325+(-1.75491--5.643405))+0-549.5--1.40122499999992</f>
        <v>1892.2623950000004</v>
      </c>
      <c r="S281" s="3">
        <f>3222+(622.2-1438.7)+(-4.92966+(-0.951966--2.201211))+0-532.4--0.814572000000031</f>
        <v>1870.2341570000001</v>
      </c>
      <c r="T281" s="3">
        <f>3137+(660.4-1415.4)+(1.59987+(0.336804-0.721854))+0-559.4-0.285293999999943</f>
        <v>1823.529526</v>
      </c>
      <c r="U281" s="3">
        <f>2997.3+(720.1-1290.7)+(-1.528623+(-0.367251--0.658257))+0-601--0.306509999999939</f>
        <v>1824.7688929999999</v>
      </c>
      <c r="V281" s="3">
        <f>2986.5+(898.7-1456.7)+(-3.04623+(-0.916674--1.485834))+0-544.2--0.555084000000087</f>
        <v>1882.3780140000001</v>
      </c>
      <c r="W281" s="3">
        <f>4344+(952.5-2531.2)+(4.43088+(0.97155-2.581824))+0-598.3-0.610266000000095</f>
        <v>2169.2103400000001</v>
      </c>
      <c r="X281" s="3">
        <f>4465.7+(967-2603.8)+(-11.387535+(-2.46585--6.63969))+0-570--1.45349999999992</f>
        <v>2253.1398049999998</v>
      </c>
      <c r="Y281" s="3">
        <f>4130.3+(908.6-2154.2)+(-2.106453+(-0.463386--1.098642))+0-657.8--0.335477999999933</f>
        <v>2225.7642810000007</v>
      </c>
      <c r="Z281" s="3">
        <f>3845.8+(804.7-1994.8)+(-1.961358+(-0.410397--1.017348))+0-489.5--0.24964499999995</f>
        <v>2165.0952380000003</v>
      </c>
      <c r="AA281" s="3">
        <f>3859+(666.2-1814.8)+(-3.93618+(-0.679524--1.851096))+0-613.9--0.626178000000098</f>
        <v>2094.36157</v>
      </c>
      <c r="AB281" s="3">
        <f>3636.1+(737.4-1833)+(-9.272055+(-1.88037--4.67415))+0-557.8--1.42238999999992</f>
        <v>1977.6441150000001</v>
      </c>
      <c r="AC281" s="3">
        <f>3467+(643.3-1611.7)+(-3.53634+(-0.656166--1.643934))+0-587.6--0.599352000000094</f>
        <v>1909.05078</v>
      </c>
      <c r="AD281">
        <v>2367.9</v>
      </c>
      <c r="AE281" s="3">
        <f>5100+(936-3104)+(0+(0-0))+0-564.1-0</f>
        <v>2367.9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2804.1+(576.3-951.9)+(-5.720364+(-1.175652--1.941876))+0-636.7--1.29886799999997</f>
        <v>1788.144728</v>
      </c>
      <c r="G282" s="3">
        <f>2247.3+(708.3-658.2)+(-2.292246+(-0.722466--0.671364))+0-573.1--0.584562000000091</f>
        <v>1722.5412140000003</v>
      </c>
      <c r="H282" s="3">
        <f>2060.8+(782.9-529.8)+(-4.204032+(-1.597116--1.080792))+0-667.2--1.36108799999997</f>
        <v>1643.3407320000001</v>
      </c>
      <c r="I282" s="3">
        <f>2025+(743.7-510.1)+(-4.131+(-1.517148--1.040604))+0-633.6--1.29254399999997</f>
        <v>1621.6849999999999</v>
      </c>
      <c r="J282" s="3">
        <f>2079.1+(727.2-512.2)+(-2.120682+(-0.741744--0.522444))+0-631.3--0.643926000000101</f>
        <v>1661.1039440000002</v>
      </c>
      <c r="K282" s="3">
        <f>2340.1+(627-649.9)+(0+(0-0))+0-622.6-0</f>
        <v>1694.6</v>
      </c>
      <c r="L282" s="3">
        <f>2603.7+(608.2-753.1)+(-1.327887+(-0.310182--0.384081))+0-633--0.322829999999936</f>
        <v>1824.8688419999996</v>
      </c>
      <c r="M282" s="3">
        <f>2680.5+(624.7-739.7)+(1.367055+(0.318597-0.377247))+0-624.6-0.318545999999937</f>
        <v>1941.8898590000003</v>
      </c>
      <c r="N282" s="3">
        <f>2805.2+(402.9-670.9)+(2.861304+(0.410958-0.684318))+0-554.8-0.565896000000088</f>
        <v>1984.4220479999997</v>
      </c>
      <c r="O282" s="3">
        <f>3422.7+(313.1-1189.4)+(3.491154+(0.319362-1.213188))+0-535.6-0.546312000000085</f>
        <v>2012.8510159999994</v>
      </c>
      <c r="P282" s="3">
        <f>3767.6+(542.7-1834)+(1.921476+(0.276777-0.93534))+0-525.4-0.267953999999947</f>
        <v>1951.8949590000002</v>
      </c>
      <c r="Q282" s="3">
        <f>3913.6+(554.3-2105.7)+(0+(0-0))+0-466.6-0</f>
        <v>1895.6</v>
      </c>
      <c r="R282" s="3">
        <f>3706.8+(676-1835.2)+(-9.45234+(-1.7238--4.67976))+0-609.8--1.55498999999991</f>
        <v>1932.8586100000002</v>
      </c>
      <c r="S282" s="3">
        <f>3485.7+(447.9-1476.4)+(-12.443949+(-1.599003--5.270748))+0-518.4--1.85068800000001</f>
        <v>1931.8784839999998</v>
      </c>
      <c r="T282" s="3">
        <f>3085.8+(470.8-1209.1)+(0+(0-0))+0-467-0</f>
        <v>1880.5</v>
      </c>
      <c r="U282" s="3">
        <f>3154.5+(488.3-1276.6)+(4.826385+(0.747099-1.953198))+0-455.5-0.696915000000026</f>
        <v>1913.6233709999997</v>
      </c>
      <c r="V282" s="3">
        <f>3454.9+(546-1593.9)+(-3.523998+(-0.55692--1.625778))+0-446.5--0.455430000000071</f>
        <v>1958.5002899999999</v>
      </c>
      <c r="W282" s="3">
        <f>4649.7+(627.6-2637)+(7.114041+(0.960228-4.03461))+0-450.7-0.689571000000026</f>
        <v>2192.9500880000001</v>
      </c>
      <c r="X282" s="3">
        <f>5013.9+(736.4-2908)+(-12.785445+(-1.87782--7.4154))+0-481--1.22654999999993</f>
        <v>2355.2786849999998</v>
      </c>
      <c r="Y282" s="3">
        <f>4562.5+(612.2-2387.8)+(-11.634375+(-1.56111--6.08889))+0-453.8--1.15718999999993</f>
        <v>2327.1505949999992</v>
      </c>
      <c r="Z282" s="3">
        <f>4259.9+(533.2-1907.8)+(-8.690196+(-1.087728--3.891912))+0-559.5--1.14137999999998</f>
        <v>2321.0553679999998</v>
      </c>
      <c r="AA282" s="3">
        <f>4224.3+(585.8-1942.9)+(-8.617572+(-1.195032--3.963516))+0-685.1--1.39760399999997</f>
        <v>2177.6485159999997</v>
      </c>
      <c r="AB282" s="3">
        <f>3999.9+(625-1987.5)+(-4.079898+(-0.6375--2.02725))+0-523.2--0.533664000000084</f>
        <v>2112.0435160000002</v>
      </c>
      <c r="AC282" s="3">
        <f>3287.7+(709.6-1696.4)+(-13.413816+(-2.895168--6.921312))+0-599.8--2.44718399999995</f>
        <v>1694.1595119999997</v>
      </c>
      <c r="AD282">
        <v>2420.4</v>
      </c>
      <c r="AE282" s="3">
        <f>5173+(812.5-3068.7)+(0+(0-0))+0-496.4-0</f>
        <v>2420.4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2425.9+(655.5-725)+(-2.474418+(-0.66861--0.7395))+0-562.2--0.57344400000009</f>
        <v>1792.3699160000003</v>
      </c>
      <c r="G283" s="3">
        <f>2334.3+(558.9-667.6)+(1.190493+(0.285039-0.340476))+0-511.4-0.260813999999948</f>
        <v>1715.0742420000004</v>
      </c>
      <c r="H283" s="3">
        <f>2334+(520.8-606.9)+(1.19034+(0.265608-0.309519))+0-570.4-0.290903999999942</f>
        <v>1678.3555249999999</v>
      </c>
      <c r="I283" s="3">
        <f>2331.1+(460.7-609.8)+(-1.188861+(-0.234957--0.310998))+0-532.2--0.271421999999946</f>
        <v>1648.9586020000002</v>
      </c>
      <c r="J283" s="3">
        <f>2286.2+(473.8-578.8)+(-5.82981+(-1.20819--1.47594))+0-524.7--1.33798499999992</f>
        <v>1652.2759249999995</v>
      </c>
      <c r="K283" s="3">
        <f>2479.4+(496-628.7)+(-1.264494+(-0.25296--0.320637))+0-589.6--0.30069599999994</f>
        <v>1756.2038789999999</v>
      </c>
      <c r="L283" s="3">
        <f>2571.2+(463.5-663.6)+(-1.311312+(-0.236385--0.338436))+0-522.1--0.266270999999947</f>
        <v>1848.05701</v>
      </c>
      <c r="M283" s="3">
        <f>2647+(555-690.2)+(1.34997+(0.28305-0.352002))+0-556.7-0.283916999999944</f>
        <v>1956.0971010000003</v>
      </c>
      <c r="N283" s="3">
        <f>2759.1+(468.7-738.6)+(-1.407141+(-0.239037--0.376686))+0-500--0.254999999999949</f>
        <v>1988.1855079999998</v>
      </c>
      <c r="O283" s="3">
        <f>3074.6+(532.9-1063.6)+(1.568046+(0.271779-0.542436))+0-504.5-0.257294999999949</f>
        <v>2040.440094</v>
      </c>
      <c r="P283" s="3">
        <f>3277.8+(639.1-1315.1)+(-1.671678+(-0.325941--0.670701))+0-557.4--0.284273999999943</f>
        <v>2043.3573559999998</v>
      </c>
      <c r="Q283" s="3">
        <f>3604.5+(536.5-1630.7)+(-3.67659+(-0.54723--1.663314))+0-459.2--0.468384000000073</f>
        <v>2049.0078780000008</v>
      </c>
      <c r="R283" s="3">
        <f>4046.1+(286.9-1853.2)+(-6.190533+(-0.438957--2.835396))+0-475--0.726750000000027</f>
        <v>2001.7326559999999</v>
      </c>
      <c r="S283" s="3">
        <f>4127.3+(275.2-1904.5)+(-2.104923+(-0.140352--0.971295))+0-518.7--0.264536999999947</f>
        <v>1978.290557</v>
      </c>
      <c r="T283" s="3">
        <f>4089.1+(276.1-1930.7)+(-4.170882+(-0.281622--1.969314))+0-513.2--0.523464000000082</f>
        <v>1919.3402740000001</v>
      </c>
      <c r="U283" s="3">
        <f>3632.2+(380.7-1624.1)+(-1.852422+(-0.194157--0.828291))+0-500.8--0.255407999999949</f>
        <v>1887.0371200000002</v>
      </c>
      <c r="V283" s="3">
        <f>3649.6+(419.8-1638.7)+(0+(0-0))+0-480.5-0</f>
        <v>1950.1999999999998</v>
      </c>
      <c r="W283" s="3">
        <f>4417.1+(805.3-2545)+(4.505442+(0.821406-2.5959))+0-440.7-0.44951400000007</f>
        <v>2238.9814340000007</v>
      </c>
      <c r="X283" s="3">
        <f>4940.1+(909.4-2865.6)+(-12.597255+(-2.31897--7.30728))+0-587.1--1.49710499999991</f>
        <v>2390.6881600000006</v>
      </c>
      <c r="Y283" s="3">
        <f>4482+(759.7-2473.8)+(-11.4291+(-1.937235--6.30819))+0-400.4--1.02101999999994</f>
        <v>2361.4628749999997</v>
      </c>
      <c r="Z283" s="3">
        <f>4220.2+(651.3-1998.7)+(-8.609208+(-1.328652--4.077348))+0-567.6--1.15790399999998</f>
        <v>2300.4973919999998</v>
      </c>
      <c r="AA283" s="3">
        <f>3885.9+(506.9-1719)+(-5.945427+(-0.775557--2.63007))+0-446.4--0.682992000000026</f>
        <v>2223.9920780000002</v>
      </c>
      <c r="AB283" s="3">
        <f>3701.3+(473.5-1473.8)+(-5.662989+(-0.724455--2.254914))+0-568.2--0.869346000000033</f>
        <v>2129.5368160000003</v>
      </c>
      <c r="AC283" s="3">
        <f>3213.5+(373.2-1109.4)+(-8.194425+(-0.95166--2.82897))+0-472.3--1.20436499999993</f>
        <v>1999.8872500000002</v>
      </c>
      <c r="AD283">
        <v>2417.6</v>
      </c>
      <c r="AE283" s="3">
        <f>5101+(1047.2-3160.6)+(0+(0-0))+0-570-0</f>
        <v>2417.6000000000004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2660.5+(572-720.2)+(-4.070565+(-0.87516--1.101906))+0-535--0.818550000000031</f>
        <v>1974.274731</v>
      </c>
      <c r="G284" s="3">
        <f>2388+(636.1-667.8)+(-7.30728+(-1.946466--2.043468))+0-489.1--1.49664600000006</f>
        <v>1861.4863680000003</v>
      </c>
      <c r="H284" s="3">
        <f>2219.8+(675.2-606.2)+(-2.264196+(-0.688704--0.618324))+0-534--0.544680000000085</f>
        <v>1753.0101040000002</v>
      </c>
      <c r="I284" s="3">
        <f>2212.8+(599.2-587.4)+(-3.385584+(-0.916776--0.898722))+0-507.4--0.776322000000029</f>
        <v>1714.5726840000004</v>
      </c>
      <c r="J284" s="3">
        <f>2324.9+(563.4-661.5)+(2.371398+(0.574668-0.67473))+0-508.8-0.518976000000081</f>
        <v>1719.75236</v>
      </c>
      <c r="K284" s="3">
        <f>2492.1+(543-696.6)+(-1.270971+(-0.27693--0.355266))+0-536.2--0.273461999999946</f>
        <v>1801.380827</v>
      </c>
      <c r="L284" s="3">
        <f>2574.6+(572-742.1)+(1.313046+(0.29172-0.378471))+0-552.5-0.281774999999944</f>
        <v>1852.94452</v>
      </c>
      <c r="M284" s="3">
        <f>2475.5+(590-659)+(-2.52501+(-0.6018--0.67218))+0-501.7--0.51173400000008</f>
        <v>1902.8571039999999</v>
      </c>
      <c r="N284" s="3">
        <f>2858.7+(462.3-825.7)+(0+(0-0))+0-555.9-0</f>
        <v>1939.3999999999996</v>
      </c>
      <c r="O284" s="3">
        <f>3351.3+(392.2-1333.3)+(1.709163+(0.200022-0.679983))+0-477.5-0.243524999999952</f>
        <v>1933.6856770000004</v>
      </c>
      <c r="P284" s="3">
        <f>3860+(562.2-1896.9)+(-1.9686+(-0.286722--0.967419))+0-546.9--0.278918999999945</f>
        <v>1977.391016</v>
      </c>
      <c r="Q284" s="3">
        <f>3763.5+(573.6-1939)+(-9.596925+(-1.46268--4.94445))+0-461.5--1.17682499999993</f>
        <v>1931.66167</v>
      </c>
      <c r="R284" s="3">
        <f>3458+(644.7-1616.3)+(-3.52716+(-0.657594--1.648626))+0-541.2--0.552024000000086</f>
        <v>1943.2158959999999</v>
      </c>
      <c r="S284" s="3">
        <f>3086.5+(582.7-1278.6)+(-1.574115+(-0.297177--0.652086))+0-468.3--0.238832999999953</f>
        <v>1921.3196270000001</v>
      </c>
      <c r="T284" s="3">
        <f>3089.5+(530-1131.7)+(-3.15129+(-0.5406--1.154334))+0-568.8--0.580176000000091</f>
        <v>1917.0426200000002</v>
      </c>
      <c r="U284" s="3">
        <f>2852.4+(565.1-1046.6)+(-5.818896+(-1.152804--2.135064))+0-508.6--1.03754399999998</f>
        <v>1858.5009080000002</v>
      </c>
      <c r="V284" s="3">
        <f>2964.7+(615-1127.8)+(1.511997+(0.31365-0.575178))+0-518-0.264179999999947</f>
        <v>1934.8862889999998</v>
      </c>
      <c r="W284" s="3">
        <f>4008+(893.4-2159.2)+(4.08816+(0.911268-2.202384))+0-550.5-0.561510000000088</f>
        <v>2193.9355340000002</v>
      </c>
      <c r="X284" s="3">
        <f>4665.3+(706.5-2455.9)+(-9.517212+(-1.44126--5.010036))+0-555.1--1.13240399999998</f>
        <v>2355.983968</v>
      </c>
      <c r="Y284" s="3">
        <f>4712.3+(566.8-2427.5)+(-9.613092+(-1.156272--4.9521))+0-534.2--1.08976799999998</f>
        <v>2312.6725040000001</v>
      </c>
      <c r="Z284" s="3">
        <f>4502+(539.2-2234.8)+(0+(0-0))+0-540.3-0</f>
        <v>2266.0999999999995</v>
      </c>
      <c r="AA284" s="3">
        <f>4114.3+(537.7-1865.8)+(-8.393172+(-1.096908--3.806232))+0-573.1--1.16912399999997</f>
        <v>2208.5852760000002</v>
      </c>
      <c r="AB284" s="3">
        <f>3793+(676.7-1687.5)+(-3.86886+(-0.690234--1.72125))+0-589.9--0.601698000000094</f>
        <v>2190.0638539999995</v>
      </c>
      <c r="AC284" s="3">
        <f>3126.3+(884.3-1322.5)+(-3.188826+(-0.901986--1.34895))+0-617.5--0.629850000000099</f>
        <v>2068.4879880000008</v>
      </c>
      <c r="AD284">
        <v>2413</v>
      </c>
      <c r="AE284" s="3">
        <f>4494+(957.2-2388.2)+(0+(0-0))+0-650-0</f>
        <v>2413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2599.3+(806.3-728.8)+(-3.976929+(-1.233639--1.115064))+0-627--0.959310000000036</f>
        <v>2046.6638060000002</v>
      </c>
      <c r="G285" s="3">
        <f>2362.4+(858.2-617.7)+(1.204824+(0.437682-0.315027))+0-623.4-0.317933999999937</f>
        <v>1980.5095450000001</v>
      </c>
      <c r="H285" s="3">
        <f>2245.3+(813.5-565.1)+(-3.435309+(-1.244655--0.864603))+0-598.8--0.916164000000035</f>
        <v>1892.0008030000004</v>
      </c>
      <c r="I285" s="3">
        <f>2137.5+(832.2-481.6)+(-4.3605+(-1.697688--0.982464))+0-647.1--1.32008399999997</f>
        <v>1837.2443600000001</v>
      </c>
      <c r="J285" s="3">
        <f>2131.1+(766.2-475.7)+(-4.347444+(-1.563048--0.970428))+0-589.5--1.20257999999997</f>
        <v>1828.3625159999999</v>
      </c>
      <c r="K285" s="3">
        <f>2202.8+(762-497.3)+(1.123428+(0.38862-0.253623))+0-610.5-0.311354999999938</f>
        <v>1857.9470699999999</v>
      </c>
      <c r="L285" s="3">
        <f>2181.4+(902.1-552.7)+(-3.337542+(-1.380213--0.845631))+0-629.2--0.962676000000036</f>
        <v>1898.6905520000003</v>
      </c>
      <c r="M285" s="3">
        <f>2152.1+(929.4-554.4)+(-7.682997+(-3.317958--1.979208))+0-583.1--2.08166700000001</f>
        <v>1937.0599200000001</v>
      </c>
      <c r="N285" s="3">
        <f>2484.7+(707.2-571.9)+(1.267197+(0.360672-0.291669))+0-631.6-0.322115999999936</f>
        <v>1989.4140840000005</v>
      </c>
      <c r="O285" s="3">
        <f>2870.8+(627.5-878.6)+(0+(0-0))+0-594.1-0</f>
        <v>2025.6000000000004</v>
      </c>
      <c r="P285" s="3">
        <f>3290.2+(701.6-1116.8)+(3.356004+(0.715632-1.139136))+0-633-0.645660000000101</f>
        <v>2244.2868399999998</v>
      </c>
      <c r="Q285" s="3">
        <f>3248.8+(729.1-1270)+(-4.970664+(-1.115523--1.9431))+0-538--0.823140000000031</f>
        <v>2166.5800530000001</v>
      </c>
      <c r="R285" s="3">
        <f>3068.3+(733-1170.6)+(0+(0-0))+0-597-0</f>
        <v>2033.7000000000003</v>
      </c>
      <c r="S285" s="3">
        <f>3084.4+(728.7-1194.6)+(-4.719132+(-1.114911--1.827738))+0-645.3--0.987309000000037</f>
        <v>1970.1810040000003</v>
      </c>
      <c r="T285" s="3">
        <f>3024.5+(703-1269.9)+(0+(0-0))+0-517.2-0</f>
        <v>1940.3999999999999</v>
      </c>
      <c r="U285" s="3">
        <f>3140+(743.7-1281.1)+(1.6014+(0.379287-0.653361))+0-684.5-0.349094999999931</f>
        <v>1919.0782310000004</v>
      </c>
      <c r="V285" s="3">
        <f>3082.9+(641.5-1157.8)+(-1.572279+(-0.327165--0.590478))+0-559.9--0.285548999999943</f>
        <v>2005.6765830000002</v>
      </c>
      <c r="W285" s="3">
        <f>3952+(508.3-1573.6)+(4.03104+(0.518466-1.605072))+0-642.8-0.655656000000102</f>
        <v>2246.1887779999997</v>
      </c>
      <c r="X285" s="3">
        <f>4378.3+(647.1-2022.8)+(-2.232933+(-0.330021--1.031628))+0-602.2--0.307121999999939</f>
        <v>2399.1757960000004</v>
      </c>
      <c r="Y285" s="3">
        <f>4227.7+(469.2-1717.1)+(-2.156127+(-0.239292--0.875721))+0-596.9--0.304418999999939</f>
        <v>2381.6847210000001</v>
      </c>
      <c r="Z285" s="3">
        <f>4088.4+(504.7-1699.3)+(-2.085084+(-0.257397--0.866643))+0-573.3--0.292382999999942</f>
        <v>2319.3165450000006</v>
      </c>
      <c r="AA285" s="3">
        <f>4057.4+(417.5-1628.9)+(0+(0-0))+0-569.4-0</f>
        <v>2276.6</v>
      </c>
      <c r="AB285" s="3">
        <f>3433.2+(545.3-1172.7)+(-7.003728+(-1.112412--2.392308))+0-632.3--1.28989199999997</f>
        <v>2169.0660599999992</v>
      </c>
      <c r="AC285" s="3">
        <f>2724.7+(692.2-784)+(-4.168791+(-1.059066--1.19952))+0-590.7--0.903771000000034</f>
        <v>2039.0754339999994</v>
      </c>
      <c r="AD285">
        <v>2403.6000000000004</v>
      </c>
      <c r="AE285" s="3">
        <f>4438+(657.3-1996.7)+(0+(0-0))+0-695-0</f>
        <v>2403.6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2064.3+(1108.6-597.8)+(-2.105586+(-1.130772--0.609756))+0-663.3--0.676566000000106</f>
        <v>1909.8499640000007</v>
      </c>
      <c r="G286" s="3">
        <f>2056+(931.8-589.2)+(-4.19424+(-1.900872--1.201968))+0-571.7--1.16626799999998</f>
        <v>1823.1731239999997</v>
      </c>
      <c r="H286" s="3">
        <f>2109.4+(843.7-538.2)+(0+(0-0))+0-656.7-0</f>
        <v>1758.2</v>
      </c>
      <c r="I286" s="3">
        <f>2134+(782.8-578.4)+(1.08834+(0.399228-0.294984))+0-589.2-0.30049199999994</f>
        <v>1750.0920920000001</v>
      </c>
      <c r="J286" s="3">
        <f>2145.2+(788.8-569.5)+(-1.094052+(-0.402288--0.290445))+0-621--0.316709999999937</f>
        <v>1742.6108149999998</v>
      </c>
      <c r="K286" s="3">
        <f>2190+(769.6-568.5)+(0+(0-0))+0-560.1-0</f>
        <v>1831</v>
      </c>
      <c r="L286" s="3">
        <f>2311.1+(861.8-624.6)+(-1.178661+(-0.439518--0.318546))+0-653.6--0.333335999999934</f>
        <v>1893.7337029999997</v>
      </c>
      <c r="M286" s="3">
        <f>2661.8+(673.4-765.1)+(4.072554+(1.030302-1.170603))+0-539.4-0.825282000000031</f>
        <v>2033.8069710000002</v>
      </c>
      <c r="N286" s="3">
        <f>3355.2+(627.6-1290.7)+(-1.711152+(-0.320076--0.658257))+0-600.7--0.306356999999939</f>
        <v>2090.3333859999998</v>
      </c>
      <c r="O286" s="3">
        <f>3832.8+(711.6-1925.6)+(3.909456+(0.725832-1.964112))+0-498.7-0.508674000000079</f>
        <v>2122.262502</v>
      </c>
      <c r="P286" s="3">
        <f>4322.2+(716-2337.1)+(2.204322+(0.36516-1.191921))+0-542.8-0.276827999999945</f>
        <v>2159.4007329999995</v>
      </c>
      <c r="Q286" s="3">
        <f>4504.1+(762.7-2554.2)+(-4.594182+(-0.777954--2.605284))+0-461--0.470220000000074</f>
        <v>2249.3033680000003</v>
      </c>
      <c r="R286" s="3">
        <f>4000+(718.8-2133.8)+(-4.08+(-0.733176--2.176476))+0-517.1--0.527442000000082</f>
        <v>2065.7907420000001</v>
      </c>
      <c r="S286" s="3">
        <f>3791.9+(601.6-1793.6)+(-1.933869+(-0.306816--0.914736))+0-567.5--0.289424999999942</f>
        <v>2031.363476</v>
      </c>
      <c r="T286" s="3">
        <f>3890.1+(541.7-1884.7)+(-1.983951+(-0.276267--0.961197))+0-555.2--0.283151999999944</f>
        <v>1990.884131</v>
      </c>
      <c r="U286" s="3">
        <f>3436.5+(579.7-1503.6)+(-3.50523+(-0.591294--1.533672))+0-542.7--0.553554000000087</f>
        <v>1967.8907020000004</v>
      </c>
      <c r="V286" s="3">
        <f>3758.4+(842.4-2057.5)+(-1.916784+(-0.429624--1.049325))+0-514.2--0.262241999999948</f>
        <v>2028.0651590000002</v>
      </c>
      <c r="W286" s="3">
        <f>4851.8+(1092.2-3084.7)+(-2.474418+(-0.557022--1.573197))+0-612.1--0.312170999999938</f>
        <v>2246.0539280000003</v>
      </c>
      <c r="X286" s="3">
        <f>4872.2+(818.1-2790.8)+(-7.454466+(-1.251693--4.269924))+0-495.2--0.757656000000029</f>
        <v>2400.6214209999998</v>
      </c>
      <c r="Y286" s="3">
        <f>4911.2+(677.9-2629.7)+(-2.504712+(-0.345729--1.341147))+0-618--0.315179999999937</f>
        <v>2340.2058860000002</v>
      </c>
      <c r="Z286" s="3">
        <f>4409.8+(671.8-2323.6)+(-6.746994+(-1.027854--3.555108))+0-472.8--0.723384000000027</f>
        <v>2281.7036439999997</v>
      </c>
      <c r="AA286" s="3">
        <f>4213.8+(522.2-1887.3)+(-8.596152+(-1.065288--3.850092))+0-631.5--1.28825999999997</f>
        <v>2212.6769119999999</v>
      </c>
      <c r="AB286" s="3">
        <f>3879.8+(534.8-1790)+(-5.936094+(-0.818244--2.7387))+0-514.4--0.78703200000003</f>
        <v>2106.9713940000006</v>
      </c>
      <c r="AC286" s="3">
        <f>3841.4+(558.3-1796.6)+(-7.836456+(-1.138932--3.665064))+0-640.9--1.30743599999997</f>
        <v>1958.1971120000003</v>
      </c>
      <c r="AD286">
        <v>2371.6000000000004</v>
      </c>
      <c r="AE286" s="3">
        <f>5088+(1077.6-3284.4)+(0+(0-0))+0-509.6-0</f>
        <v>2371.6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2908.4+(642-1157.6)+(-5.933136+(-1.30968--2.361504))+0-521.9--1.06467599999998</f>
        <v>1867.0833640000001</v>
      </c>
      <c r="G287" s="3">
        <f>3034.9+(603.8-1306.5)+(3.095598+(0.615876-1.33263))+0-622.2-0.634644000000099</f>
        <v>1711.7441999999994</v>
      </c>
      <c r="H287" s="3">
        <f>2694.4+(558.3-1010.9)+(-5.496576+(-1.138932--2.062236))+0-575.4--1.17381599999997</f>
        <v>1663.000544</v>
      </c>
      <c r="I287" s="3">
        <f>2725.2+(391.9-904.3)+(0+(0-0))+0-579.5-0</f>
        <v>1633.2999999999997</v>
      </c>
      <c r="J287" s="3">
        <f>2649.5+(420-891)+(0+(0-0))+0-572.5-0</f>
        <v>1606</v>
      </c>
      <c r="K287" s="3">
        <f>2788.8+(449.4-982)+(0+(0-0))+0-561.9-0</f>
        <v>1694.3000000000002</v>
      </c>
      <c r="L287" s="3">
        <f>2801.3+(403.4-863.1)+(0+(0-0))+0-561.9-0</f>
        <v>1779.7000000000003</v>
      </c>
      <c r="M287" s="3">
        <f>2801.9+(365.3-960.2)+(-1.428969+(-0.186303--0.489702))+0-562.7--0.286976999999943</f>
        <v>1643.4614069999998</v>
      </c>
      <c r="N287" s="3">
        <f>3257.1+(275.3-1033.3)+(-6.644484+(-0.561612--2.107932))+0-396.6--0.809063999999983</f>
        <v>2098.2109</v>
      </c>
      <c r="O287" s="3">
        <f>3629.6+(546.9-1661.8)+(-5.553288+(-0.836757--2.542554))+0-448--0.685440000000026</f>
        <v>2063.537949</v>
      </c>
      <c r="P287" s="3">
        <f>3670.5+(634.1-1678.4)+(-1.871955+(-0.323391--0.855984))+0-481.1--0.245360999999951</f>
        <v>2144.0059989999995</v>
      </c>
      <c r="Q287" s="3">
        <f>3815.3+(784.5-1925.7)+(-7.783212+(-1.60038--3.928428))+0-603.7--1.23154799999997</f>
        <v>2066.1763840000003</v>
      </c>
      <c r="R287" s="3">
        <f>3213+(578.2-1384.7)+(-8.19315+(-1.47441--3.530985))+0-369.6--0.942479999999946</f>
        <v>2031.705905</v>
      </c>
      <c r="S287" s="3">
        <f>3232.2+(517-1201)+(1.648422+(0.26367-0.61251))+0-529-0.269789999999946</f>
        <v>2020.2297919999999</v>
      </c>
      <c r="T287" s="3">
        <f>3131.8+(518.5-1274)+(1.597218+(0.264435-0.64974))+0-451.8-0.230417999999954</f>
        <v>1925.4814950000005</v>
      </c>
      <c r="U287" s="3">
        <f>3340.6+(589.9-1433.1)+(0+(0-0))+0-477-0</f>
        <v>2020.4</v>
      </c>
      <c r="V287" s="3">
        <f>3300.9+(693.3-1483.4)+(-6.733836+(-1.414332--3.026136))+0-517--1.05467999999998</f>
        <v>1989.7326479999999</v>
      </c>
      <c r="W287" s="3">
        <f>4511.8+(719.2-2461.6)+(0+(0-0))+0-579.3-0</f>
        <v>2190.1000000000004</v>
      </c>
      <c r="X287" s="3">
        <f>4734+(800.6-2705.9)+(-9.65736+(-1.633224--5.520036))+0-508.6--1.03754399999998</f>
        <v>2315.3669959999997</v>
      </c>
      <c r="Y287" s="3">
        <f>4682.9+(669.1-2532.7)+(-9.553116+(-1.364964--5.166708))+0-524.5--1.06997999999998</f>
        <v>2290.1186079999993</v>
      </c>
      <c r="Z287" s="3">
        <f>4237+(751.3-2207.8)+(-8.64348+(-1.532652--4.503912))+0-560.9--1.14423599999998</f>
        <v>2215.0720160000001</v>
      </c>
      <c r="AA287" s="3">
        <f>4232.9+(686.1-2200.3)+(-6.476337+(-1.049733--3.366459))+0-585--0.895050000000034</f>
        <v>2130.4354389999994</v>
      </c>
      <c r="AB287" s="3">
        <f>3778.5+(743.2-1952.8)+(-7.70814+(-1.516128--3.983712))+0-562.3--1.14709199999998</f>
        <v>2002.5065359999999</v>
      </c>
      <c r="AC287" s="3">
        <f>3103.1+(696.5-1400.2)+(-4.747743+(-1.065645--2.142306))+0-509.1--0.778923000000029</f>
        <v>1887.407841</v>
      </c>
      <c r="AD287">
        <v>2325.0999999999995</v>
      </c>
      <c r="AE287" s="3">
        <f>5248+(809.4-3059.9)+(0+(0-0))+0-672.4-0</f>
        <v>2325.1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2374.3+(646.5-736)+(-2.421786+(-0.65943--0.75072))+0-546--0.556920000000087</f>
        <v>1737.0264240000001</v>
      </c>
      <c r="G288" s="3">
        <f>2179.1+(708-659.5)+(-1.111341+(-0.36108--0.336345))+0-579.9--0.295748999999941</f>
        <v>1646.8596729999999</v>
      </c>
      <c r="H288" s="3">
        <f>2175.1+(550.4-652.9)+(-1.109301+(-0.280704--0.332979))+0-476.4--0.242963999999952</f>
        <v>1595.3859379999999</v>
      </c>
      <c r="I288" s="3">
        <f>2263.9+(551.8-665.1)+(1.154589+(0.281418-0.339201))+0-582.7-0.297176999999941</f>
        <v>1568.699629</v>
      </c>
      <c r="J288" s="3">
        <f>2185.1+(500.9-638.9)+(-4.457604+(-1.021836--1.303356))+0-468.3--0.95533199999998</f>
        <v>1575.579248</v>
      </c>
      <c r="K288" s="3">
        <f>2452+(506.6-735.6)+(1.25052+(0.258366-0.375156))+0-620.4-0.316403999999937</f>
        <v>1603.417326</v>
      </c>
      <c r="L288" s="3">
        <f>2538.3+(411.8-737.1)+(-3.883599+(-0.630054--1.127763))+0-492.3--0.753219000000029</f>
        <v>1718.067329</v>
      </c>
      <c r="M288" s="3">
        <f>2787.7+(468.6-791.3)+(-1.421727+(-0.238986--0.403563))+0-628--0.320279999999936</f>
        <v>1836.06313</v>
      </c>
      <c r="N288" s="3">
        <f>3150+(303.5-1184.8)+(0+(0-0))+0-436.4-0</f>
        <v>1832.2999999999997</v>
      </c>
      <c r="O288" s="3">
        <f>3246.8+(568.5-1476.4)+(0+(0-0))+0-463.5-0</f>
        <v>1875.4</v>
      </c>
      <c r="P288" s="3">
        <f>3556.2+(875.5-2141.5)+(1.813662+(0.446505-1.092165))+0-400.5-0.204254999999959</f>
        <v>1890.6637469999998</v>
      </c>
      <c r="Q288" s="3">
        <f>3777.6+(965.5-2345.6)+(-5.779728+(-1.477215--3.588768))+0-533.6--0.816408000000031</f>
        <v>1861.0482330000004</v>
      </c>
      <c r="R288" s="3">
        <f>3245.6+(973.1-1911.4)+(-9.931536+(-2.977686--5.848884))+0-385.4--1.17932400000004</f>
        <v>1916.0189859999998</v>
      </c>
      <c r="S288" s="3">
        <f>3169.8+(725.8-1575.9)+(-6.466392+(-1.480632--3.214836))+0-437.3--0.892091999999981</f>
        <v>1878.559904</v>
      </c>
      <c r="T288" s="3">
        <f>3278.1+(678.1-1489.8)+(-1.671831+(-0.345831--0.759798))+0-564.6--0.287945999999943</f>
        <v>1900.8300819999999</v>
      </c>
      <c r="U288" s="3">
        <f>3191.6+(385.7-1309)+(-1.627716+(-0.196707--0.66759))+0-424.7--0.216596999999957</f>
        <v>1842.659764</v>
      </c>
      <c r="V288" s="3">
        <f>3677.2+(472.5-1715.3)+(-3.750744+(-0.48195--1.749606))+0-538.6--0.549372000000086</f>
        <v>1893.866284</v>
      </c>
      <c r="W288" s="3">
        <f>4402+(654.8-2499)+(-6.73506+(-1.001844--3.82347))+0-397.3--0.607869000000023</f>
        <v>2157.1944349999999</v>
      </c>
      <c r="X288" s="3">
        <f>4624.7+(796.6-2579.8)+(-9.434388+(-1.625064--5.262792))+0-556.3--1.13485199999998</f>
        <v>2280.538192</v>
      </c>
      <c r="Y288" s="3">
        <f>4078.2+(755.7-2114.4)+(-10.39941+(-1.927035--5.39172))+0-507.9--1.29514499999993</f>
        <v>2205.9604199999999</v>
      </c>
      <c r="Z288" s="3">
        <f>3794.4+(657.7-1757.4)+(-3.870288+(-0.670854--1.792548))+0-602.8--0.614856000000096</f>
        <v>2089.7662620000001</v>
      </c>
      <c r="AA288" s="3">
        <f>3737.4+(524.8-1562.8)+(-11.436444+(-1.605888--4.782168))+0-594.4--1.81886400000007</f>
        <v>2098.5587</v>
      </c>
      <c r="AB288" s="3">
        <f>3661.1+(480.9-1614.4)+(-7.468644+(-0.981036--3.293376))+0-530.2--1.08160799999998</f>
        <v>1993.3253039999997</v>
      </c>
      <c r="AC288" s="3">
        <f>3363.6+(493.4-1409.5)+(-3.430872+(-0.503268--1.43769))+0-570.4--0.581808000000091</f>
        <v>1875.185358</v>
      </c>
      <c r="AD288">
        <v>2301.5</v>
      </c>
      <c r="AE288" s="3">
        <f>4635+(775-2598.9)+(0+(0-0))+0-509.6-0</f>
        <v>2301.5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2478.7+(606.3-833.7)+(-6.320685+(-1.546065--2.125935))+0-516.3--1.31656499999992</f>
        <v>1730.5757499999995</v>
      </c>
      <c r="G289" s="3">
        <f>2330.5+(554.8-716.9)+(0+(0-0))+0-516.2-0</f>
        <v>1652.2</v>
      </c>
      <c r="H289" s="3">
        <f>2316+(539.9-758.8)+(-2.36232+(-0.550698--0.773976))+0-498.8--0.50877600000008</f>
        <v>1596.6697340000003</v>
      </c>
      <c r="I289" s="3">
        <f>2431+(542.1-799.9)+(2.47962+(0.552942-0.815898))+0-600-0.612000000000096</f>
        <v>1574.8046639999998</v>
      </c>
      <c r="J289" s="3">
        <f>2404.3+(507.3-813.2)+(1.226193+(0.258723-0.414732))+0-531.1-0.270860999999946</f>
        <v>1568.0993230000004</v>
      </c>
      <c r="K289" s="3">
        <f>2436.9+(511-741.4)+(2.485638+(0.52122-0.756228))+0-585.4-0.597108000000093</f>
        <v>1622.7535219999997</v>
      </c>
      <c r="L289" s="3">
        <f>2429.8+(534.9-618.2)+(4.956792+(1.091196-1.261128))+0-611.1-1.24664399999997</f>
        <v>1738.9402160000002</v>
      </c>
      <c r="M289" s="3">
        <f>2480.8+(566.3-646)+(-1.265208+(-0.288813--0.32946))+0-539.1--0.274940999999945</f>
        <v>1861.0503800000004</v>
      </c>
      <c r="N289" s="3">
        <f>2789.2+(638.3-783.8)+(1.422492+(0.325533-0.399738))+0-663.8-0.338537999999933</f>
        <v>1980.9097489999997</v>
      </c>
      <c r="O289" s="3">
        <f>2969.9+(695.4-1293.6)+(0+(0-0))+0-416.6-0</f>
        <v>1955.1000000000004</v>
      </c>
      <c r="P289" s="3">
        <f>3363.2+(801.9-1521.1)+(0+(0-0))+0-630.8-0</f>
        <v>2013.2</v>
      </c>
      <c r="Q289" s="3">
        <f>3405.2+(878.6-1690.1)+(-6.946608+(-1.792344--3.447804))+0-520.2--1.06120799999998</f>
        <v>2069.2700599999998</v>
      </c>
      <c r="R289" s="3">
        <f>3115.6+(854.9-1402.3)+(-4.766868+(-1.307997--2.145519))+0-569.1--0.870723000000033</f>
        <v>1996.041377</v>
      </c>
      <c r="S289" s="3">
        <f>2991.6+(737-1196.2)+(-4.577148+(-1.12761--1.830186))+0-634.3--0.970479000000037</f>
        <v>1895.1959069999996</v>
      </c>
      <c r="T289" s="3">
        <f>2877.6+(823.3-1171.4)+(1.467576+(0.419883-0.597414))+0-620.4-0.316403999999937</f>
        <v>1910.0736410000002</v>
      </c>
      <c r="U289" s="3">
        <f>2646.3+(900.2-1117.9)+(-1.349613+(-0.459102--0.570129))+0-561.7--0.286466999999943</f>
        <v>1865.9478810000003</v>
      </c>
      <c r="V289" s="3">
        <f>2895.8+(913.3-1286.3)+(-4.430574+(-1.397349--1.968039))+0-605.1--0.925803000000035</f>
        <v>1914.7659190000004</v>
      </c>
      <c r="W289" s="3">
        <f>4081.5+(1013.3-2390.8)+(0+(0-0))+0-552.5-0</f>
        <v>2151.5</v>
      </c>
      <c r="X289" s="3">
        <f>4645.4+(944.5-2584.8)+(-7.107462+(-1.445085--3.954744))+0-681.8--1.04315400000004</f>
        <v>2319.7453509999996</v>
      </c>
      <c r="Y289" s="3">
        <f>4428.1+(679.8-2266)+(-6.774993+(-1.040094--3.46698))+0-560.8--0.858024000000032</f>
        <v>2277.6099170000007</v>
      </c>
      <c r="Z289" s="3">
        <f>4370.6+(541.9-2067.5)+(-11.14503+(-1.381845--5.272125))+0-636.2--1.62230999999991</f>
        <v>2203.1675599999999</v>
      </c>
      <c r="AA289" s="3">
        <f>4223.7+(481.2-1951.6)+(-2.154087+(-0.245412--0.995316))+0-610.7--0.311456999999938</f>
        <v>2141.5072739999996</v>
      </c>
      <c r="AB289" s="3">
        <f>4073.8+(472.2-1942.8)+(-6.232914+(-0.722466--2.972484))+0-584.6--0.894438000000034</f>
        <v>2015.5115420000004</v>
      </c>
      <c r="AC289" s="3">
        <f>2987.3+(480.8-1015.2)+(-6.094092+(-0.980832--2.071008))+0-591.3--1.20625199999997</f>
        <v>1857.802336</v>
      </c>
      <c r="AD289">
        <v>2336.0000000000005</v>
      </c>
      <c r="AE289" s="3">
        <f>5059+(1252.6-3330.1)+(0+(0-0))+0-645.5-0</f>
        <v>2336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2597.8+(527.8-801.5)+(-5.299512+(-1.076712--1.63506))+0-560.8--1.14403199999998</f>
        <v>1759.7028680000003</v>
      </c>
      <c r="G290" s="3">
        <f>2376.9+(561.7-622.8)+(-1.212219+(-0.286467--0.317628))+0-646.7--0.329816999999934</f>
        <v>1668.2487589999998</v>
      </c>
      <c r="H290" s="3">
        <f>2462.9+(464.8-690.5)+(-2.512158+(-0.474096--0.70431))+0-632.4--0.645048000000101</f>
        <v>1603.1631040000004</v>
      </c>
      <c r="I290" s="3">
        <f>2483.8+(484.1-744)+(2.533476+(0.493782-0.75888))+0-611.9-0.624138000000098</f>
        <v>1613.6442400000001</v>
      </c>
      <c r="J290" s="3">
        <f>2455.9+(481.1-718)+(0+(0-0))+0-602.3-0</f>
        <v>1616.7</v>
      </c>
      <c r="K290" s="3">
        <f>2419.4+(527.6-754.3)+(2.467788+(0.538152-0.769386))+0-559-0.570180000000089</f>
        <v>1635.3663740000002</v>
      </c>
      <c r="L290" s="3">
        <f>2333.9+(689.8-613.5)+(2.380578+(0.703596-0.62577))+0-616.1-0.628422000000098</f>
        <v>1795.9299819999999</v>
      </c>
      <c r="M290" s="3">
        <f>2358.9+(675-590.2)+(2.406078+(0.6885-0.602004))+0-512.7-0.522954000000082</f>
        <v>1932.9696199999996</v>
      </c>
      <c r="N290" s="3">
        <f>2664.2+(568.2-676.3)+(0+(0-0))+0-640.8-0</f>
        <v>1915.3</v>
      </c>
      <c r="O290" s="3">
        <f>3338+(503.6-1392.3)+(0+(0-0))+0-524.4-0</f>
        <v>1924.9</v>
      </c>
      <c r="P290" s="3">
        <f>3641.3+(681.6-1843.3)+(1.857063+(0.347616-0.940083))+0-517.2-0.263771999999948</f>
        <v>1963.4008240000003</v>
      </c>
      <c r="Q290" s="3">
        <f>3605.8+(949-1957.4)+(-1.838958+(-0.48399--0.998274))+0-537.1--0.273920999999946</f>
        <v>2059.2492470000002</v>
      </c>
      <c r="R290" s="3">
        <f>3326.1+(800.3-1630.1)+(-6.785244+(-1.632612--3.325404))+0-530.1--1.08140399999998</f>
        <v>1962.1889520000004</v>
      </c>
      <c r="S290" s="3">
        <f>3167.2+(734.2-1434.1)+(-1.615272+(-0.374442--0.731391))+0-547.7--0.279326999999944</f>
        <v>1918.6210040000001</v>
      </c>
      <c r="T290" s="3">
        <f>3257.4+(747-1607.7)+(0+(0-0))+0-505.9-0</f>
        <v>1890.7999999999997</v>
      </c>
      <c r="U290" s="3">
        <f>3321.1+(848.1-1608.6)+(-3.387522+(-0.865062--1.640772))+0-686.6--0.70033200000011</f>
        <v>1872.08852</v>
      </c>
      <c r="V290" s="3">
        <f>3256.6+(969.2-1847.3)+(1.660866+(0.494292-0.942123))+0-472.4-0.240923999999952</f>
        <v>1907.0721110000002</v>
      </c>
      <c r="W290" s="3">
        <f>4498+(766.2-2452.7)+(4.58796+(0.781524-2.501754))+0-575.4-0.586908000000092</f>
        <v>2238.3808219999996</v>
      </c>
      <c r="X290" s="3">
        <f>4860.5+(862.4-2815.5)+(-2.478855+(-0.439824--1.435905))+0-581.9--0.296768999999941</f>
        <v>2324.313995</v>
      </c>
      <c r="Y290" s="3">
        <f>4303.5+(838.9-2259.8)+(-8.77914+(-1.711356--4.609992))+0-568.1--1.15892399999998</f>
        <v>2309.7784199999996</v>
      </c>
      <c r="Z290" s="3">
        <f>4025.1+(612.8-1814)+(-6.158403+(-0.937584--2.77542))+0-510.9--0.781677000000029</f>
        <v>2309.4611099999993</v>
      </c>
      <c r="AA290" s="3">
        <f>3969.9+(644.1-1783.3)+(-6.073947+(-0.985473--2.728449))+0-548.6--0.839358000000032</f>
        <v>2278.6083870000007</v>
      </c>
      <c r="AB290" s="3">
        <f>3878.3+(682.2-1804.8)+(-5.933799+(-1.043766--2.761344))+0-588.6--0.900558000000034</f>
        <v>2163.7843370000001</v>
      </c>
      <c r="AC290" s="3">
        <f>3211.8+(631.9-1154)+(-9.828108+(-1.933614--3.53124))+0-641.2--1.96207200000007</f>
        <v>2042.2315900000003</v>
      </c>
      <c r="AD290">
        <v>2315.1999999999998</v>
      </c>
      <c r="AE290" s="3">
        <f>5076+(834.3-3017.8)+(0+(0-0))+0-577.3-0</f>
        <v>2315.1999999999998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2510.8+(684.2-760.8)+(-2.561016+(-0.697884--0.776016))+0-552.7--0.563754000000088</f>
        <v>1879.5808700000002</v>
      </c>
      <c r="G291" s="3">
        <f>1994.8+(982.2-571.7)+(-3.052044+(-1.502766--0.874701))+0-616.8--0.943704000000036</f>
        <v>1785.7635950000004</v>
      </c>
      <c r="H291" s="3">
        <f>2136.7+(768.3-523.8)+(-1.089717+(-0.391833--0.267138))+0-650.1--0.331550999999934</f>
        <v>1730.2171390000001</v>
      </c>
      <c r="I291" s="3">
        <f>2114.8+(749.1-518)+(5.39274+(1.910205-1.3209))+0-641.8-1.63658999999991</f>
        <v>1708.4454550000005</v>
      </c>
      <c r="J291" s="3">
        <f>2413.9+(593.9-667.5)+(4.924356+(1.211556-1.3617))+0-641.4-1.30845599999997</f>
        <v>1702.3657559999999</v>
      </c>
      <c r="K291" s="3">
        <f>2288.3+(740.9-605.5)+(4.668132+(1.511436-1.23522))+0-685.8-1.39903199999997</f>
        <v>1741.4453160000003</v>
      </c>
      <c r="L291" s="3">
        <f>2318.2+(812.1-667.4)+(8.275974+(2.899197-2.382618))+0-632.9-2.25945300000001</f>
        <v>1836.5330999999996</v>
      </c>
      <c r="M291" s="3">
        <f>2061.7+(905-557.7)+(-3.154401+(-1.38465--0.853281))+0-575.5--0.880515000000033</f>
        <v>1830.694745</v>
      </c>
      <c r="N291" s="3">
        <f>2853.2+(656.2-1018.1)+(4.365396+(1.003986-1.557693))+0-574-0.878220000000033</f>
        <v>1920.2334689999998</v>
      </c>
      <c r="O291" s="3">
        <f>3642.9+(945.1-1950.9)+(3.715758+(0.964002-1.989918))+0-679.3-0.692886000000108</f>
        <v>1959.7969560000001</v>
      </c>
      <c r="P291" s="3">
        <f>3844.8+(1045.7-2460.3)+(3.921696+(1.066614-2.509506))+0-471.5-0.480930000000075</f>
        <v>1960.6978739999995</v>
      </c>
      <c r="Q291" s="3">
        <f>4051.1+(1103.2-2676.9)+(0+(0-0))+0-555-0</f>
        <v>1922.3999999999996</v>
      </c>
      <c r="R291" s="3">
        <f>3666.9+(893.5-2020.4)+(-5.610357+(-1.367055--3.091212))+0-517--0.79101000000003</f>
        <v>2019.9048100000002</v>
      </c>
      <c r="S291" s="3">
        <f>3085.6+(880.7-1421.7)+(0+(0-0))+0-625.1-0</f>
        <v>1919.5</v>
      </c>
      <c r="T291" s="3">
        <f>2900.2+(522.3-1035.1)+(-1.479102+(-0.266373--0.527901))+0-489.3--0.24954299999995</f>
        <v>1897.1319689999998</v>
      </c>
      <c r="U291" s="3">
        <f>2857.4+(487.4-869.8)+(2.914548+(0.497148-0.887196))+0-638.7-0.651474000000102</f>
        <v>1838.1730259999999</v>
      </c>
      <c r="V291" s="3">
        <f>2890+(452.7-1066.5)+(1.4739+(0.230877-0.543915))+0-451.8-0.230417999999954</f>
        <v>1825.3304440000002</v>
      </c>
      <c r="W291" s="3">
        <f>4234.6+(775-2351.4)+(6.478938+(1.18575-3.597642))+0-587.3-0.898569000000034</f>
        <v>2074.0684770000007</v>
      </c>
      <c r="X291" s="3">
        <f>4626+(777.1-2634.4)+(-11.7963+(-1.981605--6.71772))+0-493.5--1.25842499999993</f>
        <v>2269.39824</v>
      </c>
      <c r="Y291" s="3">
        <f>4494.8+(572.1-2145.5)+(-4.584696+(-0.583542--2.18841))+0-642.8--0.655656000000102</f>
        <v>2276.2758279999998</v>
      </c>
      <c r="Z291" s="3">
        <f>4010+(506.9-1754.8)+(-14.3157+(-1.809633--6.264636))+0-500.8--1.78785600000001</f>
        <v>2253.2271589999996</v>
      </c>
      <c r="AA291" s="3">
        <f>3409.9+(551.5-1109.2)+(-10.434294+(-1.68759--3.394152))+0-653.8--2.00062800000008</f>
        <v>2191.6728960000005</v>
      </c>
      <c r="AB291" s="3">
        <f>3119.8+(527.1-1033.9)+(-1.591098+(-0.268821--0.527289))+0-506.6--0.258365999999949</f>
        <v>2105.3257360000002</v>
      </c>
      <c r="AC291" s="3">
        <f>3164.9+(470.7-958.8)+(1.614099+(0.240057-0.488988))+0-666.7-0.340016999999932</f>
        <v>2011.125151</v>
      </c>
      <c r="AD291">
        <v>2286.1</v>
      </c>
      <c r="AE291" s="3">
        <f>4774+(954.2-2859.6)+(0+(0-0))+0-582.5-0</f>
        <v>2286.1000000000004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2404.8+(618.7-597.8)+(-6.13224+(-1.577685--1.52439))+0-570.1--1.45375499999992</f>
        <v>1850.8682200000003</v>
      </c>
      <c r="G292" s="3">
        <f>1962.8+(906.2-499.2)+(0+(0-0))+0-635.2-0</f>
        <v>1734.6000000000001</v>
      </c>
      <c r="H292" s="3">
        <f>1840.7+(818.6-477.5)+(-0.938757+(-0.417486--0.243525))+0-522.3--0.266372999999947</f>
        <v>1658.6536550000003</v>
      </c>
      <c r="I292" s="3">
        <f>2026.8+(749.8-485.2)+(2.067336+(0.764796-0.494904))+0-599.9-0.611898000000096</f>
        <v>1693.2253299999998</v>
      </c>
      <c r="J292" s="3">
        <f>1826.4+(951.1-466.1)+(-1.862928+(-0.970122--0.475422))+0-652.7--0.665754000000104</f>
        <v>1657.0081259999999</v>
      </c>
      <c r="K292" s="3">
        <f>1793.1+(895.7-495.2)+(2.743443+(1.370421-0.757656))+0-517.2-0.79131600000003</f>
        <v>1678.964892</v>
      </c>
      <c r="L292" s="3">
        <f>1949.7+(982.4-573.5)+(0+(0-0))+0-624.8-0</f>
        <v>1733.8</v>
      </c>
      <c r="M292" s="3">
        <f>1802.9+(1114.7-545.8)+(-0.919479+(-0.568497--0.278358))+0-573.8--0.292637999999942</f>
        <v>1797.0830200000003</v>
      </c>
      <c r="N292" s="3">
        <f>2207.7+(836.3-533.7)+(1.125927+(0.426513-0.272187))+0-651.1-0.332060999999934</f>
        <v>1860.1481919999999</v>
      </c>
      <c r="O292" s="3">
        <f>2530.2+(617.2-549.1)+(3.871206+(0.944316-0.840123))+0-452-0.691560000000026</f>
        <v>2149.5838389999994</v>
      </c>
      <c r="P292" s="3">
        <f>2786.4+(627.8-893.6)+(0+(0-0))+0-543.3-0</f>
        <v>1977.3</v>
      </c>
      <c r="Q292" s="3">
        <f>2888.9+(778.2-1145)+(-4.420017+(-1.190646--1.75185))+0-535.9--0.819927000000031</f>
        <v>1983.1611140000005</v>
      </c>
      <c r="R292" s="3">
        <f>2637.7+(746.5-844.1)+(-6.726135+(-1.903575--2.152455))+0-626.1--1.59655499999991</f>
        <v>1909.1193000000001</v>
      </c>
      <c r="S292" s="3">
        <f>2453.4+(735.2-724)+(-3.753702+(-1.124856--1.10772))+0-630.9--0.965277000000036</f>
        <v>1830.8944390000004</v>
      </c>
      <c r="T292" s="3">
        <f>2582.8+(537-762.8)+(-3.951684+(-0.82161--1.167084))+0-511.7--0.78290100000003</f>
        <v>1842.4766910000001</v>
      </c>
      <c r="U292" s="3">
        <f>2688.4+(550.2-686.8)+(4.113252+(0.841806-1.050804))+0-647.3-0.990369000000037</f>
        <v>1907.4138850000002</v>
      </c>
      <c r="V292" s="3">
        <f>3053.4+(514-917.9)+(0+(0-0))+0-619.8-0</f>
        <v>2029.7</v>
      </c>
      <c r="W292" s="3">
        <f>4112+(779-2014.6)+(-4.19424+(-0.79458--2.054892))+0-608.3--0.620466000000097</f>
        <v>2265.7865380000003</v>
      </c>
      <c r="X292" s="3">
        <f>4510.5+(717.9-2153.7)+(-4.60071+(-0.732258--2.196774))+0-679.5--0.693090000000108</f>
        <v>2392.7568960000003</v>
      </c>
      <c r="Y292" s="3">
        <f>4542.5+(591.3-2201.9)+(-4.63335+(-0.603126--2.245938))+0-566--0.57732000000009</f>
        <v>2363.4867819999995</v>
      </c>
      <c r="Z292" s="3">
        <f>4085.6+(646.3-1789.6)+(-4.167312+(-0.659226--1.825392))+0-687.9--0.70165800000011</f>
        <v>2252.100512</v>
      </c>
      <c r="AA292" s="3">
        <f>3465.7+(635.8-1341.9)+(-1.767507+(-0.324258--0.684369))+0-570.1--0.290750999999942</f>
        <v>2188.3833549999995</v>
      </c>
      <c r="AB292" s="3">
        <f>3077+(626.7-960.3)+(-3.13854+(-0.639234--0.979506))+0-652--0.665040000000104</f>
        <v>2089.2667720000004</v>
      </c>
      <c r="AC292" s="3">
        <f>2288.4+(753.8-464.9)+(-4.668336+(-1.537752--0.948396))+0-625.6--1.27622399999997</f>
        <v>1947.7185320000001</v>
      </c>
      <c r="AD292">
        <v>2399.8999999999996</v>
      </c>
      <c r="AE292" s="3">
        <f>4597+(783.7-2265.9)+(0+(0-0))+0-714.9-0</f>
        <v>2399.9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1940.9+(1026-508.1)+(-4.949295+(-2.6163--1.295655))+0-638--1.62689999999991</f>
        <v>1816.15696</v>
      </c>
      <c r="G293" s="3">
        <f>1884.3+(975.3-503.9)+(0+(0-0))+0-645.7-0</f>
        <v>1709.9999999999998</v>
      </c>
      <c r="H293" s="3">
        <f>2015.8+(826.6-485.9)+(2.056116+(0.843132-0.495618))+0-677.8-0.691356000000108</f>
        <v>1680.4122739999998</v>
      </c>
      <c r="I293" s="3">
        <f>1885.6+(847.3-453.3)+(-0.961656+(-0.432123--0.231183))+0-626--0.319259999999936</f>
        <v>1652.7566639999998</v>
      </c>
      <c r="J293" s="3">
        <f>2061.6+(800.5-480.2)+(2.102832+(0.81651-0.489804))+0-682.2-0.695844000000109</f>
        <v>1701.4336939999998</v>
      </c>
      <c r="K293" s="3">
        <f>1892.8+(902.4-462.3)+(-2.895984+(-1.380672--0.707319))+0-657.7--1.00628100000004</f>
        <v>1672.6369440000001</v>
      </c>
      <c r="L293" s="3">
        <f>2178.7+(793.5-447.3)+(-2.222274+(-0.80937--0.456246))+0-699.1--0.713082000000111</f>
        <v>1823.937684</v>
      </c>
      <c r="M293" s="3">
        <f>2512+(457.7-703.7)+(-1.28112+(-0.233427--0.358887))+0-533--0.271829999999946</f>
        <v>1732.11617</v>
      </c>
      <c r="N293" s="3">
        <f>3415.6+(659.7-1496.5)+(1.741956+(0.336447-0.763215))+0-610.6-0.311405999999938</f>
        <v>1969.2037820000003</v>
      </c>
      <c r="O293" s="3">
        <f>4468.4+(869.1-2823.2)+(0+(0-0))+0-508.4-0</f>
        <v>2005.8999999999996</v>
      </c>
      <c r="P293" s="3">
        <f>4671.5+(845.7-3013.7)+(2.382465+(0.431307-1.536987))+0-603.5-0.307784999999939</f>
        <v>1900.9690000000001</v>
      </c>
      <c r="Q293" s="3">
        <f>4579+(899.4-2801.5)+(-7.00587+(-1.376082--4.286295))+0-630.3--0.964359000000036</f>
        <v>2043.4687020000003</v>
      </c>
      <c r="R293" s="3">
        <f>4015.2+(714.1-2078)+(-4.095504+(-0.728382--2.11956))+0-606.8--0.618936000000097</f>
        <v>2042.4146099999998</v>
      </c>
      <c r="S293" s="3">
        <f>3418.4+(587.9-1416.8)+(-3.486768+(-0.599658--1.445136))+0-610.8--0.623016000000097</f>
        <v>1976.681726</v>
      </c>
      <c r="T293" s="3">
        <f>3312.3+(524.9-1372.9)+(3.378546+(0.535398-1.400358))+0-539.6-0.550392000000086</f>
        <v>1926.6631940000002</v>
      </c>
      <c r="U293" s="3">
        <f>3301.9+(545.8-1277.5)+(-3.367938+(-0.556716--1.30305))+0-684--0.697680000000109</f>
        <v>1884.2760760000001</v>
      </c>
      <c r="V293" s="3">
        <f>3248.8+(517.2-1276.6)+(0+(0-0))+0-567.4-0</f>
        <v>1922.0000000000005</v>
      </c>
      <c r="W293" s="3">
        <f>4368.9+(774.8-2385.4)+(4.456278+(0.790296-2.433108))+0-650.2-0.663204000000104</f>
        <v>2110.2502619999991</v>
      </c>
      <c r="X293" s="3">
        <f>4806.2+(673.9-2653.1)+(-7.353486+(-1.031067--4.059243))+0-670--1.02510000000004</f>
        <v>2153.6997899999997</v>
      </c>
      <c r="Y293" s="3">
        <f>4328.6+(430.2-2037)+(-2.207586+(-0.219402--1.03887))+0-559.1--0.285140999999943</f>
        <v>2161.5970230000003</v>
      </c>
      <c r="Z293" s="3">
        <f>3901.6+(265.7-1423.7)+(-7.959264+(-0.542028--2.904348))+0-647.7--1.32130799999997</f>
        <v>2091.6243639999998</v>
      </c>
      <c r="AA293" s="3">
        <f>3587.3+(255.7-1123.3)+(-3.659046+(-0.260814--1.145766))+0-653.5--0.666570000000104</f>
        <v>2064.0924760000007</v>
      </c>
      <c r="AB293" s="3">
        <f>3191+(272-895.8)+(-1.62741+(-0.13872--0.456858))+0-594.3--0.30309299999994</f>
        <v>1971.8938209999999</v>
      </c>
      <c r="AC293" s="3">
        <f>2762.1+(403.7-703.6)+(-4.226013+(-0.617661--1.076508))+0-578.5--0.885105000000033</f>
        <v>1880.8179389999998</v>
      </c>
      <c r="AD293">
        <v>2153.4999999999995</v>
      </c>
      <c r="AE293" s="3">
        <f>5226+(793.2-3144.8)+(0+(0-0))+0-720.9-0</f>
        <v>2153.4999999999995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2445+(547.6-581.6)+(-4.9878+(-1.117104--1.186464))+0-665.7--1.35802799999997</f>
        <v>1741.7395879999999</v>
      </c>
      <c r="G294" s="3">
        <f>2218.6+(532.5-475.9)+(-3.394458+(-0.814725--0.728127))+0-621.8--0.951354000000036</f>
        <v>1650.8702979999998</v>
      </c>
      <c r="H294" s="3">
        <f>2208.4+(485.4-559.5)+(-1.126284+(-0.247554--0.285345))+0-647.2--0.330071999999934</f>
        <v>1486.3415789999999</v>
      </c>
      <c r="I294" s="3">
        <f>2129.5+(398.3-588.4)+(-3.258135+(-0.609399--0.900252))+0-617.7--0.945081000000036</f>
        <v>1319.6777990000001</v>
      </c>
      <c r="J294" s="3">
        <f>2101.6+(473.6-594.5)+(0+(0-0))+0-666.3-0</f>
        <v>1314.3999999999999</v>
      </c>
      <c r="K294" s="3">
        <f>2134.3+(466.4-568.1)+(-3.265479+(-0.713592--0.869193))+0-612.2--0.936666000000035</f>
        <v>1418.2267880000002</v>
      </c>
      <c r="L294" s="3">
        <f>2169+(625.2-451)+(0+(0-0))+0-627-0</f>
        <v>1716.1999999999998</v>
      </c>
      <c r="M294" s="3">
        <f>2212+(610.3-477)+(0+(0-0))+0-601-0</f>
        <v>1744.3000000000002</v>
      </c>
      <c r="N294" s="3">
        <f>2667+(292.8-647)+(0+(0-0))+0-600-0</f>
        <v>1712.8000000000002</v>
      </c>
      <c r="O294" s="3">
        <f>3073+(333.1-1126)+(0+(0-0))+0-477-0</f>
        <v>1803.1</v>
      </c>
      <c r="P294" s="3">
        <f>3659+(432.6-1951)+(0+(0-0))+0-606-0</f>
        <v>1534.6</v>
      </c>
      <c r="Q294" s="3">
        <f>4066+(495.1-2169)+(0+(0-0))+0-493-0</f>
        <v>1899.1</v>
      </c>
      <c r="R294" s="3">
        <f>3531+(631.6-2045)+(0+(0-0))+0-522-0</f>
        <v>1595.6</v>
      </c>
      <c r="S294" s="3">
        <f>3207+(394.9-1549)+(0+(0-0))+0-514-0</f>
        <v>1538.9</v>
      </c>
      <c r="T294" s="3">
        <f>3166+(336.6-1250)+(-4.84398+(-0.514998--1.9125))+0-549--0.839970000000032</f>
        <v>1700.9934920000001</v>
      </c>
      <c r="U294" s="3">
        <f>3158.6+(182.1-1159.8)+(0+(0-0))+0-566-0</f>
        <v>1614.9</v>
      </c>
      <c r="V294" s="3">
        <f>3120.7+(257.9-1136)+(3.183114+(0.263058-1.15872))+0-587.5-0.599250000000094</f>
        <v>1656.788202</v>
      </c>
      <c r="W294" s="3">
        <f>4427.4+(722.4-2431.5)+(4.515948+(0.736848-2.48013))+0-586-0.597720000000093</f>
        <v>2134.4749459999994</v>
      </c>
      <c r="X294" s="3">
        <f>4689.2+(763.3-2576.6)+(-4.782984+(-0.778566--2.628132))+0-603--0.615060000000096</f>
        <v>2270.5816419999996</v>
      </c>
      <c r="Y294" s="3">
        <f>4126+(772.6-2052.5)+(-2.10426+(-0.394026--1.046775))+0-605.5--0.308804999999939</f>
        <v>2239.4572939999998</v>
      </c>
      <c r="Z294" s="3">
        <f>3756.6+(439.2-1432.4)+(-1.915866+(-0.223992--0.730524))+0-612.9--0.312578999999938</f>
        <v>2149.4032449999995</v>
      </c>
      <c r="AA294" s="3">
        <f>3212.7+(264.9-884.1)+(0+(0-0))+0-567.2-0</f>
        <v>2026.3</v>
      </c>
      <c r="AB294" s="3">
        <f>2862.2+(298.8-674.6)+(0+(0-0))+0-550.3-0</f>
        <v>1936.0999999999997</v>
      </c>
      <c r="AC294" s="3">
        <f>2772.5+(353.9-619.3)+(-4.241925+(-0.541467--0.947529))+0-594.5--0.909585000000034</f>
        <v>1909.6737220000002</v>
      </c>
      <c r="AD294">
        <v>2142.5</v>
      </c>
      <c r="AE294" s="3">
        <f>5005+(751.5-2918.3)+(0+(0-0))+0-695.7-0</f>
        <v>2142.5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2026+(795.8-507.9)+(-2.06652+(-0.811716--0.518058))+0-558.6--0.569772000000089</f>
        <v>1753.5095940000003</v>
      </c>
      <c r="G295" s="3">
        <f>1899.9+(863.5-439.8)+(-5.813694+(-2.64231--1.345788))+0-699.9--2.14169400000008</f>
        <v>1618.7314779999999</v>
      </c>
      <c r="H295" s="3">
        <f>1854.2+(680.4-406.1)+(0+(0-0))+0-504.9-0</f>
        <v>1623.6</v>
      </c>
      <c r="I295" s="3">
        <f>1821.1+(767.8-373.3)+(-1.857522+(-0.783156--0.380766))+0-661.7--0.674934000000106</f>
        <v>1552.315022</v>
      </c>
      <c r="J295" s="3">
        <f>1827.8+(719.5-400.2)+(-0.932178+(-0.366945--0.204102))+0-637.3--0.325022999999935</f>
        <v>1509.0300019999997</v>
      </c>
      <c r="K295" s="3">
        <f>2074.5+(651.8-611.1)+(3.173985+(0.997254-0.934983))+0-601-0.919530000000035</f>
        <v>1516.5167259999998</v>
      </c>
      <c r="L295" s="3">
        <f>2102.1+(767.3-595.4)+(-1.072071+(-0.391323--0.303654))+0-662.8--0.338027999999933</f>
        <v>1610.3782879999999</v>
      </c>
      <c r="M295" s="3">
        <f>2057.5+(864.9-499.5)+(-2.09865+(-0.882198--0.50949))+0-642.8--0.655656000000102</f>
        <v>1778.2842980000005</v>
      </c>
      <c r="N295" s="3">
        <f>2505.9+(534.3-636.2)+(-3.834027+(-0.817479--0.973386))+0-613.5--0.938655000000035</f>
        <v>1787.7605349999999</v>
      </c>
      <c r="O295" s="3">
        <f>3021.7+(369.4-937.4)+(-1.541067+(-0.188394--0.478074))+0-570.4--0.290903999999942</f>
        <v>1882.3395169999999</v>
      </c>
      <c r="P295" s="3">
        <f>3330.6+(256.9-1205.5)+(-3.397212+(-0.262038--1.22961))+0-500.5--0.51051000000008</f>
        <v>1879.5808700000002</v>
      </c>
      <c r="Q295" s="3">
        <f>3596+(231.8-1394.2)+(-3.66792+(-0.236436--1.422084))+0-458.5--0.467670000000073</f>
        <v>1973.0853979999997</v>
      </c>
      <c r="R295" s="3">
        <f>3056.1+(292.9-871.8)+(-6.234444+(-0.597516--1.778472))+0-568.8--1.16035199999998</f>
        <v>1904.5068639999997</v>
      </c>
      <c r="S295" s="3">
        <f>2760.6+(368.8-744.2)+(-4.223718+(-0.564264--1.138626))+0-562.7--0.860931000000033</f>
        <v>1819.7115749999998</v>
      </c>
      <c r="T295" s="3">
        <f>2773.9+(384.7-856.5)+(-1.414689+(-0.196197--0.436815))+0-604.1--0.308090999999939</f>
        <v>1697.13402</v>
      </c>
      <c r="U295" s="3">
        <f>2715.4+(487.2-826.6)+(-1.384854+(-0.248472--0.421566))+0-568--0.289679999999942</f>
        <v>1807.0779199999997</v>
      </c>
      <c r="V295" s="3">
        <f>2763.6+(404.2-892.9)+(0+(0-0))+0-539.3-0</f>
        <v>1735.6000000000001</v>
      </c>
      <c r="W295" s="3">
        <f>4144.3+(474.7-2074)+(-2.113593+(-0.242097--1.05774))+0-582.7--0.297176999999941</f>
        <v>1961.2992269999997</v>
      </c>
      <c r="X295" s="3">
        <f>4591.3+(527-2375.2)+(-7.024689+(-0.80631--3.634056))+0-550.5--0.842265000000032</f>
        <v>2189.2453220000007</v>
      </c>
      <c r="Y295" s="3">
        <f>4311.4+(478.7-2012.4)+(-8.795256+(-0.976548--4.105296))+0-588.6--1.20074399999997</f>
        <v>2184.6342359999999</v>
      </c>
      <c r="Z295" s="3">
        <f>3916.1+(320.4-1534.5)+(-5.991633+(-0.490212--2.347785))+0-567.4--0.868122000000033</f>
        <v>2131.3340619999999</v>
      </c>
      <c r="AA295" s="3">
        <f>3483.8+(391.2-1159.2)+(-10.660428+(-1.197072--3.547152))+0-640.2--1.95901200000007</f>
        <v>2069.2486640000006</v>
      </c>
      <c r="AB295" s="3">
        <f>3313.8+(381.9-1211.1)+(-3.380076+(-0.389538--1.235322))+0-521.1--0.531522000000083</f>
        <v>1961.4972300000006</v>
      </c>
      <c r="AC295" s="3">
        <f>2852.6+(493.9-868.6)+(-1.454826+(-0.251889--0.442986))+0-599.4--0.305693999999939</f>
        <v>1877.5419649999997</v>
      </c>
      <c r="AD295">
        <v>2111.2999999999993</v>
      </c>
      <c r="AE295" s="3">
        <f>4901+(528.4-2636.3)+(0+(0-0))+0-681.8-0</f>
        <v>2111.3000000000002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2085+(815.1-543.6)+(-1.06335+(-0.415701--0.277236))+0-635.7--0.324206999999936</f>
        <v>1719.9223919999999</v>
      </c>
      <c r="G296" s="3">
        <f>1942.9+(811.8-537.9)+(-4.954395+(-2.07009--1.371645))+0-565.5--1.44202499999992</f>
        <v>1647.0891849999998</v>
      </c>
      <c r="H296" s="3">
        <f>2028.7+(688-477.4)+(-1.034637+(-0.35088--0.243474))+0-643.6--0.328235999999935</f>
        <v>1594.8861930000003</v>
      </c>
      <c r="I296" s="3">
        <f>2073.5+(703.8-580.1)+(0+(0-0))+0-631.9-0</f>
        <v>1565.2999999999997</v>
      </c>
      <c r="J296" s="3">
        <f>1925.7+(785.2-539.2)+(0.982107+(0.400452-0.274992))+0-598-0.304979999999939</f>
        <v>1574.5025869999999</v>
      </c>
      <c r="K296" s="3">
        <f>1947.9+(816-533.4)+(1.986858+(0.83232-0.544068))+0-632.4-0.645048000000101</f>
        <v>1599.7300619999999</v>
      </c>
      <c r="L296" s="3">
        <f>2032.1+(896.9-539.8)+(-1.036371+(-0.457419--0.275298))+0-603--0.307529999999939</f>
        <v>1785.2890379999999</v>
      </c>
      <c r="M296" s="3">
        <f>2110.6+(888.2-537.8)+(0+(0-0))+0-622.5-0</f>
        <v>1838.5</v>
      </c>
      <c r="N296" s="3">
        <f>2632.1+(548.7-754.4)+(0+(0-0))+0-541.8-0</f>
        <v>1884.6000000000001</v>
      </c>
      <c r="O296" s="3">
        <f>3382.2+(300-1230.7)+(0+(0-0))+0-514.7-0</f>
        <v>1936.8</v>
      </c>
      <c r="P296" s="3">
        <f>3930.7+(361.5-1799)+(-4.009314+(-0.36873--1.83498))+0-557.3--0.568446000000089</f>
        <v>1933.9253819999999</v>
      </c>
      <c r="Q296" s="3">
        <f>3718.9+(429.5-1674.4)+(-3.793278+(-0.43809--1.707888))+0-515--0.525300000000082</f>
        <v>1957.0018200000002</v>
      </c>
      <c r="R296" s="3">
        <f>3524.1+(459.4-1380.1)+(-8.986455+(-1.17147--3.519255))+0-630.3--1.60726499999991</f>
        <v>1968.0685950000002</v>
      </c>
      <c r="S296" s="3">
        <f>3380.7+(394.7-1346.8)+(1.724157+(0.201297-0.686868))+0-541.9-0.276368999999945</f>
        <v>1887.6622169999998</v>
      </c>
      <c r="T296" s="3">
        <f>3636.9+(279.5-1474.9)+(1.854819+(0.142545-0.752199))+0-608.4-0.310283999999938</f>
        <v>1834.0348809999998</v>
      </c>
      <c r="U296" s="3">
        <f>3224.3+(299.9-1220)+(0+(0-0))+0-480-0</f>
        <v>1824.2000000000003</v>
      </c>
      <c r="V296" s="3">
        <f>2952+(440.6-973.7)+(-4.51656+(-0.674118--1.489761))+0-536.3--0.820539000000031</f>
        <v>1879.7196220000001</v>
      </c>
      <c r="W296" s="3">
        <f>3705.3+(811.8-1701.1)+(-3.779406+(-0.828036--1.735122))+0-563.7--0.57497400000009</f>
        <v>2250.0026539999999</v>
      </c>
      <c r="X296" s="3">
        <f>3686.2+(782.9-1583.4)+(-5.639886+(-1.197837--2.422602))+0-598.6--0.915858000000035</f>
        <v>2283.6007369999998</v>
      </c>
      <c r="Y296" s="3">
        <f>3434.4+(632.8-1339.3)+(-8.75772+(-1.61364--3.415215))+0-477.5--1.21762499999993</f>
        <v>2244.6614799999998</v>
      </c>
      <c r="Z296" s="3">
        <f>3649.9+(351.7-1265)+(-1.861449+(-0.179367--0.64515))+0-589.9--0.30084899999994</f>
        <v>2145.6051830000001</v>
      </c>
      <c r="AA296" s="3">
        <f>3681.1+(314.3-1410.1)+(-7.509444+(-0.641172--2.876604))+0-544.4--1.11057599999998</f>
        <v>2036.7365640000003</v>
      </c>
      <c r="AB296" s="3">
        <f>3674.8+(382.6-1476.8)+(-9.37074+(-0.97563--3.76584))+0-629.2--1.60445999999991</f>
        <v>1946.4239300000002</v>
      </c>
      <c r="AC296" s="3">
        <f>3303.2+(338.9-1166.7)+(-11.792424+(-1.209873--4.165119))+0-626.1--2.23517700000001</f>
        <v>1842.6979989999995</v>
      </c>
      <c r="AD296">
        <v>2266.7000000000003</v>
      </c>
      <c r="AE296" s="3">
        <f>3939+(851.3-1903.7)+(0+(0-0))+0-619.9-0</f>
        <v>2266.6999999999998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2405.3+(589.5-635.1)+(-2.453406+(-0.60129--0.647802))+0-638.8--0.651576000000102</f>
        <v>1719.1446820000003</v>
      </c>
      <c r="G297" s="3">
        <f>1850.9+(872.9-464.4)+(-3.775836+(-1.780716--0.947376))+0-653.5--1.33313999999997</f>
        <v>1602.6239640000001</v>
      </c>
      <c r="H297" s="3">
        <f>1773.7+(841.3-443.7)+(-0.904587+(-0.429063--0.226287))+0-618.4--0.315383999999937</f>
        <v>1552.108021</v>
      </c>
      <c r="I297" s="3">
        <f>1610.8+(980.5-421.2)+(-2.464524+(-1.500165--0.644436))+0-609.2--0.932076000000035</f>
        <v>1558.511823</v>
      </c>
      <c r="J297" s="3">
        <f>1668.3+(880.4-424.9)+(0+(0-0))+0-564.2-0</f>
        <v>1559.6000000000001</v>
      </c>
      <c r="K297" s="3">
        <f>1765.7+(931.3-454.4)+(0+(0-0))+0-637.2-0</f>
        <v>1605.3999999999999</v>
      </c>
      <c r="L297" s="3">
        <f>1721+(1146.5-530.9)+(0+(0-0))+0-619.1-0</f>
        <v>1717.5</v>
      </c>
      <c r="M297" s="3">
        <f>1860.8+(1039.9-513.3)+(0.949008+(0.530349-0.261783))+0-566.4-0.288863999999943</f>
        <v>1821.9287099999999</v>
      </c>
      <c r="N297" s="3">
        <f>2415.4+(642.5-571.5)+(2.463708+(0.65535-0.58293))+0-603.6-0.615672000000096</f>
        <v>1884.7204560000002</v>
      </c>
      <c r="O297" s="3">
        <f>2940.8+(482.5-1036.5)+(4.499424+(0.738225-1.585845))+0-448.3-0.685899000000026</f>
        <v>1941.4659050000002</v>
      </c>
      <c r="P297" s="3">
        <f>3406.9+(617.5-1442.5)+(3.475038+(0.62985-1.47135))+0-650.7-0.663714000000104</f>
        <v>1933.1698240000001</v>
      </c>
      <c r="Q297" s="3">
        <f>3419.9+(676.9-1672.7)+(-3.488298+(-0.690438--1.706154))+0-464.7--0.473994000000074</f>
        <v>1957.4014120000002</v>
      </c>
      <c r="R297" s="3">
        <f>2887.2+(641.9-1156.1)+(-8.834832+(-1.964214--3.537666))+0-426.9--1.30631400000005</f>
        <v>1940.1449340000001</v>
      </c>
      <c r="S297" s="3">
        <f>2749.5+(633.3-991)+(1.402245+(0.322983-0.50541))+0-465.2-0.237251999999953</f>
        <v>1927.5825660000003</v>
      </c>
      <c r="T297" s="3">
        <f>2811.9+(403.3-910.5)+(1.434069+(0.205683-0.464355))+0-390-0.19889999999996</f>
        <v>1915.6764970000004</v>
      </c>
      <c r="U297" s="3">
        <f>2915.8+(367.3-969.5)+(1.487058+(0.187323-0.494445))+0-419.3-0.213842999999957</f>
        <v>1895.2660930000004</v>
      </c>
      <c r="V297" s="3">
        <f>2890.7+(393.6-956.5)+(-1.474257+(-0.200736--0.487815))+0-399.3--0.203642999999959</f>
        <v>1927.5164649999997</v>
      </c>
      <c r="W297" s="3">
        <f>3960.7+(652-2058.7)+(-2.019957+(-0.33252--1.049937))+0-462.7--0.235976999999953</f>
        <v>2090.2334369999999</v>
      </c>
      <c r="X297" s="3">
        <f>3895.7+(850.4-1991.4)+(-3.973614+(-0.867408--2.031228))+0-515.9--0.526218000000082</f>
        <v>2236.5164239999999</v>
      </c>
      <c r="Y297" s="3">
        <f>3714.9+(413.4-1362.9)+(-1.894599+(-0.210834--0.695079))+0-547.1--0.279020999999945</f>
        <v>2217.1686669999999</v>
      </c>
      <c r="Z297" s="3">
        <f>3397.2+(460.8-1095.5)+(-1.732572+(-0.235008--0.558705))+0-601.4--0.306713999999939</f>
        <v>2159.9978389999997</v>
      </c>
      <c r="AA297" s="3">
        <f>3005.7+(514.1-872.8)+(-6.131628+(-1.048764--1.780512))+0-523.2--1.06732799999998</f>
        <v>2119.4674480000003</v>
      </c>
      <c r="AB297" s="3">
        <f>2716.5+(588.9-695.6)+(1.385415+(0.300339-0.354756))+0-576.1-0.293810999999942</f>
        <v>2034.7371870000002</v>
      </c>
      <c r="AC297" s="3">
        <f>2343.8+(757.4-600.8)+(-5.97669+(-1.93137--1.53204))+0-582.9--1.48639499999992</f>
        <v>1912.6103749999997</v>
      </c>
      <c r="AD297">
        <v>2209.6999999999998</v>
      </c>
      <c r="AE297" s="3">
        <f>4532+(809.7-2595.5)+(0+(0-0))+0-536.5-0</f>
        <v>2209.6999999999998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1951.3+(980.1-503.8)+(-1.990326+(-0.999702--0.513876))+0-662.2--0.675444000000106</f>
        <v>1763.5992919999999</v>
      </c>
      <c r="G298" s="3">
        <f>1892.5+(936.5-563)+(0.965175+(0.477615-0.28713))+0-599.6-0.305795999999939</f>
        <v>1667.2498640000001</v>
      </c>
      <c r="H298" s="3">
        <f>1698.1+(959.5-498.8)+(0+(0-0))+0-583.9-0</f>
        <v>1574.8999999999996</v>
      </c>
      <c r="I298" s="3">
        <f>1792.9+(828.5-586.4)+(0.914379+(0.422535-0.299064))+0-577.2-0.294371999999941</f>
        <v>1458.5434780000001</v>
      </c>
      <c r="J298" s="3">
        <f>1668+(793.8-499.9)+(-4.2534+(-2.02419--1.274745))+0-527.1--1.34410499999992</f>
        <v>1431.1412600000001</v>
      </c>
      <c r="K298" s="3">
        <f>1823.5+(764.9-606.7)+(1.85997+(0.780198-0.618834))+0-528.3-0.538866000000084</f>
        <v>1454.8824679999998</v>
      </c>
      <c r="L298" s="3">
        <f>1885.8+(919.3-612.7)+(0+(0-0))+0-658.4-0</f>
        <v>1533.9999999999995</v>
      </c>
      <c r="M298" s="3">
        <f>1925.2+(875.3-569.9)+(-0.981852+(-0.446403--0.290649))+0-562.5--0.286874999999943</f>
        <v>1667.2492690000001</v>
      </c>
      <c r="N298" s="3">
        <f>2533.9+(621.4-711.7)+(2.584578+(0.633828-0.725934))+0-649.6-0.662592000000104</f>
        <v>1795.8298799999998</v>
      </c>
      <c r="O298" s="3">
        <f>3229.5+(582.4-1478.1)+(4.941135+(0.891072-2.261493))+0-482.6-0.738378000000028</f>
        <v>1854.0323360000002</v>
      </c>
      <c r="P298" s="3">
        <f>3597.5+(760.1-1903.9)+(0+(0-0))+0-547.2-0</f>
        <v>1906.4999999999998</v>
      </c>
      <c r="Q298" s="3">
        <f>3371.2+(820.8-1700.9)+(-3.438624+(-0.837216--1.734918))+0-574.7--0.586194000000092</f>
        <v>1914.4452719999995</v>
      </c>
      <c r="R298" s="3">
        <f>2838.5+(928.1-1215.7)+(-4.342905+(-1.419993--1.860021))+0-629.8--0.963594000000036</f>
        <v>1918.1607170000002</v>
      </c>
      <c r="S298" s="3">
        <f>2406.3+(965.4-882.6)+(-6.136065+(-2.46177--2.25063))+0-616.3--1.57156499999991</f>
        <v>1868.0243600000003</v>
      </c>
      <c r="T298" s="3">
        <f>2275.4+(724.6-605.8)+(-6.962724+(-2.217276--1.853748))+0-549--1.67994000000006</f>
        <v>1839.5536880000004</v>
      </c>
      <c r="U298" s="3">
        <f>2262.2+(785.1-617.3)+(-4.614888+(-1.601604--1.259292))+0-674.5--1.37597999999997</f>
        <v>1751.9187800000002</v>
      </c>
      <c r="V298" s="3">
        <f>2215.6+(782.2-603)+(-1.129956+(-0.398922--0.30753))+0-570--0.290699999999942</f>
        <v>1823.8693520000002</v>
      </c>
      <c r="W298" s="3">
        <f>3069.6+(692.2-1081.1)+(-3.130992+(-0.706044--1.102722))+0-684.6--0.698292000000109</f>
        <v>1994.0639780000001</v>
      </c>
      <c r="X298" s="3">
        <f>3606.7+(684.5-1545.1)+(-5.518251+(-1.047285--2.364003))+0-564.5--0.863685000000033</f>
        <v>2178.2621520000002</v>
      </c>
      <c r="Y298" s="3">
        <f>3652.1+(611.4-1441.7)+(0+(0-0))+0-663-0</f>
        <v>2158.7999999999997</v>
      </c>
      <c r="Z298" s="3">
        <f>3773.6+(477.2-1528.3)+(-1.924536+(-0.243372--0.779433))+0-620.3--0.316352999999937</f>
        <v>2101.1278780000002</v>
      </c>
      <c r="AA298" s="3">
        <f>3701.2+(475.8-1503.1)+(-3.775224+(-0.485316--1.533162))+0-628--0.6405600000001</f>
        <v>2043.8131819999996</v>
      </c>
      <c r="AB298" s="3">
        <f>3533.2+(541.8-1447.6)+(-5.405796+(-0.828954--2.214828))+0-681--1.04193000000004</f>
        <v>1943.4220079999998</v>
      </c>
      <c r="AC298" s="3">
        <f>2654.9+(623.6-910.2)+(-6.769995+(-1.59018--2.32101))+0-565.3--1.44151499999992</f>
        <v>1798.4023500000001</v>
      </c>
      <c r="AD298">
        <v>2173</v>
      </c>
      <c r="AE298" s="3">
        <f>3713+(638.7-1459.7)+(0+(0-0))+0-719-0</f>
        <v>2173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2133.9+(896.7-660.1)+(-1.088289+(-0.457317--0.336651))+0-671.2--0.342311999999932</f>
        <v>1698.4333569999999</v>
      </c>
      <c r="G299" s="3">
        <f>1799.2+(1096.8-634.2)+(-0.917592+(-0.559368--0.323442))+0-626.7--0.319616999999936</f>
        <v>1634.2660989999999</v>
      </c>
      <c r="H299" s="3">
        <f>1753.5+(1046.2-587.2)+(-0.894285+(-0.533562--0.299472))+0-627--0.319769999999936</f>
        <v>1584.6913950000001</v>
      </c>
      <c r="I299" s="3">
        <f>1739+(1008.3-577)+(1.77378+(1.028466-0.58854))+0-616.9-0.629238000000098</f>
        <v>1554.9844680000001</v>
      </c>
      <c r="J299" s="3">
        <f>1683.2+(1053.1-521.4)+(-1.716864+(-1.074162--0.531828))+0-670.8--0.684216000000107</f>
        <v>1542.525018</v>
      </c>
      <c r="K299" s="3">
        <f>1696.8+(1050.5-594.1)+(-0.865368+(-0.535755--0.302991))+0-587.5--0.29962499999994</f>
        <v>1564.9014929999996</v>
      </c>
      <c r="L299" s="3">
        <f>1783.8+(1093.4-615.6)+(0.909738+(0.557634-0.313956))+0-626.4-0.319463999999936</f>
        <v>1636.033952</v>
      </c>
      <c r="M299" s="3">
        <f>1787.3+(1021.9-616.1)+(-1.823046+(-1.042338--0.628422))+0-554.2--0.565284000000088</f>
        <v>1637.2283219999999</v>
      </c>
      <c r="N299" s="3">
        <f>1978.3+(1034.1-623.4)+(0+(0-0))+0-622.8-0</f>
        <v>1766.2</v>
      </c>
      <c r="O299" s="3">
        <f>2220.7+(863.4-634.1)+(-2.265114+(-0.880668--0.646782))+0-599--0.610980000000096</f>
        <v>1849.1119800000004</v>
      </c>
      <c r="P299" s="3">
        <f>2510.2+(615.6-643.8)+(-1.280202+(-0.313956--0.328338))+0-561--0.286109999999943</f>
        <v>1920.0202899999999</v>
      </c>
      <c r="Q299" s="3">
        <f>2629.2+(600.1-639.6)+(-2.681784+(-0.612102--0.652392))+0-661.1--0.674322000000105</f>
        <v>1926.632828</v>
      </c>
      <c r="R299" s="3">
        <f>2509.9+(711.9-630.9)+(1.280049+(0.363069-0.321759))+0-547.9-0.279428999999944</f>
        <v>2044.0419300000001</v>
      </c>
      <c r="S299" s="3">
        <f>2453.5+(781.5-611.9)+(-5.00514+(-1.59426--1.248276))+0-661.7--1.34986799999997</f>
        <v>1957.3987440000001</v>
      </c>
      <c r="T299" s="3">
        <f>2186.1+(912.9-545.9)+(-1.114911+(-0.465579--0.278409))+0-627.7--0.320126999999936</f>
        <v>1924.418046</v>
      </c>
      <c r="U299" s="3">
        <f>1939.9+(1124.9-533.4)+(0+(0-0))+0-600.1-0</f>
        <v>1931.3000000000002</v>
      </c>
      <c r="V299" s="3">
        <f>1827.3+(1279.9-531.7)+(-2.795769+(-1.958247--0.813501))+0-627.3--0.959769000000036</f>
        <v>1945.2192540000003</v>
      </c>
      <c r="W299" s="3">
        <f>2463.6+(894.8-591.2)+(-5.025744+(-1.825392--1.206048))+0-592.7--1.20910799999997</f>
        <v>2170.0640199999998</v>
      </c>
      <c r="X299" s="3">
        <f>2741.2+(997.3-662)+(-6.99006+(-2.543115--1.6881))+0-670.8--1.7105399999999</f>
        <v>2399.5654649999997</v>
      </c>
      <c r="Y299" s="3">
        <f>3096.7+(901.3-898.8)+(-1.579317+(-0.459663--0.458388))+0-669.2--0.341291999999932</f>
        <v>2428.7606999999998</v>
      </c>
      <c r="Z299" s="3">
        <f>2957.7+(735.4-892.5)+(-6.033708+(-1.500216--1.8207))+0-661.8--1.35007199999997</f>
        <v>2134.4368480000003</v>
      </c>
      <c r="AA299" s="3">
        <f>2831.2+(787.5-920.9)+(-4.331736+(-1.204875--1.408977))+0-563--0.861390000000033</f>
        <v>2131.5337559999998</v>
      </c>
      <c r="AB299" s="3">
        <f>2816.3+(838.4-984.6)+(-2.872626+(-0.855168--1.004292))+0-623--0.635460000000099</f>
        <v>2045.0119580000007</v>
      </c>
      <c r="AC299" s="3">
        <f>2478.1+(924.4-849.3)+(-3.791493+(-1.414332--1.299429))+0-630--0.963900000000036</f>
        <v>1920.2575039999999</v>
      </c>
      <c r="AD299">
        <v>2258.8000000000002</v>
      </c>
      <c r="AE299" s="3">
        <f>2545.1+(1082.7-595.1)+(0+(0-0))+0-773.9-0</f>
        <v>2258.7999999999997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1998.4+(952-600)+(-1.019184+(-0.48552--0.306))+0-586.9--0.29931899999994</f>
        <v>1762.6006150000001</v>
      </c>
      <c r="G300" s="3">
        <f>1613.2+(1181.8-541.5)+(-0.822732+(-0.602718--0.276165))+0-587.3--0.29952299999994</f>
        <v>1665.350238</v>
      </c>
      <c r="H300" s="3">
        <f>1578.3+(1051.2-440.4)+(-1.609866+(-1.072224--0.449208))+0-583.1--0.594762000000093</f>
        <v>1604.3618800000004</v>
      </c>
      <c r="I300" s="3">
        <f>1568.4+(1044-488.8)+(0+(0-0))+0-544.9-0</f>
        <v>1578.7000000000003</v>
      </c>
      <c r="J300" s="3">
        <f>1550.7+(1058.2-435.5)+(-2.372571+(-1.619046--0.666315))+0-591.5--0.904995000000034</f>
        <v>1579.479693</v>
      </c>
      <c r="K300" s="3">
        <f>1567.9+(1112.3-442.7)+(0+(0-0))+0-641.8-0</f>
        <v>1595.7</v>
      </c>
      <c r="L300" s="3">
        <f>1742.2+(1028.4-569)+(1.777044+(1.048968-0.58038))+0-573.2-0.584664000000091</f>
        <v>1630.0609680000002</v>
      </c>
      <c r="M300" s="3">
        <f>1774.8+(1063.5-589.8)+(-0.905148+(-0.542385--0.300798))+0-592.7--0.30227699999994</f>
        <v>1654.9555420000002</v>
      </c>
      <c r="N300" s="3">
        <f>1844.5+(1026.6-571.1)+(2.822085+(1.570698-0.873783))+0-583.3-0.892449000000034</f>
        <v>1719.3265509999999</v>
      </c>
      <c r="O300" s="3">
        <f>1933+(1035.3-613.2)+(0+(0-0))+0-605.9-0</f>
        <v>1749.1999999999998</v>
      </c>
      <c r="P300" s="3">
        <f>2099.9+(832.6-637.7)+(-1.070949+(-0.424626--0.325227))+0-538.2--0.274481999999945</f>
        <v>1755.7041340000001</v>
      </c>
      <c r="Q300" s="3">
        <f>1921.4+(963.6-592.5)+(-0.979914+(-0.491436--0.302175))+0-639--0.325889999999935</f>
        <v>1652.6567149999998</v>
      </c>
      <c r="R300" s="3">
        <f>1912.3+(974.4-523.6)+(-3.901092+(-1.987776--1.068144))+0-643.4--1.31253599999997</f>
        <v>1716.1918119999996</v>
      </c>
      <c r="S300" s="3">
        <f>1796.2+(995-544.3)+(0.916062+(0.50745-0.277593))+0-538.6-0.274685999999945</f>
        <v>1709.1712330000003</v>
      </c>
      <c r="T300" s="3">
        <f>2132.5+(766-555.9)+(-3.262725+(-1.17198--0.850527))+0-668.5--1.02280500000004</f>
        <v>1671.5386269999999</v>
      </c>
      <c r="U300" s="3">
        <f>2181.2+(729.5-600.7)+(-1.112412+(-0.372045--0.306357))+0-596.2--0.30406199999994</f>
        <v>1712.9259619999998</v>
      </c>
      <c r="V300" s="3">
        <f>2327.3+(744.7-600.7)+(-2.373846+(-0.759594--0.612714))+0-691.6--0.70543200000011</f>
        <v>1777.8847060000003</v>
      </c>
      <c r="W300" s="3">
        <f>2566.2+(842.4-863.7)+(2.617524+(0.859248-0.880974))+0-548.3-0.559266000000087</f>
        <v>1998.6365319999995</v>
      </c>
      <c r="X300" s="3">
        <f>3479.2+(943.3-1474.2)+(-7.097568+(-1.924332--3.007368))+0-669.9--1.36659599999997</f>
        <v>2273.7520639999993</v>
      </c>
      <c r="Y300" s="3">
        <f>3486.6+(958.1-1542)+(-7.112664+(-1.954524--3.14568))+0-625.1--1.27520399999997</f>
        <v>2272.953696</v>
      </c>
      <c r="Z300" s="3">
        <f>3435.2+(976.1-1537.7)+(0+(0-0))+0-634.5-0</f>
        <v>2239.1</v>
      </c>
      <c r="AA300" s="3">
        <f>3248.4+(967.1-1356.3)+(-1.656684+(-0.493221--0.691713))+0-672.3--0.342872999999932</f>
        <v>2185.7846810000005</v>
      </c>
      <c r="AB300" s="3">
        <f>3278.3+(731.6-1263.6)+(-1.671933+(-0.373116--0.644436))+0-603.3--0.307682999999939</f>
        <v>2141.9070700000002</v>
      </c>
      <c r="AC300" s="3">
        <f>2467.1+(889.5-680)+(-5.032884+(-1.81458--1.3872))+0-696.3--1.42045199999997</f>
        <v>1976.2601880000002</v>
      </c>
      <c r="AD300">
        <v>2277.6999999999998</v>
      </c>
      <c r="AE300" s="3">
        <f>3536+(949.5-1497)+(0+(0-0))+0-710.8-0</f>
        <v>2277.6999999999998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1669.6+(1218.3-493.4)+(-3.405984+(-2.485332--1.006536))+0-611.3--1.24705199999997</f>
        <v>1779.5622720000001</v>
      </c>
      <c r="G301" s="3">
        <f>1533.7+(1298.6-499.5)+(-2.346561+(-1.986858--0.764235))+0-631--0.965430000000036</f>
        <v>1699.1962460000002</v>
      </c>
      <c r="H301" s="3">
        <f>1540.5+(1247.4-484.6)+(-0.785655+(-0.636174--0.247146))+0-639.5--0.326144999999935</f>
        <v>1662.951462</v>
      </c>
      <c r="I301" s="3">
        <f>1521+(1223.9-471.1)+(-3.10284+(-2.496756--0.961044))+0-633.4--1.29213599999997</f>
        <v>1637.0535840000002</v>
      </c>
      <c r="J301" s="3">
        <f>1540.1+(1143-479.4)+(-2.356353+(-1.74879--0.733482))+0-556.8--0.851904000000032</f>
        <v>1644.3802429999998</v>
      </c>
      <c r="K301" s="3">
        <f>1869.3+(1052.6-706.7)+(0.953343+(0.536826-0.360417))+0-615.9-0.314108999999938</f>
        <v>1600.1156429999996</v>
      </c>
      <c r="L301" s="3">
        <f>1816.9+(1114.3-581.8)+(-1.853238+(-1.136586--0.593436))+0-512.9--0.523158000000082</f>
        <v>1834.6267700000001</v>
      </c>
      <c r="M301" s="3">
        <f>1851.1+(1224.2-559.8)+(0.944061+(0.624342-0.285498))+0-616.9-0.314618999999937</f>
        <v>1899.5682859999999</v>
      </c>
      <c r="N301" s="3">
        <f>2379.1+(933.5-732.5)+(0+(0-0))+0-585.7-0</f>
        <v>1994.3999999999999</v>
      </c>
      <c r="O301" s="3">
        <f>3146.1+(904-1334.7)+(1.604511+(0.46104-0.680697))+0-538-0.274379999999945</f>
        <v>2178.5104739999997</v>
      </c>
      <c r="P301" s="3">
        <f>3554.6+(877.1-1877.2)+(0+(0-0))+0-499.6-0</f>
        <v>2054.9</v>
      </c>
      <c r="Q301" s="3">
        <f>3629.4+(872.4-2057.7)+(-7.403976+(-1.779696--4.197708))+0-388--0.791519999999983</f>
        <v>2051.9055560000002</v>
      </c>
      <c r="R301" s="3">
        <f>3238+(887.7-1527.7)+(-6.60552+(-1.810908--3.116508))+0-591.2--1.20604799999997</f>
        <v>2002.706128</v>
      </c>
      <c r="S301" s="3">
        <f>3046.1+(902.6-1492.8)+(-6.214044+(-1.841304--3.045312))+0-467--0.95267999999998</f>
        <v>1984.8426439999998</v>
      </c>
      <c r="T301" s="3">
        <f>3280.7+(963.6-1716.6)+(1.673157+(0.491436-0.875466))+0-606.4-0.309263999999938</f>
        <v>1922.2798629999998</v>
      </c>
      <c r="U301" s="3">
        <f>3028.7+(1064.9-1745.9)+(-1.544637+(-0.543099--0.890409))+0-464.7--0.236996999999953</f>
        <v>1882.0396699999999</v>
      </c>
      <c r="V301" s="3">
        <f>2695.2+(1170.8-1316.2)+(-1.374552+(-0.597108--0.671262))+0-636--0.324359999999935</f>
        <v>1912.8239619999997</v>
      </c>
      <c r="W301" s="3">
        <f>3193+(1106.7-1729.9)+(4.88529+(1.693251-2.646747))+0-487.6-0.746028000000028</f>
        <v>2085.3857660000003</v>
      </c>
      <c r="X301" s="3">
        <f>3934.7+(1189.3-2143.8)+(0+(0-0))+0-652.9-0</f>
        <v>2327.2999999999997</v>
      </c>
      <c r="Y301" s="3">
        <f>3375.9+(1041-1629.6)+(-5.165127+(-1.59273--2.493288))+0-498.6--0.762858000000029</f>
        <v>2285.1982890000004</v>
      </c>
      <c r="Z301" s="3">
        <f>2937.1+(744.2-909.1)+(1.497921+(0.379542-0.463641))+0-540.6-0.275705999999945</f>
        <v>2232.738116</v>
      </c>
      <c r="AA301" s="3">
        <f>2499.6+(938.3-630.3)+(-5.099184+(-1.914132--1.285812))+0-616.5--1.25765999999997</f>
        <v>2186.6301559999997</v>
      </c>
      <c r="AB301" s="3">
        <f>2518.1+(880.2-782)+(-1.284231+(-0.448902--0.39882))+0-495.3--0.25260299999995</f>
        <v>2119.9182900000001</v>
      </c>
      <c r="AC301" s="3">
        <f>2390.4+(1011-756.4)+(-6.09552+(-2.57805--1.92882))+0-634.1--1.61695499999991</f>
        <v>2005.7722050000002</v>
      </c>
      <c r="AD301">
        <v>2317.1999999999994</v>
      </c>
      <c r="AE301" s="3">
        <f>4081+(1144.4-2281.8)+(0+(0-0))+0-626.4-0</f>
        <v>2317.1999999999998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1762.6+(1236.3-583.5)+(0+(0-0))+0-515.1-0</f>
        <v>1900.2999999999997</v>
      </c>
      <c r="G302" s="3">
        <f>1568.6+(1356.1-535.8)+(-1.599972+(-1.383222--0.546516))+0-609.7--0.621894000000097</f>
        <v>1777.3852159999997</v>
      </c>
      <c r="H302" s="3">
        <f>1661.3+(1115.7-514.5)+(-0.847263+(-0.569007--0.262395))+0-525.7--0.268106999999947</f>
        <v>1735.9142319999999</v>
      </c>
      <c r="I302" s="3">
        <f>1625.5+(1174.6-504)+(2.487015+(1.797138-0.77112))+0-594-0.908820000000034</f>
        <v>1704.704213</v>
      </c>
      <c r="J302" s="3">
        <f>1587.9+(1201.4-521.2)+(-0.809829+(-0.612714--0.265812))+0-563.1--0.287180999999943</f>
        <v>1704.1304500000003</v>
      </c>
      <c r="K302" s="3">
        <f>1573+(1322-530.4)+(0+(0-0))+0-630-0</f>
        <v>1734.6</v>
      </c>
      <c r="L302" s="3">
        <f>1755.1+(1311-553.1)+(0.895101+(0.66861-0.282081))+0-556.5-0.283814999999944</f>
        <v>1957.4978149999999</v>
      </c>
      <c r="M302" s="3">
        <f>1888.6+(1354.4-583)+(-0.963186+(-0.690744--0.29733))+0-691.9--0.35286899999993</f>
        <v>1967.0962689999997</v>
      </c>
      <c r="N302" s="3">
        <f>2379.9+(1016.1-856.9)+(0+(0-0))+0-559.3-0</f>
        <v>1979.8000000000004</v>
      </c>
      <c r="O302" s="3">
        <f>3076.5+(923-1467.3)+(-1.569015+(-0.47073--0.748323))+0-558--0.284579999999943</f>
        <v>1973.193158</v>
      </c>
      <c r="P302" s="3">
        <f>3351.6+(1011.1-1834)+(-5.127948+(-1.546983--2.80602))+0-581.5--0.889695000000034</f>
        <v>1944.2207839999999</v>
      </c>
      <c r="Q302" s="3">
        <f>3243.1+(1199.5-1930)+(-6.615924+(-2.44698--3.9372))+0-486.4--0.992255999999979</f>
        <v>2022.0665519999998</v>
      </c>
      <c r="R302" s="3">
        <f>2859.9+(1057.2-1384.8)+(-2.917098+(-1.078344--1.412496))+0-566.4--0.57772800000009</f>
        <v>1963.8947820000001</v>
      </c>
      <c r="S302" s="3">
        <f>2424.5+(1054.1-849.3)+(0+(0-0))+0-698.8-0</f>
        <v>1930.5000000000002</v>
      </c>
      <c r="T302" s="3">
        <f>2346.2+(1023-847.6)+(-1.196562+(-0.52173--0.432276))+0-593.4--0.30263399999994</f>
        <v>1927.2166179999997</v>
      </c>
      <c r="U302" s="3">
        <f>2303.3+(1162.5-897.1)+(1.174683+(0.592875-0.457521))+0-661.4-0.337313999999933</f>
        <v>1908.2727230000005</v>
      </c>
      <c r="V302" s="3">
        <f>2451.8+(1082.6-992)+(1.250418+(0.552126-0.50592))+0-582.9-0.297278999999941</f>
        <v>1960.4993450000002</v>
      </c>
      <c r="W302" s="3">
        <f>3410+(982.2-1595.6)+(1.7391+(0.500922-0.813756))+0-638.7-0.325736999999935</f>
        <v>2159.0005289999999</v>
      </c>
      <c r="X302" s="3">
        <f>4103+(1063-2156.2)+(-8.37012+(-2.16852--4.398648))+0-568.8--1.16035199999998</f>
        <v>2436.0203600000004</v>
      </c>
      <c r="Y302" s="3">
        <f>3913.9+(947.8-1796)+(-1.996089+(-0.483378--0.91596))+0-643.4--0.328133999999935</f>
        <v>2421.0646269999997</v>
      </c>
      <c r="Z302" s="3">
        <f>3838.2+(670.2-1510.2)+(-5.872446+(-1.025406--2.310606))+0-615.8--0.942174000000035</f>
        <v>2378.7549279999998</v>
      </c>
      <c r="AA302" s="3">
        <f>3508.8+(765.4-1288.2)+(-5.368464+(-1.171062--1.970946))+0-679.8--1.04009400000004</f>
        <v>2302.6715139999997</v>
      </c>
      <c r="AB302" s="3">
        <f>3010.3+(828.5-1030.5)+(-4.605759+(-1.267605--1.576665))+0-581.7--0.890001000000034</f>
        <v>2223.1933020000001</v>
      </c>
      <c r="AC302" s="3">
        <f>2184.1+(1123.2-556.5)+(-3.341673+(-1.718496--0.851445))+0-622.9--0.953037000000036</f>
        <v>2124.6443130000002</v>
      </c>
      <c r="AD302">
        <v>2412.1000000000004</v>
      </c>
      <c r="AE302" s="3">
        <f>4147+(1078-2141.1)+(0+(0-0))+0-671.8-0</f>
        <v>2412.1000000000004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1857.5+(1347.6-543)+(-2.841975+(-2.061828--0.83079))+0-660.2--1.01010600000004</f>
        <v>1998.8370929999996</v>
      </c>
      <c r="G303" s="3">
        <f>1675.1+(1396.3-537.7)+(-1.708602+(-1.424226--0.548454))+0-629.5--0.6420900000001</f>
        <v>1902.2577159999998</v>
      </c>
      <c r="H303" s="3">
        <f>1703.1+(1317.7-505.8)+(0.868581+(0.672027-0.257958))+0-687.5-0.35062499999993</f>
        <v>1828.4320250000001</v>
      </c>
      <c r="I303" s="3">
        <f>1651.9+(1305.1-488.6)+(-2.527407+(-1.996803--0.747558))+0-644--0.985320000000037</f>
        <v>1821.6086680000001</v>
      </c>
      <c r="J303" s="3">
        <f>1698.9+(1216-492.7)+(1.732878+(1.24032-0.502554))+0-606.3-0.618426000000097</f>
        <v>1817.7522179999999</v>
      </c>
      <c r="K303" s="3">
        <f>1713.7+(1312.2-521.5)+(2.621961+(2.007666-0.797895))+0-669.4-1.02418200000004</f>
        <v>1837.80755</v>
      </c>
      <c r="L303" s="3">
        <f>1705.6+(1295.7-507.8)+(1.739712+(1.321614-0.517956))+0-516.3-0.526626000000082</f>
        <v>1979.2167439999998</v>
      </c>
      <c r="M303" s="3">
        <f>1891.4+(1376.7-526.4)+(0+(0-0))+0-680.6-0</f>
        <v>2061.1000000000004</v>
      </c>
      <c r="N303" s="3">
        <f>2367.5+(863.9-610.5)+(0+(0-0))+0-549.1-0</f>
        <v>2071.8000000000002</v>
      </c>
      <c r="O303" s="3">
        <f>2767+(983.3-1079.1)+(-1.41117+(-0.501483--0.550341))+0-556.9--0.284018999999944</f>
        <v>2113.2217069999997</v>
      </c>
      <c r="P303" s="3">
        <f>2921.2+(1004-1360.7)+(-2.979624+(-1.02408--1.387914))+0-442.5--0.451350000000071</f>
        <v>2119.8355600000004</v>
      </c>
      <c r="Q303" s="3">
        <f>3064.7+(1114.1-1697.5)+(-1.562997+(-0.568191--0.865725))+0-362.9--0.185078999999963</f>
        <v>2117.3196159999993</v>
      </c>
      <c r="R303" s="3">
        <f>2868.4+(1145.9-1468.8)+(-4.388652+(-1.753227--2.247264))+0-496.4--0.759492000000029</f>
        <v>2045.9648769999999</v>
      </c>
      <c r="S303" s="3">
        <f>2473.9+(979.7-956.4)+(-1.261689+(-0.499647--0.487764))+0-460.6--0.234905999999953</f>
        <v>2035.5613340000002</v>
      </c>
      <c r="T303" s="3">
        <f>2620.2+(1024.1-1024.4)+(-1.336302+(-0.522291--0.522444))+0-590.4--0.30110399999994</f>
        <v>2028.4649549999992</v>
      </c>
      <c r="U303" s="3">
        <f>2417.1+(959.7-926.3)+(-2.465442+(-0.978894--0.944826))+0-456.3--0.465426000000073</f>
        <v>1992.1659159999999</v>
      </c>
      <c r="V303" s="3">
        <f>2514.7+(922.7-866.3)+(2.564994+(0.941154-0.883626))+0-540.8-0.551616000000086</f>
        <v>2032.3709059999999</v>
      </c>
      <c r="W303" s="3">
        <f>3667.7+(788.3-1704.1)+(1.870527+(0.402033-0.869091))+0-552.9-0.281978999999944</f>
        <v>2200.1214899999995</v>
      </c>
      <c r="X303" s="3">
        <f>4461+(893.1-2289.9)+(-4.55022+(-0.910962--2.335698))+0-571.9--0.583338000000091</f>
        <v>2489.7578539999995</v>
      </c>
      <c r="Y303" s="3">
        <f>4385.2+(612.8-1836.1)+(-8.945808+(-1.250112--3.745644))+0-681.6--1.39046399999997</f>
        <v>2475.2401879999998</v>
      </c>
      <c r="Z303" s="3">
        <f>3810.8+(598.5-1410.4)+(-5.830524+(-0.915705--2.157912))+0-555.1--0.849303000000032</f>
        <v>2440.060986</v>
      </c>
      <c r="AA303" s="3">
        <f>3355.7+(681.5-958.2)+(-3.422814+(-0.69513--0.977364))+0-716.8--0.731136000000114</f>
        <v>2359.7905559999999</v>
      </c>
      <c r="AB303" s="3">
        <f>2952.2+(741.9-855.3)+(-4.516866+(-1.135107--1.308609))+0-566.6--0.866898000000033</f>
        <v>2268.7235340000002</v>
      </c>
      <c r="AC303" s="3">
        <f>2825.7+(795.5-804.1)+(-5.764428+(-1.62282--1.640364))+0-688.2--1.40392799999997</f>
        <v>2124.5570439999997</v>
      </c>
      <c r="AD303">
        <v>2472.9999999999995</v>
      </c>
      <c r="AE303" s="3">
        <f>4506+(917.9-2218.4)+(0+(0-0))+0-732.5-0</f>
        <v>2473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2024.9+(1093.5-555)+(-3.098097+(-1.673055--0.84915))+0-582.7--0.891531000000034</f>
        <v>1977.6695290000002</v>
      </c>
      <c r="G304" s="3">
        <f>1912.9+(1162.5-537.8)+(-0.975579+(-0.592875--0.274278))+0-645.2--0.329051999999935</f>
        <v>1891.4348760000005</v>
      </c>
      <c r="H304" s="3">
        <f>1867.6+(1106.4-540.4)+(1.904952+(1.128528-0.551208))+0-621.3-0.633726000000099</f>
        <v>1814.1485460000001</v>
      </c>
      <c r="I304" s="3">
        <f>1942.7+(989.5-542.9)+(1.981554+(1.00929-0.553758))+0-601.3-0.613326000000096</f>
        <v>1789.82376</v>
      </c>
      <c r="J304" s="3">
        <f>1938.3+(985.1-542.2)+(-1.977066+(-1.004802--0.553044))+0-599--0.610980000000096</f>
        <v>1780.3821559999999</v>
      </c>
      <c r="K304" s="3">
        <f>1903.2+(1078.5-525.1)+(-0.970632+(-0.550035--0.267801))+0-649.7--0.331346999999934</f>
        <v>1805.9784809999999</v>
      </c>
      <c r="L304" s="3">
        <f>1931.2+(1099.7-572.8)+(-2.954736+(-1.682541--0.876384))+0-522.5--0.79942500000003</f>
        <v>1932.6385320000002</v>
      </c>
      <c r="M304" s="3">
        <f>1992.9+(1106.5-556.6)+(-3.049137+(-1.692945--0.851598))+0-501.7--0.767601000000029</f>
        <v>2037.9771170000001</v>
      </c>
      <c r="N304" s="3">
        <f>2758.2+(747.6-714.7)+(1.406682+(0.381276-0.364497))+0-520-0.265199999999947</f>
        <v>2272.2582609999999</v>
      </c>
      <c r="O304" s="3">
        <f>2994.2+(624.1-1021.8)+(-3.054084+(-0.636582--1.042236))+0-549--0.559980000000088</f>
        <v>2045.4115499999998</v>
      </c>
      <c r="P304" s="3">
        <f>3168.4+(788.8-1288.6)+(1.615884+(0.402288-0.657186))+0-619.1-0.315740999999937</f>
        <v>2050.5452450000007</v>
      </c>
      <c r="Q304" s="3">
        <f>3125.2+(978.5-1368.6)+(-3.187704+(-0.99807--1.395972))+0-583.4--0.595068000000093</f>
        <v>2149.5052660000001</v>
      </c>
      <c r="R304" s="3">
        <f>2752+(833.1-961.3)+(-1.40352+(-0.424881--0.490263))+0-471.9--0.240668999999952</f>
        <v>2150.8025309999998</v>
      </c>
      <c r="S304" s="3">
        <f>2487.6+(968.2-744.8)+(-1.268676+(-0.493782--0.379848))+0-590.1--0.30095099999994</f>
        <v>2119.8183409999997</v>
      </c>
      <c r="T304" s="3">
        <f>2393.3+(975.4-669.2)+(-1.220583+(-0.497454--0.341292))+0-602.8--0.307427999999939</f>
        <v>2095.6306830000003</v>
      </c>
      <c r="U304" s="3">
        <f>2384.7+(962.7-643.9)+(0+(0-0))+0-646.2-0</f>
        <v>2057.3000000000002</v>
      </c>
      <c r="V304" s="3">
        <f>2534.5+(1012.5-824.2)+(0+(0-0))+0-632.1-0</f>
        <v>2090.7000000000003</v>
      </c>
      <c r="W304" s="3">
        <f>3410.5+(863.1-1435.9)+(1.739355+(0.440181-0.732309))+0-566-0.288659999999943</f>
        <v>2272.8585669999998</v>
      </c>
      <c r="X304" s="3">
        <f>4153.9+(846.6-1862.9)+(-8.473956+(-1.727064--3.800316))+0-634.5--1.29437999999997</f>
        <v>2497.9936759999991</v>
      </c>
      <c r="Y304" s="3">
        <f>3800.2+(780.9-1490.5)+(-7.752408+(-1.593036--3.04062))+0-626.9--1.27887599999997</f>
        <v>2458.6740519999998</v>
      </c>
      <c r="Z304" s="3">
        <f>3809.2+(678-1454.6)+(0+(0-0))+0-610.3-0</f>
        <v>2422.3000000000002</v>
      </c>
      <c r="AA304" s="3">
        <f>3678.5+(531.2-1246.9)+(-11.25621+(-1.625472--3.815514))+0-615.3--1.88281800000007</f>
        <v>2340.3166500000007</v>
      </c>
      <c r="AB304" s="3">
        <f>3446+(606.1-1171.1)+(-5.27238+(-0.927333--1.791783))+0-616.7--0.943551000000036</f>
        <v>2260.8356209999997</v>
      </c>
      <c r="AC304" s="3">
        <f>2893.6+(704.3-802.3)+(-11.805888+(-2.873544--3.273384))+0-658.4--2.68627199999994</f>
        <v>2128.4802239999999</v>
      </c>
      <c r="AD304">
        <v>2609.9000000000005</v>
      </c>
      <c r="AE304" s="3">
        <f>4324+(847.1-1940)+(0+(0-0))+0-621.2-0</f>
        <v>2609.8999999999996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2015.1+(1160.1-546.8)+(-4.110804+(-2.366604--1.115472))+0-625.9--1.27683599999997</f>
        <v>1998.4148999999998</v>
      </c>
      <c r="G305" s="3">
        <f>1775.4+(1323.3-530)+(-3.621816+(-2.699532--1.0812))+0-646.4--1.31865599999997</f>
        <v>1918.3785079999998</v>
      </c>
      <c r="H305" s="3">
        <f>1604+(1388.2-496.7)+(-4.90824+(-4.247892--1.519902))+0-635.2--1.94371200000007</f>
        <v>1854.6074819999999</v>
      </c>
      <c r="I305" s="3">
        <f>1534.2+(1398-475.6)+(0+(0-0))+0-637.6-0</f>
        <v>1819</v>
      </c>
      <c r="J305" s="3">
        <f>1552.8+(1351-484.6)+(1.583856+(1.37802-0.494292))+0-599.6-0.611592000000096</f>
        <v>1821.4559919999997</v>
      </c>
      <c r="K305" s="3">
        <f>1788.3+(1241.4-512.8)+(0+(0-0))+0-660.2-0</f>
        <v>1856.7</v>
      </c>
      <c r="L305" s="3">
        <f>2140.3+(995.2-619.8)+(-1.091553+(-0.507552--0.316098))+0-568.2--0.289781999999942</f>
        <v>1946.5067750000001</v>
      </c>
      <c r="M305" s="3">
        <f>2517.2+(762.5-675.6)+(0+(0-0))+0-628-0</f>
        <v>1976.1</v>
      </c>
      <c r="N305" s="3">
        <f>2843+(645.1-979.2)+(2.89986+(0.658002-0.998784))+0-524.8-0.535296000000084</f>
        <v>1986.1237820000003</v>
      </c>
      <c r="O305" s="3">
        <f>3516+(540.4-1492.8)+(3.58632+(0.551208-1.522656))+0-532-0.542640000000085</f>
        <v>2033.6722319999999</v>
      </c>
      <c r="P305" s="3">
        <f>4181+(510.2-1937.4)+(6.39693+(0.780606-2.964222))+0-611.1-0.934983000000035</f>
        <v>2145.9783310000003</v>
      </c>
      <c r="Q305" s="3">
        <f>4295.8+(516.1-2107.7)+(2.190858+(0.263211-1.074927))+0-565.1-0.288200999999943</f>
        <v>2140.1909410000003</v>
      </c>
      <c r="R305" s="3">
        <f>3864.7+(533.7-1737.7)+(-7.883988+(-1.088748--3.544908))+0-502.2--1.02448799999998</f>
        <v>2154.0966600000002</v>
      </c>
      <c r="S305" s="3">
        <f>3188.5+(598.6-1152.1)+(-3.25227+(-0.610572--1.175142))+0-594.6--0.606492000000095</f>
        <v>2038.3187920000003</v>
      </c>
      <c r="T305" s="3">
        <f>2810+(706.2-1033.4)+(0+(0-0))+0-522-0</f>
        <v>1960.8000000000002</v>
      </c>
      <c r="U305" s="3">
        <f>2447.6+(836.2-774.5)+(0+(0-0))+0-508.5-0</f>
        <v>2000.8000000000002</v>
      </c>
      <c r="V305" s="3">
        <f>2358.2+(897.3-681.5)+(-3.608046+(-1.372869--1.042695))+0-525.7--0.80432100000003</f>
        <v>2045.166101</v>
      </c>
      <c r="W305" s="3">
        <f>3076.3+(795.1-1081.6)+(4.706739+(1.216503-1.654848))+0-556.2-0.850986000000032</f>
        <v>2237.0174080000002</v>
      </c>
      <c r="X305" s="3">
        <f>3698.9+(804.5-1404.3)+(-3.772878+(-0.82059--1.432386))+0-616.9--0.629238000000098</f>
        <v>2479.6681560000002</v>
      </c>
      <c r="Y305" s="3">
        <f>3465.7+(793.6-1267.6)+(-7.070028+(-1.618944--2.585904))+0-540.6--1.10282399999998</f>
        <v>2446.0997560000001</v>
      </c>
      <c r="Z305" s="3">
        <f>3101.2+(838.4-927.6)+(-7.90806+(-2.13792--2.36538))+0-624.9--1.59349499999991</f>
        <v>2381.0128949999998</v>
      </c>
      <c r="AA305" s="3">
        <f>2270.2+(1035.9-512.5)+(-3.473406+(-1.584927--0.784125))+0-467.2--0.714816000000027</f>
        <v>2322.8406080000004</v>
      </c>
      <c r="AB305" s="3">
        <f>2015+(1349.9-495.2)+(-1.02765+(-0.688449--0.252552))+0-621.9--0.317168999999937</f>
        <v>2246.6536219999998</v>
      </c>
      <c r="AC305" s="3">
        <f>1765.4+(1441.3-539.9)+(-1.800708+(-1.470126--0.550698))+0-525.6--0.536112000000084</f>
        <v>2139.0159760000006</v>
      </c>
      <c r="AD305">
        <v>2458.3999999999996</v>
      </c>
      <c r="AE305" s="3">
        <f>3820+(798.9-1434)+(0+(0-0))+0-726.5-0</f>
        <v>2458.4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1917.7+(1138.7-559)+(-1.956054+(-1.161474--0.57018))+0-474.9--0.484398000000076</f>
        <v>2020.43705</v>
      </c>
      <c r="G306" s="3">
        <f>1967.8+(1194.1-598.1)+(0+(0-0))+0-660.6-0</f>
        <v>1903.1999999999998</v>
      </c>
      <c r="H306" s="3">
        <f>1717.3+(1085.6-517.7)+(0.875823+(0.553656-0.264027))+0-438.6-0.223685999999956</f>
        <v>1847.5417660000001</v>
      </c>
      <c r="I306" s="3">
        <f>1693.3+(1262.5-485.6)+(1.727166+(1.28775-0.495312))+0-625.4-0.6379080000001</f>
        <v>1846.6816959999996</v>
      </c>
      <c r="J306" s="3">
        <f>1589.6+(1254.5-484.3)+(0+(0-0))+0-513.5-0</f>
        <v>1846.3000000000002</v>
      </c>
      <c r="K306" s="3">
        <f>1580.4+(1380.5-514.1)+(0+(0-0))+0-582.3-0</f>
        <v>1864.5000000000002</v>
      </c>
      <c r="L306" s="3">
        <f>1632.2+(1315-450)+(0+(0-0))+0-548-0</f>
        <v>1949.1999999999998</v>
      </c>
      <c r="M306" s="3">
        <f>1685.8+(1352.9-400)+(-2.579274+(-2.069937--0.612))+0-680.9--1.04177700000004</f>
        <v>1954.804566</v>
      </c>
      <c r="N306" s="3">
        <f>2044.4+(927.8-401.2)+(2.085288+(0.946356-0.409224))+0-533.5-0.544170000000085</f>
        <v>2039.57825</v>
      </c>
      <c r="O306" s="3">
        <f>3008.8+(592-802.6)+(-1.534488+(-0.30192--0.409326))+0-701.3--0.357662999999929</f>
        <v>2095.8305810000002</v>
      </c>
      <c r="P306" s="3">
        <f>3004.3+(676.7-1026.2)+(-1.532193+(-0.345117--0.523362))+0-515.8--0.263057999999948</f>
        <v>2137.9091100000001</v>
      </c>
      <c r="Q306" s="3">
        <f>3198.7+(640.7-1215)+(-1.631337+(-0.326757--0.61965))+0-521.5--0.265964999999947</f>
        <v>2101.8275209999997</v>
      </c>
      <c r="R306" s="3">
        <f>3074+(677.8-1030.4)+(-4.70322+(-1.037034--1.576512))+0-590.3--0.903159000000034</f>
        <v>2127.8394169999997</v>
      </c>
      <c r="S306" s="3">
        <f>2822.1+(637.1-764.7)+(-5.757084+(-1.299684--1.559988))+0-650.8--1.32763199999997</f>
        <v>2039.5308520000001</v>
      </c>
      <c r="T306" s="3">
        <f>2480.9+(759.1-661.6)+(-3.795777+(-1.161423--1.012248))+0-665.5--1.01821500000004</f>
        <v>1909.9732630000003</v>
      </c>
      <c r="U306" s="3">
        <f>2494+(849.4-668.3)+(0+(0-0))+0-642.3-0</f>
        <v>2032.8</v>
      </c>
      <c r="V306" s="3">
        <f>2569+(866.6-694)+(0+(0-0))+0-641.9-0</f>
        <v>2099.6999999999998</v>
      </c>
      <c r="W306" s="3">
        <f>3293.1+(842.1-1210.5)+(-1.679481+(-0.429471--0.617355))+0-622.1--0.317270999999937</f>
        <v>2301.4256739999996</v>
      </c>
      <c r="X306" s="3">
        <f>4202.2+(873.5-1867.5)+(0+(0-0))+0-659.8-0</f>
        <v>2548.3999999999996</v>
      </c>
      <c r="Y306" s="3">
        <f>4313.8+(891.2-2039.2)+(-8.800152+(-1.818048--4.159968))+0-640.4--1.30641599999997</f>
        <v>2520.248184</v>
      </c>
      <c r="Z306" s="3">
        <f>4097.6+(668.3-1693.2)+(-4.179552+(-0.681666--1.727064))+0-572.9--0.584358000000091</f>
        <v>2497.2502040000004</v>
      </c>
      <c r="AA306" s="3">
        <f>4060.9+(582.8-1555.8)+(-2.071059+(-0.297228--0.793458))+0-676.6--0.345065999999931</f>
        <v>2410.0702369999999</v>
      </c>
      <c r="AB306" s="3">
        <f>3619.4+(631.8-1406.9)+(-9.22947+(-1.61109--3.587595))+0-569.3--1.45171499999992</f>
        <v>2269.19875</v>
      </c>
      <c r="AC306" s="3">
        <f>3231.3+(670.5-1061.4)+(-6.591852+(-1.36782--2.165256))+0-637.9--1.30131599999997</f>
        <v>2198.0068999999999</v>
      </c>
      <c r="AD306">
        <v>2532.2000000000003</v>
      </c>
      <c r="AE306" s="3">
        <f>4431+(870.3-2003.1)+(0+(0-0))+0-766-0</f>
        <v>2532.1999999999998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2052.2+(1120-535)+(-2.093244+(-1.1424--0.5457))+0-565--0.57630000000009</f>
        <v>2070.0863559999998</v>
      </c>
      <c r="G307" s="3">
        <f>1809.9+(1342.8-556.3)+(-0.923049+(-0.684828--0.283713))+0-637.8--0.325277999999935</f>
        <v>1957.6011140000001</v>
      </c>
      <c r="H307" s="3">
        <f>1736.6+(1341.1-535)+(-3.542664+(-2.735844--1.0914))+0-621.1--1.26704399999997</f>
        <v>1917.6799359999998</v>
      </c>
      <c r="I307" s="3">
        <f>1795.1+(1211.2-516)+(0.915501+(0.617712-0.26316))+0-610.7-0.311456999999938</f>
        <v>1880.5585960000003</v>
      </c>
      <c r="J307" s="3">
        <f>1795.9+(1243.4-515.8)+(1.831818+(1.268268-0.526116))+0-638.1-0.650862000000102</f>
        <v>1887.3231079999998</v>
      </c>
      <c r="K307" s="3">
        <f>1889.9+(1183.7-547.6)+(1.927698+(1.207374-0.558552))+0-641.9-0.654738000000102</f>
        <v>1886.0217819999998</v>
      </c>
      <c r="L307" s="3">
        <f>1893.7+(1324.6-574.5)+(1.931574+(1.351092-0.58599))+0-634.7-0.647394000000101</f>
        <v>2011.1492820000001</v>
      </c>
      <c r="M307" s="3">
        <f>2047.6+(1303.9-580.3)+(-2.088552+(-1.329978--0.591906))+0-644.8--0.657696000000103</f>
        <v>2124.2310720000005</v>
      </c>
      <c r="N307" s="3">
        <f>2964.9+(650.6-966.5)+(6.048396+(1.327224-1.97166))+0-445.8-0.909431999999981</f>
        <v>2207.694528</v>
      </c>
      <c r="O307" s="3">
        <f>3952.3+(565.2-1653.5)+(4.031346+(0.576504-1.68657))+0-512-0.522240000000082</f>
        <v>2354.3990399999998</v>
      </c>
      <c r="P307" s="3">
        <f>4271.6+(690.4-2266.1)+(-6.535548+(-1.056312--3.467133))+0-370.7--0.567171000000021</f>
        <v>2321.642444000001</v>
      </c>
      <c r="Q307" s="3">
        <f>4325.1+(668.4-2199.5)+(-4.411602+(-0.681768--2.24349))+0-477.1--0.486642000000076</f>
        <v>2314.5367620000006</v>
      </c>
      <c r="R307" s="3">
        <f>4012.1+(771.4-2009.6)+(-6.138513+(-1.180242--3.074688))+0-517.1--0.79116300000003</f>
        <v>2253.347096</v>
      </c>
      <c r="S307" s="3">
        <f>3306.8+(906.5-1544.8)+(1.686468+(0.462315-0.787848))+0-442.4-0.225623999999955</f>
        <v>2227.2353109999999</v>
      </c>
      <c r="T307" s="3">
        <f>3358+(896.7-1531.6)+(-5.13774+(-1.371951--2.343348))+0-589.4--0.901782000000034</f>
        <v>2130.4354390000003</v>
      </c>
      <c r="U307" s="3">
        <f>3240.8+(874-1494.5)+(-1.652808+(-0.44574--0.762195))+0-509.5--0.259844999999948</f>
        <v>2109.7234920000001</v>
      </c>
      <c r="V307" s="3">
        <f>2563.9+(979.3-901.2)+(-2.615178+(-0.998886--0.919224))+0-507--0.517140000000081</f>
        <v>2132.8222999999998</v>
      </c>
      <c r="W307" s="3">
        <f>3287+(800.4-1269)+(5.02911+(1.224612-1.94157))+0-534-0.817020000000031</f>
        <v>2287.8951320000001</v>
      </c>
      <c r="X307" s="3">
        <f>4036.2+(691.8-1834.5)+(0+(0-0))+0-434.9-0</f>
        <v>2458.6</v>
      </c>
      <c r="Y307" s="3">
        <f>4173.7+(573.4-1713.6)+(-6.385761+(-0.877302--2.621808))+0-565.5--0.865215000000033</f>
        <v>2464.2239599999998</v>
      </c>
      <c r="Z307" s="3">
        <f>3552+(685.5-1320.8)+(-5.43456+(-1.048815--2.020824))+0-497.2--0.760716000000029</f>
        <v>2415.7981650000002</v>
      </c>
      <c r="AA307" s="3">
        <f>3273.8+(734.8-1129.8)+(-8.34819+(-1.87374--2.88099))+0-538.6--1.37342999999992</f>
        <v>2334.2324900000003</v>
      </c>
      <c r="AB307" s="3">
        <f>2883+(843.2-893.5)+(-7.35165+(-2.15016--2.278425))+0-598.9--1.52719499999991</f>
        <v>2228.1038100000001</v>
      </c>
      <c r="AC307" s="3">
        <f>2765.3+(910.1-1080.1)+(-1.410303+(-0.464151--0.550851))+0-472.7--0.241076999999952</f>
        <v>2121.5174740000007</v>
      </c>
      <c r="AD307">
        <v>2240.2000000000003</v>
      </c>
      <c r="AE307" s="3">
        <f>4077+(658.3-1921)+(0+(0-0))+0-574.1-0</f>
        <v>2240.2000000000003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2851.6+(853.6-1080.6)+(0+(0-0))+0-591.1-0</f>
        <v>2033.5</v>
      </c>
      <c r="G308" s="3">
        <f>2477.3+(881.6-879.4)+(-1.263423+(-0.449616--0.448494))+0-558.6--0.284885999999943</f>
        <v>1919.920341</v>
      </c>
      <c r="H308" s="3">
        <f>2609.3+(751.6-958.6)+(0+(0-0))+0-552.7-0</f>
        <v>1849.6000000000001</v>
      </c>
      <c r="I308" s="3">
        <f>2331.7+(816.6-747.9)+(0+(0-0))+0-585.9-0</f>
        <v>1814.4999999999995</v>
      </c>
      <c r="J308" s="3">
        <f>2539.9+(700-880.5)+(2.590698+(0.714-0.89811))+0-562.8-0.57405600000009</f>
        <v>1798.4325319999998</v>
      </c>
      <c r="K308" s="3">
        <f>2746.2+(670.7-1087.2)+(1.400562+(0.342057-0.554472))+0-527.2-0.268871999999947</f>
        <v>1803.4192749999997</v>
      </c>
      <c r="L308" s="3">
        <f>2706.9+(649.8-929.9)+(0+(0-0))+0-584.2-0</f>
        <v>1842.6000000000001</v>
      </c>
      <c r="M308" s="3">
        <f>2458.6+(697.9-722.6)+(-2.507772+(-0.711858--0.737052))+0-516.9--0.527238000000082</f>
        <v>1915.0446599999996</v>
      </c>
      <c r="N308" s="3">
        <f>2764.8+(679.9-812.5)+(2.820096+(0.693498-0.82875))+0-616.5-0.628830000000098</f>
        <v>2017.7560140000001</v>
      </c>
      <c r="O308" s="3">
        <f>2416.2+(790.3-705)+(-3.696786+(-1.209159--1.07865))+0-409.2--0.626076000000024</f>
        <v>2089.0987810000001</v>
      </c>
      <c r="P308" s="3">
        <f>2441.6+(907.5-632.8)+(-3.735648+(-1.388475--0.968184))+0-603--0.922590000000035</f>
        <v>2110.0666510000001</v>
      </c>
      <c r="Q308" s="3">
        <f>2264.9+(986.8-587.9)+(-5.775495+(-2.51634--1.499145))+0-575.2--1.46675999999992</f>
        <v>2083.2740699999999</v>
      </c>
      <c r="R308" s="3">
        <f>2311.6+(943.1-679.2)+(-2.357832+(-0.961962--0.692784))+0-556.2--0.567324000000089</f>
        <v>2017.2403139999999</v>
      </c>
      <c r="S308" s="3">
        <f>2285.4+(984.5-665.2)+(-1.165554+(-0.502095--0.339252))+0-573.3--0.292382999999942</f>
        <v>2030.3639859999996</v>
      </c>
      <c r="T308" s="3">
        <f>2179.2+(1090.7-652)+(-1.111392+(-0.556257--0.33252))+0-605.4--0.308753999999939</f>
        <v>2011.4736249999994</v>
      </c>
      <c r="U308" s="3">
        <f>2314.2+(942.2-704.8)+(-4.720968+(-1.922088--1.437792))+0-552.9--1.12791599999998</f>
        <v>1994.6226519999996</v>
      </c>
      <c r="V308" s="3">
        <f>2367.7+(924.3-702.3)+(-1.207527+(-0.471393--0.358173))+0-548.3--0.279632999999944</f>
        <v>2040.3588859999995</v>
      </c>
      <c r="W308" s="3">
        <f>2720.2+(768.3-705.3)+(0+(0-0))+0-606.2-0</f>
        <v>2177</v>
      </c>
      <c r="X308" s="3">
        <f>3584.5+(779.5-1276.8)+(1.828095+(0.397545-0.651168))+0-577-0.294269999999941</f>
        <v>2511.4802019999997</v>
      </c>
      <c r="Y308" s="3">
        <f>3590.5+(864.6-1328.1)+(-3.66231+(-0.881892--1.354662))+0-598.4--0.610368000000095</f>
        <v>2526.0208280000002</v>
      </c>
      <c r="Z308" s="3">
        <f>3460.9+(902.3-1294.2)+(-3.530118+(-0.920346--1.320084))+0-567.4--0.57874800000009</f>
        <v>2499.0483679999998</v>
      </c>
      <c r="AA308" s="3">
        <f>3273.1+(981.3-1263.3)+(-5.007843+(-1.501389--1.932849))+0-562.8--0.861084000000032</f>
        <v>2424.5847009999998</v>
      </c>
      <c r="AB308" s="3">
        <f>3154.2+(858-1128.2)+(-4.825926+(-1.31274--1.726146))+0-584.2--0.893826000000034</f>
        <v>2296.2813060000003</v>
      </c>
      <c r="AC308" s="3">
        <f>2944.6+(688.5-805)+(-7.50873+(-1.755675--2.05275))+0-680.4--1.7350199999999</f>
        <v>2142.2233649999998</v>
      </c>
      <c r="AD308">
        <v>2548.3000000000002</v>
      </c>
      <c r="AE308" s="3">
        <f>3878.1+(828.5-1439.3)+(0+(0-0))+0-719-0</f>
        <v>2548.3000000000002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1920.9+(1030.2-587.5)+(-4.898295+(-2.62701--1.498125))+0-482.8--1.23113999999993</f>
        <v>1876.0039600000002</v>
      </c>
      <c r="G309" s="3">
        <f>1947.4+(1041.2-572.3)+(-3.972696+(-2.124048--1.167492))+0-610.7--1.24582799999997</f>
        <v>1801.9165760000003</v>
      </c>
      <c r="H309" s="3">
        <f>2001.8+(919.8-623.8)+(1.020918+(0.469098-0.318138))+0-561.6-0.286415999999943</f>
        <v>1737.0854620000005</v>
      </c>
      <c r="I309" s="3">
        <f>1956.6+(914-601.8)+(1.995732+(0.93228-0.613836))+0-551.8-0.562836000000088</f>
        <v>1718.75134</v>
      </c>
      <c r="J309" s="3">
        <f>1924.1+(966.9-603.8)+(0.981291+(0.493119-0.307938))+0-577.5-0.294524999999941</f>
        <v>1710.5719469999997</v>
      </c>
      <c r="K309" s="3">
        <f>1935.7+(949.7-625.2)+(0.987207+(0.484347-0.318852))+0-510.7-0.260456999999948</f>
        <v>1750.3922449999998</v>
      </c>
      <c r="L309" s="3">
        <f>1993+(1116.1-612)+(1.01643+(0.569211-0.31212))+0-658.6-0.335885999999933</f>
        <v>1839.4376350000002</v>
      </c>
      <c r="M309" s="3">
        <f>1974.6+(1179.2-603.5)+(1.007046+(0.601392-0.307785))+0-593.7-0.30278699999994</f>
        <v>1957.5978660000001</v>
      </c>
      <c r="N309" s="3">
        <f>2683.7+(689-734)+(-1.368687+(-0.35139--0.37434))+0-512.1--0.261170999999948</f>
        <v>2125.5154339999999</v>
      </c>
      <c r="O309" s="3">
        <f>3894.8+(589.5-1633.7)+(5.959044+(0.901935-2.499561))+0-571.6-0.874548000000033</f>
        <v>2282.4868700000002</v>
      </c>
      <c r="P309" s="3">
        <f>4549.8+(581.6-2319.2)+(4.640796+(0.593232-2.365584))+0-453.5-0.462570000000072</f>
        <v>2361.1058740000003</v>
      </c>
      <c r="Q309" s="3">
        <f>4713.5+(821.6-2552.5)+(4.80777+(0.838032-2.60355))+0-614.3-0.626586000000098</f>
        <v>2370.7156660000001</v>
      </c>
      <c r="R309" s="3">
        <f>3806.2+(964.2-1994.4)+(-5.823486+(-1.475226--3.051432))+0-492.6--0.753678000000028</f>
        <v>2279.9063980000001</v>
      </c>
      <c r="S309" s="3">
        <f>3356.1+(1025.9-1593.3)+(-6.846444+(-2.092836--3.250332))+0-549.2--1.12036799999998</f>
        <v>2234.9314199999999</v>
      </c>
      <c r="T309" s="3">
        <f>3235.3+(1039.4-1485.3)+(-1.650003+(-0.530094--0.757503))+0-622.9--0.317678999999937</f>
        <v>2165.3950850000001</v>
      </c>
      <c r="U309" s="3">
        <f>3260.2+(941.5-1478.6)+(-4.988106+(-1.440495--2.262258))+0-569.5--0.871335000000033</f>
        <v>2150.3049919999999</v>
      </c>
      <c r="V309" s="3">
        <f>3150.1+(762.1-1208.2)+(-3.213102+(-0.777342--1.232364))+0-564.1--0.57538200000009</f>
        <v>2137.717302</v>
      </c>
      <c r="W309" s="3">
        <f>3619.2+(658-1397.9)+(0+(0-0))+0-562.1-0</f>
        <v>2317.1999999999998</v>
      </c>
      <c r="X309" s="3">
        <f>4526.8+(554.8-1919.9)+(-9.234672+(-1.131792--3.916596))+0-564.5--1.15157999999998</f>
        <v>2591.9017119999999</v>
      </c>
      <c r="Y309" s="3">
        <f>4452.5+(482-1772.5)+(-11.353875+(-1.2291--4.519875))+0-641.9--1.63684499999991</f>
        <v>2513.6737450000001</v>
      </c>
      <c r="Z309" s="3">
        <f>3949.5+(443.3-1300.4)+(-4.02849+(-0.452166--1.326408))+0-682.7--0.696354000000109</f>
        <v>2407.2421060000001</v>
      </c>
      <c r="AA309" s="3">
        <f>3442.9+(470.8-1005.2)+(-1.755879+(-0.240108--0.512652))+0-624.7--0.318596999999937</f>
        <v>2282.6352620000002</v>
      </c>
      <c r="AB309" s="3">
        <f>3337+(488.9-960.6)+(-8.50935+(-1.246695--2.44953))+0-663.5--1.6919249999999</f>
        <v>2196.18541</v>
      </c>
      <c r="AC309" s="3">
        <f>3067.4+(560.1-888.5)+(-3.128748+(-0.571302--0.90627))+0-660.3--0.673506000000105</f>
        <v>2076.5797259999999</v>
      </c>
      <c r="AD309">
        <v>2665.7000000000003</v>
      </c>
      <c r="AE309" s="3">
        <f>4714+(519.6-2055.5)+(0+(0-0))+0-512.4-0</f>
        <v>2665.7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2130.4+(943-551.1)+(-5.43252+(-2.40465--1.405305))+0-634.6--1.61822999999991</f>
        <v>1882.8863650000001</v>
      </c>
      <c r="G310" s="3">
        <f>2243.9+(761.5-579.1)+(-2.288778+(-0.77673--0.590682))+0-627.9--0.6404580000001</f>
        <v>1796.5656320000001</v>
      </c>
      <c r="H310" s="3">
        <f>2125.1+(843.9-564)+(-5.419005+(-2.151945--1.4382))+0-676.1--1.7240549999999</f>
        <v>1724.4913049999998</v>
      </c>
      <c r="I310" s="3">
        <f>1964.3+(906.6-584.7)+(0+(0-0))+0-599.7-0</f>
        <v>1686.4999999999998</v>
      </c>
      <c r="J310" s="3">
        <f>1958.8+(985.1-602.2)+(0.998988+(0.502401-0.307122))+0-676.8-0.345167999999931</f>
        <v>1665.7490989999999</v>
      </c>
      <c r="K310" s="3">
        <f>2038.3+(933.8-629.1)+(-1.039533+(-0.476238--0.320841))+0-641--0.326909999999935</f>
        <v>1701.1319799999999</v>
      </c>
      <c r="L310" s="3">
        <f>2097.4+(959.5-623.8)+(-3.209022+(-1.468035--0.954414))+0-661.4--1.01194200000004</f>
        <v>1768.9892990000003</v>
      </c>
      <c r="M310" s="3">
        <f>1979.7+(1056.3-606.4)+(-2.019294+(-1.077426--0.618528))+0-625.2--0.6377040000001</f>
        <v>1802.559512</v>
      </c>
      <c r="N310" s="3">
        <f>2388.1+(812.1-744.5)+(-1.217931+(-0.414171--0.379695))+0-541--0.275909999999945</f>
        <v>1913.7235029999997</v>
      </c>
      <c r="O310" s="3">
        <f>3154+(468.1-971.2)+(-1.60854+(-0.238731--0.495312))+0-587.3--0.29952299999994</f>
        <v>2062.547564</v>
      </c>
      <c r="P310" s="3">
        <f>3427+(581.1-1235.2)+(0+(0-0))+0-616.3-0</f>
        <v>2156.6000000000004</v>
      </c>
      <c r="Q310" s="3">
        <f>3690.9+(576.9-1422.1)+(-1.882359+(-0.294219--0.725271))+0-646.9--0.329918999999934</f>
        <v>2197.6786120000002</v>
      </c>
      <c r="R310" s="3">
        <f>3451.1+(529.8-1151.6)+(-3.520122+(-0.540396--1.174632))+0-677.6--0.691152000000108</f>
        <v>2149.5052660000006</v>
      </c>
      <c r="S310" s="3">
        <f>3580.8+(509.7-1338.5)+(-7.304832+(-1.039788--2.73054))+0-603.5--1.23113999999997</f>
        <v>2144.11706</v>
      </c>
      <c r="T310" s="3">
        <f>3144.3+(516.9-1077.1)+(-3.207186+(-0.527238--1.098642))+0-502.6--0.51265200000008</f>
        <v>2079.3768700000005</v>
      </c>
      <c r="U310" s="3">
        <f>3335.2+(525.1-1072.3)+(1.700952+(0.267801-0.546873))+0-720.9-0.367658999999927</f>
        <v>2068.1542209999998</v>
      </c>
      <c r="V310" s="3">
        <f>3597.1+(445-1403.7)+(0+(0-0))+0-515.2-0</f>
        <v>2123.1999999999998</v>
      </c>
      <c r="W310" s="3">
        <f>4178.5+(422.5-1625.4)+(10.655175+(1.077375-4.14477))+0-688.5-1.7556749999999</f>
        <v>2292.9321049999999</v>
      </c>
      <c r="X310" s="3">
        <f>4586.7+(651-2063)+(-7.017651+(-0.99603--3.15639))+0-579.2--0.886176000000033</f>
        <v>2591.5288849999997</v>
      </c>
      <c r="Y310" s="3">
        <f>4368.9+(664.9-1791.8)+(-8.912556+(-1.356396--3.655272))+0-687.5--1.40249999999997</f>
        <v>2549.2888199999998</v>
      </c>
      <c r="Z310" s="3">
        <f>3868.8+(725.7-1497.7)+(-1.973088+(-0.370107--0.763827))+0-653.8--0.333437999999934</f>
        <v>2441.7540700000004</v>
      </c>
      <c r="AA310" s="3">
        <f>3605.3+(629.8-1268)+(1.838703+(0.321198-0.64668))+0-622.8-0.317627999999937</f>
        <v>2345.4955930000006</v>
      </c>
      <c r="AB310" s="3">
        <f>3455.5+(573.8-1116.4)+(-3.52461+(-0.585276--1.138728))+0-676.3--0.689826000000108</f>
        <v>2234.3186680000003</v>
      </c>
      <c r="AC310" s="3">
        <f>2586.6+(903.1-828.1)+(-5.276664+(-1.842324--1.689324))+0-605.9--1.23603599999997</f>
        <v>2051.5063719999998</v>
      </c>
      <c r="AD310">
        <v>2460.3000000000002</v>
      </c>
      <c r="AE310" s="3">
        <f>4639+(725-2218.6)+(0+(0-0))+0-685.1-0</f>
        <v>2460.3000000000002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2208.3+(1026.9-697.4)+(0+(0-0))+0-646-0</f>
        <v>1891.8000000000002</v>
      </c>
      <c r="G311" s="3">
        <f>2059.4+(972.5-598.7)+(-2.100588+(-0.99195--0.610674))+0-621.3--0.633726000000099</f>
        <v>1810.051862</v>
      </c>
      <c r="H311" s="3">
        <f>1985.5+(941.4-554.1)+(-1.012605+(-0.480114--0.282591))+0-620.6--0.316505999999937</f>
        <v>1751.306378</v>
      </c>
      <c r="I311" s="3">
        <f>1950.3+(966.2-573.1)+(0.994653+(0.492762-0.292281))+0-645.8-0.329357999999934</f>
        <v>1698.4657760000002</v>
      </c>
      <c r="J311" s="3">
        <f>1918.1+(937.6-539.9)+(0.978231+(0.478176-0.275349))+0-601.3-0.306662999999939</f>
        <v>1715.3743950000005</v>
      </c>
      <c r="K311" s="3">
        <f>2045.3+(955.1-581.2)+(2.086206+(0.974202-0.592824))+0-678.1-0.691662000000108</f>
        <v>1742.8759219999997</v>
      </c>
      <c r="L311" s="3">
        <f>2127.8+(993.8-663.7)+(1.085178+(0.506838-0.338487))+0-599.8-0.305897999999939</f>
        <v>1859.0476310000004</v>
      </c>
      <c r="M311" s="3">
        <f>2363.3+(912.3-660.5)+(0+(0-0))+0-647.7-0</f>
        <v>1967.4000000000003</v>
      </c>
      <c r="N311" s="3">
        <f>3336.1+(517.6-1174.2)+(3.402822+(0.527952-1.197684))+0-550.2-0.561204000000088</f>
        <v>2131.4718859999998</v>
      </c>
      <c r="O311" s="3">
        <f>4058.9+(577.4-1870.1)+(4.140078+(0.588948-1.907502))+0-531-0.541620000000085</f>
        <v>2237.4799040000003</v>
      </c>
      <c r="P311" s="3">
        <f>4272.7+(636.8-2026.6)+(0+(0-0))+0-567.7-0</f>
        <v>2315.1999999999998</v>
      </c>
      <c r="Q311" s="3">
        <f>4426.5+(652.8-2281.9)+(2.257515+(0.332928-1.163769))+0-433.5-0.221084999999956</f>
        <v>2365.1055889999993</v>
      </c>
      <c r="R311" s="3">
        <f>4147+(713.8-2064.4)+(-6.34491+(-1.092114--3.158532))+0-496.5--0.759645000000029</f>
        <v>2296.3811529999998</v>
      </c>
      <c r="S311" s="3">
        <f>3650.3+(644.4-1612.1)+(0+(0-0))+0-438.6-0</f>
        <v>2244.0000000000005</v>
      </c>
      <c r="T311" s="3">
        <f>3931.9+(381.9-1664.6)+(4.010538+(0.389538-1.697892))+0-521-0.531420000000083</f>
        <v>2130.3707640000002</v>
      </c>
      <c r="U311" s="3">
        <f>3536.3+(402.9-1340.1)+(-1.803513+(-0.205479--0.683451))+0-447--0.227969999999955</f>
        <v>2151.0024290000001</v>
      </c>
      <c r="V311" s="3">
        <f>3193.5+(531.9-1011.2)+(0+(0-0))+0-549.9-0</f>
        <v>2164.2999999999997</v>
      </c>
      <c r="W311" s="3">
        <f>4319.2+(218.2-1714.3)+(2.202792+(0.111282-0.874293))+0-430.9-0.219758999999956</f>
        <v>2393.4200219999998</v>
      </c>
      <c r="X311" s="3">
        <f>5140.5+(205.1-2097.5)+(-5.24331+(-0.209202--2.13945))+0-669.8--0.683196000000107</f>
        <v>2575.670134</v>
      </c>
      <c r="Y311" s="3">
        <f>4306.6+(367.9-1598)+(-4.392732+(-0.375258--1.62996))+0-580.6--0.592212000000093</f>
        <v>2493.3541820000005</v>
      </c>
      <c r="Z311" s="3">
        <f>3697+(508.2-1175)+(-3.77094+(-0.518364--1.1985))+0-678.3--0.691866000000108</f>
        <v>2349.5010620000003</v>
      </c>
      <c r="AA311" s="3">
        <f>3094.3+(621.8-837.4)+(-3.156186+(-0.634236--0.854148))+0-634--0.646680000000101</f>
        <v>2242.4104060000004</v>
      </c>
      <c r="AB311" s="3">
        <f>2917.8+(638.7-826)+(-1.488078+(-0.325737--0.42126))+0-600.1--0.306050999999939</f>
        <v>2129.3134960000002</v>
      </c>
      <c r="AC311" s="3">
        <f>2491.2+(861.9-695.7)+(-5.082048+(-1.758276--1.419228))+0-627.7--1.28050799999997</f>
        <v>2025.5594119999996</v>
      </c>
      <c r="AD311">
        <v>2510.8999999999996</v>
      </c>
      <c r="AE311" s="3">
        <f>5125+(251.7-2140.4)+(0+(0-0))+0-725.4-0</f>
        <v>2510.9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1797.6+(1248.5-539)+(0+(0-0))+0-614.7-0</f>
        <v>1892.3999999999999</v>
      </c>
      <c r="G312" s="3">
        <f>1848.7+(1128.8-536.9)+(-0.942837+(-0.575688--0.273819))+0-642.5--0.327674999999935</f>
        <v>1797.182969</v>
      </c>
      <c r="H312" s="3">
        <f>1723.1+(1141.2-550.7)+(0+(0-0))+0-607.6-0</f>
        <v>1706</v>
      </c>
      <c r="I312" s="3">
        <f>1650.6+(1230.7-532.6)+(2.525418+(1.882971-0.814878))+0-669.1-1.02372300000004</f>
        <v>1682.1697879999999</v>
      </c>
      <c r="J312" s="3">
        <f>1586.9+(1218.2-531)+(0+(0-0))+0-606.5-0</f>
        <v>1667.6000000000004</v>
      </c>
      <c r="K312" s="3">
        <f>2035.3+(1025.1-694.9)+(6.228018+(3.136806-2.126394))+0-659.1-2.01684600000008</f>
        <v>1711.621584</v>
      </c>
      <c r="L312" s="3">
        <f>1981.2+(1015-638.9)+(1.010412+(0.51765-0.325839))+0-598.7-0.305336999999939</f>
        <v>1759.4968859999999</v>
      </c>
      <c r="M312" s="3">
        <f>2115.7+(1047.1-691)+(2.158014+(1.068042-0.70482))+0-624.3-0.6367860000001</f>
        <v>1849.3844499999998</v>
      </c>
      <c r="N312" s="3">
        <f>2802.7+(718.5-935.7)+(5.717508+(1.46574-1.908828))+0-647-1.31987999999997</f>
        <v>1942.4545400000002</v>
      </c>
      <c r="O312" s="3">
        <f>3464.9+(412.4-1306.6)+(7.068396+(0.841296-2.665464))+0-547-1.11587999999998</f>
        <v>2027.8283480000002</v>
      </c>
      <c r="P312" s="3">
        <f>3943.6+(533-1804)+(2.011236+(0.27183-0.92004))+0-605.4-0.308753999999939</f>
        <v>2068.2542719999997</v>
      </c>
      <c r="Q312" s="3">
        <f>3704.4+(610.8-1719.7)+(0+(0-0))+0-508.4-0</f>
        <v>2087.1</v>
      </c>
      <c r="R312" s="3">
        <f>3535.5+(546.1-1415.3)+(-9.015525+(-1.392555--3.609015))+0-622.4--1.58711999999991</f>
        <v>2038.6880549999998</v>
      </c>
      <c r="S312" s="3">
        <f>3104.1+(368.4-1059.9)+(-3.166182+(-0.375768--1.081098))+0-421.6--0.430032000000067</f>
        <v>1988.9691799999998</v>
      </c>
      <c r="T312" s="3">
        <f>2971.8+(556-971.9)+(3.031236+(0.56712-0.991338))+0-600.6-0.612612000000096</f>
        <v>1957.2944060000002</v>
      </c>
      <c r="U312" s="3">
        <f>2641.1+(668.1-909.6)+(0+(0-0))+0-531.8-0</f>
        <v>1867.8</v>
      </c>
      <c r="V312" s="3">
        <f>2698.5+(773.4-907.6)+(2.75247+(0.788868-0.925752))+0-647.1-0.660042000000103</f>
        <v>1919.155544</v>
      </c>
      <c r="W312" s="3">
        <f>3753.2+(394-1491.8)+(5.742396+(0.60282-2.282454))+0-520-0.79560000000003</f>
        <v>2138.6671619999997</v>
      </c>
      <c r="X312" s="3">
        <f>4882.2+(378.6-2178.7)+(-2.489922+(-0.193086--1.111137))+0-624.6--0.318545999999937</f>
        <v>2456.2466749999999</v>
      </c>
      <c r="Y312" s="3">
        <f>4412.3+(422.9-1806.4)+(-4.500546+(-0.431358--1.842528))+0-641.1--0.653922000000102</f>
        <v>2385.2645460000003</v>
      </c>
      <c r="Z312" s="3">
        <f>3834.9+(494.7-1421.7)+(-3.911598+(-0.504594--1.450134))+0-612.5--0.624750000000098</f>
        <v>2293.0586920000001</v>
      </c>
      <c r="AA312" s="3">
        <f>3104.9+(700.6-1062.8)+(-1.583499+(-0.357306--0.542028))+0-667--0.340169999999932</f>
        <v>2074.6413930000003</v>
      </c>
      <c r="AB312" s="3">
        <f>2358.2+(942.8-741.3)+(-9.621456+(-3.846624--3.024504))+0-605.4--2.47003199999995</f>
        <v>1946.3264559999996</v>
      </c>
      <c r="AC312" s="3">
        <f>2394.8+(903.1-744.9)+(-3.664044+(-1.381743--1.139697))+0-700.3--1.07145900000004</f>
        <v>1849.8653690000001</v>
      </c>
      <c r="AD312">
        <v>2341.3999999999996</v>
      </c>
      <c r="AE312" s="3">
        <f>5030+(393.2-2391.4)+(0+(0-0))+0-690.4-0</f>
        <v>2341.4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2142.2+(897.5-684)+(1.092522+(0.457725-0.34884))+0-543.8-0.277337999999945</f>
        <v>1812.824069</v>
      </c>
      <c r="G313" s="3">
        <f>1923+(1074.8-681.4)+(-0.98073+(-0.548148--0.347514))+0-666.3--0.339812999999932</f>
        <v>1649.2584489999999</v>
      </c>
      <c r="H313" s="3">
        <f>1799.6+(1014.6-644.5)+(0+(0-0))+0-581.6-0</f>
        <v>1588.1</v>
      </c>
      <c r="I313" s="3">
        <f>1772.6+(1034.6-590)+(1.808052+(1.055292-0.6018))+0-680.7-0.694314000000109</f>
        <v>1538.0672299999997</v>
      </c>
      <c r="J313" s="3">
        <f>1732.9+(970.1-607.1)+(-3.535116+(-1.979004--1.238484))+0-559.1--1.14056399999998</f>
        <v>1533.6649280000004</v>
      </c>
      <c r="K313" s="3">
        <f>1862.2+(995.6-662.1)+(-2.849166+(-1.523268--1.013013))+0-655.7--1.00322100000004</f>
        <v>1537.6437999999996</v>
      </c>
      <c r="L313" s="3">
        <f>1691.5+(1002.7-540)+(-6.90132+(-4.091016--2.2032))+0-582.5--2.37659999999995</f>
        <v>1565.287464</v>
      </c>
      <c r="M313" s="3">
        <f>1806.3+(1042.1-567.8)+(-0.921213+(-0.531471--0.289578))+0-678--0.345779999999931</f>
        <v>1601.7826739999998</v>
      </c>
      <c r="N313" s="3">
        <f>1963.2+(955.2-646.4)+(0+(0-0))+0-598.2-0</f>
        <v>1673.8</v>
      </c>
      <c r="O313" s="3">
        <f>2216.3+(950.2-888.4)+(-2.260626+(-0.969204--0.906168))+0-552.7--0.563754000000088</f>
        <v>1723.6400920000005</v>
      </c>
      <c r="P313" s="3">
        <f>2905.9+(589.3-1022.4)+(0+(0-0))+0-646.7-0</f>
        <v>1826.1000000000001</v>
      </c>
      <c r="Q313" s="3">
        <f>3074.4+(466.3-1056.8)+(-3.135888+(-0.475626--1.077936))+0-645.6--0.658512000000103</f>
        <v>1836.4249340000003</v>
      </c>
      <c r="R313" s="3">
        <f>2727+(547.8-927.4)+(-5.56308+(-1.117512--1.891896))+0-555.9--1.13403599999998</f>
        <v>1787.8453399999999</v>
      </c>
      <c r="S313" s="3">
        <f>2488+(605.4-707.6)+(-2.53776+(-0.617508--0.721752))+0-632.4--0.645048000000101</f>
        <v>1751.6115320000001</v>
      </c>
      <c r="T313" s="3">
        <f>2108.1+(727.7-537.1)+(-4.300524+(-1.484508--1.095684))+0-586.3--1.19605199999997</f>
        <v>1708.906704</v>
      </c>
      <c r="U313" s="3">
        <f>2024.3+(817.1-521.4)+(-1.032393+(-0.416721--0.265914))+0-635--0.323849999999936</f>
        <v>1684.1406500000001</v>
      </c>
      <c r="V313" s="3">
        <f>2288.1+(668.9-589.1)+(-3.500793+(-1.023417--0.901323))+0-621.7--0.951201000000036</f>
        <v>1743.5283139999997</v>
      </c>
      <c r="W313" s="3">
        <f>3169.8+(429.8-1046.1)+(1.616598+(0.219198-0.533511))+0-566.1-0.288710999999943</f>
        <v>1988.4135740000004</v>
      </c>
      <c r="X313" s="3">
        <f>4296.4+(616.1-1890.5)+(-4.382328+(-0.628422--1.92831))+0-696.6--0.710532000000111</f>
        <v>2323.0280919999996</v>
      </c>
      <c r="Y313" s="3">
        <f>4025+(564.5-1648.9)+(0+(0-0))+0-607.2-0</f>
        <v>2333.3999999999996</v>
      </c>
      <c r="Z313" s="3">
        <f>4145.9+(437.9-1641.7)+(-4.228818+(-0.446658--1.674534))+0-647.4--0.660348000000103</f>
        <v>2292.3594059999991</v>
      </c>
      <c r="AA313" s="3">
        <f>4036.8+(251-1433.7)+(-4.117536+(-0.25602--1.462374))+0-646.4--0.659328000000103</f>
        <v>2205.4481460000006</v>
      </c>
      <c r="AB313" s="3">
        <f>3837.1+(209.6-1314.3)+(-1.956921+(-0.106896--0.670293))+0-643.2--0.328031999999935</f>
        <v>2088.1345079999996</v>
      </c>
      <c r="AC313" s="3">
        <f>3062.1+(375.2-831.6)+(-6.246684+(-0.765408--1.696464))+0-647.5--1.32089999999997</f>
        <v>1954.2052719999999</v>
      </c>
      <c r="AD313">
        <v>2298.1999999999994</v>
      </c>
      <c r="AE313" s="3">
        <f>4359+(682.9-2036.8)+(0+(0-0))+0-706.9-0</f>
        <v>2298.1999999999998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2099.2+(896.3-630.7)+(-5.35296+(-2.285565--1.608285))+0-628.5--1.60267499999991</f>
        <v>1731.8724349999995</v>
      </c>
      <c r="G314" s="3">
        <f>1781.4+(1019.2-556.6)+(-1.817028+(-1.039584--0.567732))+0-615.4--0.627708000000098</f>
        <v>1626.9388280000001</v>
      </c>
      <c r="H314" s="3">
        <f>1782.5+(1010.7-566.1)+(-3.6363+(-2.061828--1.154844))+0-661.5--1.34945999999997</f>
        <v>1562.406176</v>
      </c>
      <c r="I314" s="3">
        <f>1756.8+(982-564)+(-2.687904+(-1.50246--0.86292))+0-658.5--1.00750500000004</f>
        <v>1513.9800610000002</v>
      </c>
      <c r="J314" s="3">
        <f>1822.9+(945.7-579.6)+(1.859358+(0.964614-0.591192))+0-626.4-0.6389280000001</f>
        <v>1564.1938519999997</v>
      </c>
      <c r="K314" s="3">
        <f>1917.2+(958.8-646.4)+(-1.955544+(-0.977976--0.659328))+0-666--0.679320000000106</f>
        <v>1562.0051280000002</v>
      </c>
      <c r="L314" s="3">
        <f>1913.5+(988.7-563.3)+(0.975885+(0.504237-0.287283))+0-609.7-0.310946999999938</f>
        <v>1730.0818919999999</v>
      </c>
      <c r="M314" s="3">
        <f>2259.8+(851.7-650.8)+(1.152498+(0.434367-0.331908))+0-630-0.321299999999936</f>
        <v>1831.6336570000005</v>
      </c>
      <c r="N314" s="3">
        <f>3021.5+(410.9-898.4)+(3.08193+(0.419118-0.916368))+0-623.9-0.636378000000099</f>
        <v>1912.0483019999997</v>
      </c>
      <c r="O314" s="3">
        <f>3751.8+(335.4-1519)+(-1.913418+(-0.171054--0.77469))+0-586.2--0.298961999999941</f>
        <v>1980.9891800000003</v>
      </c>
      <c r="P314" s="3">
        <f>4331.6+(344.3-2054.4)+(-4.418232+(-0.351186--2.095488))+0-526.5--0.537030000000084</f>
        <v>2092.8631</v>
      </c>
      <c r="Q314" s="3">
        <f>4644.7+(308.4-2256.9)+(-4.737594+(-0.314568--2.302038))+0-584.9--0.596598000000093</f>
        <v>2109.1464739999997</v>
      </c>
      <c r="R314" s="3">
        <f>4041.6+(396.9-1746.1)+(-12.367296+(-1.214514--5.343066))+0-565.8--1.73134800000007</f>
        <v>2120.0926040000004</v>
      </c>
      <c r="S314" s="3">
        <f>3524.9+(294.8-1289.6)+(-5.393097+(-0.451044--1.973088))+0-516--0.78948000000003</f>
        <v>2011.0184270000007</v>
      </c>
      <c r="T314" s="3">
        <f>3937.6+(158.5-1587.4)+(-2.008176+(-0.080835--0.809574))+0-557.5--0.284324999999943</f>
        <v>1950.2048879999995</v>
      </c>
      <c r="U314" s="3">
        <f>3525.2+(178.6-1336.3)+(-5.393556+(-0.273258--2.044539))+0-489.4--0.748782000000028</f>
        <v>1875.2265069999999</v>
      </c>
      <c r="V314" s="3">
        <f>3264+(318.1-1092.1)+(1.66464+(0.162231-0.556971))+0-615.3-0.313802999999938</f>
        <v>1875.6560969999998</v>
      </c>
      <c r="W314" s="3">
        <f>3744.9+(259.9-1410.8)+(-1.909899+(-0.132549--0.719508))+0-597.8--0.304877999999939</f>
        <v>1995.1819379999999</v>
      </c>
      <c r="X314" s="3">
        <f>4827.2+(506.4-2480.1)+(4.923744+(0.516528-2.529702))+0-547.5-0.558450000000087</f>
        <v>2308.35212</v>
      </c>
      <c r="Y314" s="3">
        <f>4614.4+(434.8-2139.9)+(-11.76672+(-1.10874--5.456745))+0-604.7--1.54198499999991</f>
        <v>2298.7232699999995</v>
      </c>
      <c r="Z314" s="3">
        <f>4281.1+(326-1757.3)+(-6.550083+(-0.49878--2.688669))+0-602.1--0.921213000000035</f>
        <v>2244.2610190000005</v>
      </c>
      <c r="AA314" s="3">
        <f>3976+(311.2-1567.5)+(-14.19432+(-1.110984--5.595975))+0-538.7--1.92315900000001</f>
        <v>2173.2138299999997</v>
      </c>
      <c r="AB314" s="3">
        <f>3610.4+(399.7-1338.5)+(-7.365216+(-0.815388--2.73054))+0-570.5--1.16381999999997</f>
        <v>2096.813756</v>
      </c>
      <c r="AC314" s="3">
        <f>2756.3+(582.7-721.8)+(-7.028565+(-1.485885--1.84059))+0-649.9--1.65724499999991</f>
        <v>1962.2833850000002</v>
      </c>
      <c r="AD314">
        <v>2229.9</v>
      </c>
      <c r="AE314" s="3">
        <f>4909+(420-2586.6)+(0+(0-0))+0-512.5-0</f>
        <v>2229.9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2215.3+(760.1-554.9)+(0+(0-0))+0-582.3-0</f>
        <v>1838.2</v>
      </c>
      <c r="G315" s="3">
        <f>2173.2+(773.6-560.8)+(-5.54166+(-1.97268--1.43004))+0-667--1.7008499999999</f>
        <v>1714.61655</v>
      </c>
      <c r="H315" s="3">
        <f>2050.3+(779.9-517.5)+(-3.136959+(-1.193247--0.791775))+0-646.3--0.988839000000037</f>
        <v>1663.8504080000005</v>
      </c>
      <c r="I315" s="3">
        <f>1952.7+(833.6-481.8)+(-3.983508+(-1.700544--0.982872))+0-661--1.34843999999997</f>
        <v>1640.14726</v>
      </c>
      <c r="J315" s="3">
        <f>2029.3+(834.5-570.7)+(3.104829+(1.276785-0.873171))+0-656.7-1.00475100000004</f>
        <v>1638.9036920000001</v>
      </c>
      <c r="K315" s="3">
        <f>1932.2+(898.2-513.7)+(-0.985422+(-0.458082--0.261987))+0-650.2--0.331601999999934</f>
        <v>1665.6500849999998</v>
      </c>
      <c r="L315" s="3">
        <f>1995+(1020.8-563.7)+(0+(0-0))+0-644.9-0</f>
        <v>1807.1999999999998</v>
      </c>
      <c r="M315" s="3">
        <f>2161.9+(926.3-537.3)+(1.102569+(0.472413-0.274023))+0-599-0.305489999999939</f>
        <v>1952.8954690000003</v>
      </c>
      <c r="N315" s="3">
        <f>2699.7+(458.3-650.1)+(-4.130541+(-0.701199--0.994653))+0-566--0.865980000000033</f>
        <v>1938.9288929999998</v>
      </c>
      <c r="O315" s="3">
        <f>3409+(453.5-1432.8)+(-1.73859+(-0.231285--0.730728))+0-448.7--0.228836999999954</f>
        <v>1979.9896899999999</v>
      </c>
      <c r="P315" s="3">
        <f>3864.6+(448.2-1796.9)+(-7.883784+(-0.914328--3.665676))+0-441--0.899639999999981</f>
        <v>2070.6672039999999</v>
      </c>
      <c r="Q315" s="3">
        <f>3916.3+(346.3-1839.6)+(-5.991939+(-0.529839--2.814588))+0-484.9--0.741897000000028</f>
        <v>1935.1347069999999</v>
      </c>
      <c r="R315" s="3">
        <f>3608.9+(365.9-1558.1)+(-12.883773+(-1.306263--5.562417))+0-513.1--1.83176700000001</f>
        <v>1896.8041480000004</v>
      </c>
      <c r="S315" s="3">
        <f>3515.2+(315.7-1459.9)+(-5.378256+(-0.483021--2.233647))+0-488--0.746640000000028</f>
        <v>1880.1190100000001</v>
      </c>
      <c r="T315" s="3">
        <f>3548.4+(340.3-1538.4)+(-1.809684+(-0.173553--0.784584))+0-529.8--0.270197999999946</f>
        <v>1819.5715450000002</v>
      </c>
      <c r="U315" s="3">
        <f>3626+(330.4-1686.8)+(1.84926+(0.168504-0.860268))+0-458-0.233579999999954</f>
        <v>1812.5239159999999</v>
      </c>
      <c r="V315" s="3">
        <f>3759.9+(426.5-1797.1)+(-3.835098+(-0.43503--1.833042))+0-549.5--0.560490000000088</f>
        <v>1837.9234040000003</v>
      </c>
      <c r="W315" s="3">
        <f>4107+(406.6-2114.1)+(0+(0-0))+0-421.9-0</f>
        <v>1977.6</v>
      </c>
      <c r="X315" s="3">
        <f>5257.6+(507.8-2935.5)+(-2.681376+(-0.258978--1.497105))+0-518.2--0.264281999999947</f>
        <v>2310.5210330000009</v>
      </c>
      <c r="Y315" s="3">
        <f>4643.5+(565.1-2393.4)+(-7.104555+(-0.864603--3.661902))+0-469.3--0.718029000000027</f>
        <v>2342.3107729999997</v>
      </c>
      <c r="Z315" s="3">
        <f>4274.1+(495.7-1950.5)+(-10.898955+(-1.264035--4.973775))+0-559.3--1.42621499999992</f>
        <v>2254.2370000000005</v>
      </c>
      <c r="AA315" s="3">
        <f>3738.2+(407.2-1404.2)+(-7.625928+(-0.830688--2.864568))+0-508.3--1.03693199999998</f>
        <v>2228.3448839999996</v>
      </c>
      <c r="AB315" s="3">
        <f>3458.5+(443.2-1148.5)+(-8.819175+(-1.13016--2.928675))+0-642.4--1.63811999999991</f>
        <v>2105.4174599999997</v>
      </c>
      <c r="AC315" s="3">
        <f>2379.3+(850.2-642.2)+(-4.853772+(-1.734408--1.310088))+0-573.4--1.16973599999998</f>
        <v>2009.7916440000001</v>
      </c>
      <c r="AD315">
        <v>2398.3000000000002</v>
      </c>
      <c r="AE315" s="3">
        <f>5447+(417-2934.5)+(0+(0-0))+0-531.2-0</f>
        <v>2398.3000000000002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1921.8+(1038.1-524.5)+(-3.920472+(-2.117724--1.06998))+0-602.7--1.22950799999997</f>
        <v>1828.9612919999993</v>
      </c>
      <c r="G316" s="3">
        <f>1782+(1086.4-506.4)+(-4.5441+(-2.77032--1.29132))+0-635--1.61924999999991</f>
        <v>1722.5961500000001</v>
      </c>
      <c r="H316" s="3">
        <f>1782+(1002.9-492.3)+(-2.72646+(-1.534437--0.753219))+0-646.6--0.989298000000037</f>
        <v>1643.48162</v>
      </c>
      <c r="I316" s="3">
        <f>1808.1+(885-488.7)+(-0.922131+(-0.45135--0.249237))+0-580--0.295799999999941</f>
        <v>1623.5715559999999</v>
      </c>
      <c r="J316" s="3">
        <f>1882.3+(685.9-508.5)+(-3.839892+(-1.399236--1.03734))+0-426--0.869039999999981</f>
        <v>1630.367252</v>
      </c>
      <c r="K316" s="3">
        <f>2020.1+(793.1-556.4)+(0+(0-0))+0-609.3-0</f>
        <v>1647.5000000000002</v>
      </c>
      <c r="L316" s="3">
        <f>2004.4+(970-551.6)+(-2.044488+(-0.9894--0.562632))+0-611.7--0.623934000000098</f>
        <v>1809.2526780000005</v>
      </c>
      <c r="M316" s="3">
        <f>2182.4+(1003.4-495.5)+(3.339072+(1.535202-0.758115))+0-626.4-0.958392000000036</f>
        <v>2067.0577670000002</v>
      </c>
      <c r="N316" s="3">
        <f>2609.4+(644.8-672.8)+(0+(0-0))+0-624.3-0</f>
        <v>1957.1000000000001</v>
      </c>
      <c r="O316" s="3">
        <f>3493+(207.3-1176.4)+(0+(0-0))+0-515.8-0</f>
        <v>2008.0999999999997</v>
      </c>
      <c r="P316" s="3">
        <f>3900.7+(286-1591)+(-5.968071+(-0.43758--2.43423))+0-625.2--0.956556000000036</f>
        <v>1967.4851349999997</v>
      </c>
      <c r="Q316" s="3">
        <f>3714.9+(478-1538.6)+(-3.789198+(-0.48756--1.569372))+0-521.2--0.531624000000083</f>
        <v>2130.9242380000005</v>
      </c>
      <c r="R316" s="3">
        <f>3547.6+(360.4-1240.8)+(-7.237104+(-0.735216--2.531232))+0-544--1.10975999999998</f>
        <v>2118.8686719999996</v>
      </c>
      <c r="S316" s="3">
        <f>3026.8+(377.7-796.8)+(-7.71834+(-0.963135--2.03184))+0-666.7--1.7000849999999</f>
        <v>1936.05045</v>
      </c>
      <c r="T316" s="3">
        <f>2973.6+(395.6-945.3)+(3.033072+(0.403512-0.964206))+0-545.3-0.556206000000087</f>
        <v>1880.5161720000001</v>
      </c>
      <c r="U316" s="3">
        <f>3099.1+(452.9-970.5)+(0+(0-0))+0-691.2-0</f>
        <v>1890.3</v>
      </c>
      <c r="V316" s="3">
        <f>3023.2+(452-949.9)+(-3.083664+(-0.46104--0.968898))+0-599.7--0.611694000000096</f>
        <v>1923.635888</v>
      </c>
      <c r="W316" s="3">
        <f>3658+(401.9-1385.8)+(3.73116+(0.409938-1.413516))+0-644.2-0.657084000000103</f>
        <v>2031.9704979999997</v>
      </c>
      <c r="X316" s="3">
        <f>4728.5+(492.3-2574.7)+(-9.64614+(-1.004292--5.252388))+0-639.5--1.30457999999997</f>
        <v>2002.5065360000003</v>
      </c>
      <c r="Y316" s="3">
        <f>4414.7+(456.6-1957.3)+(-9.005988+(-0.931464--3.992892))+0-636.2--1.29784799999997</f>
        <v>2273.1532880000004</v>
      </c>
      <c r="Z316" s="3">
        <f>4145.5+(379.1-1664.9)+(-4.22841+(-0.386682--1.698198))+0-626.1--0.6386220000001</f>
        <v>2231.3217279999999</v>
      </c>
      <c r="AA316" s="3">
        <f>4115.6+(370.4-1647.3)+(-4.197912+(-0.377808--1.680246))+0-644.7--0.657594000000103</f>
        <v>2191.7621200000003</v>
      </c>
      <c r="AB316" s="3">
        <f>3381.7+(463.9-1485.6)+(-5.174001+(-0.709767--2.272968))+0-610.9--0.934677000000035</f>
        <v>1746.4238769999999</v>
      </c>
      <c r="AC316" s="3">
        <f>3485.6+(515.4-1435.5)+(-8.88828+(-1.31427--3.660525))+0-658.1--1.6781549999999</f>
        <v>1902.5361299999997</v>
      </c>
      <c r="AD316">
        <v>2292.6999999999998</v>
      </c>
      <c r="AE316" s="3">
        <f>5117+(571.7-2682.3)+(0+(0-0))+0-713.7-0</f>
        <v>2292.6999999999998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2864.1+(471.5-1008.3)+(-5.842764+(-0.96186--2.056932))+0-633.8--1.29295199999997</f>
        <v>1690.0452600000003</v>
      </c>
      <c r="G317" s="3">
        <f>2090.2+(785.6-506.3)+(-3.198006+(-1.201968--0.774639))+0-633.6--0.969408000000037</f>
        <v>1733.2440729999998</v>
      </c>
      <c r="H317" s="3">
        <f>1839.8+(876.2-442.6)+(-4.69149+(-2.23431--1.12863))+0-596.5--1.52107499999991</f>
        <v>1672.6239050000001</v>
      </c>
      <c r="I317" s="3">
        <f>1859.6+(788.8-496.4)+(-0.948396+(-0.402288--0.253164))+0-505.8--0.257957999999949</f>
        <v>1645.3604380000002</v>
      </c>
      <c r="J317" s="3">
        <f>1912.7+(844.1-451.7)+(0+(0-0))+0-677.6-0</f>
        <v>1627.5</v>
      </c>
      <c r="K317" s="3">
        <f>2016.5+(769.6-566.9)+(-1.028415+(-0.392496--0.289119))+0-544.5--0.277694999999945</f>
        <v>1673.8459029999997</v>
      </c>
      <c r="L317" s="3">
        <f>2134.5+(1002.5-608.2)+(-2.17719+(-1.02255--0.620364))+0-708.8--0.722976000000113</f>
        <v>1818.1436000000001</v>
      </c>
      <c r="M317" s="3">
        <f>2314.1+(808.6-655)+(2.360382+(0.824772-0.6681))+0-583-0.594660000000093</f>
        <v>1886.6223939999995</v>
      </c>
      <c r="N317" s="3">
        <f>3023.9+(414.9-911.7)+(3.084378+(0.423198-0.929934))+0-653.9-0.666978000000104</f>
        <v>1875.1106639999998</v>
      </c>
      <c r="O317" s="3">
        <f>3889.6+(370.4-1713)+(3.967392+(0.377808-1.74726))+0-530-0.540600000000084</f>
        <v>2019.0573400000001</v>
      </c>
      <c r="P317" s="3">
        <f>4329.9+(358.2-2026.8)+(0+(0-0))+0-510-0</f>
        <v>2151.2999999999997</v>
      </c>
      <c r="Q317" s="3">
        <f>4523.7+(413.2-2310.2)+(2.307087+(0.210732-1.178202))+0-388.7-0.198236999999961</f>
        <v>2239.14138</v>
      </c>
      <c r="R317" s="3">
        <f>4386.8+(464.2-1990)+(-6.711804+(-0.710226--3.0447))+0-687.4--1.05172200000004</f>
        <v>2170.2743920000003</v>
      </c>
      <c r="S317" s="3">
        <f>3770.6+(230.9-1332.5)+(-3.846012+(-0.235518--1.35915))+0-508.2--0.518364000000081</f>
        <v>2158.595984</v>
      </c>
      <c r="T317" s="3">
        <f>3700.7+(266.3-1388.5)+(1.887357+(0.135813-0.708135))+0-589.8-0.30079799999994</f>
        <v>1989.7142370000001</v>
      </c>
      <c r="U317" s="3">
        <f>3541.2+(287.6-1209.4)+(-9.03006+(-0.73338--3.08397))+0-605.7--1.54453499999991</f>
        <v>2008.5650649999995</v>
      </c>
      <c r="V317" s="3">
        <f>3325.3+(360.2-1090.2)+(0+(0-0))+0-530.6-0</f>
        <v>2064.7000000000003</v>
      </c>
      <c r="W317" s="3">
        <f>3853.1+(547-1625.5)+(-3.930162+(-0.55794--1.65801))+0-576.4--0.587928000000092</f>
        <v>2195.9578359999996</v>
      </c>
      <c r="X317" s="3">
        <f>4291.4+(819.8-2080.2)+(-2.188614+(-0.418098--1.060902))+0-666.6--0.339965999999932</f>
        <v>2363.194156</v>
      </c>
      <c r="Y317" s="3">
        <f>4076.2+(500.9-1656.9)+(-6.236586+(-0.766377--2.535057))+0-647.4--0.990522000000037</f>
        <v>2269.3226159999999</v>
      </c>
      <c r="Z317" s="3">
        <f>3759.4+(343.5-1278.6)+(-7.669176+(-0.70074--2.608344))+0-606.5--1.23725999999997</f>
        <v>2213.2756880000002</v>
      </c>
      <c r="AA317" s="3">
        <f>3346.2+(524.5-975.4)+(-6.826248+(-1.06998--1.989816))+0-667.1--1.36088399999997</f>
        <v>2223.6544720000002</v>
      </c>
      <c r="AB317" s="3">
        <f>2747.8+(640.2-650.3)+(-4.204134+(-0.979506--0.994959))+0-597--0.913410000000034</f>
        <v>2137.4247290000003</v>
      </c>
      <c r="AC317" s="3">
        <f>2763.2+(568.1-719.8)+(-4.227696+(-0.869193--1.101294))+0-634--0.970020000000037</f>
        <v>1974.4744250000001</v>
      </c>
      <c r="AD317">
        <v>2341.1</v>
      </c>
      <c r="AE317" s="3">
        <f>4377+(851-2233.8)+(0+(0-0))+0-653.1-0</f>
        <v>2341.1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2226.2+(811.3-592)+(0+(0-0))+0-590.6-0</f>
        <v>1854.9</v>
      </c>
      <c r="G318" s="3">
        <f>1896.1+(1040.1-568.1)+(0+(0-0))+0-594.5-0</f>
        <v>1773.6</v>
      </c>
      <c r="H318" s="3">
        <f>1855.8+(912.3-454.5)+(0.946458+(0.465273-0.231795))+0-592.1-0.30197099999994</f>
        <v>1722.3779650000001</v>
      </c>
      <c r="I318" s="3">
        <f>1827.8+(947.5-497.1)+(0+(0-0))+0-584.2-0</f>
        <v>1693.9999999999998</v>
      </c>
      <c r="J318" s="3">
        <f>1837.6+(981.5-481.1)+(0+(0-0))+0-645.6-0</f>
        <v>1692.4</v>
      </c>
      <c r="K318" s="3">
        <f>1942.8+(883.3-584.8)+(1.981656+(0.900966-0.596496))+0-542.9-0.553758000000087</f>
        <v>1700.132368</v>
      </c>
      <c r="L318" s="3">
        <f>1977+(990-486.6)+(-2.01654+(-1.0098--0.496332))+0-664.6--0.677892000000106</f>
        <v>1813.9478840000002</v>
      </c>
      <c r="M318" s="3">
        <f>2245.9+(804.6-592.7)+(0+(0-0))+0-525.8-0</f>
        <v>1932.0000000000002</v>
      </c>
      <c r="N318" s="3">
        <f>2854.7+(610.4-791.5)+(4.367691+(0.933912-1.210995))+0-690.8-1.05692400000004</f>
        <v>1985.8336839999999</v>
      </c>
      <c r="O318" s="3">
        <f>3413.6+(313.3-1240.6)+(-1.740936+(-0.159783--0.632706))+0-454.7--0.231896999999954</f>
        <v>2030.5638840000001</v>
      </c>
      <c r="P318" s="3">
        <f>3894.1+(297.8-1612.6)+(3.971982+(0.303756-1.644852))+0-502.1-0.51214200000008</f>
        <v>2079.3187440000002</v>
      </c>
      <c r="Q318" s="3">
        <f>4187.1+(303.1-1880.5)+(-8.541684+(-0.618324--3.83622))+0-533.4--1.08813599999998</f>
        <v>2072.0643479999999</v>
      </c>
      <c r="R318" s="3">
        <f>3331.4+(380.8-1288.3)+(-6.796056+(-0.776832--2.628132))+0-412.7--0.841907999999982</f>
        <v>2007.0971520000001</v>
      </c>
      <c r="S318" s="3">
        <f>3062.2+(385.9-1013.9)+(-3.123444+(-0.393618--1.034178))+0-503--0.51306000000008</f>
        <v>1929.2301759999998</v>
      </c>
      <c r="T318" s="3">
        <f>3195.3+(333.1-1220.2)+(-3.259206+(-0.339762--1.244604))+0-422.4--0.430848000000067</f>
        <v>1883.8764840000003</v>
      </c>
      <c r="U318" s="3">
        <f>2948.2+(393-1104.9)+(0+(0-0))+0-484.7-0</f>
        <v>1751.5999999999997</v>
      </c>
      <c r="V318" s="3">
        <f>3076.1+(386.8-1253.8)+(-3.137622+(-0.394536--1.278876))+0-505.8--0.515916000000081</f>
        <v>1701.5626339999999</v>
      </c>
      <c r="W318" s="3">
        <f>3648.4+(377.9-1698.3)+(0+(0-0))+0-439.3-0</f>
        <v>1888.7</v>
      </c>
      <c r="X318" s="3">
        <f>4337+(515.8-2074.3)+(-6.63561+(-0.789174--3.173679))+0-594.2--0.909126000000034</f>
        <v>2180.9580209999999</v>
      </c>
      <c r="Y318" s="3">
        <f>4272.4+(458.2-2048.2)+(-2.178924+(-0.233682--1.044582))+0-496.7--0.25331699999995</f>
        <v>2184.5852930000001</v>
      </c>
      <c r="Z318" s="3">
        <f>4508+(373.4-2171)+(-4.59816+(-0.380868--2.21442))+0-565--0.57630000000009</f>
        <v>2143.2116920000003</v>
      </c>
      <c r="AA318" s="3">
        <f>4065.8+(362.9-1906.4)+(-4.147116+(-0.370158--1.944528))+0-448.9--0.457878000000072</f>
        <v>2071.2851320000004</v>
      </c>
      <c r="AB318" s="3">
        <f>3516.9+(273.5-1264.4)+(-3.587238+(-0.27897--1.289688))+0-550.7--0.561714000000088</f>
        <v>1973.285194</v>
      </c>
      <c r="AC318" s="3">
        <f>2782.8+(364.8-676.5)+(-4.257684+(-0.558144--1.035045))+0-591.9--0.905607000000034</f>
        <v>1876.3248240000003</v>
      </c>
      <c r="AD318">
        <v>2183</v>
      </c>
      <c r="AE318" s="3">
        <f>4237+(557.2-2075.4)+(0+(0-0))+0-535.8-0</f>
        <v>2183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2106.4+(454.1-472.6)+(-4.297056+(-0.926364--0.964104))+0-445.9--0.90963599999998</f>
        <v>1638.65032</v>
      </c>
      <c r="G319" s="3">
        <f>1463.4+(535.5-456.7)+(-3.73167+(-1.365525--1.164585))+32-116.6--0.297329999999983</f>
        <v>1453.9647199999999</v>
      </c>
      <c r="H319" s="3">
        <f>1359.3+(594.7-480.8)+(-0.693243+(-0.303297--0.245208))+18-81.2--0.0414119999999918</f>
        <v>1409.29008</v>
      </c>
      <c r="I319" s="3">
        <f>1495.8+(594.2-595.3)+(0+(0-0))+0-143.8-0</f>
        <v>1350.9</v>
      </c>
      <c r="J319" s="3">
        <f>1703.1+(548.7-540.5)+(0+(0-0))+0-331.8-0</f>
        <v>1379.5</v>
      </c>
      <c r="K319" s="3">
        <f>1657.8+(705.9-529.2)+(-0.845478+(-0.360009--0.269892))+0-417.2--0.212771999999958</f>
        <v>1416.5771769999999</v>
      </c>
      <c r="L319" s="3">
        <f>1755.9+(766.2-636.1)+(-1.791018+(-0.781524--0.648822))+0-397.6--0.405552000000063</f>
        <v>1486.881832</v>
      </c>
      <c r="M319" s="3">
        <f>2124.7+(587.7-696.4)+(-2.167194+(-0.599454--0.710328))+0-436.2--0.44492400000007</f>
        <v>1578.1886040000002</v>
      </c>
      <c r="N319" s="3">
        <f>2425.3+(426.3-704.7)+(0+(0-0))+0-504.8-0</f>
        <v>1642.1000000000001</v>
      </c>
      <c r="O319" s="3">
        <f>2932.4+(345.2-1165.7)+(0+(0-0))+0-454.6-0</f>
        <v>1657.3000000000002</v>
      </c>
      <c r="P319" s="3">
        <f>3748.1+(338.3-1828.9)+(1.911531+(0.172533-0.932739))+0-529.7-0.270146999999946</f>
        <v>1728.6811779999998</v>
      </c>
      <c r="Q319" s="3">
        <f>3850.5+(399.2-2063.8)+(-9.818775+(-1.01796--5.26269))+0-404.4--1.03121999999994</f>
        <v>1776.9571749999996</v>
      </c>
      <c r="R319" s="3">
        <f>3683.2+(286.4-1619.9)+(-9.39216+(-0.73032--4.130745))+0-567.5--1.44712499999992</f>
        <v>1777.6553899999997</v>
      </c>
      <c r="S319" s="3">
        <f>3405.7+(316.9-1483.4)+(-6.947628+(-0.646476--3.026136))+0-468--0.95471999999998</f>
        <v>1767.5867519999999</v>
      </c>
      <c r="T319" s="3">
        <f>3050.8+(329.1-1086.3)+(-3.111816+(-0.335682--1.108026))+0-551.7--0.562734000000088</f>
        <v>1740.1232620000003</v>
      </c>
      <c r="U319" s="3">
        <f>2310.1+(539.7-568.5)+(-3.534453+(-0.825741--0.869805))+0-557.7--0.853281000000032</f>
        <v>1720.962892</v>
      </c>
      <c r="V319" s="3">
        <f>2671.9+(419.2-653.5)+(1.362669+(0.213792-0.333285))+0-624.2-0.318341999999937</f>
        <v>1814.3248339999998</v>
      </c>
      <c r="W319" s="3">
        <f>3014+(432.4-854.8)+(1.53714+(0.220524-0.435948))+0-635.6-0.324155999999936</f>
        <v>1956.99756</v>
      </c>
      <c r="X319" s="3">
        <f>4215+(222.4-1507.1)+(-4.2993+(-0.226848--1.537242))+0-681--0.694620000000109</f>
        <v>2247.0057140000004</v>
      </c>
      <c r="Y319" s="3">
        <f>4131.5+(221.9-1480.1)+(-6.321195+(-0.339507--2.264553))+0-623--0.953190000000036</f>
        <v>2246.8570410000002</v>
      </c>
      <c r="Z319" s="3">
        <f>3849.1+(230-1259.8)+(0+(0-0))+0-629.9-0</f>
        <v>2189.4</v>
      </c>
      <c r="AA319" s="3">
        <f>3283.1+(350.3-928.7)+(-1.674381+(-0.178653--0.473637))+0-614.3--0.313292999999938</f>
        <v>2089.3338960000001</v>
      </c>
      <c r="AB319" s="3">
        <f>3060+(458.8-810.5)+(1.5606+(0.233988-0.413355))+0-662-0.337619999999933</f>
        <v>2047.3436130000002</v>
      </c>
      <c r="AC319" s="3">
        <f>2421.8+(770.7-591.7)+(-6.17559+(-1.965285--1.508835))+0-660.1--1.6832549999999</f>
        <v>1935.7512150000002</v>
      </c>
      <c r="AD319">
        <v>2255.4000000000005</v>
      </c>
      <c r="AE319" s="3">
        <f>4143+(270.6-1399)+(0+(0-0))+0-759.2-0</f>
        <v>2255.3999999999996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1665.1+(1291.8-516.9)+(0+(0-0))+0-612.2-0</f>
        <v>1827.8</v>
      </c>
      <c r="G320" s="3">
        <f>1638.4+(1222.5-495.7)+(1.671168+(1.24695-0.505614))+0-643.3-0.656166000000103</f>
        <v>1723.6563379999996</v>
      </c>
      <c r="H320" s="3">
        <f>1597+(1151.4-482)+(-0.81447+(-0.587214--0.24582))+0-586.1--0.298910999999941</f>
        <v>1679.4430470000002</v>
      </c>
      <c r="I320" s="3">
        <f>1671.4+(1050.1-468.8)+(-1.704828+(-1.071102--0.478176))+0-624.7--0.6371940000001</f>
        <v>1626.3394399999997</v>
      </c>
      <c r="J320" s="3">
        <f>1632+(1090.4-481.3)+(1.66464+(1.112208-0.490926))+0-631.5-0.644130000000101</f>
        <v>1611.2417920000003</v>
      </c>
      <c r="K320" s="3">
        <f>1670.2+(1085.9-475.2)+(0.851802+(0.553809-0.242352))+0-638.7-0.325736999999935</f>
        <v>1643.0375220000001</v>
      </c>
      <c r="L320" s="3">
        <f>1658.6+(1297.2-539.6)+(-6.767088+(-5.292576--2.201568))+0-631.3--2.57570399999994</f>
        <v>1777.6176079999998</v>
      </c>
      <c r="M320" s="3">
        <f>1801.5+(1131-536.6)+(0+(0-0))+0-653.8-0</f>
        <v>1742.1000000000001</v>
      </c>
      <c r="N320" s="3">
        <f>1890.2+(1028.1-563.2)+(-0.964002+(-0.524331--0.287232))+0-586--0.298859999999941</f>
        <v>1768.1977589999997</v>
      </c>
      <c r="O320" s="3">
        <f>2428.3+(735.8-687.7)+(1.238433+(0.375258-0.350727))+0-598.1-0.305030999999939</f>
        <v>1879.2579330000003</v>
      </c>
      <c r="P320" s="3">
        <f>2282.6+(787.9-598)+(0+(0-0))+0-591-0</f>
        <v>1881.5</v>
      </c>
      <c r="Q320" s="3">
        <f>2602.3+(565.5-736.6)+(0+(0-0))+0-445.2-0</f>
        <v>1986.0000000000002</v>
      </c>
      <c r="R320" s="3">
        <f>2464.6+(660.1-619.5)+(-2.513892+(-0.673302--0.63189))+0-622.1--0.634542000000099</f>
        <v>1881.1792379999999</v>
      </c>
      <c r="S320" s="3">
        <f>2420+(529.3-632)+(-2.4684+(-0.539886--0.64464))+0-451.8--0.460836000000072</f>
        <v>1863.5971900000004</v>
      </c>
      <c r="T320" s="3">
        <f>2023.8+(995.4-525.4)+(-4.128552+(-2.030616--1.071816))+0-659.2--1.34476799999997</f>
        <v>1830.8574160000001</v>
      </c>
      <c r="U320" s="3">
        <f>1737.4+(1035.2-524.9)+(-0.886074+(-0.527952--0.267699))+0-443.1--0.225980999999955</f>
        <v>1803.6796540000005</v>
      </c>
      <c r="V320" s="3">
        <f>1869.1+(1071.2-506.9)+(1.906482+(1.092624-0.517038))+0-594.2-0.606084000000095</f>
        <v>1841.0759839999998</v>
      </c>
      <c r="W320" s="3">
        <f>2297.8+(865.9-627.2)+(0+(0-0))+0-550.4-0</f>
        <v>1986.1</v>
      </c>
      <c r="X320" s="3">
        <f>3992.4+(764.5-1834.1)+(-2.036124+(-0.389895--0.935391))+0-620--0.316199999999937</f>
        <v>2301.6255719999999</v>
      </c>
      <c r="Y320" s="3">
        <f>3990.2+(561.5-1701.7)+(-2.035002+(-0.286365--0.867867))+0-526.3--0.268412999999947</f>
        <v>2322.514913</v>
      </c>
      <c r="Z320" s="3">
        <f>4028.2+(612.9-1646.6)+(0+(0-0))+0-721.3-0</f>
        <v>2273.1999999999998</v>
      </c>
      <c r="AA320" s="3">
        <f>3172.1+(676.6-1017.3)+(-3.235542+(-0.690132--1.037646))+0-613.7--0.625974000000098</f>
        <v>2215.4379460000005</v>
      </c>
      <c r="AB320" s="3">
        <f>2990+(559.7-754.5)+(-1.5249+(-0.285447--0.384795))+0-664.1--0.338690999999933</f>
        <v>2130.0131389999997</v>
      </c>
      <c r="AC320" s="3">
        <f>2660.4+(597-598.2)+(-1.356804+(-0.30447--0.305082))+0-664.2--0.338741999999933</f>
        <v>1993.9825499999995</v>
      </c>
      <c r="AD320">
        <v>2358.1999999999998</v>
      </c>
      <c r="AE320" s="3">
        <f>4304+(760.4-1999.9)+(0+(0-0))+0-706.3-0</f>
        <v>2358.1999999999998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1887.9+(1087.7-524.1)+(-2.888487+(-1.664181--0.801873))+0-577.1--0.882963000000033</f>
        <v>1871.5321680000002</v>
      </c>
      <c r="G321" s="3">
        <f>1971.9+(972-538.4)+(3.017007+(1.48716-0.823752))+0-641.5-0.981495000000037</f>
        <v>1766.6989199999998</v>
      </c>
      <c r="H321" s="3">
        <f>1651.2+(1139.1-507.9)+(-2.526336+(-1.742823--0.777087))+0-558.2--0.854046000000032</f>
        <v>1721.561974</v>
      </c>
      <c r="I321" s="3">
        <f>1964.5+(969-583.6)+(4.00758+(1.97676-1.190544))+0-660.4-1.34721599999997</f>
        <v>1692.94658</v>
      </c>
      <c r="J321" s="3">
        <f>1775+(986.1-491.9)+(-0.90525+(-0.502911--0.250869))+0-567.3--0.289322999999942</f>
        <v>1701.032031</v>
      </c>
      <c r="K321" s="3">
        <f>1819.1+(1102.5-514.1)+(-2.783223+(-1.686825--0.786573))+0-667.2--1.02081600000004</f>
        <v>1737.6373410000001</v>
      </c>
      <c r="L321" s="3">
        <f>1862.8+(1127.6-516.3)+(-0.950028+(-0.575076--0.263313))+0-639.8--0.326297999999935</f>
        <v>1833.364507</v>
      </c>
      <c r="M321" s="3">
        <f>1841.5+(1243.9-523.9)+(-0.939165+(-0.634389--0.267189))+0-639.5--0.326144999999935</f>
        <v>1921.0197800000001</v>
      </c>
      <c r="N321" s="3">
        <f>2079.3+(982.6-570.3)+(0+(0-0))+0-540.7-0</f>
        <v>1950.9000000000003</v>
      </c>
      <c r="O321" s="3">
        <f>2939.7+(366.8-793.5)+(2.998494+(0.374136-0.80937))+0-522-0.532440000000083</f>
        <v>1993.0308199999997</v>
      </c>
      <c r="P321" s="3">
        <f>3439+(401.5-1253.5)+(0+(0-0))+0-607-0</f>
        <v>1980</v>
      </c>
      <c r="Q321" s="3">
        <f>3518.3+(392.4-1396.3)+(0+(0-0))+0-532.6-0</f>
        <v>1981.8000000000002</v>
      </c>
      <c r="R321" s="3">
        <f>3258.2+(423.1-1242.4)+(0+(0-0))+0-484.7-0</f>
        <v>1954.1999999999996</v>
      </c>
      <c r="S321" s="3">
        <f>2957.1+(442-943.4)+(-3.016242+(-0.45084--0.962268))+0-566.5--0.57783000000009</f>
        <v>1887.2730160000001</v>
      </c>
      <c r="T321" s="3">
        <f>3054.7+(355.7-1025)+(-3.115794+(-0.362814--1.0455))+0-544.6--0.555492000000087</f>
        <v>1838.9223839999997</v>
      </c>
      <c r="U321" s="3">
        <f>2988.6+(330.2-1059.3)+(1.524186+(0.168402-0.540243))+0-466.6-0.237965999999953</f>
        <v>1793.8143790000001</v>
      </c>
      <c r="V321" s="3">
        <f>3148+(322.6-1073)+(-1.60548+(-0.164526--0.54723))+0-594.3--0.30309299999994</f>
        <v>1802.3803169999999</v>
      </c>
      <c r="W321" s="3">
        <f>3379.3+(361.4-1473.1)+(0+(0-0))+0-334.6-0</f>
        <v>1933.0000000000005</v>
      </c>
      <c r="X321" s="3">
        <f>4013.9+(582.3-2019.5)+(-6.141267+(-0.890919--3.089835))+0-341.9--0.52310700000002</f>
        <v>2231.3807559999996</v>
      </c>
      <c r="Y321" s="3">
        <f>4027.1+(571.8-2006.4)+(-4.107642+(-0.583236--2.046528))+0-336.1--0.342822000000054</f>
        <v>2254.0984720000001</v>
      </c>
      <c r="Z321" s="3">
        <f>3986+(398.7-1821.6)+(-8.13144+(-0.813348--3.716064))+0-341.9--0.697475999999985</f>
        <v>2216.668752</v>
      </c>
      <c r="AA321" s="3">
        <f>3756.3+(418.3-1586)+(1.915713+(0.213333-0.80886))+0-455.2-0.232151999999954</f>
        <v>2134.4880340000004</v>
      </c>
      <c r="AB321" s="3">
        <f>3326+(589.6-1315.3)+(1.69626+(0.300696-0.670803))+0-573.9-0.292688999999942</f>
        <v>2027.4334640000002</v>
      </c>
      <c r="AC321" s="3">
        <f>2482.8+(688-683.9)+(-3.798684+(-1.05264--1.046367))+0-601.6--0.920448000000035</f>
        <v>1882.4154910000004</v>
      </c>
      <c r="AD321">
        <v>2073.9000000000005</v>
      </c>
      <c r="AE321" s="3">
        <f>3955+(596.1-2132.6)+(0+(0-0))+0-344.6-0</f>
        <v>2073.9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1800.9+(1066.8-525.5)+(-1.836918+(-1.088136--0.53601))+0-539.9--0.550698000000086</f>
        <v>1800.4616539999997</v>
      </c>
      <c r="G322" s="3">
        <f>1319.2+(1530.5-501.3)+(-2.018376+(-2.341665--0.766989))+0-628.6--0.961758000000036</f>
        <v>1717.1687060000002</v>
      </c>
      <c r="H322" s="3">
        <f>1229+(1493.1-470.4)+(0+(0-0))+0-579.5-0</f>
        <v>1672.1999999999998</v>
      </c>
      <c r="I322" s="3">
        <f>1242.6+(1518.7-447)+(0+(0-0))+0-667-0</f>
        <v>1647.3000000000002</v>
      </c>
      <c r="J322" s="3">
        <f>1308.1+(1456.9-445.9)+(-0.667131+(-0.743019--0.227409))+0-621.7--0.317066999999937</f>
        <v>1696.5343259999997</v>
      </c>
      <c r="K322" s="3">
        <f>1399.4+(1464.3-471.5)+(0.713694+(0.746793-0.240465))+0-656.8-0.334967999999933</f>
        <v>1736.2850539999999</v>
      </c>
      <c r="L322" s="3">
        <f>1404.9+(1534.1-524.7)+(0+(0-0))+0-584.3-0</f>
        <v>1830.0000000000002</v>
      </c>
      <c r="M322" s="3">
        <f>1513.1+(1621.9-522.8)+(-1.543362+(-1.654338--0.533256))+0-675.7--0.689214000000108</f>
        <v>1934.52477</v>
      </c>
      <c r="N322" s="3">
        <f>2207+(996.8-613.4)+(2.25114+(1.016736-0.625668))+0-590-0.601800000000094</f>
        <v>2002.4404080000002</v>
      </c>
      <c r="O322" s="3">
        <f>2961.3+(654.4-986.1)+(-1.510263+(-0.333744--0.502911))+0-665.1--0.339200999999933</f>
        <v>1963.4981050000004</v>
      </c>
      <c r="P322" s="3">
        <f>3408.6+(561.1-1468.3)+(-1.738386+(-0.286161--0.748833))+0-596--0.30395999999994</f>
        <v>1904.4282460000002</v>
      </c>
      <c r="Q322" s="3">
        <f>3610.9+(689.6-1764)+(-7.366236+(-1.406784--3.59856))+0-550.8--1.12363199999998</f>
        <v>1981.6491719999999</v>
      </c>
      <c r="R322" s="3">
        <f>3191.7+(805.2-1496.3)+(-8.138835+(-2.05326--3.815565))+0-570.3--1.45426499999992</f>
        <v>1925.3777349999998</v>
      </c>
      <c r="S322" s="3">
        <f>2859.4+(736.8-1160.2)+(0+(0-0))+0-523.3-0</f>
        <v>1912.7</v>
      </c>
      <c r="T322" s="3">
        <f>2919.8+(666.8-1089.6)+(0+(0-0))+0-622.4-0</f>
        <v>1874.6</v>
      </c>
      <c r="U322" s="3">
        <f>2831.4+(611.1-973.2)+(1.444014+(0.311661-0.496332))+0-640.4-0.326603999999935</f>
        <v>1829.8327390000004</v>
      </c>
      <c r="V322" s="3">
        <f>2515.6+(723.1-778.5)+(-5.131824+(-1.475124--1.58814))+0-591.3--1.20625199999997</f>
        <v>1865.087444</v>
      </c>
      <c r="W322" s="3">
        <f>2828.4+(542.7-1049.1)+(0+(0-0))+0-346.2-0</f>
        <v>1975.8</v>
      </c>
      <c r="X322" s="3">
        <f>4420.1+(601.9-2210.8)+(-4.508502+(-0.613938--2.255016))+0-354.1--0.361182000000056</f>
        <v>2454.5937580000004</v>
      </c>
      <c r="Y322" s="3">
        <f>4491.9+(504.2-2091)+(-11.454345+(-1.28571--5.33205))+0-357.9--0.912644999999948</f>
        <v>2540.7046399999995</v>
      </c>
      <c r="Z322" s="3">
        <f>4017.8+(354.1-1708.6)+(-6.147234+(-0.541773--2.614158))+0-341.7--0.52280100000002</f>
        <v>2318.0479520000004</v>
      </c>
      <c r="AA322" s="3">
        <f>3758.1+(453.3-1333)+(-1.916631+(-0.231183--0.67983))+0-616.4--0.314363999999937</f>
        <v>2260.8463799999995</v>
      </c>
      <c r="AB322" s="3">
        <f>3092.5+(423.6-839.9)+(-3.15435+(-0.432072--0.856698))+0-516.5--0.526830000000082</f>
        <v>2157.4971060000003</v>
      </c>
      <c r="AC322" s="3">
        <f>2841.1+(490-664.8)+(-2.897922+(-0.4998--0.678096))+0-648.2--0.661164000000103</f>
        <v>2016.0415380000002</v>
      </c>
      <c r="AD322">
        <v>2458.3000000000002</v>
      </c>
      <c r="AE322" s="3">
        <f>4578+(509-2264.6)+(0+(0-0))+0-364.1-0</f>
        <v>2458.3000000000002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1873.1+(1040.6-520.5)+(-4.776405+(-2.65353--1.327275))+0-547--1.39484999999992</f>
        <v>1841.4921899999997</v>
      </c>
      <c r="G323" s="3">
        <f>1818.1+(849.5-499.4)+(-1.854462+(-0.86649--0.509388))+0-451.2--0.460224000000072</f>
        <v>1715.2486599999997</v>
      </c>
      <c r="H323" s="3">
        <f>1804.2+(900.1-467.2)+(-2.760426+(-1.377153--0.714816))+0-559.2--0.855576000000032</f>
        <v>1675.3328129999998</v>
      </c>
      <c r="I323" s="3">
        <f>1675.4+(1042.1-451.2)+(1.708908+(1.062942-0.460224))+0-557.3-0.568446000000089</f>
        <v>1710.7431800000004</v>
      </c>
      <c r="J323" s="3">
        <f>1714.2+(1017.4-448.7)+(-2.622726+(-1.556622--0.686511))+0-581.7--0.890001000000034</f>
        <v>1698.5971640000002</v>
      </c>
      <c r="K323" s="3">
        <f>1817.6+(978.7-484.1)+(0.926976+(0.499137-0.246891))+0-541.7-0.276266999999945</f>
        <v>1771.402955</v>
      </c>
      <c r="L323" s="3">
        <f>1796.6+(1282.9-624.2)+(-1.832532+(-1.308558--0.636684))+0-623.4--0.635868000000099</f>
        <v>1830.0314620000001</v>
      </c>
      <c r="M323" s="3">
        <f>1873.2+(1160.6-604.6)+(-2.865996+(-1.775718--0.925038))+0-503.7--0.770661000000029</f>
        <v>1922.5539849999998</v>
      </c>
      <c r="N323" s="3">
        <f>2517.2+(663.3-634.5)+(3.851316+(1.014849-0.970785))+0-588.4-0.900252000000034</f>
        <v>1960.5951279999997</v>
      </c>
      <c r="O323" s="3">
        <f>3269.8+(525.3-1344.7)+(1.667598+(0.267903-0.685797))+0-500.4-0.255203999999949</f>
        <v>1950.9944999999998</v>
      </c>
      <c r="P323" s="3">
        <f>3624.5+(561.2-1752)+(1.848495+(0.286212-0.89352))+0-524.7-0.267596999999947</f>
        <v>1909.9735899999998</v>
      </c>
      <c r="Q323" s="3">
        <f>3731.3+(508.8-1850.9)+(-1.902963+(-0.259488--0.943959))+0-469.9--0.239648999999952</f>
        <v>1918.3211569999996</v>
      </c>
      <c r="R323" s="3">
        <f>3451.1+(217.4-1297.2)+(0+(0-0))+0-488.2-0</f>
        <v>1883.1000000000001</v>
      </c>
      <c r="S323" s="3">
        <f>3432.8+(294.5-1291)+(-5.252184+(-0.450585--1.97523))+0-562.3--0.860319000000032</f>
        <v>1871.1327800000004</v>
      </c>
      <c r="T323" s="3">
        <f>2923.5+(404.7-944.7)+(-1.490985+(-0.206397--0.481797))+0-548.3--0.279632999999944</f>
        <v>1834.264048</v>
      </c>
      <c r="U323" s="3">
        <f>2723.4+(508.8-800.2)+(-2.777868+(-0.518976--0.816204))+0-608.4--0.620568000000097</f>
        <v>1821.7399279999997</v>
      </c>
      <c r="V323" s="3">
        <f>2741.2+(497.7-890.2)+(2.796024+(0.507654-0.908004))+0-514.6-0.524892000000082</f>
        <v>1835.9707819999996</v>
      </c>
      <c r="W323" s="3">
        <f>3284.2+(462.9-1439.9)+(5.024826+(0.708237-2.203047))+0-354.7-0.54269100000002</f>
        <v>1955.4873249999998</v>
      </c>
      <c r="X323" s="3">
        <f>4768.5+(513.4-2646.9)+(0+(0-0))+0-379.8-0</f>
        <v>2255.1999999999998</v>
      </c>
      <c r="Y323" s="3">
        <f>4550.4+(342-2256.5)+(-6.962112+(-0.52326--3.452445))+0-349.2--0.53427600000002</f>
        <v>2283.2013489999995</v>
      </c>
      <c r="Z323" s="3">
        <f>4593.7+(271.4-2276.9)+(-2.342787+(-0.138414--1.161219))+0-355.8--0.181457999999964</f>
        <v>2231.2614759999997</v>
      </c>
      <c r="AA323" s="3">
        <f>4489.6+(312.8-2069)+(-2.289696+(-0.159528--1.05519))+0-571.5--0.291464999999942</f>
        <v>2160.7974310000004</v>
      </c>
      <c r="AB323" s="3">
        <f>3952.1+(219.1-1525.8)+(-6.046713+(-0.335223--2.334474))+0-580.9--0.888777000000034</f>
        <v>2061.3413149999997</v>
      </c>
      <c r="AC323" s="3">
        <f>3527.1+(164.3-1244.7)+(-5.396463+(-0.251379--1.904391))+0-510.9--0.781677000000029</f>
        <v>1932.8382259999998</v>
      </c>
      <c r="AD323">
        <v>2287.6999999999998</v>
      </c>
      <c r="AE323" s="3">
        <f>5103+(519.3-2927.3)+(0+(0-0))+0-407.3-0</f>
        <v>2287.6999999999998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2671+(532-745.8)+(0+(0-0))+0-623.4-0</f>
        <v>1833.7999999999997</v>
      </c>
      <c r="G324" s="3">
        <f>2004.6+(805.4-616.8)+(-1.022346+(-0.410754--0.314568))+0-483.4--0.246533999999951</f>
        <v>1708.9280019999997</v>
      </c>
      <c r="H324" s="3">
        <f>1938.2+(950.8-568.5)+(2.965446+(1.454724-0.869805))+0-658.3-1.00719900000004</f>
        <v>1664.743166</v>
      </c>
      <c r="I324" s="3">
        <f>1914.8+(892.9-600.4)+(-2.929644+(-1.366137--0.918612))+0-576.6--0.882198000000033</f>
        <v>1628.2050290000004</v>
      </c>
      <c r="J324" s="3">
        <f>1986+(903.1-589.4)+(1.01286+(0.460581-0.300594))+0-680.4-0.347003999999931</f>
        <v>1620.1258429999996</v>
      </c>
      <c r="K324" s="3">
        <f>1968.2+(985.6-677.5)+(1.003782+(0.502656-0.345525))+0-609.8-0.310997999999938</f>
        <v>1667.3499150000005</v>
      </c>
      <c r="L324" s="3">
        <f>1963.3+(1268.4-821.6)+(-3.003849+(-1.940652--1.257048))+0-555.6--0.850068000000032</f>
        <v>1851.662615</v>
      </c>
      <c r="M324" s="3">
        <f>2000.7+(1187-803.2)+(1.020357+(0.60537-0.409632))+0-511-0.260609999999948</f>
        <v>1874.4554850000002</v>
      </c>
      <c r="N324" s="3">
        <f>2660.7+(705.2-982.3)+(2.713914+(0.719304-1.001946))+0-485.2-0.494904000000077</f>
        <v>1900.3363679999995</v>
      </c>
      <c r="O324" s="3">
        <f>3411.6+(410.6-1519.4)+(3.479832+(0.418812-1.549788))+0-383.9-0.391578000000061</f>
        <v>1920.8572779999997</v>
      </c>
      <c r="P324" s="3">
        <f>3729.3+(502.9-1874.2)+(-1.901943+(-0.256479--0.955842))+0-417.2--0.212771999999958</f>
        <v>1939.8101919999997</v>
      </c>
      <c r="Q324" s="3">
        <f>3781.4+(601.1-1879.3)+(-3.857028+(-0.613122--1.916886))+0-444--0.452880000000071</f>
        <v>2057.0996160000004</v>
      </c>
      <c r="R324" s="3">
        <f>3550.8+(549.5-1728.7)+(-9.05454+(-1.401225--4.408185))+0-500.9--1.27729499999993</f>
        <v>1865.9297150000002</v>
      </c>
      <c r="S324" s="3">
        <f>3173.7+(432-1243.9)+(0+(0-0))+0-495.4-0</f>
        <v>1866.3999999999996</v>
      </c>
      <c r="T324" s="3">
        <f>3421.1+(378.4-1364.9)+(1.744761+(0.192984-0.696099))+0-592.1-0.30197099999994</f>
        <v>1843.4396750000001</v>
      </c>
      <c r="U324" s="3">
        <f>3399+(313.6-1359.4)+(-1.73349+(-0.159936--0.693294))+0-500.9--0.255458999999949</f>
        <v>1851.3553269999998</v>
      </c>
      <c r="V324" s="3">
        <f>3426.6+(362.9-1259.6)+(3.495132+(0.370158-1.284792))+0-582.5-0.594150000000093</f>
        <v>1949.3863479999998</v>
      </c>
      <c r="W324" s="3">
        <f>3992+(468.9-2067.7)+(4.07184+(0.478278-2.109054))+0-326.9-0.333438000000052</f>
        <v>2068.4076260000002</v>
      </c>
      <c r="X324" s="3">
        <f>5155.8+(529.8-3005.1)+(2.629458+(0.270198-1.532601))+0-348.2-0.177581999999965</f>
        <v>2333.4894730000005</v>
      </c>
      <c r="Y324" s="3">
        <f>4818.2+(416-2575.4)+(-9.829128+(-0.84864--5.253816))+0-336.9--0.687275999999985</f>
        <v>2317.1633239999996</v>
      </c>
      <c r="Z324" s="3">
        <f>4674.4+(286.2-2337.4)+(-11.91972+(-0.72981--5.96037))+0-352.7--0.899384999999949</f>
        <v>2264.7102249999998</v>
      </c>
      <c r="AA324" s="3">
        <f>4574.8+(273.5-2054.9)+(-2.333148+(-0.139485--1.047999))+0-587.1--0.29942099999994</f>
        <v>2205.1747870000004</v>
      </c>
      <c r="AB324" s="3">
        <f>3995+(301.2-1677.4)+(0+(0-0))+0-529.6-0</f>
        <v>2089.2000000000003</v>
      </c>
      <c r="AC324" s="3">
        <f>3326.2+(304.1-1031.7)+(-3.392724+(-0.310182--1.052334))+0-573.9--0.585378000000091</f>
        <v>2022.6348059999998</v>
      </c>
      <c r="AD324">
        <v>2327.6</v>
      </c>
      <c r="AE324" s="3">
        <f>5276+(522.7-3115.2)+(0+(0-0))+0-355.9-0</f>
        <v>2327.6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2553+(597.8-710.1)+(0+(0-0))+0-566.2-0</f>
        <v>1874.4999999999998</v>
      </c>
      <c r="G325" s="3">
        <f>1996+(908.8-597.1)+(0+(0-0))+0-539.9-0</f>
        <v>1767.7999999999997</v>
      </c>
      <c r="H325" s="3">
        <f>1951+(913.6-590.6)+(0+(0-0))+0-604.2-0</f>
        <v>1669.8</v>
      </c>
      <c r="I325" s="3">
        <f>1902.6+(824.9-607.9)+(-2.910978+(-1.262097--0.930087))+0-461.8--0.706554000000027</f>
        <v>1655.2635660000001</v>
      </c>
      <c r="J325" s="3">
        <f>1911+(918-584.2)+(1.94922+(0.93636-0.595884))+0-610.2-0.622404000000097</f>
        <v>1636.2672919999998</v>
      </c>
      <c r="K325" s="3">
        <f>1981.9+(885.3-644.4)+(2.021538+(0.903006-0.657288))+0-506.2-0.516324000000081</f>
        <v>1718.3509320000001</v>
      </c>
      <c r="L325" s="3">
        <f>2049+(959.7-647.8)+(0+(0-0))+0-599.9-0</f>
        <v>1761</v>
      </c>
      <c r="M325" s="3">
        <f>2498+(633.3-794.9)+(0+(0-0))+0-461.9-0</f>
        <v>1874.5</v>
      </c>
      <c r="N325" s="3">
        <f>3160.4+(589.2-1363.1)+(-1.611804+(-0.300492--0.695181))+0-461--0.235109999999953</f>
        <v>1924.5179949999999</v>
      </c>
      <c r="O325" s="3">
        <f>3773.4+(653.9-2022.9)+(-1.924434+(-0.333489--1.031679))+0-468.5--0.238934999999952</f>
        <v>1934.912691</v>
      </c>
      <c r="P325" s="3">
        <f>4002.8+(824-2303.1)+(-2.041428+(-0.42024--1.174581))+0-574.7--0.293096999999942</f>
        <v>1948.0060100000001</v>
      </c>
      <c r="Q325" s="3">
        <f>3898.1+(709.8-2145.7)+(-3.976062+(-0.723996--2.188614))+0-439.3--0.44808600000007</f>
        <v>2020.8366419999998</v>
      </c>
      <c r="R325" s="3">
        <f>3834.1+(645.8-1574.3)+(-5.866173+(-0.988074--2.408679))+0-533--0.815490000000031</f>
        <v>2368.9699219999998</v>
      </c>
      <c r="S325" s="3">
        <f>3989.4+(348.9-1409.9)+(-6.103782+(-0.533817--2.157147))+0-536--0.820080000000031</f>
        <v>2388.7396280000003</v>
      </c>
      <c r="T325" s="3">
        <f>3741.7+(299.1-1470.8)+(0+(0-0))+0-543.7-0</f>
        <v>2026.3</v>
      </c>
      <c r="U325" s="3">
        <f>3644.1+(328.8-1362.5)+(3.716982+(0.335376-1.38975))+0-554.7-0.565794000000089</f>
        <v>2057.7968139999994</v>
      </c>
      <c r="V325" s="3">
        <f>3526.5+(373.7-1253.7)+(1.798515+(0.190587-0.639387))+0-539.8-0.275297999999945</f>
        <v>2107.7744170000001</v>
      </c>
      <c r="W325" s="3">
        <f>4003.9+(293.3-1871)+(4.083978+(0.299166-1.90842))+0-366.4-0.373728000000058</f>
        <v>2061.9009959999999</v>
      </c>
      <c r="X325" s="3">
        <f>4858.8+(456.7-2828.7)+(-12.38994+(-1.164585--7.213185))+0-357.5--0.911624999999948</f>
        <v>2123.870285</v>
      </c>
      <c r="Y325" s="3">
        <f>4677.5+(397.8-2633.1)+(-7.156575+(-0.608634--4.028643))+0-368.4--0.563652000000021</f>
        <v>2070.627086</v>
      </c>
      <c r="Z325" s="3">
        <f>4506.3+(412.2-2649.3)+(-2.298213+(-0.210222--1.351143))+0-355.8--0.181457999999964</f>
        <v>1912.424166</v>
      </c>
      <c r="AA325" s="3">
        <f>4501.1+(325-2421.7)+(2.295561+(0.16575-1.235067))+0-533.6-0.272135999999946</f>
        <v>1871.7541080000005</v>
      </c>
      <c r="AB325" s="3">
        <f>3999.4+(295.5-1949.5)+(2.039694+(0.150705-0.994245))+0-456.2-0.232661999999954</f>
        <v>1890.1634920000004</v>
      </c>
      <c r="AC325" s="3">
        <f>3457.8+(246.9-1202.7)+(0+(0-0))+0-502.5-0</f>
        <v>1999.5</v>
      </c>
      <c r="AD325">
        <v>2314.2000000000003</v>
      </c>
      <c r="AE325" s="3">
        <f>5039+(496.3-2862.6)+(0+(0-0))+0-358.5-0</f>
        <v>2314.2000000000003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2232+(792-688.8)+(-5.6916+(-2.0196--1.75644))+0-576.2--1.46930999999992</f>
        <v>1754.5145499999996</v>
      </c>
      <c r="G326" s="3">
        <f>2164.2+(702.6-693.4)+(-2.207484+(-0.716652--0.707268))+0-496.2--0.506124000000079</f>
        <v>1675.4892559999996</v>
      </c>
      <c r="H326" s="3">
        <f>1952.9+(882.5-598.7)+(-5.975874+(-2.70045--1.832022))+0-627--1.91862000000007</f>
        <v>1604.774318</v>
      </c>
      <c r="I326" s="3">
        <f>2179+(567.2-715)+(2.22258+(0.578544-0.7293))+0-442.2-0.451044000000071</f>
        <v>1590.62078</v>
      </c>
      <c r="J326" s="3">
        <f>2025+(782.5-543.4)+(-1.03275+(-0.399075--0.277134))+0-680.7--0.347156999999931</f>
        <v>1582.5924659999996</v>
      </c>
      <c r="K326" s="3">
        <f>2068.9+(711-669.6)+(3.165417+(1.08783-1.024488))+0-491.2-0.751536000000028</f>
        <v>1621.5772230000002</v>
      </c>
      <c r="L326" s="3">
        <f>2115.5+(850.6-595.8)+(2.15781+(0.867612-0.607716))+0-664.3-0.677586000000106</f>
        <v>1707.7401200000004</v>
      </c>
      <c r="M326" s="3">
        <f>2319.1+(809.3-769.8)+(2.365482+(0.825486-0.785196))+0-536.4-0.547128000000086</f>
        <v>1824.0586439999997</v>
      </c>
      <c r="N326" s="3">
        <f>3228.6+(618.9-1347.4)+(1.646586+(0.315639-0.687174))+0-659.3-0.336242999999933</f>
        <v>1841.7388080000001</v>
      </c>
      <c r="O326" s="3">
        <f>3633.6+(771.8-1847.4)+(1.853136+(0.393618-0.942174))+0-639.3-0.326042999999935</f>
        <v>1919.678537</v>
      </c>
      <c r="P326" s="3">
        <f>4043.4+(832.9-2450.9)+(2.062134+(0.424779-1.249959))+0-617.7-0.315026999999937</f>
        <v>1808.6219270000001</v>
      </c>
      <c r="Q326" s="3">
        <f>4343.1+(818.4-2605.2)+(0+(0-0))+0-546.8-0</f>
        <v>2009.5000000000007</v>
      </c>
      <c r="R326" s="3">
        <f>3790.6+(631.9-1975.2)+(-5.799618+(-0.966807--3.022056))+0-511--0.78183000000003</f>
        <v>1933.3374609999998</v>
      </c>
      <c r="S326" s="3">
        <f>3261.2+(487.2-1398.5)+(0+(0-0))+0-403-0</f>
        <v>1946.8999999999996</v>
      </c>
      <c r="T326" s="3">
        <f>3213.1+(487.3-1210.4)+(0+(0-0))+0-556.9-0</f>
        <v>1933.1</v>
      </c>
      <c r="U326" s="3">
        <f>2856.7+(492.6-927.4)+(-2.913834+(-0.502452--0.945948))+0-543.1--0.553962000000087</f>
        <v>1876.8836239999998</v>
      </c>
      <c r="V326" s="3">
        <f>2643.6+(524.6-901.9)+(-2.696472+(-0.535092--0.919938))+0-541--0.551820000000086</f>
        <v>1723.5401940000002</v>
      </c>
      <c r="W326" s="3">
        <f>3319.4+(394.9-1341.3)+(-1.692894+(-0.201399--0.684063))+0-369.5--0.188444999999963</f>
        <v>2002.4782149999999</v>
      </c>
      <c r="X326" s="3">
        <f>4243.8+(560.5-2242.9)+(-4.328676+(-0.57171--2.287758))+0-348.9--0.355878000000056</f>
        <v>2210.24325</v>
      </c>
      <c r="Y326" s="3">
        <f>4257.3+(392.5-2094.4)+(-8.684892+(-0.8007--4.272576))+0-347.5--0.708899999999985</f>
        <v>2203.395884</v>
      </c>
      <c r="Z326" s="3">
        <f>4158.5+(330.5-2005.8)+(-10.604175+(-0.842775--5.11479))+0-334.1--0.851954999999952</f>
        <v>2143.6197950000001</v>
      </c>
      <c r="AA326" s="3">
        <f>4253.9+(230.8-1780.6)+(-2.169489+(-0.117708--0.908106))+0-612.8--0.312527999999938</f>
        <v>2090.2334369999994</v>
      </c>
      <c r="AB326" s="3">
        <f>4124.9+(135.9-1732.8)+(2.103699+(0.069309-0.883728))+0-513.7-0.261986999999948</f>
        <v>2015.3272930000001</v>
      </c>
      <c r="AC326" s="3">
        <f>3476.4+(266.4-1212.1)+(-1.772964+(-0.135864--0.618171))+0-612.1--0.312170999999938</f>
        <v>1917.6215140000004</v>
      </c>
      <c r="AD326">
        <v>2218.7999999999993</v>
      </c>
      <c r="AE326" s="3">
        <f>4390+(563.9-2359.8)+(0+(0-0))+0-375.3-0</f>
        <v>2218.7999999999997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2627.3+(484.5-808.6)+(-4.019769+(-0.741285--1.237158))+0-490.7--0.750771000000028</f>
        <v>1809.7268750000001</v>
      </c>
      <c r="G327" s="3">
        <f>2233.2+(724.1-631.6)+(1.138932+(0.369291-0.322116))+0-595.5-0.30370499999994</f>
        <v>1731.0824019999998</v>
      </c>
      <c r="H327" s="3">
        <f>2008.6+(765.2-546.8)+(-2.048772+(-0.780504--0.557736))+0-558.1--0.569262000000089</f>
        <v>1667.1977219999999</v>
      </c>
      <c r="I327" s="3">
        <f>1945+(769.4-519.5)+(0.99195+(0.392394-0.264945))+0-568.5-0.289934999999942</f>
        <v>1627.2294640000002</v>
      </c>
      <c r="J327" s="3">
        <f>1869.2+(861.8-493.3)+(-1.906584+(-0.879036--0.503166))+0-617--0.629340000000098</f>
        <v>1619.0468859999999</v>
      </c>
      <c r="K327" s="3">
        <f>1865.7+(900-580.2)+(1.903014+(0.918-0.591804))+0-553.6-0.564672000000088</f>
        <v>1633.5645379999999</v>
      </c>
      <c r="L327" s="3">
        <f>1835.3+(995.4-577.7)+(-0.936003+(-0.507654--0.294627))+0-607--0.309569999999938</f>
        <v>1645.1605399999999</v>
      </c>
      <c r="M327" s="3">
        <f>1880.9+(1034.1-663.4)+(0+(0-0))+0-560.2-0</f>
        <v>1691.3999999999999</v>
      </c>
      <c r="N327" s="3">
        <f>2016.2+(997.6-693.8)+(2.056524+(1.017552-0.707676))+0-529.5-0.540090000000084</f>
        <v>1792.3263099999997</v>
      </c>
      <c r="O327" s="3">
        <f>2793.2+(492.7-911.1)+(0+(0-0))+0-550.4-0</f>
        <v>1824.3999999999996</v>
      </c>
      <c r="P327" s="3">
        <f>2999.4+(252.4-956)+(0+(0-0))+0-377.6-0</f>
        <v>1918.2000000000003</v>
      </c>
      <c r="Q327" s="3">
        <f>3277.5+(351.4-1252.7)+(5.014575+(0.537642-1.916631))+0-492.8-0.753984000000029</f>
        <v>1886.2816019999998</v>
      </c>
      <c r="R327" s="3">
        <f>3318+(474.6-1223.7)+(-6.76872+(-0.968184--2.496348))+0-658--1.34231999999997</f>
        <v>1907.0017639999999</v>
      </c>
      <c r="S327" s="3">
        <f>3407.9+(338.8-1396.8)+(-1.738029+(-0.172788--0.712368))+0-465--0.237149999999953</f>
        <v>1883.938701</v>
      </c>
      <c r="T327" s="3">
        <f>3478+(241.1-1223.8)+(0+(0-0))+0-656.1-0</f>
        <v>1839.2000000000003</v>
      </c>
      <c r="U327" s="3">
        <f>2824.2+(286.9-893.2)+(-4.321026+(-0.438957--1.366596))+0-390.6--0.597618000000023</f>
        <v>1824.5042309999997</v>
      </c>
      <c r="V327" s="3">
        <f>2655.5+(623.9-725.3)+(-1.354305+(-0.318189--0.369903))+0-626.6--0.319565999999936</f>
        <v>1926.5169749999998</v>
      </c>
      <c r="W327" s="3">
        <f>2398.4+(675.5-758)+(-2.446368+(-0.68901--0.77316))+0-519.9--0.530298000000083</f>
        <v>1794.1680799999999</v>
      </c>
      <c r="X327" s="3">
        <f>3278.1+(743.6-1188.9)+(-1.671831+(-0.379236--0.606339))+0-602.3--0.307172999999939</f>
        <v>2229.3624449999998</v>
      </c>
      <c r="Y327" s="3">
        <f>3542.5+(634.9-1410.4)+(-5.420025+(-0.971397--2.157912))+0-580.6--0.888318000000034</f>
        <v>2183.0548080000003</v>
      </c>
      <c r="Z327" s="3">
        <f>3819.1+(599.2-1742.4)+(-3.895482+(-0.611184--1.777248))+0-562.2--0.57344400000009</f>
        <v>2111.544026</v>
      </c>
      <c r="AA327" s="3">
        <f>3869.3+(474.3-1684.2)+(-7.893372+(-0.967572--3.435768))+0-654.4--1.33497599999997</f>
        <v>2000.9097999999997</v>
      </c>
      <c r="AB327" s="3">
        <f>3631.8+(480.8-1680.2)+(-1.852218+(-0.245208--0.856902))+0-489.6--0.24969599999995</f>
        <v>1941.8091720000002</v>
      </c>
      <c r="AC327" s="3">
        <f>3676.4+(452.2-1698.3)+(3.749928+(0.461244-1.732266))+0-587.9-0.599658000000094</f>
        <v>1844.2792479999998</v>
      </c>
      <c r="AD327">
        <v>2180.1</v>
      </c>
      <c r="AE327" s="3">
        <f>3468+(792.3-1324.8)+(0+(0-0))+0-755.4-0</f>
        <v>2180.1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2872.8+(485.4-1049.3)+(-5.860512+(-0.990216--2.140572))+0-567.1--1.15688399999998</f>
        <v>1738.2467280000001</v>
      </c>
      <c r="G328" s="3">
        <f>2162.4+(669.7-606.7)+(-2.205648+(-0.683094--0.618834))+0-562.6--0.57385200000009</f>
        <v>1661.103944</v>
      </c>
      <c r="H328" s="3">
        <f>2002.8+(723.3-600.7)+(-4.085712+(-1.475532--1.225428))+0-526.7--1.07446799999998</f>
        <v>1595.4386519999998</v>
      </c>
      <c r="I328" s="3">
        <f>2097.6+(710-693.9)+(1.069776+(0.3621-0.353889))+0-568.9-0.290138999999942</f>
        <v>1545.5878479999999</v>
      </c>
      <c r="J328" s="3">
        <f>1990.7+(722.5-603)+(-3.045771+(-1.105425--0.92259))+0-583.2--0.892296000000034</f>
        <v>1524.6636899999996</v>
      </c>
      <c r="K328" s="3">
        <f>2086.1+(650.1-666.4)+(1.063911+(0.331551-0.339864))+0-533.6-0.272135999999946</f>
        <v>1536.9834620000001</v>
      </c>
      <c r="L328" s="3">
        <f>2110.7+(803.1-750)+(1.076457+(0.409581-0.3825))+0-558.7-0.284936999999943</f>
        <v>1605.9186009999996</v>
      </c>
      <c r="M328" s="3">
        <f>2039.9+(881.5-718.2)+(-3.121047+(-1.348695--1.098846))+0-535.6--0.819468000000031</f>
        <v>1665.0485720000001</v>
      </c>
      <c r="N328" s="3">
        <f>2019.7+(1005.5-671.7)+(-1.030047+(-0.512805--0.342567))+0-600.1--0.306050999999939</f>
        <v>1752.5057660000002</v>
      </c>
      <c r="O328" s="3">
        <f>2225.1+(846.1-742)+(0+(0-0))+0-516.3-0</f>
        <v>1812.8999999999999</v>
      </c>
      <c r="P328" s="3">
        <f>2759.3+(526.8-849.1)+(-2.814486+(-0.537336--0.866082))+0-572.3--0.583746000000091</f>
        <v>1862.798006</v>
      </c>
      <c r="Q328" s="3">
        <f>2945.9+(387.8-1004.9)+(-4.507227+(-0.593334--1.537497))+0-459.6--0.703188000000027</f>
        <v>1866.3401240000003</v>
      </c>
      <c r="R328" s="3">
        <f>2966.8+(397.4-992.6)+(-4.539204+(-0.608022--1.518678))+0-534.3--0.817479000000031</f>
        <v>1834.4889310000003</v>
      </c>
      <c r="S328" s="3">
        <f>2902.2+(391.8-992.1)+(-5.920488+(-0.799272--2.023884))+0-494--1.00775999999998</f>
        <v>1804.2118839999994</v>
      </c>
      <c r="T328" s="3">
        <f>2764.2+(406.8-878.8)+(-1.409742+(-0.207468--0.448188))+0-517.3--0.263822999999948</f>
        <v>1773.9948009999998</v>
      </c>
      <c r="U328" s="3">
        <f>2669.5+(445.3-920.8)+(0+(0-0))+0-465.4-0</f>
        <v>1728.6</v>
      </c>
      <c r="V328" s="3">
        <f>2776.5+(455.3-994.8)+(-1.416015+(-0.232203--0.507348))+0-469.7--0.239546999999952</f>
        <v>1766.3986769999997</v>
      </c>
      <c r="W328" s="3">
        <f>3141.4+(433.9-1091.8)+(0+(0-0))+0-624-0</f>
        <v>1859.5</v>
      </c>
      <c r="X328" s="3">
        <f>4642.9+(446.9-2341.1)+(-4.735758+(-0.455838--2.387922))+0-582.4--0.594048000000093</f>
        <v>2164.0903739999999</v>
      </c>
      <c r="Y328" s="3">
        <f>4660+(487.1-2337.5)+(-2.3766+(-0.248421--1.192125))+0-597--0.304469999999939</f>
        <v>2211.4715740000001</v>
      </c>
      <c r="Z328" s="3">
        <f>4350.3+(715.5-2310.4)+(-4.437306+(-0.72981--2.356608))+0-581.7--0.593334000000093</f>
        <v>2171.4828260000004</v>
      </c>
      <c r="AA328" s="3">
        <f>4273.3+(833.5-2352.2)+(0+(0-0))+0-651.9-0</f>
        <v>2102.7000000000003</v>
      </c>
      <c r="AB328" s="3">
        <f>4069.2+(857.1-2398.9)+(-2.075292+(-0.437121--1.223439))+0-522.5--0.266474999999947</f>
        <v>2003.8775009999995</v>
      </c>
      <c r="AC328" s="3">
        <f>3692.4+(901.6-2101.3)+(-9.41562+(-2.29908--5.358315))+0-620.9--1.58329499999991</f>
        <v>1867.0269099999996</v>
      </c>
      <c r="AD328">
        <v>2196.6999999999998</v>
      </c>
      <c r="AE328" s="3">
        <f>4746+(574-2522.8)+(0+(0-0))+0-600.5-0</f>
        <v>2196.6999999999998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2781.9+(583.4-1136.5)+(-4.256307+(-0.892602--1.738845))+0-472.5--0.722925000000027</f>
        <v>1753.6128610000001</v>
      </c>
      <c r="G329" s="3">
        <f>2191.5+(808.6-721.2)+(-3.352995+(-1.237158--1.103436))+0-596.4--0.912492000000034</f>
        <v>1679.9257749999997</v>
      </c>
      <c r="H329" s="3">
        <f>2125.5+(766.5-705.7)+(-4.33602+(-1.56366--1.439628))+0-565.9--1.15443599999998</f>
        <v>1617.0943840000002</v>
      </c>
      <c r="I329" s="3">
        <f>2136.7+(741.2-759.7)+(-1.089717+(-0.378012--0.387447))+0-520.1--0.265250999999947</f>
        <v>1597.284969</v>
      </c>
      <c r="J329" s="3">
        <f>2215.1+(746.8-807)+(3.389103+(1.142604-1.23471))+0-570.8-0.873324000000033</f>
        <v>1586.5236729999995</v>
      </c>
      <c r="K329" s="3">
        <f>2295.2+(734.3-816.7)+(1.170552+(0.374493-0.416517))+0-585.4-0.298553999999941</f>
        <v>1628.2299739999999</v>
      </c>
      <c r="L329" s="3">
        <f>2228.8+(928.6-851.9)+(1.136688+(0.473586-0.434469))+0-593.1-0.30248099999994</f>
        <v>1713.273324</v>
      </c>
      <c r="M329" s="3">
        <f>2281.8+(898.3-765.9)+(0+(0-0))+0-594.2-0</f>
        <v>1820.0000000000002</v>
      </c>
      <c r="N329" s="3">
        <f>2531.1+(844.7-875.4)+(2.581722+(0.861594-0.892908))+0-614.8-0.627096000000098</f>
        <v>1887.523312</v>
      </c>
      <c r="O329" s="3">
        <f>2988.6+(634.3-1119.6)+(1.524186+(0.323493-0.570996))+0-589.7-0.30074699999994</f>
        <v>1914.5759360000002</v>
      </c>
      <c r="P329" s="3">
        <f>3419.6+(722.1-1528.5)+(1.743996+(0.368271-0.779535))+0-577-0.294269999999941</f>
        <v>2037.2384619999998</v>
      </c>
      <c r="Q329" s="3">
        <f>3504.5+(1018.1-1936.7)+(-3.57459+(-1.038462--1.975434))+0-668.7--0.682074000000107</f>
        <v>1915.2444559999999</v>
      </c>
      <c r="R329" s="3">
        <f>3304+(959.7-1744.9)+(-8.4252+(-2.447235--4.449495))+0-601.5--1.53382499999991</f>
        <v>1912.4108850000002</v>
      </c>
      <c r="S329" s="3">
        <f>3492.2+(823.1-1852.4)+(-3.562044+(-0.839562--1.889448))+0-578.8--0.590376000000092</f>
        <v>1882.1782179999998</v>
      </c>
      <c r="T329" s="3">
        <f>3922.6+(781.8-2278.3)+(-6.001578+(-1.196154--3.485799))+0-589.7--0.902241000000034</f>
        <v>1833.5903079999994</v>
      </c>
      <c r="U329" s="3">
        <f>3367.8+(866.2-1809.2)+(-1.717578+(-0.441762--0.922692))+0-611--0.311609999999938</f>
        <v>1812.8749620000001</v>
      </c>
      <c r="V329" s="3">
        <f>3428+(862.8-1894.6)+(1.74828+(0.440028-0.966246))+0-573.7-0.292586999999942</f>
        <v>1823.4294749999997</v>
      </c>
      <c r="W329" s="3">
        <f>3654.7+(869.3-2257)+(0+(0-0))+0-348.9-0</f>
        <v>1918.1</v>
      </c>
      <c r="X329" s="3">
        <f>4448.8+(759.6-2618)+(-2.268888+(-0.387396--1.33518))+0-340.1--0.173450999999966</f>
        <v>2249.1523470000002</v>
      </c>
      <c r="Y329" s="3">
        <f>4551.3+(767.2-2673.2)+(0+(0-0))+0-360.8-0</f>
        <v>2284.5</v>
      </c>
      <c r="Z329" s="3">
        <f>4852.4+(773.7-2999)+(-12.37362+(-1.972935--7.64745))+0-367.9--0.938144999999947</f>
        <v>2253.4390399999993</v>
      </c>
      <c r="AA329" s="3">
        <f>4802.2+(835.3-2889.2)+(0+(0-0))+0-557.2-0</f>
        <v>2191.1000000000004</v>
      </c>
      <c r="AB329" s="3">
        <f>4722.2+(933.2-2976)+(-12.04161+(-2.37966--7.5888))+0-578.9--1.47619499999992</f>
        <v>2095.1437249999994</v>
      </c>
      <c r="AC329" s="3">
        <f>4415+(913.9-2824.6)+(-11.25825+(-2.330445--7.20273))+0-539.3--1.37521499999992</f>
        <v>1959.9892500000003</v>
      </c>
      <c r="AD329">
        <v>2301.8000000000002</v>
      </c>
      <c r="AE329" s="3">
        <f>4421+(746.1-2489.9)+(0+(0-0))+0-375.4-0</f>
        <v>2301.7999999999997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3321.7+(900.5-1757.1)+(-3.388134+(-0.91851--1.792242))+0-631.9--0.644538000000101</f>
        <v>1831.330136</v>
      </c>
      <c r="G330" s="3">
        <f>2640.3+(840.2-1143.4)+(5.386212+(1.714008-2.332536))+0-615.8-1.25623199999997</f>
        <v>1724.8114520000004</v>
      </c>
      <c r="H330" s="3">
        <f>2166+(967.4-816.4)+(3.31398+(1.480122-1.249092))+0-650.3-0.994959000000038</f>
        <v>1669.2500509999998</v>
      </c>
      <c r="I330" s="3">
        <f>2056.1+(962.6-769.9)+(-4.194444+(-1.963704--1.570596))+0-621.2--1.26724799999997</f>
        <v>1624.2796960000001</v>
      </c>
      <c r="J330" s="3">
        <f>2168.8+(892.5-819.1)+(2.212176+(0.91035-0.835482))+0-629.3-0.6418860000001</f>
        <v>1614.5451580000004</v>
      </c>
      <c r="K330" s="3">
        <f>2056.4+(1028.5-787.1)+(0+(0-0))+0-652.1-0</f>
        <v>1645.7000000000003</v>
      </c>
      <c r="L330" s="3">
        <f>2129.2+(1060.9-791.3)+(1.085892+(0.541059-0.403563))+0-616.1-0.314210999999938</f>
        <v>1783.6091770000003</v>
      </c>
      <c r="M330" s="3">
        <f>2150.9+(1164.5-809.1)+(-2.193918+(-1.18779--0.825282))+0-621.9--0.634338000000099</f>
        <v>1882.4779120000001</v>
      </c>
      <c r="N330" s="3">
        <f>2406.6+(1017.9-929.8)+(-1.227366+(-0.519129--0.474198))+0-559.5--0.285344999999943</f>
        <v>1934.2130479999998</v>
      </c>
      <c r="O330" s="3">
        <f>2961.8+(881.7-1304.3)+(-1.510518+(-0.449667--0.665193))+0-529.6--0.270095999999946</f>
        <v>2008.5751040000002</v>
      </c>
      <c r="P330" s="3">
        <f>3250.6+(936.7-1661.2)+(-4.973418+(-1.433151--2.541636))+0-419.6--0.641988000000024</f>
        <v>2103.277055</v>
      </c>
      <c r="Q330" s="3">
        <f>3177.2+(823-1674.5)+(-1.620372+(-0.41973--0.853995))+0-422.9--0.215678999999957</f>
        <v>1901.8295719999996</v>
      </c>
      <c r="R330" s="3">
        <f>3317.7+(820.6-1722.6)+(-5.076081+(-1.255518--2.635578))+0-465.9--0.712827000000027</f>
        <v>1946.8168059999996</v>
      </c>
      <c r="S330" s="3">
        <f>3535.3+(792-1981.4)+(0+(0-0))+0-434.5-0</f>
        <v>1911.4</v>
      </c>
      <c r="T330" s="3">
        <f>3515.7+(835.3-1947.7)+(-1.793007+(-0.426003--0.993327))+0-575.9--0.293708999999942</f>
        <v>1826.4680259999996</v>
      </c>
      <c r="U330" s="3">
        <f>3106.1+(849.4-1678.5)+(-1.584111+(-0.433194--0.856035))+0-483--0.246329999999951</f>
        <v>1793.0850599999999</v>
      </c>
      <c r="V330" s="3">
        <f>2744+(897.6-1237)+(2.79888+(0.915552-1.26174))+0-581.2-0.592824000000093</f>
        <v>1825.2598679999996</v>
      </c>
      <c r="W330" s="3">
        <f>2866.5+(809.5-1405.1)+(-1.461915+(-0.412845--0.716601))+0-336.8--0.171767999999966</f>
        <v>1933.113609</v>
      </c>
      <c r="X330" s="3">
        <f>4468+(664.8-2567.7)+(-2.27868+(-0.339048--1.309527))+0-320.4--0.163403999999967</f>
        <v>2243.5552030000003</v>
      </c>
      <c r="Y330" s="3">
        <f>4713.6+(691.8-2778.4)+(-9.615744+(-1.411272--5.667936))+0-328.6--0.670343999999986</f>
        <v>2293.711264</v>
      </c>
      <c r="Z330" s="3">
        <f>4801.7+(726.8-2932.7)+(-2.448867+(-0.370668--1.495677))+0-346.6--0.176765999999965</f>
        <v>2248.0529080000001</v>
      </c>
      <c r="AA330" s="3">
        <f>5031.4+(669.4-2911.1)+(10.264056+(1.365576-5.938644))+0-608.3-1.24093199999997</f>
        <v>2185.8500559999998</v>
      </c>
      <c r="AB330" s="3">
        <f>4596.9+(838-2789.7)+(-4.688838+(-0.85476--2.845494))+0-545.9--0.556818000000087</f>
        <v>2097.1587139999997</v>
      </c>
      <c r="AC330" s="3">
        <f>3869.1+(841.9-2131.9)+(-7.892964+(-1.717476--4.349076))+0-603.3--1.23073199999997</f>
        <v>1971.769368</v>
      </c>
      <c r="AD330">
        <v>2291.2999999999997</v>
      </c>
      <c r="AE330" s="3">
        <f>4884+(635.4-2902.4)+(0+(0-0))+0-325.7-0</f>
        <v>2291.3000000000002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2667.7+(910.7-1171)+(-4.081581+(-1.393371--1.79163))+0-589.9--0.902547000000034</f>
        <v>1814.7192249999998</v>
      </c>
      <c r="G331" s="3">
        <f>1834.1+(1088.9-675.7)+(-1.870782+(-1.110678--0.689214))+0-557.7--0.568854000000089</f>
        <v>1687.8766080000003</v>
      </c>
      <c r="H331" s="3">
        <f>1829.2+(1092.1-698.1)+(0.932892+(0.556971-0.356031))+0-581.4-0.296513999999941</f>
        <v>1642.6373179999998</v>
      </c>
      <c r="I331" s="3">
        <f>1830.8+(1050.8-677.2)+(0+(0-0))+0-590.2-0</f>
        <v>1614.1999999999996</v>
      </c>
      <c r="J331" s="3">
        <f>1903.6+(966.6-709.8)+(0.970836+(0.492966-0.361998))+0-546.1-0.278510999999945</f>
        <v>1615.1232930000001</v>
      </c>
      <c r="K331" s="3">
        <f>1899.4+(1060.1-742.8)+(4.84347+(2.703255-1.89414))+0-580.4-1.48001999999992</f>
        <v>1640.4725649999996</v>
      </c>
      <c r="L331" s="3">
        <f>1936.3+(1127.6-741.9)+(-0.987513+(-0.575076--0.378369))+0-536--0.273359999999946</f>
        <v>1785.0891399999998</v>
      </c>
      <c r="M331" s="3">
        <f>1934.6+(1245.8-698.1)+(0+(0-0))+0-617.5-0</f>
        <v>1864.7999999999997</v>
      </c>
      <c r="N331" s="3">
        <f>2663.3+(754.4-960.3)+(0+(0-0))+0-562.6-0</f>
        <v>1894.8000000000002</v>
      </c>
      <c r="O331" s="3">
        <f>3370.2+(776.7-1699.5)+(1.718802+(0.396117-0.866745))+0-581.3-0.296462999999941</f>
        <v>1867.0517109999996</v>
      </c>
      <c r="P331" s="3">
        <f>3685.7+(764.8-2096.2)+(-3.759414+(-0.780096--2.138124))+0-527.2--0.537744000000084</f>
        <v>1825.2363580000001</v>
      </c>
      <c r="Q331" s="3">
        <f>3661.5+(847.1-2145.9)+(-5.602095+(-1.296063--3.283227))+0-498.2--0.762246000000029</f>
        <v>1861.6473149999997</v>
      </c>
      <c r="R331" s="3">
        <f>3255.9+(971.9-1805.9)+(-3.321018+(-0.991338--1.842018))+0-543.5--0.554370000000087</f>
        <v>1876.4840320000001</v>
      </c>
      <c r="S331" s="3">
        <f>3125.8+(768.3-1489.8)+(4.782474+(1.175499-2.279394))+0-617.8-0.945234000000036</f>
        <v>1789.2333450000001</v>
      </c>
      <c r="T331" s="3">
        <f>2957.3+(789.2-1444.6)+(-3.016446+(-0.804984--1.473492))+0-520.9--0.531318000000083</f>
        <v>1779.1833800000006</v>
      </c>
      <c r="U331" s="3">
        <f>2878.5+(672-1267.9)+(1.468035+(0.34272-0.646629))+0-538.7-0.274736999999945</f>
        <v>1744.789389</v>
      </c>
      <c r="V331" s="3">
        <f>3285+(678.3-1354.7)+(1.67535+(0.345933-0.690897))+0-594.7-0.30329699999994</f>
        <v>2014.927089</v>
      </c>
      <c r="W331" s="3">
        <f>3349.5+(611.9-1770.7)+(1.708245+(0.312069-0.903057))+0-346.2-0.176561999999965</f>
        <v>1845.4406949999998</v>
      </c>
      <c r="X331" s="3">
        <f>4494.2+(1014-2977.8)+(0+(0-0))+0-359.1-0</f>
        <v>2171.2999999999997</v>
      </c>
      <c r="Y331" s="3">
        <f>4669.8+(1023.5-3078.1)+(-11.90799+(-2.609925--7.849155))+0-351.5--0.896324999999949</f>
        <v>2257.9275650000004</v>
      </c>
      <c r="Z331" s="3">
        <f>4958.1+(883.2-3284.8)+(-2.528631+(-0.450432--1.675248))+0-363.9--0.185588999999963</f>
        <v>2191.4817739999999</v>
      </c>
      <c r="AA331" s="3">
        <f>4836.7+(933.2-3157.9)+(-7.400151+(-1.427796--4.831587))+0-589.1--0.901323000000034</f>
        <v>2019.804963</v>
      </c>
      <c r="AB331" s="3">
        <f>4682.3+(1101-3157.5)+(-2.387973+(-0.56151--1.610325))+0-588.6--0.30018599999994</f>
        <v>2036.161028</v>
      </c>
      <c r="AC331" s="3">
        <f>3798.8+(849.2-2146.3)+(-9.68694+(-2.16546--5.473065))+0-584--1.48919999999992</f>
        <v>1912.8098649999997</v>
      </c>
      <c r="AD331">
        <v>2209.2000000000003</v>
      </c>
      <c r="AE331" s="3">
        <f>4738+(1069.6-3227.9)+(0+(0-0))+0-370.5-0</f>
        <v>2209.1999999999998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2904.6+(746.9-1310.9)+(-5.925384+(-1.523676--2.674236))+0-624.2--1.27336799999997</f>
        <v>1712.8985439999997</v>
      </c>
      <c r="G332" s="3">
        <f>2447.2+(603.6-792.2)+(0+(0-0))+0-613.8-0</f>
        <v>1644.8</v>
      </c>
      <c r="H332" s="3">
        <f>1872.8+(883.5-528.8)+(-0.955128+(-0.450585--0.269688))+0-592.5--0.30217499999994</f>
        <v>1634.1661500000002</v>
      </c>
      <c r="I332" s="3">
        <f>1801.5+(945.1-536.3)+(1.83753+(0.964002-0.547026))+0-610.8-0.623016000000097</f>
        <v>1601.1314900000004</v>
      </c>
      <c r="J332" s="3">
        <f>1868.7+(928.1-480.5)+(-1.906074+(-0.946662--0.49011))+0-623.2--0.635664000000099</f>
        <v>1691.3730380000002</v>
      </c>
      <c r="K332" s="3">
        <f>1975.7+(1055.1-619.7)+(1.007607+(0.538101-0.316047))+0-670.1-0.341750999999932</f>
        <v>1741.8879099999999</v>
      </c>
      <c r="L332" s="3">
        <f>2012.7+(985.2-677.5)+(0+(0-0))+0-597.4-0</f>
        <v>1723</v>
      </c>
      <c r="M332" s="3">
        <f>2236.4+(968.6-738)+(1.140564+(0.493986-0.37638))+0-677.6-0.345575999999931</f>
        <v>1790.3125940000002</v>
      </c>
      <c r="N332" s="3">
        <f>2689.7+(726.6-1018.6)+(4.115241+(1.111698-1.558458))+0-593.6-0.908208000000034</f>
        <v>1806.860273</v>
      </c>
      <c r="O332" s="3">
        <f>3311.4+(643.3-1553.7)+(5.066442+(0.984249-2.377161))+0-563.4-0.862002000000033</f>
        <v>1840.4115279999999</v>
      </c>
      <c r="P332" s="3">
        <f>3739.5+(636.5-2089)+(7.62858+(1.29846-4.26156))+0-422.7-0.862307999999982</f>
        <v>1868.1031720000001</v>
      </c>
      <c r="Q332" s="3">
        <f>3995.3+(643.4-2160.6)+(-4.075206+(-0.656268--2.203812))+0-550.7--0.561714000000088</f>
        <v>1925.4340520000005</v>
      </c>
      <c r="R332" s="3">
        <f>3713.3+(562.8-1765.6)+(-9.468915+(-1.43514--4.50228))+0-585.9--1.49404499999992</f>
        <v>1919.69227</v>
      </c>
      <c r="S332" s="3">
        <f>3305.5+(581.7-1408.7)+(1.685805+(0.296667-0.718437))+0-558.6-0.284885999999943</f>
        <v>1920.8791490000003</v>
      </c>
      <c r="T332" s="3">
        <f>3455.8+(541-1460)+(0+(0-0))+0-635-0</f>
        <v>1901.8000000000002</v>
      </c>
      <c r="U332" s="3">
        <f>3448+(485.2-1591.9)+(3.51696+(0.494904-1.623738))+0-479.2-0.488784000000076</f>
        <v>1863.9993419999998</v>
      </c>
      <c r="V332" s="3">
        <f>3643.6+(524.9-1612)+(-3.716472+(-0.535398--1.64424))+0-648.8--0.661776000000103</f>
        <v>1905.7541460000002</v>
      </c>
      <c r="W332" s="3">
        <f>3447.4+(617.9-1762.6)+(-3.516348+(-0.630258--1.797852))+0-353.7--0.360774000000056</f>
        <v>1947.0120200000001</v>
      </c>
      <c r="X332" s="3">
        <f>4390.6+(688.6-2524.5)+(-6.717618+(-1.053558--3.862485))+0-358.2--0.548046000000021</f>
        <v>2193.1393550000003</v>
      </c>
      <c r="Y332" s="3">
        <f>4456.1+(529.1-2412.3)+(-9.090444+(-1.079364--4.921092))+0-352.6--0.719303999999985</f>
        <v>2215.7705880000003</v>
      </c>
      <c r="Z332" s="3">
        <f>4443.6+(516.3-2465)+(-6.798708+(-0.789939--3.77145))+0-344.1--0.52647300000002</f>
        <v>2147.5092760000007</v>
      </c>
      <c r="AA332" s="3">
        <f>4293.7+(534.1-2220.7)+(-6.569361+(-0.817173--3.397671))+0-556.2--0.850986000000032</f>
        <v>2047.7621229999997</v>
      </c>
      <c r="AB332" s="3">
        <f>3965.3+(602.6-2165.3)+(-4.044606+(-0.614652--2.208606))+0-440.4--0.44920800000007</f>
        <v>1960.1985559999998</v>
      </c>
      <c r="AC332" s="3">
        <f>3808.7+(696-2062.6)+(-3.884874+(-0.70992--2.103852))+0-573.1--0.584562000000091</f>
        <v>1867.0936200000001</v>
      </c>
      <c r="AD332">
        <v>2201.7999999999993</v>
      </c>
      <c r="AE332" s="3">
        <f>4560+(639.4-2608.3)+(0+(0-0))+0-389.3-0</f>
        <v>2201.7999999999997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2893.6+(721.9-1311.2)+(-7.37868+(-1.840845--3.34356))+0-591.8--1.50908999999991</f>
        <v>1708.1331249999996</v>
      </c>
      <c r="G333" s="3">
        <f>2146.4+(753.7-699.5)+(-3.283992+(-1.153161--1.070235))+0-531.6--0.813348000000031</f>
        <v>1666.4464300000004</v>
      </c>
      <c r="H333" s="3">
        <f>2085+(737.7-614.7)+(-3.19005+(-1.128681--0.940491))+0-593.6--0.908208000000034</f>
        <v>1611.9299680000001</v>
      </c>
      <c r="I333" s="3">
        <f>1991.3+(711.9-614.4)+(-4.062252+(-1.452276--1.253376))+0-529.9--1.08099599999998</f>
        <v>1555.719844</v>
      </c>
      <c r="J333" s="3">
        <f>2204.7+(564.2-648.1)+(2.248794+(0.575484-0.661062))+0-518.4-0.528768000000083</f>
        <v>1604.0344479999994</v>
      </c>
      <c r="K333" s="3">
        <f>2048.1+(768-689.3)+(1.044531+(0.39168-0.351543))+0-538.2-0.274481999999945</f>
        <v>1589.4101860000001</v>
      </c>
      <c r="L333" s="3">
        <f>2113.4+(741.3-750.9)+(-1.077834+(-0.378063--0.382959))+0-439.8--0.224297999999955</f>
        <v>1663.1513600000003</v>
      </c>
      <c r="M333" s="3">
        <f>2330.9+(804.3-836.3)+(0+(0-0))+0-561.8-0</f>
        <v>1737.1000000000001</v>
      </c>
      <c r="N333" s="3">
        <f>3147.1+(553-1291.3)+(1.605021+(0.28203-0.658563))+0-473.7-0.241586999999952</f>
        <v>1936.0869010000004</v>
      </c>
      <c r="O333" s="3">
        <f>3705.8+(369.3-1752.5)+(-1.889958+(-0.188343--0.893775))+0-475.2--0.242351999999952</f>
        <v>1846.4578260000003</v>
      </c>
      <c r="P333" s="3">
        <f>4414+(476.3-2455.7)+(0+(0-0))+0-563-0</f>
        <v>1871.6000000000004</v>
      </c>
      <c r="Q333" s="3">
        <f>4479.9+(650.8-2653.7)+(-4.569498+(-0.663816--2.706774))+0-554.4--0.565488000000088</f>
        <v>1920.6389480000003</v>
      </c>
      <c r="R333" s="3">
        <f>4149.7+(524.9-2270.9)+(-8.465388+(-1.070796--4.632636))+0-525.7--1.07242799999998</f>
        <v>1874.1688799999995</v>
      </c>
      <c r="S333" s="3">
        <f>3490.1+(435.9-1508.7)+(-7.119804+(-0.889236--3.077748))+0-567.3--1.15729199999998</f>
        <v>1846.2259999999994</v>
      </c>
      <c r="T333" s="3">
        <f>3264.3+(418.2-1273.6)+(-3.329586+(-0.426564--1.299072))+0-589.6--0.601392000000094</f>
        <v>1817.4443140000008</v>
      </c>
      <c r="U333" s="3">
        <f>2867.7+(487.5-1003)+(-5.850108+(-0.9945--2.04612))+0-567.7--1.15810799999998</f>
        <v>1780.8596199999999</v>
      </c>
      <c r="V333" s="3">
        <f>3145.4+(509.4-1265.6)+(-1.604154+(-0.259794--0.645456))+0-577.8--0.294677999999941</f>
        <v>1810.4761860000003</v>
      </c>
      <c r="W333" s="3">
        <f>3080.5+(554.9-1408.2)+(-4.713165+(-0.848997--2.154546))+0-360--0.550800000000021</f>
        <v>1864.3431839999998</v>
      </c>
      <c r="X333" s="3">
        <f>3748+(747.3-2087.5)+(-3.82296+(-0.762246--2.12925))+0-366.8--0.374136000000058</f>
        <v>2038.9181800000006</v>
      </c>
      <c r="Y333" s="3">
        <f>4191.6+(763.8-2545.8)+(-4.275432+(-0.779076--2.596716))+0-357--0.364140000000057</f>
        <v>2050.5063480000003</v>
      </c>
      <c r="Z333" s="3">
        <f>4310.7+(779.3-2755.6)+(-6.595371+(-1.192329--4.216068))+0-347.5--0.53167500000002</f>
        <v>1983.8600429999995</v>
      </c>
      <c r="AA333" s="3">
        <f>4468.1+(765.3-2715.5)+(-4.557462+(-0.780606--2.76981))+0-592.5--0.604350000000094</f>
        <v>1923.4360920000008</v>
      </c>
      <c r="AB333" s="3">
        <f>4149+(861.5-2607.1)+(-6.34797+(-1.318095--3.988863))+0-567.2--0.867816000000033</f>
        <v>1833.3906140000001</v>
      </c>
      <c r="AC333" s="3">
        <f>4109.3+(803.4-2587.1)+(0+(0-0))+0-544.3-0</f>
        <v>1781.3000000000004</v>
      </c>
      <c r="AD333">
        <v>2124</v>
      </c>
      <c r="AE333" s="3">
        <f>3816+(808.3-2105.9)+(0+(0-0))+0-394.4-0</f>
        <v>2123.9999999999995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3465.8+(631.1-1803.5)+(-3.535116+(-0.643722--1.83957))+0-614--0.626280000000098</f>
        <v>1677.6870120000001</v>
      </c>
      <c r="G334" s="3">
        <f>2759.5+(654.9-1283)+(-1.407345+(-0.333999--0.65433))+0-561.8--0.286517999999943</f>
        <v>1568.7995039999998</v>
      </c>
      <c r="H334" s="3">
        <f>2326.1+(622.9-842.1)+(0+(0-0))+0-602.6-0</f>
        <v>1504.2999999999997</v>
      </c>
      <c r="I334" s="3">
        <f>2140.6+(559.5-700.6)+(-2.183412+(-0.57069--0.714612))+0-517.6--0.527952000000083</f>
        <v>1480.3884620000001</v>
      </c>
      <c r="J334" s="3">
        <f>2367.4+(451.9-783.2)+(6.03687+(1.152345-1.99716))+0-559.6-1.42697999999992</f>
        <v>1480.265075</v>
      </c>
      <c r="K334" s="3">
        <f>2485.5+(470.4-853.4)+(1.267605+(0.239904-0.435234))+0-595.1-0.30350099999994</f>
        <v>1508.1687740000002</v>
      </c>
      <c r="L334" s="3">
        <f>2493.1+(553.4-878.2)+(-2.542962+(-0.564468--0.895764))+0-577.2--0.588744000000092</f>
        <v>1589.4770779999997</v>
      </c>
      <c r="M334" s="3">
        <f>2300.7+(659.7-796.9)+(1.173357+(0.336447-0.406419))+0-521.2-0.265811999999947</f>
        <v>1643.137573</v>
      </c>
      <c r="N334" s="3">
        <f>2296.3+(755.2-854.8)+(0+(0-0))+0-523.9-0</f>
        <v>1672.8000000000002</v>
      </c>
      <c r="O334" s="3">
        <f>2756+(656.1-1205.7)+(-1.40556+(-0.334611--0.614907))+0-456--0.232559999999954</f>
        <v>1749.5072960000002</v>
      </c>
      <c r="P334" s="3">
        <f>3161.2+(738.2-1637.5)+(-1.612212+(-0.376482--0.835125))+0-533.5--0.272084999999946</f>
        <v>1727.5185159999994</v>
      </c>
      <c r="Q334" s="3">
        <f>3390.9+(654-1873.8)+(-6.917436+(-1.33416--3.822552))+0-453.6--0.92534399999998</f>
        <v>1713.9963000000005</v>
      </c>
      <c r="R334" s="3">
        <f>3642.4+(691.8-2126.7)+(-5.572872+(-1.058454--3.253851))+0-501.8--0.767754000000029</f>
        <v>1703.0902790000002</v>
      </c>
      <c r="S334" s="3">
        <f>3421+(639.5-1800.2)+(-5.23413+(-0.978435--2.754306))+0-614.6--0.940338000000036</f>
        <v>1643.1820790000004</v>
      </c>
      <c r="T334" s="3">
        <f>3493.5+(423.4-1760.5)+(-7.12674+(-0.863736--3.59142))+0-522.1--1.06508399999998</f>
        <v>1630.9660280000001</v>
      </c>
      <c r="U334" s="3">
        <f>3354.6+(420.3-1559.4)+(-1.710846+(-0.214353--0.795294))+0-610.9--0.311558999999938</f>
        <v>1603.7816540000001</v>
      </c>
      <c r="V334" s="3">
        <f>3388.9+(348.9-1604.1)+(-1.728339+(-0.177939--0.818091))+0-519--0.264689999999947</f>
        <v>1613.8765030000004</v>
      </c>
      <c r="W334" s="3">
        <f>3714.9+(316.6-1726)+(-3.789198+(-0.322932--1.76052))+0-581.6--0.593232000000093</f>
        <v>1722.1416220000001</v>
      </c>
      <c r="X334" s="3">
        <f>4334.7+(331.1-2053.9)+(0+(0-0))+0-585.4-0</f>
        <v>2026.4999999999995</v>
      </c>
      <c r="Y334" s="3">
        <f>4450.1+(370.8-2129.7)+(2.269551+(0.189108-1.086147))+0-600.6-0.306305999999939</f>
        <v>2091.6662060000008</v>
      </c>
      <c r="Z334" s="3">
        <f>4316.2+(427.3-2134.5)+(-4.402524+(-0.435846--2.17719))+0-567.4--0.57874800000009</f>
        <v>2039.517568</v>
      </c>
      <c r="AA334" s="3">
        <f>4210.6+(483.9-2084.1)+(-10.73703+(-1.233945--5.314455))+0-617.8--1.57538999999991</f>
        <v>1987.5188700000006</v>
      </c>
      <c r="AB334" s="3">
        <f>4134.5+(604-2337.4)+(-4.21719+(-0.61608--2.384148))+0-515.6--0.525912000000082</f>
        <v>1883.5767900000001</v>
      </c>
      <c r="AC334" s="3">
        <f>3760+(491.3-2029.7)+(-7.6704+(-1.002252--4.140588))+0-449--0.91595999999998</f>
        <v>1768.983896</v>
      </c>
      <c r="AD334">
        <v>2038.6999999999996</v>
      </c>
      <c r="AE334" s="3">
        <f>4437+(342.4-2135)+(0+(0-0))+0-605.7-0</f>
        <v>2038.7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3127.9+(437.8-1441)+(-7.976145+(-1.11639--3.67455))+0-503.8--1.28468999999993</f>
        <v>1616.7667049999998</v>
      </c>
      <c r="G335" s="3">
        <f>2391.1+(500.2-822.4)+(-6.097305+(-1.27551--2.09712))+0-530.2--1.35200999999992</f>
        <v>1534.7763150000001</v>
      </c>
      <c r="H335" s="3">
        <f>2263.2+(552.2-766.6)+(-4.616928+(-1.126488--1.563864))+0-574.9--1.17279599999997</f>
        <v>1470.8932439999996</v>
      </c>
      <c r="I335" s="3">
        <f>2157.8+(525.1-707.2)+(-4.401912+(-1.071204--1.442688))+0-516.3--1.05325199999998</f>
        <v>1456.4228240000002</v>
      </c>
      <c r="J335" s="3">
        <f>2264.4+(555.2-757.9)+(1.154844+(0.283152-0.386529))+0-615.6-0.313955999999938</f>
        <v>1446.8375110000002</v>
      </c>
      <c r="K335" s="3">
        <f>2176.8+(632.8-778.7)+(4.440672+(1.290912-1.588548))+0-560.9-1.14423599999998</f>
        <v>1472.9987999999998</v>
      </c>
      <c r="L335" s="3">
        <f>2296.8+(696.5-800.2)+(-5.85684+(-1.776075--2.04051))+0-573.3--1.46191499999992</f>
        <v>1615.6695100000004</v>
      </c>
      <c r="M335" s="3">
        <f>2942.8+(736.9-1420.4)+(3.001656+(0.751638-1.448808))+0-596.7-0.608634000000095</f>
        <v>1664.295852</v>
      </c>
      <c r="N335" s="3">
        <f>3172.3+(866-1855.2)+(0+(0-0))+0-498.7-0</f>
        <v>1684.4000000000003</v>
      </c>
      <c r="O335" s="3">
        <f>3633.9+(855.1-2221.7)+(-1.853289+(-0.436101--1.133067))+0-481.8--0.245717999999951</f>
        <v>1784.589395</v>
      </c>
      <c r="P335" s="3">
        <f>3704.3+(797.6-2346)+(-9.445965+(-2.03388--5.9823))+0-412.4--1.05161999999994</f>
        <v>1739.0540749999998</v>
      </c>
      <c r="Q335" s="3">
        <f>3802.2+(791.8-2458.7)+(3.878244+(0.807636-2.507874))+0-420.5-0.428910000000067</f>
        <v>1716.5490960000002</v>
      </c>
      <c r="R335" s="3">
        <f>3687.2+(626.6-2116.9)+(-9.40236+(-1.59783--5.398095))+0-490.8--1.25153999999993</f>
        <v>1701.7494449999995</v>
      </c>
      <c r="S335" s="3">
        <f>3608.5+(590.7-1996.7)+(-9.201675+(-1.506285--5.091585))+0-514.2--1.31120999999993</f>
        <v>1683.9948349999997</v>
      </c>
      <c r="T335" s="3">
        <f>3669.2+(587-2135)+(-1.871292+(-0.29937--1.08885))+0-478.5--0.244034999999951</f>
        <v>1641.8622229999999</v>
      </c>
      <c r="U335" s="3">
        <f>3869+(632-2240.3)+(0+(0-0))+0-588.4-0</f>
        <v>1672.2999999999997</v>
      </c>
      <c r="V335" s="3">
        <f>3676.5+(615.3-2097.3)+(-3.75003+(-0.627606--2.139246))+0-480.1--0.489702000000077</f>
        <v>1712.6513120000002</v>
      </c>
      <c r="W335" s="3">
        <f>3464+(560.3-1899.6)+(1.76664+(0.285753-0.968796))+0-307.2-0.156671999999969</f>
        <v>1818.4269249999995</v>
      </c>
      <c r="X335" s="3">
        <f>4159.6+(440.7-2134.3)+(-2.121396+(-0.224757--1.088493))+0-366.3--0.186812999999963</f>
        <v>2098.6291529999994</v>
      </c>
      <c r="Y335" s="3">
        <f>4130.4+(467.7-2117.9)+(-2.106504+(-0.238527--1.080129))+0-356.9--0.182018999999964</f>
        <v>2122.2171169999997</v>
      </c>
      <c r="Z335" s="3">
        <f>4499.6+(495.6-2558.3)+(-9.179184+(-1.011024--5.218932))+0-370.9--0.756635999999984</f>
        <v>2061.7853599999999</v>
      </c>
      <c r="AA335" s="3">
        <f>4357.3+(538.7-2352.6)+(2.222223+(0.274737-1.199826))+0-557.3-0.284222999999943</f>
        <v>1987.1129110000006</v>
      </c>
      <c r="AB335" s="3">
        <f>4108.6+(484.4-2109.1)+(-8.381544+(-0.988176--4.302564))+0-576.9--1.17687599999997</f>
        <v>1903.1097200000004</v>
      </c>
      <c r="AC335" s="3">
        <f>3429.3+(456.6-1633)+(-8.744715+(-1.16433--4.16415))+0-441.6--1.12607999999994</f>
        <v>1806.6811850000004</v>
      </c>
      <c r="AD335">
        <v>2352.1</v>
      </c>
      <c r="AE335" s="3">
        <f>4403+(392-2092.9)+(0+(0-0))+0-350-0</f>
        <v>2352.1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2394.9+(658.7-786.8)+(-3.664197+(-1.007811--1.203804))+0-577.8--0.884034000000033</f>
        <v>1686.4158300000004</v>
      </c>
      <c r="G336" s="3">
        <f>2178.3+(611.6-778.3)+(-4.443732+(-1.247664--1.587732))+0-431.2--0.879647999999981</f>
        <v>1577.1759840000004</v>
      </c>
      <c r="H336" s="3">
        <f>2481.4+(519.7-933.5)+(2.531028+(0.530094-0.95217))+0-540.4-0.551208000000086</f>
        <v>1528.7577440000002</v>
      </c>
      <c r="I336" s="3">
        <f>2246.6+(460.8-842.1)+(-3.437298+(-0.705024--1.288413))+0-367.2--0.561816000000021</f>
        <v>1495.8079069999999</v>
      </c>
      <c r="J336" s="3">
        <f>2404.6+(360.1-1028)+(-1.226346+(-0.183651--0.52428))+0-239.8--0.122297999999976</f>
        <v>1496.1365809999998</v>
      </c>
      <c r="K336" s="3">
        <f>2345.7+(369-943.1)+(2.392614+(0.37638-0.961962))+0-240.7-0.245514000000038</f>
        <v>1532.4615179999998</v>
      </c>
      <c r="L336" s="3">
        <f>2324.8+(421-869.8)+(1.185648+(0.21471-0.443598))+0-213.2-0.108731999999978</f>
        <v>1663.6480280000003</v>
      </c>
      <c r="M336" s="3">
        <f>2258.9+(516.1-833.3)+(1.152039+(0.263211-0.424983))+0-185.4-0.0945539999999812</f>
        <v>1757.1957130000001</v>
      </c>
      <c r="N336" s="3">
        <f>2517.9+(525.7-1113.1)+(-1.284129+(-0.268107--0.567681))+0-143.4--0.0731339999999855</f>
        <v>1786.1885790000001</v>
      </c>
      <c r="O336" s="3">
        <f>2912.9+(598.6-1506.4)+(-1.485579+(-0.305286--0.768264))+0-143.8--0.0733379999999854</f>
        <v>1860.350737</v>
      </c>
      <c r="P336" s="3">
        <f>3197.8+(696.5-1830.4)+(1.630878+(0.355215-0.933504))+0-143.3-0.0730829999999855</f>
        <v>1921.579506</v>
      </c>
      <c r="Q336" s="3">
        <f>3589.4+(639.2-2173.2)+(-3.661188+(-0.651984--2.216664))+0-129.8--0.132396000000021</f>
        <v>1923.6358880000005</v>
      </c>
      <c r="R336" s="3">
        <f>3806.9+(550.7-2271.9)+(-7.766076+(-1.123428--4.634676))+0-137.8--0.281111999999994</f>
        <v>1943.9262839999997</v>
      </c>
      <c r="S336" s="3">
        <f>3721.9+(556.8-2244.6)+(-5.694507+(-0.851904--3.434238))+0-130.8--0.200124000000008</f>
        <v>1900.3879510000002</v>
      </c>
      <c r="T336" s="3">
        <f>3857.3+(543.5-2319.8)+(1.967223+(0.277185-1.183098))+0-131.7-0.0671669999999866</f>
        <v>1950.2941430000001</v>
      </c>
      <c r="U336" s="3">
        <f>3696.5+(537.1-2294.9)+(-7.54086+(-1.095684--4.681596))+0-132.6--0.270503999999994</f>
        <v>1802.4155559999999</v>
      </c>
      <c r="V336" s="3">
        <f>3635.8+(513.5-2198.9)+(0+(0-0))+0-126.2-0</f>
        <v>1824.2</v>
      </c>
      <c r="W336" s="3">
        <f>3869.5+(448.3-2285.2)+(-1.973445+(-0.228633--1.165452))+0-129.1--0.0658409999999869</f>
        <v>1902.5292150000002</v>
      </c>
      <c r="X336" s="3">
        <f>4704.7+(333.1-2650.7)+(-2.399397+(-0.169881--1.351857))+0-124.6--0.0635459999999874</f>
        <v>2261.346125</v>
      </c>
      <c r="Y336" s="3">
        <f>4874.7+(378.1-2705.5)+(-7.458291+(-0.578493--4.139415))+0-142.1--0.217413000000008</f>
        <v>2401.5200439999999</v>
      </c>
      <c r="Z336" s="3">
        <f>4799.8+(430.2-2742.2)+(-12.23949+(-1.09701--6.99261))+0-146.7--0.374084999999979</f>
        <v>2335.1301950000002</v>
      </c>
      <c r="AA336" s="3">
        <f>4664.1+(486.3-2757.2)+(2.378691+(0.248013-1.406172))+0-156-0.0795599999999842</f>
        <v>2238.3409720000004</v>
      </c>
      <c r="AB336" s="3">
        <f>4489+(693.1-2859.2)+(-9.15756+(-1.413924--5.832768))+0-150.9--0.307835999999993</f>
        <v>2167.5691200000001</v>
      </c>
      <c r="AC336" s="3">
        <f>4136.2+(568.2-2512.5)+(-8.437848+(-1.159128--5.1255))+0-151.6--0.309263999999993</f>
        <v>2036.1377879999995</v>
      </c>
      <c r="AD336">
        <v>2396.2999999999997</v>
      </c>
      <c r="AE336" s="3">
        <f>4904+(336.9-2698.9)+(0+(0-0))+0-145.7-0</f>
        <v>2396.3000000000002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3065+(372.2-1469.7)+(-6.2526+(-0.759288--2.998188))+0-145.9--0.297635999999994</f>
        <v>1817.8839359999999</v>
      </c>
      <c r="G337" s="3">
        <f>2281.6+(506.9-862.3)+(-3.490848+(-0.775557--1.319319))+0-154.3--0.236079000000009</f>
        <v>1769.188993</v>
      </c>
      <c r="H337" s="3">
        <f>2215.3+(469.6-820.5)+(-2.259606+(-0.478992--0.83691))+0-152.3--0.155346000000024</f>
        <v>1710.3536580000002</v>
      </c>
      <c r="I337" s="3">
        <f>2209.7+(389.2-761)+(-2.253894+(-0.396984--0.77622))+0-147--0.149940000000023</f>
        <v>1689.1752819999999</v>
      </c>
      <c r="J337" s="3">
        <f>2274.2+(349.7-802.5)+(2.319684+(0.356694-0.81855))+0-154-0.157080000000025</f>
        <v>1669.1007479999998</v>
      </c>
      <c r="K337" s="3">
        <f>2226.1+(419.2-802.8)+(3.405933+(0.641376-1.228284))+0-156.1-0.238833000000009</f>
        <v>1688.980192</v>
      </c>
      <c r="L337" s="3">
        <f>2389.1+(539.3-937.6)+(2.436882+(0.550086-0.956352))+0-159.3-0.162486000000025</f>
        <v>1833.3681299999998</v>
      </c>
      <c r="M337" s="3">
        <f>2440.4+(469.8-867.6)+(-1.244604+(-0.239598--0.442476))+0-154.9--0.0789989999999843</f>
        <v>1886.7372730000002</v>
      </c>
      <c r="N337" s="3">
        <f>2853.8+(315.9-1096.7)+(4.366314+(0.483327-1.677951))+0-128.5-0.196605000000007</f>
        <v>1947.475085</v>
      </c>
      <c r="O337" s="3">
        <f>3685.5+(325-2072.8)+(3.75921+(0.3315-2.114256))+0-163-0.166260000000026</f>
        <v>1776.510194</v>
      </c>
      <c r="P337" s="3">
        <f>4236.1+(303.5-2442.9)+(4.320822+(0.30957-2.491758))+0-172.5-0.175950000000028</f>
        <v>1926.1626840000001</v>
      </c>
      <c r="Q337" s="3">
        <f>4179.7+(452.1-2504.5)+(-2.131647+(-0.230571--1.277295))+0-129.5--0.0660449999999869</f>
        <v>1996.7811219999999</v>
      </c>
      <c r="R337" s="3">
        <f>3828.7+(393-2072.9)+(-5.857911+(-0.60129--3.171537))+0-159--0.243270000000009</f>
        <v>1986.7556059999997</v>
      </c>
      <c r="S337" s="3">
        <f>3695.4+(464.3-2108.4)+(1.884654+(0.236793-1.075284))+0-154.1-0.0785909999999844</f>
        <v>1898.1675720000003</v>
      </c>
      <c r="T337" s="3">
        <f>3790.7+(440.4-2255.3)+(-1.933257+(-0.224604--1.150203))+0-164.9--0.0840989999999833</f>
        <v>1809.9764409999996</v>
      </c>
      <c r="U337" s="3">
        <f>3774.2+(315.2-2105.4)+(-7.699368+(-0.643008--4.295016))+0-169.7--0.346187999999993</f>
        <v>1810.5988279999997</v>
      </c>
      <c r="V337" s="3">
        <f>3793.8+(250.3-1999.1)+(1.934838+(0.127653-1.019541))+0-171.7-0.0875669999999826</f>
        <v>1874.2553830000002</v>
      </c>
      <c r="W337" s="3">
        <f>4029.8+(243.6-2069.5)+(0+(0-0))+0-181.3-0</f>
        <v>2022.6000000000001</v>
      </c>
      <c r="X337" s="3">
        <f>5164.9+(437-3126.3)+(-5.268198+(-0.44574--3.188826))+0-190.8--0.19461600000003</f>
        <v>2282.4695039999997</v>
      </c>
      <c r="Y337" s="3">
        <f>4952+(615.7-2960.1)+(-17.67864+(-2.198049--10.567557))+0-232.4--0.829668000000003</f>
        <v>2366.7205360000003</v>
      </c>
      <c r="Z337" s="3">
        <f>4824.7+(566.8-2746)+(-9.842388+(-1.156272--5.60184))+0-309.9--0.632195999999986</f>
        <v>2330.835376</v>
      </c>
      <c r="AA337" s="3">
        <f>4573.3+(565.1-2583.6)+(-13.994298+(-1.729206--7.905816))+0-356.6--1.09119600000004</f>
        <v>2191.473508</v>
      </c>
      <c r="AB337" s="3">
        <f>4453+(654.9-2652.1)+(-4.54206+(-0.667998--2.705142))+0-319.9--0.326298000000051</f>
        <v>2133.7213820000002</v>
      </c>
      <c r="AC337" s="3">
        <f>4294.8+(667.7-2640.5)+(-8.761392+(-1.362108--5.38662))+0-307.6--0.627503999999987</f>
        <v>2010.2906240000002</v>
      </c>
      <c r="AD337">
        <v>2144.4000000000005</v>
      </c>
      <c r="AE337" s="3">
        <f>5031+(531.3-3203.2)+(0+(0-0))+0-214.7-0</f>
        <v>2144.4000000000005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3869.1+(316.6-1883.3)+(-5.919723+(-0.484398--2.881449))+0-366.5--0.560745000000021</f>
        <v>1932.938073</v>
      </c>
      <c r="G338" s="3">
        <f>2707.6+(415.1-971.9)+(-1.380876+(-0.211701--0.495669))+0-439--0.223889999999955</f>
        <v>1710.9269820000002</v>
      </c>
      <c r="H338" s="3">
        <f>2200+(547.6-765.9)+(-5.61+(-1.39638--1.953045))+0-310.2--0.791009999999955</f>
        <v>1667.2376749999999</v>
      </c>
      <c r="I338" s="3">
        <f>2349.5+(484.9-732.7)+(-2.39649+(-0.494598--0.747354))+0-468.1--0.477462000000075</f>
        <v>1631.9337279999997</v>
      </c>
      <c r="J338" s="3">
        <f>2370.9+(414.5-789)+(-4.836636+(-0.84558--1.60956))+0-367.5--0.749699999999984</f>
        <v>1625.5770440000001</v>
      </c>
      <c r="K338" s="3">
        <f>2471.5+(393.4-841.5)+(0+(0-0))+0-353.6-0</f>
        <v>1669.8000000000002</v>
      </c>
      <c r="L338" s="3">
        <f>2361+(662.4-798.1)+(-4.81644+(-1.351296--1.628124))+0-416--0.848639999999982</f>
        <v>1805.6090280000001</v>
      </c>
      <c r="M338" s="3">
        <f>2557.5+(585-874.5)+(-1.304325+(-0.29835--0.445995))+0-359.9--0.183548999999963</f>
        <v>1907.1268689999997</v>
      </c>
      <c r="N338" s="3">
        <f>2717.4+(535.8-1022.4)+(5.543496+(1.093032-2.085696))+0-298.7-0.609347999999987</f>
        <v>1936.0414840000001</v>
      </c>
      <c r="O338" s="3">
        <f>3436.6+(532.2-1564.3)+(1.752666+(0.271422-0.797793))+0-464.5-0.236894999999953</f>
        <v>1940.9893999999999</v>
      </c>
      <c r="P338" s="3">
        <f>3800.3+(494.5-1910.3)+(0+(0-0))+0-401.1-0</f>
        <v>1983.4</v>
      </c>
      <c r="Q338" s="3">
        <f>3912.1+(406.2-2099.1)+(-7.980684+(-0.828648--4.282164))+0-306--0.624239999999987</f>
        <v>1909.2970719999998</v>
      </c>
      <c r="R338" s="3">
        <f>3854+(396-1778.5)+(-9.8277+(-1.0098--4.535175))+0-518.5--1.32217499999992</f>
        <v>1948.0198499999999</v>
      </c>
      <c r="S338" s="3">
        <f>3754.5+(380.8-1793.5)+(-5.744385+(-0.582624--2.744055))+0-446--0.682380000000026</f>
        <v>1892.8994260000002</v>
      </c>
      <c r="T338" s="3">
        <f>3676.6+(385.6-1858)+(-5.625198+(-0.589968--2.84274))+0-388.7--0.594711000000022</f>
        <v>1812.7222849999998</v>
      </c>
      <c r="U338" s="3">
        <f>3599.6+(400-1801.1)+(-5.507388+(-0.612--2.755683))+0-396.8--0.607104000000023</f>
        <v>1798.9433989999998</v>
      </c>
      <c r="V338" s="3">
        <f>3653.8+(379.2-1755.2)+(3.726876+(0.386784-1.790304))+0-462.5-0.471750000000074</f>
        <v>1817.1516059999999</v>
      </c>
      <c r="W338" s="3">
        <f>3774+(434.5-1959.6)+(1.92474+(0.221595-0.999396))+0-330.9-0.168758999999966</f>
        <v>1918.9781800000003</v>
      </c>
      <c r="X338" s="3">
        <f>5297.3+(513.9-3272.2)+(0+(0-0))+0-317.8-0</f>
        <v>2221.2000000000003</v>
      </c>
      <c r="Y338" s="3">
        <f>5379+(576.8-3320.7)+(-13.71645+(-1.47084--8.467785))+0-335.6--0.855779999999951</f>
        <v>2293.6362750000003</v>
      </c>
      <c r="Z338" s="3">
        <f>5274.2+(528.6-3217)+(0+(0-0))+0-337.3-0</f>
        <v>2248.4999999999995</v>
      </c>
      <c r="AA338" s="3">
        <f>4892.3+(534.1-2747.7)+(-7.485219+(-0.817173--4.203981))+0-505--0.772650000000029</f>
        <v>2170.3742390000002</v>
      </c>
      <c r="AB338" s="3">
        <f>4004+(695.3-2158.8)+(-6.12612+(-1.063809--3.302964))+0-455.7--0.697221000000026</f>
        <v>2081.6102559999999</v>
      </c>
      <c r="AC338" s="3">
        <f>3805.5+(676.6-2019.4)+(-3.88161+(-0.690132--2.059788))+0-506.2--0.516324000000081</f>
        <v>1954.5043699999999</v>
      </c>
      <c r="AD338">
        <v>2158.3000000000002</v>
      </c>
      <c r="AE338" s="3">
        <f>5616+(502.1-3618.5)+(0+(0-0))+0-341.3-0</f>
        <v>2158.2999999999997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2788.4+(508.9-1008.2)+(-4.266252+(-0.778617--1.542546))+0-492.7--0.753831000000028</f>
        <v>1793.6515079999997</v>
      </c>
      <c r="G339" s="3">
        <f>2476.2+(591.4-859.9)+(0+(0-0))+0-470.3-0</f>
        <v>1737.3999999999999</v>
      </c>
      <c r="H339" s="3">
        <f>2465.9+(565.3-842.2)+(-3.772827+(-0.864909--1.288566))+0-529.4--0.809982000000031</f>
        <v>1657.0608119999999</v>
      </c>
      <c r="I339" s="3">
        <f>2437.4+(561-843.7)+(1.243074+(0.28611-0.430287))+0-476.3-0.242912999999952</f>
        <v>1679.2559839999997</v>
      </c>
      <c r="J339" s="3">
        <f>2459.8+(614.8-908)+(-1.254498+(-0.313548--0.46308))+0-500.1--0.255050999999949</f>
        <v>1665.6500850000004</v>
      </c>
      <c r="K339" s="3">
        <f>2439.5+(606.1-887.2)+(3.732435+(0.927333-1.357416))+0-455.3-0.696609000000026</f>
        <v>1705.7057430000002</v>
      </c>
      <c r="L339" s="3">
        <f>2502.1+(675.2-777.1)+(-1.276071+(-0.344352--0.396321))+0-581.2--0.296411999999941</f>
        <v>1818.0723099999996</v>
      </c>
      <c r="M339" s="3">
        <f>2526.6+(614.6-831.8)+(1.288566+(0.313446-0.424218))+0-462.7-0.235976999999953</f>
        <v>1847.6418170000002</v>
      </c>
      <c r="N339" s="3">
        <f>2690.6+(478.2-918.2)+(-1.372206+(-0.243882--0.468282))+0-392.7--0.20027699999996</f>
        <v>1856.9524709999998</v>
      </c>
      <c r="O339" s="3">
        <f>3053.9+(489.4-1168.9)+(-1.557489+(-0.249594--0.596139))+0-458.1--0.233630999999954</f>
        <v>1915.3226870000003</v>
      </c>
      <c r="P339" s="3">
        <f>3387.9+(523.3-1471.5)+(0+(0-0))+0-576.3-0</f>
        <v>1863.3999999999999</v>
      </c>
      <c r="Q339" s="3">
        <f>3725.6+(504.9-1757.2)+(-3.800112+(-0.514998--1.792344))+0-434--0.442680000000069</f>
        <v>2037.2199139999998</v>
      </c>
      <c r="R339" s="3">
        <f>4052.4+(488.8-2145.8)+(-8.266896+(-0.997152--4.377432))+0-488.8--0.997151999999979</f>
        <v>1902.7105359999998</v>
      </c>
      <c r="S339" s="3">
        <f>4199.6+(405.8-2220.5)+(-6.425388+(-0.620874--3.397365))+0-526.9--0.80615700000003</f>
        <v>1855.1572600000004</v>
      </c>
      <c r="T339" s="3">
        <f>4221.2+(411.8-2352.4)+(-8.611248+(-0.840072--4.798896))+0-473.9--0.966755999999979</f>
        <v>1803.0143319999995</v>
      </c>
      <c r="U339" s="3">
        <f>4275.9+(351.9-2316.1)+(-6.542127+(-0.538407--3.543633))+0-541.2--0.828036000000031</f>
        <v>1767.7911349999999</v>
      </c>
      <c r="V339" s="3">
        <f>4179.1+(312.8-2123.6)+(-4.262682+(-0.319056--2.166072))+0-576.8--0.588336000000092</f>
        <v>1789.6726700000004</v>
      </c>
      <c r="W339" s="3">
        <f>3996.8+(334.7-2104.6)+(-4.076736+(-0.341394--2.146692))+0-356.4--0.363528000000057</f>
        <v>1868.5920900000003</v>
      </c>
      <c r="X339" s="3">
        <f>4882.1+(554.3-2893.7)+(-7.469613+(-0.848079--4.427361))+0-354.5--0.54238500000002</f>
        <v>2184.8520540000009</v>
      </c>
      <c r="Y339" s="3">
        <f>4971+(573.3-2911.6)+(-5.07042+(-0.584766--2.969832))+0-366.7--0.374034000000058</f>
        <v>2263.6886799999997</v>
      </c>
      <c r="Z339" s="3">
        <f>4932.3+(579.3-2923.4)+(-15.092838+(-1.772658--8.945604))+0-356.8--1.09180800000004</f>
        <v>2224.5719159999999</v>
      </c>
      <c r="AA339" s="3">
        <f>4821+(650.2-2699.3)+(-4.91742+(-0.663204--2.753286))+0-612.1--0.624342000000098</f>
        <v>2157.5970039999997</v>
      </c>
      <c r="AB339" s="3">
        <f>4185.6+(678.3-2346.5)+(-10.67328+(-1.729665--5.983575))+0-453.3--1.15591499999993</f>
        <v>2058.8365450000001</v>
      </c>
      <c r="AC339" s="3">
        <f>3874.6+(602.9-1895.4)+(-7.904184+(-1.229916--3.866616))+0-595.1--1.21400399999997</f>
        <v>1982.94652</v>
      </c>
      <c r="AD339">
        <v>2270.1999999999998</v>
      </c>
      <c r="AE339" s="3">
        <f>4960+(628.2-2942.5)+(0+(0-0))+0-375.5-0</f>
        <v>2270.1999999999998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3171.6+(629.1-1496.2)+(-3.235032+(-0.641682--1.526124))+0-551.4--0.562428000000088</f>
        <v>1751.3118380000001</v>
      </c>
      <c r="G340" s="3">
        <f>2617.9+(559-874.5)+(0+(0-0))+0-607.6-0</f>
        <v>1694.8000000000002</v>
      </c>
      <c r="H340" s="3">
        <f>2453.3+(546.6-757.8)+(-1.251183+(-0.278766--0.386478))+0-562.5--0.286874999999943</f>
        <v>1678.7434040000005</v>
      </c>
      <c r="I340" s="3">
        <f>2716.3+(465.5-946.2)+(5.541252+(0.94962-1.930248))+0-583.5-1.19033999999997</f>
        <v>1655.4702840000007</v>
      </c>
      <c r="J340" s="3">
        <f>2588.9+(481.3-896.7)+(3.961017+(0.736389-1.371951))+0-528.7-0.808911000000031</f>
        <v>1647.316544</v>
      </c>
      <c r="K340" s="3">
        <f>2736.3+(480.3-927.3)+(6.977565+(1.224765-2.364615))+0-616.4-1.57181999999991</f>
        <v>1677.1658950000003</v>
      </c>
      <c r="L340" s="3">
        <f>2415.7+(632.1-733.8)+(-1.232007+(-0.322371--0.374238))+0-527.4--0.268973999999946</f>
        <v>1785.6888339999998</v>
      </c>
      <c r="M340" s="3">
        <f>2548.3+(541.7-731.2)+(0+(0-0))+0-562.8-0</f>
        <v>1796.0000000000002</v>
      </c>
      <c r="N340" s="3">
        <f>3459.5+(304.3-1409.4)+(7.05738+(0.620772-2.875176))+0-503.3-1.02673199999998</f>
        <v>1854.8762439999996</v>
      </c>
      <c r="O340" s="3">
        <f>4363+(421.4-2323.4)+(4.45026+(0.429828-2.369868))+0-574.3-0.585786000000092</f>
        <v>1888.6244340000001</v>
      </c>
      <c r="P340" s="3">
        <f>4395.5+(499.5-2468.3)+(0+(0-0))+0-520.9-0</f>
        <v>1905.7999999999997</v>
      </c>
      <c r="Q340" s="3">
        <f>4408.3+(542.6-2520.8)+(6.744699+(0.830178-3.856824))+0-526-0.80478000000003</f>
        <v>1907.013273</v>
      </c>
      <c r="R340" s="3">
        <f>4022.8+(670-2138)+(-12.309768+(-2.0502--6.54228))+0-619.4--1.89536400000007</f>
        <v>1929.477676</v>
      </c>
      <c r="S340" s="3">
        <f>3328.6+(593.7-1503.5)+(-10.185516+(-1.816722--4.60071))+0-549.4--1.68116400000006</f>
        <v>1863.6796360000003</v>
      </c>
      <c r="T340" s="3">
        <f>2976.2+(403.8-974.1)+(-3.035724+(-0.411876--0.993582))+0-585.3--0.597006000000093</f>
        <v>1818.742988</v>
      </c>
      <c r="U340" s="3">
        <f>2879.4+(405-950.8)+(-7.34247+(-1.03275--2.42454))+0-542.9--1.38439499999992</f>
        <v>1786.1337150000002</v>
      </c>
      <c r="V340" s="3">
        <f>3203.1+(276.5-1122.7)+(-3.267162+(-0.28203--1.145154))+0-544.8--0.555696000000087</f>
        <v>1810.2516579999997</v>
      </c>
      <c r="W340" s="3">
        <f>3013.5+(300.5-1049.8)+(0+(0-0))+0-345.8-0</f>
        <v>1918.3999999999999</v>
      </c>
      <c r="X340" s="3">
        <f>4275.5+(339.5-2066.8)+(0+(0-0))+0-369.1-0</f>
        <v>2179.1</v>
      </c>
      <c r="Y340" s="3">
        <f>4690.1+(427.6-2551.2)+(-4.783902+(-0.436152--2.602224))+0-357.6--0.364752000000057</f>
        <v>2206.6469220000004</v>
      </c>
      <c r="Z340" s="3">
        <f>4663.9+(520.1-2662.1)+(-9.514356+(-1.061004--5.430684))+0-342.8--0.699311999999985</f>
        <v>2174.6546359999998</v>
      </c>
      <c r="AA340" s="3">
        <f>5192.5+(623.7-3097.8)+(0+(0-0))+0-651.9-0</f>
        <v>2066.4999999999995</v>
      </c>
      <c r="AB340" s="3">
        <f>4428.2+(734.9-2652.8)+(-9.033528+(-1.499196--5.411712))+0-519.8--1.06039199999998</f>
        <v>1986.4393799999998</v>
      </c>
      <c r="AC340" s="3">
        <f>4251.1+(768.8-2552.1)+(-4.336122+(-0.784176--2.603142))+0-588.5--0.600270000000094</f>
        <v>1877.3831140000004</v>
      </c>
      <c r="AD340">
        <v>2215.9999999999995</v>
      </c>
      <c r="AE340" s="3">
        <f>4566+(338.9-2308.4)+(0+(0-0))+0-380.5-0</f>
        <v>2216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3590.3+(650.1-1848.5)+(-3.662106+(-0.663102--1.88547))+0-643.4--0.656268000000103</f>
        <v>1746.7165300000001</v>
      </c>
      <c r="G341" s="3">
        <f>3051+(520.8-1363.4)+(-1.55601+(-0.265608--0.695334))+0-553.9--0.282488999999944</f>
        <v>1653.6562049999995</v>
      </c>
      <c r="H341" s="3">
        <f>2435.5+(625.3-817.9)+(3.726315+(0.956709-1.251387))+0-653.9-1.00046700000004</f>
        <v>1591.4311700000001</v>
      </c>
      <c r="I341" s="3">
        <f>2265+(613-756.8)+(-3.46545+(-0.93789--1.157904))+0-561.6--0.859248000000033</f>
        <v>1557.2138119999997</v>
      </c>
      <c r="J341" s="3">
        <f>2322.1+(585-754.7)+(-1.184271+(-0.29835--0.384897))+0-607.3--0.309722999999938</f>
        <v>1544.3119989999993</v>
      </c>
      <c r="K341" s="3">
        <f>2485+(498.2-851.4)+(0+(0-0))+0-549.3-0</f>
        <v>1582.5000000000002</v>
      </c>
      <c r="L341" s="3">
        <f>2353.3+(585.2-670.4)+(-4.800732+(-1.193808--1.367616))+0-642.5--1.31069999999997</f>
        <v>1622.2837760000002</v>
      </c>
      <c r="M341" s="3">
        <f>2338.5+(569.5-731.4)+(-1.192635+(-0.290445--0.373014))+0-503.5--0.256784999999949</f>
        <v>1672.2467189999998</v>
      </c>
      <c r="N341" s="3">
        <f>2775.9+(427.9-935.3)+(-1.415709+(-0.218229--0.477003))+0-507.5--0.258824999999949</f>
        <v>1760.1018899999999</v>
      </c>
      <c r="O341" s="3">
        <f>3265.4+(321.5-1235.9)+(0+(0-0))+0-546.5-0</f>
        <v>1804.5</v>
      </c>
      <c r="P341" s="3">
        <f>3397.6+(587.8-1643.7)+(1.732776+(0.299778-0.838287))+0-537.4-0.274073999999945</f>
        <v>1805.2201929999997</v>
      </c>
      <c r="Q341" s="3">
        <f>3397.5+(516.8-1573.5)+(-6.9309+(-1.054272--3.20994))+0-544.4--1.11057599999998</f>
        <v>1792.7353440000002</v>
      </c>
      <c r="R341" s="3">
        <f>3306+(403.8-1359.9)+(-5.05818+(-0.617814--2.080647))+0-549.6--0.840888000000032</f>
        <v>1797.5455409999997</v>
      </c>
      <c r="S341" s="3">
        <f>3403.3+(387.6-1499.4)+(-5.207049+(-0.593028--2.294082))+0-529.3--0.809829000000031</f>
        <v>1759.5038340000001</v>
      </c>
      <c r="T341" s="3">
        <f>3301.1+(406.7-1364)+(-5.050683+(-0.622251--2.08692))+0-627--0.959310000000036</f>
        <v>1714.1732960000002</v>
      </c>
      <c r="U341" s="3">
        <f>3297.1+(397.1-1399.4)+(-3.363042+(-0.405042--1.427388))+0-591.9--0.603738000000094</f>
        <v>1701.1630419999995</v>
      </c>
      <c r="V341" s="3">
        <f>3333.4+(240.8-1276.1)+(0+(0-0))+0-586-0</f>
        <v>1712.1000000000004</v>
      </c>
      <c r="W341" s="3">
        <f>3411.2+(148.1-1387.5)+(-3.479424+(-0.151062--1.41525))+0-363.1--0.370362000000058</f>
        <v>1806.8551259999999</v>
      </c>
      <c r="X341" s="3">
        <f>4220.8+(352-2105.3)+(0+(0-0))+0-351.9-0</f>
        <v>2115.6</v>
      </c>
      <c r="Y341" s="3">
        <f>4347.3+(419.3-2208.2)+(0+(0-0))+0-359.4-0</f>
        <v>2199.0000000000005</v>
      </c>
      <c r="Z341" s="3">
        <f>4020.5+(430-1928)+(-2.050455+(-0.2193--0.98328))+0-363.2--0.185231999999963</f>
        <v>2158.1987570000001</v>
      </c>
      <c r="AA341" s="3">
        <f>4008.5+(520-1879.3)+(0+(0-0))+0-562.9-0</f>
        <v>2086.2999999999997</v>
      </c>
      <c r="AB341" s="3">
        <f>3615.6+(605.9-1630.7)+(-9.21978+(-1.545045--4.158285))+0-620.4--1.58201999999991</f>
        <v>1965.3754799999992</v>
      </c>
      <c r="AC341" s="3">
        <f>3264.9+(563.3-1370.7)+(-6.660396+(-1.149132--2.796228))+0-608.3--1.24093199999997</f>
        <v>1845.4276319999999</v>
      </c>
      <c r="AD341">
        <v>2177.7000000000003</v>
      </c>
      <c r="AE341" s="3">
        <f>4415+(410-2289.7)+(0+(0-0))+0-357.6-0</f>
        <v>2177.7000000000003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2713.4+(432.3-877.2)+(0+(0-0))+0-552.3-0</f>
        <v>1716.2</v>
      </c>
      <c r="G342" s="3">
        <f>2363.9+(560.6-602.4)+(1.205589+(0.285906-0.307224))+0-673-0.343229999999932</f>
        <v>1649.9410410000005</v>
      </c>
      <c r="H342" s="3">
        <f>2342.6+(482.2-621)+(0+(0-0))+0-589.5-0</f>
        <v>1614.2999999999997</v>
      </c>
      <c r="I342" s="3">
        <f>2303.5+(514.5-569.8)+(-1.174785+(-0.262395--0.290598))+0-672.1--0.342770999999932</f>
        <v>1575.2961889999999</v>
      </c>
      <c r="J342" s="3">
        <f>2208.4+(473-508.7)+(-1.126284+(-0.24123--0.259437))+0-609.1--0.310640999999938</f>
        <v>1562.8025640000005</v>
      </c>
      <c r="K342" s="3">
        <f>2283.9+(467.4-506.1)+(4.659156+(0.953496-1.032444))+0-638.9-1.30335599999997</f>
        <v>1609.5768519999997</v>
      </c>
      <c r="L342" s="3">
        <f>2517.2+(505.1-554)+(2.567544+(0.515202-0.56508))+0-608-0.620160000000097</f>
        <v>1862.1975059999997</v>
      </c>
      <c r="M342" s="3">
        <f>2604.1+(504-713.8)+(1.328091+(0.25704-0.364038))+0-564.9-0.288098999999943</f>
        <v>1830.3329940000003</v>
      </c>
      <c r="N342" s="3">
        <f>3360.1+(443.8-1326.8)+(0+(0-0))+0-589.1-0</f>
        <v>1888</v>
      </c>
      <c r="O342" s="3">
        <f>4070.5+(473.9-2023.3)+(0+(0-0))+0-549.1-0</f>
        <v>1972</v>
      </c>
      <c r="P342" s="3">
        <f>4528.7+(491.5-2498.8)+(2.309637+(0.250665-1.274388))+0-563.7-0.287486999999943</f>
        <v>1958.6984269999996</v>
      </c>
      <c r="Q342" s="3">
        <f>4608.3+(551.2-2622.5)+(-7.050699+(-0.843336--4.012425))+0-537.2--0.821916000000031</f>
        <v>1996.7403060000001</v>
      </c>
      <c r="R342" s="3">
        <f>4478.4+(421.8-2320.5)+(-6.851952+(-0.645354--3.550365))+0-528.1--0.807993000000031</f>
        <v>2048.4610519999997</v>
      </c>
      <c r="S342" s="3">
        <f>4140+(301.2-1868.5)+(-4.2228+(-0.307224--1.90587))+0-547.9--0.558858000000087</f>
        <v>2022.7347039999997</v>
      </c>
      <c r="T342" s="3">
        <f>3983.8+(367.4-1767.5)+(2.031738+(0.187374-0.901425))+0-624.6-0.318545999999937</f>
        <v>1960.0991410000006</v>
      </c>
      <c r="U342" s="3">
        <f>3762.9+(590.8-1792.9)+(0+(0-0))+0-538.9-0</f>
        <v>2021.9</v>
      </c>
      <c r="V342" s="3">
        <f>3865.8+(627.6-1819.7)+(-1.971558+(-0.320076--0.928047))+0-592.6--0.30222599999994</f>
        <v>2080.0386390000003</v>
      </c>
      <c r="W342" s="3">
        <f>3914+(413.8-1775)+(0+(0-0))+0-383.9-0</f>
        <v>2168.9</v>
      </c>
      <c r="X342" s="3">
        <f>4630.9+(519.1-2471.7)+(0+(0-0))+0-375.6-0</f>
        <v>2302.6999999999998</v>
      </c>
      <c r="Y342" s="3">
        <f>4737.1+(564-2654.6)+(-9.663684+(-1.15056--5.415384))+0-380.2--0.775607999999983</f>
        <v>2261.6767480000008</v>
      </c>
      <c r="Z342" s="3">
        <f>4921.2+(506.6-2845.1)+(2.509812+(0.258366-1.451001))+0-338.5-0.172634999999966</f>
        <v>2245.3445419999998</v>
      </c>
      <c r="AA342" s="3">
        <f>5133.9+(533.7-3048.1)+(-7.854867+(-0.816561--4.663593))+0-541.8--0.828954000000031</f>
        <v>2074.5211190000005</v>
      </c>
      <c r="AB342" s="3">
        <f>4399.9+(427.1-2303.6)+(-15.707643+(-1.524747--8.223852))+0-491.3--1.75394100000001</f>
        <v>2024.8454029999996</v>
      </c>
      <c r="AC342" s="3">
        <f>3433.1+(186.1-1275.7)+(-10.505286+(-0.569466--3.903642))+0-434.1--1.32834600000005</f>
        <v>1903.5572359999999</v>
      </c>
      <c r="AD342">
        <v>2149.1999999999998</v>
      </c>
      <c r="AE342" s="3">
        <f>4666.1+(562.9-2750)+(0+(0-0))+0-329.8-0</f>
        <v>2149.2000000000003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2517+(447.8-631.2)+(0+(0-0))+0-574.8-0</f>
        <v>1758.8</v>
      </c>
      <c r="G343" s="3">
        <f>2464.7+(317.2-624.7)+(-5.027988+(-0.647088--1.274388))+0-456.6--0.93146399999998</f>
        <v>1697.1307759999997</v>
      </c>
      <c r="H343" s="3">
        <f>2663.9+(331.1-747.8)+(1.358589+(0.168861-0.381378))+0-600.8-0.306407999999939</f>
        <v>1647.2396640000004</v>
      </c>
      <c r="I343" s="3">
        <f>2520.4+(383.6-656.1)+(-3.856212+(-0.586908--1.003833))+0-687.5--1.05187500000004</f>
        <v>1558.0125880000001</v>
      </c>
      <c r="J343" s="3">
        <f>2617.3+(325-809)+(4.004469+(0.49725-1.23777))+0-602.8-0.922284000000035</f>
        <v>1532.8416650000004</v>
      </c>
      <c r="K343" s="3">
        <f>2742.2+(326-875.8)+(5.594088+(0.66504-1.786632))+0-649.5-1.32497999999997</f>
        <v>1546.0475159999996</v>
      </c>
      <c r="L343" s="3">
        <f>2740.4+(320.5-831.5)+(0+(0-0))+0-552-0</f>
        <v>1677.4</v>
      </c>
      <c r="M343" s="3">
        <f>2751.6+(450.4-816.8)+(-1.403316+(-0.229704--0.416568))+0-615--0.313649999999938</f>
        <v>1769.2971979999995</v>
      </c>
      <c r="N343" s="3">
        <f>3327.7+(581.2-1510)+(-3.394254+(-0.592824--1.5402))+0-572.8--0.584256000000091</f>
        <v>1824.2373779999996</v>
      </c>
      <c r="O343" s="3">
        <f>3668.1+(505.1-1734.3)+(-3.741462+(-0.515202--1.768986))+0-587.2--0.598944000000094</f>
        <v>1849.8112660000002</v>
      </c>
      <c r="P343" s="3">
        <f>3831.3+(656.4-2007.2)+(-9.769815+(-1.67382--5.11836))+0-519--1.32344999999992</f>
        <v>1956.4981749999997</v>
      </c>
      <c r="Q343" s="3">
        <f>3826.9+(703.2-2125.8)+(0+(0-0))+0-492.8-0</f>
        <v>1911.5000000000002</v>
      </c>
      <c r="R343" s="3">
        <f>3971.9+(479.9-1984.3)+(-2.025669+(-0.244749--1.011993))+0-544.3--0.277592999999945</f>
        <v>1922.2191680000001</v>
      </c>
      <c r="S343" s="3">
        <f>3976.3+(440.3-2021)+(-4.055826+(-0.449106--2.06142))+0-497--0.506940000000079</f>
        <v>1896.6634280000005</v>
      </c>
      <c r="T343" s="3">
        <f>4083.6+(513.9-2308.6)+(0+(0-0))+0-556.1-0</f>
        <v>1732.8000000000002</v>
      </c>
      <c r="U343" s="3">
        <f>3931+(505.3-2160)+(-2.00481+(-0.257703--1.1016))+0-516.6--0.263465999999948</f>
        <v>1758.802553</v>
      </c>
      <c r="V343" s="3">
        <f>3575.2+(481.4-1652.5)+(-5.470056+(-0.736542--2.528325))+0-624.1--0.954873000000036</f>
        <v>1777.2766000000001</v>
      </c>
      <c r="W343" s="3">
        <f>3502.3+(383.9-1658.8)+(-3.572346+(-0.391578--1.691976))+0-338.4--0.345168000000054</f>
        <v>1887.07322</v>
      </c>
      <c r="X343" s="3">
        <f>4099.2+(474-2114.9)+(-6.271776+(-0.72522--3.235797))+0-331.5--0.507195000000019</f>
        <v>2123.5459959999998</v>
      </c>
      <c r="Y343" s="3">
        <f>4288.6+(531.3-2221.4)+(-4.374372+(-0.541926--2.265828))+0-331.6--0.338232000000053</f>
        <v>2264.5877620000001</v>
      </c>
      <c r="Z343" s="3">
        <f>4201.9+(580.6-2204.5)+(0+(0-0))+0-352.5-0</f>
        <v>2225.4999999999995</v>
      </c>
      <c r="AA343" s="3">
        <f>4220.7+(686.2-2126.7)+(-4.305114+(-0.699924--2.169234))+0-615.6--0.627912000000098</f>
        <v>2162.392108</v>
      </c>
      <c r="AB343" s="3">
        <f>4101.8+(677-2057.1)+(-10.45959+(-1.72635--5.245605))+0-628.1--1.60165499999991</f>
        <v>2088.2613200000005</v>
      </c>
      <c r="AC343" s="3">
        <f>3670.8+(613.3-1798.1)+(-3.744216+(-0.625566--1.834062))+0-602.3--0.614346000000096</f>
        <v>1881.7786260000003</v>
      </c>
      <c r="AD343">
        <v>2201.5</v>
      </c>
      <c r="AE343" s="3">
        <f>4501+(499.8-2433.3)+(0+(0-0))+0-366-0</f>
        <v>2201.5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3010.9+(463.9-1171.6)+(-4.606677+(-0.709767--1.792548))+0-654.3--1.00107900000004</f>
        <v>1646.3771830000003</v>
      </c>
      <c r="G344" s="3">
        <f>2431.9+(459.6-725.7)+(-1.240269+(-0.234396--0.370107))+0-624.8--0.318647999999937</f>
        <v>1540.2140900000002</v>
      </c>
      <c r="H344" s="3">
        <f>2359.9+(500-728.9)+(2.407098+(0.51-0.743478))+0-627-0.6395400000001</f>
        <v>1505.5340799999999</v>
      </c>
      <c r="I344" s="3">
        <f>2196.6+(518.6-613)+(0+(0-0))+0-629.1-0</f>
        <v>1473.1</v>
      </c>
      <c r="J344" s="3">
        <f>2193.9+(493.4-602.3)+(-2.237778+(-0.503268--0.614346))+0-602.8--0.614856000000096</f>
        <v>1480.6881560000004</v>
      </c>
      <c r="K344" s="3">
        <f>2267.6+(518.4-646.8)+(-1.156476+(-0.264384--0.329868))+0-637.4--0.325073999999935</f>
        <v>1501.0340819999997</v>
      </c>
      <c r="L344" s="3">
        <f>2132.3+(799.7-598.1)+(-5.437365+(-2.039235--1.525155))+0-595.2--1.51775999999991</f>
        <v>1734.2663149999998</v>
      </c>
      <c r="M344" s="3">
        <f>2364.4+(619.2-620.2)+(2.411688+(0.631584-0.632604))+0-552.3-0.563346000000088</f>
        <v>1812.947322</v>
      </c>
      <c r="N344" s="3">
        <f>2850.7+(471.9-770)+(4.361571+(0.722007-1.1781))+0-638-0.976140000000037</f>
        <v>1917.5293380000001</v>
      </c>
      <c r="O344" s="3">
        <f>3468.8+(526.3-1564)+(-8.84544+(-1.342065--3.9882))+0-526.7--1.34308499999992</f>
        <v>1899.5437800000002</v>
      </c>
      <c r="P344" s="3">
        <f>3794.3+(477.2-1904.1)+(3.870186+(0.486744-1.942182))+0-524.1-0.534582000000084</f>
        <v>1845.1801660000008</v>
      </c>
      <c r="Q344" s="3">
        <f>4042.5+(508-2102.9)+(-4.12335+(-0.51816--2.144958))+0-616.3--0.628626000000098</f>
        <v>1829.4320740000001</v>
      </c>
      <c r="R344" s="3">
        <f>3589.4+(626.3-1784.6)+(-1.830594+(-0.319413--0.910146))+0-651.9--0.332468999999934</f>
        <v>1778.2926080000002</v>
      </c>
      <c r="S344" s="3">
        <f>3582.4+(614.2-1854.9)+(-3.654048+(-0.626484--1.891998))+0-584.9--0.596598000000093</f>
        <v>1755.0080639999996</v>
      </c>
      <c r="T344" s="3">
        <f>3563.1+(613.2-1806.4)+(-1.817181+(-0.312732--0.921264))+0-664.1--0.338690999999933</f>
        <v>1704.9300419999995</v>
      </c>
      <c r="U344" s="3">
        <f>3535.6+(543.1-1845)+(-7.212624+(-1.107924--3.7638))+0-551.8--1.12567199999998</f>
        <v>1678.4689239999998</v>
      </c>
      <c r="V344" s="3">
        <f>3468.8+(580.2-1778.5)+(-1.769088+(-0.295902--0.907035))+0-562.1--0.286670999999943</f>
        <v>1707.5287159999998</v>
      </c>
      <c r="W344" s="3">
        <f>3131+(554-1541.7)+(-6.38724+(-1.13016--3.145068))+0-367.9--0.750515999999984</f>
        <v>1771.7781840000002</v>
      </c>
      <c r="X344" s="3">
        <f>3767+(587.2-1924.7)+(-1.92117+(-0.299472--0.981597))+0-368.4--0.187883999999963</f>
        <v>2060.048839</v>
      </c>
      <c r="Y344" s="3">
        <f>4104.7+(630-2181.6)+(-10.466985+(-1.6065--5.56308))+0-364.4--0.929219999999947</f>
        <v>2183.1188149999998</v>
      </c>
      <c r="Z344" s="3">
        <f>3930.6+(531.2-1956.7)+(-6.013818+(-0.812736--2.993751))+0-358.2--0.548046000000021</f>
        <v>2143.6152430000002</v>
      </c>
      <c r="AA344" s="3">
        <f>4070.6+(586-1983.7)+(-2.076006+(-0.29886--1.011687))+0-593--0.30242999999994</f>
        <v>2078.8392509999994</v>
      </c>
      <c r="AB344" s="3">
        <f>3609.7+(627.8-1712.2)+(-1.840947+(-0.320178--0.873222))+0-531.2--0.270911999999946</f>
        <v>1993.0830089999997</v>
      </c>
      <c r="AC344" s="3">
        <f>2628.8+(595.8-752.5)+(0+(0-0))+0-602.6-0</f>
        <v>1869.5000000000005</v>
      </c>
      <c r="AD344">
        <v>2332.8000000000002</v>
      </c>
      <c r="AE344" s="3">
        <f>4164+(729.6-2201.3)+(0+(0-0))+0-359.5-0</f>
        <v>2332.7999999999997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2188.6+(765.9-555.4)+(-5.58093+(-1.953045--1.41627))+0-599--1.52744999999991</f>
        <v>1795.5097449999996</v>
      </c>
      <c r="G345" s="3">
        <f>2066.1+(769.5-505.3)+(-3.161133+(-1.177335--0.773109))+0-637.5--0.975375000000037</f>
        <v>1690.2100159999995</v>
      </c>
      <c r="H345" s="3">
        <f>1942.1+(750.8-484.6)+(-1.980942+(-0.765816--0.494292))+0-574.8--0.586296000000092</f>
        <v>1631.83383</v>
      </c>
      <c r="I345" s="3">
        <f>1940.3+(816.1-477.8)+(-2.968659+(-1.248633--0.731034))+0-684.1--1.04667300000004</f>
        <v>1592.0604150000001</v>
      </c>
      <c r="J345" s="3">
        <f>1982.1+(687-499.3)+(2.021742+(0.70074-0.509286))+0-570.8-0.582216000000091</f>
        <v>1600.6309799999999</v>
      </c>
      <c r="K345" s="3">
        <f>2243.6+(657.3-615.3)+(1.144236+(0.335223-0.313803))+0-652.2-0.332621999999934</f>
        <v>1634.2330340000001</v>
      </c>
      <c r="L345" s="3">
        <f>2093.9+(849.7-568.7)+(1.067889+(0.433347-0.290037))+0-609.5-0.310844999999938</f>
        <v>1766.300354</v>
      </c>
      <c r="M345" s="3">
        <f>2288.6+(832.7-627.9)+(1.167186+(0.424677-0.320229))+0-653.6-0.333335999999934</f>
        <v>1840.7382980000004</v>
      </c>
      <c r="N345" s="3">
        <f>2920.1+(644.2-1080.4)+(2.978502+(0.657084-1.102008))+0-549.2-0.560184000000088</f>
        <v>1936.6733939999995</v>
      </c>
      <c r="O345" s="3">
        <f>3526.1+(773.4-1834.4)+(3.596622+(0.788868-1.871088))+0-613.1-0.625362000000098</f>
        <v>1853.8890399999998</v>
      </c>
      <c r="P345" s="3">
        <f>4016+(505-2034.8)+(-6.14448+(-0.77265--3.113244))+0-613.3--0.938349000000035</f>
        <v>1870.0344629999997</v>
      </c>
      <c r="Q345" s="3">
        <f>4299.4+(445.5-2342.8)+(-4.385388+(-0.45441--2.389656))+0-562.9--0.57415800000009</f>
        <v>1837.3240159999993</v>
      </c>
      <c r="R345" s="3">
        <f>3755+(475.4-1893.1)+(-9.57525+(-1.21227--4.827405))+0-601.1--1.53280499999991</f>
        <v>1731.7726900000002</v>
      </c>
      <c r="S345" s="3">
        <f>3560.7+(506.6-1755.8)+(3.631914+(0.516732-1.790916))+0-608.2-0.620364000000097</f>
        <v>1705.037366</v>
      </c>
      <c r="T345" s="3">
        <f>3541.8+(561.7-1798.5)+(-3.612636+(-0.572934--1.83447))+0-643.1--0.655962000000103</f>
        <v>1660.2048620000003</v>
      </c>
      <c r="U345" s="3">
        <f>3558.3+(537.3-1868)+(7.258932+(1.096092-3.81072))+0-599.7-1.22338799999997</f>
        <v>1631.2209160000004</v>
      </c>
      <c r="V345" s="3">
        <f>3627.1+(474-1915.8)+(-3.699642+(-0.48348--1.954116))+0-545.9--0.556818000000087</f>
        <v>1637.7278120000001</v>
      </c>
      <c r="W345" s="3">
        <f>3003.7+(479.2-1383.4)+(1.531887+(0.244392-0.705534))+0-345-0.175949999999965</f>
        <v>1755.3947949999999</v>
      </c>
      <c r="X345" s="3">
        <f>3865.5+(580.9-2000.5)+(3.94281+(0.592518-2.04051))+0-347.5-0.354450000000055</f>
        <v>2100.5403679999999</v>
      </c>
      <c r="Y345" s="3">
        <f>4158.7+(592.1-2216.8)+(2.120937+(0.301971-1.130568))+0-371.1-0.189260999999962</f>
        <v>2164.0030789999996</v>
      </c>
      <c r="Z345" s="3">
        <f>4082.4+(558.3-2173.8)+(-4.164048+(-0.569466--2.217276))+0-356.8--0.363936000000057</f>
        <v>2107.9476979999995</v>
      </c>
      <c r="AA345" s="3">
        <f>4101.5+(592.9-2014.3)+(-4.18353+(-0.604758--2.054586))+0-639.9--0.652698000000102</f>
        <v>2038.1189959999999</v>
      </c>
      <c r="AB345" s="3">
        <f>3774.4+(652.8-1893.7)+(-5.774832+(-0.998784--2.897361))+0-604.2--0.924426000000035</f>
        <v>1926.3481709999999</v>
      </c>
      <c r="AC345" s="3">
        <f>3129.6+(592.1-1347.7)+(-4.788288+(-0.905913--2.061981))+0-560.5--0.857565000000032</f>
        <v>1810.7253450000001</v>
      </c>
      <c r="AD345">
        <v>2107.7999999999997</v>
      </c>
      <c r="AE345" s="3">
        <f>4249+(564.4-2355.4)+(0+(0-0))+0-350.2-0</f>
        <v>2107.8000000000002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2454.5+(593.6-734)+(0+(0-0))+0-645.7-0</f>
        <v>1668.3999999999999</v>
      </c>
      <c r="G346" s="3">
        <f>2127.6+(563.7-566.8)+(-4.340304+(-1.149948--1.156272))+0-554.5--1.13117999999998</f>
        <v>1566.7972000000002</v>
      </c>
      <c r="H346" s="3">
        <f>1973.6+(729.6-494.4)+(-3.019608+(-1.116288--0.756432))+0-712.4--1.08997200000004</f>
        <v>1494.110508</v>
      </c>
      <c r="I346" s="3">
        <f>1735.4+(750.5-475.6)+(-1.770108+(-0.76551--0.485112))+0-538.1--0.548862000000086</f>
        <v>1470.6983560000003</v>
      </c>
      <c r="J346" s="3">
        <f>1934.1+(731.1-479.4)+(0.986391+(0.372861-0.244494))+0-720.9-0.367658999999927</f>
        <v>1465.6470990000003</v>
      </c>
      <c r="K346" s="3">
        <f>1999.6+(627-539.6)+(1.019796+(0.31977-0.275196))+0-583.7-0.297686999999941</f>
        <v>1504.066683</v>
      </c>
      <c r="L346" s="3">
        <f>2019+(763.3-584.7)+(1.02969+(0.389283-0.298197))+0-578.5-0.295034999999941</f>
        <v>1619.9257410000002</v>
      </c>
      <c r="M346" s="3">
        <f>2319.3+(671.5-630.5)+(0+(0-0))+0-661.1-0</f>
        <v>1699.2000000000003</v>
      </c>
      <c r="N346" s="3">
        <f>3030.7+(569.1-1255.9)+(1.545657+(0.290241-0.640509))+0-582.7-0.297176999999941</f>
        <v>1762.0982119999996</v>
      </c>
      <c r="O346" s="3">
        <f>3553.6+(578.5-1834.6)+(0+(0-0))+0-550.9-0</f>
        <v>1746.6</v>
      </c>
      <c r="P346" s="3">
        <f>3894.9+(619.6-2162.4)+(-7.945596+(-1.263984--4.411296))+0-565.5--1.15361999999998</f>
        <v>1782.955336</v>
      </c>
      <c r="Q346" s="3">
        <f>4062.8+(622-2357.1)+(0+(0-0))+0-518.5-0</f>
        <v>1809.2000000000003</v>
      </c>
      <c r="R346" s="3">
        <f>3761.8+(659.8-2023.7)+(-3.837036+(-0.672996--2.064174))+0-616.7--0.629034000000098</f>
        <v>1779.383176</v>
      </c>
      <c r="S346" s="3">
        <f>3457.5+(676.4-1755.4)+(-1.763325+(-0.344964--0.895254))+0-632.9--0.322778999999936</f>
        <v>1744.7097439999995</v>
      </c>
      <c r="T346" s="3">
        <f>3612.6+(487-1790.9)+(1.842426+(0.24837-0.913359))+0-660.9-0.337058999999933</f>
        <v>1648.6403779999996</v>
      </c>
      <c r="U346" s="3">
        <f>3391.4+(378.1-1650.5)+(-8.64807+(-0.964155--4.208775))+0-547.8--1.39688999999992</f>
        <v>1567.1934400000002</v>
      </c>
      <c r="V346" s="3">
        <f>3140.2+(495.3-1361.5)+(0+(0-0))+0-632.3-0</f>
        <v>1641.7</v>
      </c>
      <c r="W346" s="3">
        <f>2910+(432.1-1234.4)+(-5.9364+(-0.881484--2.518176))+0-352.9--0.719915999999985</f>
        <v>1751.2202079999997</v>
      </c>
      <c r="X346" s="3">
        <f>4024.9+(539.7-2196.3)+(-4.105398+(-0.550494--2.240226))+0-342.8--0.349656000000055</f>
        <v>2023.4339900000004</v>
      </c>
      <c r="Y346" s="3">
        <f>4022.6+(707.1-2269.7)+(-12.309156+(-2.163726--6.945282))+0-370.4--1.13342400000004</f>
        <v>2083.2058240000001</v>
      </c>
      <c r="Z346" s="3">
        <f>3788.4+(824.6-2154.1)+(-5.796252+(-1.261638--3.295773))+0-368.5--0.563805000000021</f>
        <v>2087.2016880000001</v>
      </c>
      <c r="AA346" s="3">
        <f>3539.5+(967.7-1805.3)+(-3.61029+(-0.987054--1.841406))+0-682.5--0.696150000000109</f>
        <v>2017.3402120000005</v>
      </c>
      <c r="AB346" s="3">
        <f>2852.4+(1052.2-1434.4)+(-4.364172+(-1.609866--2.194632))+0-588.5--0.900405000000034</f>
        <v>1878.8209989999998</v>
      </c>
      <c r="AC346" s="3">
        <f>2512.2+(802.2-897.7)+(-6.40611+(-2.04561--2.289135))+0-654.8--1.6697399999999</f>
        <v>1757.4071549999996</v>
      </c>
      <c r="AD346">
        <v>2100.9</v>
      </c>
      <c r="AE346" s="3">
        <f>4446+(524.5-2492.4)+(0+(0-0))+0-377.2-0</f>
        <v>2100.9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2272.5+(588.5-658.7)+(-4.6359+(-1.20054--1.343748))+0-581--1.18523999999997</f>
        <v>1617.9925480000004</v>
      </c>
      <c r="G347" s="3">
        <f>2243.3+(481-575.7)+(3.432249+(0.73593-0.880821))+0-632.2-0.967266000000037</f>
        <v>1518.7200920000002</v>
      </c>
      <c r="H347" s="3">
        <f>2090.4+(455.1-518)+(-5.33052+(-1.160505--1.3209))+0-567--1.44584999999992</f>
        <v>1456.7757249999997</v>
      </c>
      <c r="I347" s="3">
        <f>2036.4+(565.3-525.2)+(2.077128+(0.576606-0.535704))+0-648-0.660960000000103</f>
        <v>1429.9570699999999</v>
      </c>
      <c r="J347" s="3">
        <f>2068.3+(571.9-531.1)+(-4.219332+(-1.166676--1.083444))+0-678.9--1.38495599999997</f>
        <v>1427.2823920000001</v>
      </c>
      <c r="K347" s="3">
        <f>2072.5+(593.2-573.2)+(-2.11395+(-0.605064--0.584664))+0-622.7--0.635154000000099</f>
        <v>1468.3008040000002</v>
      </c>
      <c r="L347" s="3">
        <f>2279.6+(620.8-695.4)+(-4.650384+(-1.266432--1.418616))+0-650.4--1.32681599999997</f>
        <v>1551.4286159999999</v>
      </c>
      <c r="M347" s="3">
        <f>2569.9+(472-798.1)+(7.863894+(1.44432-2.442186))+0-612.1-1.87302600000007</f>
        <v>1636.6930020000002</v>
      </c>
      <c r="N347" s="3">
        <f>3498.7+(222.3-1378.7)+(7.137348+(0.453492-2.812548))+0-608-1.24031999999997</f>
        <v>1737.8379719999998</v>
      </c>
      <c r="O347" s="3">
        <f>4020.2+(450.6-2047.3)+(-2.050302+(-0.229806--1.044123))+0-622.5--0.317474999999937</f>
        <v>1800.08149</v>
      </c>
      <c r="P347" s="3">
        <f>4505.4+(594.4-2794.6)+(4.595508+(0.606288-2.850492))+0-563.6-0.57487200000009</f>
        <v>1743.3764319999996</v>
      </c>
      <c r="Q347" s="3">
        <f>4647.5+(650.8-2791.5)+(0+(0-0))+0-688.1-0</f>
        <v>1818.7000000000003</v>
      </c>
      <c r="R347" s="3">
        <f>3944.3+(693.8-2328.8)+(-12.069558+(-2.123028--7.126128))+0-556.3--1.70227800000006</f>
        <v>1747.6358200000004</v>
      </c>
      <c r="S347" s="3">
        <f>3559.9+(741.8-1964.5)+(-10.893294+(-2.269908--6.01137))+0-641.8--1.96390800000007</f>
        <v>1690.212076</v>
      </c>
      <c r="T347" s="3">
        <f>3107.5+(762.4-1672)+(6.3393+(1.555296-3.41088))+0-554.7-1.13158799999998</f>
        <v>1646.5521280000003</v>
      </c>
      <c r="U347" s="3">
        <f>3251.2+(409.8-1512.6)+(1.658112+(0.208998-0.771426))+0-537.6-0.274175999999945</f>
        <v>1611.6215079999997</v>
      </c>
      <c r="V347" s="3">
        <f>3331.3+(325.9-1457.9)+(-1.698963+(-0.166209--0.743529))+0-560.1--0.285650999999943</f>
        <v>1638.3640080000002</v>
      </c>
      <c r="W347" s="3">
        <f>2851.5+(272.1-1012.8)+(-2.90853+(-0.277542--1.033056))+0-366.6--0.373932000000059</f>
        <v>1742.420916</v>
      </c>
      <c r="X347" s="3">
        <f>3831.4+(257.3-1763)+(-1.954014+(-0.131223--0.89913))+0-352.5--0.179774999999964</f>
        <v>1972.1936679999999</v>
      </c>
      <c r="Y347" s="3">
        <f>3758+(577.3-1949.6)+(-5.74974+(-0.883269--2.982888))+0-341.4--0.52234200000002</f>
        <v>2041.1722209999996</v>
      </c>
      <c r="Z347" s="3">
        <f>3755.9+(638.7-2033.2)+(-7.662036+(-1.302948--4.147728))+0-371--0.756839999999984</f>
        <v>1986.3395840000003</v>
      </c>
      <c r="AA347" s="3">
        <f>3818.5+(684.5-1956.6)+(0+(0-0))+0-610.8-0</f>
        <v>1935.6000000000001</v>
      </c>
      <c r="AB347" s="3">
        <f>2999.4+(663.2-1226.6)+(-7.64847+(-1.69116--3.12783))+0-592.6--1.51112999999991</f>
        <v>1838.6993299999999</v>
      </c>
      <c r="AC347" s="3">
        <f>2663.2+(618.9-875.7)+(0+(0-0))+0-660.9-0</f>
        <v>1745.4999999999995</v>
      </c>
      <c r="AD347">
        <v>2046.3999999999996</v>
      </c>
      <c r="AE347" s="3">
        <f>4121+(430.4-2139.9)+(0+(0-0))+0-365.1-0</f>
        <v>2046.4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2341+(550.5-644.5)+(-4.77564+(-1.12302--1.31478))+0-588.2--1.19992799999997</f>
        <v>1655.4160479999998</v>
      </c>
      <c r="G348" s="3">
        <f>2479.5+(419.2-727.7)+(0+(0-0))+0-610.7-0</f>
        <v>1560.3</v>
      </c>
      <c r="H348" s="3">
        <f>2201+(476.2-557)+(1.12251+(0.242862-0.28407))+0-629-0.320789999999936</f>
        <v>1491.9605119999999</v>
      </c>
      <c r="I348" s="3">
        <f>1943.1+(556.3-472.9)+(-1.981962+(-0.567426--0.482358))+0-572.3--0.583746000000091</f>
        <v>1452.7167160000001</v>
      </c>
      <c r="J348" s="3">
        <f>1895.8+(674.2-445.5)+(-4.83429+(-1.71921--1.136025))+0-664.9--1.6954949999999</f>
        <v>1455.8780199999997</v>
      </c>
      <c r="K348" s="3">
        <f>2013.8+(540.3-515.9)+(2.054076+(0.551106-0.526218))+0-574.8-0.586296000000092</f>
        <v>1464.8926679999997</v>
      </c>
      <c r="L348" s="3">
        <f>1866.5+(805.8-534)+(0.951915+(0.410958-0.27234))+0-616.4-0.314363999999937</f>
        <v>1522.6761690000003</v>
      </c>
      <c r="M348" s="3">
        <f>1970.2+(779.7-571.8)+(0+(0-0))+0-627.3-0</f>
        <v>1550.8000000000004</v>
      </c>
      <c r="N348" s="3">
        <f>2125.2+(751.2-663.5)+(1.083852+(0.383112-0.338385))+0-590.6-0.30120599999994</f>
        <v>1623.127373</v>
      </c>
      <c r="O348" s="3">
        <f>2455.7+(587.7-706.6)+(2.504814+(0.599454-0.720732))+0-636.8-0.649536000000101</f>
        <v>1701.7339999999995</v>
      </c>
      <c r="P348" s="3">
        <f>2754.8+(438.6-873.4)+(-1.404948+(-0.223686--0.445434))+0-588.5--0.30013499999994</f>
        <v>1730.616935</v>
      </c>
      <c r="Q348" s="3">
        <f>2811.7+(370.4-940.4)+(-1.433967+(-0.188904--0.479604))+0-563--0.287129999999943</f>
        <v>1677.8438629999998</v>
      </c>
      <c r="R348" s="3">
        <f>2798.3+(410.9-844.4)+(0+(0-0))+0-662.1-0</f>
        <v>1702.7000000000003</v>
      </c>
      <c r="S348" s="3">
        <f>2909.5+(418.7-1037.1)+(0+(0-0))+0-631.4-0</f>
        <v>1659.7000000000003</v>
      </c>
      <c r="T348" s="3">
        <f>2819.5+(380.8-1006.2)+(0+(0-0))+0-585.1-0</f>
        <v>1609</v>
      </c>
      <c r="U348" s="3">
        <f>2866.8+(389.1-1027.3)+(0+(0-0))+0-648.4-0</f>
        <v>1580.2000000000003</v>
      </c>
      <c r="V348" s="3">
        <f>3021.4+(413.3-1238.1)+(0+(0-0))+0-588.9-0</f>
        <v>1607.7000000000003</v>
      </c>
      <c r="W348" s="3">
        <f>3092.8+(399-1451.4)+(0+(0-0))+0-417-0</f>
        <v>1623.4</v>
      </c>
      <c r="X348" s="3">
        <f>4032+(692.7-2437.4)+(0+(0-0))+0-359.2-0</f>
        <v>1928.1000000000001</v>
      </c>
      <c r="Y348" s="3">
        <f>4325.2+(792.5-2728.6)+(0+(0-0))+0-358.2-0</f>
        <v>2030.8999999999999</v>
      </c>
      <c r="Z348" s="3">
        <f>4383.1+(790.4-2845.1)+(0+(0-0))+0-359.5-0</f>
        <v>1968.9000000000005</v>
      </c>
      <c r="AA348" s="3">
        <f>4293.3+(796.4-2468.3)+(0+(0-0))+0-677-0</f>
        <v>1944.4</v>
      </c>
      <c r="AB348" s="3">
        <f>3567.5+(738.8-1886.3)+(0+(0-0))+0-572.5-0</f>
        <v>1847.5</v>
      </c>
      <c r="AC348" s="3">
        <f>3146.2+(527.9-1537.1)+(0+(0-0))+0-432.5-0</f>
        <v>1704.5</v>
      </c>
      <c r="AD348">
        <v>1953.2000000000003</v>
      </c>
      <c r="AE348" s="3">
        <f>4296+(757.8-2728.6)+(0+(0-0))+0-372-0</f>
        <v>1953.1999999999998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2393.9+(364.8-734.2)+(0+(0-0))+0-457.2-0</f>
        <v>1567.3</v>
      </c>
      <c r="G349" s="3">
        <f>2040.3+(432.7-523.3)+(0+(0-0))+0-455.5-0</f>
        <v>1494.2</v>
      </c>
      <c r="H349" s="3">
        <f>1887.3+(587.5-471.3)+(0+(0-0))+0-547.1-0</f>
        <v>1456.4</v>
      </c>
      <c r="I349" s="3">
        <f>1810.1+(497.4-524.5)+(0+(0-0))+0-344.2-0</f>
        <v>1438.8</v>
      </c>
      <c r="J349" s="3">
        <f>1980.8+(497.9-591.5)+(0+(0-0))+0-447.7-0</f>
        <v>1439.4999999999998</v>
      </c>
      <c r="K349" s="3">
        <f>1968.6+(592.7-504.5)+(0+(0-0))+0-608.8-0</f>
        <v>1448.0000000000002</v>
      </c>
      <c r="L349" s="3">
        <f>2033.3+(632.1-617.7)+(5.184915+(1.611855-1.575135))+0-498.1-1.27015499999993</f>
        <v>1553.5514799999999</v>
      </c>
      <c r="M349" s="3">
        <f>2123.7+(820.6-652.3)+(4.332348+(1.674024-1.330692))+0-634.2-1.29376799999997</f>
        <v>1661.1819119999998</v>
      </c>
      <c r="N349" s="3">
        <f>2548+(656.9-906.3)+(0+(0-0))+0-542.1-0</f>
        <v>1756.5</v>
      </c>
      <c r="O349" s="3">
        <f>3230.1+(736.3-1620.2)+(1.647351+(0.375513-0.826302))+0-520.8-0.265607999999947</f>
        <v>1826.330954</v>
      </c>
      <c r="P349" s="3">
        <f>3767.3+(790-2111.6)+(1.921323+(0.4029-1.076916))+0-586.9-0.29931899999994</f>
        <v>1859.7479880000003</v>
      </c>
      <c r="Q349" s="3">
        <f>3882.7+(761.9-2240.3)+(-5.940531+(-1.165707--3.427659))+0-534.4--0.817632000000031</f>
        <v>1867.0390529999997</v>
      </c>
      <c r="R349" s="3">
        <f>3667.1+(794.1-1912.5)+(0+(0-0))+0-680-0</f>
        <v>1868.6999999999998</v>
      </c>
      <c r="S349" s="3">
        <f>3201.5+(682.8-1492.7)+(-3.26553+(-0.696456--1.522554))+0-538--0.548760000000086</f>
        <v>1851.7093279999999</v>
      </c>
      <c r="T349" s="3">
        <f>3217.3+(626.2-1359.1)+(0+(0-0))+0-665.6-0</f>
        <v>1818.8000000000006</v>
      </c>
      <c r="U349" s="3">
        <f>2911.7+(617.7-1210.3)+(-4.454901+(-0.945081--1.851759))+0-561.9--0.859707000000032</f>
        <v>1754.5114840000001</v>
      </c>
      <c r="V349" s="3">
        <f>2872+(629.5-1083.2)+(1.46472+(0.321045-0.552432))+0-679.5-0.346544999999931</f>
        <v>1739.6867880000004</v>
      </c>
      <c r="W349" s="3">
        <f>2996.9+(592.4-1229.6)+(-3.056838+(-0.604248--1.254192))+0-577.8--0.589356000000092</f>
        <v>1780.0824620000003</v>
      </c>
      <c r="X349" s="3">
        <f>4089+(820.4-2155.8)+(0+(0-0))+0-628-0</f>
        <v>2125.6</v>
      </c>
      <c r="Y349" s="3">
        <f>4557+(875.1-2540.6)+(-6.97221+(-1.338903--3.887118))+0-622.9--0.953037000000036</f>
        <v>2265.129042</v>
      </c>
      <c r="Z349" s="3">
        <f>4607.5+(953.2-2739.1)+(-7.049475+(-1.458396--4.190823))+0-595.8--0.911574000000034</f>
        <v>2222.3945260000005</v>
      </c>
      <c r="AA349" s="3">
        <f>4448.2+(1022.6-2764)+(-2.268582+(-0.521526--1.40964))+0-560.5--0.285854999999943</f>
        <v>2145.205387</v>
      </c>
      <c r="AB349" s="3">
        <f>3679.6+(1073.6-2011)+(-7.506384+(-2.190144--4.10244))+0-702.2--1.43248799999997</f>
        <v>2035.8383999999999</v>
      </c>
      <c r="AC349" s="3">
        <f>2619.8+(953-1082.5)+(-6.68049+(-2.43015--2.760375))+0-593.4--1.51316999999991</f>
        <v>1892.062905</v>
      </c>
      <c r="AD349">
        <v>2275.5</v>
      </c>
      <c r="AE349" s="3">
        <f>4554+(831.3-2468.1)+(0+(0-0))+0-641.7-0</f>
        <v>2275.5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2397.1+(735.2-771)+(-6.112605+(-1.87476--1.96605))+0-613--1.56314999999991</f>
        <v>1743.8418350000002</v>
      </c>
      <c r="G350" s="3">
        <f>2124.5+(831-689.3)+(-5.417475+(-2.11905--1.757715))+0-550.1--1.40275499999992</f>
        <v>1711.723945</v>
      </c>
      <c r="H350" s="3">
        <f>2123+(807.6-648.8)+(-5.41365+(-2.05938--1.65444))+0-679.5--1.7327249999999</f>
        <v>1598.2141350000002</v>
      </c>
      <c r="I350" s="3">
        <f>2128.6+(737.2-653.4)+(-1.085586+(-0.375972--0.333234))+0-605.9--0.309008999999939</f>
        <v>1605.680685</v>
      </c>
      <c r="J350" s="3">
        <f>2173.2+(793.9-739.8)+(-5.54166+(-2.024445--1.88649))+0-652.7--1.66438499999991</f>
        <v>1570.5847699999995</v>
      </c>
      <c r="K350" s="3">
        <f>2287.7+(817.4-804.7)+(1.166727+(0.416874-0.410397))+0-643.3-0.328082999999935</f>
        <v>1657.945121</v>
      </c>
      <c r="L350" s="3">
        <f>2279.9+(847.3-764.3)+(-3.488247+(-1.296369--1.169379))+0-576.2--0.881586000000033</f>
        <v>1783.966349</v>
      </c>
      <c r="M350" s="3">
        <f>2280.3+(826.3-753.9)+(-2.325906+(-0.842826--0.768978))+0-533.3--0.543966000000085</f>
        <v>1817.5442120000005</v>
      </c>
      <c r="N350" s="3">
        <f>2870.5+(729-1093.7)+(1.463955+(0.37179-0.557787))+0-643.8-0.328337999999935</f>
        <v>1862.9496200000003</v>
      </c>
      <c r="O350" s="3">
        <f>3619.7+(892-2130.2)+(3.692094+(0.90984-2.172804))+0-523.2-0.533664000000084</f>
        <v>1860.1954659999999</v>
      </c>
      <c r="P350" s="3">
        <f>4027.1+(1103.6-2700.5)+(-2.053821+(-0.562836--1.377255))+0-557.3--0.284222999999943</f>
        <v>1871.9448209999996</v>
      </c>
      <c r="Q350" s="3">
        <f>4000.2+(1280.7-2836.9)+(-4.080204+(-1.306314--2.893638))+0-577.6--0.589152000000092</f>
        <v>1864.4962720000003</v>
      </c>
      <c r="R350" s="3">
        <f>3625.7+(970-2177.6)+(-1.849107+(-0.4947--1.110576))+0-533.5--0.272084999999946</f>
        <v>1883.6388539999996</v>
      </c>
      <c r="S350" s="3">
        <f>3386.2+(780.1-1751.7)+(3.453924+(0.795702-1.786734))+0-571.4-0.582828000000091</f>
        <v>1845.0800639999998</v>
      </c>
      <c r="T350" s="3">
        <f>3207.1+(712.6-1633.4)+(1.635621+(0.363426-0.833034))+0-491.2-0.25051199999995</f>
        <v>1796.0155009999999</v>
      </c>
      <c r="U350" s="3">
        <f>3204.7+(722.2-1544.5)+(1.634397+(0.368322-0.787695))+0-602.2-0.307121999999939</f>
        <v>1781.1079019999997</v>
      </c>
      <c r="V350" s="3">
        <f>3235+(719.9-1627.1)+(-1.64985+(-0.367149--0.829821))+0-612.7--0.312476999999938</f>
        <v>1714.2252989999999</v>
      </c>
      <c r="W350" s="3">
        <f>3189.2+(823.7-1627.1)+(4.879476+(1.260261-2.489463))+0-516.8-0.79070400000003</f>
        <v>1871.8595700000003</v>
      </c>
      <c r="X350" s="3">
        <f>4478.1+(949.8-2750.4)+(0+(0-0))+0-523.8-0</f>
        <v>2153.6999999999998</v>
      </c>
      <c r="Y350" s="3">
        <f>4639.9+(1041-2914.1)+(-7.099047+(-1.59273--4.458573))+0-541.3--0.828189000000031</f>
        <v>2222.0949849999997</v>
      </c>
      <c r="Z350" s="3">
        <f>4192.6+(1134.9-2568.7)+(-4.276452+(-1.157598--2.620074))+0-564.4--0.57568800000009</f>
        <v>2192.1617120000005</v>
      </c>
      <c r="AA350" s="3">
        <f>3904.8+(1179.4-2382)+(-9.95724+(-3.00747--6.0741))+0-548.9--1.39969499999992</f>
        <v>2147.8090850000003</v>
      </c>
      <c r="AB350" s="3">
        <f>3108.7+(1183.3-1712.3)+(-4.756311+(-1.810449--2.619819))+0-613--0.937890000000035</f>
        <v>1963.6909489999996</v>
      </c>
      <c r="AC350" s="3">
        <f>2590+(972.1-1158.1)+(-5.2836+(-1.983084--2.362524))+0-513.7--1.04794799999998</f>
        <v>1886.4437879999998</v>
      </c>
      <c r="AD350">
        <v>2076.1000000000004</v>
      </c>
      <c r="AE350" s="3">
        <f>4765+(993.3-3150.4)+(0+(0-0))+0-531.8-0</f>
        <v>2076.0999999999995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2240.9+(854.6-799)+(1.142859+(0.435846-0.40749))+0-545.4-0.278153999999945</f>
        <v>1751.9930609999999</v>
      </c>
      <c r="G351" s="3">
        <f>2133.2+(864.2-716.1)+(-2.175864+(-0.881484--0.730422))+0-636.8--0.649536000000101</f>
        <v>1642.8226099999997</v>
      </c>
      <c r="H351" s="3">
        <f>2035.5+(865.7-661.7)+(-1.038105+(-0.441507--0.337467))+0-647.1--0.330020999999934</f>
        <v>1591.5878760000003</v>
      </c>
      <c r="I351" s="3">
        <f>2012.5+(851.9-670)+(1.026375+(0.434469-0.3417))+0-619.9-0.316148999999937</f>
        <v>1575.3029949999998</v>
      </c>
      <c r="J351" s="3">
        <f>1990.2+(841.8-642.4)+(-2.030004+(-0.858636--0.655248))+0-620.8--0.633216000000099</f>
        <v>1567.199824</v>
      </c>
      <c r="K351" s="3">
        <f>2089.9+(800.9-649.5)+(0+(0-0))+0-625.4-0</f>
        <v>1615.9</v>
      </c>
      <c r="L351" s="3">
        <f>2224.2+(882.8-707.8)+(-2.268684+(-0.900456--0.721956))+0-635.4--0.648108000000101</f>
        <v>1762.0009239999997</v>
      </c>
      <c r="M351" s="3">
        <f>2349.9+(932.3-895.2)+(1.198449+(0.475473-0.456552))+0-557.6-0.284375999999943</f>
        <v>1830.3329940000001</v>
      </c>
      <c r="N351" s="3">
        <f>3003+(953.3-1492.8)+(3.06306+(0.972366-1.522656))+0-635.3-0.648006000000101</f>
        <v>1830.0647639999997</v>
      </c>
      <c r="O351" s="3">
        <f>3448.8+(1040.4-2138.1)+(1.758888+(0.530604-1.090431))+0-538.2-0.274481999999945</f>
        <v>1813.8245790000001</v>
      </c>
      <c r="P351" s="3">
        <f>3762.7+(1393.8-2596.7)+(-5.756931+(-2.132514--3.972951))+0-612.7--0.937431000000035</f>
        <v>1944.1209370000001</v>
      </c>
      <c r="Q351" s="3">
        <f>3984.9+(1309.8-2869.5)+(-8.129196+(-2.671992--5.85378))+0-556.4--1.13505599999998</f>
        <v>1864.9876479999998</v>
      </c>
      <c r="R351" s="3">
        <f>3712.1+(1175.5-2441.9)+(-5.679513+(-1.798515--3.736107))+0-562.8--0.861084000000032</f>
        <v>1880.0191630000002</v>
      </c>
      <c r="S351" s="3">
        <f>3553.2+(852.9-2091.9)+(-9.06066+(-2.174895--5.334345))+0-453.2--1.15565999999993</f>
        <v>1856.2544499999997</v>
      </c>
      <c r="T351" s="3">
        <f>3391.5+(762.6-1771.9)+(1.729665+(0.388926-0.903669))+0-540.8-0.275807999999945</f>
        <v>1842.3391140000001</v>
      </c>
      <c r="U351" s="3">
        <f>3322.6+(719.6-1716.6)+(-6.778104+(-1.467984--3.501864))+0-530.3--1.08181199999998</f>
        <v>1791.6375879999998</v>
      </c>
      <c r="V351" s="3">
        <f>3335.4+(661.1-1643.3)+(0+(0-0))+0-547.6-0</f>
        <v>1805.6000000000004</v>
      </c>
      <c r="W351" s="3">
        <f>3066.7+(884.3-1626.8)+(1.564017+(0.450993-0.829668))+0-426.7-0.217616999999957</f>
        <v>1898.467725</v>
      </c>
      <c r="X351" s="3">
        <f>3893.1+(1196.5-2518.9)+(3.970962+(1.22043-2.569278))+0-427.4-0.435948000000068</f>
        <v>2145.4861659999992</v>
      </c>
      <c r="Y351" s="3">
        <f>4085.7+(1545.5-2842.3)+(0+(0-0))+0-499.6-0</f>
        <v>2289.2999999999997</v>
      </c>
      <c r="Z351" s="3">
        <f>3590.6+(1577.8-2368.9)+(1.831206+(0.804678-1.208139))+0-545.9-0.278408999999945</f>
        <v>2254.7493359999999</v>
      </c>
      <c r="AA351" s="3">
        <f>3265.5+(1413.8-1876.9)+(-3.33081+(-1.442076--1.914438))+0-609.4--0.621588000000097</f>
        <v>2190.7631399999996</v>
      </c>
      <c r="AB351" s="3">
        <f>2860.8+(1199.3-1336.1)+(-1.459008+(-0.611643--0.681411))+0-632.2--0.322421999999936</f>
        <v>2090.7331819999995</v>
      </c>
      <c r="AC351" s="3">
        <f>2660.2+(941.7-1072.3)+(-5.426808+(-1.921068--2.187492))+0-572.3--1.16749199999997</f>
        <v>1953.3071080000002</v>
      </c>
      <c r="AD351">
        <v>2159</v>
      </c>
      <c r="AE351" s="3">
        <f>4346+(1377.4-2975.6)+(0+(0-0))+0-588.8-0</f>
        <v>2159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2384.4+(930.5-867.9)+(-1.216044+(-0.474555--0.442629))+0-647.9--0.330428999999934</f>
        <v>1798.1824589999999</v>
      </c>
      <c r="G352" s="3">
        <f>2080.9+(927.5-734.9)+(0+(0-0))+0-584.3-0</f>
        <v>1689.2</v>
      </c>
      <c r="H352" s="3">
        <f>2104.3+(987-776.2)+(-1.073193+(-0.50337--0.395862))+0-672.7--0.343076999999932</f>
        <v>1641.5623760000001</v>
      </c>
      <c r="I352" s="3">
        <f>2010.9+(968.5-809.9)+(0+(0-0))+0-548.9-0</f>
        <v>1620.6</v>
      </c>
      <c r="J352" s="3">
        <f>1987.6+(1044.3-749.1)+(2.027352+(1.065186-0.764082))+0-679.8-0.693396000000108</f>
        <v>1604.6350599999998</v>
      </c>
      <c r="K352" s="3">
        <f>1973+(1050.8-786.6)+(-1.00623+(-0.535908--0.401166))+0-582.4--0.297023999999941</f>
        <v>1653.9560519999995</v>
      </c>
      <c r="L352" s="3">
        <f>2049.3+(1099.5-708)+(-1.045143+(-0.560745--0.36108))+0-653.3--0.333182999999934</f>
        <v>1786.5883750000003</v>
      </c>
      <c r="M352" s="3">
        <f>2266.9+(979-907.9)+(2.312238+(0.99858-0.926058))+0-562-0.57324000000009</f>
        <v>1777.8115199999997</v>
      </c>
      <c r="N352" s="3">
        <f>2854.8+(956.3-1297.4)+(2.911896+(0.975426-1.323348))+0-622.8-0.635256000000099</f>
        <v>1892.828718</v>
      </c>
      <c r="O352" s="3">
        <f>3357.3+(878.8-1693.2)+(3.424446+(0.896376-1.727064))+0-645-0.657900000000103</f>
        <v>1899.8358579999999</v>
      </c>
      <c r="P352" s="3">
        <f>4111.4+(746.5-2307.4)+(6.290442+(1.142145-3.530322))+0-627.8-0.960534000000036</f>
        <v>1925.6417309999997</v>
      </c>
      <c r="Q352" s="3">
        <f>4483.7+(728.7-2753.5)+(-6.860061+(-1.114911--4.212855))+0-539.1--0.824823000000031</f>
        <v>1916.8627059999994</v>
      </c>
      <c r="R352" s="3">
        <f>4083.4+(784-2400.7)+(-8.330136+(-1.59936--4.897428))+0-572--1.16687999999998</f>
        <v>1890.8348120000003</v>
      </c>
      <c r="S352" s="3">
        <f>4041.4+(688.2-2285.1)+(-10.30557+(-1.75491--5.827005))+0-563.2--1.43615999999992</f>
        <v>1876.5026849999999</v>
      </c>
      <c r="T352" s="3">
        <f>3829.5+(622-1934.9)+(5.859135+(0.95166-2.960397))+0-675.1-1.03290300000004</f>
        <v>1844.317495</v>
      </c>
      <c r="U352" s="3">
        <f>3786.6+(609.5-2035.7)+(5.793498+(0.932535-3.114621))+0-560.3-0.857259000000032</f>
        <v>1802.8541529999998</v>
      </c>
      <c r="V352" s="3">
        <f>3854+(553.4-2061.3)+(-1.96554+(-0.282234--1.051263))+0-611.1--0.311660999999938</f>
        <v>1734.1151499999999</v>
      </c>
      <c r="W352" s="3">
        <f>3765.2+(593.6-1979.8)+(-1.920252+(-0.302736--1.009698))+0-638.8--0.325787999999935</f>
        <v>1739.3124979999998</v>
      </c>
      <c r="X352" s="3">
        <f>4419+(1007-2745.9)+(0+(0-0))+0-561.5-0</f>
        <v>2118.6</v>
      </c>
      <c r="Y352" s="3">
        <f>4661.5+(1209.8-2948)+(-7.132095+(-1.850994--4.51044))+0-610.4--0.933912000000035</f>
        <v>2309.3612630000002</v>
      </c>
      <c r="Z352" s="3">
        <f>4249.9+(1186.9-2536.6)+(-4.334898+(-1.210638--2.587332))+0-629.8--0.6423960000001</f>
        <v>2268.0841920000003</v>
      </c>
      <c r="AA352" s="3">
        <f>3731.2+(950.8-1851)+(-3.805824+(-0.969816--1.88802))+0-643.1--0.655962000000103</f>
        <v>2185.6683420000004</v>
      </c>
      <c r="AB352" s="3">
        <f>3285.7+(892-1420.1)+(-6.702828+(-1.81968--2.897004))+0-631.4--1.28805599999997</f>
        <v>2121.8625519999996</v>
      </c>
      <c r="AC352" s="3">
        <f>2757.1+(674.9-866.9)+(-4.218363+(-1.032597--1.326357))+0-617.3--0.944469000000036</f>
        <v>1944.819866</v>
      </c>
      <c r="AD352">
        <v>2302.3000000000006</v>
      </c>
      <c r="AE352" s="3">
        <f>4766+(1171.1-2911.7)+(0+(0-0))+0-723.1-0</f>
        <v>2302.3000000000002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2243.4+(796.1-672.4)+(-8.008938+(-2.842077--2.400468))+0-544.7--1.94457900000001</f>
        <v>1815.8940320000004</v>
      </c>
      <c r="G353" s="3">
        <f>2010.8+(917.2-580.8)+(-2.051016+(-0.935544--0.592416))+0-640.5--0.653310000000102</f>
        <v>1704.9591660000001</v>
      </c>
      <c r="H353" s="3">
        <f>1947.4+(801-561.7)+(-3.972696+(-1.63404--1.145868))+0-545.4--1.11261599999998</f>
        <v>1637.9517479999995</v>
      </c>
      <c r="I353" s="3">
        <f>2024.9+(800.1-575.5)+(1.032699+(0.408051-0.293505))+0-633.1-0.322880999999936</f>
        <v>1617.2243640000004</v>
      </c>
      <c r="J353" s="3">
        <f>1983.5+(811.6-583.1)+(0+(0-0))+0-602.9-0</f>
        <v>1609.1</v>
      </c>
      <c r="K353" s="3">
        <f>1963.3+(941.1-587.7)+(-2.002566+(-0.959922--0.599454))+0-620.7--0.633114000000099</f>
        <v>1694.27008</v>
      </c>
      <c r="L353" s="3">
        <f>2138.9+(874.8-634.9)+(1.090839+(0.446148-0.323799))+0-554.9-0.282998999999944</f>
        <v>1824.8301890000002</v>
      </c>
      <c r="M353" s="3">
        <f>2553.1+(658-664.5)+(2.604162+(0.67116-0.67779))+0-648.4-0.661368000000103</f>
        <v>1900.1361639999996</v>
      </c>
      <c r="N353" s="3">
        <f>3393.4+(641.8-1582.2)+(3.461268+(0.654636-1.613844))+0-575.3-0.586806000000092</f>
        <v>1879.6152539999998</v>
      </c>
      <c r="O353" s="3">
        <f>3822.5+(879-2292.2)+(0+(0-0))+0-508.2-0</f>
        <v>1901.1000000000001</v>
      </c>
      <c r="P353" s="3">
        <f>4424.5+(860.3-2856.6)+(-4.51299+(-0.877506--2.913732))+0-511.3--0.521526000000082</f>
        <v>1914.9447619999999</v>
      </c>
      <c r="Q353" s="3">
        <f>4404.3+(591.7-2678.7)+(-11.230965+(-1.508835--6.830685))+0-449.5--1.14622499999993</f>
        <v>1863.0371100000002</v>
      </c>
      <c r="R353" s="3">
        <f>3860.7+(517.4-1823.1)+(-5.906871+(-0.791622--2.789343))+0-596--0.911880000000034</f>
        <v>1956.0027300000002</v>
      </c>
      <c r="S353" s="3">
        <f>3791.9+(323.3-1830.4)+(-7.735476+(-0.659532--3.734016))+0-384.9--0.785195999999983</f>
        <v>1896.0242040000001</v>
      </c>
      <c r="T353" s="3">
        <f>3918.1+(330.4-1852.8)+(-1.998231+(-0.168504--0.944928))+0-542.1--0.276470999999945</f>
        <v>1852.6546639999999</v>
      </c>
      <c r="U353" s="3">
        <f>3916.9+(330.2-1856)+(0+(0-0))+0-576.6-0</f>
        <v>1814.5000000000005</v>
      </c>
      <c r="V353" s="3">
        <f>3770.6+(335.9-1822.5)+(5.769018+(0.513927-2.788425))+0-472.3-0.722619000000027</f>
        <v>1814.4719010000001</v>
      </c>
      <c r="W353" s="3">
        <f>3391.8+(683.2-1655.5)+(-5.189454+(-1.045296--2.532915))+0-545.1--0.834003000000032</f>
        <v>1871.5321680000002</v>
      </c>
      <c r="X353" s="3">
        <f>4233.1+(712.2-2338.6)+(4.317762+(0.726444-2.385372))+0-527.3-0.537846000000084</f>
        <v>2081.5209880000002</v>
      </c>
      <c r="Y353" s="3">
        <f>4364.9+(577.6-2174.2)+(-6.678297+(-0.883728--3.326526))+0-515.8--0.78917400000003</f>
        <v>2249.0536749999997</v>
      </c>
      <c r="Z353" s="3">
        <f>3871.1+(663.2-1763.1)+(-7.897044+(-1.352928--3.596724))+0-594.8--1.21339199999997</f>
        <v>2171.9601440000001</v>
      </c>
      <c r="AA353" s="3">
        <f>3525.4+(475-1300.4)+(-5.393862+(-0.72675--1.989612))+0-564.4--0.863532000000033</f>
        <v>2132.3325319999999</v>
      </c>
      <c r="AB353" s="3">
        <f>3120.6+(489.5-1032.8)+(-7.95753+(-1.248225--2.63364))+0-539.4--1.37546999999992</f>
        <v>2032.7033550000001</v>
      </c>
      <c r="AC353" s="3">
        <f>2771.9+(675.7-911.6)+(-1.413669+(-0.344607--0.464916))+0-591.9--0.30186899999994</f>
        <v>1943.1085089999997</v>
      </c>
      <c r="AD353">
        <v>2286.5</v>
      </c>
      <c r="AE353" s="3">
        <f>4425+(684.3-2203.3)+(0+(0-0))+0-619.5-0</f>
        <v>2286.5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2282.9+(842-759.3)+(-5.821395+(-2.1471--1.936215))+0-580.1--1.47925499999992</f>
        <v>1780.9469750000005</v>
      </c>
      <c r="G354" s="3">
        <f>1997.5+(923.1-691.5)+(-5.093625+(-2.353905--1.763325))+0-544.4--1.38821999999992</f>
        <v>1680.4040149999996</v>
      </c>
      <c r="H354" s="3">
        <f>2034.9+(840.3-699.9)+(-3.113397+(-1.285659--1.070847))+0-565.8--0.865674000000033</f>
        <v>1607.0374650000006</v>
      </c>
      <c r="I354" s="3">
        <f>2153.7+(735.2-707.2)+(3.295161+(1.124856-1.082016))+0-611.6-0.935748000000035</f>
        <v>1572.5022529999999</v>
      </c>
      <c r="J354" s="3">
        <f>2284.3+(689.5-823.2)+(4.659972+(1.40658-1.679328))+0-574-1.17095999999997</f>
        <v>1579.8162640000005</v>
      </c>
      <c r="K354" s="3">
        <f>2234.1+(743-753.3)+(5.696955+(1.89465-1.920915))+0-615.8-1.57028999999991</f>
        <v>1612.1004000000003</v>
      </c>
      <c r="L354" s="3">
        <f>2085.5+(811.5-668.6)+(-2.12721+(-0.82773--0.681972))+0-515.9--0.526218000000082</f>
        <v>1710.7532499999998</v>
      </c>
      <c r="M354" s="3">
        <f>2329.4+(771.9-714.1)+(2.375988+(0.787338-0.728382))+0-611.1-0.623322000000097</f>
        <v>1777.9116219999999</v>
      </c>
      <c r="N354" s="3">
        <f>3221+(509.7-1415.1)+(1.64271+(0.259947-0.721701))+0-473.6-0.241535999999952</f>
        <v>1842.9394200000006</v>
      </c>
      <c r="O354" s="3">
        <f>3924.3+(670.1-2280.5)+(4.002786+(0.683502-2.32611))+0-493.5-0.503370000000079</f>
        <v>1822.2568079999999</v>
      </c>
      <c r="P354" s="3">
        <f>4053+(816.3-2540.4)+(-4.13406+(-0.832626--2.591208))+0-472.6--0.482052000000075</f>
        <v>1854.4065739999999</v>
      </c>
      <c r="Q354" s="3">
        <f>4164.7+(796.5-2654.4)+(-6.371991+(-1.218645--4.061232))+0-484.8--0.741744000000028</f>
        <v>1819.2123399999998</v>
      </c>
      <c r="R354" s="3">
        <f>3922+(533.1-2149.4)+(-8.00088+(-1.087524--4.384776))+0-467.1--0.95288399999998</f>
        <v>1834.8492559999997</v>
      </c>
      <c r="S354" s="3">
        <f>3775.7+(310.9-1802)+(3.851214+(0.317118-1.83804))+0-492.7-0.502554000000079</f>
        <v>1793.7277379999998</v>
      </c>
      <c r="T354" s="3">
        <f>3929.2+(289.2-1879.3)+(4.007784+(0.294984-1.916886))+0-602.7-0.614754000000096</f>
        <v>1738.1711279999997</v>
      </c>
      <c r="U354" s="3">
        <f>3717.8+(295.7-1763.8)+(-3.792156+(-0.301614--1.799076))+0-553.4--0.564468000000088</f>
        <v>1694.5697740000001</v>
      </c>
      <c r="V354" s="3">
        <f>3627.8+(124.8-1485.3)+(-5.550534+(-0.190944--2.272509))+0-526.3--0.80523900000003</f>
        <v>1738.3362700000002</v>
      </c>
      <c r="W354" s="3">
        <f>3246.9+(264.9-1208.3)+(-8.279595+(-0.675495--3.081165))+0-525.4--1.33976999999992</f>
        <v>1773.5658449999999</v>
      </c>
      <c r="X354" s="3">
        <f>3791+(595.6-1813.9)+(1.93341+(0.303756-0.925089))+0-595.1-0.30350099999994</f>
        <v>1978.6085760000001</v>
      </c>
      <c r="Y354" s="3">
        <f>3981.7+(722.7-2001)+(-12.184002+(-2.211462--6.12306))+0-567.9--1.73777400000007</f>
        <v>2128.9653699999999</v>
      </c>
      <c r="Z354" s="3">
        <f>3351.5+(708.2-1392)+(0+(0-0))+0-534.3-0</f>
        <v>2133.3999999999996</v>
      </c>
      <c r="AA354" s="3">
        <f>2999.5+(620.8-924.8)+(-4.589235+(-0.949824--1.414944))+0-590--0.902700000000034</f>
        <v>2102.278585</v>
      </c>
      <c r="AB354" s="3">
        <f>2758.2+(568-761.7)+(-5.626728+(-1.15872--1.553868))+0-551--1.12403999999998</f>
        <v>2009.3924599999998</v>
      </c>
      <c r="AC354" s="3">
        <f>2754.6+(561.8-845.7)+(-1.404846+(-0.286518--0.431307))+0-562--0.286619999999943</f>
        <v>1907.7265629999997</v>
      </c>
      <c r="AD354">
        <v>2084.0999999999995</v>
      </c>
      <c r="AE354" s="3">
        <f>4416+(635.7-2291.8)+(0+(0-0))+0-675.8-0</f>
        <v>2084.0999999999995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2159.2+(717-581.9)+(-3.303576+(-1.09701--0.890307))+0-541.6--0.828648000000031</f>
        <v>1750.0183689999997</v>
      </c>
      <c r="G355" s="3">
        <f>1937.3+(836.1-504.1)+(-3.952092+(-1.705644--1.028364))+0-625.5--1.27601999999997</f>
        <v>1640.4466480000003</v>
      </c>
      <c r="H355" s="3">
        <f>2057.5+(626.6-581.3)+(-1.049325+(-0.319566--0.296463))+0-528.6--0.269585999999946</f>
        <v>1573.3971580000002</v>
      </c>
      <c r="I355" s="3">
        <f>2078.1+(646.5-600.6)+(-3.179493+(-0.989145--0.918918))+0-592.9--0.907137000000034</f>
        <v>1528.757417</v>
      </c>
      <c r="J355" s="3">
        <f>2139.8+(616.6-651.7)+(1.091298+(0.314466-0.332367))+0-582.7-0.297176999999941</f>
        <v>1522.7762200000004</v>
      </c>
      <c r="K355" s="3">
        <f>2236.4+(611.4-693.2)+(0+(0-0))+0-593.5-0</f>
        <v>1561.1</v>
      </c>
      <c r="L355" s="3">
        <f>2084.1+(651.2-610.7)+(-4.251564+(-1.328448--1.245828))+0-525.9--1.07283599999998</f>
        <v>1595.438652</v>
      </c>
      <c r="M355" s="3">
        <f>2084.7+(717.9-579.6)+(1.063197+(0.366129-0.295596))+0-580.8-0.296207999999941</f>
        <v>1643.0375220000001</v>
      </c>
      <c r="N355" s="3">
        <f>2449.2+(416.4-715.6)+(2.498184+(0.424728-0.729912))+0-458.1-0.467262000000073</f>
        <v>1693.6257380000002</v>
      </c>
      <c r="O355" s="3">
        <f>2955+(382.4-1029.7)+(-1.50705+(-0.195024--0.525147))+0-568.8--0.290087999999942</f>
        <v>1738.0131609999999</v>
      </c>
      <c r="P355" s="3">
        <f>3221.4+(388.3-1363.7)+(1.642914+(0.198033-0.695487))+0-478.9-0.244238999999951</f>
        <v>1768.0012210000002</v>
      </c>
      <c r="Q355" s="3">
        <f>3210.4+(538.2-1463.1)+(-4.911912+(-0.823446--2.238543))+0-555--0.849150000000032</f>
        <v>1727.852335</v>
      </c>
      <c r="R355" s="3">
        <f>2962.4+(626.9-1320.7)+(-9.064944+(-1.918314--4.041342))+0-507--1.55142000000006</f>
        <v>1756.2095039999997</v>
      </c>
      <c r="S355" s="3">
        <f>2800+(509.1-1062)+(-1.428+(-0.259641--0.54162))+0-533.7--0.272186999999946</f>
        <v>1712.5261659999999</v>
      </c>
      <c r="T355" s="3">
        <f>2540.1+(518.2-871.7)+(0+(0-0))+0-513.3-0</f>
        <v>1673.3</v>
      </c>
      <c r="U355" s="3">
        <f>2291.4+(566.3-719.6)+(-1.168614+(-0.288813--0.366996))+0-500--0.254999999999949</f>
        <v>1637.2645689999997</v>
      </c>
      <c r="V355" s="3">
        <f>2282.1+(575.6-689.9)+(-2.327742+(-0.587112--0.703698))+0-499.4--0.50938800000008</f>
        <v>1666.6982320000004</v>
      </c>
      <c r="W355" s="3">
        <f>2611.7+(532.6-898.4)+(-5.327868+(-1.086504--1.832736))+0-515.4--1.05141599999998</f>
        <v>1726.9697799999997</v>
      </c>
      <c r="X355" s="3">
        <f>4290.9+(494.9-2285.1)+(2.188359+(0.252399-1.165401))+0-530-0.270299999999946</f>
        <v>1971.7050569999999</v>
      </c>
      <c r="Y355" s="3">
        <f>4885+(585-2884.5)+(-7.47405+(-0.89505--4.413285))+0-460.9--0.705177000000027</f>
        <v>2121.3493619999999</v>
      </c>
      <c r="Z355" s="3">
        <f>4991.2+(476.1-2905.4)+(5.091024+(0.485622-2.963508))+0-483.3-0.492966000000077</f>
        <v>2080.7201719999994</v>
      </c>
      <c r="AA355" s="3">
        <f>4385.1+(565.9-2447.7)+(-8.945604+(-1.154436--4.993308))+0-491--1.00163999999998</f>
        <v>2008.1949080000004</v>
      </c>
      <c r="AB355" s="3">
        <f>4031.5+(547.9-2161.3)+(-2.056065+(-0.279429--1.102263))+0-505.9--0.258008999999949</f>
        <v>1911.2247779999996</v>
      </c>
      <c r="AC355" s="3">
        <f>3836.4+(440.2-1928.5)+(-5.869692+(-0.673506--2.950605))+0-496.7--0.759951000000029</f>
        <v>1848.5673580000005</v>
      </c>
      <c r="AD355">
        <v>2107.5999999999995</v>
      </c>
      <c r="AE355" s="3">
        <f>5014+(567.9-2924.8)+(0+(0-0))+0-549.5-0</f>
        <v>2107.6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3226.9+(379.7-1587.6)+(-3.291438+(-0.387294--1.619352))+0-434.8--0.443496000000069</f>
        <v>1582.5841160000004</v>
      </c>
      <c r="G356" s="3">
        <f>2530.6+(483.6-973.7)+(-2.581212+(-0.493272--0.993174))+0-476.3--0.485826000000076</f>
        <v>1562.6045160000001</v>
      </c>
      <c r="H356" s="3">
        <f>1985.1+(649.7-625.3)+(2.024802+(0.662694-0.637806))+0-515.6-0.525912000000082</f>
        <v>1495.4237779999999</v>
      </c>
      <c r="I356" s="3">
        <f>1886.9+(685.9-591.3)+(-2.886957+(-1.049427--0.904689))+0-485.5--0.742815000000028</f>
        <v>1493.7111200000002</v>
      </c>
      <c r="J356" s="3">
        <f>1831.6+(707.1-520.8)+(-1.868232+(-0.721242--0.531216))+0-528.5--0.539070000000084</f>
        <v>1487.8808120000001</v>
      </c>
      <c r="K356" s="3">
        <f>1917.9+(643.8-600.7)+(0+(0-0))+0-427.6-0</f>
        <v>1533.4</v>
      </c>
      <c r="L356" s="3">
        <f>2001+(759.7-595.9)+(0+(0-0))+0-490.3-0</f>
        <v>1674.5000000000002</v>
      </c>
      <c r="M356" s="3">
        <f>2707.5+(545.9-910.5)+(2.76165+(0.556818-0.92871))+0-566.1-0.57742200000009</f>
        <v>1778.6123359999999</v>
      </c>
      <c r="N356" s="3">
        <f>3442.7+(612.2-1720.7)+(0+(0-0))+0-562.8-0</f>
        <v>1771.3999999999999</v>
      </c>
      <c r="O356" s="3">
        <f>4004.6+(699.9-2397.5)+(2.042346+(0.356949-1.222725))+0-510.9-0.260558999999948</f>
        <v>1797.0160109999999</v>
      </c>
      <c r="P356" s="3">
        <f>4156.5+(846.3-2702.2)+(0+(0-0))+0-455.9-0</f>
        <v>1844.7000000000003</v>
      </c>
      <c r="Q356" s="3">
        <f>4571.9+(821.5-3090)+(0+(0-0))+0-494.1-0</f>
        <v>1809.2999999999997</v>
      </c>
      <c r="R356" s="3">
        <f>3928.4+(920-2630.1)+(-10.01742+(-2.346--6.706755))+0-414.4--1.05671999999994</f>
        <v>1799.3000550000002</v>
      </c>
      <c r="S356" s="3">
        <f>3523.5+(803.9-2123.9)+(-1.796985+(-0.409989--1.083189))+0-421--0.214709999999957</f>
        <v>1781.5909249999997</v>
      </c>
      <c r="T356" s="3">
        <f>3486.1+(702.3-1987.2)+(0+(0-0))+0-503.2-0</f>
        <v>1697.9999999999998</v>
      </c>
      <c r="U356" s="3">
        <f>3345.3+(624.7-1795.8)+(-1.706103+(-0.318597--0.915858))+0-482.7--0.246176999999951</f>
        <v>1690.6373350000001</v>
      </c>
      <c r="V356" s="3">
        <f>3242.8+(682.5-1654.8)+(-3.307656+(-0.69615--1.687896))+0-544.5--0.555390000000087</f>
        <v>1724.2394800000002</v>
      </c>
      <c r="W356" s="3">
        <f>3433.8+(689.4-1819.7)+(-5.253714+(-1.054782--2.784141))+0-505.9--0.774027000000029</f>
        <v>1794.8496719999998</v>
      </c>
      <c r="X356" s="3">
        <f>5092.4+(463.6-2942)+(0+(0-0))+0-585.5-0</f>
        <v>2028.4999999999995</v>
      </c>
      <c r="Y356" s="3">
        <f>5398.3+(488.6-3178.5)+(-8.259399+(-0.747558--4.863105))+0-531.1--0.812583000000031</f>
        <v>2173.9687309999999</v>
      </c>
      <c r="Z356" s="3">
        <f>4883.8+(612.6-2784.4)+(-12.45369+(-1.56213--7.10022))+0-582.9--1.48639499999992</f>
        <v>2123.670795</v>
      </c>
      <c r="AA356" s="3">
        <f>4151.3+(695.9-2244.7)+(-8.468652+(-1.419636--4.579188))+0-547.9--1.11771599999998</f>
        <v>2050.4086160000006</v>
      </c>
      <c r="AB356" s="3">
        <f>3839+(845.2-2208.1)+(-1.95789+(-0.431052--1.126131))+0-519.4--0.264893999999947</f>
        <v>1955.7020830000001</v>
      </c>
      <c r="AC356" s="3">
        <f>3314.2+(925.5-1750)+(-6.760968+(-1.88802--3.57))+0-602.6--1.22930399999997</f>
        <v>1883.2503159999997</v>
      </c>
      <c r="AD356">
        <v>2302.7000000000003</v>
      </c>
      <c r="AE356" s="3">
        <f>5785+(381.8-3334.1)+(0+(0-0))+0-530-0</f>
        <v>2302.7000000000003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2513.9+(1004.7-1350.5)+(-2.564178+(-1.024794--1.37751))+0-489.4--0.499188000000078</f>
        <v>1676.9877260000001</v>
      </c>
      <c r="G357" s="3">
        <f>2312.5+(968.9-1117.7)+(-2.35875+(-0.988278--1.140054))+0-586.3--0.598026000000093</f>
        <v>1575.7910519999998</v>
      </c>
      <c r="H357" s="3">
        <f>2252.4+(977.8-1134.9)+(-4.594896+(-1.994712--2.315196))+0-577.2--1.17748799999998</f>
        <v>1515.003076</v>
      </c>
      <c r="I357" s="3">
        <f>2293.9+(921.9-1167.5)+(0+(0-0))+0-587-0</f>
        <v>1461.3000000000002</v>
      </c>
      <c r="J357" s="3">
        <f>2301.3+(921.9-1145.7)+(-2.347326+(-0.940338--1.168614))+0-608--0.620160000000097</f>
        <v>1468.0011100000004</v>
      </c>
      <c r="K357" s="3">
        <f>2330.1+(930-1208.9)+(1.188351+(0.4743-0.616539))+0-527.2-0.268871999999947</f>
        <v>1524.7772399999999</v>
      </c>
      <c r="L357" s="3">
        <f>2400.5+(1036.3-1152.8)+(-1.224255+(-0.528513--0.587928))+0-624.4--0.318443999999937</f>
        <v>1658.753604</v>
      </c>
      <c r="M357" s="3">
        <f>2607+(983.1-1469.9)+(0+(0-0))+0-438.5-0</f>
        <v>1681.6999999999998</v>
      </c>
      <c r="N357" s="3">
        <f>3429+(937.2-2140.6)+(1.74879+(0.477972-1.091706))+0-454.7-0.231896999999954</f>
        <v>1771.8031590000005</v>
      </c>
      <c r="O357" s="3">
        <f>3873.7+(946.2-2580.3)+(-1.975587+(-0.482562--1.315953))+0-485.8--0.247757999999951</f>
        <v>1752.9055619999997</v>
      </c>
      <c r="P357" s="3">
        <f>4009.8+(967.8-2876.3)+(-2.044998+(-0.493578--1.466913))+0-337.9--0.172328999999966</f>
        <v>1762.5006659999999</v>
      </c>
      <c r="Q357" s="3">
        <f>4419.8+(873.5-2976.6)+(2.254098+(0.445485-1.518066))+0-487.2-0.248471999999951</f>
        <v>1830.4330450000002</v>
      </c>
      <c r="R357" s="3">
        <f>4085.9+(871.2-2709.8)+(-10.419045+(-2.22156--6.90999))+0-421.2--1.07405999999994</f>
        <v>1821.4434450000001</v>
      </c>
      <c r="S357" s="3">
        <f>3981.5+(799.3-2535.8)+(-8.12226+(-1.630572--5.173032))+0-464.3--0.94717199999998</f>
        <v>1777.067372</v>
      </c>
      <c r="T357" s="3">
        <f>4233.5+(796.2-2774.8)+(2.159085+(0.406062-1.415148))+0-484.6-0.247145999999951</f>
        <v>1771.202853</v>
      </c>
      <c r="U357" s="3">
        <f>3979.2+(829.6-2690.3)+(-4.058784+(-0.846192--2.744106))+0-361.4--0.368628000000058</f>
        <v>1755.3077579999995</v>
      </c>
      <c r="V357" s="3">
        <f>3702.3+(895-2246.2)+(-9.440865+(-2.28225--5.72781))+0-506.8--1.29233999999993</f>
        <v>1839.5970350000005</v>
      </c>
      <c r="W357" s="3">
        <f>3304.9+(986.2-2047.4)+(-6.741996+(-2.011848--4.176696))+0-406.8--0.829871999999982</f>
        <v>1833.152724</v>
      </c>
      <c r="X357" s="3">
        <f>4035+(992.9-2552.8)+(-2.05785+(-0.506379--1.301928))+0-496.2--0.25306199999995</f>
        <v>1977.8907609999997</v>
      </c>
      <c r="Y357" s="3">
        <f>4461.9+(970.3-2807.9)+(-6.826707+(-1.484559--4.296087))+0-521.5--0.79789500000003</f>
        <v>2099.5827159999994</v>
      </c>
      <c r="Z357" s="3">
        <f>4372.1+(1044.2-2687.6)+(-6.689313+(-1.597626--4.112028))+0-626.3--0.958239000000036</f>
        <v>2099.1833280000005</v>
      </c>
      <c r="AA357" s="3">
        <f>4486.7+(979.8-2822.9)+(-4.576434+(-0.999396--2.879358))+0-550.9--0.561918000000088</f>
        <v>2090.5654459999992</v>
      </c>
      <c r="AB357" s="3">
        <f>3951.5+(952.7-2311.5)+(-6.045795+(-1.457631--3.536595))+0-620.8--0.949824000000036</f>
        <v>1968.8829929999997</v>
      </c>
      <c r="AC357" s="3">
        <f>3651.5+(959.2-2184.7)+(-1.862265+(-0.489192--1.114197))+0-548.7--0.279836999999944</f>
        <v>1876.3425770000001</v>
      </c>
      <c r="AD357">
        <v>2174.3000000000002</v>
      </c>
      <c r="AE357" s="3">
        <f>4505+(1085.5-2898.1)+(0+(0-0))+0-518.1-0</f>
        <v>2174.3000000000002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2833.4+(1041.5-1631.9)+(-4.335102+(-1.593495--2.496807))+0-605.1--0.925803000000035</f>
        <v>1635.3940130000001</v>
      </c>
      <c r="G358" s="3">
        <f>2359.5+(1049.7-1278.7)+(-2.40669+(-1.070694--1.304274))+0-515.1--0.525402000000082</f>
        <v>1613.7522919999999</v>
      </c>
      <c r="H358" s="3">
        <f>2292.8+(1098.4-1177.1)+(-3.507984+(-1.680552--1.800963))+0-656.1--1.00383300000004</f>
        <v>1555.6162600000005</v>
      </c>
      <c r="I358" s="3">
        <f>2253.8+(1009.1-1253.4)+(-2.298876+(-1.029282--1.278468))+0-474.7--0.484194000000076</f>
        <v>1533.234504</v>
      </c>
      <c r="J358" s="3">
        <f>2358.2+(976.8-1160.5)+(2.405364+(0.996336-1.18371))+0-645.4-0.658308000000103</f>
        <v>1530.659682</v>
      </c>
      <c r="K358" s="3">
        <f>2286.4+(1012.1-1240.2)+(0+(0-0))+0-497.6-0</f>
        <v>1560.7000000000003</v>
      </c>
      <c r="L358" s="3">
        <f>2375.3+(1033.2-1171)+(1.211403+(0.526932-0.59721))+0-574.1-0.292790999999942</f>
        <v>1664.2483340000003</v>
      </c>
      <c r="M358" s="3">
        <f>2821.8+(993.9-1440.7)+(2.878236+(1.013778-1.469514))+0-593.4-0.605268000000095</f>
        <v>1783.417232</v>
      </c>
      <c r="N358" s="3">
        <f>3352.6+(930.2-1894.1)+(3.419652+(0.948804-1.931982))+0-532.9-0.543558000000085</f>
        <v>1857.6929159999997</v>
      </c>
      <c r="O358" s="3">
        <f>4146.2+(890.2-2649.8)+(2.114562+(0.454002-1.351398))+0-517-0.263669999999948</f>
        <v>1870.5534959999993</v>
      </c>
      <c r="P358" s="3">
        <f>4269.7+(824.4-2758.9)+(0+(0-0))+0-442.3-0</f>
        <v>1892.8999999999999</v>
      </c>
      <c r="Q358" s="3">
        <f>4496.9+(824.4-2926.8)+(0+(0-0))+0-531-0</f>
        <v>1863.4999999999995</v>
      </c>
      <c r="R358" s="3">
        <f>4084.9+(877.2-2617.2)+(-8.333196+(-1.789488--5.339088))+0-510.3--1.04101199999998</f>
        <v>1830.8574160000003</v>
      </c>
      <c r="S358" s="3">
        <f>3687.4+(884.4-2301.6)+(-1.880574+(-0.451044--1.173816))+0-474.8--0.242147999999952</f>
        <v>1794.4843460000002</v>
      </c>
      <c r="T358" s="3">
        <f>3458.3+(1038.7-2301.8)+(0+(0-0))+0-447.8-0</f>
        <v>1747.3999999999999</v>
      </c>
      <c r="U358" s="3">
        <f>3409.3+(1179-2469)+(-3.477486+(-1.20258--2.51838))+0-426--0.434520000000068</f>
        <v>1691.5728340000003</v>
      </c>
      <c r="V358" s="3">
        <f>3608.9+(1214.1-2557.1)+(1.840539+(0.619191-1.304121))+0-515.5-0.262904999999948</f>
        <v>1751.292704</v>
      </c>
      <c r="W358" s="3">
        <f>3559.2+(1322.4-2635)+(1.815192+(0.674424-1.34385))+0-457.1-0.233120999999954</f>
        <v>1790.4126450000001</v>
      </c>
      <c r="X358" s="3">
        <f>4337.9+(1369.1-3136.3)+(2.212329+(0.698241-1.599513))+0-529.9-0.270248999999946</f>
        <v>2041.8408079999992</v>
      </c>
      <c r="Y358" s="3">
        <f>4124.9+(1409.9-2891.9)+(-2.103699+(-0.719049--1.474869))+0-458.7--0.233936999999953</f>
        <v>2183.0860579999999</v>
      </c>
      <c r="Z358" s="3">
        <f>3949.6+(1311.5-2599.4)+(2.014296+(0.668865-1.325694))+0-532.2-0.271421999999946</f>
        <v>2130.586045</v>
      </c>
      <c r="AA358" s="3">
        <f>3416.8+(1235.2-2043.6)+(-1.742568+(-0.629952--1.042236))+0-541.1--0.275960999999945</f>
        <v>2066.2456770000003</v>
      </c>
      <c r="AB358" s="3">
        <f>3356.9+(1240.3-2150.6)+(-13.696152+(-5.060424--8.774448))+0-473.2--1.93065599999996</f>
        <v>1965.3485280000002</v>
      </c>
      <c r="AC358" s="3">
        <f>3167.2+(1052.4-1782.4)+(-9.691632+(-3.220344--5.454144))+0-577.1--1.76592600000007</f>
        <v>1854.4080939999999</v>
      </c>
      <c r="AD358">
        <v>2133.2000000000003</v>
      </c>
      <c r="AE358" s="3">
        <f>4729+(1420.1-3418.8)+(0+(0-0))+0-597.1-0</f>
        <v>2133.1999999999998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2392.5+(1111.1-1343.5)+(-3.660525+(-1.699983--2.055555))+0-437.3--0.669069000000025</f>
        <v>1720.1641160000001</v>
      </c>
      <c r="G359" s="3">
        <f>2281.2+(1083.7-1083.3)+(-1.163412+(-0.552687--0.552483))+0-677.3--0.345422999999931</f>
        <v>1603.4818070000001</v>
      </c>
      <c r="H359" s="3">
        <f>2274.1+(1025.8-1263.6)+(0+(0-0))+0-499.6-0</f>
        <v>1536.6999999999998</v>
      </c>
      <c r="I359" s="3">
        <f>2331.6+(970-1140)+(1.189116+(0.4947-0.5814))+0-659.9-0.336548999999933</f>
        <v>1502.4658670000001</v>
      </c>
      <c r="J359" s="3">
        <f>2251.4+(947.4-1315.9)+(0+(0-0))+0-421-0</f>
        <v>1461.9</v>
      </c>
      <c r="K359" s="3">
        <f>2280.2+(1021.8-1157.5)+(1.162902+(0.521118-0.590325))+0-614.5-0.313394999999938</f>
        <v>1530.7803000000001</v>
      </c>
      <c r="L359" s="3">
        <f>2179.6+(1014.3-1075.5)+(-4.446384+(-2.069172--2.19402))+0-464.1--0.94676399999998</f>
        <v>1650.9252279999998</v>
      </c>
      <c r="M359" s="3">
        <f>2918.6+(962.4-1578.3)+(4.465458+(1.472472-2.414799))+0-548.8-0.839664000000032</f>
        <v>1756.5834669999997</v>
      </c>
      <c r="N359" s="3">
        <f>3540.6+(857.3-2072.7)+(3.611412+(0.874446-2.114154))+0-531.6-0.542232000000085</f>
        <v>1795.429472</v>
      </c>
      <c r="O359" s="3">
        <f>4405.9+(745.4-2895.8)+(8.988036+(1.520616-5.907432))+0-406.5-0.829259999999982</f>
        <v>1852.7719599999996</v>
      </c>
      <c r="P359" s="3">
        <f>4357.9+(700.7-2751.2)+(0+(0-0))+0-510.6-0</f>
        <v>1796.7999999999997</v>
      </c>
      <c r="Q359" s="3">
        <f>4196.9+(669.7-2698.9)+(-2.140419+(-0.341547--1.376439))+0-370.4--0.188903999999962</f>
        <v>1796.3833769999994</v>
      </c>
      <c r="R359" s="3">
        <f>3993.3+(707.3-2348.8)+(0+(0-0))+0-493-0</f>
        <v>1858.8000000000002</v>
      </c>
      <c r="S359" s="3">
        <f>3496.3+(691.2-1949.8)+(0+(0-0))+0-490-0</f>
        <v>1747.7000000000003</v>
      </c>
      <c r="T359" s="3">
        <f>3651.3+(682.4-2090.3)+(0+(0-0))+0-540-0</f>
        <v>1703.4</v>
      </c>
      <c r="U359" s="3">
        <f>3449.3+(728.8-2099.4)+(-5.277429+(-1.115064--3.212082))+0-384.2--0.587826000000022</f>
        <v>1691.9074149999999</v>
      </c>
      <c r="V359" s="3">
        <f>3211.2+(797.3-1779.8)+(6.550848+(1.626492-3.630792))+0-496.2-1.01224799999998</f>
        <v>1736.0342999999996</v>
      </c>
      <c r="W359" s="3">
        <f>3475.9+(843-1947.2)+(-1.772709+(-0.42993--0.993072))+0-557.1--0.284120999999944</f>
        <v>1813.6745539999999</v>
      </c>
      <c r="X359" s="3">
        <f>4396.6+(842-2745.4)+(0+(0-0))+0-475.4-0</f>
        <v>2017.8000000000002</v>
      </c>
      <c r="Y359" s="3">
        <f>4611.4+(848.8-2785.4)+(-7.055442+(-1.298664--4.261662))+0-548.2--0.838746000000032</f>
        <v>2123.3463019999995</v>
      </c>
      <c r="Z359" s="3">
        <f>4066.2+(823.9-2375.5)+(-2.073762+(-0.420189--1.211505))+0-450.6--0.229805999999954</f>
        <v>2062.9473599999997</v>
      </c>
      <c r="AA359" s="3">
        <f>3771.9+(844.3-2093.2)+(-1.923669+(-0.430593--1.067532))+0-547.7--0.279326999999944</f>
        <v>1974.2925970000001</v>
      </c>
      <c r="AB359" s="3">
        <f>3358.2+(892.5-1888.2)+(-8.56341+(-2.275875--4.81491))+0-458.1--1.16815499999993</f>
        <v>1899.54378</v>
      </c>
      <c r="AC359" s="3">
        <f>2810.9+(997.7-1535.9)+(-7.167795+(-2.544135--3.916545))+0-490.9--1.25179499999993</f>
        <v>1777.2564099999997</v>
      </c>
      <c r="AD359">
        <v>2058.9</v>
      </c>
      <c r="AE359" s="3">
        <f>4885+(800.2-3127.6)+(0+(0-0))+0-498.7-0</f>
        <v>2058.9000000000005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2549.8+(977.6-1487.6)+(-2.600796+(-0.997152--1.517352))+0-408.7--0.416874000000065</f>
        <v>1629.4362780000001</v>
      </c>
      <c r="G360" s="3">
        <f>2203.2+(1103.6-1288.6)+(-1.123632+(-0.562836--0.657186))+0-481.5--0.245564999999951</f>
        <v>1535.9162829999998</v>
      </c>
      <c r="H360" s="3">
        <f>2226.9+(1151.9-1332.9)+(0+(0-0))+0-595.7-0</f>
        <v>1450.2</v>
      </c>
      <c r="I360" s="3">
        <f>2178+(1142.2-1392.9)+(2.22156+(1.165044-1.420758))+0-510.5-0.520710000000081</f>
        <v>1418.245136</v>
      </c>
      <c r="J360" s="3">
        <f>2221+(1075.1-1291.3)+(5.66355+(2.741505-3.292815))+0-612.4-1.56161999999991</f>
        <v>1395.9506200000001</v>
      </c>
      <c r="K360" s="3">
        <f>2284.4+(1076.6-1340.3)+(5.82522+(2.74533-3.417765))+0-600.5-1.53127499999991</f>
        <v>1423.8215100000002</v>
      </c>
      <c r="L360" s="3">
        <f>2146.5+(1115.9-1168.5)+(1.094715+(0.569109-0.595935))+0-561.5-0.286364999999943</f>
        <v>1533.1815240000001</v>
      </c>
      <c r="M360" s="3">
        <f>2500.8+(1022.9-1381.4)+(0+(0-0))+0-548.1-0</f>
        <v>1594.2000000000003</v>
      </c>
      <c r="N360" s="3">
        <f>3144.1+(903.6-1813.9)+(0+(0-0))+0-527.5-0</f>
        <v>1706.2999999999997</v>
      </c>
      <c r="O360" s="3">
        <f>3961.6+(774.1-2514.5)+(4.040832+(0.789582-2.56479))+0-514.3-0.524586000000082</f>
        <v>1708.641038</v>
      </c>
      <c r="P360" s="3">
        <f>4266.1+(693-2788.9)+(-2.175711+(-0.35343--1.422339))+0-461.7--0.235466999999953</f>
        <v>1707.6286650000004</v>
      </c>
      <c r="Q360" s="3">
        <f>4418.8+(628-2903.7)+(-4.507176+(-0.64056--2.961774))+0-445.9--0.454818000000071</f>
        <v>1695.4688560000004</v>
      </c>
      <c r="R360" s="3">
        <f>3970.4+(602.3-2469.1)+(-4.049808+(-0.614346--2.518482))+0-413.4--0.421668000000066</f>
        <v>1688.4759960000001</v>
      </c>
      <c r="S360" s="3">
        <f>3907+(615.3-2170.5)+(-1.99257+(-0.313803--1.106955))+0-621.1--0.316760999999937</f>
        <v>1729.8173430000002</v>
      </c>
      <c r="T360" s="3">
        <f>3570+(672.4-2194.4)+(-7.2828+(-1.371696--4.476576))+0-352.2--0.718487999999985</f>
        <v>1692.3405679999998</v>
      </c>
      <c r="U360" s="3">
        <f>3571+(828.6-2063.2)+(0+(0-0))+0-536.7-0</f>
        <v>1799.7</v>
      </c>
      <c r="V360" s="3">
        <f>3617+(892.3-2078.3)+(-3.68934+(-0.910146--2.119866))+0-587.4--0.599148000000094</f>
        <v>1841.7195279999999</v>
      </c>
      <c r="W360" s="3">
        <f>3072.4+(1031.8-1601.4)+(-1.566924+(-0.526218--0.816714))+0-561.9--0.286568999999943</f>
        <v>1939.9101409999998</v>
      </c>
      <c r="X360" s="3">
        <f>3949.1+(1044.9-2672.2)+(-2.014041+(-0.532899--1.362822))+0-718.1--0.366230999999927</f>
        <v>1602.8821130000001</v>
      </c>
      <c r="Y360" s="3">
        <f>5333.1+(476.7-3407.9)+(-5.439762+(-0.486234--3.476058))+0-546.6--0.557532000000087</f>
        <v>1853.407594</v>
      </c>
      <c r="Z360" s="3">
        <f>5186.7+(379.8-3194.7)+(-13.226085+(-0.96849--8.146485))+0-566.3--1.44406499999992</f>
        <v>1800.8959750000004</v>
      </c>
      <c r="AA360" s="3">
        <f>4805.8+(363.8-2717.1)+(-4.901916+(-0.371076--2.771442))+0-556.8--0.567936000000089</f>
        <v>1893.7663860000007</v>
      </c>
      <c r="AB360" s="3">
        <f>4540.7+(390.8-2511.6)+(-6.947271+(-0.597924--3.842748))+0-561.5--0.859095000000032</f>
        <v>1855.556648</v>
      </c>
      <c r="AC360" s="3">
        <f>4070.4+(499.4-2191.5)+(-6.227712+(-0.764082--3.352995))+0-567.1--0.867663000000033</f>
        <v>1808.4288640000004</v>
      </c>
      <c r="AD360">
        <v>2017.1999999999998</v>
      </c>
      <c r="AE360" s="3">
        <f>5417+(717.7-3600.6)+(0+(0-0))+0-516.9-0</f>
        <v>2017.2000000000003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3262+(652.2-1586.1)+(-3.32724+(-0.665244--1.617822))+0-610--0.622200000000097</f>
        <v>1716.3475380000002</v>
      </c>
      <c r="G361" s="3">
        <f>2548+(747.7-1084.6)+(1.29948+(0.381327-0.553146))+0-577.9-0.294728999999941</f>
        <v>1634.0329320000003</v>
      </c>
      <c r="H361" s="3">
        <f>2342.7+(822.2-981.4)+(-3.584331+(-1.257966--1.501542))+0-598--0.914940000000035</f>
        <v>1583.0741849999999</v>
      </c>
      <c r="I361" s="3">
        <f>2253+(828.3-981.6)+(-2.29806+(-0.844866--1.001232))+0-515.6--0.525912000000082</f>
        <v>1582.4842180000001</v>
      </c>
      <c r="J361" s="3">
        <f>2165.4+(876.2-892.7)+(-3.313062+(-1.340586--1.365831))+0-569.7--0.871641000000033</f>
        <v>1576.7838240000001</v>
      </c>
      <c r="K361" s="3">
        <f>2472.1+(759.4-1077.5)+(3.782313+(1.161882-1.648575))+0-572.3-0.875619000000033</f>
        <v>1584.1200009999998</v>
      </c>
      <c r="L361" s="3">
        <f>2186.9+(731.9-767.6)+(-2.230638+(-0.746538--0.782952))+0-496.1--0.506022000000079</f>
        <v>1653.4117980000001</v>
      </c>
      <c r="M361" s="3">
        <f>2698.1+(565.5-981.4)+(0+(0-0))+0-605.8-0</f>
        <v>1676.3999999999999</v>
      </c>
      <c r="N361" s="3">
        <f>4057+(151.4-2108)+(4.13814+(0.154428-2.15016))+0-472.7-0.482154000000075</f>
        <v>1629.3602540000002</v>
      </c>
      <c r="O361" s="3">
        <f>4726.3+(270.8-2690.4)+(7.231239+(0.414324-4.116312))+0-529.9-0.810747000000031</f>
        <v>1779.5185040000001</v>
      </c>
      <c r="P361" s="3">
        <f>5064.5+(331.8-3164.7)+(0+(0-0))+0-523.7-0</f>
        <v>1707.9000000000003</v>
      </c>
      <c r="Q361" s="3">
        <f>5148.8+(324.1-3315.6)+(-2.625888+(-0.165291--1.690956))+0-426.8--0.217667999999957</f>
        <v>1729.6174450000003</v>
      </c>
      <c r="R361" s="3">
        <f>4520.3+(437.6-2771.4)+(-18.442824+(-1.785408--11.307312))+0-563.6--2.29948799999995</f>
        <v>1616.278568</v>
      </c>
      <c r="S361" s="3">
        <f>3744.9+(317.9-2167.7)+(-7.639596+(-0.648516--4.422108))+0-411.9--0.840275999999982</f>
        <v>1480.1742720000002</v>
      </c>
      <c r="T361" s="3">
        <f>3448.2+(325.7-1770.6)+(1.758582+(0.166107-0.903006))+0-552-0.281519999999944</f>
        <v>1452.0401629999999</v>
      </c>
      <c r="U361" s="3">
        <f>3023.3+(206.1-1506.5)+(-9.251298+(-0.630666--4.60989))+0-458.8--1.40392800000005</f>
        <v>1260.2318540000001</v>
      </c>
      <c r="V361" s="3">
        <f>2980.9+(203.5-1053.3)+(-9.121554+(-0.62271--3.223098))+0-484.6--1.48287600000006</f>
        <v>1641.4617100000005</v>
      </c>
      <c r="W361" s="3">
        <f>3235.6+(212.3-1165.3)+(-4.950468+(-0.324819--1.782909))+0-492.9--0.754137000000028</f>
        <v>1786.961759</v>
      </c>
      <c r="X361" s="3">
        <f>4322+(103.1-2026.1)+(-2.20422+(-0.052581--1.033311))+0-480.6--0.245105999999951</f>
        <v>1917.4216160000001</v>
      </c>
      <c r="Y361" s="3">
        <f>4391.6+(126.1-1977.7)+(-8.958864+(-0.257244--4.034508))+0-544--1.10975999999998</f>
        <v>1991.9281600000002</v>
      </c>
      <c r="Z361" s="3">
        <f>4436.2+(127.3-2086.5)+(2.262462+(0.064923-1.064115))+0-516.3-0.263312999999948</f>
        <v>1961.699957</v>
      </c>
      <c r="AA361" s="3">
        <f>3925.4+(259.6-1696.1)+(-6.005862+(-0.397188--2.595033))+0-566.7--0.867051000000033</f>
        <v>1919.2590340000002</v>
      </c>
      <c r="AB361" s="3">
        <f>3397.3+(371.3-1308.9)+(-1.732623+(-0.189363--0.667539))+0-592.1--0.30197099999994</f>
        <v>1866.647524</v>
      </c>
      <c r="AC361" s="3">
        <f>2766.5+(479.2-871)+(-9.876405+(-1.710744--3.10947))+0-608.6--2.17270200000001</f>
        <v>1759.7950229999999</v>
      </c>
      <c r="AD361">
        <v>1936.8999999999999</v>
      </c>
      <c r="AE361" s="3">
        <f>4806+(98.5-2367.8)+(0+(0-0))+0-599.8-0</f>
        <v>1936.8999999999999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2519+(586.9-885.9)+(-2.56938+(-0.598638--0.903618))+0-547.5--0.558450000000087</f>
        <v>1670.79405</v>
      </c>
      <c r="G362" s="3">
        <f>2540.6+(560-927.1)+(-5.182824+(-1.1424--1.891284))+0-608--1.24031999999997</f>
        <v>1562.30638</v>
      </c>
      <c r="H362" s="3">
        <f>2387+(585.3-822.8)+(-3.65211+(-0.895509--1.258884))+0-655.6--1.00306800000004</f>
        <v>1491.614333</v>
      </c>
      <c r="I362" s="3">
        <f>2260.9+(608.5-799.6)+(-4.612236+(-1.24134--1.631184))+0-626.2--1.27744799999997</f>
        <v>1440.6550560000001</v>
      </c>
      <c r="J362" s="3">
        <f>2338.1+(444.3-711.8)+(3.577293+(0.679779-1.089054))+0-659.3-1.00872900000004</f>
        <v>1413.4592889999997</v>
      </c>
      <c r="K362" s="3">
        <f>2613.5+(371.3-890.8)+(5.33154+(0.757452-1.817232))+0-653.7-1.33354799999997</f>
        <v>1443.238212</v>
      </c>
      <c r="L362" s="3">
        <f>2198.4+(574.1-700.9)+(-1.121184+(-0.292791--0.357459))+0-586.4--0.29906399999994</f>
        <v>1484.4425480000002</v>
      </c>
      <c r="M362" s="3">
        <f>2336.2+(473.4-784)+(-1.191462+(-0.241434--0.39984))+0-482.3--0.245972999999951</f>
        <v>1542.512917</v>
      </c>
      <c r="N362" s="3">
        <f>2539+(419.3-663.3)+(-3.88467+(-0.641529--1.014849))+0-675.1--1.03290300000004</f>
        <v>1617.4215529999999</v>
      </c>
      <c r="O362" s="3">
        <f>2685.8+(365-746.1)+(0+(0-0))+0-613.8-0</f>
        <v>1690.9000000000003</v>
      </c>
      <c r="P362" s="3">
        <f>3226.8+(175.3-1020)+(6.582672+(0.357612-2.0808))+0-655-1.33619999999997</f>
        <v>1730.6232840000005</v>
      </c>
      <c r="Q362" s="3">
        <f>3361.5+(92.2-1127.5)+(-1.714365+(-0.047022--0.575025))+0-598.3--0.305132999999939</f>
        <v>1727.0187709999998</v>
      </c>
      <c r="R362" s="3">
        <f>3052+(218.9-965.9)+(-7.7826+(-0.558195--2.463045))+0-609.1--1.55320499999991</f>
        <v>1691.5754549999999</v>
      </c>
      <c r="S362" s="3">
        <f>2750.8+(314.6-832)+(-1.402908+(-0.160446--0.42432))+0-542--0.276419999999945</f>
        <v>1690.5373860000002</v>
      </c>
      <c r="T362" s="3">
        <f>2725.9+(395.7-828.4)+(-6.951045+(-1.009035--2.11242))+0-632--1.61159999999991</f>
        <v>1656.9639400000003</v>
      </c>
      <c r="U362" s="3">
        <f>2401.3+(463.5-640)+(-1.224663+(-0.236385--0.3264))+0-591.5--0.30166499999994</f>
        <v>1632.4670169999999</v>
      </c>
      <c r="V362" s="3">
        <f>2440.2+(449.9-620.3)+(-1.244502+(-0.229449--0.316353))+0-621--0.316709999999937</f>
        <v>1647.9591119999998</v>
      </c>
      <c r="W362" s="3">
        <f>2679.5+(349.3-745.1)+(1.366545+(0.178143-0.380001))+0-593.5-0.30268499999994</f>
        <v>1691.0620019999999</v>
      </c>
      <c r="X362" s="3">
        <f>3613.9+(114.2-1206.7)+(0+(0-0))+0-670.1-0</f>
        <v>1851.3000000000002</v>
      </c>
      <c r="Y362" s="3">
        <f>4395.7+(110-1984.1)+(-11.209035+(-0.2805--5.059455))+0-533.3--1.35991499999992</f>
        <v>1983.2298349999999</v>
      </c>
      <c r="Z362" s="3">
        <f>4893.2+(114-2403.6)+(0+(0-0))+0-651.3-0</f>
        <v>1952.3</v>
      </c>
      <c r="AA362" s="3">
        <f>4989.1+(103.4-2568.5)+(-15.266646+(-0.316404--7.85961))+0-644.7--1.97278200000007</f>
        <v>1873.5493420000003</v>
      </c>
      <c r="AB362" s="3">
        <f>4595+(151.7-2418.2)+(-2.34345+(-0.077367--1.233282))+0-508.4--0.259283999999948</f>
        <v>1819.1717489999999</v>
      </c>
      <c r="AC362" s="3">
        <f>4132.4+(240.1-1985.5)+(-8.430096+(-0.489804--4.05042))+0-691--1.40963999999997</f>
        <v>1692.5401599999998</v>
      </c>
      <c r="AD362">
        <v>1986.5000000000002</v>
      </c>
      <c r="AE362" s="3">
        <f>4285+(112-1815.7)+(0+(0-0))+0-594.8-0</f>
        <v>1986.5000000000002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2747+(466.2-1000.9)+(-2.80194+(-0.475524--1.020918))+0-619.8--0.632196000000099</f>
        <v>1590.8756500000002</v>
      </c>
      <c r="G363" s="3">
        <f>2370.7+(560.7-738.6)+(-2.418114+(-0.571914--0.753372))+0-691.8--0.70563600000011</f>
        <v>1499.4689799999999</v>
      </c>
      <c r="H363" s="3">
        <f>2208.3+(539.5-729.2)+(0+(0-0))+0-576.9-0</f>
        <v>1441.7000000000003</v>
      </c>
      <c r="I363" s="3">
        <f>2165.4+(524.7-683.2)+(-3.313062+(-0.802791--1.045296))+0-597.1--0.913563000000035</f>
        <v>1407.6430060000002</v>
      </c>
      <c r="J363" s="3">
        <f>2216.7+(480.4-729.4)+(1.130517+(0.245004-0.371994))+0-568.7-0.290036999999942</f>
        <v>1399.7134899999999</v>
      </c>
      <c r="K363" s="3">
        <f>2314.6+(474.6-758)+(3.541338+(0.726138-1.15974))+0-609-0.931770000000035</f>
        <v>1424.3759659999996</v>
      </c>
      <c r="L363" s="3">
        <f>2091.7+(631.9-628.3)+(-5.333835+(-1.611345--1.602165))+0-573--1.46114999999992</f>
        <v>1518.4181349999997</v>
      </c>
      <c r="M363" s="3">
        <f>2347.2+(500.7-682.4)+(-4.788288+(-1.021428--1.392096))+0-588.7--1.20094799999997</f>
        <v>1573.5833279999997</v>
      </c>
      <c r="N363" s="3">
        <f>2485.2+(465.1-793)+(0+(0-0))+0-462.8-0</f>
        <v>1694.4999999999998</v>
      </c>
      <c r="O363" s="3">
        <f>2924.7+(264.5-846)+(1.491597+(0.134895-0.43146))+0-531.1-0.270860999999946</f>
        <v>1813.024171</v>
      </c>
      <c r="P363" s="3">
        <f>3190+(153.6-983.4)+(0+(0-0))+0-505.4-0</f>
        <v>1854.7999999999997</v>
      </c>
      <c r="Q363" s="3">
        <f>3718.4+(91.1-1301.3)+(0+(0-0))+0-639.9-0</f>
        <v>1868.2999999999997</v>
      </c>
      <c r="R363" s="3">
        <f>3264.2+(83-992.7)+(-6.658968+(-0.16932--2.025108))+0-539.7--1.10098799999998</f>
        <v>1811.097808</v>
      </c>
      <c r="S363" s="3">
        <f>3466.8+(89.8-1072.7)+(-5.304204+(-0.137394--1.641231))+0-732.7--1.12103100000004</f>
        <v>1748.5206640000004</v>
      </c>
      <c r="T363" s="3">
        <f>3083.1+(157.4-1047.2)+(-1.572381+(-0.080274--0.534072))+0-539--0.274889999999945</f>
        <v>1653.4563069999997</v>
      </c>
      <c r="U363" s="3">
        <f>3023+(181-1037)+(0+(0-0))+0-561-0</f>
        <v>1606</v>
      </c>
      <c r="V363" s="3">
        <f>3239.6+(239.9-1073.3)+(-4.956588+(-0.367047--1.642149))+0-688.2--1.05294600000004</f>
        <v>1715.3714599999998</v>
      </c>
      <c r="W363" s="3">
        <f>3085.2+(236.3-1033.3)+(0+(0-0))+0-494.6-0</f>
        <v>1793.6</v>
      </c>
      <c r="X363" s="3">
        <f>3679.1+(265.9-1323.4)+(-1.876341+(-0.135609--0.674934))+0-630.5--0.321554999999936</f>
        <v>1990.0845389999999</v>
      </c>
      <c r="Y363" s="3">
        <f>3955.8+(105.4-1410.2)+(-6.052374+(-0.161262--2.157606))+0-530.2--0.811206000000031</f>
        <v>2117.5551759999994</v>
      </c>
      <c r="Z363" s="3">
        <f>3910+(151.6-1239.9)+(-5.9823+(-0.231948--1.897047))+0-712.8--1.09058400000004</f>
        <v>2105.6733829999998</v>
      </c>
      <c r="AA363" s="3">
        <f>4198.6+(118-1606.2)+(-4.282572+(-0.12036--1.638324))+0-641.7--0.654534000000102</f>
        <v>2066.5899260000006</v>
      </c>
      <c r="AB363" s="3">
        <f>4102.1+(136.4-1616.4)+(-10.460355+(-0.34782--4.12182))+0-640.4--1.63301999999991</f>
        <v>1976.6466650000004</v>
      </c>
      <c r="AC363" s="3">
        <f>3609.6+(225.4-1317.9)+(-5.522688+(-0.344862--2.016387))+0-655.7--1.00322100000004</f>
        <v>1858.552058</v>
      </c>
      <c r="AD363">
        <v>1996.6999999999998</v>
      </c>
      <c r="AE363" s="3">
        <f>3941.2+(111-1518.4)+(0+(0-0))+0-537.1-0</f>
        <v>1996.6999999999998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2652.8+(504-812)+(-6.76464+(-1.2852--2.0706))+0-656.2--1.6733099999999</f>
        <v>1684.2940699999999</v>
      </c>
      <c r="G364" s="3">
        <f>2224.4+(702.5-717.1)+(-5.67222+(-1.791375--1.828605))+0-630.8--1.60853999999991</f>
        <v>1574.9735500000002</v>
      </c>
      <c r="H364" s="3">
        <f>2069.1+(711.6-659.8)+(-1.055241+(-0.362916--0.336498))+0-620.7--0.316556999999937</f>
        <v>1499.434898</v>
      </c>
      <c r="I364" s="3">
        <f>1972.4+(720-561.4)+(-3.017772+(-1.1016--0.858942))+0-673.4--1.03030200000004</f>
        <v>1455.3698720000002</v>
      </c>
      <c r="J364" s="3">
        <f>1968.3+(716.6-586)+(-3.011499+(-1.096398--0.89658))+0-643.8--0.985014000000037</f>
        <v>1452.8736970000004</v>
      </c>
      <c r="K364" s="3">
        <f>2013.6+(669.6-618.8)+(-3.080808+(-1.024488--0.946764))+0-551.8--0.844254000000032</f>
        <v>1510.2857220000003</v>
      </c>
      <c r="L364" s="3">
        <f>2034.5+(838.1-617.8)+(-2.07519+(-0.854862--0.630156))+0-664.9--0.678198000000106</f>
        <v>1588.2783020000002</v>
      </c>
      <c r="M364" s="3">
        <f>2210.1+(759-749.1)+(1.127151+(0.38709-0.382041))+0-574.6-0.293045999999942</f>
        <v>1646.2391540000001</v>
      </c>
      <c r="N364" s="3">
        <f>2599.1+(443.9-847.7)+(1.325541+(0.226389-0.432327))+0-452.1-0.230570999999954</f>
        <v>1744.0890319999999</v>
      </c>
      <c r="O364" s="3">
        <f>2911.1+(425.7-947.2)+(0+(0-0))+0-551.4-0</f>
        <v>1838.1999999999998</v>
      </c>
      <c r="P364" s="3">
        <f>2743.3+(483.9-853.6)+(-4.197249+(-0.740367--1.306008))+0-499.2--0.763776000000029</f>
        <v>1871.5321680000002</v>
      </c>
      <c r="Q364" s="3">
        <f>2906.2+(368.2-882.9)+(0+(0-0))+0-508.7-0</f>
        <v>1882.8</v>
      </c>
      <c r="R364" s="3">
        <f>3174.9+(217.9-986.2)+(-3.238398+(-0.222258--1.005924))+0-524.7--0.535194000000084</f>
        <v>1879.9804619999998</v>
      </c>
      <c r="S364" s="3">
        <f>2869.9+(231.1-761.3)+(-2.927298+(-0.235722--0.776526))+0-447.7--0.456654000000071</f>
        <v>1890.0701600000004</v>
      </c>
      <c r="T364" s="3">
        <f>2874+(288.6-788.4)+(0+(0-0))+0-531.2-0</f>
        <v>1842.9999999999998</v>
      </c>
      <c r="U364" s="3">
        <f>2823.5+(382.5-756.9)+(-1.439985+(-0.195075--0.386019))+0-624.6--0.318545999999937</f>
        <v>1823.5695049999999</v>
      </c>
      <c r="V364" s="3">
        <f>2717.1+(398.7-731)+(-1.385721+(-0.203337--0.37281))+0-535--0.272849999999946</f>
        <v>1848.8566019999994</v>
      </c>
      <c r="W364" s="3">
        <f>2793.4+(287.9-667.4)+(-2.849268+(-0.293658--0.680748))+0-549--0.559980000000088</f>
        <v>1862.9978019999999</v>
      </c>
      <c r="X364" s="3">
        <f>3810.6+(163.9-1302.6)+(-1.943406+(-0.083589--0.664326))+0-600.8--0.306407999999939</f>
        <v>2070.0437390000002</v>
      </c>
      <c r="Y364" s="3">
        <f>4219.5+(284.7-1565)+(-10.759725+(-0.725985--3.99075))+0-645.6--1.64627999999991</f>
        <v>2287.7513199999999</v>
      </c>
      <c r="Z364" s="3">
        <f>3926.7+(320.7-1351.4)+(-12.015702+(-0.981342--4.135284))+0-681.1--2.08416600000008</f>
        <v>2208.1224060000004</v>
      </c>
      <c r="AA364" s="3">
        <f>3723.8+(295.7-1234.3)+(-3.798276+(-0.301614--1.258986))+0-649.3--0.662286000000104</f>
        <v>2133.7213820000002</v>
      </c>
      <c r="AB364" s="3">
        <f>3897.1+(296.8-1448.5)+(-7.950084+(-0.605472--2.95494))+0-691.4--1.41045599999997</f>
        <v>2049.8098399999994</v>
      </c>
      <c r="AC364" s="3">
        <f>3715.8+(304.1-1418.7)+(-3.790116+(-0.310182--1.447074))+0-654.7--0.667794000000104</f>
        <v>1944.5145700000003</v>
      </c>
      <c r="AD364">
        <v>2264.1999999999998</v>
      </c>
      <c r="AE364" s="3">
        <f>4067.2+(303-1422.1)+(0+(0-0))+0-683.9-0</f>
        <v>2264.1999999999998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3054+(427-987)+(1.55754+(0.21777-0.50337))+0-648.6-0.330785999999934</f>
        <v>1846.3411540000002</v>
      </c>
      <c r="G365" s="3">
        <f>2066.8+(881.1-525.9)+(-5.27034+(-2.246805--1.341045))+0-650--1.65749999999991</f>
        <v>1767.4813999999997</v>
      </c>
      <c r="H365" s="3">
        <f>1992.7+(870.6-534)+(-1.016277+(-0.444006--0.27234))+0-634.3--0.323492999999936</f>
        <v>1694.1355500000002</v>
      </c>
      <c r="I365" s="3">
        <f>2074.2+(846.7-585.5)+(-2.115684+(-0.863634--0.59721))+0-689--0.70278000000011</f>
        <v>1644.7206719999999</v>
      </c>
      <c r="J365" s="3">
        <f>2052.2+(723.5-560.7)+(3.139866+(1.106955-0.857871))+0-598.6-0.915858000000035</f>
        <v>1618.873092</v>
      </c>
      <c r="K365" s="3">
        <f>2273.9+(748.4-680)+(1.159689+(0.381684-0.3468))+0-695.6-0.354755999999929</f>
        <v>1647.5398170000005</v>
      </c>
      <c r="L365" s="3">
        <f>1944.9+(955.3-575)+(-3.967596+(-1.948812--1.173))+0-636--1.29743999999997</f>
        <v>1685.7540320000001</v>
      </c>
      <c r="M365" s="3">
        <f>2038+(851.2-553.7)+(1.03938+(0.434112-0.282387))+0-575.5-0.293504999999942</f>
        <v>1760.8976</v>
      </c>
      <c r="N365" s="3">
        <f>2266.9+(848.8-658.3)+(2.312238+(0.865776-0.671466))+0-585.7-0.597414000000093</f>
        <v>1873.6091339999998</v>
      </c>
      <c r="O365" s="3">
        <f>2467.3+(773.1-783)+(-1.258323+(-0.394281--0.39933))+0-536.8--0.273767999999946</f>
        <v>1919.620494</v>
      </c>
      <c r="P365" s="3">
        <f>2496.7+(710.6-714.8)+(-5.093268+(-1.449624--1.458192))+0-565.1--1.15280399999998</f>
        <v>1923.4681040000003</v>
      </c>
      <c r="Q365" s="3">
        <f>2273+(850.1-662)+(-1.15923+(-0.433551--0.33762))+0-574--0.292739999999942</f>
        <v>1886.1375789999997</v>
      </c>
      <c r="R365" s="3">
        <f>2033.3+(960.8-542.3)+(-6.221898+(-2.940048--1.659438))+0-539.7--1.65148200000006</f>
        <v>1906.2489740000001</v>
      </c>
      <c r="S365" s="3">
        <f>2086.8+(930.5-527)+(1.064268+(0.474555-0.26877))+0-629.6-0.321095999999936</f>
        <v>1861.6489570000006</v>
      </c>
      <c r="T365" s="3">
        <f>2242+(731.5-618.3)+(-1.14342+(-0.373065--0.315333))+0-541--0.275909999999945</f>
        <v>1813.2747579999996</v>
      </c>
      <c r="U365" s="3">
        <f>2324.6+(556.2-528.5)+(-1.185546+(-0.283662--0.269535))+0-590.2--0.30100199999994</f>
        <v>1761.201329</v>
      </c>
      <c r="V365" s="3">
        <f>2469.5+(455-640.5)+(0+(0-0))+0-511.3-0</f>
        <v>1772.7</v>
      </c>
      <c r="W365" s="3">
        <f>2797.3+(374.2-746.2)+(-5.706492+(-0.763368--1.522248))+0-603--1.23011999999997</f>
        <v>1818.5825080000002</v>
      </c>
      <c r="X365" s="3">
        <f>3716.4+(172.6-1220.3)+(-5.686092+(-0.264078--1.867059))+0-670.2--1.02540600000004</f>
        <v>1995.4422949999998</v>
      </c>
      <c r="Y365" s="3">
        <f>4730.6+(141.4-2044.6)+(-7.237818+(-0.216342--3.128238))+0-665.6--1.01836800000004</f>
        <v>2158.4924460000007</v>
      </c>
      <c r="Z365" s="3">
        <f>4695.8+(165.6-2033.6)+(-11.97429+(-0.42228--5.18568))+0-676.3--1.7245649999999</f>
        <v>2146.0136750000006</v>
      </c>
      <c r="AA365" s="3">
        <f>4695.6+(201.4-2106.6)+(-9.579024+(-0.410856--4.297464))+0-653.5--1.33313999999997</f>
        <v>2132.5407240000009</v>
      </c>
      <c r="AB365" s="3">
        <f>4579.8+(230.3-2107.5)+(-9.342792+(-0.469812--4.2993))+0-655.7--1.33762799999997</f>
        <v>2042.7243240000003</v>
      </c>
      <c r="AC365" s="3">
        <f>4127.4+(274.5-1756.6)+(-6.314922+(-0.419985--2.687598))+0-674.9--1.03259700000004</f>
        <v>1967.3852879999997</v>
      </c>
      <c r="AD365">
        <v>2147.3000000000011</v>
      </c>
      <c r="AE365" s="3">
        <f>4731.1+(170.1-1984.1)+(0+(0-0))+0-769.8-0</f>
        <v>2147.3000000000002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1517.3+(93.3-291.6)+(-3.869115+(-0.237915--0.74358))+0--30.9-0.0787949999999955</f>
        <v>1346.4577550000001</v>
      </c>
      <c r="G1" s="3">
        <f>1521.9+(61.7-339.7)+(-2.328507+(-0.094401--0.519741))+0--31.3-0.0478890000000018</f>
        <v>1273.2489440000002</v>
      </c>
      <c r="H1" s="3">
        <f>1529.2+(62.7-381.8)+(-0.779892+(-0.031977--0.194718))+0--30.9-0.0157589999999969</f>
        <v>1240.3670900000002</v>
      </c>
      <c r="I1" s="3">
        <f>1506.1+(62.4-411.4)+(-3.840555+(-0.15912--1.04907))+0--31.2-0.0795599999999955</f>
        <v>1185.2698350000001</v>
      </c>
      <c r="J1" s="3">
        <f>1462.1+(58.1-414.2)+(-0.745671+(-0.029631--0.211242))+0--31.5-0.0160649999999968</f>
        <v>1136.919875</v>
      </c>
      <c r="K1" s="3">
        <f>1453.6+(57.9-401.7)+(-3.70668+(-0.147645--1.024335))+0--30.9-0.0787949999999955</f>
        <v>1137.7912150000002</v>
      </c>
      <c r="L1" s="3">
        <f>1398.1+(58-375.7)+(0+(0-0))+0--31.3-0</f>
        <v>1111.6999999999998</v>
      </c>
      <c r="M1" s="3">
        <f>1413.3+(61-375.9)+(0+(0-0))+0--53.6-0</f>
        <v>1152</v>
      </c>
      <c r="N1" s="3">
        <f>1519.8+(62.2-449.9)+(-2.325294+(-0.095166--0.688347))+0--97.4-0.149022000000006</f>
        <v>1227.6188649999999</v>
      </c>
      <c r="O1" s="3">
        <f>1514.4+(60.7-407.5)+(-0.772344+(-0.030957--0.207825))+0--96.9-0.0494189999999902</f>
        <v>1263.8551050000003</v>
      </c>
      <c r="P1" s="3">
        <f>1503.8+(58.8-379.7)+(-2.300814+(-0.089964--0.580941))+0--94-0.143820000000005</f>
        <v>1274.9463430000001</v>
      </c>
      <c r="Q1" s="3">
        <f>1496.9+(57.5-377.8)+(-2.290257+(-0.087975--0.578034))+0--93.5-0.143055000000005</f>
        <v>1268.1567470000002</v>
      </c>
      <c r="R1" s="3">
        <f>1490.8+(56.8-390.8)+(-0.760308+(-0.028968--0.199308))+0--94.9-0.0483989999999904</f>
        <v>1251.061633</v>
      </c>
      <c r="S1" s="3">
        <f>1563.6+(55.8-435.7)+(1.594872+(0.056916-0.444414))+0--51.3--0.0523260000000082</f>
        <v>1236.2596999999998</v>
      </c>
      <c r="T1" s="3">
        <f>1562.8+(55.7-414.3)+(-2.391084+(-0.085221--0.633879))+0--31.7-0.0485010000000018</f>
        <v>1234.0090729999999</v>
      </c>
      <c r="U1" s="3">
        <f>1478.3+(63.7-349.3)+(-1.507866+(-0.064974--0.356286))+0--31.6-0.032232000000005</f>
        <v>1223.0512139999996</v>
      </c>
      <c r="V1" s="3">
        <f>1480.2+(57.9-346.6)+(-0.754902+(-0.029529--0.176766))+0--31.2-0.0159119999999968</f>
        <v>1222.076423</v>
      </c>
      <c r="W1" s="3">
        <f>1478.5+(57.2-335.4)+(0+(0-0))+0--31.8-0</f>
        <v>1232.0999999999999</v>
      </c>
      <c r="X1" s="3">
        <f>1552.4+(174.1-368.2)+(0+(0-0))+0--50.8-0</f>
        <v>1409.1000000000001</v>
      </c>
      <c r="Y1" s="3">
        <f>1790.4+(84.4-501.9)+(-0.913104+(-0.043044--0.255969))+0--87.5-0.0446249999999911</f>
        <v>1459.6551960000002</v>
      </c>
      <c r="Z1" s="3">
        <f>1817.1+(82.1-577.3)+(0.926721+(0.041871-0.294423))+0--88--0.0448799999999911</f>
        <v>1410.6190489999999</v>
      </c>
      <c r="AA1" s="3">
        <f>1815.1+(76.2-601.8)+(0+(0-0))+0--88.5-0</f>
        <v>1378</v>
      </c>
      <c r="AB1" s="3">
        <f>1814.4+(70.6-633.9)+(0+(0-0))+0--88.9-0</f>
        <v>1340.0000000000002</v>
      </c>
      <c r="AC1" s="3">
        <f>1811.9+(65.1-675.2)+(-0.924069+(-0.033201--0.344352))+0--89.1-0.045440999999991</f>
        <v>1290.2416410000001</v>
      </c>
      <c r="AD1">
        <v>1471.8000000000002</v>
      </c>
      <c r="AE1" s="3">
        <f>1805.4+(85.3-506.9)+(0+(0-0))+0--88-0</f>
        <v>1471.8000000000002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1265.4708205000002</v>
      </c>
      <c r="G2" s="3">
        <f>1552+(55.7-461)+(0+(0-0))+0--94-0</f>
        <v>1240.7</v>
      </c>
      <c r="H2" s="3">
        <f>1492.3+(52.6-472.7)+(-3.044292+(-0.107304--0.964308))+0--91.2-0.186047999999996</f>
        <v>1161.026664</v>
      </c>
      <c r="I2" s="3">
        <f>1497.1+(53.7-481.2)+(-1.527042+(-0.054774--0.490824))+0--49.9-0.050898000000008</f>
        <v>1118.3581100000001</v>
      </c>
      <c r="J2" s="3">
        <f>1431.8+(55.1-422.5)+(0+(0-0))+0--33.6-0</f>
        <v>1098</v>
      </c>
      <c r="K2" s="3">
        <f>1509.3+(52.9-497.2)+(-2.309229+(-0.080937--0.760716))+0--33-0.0504900000000019</f>
        <v>1096.32006</v>
      </c>
      <c r="L2" s="3">
        <f>1450.7+(61.9-426.7)+(-1.479714+(-0.063138--0.435234))+0--28.9-0.0294780000000046</f>
        <v>1113.6629040000003</v>
      </c>
      <c r="M2" s="3">
        <f>1370.5+(66.5-381.9)+(-4.892685+(-0.237405--1.363383))+0--29.3-0.104601</f>
        <v>1080.5286919999999</v>
      </c>
      <c r="N2" s="3">
        <f>1370.3+(65.5-309.2)+(2.096559+(0.100215-0.473076))+0--30.4--0.0465120000000018</f>
        <v>1158.7702099999999</v>
      </c>
      <c r="O2" s="3">
        <f>1487.6+(62-336.3)+(2.276028+(0.09486-0.514539))+0--34.4--0.052632000000002</f>
        <v>1249.6089809999999</v>
      </c>
      <c r="P2" s="3">
        <f>1660.7+(77.4-492.1)+(1.693914+(0.078948-0.501942))+0--84.8--0.0864960000000135</f>
        <v>1332.157416</v>
      </c>
      <c r="Q2" s="3">
        <f>1725.3+(83-519.7)+(-5.279418+(-0.25398--1.590282))+0--84.5-0.25857000000001</f>
        <v>1368.898314</v>
      </c>
      <c r="R2" s="3">
        <f>1656.9+(76.2-474)+(-0.845019+(-0.038862--0.24174))+0--84.7-0.0431969999999914</f>
        <v>1343.1146620000002</v>
      </c>
      <c r="S2" s="3">
        <f>1643.5+(68.3-474.8)+(1.67637+(0.069666-0.484296))+0--83.7--0.0853740000000134</f>
        <v>1322.047114</v>
      </c>
      <c r="T2" s="3">
        <f>1434.2+(157-337.5)+(-2.194326+(-0.24021--0.516375))+0--44.4-0.0679320000000026</f>
        <v>1296.1139070000002</v>
      </c>
      <c r="U2" s="3">
        <f>1398.5+(177-330.8)+(0+(0-0))+0--29.9-0</f>
        <v>1274.6000000000001</v>
      </c>
      <c r="V2" s="3">
        <f>1399.1+(156.9-310.5)+(-2.140623+(-0.240057--0.475065))+0--29.2-0.0446760000000017</f>
        <v>1272.7497090000002</v>
      </c>
      <c r="W2" s="3">
        <f>1403.5+(152.2-304.8)+(-2.86314+(-0.310488--0.621792))+0--29.5-0.0601799999999987</f>
        <v>1277.7879840000001</v>
      </c>
      <c r="X2" s="3">
        <f>1410.8+(130.6-293.5)+(-2.878032+(-0.266424--0.59874))+0--30.3-0.0618119999999987</f>
        <v>1275.5924719999998</v>
      </c>
      <c r="Y2" s="3">
        <f>1503.9+(221.9-326.2)+(-2.300967+(-0.339507--0.499086))+0--30.2-0.0462060000000017</f>
        <v>1427.6124060000002</v>
      </c>
      <c r="Z2" s="3">
        <f>1557.5+(263.7-360)+(-3.971625+(-0.672435--0.918))+0--29.9-0.0762449999999957</f>
        <v>1487.2976950000002</v>
      </c>
      <c r="AA2" s="3">
        <f>1483+(272.5-344.2)+(-0.75633+(-0.138975--0.175542))+0--29.7-0.015146999999997</f>
        <v>1440.2650899999999</v>
      </c>
      <c r="AB2" s="3">
        <f>1473.8+(237.4-341)+(-4.509828+(-0.726444--1.04346))+0--29.9-0.0914940000000034</f>
        <v>1395.8156940000001</v>
      </c>
      <c r="AC2" s="3">
        <f>1488.3+(175-333.4)+(-1.518066+(-0.1785--0.340068))+0--29.7-0.0302940000000047</f>
        <v>1358.2132080000001</v>
      </c>
      <c r="AD2">
        <v>1499.4</v>
      </c>
      <c r="AE2" s="3">
        <f>1616.4+(232.8-382.8)+(0+(0-0))+0--33-0</f>
        <v>1499.4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1585.1+(98.2-397.9)+(-1.616802+(-0.100164--0.405858))+0--32.5-0.0331500000000052</f>
        <v>1316.5557419999998</v>
      </c>
      <c r="G3" s="3">
        <f>1634.3+(63.6-493.2)+(0+(0-0))+0--32.8-0</f>
        <v>1237.5</v>
      </c>
      <c r="H3" s="3">
        <f>1606.5+(61-518.4)+(-3.27726+(-0.12444--1.057536))+0--32.7-0.0667079999999986</f>
        <v>1179.3891279999998</v>
      </c>
      <c r="I3" s="3">
        <f>1502.4+(60.8-459.7)+(0+(0-0))+0--32.6-0</f>
        <v>1136.0999999999999</v>
      </c>
      <c r="J3" s="3">
        <f>1487.6+(59.3-461.3)+(-3.79338+(-0.151215--1.176315))+0--32.9-0.0838949999999952</f>
        <v>1115.647825</v>
      </c>
      <c r="K3" s="3">
        <f>1511.1+(59.5-488.5)+(3.082644+(0.12138-0.99654))+0--32.4--0.0660959999999986</f>
        <v>1116.77358</v>
      </c>
      <c r="L3" s="3">
        <f>1497.3+(61.2-448.2)+(-2.290869+(-0.093636--0.685746))+0--29-0.0443700000000017</f>
        <v>1137.5568709999998</v>
      </c>
      <c r="M3" s="3">
        <f>1391.2+(67.3-371.4)+(-0.709512+(-0.034323--0.189414))+0--32.2-0.0164219999999967</f>
        <v>1118.7291570000002</v>
      </c>
      <c r="N3" s="3">
        <f>1366.9+(71.7-272.1)+(0+(0-0))+0--31.6-0</f>
        <v>1198.0999999999999</v>
      </c>
      <c r="O3" s="3">
        <f>1556.1+(68.7-385.4)+(-0.793611+(-0.035037--0.196554))+0--51.5-0.0262649999999948</f>
        <v>1290.2416409999998</v>
      </c>
      <c r="P3" s="3">
        <f>1803+(79.9-598.4)+(0+(0-0))+0--82.7-0</f>
        <v>1367.2</v>
      </c>
      <c r="Q3" s="3">
        <f>1775.2+(80.2-552.4)+(0+(0-0))+0--82.3-0</f>
        <v>1385.3</v>
      </c>
      <c r="R3" s="3">
        <f>1697.1+(68.2-497.3)+(-1.731042+(-0.069564--0.507246))+0--86-0.0877200000000137</f>
        <v>1352.6189200000001</v>
      </c>
      <c r="S3" s="3">
        <f>1625.8+(84-476.7)+(0+(0-0))+0--84.9-0</f>
        <v>1318</v>
      </c>
      <c r="T3" s="3">
        <f>1624.7+(85.6-486.4)+(0.828597+(0.043656-0.248064))+0--84.7--0.0431969999999914</f>
        <v>1309.267386</v>
      </c>
      <c r="U3" s="3">
        <f>1593+(93.1-472.7)+(-1.62486+(-0.094962--0.482154))+0--83.6-0.0852720000000133</f>
        <v>1295.67706</v>
      </c>
      <c r="V3" s="3">
        <f>1470.2+(183.6-383.3)+(0.749802+(0.093636-0.195483))+0--38--0.0193799999999961</f>
        <v>1309.1673349999999</v>
      </c>
      <c r="W3" s="3">
        <f>1463.4+(175.4-338.7)+(-0.746334+(-0.089454--0.172737))+0--32.1-0.0163709999999967</f>
        <v>1331.5205780000001</v>
      </c>
      <c r="X3" s="3">
        <f>1428.3+(186.3-298.5)+(0.728433+(0.095013-0.152235))+0--32.7--0.0166769999999967</f>
        <v>1349.4878880000001</v>
      </c>
      <c r="Y3" s="3">
        <f>1504.8+(303-358.2)+(0.767448+(0.15453-0.182682))+0--32.2--0.0164219999999967</f>
        <v>1482.5557179999998</v>
      </c>
      <c r="Z3" s="3">
        <f>1744+(180.5-483.3)+(-0.88944+(-0.092055--0.246483))+0--73.3-0.0373829999999926</f>
        <v>1513.7276049999998</v>
      </c>
      <c r="AA3" s="3">
        <f>1765.7+(121.9-499.3)+(0+(0-0))+0--82.8-0</f>
        <v>1471.1000000000001</v>
      </c>
      <c r="AB3" s="3">
        <f>1774.1+(81.5-520.7)+(0.904791+(0.041565-0.265557))+0--83.8--0.0427379999999915</f>
        <v>1419.4235369999999</v>
      </c>
      <c r="AC3" s="3">
        <f>1722.2+(81.2-508)+(-0.878322+(-0.041412--0.25908))+0--83.2-0.0424319999999916</f>
        <v>1377.8969140000002</v>
      </c>
      <c r="AD3">
        <v>1594.8000000000002</v>
      </c>
      <c r="AE3" s="3">
        <f>1773.4+(207-452.6)+(0+(0-0))+0--67-0</f>
        <v>1594.8000000000002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1596.3+(92.8-450.8)+(-0.814113+(-0.047328--0.229908))+0--84.1-0.0428909999999915</f>
        <v>1321.7255759999998</v>
      </c>
      <c r="G4" s="3">
        <f>1540.1+(76-466.5)+(-2.356353+(-0.11628--0.713745))+0--84.5-0.129285000000005</f>
        <v>1232.2118269999999</v>
      </c>
      <c r="H4" s="3">
        <f>1544.6+(60.9-471.7)+(-1.575492+(-0.062118--0.481134))+0--42.4-0.0432480000000068</f>
        <v>1175.000276</v>
      </c>
      <c r="I4" s="3">
        <f>1555.2+(58.6-508.7)+(1.586304+(0.059772-0.518874))+0--31--0.0316200000000049</f>
        <v>1137.258822</v>
      </c>
      <c r="J4" s="3">
        <f>1542.8+(57.3-512.8)+(-1.573656+(-0.058446--0.523056))+0--31.1-0.031722000000005</f>
        <v>1117.2592319999999</v>
      </c>
      <c r="K4" s="3">
        <f>1552.5+(56.3-549.8)+(2.375325+(0.086139-0.841194))+0--31.3--0.0478890000000018</f>
        <v>1091.9681589999998</v>
      </c>
      <c r="L4" s="3">
        <f>1590+(57.6-499.5)+(-4.0545+(-0.14688--1.273725))+0--30.8-0.0785399999999955</f>
        <v>1175.8938049999999</v>
      </c>
      <c r="M4" s="3">
        <f>1544.4+(54.3-501.8)+(1.575288+(0.055386-0.511836))+0--31.9--0.0325380000000051</f>
        <v>1129.9513760000002</v>
      </c>
      <c r="N4" s="3">
        <f>1591.9+(56.9-472.1)+(0+(0-0))+0--31.7-0</f>
        <v>1208.4000000000001</v>
      </c>
      <c r="O4" s="3">
        <f>1685.2+(62.1-510.1)+(0.859452+(0.031671-0.260151))+0--62.8--0.0320279999999936</f>
        <v>1300.663</v>
      </c>
      <c r="P4" s="3">
        <f>1671.8+(91.2-494.6)+(-0.852618+(-0.046512--0.252246))+0--85.9-0.0438089999999913</f>
        <v>1353.6093069999999</v>
      </c>
      <c r="Q4" s="3">
        <f>1649.6+(169.8-521.4)+(-1.682592+(-0.173196--0.531828))+0--84.1-0.0857820000000134</f>
        <v>1380.6902579999999</v>
      </c>
      <c r="R4" s="3">
        <f>1596+(263.6-488.5)+(-0.81396+(-0.134436--0.249135))+0--29.5-0.015044999999997</f>
        <v>1399.8856939999998</v>
      </c>
      <c r="S4" s="3">
        <f>1621+(227.8-533.9)+(-2.48013+(-0.348534--0.816867))+0--61.2-0.0936360000000035</f>
        <v>1373.9945670000002</v>
      </c>
      <c r="T4" s="3">
        <f>1559.9+(267.6-516.4)+(-3.977745+(-0.68238--1.31682))+0--47.9-0.122144999999993</f>
        <v>1355.5345500000001</v>
      </c>
      <c r="U4" s="3">
        <f>1495.2+(313.6-485.6)+(3.050208+(0.639744-0.990624))+0--31.9--0.0650759999999986</f>
        <v>1357.8644040000001</v>
      </c>
      <c r="V4" s="3">
        <f>1490.6+(306.5-468.3)+(0.760206+(0.156315-0.238833))+0--31.5--0.0160649999999968</f>
        <v>1360.993753</v>
      </c>
      <c r="W4" s="3">
        <f>1486+(282.2-433.7)+(-1.51572+(-0.287844--0.442374))+0--31.5-0.032130000000005</f>
        <v>1364.6066799999999</v>
      </c>
      <c r="X4" s="3">
        <f>1499.1+(240.7-415.5)+(-1.529082+(-0.245514--0.42381))+0--32-0.0326400000000051</f>
        <v>1354.9165740000001</v>
      </c>
      <c r="Y4" s="3">
        <f>1629.5+(316.2-486.5)+(0.831045+(0.161262-0.248115))+0--48--0.0244799999999951</f>
        <v>1507.9686720000002</v>
      </c>
      <c r="Z4" s="3">
        <f>1805.9+(253-588.2)+(0+(0-0))+0--92.4-0</f>
        <v>1563.1000000000001</v>
      </c>
      <c r="AA4" s="3">
        <f>1805.9+(198.4-588.2)+(-1.842018+(-0.202368--0.599964))+0--94-0.095880000000015</f>
        <v>1508.5596979999998</v>
      </c>
      <c r="AB4" s="3">
        <f>1819.1+(128-592.5)+(0.927741+(0.06528-0.302175))+0--94.9--0.0483989999999904</f>
        <v>1450.239245</v>
      </c>
      <c r="AC4" s="3">
        <f>1937.4+(72.8-627.3)+(0.988074+(0.037128-0.319923))+0--94.1--0.0479909999999905</f>
        <v>1477.7532699999999</v>
      </c>
      <c r="AD4">
        <v>1547.8</v>
      </c>
      <c r="AE4" s="3">
        <f>1803.4+(245.2-593.8)+(0+(0-0))+0--93-0</f>
        <v>1547.8000000000002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1836.3+(66.4-638.4)+(-2.809539+(-0.101592--0.976752))+0--76-0.116280000000004</f>
        <v>1338.249341</v>
      </c>
      <c r="G5" s="3">
        <f>1651.4+(75.8-510.7)+(-1.684428+(-0.077316--0.520914))+0--30.8-0.0314160000000049</f>
        <v>1246.027754</v>
      </c>
      <c r="H5" s="3">
        <f>1627.9+(57.9-533)+(0+(0-0))+0--30.7-0</f>
        <v>1183.5000000000002</v>
      </c>
      <c r="I5" s="3">
        <f>1691.8+(56.7-620.3)+(0+(0-0))+0--32-0</f>
        <v>1160.2</v>
      </c>
      <c r="J5" s="3">
        <f>1705.8+(56.8-654)+(0.869958+(0.028968-0.33354))+0--33--0.0168299999999967</f>
        <v>1142.1822159999999</v>
      </c>
      <c r="K5" s="3">
        <f>1702.9+(56.6-653.5)+(0+(0-0))+0--32.9-0</f>
        <v>1138.9000000000001</v>
      </c>
      <c r="L5" s="3">
        <f>1712.8+(60.9-640.3)+(2.620584+(0.093177-0.979659))+0--32.5--0.0497250000000019</f>
        <v>1167.6838270000001</v>
      </c>
      <c r="M5" s="3">
        <f>1462.5+(58.7-446.5)+(-2.9835+(-0.119748--0.91086))+0--54.4-0.110975999999998</f>
        <v>1126.7966360000003</v>
      </c>
      <c r="N5" s="3">
        <f>1515.1+(75.6-461.6)+(0.772701+(0.038556-0.235416))+0--99.9--0.0509489999999899</f>
        <v>1229.62679</v>
      </c>
      <c r="O5" s="3">
        <f>1594.5+(83.5-455.4)+(-2.439585+(-0.127755--0.696762))+0--96.4-0.147492000000006</f>
        <v>1316.9819299999999</v>
      </c>
      <c r="P5" s="3">
        <f>1682.1+(87.8-484.5)+(0+(0-0))+0--92.6-0</f>
        <v>1377.9999999999998</v>
      </c>
      <c r="Q5" s="3">
        <f>1676.2+(90.5-450.1)+(0.854862+(0.046155-0.229551))+0--89.9--0.0458489999999909</f>
        <v>1407.2173150000001</v>
      </c>
      <c r="R5" s="3">
        <f>1649.5+(87.3-438)+(-2.523735+(-0.133569--0.67014))+0--86.4-0.132192000000005</f>
        <v>1383.0806440000001</v>
      </c>
      <c r="S5" s="3">
        <f>1639.9+(113.8-475.2)+(-1.672698+(-0.116076--0.484704))+0--84.3-0.0859860000000134</f>
        <v>1361.409944</v>
      </c>
      <c r="T5" s="3">
        <f>1631.2+(116.8-489)+(-4.15956+(-0.29784--1.24695))+0--85.1-0.217004999999988</f>
        <v>1340.6725449999999</v>
      </c>
      <c r="U5" s="3">
        <f>1523.5+(171.6-429.9)+(-2.330955+(-0.262548--0.657747))+0--74.8-0.114444000000004</f>
        <v>1337.9497999999999</v>
      </c>
      <c r="V5" s="3">
        <f>1376.7+(267.4-344.5)+(0+(0-0))+0--31.4-0</f>
        <v>1331</v>
      </c>
      <c r="W5" s="3">
        <f>1375.4+(250.6-322.3)+(-0.701454+(-0.127806--0.164373))+0--31.4-0.0160139999999968</f>
        <v>1334.4190990000002</v>
      </c>
      <c r="X5" s="3">
        <f>1378.6+(237.1-309)+(0+(0-0))+0--31.3-0</f>
        <v>1337.9999999999998</v>
      </c>
      <c r="Y5" s="3">
        <f>1412.2+(240.3-418.5)+(0+(0-0))+0--39.3-0</f>
        <v>1273.3</v>
      </c>
      <c r="Z5" s="3">
        <f>1773.6+(234.7-532.3)+(-1.809072+(-0.239394--0.542946))+0--92.2-0.0940440000000147</f>
        <v>1566.6004360000002</v>
      </c>
      <c r="AA5" s="3">
        <f>1688.1+(215.5-556.8)+(-0.860931+(-0.109905--0.283968))+0--93.2-0.0475319999999905</f>
        <v>1439.2655999999999</v>
      </c>
      <c r="AB5" s="3">
        <f>1678.5+(215.4-545.4)+(0+(0-0))+0--93.5-0</f>
        <v>1442</v>
      </c>
      <c r="AC5" s="3">
        <f>1674.8+(213.9-591.7)+(-1.708296+(-0.218178--0.603534))+0--93-0.0948600000000148</f>
        <v>1388.5822000000001</v>
      </c>
      <c r="AD5">
        <v>1555.7</v>
      </c>
      <c r="AE5" s="3">
        <f>1812.4+(205.3-554)+(0+(0-0))+0--92-0</f>
        <v>1555.7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1578.8+(193.8-512.4)+(-1.610376+(-0.197676--0.522648))+0--94.3-0.096186000000015</f>
        <v>1353.11841</v>
      </c>
      <c r="G6" s="3">
        <f>1566.9+(80-442.1)+(-1.598238+(-0.0816--0.450942))+0--93.7-0.0955740000000149</f>
        <v>1297.1755300000002</v>
      </c>
      <c r="H6" s="3">
        <f>1658+(55.8-566.3)+(0+(0-0))+0--92.7-0</f>
        <v>1240.2</v>
      </c>
      <c r="I6" s="3">
        <f>1654.9+(56.7-634.7)+(0+(0-0))+0--96-0</f>
        <v>1172.9000000000001</v>
      </c>
      <c r="J6" s="3">
        <f>1657.2+(58.9-658.4)+(1.690344+(0.060078-0.671568))+0--95.8--0.0977160000000153</f>
        <v>1154.6765700000001</v>
      </c>
      <c r="K6" s="3">
        <f>1651.5+(61-639.4)+(-3.36906+(-0.12444--1.304376))+0--95.9-0.195635999999996</f>
        <v>1166.6152400000001</v>
      </c>
      <c r="L6" s="3">
        <f>1655.1+(70.1-624)+(-0.844101+(-0.035751--0.31824))+0--93.8-0.0478379999999905</f>
        <v>1194.3905499999998</v>
      </c>
      <c r="M6" s="3">
        <f>1656.2+(71.5-610.8)+(-1.689324+(-0.07293--0.623016))+0--96.4-0.0983280000000154</f>
        <v>1212.0624340000002</v>
      </c>
      <c r="N6" s="3">
        <f>1742.4+(83.2-616.9)+(2.665872+(0.127296-0.943857))+0--95.9--0.146727000000006</f>
        <v>1306.5960380000004</v>
      </c>
      <c r="O6" s="3">
        <f>1780.5+(98.8-573.8)+(-0.908055+(-0.050388--0.292638))+0--95.1-0.0485009999999904</f>
        <v>1399.8856939999998</v>
      </c>
      <c r="P6" s="3">
        <f>1765.5+(104.8-474.8)+(-1.80081+(-0.106896--0.484296))+0--94-0.095880000000015</f>
        <v>1487.9807099999998</v>
      </c>
      <c r="Q6" s="3">
        <f>1785.1+(118.3-484.4)+(-0.910401+(-0.060333--0.247044))+0--93.4-0.0476339999999905</f>
        <v>1511.628676</v>
      </c>
      <c r="R6" s="3">
        <f>1785.3+(128.9-496.2)+(-0.910503+(-0.065739--0.253062))+0--93.8-0.0478379999999905</f>
        <v>1511.028982</v>
      </c>
      <c r="S6" s="3">
        <f>1775+(143-544.6)+(-2.71575+(-0.21879--0.833238))+0--91.8-0.140454000000005</f>
        <v>1462.9582439999999</v>
      </c>
      <c r="T6" s="3">
        <f>1663.1+(227.6-485.4)+(-3.392724+(-0.464304--0.990216))+0--52.4-0.106895999999998</f>
        <v>1454.7262920000001</v>
      </c>
      <c r="U6" s="3">
        <f>1496+(319.9-410.5)+(-3.05184+(-0.652596--0.83742))+0--35-0.0713999999999985</f>
        <v>1437.4615840000001</v>
      </c>
      <c r="V6" s="3">
        <f>1492.6+(302.6-385)+(-2.283678+(-0.462978--0.58905))+0--31.5-0.0481950000000018</f>
        <v>1439.4941989999998</v>
      </c>
      <c r="W6" s="3">
        <f>1505.7+(272.7-354.6)+(-2.303721+(-0.417231--0.542538))+0--32.1-0.0491130000000019</f>
        <v>1453.6724729999999</v>
      </c>
      <c r="X6" s="3">
        <f>1498.3+(248.5-341.6)+(-2.292399+(-0.380205--0.522648))+0--31.6-0.0483480000000018</f>
        <v>1434.6016959999997</v>
      </c>
      <c r="Y6" s="3">
        <f>1675.2+(310.7-446.6)+(0+(0-0))+0--53.4-0</f>
        <v>1592.7</v>
      </c>
      <c r="Z6" s="3">
        <f>1820.1+(245.7-535)+(-2.784753+(-0.375921--0.81855))+0--89.3-0.136629000000005</f>
        <v>1617.6212469999998</v>
      </c>
      <c r="AA6" s="3">
        <f>1590.6+(422.1-465.2)+(-2.433618+(-0.645813--0.711756))+0--31.3-0.0478890000000018</f>
        <v>1576.3844360000001</v>
      </c>
      <c r="AB6" s="3">
        <f>1590+(363.1-472.5)+(-0.8109+(-0.185181--0.240975))+0--31.1-0.0158609999999968</f>
        <v>1510.9290329999997</v>
      </c>
      <c r="AC6" s="3">
        <f>1590.8+(337.7-482.9)+(-1.622616+(-0.344454--0.492558))+0--31-0.0316200000000049</f>
        <v>1475.0938679999999</v>
      </c>
      <c r="AD6">
        <v>1659.8999999999999</v>
      </c>
      <c r="AE6" s="3">
        <f>1906+(213.6-557.7)+(0+(0-0))+0--98-0</f>
        <v>1659.9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1468.1+(281.2-464.6)+(0+(0-0))+0--31.3-0</f>
        <v>1315.9999999999998</v>
      </c>
      <c r="G7" s="3">
        <f>1461.4+(241-429.3)+(0+(0-0))+0--31.3-0</f>
        <v>1304.4000000000001</v>
      </c>
      <c r="H7" s="3">
        <f>1440.6+(141.7-386.9)+(-2.204118+(-0.216801--0.591957))+0--30.7-0.0469710000000018</f>
        <v>1224.2240669999999</v>
      </c>
      <c r="I7" s="3">
        <f>1483.1+(80.5-371.3)+(0.756381+(0.041055-0.189363))+0--31.1--0.0158609999999968</f>
        <v>1224.0239340000001</v>
      </c>
      <c r="J7" s="3">
        <f>1479.4+(73.7-366.1)+(0+(0-0))+0--31-0</f>
        <v>1218</v>
      </c>
      <c r="K7" s="3">
        <f>1480.7+(65.9-373.6)+(1.510314+(0.067218-0.381072))+0--43.7--0.044574000000007</f>
        <v>1217.9410339999999</v>
      </c>
      <c r="L7" s="3">
        <f>1485.6+(75.1-418)+(-1.515312+(-0.076602--0.42636))+0--99.9-0.101898000000016</f>
        <v>1241.3325479999999</v>
      </c>
      <c r="M7" s="3">
        <f>1493.8+(69.8-377.3)+(0+(0-0))+0--62.8-0</f>
        <v>1249.0999999999999</v>
      </c>
      <c r="N7" s="3">
        <f>1644.2+(81.5-344.9)+(0+(0-0))+0--32.1-0</f>
        <v>1412.9</v>
      </c>
      <c r="O7" s="3">
        <f>1785.9+(96.7-457)+(0+(0-0))+0--69.3-0</f>
        <v>1494.9</v>
      </c>
      <c r="P7" s="3">
        <f>1800.5+(104.9-470.4)+(1.83651+(0.106998-0.479808))+0--97.2--0.0991440000000155</f>
        <v>1533.7628440000001</v>
      </c>
      <c r="Q7" s="3">
        <f>1775.9+(165.5-480.7)+(-3.622836+(-0.33762--0.980628))+0--97-0.197879999999996</f>
        <v>1554.5222920000001</v>
      </c>
      <c r="R7" s="3">
        <f>1774.8+(201.4-539.4)+(-3.620592+(-0.410856--1.100376))+0--96.6-0.197063999999996</f>
        <v>1530.2718639999998</v>
      </c>
      <c r="S7" s="3">
        <f>1791.1+(149.1-537.3)+(-0.913461+(-0.076041--0.274023))+0--95-0.0484499999999904</f>
        <v>1497.1360710000001</v>
      </c>
      <c r="T7" s="3">
        <f>1796.1+(108.3-518.7)+(1.832022+(0.110466-0.529074))+0--95--0.0969000000000152</f>
        <v>1482.2103139999999</v>
      </c>
      <c r="U7" s="3">
        <f>1708.5+(131.4-467.2)+(-1.74267+(-0.134028--0.476544))+0--95.1-0.0970020000000152</f>
        <v>1466.3028440000001</v>
      </c>
      <c r="V7" s="3">
        <f>1628.9+(207.7-452.5)+(-2.492217+(-0.317781--0.692325))+0--95.7-0.146421000000006</f>
        <v>1477.5359060000003</v>
      </c>
      <c r="W7" s="3">
        <f>1642.2+(172.2-445.7)+(1.675044+(0.175644-0.454614))+0--96.7--0.0986340000000154</f>
        <v>1466.894708</v>
      </c>
      <c r="X7" s="3">
        <f>1644.4+(98.3-389.3)+(-0.838644+(-0.050133--0.198543))+0--98-0.0499799999999901</f>
        <v>1450.6597860000002</v>
      </c>
      <c r="Y7" s="3">
        <f>1781.5+(161.7-465.1)+(2.725695+(0.247401-0.711603))+0--98.3--0.150399000000006</f>
        <v>1578.8118919999999</v>
      </c>
      <c r="Z7" s="3">
        <f>1810.4+(199-481.5)+(0.923304+(0.10149-0.245565))+0--98.5--0.05023499999999</f>
        <v>1627.229464</v>
      </c>
      <c r="AA7" s="3">
        <f>1809.6+(145.5-483.9)+(0+(0-0))+0--99.2-0</f>
        <v>1570.3999999999999</v>
      </c>
      <c r="AB7" s="3">
        <f>1810.5+(99.2-502.9)+(0+(0-0))+0--99-0</f>
        <v>1505.8</v>
      </c>
      <c r="AC7" s="3">
        <f>1795.3+(147.2-583.9)+(0.915603+(0.075072-0.297789))+0--98.6--0.05028599999999</f>
        <v>1457.9431719999998</v>
      </c>
      <c r="AD7">
        <v>1642.1999999999998</v>
      </c>
      <c r="AE7" s="3">
        <f>1796.2+(209.6-461.6)+(0+(0-0))+0--98-0</f>
        <v>1642.2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1780.3+(117.3-580.8)+(-5.447718+(-0.358938--1.777248))+0--94.7-0.289782000000011</f>
        <v>1407.1808099999998</v>
      </c>
      <c r="G8" s="3">
        <f>1792.9+(69.9-638)+(-2.743137+(-0.106947--0.97614))+0--94-0.143820000000005</f>
        <v>1316.7822360000002</v>
      </c>
      <c r="H8" s="3">
        <f>1802+(66.3-708.1)+(-0.91902+(-0.033813--0.361131))+0--95.9-0.0489089999999903</f>
        <v>1255.4593889999999</v>
      </c>
      <c r="I8" s="3">
        <f>1789+(65-711.1)+(-4.56195+(-0.16575--1.813305))+0--95.6-0.243779999999986</f>
        <v>1235.341825</v>
      </c>
      <c r="J8" s="3">
        <f>1740.1+(69.6-612.8)+(0+(0-0))+0--29.1-0</f>
        <v>1226</v>
      </c>
      <c r="K8" s="3">
        <f>1595.1+(140.2-540.9)+(2.440503+(0.214506-0.827577))+0--27.1--0.0414630000000016</f>
        <v>1223.3688949999998</v>
      </c>
      <c r="L8" s="3">
        <f>1584.3+(120.3-531.7)+(1.615986+(0.122706-0.542334))+0--59.4--0.0605880000000095</f>
        <v>1233.5569459999999</v>
      </c>
      <c r="M8" s="3">
        <f>1567.2+(121.8-536.4)+(-2.397816+(-0.186354--0.820692))+0--93.1-0.142443000000005</f>
        <v>1243.794079</v>
      </c>
      <c r="N8" s="3">
        <f>1571.1+(230.7-531.5)+(-0.801261+(-0.117657--0.271065))+0--86.7-0.0442169999999912</f>
        <v>1356.3079300000002</v>
      </c>
      <c r="O8" s="3">
        <f>1613.3+(274.5-507.9)+(-1.645566+(-0.27999--0.518058))+0--94.1-0.095982000000015</f>
        <v>1472.4965199999999</v>
      </c>
      <c r="P8" s="3">
        <f>1784.9+(242.9-583)+(-1.820598+(-0.247758--0.59466))+0--92.8-0.0946560000000148</f>
        <v>1536.0316480000001</v>
      </c>
      <c r="Q8" s="3">
        <f>1778.2+(263.2-583.1)+(-0.906882+(-0.134232--0.297381))+0--91.3-0.0465629999999907</f>
        <v>1548.809704</v>
      </c>
      <c r="R8" s="3">
        <f>1770.2+(234.4-564.9)+(-1.805604+(-0.239088--0.576198))+0--90.9-0.0927180000000145</f>
        <v>1529.0387880000001</v>
      </c>
      <c r="S8" s="3">
        <f>1715.1+(203.3-523.8)+(-1.749402+(-0.207366--0.534276))+0--90.5-0.0923100000000144</f>
        <v>1483.585198</v>
      </c>
      <c r="T8" s="3">
        <f>1603+(292.1-481.2)+(-3.27012+(-0.595884--0.981648))+0--64.5-0.131579999999997</f>
        <v>1475.3840640000001</v>
      </c>
      <c r="U8" s="3">
        <f>1532.7+(343.1-450.9)+(-0.781677+(-0.174981--0.229959))+0--28.8-0.0146879999999971</f>
        <v>1452.958613</v>
      </c>
      <c r="V8" s="3">
        <f>1521.4+(338.9-420.8)+(-3.103656+(-0.691356--0.858432))+0--27.8-0.0567119999999988</f>
        <v>1464.3067079999998</v>
      </c>
      <c r="W8" s="3">
        <f>1522.1+(301.9-380.9)+(-3.105084+(-0.615876--0.777036))+0--27.7-0.0565079999999988</f>
        <v>1467.7995680000001</v>
      </c>
      <c r="X8" s="3">
        <f>1535.2+(272.3-373.4)+(0.782952+(0.138873-0.190434))+0--28.1--0.0143309999999971</f>
        <v>1462.9457220000002</v>
      </c>
      <c r="Y8" s="3">
        <f>1599.2+(404.5-448.7)+(0.815592+(0.206295-0.228837))+0--43.3--0.0220829999999956</f>
        <v>1599.115133</v>
      </c>
      <c r="Z8" s="3">
        <f>1776.3+(303.1-525.6)+(-0.905913+(-0.154581--0.268056))+0--92.1-0.0469709999999907</f>
        <v>1645.0605909999999</v>
      </c>
      <c r="AA8" s="3">
        <f>1771.6+(244.3-518.4)+(-3.614064+(-0.498372--1.057536))+0--93.4-0.190535999999996</f>
        <v>1587.6545639999999</v>
      </c>
      <c r="AB8" s="3">
        <f>1651.5+(311-531.7)+(-1.68453+(-0.31722--0.542334))+0--93.3-0.0951660000000149</f>
        <v>1522.5454179999999</v>
      </c>
      <c r="AC8" s="3">
        <f>1613.5+(330.5-565.1)+(-0.822885+(-0.168555--0.288201))+0--93.4-0.0476339999999905</f>
        <v>1471.5491270000002</v>
      </c>
      <c r="AD8">
        <v>1688.9999999999998</v>
      </c>
      <c r="AE8" s="3">
        <f>1783+(297.2-487.2)+(0+(0-0))+0--96-0</f>
        <v>1689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1626.4+(239.4-532)+(-1.658928+(-0.244188--0.54264))+0--97.6-0.0995520000000156</f>
        <v>1429.9399720000001</v>
      </c>
      <c r="G9" s="3">
        <f>1622.7+(94.6-468.9)+(-4.137885+(-0.24123--1.195695))+0--98.1-0.250154999999986</f>
        <v>1343.066425</v>
      </c>
      <c r="H9" s="3">
        <f>1675.3+(77.4-522.2)+(0+(0-0))+0--53.8-0</f>
        <v>1284.3</v>
      </c>
      <c r="I9" s="3">
        <f>1640.6+(77.7-498.6)+(-3.346824+(-0.158508--1.017144))+0--31.1-0.0634439999999986</f>
        <v>1248.2483679999998</v>
      </c>
      <c r="J9" s="3">
        <f>1635.6+(76.8-505.3)+(-1.668312+(-0.078336--0.515406))+0--31.3-0.031926000000005</f>
        <v>1237.1368319999997</v>
      </c>
      <c r="K9" s="3">
        <f>1636.7+(80.9-493.4)+(-0.834717+(-0.041259--0.251634))+0--31.4-0.0160139999999968</f>
        <v>1254.959644</v>
      </c>
      <c r="L9" s="3">
        <f>1675.4+(84.5-554.1)+(0+(0-0))+0--66.6-0</f>
        <v>1272.4000000000001</v>
      </c>
      <c r="M9" s="3">
        <f>1654.5+(91.9-550)+(-3.37518+(-0.187476--1.122))+0--99.9-0.203795999999996</f>
        <v>1293.6555480000002</v>
      </c>
      <c r="N9" s="3">
        <f>1726.8+(103.1-497.1)+(0.880668+(0.052581-0.253521))+0--99.1--0.0505409999999899</f>
        <v>1432.630269</v>
      </c>
      <c r="O9" s="3">
        <f>1678.9+(127-381.2)+(0+(0-0))+0--96.7-0</f>
        <v>1521.4</v>
      </c>
      <c r="P9" s="3">
        <f>1702.2+(226.4-441.4)+(-1.736244+(-0.230928--0.450228))+0--95.4-0.0973080000000152</f>
        <v>1580.9857480000001</v>
      </c>
      <c r="Q9" s="3">
        <f>1723.3+(280.9-498.7)+(-0.878883+(-0.143259--0.254337))+0--95.3-0.0486029999999903</f>
        <v>1599.983592</v>
      </c>
      <c r="R9" s="3">
        <f>1772.8+(241.3-538.7)+(-5.424768+(-0.738378--1.648422))+0--93.3-0.285498000000011</f>
        <v>1563.899778</v>
      </c>
      <c r="S9" s="3">
        <f>1775.9+(219.4-566.7)+(-2.717127+(-0.335682--0.867051))+0--92.2-0.141066000000005</f>
        <v>1518.473176</v>
      </c>
      <c r="T9" s="3">
        <f>1726.2+(273.3-541.7)+(-2.641086+(-0.418149--0.828801))+0--49.3-0.0754290000000028</f>
        <v>1504.7941369999999</v>
      </c>
      <c r="U9" s="3">
        <f>1692.6+(286-515.9)+(-2.589678+(-0.43758--0.789327))+0--32.3-0.0494190000000019</f>
        <v>1492.7126499999999</v>
      </c>
      <c r="V9" s="3">
        <f>1667.2+(296.7-489.8)+(-1.700544+(-0.302634--0.499596))+0--32.3-0.0329460000000051</f>
        <v>1504.8634719999998</v>
      </c>
      <c r="W9" s="3">
        <f>1508.8+(349.1-434.4)+(-2.308464+(-0.534123--0.664632))+0--85-0.130050000000005</f>
        <v>1506.1919949999999</v>
      </c>
      <c r="X9" s="3">
        <f>1488.3+(325.8-400.4)+(-3.036132+(-0.664632--0.816816))+0--92-0.187679999999996</f>
        <v>1502.6283720000001</v>
      </c>
      <c r="Y9" s="3">
        <f>1586.6+(446.7-490.2)+(0.809166+(0.227817-0.250002))+0--92.7--0.0472769999999906</f>
        <v>1636.6342579999998</v>
      </c>
      <c r="Z9" s="3">
        <f>1841.3+(267.3-519.4)+(0+(0-0))+0--93.8-0</f>
        <v>1683</v>
      </c>
      <c r="AA9" s="3">
        <f>1850.1+(155.1-474.6)+(-4.717755+(-0.395505--1.21023))+0--94.8-0.241739999999986</f>
        <v>1621.25523</v>
      </c>
      <c r="AB9" s="3">
        <f>1815.3+(114-462.1)+(-3.703212+(-0.23256--0.942684))+0--95.1-0.194003999999996</f>
        <v>1559.1129079999998</v>
      </c>
      <c r="AC9" s="3">
        <f>1792.1+(108.6-481.7)+(-2.741913+(-0.166158--0.737001))+0--95.7-0.146421000000006</f>
        <v>1512.382509</v>
      </c>
      <c r="AD9">
        <v>1705.4</v>
      </c>
      <c r="AE9" s="3">
        <f>1838+(287.3-514.9)+(0+(0-0))+0--95-0</f>
        <v>1705.4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1800.9+(95.5-542.6)+(-1.836918+(-0.09741--0.553452))+0--95.1-0.0970020000000152</f>
        <v>1447.4221220000002</v>
      </c>
      <c r="G10" s="3">
        <f>1797.6+(76.2-600.5)+(-4.58388+(-0.19431--1.531275))+0--94.9-0.241994999999986</f>
        <v>1364.71109</v>
      </c>
      <c r="H10" s="3">
        <f>1777.7+(67.2-632.9)+(-0.906627+(-0.034272--0.322779))+0--94.3-0.0480929999999904</f>
        <v>1305.633787</v>
      </c>
      <c r="I10" s="3">
        <f>1781.9+(74.3-669.9)+(-3.635076+(-0.151572--1.366596))+0--94.3-0.192371999999996</f>
        <v>1277.9875760000002</v>
      </c>
      <c r="J10" s="3">
        <f>1684.2+(64.1-583.5)+(0+(0-0))+0--93.9-0</f>
        <v>1258.7000000000003</v>
      </c>
      <c r="K10" s="3">
        <f>1650.6+(63.5-548.3)+(-0.841806+(-0.032385--0.279633))+0--94.2-0.0480419999999904</f>
        <v>1259.3574000000001</v>
      </c>
      <c r="L10" s="3">
        <f>1654.6+(67-528.9)+(-1.687692+(-0.06834--0.539478))+0--94.8-0.0966960000000151</f>
        <v>1286.1867499999996</v>
      </c>
      <c r="M10" s="3">
        <f>1657.9+(68.9-514.7)+(0.845529+(0.035139-0.262497))+0--95.3--0.0486029999999903</f>
        <v>1308.0667739999999</v>
      </c>
      <c r="N10" s="3">
        <f>1722.6+(84-460.1)+(0+(0-0))+0--94.5-0</f>
        <v>1441</v>
      </c>
      <c r="O10" s="3">
        <f>1853.4+(110.9-504.5)+(0+(0-0))+0--93.5-0</f>
        <v>1553.3000000000002</v>
      </c>
      <c r="P10" s="3">
        <f>1859.4+(205.4-542)+(0.948294+(0.104754-0.27642))+0--92--0.0469199999999907</f>
        <v>1615.6235480000003</v>
      </c>
      <c r="Q10" s="3">
        <f>1812.2+(271.1-537.1)+(-2.772666+(-0.414783--0.821763))+0--91.2-0.139536000000005</f>
        <v>1634.8947780000001</v>
      </c>
      <c r="R10" s="3">
        <f>1790.3+(246.8-517.3)+(-3.652212+(-0.503472--1.055292))+0--90.5-0.184619999999996</f>
        <v>1607.0149879999999</v>
      </c>
      <c r="S10" s="3">
        <f>1791.9+(214.6-546.6)+(0+(0-0))+0--85.2-0</f>
        <v>1545.1000000000001</v>
      </c>
      <c r="T10" s="3">
        <f>1788.6+(220.7-559)+(-0.912186+(-0.112557--0.28509))+0--89.2-0.0454919999999909</f>
        <v>1538.7148549999999</v>
      </c>
      <c r="U10" s="3">
        <f>1782.1+(223.8-557.2)+(-1.817742+(-0.228276--0.568344))+0--90-0.0918000000000144</f>
        <v>1537.1305259999999</v>
      </c>
      <c r="V10" s="3">
        <f>1780.4+(232.2-550.7)+(0+(0-0))+0--90.2-0</f>
        <v>1552.1000000000001</v>
      </c>
      <c r="W10" s="3">
        <f>1783.3+(207.6-523.6)+(-1.818966+(-0.211752--0.534072))+0--91.3-0.0931260000000146</f>
        <v>1557.0102279999999</v>
      </c>
      <c r="X10" s="3">
        <f>1838.3+(114.4-495.8)+(-4.687665+(-0.29172--1.26429))+0--92.2-0.235109999999987</f>
        <v>1545.149795</v>
      </c>
      <c r="Y10" s="3">
        <f>2044.6+(124.4-611.3)+(2.085492+(0.126888-0.623526))+0--92.4--0.0942480000000147</f>
        <v>1651.7831020000001</v>
      </c>
      <c r="Z10" s="3">
        <f>2180.6+(103.6-683.7)+(-4.448424+(-0.211344--1.394748))+0--92.7-0.189107999999996</f>
        <v>1689.745872</v>
      </c>
      <c r="AA10" s="3">
        <f>2197.9+(86.5-735)+(1.120929+(0.044115-0.37485))+0--93--0.0474299999999906</f>
        <v>1643.2376240000001</v>
      </c>
      <c r="AB10" s="3">
        <f>2018.5+(89.7-620.9)+(-4.11774+(-0.182988--1.266636))+0--93.4-0.190535999999996</f>
        <v>1577.4753720000001</v>
      </c>
      <c r="AC10" s="3">
        <f>1874.4+(107.9-548.2)+(-0.955944+(-0.055029--0.279582))+0--94-0.0479399999999905</f>
        <v>1527.320669</v>
      </c>
      <c r="AD10">
        <v>1743.5</v>
      </c>
      <c r="AE10" s="3">
        <f>2177+(125.5-652)+(0+(0-0))+0--93-0</f>
        <v>1743.5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1806.8+(101-517.7)+(-0.921468+(-0.05151--0.264027))+0--96.5-0.0492149999999902</f>
        <v>1485.8418339999998</v>
      </c>
      <c r="G11" s="3">
        <f>1723.8+(93.5-511.6)+(-2.637414+(-0.143055--0.782748))+0--96.8-0.148104000000006</f>
        <v>1400.3541749999997</v>
      </c>
      <c r="H11" s="3">
        <f>1726.6+(87.4-570.9)+(-0.880566+(-0.044574--0.291159))+0--96.6-0.0492659999999902</f>
        <v>1339.0167529999999</v>
      </c>
      <c r="I11" s="3">
        <f>1636.9+(81.2-511.7)+(-3.339276+(-0.165648--1.043868))+0--97.3-0.198491999999996</f>
        <v>1301.040452</v>
      </c>
      <c r="J11" s="3">
        <f>1491.7+(73.8-382.3)+(-4.564602+(-0.225828--1.169838))+0--97-0.296820000000011</f>
        <v>1276.282588</v>
      </c>
      <c r="K11" s="3">
        <f>1484.8+(72.9-371.4)+(-0.757248+(-0.037179--0.189414))+0--97.5-0.0497249999999901</f>
        <v>1283.1452619999998</v>
      </c>
      <c r="L11" s="3">
        <f>1480.5+(78.3-365.2)+(-2.265165+(-0.119799--0.558756))+0--97.4-0.149022000000006</f>
        <v>1289.02477</v>
      </c>
      <c r="M11" s="3">
        <f>1525.2+(81.5-394.7)+(-0.777852+(-0.041565--0.201297))+0--97.5-0.0497249999999901</f>
        <v>1308.8321549999998</v>
      </c>
      <c r="N11" s="3">
        <f>1668.7+(105-436)+(0.851037+(0.05355-0.22236))+0--95.7--0.0488069999999903</f>
        <v>1434.131034</v>
      </c>
      <c r="O11" s="3">
        <f>1726+(179.3-464.1)+(2.64078+(0.274329-0.710073))+0--93.9--0.143667000000005</f>
        <v>1537.4487030000003</v>
      </c>
      <c r="P11" s="3">
        <f>1703.4+(251.6-454.2)+(-0.868734+(-0.128316--0.231642))+0--92-0.0469199999999907</f>
        <v>1591.9876720000002</v>
      </c>
      <c r="Q11" s="3">
        <f>1691.7+(317.3-468.3)+(2.588301+(0.485469-0.716499))+0--89.8--0.137394000000005</f>
        <v>1632.9946650000002</v>
      </c>
      <c r="R11" s="3">
        <f>1625.4+(378.6-471.3)+(0+(0-0))+0--88.7-0</f>
        <v>1621.4</v>
      </c>
      <c r="S11" s="3">
        <f>1527.8+(414.2-471.7)+(-1.558356+(-0.422484--0.481134))+0--87.7-0.089454000000014</f>
        <v>1556.41084</v>
      </c>
      <c r="T11" s="3">
        <f>1472.1+(449.6-459.2)+(-3.003084+(-0.917184--0.936768))+0--87-0.177479999999996</f>
        <v>1546.3390199999999</v>
      </c>
      <c r="U11" s="3">
        <f>1470.8+(432.5-448.8)+(0.750108+(0.220575-0.228888))+0--88.7--0.045236999999991</f>
        <v>1543.987032</v>
      </c>
      <c r="V11" s="3">
        <f>1433.2+(447.4-416.2)+(-3.65466+(-1.14087--1.06131))+0--90-0.229499999999987</f>
        <v>1550.4362800000001</v>
      </c>
      <c r="W11" s="3">
        <f>1347.8+(464-352)+(-2.062134+(-0.70992--0.53856))+0--89.9-0.137547000000005</f>
        <v>1547.3289589999999</v>
      </c>
      <c r="X11" s="3">
        <f>1390.4+(380.2-326.7)+(-2.836416+(-0.775608--0.666468))+0--91.6-0.186863999999996</f>
        <v>1532.3675800000001</v>
      </c>
      <c r="Y11" s="3">
        <f>1484.1+(491.6-434)+(1.513782+(0.501432-0.44268))+0--91.9--0.0937380000000147</f>
        <v>1635.2662719999998</v>
      </c>
      <c r="Z11" s="3">
        <f>1555.6+(526.5-489.4)+(-3.173424+(-1.07406--0.998376))+0--93.2-0.190127999999996</f>
        <v>1682.4607639999999</v>
      </c>
      <c r="AA11" s="3">
        <f>1598.2+(443.3-505.5)+(-3.260328+(-0.904332--1.03122))+0--93.9-0.191555999999996</f>
        <v>1626.575004</v>
      </c>
      <c r="AB11" s="3">
        <f>1608.4+(376.3-514.7)+(-4.10142+(-0.959565--1.312485))+0--94.6-0.241229999999986</f>
        <v>1560.6102699999999</v>
      </c>
      <c r="AC11" s="3">
        <f>1619.4+(355.1-551.6)+(0.825894+(0.181101-0.281316))+0--95--0.0484499999999904</f>
        <v>1518.674129</v>
      </c>
      <c r="AD11">
        <v>1708.1999999999998</v>
      </c>
      <c r="AE11" s="3">
        <f>1532.2+(548.9-464.9)+(0+(0-0))+0--92-0</f>
        <v>1708.2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1623.7+(289.4-518.4)+(0+(0-0))+0--94.7-0</f>
        <v>1489.4</v>
      </c>
      <c r="G12" s="3">
        <f>1624.6+(177.8-484.2)+(-2.485638+(-0.272034--0.740826))+0--94.8-0.145044000000005</f>
        <v>1410.8381099999997</v>
      </c>
      <c r="H12" s="3">
        <f>1623.6+(101.2-463.6)+(-4.968216+(-0.309672--1.418616))+0--94.8-0.290088000000011</f>
        <v>1351.8506399999999</v>
      </c>
      <c r="I12" s="3">
        <f>1542.4+(89.2-404.6)+(-3.146496+(-0.181968--0.825384))+0--95.5-0.194819999999996</f>
        <v>1319.8021000000001</v>
      </c>
      <c r="J12" s="3">
        <f>1525.8+(88.4-408.5)+(-0.778158+(-0.045084--0.208335))+0--95.7-0.0488069999999903</f>
        <v>1300.7362860000001</v>
      </c>
      <c r="K12" s="3">
        <f>1471.9+(86.9-355.6)+(-0.750669+(-0.044319--0.181356))+0--95.7-0.0488069999999903</f>
        <v>1298.2375610000001</v>
      </c>
      <c r="L12" s="3">
        <f>1507+(95.4-373.4)+(-4.61142+(-0.291924--1.142604))+0--86.5-0.26469000000001</f>
        <v>1311.4745700000001</v>
      </c>
      <c r="M12" s="3">
        <f>1420.7+(107-260.1)+(-1.449114+(-0.10914--0.265302))+0--31.9-0.0325380000000051</f>
        <v>1298.1745100000001</v>
      </c>
      <c r="N12" s="3">
        <f>1423.2+(189.3-281.4)+(0.725832+(0.096543-0.143514))+0--59.9--0.0305489999999939</f>
        <v>1391.7094100000004</v>
      </c>
      <c r="O12" s="3">
        <f>1504.7+(219.5-337.9)+(-2.302191+(-0.335835--0.516987))+0--94.8-0.145044000000005</f>
        <v>1478.8339169999999</v>
      </c>
      <c r="P12" s="3">
        <f>1613.2+(206.9-371.4)+(-2.468196+(-0.316557--0.568242))+4.1--93.1-0.142443000000005</f>
        <v>1543.5410459999998</v>
      </c>
      <c r="Q12" s="3">
        <f>1602.3+(257.5-381.1)+(-3.268692+(-0.5253--0.777444))+2.6--90.6-0.184823999999996</f>
        <v>1568.6986279999996</v>
      </c>
      <c r="R12" s="3">
        <f>1589+(276.4-407.9)+(-2.43117+(-0.422892--0.624087))+0--88.9-0.136017000000005</f>
        <v>1544.0340080000001</v>
      </c>
      <c r="S12" s="3">
        <f>1586+(263.2-437)+(-0.80886+(-0.134232--0.22287))+0--87.3-0.0445229999999911</f>
        <v>1498.7352550000001</v>
      </c>
      <c r="T12" s="3">
        <f>1582.7+(256.6-443.9)+(0+(0-0))+0--86.7-0</f>
        <v>1482.1000000000001</v>
      </c>
      <c r="U12" s="3">
        <f>1573+(243.7-426.3)+(-2.40669+(-0.372861--0.652239))+0--87.6-0.134028000000005</f>
        <v>1475.73866</v>
      </c>
      <c r="V12" s="3">
        <f>1562.2+(250.6-429.4)+(-3.186888+(-0.511224--0.875976))+0--88.3-0.180131999999996</f>
        <v>1468.6977320000001</v>
      </c>
      <c r="W12" s="3">
        <f>1579.5+(221.9-417)+(1.61109+(0.226338-0.42534))+0--87.7--0.089454000000014</f>
        <v>1473.6015420000001</v>
      </c>
      <c r="X12" s="3">
        <f>1607.8+(161.6-399.3)+(-4.09989+(-0.41208--1.018215))+0--93.6-0.238679999999986</f>
        <v>1459.9675649999999</v>
      </c>
      <c r="Y12" s="3">
        <f>1658.4+(272.4-456.6)+(0+(0-0))+0--93.6-0</f>
        <v>1567.8</v>
      </c>
      <c r="Z12" s="3">
        <f>1675.7+(332.3-468.7)+(0+(0-0))+0--93.6-0</f>
        <v>1632.9</v>
      </c>
      <c r="AA12" s="3">
        <f>1671.4+(299.6-468.9)+(-4.26207+(-0.76398--1.195695))+0--94.1-0.239954999999986</f>
        <v>1592.12969</v>
      </c>
      <c r="AB12" s="3">
        <f>1676.5+(252.9-479.9)+(-3.42006+(-0.515916--0.978996))+0--94.3-0.192371999999996</f>
        <v>1540.650648</v>
      </c>
      <c r="AC12" s="3">
        <f>1681.4+(226.2-485.4)+(-2.572542+(-0.346086--0.742662))+0--94.7-0.144891000000005</f>
        <v>1514.5791430000002</v>
      </c>
      <c r="AD12">
        <v>1631.7</v>
      </c>
      <c r="AE12" s="3">
        <f>1664.2+(347.6-473.7)+(0+(0-0))+0--93.6-0</f>
        <v>1631.7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1668.8+(174.7-498.6)+(-1.702176+(-0.178194--0.508572))+0--95.3-0.0972060000000152</f>
        <v>1438.730996</v>
      </c>
      <c r="G13" s="3">
        <f>1600.7+(129.9-477.7)+(-3.265428+(-0.264996--0.974508))+0--95.3-0.194411999999996</f>
        <v>1345.449672</v>
      </c>
      <c r="H13" s="3">
        <f>1526+(84.9-419.8)+(-3.8913+(-0.216495--1.07049))+0--95.1-0.242504999999986</f>
        <v>1282.9201899999998</v>
      </c>
      <c r="I13" s="3">
        <f>1549.9+(82.1-473.6)+(1.580898+(0.083742-0.483072))+0--94.8--0.0966960000000151</f>
        <v>1254.4782640000001</v>
      </c>
      <c r="J13" s="3">
        <f>1541.3+(83.9-478.7)+(-1.572126+(-0.085578--0.488274))+0--95.1-0.0970020000000152</f>
        <v>1240.333568</v>
      </c>
      <c r="K13" s="3">
        <f>1549.6+(85-483.7)+(0.790296+(0.04335-0.246687))+0--96.7--0.0493169999999902</f>
        <v>1248.2362759999999</v>
      </c>
      <c r="L13" s="3">
        <f>1528.5+(92.1-455.3)+(-5.456745+(-0.328797--1.625421))+0--98.1-0.350217000000001</f>
        <v>1258.889662</v>
      </c>
      <c r="M13" s="3">
        <f>1441.1+(98.8-359)+(-0.734961+(-0.050388--0.18309))+0--52.2-0.0266219999999947</f>
        <v>1232.4711189999998</v>
      </c>
      <c r="N13" s="3">
        <f>1509.7+(109.4-413.8)+(0.769947+(0.055794-0.211038))+0--60.8--0.0310079999999938</f>
        <v>1266.745711</v>
      </c>
      <c r="O13" s="3">
        <f>1578.1+(109.9-464.4)+(-2.414493+(-0.168147--0.710532))+0--94.7-0.144891000000005</f>
        <v>1316.283001</v>
      </c>
      <c r="P13" s="3">
        <f>1581.1+(106.6-453.1)+(1.612722+(0.108732-0.462162))+0--92--0.0938400000000147</f>
        <v>1327.9531319999999</v>
      </c>
      <c r="Q13" s="3">
        <f>1622+(108-497.3)+(-1.65444+(-0.11016--0.507246))+0--89.8-0.0915960000000143</f>
        <v>1321.1510499999999</v>
      </c>
      <c r="R13" s="3">
        <f>1623.9+(105.1-511.2)+(-1.656378+(-0.107202--0.521424))+0--88.3-0.0900660000000141</f>
        <v>1304.7677780000001</v>
      </c>
      <c r="S13" s="3">
        <f>1619.8+(102.7-519.5)+(0+(0-0))+0--89.1-0</f>
        <v>1292.0999999999999</v>
      </c>
      <c r="T13" s="3">
        <f>1591.6+(101.8-499.5)+(-0.811716+(-0.051918--0.254745))+0--87.8-0.0447779999999911</f>
        <v>1281.0463329999998</v>
      </c>
      <c r="U13" s="3">
        <f>1521.3+(96.6-420.5)+(-1.551726+(-0.098532--0.42891))+0--87.7-0.089454000000014</f>
        <v>1283.7891980000002</v>
      </c>
      <c r="V13" s="3">
        <f>1448.3+(112.1-359.6)+(-1.477266+(-0.114342--0.366792))+0--87.9-0.089658000000014</f>
        <v>1287.385526</v>
      </c>
      <c r="W13" s="3">
        <f>1450.5+(106.3-347.3)+(-0.739755+(-0.054213--0.177123))+0--88.5-0.045134999999991</f>
        <v>1297.3380199999999</v>
      </c>
      <c r="X13" s="3">
        <f>1431.6+(138.9-336.9)+(-3.65058+(-0.354195--0.859095))+0--90-0.229499999999987</f>
        <v>1320.2248199999999</v>
      </c>
      <c r="Y13" s="3">
        <f>1485.3+(292.8-407.8)+(-1.515006+(-0.298656--0.415956))+0--89.4-0.0911880000000143</f>
        <v>1458.211106</v>
      </c>
      <c r="Z13" s="3">
        <f>1649.3+(310.2-481.3)+(-0.841143+(-0.158202--0.245463))+0--89.6-0.0456959999999909</f>
        <v>1567.0004219999998</v>
      </c>
      <c r="AA13" s="3">
        <f>1662.3+(312.5-515.9)+(-0.847773+(-0.159375--0.263109))+0--90.3-0.0460529999999908</f>
        <v>1548.4099080000001</v>
      </c>
      <c r="AB13" s="3">
        <f>1664.1+(256.1-520.5)+(-2.546073+(-0.391833--0.796365))+0--90.9-0.139077000000005</f>
        <v>1488.3193819999999</v>
      </c>
      <c r="AC13" s="3">
        <f>1616.4+(225.7-514.3)+(-1.648728+(-0.230214--0.524586))+0--91.8-0.0936360000000146</f>
        <v>1418.152008</v>
      </c>
      <c r="AD13">
        <v>1546.3</v>
      </c>
      <c r="AE13" s="3">
        <f>1628+(319.9-491.7)+(0+(0-0))+0--90.1-0</f>
        <v>1546.3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1522.4+(209.1-452.7)+(-3.105696+(-0.426564--0.923508))+0--92.3-0.188291999999996</f>
        <v>1368.302956</v>
      </c>
      <c r="G14" s="3">
        <f>1537.1+(93.8-433.2)+(0.783921+(0.047838-0.220932))+0--92.5--0.0471749999999906</f>
        <v>1290.8580019999997</v>
      </c>
      <c r="H14" s="3">
        <f>1536.1+(63.7-442.4)+(-1.566822+(-0.064974--0.451248))+0--92.2-0.0940440000000147</f>
        <v>1248.3254079999999</v>
      </c>
      <c r="I14" s="3">
        <f>1483+(66.8-364.7)+(-1.51266+(-0.068136--0.371994))+0--41.3-0.0421260000000066</f>
        <v>1225.1490719999997</v>
      </c>
      <c r="J14" s="3">
        <f>1482.7+(61-356.3)+(0+(0-0))+0--31.7-0</f>
        <v>1219.1000000000001</v>
      </c>
      <c r="K14" s="3">
        <f>1569.3+(71.2-473.1)+(0+(0-0))+0--68.8-0</f>
        <v>1236.1999999999998</v>
      </c>
      <c r="L14" s="3">
        <f>1620.8+(90.4-551.1)+(-3.306432+(-0.184416--1.124244))+0--93.6-0.190943999999996</f>
        <v>1251.1424519999998</v>
      </c>
      <c r="M14" s="3">
        <f>1430.5+(88.1-335.2)+(-0.729555+(-0.044931--0.170952))+0--94.7-0.0482969999999904</f>
        <v>1277.448169</v>
      </c>
      <c r="N14" s="3">
        <f>1461.6+(201.2-382.4)+(0+(0-0))+0-6.2-0</f>
        <v>1274.1999999999998</v>
      </c>
      <c r="O14" s="3">
        <f>1748.9+(199-497.4)+(0+(0-0))+0-6.2-0</f>
        <v>1444.3</v>
      </c>
      <c r="P14" s="3">
        <f>1726+(266.4-438.6)+(-0.88026+(-0.135864--0.223686))+0--89.5-0.0456449999999909</f>
        <v>1642.4619170000001</v>
      </c>
      <c r="Q14" s="3">
        <f>1666+(333.1-439.1)+(-2.54898+(-0.509643--0.671823))+0--88.2-0.134946000000005</f>
        <v>1645.6782540000002</v>
      </c>
      <c r="R14" s="3">
        <f>1712.6+(331.8-476.1)+(-2.620278+(-0.507654--0.728433))+0--87.4-0.133722000000005</f>
        <v>1653.1667789999999</v>
      </c>
      <c r="S14" s="3">
        <f>1712.2+(273.2-472.1)+(-3.492888+(-0.557328--0.963084))+0--86.3-0.176051999999996</f>
        <v>1596.3368159999998</v>
      </c>
      <c r="T14" s="3">
        <f>1666.7+(251.5-424.1)+(-2.550051+(-0.384795--0.648873))+0--85.4-0.130662000000005</f>
        <v>1577.083365</v>
      </c>
      <c r="U14" s="3">
        <f>1720.1+(196.7-432.6)+(-3.509004+(-0.401268--0.882504))+0--85.8-0.175031999999996</f>
        <v>1566.7971999999997</v>
      </c>
      <c r="V14" s="3">
        <f>1869+(96.9-460.9)+(-5.71914+(-0.296514--1.410354))+0--86.3-0.26407800000001</f>
        <v>1586.4306220000001</v>
      </c>
      <c r="W14" s="3">
        <f>2022.8+(90.2-597)+(-5.15814+(-0.23001--1.52235))+0--87.6-0.223379999999987</f>
        <v>1599.51082</v>
      </c>
      <c r="X14" s="3">
        <f>2007.2+(90.4-554.1)+(-3.071016+(-0.138312--0.847773))+0--71.8-0.109854000000004</f>
        <v>1612.828591</v>
      </c>
      <c r="Y14" s="3">
        <f>2063.1+(98.8-499.7)+(0+(0-0))+0--48.5-0</f>
        <v>1710.6999999999998</v>
      </c>
      <c r="Z14" s="3">
        <f>2315.9+(91.3-732.7)+(-4.724436+(-0.186252--1.494708))+0--89.3-0.182171999999996</f>
        <v>1760.2018479999999</v>
      </c>
      <c r="AA14" s="3">
        <f>2318+(86.2-795.9)+(-4.72872+(-0.175848--1.623636))+0--90-0.183599999999996</f>
        <v>1694.8354680000002</v>
      </c>
      <c r="AB14" s="3">
        <f>2229.7+(87.3-780.6)+(-3.411441+(-0.133569--1.194318))+0--91.1-0.139383000000005</f>
        <v>1625.0099249999996</v>
      </c>
      <c r="AC14" s="3">
        <f>2067.3+(83-700.3)+(-4.217292+(-0.16932--1.428612))+0--90.8-0.185231999999996</f>
        <v>1537.6567680000001</v>
      </c>
      <c r="AD14">
        <v>1798.9</v>
      </c>
      <c r="AE14" s="3">
        <f>2294+(96.3-680.4)+(0+(0-0))+0--89-0</f>
        <v>1798.9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1935.7+(82.9-638.7)+(-4.936035+(-0.211395--1.628685))+0--91.1-0.232304999999987</f>
        <v>1467.2489499999999</v>
      </c>
      <c r="G15" s="3">
        <f>1913.4+(79.8-693.8)+(-4.87917+(-0.20349--1.76919))+0--91.1-0.232304999999987</f>
        <v>1386.954225</v>
      </c>
      <c r="H15" s="3">
        <f>1800.2+(78.2-631.5)+(-2.754306+(-0.119646--0.966195))+0--90.9-0.139077000000005</f>
        <v>1335.7531660000002</v>
      </c>
      <c r="I15" s="3">
        <f>1840.1+(77.7-689.1)+(-2.815353+(-0.118881--1.054323))+0--90.4-0.138312000000005</f>
        <v>1317.0817769999999</v>
      </c>
      <c r="J15" s="3">
        <f>1880.4+(80-691)+(-1.918008+(-0.0816--0.70482))+0--32.5-0.0331500000000052</f>
        <v>1300.5720620000002</v>
      </c>
      <c r="K15" s="3">
        <f>1890.5+(85.4-698.4)+(1.92831+(0.087108-0.712368))+0--31.8--0.0324360000000051</f>
        <v>1310.6354859999999</v>
      </c>
      <c r="L15" s="3">
        <f>2009+(87.2-773.4)+(-2.04918+(-0.088944--0.788868))+0--32-0.0326400000000051</f>
        <v>1353.4181040000003</v>
      </c>
      <c r="M15" s="3">
        <f>2062+(83.6-801)+(0+(0-0))+0--46.6-0</f>
        <v>1391.1999999999998</v>
      </c>
      <c r="N15" s="3">
        <f>2101.4+(102.8-772.3)+(-1.071714+(-0.052428--0.393873))+0--89.4-0.0455939999999909</f>
        <v>1520.5241370000003</v>
      </c>
      <c r="O15" s="3">
        <f>2112.4+(104.9-700.5)+(2.154648+(0.106998-0.71451))+0--88--0.089760000000014</f>
        <v>1606.4368960000002</v>
      </c>
      <c r="P15" s="3">
        <f>2102.8+(106.6-623.5)+(-1.072428+(-0.054366--0.317985))+0--86.6-0.0441659999999912</f>
        <v>1671.647025</v>
      </c>
      <c r="Q15" s="3">
        <f>2142.3+(107.9-625.4)+(-1.092573+(-0.055029--0.318954))+0--85.8-0.0437579999999913</f>
        <v>1709.7275940000002</v>
      </c>
      <c r="R15" s="3">
        <f>2092.8+(98.4-591)+(-1.067328+(-0.050184--0.30141))+0--81-0.0413099999999918</f>
        <v>1680.3425880000002</v>
      </c>
      <c r="S15" s="3">
        <f>2078.8+(92.7-616.8)+(-5.30094+(-0.236385--1.57284))+0--86.8-0.221339999999987</f>
        <v>1637.3141750000002</v>
      </c>
      <c r="T15" s="3">
        <f>2104+(94.6-660.7)+(-4.29216+(-0.192984--1.347828))+0--86.5-0.176459999999996</f>
        <v>1621.0862240000001</v>
      </c>
      <c r="U15" s="3">
        <f>2167.3+(94.3-729.5)+(-2.210646+(-0.096186--0.74409))+0--87.5-0.089250000000014</f>
        <v>1617.9480080000001</v>
      </c>
      <c r="V15" s="3">
        <f>2211+(94.8-754.1)+(-3.38283+(-0.145044--1.153773))+0--88.5-0.135405000000005</f>
        <v>1637.6904939999997</v>
      </c>
      <c r="W15" s="3">
        <f>2165.1+(94.4-694)+(1.104201+(0.048144-0.35394))+0--87.3--0.0445229999999911</f>
        <v>1653.642928</v>
      </c>
      <c r="X15" s="3">
        <f>2128.8+(85.3-645.9)+(-3.257064+(-0.130509--0.988227))+0--87.6-0.134028000000005</f>
        <v>1653.2666260000003</v>
      </c>
      <c r="Y15" s="3">
        <f>2149+(93.2-589.5)+(-2.19198+(-0.095064--0.60129))+0--87.9-0.089658000000014</f>
        <v>1738.8245879999999</v>
      </c>
      <c r="Z15" s="3">
        <f>2265.8+(96.1-656.9)+(-4.622232+(-0.196044--1.340076))+0--68.8-0.140351999999997</f>
        <v>1770.1814480000003</v>
      </c>
      <c r="AA15" s="3">
        <f>2073.9+(124-535.2)+(-1.057689+(-0.06324--0.272952))+0--31.6-0.0161159999999968</f>
        <v>1693.435907</v>
      </c>
      <c r="AB15" s="3">
        <f>2066+(97.4-574.3)+(-5.2683+(-0.24837--1.464465))+0--31.6-0.0805799999999954</f>
        <v>1616.5672149999998</v>
      </c>
      <c r="AC15" s="3">
        <f>2066.4+(85.4-638.1)+(-1.053864+(-0.043554--0.325431))+0--31.5-0.0160649999999968</f>
        <v>1544.4119479999999</v>
      </c>
      <c r="AD15">
        <v>1812.7999999999997</v>
      </c>
      <c r="AE15" s="3">
        <f>2186.2+(101.6-562.4)+(0+(0-0))+0--87.4-0</f>
        <v>1812.8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2064.5+(80.8-698.5)+(-3.158685+(-0.123624--1.068705))+0--32.1-0.0491130000000019</f>
        <v>1476.6372829999998</v>
      </c>
      <c r="G16" s="3">
        <f>2088+(75.5-794.8)+(0+(0-0))+0--31.4-0</f>
        <v>1400.1000000000001</v>
      </c>
      <c r="H16" s="3">
        <f>2178.2+(70.7-931.6)+(1.110882+(0.036057-0.475116))+0--32.1--0.0163709999999967</f>
        <v>1350.0881939999995</v>
      </c>
      <c r="I16" s="3">
        <f>2200.2+(69-969.3)+(0+(0-0))+0--31.6-0</f>
        <v>1331.4999999999998</v>
      </c>
      <c r="J16" s="3">
        <f>2189+(70.4-968.8)+(-6.69834+(-0.215424--2.964528))+0--31.2-0.0954720000000036</f>
        <v>1317.7552920000001</v>
      </c>
      <c r="K16" s="3">
        <f>2077.7+(71.6-862)+(2.119254+(0.073032-0.87924))+0--31.6--0.032232000000005</f>
        <v>1320.2452779999996</v>
      </c>
      <c r="L16" s="3">
        <f>2130.4+(76.4-883.7)+(-1.086504+(-0.038964--0.450687))+0--31.6-0.0161159999999968</f>
        <v>1354.0091029999999</v>
      </c>
      <c r="M16" s="3">
        <f>2200.1+(72.6-955.1)+(-2.244102+(-0.074052--0.974202))+0--72.4-0.0738480000000115</f>
        <v>1388.5822000000001</v>
      </c>
      <c r="N16" s="3">
        <f>2412.2+(81.4-1080.2)+(-1.230222+(-0.041514--0.550902))+0--87.9-0.0448289999999911</f>
        <v>1500.5343369999998</v>
      </c>
      <c r="O16" s="3">
        <f>2439.2+(90.9-1029.6)+(1.243992+(0.046359-0.525096))+0--86.4--0.0440639999999912</f>
        <v>1587.7093190000001</v>
      </c>
      <c r="P16" s="3">
        <f>2440.3+(91.5-966.4)+(1.244553+(0.046665-0.492864))+5.7--85.2--0.0434519999999914</f>
        <v>1657.1418060000001</v>
      </c>
      <c r="Q16" s="3">
        <f>2448.2+(91.6-937)+(0+(0-0))+0--83.2-0</f>
        <v>1685.9999999999998</v>
      </c>
      <c r="R16" s="3">
        <f>2445.9+(84.9-936.6)+(-2.494818+(-0.086598--0.955332))+0--82.2-0.0838440000000131</f>
        <v>1674.6900720000001</v>
      </c>
      <c r="S16" s="3">
        <f>2438.3+(77.7-971.4)+(-2.487066+(-0.079254--0.990828))+0--81.2-0.082824000000013</f>
        <v>1624.1416840000004</v>
      </c>
      <c r="T16" s="3">
        <f>2432.8+(81.6-974.3)+(-2.481456+(-0.083232--0.993786))+0--80.1-0.0817020000000128</f>
        <v>1618.5473960000004</v>
      </c>
      <c r="U16" s="3">
        <f>2433.1+(83.5-990.1)+(1.240881+(0.042585-0.504951))+0--82.7--0.0421769999999916</f>
        <v>1610.0206920000001</v>
      </c>
      <c r="V16" s="3">
        <f>2442.5+(80.8-990.2)+(-1.245675+(-0.041208--0.505002))+0--83.6-0.0426359999999915</f>
        <v>1615.8754829999998</v>
      </c>
      <c r="W16" s="3">
        <f>2439.4+(78.1-971.9)+(-3.732282+(-0.119493--1.487007))+0--83.2-0.127296000000005</f>
        <v>1626.3079360000002</v>
      </c>
      <c r="X16" s="3">
        <f>2443.8+(73.9-970.5)+(-2.492676+(-0.075378--0.98991))+0--83.3-0.0849660000000133</f>
        <v>1628.83689</v>
      </c>
      <c r="Y16" s="3">
        <f>2451.4+(80.7-862.1)+(-1.250214+(-0.041157--0.439671))+0--83.6-0.0426359999999915</f>
        <v>1752.7056640000001</v>
      </c>
      <c r="Z16" s="3">
        <f>2457.1+(84.7-837)+(-6.265605+(-0.215985--2.13435))+0--85.2-0.217259999999988</f>
        <v>1785.4355</v>
      </c>
      <c r="AA16" s="3">
        <f>2461.6+(81.6-896.2)+(-3.766248+(-0.124848--1.371186))+0--85.6-0.130968000000005</f>
        <v>1729.949122</v>
      </c>
      <c r="AB16" s="3">
        <f>2464.4+(81.5-967.3)+(-3.770532+(-0.124695--1.479969))+0--85.9-0.131427000000005</f>
        <v>1661.9533150000002</v>
      </c>
      <c r="AC16" s="3">
        <f>2406+(79-964.3)+(-6.1353+(-0.20145--2.458965))+0--86.2-0.219809999999987</f>
        <v>1602.8024050000001</v>
      </c>
      <c r="AD16">
        <v>1793.1000000000004</v>
      </c>
      <c r="AE16" s="3">
        <f>2450.4+(89.8-831.5)+(0+(0-0))+0--84.4-0</f>
        <v>1793.1000000000001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2346.6+(79.4-992)+(-2.393532+(-0.080988--1.01184))+0--85.5-0.0872100000000136</f>
        <v>1517.95011</v>
      </c>
      <c r="G17" s="3">
        <f>2312+(72-1026.1)+(-9.43296+(-0.29376--4.186488))+0--85.4-0.348431999999993</f>
        <v>1437.4113360000001</v>
      </c>
      <c r="H17" s="3">
        <f>2270.7+(68.3-1014.5)+(-3.474171+(-0.104499--1.552185))+0--78.5-0.120105000000005</f>
        <v>1400.8534099999997</v>
      </c>
      <c r="I17" s="3">
        <f>2113.1+(71-850.1)+(-2.155362+(-0.07242--0.867102))+0--31.3-0.031926000000005</f>
        <v>1363.9073939999998</v>
      </c>
      <c r="J17" s="3">
        <f>2077.4+(70.6-830.3)+(-5.29737+(-0.18003--2.117265))+0--31.4-0.0800699999999954</f>
        <v>1345.6597950000005</v>
      </c>
      <c r="K17" s="3">
        <f>2082+(72.6-831.2)+(1.06182+(0.037026-0.423912))+0--32--0.0163199999999968</f>
        <v>1356.0912539999999</v>
      </c>
      <c r="L17" s="3">
        <f>2080.9+(73.9-794.6)+(-2.122518+(-0.075378--0.810492))+0--31.6-0.032232000000005</f>
        <v>1390.3803639999999</v>
      </c>
      <c r="M17" s="3">
        <f>2154.6+(74-831.6)+(-2.197692+(-0.07548--0.848232))+0--32.2-0.0328440000000051</f>
        <v>1427.7422159999999</v>
      </c>
      <c r="N17" s="3">
        <f>2292.4+(84.6-870.8)+(-2.338248+(-0.086292--0.888216))+0--52.8-0.0538560000000084</f>
        <v>1557.4098200000003</v>
      </c>
      <c r="O17" s="3">
        <f>2353.1+(90-879.9)+(-1.200081+(-0.0459--0.448749))+0--84.1-0.0428909999999915</f>
        <v>1646.4598769999998</v>
      </c>
      <c r="P17" s="3">
        <f>2370.8+(93.5-851.1)+(0+(0-0))+0--85.6-0</f>
        <v>1698.8000000000002</v>
      </c>
      <c r="Q17" s="3">
        <f>2413.5+(78.4-875.1)+(-1.230885+(-0.039984--0.446301))+0--86-0.0438599999999913</f>
        <v>1701.931572</v>
      </c>
      <c r="R17" s="3">
        <f>2402.1+(94.3-890.6)+(-1.225071+(-0.048093--0.454206))+0--85.7-0.0437069999999913</f>
        <v>1690.6373349999997</v>
      </c>
      <c r="S17" s="3">
        <f>2371.7+(83.5-895.3)+(-3.628701+(-0.127755--1.369809))+0--85.5-0.130815000000005</f>
        <v>1642.8825379999998</v>
      </c>
      <c r="T17" s="3">
        <f>2329.2+(86.4-852.4)+(-1.187892+(-0.044064--0.434724))+0--85.5-0.0436049999999913</f>
        <v>1647.8591629999999</v>
      </c>
      <c r="U17" s="3">
        <f>2318.2+(87.5-853.8)+(-8.275974+(-0.312375--3.048066))+3.6--85.9-0.306663000000001</f>
        <v>1635.5530539999997</v>
      </c>
      <c r="V17" s="3">
        <f>2243.2+(89.4-776.8)+(-3.432096+(-0.136782--1.188504))+0--86.1-0.131733000000005</f>
        <v>1639.3878929999996</v>
      </c>
      <c r="W17" s="3">
        <f>2219.4+(86.2-748.2)+(-6.791364+(-0.263772--2.289492))+0--86.7-0.26530200000001</f>
        <v>1639.0690540000001</v>
      </c>
      <c r="X17" s="3">
        <f>2190.6+(81.8-704.4)+(-3.351618+(-0.125154--1.077732))+0--88.4-0.135252000000005</f>
        <v>1653.865708</v>
      </c>
      <c r="Y17" s="3">
        <f>2233.3+(87.9-668.2)+(-2.277966+(-0.089658--0.681564))+0--84.2-0.0858840000000134</f>
        <v>1735.428056</v>
      </c>
      <c r="Z17" s="3">
        <f>2420.6+(91.7-832.1)+(-4.938024+(-0.187068--1.697484))+0--85.7-0.174827999999996</f>
        <v>1762.297564</v>
      </c>
      <c r="AA17" s="3">
        <f>2295.1+(96.5-772.7)+(-4.682004+(-0.19686--1.576308))+0--86.9-0.177275999999996</f>
        <v>1702.320168</v>
      </c>
      <c r="AB17" s="3">
        <f>2193.8+(117-759.6)+(-2.237676+(-0.11934--0.774792))+0--88.5-0.0902700000000141</f>
        <v>1638.0275060000004</v>
      </c>
      <c r="AC17" s="3">
        <f>2177.5+(163.4-840.5)+(-2.22105+(-0.166668--0.85731))+0--87.8-0.089556000000014</f>
        <v>1586.5800360000001</v>
      </c>
      <c r="AD17">
        <v>1821.0000000000002</v>
      </c>
      <c r="AE17" s="3">
        <f>2435.4+(93-794.8)+(0+(0-0))+0--87.4-0</f>
        <v>1821.0000000000002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2146.3+(142.8-831.3)+(-5.473065+(-0.36414--2.119815))+0--88.2-0.224909999999987</f>
        <v>1542.0577000000003</v>
      </c>
      <c r="G18" s="3">
        <f>2064.3+(108.8-799.7)+(-3.158379+(-0.166464--1.223541))+0--86.7-0.132651000000005</f>
        <v>1457.8660470000002</v>
      </c>
      <c r="H18" s="3">
        <f>1984.2+(86.8-760.5)+(0+(0-0))+0--86.6-0</f>
        <v>1397.1</v>
      </c>
      <c r="I18" s="3">
        <f>1937.8+(74.5-729.6)+(-2.964834+(-0.113985--1.116288))+0--88-0.134640000000005</f>
        <v>1368.6028289999999</v>
      </c>
      <c r="J18" s="3">
        <f>1896.4+(73.8-707)+(-5.802984+(-0.225828--2.16342))+0--88.8-0.27172800000001</f>
        <v>1347.8628800000001</v>
      </c>
      <c r="K18" s="3">
        <f>1888.8+(72.3-701.7)+(-1.926576+(-0.073746--0.715734))+0--90.2-0.0920040000000144</f>
        <v>1348.2234079999998</v>
      </c>
      <c r="L18" s="3">
        <f>1888.5+(72.4-682.1)+(-3.85254+(-0.147696--1.391484))+0--90.3-0.184211999999996</f>
        <v>1366.3070359999999</v>
      </c>
      <c r="M18" s="3">
        <f>1945.3+(73.3-714.9)+(0+(0-0))+0--91.8-0</f>
        <v>1395.4999999999998</v>
      </c>
      <c r="N18" s="3">
        <f>2046.5+(83.6-696)+(-2.08743+(-0.085272--0.70992))+0--90.6-0.0924120000000144</f>
        <v>1523.1448059999998</v>
      </c>
      <c r="O18" s="3">
        <f>2121.1+(95-698.7)+(0+(0-0))+0--87.1-0</f>
        <v>1604.4999999999998</v>
      </c>
      <c r="P18" s="3">
        <f>2092.6+(101.8-614)+(1.067226+(0.051918-0.31314))+0--87.5--0.0446249999999911</f>
        <v>1668.7506289999999</v>
      </c>
      <c r="Q18" s="3">
        <f>2057.2+(110.8-553.1)+(-3.147516+(-0.169524--0.846243))+0--86.4-0.132192000000005</f>
        <v>1698.697011</v>
      </c>
      <c r="R18" s="3">
        <f>2045.6+(130.5-569.9)+(-2.086512+(-0.13311--0.581298))+0--85.8-0.0875160000000137</f>
        <v>1690.2741599999997</v>
      </c>
      <c r="S18" s="3">
        <f>2042.4+(116.2-607.5)+(-2.083248+(-0.118524--0.61965))+0--85.2-0.0869040000000136</f>
        <v>1634.6309740000002</v>
      </c>
      <c r="T18" s="3">
        <f>2046.5+(109.4-616.4)+(0+(0-0))+0--85.6-0</f>
        <v>1625.1</v>
      </c>
      <c r="U18" s="3">
        <f>2047.1+(90.9-609.4)+(-4.176084+(-0.185436--1.243176))+0--84-0.171359999999996</f>
        <v>1609.3102959999999</v>
      </c>
      <c r="V18" s="3">
        <f>2038.2+(85.3-594.3)+(-2.078964+(-0.087006--0.606186))+0--85.2-0.0869040000000136</f>
        <v>1612.7533120000001</v>
      </c>
      <c r="W18" s="3">
        <f>2026.7+(90.4-592.5)+(-3.100851+(-0.138312--0.906525))+0--86-0.131580000000005</f>
        <v>1608.1357819999998</v>
      </c>
      <c r="X18" s="3">
        <f>1963.1+(93.3-536.8)+(-4.004724+(-0.190332--1.095072))+0--88.5-0.180539999999996</f>
        <v>1604.8194759999999</v>
      </c>
      <c r="Y18" s="3">
        <f>2024.8+(101.8-525.2)+(-1.032648+(-0.051918--0.267852))+0--89.1-0.045440999999991</f>
        <v>1689.6378449999997</v>
      </c>
      <c r="Z18" s="3">
        <f>2091.8+(117.3-585.3)+(1.066818+(0.059823-0.298503))+0--89.3--0.0455429999999909</f>
        <v>1713.9736810000002</v>
      </c>
      <c r="AA18" s="3">
        <f>2079.9+(108-620.5)+(-4.242996+(-0.22032--1.26582))+0--90.7-0.185027999999996</f>
        <v>1654.717476</v>
      </c>
      <c r="AB18" s="3">
        <f>2090.5+(92-671.5)+(-4.26462+(-0.18768--1.36986))+0--92.2-0.188087999999996</f>
        <v>1599.929472</v>
      </c>
      <c r="AC18" s="3">
        <f>2102.6+(86.6-732.1)+(-2.144652+(-0.088332--0.746742))+0--92-0.0938400000000147</f>
        <v>1547.519918</v>
      </c>
      <c r="AD18">
        <v>1726.7</v>
      </c>
      <c r="AE18" s="3">
        <f>2090+(130.9-583.5)+(0+(0-0))+0--89.3-0</f>
        <v>1726.7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2108.3+(79.6-784.6)+(-2.150466+(-0.081192--0.800292))+0--91.2-0.0930240000000145</f>
        <v>1492.9756100000002</v>
      </c>
      <c r="G19" s="3">
        <f>2112.3+(73.7-842.9)+(-1.077273+(-0.037587--0.429879))+0--91.3-0.0465629999999907</f>
        <v>1433.6684560000003</v>
      </c>
      <c r="H19" s="3">
        <f>2110.9+(71.1-872.4)+(-3.229677+(-0.108783--1.334772))+0--91.7-0.140301000000005</f>
        <v>1399.1560110000003</v>
      </c>
      <c r="I19" s="3">
        <f>2037.7+(70.8-781.3)+(0+(0-0))+0--45.1-0</f>
        <v>1372.3</v>
      </c>
      <c r="J19" s="3">
        <f>1910+(71.5-665.7)+(-2.9223+(-0.109395--1.018521))+0--30-0.0459000000000017</f>
        <v>1343.7409259999999</v>
      </c>
      <c r="K19" s="3">
        <f>1841.4+(72.2-608.7)+(0.939114+(0.036822-0.310437))+0--28.9--0.0147389999999971</f>
        <v>1334.4802380000001</v>
      </c>
      <c r="L19" s="3">
        <f>1830.2+(69.3-606.5)+(-2.800206+(-0.106029--0.927945))+0--29.1-0.0445230000000017</f>
        <v>1320.0771869999999</v>
      </c>
      <c r="M19" s="3">
        <f>1794.1+(70.1-585.6)+(-3.659964+(-0.143004--1.194624))+0--30.5-0.0622199999999987</f>
        <v>1306.4294359999999</v>
      </c>
      <c r="N19" s="3">
        <f>1780.7+(86.5-506.8)+(-4.540785+(-0.220575--1.29234))+0--32.2-0.0821099999999953</f>
        <v>1389.0488700000001</v>
      </c>
      <c r="O19" s="3">
        <f>1996.6+(89-679.1)+(-1.018266+(-0.04539--0.346341))+0--53.1-0.0270809999999946</f>
        <v>1458.8556039999999</v>
      </c>
      <c r="P19" s="3">
        <f>2106.6+(88.7-733.8)+(-2.148732+(-0.090474--0.748476))+0--86.8-0.0885360000000138</f>
        <v>1546.720734</v>
      </c>
      <c r="Q19" s="3">
        <f>2087.6+(88-678.9)+(-1.064676+(-0.04488--0.346239))+0--86-0.0438599999999913</f>
        <v>1581.8928229999999</v>
      </c>
      <c r="R19" s="3">
        <f>2070.2+(108.5-691.1)+(-3.167406+(-0.166005--1.057383))+0--86.5-0.132345000000005</f>
        <v>1571.6916269999999</v>
      </c>
      <c r="S19" s="3">
        <f>2056.8+(115.5-706.7)+(-6.293808+(-0.35343--2.162502))+0--86.1-0.26346600000001</f>
        <v>1546.9517979999998</v>
      </c>
      <c r="T19" s="3">
        <f>2055.3+(84-681)+(-2.096406+(-0.08568--0.69462))+0--85.5-0.0872100000000136</f>
        <v>1542.2253240000002</v>
      </c>
      <c r="U19" s="3">
        <f>2045.4+(90.3-675.7)+(-6.258924+(-0.276318--2.067642))+0--85.7-0.26224200000001</f>
        <v>1540.9701580000001</v>
      </c>
      <c r="V19" s="3">
        <f>2053.5+(101.1-692.7)+(-3.141855+(-0.154683--1.059831))+0--85.8-0.131274000000005</f>
        <v>1545.3320189999999</v>
      </c>
      <c r="W19" s="3">
        <f>2064.2+(107.3-728.9)+(-1.052742+(-0.054723--0.371739))+0--87.6-0.0446759999999911</f>
        <v>1529.4195979999997</v>
      </c>
      <c r="X19" s="3">
        <f>2070.8+(110-752.7)+(0+(0-0))+0--88.2-0</f>
        <v>1516.3000000000002</v>
      </c>
      <c r="Y19" s="3">
        <f>2091.2+(116.6-675.6)+(-1.066512+(-0.059466--0.344556))+0--88.8-0.045287999999991</f>
        <v>1620.1732899999997</v>
      </c>
      <c r="Z19" s="3">
        <f>2120.9+(118.2-627.2)+(-3.244977+(-0.180846--0.959616))+0--90.2-0.138006000000005</f>
        <v>1699.4957870000003</v>
      </c>
      <c r="AA19" s="3">
        <f>2131+(110.4-658.2)+(-1.08681+(-0.056304--0.335682))+0--90.6-0.0462059999999908</f>
        <v>1672.9463619999997</v>
      </c>
      <c r="AB19" s="3">
        <f>2138.6+(103.4-693.4)+(-4.362744+(-0.210936--1.414536))+0--90.7-0.185027999999996</f>
        <v>1635.9558279999999</v>
      </c>
      <c r="AC19" s="3">
        <f>2139.8+(91.7-735.7)+(-1.091298+(-0.046767--0.375207))+0--90.7-0.0462569999999908</f>
        <v>1585.6908850000002</v>
      </c>
      <c r="AD19">
        <v>1701.2000000000003</v>
      </c>
      <c r="AE19" s="3">
        <f>2109.4+(113-611.6)+(0+(0-0))+0--90.4-0</f>
        <v>1701.2000000000003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2152+(83.5-768.1)+(-5.4876+(-0.212925--1.958655))+0--91.4-0.233069999999987</f>
        <v>1554.8250600000001</v>
      </c>
      <c r="G20" s="3">
        <f>2155.7+(80-844.9)+(-3.298221+(-0.1224--1.292697))+0--91.8-0.140454000000005</f>
        <v>1480.3316219999997</v>
      </c>
      <c r="H20" s="3">
        <f>2159.4+(82-895.7)+(2.202588+(0.08364-0.913614))+0--91.6--0.0934320000000146</f>
        <v>1438.7660460000002</v>
      </c>
      <c r="I20" s="3">
        <f>2161.5+(85.3-933.1)+(0+(0-0))+0--92.5-0</f>
        <v>1406.1999999999998</v>
      </c>
      <c r="J20" s="3">
        <f>2148+(85.2-935.5)+(-2.19096+(-0.086904--0.95421))+0--93.8-0.095676000000015</f>
        <v>1390.0806700000001</v>
      </c>
      <c r="K20" s="3">
        <f>2054.2+(89.6-821)+(-3.142926+(-0.137088--1.25613))+0--81.9-0.125307000000005</f>
        <v>1402.5508089999998</v>
      </c>
      <c r="L20" s="3">
        <f>1970.2+(96.2-686.2)+(-4.019208+(-0.196248--1.399848))+0--31.7-0.0646679999999986</f>
        <v>1409.019724</v>
      </c>
      <c r="M20" s="3">
        <f>2046.6+(112.4-784.9)+(0+(0-0))+0--56.8-0</f>
        <v>1430.8999999999999</v>
      </c>
      <c r="N20" s="3">
        <f>2304.2+(101.9-924)+(0+(0-0))+0--92.6-0</f>
        <v>1574.6999999999998</v>
      </c>
      <c r="O20" s="3">
        <f>2387.8+(92.9-900.3)+(0+(0-0))+0--90-0</f>
        <v>1670.4</v>
      </c>
      <c r="P20" s="3">
        <f>2358.1+(97.3-804.6)+(0+(0-0))+0--88.3-0</f>
        <v>1739.0999999999997</v>
      </c>
      <c r="Q20" s="3">
        <f>2392.9+(97.5-792.9)+(-4.881516+(-0.1989--1.617516))+0--88.5-0.180539999999996</f>
        <v>1782.3565599999999</v>
      </c>
      <c r="R20" s="3">
        <f>2455.8+(89.3-853.2)+(-1.252458+(-0.045543--0.435132))+0--88.8-0.045287999999991</f>
        <v>1779.791843</v>
      </c>
      <c r="S20" s="3">
        <f>2462.9+(84.2-899.8)+(-2.512158+(-0.085884--0.917796))+0--88.2-0.0899640000000141</f>
        <v>1733.7297900000003</v>
      </c>
      <c r="T20" s="3">
        <f>2467.5+(86.3-904.1)+(-2.51685+(-0.088026--0.922182))+0--88.9-0.0906780000000142</f>
        <v>1736.8266279999998</v>
      </c>
      <c r="U20" s="3">
        <f>2472.2+(87.5-929.8)+(0+(0-0))+0--92.4-0</f>
        <v>1722.3</v>
      </c>
      <c r="V20" s="3">
        <f>2480.8+(84.4-934.9)+(-1.265208+(-0.043044--0.476799))+0--87.1-0.0444209999999912</f>
        <v>1716.524126</v>
      </c>
      <c r="W20" s="3">
        <f>2310.5+(85.5-769.3)+(-7.07013+(-0.26163--2.354058))+0--88.4-0.27050400000001</f>
        <v>1709.8517940000002</v>
      </c>
      <c r="X20" s="3">
        <f>2211.8+(78.1-706.2)+(-4.512072+(-0.159324--1.440648))+0--89.3-0.182171999999996</f>
        <v>1669.5870800000002</v>
      </c>
      <c r="Y20" s="3">
        <f>2360.9+(86.8-791.9)+(2.408118+(0.088536-0.807738))+0--91.2--0.0930240000000145</f>
        <v>1748.7819400000003</v>
      </c>
      <c r="Z20" s="3">
        <f>2554.1+(91.9-894.8)+(0+(0-0))+0--91.8-0</f>
        <v>1842.9999999999998</v>
      </c>
      <c r="AA20" s="3">
        <f>2543.2+(89.7-934.9)+(-6.48516+(-0.228735--2.383995))+0--92.7-0.236384999999987</f>
        <v>1786.1337150000002</v>
      </c>
      <c r="AB20" s="3">
        <f>2556+(89.5-1006.1)+(-1.30356+(-0.045645--0.513111))+0--91.8-0.0468179999999907</f>
        <v>1730.317088</v>
      </c>
      <c r="AC20" s="3">
        <f>2495.3+(85.4-989.9)+(-2.545206+(-0.087108--1.009698))+0--92-0.0938400000000147</f>
        <v>1681.0835440000001</v>
      </c>
      <c r="AD20">
        <v>1847.5000000000002</v>
      </c>
      <c r="AE20" s="3">
        <f>2542+(91.3-878.1)+(0+(0-0))+0--92.3-0</f>
        <v>1847.4999999999998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2347.7+(73.3-859.8)+(-2.394654+(-0.074766--0.876996))+0--92.1-0.0939420000000147</f>
        <v>1651.6136339999998</v>
      </c>
      <c r="G21" s="3">
        <f>2358.2+(68.8-947.5)+(0+(0-0))+0--92.5-0</f>
        <v>1571.9999999999998</v>
      </c>
      <c r="H21" s="3">
        <f>2311.8+(65.8-950.6)+(-4.716072+(-0.134232--1.939224))+0--92.6-0.188903999999996</f>
        <v>1516.5000159999997</v>
      </c>
      <c r="I21" s="3">
        <f>2222.9+(65.2-888.2)+(-4.534716+(-0.133008--1.811928))+0--92.7-0.189107999999996</f>
        <v>1489.555096</v>
      </c>
      <c r="J21" s="3">
        <f>2119.4+(66.6-734.4)+(-3.242682+(-0.101898--1.123632))+0--57.2-0.0875160000000033</f>
        <v>1506.4915360000002</v>
      </c>
      <c r="K21" s="3">
        <f>2021.1+(66.7-677.5)+(-3.092283+(-0.102051--1.036575))+0--29.3-0.0448290000000017</f>
        <v>1437.397412</v>
      </c>
      <c r="L21" s="3">
        <f>2053.2+(73.2-733.6)+(-1.047132+(-0.037332--0.374136))+0--30.5-0.0155549999999969</f>
        <v>1422.5741169999999</v>
      </c>
      <c r="M21" s="3">
        <f>2061.9+(73.5-725.5)+(0+(0-0))+0--32.2-0</f>
        <v>1442.1000000000001</v>
      </c>
      <c r="N21" s="3">
        <f>2167+(81.1-711)+(-1.10517+(-0.041361--0.36261))+0--32.8-0.0167279999999967</f>
        <v>1569.0993509999998</v>
      </c>
      <c r="O21" s="3">
        <f>2313.1+(84.6-839.4)+(-2.359362+(-0.086292--0.856188))+0--93.5-0.0953700000000149</f>
        <v>1650.115164</v>
      </c>
      <c r="P21" s="3">
        <f>2279.3+(88.6-748.1)+(-1.162443+(-0.045186--0.381531))+0--92.2-0.0470219999999906</f>
        <v>1711.1268800000003</v>
      </c>
      <c r="Q21" s="3">
        <f>2247.5+(90.4-689.4)+(0+(0-0))+0--89.4-0</f>
        <v>1737.9</v>
      </c>
      <c r="R21" s="3">
        <f>2251.8+(99.6-695.3)+(0+(0-0))+0--89.2-0</f>
        <v>1745.3000000000004</v>
      </c>
      <c r="S21" s="3">
        <f>2221.5+(110.3-655.8)+(-2.26593+(-0.112506--0.668916))+0--40.2-0.0410040000000064</f>
        <v>1714.449476</v>
      </c>
      <c r="T21" s="3">
        <f>2242.4+(119.2-681.9)+(0+(0-0))+0--31.7-0</f>
        <v>1711.4000000000003</v>
      </c>
      <c r="U21" s="3">
        <f>2232.2+(98.5-680.9)+(0+(0-0))+0--31.6-0</f>
        <v>1681.3999999999996</v>
      </c>
      <c r="V21" s="3">
        <f>2371.5+(94.4-818.5)+(-3.628395+(-0.144432--1.252305))+0--31.3-0.0478890000000018</f>
        <v>1676.1315890000001</v>
      </c>
      <c r="W21" s="3">
        <f>2364.9+(91.8-797.4)+(-3.618297+(-0.140454--1.220022))+0--31.5-0.0481950000000018</f>
        <v>1688.213076</v>
      </c>
      <c r="X21" s="3">
        <f>2288.4+(86.5-742.2)+(-4.668336+(-0.17646--1.514088))+0--31.8-0.0648719999999986</f>
        <v>1661.1044200000001</v>
      </c>
      <c r="Y21" s="3">
        <f>2395+(93.2-791)+(0+(0-0))+0--44.4-0</f>
        <v>1741.6000000000001</v>
      </c>
      <c r="Z21" s="3">
        <f>2509.7+(97.5-872.3)+(-5.119788+(-0.1989--1.779492))+0--86.2-0.175847999999996</f>
        <v>1817.3849559999999</v>
      </c>
      <c r="AA21" s="3">
        <f>2505.9+(94.4-919.1)+(-3.834027+(-0.144432--1.406223))+0--86-0.131580000000005</f>
        <v>1764.4961840000001</v>
      </c>
      <c r="AB21" s="3">
        <f>2462.4+(94.1-941)+(-3.767472+(-0.143973--1.43973))+0--85.8-0.131274000000005</f>
        <v>1698.697011</v>
      </c>
      <c r="AC21" s="3">
        <f>2448.6+(87.5-973.1)+(-3.746358+(-0.133875--1.488843))+0--88.4-0.135252000000005</f>
        <v>1648.8733580000001</v>
      </c>
      <c r="AD21">
        <v>1843.3000000000002</v>
      </c>
      <c r="AE21" s="3">
        <f>2526.4+(95.1-863.1)+(0+(0-0))+0--84.9-0</f>
        <v>1843.3000000000002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2283.3+(81.7-857.8)+(-2.328966+(-0.083334--0.874956))+0--91.4-0.0932280000000146</f>
        <v>1596.9694280000003</v>
      </c>
      <c r="G22" s="3">
        <f>2165.3+(79.2-809.1)+(0+(0-0))+0--90.9-0</f>
        <v>1526.3000000000002</v>
      </c>
      <c r="H22" s="3">
        <f>2128.6+(75.7-822.1)+(-3.256758+(-0.115821--1.257813))+0--91.1-0.139383000000005</f>
        <v>1471.0458509999999</v>
      </c>
      <c r="I22" s="3">
        <f>2016.9+(76.1-694.1)+(-2.057238+(-0.077622--0.707982))+0--39.2-0.0399840000000063</f>
        <v>1436.6331380000001</v>
      </c>
      <c r="J22" s="3">
        <f>1978.1+(76.1-666.9)+(1.008831+(0.038811-0.340119))+0--31.5--0.0160649999999968</f>
        <v>1419.523588</v>
      </c>
      <c r="K22" s="3">
        <f>2031.2+(73.6-768.4)+(-2.071824+(-0.075072--0.783768))+0--79.5-0.0810900000000127</f>
        <v>1414.4557820000002</v>
      </c>
      <c r="L22" s="3">
        <f>2058.2+(71.3-789.4)+(-3.149046+(-0.109089--1.207782))+0--93.6-0.143208000000005</f>
        <v>1431.5064389999998</v>
      </c>
      <c r="M22" s="3">
        <f>2063+(75.3-769.3)+(0+(0-0))+0--94.4-0</f>
        <v>1463.4</v>
      </c>
      <c r="N22" s="3">
        <f>2119.6+(87.4-711.6)+(4.323984+(0.178296-1.451664))+0--88.5--0.180539999999996</f>
        <v>1587.1311559999999</v>
      </c>
      <c r="O22" s="3">
        <f>2289.1+(92-803.2)+(1.167441+(0.04692-0.409632))+0--90.9--0.0463589999999908</f>
        <v>1669.6510879999998</v>
      </c>
      <c r="P22" s="3">
        <f>2233.5+(96-685.6)+(0+(0-0))+0--90-0</f>
        <v>1733.9</v>
      </c>
      <c r="Q22" s="3">
        <f>2212+(99.8-618.8)+(0+(0-0))+0--91.3-0</f>
        <v>1784.3</v>
      </c>
      <c r="R22" s="3">
        <f>2202.8+(100.2-618.6)+(-4.493712+(-0.204408--1.261944))+0--91.1-0.185843999999996</f>
        <v>1771.87798</v>
      </c>
      <c r="S22" s="3">
        <f>2206.5+(94.1-661.5)+(-2.25063+(-0.095982--0.67473))+0--89.5-0.0912900000000143</f>
        <v>1726.8368279999997</v>
      </c>
      <c r="T22" s="3">
        <f>2202.5+(98.5-651)+(0+(0-0))+0--88.7-0</f>
        <v>1738.7</v>
      </c>
      <c r="U22" s="3">
        <f>2200.4+(100-651.5)+(-2.244408+(-0.102--0.66453))+0--86.1-0.0878220000000137</f>
        <v>1733.2302999999999</v>
      </c>
      <c r="V22" s="3">
        <f>2121.1+(101.1-568.4)+(-2.163522+(-0.103122--0.579768))+0--84.8-0.0864960000000135</f>
        <v>1736.8266279999998</v>
      </c>
      <c r="W22" s="3">
        <f>2017+(101-470)+(0+(0-0))+0--90.8-0</f>
        <v>1738.8</v>
      </c>
      <c r="X22" s="3">
        <f>2050.7+(106.6-560.9)+(-1.045857+(-0.054366--0.286059))+0--92.4-0.0471239999999906</f>
        <v>1687.9387120000001</v>
      </c>
      <c r="Y22" s="3">
        <f>2156.7+(107.3-597.8)+(-1.099917+(-0.054723--0.304878))+0--91.9-0.0468689999999907</f>
        <v>1757.2033689999998</v>
      </c>
      <c r="Z22" s="3">
        <f>2320.7+(106.6-686)+(-4.734228+(-0.217464--1.39944))+0--94.1-0.191963999999996</f>
        <v>1831.6557839999996</v>
      </c>
      <c r="AA22" s="3">
        <f>2315.2+(98.9-686.7)+(-4.723008+(-0.201756--1.400868))+0--83.4-0.170135999999996</f>
        <v>1807.1059679999998</v>
      </c>
      <c r="AB22" s="3">
        <f>2220.2+(99.9-595.8)+(-3.396906+(-0.152847--0.911574))+0--31.4-0.0480420000000018</f>
        <v>1753.0137789999999</v>
      </c>
      <c r="AC22" s="3">
        <f>2323.9+(92.4-800)+(-4.740756+(-0.188496--1.632))+0--82.7-0.168707999999996</f>
        <v>1695.5340400000002</v>
      </c>
      <c r="AD22">
        <v>1828.4000000000003</v>
      </c>
      <c r="AE22" s="3">
        <f>2341.4+(106.3-713.6)+(0+(0-0))+0--94.3-0</f>
        <v>1828.3999999999999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2170.8+(96.4-693.9)+(-3.321324+(-0.147492--1.061667))+0--77.1-0.117963000000004</f>
        <v>1647.8748880000003</v>
      </c>
      <c r="G23" s="3">
        <f>2108.9+(105.5-683.5)+(-5.377695+(-0.269025--1.742925))+0--30.8-0.0785399999999955</f>
        <v>1557.7176650000001</v>
      </c>
      <c r="H23" s="3">
        <f>2116+(86.4-731.1)+(-1.07916+(-0.044064--0.372861))+0--28.4-0.0144839999999971</f>
        <v>1498.9351529999999</v>
      </c>
      <c r="I23" s="3">
        <f>2115.7+(85.3-765.5)+(-4.316028+(-0.174012--1.56162))+0--29.3-0.0597719999999987</f>
        <v>1461.8118079999997</v>
      </c>
      <c r="J23" s="3">
        <f>2027.5+(84.2-693.5)+(-4.1361+(-0.171768--1.41474))+0--29.1-0.0593639999999987</f>
        <v>1444.3475080000001</v>
      </c>
      <c r="K23" s="3">
        <f>1988.5+(87.3-663.2)+(1.014135+(0.044523-0.338232))+0--29.4--0.014993999999997</f>
        <v>1442.73542</v>
      </c>
      <c r="L23" s="3">
        <f>1981+(84.5-653.8)+(-4.04124+(-0.17238--1.333752))+0--29.3-0.0597719999999987</f>
        <v>1438.0603599999999</v>
      </c>
      <c r="M23" s="3">
        <f>2107.2+(83.2-795.9)+(-2.149344+(-0.084864--0.811818))+0--73.7-0.0751740000000118</f>
        <v>1466.702436</v>
      </c>
      <c r="N23" s="3">
        <f>2306.5+(96-897.1)+(0+(0-0))+0--95.3-0</f>
        <v>1600.7</v>
      </c>
      <c r="O23" s="3">
        <f>2317+(104.5-836.9)+(1.18167+(0.053295-0.426819))+0--90.8--0.0463079999999908</f>
        <v>1676.2544539999999</v>
      </c>
      <c r="P23" s="3">
        <f>2289.8+(106-745.2)+(1.167798+(0.05406-0.380052))+0--85.5--0.0436049999999913</f>
        <v>1736.9854110000001</v>
      </c>
      <c r="Q23" s="3">
        <f>2271.1+(121.7-688.1)+(-1.158261+(-0.062067--0.350931))+0--82.9-0.0422789999999916</f>
        <v>1786.688324</v>
      </c>
      <c r="R23" s="3">
        <f>2244.5+(176.6-731)+(-1.144695+(-0.090066--0.37281))+0--80.7-0.0411569999999918</f>
        <v>1769.896892</v>
      </c>
      <c r="S23" s="3">
        <f>2229.8+(151.8-729)+(-5.68599+(-0.38709--1.85895))+0--82.9-0.211394999999988</f>
        <v>1731.0744750000001</v>
      </c>
      <c r="T23" s="3">
        <f>2208.2+(183.7-717.5)+(-2.252364+(-0.187374--0.73185))+0--81.7-0.083334000000013</f>
        <v>1754.3087780000001</v>
      </c>
      <c r="U23" s="3">
        <f>2207.7+(162.2-701.2)+(-2.251854+(-0.165444--0.715224))+0--82.4-0.0840480000000131</f>
        <v>1749.3138779999999</v>
      </c>
      <c r="V23" s="3">
        <f>2209.9+(103.8-657.2)+(0+(0-0))+0--83-0</f>
        <v>1739.5</v>
      </c>
      <c r="W23" s="3">
        <f>2208.5+(96.3-681.4)+(-5.631675+(-0.245565--1.73757))+0--80.6-0.205529999999988</f>
        <v>1699.6548</v>
      </c>
      <c r="X23" s="3">
        <f>2169.1+(96.4-675.9)+(-4.424964+(-0.196656--1.378836))+0--83.5-0.170339999999996</f>
        <v>1669.686876</v>
      </c>
      <c r="Y23" s="3">
        <f>2325.8+(97.2-748.5)+(1.186158+(0.049572-0.381735))+0--79.9--0.0407489999999919</f>
        <v>1755.2947440000003</v>
      </c>
      <c r="Z23" s="3">
        <f>2391.2+(108.9-757.7)+(-3.658536+(-0.166617--1.159281))+0--79.9-0.122247000000005</f>
        <v>1819.5118809999997</v>
      </c>
      <c r="AA23" s="3">
        <f>2403.4+(103.2-836.2)+(-6.12867+(-0.26316--2.13231))+0--85-0.216749999999988</f>
        <v>1750.92373</v>
      </c>
      <c r="AB23" s="3">
        <f>2363.1+(104.2-871)+(-6.025905+(-0.26571--2.22105))+0--66.6-0.16982999999999</f>
        <v>1658.6596049999998</v>
      </c>
      <c r="AC23" s="3">
        <f>2279.7+(115.4-822.4)+(-2.325294+(-0.117708--0.838848))+0--25.6-0.0261120000000041</f>
        <v>1596.6697339999996</v>
      </c>
      <c r="AD23">
        <v>1831.2000000000003</v>
      </c>
      <c r="AE23" s="3">
        <f>2400.4+(105.4-754.6)+(0+(0-0))+0--80-0</f>
        <v>1831.2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2131.3+(164.3-725.9)+(0+(0-0))+0--25.3-0</f>
        <v>1595.0000000000002</v>
      </c>
      <c r="G24" s="3">
        <f>2106.7+(107.7-723.1)+(2.148834+(0.109854-0.737562))+0--25.1--0.025602000000004</f>
        <v>1517.9467279999997</v>
      </c>
      <c r="H24" s="3">
        <f>2147+(92-775)+(-3.28491+(-0.14076--1.18575))+0--25.6-0.0391680000000015</f>
        <v>1487.3209119999999</v>
      </c>
      <c r="I24" s="3">
        <f>2026.7+(89.6-724.2)+(-2.067234+(-0.091392--0.738684))+0--25.1-0.025602000000004</f>
        <v>1415.7544559999999</v>
      </c>
      <c r="J24" s="3">
        <f>2030.9+(86.6-720.9)+(-4.143036+(-0.176664--1.470636))+0--25.1-0.0512039999999989</f>
        <v>1418.7997319999999</v>
      </c>
      <c r="K24" s="3">
        <f>1951+(87.8-708.8)+(0+(0-0))+0--67.5-0</f>
        <v>1397.5</v>
      </c>
      <c r="L24" s="3">
        <f>1969.2+(78.4-749.1)+(-1.004292+(-0.039984--0.382041))+0--83.8-0.0427379999999915</f>
        <v>1381.5950269999998</v>
      </c>
      <c r="M24" s="3">
        <f>1980.5+(80.6-764.4)+(0+(0-0))+0--87.5-0</f>
        <v>1384.2</v>
      </c>
      <c r="N24" s="3">
        <f>2085.4+(92.6-782.9)+(-1.063554+(-0.047226--0.399279))+0--86.4-0.0440639999999912</f>
        <v>1480.7444350000003</v>
      </c>
      <c r="O24" s="3">
        <f>2245.2+(97.7-853.4)+(-1.145052+(-0.049827--0.435234))+0--88.2-0.0449819999999911</f>
        <v>1576.8953730000001</v>
      </c>
      <c r="P24" s="3">
        <f>2237.6+(100.7-793.3)+(-2.282352+(-0.102714--0.809166))+0--81.4-0.083028000000013</f>
        <v>1624.741072</v>
      </c>
      <c r="Q24" s="3">
        <f>2282.6+(100.3-822.7)+(-2.328252+(-0.102306--0.839154))+0--82.1-0.0837420000000131</f>
        <v>1640.6248539999997</v>
      </c>
      <c r="R24" s="3">
        <f>2340.1+(97-869.5)+(-2.386902+(-0.09894--0.88689))+0--82-0.0836400000000131</f>
        <v>1647.9174079999998</v>
      </c>
      <c r="S24" s="3">
        <f>2226.2+(94.1-776.6)+(-2.270724+(-0.095982--0.792132))+0--79.9-0.0814980000000127</f>
        <v>1621.9439279999999</v>
      </c>
      <c r="T24" s="3">
        <f>2132.2+(119.4-713.5)+(0+(0-0))+0--78-0</f>
        <v>1616.1</v>
      </c>
      <c r="U24" s="3">
        <f>2128.1+(163.5-717.7)+(-2.170662+(-0.16677--0.732054))+0--25.2-0.025704000000004</f>
        <v>1597.468918</v>
      </c>
      <c r="V24" s="3">
        <f>2046.9+(170.7-670)+(3.131757+(0.261171-1.0251))+0--25.3--0.0387090000000015</f>
        <v>1575.3065369999999</v>
      </c>
      <c r="W24" s="3">
        <f>1978+(119.1-575)+(-4.03512+(-0.242964--1.173))+0--25.4-0.0518159999999989</f>
        <v>1544.3431</v>
      </c>
      <c r="X24" s="3">
        <f>1976.6+(89.9-570)+(1.008066+(0.045849-0.2907))+0--25.6--0.0130559999999974</f>
        <v>1522.8762709999999</v>
      </c>
      <c r="Y24" s="3">
        <f>2272.4+(95.4-790)+(1.158924+(0.048654-0.4029))+0--48--0.0244799999999951</f>
        <v>1626.6291580000002</v>
      </c>
      <c r="Z24" s="3">
        <f>2355.6+(98.1-824.6)+(-4.805424+(-0.200124--1.682184))+0--82.4-0.168095999999996</f>
        <v>1708.0085399999998</v>
      </c>
      <c r="AA24" s="3">
        <f>2300.3+(94.6-812.4)+(-7.038918+(-0.289476--2.485944))+0--84.5-0.25857000000001</f>
        <v>1661.8989800000002</v>
      </c>
      <c r="AB24" s="3">
        <f>2241.1+(99.1-783.4)+(-4.571844+(-0.202164--1.598136))+0--59.2-0.120767999999997</f>
        <v>1612.70336</v>
      </c>
      <c r="AC24" s="3">
        <f>1977.2+(265.2-685.7)+(-4.033488+(-0.541008--1.398828))+0--25.6-0.0522239999999989</f>
        <v>1579.0721079999998</v>
      </c>
      <c r="AD24">
        <v>1715.6000000000001</v>
      </c>
      <c r="AE24" s="3">
        <f>2371+(96.9-831.3)+(0+(0-0))+0--79-0</f>
        <v>1715.6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1814.6+(276-620.6)+(-0.925446+(-0.14076--0.316506))+0--25.5-0.0130049999999974</f>
        <v>1494.7372949999999</v>
      </c>
      <c r="G25" s="3">
        <f>1839.7+(221.8-647)+(-3.752988+(-0.452472--1.31988))+0--25.7-0.0524279999999989</f>
        <v>1437.2619920000002</v>
      </c>
      <c r="H25" s="3">
        <f>1856.9+(186.1-688.4)+(-1.894038+(-0.189822--0.702168))+0--25.7-0.0262140000000041</f>
        <v>1378.8920940000003</v>
      </c>
      <c r="I25" s="3">
        <f>1868.8+(129.2-693.2)+(0.953088+(0.065892-0.353532))+0--26--0.0132599999999974</f>
        <v>1331.4787079999999</v>
      </c>
      <c r="J25" s="3">
        <f>1852.5+(109-694.5)+(1.88955+(0.11118-0.70839))+9.8--26.1--0.0266220000000042</f>
        <v>1304.2189619999999</v>
      </c>
      <c r="K25" s="3">
        <f>1903.9+(81.9-731.3)+(-0.970989+(-0.041769--0.372963))+0--25.7-0.0131069999999974</f>
        <v>1279.547098</v>
      </c>
      <c r="L25" s="3">
        <f>1847.5+(80.6-677.8)+(-2.826675+(-0.123318--1.037034))+0--25.8-0.0394740000000015</f>
        <v>1274.1475670000002</v>
      </c>
      <c r="M25" s="3">
        <f>1934.2+(84.2-764)+(0+(0-0))+0--26-0</f>
        <v>1280.4000000000001</v>
      </c>
      <c r="N25" s="3">
        <f>2051.9+(93.4-783.6)+(0+(0-0))+0--24.3-0</f>
        <v>1386</v>
      </c>
      <c r="O25" s="3">
        <f>2015.9+(96-732.1)+(-1.028109+(-0.04896--0.373371))+0--67.2-0.0342719999999932</f>
        <v>1446.2620300000001</v>
      </c>
      <c r="P25" s="3">
        <f>2015.4+(103.5-690.4)+(3.083562+(0.158355-1.056312))+0--80.7--0.123471000000005</f>
        <v>1511.5090760000001</v>
      </c>
      <c r="Q25" s="3">
        <f>1994.2+(103.4-634.7)+(-6.102252+(-0.316404--1.942182))+0--81.3-0.248778000000009</f>
        <v>1539.4747480000001</v>
      </c>
      <c r="R25" s="3">
        <f>1857.6+(197-593)+(-4.73688+(-0.50235--1.51215))+0--83.2-0.212159999999988</f>
        <v>1540.86076</v>
      </c>
      <c r="S25" s="3">
        <f>1760.9+(250.5-559.8)+(-0.898059+(-0.127755--0.285498))+0--66.1-0.0337109999999933</f>
        <v>1516.9259730000001</v>
      </c>
      <c r="T25" s="3">
        <f>1686.8+(332.7-489.8)+(0.860268+(0.169677-0.249798))+0--25.8--0.0131579999999974</f>
        <v>1556.2933049999997</v>
      </c>
      <c r="U25" s="3">
        <f>1787.9+(211.4-511.4)+(-0.911829+(-0.107814--0.260814))+0--25.5-0.0130049999999974</f>
        <v>1512.628166</v>
      </c>
      <c r="V25" s="3">
        <f>1852.1+(116.3-506)+(-3.778284+(-0.237252--1.03224))+0--25.8-0.0526319999999989</f>
        <v>1485.1640719999998</v>
      </c>
      <c r="W25" s="3">
        <f>1846.3+(91-510.5)+(-2.824839+(-0.13923--0.781065))+0--25.5-0.0390150000000015</f>
        <v>1450.0779809999999</v>
      </c>
      <c r="X25" s="3">
        <f>1838.7+(92.1-495.6)+(-1.875474+(-0.093942--0.505512))+0--26-0.0265200000000041</f>
        <v>1459.7095760000002</v>
      </c>
      <c r="Y25" s="3">
        <f>1970.2+(100.1-519.5)+(-4.019208+(-0.204204--1.05978))+0--26.8-0.0546719999999988</f>
        <v>1574.3816960000001</v>
      </c>
      <c r="Z25" s="3">
        <f>2148.9+(102.6-660.2)+(-5.479695+(-0.26163--1.68351))+0--84.7-0.215984999999988</f>
        <v>1671.7262000000003</v>
      </c>
      <c r="AA25" s="3">
        <f>2214.1+(99.8-777.1)+(-3.387573+(-0.152694--1.188963))+0--85.7-0.131121000000005</f>
        <v>1620.0175749999999</v>
      </c>
      <c r="AB25" s="3">
        <f>2207.3+(97.6-815.9)+(-2.251446+(-0.099552--0.832218))+0--86.2-0.0879240000000137</f>
        <v>1573.5932960000002</v>
      </c>
      <c r="AC25" s="3">
        <f>2132.9+(94.6-778.5)+(-1.087779+(-0.048246--0.397035))+0--86.8-0.0442679999999912</f>
        <v>1535.0167419999998</v>
      </c>
      <c r="AD25">
        <v>1704.7000000000003</v>
      </c>
      <c r="AE25" s="3">
        <f>2243.4+(103.8-728.5)+(0+(0-0))+0--86-0</f>
        <v>1704.7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2023.2+(89-703)+(-1.031832+(-0.04539--0.35853))+0--88.5-0.045134999999991</f>
        <v>1496.9361730000001</v>
      </c>
      <c r="G26" s="3">
        <f>1925.3+(85.8-685.4)+(-1.963806+(-0.087516--0.699108))+0--87.7-0.089454000000014</f>
        <v>1411.9583319999999</v>
      </c>
      <c r="H26" s="3">
        <f>1933.4+(80.3-734.3)+(-2.958102+(-0.122859--1.123479))+0--88.1-0.134793000000005</f>
        <v>1365.407725</v>
      </c>
      <c r="I26" s="3">
        <f>1937.4+(78.5-787.4)+(0+(0-0))+0--87.3-0</f>
        <v>1315.8</v>
      </c>
      <c r="J26" s="3">
        <f>1952.8+(76.3-815.7)+(0+(0-0))+0--88.4-0</f>
        <v>1301.8</v>
      </c>
      <c r="K26" s="3">
        <f>1833.4+(77.6-638.7)+(-1.870068+(-0.079152--0.651474))+0--27.5-0.0280500000000044</f>
        <v>1298.4742040000003</v>
      </c>
      <c r="L26" s="3">
        <f>1777.1+(75-606.3)+(-7.250568+(-0.306--2.473704))+0--25.5-0.104039999999998</f>
        <v>1266.113096</v>
      </c>
      <c r="M26" s="3">
        <f>1712.6+(76.1-572.4)+(-1.746852+(-0.077622--0.583848))+0--26.8-0.0273360000000043</f>
        <v>1241.8320379999998</v>
      </c>
      <c r="N26" s="3">
        <f>1721.2+(81.2-519.1)+(3.511248+(0.165648-1.058964))+0--26.9--0.0548759999999988</f>
        <v>1312.8728080000001</v>
      </c>
      <c r="O26" s="3">
        <f>1706+(78.7-449.4)+(-2.61018+(-0.120411--0.687582))+0--26.8-0.0410040000000016</f>
        <v>1360.015987</v>
      </c>
      <c r="P26" s="3">
        <f>1705.3+(122.8-443.2)+(1.739406+(0.125256-0.452064))+0--26.2--0.0267240000000042</f>
        <v>1412.5393220000001</v>
      </c>
      <c r="Q26" s="3">
        <f>1906.1+(91.8-601)+(-2.916333+(-0.140454--0.91953))+0--26.3-0.0402390000000015</f>
        <v>1421.0225039999998</v>
      </c>
      <c r="R26" s="3">
        <f>1906.9+(104.8-584.3)+(-6.807633+(-0.374136--2.085951))+0--26-0.0928200000000004</f>
        <v>1448.211362</v>
      </c>
      <c r="S26" s="3">
        <f>1662.7+(193.7-465.8)+(0+(0-0))+0--26-0</f>
        <v>1416.6</v>
      </c>
      <c r="T26" s="3">
        <f>1656.4+(189-446.9)+(-1.689528+(-0.19278--0.455838))+0--26-0.0265200000000041</f>
        <v>1423.04701</v>
      </c>
      <c r="U26" s="3">
        <f>1644.9+(180.4-424.4)+(-0.838899+(-0.092004--0.216444))+0--26.2-0.0133619999999973</f>
        <v>1426.3721790000002</v>
      </c>
      <c r="V26" s="3">
        <f>1640.9+(126.9-366.4)+(-3.347436+(-0.258876--0.747456))+0--26.9-0.0548759999999988</f>
        <v>1425.3862680000002</v>
      </c>
      <c r="W26" s="3">
        <f>1647.2+(113.2-370.6)+(-0.840072+(-0.057732--0.189006))+0--26.4-0.0134639999999973</f>
        <v>1415.4777380000003</v>
      </c>
      <c r="X26" s="3">
        <f>1659.8+(117.3-407.5)+(0.846498+(0.059823-0.207825))+0--26.3--0.0134129999999973</f>
        <v>1396.6119089999997</v>
      </c>
      <c r="Y26" s="3">
        <f>1773.5+(167.2-497.6)+(-3.61794+(-0.341088--1.015104))+0--37.3-0.0760919999999984</f>
        <v>1477.3799839999999</v>
      </c>
      <c r="Z26" s="3">
        <f>2070.4+(114.5-660.1)+(-1.055904+(-0.058395--0.336651))+0--86.7-0.0442169999999912</f>
        <v>1610.6781350000003</v>
      </c>
      <c r="AA26" s="3">
        <f>2079.1+(102.8-695.9)+(-4.241364+(-0.209712--1.419636))+0--87.4-0.178295999999996</f>
        <v>1570.1902640000001</v>
      </c>
      <c r="AB26" s="3">
        <f>2089.5+(99.8-744.9)+(-2.13129+(-0.101796--0.759798))+0--87.1-0.0888420000000139</f>
        <v>1529.93787</v>
      </c>
      <c r="AC26" s="3">
        <f>2085.2+(96.3-788.2)+(-4.253808+(-0.196452--1.607928))+0--87.5-0.178499999999996</f>
        <v>1477.7791679999998</v>
      </c>
      <c r="AD26">
        <v>1606.2</v>
      </c>
      <c r="AE26" s="3">
        <f>2061.2+(104.3-646.3)+(0+(0-0))+0--87-0</f>
        <v>1606.1999999999998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1901.4+(127.4-698.4)+(0+(0-0))+0--87.9-0</f>
        <v>1418.3000000000002</v>
      </c>
      <c r="G27" s="3">
        <f>1824.3+(130.6-650.7)+(-4.651965+(-0.33303--1.659285))+0--43.1-0.109904999999994</f>
        <v>1343.8643849999996</v>
      </c>
      <c r="H27" s="3">
        <f>1826.7+(104.7-665)+(-0.931617+(-0.053397--0.33915))+0--26-0.0132599999999974</f>
        <v>1291.7408760000001</v>
      </c>
      <c r="I27" s="3">
        <f>1847.6+(82.8-698.8)+(0.942276+(0.042228-0.356388))+0--26--0.0132599999999974</f>
        <v>1258.2413759999999</v>
      </c>
      <c r="J27" s="3">
        <f>1996.8+(80.2-838)+(-1.018368+(-0.040902--0.42738))+0--26.1-0.0133109999999974</f>
        <v>1264.4547989999999</v>
      </c>
      <c r="K27" s="3">
        <f>2010+(79-865.3)+(1.0251+(0.04029-0.441303))+0--26.1--0.0133109999999974</f>
        <v>1250.4373979999998</v>
      </c>
      <c r="L27" s="3">
        <f>2018.9+(81.2-830.7)+(-5.148195+(-0.20706--2.118285))+0--23.3-0.0594149999999966</f>
        <v>1289.4036150000002</v>
      </c>
      <c r="M27" s="3">
        <f>2032.3+(84.3-822.8)+(2.072946+(0.085986-0.839256))+0--23.7--0.0241740000000038</f>
        <v>1318.84385</v>
      </c>
      <c r="N27" s="3">
        <f>2022.9+(101.7-689.1)+(0+(0-0))+0--23.5-0</f>
        <v>1459</v>
      </c>
      <c r="O27" s="3">
        <f>1999.4+(118-597.9)+(0+(0-0))+0.9--33.7-0</f>
        <v>1554.1000000000001</v>
      </c>
      <c r="P27" s="3">
        <f>1905.8+(218.2-598.1)+(1.943916+(0.222564-0.610062))+0.6--48.8--0.0497760000000078</f>
        <v>1576.9061939999997</v>
      </c>
      <c r="Q27" s="3">
        <f>1901.6+(249.9-599)+(-1.939632+(-0.254898--0.61098))+0--75.1-0.076602000000012</f>
        <v>1625.9398479999998</v>
      </c>
      <c r="R27" s="3">
        <f>1881.2+(305.4-645.2)+(-0.959412+(-0.155754--0.329052))+0--79.8-0.0406979999999919</f>
        <v>1620.373188</v>
      </c>
      <c r="S27" s="3">
        <f>1869.2+(312.8-666.9)+(0+(0-0))+0--79.4-0</f>
        <v>1594.5000000000002</v>
      </c>
      <c r="T27" s="3">
        <f>1862.3+(325.4-659.7)+(-0.949773+(-0.165954--0.336447))+0--79.7-0.0406469999999919</f>
        <v>1606.880073</v>
      </c>
      <c r="U27" s="3">
        <f>1861.4+(301.4-638.4)+(-2.847942+(-0.461142--0.976752))+0--78.1-0.119493000000004</f>
        <v>1600.0481750000001</v>
      </c>
      <c r="V27" s="3">
        <f>1858.5+(290.4-623.1)+(-0.947835+(-0.148104--0.317781))+0--78.6-0.040085999999992</f>
        <v>1603.5817559999998</v>
      </c>
      <c r="W27" s="3">
        <f>1896.6+(271.1-546.7)+(-3.869064+(-0.553044--1.115268))+0--36.1-0.0736439999999984</f>
        <v>1653.7195159999999</v>
      </c>
      <c r="X27" s="3">
        <f>1765+(269-474.7)+(-4.50075+(-0.68595--1.210485))+0--23.6-0.0601799999999966</f>
        <v>1578.863605</v>
      </c>
      <c r="Y27" s="3">
        <f>1773.8+(348.5-518.4)+(-0.904638+(-0.177735--0.264384))+0--44.1-0.0224909999999955</f>
        <v>1647.1595200000002</v>
      </c>
      <c r="Z27" s="3">
        <f>1871.6+(392.2-614.1)+(-3.818064+(-0.800088--1.252764))+0--82.2-0.167687999999996</f>
        <v>1728.3669239999999</v>
      </c>
      <c r="AA27" s="3">
        <f>1826.9+(405.3-618.9)+(-2.795157+(-0.620109--0.946917))+0--83.4-0.127602000000005</f>
        <v>1694.1040490000003</v>
      </c>
      <c r="AB27" s="3">
        <f>1733.7+(421.9-615.5)+(-4.420935+(-1.075845--1.569525))+0--83.5-0.212924999999988</f>
        <v>1619.4598199999998</v>
      </c>
      <c r="AC27" s="3">
        <f>1731.2+(388.4-653.2)+(-3.531648+(-0.792336--1.332528))+0--84-0.171359999999996</f>
        <v>1547.2371840000001</v>
      </c>
      <c r="AD27">
        <v>1800.7</v>
      </c>
      <c r="AE27" s="3">
        <f>1905.2+(414.8-605.3)+(0+(0-0))+0--86-0</f>
        <v>1800.7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1748+(315.9-640.9)+(-2.67444+(-0.483327--0.980577))+0--86.5-0.132345000000005</f>
        <v>1507.1904649999999</v>
      </c>
      <c r="G28" s="3">
        <f>1770.2+(204.2-618.5)+(-1.805604+(-0.208284--0.63087))+0--86.5-0.0882300000000138</f>
        <v>1440.928752</v>
      </c>
      <c r="H28" s="3">
        <f>1766+(116.9-574.8)+(-3.60264+(-0.238476--1.172592))+0--87.2-0.177887999999996</f>
        <v>1392.4535880000001</v>
      </c>
      <c r="I28" s="3">
        <f>1726+(90.3-553.5)+(-1.76052+(-0.092106--0.56457))+0--88-0.089760000000014</f>
        <v>1349.4221839999998</v>
      </c>
      <c r="J28" s="3">
        <f>1729.3+(89.1-541.5)+(-3.527772+(-0.181764--1.10466))+0--78.4-0.159935999999997</f>
        <v>1352.5351880000001</v>
      </c>
      <c r="K28" s="3">
        <f>1671.7+(94-447.8)+(0+(0-0))+0--25.4-0</f>
        <v>1343.3000000000002</v>
      </c>
      <c r="L28" s="3">
        <f>1661.3+(87.7-440.5)+(-5.930841+(-0.313089--1.572585))+0--25.5-0.0910350000000004</f>
        <v>1329.2376200000001</v>
      </c>
      <c r="M28" s="3">
        <f>1757.2+(89.9-510.9)+(0+(0-0))+0--26-0</f>
        <v>1362.2</v>
      </c>
      <c r="N28" s="3">
        <f>1982.8+(94-627.1)+(2.022456+(0.09588-0.639642))+0--36.5--0.0372300000000058</f>
        <v>1487.7159239999996</v>
      </c>
      <c r="O28" s="3">
        <f>2071.6+(109.8-612.4)+(-2.113032+(-0.111996--0.624648))+0--25.3-0.025806000000004</f>
        <v>1592.6738139999998</v>
      </c>
      <c r="P28" s="3">
        <f>2055.1+(109.3-600.5)+(1.048101+(0.055743-0.306255))+0--25.7--0.0131069999999974</f>
        <v>1590.4106959999999</v>
      </c>
      <c r="Q28" s="3">
        <f>2022.4+(103-627.4)+(0+(0-0))+0--25.1-0</f>
        <v>1523.1</v>
      </c>
      <c r="R28" s="3">
        <f>2021.4+(260-593.8)+(-5.15457+(-0.663--1.51419))+0--23.5-0.0599249999999966</f>
        <v>1706.7366950000001</v>
      </c>
      <c r="S28" s="3">
        <f>2009.4+(269.6-635.1)+(-4.099176+(-0.549984--1.295604))+0--23.1-0.047123999999999</f>
        <v>1663.59932</v>
      </c>
      <c r="T28" s="3">
        <f>1998.6+(338.8-694.1)+(2.038572+(0.345576-0.707982))+0--23.2--0.0236640000000037</f>
        <v>1668.19983</v>
      </c>
      <c r="U28" s="3">
        <f>1974.5+(337.2-667.6)+(-4.02798+(-0.687888--1.361904))+0--22.8-0.046511999999999</f>
        <v>1663.4995240000001</v>
      </c>
      <c r="V28" s="3">
        <f>1989.9+(246.4-586.9)+(-4.059396+(-0.502656--1.197276))+0--22.6-0.046103999999999</f>
        <v>1668.5891200000001</v>
      </c>
      <c r="W28" s="3">
        <f>1994.8+(176.5-511.7)+(-6.104088+(-0.54009--1.565802))+0--22.7-0.0694620000000026</f>
        <v>1677.1521620000001</v>
      </c>
      <c r="X28" s="3">
        <f>1792.9+(221-413.3)+(-3.657516+(-0.45084--0.843132))+0--23-0.046919999999999</f>
        <v>1620.2878560000001</v>
      </c>
      <c r="Y28" s="3">
        <f>1762.2+(329.7-441.9)+(0.898722+(0.168147-0.225369))+0--27.2--0.0138719999999972</f>
        <v>1678.055372</v>
      </c>
      <c r="Z28" s="3">
        <f>1985.6+(284.4-547.4)+(-5.06328+(-0.72522--1.39587))+0--80.9-0.206294999999988</f>
        <v>1798.901075</v>
      </c>
      <c r="AA28" s="3">
        <f>1984.1+(279.8-586.9)+(-5.059455+(-0.71349--1.496595))+0--81.8-0.208589999999988</f>
        <v>1754.3150599999999</v>
      </c>
      <c r="AB28" s="3">
        <f>1851.7+(344.1-580.8)+(-6.610569+(-1.228437--2.073456))+0--81.8-0.292026000000001</f>
        <v>1690.7424239999998</v>
      </c>
      <c r="AC28" s="3">
        <f>1834.5+(314.9-600.6)+(-4.677975+(-0.802995--1.53153))+0--82.6-0.210629999999988</f>
        <v>1627.2399299999997</v>
      </c>
      <c r="AD28">
        <v>1827.3000000000002</v>
      </c>
      <c r="AE28" s="3">
        <f>2025.4+(264.4-546.5)+(0+(0-0))+0--84-0</f>
        <v>1827.3000000000002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1887.3+(168.7-598.7)+(-2.887569+(-0.258111--0.916011))+0--85.7-0.131121000000005</f>
        <v>1540.63921</v>
      </c>
      <c r="G29" s="3">
        <f>1963.6+(139.6-624.8)+(-7.010052+(-0.498372--2.230536))+0--34.5-0.123165</f>
        <v>1507.498947</v>
      </c>
      <c r="H29" s="3">
        <f>1989.6+(104.8-627.3)+(-3.044088+(-0.160344--0.959769))+0--25.3-0.0387090000000015</f>
        <v>1490.116628</v>
      </c>
      <c r="I29" s="3">
        <f>1983.2+(91.3-624.4)+(0+(0-0))+0--25.6-0</f>
        <v>1475.6999999999998</v>
      </c>
      <c r="J29" s="3">
        <f>1945.4+(94.1-587.1)+(-3.968616+(-0.191964--1.197684))+0--25.6-0.0522239999999989</f>
        <v>1474.98488</v>
      </c>
      <c r="K29" s="3">
        <f>1914+(95-553.9)+(-1.95228+(-0.0969--0.564978))+0--25.3-0.025806000000004</f>
        <v>1478.8899919999997</v>
      </c>
      <c r="L29" s="3">
        <f>1879.5+(89.8-610)+(-3.83418+(-0.183192--1.2444))+0--24.8-0.0505919999999989</f>
        <v>1381.2764359999999</v>
      </c>
      <c r="M29" s="3">
        <f>1903.7+(97.6-621.9)+(0.970887+(0.049776-0.317169))+4--25.5--0.0130049999999974</f>
        <v>1409.6164990000002</v>
      </c>
      <c r="N29" s="3">
        <f>2002+(113.8-571.2)+(1.02102+(0.058038-0.291312))+0--24.6--0.0125459999999975</f>
        <v>1570.0002919999997</v>
      </c>
      <c r="O29" s="3">
        <f>2044.3+(114.2-570.3)+(-3.127779+(-0.174726--0.872559))+0--24.3-0.0371790000000014</f>
        <v>1610.0328750000001</v>
      </c>
      <c r="P29" s="3">
        <f>2059.6+(139.2-512.6)+(-4.201584+(-0.283968--1.045704))+0--24.2-0.0493679999999989</f>
        <v>1706.9107839999999</v>
      </c>
      <c r="Q29" s="3">
        <f>2000.9+(211.6-496.2)+(-1.020459+(-0.107916--0.253062))+0--24-0.0122399999999976</f>
        <v>1739.4124470000002</v>
      </c>
      <c r="R29" s="3">
        <f>2022.5+(275.1-552.6)+(1.031475+(0.140301-0.281826))+0--24.1--0.0122909999999976</f>
        <v>1770.0022409999999</v>
      </c>
      <c r="S29" s="3">
        <f>2022.3+(304.3-616.5)+(-1.031373+(-0.155193--0.314415))+0--47.3-0.0241229999999952</f>
        <v>1756.5037259999999</v>
      </c>
      <c r="T29" s="3">
        <f>2059.3+(283.8-672)+(-2.100486+(-0.289476--0.68544))+0--78.6-0.0801720000000125</f>
        <v>1747.9153060000001</v>
      </c>
      <c r="U29" s="3">
        <f>2128.7+(244.5-691.6)+(-3.256911+(-0.374085--1.058148))+0--79.4-0.121482000000005</f>
        <v>1758.30567</v>
      </c>
      <c r="V29" s="3">
        <f>2160.1+(180-642.4)+(-4.406604+(-0.3672--1.310496))+0--71.4-0.145655999999997</f>
        <v>1765.4910359999999</v>
      </c>
      <c r="W29" s="3">
        <f>2087.6+(206.8-587.2)+(-2.129352+(-0.210936--0.598944))+0--24.4-0.0248880000000039</f>
        <v>1729.833768</v>
      </c>
      <c r="X29" s="3">
        <f>2017.1+(158.9-511.4)+(-5.143605+(-0.405195--1.30407))+0--24.7-0.0629849999999964</f>
        <v>1684.992285</v>
      </c>
      <c r="Y29" s="3">
        <f>1966+(271.4-531.9)+(-2.00532+(-0.276828--0.542538))+0--24.2-0.0246840000000039</f>
        <v>1727.935706</v>
      </c>
      <c r="Z29" s="3">
        <f>2244.7+(224.7-684.4)+(-2.289594+(-0.229194--0.698088))+0--52.9-0.0539580000000084</f>
        <v>1836.0253419999999</v>
      </c>
      <c r="AA29" s="3">
        <f>2236.9+(199.8-717.3)+(-3.422457+(-0.305694--1.097469))+0--82.7-0.126531000000005</f>
        <v>1799.342787</v>
      </c>
      <c r="AB29" s="3">
        <f>2117.3+(239-667.9)+(-5.399115+(-0.60945--1.703145))+0--50.5-0.128774999999993</f>
        <v>1734.4658050000003</v>
      </c>
      <c r="AC29" s="3">
        <f>2086.3+(233.1-652.2)+(-2.128026+(-0.237762--0.665244))+0--24.1-0.0245820000000038</f>
        <v>1689.5748740000001</v>
      </c>
      <c r="AD29">
        <v>1849.5</v>
      </c>
      <c r="AE29" s="3">
        <f>2264.4+(207-702.9)+(0+(0-0))+0--81-0</f>
        <v>1849.5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1995.9+(217.7-576.7)+(-5.089545+(-0.555135--1.470585))+0--22-0.0560999999999968</f>
        <v>1654.669805</v>
      </c>
      <c r="G30" s="3">
        <f>1905+(191.9-548.3)+(-1.9431+(-0.195738--0.559266))+0--22.1-0.0225420000000035</f>
        <v>1569.0978859999998</v>
      </c>
      <c r="H30" s="3">
        <f>1938.9+(135.3-570.3)+(-1.977678+(-0.138006--0.581706))+0--25-0.025500000000004</f>
        <v>1527.3405220000002</v>
      </c>
      <c r="I30" s="3">
        <f>2033.3+(93.7-731.3)+(-4.147932+(-0.191148--1.491852))+0--77.6-0.158303999999997</f>
        <v>1470.2944679999998</v>
      </c>
      <c r="J30" s="3">
        <f>1982.5+(95.3-688.9)+(-5.055375+(-0.243015--1.756695))+0--84-0.214199999999988</f>
        <v>1469.1441050000003</v>
      </c>
      <c r="K30" s="3">
        <f>1968.5+(95-703.5)+(-1.003935+(-0.04845--0.358785))+0--88-0.0448799999999911</f>
        <v>1447.26152</v>
      </c>
      <c r="L30" s="3">
        <f>1962.7+(95.3-706)+(0+(0-0))+0--87.4-0</f>
        <v>1439.4</v>
      </c>
      <c r="M30" s="3">
        <f>1962.5+(99.7-681)+(0+(0-0))+0--87.4-0</f>
        <v>1468.6000000000001</v>
      </c>
      <c r="N30" s="3">
        <f>2105.6+(111.4-704.6)+(-3.221568+(-0.170442--1.078038))+0--86-0.131580000000005</f>
        <v>1595.954448</v>
      </c>
      <c r="O30" s="3">
        <f>2190.8+(132.1-712.7)+(-2.234616+(-0.134742--0.726954))+0--84.6-0.0862920000000135</f>
        <v>1693.0713040000003</v>
      </c>
      <c r="P30" s="3">
        <f>2212.9+(162.7-683.2)+(-1.128579+(-0.082977--0.348432))+0--81.8-0.0417179999999917</f>
        <v>1773.2951580000001</v>
      </c>
      <c r="Q30" s="3">
        <f>2482.6+(123.4-846.9)+(-3.798378+(-0.188802--1.295757))+0--80.2-0.122706000000005</f>
        <v>1836.4858709999999</v>
      </c>
      <c r="R30" s="3">
        <f>2480.8+(135.2-864.8)+(1.265208+(0.068952-0.441048))+0--75.8--0.0386579999999923</f>
        <v>1827.9317700000001</v>
      </c>
      <c r="S30" s="3">
        <f>2371.3+(176.5-802)+(-6.046815+(-0.450075--2.0451))+0--76.6-0.195329999999989</f>
        <v>1817.75288</v>
      </c>
      <c r="T30" s="3">
        <f>2341+(177.4-781.3)+(-1.19391+(-0.090474--0.398463))+0--78.4-0.039983999999992</f>
        <v>1814.5740949999999</v>
      </c>
      <c r="U30" s="3">
        <f>2332.2+(143.3-732.1)+(0+(0-0))+0--79.2-0</f>
        <v>1822.6</v>
      </c>
      <c r="V30" s="3">
        <f>2449.6+(116.6-817.9)+(-4.997184+(-0.237864--1.668516))+0--78.3-0.159731999999997</f>
        <v>1822.8737359999998</v>
      </c>
      <c r="W30" s="3">
        <f>2457.3+(109.1-849.8)+(0+(0-0))+0--79.8-0</f>
        <v>1796.4000000000003</v>
      </c>
      <c r="X30" s="3">
        <f>2433.9+(99.6-827.3)+(-6.206445+(-0.25398--2.109615))+0--54.4-0.138719999999992</f>
        <v>1756.1104700000005</v>
      </c>
      <c r="Y30" s="3">
        <f>2456.1+(108.9-793.1)+(-1.252611+(-0.055539--0.404481))+0--24.4-0.0124439999999975</f>
        <v>1795.383887</v>
      </c>
      <c r="Z30" s="3">
        <f>2648.6+(116-937.4)+(-2.701572+(-0.11832--0.956148))+0--78.8-0.0803760000000126</f>
        <v>1904.0558799999997</v>
      </c>
      <c r="AA30" s="3">
        <f>2676+(113.4-1003.7)+(-2.72952+(-0.115668--1.023774))+0--83.6-0.0852720000000133</f>
        <v>1867.3933139999997</v>
      </c>
      <c r="AB30" s="3">
        <f>2675.5+(112.6-1048.6)+(-6.822525+(-0.28713--2.67393))+0--84.3-0.214964999999988</f>
        <v>1819.14931</v>
      </c>
      <c r="AC30" s="3">
        <f>2587.4+(109.2-1012.8)+(0+(0-0))+0--84.4-0</f>
        <v>1768.2000000000003</v>
      </c>
      <c r="AD30">
        <v>1912.8000000000002</v>
      </c>
      <c r="AE30" s="3">
        <f>2652.5+(118.3-943)+(0+(0-0))+0--85-0</f>
        <v>1912.8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2584.2+(174.7-991.5)+(-1.317942+(-0.089097--0.505665))+0--87-0.0443699999999912</f>
        <v>1853.4542559999998</v>
      </c>
      <c r="G31" s="3">
        <f>2566.1+(168.3-1023.7)+(-6.543555+(-0.429165--2.610435))+0--87-0.221849999999987</f>
        <v>1793.115865</v>
      </c>
      <c r="H31" s="3">
        <f>2393.6+(162.6-919.6)+(-1.220736+(-0.082926--0.468996))+0--88-0.0448799999999911</f>
        <v>1723.720454</v>
      </c>
      <c r="I31" s="3">
        <f>2301.7+(159.8-881)+(-1.173867+(-0.081498--0.44931))+0--85.3-0.0435029999999913</f>
        <v>1664.9504419999996</v>
      </c>
      <c r="J31" s="3">
        <f>2271+(159.9-852)+(-2.31642+(-0.163098--0.86904))+0--85.6-0.0873120000000136</f>
        <v>1662.8022099999998</v>
      </c>
      <c r="K31" s="3">
        <f>2299.9+(164.3-907.2)+(0+(0-0))+0--85.5-0</f>
        <v>1642.5</v>
      </c>
      <c r="L31" s="3">
        <f>2327.8+(157.5-929.8)+(-5.93589+(-0.401625--2.37099))+0--69.6-0.17747999999999</f>
        <v>1620.955995</v>
      </c>
      <c r="M31" s="3">
        <f>2401.8+(166.8-902.8)+(-2.449836+(-0.170136--0.920856))+0--25.2-0.025704000000004</f>
        <v>1689.2751800000003</v>
      </c>
      <c r="N31" s="3">
        <f>2420+(183-805.4)+(2.4684+(0.18666-0.821508))+0--25.2--0.025704000000004</f>
        <v>1824.6592559999999</v>
      </c>
      <c r="O31" s="3">
        <f>2450.1+(174-766.6)+(-2.499102+(-0.17748--0.781932))+0--24.5-0.0249900000000039</f>
        <v>1880.0803599999999</v>
      </c>
      <c r="P31" s="3">
        <f>2532.9+(163-812.7)+(-1.291779+(-0.08313--0.414477))+0--47.8-0.0243779999999952</f>
        <v>1930.0151899999998</v>
      </c>
      <c r="Q31" s="3">
        <f>2531.4+(179-788.9)+(-1.291014+(-0.09129--0.402339))+0--78.2-0.0398819999999921</f>
        <v>1998.680153</v>
      </c>
      <c r="R31" s="3">
        <f>2514+(112.6-805.2)+(-3.84642+(-0.172278--1.231956))+0--82.1-0.125613000000005</f>
        <v>1900.5876450000001</v>
      </c>
      <c r="S31" s="3">
        <f>2379.3+(134.1-721.4)+(0+(0-0))+0--80.5-0</f>
        <v>1872.5000000000002</v>
      </c>
      <c r="T31" s="3">
        <f>2320+(139.7-645.7)+(0+(0-0))+0--80.3-0</f>
        <v>1894.3</v>
      </c>
      <c r="U31" s="3">
        <f>2332+(130.1-649.6)+(-2.37864+(-0.132702--0.662592))+0--79.2-0.0807840000000126</f>
        <v>1889.7704659999999</v>
      </c>
      <c r="V31" s="3">
        <f>2312.4+(118.5-645.8)+(0+(0-0))+0--79.6-0</f>
        <v>1864.7</v>
      </c>
      <c r="W31" s="3">
        <f>2190.4+(115.1-527.7)+(-6.702624+(-0.352206--1.614762))+0--79.1-0.242046000000009</f>
        <v>1851.2178859999999</v>
      </c>
      <c r="X31" s="3">
        <f>2093.4+(108.9-467.5)+(-8.541072+(-0.444312--1.9074))+0--78.9-0.321911999999993</f>
        <v>1806.3001040000004</v>
      </c>
      <c r="Y31" s="3">
        <f>2131.4+(114-482.5)+(-4.348056+(-0.23256--0.9843))+0--80.3-0.163811999999996</f>
        <v>1839.4398720000002</v>
      </c>
      <c r="Z31" s="3">
        <f>2486.4+(118.5-738.5)+(-8.876448+(-0.423045--2.636445))+0--81.3-0.290241000000001</f>
        <v>1940.7467110000002</v>
      </c>
      <c r="AA31" s="3">
        <f>2330.4+(121-663.1)+(-2.377008+(-0.12342--0.676362))+0--81.8-0.083436000000013</f>
        <v>1868.1924980000001</v>
      </c>
      <c r="AB31" s="3">
        <f>2438.4+(118.8-776.4)+(-6.21792+(-0.30294--1.97982))+0--81.3-0.207314999999988</f>
        <v>1857.3516450000002</v>
      </c>
      <c r="AC31" s="3">
        <f>2440.4+(114.1-815.6)+(0+(0-0))+0--80.4-0</f>
        <v>1819.3000000000002</v>
      </c>
      <c r="AD31">
        <v>1962.7</v>
      </c>
      <c r="AE31" s="3">
        <f>2524.5+(119.9-763.7)+(0+(0-0))+0--82-0</f>
        <v>1962.6999999999998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2430.4+(105.8-776.2)+(0+(0-0))+0--80.3-0</f>
        <v>1840.3</v>
      </c>
      <c r="G32" s="3">
        <f>2437+(101.7-886.3)+(2.48574+(0.103734-0.904026))+0--81.6--0.083232000000013</f>
        <v>1735.7686799999999</v>
      </c>
      <c r="H32" s="3">
        <f>2417.4+(100.1-941)+(-2.465748+(-0.102102--0.95982))+0--83.8-0.0854760000000134</f>
        <v>1658.6064939999999</v>
      </c>
      <c r="I32" s="3">
        <f>2353.6+(102.2-875)+(-4.801344+(-0.208488--1.785))+0--81.7-0.166667999999996</f>
        <v>1659.1084999999998</v>
      </c>
      <c r="J32" s="3">
        <f>2301.2+(101.4-874)+(3.520836+(0.155142-1.33722))+0--80.6--0.123318000000005</f>
        <v>1611.6620759999998</v>
      </c>
      <c r="K32" s="3">
        <f>2295.1+(99.6-889.3)+(1.170501+(0.050796-0.453543))+0--82--0.0418199999999917</f>
        <v>1588.209574</v>
      </c>
      <c r="L32" s="3">
        <f>2294.6+(104.4-926.8)+(-2.340492+(-0.106488--0.945336))+0--82.7-0.0843540000000132</f>
        <v>1553.3140019999998</v>
      </c>
      <c r="M32" s="3">
        <f>2371.7+(100.3-986.4)+(2.419134+(0.102306-1.006128))+0--83.7--0.0853740000000134</f>
        <v>1570.900686</v>
      </c>
      <c r="N32" s="3">
        <f>2577.8+(108.8-1045.7)+(1.314678+(0.055488-0.533307))+0--82.2--0.0419219999999917</f>
        <v>1723.978781</v>
      </c>
      <c r="O32" s="3">
        <f>2648.7+(114-1059.8)+(2.701674+(0.11628-1.080996))+0--79.9--0.0814980000000127</f>
        <v>1784.6184559999999</v>
      </c>
      <c r="P32" s="3">
        <f>2660+(116.5-998)+(0+(0-0))+0--77.7-0</f>
        <v>1856.2</v>
      </c>
      <c r="Q32" s="3">
        <f>2651.2+(124.4-938)+(5.408448+(0.253776-1.91352))+0--77.4--0.157895999999997</f>
        <v>1918.9066</v>
      </c>
      <c r="R32" s="3">
        <f>2629.6+(118.2-992.5)+(0+(0-0))+0--76.3-0</f>
        <v>1831.6</v>
      </c>
      <c r="S32" s="3">
        <f>2593.9+(113.2-845.7)+(-2.645778+(-0.115464--0.862614))+0--75-0.076500000000012</f>
        <v>1934.4248720000001</v>
      </c>
      <c r="T32" s="3">
        <f>2454+(182.5-762.2)+(3.75462+(0.279225-1.166166))+0--75.5--0.115515000000004</f>
        <v>1952.7831939999999</v>
      </c>
      <c r="U32" s="3">
        <f>2436.6+(160.3-741.5)+(-6.21333+(-0.408765--1.890825))+0--77.4-0.197369999999989</f>
        <v>1927.8713599999999</v>
      </c>
      <c r="V32" s="3">
        <f>2411.5+(117.2-723.8)+(0+(0-0))+0--76.8-0</f>
        <v>1881.7</v>
      </c>
      <c r="W32" s="3">
        <f>2333.8+(114.5-693.4)+(-8.331666+(-0.408765--2.475438))+0--79.8-0.284886000000001</f>
        <v>1828.1501210000001</v>
      </c>
      <c r="X32" s="3">
        <f>2310+(111.5-726.8)+(-4.7124+(-0.22746--1.482672))+0--80.8-0.164831999999996</f>
        <v>1771.87798</v>
      </c>
      <c r="Y32" s="3">
        <f>2209.4+(118.4-581.9)+(-2.253588+(-0.120768--0.593538))+0--81.5-0.083130000000013</f>
        <v>1825.5360520000002</v>
      </c>
      <c r="Z32" s="3">
        <f>2285.7+(141.7-569.8)+(-5.828535+(-0.361335--1.45299))+0--81.8-0.208589999999988</f>
        <v>1934.45453</v>
      </c>
      <c r="AA32" s="3">
        <f>2113.4+(185.3-482.1)+(-7.544838+(-0.661521--1.721097))+0--81.3-0.290241000000001</f>
        <v>1891.1244970000002</v>
      </c>
      <c r="AB32" s="3">
        <f>2029.4+(213.8-461.8)+(-4.139976+(-0.436152--0.942072))+0--81.3-0.165851999999996</f>
        <v>1858.9000919999999</v>
      </c>
      <c r="AC32" s="3">
        <f>1987.2+(235.6-454.3)+(-2.026944+(-0.240312--0.463386))+0--82.5-0.0841500000000132</f>
        <v>1849.1119800000001</v>
      </c>
      <c r="AD32">
        <v>1917.6000000000001</v>
      </c>
      <c r="AE32" s="3">
        <f>2274.5+(138.3-576.8)+(0+(0-0))+0--81.6-0</f>
        <v>1917.6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1994.6+(184.1-390.4)+(-5.08623+(-0.469455--0.99552))+0--81.6-0.208079999999988</f>
        <v>1865.1317549999999</v>
      </c>
      <c r="G33" s="3">
        <f>1998.6+(133.1-409.4)+(-5.09643+(-0.339405--1.04397))+0--81.2-0.207059999999988</f>
        <v>1798.901075</v>
      </c>
      <c r="H33" s="3">
        <f>1930.9+(115.8-384.1)+(-2.954277+(-0.177174--0.587673))+0--83.2-0.127296000000005</f>
        <v>1743.1289260000001</v>
      </c>
      <c r="I33" s="3">
        <f>1934.1+(97.4-413.6)+(-0.986391+(-0.049674--0.210936))+0--82.4-0.0420239999999916</f>
        <v>1699.4328469999998</v>
      </c>
      <c r="J33" s="3">
        <f>1919.5+(95.4-447)+(-1.95789+(-0.097308--0.45594))+0--81.1-0.0827220000000129</f>
        <v>1647.3180199999999</v>
      </c>
      <c r="K33" s="3">
        <f>1880.9+(95.3-449.3)+(-1.918518+(-0.097206--0.458286))+0--80.7-0.0823140000000129</f>
        <v>1605.9602480000001</v>
      </c>
      <c r="L33" s="3">
        <f>1870.4+(122.4-590.4)+(-4.76952+(-0.31212--1.50552))+0--83.5-0.212924999999988</f>
        <v>1482.1109550000001</v>
      </c>
      <c r="M33" s="3">
        <f>1875.4+(123.3-615.5)+(0+(0-0))+0--83-0</f>
        <v>1466.2</v>
      </c>
      <c r="N33" s="3">
        <f>1859.4+(113.7-514.4)+(-2.844882+(-0.173961--0.787032))+0--81.1-0.124083000000005</f>
        <v>1537.4441059999999</v>
      </c>
      <c r="O33" s="3">
        <f>1908+(110.5-466.5)+(-0.97308+(-0.056355--0.237915))+0--77.5-0.0395249999999921</f>
        <v>1628.6689550000001</v>
      </c>
      <c r="P33" s="3">
        <f>2006+(109.9-494)+(-2.04612+(-0.112098--0.50388))+0--79.1-0.0806820000000126</f>
        <v>1699.2649799999999</v>
      </c>
      <c r="Q33" s="3">
        <f>2013+(130.4-481.3)+(0+(0-0))+0--77.7-0</f>
        <v>1739.8</v>
      </c>
      <c r="R33" s="3">
        <f>1975.7+(177.3-433)+(-1.007607+(-0.090423--0.22083))+0--78.8-0.040187999999992</f>
        <v>1797.8826120000001</v>
      </c>
      <c r="S33" s="3">
        <f>1924.7+(240.2-416.3)+(-3.926388+(-0.490008--0.849252))+0--76.2-0.155447999999997</f>
        <v>1821.0774079999999</v>
      </c>
      <c r="T33" s="3">
        <f>1913.7+(297.7-423.2)+(-0.975987+(-0.151827--0.215832))+0--73.2-0.0373319999999926</f>
        <v>1860.4506859999999</v>
      </c>
      <c r="U33" s="3">
        <f>1875.9+(309-402.3)+(-2.870127+(-0.47277--0.615519))+0--73-0.111690000000004</f>
        <v>1852.7609320000001</v>
      </c>
      <c r="V33" s="3">
        <f>1773.7+(303.5-331.7)+(-4.522935+(-0.773925--0.845835))+0--74.8-0.190739999999989</f>
        <v>1815.6582349999999</v>
      </c>
      <c r="W33" s="3">
        <f>1775.3+(182.1-291.6)+(-2.716209+(-0.278613--0.446148))+0--75.4-0.115362000000004</f>
        <v>1738.5359640000001</v>
      </c>
      <c r="X33" s="3">
        <f>1779.2+(129.9-302.1)+(-3.629568+(-0.264996--0.616284))+0--78.7-0.160547999999997</f>
        <v>1682.261172</v>
      </c>
      <c r="Y33" s="3">
        <f>1693.8+(208-246.4)+(0+(0-0))+0--79.6-0</f>
        <v>1734.9999999999998</v>
      </c>
      <c r="Z33" s="3">
        <f>1916.6+(260.3-390.9)+(-3.909864+(-0.531012--0.797436))+0--80.8-0.164831999999996</f>
        <v>1862.991728</v>
      </c>
      <c r="AA33" s="3">
        <f>1919.3+(291.2-418.8)+(0+(0-0))+0--80.1-0</f>
        <v>1871.7999999999997</v>
      </c>
      <c r="AB33" s="3">
        <f>1893.3+(339.3-435.8)+(-0.965583+(-0.173043--0.222258))+0--80-0.0407999999999919</f>
        <v>1875.842832</v>
      </c>
      <c r="AC33" s="3">
        <f>1892.4+(326.9-421.4)+(-4.82562+(-0.833595--1.07457))+0--82.2-0.209609999999988</f>
        <v>1875.3057450000003</v>
      </c>
      <c r="AD33">
        <v>1916.7000000000003</v>
      </c>
      <c r="AE33" s="3">
        <f>1988.5+(254.3-408.1)+(0+(0-0))+0--82-0</f>
        <v>1916.7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1901.5+(276.2-378.1)+(-0.969765+(-0.140862--0.192831))+0--80.8-0.0412079999999918</f>
        <v>1879.4409959999998</v>
      </c>
      <c r="G34" s="3">
        <f>1829.4+(223.9-349.8)+(-2.798982+(-0.342567--0.535194))+0--81-0.123930000000005</f>
        <v>1781.7697150000001</v>
      </c>
      <c r="H34" s="3">
        <f>1846.8+(155.7-198.4)+(-0.941868+(-0.079407--0.101184))+0--80.2-0.0409019999999919</f>
        <v>1883.339007</v>
      </c>
      <c r="I34" s="3">
        <f>1844+(136.2-228.9)+(-1.88088+(-0.138924--0.233478))+0--79.4-0.0809880000000127</f>
        <v>1828.8326860000002</v>
      </c>
      <c r="J34" s="3">
        <f>1808.2+(123.8-237)+(-2.766546+(-0.189414--0.36261))+0--80.1-0.122553000000005</f>
        <v>1772.3840969999999</v>
      </c>
      <c r="K34" s="3">
        <f>1762.1+(112.5-246.3)+(-0.898671+(-0.057375--0.125613))+0--81.4-0.0415139999999917</f>
        <v>1708.828053</v>
      </c>
      <c r="L34" s="3">
        <f>1787.5+(135.1-435.6)+(-2.734875+(-0.206703--0.666468))+0--89.2-0.136476000000005</f>
        <v>1573.7884140000001</v>
      </c>
      <c r="M34" s="3">
        <f>1809.2+(141.8-449.1)+(2.768076+(0.216954-0.687123))+0--87.9--0.134487000000005</f>
        <v>1592.2323940000001</v>
      </c>
      <c r="N34" s="3">
        <f>1887.1+(157.6-407.7)+(0.962421+(0.080376-0.207927))+0--86--0.0438599999999913</f>
        <v>1723.8787299999999</v>
      </c>
      <c r="O34" s="3">
        <f>2008+(154.5-438)+(0+(0-0))+0--84.1-0</f>
        <v>1808.6</v>
      </c>
      <c r="P34" s="3">
        <f>2186.7+(144.3-504.3)+(-1.115217+(-0.073593--0.257193))+0--83-0.0423299999999916</f>
        <v>1908.7260529999999</v>
      </c>
      <c r="Q34" s="3">
        <f>2297+(135.8-535.2)+(1.17147+(0.069258-0.272952))+0--83.4--0.0425339999999915</f>
        <v>1982.0103099999999</v>
      </c>
      <c r="R34" s="3">
        <f>2293.2+(159.4-510.8)+(-1.169532+(-0.081294--0.260508))+0--74-0.0377399999999925</f>
        <v>2014.7719419999999</v>
      </c>
      <c r="S34" s="3">
        <f>2223.4+(268-523.2)+(0+(0-0))+0--74.1-0</f>
        <v>2042.3</v>
      </c>
      <c r="T34" s="3">
        <f>2205.1+(346.4-512.6)+(0+(0-0))+0--75.9-0</f>
        <v>2114.7999999999997</v>
      </c>
      <c r="U34" s="3">
        <f>2187.9+(307.8-472.6)+(-4.463316+(-0.627912--0.964104))+0--75-0.152999999999997</f>
        <v>2093.819876</v>
      </c>
      <c r="V34" s="3">
        <f>2187+(195.9-413.3)+(-4.46148+(-0.399636--0.843132))+0--77-0.157079999999997</f>
        <v>2042.4249359999999</v>
      </c>
      <c r="W34" s="3">
        <f>2126.2+(145.1-381.3)+(-4.337448+(-0.296004--0.777852))+0--77-0.157079999999997</f>
        <v>1962.9873199999997</v>
      </c>
      <c r="X34" s="3">
        <f>2181+(122.1-494.3)+(-3.33693+(-0.186813--0.756279))+0--77.8-0.119034000000004</f>
        <v>1883.7135019999998</v>
      </c>
      <c r="Y34" s="3">
        <f>2252.9+(125.3-549.4)+(0+(0-0))+0--77.7-0</f>
        <v>1906.5000000000002</v>
      </c>
      <c r="Z34" s="3">
        <f>2275.7+(167.1-487.5)+(-5.803035+(-0.426105--1.243125))+0--79-0.201449999999989</f>
        <v>2029.1125349999998</v>
      </c>
      <c r="AA34" s="3">
        <f>2293.3+(174.2-523.9)+(-5.847915+(-0.44421--1.335945))+0--79.8-0.203489999999988</f>
        <v>2018.2403300000001</v>
      </c>
      <c r="AB34" s="3">
        <f>2306.4+(177.1-558.8)+(-2.352528+(-0.180642--0.569976))+0--81-0.0826200000000129</f>
        <v>2003.6541860000004</v>
      </c>
      <c r="AC34" s="3">
        <f>2297.5+(183.8-562.3)+(-2.34345+(-0.187476--0.573546))+0--81.4-0.083028000000013</f>
        <v>1998.359592</v>
      </c>
      <c r="AD34">
        <v>2026.8999999999999</v>
      </c>
      <c r="AE34" s="3">
        <f>2275+(180.7-505.8)+(0+(0-0))+0--77-0</f>
        <v>2026.9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2250.2+(163.1-529.7)+(-2.295204+(-0.166362--0.540294))+0--82.8-0.0844560000000132</f>
        <v>1964.3942719999998</v>
      </c>
      <c r="G35" s="3">
        <f>2284.1+(115.7-593.2)+(-2.329782+(-0.118014--0.605064))+0--83.2-0.0848640000000133</f>
        <v>1887.872404</v>
      </c>
      <c r="H35" s="3">
        <f>2325.2+(113.5-698.3)+(-2.371704+(-0.11577--0.712266))+0--83.5-0.0851700000000133</f>
        <v>1822.0396219999998</v>
      </c>
      <c r="I35" s="3">
        <f>2336.7+(114.5-723)+(-3.575151+(-0.175185--1.10619))+0--48.8-0.0746640000000028</f>
        <v>1774.2811899999997</v>
      </c>
      <c r="J35" s="3">
        <f>2235.1+(115.5-625.5)+(-5.699505+(-0.294525--1.595025))+0--25.4-0.0647699999999963</f>
        <v>1746.0362250000001</v>
      </c>
      <c r="K35" s="3">
        <f>2035.5+(147.8-503.1)+(-5.190525+(-0.37689--1.282905))+0--25.3-0.0645149999999963</f>
        <v>1701.150975</v>
      </c>
      <c r="L35" s="3">
        <f>1926.8+(199.5-533)+(-5.896008+(-0.61047--1.63098))+0--25.5-0.0780300000000029</f>
        <v>1613.8464719999999</v>
      </c>
      <c r="M35" s="3">
        <f>2035.9+(176.8-642.9)+(0+(0-0))+0--53.4-0</f>
        <v>1623.2000000000003</v>
      </c>
      <c r="N35" s="3">
        <f>2193.1+(138.4-640.8)+(0+(0-0))+0--81.5-0</f>
        <v>1772.1999999999998</v>
      </c>
      <c r="O35" s="3">
        <f>2311.2+(129.1-678.9)+(0+(0-0))+0--81.9-0</f>
        <v>1843.3</v>
      </c>
      <c r="P35" s="3">
        <f>2284.1+(138.3-586.7)+(0+(0-0))+0--86.6-0</f>
        <v>1922.2999999999997</v>
      </c>
      <c r="Q35" s="3">
        <f>2247+(127-470.9)+(-3.43791+(-0.19431--0.720477))+0--70.2-0.107406000000004</f>
        <v>1970.280851</v>
      </c>
      <c r="R35" s="3">
        <f>2115.2+(220.6-407.8)+(-5.39376+(-0.56253--1.03989))+0--72.6-0.185129999999989</f>
        <v>1995.4984699999995</v>
      </c>
      <c r="S35" s="3">
        <f>2078.1+(250.2-371.1)+(1.059831+(0.127602-0.189261))+0--72.1--0.0367709999999927</f>
        <v>2030.3349429999998</v>
      </c>
      <c r="T35" s="3">
        <f>2066.5+(272.3-305.1)+(-3.161745+(-0.416619--0.466803))+0--73.3-0.112149000000004</f>
        <v>2103.7762900000002</v>
      </c>
      <c r="U35" s="3">
        <f>2027+(291.6-294)+(-4.13508+(-0.594864--0.59976))+0--74.2-0.151367999999997</f>
        <v>2094.5184479999998</v>
      </c>
      <c r="V35" s="3">
        <f>1917.8+(332.9-247.6)+(-4.89039+(-0.848895--0.63138))+0--78.4-0.199919999999989</f>
        <v>2076.1921749999997</v>
      </c>
      <c r="W35" s="3">
        <f>1711.3+(343-178.3)+(-3.491052+(-0.69972--0.363732))+0--81-0.165239999999996</f>
        <v>1953.0077200000001</v>
      </c>
      <c r="X35" s="3">
        <f>1606.2+(310.2-133.9)+(-3.276648+(-0.632808--0.273156))+0--74.2-0.151367999999997</f>
        <v>1852.9123320000001</v>
      </c>
      <c r="Y35" s="3">
        <f>1712.5+(303.1-164)+(-3.4935+(-0.618324--0.33456))+0--73.5-0.149939999999997</f>
        <v>1921.1727959999998</v>
      </c>
      <c r="Z35" s="3">
        <f>1772.1+(373-206)+(-2.711313+(-0.57069--0.31518))+0--76-0.116280000000004</f>
        <v>2012.016897</v>
      </c>
      <c r="AA35" s="3">
        <f>1770.5+(382.9-218.3)+(-4.514775+(-0.976395--0.556665))+0--77.5-0.197624999999989</f>
        <v>2007.4678699999999</v>
      </c>
      <c r="AB35" s="3">
        <f>2004+(221.1-288.8)+(-7.15428+(-0.789327--1.031016))+0--77.2-0.275604000000001</f>
        <v>2006.311805</v>
      </c>
      <c r="AC35" s="3">
        <f>2039.3+(198.4-299.1)+(-2.080086+(-0.202368--0.305082))+0--77.9-0.0794580000000124</f>
        <v>2014.44317</v>
      </c>
      <c r="AD35">
        <v>2022.3000000000002</v>
      </c>
      <c r="AE35" s="3">
        <f>1770.5+(378.9-198.1)+(0+(0-0))+0--71-0</f>
        <v>2022.3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2011.9+(207.4-295.9)+(-1.026069+(-0.105774--0.150909))+0--78.1-0.0398309999999921</f>
        <v>2000.479235</v>
      </c>
      <c r="G36" s="3">
        <f>1950.1+(204.9-307.5)+(-2.983653+(-0.313497--0.470475))+0--78.3-0.119799000000005</f>
        <v>1922.8535259999999</v>
      </c>
      <c r="H36" s="3">
        <f>1884.3+(226.6-329.1)+(-3.843972+(-0.462264--0.671364))+0--78.7-0.160547999999997</f>
        <v>1856.7045799999999</v>
      </c>
      <c r="I36" s="3">
        <f>1780.4+(269.4-318.4)+(2.724012+(0.412182-0.487152))+0--78.6--0.120258000000005</f>
        <v>1812.7692999999999</v>
      </c>
      <c r="J36" s="3">
        <f>1765.9+(303.7-373.6)+(-1.801218+(-0.309774--0.381072))+0--79.1-0.0806820000000126</f>
        <v>1773.2893979999999</v>
      </c>
      <c r="K36" s="3">
        <f>1768.7+(364.2-407.9)+(-2.706111+(-0.557226--0.624087))+0--29.1-0.0445230000000017</f>
        <v>1751.4162269999999</v>
      </c>
      <c r="L36" s="3">
        <f>1760.7+(453.3-602.4)+(-2.693871+(-0.693549--0.921672))+0--23.1-0.0353430000000013</f>
        <v>1632.198909</v>
      </c>
      <c r="M36" s="3">
        <f>1800.8+(435.4-615.7)+(-0.918408+(-0.222054--0.314007))+0--23-0.0117299999999977</f>
        <v>1642.6618150000002</v>
      </c>
      <c r="N36" s="3">
        <f>1821.4+(412-483)+(-0.928914+(-0.21012--0.24633))+0--22.6-0.0115259999999977</f>
        <v>1772.0957699999999</v>
      </c>
      <c r="O36" s="3">
        <f>1858.6+(338.8-384.6)+(-1.895772+(-0.345576--0.392292))+0--23-0.0234600000000037</f>
        <v>1833.9274839999998</v>
      </c>
      <c r="P36" s="3">
        <f>1974.8+(260.3-355.6)+(-2.014296+(-0.265506--0.362712))+0--24.5-0.0249900000000039</f>
        <v>1902.05792</v>
      </c>
      <c r="Q36" s="3">
        <f>1996.4+(218.8-256.8)+(-3.054492+(-0.334764--0.392904))+0--25.4-0.0388620000000015</f>
        <v>1980.7647860000002</v>
      </c>
      <c r="R36" s="3">
        <f>1964+(257.8-194.1)+(-5.0082+(-0.65739--0.494955))+0--25.4-0.0647699999999963</f>
        <v>2047.8645950000002</v>
      </c>
      <c r="S36" s="3">
        <f>1880.1+(380.2-185.2)+(-1.917702+(-0.387804--0.188904))+0--25.6-0.0261120000000041</f>
        <v>2098.5572859999997</v>
      </c>
      <c r="T36" s="3">
        <f>1821.9+(496.6-177.3)+(-1.858338+(-0.506532--0.180846))+0--32.7-0.0333540000000052</f>
        <v>2171.6826219999998</v>
      </c>
      <c r="U36" s="3">
        <f>1788.2+(531.2-186.2)+(-3.647928+(-1.083648--0.379848))+0--74.8-0.152591999999997</f>
        <v>2203.4956800000004</v>
      </c>
      <c r="V36" s="3">
        <f>1644.3+(606.1-145.7)+(-2.515779+(-0.927333--0.222921))+0--27.3-0.0417690000000016</f>
        <v>2128.7380400000002</v>
      </c>
      <c r="W36" s="3">
        <f>1643+(470-136)+(-1.67586+(-0.4794--0.13872))+0--25.9-0.0264180000000041</f>
        <v>2000.8570420000001</v>
      </c>
      <c r="X36" s="3">
        <f>1531.2+(477.3-116.8)+(-3.123648+(-0.973692--0.238272))+0--26-0.0530399999999989</f>
        <v>1913.7878920000001</v>
      </c>
      <c r="Y36" s="3">
        <f>1525.1+(502.2-107.1)+(-1.555602+(-0.512244--0.109242))+0--25.2-0.025704000000004</f>
        <v>1943.415692</v>
      </c>
      <c r="Z36" s="3">
        <f>1780.8+(435.4-178.8)+(-1.816416+(-0.444108--0.182376))+0--36.4-0.0371280000000058</f>
        <v>2071.6847239999997</v>
      </c>
      <c r="AA36" s="3">
        <f>1791.8+(411.2-204.1)+(-4.56909+(-1.04856--0.520455))+0--76.7-0.195584999999989</f>
        <v>2070.3072199999997</v>
      </c>
      <c r="AB36" s="3">
        <f>1810.6+(405.5-213.1)+(-2.770218+(-0.620415--0.326043))+0--77.9-0.119187000000005</f>
        <v>2077.7162230000004</v>
      </c>
      <c r="AC36" s="3">
        <f>1744.9+(490.7-196.9)+(-0.889899+(-0.250257--0.100419))+0--78-0.0397799999999921</f>
        <v>2115.6204829999997</v>
      </c>
      <c r="AD36">
        <v>2054.6999999999998</v>
      </c>
      <c r="AE36" s="3">
        <f>1772.2+(401.7-195.2)+(0+(0-0))+0--76-0</f>
        <v>2054.6999999999998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1739.5+(460.1-195.1)+(-1.77429+(-0.469302--0.199002))+0--83.6-0.0852720000000133</f>
        <v>2085.9701380000001</v>
      </c>
      <c r="G37" s="3">
        <f>1699.8+(403.5-181.6)+(-3.467592+(-0.82314--0.370464))+0--84.3-0.171971999999996</f>
        <v>2001.9077599999998</v>
      </c>
      <c r="H37" s="3">
        <f>1646.3+(390.2-181.1)+(0+(0-0))+0--84.7-0</f>
        <v>1940.1</v>
      </c>
      <c r="I37" s="3">
        <f>1642.7+(339.7-175.7)+(-3.351108+(-0.692988--0.358428))+0--84.9-0.173195999999996</f>
        <v>1887.7411360000001</v>
      </c>
      <c r="J37" s="3">
        <f>1647.9+(316.7-192)+(0.840429+(0.161517-0.09792))+0--84.2--0.0429419999999915</f>
        <v>1857.7469680000002</v>
      </c>
      <c r="K37" s="3">
        <f>1648.1+(334-241)+(0+(0-0))+0--84.8-0</f>
        <v>1825.8999999999999</v>
      </c>
      <c r="L37" s="3">
        <f>1639+(394.6-415.4)+(-2.50767+(-0.603738--0.635562))+0--85.2-0.130356000000005</f>
        <v>1700.7937980000002</v>
      </c>
      <c r="M37" s="3">
        <f>1737.8+(355.1-477.2)+(0+(0-0))+0--85.4-0</f>
        <v>1701.1000000000001</v>
      </c>
      <c r="N37" s="3">
        <f>1804.3+(334.7-376.9)+(-1.840386+(-0.341394--0.384438))+0--83.8-0.0854760000000134</f>
        <v>1844.0171819999998</v>
      </c>
      <c r="O37" s="3">
        <f>1851+(291.1-350.3)+(1.88802+(0.296922-0.357306))+0--136.7--0.139434000000022</f>
        <v>1930.4670699999999</v>
      </c>
      <c r="P37" s="3">
        <f>1868.9+(255.4-332.1)+(-1.906278+(-0.260508--0.338742))+0--217.3-0.221646000000035</f>
        <v>2007.4503099999999</v>
      </c>
      <c r="Q37" s="3">
        <f>1893.8+(254.5-298.8)+(-0.965838+(-0.129795--0.152388))+0--215.2-0.109751999999978</f>
        <v>2063.647003</v>
      </c>
      <c r="R37" s="3">
        <f>1870.4+(297.7-268.8)+(-0.953904+(-0.151827--0.137088))+0--215.8-0.110057999999978</f>
        <v>2114.0212990000005</v>
      </c>
      <c r="S37" s="3">
        <f>1846.8+(377.6-278.8)+(-0.941868+(-0.192576--0.142188))+0--218.3-0.111332999999978</f>
        <v>2162.7964110000003</v>
      </c>
      <c r="T37" s="3">
        <f>1862.2+(428.5-285.8)+(1.899444+(0.43707-0.291516))+0--219.6--0.223992000000035</f>
        <v>2226.7689900000005</v>
      </c>
      <c r="U37" s="3">
        <f>1866.9+(402.9-281)+(1.904238+(0.410958-0.28662))+0--220.5--0.224910000000035</f>
        <v>2211.5534859999998</v>
      </c>
      <c r="V37" s="3">
        <f>1866.4+(345.1-267.3)+(-3.807456+(-0.704004--0.545292))+0--202.9-0.413915999999991</f>
        <v>2142.719916</v>
      </c>
      <c r="W37" s="3">
        <f>1767.3+(284.8-255.5)+(-2.703969+(-0.435744--0.390915))+0--221.3-0.338589000000013</f>
        <v>2014.8126129999998</v>
      </c>
      <c r="X37" s="3">
        <f>1687.5+(292.7-288.8)+(-4.303125+(-0.746385--0.73644))+0--221.3-0.564314999999968</f>
        <v>1907.822615</v>
      </c>
      <c r="Y37" s="3">
        <f>1709.7+(239.5-266.9)+(-0.871947+(-0.122145--0.136119))+0--225.4-0.114953999999977</f>
        <v>1906.7270730000005</v>
      </c>
      <c r="Z37" s="3">
        <f>1886.2+(229.4-286.5)+(-0.961962+(-0.116994--0.146115))+0--226.5-0.115514999999977</f>
        <v>2054.5516440000001</v>
      </c>
      <c r="AA37" s="3">
        <f>1914+(239-316.6)+(-4.8807+(-0.60945--0.80733))+0--225.9-0.576044999999967</f>
        <v>2057.0411350000004</v>
      </c>
      <c r="AB37" s="3">
        <f>1866.6+(285.7-318.1)+(-1.903932+(-0.291414--0.324462))+0--225.6-0.230112000000036</f>
        <v>2057.6990039999996</v>
      </c>
      <c r="AC37" s="3">
        <f>1834.6+(340.7-316)+(-3.742584+(-0.695028--0.64464))+0--227.8-0.46471199999999</f>
        <v>2082.8423160000002</v>
      </c>
      <c r="AD37">
        <v>2066.6999999999998</v>
      </c>
      <c r="AE37" s="3">
        <f>1954.2+(189.4-297.9)+(0+(0-0))+0--221-0</f>
        <v>2066.6999999999998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1823.8+(319.3-269.4)+(-1.860276+(-0.325686--0.274788))+0--220.8-0.225216000000035</f>
        <v>2092.3636100000003</v>
      </c>
      <c r="G38" s="3">
        <f>1801.3+(276.8-290.8)+(-4.593315+(-0.70584--0.74154))+0--221.8-0.565589999999968</f>
        <v>2003.976795</v>
      </c>
      <c r="H38" s="3">
        <f>1786.1+(279.6-344.8)+(-2.732733+(-0.427788--0.527544))+0--221.1-0.338283000000013</f>
        <v>1939.0287399999997</v>
      </c>
      <c r="I38" s="3">
        <f>1775+(299.9-342.7)+(-1.8105+(-0.305898--0.349554))+0--162.8-0.166056000000026</f>
        <v>1893.0671</v>
      </c>
      <c r="J38" s="3">
        <f>1817.9+(303.1-371.3)+(-0.927129+(-0.154581--0.189363))+0--90.7-0.0462569999999908</f>
        <v>1839.4613960000001</v>
      </c>
      <c r="K38" s="3">
        <f>1838.3+(336.2-447)+(-1.875066+(-0.342924--0.45594))+0--91.2-0.0930240000000145</f>
        <v>1816.844926</v>
      </c>
      <c r="L38" s="3">
        <f>1771.5+(425.8-604.3)+(-4.517325+(-1.08579--1.540965))+0--91.4-0.233069999999987</f>
        <v>1680.1047800000001</v>
      </c>
      <c r="M38" s="3">
        <f>1778.6+(415.9-584.9)+(-0.907086+(-0.212109--0.298299))+0--92-0.0469199999999907</f>
        <v>1700.732184</v>
      </c>
      <c r="N38" s="3">
        <f>1824.8+(394.1-519.8)+(-2.791944+(-0.602973--0.795294))+1.1--131.4-0.201042000000008</f>
        <v>1828.7993349999999</v>
      </c>
      <c r="O38" s="3">
        <f>1906.8+(306.1-460.6)+(-0.972468+(-0.156111--0.234906))+0--143.4-0.0731339999999855</f>
        <v>1894.733193</v>
      </c>
      <c r="P38" s="3">
        <f>1923.3+(292.4-362.1)+(-0.980883+(-0.149124--0.184671))+0--145.8-0.0743579999999852</f>
        <v>1998.3803059999998</v>
      </c>
      <c r="Q38" s="3">
        <f>1894.3+(282.3-310.9)+(-4.830465+(-0.719865--0.792795))+0--201.1-0.512804999999971</f>
        <v>2061.5296600000001</v>
      </c>
      <c r="R38" s="3">
        <f>1850.9+(345.8-218.9)+(-1.887918+(-0.352716--0.223278))+0--126.3-0.12882600000002</f>
        <v>2101.953818</v>
      </c>
      <c r="S38" s="3">
        <f>1842.3+(403.7-220.5)+(-0.939573+(-0.205887--0.112455))+0--124-0.0632399999999874</f>
        <v>2148.4037549999998</v>
      </c>
      <c r="T38" s="3">
        <f>1914.1+(391.6-221.1)+(-0.976191+(-0.199716--0.112761))+0--148.2-0.075581999999985</f>
        <v>2231.6612719999998</v>
      </c>
      <c r="U38" s="3">
        <f>1914+(410.5-228.8)+(-4.8807+(-1.046775--0.58344))+0--144.2-0.367709999999979</f>
        <v>2234.1882549999996</v>
      </c>
      <c r="V38" s="3">
        <f>1852.9+(377.3-191.7)+(-0.944979+(-0.192423--0.097767))+0--142.7-0.0727769999999855</f>
        <v>2180.0875879999999</v>
      </c>
      <c r="W38" s="3">
        <f>1841.4+(317.3-208.4)+(-4.69557+(-0.809115--0.53142))+0--136.2-0.34730999999998</f>
        <v>2081.1794249999998</v>
      </c>
      <c r="X38" s="3">
        <f>1799.2+(311.7-249.9)+(-2.752776+(-0.476901--0.382347))+0--94.2-0.144126000000005</f>
        <v>1952.2085440000001</v>
      </c>
      <c r="Y38" s="3">
        <f>1814.6+(248.5-218)+(-3.701784+(-0.50694--0.44472))+0--94.1-0.191963999999996</f>
        <v>1935.2440319999996</v>
      </c>
      <c r="Z38" s="3">
        <f>1859+(319-202.2)+(-1.89618+(-0.32538--0.206244))+0--93.7-0.0955740000000149</f>
        <v>2067.3891100000001</v>
      </c>
      <c r="AA38" s="3">
        <f>1866.6+(295-248.7)+(-3.807864+(-0.6018--0.507348))+0--139-0.283559999999994</f>
        <v>2047.7141239999999</v>
      </c>
      <c r="AB38" s="3">
        <f>1804.1+(350.7-255.1)+(-4.600455+(-0.894285--0.650505))+0--77.7-0.198134999999989</f>
        <v>1972.3576299999997</v>
      </c>
      <c r="AC38" s="3">
        <f>1808.3+(364.6-253.6)+(-2.766699+(-0.557838--0.388008))+0--148.7-0.227511000000009</f>
        <v>2064.8359599999999</v>
      </c>
      <c r="AD38">
        <v>2089.8000000000002</v>
      </c>
      <c r="AE38" s="3">
        <f>1857.2+(329.9-192.3)+(0+(0-0))+0--95-0</f>
        <v>2089.8000000000002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1808.9+(386.5-249.1)+(-3.690156+(-0.78846--0.508164))+0--150.8-0.307631999999993</f>
        <v>2092.8219160000003</v>
      </c>
      <c r="G39" s="3">
        <f>1802.8+(322.5-246.4)+(-6.435996+(-1.151325--0.879648))+0--151.2-0.539784000000002</f>
        <v>2022.8525429999997</v>
      </c>
      <c r="H39" s="3">
        <f>1799+(272.1-255.6)+(-7.33992+(-1.110168--1.042848))+0--151.4-0.617711999999987</f>
        <v>1958.8750480000001</v>
      </c>
      <c r="I39" s="3">
        <f>1831.9+(229-308.2)+(0.934269+(0.11679-0.157182))+0--150.4--0.0767039999999847</f>
        <v>1904.0705810000002</v>
      </c>
      <c r="J39" s="3">
        <f>1825.2+(227.3-352.5)+(-3.723408+(-0.463692--0.7191))+0--149.2-0.304367999999993</f>
        <v>1845.4276319999999</v>
      </c>
      <c r="K39" s="3">
        <f>1711.9+(274.6-329.1)+(-1.746138+(-0.280092--0.335682))+0--149.8-0.152796000000024</f>
        <v>1805.3566559999999</v>
      </c>
      <c r="L39" s="3">
        <f>1694.7+(295.2-455.4)+(-1.728594+(-0.301104--0.464508))+0--150.2-0.153204000000024</f>
        <v>1682.9816060000001</v>
      </c>
      <c r="M39" s="3">
        <f>1782+(216.4-466.6)+(-0.90882+(-0.110364--0.237966))+0--148-0.075479999999985</f>
        <v>1678.9433019999999</v>
      </c>
      <c r="N39" s="3">
        <f>1842.8+(254.5-414.8)+(-1.879656+(-0.25959--0.423096))+0--149.4-0.152388000000024</f>
        <v>1830.0314620000001</v>
      </c>
      <c r="O39" s="3">
        <f>1905.2+(226.6-371.5)+(-0.971652+(-0.115566--0.189465))+0--147-0.0749699999999851</f>
        <v>1906.3272770000001</v>
      </c>
      <c r="P39" s="3">
        <f>1879.4+(232.3-282.1)+(-2.875482+(-0.355419--0.431613))+0--144.6-0.221238000000008</f>
        <v>1971.179474</v>
      </c>
      <c r="Q39" s="3">
        <f>1870.3+(227.9-223.5)+(0+(0-0))+0--144.6-0</f>
        <v>2019.3</v>
      </c>
      <c r="R39" s="3">
        <f>1921.2+(224.2-251.2)+(-5.878872+(-0.686052--0.768672))+0--143.4-0.438804000000017</f>
        <v>2031.3649439999999</v>
      </c>
      <c r="S39" s="3">
        <f>1799.9+(320.5-208.7)+(0.917949+(0.163455-0.106437))+0--143.3--0.0730829999999855</f>
        <v>2056.0480499999999</v>
      </c>
      <c r="T39" s="3">
        <f>1768.9+(394-190.9)+(0+(0-0))+0--144.9-0</f>
        <v>2116.9</v>
      </c>
      <c r="U39" s="3">
        <f>1774.8+(395.5-182.6)+(-2.715444+(-0.605115--0.279378))+0--147.3-0.225369000000009</f>
        <v>2131.7334499999997</v>
      </c>
      <c r="V39" s="3">
        <f>1735.6+(380-176.3)+(-2.655468+(-0.5814--0.269739))+0--143-0.218790000000008</f>
        <v>2079.1140810000002</v>
      </c>
      <c r="W39" s="3">
        <f>1687.6+(315.6-153.8)+(-2.582028+(-0.482868--0.235314))+0--145.7-0.222921000000008</f>
        <v>1992.0474969999998</v>
      </c>
      <c r="X39" s="3">
        <f>1621.3+(294.8-194.6)+(-4.961178+(-0.902088--0.595476))+0--147.7-0.451962000000017</f>
        <v>1863.4802479999998</v>
      </c>
      <c r="Y39" s="3">
        <f>1733.5+(254.4-219.8)+(-3.53634+(-0.518976--0.448392))+0--149.6-0.305183999999993</f>
        <v>1913.7878919999998</v>
      </c>
      <c r="Z39" s="3">
        <f>1836.7+(249-217.6)+(-3.746868+(-0.50796--0.443904))+0--147.9-0.301715999999994</f>
        <v>2011.8873600000002</v>
      </c>
      <c r="AA39" s="3">
        <f>1874.7+(230.6-256.6)+(-2.868291+(-0.352818--0.392598))+0--147.6-0.225828000000009</f>
        <v>1993.2456609999999</v>
      </c>
      <c r="AB39" s="3">
        <f>1943.7+(201.2-303.7)+(-3.965148+(-0.410448--0.619548))+0--147.6-0.301103999999994</f>
        <v>1984.7428480000001</v>
      </c>
      <c r="AC39" s="3">
        <f>1973.9+(210.4-325.7)+(-3.020067+(-0.321912--0.498321))+0--148-0.226440000000009</f>
        <v>2003.5299020000002</v>
      </c>
      <c r="AD39">
        <v>2037.6000000000001</v>
      </c>
      <c r="AE39" s="3">
        <f>1844.2+(256.7-210.3)+(0+(0-0))+0--147-0</f>
        <v>2037.6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1939.6+(254.4-313.2)+(-1.978392+(-0.259488--0.319464))+0--148.3-0.151266000000024</f>
        <v>2027.0303179999999</v>
      </c>
      <c r="G40" s="3">
        <f>1831.9+(277.9-246.4)+(-4.671345+(-0.708645--0.62832))+0--104.5-0.266474999999985</f>
        <v>1962.8818550000001</v>
      </c>
      <c r="H40" s="3">
        <f>1746.6+(287.6-236.2)+(-2.672298+(-0.440028--0.361386))+0--80.2-0.122706000000005</f>
        <v>1875.326354</v>
      </c>
      <c r="I40" s="3">
        <f>1766.9+(265.3-273.4)+(-0.901119+(-0.135303--0.139434))+0--80.6-0.0411059999999918</f>
        <v>1838.4619060000002</v>
      </c>
      <c r="J40" s="3">
        <f>1754+(260.4-307.1)+(-5.36724+(-0.796824--0.939726))+0--80.6-0.246636000000009</f>
        <v>1782.4290259999998</v>
      </c>
      <c r="K40" s="3">
        <f>1764.9+(257.3-343.1)+(-3.600396+(-0.524892--0.699924))+0--80.5-0.164219999999996</f>
        <v>1756.0104160000003</v>
      </c>
      <c r="L40" s="3">
        <f>1633.9+(310.4-407.4)+(-2.499867+(-0.474912--0.623322))+0--81.2-0.124236000000005</f>
        <v>1615.624307</v>
      </c>
      <c r="M40" s="3">
        <f>1524+(318.6-309)+(-0.77724+(-0.162486--0.15759))+0--79.6-0.0405959999999919</f>
        <v>1612.3772679999997</v>
      </c>
      <c r="N40" s="3">
        <f>1526.1+(302-220.3)+(-1.556622+(-0.30804--0.224706))+0--77-0.0785400000000123</f>
        <v>1683.081504</v>
      </c>
      <c r="O40" s="3">
        <f>1463.2+(342.3-139.6)+(0+(0-0))+0--78.9-0</f>
        <v>1744.8000000000002</v>
      </c>
      <c r="P40" s="3">
        <f>1468.5+(413.7-113.7)+(-2.246805+(-0.632961--0.173961))+0--77.6-0.118728000000004</f>
        <v>1843.2754669999999</v>
      </c>
      <c r="Q40" s="3">
        <f>1489+(397-108.9)+(-2.27817+(-0.60741--0.166617))+0--75.1-0.114903000000004</f>
        <v>1849.3661339999999</v>
      </c>
      <c r="R40" s="3">
        <f>1506.4+(426.9-100.7)+(-1.536528+(-0.435438--0.102714))+0--73.8-0.0752760000000118</f>
        <v>1904.4554720000001</v>
      </c>
      <c r="S40" s="3">
        <f>1548.4+(475.3-130.3)+(-3.158736+(-0.969612--0.265812))+0--73.7-0.150347999999997</f>
        <v>1963.0871160000002</v>
      </c>
      <c r="T40" s="3">
        <f>1560.4+(540-145.1)+(-1.591608+(-0.5508--0.148002))+0--76.9-0.0784380000000123</f>
        <v>2030.1271560000002</v>
      </c>
      <c r="U40" s="3">
        <f>1568+(548.1-140.9)+(-2.39904+(-0.838593--0.215577))+0--77.3-0.118269000000004</f>
        <v>2049.3596750000002</v>
      </c>
      <c r="V40" s="3">
        <f>1536.6+(529.7-116.5)+(-1.567332+(-0.540294--0.11883))+0--77.6-0.0791520000000124</f>
        <v>2025.3320519999997</v>
      </c>
      <c r="W40" s="3">
        <f>1504.7+(430.8-103.6)+(-3.836985+(-1.09854--0.26418))+0--77.9-0.198644999999989</f>
        <v>1904.9300100000003</v>
      </c>
      <c r="X40" s="3">
        <f>1432.2+(393-112)+(-2.921688+(-0.80172--0.22848))+0--77.7-0.158507999999997</f>
        <v>1787.246564</v>
      </c>
      <c r="Y40" s="3">
        <f>1453.4+(376-109.9)+(-2.223702+(-0.57528--0.168147))+0--77.9-0.119187000000005</f>
        <v>1794.6499780000001</v>
      </c>
      <c r="Z40" s="3">
        <f>1624.9+(411.7-161.3)+(-3.314796+(-0.839868--0.329052))+0--78.7-0.160547999999997</f>
        <v>1950.0138400000001</v>
      </c>
      <c r="AA40" s="3">
        <f>1627.5+(426.6-166.9)+(-1.66005+(-0.435132--0.170238))+0--78.5-0.0800700000000125</f>
        <v>1963.694986</v>
      </c>
      <c r="AB40" s="3">
        <f>1641.3+(463.2-183.7)+(-2.511189+(-0.708696--0.281061))+0--78.9-0.120717000000005</f>
        <v>1996.640459</v>
      </c>
      <c r="AC40" s="3">
        <f>1702.2+(467.1-205.7)+(-0.868122+(-0.238221--0.104907))+0--79-0.040289999999992</f>
        <v>2041.5582740000002</v>
      </c>
      <c r="AD40">
        <v>1976.3999999999999</v>
      </c>
      <c r="AE40" s="3">
        <f>1664.2+(407.9-175.7)+(0+(0-0))+0--80-0</f>
        <v>1976.4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1731.5+(457.8-213.3)+(-1.76613+(-0.466956--0.217566))+0--77.4-0.0789480000000123</f>
        <v>2051.3055320000003</v>
      </c>
      <c r="G41" s="3">
        <f>1723.6+(404.1-217)+(-3.516144+(-0.824364--0.44268))+0--78.1-0.159323999999997</f>
        <v>1984.7428479999999</v>
      </c>
      <c r="H41" s="3">
        <f>1746.1+(329.6-226)+(-2.671533+(-0.504288--0.34578))+0--77.8-0.119034000000004</f>
        <v>1924.5509249999998</v>
      </c>
      <c r="I41" s="3">
        <f>1736.2+(268.9-222.3)+(-0.885462+(-0.137139--0.113373))+0--78.5-0.040034999999992</f>
        <v>1860.350737</v>
      </c>
      <c r="J41" s="3">
        <f>1732.6+(255.9-241)+(-6.185382+(-0.913563--0.86037))+0--79.6-0.284172000000001</f>
        <v>1820.5772529999999</v>
      </c>
      <c r="K41" s="3">
        <f>1741.5+(253.1-274.4)+(-5.32899+(-0.774486--0.839664))+0--79.2-0.242352000000009</f>
        <v>1793.8938360000002</v>
      </c>
      <c r="L41" s="3">
        <f>1766.4+(233.7-377)+(-3.603456+(-0.476748--0.76908))+0--80.7-0.164627999999996</f>
        <v>1700.3242480000001</v>
      </c>
      <c r="M41" s="3">
        <f>1748.3+(221.5-354.5)+(-0.891633+(-0.112965--0.180795))+0--79-0.040289999999992</f>
        <v>1693.435907</v>
      </c>
      <c r="N41" s="3">
        <f>1828.5+(246.7-312.6)+(-1.86507+(-0.251634--0.318852))+0--78-0.0795600000000124</f>
        <v>1838.7225880000001</v>
      </c>
      <c r="O41" s="3">
        <f>1755+(326.4-209.2)+(-2.68515+(-0.499392--0.320076))+0--76.4-0.116892000000004</f>
        <v>1945.6186420000001</v>
      </c>
      <c r="P41" s="3">
        <f>1726.4+(398.5-183.4)+(-0.880464+(-0.203235--0.093534))+0--74.6-0.0380459999999924</f>
        <v>2015.0717890000001</v>
      </c>
      <c r="Q41" s="3">
        <f>1779.8+(423.7-216.5)+(0+(0-0))+0--78.3-0</f>
        <v>2065.3000000000002</v>
      </c>
      <c r="R41" s="3">
        <f>1807.4+(487.6-235.1)+(-0.921774+(-0.248676--0.119901))+0--78-0.0397799999999921</f>
        <v>2136.809671</v>
      </c>
      <c r="S41" s="3">
        <f>1897.3+(488.7-267.8)+(-0.967623+(-0.249237--0.136578))+0--75.5-0.0385049999999923</f>
        <v>2192.5812129999999</v>
      </c>
      <c r="T41" s="3">
        <f>1871.9+(601.4-278.2)+(-2.864007+(-0.920142--0.425646))+0--73.4-0.112302000000004</f>
        <v>2265.0291950000001</v>
      </c>
      <c r="U41" s="3">
        <f>1865.1+(612.4-262.4)+(-2.853603+(-0.936972--0.401472))+0--70.8-0.108324000000004</f>
        <v>2282.4025730000003</v>
      </c>
      <c r="V41" s="3">
        <f>1838.7+(544.4-224.1)+(-1.875474+(-0.555288--0.228582))+0--72.6-0.0740520000000116</f>
        <v>2229.3237679999997</v>
      </c>
      <c r="W41" s="3">
        <f>1865.9+(390.9-207.2)+(-2.854827+(-0.598077--0.317016))+0--71-0.108630000000004</f>
        <v>2117.3554819999995</v>
      </c>
      <c r="X41" s="3">
        <f>1766.1+(322.6-167.7)+(-3.602844+(-0.658104--0.342108))+0--72.1-0.147083999999997</f>
        <v>1989.0340759999999</v>
      </c>
      <c r="Y41" s="3">
        <f>1811.4+(274.6-188.8)+(-0.923814+(-0.140046--0.096288))+0--73.3-0.0373829999999926</f>
        <v>1969.4950449999999</v>
      </c>
      <c r="Z41" s="3">
        <f>2043.8+(351-256)+(-6.254028+(-1.07406--0.78336))+0--75.4-0.230724000000009</f>
        <v>2207.4245480000004</v>
      </c>
      <c r="AA41" s="3">
        <f>2087.6+(289.9-328.8)+(-4.258704+(-0.591396--0.670752))+0--75.8-0.154631999999997</f>
        <v>2120.1660199999997</v>
      </c>
      <c r="AB41" s="3">
        <f>2003.2+(395.9-342.8)+(-5.10816+(-1.009545--0.87414))+0--76.3-0.194564999999989</f>
        <v>2127.1618700000004</v>
      </c>
      <c r="AC41" s="3">
        <f>1898.6+(508.3-309.4)+(-3.873144+(-1.036932--0.631176))+0--76.5-0.156059999999997</f>
        <v>2169.5650400000004</v>
      </c>
      <c r="AD41">
        <v>2147.9</v>
      </c>
      <c r="AE41" s="3">
        <f>2068.2+(296.3-298.1)+(0+(0-0))+0--81.5-0</f>
        <v>2147.8999999999996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1921.1+(469.9-307.2)+(-2.939283+(-0.718947--0.470016))+0--83.5-0.127755000000005</f>
        <v>2163.984031</v>
      </c>
      <c r="G42" s="3">
        <f>1933.4+(395-308.5)+(-5.916204+(-1.2087--0.94401))+0--84-0.25704000000001</f>
        <v>2097.462066</v>
      </c>
      <c r="H42" s="3">
        <f>1809.2+(419.2-267.4)+(-3.690768+(-0.855168--0.545496))+0--83.2-0.169727999999996</f>
        <v>2040.0298319999999</v>
      </c>
      <c r="I42" s="3">
        <f>1614.6+(523.6-223.1)+(0.823446+(0.267036-0.113781))+0--82.1--0.0418709999999917</f>
        <v>1998.2185719999998</v>
      </c>
      <c r="J42" s="3">
        <f>1752.1+(375.3-252.9)+(0.893571+(0.191403-0.128979))+0--83.1--0.0423809999999916</f>
        <v>1958.5983759999999</v>
      </c>
      <c r="K42" s="3">
        <f>1923.9+(198.6-284.1)+(0+(0-0))+0--82.8-0</f>
        <v>1921.2</v>
      </c>
      <c r="L42" s="3">
        <f>1969.6+(183.9-430.7)+(-5.02248+(-0.468945--1.098285))+0--83.4-0.212669999999988</f>
        <v>1801.5941900000003</v>
      </c>
      <c r="M42" s="3">
        <f>1971.5+(188.1-471.6)+(-3.016395+(-0.287793--0.721548))+0--82.6-0.126378000000005</f>
        <v>1767.8909819999999</v>
      </c>
      <c r="N42" s="3">
        <f>2079.4+(186.5-432.6)+(-4.241976+(-0.38046--0.882504))+0--80.6-0.164423999999996</f>
        <v>1909.9956440000001</v>
      </c>
      <c r="O42" s="3">
        <f>2078.3+(190.9-362.8)+(0+(0-0))+0--78.7-0</f>
        <v>1985.1000000000001</v>
      </c>
      <c r="P42" s="3">
        <f>2064.6+(203.9-311)+(-2.105892+(-0.207978--0.31722))+0--78.1-0.0796620000000124</f>
        <v>2033.5236879999998</v>
      </c>
      <c r="Q42" s="3">
        <f>2045.1+(270.8-300.2)+(-3.129003+(-0.414324--0.459306))+0--78.1-0.119493000000004</f>
        <v>2090.5964859999999</v>
      </c>
      <c r="R42" s="3">
        <f>2033.7+(374.1-310.3)+(-6.223122+(-1.144746--0.949518))+0--87.7-0.26836200000001</f>
        <v>2178.5132880000001</v>
      </c>
      <c r="S42" s="3">
        <f>2026.4+(481.3-337.7)+(-4.133856+(-0.981852--0.688908))+0--80.6-0.164423999999996</f>
        <v>2246.0087759999997</v>
      </c>
      <c r="T42" s="3">
        <f>2016.5+(591.7-338.4)+(-6.17049+(-1.810602--1.035504))+0--80.3-0.245718000000009</f>
        <v>2342.9086940000002</v>
      </c>
      <c r="U42" s="3">
        <f>2016.7+(584.7-327.1)+(-4.114068+(-1.192788--0.667284))+0--81.7-0.166667999999996</f>
        <v>2351.1937600000001</v>
      </c>
      <c r="V42" s="3">
        <f>2016.2+(499.8-313.5)+(-5.14131+(-1.27449--0.799425))+0--81-0.206549999999988</f>
        <v>2277.6770750000001</v>
      </c>
      <c r="W42" s="3">
        <f>2042.3+(296.3-287)+(-4.166292+(-0.604452--0.58548))+0--80.8-0.164831999999996</f>
        <v>2128.049904</v>
      </c>
      <c r="X42" s="3">
        <f>1846.6+(297.4-236.4)+(-6.592362+(-1.061718--0.843948))+0--82.7-0.295239000000001</f>
        <v>1983.1946289999998</v>
      </c>
      <c r="Y42" s="3">
        <f>1888.2+(267.5-262.9)+(0+(0-0))+0--81.5-0</f>
        <v>1974.3000000000002</v>
      </c>
      <c r="Z42" s="3">
        <f>2218.9+(244.3-403.8)+(-5.658195+(-0.622965--1.02969))+0--81.9-0.208844999999988</f>
        <v>2135.8396849999999</v>
      </c>
      <c r="AA42" s="3">
        <f>2175.9+(318.2-418.9)+(-4.438836+(-0.649128--0.854556))+0--81.6-0.166463999999996</f>
        <v>2152.4001280000002</v>
      </c>
      <c r="AB42" s="3">
        <f>2031.9+(433.9-378.3)+(-2.072538+(-0.442578--0.385866))+0--82.2-0.0838440000000131</f>
        <v>2167.4869059999996</v>
      </c>
      <c r="AC42" s="3">
        <f>2027.6+(484-374.3)+(-2.068152+(-0.49368--0.381786))+0--82.1-0.0837420000000131</f>
        <v>2217.1362119999999</v>
      </c>
      <c r="AD42">
        <v>2187.9</v>
      </c>
      <c r="AE42" s="3">
        <f>2286.2+(252.8-432.5)+(0+(0-0))+0--81.4-0</f>
        <v>2187.9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1887.9+(558.6-305.9)+(-5.776974+(-1.709316--0.936054))+0--83.5-0.25551000000001</f>
        <v>2217.2942540000004</v>
      </c>
      <c r="G43" s="3">
        <f>1799+(547.8-279.3)+(-3.66996+(-1.117512--0.569772))+0--84.6-0.172583999999996</f>
        <v>2147.7097159999998</v>
      </c>
      <c r="H43" s="3">
        <f>1638.2+(600.2-246.2)+(-1.670964+(-0.612204--0.251124))+0--85.6-0.0873120000000136</f>
        <v>2075.680644</v>
      </c>
      <c r="I43" s="3">
        <f>1638.1+(537.6-237.5)+(-2.506293+(-0.822528--0.363375))+0--83.4-0.127602000000005</f>
        <v>2018.506952</v>
      </c>
      <c r="J43" s="3">
        <f>1843.4+(323.6-277.4)+(-0.940134+(-0.165036--0.141474))+0--85.4-0.0435539999999913</f>
        <v>1973.9927500000001</v>
      </c>
      <c r="K43" s="3">
        <f>1925.1+(214.6-298.8)+(-3.927204+(-0.437784--0.609552))+0--84.1-0.171563999999996</f>
        <v>1921.0729999999999</v>
      </c>
      <c r="L43" s="3">
        <f>1807.2+(245.3-263.7)+(-5.530032+(-0.750618--0.806922))+0--84.6-0.25887600000001</f>
        <v>1867.6673960000001</v>
      </c>
      <c r="M43" s="3">
        <f>1896.8+(199.4-379.2)+(-1.934736+(-0.203388--0.386784))+0--84.1-0.0857820000000134</f>
        <v>1799.2628779999998</v>
      </c>
      <c r="N43" s="3">
        <f>1991.1+(183.9-352.9)+(-3.046383+(-0.281367--0.539937))+0--83.7-0.128061000000005</f>
        <v>1902.8841259999999</v>
      </c>
      <c r="O43" s="3">
        <f>2047.9+(172.9-333)+(-3.133287+(-0.264537--0.50949))+0--83.3-0.127449000000005</f>
        <v>1968.0842170000001</v>
      </c>
      <c r="P43" s="3">
        <f>2076.2+(184.3-321)+(-4.235448+(-0.375972--0.65484))+0--81.1-0.165443999999996</f>
        <v>2016.4779759999997</v>
      </c>
      <c r="Q43" s="3">
        <f>2035.5+(241.3-246.5)+(-3.114315+(-0.369189--0.377145))+0--80.2-0.122706000000005</f>
        <v>2107.2709349999996</v>
      </c>
      <c r="R43" s="3">
        <f>1919.2+(414.9-231.6)+(-4.89396+(-1.057995--0.59058))+0--79.4-0.202469999999988</f>
        <v>2176.336155</v>
      </c>
      <c r="S43" s="3">
        <f>1879+(539.1-247.8)+(-0.95829+(-0.274941--0.126378))+0--78.1-0.0398309999999921</f>
        <v>2247.2533160000003</v>
      </c>
      <c r="T43" s="3">
        <f>1941.2+(590.3-267.6)+(-2.970036+(-0.903159--0.409428))+0--77.6-0.118728000000004</f>
        <v>2337.9175049999999</v>
      </c>
      <c r="U43" s="3">
        <f>1905+(604.4-243.2)+(-4.85775+(-1.54122--0.62016))+0--79-0.201449999999989</f>
        <v>2339.21974</v>
      </c>
      <c r="V43" s="3">
        <f>1767.5+(618.6-185.5)+(-4.507125+(-1.57743--0.473025))+0--80.8-0.206039999999988</f>
        <v>2275.5824299999999</v>
      </c>
      <c r="W43" s="3">
        <f>1765.1+(466-166.7)+(-3.600804+(-0.95064--0.340068))+0--79.5-0.162179999999997</f>
        <v>2139.5264440000001</v>
      </c>
      <c r="X43" s="3">
        <f>1763.3+(319.5-163.6)+(-4.496415+(-0.814725--0.41718))+0--80.4-0.205019999999988</f>
        <v>1994.5010200000002</v>
      </c>
      <c r="Y43" s="3">
        <f>1789.8+(280.1-195.3)+(0.912798+(0.142851-0.099603))+0--82.1--0.0418709999999917</f>
        <v>1957.6979169999997</v>
      </c>
      <c r="Z43" s="3">
        <f>2017.2+(260-260.9)+(-2.057544+(-0.2652--0.266118))+0--82.9-0.0845580000000132</f>
        <v>2097.0588160000002</v>
      </c>
      <c r="AA43" s="3">
        <f>1938.3+(342.8-266.5)+(-5.931198+(-1.048968--0.81549))+0--81.8-0.250308000000009</f>
        <v>2089.9850159999996</v>
      </c>
      <c r="AB43" s="3">
        <f>1898.9+(389.3-282.1)+(-6.779073+(-1.389801--1.007097))+0--81.2-0.289884000000001</f>
        <v>2079.8483390000001</v>
      </c>
      <c r="AC43" s="3">
        <f>1911.2+(428.9-299)+(-2.924136+(-0.656217--0.45747))+0--82.2-0.125766000000005</f>
        <v>2120.0513509999996</v>
      </c>
      <c r="AD43">
        <v>2025.7</v>
      </c>
      <c r="AE43" s="3">
        <f>1925.2+(288.8-261.3)+(0+(0-0))+0--73-0</f>
        <v>2025.7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1921.7+(314.2-276.7)+(0+(0-0))+0--89-0</f>
        <v>2048.1999999999998</v>
      </c>
      <c r="G44" s="3">
        <f>1852.9+(304.2-269.4)+(0+(0-0))+0--88-0</f>
        <v>1975.7</v>
      </c>
      <c r="H44" s="3">
        <f>1878.9+(213.9-270.1)+(0+(0-0))+0--88-0</f>
        <v>1910.7</v>
      </c>
      <c r="I44" s="3">
        <f>1847.8+(165.5-263.4)+(0+(0-0))+0--89-0</f>
        <v>1838.9</v>
      </c>
      <c r="J44" s="3">
        <f>1883.6+(238.7-290.5)+(-2.881908+(-0.365211--0.444465))+0--86.6-0.132498000000005</f>
        <v>1915.4648479999998</v>
      </c>
      <c r="K44" s="3">
        <f>1964.9+(172.2-361.4)+(-2.004198+(-0.175644--0.368628))+0--86.6-0.0883320000000138</f>
        <v>1860.4004539999999</v>
      </c>
      <c r="L44" s="3">
        <f>2016.2+(195.9-573.7)+(2.056524+(0.199818-0.585174))+0--86.7--0.0884340000000138</f>
        <v>1726.8596020000002</v>
      </c>
      <c r="M44" s="3">
        <f>2023.3+(189.5-552.3)+(2.063766+(0.19329-0.563346))+0--86.6--0.0883320000000138</f>
        <v>1748.882042</v>
      </c>
      <c r="N44" s="3">
        <f>2140.3+(187.5-526.7)+(-1.091553+(-0.095625--0.268617))+0--85.4-0.0435539999999913</f>
        <v>1885.5378850000002</v>
      </c>
      <c r="O44" s="3">
        <f>2154.6+(180.2-465.7)+(0+(0-0))+0--83.6-0</f>
        <v>1952.6999999999998</v>
      </c>
      <c r="P44" s="3">
        <f>2137.9+(189.9-390.4)+(0+(0-0))+0--85.4-0</f>
        <v>2022.8000000000002</v>
      </c>
      <c r="Q44" s="3">
        <f>2130.8+(203.9-337.7)+(-4.346832+(-0.415956--0.688908))+0--84.2-0.171767999999996</f>
        <v>2076.9543520000002</v>
      </c>
      <c r="R44" s="3">
        <f>2125.8+(239.4-332.4)+(-1.084158+(-0.122094--0.169524))+0--82-0.0418199999999917</f>
        <v>2113.7214520000002</v>
      </c>
      <c r="S44" s="3">
        <f>2042.5+(355.5-329)+(0+(0-0))+0--80.1-0</f>
        <v>2149.1</v>
      </c>
      <c r="T44" s="3">
        <f>2059.2+(414.9-318.4)+(-1.050192+(-0.211599--0.162384))+0--80.9-0.0412589999999918</f>
        <v>2235.4593339999997</v>
      </c>
      <c r="U44" s="3">
        <f>2046.9+(416.1-298.3)+(-7.307433+(-1.485477--1.064931))+0--81.7-0.291669000000001</f>
        <v>2238.3803520000001</v>
      </c>
      <c r="V44" s="3">
        <f>2158+(252.9-292)+(-6.60348+(-0.773874--0.89352))+0--81.5-0.249390000000009</f>
        <v>2193.666776</v>
      </c>
      <c r="W44" s="3">
        <f>2140.7+(208.2-342.3)+(-7.642299+(-0.743274--1.222011))+0--81.6-0.291312000000001</f>
        <v>2080.7451260000003</v>
      </c>
      <c r="X44" s="3">
        <f>2119.5+(208.4-446.7)+(-5.404725+(-0.53142--1.139085))+0--84.4-0.215219999999988</f>
        <v>1960.58772</v>
      </c>
      <c r="Y44" s="3">
        <f>2122.6+(170.2-441.9)+(-5.41263+(-0.43401--1.126845))+0--84.2-0.214709999999988</f>
        <v>1930.165495</v>
      </c>
      <c r="Z44" s="3">
        <f>2143.2+(203.1-356)+(-4.372128+(-0.414324--0.72624))+0--83.8-0.170951999999996</f>
        <v>2069.8688359999996</v>
      </c>
      <c r="AA44" s="3">
        <f>2296.1+(130.4-457.8)+(-4.684044+(-0.266016--0.933912))+0--83.9-0.171155999999996</f>
        <v>2048.4126959999999</v>
      </c>
      <c r="AB44" s="3">
        <f>2499.8+(121-657.8)+(1.274898+(0.06171-0.335478))+0--84.1--0.0428909999999915</f>
        <v>2048.1440210000005</v>
      </c>
      <c r="AC44" s="3">
        <f>2455.1+(116.8-585.3)+(-2.504202+(-0.119136--0.597006))+0--84.7-0.0863940000000135</f>
        <v>2069.1872739999999</v>
      </c>
      <c r="AD44">
        <v>2087.6</v>
      </c>
      <c r="AE44" s="3">
        <f>2171.2+(201.8-370.4)+(0+(0-0))+0--85-0</f>
        <v>2087.6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2316.8+(156.9-470.1)+(0+(0-0))+0--78.8-0</f>
        <v>2082.4</v>
      </c>
      <c r="G45" s="3">
        <f>2250.6+(144.9-491.8)+(-2.295612+(-0.147798--0.501636))+0--78.9-0.0804780000000126</f>
        <v>1980.5777479999999</v>
      </c>
      <c r="H45" s="3">
        <f>2286.3+(133.3-590.8)+(0+(0-0))+0--79.7-0</f>
        <v>1908.5000000000002</v>
      </c>
      <c r="I45" s="3">
        <f>2322.7+(143.1-614.8)+(-3.553731+(-0.218943--0.940644))+0--79.8-0.122094000000005</f>
        <v>1927.8458759999999</v>
      </c>
      <c r="J45" s="3">
        <f>2163.9+(140.5-509.3)+(2.207178+(0.14331-0.519486))+0--80.8--0.0824160000000129</f>
        <v>1877.813418</v>
      </c>
      <c r="K45" s="3">
        <f>2134.2+(144.7-552.4)+(-4.353768+(-0.295188--1.126896))+0--79.9-0.162995999999997</f>
        <v>1802.7149439999998</v>
      </c>
      <c r="L45" s="3">
        <f>2029.2+(197-614.4)+(-1.034892+(-0.10047--0.313344))+0--80.3-0.0409529999999919</f>
        <v>1691.2370290000001</v>
      </c>
      <c r="M45" s="3">
        <f>2202.8+(144.9-674.6)+(-1.123428+(-0.073899--0.344046))+0--80.6-0.0411059999999918</f>
        <v>1752.8056130000002</v>
      </c>
      <c r="N45" s="3">
        <f>2425.9+(126.9-744.4)+(-1.237209+(-0.064719--0.379644))+0--79.5-0.0405449999999919</f>
        <v>1886.937171</v>
      </c>
      <c r="O45" s="3">
        <f>2465.6+(131.2-719.7)+(-2.514912+(-0.133824--0.734094))+0--78.1-0.0796620000000124</f>
        <v>1953.2056959999998</v>
      </c>
      <c r="P45" s="3">
        <f>2425.7+(148.2-637.4)+(-3.711321+(-0.226746--0.975222))+0--78.9-0.120717000000005</f>
        <v>2012.3164379999998</v>
      </c>
      <c r="Q45" s="3">
        <f>2395.4+(154.1-547.8)+(0+(0-0))+0--80-0</f>
        <v>2081.7000000000003</v>
      </c>
      <c r="R45" s="3">
        <f>2410.1+(135.2-504.7)+(-6.145755+(-0.34476--1.286985))+0--78-0.198899999999989</f>
        <v>2113.1975699999998</v>
      </c>
      <c r="S45" s="3">
        <f>2393.1+(174.5-482.5)+(0+(0-0))+0--76.9-0</f>
        <v>2162</v>
      </c>
      <c r="T45" s="3">
        <f>2381.7+(199.7-431.1)+(-4.858668+(-0.407388--0.879444))+0--75.5-0.154019999999997</f>
        <v>2221.259368</v>
      </c>
      <c r="U45" s="3">
        <f>2202.6+(283.9-330.1)+(-5.61663+(-0.723945--0.841755))+0--71.7-0.18283499999999</f>
        <v>2222.4183449999996</v>
      </c>
      <c r="V45" s="3">
        <f>2096.9+(290-291.1)+(-3.208257+(-0.4437--0.445383))+0--78-0.119340000000005</f>
        <v>2170.4740860000002</v>
      </c>
      <c r="W45" s="3">
        <f>2092.1+(234.5-349.5)+(-3.200913+(-0.358785--0.534735))+0--75.8-0.115974000000004</f>
        <v>2049.759063</v>
      </c>
      <c r="X45" s="3">
        <f>2101.6+(286.3-513)+(-5.35908+(-0.730065--1.30815))+0--77.7-0.198134999999989</f>
        <v>1947.6208699999997</v>
      </c>
      <c r="Y45" s="3">
        <f>2116.8+(235.2-490.7)+(-3.238704+(-0.359856--0.750771))+0--75.6-0.115668000000004</f>
        <v>1933.9365430000003</v>
      </c>
      <c r="Z45" s="3">
        <f>2337.6+(165.8-486.4)+(-1.192176+(-0.084558--0.248064))+0--76.5-0.0390149999999922</f>
        <v>2092.4323150000005</v>
      </c>
      <c r="AA45" s="3">
        <f>2425.8+(126.1-531.8)+(-4.948632+(-0.257244--1.084872))+0--77.1-0.157283999999997</f>
        <v>2092.9217120000003</v>
      </c>
      <c r="AB45" s="3">
        <f>2297.3+(145.9-428.5)+(-5.858115+(-0.372045--1.092675))+0--78.5-0.200174999999989</f>
        <v>2087.8623400000006</v>
      </c>
      <c r="AC45" s="3">
        <f>2173.6+(220.9-353.1)+(-3.325608+(-0.337977--0.540243))+0--77.6-0.118728000000004</f>
        <v>2115.7579299999998</v>
      </c>
      <c r="AD45">
        <v>2125.7999999999997</v>
      </c>
      <c r="AE45" s="3">
        <f>2421.2+(135.1-511)+(0+(0-0))+0--80.5-0</f>
        <v>2125.7999999999997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2066.1+(297.2-281)+(-4.214844+(-0.606288--0.57324))+0--77.6-0.158303999999997</f>
        <v>2155.4938039999997</v>
      </c>
      <c r="G46" s="3">
        <f>2019.3+(280.4-289.2)+(-1.029843+(-0.143004--0.147492))+0--77.3-0.0394229999999922</f>
        <v>2086.7352219999998</v>
      </c>
      <c r="H46" s="3">
        <f>2024.3+(236-328.8)+(-1.032393+(-0.12036--0.167688))+0--77.5-0.0395249999999921</f>
        <v>2007.97541</v>
      </c>
      <c r="I46" s="3">
        <f>2232.4+(140.7-481.8)+(-1.138524+(-0.071757--0.245718))+0--78.4-0.039983999999992</f>
        <v>1968.6954530000003</v>
      </c>
      <c r="J46" s="3">
        <f>2274+(128.3-543.2)+(-4.63896+(-0.261732--1.108128))+0--78.2-0.159527999999997</f>
        <v>1933.347908</v>
      </c>
      <c r="K46" s="3">
        <f>2198+(141.1-527.7)+(-8.96784+(-0.575688--2.153016))+0--79-0.322319999999993</f>
        <v>1882.6871680000002</v>
      </c>
      <c r="L46" s="3">
        <f>1940.7+(206.5-499.1)+(-2.969271+(-0.315945--0.763623))+0--79.6-0.121788000000005</f>
        <v>1725.056619</v>
      </c>
      <c r="M46" s="3">
        <f>1933.1+(200.5-461)+(0+(0-0))+0--78.9-0</f>
        <v>1751.5</v>
      </c>
      <c r="N46" s="3">
        <f>2024.3+(183.1-410.8)+(0+(0-0))+0--78.3-0</f>
        <v>1874.8999999999999</v>
      </c>
      <c r="O46" s="3">
        <f>2011.6+(186.4-333.3)+(1.025916+(0.095064-0.169983))+0--76.8--0.0391679999999922</f>
        <v>1942.4901649999997</v>
      </c>
      <c r="P46" s="3">
        <f>2065+(204.1-337.2)+(-3.15945+(-0.312273--0.515916))+0--75.3-0.115209000000004</f>
        <v>2004.1289839999999</v>
      </c>
      <c r="Q46" s="3">
        <f>2158.8+(202.4-385.7)+(-3.302964+(-0.309672--0.590121))+0--75.5-0.115515000000004</f>
        <v>2047.8619700000002</v>
      </c>
      <c r="R46" s="3">
        <f>2160.9+(251.7-401)+(-3.306177+(-0.385101--0.61353))+0--81.7-0.125001000000005</f>
        <v>2090.0972510000001</v>
      </c>
      <c r="S46" s="3">
        <f>1983.8+(484.8-414.5)+(-2.023476+(-0.494496--0.42279))+0--82.1-0.0837420000000131</f>
        <v>2134.021076</v>
      </c>
      <c r="T46" s="3">
        <f>1960.4+(586.1-397.9)+(0.999804+(0.298911-0.202929))+0--82.2--0.0419219999999917</f>
        <v>2231.9377079999999</v>
      </c>
      <c r="U46" s="3">
        <f>1944.9+(570.1-383.6)+(-2.975697+(-0.872253--0.586908))+0--81.6-0.124848000000005</f>
        <v>2209.61411</v>
      </c>
      <c r="V46" s="3">
        <f>1855.1+(534.2-317.3)+(-3.784404+(-1.089768--0.647292))+0--81.5-0.166259999999996</f>
        <v>2149.1068599999999</v>
      </c>
      <c r="W46" s="3">
        <f>1772.2+(432.9-272)+(-2.711466+(-0.662337--0.41616))+0--82.9-0.126837000000005</f>
        <v>2012.91552</v>
      </c>
      <c r="X46" s="3">
        <f>1772.5+(289.8-254.9)+(-3.6159+(-0.591192--0.519996))+0--83.6-0.170543999999996</f>
        <v>1887.1423599999998</v>
      </c>
      <c r="Y46" s="3">
        <f>1853.2+(226.3-297.2)+(-0.945132+(-0.115413--0.151572))+0--82.2-0.0419219999999917</f>
        <v>1863.5491050000003</v>
      </c>
      <c r="Z46" s="3">
        <f>2050.1+(257.1-369.6)+(-5.227755+(-0.655605--0.94248))+0--84.3-0.214964999999988</f>
        <v>2016.7441549999999</v>
      </c>
      <c r="AA46" s="3">
        <f>2103.4+(242.1-413.2)+(-3.218202+(-0.370413--0.632196))+0--84.3-0.128979000000005</f>
        <v>2013.514602</v>
      </c>
      <c r="AB46" s="3">
        <f>2121.1+(260.1-446.5)+(-3.245283+(-0.397953--0.683145))+0--84.6-0.129438000000005</f>
        <v>2016.2104709999999</v>
      </c>
      <c r="AC46" s="3">
        <f>2149.2+(273.8-454.3)+(-2.192184+(-0.279276--0.463386))+0--85.2-0.0869040000000136</f>
        <v>2051.8050219999996</v>
      </c>
      <c r="AD46">
        <v>2036.8999999999999</v>
      </c>
      <c r="AE46" s="3">
        <f>2126.2+(241-396.3)+(0+(0-0))+0--84-0</f>
        <v>2054.8999999999996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2152.3+(297.9-434.2)+(-3.293019+(-0.455787--0.664326))+0--86.5-0.132345000000005</f>
        <v>2099.2831750000005</v>
      </c>
      <c r="G47" s="3">
        <f>2161.8+(240.8-430.4)+(-3.307554+(-0.368424--0.658512))+0--85.5-0.130815000000005</f>
        <v>2054.5517190000005</v>
      </c>
      <c r="H47" s="3">
        <f>2183.6+(211.9-473.7)+(0+(0-0))+0--85.2-0</f>
        <v>2007</v>
      </c>
      <c r="I47" s="3">
        <f>2162.9+(184.1-478.1)+(-5.515395+(-0.469455--1.219155))+0--85.4-0.217769999999988</f>
        <v>1949.3165350000002</v>
      </c>
      <c r="J47" s="3">
        <f>2120.2+(169.6-468.6)+(2.162604+(0.172992-0.477972))+0--85.3--0.0870060000000136</f>
        <v>1908.4446299999997</v>
      </c>
      <c r="K47" s="3">
        <f>2118.8+(148.2-484.8)+(-4.322352+(-0.302328--0.988992))+0--86-0.175439999999996</f>
        <v>1864.3888720000002</v>
      </c>
      <c r="L47" s="3">
        <f>2012.4+(112.4-518.6)+(1.026324+(0.057324-0.264486))+0--86.8--0.0442679999999912</f>
        <v>1693.8634300000001</v>
      </c>
      <c r="M47" s="3">
        <f>1989.6+(123.6-525.3)+(0+(0-0))+0--86.3-0</f>
        <v>1674.2</v>
      </c>
      <c r="N47" s="3">
        <f>2036.2+(137.6-503)+(-1.038462+(-0.070176--0.25653))+0--85.8-0.0437579999999913</f>
        <v>1755.7041340000001</v>
      </c>
      <c r="O47" s="3">
        <f>2014+(160.1-431.2)+(0+(0-0))+0--83.4-0</f>
        <v>1826.3000000000002</v>
      </c>
      <c r="P47" s="3">
        <f>2020+(186.6-411.3)+(-1.0302+(-0.095166--0.209763))+0--82.5-0.0420749999999916</f>
        <v>1876.842322</v>
      </c>
      <c r="Q47" s="3">
        <f>2005.8+(255.5-394.9)+(1.022958+(0.130305-0.201399))+0--80.8--0.0412079999999918</f>
        <v>1948.193072</v>
      </c>
      <c r="R47" s="3">
        <f>1988.3+(349.7-443)+(-2.028066+(-0.356694--0.45186))+0--78.7-0.0802740000000126</f>
        <v>1971.6868260000001</v>
      </c>
      <c r="S47" s="3">
        <f>1972.9+(459.3-448.7)+(-2.012358+(-0.468486--0.457674))+0--78.6-0.0801720000000125</f>
        <v>2059.996658</v>
      </c>
      <c r="T47" s="3">
        <f>1962.9+(564.9-431.6)+(-3.003237+(-0.864297--0.660348))+0--80-0.122400000000005</f>
        <v>2172.8704139999995</v>
      </c>
      <c r="U47" s="3">
        <f>1957.5+(572.9-412.7)+(-3.9933+(-1.168716--0.841908))+0--79.9-0.162995999999997</f>
        <v>2193.116896</v>
      </c>
      <c r="V47" s="3">
        <f>1950+(510.6-400.7)+(-4.9725+(-1.30203--1.021785))+0--80.1-0.204254999999988</f>
        <v>2134.5430000000001</v>
      </c>
      <c r="W47" s="3">
        <f>1952.7+(329.5-350.7)+(-3.983508+(-0.67218--0.715428))+0--80.6-0.164423999999996</f>
        <v>2007.9953159999998</v>
      </c>
      <c r="X47" s="3">
        <f>1846.4+(231-289.7)+(-4.70832+(-0.58905--0.738735))+0--81.1-0.206804999999988</f>
        <v>1864.0345599999998</v>
      </c>
      <c r="Y47" s="3">
        <f>1872.1+(250.1-368.1)+(-3.819084+(-0.510204--0.750924))+0--81.8-0.166871999999996</f>
        <v>1832.1547639999999</v>
      </c>
      <c r="Z47" s="3">
        <f>2289+(216.2-573.3)+(-5.83695+(-0.55131--1.461915))+0--81.6-0.208079999999988</f>
        <v>2008.365575</v>
      </c>
      <c r="AA47" s="3">
        <f>2475.5+(172.3-680)+(-6.312525+(-0.439365--1.734))+0--82.3-0.209864999999988</f>
        <v>2044.8722449999998</v>
      </c>
      <c r="AB47" s="3">
        <f>2410.9+(254.2-681.1)+(-2.459118+(-0.259284--0.694722))+0--82-0.0836400000000131</f>
        <v>2063.8926799999999</v>
      </c>
      <c r="AC47" s="3">
        <f>2389.8+(313.3-673)+(-3.656394+(-0.479349--1.02969))+0--83.2-0.127296000000005</f>
        <v>2110.0666510000001</v>
      </c>
      <c r="AD47">
        <v>2074.7999999999997</v>
      </c>
      <c r="AE47" s="3">
        <f>2469.2+(163.6-640)+(0+(0-0))+0--82-0</f>
        <v>2074.7999999999997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2560.1+(249.4-705.4)+(-5.222604+(-0.508776--1.439016))+0--83.2-0.169727999999996</f>
        <v>2182.837908</v>
      </c>
      <c r="G48" s="3">
        <f>2656+(187.5-768)+(-6.7728+(-0.478125--1.9584))+0--83.7-0.213434999999988</f>
        <v>2153.6940399999999</v>
      </c>
      <c r="H48" s="3">
        <f>2664.9+(151.5-796.7)+(-5.436396+(-0.30906--1.625268))+0--84.6-0.172583999999996</f>
        <v>2100.0072279999999</v>
      </c>
      <c r="I48" s="3">
        <f>2551.9+(146.1-726.8)+(-3.904407+(-0.223533--1.112004))+0--85.2-0.130356000000005</f>
        <v>2053.2537080000002</v>
      </c>
      <c r="J48" s="3">
        <f>2434.1+(145.5-655.4)+(-4.965564+(-0.29682--1.337016))+0--84.5-0.172379999999996</f>
        <v>2004.6022519999999</v>
      </c>
      <c r="K48" s="3">
        <f>2295.6+(134.3-572.8)+(-3.512268+(-0.205479--0.876384))+0--85.4-0.130662000000005</f>
        <v>1939.527975</v>
      </c>
      <c r="L48" s="3">
        <f>2098+(103.9-527.7)+(-5.3499+(-0.264945--1.345635))+0--85.2-0.217259999999988</f>
        <v>1754.91353</v>
      </c>
      <c r="M48" s="3">
        <f>2034.9+(105.7-479.6)+(2.075598+(0.107814-0.489192))+0--85.1--0.0868020000000136</f>
        <v>1747.881022</v>
      </c>
      <c r="N48" s="3">
        <f>2147.4+(112.2-522.7)+(-1.095174+(-0.057222--0.266577))+0--84.4-0.0430439999999914</f>
        <v>1820.3711370000001</v>
      </c>
      <c r="O48" s="3">
        <f>2108.4+(156.5-482)+(-2.150568+(-0.15963--0.49164))+0--83-0.0846600000000132</f>
        <v>1863.9967820000002</v>
      </c>
      <c r="P48" s="3">
        <f>2073.9+(250.5-480.8)+(-4.230756+(-0.51102--0.980832))+0--82.3-0.167891999999996</f>
        <v>1921.971164</v>
      </c>
      <c r="Q48" s="3">
        <f>2055.1+(344.7-499.5)+(-3.144303+(-0.527391--0.764235))+0--90.1-0.137853000000005</f>
        <v>1987.3546879999999</v>
      </c>
      <c r="R48" s="3">
        <f>2072.7+(458.7-510.9)+(-4.228308+(-0.935748--1.042236))+0--81.3-0.165851999999996</f>
        <v>2097.5123279999998</v>
      </c>
      <c r="S48" s="3">
        <f>2119.5+(584.9-555.4)+(-5.404725+(-1.491495--1.41627))+0--81.5-0.207824999999988</f>
        <v>2224.8122250000001</v>
      </c>
      <c r="T48" s="3">
        <f>2007.7+(750.1-487.3)+(-2.047854+(-0.765102--0.497046))+0--79.5-0.0810900000000127</f>
        <v>2347.6030000000001</v>
      </c>
      <c r="U48" s="3">
        <f>1965.5+(755.6-430.6)+(-4.00962+(-1.541424--0.878424))+0--79.3-0.161771999999997</f>
        <v>2364.9656080000004</v>
      </c>
      <c r="V48" s="3">
        <f>1967.3+(631.3-375.1)+(0+(0-0))+0--79.9-0</f>
        <v>2303.4</v>
      </c>
      <c r="W48" s="3">
        <f>1974.6+(394.2-313.2)+(-3.021138+(-0.603126--0.479196))+0--79.5-0.121635000000005</f>
        <v>2131.8332970000001</v>
      </c>
      <c r="X48" s="3">
        <f>1938.1+(244.6-296.3)+(-3.953724+(-0.498984--0.604452))+0--79.9-0.162995999999997</f>
        <v>1962.2887479999999</v>
      </c>
      <c r="Y48" s="3">
        <f>1947.4+(239.7-326.6)+(-3.972696+(-0.488988--0.666264))+0--79.3-0.161771999999997</f>
        <v>1935.8428080000001</v>
      </c>
      <c r="Z48" s="3">
        <f>2098.7+(371.1-405.1)+(-3.211011+(-0.567783--0.619803))+0--79.9-0.122247000000005</f>
        <v>2141.3187620000003</v>
      </c>
      <c r="AA48" s="3">
        <f>2162.6+(371.8-404.8)+(-4.411704+(-0.758472--0.825792))+0--80.2-0.163607999999997</f>
        <v>2205.2920079999999</v>
      </c>
      <c r="AB48" s="3">
        <f>2182.7+(410.9-441.5)+(-2.226354+(-0.419118--0.45033))+0--79.3-0.0808860000000126</f>
        <v>2229.1239719999999</v>
      </c>
      <c r="AC48" s="3">
        <f>2187.4+(516.3-474)+(-4.462296+(-1.053252--0.96696))+0--78.3-0.159731999999997</f>
        <v>2303.2916799999998</v>
      </c>
      <c r="AD48">
        <v>2177.2999999999997</v>
      </c>
      <c r="AE48" s="3">
        <f>2165.2+(355.2-422.5)+(0+(0-0))+0--79.4-0</f>
        <v>2177.2999999999997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2217.7+(437.5-397)+(0+(0-0))+0--69.8-0</f>
        <v>2328</v>
      </c>
      <c r="G49" s="3">
        <f>2183.7+(302.7-301.7)+(-1.113687+(-0.154377--0.153867))+0--72.5-0.0369749999999926</f>
        <v>2256.048828</v>
      </c>
      <c r="H49" s="3">
        <f>2221.6+(192.9-306.1)+(-7.931112+(-0.688653--1.092777))+0--74.8-0.267036000000001</f>
        <v>2175.405976</v>
      </c>
      <c r="I49" s="3">
        <f>2221.3+(235.3-281)+(-3.398589+(-0.360009--0.42993))+0--75.3-0.115209000000004</f>
        <v>2247.4561230000004</v>
      </c>
      <c r="J49" s="3">
        <f>2233.9+(206-320.3)+(0+(0-0))+0--75-0</f>
        <v>2194.6</v>
      </c>
      <c r="K49" s="3">
        <f>2241.7+(174.3-468.4)+(-1.143267+(-0.088893--0.238884))+0--75.2-0.0383519999999924</f>
        <v>2021.768372</v>
      </c>
      <c r="L49" s="3">
        <f>2055.3+(208.4-482)+(-1.048203+(-0.106284--0.24582))+0--74.8-0.0381479999999924</f>
        <v>1855.5531850000002</v>
      </c>
      <c r="M49" s="3">
        <f>2042.6+(202.5-412.6)+(1.041726+(0.103275-0.210426))+0--74--0.0377399999999925</f>
        <v>1907.472315</v>
      </c>
      <c r="N49" s="3">
        <f>2068.8+(207-343.8)+(2.110176+(0.21114-0.350676))+0--73.3--0.0747660000000117</f>
        <v>2007.3454060000001</v>
      </c>
      <c r="O49" s="3">
        <f>2091.3+(208.8-318.7)+(0+(0-0))+0--71.5-0</f>
        <v>2052.9</v>
      </c>
      <c r="P49" s="3">
        <f>2171.8+(281.2-339.8)+(0+(0-0))+0--70.6-0</f>
        <v>2183.8000000000002</v>
      </c>
      <c r="Q49" s="3">
        <f>2157.8+(395.2-356)+(1.100478+(0.201552-0.18156))+0--71.5--0.0364649999999927</f>
        <v>2269.656935</v>
      </c>
      <c r="R49" s="3">
        <f>2148.5+(493.4-323.2)+(2.19147+(0.503268-0.329664))+0--75.7--0.0772140000000121</f>
        <v>2396.8422879999994</v>
      </c>
      <c r="S49" s="3">
        <f>2140.6+(576.3-299.9)+(-1.091706+(-0.293913--0.152949))+0--74.4-0.0379439999999925</f>
        <v>2490.1293860000001</v>
      </c>
      <c r="T49" s="3">
        <f>2139.1+(644.5-285)+(0+(0-0))+0--71.6-0</f>
        <v>2570.1999999999998</v>
      </c>
      <c r="U49" s="3">
        <f>2218.6+(611.4-299.5)+(0+(0-0))+0--76.7-0</f>
        <v>2607.1999999999998</v>
      </c>
      <c r="V49" s="3">
        <f>2251.6+(460.1-268.5)+(-4.593264+(-0.938604--0.54774))+0--79.7-0.162587999999997</f>
        <v>2517.7532839999994</v>
      </c>
      <c r="W49" s="3">
        <f>2253.9+(265-256.7)+(-4.597956+(-0.5406--0.523668))+0--77-0.157079999999997</f>
        <v>2334.4280320000003</v>
      </c>
      <c r="X49" s="3">
        <f>2235.8+(254.7-405.3)+(-9.122064+(-1.039176--1.653624))+0--75.1-0.306407999999993</f>
        <v>2151.4859760000004</v>
      </c>
      <c r="Y49" s="3">
        <f>2172+(236-388.3)+(-5.5386+(-0.6018--0.990165))+0--78.1-0.199154999999989</f>
        <v>2092.4506100000003</v>
      </c>
      <c r="Z49" s="3">
        <f>2345.1+(198.3-324.9)+(-3.588003+(-0.303399--0.497097))+0--78.2-0.119646000000005</f>
        <v>2293.1860489999999</v>
      </c>
      <c r="AA49" s="3">
        <f>2416.2+(207.2-348.6)+(-7.393572+(-0.634032--1.066716))+0--78.5-0.240210000000009</f>
        <v>2346.0989019999997</v>
      </c>
      <c r="AB49" s="3">
        <f>2430.1+(217.5-360.4)+(-2.478702+(-0.22185--0.367608))+0--80.6-0.0822120000000128</f>
        <v>2365.3848439999997</v>
      </c>
      <c r="AC49" s="3">
        <f>2405+(286.8-346.9)+(-2.4531+(-0.292536--0.353838))+0--76.7-0.0782340000000122</f>
        <v>2419.1299679999997</v>
      </c>
      <c r="AD49">
        <v>2359.1000000000004</v>
      </c>
      <c r="AE49" s="3">
        <f>2414+(211.8-344.7)+(0+(0-0))+0--78-0</f>
        <v>2359.1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2276+(292.2-331.6)+(-5.8038+(-0.74511--0.84558))+96.6--85.8-0.218789999999988</f>
        <v>2413.0778800000003</v>
      </c>
      <c r="G50" s="3">
        <f>2134.6+(367.4-268.8)+(-2.177292+(-0.374748--0.274176))+20--87.3-0.0890460000000139</f>
        <v>2338.1330899999998</v>
      </c>
      <c r="H50" s="3">
        <f>2148.5+(313.2-258.3)+(-2.19147+(-0.319464--0.263466))+20--86.7-0.0884340000000138</f>
        <v>2307.7640979999996</v>
      </c>
      <c r="I50" s="3">
        <f>2146.6+(294.2-277.8)+(0+(0-0))+1.7--87.4-0</f>
        <v>2252.1</v>
      </c>
      <c r="J50" s="3">
        <f>2159.7+(265.6-308.1)+(2.202894+(0.270912-0.314262))+0--87.6--0.089352000000014</f>
        <v>2207.0488959999998</v>
      </c>
      <c r="K50" s="3">
        <f>2155.9+(271.8-362.2)+(-5.497545+(-0.69309--0.92361))+0--87-0.221849999999987</f>
        <v>2147.011125</v>
      </c>
      <c r="L50" s="3">
        <f>2077.7+(354.1-540.9)+(-5.298135+(-0.902955--1.379295))+0--88.4-0.225419999999987</f>
        <v>1974.2527849999999</v>
      </c>
      <c r="M50" s="3">
        <f>2051+(298.1-486.4)+(0+(0-0))+0--88.7-0</f>
        <v>1951.4</v>
      </c>
      <c r="N50" s="3">
        <f>2182+(267.8-464.6)+(-2.22564+(-0.273156--0.473892))+0--87.3-0.0890460000000139</f>
        <v>2070.3860500000001</v>
      </c>
      <c r="O50" s="3">
        <f>2344.8+(209-507.7)+(-4.783392+(-0.42636--1.035708))+0--86.1-0.175643999999996</f>
        <v>2127.850312</v>
      </c>
      <c r="P50" s="3">
        <f>2382.3+(207.7-401.7)+(-1.214973+(-0.105927--0.204867))+0--84.1-0.0428909999999915</f>
        <v>2271.2410760000002</v>
      </c>
      <c r="Q50" s="3">
        <f>2410.9+(249.7-430.7)+(0+(0-0))+0--82.4-0</f>
        <v>2312.3000000000002</v>
      </c>
      <c r="R50" s="3">
        <f>2400.4+(330.8-418.3)+(-4.896816+(-0.674832--0.853332))+0--79.2-0.161567999999997</f>
        <v>2387.220116</v>
      </c>
      <c r="S50" s="3">
        <f>2478.6+(375.2-474.3)+(-7.584516+(-1.148112--1.451358))+0--81.1-0.248166000000009</f>
        <v>2453.0705640000001</v>
      </c>
      <c r="T50" s="3">
        <f>2519.4+(382.5-460.7)+(-5.139576+(-0.7803--0.939828))+0--82-0.167279999999996</f>
        <v>2518.0526720000003</v>
      </c>
      <c r="U50" s="3">
        <f>2491+(397.9-409.4)+(0+(0-0))+0--82.8-0</f>
        <v>2562.3000000000002</v>
      </c>
      <c r="V50" s="3">
        <f>2452.9+(297.6-365.3)+(-6.254895+(-0.75888--0.931515))+0--84.1-0.214454999999988</f>
        <v>2463.0032850000002</v>
      </c>
      <c r="W50" s="3">
        <f>2338.2+(230.1-357.1)+(-5.96241+(-0.586755--0.910605))+0--81-0.206549999999988</f>
        <v>2286.3548900000001</v>
      </c>
      <c r="X50" s="3">
        <f>2172.8+(231-391.4)+(-4.432512+(-0.47124--0.798456))+0--79.4-0.161975999999997</f>
        <v>2087.5327280000001</v>
      </c>
      <c r="Y50" s="3">
        <f>2114+(276.2-396.3)+(-1.07814+(-0.140862--0.202113))+0--82.1-0.0418709999999917</f>
        <v>2074.9412400000001</v>
      </c>
      <c r="Z50" s="3">
        <f>2373.2+(181.1-369.6)+(-1.210332+(-0.092361--0.188496))+0--82-0.0418199999999917</f>
        <v>2265.543983</v>
      </c>
      <c r="AA50" s="3">
        <f>2529.8+(165.3-466.3)+(-1.290198+(-0.084303--0.237813))+0--84.7-0.0431969999999914</f>
        <v>2312.320115</v>
      </c>
      <c r="AB50" s="3">
        <f>2525.4+(184.8-455.3)+(-1.287954+(-0.094248--0.232203))+0--85.1-0.0434009999999914</f>
        <v>2338.8065999999999</v>
      </c>
      <c r="AC50" s="3">
        <f>2544.2+(205.6-429.7)+(-6.48771+(-0.52428--1.095735))+0--87.7-0.223634999999987</f>
        <v>2401.6601099999998</v>
      </c>
      <c r="AD50">
        <v>2300.6</v>
      </c>
      <c r="AE50" s="3">
        <f>2517.2+(170.4-468)+(0+(0-0))+0--81-0</f>
        <v>2300.6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2544.6+(213.3-444.8)+(-2.595492+(-0.217566--0.453696))+0--87-0.0887400000000139</f>
        <v>2397.6518979999996</v>
      </c>
      <c r="G51" s="3">
        <f>2549.6+(178.2-487.8)+(-5.201184+(-0.363528--0.995112))+0--88.2-0.179927999999996</f>
        <v>2323.450472</v>
      </c>
      <c r="H51" s="3">
        <f>2558.2+(146-534)+(0+(0-0))+0--88.3-0</f>
        <v>2258.5</v>
      </c>
      <c r="I51" s="3">
        <f>2568.4+(140.6-589.1)+(-6.54942+(-0.35853--1.502205))+0--88.8-0.226439999999987</f>
        <v>2203.0678150000003</v>
      </c>
      <c r="J51" s="3">
        <f>2563.8+(141.2-633.4)+(-6.53769+(-0.36006--1.61517))+0--89-0.226949999999987</f>
        <v>2155.0904700000006</v>
      </c>
      <c r="K51" s="3">
        <f>2425.8+(150.4-582)+(-2.474316+(-0.153408--0.59364))+0--88.9-0.0906780000000142</f>
        <v>2080.9752380000004</v>
      </c>
      <c r="L51" s="3">
        <f>2243.7+(202.6-625.7)+(-8.010009+(-0.723282--2.233749))+0--89.3-0.318801000000001</f>
        <v>1903.081657</v>
      </c>
      <c r="M51" s="3">
        <f>2229.4+(179.8-579.5)+(3.410982+(0.275094-0.886635))+0--87.3--0.133569000000005</f>
        <v>1919.93301</v>
      </c>
      <c r="N51" s="3">
        <f>2403+(166.8-599.6)+(2.45106+(0.170136-0.611592))+0--87.1--0.0888420000000139</f>
        <v>2059.3984460000001</v>
      </c>
      <c r="O51" s="3">
        <f>2462.6+(164.4-585.2)+(-2.511852+(-0.167688--0.596904))+0--85.3-0.0870060000000136</f>
        <v>2124.9303579999996</v>
      </c>
      <c r="P51" s="3">
        <f>2438.6+(170.7-486.5)+(-3.731058+(-0.261171--0.744345))+0--81.9-0.125307000000005</f>
        <v>2201.3268090000001</v>
      </c>
      <c r="Q51" s="3">
        <f>2430+(185.7-404.7)+(1.2393+(0.094707-0.206397))+0--78.6--0.040085999999992</f>
        <v>2290.7676959999999</v>
      </c>
      <c r="R51" s="3">
        <f>2438.3+(262.6-415.1)+(-2.487066+(-0.267852--0.423402))+0--82.5-0.0841500000000132</f>
        <v>2365.8843339999999</v>
      </c>
      <c r="S51" s="3">
        <f>2479.1+(344.7-430.9)+(-2.528682+(-0.351594--0.439518))+0--84.5-0.0861900000000135</f>
        <v>2474.8730519999999</v>
      </c>
      <c r="T51" s="3">
        <f>2470.1+(423.5-403)+(-2.519502+(-0.43197--0.41106))+0--83.5-0.0851700000000133</f>
        <v>2571.4744180000002</v>
      </c>
      <c r="U51" s="3">
        <f>2506.4+(401.6-358)+(-6.39132+(-1.02408--0.9129))+0--83.4-0.212669999999988</f>
        <v>2626.6848300000001</v>
      </c>
      <c r="V51" s="3">
        <f>2468.3+(291.3-320.4)+(-2.517666+(-0.297126--0.326808))+0--83.8-0.0854760000000134</f>
        <v>2520.4265400000004</v>
      </c>
      <c r="W51" s="3">
        <f>2500.9+(174.9-418)+(-8.928213+(-0.624393--1.49226))+0--84-0.299880000000001</f>
        <v>2333.4397739999999</v>
      </c>
      <c r="X51" s="3">
        <f>2479.5+(210.4-603.8)+(-8.851815+(-0.751128--2.155566))+0--84.4-0.301308000000001</f>
        <v>2162.751315</v>
      </c>
      <c r="Y51" s="3">
        <f>2208.9+(235.7-441)+(-2.253078+(-0.240414--0.44982))+0--83.2-0.0848640000000133</f>
        <v>2084.671464</v>
      </c>
      <c r="Z51" s="3">
        <f>2522.6+(157.5-485.3)+(-3.859578+(-0.240975--0.742509))+0--85.2-0.130356000000005</f>
        <v>2276.5115999999994</v>
      </c>
      <c r="AA51" s="3">
        <f>2705.5+(154.8-606.6)+(-6.899025+(-0.39474--1.54683))+0--87.3-0.222614999999987</f>
        <v>2335.0304499999997</v>
      </c>
      <c r="AB51" s="3">
        <f>2728.8+(147-622.9)+(0+(0-0))+0--87.5-0</f>
        <v>2340.4</v>
      </c>
      <c r="AC51" s="3">
        <f>2746.3+(143.9-588)+(-8.403678+(-0.440334--1.79928))+0--88.6-0.27111600000001</f>
        <v>2383.4841520000004</v>
      </c>
      <c r="AD51">
        <v>2357.1999999999998</v>
      </c>
      <c r="AE51" s="3">
        <f>2664.7+(178.9-569.4)+(0+(0-0))+0--83-0</f>
        <v>2357.1999999999998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2758.1+(169.6-588.2)+(0+(0-0))+0--89.4-0</f>
        <v>2428.9</v>
      </c>
      <c r="G52" s="3">
        <f>2764.1+(163.9-643.7)+(-5.638764+(-0.334356--1.313148))+0--88.5-0.180539999999996</f>
        <v>2367.959488</v>
      </c>
      <c r="H52" s="3">
        <f>2632.5+(165.5-589.9)+(-4.027725+(-0.253215--0.902547))+0--88.4-0.135252000000005</f>
        <v>2292.986355</v>
      </c>
      <c r="I52" s="3">
        <f>2583.4+(159.4-586.8)+(-2.635068+(-0.162588--0.598536))+0--88.3-0.0900660000000141</f>
        <v>2242.0108139999998</v>
      </c>
      <c r="J52" s="3">
        <f>2667.3+(156.6-695.4)+(-5.441292+(-0.319464--1.418616))+0--89.5-0.182579999999996</f>
        <v>2213.4752799999997</v>
      </c>
      <c r="K52" s="3">
        <f>2638.6+(163.5-732.9)+(-6.72843+(-0.416925--1.868895))+0--89.9-0.229244999999987</f>
        <v>2153.5942949999999</v>
      </c>
      <c r="L52" s="3">
        <f>2329.3+(323.8-756.9)+(-2.375886+(-0.330276--0.772038))+0--89-0.0907800000000142</f>
        <v>1983.1750960000002</v>
      </c>
      <c r="M52" s="3">
        <f>2370.4+(308.8-758.5)+(-7.253424+(-0.944928--2.32101))+0--88.6-0.27111600000001</f>
        <v>2003.1515419999998</v>
      </c>
      <c r="N52" s="3">
        <f>2269.9+(263.3-509.5)+(2.315298+(0.268566-0.51969))+0--87--0.0887400000000139</f>
        <v>2112.8529140000001</v>
      </c>
      <c r="O52" s="3">
        <f>2273.3+(226.1-492.7)+(0+(0-0))+0--84.5-0</f>
        <v>2091.2000000000003</v>
      </c>
      <c r="P52" s="3">
        <f>2516.6+(186.2-524.9)+(-2.566932+(-0.189924--0.535398))+0--88-0.089760000000014</f>
        <v>2263.5887820000003</v>
      </c>
      <c r="Q52" s="3">
        <f>2537.6+(185.5-446.7)+(-2.588352+(-0.18921--0.455634))+0--107.2-0.109344000000017</f>
        <v>2381.1687280000001</v>
      </c>
      <c r="R52" s="3">
        <f>2504.8+(260.1-422.8)+(-2.554896+(-0.265302--0.431256))+0--178.9-0.182478000000029</f>
        <v>2518.4285800000002</v>
      </c>
      <c r="S52" s="3">
        <f>2483.3+(395.2-452.6)+(0+(0-0))+0--201.7-0</f>
        <v>2627.6</v>
      </c>
      <c r="T52" s="3">
        <f>2469.5+(519.9-451)+(1.259445+(0.265149-0.23001))+0--202.9--0.103478999999979</f>
        <v>2742.6980630000003</v>
      </c>
      <c r="U52" s="3">
        <f>2465.6+(543.8-453.7)+(-1.257456+(-0.277338--0.231387))+0--204.2-0.104141999999979</f>
        <v>2758.4924509999996</v>
      </c>
      <c r="V52" s="3">
        <f>2468.4+(418.2-402.9)+(-6.29442+(-1.06641--1.027395))+0--203.8-0.51968999999997</f>
        <v>2680.6468750000004</v>
      </c>
      <c r="W52" s="3">
        <f>2391+(234.4-320.8)+(-8.53587+(-0.836808--1.145256))+0--188.1-0.671517000000003</f>
        <v>2483.8010609999997</v>
      </c>
      <c r="X52" s="3">
        <f>2155.3+(286-264.8)+(-4.396812+(-0.58344--0.540192))+0--81.8-0.166871999999996</f>
        <v>2253.6930680000005</v>
      </c>
      <c r="Y52" s="3">
        <f>2071.6+(269.8-246.2)+(-5.28258+(-0.68799--0.62781))+0--82.4-0.210119999999988</f>
        <v>2172.0471199999997</v>
      </c>
      <c r="Z52" s="3">
        <f>2390.7+(241.3-331.8)+(-3.657771+(-0.369189--0.507654))+0--82.7-0.126531000000005</f>
        <v>2379.2541629999996</v>
      </c>
      <c r="AA52" s="3">
        <f>2520+(238.6-393)+(0+(0-0))+0--83.2-0</f>
        <v>2448.7999999999997</v>
      </c>
      <c r="AB52" s="3">
        <f>2537+(290-441.5)+(-1.29387+(-0.1479--0.225165))+0--83.6-0.0426359999999915</f>
        <v>2467.8407589999997</v>
      </c>
      <c r="AC52" s="3">
        <f>2544.4+(334.3-436.3)+(-1.297644+(-0.170493--0.222513))+0--84.1-0.0428909999999915</f>
        <v>2525.2114849999998</v>
      </c>
      <c r="AD52">
        <v>2420.1999999999998</v>
      </c>
      <c r="AE52" s="3">
        <f>2510.5+(217.5-387.8)+(0+(0-0))+0--80-0</f>
        <v>2420.1999999999998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2471.9+(378.2-400.3)+(-1.260669+(-0.192882--0.204153))+0--76.1-0.0388109999999923</f>
        <v>2524.6117910000003</v>
      </c>
      <c r="G53" s="3">
        <f>2434.3+(333.9-383.4)+(-3.724479+(-0.510867--0.586602))+0--75.9-0.116127000000004</f>
        <v>2456.9351290000004</v>
      </c>
      <c r="H53" s="3">
        <f>2397.4+(284.4-348.3)+(-6.11337+(-0.72522--0.888165))+0--77.9-0.198644999999989</f>
        <v>2405.2509300000002</v>
      </c>
      <c r="I53" s="3">
        <f>2350+(270.7-341.7)+(-5.9925+(-0.690285--0.871335))+0--78.7-0.200684999999989</f>
        <v>2351.6878649999999</v>
      </c>
      <c r="J53" s="3">
        <f>2305.6+(233.8-311.1)+(1.175856+(0.119238-0.158661))+0--78--0.0397799999999921</f>
        <v>2307.4762129999999</v>
      </c>
      <c r="K53" s="3">
        <f>2266+(223.6-338.5)+(-1.15566+(-0.114036--0.172635))+0--79.2-0.040391999999992</f>
        <v>2229.1625469999999</v>
      </c>
      <c r="L53" s="3">
        <f>2245.7+(191.4-483.5)+(-4.581228+(-0.390456--0.98634))+0--79.4-0.161975999999997</f>
        <v>2028.85268</v>
      </c>
      <c r="M53" s="3">
        <f>2309.1+(160.3-506.9)+(2.355282+(0.163506-0.517038))+0--79.6--0.0811920000000127</f>
        <v>2044.1829419999999</v>
      </c>
      <c r="N53" s="3">
        <f>2473.1+(159.3-571.8)+(2.522562+(0.162486-0.583236))+0--79.4--0.0809880000000127</f>
        <v>2142.1828</v>
      </c>
      <c r="O53" s="3">
        <f>2889.6+(140.2-879.4)+(1.473696+(0.071502-0.448494))+0--78.6--0.040085999999992</f>
        <v>2230.1367899999996</v>
      </c>
      <c r="P53" s="3">
        <f>2964.2+(141.1-867)+(-1.511742+(-0.071961--0.44217))+0--77.3-0.0394229999999922</f>
        <v>2314.4190439999998</v>
      </c>
      <c r="Q53" s="3">
        <f>2976.7+(139.6-813.6)+(-4.554351+(-0.213588--1.244808))+0--124.1-0.189873000000007</f>
        <v>2423.086996</v>
      </c>
      <c r="R53" s="3">
        <f>2943.1+(196.2-702.9)+(-3.001962+(-0.200124--0.716958))+0--142.5-0.145350000000023</f>
        <v>2576.2695220000001</v>
      </c>
      <c r="S53" s="3">
        <f>2934.2+(292-700.9)+(-2.992884+(-0.29784--0.714918))+0--161.3-0.164526000000026</f>
        <v>2683.8596680000001</v>
      </c>
      <c r="T53" s="3">
        <f>2913.8+(366.9-688.3)+(-1.486038+(-0.187119--0.351033))+0--196.3-0.10011299999998</f>
        <v>2787.2777630000005</v>
      </c>
      <c r="U53" s="3">
        <f>2892.5+(352.4-650.5)+(-7.375875+(-0.89862--1.658775))+0--196.4-0.500819999999972</f>
        <v>2783.6834600000007</v>
      </c>
      <c r="V53" s="3">
        <f>2910.4+(190-604.3)+(-1.484304+(-0.0969--0.308193))+0--194.9-0.0993989999999802</f>
        <v>2689.6275900000001</v>
      </c>
      <c r="W53" s="3">
        <f>2982.1+(129.9-823.7)+(-10.646097+(-0.463743--2.940609))+0--195.8-0.699006000000003</f>
        <v>2475.2317630000002</v>
      </c>
      <c r="X53" s="3">
        <f>2710.4+(132.8-788.9)+(-5.529216+(-0.270912--1.609356))+0--196.3-0.400451999999991</f>
        <v>2246.0087760000006</v>
      </c>
      <c r="Y53" s="3">
        <f>2497.8+(142.3-681)+(-5.095512+(-0.290292--1.38924))+0--196.8-0.401471999999991</f>
        <v>2151.501964</v>
      </c>
      <c r="Z53" s="3">
        <f>3052.8+(131.7-998.3)+(-4.670784+(-0.201501--1.527399))+0--197.3-0.301869000000011</f>
        <v>2379.8532450000007</v>
      </c>
      <c r="AA53" s="3">
        <f>3187.7+(127.7-1070)+(-6.502908+(-0.260508--2.1828))+0--199-0.405959999999991</f>
        <v>2439.4134239999994</v>
      </c>
      <c r="AB53" s="3">
        <f>3106.2+(128.5-977.8)+(-3.168324+(-0.13107--0.997356))+0--200.9-0.204918000000032</f>
        <v>2455.293044</v>
      </c>
      <c r="AC53" s="3">
        <f>2973.8+(127.4-797.6)+(-6.066552+(-0.259896--1.627104))+0--201.3-0.410651999999991</f>
        <v>2499.7900040000004</v>
      </c>
      <c r="AD53">
        <v>2456.3000000000002</v>
      </c>
      <c r="AE53" s="3">
        <f>3182.5+(130.4-1057.6)+(0+(0-0))+0--201-0</f>
        <v>2456.3000000000002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3026.8+(144-820.5)+(-4.631004+(-0.22032--1.255365))+0--203.7-0.311661000000012</f>
        <v>2550.0923799999996</v>
      </c>
      <c r="G54" s="3">
        <f>2997+(131.7-832.5)+(-4.58541+(-0.201501--1.273725))+0--206.3-0.315639000000012</f>
        <v>2498.6711749999999</v>
      </c>
      <c r="H54" s="3">
        <f>2756+(132-659.4)+(-5.62224+(-0.26928--1.345176))+0--209.3-0.426971999999991</f>
        <v>2432.926684</v>
      </c>
      <c r="I54" s="3">
        <f>2692.6+(126.8-651.8)+(0+(0-0))+0--209.7-0</f>
        <v>2377.2999999999997</v>
      </c>
      <c r="J54" s="3">
        <f>2756.2+(124.9-750.4)+(-2.811324+(-0.127398--0.765408))+0--212-0.216240000000034</f>
        <v>2340.3104459999995</v>
      </c>
      <c r="K54" s="3">
        <f>2765.4+(127.9-828)+(0+(0-0))+0--210.7-0</f>
        <v>2276</v>
      </c>
      <c r="L54" s="3">
        <f>2633+(127.1-884.4)+(-6.71415+(-0.324105--2.25522))+0--212.1-0.540854999999969</f>
        <v>2082.4761100000001</v>
      </c>
      <c r="M54" s="3">
        <f>2331.8+(152.6-688.5)+(2.378436+(0.155652-0.70227))+0--211.4--0.215628000000034</f>
        <v>2009.3474460000002</v>
      </c>
      <c r="N54" s="3">
        <f>2266.3+(158.4-619)+(1.155813+(0.080784-0.31569))+0--210.9--0.107558999999979</f>
        <v>2017.6284660000003</v>
      </c>
      <c r="O54" s="3">
        <f>2346.8+(147.2-616.2)+(-2.393736+(-0.150144--0.628524))+0--206.6-0.210732000000033</f>
        <v>2082.2739120000001</v>
      </c>
      <c r="P54" s="3">
        <f>2573.9+(126.2-750.8)+(-1.312689+(-0.064362--0.382908))+0--202.2-0.103121999999979</f>
        <v>2150.4027350000001</v>
      </c>
      <c r="Q54" s="3">
        <f>2635.3+(133.2-692.2)+(2.688006+(0.135864-0.706044))+0--198.4--0.202368000000032</f>
        <v>2277.0201940000006</v>
      </c>
      <c r="R54" s="3">
        <f>2606.9+(258.8-659.2)+(5.318076+(0.527952-1.344768))+0--205.9--0.420035999999991</f>
        <v>2417.3212960000001</v>
      </c>
      <c r="S54" s="3">
        <f>2672+(316.9-695.6)+(-1.36272+(-0.161619--0.354756))+0--205.8-0.104957999999979</f>
        <v>2497.8254590000006</v>
      </c>
      <c r="T54" s="3">
        <f>2697.9+(350.2-688.8)+(-6.879645+(-0.89301--1.75644))+0--205.9-0.52504499999997</f>
        <v>2558.6587400000003</v>
      </c>
      <c r="U54" s="3">
        <f>2647.7+(361.5-639.5)+(-5.401308+(-0.73746--1.30458))+0--204.8-0.417791999999991</f>
        <v>2569.24802</v>
      </c>
      <c r="V54" s="3">
        <f>2585.5+(325.4-571.1)+(-3.955815+(-0.497862--0.873783))+0--205.3-0.314109000000012</f>
        <v>2541.2059970000005</v>
      </c>
      <c r="W54" s="3">
        <f>2308.9+(268.2-375.2)+(-7.065234+(-0.820692--1.148112))+0--206.4-0.631584000000024</f>
        <v>2400.9306019999999</v>
      </c>
      <c r="X54" s="3">
        <f>2134.7+(193.7-365)+(-5.443485+(-0.493935--0.93075))+0--189.9-0.484244999999972</f>
        <v>2147.8090849999999</v>
      </c>
      <c r="Y54" s="3">
        <f>2190.9+(152.6-442.6)+(0+(0-0))+0--152.5-0</f>
        <v>2053.4</v>
      </c>
      <c r="Z54" s="3">
        <f>2583.8+(148.6-608)+(-5.270952+(-0.303144--1.24032))+0--153.2-0.312527999999993</f>
        <v>2272.953696</v>
      </c>
      <c r="AA54" s="3">
        <f>2705.7+(161.6-644.7)+(-4.139721+(-0.247248--0.986391))+0--153.2-0.234396000000009</f>
        <v>2372.1650259999997</v>
      </c>
      <c r="AB54" s="3">
        <f>2657.1+(211-593.9)+(0+(0-0))+0--153.7-0</f>
        <v>2427.8999999999996</v>
      </c>
      <c r="AC54" s="3">
        <f>2656.4+(224.1-515.5)+(-2.709528+(-0.228582--0.52581))+0--154.5-0.157590000000025</f>
        <v>2516.9301100000002</v>
      </c>
      <c r="AD54">
        <v>2363.8000000000002</v>
      </c>
      <c r="AE54" s="3">
        <f>2727.2+(147.9-662.3)+(0+(0-0))+0--151-0</f>
        <v>2363.7999999999997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2656.1+(205.9-480.2)+(-4.063833+(-0.315027--0.734706))+0--149.8-0.229194000000009</f>
        <v>2527.7266520000003</v>
      </c>
      <c r="G55" s="3">
        <f>2660.7+(169.4-503.6)+(-6.784785+(-0.43197--1.28418))+0--150.8-0.384539999999978</f>
        <v>2470.9828850000004</v>
      </c>
      <c r="H55" s="3">
        <f>2680.5+(149-568.6)+(1.367055+(0.07599-0.289986))+0--151.7--0.0773669999999846</f>
        <v>2413.830426</v>
      </c>
      <c r="I55" s="3">
        <f>2643.5+(154-578.3)+(-5.39274+(-0.31416--1.179732))+0--152.2-0.310487999999993</f>
        <v>2366.5623439999995</v>
      </c>
      <c r="J55" s="3">
        <f>2280.4+(258.1-371.7)+(-3.489012+(-0.394893--0.568701))+0--152.7-0.233631000000009</f>
        <v>2315.9511649999999</v>
      </c>
      <c r="K55" s="3">
        <f>2230.9+(267-396.9)+(-4.551036+(-0.54468--0.809676))+0--152.2-0.310487999999993</f>
        <v>2248.6034719999998</v>
      </c>
      <c r="L55" s="3">
        <f>2248+(270.8-589.9)+(-5.7324+(-0.69054--1.504245))+0--152.4-0.388619999999978</f>
        <v>2075.9926849999997</v>
      </c>
      <c r="M55" s="3">
        <f>2359+(227.6-679.2)+(0+(0-0))+0--151.3-0</f>
        <v>2058.7000000000003</v>
      </c>
      <c r="N55" s="3">
        <f>2731.9+(154.3-825.1)+(-6.966345+(-0.393465--2.104005))+0--149.7-0.381734999999978</f>
        <v>2205.1624600000005</v>
      </c>
      <c r="O55" s="3">
        <f>3073.2+(147.7-1054.4)+(-4.701996+(-0.225981--1.613232))+0--148.9-0.227817000000009</f>
        <v>2311.857438</v>
      </c>
      <c r="P55" s="3">
        <f>3243.9+(145.5-1144.3)+(-3.308778+(-0.14841--1.167186))+0--185.4-0.18910800000003</f>
        <v>2428.0208900000002</v>
      </c>
      <c r="Q55" s="3">
        <f>3236.8+(145.8-1029.1)+(0+(0-0))+0--210.9-0</f>
        <v>2564.4</v>
      </c>
      <c r="R55" s="3">
        <f>3256.2+(148.2-900.9)+(-4.981986+(-0.226746--1.378377))+0--210.5-0.322065000000012</f>
        <v>2709.8475800000001</v>
      </c>
      <c r="S55" s="3">
        <f>3323.6+(150.6-881.3)+(-6.780144+(-0.307224--1.797852))+0--213.7-0.435947999999991</f>
        <v>2800.8745360000003</v>
      </c>
      <c r="T55" s="3">
        <f>3330.4+(201.9-863.8)+(-6.794016+(-0.411876--1.762152))+0--212.3-0.433091999999991</f>
        <v>2874.9231679999998</v>
      </c>
      <c r="U55" s="3">
        <f>3328.3+(191.6-844.3)+(-1.697433+(-0.097716--0.430593))+0--209.9-0.107048999999979</f>
        <v>2884.0283950000003</v>
      </c>
      <c r="V55" s="3">
        <f>3320+(146.8-875)+(0+(0-0))+0--203-0</f>
        <v>2794.8</v>
      </c>
      <c r="W55" s="3">
        <f>3287.5+(149-1045.6)+(-10.05975+(-0.45594--3.199536))+0--211.6-0.647496000000024</f>
        <v>2594.5363499999999</v>
      </c>
      <c r="X55" s="3">
        <f>2953.3+(168.8-996.8)+(-13.555647+(-0.774792--4.575312))+0--199.5-0.915705000000035</f>
        <v>2314.1291680000004</v>
      </c>
      <c r="Y55" s="3">
        <f>2560.4+(248.4-721.6)+(-2.611608+(-0.253368--0.736032))+0--161.8-0.165036000000026</f>
        <v>2246.7060200000001</v>
      </c>
      <c r="Z55" s="3">
        <f>3049.9+(164-960.6)+(-4.666347+(-0.25092--1.469718))+0--192.3-0.294219000000011</f>
        <v>2441.8582320000005</v>
      </c>
      <c r="AA55" s="3">
        <f>3338.8+(146.7-1169.3)+(-5.108364+(-0.224451--1.789029))+0--210.7-0.322371000000012</f>
        <v>2523.0338429999997</v>
      </c>
      <c r="AB55" s="3">
        <f>3246.8+(143.4-1056.8)+(-1.655868+(-0.073134--0.538968))+0--213-0.108629999999978</f>
        <v>2545.1013359999997</v>
      </c>
      <c r="AC55" s="3">
        <f>2919.7+(141.6-698.7)+(-2.978094+(-0.144432--0.712674))+0--214.7-0.218994000000034</f>
        <v>2574.6711540000001</v>
      </c>
      <c r="AD55">
        <v>2553</v>
      </c>
      <c r="AE55" s="3">
        <f>3316.2+(158.3-1132.7)+(0+(0-0))+0--211.2-0</f>
        <v>2552.9999999999995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2904.8+(148-680.2)+(-2.962896+(-0.15096--0.693804))+0--215.6-0.219912000000034</f>
        <v>2585.5600360000003</v>
      </c>
      <c r="G56" s="3">
        <f>2869.5+(145.9-701.1)+(-8.78067+(-0.446454--2.145366))+0--215.7-0.660042000000025</f>
        <v>2522.2582000000002</v>
      </c>
      <c r="H56" s="3">
        <f>2863.6+(144.1-572.9)+(-4.381308+(-0.220473--0.876537))+0--217.5-0.332775000000013</f>
        <v>2648.2419810000001</v>
      </c>
      <c r="I56" s="3">
        <f>2773.2+(153.6-636.4)+(-2.828664+(-0.156672--0.649128))+0--214.9-0.219198000000034</f>
        <v>2502.7445939999993</v>
      </c>
      <c r="J56" s="3">
        <f>2684.3+(177.8-613.7)+(-5.475972+(-0.362712--1.251948))+0--216.7-0.442067999999991</f>
        <v>2460.0711959999999</v>
      </c>
      <c r="K56" s="3">
        <f>2477.4+(254.6-523.7)+(-8.844318+(-0.908922--1.869609))+0--192.7-0.687939000000003</f>
        <v>2392.4284299999999</v>
      </c>
      <c r="L56" s="3">
        <f>2301.6+(340.7-675.7)+(-2.347632+(-0.347514--0.689214))+0--151.9-0.154938000000024</f>
        <v>2116.3391299999998</v>
      </c>
      <c r="M56" s="3">
        <f>2364.7+(315.7-703.7)+(1.205997+(0.161007-0.358887))+0--150.3--0.0766529999999848</f>
        <v>2128.0847699999999</v>
      </c>
      <c r="N56" s="3">
        <f>2485.6+(239.7-641.9)+(2.535312+(0.244494-0.654738))+0--150.4--0.153408000000024</f>
        <v>2236.0784760000001</v>
      </c>
      <c r="O56" s="3">
        <f>2494.8+(220.6-470.5)+(3.817044+(0.337518-0.719865))+0--148.6--0.227358000000009</f>
        <v>2397.1620550000002</v>
      </c>
      <c r="P56" s="3">
        <f>2441.6+(189-338)+(1.245216+(0.09639-0.17238))+0--88.1--0.0449309999999911</f>
        <v>2381.9141569999997</v>
      </c>
      <c r="Q56" s="3">
        <f>2469+(202-310)+(-3.77757+(-0.30906--0.4743))+0--11.8-0.0180540000000007</f>
        <v>2369.1696160000001</v>
      </c>
      <c r="R56" s="3">
        <f>2582.3+(286.7-484.3)+(3.950919+(0.438651-0.740979))+0--167.3--0.25596900000001</f>
        <v>2555.9045600000004</v>
      </c>
      <c r="S56" s="3">
        <f>2761.5+(356.6-601.3)+(-2.81673+(-0.363732--0.613326))+0--210.5-0.214710000000034</f>
        <v>2724.5181539999999</v>
      </c>
      <c r="T56" s="3">
        <f>2760.8+(453.1-604.7)+(-1.408008+(-0.231081--0.308397))+0--211.5-0.107864999999979</f>
        <v>2819.2614430000003</v>
      </c>
      <c r="U56" s="3">
        <f>2742.8+(430-580.6)+(-5.595312+(-0.8772--1.184424))+0--212.2-0.432887999999991</f>
        <v>2798.6790240000005</v>
      </c>
      <c r="V56" s="3">
        <f>2761.1+(255.7-505.1)+(-2.816322+(-0.260814--0.515202))+0--211.7-0.215934000000034</f>
        <v>2720.622132</v>
      </c>
      <c r="W56" s="3">
        <f>2754+(137.8-592.1)+(-8.42724+(-0.421668--1.811826))+0--207.3-0.634338000000024</f>
        <v>2499.3285800000003</v>
      </c>
      <c r="X56" s="3">
        <f>2524.2+(141.1-588.7)+(-5.149368+(-0.287844--1.200948))+0--213.7-0.435947999999991</f>
        <v>2285.6277879999998</v>
      </c>
      <c r="Y56" s="3">
        <f>2330.1+(148-432.1)+(-1.188351+(-0.07548--0.220371))+0--160.9-0.0820589999999837</f>
        <v>2205.7744809999999</v>
      </c>
      <c r="Z56" s="3">
        <f>2582.8+(151.7-486.4)+(-2.634456+(-0.154734--0.496128))+0--189.8-0.19359600000003</f>
        <v>2435.4133420000003</v>
      </c>
      <c r="AA56" s="3">
        <f>2646.2+(161-517.7)+(-4.048686+(-0.24633--0.792081))+0--217.2-0.332316000000013</f>
        <v>2502.8647489999998</v>
      </c>
      <c r="AB56" s="3">
        <f>2574.6+(165.7-438.4)+(0+(0-0))+0--217.4-0</f>
        <v>2519.3000000000002</v>
      </c>
      <c r="AC56" s="3">
        <f>2539.7+(209.6-412.9)+(-3.885741+(-0.320688--0.631737))+0--216.5-0.331245000000013</f>
        <v>2548.9940629999996</v>
      </c>
      <c r="AD56">
        <v>2570.6</v>
      </c>
      <c r="AE56" s="3">
        <f>2727+(168.5-539.9)+(0+(0-0))+0--215-0</f>
        <v>2570.6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2566.4+(220.3-430.2)+(-6.54432+(-0.561765--1.09701))+0--218.2-0.556409999999968</f>
        <v>2568.1345149999997</v>
      </c>
      <c r="G57" s="3">
        <f>2607.2+(167.7-496.7)+(-6.64836+(-0.427635--1.266585))+0--221.1-0.563804999999968</f>
        <v>2492.9267850000001</v>
      </c>
      <c r="H57" s="3">
        <f>2395.9+(227.3-412.7)+(-6.109545+(-0.579615--1.052385))+0--221.9-0.565844999999968</f>
        <v>2426.1973800000001</v>
      </c>
      <c r="I57" s="3">
        <f>2294.3+(238-382.3)+(-2.340186+(-0.24276--0.389946))+0--220.5-0.224910000000035</f>
        <v>2368.0820899999999</v>
      </c>
      <c r="J57" s="3">
        <f>2312+(228.7-435.6)+(-1.17912+(-0.116637--0.222156))+0--219.3-0.111842999999978</f>
        <v>2323.2145559999999</v>
      </c>
      <c r="K57" s="3">
        <f>2297.6+(262.6-518.4)+(-3.515328+(-0.401778--0.793152))+0--219.7-0.336141000000013</f>
        <v>2258.0399049999996</v>
      </c>
      <c r="L57" s="3">
        <f>2266.9+(280.4-646.3)+(-2.312238+(-0.286008--0.659226))+0--159.7-0.162894000000025</f>
        <v>2058.598086</v>
      </c>
      <c r="M57" s="3">
        <f>2439.3+(207.4-757.6)+(0+(0-0))+0--186.2-0</f>
        <v>2075.3000000000002</v>
      </c>
      <c r="N57" s="3">
        <f>2638.5+(158.8-814.5)+(2.69127+(0.161976-0.83079))+0--214--0.218280000000034</f>
        <v>2199.0407359999999</v>
      </c>
      <c r="O57" s="3">
        <f>2854.5+(146.6-935.8)+(0+(0-0))+0--209.8-0</f>
        <v>2275.1000000000004</v>
      </c>
      <c r="P57" s="3">
        <f>2975.1+(145-945)+(0+(0-0))+0--203.1-0</f>
        <v>2378.1999999999998</v>
      </c>
      <c r="Q57" s="3">
        <f>3095.6+(145.5-947.1)+(1.578756+(0.074205-0.483021))+0--203.1--0.103580999999979</f>
        <v>2498.373521</v>
      </c>
      <c r="R57" s="3">
        <f>3125.8+(153.9-787.2)+(-4.782474+(-0.235467--1.204416))+0--209.4-0.320382000000012</f>
        <v>2697.7660930000002</v>
      </c>
      <c r="S57" s="3">
        <f>3120.4+(193.1-698.6)+(-1.591404+(-0.098481--0.356286))+0--206.8-0.105467999999979</f>
        <v>2820.260933</v>
      </c>
      <c r="T57" s="3">
        <f>3102.5+(247.9-643.9)+(-9.49365+(-0.758574--1.970334))+0--206.3-0.631278000000024</f>
        <v>2903.8868320000001</v>
      </c>
      <c r="U57" s="3">
        <f>3066.1+(249.5-583.6)+(-9.382266+(-0.76347--1.785816))+0--205.2-0.627912000000024</f>
        <v>2928.212168</v>
      </c>
      <c r="V57" s="3">
        <f>3041.7+(157.6-549)+(-10.858869+(-0.562632--1.95993))+0--205.7-0.734349000000003</f>
        <v>2845.8040799999999</v>
      </c>
      <c r="W57" s="3">
        <f>2866.3+(175.7-613.9)+(-11.694504+(-0.716856--2.504712))+0--205.8-0.839663999999982</f>
        <v>2623.1536880000003</v>
      </c>
      <c r="X57" s="3">
        <f>2633.8+(234.1-655)+(-9.402666+(-0.835737--2.33835))+0--159.6-0.569772000000002</f>
        <v>2364.0301750000003</v>
      </c>
      <c r="Y57" s="3">
        <f>2414.8+(238.6-565.7)+(-4.926192+(-0.486744--1.154028))+0--149.2-0.304367999999993</f>
        <v>2232.3367240000002</v>
      </c>
      <c r="Z57" s="3">
        <f>2696.2+(150.4-580.1)+(-8.250372+(-0.460224--1.775106))+0--181.9-0.556614000000021</f>
        <v>2440.9078960000002</v>
      </c>
      <c r="AA57" s="3">
        <f>3006.3+(103-765.7)+(-6.132852+(-0.21012--1.562028))+0--214.1-0.436763999999991</f>
        <v>2552.4822920000001</v>
      </c>
      <c r="AB57" s="3">
        <f>2875.9+(118.7-625.8)+(-5.866836+(-0.242148--1.276632))+0--212.7-0.433907999999991</f>
        <v>2576.2337400000001</v>
      </c>
      <c r="AC57" s="3">
        <f>2700.4+(166.7-472.2)+(-4.131612+(-0.255051--0.722466))+0--212.9-0.325737000000012</f>
        <v>2603.810066</v>
      </c>
      <c r="AD57">
        <v>2599.5</v>
      </c>
      <c r="AE57" s="3">
        <f>3096+(93.4-807.9)+(0+(0-0))+0--218-0</f>
        <v>2599.5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2668+(197.1-478.7)+(-2.72136+(-0.201042--0.488274))+0--217-0.221340000000035</f>
        <v>2600.7445320000002</v>
      </c>
      <c r="G58" s="3">
        <f>2668.6+(161.7-518.9)+(-5.443944+(-0.329868--1.058556))+0--214.2-0.436967999999991</f>
        <v>2520.447776</v>
      </c>
      <c r="H58" s="3">
        <f>2675+(157.7-593.6)+(-2.7285+(-0.160854--0.605472))+0--213.7-0.217974000000034</f>
        <v>2450.2981439999994</v>
      </c>
      <c r="I58" s="3">
        <f>2673.2+(159.7-646.9)+(-5.453328+(-0.325788--1.319676))+0--216.2-0.441047999999991</f>
        <v>2397.2995119999996</v>
      </c>
      <c r="J58" s="3">
        <f>2680.3+(166.7-656.5)+(-4.100859+(-0.255051--1.004445))+0--172.9-0.26453700000001</f>
        <v>2359.7839979999999</v>
      </c>
      <c r="K58" s="3">
        <f>2642.2+(216.9-709)+(-8.085132+(-0.663714--2.16954))+0--151.1-0.462366000000017</f>
        <v>2294.1583279999995</v>
      </c>
      <c r="L58" s="3">
        <f>2336.6+(258.7-660.6)+(-5.95833+(-0.659685--1.68453))+0--149.6-0.381479999999978</f>
        <v>2078.9850349999997</v>
      </c>
      <c r="M58" s="3">
        <f>2328+(217.3-612.6)+(-1.18728+(-0.110823--0.312426))+0--148.8-0.0758879999999849</f>
        <v>2080.4384350000005</v>
      </c>
      <c r="N58" s="3">
        <f>2522.1+(189.4-634.7)+(0+(0-0))+0--139.3-0</f>
        <v>2216.1</v>
      </c>
      <c r="O58" s="3">
        <f>2784+(95.5-723.6)+(-1.41984+(-0.048705--0.369036))+0--137-0.0698699999999861</f>
        <v>2291.7306210000002</v>
      </c>
      <c r="P58" s="3">
        <f>2844.8+(89.8-674.6)+(1.450848+(0.045798-0.344046))+0--134.7--0.0686969999999863</f>
        <v>2395.9212969999999</v>
      </c>
      <c r="Q58" s="3">
        <f>2833.7+(105.2-588.8)+(2.890374+(0.107304-0.600576))+0--161.5--0.164730000000026</f>
        <v>2514.1618319999998</v>
      </c>
      <c r="R58" s="3">
        <f>2872.6+(195.6-592.2)+(-2.930052+(-0.199512--0.604044))+0--202.1-0.206142000000032</f>
        <v>2675.3683379999998</v>
      </c>
      <c r="S58" s="3">
        <f>2890+(361.3-649.8)+(-7.3695+(-0.921315--1.65699))+0--204.2-0.52070999999997</f>
        <v>2798.5454650000001</v>
      </c>
      <c r="T58" s="3">
        <f>2901.1+(444.7-638.2)+(0+(0-0))+0--204.7-0</f>
        <v>2912.2999999999997</v>
      </c>
      <c r="U58" s="3">
        <f>2855.9+(464-603.3)+(-4.369527+(-0.70992--0.923049))+0--206.4-0.315792000000012</f>
        <v>2918.5278100000005</v>
      </c>
      <c r="V58" s="3">
        <f>2747.4+(301.5-527.3)+(-2.802348+(-0.30753--0.537846))+0--206.6-0.210732000000033</f>
        <v>2725.4172360000002</v>
      </c>
      <c r="W58" s="3">
        <f>2683.9+(151.8-423.5)+(-8.212734+(-0.464508--1.29591))+0--207.9-0.636174000000024</f>
        <v>2612.0824940000002</v>
      </c>
      <c r="X58" s="3">
        <f>2567.6+(108.2-475.6)+(-7.856856+(-0.331092--1.455336))+0--151.8-0.464508000000018</f>
        <v>2344.8028800000002</v>
      </c>
      <c r="Y58" s="3">
        <f>2446.2+(131.6-507)+(-3.742686+(-0.201348--0.77571))+0--146-0.223380000000008</f>
        <v>2213.4082959999996</v>
      </c>
      <c r="Z58" s="3">
        <f>2786.1+(105.1-625.9)+(-5.683644+(-0.214404--1.276836))+0--172-0.350879999999992</f>
        <v>2432.3279080000002</v>
      </c>
      <c r="AA58" s="3">
        <f>3014.2+(107.3-790.4)+(-7.68621+(-0.273615--2.01552))+0--212.1-0.540854999999969</f>
        <v>2536.7148399999996</v>
      </c>
      <c r="AB58" s="3">
        <f>2856.9+(139.2-643.7)+(0+(0-0))+0--212.1-0</f>
        <v>2564.5</v>
      </c>
      <c r="AC58" s="3">
        <f>2776.2+(184.3-567.7)+(-5.663448+(-0.375972--1.158108))+0--213.8-0.436151999999991</f>
        <v>2601.2825360000002</v>
      </c>
      <c r="AD58">
        <v>2558.8000000000002</v>
      </c>
      <c r="AE58" s="3">
        <f>3008.5+(105.1-771.3)+(0+(0-0))+0--216.5-0</f>
        <v>2558.8000000000002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2766.9+(221.8-556)+(-5.644476+(-0.452472--1.13424))+0--221.1-0.45104399999999</f>
        <v>2648.3862480000003</v>
      </c>
      <c r="G59" s="3">
        <f>2779.3+(180.2-615)+(-2.834886+(-0.183804--0.6273))+0--222.5-0.226950000000035</f>
        <v>2564.38166</v>
      </c>
      <c r="H59" s="3">
        <f>2792.3+(134.8-649.6)+(-1.424073+(-0.068748--0.331296))+0--222.8-0.113627999999977</f>
        <v>2499.0248470000001</v>
      </c>
      <c r="I59" s="3">
        <f>2797.1+(122.7-700.7)+(-2.853042+(-0.125154--0.714714))+0--222.2-0.226644000000035</f>
        <v>2438.809874</v>
      </c>
      <c r="J59" s="3">
        <f>2618.8+(137.1-530)+(0+(0-0))+0--177.7-0</f>
        <v>2403.6</v>
      </c>
      <c r="K59" s="3">
        <f>2487.2+(159.7-482.9)+(-5.073888+(-0.325788--0.985116))+0--155.7-0.317627999999993</f>
        <v>2314.9678119999999</v>
      </c>
      <c r="L59" s="3">
        <f>2298.7+(156.3-510.3)+(-5.861685+(-0.398565--1.301265))+0--157.3-0.401114999999977</f>
        <v>2096.6398999999997</v>
      </c>
      <c r="M59" s="3">
        <f>2300.7+(158-495.9)+(0+(0-0))+0--156.5-0</f>
        <v>2119.2999999999997</v>
      </c>
      <c r="N59" s="3">
        <f>2310.4+(181.8-425.8)+(-1.178304+(-0.092718--0.217158))+0--179.4-0.0914939999999818</f>
        <v>2244.6546420000004</v>
      </c>
      <c r="O59" s="3">
        <f>2394.7+(129.7-417.5)+(-1.221297+(-0.066147--0.212925))+0--197-0.10046999999998</f>
        <v>2302.725011</v>
      </c>
      <c r="P59" s="3">
        <f>2512.9+(180.8-520.1)+(-2.563158+(-0.184416--0.530502))+0--194.9-0.198798000000031</f>
        <v>2366.0841300000002</v>
      </c>
      <c r="Q59" s="3">
        <f>2630.1+(249.1-598.2)+(1.341351+(0.127041-0.305082))+0--194.9--0.0993989999999802</f>
        <v>2477.1627090000002</v>
      </c>
      <c r="R59" s="3">
        <f>2658.2+(425-538.3)+(-1.355682+(-0.21675--0.274533))+0--193-0.0984299999999804</f>
        <v>2736.5036709999995</v>
      </c>
      <c r="S59" s="3">
        <f>2624.8+(574.8-532.3)+(1.338648+(0.293148-0.271473))+0--193.2--0.0985319999999804</f>
        <v>2861.9588549999999</v>
      </c>
      <c r="T59" s="3">
        <f>2619.1+(685.9-523)+(-1.335741+(-0.349809--0.26673))+0--193.2-0.0985319999999804</f>
        <v>2973.682648</v>
      </c>
      <c r="U59" s="3">
        <f>2592.9+(690.2-508.2)+(-6.611895+(-1.76001--1.29591))+0--194.3-0.495464999999972</f>
        <v>2961.6285400000002</v>
      </c>
      <c r="V59" s="3">
        <f>2596.8+(579-468.2)+(-5.297472+(-1.18116--0.955128))+0--193.2-0.394127999999992</f>
        <v>2894.8823680000005</v>
      </c>
      <c r="W59" s="3">
        <f>2600+(302.1-413.7)+(-6.63+(-0.770355--1.054935))+0--194.1-0.494954999999972</f>
        <v>2675.6596249999998</v>
      </c>
      <c r="X59" s="3">
        <f>2567.6+(119.6-440)+(-9.166332+(-0.426972--1.5708))+0--180.4-0.644028000000003</f>
        <v>2418.9334679999997</v>
      </c>
      <c r="Y59" s="3">
        <f>2286.5+(159.6-321.5)+(-2.33223+(-0.162792--0.32793))+0--133.9-0.136578000000021</f>
        <v>2256.1963299999998</v>
      </c>
      <c r="Z59" s="3">
        <f>2554.5+(215.3-458.9)+(-2.60559+(-0.219606--0.468078))+0--161.6-0.164832000000026</f>
        <v>2469.9780500000002</v>
      </c>
      <c r="AA59" s="3">
        <f>2727.4+(187.4-529.8)+(-5.563896+(-0.382296--1.080792))+0--197.7-0.403307999999991</f>
        <v>2577.4312919999998</v>
      </c>
      <c r="AB59" s="3">
        <f>2736.2+(202.3-533.2)+(-6.97731+(-0.515865--1.35966))+0--198.7-0.506684999999971</f>
        <v>2597.3597999999997</v>
      </c>
      <c r="AC59" s="3">
        <f>2763.1+(206.2-538.5)+(-1.409181+(-0.105162--0.274635))+0--199.4-0.10169399999998</f>
        <v>2628.8585979999998</v>
      </c>
      <c r="AD59">
        <v>2598.7000000000003</v>
      </c>
      <c r="AE59" s="3">
        <f>2748.5+(170.3-534.6)+(0+(0-0))+0--214.5-0</f>
        <v>2598.6999999999998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2743.1+(205.3-496.8)+(-6.994905+(-0.523515--1.26684))+0--212.6-0.542129999999969</f>
        <v>2657.4062899999999</v>
      </c>
      <c r="G60" s="3">
        <f>2728.8+(156.8-510.1)+(-1.391688+(-0.079968--0.260151))+0--210.5-0.107354999999979</f>
        <v>2584.6811399999997</v>
      </c>
      <c r="H60" s="3">
        <f>2721.4+(122.6-546.9)+(-5.551656+(-0.250104--1.115676))+0--213.5-0.435539999999991</f>
        <v>2505.4783760000005</v>
      </c>
      <c r="I60" s="3">
        <f>2668.4+(115.3-538.5)+(-6.80442+(-0.294015--1.373175))+0--213.1-0.543404999999969</f>
        <v>2452.0313350000001</v>
      </c>
      <c r="J60" s="3">
        <f>2654+(106.9-565.6)+(-4.06062+(-0.163557--0.865368))+0--213.4-0.326502000000012</f>
        <v>2405.0146890000005</v>
      </c>
      <c r="K60" s="3">
        <f>2567.8+(97.7-531.3)+(-3.928734+(-0.149481--0.812889))+0--205.4-0.314262000000012</f>
        <v>2336.0204120000003</v>
      </c>
      <c r="L60" s="3">
        <f>2360.4+(89.7-487.5)+(-1.203804+(-0.045747--0.248625))+0--147.7-0.075326999999985</f>
        <v>2109.223747</v>
      </c>
      <c r="M60" s="3">
        <f>2347+(92.6-460.1)+(-1.19697+(-0.047226--0.234651))+0--148.2-0.075581999999985</f>
        <v>2126.614873</v>
      </c>
      <c r="N60" s="3">
        <f>2592.7+(91.9-584.2)+(1.322277+(0.046869-0.297942))+0--147.3--0.0751229999999851</f>
        <v>2248.8463269999997</v>
      </c>
      <c r="O60" s="3">
        <f>2789.8+(86.1-722)+(-4.268394+(-0.131733--1.10466))+0--203.4-0.311202000000012</f>
        <v>2353.6933310000004</v>
      </c>
      <c r="P60" s="3">
        <f>2765.8+(124.5-625.8)+(-2.821116+(-0.12699--0.638316))+0--202.6-0.206652000000032</f>
        <v>2464.5835580000003</v>
      </c>
      <c r="Q60" s="3">
        <f>2743.2+(275.2-613.6)+(-2.798064+(-0.280704--0.625872))+0--200.4-0.204408000000032</f>
        <v>2602.542696</v>
      </c>
      <c r="R60" s="3">
        <f>2753+(486.9-651.9)+(1.40403+(0.248319-0.332469))+0--199.7--0.10184699999998</f>
        <v>2789.1217269999997</v>
      </c>
      <c r="S60" s="3">
        <f>2748.5+(623.6-654.3)+(-1.401735+(-0.318036--0.333693))+0--198.6-0.10128599999998</f>
        <v>2914.912636</v>
      </c>
      <c r="T60" s="3">
        <f>2761.5+(705-653.2)+(1.408365+(0.35955-0.333132))+0--195.9--0.0999089999999801</f>
        <v>3010.7346920000005</v>
      </c>
      <c r="U60" s="3">
        <f>2818.3+(644.3-653.2)+(-4.311999+(-0.985779--0.999396))+0--194.8-0.298044000000011</f>
        <v>2999.6035740000002</v>
      </c>
      <c r="V60" s="3">
        <f>2819.7+(527.6-619.5)+(-1.438047+(-0.269076--0.315945))+0--194.9-0.0993989999999802</f>
        <v>2921.2094229999998</v>
      </c>
      <c r="W60" s="3">
        <f>2813.4+(249.1-562.9)+(-7.17417+(-0.635205--1.435395))+0--196.6-0.501329999999971</f>
        <v>2689.3246900000004</v>
      </c>
      <c r="X60" s="3">
        <f>2712.1+(80.2-561)+(-6.915855+(-0.20451--1.43055))+0--183-0.466649999999973</f>
        <v>2408.1435349999997</v>
      </c>
      <c r="Y60" s="3">
        <f>2449.8+(76.7-426.2)+(-3.748194+(-0.117351--0.652086))+0--142.4-0.217872000000008</f>
        <v>2239.268669</v>
      </c>
      <c r="Z60" s="3">
        <f>2788.9+(113.3-623)+(-4.267017+(-0.173349--0.95319))+0--195.2-0.298656000000011</f>
        <v>2470.6141680000001</v>
      </c>
      <c r="AA60" s="3">
        <f>2946+(123.9-690.2)+(-7.5123+(-0.315945--1.76001))+0--205.4-0.52376999999997</f>
        <v>2578.5079949999999</v>
      </c>
      <c r="AB60" s="3">
        <f>2942+(144.8-690.2)+(-3.00084+(-0.147696--0.704004))+0--206.3-0.210426000000033</f>
        <v>2600.245042</v>
      </c>
      <c r="AC60" s="3">
        <f>2960.6+(166.1-676.9)+(0+(0-0))+0--207.3-0</f>
        <v>2657.1000000000004</v>
      </c>
      <c r="AD60">
        <v>2665.7000000000003</v>
      </c>
      <c r="AE60" s="3">
        <f>2934+(168.8-647.1)+(0+(0-0))+0--210-0</f>
        <v>2665.7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2978+(171.6-720.7)+(0+(0-0))+0--214.3-0</f>
        <v>2643.2000000000003</v>
      </c>
      <c r="G61" s="3">
        <f>2874.9+(178.8-667.3)+(-5.864796+(-0.364752--1.361292))+0--215.4-0.439415999999991</f>
        <v>2596.4923279999998</v>
      </c>
      <c r="H61" s="3">
        <f>2758.9+(163.8-606.7)+(0+(0-0))+0--214.1-0</f>
        <v>2530.1</v>
      </c>
      <c r="I61" s="3">
        <f>2771+(119.3-626.2)+(-1.41321+(-0.060843--0.319362))+0--214.4-0.109343999999978</f>
        <v>2477.2359649999999</v>
      </c>
      <c r="J61" s="3">
        <f>2781+(90-635.4)+(0+(0-0))+0--210.1-0</f>
        <v>2445.6999999999998</v>
      </c>
      <c r="K61" s="3">
        <f>2732.1+(125.3-666.2)+(-5.573484+(-0.255612--1.359048))+0--195.4-0.398615999999991</f>
        <v>2381.7313359999998</v>
      </c>
      <c r="L61" s="3">
        <f>2359.7+(192.7-541.6)+(-10.831023+(-0.884493--2.485944))+0--151.6-0.695844000000026</f>
        <v>2152.474584</v>
      </c>
      <c r="M61" s="3">
        <f>2307.8+(179.4-521.1)+(1.176978+(0.091494-0.265761))+0--151.7--0.0773669999999846</f>
        <v>2118.8800780000001</v>
      </c>
      <c r="N61" s="3">
        <f>2478.5+(137.2-641.9)+(-2.52807+(-0.139944--0.654738))+0--192.4-0.196248000000031</f>
        <v>2163.9904759999999</v>
      </c>
      <c r="O61" s="3">
        <f>2565.4+(93-642.6)+(0+(0-0))+0--209.2-0</f>
        <v>2225</v>
      </c>
      <c r="P61" s="3">
        <f>2602.8+(72.9-559.5)+(-1.327428+(-0.037179--0.285345))+0--206-0.105059999999979</f>
        <v>2321.0156780000002</v>
      </c>
      <c r="Q61" s="3">
        <f>2610.2+(156.3-516.7)+(2.662404+(0.159426-0.527034))+0--204--0.208080000000033</f>
        <v>2456.3028759999997</v>
      </c>
      <c r="R61" s="3">
        <f>2827.1+(287.2-660.5)+(-4.325463+(-0.439416--1.010565))+0--203.6-0.311508000000012</f>
        <v>2653.3341779999996</v>
      </c>
      <c r="S61" s="3">
        <f>2846.2+(411.5-666.3)+(0+(0-0))+0--205.6-0</f>
        <v>2796.9999999999995</v>
      </c>
      <c r="T61" s="3">
        <f>2842.1+(395.9-551.4)+(-4.348413+(-0.605727--0.843642))+0--206.6-0.316098000000012</f>
        <v>2888.7734039999996</v>
      </c>
      <c r="U61" s="3">
        <f>2846.4+(465.5-612.2)+(-1.451664+(-0.237405--0.312222))+0--203.6-0.103835999999979</f>
        <v>2901.819317</v>
      </c>
      <c r="V61" s="3">
        <f>2843.6+(374.5-566.9)+(1.450236+(0.190995-0.289119))+0--203--0.103529999999979</f>
        <v>2855.6556419999997</v>
      </c>
      <c r="W61" s="3">
        <f>2801.8+(199.7-544.7)+(-7.14459+(-0.509235--1.388985))+0--204.3-0.52096499999997</f>
        <v>2654.3141950000004</v>
      </c>
      <c r="X61" s="3">
        <f>2496.8+(194.4-490.2)+(-7.640208+(-0.594864--1.500012))+0--208.2-0.637092000000024</f>
        <v>2401.8278479999999</v>
      </c>
      <c r="Y61" s="3">
        <f>2297.7+(219.5-439.3)+(-3.515481+(-0.335835--0.672129))+0--153.8-0.235314000000009</f>
        <v>2228.2854989999996</v>
      </c>
      <c r="Z61" s="3">
        <f>2561.4+(233.6-520.2)+(1.306314+(0.119136-0.265302))+0--185.9--0.0948089999999811</f>
        <v>2461.9549570000004</v>
      </c>
      <c r="AA61" s="3">
        <f>2614.5+(361.5-579.5)+(0+(0-0))+0--211.5-0</f>
        <v>2608</v>
      </c>
      <c r="AB61" s="3">
        <f>2619+(437.8-582.9)+(0+(0-0))+0--213-0</f>
        <v>2686.9</v>
      </c>
      <c r="AC61" s="3">
        <f>2641.1+(409.3-587.2)+(-4.040883+(-0.626229--0.898416))+38.7--214.7-0.328491000000012</f>
        <v>2712.5028129999992</v>
      </c>
      <c r="AD61">
        <v>2675.5</v>
      </c>
      <c r="AE61" s="3">
        <f>2631+(378.5-544.2)+(0+(0-0))+0--210.2-0</f>
        <v>2675.5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2614.9+(431.3-519.3)+(-1.333599+(-0.219963--0.264843))+0--209.2-0.106691999999979</f>
        <v>2734.7045889999999</v>
      </c>
      <c r="G62" s="3">
        <f>2625.8+(357.2-508.5)+(-2.678316+(-0.364344--0.51867))+0--208.1-0.212262000000033</f>
        <v>2679.8637479999998</v>
      </c>
      <c r="H62" s="3">
        <f>2569+(327.3-480.3)+(-3.93057+(-0.500769--0.734859))+0--207.1-0.316863000000012</f>
        <v>2619.0866569999998</v>
      </c>
      <c r="I62" s="3">
        <f>2580.1+(259.8-481.1)+(-2.631702+(-0.264996--0.490722))+0--209-0.213180000000033</f>
        <v>2565.1808439999995</v>
      </c>
      <c r="J62" s="3">
        <f>2571.1+(221.5-485.9)+(-3.933783+(-0.338895--0.743427))+0--210.5-0.322065000000012</f>
        <v>2513.348684</v>
      </c>
      <c r="K62" s="3">
        <f>2528.6+(221.2-501.9)+(-6.44793+(-0.56406--1.279845))+0--200.1-0.510254999999971</f>
        <v>2441.7575999999999</v>
      </c>
      <c r="L62" s="3">
        <f>2268.6+(235.7-438.2)+(-1.156986+(-0.120207--0.223482))+0--146.7-0.0748169999999851</f>
        <v>2211.6714719999995</v>
      </c>
      <c r="M62" s="3">
        <f>2299.9+(233.3-447.5)+(-1.172949+(-0.118983--0.228225))+0--146.6-0.0747659999999851</f>
        <v>2231.1615270000002</v>
      </c>
      <c r="N62" s="3">
        <f>2483.6+(171.9-486)+(-1.266636+(-0.087669--0.24786))+0--193-0.0984299999999804</f>
        <v>2361.2951250000001</v>
      </c>
      <c r="O62" s="3">
        <f>2733.4+(110.3-622.6)+(0+(0-0))+26.7--196.8-0</f>
        <v>2444.6</v>
      </c>
      <c r="P62" s="3">
        <f>2759.1+(130.3-511.4)+(-1.407141+(-0.066453--0.260814))+0--198.5-0.10123499999998</f>
        <v>2575.1859850000001</v>
      </c>
      <c r="Q62" s="3">
        <f>2824.4+(269.2-555)+(0+(0-0))+0--197.6-0</f>
        <v>2736.2</v>
      </c>
      <c r="R62" s="3">
        <f>2860.8+(474.3-621.2)+(1.459008+(0.241893-0.316812))+0--195.3--0.0996029999999802</f>
        <v>2910.6836920000005</v>
      </c>
      <c r="S62" s="3">
        <f>2850.4+(595-603.2)+(-2.907408+(-0.6069--0.615264))+0--197.4-0.201348000000031</f>
        <v>3036.4996080000001</v>
      </c>
      <c r="T62" s="3">
        <f>2833.2+(668.9-581)+(1.444932+(0.341139-0.29631))+0--203.4--0.103733999999979</f>
        <v>3126.0934949999996</v>
      </c>
      <c r="U62" s="3">
        <f>2871.7+(624.5-568)+(-1.464567+(-0.318495--0.28968))+0--204-0.104039999999979</f>
        <v>3130.6025779999995</v>
      </c>
      <c r="V62" s="3">
        <f>2895.2+(496.7-539.7)+(-5.906208+(-1.013268--1.100988))+0--204.9-0.417995999999991</f>
        <v>3050.8635159999999</v>
      </c>
      <c r="W62" s="3">
        <f>2951.3+(155.3-474)+(-9.030978+(-0.475218--1.45044))+0--205.3-0.628218000000024</f>
        <v>2829.2160260000005</v>
      </c>
      <c r="X62" s="3">
        <f>2787.3+(83.3-506.8)+(-4.264569+(-0.127449--0.775404))+0--197-0.301410000000011</f>
        <v>2556.8819760000001</v>
      </c>
      <c r="Y62" s="3">
        <f>2424.6+(124.4-346.4)+(-1.236546+(-0.063444--0.176664))+0--145.5-0.0742049999999852</f>
        <v>2346.9024690000001</v>
      </c>
      <c r="Z62" s="3">
        <f>3002.7+(81.2-719.4)+(-1.531377+(-0.041412--0.366894))+0--196.5-0.10021499999998</f>
        <v>2559.69389</v>
      </c>
      <c r="AA62" s="3">
        <f>3203.9+(81.3-798)+(-4.901967+(-0.124389--1.22094))+0--209-0.319770000000012</f>
        <v>2692.0748139999996</v>
      </c>
      <c r="AB62" s="3">
        <f>3197.5+(83.5-751.3)+(-4.892175+(-0.127755--1.149489))+0--209-0.319770000000012</f>
        <v>2734.5097889999997</v>
      </c>
      <c r="AC62" s="3">
        <f>3159.4+(106.4-698.9)+(-6.445176+(-0.217056--1.425756))+0--209.4-0.427175999999991</f>
        <v>2770.636348</v>
      </c>
      <c r="AD62">
        <v>2739.7</v>
      </c>
      <c r="AE62" s="3">
        <f>3207.7+(81-764)+(0+(0-0))+0--215-0</f>
        <v>2739.7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3067+(108.5-613.3)+(-6.25668+(-0.22134--1.251132))+0--211.2-0.430847999999991</f>
        <v>2767.7422639999995</v>
      </c>
      <c r="G63" s="3">
        <f>3047+(78.6-656)+(-7.76985+(-0.20043--1.6728))+0--212.2-0.541109999999969</f>
        <v>2674.9614099999994</v>
      </c>
      <c r="H63" s="3">
        <f>2906.6+(83.8-557.8)+(-2.964732+(-0.085476--0.568956))+0--185.2-0.18890400000003</f>
        <v>2615.1298439999996</v>
      </c>
      <c r="I63" s="3">
        <f>2729.4+(119.2-448)+(-5.567976+(-0.243168--0.91392))+0--148.1-0.302123999999994</f>
        <v>2543.5006520000002</v>
      </c>
      <c r="J63" s="3">
        <f>2722.7+(102.7-470.3)+(-9.720039+(-0.366639--1.678971))+0--149-0.531930000000002</f>
        <v>2495.160363</v>
      </c>
      <c r="K63" s="3">
        <f>2652.7+(127.6-496.1)+(-9.470139+(-0.455532--1.771077))+0--149-0.531930000000002</f>
        <v>2424.5134759999996</v>
      </c>
      <c r="L63" s="3">
        <f>2433.5+(183.8-556.8)+(-3.723255+(-0.281214--0.851904))+0--150.9-0.230877000000009</f>
        <v>2208.0165580000003</v>
      </c>
      <c r="M63" s="3">
        <f>2572.2+(136.2-703.3)+(2.623644+(0.138924-0.717366))+0--199.7--0.203694000000032</f>
        <v>2207.0488959999998</v>
      </c>
      <c r="N63" s="3">
        <f>2737.8+(108.7-717.3)+(1.396278+(0.055437-0.365823))+0--214.4--0.109343999999978</f>
        <v>2344.7952360000004</v>
      </c>
      <c r="O63" s="3">
        <f>2918.4+(93.7-797.7)+(-1.488384+(-0.047787--0.406827))+0--210.1-0.107150999999979</f>
        <v>2423.2635049999999</v>
      </c>
      <c r="P63" s="3">
        <f>2944.5+(93.9-717.7)+(-1.501695+(-0.047889--0.366027))+0--207.5-0.105824999999979</f>
        <v>2526.9106179999999</v>
      </c>
      <c r="Q63" s="3">
        <f>2916.7+(145-591.1)+(-4.462551+(-0.22185--0.904383))+0--203.4-0.311202000000012</f>
        <v>2669.9087800000002</v>
      </c>
      <c r="R63" s="3">
        <f>2918.7+(359.5-600.8)+(0+(0-0))+0--205.2-0</f>
        <v>2882.5999999999995</v>
      </c>
      <c r="S63" s="3">
        <f>2921.2+(496.2-594.3)+(-1.489812+(-0.253062--0.303093))+0--207-0.105569999999979</f>
        <v>3028.5546489999997</v>
      </c>
      <c r="T63" s="3">
        <f>2918.1+(569.2-578.3)+(0+(0-0))+0--203.3-0</f>
        <v>3112.3</v>
      </c>
      <c r="U63" s="3">
        <f>2893.9+(625.6-504)+(-5.903556+(-1.276224--1.02816))+0--88.3-0.180131999999996</f>
        <v>3097.4682480000001</v>
      </c>
      <c r="V63" s="3">
        <f>2784.9+(551.6-471.2)+(-4.260897+(-0.843948--0.720936))+0--190-0.290700000000011</f>
        <v>3050.625391</v>
      </c>
      <c r="W63" s="3">
        <f>2760.3+(238-404.9)+(-4.223259+(-0.36414--0.619497))+0--207-0.316710000000012</f>
        <v>2796.1153880000002</v>
      </c>
      <c r="X63" s="3">
        <f>2492.9+(170.4-364.5)+(-11.442411+(-0.782136--1.673055))+0--209.8-0.962982000000037</f>
        <v>2497.0855260000003</v>
      </c>
      <c r="Y63" s="3">
        <f>2342.5+(197-410.8)+(-4.7787+(-0.40188--0.838032))+0--211.4-0.431255999999991</f>
        <v>2335.326196</v>
      </c>
      <c r="Z63" s="3">
        <f>2659.7+(107.3-428.9)+(-4.069341+(-0.164169--0.656217))+0--211.4-0.323442000000012</f>
        <v>2545.5992650000003</v>
      </c>
      <c r="AA63" s="3">
        <f>3117.7+(85.9-725.8)+(-9.540162+(-0.262854--2.220948))+0--212.2-0.649332000000024</f>
        <v>2681.7685999999994</v>
      </c>
      <c r="AB63" s="3">
        <f>2992+(92.9-575.6)+(-6.10368+(-0.189516--1.174224))+0--211.3-0.431051999999991</f>
        <v>2715.0499760000002</v>
      </c>
      <c r="AC63" s="3">
        <f>2873.5+(151.4-502.4)+(-1.465485+(-0.077214--0.256224))+0--211.7-0.107966999999979</f>
        <v>2732.805558</v>
      </c>
      <c r="AD63">
        <v>2738.7999999999997</v>
      </c>
      <c r="AE63" s="3">
        <f>3129.7+(89.6-691.9)+(0+(0-0))+0--211.4-0</f>
        <v>2738.7999999999997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2854.6+(154.8-451.3)+(-7.27923+(-0.39474--1.150815))+0--212.2-0.541109999999969</f>
        <v>2763.2357349999997</v>
      </c>
      <c r="G64" s="3">
        <f>2867.5+(104-518.2)+(-1.462425+(-0.05304--0.264282))+0--214-0.109139999999978</f>
        <v>2665.9396770000003</v>
      </c>
      <c r="H64" s="3">
        <f>2837.6+(105.4-563.6)+(2.894352+(0.107508-0.574872))+0--216.4--0.220728000000035</f>
        <v>2598.4477160000001</v>
      </c>
      <c r="I64" s="3">
        <f>2751.5+(135.6-554.1)+(-4.209795+(-0.207468--0.847773))+0--216.4-0.331092000000012</f>
        <v>2545.4994180000003</v>
      </c>
      <c r="J64" s="3">
        <f>2757.8+(129.8-585.9)+(-5.625912+(-0.264792--1.195236))+0--217.9-0.44451599999999</f>
        <v>2514.4600160000005</v>
      </c>
      <c r="K64" s="3">
        <f>2688.5+(158.6-620.2)+(-10.96908+(-0.647088--2.530416))+0--217.8-0.888623999999981</f>
        <v>2434.7256240000002</v>
      </c>
      <c r="L64" s="3">
        <f>2350.1+(251.4-534.7)+(-8.389857+(-0.897498--1.908879))+0--153.2-0.546924000000002</f>
        <v>2212.0745999999995</v>
      </c>
      <c r="M64" s="3">
        <f>2445.7+(216-592.3)+(0+(0-0))+0--157.6-0</f>
        <v>2226.9999999999995</v>
      </c>
      <c r="N64" s="3">
        <f>2594.4+(172.1-638.6)+(-5.292576+(-0.351084--1.302744))+0--226.3-0.46165199999999</f>
        <v>2349.3974320000002</v>
      </c>
      <c r="O64" s="3">
        <f>2673.8+(131.6-591.4)+(2.727276+(0.134232-0.603228))+0--213.9--0.218178000000034</f>
        <v>2430.3764580000002</v>
      </c>
      <c r="P64" s="3">
        <f>2894.3+(111.7-531)+(1.476093+(0.056967-0.27081))+0--71.2--0.0363119999999928</f>
        <v>2547.4985620000002</v>
      </c>
      <c r="Q64" s="3">
        <f>2926.6+(124.4-466.7)+(-1.492566+(-0.063444--0.238017))+0--62.9-0.0320789999999936</f>
        <v>2645.8499280000001</v>
      </c>
      <c r="R64" s="3">
        <f>2958.6+(250.8-540.1)+(0+(0-0))+0--176.5-0</f>
        <v>2845.7999999999997</v>
      </c>
      <c r="S64" s="3">
        <f>3035.3+(314-563.8)+(-4.644009+(-0.48042--0.862614))+0--199.8-0.305694000000012</f>
        <v>2980.7324910000002</v>
      </c>
      <c r="T64" s="3">
        <f>3035.8+(406-552.4)+(-1.548258+(-0.20706--0.281724))+0--200.8-0.10240799999998</f>
        <v>3088.623998</v>
      </c>
      <c r="U64" s="3">
        <f>3015.8+(400.7-519)+(1.538058+(0.204357-0.26469))+0--201.9--0.10296899999998</f>
        <v>3100.9806940000003</v>
      </c>
      <c r="V64" s="3">
        <f>3043.7+(263.4-480.8)+(-4.656861+(-0.403002--0.735624))+0--200.8-0.307224000000012</f>
        <v>3022.4685369999997</v>
      </c>
      <c r="W64" s="3">
        <f>3102.4+(93.6-605.2)+(-6.328896+(-0.190944--1.234608))+0--201.2-0.410447999999991</f>
        <v>2786.3043199999997</v>
      </c>
      <c r="X64" s="3">
        <f>2883.7+(96.1-691.5)+(-8.824122+(-0.294066--2.11599))+0--204.8-0.626688000000024</f>
        <v>2485.4711139999999</v>
      </c>
      <c r="Y64" s="3">
        <f>2582+(86.3-530.9)+(0+(0-0))+0--205.3-0</f>
        <v>2342.7000000000003</v>
      </c>
      <c r="Z64" s="3">
        <f>2831.1+(84.9-572.4)+(-2.887722+(-0.086598--0.583848))+0--207.7-0.211854000000033</f>
        <v>2548.6976739999996</v>
      </c>
      <c r="AA64" s="3">
        <f>3002.1+(85.1-634.8)+(-3.062142+(-0.086802--0.647496))+0--208.7-0.212874000000033</f>
        <v>2658.3856780000001</v>
      </c>
      <c r="AB64" s="3">
        <f>3040.2+(83.5-641.4)+(-4.651506+(-0.127755--0.981342))+0--209.8-0.320994000000012</f>
        <v>2687.9810869999997</v>
      </c>
      <c r="AC64" s="3">
        <f>3122.3+(79.6-670.5)+(-7.961865+(-0.20298--1.709775))+0--211.5-0.539324999999969</f>
        <v>2735.9056049999999</v>
      </c>
      <c r="AD64">
        <v>2721.7999999999997</v>
      </c>
      <c r="AE64" s="3">
        <f>3029.5+(93.6-607.4)+(0+(0-0))+0--206.1-0</f>
        <v>2721.7999999999997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3188.6+(102-706.6)+(-8.13093+(-0.2601--1.80183))+0--212.7-0.542384999999969</f>
        <v>2789.5684149999997</v>
      </c>
      <c r="G65" s="3">
        <f>3163.7+(99.3-739.7)+(-8.067435+(-0.253215--1.886235))+0--214.1-0.545954999999969</f>
        <v>2730.4196299999994</v>
      </c>
      <c r="H65" s="3">
        <f>3015+(106.2-653)+(-3.0753+(-0.108324--0.66606))+0--199.8-0.203796000000032</f>
        <v>2665.2786399999995</v>
      </c>
      <c r="I65" s="3">
        <f>2887.8+(141.8-531.5)+(-5.891112+(-0.289272--1.08426))+0--84-0.171359999999996</f>
        <v>2576.8325160000004</v>
      </c>
      <c r="J65" s="3">
        <f>2868.2+(161.9-575.5)+(-7.31391+(-0.412845--1.467525))+0--81.5-0.207824999999988</f>
        <v>2529.6329449999998</v>
      </c>
      <c r="K65" s="3">
        <f>2713.7+(198.5-544.9)+(-4.151961+(-0.303705--0.833697))+0--81.2-0.124236000000005</f>
        <v>2444.7537949999996</v>
      </c>
      <c r="L65" s="3">
        <f>2506.7+(183.3-523.3)+(-3.835251+(-0.280449--0.800649))+0--40.2-0.0615060000000023</f>
        <v>2203.5234429999996</v>
      </c>
      <c r="M65" s="3">
        <f>2566.7+(130.9-504.4)+(3.927051+(0.200277-0.771732))+0--30.7--0.0469710000000018</f>
        <v>2227.3025669999997</v>
      </c>
      <c r="N65" s="3">
        <f>2676.9+(142.1-509)+(-5.460876+(-0.289884--1.03836))+0--30.2-0.0616079999999987</f>
        <v>2335.425992</v>
      </c>
      <c r="O65" s="3">
        <f>2533.8+(154.7-327.2)+(-3.876714+(-0.236691--0.500616))+0--29.9-0.0457470000000017</f>
        <v>2387.5414640000004</v>
      </c>
      <c r="P65" s="3">
        <f>2476+(164.3-271)+(-1.26276+(-0.083793--0.13821))+0--104.3-0.0531929999999894</f>
        <v>2472.3384640000004</v>
      </c>
      <c r="Q65" s="3">
        <f>2747+(98.3-392)+(0+(0-0))+0--147.2-0</f>
        <v>2600.5</v>
      </c>
      <c r="R65" s="3">
        <f>2897.9+(171.2-484.8)+(-4.433787+(-0.261936--0.741744))+0--188.5-0.288405000000011</f>
        <v>2768.5576160000005</v>
      </c>
      <c r="S65" s="3">
        <f>2913.2+(301.6-528.7)+(-2.971464+(-0.307632--0.539274))+0--201.2-0.205224000000032</f>
        <v>2884.3549539999999</v>
      </c>
      <c r="T65" s="3">
        <f>2905.3+(332.2-480.9)+(-1.481703+(-0.169422--0.245259))+0--204.4-0.104243999999979</f>
        <v>2959.4898900000003</v>
      </c>
      <c r="U65" s="3">
        <f>2943+(298.9-454.9)+(-7.50465+(-0.762195--1.159995))+0--205.4-0.52376999999997</f>
        <v>2984.7693800000002</v>
      </c>
      <c r="V65" s="3">
        <f>2985.7+(171.5-430.9)+(-10.658949+(-0.612255--1.538313))+0--206.3-0.736491000000003</f>
        <v>2922.1306179999997</v>
      </c>
      <c r="W65" s="3">
        <f>2995.2+(114.9-593.1)+(-10.692864+(-0.410193--2.117367))+0--206.2-0.736134000000003</f>
        <v>2713.4781759999996</v>
      </c>
      <c r="X65" s="3">
        <f>2891.8+(147.7-783.9)+(-11.798544+(-0.602616--3.198312))+0--207.8-0.847823999999982</f>
        <v>2453.3493280000007</v>
      </c>
      <c r="Y65" s="3">
        <f>2643.7+(170.6-670.8)+(-6.741435+(-0.43503--1.71054))+0--157.1-0.400604999999977</f>
        <v>2294.7334700000001</v>
      </c>
      <c r="Z65" s="3">
        <f>2821.3+(87.8-617.2)+(-1.438863+(-0.044778--0.314772))+0--192.9-0.0983789999999804</f>
        <v>2483.5327520000001</v>
      </c>
      <c r="AA65" s="3">
        <f>3043.1+(83.1-741.6)+(-7.759905+(-0.211905--1.89108))+0--207.8-0.52988999999997</f>
        <v>2585.7893800000002</v>
      </c>
      <c r="AB65" s="3">
        <f>3006.2+(81.5-683.3)+(-6.132648+(-0.16626--1.393932))+0--210.1-0.428603999999991</f>
        <v>2609.1664199999996</v>
      </c>
      <c r="AC65" s="3">
        <f>3022.1+(77.9-647.5)+(-6.165084+(-0.158916--1.3209))+0--211.6-0.431663999999991</f>
        <v>2658.6652359999998</v>
      </c>
      <c r="AD65">
        <v>2636.4000000000005</v>
      </c>
      <c r="AE65" s="3">
        <f>3049.5+(91.3-713.7)+(0+(0-0))+0--209.3-0</f>
        <v>2636.4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3038.9+(99.4-627.7)+(0+(0-0))+0--213-0</f>
        <v>2723.6</v>
      </c>
      <c r="G66" s="3">
        <f>3114+(103-748.4)+(-4.76442+(-0.15759--1.145052))+0-7--0.0107100000000004</f>
        <v>2457.833752</v>
      </c>
      <c r="H66" s="3">
        <f>2854.9+(109.5-539.7)+(-2.911998+(-0.11169--0.550494))+0--148.9-0.151878000000024</f>
        <v>2570.9749279999996</v>
      </c>
      <c r="I66" s="3">
        <f>2654.8+(166-461.7)+(-1.353948+(-0.08466--0.235467))+0--149-0.0759899999999849</f>
        <v>2506.8208690000006</v>
      </c>
      <c r="J66" s="3">
        <f>2647.4+(170.5-507)+(-6.75087+(-0.434775--1.29285))+0--149.2-0.380459999999978</f>
        <v>2453.8267449999998</v>
      </c>
      <c r="K66" s="3">
        <f>2496.5+(242.2-496.9)+(-6.366075+(-0.61761--1.267095))+0--136.5-0.34807499999998</f>
        <v>2372.2353350000003</v>
      </c>
      <c r="L66" s="3">
        <f>2348.8+(178.1-505)+(-1.197888+(-0.090831--0.25755))+0--90.6-0.0462059999999908</f>
        <v>2111.4226250000002</v>
      </c>
      <c r="M66" s="3">
        <f>2400.3+(157.1-520.8)+(1.224153+(0.080121-0.265608))+0--91.8--0.0468179999999907</f>
        <v>2129.4854840000003</v>
      </c>
      <c r="N66" s="3">
        <f>2424.8+(197.7-575)+(1.236648+(0.100827-0.29325))+0--209.2--0.106691999999979</f>
        <v>2257.8509169999998</v>
      </c>
      <c r="O66" s="3">
        <f>2562.7+(151.7-580)+(-1.306977+(-0.077367--0.2958))+0--185.9-0.0948089999999811</f>
        <v>2319.1166469999994</v>
      </c>
      <c r="P66" s="3">
        <f>2615.3+(114.3-514.3)+(1.333803+(0.058293-0.262293))+0--188--0.0958799999999809</f>
        <v>2404.5256829999998</v>
      </c>
      <c r="Q66" s="3">
        <f>2800.8+(94.9-402.1)+(-1.428408+(-0.048399--0.205071))+0-3.1--0.00158099999999969</f>
        <v>2489.2298450000003</v>
      </c>
      <c r="R66" s="3">
        <f>2983.1+(132.9-456)+(-1.521381+(-0.067779--0.23256))+0-6.7--0.00341699999999932</f>
        <v>2651.946817</v>
      </c>
      <c r="S66" s="3">
        <f>3067.8+(215.6-493.3)+(-3.129156+(-0.219912--0.503166))+0-6.7--0.00683400000000107</f>
        <v>2780.5609320000003</v>
      </c>
      <c r="T66" s="3">
        <f>3061.5+(318.9-472.9)+(0+(0-0))+0-6.7-0</f>
        <v>2900.8</v>
      </c>
      <c r="U66" s="3">
        <f>3050.4+(319.1-431.9)+(-9.334224+(-0.976446--1.321614))+0-6.7--0.0205020000000008</f>
        <v>2921.9314460000005</v>
      </c>
      <c r="V66" s="3">
        <f>3033.5+(215.7-376)+(-7.735425+(-0.550035--0.9588))+0-6.7--0.017084999999999</f>
        <v>2859.1904249999998</v>
      </c>
      <c r="W66" s="3">
        <f>2954.4+(169.8-451.8)+(-9.040464+(-0.519588--1.382508))+0-6.7--0.0205020000000008</f>
        <v>2657.542958</v>
      </c>
      <c r="X66" s="3">
        <f>2618.1+(309.7-510.2)+(-6.676155+(-0.789735--1.30101))+0-6.7--0.017084999999999</f>
        <v>2404.7522050000002</v>
      </c>
      <c r="Y66" s="3">
        <f>2400.1+(279.2-444.8)+(-1.224051+(-0.142392--0.226848))+0-6.7--0.00341699999999932</f>
        <v>2226.663822</v>
      </c>
      <c r="Z66" s="3">
        <f>2815.8+(110.5-513.3)+(-2.872116+(-0.11271--0.523566))+0-6.7--0.00683400000000107</f>
        <v>2403.8455739999999</v>
      </c>
      <c r="AA66" s="3">
        <f>3136.4+(77.5-684.6)+(-6.398256+(-0.1581--1.396584))+0-7.1--0.0144839999999997</f>
        <v>2517.0547120000001</v>
      </c>
      <c r="AB66" s="3">
        <f>2978.6+(83.9-522.2)+(-7.59543+(-0.213945--1.33161))+0-7--0.017849999999999</f>
        <v>2526.8400849999998</v>
      </c>
      <c r="AC66" s="3">
        <f>2757.2+(184.2-368.1)+(-4.218516+(-0.281826--0.563193))+0-6.8--0.0104040000000004</f>
        <v>2562.5732549999998</v>
      </c>
      <c r="AD66">
        <v>2504</v>
      </c>
      <c r="AE66" s="3">
        <f>3027.5+(106.2-622.7)+(0+(0-0))+0-7-0</f>
        <v>2504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2501.7+(418.6-294.5)+(-6.379335+(-1.06743--0.750975))+0-6.8--0.017339999999999</f>
        <v>2612.3215499999992</v>
      </c>
      <c r="G67" s="3">
        <f>2446.8+(396.7-281)+(-4.991472+(-0.809268--0.57324))+0-6.8--0.0138719999999997</f>
        <v>2550.4863719999998</v>
      </c>
      <c r="H67" s="3">
        <f>2304.1+(448.2-260.9)+(-3.525273+(-0.685746--0.399177))+0-6.7--0.0102510000000004</f>
        <v>2480.8984090000004</v>
      </c>
      <c r="I67" s="3">
        <f>2279.3+(409-254.5)+(-4.649772+(-0.83436--0.51918))+0-6.7--0.0136679999999997</f>
        <v>2422.1487160000006</v>
      </c>
      <c r="J67" s="3">
        <f>2256.5+(401.6-268.9)+(1.150815+(0.204816-0.137139))+0-6.6-0.00336599999999933</f>
        <v>2383.815126</v>
      </c>
      <c r="K67" s="3">
        <f>2200.6+(413.4-301.3)+(-5.61153+(-1.05417--0.768315))+0-6.7--0.017084999999999</f>
        <v>2300.1196999999997</v>
      </c>
      <c r="L67" s="3">
        <f>1986.7+(460.1-349.6)+(-3.039651+(-0.703953--0.534888))+0-6.6--0.0100980000000004</f>
        <v>2087.401382</v>
      </c>
      <c r="M67" s="3">
        <f>2000.2+(383.4-284.9)+(5.10051+(0.97767-0.726495))+0-6.5-0.0165749999999991</f>
        <v>2097.5351099999998</v>
      </c>
      <c r="N67" s="3">
        <f>2119.9+(349.9-259.6)+(-1.081149+(-0.178449--0.132396))+0-6.7--0.00341699999999932</f>
        <v>2202.3762149999998</v>
      </c>
      <c r="O67" s="3">
        <f>2229.4+(295.9-236.2)+(2.273988+(0.301818-0.240924))+0-6.7-0.00683400000000107</f>
        <v>2284.7280480000004</v>
      </c>
      <c r="P67" s="3">
        <f>2298.9+(287.5-218.3)+(-1.172439+(-0.146625--0.111333))+0-6.8--0.00346799999999931</f>
        <v>2360.0957369999996</v>
      </c>
      <c r="Q67" s="3">
        <f>2305.7+(347.8-189.3)+(2.351814+(0.354756-0.193086))+0-6.7-0.00683400000000107</f>
        <v>2460.0066500000003</v>
      </c>
      <c r="R67" s="3">
        <f>2297.7+(506.7-210)+(-2.343654+(-0.516834--0.2142))+0-6.7--0.00683400000000107</f>
        <v>2585.0605459999997</v>
      </c>
      <c r="S67" s="3">
        <f>2284.9+(696.5-250.8)+(-5.826495+(-1.776075--0.63954))+0-6.8--0.017339999999999</f>
        <v>2716.8543099999997</v>
      </c>
      <c r="T67" s="3">
        <f>2282.9+(776.2-259.8)+(-5.821395+(-1.97931--0.66249))+0--30.4-0.0775199999999956</f>
        <v>2822.4842650000005</v>
      </c>
      <c r="U67" s="3">
        <f>2279.3+(777-252.8)+(-3.487329+(-1.18881--0.386784))+0--45.7-0.0699210000000026</f>
        <v>2844.8407240000001</v>
      </c>
      <c r="V67" s="3">
        <f>2271.8+(699.6-233.8)+(-2.317236+(-0.713592--0.238476))+0--25.5-0.0260100000000041</f>
        <v>2760.2816380000004</v>
      </c>
      <c r="W67" s="3">
        <f>2267.6+(494.5-204.1)+(-2.312952+(-0.50439--0.208182))+0-6.8--0.00693600000000108</f>
        <v>2548.5977760000001</v>
      </c>
      <c r="X67" s="3">
        <f>2104.2+(523.6-304)+(-6.438852+(-1.602216--0.93024))+0-6.4--0.0195840000000007</f>
        <v>2310.3087559999999</v>
      </c>
      <c r="Y67" s="3">
        <f>2051.9+(506.5-395.6)+(-2.092938+(-0.51663--0.403512))+0-6.7--0.00683400000000107</f>
        <v>2153.9007780000002</v>
      </c>
      <c r="Z67" s="3">
        <f>2198+(296-374.1)+(-2.24196+(-0.30192--0.381582))+0-1.3--0.00132600000000021</f>
        <v>2116.4390279999998</v>
      </c>
      <c r="AA67" s="3">
        <f>2351.4+(313.9-282.1)+(-4.796856+(-0.640356--0.575484))+0--39.7-0.0809879999999983</f>
        <v>2417.9572839999996</v>
      </c>
      <c r="AB67" s="3">
        <f>2236.2+(433.6-281.2)+(-5.70231+(-1.10568--0.71706))+0--40.7-0.103784999999994</f>
        <v>2423.1052850000001</v>
      </c>
      <c r="AC67" s="3">
        <f>2355.8+(404.4-375.9)+(0+(0-0))+0--81.7-0</f>
        <v>2466</v>
      </c>
      <c r="AD67">
        <v>2448.5</v>
      </c>
      <c r="AE67" s="3">
        <f>2392.5+(311.6-291.6)+(0+(0-0))+0--36-0</f>
        <v>2448.5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2369.1+(447.6-368)+(-4.832964+(-0.913104--0.75072))+0--102.1-0.208283999999996</f>
        <v>2545.596368</v>
      </c>
      <c r="G68" s="3">
        <f>2374.2+(410.4-374.9)+(-2.421684+(-0.418608--0.382398))+0--97.7-0.0996540000000156</f>
        <v>2504.8424519999994</v>
      </c>
      <c r="H68" s="3">
        <f>2334.4+(385.4-368.2)+(-3.571632+(-0.589662--0.563346))+0--98.5-0.150705000000006</f>
        <v>2446.3513469999998</v>
      </c>
      <c r="I68" s="3">
        <f>2314.1+(343.4-366)+(0+(0-0))+0--99.4-0</f>
        <v>2390.9</v>
      </c>
      <c r="J68" s="3">
        <f>2318.8+(285.1-364.9)+(1.182588+(0.145401-0.186099))+0--100.3--0.0511529999999898</f>
        <v>2340.4930429999999</v>
      </c>
      <c r="K68" s="3">
        <f>2170.6+(326.5-313.1)+(-4.428024+(-0.66606--0.638724))+0--78-0.159119999999997</f>
        <v>2257.3855200000003</v>
      </c>
      <c r="L68" s="3">
        <f>1989.8+(289.5-299.1)+(-2.029596+(-0.29529--0.305082))+0--38.8-0.0395760000000062</f>
        <v>2016.9406199999999</v>
      </c>
      <c r="M68" s="3">
        <f>1891.8+(278.4-232.5)+(-1.929636+(-0.283968--0.23715))+0--38.5-0.0392700000000061</f>
        <v>1974.1842759999997</v>
      </c>
      <c r="N68" s="3">
        <f>1909.4+(281.3-222.3)+(-2.921382+(-0.430389--0.340119))+0--38.1-0.0582930000000022</f>
        <v>2003.430055</v>
      </c>
      <c r="O68" s="3">
        <f>2019.2+(245.9-240)+(-2.059584+(-0.250818--0.2448))+0--38-0.0387600000000061</f>
        <v>2060.9956380000003</v>
      </c>
      <c r="P68" s="3">
        <f>2116.3+(215.4-279)+(-3.237939+(-0.329562--0.42687))+0--80.5-0.123165000000005</f>
        <v>2129.9362040000001</v>
      </c>
      <c r="Q68" s="3">
        <f>2105.3+(349.3-251.2)+(-3.221109+(-0.534429--0.384336))+0--44.1-0.0674730000000025</f>
        <v>2244.0613250000001</v>
      </c>
      <c r="R68" s="3">
        <f>2067.6+(533.2-212.8)+(-1.054476+(-0.271932--0.108528))+0-8.8--0.00448799999999911</f>
        <v>2377.9866079999997</v>
      </c>
      <c r="S68" s="3">
        <f>2119+(620.5-220.4)+(-1.08069+(-0.316455--0.112404))+0--19.4-0.00989399999999803</f>
        <v>2537.2053650000003</v>
      </c>
      <c r="T68" s="3">
        <f>2150+(676.3-255.2)+(-4.386+(-1.379652--0.520608))+0--110.9-0.226235999999995</f>
        <v>2676.5287200000002</v>
      </c>
      <c r="U68" s="3">
        <f>2151.2+(695.6-248.5)+(-1.097112+(-0.354756--0.126735))+0--103.2-0.0526319999999895</f>
        <v>2700.1222349999998</v>
      </c>
      <c r="V68" s="3">
        <f>2154.6+(628.2-237.6)+(-1.098846+(-0.320382--0.121176))+0--102.5-0.0522749999999896</f>
        <v>2646.3496729999997</v>
      </c>
      <c r="W68" s="3">
        <f>2147.1+(438.2-217.5)+(-4.380084+(-0.893928--0.4437))+0--99.8-0.203591999999996</f>
        <v>2462.566096</v>
      </c>
      <c r="X68" s="3">
        <f>2042.3+(485.7-397.7)+(-5.207865+(-1.238535--1.014135))+0--104.4-0.266219999999985</f>
        <v>2229.0015150000004</v>
      </c>
      <c r="Y68" s="3">
        <f>1905.9+(462.1-360.3)+(-2.916027+(-0.707013--0.551259))+0--62.9-0.0962370000000036</f>
        <v>2067.4319819999996</v>
      </c>
      <c r="Z68" s="3">
        <f>2230.3+(253.6-287.6)+(-3.412359+(-0.388008--0.440028))+0--51.9-0.079407000000003</f>
        <v>2244.7602540000003</v>
      </c>
      <c r="AA68" s="3">
        <f>2479.4+(188.3-391.3)+(-3.793482+(-0.288099--0.598689))+0--104.7-0.160191000000006</f>
        <v>2377.456917</v>
      </c>
      <c r="AB68" s="3">
        <f>2487.3+(207-361.3)+(-5.074092+(-0.42228--0.737052))+0--104.3-0.212771999999995</f>
        <v>2432.3279080000002</v>
      </c>
      <c r="AC68" s="3">
        <f>2502+(251.1-355.7)+(-3.82806+(-0.384183--0.544221))+0--101.7-0.155601000000006</f>
        <v>2495.2763770000001</v>
      </c>
      <c r="AD68">
        <v>2446.6</v>
      </c>
      <c r="AE68" s="3">
        <f>2498+(203.6-360)+(0+(0-0))+0--105-0</f>
        <v>2446.6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2502.3+(292.8-341.4)+(-5.104692+(-0.597312--0.696456))+0--100.7-0.205427999999996</f>
        <v>2549.1890239999998</v>
      </c>
      <c r="G69" s="3">
        <f>2513+(256.2-369.9)+(-5.12652+(-0.522648--0.754596))+0--101.4-0.206855999999996</f>
        <v>2495.5985720000003</v>
      </c>
      <c r="H69" s="3">
        <f>2529.9+(222.5-420.3)+(-2.580498+(-0.22695--0.428706))+0--102.2-0.104244000000016</f>
        <v>2431.8170139999997</v>
      </c>
      <c r="I69" s="3">
        <f>2542.2+(209.1-471.8)+(-1.296522+(-0.106641--0.240618))+0--103.5-0.0527849999999895</f>
        <v>2381.78467</v>
      </c>
      <c r="J69" s="3">
        <f>2548.4+(205.6-517.5)+(-2.599368+(-0.209712--0.52785))+0--105-0.107100000000017</f>
        <v>2339.1116699999998</v>
      </c>
      <c r="K69" s="3">
        <f>2542.4+(266.7-643.3)+(-6.48312+(-0.680085--1.640415))+0--104.6-0.266729999999985</f>
        <v>2264.6104800000003</v>
      </c>
      <c r="L69" s="3">
        <f>2165.7+(391.9-583.5)+(0+(0-0))+0--100.4-0</f>
        <v>2074.5</v>
      </c>
      <c r="M69" s="3">
        <f>2187.4+(310.6-484.5)+(-2.231148+(-0.316812--0.49419))+0--71.5-0.0729300000000114</f>
        <v>2082.8733000000002</v>
      </c>
      <c r="N69" s="3">
        <f>2590.5+(185-698.2)+(-5.28462+(-0.3774--1.424328))+0--104.2-0.212567999999995</f>
        <v>2177.0497399999999</v>
      </c>
      <c r="O69" s="3">
        <f>2753.2+(145.2-725)+(-1.404132+(-0.074052--0.36975))+0--100.2-0.0511019999999898</f>
        <v>2272.4404639999993</v>
      </c>
      <c r="P69" s="3">
        <f>2903.2+(113-735.3)+(0+(0-0))+0--98.5-0</f>
        <v>2379.3999999999996</v>
      </c>
      <c r="Q69" s="3">
        <f>2912.4+(100.6-653.7)+(2.970648+(0.102612-0.666774))+0--155--0.158100000000025</f>
        <v>2516.8645860000001</v>
      </c>
      <c r="R69" s="3">
        <f>2887+(116.2-525.7)+(-1.47237+(-0.059262--0.268107))+0--168.5-0.0859349999999829</f>
        <v>2644.6505400000001</v>
      </c>
      <c r="S69" s="3">
        <f>2843.9+(299.5-527.2)+(0+(0-0))+0--167.1-0</f>
        <v>2783.2999999999997</v>
      </c>
      <c r="T69" s="3">
        <f>2842+(366.7-471.2)+(-1.44942+(-0.187017--0.240312))+0--169.9-0.0866489999999828</f>
        <v>2905.917226</v>
      </c>
      <c r="U69" s="3">
        <f>2847.4+(343.6-444.8)+(-7.26087+(-0.87618--1.13424))+0--169.9-0.433244999999975</f>
        <v>2908.6639450000002</v>
      </c>
      <c r="V69" s="3">
        <f>2841.6+(256.2-406)+(-4.347648+(-0.391986--0.62118))+0--169.2-0.25887600000001</f>
        <v>2856.6226699999997</v>
      </c>
      <c r="W69" s="3">
        <f>2773.2+(196-454.7)+(-9.900324+(-0.69972--1.623279))+0--170.8-0.609756000000002</f>
        <v>2675.7134790000005</v>
      </c>
      <c r="X69" s="3">
        <f>2734.5+(240.7-730)+(-9.762165+(-0.859299--2.6061))+0--171.9-0.613683000000002</f>
        <v>2408.470953</v>
      </c>
      <c r="Y69" s="3">
        <f>2498.9+(249.1-672.3)+(-1.274439+(-0.127041--0.342873))+0--171.9-0.0876689999999826</f>
        <v>2246.4537240000004</v>
      </c>
      <c r="Z69" s="3">
        <f>2656.2+(111.4-526.4)+(-2.709324+(-0.113628--0.536928))+0--171.8-0.175236000000027</f>
        <v>2410.53874</v>
      </c>
      <c r="AA69" s="3">
        <f>2970.3+(85.8-664.1)+(-9.089118+(-0.262548--2.032146))+0--171.5-0.52479000000002</f>
        <v>2555.65569</v>
      </c>
      <c r="AB69" s="3">
        <f>2803.9+(85.6-481.5)+(-5.719956+(-0.174624--0.98226))+0--172.6-0.352103999999992</f>
        <v>2575.3355759999999</v>
      </c>
      <c r="AC69" s="3">
        <f>2783+(124.2-449.4)+(-8.51598+(-0.380052--1.375164))+0--174.2-0.53305200000002</f>
        <v>2623.9460799999997</v>
      </c>
      <c r="AD69">
        <v>2591.2999999999997</v>
      </c>
      <c r="AE69" s="3">
        <f>2967.5+(92.6-640.4)+(0+(0-0))+0--171.6-0</f>
        <v>2591.2999999999997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2802.6+(144.7-450.8)+(-2.858652+(-0.147594--0.459816))+0--173.5-0.176970000000028</f>
        <v>2667.2766000000001</v>
      </c>
      <c r="G70" s="3">
        <f>2803.6+(146-545.1)+(-7.14918+(-0.3723--1.390005))+0--173.7-0.442934999999975</f>
        <v>2571.6255899999996</v>
      </c>
      <c r="H70" s="3">
        <f>2818+(121.7-624)+(-5.74872+(-0.248268--1.27296))+0--173-0.352919999999992</f>
        <v>2483.6230519999999</v>
      </c>
      <c r="I70" s="3">
        <f>2687.9+(134.5-559.1)+(-4.112487+(-0.205785--0.855423))+0--173.3-0.26514900000001</f>
        <v>2432.8720020000005</v>
      </c>
      <c r="J70" s="3">
        <f>2571.5+(177-526)+(-3.934395+(-0.27081--0.80478))+0--174.5-0.26698500000001</f>
        <v>2393.33259</v>
      </c>
      <c r="K70" s="3">
        <f>2446.4+(254.6-555.1)+(-4.990656+(-0.519384--1.132404))+0--174.3-0.355571999999992</f>
        <v>2315.4667920000002</v>
      </c>
      <c r="L70" s="3">
        <f>2198.8+(287.2-498.4)+(-3.364164+(-0.439416--0.762552))+0--129.2-0.197676000000007</f>
        <v>2113.5612959999999</v>
      </c>
      <c r="M70" s="3">
        <f>2305.6+(239.6-516.9)+(-1.175856+(-0.122196--0.263619))+0--104.5-0.0532949999999894</f>
        <v>2131.7122719999998</v>
      </c>
      <c r="N70" s="3">
        <f>2491.3+(202.1-535.6)+(0+(0-0))+0--105-0</f>
        <v>2262.8000000000002</v>
      </c>
      <c r="O70" s="3">
        <f>2792.4+(121.9-686)+(1.424124+(0.062169-0.34986))+0--122.9--0.0626789999999875</f>
        <v>2352.3991120000005</v>
      </c>
      <c r="P70" s="3">
        <f>2966.5+(115.9-780.2)+(1.512915+(0.059109-0.397902))+0--164.6--0.0839459999999833</f>
        <v>2468.0580679999998</v>
      </c>
      <c r="Q70" s="3">
        <f>2933.4+(112.5-663.5)+(1.496034+(0.057375-0.338385))+0--210.1--0.107150999999979</f>
        <v>2593.8221750000002</v>
      </c>
      <c r="R70" s="3">
        <f>3116.2+(95.7-670)+(0+(0-0))+0--231-0</f>
        <v>2772.8999999999996</v>
      </c>
      <c r="S70" s="3">
        <f>3124.5+(118.5-549.3)+(0+(0-0))+0--231.1-0</f>
        <v>2924.7999999999997</v>
      </c>
      <c r="T70" s="3">
        <f>3133.4+(188.8-534)+(-4.794102+(-0.288864--0.81702))+0--231.1-0.353583000000013</f>
        <v>3014.6804710000001</v>
      </c>
      <c r="U70" s="3">
        <f>3137.9+(247.2-568.8)+(3.200658+(0.252144-0.580176))+0--231.6--0.236232000000037</f>
        <v>3051.0088580000001</v>
      </c>
      <c r="V70" s="3">
        <f>3122.8+(135.4-522.1)+(-3.185256+(-0.138108--0.532542))+0--232.1-0.236742000000037</f>
        <v>2965.1724360000003</v>
      </c>
      <c r="W70" s="3">
        <f>3131.7+(104.3-701.7)+(-11.180169+(-0.372351--2.505069))+0--233-0.831810000000003</f>
        <v>2757.4207389999997</v>
      </c>
      <c r="X70" s="3">
        <f>3075.4+(138.8-928.9)+(-7.84227+(-0.35394--2.368695))+0--206.2-0.52580999999997</f>
        <v>2485.146675</v>
      </c>
      <c r="Y70" s="3">
        <f>2705.5+(170.9-809.5)+(-4.139415+(-0.261477--1.238535))+0--169.6-0.25948800000001</f>
        <v>2233.0781549999997</v>
      </c>
      <c r="Z70" s="3">
        <f>2919.5+(90.9-693.6)+(-2.97789+(-0.092718--0.707472))+0--190-0.19380000000003</f>
        <v>2504.2430640000002</v>
      </c>
      <c r="AA70" s="3">
        <f>3250.6+(78-897.4)+(-8.28903+(-0.1989--2.28837))+0--232.6-0.593129999999966</f>
        <v>2657.00731</v>
      </c>
      <c r="AB70" s="3">
        <f>3272.1+(91.1-894.7)+(-6.675084+(-0.185844--1.825188))+0--233.6-0.47654399999999</f>
        <v>2696.587716</v>
      </c>
      <c r="AC70" s="3">
        <f>3249.8+(89-806.9)+(-6.629592+(-0.18156--1.646076))+0--235.7-0.48082799999999</f>
        <v>2761.9540959999999</v>
      </c>
      <c r="AD70">
        <v>2663.7000000000003</v>
      </c>
      <c r="AE70" s="3">
        <f>3255.5+(81.3-905.4)+(0+(0-0))+0--232.3-0</f>
        <v>2663.7000000000003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3083.6+(98.8-701.4)+(-3.145272+(-0.100776--0.715428))+0--234.5-0.239190000000037</f>
        <v>2712.7301899999998</v>
      </c>
      <c r="G71" s="3">
        <f>3056+(104.7-766.6)+(-6.23424+(-0.213588--1.563864))+0--235.5-0.48041999999999</f>
        <v>2624.2356159999999</v>
      </c>
      <c r="H71" s="3">
        <f>3025.6+(103.2-795.5)+(-6.172224+(-0.210528--1.62282))+0--231-0.47123999999999</f>
        <v>2559.0688280000004</v>
      </c>
      <c r="I71" s="3">
        <f>2882.6+(139.8-711.5)+(-4.410378+(-0.213894--1.088595))+0--172.9-0.26453700000001</f>
        <v>2479.9997859999999</v>
      </c>
      <c r="J71" s="3">
        <f>2817.7+(169.3-711.4)+(-1.437027+(-0.086343--0.362814))+0--172.8-0.0881279999999825</f>
        <v>2447.1513160000004</v>
      </c>
      <c r="K71" s="3">
        <f>2644.6+(233.9-619.4)+(-4.046238+(-0.357867--0.947682))+0--132.9-0.203337000000008</f>
        <v>2388.34024</v>
      </c>
      <c r="L71" s="3">
        <f>2375+(274.6-619.5)+(-2.4225+(-0.280092--0.63189))+0--104-0.106080000000017</f>
        <v>2131.9232179999999</v>
      </c>
      <c r="M71" s="3">
        <f>2346.3+(281.4-583.6)+(0+(0-0))+0--104.3-0</f>
        <v>2148.4</v>
      </c>
      <c r="N71" s="3">
        <f>2553+(212.4-616.4)+(2.60406+(0.216648-0.628728))+0--108.3--0.110466000000017</f>
        <v>2259.6024460000003</v>
      </c>
      <c r="O71" s="3">
        <f>2713.8+(153.9-705.5)+(1.384038+(0.078489-0.359805))+0--190.9--0.0973589999999806</f>
        <v>2354.3000810000003</v>
      </c>
      <c r="P71" s="3">
        <f>2933.6+(116.4-751.1)+(1.496136+(0.059364-0.383061))+0--226.7--0.115616999999977</f>
        <v>2526.8880559999993</v>
      </c>
      <c r="Q71" s="3">
        <f>2859.7+(109.7-568.7)+(2.916894+(0.111894-0.580074))+0--227.2--0.231744000000036</f>
        <v>2630.5804579999999</v>
      </c>
      <c r="R71" s="3">
        <f>2856.5+(174.7-427.1)+(1.456815+(0.089097-0.217821))+0--226.1--0.115310999999977</f>
        <v>2831.6434019999997</v>
      </c>
      <c r="S71" s="3">
        <f>2847.9+(367.2-479.6)+(-1.452429+(-0.187272--0.244596))+0--227.1-0.115820999999977</f>
        <v>2961.089074</v>
      </c>
      <c r="T71" s="3">
        <f>2909.4+(421.1-526.5)+(-1.483794+(-0.214761--0.268515))+0--226.1-0.115310999999977</f>
        <v>3028.5546489999997</v>
      </c>
      <c r="U71" s="3">
        <f>2943.3+(392.9-498.7)+(-4.503249+(-0.601137--0.763011))+0--227.4-0.347922000000013</f>
        <v>3060.2107030000002</v>
      </c>
      <c r="V71" s="3">
        <f>2969.6+(250.2-445.6)+(-3.028992+(-0.255204--0.454512))+0--228.5-0.233070000000036</f>
        <v>2999.6372459999998</v>
      </c>
      <c r="W71" s="3">
        <f>2974.8+(142.6-594.9)+(-9.102888+(-0.436356--1.820394))+0--229-0.700740000000026</f>
        <v>2743.0804099999996</v>
      </c>
      <c r="X71" s="3">
        <f>2890+(207.7-825.8)+(-8.8434+(-0.635562--2.526948))+0--230.5-0.705330000000027</f>
        <v>2494.7426559999999</v>
      </c>
      <c r="Y71" s="3">
        <f>2547.4+(301.2-658.6)+(-5.196696+(-0.614448--1.343544))+0--152.1-0.310283999999993</f>
        <v>2337.3221159999998</v>
      </c>
      <c r="Z71" s="3">
        <f>2754.3+(173.8-575.7)+(-2.809386+(-0.177276--0.587214))+0--148.2-0.151164000000024</f>
        <v>2498.0493879999999</v>
      </c>
      <c r="AA71" s="3">
        <f>3054.9+(99.1-709.6)+(-9.347994+(-0.303246--2.171376))+0--229.9-0.703494000000027</f>
        <v>2666.1166420000004</v>
      </c>
      <c r="AB71" s="3">
        <f>3075.8+(116.8-699.1)+(-6.274632+(-0.238272--1.426164))+0--231.6-0.47246399999999</f>
        <v>2719.5407959999998</v>
      </c>
      <c r="AC71" s="3">
        <f>3059.6+(128.9-654.5)+(-1.560396+(-0.065739--0.333795))+0--235.3-0.120002999999976</f>
        <v>2767.8876570000002</v>
      </c>
      <c r="AD71">
        <v>2668.1</v>
      </c>
      <c r="AE71" s="3">
        <f>3047+(87.2-696.2)+(0+(0-0))+0--230.1-0</f>
        <v>2668.1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2954.8+(140.5-620.4)+(-3.013896+(-0.14331--0.632808))+0--236.3-0.241026000000038</f>
        <v>2708.4345760000001</v>
      </c>
      <c r="G72" s="3">
        <f>2957.2+(145.7-691.8)+(-6.032688+(-0.297228--1.411272))+0--235.6-0.48062399999999</f>
        <v>2641.3007320000002</v>
      </c>
      <c r="H72" s="3">
        <f>2948.8+(156.6-762.4)+(-6.015552+(-0.319464--1.555296))+0--236.3-0.48205199999999</f>
        <v>2574.0382280000003</v>
      </c>
      <c r="I72" s="3">
        <f>2901+(173.6-771.7)+(-5.91804+(-0.354144--1.574268))+0--236.7-0.48286799999999</f>
        <v>2534.4192159999998</v>
      </c>
      <c r="J72" s="3">
        <f>2814.4+(186.8-739.5)+(-1.435344+(-0.095268--0.377145))+0--233.5-0.119084999999976</f>
        <v>2493.9274479999999</v>
      </c>
      <c r="K72" s="3">
        <f>2646.5+(245.3-609.3)+(-10.79772+(-1.000824--2.485944))+0--142.9-0.583031999999988</f>
        <v>2415.5043679999999</v>
      </c>
      <c r="L72" s="3">
        <f>2372.1+(335.5-625.4)+(-2.419542+(-0.34221--0.637908))+0--104.3-0.106386000000017</f>
        <v>2184.2697699999999</v>
      </c>
      <c r="M72" s="3">
        <f>2494.6+(291.6-663.1)+(-2.544492+(-0.297432--0.676362))+0--104.6-0.106692000000017</f>
        <v>2225.4277459999998</v>
      </c>
      <c r="N72" s="3">
        <f>2850.4+(180.6-834.6)+(0+(0-0))+0--152.9-0</f>
        <v>2349.3000000000002</v>
      </c>
      <c r="O72" s="3">
        <f>2920.9+(155.4-815.7)+(-2.979318+(-0.158508--0.832014))+0--166.5-0.169830000000027</f>
        <v>2424.624358</v>
      </c>
      <c r="P72" s="3">
        <f>2900.3+(173.4-730.9)+(-4.437459+(-0.265302--1.118277))+0--198.8-0.304164000000011</f>
        <v>2537.7113520000003</v>
      </c>
      <c r="Q72" s="3">
        <f>2970.9+(110.5-606.9)+(-6.060636+(-0.22542--1.238076))+0--229.4-0.46797599999999</f>
        <v>2698.3840440000004</v>
      </c>
      <c r="R72" s="3">
        <f>3132.6+(104.3-542.5)+(-3.195252+(-0.106386--0.55335))+0--227.4-0.231948000000036</f>
        <v>2918.8197640000003</v>
      </c>
      <c r="S72" s="3">
        <f>3182.1+(201.9-558.2)+(-3.245742+(-0.205938--0.569364))+0--227.7-0.232254000000036</f>
        <v>3050.3854299999994</v>
      </c>
      <c r="T72" s="3">
        <f>3167.7+(300.5-551.5)+(1.615527+(0.153255-0.281265))+0--224.4--0.114443999999977</f>
        <v>3142.7019609999998</v>
      </c>
      <c r="U72" s="3">
        <f>3164.6+(299.8-535.1)+(-3.227892+(-0.305796--0.545802))+0--224.5-0.228990000000036</f>
        <v>3150.5831239999998</v>
      </c>
      <c r="V72" s="3">
        <f>3162.9+(213-502)+(-11.291553+(-0.76041--1.79214))+0--225.3-0.804321000000003</f>
        <v>3088.1358560000003</v>
      </c>
      <c r="W72" s="3">
        <f>3104.2+(178.6-588.7)+(-3.166284+(-0.182172--0.600474))+0--199.6-0.203592000000032</f>
        <v>2890.7484260000001</v>
      </c>
      <c r="X72" s="3">
        <f>2890.3+(230-627.6)+(-7.370265+(-0.5865--1.60038))+0--107.4-0.273869999999984</f>
        <v>2593.4697450000003</v>
      </c>
      <c r="Y72" s="3">
        <f>2713+(250.7-671.7)+(0+(0-0))+0--103.4-0</f>
        <v>2395.4</v>
      </c>
      <c r="Z72" s="3">
        <f>3136.5+(108.9-827.8)+(0+(0-0))+0--185.9-0</f>
        <v>2603.5</v>
      </c>
      <c r="AA72" s="3">
        <f>3270.4+(72.9-804.7)+(-6.671616+(-0.148716--1.641588))+0--231.3-0.47185199999999</f>
        <v>2764.2494040000001</v>
      </c>
      <c r="AB72" s="3">
        <f>3255.2+(73.9-773.7)+(0+(0-0))+0--230-0</f>
        <v>2785.3999999999996</v>
      </c>
      <c r="AC72" s="3">
        <f>3262.1+(117.8-787.2)+(-6.654684+(-0.240312--1.605888))+0--230.4-0.47001599999999</f>
        <v>2817.3408759999998</v>
      </c>
      <c r="AD72">
        <v>2711.5</v>
      </c>
      <c r="AE72" s="3">
        <f>3260+(27-802.4)+(0+(0-0))+0--226.9-0</f>
        <v>2711.5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3118.9+(127.2-630.6)+(-6.362556+(-0.259488--1.286424))+0--229.9-0.46899599999999</f>
        <v>2839.5953840000002</v>
      </c>
      <c r="G73" s="3">
        <f>2834.5+(181.9-499.7)+(-7.227975+(-0.463845--1.274235))+0--229.5-0.585224999999967</f>
        <v>2739.1971899999999</v>
      </c>
      <c r="H73" s="3">
        <f>2668.9+(248.1-440.2)+(-1.361139+(-0.126531--0.224502))+0--173-0.0882299999999824</f>
        <v>2648.4486020000004</v>
      </c>
      <c r="I73" s="3">
        <f>2837.6+(281.5-562.6)+(0+(0-0))+0--103.3-0</f>
        <v>2659.8</v>
      </c>
      <c r="J73" s="3">
        <f>2860.2+(294.2-628.9)+(-2.917404+(-0.300084--0.641478))+0--103.1-0.105162000000016</f>
        <v>2625.9188279999998</v>
      </c>
      <c r="K73" s="3">
        <f>2922.5+(216.7-754.8)+(-7.452375+(-0.552585--1.92474))+0--103.2-0.263159999999985</f>
        <v>2481.2566200000001</v>
      </c>
      <c r="L73" s="3">
        <f>2803.1+(289.3-949.7)+(2.859162+(0.295086-0.968694))+0--109.3--0.111486000000017</f>
        <v>2254.2970400000004</v>
      </c>
      <c r="M73" s="3">
        <f>2755.4+(281.9-927.5)+(-1.405254+(-0.143769--0.473025))+0--216.2-0.110261999999978</f>
        <v>2324.8137400000001</v>
      </c>
      <c r="N73" s="3">
        <f>2999+(174.6-972.3)+(4.58847+(0.267138-1.487619))+0--228.8--0.350064000000013</f>
        <v>2433.8180530000004</v>
      </c>
      <c r="O73" s="3">
        <f>3299.5+(82.6-1096.9)+(-1.682745+(-0.042126--0.559419))+0--226.5-0.115514999999977</f>
        <v>2510.4190329999997</v>
      </c>
      <c r="P73" s="3">
        <f>3391.1+(88.2-1056.9)+(0+(0-0))+0--223.4-0</f>
        <v>2645.7999999999997</v>
      </c>
      <c r="Q73" s="3">
        <f>3376.3+(93.2-874.7)+(0+(0-0))+0--218.9-0</f>
        <v>2813.7000000000003</v>
      </c>
      <c r="R73" s="3">
        <f>3398.2+(169-708.7)+(1.733082+(0.08619-0.361437))+0--216.1--0.110210999999978</f>
        <v>3076.1680460000002</v>
      </c>
      <c r="S73" s="3">
        <f>3419.8+(243.2-717.4)+(-6.976392+(-0.496128--1.463496))+0--215-0.438599999999991</f>
        <v>3154.1523760000005</v>
      </c>
      <c r="T73" s="3">
        <f>3461.3+(177.5-611.9)+(-7.061052+(-0.3621--1.248276))+0--215.4-0.439415999999991</f>
        <v>3235.685708</v>
      </c>
      <c r="U73" s="3">
        <f>3433.1+(160.3-570.8)+(-3.501762+(-0.163506--0.582216))+0--196.4-0.200328000000031</f>
        <v>3215.7166200000001</v>
      </c>
      <c r="V73" s="3">
        <f>3428.4+(141.2-602)+(-6.993936+(-0.288048--1.22808))+0--211.7-0.431867999999991</f>
        <v>3172.8142279999997</v>
      </c>
      <c r="W73" s="3">
        <f>3412.8+(161.9-809.4)+(-8.70264+(-0.412845--2.06397))+0--213.6-0.544679999999969</f>
        <v>2971.303805</v>
      </c>
      <c r="X73" s="3">
        <f>3092.1+(261.1-854.8)+(-15.76971+(-1.33161--4.35948))+0--213.6-1.08936000000002</f>
        <v>2698.1687999999999</v>
      </c>
      <c r="Y73" s="3">
        <f>2681.5+(363.5-764.4)+(-4.102695+(-0.556155--1.169532))+0--217.7-0.333081000000013</f>
        <v>2494.4776009999996</v>
      </c>
      <c r="Z73" s="3">
        <f>2969.9+(189-708.5)+(1.514649+(0.09639-0.361335))+0--218.9--0.111638999999978</f>
        <v>2670.6613430000002</v>
      </c>
      <c r="AA73" s="3">
        <f>3491.4+(91.6-936)+(-7.122456+(-0.186864--1.90944))+0--220.4-0.44961599999999</f>
        <v>2861.5505040000003</v>
      </c>
      <c r="AB73" s="3">
        <f>3494.4+(87.5-910.1)+(-3.564288+(-0.08925--0.928302))+0--221.3-0.225726000000035</f>
        <v>2890.149038</v>
      </c>
      <c r="AC73" s="3">
        <f>3514.2+(104.8-913.4)+(-8.96121+(-0.26724--2.32917))+0--221.8-0.565589999999968</f>
        <v>2919.9351299999998</v>
      </c>
      <c r="AD73">
        <v>2841.3</v>
      </c>
      <c r="AE73" s="3">
        <f>3497+(87.2-961.7)+(0+(0-0))+0--218.8-0</f>
        <v>2841.3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3530.6+(94.9-942.6)+(-9.00303+(-0.241995--2.40363))+0--222.2-0.566609999999968</f>
        <v>2897.6919949999997</v>
      </c>
      <c r="G74" s="3">
        <f>3538.5+(96.7-1003)+(-9.023175+(-0.246585--2.55765))+0--207.9-0.53014499999997</f>
        <v>2832.8577449999998</v>
      </c>
      <c r="H74" s="3">
        <f>3459.3+(107.7-981.8)+(1.764243+(0.054927-0.500718))+0--164--0.0836399999999834</f>
        <v>2750.6020920000001</v>
      </c>
      <c r="I74" s="3">
        <f>3532.6+(113.1-1115.3)+(-1.801626+(-0.057681--0.568803))+0--166.4-0.0848639999999831</f>
        <v>2695.4246320000002</v>
      </c>
      <c r="J74" s="3">
        <f>3527+(136.6-1167.9)+(-12.59139+(-0.487662--4.169403))+0--166.9-0.595833000000002</f>
        <v>2653.0945179999999</v>
      </c>
      <c r="K74" s="3">
        <f>3303.9+(202.6-1130.9)+(-15.164901+(-0.929934--5.190831))+0--162.3-0.744957000000028</f>
        <v>2526.2510390000002</v>
      </c>
      <c r="L74" s="3">
        <f>2896.5+(328.2-995.7)+(-7.386075+(-0.83691--2.539035))+0--104-0.265199999999985</f>
        <v>2327.0508500000001</v>
      </c>
      <c r="M74" s="3">
        <f>2956.7+(272.7-1019.4)+(4.523751+(0.417231-1.559682))+0--104.3--0.159579000000006</f>
        <v>2317.8408790000003</v>
      </c>
      <c r="N74" s="3">
        <f>3183.9+(195.1-1045.6)+(4.871367+(0.298503-1.599768))+0--104.2--0.159426000000006</f>
        <v>2441.3295280000002</v>
      </c>
      <c r="O74" s="3">
        <f>3350.1+(89.4-1063.2)+(6.834204+(0.182376-2.168928))+0--144--0.293759999999994</f>
        <v>2525.4414119999997</v>
      </c>
      <c r="P74" s="3">
        <f>3348.2+(90.1-989.8)+(5.122746+(0.137853-1.514394))+0--213.2--0.326196000000012</f>
        <v>2665.7724009999997</v>
      </c>
      <c r="Q74" s="3">
        <f>3378+(105.3-872.6)+(0+(0-0))+0--213.1-0</f>
        <v>2823.7999999999997</v>
      </c>
      <c r="R74" s="3">
        <f>3367.1+(104.3-720.8)+(-1.717221+(-0.053193--0.367608))+0--212-0.108119999999978</f>
        <v>2961.089074</v>
      </c>
      <c r="S74" s="3">
        <f>3352.9+(26.6-642)+(-8.549895+(-0.06783--1.6371))+0--214-0.545699999999969</f>
        <v>2943.9736749999997</v>
      </c>
      <c r="T74" s="3">
        <f>3382.4+(31.3-646.5)+(-10.350144+(-0.095778--1.97829))+0--217-0.664020000000025</f>
        <v>2975.0683479999998</v>
      </c>
      <c r="U74" s="3">
        <f>3373.5+(75.5-689.1)+(-5.161455+(-0.115515--1.054323))+0--215.3-0.329409000000012</f>
        <v>2970.6479440000003</v>
      </c>
      <c r="V74" s="3">
        <f>3238+(73-608.5)+(0+(0-0))+0--215.2-0</f>
        <v>2917.7</v>
      </c>
      <c r="W74" s="3">
        <f>3116+(14.5-594.6)+(3.17832+(0.01479-0.606492))+0--213.9--0.218178000000034</f>
        <v>2752.6047960000001</v>
      </c>
      <c r="X74" s="3">
        <f>3133.2+(54-852.1)+(-4.793796+(-0.08262--1.303713))+0--217.1-0.332163000000013</f>
        <v>2548.295134</v>
      </c>
      <c r="Y74" s="3">
        <f>3131.9+(64.8-1041.7)+(1.597269+(0.033048-0.531267))+0--221.5--0.112964999999978</f>
        <v>2377.7120149999996</v>
      </c>
      <c r="Z74" s="3">
        <f>3427.6+(10-1109.8)+(-5.244228+(-0.0153--1.697994))+0--222.1-0.339813000000013</f>
        <v>2545.9986530000001</v>
      </c>
      <c r="AA74" s="3">
        <f>3652.5+(26.9-1185.5)+(-3.72555+(-0.027438--1.20921))+0--223-0.227460000000036</f>
        <v>2714.1287619999998</v>
      </c>
      <c r="AB74" s="3">
        <f>3587.8+(42.8-1141.1)+(-5.489334+(-0.065484--1.745883))+0--223-0.341190000000013</f>
        <v>2708.3498749999999</v>
      </c>
      <c r="AC74" s="3">
        <f>3438.7+(37.2-997.6)+(0+(0-0))+0--225.1-0</f>
        <v>2703.3999999999996</v>
      </c>
      <c r="AD74">
        <v>2750.4</v>
      </c>
      <c r="AE74" s="3">
        <f>3686+(38.4-1196.9)+(0+(0-0))+0--222.9-0</f>
        <v>2750.4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3428.9+(30-711.5)+(-3.497478+(-0.0306--0.72573))+0--226.9-0.231438000000036</f>
        <v>2971.2662139999998</v>
      </c>
      <c r="G75" s="3">
        <f>3331.5+(40.7-673.4)+(-6.79626+(-0.083028--1.373736))+0--184.2-0.375767999999992</f>
        <v>2877.11868</v>
      </c>
      <c r="H75" s="3">
        <f>3268.4+(71.9-724.9)+(-6.667536+(-0.146676--1.478796))+0--165.8-0.338231999999993</f>
        <v>2775.5263520000003</v>
      </c>
      <c r="I75" s="3">
        <f>3290.4+(55-773)+(1.678104+(0.02805-0.39423))+0--167.2--0.085271999999983</f>
        <v>2740.9971959999998</v>
      </c>
      <c r="J75" s="3">
        <f>3254.7+(67.5-814.3)+(-3.319794+(-0.06885--0.830586))+0--173.9-0.177378000000028</f>
        <v>2679.0645639999998</v>
      </c>
      <c r="K75" s="3">
        <f>2915.9+(147.9-756.1)+(-2.974218+(-0.150858--0.771222))+0--177.9-0.181458000000028</f>
        <v>2483.0646879999999</v>
      </c>
      <c r="L75" s="3">
        <f>2734.5+(219.1-865.3)+(-6.972975+(-0.558705--2.206515))+0--138-0.35189999999998</f>
        <v>2220.6229349999999</v>
      </c>
      <c r="M75" s="3">
        <f>2740.3+(179.6-882.2)+(0+(0-0))+0--120.3-0</f>
        <v>2158.0000000000005</v>
      </c>
      <c r="N75" s="3">
        <f>2777.6+(146.4-903.3)+(4.249728+(0.223992-1.382049))+0--160.4--0.245412000000009</f>
        <v>2184.4370829999998</v>
      </c>
      <c r="O75" s="3">
        <f>2844.7+(111.2-935.3)+(4.352391+(0.170136-1.431009))+0--208.6--0.319158000000012</f>
        <v>2232.6106759999998</v>
      </c>
      <c r="P75" s="3">
        <f>3015.9+(76.2-971.4)+(7.690545+(0.19431-2.47707))+0--237.5--0.605624999999966</f>
        <v>2364.2134100000003</v>
      </c>
      <c r="Q75" s="3">
        <f>3280+(15.6-1008.1)+(5.0184+(0.023868-1.542393))+0--233.6--0.357408000000013</f>
        <v>2524.9572829999997</v>
      </c>
      <c r="R75" s="3">
        <f>3232.6+(9-832.3)+(-3.297252+(-0.00918--0.848946))+0--231.6-0.236232000000037</f>
        <v>2638.2062820000001</v>
      </c>
      <c r="S75" s="3">
        <f>3105.5+(42.3-586.8)+(-1.583805+(-0.021573--0.299268))+0--215.5-0.109904999999978</f>
        <v>2775.0839850000002</v>
      </c>
      <c r="T75" s="3">
        <f>2933.2+(201.8-481.2)+(0+(0-0))+0--142.2-0</f>
        <v>2795.9999999999995</v>
      </c>
      <c r="U75" s="3">
        <f>2889+(247.8-461.7)+(0+(0-0))+0--120.1-0</f>
        <v>2795.2</v>
      </c>
      <c r="V75" s="3">
        <f>2795+(256.5-420.4)+(-4.27635+(-0.392445--0.643212))+0--120-0.183600000000007</f>
        <v>2746.890817</v>
      </c>
      <c r="W75" s="3">
        <f>2719.1+(166.2-419.6)+(-6.933705+(-0.42381--1.06998))+0--120-0.305999999999983</f>
        <v>2579.1064649999998</v>
      </c>
      <c r="X75" s="3">
        <f>2663.4+(197.1-609.8)+(-6.79167+(-0.502605--1.55499))+0--120.2-0.306509999999983</f>
        <v>2364.8542050000001</v>
      </c>
      <c r="Y75" s="3">
        <f>2582.5+(213.5-707.4)+(-2.63415+(-0.21777--0.721548))+0--119.9-0.122298000000019</f>
        <v>2206.2473299999997</v>
      </c>
      <c r="Z75" s="3">
        <f>2664.2+(47.2-496.7)+(-2.717484+(-0.048144--0.506634))+0--125.3-0.12780600000002</f>
        <v>2337.6132000000002</v>
      </c>
      <c r="AA75" s="3">
        <f>2730.4+(41.5-465.3)+(-5.570016+(-0.08466--0.949212))+0--179.2-0.365567999999992</f>
        <v>2480.7289679999994</v>
      </c>
      <c r="AB75" s="3">
        <f>2559.9+(164.3-402.2)+(-5.222196+(-0.335172--0.820488))+0--179.6-0.366383999999992</f>
        <v>2496.4967360000001</v>
      </c>
      <c r="AC75" s="3">
        <f>2779.9+(77.4-471)+(-2.835498+(-0.078948--0.48042))+0--180.1-0.183702000000029</f>
        <v>2563.7822720000004</v>
      </c>
      <c r="AD75">
        <v>2521.7000000000003</v>
      </c>
      <c r="AE75" s="3">
        <f>2629.5+(118.3-405.4)+(0+(0-0))+0--179.3-0</f>
        <v>2521.7000000000003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2886.8+(55.1-486.8)+(-5.889072+(-0.112404--0.993072))+0--180.3-0.367811999999992</f>
        <v>2630.0237840000004</v>
      </c>
      <c r="G76" s="3">
        <f>2617.5+(144-395.6)+(0+(0-0))+0--179.4-0</f>
        <v>2545.3000000000002</v>
      </c>
      <c r="H76" s="3">
        <f>2579.2+(138.8-434.3)+(-3.946176+(-0.212364--0.664479))+0--180.8-0.27662400000001</f>
        <v>2460.729315</v>
      </c>
      <c r="I76" s="3">
        <f>2604.3+(80-451.5)+(-2.656386+(-0.0816--0.46053))+0--181.3-0.184926000000029</f>
        <v>2411.6376180000007</v>
      </c>
      <c r="J76" s="3">
        <f>2965.4+(7-717.3)+(1.512354+(0.00357-0.365823))+0--181.6--0.0926159999999816</f>
        <v>2437.9427170000004</v>
      </c>
      <c r="K76" s="3">
        <f>2972.5+(15.2-774.3)+(-9.09585+(-0.046512--2.369358))+0--182.8-0.559368000000021</f>
        <v>2388.867628</v>
      </c>
      <c r="L76" s="3">
        <f>2650.6+(73.1-731.6)+(-4.055418+(-0.111843--1.119348))+0--183.5-0.280755000000011</f>
        <v>2172.2713319999998</v>
      </c>
      <c r="M76" s="3">
        <f>2560.2+(62.8-674.7)+(2.611404+(0.064056-0.688194))+0--183.1--0.186762000000029</f>
        <v>2133.5740279999995</v>
      </c>
      <c r="N76" s="3">
        <f>2594.1+(46-652.8)+(-6.614955+(-0.1173--1.66464))+0--181.8-0.463589999999974</f>
        <v>2163.5687950000001</v>
      </c>
      <c r="O76" s="3">
        <f>2793.6+(10-761.2)+(-1.424736+(-0.0051--0.388212))+0--184.7-0.0941969999999813</f>
        <v>2225.9641790000001</v>
      </c>
      <c r="P76" s="3">
        <f>2800.3+(12.4-741.5)+(0+(0-0))+0--237.1-0</f>
        <v>2308.3000000000002</v>
      </c>
      <c r="Q76" s="3">
        <f>2722.1+(9-561)+(1.388271+(0.00459-0.28611))+0--235.8--0.120257999999976</f>
        <v>2407.1270089999998</v>
      </c>
      <c r="R76" s="3">
        <f>2702.6+(180-573.1)+(0+(0-0))+0--234.3-0</f>
        <v>2543.8000000000002</v>
      </c>
      <c r="S76" s="3">
        <f>2663.7+(397.7-633.3)+(-1.358487+(-0.202827--0.322983))+0--240.1-0.122450999999976</f>
        <v>2666.8392179999996</v>
      </c>
      <c r="T76" s="3">
        <f>2669.2+(478.4-634.1)+(-6.80646+(-1.21992--1.616955))+0--238.7-0.608684999999965</f>
        <v>2745.1818899999998</v>
      </c>
      <c r="U76" s="3">
        <f>2701.9+(466.3-631.1)+(-2.755938+(-0.475626--0.643722))+0--236.7-0.241434000000038</f>
        <v>2770.9707239999998</v>
      </c>
      <c r="V76" s="3">
        <f>2711+(361-562.9)+(-6.91305+(-0.92055--1.435395))+0--239.3-0.610214999999965</f>
        <v>2741.39158</v>
      </c>
      <c r="W76" s="3">
        <f>2667.2+(164.2-485)+(-5.441088+(-0.334968--0.9894))+0--240.1-0.48980399999999</f>
        <v>2581.2235399999995</v>
      </c>
      <c r="X76" s="3">
        <f>2544.1+(42.1-495.9)+(-7.784946+(-0.128826--1.517454))+0--240.5-0.735930000000028</f>
        <v>2323.6677520000003</v>
      </c>
      <c r="Y76" s="3">
        <f>2408.4+(82.5-500.9)+(-3.684852+(-0.126225--0.766377))+0--182.7-0.279531000000011</f>
        <v>2169.3757689999998</v>
      </c>
      <c r="Z76" s="3">
        <f>2525.5+(52-466.6)+(-2.57601+(-0.05304--0.475932))+0--227-0.231540000000036</f>
        <v>2335.5153419999997</v>
      </c>
      <c r="AA76" s="3">
        <f>2832.1+(47.9-613.3)+(-5.777484+(-0.097716--1.251132))+0--241.2-0.492047999999989</f>
        <v>2502.7838839999995</v>
      </c>
      <c r="AB76" s="3">
        <f>2848.3+(64.1-607.7)+(-4.357899+(-0.098073--0.929781))+0--241.5-0.369495000000014</f>
        <v>2542.3043140000004</v>
      </c>
      <c r="AC76" s="3">
        <f>2853.1+(118.6-621)+(-4.365243+(-0.181458--0.95013))+0--242.4-0.370872000000014</f>
        <v>2589.1325569999999</v>
      </c>
      <c r="AD76">
        <v>2530.1</v>
      </c>
      <c r="AE76" s="3">
        <f>2850+(57-619.8)+(0+(0-0))+0--242.9-0</f>
        <v>2530.1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2905.8+(125.1-631.3)+(-5.927832+(-0.255204--1.287852))+0--243.1-0.495923999999989</f>
        <v>2637.3088920000005</v>
      </c>
      <c r="G77" s="3">
        <f>2926.5+(80.4-663)+(1.492515+(0.041004-0.33813))+0--244.8--0.124847999999975</f>
        <v>2590.0202370000002</v>
      </c>
      <c r="H77" s="3">
        <f>2939+(44.1-681.8)+(-2.99778+(-0.044982--0.695436))+0--244.2-0.249084000000039</f>
        <v>2542.9035899999999</v>
      </c>
      <c r="I77" s="3">
        <f>2871.6+(34-655.2)+(0+(0-0))+0--245.1-0</f>
        <v>2495.4999999999995</v>
      </c>
      <c r="J77" s="3">
        <f>2877.7+(34-699.5)+(4.402881+(0.05202-1.070235))+0--245.2--0.375156000000014</f>
        <v>2461.1598219999996</v>
      </c>
      <c r="K77" s="3">
        <f>2843.8+(47.3-738.2)+(-8.702028+(-0.144738--2.258892))+0--247.5-0.757350000000029</f>
        <v>2393.0547760000004</v>
      </c>
      <c r="L77" s="3">
        <f>2551.7+(116-627.3)+(-2.602734+(-0.11832--0.639846))+0--152.1-0.155142000000024</f>
        <v>2190.2636499999999</v>
      </c>
      <c r="M77" s="3">
        <f>2513+(79.6-593.5)+(1.28163+(0.040596-0.302685))+0--120.9--0.0616589999999877</f>
        <v>2121.0811999999996</v>
      </c>
      <c r="N77" s="3">
        <f>2602+(46.2-597.4)+(0+(0-0))+0--120.5-0</f>
        <v>2171.3000000000002</v>
      </c>
      <c r="O77" s="3">
        <f>2698.8+(25-638.7)+(-2.752776+(-0.0255--0.651474))+0--160.7-0.163914000000026</f>
        <v>2243.5092839999998</v>
      </c>
      <c r="P77" s="3">
        <f>2783.4+(21-674.2)+(0+(0-0))+0--191.6-0</f>
        <v>2321.7999999999997</v>
      </c>
      <c r="Q77" s="3">
        <f>2838.3+(21.6-638.4)+(1.447533+(0.011016-0.325584))+0--227.8--0.116177999999977</f>
        <v>2450.5491429999997</v>
      </c>
      <c r="R77" s="3">
        <f>2822.2+(145.4-636)+(2.878644+(0.148308-0.64872))+0--230.2--0.234804000000037</f>
        <v>2564.4130359999999</v>
      </c>
      <c r="S77" s="3">
        <f>2807.7+(276.6-639.7)+(-1.431927+(-0.141066--0.326247))+0--230.2-0.117401999999977</f>
        <v>2673.4358520000001</v>
      </c>
      <c r="T77" s="3">
        <f>2793.1+(355.9-609)+(1.424481+(0.181509-0.31059))+0--229.1--0.116840999999977</f>
        <v>2770.5122409999999</v>
      </c>
      <c r="U77" s="3">
        <f>2781.3+(385-598.2)+(-2.836926+(-0.3927--0.610164))+0--227.3-0.231846000000036</f>
        <v>2792.5486920000003</v>
      </c>
      <c r="V77" s="3">
        <f>2721.4+(342-532.6)+(-2.775828+(-0.34884--0.543252))+0--228.9-0.233478000000037</f>
        <v>2756.8851060000002</v>
      </c>
      <c r="W77" s="3">
        <f>2746.1+(91.3-464.9)+(-7.002555+(-0.232815--1.185495))+0--231.3-0.589814999999966</f>
        <v>2597.1603100000002</v>
      </c>
      <c r="X77" s="3">
        <f>2737.5+(86.3-640.3)+(-9.772875+(-0.308091--2.285871))+0--198.9-0.710073000000003</f>
        <v>2373.894832</v>
      </c>
      <c r="Y77" s="3">
        <f>2521.5+(72.2-598.5)+(-2.57193+(-0.073644--0.61047))+0--176.5-0.180030000000028</f>
        <v>2169.4848660000002</v>
      </c>
      <c r="Z77" s="3">
        <f>2631.4+(31.6-504)+(1.342014+(0.016116-0.25704))+0--178.4--0.0909839999999819</f>
        <v>2338.5920740000001</v>
      </c>
      <c r="AA77" s="3">
        <f>2895.1+(48.6-629.3)+(-4.429503+(-0.074358--0.962829))+0--188.1-0.287793000000011</f>
        <v>2498.6711749999999</v>
      </c>
      <c r="AB77" s="3">
        <f>2841.5+(93.2-625.5)+(-5.79666+(-0.190128--1.27602))+0--242.3-0.494291999999989</f>
        <v>2546.2949400000002</v>
      </c>
      <c r="AC77" s="3">
        <f>2824.2+(156.2-618.5)+(-7.20171+(-0.39831--1.577175))+0--243.8-0.621689999999965</f>
        <v>2599.0554649999999</v>
      </c>
      <c r="AD77">
        <v>2600.5000000000005</v>
      </c>
      <c r="AE77" s="3">
        <f>2954+(65.4-596.3)+(0+(0-0))+0--177.4-0</f>
        <v>2600.5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2822.8+(139.4-559.3)+(-4.318884+(-0.213282--0.855729))+0--244.1-0.373473000000014</f>
        <v>2642.9500899999998</v>
      </c>
      <c r="G78" s="3">
        <f>2838.2+(94.2-580.7)+(-2.894964+(-0.096084--0.592314))+0--245.4-0.250308000000039</f>
        <v>2594.4509579999999</v>
      </c>
      <c r="H78" s="3">
        <f>2854.8+(34-590.9)+(-2.911896+(-0.03468--0.602718))+0--247.7-0.252654000000039</f>
        <v>2543.0034879999998</v>
      </c>
      <c r="I78" s="3">
        <f>2903.1+(34-674.4)+(1.480581+(0.01734-0.343944))+0--246.7--0.125816999999975</f>
        <v>2510.6797939999997</v>
      </c>
      <c r="J78" s="3">
        <f>2851.1+(51.2-684.7)+(-7.270305+(-0.13056--1.745985))+0--249.7-0.636734999999964</f>
        <v>2461.0083849999996</v>
      </c>
      <c r="K78" s="3">
        <f>2720.8+(105-673.1)+(-9.713256+(-0.37485--2.402967))+0--248.7-0.887859000000004</f>
        <v>2392.827002</v>
      </c>
      <c r="L78" s="3">
        <f>2534.5+(125.9-623.1)+(2.58519+(0.128418-0.635562))+0--138.4--0.141168000000022</f>
        <v>2177.919214</v>
      </c>
      <c r="M78" s="3">
        <f>2665.2+(92.1-669.5)+(0+(0-0))+0--121.1-0</f>
        <v>2208.8999999999996</v>
      </c>
      <c r="N78" s="3">
        <f>2798.8+(68.6-726.7)+(0+(0-0))+0--180.5-0</f>
        <v>2321.2000000000003</v>
      </c>
      <c r="O78" s="3">
        <f>3072.5+(28.2-860.7)+(1.566975+(0.014382-0.438957))+0--186.4--0.0950639999999811</f>
        <v>2427.6374640000004</v>
      </c>
      <c r="P78" s="3">
        <f>3205.7+(38-895.9)+(3.269814+(0.03876-0.913818))+0--191.2--0.19502400000003</f>
        <v>2541.5897799999998</v>
      </c>
      <c r="Q78" s="3">
        <f>3184.6+(24.9-777.9)+(1.624146+(0.012699-0.396729))+0--241.6--0.123215999999975</f>
        <v>2674.5633319999997</v>
      </c>
      <c r="R78" s="3">
        <f>3186+(48.1-679.5)+(1.62486+(0.024531-0.346545))+0--242.6--0.123725999999975</f>
        <v>2798.6265719999997</v>
      </c>
      <c r="S78" s="3">
        <f>3307.7+(235.4-649.9)+(-3.373854+(-0.240108--0.662898))+0--245.6-0.250512000000039</f>
        <v>3135.5984239999998</v>
      </c>
      <c r="T78" s="3">
        <f>3349+(321.4-672.6)+(-1.70799+(-0.163914--0.343026))+0--239.7-0.122246999999976</f>
        <v>3235.8488750000001</v>
      </c>
      <c r="U78" s="3">
        <f>3338+(317.9-644)+(-6.80952+(-0.648516--1.31376))+0--239.6-0.48878399999999</f>
        <v>3244.8669399999999</v>
      </c>
      <c r="V78" s="3">
        <f>3319+(212.3-581.4)+(-11.84883+(-0.757911--2.075598))+0--240.6-0.858942000000003</f>
        <v>3179.109915</v>
      </c>
      <c r="W78" s="3">
        <f>3231.7+(83.3-586.1)+(-4.944501+(-0.127449--0.896733))+0--245.6-0.375768000000014</f>
        <v>2969.9490149999997</v>
      </c>
      <c r="X78" s="3">
        <f>3234.8+(118.3-904.7)+(-8.24874+(-0.301665--2.306985))+0--244.6-0.623729999999964</f>
        <v>2686.1328500000004</v>
      </c>
      <c r="Y78" s="3">
        <f>2956.3+(117.9-842.7)+(-4.523139+(-0.180387--1.289331))+0--245.8-0.376074000000014</f>
        <v>2473.5097310000006</v>
      </c>
      <c r="Z78" s="3">
        <f>3257.7+(21-887.7)+(-3.322854+(-0.02142--0.905454))+0--248.3-0.25326600000004</f>
        <v>2636.6079140000002</v>
      </c>
      <c r="AA78" s="3">
        <f>3441.7+(41-900.8)+(-7.021068+(-0.08364--1.837632))+0--247.5-0.504899999999989</f>
        <v>2823.6280239999996</v>
      </c>
      <c r="AB78" s="3">
        <f>3454+(64-899)+(-7.04616+(-0.13056--1.83396))+0--247.6-0.505103999999989</f>
        <v>2860.7521360000001</v>
      </c>
      <c r="AC78" s="3">
        <f>3461.1+(78-877.1)+(-5.295483+(-0.11934--1.341963))+0--247.4-0.378522000000014</f>
        <v>2904.9486179999999</v>
      </c>
      <c r="AD78">
        <v>2821.4999999999995</v>
      </c>
      <c r="AE78" s="3">
        <f>3428.5+(56.2-909.8)+(0+(0-0))+0--246.6-0</f>
        <v>2821.5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3479+(36-871.9)+(-8.87145+(-0.0918--2.223345))+0--249-0.634949999999964</f>
        <v>2884.7251449999999</v>
      </c>
      <c r="G79" s="3">
        <f>3479.3+(38-936)+(-7.097772+(-0.07752--1.90944))+0--217.7-0.44410799999999</f>
        <v>2793.2900399999999</v>
      </c>
      <c r="H79" s="3">
        <f>3451.2+(40-943.3)+(-3.520224+(-0.0408--0.962166))+0--186.2-0.18992400000003</f>
        <v>2731.3112179999994</v>
      </c>
      <c r="I79" s="3">
        <f>3456.9+(39-997.1)+(-8.815095+(-0.09945--2.542605))+0--187.4-0.477869999999973</f>
        <v>2679.3501900000001</v>
      </c>
      <c r="J79" s="3">
        <f>3466.2+(38-1047.6)+(-8.83881+(-0.0969--2.67138))+0--187.9-0.479144999999973</f>
        <v>2637.7565250000002</v>
      </c>
      <c r="K79" s="3">
        <f>3296.6+(94.8-1005.4)+(-8.40633+(-0.24174--2.56377))+0--188.2-0.479909999999973</f>
        <v>2567.6357899999998</v>
      </c>
      <c r="L79" s="3">
        <f>2898.1+(129.4-864.4)+(1.478031+(0.065994-0.440844))+0--131--0.0668099999999867</f>
        <v>2295.2699909999997</v>
      </c>
      <c r="M79" s="3">
        <f>2917.2+(120.1-867.4)+(0+(0-0))+0--123.6-0</f>
        <v>2293.4999999999995</v>
      </c>
      <c r="N79" s="3">
        <f>3295.4+(42.3-999.2)+(-3.361308+(-0.043146--1.019184))+0--100.8-0.102816000000016</f>
        <v>2436.8119139999999</v>
      </c>
      <c r="O79" s="3">
        <f>3486.1+(23-1021.6)+(-3.555822+(-0.02346--1.042032))+0--58.4-0.0595680000000093</f>
        <v>2543.3031820000001</v>
      </c>
      <c r="P79" s="3">
        <f>3444.8+(24-884.6)+(-5.270544+(-0.03672--1.353438))+0--58.1-0.0888930000000034</f>
        <v>2638.2572810000001</v>
      </c>
      <c r="Q79" s="3">
        <f>3433.7+(57-787.4)+(1.751187+(0.02907-0.401574))+0--90.9--0.0463589999999908</f>
        <v>2795.6250419999997</v>
      </c>
      <c r="R79" s="3">
        <f>3515.9+(169.9-775.6)+(3.586218+(0.173298-0.791112))+0--115.8--0.118116000000018</f>
        <v>3029.0865200000003</v>
      </c>
      <c r="S79" s="3">
        <f>3512+(298.6-816.5)+(-3.58224+(-0.304572--0.83283))+0--116.7-0.119034000000019</f>
        <v>3107.626984</v>
      </c>
      <c r="T79" s="3">
        <f>3520.9+(365.5-801)+(-1.795659+(-0.186405--0.40851))+0--116.7-0.0595169999999882</f>
        <v>3200.4669289999997</v>
      </c>
      <c r="U79" s="3">
        <f>3537+(327.7-749.9)+(-1.80387+(-0.167127--0.382449))+0--116.2-0.0592619999999882</f>
        <v>3229.3521900000001</v>
      </c>
      <c r="V79" s="3">
        <f>3531+(243.9-702.3)+(-3.60162+(-0.248778--0.716346))+0--115.4-0.117708000000018</f>
        <v>3184.7482399999999</v>
      </c>
      <c r="W79" s="3">
        <f>3521.1+(67-702)+(-5.387283+(-0.10251--1.07406))+0--114.9-0.175797000000007</f>
        <v>2996.4084700000003</v>
      </c>
      <c r="X79" s="3">
        <f>3503.8+(21-928.1)+(-8.93469+(-0.05355--2.366655))+0--117.8-0.300389999999983</f>
        <v>2707.5780250000007</v>
      </c>
      <c r="Y79" s="3">
        <f>3108.9+(88.2-828.5)+(-6.342156+(-0.179928--1.69014))+0--117.1-0.238883999999995</f>
        <v>2480.6291720000004</v>
      </c>
      <c r="Z79" s="3">
        <f>3205.7+(53-745.1)+(0+(0-0))+0--117.7-0</f>
        <v>2631.2999999999997</v>
      </c>
      <c r="AA79" s="3">
        <f>3634.9+(54-974.4)+(-3.707598+(-0.05508--0.993888))+0--118.7-0.121074000000019</f>
        <v>2830.3101359999996</v>
      </c>
      <c r="AB79" s="3">
        <f>3643.4+(64-958)+(-5.574402+(-0.09792--1.46574))+0--119.1-0.182223000000007</f>
        <v>2864.1111950000004</v>
      </c>
      <c r="AC79" s="3">
        <f>3633.6+(76-928.7)+(-1.853136+(-0.03876--0.473637))+0--119.1-0.0607409999999879</f>
        <v>2898.5209999999997</v>
      </c>
      <c r="AD79">
        <v>2878.7</v>
      </c>
      <c r="AE79" s="3">
        <f>3631+(71.2-941.1)+(0+(0-0))+0--117.6-0</f>
        <v>2878.7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3622.2+(31-875.8)+(-1.847322+(-0.01581--0.446658))+0--119.3-0.0608429999999879</f>
        <v>2895.2226829999995</v>
      </c>
      <c r="G80" s="3">
        <f>3634.2+(33-962.4)+(-3.706884+(-0.03366--0.981648))+0--119.5-0.121890000000019</f>
        <v>2821.419214</v>
      </c>
      <c r="H80" s="3">
        <f>3657.7+(31-1048.7)+(-3.730854+(-0.03162--1.069674))+0--119.5-0.121890000000019</f>
        <v>2756.6853100000003</v>
      </c>
      <c r="I80" s="3">
        <f>3655.4+(30-1102.8)+(-11.185524+(-0.0918--3.374568))+0--120.3-0.368118000000014</f>
        <v>2694.6291260000007</v>
      </c>
      <c r="J80" s="3">
        <f>3625.2+(30-1107)+(1.848852+(0.0153-0.56457))+0--120.6--0.0615059999999878</f>
        <v>2670.1610879999998</v>
      </c>
      <c r="K80" s="3">
        <f>3475.8+(29-1050.6)+(-3.545316+(-0.02958--1.071612))+0--120.3-0.122706000000019</f>
        <v>2571.8740100000005</v>
      </c>
      <c r="L80" s="3">
        <f>3021.7+(103.7-861)+(-3.082134+(-0.105774--0.87822))+0--58-0.0591600000000092</f>
        <v>2320.031152</v>
      </c>
      <c r="M80" s="3">
        <f>3057.3+(69.3-852.3)+(3.118446+(0.070686-0.869346))+0--57.3--0.0584460000000091</f>
        <v>2333.9782320000004</v>
      </c>
      <c r="N80" s="3">
        <f>3361.6+(27.4-1008.9)+(5.143248+(0.041922-1.543617))+0--76.5--0.117045000000004</f>
        <v>2460.3585979999998</v>
      </c>
      <c r="O80" s="3">
        <f>3590.4+(19.1-1168.2)+(1.831104+(0.009741-0.595782))+0--138--0.070379999999986</f>
        <v>2580.6154430000001</v>
      </c>
      <c r="P80" s="3">
        <f>3585.7+(16.8-1049.5)+(1.828707+(0.008568-0.535245))+0--150.4--0.0767039999999847</f>
        <v>2704.778734</v>
      </c>
      <c r="Q80" s="3">
        <f>3540.2+(43.2-824.8)+(0+(0-0))+0--165.8-0</f>
        <v>2924.4</v>
      </c>
      <c r="R80" s="3">
        <f>3514.7+(79.1-678.5)+(1.792497+(0.040341-0.346035))+0--175.5--0.0895049999999822</f>
        <v>3092.3763079999994</v>
      </c>
      <c r="S80" s="3">
        <f>3478.5+(204.6-655.8)+(-5.322105+(-0.313038--1.003374))+0--175.1-0.26790300000001</f>
        <v>3197.5003280000001</v>
      </c>
      <c r="T80" s="3">
        <f>3456.7+(328.3-668.5)+(3.525834+(0.334866-0.68187))+0--123.6--0.12607200000002</f>
        <v>3243.4049019999998</v>
      </c>
      <c r="U80" s="3">
        <f>3459.1+(346.4-680)+(-7.056564+(-0.706656--1.3872))+0--113.9-0.232355999999995</f>
        <v>3232.791624</v>
      </c>
      <c r="V80" s="3">
        <f>3446.9+(260.6-632.9)+(-5.273757+(-0.398718--0.968337))+0--114.5-0.175185000000007</f>
        <v>3184.2206770000003</v>
      </c>
      <c r="W80" s="3">
        <f>3419.8+(70-609.3)+(-3.488196+(-0.0714--0.621486))+0--125.6-0.12811200000002</f>
        <v>3003.033778</v>
      </c>
      <c r="X80" s="3">
        <f>3420+(59.3-888.3)+(-13.9536+(-0.241944--3.624264))+0--140.6-0.573647999999988</f>
        <v>2720.4550719999997</v>
      </c>
      <c r="Y80" s="3">
        <f>3275.8+(28.4-871.6)+(-3.341316+(-0.028968--0.889032))+0--67.2-0.0685440000000107</f>
        <v>2497.2502039999999</v>
      </c>
      <c r="Z80" s="3">
        <f>3485.5+(38-945.8)+(-7.11042+(-0.07752--1.929432))+0--92.1-0.187883999999996</f>
        <v>2664.3536079999999</v>
      </c>
      <c r="AA80" s="3">
        <f>3597.4+(56-903)+(-9.17337+(-0.1428--2.30265))+0--117.3-0.299114999999983</f>
        <v>2860.3873650000005</v>
      </c>
      <c r="AB80" s="3">
        <f>3591.6+(74-863.5)+(-7.326864+(-0.15096--1.76154))+0--117.4-0.239495999999995</f>
        <v>2913.5442199999998</v>
      </c>
      <c r="AC80" s="3">
        <f>3536.3+(77-788)+(-7.214052+(-0.15708--1.60752))+0--117.3-0.239291999999995</f>
        <v>2936.597096</v>
      </c>
      <c r="AD80">
        <v>2936.9</v>
      </c>
      <c r="AE80" s="3">
        <f>3593+(83.4-856.5)+(0+(0-0))+0--117-0</f>
        <v>2936.9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3523.7+(106.4-771.1)+(0+(0-0))+0--117.9-0</f>
        <v>2976.9</v>
      </c>
      <c r="G81" s="3">
        <f>3506.8+(101.8-829.1)+(-1.788468+(-0.051918--0.422841))+0--115.5-0.0589049999999883</f>
        <v>2893.5235500000003</v>
      </c>
      <c r="H81" s="3">
        <f>3394.4+(105.4-799.6)+(1.731144+(0.053754-0.407796))+0--113.6--0.0579359999999885</f>
        <v>2815.2350379999998</v>
      </c>
      <c r="I81" s="3">
        <f>3371+(102.4-829.7)+(-1.71921+(-0.052224--0.423147))+0--114.1-0.0581909999999884</f>
        <v>2756.3935219999998</v>
      </c>
      <c r="J81" s="3">
        <f>3427.6+(85.8-907.4)+(-1.748076+(-0.043758--0.462774))+0--108.6-0.055385999999989</f>
        <v>2713.2155539999999</v>
      </c>
      <c r="K81" s="3">
        <f>3415.2+(60.2-946.4)+(-8.70876+(-0.15351--2.41332))+0--102.9-0.262394999999985</f>
        <v>2625.1886549999999</v>
      </c>
      <c r="L81" s="3">
        <f>3061+(79.2-802.1)+(-3.12222+(-0.080784--0.818142))+0--45.3-0.0462060000000072</f>
        <v>2380.9689320000002</v>
      </c>
      <c r="M81" s="3">
        <f>3009.5+(71.6-765.6)+(3.06969+(0.073032-0.780912))+0--45.1--0.0460020000000072</f>
        <v>2363.0078119999998</v>
      </c>
      <c r="N81" s="3">
        <f>3219+(11-911.9)+(4.92507+(0.01683-1.395207))+0--152.2--0.232866000000009</f>
        <v>2474.0795589999993</v>
      </c>
      <c r="O81" s="3">
        <f>3386.2+(6-1031.2)+(0+(0-0))+0--224.5-0</f>
        <v>2585.5</v>
      </c>
      <c r="P81" s="3">
        <f>3340.8+(29-900.2)+(0+(0-0))+0--236.9-0</f>
        <v>2706.5000000000005</v>
      </c>
      <c r="Q81" s="3">
        <f>3288+(82.5-730.9)+(3.35376+(0.08415-0.745518))+0--265--0.270300000000042</f>
        <v>2907.562692</v>
      </c>
      <c r="R81" s="3">
        <f>3281.5+(322.7-733.6)+(-1.673565+(-0.164577--0.374136))+0--252.4-0.128723999999974</f>
        <v>3121.4072699999997</v>
      </c>
      <c r="S81" s="3">
        <f>3265.6+(420-718.7)+(-6.661824+(-0.8568--1.466148))+0--243.3-0.496331999999989</f>
        <v>3203.6511919999998</v>
      </c>
      <c r="T81" s="3">
        <f>3247.5+(523.1-730.4)+(-6.6249+(-1.067124--1.490016))+0--238.4-0.48633599999999</f>
        <v>3271.9116559999998</v>
      </c>
      <c r="U81" s="3">
        <f>3236.5+(568.3-704.4)+(-1.650615+(-0.289833--0.359244))+0--172.7-0.0880769999999825</f>
        <v>3271.430719</v>
      </c>
      <c r="V81" s="3">
        <f>3221.8+(458.4-649.2)+(-8.21559+(-1.16892--1.65546))+0--173.3-0.441914999999975</f>
        <v>3196.1290350000004</v>
      </c>
      <c r="W81" s="3">
        <f>3230.4+(164.5-554.2)+(-3.295008+(-0.16779--0.565284))+0--173.3-0.176766000000028</f>
        <v>3010.9257200000002</v>
      </c>
      <c r="X81" s="3">
        <f>3223.7+(66.8-807.8)+(-9.864522+(-0.204408--2.471868))+0--231.6-0.708696000000027</f>
        <v>2705.9942419999998</v>
      </c>
      <c r="Y81" s="3">
        <f>2780.6+(131.3-676.8)+(-1.418106+(-0.066963--0.345168))+0--233-0.118829999999976</f>
        <v>2466.841269</v>
      </c>
      <c r="Z81" s="3">
        <f>3183.6+(56-820.8)+(-4.870908+(-0.08568--1.255824))+0--234.1-0.358173000000014</f>
        <v>2648.8410629999998</v>
      </c>
      <c r="AA81" s="3">
        <f>3335.7+(70-800.1)+(-5.103621+(-0.1071--1.224153))+0--234.6-0.358938000000014</f>
        <v>2835.8544940000002</v>
      </c>
      <c r="AB81" s="3">
        <f>3347.4+(81.8-799)+(-10.243044+(-0.250308--2.44494))+0--234-0.716040000000027</f>
        <v>2855.4355479999995</v>
      </c>
      <c r="AC81" s="3">
        <f>3341.8+(91.2-764.5)+(-3.408636+(-0.093024--0.77979))+0--231.6-0.236232000000037</f>
        <v>2897.1418979999999</v>
      </c>
      <c r="AD81">
        <v>2818.3</v>
      </c>
      <c r="AE81" s="3">
        <f>3320.5+(69-803.2)+(0+(0-0))+0--232-0</f>
        <v>2818.3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3348.6+(138.3-771.6)+(-6.831144+(-0.282132--1.574064))+0--222.5-0.45389999999999</f>
        <v>2931.8068880000001</v>
      </c>
      <c r="G82" s="3">
        <f>3365.4+(110.9-819.4)+(-8.58177+(-0.282795--2.08947))+0--220.2-0.561509999999968</f>
        <v>2869.7633949999999</v>
      </c>
      <c r="H82" s="3">
        <f>3387.6+(88.9-888.7)+(-3.455352+(-0.090678--0.906474))+0--219.7-0.224094000000035</f>
        <v>2804.6363499999993</v>
      </c>
      <c r="I82" s="3">
        <f>3391.3+(79-935.9)+(-1.729563+(-0.04029--0.477309))+0--219.7-0.112046999999978</f>
        <v>2752.6954089999999</v>
      </c>
      <c r="J82" s="3">
        <f>3390.4+(73-972.3)+(-3.458208+(-0.07446--0.991746))+0--219.9-0.224298000000035</f>
        <v>2708.2347800000002</v>
      </c>
      <c r="K82" s="3">
        <f>3200.2+(72-856.5)+(-8.16051+(-0.1836--2.184075))+0--205.2-0.52325999999997</f>
        <v>2614.2167049999998</v>
      </c>
      <c r="L82" s="3">
        <f>2704.5+(132-584.4)+(0+(0-0))+0--100.6-0</f>
        <v>2352.6999999999998</v>
      </c>
      <c r="M82" s="3">
        <f>2748.7+(85.6-633.6)+(1.401837+(0.043656-0.323136))+0--94.9--0.0483989999999904</f>
        <v>2296.7707559999999</v>
      </c>
      <c r="N82" s="3">
        <f>2855.7+(69-685.1)+(-1.456407+(-0.03519--0.349401))+0--81.3-0.0414629999999918</f>
        <v>2319.7163410000003</v>
      </c>
      <c r="O82" s="3">
        <f>2914.4+(71-623.1)+(-1.486344+(-0.03621--0.317781))+0-4--0.00203999999999959</f>
        <v>2357.0972670000001</v>
      </c>
      <c r="P82" s="3">
        <f>2942.3+(76.9-570.9)+(-1.500573+(-0.039219--0.291159))+0-6.2--0.00316199999999937</f>
        <v>2440.8545290000002</v>
      </c>
      <c r="Q82" s="3">
        <f>3110.9+(130-633.8)+(1.586559+(0.0663-0.323238))+0-6.4-0.00326399999999935</f>
        <v>2602.0263570000002</v>
      </c>
      <c r="R82" s="3">
        <f>3139.7+(305-688)+(-1.601247+(-0.15555--0.35088))+0-2.7--0.00137699999999973</f>
        <v>2752.59546</v>
      </c>
      <c r="S82" s="3">
        <f>3140.1+(423.5-716.4)+(-3.202902+(-0.43197--0.730728))+0--22.9-0.0233580000000037</f>
        <v>2867.1724979999999</v>
      </c>
      <c r="T82" s="3">
        <f>3123.2+(381.5-755.2)+(-6.371328+(-0.77826--1.540608))+0--227.7-0.46450799999999</f>
        <v>2971.1265119999998</v>
      </c>
      <c r="U82" s="3">
        <f>3140.5+(364.3-735.7)+(-4.804965+(-0.557379--1.125621))+0--229.8-0.351594000000013</f>
        <v>2994.3116829999999</v>
      </c>
      <c r="V82" s="3">
        <f>3076.1+(346.4-673.4)+(-4.706433+(-0.529992--1.030302))+0--214.4-0.328032000000012</f>
        <v>2958.9658450000002</v>
      </c>
      <c r="W82" s="3">
        <f>2856+(265.9-510.9)+(-7.2828+(-0.678045--1.302795))+0--164.7-0.419984999999976</f>
        <v>2768.6219649999998</v>
      </c>
      <c r="X82" s="3">
        <f>2704.8+(83.7-481.8)+(-6.89724+(-0.213435--1.22859))+0--160.7-0.409784999999977</f>
        <v>2461.1081300000001</v>
      </c>
      <c r="Y82" s="3">
        <f>2709.1+(76.5-701)+(-2.763282+(-0.07803--0.71502))+0--122.5-0.12495000000002</f>
        <v>2204.8487580000001</v>
      </c>
      <c r="Z82" s="3">
        <f>2977+(78-786.2)+(1.51827+(0.03978-0.400962))+0--99.7--0.0508469999999899</f>
        <v>2369.7079349999999</v>
      </c>
      <c r="AA82" s="3">
        <f>3249.5+(85-871.2)+(-6.62898+(-0.1734--1.777248))+0--99.3-0.202571999999996</f>
        <v>2557.372296</v>
      </c>
      <c r="AB82" s="3">
        <f>3325+(86-882.6)+(-3.3915+(-0.08772--0.900252))+0--99.4-0.101388000000016</f>
        <v>2625.1196440000003</v>
      </c>
      <c r="AC82" s="3">
        <f>3359.8+(97-866.3)+(-3.426996+(-0.09894--0.883626))+0--99.3-0.101286000000016</f>
        <v>2687.0564039999999</v>
      </c>
      <c r="AD82">
        <v>2611</v>
      </c>
      <c r="AE82" s="3">
        <f>3247+(99-833.6)+(0+(0-0))+0--98.6-0</f>
        <v>2611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3378.7+(118-807)+(-3.446274+(-0.12036--0.82314))+0--99.2-0.101184000000016</f>
        <v>2786.0553219999997</v>
      </c>
      <c r="G83" s="3">
        <f>3412.1+(106-876.3)+(-8.700855+(-0.2703--2.234565))+0--99.1-0.252704999999986</f>
        <v>2733.9107050000002</v>
      </c>
      <c r="H83" s="3">
        <f>3297.2+(105-832.5)+(-8.40786+(-0.26775--2.122875))+0--99.2-0.252959999999986</f>
        <v>2662.0943049999996</v>
      </c>
      <c r="I83" s="3">
        <f>3239.7+(99-832.6)+(1.652247+(0.05049-0.424626))+0--99.4--0.0506939999999899</f>
        <v>2606.8288050000001</v>
      </c>
      <c r="J83" s="3">
        <f>3242.5+(89-863.3)+(0+(0-0))+0--99.2-0</f>
        <v>2567.3999999999996</v>
      </c>
      <c r="K83" s="3">
        <f>3160.2+(83-839.5)+(-9.670212+(-0.25398--2.56887))+0--98.7-0.302022000000011</f>
        <v>2494.7426559999999</v>
      </c>
      <c r="L83" s="3">
        <f>2986.3+(21.4-913.6)+(4.569039+(0.032742-1.397808))+0--131.2--0.200736000000008</f>
        <v>2228.7047090000005</v>
      </c>
      <c r="M83" s="3">
        <f>3331.5+(20-1256.4)+(-5.097195+(-0.0306--1.922292))+0--176.9-0.27065700000001</f>
        <v>2268.5238399999998</v>
      </c>
      <c r="N83" s="3">
        <f>3563.4+(21-1382.6)+(3.634668+(0.02142-1.410252))+0--229--0.233580000000037</f>
        <v>2433.2794160000003</v>
      </c>
      <c r="O83" s="3">
        <f>3556.8+(28-1303.5)+(3.627936+(0.02856-1.32957))+0--226.6--0.231132000000036</f>
        <v>2510.4580580000002</v>
      </c>
      <c r="P83" s="3">
        <f>3540.5+(46-1198.3)+(5.416965+(0.07038-1.833399))+0--225.8--0.345474000000013</f>
        <v>2617.9994200000001</v>
      </c>
      <c r="Q83" s="3">
        <f>3516.8+(51-1063.3)+(0+(0-0))+0--225.6-0</f>
        <v>2730.1</v>
      </c>
      <c r="R83" s="3">
        <f>3448.3+(101-838.3)+(1.758633+(0.05151-0.427533))+0--224.7--0.114596999999977</f>
        <v>2937.1972069999997</v>
      </c>
      <c r="S83" s="3">
        <f>3429+(179.1-793.4)+(-1.74879+(-0.091341--0.404634))+0--223.6-0.114035999999977</f>
        <v>3036.7504669999998</v>
      </c>
      <c r="T83" s="3">
        <f>3419.6+(244.6-754.2)+(-1.743996+(-0.124746--0.384642))+0--223.3-0.113882999999977</f>
        <v>3131.7020170000001</v>
      </c>
      <c r="U83" s="3">
        <f>3455.4+(238.5-720.7)+(-3.524508+(-0.24327--0.735114))+0--218.7-0.223074000000035</f>
        <v>3188.6442619999998</v>
      </c>
      <c r="V83" s="3">
        <f>3475+(126.3-701.1)+(-3.5445+(-0.128826--0.715122))+0--222.2-0.226644000000035</f>
        <v>3119.2151519999998</v>
      </c>
      <c r="W83" s="3">
        <f>3517.4+(52-862.3)+(-7.175496+(-0.10608--1.759092))+0--222.5-0.45389999999999</f>
        <v>2923.6236160000003</v>
      </c>
      <c r="X83" s="3">
        <f>3510.5+(44.2-1150)+(-8.951775+(-0.11271--2.9325))+0--216.8-0.552839999999969</f>
        <v>2614.8151750000002</v>
      </c>
      <c r="Y83" s="3">
        <f>3260.4+(67.8-1062.9)+(-4.988412+(-0.103734--1.626237))+0--103.5-0.158355000000006</f>
        <v>2365.1757360000001</v>
      </c>
      <c r="Z83" s="3">
        <f>3328.9+(24-958.7)+(-5.093217+(-0.03672--1.466811))+0--102.1-0.156213000000006</f>
        <v>2492.4806609999996</v>
      </c>
      <c r="AA83" s="3">
        <f>3673.9+(23-1198.8)+(-5.621067+(-0.03519--1.834164))+0--205.3-0.314109000000012</f>
        <v>2699.2637980000004</v>
      </c>
      <c r="AB83" s="3">
        <f>3675.1+(22-1184.5)+(-1.874301+(-0.01122--0.604095))+0--224-0.114239999999977</f>
        <v>2735.204334</v>
      </c>
      <c r="AC83" s="3">
        <f>3679.6+(27-1145.5)+(-3.753192+(-0.02754--1.16841))+0--225.9-0.230418000000036</f>
        <v>2784.15726</v>
      </c>
      <c r="AD83">
        <v>2764</v>
      </c>
      <c r="AE83" s="3">
        <f>3676+(24-1158)+(0+(0-0))+0--222-0</f>
        <v>2764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3689.5+(43-1118.4)+(-1.881645+(-0.02193--0.570384))+0--226.3-0.115412999999977</f>
        <v>2838.9513959999999</v>
      </c>
      <c r="G84" s="3">
        <f>3700.4+(38-1193.3)+(-5.661612+(-0.05814--1.825749))+0--227.1-0.347463000000013</f>
        <v>2767.9585340000003</v>
      </c>
      <c r="H84" s="3">
        <f>3697+(44-1238.4)+(-1.88547+(-0.02244--0.631584))+0--220.8-0.112607999999978</f>
        <v>2722.011066</v>
      </c>
      <c r="I84" s="3">
        <f>3632.5+(40-1125.8)+(-5.557725+(-0.0612--1.722474))+0--94.3-0.144279000000005</f>
        <v>2636.9592699999998</v>
      </c>
      <c r="J84" s="3">
        <f>3633.9+(55.2-1169)+(-7.413156+(-0.112608--2.38476))+0--92.5-0.188699999999996</f>
        <v>2607.2702960000001</v>
      </c>
      <c r="K84" s="3">
        <f>3506.8+(111.5-1168.2)+(-16.096212+(-0.511785--5.362038))+0--94.4-0.433296000000016</f>
        <v>2532.8207450000004</v>
      </c>
      <c r="L84" s="3">
        <f>2995.1+(203.4-983.5)+(-12.220008+(-0.829872--4.01268))+0--95.5-0.389639999999992</f>
        <v>2301.0731599999999</v>
      </c>
      <c r="M84" s="3">
        <f>2958.4+(181.8-912.1)+(-3.017568+(-0.185436--0.930342))+0--95.6-0.0975120000000152</f>
        <v>2321.3298260000006</v>
      </c>
      <c r="N84" s="3">
        <f>3373.8+(93.3-1146)+(-6.882552+(-0.190332--2.33784))+0--116.5-0.237659999999995</f>
        <v>2432.6272960000006</v>
      </c>
      <c r="O84" s="3">
        <f>3514.3+(39-1217.4)+(-5.376879+(-0.05967--1.862622))+0--175.3-0.26820900000001</f>
        <v>2507.3578640000005</v>
      </c>
      <c r="P84" s="3">
        <f>3614.7+(25-1240.3)+(-3.686994+(-0.0255--1.265106))+0--219.6-0.223992000000035</f>
        <v>2616.3286199999993</v>
      </c>
      <c r="Q84" s="3">
        <f>3640.6+(27-1124.9)+(-1.856706+(-0.01377--0.573699))+0--219.4-0.111893999999978</f>
        <v>2760.6913289999998</v>
      </c>
      <c r="R84" s="3">
        <f>3637.8+(57-1032.4)+(-5.565834+(-0.08721--1.579572))+0--218-0.333540000000013</f>
        <v>2875.992988</v>
      </c>
      <c r="S84" s="3">
        <f>3623.7+(73-905.6)+(-5.544261+(-0.11169--1.385568))+0--219-0.335070000000013</f>
        <v>3005.4945469999998</v>
      </c>
      <c r="T84" s="3">
        <f>3606.4+(89-879)+(1.839264+(0.04539-0.44829))+0--215.8--0.110057999999978</f>
        <v>3033.7464220000002</v>
      </c>
      <c r="U84" s="3">
        <f>3589.2+(93.8-781.3)+(-9.15246+(-0.23919--1.992315))+0--217.9-0.555644999999968</f>
        <v>3111.6450199999999</v>
      </c>
      <c r="V84" s="3">
        <f>3560.4+(60-792.8)+(0+(0-0))+0--216.5-0</f>
        <v>3044.1000000000004</v>
      </c>
      <c r="W84" s="3">
        <f>3529.6+(26-898.9)+(-3.600192+(-0.02652--0.916878))+0--218.6-0.222972000000035</f>
        <v>2872.3671939999999</v>
      </c>
      <c r="X84" s="3">
        <f>3498.5+(57.7-1177.4)+(-5.352705+(-0.088281--1.801422))+0--221.1-0.338283000000013</f>
        <v>2595.922153</v>
      </c>
      <c r="Y84" s="3">
        <f>3276.2+(74.1-1205.8)+(-1.670862+(-0.037791--0.614958))+0--220.7-0.112556999999978</f>
        <v>2363.9937479999999</v>
      </c>
      <c r="Z84" s="3">
        <f>3440.8+(22-1187.4)+(-1.754808+(-0.01122--0.605574))+0--222.2-0.113321999999977</f>
        <v>2496.3262239999999</v>
      </c>
      <c r="AA84" s="3">
        <f>3648.2+(22-1225.2)+(-7.442328+(-0.04488--2.499408))+0--223.2-0.45532799999999</f>
        <v>2662.7568719999999</v>
      </c>
      <c r="AB84" s="3">
        <f>3640.3+(25-1167.5)+(-1.856553+(-0.01275--0.595425))+0--221.4-0.112913999999978</f>
        <v>2717.8132080000005</v>
      </c>
      <c r="AC84" s="3">
        <f>3658.5+(34-1148.3)+(1.865835+(0.01734-0.585633))+0--221.5--0.112964999999978</f>
        <v>2767.1105069999994</v>
      </c>
      <c r="AD84">
        <v>2800.9</v>
      </c>
      <c r="AE84" s="3">
        <f>3644.5+(20-1085.6)+(0+(0-0))+0--222-0</f>
        <v>2800.9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3655.9+(54-1114)+(-7.458036+(-0.11016--2.27256))+0--218.9-0.44655599999999</f>
        <v>2809.0578080000005</v>
      </c>
      <c r="G85" s="3">
        <f>3665.2+(42-1134.7)+(-3.738504+(-0.04284--1.157394))+0--217-0.221340000000035</f>
        <v>2786.6547099999998</v>
      </c>
      <c r="H85" s="3">
        <f>3667.3+(41-1195.1)+(-7.481292+(-0.08364--2.438004))+0--215.9-0.440435999999991</f>
        <v>2723.5326360000004</v>
      </c>
      <c r="I85" s="3">
        <f>3621.7+(41-1198.9)+(-9.235335+(-0.10455--3.057195))+0--216.2-0.551309999999969</f>
        <v>2673.1659999999997</v>
      </c>
      <c r="J85" s="3">
        <f>3491.9+(49.6-1122.7)+(3.561738+(0.050592-1.145154))+0--216.1--0.220422000000034</f>
        <v>2637.5875980000001</v>
      </c>
      <c r="K85" s="3">
        <f>3315.3+(119.4-1055.2)+(-8.454015+(-0.30447--2.69076))+0--207-0.52784999999997</f>
        <v>2579.9044250000002</v>
      </c>
      <c r="L85" s="3">
        <f>2914.3+(166.2-933.1)+(-7.431465+(-0.42381--2.379405))+0--95.3-0.243014999999986</f>
        <v>2236.981115</v>
      </c>
      <c r="M85" s="3">
        <f>2933.5+(141.6-925.4)+(2.99217+(0.144432-0.943908))+0--95.2--0.0971040000000152</f>
        <v>2247.1897979999994</v>
      </c>
      <c r="N85" s="3">
        <f>3175.1+(74.6-984)+(0+(0-0))+0--95.1-0</f>
        <v>2360.7999999999997</v>
      </c>
      <c r="O85" s="3">
        <f>3347+(21.3-967.9)+(1.70697+(0.010863-0.493629))+0--103.7--0.0528869999999895</f>
        <v>2505.3770909999998</v>
      </c>
      <c r="P85" s="3">
        <f>3492.1+(27-1190.4)+(-3.561942+(-0.02754--1.214208))+0--212.3-0.216546000000034</f>
        <v>2538.4081799999999</v>
      </c>
      <c r="Q85" s="3">
        <f>3540.3+(47-1070.8)+(1.805553+(0.02397-0.546108))+0--211.4--0.107813999999979</f>
        <v>2729.2912289999999</v>
      </c>
      <c r="R85" s="3">
        <f>3552.2+(51-972.3)+(-3.623244+(-0.05202--0.991746))+0--216.2-0.220524000000034</f>
        <v>2844.1959579999998</v>
      </c>
      <c r="S85" s="3">
        <f>3542.1+(74-879.8)+(-1.806471+(-0.03774--0.448698))+0--225.1-0.114800999999977</f>
        <v>2959.889686</v>
      </c>
      <c r="T85" s="3">
        <f>3509.9+(96.6-768.4)+(0+(0-0))+0--219.9-0</f>
        <v>3058.0000000000005</v>
      </c>
      <c r="U85" s="3">
        <f>3471.5+(109.7-722.4)+(-5.311395+(-0.167841--1.105272))+0--218.7-0.334611000000013</f>
        <v>3072.7914249999999</v>
      </c>
      <c r="V85" s="3">
        <f>3466.1+(88-741.7)+(0+(0-0))+0--217-0</f>
        <v>3029.3999999999996</v>
      </c>
      <c r="W85" s="3">
        <f>3457.2+(52-874.6)+(-3.526344+(-0.05304--0.892092))+0--217.5-0.221850000000035</f>
        <v>2849.1908579999999</v>
      </c>
      <c r="X85" s="3">
        <f>3370.9+(36.5-1081.4)+(-6.876636+(-0.07446--2.206056))+0--217.3-0.443291999999991</f>
        <v>2538.1116680000005</v>
      </c>
      <c r="Y85" s="3">
        <f>3121.3+(89.4-990)+(-3.183726+(-0.091188--1.0098))+0--120.5-0.122910000000019</f>
        <v>2338.8119760000004</v>
      </c>
      <c r="Z85" s="3">
        <f>3289.3+(22-1047.4)+(-1.677543+(-0.01122--0.534174))+0--142.2-0.0725219999999856</f>
        <v>2404.8728889999998</v>
      </c>
      <c r="AA85" s="3">
        <f>3614.4+(23-1254.6)+(-5.530032+(-0.03519--1.919538))+0--221.8-0.339354000000013</f>
        <v>2600.6149620000001</v>
      </c>
      <c r="AB85" s="3">
        <f>3620+(28-1219.2)+(-9.231+(-0.0714--3.10896))+0--224.3-0.571964999999968</f>
        <v>2646.3345950000003</v>
      </c>
      <c r="AC85" s="3">
        <f>3638.5+(35-1195.1)+(-3.71127+(-0.0357--1.219002))+0--226.3-0.230826000000036</f>
        <v>2701.9412060000004</v>
      </c>
      <c r="AD85">
        <v>2636.4</v>
      </c>
      <c r="AE85" s="3">
        <f>3598.5+(18-1201.1)+(0+(0-0))+0--221-0</f>
        <v>2636.4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3652.1+(31-1150.4)+(-5.587713+(-0.04743--1.760112))+0--228-0.348840000000013</f>
        <v>2756.4761289999997</v>
      </c>
      <c r="G86" s="3">
        <f>3647.8+(38-1190.8)+(-9.30189+(-0.0969--3.03654))+0--228.7-0.583184999999967</f>
        <v>2716.7545649999997</v>
      </c>
      <c r="H86" s="3">
        <f>3633.5+(37-1221.1)+(-1.853085+(-0.01887--0.622761))+0--206.9-0.105518999999979</f>
        <v>2654.945287</v>
      </c>
      <c r="I86" s="3">
        <f>3485.2+(37-1120.1)+(-7.109808+(-0.07548--2.285004))+0--159.5-0.325379999999993</f>
        <v>2556.3743360000003</v>
      </c>
      <c r="J86" s="3">
        <f>3439.7+(38-1072.7)+(-8.771235+(-0.0969--2.735385))+0--160-0.407999999999977</f>
        <v>2558.4592499999999</v>
      </c>
      <c r="K86" s="3">
        <f>3105.1+(139.8-893.1)+(-12.668808+(-0.570384--3.643848))+0--160.5-0.654839999999986</f>
        <v>2502.0498160000002</v>
      </c>
      <c r="L86" s="3">
        <f>2856.9+(137-924.5)+(-4.371057+(-0.20961--1.414485))+0--110.4-0.168912000000006</f>
        <v>2176.4649060000002</v>
      </c>
      <c r="M86" s="3">
        <f>2955+(79.8-939.4)+(1.50705+(0.040698-0.479094))+0--95.5--0.0487049999999903</f>
        <v>2192.0173590000004</v>
      </c>
      <c r="N86" s="3">
        <f>3238.4+(33.1-1071)+(1.651584+(0.016881-0.54621))+0--95.4--0.0486539999999903</f>
        <v>2297.0709090000005</v>
      </c>
      <c r="O86" s="3">
        <f>3499.9+(17-1282.6)+(1.784949+(0.00867-0.654126))+0--119.9--0.0611489999999878</f>
        <v>2355.4006420000005</v>
      </c>
      <c r="P86" s="3">
        <f>3568+(39-1277.2)+(1.81968+(0.01989-0.651372))+0--216.7--0.110516999999978</f>
        <v>2547.7987149999999</v>
      </c>
      <c r="Q86" s="3">
        <f>3543.3+(33-1209)+(1.807083+(0.01683-0.61659))+0--215.4--0.109853999999978</f>
        <v>2584.0171770000002</v>
      </c>
      <c r="R86" s="3">
        <f>3543.5+(22-1115.3)+(1.807185+(0.01122-0.568803))+0--215.8--0.110057999999978</f>
        <v>2667.3596599999996</v>
      </c>
      <c r="S86" s="3">
        <f>3529.7+(22-900.4)+(-3.600294+(-0.02244--0.918408))+0--215.5-0.219810000000034</f>
        <v>2863.8758639999996</v>
      </c>
      <c r="T86" s="3">
        <f>3526.8+(44.4-818.7)+(-1.798668+(-0.022644--0.417537))+0--217.1-0.110720999999978</f>
        <v>2968.0855039999997</v>
      </c>
      <c r="U86" s="3">
        <f>3526.7+(41.6-773.6)+(-7.194468+(-0.084864--1.578144))+0--214.7-0.437987999999991</f>
        <v>3003.2608239999995</v>
      </c>
      <c r="V86" s="3">
        <f>3508.2+(23-764.9)+(0+(0-0))+0--215-0</f>
        <v>2981.2999999999997</v>
      </c>
      <c r="W86" s="3">
        <f>3494.6+(30.1-904.6)+(-10.693476+(-0.092106--2.768076))+0--217.4-0.665244000000025</f>
        <v>2828.8172500000001</v>
      </c>
      <c r="X86" s="3">
        <f>3484.7+(49.6-1152.2)+(-12.440379+(-0.177072--4.113354))+0--220.5-0.787185000000003</f>
        <v>2593.3087179999993</v>
      </c>
      <c r="Y86" s="3">
        <f>3121.3+(76.5-1027.2)+(-7.959315+(-0.195075--2.61936))+0--196-0.499799999999972</f>
        <v>2360.5651700000003</v>
      </c>
      <c r="Z86" s="3">
        <f>3219.1+(34-1007)+(0+(0-0))+0--169.4-0</f>
        <v>2415.5</v>
      </c>
      <c r="AA86" s="3">
        <f>3722.9+(34-1342.6)+(-11.392074+(-0.10404--4.108356))+0--223.3-0.683298000000026</f>
        <v>2629.5289440000006</v>
      </c>
      <c r="AB86" s="3">
        <f>3718.3+(31-1304.9)+(-3.792666+(-0.03162--1.330998))+0--225.2-0.229704000000036</f>
        <v>2666.8770079999999</v>
      </c>
      <c r="AC86" s="3">
        <f>3683.4+(26-1233.6)+(1.878534+(0.01326-0.629136))+0--225.8--0.115157999999977</f>
        <v>2702.9778160000005</v>
      </c>
      <c r="AD86">
        <v>2649.2</v>
      </c>
      <c r="AE86" s="3">
        <f>3720.5+(17-1312.3)+(0+(0-0))+0--224-0</f>
        <v>2649.2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3666.2+(44-1169.4)+(-9.34881+(-0.1122--2.98197))+0--227.6-0.580379999999967</f>
        <v>2761.3405799999996</v>
      </c>
      <c r="G87" s="3">
        <f>3571.3+(43-1147.2)+(-5.464089+(-0.06579--1.755216))+0--226.9-0.347157000000013</f>
        <v>2689.8781800000002</v>
      </c>
      <c r="H87" s="3">
        <f>3492.5+(45-1129.3)+(-3.56235+(-0.0459--1.151886))+0--226.3-0.230826000000036</f>
        <v>2631.8128099999999</v>
      </c>
      <c r="I87" s="3">
        <f>3453.4+(41-1144.1)+(-7.044936+(-0.08364--2.333964))+0--225.8-0.46063199999999</f>
        <v>2570.8447560000004</v>
      </c>
      <c r="J87" s="3">
        <f>3432.5+(38-1167.5)+(1.750575+(0.01938-0.595425))+0--225.6--0.115055999999977</f>
        <v>2529.8895859999998</v>
      </c>
      <c r="K87" s="3">
        <f>3292+(66.9-1077.6)+(-1.67892+(-0.034119--0.549576))+0--179.6-0.0915959999999818</f>
        <v>2459.644941</v>
      </c>
      <c r="L87" s="3">
        <f>2772.2+(122.6-813.5)+(1.413822+(0.062526-0.414885))+0--86.3--0.0440129999999912</f>
        <v>2168.7054760000001</v>
      </c>
      <c r="M87" s="3">
        <f>2817.9+(88-825.5)+(1.437129+(0.04488-0.421005))+0--92.9--0.0473789999999906</f>
        <v>2174.4083830000004</v>
      </c>
      <c r="N87" s="3">
        <f>3157.4+(35.4-1037.1)+(-1.610274+(-0.018054--0.528921))+0--147.6-0.075275999999985</f>
        <v>2302.125317</v>
      </c>
      <c r="O87" s="3">
        <f>3440.7+(22-1229.9)+(-1.754757+(-0.01122--0.627249))+0--147.8-0.075377999999985</f>
        <v>2379.385894</v>
      </c>
      <c r="P87" s="3">
        <f>3544.8+(15-1249.4)+(-1.807848+(-0.00765--0.637194))+0--165-0.0841499999999833</f>
        <v>2474.1375459999999</v>
      </c>
      <c r="Q87" s="3">
        <f>3638.3+(16-1230)+(-5.566599+(-0.02448--1.8819))+0--208.6-0.319158000000012</f>
        <v>2628.8716630000004</v>
      </c>
      <c r="R87" s="3">
        <f>3634.7+(29-1063.9)+(-1.853697+(-0.01479--0.542589))+0--207-0.105569999999979</f>
        <v>2805.3685319999995</v>
      </c>
      <c r="S87" s="3">
        <f>3616.8+(35-949.7)+(-3.689136+(-0.0357--0.968694))+0--208.9-0.213078000000033</f>
        <v>2908.03078</v>
      </c>
      <c r="T87" s="3">
        <f>3608.8+(56.5-855.4)+(-5.521464+(-0.086445--1.308762))+0--208.6-0.319158000000012</f>
        <v>3013.881695</v>
      </c>
      <c r="U87" s="3">
        <f>3600.7+(58.2-812.5)+(-9.181785+(-0.14841--2.071875))+0--205-0.52274999999997</f>
        <v>3043.6189299999996</v>
      </c>
      <c r="V87" s="3">
        <f>3600+(44-841.4)+(-7.344+(-0.08976--1.716456))+0--210-0.428399999999991</f>
        <v>3006.4542960000003</v>
      </c>
      <c r="W87" s="3">
        <f>3575.5+(37-975.6)+(-5.470515+(-0.05661--1.492668))+0--212.6-0.325278000000012</f>
        <v>2845.140265</v>
      </c>
      <c r="X87" s="3">
        <f>3412.3+(31-1086.2)+(-10.441638+(-0.09486--3.323772))+0--214.7-0.656982000000025</f>
        <v>2563.930292</v>
      </c>
      <c r="Y87" s="3">
        <f>3081.4+(25-939.4)+(-4.714542+(-0.03825--1.437282))+0--149.9-0.229347000000009</f>
        <v>2313.3551430000002</v>
      </c>
      <c r="Z87" s="3">
        <f>3157.5+(30-879.9)+(-1.610325+(-0.0153--0.448749))+0--147.7-0.075326999999985</f>
        <v>2454.0477969999997</v>
      </c>
      <c r="AA87" s="3">
        <f>3657+(16-1248.5)+(-5.59521+(-0.02448--1.910205))+0--186.1-0.284733000000011</f>
        <v>2606.6057820000001</v>
      </c>
      <c r="AB87" s="3">
        <f>3630.3+(36-1231.7)+(-3.702906+(-0.03672--1.256334))+0--217.3-0.221646000000035</f>
        <v>2649.1950620000007</v>
      </c>
      <c r="AC87" s="3">
        <f>3578.5+(41-1148.1)+(-3.65007+(-0.04182--1.171062))+0--218.6-0.222972000000035</f>
        <v>2687.2561999999998</v>
      </c>
      <c r="AD87">
        <v>2647.4</v>
      </c>
      <c r="AE87" s="3">
        <f>3739.5+(18-1329.1)+(0+(0-0))+0--219-0</f>
        <v>2647.4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3525.1+(60-1062.4)+(-5.393403+(-0.0918--1.625472))+0--223.2-0.341496000000013</f>
        <v>2741.6987729999996</v>
      </c>
      <c r="G88" s="3">
        <f>3350.5+(66-953.9)+(-3.41751+(-0.06732--0.972978))+0--223-0.227460000000036</f>
        <v>2682.8606879999998</v>
      </c>
      <c r="H88" s="3">
        <f>3330.9+(61-991.5)+(-8.493795+(-0.15555--2.528325))+0--223.6-0.570179999999967</f>
        <v>2617.3087999999998</v>
      </c>
      <c r="I88" s="3">
        <f>3264.4+(57-984.6)+(0+(0-0))+0--222.6-0</f>
        <v>2559.4</v>
      </c>
      <c r="J88" s="3">
        <f>3119.5+(67-890)+(-9.54567+(-0.20502--2.7234))+0--216.6-0.662796000000025</f>
        <v>2505.4099139999998</v>
      </c>
      <c r="K88" s="3">
        <f>2840.3+(101.2-672.5)+(-7.242765+(-0.25806--1.714875))+0--140.3-0.35776499999998</f>
        <v>2403.156285</v>
      </c>
      <c r="L88" s="3">
        <f>2491.6+(155.8-574.5)+(-3.812148+(-0.238374--0.878985))+0--89.4-0.136782000000005</f>
        <v>2158.991681</v>
      </c>
      <c r="M88" s="3">
        <f>2373.2+(177.6-508.1)+(-3.630996+(-0.271728--0.777393))+0--89.3-0.136629000000005</f>
        <v>2128.7380399999997</v>
      </c>
      <c r="N88" s="3">
        <f>2421.8+(186.3-524.2)+(-2.470236+(-0.190026--0.534684))+0--89.2-0.0909840000000142</f>
        <v>2170.8834379999998</v>
      </c>
      <c r="O88" s="3">
        <f>2611.3+(124.8-592.5)+(-5.327052+(-0.254592--1.2087))+0--89.5-0.182579999999996</f>
        <v>2228.544476</v>
      </c>
      <c r="P88" s="3">
        <f>2773.8+(67-595.1)+(1.414638+(0.03417-0.303501))+0--88.6--0.045185999999991</f>
        <v>2335.4904929999998</v>
      </c>
      <c r="Q88" s="3">
        <f>2769.2+(113.6-557.7)+(-2.824584+(-0.115872--0.568854))+0--88.1-0.089862000000014</f>
        <v>2410.7385359999998</v>
      </c>
      <c r="R88" s="3">
        <f>2741.2+(366.9-543.4)+(-1.398012+(-0.187119--0.277134))+0--88.4-0.045083999999991</f>
        <v>2651.7469190000002</v>
      </c>
      <c r="S88" s="3">
        <f>2725.5+(551-541.5)+(-4.170015+(-0.84303--0.828495))+0--85.6-0.130968000000005</f>
        <v>2816.284482</v>
      </c>
      <c r="T88" s="3">
        <f>2742.1+(621.3-543.2)+(-2.796942+(-0.633726--0.554064))+0--77.6-0.0791520000000124</f>
        <v>2894.8442439999999</v>
      </c>
      <c r="U88" s="3">
        <f>2806.8+(598.7-550)+(-4.294404+(-0.916011--0.8415))+0--75.4-0.115362000000004</f>
        <v>2926.4157230000001</v>
      </c>
      <c r="V88" s="3">
        <f>2817.4+(507.2-512.6)+(-4.310622+(-0.776016--0.784278))+0--77.5-0.118575000000004</f>
        <v>2885.0790649999999</v>
      </c>
      <c r="W88" s="3">
        <f>2800.5+(250.8-434.4)+(-4.284765+(-0.383724--0.664632))+0--77.9-0.119187000000005</f>
        <v>2690.6769560000002</v>
      </c>
      <c r="X88" s="3">
        <f>2665.8+(157.8-483.2)+(-8.157348+(-0.482868--1.478592))+0--78.6-0.240516000000009</f>
        <v>2411.5978600000003</v>
      </c>
      <c r="Y88" s="3">
        <f>2394.9+(197.8-458.1)+(-3.664197+(-0.302634--0.700893))+0--87.6-0.134028000000005</f>
        <v>2218.8000339999999</v>
      </c>
      <c r="Z88" s="3">
        <f>2519+(125.9-451.7)+(2.56938+(0.128418-0.460734))+0--168.6--0.171972000000027</f>
        <v>2364.2090359999997</v>
      </c>
      <c r="AA88" s="3">
        <f>2919.4+(91-690.9)+(-8.933364+(-0.27846--2.114154))+0--213.5-0.653310000000025</f>
        <v>2525.2490199999997</v>
      </c>
      <c r="AB88" s="3">
        <f>2961.3+(96-714.7)+(-3.020526+(-0.09792--0.728994))+0--215.7-0.220014000000034</f>
        <v>2555.6905340000003</v>
      </c>
      <c r="AC88" s="3">
        <f>2961.5+(133.8-689.9)+(-3.02073+(-0.136476--0.703698))+0--216-0.220320000000034</f>
        <v>2618.7261720000001</v>
      </c>
      <c r="AD88">
        <v>2585.1</v>
      </c>
      <c r="AE88" s="3">
        <f>2925.5+(87-639.4)+(0+(0-0))+0--212-0</f>
        <v>2585.1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2928.3+(171.6-606.6)+(2.986866+(0.175032-0.618732))+0--216.7--0.221034000000035</f>
        <v>2712.7642000000001</v>
      </c>
      <c r="G89" s="3">
        <f>2934.4+(147.7-620.7)+(-5.986176+(-0.301308--1.266228))+0--219.1-0.44696399999999</f>
        <v>2675.0317799999998</v>
      </c>
      <c r="H89" s="3">
        <f>2954.7+(111.5-675.9)+(0+(0-0))+0--219.9-0</f>
        <v>2610.1999999999998</v>
      </c>
      <c r="I89" s="3">
        <f>2974+(89-710.4)+(-3.03348+(-0.09078--0.724608))+0--220.1-0.224502000000035</f>
        <v>2570.0758459999997</v>
      </c>
      <c r="J89" s="3">
        <f>2833.9+(99.3-645.3)+(0+(0-0))+0--220.8-0</f>
        <v>2508.7000000000003</v>
      </c>
      <c r="K89" s="3">
        <f>2640.8+(154.5-582.4)+(-8.080848+(-0.47277--1.782144))+0--215.2-0.658512000000025</f>
        <v>2420.6700139999998</v>
      </c>
      <c r="L89" s="3">
        <f>2305+(243.3-426.2)+(-5.87775+(-0.620415--1.08681))+0--96.3-0.245564999999986</f>
        <v>2212.7430799999997</v>
      </c>
      <c r="M89" s="3">
        <f>2291.6+(231.2-450.5)+(-2.337432+(-0.235824--0.45951))+0--84.8-0.0864960000000135</f>
        <v>2154.899758</v>
      </c>
      <c r="N89" s="3">
        <f>2519.1+(152.7-576.4)+(1.284741+(0.077877-0.293964))+0--86.3--0.0440129999999912</f>
        <v>2182.8126670000006</v>
      </c>
      <c r="O89" s="3">
        <f>2679.8+(118.3-664.4)+(-5.466792+(-0.241332--1.355376))+0--88-0.179519999999996</f>
        <v>2217.1677320000003</v>
      </c>
      <c r="P89" s="3">
        <f>2650.3+(134-560.6)+(1.351653+(0.06834-0.285906))+0--87.6--0.0446759999999911</f>
        <v>2312.4787630000001</v>
      </c>
      <c r="Q89" s="3">
        <f>2619+(180-436.5)+(0+(0-0))+0--88.6-0</f>
        <v>2451.1</v>
      </c>
      <c r="R89" s="3">
        <f>2649.6+(370.9-513.7)+(0+(0-0))+0--91.6-0</f>
        <v>2598.3999999999996</v>
      </c>
      <c r="S89" s="3">
        <f>2837.1+(453.1-594.4)+(-1.446921+(-0.231081--0.303144))+0--91.6-0.0467159999999907</f>
        <v>2785.9784260000001</v>
      </c>
      <c r="T89" s="3">
        <f>2833.8+(563-601.9)+(1.445238+(0.28713-0.306969))+0--92--0.0469199999999907</f>
        <v>2888.3723190000001</v>
      </c>
      <c r="U89" s="3">
        <f>2857.3+(582.1-607.4)+(-1.457223+(-0.296871--0.309774))+0--88-0.0448799999999911</f>
        <v>2918.5108</v>
      </c>
      <c r="V89" s="3">
        <f>2897.3+(498.9-591)+(-5.910492+(-1.017756--1.20564))+0--88.5-0.180539999999996</f>
        <v>2887.7968520000004</v>
      </c>
      <c r="W89" s="3">
        <f>2960.7+(182.2-530.8)+(-1.509957+(-0.092922--0.270708))+0--97.6-0.0497759999999901</f>
        <v>2708.318053</v>
      </c>
      <c r="X89" s="3">
        <f>3047.4+(68.3-824.3)+(-9.325044+(-0.208998--2.522358))+0--148.3-0.453798000000017</f>
        <v>2432.2345180000002</v>
      </c>
      <c r="Y89" s="3">
        <f>2847.8+(49-801.1)+(-4.357134+(-0.07497--1.225683))+0--114.8-0.175644000000007</f>
        <v>2207.1179350000007</v>
      </c>
      <c r="Z89" s="3">
        <f>2975.3+(54-845.2)+(9.104418+(0.16524-2.586312))+0--130.4--0.399024000000015</f>
        <v>2321.5823700000001</v>
      </c>
      <c r="AA89" s="3">
        <f>3500.9+(50-1184.9)+(-1.785459+(-0.0255--0.604299))+0--216.9-0.110618999999978</f>
        <v>2581.5827210000002</v>
      </c>
      <c r="AB89" s="3">
        <f>3579.5+(63-1202.8)+(-3.65109+(-0.06426--1.226856))+0--218.7-0.223074000000035</f>
        <v>2655.6884319999995</v>
      </c>
      <c r="AC89" s="3">
        <f>3524.9+(74-1107.5)+(-3.595398+(-0.07548--1.12965))+0--220.1-0.224502000000035</f>
        <v>2708.7342699999999</v>
      </c>
      <c r="AD89">
        <v>2675.8</v>
      </c>
      <c r="AE89" s="3">
        <f>3553.5+(50-1138.7)+(0+(0-0))+0--211-0</f>
        <v>2675.8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3547.4+(36-1015.8)+(-9.04587+(-0.0918--2.59029))+0--216.7-0.552584999999969</f>
        <v>2777.2000350000003</v>
      </c>
      <c r="G90" s="3">
        <f>3505.2+(37-1020.1)+(-10.725912+(-0.11322--3.121506))+0--217.5-0.665550000000025</f>
        <v>2731.2168239999996</v>
      </c>
      <c r="H90" s="3">
        <f>3276.2+(40-880.2)+(-6.683448+(-0.0816--1.795608))+0--218.3-0.445331999999991</f>
        <v>2648.8852280000006</v>
      </c>
      <c r="I90" s="3">
        <f>3174.9+(42.4-849.5)+(-3.238398+(-0.043248--0.86649))+0--217.8-0.222156000000035</f>
        <v>2582.9626880000005</v>
      </c>
      <c r="J90" s="3">
        <f>3190+(47.3-908.4)+(-8.1345+(-0.120615--2.31642))+0--217.6-0.554879999999968</f>
        <v>2540.006425</v>
      </c>
      <c r="K90" s="3">
        <f>3087.8+(91.7-810.8)+(-3.149556+(-0.093534--0.827016))+0--98-0.0999600000000156</f>
        <v>2464.1839660000001</v>
      </c>
      <c r="L90" s="3">
        <f>2861.2+(128.9-788.1)+(-1.459212+(-0.065739--0.401931))+0--86.9-0.0443189999999912</f>
        <v>2287.732661</v>
      </c>
      <c r="M90" s="3">
        <f>2904.4+(86.9-775.1)+(1.481244+(0.044319-0.395301))+0--87--0.0443699999999912</f>
        <v>2304.374632</v>
      </c>
      <c r="N90" s="3">
        <f>3000.1+(137-798.5)+(3.060102+(0.13974-0.81447))+0--118.5--0.120870000000019</f>
        <v>2459.6062420000003</v>
      </c>
      <c r="O90" s="3">
        <f>3085.9+(118.3-814.3)+(3.147618+(0.120666-0.830586))+0--154.3--0.157386000000025</f>
        <v>2546.7950840000003</v>
      </c>
      <c r="P90" s="3">
        <f>3277+(57-826.1)+(-3.34254+(-0.05814--0.842622))+0--154.2-0.157284000000025</f>
        <v>2659.3846579999999</v>
      </c>
      <c r="Q90" s="3">
        <f>3391+(70-802.1)+(3.45882+(0.0714-0.818142))+0--153.2--0.156264000000024</f>
        <v>2814.9683420000001</v>
      </c>
      <c r="R90" s="3">
        <f>3480.3+(124.5-697.7)+(0+(0-0))+0--156.2-0</f>
        <v>3063.3</v>
      </c>
      <c r="S90" s="3">
        <f>2904.6+(657.2-522)+(2.962692+(0.670344-0.53244))+0--155.3--0.158406000000025</f>
        <v>3198.3590020000006</v>
      </c>
      <c r="T90" s="3">
        <f>2877.4+(747-512.9)+(-2.934948+(-0.76194--0.523158))+0--155.8-0.158916000000025</f>
        <v>3263.9673540000003</v>
      </c>
      <c r="U90" s="3">
        <f>3053.4+(616-574.2)+(-3.114468+(-0.62832--0.585684))+0--155.9-0.159018000000025</f>
        <v>3247.7838780000002</v>
      </c>
      <c r="V90" s="3">
        <f>3227.3+(447-601.9)+(-6.583692+(-0.91188--1.227876))+0--157.1-0.320483999999993</f>
        <v>3222.9118200000003</v>
      </c>
      <c r="W90" s="3">
        <f>3221.8+(132.2-512.5)+(-9.858708+(-0.404532--1.56825))+0--157.5-0.481950000000018</f>
        <v>2989.8230600000002</v>
      </c>
      <c r="X90" s="3">
        <f>3275+(91.4-832.5)+(-10.0215+(-0.279684--2.54745))+0--158.9-0.486234000000018</f>
        <v>2684.5600320000003</v>
      </c>
      <c r="Y90" s="3">
        <f>2995.9+(159.5-823.5)+(-4.583727+(-0.244035--1.259955))+0--160.2-0.245106000000009</f>
        <v>2488.2870870000002</v>
      </c>
      <c r="Z90" s="3">
        <f>2926.7+(89.3-622)+(0+(0-0))+0--186.6-0</f>
        <v>2580.6</v>
      </c>
      <c r="AA90" s="3">
        <f>3519.1+(61-959.7)+(-5.384223+(-0.09333--1.468341))+0--221.9-0.339507000000013</f>
        <v>2837.9512809999997</v>
      </c>
      <c r="AB90" s="3">
        <f>3598+(66-998.3)+(-9.1749+(-0.1683--2.545665))+0--222.6-0.567629999999968</f>
        <v>2880.9348349999996</v>
      </c>
      <c r="AC90" s="3">
        <f>3619.3+(73-980.9)+(0+(0-0))+0--222.9-0</f>
        <v>2934.3</v>
      </c>
      <c r="AD90">
        <v>2835.9</v>
      </c>
      <c r="AE90" s="3">
        <f>3544.5+(47-977.6)+(0+(0-0))+0--222-0</f>
        <v>2835.9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3579.5+(22-906.9)+(-1.825545+(-0.01122--0.462519))+0--226.4-0.115463999999977</f>
        <v>2919.5102900000002</v>
      </c>
      <c r="G91" s="3">
        <f>3561.9+(22-961.9)+(-3.633138+(-0.02244--0.981138))+0--227.3-0.231846000000036</f>
        <v>2846.3937140000003</v>
      </c>
      <c r="H91" s="3">
        <f>3519.1+(27.1-999.5)+(-7.178964+(-0.055284--2.03898))+0--228-0.46511999999999</f>
        <v>2769.039612</v>
      </c>
      <c r="I91" s="3">
        <f>3468.9+(42.1-1010.6)+(0+(0-0))+0--228.7-0</f>
        <v>2729.1</v>
      </c>
      <c r="J91" s="3">
        <f>3405.9+(48.3-952.9)+(-6.948036+(-0.098532--1.943916))+0--176.7-0.360467999999992</f>
        <v>2672.5368800000001</v>
      </c>
      <c r="K91" s="3">
        <f>3098.3+(125-795.5)+(-9.480798+(-0.3825--2.43423))+0--141.5-0.432990000000016</f>
        <v>2561.4379420000005</v>
      </c>
      <c r="L91" s="3">
        <f>2696.3+(247.6-698.4)+(-9.625791+(-0.883932--2.493288))+0--94.3-0.336651000000001</f>
        <v>2331.4469140000001</v>
      </c>
      <c r="M91" s="3">
        <f>2638.2+(218.8-679.6)+(1.345482+(0.111588-0.346596))+0--147--0.0749699999999851</f>
        <v>2325.5854439999998</v>
      </c>
      <c r="N91" s="3">
        <f>2769.5+(195.4-699.6)+(4.237335+(0.298962-1.070388))+0--160--0.244800000000009</f>
        <v>2429.0107090000001</v>
      </c>
      <c r="O91" s="3">
        <f>3138.8+(89.6-837.1)+(1.600788+(0.045696-0.426921))+0--159--0.0810899999999839</f>
        <v>2551.6006530000004</v>
      </c>
      <c r="P91" s="3">
        <f>3339.2+(39.3-856.1)+(0+(0-0))+0--158-0</f>
        <v>2680.3999999999996</v>
      </c>
      <c r="Q91" s="3">
        <f>3355.2+(41-762.8)+(3.422304+(0.04182-0.778056))+0--187--0.19074000000003</f>
        <v>2823.2768079999996</v>
      </c>
      <c r="R91" s="3">
        <f>3377.6+(77.3-709)+(0+(0-0))+0--191-0</f>
        <v>2936.8999999999996</v>
      </c>
      <c r="S91" s="3">
        <f>3355.7+(268.5-738.5)+(0+(0-0))+0--213-0</f>
        <v>3098.7</v>
      </c>
      <c r="T91" s="3">
        <f>3292.2+(390.9-735.3)+(0+(0-0))+0--215.9-0</f>
        <v>3163.7</v>
      </c>
      <c r="U91" s="3">
        <f>3274.5+(380.1-689.7)+(-3.33999+(-0.387702--0.703494))+0--217.5-0.221850000000035</f>
        <v>3179.1539520000001</v>
      </c>
      <c r="V91" s="3">
        <f>3279.9+(290.9-655.8)+(-1.672749+(-0.148359--0.334458))+0--217.6-0.110975999999978</f>
        <v>3131.0023740000001</v>
      </c>
      <c r="W91" s="3">
        <f>3288.2+(52-601.6)+(0+(0-0))+0--217.2-0</f>
        <v>2955.7999999999997</v>
      </c>
      <c r="X91" s="3">
        <f>3280.7+(120.1-955.3)+(-1.673157+(-0.061251--0.487203))+0--219-0.111689999999978</f>
        <v>2663.1411049999997</v>
      </c>
      <c r="Y91" s="3">
        <f>3203.2+(143.2-1068.6)+(0+(0-0))+0--220.1-0</f>
        <v>2497.9</v>
      </c>
      <c r="Z91" s="3">
        <f>3332.8+(61-986)+(-3.399456+(-0.06222--1.00572))+0--221.2-0.225624000000035</f>
        <v>2626.3184200000001</v>
      </c>
      <c r="AA91" s="3">
        <f>3493.5+(62-990.8)+(-5.345055+(-0.09486--1.515924))+0--222.6-0.340578000000013</f>
        <v>2783.0354309999998</v>
      </c>
      <c r="AB91" s="3">
        <f>3520.6+(67-987.1)+(-3.591012+(-0.06834--1.006842))+0--222.9-0.227358000000036</f>
        <v>2820.5201320000001</v>
      </c>
      <c r="AC91" s="3">
        <f>3520.6+(84-942.3)+(-3.591012+(-0.08568--0.961146))+0--223.1-0.227562000000036</f>
        <v>2882.4568920000002</v>
      </c>
      <c r="AD91">
        <v>2835.8999999999996</v>
      </c>
      <c r="AE91" s="3">
        <f>3497.1+(66-949.2)+(0+(0-0))+0--222-0</f>
        <v>2835.8999999999996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3534.5+(9-867.8)+(-10.81557+(-0.02754--2.655468))+0--225.5-0.690030000000026</f>
        <v>2892.3223279999997</v>
      </c>
      <c r="G92" s="3">
        <f>3512.4+(8-904.4)+(-7.165296+(-0.01632--1.844976))+0--225.6-0.46022399999999</f>
        <v>2835.803136</v>
      </c>
      <c r="H92" s="3">
        <f>3531.6+(8-989.5)+(-5.403348+(-0.01224--1.513935))+0--226-0.345780000000013</f>
        <v>2771.8525669999999</v>
      </c>
      <c r="I92" s="3">
        <f>3540.4+(8-1047.8)+(3.611208+(0.00816-1.068756))+0--226--0.230520000000036</f>
        <v>2729.3811320000004</v>
      </c>
      <c r="J92" s="3">
        <f>3454.6+(38.5-1043.5)+(-7.047384+(-0.07854--2.12874))+0--227.3-0.46369199999999</f>
        <v>2671.4391240000004</v>
      </c>
      <c r="K92" s="3">
        <f>3248.7+(78-959.8)+(-8.284185+(-0.1989--2.44749))+0--186.7-0.476084999999973</f>
        <v>2547.0883199999998</v>
      </c>
      <c r="L92" s="3">
        <f>2946.5+(191.8-918.2)+(-3.00543+(-0.195636--0.936564))+0--95.4-0.0973080000000152</f>
        <v>2313.1381900000001</v>
      </c>
      <c r="M92" s="3">
        <f>2931.2+(209.6-903.4)+(7.47456+(0.53448-2.30367))+0--95.6--0.243779999999986</f>
        <v>2338.9491499999995</v>
      </c>
      <c r="N92" s="3">
        <f>2904.1+(176.1-716.1)+(1.481091+(0.089811-0.365211))+0--95.4--0.0486539999999903</f>
        <v>2460.7543450000003</v>
      </c>
      <c r="O92" s="3">
        <f>3233.2+(65.2-865.2)+(-1.648932+(-0.033252--0.441252))+0--95-0.0484499999999904</f>
        <v>2526.9106179999999</v>
      </c>
      <c r="P92" s="3">
        <f>3389.3+(40.4-848.3)+(5.185629+(0.061812-1.297899))+0--97--0.148410000000006</f>
        <v>2682.4979519999997</v>
      </c>
      <c r="Q92" s="3">
        <f>3394.9+(74-704.6)+(6.925596+(0.15096-1.437384))+0--94.5--0.192779999999996</f>
        <v>2864.6319520000002</v>
      </c>
      <c r="R92" s="3">
        <f>3402.7+(189.8-678.2)+(1.735377+(0.096798-0.345882))+0--95--0.0484499999999904</f>
        <v>3010.8347429999994</v>
      </c>
      <c r="S92" s="3">
        <f>3401.5+(325.1-709.3)+(1.734765+(0.165801-0.361743))+0--95.1--0.0485009999999904</f>
        <v>3113.9873240000002</v>
      </c>
      <c r="T92" s="3">
        <f>3394.3+(422.7-694.6)+(3.462186+(0.431154-0.708492))+0--94.7--0.0965940000000151</f>
        <v>3220.3814419999999</v>
      </c>
      <c r="U92" s="3">
        <f>3409.7+(384.8-681)+(0+(0-0))+0--94.3-0</f>
        <v>3207.8</v>
      </c>
      <c r="V92" s="3">
        <f>3413.8+(234.1-636.3)+(1.741038+(0.119391-0.324513))+0--94.6--0.0482459999999904</f>
        <v>3107.7841619999999</v>
      </c>
      <c r="W92" s="3">
        <f>3439.1+(27.4-616.9)+(-5.261823+(-0.041922--0.943857))+0--94.8-0.145044000000005</f>
        <v>2939.8950680000003</v>
      </c>
      <c r="X92" s="3">
        <f>3485.5+(66.5-986.4)+(-7.11042+(-0.13566--2.012256))+0--95.5-0.194819999999996</f>
        <v>2655.6713559999998</v>
      </c>
      <c r="Y92" s="3">
        <f>3290.8+(97.4-1006.5)+(-8.39154+(-0.24837--2.566575))+0--96.4-0.245819999999986</f>
        <v>2471.7808450000002</v>
      </c>
      <c r="Z92" s="3">
        <f>3379.8+(19-1013.6)+(0+(0-0))+0--193.8-0</f>
        <v>2579.0000000000005</v>
      </c>
      <c r="AA92" s="3">
        <f>3636.2+(23-1095.4)+(-1.854462+(-0.01173--0.558654))+0--224.3-0.114392999999977</f>
        <v>2786.6780690000001</v>
      </c>
      <c r="AB92" s="3">
        <f>3664.5+(28-1088.8)+(-3.73779+(-0.02856--1.110576))+0--225.7-0.230214000000036</f>
        <v>2826.5140119999996</v>
      </c>
      <c r="AC92" s="3">
        <f>3668.7+(37-1050.1)+(-3.742074+(-0.03774--1.071102))+0--228-0.232560000000036</f>
        <v>2880.6587279999999</v>
      </c>
      <c r="AD92">
        <v>2842.3</v>
      </c>
      <c r="AE92" s="3">
        <f>3650.5+(16-1048.5)+(0+(0-0))+0--224.3-0</f>
        <v>2842.3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3673.8+(68-1013)+(-3.747276+(-0.06936--1.03326))+0--226.1-0.230622000000036</f>
        <v>2951.8860020000002</v>
      </c>
      <c r="G93" s="3">
        <f>3560.8+(94.1-992.6)+(0+(0-0))+0--225.6-0</f>
        <v>2887.9</v>
      </c>
      <c r="H93" s="3">
        <f>3523.8+(101.6-1046.2)+(-5.391414+(-0.155448--1.600686))+0--227.7-0.348381000000013</f>
        <v>2802.6054430000004</v>
      </c>
      <c r="I93" s="3">
        <f>3544.6+(86.8-1123.4)+(-3.615492+(-0.088536--1.145868))+0--230.3-0.234906000000037</f>
        <v>2735.506934</v>
      </c>
      <c r="J93" s="3">
        <f>3555.7+(87.5-1168.4)+(-9.067035+(-0.223125--2.97942))+0--231.5-0.590324999999966</f>
        <v>2699.3989349999997</v>
      </c>
      <c r="K93" s="3">
        <f>3357.5+(156.2-1066.5)+(-8.561625+(-0.39831--2.719575))+0--189.7-0.483734999999972</f>
        <v>2630.1759050000001</v>
      </c>
      <c r="L93" s="3">
        <f>2724.6+(332.6-754.2)+(0+(0-0))+0--95.3-0</f>
        <v>2398.3000000000002</v>
      </c>
      <c r="M93" s="3">
        <f>2610.4+(346.4-653.1)+(1.331304+(0.176664-0.333081))+0--95.5--0.0487049999999903</f>
        <v>2400.4235920000001</v>
      </c>
      <c r="N93" s="3">
        <f>2960.1+(211-827.7)+(-3.019302+(-0.21522--0.844254))+0--156.5-0.159630000000025</f>
        <v>2497.3501019999994</v>
      </c>
      <c r="O93" s="3">
        <f>3327.7+(113-1019.8)+(-3.394254+(-0.11526--1.040196))+6.1--160.6-0.163812000000026</f>
        <v>2584.9668699999993</v>
      </c>
      <c r="P93" s="3">
        <f>3383.9+(44.2-898.5)+(1.725789+(0.022542-0.458235))+1.1--158.4--0.0807839999999839</f>
        <v>2690.4708800000003</v>
      </c>
      <c r="Q93" s="3">
        <f>3360.9+(59-727.3)+(0+(0-0))+0--157.4-0</f>
        <v>2850.0000000000005</v>
      </c>
      <c r="R93" s="3">
        <f>3378.8+(47.1-598.9)+(-3.446376+(-0.048042--0.610878))+0--152.6-0.155652000000024</f>
        <v>2976.5608080000002</v>
      </c>
      <c r="S93" s="3">
        <f>3382.6+(209.8-647.2)+(-1.725126+(-0.106998--0.330072))+0--130.3-0.0664529999999868</f>
        <v>3073.9314950000003</v>
      </c>
      <c r="T93" s="3">
        <f>3409.6+(291.5-673.1)+(0+(0-0))+0--129.8-0</f>
        <v>3157.8</v>
      </c>
      <c r="U93" s="3">
        <f>3487.7+(243.2-667.9)+(-1.778727+(-0.124032--0.340629))+0--129.5-0.0660449999999869</f>
        <v>3190.8718250000002</v>
      </c>
      <c r="V93" s="3">
        <f>3494.8+(180.2-649.8)+(-1.782348+(-0.091902--0.331398))+0--129.4-0.0659939999999869</f>
        <v>3152.9911540000003</v>
      </c>
      <c r="W93" s="3">
        <f>3421.3+(52.6-616.5)+(-3.489726+(-0.053652--0.62883))+0--129.7-0.132294000000021</f>
        <v>2984.0531579999997</v>
      </c>
      <c r="X93" s="3">
        <f>3413.7+(103-931.5)+(-5.222961+(-0.15759--1.425195))+0--129.8-0.198594000000008</f>
        <v>2710.8460500000001</v>
      </c>
      <c r="Y93" s="3">
        <f>3266.5+(97.3-983.8)+(-13.32732+(-0.396984--4.013904))+0--129.6-0.528767999999989</f>
        <v>2499.3608319999998</v>
      </c>
      <c r="Z93" s="3">
        <f>3118.2+(39-714.1)+(3.180564+(0.03978-0.728382))+0--133.9--0.136578000000021</f>
        <v>2579.6285400000002</v>
      </c>
      <c r="AA93" s="3">
        <f>3532.4+(30-1009.2)+(-1.801524+(-0.0153--0.514692))+0--224.5-0.114494999999977</f>
        <v>2776.2833730000002</v>
      </c>
      <c r="AB93" s="3">
        <f>3620.3+(27-1052.5)+(-1.846353+(-0.01377--0.536775))+0--225.4-0.114953999999977</f>
        <v>2818.7616980000003</v>
      </c>
      <c r="AC93" s="3">
        <f>3618.4+(33-1018)+(-7.381536+(-0.06732--2.07672))+0--223.2-0.45532799999999</f>
        <v>2850.7725359999999</v>
      </c>
      <c r="AD93">
        <v>2763.9</v>
      </c>
      <c r="AE93" s="3">
        <f>3540.5+(50-1037.4)+(0+(0-0))+0--223.8-0</f>
        <v>2776.9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3634.5+(63-1048.1)+(-9.267975+(-0.16065--2.672655))+0--229.2-0.584459999999967</f>
        <v>2871.2595699999997</v>
      </c>
      <c r="G94" s="3">
        <f>3652.1+(48-1127.4)+(-7.450284+(-0.09792--2.299896))+0--230.6-0.47042399999999</f>
        <v>2797.5812679999995</v>
      </c>
      <c r="H94" s="3">
        <f>3668.9+(29-1159.5)+(-9.355695+(-0.07395--2.956725))+0--230.4-0.587519999999967</f>
        <v>2761.73956</v>
      </c>
      <c r="I94" s="3">
        <f>3484.2+(30.9-1044.9)+(-7.107768+(-0.063036--2.131596))+0--231-0.47123999999999</f>
        <v>2695.6895519999998</v>
      </c>
      <c r="J94" s="3">
        <f>3487.9+(40.6-1087)+(-1.778829+(-0.020706--0.55437))+0--231.4-0.118013999999977</f>
        <v>2671.5368210000001</v>
      </c>
      <c r="K94" s="3">
        <f>3294.4+(80.4-1029.8)+(-6.720576+(-0.164016--2.100792))+0--231.5-0.47225999999999</f>
        <v>2571.2439399999998</v>
      </c>
      <c r="L94" s="3">
        <f>2885.7+(155.2-831.6)+(-2.943414+(-0.158304--0.848232))+0--98.1-0.100062000000016</f>
        <v>2305.0464519999996</v>
      </c>
      <c r="M94" s="3">
        <f>2758.7+(154.3-746.2)+(1.406937+(0.078693-0.380562))+0--96.1--0.0490109999999903</f>
        <v>2264.0540789999995</v>
      </c>
      <c r="N94" s="3">
        <f>2880.4+(106.3-747.9)+(-1.469004+(-0.054213--0.381429))+0--144.1-0.0734909999999854</f>
        <v>2381.6847210000001</v>
      </c>
      <c r="O94" s="3">
        <f>3078+(83.4-833.5)+(0+(0-0))+0--159.6-0</f>
        <v>2487.5</v>
      </c>
      <c r="P94" s="3">
        <f>3181.8+(44.9-784.8)+(0+(0-0))+0--156.7-0</f>
        <v>2598.6</v>
      </c>
      <c r="Q94" s="3">
        <f>3413.6+(24-855.8)+(0+(0-0))+0--169.1-0</f>
        <v>2750.9</v>
      </c>
      <c r="R94" s="3">
        <f>3512.5+(79-768)+(0+(0-0))+0--179.3-0</f>
        <v>3002.8</v>
      </c>
      <c r="S94" s="3">
        <f>3503+(191.9-721.2)+(-3.57306+(-0.195738--0.735624))+0--160-0.163200000000026</f>
        <v>3130.5036259999997</v>
      </c>
      <c r="T94" s="3">
        <f>3500.8+(332-788.4)+(1.785408+(0.16932-0.402084))+0--157--0.0800699999999841</f>
        <v>3203.0327139999999</v>
      </c>
      <c r="U94" s="3">
        <f>3491.2+(413-836.7)+(-1.780512+(-0.21063--0.426717))+0--157-0.0800699999999841</f>
        <v>3222.855505</v>
      </c>
      <c r="V94" s="3">
        <f>3475+(347-783.5)+(-3.5445+(-0.35394--0.79917))+0--157.3-0.160446000000025</f>
        <v>3192.5402840000002</v>
      </c>
      <c r="W94" s="3">
        <f>3476.2+(98-747.6)+(-3.545724+(-0.09996--0.762552))+0--157.5-0.160650000000025</f>
        <v>2981.0562180000002</v>
      </c>
      <c r="X94" s="3">
        <f>3456.5+(34-975)+(-12.339705+(-0.12138--3.48075))+0--158.6-0.566202000000002</f>
        <v>2664.5534629999997</v>
      </c>
      <c r="Y94" s="3">
        <f>3251.3+(44.2-1020.2)+(-3.316326+(-0.045084--1.040604))+0--165.2-0.168504000000026</f>
        <v>2438.0106899999996</v>
      </c>
      <c r="Z94" s="3">
        <f>3290.7+(31-978.8)+(-3.356514+(-0.03162--0.998376))+0--225.3-0.229806000000036</f>
        <v>2565.5804360000002</v>
      </c>
      <c r="AA94" s="3">
        <f>3612.9+(48-1113.3)+(-11.055474+(-0.14688--3.406698))+0--226.8-0.694008000000026</f>
        <v>2765.9103360000008</v>
      </c>
      <c r="AB94" s="3">
        <f>3615.7+(54-1085.8)+(-3.688014+(-0.05508--1.107516))+0--227.5-0.232050000000036</f>
        <v>2808.5323719999997</v>
      </c>
      <c r="AC94" s="3">
        <f>3602.7+(62-1016.8)+(0+(0-0))+0--228.5-0</f>
        <v>2876.3999999999996</v>
      </c>
      <c r="AD94">
        <v>2727</v>
      </c>
      <c r="AE94" s="3">
        <f>3644.5+(19-1163.4)+(0+(0-0))+0--226.9-0</f>
        <v>2727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3620.2+(67-1038.5)+(-1.846302+(-0.03417--0.529635))+0--229.4-0.116993999999977</f>
        <v>2876.632169</v>
      </c>
      <c r="G95" s="3">
        <f>3626.6+(60-1111.7)+(-1.849566+(-0.0306--0.566967))+0--229.9-0.117248999999977</f>
        <v>2803.3695519999997</v>
      </c>
      <c r="H95" s="3">
        <f>3635.7+(48-1192.7)+(-1.854207+(-0.02448--0.608277))+0--231.4-0.118013999999977</f>
        <v>2721.0115759999999</v>
      </c>
      <c r="I95" s="3">
        <f>3653.4+(43-1259)+(-3.726468+(-0.04386--1.28418))+0--232.1-0.236742000000037</f>
        <v>2666.77711</v>
      </c>
      <c r="J95" s="3">
        <f>3630.6+(50-1272.5)+(3.703212+(0.051-1.29795))+0--232.7--0.237354000000037</f>
        <v>2643.4936159999997</v>
      </c>
      <c r="K95" s="3">
        <f>3498.4+(46-1263.7)+(-10.705104+(-0.14076--3.866922))+0--233.7-0.715122000000027</f>
        <v>2506.7059359999994</v>
      </c>
      <c r="L95" s="3">
        <f>2999.7+(31-957.9)+(-4.589541+(-0.04743--1.465587))+0--185.7-0.284121000000011</f>
        <v>2255.0444949999992</v>
      </c>
      <c r="M95" s="3">
        <f>2949.3+(41.9-936.5)+(3.008286+(0.042738-0.95523))+0--164.2--0.167484000000026</f>
        <v>2221.163278</v>
      </c>
      <c r="N95" s="3">
        <f>3230.3+(44.8-1049)+(4.942359+(0.068544-1.60497))+0--162.5--0.248625000000009</f>
        <v>2392.2545580000005</v>
      </c>
      <c r="O95" s="3">
        <f>3413.4+(35-1077.4)+(5.222502+(0.05355-1.648422))+0--161.2--0.246636000000009</f>
        <v>2536.0742659999996</v>
      </c>
      <c r="P95" s="3">
        <f>3567.3+(33-1136.5)+(0+(0-0))+0--198.5-0</f>
        <v>2662.3</v>
      </c>
      <c r="Q95" s="3">
        <f>3514.7+(55-1005.1)+(-1.792497+(-0.02805--0.512601))+0--220.3-0.112352999999978</f>
        <v>2783.4797010000002</v>
      </c>
      <c r="R95" s="3">
        <f>3491+(99.9-845.5)+(0+(0-0))+0--220.8-0</f>
        <v>2966.2000000000003</v>
      </c>
      <c r="S95" s="3">
        <f>3471.2+(265.3-865.3)+(-12.392184+(-0.947121--3.089121))+0--220.7-0.787899000000003</f>
        <v>3080.8619169999997</v>
      </c>
      <c r="T95" s="3">
        <f>3456.6+(377.7-874.8)+(-3.525732+(-0.385254--0.892296))+0--219.5-0.223890000000035</f>
        <v>3175.7574199999999</v>
      </c>
      <c r="U95" s="3">
        <f>3444.8+(376.7-839.7)+(-5.270544+(-0.576351--1.284741))+0--218.2-0.333846000000013</f>
        <v>3195.1039999999998</v>
      </c>
      <c r="V95" s="3">
        <f>3384.9+(235.7-705)+(-3.452598+(-0.240414--0.7191))+0--221.1-0.225522000000035</f>
        <v>3133.5005659999997</v>
      </c>
      <c r="W95" s="3">
        <f>3373.9+(70-754.9)+(-6.882756+(-0.1428--1.539996))+0--224-0.45695999999999</f>
        <v>2907.0574799999999</v>
      </c>
      <c r="X95" s="3">
        <f>3372.2+(24-1023.5)+(-10.318932+(-0.07344--3.13191))+0--225.1-0.688806000000026</f>
        <v>2589.8507319999994</v>
      </c>
      <c r="Y95" s="3">
        <f>3157.9+(26.8-1027.7)+(-9.663174+(-0.082008--3.144762))+0--226-0.691560000000026</f>
        <v>2375.7080199999996</v>
      </c>
      <c r="Z95" s="3">
        <f>3120.5+(56-870.8)+(0+(0-0))+0--225.9-0</f>
        <v>2531.6</v>
      </c>
      <c r="AA95" s="3">
        <f>3540.7+(41-1077.8)+(-12.640299+(-0.14637--3.847746))+0--228.7-0.816459000000003</f>
        <v>2722.8446179999992</v>
      </c>
      <c r="AB95" s="3">
        <f>3577.4+(38-1083)+(-5.473422+(-0.05814--1.65699))+0--228.6-0.349758000000013</f>
        <v>2756.77567</v>
      </c>
      <c r="AC95" s="3">
        <f>3582.6+(48-1057.8)+(-1.827126+(-0.02448--0.539478))+0--228.6-0.116585999999977</f>
        <v>2799.971286</v>
      </c>
      <c r="AD95">
        <v>2763.7</v>
      </c>
      <c r="AE95" s="3">
        <f>3598.2+(42-1104.3)+(0+(0-0))+0--227.8-0</f>
        <v>2763.7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3601.2+(27-1051.4)+(0+(0-0))+0-7-0</f>
        <v>2569.7999999999997</v>
      </c>
      <c r="G96" s="3">
        <f>3625.7+(27-1106.5)+(-3.698214+(-0.02754--1.12863))+0--229.9-0.234498000000037</f>
        <v>2773.2683779999998</v>
      </c>
      <c r="H96" s="3">
        <f>3637+(27-1120.8)+(-1.85487+(-0.01377--0.571608))+0--230.4-0.117503999999977</f>
        <v>2772.1854640000001</v>
      </c>
      <c r="I96" s="3">
        <f>3634.2+(27-1227.2)+(-7.413768+(-0.05508--2.503488))+0--230.9-0.47103599999999</f>
        <v>2659.463604</v>
      </c>
      <c r="J96" s="3">
        <f>3510.8+(29-1153.9)+(3.581016+(0.02958-1.176978))+0--230.7--0.235314000000037</f>
        <v>2619.2689319999999</v>
      </c>
      <c r="K96" s="3">
        <f>3421.5+(31-1127.6)+(-5.234895+(-0.04743--1.725228))+0--228-0.348840000000013</f>
        <v>2548.9940630000001</v>
      </c>
      <c r="L96" s="3">
        <f>3088.6+(60-949.8)+(-3.150372+(-0.0612--0.968796))+0--131.7-0.134334000000021</f>
        <v>2328.1228900000001</v>
      </c>
      <c r="M96" s="3">
        <f>2855.8+(75.7-806.8)+(4.369374+(0.115821-1.234404))+0--94.9--0.145197000000005</f>
        <v>2222.9959880000001</v>
      </c>
      <c r="N96" s="3">
        <f>2935.6+(70-843.8)+(0+(0-0))+0--94.6-0</f>
        <v>2256.4</v>
      </c>
      <c r="O96" s="3">
        <f>2913.3+(59.9-762.8)+(-2.971566+(-0.061098--0.778056))+0--95-0.0969000000000152</f>
        <v>2303.0484919999999</v>
      </c>
      <c r="P96" s="3">
        <f>2933.5+(56-712.1)+(2.99217+(0.05712-0.726342))+0--132.6--0.135252000000021</f>
        <v>2412.4582</v>
      </c>
      <c r="Q96" s="3">
        <f>2930.6+(80-627.4)+(1.494606+(0.0408-0.319974))+0--158.7--0.0809369999999839</f>
        <v>2543.1963689999998</v>
      </c>
      <c r="R96" s="3">
        <f>2931.8+(199.5-670.1)+(1.495218+(0.101745-0.341751))+0--157.9--0.080528999999984</f>
        <v>2620.4357410000002</v>
      </c>
      <c r="S96" s="3">
        <f>3051.6+(286.9-738.4)+(-1.556316+(-0.146319--0.376584))+0--158.3-0.0807329999999839</f>
        <v>2756.9932160000003</v>
      </c>
      <c r="T96" s="3">
        <f>3247.2+(268.5-812.5)+(0+(0-0))+0--157.7-0</f>
        <v>2860.8999999999996</v>
      </c>
      <c r="U96" s="3">
        <f>3282+(261.7-793.2)+(-3.34764+(-0.266934--0.809064))+0--157.5-0.160650000000025</f>
        <v>2905.0338400000001</v>
      </c>
      <c r="V96" s="3">
        <f>3255.4+(182.2-700)+(3.320508+(0.185844-0.714))+0--157--0.160140000000025</f>
        <v>2897.5524920000003</v>
      </c>
      <c r="W96" s="3">
        <f>3224.9+(47.3-711.5)+(-1.644699+(-0.024123--0.362865))+0--180.4-0.0920039999999817</f>
        <v>2739.7020389999998</v>
      </c>
      <c r="X96" s="3">
        <f>3257.2+(61.9-1050.4)+(-3.322344+(-0.063138--1.071408))+0--222.1-0.226542000000035</f>
        <v>2488.259384</v>
      </c>
      <c r="Y96" s="3">
        <f>3186.9+(33-1181.4)+(-3.250638+(-0.03366--1.205028))+0--225.5-0.230010000000036</f>
        <v>2261.6907199999996</v>
      </c>
      <c r="Z96" s="3">
        <f>3218.1+(23-1080.9)+(-3.282462+(-0.02346--1.102518))+0--225.8-0.230316000000036</f>
        <v>2383.56628</v>
      </c>
      <c r="AA96" s="3">
        <f>3397.1+(58-1050.3)+(-10.395126+(-0.17748--3.213918))+0--227.6-0.696456000000026</f>
        <v>2624.3448560000002</v>
      </c>
      <c r="AB96" s="3">
        <f>3435.6+(68-1031.8)+(-3.504312+(-0.06936--1.052436))+0--228.6-0.233172000000036</f>
        <v>2697.6455919999999</v>
      </c>
      <c r="AC96" s="3">
        <f>3412.6+(75-972.8)+(-1.740426+(-0.03825--0.496128))+0--229-0.116789999999977</f>
        <v>2742.400662</v>
      </c>
      <c r="AD96">
        <v>2740.2</v>
      </c>
      <c r="AE96" s="3">
        <f>3423.2+(67-978)+(0+(0-0))+0--228-0</f>
        <v>2740.2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3404.6+(90-876.1)+(-8.68173+(-0.2295--2.234055))+0--229.1-0.584204999999967</f>
        <v>2840.33862</v>
      </c>
      <c r="G97" s="3">
        <f>3381.1+(80-910.2)+(-6.897444+(-0.1632--1.856808))+0--230-0.46919999999999</f>
        <v>2775.2269639999995</v>
      </c>
      <c r="H97" s="3">
        <f>3391.5+(71-975.3)+(-1.729665+(-0.03621--0.497403))+0--229.6-0.117095999999977</f>
        <v>2715.4144319999996</v>
      </c>
      <c r="I97" s="3">
        <f>3441.6+(63-1069.5)+(-5.265648+(-0.09639--1.636335))+0--229.8-0.351594000000013</f>
        <v>2660.8227029999998</v>
      </c>
      <c r="J97" s="3">
        <f>3531.5+(30-1182.2)+(-3.60213+(-0.0306--1.205844))+0--230.1-0.234702000000037</f>
        <v>2606.7384119999997</v>
      </c>
      <c r="K97" s="3">
        <f>3396.6+(37-1085.3)+(-10.393596+(-0.11322--3.321018))+0--196.7-0.601902000000023</f>
        <v>2537.2123000000001</v>
      </c>
      <c r="L97" s="3">
        <f>3061.2+(75.7-933.8)+(-6.244848+(-0.154428--1.904952))+0--100.2-0.204407999999996</f>
        <v>2298.6012679999999</v>
      </c>
      <c r="M97" s="3">
        <f>3110.4+(55.1-955.6)+(0+(0-0))+0--94.7-0</f>
        <v>2304.6</v>
      </c>
      <c r="N97" s="3">
        <f>3388.3+(21-1111.5)+(-5.184099+(-0.03213--1.700595))+0--153.7-0.235161000000009</f>
        <v>2447.7492050000001</v>
      </c>
      <c r="O97" s="3">
        <f>3657.3+(17-1201.8)+(3.730446+(0.01734-1.225836))+0--204--0.208080000000033</f>
        <v>2679.2300299999997</v>
      </c>
      <c r="P97" s="3">
        <f>3525.3+(18-1144)+(-1.797903+(-0.00918--0.58344))+17.6--217.2-0.110771999999978</f>
        <v>2632.7655850000001</v>
      </c>
      <c r="Q97" s="3">
        <f>3643.4+(44-953.7)+(-1.858134+(-0.02244--0.486387))+0--244.2-0.124541999999975</f>
        <v>2976.3812709999997</v>
      </c>
      <c r="R97" s="3">
        <f>3488.8+(94.9-776.1)+(1.779288+(0.048399-0.395811))+0--223--0.113729999999977</f>
        <v>3032.1456060000005</v>
      </c>
      <c r="S97" s="3">
        <f>3473.5+(222.2-775)+(-1.771485+(-0.113322--0.39525))+0--221.4-0.112913999999978</f>
        <v>3140.4975290000002</v>
      </c>
      <c r="T97" s="3">
        <f>3466.1+(377.9-818.9)+(-3.535422+(-0.385458--0.835278))+0--218.7-0.223074000000035</f>
        <v>3240.4913239999996</v>
      </c>
      <c r="U97" s="3">
        <f>3462.1+(444.3-848.5)+(-5.297013+(-0.679779--1.298205))+0--218.1-0.333693000000013</f>
        <v>3270.9877200000001</v>
      </c>
      <c r="V97" s="3">
        <f>3418.9+(362.3-770.7)+(-8.718195+(-0.923865--1.965285))+0--218.1-0.556154999999968</f>
        <v>3220.3670700000002</v>
      </c>
      <c r="W97" s="3">
        <f>3265.3+(172.3-609)+(-11.657121+(-0.615111--2.17413))+0--219.3-0.782901000000003</f>
        <v>3037.0189970000006</v>
      </c>
      <c r="X97" s="3">
        <f>3279+(93.2-868.5)+(-10.03374+(-0.285192--2.65761))+0--192.9-0.590274000000022</f>
        <v>2688.3484039999998</v>
      </c>
      <c r="Y97" s="3">
        <f>3161.6+(63.7-924.6)+(-6.449664+(-0.129948--1.886184))+0--173.6-0.354143999999992</f>
        <v>2469.2524279999998</v>
      </c>
      <c r="Z97" s="3">
        <f>3266.1+(49.1-893.7)+(0+(0-0))+0--189.5-0</f>
        <v>2611</v>
      </c>
      <c r="AA97" s="3">
        <f>3516.3+(64.1-984.6)+(-3.586626+(-0.065382--1.004292))+0--221.2-0.225624000000035</f>
        <v>2814.1266599999999</v>
      </c>
      <c r="AB97" s="3">
        <f>3553.4+(71.1-979.4)+(-5.436702+(-0.108783--1.498482))+0--222.3-0.340119000000013</f>
        <v>2863.0128780000005</v>
      </c>
      <c r="AC97" s="3">
        <f>3564.7+(79.2-964)+(-1.817997+(-0.040392--0.49164))+0--223.3-0.113882999999977</f>
        <v>2901.719368</v>
      </c>
      <c r="AD97">
        <v>2826.4</v>
      </c>
      <c r="AE97" s="3">
        <f>3493.2+(77-965.1)+(0+(0-0))+0--221.3-0</f>
        <v>2826.4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3593.4+(36-1022.8)+(-5.497902+(-0.05508--1.564884))+0--225.6-0.345168000000013</f>
        <v>2827.8667340000006</v>
      </c>
      <c r="G98" s="3">
        <f>3608.9+(33-1103.2)+(-5.521617+(-0.05049--1.687896))+0--225.7-0.345321000000013</f>
        <v>2760.1704679999993</v>
      </c>
      <c r="H98" s="3">
        <f>3612.2+(29-1152.5)+(-3.684444+(-0.02958--1.17555))+0--229.9-0.234498000000037</f>
        <v>2715.8270279999997</v>
      </c>
      <c r="I98" s="3">
        <f>3547.1+(26-1138.7)+(5.427063+(0.03978-1.742211))+0--228.1--0.348993000000013</f>
        <v>2666.5736249999995</v>
      </c>
      <c r="J98" s="3">
        <f>3514.7+(29-1145.7)+(0+(0-0))+0--232-0</f>
        <v>2630</v>
      </c>
      <c r="K98" s="3">
        <f>3306.3+(29-972.5)+(-3.372426+(-0.02958--0.99195))+0--192.6-0.196452000000031</f>
        <v>2552.7934919999998</v>
      </c>
      <c r="L98" s="3">
        <f>2928.7+(97.8-789)+(-5.974548+(-0.199512--1.60956))+0--102.8-0.209711999999996</f>
        <v>2335.5257880000004</v>
      </c>
      <c r="M98" s="3">
        <f>2974.2+(77-807)+(9.101052+(0.23562-2.46942))+0--95.5--0.292230000000011</f>
        <v>2346.8594819999998</v>
      </c>
      <c r="N98" s="3">
        <f>3411.4+(17-1145.8)+(-6.959256+(-0.03468--2.337432))+0--196-0.399839999999991</f>
        <v>2473.5436560000003</v>
      </c>
      <c r="O98" s="3">
        <f>3518.4+(16-1171.1)+(-1.794384+(-0.00816--0.597261))+0--224.3-0.114392999999977</f>
        <v>2586.2803240000007</v>
      </c>
      <c r="P98" s="3">
        <f>3563.1+(17-1110.1)+(-1.817181+(-0.00867--0.566151))+0--222.1-0.113270999999977</f>
        <v>2690.7270289999997</v>
      </c>
      <c r="Q98" s="3">
        <f>3523.1+(54-952.6)+(-1.796781+(-0.02754--0.485826))+0--221.2-0.112811999999978</f>
        <v>2844.248693</v>
      </c>
      <c r="R98" s="3">
        <f>3511.3+(188.8-914.3)+(0+(0-0))+0--218.2-0</f>
        <v>3004</v>
      </c>
      <c r="S98" s="3">
        <f>3476.1+(316-898.9)+(-3.545622+(-0.32232--0.916878))+0--217.6-0.221952000000035</f>
        <v>3107.626984</v>
      </c>
      <c r="T98" s="3">
        <f>3459.7+(377.7-844.6)+(-7.057788+(-0.770508--1.722984))+0--217.3-0.443291999999991</f>
        <v>3203.5513959999998</v>
      </c>
      <c r="U98" s="3">
        <f>3448.3+(322.1-781)+(-5.275899+(-0.492813--1.19493))+0--216.5-0.331245000000013</f>
        <v>3200.9949730000003</v>
      </c>
      <c r="V98" s="3">
        <f>3423.7+(179.7-706.5)+(-1.746087+(-0.091647--0.360315))+0--215.5-0.109904999999978</f>
        <v>3110.812676</v>
      </c>
      <c r="W98" s="3">
        <f>3428.6+(18-706.6)+(-1.748586+(-0.00918--0.360366))+0--215.1-0.109700999999978</f>
        <v>2953.5928990000002</v>
      </c>
      <c r="X98" s="3">
        <f>3446.6+(58-1061.7)+(-10.546596+(-0.17748--3.248802))+0--216-0.660960000000025</f>
        <v>2650.7637659999996</v>
      </c>
      <c r="Y98" s="3">
        <f>3249.8+(88.9-1077.5)+(-4.972194+(-0.136017--1.648575))+0--173-0.26469000000001</f>
        <v>2430.4756740000003</v>
      </c>
      <c r="Z98" s="3">
        <f>3267.1+(33-897.9)+(-4.998663+(-0.05049--1.373787))+0--183-0.279990000000011</f>
        <v>2581.2446439999999</v>
      </c>
      <c r="AA98" s="3">
        <f>3500.5+(50-989.9)+(-1.785255+(-0.0255--0.504849))+0--221.4-0.112913999999978</f>
        <v>2780.5811800000001</v>
      </c>
      <c r="AB98" s="3">
        <f>3590.2+(55-1040.3)+(-7.324008+(-0.1122--2.122212))+0--224-0.45695999999999</f>
        <v>2823.1290439999998</v>
      </c>
      <c r="AC98" s="3">
        <f>3585.9+(71-996.9)+(-3.657618+(-0.07242--1.016838))+0--226.6-0.231132000000036</f>
        <v>2883.6556679999999</v>
      </c>
      <c r="AD98">
        <v>2897.5</v>
      </c>
      <c r="AE98" s="3">
        <f>3594.2+(47.2-965.7)+(0+(0-0))+0--221.8-0</f>
        <v>2897.5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3599.4+(27-913.7)+(-5.507082+(-0.04131--1.397961))+0--227.7-0.348381000000013</f>
        <v>2935.9011879999998</v>
      </c>
      <c r="G99" s="3">
        <f>3608.8+(27-993.9)+(-7.361952+(-0.05508--2.027556))+0--229-0.46715999999999</f>
        <v>2865.0433640000001</v>
      </c>
      <c r="H99" s="3">
        <f>3628+(26-1076.8)+(-7.40112+(-0.05304--2.196672))+0--228.5-0.46613999999999</f>
        <v>2799.9763719999996</v>
      </c>
      <c r="I99" s="3">
        <f>3639.3+(26-1135)+(-9.280215+(-0.0663--2.89425))+0--228.4-0.582419999999967</f>
        <v>2751.6653150000002</v>
      </c>
      <c r="J99" s="3">
        <f>3630.2+(27-1167.2)+(-11.108412+(-0.08262--3.571632))+0--229.5-0.702270000000026</f>
        <v>2711.1783299999997</v>
      </c>
      <c r="K99" s="3">
        <f>3294.8+(35.9-949.4)+(-8.40174+(-0.091545--2.42097))+0--230.4-0.587519999999967</f>
        <v>2605.0401650000003</v>
      </c>
      <c r="L99" s="3">
        <f>3049+(86.3-980.6)+(-1.55499+(-0.044013--0.500106))+0--229.8-0.117197999999977</f>
        <v>2383.2839050000002</v>
      </c>
      <c r="M99" s="3">
        <f>3071.9+(60.4-1048.3)+(-1.566669+(-0.030804--0.534633))+0--228.1-0.116330999999977</f>
        <v>2310.9208289999997</v>
      </c>
      <c r="N99" s="3">
        <f>3477.6+(28.7-1190.9)+(1.773576+(0.014637-0.607359))+0--227.7--0.116126999999977</f>
        <v>2544.3969809999994</v>
      </c>
      <c r="O99" s="3">
        <f>3568.4+(25.1-1158.6)+(-1.819884+(-0.012801--0.590886))+0--226.2-0.115361999999977</f>
        <v>2659.742839</v>
      </c>
      <c r="P99" s="3">
        <f>3438.9+(20-951)+(-1.753839+(-0.0102--0.48501))+0--223.7-0.114086999999977</f>
        <v>2730.2068840000002</v>
      </c>
      <c r="Q99" s="3">
        <f>3404.1+(18-805.7)+(0+(0-0))+0--246.1-0</f>
        <v>2862.4999999999995</v>
      </c>
      <c r="R99" s="3">
        <f>3458.8+(89.8-849.6)+(0+(0-0))+0--264.7-0</f>
        <v>2963.7</v>
      </c>
      <c r="S99" s="3">
        <f>3486.2+(166.9-871.2)+(-3.555924+(-0.170238--0.888624))+0--247.4-0.252348000000039</f>
        <v>3026.2101139999995</v>
      </c>
      <c r="T99" s="3">
        <f>3477.2+(216.4-861.7)+(-1.773372+(-0.110364--0.439467))+0--245.4-0.125153999999975</f>
        <v>3075.7305769999998</v>
      </c>
      <c r="U99" s="3">
        <f>3473.4+(249.4-842)+(1.771434+(0.127194-0.42942))+0--244.6--0.124745999999975</f>
        <v>3126.993954</v>
      </c>
      <c r="V99" s="3">
        <f>3475.2+(213.9-784.1)+(-1.772352+(-0.109089--0.399891))+0--244.4-0.124643999999975</f>
        <v>3147.7938060000001</v>
      </c>
      <c r="W99" s="3">
        <f>3482+(18-762.2)+(-12.43074+(-0.06426--2.721054))+0--244-0.871080000000003</f>
        <v>2971.1549740000005</v>
      </c>
      <c r="X99" s="3">
        <f>3456+(35-1002.1)+(-10.57536+(-0.1071--3.066426))+0--245.9-0.752454000000028</f>
        <v>2726.4315120000001</v>
      </c>
      <c r="Y99" s="3">
        <f>3159.9+(39.8-961.6)+(-1.611549+(-0.020298--0.490416))+0--246-0.125459999999975</f>
        <v>2482.8331090000001</v>
      </c>
      <c r="Z99" s="3">
        <f>3380.2+(18-1043.3)+(1.723902+(0.00918-0.532083))+0--245.6--0.125255999999975</f>
        <v>2601.8262549999995</v>
      </c>
      <c r="AA99" s="3">
        <f>3580.7+(18-1049.9)+(-7.304628+(-0.03672--2.141796))+0--246.5-0.502859999999989</f>
        <v>2789.5975879999996</v>
      </c>
      <c r="AB99" s="3">
        <f>3595+(18-1051.8)+(-1.83345+(-0.00918--0.536418))+0--246.5-0.125714999999975</f>
        <v>2806.2680729999997</v>
      </c>
      <c r="AC99" s="3">
        <f>3602.6+(18-1012)+(0+(0-0))+0--238.1-0</f>
        <v>2846.7</v>
      </c>
      <c r="AD99">
        <v>2845.9</v>
      </c>
      <c r="AE99" s="3">
        <f>3564.5+(20-983.7)+(0+(0-0))+0--245.1-0</f>
        <v>2845.9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3626.9+(31-958.4)+(-9.248595+(-0.07905--2.44392))+0--236.8-0.603839999999966</f>
        <v>2928.8124350000003</v>
      </c>
      <c r="G100" s="3">
        <f>3636.9+(29-1035.7)+(-7.419276+(-0.05916--2.112828))+0--232-0.47327999999999</f>
        <v>2856.3611119999996</v>
      </c>
      <c r="H100" s="3">
        <f>3655+(29-1107.9)+(-3.7281+(-0.02958--1.130058))+0--227.9-0.232458000000036</f>
        <v>2801.1399200000001</v>
      </c>
      <c r="I100" s="3">
        <f>3678.5+(32.2-1168)+(-5.628105+(-0.049266--1.78704))+0--225-0.344250000000013</f>
        <v>2763.4654189999997</v>
      </c>
      <c r="J100" s="3">
        <f>3674+(34.4-1201.7)+(-9.3687+(-0.08772--3.064335))+0--223-0.568649999999968</f>
        <v>2722.7392649999997</v>
      </c>
      <c r="K100" s="3">
        <f>3615.7+(32.8-1187.7)+(-9.220035+(-0.08364--3.028635))+0--223-0.568649999999968</f>
        <v>2676.9563099999996</v>
      </c>
      <c r="L100" s="3">
        <f>3023.6+(112.9-950)+(1.542036+(0.057579-0.4845))+0--224.5--0.114494999999977</f>
        <v>2412.2296099999999</v>
      </c>
      <c r="M100" s="3">
        <f>3024+(90-923.2)+(-4.62672+(-0.1377--1.412496))+0--224.8-0.343944000000013</f>
        <v>2411.9041320000001</v>
      </c>
      <c r="N100" s="3">
        <f>3123.5+(51-879.5)+(1.592985+(0.02601-0.448545))+0--223.6--0.114035999999977</f>
        <v>2519.8844859999999</v>
      </c>
      <c r="O100" s="3">
        <f>3397.5+(27.7-1015.8)+(0+(0-0))+0--221.6-0</f>
        <v>2631</v>
      </c>
      <c r="P100" s="3">
        <f>3465.1+(24-953)+(-1.767201+(-0.01224--0.48603))+0--223.4-0.113933999999977</f>
        <v>2758.0926549999999</v>
      </c>
      <c r="Q100" s="3">
        <f>3481.8+(49-849.1)+(3.551436+(0.04998-0.866082))+0--243.9--0.248778000000039</f>
        <v>2928.5841120000005</v>
      </c>
      <c r="R100" s="3">
        <f>3487.9+(128.1-864.8)+(3.557658+(0.130662-0.882096))+0--242.9--0.247758000000039</f>
        <v>2997.1539820000003</v>
      </c>
      <c r="S100" s="3">
        <f>3461.2+(231.5-855)+(0+(0-0))+0--243.5-0</f>
        <v>3081.2</v>
      </c>
      <c r="T100" s="3">
        <f>3459.8+(269-816.1)+(-1.764498+(-0.13719--0.416211))+0--251.9-0.128468999999974</f>
        <v>3162.9860540000004</v>
      </c>
      <c r="U100" s="3">
        <f>3525.4+(273.7-847.7)+(-1.797954+(-0.139587--0.432327))+0--222.8-0.113627999999977</f>
        <v>3172.5811580000004</v>
      </c>
      <c r="V100" s="3">
        <f>3432.3+(248.1-751.2)+(-5.251419+(-0.379593--1.149336))+0--216.2-0.330786000000012</f>
        <v>3140.5875380000002</v>
      </c>
      <c r="W100" s="3">
        <f>3415.3+(20.7-659.1)+(3.483606+(0.021114-0.672282))+0--216.3--0.220626000000034</f>
        <v>2996.253064</v>
      </c>
      <c r="X100" s="3">
        <f>3430+(40.6-967.2)+(-6.9972+(-0.082824--1.973088))+0--216.7-0.442067999999991</f>
        <v>2714.5509959999999</v>
      </c>
      <c r="Y100" s="3">
        <f>3463.8+(24.5-1151.8)+(-3.533076+(-0.02499--1.174836))+0--217.4-0.221748000000035</f>
        <v>2551.2950220000002</v>
      </c>
      <c r="Z100" s="3">
        <f>3522+(19.4-1094.3)+(0+(0-0))+0--217.1-0</f>
        <v>2664.2000000000003</v>
      </c>
      <c r="AA100" s="3">
        <f>3548.1+(19.3-1007.8)+(-1.809531+(-0.009843--0.513978))+0--250.4-0.127703999999975</f>
        <v>2808.5668999999998</v>
      </c>
      <c r="AB100" s="3">
        <f>3584.1+(19.2-1008.3)+(-5.483673+(-0.029376--1.542699))+0--253.7-0.388161000000015</f>
        <v>2844.3414889999999</v>
      </c>
      <c r="AC100" s="3">
        <f>3583+(18.2-964.2)+(0+(0-0))+0--254.3-0</f>
        <v>2891.3</v>
      </c>
      <c r="AD100">
        <v>2844.4</v>
      </c>
      <c r="AE100" s="3">
        <f>3532.7+(18-949.1)+(0+(0-0))+0--242.8-0</f>
        <v>2844.4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3582.6+(41-930.6)+(-5.481378+(-0.06273--1.423818))+0--255.8-0.391374000000015</f>
        <v>2944.2883360000005</v>
      </c>
      <c r="G101" s="3">
        <f>3535+(45-917.7)+(0+(0-0))+0--222.8-0</f>
        <v>2885.1000000000004</v>
      </c>
      <c r="H101" s="3">
        <f>3547.7+(44-986.7)+(-9.046635+(-0.1122--2.516085))+0--221.8-0.565589999999968</f>
        <v>2819.59166</v>
      </c>
      <c r="I101" s="3">
        <f>3519.2+(55.7-1004.8)+(-5.384376+(-0.085221--1.537344))+0--222.8-0.340884000000013</f>
        <v>2788.626863</v>
      </c>
      <c r="J101" s="3">
        <f>3365.3+(76.6-926)+(-5.148909+(-0.117198--1.41678))+0--222.8-0.340884000000013</f>
        <v>2734.5097890000002</v>
      </c>
      <c r="K101" s="3">
        <f>3361.6+(107.7-992.7)+(-10.286496+(-0.329562--3.037662))+0--222.9-0.682074000000026</f>
        <v>2691.2395300000003</v>
      </c>
      <c r="L101" s="3">
        <f>3025.4+(107.8-898)+(-3.085908+(-0.109956--0.91596))+0--223.9-0.228378000000036</f>
        <v>2456.5917179999997</v>
      </c>
      <c r="M101" s="3">
        <f>2939+(99.2-855.2)+(1.49889+(0.050592-0.436152))+0--223.7--0.114086999999977</f>
        <v>2407.9274169999999</v>
      </c>
      <c r="N101" s="3">
        <f>3433.7+(26.6-1115.4)+(3.502374+(0.027132-1.137708))+0--221.1--0.225522000000035</f>
        <v>2568.6173199999998</v>
      </c>
      <c r="O101" s="3">
        <f>3499.7+(33.1-1085.8)+(-5.354541+(-0.050643--1.661274))+0--220-0.336600000000013</f>
        <v>2662.9194899999998</v>
      </c>
      <c r="P101" s="3">
        <f>3455.4+(30.6-942.7)+(0+(0-0))+0--218.9-0</f>
        <v>2762.2000000000003</v>
      </c>
      <c r="Q101" s="3">
        <f>3451.5+(17.5-810.6)+(1.760265+(0.008925-0.413406))+0--223.3--0.113882999999977</f>
        <v>2883.1696670000001</v>
      </c>
      <c r="R101" s="3">
        <f>3458.4+(51.1-741.1)+(-1.763784+(-0.026061--0.377961))+0--253.6-0.129335999999974</f>
        <v>3020.4587799999999</v>
      </c>
      <c r="S101" s="3">
        <f>3539.3+(180.8-761.5)+(-7.220172+(-0.368832--1.55346))+0--242.5-0.494699999999989</f>
        <v>3194.5697560000003</v>
      </c>
      <c r="T101" s="3">
        <f>3463.8+(229-764.2)+(1.766538+(0.11679-0.389742))+0--236.2--0.120461999999976</f>
        <v>3166.4140480000001</v>
      </c>
      <c r="U101" s="3">
        <f>3512.8+(204.5-758.9)+(-8.95764+(-0.521475--1.935195))+0--233-0.594149999999966</f>
        <v>3183.2619300000001</v>
      </c>
      <c r="V101" s="3">
        <f>3500.4+(205.5-696.6)+(0+(0-0))+0--229.3-0</f>
        <v>3238.6000000000004</v>
      </c>
      <c r="W101" s="3">
        <f>3389.9+(30.2-658.7)+(-5.186547+(-0.046206--1.007811))+0--228.5-0.349605000000013</f>
        <v>2985.3254530000004</v>
      </c>
      <c r="X101" s="3">
        <f>3402.4+(99.3-962.4)+(-6.940896+(-0.202572--1.963296))+0--229.9-0.46899599999999</f>
        <v>2763.5508320000004</v>
      </c>
      <c r="Y101" s="3">
        <f>3159.1+(129.9-962.1)+(-3.222282+(-0.132498--0.981342))+0--231.7-0.236334000000037</f>
        <v>2555.9902279999992</v>
      </c>
      <c r="Z101" s="3">
        <f>3187.1+(22.6-826.4)+(-6.501684+(-0.046104--1.685856))+0--232.8-0.47491199999999</f>
        <v>2610.7631560000004</v>
      </c>
      <c r="AA101" s="3">
        <f>3532.4+(19.3-970.2)+(-5.404572+(-0.029529--1.484406))+0--233.4-0.357102000000014</f>
        <v>2810.5932030000004</v>
      </c>
      <c r="AB101" s="3">
        <f>3543.8+(17.2-969.5)+(-5.422014+(-0.026316--1.483335))+0--233.3-0.356949000000014</f>
        <v>2820.4780560000004</v>
      </c>
      <c r="AC101" s="3">
        <f>3444.1+(17.9-855.2)+(3.512982+(0.018258-0.872304))+0--233.7--0.238374000000037</f>
        <v>2843.3973099999994</v>
      </c>
      <c r="AD101">
        <v>2884.7</v>
      </c>
      <c r="AE101" s="3">
        <f>3527.2+(37-913.3)+(0+(0-0))+0--233.8-0</f>
        <v>2884.7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3465.8+(37.2-834.8)+(-1.767558+(-0.018972--0.425748))+0--234.2-0.119441999999976</f>
        <v>2900.9197759999997</v>
      </c>
      <c r="G102" s="3">
        <f>3454.7+(38-896.5)+(-3.523794+(-0.03876--0.91443))+0--234.7-0.239394000000037</f>
        <v>2828.0124819999996</v>
      </c>
      <c r="H102" s="3">
        <f>3440.1+(41.7-901.6)+(-3.508902+(-0.042534--0.919632))+0--234.7-0.239394000000037</f>
        <v>2812.0288019999994</v>
      </c>
      <c r="I102" s="3">
        <f>3438.2+(42.4-935.9)+(1.753482+(0.021624-0.477309))+0--235--0.119849999999976</f>
        <v>2781.117647</v>
      </c>
      <c r="J102" s="3">
        <f>3325.3+(76.7-902.5)+(-5.087709+(-0.117351--1.380825))+0--237-0.362610000000014</f>
        <v>2732.3131549999998</v>
      </c>
      <c r="K102" s="3">
        <f>3192.4+(119.9-905.2)+(-8.14062+(-0.305745--2.30826))+0--237.1-0.604604999999966</f>
        <v>2637.4572899999998</v>
      </c>
      <c r="L102" s="3">
        <f>2843.6+(157-811.1)+(-8.701416+(-0.48042--2.481966))+0--236.1-0.722466000000027</f>
        <v>2418.1776639999998</v>
      </c>
      <c r="M102" s="3">
        <f>2813+(130.2-813.3)+(-1.43463+(-0.066402--0.414783))+0--236-0.120359999999976</f>
        <v>2364.6933910000002</v>
      </c>
      <c r="N102" s="3">
        <f>3030.1+(101.1-920.5)+(-1.545351+(-0.051561--0.469455))+0--235-0.119849999999976</f>
        <v>2444.4526929999997</v>
      </c>
      <c r="O102" s="3">
        <f>3159+(54.7-930.5)+(0+(0-0))+0--234.1-0</f>
        <v>2517.2999999999997</v>
      </c>
      <c r="P102" s="3">
        <f>3317.2+(32.5-975.7)+(0+(0-0))+0--231.7-0</f>
        <v>2605.6999999999998</v>
      </c>
      <c r="Q102" s="3">
        <f>3320.5+(29-845.4)+(-5.080365+(-0.04437--1.293462))+0--231.6-0.354348000000013</f>
        <v>2731.5143790000002</v>
      </c>
      <c r="R102" s="3">
        <f>3307.1+(22-741.2)+(-1.686621+(-0.01122--0.378012))+0--231.1-0.117860999999977</f>
        <v>2817.5623099999993</v>
      </c>
      <c r="S102" s="3">
        <f>3281.2+(97.7-683.1)+(-8.36706+(-0.249135--1.741905))+0--231.4-0.590069999999966</f>
        <v>2919.7356399999999</v>
      </c>
      <c r="T102" s="3">
        <f>3270+(150.5-653.1)+(1.6677+(0.076755-0.333081))+0--231.2--0.117911999999977</f>
        <v>3000.1292859999999</v>
      </c>
      <c r="U102" s="3">
        <f>3267.6+(148.8-634.5)+(1.666476+(0.075888-0.323595))+0--231.4--0.118013999999977</f>
        <v>3014.8367830000002</v>
      </c>
      <c r="V102" s="3">
        <f>3293.9+(83.2-632.1)+(-3.359778+(-0.084864--0.644742))+0--231.8-0.236436000000037</f>
        <v>2973.7636640000001</v>
      </c>
      <c r="W102" s="3">
        <f>3368.3+(66.1-804.8)+(-5.153499+(-0.101133--1.231344))+0--232-0.354960000000013</f>
        <v>2857.2217520000004</v>
      </c>
      <c r="X102" s="3">
        <f>3305.8+(142-1015)+(-6.743832+(-0.28968--2.0706))+0--234.5-0.47837999999999</f>
        <v>2661.8587080000002</v>
      </c>
      <c r="Y102" s="3">
        <f>2904+(187.4-906.2)+(-4.44312+(-0.286722--1.386486))+0--236.3-0.361539000000014</f>
        <v>2417.7951050000001</v>
      </c>
      <c r="Z102" s="3">
        <f>2998+(64.9-761.2)+(1.52898+(0.033099-0.388212))+0--235--0.119849999999976</f>
        <v>2537.9937169999998</v>
      </c>
      <c r="AA102" s="3">
        <f>3441.1+(22-952.8)+(-5.264883+(-0.03366--1.457784))+0--236.4-0.361692000000014</f>
        <v>2742.4975490000002</v>
      </c>
      <c r="AB102" s="3">
        <f>3412.9+(22-906)+(-3.481158+(-0.02244--0.92412))+0--236.4-0.241128000000038</f>
        <v>2762.479394</v>
      </c>
      <c r="AC102" s="3">
        <f>3382.2+(22.3-853.3)+(3.449844+(0.022746-0.870366))+0--236.2--0.240924000000038</f>
        <v>2790.243148</v>
      </c>
      <c r="AD102">
        <v>2807.7</v>
      </c>
      <c r="AE102" s="3">
        <f>3498.7+(25-953.3)+(0+(0-0))+0--237.3-0</f>
        <v>2807.7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3401.8+(45.6-817.2)+(-3.469836+(-0.046512--0.833544))+0--236.5-0.241230000000038</f>
        <v>2863.7759660000002</v>
      </c>
      <c r="G103" s="3">
        <f>3312.7+(64.3-855.6)+(-1.689477+(-0.032793--0.436356))+0--237.2-0.120971999999976</f>
        <v>2757.1931139999992</v>
      </c>
      <c r="H103" s="3">
        <f>3414.4+(77.3-917)+(-6.965376+(-0.157692--1.87068))+0--237.2-0.48388799999999</f>
        <v>2806.1637239999995</v>
      </c>
      <c r="I103" s="3">
        <f>3389.7+(88.4-946.9)+(-8.643735+(-0.22542--2.414595))+0--237.5-0.605624999999966</f>
        <v>2761.6398149999995</v>
      </c>
      <c r="J103" s="3">
        <f>3388+(97.3-991.3)+(3.45576+(0.099246-1.011126))+0--237.7--0.242454000000038</f>
        <v>2734.4863340000002</v>
      </c>
      <c r="K103" s="3">
        <f>3295.9+(147.7-972.8)+(-8.404545+(-0.376635--2.48064))+0--220.3-0.561764999999968</f>
        <v>2684.2376950000003</v>
      </c>
      <c r="L103" s="3">
        <f>2764.6+(190.4-722.5)+(-1.409946+(-0.097104--0.368475))+0--159.7-0.0814469999999838</f>
        <v>2390.9799779999998</v>
      </c>
      <c r="M103" s="3">
        <f>2689.3+(189-717.5)+(-2.743086+(-0.19278--0.73185))+0--160.6-0.163812000000026</f>
        <v>2319.0321719999997</v>
      </c>
      <c r="N103" s="3">
        <f>2873+(154.5-896.2)+(-2.93046+(-0.15759--0.914124))+0--232.1-0.236742000000037</f>
        <v>2360.9893320000001</v>
      </c>
      <c r="O103" s="3">
        <f>3026.7+(123.3-989)+(1.543617+(0.062883-0.50439))+0--250.5--0.127754999999975</f>
        <v>2412.7298649999998</v>
      </c>
      <c r="P103" s="3">
        <f>3029.9+(91.6-899.5)+(-3.090498+(-0.093432--0.91749))+0--249-0.25398000000004</f>
        <v>2468.4795800000002</v>
      </c>
      <c r="Q103" s="3">
        <f>3071.6+(51.5-792.9)+(0+(0-0))+0--247.8-0</f>
        <v>2578</v>
      </c>
      <c r="R103" s="3">
        <f>3126.2+(22-645.1)+(4.783086+(0.03366-0.987003))+0--247.8--0.379134000000014</f>
        <v>2755.1088769999997</v>
      </c>
      <c r="S103" s="3">
        <f>3230.1+(29-618.7)+(0+(0-0))+0--247.9-0</f>
        <v>2888.2999999999997</v>
      </c>
      <c r="T103" s="3">
        <f>3233.9+(68.4-586.9)+(1.649289+(0.034884-0.299319))+0--248--0.126479999999975</f>
        <v>2964.9113339999999</v>
      </c>
      <c r="U103" s="3">
        <f>3192.7+(107.2-567)+(-9.769662+(-0.328032--1.73502))+0--243.8-0.746028000000028</f>
        <v>2967.5912979999998</v>
      </c>
      <c r="V103" s="3">
        <f>3169.2+(69.2-543.6)+(4.848876+(0.105876-0.831708))+0--223.8--0.342414000000013</f>
        <v>2923.065458</v>
      </c>
      <c r="W103" s="3">
        <f>3188.6+(77.1-705.2)+(-8.13093+(-0.196605--1.79826))+0--223.9-0.570944999999968</f>
        <v>2777.2997800000003</v>
      </c>
      <c r="X103" s="3">
        <f>3234.3+(112.2-1037.5)+(-8.247465+(-0.28611--2.645625))+0--223.9-0.570944999999968</f>
        <v>2526.4411050000003</v>
      </c>
      <c r="Y103" s="3">
        <f>2927+(119.4-932.8)+(-2.98554+(-0.121788--0.951456))+0--224.7-0.229194000000036</f>
        <v>2335.9149339999999</v>
      </c>
      <c r="Z103" s="3">
        <f>2793.2+(38.1-630.8)+(-2.849064+(-0.038862--0.643416))+0--230.1-0.234702000000037</f>
        <v>2428.1207879999997</v>
      </c>
      <c r="AA103" s="3">
        <f>3416.9+(16-925.9)+(-6.970476+(-0.03264--1.888836))+0--248.9-0.507755999999989</f>
        <v>2750.2779640000003</v>
      </c>
      <c r="AB103" s="3">
        <f>3445.2+(23-875.9)+(-3.514104+(-0.02346--0.893418))+0--248.9-0.25387800000004</f>
        <v>2838.3019759999997</v>
      </c>
      <c r="AC103" s="3">
        <f>3454+(25-838.5)+(-5.28462+(-0.03825--1.282905))+0--249.8-0.382194000000014</f>
        <v>2885.8778410000004</v>
      </c>
      <c r="AD103">
        <v>2800.1</v>
      </c>
      <c r="AE103" s="3">
        <f>3424.2+(24-896.9)+(0+(0-0))+0--248.8-0</f>
        <v>2800.1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3429.6+(42-819.1)+(-1.749096+(-0.02142--0.417741))+0--249.8-0.127397999999975</f>
        <v>2900.8198270000003</v>
      </c>
      <c r="G104" s="3">
        <f>3425.8+(57.8-881.3)+(-3.494316+(-0.058956--0.898926))+0--250.3-0.25530600000004</f>
        <v>2849.6903480000005</v>
      </c>
      <c r="H104" s="3">
        <f>3441.7+(53-923.9)+(3.510534+(0.05406-0.942378))+0--235--0.239700000000037</f>
        <v>2808.661916</v>
      </c>
      <c r="I104" s="3">
        <f>3441.5+(42.7-964.3)+(-1.755165+(-0.021777--0.491793))+0--225.6-0.115055999999977</f>
        <v>2744.0997950000001</v>
      </c>
      <c r="J104" s="3">
        <f>3326.7+(71.2-888.7)+(-5.089851+(-0.108936--1.359711))+0--226.2-0.346086000000013</f>
        <v>2731.2148379999994</v>
      </c>
      <c r="K104" s="3">
        <f>2984+(153.9-713.9)+(-12.17472+(-0.627912--2.912712))+0--221.7-0.904535999999981</f>
        <v>2634.9055439999997</v>
      </c>
      <c r="L104" s="3">
        <f>2689.5+(260.4-678.7)+(-5.48658+(-0.531216--1.384548))+0--159.3-0.324971999999993</f>
        <v>2425.54178</v>
      </c>
      <c r="M104" s="3">
        <f>2871.2+(209.6-780.2)+(4.392936+(0.320688-1.193706))+0--159.2--0.243576000000009</f>
        <v>2463.5634939999995</v>
      </c>
      <c r="N104" s="3">
        <f>3095.8+(155.5-867.3)+(1.578858+(0.079305-0.442323))+0--209.4--0.106793999999979</f>
        <v>2594.7226339999997</v>
      </c>
      <c r="O104" s="3">
        <f>3416+(68.1-1016.7)+(1.74216+(0.034731-0.518517))+0--254.8--0.129947999999974</f>
        <v>2723.5883220000001</v>
      </c>
      <c r="P104" s="3">
        <f>3415.7+(43.2-888.6)+(-3.484014+(-0.044064--0.906372))+0--253.5-0.25857000000004</f>
        <v>2820.9197239999999</v>
      </c>
      <c r="Q104" s="3">
        <f>3376+(35.8-740.2)+(-1.72176+(-0.018258--0.377502))+0--252.9-0.128978999999974</f>
        <v>2923.0085049999998</v>
      </c>
      <c r="R104" s="3">
        <f>3370.6+(56.6-651.9)+(-3.438012+(-0.057732--0.664938))+0--252.4-0.25744800000004</f>
        <v>3024.6117460000005</v>
      </c>
      <c r="S104" s="3">
        <f>3334.2+(175-672.7)+(-1.700442+(-0.08925--0.343077))+0--251.9-0.128468999999974</f>
        <v>3086.8249160000005</v>
      </c>
      <c r="T104" s="3">
        <f>3313.2+(245-645.1)+(-5.069196+(-0.37485--0.987003))+0--251.9-0.385407000000015</f>
        <v>3160.1575499999999</v>
      </c>
      <c r="U104" s="3">
        <f>3209.4+(317.8-608.1)+(0+(0-0))+0--245.6-0</f>
        <v>3164.7</v>
      </c>
      <c r="V104" s="3">
        <f>3184.5+(263.3-563.3)+(-3.24819+(-0.268566--0.574566))+0--243.6-0.248472000000039</f>
        <v>3124.9093379999995</v>
      </c>
      <c r="W104" s="3">
        <f>3188.3+(77.3-547.8)+(-8.130165+(-0.197115--1.39689))+0--244-0.622199999999965</f>
        <v>2954.2474100000004</v>
      </c>
      <c r="X104" s="3">
        <f>3204.9+(117.4-840.9)+(-8.172495+(-0.29937--2.144295))+0--244.4-0.623219999999965</f>
        <v>2718.8492100000003</v>
      </c>
      <c r="Y104" s="3">
        <f>2942.8+(127.6-794)+(-9.004968+(-0.390456--2.42964))+0--244.8-0.749088000000028</f>
        <v>2513.4851280000003</v>
      </c>
      <c r="Z104" s="3">
        <f>3147.7+(25-751.9)+(3.210654+(0.0255-0.766938))+0--244.4--0.249288000000039</f>
        <v>2667.9185039999998</v>
      </c>
      <c r="AA104" s="3">
        <f>3323.7+(26-749.6)+(-5.085261+(-0.03978--1.146888))+0--244.3-0.373779000000014</f>
        <v>2840.0480680000001</v>
      </c>
      <c r="AB104" s="3">
        <f>3338.4+(25-738.6)+(-3.405168+(-0.0255--0.753372))+0--244.6-0.249492000000039</f>
        <v>2866.4732120000003</v>
      </c>
      <c r="AC104" s="3">
        <f>3340.5+(25-705.7)+(1.703655+(0.01275-0.359907))+0--245--0.124949999999975</f>
        <v>2906.2814480000002</v>
      </c>
      <c r="AD104">
        <v>2890.9999999999995</v>
      </c>
      <c r="AE104" s="3">
        <f>3315.2+(27-695.8)+(0+(0-0))+0--244.6-0</f>
        <v>2890.9999999999995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3348.9+(37-684.8)+(0+(0-0))+0--246.5-0</f>
        <v>2947.6000000000004</v>
      </c>
      <c r="G105" s="3">
        <f>3360.2+(39-758.6)+(-1.713702+(-0.01989--0.386886))+0--246.8-0.125867999999975</f>
        <v>2885.9274260000002</v>
      </c>
      <c r="H105" s="3">
        <f>3346.5+(42.8-806.4)+(-5.120145+(-0.065484--1.233792))+0--246-0.376380000000014</f>
        <v>2824.5717829999999</v>
      </c>
      <c r="I105" s="3">
        <f>3251.6+(57.2-780.1)+(-4.974948+(-0.087516--1.193553))+0--246.5-0.377145000000014</f>
        <v>2770.9539439999999</v>
      </c>
      <c r="J105" s="3">
        <f>3239.4+(59.1-799.3)+(-8.26047+(-0.150705--2.038215))+0--246.7-0.629084999999964</f>
        <v>2738.8979549999999</v>
      </c>
      <c r="K105" s="3">
        <f>3198.7+(72-795.2)+(-8.156685+(-0.1836--2.02776))+0--224.5-0.572474999999967</f>
        <v>2693.1150000000002</v>
      </c>
      <c r="L105" s="3">
        <f>2919.6+(160.9-720.2)+(-2.977992+(-0.164118--0.734604))+0--158.8-0.161976000000025</f>
        <v>2516.530518</v>
      </c>
      <c r="M105" s="3">
        <f>2955.2+(136.3-763)+(-1.507152+(-0.069513--0.38913))+0--159-0.0810899999999839</f>
        <v>2486.2313749999998</v>
      </c>
      <c r="N105" s="3">
        <f>3067.2+(113.1-755.3)+(1.564272+(0.057681-0.385203))+0--158.8--0.0809879999999839</f>
        <v>2585.1177380000004</v>
      </c>
      <c r="O105" s="3">
        <f>3045.2+(87.6-663.5)+(0+(0-0))+0--167.5-0</f>
        <v>2636.7999999999997</v>
      </c>
      <c r="P105" s="3">
        <f>3064.4+(47-672.5)+(3.125688+(0.04794-0.68595))+0--207.6--0.211752000000033</f>
        <v>2649.1994300000001</v>
      </c>
      <c r="Q105" s="3">
        <f>3240.4+(42-666.9)+(-1.652604+(-0.02142--0.340119))+0--278.2-0.141881999999972</f>
        <v>2892.224213</v>
      </c>
      <c r="R105" s="3">
        <f>3230.7+(143.5-645.6)+(-3.295314+(-0.14637--0.658512))+0--263.1-0.268362000000042</f>
        <v>2988.6484659999996</v>
      </c>
      <c r="S105" s="3">
        <f>3213.4+(241.6-624.6)+(-3.277668+(-0.246432--0.637092))+0--251.5-0.25653000000004</f>
        <v>3078.7564619999998</v>
      </c>
      <c r="T105" s="3">
        <f>3213.3+(342.7-641.7)+(0+(0-0))+0--246.9-0</f>
        <v>3161.2000000000003</v>
      </c>
      <c r="U105" s="3">
        <f>3231+(20-427.3)+(0+(0-0))+0--243.3-0</f>
        <v>3067</v>
      </c>
      <c r="V105" s="3">
        <f>3195.3+(19-380.4)+(1.629603+(0.00969-0.194004))+0--243.3--0.124082999999975</f>
        <v>3078.7693720000002</v>
      </c>
      <c r="W105" s="3">
        <f>3197+(78.6-549.9)+(-6.52188+(-0.160344--1.121796))+0--243.4-0.496535999999989</f>
        <v>2963.043036</v>
      </c>
      <c r="X105" s="3">
        <f>3234.1+(128.4-856.7)+(-11.545737+(-0.458388--3.058419))+0--241.1-0.860727000000003</f>
        <v>2737.0935669999994</v>
      </c>
      <c r="Y105" s="3">
        <f>3070+(162.4-880.1)+(-7.8285+(-0.41412--2.244255))+0--219.1-0.558704999999968</f>
        <v>2564.8429300000003</v>
      </c>
      <c r="Z105" s="3">
        <f>2912+(66.4-555.5)+(-1.48512+(-0.033864--0.283305))+0--236-0.120359999999976</f>
        <v>2657.5439610000003</v>
      </c>
      <c r="AA105" s="3">
        <f>3497.4+(21.5-878.9)+(-7.134696+(-0.04386--1.792956))+0--254.2-0.518567999999989</f>
        <v>2888.2958319999998</v>
      </c>
      <c r="AB105" s="3">
        <f>3570.4+(19-933.5)+(-5.462712+(-0.02907--1.428255))+0--254.8-0.389844000000015</f>
        <v>2906.2466290000007</v>
      </c>
      <c r="AC105" s="3">
        <f>3574.6+(19-888.6)+(1.823046+(0.00969-0.453186))+0--254.9--0.129998999999974</f>
        <v>2961.409549</v>
      </c>
      <c r="AD105">
        <v>2909.7999999999997</v>
      </c>
      <c r="AE105" s="3">
        <f>3543+(28-915.8)+(0+(0-0))+0--254.6-0</f>
        <v>2909.7999999999997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3526.6+(18-866.6)+(0+(0-0))+0--255.3-0</f>
        <v>2933.3</v>
      </c>
      <c r="G106" s="3">
        <f>3522+(18-901.3)+(-7.18488+(-0.03672--1.838652))+0--255.4-0.521015999999989</f>
        <v>2888.1960359999998</v>
      </c>
      <c r="H106" s="3">
        <f>3548.2+(17-962)+(1.809582+(0.00867-0.49062))+0--240.1--0.122450999999976</f>
        <v>2844.7500829999999</v>
      </c>
      <c r="I106" s="3">
        <f>3517.3+(17-948.7)+(-7.175292+(-0.03468--1.935348))+0--221.2-0.45124799999999</f>
        <v>2801.0741280000002</v>
      </c>
      <c r="J106" s="3">
        <f>3289.5+(42.7-819.9)+(0+(0-0))+0--221.1-0</f>
        <v>2733.4</v>
      </c>
      <c r="K106" s="3">
        <f>3195.2+(128.1-836)+(-8.14776+(-0.326655--2.1318))+0--213.9-0.545444999999969</f>
        <v>2694.31194</v>
      </c>
      <c r="L106" s="3">
        <f>2922.4+(224.8-800.8)+(-7.45212+(-0.57324--2.04204))+0--158.5-0.404174999999977</f>
        <v>2498.5125050000001</v>
      </c>
      <c r="M106" s="3">
        <f>2848.7+(232.7-803.6)+(0+(0-0))+0--182.7-0</f>
        <v>2460.4999999999995</v>
      </c>
      <c r="N106" s="3">
        <f>3113.7+(175.7-926.2)+(4.763961+(0.268821-1.417086))+0--219.9--0.336447000000013</f>
        <v>2587.0521429999999</v>
      </c>
      <c r="O106" s="3">
        <f>3373.2+(83.3-987.3)+(3.440664+(0.084966-1.007046))+0--220--0.224400000000035</f>
        <v>2691.9429839999998</v>
      </c>
      <c r="P106" s="3">
        <f>3456.5+(38.9-970.8)+(5.288445+(0.059517-1.485324))+0--262.4--0.401472000000015</f>
        <v>2791.2641100000001</v>
      </c>
      <c r="Q106" s="3">
        <f>3433.1+(27.6-832.6)+(5.252643+(0.042228-1.273878))+0--271.8--0.415854000000016</f>
        <v>2904.336847</v>
      </c>
      <c r="R106" s="3">
        <f>3411.3+(17.4-630.4)+(-1.739763+(-0.008874--0.321504))+0--259.1-0.132140999999974</f>
        <v>3055.8407259999999</v>
      </c>
      <c r="S106" s="3">
        <f>3389.5+(163.5-707.1)+(-6.91458+(-0.33354--1.442484))+0--244.3-0.498371999999989</f>
        <v>3083.8959920000002</v>
      </c>
      <c r="T106" s="3">
        <f>3395.6+(221.2-660.7)+(5.195268+(0.338436-1.010871))+0--241.8--0.369954000000014</f>
        <v>3202.7927870000003</v>
      </c>
      <c r="U106" s="3">
        <f>3383+(275.3-610.1)+(-3.45066+(-0.280806--0.622302))+0--240.4-0.245208000000038</f>
        <v>3285.2456280000001</v>
      </c>
      <c r="V106" s="3">
        <f>3357.3+(204.7-558.9)+(-6.848892+(-0.417588--1.140156))+0--239.8-0.48919199999999</f>
        <v>3236.2844840000007</v>
      </c>
      <c r="W106" s="3">
        <f>3357.1+(120.8-668.1)+(-6.848484+(-0.246432--1.362924))+0--239.8-0.48919199999999</f>
        <v>3043.3788159999999</v>
      </c>
      <c r="X106" s="3">
        <f>3374.8+(143.5-1010.9)+(-6.884592+(-0.29274--2.062236))+0--241.1-0.491843999999989</f>
        <v>2742.8930599999999</v>
      </c>
      <c r="Y106" s="3">
        <f>3302.5+(95-1067.8)+(-6.7371+(-0.1938--2.178312))+0--242.5-0.494699999999989</f>
        <v>2566.9527119999998</v>
      </c>
      <c r="Z106" s="3">
        <f>3393.9+(12-995.6)+(-1.730889+(-0.00612--0.507756))+0--266.8-0.136067999999973</f>
        <v>2675.7346790000006</v>
      </c>
      <c r="AA106" s="3">
        <f>3541.2+(31-968.5)+(-5.418036+(-0.04743--1.481805))+0--274.6-0.420138000000016</f>
        <v>2873.8962009999996</v>
      </c>
      <c r="AB106" s="3">
        <f>3559.1+(40-931.6)+(-7.260564+(-0.0816--1.900464))+0--233.8-0.47695199999999</f>
        <v>2895.3813480000003</v>
      </c>
      <c r="AC106" s="3">
        <f>3527.8+(54-844.3)+(0+(0-0))+0--218.2-0</f>
        <v>2955.7</v>
      </c>
      <c r="AD106">
        <v>2956.7</v>
      </c>
      <c r="AE106" s="3">
        <f>3552.5+(48.2-925.9)+(0+(0-0))+0--281.9-0</f>
        <v>2956.7000000000003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3531.9+(109.2-800.2)+(-5.403807+(-0.167076--1.224306))+0--215.4-0.329562000000012</f>
        <v>3051.6238610000005</v>
      </c>
      <c r="G107" s="3">
        <f>3539.6+(89.2-870.8)+(-12.636372+(-0.318444--3.108756))+0--215.3-0.768621000000003</f>
        <v>2962.6853190000002</v>
      </c>
      <c r="H107" s="3">
        <f>3531.9+(64.6-936.1)+(-10.807614+(-0.197676--2.864466))+0--215.9-0.660654000000025</f>
        <v>2867.4985219999999</v>
      </c>
      <c r="I107" s="3">
        <f>3537.2+(73-982.3)+(-9.01986+(-0.18615--2.504865))+0--215.7-0.550034999999969</f>
        <v>2836.3488199999997</v>
      </c>
      <c r="J107" s="3">
        <f>3565.2+(70.7-1049.7)+(5.454756+(0.108171-1.606041))+0--216.2--0.330786000000012</f>
        <v>2806.6876719999996</v>
      </c>
      <c r="K107" s="3">
        <f>3510.3+(74.3-1080.8)+(-5.370759+(-0.113679--1.653624))+0--207.6-0.317628000000012</f>
        <v>2707.2515580000004</v>
      </c>
      <c r="L107" s="3">
        <f>3015.8+(144.8-831.4)+(-6.152232+(-0.295392--1.696056))+0--188.1-0.383723999999992</f>
        <v>2512.1647080000002</v>
      </c>
      <c r="M107" s="3">
        <f>2939.2+(133.2-772)+(0+(0-0))+0--193.3-0</f>
        <v>2493.6999999999998</v>
      </c>
      <c r="N107" s="3">
        <f>3000+(125.6-765.9)+(-4.59+(-0.192168--1.171827))+0--228.5-0.349605000000013</f>
        <v>2584.2400539999999</v>
      </c>
      <c r="O107" s="3">
        <f>3220.7+(67.5-832.6)+(1.642557+(0.034425-0.424626))+0--220.3--0.112352999999978</f>
        <v>2677.264709</v>
      </c>
      <c r="P107" s="3">
        <f>3339.9+(40.8-828.1)+(0+(0-0))+0--218.6-0</f>
        <v>2771.2</v>
      </c>
      <c r="Q107" s="3">
        <f>3455.4+(23.7-837.5)+(-3.524508+(-0.024174--0.85425))+0--238.3-0.243066000000038</f>
        <v>2876.9625020000008</v>
      </c>
      <c r="R107" s="3">
        <f>3441.7+(69-669.5)+(0+(0-0))+0--238.2-0</f>
        <v>3079.3999999999996</v>
      </c>
      <c r="S107" s="3">
        <f>3438.7+(178.5-664.6)+(-3.507474+(-0.18207--0.677892))+0--238-0.242760000000038</f>
        <v>3187.3455879999997</v>
      </c>
      <c r="T107" s="3">
        <f>3427.8+(254.6-656.2)+(-3.496356+(-0.259692--0.669324))+0--238-0.242760000000038</f>
        <v>3260.8705160000004</v>
      </c>
      <c r="U107" s="3">
        <f>3421.1+(230.2-638)+(-5.234283+(-0.352206--0.97614))+0--237.8-0.363834000000014</f>
        <v>3246.1258169999996</v>
      </c>
      <c r="V107" s="3">
        <f>3404.6+(90.1-605.7)+(-1.736346+(-0.045951--0.308907))+0--237.3-0.121022999999976</f>
        <v>3124.7055869999999</v>
      </c>
      <c r="W107" s="3">
        <f>3411.9+(26-672.8)+(-5.220207+(-0.03978--1.029384))+0--237.1-0.362763000000014</f>
        <v>2997.6066340000002</v>
      </c>
      <c r="X107" s="3">
        <f>3365.3+(104.9-916.1)+(-8.581515+(-0.267495--2.336055))+0--225.6-0.575279999999967</f>
        <v>2772.6117650000001</v>
      </c>
      <c r="Y107" s="3">
        <f>3123.2+(139.1-925.6)+(-4.778496+(-0.212823--1.416168))+0--213.7-0.326961000000012</f>
        <v>2546.4978879999994</v>
      </c>
      <c r="Z107" s="3">
        <f>3211.9+(28.7-837.7)+(-3.276138+(-0.029274--0.854454))+0--220.7-0.225114000000035</f>
        <v>2620.9239280000002</v>
      </c>
      <c r="AA107" s="3">
        <f>3540.8+(12-966.9)+(-3.611616+(-0.01224--0.986238))+0--251.6-0.25663200000004</f>
        <v>2834.6057499999997</v>
      </c>
      <c r="AB107" s="3">
        <f>3553.4+(13.7-970.5)+(-7.248936+(-0.027948--1.97982))+0--259.3-0.528971999999989</f>
        <v>2850.0739640000006</v>
      </c>
      <c r="AC107" s="3">
        <f>3524.3+(23-899)+(-3.594786+(-0.02346--0.91698))+0--254-0.259080000000041</f>
        <v>2899.3396539999999</v>
      </c>
      <c r="AD107">
        <v>2941.5</v>
      </c>
      <c r="AE107" s="3">
        <f>3583+(24-925.6)+(0+(0-0))+0--260.1-0</f>
        <v>2941.5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3521+(77.3-860.4)+(-5.38713+(-0.118269--1.316412))+0--239.6-0.366588000000014</f>
        <v>2972.9444250000001</v>
      </c>
      <c r="G108" s="3">
        <f>3527.9+(84.6-932.6)+(-5.397687+(-0.129438--1.426878))+0--239.6-0.366588000000014</f>
        <v>2915.0331650000003</v>
      </c>
      <c r="H108" s="3">
        <f>3540.2+(91.8-1017.4)+(0+(0-0))+0--239.9-0</f>
        <v>2854.5</v>
      </c>
      <c r="I108" s="3">
        <f>3547.9+(89-1067)+(-7.237716+(-0.18156--2.17668))+0--240-0.48959999999999</f>
        <v>2804.1678040000002</v>
      </c>
      <c r="J108" s="3">
        <f>3561.5+(77.4-1095.8)+(-7.26546+(-0.157896--2.235432))+0--236.4-0.48225599999999</f>
        <v>2773.8298200000004</v>
      </c>
      <c r="K108" s="3">
        <f>3478+(120.2-1063.6)+(-7.09512+(-0.245208--2.169744))+0--209.9-0.428195999999991</f>
        <v>2738.9012200000006</v>
      </c>
      <c r="L108" s="3">
        <f>2918.8+(191.9-880.9)+(-5.954352+(-0.391476--1.797036))+0--153.3-0.312731999999993</f>
        <v>2378.2384760000004</v>
      </c>
      <c r="M108" s="3">
        <f>2806.8+(178-873.5)+(4.294404+(0.27234-1.336455))+0--176.4--0.26989200000001</f>
        <v>2291.2001810000002</v>
      </c>
      <c r="N108" s="3">
        <f>3032.8+(115.2-1003.9)+(3.093456+(0.117504-1.023978))+0--230.8--0.235416000000037</f>
        <v>2377.3223980000007</v>
      </c>
      <c r="O108" s="3">
        <f>3342.8+(38-1215.6)+(0+(0-0))+0--273.8-0</f>
        <v>2439.0000000000005</v>
      </c>
      <c r="P108" s="3">
        <f>3439.8+(111.1-1055.3)+(1.754298+(0.056661-0.538203))+0--271.6--0.138515999999972</f>
        <v>2768.6112720000001</v>
      </c>
      <c r="Q108" s="3">
        <f>3292.8+(104.4-755.7)+(0+(0-0))+0--274.5-0</f>
        <v>2916</v>
      </c>
      <c r="R108" s="3">
        <f>3324+(23.7-612.9)+(1.69524+(0.012087-0.312579))+0--272.6--0.139025999999972</f>
        <v>3008.9337740000001</v>
      </c>
      <c r="S108" s="3">
        <f>3350.9+(145.5-666.2)+(3.417918+(0.14841-0.679524))+0--257.1--0.262242000000041</f>
        <v>3090.4490460000002</v>
      </c>
      <c r="T108" s="3">
        <f>3307.8+(314.6-599.4)+(-3.373956+(-0.320892--0.611388))+0--244.3-0.249186000000039</f>
        <v>3263.9673540000003</v>
      </c>
      <c r="U108" s="3">
        <f>3344.5+(268.7-583.3)+(3.41139+(0.274074-0.594966))+0--246.5--0.251430000000039</f>
        <v>3279.7419280000004</v>
      </c>
      <c r="V108" s="3">
        <f>3310.2+(223-528.9)+(-8.44101+(-0.56865--1.348695))+0--246.8-0.629339999999964</f>
        <v>3242.8096949999999</v>
      </c>
      <c r="W108" s="3">
        <f>3274.3+(130.7-681.4)+(-10.019358+(-0.399942--2.085084))+0--249.7-0.764082000000029</f>
        <v>2964.2017019999998</v>
      </c>
      <c r="X108" s="3">
        <f>3303.7+(176.6-1046.3)+(-10.109322+(-0.540396--3.201678))+0--274.3-0.839358000000032</f>
        <v>2700.0126019999998</v>
      </c>
      <c r="Y108" s="3">
        <f>3261.2+(148.6-1092.2)+(-3.326424+(-0.151572--1.114044))+0--214.7-0.218994000000034</f>
        <v>2529.7170539999997</v>
      </c>
      <c r="Z108" s="3">
        <f>3316.6+(52.6-934.9)+(-5.074398+(-0.080478--1.430397))+0--222.8-0.340884000000013</f>
        <v>2653.0346370000002</v>
      </c>
      <c r="AA108" s="3">
        <f>3496.4+(44.9-939.7)+(-8.91582+(-0.114495--2.396235))+0--258-0.657899999999963</f>
        <v>2852.3080199999999</v>
      </c>
      <c r="AB108" s="3">
        <f>3516.5+(33-925)+(-3.58683+(-0.03366--0.9435))+0--257.7-0.262854000000041</f>
        <v>2879.2601559999998</v>
      </c>
      <c r="AC108" s="3">
        <f>3519.6+(73.4-899)+(7.179984+(0.149736-1.83396))+0--253.7--0.517547999999989</f>
        <v>2953.7133079999994</v>
      </c>
      <c r="AD108">
        <v>2902.2000000000003</v>
      </c>
      <c r="AE108" s="3">
        <f>3492+(49.9-898.3)+(0+(0-0))+0--258.6-0</f>
        <v>2902.2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3519.7+(103.1-893.2)+(-3.590094+(-0.105162--0.911064))+0--248.2-0.25316400000004</f>
        <v>2974.7626439999995</v>
      </c>
      <c r="G109" s="3">
        <f>3529.7+(102.9-927.4)+(0+(0-0))+0--248.1-0</f>
        <v>2953.2999999999997</v>
      </c>
      <c r="H109" s="3">
        <f>3480.4+(114.8-984)+(-3.550008+(-0.117096--1.00368))+0--248.8-0.25377600000004</f>
        <v>2857.0828000000001</v>
      </c>
      <c r="I109" s="3">
        <f>3488.2+(84.3-1004.6)+(0+(0-0))+0--248.2-0</f>
        <v>2816.0999999999995</v>
      </c>
      <c r="J109" s="3">
        <f>3480+(60-997.1)+(0+(0-0))+0--246.9-0</f>
        <v>2789.8</v>
      </c>
      <c r="K109" s="3">
        <f>3455.8+(57.2-1021.7)+(-8.81229+(-0.14586--2.605335))+0--236.3-0.602564999999966</f>
        <v>2720.64462</v>
      </c>
      <c r="L109" s="3">
        <f>2985+(138-757.3)+(-3.0447+(-0.14076--0.772446))+0--151.8-0.154836000000024</f>
        <v>2514.9321499999996</v>
      </c>
      <c r="M109" s="3">
        <f>2962.5+(105.4-752.1)+(3.02175+(0.107508-0.767142))+0--152.2--0.155244000000024</f>
        <v>2470.5173599999998</v>
      </c>
      <c r="N109" s="3">
        <f>3235.4+(31.3-901.1)+(1.650054+(0.015963-0.459561))+0--198.8--0.10138799999998</f>
        <v>2565.707844</v>
      </c>
      <c r="O109" s="3">
        <f>3341.6+(13.3-917.9)+(3.408432+(0.013566-0.936258))+0--221.7--0.226134000000035</f>
        <v>2661.4118739999999</v>
      </c>
      <c r="P109" s="3">
        <f>3351.5+(25.1-843.7)+(1.709265+(0.012801-0.430287))+0--249.4--0.127193999999975</f>
        <v>2783.7189730000005</v>
      </c>
      <c r="Q109" s="3">
        <f>3335.9+(56-736)+(3.402618+(0.05712-0.75072))+0--264.9--0.270198000000042</f>
        <v>2923.7792160000004</v>
      </c>
      <c r="R109" s="3">
        <f>3323.8+(193-673.9)+(0+(0-0))+0--254.7-0</f>
        <v>3097.6</v>
      </c>
      <c r="S109" s="3">
        <f>3319.7+(328.2-704.9)+(0+(0-0))+0--244.4-0</f>
        <v>3187.4</v>
      </c>
      <c r="T109" s="3">
        <f>3311.5+(414.6-703.4)+(-1.688865+(-0.211446--0.358734))+0--245.1-0.125000999999975</f>
        <v>3266.1334219999999</v>
      </c>
      <c r="U109" s="3">
        <f>3299.6+(415.3-673.6)+(-3.365592+(-0.423606--0.687072))+0--243.2-0.248064000000039</f>
        <v>3281.1498099999994</v>
      </c>
      <c r="V109" s="3">
        <f>3275.7+(299.3-609.3)+(0+(0-0))+0--243.6-0</f>
        <v>3209.2999999999997</v>
      </c>
      <c r="W109" s="3">
        <f>3272.3+(91.9-593.2)+(-3.337746+(-0.093738--0.605064))+0--247.3-0.252246000000039</f>
        <v>3015.2213340000003</v>
      </c>
      <c r="X109" s="3">
        <f>3284+(43-845.2)+(0+(0-0))+0--246.6-0</f>
        <v>2728.4</v>
      </c>
      <c r="Y109" s="3">
        <f>3309.6+(40.4-1056.9)+(-8.43948+(-0.10302--2.695095))+0--243.7-0.621434999999965</f>
        <v>2530.3311599999997</v>
      </c>
      <c r="Z109" s="3">
        <f>3365.2+(33-913.7)+(1.716252+(0.01683-0.465987))+0--243.2--0.124031999999975</f>
        <v>2729.0911270000001</v>
      </c>
      <c r="AA109" s="3">
        <f>3424+(58-819.6)+(-3.49248+(-0.05916--0.835992))+0--243.7-0.248574000000039</f>
        <v>2903.1357779999998</v>
      </c>
      <c r="AB109" s="3">
        <f>3452.9+(63-854.2)+(0+(0-0))+0--243-0</f>
        <v>2904.7</v>
      </c>
      <c r="AC109" s="3">
        <f>3448.4+(77-815.5)+(-3.517368+(-0.07854--0.83181))+0--242.9-0.247758000000039</f>
        <v>2949.7881440000001</v>
      </c>
      <c r="AD109">
        <v>2919.2999999999997</v>
      </c>
      <c r="AE109" s="3">
        <f>3460.2+(50-835.8)+(0+(0-0))+0--244.9-0</f>
        <v>2919.2999999999997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3461+(33-865.8)+(-7.06044+(-0.06732--1.766232))+0--247.6-0.505103999999989</f>
        <v>2869.933368</v>
      </c>
      <c r="G110" s="3">
        <f>3472.9+(36-901.2)+(-5.313537+(-0.05508--1.378836))+0--247.7-0.378981000000014</f>
        <v>2851.0312379999996</v>
      </c>
      <c r="H110" s="3">
        <f>3439.2+(35-908.3)+(-5.261976+(-0.05355--1.389699))+0--248.7-0.380511000000014</f>
        <v>2810.2936619999996</v>
      </c>
      <c r="I110" s="3">
        <f>3353.2+(34-884.6)+(-8.55066+(-0.0867--2.25573))+0--248.7-0.634184999999964</f>
        <v>2744.284185</v>
      </c>
      <c r="J110" s="3">
        <f>3340.5+(35-911.9)+(-1.703655+(-0.01785--0.465069))+0--248.1-0.126530999999975</f>
        <v>2710.3170329999998</v>
      </c>
      <c r="K110" s="3">
        <f>3240.3+(38-860)+(-4.957659+(-0.05814--1.3158))+0--249.2-0.381276000000014</f>
        <v>2663.418725</v>
      </c>
      <c r="L110" s="3">
        <f>3136.4+(55.9-864.7)+(-6.398256+(-0.114036--1.763988))+0--185.3-0.378011999999992</f>
        <v>2507.7736839999998</v>
      </c>
      <c r="M110" s="3">
        <f>2865.1+(119.3-777.8)+(-2.922402+(-0.121686--0.793356))+0--144.6-0.147492000000023</f>
        <v>2348.8017759999998</v>
      </c>
      <c r="N110" s="3">
        <f>2938.1+(79.6-793.7)+(1.498431+(0.040596-0.404787))+0--144.6--0.0737459999999853</f>
        <v>2369.8079859999998</v>
      </c>
      <c r="O110" s="3">
        <f>2947.5+(48.8-763.7)+(0+(0-0))+0--152.3-0</f>
        <v>2384.9</v>
      </c>
      <c r="P110" s="3">
        <f>3056.8+(30-773.9)+(3.117936+(0.0306-0.789378))+0--203.3--0.207366000000032</f>
        <v>2518.7665240000006</v>
      </c>
      <c r="Q110" s="3">
        <f>3092.6+(32-732.2)+(3.154452+(0.03264-0.746844))+0--255--0.260100000000041</f>
        <v>2650.1003479999995</v>
      </c>
      <c r="R110" s="3">
        <f>3093.4+(73.3-740.5)+(1.577634+(0.037383-0.377655))+0--264.6--0.134945999999973</f>
        <v>2692.1723079999997</v>
      </c>
      <c r="S110" s="3">
        <f>3092.4+(221.1-799.7)+(0+(0-0))+0--259.6-0</f>
        <v>2773.4</v>
      </c>
      <c r="T110" s="3">
        <f>3087.8+(304.2-820.8)+(-3.149556+(-0.310284--0.837216))+0--245.8-0.250716000000039</f>
        <v>2814.1266600000004</v>
      </c>
      <c r="U110" s="3">
        <f>3082.9+(314.2-836.6)+(-4.716837+(-0.480726--1.279998))+0--238.2-0.364446000000014</f>
        <v>2794.4179889999996</v>
      </c>
      <c r="V110" s="3">
        <f>3104.6+(315.8-679.2)+(0+(0-0))+0--238.5-0</f>
        <v>2979.7</v>
      </c>
      <c r="W110" s="3">
        <f>3104.6+(412.8-669.2)+(-1.583346+(-0.210528--0.341292))+0--238.8-0.121787999999976</f>
        <v>3085.4256300000002</v>
      </c>
      <c r="X110" s="3">
        <f>3122.2+(114.4-897.8)+(-7.96161+(-0.29172--2.28939))+0--240.7-0.613784999999965</f>
        <v>2572.9222749999994</v>
      </c>
      <c r="Y110" s="3">
        <f>2996.3+(111.2-894.5)+(-6.112452+(-0.226848--1.82478))+0--189.7-0.386987999999992</f>
        <v>2397.7984919999994</v>
      </c>
      <c r="Z110" s="3">
        <f>3032+(115.5-805.1)+(1.54632+(0.058905-0.410601))+0--235--0.119849999999976</f>
        <v>2578.7144740000003</v>
      </c>
      <c r="AA110" s="3">
        <f>3282+(171.2-855.8)+(-8.3691+(-0.43656--2.18229))+0--238.3-0.607664999999965</f>
        <v>2828.4689650000005</v>
      </c>
      <c r="AB110" s="3">
        <f>3311.7+(193.4-856.7)+(-6.755868+(-0.394536--1.747668))+0--238.9-0.48735599999999</f>
        <v>2881.4099079999996</v>
      </c>
      <c r="AC110" s="3">
        <f>3222.8+(230.3-750.7)+(-1.643628+(-0.117453--0.382857))+0--239.1-0.121940999999976</f>
        <v>2939.9998350000001</v>
      </c>
      <c r="AD110">
        <v>2928.2</v>
      </c>
      <c r="AE110" s="3">
        <f>3306+(191.7-810.3)+(0+(0-0))+0--240.8-0</f>
        <v>2928.2000000000003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3205.4+(231.9-603.8)+(0+(0-0))+0--243.8-0</f>
        <v>3077.3</v>
      </c>
      <c r="G111" s="3">
        <f>3222.6+(19.4-662.8)+(-6.574104+(-0.039576--1.352112))+0--244.9-0.499595999999989</f>
        <v>2818.3388359999999</v>
      </c>
      <c r="H111" s="3">
        <f>3262.6+(166.9-741.5)+(3.327852+(0.170238-0.75633))+0--245.9--0.250818000000039</f>
        <v>2936.892578</v>
      </c>
      <c r="I111" s="3">
        <f>3287+(161.6-803.3)+(-1.67637+(-0.082416--0.409683))+0--245.9-0.125408999999975</f>
        <v>2889.7254880000005</v>
      </c>
      <c r="J111" s="3">
        <f>3284.3+(142.3-804.8)+(-5.024979+(-0.217719--1.231344))+0--245.9-0.376227000000014</f>
        <v>2863.3124189999999</v>
      </c>
      <c r="K111" s="3">
        <f>3143.1+(200.3-794.2)+(-6.411924+(-0.408612--1.620168))+0--246-0.501839999999989</f>
        <v>2789.4977920000001</v>
      </c>
      <c r="L111" s="3">
        <f>2877.4+(262.5-724.2)+(-2.934948+(-0.26775--0.738684))+0--157.2-0.160344000000025</f>
        <v>2570.2756419999996</v>
      </c>
      <c r="M111" s="3">
        <f>2895.2+(218.9-722.3)+(-4.429656+(-0.334917--1.105119))+0--150.2-0.229806000000009</f>
        <v>2538.1107399999996</v>
      </c>
      <c r="N111" s="3">
        <f>3227.7+(136.4-873.5)+(0+(0-0))+0--204.6-0</f>
        <v>2695.2</v>
      </c>
      <c r="O111" s="3">
        <f>3226.5+(96.4-778.3)+(1.645515+(0.049164-0.396933))+0--240--0.122399999999976</f>
        <v>2786.0201460000003</v>
      </c>
      <c r="P111" s="3">
        <f>3146.3+(131.3-670.5)+(3.209226+(0.133926-0.68391))+0--266--0.271320000000042</f>
        <v>2876.0305620000004</v>
      </c>
      <c r="Q111" s="3">
        <f>3160.4+(157.2-568.1)+(0+(0-0))+0--263.4-0</f>
        <v>3012.9</v>
      </c>
      <c r="R111" s="3">
        <f>3247.4+(288.4-600.2)+(-1.656174+(-0.147084--0.306102))+0--257.8-0.131477999999974</f>
        <v>3191.7713660000004</v>
      </c>
      <c r="S111" s="3">
        <f>3286.5+(436.5-674.4)+(-1.676115+(-0.222615--0.343944))+0--245.5-0.125204999999975</f>
        <v>3292.4200089999999</v>
      </c>
      <c r="T111" s="3">
        <f>3319.1+(444-712.2)+(-1.692741+(-0.22644--0.363222))+0--245.5-0.125204999999975</f>
        <v>3294.718836</v>
      </c>
      <c r="U111" s="3">
        <f>3336.1+(464.7-692.4)+(-5.104233+(-0.710991--1.059372))+0--238.5-0.364905000000014</f>
        <v>3341.7792430000004</v>
      </c>
      <c r="V111" s="3">
        <f>3326.8+(435-637.4)+(0+(0-0))+0--236.7-0</f>
        <v>3361.1</v>
      </c>
      <c r="W111" s="3">
        <f>3327.8+(210.5-582)+(-5.091534+(-0.322065--0.89046))+0--237.8-0.363834000000014</f>
        <v>3189.2130270000002</v>
      </c>
      <c r="X111" s="3">
        <f>3317+(192.1-853.2)+(-10.15002+(-0.587826--2.610792))+0--237.8-0.727668000000028</f>
        <v>2884.8452780000002</v>
      </c>
      <c r="Y111" s="3">
        <f>3330.9+(121.6-1044.1)+(-3.397518+(-0.124032--1.064982))+0--237.7-0.242454000000038</f>
        <v>2643.4009779999997</v>
      </c>
      <c r="Z111" s="3">
        <f>3403.3+(64.7-884.5)+(1.735683+(0.032997-0.451095))+0--237.5--0.121124999999976</f>
        <v>2822.4387099999999</v>
      </c>
      <c r="AA111" s="3">
        <f>3445.7+(141.3-793.3)+(-1.757307+(-0.072063--0.404583))+0--238.5-0.121634999999976</f>
        <v>3030.6535779999999</v>
      </c>
      <c r="AB111" s="3">
        <f>3469.6+(151.2-793)+(-1.769496+(-0.077112--0.40443))+0--238.6-0.121685999999976</f>
        <v>3064.8361360000004</v>
      </c>
      <c r="AC111" s="3">
        <f>3446.1+(197.7-781.5)+(1.757511+(0.100827-0.398565))+0--238.8--0.121787999999976</f>
        <v>3102.6815610000003</v>
      </c>
      <c r="AD111">
        <v>3029.2999999999997</v>
      </c>
      <c r="AE111" s="3">
        <f>3437+(156.7-799.8)+(0+(0-0))+0--235.4-0</f>
        <v>3029.3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3433+(221.6-785.6)+(1.75083+(0.113016-0.400656))+0--243.8--0.124337999999975</f>
        <v>3114.3875280000002</v>
      </c>
      <c r="G112" s="3">
        <f>3450.8+(203.5-853.9)+(0+(0-0))+0--243.9-0</f>
        <v>3044.3</v>
      </c>
      <c r="H112" s="3">
        <f>3466.3+(179-923)+(1.767813+(0.09129-0.47073))+0--244--0.124439999999975</f>
        <v>2967.812813</v>
      </c>
      <c r="I112" s="3">
        <f>3440.9+(193.1-969.1)+(-3.509718+(-0.196962--0.988482))+0--245-0.249900000000039</f>
        <v>2906.9319019999998</v>
      </c>
      <c r="J112" s="3">
        <f>3433.2+(196.6-1003)+(-3.501864+(-0.200532--1.02306))+0--245.1-0.250002000000039</f>
        <v>2868.9706619999993</v>
      </c>
      <c r="K112" s="3">
        <f>3321.5+(222.5-944.7)+(-8.469825+(-0.567375--2.408985))+0--225-0.573749999999967</f>
        <v>2817.098035</v>
      </c>
      <c r="L112" s="3">
        <f>2900.8+(340.9-771.2)+(-4.438224+(-0.521577--1.179936))+0--143.8-0.220014000000008</f>
        <v>2610.3001210000002</v>
      </c>
      <c r="M112" s="3">
        <f>2879.5+(292.6-784.5)+(1.468545+(0.149226-0.400095))+0--186.2--0.0949619999999811</f>
        <v>2575.1126380000001</v>
      </c>
      <c r="N112" s="3">
        <f>3150.5+(202.7-941.4)+(0+(0-0))+0--245.8-0</f>
        <v>2657.6000000000004</v>
      </c>
      <c r="O112" s="3">
        <f>3348.3+(155.2-1002.2)+(-3.415266+(-0.158304--1.022244))+0--267-0.272340000000043</f>
        <v>2765.4763340000004</v>
      </c>
      <c r="P112" s="3">
        <f>3310.9+(189.1-871.4)+(0+(0-0))+0--263.9-0</f>
        <v>2892.5000000000005</v>
      </c>
      <c r="Q112" s="3">
        <f>3280.9+(216.2-708.3)+(-3.346518+(-0.220524--0.722466))+0--260.6-0.265812000000042</f>
        <v>3046.289612</v>
      </c>
      <c r="R112" s="3">
        <f>3235.2+(261.1-547.9)+(-1.649952+(-0.133161--0.279429))+40--259.1-0.132140999999974</f>
        <v>3245.8641749999997</v>
      </c>
      <c r="S112" s="3">
        <f>3223.5+(338-555)+(-1.643985+(-0.17238--0.28305))+0--245.4-0.125153999999975</f>
        <v>3250.2415310000001</v>
      </c>
      <c r="T112" s="3">
        <f>3257+(430.2-561.4)+(-4.98321+(-0.658206--0.858942))+0--238.2-0.364446000000014</f>
        <v>3358.8530799999999</v>
      </c>
      <c r="U112" s="3">
        <f>3295.4+(426.8-562.4)+(0+(0-0))+0--234-0</f>
        <v>3393.8</v>
      </c>
      <c r="V112" s="3">
        <f>3310+(420.5-539.1)+(-1.6881+(-0.214455--0.274941))+0--160.8-0.0820079999999837</f>
        <v>3350.4903780000004</v>
      </c>
      <c r="W112" s="3">
        <f>3317.4+(337.2-580.6)+(-8.45937+(-0.85986--1.48053))+0--135.2-0.34475999999998</f>
        <v>3201.0165400000001</v>
      </c>
      <c r="X112" s="3">
        <f>3311.5+(281.1-848)+(-11.822055+(-1.003527--3.02736))+0--135.7-0.484449000000002</f>
        <v>2870.0173289999998</v>
      </c>
      <c r="Y112" s="3">
        <f>3123.5+(269.2-908)+(1.592985+(0.137292-0.46308))+0--136.3--0.0695129999999862</f>
        <v>2622.33671</v>
      </c>
      <c r="Z112" s="3">
        <f>3181.3+(209.6-724.6)+(3.244926+(0.213792-0.739092))+0--155.4--0.158508000000025</f>
        <v>2824.5781340000003</v>
      </c>
      <c r="AA112" s="3">
        <f>3406.4+(207.5-742.9)+(-8.68632+(-0.529125--1.894395))+0--161.2-0.411059999999977</f>
        <v>3024.4678899999999</v>
      </c>
      <c r="AB112" s="3">
        <f>3488+(228-800.2)+(-5.33664+(-0.34884--1.224306))+0--161-0.246330000000009</f>
        <v>3072.0924960000002</v>
      </c>
      <c r="AC112" s="3">
        <f>3456.5+(249.4-748.7)+(-1.762815+(-0.127194--0.381837))+0--161.4-0.0823139999999836</f>
        <v>3117.0095140000003</v>
      </c>
      <c r="AD112">
        <v>3119.7</v>
      </c>
      <c r="AE112" s="3">
        <f>3469+(195.1-742.4)+(0+(0-0))+0--198-0</f>
        <v>3119.7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3467.5+(249.1-761.4)+(-5.305275+(-0.381123--1.164942))+0--165-0.25245000000001</f>
        <v>3115.4260939999999</v>
      </c>
      <c r="G113" s="3">
        <f>3467+(271.5-849.2)+(-8.84085+(-0.692325--2.16546))+0--165-0.420749999999976</f>
        <v>3046.5115350000005</v>
      </c>
      <c r="H113" s="3">
        <f>3469+(234.2-906.2)+(-1.76919+(-0.119442--0.462162))+0--164-0.0836399999999834</f>
        <v>2959.4898900000003</v>
      </c>
      <c r="I113" s="3">
        <f>3406+(218.8-888.7)+(-5.21118+(-0.334764--1.359711))+0--165-0.25245000000001</f>
        <v>2896.6613170000001</v>
      </c>
      <c r="J113" s="3">
        <f>3424+(196.4-906.5)+(-1.74624+(-0.100164--0.462315))+0--163-0.0831299999999835</f>
        <v>2875.432781</v>
      </c>
      <c r="K113" s="3">
        <f>3300+(243.1-886.6)+(-16.83+(-1.23981--4.52166))+0--165-0.841500000000012</f>
        <v>2807.1103499999999</v>
      </c>
      <c r="L113" s="3">
        <f>2749+(342.5-671.1)+(-8.41194+(-1.04805--2.053566))+0--100-0.306000000000012</f>
        <v>2512.6875760000003</v>
      </c>
      <c r="M113" s="3">
        <f>2909.6+(302.3-706.2)+(2.967792+(0.308346-0.720324))+0--77.2--0.0787440000000123</f>
        <v>2585.5345579999994</v>
      </c>
      <c r="N113" s="3">
        <f>3314.8+(203.2-930.7)+(3.381096+(0.207264-0.949314))+0--117.6--0.119952000000019</f>
        <v>2707.6589979999999</v>
      </c>
      <c r="O113" s="3">
        <f>3409.4+(182.9-953.3)+(-3.477588+(-0.186558--0.972366))+0--157.2-0.160344000000025</f>
        <v>2793.3478759999998</v>
      </c>
      <c r="P113" s="3">
        <f>3338.3+(219-850.2)+(1.702533+(0.11169-0.433602))+0--158.4--0.0807839999999839</f>
        <v>2866.961405</v>
      </c>
      <c r="Q113" s="3">
        <f>3348+(205-671)+(1.70748+(0.10455-0.34221))+0--156.8--0.0799679999999841</f>
        <v>3040.349788</v>
      </c>
      <c r="R113" s="3">
        <f>3355.1+(269.3-511.8)+(0+(0-0))+0--156-0</f>
        <v>3268.6</v>
      </c>
      <c r="S113" s="3">
        <f>3343.4+(373.2-527.9)+(1.705134+(0.190332-0.269229))+0--156.5--0.0798149999999841</f>
        <v>3346.9060520000003</v>
      </c>
      <c r="T113" s="3">
        <f>3339.3+(445.8-536.4)+(3.406086+(0.454716-0.547128))+0--156.2--0.159324000000025</f>
        <v>3408.3729980000003</v>
      </c>
      <c r="U113" s="3">
        <f>3330.6+(455-527.1)+(-5.095818+(-0.69615--0.806463))+0--156.6-0.239598000000009</f>
        <v>3409.8748969999997</v>
      </c>
      <c r="V113" s="3">
        <f>3307.5+(419.5-519.2)+(-1.686825+(-0.213945--0.264792))+0--157.3-0.080222999999984</f>
        <v>3363.3837990000006</v>
      </c>
      <c r="W113" s="3">
        <f>3300.9+(297.9-583.6)+(-6.733836+(-0.607716--1.190544))+0--159.2-0.324767999999993</f>
        <v>3167.9242239999999</v>
      </c>
      <c r="X113" s="3">
        <f>3301.9+(253.1-850.3)+(-6.735876+(-0.516324--1.734612))+0--159.4-0.325175999999993</f>
        <v>2858.2572360000004</v>
      </c>
      <c r="Y113" s="3">
        <f>3159.5+(229.7-914.1)+(-4.834035+(-0.351441--1.398573))+0--159.7-0.244341000000009</f>
        <v>2630.7687559999995</v>
      </c>
      <c r="Z113" s="3">
        <f>3215.5+(208.6-755.2)+(1.639905+(0.106386-0.385152))+0--160.3--0.0817529999999837</f>
        <v>2830.6428920000003</v>
      </c>
      <c r="AA113" s="3">
        <f>3398.8+(229.7-763.3)+(-5.200164+(-0.351441--1.167849))+0--160.9-0.246177000000009</f>
        <v>3021.4700670000002</v>
      </c>
      <c r="AB113" s="3">
        <f>3445.7+(253.2-758.1)+(-1.757307+(-0.129132--0.386631))+0--160.9-0.0820589999999837</f>
        <v>3100.1181329999999</v>
      </c>
      <c r="AC113" s="3">
        <f>3428.2+(267.8-724.7)+(-3.496764+(-0.273156--0.739194))+0--156-0.159120000000025</f>
        <v>3124.110154</v>
      </c>
      <c r="AD113">
        <v>3059.9000000000005</v>
      </c>
      <c r="AE113" s="3">
        <f>3413+(248.8-770.2)+(0+(0-0))+0--168.3-0</f>
        <v>3059.9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3441.4+(262.1-781.4)+(-3.510228+(-0.267342--0.797028))+0--168-0.171360000000027</f>
        <v>3086.9480980000008</v>
      </c>
      <c r="G114" s="3">
        <f>3451.2+(245.1-843.3)+(-10.560672+(-0.750006--2.580498))+0--169-0.51714000000002</f>
        <v>3012.7526800000001</v>
      </c>
      <c r="H114" s="3">
        <f>3468+(207.5-889.9)+(-1.76868+(-0.105825--0.453849))+0--168-0.085679999999983</f>
        <v>2952.093664</v>
      </c>
      <c r="I114" s="3">
        <f>3402.1+(230.1-869.9)+(-6.940284+(-0.469404--1.774596))+0--139-0.283559999999994</f>
        <v>2895.3813480000003</v>
      </c>
      <c r="J114" s="3">
        <f>3353.2+(249.7-823)+(1.710132+(0.127347-0.41973))+0--82--0.0418199999999917</f>
        <v>2863.3595689999997</v>
      </c>
      <c r="K114" s="3">
        <f>3202.8+(288.5-747.6)+(-1.633428+(-0.147135--0.381276))+0--82-0.0418199999999917</f>
        <v>2824.2588930000002</v>
      </c>
      <c r="L114" s="3">
        <f>2984.2+(345.9-762.8)+(-7.60971+(-0.882045--1.94514))+0--78.2-0.199409999999989</f>
        <v>2638.7539749999992</v>
      </c>
      <c r="M114" s="3">
        <f>3003.4+(311.8-772.7)+(0+(0-0))+0--78.3-0</f>
        <v>2620.8000000000002</v>
      </c>
      <c r="N114" s="3">
        <f>3206.2+(257.1-845.8)+(0+(0-0))+0--98.7-0</f>
        <v>2716.2</v>
      </c>
      <c r="O114" s="3">
        <f>3354.4+(208.9-937.2)+(1.710744+(0.106539-0.477972))+0--136.1--0.0694109999999862</f>
        <v>2763.6087219999999</v>
      </c>
      <c r="P114" s="3">
        <f>3366.2+(244.8-857.7)+(-1.716762+(-0.124848--0.437427))+0--151.6-0.0773159999999846</f>
        <v>2903.4185009999997</v>
      </c>
      <c r="Q114" s="3">
        <f>3267.8+(286.9-656.6)+(3.333156+(0.292638-0.669732))+0--155.5--0.158610000000025</f>
        <v>3056.7146720000005</v>
      </c>
      <c r="R114" s="3">
        <f>3348.4+(274.8-596.5)+(6.830736+(0.560592-1.21686))+0--156--0.318239999999993</f>
        <v>3189.1927080000005</v>
      </c>
      <c r="S114" s="3">
        <f>3356.6+(316.9-565.9)+(-1.711866+(-0.161619--0.288609))+0--155.5-0.0793049999999842</f>
        <v>3261.4358189999998</v>
      </c>
      <c r="T114" s="3">
        <f>3344.8+(406.7-581.1)+(-1.705848+(-0.207417--0.296361))+0--154.9-0.0789989999999843</f>
        <v>3323.6040970000004</v>
      </c>
      <c r="U114" s="3">
        <f>3343.6+(401-554.1)+(-3.410472+(-0.40902--0.565182))+0--154.9-0.157998000000025</f>
        <v>3341.9876920000002</v>
      </c>
      <c r="V114" s="3">
        <f>3320.7+(357.2-514.1)+(-3.387114+(-0.364344--0.524382))+0--154.9-0.157998000000025</f>
        <v>3315.3149259999996</v>
      </c>
      <c r="W114" s="3">
        <f>3308.3+(276.7-573.7)+(-5.061699+(-0.423351--0.877761))+0--152-0.232560000000009</f>
        <v>3158.4601510000002</v>
      </c>
      <c r="X114" s="3">
        <f>3320.8+(228.9-831.3)+(-10.161648+(-0.700434--2.543778))+0--151.6-0.463896000000018</f>
        <v>2861.2177999999999</v>
      </c>
      <c r="Y114" s="3">
        <f>3179.4+(231.9-921.9)+(-3.242988+(-0.236538--0.940338))+0--152.1-0.155142000000024</f>
        <v>2638.8056699999997</v>
      </c>
      <c r="Z114" s="3">
        <f>3181.6+(196.9-728.5)+(4.867848+(0.301257-1.114605))+0--151.7--0.232101000000009</f>
        <v>2805.9866010000001</v>
      </c>
      <c r="AA114" s="3">
        <f>3475.9+(179.4-810.2)+(-5.318127+(-0.274482--1.239606))+0--152-0.232560000000009</f>
        <v>2992.5144369999998</v>
      </c>
      <c r="AB114" s="3">
        <f>3513.1+(189-818.1)+(3.583362+(0.19278-0.834462))+0--152.4--0.155448000000024</f>
        <v>3039.497128</v>
      </c>
      <c r="AC114" s="3">
        <f>3502.1+(214.7-797.1)+(-7.144284+(-0.437988--1.626084))+0--152.7-0.311507999999993</f>
        <v>3066.1323039999997</v>
      </c>
      <c r="AD114">
        <v>3065.8</v>
      </c>
      <c r="AE114" s="3">
        <f>3495+(207.8-794)+(0+(0-0))+0--157-0</f>
        <v>3065.8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3506+(261.7-787.7)+(0+(0-0))+0--152-0</f>
        <v>3132</v>
      </c>
      <c r="G115" s="3">
        <f>3331.2+(312.8-743.2)+(0+(0-0))+0--152-0</f>
        <v>3052.7999999999997</v>
      </c>
      <c r="H115" s="3">
        <f>3267.9+(327.3-766.2)+(-4.999887+(-0.500769--1.172286))+0--152-0.232560000000009</f>
        <v>2976.4390699999999</v>
      </c>
      <c r="I115" s="3">
        <f>3195.6+(342.1-750.2)+(-6.519024+(-0.697884--1.530408))+0--152-0.310079999999993</f>
        <v>2933.50342</v>
      </c>
      <c r="J115" s="3">
        <f>3157.7+(347.2-758.8)+(-4.831281+(-0.531216--1.160964))+0--153-0.234090000000009</f>
        <v>2894.6643770000001</v>
      </c>
      <c r="K115" s="3">
        <f>3104.4+(351.8-758.2)+(-11.082708+(-1.255926--2.706774))+0--152-0.542640000000002</f>
        <v>2839.8254999999999</v>
      </c>
      <c r="L115" s="3">
        <f>2756.6+(488.7-682.7)+(-9.841062+(-1.744659--2.437239))+0--76.8-0.274176000000001</f>
        <v>2629.9773420000001</v>
      </c>
      <c r="M115" s="3">
        <f>2815.6+(469.5-735.2)+(2.871912+(0.47889-0.749904))+0--76.6--0.0781320000000122</f>
        <v>2629.1790299999998</v>
      </c>
      <c r="N115" s="3">
        <f>3076.1+(346.6-817.9)+(4.706433+(0.530298-1.251387))+0--130.5--0.199665000000008</f>
        <v>2739.4850090000004</v>
      </c>
      <c r="O115" s="3">
        <f>2817.9+(372.7-537.7)+(0+(0-0))+0--152.1-0</f>
        <v>2805</v>
      </c>
      <c r="P115" s="3">
        <f>2830.9+(329.7-424.5)+(0+(0-0))+0--155.9-0</f>
        <v>2892</v>
      </c>
      <c r="Q115" s="3">
        <f>2838.6+(410.9-358.2)+(-4.343058+(-0.628677--0.548046))+0--176.5-0.27004500000001</f>
        <v>3063.1062659999993</v>
      </c>
      <c r="R115" s="3">
        <f>3041.7+(476.6-481.6)+(-4.653801+(-0.729198--0.736848))+0--202.5-0.309825000000012</f>
        <v>3234.2440240000001</v>
      </c>
      <c r="S115" s="3">
        <f>3232.2+(469.3-581)+(-3.296844+(-0.478686--0.59262))+0--199.7-0.203694000000032</f>
        <v>3316.813396</v>
      </c>
      <c r="T115" s="3">
        <f>3270.2+(508-610.2)+(-6.671208+(-1.03632--1.244808))+0--200.3-0.408611999999991</f>
        <v>3361.428668</v>
      </c>
      <c r="U115" s="3">
        <f>3294.5+(501.1-587.9)+(-8.400975+(-1.277805--1.499145))+0--201.2-0.513059999999971</f>
        <v>3400.2073049999999</v>
      </c>
      <c r="V115" s="3">
        <f>3286.2+(424.5-554.9)+(-10.055772+(-1.29897--1.697994))+0--201.2-0.615672000000023</f>
        <v>3346.7275799999998</v>
      </c>
      <c r="W115" s="3">
        <f>3273.8+(294.7-579.9)+(-10.017828+(-0.901782--1.774494))+0--202.2-0.618732000000023</f>
        <v>3181.0361520000001</v>
      </c>
      <c r="X115" s="3">
        <f>3276.1+(278.5-834.2)+(-10.024866+(-0.85221--2.552652))+0--201.8-0.617508000000023</f>
        <v>2913.2580680000001</v>
      </c>
      <c r="Y115" s="3">
        <f>3234.1+(244.9-951.5)+(-8.246955+(-0.624495--2.426325))+0--148.9-0.379694999999978</f>
        <v>2669.5751799999998</v>
      </c>
      <c r="Z115" s="3">
        <f>3284+(147.1-731.8)+(0+(0-0))+0--147.8-0</f>
        <v>2847.1000000000004</v>
      </c>
      <c r="AA115" s="3">
        <f>3411.1+(205.7-764.2)+(-8.698305+(-0.524535--1.94871))+0--207.2-0.52835999999997</f>
        <v>3051.9975100000001</v>
      </c>
      <c r="AB115" s="3">
        <f>3418.2+(211.1-757.6)+(-13.946256+(-0.861288--3.091008))+0--210.1-0.857207999999982</f>
        <v>3069.2262559999999</v>
      </c>
      <c r="AC115" s="3">
        <f>3435.6+(244.3-773.9)+(-1.752156+(-0.124593--0.394689))+0--206.4-0.105263999999979</f>
        <v>3110.8126760000005</v>
      </c>
      <c r="AD115">
        <v>3121.8</v>
      </c>
      <c r="AE115" s="3">
        <f>3425+(219.8-734)+(0+(0-0))+0--211-0</f>
        <v>3121.8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3401.3+(290.4-706.3)+(0+(0-0))+0--208-0</f>
        <v>3193.4</v>
      </c>
      <c r="G116" s="3">
        <f>3358.1+(303.7-769.1)+(1.712631+(0.154887-0.392241))+0--209--0.106589999999979</f>
        <v>3103.2818669999997</v>
      </c>
      <c r="H116" s="3">
        <f>3373.2+(287.1-830.2)+(-1.720332+(-0.146421--0.423402))+0--211-0.107609999999979</f>
        <v>3039.549039</v>
      </c>
      <c r="I116" s="3">
        <f>3391.6+(290.5-895.1)+(-1.729716+(-0.148155--0.456501))+0--211-0.107609999999979</f>
        <v>2996.47102</v>
      </c>
      <c r="J116" s="3">
        <f>3372+(288.4-912.2)+(-5.15916+(-0.441252--1.395666))+0--213-0.325890000000012</f>
        <v>2956.6693639999999</v>
      </c>
      <c r="K116" s="3">
        <f>3353.5+(322.2-863.3)+(-8.551425+(-0.82161--2.201415))+0--78-0.198899999999989</f>
        <v>2883.0294800000001</v>
      </c>
      <c r="L116" s="3">
        <f>2948.2+(408-674.4)+(-3.007164+(-0.41616--0.687888))+0-14.6--0.0148920000000023</f>
        <v>2664.479456</v>
      </c>
      <c r="M116" s="3">
        <f>2880.1+(411.5-619.5)+(1.468851+(0.209865-0.315945))+0-50.6-0.0258059999999949</f>
        <v>2622.836965</v>
      </c>
      <c r="N116" s="3">
        <f>3050.9+(357.8-641.5)+(1.555959+(0.182478-0.327165))+0-50.6-0.0258059999999949</f>
        <v>2717.9854660000001</v>
      </c>
      <c r="O116" s="3">
        <f>3219.9+(308.6-667.8)+(-3.284298+(-0.314772--0.681156))+0-50.6--0.0516120000000081</f>
        <v>2807.2336980000005</v>
      </c>
      <c r="P116" s="3">
        <f>3269.8+(283.9-581.6)+(0+(0-0))+0-50.9-0</f>
        <v>2921.2000000000003</v>
      </c>
      <c r="Q116" s="3">
        <f>3235.2+(307.6-448.7)+(3.299904+(0.313752-0.457674))+9.1-40.3-0.0411060000000064</f>
        <v>3066.0148759999997</v>
      </c>
      <c r="R116" s="3">
        <f>3240.7+(463.3-445.9)+(0+(0-0))+0-7-0</f>
        <v>3251.1</v>
      </c>
      <c r="S116" s="3">
        <f>3237.1+(591.9-523.2)+(-6.603684+(-1.207476--1.067328))+0-7--0.0142799999999997</f>
        <v>3292.0704479999995</v>
      </c>
      <c r="T116" s="3">
        <f>3232.1+(699.4-567.8)+(-6.593484+(-1.426776--1.158312))+0-7.1--0.0144839999999997</f>
        <v>3349.7525359999995</v>
      </c>
      <c r="U116" s="3">
        <f>3277+(689.9-578.7)+(-8.35635+(-1.759245--1.475685))+0-8.9--0.0226949999999987</f>
        <v>3370.682785</v>
      </c>
      <c r="V116" s="3">
        <f>3296.7+(582.3-518.6)+(-6.725268+(-1.187892--1.057944))+0-19.5--0.0397799999999991</f>
        <v>3334.0845639999998</v>
      </c>
      <c r="W116" s="3">
        <f>3257.5+(388.3-453)+(-8.306625+(-0.990165--1.15515))+0-22.1--0.0563549999999968</f>
        <v>3162.6147150000006</v>
      </c>
      <c r="X116" s="3">
        <f>3257.4+(319.6-712.7)+(-13.290192+(-1.303968--2.907816))+0-23--0.093839999999998</f>
        <v>2829.707496</v>
      </c>
      <c r="Y116" s="3">
        <f>3308+(232-879)+(-10.12248+(-0.70992--2.68974))+0-23--0.0703800000000027</f>
        <v>2629.9277200000001</v>
      </c>
      <c r="Z116" s="3">
        <f>3403.8+(195.8-719.8)+(-1.735938+(-0.099858--0.367098))+0-24.3--0.0123929999999975</f>
        <v>2854.0436949999998</v>
      </c>
      <c r="AA116" s="3">
        <f>3509.3+(250.2-692.8)+(-10.738458+(-0.765612--2.119968))+0-27.5--0.0841500000000032</f>
        <v>3029.9000480000004</v>
      </c>
      <c r="AB116" s="3">
        <f>3412+(294.4-639.6)+(-6.96048+(-0.600576--1.304784))+0-36.2--0.0738479999999984</f>
        <v>3024.4175760000003</v>
      </c>
      <c r="AC116" s="3">
        <f>3410.4+(321.6-626.9)+(1.739304+(0.164016-0.319719))+0-41.7-0.0212669999999958</f>
        <v>3064.9623340000003</v>
      </c>
      <c r="AD116">
        <v>3018.2999999999997</v>
      </c>
      <c r="AE116" s="3">
        <f>3522+(246.2-706.9)+(0+(0-0))+0-43-0</f>
        <v>3018.3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3378+(346.8-599.3)+(1.72278+(0.176868-0.305643))+0-42-0.0214199999999957</f>
        <v>3085.0725849999999</v>
      </c>
      <c r="G117" s="3">
        <f>3273+(402.7-582.4)+(-3.33846+(-0.410754--0.594048))+0-43--0.0438600000000069</f>
        <v>3047.1886940000004</v>
      </c>
      <c r="H117" s="3">
        <f>3080.2+(492.9-541.5)+(-4.712706+(-0.754137--0.828495))+0-44--0.0673200000000025</f>
        <v>2983.0289720000001</v>
      </c>
      <c r="I117" s="3">
        <f>3098.4+(420.1-545.7)+(-1.580184+(-0.214251--0.278307))+0-44--0.0224399999999955</f>
        <v>2927.3063120000002</v>
      </c>
      <c r="J117" s="3">
        <f>3164.8+(374.3-606.4)+(1.614048+(0.190893-0.309264))+0-46-0.0234599999999953</f>
        <v>2888.1722170000003</v>
      </c>
      <c r="K117" s="3">
        <f>3125.5+(398.7-627.7)+(-11.158035+(-1.423359--2.240889))+0-47--0.167790000000001</f>
        <v>2839.3272849999998</v>
      </c>
      <c r="L117" s="3">
        <f>2669.4+(507.8-490.7)+(-4.084182+(-0.776934--0.750771))+0-48--0.0734400000000028</f>
        <v>2634.4630950000001</v>
      </c>
      <c r="M117" s="3">
        <f>2604.8+(491.6-535.6)+(-5.313792+(-1.002864--1.092624))+0-48.2--0.0983279999999979</f>
        <v>2507.4742960000003</v>
      </c>
      <c r="N117" s="3">
        <f>2653.1+(458.7-561)+(-2.706162+(-0.467874--0.57222))+0-48.5--0.0494700000000077</f>
        <v>2499.7476539999998</v>
      </c>
      <c r="O117" s="3">
        <f>2909.1+(364.1-660.4)+(0+(0-0))+0-49-0</f>
        <v>2563.8000000000002</v>
      </c>
      <c r="P117" s="3">
        <f>3085.7+(332.1-686.4)+(4.721121+(0.508113-1.050192))+0-49.6-0.0758880000000029</f>
        <v>2685.9031540000001</v>
      </c>
      <c r="Q117" s="3">
        <f>3064.8+(342.8-523.7)+(3.126096+(0.349656-0.534174))+0-50.2-0.051204000000008</f>
        <v>2836.5903740000003</v>
      </c>
      <c r="R117" s="3">
        <f>3124.1+(393.1-477.7)+(-1.593291+(-0.200481--0.243627))+0-49.5--0.025244999999995</f>
        <v>2988.4750999999997</v>
      </c>
      <c r="S117" s="3">
        <f>3188.1+(498.7-516.9)+(3.251862+(0.508674-0.527238))+0-49.1-0.0500820000000078</f>
        <v>3123.9832160000001</v>
      </c>
      <c r="T117" s="3">
        <f>3215.8+(572-527.5)+(0+(0-0))+0-48.9-0</f>
        <v>3211.4</v>
      </c>
      <c r="U117" s="3">
        <f>3253.4+(590.3-529.5)+(-3.318468+(-0.602106--0.54009))+0-49.7--0.0506940000000079</f>
        <v>3261.1702100000002</v>
      </c>
      <c r="V117" s="3">
        <f>3277.7+(525.3-516)+(-6.686508+(-1.071612--1.05264))+0-50--0.101999999999998</f>
        <v>3230.3965199999998</v>
      </c>
      <c r="W117" s="3">
        <f>3318.3+(328.5-500.8)+(-1.692333+(-0.167535--0.255408))+0-49.7--0.025346999999995</f>
        <v>3094.7208869999999</v>
      </c>
      <c r="X117" s="3">
        <f>3434.6+(210.2-730.8)+(-1.751646+(-0.107202--0.372708))+0-49.8--0.0253979999999949</f>
        <v>2862.7392579999996</v>
      </c>
      <c r="Y117" s="3">
        <f>3340.4+(165.1-820.8)+(-6.814416+(-0.336804--1.674432))+0-50.1--0.102203999999998</f>
        <v>2629.2254160000002</v>
      </c>
      <c r="Z117" s="3">
        <f>3465.6+(167.2-802.4)+(-3.534912+(-0.170544--0.818448))+0-50.4--0.051408000000008</f>
        <v>2777.1643999999992</v>
      </c>
      <c r="AA117" s="3">
        <f>3624.9+(212.6-747.9)+(-5.546097+(-0.325278--1.144287))+0-50.3--0.0769590000000029</f>
        <v>3034.6498710000001</v>
      </c>
      <c r="AB117" s="3">
        <f>3624.7+(226.8-719.6)+(-11.091582+(-0.694008--2.201976))+0-50.2--0.153612000000006</f>
        <v>3072.2699979999998</v>
      </c>
      <c r="AC117" s="3">
        <f>3600.8+(249.5-686.3)+(5.509224+(0.381735-1.050039))+0-50-0.0765000000000029</f>
        <v>3118.76442</v>
      </c>
      <c r="AD117">
        <v>2948.7</v>
      </c>
      <c r="AE117" s="3">
        <f>3499+(222.5-723.8)+(0+(0-0))+0-49-0</f>
        <v>2948.7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3514.5+(271.3-659.3)+(-3.58479+(-0.276726--0.672486))+0-7--0.00714000000000112</f>
        <v>3116.3181100000002</v>
      </c>
      <c r="G118" s="3">
        <f>3485.1+(261.9-674.8)+(-12.441807+(-0.934983--2.409036))+0-7--0.0249900000000001</f>
        <v>3054.2572359999999</v>
      </c>
      <c r="H118" s="3">
        <f>3426.8+(275.2-704.8)+(0+(0-0))+0-7-0</f>
        <v>2990.2000000000003</v>
      </c>
      <c r="I118" s="3">
        <f>3435.5+(263.2-750.5)+(-1.752105+(-0.134232--0.382755))+0-7--0.00356999999999929</f>
        <v>2939.6999879999998</v>
      </c>
      <c r="J118" s="3">
        <f>3439.6+(255-787.9)+(0+(0-0))+0-7-0</f>
        <v>2899.7</v>
      </c>
      <c r="K118" s="3">
        <f>3406+(256.3-799.9)+(1.73706+(0.130713-0.407949))+0-7-0.00356999999999929</f>
        <v>2856.8562540000003</v>
      </c>
      <c r="L118" s="3">
        <f>2991.2+(391.5-685.3)+(-6.102048+(-0.79866--1.398012))+0-7--0.0142799999999997</f>
        <v>2684.9115839999995</v>
      </c>
      <c r="M118" s="3">
        <f>2943.4+(369.8-654.3)+(0+(0-0))+0-7-0</f>
        <v>2651.9</v>
      </c>
      <c r="N118" s="3">
        <f>3136.8+(333.5-689.6)+(-1.599768+(-0.170085--0.351696))+0-7--0.00356999999999929</f>
        <v>2772.2854130000001</v>
      </c>
      <c r="O118" s="3">
        <f>3311+(283.6-738.6)+(0+(0-0))+0-7-0</f>
        <v>2849</v>
      </c>
      <c r="P118" s="3">
        <f>3363.8+(278.1-672.2)+(0+(0-0))+0-7-0</f>
        <v>2962.7000000000003</v>
      </c>
      <c r="Q118" s="3">
        <f>3351.6+(301.1-547.3)+(1.709316+(0.153561-0.279123))+0-7-0.00356999999999929</f>
        <v>3099.9801840000005</v>
      </c>
      <c r="R118" s="3">
        <f>3355.1+(445.5-516.7)+(0+(0-0))+0-7-0</f>
        <v>3276.8999999999996</v>
      </c>
      <c r="S118" s="3">
        <f>3305.6+(673.5-586.3)+(0+(0-0))+0-7-0</f>
        <v>3385.8</v>
      </c>
      <c r="T118" s="3">
        <f>3283.7+(785.9-616.1)+(-3.349374+(-0.801618--0.628422))+0-7--0.00714000000000112</f>
        <v>3442.9845700000001</v>
      </c>
      <c r="U118" s="3">
        <f>3296.8+(758.2-595.3)+(-3.362736+(-0.773364--0.607206))+0-7--0.00714000000000112</f>
        <v>3449.1782460000004</v>
      </c>
      <c r="V118" s="3">
        <f>3266.2+(667.1-556.1)+(0+(0-0))+0-7-0</f>
        <v>3370.2</v>
      </c>
      <c r="W118" s="3">
        <f>3215.6+(467.5-460.9)+(-1.639956+(-0.238425--0.235059))+0-7--0.00356999999999929</f>
        <v>3213.5602479999998</v>
      </c>
      <c r="X118" s="3">
        <f>3250.8+(352.2-635.6)+(-3.315816+(-0.359244--0.648312))+0-7--0.00714000000000112</f>
        <v>2957.380392</v>
      </c>
      <c r="Y118" s="3">
        <f>3278.3+(281.1-803.1)+(-1.671933+(-0.143361--0.409581))+0-7--0.00356999999999929</f>
        <v>2747.8978569999999</v>
      </c>
      <c r="Z118" s="3">
        <f>3352.1+(265.2-679.3)+(1.709571+(0.135252-0.346443))+0-7-0.00356999999999929</f>
        <v>2932.4948100000001</v>
      </c>
      <c r="AA118" s="3">
        <f>3378.4+(310.7-612.9)+(-10.337904+(-0.950742--1.875474))+0-7--0.0214200000000008</f>
        <v>3059.8082480000003</v>
      </c>
      <c r="AB118" s="3">
        <f>3399.1+(312-648.4)+(-5.200623+(-0.47736--0.992052))+0-50--0.0765000000000029</f>
        <v>3008.090569</v>
      </c>
      <c r="AC118" s="3">
        <f>3395.9+(336.8-634.1)+(-3.463818+(-0.343536--0.646782))+0-50.1--0.051102000000008</f>
        <v>3045.3905300000001</v>
      </c>
      <c r="AD118">
        <v>2994.8</v>
      </c>
      <c r="AE118" s="3">
        <f>3361+(318-634)+(0+(0-0))+0-50.2-0</f>
        <v>2994.8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3408.9+(378.1-637.2)+(-3.477078+(-0.385662--0.649944))+0-50--0.051000000000008</f>
        <v>3096.6382040000003</v>
      </c>
      <c r="G119" s="3">
        <f>3431.4+(349.8-657)+(-7.000056+(-0.713592--1.34028))+0-50--0.101999999999998</f>
        <v>3067.9286320000001</v>
      </c>
      <c r="H119" s="3">
        <f>3453.4+(331.3-717.5)+(-5.283702+(-0.506889--1.097775))+0-50--0.0765000000000029</f>
        <v>3012.5836840000002</v>
      </c>
      <c r="I119" s="3">
        <f>3481.2+(330.6-786.6)+(-3.550824+(-0.337212--0.802332))+0-50--0.051000000000008</f>
        <v>2972.1652959999997</v>
      </c>
      <c r="J119" s="3">
        <f>3494.3+(327.2-838.3)+(-8.910465+(-0.83436--2.137665))+0-50--0.127499999999993</f>
        <v>2925.7203400000003</v>
      </c>
      <c r="K119" s="3">
        <f>3472+(337.7-876.1)+(-8.8536+(-0.861135--2.234055))+0-50--0.127499999999993</f>
        <v>2876.2468199999998</v>
      </c>
      <c r="L119" s="3">
        <f>3091.3+(422-770.3)+(-9.459378+(-1.29132--2.357118))+0-49.9--0.152694000000006</f>
        <v>2684.8591139999999</v>
      </c>
      <c r="M119" s="3">
        <f>2772.5+(519.6-656.8)+(-1.413975+(-0.264996--0.334968))+0-49.9--0.0254489999999949</f>
        <v>2584.0814460000001</v>
      </c>
      <c r="N119" s="3">
        <f>2925.8+(421-698.8)+(-1.492158+(-0.21471--0.356388))+0-49.8--0.0253979999999949</f>
        <v>2596.8749179999995</v>
      </c>
      <c r="O119" s="3">
        <f>3108.9+(373.8-787.7)+(-1.585539+(-0.190638--0.401727))+0-49.7--0.025346999999995</f>
        <v>2643.9508970000002</v>
      </c>
      <c r="P119" s="3">
        <f>3314.6+(321-829.4)+(0+(0-0))+0-50-0</f>
        <v>2756.2</v>
      </c>
      <c r="Q119" s="3">
        <f>3276.7+(335.5-671.7)+(-1.671117+(-0.171105--0.342567))+0-50--0.0254999999999949</f>
        <v>2889.0258450000001</v>
      </c>
      <c r="R119" s="3">
        <f>3264.9+(367.5-537)+(-4.995297+(-0.562275--0.82161))+0-50--0.0765000000000029</f>
        <v>3040.740538</v>
      </c>
      <c r="S119" s="3">
        <f>3251.5+(465.9-520.2)+(-3.31653+(-0.475218--0.530604))+0-50--0.051000000000008</f>
        <v>3143.9898559999997</v>
      </c>
      <c r="T119" s="3">
        <f>3245.2+(544.6-513.9)+(-3.310104+(-0.555492--0.524178))+0-50--0.051000000000008</f>
        <v>3222.6095819999996</v>
      </c>
      <c r="U119" s="3">
        <f>3288.6+(520.7-512.8)+(-1.677186+(-0.265557--0.261528))+0-50--0.0254999999999949</f>
        <v>3244.8442850000001</v>
      </c>
      <c r="V119" s="3">
        <f>3326.4+(462.8-529.6)+(-6.785856+(-0.944112--1.080384))+0-50--0.101999999999998</f>
        <v>3203.052416</v>
      </c>
      <c r="W119" s="3">
        <f>3320.1+(398.1-594.2)+(-10.159506+(-1.218186--1.818252))+0-50--0.153000000000006</f>
        <v>3064.5935599999998</v>
      </c>
      <c r="X119" s="3">
        <f>3336.3+(313.2-821.4)+(-6.806052+(-0.638928--1.675656))+0-50--0.101999999999998</f>
        <v>2772.4326760000004</v>
      </c>
      <c r="Y119" s="3">
        <f>3362.9+(261.2-1005.9)+(-1.715079+(-0.133212--0.513009))+0-49.9--0.0254489999999949</f>
        <v>2566.9901669999999</v>
      </c>
      <c r="Z119" s="3">
        <f>3433.4+(236.2-834.6)+(-1.751034+(-0.120462--0.425646))+0-50--0.0254999999999949</f>
        <v>2783.5796500000001</v>
      </c>
      <c r="AA119" s="3">
        <f>3455.1+(286-727.5)+(-7.048404+(-0.58344--1.4841))+0-50--0.101999999999998</f>
        <v>2957.5542559999999</v>
      </c>
      <c r="AB119" s="3">
        <f>3491.3+(292.4-743.2)+(-7.122252+(-0.596496--1.516128))+0-50--0.101999999999998</f>
        <v>2984.3993799999998</v>
      </c>
      <c r="AC119" s="3">
        <f>3499.2+(324-719.4)+(-5.353776+(-0.49572--1.100682))+0-50--0.0765000000000029</f>
        <v>3049.1276859999998</v>
      </c>
      <c r="AD119">
        <v>2955.2</v>
      </c>
      <c r="AE119" s="3">
        <f>3451+(278.1-723.6)+(0+(0-0))+0-50.3-0</f>
        <v>2955.2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3473.4+(394.2-695.4)+(-8.85717+(-1.00521--1.77327))+0-50--0.127499999999993</f>
        <v>3114.2383900000004</v>
      </c>
      <c r="G120" s="3">
        <f>3478.7+(382.8-735.6)+(-12.418959+(-1.366596--2.626092))+0-50--0.178500000000001</f>
        <v>3064.9190369999997</v>
      </c>
      <c r="H120" s="3">
        <f>3499.4+(371.1-808.3)+(0+(0-0))+0-50-0</f>
        <v>3012.2000000000003</v>
      </c>
      <c r="I120" s="3">
        <f>3490.6+(357-836.8)+(-16.021854+(-1.63863--3.840912))+0-50--0.229500000000009</f>
        <v>2947.2099280000002</v>
      </c>
      <c r="J120" s="3">
        <f>3514.5+(334.5-878.7)+(-3.58479+(-0.34119--0.896274))+0-50--0.051000000000008</f>
        <v>2917.3212940000003</v>
      </c>
      <c r="K120" s="3">
        <f>3470.5+(351.8-894.5)+(-15.929595+(-1.614762--4.105755))+0-50.3--0.230877000000009</f>
        <v>2864.2922749999998</v>
      </c>
      <c r="L120" s="3">
        <f>3001+(473.4-743.4)+(-12.24408+(-1.931472--3.033072))+0-49.8--0.203183999999996</f>
        <v>2670.2607039999998</v>
      </c>
      <c r="M120" s="3">
        <f>2993.3+(451.8-752.6)+(1.526583+(0.230418-0.383826))+0-49.5-0.025244999999995</f>
        <v>2644.3479300000004</v>
      </c>
      <c r="N120" s="3">
        <f>3252.6+(337.9-795.7)+(0+(0-0))+0-53.1-0</f>
        <v>2741.7</v>
      </c>
      <c r="O120" s="3">
        <f>3400.7+(345.5-864.1)+(0+(0-0))+0-50-0</f>
        <v>2832.1</v>
      </c>
      <c r="P120" s="3">
        <f>3430.2+(365-772.4)+(1.749402+(0.18615-0.393924))+0-49.5-0.025244999999995</f>
        <v>2974.8163829999999</v>
      </c>
      <c r="Q120" s="3">
        <f>3389.4+(323-557.5)+(1.728594+(0.16473-0.284325))+0-51.1-0.0260609999999948</f>
        <v>3105.3829380000002</v>
      </c>
      <c r="R120" s="3">
        <f>3392.6+(330.8-423.1)+(0+(0-0))+0-51.2-0</f>
        <v>3249.1</v>
      </c>
      <c r="S120" s="3">
        <f>3371.8+(452.4-441.5)+(-1.719618+(-0.230724--0.225165))+0-51--0.0260099999999948</f>
        <v>3330.0008330000005</v>
      </c>
      <c r="T120" s="3">
        <f>3368.4+(530-451)+(-1.717884+(-0.2703--0.23001))+0-50.7--0.0258569999999949</f>
        <v>3394.9676830000003</v>
      </c>
      <c r="U120" s="3">
        <f>3368.2+(550.3-457.7)+(-3.435564+(-0.561306--0.466854))+0-50.6--0.0516120000000081</f>
        <v>3406.7215959999999</v>
      </c>
      <c r="V120" s="3">
        <f>3342.5+(508.2-436.8)+(1.704675+(0.259182-0.222768))+0-50.5-0.0257549999999949</f>
        <v>3365.1153340000001</v>
      </c>
      <c r="W120" s="3">
        <f>3323.4+(347.7-437.5)+(-1.694934+(-0.177327--0.223125))+0-50.2--0.0256019999999949</f>
        <v>3181.7764660000003</v>
      </c>
      <c r="X120" s="3">
        <f>3333.1+(364.5-743)+(-8.499405+(-0.929475--1.89465))+0-50.7--0.129284999999993</f>
        <v>2896.4950549999999</v>
      </c>
      <c r="Y120" s="3">
        <f>3264.8+(352.9-876)+(-8.32524+(-0.899895--2.2338))+0-49.8--0.126989999999993</f>
        <v>2685.0356550000001</v>
      </c>
      <c r="Z120" s="3">
        <f>3420.7+(252.9-798.6)+(3.489114+(0.257958-0.814572))+0-51.3-0.0523260000000082</f>
        <v>2826.5801739999997</v>
      </c>
      <c r="AA120" s="3">
        <f>3479+(251.8-683.6)+(-3.54858+(-0.256836--0.697272))+0-50.9--0.0519180000000081</f>
        <v>2993.243774</v>
      </c>
      <c r="AB120" s="3">
        <f>3522.2+(239.6-674.8)+(-1.796322+(-0.122196--0.344148))+0-51.4--0.0262139999999948</f>
        <v>3034.0518440000001</v>
      </c>
      <c r="AC120" s="3">
        <f>3507.8+(250-657)+(0+(0-0))+0-51.3-0</f>
        <v>3049.5</v>
      </c>
      <c r="AD120">
        <v>3063.3</v>
      </c>
      <c r="AE120" s="3">
        <f>3493+(279.1-658.8)+(0+(0-0))+0-50-0</f>
        <v>3063.3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3524.3+(303.3-689.2)+(-10.784358+(-0.928098--2.108952))+0-51.1--0.156366000000006</f>
        <v>3077.8528620000002</v>
      </c>
      <c r="G121" s="3">
        <f>3461.4+(302.1-698.7)+(-1.765314+(-0.154071--0.356337))+0-50.7--0.0258569999999949</f>
        <v>3012.5628090000005</v>
      </c>
      <c r="H121" s="3">
        <f>3347.5+(341-692.3)+(-3.41445+(-0.34782--0.706146))+0-51.1--0.0521220000000081</f>
        <v>2942.0959979999998</v>
      </c>
      <c r="I121" s="3">
        <f>3356.2+(357.3-772.5)+(-5.134986+(-0.546669--1.181925))+0-50.9--0.0778770000000029</f>
        <v>2885.6781470000001</v>
      </c>
      <c r="J121" s="3">
        <f>3366.2+(377-839.1)+(-8.58381+(-0.96135--2.139705))+0-50.9--0.129794999999993</f>
        <v>2845.9243399999996</v>
      </c>
      <c r="K121" s="3">
        <f>3361.6+(388-910.4)+(-6.857664+(-0.79152--1.857216))+0-50.8--0.103631999999998</f>
        <v>2782.7116639999995</v>
      </c>
      <c r="L121" s="3">
        <f>3066.5+(434-875.1)+(-4.691745+(-0.66402--1.338903))+0-53.7--0.0821610000000031</f>
        <v>2567.7652990000001</v>
      </c>
      <c r="M121" s="3">
        <f>3052.6+(421.7-883.1)+(-1.556826+(-0.215067--0.450381))+0-53.6--0.0273359999999946</f>
        <v>2536.305824</v>
      </c>
      <c r="N121" s="3">
        <f>3319.9+(330.7-953.8)+(3.386298+(0.337314-0.972876))+0-53.3-0.0543660000000085</f>
        <v>2646.1963700000001</v>
      </c>
      <c r="O121" s="3">
        <f>3456.9+(333.3-1000.8)+(0+(0-0))+0-53.5-0</f>
        <v>2735.9</v>
      </c>
      <c r="P121" s="3">
        <f>3420.1+(320-846.6)+(3.488502+(0.3264-0.863532))+0-56.8-0.0579360000000091</f>
        <v>2839.5934339999999</v>
      </c>
      <c r="Q121" s="3">
        <f>3380.9+(286.7-621.6)+(3.448518+(0.292434-0.634032))+0-54-0.0550800000000086</f>
        <v>2995.0518400000001</v>
      </c>
      <c r="R121" s="3">
        <f>3369.6+(296.3-447.2)+(0+(0-0))+0-51.6-0</f>
        <v>3167.1</v>
      </c>
      <c r="S121" s="3">
        <f>3382.8+(412.6-489.8)+(-3.450456+(-0.420852--0.499596))+0-51.6--0.0526320000000082</f>
        <v>3250.6809200000002</v>
      </c>
      <c r="T121" s="3">
        <f>3384.3+(482.2-495.3)+(1.725993+(0.245922-0.252603))+0-51.2-0.0261119999999948</f>
        <v>3321.6932000000006</v>
      </c>
      <c r="U121" s="3">
        <f>3394.9+(499.3-498.3)+(-5.194197+(-0.763929--0.762399))+0-51.5--0.078795000000003</f>
        <v>3339.2830680000002</v>
      </c>
      <c r="V121" s="3">
        <f>3378.6+(454.2-469.2)+(-6.892344+(-0.926568--0.957168))+0-51.3--0.104651999999998</f>
        <v>3305.5429079999999</v>
      </c>
      <c r="W121" s="3">
        <f>3371.9+(313.6-479.8)+(0+(0-0))+0-52.9-0</f>
        <v>3152.8</v>
      </c>
      <c r="X121" s="3">
        <f>3378.8+(382.5-843.4)+(-3.446376+(-0.39015--0.860268))+0-54.7--0.0557940000000087</f>
        <v>2860.279536</v>
      </c>
      <c r="Y121" s="3">
        <f>3315.4+(323.2-964.1)+(-5.072562+(-0.494496--1.475073))+0-51.3--0.078489000000003</f>
        <v>2619.1865039999998</v>
      </c>
      <c r="Z121" s="3">
        <f>3504.6+(199.2-858.2)+(0+(0-0))+0-51.7-0</f>
        <v>2793.9</v>
      </c>
      <c r="AA121" s="3">
        <f>3666.5+(185.1-824.9)+(0+(0-0))+0-52.3-0</f>
        <v>2974.3999999999996</v>
      </c>
      <c r="AB121" s="3">
        <f>3695.1+(178.4-816.5)+(-7.538004+(-0.363936--1.66566))+0-51.7--0.105467999999998</f>
        <v>2999.1691880000003</v>
      </c>
      <c r="AC121" s="3">
        <f>3687.3+(198.5-791.8)+(0+(0-0))+0-51.5-0</f>
        <v>3042.5</v>
      </c>
      <c r="AD121">
        <v>3028.1</v>
      </c>
      <c r="AE121" s="3">
        <f>3662.5+(226-808.4)+(0+(0-0))+0-52-0</f>
        <v>3028.1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3677.9+(250.6-784.6)+(-5.627187+(-0.383418--1.200438))+0-51--0.0780300000000029</f>
        <v>3088.1678630000001</v>
      </c>
      <c r="G122" s="3">
        <f>3606.9+(285.1-806.2)+(-3.679038+(-0.290802--0.822324))+0-51--0.0520200000000081</f>
        <v>3031.7045040000003</v>
      </c>
      <c r="H122" s="3">
        <f>3624.6+(285.6-896.4)+(-7.394184+(-0.582624--1.828656))+0-51.2--0.104447999999998</f>
        <v>2956.5562960000002</v>
      </c>
      <c r="I122" s="3">
        <f>3635.4+(293.3-975.7)+(-5.562162+(-0.448749--1.492821))+0-50.8--0.0777240000000029</f>
        <v>2897.759634</v>
      </c>
      <c r="J122" s="3">
        <f>3568.6+(309.2-970.4)+(-7.279944+(-0.630768--1.979616))+0-50.8--0.103631999999998</f>
        <v>2850.7725359999995</v>
      </c>
      <c r="K122" s="3">
        <f>3431.1+(327.9-903.2)+(-6.999444+(-0.668916--1.842528))+0-51.1--0.104243999999998</f>
        <v>2798.9784119999999</v>
      </c>
      <c r="L122" s="3">
        <f>3107.5+(394.5-841)+(-11.093775+(-1.408365--3.00237))+0-52.5--0.187425000000001</f>
        <v>2599.1876550000002</v>
      </c>
      <c r="M122" s="3">
        <f>2949.3+(379.7-706.3)+(0+(0-0))+0-52.2-0</f>
        <v>2570.5000000000005</v>
      </c>
      <c r="N122" s="3">
        <f>3118.1+(313.6-718.3)+(0+(0-0))+0-52.7-0</f>
        <v>2660.7000000000003</v>
      </c>
      <c r="O122" s="3">
        <f>3374.5+(286.2-848.8)+(0+(0-0))+0-53-0</f>
        <v>2758.9</v>
      </c>
      <c r="P122" s="3">
        <f>3455.6+(267-808.2)+(3.524712+(0.27234-0.824364))+0-48-0.0489600000000077</f>
        <v>2869.3237279999994</v>
      </c>
      <c r="Q122" s="3">
        <f>3452.8+(231.3-749.6)+(1.760928+(0.117963-0.382296))+0--67.6--0.0344759999999931</f>
        <v>3003.6310709999998</v>
      </c>
      <c r="R122" s="3">
        <f>3480.1+(191.6-605.9)+(3.549702+(0.195432-0.618018))+0--79.1--0.0806820000000126</f>
        <v>3148.107798</v>
      </c>
      <c r="S122" s="3">
        <f>3530.6+(204.6-657.1)+(-1.800606+(-0.104346--0.335121))+0--196-0.0999599999999801</f>
        <v>3272.4302090000001</v>
      </c>
      <c r="T122" s="3">
        <f>3522.3+(318.8-693.8)+(1.796373+(0.162588-0.353838))+0--196.1--0.10001099999998</f>
        <v>3345.1051339999999</v>
      </c>
      <c r="U122" s="3">
        <f>3486.7+(346.1-647.8)+(-8.891085+(-0.882555--1.65189))+0--198.9-0.507194999999971</f>
        <v>3375.2710550000002</v>
      </c>
      <c r="V122" s="3">
        <f>3413.2+(312.1-607)+(-6.962928+(-0.636684--1.23828))+0--234.6-0.47858399999999</f>
        <v>3346.0600839999997</v>
      </c>
      <c r="W122" s="3">
        <f>3386.7+(261.8-716.3)+(-13.817736+(-1.068144--2.922504))+0--233.8-0.95390399999998</f>
        <v>3153.0827199999999</v>
      </c>
      <c r="X122" s="3">
        <f>3342.8+(242.6-1029.2)+(-11.933796+(-0.866082--3.674244))+0--233.5-0.833595000000003</f>
        <v>2779.7407710000002</v>
      </c>
      <c r="Y122" s="3">
        <f>3094.9+(262.8-974.3)+(-3.156798+(-0.268056--0.993786))+0--199.5-0.203490000000032</f>
        <v>2580.2654420000003</v>
      </c>
      <c r="Z122" s="3">
        <f>3291.4+(154.4-855.9)+(-1.678614+(-0.078744--0.436509))+0--199.3-0.10164299999998</f>
        <v>2787.7775080000001</v>
      </c>
      <c r="AA122" s="3">
        <f>3499.5+(172.7-949)+(-7.13898+(-0.352308--1.93596))+0--252.2-0.514487999999989</f>
        <v>2969.3301839999999</v>
      </c>
      <c r="AB122" s="3">
        <f>3532+(194-989.2)+(-9.0066+(-0.4947--2.52246))+0--262.8-0.670139999999962</f>
        <v>2991.95102</v>
      </c>
      <c r="AC122" s="3">
        <f>3529.6+(204.8-945.3)+(1.800096+(0.104448-0.482103))+0--236.7--0.120716999999976</f>
        <v>3027.3431579999997</v>
      </c>
      <c r="AD122">
        <v>3029.7</v>
      </c>
      <c r="AE122" s="3">
        <f>3504+(186.7-925)+(0+(0-0))+0--264-0</f>
        <v>3029.7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3539.7+(221-900.9)+(-1.805247+(-0.11271--0.459459))+0--237.2-0.120971999999976</f>
        <v>3095.4205299999994</v>
      </c>
      <c r="G123" s="3">
        <f>3553.7+(200.4-964.3)+(-3.624774+(-0.204408--0.983586))+0--237.7-0.242454000000038</f>
        <v>3024.4119499999993</v>
      </c>
      <c r="H123" s="3">
        <f>3569.3+(197-1053.6)+(-1.820343+(-0.10047--0.537336))+0--238.3-0.121532999999976</f>
        <v>2949.4949900000006</v>
      </c>
      <c r="I123" s="3">
        <f>3586.7+(174.3-1101.4)+(-10.975302+(-0.533358--3.370284))+0--239-0.731340000000028</f>
        <v>2889.7302839999998</v>
      </c>
      <c r="J123" s="3">
        <f>3263.2+(267-919.4)+(-8.32116+(-0.68085--2.34447))+0--239.6-0.610979999999965</f>
        <v>2843.1314799999996</v>
      </c>
      <c r="K123" s="3">
        <f>2992.9+(383.3-776.3)+(-10.684653+(-1.368381--2.771391))+0--182.7-0.652239000000003</f>
        <v>2772.6661180000001</v>
      </c>
      <c r="L123" s="3">
        <f>2914+(356-844.1)+(-10.40298+(-1.27092--3.013437))+0--143.5-0.512295000000002</f>
        <v>2560.2272419999999</v>
      </c>
      <c r="M123" s="3">
        <f>2914.5+(326.7-842.3)+(-1.486395+(-0.166617--0.429573))+0--143.8-0.0733379999999854</f>
        <v>2541.4032230000003</v>
      </c>
      <c r="N123" s="3">
        <f>3077.8+(245.2-891.2)+(3.139356+(0.250104-0.909024))+0--174.4--0.177888000000028</f>
        <v>2608.8583240000003</v>
      </c>
      <c r="O123" s="3">
        <f>3490.4+(123.7-1074.8)+(3.560208+(0.126174-1.096296))+0--194.5--0.198390000000031</f>
        <v>2736.5884760000004</v>
      </c>
      <c r="P123" s="3">
        <f>3487+(123.2-950.2)+(3.55674+(0.125664-0.969204))+0--196.3--0.200226000000031</f>
        <v>2859.2134260000003</v>
      </c>
      <c r="Q123" s="3">
        <f>3426.5+(131.5-780.7)+(0+(0-0))+0--194-0</f>
        <v>2971.3</v>
      </c>
      <c r="R123" s="3">
        <f>3423.4+(210.5-723.4)+(-5.237802+(-0.322065--1.106802))+0--193.2-0.295596000000011</f>
        <v>3098.9513389999997</v>
      </c>
      <c r="S123" s="3">
        <f>3413+(336.2-738.7)+(-8.70315+(-0.85731--1.883685))+0--193.9-0.494444999999972</f>
        <v>3196.2287800000004</v>
      </c>
      <c r="T123" s="3">
        <f>3403+(422.8-738.4)+(0+(0-0))+0--193.5-0</f>
        <v>3280.9</v>
      </c>
      <c r="U123" s="3">
        <f>3397.9+(403.6-706.1)+(-6.931716+(-0.823344--1.440444))+0--193.4-0.394535999999992</f>
        <v>3282.0908480000003</v>
      </c>
      <c r="V123" s="3">
        <f>3371.6+(328.8-665.3)+(-3.439032+(-0.335376--0.678606))+0--193.9-0.197778000000031</f>
        <v>3225.70642</v>
      </c>
      <c r="W123" s="3">
        <f>3358.4+(261.8-748.5)+(-5.138352+(-0.400554--1.145205))+0--193.8-0.296514000000011</f>
        <v>3060.8097850000004</v>
      </c>
      <c r="X123" s="3">
        <f>3376.3+(199.3-984)+(-8.609565+(-0.508215--2.5092))+0--197.9-0.504644999999971</f>
        <v>2782.3867750000004</v>
      </c>
      <c r="Y123" s="3">
        <f>3181.9+(188.5-1005.7)+(-3.245538+(-0.19227--1.025814))+0--197.7-0.201654000000032</f>
        <v>2559.7863519999996</v>
      </c>
      <c r="Z123" s="3">
        <f>3334.6+(123.8-914.6)+(0+(0-0))+0--198.4-0</f>
        <v>2742.2</v>
      </c>
      <c r="AA123" s="3">
        <f>3461.6+(165.6-920.3)+(-8.82708+(-0.42228--2.346765))+0--203.4-0.518669999999971</f>
        <v>2902.8787350000002</v>
      </c>
      <c r="AB123" s="3">
        <f>3490.4+(166-965.2)+(-1.780104+(-0.08466--0.492252))+0--203.4-0.103733999999979</f>
        <v>2893.1237540000002</v>
      </c>
      <c r="AC123" s="3">
        <f>3487.7+(180.5-946.3)+(-1.778727+(-0.092055--0.482613))+0--204.5-0.104294999999979</f>
        <v>2924.9075359999997</v>
      </c>
      <c r="AD123">
        <v>2983.5</v>
      </c>
      <c r="AE123" s="3">
        <f>3511+(174.4-904.9)+(0+(0-0))+0--203-0</f>
        <v>2983.5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3493+(219.8-924.1)+(-1.78143+(-0.112098--0.471291))+0--205.6-0.104855999999979</f>
        <v>2992.7729069999996</v>
      </c>
      <c r="G124" s="3">
        <f>3509.6+(207.4-967.4)+(3.579792+(0.211548-0.986748))+0--205.4--0.209508000000033</f>
        <v>2958.0140999999999</v>
      </c>
      <c r="H124" s="3">
        <f>3511.7+(197.4-1022.2)+(3.581934+(0.201348-1.042644))+0--205.4--0.209508000000033</f>
        <v>2895.2501459999999</v>
      </c>
      <c r="I124" s="3">
        <f>3419.7+(213.2-999.7)+(1.744047+(0.108732-0.509847))+0--206.3--0.105212999999979</f>
        <v>2840.9481449999998</v>
      </c>
      <c r="J124" s="3">
        <f>3353.6+(217.2-974.1)+(5.131008+(0.332316-1.490373))+0--206.9--0.316557000000012</f>
        <v>2807.8895080000002</v>
      </c>
      <c r="K124" s="3">
        <f>3170.4+(286.2-880.2)+(-3.233808+(-0.291924--0.897804))+0--182.6-0.186252000000029</f>
        <v>2756.1858200000001</v>
      </c>
      <c r="L124" s="3">
        <f>2917.7+(314-771.5)+(2.976054+(0.32028-0.78693))+0--78.8--0.0803760000000126</f>
        <v>2541.5897799999998</v>
      </c>
      <c r="M124" s="3">
        <f>2820.6+(303.5-782.3)+(-1.438506+(-0.154785--0.398973))+0--79-0.040289999999992</f>
        <v>2419.5653920000004</v>
      </c>
      <c r="N124" s="3">
        <f>2839+(256.5-754.9)+(4.34367+(0.392445-1.154997))+0--91.9--0.140607000000005</f>
        <v>2436.2217249999999</v>
      </c>
      <c r="O124" s="3">
        <f>2973.3+(201.5-880.1)+(1.516383+(0.102765-0.448851))+0--203.2--0.103631999999979</f>
        <v>2499.173929</v>
      </c>
      <c r="P124" s="3">
        <f>3007.3+(203.6-827.6)+(4.601169+(0.311508-1.266228))+0--202.6--0.309978000000012</f>
        <v>2589.8564270000002</v>
      </c>
      <c r="Q124" s="3">
        <f>3168.4+(160.7-806)+(3.231768+(0.163914-0.82212))+0--201--0.205020000000032</f>
        <v>2726.8785820000003</v>
      </c>
      <c r="R124" s="3">
        <f>3205+(221.4-721.7)+(-1.63455+(-0.112914--0.368067))+0--200.2-0.10210199999998</f>
        <v>2903.4185009999997</v>
      </c>
      <c r="S124" s="3">
        <f>3178.4+(304-626.3)+(-1.620984+(-0.15504--0.319413))+0--200.5-0.10225499999998</f>
        <v>3055.0411340000005</v>
      </c>
      <c r="T124" s="3">
        <f>3164.4+(354.6-600)+(-4.841532+(-0.542538--0.918))+0--199-0.304470000000012</f>
        <v>3113.22946</v>
      </c>
      <c r="U124" s="3">
        <f>3150.8+(391.5-584.2)+(1.606908+(0.199665-0.297942))+0--199--0.10148999999998</f>
        <v>3158.7101210000005</v>
      </c>
      <c r="V124" s="3">
        <f>3118.7+(380.5-584)+(-1.590537+(-0.194055--0.29784))+0--198.4-0.10118399999998</f>
        <v>3112.012064</v>
      </c>
      <c r="W124" s="3">
        <f>3122.5+(314.2-673.8)+(-7.962375+(-0.80121--1.71819))+0--198.4-0.505919999999971</f>
        <v>2953.748685</v>
      </c>
      <c r="X124" s="3">
        <f>3098.1+(263.5-870.4)+(-4.740093+(-0.403155--1.331712))+0--184.6-0.282438000000011</f>
        <v>2671.7060259999994</v>
      </c>
      <c r="Y124" s="3">
        <f>3025.4+(213.2-910.6)+(-10.800678+(-0.761124--3.250842))+0--131.7-0.470169000000002</f>
        <v>2450.9188709999999</v>
      </c>
      <c r="Z124" s="3">
        <f>3203.8+(159.3-819.1)+(4.901814+(0.243729-1.253223))+0--111.2--0.170136000000006</f>
        <v>2659.2624559999999</v>
      </c>
      <c r="AA124" s="3">
        <f>3362.3+(170.3-826.1)+(-5.144319+(-0.260559--1.263933))+0--202.7-0.310131000000012</f>
        <v>2904.7489239999995</v>
      </c>
      <c r="AB124" s="3">
        <f>3384.6+(196.9-789.7)+(-3.452292+(-0.200838--0.805494))+0--204.4-0.208488000000033</f>
        <v>2993.1438759999996</v>
      </c>
      <c r="AC124" s="3">
        <f>3427.6+(214.6-833.2)+(1.748076+(0.109446-0.424932))+0--204.6--0.104345999999979</f>
        <v>3015.1369359999999</v>
      </c>
      <c r="AD124">
        <v>2937.1000000000004</v>
      </c>
      <c r="AE124" s="3">
        <f>3383.5+(168.8-819.2)+(0+(0-0))+0--204-0</f>
        <v>2937.1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3456.7+(258.6-873.5)+(-3.525834+(-0.263772--0.89097))+0--205.5-0.209610000000033</f>
        <v>3044.1917539999999</v>
      </c>
      <c r="G125" s="3">
        <f>3470.4+(264.3-955.4)+(-3.539808+(-0.269586--0.974508))+0--205.8-0.209916000000033</f>
        <v>2982.055198</v>
      </c>
      <c r="H125" s="3">
        <f>3483.7+(256.4-1014.7)+(-5.330061+(-0.392292--1.552491))+0--206.5-0.315945000000012</f>
        <v>2927.4141929999996</v>
      </c>
      <c r="I125" s="3">
        <f>3359.4+(276.5-960.1)+(-5.139882+(-0.423045--1.468953))+0--207.1-0.316863000000012</f>
        <v>2878.4891630000002</v>
      </c>
      <c r="J125" s="3">
        <f>3272.6+(309.5-888)+(-6.676104+(-0.63138--1.81152))+0--157.2-0.320687999999993</f>
        <v>2845.4833479999998</v>
      </c>
      <c r="K125" s="3">
        <f>3154.5+(353-810.8)+(-6.43518+(-0.72012--1.654032))+0--103.3-0.210731999999995</f>
        <v>2794.288</v>
      </c>
      <c r="L125" s="3">
        <f>2994.5+(359.8-826.9)+(-1.527195+(-0.183498--0.421719))+0--78.4-0.039983999999992</f>
        <v>2604.4710420000001</v>
      </c>
      <c r="M125" s="3">
        <f>2890.9+(342.1-811.1)+(0+(0-0))+0--113.7-0</f>
        <v>2535.6</v>
      </c>
      <c r="N125" s="3">
        <f>2973.3+(266.3-804.5)+(3.032766+(0.271626-0.82059))+0--180.4--0.184008000000029</f>
        <v>2618.1678100000008</v>
      </c>
      <c r="O125" s="3">
        <f>3228.4+(231.9-916.6)+(-1.646484+(-0.118269--0.467466))+0--202.4-0.103223999999979</f>
        <v>2744.6994890000001</v>
      </c>
      <c r="P125" s="3">
        <f>3273.6+(209.1-814)+(-1.669536+(-0.106641--0.41514))+0--199.5-0.10174499999998</f>
        <v>2866.7372179999998</v>
      </c>
      <c r="Q125" s="3">
        <f>3275.9+(196.2-660.5)+(5.012127+(0.300186-1.010565))+0--196.6--0.300798000000011</f>
        <v>3012.8025459999999</v>
      </c>
      <c r="R125" s="3">
        <f>3380.2+(211.1-617.4)+(1.723902+(0.107661-0.314874))+0--195.5--0.0997049999999802</f>
        <v>3171.0163939999998</v>
      </c>
      <c r="S125" s="3">
        <f>3389.7+(318.3-632.2)+(0+(0-0))+0--196.9-0</f>
        <v>3272.7</v>
      </c>
      <c r="T125" s="3">
        <f>3462.3+(334.7-635.9)+(-3.531546+(-0.341394--0.648618))+0--196.3-0.200226000000031</f>
        <v>3353.9754520000006</v>
      </c>
      <c r="U125" s="3">
        <f>3453.2+(320.6-598.6)+(-5.283396+(-0.490518--0.915858))+0--197.8-0.302634000000011</f>
        <v>3367.8393099999998</v>
      </c>
      <c r="V125" s="3">
        <f>3433.8+(293.2-613.2)+(-7.004952+(-0.598128--1.250928))+0--197.5-0.402899999999991</f>
        <v>3304.5449480000002</v>
      </c>
      <c r="W125" s="3">
        <f>3461.1+(256.5-753.8)+(-5.295483+(-0.392445--1.153314))+0--198-0.302940000000011</f>
        <v>3156.962446</v>
      </c>
      <c r="X125" s="3">
        <f>3471.8+(197.5-976.3)+(-10.623708+(-0.60435--2.987478))+0--200.6-0.613836000000023</f>
        <v>2884.7455839999998</v>
      </c>
      <c r="Y125" s="3">
        <f>3281.7+(213.7-985)+(-1.673667+(-0.108987--0.50235))+0--148.4-0.0756839999999849</f>
        <v>2657.4440119999999</v>
      </c>
      <c r="Z125" s="3">
        <f>3377.4+(139.1-862.9)+(-3.444948+(-0.141882--0.880158))+0--164.4-0.167688000000026</f>
        <v>2815.1256400000007</v>
      </c>
      <c r="AA125" s="3">
        <f>3588.4+(143.7-945.6)+(0+(0-0))+0--200.7-0</f>
        <v>2987.2</v>
      </c>
      <c r="AB125" s="3">
        <f>3609.9+(151-946.5)+(-5.523147+(-0.23103--1.448145))+0--201.8-0.308754000000012</f>
        <v>3011.5852140000002</v>
      </c>
      <c r="AC125" s="3">
        <f>3609.1+(184.2-923.2)+(0+(0-0))+0--202.4-0</f>
        <v>3072.5</v>
      </c>
      <c r="AD125">
        <v>3017.1</v>
      </c>
      <c r="AE125" s="3">
        <f>3576.5+(163.2-922.6)+(0+(0-0))+0--200-0</f>
        <v>3017.1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3613+(230.7-921.9)+(-3.68526+(-0.235314--0.940338))+0--203.2-0.207264000000032</f>
        <v>3121.8125</v>
      </c>
      <c r="G126" s="3">
        <f>3615.5+(231.2-992.8)+(-9.219525+(-0.58956--2.53164))+0--203.7-0.51943499999997</f>
        <v>3049.8031199999996</v>
      </c>
      <c r="H126" s="3">
        <f>3627.4+(228.5-1070.1)+(-3.699948+(-0.23307--1.091502))+0--204.3-0.208386000000033</f>
        <v>2987.0500980000002</v>
      </c>
      <c r="I126" s="3">
        <f>3611.4+(223.4-1094)+(-7.367256+(-0.455736--2.23176))+0--205-0.418199999999991</f>
        <v>2939.7905679999999</v>
      </c>
      <c r="J126" s="3">
        <f>3324.7+(302.4-923.1)+(-5.086791+(-0.462672--1.412343))+0--205.1-0.313803000000012</f>
        <v>2904.649077</v>
      </c>
      <c r="K126" s="3">
        <f>3077.6+(426.3-811.5)+(-3.139152+(-0.434826--0.82773))+0--153.4-0.156468000000024</f>
        <v>2842.8972840000001</v>
      </c>
      <c r="L126" s="3">
        <f>2956.2+(450.3-817.9)+(-7.53831+(-1.148265--2.085645))+0--78-0.198899999999989</f>
        <v>2659.80017</v>
      </c>
      <c r="M126" s="3">
        <f>2858.6+(439.6-799.6)+(4.373658+(0.672588-1.223388))+0--134.3--0.205479000000008</f>
        <v>2636.9283370000003</v>
      </c>
      <c r="N126" s="3">
        <f>3096.3+(318.1-912)+(0+(0-0))+0--202.9-0</f>
        <v>2705.3</v>
      </c>
      <c r="O126" s="3">
        <f>3452.5+(175.3-1065.1)+(1.760775+(0.089403-0.543201))+0--199.1--0.10154099999998</f>
        <v>2763.2085179999999</v>
      </c>
      <c r="P126" s="3">
        <f>3453.5+(177.7-948.2)+(1.761285+(0.090627-0.483582))+0--197.2--0.10057199999998</f>
        <v>2881.6689019999994</v>
      </c>
      <c r="Q126" s="3">
        <f>3406.5+(213.9-766.1)+(5.211945+(0.327267-1.172133))+0--193.8--0.296514000000011</f>
        <v>3052.7635930000006</v>
      </c>
      <c r="R126" s="3">
        <f>3401.4+(236.7-619.8)+(0+(0-0))+0--192.4-0</f>
        <v>3210.7000000000003</v>
      </c>
      <c r="S126" s="3">
        <f>3477.1+(298.7-676.6)+(0+(0-0))+0--197.3-0</f>
        <v>3296.5</v>
      </c>
      <c r="T126" s="3">
        <f>3464.2+(347.1-656)+(5.300226+(0.531063-1.00368))+0--197.3--0.301869000000011</f>
        <v>3357.7294779999997</v>
      </c>
      <c r="U126" s="3">
        <f>3444.2+(363.1-632.2)+(-3.513084+(-0.370362--0.644844))+0--197.1-0.201042000000031</f>
        <v>3368.7603559999998</v>
      </c>
      <c r="V126" s="3">
        <f>3423.3+(324.3-622.7)+(-6.983532+(-0.661572--1.270308))+0--197.8-0.403511999999991</f>
        <v>3315.9216920000003</v>
      </c>
      <c r="W126" s="3">
        <f>3427.7+(245.5-717.1)+(-10.488762+(-0.75123--2.194326))+0--199.1-0.609246000000023</f>
        <v>3145.5450879999999</v>
      </c>
      <c r="X126" s="3">
        <f>3429.2+(229.7-964.5)+(-10.493352+(-0.702882--2.95137))+0--193.5-0.592110000000022</f>
        <v>2879.0630259999998</v>
      </c>
      <c r="Y126" s="3">
        <f>3193.6+(225.5-896.1)+(-3.257472+(-0.23001--0.914022))+0--136.4-0.139128000000022</f>
        <v>2656.6874120000002</v>
      </c>
      <c r="Z126" s="3">
        <f>3322.6+(170.7-834.4)+(0+(0-0))+0--172.5-0</f>
        <v>2831.3999999999996</v>
      </c>
      <c r="AA126" s="3">
        <f>3504.8+(188.6-883)+(-10.724688+(-0.577116--2.70198))+0--201.8-0.617508000000023</f>
        <v>3002.9826680000006</v>
      </c>
      <c r="AB126" s="3">
        <f>3558.5+(180-900.6)+(-1.814835+(-0.0918--0.459306))+0--202.8-0.103427999999979</f>
        <v>3039.1492430000003</v>
      </c>
      <c r="AC126" s="3">
        <f>3557.4+(197.2-867)+(-1.814274+(-0.100572--0.44217))+0--201.8-0.10291799999998</f>
        <v>3087.8244060000006</v>
      </c>
      <c r="AD126">
        <v>3085.1000000000004</v>
      </c>
      <c r="AE126" s="3">
        <f>3557+(210.3-884.2)+(0+(0-0))+0--202-0</f>
        <v>3085.1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3551.8+(207.3-868.3)+(-5.434254+(-0.317169--1.328499))+0--201.2-0.307836000000012</f>
        <v>3087.2692400000001</v>
      </c>
      <c r="G127" s="3">
        <f>3581.5+(208.3-964)+(-5.479695+(-0.318699--1.47492))+0--202.3-0.309519000000012</f>
        <v>3023.4670070000006</v>
      </c>
      <c r="H127" s="3">
        <f>3552.2+(216.3-1002.3)+(-3.623244+(-0.220626--1.022346))+0--204.9-0.208998000000033</f>
        <v>2968.0694779999999</v>
      </c>
      <c r="I127" s="3">
        <f>3471.9+(220.9-977.9)+(-3.541338+(-0.225318--0.997458))+0--205.9-0.210018000000033</f>
        <v>2917.820784</v>
      </c>
      <c r="J127" s="3">
        <f>3480.7+(202.3-1006.6)+(3.550314+(0.206346-1.026732))+0--204--0.208080000000033</f>
        <v>2883.3380079999997</v>
      </c>
      <c r="K127" s="3">
        <f>3435.3+(206.2-959.1)+(1.752003+(0.105162-0.489141))+0--164.6--0.0839459999999833</f>
        <v>2848.4519700000001</v>
      </c>
      <c r="L127" s="3">
        <f>3186.8+(269.2-881.7)+(-1.625268+(-0.137292--0.449667))+0--78-0.0397799999999921</f>
        <v>2650.9473270000003</v>
      </c>
      <c r="M127" s="3">
        <f>3056+(265.1-817.4)+(-1.55856+(-0.135201--0.416874))+0--78-0.0397799999999921</f>
        <v>2580.3833329999998</v>
      </c>
      <c r="N127" s="3">
        <f>3338.2+(134.7-946.9)+(0+(0-0))+0--149.1-0</f>
        <v>2675.1</v>
      </c>
      <c r="O127" s="3">
        <f>3552.8+(94.3-1053.6)+(-3.623856+(-0.096186--1.074672))+0--198.2-0.202164000000032</f>
        <v>2788.8524659999998</v>
      </c>
      <c r="P127" s="3">
        <f>3517.2+(145.2-945.1)+(-1.793772+(-0.074052--0.482001))+0--194.5-0.0991949999999803</f>
        <v>2910.3149819999999</v>
      </c>
      <c r="Q127" s="3">
        <f>3471.7+(162.2-755)+(0+(0-0))+0--193.2-0</f>
        <v>3072.0999999999995</v>
      </c>
      <c r="R127" s="3">
        <f>3476+(224.9-641.3)+(-7.09104+(-0.458796--1.308252))+0--193.7-0.395147999999992</f>
        <v>3246.6632679999998</v>
      </c>
      <c r="S127" s="3">
        <f>3455+(309.5-628.1)+(-5.28615+(-0.473535--0.960993))+0--190.8-0.291924000000011</f>
        <v>3322.1093840000003</v>
      </c>
      <c r="T127" s="3">
        <f>3438.1+(390.7-648.4)+(1.753431+(0.199257-0.330684))+0--200.7--0.10235699999998</f>
        <v>3382.8243609999995</v>
      </c>
      <c r="U127" s="3">
        <f>3430.1+(413.6-658.1)+(-3.498702+(-0.421872--0.671262))+0--197.5-0.201450000000031</f>
        <v>3379.649238</v>
      </c>
      <c r="V127" s="3">
        <f>3473.2+(319.5-627.1)+(3.542664+(0.32589-0.639642))+0--197.6--0.201552000000032</f>
        <v>3366.6304639999998</v>
      </c>
      <c r="W127" s="3">
        <f>3457.8+(189.8-689.6)+(-7.053912+(-0.387192--1.406784))+0--199.6-0.407183999999991</f>
        <v>3151.1584959999996</v>
      </c>
      <c r="X127" s="3">
        <f>3487.7+(173.4-942.9)+(-5.336181+(-0.265302--1.442637))+0--201.5-0.308295000000012</f>
        <v>2915.2328590000002</v>
      </c>
      <c r="Y127" s="3">
        <f>3474.1+(147.9-1064.7)+(-3.543582+(-0.150858--1.085994))+0--142.1-0.144942000000023</f>
        <v>2696.6466119999995</v>
      </c>
      <c r="Z127" s="3">
        <f>3659.6+(89.9-1047)+(0+(0-0))+0--195.1-0</f>
        <v>2897.6</v>
      </c>
      <c r="AA127" s="3">
        <f>3736.3+(148.1-1020.6)+(-3.811026+(-0.151062--1.041012))+0--204.5-0.208590000000033</f>
        <v>3065.1703339999999</v>
      </c>
      <c r="AB127" s="3">
        <f>3761+(150.6-1028.3)+(-3.83622+(-0.153612--1.048866))+0--204.9-0.208998000000033</f>
        <v>3085.0500360000001</v>
      </c>
      <c r="AC127" s="3">
        <f>3765.1+(177.3-1021.9)+(-1.920201+(-0.090423--0.521169))+0--205.5-0.104804999999979</f>
        <v>3124.4057400000002</v>
      </c>
      <c r="AD127">
        <v>3129.8</v>
      </c>
      <c r="AE127" s="3">
        <f>3751+(152.5-978.5)+(0+(0-0))+0--204.8-0</f>
        <v>3129.8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3775.1+(210-997.9)+(0+(0-0))+0--207.2-0</f>
        <v>3194.3999999999996</v>
      </c>
      <c r="G128" s="3">
        <f>3789.5+(166-1049.7)+(1.932645+(0.08466-0.535347))+0--207.9--0.106028999999979</f>
        <v>3115.2879870000002</v>
      </c>
      <c r="H128" s="3">
        <f>3814.2+(144.6-1134)+(-7.780968+(-0.294984--2.31336))+0--208-0.424319999999991</f>
        <v>3026.6130879999996</v>
      </c>
      <c r="I128" s="3">
        <f>3826.8+(138.6-1197.6)+(3.903336+(0.141372-1.221552))+0--208--0.212160000000033</f>
        <v>2978.8353160000001</v>
      </c>
      <c r="J128" s="3">
        <f>3789.5+(158.1-1205.7)+(-7.73058+(-0.322524--2.459628))+0--206.3-0.420851999999991</f>
        <v>2942.1856719999996</v>
      </c>
      <c r="K128" s="3">
        <f>3590.1+(205.7-1118.1)+(-5.492853+(-0.314721--1.710693))+0--205.7-0.314721000000012</f>
        <v>2878.9883979999995</v>
      </c>
      <c r="L128" s="3">
        <f>3232.9+(284-1045.9)+(-8.243895+(-0.7242--2.667045))+0--205.3-0.52351499999997</f>
        <v>2669.4754350000003</v>
      </c>
      <c r="M128" s="3">
        <f>3147.8+(274.4-995.1)+(0+(0-0))+0--206.3-0</f>
        <v>2633.4000000000005</v>
      </c>
      <c r="N128" s="3">
        <f>3271.9+(233.9-1007.5)+(8.343345+(0.596445-2.569125))+0--204.4--0.52121999999997</f>
        <v>2709.5918850000003</v>
      </c>
      <c r="O128" s="3">
        <f>3515.7+(154.5-1024.7)+(0+(0-0))+0--201.6-0</f>
        <v>2847.1</v>
      </c>
      <c r="P128" s="3">
        <f>3654.1+(129.1-946.2)+(5.590773+(0.197523-1.447686))+0--197.8--0.302634000000011</f>
        <v>3039.4432440000005</v>
      </c>
      <c r="Q128" s="3">
        <f>3672.4+(131.1-921.6)+(5.618772+(0.200583-1.410048))+0--201--0.307530000000012</f>
        <v>3087.616837</v>
      </c>
      <c r="R128" s="3">
        <f>3644.7+(173.8-798.7)+(3.717594+(0.177276-0.814674))+0--201.1--0.205122000000032</f>
        <v>3224.1853179999994</v>
      </c>
      <c r="S128" s="3">
        <f>3536.6+(264-696.2)+(-1.803666+(-0.13464--0.355062))+0--200.6-0.10230599999998</f>
        <v>3303.3144499999999</v>
      </c>
      <c r="T128" s="3">
        <f>3607.4+(305.5-712.9)+(1.839774+(0.155805-0.363579))+0--202.5--0.103274999999979</f>
        <v>3404.235275</v>
      </c>
      <c r="U128" s="3">
        <f>3589+(323.8-693.3)+(0+(0-0))+0--203.8-0</f>
        <v>3423.3</v>
      </c>
      <c r="V128" s="3">
        <f>3554.6+(278.1-649.9)+(-9.06423+(-0.709155--1.657245))+0--205.5-0.52402499999997</f>
        <v>3379.6598349999999</v>
      </c>
      <c r="W128" s="3">
        <f>3556.8+(237.6-771.3)+(-9.06984+(-0.60588--1.966815))+0--205.5-0.52402499999997</f>
        <v>3220.3670700000002</v>
      </c>
      <c r="X128" s="3">
        <f>3429.9+(227.7-928)+(-5.247747+(-0.348381--1.41984))+0--205.1-0.313803000000012</f>
        <v>2930.2099090000002</v>
      </c>
      <c r="Y128" s="3">
        <f>3282.9+(207.7-931.1)+(1.674279+(0.105927-0.474861))+0--153.7--0.0783869999999844</f>
        <v>2714.5837320000001</v>
      </c>
      <c r="Z128" s="3">
        <f>3426.4+(156.7-853.8)+(0+(0-0))+0--179.7-0</f>
        <v>2909</v>
      </c>
      <c r="AA128" s="3">
        <f>3593.8+(175.3-872.2)+(-3.665676+(-0.178806--0.889644))+0--208.4-0.212568000000033</f>
        <v>3102.1325940000002</v>
      </c>
      <c r="AB128" s="3">
        <f>3565.9+(216.3-863.3)+(-5.455827+(-0.330939--1.320849))+0--208.3-0.318699000000012</f>
        <v>3122.4153840000004</v>
      </c>
      <c r="AC128" s="3">
        <f>3557.1+(238.4-822.7)+(-1.814121+(-0.121584--0.419577))+0--208.2-0.106181999999979</f>
        <v>3179.3776899999993</v>
      </c>
      <c r="AD128">
        <v>3153.9</v>
      </c>
      <c r="AE128" s="3">
        <f>3541+(202.4-797.9)+(0+(0-0))+0--208.4-0</f>
        <v>3153.9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3555.9+(262.1-813.8)+(-5.440527+(-0.401013--1.245114))+0--209.3-0.320229000000012</f>
        <v>3208.5833450000005</v>
      </c>
      <c r="G129" s="3">
        <f>3494+(255.5-841.3)+(0+(0-0))+0--210-0</f>
        <v>3118.2</v>
      </c>
      <c r="H129" s="3">
        <f>3407.5+(254.2-827.2)+(-3.47565+(-0.259284--0.843744))+0--210.8-0.215016000000034</f>
        <v>3042.1937940000003</v>
      </c>
      <c r="I129" s="3">
        <f>3360+(239.4-827.4)+(3.4272+(0.244188-0.843948))+0--212.2--0.216444000000034</f>
        <v>2987.243884</v>
      </c>
      <c r="J129" s="3">
        <f>3375.8+(243.6-875.7)+(0+(0-0))+0--213.1-0</f>
        <v>2956.8</v>
      </c>
      <c r="K129" s="3">
        <f>3442.7+(232.6-973.2)+(-5.267331+(-0.355878--1.488996))+0--213-0.325890000000012</f>
        <v>2910.639897</v>
      </c>
      <c r="L129" s="3">
        <f>3198.8+(306.7-968.9)+(-4.894164+(-0.469251--1.482417))+0--214.3-0.327879000000012</f>
        <v>2746.6911230000005</v>
      </c>
      <c r="M129" s="3">
        <f>2985.9+(347.7-856.3)+(4.568427+(0.531981-1.310139))+0--213.9--0.327267000000012</f>
        <v>2695.3175360000005</v>
      </c>
      <c r="N129" s="3">
        <f>3233+(256.2-964.7)+(1.64883+(0.130662-0.491997))+0--213--0.108629999999978</f>
        <v>2738.8961250000002</v>
      </c>
      <c r="O129" s="3">
        <f>3355.8+(218.8-909)+(-1.711458+(-0.111588--0.46359))+0--210.7-0.107456999999979</f>
        <v>2874.833087</v>
      </c>
      <c r="P129" s="3">
        <f>3304.7+(248.6-743)+(3.370794+(0.253572-0.75786))+0--209.5--0.213690000000033</f>
        <v>3022.8801959999996</v>
      </c>
      <c r="Q129" s="3">
        <f>3317.1+(263.3-627.5)+(8.458605+(0.671415-1.600125))+0--202.4--0.516119999999971</f>
        <v>3163.3460150000001</v>
      </c>
      <c r="R129" s="3">
        <f>3370.7+(307.6-549.1)+(-1.719057+(-0.156876--0.280041))+0--201.7-0.10286699999998</f>
        <v>3329.2012409999998</v>
      </c>
      <c r="S129" s="3">
        <f>3399.2+(366.8-579.5)+(1.733592+(0.187068-0.295545))+0--201.3--0.10266299999998</f>
        <v>3389.5277780000001</v>
      </c>
      <c r="T129" s="3">
        <f>3368.7+(440.3-564.2)+(0+(0-0))+0--201.1-0</f>
        <v>3445.8999999999996</v>
      </c>
      <c r="U129" s="3">
        <f>3344.6+(464.6-560.2)+(-1.705746+(-0.236946--0.285702))+0--201.1-0.10256099999998</f>
        <v>3448.3404489999998</v>
      </c>
      <c r="V129" s="3">
        <f>3354.2+(405.8-537.7)+(-3.421284+(-0.413916--0.548454))+0--201-0.205020000000032</f>
        <v>3419.8082339999996</v>
      </c>
      <c r="W129" s="3">
        <f>3362.4+(321.7-608.9)+(-5.144472+(-0.492201--0.931617))+0--202-0.309060000000012</f>
        <v>3272.1858840000004</v>
      </c>
      <c r="X129" s="3">
        <f>3303.8+(308-822.2)+(-11.794566+(-1.09956--2.935254))+0--202.7-0.723639000000003</f>
        <v>2981.6174890000002</v>
      </c>
      <c r="Y129" s="3">
        <f>3150.3+(246.1-757.7)+(-1.606653+(-0.125511--0.386427))+0--110.9-0.0565589999999888</f>
        <v>2748.1977040000002</v>
      </c>
      <c r="Z129" s="3">
        <f>3332.2+(223-660.8)+(-5.098266+(-0.34119--1.011024))+0--77.5-0.118575000000004</f>
        <v>2967.3529929999995</v>
      </c>
      <c r="AA129" s="3">
        <f>3559.8+(203.1-806.1)+(-12.708486+(-0.725067--2.877777))+0--198.3-0.707931000000003</f>
        <v>3143.8362930000003</v>
      </c>
      <c r="AB129" s="3">
        <f>3553.6+(227.9-831.7)+(-5.437008+(-0.348687--1.272501))+0--210.7-0.322371000000012</f>
        <v>3155.6644349999992</v>
      </c>
      <c r="AC129" s="3">
        <f>3539.5+(231.3-804.5)+(-3.61029+(-0.235926--0.82059))+0--211.4-0.215628000000034</f>
        <v>3174.4587460000002</v>
      </c>
      <c r="AD129">
        <v>3169.2</v>
      </c>
      <c r="AE129" s="3">
        <f>3586+(192.5-816.8)+(0+(0-0))+0--207.5-0</f>
        <v>3169.2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3546.6+(259.4-841.9)+(-1.808766+(-0.132294--0.429369))+0--209.9-0.107048999999979</f>
        <v>3172.3812599999997</v>
      </c>
      <c r="G130" s="3">
        <f>3552+(234.7-899.1)+(-5.43456+(-0.359091--1.375623))+0--212.4-0.324972000000012</f>
        <v>3095.2570000000001</v>
      </c>
      <c r="H130" s="3">
        <f>3556.7+(225-975.9)+(-3.627834+(-0.2295--0.995418))+0--212.5-0.216750000000034</f>
        <v>3015.2213339999998</v>
      </c>
      <c r="I130" s="3">
        <f>3565.5+(128-1013.3)+(3.63681+(0.13056-1.033566))+0--216--0.220320000000034</f>
        <v>2899.1541239999997</v>
      </c>
      <c r="J130" s="3">
        <f>3461.9+(126.6-883.8)+(-3.531138+(-0.129132--0.901476))+0--213.4-0.217668000000034</f>
        <v>2915.1235380000003</v>
      </c>
      <c r="K130" s="3">
        <f>3362.3+(125.3-847.1)+(1.714773+(0.063903-0.432021))+0--214.7--0.109496999999978</f>
        <v>2856.6561519999996</v>
      </c>
      <c r="L130" s="3">
        <f>3147.5+(148.3-873.6)+(-9.63135+(-0.453798--2.673216))+0--215.2-0.658512000000025</f>
        <v>2629.3295559999997</v>
      </c>
      <c r="M130" s="3">
        <f>3103+(151.1-895.2)+(0+(0-0))+0--214.6-0</f>
        <v>2573.5</v>
      </c>
      <c r="N130" s="3">
        <f>3120.2+(123.6-810.4)+(0+(0-0))+0--212.9-0</f>
        <v>2646.2999999999997</v>
      </c>
      <c r="O130" s="3">
        <f>3158.5+(143.8-794.8)+(-1.610835+(-0.073338--0.405348))+0--210.2-0.107201999999979</f>
        <v>2716.3139729999998</v>
      </c>
      <c r="P130" s="3">
        <f>3194.2+(130.3-715)+(-1.629042+(-0.066453--0.36465))+0--208.2-0.106181999999979</f>
        <v>2816.2629729999999</v>
      </c>
      <c r="Q130" s="3">
        <f>3280.4+(160.2-674.1)+(-3.346008+(-0.163404--0.687582))+0--205.2-0.209304000000033</f>
        <v>2968.668866</v>
      </c>
      <c r="R130" s="3">
        <f>3306.4+(285.9-612.8)+(-6.745056+(-0.583236--1.250112))+0--203.4-0.414935999999991</f>
        <v>3176.406884</v>
      </c>
      <c r="S130" s="3">
        <f>3289.1+(410.5-676.7)+(-8.387205+(-1.046775--1.725585))+0--202-0.515099999999971</f>
        <v>3216.6765049999995</v>
      </c>
      <c r="T130" s="3">
        <f>3281.3+(505.2-693.5)+(-5.020389+(-0.772956--1.061055))+0--201.5-0.308295000000012</f>
        <v>3289.4594150000003</v>
      </c>
      <c r="U130" s="3">
        <f>3280+(522.7-691.2)+(0+(0-0))+0--201.1-0</f>
        <v>3312.6</v>
      </c>
      <c r="V130" s="3">
        <f>3256.8+(438.2-636.1)+(-1.660968+(-0.223482--0.324411))+0--203.3-0.103682999999979</f>
        <v>3260.5362780000005</v>
      </c>
      <c r="W130" s="3">
        <f>3226.9+(303.5-525.7)+(-13.165752+(-1.23828--2.144856))+0--93.3-0.380663999999992</f>
        <v>3085.3601600000002</v>
      </c>
      <c r="X130" s="3">
        <f>3095.9+(232.3-621.8)+(-9.473454+(-0.710838--1.902708))+0--122.5-0.374850000000014</f>
        <v>2820.2435660000001</v>
      </c>
      <c r="Y130" s="3">
        <f>2814+(236.1-600.3)+(-7.1757+(-0.602055--1.530765))+0--140.1-0.35725499999998</f>
        <v>2583.2957550000001</v>
      </c>
      <c r="Z130" s="3">
        <f>2917.1+(232.9-470.9)+(1.487721+(0.118779-0.240159))+0--140--0.0713999999999858</f>
        <v>2820.5377409999996</v>
      </c>
      <c r="AA130" s="3">
        <f>3231.7+(200-600.5)+(-8.240835+(-0.51--1.531275))+0--140.1-0.35725499999998</f>
        <v>2963.7231849999998</v>
      </c>
      <c r="AB130" s="3">
        <f>3171.7+(256.2-539.5)+(-8.087835+(-0.65331--1.375725))+0--78.1-0.199154999999989</f>
        <v>2958.9354249999997</v>
      </c>
      <c r="AC130" s="3">
        <f>3143.2+(292.3-523.9)+(-1.603032+(-0.149073--0.267189))+0--76.2-0.0388619999999923</f>
        <v>2986.276222</v>
      </c>
      <c r="AD130">
        <v>2961.8999999999996</v>
      </c>
      <c r="AE130" s="3">
        <f>3259+(191.6-628.7)+(0+(0-0))+0--140-0</f>
        <v>2961.9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3152+(327.8-543.5)+(-1.60752+(-0.167178--0.277185))+0--76.7-0.0391169999999922</f>
        <v>3011.4633700000004</v>
      </c>
      <c r="G131" s="3">
        <f>3167.2+(292-565.1)+(-3.230544+(-0.29784--0.576402))+0--76.8-0.0783360000000122</f>
        <v>2967.869682</v>
      </c>
      <c r="H131" s="3">
        <f>3181.8+(257.5-613.1)+(0+(0-0))+0--76.8-0</f>
        <v>2903.0000000000005</v>
      </c>
      <c r="I131" s="3">
        <f>3171.4+(224.6-619.6)+(-6.469656+(-0.458184--1.263984))+0--76.9-0.156875999999997</f>
        <v>2847.479268</v>
      </c>
      <c r="J131" s="3">
        <f>3116.9+(243.9-622.8)+(-7.948095+(-0.621945--1.58814))+0--76.9-0.196094999999989</f>
        <v>2807.7220050000001</v>
      </c>
      <c r="K131" s="3">
        <f>3028.3+(245.9-624.3)+(-7.722165+(-0.627045--1.591965))+0--114.6-0.292229999999983</f>
        <v>2757.4505250000002</v>
      </c>
      <c r="L131" s="3">
        <f>2954.5+(250.1-771.5)+(-7.533975+(-0.637755--1.967325))+14.4--135-0.34424999999998</f>
        <v>2575.9513449999999</v>
      </c>
      <c r="M131" s="3">
        <f>3001+(263.9-892.2)+(-4.59153+(-0.403767--1.365066))+21.3--77.3-0.118269000000004</f>
        <v>2467.5515</v>
      </c>
      <c r="N131" s="3">
        <f>3130.8+(281.6-998.8)+(-3.193416+(-0.287232--1.018776))+0--76.9-0.0784380000000123</f>
        <v>2487.9596900000006</v>
      </c>
      <c r="O131" s="3">
        <f>3124.4+(264.1-940.5)+(-1.593444+(-0.134691--0.479655))+0--76.8-0.0391679999999922</f>
        <v>2523.5123520000002</v>
      </c>
      <c r="P131" s="3">
        <f>3122.4+(246.3-842.6)+(1.592424+(0.125613-0.429726))+0--76.8--0.0391679999999922</f>
        <v>2604.2274790000001</v>
      </c>
      <c r="Q131" s="3">
        <f>3118.8+(245.5-699.3)+(0+(0-0))+0--77.1-0</f>
        <v>2742.1</v>
      </c>
      <c r="R131" s="3">
        <f>3139.3+(258.4-615.6)+(1.601043+(0.131784-0.313956))+0--77.2--0.0393719999999922</f>
        <v>2860.7582430000002</v>
      </c>
      <c r="S131" s="3">
        <f>3135.6+(304.9-552.7)+(4.797468+(0.466497-0.845631))+0--77.4--0.118422000000004</f>
        <v>2969.7367559999998</v>
      </c>
      <c r="T131" s="3">
        <f>3229.5+(358.4-625.9)+(-1.647045+(-0.182784--0.319209))+0--122.1-0.0622709999999876</f>
        <v>3082.5271090000001</v>
      </c>
      <c r="U131" s="3">
        <f>3074+(543.3-593.8)+(-6.27096+(-1.108332--1.211352))+0--134.9-0.275195999999994</f>
        <v>3151.9568640000002</v>
      </c>
      <c r="V131" s="3">
        <f>2928.9+(558.9-511.3)+(-1.493739+(-0.285039--0.260763))+0--135.4-0.0690539999999863</f>
        <v>3110.3129309999999</v>
      </c>
      <c r="W131" s="3">
        <f>2835.9+(419-404.1)+(-7.231545+(-1.06845--1.030455))+0--111.7-0.284834999999984</f>
        <v>2954.9456250000003</v>
      </c>
      <c r="X131" s="3">
        <f>2710+(327.8-458.7)+(-2.7642+(-0.334356--0.467874))+0--77.6-0.0791520000000124</f>
        <v>2653.990166</v>
      </c>
      <c r="Y131" s="3">
        <f>2756.7+(220.7-613.4)+(-5.623668+(-0.450228--1.251336))+0--77.3-0.157691999999997</f>
        <v>2436.3197480000003</v>
      </c>
      <c r="Z131" s="3">
        <f>2854.8+(190.9-488.6)+(-5.823792+(-0.389436--0.996744))+0--114.8-0.234191999999995</f>
        <v>2666.4493240000006</v>
      </c>
      <c r="AA131" s="3">
        <f>3396.6+(156.5-833.8)+(-5.196798+(-0.239445--1.275714))+0--188.9-0.289017000000011</f>
        <v>2903.750454</v>
      </c>
      <c r="AB131" s="3">
        <f>3521.2+(162.4-921.6)+(-5.387436+(-0.248472--1.410048))+0--199.1-0.304623000000012</f>
        <v>2956.5695169999999</v>
      </c>
      <c r="AC131" s="3">
        <f>3465.7+(200.4-858.9)+(0+(0-0))+0--199.7-0</f>
        <v>3006.8999999999996</v>
      </c>
      <c r="AD131">
        <v>2898.3999999999996</v>
      </c>
      <c r="AE131" s="3">
        <f>3464+(161.2-925.8)+(0+(0-0))+0--199-0</f>
        <v>2898.4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3444.1+(236.6-831.4)+(-7.025964+(-0.482664--1.696056))+0--201.3-0.410651999999991</f>
        <v>3044.3767760000005</v>
      </c>
      <c r="G132" s="3">
        <f>3473.9+(204.8-890.5)+(-5.315067+(-0.313344--1.362465))+0--202-0.309060000000012</f>
        <v>2985.6249939999998</v>
      </c>
      <c r="H132" s="3">
        <f>3513.5+(193.2-988)+(0+(0-0))+0--203.1-0</f>
        <v>2921.7999999999997</v>
      </c>
      <c r="I132" s="3">
        <f>3573.7+(171.2-1067.6)+(-7.290348+(-0.349248--2.177904))+0--203.2-0.414527999999991</f>
        <v>2874.6237800000004</v>
      </c>
      <c r="J132" s="3">
        <f>3617.4+(142.7-1122.7)+(-7.379496+(-0.291108--2.290308))+0--203.5-0.415139999999991</f>
        <v>2835.1045640000002</v>
      </c>
      <c r="K132" s="3">
        <f>3404.7+(200.5-1013.6)+(-8.681985+(-0.511275--2.58468))+0--203.7-0.51943499999997</f>
        <v>2788.1719849999995</v>
      </c>
      <c r="L132" s="3">
        <f>3101.1+(256.1-869.6)+(-7.907805+(-0.653055--2.21748))+0--95.4-0.243269999999986</f>
        <v>2576.4133500000003</v>
      </c>
      <c r="M132" s="3">
        <f>3180.7+(212.8-934.1)+(4.866471+(0.325584-1.429173))+0--89.9--0.137547000000005</f>
        <v>2553.2004289999995</v>
      </c>
      <c r="N132" s="3">
        <f>3402.9+(136-1060)+(-1.735479+(-0.06936--0.5406))+0--175.9-0.0897089999999822</f>
        <v>2653.4460520000002</v>
      </c>
      <c r="O132" s="3">
        <f>3583.8+(116.9-1135.1)+(0+(0-0))+0--196.4-0</f>
        <v>2762.0000000000005</v>
      </c>
      <c r="P132" s="3">
        <f>3535.1+(144.9-1005.9)+(3.605802+(0.147798-1.026018))+0--192.6--0.196452000000031</f>
        <v>2869.6240339999999</v>
      </c>
      <c r="Q132" s="3">
        <f>3512.5+(145-872.7)+(3.58275+(0.1479-0.890154))+0--216.4--0.220728000000035</f>
        <v>3004.2612240000003</v>
      </c>
      <c r="R132" s="3">
        <f>3523+(221.6-754.7)+(3.59346+(0.226032-0.769794))+0--236.4--0.241128000000038</f>
        <v>3229.5908260000001</v>
      </c>
      <c r="S132" s="3">
        <f>3405.3+(365.6-671.4)+(-1.736703+(-0.186456--0.342414))+0--226.4-0.115463999999977</f>
        <v>3324.2037909999999</v>
      </c>
      <c r="T132" s="3">
        <f>3316.4+(415.4-677.7)+(-3.382728+(-0.423708--0.691254))+98.9--232.1-0.236742000000037</f>
        <v>3381.7480759999999</v>
      </c>
      <c r="U132" s="3">
        <f>3312.9+(463-650.4)+(5.068737+(0.70839-0.995112))+0--234.8--0.359244000000014</f>
        <v>3365.4412590000002</v>
      </c>
      <c r="V132" s="3">
        <f>3291.5+(376.6-632.4)+(0+(0-0))+0--226.6-0</f>
        <v>3262.2999999999997</v>
      </c>
      <c r="W132" s="3">
        <f>3292.6+(272.5-748.4)+(1.679226+(0.138975-0.381684))+0--222.3--0.113372999999977</f>
        <v>3040.5498900000002</v>
      </c>
      <c r="X132" s="3">
        <f>3202.6+(266.5-767.3)+(-4.899978+(-0.407745--1.173969))+0--216.5-0.331245000000013</f>
        <v>2913.8350010000004</v>
      </c>
      <c r="Y132" s="3">
        <f>3074.1+(207.2-819.5)+(-3.135582+(-0.211344--0.83589))+0--217-0.221340000000035</f>
        <v>2676.0676240000003</v>
      </c>
      <c r="Z132" s="3">
        <f>3215.3+(186-728.8)+(1.639803+(0.09486-0.371688))+0--219--0.111689999999978</f>
        <v>2892.9746650000002</v>
      </c>
      <c r="AA132" s="3">
        <f>3357.3+(214.1-718.4)+(-3.424446+(-0.218382--0.732768))+0--218.4-0.222768000000035</f>
        <v>3068.2671719999998</v>
      </c>
      <c r="AB132" s="3">
        <f>3369.2+(230.4-742.2)+(-3.436584+(-0.235008--0.757044))+0--218.1-0.222462000000035</f>
        <v>3072.3629899999992</v>
      </c>
      <c r="AC132" s="3">
        <f>3367.7+(246.9-723.5)+(3.435054+(0.251838-0.73797))+0--217.8--0.222156000000035</f>
        <v>3112.0710779999999</v>
      </c>
      <c r="AD132">
        <v>3066.5</v>
      </c>
      <c r="AE132" s="3">
        <f>3355+(208.2-715.2)+(0+(0-0))+0--218.5-0</f>
        <v>3066.5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3377.3+(241.1-707.4)+(-8.612115+(-0.614805--1.80387))+0--216.5-0.552074999999969</f>
        <v>3119.5248750000001</v>
      </c>
      <c r="G133" s="3">
        <f>3395.7+(217-785.8)+(-5.195421+(-0.33201--1.202274))+0--216.4-0.331092000000012</f>
        <v>3038.6437509999996</v>
      </c>
      <c r="H133" s="3">
        <f>3416.1+(212.1-870.5)+(-8.711055+(-0.540855--2.219775))+0--216.8-0.552839999999969</f>
        <v>2966.9150250000002</v>
      </c>
      <c r="I133" s="3">
        <f>3440.2+(186-918.7)+(-7.018008+(-0.37944--1.874148))+0--218.1-0.44492399999999</f>
        <v>2919.6317760000002</v>
      </c>
      <c r="J133" s="3">
        <f>3474.6+(177.4-978)+(-5.316138+(-0.271422--1.49634))+0--219-0.335070000000013</f>
        <v>2888.5737100000001</v>
      </c>
      <c r="K133" s="3">
        <f>3596.6+(135.9-1119.9)+(-5.502798+(-0.207927--1.713447))+0--220.1-0.336753000000013</f>
        <v>2828.365969</v>
      </c>
      <c r="L133" s="3">
        <f>3352.9+(215.1-1012.7)+(-3.419958+(-0.219402--1.032954))+0--115.3-0.117606000000018</f>
        <v>2667.8759880000007</v>
      </c>
      <c r="M133" s="3">
        <f>3124.4+(258.8-861.8)+(3.186888+(0.263976-0.879036))+0--82.2--0.0838440000000131</f>
        <v>2606.2556720000002</v>
      </c>
      <c r="N133" s="3">
        <f>3535.3+(120.5-1088)+(-7.212012+(-0.24582--2.21952))+0--133.9-0.273155999999994</f>
        <v>2696.1885320000001</v>
      </c>
      <c r="O133" s="3">
        <f>3593.6+(86-1081.1)+(1.832736+(0.04386-0.551361))+0--205.9--0.105008999999979</f>
        <v>2805.8302439999998</v>
      </c>
      <c r="P133" s="3">
        <f>3549.1+(144.4-955.6)+(3.620082+(0.147288-0.974712))+0--204.5--0.208590000000033</f>
        <v>2945.4012479999997</v>
      </c>
      <c r="Q133" s="3">
        <f>3510.7+(173.9-803.3)+(5.371371+(0.266067-1.229049))+0--203.1--0.310743000000012</f>
        <v>3089.1191319999998</v>
      </c>
      <c r="R133" s="3">
        <f>3504.4+(260.3-754.7)+(1.787244+(0.132753-0.384897))+0--200.7--0.10235699999998</f>
        <v>3212.3374569999996</v>
      </c>
      <c r="S133" s="3">
        <f>3502.7+(349.4-757.1)+(-1.786377+(-0.178194--0.386121))+0--201.4-0.10271399999998</f>
        <v>3294.718836</v>
      </c>
      <c r="T133" s="3">
        <f>3590.1+(382.2-786)+(0+(0-0))+0--204-0</f>
        <v>3390.2999999999997</v>
      </c>
      <c r="U133" s="3">
        <f>3607.4+(388.6-784)+(-5.519322+(-0.594558--1.19952))+0--203.3-0.311049000000012</f>
        <v>3410.0745910000001</v>
      </c>
      <c r="V133" s="3">
        <f>3576.3+(314.7-743.2)+(-3.647826+(-0.320994--0.758064))+0--204.1-0.208182000000033</f>
        <v>3348.4810620000003</v>
      </c>
      <c r="W133" s="3">
        <f>3466.7+(224.6-678.1)+(-1.768017+(-0.114546--0.345831))+0--206.3-0.105212999999979</f>
        <v>3217.8580550000001</v>
      </c>
      <c r="X133" s="3">
        <f>3425.7+(180.1-871.4)+(-3.494214+(-0.183702--0.888828))+0--206.8-0.210936000000033</f>
        <v>2938.1999759999999</v>
      </c>
      <c r="Y133" s="3">
        <f>3567.2+(82.1-1117.8)+(3.638544+(0.083742-1.140156))+0--207.9--0.212058000000033</f>
        <v>2742.1941879999999</v>
      </c>
      <c r="Z133" s="3">
        <f>3688.5+(127.5-1034.9)+(-1.881135+(-0.065025--0.527799))+0--208.9-0.106538999999979</f>
        <v>2988.4751000000001</v>
      </c>
      <c r="AA133" s="3">
        <f>3758.8+(166.2-1000.6)+(-9.58494+(-0.42381--2.55153))+0--210.2-0.536009999999969</f>
        <v>3126.6067700000003</v>
      </c>
      <c r="AB133" s="3">
        <f>3754.9+(180.3-1007.3)+(1.914999+(0.091953-0.513723))+0--210.3--0.107252999999979</f>
        <v>3139.8004820000006</v>
      </c>
      <c r="AC133" s="3">
        <f>3715.2+(195-967.5)+(-1.894752+(-0.09945--0.493425))+0--210.8-0.107507999999979</f>
        <v>3151.8917149999997</v>
      </c>
      <c r="AD133">
        <v>3148.2000000000003</v>
      </c>
      <c r="AE133" s="3">
        <f>3728+(161-957.2)+(0+(0-0))+0--216.4-0</f>
        <v>3148.2000000000003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3698.4+(224.9-933.5)+(-9.43092+(-0.573495--2.380425))+0--217.2-0.553859999999968</f>
        <v>3198.82215</v>
      </c>
      <c r="G134" s="3">
        <f>3670.8+(194.1-959.9)+(-7.488432+(-0.395964--1.958196))+0--217.1-0.442883999999991</f>
        <v>3115.730916</v>
      </c>
      <c r="H134" s="3">
        <f>3694.6+(160.9-1021.9)+(-13.189722+(-0.574413--3.648183))+0--217.4-0.776118000000003</f>
        <v>3040.1079299999997</v>
      </c>
      <c r="I134" s="3">
        <f>3708.1+(137.7-1065.3)+(-1.891131+(-0.070227--0.543303))+0--217.6-0.110975999999978</f>
        <v>2996.5709689999999</v>
      </c>
      <c r="J134" s="3">
        <f>3746.1+(136.6-1102.5)+(-1.910511+(-0.069666--0.562275))+0--218-0.111179999999978</f>
        <v>2996.6709179999998</v>
      </c>
      <c r="K134" s="3">
        <f>3617.8+(153.4-1057.7)+(-1.845078+(-0.078234--0.539427))+0--211.8-0.108017999999979</f>
        <v>2923.8080970000001</v>
      </c>
      <c r="L134" s="3">
        <f>3398.6+(206.9-976.1)+(-3.466572+(-0.211038--0.995622))+0--89.5-0.0912900000000143</f>
        <v>2716.126722</v>
      </c>
      <c r="M134" s="3">
        <f>3479.4+(127-1028)+(5.323482+(0.19431-1.57284))+0--94.7--0.144891000000005</f>
        <v>2677.1898429999997</v>
      </c>
      <c r="N134" s="3">
        <f>3653.1+(75.1-1124.4)+(-1.863081+(-0.038301--0.573444))+0--201.1-0.10256099999998</f>
        <v>2803.4695009999996</v>
      </c>
      <c r="O134" s="3">
        <f>3626.3+(90.2-1041.6)+(5.548239+(0.138006-1.593648))+0--214.5--0.328185000000012</f>
        <v>2893.8207820000002</v>
      </c>
      <c r="P134" s="3">
        <f>3571.4+(132.7-928.2)+(3.642828+(0.135354-0.946764))+0--211.2--0.215424000000034</f>
        <v>2990.1468420000001</v>
      </c>
      <c r="Q134" s="3">
        <f>3533.1+(203-809.1)+(3.603762+(0.20706-0.825282))+0--207.2--0.211344000000033</f>
        <v>3137.3968839999998</v>
      </c>
      <c r="R134" s="3">
        <f>3538.6+(325-715.2)+(0+(0-0))+0--208-0</f>
        <v>3356.3999999999996</v>
      </c>
      <c r="S134" s="3">
        <f>3517.1+(484-777.8)+(-1.793721+(-0.24684--0.396678))+0--210.2-0.107201999999979</f>
        <v>3431.7489149999997</v>
      </c>
      <c r="T134" s="3">
        <f>3505.6+(546.3-783.3)+(-3.575712+(-0.557226--0.798966))+0--209.5-0.213690000000033</f>
        <v>3474.552338</v>
      </c>
      <c r="U134" s="3">
        <f>3495.8+(546.8-760.6)+(-7.131432+(-1.115472--1.551624))+0--210.9-0.430235999999991</f>
        <v>3485.774484</v>
      </c>
      <c r="V134" s="3">
        <f>3476.1+(467.6-712.9)+(-1.772811+(-0.238476--0.363579))+0--210.1-0.107150999999979</f>
        <v>3439.145141</v>
      </c>
      <c r="W134" s="3">
        <f>3467+(273.1-653.2)+(-3.53634+(-0.278562--0.666264))+0--211.2-0.215424000000034</f>
        <v>3294.7359379999998</v>
      </c>
      <c r="X134" s="3">
        <f>3469+(192-828)+(-5.30757+(-0.29376--1.26684))+0--212-0.324360000000012</f>
        <v>3040.3411499999997</v>
      </c>
      <c r="Y134" s="3">
        <f>3510.1+(111.8-959.2)+(3.580302+(0.114036-0.978384))+0--212.8--0.217056000000034</f>
        <v>2878.4330099999997</v>
      </c>
      <c r="Z134" s="3">
        <f>3608.1+(192.8-873.3)+(1.840131+(0.098328-0.445383))+0--214.6--0.109445999999978</f>
        <v>3143.802522</v>
      </c>
      <c r="AA134" s="3">
        <f>3625.7+(230.1-819.2)+(-1.849107+(-0.117351--0.417792))+0--215.1-0.109700999999978</f>
        <v>3250.0416329999998</v>
      </c>
      <c r="AB134" s="3">
        <f>3643.1+(242.8-867.2)+(-3.715962+(-0.247656--0.884544))+0--215.8-0.220116000000034</f>
        <v>3231.2008099999998</v>
      </c>
      <c r="AC134" s="3">
        <f>3634.5+(243.5-866.9)+(1.853595+(0.124185-0.442119))+0--215.9--0.110108999999978</f>
        <v>3228.6457700000001</v>
      </c>
      <c r="AD134">
        <v>3263</v>
      </c>
      <c r="AE134" s="3">
        <f>3631+(234.9-811.9)+(0+(0-0))+0--209-0</f>
        <v>3263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3637+(228.8-882.7)+(1.85487+(0.116688-0.450177))+0--210.7--0.107456999999979</f>
        <v>3195.4288379999998</v>
      </c>
      <c r="G135" s="3">
        <f>3605.9+(206-921.5)+(-7.356036+(-0.42024--1.87986))+0--210.9-0.430235999999991</f>
        <v>3094.973348</v>
      </c>
      <c r="H135" s="3">
        <f>3632.5+(193.4-1009.8)+(-1.852575+(-0.098634--0.514998))+0--211-0.107609999999979</f>
        <v>3025.5561789999997</v>
      </c>
      <c r="I135" s="3">
        <f>3642.9+(171.2-1052.2)+(5.573637+(0.261936-1.609866))+0--210.4--0.321912000000012</f>
        <v>2976.8476190000001</v>
      </c>
      <c r="J135" s="3">
        <f>3663.3+(168.3-1063.4)+(-1.868283+(-0.085833--0.542334))+0--210.7-0.107456999999979</f>
        <v>2977.3807609999994</v>
      </c>
      <c r="K135" s="3">
        <f>3593.5+(183.2-1072.2)+(0+(0-0))+0--185.8-0</f>
        <v>2890.3</v>
      </c>
      <c r="L135" s="3">
        <f>3306.6+(258.7-934.8)+(-3.372732+(-0.263874--0.953496))+0--99.8-0.101796000000016</f>
        <v>2727.5150940000003</v>
      </c>
      <c r="M135" s="3">
        <f>3301.3+(237.9-912.4)+(0+(0-0))+0--78.2-0</f>
        <v>2705</v>
      </c>
      <c r="N135" s="3">
        <f>3541.2+(132.7-1014.1)+(1.806012+(0.067677-0.517191))+0--176.2--0.0898619999999821</f>
        <v>2837.4463599999995</v>
      </c>
      <c r="O135" s="3">
        <f>3589.9+(132.2-990.9)+(7.323396+(0.269688-2.021436))+0--207.7--0.423707999999991</f>
        <v>2944.8953559999995</v>
      </c>
      <c r="P135" s="3">
        <f>3522.6+(166-844.6)+(3.593052+(0.16932-0.861492))+0--199.1--0.203082000000032</f>
        <v>3046.203962</v>
      </c>
      <c r="Q135" s="3">
        <f>3494.8+(209.3-730.5)+(3.564696+(0.213486-0.74511))+0--196.4--0.200328000000031</f>
        <v>3173.2334000000005</v>
      </c>
      <c r="R135" s="3">
        <f>3494.1+(353.5-762.7)+(-5.345973+(-0.540855--1.166931))+0--197.1-0.301563000000011</f>
        <v>3276.9785399999996</v>
      </c>
      <c r="S135" s="3">
        <f>3486.7+(444.8-792.3)+(-3.556434+(-0.453696--0.808146))+0--201.6-0.205632000000032</f>
        <v>3337.3923839999998</v>
      </c>
      <c r="T135" s="3">
        <f>3472.6+(554.6-827.3)+(0+(0-0))+0--202.6-0</f>
        <v>3402.5</v>
      </c>
      <c r="U135" s="3">
        <f>3451.8+(549.3-793.9)+(-3.520836+(-0.560286--0.809778))+0--202.1-0.206142000000032</f>
        <v>3405.822514</v>
      </c>
      <c r="V135" s="3">
        <f>3393.4+(528.9-748.7)+(5.191902+(0.809217-1.145511))+0--202--0.309060000000012</f>
        <v>3380.7646679999998</v>
      </c>
      <c r="W135" s="3">
        <f>3382.6+(325.5-671.6)+(-5.175378+(-0.498015--1.027548))+0--203.5-0.311355000000012</f>
        <v>3235.0428000000002</v>
      </c>
      <c r="X135" s="3">
        <f>3418.9+(170.3-814.7)+(-6.974556+(-0.347412--1.661988))+0--204.3-0.416771999999991</f>
        <v>2972.7232480000002</v>
      </c>
      <c r="Y135" s="3">
        <f>3421.6+(122.3-939.8)+(1.745016+(0.062373-0.479298))+0--205.3--0.104702999999979</f>
        <v>2810.8327939999999</v>
      </c>
      <c r="Z135" s="3">
        <f>3552.5+(224.8-886.4)+(1.811775+(0.114648-0.452064))+0--205.9--0.105008999999979</f>
        <v>3098.3793679999999</v>
      </c>
      <c r="AA135" s="3">
        <f>3615.2+(254.7-879)+(-9.21876+(-0.649485--2.24145))+0--206.3-0.52606499999997</f>
        <v>3189.0471399999997</v>
      </c>
      <c r="AB135" s="3">
        <f>3606.1+(250.3-885.4)+(-3.678222+(-0.255306--0.903108))+0--206.6-0.210732000000033</f>
        <v>3174.3588479999999</v>
      </c>
      <c r="AC135" s="3">
        <f>3603.3+(237.9-882.1)+(-1.837683+(-0.121329--0.449871))+0--206.9-0.105518999999979</f>
        <v>3164.3853400000003</v>
      </c>
      <c r="AD135">
        <v>3264.7999999999997</v>
      </c>
      <c r="AE135" s="3">
        <f>3625+(254.2-825.8)+(0+(0-0))+0--211.4-0</f>
        <v>3264.8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3613.5+(238.1-866.1)+(-1.842885+(-0.121431--0.441711))+0--213.5-0.108884999999978</f>
        <v>3197.3685099999998</v>
      </c>
      <c r="G136" s="3">
        <f>3620.1+(199.2-918.2)+(-9.231255+(-0.50796--2.34141))+0--213.2-0.543659999999969</f>
        <v>3106.3585349999998</v>
      </c>
      <c r="H136" s="3">
        <f>3580.2+(190-953.5)+(-3.651804+(-0.1938--0.97257))+0--214.9-0.219198000000034</f>
        <v>3028.5077679999995</v>
      </c>
      <c r="I136" s="3">
        <f>3654.6+(141.4-1038.1)+(1.863846+(0.072114-0.529431))+0--213.7--0.108986999999978</f>
        <v>2973.1155159999998</v>
      </c>
      <c r="J136" s="3">
        <f>3678.3+(158.8-1073)+(-1.875933+(-0.080988--0.54723))+0--216.1-0.110210999999978</f>
        <v>2978.6800980000003</v>
      </c>
      <c r="K136" s="3">
        <f>3696.9+(106.5-1124.5)+(-1.885419+(-0.054315--0.573495))+0--216.9-0.110618999999978</f>
        <v>2894.3231420000002</v>
      </c>
      <c r="L136" s="3">
        <f>3696+(54.7-1223.4)+(-5.65488+(-0.083691--1.871802))+0--218.5-0.334305000000013</f>
        <v>2741.5989260000001</v>
      </c>
      <c r="M136" s="3">
        <f>3583.9+(54.6-1166.3)+(1.827789+(0.027846-0.594813))+0--222.1--0.113270999999977</f>
        <v>2695.6740930000001</v>
      </c>
      <c r="N136" s="3">
        <f>3577.3+(81.8-1087.8)+(0+(0-0))+0--216.9-0</f>
        <v>2788.2000000000003</v>
      </c>
      <c r="O136" s="3">
        <f>3537.5+(132.5-940.5)+(5.412375+(0.202725-1.438965))+0--191.7--0.293301000000011</f>
        <v>2925.6694360000001</v>
      </c>
      <c r="P136" s="3">
        <f>3503.8+(175.6-842.9)+(3.573876+(0.179112-0.859758))+0--205.6--0.209712000000033</f>
        <v>3045.2029419999999</v>
      </c>
      <c r="Q136" s="3">
        <f>3491.9+(280-795.2)+(5.342607+(0.4284-1.216656))+0--202.6--0.309978000000012</f>
        <v>3184.1643290000002</v>
      </c>
      <c r="R136" s="3">
        <f>3525.1+(494.6-925.2)+(-1.797801+(-0.252246--0.471852))+0--200.2-0.10210199999998</f>
        <v>3293.0197029999999</v>
      </c>
      <c r="S136" s="3">
        <f>3531.8+(579.5-944.6)+(-1.801218+(-0.295545--0.481746))+0--200.2-0.10210199999998</f>
        <v>3365.1828810000002</v>
      </c>
      <c r="T136" s="3">
        <f>3520.2+(604.4-921.5)+(1.795302+(0.308244-0.469965))+0--200--0.10199999999998</f>
        <v>3404.8355809999998</v>
      </c>
      <c r="U136" s="3">
        <f>3524.5+(522.8-830.1)+(1.797495+(0.266628-0.423351))+0--199.2--0.10159199999998</f>
        <v>3418.1423639999998</v>
      </c>
      <c r="V136" s="3">
        <f>3478.8+(546.1-832.7)+(-1.774188+(-0.278511--0.424677))+0--202.7-0.103376999999979</f>
        <v>3393.1686010000003</v>
      </c>
      <c r="W136" s="3">
        <f>3458.1+(354-763.2)+(-5.290893+(-0.54162--1.167696))+0--203.3-0.311049000000012</f>
        <v>3247.224134</v>
      </c>
      <c r="X136" s="3">
        <f>3472.4+(162.7-859.1)+(-1.770924+(-0.082977--0.438141))+0--203.9-0.103988999999979</f>
        <v>2978.380251</v>
      </c>
      <c r="Y136" s="3">
        <f>3517.9+(105.2-1002.9)+(-3.588258+(-0.107304--1.022958))+0--204.5-0.208590000000033</f>
        <v>2821.8188060000002</v>
      </c>
      <c r="Z136" s="3">
        <f>3616.4+(205-928.7)+(-3.688728+(-0.2091--0.947274))+0--204.5-0.208590000000033</f>
        <v>3094.0408559999996</v>
      </c>
      <c r="AA136" s="3">
        <f>3654.4+(224.1-913.5)+(-5.591232+(-0.342873--1.397655))+0--204.9-0.313497000000012</f>
        <v>3165.0500529999999</v>
      </c>
      <c r="AB136" s="3">
        <f>3667.3+(217.4-935.5)+(1.870323+(0.110874-0.477105))+0--206.1--0.105110999999979</f>
        <v>3156.9092030000002</v>
      </c>
      <c r="AC136" s="3">
        <f>3673.4+(219.1-935.9)+(-1.873434+(-0.111741--0.477309))+0--207.3-0.105722999999979</f>
        <v>3162.2864110000005</v>
      </c>
      <c r="AD136">
        <v>3228.9</v>
      </c>
      <c r="AE136" s="3">
        <f>3652+(249.3-864.4)+(0+(0-0))+0--192-0</f>
        <v>3228.9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3697.4+(239.9-921.7)+(0+(0-0))+0--200.5-0</f>
        <v>3216.1</v>
      </c>
      <c r="G137" s="3">
        <f>3715.1+(199.5-985.2)+(-1.894701+(-0.101745--0.502452))+0--200.1-0.10205099999998</f>
        <v>3127.9039549999998</v>
      </c>
      <c r="H137" s="3">
        <f>3729.2+(164.5-1041)+(-3.803784+(-0.16779--1.06182))+0--199.7-0.203694000000032</f>
        <v>3049.286552</v>
      </c>
      <c r="I137" s="3">
        <f>3753.6+(132.9-1084.6)+(-3.828672+(-0.135558--1.106292))+0--199.4-0.203388000000032</f>
        <v>2998.2386740000002</v>
      </c>
      <c r="J137" s="3">
        <f>3765.6+(131.2-1090.5)+(-7.681824+(-0.267648--2.22462))+0--200.1-0.408203999999991</f>
        <v>3000.2669440000004</v>
      </c>
      <c r="K137" s="3">
        <f>3646.1+(142.5-1059.9)+(-7.438044+(-0.2907--2.162196))+0--187.3-0.382091999999992</f>
        <v>2910.0513600000004</v>
      </c>
      <c r="L137" s="3">
        <f>3378.9+(245.7-1027.2)+(-6.892956+(-0.501228--2.095488))+0--140.9-0.287435999999994</f>
        <v>2732.7138680000003</v>
      </c>
      <c r="M137" s="3">
        <f>3229.8+(260.6-960.4)+(8.23599+(0.66453-2.44902))+0--139.8--0.35648999999998</f>
        <v>2676.6079900000004</v>
      </c>
      <c r="N137" s="3">
        <f>3476.8+(178.3-1079.3)+(3.546336+(0.181866-1.100886))+0--195.8--0.199716000000031</f>
        <v>2774.4270320000005</v>
      </c>
      <c r="O137" s="3">
        <f>3602.9+(91.1-1062.3)+(3.674958+(0.092922-1.083546))+0--198.9--0.202878000000032</f>
        <v>2833.4872120000005</v>
      </c>
      <c r="P137" s="3">
        <f>3538.8+(152.6-950.2)+(5.414364+(0.233478-1.453806))+0--197.8--0.302634000000011</f>
        <v>2943.4966700000004</v>
      </c>
      <c r="Q137" s="3">
        <f>3489.8+(220.5-825.3)+(7.119192+(0.44982-1.683612))+0--196--0.399839999999991</f>
        <v>3087.2852400000002</v>
      </c>
      <c r="R137" s="3">
        <f>3502.6+(305.2-834.8)+(3.572652+(0.311304-0.851496))+0--195.8--0.199716000000031</f>
        <v>3172.0321760000002</v>
      </c>
      <c r="S137" s="3">
        <f>3484.4+(428.4-804.1)+(-1.777044+(-0.218484--0.410091))+0--195.4-0.0996539999999802</f>
        <v>3302.4149089999996</v>
      </c>
      <c r="T137" s="3">
        <f>3471.5+(467.4-816.3)+(-1.770465+(-0.238374--0.416313))+0--193.8-0.0988379999999803</f>
        <v>3314.7086360000003</v>
      </c>
      <c r="U137" s="3">
        <f>3475.1+(457.8-795.2)+(-7.089204+(-0.933912--1.622208))+0--194.7-0.397187999999991</f>
        <v>3325.6019039999996</v>
      </c>
      <c r="V137" s="3">
        <f>3388+(468.4-738.3)+(1.72788+(0.238884-0.376533))+0--194.5--0.0991949999999803</f>
        <v>3314.2894259999998</v>
      </c>
      <c r="W137" s="3">
        <f>3330+(285.4-620.2)+(-5.0949+(-0.436662--0.948906))+0--195-0.298350000000011</f>
        <v>3185.3189939999997</v>
      </c>
      <c r="X137" s="3">
        <f>3363.4+(148-793.3)+(-3.430668+(-0.15096--0.809166))+0--196.1-0.200022000000031</f>
        <v>2911.2275160000004</v>
      </c>
      <c r="Y137" s="3">
        <f>3464.9+(81-969.8)+(0+(0-0))+0--197.2-0</f>
        <v>2773.3</v>
      </c>
      <c r="Z137" s="3">
        <f>3616.1+(196.3-932.8)+(-3.688422+(-0.200226--0.951456))+0--198.6-0.202572000000032</f>
        <v>3075.0602359999998</v>
      </c>
      <c r="AA137" s="3">
        <f>3702.2+(219.9-982.5)+(-9.44061+(-0.560745--2.505375))+0--199.1-0.507704999999971</f>
        <v>3130.6963149999997</v>
      </c>
      <c r="AB137" s="3">
        <f>3737.1+(200.4-1036.5)+(-3.811842+(-0.204408--1.05723))+0--199.7-0.203694000000032</f>
        <v>3097.5372860000002</v>
      </c>
      <c r="AC137" s="3">
        <f>3720.4+(214.3-1030.1)+(-3.794808+(-0.218586--1.050702))+0--200-0.204000000000032</f>
        <v>3101.4333080000001</v>
      </c>
      <c r="AD137">
        <v>3197.8999999999996</v>
      </c>
      <c r="AE137" s="3">
        <f>3660+(223.2-889.5)+(0+(0-0))+0--204.2-0</f>
        <v>3197.8999999999996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3757.1+(214.8-1015.5)+(-1.916121+(-0.109548--0.517905))+0--197.7-0.10082699999998</f>
        <v>3152.4914089999997</v>
      </c>
      <c r="G138" s="3">
        <f>3774.1+(204.3-1053)+(-3.849582+(-0.208386--1.07406))+0--198.1-0.202062000000032</f>
        <v>3120.3140299999995</v>
      </c>
      <c r="H138" s="3">
        <f>3799.7+(175.5-1114.5)+(-11.627082+(-0.53703--3.41037))+0--198-0.605880000000023</f>
        <v>3049.3403779999999</v>
      </c>
      <c r="I138" s="3">
        <f>3817.2+(147.8-1162.7)+(3.893544+(0.150756-1.185954))+0--198.5--0.202470000000032</f>
        <v>3003.8608159999999</v>
      </c>
      <c r="J138" s="3">
        <f>3833.3+(134-1160)+(-1.954983+(-0.06834--0.5916))+0--198-0.10097999999998</f>
        <v>3003.7672969999999</v>
      </c>
      <c r="K138" s="3">
        <f>3847+(95.9-1229.9)+(-1.96197+(-0.048909--0.627249))+0--199-0.10148999999998</f>
        <v>2910.5148800000002</v>
      </c>
      <c r="L138" s="3">
        <f>3693.6+(80.3-1222)+(-7.534944+(-0.163812--2.49288))+0--161.7-0.329867999999993</f>
        <v>2708.0642559999997</v>
      </c>
      <c r="M138" s="3">
        <f>3324.6+(175.7-1043.9)+(-6.782184+(-0.358428--2.129556))+0--134.6-0.274583999999994</f>
        <v>2585.7143599999999</v>
      </c>
      <c r="N138" s="3">
        <f>3205.5+(193.6-947.2)+(0+(0-0))+0--132.8-0</f>
        <v>2584.7000000000003</v>
      </c>
      <c r="O138" s="3">
        <f>3179.6+(196.9-851.1)+(0+(0-0))+0--130.9-0</f>
        <v>2656.2999999999997</v>
      </c>
      <c r="P138" s="3">
        <f>3469.6+(124.3-965)+(-3.538992+(-0.126786--0.9843))+0--165.3-0.168606000000026</f>
        <v>2791.3499159999997</v>
      </c>
      <c r="Q138" s="3">
        <f>3463.3+(175.1-898.9)+(3.532566+(0.178602-0.916878))+0--189.7--0.19349400000003</f>
        <v>2932.1877839999997</v>
      </c>
      <c r="R138" s="3">
        <f>3434.2+(239.1-836.9)+(-3.502884+(-0.243882--0.853638))+0--188.6-0.19237200000003</f>
        <v>3021.9144999999994</v>
      </c>
      <c r="S138" s="3">
        <f>3392.9+(316.4-769.6)+(1.730379+(0.161364-0.392496))+0--188.8--0.0962879999999808</f>
        <v>3130.0955350000004</v>
      </c>
      <c r="T138" s="3">
        <f>3381.8+(393.3-735.9)+(-1.724718+(-0.200583--0.375309))+0--189.6-0.0966959999999808</f>
        <v>3227.1533119999999</v>
      </c>
      <c r="U138" s="3">
        <f>3348+(421.1-706.4)+(-1.70748+(-0.214761--0.360264))+0--190.9-0.0973589999999806</f>
        <v>3251.9406640000002</v>
      </c>
      <c r="V138" s="3">
        <f>3324.6+(377.4-671.7)+(0+(0-0))+0--190.8-0</f>
        <v>3221.1</v>
      </c>
      <c r="W138" s="3">
        <f>3335.2+(234.3-679.6)+(-6.803808+(-0.477972--1.386384))+0--191.9-0.391475999999992</f>
        <v>3075.5131280000001</v>
      </c>
      <c r="X138" s="3">
        <f>3356.5+(169.2-889)+(-3.42363+(-0.172584--0.90678))+0--192.6-0.196452000000031</f>
        <v>2826.4141139999997</v>
      </c>
      <c r="Y138" s="3">
        <f>3434.2+(94.2-970.1)+(-3.502884+(-0.096084--0.989502))+0--190.6-0.19441200000003</f>
        <v>2746.0961219999999</v>
      </c>
      <c r="Z138" s="3">
        <f>3502.5+(197.1-816.7)+(-3.57255+(-0.201042--0.833034))+0--192.2-0.196044000000031</f>
        <v>3071.9633979999999</v>
      </c>
      <c r="AA138" s="3">
        <f>3532.1+(215.9-801.4)+(-5.404113+(-0.330327--1.226142))+0--193.1-0.295443000000011</f>
        <v>3134.8962589999996</v>
      </c>
      <c r="AB138" s="3">
        <f>3547.5+(213-857.5)+(-3.61845+(-0.21726--0.87465))+0--193.1-0.196962000000031</f>
        <v>3092.9419779999998</v>
      </c>
      <c r="AC138" s="3">
        <f>3537.3+(223.6-843.4)+(1.804023+(0.114036-0.430134))+0--193.5--0.0986849999999804</f>
        <v>3112.5866099999998</v>
      </c>
      <c r="AD138">
        <v>3120.8</v>
      </c>
      <c r="AE138" s="3">
        <f>3549+(216.3-846.9)+(0+(0-0))+0--202.4-0</f>
        <v>3120.8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3558.7+(262.1-817.4)+(0+(0-0))+0--192.6-0</f>
        <v>3195.9999999999995</v>
      </c>
      <c r="G139" s="3">
        <f>3516+(248.6-828.4)+(-1.79316+(-0.126786--0.422484))+0--195.4-0.0996539999999802</f>
        <v>3130.002884</v>
      </c>
      <c r="H139" s="3">
        <f>3508.2+(231.9-864.8)+(-1.789182+(-0.118269--0.441048))+0--195.8-0.0998579999999801</f>
        <v>3069.533739</v>
      </c>
      <c r="I139" s="3">
        <f>3472.3+(233-856.9)+(-3.541746+(-0.23766--0.874038))+0--196.3-0.200226000000031</f>
        <v>3041.5944060000002</v>
      </c>
      <c r="J139" s="3">
        <f>3460+(228.5-853.3)+(-5.2938+(-0.349605--1.305549))+0--196.7-0.300951000000011</f>
        <v>3027.2611929999994</v>
      </c>
      <c r="K139" s="3">
        <f>3447.2+(228.9-921.3)+(-5.274216+(-0.350217--1.409589))+0--197-0.301410000000011</f>
        <v>2947.2837459999996</v>
      </c>
      <c r="L139" s="3">
        <f>3433.1+(181.1-1003.2)+(-1.750881+(-0.092361--0.511632))+0--209.2-0.106691999999979</f>
        <v>2818.7616979999998</v>
      </c>
      <c r="M139" s="3">
        <f>3380.1+(179.2-987.2)+(3.447702+(0.182784-1.006944))+0--209.5--0.213690000000033</f>
        <v>2784.4372319999998</v>
      </c>
      <c r="N139" s="3">
        <f>3505.6+(154.9-947.9)+(5.363568+(0.236997-1.450287))+0--206.2--0.315486000000012</f>
        <v>2923.2657639999998</v>
      </c>
      <c r="O139" s="3">
        <f>3508.4+(176.6-868.1)+(1.789284+(0.090066-0.442731))+0--204.1--0.104090999999979</f>
        <v>3022.5407100000002</v>
      </c>
      <c r="P139" s="3">
        <f>3463.4+(172.9-731.8)+(0+(0-0))+0--194.8-0</f>
        <v>3099.3</v>
      </c>
      <c r="Q139" s="3">
        <f>3439.6+(222.4-607.7)+(1.754196+(0.113424-0.309927))+0--191.8--0.0978179999999805</f>
        <v>3247.7555110000003</v>
      </c>
      <c r="R139" s="3">
        <f>3428.9+(387.1-666.4)+(1.748739+(0.197421-0.339864))+0--189--0.0963899999999808</f>
        <v>3340.3026860000004</v>
      </c>
      <c r="S139" s="3">
        <f>3437+(505.4-712.4)+(-1.75287+(-0.257754--0.363324))+0--189.2-0.0964919999999808</f>
        <v>3417.4562079999996</v>
      </c>
      <c r="T139" s="3">
        <f>3415+(565.3-726)+(1.74165+(0.288303-0.37026))+0--188--0.0958799999999809</f>
        <v>3444.0555730000001</v>
      </c>
      <c r="U139" s="3">
        <f>3414.3+(562.4-705.4)+(-5.223879+(-0.860472--1.079262))+0--189-0.289170000000011</f>
        <v>3455.0057409999999</v>
      </c>
      <c r="V139" s="3">
        <f>3392.3+(491.7-649.7)+(-1.730073+(-0.250767--0.331347))+0--190.5-0.0971549999999807</f>
        <v>3423.0533520000004</v>
      </c>
      <c r="W139" s="3">
        <f>3399+(303.1-608.3)+(-6.93396+(-0.618324--1.240932))+0--191.3-0.390251999999992</f>
        <v>3278.398396</v>
      </c>
      <c r="X139" s="3">
        <f>3413.1+(238.7-811.3)+(0+(0-0))+0--192.3-0</f>
        <v>3032.8</v>
      </c>
      <c r="Y139" s="3">
        <f>3456+(147.7-886.1)+(5.28768+(0.225981-1.355733))+0--192.7--0.294831000000011</f>
        <v>2914.752759</v>
      </c>
      <c r="Z139" s="3">
        <f>3526.8+(230.9-758.4)+(1.798668+(0.117759-0.386784))+0--193.4--0.0986339999999804</f>
        <v>3194.3282770000001</v>
      </c>
      <c r="AA139" s="3">
        <f>3562+(229.7-752.2)+(-5.44986+(-0.351441--1.150866))+0--194.8-0.298044000000011</f>
        <v>3229.351521</v>
      </c>
      <c r="AB139" s="3">
        <f>3567.5+(248.8-776)+(5.458275+(0.380664-1.18728))+0--196.8--0.301104000000011</f>
        <v>3242.0527630000006</v>
      </c>
      <c r="AC139" s="3">
        <f>3586.7+(262.8-806.6)+(-1.829217+(-0.134028--0.411366))+0--197.7-0.10082699999998</f>
        <v>3238.9472939999996</v>
      </c>
      <c r="AD139">
        <v>3333.8</v>
      </c>
      <c r="AE139" s="3">
        <f>3574+(263-704.6)+(0+(0-0))+0--201.4-0</f>
        <v>3333.8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3620.7+(276.1-809.7)+(1.846557+(0.140811-0.412947))+0--206.4--0.105263999999979</f>
        <v>3295.1796849999996</v>
      </c>
      <c r="G140" s="3">
        <f>3635+(243.2-864.6)+(0+(0-0))+0--206.5-0</f>
        <v>3220.1</v>
      </c>
      <c r="H140" s="3">
        <f>3526.1+(244.9-846)+(5.394933+(0.374697-1.29438))+0--206.7--0.316251000000012</f>
        <v>3136.491501</v>
      </c>
      <c r="I140" s="3">
        <f>3506.1+(231.5-842.1)+(0+(0-0))+0--207.2-0</f>
        <v>3102.7</v>
      </c>
      <c r="J140" s="3">
        <f>3508.3+(231.6-872.1)+(1.789233+(0.118116-0.444771))+0--207.9--0.106028999999979</f>
        <v>3077.2686070000004</v>
      </c>
      <c r="K140" s="3">
        <f>3517.1+(240.8-953.7)+(-1.793721+(-0.122808--0.486387))+0--208.7-0.106436999999979</f>
        <v>3011.3634209999996</v>
      </c>
      <c r="L140" s="3">
        <f>3109.5+(328.4-794.4)+(-11.100915+(-1.172388--2.836008))+0--209.9-0.749343000000003</f>
        <v>2843.213362</v>
      </c>
      <c r="M140" s="3">
        <f>3021.8+(328.6-773.9)+(1.541118+(0.167586-0.394689))+0--210.6--0.107405999999979</f>
        <v>2788.5214209999999</v>
      </c>
      <c r="N140" s="3">
        <f>3407.8+(201-884.8)+(3.475956+(0.20502-0.902496))+0--209.2--0.213384000000033</f>
        <v>2936.1918639999999</v>
      </c>
      <c r="O140" s="3">
        <f>3482.5+(193.2-838.4)+(1.776075+(0.098532-0.427584))+0--206.7--0.105416999999979</f>
        <v>3045.5524399999999</v>
      </c>
      <c r="P140" s="3">
        <f>3443.6+(214.8-713.6)+(3.512472+(0.219096-0.727872))+0--204.4--0.208488000000033</f>
        <v>3152.4121840000003</v>
      </c>
      <c r="Q140" s="3">
        <f>3408.3+(276.1-592.6)+(-1.738233+(-0.140811--0.302226))+0--202.8-0.103427999999979</f>
        <v>3292.9197540000005</v>
      </c>
      <c r="R140" s="3">
        <f>3385+(491.9-701.8)+(0+(0-0))+0--200.2-0</f>
        <v>3375.2999999999997</v>
      </c>
      <c r="S140" s="3">
        <f>3356.9+(595.5-728.4)+(-8.560095+(-1.518525--1.85742))+0--202.1-0.515354999999971</f>
        <v>3417.363445</v>
      </c>
      <c r="T140" s="3">
        <f>3360.7+(640.6-731.3)+(-3.427914+(-0.653412--0.745926))+0--202.3-0.206346000000032</f>
        <v>3468.7582540000003</v>
      </c>
      <c r="U140" s="3">
        <f>3362.1+(550.7-681.9)+(-1.714671+(-0.280857--0.347769))+0--202.3-0.103172999999979</f>
        <v>3431.4490680000004</v>
      </c>
      <c r="V140" s="3">
        <f>3334.1+(512-674.2)+(5.101173+(0.78336-1.031526))+0--201.2--0.307836000000012</f>
        <v>3378.2608429999996</v>
      </c>
      <c r="W140" s="3">
        <f>3338.8+(347.5-588.9)+(-1.702788+(-0.177225--0.300339))+0--202.7-0.103376999999979</f>
        <v>3298.4169489999999</v>
      </c>
      <c r="X140" s="3">
        <f>3385.9+(202.3-753.4)+(-6.907236+(-0.412692--1.536936))+33.3--203.3-0.414731999999991</f>
        <v>3065.2022760000004</v>
      </c>
      <c r="Y140" s="3">
        <f>3420.6+(129.4-822.4)+(-5.233518+(-0.197982--1.258272))+0--204.9-0.313497000000012</f>
        <v>2928.0132749999998</v>
      </c>
      <c r="Z140" s="3">
        <f>3534.8+(253.8-819.2)+(-1.802748+(-0.129438--0.417792))+0--205.2-0.104651999999979</f>
        <v>3172.9809540000001</v>
      </c>
      <c r="AA140" s="3">
        <f>3558.2+(297-755.5)+(-7.258728+(-0.60588--1.54122))+0--206-0.420239999999991</f>
        <v>3298.9563720000001</v>
      </c>
      <c r="AB140" s="3">
        <f>3566.3+(301.1-781.9)+(-3.637626+(-0.307122--0.797538))+0--206.1-0.210222000000033</f>
        <v>3288.2425679999997</v>
      </c>
      <c r="AC140" s="3">
        <f>3549.6+(312.5-781.9)+(0+(0-0))+0--205.8-0</f>
        <v>3286</v>
      </c>
      <c r="AD140">
        <v>3408.7</v>
      </c>
      <c r="AE140" s="3">
        <f>3574.3+(322.1-686.7)+(0+(0-0))+0--199-0</f>
        <v>3408.7000000000003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3550.5+(286.2-759.5)+(-10.86453+(-0.875772--2.32407))+0--206.3-0.631278000000024</f>
        <v>3273.4524900000001</v>
      </c>
      <c r="G141" s="3">
        <f>3553.6+(227.3-794.3)+(-9.06168+(-0.579615--2.025465))+0--206.3-0.52606499999997</f>
        <v>3184.7581049999999</v>
      </c>
      <c r="H141" s="3">
        <f>3552.8+(202.6-849.5)+(-1.811928+(-0.103326--0.433245))+0--206.3-0.105212999999979</f>
        <v>3110.6127780000006</v>
      </c>
      <c r="I141" s="3">
        <f>3560.5+(193-887.5)+(1.815855+(0.09843-0.452625))+0--206.2--0.105161999999979</f>
        <v>3073.7668219999996</v>
      </c>
      <c r="J141" s="3">
        <f>3575+(189.8-894.5)+(-3.6465+(-0.193596--0.91239))+0--206.5-0.210630000000033</f>
        <v>3073.6616640000002</v>
      </c>
      <c r="K141" s="3">
        <f>3582+(166.8-961.4)+(-5.48046+(-0.255204--1.470942))+0--207.3-0.317169000000012</f>
        <v>2990.1181090000005</v>
      </c>
      <c r="L141" s="3">
        <f>3325.1+(199.7-876.2)+(-10.174806+(-0.611082--2.681172))+0--167.5-0.512550000000019</f>
        <v>2807.4827340000002</v>
      </c>
      <c r="M141" s="3">
        <f>3152+(240.5-772.7)+(-3.21504+(-0.24531--0.788154))+0--143.5-0.146370000000023</f>
        <v>2760.4814340000003</v>
      </c>
      <c r="N141" s="3">
        <f>3321.8+(165-812.1)+(3.388236+(0.1683-0.828342))+0--190.1--0.19390200000003</f>
        <v>2867.722096</v>
      </c>
      <c r="O141" s="3">
        <f>3492.5+(146.1-869.5)+(-5.343525+(-0.223533--1.330335))+0--204.8-0.313344000000012</f>
        <v>2969.349933</v>
      </c>
      <c r="P141" s="3">
        <f>3477+(179.6-763.7)+(1.77327+(0.091596-0.389487))+0--205.9--0.105008999999979</f>
        <v>3100.380388</v>
      </c>
      <c r="Q141" s="3">
        <f>3442.3+(221.9-647.2)+(0+(0-0))+0--203.3-0</f>
        <v>3220.3</v>
      </c>
      <c r="R141" s="3">
        <f>3452.6+(535.2-748.7)+(-1.760826+(-0.272952--0.381837))+0--196.8-0.10036799999998</f>
        <v>3434.1476910000001</v>
      </c>
      <c r="S141" s="3">
        <f>3411.8+(642.4-761.9)+(-3.480036+(-0.655248--0.777138))+0--198.6-0.202572000000032</f>
        <v>3487.3392819999999</v>
      </c>
      <c r="T141" s="3">
        <f>3386.2+(726.5-780.2)+(1.726962+(0.370515-0.397902))+0--200.5--0.10225499999998</f>
        <v>3534.8018299999999</v>
      </c>
      <c r="U141" s="3">
        <f>3372.6+(774.1-804.5)+(-5.160078+(-1.184373--1.230885))+0--201.3-0.307989000000012</f>
        <v>3538.0784450000001</v>
      </c>
      <c r="V141" s="3">
        <f>3375.9+(730.8-791.4)+(-8.608545+(-1.86354--2.01807))+0--201-0.512549999999971</f>
        <v>3507.3334350000005</v>
      </c>
      <c r="W141" s="3">
        <f>3375+(503.2-687.4)+(-6.885+(-1.026528--1.402296))+0--202.1-0.412283999999991</f>
        <v>3385.9784840000002</v>
      </c>
      <c r="X141" s="3">
        <f>3388.9+(184.3-673.8)+(-10.370034+(-0.563958--2.061828))+0--204.4-0.625464000000024</f>
        <v>3094.3023720000001</v>
      </c>
      <c r="Y141" s="3">
        <f>3406.4+(146.2-789.2)+(-3.474528+(-0.149124--0.804984))+0--204.4-0.208488000000033</f>
        <v>2964.7728440000001</v>
      </c>
      <c r="Z141" s="3">
        <f>3514.8+(316.4-797.1)+(0+(0-0))+0--204.2-0</f>
        <v>3238.3</v>
      </c>
      <c r="AA141" s="3">
        <f>3530.6+(389.4-820.2)+(-12.604242+(-1.390158--2.928114))+0--204.1-0.728637000000003</f>
        <v>3292.1050769999993</v>
      </c>
      <c r="AB141" s="3">
        <f>3530+(369-827.7)+(-5.4009+(-0.56457--1.266381))+0--204.2-0.312426000000012</f>
        <v>3270.4884849999999</v>
      </c>
      <c r="AC141" s="3">
        <f>3490.1+(410.9-829.8)+(-3.559902+(-0.419118--0.846396))+0--205.5-0.209610000000033</f>
        <v>3273.3577660000001</v>
      </c>
      <c r="AD141">
        <v>3355.3999999999996</v>
      </c>
      <c r="AE141" s="3">
        <f>3531+(401.4-779.2)+(0+(0-0))+0--202.2-0</f>
        <v>3355.3999999999996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3499.7+(353.1-766.6)+(-3.569694+(-0.360162--0.781932))+0--205.7-0.209814000000033</f>
        <v>3288.5422619999999</v>
      </c>
      <c r="G142" s="3">
        <f>3506.5+(263.3-773.2)+(-1.788315+(-0.134283--0.394332))+0--205.7-0.104906999999979</f>
        <v>3200.666827</v>
      </c>
      <c r="H142" s="3">
        <f>3528+(216.9-819.2)+(0+(0-0))+0--206.4-0</f>
        <v>3132.1</v>
      </c>
      <c r="I142" s="3">
        <f>3522.1+(204.8-854.9)+(-5.388813+(-0.313344--1.307997))+0--206.4-0.315792000000012</f>
        <v>3073.6900480000004</v>
      </c>
      <c r="J142" s="3">
        <f>3581.3+(176.1-889.2)+(5.479389+(0.269433-1.360476))+0--206.4--0.315792000000012</f>
        <v>3079.3041380000004</v>
      </c>
      <c r="K142" s="3">
        <f>3609.5+(140.1-947.1)+(-7.36338+(-0.285804--1.932084))+0--208.5-0.425339999999991</f>
        <v>3004.8575600000004</v>
      </c>
      <c r="L142" s="3">
        <f>3352+(244.5-872.1)+(-5.12856+(-0.374085--1.334313))+0--188.4-0.288252000000011</f>
        <v>2908.3434160000002</v>
      </c>
      <c r="M142" s="3">
        <f>3202.6+(250.6-767.3)+(1.633326+(0.127806-0.391323))+0--143.9--0.0733889999999854</f>
        <v>2831.2431980000001</v>
      </c>
      <c r="N142" s="3">
        <f>3357.2+(169.1-781.8)+(1.712172+(0.086241-0.398718))+0--190.4--0.0971039999999807</f>
        <v>2936.3967990000001</v>
      </c>
      <c r="O142" s="3">
        <f>3470.6+(125-806.6)+(3.540012+(0.1275-0.822732))+0--201.6--0.205632000000032</f>
        <v>2993.650412</v>
      </c>
      <c r="P142" s="3">
        <f>3492.2+(193.7-745.1)+(0+(0-0))+0--200.1-0</f>
        <v>3140.8999999999996</v>
      </c>
      <c r="Q142" s="3">
        <f>3441+(361.6-707.9)+(3.50982+(0.368832-0.722058))+0--194.2--0.198084000000031</f>
        <v>3292.2546779999998</v>
      </c>
      <c r="R142" s="3">
        <f>3425.1+(579.4-778)+(1.746801+(0.295494-0.39678))+0--190--0.0968999999999807</f>
        <v>3418.2424150000002</v>
      </c>
      <c r="S142" s="3">
        <f>3406.5+(646-781.7)+(-5.211945+(-0.98838--1.196001))+0--190.9-0.292077000000011</f>
        <v>3456.4035990000002</v>
      </c>
      <c r="T142" s="3">
        <f>3391.6+(716.7-787.8)+(0+(0-0))+0--194.3-0</f>
        <v>3514.8</v>
      </c>
      <c r="U142" s="3">
        <f>3388.1+(724.6-802.7)+(-5.183793+(-1.108638--1.228131))+0--192.4-0.294372000000011</f>
        <v>3497.0413280000002</v>
      </c>
      <c r="V142" s="3">
        <f>3373.7+(649.3-758.7)+(-8.602935+(-1.655715--1.934685))+0--193.1-0.492404999999972</f>
        <v>3448.5836299999996</v>
      </c>
      <c r="W142" s="3">
        <f>3377.8+(331-676.4)+(-5.168034+(-0.50643--1.034892))+0--194.1-0.296973000000011</f>
        <v>3221.563455</v>
      </c>
      <c r="X142" s="3">
        <f>3359.7+(186.5-773.3)+(-3.426894+(-0.19023--0.788766))+0--195.4-0.199308000000031</f>
        <v>2965.2723339999993</v>
      </c>
      <c r="Y142" s="3">
        <f>3336.3+(148.7-788.6)+(3.403026+(0.151674-0.804372))+0--195.8--0.199716000000031</f>
        <v>2895.1500440000004</v>
      </c>
      <c r="Z142" s="3">
        <f>3554.4+(247.5-812.6)+(-7.250976+(-0.5049--1.657704))+0--196.6-0.401063999999991</f>
        <v>3179.400764</v>
      </c>
      <c r="AA142" s="3">
        <f>3660.7+(265.2-869.6)+(-9.334785+(-0.67626--2.21748))+0--196.4-0.500819999999972</f>
        <v>3244.4056150000001</v>
      </c>
      <c r="AB142" s="3">
        <f>3638.5+(270.6-906.1)+(-3.71127+(-0.276012--0.924222))+0--203-0.207060000000032</f>
        <v>3202.7298799999999</v>
      </c>
      <c r="AC142" s="3">
        <f>3555.8+(341.6-884.5)+(-3.626916+(-0.348432--0.90219))+0--204.6-0.208692000000033</f>
        <v>3214.2181499999997</v>
      </c>
      <c r="AD142">
        <v>3319.8</v>
      </c>
      <c r="AE142" s="3">
        <f>3665+(279.3-821.5)+(0+(0-0))+0--197-0</f>
        <v>3319.8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3586.6+(344.2-827.6)+(-9.14583+(-0.87771--2.11038))+0--205.6-0.52427999999997</f>
        <v>3300.3625599999996</v>
      </c>
      <c r="G143" s="3">
        <f>3609.2+(267.9-846.6)+(-9.20346+(-0.683145--2.15883))+0--205.8-0.52478999999997</f>
        <v>3228.0474350000004</v>
      </c>
      <c r="H143" s="3">
        <f>3623.1+(215-884.1)+(-9.238905+(-0.54825--2.254455))+0--205.7-0.52453499999997</f>
        <v>3151.6427649999996</v>
      </c>
      <c r="I143" s="3">
        <f>3638.6+(199.4-926.4)+(-3.711372+(-0.203388--0.944928))+0--205.9-0.210018000000033</f>
        <v>3114.3201499999996</v>
      </c>
      <c r="J143" s="3">
        <f>3644.6+(189.7-914.7)+(-5.576238+(-0.290241--1.399491))+0--206-0.315180000000012</f>
        <v>3120.8178319999997</v>
      </c>
      <c r="K143" s="3">
        <f>3651.9+(149.4-893.4)+(-1.862469+(-0.076194--0.455634))+0--206-0.105059999999979</f>
        <v>3112.3119110000002</v>
      </c>
      <c r="L143" s="3">
        <f>3313.7+(203.6-792.2)+(-10.139922+(-0.623016--2.424132))+0--206.6-0.632196000000024</f>
        <v>2922.7289979999996</v>
      </c>
      <c r="M143" s="3">
        <f>2998.9+(262.3-615.8)+(0+(0-0))+0--206.2-0</f>
        <v>2851.6</v>
      </c>
      <c r="N143" s="3">
        <f>3031.1+(244.9-548.8)+(0+(0-0))+0--205-0</f>
        <v>2932.2</v>
      </c>
      <c r="O143" s="3">
        <f>3256+(216.4-619.5)+(0+(0-0))+0--204-0</f>
        <v>3056.9</v>
      </c>
      <c r="P143" s="3">
        <f>3416.9+(250.5-705.9)+(-1.742619+(-0.127755--0.360009))+0--202.3-0.103172999999979</f>
        <v>3162.1864620000001</v>
      </c>
      <c r="Q143" s="3">
        <f>3502+(321.6-721.4)+(7.14408+(0.656064-1.471656))+0--199.4--0.406775999999991</f>
        <v>3308.3352639999998</v>
      </c>
      <c r="R143" s="3">
        <f>3479.1+(571.7-735.8)+(-7.097364+(-1.166268--1.501032))+0--199.3-0.406571999999991</f>
        <v>3507.1308280000003</v>
      </c>
      <c r="S143" s="3">
        <f>3307.1+(710.8-692.2)+(-8.433105+(-1.81254--1.76511))+0--199.5-0.508724999999971</f>
        <v>3516.2107399999995</v>
      </c>
      <c r="T143" s="3">
        <f>2998.2+(1008.3-603.6)+(-1.529082+(-0.514233--0.307836))+0--199.2-0.10159199999998</f>
        <v>3600.2629289999995</v>
      </c>
      <c r="U143" s="3">
        <f>3068.4+(978-616.3)+(-3.129768+(-0.99756--0.628626))+0--199.6-0.203592000000032</f>
        <v>3625.9977060000006</v>
      </c>
      <c r="V143" s="3">
        <f>3175.7+(792.3-604.4)+(-1.619607+(-0.404073--0.308244))+0--199.7-0.10184699999998</f>
        <v>3561.4827169999999</v>
      </c>
      <c r="W143" s="3">
        <f>3139.9+(538.2-513.6)+(-3.202698+(-0.548964--0.523872))+0--200.6-0.204612000000032</f>
        <v>3361.667598</v>
      </c>
      <c r="X143" s="3">
        <f>3211.5+(239.2-584.9)+(-4.913595+(-0.365976--0.894897))+0--201.9-0.308907000000012</f>
        <v>3063.0064190000003</v>
      </c>
      <c r="Y143" s="3">
        <f>3065.1+(259.9-480.6)+(-3.126402+(-0.265098--0.490212))+0--146.7-0.149634000000023</f>
        <v>2988.0490779999996</v>
      </c>
      <c r="Z143" s="3">
        <f>3328.3+(384-603.6)+(-6.789732+(-0.78336--1.231344))+0--195.8-0.399431999999991</f>
        <v>3297.7588200000005</v>
      </c>
      <c r="AA143" s="3">
        <f>3422.7+(393.8-656.5)+(-8.727885+(-1.00419--1.674075))+0--203.4-0.518669999999971</f>
        <v>3354.8233300000002</v>
      </c>
      <c r="AB143" s="3">
        <f>3433.8+(375.3-676)+(-5.253714+(-0.574209--1.03428))+0--203.8-0.311814000000012</f>
        <v>3331.7945430000004</v>
      </c>
      <c r="AC143" s="3">
        <f>3406.6+(430.2-705.4)+(-3.474732+(-0.438804--0.719508))+0--204.4-0.208488000000033</f>
        <v>3332.3974840000001</v>
      </c>
      <c r="AD143">
        <v>3317.3</v>
      </c>
      <c r="AE143" s="3">
        <f>3397+(416.5-693.2)+(0+(0-0))+0--197-0</f>
        <v>3317.3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3221.8+(521.4-599.7)+(-8.21559+(-1.32957--1.529235))+0--204.9-0.52249499999997</f>
        <v>3339.8615799999998</v>
      </c>
      <c r="G144" s="3">
        <f>3102.7+(492.6-546.5)+(-3.164754+(-0.502452--0.55743))+0--205.3-0.209406000000033</f>
        <v>3250.7808180000002</v>
      </c>
      <c r="H144" s="3">
        <f>3078.5+(432.8-543.8)+(-1.570035+(-0.220728--0.277338))+0--205.3-0.104702999999979</f>
        <v>3171.1818720000001</v>
      </c>
      <c r="I144" s="3">
        <f>3089.5+(371.7-544.5)+(0+(0-0))+0--206.2-0</f>
        <v>3122.8999999999996</v>
      </c>
      <c r="J144" s="3">
        <f>3094.8+(360.5-535.6)+(4.735044+(0.551565-0.819468))+0--207.9--0.318087000000012</f>
        <v>3132.3852280000006</v>
      </c>
      <c r="K144" s="3">
        <f>3149.4+(273.2-566.3)+(-11.243358+(-0.975324--2.021691))+0--208.7-0.745059000000003</f>
        <v>3054.0579500000003</v>
      </c>
      <c r="L144" s="3">
        <f>3121.3+(275.5-675.1)+(-9.551178+(-0.84303--2.065806))+0--186.1-0.569466000000021</f>
        <v>2898.9021320000002</v>
      </c>
      <c r="M144" s="3">
        <f>3052.7+(264.3-566.5)+(-1.556877+(-0.134793--0.288915))+0--77.8-0.0396779999999921</f>
        <v>2826.857567</v>
      </c>
      <c r="N144" s="3">
        <f>3318.8+(167-702.1)+(5.077764+(0.25551-1.074213))+0--146--0.223380000000008</f>
        <v>2934.1824410000004</v>
      </c>
      <c r="O144" s="3">
        <f>3361.4+(177.7-680.8)+(-3.428628+(-0.181254--0.694416))+0--201.5-0.205530000000032</f>
        <v>3056.6790040000001</v>
      </c>
      <c r="P144" s="3">
        <f>3276.5+(267.1-591.1)+(1.671015+(0.136221-0.301461))+0--195.5--0.0997049999999802</f>
        <v>3149.6054800000002</v>
      </c>
      <c r="Q144" s="3">
        <f>3202.5+(469.2-612.8)+(-3.26655+(-0.478584--0.625056))+0--192.8-0.196656000000031</f>
        <v>3248.3832660000003</v>
      </c>
      <c r="R144" s="3">
        <f>3166.2+(675-720.3)+(-1.614762+(-0.34425--0.367353))+0--191.6-0.0977159999999806</f>
        <v>3310.8106249999996</v>
      </c>
      <c r="S144" s="3">
        <f>3136.8+(770.8-746.1)+(-3.199536+(-0.786216--0.761022))+0--191.1-0.19492200000003</f>
        <v>3349.1803479999999</v>
      </c>
      <c r="T144" s="3">
        <f>3129.6+(818.6-736.9)+(1.596096+(0.417486-0.375819))+0--191.2--0.0975119999999806</f>
        <v>3404.235275</v>
      </c>
      <c r="U144" s="3">
        <f>3139+(766.3-706.9)+(-3.20178+(-0.781626--0.721038))+0--191.4-0.195228000000031</f>
        <v>3386.342404</v>
      </c>
      <c r="V144" s="3">
        <f>3105.5+(679.1-664.2)+(0+(0-0))+0--193.5-0</f>
        <v>3313.9</v>
      </c>
      <c r="W144" s="3">
        <f>3117.7+(420.5-584.8)+(-1.590027+(-0.214455--0.298248))+0--193.9-0.0988889999999803</f>
        <v>3145.6948769999999</v>
      </c>
      <c r="X144" s="3">
        <f>3160.7+(184.7-682.8)+(-11.283699+(-0.659379--2.437596))+0--195.2-0.696864000000003</f>
        <v>2847.5976539999997</v>
      </c>
      <c r="Y144" s="3">
        <f>3216.2+(155-773.1)+(-3.280524+(-0.1581--0.788562))+0--195.1-0.199002000000031</f>
        <v>2790.3509359999998</v>
      </c>
      <c r="Z144" s="3">
        <f>3476.2+(218.3-826.2)+(-10.637172+(-0.667998--2.528172))+0--193.3-0.591498000000022</f>
        <v>3052.2315039999999</v>
      </c>
      <c r="AA144" s="3">
        <f>3484.8+(232.6-807.1)+(-1.777248+(-0.118626--0.411621))+0--195.2-0.0995519999999802</f>
        <v>3103.9161949999998</v>
      </c>
      <c r="AB144" s="3">
        <f>3345.4+(281.4-750.9)+(0+(0-0))+0--196.9-0</f>
        <v>3072.8</v>
      </c>
      <c r="AC144" s="3">
        <f>3263.8+(347.5-721)+(0+(0-0))+0--198-0</f>
        <v>3088.3</v>
      </c>
      <c r="AD144">
        <v>3125.2999999999997</v>
      </c>
      <c r="AE144" s="3">
        <f>3508+(218.2-797)+(0+(0-0))+0--196.1-0</f>
        <v>3125.2999999999997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3236.9+(379.5-637.3)+(1.650819+(0.193545-0.325023))+0--199--0.10148999999998</f>
        <v>3179.7208310000005</v>
      </c>
      <c r="G145" s="3">
        <f>3266+(408.2-690.8)+(-1.66566+(-0.208182--0.352308))+0--199.3-0.10164299999998</f>
        <v>3181.0768230000003</v>
      </c>
      <c r="H145" s="3">
        <f>3333+(353.8-744.5)+(1.69983+(0.180438-0.379695))+0--199.7--0.10184699999998</f>
        <v>3143.6024199999997</v>
      </c>
      <c r="I145" s="3">
        <f>3345.7+(306.1-755.5)+(-1.706307+(-0.156111--0.385305))+0--199.2-0.10159199999998</f>
        <v>3093.9212949999996</v>
      </c>
      <c r="J145" s="3">
        <f>3363.7+(289.4-771.7)+(3.430974+(0.295188-0.787134))+0--200.1--0.204102000000032</f>
        <v>3084.6431299999995</v>
      </c>
      <c r="K145" s="3">
        <f>3363.5+(226.7-814.6)+(-8.576925+(-0.578085--2.07723))+0--201.1-0.512804999999971</f>
        <v>2969.1094149999999</v>
      </c>
      <c r="L145" s="3">
        <f>3107.6+(217.7-788.5)+(-3.169752+(-0.222054--0.80427))+0--200.8-0.204816000000032</f>
        <v>2734.8076480000004</v>
      </c>
      <c r="M145" s="3">
        <f>2813.6+(262.8-684.6)+(1.434936+(0.134028-0.349146))+0--201.2--0.10261199999998</f>
        <v>2594.3224299999997</v>
      </c>
      <c r="N145" s="3">
        <f>2981.6+(193.6-754)+(-1.520616+(-0.098736--0.38454))+0--200.2-0.10210199999998</f>
        <v>2620.0630859999997</v>
      </c>
      <c r="O145" s="3">
        <f>3056.4+(196.2-771.2)+(1.558764+(0.100062-0.393312))+0--198.7--0.10133699999998</f>
        <v>2681.4668510000001</v>
      </c>
      <c r="P145" s="3">
        <f>3328+(129-851.4)+(6.78912+(0.26316-1.736856))+0--196.5--0.400859999999991</f>
        <v>2807.816284</v>
      </c>
      <c r="Q145" s="3">
        <f>3278.6+(194.8-747.1)+(5.016258+(0.298044-1.143063))+0--195.2--0.298656000000011</f>
        <v>2925.9698949999997</v>
      </c>
      <c r="R145" s="3">
        <f>3287.9+(300.8-767.7)+(-3.353658+(-0.306816--0.783054))+0--194.9-0.198798000000031</f>
        <v>3012.8237820000004</v>
      </c>
      <c r="S145" s="3">
        <f>3336.8+(389.7-793.1)+(-1.701768+(-0.198747--0.404481))+0--195-0.0994499999999802</f>
        <v>3126.8045160000001</v>
      </c>
      <c r="T145" s="3">
        <f>3340.2+(468.1-789.5)+(3.407004+(0.477462-0.80529))+0--193.6--0.197472000000031</f>
        <v>3215.6766479999997</v>
      </c>
      <c r="U145" s="3">
        <f>3438.9+(438.4-778.1)+(-3.507678+(-0.447168--0.793662))+0--192.7-0.196554000000031</f>
        <v>3288.5422619999995</v>
      </c>
      <c r="V145" s="3">
        <f>3468.4+(362.6-729.1)+(-3.537768+(-0.369852--0.743682))+0--192.8-0.196656000000031</f>
        <v>3291.3394060000001</v>
      </c>
      <c r="W145" s="3">
        <f>3477.1+(200.5-789.1)+(-3.546642+(-0.20451--0.804882))+0--195.2-0.199104000000031</f>
        <v>3080.5546260000001</v>
      </c>
      <c r="X145" s="3">
        <f>3496.9+(85.8-984.2)+(-8.917095+(-0.21879--2.50971))+0--196-0.499799999999972</f>
        <v>2787.3740250000001</v>
      </c>
      <c r="Y145" s="3">
        <f>3439.2+(84.8-1028.3)+(0+(0-0))+0--195.9-0</f>
        <v>2691.6</v>
      </c>
      <c r="Z145" s="3">
        <f>3600+(172-985.9)+(1.836+(0.08772-0.502809))+0--196.2--0.10006199999998</f>
        <v>2983.8209729999999</v>
      </c>
      <c r="AA145" s="3">
        <f>3639.9+(192.9-984.7)+(-7.425396+(-0.393516--2.008788))+0--196.9-0.401675999999991</f>
        <v>3038.7882</v>
      </c>
      <c r="AB145" s="3">
        <f>3661.5+(194.7-1003.6)+(-5.602095+(-0.297891--1.535508))+0--196.8-0.301104000000011</f>
        <v>3044.734418</v>
      </c>
      <c r="AC145" s="3">
        <f>3659.8+(206.3-998.3)+(3.732996+(0.210426-1.018266))+0--197.2--0.201144000000031</f>
        <v>3068.1262999999999</v>
      </c>
      <c r="AD145">
        <v>3081.3</v>
      </c>
      <c r="AE145" s="3">
        <f>3628+(197.9-942.6)+(0+(0-0))+0--198-0</f>
        <v>3081.3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3592.3+(236.6-896.6)+(1.832073+(0.120666-0.457266))+0--197.6--0.10077599999998</f>
        <v>3131.4962489999998</v>
      </c>
      <c r="G146" s="3">
        <f>3578.3+(221.6-919.4)+(-3.649866+(-0.226032--0.937788))+0--198.3-0.202266000000032</f>
        <v>3075.6596239999999</v>
      </c>
      <c r="H146" s="3">
        <f>3565.5+(202.1-955.4)+(-3.63681+(-0.206142--0.974508))+0--198.8-0.202776000000032</f>
        <v>3007.9287799999997</v>
      </c>
      <c r="I146" s="3">
        <f>3585.4+(177.2-1004.1)+(1.828554+(0.090372-0.512091))+0--199--0.10148999999998</f>
        <v>2959.0083249999998</v>
      </c>
      <c r="J146" s="3">
        <f>3596.2+(175-1009.4)+(-1.834062+(-0.08925--0.514794))+0--200.5-0.10225499999998</f>
        <v>2960.7892269999998</v>
      </c>
      <c r="K146" s="3">
        <f>3559.2+(146.4-984.4)+(-9.07596+(-0.37332--2.51022))+0--176.1-0.449054999999974</f>
        <v>2889.9118849999995</v>
      </c>
      <c r="L146" s="3">
        <f>3342.9+(161.5-837.2)+(-3.409758+(-0.16473--0.853944))+0--84.7-0.0863940000000135</f>
        <v>2749.0930619999999</v>
      </c>
      <c r="M146" s="3">
        <f>3307.1+(133.9-816.8)+(3.373242+(0.136578-0.833136))+0--71.1--0.0725220000000113</f>
        <v>2698.0492059999997</v>
      </c>
      <c r="N146" s="3">
        <f>3528.9+(131.8-927.7)+(8.998695+(0.33609-2.365635))+0--93.8--0.239189999999986</f>
        <v>2834.0083399999999</v>
      </c>
      <c r="O146" s="3">
        <f>3618+(133.9-948.6)+(1.84518+(0.068289-0.483786))+0--132.1--0.0673709999999866</f>
        <v>2936.897054</v>
      </c>
      <c r="P146" s="3">
        <f>3560+(173.2-866.8)+(1.8156+(0.088332-0.442068))+0--167.8--0.085577999999983</f>
        <v>3035.7474420000003</v>
      </c>
      <c r="Q146" s="3">
        <f>3464.6+(362.3-851.9)+(0+(0-0))+0--191.2-0</f>
        <v>3166.2</v>
      </c>
      <c r="R146" s="3">
        <f>3467.2+(633.2-920.1)+(5.304816+(0.968796-1.407753))+0--191.4--0.292842000000011</f>
        <v>3376.8587009999997</v>
      </c>
      <c r="S146" s="3">
        <f>3468+(745.7-961.4)+(-1.76868+(-0.380307--0.490314))+0--191.3-0.0975629999999806</f>
        <v>3441.8437640000006</v>
      </c>
      <c r="T146" s="3">
        <f>3408.6+(808.2-893.8)+(0+(0-0))+0--190.5-0</f>
        <v>3513.5</v>
      </c>
      <c r="U146" s="3">
        <f>3376.5+(776.4-823)+(-6.88806+(-1.583856--1.67892))+0--190.7-0.389027999999992</f>
        <v>3513.4179759999997</v>
      </c>
      <c r="V146" s="3">
        <f>3312.6+(732.6-763.1)+(-3.378852+(-0.747252--0.778362))+0--190-0.19380000000003</f>
        <v>3468.558458</v>
      </c>
      <c r="W146" s="3">
        <f>3354+(389.2-619.9)+(-8.5527+(-0.99246--1.580745))+0--191.4-0.488069999999972</f>
        <v>3306.2475150000005</v>
      </c>
      <c r="X146" s="3">
        <f>3343.3+(195.2-719.7)+(-13.640664+(-0.796416--2.936376))+0--193.9-0.791111999999983</f>
        <v>3000.4081840000003</v>
      </c>
      <c r="Y146" s="3">
        <f>3371.1+(154.1-812.3)+(-1.719261+(-0.078591--0.414273))+0--194.1-0.0989909999999803</f>
        <v>2905.5174300000003</v>
      </c>
      <c r="Z146" s="3">
        <f>3431.7+(331.3-759.1)+(3.500334+(0.337926-0.774282))+0--194.7--0.198594000000031</f>
        <v>3201.8625719999995</v>
      </c>
      <c r="AA146" s="3">
        <f>3504+(340.6-789.1)+(-3.57408+(-0.347412--0.804882))+0--196-0.199920000000031</f>
        <v>3248.1834699999999</v>
      </c>
      <c r="AB146" s="3">
        <f>3523.1+(317.4-818.8)+(-3.593562+(-0.323748--0.835176))+0--197.1-0.201042000000031</f>
        <v>3215.5168239999994</v>
      </c>
      <c r="AC146" s="3">
        <f>3498.4+(342.9-826.3)+(-3.568368+(-0.349758--0.842826))+0--197.9-0.201858000000032</f>
        <v>3209.6228420000002</v>
      </c>
      <c r="AD146">
        <v>3204.9999999999995</v>
      </c>
      <c r="AE146" s="3">
        <f>3435+(355.2-779.8)+(0+(0-0))+0--194.6-0</f>
        <v>3205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3506.2+(335.9-834.9)+(-1.788162+(-0.171309--0.425799))+0--199.1-0.10154099999998</f>
        <v>3204.6647869999997</v>
      </c>
      <c r="G147" s="3">
        <f>3524+(293.4-872)+(-5.39172+(-0.448902--1.33416))+0--200.5-0.306765000000012</f>
        <v>3141.0867730000004</v>
      </c>
      <c r="H147" s="3">
        <f>3540.9+(240.7-921)+(1.805859+(0.122757-0.46971))+0--201--0.10250999999998</f>
        <v>3063.1614160000004</v>
      </c>
      <c r="I147" s="3">
        <f>3449.5+(246.2-883.6)+(-3.51849+(-0.251124--0.901272))+0--202.3-0.206346000000032</f>
        <v>3011.3253119999999</v>
      </c>
      <c r="J147" s="3">
        <f>3410.4+(250.4-875.7)+(-6.957216+(-0.510816--1.786428))+0--203.1-0.414323999999991</f>
        <v>2982.1040720000001</v>
      </c>
      <c r="K147" s="3">
        <f>3349.5+(224-848.3)+(-6.83298+(-0.45696--1.730532))+0--203.4-0.414935999999991</f>
        <v>2922.6256559999997</v>
      </c>
      <c r="L147" s="3">
        <f>3137.7+(200.1-726.3)+(-4.800681+(-0.306153--1.111239))+0--200-0.306000000000012</f>
        <v>2807.1984050000001</v>
      </c>
      <c r="M147" s="3">
        <f>3142.8+(179.6-670.9)+(1.602828+(0.091596-0.342159))+0--75.1--0.0383009999999924</f>
        <v>2727.9905659999999</v>
      </c>
      <c r="N147" s="3">
        <f>3467.8+(147-848.3)+(0+(0-0))+0--80.7-0</f>
        <v>2847.2</v>
      </c>
      <c r="O147" s="3">
        <f>3526.9+(177.6-866.5)+(3.597438+(0.181152-0.88383))+0--133.2--0.135864000000021</f>
        <v>2974.2306239999998</v>
      </c>
      <c r="P147" s="3">
        <f>3489.1+(185.7-767.7)+(5.338323+(0.284121-1.174581))+0--184.4--0.282132000000011</f>
        <v>3096.2299949999997</v>
      </c>
      <c r="Q147" s="3">
        <f>3445.7+(292.6-697.9)+(3.514614+(0.298452-0.711858))+0--192--0.195840000000031</f>
        <v>3235.6970479999995</v>
      </c>
      <c r="R147" s="3">
        <f>3442.4+(498.1-774.3)+(7.022496+(1.016124-1.579572))+0--192.7--0.393107999999992</f>
        <v>3365.7521560000005</v>
      </c>
      <c r="S147" s="3">
        <f>3438.4+(556.7-763.7)+(0+(0-0))+0--194.6-0</f>
        <v>3426</v>
      </c>
      <c r="T147" s="3">
        <f>3426.8+(653.5-779.7)+(-3.495336+(-0.66657--0.795294))+0--194.3-0.198186000000031</f>
        <v>3491.3352020000007</v>
      </c>
      <c r="U147" s="3">
        <f>3410+(628.6-725.4)+(1.7391+(0.320586-0.369954))+0--193.2--0.0985319999999804</f>
        <v>3508.1882639999994</v>
      </c>
      <c r="V147" s="3">
        <f>3340.6+(497.5-666.1)+(-1.703706+(-0.253725--0.339711))+0--193.2-0.0985319999999804</f>
        <v>3363.4837479999997</v>
      </c>
      <c r="W147" s="3">
        <f>3308.1+(344.4-562.4)+(-3.374262+(-0.351288--0.573648))+0--195.9-0.199818000000031</f>
        <v>3282.6482799999999</v>
      </c>
      <c r="X147" s="3">
        <f>3348.1+(240.2-762.8)+(-10.245186+(-0.735012--2.334168))+0--197.3-0.603738000000023</f>
        <v>3013.5502320000001</v>
      </c>
      <c r="Y147" s="3">
        <f>3421.8+(164.1-836.8)+(0+(0-0))+0--198-0</f>
        <v>2947.1000000000004</v>
      </c>
      <c r="Z147" s="3">
        <f>3484.4+(272.9-726.4)+(-3.554088+(-0.278358--0.740928))+0--198.2-0.202164000000032</f>
        <v>3225.8063179999999</v>
      </c>
      <c r="AA147" s="3">
        <f>3513.6+(292.2-754.8)+(-8.95968+(-0.74511--1.92474))+0--198.7-0.506684999999971</f>
        <v>3241.4132650000001</v>
      </c>
      <c r="AB147" s="3">
        <f>3529.2+(278.3-788.6)+(1.799892+(0.141933-0.402186))+0--199.1--0.10154099999998</f>
        <v>3219.6411799999996</v>
      </c>
      <c r="AC147" s="3">
        <f>3516.3+(287-791.7)+(-7.173252+(-0.58548--1.615068))+0--199.3-0.406571999999991</f>
        <v>3204.3497640000005</v>
      </c>
      <c r="AD147">
        <v>3226.1000000000004</v>
      </c>
      <c r="AE147" s="3">
        <f>3485+(305.8-762.5)+(0+(0-0))+0--197.8-0</f>
        <v>3226.1000000000004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3530.1+(277.6-791.5)+(-5.401053+(-0.424728--1.210995))+0--199.2-0.304776000000011</f>
        <v>3210.4804379999996</v>
      </c>
      <c r="G148" s="3">
        <f>3547.1+(248.3-827.3)+(-7.236084+(-0.506532--1.687692))+0--199.7-0.407387999999991</f>
        <v>3161.3376879999996</v>
      </c>
      <c r="H148" s="3">
        <f>3566.7+(210.8-887.4)+(-5.457051+(-0.322524--1.357722))+0--199.7-0.305541000000012</f>
        <v>3085.0726059999997</v>
      </c>
      <c r="I148" s="3">
        <f>3579.6+(184.3-936.9)+(-1.825596+(-0.093993--0.477819))+0--200.1-0.10205099999998</f>
        <v>3025.5561790000002</v>
      </c>
      <c r="J148" s="3">
        <f>3588.4+(178.1-944.9)+(-7.320336+(-0.363324--1.927596))+0--200.6-0.409223999999991</f>
        <v>3016.0347120000001</v>
      </c>
      <c r="K148" s="3">
        <f>3457.7+(164-860.5)+(-7.053708+(-0.33456--1.75542))+0--201.1-0.410243999999991</f>
        <v>2956.2569079999994</v>
      </c>
      <c r="L148" s="3">
        <f>3157.6+(206.2-765.3)+(-9.662256+(-0.630972--2.341818))+0--156.8-0.479808000000018</f>
        <v>2746.868782</v>
      </c>
      <c r="M148" s="3">
        <f>3134.6+(193.9-795.4)+(-3.197292+(-0.197778--0.811308))+0--136.5-0.139230000000022</f>
        <v>2666.8770079999995</v>
      </c>
      <c r="N148" s="3">
        <f>3356.6+(98.8-864.2)+(6.847464+(0.201552-1.762968))+0--188.3--0.384131999999992</f>
        <v>2785.1701800000001</v>
      </c>
      <c r="O148" s="3">
        <f>3500+(118-898.9)+(0+(0-0))+0--193-0</f>
        <v>2912.1</v>
      </c>
      <c r="P148" s="3">
        <f>3474.2+(132.4-824.4)+(-3.543684+(-0.135048--0.840888))+0--197.7-0.201654000000032</f>
        <v>2976.8605019999995</v>
      </c>
      <c r="Q148" s="3">
        <f>3432.3+(202.6-709.4)+(0+(0-0))+0--193.8-0</f>
        <v>3119.3</v>
      </c>
      <c r="R148" s="3">
        <f>3428.2+(439.4-666.2)+(1.748382+(0.224094-0.339762))+0--190.5--0.0971549999999807</f>
        <v>3393.6298689999994</v>
      </c>
      <c r="S148" s="3">
        <f>3400.5+(495.6-679.5)+(-3.46851+(-0.505512--0.69309))+0--192-0.195840000000031</f>
        <v>3405.1232279999999</v>
      </c>
      <c r="T148" s="3">
        <f>3382.7+(566.1-667)+(-5.175531+(-0.866133--1.02051))+0--191.4-0.292842000000011</f>
        <v>3467.886004</v>
      </c>
      <c r="U148" s="3">
        <f>3398.8+(541.1-652.6)+(-6.933552+(-1.103844--1.331304))+0--190.8-0.389231999999992</f>
        <v>3471.0046760000005</v>
      </c>
      <c r="V148" s="3">
        <f>3369.9+(441.7-585.6)+(-6.874596+(-0.901068--1.194624))+0--190.6-0.388823999999992</f>
        <v>3409.6301359999998</v>
      </c>
      <c r="W148" s="3">
        <f>3365.8+(237.2-567.9)+(-1.716558+(-0.120972--0.289629))+0--191.8-0.0978179999999805</f>
        <v>3225.2542810000004</v>
      </c>
      <c r="X148" s="3">
        <f>3384+(174.9-788.7)+(-3.45168+(-0.178398--0.804474))+0--193.2-0.197064000000031</f>
        <v>2960.3773319999996</v>
      </c>
      <c r="Y148" s="3">
        <f>3440.2+(80.1-838.6)+(3.509004+(0.081702-0.855372))+0--192.4--0.196248000000031</f>
        <v>2877.0315820000001</v>
      </c>
      <c r="Z148" s="3">
        <f>3563.8+(188-772.8)+(0+(0-0))+0--193.8-0</f>
        <v>3172.8</v>
      </c>
      <c r="AA148" s="3">
        <f>3597.5+(200.5-786.6)+(-3.66945+(-0.20451--0.802332))+0--194.4-0.198288000000031</f>
        <v>3202.530084</v>
      </c>
      <c r="AB148" s="3">
        <f>3683.5+(190.3-889)+(-7.51434+(-0.388212--1.81356))+0--194.9-0.397595999999992</f>
        <v>3173.2134120000005</v>
      </c>
      <c r="AC148" s="3">
        <f>3718.8+(189.4-931.7)+(-3.793176+(-0.193188--0.950334))+0--195.4-0.199308000000031</f>
        <v>3168.6646619999997</v>
      </c>
      <c r="AD148">
        <v>3190.8</v>
      </c>
      <c r="AE148" s="3">
        <f>3601+(202.2-807.2)+(0+(0-0))+0--194.8-0</f>
        <v>3190.8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3671.9+(209.2-892.5)+(-3.745338+(-0.213384--0.91035))+0--195.9-0.199818000000031</f>
        <v>3181.2518100000002</v>
      </c>
      <c r="G149" s="3">
        <f>3743.3+(166.8-976.2)+(-5.727249+(-0.255204--1.493586))+0--196.3-0.300339000000011</f>
        <v>3125.4107940000004</v>
      </c>
      <c r="H149" s="3">
        <f>3751.5+(139.8-1033.9)+(-7.65306+(-0.285192--2.109156))+0--196.4-0.400655999999991</f>
        <v>3047.570248</v>
      </c>
      <c r="I149" s="3">
        <f>3760.5+(113-1068.4)+(-3.83571+(-0.11526--1.089768))+0--196.5-0.200430000000031</f>
        <v>2998.538368</v>
      </c>
      <c r="J149" s="3">
        <f>3671+(103-994.8)+(0+(0-0))+0--195.9-0</f>
        <v>2975.1</v>
      </c>
      <c r="K149" s="3">
        <f>3547.1+(107.7-946.5)+(-9.045105+(-0.274635--2.413575))+0--199-0.507449999999971</f>
        <v>2899.8863850000002</v>
      </c>
      <c r="L149" s="3">
        <f>3275.3+(167.5-865.2)+(-3.340806+(-0.17085--0.882504))+0--199.8-0.203796000000032</f>
        <v>2774.5670520000003</v>
      </c>
      <c r="M149" s="3">
        <f>3144.1+(195-843.9)+(3.206982+(0.1989-0.860778))+0--198.8--0.202776000000032</f>
        <v>2696.7478799999999</v>
      </c>
      <c r="N149" s="3">
        <f>3219.9+(158.3-793.2)+(1.642149+(0.080733-0.404532))+0--198.4--0.10118399999998</f>
        <v>2784.8195340000002</v>
      </c>
      <c r="O149" s="3">
        <f>3343.7+(116.9-761.5)+(3.410574+(0.119238-0.77673))+0--195.7--0.199614000000031</f>
        <v>2897.752696</v>
      </c>
      <c r="P149" s="3">
        <f>3512+(135-812.9)+(-3.58224+(-0.1377--0.829158))+0--193.2-0.197064000000031</f>
        <v>3024.2121539999998</v>
      </c>
      <c r="Q149" s="3">
        <f>3503.6+(184.6-722.8)+(1.786836+(0.094146-0.368628))+0--190.8--0.0973079999999806</f>
        <v>3157.8096620000001</v>
      </c>
      <c r="R149" s="3">
        <f>3524.9+(301.6-719.7)+(-3.595398+(-0.307632--0.734094))+0--193.4-0.197268000000031</f>
        <v>3296.8337960000003</v>
      </c>
      <c r="S149" s="3">
        <f>3516+(376.8-713.3)+(-3.58632+(-0.384336--0.727566))+0--193.7-0.197574000000031</f>
        <v>3369.7593360000001</v>
      </c>
      <c r="T149" s="3">
        <f>3492.3+(504.1-741.7)+(1.781073+(0.257091-0.378267))+0--193.5--0.0986849999999804</f>
        <v>3449.9585820000002</v>
      </c>
      <c r="U149" s="3">
        <f>3480.4+(493.3-720.5)+(0+(0-0))+0--193.7-0</f>
        <v>3446.9</v>
      </c>
      <c r="V149" s="3">
        <f>3470.1+(422.2-675.1)+(-3.539502+(-0.430644--0.688602))+0--192.8-0.196656000000031</f>
        <v>3406.5218</v>
      </c>
      <c r="W149" s="3">
        <f>3407.9+(222.4-582.9)+(-3.476058+(-0.226848--0.594558))+0--193.5-0.197370000000031</f>
        <v>3237.594282</v>
      </c>
      <c r="X149" s="3">
        <f>3447.3+(137.7-805)+(-5.274369+(-0.210681--1.23165))+0--195.3-0.298809000000011</f>
        <v>2970.7477910000002</v>
      </c>
      <c r="Y149" s="3">
        <f>3570.3+(73.1-908.2)+(-3.641706+(-0.074562--0.926364))+0--196.6-0.200532000000031</f>
        <v>2928.8095640000001</v>
      </c>
      <c r="Z149" s="3">
        <f>3658.3+(184.9-851.7)+(-1.865733+(-0.094299--0.434367))+0--196.8-0.10036799999998</f>
        <v>3186.6739670000002</v>
      </c>
      <c r="AA149" s="3">
        <f>3686.6+(188.1-856.5)+(-9.40083+(-0.479655--2.184075))+0--198.8-0.506939999999971</f>
        <v>3208.7966500000002</v>
      </c>
      <c r="AB149" s="3">
        <f>3688.3+(200.6-865.4)+(-3.762066+(-0.204612--0.882708))+0--199.1-0.203082000000032</f>
        <v>3219.3129479999998</v>
      </c>
      <c r="AC149" s="3">
        <f>3691+(205.3-856.6)+(0+(0-0))+0--199.1-0</f>
        <v>3238.7999999999997</v>
      </c>
      <c r="AD149">
        <v>3228.7999999999997</v>
      </c>
      <c r="AE149" s="3">
        <f>3666.5+(185.6-818.9)+(0+(0-0))+0--195.6-0</f>
        <v>3228.7999999999997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3649.5+(204.2-825.5)+(-9.306225+(-0.52071--2.105025))+0--200.4-0.511019999999971</f>
        <v>3220.3670699999998</v>
      </c>
      <c r="G150" s="3">
        <f>3633.6+(184.6-873)+(-7.412544+(-0.376584--1.78092))+0--200.6-0.409223999999991</f>
        <v>3139.3825679999995</v>
      </c>
      <c r="H150" s="3">
        <f>3628.1+(150.4-900.8)+(-5.550993+(-0.230112--1.378224))+0--200.5-0.306765000000012</f>
        <v>3073.490354</v>
      </c>
      <c r="I150" s="3">
        <f>3649.5+(130.5-956.9)+(-1.861245+(-0.066555--0.488019))+0--201-0.10250999999998</f>
        <v>3022.5577089999997</v>
      </c>
      <c r="J150" s="3">
        <f>3671+(115-968.5)+(0+(0-0))+0--202.3-0</f>
        <v>3019.8</v>
      </c>
      <c r="K150" s="3">
        <f>3650.9+(120.5-1003.5)+(-11.171754+(-0.36873--3.07071))+0--203.1-0.621486000000023</f>
        <v>2961.9087399999999</v>
      </c>
      <c r="L150" s="3">
        <f>3108.5+(251.1-715.7)+(-3.17067+(-0.256122--0.730014))+0--161.4-0.164628000000026</f>
        <v>2802.4385940000002</v>
      </c>
      <c r="M150" s="3">
        <f>2957.8+(281.6-608.7)+(4.525434+(0.430848-0.931311))+0--71.7--0.109701000000004</f>
        <v>2706.5346719999998</v>
      </c>
      <c r="N150" s="3">
        <f>3093.3+(237.7-659)+(1.577583+(0.121227-0.33609))+0--151.9--0.0774689999999846</f>
        <v>2825.340189</v>
      </c>
      <c r="O150" s="3">
        <f>3518.3+(113.7-868.1)+(-1.794333+(-0.057987--0.442731))+0--197.7-0.10082699999998</f>
        <v>2960.0895840000003</v>
      </c>
      <c r="P150" s="3">
        <f>3515.1+(92.1-778.1)+(-1.792701+(-0.046971--0.396831))+0--196.2-0.10006199999998</f>
        <v>3023.7570969999997</v>
      </c>
      <c r="Q150" s="3">
        <f>3487.6+(181-699.2)+(-3.557352+(-0.18462--0.713184))+0--195.3-0.199206000000031</f>
        <v>3161.4720059999995</v>
      </c>
      <c r="R150" s="3">
        <f>3525.2+(276-707.7)+(1.797852+(0.14076-0.360927))+0--193.4--0.0986339999999804</f>
        <v>3288.5763190000002</v>
      </c>
      <c r="S150" s="3">
        <f>3569.3+(360.7-714.3)+(-5.461029+(-0.551871--1.092879))+0--193.5-0.296055000000011</f>
        <v>3403.9839240000006</v>
      </c>
      <c r="T150" s="3">
        <f>3505+(507.4-715.5)+(0+(0-0))+0--193.6-0</f>
        <v>3490.5</v>
      </c>
      <c r="U150" s="3">
        <f>3424.7+(516.3-701.8)+(3.493194+(0.526626-0.715836))+0--194.2--0.198084000000031</f>
        <v>3436.9020679999999</v>
      </c>
      <c r="V150" s="3">
        <f>3393.3+(434.4-628.8)+(0+(0-0))+0--195.3-0</f>
        <v>3394.2000000000003</v>
      </c>
      <c r="W150" s="3">
        <f>3387.9+(232.1-568.8)+(-5.183487+(-0.355113--0.870264))+0--196.9-0.301257000000011</f>
        <v>3243.1304070000001</v>
      </c>
      <c r="X150" s="3">
        <f>3402.3+(163.7-808)+(-6.940692+(-0.333948--1.64832))+0--196.7-0.401267999999991</f>
        <v>2948.6724119999999</v>
      </c>
      <c r="Y150" s="3">
        <f>3425.3+(110.1-861.9)+(1.746903+(0.056151-0.439569))+0--197.4--0.10067399999998</f>
        <v>2872.3641589999997</v>
      </c>
      <c r="Z150" s="3">
        <f>3469.9+(187-726.7)+(5.308947+(0.28611-1.111851))+0--197.7--0.302481000000011</f>
        <v>3132.6856869999997</v>
      </c>
      <c r="AA150" s="3">
        <f>3494.4+(211.9-723.5)+(-5.346432+(-0.324207--1.106955))+0--197.7-0.302481000000011</f>
        <v>3175.6338349999996</v>
      </c>
      <c r="AB150" s="3">
        <f>3514.9+(225.1-719)+(-1.792599+(-0.114801--0.36669))+0--197.9-0.10092899999998</f>
        <v>3217.2583609999997</v>
      </c>
      <c r="AC150" s="3">
        <f>3506.2+(228.8-696.1)+(0+(0-0))+0--197.9-0</f>
        <v>3236.7999999999997</v>
      </c>
      <c r="AD150">
        <v>3167</v>
      </c>
      <c r="AE150" s="3">
        <f>3482+(201.8-713.4)+(0+(0-0))+0--196.6-0</f>
        <v>3167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3507.6+(209.9-711.3)+(-3.577752+(-0.214098--0.725526))+0--199-0.202980000000032</f>
        <v>3201.9306959999999</v>
      </c>
      <c r="G151" s="3">
        <f>3514.5+(223.8-789.5)+(0+(0-0))+0--199-0</f>
        <v>3147.8</v>
      </c>
      <c r="H151" s="3">
        <f>3524.2+(203-839.4)+(1.797342+(0.10353-0.428094))+0--199.5--0.10174499999998</f>
        <v>3088.8745229999995</v>
      </c>
      <c r="I151" s="3">
        <f>3529.8+(164.8-853.1)+(-1.800198+(-0.084048--0.435081))+0--200.9-0.10245899999998</f>
        <v>3040.8483759999999</v>
      </c>
      <c r="J151" s="3">
        <f>3542.5+(156.9-878.2)+(5.420025+(0.240057-1.343646))+0--201.2--0.307836000000012</f>
        <v>3027.0242719999997</v>
      </c>
      <c r="K151" s="3">
        <f>3562.1+(115.4-911)+(-10.900026+(-0.353124--2.78766))+0--201.4-0.616284000000023</f>
        <v>2958.8182259999999</v>
      </c>
      <c r="L151" s="3">
        <f>3355.3+(185.8-829.7)+(-8.556015+(-0.47379--2.115735))+0--107-0.272849999999984</f>
        <v>2811.2130800000004</v>
      </c>
      <c r="M151" s="3">
        <f>3161.7+(214.3-717.8)+(1.612467+(0.109293-0.366078))+0--71.7--0.0365669999999927</f>
        <v>2731.2922489999996</v>
      </c>
      <c r="N151" s="3">
        <f>3433.2+(108.2-866.8)+(1.750932+(0.055182-0.442068))+0--132.5--0.0675749999999866</f>
        <v>2808.5316210000001</v>
      </c>
      <c r="O151" s="3">
        <f>3525.8+(72.3-883.1)+(3.596316+(0.073746-0.900762))+0--196.2--0.200124000000031</f>
        <v>2914.1694239999997</v>
      </c>
      <c r="P151" s="3">
        <f>3478.6+(98.1-784.8)+(3.548172+(0.100062-0.800496))+0--192.8--0.196656000000031</f>
        <v>2987.7443940000003</v>
      </c>
      <c r="Q151" s="3">
        <f>3440.3+(146.2-663.3)+(5.263659+(0.223686-1.014849))+0--190.6--0.291618000000011</f>
        <v>3118.5641140000002</v>
      </c>
      <c r="R151" s="3">
        <f>3430.6+(271.8-639.7)+(-1.749606+(-0.138618--0.326247))+0--188.4-0.0960839999999809</f>
        <v>3249.4419390000003</v>
      </c>
      <c r="S151" s="3">
        <f>3408.7+(370.3-640.9)+(-6.953748+(-0.755412--1.307436))+0--189.5-0.386579999999992</f>
        <v>3320.8116960000002</v>
      </c>
      <c r="T151" s="3">
        <f>3395+(444.7-650.3)+(-3.4629+(-0.453594--0.663306))+0--190.7-0.19451400000003</f>
        <v>3376.6522979999995</v>
      </c>
      <c r="U151" s="3">
        <f>3397.5+(391.3-621.3)+(-5.198175+(-0.598689--0.950589))+0--191.5-0.292995000000011</f>
        <v>3353.8607300000003</v>
      </c>
      <c r="V151" s="3">
        <f>3366.8+(300.6-541.3)+(-5.151204+(-0.459918--0.828189))+0--192.3-0.294219000000011</f>
        <v>3313.3228480000007</v>
      </c>
      <c r="W151" s="3">
        <f>3346+(244.1-639.8)+(-6.82584+(-0.497964--1.305192))+0--192.4-0.392495999999992</f>
        <v>3136.2888920000005</v>
      </c>
      <c r="X151" s="3">
        <f>3320.6+(161.3-837.2)+(-5.080518+(-0.246789--1.280916))+0--193.1-0.295443000000011</f>
        <v>2833.4581659999999</v>
      </c>
      <c r="Y151" s="3">
        <f>3338.3+(86.3-848.4)+(-1.702533+(-0.044013--0.432684))+0--194.4-0.0991439999999803</f>
        <v>2769.1869940000006</v>
      </c>
      <c r="Z151" s="3">
        <f>3410.3+(145.7-702.9)+(-3.478506+(-0.148614--0.716958))+0--195.2-0.199104000000031</f>
        <v>3045.1907340000002</v>
      </c>
      <c r="AA151" s="3">
        <f>3454.6+(144.7-721.5)+(-5.285538+(-0.221391--1.103895))+0--195.6-0.299268000000011</f>
        <v>3068.6976979999999</v>
      </c>
      <c r="AB151" s="3">
        <f>3468.2+(151.1-771.4)+(-1.768782+(-0.077061--0.393414))+0--195.3-0.0996029999999802</f>
        <v>3041.6479679999998</v>
      </c>
      <c r="AC151" s="3">
        <f>3454.5+(162.3-754.5)+(-1.761795+(-0.082773--0.384795))+0--195.5-0.0997049999999802</f>
        <v>3056.2405220000001</v>
      </c>
      <c r="AD151">
        <v>3091.8</v>
      </c>
      <c r="AE151" s="3">
        <f>3453+(148.8-706.1)+(0+(0-0))+0--196.1-0</f>
        <v>3091.7999999999997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3451.5+(177.9-768.8)+(-3.52053+(-0.181458--0.784176))+0--195.8-0.199716000000031</f>
        <v>3053.2824719999999</v>
      </c>
      <c r="G152" s="3">
        <f>3455.6+(159.6-769.9)+(-3.524712+(-0.162792--0.785298))+0--196.2-0.200124000000031</f>
        <v>3038.3976699999998</v>
      </c>
      <c r="H152" s="3">
        <f>3469.6+(141.6-822.4)+(-7.077984+(-0.288864--1.677696))+0--196.8-0.401471999999991</f>
        <v>2979.5093760000004</v>
      </c>
      <c r="I152" s="3">
        <f>3494.3+(145.7-895.6)+(-1.782093+(-0.074307--0.456756))+0--196.5-0.10021499999998</f>
        <v>2939.4001410000001</v>
      </c>
      <c r="J152" s="3">
        <f>3517.8+(136-922.5)+(-5.382234+(-0.20808--1.411425))+0--198.1-0.303093000000011</f>
        <v>2924.9180180000003</v>
      </c>
      <c r="K152" s="3">
        <f>3505.7+(144.3-970.6)+(-3.575814+(-0.147186--0.990012))+0--200.3-0.204306000000032</f>
        <v>2876.7627059999995</v>
      </c>
      <c r="L152" s="3">
        <f>3437.5+(165.7-1037)+(-14.025+(-0.676056--4.23096))+0--158.1-0.645047999999986</f>
        <v>2713.1848559999999</v>
      </c>
      <c r="M152" s="3">
        <f>3203.9+(201.2-871.4)+(0+(0-0))+0--71.1-0</f>
        <v>2604.7999999999997</v>
      </c>
      <c r="N152" s="3">
        <f>3190.6+(193-830.4)+(3.254412+(0.19686-0.847008))+0--70.5--0.0719100000000112</f>
        <v>2626.376174</v>
      </c>
      <c r="O152" s="3">
        <f>3223.9+(186.2-794.8)+(-3.288378+(-0.189924--0.810696))+0--70.1-0.0715020000000112</f>
        <v>2682.6608919999999</v>
      </c>
      <c r="P152" s="3">
        <f>3310.4+(148.1-811)+(0+(0-0))+0--108.5-0</f>
        <v>2756</v>
      </c>
      <c r="Q152" s="3">
        <f>3312.6+(183.4-759.6)+(1.689426+(0.093534-0.387396))+0--135.7--0.0692069999999862</f>
        <v>2873.5647709999994</v>
      </c>
      <c r="R152" s="3">
        <f>3320.9+(168.5-713.8)+(6.774636+(0.34374-1.456152))+0--191.7--0.391067999999992</f>
        <v>2973.3532920000002</v>
      </c>
      <c r="S152" s="3">
        <f>3305.6+(217.4-627.7)+(0+(0-0))+0--193.2-0</f>
        <v>3088.4999999999995</v>
      </c>
      <c r="T152" s="3">
        <f>3309.3+(293.6-623.4)+(-1.687743+(-0.149736--0.317934))+0--193.8-0.0988379999999803</f>
        <v>3171.6816170000002</v>
      </c>
      <c r="U152" s="3">
        <f>3316.5+(293-599.8)+(-1.691415+(-0.14943--0.305898))+0--194.4-0.0991439999999803</f>
        <v>3202.465909</v>
      </c>
      <c r="V152" s="3">
        <f>3283.3+(255.2-584.7)+(-6.697932+(-0.520608--1.192788))+0--195-0.397799999999991</f>
        <v>3142.376448</v>
      </c>
      <c r="W152" s="3">
        <f>3287+(200.6-719.9)+(-3.35274+(-0.204612--0.734298))+0--197.2-0.201144000000031</f>
        <v>2961.8758019999996</v>
      </c>
      <c r="X152" s="3">
        <f>3269.1+(164.2-931.6)+(-5.001723+(-0.251226--1.425348))+0--198.5-0.303705000000011</f>
        <v>2696.0686940000001</v>
      </c>
      <c r="Y152" s="3">
        <f>3292.3+(81.6-952.3)+(1.679073+(0.041616-0.485673))+0--199.2--0.10159199999998</f>
        <v>2622.1366080000003</v>
      </c>
      <c r="Z152" s="3">
        <f>3386.9+(120-828.3)+(-3.454638+(-0.1224--0.844866))+0--199.2-0.203184000000032</f>
        <v>2874.8646440000002</v>
      </c>
      <c r="AA152" s="3">
        <f>3402.1+(141.6-829.6)+(-6.940284+(-0.288864--1.692384))+0--198.6-0.405143999999991</f>
        <v>2906.758092</v>
      </c>
      <c r="AB152" s="3">
        <f>3425.2+(125.7-871.3)+(0+(0-0))+0--198.4-0</f>
        <v>2878</v>
      </c>
      <c r="AC152" s="3">
        <f>3428.5+(116.9-855.1)+(1.748535+(0.059619-0.436101))+0--198.4--0.10118399999998</f>
        <v>2890.1732370000004</v>
      </c>
      <c r="AD152">
        <v>2967.4</v>
      </c>
      <c r="AE152" s="3">
        <f>3392+(161.6-784.8)+(0+(0-0))+0--198.6-0</f>
        <v>2967.4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3358+(177.3-775.7)+(5.13774+(0.271269-1.186821))+0--198.9--0.304317000000011</f>
        <v>2963.0265050000003</v>
      </c>
      <c r="G153" s="3">
        <f>3371.6+(212.3-840.4)+(-5.158548+(-0.324819--1.285812))+0--199.9-0.305847000000012</f>
        <v>2938.8965979999998</v>
      </c>
      <c r="H153" s="3">
        <f>3371.7+(200.1-869)+(-1.719567+(-0.102051--0.44319))+0--199.8-0.10189799999998</f>
        <v>2901.119674</v>
      </c>
      <c r="I153" s="3">
        <f>3333.2+(202.1-869.2)+(6.799728+(0.412284-1.773168))+0--199.1--0.406163999999991</f>
        <v>2871.0450079999996</v>
      </c>
      <c r="J153" s="3">
        <f>3332.1+(212-860.7)+(0+(0-0))+0--199.3-0</f>
        <v>2882.7</v>
      </c>
      <c r="K153" s="3">
        <f>3340+(192.5-835.4)+(-6.8136+(-0.3927--1.704216))+0--200.2-0.408407999999991</f>
        <v>2891.3895079999998</v>
      </c>
      <c r="L153" s="3">
        <f>3320.7+(180.5-996)+(-6.774228+(-0.36822--2.03184))+0--193.2-0.394127999999992</f>
        <v>2692.8952639999998</v>
      </c>
      <c r="M153" s="3">
        <f>3280.1+(214-916.4)+(-1.672851+(-0.10914--0.467364))+0--71.2-0.0363119999999928</f>
        <v>2647.5490609999993</v>
      </c>
      <c r="N153" s="3">
        <f>3276.2+(220-861)+(-3.341724+(-0.2244--0.87822))+0--79.7-0.0812940000000127</f>
        <v>2712.1308019999997</v>
      </c>
      <c r="O153" s="3">
        <f>3392.9+(139.5-841)+(1.730379+(0.071145-0.42891))+0--181.8--0.0927179999999816</f>
        <v>2874.665332</v>
      </c>
      <c r="P153" s="3">
        <f>3347.1+(160.8-706.8)+(3.414042+(0.164016-0.720936))+0--190.9--0.19471800000003</f>
        <v>2995.0518400000001</v>
      </c>
      <c r="Q153" s="3">
        <f>3320.3+(189.4-596.2)+(-1.693353+(-0.096594--0.304062))+0--193.4-0.0986339999999804</f>
        <v>3105.3154810000001</v>
      </c>
      <c r="R153" s="3">
        <f>3341.5+(275.8-520.2)+(0+(0-0))+0--190.7-0</f>
        <v>3287.7999999999997</v>
      </c>
      <c r="S153" s="3">
        <f>3354.9+(401-581.7)+(-5.132997+(-0.61353--0.890001))+0--191-0.292230000000011</f>
        <v>3360.0512439999998</v>
      </c>
      <c r="T153" s="3">
        <f>3340.9+(474.4-587.6)+(1.703859+(0.241944-0.299676))+0--189.6--0.0966959999999808</f>
        <v>3419.0428229999998</v>
      </c>
      <c r="U153" s="3">
        <f>3306.8+(491-577.3)+(3.372936+(0.50082-0.588846))+0--189.9--0.19369800000003</f>
        <v>3413.878608</v>
      </c>
      <c r="V153" s="3">
        <f>3295.5+(379.6-523.3)+(-6.72282+(-0.774384--1.067532))+0--193.6-0.394943999999992</f>
        <v>3338.5753839999998</v>
      </c>
      <c r="W153" s="3">
        <f>3329.4+(246.2-591.4)+(-3.395988+(-0.251124--0.603228))+0--195.3-0.199206000000031</f>
        <v>3176.2569100000001</v>
      </c>
      <c r="X153" s="3">
        <f>3339.8+(213.9-794.4)+(-11.923086+(-0.763623--2.836008))+0--195.7-0.698649000000003</f>
        <v>2944.4506500000002</v>
      </c>
      <c r="Y153" s="3">
        <f>3369.4+(129.9-813.5)+(-1.718394+(-0.066249--0.414885))+0--195.4-0.0996539999999802</f>
        <v>2879.7305880000004</v>
      </c>
      <c r="Z153" s="3">
        <f>3435.3+(185.4-655.4)+(0+(0-0))+0--195.8-0</f>
        <v>3161.1000000000004</v>
      </c>
      <c r="AA153" s="3">
        <f>3479.6+(187.7-666.7)+(-7.098384+(-0.382908--1.360068))+0--196.8-0.401471999999991</f>
        <v>3190.8773040000001</v>
      </c>
      <c r="AB153" s="3">
        <f>3490.1+(179.7-702)+(0+(0-0))+0--196.1-0</f>
        <v>3163.9</v>
      </c>
      <c r="AC153" s="3">
        <f>3484.4+(195.4-701)+(-5.331132+(-0.298962--1.07253))+0--196-0.299880000000011</f>
        <v>3169.942556</v>
      </c>
      <c r="AD153">
        <v>3204</v>
      </c>
      <c r="AE153" s="3">
        <f>3467+(196.1-656)+(0+(0-0))+0--196.9-0</f>
        <v>3204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3484.7+(215.1-701.4)+(5.331591+(0.329103-1.073142))+0--195.9--0.299727000000011</f>
        <v>3199.1872789999998</v>
      </c>
      <c r="G154" s="3">
        <f>3532.9+(193.7-780.4)+(1.801779+(0.098787-0.398004))+0--196.6--0.10026599999998</f>
        <v>3144.4028279999998</v>
      </c>
      <c r="H154" s="3">
        <f>3576.7+(167.4-847.5)+(-5.472351+(-0.256122--1.296675))+0--196.1-0.300033000000011</f>
        <v>3087.9681689999998</v>
      </c>
      <c r="I154" s="3">
        <f>3516.3+(191.6-852.4)+(1.793313+(0.097716-0.434724))+0--196.4--0.10016399999998</f>
        <v>3053.4564690000002</v>
      </c>
      <c r="J154" s="3">
        <f>3448.9+(220.8-808.4)+(0+(0-0))+0--197.4-0</f>
        <v>3058.7000000000003</v>
      </c>
      <c r="K154" s="3">
        <f>3482.6+(210.3-875.1)+(-7.104504+(-0.429012--1.785204))+0--197.5-0.402899999999991</f>
        <v>3009.148788</v>
      </c>
      <c r="L154" s="3">
        <f>3551.7+(191.5-968.2)+(-10.868202+(-0.58599--2.962692))+0--117.7-0.360162000000014</f>
        <v>2883.8483379999998</v>
      </c>
      <c r="M154" s="3">
        <f>3492.1+(196.3-946)+(1.780971+(0.100113-0.48246))+0--71.6--0.0365159999999927</f>
        <v>2815.4351399999996</v>
      </c>
      <c r="N154" s="3">
        <f>3510.8+(145.2-834)+(1.790508+(0.074052-0.42534))+0--71.1--0.0362609999999928</f>
        <v>2894.5754810000003</v>
      </c>
      <c r="O154" s="3">
        <f>3576+(119.6-813.8)+(1.82376+(0.060996-0.415038))+0--144.7--0.0737969999999853</f>
        <v>3028.0435149999998</v>
      </c>
      <c r="P154" s="3">
        <f>3550.2+(126.5-648.1)+(7.242408+(0.25806-1.322124))+0--192--0.391679999999992</f>
        <v>3227.170024</v>
      </c>
      <c r="Q154" s="3">
        <f>3532+(186-622.7)+(1.80132+(0.09486-0.317577))+0--193--0.0984299999999804</f>
        <v>3289.9770330000001</v>
      </c>
      <c r="R154" s="3">
        <f>3522.6+(289.4-643.2)+(3.593052+(0.295188-0.656064))+0--194.9--0.198798000000031</f>
        <v>3367.1309739999997</v>
      </c>
      <c r="S154" s="3">
        <f>3498.6+(369.5-663)+(-3.568572+(-0.37689--0.67626))+0--194.2-0.198084000000031</f>
        <v>3395.8327139999997</v>
      </c>
      <c r="T154" s="3">
        <f>3491.8+(420.5-682)+(-3.561636+(-0.42891--0.69564))+0--192.7-0.196554000000031</f>
        <v>3419.5085399999998</v>
      </c>
      <c r="U154" s="3">
        <f>3486.8+(381.1-675.5)+(-7.113072+(-0.777444--1.37802))+0--192.8-0.393311999999992</f>
        <v>3378.2941920000003</v>
      </c>
      <c r="V154" s="3">
        <f>3468.4+(278.3-672.6)+(-7.075536+(-0.567732--1.372104))+0--193.6-0.394943999999992</f>
        <v>3261.0338919999995</v>
      </c>
      <c r="W154" s="3">
        <f>3464+(151.7-800)+(-12.36648+(-0.541569--2.856))+0--195.7-0.698649000000003</f>
        <v>3000.6493019999998</v>
      </c>
      <c r="X154" s="3">
        <f>3419+(121-990.8)+(-10.46214+(-0.37026--3.031848))+0--197.1-0.603126000000023</f>
        <v>2737.8963219999996</v>
      </c>
      <c r="Y154" s="3">
        <f>3425.3+(109.4-1001.9)+(1.746903+(0.055794-0.510969))+0--196.7--0.10031699999998</f>
        <v>2730.8920450000001</v>
      </c>
      <c r="Z154" s="3">
        <f>3454.8+(171.3-874.6)+(-1.761948+(-0.087363--0.446046))+0--182.6-0.0931259999999815</f>
        <v>2932.6036090000002</v>
      </c>
      <c r="AA154" s="3">
        <f>3425.5+(131.7-801.3)+(-12.229035+(-0.470169--2.860641))+0--166.8-0.595476000000002</f>
        <v>2912.2659610000005</v>
      </c>
      <c r="AB154" s="3">
        <f>3439+(98-870.2)+(-8.76945+(-0.2499--2.21901))+0--190.3-0.485264999999972</f>
        <v>2849.8143950000008</v>
      </c>
      <c r="AC154" s="3">
        <f>3465+(93.3-886.5)+(1.76715+(0.047583-0.452115))+0--185.1--0.0944009999999812</f>
        <v>2858.357019</v>
      </c>
      <c r="AD154">
        <v>2934.7000000000003</v>
      </c>
      <c r="AE154" s="3">
        <f>3416+(166.8-813.9)+(0+(0-0))+0--165.8-0</f>
        <v>2934.7000000000003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3532.3+(89.1-963.9)+(-1.801473+(-0.045441--0.491589))+0--195.6-0.0997559999999802</f>
        <v>2851.6449189999998</v>
      </c>
      <c r="G155" s="3">
        <f>3605.7+(94.8-1017.1)+(-5.516721+(-0.145044--1.556163))+0--195.3-0.298809000000011</f>
        <v>2874.2955889999998</v>
      </c>
      <c r="H155" s="3">
        <f>3513.1+(96.5-995.8)+(-3.583362+(-0.09843--1.015716))+0--195.6-0.199512000000031</f>
        <v>2806.534412</v>
      </c>
      <c r="I155" s="3">
        <f>3357.3+(205.5-945.4)+(5.136669+(0.314415-1.446462))+0--194.6--0.297738000000011</f>
        <v>2816.3023600000001</v>
      </c>
      <c r="J155" s="3">
        <f>3439.1+(193.4-954.9)+(1.753941+(0.098634-0.486999))+0--195.8--0.0998579999999801</f>
        <v>2874.8654340000003</v>
      </c>
      <c r="K155" s="3">
        <f>3441.8+(167.7-1019.8)+(-5.265954+(-0.256581--1.560294))+0--195.7-0.299421000000011</f>
        <v>2781.1383379999997</v>
      </c>
      <c r="L155" s="3">
        <f>3274.7+(172.2-988.6)+(-13.360776+(-0.702576--4.033488))+0--176.7-0.720935999999984</f>
        <v>2624.2491999999993</v>
      </c>
      <c r="M155" s="3">
        <f>3128.1+(216.5-884.2)+(0+(0-0))+0--71.4-0</f>
        <v>2531.7999999999997</v>
      </c>
      <c r="N155" s="3">
        <f>3125.9+(222.6-875.8)+(6.376836+(0.454104-1.786632))+0--71.6--0.146063999999997</f>
        <v>2549.4903720000002</v>
      </c>
      <c r="O155" s="3">
        <f>3175.3+(192.3-861)+(6.477612+(0.392292-1.75644))+0--71.8--0.146471999999997</f>
        <v>2583.6599360000005</v>
      </c>
      <c r="P155" s="3">
        <f>3313.6+(157.4-898.5)+(0+(0-0))+0--69.5-0</f>
        <v>2642</v>
      </c>
      <c r="Q155" s="3">
        <f>3440+(139.7-956.2)+(1.7544+(0.071247-0.487662))+0--128.9--0.0657389999999869</f>
        <v>2753.8037240000003</v>
      </c>
      <c r="R155" s="3">
        <f>3471.2+(165.5-941.8)+(0+(0-0))+0--190.4-0</f>
        <v>2885.2999999999997</v>
      </c>
      <c r="S155" s="3">
        <f>3529.8+(201.2-909)+(-5.400594+(-0.307836--1.39077))+0--189.9-0.290547000000011</f>
        <v>3007.2917929999999</v>
      </c>
      <c r="T155" s="3">
        <f>3513.5+(259.3-868.9)+(1.791885+(0.132243-0.443139))+0--131.6--0.0671159999999866</f>
        <v>3037.0481050000003</v>
      </c>
      <c r="U155" s="3">
        <f>3508.6+(252.9-828.5)+(-3.578772+(-0.257958--0.84507))+0--102-0.104040000000016</f>
        <v>3031.9042999999997</v>
      </c>
      <c r="V155" s="3">
        <f>3477.8+(228.6-826.6)+(1.773678+(0.116586-0.421566))+0--102.3--0.0521729999999896</f>
        <v>2983.6208710000005</v>
      </c>
      <c r="W155" s="3">
        <f>3321.2+(253-808.2)+(-6.775248+(-0.51612--1.648728))+0--91.3-0.186251999999996</f>
        <v>2851.4711080000002</v>
      </c>
      <c r="X155" s="3">
        <f>3232.9+(254.2-922.1)+(-1.648779+(-0.129642--0.470271))+0--46.1-0.0235109999999953</f>
        <v>2609.7683390000002</v>
      </c>
      <c r="Y155" s="3">
        <f>3279.6+(174.9-879.5)+(-1.672596+(-0.089199--0.448545))+0--56.3-0.0287129999999943</f>
        <v>2629.9580369999999</v>
      </c>
      <c r="Z155" s="3">
        <f>3609.9+(146.6-911)+(-7.364196+(-0.299064--1.85844))+0--101.4-0.206855999999996</f>
        <v>2940.8883240000005</v>
      </c>
      <c r="AA155" s="3">
        <f>3628.2+(164.8-918.9)+(-3.700764+(-0.168096--0.937278))+0--102.9-0.104958000000016</f>
        <v>2973.9634599999999</v>
      </c>
      <c r="AB155" s="3">
        <f>3605.1+(170.2-907.4)+(0+(0-0))+0--104.2-0</f>
        <v>2972.0999999999995</v>
      </c>
      <c r="AC155" s="3">
        <f>3604.8+(200.1-901.2)+(-7.353792+(-0.408204--1.838448))+0--105.8-0.215831999999995</f>
        <v>3003.3606200000004</v>
      </c>
      <c r="AD155">
        <v>2985.2</v>
      </c>
      <c r="AE155" s="3">
        <f>3632.8+(163.2-912.4)+(0+(0-0))+0--101.6-0</f>
        <v>2985.2000000000003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3600.9+(204.8-875.1)+(-7.345836+(-0.417792--1.785204))+0--106.7-0.217667999999995</f>
        <v>3031.1039080000005</v>
      </c>
      <c r="G156" s="3">
        <f>3615.6+(185-925.5)+(-7.375824+(-0.3774--1.88802))+0--106.8-0.217871999999995</f>
        <v>2975.8169239999997</v>
      </c>
      <c r="H156" s="3">
        <f>3626.8+(159-981)+(-1.849668+(-0.08109--0.50031))+0--107-0.0545699999999891</f>
        <v>2910.3149820000003</v>
      </c>
      <c r="I156" s="3">
        <f>3632.6+(127.4-996.9)+(3.705252+(0.129948-1.016838))+0--108.2--0.110364000000017</f>
        <v>2874.2287259999998</v>
      </c>
      <c r="J156" s="3">
        <f>3642+(118.4-994.8)+(3.71484+(0.120768-1.014696))+0--108--0.110160000000017</f>
        <v>2876.5310720000002</v>
      </c>
      <c r="K156" s="3">
        <f>3613.7+(130-976.4)+(-5.528961+(-0.1989--1.493892))+0--107.8-0.164934000000006</f>
        <v>2870.7010970000001</v>
      </c>
      <c r="L156" s="3">
        <f>3442.5+(195.8-927.2)+(0+(0-0))+0--12.7-0</f>
        <v>2723.7999999999997</v>
      </c>
      <c r="M156" s="3">
        <f>3409.6+(178.6-950.7)+(0+(0-0))+0--14.1-0</f>
        <v>2651.6</v>
      </c>
      <c r="N156" s="3">
        <f>3538.1+(98.2-961.8)+(5.413293+(0.150246-1.471554))+0--101.2--0.154836000000006</f>
        <v>2779.946821</v>
      </c>
      <c r="O156" s="3">
        <f>3581.5+(117.7-903.4)+(3.65313+(0.120054-0.921468))+0--105--0.107100000000017</f>
        <v>2903.7588160000005</v>
      </c>
      <c r="P156" s="3">
        <f>3513+(156.2-788.7)+(7.16652+(0.318648-1.608948))+0--96.1--0.196043999999996</f>
        <v>2982.6722639999998</v>
      </c>
      <c r="Q156" s="3">
        <f>3465.6+(227.2-680.5)+(3.534912+(0.231744-0.69411))+0--87--0.0887400000000139</f>
        <v>3102.4612859999997</v>
      </c>
      <c r="R156" s="3">
        <f>3522.4+(268.9-650.6)+(5.389272+(0.411417-0.995418))+0--77.7--0.118881000000004</f>
        <v>3223.3241519999997</v>
      </c>
      <c r="S156" s="3">
        <f>3416.8+(478.4-628.4)+(0+(0-0))+0--53.7-0</f>
        <v>3320.5</v>
      </c>
      <c r="T156" s="3">
        <f>3368.9+(593.8-631.2)+(0+(0-0))+0--51.9-0</f>
        <v>3383.4</v>
      </c>
      <c r="U156" s="3">
        <f>3360.3+(582.6-615.4)+(-10.282518+(-1.782756--1.883124))+0--52.3-0.160038000000006</f>
        <v>3369.4578120000001</v>
      </c>
      <c r="V156" s="3">
        <f>3336.2+(465-563.1)+(-5.104386+(-0.71145--0.861543))+0--48.9-0.0748170000000028</f>
        <v>3281.9708900000001</v>
      </c>
      <c r="W156" s="3">
        <f>3353.1+(344.7-636.9)+(-3.420162+(-0.351594--0.649638))+0--45.4-0.0463080000000072</f>
        <v>3103.1315740000005</v>
      </c>
      <c r="X156" s="3">
        <f>3375.3+(280.2-852.3)+(-5.164209+(-0.428706--1.304019))+0--43.9-0.0671670000000025</f>
        <v>2842.7439370000002</v>
      </c>
      <c r="Y156" s="3">
        <f>3458.3+(159.2-848.1)+(3.527466+(0.162384-0.865062))+0--79.4--0.0809880000000127</f>
        <v>2851.7057760000002</v>
      </c>
      <c r="Z156" s="3">
        <f>3592.7+(207.4-823)+(-3.664554+(-0.211548--0.83946))+0--101.7-0.103734000000016</f>
        <v>3075.6596239999999</v>
      </c>
      <c r="AA156" s="3">
        <f>3616.7+(229.1-822.4)+(-5.533551+(-0.350523--1.258272))+0--102.9-0.157437000000006</f>
        <v>3121.5167609999999</v>
      </c>
      <c r="AB156" s="3">
        <f>3624.8+(216.2-841.2)+(-5.545944+(-0.330786--1.287036))+0--103.8-0.158814000000006</f>
        <v>3098.8514920000007</v>
      </c>
      <c r="AC156" s="3">
        <f>3621.3+(216.1-885.1)+(-3.693726+(-0.220422--0.902802))+0--103.6-0.105672000000017</f>
        <v>3052.7829820000002</v>
      </c>
      <c r="AD156">
        <v>3070.9</v>
      </c>
      <c r="AE156" s="3">
        <f>3570+(208.5-809)+(0+(0-0))+0--101.4-0</f>
        <v>3070.9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3612.7+(227-895.2)+(-1.842477+(-0.11577--0.456552))+0--102.9-0.0524789999999896</f>
        <v>3045.8458260000002</v>
      </c>
      <c r="G157" s="3">
        <f>3609.2+(214.4-909.4)+(-5.522076+(-0.328032--1.391382))+0--103.2-0.157896000000006</f>
        <v>3012.7833779999996</v>
      </c>
      <c r="H157" s="3">
        <f>3617.4+(187.5-951.5)+(-3.689748+(-0.19125--0.97053))+0--104.8-0.106896000000017</f>
        <v>2955.182636</v>
      </c>
      <c r="I157" s="3">
        <f>3625.3+(176.3-974.9)+(-9.244515+(-0.449565--2.485995))+0--105.3-0.268514999999985</f>
        <v>2924.5234</v>
      </c>
      <c r="J157" s="3">
        <f>3635.3+(191.4-954)+(1.854003+(0.097614-0.48654))+0--103.7--0.0528869999999895</f>
        <v>2977.9179639999998</v>
      </c>
      <c r="K157" s="3">
        <f>3637.1+(201.5-1008.8)+(-9.274605+(-0.513825--2.57244))+0--103.9-0.264944999999985</f>
        <v>2926.2190650000002</v>
      </c>
      <c r="L157" s="3">
        <f>3471.7+(206.1-984.7)+(-5.311701+(-0.315333--1.506591))+0--124.4-0.190332000000007</f>
        <v>2813.1892250000001</v>
      </c>
      <c r="M157" s="3">
        <f>3279+(240.1-887.5)+(-3.34458+(-0.244902--0.90525))+0--90.6-0.0924120000000144</f>
        <v>2719.4233559999998</v>
      </c>
      <c r="N157" s="3">
        <f>3337.1+(223.8-889.2)+(3.403842+(0.228276-0.906984))+0--136.8--0.139536000000022</f>
        <v>2811.3646699999999</v>
      </c>
      <c r="O157" s="3">
        <f>3561.8+(146.8-941.7)+(3.633036+(0.149736-0.960534))+0--148--0.150960000000024</f>
        <v>2917.8731980000002</v>
      </c>
      <c r="P157" s="3">
        <f>3582.6+(168.2-867.2)+(1.827126+(0.085782-0.442272))+0--146.5--0.0747149999999851</f>
        <v>3031.6453510000001</v>
      </c>
      <c r="Q157" s="3">
        <f>3540.8+(223.2-751.7)+(-3.611616+(-0.227664--0.766734))+0--146.2-0.149124000000023</f>
        <v>3155.2783300000001</v>
      </c>
      <c r="R157" s="3">
        <f>3532.4+(329.9-663.3)+(-1.801524+(-0.168249--0.338283))+0--143.3-0.0730829999999855</f>
        <v>3340.5954270000002</v>
      </c>
      <c r="S157" s="3">
        <f>3514.7+(368.1-648.1)+(-8.962485+(-0.938655--1.652655))+0--142.9-0.364394999999979</f>
        <v>3368.9871199999998</v>
      </c>
      <c r="T157" s="3">
        <f>3508.8+(407.3-634.7)+(-8.94744+(-1.038615--1.618485))+0--142.8-0.364139999999979</f>
        <v>3415.4682900000003</v>
      </c>
      <c r="U157" s="3">
        <f>3494.4+(410.3-634.4)+(-5.346432+(-0.627759--0.970632))+0--144.3-0.220779000000008</f>
        <v>3409.3756619999999</v>
      </c>
      <c r="V157" s="3">
        <f>3469+(347.1-592.1)+(-5.30757+(-0.531063--0.905913))+0--145.7-0.222921000000008</f>
        <v>3364.544359</v>
      </c>
      <c r="W157" s="3">
        <f>3454.3+(308.7-704.3)+(-3.523386+(-0.314874--0.718386))+0--147.9-0.150858000000024</f>
        <v>3203.3292680000004</v>
      </c>
      <c r="X157" s="3">
        <f>3430.4+(227.3-878.4)+(-8.74752+(-0.579615--2.23992))+0--149.8-0.381989999999978</f>
        <v>2921.6307950000005</v>
      </c>
      <c r="Y157" s="3">
        <f>3605.3+(121.1-936.1)+(-1.838703+(-0.061761--0.477411))+0--146.6-0.0747659999999851</f>
        <v>2935.4021809999999</v>
      </c>
      <c r="Z157" s="3">
        <f>3723.7+(179.1-832.7)+(0+(0-0))+0--143.9-0</f>
        <v>3214</v>
      </c>
      <c r="AA157" s="3">
        <f>3737.7+(178.9-817.9)+(-7.624908+(-0.364956--1.668516))+0--145.2-0.296207999999994</f>
        <v>3237.2824439999995</v>
      </c>
      <c r="AB157" s="3">
        <f>3753.9+(179.3-847.1)+(1.914489+(0.091443-0.432021))+0--145.8--0.0743579999999852</f>
        <v>3233.5482690000003</v>
      </c>
      <c r="AC157" s="3">
        <f>3764.8+(167.3-850.9)+(-7.680192+(-0.341292--1.735836))+0--147.4-0.300695999999994</f>
        <v>3222.0136560000005</v>
      </c>
      <c r="AD157">
        <v>3255.4000000000005</v>
      </c>
      <c r="AE157" s="3">
        <f>3719+(177.3-785.7)+(0+(0-0))+0--144.8-0</f>
        <v>3255.4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3769.4+(158.4-814.8)+(-1.922394+(-0.080784--0.415548))+0--199.7-0.10184699999998</f>
        <v>3311.0105229999999</v>
      </c>
      <c r="G158" s="3">
        <f>3784+(135.8-887.6)+(0+(0-0))+0--199.7-0</f>
        <v>3231.8999999999996</v>
      </c>
      <c r="H158" s="3">
        <f>3796.5+(124.9-959.4)+(0+(0-0))+0--199.8-0</f>
        <v>3161.8</v>
      </c>
      <c r="I158" s="3">
        <f>3723.1+(143.5-951.4)+(5.696343+(0.219555-1.455642))+0--199.8--0.305694000000012</f>
        <v>3119.76595</v>
      </c>
      <c r="J158" s="3">
        <f>3728.8+(124.4-933.4)+(-1.901688+(-0.063444--0.476034))+0--199.8-0.10189799999998</f>
        <v>3118.0090040000005</v>
      </c>
      <c r="K158" s="3">
        <f>3647.8+(149.6-915.9)+(-9.30189+(-0.38148--2.335545))+0--200.7-0.511784999999971</f>
        <v>3074.3403899999998</v>
      </c>
      <c r="L158" s="3">
        <f>3426.8+(217.9-898.6)+(-6.990672+(-0.444516--1.833144))+0--126-0.257039999999995</f>
        <v>2866.2409160000002</v>
      </c>
      <c r="M158" s="3">
        <f>3375.9+(191.2-864.6)+(3.443418+(0.195024-0.881892))+0--91.3--0.0931260000000146</f>
        <v>2796.6496760000005</v>
      </c>
      <c r="N158" s="3">
        <f>3473.9+(172.3-834.3)+(0+(0-0))+0--89.5-0</f>
        <v>2901.4</v>
      </c>
      <c r="O158" s="3">
        <f>3479.8+(178.2-762)+(1.774698+(0.090882-0.38862))+0--103.6--0.0528359999999895</f>
        <v>3001.1297959999997</v>
      </c>
      <c r="P158" s="3">
        <f>3526.7+(158.7-735.6)+(7.194468+(0.323748-1.500624))+0--146.2--0.298247999999994</f>
        <v>3102.3158399999998</v>
      </c>
      <c r="Q158" s="3">
        <f>3480.7+(213-640.5)+(-8.875785+(-0.54315--1.633275))+0--145.2-0.370259999999979</f>
        <v>3190.2440799999995</v>
      </c>
      <c r="R158" s="3">
        <f>3472.7+(330-644.5)+(3.542154+(0.3366-0.65739))+0--194.9--0.198798000000031</f>
        <v>3356.5201619999998</v>
      </c>
      <c r="S158" s="3">
        <f>3454+(452-686.9)+(-5.28462+(-0.69156--1.050957))+0--194.9-0.298197000000011</f>
        <v>3408.7765799999997</v>
      </c>
      <c r="T158" s="3">
        <f>3449.1+(517.7-717.4)+(1.759041+(0.264027-0.365874))+0--195.8--0.0998579999999801</f>
        <v>3446.9570520000002</v>
      </c>
      <c r="U158" s="3">
        <f>3444.2+(402.7-732.5)+(0+(0-0))+18.6--195.8-0</f>
        <v>3328.7999999999997</v>
      </c>
      <c r="V158" s="3">
        <f>3436.1+(313.2-669.6)+(-8.762055+(-0.79866--1.70748))+0--196.8-0.501839999999971</f>
        <v>3268.1449250000001</v>
      </c>
      <c r="W158" s="3">
        <f>3431.4+(205.4-708.7)+(-5.250042+(-0.314262--1.084311))+0--197.7-0.302481000000011</f>
        <v>3121.0175259999996</v>
      </c>
      <c r="X158" s="3">
        <f>3448.3+(132.2-874)+(-5.275899+(-0.202266--1.33722))+0--198.7-0.304011000000011</f>
        <v>2900.7550439999995</v>
      </c>
      <c r="Y158" s="3">
        <f>3477.8+(104.1-872.8)+(3.547356+(0.106182-0.890256))+0--200--0.204000000000032</f>
        <v>2912.0672820000004</v>
      </c>
      <c r="Z158" s="3">
        <f>3416.9+(210.2-759.6)+(-12.198333+(-0.750414--2.711772))+0--200.9-0.717213000000003</f>
        <v>3057.4458120000004</v>
      </c>
      <c r="AA158" s="3">
        <f>3541.8+(216.4-768.7)+(-5.418954+(-0.331092--1.176111))+0--200-0.306000000000012</f>
        <v>3184.6200650000001</v>
      </c>
      <c r="AB158" s="3">
        <f>3557.8+(216.1-798.4)+(1.814478+(0.110211-0.407184))+0--201.1--0.10256099999998</f>
        <v>3178.2200659999999</v>
      </c>
      <c r="AC158" s="3">
        <f>3556.5+(217.1-785.6)+(-9.069075+(-0.553605--2.00328))+0--201.8-0.514589999999971</f>
        <v>3181.6660100000004</v>
      </c>
      <c r="AD158">
        <v>3144.0000000000005</v>
      </c>
      <c r="AE158" s="3">
        <f>3551+(217.9-771.8)+(0+(0-0))+0--146.9-0</f>
        <v>3144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3560.6+(223.6-783.6)+(-9.07953+(-0.57018--1.99818))+0--201.8-0.514589999999971</f>
        <v>3194.2338800000002</v>
      </c>
      <c r="G159" s="3">
        <f>3569.9+(206.2-832.7)+(-9.103245+(-0.52581--2.123385))+0--201.9-0.514844999999971</f>
        <v>3137.279485</v>
      </c>
      <c r="H159" s="3">
        <f>3588.2+(187.5-893.7)+(3.659964+(0.19125-0.911574))+0--202--0.206040000000032</f>
        <v>3087.1456800000001</v>
      </c>
      <c r="I159" s="3">
        <f>3599.2+(163.7-926.3)+(-5.506776+(-0.250461--1.417239))+0--201.9-0.308907000000012</f>
        <v>3033.851095</v>
      </c>
      <c r="J159" s="3">
        <f>3608.8+(143.5-918.9)+(0+(0-0))+0--201.9-0</f>
        <v>3035.3</v>
      </c>
      <c r="K159" s="3">
        <f>3595.6+(132.1-951.6)+(-9.16878+(-0.336855--2.42658))+0--202.9-0.517394999999971</f>
        <v>2971.40355</v>
      </c>
      <c r="L159" s="3">
        <f>3366.4+(179.7-907)+(-12.018048+(-0.641529--3.23799))+0--201.9-0.720783000000003</f>
        <v>2830.8576300000004</v>
      </c>
      <c r="M159" s="3">
        <f>2884.1+(266.3-703.4)+(1.470891+(0.135813-0.358734))+0--203.1--0.103580999999979</f>
        <v>2651.4515509999997</v>
      </c>
      <c r="N159" s="3">
        <f>3094.5+(194.8-793.9)+(1.578195+(0.099348-0.404889))+0--202--0.10301999999998</f>
        <v>2698.775674</v>
      </c>
      <c r="O159" s="3">
        <f>3343.5+(117.4-881.5)+(-3.41037+(-0.119748--0.89913))+0--202-0.206040000000032</f>
        <v>2778.5629720000002</v>
      </c>
      <c r="P159" s="3">
        <f>3456.8+(96.6-884.9)+(3.525936+(0.098532-0.902598))+0--203.1--0.207162000000032</f>
        <v>2874.5290319999999</v>
      </c>
      <c r="Q159" s="3">
        <f>3436.5+(140.9-780.2)+(7.01046+(0.287436-1.591608))+0--203.1--0.414323999999991</f>
        <v>3006.4206119999994</v>
      </c>
      <c r="R159" s="3">
        <f>3436.5+(189.4-762.4)+(-5.257845+(-0.289782--1.166472))+0--143.7-0.219861000000008</f>
        <v>3002.5989839999997</v>
      </c>
      <c r="S159" s="3">
        <f>3416+(273.1-724.6)+(-3.48432+(-0.278562--0.739092))+0--141.8-0.144636000000023</f>
        <v>3103.131574</v>
      </c>
      <c r="T159" s="3">
        <f>3386+(378.4-710.9)+(1.72686+(0.192984-0.362559))+0--140.8--0.0718079999999857</f>
        <v>3195.9290930000002</v>
      </c>
      <c r="U159" s="3">
        <f>3392+(349.2-660)+(0+(0-0))+0--140.8-0</f>
        <v>3222</v>
      </c>
      <c r="V159" s="3">
        <f>3390.3+(279.4-638.7)+(0+(0-0))+0--142.5-0</f>
        <v>3173.5</v>
      </c>
      <c r="W159" s="3">
        <f>3406+(223.5-750.2)+(0+(0-0))+0--144.6-0</f>
        <v>3023.9</v>
      </c>
      <c r="X159" s="3">
        <f>3455.1+(139.3-969.2)+(-5.286303+(-0.213129--1.482876))+0--147.5-0.225675000000009</f>
        <v>2768.4577689999996</v>
      </c>
      <c r="Y159" s="3">
        <f>3520.7+(59.8-975.4)+(5.386671+(0.091494-1.492362))+0--144.2--0.220626000000008</f>
        <v>2753.5064289999996</v>
      </c>
      <c r="Z159" s="3">
        <f>3560.1+(171.2-859.6)+(-3.631302+(-0.174624--0.876792))+0--142.3-0.145146000000023</f>
        <v>3010.9257200000002</v>
      </c>
      <c r="AA159" s="3">
        <f>3582+(186-879.2)+(-1.82682+(-0.09486--0.448392))+0--143.5-0.0731849999999854</f>
        <v>3030.7535269999998</v>
      </c>
      <c r="AB159" s="3">
        <f>3603.8+(188.2-910.2)+(-3.675876+(-0.191964--0.928404))+0--143.6-0.146472000000023</f>
        <v>3022.3140920000001</v>
      </c>
      <c r="AC159" s="3">
        <f>3642.5+(181.9-939.9)+(1.857675+(0.092769-0.479349))+0--144.7--0.0737969999999853</f>
        <v>3030.7448919999997</v>
      </c>
      <c r="AD159">
        <v>2761.6000000000004</v>
      </c>
      <c r="AE159" s="3">
        <f>3608+(174.8-860.1)+(0+(0-0))+0--152.9-0</f>
        <v>3075.6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3657.9+(193.2-876)+(-1.865529+(-0.098532--0.44676))+0--199.3-0.10164299999998</f>
        <v>3172.7810560000007</v>
      </c>
      <c r="G160" s="3">
        <f>3677.6+(174.4-921.4)+(-11.253456+(-0.533664--2.819484))+0--199.2-0.609552000000023</f>
        <v>3120.222812</v>
      </c>
      <c r="H160" s="3">
        <f>3688.7+(161.6-982.1)+(-7.524948+(-0.329664--2.003484))+0--199.4-0.406775999999991</f>
        <v>3061.3420960000003</v>
      </c>
      <c r="I160" s="3">
        <f>3705.1+(130.1-1023)+(1.889601+(0.066351-0.52173))+0--198.4--0.10118399999998</f>
        <v>3012.1354059999999</v>
      </c>
      <c r="J160" s="3">
        <f>3721.4+(107.3-1025.5)+(3.795828+(0.109446-1.04601))+0--198.4--0.202368000000032</f>
        <v>3004.6616320000003</v>
      </c>
      <c r="K160" s="3">
        <f>3697.5+(90.3-1038.6)+(-1.885725+(-0.046053--0.529686))+0--198.5-0.10123499999998</f>
        <v>2946.1966729999999</v>
      </c>
      <c r="L160" s="3">
        <f>3549.7+(83.3-1026.7)+(-9.051735+(-0.212415--2.618085))+0--169.4-0.431969999999975</f>
        <v>2768.6219649999998</v>
      </c>
      <c r="M160" s="3">
        <f>3238+(163.1-801.8)+(-3.30276+(-0.166362--0.817836))+0--110.4-0.112608000000018</f>
        <v>2706.9361060000006</v>
      </c>
      <c r="N160" s="3">
        <f>3234.9+(156-793.1)+(-3.299598+(-0.15912--0.808962))+0--171.2-0.174624000000027</f>
        <v>2766.17562</v>
      </c>
      <c r="O160" s="3">
        <f>3534+(120.2-876.9)+(3.60468+(0.122604-0.894438))+0--189--0.19278000000003</f>
        <v>2969.3256259999998</v>
      </c>
      <c r="P160" s="3">
        <f>3473.9+(121.4-781.1)+(1.771689+(0.061914-0.398361))+0--190--0.0968999999999807</f>
        <v>3005.7321419999998</v>
      </c>
      <c r="Q160" s="3">
        <f>3439.1+(182.2-680.6)+(3.507882+(0.185844-0.694212))+0--193.1--0.196962000000031</f>
        <v>3136.9964759999998</v>
      </c>
      <c r="R160" s="3">
        <f>3424.1+(354.9-660.8)+(-1.746291+(-0.180999--0.337008))+0--145.3-0.0741029999999853</f>
        <v>3261.835615</v>
      </c>
      <c r="S160" s="3">
        <f>3395.9+(517.2-718.4)+(-5.195727+(-0.791316--1.099152))+0--142.5-0.218025000000008</f>
        <v>3332.0940840000003</v>
      </c>
      <c r="T160" s="3">
        <f>3418.7+(597-715.1)+(-1.743537+(-0.30447--0.364701))+0--142.8-0.0728279999999855</f>
        <v>3441.6438660000003</v>
      </c>
      <c r="U160" s="3">
        <f>3371.5+(551.7-684.1)+(-3.43893+(-0.562734--0.697782))+0--144.2-0.147084000000023</f>
        <v>3379.8490339999994</v>
      </c>
      <c r="V160" s="3">
        <f>3379+(412.4-599.2)+(-10.33974+(-1.261944--1.833552))+0--145.5-0.445230000000017</f>
        <v>3327.4866379999999</v>
      </c>
      <c r="W160" s="3">
        <f>3379.5+(270.2-624.2)+(-3.44709+(-0.275604--0.636684))+0--147.1-0.150042000000023</f>
        <v>3169.3639479999997</v>
      </c>
      <c r="X160" s="3">
        <f>3399.5+(197.4-841)+(-5.201235+(-0.302022--1.28673))+0--149.3-0.228429000000009</f>
        <v>2900.755044</v>
      </c>
      <c r="Y160" s="3">
        <f>3533.4+(124.4-929.6)+(0+(0-0))+0--146.3-0</f>
        <v>2874.5</v>
      </c>
      <c r="Z160" s="3">
        <f>3664+(171.7-855.3)+(-3.73728+(-0.175134--0.872406))+0--144-0.146880000000023</f>
        <v>3121.2131119999999</v>
      </c>
      <c r="AA160" s="3">
        <f>3690.1+(186.7-887.4)+(-9.409755+(-0.476085--2.26287))+0--145-0.369749999999979</f>
        <v>3126.4072799999999</v>
      </c>
      <c r="AB160" s="3">
        <f>3709.6+(183.2-933.5)+(-5.675688+(-0.280296--1.428255))+0--145.4-0.222462000000008</f>
        <v>3099.9498090000002</v>
      </c>
      <c r="AC160" s="3">
        <f>3717+(184-952.5)+(1.89567+(0.09384-0.485775))+0--146.5--0.0747149999999851</f>
        <v>3096.57845</v>
      </c>
      <c r="AD160">
        <v>3258</v>
      </c>
      <c r="AE160" s="3">
        <f>3668+(195.2-805)+(0+(0-0))+0--199.8-0</f>
        <v>3258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3712.3+(193.5-901.3)+(-3.786546+(-0.19737--0.919326))+0--148.9-0.151878000000024</f>
        <v>3150.183532</v>
      </c>
      <c r="G161" s="3">
        <f>3734.2+(159.6-944.9)+(-3.808884+(-0.162792--0.963798))+0--150.9-0.153918000000024</f>
        <v>3096.6382039999999</v>
      </c>
      <c r="H161" s="3">
        <f>3752.5+(140.8-1014.2)+(-7.6551+(-0.287232--2.068968))+0--153.1-0.312323999999993</f>
        <v>3026.0143119999998</v>
      </c>
      <c r="I161" s="3">
        <f>3768.7+(111.4-1055.6)+(1.922037+(0.056814-0.538356))+0--154.1--0.0785909999999844</f>
        <v>2980.1190859999997</v>
      </c>
      <c r="J161" s="3">
        <f>3784.1+(102.7-1078.3)+(3.859782+(0.104754-1.099866))+0--154.2--0.157284000000025</f>
        <v>2965.7219539999996</v>
      </c>
      <c r="K161" s="3">
        <f>3692.1+(109.2-1029.7)+(-9.414855+(-0.27846--2.625735))+0--154-0.392699999999978</f>
        <v>2918.1397200000001</v>
      </c>
      <c r="L161" s="3">
        <f>3346.1+(224.7-879.3)+(-6.826044+(-0.458388--1.793772))+0--82-0.167279999999996</f>
        <v>2767.8420599999999</v>
      </c>
      <c r="M161" s="3">
        <f>3154.7+(249.7-763.7)+(1.608897+(0.127347-0.389487))+0--30--0.015299999999997</f>
        <v>2672.0620569999996</v>
      </c>
      <c r="N161" s="3">
        <f>3376.9+(175.1-893.3)+(1.722219+(0.089301-0.455583))+0--120.9--0.0616589999999877</f>
        <v>2781.0175960000001</v>
      </c>
      <c r="O161" s="3">
        <f>3611.7+(75.7-961.8)+(-3.683934+(-0.077214--0.981036))+0--151.3-0.154326000000024</f>
        <v>2873.9655620000003</v>
      </c>
      <c r="P161" s="3">
        <f>3660.8+(106-915.3)+(1.867008+(0.05406-0.466803))+0--147.1--0.0750209999999851</f>
        <v>3000.1292859999999</v>
      </c>
      <c r="Q161" s="3">
        <f>3677.8+(160-828.1)+(-1.875678+(-0.0816--0.422331))+0--145.2-0.0740519999999853</f>
        <v>3153.2910010000001</v>
      </c>
      <c r="R161" s="3">
        <f>3626+(234.2-738.4)+(1.84926+(0.119442-0.376584))+0--191.9--0.0978689999999805</f>
        <v>3315.3899870000005</v>
      </c>
      <c r="S161" s="3">
        <f>3635.4+(334.5-717.2)+(-7.416216+(-0.68238--1.463088))+0--192.1-0.391883999999992</f>
        <v>3437.7726079999998</v>
      </c>
      <c r="T161" s="3">
        <f>3618.6+(376.6-721.9)+(-5.536458+(-0.576198--1.104507))+0--192.7-0.294831000000011</f>
        <v>3460.6970200000001</v>
      </c>
      <c r="U161" s="3">
        <f>3600.9+(351.2-671.5)+(-3.672918+(-0.358224--0.68493))+0--192.4-0.196248000000031</f>
        <v>3469.4575399999999</v>
      </c>
      <c r="V161" s="3">
        <f>3577.2+(282.6-647.6)+(-3.648744+(-0.288252--0.660552))+0--194.2-0.198084000000031</f>
        <v>3402.9254719999994</v>
      </c>
      <c r="W161" s="3">
        <f>3578.4+(245.7-802.8)+(-9.12492+(-0.626535--2.04714))+0--195.1-0.497504999999972</f>
        <v>3208.1981800000003</v>
      </c>
      <c r="X161" s="3">
        <f>3589.1+(195.9-1018.4)+(-10.982646+(-0.599454--3.116304))+0--195.6-0.598536000000023</f>
        <v>2953.1356679999999</v>
      </c>
      <c r="Y161" s="3">
        <f>3588.7+(133-957.6)+(0+(0-0))+0--194.3-0</f>
        <v>2958.4</v>
      </c>
      <c r="Z161" s="3">
        <f>3646.2+(171.1-810.8)+(-7.438248+(-0.349044--1.654032))+0--194.5-0.396779999999992</f>
        <v>3194.4699599999999</v>
      </c>
      <c r="AA161" s="3">
        <f>3668.5+(169.2-834.3)+(-9.354675+(-0.43146--2.127465))+0--194.7-0.496484999999972</f>
        <v>3189.944845</v>
      </c>
      <c r="AB161" s="3">
        <f>3694.1+(141.6-871.1)+(-7.535964+(-0.288864--1.777044))+0--195-0.397799999999991</f>
        <v>3153.1544159999999</v>
      </c>
      <c r="AC161" s="3">
        <f>3688.8+(148.8-889.2)+(-5.643864+(-0.227664--1.360476))+0--194.5-0.297585000000011</f>
        <v>3138.0913630000005</v>
      </c>
      <c r="AD161">
        <v>3238.5</v>
      </c>
      <c r="AE161" s="3">
        <f>3669+(169-799.6)+(0+(0-0))+0--200.1-0</f>
        <v>3238.5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3700.1+(169.3-911.3)+(-1.887051+(-0.086343--0.464763))+0--199.8-0.10189799999998</f>
        <v>3156.289471</v>
      </c>
      <c r="G162" s="3">
        <f>3715.4+(172.1-979.4)+(0+(0-0))+0--199.9-0</f>
        <v>3108.0000000000005</v>
      </c>
      <c r="H162" s="3">
        <f>3727.5+(160.1-1051.3)+(0+(0-0))+0--199.9-0</f>
        <v>3036.2000000000003</v>
      </c>
      <c r="I162" s="3">
        <f>3741+(142.8-1098.6)+(-5.72373+(-0.218484--1.680858))+0--200.9-0.307377000000012</f>
        <v>2981.5312669999998</v>
      </c>
      <c r="J162" s="3">
        <f>3705+(130.8-1071.1)+(1.88955+(0.066708-0.546261))+0--201--0.10250999999998</f>
        <v>2967.2125070000002</v>
      </c>
      <c r="K162" s="3">
        <f>3576.3+(182.7-964.4)+(-1.823913+(-0.093177--0.491844))+0--124-0.0632399999999874</f>
        <v>2917.1115140000006</v>
      </c>
      <c r="L162" s="3">
        <f>3170.3+(287.2-764.4)+(-6.467412+(-0.585888--1.559376))+0--28.9-0.0589559999999987</f>
        <v>2716.4471200000007</v>
      </c>
      <c r="M162" s="3">
        <f>2997.7+(336.6-733.9)+(-6.115308+(-0.686664--1.497156))+0--31-0.0632399999999986</f>
        <v>2626.0319439999998</v>
      </c>
      <c r="N162" s="3">
        <f>2997.7+(355.2-655.6)+(3.057654+(0.362304-0.668712))+0--29.2--0.0297840000000047</f>
        <v>2729.2810299999992</v>
      </c>
      <c r="O162" s="3">
        <f>3050.7+(341-590.4)+(1.555857+(0.17391-0.301104))+0--26.2--0.0133619999999973</f>
        <v>2828.9420249999998</v>
      </c>
      <c r="P162" s="3">
        <f>3081.2+(327.8-503)+(0+(0-0))+0--22.8-0</f>
        <v>2928.8</v>
      </c>
      <c r="Q162" s="3">
        <f>3103.4+(354.1-438.2)+(-1.582734+(-0.180591--0.223482))+0--21.9-0.0111689999999978</f>
        <v>3039.6489880000004</v>
      </c>
      <c r="R162" s="3">
        <f>3191.7+(374.5-452.3)+(-6.511068+(-0.76398--0.922692))+0--102.7-0.209507999999996</f>
        <v>3210.0381359999997</v>
      </c>
      <c r="S162" s="3">
        <f>3462.6+(267.5-628.1)+(-12.361482+(-0.954975--2.242317))+0--183.5-0.655095000000003</f>
        <v>3273.7707649999998</v>
      </c>
      <c r="T162" s="3">
        <f>3486.9+(320.5-632.8)+(-8.891595+(-0.817275--1.61364))+0--192.4-0.490619999999972</f>
        <v>3358.4141500000005</v>
      </c>
      <c r="U162" s="3">
        <f>3482.1+(364.9-656.8)+(-5.327613+(-0.558297--1.004904))+0--194.1-0.296973000000011</f>
        <v>3379.1220209999997</v>
      </c>
      <c r="V162" s="3">
        <f>3428.9+(390.3-679)+(-5.246217+(-0.597159--1.03887))+0--192.3-0.294219000000011</f>
        <v>3327.4012750000006</v>
      </c>
      <c r="W162" s="3">
        <f>3424.3+(378.5-817.5)+(-5.239179+(-0.579105--1.250775))+0--193-0.295290000000011</f>
        <v>3173.4372010000002</v>
      </c>
      <c r="X162" s="3">
        <f>2956.3+(433.3-754.8)+(1.507713+(0.220983-0.384948))+0--196.7--0.10031699999998</f>
        <v>2832.9440649999997</v>
      </c>
      <c r="Y162" s="3">
        <f>2955.4+(360.4-709.8)+(-3.014508+(-0.367608--0.723996))+0--200.6-0.204612000000032</f>
        <v>2803.7372679999999</v>
      </c>
      <c r="Z162" s="3">
        <f>3437.8+(263.5-835)+(-10.519668+(-0.80631--2.5551))+0--196.9-0.602514000000023</f>
        <v>3053.8266080000003</v>
      </c>
      <c r="AA162" s="3">
        <f>3475.4+(245.2-843.5)+(-7.089816+(-0.500208--1.72074))+0--197.4-0.402695999999991</f>
        <v>3068.2280200000005</v>
      </c>
      <c r="AB162" s="3">
        <f>3505.3+(227.1-890.1)+(1.787703+(0.115821-0.453951))+0--197.6--0.10077599999998</f>
        <v>3041.4503489999997</v>
      </c>
      <c r="AC162" s="3">
        <f>3495.7+(220.7-870.8)+(-3.565614+(-0.225114--0.888216))+0--197.7-0.201654000000032</f>
        <v>3040.1958339999996</v>
      </c>
      <c r="AD162">
        <v>3118.0000000000005</v>
      </c>
      <c r="AE162" s="3">
        <f>3456.3+(275.3-816.4)+(0+(0-0))+0--202.8-0</f>
        <v>3118.0000000000005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3504+(261.4-885)+(0+(0-0))+0--202.8-0</f>
        <v>3083.2000000000003</v>
      </c>
      <c r="G163" s="3">
        <f>3512+(260.8-955)+(0+(0-0))+0--203.9-0</f>
        <v>3021.7000000000003</v>
      </c>
      <c r="H163" s="3">
        <f>3524.3+(218-1001.2)+(5.392179+(0.33354-1.531836))+0--203.9--0.311967000000012</f>
        <v>2949.5058500000005</v>
      </c>
      <c r="I163" s="3">
        <f>3526.4+(207-1039)+(0+(0-0))+0--202.9-0</f>
        <v>2897.3</v>
      </c>
      <c r="J163" s="3">
        <f>3533.5+(195.4-1045.1)+(0+(0-0))+0--202.9-0</f>
        <v>2886.7000000000003</v>
      </c>
      <c r="K163" s="3">
        <f>3469.2+(237.7-1042.4)+(-12.385044+(-0.848589--3.721368))+0--204.2-0.728994000000003</f>
        <v>2858.4587409999999</v>
      </c>
      <c r="L163" s="3">
        <f>3012.6+(383-754.4)+(-10.754982+(-1.36731--2.693208))+0--84.6-0.302022000000001</f>
        <v>2716.068894</v>
      </c>
      <c r="M163" s="3">
        <f>2872.7+(391-709.3)+(0+(0-0))+0--75.4-0</f>
        <v>2629.7999999999997</v>
      </c>
      <c r="N163" s="3">
        <f>2974.9+(393.4-708)+(3.034398+(0.401268-0.72216))+0--75.1--0.076602000000012</f>
        <v>2738.1901080000002</v>
      </c>
      <c r="O163" s="3">
        <f>3164.9+(352.6-741.7)+(3.228198+(0.359652-0.756534))+0--74.9--0.0763980000000119</f>
        <v>2853.6077140000002</v>
      </c>
      <c r="P163" s="3">
        <f>3277.3+(324.8-736.7)+(1.671423+(0.165648-0.375717))+0--81--0.0413099999999918</f>
        <v>2947.9026640000002</v>
      </c>
      <c r="Q163" s="3">
        <f>3493.1+(284.3-860)+(1.781481+(0.144993-0.4386))+0--166.9--0.0851189999999831</f>
        <v>3085.8729929999995</v>
      </c>
      <c r="R163" s="3">
        <f>3538.2+(237-803.5)+(-5.413446+(-0.36261--1.229355))+0--190.3-0.291159000000011</f>
        <v>3157.1621399999999</v>
      </c>
      <c r="S163" s="3">
        <f>3526.1+(220.8-755.5)+(-7.193244+(-0.450432--1.54122))+0--192.2-0.392087999999992</f>
        <v>3177.1054559999993</v>
      </c>
      <c r="T163" s="3">
        <f>3523.4+(235.8-703.6)+(-1.796934+(-0.120258--0.358836))+0--192.7-0.0982769999999804</f>
        <v>3246.6433669999997</v>
      </c>
      <c r="U163" s="3">
        <f>3517.3+(282.7-701.3)+(1.793823+(0.144177-0.357663))+0--191.8--0.0978179999999805</f>
        <v>3292.1781550000005</v>
      </c>
      <c r="V163" s="3">
        <f>3500.1+(281.3-764.6)+(-5.355153+(-0.430389--1.169838))+0--191.8-0.293454000000011</f>
        <v>3203.690842</v>
      </c>
      <c r="W163" s="3">
        <f>3487+(246.1-877.7)+(-10.67022+(-0.753066--2.685762))+0--177.3-0.542538000000021</f>
        <v>3023.419938</v>
      </c>
      <c r="X163" s="3">
        <f>3210+(294.1-871.1)+(-9.8226+(-0.899946--2.665566))+0--134.2-0.410652000000015</f>
        <v>2758.732368</v>
      </c>
      <c r="Y163" s="3">
        <f>3216.6+(228-801.4)+(-4.921398+(-0.34884--1.226142))+0--151.8-0.232254000000009</f>
        <v>2790.7236499999999</v>
      </c>
      <c r="Z163" s="3">
        <f>3561.6+(161-882.3)+(-9.08208+(-0.41055--2.249865))+0--194.4-0.495719999999972</f>
        <v>3026.9615150000004</v>
      </c>
      <c r="AA163" s="3">
        <f>3559.4+(196.9-923.1)+(-14.522352+(-0.803352--3.766248))+0--195.2-0.796415999999983</f>
        <v>3016.0441279999995</v>
      </c>
      <c r="AB163" s="3">
        <f>3582.7+(163.8-962.8)+(0+(0-0))+0--194.9-0</f>
        <v>2978.6</v>
      </c>
      <c r="AC163" s="3">
        <f>3537.2+(202.7-962.9)+(1.803972+(0.103377-0.491079))+0--194.4--0.0991439999999803</f>
        <v>2972.9154140000001</v>
      </c>
      <c r="AD163">
        <v>3113.3</v>
      </c>
      <c r="AE163" s="3">
        <f>3578+(195.3-872.6)+(0+(0-0))+0--212.6-0</f>
        <v>3113.2999999999997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3525.8+(260.4-942.9)+(0+(0-0))+0--193.8-0</f>
        <v>3037.1000000000004</v>
      </c>
      <c r="G164" s="3">
        <f>3528.5+(233.7-979.5)+(-1.799535+(-0.119187--0.499545))+0--194.2-0.0990419999999803</f>
        <v>2975.3817809999996</v>
      </c>
      <c r="H164" s="3">
        <f>3530.9+(193.6-1007.8)+(-3.601518+(-0.197472--1.027956))+0--194.4-0.198288000000031</f>
        <v>2908.1306780000004</v>
      </c>
      <c r="I164" s="3">
        <f>3539.7+(198.4-1079.6)+(1.805247+(0.101184-0.550596))+0--194.7--0.0992969999999802</f>
        <v>2854.6551319999999</v>
      </c>
      <c r="J164" s="3">
        <f>3519.6+(215.5-1116.2)+(0+(0-0))+0--196.4-0</f>
        <v>2815.2999999999997</v>
      </c>
      <c r="K164" s="3">
        <f>3493.3+(231.9-1141.1)+(0+(0-0))+0--197.4-0</f>
        <v>2781.5000000000005</v>
      </c>
      <c r="L164" s="3">
        <f>3322.6+(296.9-1157.6)+(-11.861682+(-1.059933--4.132632))+0--175-0.624750000000002</f>
        <v>2627.4862670000002</v>
      </c>
      <c r="M164" s="3">
        <f>2724+(417.9-831.7)+(-4.16772+(-0.639387--1.272501))+0--71.5-0.109395000000004</f>
        <v>2378.0559989999997</v>
      </c>
      <c r="N164" s="3">
        <f>2660.5+(415.1-804)+(4.070565+(0.635103-1.23012))+0--92.1--0.140913000000005</f>
        <v>2367.3164609999999</v>
      </c>
      <c r="O164" s="3">
        <f>2887.5+(331.2-893.8)+(2.94525+(0.337824-0.911676))+0--130.2--0.132804000000021</f>
        <v>2457.604202</v>
      </c>
      <c r="P164" s="3">
        <f>3028.2+(248.5-922.3)+(-1.544382+(-0.126735--0.470373))+0--188.7-0.0962369999999809</f>
        <v>2541.803018999999</v>
      </c>
      <c r="Q164" s="3">
        <f>3129.2+(210.7-872.2)+(0+(0-0))+0--191.6-0</f>
        <v>2659.2999999999997</v>
      </c>
      <c r="R164" s="3">
        <f>3147.9+(182.7-799.7)+(-1.605429+(-0.093177--0.407847))+0--191.6-0.0977159999999806</f>
        <v>2721.1115250000003</v>
      </c>
      <c r="S164" s="3">
        <f>3145+(228.4-777.1)+(0+(0-0))+0--192-0</f>
        <v>2788.3</v>
      </c>
      <c r="T164" s="3">
        <f>3197.8+(244-768.2)+(-8.15439+(-0.6222--1.95891))+0--191.1-0.487304999999972</f>
        <v>2857.3950150000001</v>
      </c>
      <c r="U164" s="3">
        <f>3156.5+(248.4-707.5)+(-8.049075+(-0.63342--1.804125))+0--172-0.438599999999975</f>
        <v>2862.0830300000002</v>
      </c>
      <c r="V164" s="3">
        <f>3048.3+(288.5-700.3)+(0+(0-0))+0--132.2-0</f>
        <v>2768.7</v>
      </c>
      <c r="W164" s="3">
        <f>2963.5+(290.6-695.3)+(-9.06831+(-0.889236--2.127618))+0--133.5-0.408510000000015</f>
        <v>2684.0615619999999</v>
      </c>
      <c r="X164" s="3">
        <f>2722.5+(339.7-764.9)+(-4.165425+(-0.519741--1.170297))+0--135.2-0.206856000000008</f>
        <v>2428.7782750000001</v>
      </c>
      <c r="Y164" s="3">
        <f>2711.3+(311.1-638.8)+(-1.382763+(-0.158661--0.325788))+4.1--76.2-0.0388619999999923</f>
        <v>2462.6455020000003</v>
      </c>
      <c r="Z164" s="3">
        <f>3159.8+(192-795.3)+(-8.05749+(-0.4896--2.028015))+0--174.5-0.444974999999975</f>
        <v>2724.03595</v>
      </c>
      <c r="AA164" s="3">
        <f>3296.1+(155.9-852.1)+(-8.405055+(-0.397545--2.172855))+0--190.2-0.485009999999972</f>
        <v>2782.9852449999994</v>
      </c>
      <c r="AB164" s="3">
        <f>3353.2+(142-837.3)+(-6.840528+(-0.28968--1.708092))+0--132.6-0.270503999999994</f>
        <v>2784.8073799999993</v>
      </c>
      <c r="AC164" s="3">
        <f>3444.3+(151-888.9)+(0+(0-0))+0--132.6-0</f>
        <v>2839</v>
      </c>
      <c r="AD164">
        <v>2805.9</v>
      </c>
      <c r="AE164" s="3">
        <f>3295+(165.8-853.3)+(0+(0-0))+0--198.4-0</f>
        <v>2805.9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3405.5+(216.5-838.2)+(-1.736805+(-0.110415--0.427482))+0--137-0.0698699999999861</f>
        <v>2919.3103920000003</v>
      </c>
      <c r="G165" s="3">
        <f>3410.3+(217.8-869.3)+(-5.217759+(-0.333234--1.330029))+0--137-0.209610000000008</f>
        <v>2891.3694260000002</v>
      </c>
      <c r="H165" s="3">
        <f>3423+(187.9-921.4)+(-1.74573+(-0.095829--0.469914))+0--138-0.070379999999986</f>
        <v>2826.0579749999997</v>
      </c>
      <c r="I165" s="3">
        <f>3434.4+(184.6-986)+(-3.503088+(-0.188292--1.00572))+0--137.1-0.139842000000022</f>
        <v>2767.2744979999998</v>
      </c>
      <c r="J165" s="3">
        <f>3387.8+(202.3-1002.3)+(-1.727778+(-0.103173--0.511173))+0--136.1-0.0694109999999862</f>
        <v>2722.5108110000001</v>
      </c>
      <c r="K165" s="3">
        <f>3303.5+(233.8-976)+(-6.73914+(-0.476952--1.99104))+0--137.2-0.279887999999994</f>
        <v>2692.9950600000002</v>
      </c>
      <c r="L165" s="3">
        <f>3001.9+(389-935.3)+(-10.716783+(-1.38873--3.339021))+0--134.1-0.478737000000002</f>
        <v>2580.4547710000002</v>
      </c>
      <c r="M165" s="3">
        <f>2824.2+(466.9-972.8)+(-2.880684+(-0.476238--0.992256))+0--135.1-0.137802000000022</f>
        <v>2450.8975319999995</v>
      </c>
      <c r="N165" s="3">
        <f>2759.4+(447-861.1)+(0+(0-0))+0--133.5-0</f>
        <v>2478.8000000000002</v>
      </c>
      <c r="O165" s="3">
        <f>2841.7+(452.2-876.5)+(1.449267+(0.230622-0.447015))+0--131.1--0.0668609999999867</f>
        <v>2549.7997349999991</v>
      </c>
      <c r="P165" s="3">
        <f>3031.8+(390.4-937.2)+(-1.546218+(-0.199104--0.477972))+0--146.4-0.0746639999999851</f>
        <v>2630.0579859999998</v>
      </c>
      <c r="Q165" s="3">
        <f>3187.4+(305.7-953.8)+(-4.876722+(-0.467721--1.459314))+0--191-0.292230000000011</f>
        <v>2726.1226410000004</v>
      </c>
      <c r="R165" s="3">
        <f>3298.7+(225.7-856.5)+(-1.682337+(-0.115107--0.436815))+0--191.7-0.0977669999999806</f>
        <v>2858.1416039999995</v>
      </c>
      <c r="S165" s="3">
        <f>3285.1+(228.1-775.3)+(-3.350802+(-0.232662--0.790806))+0--191.6-0.195432000000031</f>
        <v>2926.5119100000002</v>
      </c>
      <c r="T165" s="3">
        <f>3202.8+(267.1-678.5)+(-1.633428+(-0.136221--0.346035))+28.3--120.4-0.0614039999999878</f>
        <v>2938.6149820000005</v>
      </c>
      <c r="U165" s="3">
        <f>3157.3+(317.3-424.9)+(-6.440892+(-0.647292--0.866796))+0--100.7-0.205427999999996</f>
        <v>3143.9731839999999</v>
      </c>
      <c r="V165" s="3">
        <f>3118.4+(344-501.1)+(4.771152+(0.52632-0.766683))+0--110.8--0.169524000000006</f>
        <v>3076.8003130000002</v>
      </c>
      <c r="W165" s="3">
        <f>2960.5+(361.4-625.2)+(-6.03942+(-0.737256--1.275408))+0--110.9-0.226235999999995</f>
        <v>2801.872496</v>
      </c>
      <c r="X165" s="3">
        <f>2528.4+(493.2-575.3)+(-2.578968+(-0.503064--0.586806))+0--111.3-0.113526000000018</f>
        <v>2554.9912480000003</v>
      </c>
      <c r="Y165" s="3">
        <f>2519.3+(413.9-480.4)+(0+(0-0))+0--109.5-0</f>
        <v>2562.3000000000002</v>
      </c>
      <c r="Z165" s="3">
        <f>3075.4+(257.1-715.4)+(-4.705362+(-0.393363--1.094562))+0--117.3-0.179469000000007</f>
        <v>2730.2163680000003</v>
      </c>
      <c r="AA165" s="3">
        <f>3285.9+(240.2-839.5)+(-8.379045+(-0.61251--2.140725))+0--141-0.35954999999998</f>
        <v>2820.3896200000004</v>
      </c>
      <c r="AB165" s="3">
        <f>3205.3+(252.1-786.5)+(-4.904109+(-0.385713--1.203345))+0--142.9-0.218637000000008</f>
        <v>2809.4948860000004</v>
      </c>
      <c r="AC165" s="3">
        <f>3164.8+(274.2-764.1)+(1.614048+(0.139842-0.389691))+0--143.2--0.0730319999999855</f>
        <v>2819.5372309999998</v>
      </c>
      <c r="AD165">
        <v>2900.8</v>
      </c>
      <c r="AE165" s="3">
        <f>3279+(301.4-822.4)+(0+(0-0))+0--142.8-0</f>
        <v>2900.8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3180.5+(285.6-750.7)+(3.24411+(0.291312-0.765714))+0-6.8-0.00693600000000108</f>
        <v>2711.3627719999995</v>
      </c>
      <c r="G166" s="3">
        <f>3178.3+(294.5-785.7)+(-4.862799+(-0.450585--1.202121))+0-6.9--0.0105570000000004</f>
        <v>2676.0992940000006</v>
      </c>
      <c r="H166" s="3">
        <f>3176.1+(282.6-823.6)+(-3.239622+(-0.288252--0.840072))+0-6.9--0.0070380000000011</f>
        <v>2625.5192360000001</v>
      </c>
      <c r="I166" s="3">
        <f>3177.7+(277.2-854.2)+(-8.103135+(-0.70686--2.17821))+0-7--0.017849999999999</f>
        <v>2587.086065</v>
      </c>
      <c r="J166" s="3">
        <f>3098.2+(301.5-841.6)+(-7.90041+(-0.768825--2.14608))+0-6.9--0.017594999999999</f>
        <v>2544.6944399999998</v>
      </c>
      <c r="K166" s="3">
        <f>2885+(361.7-736.5)+(4.41405+(0.553401-1.126845))+0-6.8-0.0104040000000004</f>
        <v>2507.2302019999997</v>
      </c>
      <c r="L166" s="3">
        <f>2785.6+(463.2-838.2)+(-8.523936+(-1.417392--2.564892))+0--137.2-0.419832000000016</f>
        <v>2540.0037319999997</v>
      </c>
      <c r="M166" s="3">
        <f>2600.4+(487-789)+(1.326204+(0.24837-0.40239))+0--78.6--0.040085999999992</f>
        <v>2378.21227</v>
      </c>
      <c r="N166" s="3">
        <f>2609.8+(432.7-745.4)+(3.992994+(0.662031-1.140462))+0--78.5--0.120105000000005</f>
        <v>2379.2346680000005</v>
      </c>
      <c r="O166" s="3">
        <f>2754.6+(381-789.4)+(0+(0-0))+0--78-0</f>
        <v>2424.1999999999998</v>
      </c>
      <c r="P166" s="3">
        <f>2853.6+(319.5-748)+(4.366008+(0.488835-1.14444))+0--78.2--0.119646000000005</f>
        <v>2507.1300489999999</v>
      </c>
      <c r="Q166" s="3">
        <f>3298+(244.6-967.6)+(3.36396+(0.249492-0.986952))+0--109.9--0.112098000000018</f>
        <v>2687.638598</v>
      </c>
      <c r="R166" s="3">
        <f>3442.9+(200.6-1083.7)+(-7.023516+(-0.409224--2.210748))+0--205.1-0.418403999999991</f>
        <v>2759.2596040000003</v>
      </c>
      <c r="S166" s="3">
        <f>3424.2+(168.5-961.3)+(0+(0-0))+0--207.7-0</f>
        <v>2839.0999999999995</v>
      </c>
      <c r="T166" s="3">
        <f>3411.8+(192.9-890.9)+(1.740018+(0.098379-0.454359))+0--198.7--0.10133699999998</f>
        <v>2913.9853750000002</v>
      </c>
      <c r="U166" s="3">
        <f>3334.7+(216.6-817.9)+(-5.102091+(-0.331398--1.251387))+0--199.4-0.305082000000012</f>
        <v>2928.3128159999997</v>
      </c>
      <c r="V166" s="3">
        <f>3278.1+(235.7-804)+(-6.687324+(-0.480828--1.64016))+0--201.7-0.411467999999991</f>
        <v>2905.5605400000004</v>
      </c>
      <c r="W166" s="3">
        <f>3279.5+(197.8-912.1)+(-5.017635+(-0.302634--1.395513))+0--205.7-0.314721000000012</f>
        <v>2766.6605229999996</v>
      </c>
      <c r="X166" s="3">
        <f>2871.5+(324.3-870.1)+(-7.322325+(-0.826965--2.218755))+0--193.3-0.492914999999972</f>
        <v>2512.5765500000002</v>
      </c>
      <c r="Y166" s="3">
        <f>2889.5+(251.2-827.1)+(0+(0-0))+0--193.9-0</f>
        <v>2507.5</v>
      </c>
      <c r="Z166" s="3">
        <f>3288.7+(146.9-874.8)+(-5.031711+(-0.224757--1.338444))+0--204.2-0.312426000000012</f>
        <v>2760.7695499999995</v>
      </c>
      <c r="AA166" s="3">
        <f>3354.1+(148.2-883.6)+(-5.131773+(-0.226746--1.351908))+0--206.9-0.316557000000012</f>
        <v>2821.276832</v>
      </c>
      <c r="AB166" s="3">
        <f>3273.3+(165.2-822.1)+(-3.338766+(-0.168504--0.838542))+0--207.5-0.211650000000033</f>
        <v>2821.0196219999998</v>
      </c>
      <c r="AC166" s="3">
        <f>3248.4+(194.1-803.4)+(-8.28342+(-0.494955--2.04867))+0--211.7-0.539834999999969</f>
        <v>2843.5304599999999</v>
      </c>
      <c r="AD166">
        <v>3146.8999999999996</v>
      </c>
      <c r="AE166" s="3">
        <f>3365+(301.2-722.9)+(0+(0-0))+0--203.6-0</f>
        <v>3146.9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3338+(230.2-857.3)+(-6.80952+(-0.469608--1.748892))+0--212-0.432479999999991</f>
        <v>2916.9372840000001</v>
      </c>
      <c r="G167" s="3">
        <f>3284.2+(266.7-847.3)+(-8.37471+(-0.680085--2.160615))+0--188.1-0.479654999999973</f>
        <v>2884.3261649999999</v>
      </c>
      <c r="H167" s="3">
        <f>3152.5+(316.6-748.8)+(-6.4311+(-0.645864--1.527552))+0--91.1-0.185843999999996</f>
        <v>2805.6647440000002</v>
      </c>
      <c r="I167" s="3">
        <f>2839.2+(421.8-594.8)+(-1.447992+(-0.215118--0.303348))+0--78.4-0.039983999999992</f>
        <v>2743.2002539999999</v>
      </c>
      <c r="J167" s="3">
        <f>2788.5+(412.4-599.2)+(0+(0-0))+0--78.5-0</f>
        <v>2680.2</v>
      </c>
      <c r="K167" s="3">
        <f>2769.9+(391.8-607.9)+(4.237947+(0.599454-0.930087))+0--78.5--0.120105000000005</f>
        <v>2636.3274190000002</v>
      </c>
      <c r="L167" s="3">
        <f>2750.3+(417.4-760.7)+(-8.415918+(-1.277244--2.327742))+0--78.7-0.240822000000009</f>
        <v>2478.0937579999995</v>
      </c>
      <c r="M167" s="3">
        <f>2813.3+(377.8-855.8)+(2.869566+(0.385356-0.872916))+0--79.4--0.0809880000000127</f>
        <v>2417.1629940000003</v>
      </c>
      <c r="N167" s="3">
        <f>2927+(296.3-828.9)+(4.47831+(0.453339-1.268217))+0--138.4--0.211752000000008</f>
        <v>2536.6751840000002</v>
      </c>
      <c r="O167" s="3">
        <f>3069.9+(229-839)+(1.565649+(0.11679-0.42789))+0--155.8--0.0794579999999842</f>
        <v>2617.0340070000007</v>
      </c>
      <c r="P167" s="3">
        <f>3181.5+(191-880.7)+(1.622565+(0.09741-0.449157))+0--196.1--0.10001099999998</f>
        <v>2689.270829</v>
      </c>
      <c r="Q167" s="3">
        <f>3152.5+(182.2-730)+(0+(0-0))+0--199.2-0</f>
        <v>2803.8999999999996</v>
      </c>
      <c r="R167" s="3">
        <f>3168.3+(252-606.3)+(0+(0-0))+0--204.4-0</f>
        <v>3018.4</v>
      </c>
      <c r="S167" s="3">
        <f>3157.6+(293.9-552.2)+(-4.831128+(-0.449667--0.844866))+0--207.9-0.318087000000012</f>
        <v>3102.4459839999995</v>
      </c>
      <c r="T167" s="3">
        <f>3138.3+(370.1-514.8)+(1.600533+(0.188751-0.262548))+0--198.5--0.10123499999998</f>
        <v>3193.7279710000003</v>
      </c>
      <c r="U167" s="3">
        <f>3207.8+(332.9-531.9)+(-4.907934+(-0.509337--0.813807))+0--202.6-0.309978000000012</f>
        <v>3206.4865580000001</v>
      </c>
      <c r="V167" s="3">
        <f>3234.5+(300.6-583.1)+(-6.59838+(-0.613224--1.189524))+0--206.4-0.421055999999991</f>
        <v>3151.9568639999998</v>
      </c>
      <c r="W167" s="3">
        <f>3233.2+(258-698.3)+(-8.24466+(-0.6579--1.780665))+0--204.3-0.52096499999997</f>
        <v>2989.5571399999994</v>
      </c>
      <c r="X167" s="3">
        <f>3194.8+(237.4-896.5)+(-11.405436+(-0.847518--3.200505))+0--194.6-0.694722000000003</f>
        <v>2720.5528290000002</v>
      </c>
      <c r="Y167" s="3">
        <f>3294.8+(134.8-911.6)+(-3.360696+(-0.137496--0.929832))+0--193.9-0.197778000000031</f>
        <v>2709.1338619999997</v>
      </c>
      <c r="Z167" s="3">
        <f>3360.9+(146.9-803.3)+(-1.714059+(-0.074919--0.409683))+0--204.1-0.104090999999979</f>
        <v>2907.1166139999996</v>
      </c>
      <c r="AA167" s="3">
        <f>3388.4+(180.9-846.1)+(-12.096588+(-0.645813--3.020577))+0--207.5-0.740775000000003</f>
        <v>2920.2374009999994</v>
      </c>
      <c r="AB167" s="3">
        <f>3368.4+(156.7-806.6)+(-3.435768+(-0.159834--0.822732))+0--209.7-0.213894000000033</f>
        <v>2925.2132360000001</v>
      </c>
      <c r="AC167" s="3">
        <f>3251.9+(201.7-733.8)+(-3.316938+(-0.205734--0.748476))+0--214-0.218280000000034</f>
        <v>2930.8075240000003</v>
      </c>
      <c r="AD167">
        <v>2933</v>
      </c>
      <c r="AE167" s="3">
        <f>3372+(177.5-824.1)+(0+(0-0))+0--207.6-0</f>
        <v>2933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3098.4+(270.6-636.8)+(-3.160368+(-0.276012--0.649536))+0--143.2-0.146064000000023</f>
        <v>2872.4670919999999</v>
      </c>
      <c r="G168" s="3">
        <f>3128.7+(259.1-718.3)+(0+(0-0))+0--143.2-0</f>
        <v>2812.7</v>
      </c>
      <c r="H168" s="3">
        <f>3214.3+(211.7-828.4)+(-1.639293+(-0.107967--0.422484))+0--143.2-0.0730319999999855</f>
        <v>2739.4021920000005</v>
      </c>
      <c r="I168" s="3">
        <f>3239+(188.6-897.9)+(-4.95567+(-0.288558--1.373787))+0--143.2-0.219096000000008</f>
        <v>2668.8104629999998</v>
      </c>
      <c r="J168" s="3">
        <f>3048.2+(251.2-755.4)+(-3.109164+(-0.256224--0.770508))+0--143.2-0.146064000000023</f>
        <v>2684.4590559999997</v>
      </c>
      <c r="K168" s="3">
        <f>3005.6+(253.4-756.7)+(-3.065712+(-0.258468--0.771834))+0--143.3-0.146166000000023</f>
        <v>2642.901488</v>
      </c>
      <c r="L168" s="3">
        <f>2888.1+(293.5-805.3)+(-5.891724+(-0.59874--1.642812))+0--151.5-0.309059999999993</f>
        <v>2522.6432880000002</v>
      </c>
      <c r="M168" s="3">
        <f>2901.7+(282.7-889.8)+(2.959734+(0.288354-0.907596))+0--150.9--0.153918000000024</f>
        <v>2447.9944099999998</v>
      </c>
      <c r="N168" s="3">
        <f>3202+(202.4-1012.9)+(3.26604+(0.206448-1.033158))+0--150.9--0.153918000000024</f>
        <v>2544.9932480000002</v>
      </c>
      <c r="O168" s="3">
        <f>3288.8+(142.3-1024.6)+(0+(0-0))+0--177.2-0</f>
        <v>2583.6999999999998</v>
      </c>
      <c r="P168" s="3">
        <f>3330.2+(134.9-982.5)+(-3.396804+(-0.137598--1.00215))+0--195.1-0.199002000000031</f>
        <v>2674.968746</v>
      </c>
      <c r="Q168" s="3">
        <f>3347.9+(111.9-848.6)+(1.707429+(0.057069-0.432786))+0--197.7--0.10082699999998</f>
        <v>2810.3325389999995</v>
      </c>
      <c r="R168" s="3">
        <f>3343.4+(135.5-747.3)+(-1.705134+(-0.069105--0.381123))+0--203.6-0.103835999999979</f>
        <v>2933.7030480000003</v>
      </c>
      <c r="S168" s="3">
        <f>3313.3+(186.5-669)+(-3.379566+(-0.19023--0.68238))+0--198.6-0.202572000000032</f>
        <v>3026.3100119999999</v>
      </c>
      <c r="T168" s="3">
        <f>3309.7+(231.9-608.9)+(1.687947+(0.118269-0.310539))+0--197.1--0.10052099999998</f>
        <v>3131.3961979999995</v>
      </c>
      <c r="U168" s="3">
        <f>3281.6+(239.8-598.3)+(-3.347232+(-0.244596--0.610266))+0--197-0.200940000000031</f>
        <v>3116.9174979999998</v>
      </c>
      <c r="V168" s="3">
        <f>3250.1+(227.6-578.4)+(-1.657551+(-0.116076--0.294984))+0--198.4-0.10118399999998</f>
        <v>3096.1201730000002</v>
      </c>
      <c r="W168" s="3">
        <f>3255.3+(206.4-747.5)+(-4.980609+(-0.315792--1.143675))+0--201.1-0.307683000000012</f>
        <v>2910.8395910000004</v>
      </c>
      <c r="X168" s="3">
        <f>3273.4+(175.3-982.8)+(-5.008302+(-0.268209--1.503684))+0--192.8-0.294984000000011</f>
        <v>2654.6321890000004</v>
      </c>
      <c r="Y168" s="3">
        <f>3212.6+(129.2-851.3)+(-3.276852+(-0.131784--0.868326))+0--159.1-0.162282000000025</f>
        <v>2646.8974079999998</v>
      </c>
      <c r="Z168" s="3">
        <f>3428.5+(94.9-897.4)+(-1.748535+(-0.048399--0.457674))+0--202.3-0.103172999999979</f>
        <v>2826.857567</v>
      </c>
      <c r="AA168" s="3">
        <f>3421.9+(136.9-911.4)+(-6.980676+(-0.279276--1.859256))+0--205.8-0.419831999999991</f>
        <v>2847.3794720000001</v>
      </c>
      <c r="AB168" s="3">
        <f>3408.9+(145.1-926.6)+(-10.431234+(-0.444006--2.835396))+0--207.9-0.636174000000024</f>
        <v>2826.6239820000001</v>
      </c>
      <c r="AC168" s="3">
        <f>3417.4+(149.6-937.8)+(-1.742874+(-0.076296--0.478278))+0--212.1-0.108170999999978</f>
        <v>2839.8509370000002</v>
      </c>
      <c r="AD168">
        <v>2912.2999999999997</v>
      </c>
      <c r="AE168" s="3">
        <f>3466+(130-891.3)+(0+(0-0))+0--207.6-0</f>
        <v>2912.2999999999997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3406.9+(215.8-938.4)+(-1.737519+(-0.110058--0.478584))+0--203.1-0.103580999999979</f>
        <v>2885.9274260000002</v>
      </c>
      <c r="G169" s="3">
        <f>3423.3+(214.4-1019.1)+(-5.237649+(-0.328032--1.559223))+0--201.2-0.307836000000012</f>
        <v>2815.4857060000004</v>
      </c>
      <c r="H169" s="3">
        <f>3442+(159.6-1072.6)+(-1.75542+(-0.081396--0.547026))+0--203.2-0.103631999999979</f>
        <v>2730.8065780000002</v>
      </c>
      <c r="I169" s="3">
        <f>3407.8+(168.1-1076.7)+(-3.475956+(-0.171462--1.098234))+0--143.2-0.146064000000023</f>
        <v>2639.7047520000001</v>
      </c>
      <c r="J169" s="3">
        <f>3181.4+(216.5-912)+(4.867542+(0.331245-1.39536))+0--143.3--0.219249000000008</f>
        <v>2633.2226760000003</v>
      </c>
      <c r="K169" s="3">
        <f>3183.6+(228-863.2)+(0+(0-0))+0--83.3-0</f>
        <v>2631.7</v>
      </c>
      <c r="L169" s="3">
        <f>3004.9+(331.5-996.8)+(-9.194994+(-1.01439--3.050208))+0--77-0.235620000000009</f>
        <v>2409.2052040000003</v>
      </c>
      <c r="M169" s="3">
        <f>2978.8+(319.8-1009.4)+(1.519188+(0.163098-0.514794))+0--77.8--0.0396779999999921</f>
        <v>2368.2071700000006</v>
      </c>
      <c r="N169" s="3">
        <f>2981+(280.9-865.8)+(-1.52031+(-0.143259--0.441558))+0--77.6-0.0395759999999921</f>
        <v>2472.4384129999999</v>
      </c>
      <c r="O169" s="3">
        <f>3032.9+(240.1-866.8)+(1.546779+(0.122451-0.442068))+0--126.8--0.0646679999999871</f>
        <v>2534.2918300000006</v>
      </c>
      <c r="P169" s="3">
        <f>3047.8+(260.2-858.7)+(1.554378+(0.132702-0.437937))+0--192--0.0979199999999805</f>
        <v>2642.6470630000003</v>
      </c>
      <c r="Q169" s="3">
        <f>2958.6+(299.1-697.4)+(4.526658+(0.457623-1.067022))+0--196.4--0.300492000000011</f>
        <v>2760.917751</v>
      </c>
      <c r="R169" s="3">
        <f>2953.9+(299.6-564.1)+(-4.519467+(-0.458388--0.863073))+0--202.6-0.309978000000012</f>
        <v>2887.5752399999997</v>
      </c>
      <c r="S169" s="3">
        <f>3013.6+(314-554.7)+(0+(0-0))+0--200.1-0</f>
        <v>2972.9999999999995</v>
      </c>
      <c r="T169" s="3">
        <f>3094.3+(338.1-547.1)+(-1.578093+(-0.172431--0.279021))+0--196.3-0.10011299999998</f>
        <v>3080.0283840000002</v>
      </c>
      <c r="U169" s="3">
        <f>3091.7+(357.7-533.8)+(3.153534+(0.364854-0.544476))+0--195.2--0.199104000000031</f>
        <v>3113.9730159999995</v>
      </c>
      <c r="V169" s="3">
        <f>3071.9+(332.4-526.2)+(0+(0-0))+0--196.1-0</f>
        <v>3074.2</v>
      </c>
      <c r="W169" s="3">
        <f>3136.8+(271.1-696.4)+(-6.399072+(-0.553044--1.420656))+0--202-0.412079999999991</f>
        <v>2907.5564599999998</v>
      </c>
      <c r="X169" s="3">
        <f>3136.6+(239.2-915)+(-4.798998+(-0.365976--1.39995))+0--193.3-0.295749000000011</f>
        <v>2650.0392270000007</v>
      </c>
      <c r="Y169" s="3">
        <f>3280+(150-985.8)+(1.6728+(0.0765-0.502758))+0--196.7--0.10031699999998</f>
        <v>2642.2468589999994</v>
      </c>
      <c r="Z169" s="3">
        <f>3555.7+(91.7-1001)+(-3.626814+(-0.093534--1.02102))+0--205.8-0.209916000000033</f>
        <v>2849.2907559999994</v>
      </c>
      <c r="AA169" s="3">
        <f>3583.5+(77.5-1006.4)+(-9.137925+(-0.197625--2.56632))+0--207.8-0.52988999999997</f>
        <v>2855.1008800000004</v>
      </c>
      <c r="AB169" s="3">
        <f>3603.5+(93.8-1035.8)+(-5.513355+(-0.143514--1.584774))+0--211.1-0.322983000000012</f>
        <v>2868.2049219999999</v>
      </c>
      <c r="AC169" s="3">
        <f>3600.6+(108.6-1023.6)+(-3.672612+(-0.110772--1.044072))+0--211-0.215220000000034</f>
        <v>2893.6454679999997</v>
      </c>
      <c r="AD169">
        <v>2912.1</v>
      </c>
      <c r="AE169" s="3">
        <f>3565+(91-946.5)+(0+(0-0))+0--202.6-0</f>
        <v>2912.1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3571.8+(183.9-1066)+(-5.464854+(-0.281367--1.63098))+0--203-0.310590000000012</f>
        <v>2888.2741690000003</v>
      </c>
      <c r="G170" s="3">
        <f>3532.5+(222.8-1095.9)+(-5.404725+(-0.340884--1.676727))+0--204.5-0.312885000000012</f>
        <v>2859.5182329999998</v>
      </c>
      <c r="H170" s="3">
        <f>3521.6+(168.7-1114.1)+(-3.592032+(-0.172074--1.136382))+0--216-0.220320000000034</f>
        <v>2789.351956</v>
      </c>
      <c r="I170" s="3">
        <f>3460.7+(177.2-1118.2)+(-5.294871+(-0.271116--1.710846))+0--213.8-0.327114000000012</f>
        <v>2729.3177449999998</v>
      </c>
      <c r="J170" s="3">
        <f>3291.7+(201.8-999.7)+(1.678767+(0.102918-0.509847))+0--189.9--0.0968489999999807</f>
        <v>2685.068687</v>
      </c>
      <c r="K170" s="3">
        <f>3206.5+(220.2-945.8)+(3.27063+(0.224604-0.964716))+0--143.2--0.146064000000023</f>
        <v>2626.776582</v>
      </c>
      <c r="L170" s="3">
        <f>2963.1+(343.1-953.5)+(-1.511181+(-0.174981--0.486285))+0--103.9-0.0529889999999895</f>
        <v>2455.3471340000001</v>
      </c>
      <c r="M170" s="3">
        <f>2781.5+(396.7-904.1)+(-2.83713+(-0.404634--0.922182))+0--77.2-0.0787440000000123</f>
        <v>2348.9016739999997</v>
      </c>
      <c r="N170" s="3">
        <f>3064.1+(251.6-960.1)+(-3.125382+(-0.256632--0.979302))+0--79.2-0.0807840000000126</f>
        <v>2432.3165039999994</v>
      </c>
      <c r="O170" s="3">
        <f>3093+(243.3-860.2)+(1.57743+(0.124083-0.438702))+0--79.8--0.0406979999999919</f>
        <v>2557.2035089999999</v>
      </c>
      <c r="P170" s="3">
        <f>3091.4+(249.8-768.9)+(3.153228+(0.254796-0.784278))+0--79.6--0.0811920000000127</f>
        <v>2654.6049380000004</v>
      </c>
      <c r="Q170" s="3">
        <f>3081.3+(219.6-602.8)+(0+(0-0))+0--80-0</f>
        <v>2778.1000000000004</v>
      </c>
      <c r="R170" s="3">
        <f>3186.2+(192.5-573.8)+(1.624962+(0.098175-0.292638))+0--88--0.0448799999999911</f>
        <v>2894.3753789999996</v>
      </c>
      <c r="S170" s="3">
        <f>3189.3+(249.9-576.6)+(-6.506172+(-0.509796--1.176264))+0--138.7-0.282947999999994</f>
        <v>2995.1773480000002</v>
      </c>
      <c r="T170" s="3">
        <f>3264.2+(285.7-596.6)+(1.664742+(0.145707-0.304266))+0--156.4--0.0797639999999841</f>
        <v>3111.2859469999999</v>
      </c>
      <c r="U170" s="3">
        <f>3271+(295.2-607)+(-5.00463+(-0.451656--0.92871))+0--198-0.302940000000011</f>
        <v>3152.3694839999998</v>
      </c>
      <c r="V170" s="3">
        <f>3243.4+(264.2-599)+(-1.654134+(-0.134742--0.30549))+0--200.5-0.10225499999998</f>
        <v>3107.5143590000002</v>
      </c>
      <c r="W170" s="3">
        <f>3250.4+(211.6-730.7)+(-4.973112+(-0.323748--1.117971))+0--201.1-0.307683000000012</f>
        <v>2927.9134280000003</v>
      </c>
      <c r="X170" s="3">
        <f>3109.5+(209.1-784.4)+(-3.17169+(-0.213282--0.800088))+0--152.9-0.155958000000024</f>
        <v>2684.3591580000002</v>
      </c>
      <c r="Y170" s="3">
        <f>3065.5+(159.3-719.9)+(0+(0-0))+0--184.7-0</f>
        <v>2689.6</v>
      </c>
      <c r="Z170" s="3">
        <f>3273.8+(125.2-737.5)+(0+(0-0))+0--202.7-0</f>
        <v>2864.2</v>
      </c>
      <c r="AA170" s="3">
        <f>3364.6+(138-799)+(-8.57973+(-0.3519--2.03745))+0--204.1-0.52045499999997</f>
        <v>2900.2853650000002</v>
      </c>
      <c r="AB170" s="3">
        <f>3351.4+(136.5-783.4)+(-8.54607+(-0.348075--1.99767))+0--203.3-0.518414999999971</f>
        <v>2900.3851100000002</v>
      </c>
      <c r="AC170" s="3">
        <f>3336.8+(147.8-781.8)+(-5.105304+(-0.226134--1.196154))+0--203.6-0.311508000000012</f>
        <v>2901.9532079999999</v>
      </c>
      <c r="AD170">
        <v>2973.1</v>
      </c>
      <c r="AE170" s="3">
        <f>3381+(130.4-741.4)+(0+(0-0))+0--203.1-0</f>
        <v>2973.1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3349.4+(192.6-793.6)+(-6.832776+(-0.392904--1.618944))+0--204.8-0.417791999999991</f>
        <v>2947.1754719999999</v>
      </c>
      <c r="G171" s="3">
        <f>3369.6+(208.8-885.1)+(-5.155488+(-0.319464--1.354203))+0--205.3-0.314109000000012</f>
        <v>2894.1651420000003</v>
      </c>
      <c r="H171" s="3">
        <f>3378.5+(179.9-930.7)+(-1.723035+(-0.091749--0.474657))+0--205.4-0.104753999999979</f>
        <v>2831.655119</v>
      </c>
      <c r="I171" s="3">
        <f>3342.7+(176.6-942.5)+(-6.819108+(-0.360264--1.9227))+0--205.3-0.418811999999991</f>
        <v>2776.424516</v>
      </c>
      <c r="J171" s="3">
        <f>3060.9+(248.1-784.9)+(-3.122118+(-0.253062--0.800598))+0--205.3-0.209406000000033</f>
        <v>2726.6160120000004</v>
      </c>
      <c r="K171" s="3">
        <f>2897.1+(304.2-693.6)+(1.477521+(0.155142-0.353736))+0--168.3--0.0858329999999829</f>
        <v>2677.3647599999999</v>
      </c>
      <c r="L171" s="3">
        <f>2747.8+(318.3-689.9)+(-9.809646+(-1.136331--2.462943))+0--146.5-0.523005000000002</f>
        <v>2513.6939610000004</v>
      </c>
      <c r="M171" s="3">
        <f>2641.9+(300-700)+(2.694738+(0.306-0.714))+0--146.5--0.149430000000023</f>
        <v>2390.8361679999998</v>
      </c>
      <c r="N171" s="3">
        <f>2829.7+(258.6-776.2)+(-1.443147+(-0.131886--0.395862))+0--146.1-0.0745109999999852</f>
        <v>2456.9463179999998</v>
      </c>
      <c r="O171" s="3">
        <f>2865.5+(179.3-812.3)+(0+(0-0))+0--160.5-0</f>
        <v>2393</v>
      </c>
      <c r="P171" s="3">
        <f>3230.3+(99.9-831.6)+(-1.647453+(-0.050949--0.424116))+0--203-0.103529999999979</f>
        <v>2700.2221840000007</v>
      </c>
      <c r="Q171" s="3">
        <f>3271.4+(99.8-777.4)+(-1.668414+(-0.050898--0.396474))+0--155.9-0.0795089999999842</f>
        <v>2748.2976530000001</v>
      </c>
      <c r="R171" s="3">
        <f>3248+(166-605.9)+(-1.65648+(-0.08466--0.309009))+0--76.5-0.0390149999999922</f>
        <v>2883.128854</v>
      </c>
      <c r="S171" s="3">
        <f>3228.8+(253.1-577.4)+(-4.940064+(-0.387243--0.883422))+0--75.2-0.115056000000004</f>
        <v>2975.1410589999996</v>
      </c>
      <c r="T171" s="3">
        <f>3264.1+(244.3-602.4)+(-4.994073+(-0.373779--0.921672))+0--184.7-0.282591000000011</f>
        <v>3085.9712289999998</v>
      </c>
      <c r="U171" s="3">
        <f>3280.8+(243.1-596.2)+(-8.36604+(-0.619905--1.52031))+0--198.3-0.505664999999971</f>
        <v>3118.0287000000003</v>
      </c>
      <c r="V171" s="3">
        <f>3277.9+(215.8-622.7)+(-6.686916+(-0.440232--1.270308))+0--198.9-0.405755999999991</f>
        <v>3063.6374040000001</v>
      </c>
      <c r="W171" s="3">
        <f>3270+(201.2-804.7)+(-10.0062+(-0.615672--2.462382))+0--198.2-0.606492000000023</f>
        <v>2855.9340179999999</v>
      </c>
      <c r="X171" s="3">
        <f>3129.3+(223.5-867.6)+(-11.171601+(-0.797895--3.097332))+0--172.9-0.617253000000002</f>
        <v>2648.6105830000006</v>
      </c>
      <c r="Y171" s="3">
        <f>3047+(174.1-709.7)+(-1.55397+(-0.088791--0.361947))+0--140.8-0.0718079999999857</f>
        <v>2650.8473779999999</v>
      </c>
      <c r="Z171" s="3">
        <f>3359.9+(106.7-775.7)+(-6.854196+(-0.217668--1.582428))+0--140.8-0.287231999999994</f>
        <v>2825.9233320000003</v>
      </c>
      <c r="AA171" s="3">
        <f>3396.9+(126.2-809.7)+(-10.394514+(-0.386172--2.477682))+0--141.3-0.432378000000016</f>
        <v>2845.9646180000004</v>
      </c>
      <c r="AB171" s="3">
        <f>3428.2+(113.8-828)+(-8.74191+(-0.29019--2.1114))+0--142.2-0.362609999999979</f>
        <v>2848.9166899999996</v>
      </c>
      <c r="AC171" s="3">
        <f>3438+(112.2-828.7)+(-3.50676+(-0.114444--0.845274))+0--142.9-0.145758000000023</f>
        <v>2861.4783120000002</v>
      </c>
      <c r="AD171">
        <v>3001.2000000000003</v>
      </c>
      <c r="AE171" s="3">
        <f>3405+(219.8-765)+(0+(0-0))+0--141.4-0</f>
        <v>3001.2000000000003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3454+(94.8-864.9)+(-3.52308+(-0.096696--0.882198))+0--193.9-0.197778000000031</f>
        <v>2874.8646439999998</v>
      </c>
      <c r="G172" s="3">
        <f>3463.1+(170.8-964.4)+(-5.298543+(-0.261324--1.475532))+0--204.5-0.312885000000012</f>
        <v>2869.6027800000002</v>
      </c>
      <c r="H172" s="3">
        <f>3478.9+(179.9-1048.7)+(-1.774239+(-0.091749--0.534837))+0--198.1-0.10103099999998</f>
        <v>2806.7678179999998</v>
      </c>
      <c r="I172" s="3">
        <f>3477+(178.6-1099.4)+(-3.54654+(-0.182172--1.121388))+0--197.8-0.201756000000032</f>
        <v>2751.19092</v>
      </c>
      <c r="J172" s="3">
        <f>3317.6+(205.3-976.9)+(1.691976+(0.104703-0.498219))+0--141.8--0.0723179999999856</f>
        <v>2689.1707780000002</v>
      </c>
      <c r="K172" s="3">
        <f>3225.7+(255.8-946.1)+(-8.225535+(-0.65229--2.412555))+0--139.4-0.35546999999998</f>
        <v>2667.9792599999996</v>
      </c>
      <c r="L172" s="3">
        <f>2898.4+(361.4-880.9)+(-5.912736+(-0.737256--1.797036))+0--139.7-0.284987999999994</f>
        <v>2513.4620559999998</v>
      </c>
      <c r="M172" s="3">
        <f>2871.2+(384.7-973.1)+(-1.464312+(-0.196197--0.496281))+0--183-0.0933299999999814</f>
        <v>2464.5424419999995</v>
      </c>
      <c r="N172" s="3">
        <f>3019.1+(272.3-976.8)+(1.539741+(0.138873-0.498168))+0--197.2--0.10057199999998</f>
        <v>2513.0810179999994</v>
      </c>
      <c r="O172" s="3">
        <f>3214.4+(132.8-995.7)+(3.278688+(0.135456-1.015614))+0--197.1--0.201042000000031</f>
        <v>2551.199572</v>
      </c>
      <c r="P172" s="3">
        <f>3293.2+(85.7-932.9)+(1.679532+(0.043707-0.475779))+0--195--0.0994499999999802</f>
        <v>2642.3469100000002</v>
      </c>
      <c r="Q172" s="3">
        <f>3359.5+(47.9-866.1)+(3.42669+(0.048858-0.883422))+0--194.4--0.198288000000031</f>
        <v>2738.4904140000003</v>
      </c>
      <c r="R172" s="3">
        <f>3372.6+(84-853)+(0+(0-0))+0--192.3-0</f>
        <v>2795.9</v>
      </c>
      <c r="S172" s="3">
        <f>3310.5+(143.6-800.5)+(-8.441775+(-0.36618--2.041275))+0--197.7-0.504134999999971</f>
        <v>2844.0291849999994</v>
      </c>
      <c r="T172" s="3">
        <f>3307.1+(178.8-755.4)+(3.373242+(0.182376-0.770508))+0--197.2--0.201144000000031</f>
        <v>2930.6862539999997</v>
      </c>
      <c r="U172" s="3">
        <f>3266.6+(198.1-703.6)+(-3.331932+(-0.202062--0.717672))+0--197.8-0.201756000000032</f>
        <v>2955.881922</v>
      </c>
      <c r="V172" s="3">
        <f>3263.4+(146.8-703.9)+(-11.650338+(-0.524076--2.512923))+0--197.9-0.706503000000003</f>
        <v>2893.8320060000005</v>
      </c>
      <c r="W172" s="3">
        <f>3272.2+(118.9-835)+(-8.34411+(-0.303195--2.12925))+0--198.3-0.505664999999971</f>
        <v>2747.37628</v>
      </c>
      <c r="X172" s="3">
        <f>3144.6+(183.5-987.2)+(-4.811238+(-0.280755--1.510416))+0--198.3-0.303399000000011</f>
        <v>2535.315024</v>
      </c>
      <c r="Y172" s="3">
        <f>3186.8+(106.8-929.8)+(-1.625268+(-0.054468--0.474198))+0--199.1-0.10154099999998</f>
        <v>2561.5929209999999</v>
      </c>
      <c r="Z172" s="3">
        <f>3405+(47.1-927.8)+(-8.68275+(-0.120105--2.36589))+0--201-0.512549999999971</f>
        <v>2718.3504850000004</v>
      </c>
      <c r="AA172" s="3">
        <f>3466.4+(55.4-965.5)+(-5.303592+(-0.084762--1.477215))+0--201.3-0.307989000000012</f>
        <v>2753.3808720000006</v>
      </c>
      <c r="AB172" s="3">
        <f>3211.6+(95.2-843.4)+(-8.18958+(-0.24276--2.15067))+0--204.2-0.52070999999997</f>
        <v>2660.7976200000003</v>
      </c>
      <c r="AC172" s="3">
        <f>3176.4+(125.7-806.3)+(0+(0-0))+0--205-0</f>
        <v>2700.8</v>
      </c>
      <c r="AD172">
        <v>2778.2</v>
      </c>
      <c r="AE172" s="3">
        <f>3444+(51.5-918.3)+(0+(0-0))+0--201-0</f>
        <v>2778.2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3207.5+(134.9-780.6)+(1.635825+(0.068799-0.398106))+0--204.1--0.104090999999979</f>
        <v>2767.3106090000001</v>
      </c>
      <c r="G173" s="3">
        <f>3149.4+(155-763.5)+(-4.818582+(-0.23715--1.168155))+0--202.9-0.310437000000012</f>
        <v>2739.6019860000001</v>
      </c>
      <c r="H173" s="3">
        <f>3190.2+(134.5-848.6)+(4.881006+(0.205785-1.298358))+0--203.5--0.311355000000012</f>
        <v>2683.6997879999999</v>
      </c>
      <c r="I173" s="3">
        <f>3240.8+(84.2-897.5)+(-3.305616+(-0.085884--0.91545))+0--207.8-0.211956000000033</f>
        <v>2632.6119939999999</v>
      </c>
      <c r="J173" s="3">
        <f>3251.2+(95.1-958.5)+(1.658112+(0.048501-0.488835))+0--204.7--0.104396999999979</f>
        <v>2593.8221749999998</v>
      </c>
      <c r="K173" s="3">
        <f>3096.3+(153.4-889.7)+(-3.158226+(-0.156468--0.907494))+0--194.2-0.198084000000031</f>
        <v>2551.5947159999996</v>
      </c>
      <c r="L173" s="3">
        <f>2728.6+(271.9-705.2)+(-2.783172+(-0.277338--0.719304))+0--146.4-0.149328000000023</f>
        <v>2439.2094659999998</v>
      </c>
      <c r="M173" s="3">
        <f>2444.1+(318-643.3)+(-2.492982+(-0.32436--0.656166))+0--147.1-0.150042000000023</f>
        <v>2263.5887819999998</v>
      </c>
      <c r="N173" s="3">
        <f>2434.5+(285.7-614.2)+(-4.96638+(-0.582828--1.252968))+0--146-0.297839999999994</f>
        <v>2247.4059199999997</v>
      </c>
      <c r="O173" s="3">
        <f>2439.1+(267.4-576.1)+(3.731823+(0.409122-0.881433))+0--143.7--0.219861000000008</f>
        <v>2277.5793729999996</v>
      </c>
      <c r="P173" s="3">
        <f>2604.4+(211.2-603.3)+(-3.984732+(-0.323136--0.923049))+0--142.2-0.217566000000008</f>
        <v>2350.8976150000003</v>
      </c>
      <c r="Q173" s="3">
        <f>2789.6+(164.8-674)+(-1.422696+(-0.084048--0.34374))+0--170.1-0.0867509999999827</f>
        <v>2449.2502450000002</v>
      </c>
      <c r="R173" s="3">
        <f>2806.6+(189.2-611.5)+(-5.725464+(-0.385968--1.24746))+0--199.9-0.407795999999991</f>
        <v>2578.9282319999998</v>
      </c>
      <c r="S173" s="3">
        <f>2799.1+(211.7-511.4)+(0+(0-0))+0--197.1-0</f>
        <v>2696.5</v>
      </c>
      <c r="T173" s="3">
        <f>2928.7+(202.8-528.3)+(-2.987274+(-0.206856--0.538866))+0--199.2-0.203184000000032</f>
        <v>2799.5415519999997</v>
      </c>
      <c r="U173" s="3">
        <f>2933+(235.1-517.8)+(-2.99166+(-0.239802--0.528156))+0--199.2-0.203184000000032</f>
        <v>2846.5935100000002</v>
      </c>
      <c r="V173" s="3">
        <f>2881.9+(265.1-523.2)+(-2.939538+(-0.270402--0.533664))+0--202.3-0.206346000000032</f>
        <v>2823.2173780000003</v>
      </c>
      <c r="W173" s="3">
        <f>2744.4+(293.1-570.7)+(-5.598576+(-0.597924--1.164228))+0--200.6-0.409223999999991</f>
        <v>2661.9585040000002</v>
      </c>
      <c r="X173" s="3">
        <f>2554.3+(325-634.9)+(-3.908079+(-0.49725--0.971397))+0--203.3-0.311049000000012</f>
        <v>2443.9550190000004</v>
      </c>
      <c r="Y173" s="3">
        <f>2693.1+(234.3-634.8)+(-1.373481+(-0.119493--0.323748))+0--202.7-0.103376999999979</f>
        <v>2494.0273969999998</v>
      </c>
      <c r="Z173" s="3">
        <f>3093.1+(106.7-752)+(-6.309924+(-0.217668--1.53408))+0--204.2-0.416567999999991</f>
        <v>2646.5899199999999</v>
      </c>
      <c r="AA173" s="3">
        <f>3028.4+(144.5-676.1)+(-10.811388+(-0.515865--2.413677))+0--205-0.731850000000003</f>
        <v>2692.1545740000001</v>
      </c>
      <c r="AB173" s="3">
        <f>3015.4+(142.7-637.4)+(3.075708+(0.145554-0.650148))+0--206.4--0.210528000000033</f>
        <v>2729.8816420000003</v>
      </c>
      <c r="AC173" s="3">
        <f>3117.1+(143.6-708.1)+(-1.589721+(-0.073236--0.361131))+0--208.3-0.106232999999979</f>
        <v>2759.4919410000002</v>
      </c>
      <c r="AD173">
        <v>2722.8</v>
      </c>
      <c r="AE173" s="3">
        <f>3162+(98.3-748.1)+(0+(0-0))+0--210.6-0</f>
        <v>2722.7999999999997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3182.4+(133.2-738)+(0+(0-0))+0--213.9-0</f>
        <v>2791.5000000000005</v>
      </c>
      <c r="G174" s="3">
        <f>3189.4+(180.7-831.2)+(-1.626594+(-0.092157--0.423912))+0--214-0.109139999999978</f>
        <v>2751.4960209999999</v>
      </c>
      <c r="H174" s="3">
        <f>3199+(167.6-876.3)+(0+(0-0))+0--215.1-0</f>
        <v>2705.4</v>
      </c>
      <c r="I174" s="3">
        <f>3171.8+(167-894)+(-6.470472+(-0.34068--1.82376))+0--215.9-0.440435999999991</f>
        <v>2655.2721720000004</v>
      </c>
      <c r="J174" s="3">
        <f>3091.4+(191.2-869.9)+(-9.459684+(-0.585072--2.661894))+0--216-0.660960000000025</f>
        <v>2620.6561779999997</v>
      </c>
      <c r="K174" s="3">
        <f>2938.7+(228.8-800.2)+(-2.997474+(-0.233376--0.816204))+0--216.1-0.220422000000034</f>
        <v>2580.7649319999996</v>
      </c>
      <c r="L174" s="3">
        <f>2828.7+(250.6-880)+(-7.213185+(-0.63903--2.244))+0--210.2-0.536009999999969</f>
        <v>2403.3557749999995</v>
      </c>
      <c r="M174" s="3">
        <f>2666.3+(261.2-834.9)+(-1.359813+(-0.133212--0.425799))+0--209.7-0.106946999999979</f>
        <v>2301.1258270000003</v>
      </c>
      <c r="N174" s="3">
        <f>2639.3+(255.6-713.3)+(0+(0-0))+0--207.6-0</f>
        <v>2389.2000000000003</v>
      </c>
      <c r="O174" s="3">
        <f>2832.3+(196-751.2)+(-1.444473+(-0.09996--0.383112))+0--206.3-0.105212999999979</f>
        <v>2482.1334660000007</v>
      </c>
      <c r="P174" s="3">
        <f>3004.8+(134.2-757.5)+(6.129792+(0.273768-1.5453))+0--203.2--0.414527999999991</f>
        <v>2589.9727879999996</v>
      </c>
      <c r="Q174" s="3">
        <f>3071.9+(109.6-682.1)+(1.566669+(0.055896-0.347871))+0--198.2--0.10108199999998</f>
        <v>2698.9757760000002</v>
      </c>
      <c r="R174" s="3">
        <f>3043.4+(143.7-536.2)+(-3.104268+(-0.146574--0.546924))+0--201-0.205020000000032</f>
        <v>2848.9910620000001</v>
      </c>
      <c r="S174" s="3">
        <f>2995.5+(289.1-538.4)+(-6.11082+(-0.589764--1.098336))+0--204.2-0.416567999999991</f>
        <v>2944.3811839999994</v>
      </c>
      <c r="T174" s="3">
        <f>3038.2+(411.1-591.2)+(-1.549482+(-0.209661--0.301512))+0--205.4-0.104753999999979</f>
        <v>3061.9376149999998</v>
      </c>
      <c r="U174" s="3">
        <f>3033.2+(390.8-531.5)+(-1.546932+(-0.199308--0.271065))+0--204-0.104039999999979</f>
        <v>3094.9207849999998</v>
      </c>
      <c r="V174" s="3">
        <f>3025.5+(298.6-482.3)+(-4.629015+(-0.456858--0.737919))+0--204.2-0.312426000000012</f>
        <v>3041.3396200000002</v>
      </c>
      <c r="W174" s="3">
        <f>3021.4+(261.5-622)+(-7.70457+(-0.666825--1.5861))+0--206.4-0.52631999999997</f>
        <v>2859.9883850000001</v>
      </c>
      <c r="X174" s="3">
        <f>2903.4+(252.9-750.4)+(-4.442202+(-0.386937--1.148112))+0--203.9-0.311967000000012</f>
        <v>2605.807006</v>
      </c>
      <c r="Y174" s="3">
        <f>2957.2+(196.9-701.4)+(0+(0-0))+0--204.7-0</f>
        <v>2657.3999999999996</v>
      </c>
      <c r="Z174" s="3">
        <f>3135+(184.7-683.3)+(-7.99425+(-0.470985--1.742415))+0--204.9-0.52249499999997</f>
        <v>2834.0546850000001</v>
      </c>
      <c r="AA174" s="3">
        <f>3148.6+(186.1-689.8)+(-8.02893+(-0.474555--1.75899))+0--206.6-0.52682999999997</f>
        <v>2844.2286750000003</v>
      </c>
      <c r="AB174" s="3">
        <f>3066.5+(208.6-631.5)+(-6.25566+(-0.425544--1.28826))+0--206.7-0.421667999999991</f>
        <v>2844.4853879999996</v>
      </c>
      <c r="AC174" s="3">
        <f>3062.9+(202.2-623.7)+(0+(0-0))+0--206.4-0</f>
        <v>2847.8</v>
      </c>
      <c r="AD174">
        <v>2931.6</v>
      </c>
      <c r="AE174" s="3">
        <f>3142+(226.8-654.8)+(0+(0-0))+0--217.6-0</f>
        <v>2931.6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3178.9+(179.4-651.1)+(-8.106195+(-0.45747--1.660305))+0--211.7-0.539834999999969</f>
        <v>2911.4568049999998</v>
      </c>
      <c r="G175" s="3">
        <f>3185.8+(178-717.8)+(-6.499032+(-0.36312--1.464312))+0--211.7-0.431867999999991</f>
        <v>2851.8702919999996</v>
      </c>
      <c r="H175" s="3">
        <f>3198.4+(165.1-784.9)+(-3.262368+(-0.168402--0.800598))+0--212.7-0.216954000000034</f>
        <v>2788.4528740000001</v>
      </c>
      <c r="I175" s="3">
        <f>3217.7+(176.2-829.5)+(-8.205135+(-0.44931--2.115225))+0--172.7-0.440384999999975</f>
        <v>2730.1203949999995</v>
      </c>
      <c r="J175" s="3">
        <f>3149.4+(182.2-794.5)+(4.818582+(0.278766-1.215585))+0--148.8--0.227664000000009</f>
        <v>2690.0094270000004</v>
      </c>
      <c r="K175" s="3">
        <f>3007.2+(217-726.6)+(4.601016+(0.33201-1.111698))+0--149--0.227970000000009</f>
        <v>2650.6492979999998</v>
      </c>
      <c r="L175" s="3">
        <f>2803.3+(330.5-726.1)+(-2.859366+(-0.33711--0.740622))+0--146.3-0.149226000000023</f>
        <v>2551.3949200000006</v>
      </c>
      <c r="M175" s="3">
        <f>2567.5+(417-677.2)+(1.309425+(0.21267-0.345372))+0--147.3--0.0751229999999851</f>
        <v>2455.8518460000005</v>
      </c>
      <c r="N175" s="3">
        <f>2695.3+(331.7-679)+(-1.374603+(-0.169167--0.34629))+0--169.4-0.0863939999999828</f>
        <v>2516.1161260000003</v>
      </c>
      <c r="O175" s="3">
        <f>2975.2+(231.7-822.3)+(0+(0-0))+0--206-0</f>
        <v>2590.6</v>
      </c>
      <c r="P175" s="3">
        <f>3011.1+(247.3-759)+(1.535661+(0.126123-0.38709))+0--204.4--0.104243999999979</f>
        <v>2705.1789380000005</v>
      </c>
      <c r="Q175" s="3">
        <f>2998.3+(235.5-620.3)+(1.529133+(0.120105-0.316353))+0--202.3--0.103172999999979</f>
        <v>2817.236058</v>
      </c>
      <c r="R175" s="3">
        <f>2972.9+(232.7-512.8)+(-1.516179+(-0.118677--0.261528))+0--202.3-0.103172999999979</f>
        <v>2893.6234990000003</v>
      </c>
      <c r="S175" s="3">
        <f>3023.3+(279.3-510.1)+(-9.251298+(-0.854658--1.560906))+0--199.2-0.609552000000023</f>
        <v>2982.5453979999998</v>
      </c>
      <c r="T175" s="3">
        <f>3025.2+(344.1-501.4)+(0+(0-0))+0--201.6-0</f>
        <v>3069.4999999999995</v>
      </c>
      <c r="U175" s="3">
        <f>3032.7+(345.2-497.9)+(-6.186708+(-0.704208--1.015716))+0--200.8-0.409631999999991</f>
        <v>3074.5151680000004</v>
      </c>
      <c r="V175" s="3">
        <f>3021.4+(276.9-489.4)+(0+(0-0))+0--200.8-0</f>
        <v>3009.7000000000003</v>
      </c>
      <c r="W175" s="3">
        <f>3030.1+(243.2-636.6)+(-4.636053+(-0.372096--0.973998))+0--204.2-0.312426000000012</f>
        <v>2836.5534229999998</v>
      </c>
      <c r="X175" s="3">
        <f>2941.8+(231.1-751.5)+(0+(0-0))+0--203.8-0</f>
        <v>2625.2000000000003</v>
      </c>
      <c r="Y175" s="3">
        <f>3016.4+(133.7-705.4)+(-1.538364+(-0.068187--0.359754))+0--204.8-0.104447999999979</f>
        <v>2648.1487550000002</v>
      </c>
      <c r="Z175" s="3">
        <f>3122.1+(117.3-662.6)+(-7.961355+(-0.299115--1.68963))+0--205.2-0.52325999999997</f>
        <v>2774.9058999999997</v>
      </c>
      <c r="AA175" s="3">
        <f>3131.8+(130.9-684.8)+(-9.583308+(-0.400554--2.095488))+0--205.8-0.629748000000024</f>
        <v>2775.1818780000003</v>
      </c>
      <c r="AB175" s="3">
        <f>3152.8+(133.6-695.6)+(-4.823784+(-0.204408--1.064268))+0--207.6-0.317628000000012</f>
        <v>2794.1184480000002</v>
      </c>
      <c r="AC175" s="3">
        <f>3163.2+(152.7-715.6)+(-4.839696+(-0.233631--1.094868))+0--205.9-0.315027000000012</f>
        <v>2801.9065139999998</v>
      </c>
      <c r="AD175">
        <v>2823.9</v>
      </c>
      <c r="AE175" s="3">
        <f>3127+(115.2-627.2)+(0+(0-0))+0--208.9-0</f>
        <v>2823.9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3186.5+(192.3-724.6)+(-6.50046+(-0.392292--1.478184))+0--205.9-0.420035999999991</f>
        <v>2854.2653959999998</v>
      </c>
      <c r="G176" s="3">
        <f>3148.2+(214.6-759)+(0+(0-0))+0--205.9-0</f>
        <v>2809.7</v>
      </c>
      <c r="H176" s="3">
        <f>3031.2+(212.4-717.6)+(0+(0-0))+0--205.8-0</f>
        <v>2731.8</v>
      </c>
      <c r="I176" s="3">
        <f>2945.8+(205.5-678.5)+(-1.502358+(-0.104805--0.346035))+0--196.9-0.10041899999998</f>
        <v>2668.3384530000003</v>
      </c>
      <c r="J176" s="3">
        <f>2794.8+(254.9-569.7)+(-5.701392+(-0.519996--1.162188))+0--143.9-0.293555999999994</f>
        <v>2618.5472439999999</v>
      </c>
      <c r="K176" s="3">
        <f>2701.5+(309-569.7)+(1.377765+(0.15759-0.290547))+0--144.1--0.0734909999999854</f>
        <v>2586.2182990000001</v>
      </c>
      <c r="L176" s="3">
        <f>2627.1+(366.9-638.8)+(-6.699105+(-0.935595--1.62894))+0--145.5-0.371024999999979</f>
        <v>2494.3232149999999</v>
      </c>
      <c r="M176" s="3">
        <f>2556.5+(385.5-704.4)+(-1.303815+(-0.196605--0.359244))+0--148-0.075479999999985</f>
        <v>2384.3833439999999</v>
      </c>
      <c r="N176" s="3">
        <f>2621.6+(332.3-656.6)+(2.674032+(0.338946-0.669732))+0--151.8--0.154836000000024</f>
        <v>2451.598082</v>
      </c>
      <c r="O176" s="3">
        <f>2836+(257.5-775)+(-4.33908+(-0.393975--1.18575))+0--184.9-0.282897000000011</f>
        <v>2499.569798</v>
      </c>
      <c r="P176" s="3">
        <f>2888.4+(287-630.8)+(-1.473084+(-0.14637--0.321708))+0--84.9-0.0432989999999914</f>
        <v>2628.1589550000003</v>
      </c>
      <c r="Q176" s="3">
        <f>3054.9+(195-609)+(0+(0-0))+0--83-0</f>
        <v>2723.9</v>
      </c>
      <c r="R176" s="3">
        <f>3047.4+(215.8-489.9)+(0+(0-0))+0--82-0</f>
        <v>2855.3</v>
      </c>
      <c r="S176" s="3">
        <f>3025.3+(282.5-446.6)+(-4.628709+(-0.432225--0.683298))+0--81.6-0.124848000000005</f>
        <v>2938.2975160000001</v>
      </c>
      <c r="T176" s="3">
        <f>3019.6+(382.7-442.9)+(-3.079992+(-0.390354--0.451758))+0--79.6-0.0811920000000127</f>
        <v>3035.90022</v>
      </c>
      <c r="U176" s="3">
        <f>3002.1+(420.9-432.3)+(-1.531071+(-0.214659--0.220473))+0--75.4-0.0384539999999924</f>
        <v>3064.5362890000001</v>
      </c>
      <c r="V176" s="3">
        <f>2984.6+(330.5-406.5)+(-6.088584+(-0.67422--0.82926))+0--74.9-0.152795999999997</f>
        <v>2977.4136600000002</v>
      </c>
      <c r="W176" s="3">
        <f>2939.6+(261.7-473.7)+(-8.995176+(-0.800802--1.449522))+0--75.4-0.230724000000009</f>
        <v>2794.4228199999998</v>
      </c>
      <c r="X176" s="3">
        <f>2618.9+(337.2-442.9)+(-5.342556+(-0.687888--0.903516))+0--76.7-0.156467999999997</f>
        <v>2584.6166039999998</v>
      </c>
      <c r="Y176" s="3">
        <f>2776.9+(217.6-440.4)+(-2.832438+(-0.221952--0.449208))+0--76.5-0.0780300000000122</f>
        <v>2627.916788</v>
      </c>
      <c r="Z176" s="3">
        <f>3123.9+(165.8-578.9)+(-4.779567+(-0.253674--0.885717))+0--74.6-0.114138000000004</f>
        <v>2781.1383380000002</v>
      </c>
      <c r="AA176" s="3">
        <f>3150.2+(168.7-589.6)+(-4.819806+(-0.258111--0.902088))+0--75.2-0.115056000000004</f>
        <v>2800.2091149999997</v>
      </c>
      <c r="AB176" s="3">
        <f>3150.9+(183.9-621)+(-3.213918+(-0.187578--0.63342))+0--75.5-0.077010000000012</f>
        <v>2786.4549140000004</v>
      </c>
      <c r="AC176" s="3">
        <f>3188.1+(178.6-619.8)+(-1.625931+(-0.091086--0.316098))+0--75.7-0.0386069999999923</f>
        <v>2821.1604739999998</v>
      </c>
      <c r="AD176">
        <v>2791.3</v>
      </c>
      <c r="AE176" s="3">
        <f>3137+(163.7-582.7)+(0+(0-0))+0--73.3-0</f>
        <v>2791.3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3198.6+(194.6-654.8)+(-4.893858+(-0.297738--1.001844))+0--83.1-0.127143000000005</f>
        <v>2817.1831049999996</v>
      </c>
      <c r="G177" s="3">
        <f>3199+(192.8-716)+(-4.89447+(-0.294984--1.09548))+0--83.1-0.127143000000005</f>
        <v>2754.678883</v>
      </c>
      <c r="H177" s="3">
        <f>3147.2+(196-740.2)+(-6.420288+(-0.39984--1.510008))+0--83.1-0.169523999999996</f>
        <v>2680.6203559999999</v>
      </c>
      <c r="I177" s="3">
        <f>2999.9+(231.2-674)+(-1.529949+(-0.117912--0.34374))+0--83.2-0.0424319999999916</f>
        <v>2638.9534469999994</v>
      </c>
      <c r="J177" s="3">
        <f>2710.9+(300.8-515.8)+(1.382559+(0.153408-0.263058))+0--83.2--0.0424319999999916</f>
        <v>2580.4153409999999</v>
      </c>
      <c r="K177" s="3">
        <f>2654.5+(330.1-522.7)+(-1.353795+(-0.168351--0.266577))+0--83.1-0.0423809999999916</f>
        <v>2543.7020499999999</v>
      </c>
      <c r="L177" s="3">
        <f>2432.7+(432.6-511.2)+(-1.240677+(-0.220626--0.260712))+0--81.2-0.0414119999999918</f>
        <v>2434.0579969999999</v>
      </c>
      <c r="M177" s="3">
        <f>2406.6+(391.5-553.7)+(1.227366+(0.199665-0.282387))+0--82.3--0.0419729999999916</f>
        <v>2327.8866169999997</v>
      </c>
      <c r="N177" s="3">
        <f>2692.7+(270.1-629)+(-5.493108+(-0.551004--1.28316))+0--79.7-0.162587999999997</f>
        <v>2408.5764599999993</v>
      </c>
      <c r="O177" s="3">
        <f>2815.4+(220.4-629.1)+(0+(0-0))+0--80.4-0</f>
        <v>2487.1</v>
      </c>
      <c r="P177" s="3">
        <f>2877.8+(202.5-591.3)+(2.935356+(0.20655-0.603126))+0--79.2--0.0807840000000126</f>
        <v>2570.8195639999999</v>
      </c>
      <c r="Q177" s="3">
        <f>2874.6+(186.1-477.2)+(2.932092+(0.189822-0.486744))+0--78--0.0795600000000124</f>
        <v>2664.2147300000001</v>
      </c>
      <c r="R177" s="3">
        <f>2798.8+(244.6-394.2)+(0+(0-0))+0--77.9-0</f>
        <v>2727.1000000000004</v>
      </c>
      <c r="S177" s="3">
        <f>2782.1+(422.3-433.5)+(0+(0-0))+0--78.1-0</f>
        <v>2849</v>
      </c>
      <c r="T177" s="3">
        <f>2815.1+(543.8-464.4)+(0+(0-0))+0--80.6-0</f>
        <v>2975.1</v>
      </c>
      <c r="U177" s="3">
        <f>2896.1+(542.2-448.9)+(0+(0-0))+0--85.4-0</f>
        <v>3074.8</v>
      </c>
      <c r="V177" s="3">
        <f>2903.1+(408.6-410.3)+(0+(0-0))+0--84.6-0</f>
        <v>2986</v>
      </c>
      <c r="W177" s="3">
        <f>2908.1+(269.5-513.4)+(0+(0-0))+0--84.4-0</f>
        <v>2748.6</v>
      </c>
      <c r="X177" s="3">
        <f>2879+(186-660.7)+(-7.34145+(-0.4743--1.684785))+0--85.1-0.217004999999988</f>
        <v>2483.0520300000003</v>
      </c>
      <c r="Y177" s="3">
        <f>2935.7+(148.5-591.1)+(-2.994414+(-0.15147--0.602922))+0--84.5-0.0861900000000135</f>
        <v>2574.9708479999999</v>
      </c>
      <c r="Z177" s="3">
        <f>3017.2+(164.7-547.9)+(-7.69386+(-0.419985--1.397145))+0--84.7-0.215984999999988</f>
        <v>2711.7673150000001</v>
      </c>
      <c r="AA177" s="3">
        <f>3034.5+(158.1-557.7)+(-9.28557+(-0.483786--1.706562))+0--83.5-0.25551000000001</f>
        <v>2710.0816960000002</v>
      </c>
      <c r="AB177" s="3">
        <f>3046.3+(175-579.2)+(-6.214452+(-0.357--1.181568))+0--81.9-0.167075999999996</f>
        <v>2718.4430400000001</v>
      </c>
      <c r="AC177" s="3">
        <f>3003.7+(194-541.3)+(-1.531887+(-0.09894--0.276063))+0--81.8-0.0417179999999917</f>
        <v>2736.8035179999997</v>
      </c>
      <c r="AD177">
        <v>2767.7000000000003</v>
      </c>
      <c r="AE177" s="3">
        <f>3019+(179.4-517.5)+(0+(0-0))+0--86.8-0</f>
        <v>2767.7000000000003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3009+(220.4-541.6)+(0+(0-0))+0--84.1-0</f>
        <v>2771.9</v>
      </c>
      <c r="G178" s="3">
        <f>3024+(222.5-608.6)+(0+(0-0))+0--85.1-0</f>
        <v>2723</v>
      </c>
      <c r="H178" s="3">
        <f>3035+(225.7-689.6)+(0+(0-0))+0--86-0</f>
        <v>2657.1</v>
      </c>
      <c r="I178" s="3">
        <f>3011+(192-698.2)+(0+(0-0))+0--84-0</f>
        <v>2588.8000000000002</v>
      </c>
      <c r="J178" s="3">
        <f>2696+(254.1-520.5)+(0+(0-0))+0--94-0</f>
        <v>2523.6</v>
      </c>
      <c r="K178" s="3">
        <f>2643+(270.8-505.1)+(0+(0-0))+0--95.1-0</f>
        <v>2503.7999999999997</v>
      </c>
      <c r="L178" s="3">
        <f>2588.2+(338.9-629.2)+(0+(0-0))+0--91.2-0</f>
        <v>2389.0999999999995</v>
      </c>
      <c r="M178" s="3">
        <f>2500.2+(360.3-613.7)+(1.275102+(0.183753-0.312987))+0--33.2--0.0169319999999966</f>
        <v>2281.1627999999996</v>
      </c>
      <c r="N178" s="3">
        <f>2532.5+(320.8-523.8)+(-2.58315+(-0.327216--0.534276))+0--33.1-0.0337620000000053</f>
        <v>2360.1901479999997</v>
      </c>
      <c r="O178" s="3">
        <f>2510.5+(320-448.7)+(1.280355+(0.1632-0.228837))+0--83.2--0.0424319999999916</f>
        <v>2466.2571500000004</v>
      </c>
      <c r="P178" s="3">
        <f>2598.4+(281-417.4)+(3.975552+(0.42993-0.638622))+0--81.2--0.124236000000005</f>
        <v>2547.0910960000001</v>
      </c>
      <c r="Q178" s="3">
        <f>2763.7+(215.5-408)+(1.409487+(0.109905-0.20808))+0--80.2--0.0409019999999919</f>
        <v>2652.7522139999996</v>
      </c>
      <c r="R178" s="3">
        <f>2737.1+(338.2-354.2)+(2.791842+(0.344964-0.361284))+0--78.7--0.0802740000000126</f>
        <v>2802.6557959999996</v>
      </c>
      <c r="S178" s="3">
        <f>2705.6+(515.3-395.3)+(-1.379856+(-0.262803--0.201603))+0--79.2-0.040391999999992</f>
        <v>2903.3185519999997</v>
      </c>
      <c r="T178" s="3">
        <f>2872.5+(531.6-451)+(-1.464975+(-0.271116--0.23001))+0--79.6-0.0405959999999919</f>
        <v>3031.153323</v>
      </c>
      <c r="U178" s="3">
        <f>2915.1+(513.7-444)+(-1.486701+(-0.261987--0.22644))+0--77.9-0.0397289999999921</f>
        <v>3061.138023</v>
      </c>
      <c r="V178" s="3">
        <f>2956.6+(355.7-404.7)+(-7.53933+(-0.907035--1.031985))+0--75.8-0.193289999999989</f>
        <v>2975.7923299999998</v>
      </c>
      <c r="W178" s="3">
        <f>2920+(233.4-484.5)+(-8.9352+(-0.714204--1.48257))+0--76.3-0.233478000000009</f>
        <v>2736.7996880000001</v>
      </c>
      <c r="X178" s="3">
        <f>2697.4+(249.4-520.5)+(-6.87837+(-0.63597--1.327275))+0--77.2-0.196859999999989</f>
        <v>2497.1160749999999</v>
      </c>
      <c r="Y178" s="3">
        <f>2788.6+(189.8-460.6)+(-2.844372+(-0.193596--0.469812))+0--77.6-0.0791520000000124</f>
        <v>2592.752692</v>
      </c>
      <c r="Z178" s="3">
        <f>3194.9+(125.4-618.9)+(-9.776394+(-0.383724--1.893834))+0--77.6-0.237456000000009</f>
        <v>2770.4962600000003</v>
      </c>
      <c r="AA178" s="3">
        <f>3053.7+(189-541.9)+(-7.786935+(-0.48195--1.381845))+0--76.9-0.196094999999989</f>
        <v>2770.616865</v>
      </c>
      <c r="AB178" s="3">
        <f>2823.5+(304.9-431.2)+(-4.319955+(-0.466497--0.659736))+0--76.8-0.117504000000004</f>
        <v>2769.75578</v>
      </c>
      <c r="AC178" s="3">
        <f>2752.9+(338.4-390.6)+(-1.403979+(-0.172584--0.199206))+0--77.3-0.0394229999999922</f>
        <v>2776.58322</v>
      </c>
      <c r="AD178">
        <v>2823.4999999999995</v>
      </c>
      <c r="AE178" s="3">
        <f>3237+(121.1-615.2)+(0+(0-0))+0--80.6-0</f>
        <v>2823.5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2993.9+(232.3-648.7)+(0+(0-0))+0--78.2-0</f>
        <v>2655.7</v>
      </c>
      <c r="G179" s="3">
        <f>3120.6+(206.4-676.6)+(-1.591506+(-0.105264--0.345066))+0--78.7-0.040136999999992</f>
        <v>2727.7081589999993</v>
      </c>
      <c r="H179" s="3">
        <f>3159.6+(153.6-731.4)+(4.834188+(0.235008-1.119042))+0--78.1--0.119493000000004</f>
        <v>2663.9696470000004</v>
      </c>
      <c r="I179" s="3">
        <f>3188.1+(141.6-796.8)+(-3.251862+(-0.144432--0.812736))+0--78.3-0.0798660000000125</f>
        <v>2608.5365760000004</v>
      </c>
      <c r="J179" s="3">
        <f>3164.4+(99.5-790.4)+(-4.841532+(-0.152235--1.209312))+0--81.3-0.124389000000005</f>
        <v>2550.8911560000001</v>
      </c>
      <c r="K179" s="3">
        <f>3184+(132.3-870.5)+(-1.62384+(-0.067473--0.443955))+0--78.2-0.0398819999999921</f>
        <v>2522.7127599999999</v>
      </c>
      <c r="L179" s="3">
        <f>3072.6+(173.7-926.6)+(-7.83513+(-0.442935--2.36283))+0--77.9-0.198644999999989</f>
        <v>2391.48612</v>
      </c>
      <c r="M179" s="3">
        <f>2987.9+(160.3-949.7)+(0+(0-0))+0--78.3-0</f>
        <v>2276.8000000000002</v>
      </c>
      <c r="N179" s="3">
        <f>2973.5+(129.4-827.8)+(0+(0-0))+0--77.1-0</f>
        <v>2352.1999999999998</v>
      </c>
      <c r="O179" s="3">
        <f>2981.9+(89.7-736.1)+(0+(0-0))+0--75.6-0</f>
        <v>2411.1</v>
      </c>
      <c r="P179" s="3">
        <f>3127.6+(38.8-758.1)+(6.380304+(0.079152-1.546524))+0--74.7--0.152387999999997</f>
        <v>2488.0653199999997</v>
      </c>
      <c r="Q179" s="3">
        <f>3288.4+(35.8-797.1)+(0+(0-0))+0--73.5-0</f>
        <v>2600.6</v>
      </c>
      <c r="R179" s="3">
        <f>3285.2+(92.9-785.6)+(-3.350904+(-0.094758--0.801312))+0--73.8-0.0752760000000118</f>
        <v>2663.5803740000001</v>
      </c>
      <c r="S179" s="3">
        <f>3276.5+(187.1-780.8)+(-6.68406+(-0.381684--1.592832))+0--73.5-0.149939999999997</f>
        <v>2750.6771480000002</v>
      </c>
      <c r="T179" s="3">
        <f>3282.2+(341.8-839.4)+(-1.673922+(-0.174318--0.428094))+0--73.2-0.0373319999999926</f>
        <v>2856.3425219999999</v>
      </c>
      <c r="U179" s="3">
        <f>3309.1+(280.4-790.7)+(-5.062923+(-0.429012--1.209771))+0--83.3-0.127449000000005</f>
        <v>2877.6903869999996</v>
      </c>
      <c r="V179" s="3">
        <f>3338.5+(178.4-772.9)+(-1.702635+(-0.090984--0.394179))+0--65.4-0.0333539999999934</f>
        <v>2807.9672059999998</v>
      </c>
      <c r="W179" s="3">
        <f>3318.4+(73.1-836.6)+(-8.46192+(-0.186405--2.13333))+0--73.5-0.187424999999989</f>
        <v>2621.69758</v>
      </c>
      <c r="X179" s="3">
        <f>3070.1+(42.2-775.4)+(0+(0-0))+0--74.5-0</f>
        <v>2411.4</v>
      </c>
      <c r="Y179" s="3">
        <f>3110.2+(103.1-790.9)+(0+(0-0))+0--74.8-0</f>
        <v>2497.1999999999998</v>
      </c>
      <c r="Z179" s="3">
        <f>3357.4+(102.8-923.2)+(-5.136822+(-0.157284--1.412496))+0--74.8-0.114444000000004</f>
        <v>2607.8039460000005</v>
      </c>
      <c r="AA179" s="3">
        <f>3452.4+(93.7-991.2)+(-8.80362+(-0.238935--2.52756))+0--75.2-0.191759999999989</f>
        <v>2623.3932449999998</v>
      </c>
      <c r="AB179" s="3">
        <f>3339.6+(137.7-935)+(-8.51598+(-0.351135--2.38425))+0--76.1-0.194054999999989</f>
        <v>2611.7230800000002</v>
      </c>
      <c r="AC179" s="3">
        <f>3334.3+(132.7-899.6)+(-5.101479+(-0.203031--1.376388))+0--76.1-0.116433000000004</f>
        <v>2639.4554450000001</v>
      </c>
      <c r="AD179">
        <v>2744.7999999999997</v>
      </c>
      <c r="AE179" s="3">
        <f>3450+(103.4-883.2)+(0+(0-0))+0--74.6-0</f>
        <v>2744.7999999999997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3304+(166.1-818)+(-5.05512+(-0.254133--1.25154))+0--76.1-0.116433000000004</f>
        <v>2724.0258539999995</v>
      </c>
      <c r="G180" s="3">
        <f>3311.8+(147.6-837.4)+(-1.689018+(-0.075276--0.427074))+0--76.1-0.0388109999999923</f>
        <v>2696.7239690000001</v>
      </c>
      <c r="H180" s="3">
        <f>3313.4+(135.6-873)+(-8.44917+(-0.34578--2.22615))+0--76.9-0.196094999999989</f>
        <v>2646.1351050000003</v>
      </c>
      <c r="I180" s="3">
        <f>3175.9+(140.5-811.3)+(0+(0-0))+0--77.4-0</f>
        <v>2582.5000000000005</v>
      </c>
      <c r="J180" s="3">
        <f>3046.4+(169.6-769.7)+(0+(0-0))+0--77.9-0</f>
        <v>2524.2000000000003</v>
      </c>
      <c r="K180" s="3">
        <f>2910.5+(159.7-694.2)+(4.453065+(0.244341-1.062126))+0--79--0.120870000000005</f>
        <v>2458.7561500000002</v>
      </c>
      <c r="L180" s="3">
        <f>2798.4+(173.8-718.5)+(4.281552+(0.265914-1.099305))+0--78.8--0.120564000000005</f>
        <v>2336.0687249999996</v>
      </c>
      <c r="M180" s="3">
        <f>2688.7+(151.8-713.6)+(-6.856185+(-0.38709--1.81968))+0--79.2-0.201959999999989</f>
        <v>2200.4744449999994</v>
      </c>
      <c r="N180" s="3">
        <f>2551.7+(177.5-662)+(0+(0-0))+0--77.5-0</f>
        <v>2144.6999999999998</v>
      </c>
      <c r="O180" s="3">
        <f>2689.7+(158.8-731)+(-4.115241+(-0.242964--1.11843))+0--75.8-0.115974000000004</f>
        <v>2189.9442510000003</v>
      </c>
      <c r="P180" s="3">
        <f>2749+(135.9-679.5)+(-2.80398+(-0.138618--0.69309))+0--78-0.0795600000000124</f>
        <v>2281.0709320000001</v>
      </c>
      <c r="Q180" s="3">
        <f>2988.2+(87.5-775.5)+(-3.047964+(-0.08925--0.79101))+0--76.3-0.0778260000000122</f>
        <v>2374.0759699999999</v>
      </c>
      <c r="R180" s="3">
        <f>3103.9+(121.5-819.8)+(-3.165978+(-0.12393--0.836196))+0--75.9-0.0774180000000121</f>
        <v>2478.9688700000006</v>
      </c>
      <c r="S180" s="3">
        <f>3096.8+(188.4-747.8)+(-3.158736+(-0.192168--0.762756))+0--75.1-0.076602000000012</f>
        <v>2609.8352500000001</v>
      </c>
      <c r="T180" s="3">
        <f>3150.8+(251.4-759.6)+(1.606908+(0.128214-0.387396))+0--75.6--0.0385559999999923</f>
        <v>2719.5862820000002</v>
      </c>
      <c r="U180" s="3">
        <f>3174+(265.7-753.4)+(0+(0-0))+0--76.2-0</f>
        <v>2762.5</v>
      </c>
      <c r="V180" s="3">
        <f>3171.3+(188.1-718.9)+(-8.086815+(-0.479655--1.833195))+0--75.9-0.193544999999989</f>
        <v>2709.47318</v>
      </c>
      <c r="W180" s="3">
        <f>3186.8+(109.1-848.4)+(-3.250536+(-0.111282--0.865368))+0--77.4-0.0789480000000123</f>
        <v>2522.3246020000001</v>
      </c>
      <c r="X180" s="3">
        <f>3212.1+(47.3-1015.3)+(-4.914513+(-0.072369--1.553409))+0--77.4-0.118422000000004</f>
        <v>2317.9481049999999</v>
      </c>
      <c r="Y180" s="3">
        <f>3328.2+(50.4-1002.3)+(0+(0-0))+0--76.8-0</f>
        <v>2453.1</v>
      </c>
      <c r="Z180" s="3">
        <f>3387.4+(99.7-999.5)+(-5.182722+(-0.152541--1.529235))+0--77.4-0.118422000000004</f>
        <v>2561.0755500000005</v>
      </c>
      <c r="AA180" s="3">
        <f>3419.6+(104.4-1024)+(-8.71998+(-0.26622--2.6112))+0--78-0.198899999999989</f>
        <v>2571.4261000000001</v>
      </c>
      <c r="AB180" s="3">
        <f>3441.9+(115.7-1021.9)+(-7.021476+(-0.236028--2.084676))+0--78.6-0.160343999999997</f>
        <v>2608.9668280000001</v>
      </c>
      <c r="AC180" s="3">
        <f>3449.9+(114.4-995.8)+(-3.518898+(-0.116688--1.015716))+0--79-0.0805800000000126</f>
        <v>2644.7995500000002</v>
      </c>
      <c r="AD180">
        <v>2627.8999999999996</v>
      </c>
      <c r="AE180" s="3">
        <f>3402+(104.2-955.9)+(0+(0-0))+0--77.6-0</f>
        <v>2627.9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3475+(131.8-952.5)+(-7.089+(-0.268872--1.9431))+0--79.6-0.162383999999997</f>
        <v>2728.3228439999998</v>
      </c>
      <c r="G181" s="3">
        <f>3413.4+(120.5-924.8)+(0+(0-0))+0--80.3-0</f>
        <v>2689.4000000000005</v>
      </c>
      <c r="H181" s="3">
        <f>3360.3+(115-943.4)+(-5.141259+(-0.17595--1.443402))+0--80.6-0.123318000000005</f>
        <v>2608.5028750000001</v>
      </c>
      <c r="I181" s="3">
        <f>3346.5+(89.3-952.7)+(-3.41343+(-0.091086--0.971754))+0--81.3-0.082926000000013</f>
        <v>2561.7843120000002</v>
      </c>
      <c r="J181" s="3">
        <f>3123+(155.8-841.1)+(-1.59273+(-0.079458--0.428961))+0--81.5-0.0415649999999917</f>
        <v>2517.9152079999999</v>
      </c>
      <c r="K181" s="3">
        <f>3087.6+(174-875.4)+(-7.87338+(-0.4437--2.23227))+0--81.7-0.208334999999988</f>
        <v>2461.606855</v>
      </c>
      <c r="L181" s="3">
        <f>3083.3+(136.4-981.2)+(-11.007381+(-0.486948--3.502884))+0--82.4-0.294168000000001</f>
        <v>2312.6143870000001</v>
      </c>
      <c r="M181" s="3">
        <f>3078+(201.8-1146.4)+(4.70934+(0.308754-1.753992))+0--83.3--0.127449000000005</f>
        <v>2220.091551</v>
      </c>
      <c r="N181" s="3">
        <f>3174.7+(166-1120.4)+(-3.238194+(-0.16932--1.142808))+0--81.7-0.083334000000013</f>
        <v>2299.6519599999997</v>
      </c>
      <c r="O181" s="3">
        <f>3250.5+(116.1-1071.2)+(-1.657755+(-0.059211--0.546312))+0--80.1-0.0408509999999919</f>
        <v>2374.2884949999998</v>
      </c>
      <c r="P181" s="3">
        <f>3327.7+(23.8-967)+(0+(0-0))+0--78.9-0</f>
        <v>2463.4</v>
      </c>
      <c r="Q181" s="3">
        <f>3287.7+(54.1-863.2)+(1.676727+(0.027591-0.440232))+0--77.9--0.0397289999999921</f>
        <v>2557.8038150000002</v>
      </c>
      <c r="R181" s="3">
        <f>3224.1+(121.6-774.6)+(-3.288582+(-0.124032--0.790092))+0--76.8-0.0783360000000122</f>
        <v>2645.1991419999999</v>
      </c>
      <c r="S181" s="3">
        <f>3297.8+(186.3-837.2)+(1.681878+(0.095013-0.426972))+0--77.2--0.0393719999999922</f>
        <v>2725.4892909999999</v>
      </c>
      <c r="T181" s="3">
        <f>3311+(285.1-810.1)+(1.68861+(0.145401-0.413151))+0--77--0.0392699999999922</f>
        <v>2864.4601300000004</v>
      </c>
      <c r="U181" s="3">
        <f>3315.3+(282.7-777.9)+(-1.690803+(-0.144177--0.396729))+0--77.3-0.0394229999999922</f>
        <v>2895.9223260000003</v>
      </c>
      <c r="V181" s="3">
        <f>3330.5+(169.2-735.2)+(-5.095665+(-0.258876--1.124856))+0--78.8-0.120564000000005</f>
        <v>2838.9497510000006</v>
      </c>
      <c r="W181" s="3">
        <f>3350.7+(101.3-872.8)+(-6.835428+(-0.206652--1.780512))+0--79.2-0.161567999999997</f>
        <v>2652.9768639999998</v>
      </c>
      <c r="X181" s="3">
        <f>3259.8+(100.4-983.7)+(-3.324996+(-0.102408--1.003374))+0--79.5-0.0810900000000127</f>
        <v>2453.4948799999997</v>
      </c>
      <c r="Y181" s="3">
        <f>3263.2+(92.1-907.8)+(-1.664232+(-0.046971--0.462978))+0--79.6-0.0405959999999919</f>
        <v>2525.8111790000003</v>
      </c>
      <c r="Z181" s="3">
        <f>3403.5+(125.3-984.3)+(-3.47157+(-0.127806--1.003986))+0--79.9-0.0814980000000127</f>
        <v>2621.7231120000001</v>
      </c>
      <c r="AA181" s="3">
        <f>3425.2+(137.7-1025.2)+(-10.481112+(-0.421362--3.137112))+0--80.1-0.245106000000009</f>
        <v>2609.7895319999998</v>
      </c>
      <c r="AB181" s="3">
        <f>3449.8+(122.2-1041)+(1.759398+(0.062322-0.53091))+0--80.9--0.0412589999999918</f>
        <v>2613.2320690000001</v>
      </c>
      <c r="AC181" s="3">
        <f>3463.3+(118.8-1022.3)+(1.766283+(0.060588-0.521373))+0--81.5--0.0415649999999917</f>
        <v>2642.6470630000003</v>
      </c>
      <c r="AD181">
        <v>2674.1000000000004</v>
      </c>
      <c r="AE181" s="3">
        <f>3408+(129-944.2)+(0+(0-0))+0--81.3-0</f>
        <v>2674.1000000000004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3474.1+(134-991.3)+(-1.771791+(-0.06834--0.505563))+0--82.7-0.0421769999999916</f>
        <v>2698.123255</v>
      </c>
      <c r="G182" s="3">
        <f>3492.7+(95.6-1045.1)+(1.781277+(0.048756-0.533001))+0--82.9--0.0422789999999916</f>
        <v>2627.4393109999996</v>
      </c>
      <c r="H182" s="3">
        <f>3398.2+(85.2-1008.3)+(6.932328+(0.173808-2.056932))+0--82.3--0.167891999999996</f>
        <v>2562.6170959999999</v>
      </c>
      <c r="I182" s="3">
        <f>3312.6+(75.2-963.7)+(-5.068278+(-0.115056--1.474461))+0--82.9-0.126837000000005</f>
        <v>2503.1642900000002</v>
      </c>
      <c r="J182" s="3">
        <f>3139+(64.4-863.5)+(6.40356+(0.131376-1.76154))+0--83.2--0.169727999999996</f>
        <v>2428.0431239999998</v>
      </c>
      <c r="K182" s="3">
        <f>3064.9+(60.6-850.7)+(3.126198+(0.061812-0.867714))+0--84.9--0.0865980000000135</f>
        <v>2362.106894</v>
      </c>
      <c r="L182" s="3">
        <f>2959.3+(115.5-926.8)+(-3.018486+(-0.11781--0.945336))+0--85.4-0.0871080000000136</f>
        <v>2231.121932</v>
      </c>
      <c r="M182" s="3">
        <f>2841+(182.7-965)+(1.44891+(0.093177-0.49215))+0--85--0.0433499999999914</f>
        <v>2144.7932869999995</v>
      </c>
      <c r="N182" s="3">
        <f>2904.8+(202.5-945.3)+(-1.481448+(-0.103275--0.482103))+0--84.3-0.0429929999999914</f>
        <v>2245.154387</v>
      </c>
      <c r="O182" s="3">
        <f>3060.7+(177.2-1005.5)+(1.560957+(0.090372-0.512805))+0--81.3--0.0414629999999918</f>
        <v>2314.8799869999998</v>
      </c>
      <c r="P182" s="3">
        <f>3342.6+(97.5-1132.7)+(0+(0-0))+0--81.1-0</f>
        <v>2388.4999999999995</v>
      </c>
      <c r="Q182" s="3">
        <f>3392.9+(17-1017.4)+(5.191137+(0.02601-1.556622))+0--79.8--0.122094000000005</f>
        <v>2476.0826189999998</v>
      </c>
      <c r="R182" s="3">
        <f>3347.9+(69.3-930.4)+(1.707429+(0.035343-0.474504))+0--79.5--0.0405449999999919</f>
        <v>2567.6088129999998</v>
      </c>
      <c r="S182" s="3">
        <f>3325+(102.2-828.1)+(-1.69575+(-0.052122--0.422331))+0--79-0.040289999999992</f>
        <v>2676.7341689999998</v>
      </c>
      <c r="T182" s="3">
        <f>3295.1+(173.4-752)+(1.680501+(0.088434-0.38352))+0--79.4--0.0404939999999919</f>
        <v>2797.3259090000001</v>
      </c>
      <c r="U182" s="3">
        <f>3302.3+(142.9-684.2)+(-5.052519+(-0.218637--1.046826))+0--79.5-0.121635000000005</f>
        <v>2836.154035</v>
      </c>
      <c r="V182" s="3">
        <f>3337.8+(121.9-757.7)+(-6.809112+(-0.248676--1.545708))+0--79.7-0.162587999999997</f>
        <v>2776.0253319999997</v>
      </c>
      <c r="W182" s="3">
        <f>3350+(174.3-1003.9)+(-10.251+(-0.533358--3.071934))+0--79.9-0.244494000000009</f>
        <v>2592.3430820000003</v>
      </c>
      <c r="X182" s="3">
        <f>3225.8+(227.3-1120.2)+(1.645158+(0.115923-0.571302))+0--80.8--0.0412079999999918</f>
        <v>2414.9309870000002</v>
      </c>
      <c r="Y182" s="3">
        <f>3316.7+(63.2-942.5)+(1.691517+(0.032232-0.480675))+0--81--0.0413099999999918</f>
        <v>2519.6843839999997</v>
      </c>
      <c r="Z182" s="3">
        <f>3445.5+(38-939.3)+(0+(0-0))+0--81.4-0</f>
        <v>2625.6</v>
      </c>
      <c r="AA182" s="3">
        <f>3421.1+(68.1-948.2)+(-8.723805+(-0.173655--2.41791))+0--82-0.209099999999988</f>
        <v>2616.3113499999999</v>
      </c>
      <c r="AB182" s="3">
        <f>3357+(88.1-915.3)+(-8.56035+(-0.224655--2.334015))+0--82.4-0.210119999999988</f>
        <v>2605.5388900000003</v>
      </c>
      <c r="AC182" s="3">
        <f>3382+(80.4-921.1)+(3.44964+(0.082008-0.939522))+0--83.3--0.0849660000000133</f>
        <v>2627.2770920000003</v>
      </c>
      <c r="AD182">
        <v>2652.4</v>
      </c>
      <c r="AE182" s="3">
        <f>3444+(36.8-910.4)+(0+(0-0))+0--82-0</f>
        <v>2652.4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3397+(99.5-947.8)+(-3.46494+(-0.10149--0.966756))+0--83.5-0.0851700000000133</f>
        <v>2629.5151559999999</v>
      </c>
      <c r="G183" s="3">
        <f>3399+(119.3-969)+(-6.93396+(-0.243372--1.97676))+0--83.3-0.169931999999996</f>
        <v>2627.2294960000004</v>
      </c>
      <c r="H183" s="3">
        <f>3195.5+(161.5-873.1)+(-1.629705+(-0.082365--0.445281))+0--84.3-0.0429929999999914</f>
        <v>2566.8902180000005</v>
      </c>
      <c r="I183" s="3">
        <f>3118.3+(166.6-857.1)+(-6.361332+(-0.339864--1.748484))+0--84.5-0.172379999999996</f>
        <v>2507.1749080000004</v>
      </c>
      <c r="J183" s="3">
        <f>3130.2+(178-930.1)+(7.98201+(0.4539-2.371755))+0--83.8--0.213689999999988</f>
        <v>2468.1778450000002</v>
      </c>
      <c r="K183" s="3">
        <f>3136.7+(197.3-1000.3)+(4.799151+(0.301869-1.530459))+0--83.3--0.127449000000005</f>
        <v>2420.6980100000001</v>
      </c>
      <c r="L183" s="3">
        <f>3114.4+(273.9-1148.7)+(-6.353376+(-0.558756--2.343348))+0--84.6-0.172583999999996</f>
        <v>2319.4586319999999</v>
      </c>
      <c r="M183" s="3">
        <f>2995.3+(357.9-1211.5)+(0+(0-0))+0--86.1-0</f>
        <v>2227.8000000000002</v>
      </c>
      <c r="N183" s="3">
        <f>3076.5+(285.3-1141.4)+(1.569015+(0.145503-0.582114))+0--84.1--0.0428909999999915</f>
        <v>2305.6752949999996</v>
      </c>
      <c r="O183" s="3">
        <f>3232.1+(212.4-1127.6)+(1.648371+(0.108324-0.575076))+0--82.7--0.0421769999999916</f>
        <v>2400.8237959999997</v>
      </c>
      <c r="P183" s="3">
        <f>3307.6+(158.1-1057.6)+(1.686876+(0.080631-0.539376))+0--81.6--0.0416159999999917</f>
        <v>2490.9697469999996</v>
      </c>
      <c r="Q183" s="3">
        <f>3428.4+(25-960.5)+(3.496968+(0.0255-0.97971))+0--81.1--0.0827220000000129</f>
        <v>2576.6254800000002</v>
      </c>
      <c r="R183" s="3">
        <f>3399.8+(18.9-871)+(-1.733898+(-0.009639--0.44421))+0--82-0.0418199999999917</f>
        <v>2628.3588530000002</v>
      </c>
      <c r="S183" s="3">
        <f>3371.7+(65.6-796)+(-5.158701+(-0.100368--1.21788))+0--99.8-0.152694000000006</f>
        <v>2736.906117</v>
      </c>
      <c r="T183" s="3">
        <f>3346.1+(85.5-676.8)+(0+(0-0))+0--82.5-0</f>
        <v>2837.3</v>
      </c>
      <c r="U183" s="3">
        <f>3332.8+(95.7-643.6)+(-6.798912+(-0.195228--1.312944))+0--80.9-0.165035999999996</f>
        <v>2859.9537680000003</v>
      </c>
      <c r="V183" s="3">
        <f>3336.2+(146.1-757.4)+(-3.402924+(-0.149022--0.772548))+0--80.7-0.0823140000000129</f>
        <v>2802.7382879999991</v>
      </c>
      <c r="W183" s="3">
        <f>3289.4+(180.4-913.2)+(-6.710376+(-0.368016--1.862928))+0--81.5-0.166259999999996</f>
        <v>2632.7182760000001</v>
      </c>
      <c r="X183" s="3">
        <f>3103+(286.8-997.9)+(-1.58253+(-0.146268--0.508929))+0--82.8-0.0422279999999916</f>
        <v>2473.4379030000005</v>
      </c>
      <c r="Y183" s="3">
        <f>3305.7+(84.2-924.1)+(1.685907+(0.042942-0.471291))+0--82.8--0.0422279999999916</f>
        <v>2549.8997859999995</v>
      </c>
      <c r="Z183" s="3">
        <f>3506.5+(29.6-922.7)+(-7.15326+(-0.060384--1.882308))+0--83.4-0.170135999999996</f>
        <v>2691.2985279999998</v>
      </c>
      <c r="AA183" s="3">
        <f>3503.6+(53.3-963.9)+(-7.147344+(-0.108732--1.966356))+0--84.1-0.171563999999996</f>
        <v>2671.6387159999995</v>
      </c>
      <c r="AB183" s="3">
        <f>3471+(71.6-947.9)+(-7.08084+(-0.146064--1.933716))+0--84.4-0.172175999999996</f>
        <v>2673.6346359999998</v>
      </c>
      <c r="AC183" s="3">
        <f>3414.4+(78.1-881.1)+(0+(0-0))+0--85.6-0</f>
        <v>2697</v>
      </c>
      <c r="AD183">
        <v>2737.6</v>
      </c>
      <c r="AE183" s="3">
        <f>3511+(38.7-894.7)+(0+(0-0))+0--83.6-0</f>
        <v>2738.6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3421.4+(115.4-853.4)+(-6.979656+(-0.235416--1.740936))+0--87.3-0.178091999999996</f>
        <v>2765.0477720000004</v>
      </c>
      <c r="G184" s="3">
        <f>3433.3+(115.2-942.6)+(-5.252949+(-0.176256--1.442178))+0--89.2-0.136476000000005</f>
        <v>2690.9764969999997</v>
      </c>
      <c r="H184" s="3">
        <f>3444.6+(100.6-1029)+(-5.270238+(-0.153918--1.57437))+0--90.7-0.138771000000005</f>
        <v>2602.9114429999995</v>
      </c>
      <c r="I184" s="3">
        <f>3450.5+(99.7-1099)+(3.51951+(0.101694-1.12098))+0--95.1--0.0970020000000152</f>
        <v>2548.8972259999996</v>
      </c>
      <c r="J184" s="3">
        <f>3303.4+(136.7-1109.5)+(8.42367+(0.348585-2.829225))+0--98.7--0.251684999999986</f>
        <v>2435.4947150000003</v>
      </c>
      <c r="K184" s="3">
        <f>3245.6+(174.6-1080.4)+(0+(0-0))+0--108.8-0</f>
        <v>2448.6</v>
      </c>
      <c r="L184" s="3">
        <f>3048.1+(290.2-1135.9)+(-1.554531+(-0.148002--0.579309))+0--111.6-0.0569159999999887</f>
        <v>2312.8198599999996</v>
      </c>
      <c r="M184" s="3">
        <f>3043.8+(356.8-1277.8)+(-1.552338+(-0.181968--0.651678))+0--110.8-0.0565079999999888</f>
        <v>2232.4608640000001</v>
      </c>
      <c r="N184" s="3">
        <f>3064.8+(319.1-1180.2)+(0+(0-0))+0--114.9-0</f>
        <v>2318.6000000000004</v>
      </c>
      <c r="O184" s="3">
        <f>3170.8+(246.6-1158.6)+(4.851324+(0.377298-1.772658))+0--126.5--0.193545000000007</f>
        <v>2388.9495090000005</v>
      </c>
      <c r="P184" s="3">
        <f>3377.6+(184-1100.1)+(3.445152+(0.18768-1.122102))+0--114.2--0.116484000000018</f>
        <v>2578.3272139999999</v>
      </c>
      <c r="Q184" s="3">
        <f>3376.3+(79-890.1)+(5.165739+(0.12087-1.361853))+0--112.5--0.172125000000006</f>
        <v>2681.7968810000002</v>
      </c>
      <c r="R184" s="3">
        <f>3345.4+(58.9-790)+(0+(0-0))+0--112.5-0</f>
        <v>2726.8</v>
      </c>
      <c r="S184" s="3">
        <f>3331.3+(137.2-835.3)+(-1.698963+(-0.069972--0.426003))+0--111.9-0.0570689999999887</f>
        <v>2743.6999990000004</v>
      </c>
      <c r="T184" s="3">
        <f>3308.6+(182.3-766)+(1.687386+(0.092973-0.39066))+0--112.2--0.0572219999999886</f>
        <v>2838.5469209999992</v>
      </c>
      <c r="U184" s="3">
        <f>3293.8+(185.2-724.5)+(3.359676+(0.188904-0.73899))+0--111.6--0.113832000000018</f>
        <v>2869.0234219999998</v>
      </c>
      <c r="V184" s="3">
        <f>3287.1+(138.2-742.6)+(-8.382105+(-0.35241--1.89363))+0--113.2-0.288659999999984</f>
        <v>2788.7704549999994</v>
      </c>
      <c r="W184" s="3">
        <f>3279.4+(151-940.1)+(-3.344988+(-0.15402--0.958902))+0--113.9-0.116178000000018</f>
        <v>2601.5437160000001</v>
      </c>
      <c r="X184" s="3">
        <f>3093.9+(217-1003.4)+(0+(0-0))+0--114.7-0</f>
        <v>2422.1999999999998</v>
      </c>
      <c r="Y184" s="3">
        <f>3217.5+(67.8-852)+(0+(0-0))+0--114.7-0</f>
        <v>2548</v>
      </c>
      <c r="Z184" s="3">
        <f>3394.5+(68.1-917.4)+(-3.46239+(-0.069462--0.935748))+0--115.3-0.117606000000018</f>
        <v>2657.78629</v>
      </c>
      <c r="AA184" s="3">
        <f>3413.9+(79.3-946.9)+(-8.705445+(-0.202215--2.414595))+0--115.9-0.295544999999983</f>
        <v>2655.4113900000002</v>
      </c>
      <c r="AB184" s="3">
        <f>3434.4+(99-988.8)+(-8.75772+(-0.25245--2.52144))+0--116.1-0.296054999999983</f>
        <v>2653.9152150000004</v>
      </c>
      <c r="AC184" s="3">
        <f>3452.7+(85.5-984.3)+(-1.760877+(-0.043605--0.501993))+0--117.6-0.0599759999999881</f>
        <v>2670.1375349999994</v>
      </c>
      <c r="AD184">
        <v>2707.1000000000004</v>
      </c>
      <c r="AE184" s="3">
        <f>3393+(80.8-879.5)+(0+(0-0))+0--114.8-0</f>
        <v>2709.1000000000004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3450+(118.4-938.7)+(-12.3165+(-0.422688--3.351159))+0--118.9-0.424473000000002</f>
        <v>2738.7874979999997</v>
      </c>
      <c r="G185" s="3">
        <f>3461.2+(113.3-1047.4)+(-14.121696+(-0.462264--4.273392))+0--119.6-0.48796799999999</f>
        <v>2635.9014639999996</v>
      </c>
      <c r="H185" s="3">
        <f>3470.7+(116.6-1126.7)+(-10.620342+(-0.356796--3.447702))+0--119.1-0.364446000000014</f>
        <v>2571.806118</v>
      </c>
      <c r="I185" s="3">
        <f>3486.2+(135.9-1218.9)+(1.777962+(0.069309-0.621639))+0--117.6--0.0599759999999881</f>
        <v>2522.0856079999999</v>
      </c>
      <c r="J185" s="3">
        <f>3414.7+(165.4-1227.4)+(1.741497+(0.084354-0.625974))+0--115.6--0.0589559999999883</f>
        <v>2469.5588329999996</v>
      </c>
      <c r="K185" s="3">
        <f>3358.2+(191.1-1239.8)+(3.425364+(0.194922-1.264596))+0--115--0.117300000000018</f>
        <v>2426.9729899999998</v>
      </c>
      <c r="L185" s="3">
        <f>3322.3+(301.6-1396.7)+(-6.777492+(-0.615264--2.849268))+0--114.7-0.233987999999995</f>
        <v>2337.1225240000003</v>
      </c>
      <c r="M185" s="3">
        <f>3244.2+(369.2-1483.2)+(3.309084+(0.376584-1.512864))+0--115.2--0.117504000000018</f>
        <v>2247.6903079999993</v>
      </c>
      <c r="N185" s="3">
        <f>3259.4+(344.3-1343.8)+(-6.649176+(-0.702372--2.741352))+0--114.9-0.234395999999995</f>
        <v>2369.9554080000003</v>
      </c>
      <c r="O185" s="3">
        <f>3236.3+(302-1240.7)+(-1.650513+(-0.15402--0.632757))+0--112-0.0571199999999886</f>
        <v>2408.3711040000003</v>
      </c>
      <c r="P185" s="3">
        <f>3276+(209-1104.4)+(-3.34152+(-0.21318--1.126488))+0--105.7-0.107814000000017</f>
        <v>2483.763974</v>
      </c>
      <c r="Q185" s="3">
        <f>3341.8+(81-948.5)+(3.408636+(0.08262-0.96747))+0-7.2-0.00734400000000115</f>
        <v>2469.6164420000005</v>
      </c>
      <c r="R185" s="3">
        <f>3340.2+(107.9-841.3)+(-3.407004+(-0.110058--0.858126))+0--95-0.0969000000000152</f>
        <v>2699.0441639999999</v>
      </c>
      <c r="S185" s="3">
        <f>3354.4+(185.9-867.5)+(-3.421488+(-0.189618--0.88485))+0--93.3-0.0951660000000149</f>
        <v>2763.2785780000004</v>
      </c>
      <c r="T185" s="3">
        <f>3382.7+(234.5-842.5)+(-3.450354+(-0.23919--0.85935))+0--92.7-0.0945540000000148</f>
        <v>2864.4752519999997</v>
      </c>
      <c r="U185" s="3">
        <f>3375.5+(214.7-804.6)+(-6.88602+(-0.437988--1.641384))+0--92-0.187679999999996</f>
        <v>2871.7296959999999</v>
      </c>
      <c r="V185" s="3">
        <f>3380.8+(147.3-819)+(-6.896832+(-0.300492--1.67076))+0--89.8-0.183191999999996</f>
        <v>2793.1902440000008</v>
      </c>
      <c r="W185" s="3">
        <f>3391.7+(129.6-999.7)+(-8.648835+(-0.33048--2.549235))+0--88.4-0.225419999999987</f>
        <v>2603.3444999999997</v>
      </c>
      <c r="X185" s="3">
        <f>3263.9+(171-1067.8)+(-4.993767+(-0.26163--1.633734))+0--88.1-0.134793000000005</f>
        <v>2451.4435440000002</v>
      </c>
      <c r="Y185" s="3">
        <f>3353.8+(63.3-916.9)+(-6.841752+(-0.129132--1.870476))+0--88.4-0.180335999999996</f>
        <v>2583.3192560000007</v>
      </c>
      <c r="Z185" s="3">
        <f>3396.5+(72.4-933.1)+(-6.92886+(-0.147696--1.903524))+0--87.6-0.178703999999996</f>
        <v>2618.048264</v>
      </c>
      <c r="AA185" s="3">
        <f>3439.1+(80.4-959.5)+(-14.031528+(-0.328032--3.91476))+0--87.8-0.358223999999992</f>
        <v>2636.9969759999999</v>
      </c>
      <c r="AB185" s="3">
        <f>3449.9+(111.2-913.3)+(-8.797245+(-0.28356--2.328915))+0--88-0.224399999999987</f>
        <v>2728.8237100000001</v>
      </c>
      <c r="AC185" s="3">
        <f>3469.1+(125.2-890.5)+(-3.538482+(-0.127704--0.90831))+0--86.4-0.0881280000000138</f>
        <v>2787.3539960000003</v>
      </c>
      <c r="AD185">
        <v>2614.0000000000005</v>
      </c>
      <c r="AE185" s="3">
        <f>3428+(77.3-977.1)+(0+(0-0))+0--87.8-0</f>
        <v>2616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3285.1+(119.3-768.8)+(-3.350802+(-0.121686--0.784176))+0--86.6-0.0883320000000138</f>
        <v>2719.4233559999998</v>
      </c>
      <c r="G186" s="3">
        <f>2977.9+(195.3-711.3)+(4.556187+(0.298809-1.088289))+0--86.2--0.131886000000005</f>
        <v>2551.9985930000003</v>
      </c>
      <c r="H186" s="3">
        <f>2887+(200.6-695.3)+(4.41711+(0.306918-1.063809))+0--86.3--0.132039000000005</f>
        <v>2482.3922580000003</v>
      </c>
      <c r="I186" s="3">
        <f>2816+(224.4-689.2)+(2.87232+(0.228888-0.702984))+0--86.5--0.0882300000000138</f>
        <v>2440.1864539999997</v>
      </c>
      <c r="J186" s="3">
        <f>2845.4+(226.5-768)+(7.25577+(0.577575-1.9584))+0--87.6--0.223379999999987</f>
        <v>2397.5983249999999</v>
      </c>
      <c r="K186" s="3">
        <f>2848.6+(332-935.1)+(-7.26393+(-0.8466--2.384505))+0--89.5-0.228224999999987</f>
        <v>2329.0457500000002</v>
      </c>
      <c r="L186" s="3">
        <f>2593.4+(369-874.5)+(1.322634+(0.18819-0.445995))+0--87.4--0.0445739999999911</f>
        <v>2176.4094030000001</v>
      </c>
      <c r="M186" s="3">
        <f>2665.5+(275.4-824.1)+(-1.359405+(-0.140454--0.420291))+0--84.7-0.0431969999999914</f>
        <v>2200.3772349999999</v>
      </c>
      <c r="N186" s="3">
        <f>2976.7+(194.6-943.9)+(-3.036234+(-0.198492--0.962778))+0--83.1-0.0847620000000132</f>
        <v>2308.1432899999995</v>
      </c>
      <c r="O186" s="3">
        <f>3129+(135.2-942.3)+(0+(0-0))+0--81.3-0</f>
        <v>2403.2000000000003</v>
      </c>
      <c r="P186" s="3">
        <f>3133.6+(53.2-795.4)+(-1.598136+(-0.027132--0.405654))+0--79.7-0.0406469999999919</f>
        <v>2469.839739</v>
      </c>
      <c r="Q186" s="3">
        <f>3146.3+(99-751.8)+(-6.418452+(-0.20196--1.533672))+0--79.1-0.161363999999997</f>
        <v>2567.3518959999997</v>
      </c>
      <c r="R186" s="3">
        <f>3124+(164.6-749.1)+(-7.9662+(-0.41973--1.910205))+0--78.3-0.199664999999989</f>
        <v>2611.1246100000003</v>
      </c>
      <c r="S186" s="3">
        <f>3102.4+(220.6-718.3)+(-6.328896+(-0.450024--1.465332))+0--76.9-0.156875999999997</f>
        <v>2676.1295360000004</v>
      </c>
      <c r="T186" s="3">
        <f>3094.4+(215.6-678.6)+(0+(0-0))+0--76.2-0</f>
        <v>2707.6</v>
      </c>
      <c r="U186" s="3">
        <f>3096.8+(144.8-694.4)+(-6.317472+(-0.295392--1.416576))+0--77.7-0.158507999999997</f>
        <v>2619.545204</v>
      </c>
      <c r="V186" s="3">
        <f>3096.6+(124.5-862.5)+(-7.89633+(-0.317475--2.199375))+0--77.2-0.196859999999989</f>
        <v>2429.5887099999995</v>
      </c>
      <c r="W186" s="3">
        <f>3018.7+(114.8-974.4)+(-3.079074+(-0.117096--0.993888))+0--77.8-0.0793560000000124</f>
        <v>2234.6183619999997</v>
      </c>
      <c r="X186" s="3">
        <f>3211.5+(13.9-883.2)+(-6.55146+(-0.028356--1.801728))+0--77.7-0.158507999999997</f>
        <v>2414.9634039999996</v>
      </c>
      <c r="Y186" s="3">
        <f>3298.3+(33.8-876.5)+(-10.092798+(-0.103428--2.68209))+0--77.7-0.237762000000009</f>
        <v>2525.5481020000002</v>
      </c>
      <c r="Z186" s="3">
        <f>3293.2+(53.2-919.5)+(-8.39766+(-0.13566--2.344725))+0--77.9-0.198644999999989</f>
        <v>2498.4127599999997</v>
      </c>
      <c r="AA186" s="3">
        <f>3252.4+(54.8-878.6)+(-6.634896+(-0.111792--1.792344))+0--79.1-0.161363999999997</f>
        <v>2502.5842919999996</v>
      </c>
      <c r="AB186" s="3">
        <f>3170+(99.6-821.5)+(-4.8501+(-0.152388--1.256895))+0--80.7-0.123471000000005</f>
        <v>2524.9309359999997</v>
      </c>
      <c r="AC186" s="3">
        <f>3168+(93-828)+(-8.0784+(-0.23715--2.1114))+0--82.4-0.210119999999988</f>
        <v>2508.9857299999999</v>
      </c>
      <c r="AD186">
        <v>2595.7000000000003</v>
      </c>
      <c r="AE186" s="3">
        <f>3306+(49-840.1)+(0+(0-0))+0--80.8-0</f>
        <v>2595.7000000000003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3113.9+(143.7-822)+(-3.176178+(-0.146574--0.83844))+0-6.9--0.0070380000000011</f>
        <v>2426.2227260000004</v>
      </c>
      <c r="G187" s="3">
        <f>3071.7+(146.2-847.4)+(1.566567+(0.074562-0.432174))+0-6.9-0.0035189999999993</f>
        <v>2364.8054360000001</v>
      </c>
      <c r="H187" s="3">
        <f>3077.2+(120.7-881.2)+(3.138744+(0.123114-0.898824))+0-6.8-0.00693600000000108</f>
        <v>2312.2560979999994</v>
      </c>
      <c r="I187" s="3">
        <f>3037.4+(121.7-885.4)+(0+(0-0))+0-6.9-0</f>
        <v>2266.8000000000002</v>
      </c>
      <c r="J187" s="3">
        <f>3000.8+(148.9-922.4)+(-4.591224+(-0.227817--1.411272))+0-6.7--0.0102510000000004</f>
        <v>2217.2024820000006</v>
      </c>
      <c r="K187" s="3">
        <f>2810+(232.5-898)+(-8.5986+(-0.71145--2.74788))+0-6.7--0.0205020000000008</f>
        <v>2131.2583319999999</v>
      </c>
      <c r="L187" s="3">
        <f>2430.1+(322.3-790.4)+(1.239351+(0.164373-0.403104))+0--84.6--0.0431459999999914</f>
        <v>2047.6437659999999</v>
      </c>
      <c r="M187" s="3">
        <f>2391.6+(300.3-744.8)+(4.878864+(0.612612-1.519392))+0--89.9--0.183395999999996</f>
        <v>2041.1554799999999</v>
      </c>
      <c r="N187" s="3">
        <f>2431.4+(268-707.9)+(0+(0-0))+0--82.2-0</f>
        <v>2073.6999999999998</v>
      </c>
      <c r="O187" s="3">
        <f>2449.4+(219-639.3)+(2.498388+(0.22338-0.652086))+0--80.2--0.0818040000000128</f>
        <v>2111.4514859999999</v>
      </c>
      <c r="P187" s="3">
        <f>2907.3+(102.2-836.7)+(0+(0-0))+0--78.9-0</f>
        <v>2251.7000000000003</v>
      </c>
      <c r="Q187" s="3">
        <f>2987.6+(61.1-824)+(-3.047352+(-0.062322--0.84048))+0--78.3-0.0798660000000125</f>
        <v>2300.65094</v>
      </c>
      <c r="R187" s="3">
        <f>2979.7+(116-710.3)+(1.519647+(0.05916-0.362253))+0--77.8--0.0396779999999921</f>
        <v>2464.456232</v>
      </c>
      <c r="S187" s="3">
        <f>2882.5+(228-612.9)+(-2.94015+(-0.23256--0.625158))+0--78.1-0.0796620000000124</f>
        <v>2573.0727859999997</v>
      </c>
      <c r="T187" s="3">
        <f>2877.2+(235.8-616.9)+(-4.402116+(-0.360774--0.943857))+0--78.9-0.120717000000005</f>
        <v>2571.06025</v>
      </c>
      <c r="U187" s="3">
        <f>2874+(186.7-545.9)+(-5.86296+(-0.380868--1.113636))+0--78.8-0.160751999999997</f>
        <v>2588.3090560000005</v>
      </c>
      <c r="V187" s="3">
        <f>2767+(203-642.9)+(-4.23351+(-0.31059--0.983637))+0--79.7-0.121941000000005</f>
        <v>2403.117596</v>
      </c>
      <c r="W187" s="3">
        <f>2728.3+(169.3-777.5)+(0+(0-0))+0--80.5-0</f>
        <v>2200.6000000000004</v>
      </c>
      <c r="X187" s="3">
        <f>2827.1+(85.3-662.9)+(0+(0-0))+0--80.4-0</f>
        <v>2329.9</v>
      </c>
      <c r="Y187" s="3">
        <f>2953.2+(103.2-722.6)+(-1.506132+(-0.052632--0.368526))+0--80.7-0.0411569999999918</f>
        <v>2413.2686049999993</v>
      </c>
      <c r="Z187" s="3">
        <f>2975.5+(133.7-705.9)+(-4.552515+(-0.204561--1.080027))+0--80.5-0.123165000000005</f>
        <v>2479.9997860000003</v>
      </c>
      <c r="AA187" s="3">
        <f>2958+(161.3-680.3)+(-3.01716+(-0.164526--0.693906))+0--80.9-0.0825180000000129</f>
        <v>2517.329702</v>
      </c>
      <c r="AB187" s="3">
        <f>2938.9+(179.8-642)+(1.498839+(0.091698-0.32742))+0--80.7--0.0411569999999918</f>
        <v>2558.7042740000002</v>
      </c>
      <c r="AC187" s="3">
        <f>2946.9+(182.8-635.6)+(-1.502919+(-0.093228--0.324156))+0--80.9-0.0412589999999918</f>
        <v>2573.6867499999998</v>
      </c>
      <c r="AD187">
        <v>2483.6999999999998</v>
      </c>
      <c r="AE187" s="3">
        <f>2949+(116.4-663.7)+(0+(0-0))+0--82-0</f>
        <v>2483.6999999999998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2959+(209.7-712.8)+(0+(0-0))+0--84.9-0</f>
        <v>2540.8000000000002</v>
      </c>
      <c r="G188" s="3">
        <f>2963.9+(202.7-775.7)+(1.511589+(0.103377-0.395607))+0--85--0.0433499999999914</f>
        <v>2477.1627090000002</v>
      </c>
      <c r="H188" s="3">
        <f>2970.6+(191.8-816.1)+(3.030012+(0.195636-0.832422))+0--85--0.0867000000000136</f>
        <v>2433.7799260000002</v>
      </c>
      <c r="I188" s="3">
        <f>2836.3+(235.1-775.7)+(1.446513+(0.119901-0.395607))+0--86--0.0438599999999913</f>
        <v>2382.914667</v>
      </c>
      <c r="J188" s="3">
        <f>2825.2+(217.9-801.1)+(-2.881704+(-0.222258--0.817122))+0--86-0.0877200000000137</f>
        <v>2325.6254399999998</v>
      </c>
      <c r="K188" s="3">
        <f>2761.6+(265.6-864)+(-7.04208+(-0.67728--2.2032))+0--87.1-0.222104999999987</f>
        <v>2244.5617349999998</v>
      </c>
      <c r="L188" s="3">
        <f>2402.7+(338.5-727.5)+(0+(0-0))+0--84.1-0</f>
        <v>2097.7999999999997</v>
      </c>
      <c r="M188" s="3">
        <f>2381.1+(328.2-693.3)+(0+(0-0))+0--83.9-0</f>
        <v>2099.9</v>
      </c>
      <c r="N188" s="3">
        <f>2427+(262.1-639.7)+(-1.23777+(-0.133671--0.326247))+0--82.7-0.0421769999999916</f>
        <v>2131.0126290000003</v>
      </c>
      <c r="O188" s="3">
        <f>2841.9+(166.5-727)+(0+(0-0))+0--80.4-0</f>
        <v>2361.8000000000002</v>
      </c>
      <c r="P188" s="3">
        <f>2885.8+(100.9-758.3)+(1.471758+(0.051459-0.386733))+0--79.1--0.040340999999992</f>
        <v>2308.676825</v>
      </c>
      <c r="Q188" s="3">
        <f>2926.2+(111.4-692.8)+(-4.477086+(-0.170442--1.059984))+0--77.9-0.119187000000005</f>
        <v>2418.9932690000001</v>
      </c>
      <c r="R188" s="3">
        <f>3010.9+(170.1-701.5)+(0+(0-0))+0--78-0</f>
        <v>2557.5</v>
      </c>
      <c r="S188" s="3">
        <f>3028.9+(256.7-683)+(1.544739+(0.130917-0.34833))+0--77.8--0.0396779999999921</f>
        <v>2681.7670040000003</v>
      </c>
      <c r="T188" s="3">
        <f>3116.1+(236.7-692.9)+(0+(0-0))+0--77.6-0</f>
        <v>2737.5</v>
      </c>
      <c r="U188" s="3">
        <f>3146.5+(192.6-736.8)+(-3.20943+(-0.196452--0.751536))+0--78.8-0.0803760000000126</f>
        <v>2678.3652780000007</v>
      </c>
      <c r="V188" s="3">
        <f>3169+(129.8-906.6)+(-4.84857+(-0.198594--1.387098))+0--79.9-0.122247000000005</f>
        <v>2468.3176870000002</v>
      </c>
      <c r="W188" s="3">
        <f>2998.2+(115.2-917.6)+(-3.058164+(-0.117504--0.935952))+0--80.5-0.0821100000000128</f>
        <v>2273.9781739999999</v>
      </c>
      <c r="X188" s="3">
        <f>3199.3+(54.4-886)+(0+(0-0))+0--80.4-0</f>
        <v>2448.1000000000004</v>
      </c>
      <c r="Y188" s="3">
        <f>3333.4+(94.6-937.3)+(-1.700034+(-0.048246--0.478023))+0--80.3-0.0409529999999919</f>
        <v>2569.6887900000002</v>
      </c>
      <c r="Z188" s="3">
        <f>3351.1+(107-941.5)+(-6.836244+(-0.21828--1.92066))+0--80.7-0.164627999999996</f>
        <v>2592.0015079999998</v>
      </c>
      <c r="AA188" s="3">
        <f>3373.9+(120.1-922.1)+(1.720689+(0.061251-0.470271))+0--80.7--0.0411569999999918</f>
        <v>2653.9528260000002</v>
      </c>
      <c r="AB188" s="3">
        <f>3394.2+(151.4-937.7)+(-5.193126+(-0.231642--1.434681))+0--81-0.123930000000005</f>
        <v>2684.7859829999993</v>
      </c>
      <c r="AC188" s="3">
        <f>3403.7+(149-952.6)+(-1.735887+(-0.07599--0.485826))+0--81.4-0.0415139999999917</f>
        <v>2680.132435</v>
      </c>
      <c r="AD188">
        <v>2576.3999999999996</v>
      </c>
      <c r="AE188" s="3">
        <f>3327+(85.2-919.4)+(0+(0-0))+0--83.6-0</f>
        <v>2576.4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3419.5+(121-1006)+(-1.743945+(-0.06171--0.51306))+0--85.7-0.0437069999999913</f>
        <v>2618.8636980000001</v>
      </c>
      <c r="G189" s="3">
        <f>3431.8+(109.6-1090.2)+(-5.250654+(-0.167688--1.668006))+0--86.7-0.132651000000005</f>
        <v>2534.0170130000001</v>
      </c>
      <c r="H189" s="3">
        <f>3381.7+(107.7-1091.8)+(1.724667+(0.054927-0.556818))+0--86.8--0.0442679999999912</f>
        <v>2485.6670440000003</v>
      </c>
      <c r="I189" s="3">
        <f>3183.8+(159.2-992.1)+(-1.623738+(-0.081192--0.505971))+0--86.8-0.0442679999999912</f>
        <v>2436.4567730000003</v>
      </c>
      <c r="J189" s="3">
        <f>3091.6+(167.9-959.2)+(-1.576716+(-0.085629--0.489192))+0--85.7-0.0437069999999913</f>
        <v>2384.7831399999995</v>
      </c>
      <c r="K189" s="3">
        <f>2845.1+(262.1-895.6)+(-5.804004+(-0.534684--1.827024))+0--86.4-0.176255999999996</f>
        <v>2293.3120799999997</v>
      </c>
      <c r="L189" s="3">
        <f>2782+(307-1035.3)+(-2.83764+(-0.31314--1.056006))+0--85.4-0.0871080000000136</f>
        <v>2136.9181179999996</v>
      </c>
      <c r="M189" s="3">
        <f>2758+(301-933)+(2.81316+(0.30702-0.95166))+0--84.4--0.0860880000000135</f>
        <v>2212.6546080000003</v>
      </c>
      <c r="N189" s="3">
        <f>2973+(233.7-957)+(0+(0-0))+0--82.4-0</f>
        <v>2332.1</v>
      </c>
      <c r="O189" s="3">
        <f>3204.2+(153.6-897)+(1.634142+(0.078336-0.45747))+0--79.4--0.0404939999999919</f>
        <v>2541.4955019999998</v>
      </c>
      <c r="P189" s="3">
        <f>3156.7+(127-676)+(-1.609917+(-0.06477--0.34476))+0--78.4-0.039983999999992</f>
        <v>2684.7300889999997</v>
      </c>
      <c r="Q189" s="3">
        <f>3141.2+(137.7-599.1)+(1.602012+(0.070227-0.305541))+0--78.4--0.039983999999992</f>
        <v>2759.6066819999996</v>
      </c>
      <c r="R189" s="3">
        <f>3125.2+(257.1-558.4)+(-3.187704+(-0.262242--0.569568))+0--78.4-0.0799680000000125</f>
        <v>2899.3396539999999</v>
      </c>
      <c r="S189" s="3">
        <f>3117.2+(374.7-606)+(3.179544+(0.382194-0.61812))+0--78.7--0.0802740000000126</f>
        <v>2967.6238919999992</v>
      </c>
      <c r="T189" s="3">
        <f>3176.3+(376.3-601.1)+(-1.619913+(-0.191913--0.306561))+0--78.7-0.040136999999992</f>
        <v>3028.6545980000001</v>
      </c>
      <c r="U189" s="3">
        <f>3109.3+(303.8-563.9)+(-6.342972+(-0.619752--1.150356))+0--77.7-0.158507999999997</f>
        <v>2920.9291240000002</v>
      </c>
      <c r="V189" s="3">
        <f>3074+(311.5-801.2)+(-3.13548+(-0.31773--0.817224))+0--78.7-0.0802740000000126</f>
        <v>2660.2837400000003</v>
      </c>
      <c r="W189" s="3">
        <f>3034.4+(279-874.2)+(1.547544+(0.14229-0.445842))+0--78.6--0.040085999999992</f>
        <v>2519.0840779999999</v>
      </c>
      <c r="X189" s="3">
        <f>3164.9+(133.6-745.5)+(-1.614099+(-0.068136--0.380205))+0--78.6-0.040085999999992</f>
        <v>2630.2578840000001</v>
      </c>
      <c r="Y189" s="3">
        <f>3254.9+(143.3-738.8)+(-8.299995+(-0.365415--1.88394))+0--76.7-0.195584999999989</f>
        <v>2729.1229450000001</v>
      </c>
      <c r="Z189" s="3">
        <f>3262.4+(141.7-745.4)+(-3.327648+(-0.144534--0.760308))+0--76.7-0.0782340000000122</f>
        <v>2732.6098919999995</v>
      </c>
      <c r="AA189" s="3">
        <f>3273.7+(123.2-730.1)+(-1.669587+(-0.062832--0.372351))+0--76.9-0.0392189999999922</f>
        <v>2742.3007130000001</v>
      </c>
      <c r="AB189" s="3">
        <f>3329.2+(160.7-775)+(-5.093676+(-0.245871--1.18575))+0--77.6-0.118728000000004</f>
        <v>2788.2274749999997</v>
      </c>
      <c r="AC189" s="3">
        <f>3385.2+(181.4-864.2)+(-8.63226+(-0.46257--2.20371))+0--77.6-0.197879999999989</f>
        <v>2772.9109999999991</v>
      </c>
      <c r="AD189">
        <v>2757.5</v>
      </c>
      <c r="AE189" s="3">
        <f>3268+(146-737.3)+(0+(0-0))+0--80.8-0</f>
        <v>2757.5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3403.8+(182-973.9)+(-8.67969+(-0.4641--2.483445))+0--83.8-0.213689999999988</f>
        <v>2688.8259650000005</v>
      </c>
      <c r="G190" s="3">
        <f>3420.3+(182.6-1063.5)+(6.977412+(0.372504-2.16954))+0--84.1--0.171563999999996</f>
        <v>2628.85194</v>
      </c>
      <c r="H190" s="3">
        <f>3424.3+(181.9-1127.7)+(-3.492786+(-0.185538--1.150254))+0--85.2-0.0869040000000136</f>
        <v>2561.0850259999997</v>
      </c>
      <c r="I190" s="3">
        <f>3420.3+(199.4-1186.6)+(-3.488706+(-0.203388--1.210332))+0--85.3-0.0870060000000136</f>
        <v>2515.8312320000005</v>
      </c>
      <c r="J190" s="3">
        <f>3336.7+(226.3-1170.4)+(-3.403434+(-0.230826--1.193808))+0--85.4-0.0871080000000136</f>
        <v>2475.4724399999996</v>
      </c>
      <c r="K190" s="3">
        <f>3229.3+(293.5-1215.4)+(-8.234715+(-0.748425--3.09927))+0--85.3-0.217514999999988</f>
        <v>2386.5986150000003</v>
      </c>
      <c r="L190" s="3">
        <f>2832+(446.6-1160.1)+(-4.33296+(-0.683298--1.774953))+0--82.1-0.125613000000005</f>
        <v>2197.2330819999997</v>
      </c>
      <c r="M190" s="3">
        <f>2773.6+(238.7-904.9)+(1.414536+(0.121737-0.461499))+0--81.4--0.0415139999999917</f>
        <v>2189.9162879999999</v>
      </c>
      <c r="N190" s="3">
        <f>2978+(123-880.2)+(0+(0-0))+0--79.9-0</f>
        <v>2300.7000000000003</v>
      </c>
      <c r="O190" s="3">
        <f>3138.4+(48-847.1)+(1.600584+(0.02448-0.432021))+0--79.6--0.0405959999999919</f>
        <v>2420.1336390000001</v>
      </c>
      <c r="P190" s="3">
        <f>3284.1+(31-866.1)+(3.349782+(0.03162-0.883422))+0--77.9--0.0794580000000124</f>
        <v>2529.4774380000003</v>
      </c>
      <c r="Q190" s="3">
        <f>3280.7+(35.7-735.9)+(0+(0-0))+0--77.2-0</f>
        <v>2657.7</v>
      </c>
      <c r="R190" s="3">
        <f>3259+(135-677.8)+(-4.98627+(-0.20655--1.037034))+0--76.6-0.117198000000004</f>
        <v>2788.527016</v>
      </c>
      <c r="S190" s="3">
        <f>3244.5+(237.7-582.4)+(-6.61878+(-0.484908--1.188096))+0--76.9-0.156875999999997</f>
        <v>2970.6275320000004</v>
      </c>
      <c r="T190" s="3">
        <f>3244.8+(264-549.7)+(-8.27424+(-0.6732--1.401735))+0--76.8-0.195839999999989</f>
        <v>3028.1584550000007</v>
      </c>
      <c r="U190" s="3">
        <f>3246.2+(183.5-766.6)+(-11.588934+(-0.655095--2.736762))+0--76.8-0.274176000000001</f>
        <v>2730.1185570000002</v>
      </c>
      <c r="V190" s="3">
        <f>3243.7+(80.8-857)+(-11.580009+(-0.288456--3.05949))+0--77.6-0.277032000000001</f>
        <v>2536.013993</v>
      </c>
      <c r="W190" s="3">
        <f>3267.6+(62.4-936)+(-6.665904+(-0.127296--1.90944))+0--77.5-0.158099999999997</f>
        <v>2466.4581399999997</v>
      </c>
      <c r="X190" s="3">
        <f>3300.6+(27.6-744)+(-6.733224+(-0.056304--1.51776))+0--77.1-0.157283999999997</f>
        <v>2655.8709479999998</v>
      </c>
      <c r="Y190" s="3">
        <f>3332.3+(79.7-730)+(-6.797892+(-0.162588--1.4892))+0--77.8-0.158711999999997</f>
        <v>2754.1700080000001</v>
      </c>
      <c r="Z190" s="3">
        <f>3300.9+(95.2-717.7)+(0+(0-0))+0--78.2-0</f>
        <v>2756.6</v>
      </c>
      <c r="AA190" s="3">
        <f>3274.9+(109.3-686.1)+(-8.350995+(-0.278715--1.749555))+0--78.3-0.199664999999989</f>
        <v>2769.3201800000002</v>
      </c>
      <c r="AB190" s="3">
        <f>3305.2+(114.8-705.2)+(-8.42826+(-0.29274--1.79826))+0--78.6-0.200429999999989</f>
        <v>2786.2768299999998</v>
      </c>
      <c r="AC190" s="3">
        <f>3293+(144.5-730.6)+(-8.39715+(-0.368475--1.86303))+0--78.8-0.200939999999989</f>
        <v>2778.5964650000001</v>
      </c>
      <c r="AD190">
        <v>2776.1</v>
      </c>
      <c r="AE190" s="3">
        <f>3342+(78.4-725.9)+(0+(0-0))+0--81.6-0</f>
        <v>2776.1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3223.5+(166.1-765.8)+(-6.57594+(-0.338844--1.562232))+0--79.3-0.161771999999997</f>
        <v>2697.5856760000006</v>
      </c>
      <c r="G191" s="3">
        <f>3196.1+(145.1-801.2)+(0+(0-0))+0--79.8-0</f>
        <v>2619.8000000000002</v>
      </c>
      <c r="H191" s="3">
        <f>3080.7+(129.5-742.3)+(0+(0-0))+0--80.2-0</f>
        <v>2548.0999999999995</v>
      </c>
      <c r="I191" s="3">
        <f>2927.3+(147.2-662.8)+(0+(0-0))+0--80.5-0</f>
        <v>2492.2000000000003</v>
      </c>
      <c r="J191" s="3">
        <f>2926.9+(147.2-707)+(-2.985438+(-0.150144--0.72114))+0--80.2-0.0818040000000128</f>
        <v>2444.8037540000005</v>
      </c>
      <c r="K191" s="3">
        <f>2884+(230.9-846.1)+(-1.47084+(-0.117759--0.431511))+0--80.4-0.0410039999999918</f>
        <v>2348.0019080000002</v>
      </c>
      <c r="L191" s="3">
        <f>2766.6+(294.7-958.9)+(-2.821932+(-0.300594--0.978078))+0--80.9-0.0825180000000129</f>
        <v>2181.0730339999996</v>
      </c>
      <c r="M191" s="3">
        <f>2764+(216.5-805.4)+(4.22892+(0.331245-1.232262))+0--79.7--0.121941000000005</f>
        <v>2258.2498439999995</v>
      </c>
      <c r="N191" s="3">
        <f>2811.5+(167.1-689.3)+(2.86773+(0.170442-0.703086))+0--78.8--0.0803760000000126</f>
        <v>2370.5154620000003</v>
      </c>
      <c r="O191" s="3">
        <f>2933.5+(151-684.5)+(0+(0-0))+0--77.9-0</f>
        <v>2477.9</v>
      </c>
      <c r="P191" s="3">
        <f>3090.5+(127-716.5)+(-7.880775+(-0.32385--1.827075))+0--76.4-0.194819999999989</f>
        <v>2570.8276299999998</v>
      </c>
      <c r="Q191" s="3">
        <f>3174.8+(24-704.9)+(1.619148+(0.01224-0.359499))+0--74.8--0.0381479999999924</f>
        <v>2570.0100370000005</v>
      </c>
      <c r="R191" s="3">
        <f>3185.8+(159-670)+(3.249516+(0.16218-0.6834))+0--74.2--0.0756840000000118</f>
        <v>2751.8039799999997</v>
      </c>
      <c r="S191" s="3">
        <f>3184.5+(345.4-672.1)+(6.49638+(0.704616-1.371084))+0--74.3--0.151571999999997</f>
        <v>2938.0814840000007</v>
      </c>
      <c r="T191" s="3">
        <f>3170.5+(300-651.3)+(-4.850865+(-0.459--0.996489))+0--75.1-0.114903000000004</f>
        <v>2889.8717209999995</v>
      </c>
      <c r="U191" s="3">
        <f>3164.5+(230.8-549.6)+(-8.069475+(-0.58854--1.40148))+0--75.2-0.191759999999989</f>
        <v>2913.4517049999995</v>
      </c>
      <c r="V191" s="3">
        <f>3183.2+(219.6-762.6)+(-8.11716+(-0.55998--1.94463))+0--76.1-0.194054999999989</f>
        <v>2709.373435</v>
      </c>
      <c r="W191" s="3">
        <f>3244.1+(184.1-1017.3)+(-4.963473+(-0.281673--1.556469))+0--76.4-0.116892000000004</f>
        <v>2483.4944310000001</v>
      </c>
      <c r="X191" s="3">
        <f>3311.7+(32.1-782.1)+(5.066901+(0.049113-1.196613))+0--76.4--0.116892000000004</f>
        <v>2642.136293</v>
      </c>
      <c r="Y191" s="3">
        <f>3407+(63.7-816.7)+(-8.68785+(-0.162435--2.082585))+0--76.8-0.195839999999989</f>
        <v>2723.8364600000004</v>
      </c>
      <c r="Z191" s="3">
        <f>3382.7+(63.9-807.5)+(-3.450354+(-0.065178--0.82365))+0--76.8-0.0783360000000122</f>
        <v>2713.129782</v>
      </c>
      <c r="AA191" s="3">
        <f>3354.6+(92.6-772.5)+(-5.132538+(-0.141678--1.181925))+0--77.3-0.118269000000004</f>
        <v>2747.78944</v>
      </c>
      <c r="AB191" s="3">
        <f>3268.7+(127.9-713.6)+(-6.668148+(-0.260916--1.455744))+0--77.5-0.158099999999997</f>
        <v>2754.8685799999998</v>
      </c>
      <c r="AC191" s="3">
        <f>3266+(169.4-769.6)+(-8.3283+(-0.43197--1.96248))+0--77.9-0.198644999999989</f>
        <v>2736.7035650000003</v>
      </c>
      <c r="AD191">
        <v>2771.1</v>
      </c>
      <c r="AE191" s="3">
        <f>3339+(67-715.5)+(0+(0-0))+0--80.6-0</f>
        <v>2771.1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3316.8+(159.6-845.6)+(-6.766272+(-0.325584--1.725024))+0-97.1--0.198083999999996</f>
        <v>2528.5312520000002</v>
      </c>
      <c r="G192" s="3">
        <f>3246.1+(183.8-868.1)+(-1.655511+(-0.093738--0.442731))+0-97.1--0.0495209999999901</f>
        <v>2463.4430030000003</v>
      </c>
      <c r="H192" s="3">
        <f>3198.4+(202.5-897.5)+(-6.524736+(-0.4131--1.8309))+0-98.2--0.200327999999996</f>
        <v>2400.293392</v>
      </c>
      <c r="I192" s="3">
        <f>3012.3+(239.3-809.6)+(1.536273+(0.122043-0.412896))+0-98.1-0.05003099999999</f>
        <v>2345.0953890000001</v>
      </c>
      <c r="J192" s="3">
        <f>3013.9+(236.2-855.3)+(-3.074178+(-0.240924--0.872406))+0-98--0.0999600000000156</f>
        <v>2294.4572640000001</v>
      </c>
      <c r="K192" s="3">
        <f>2800.5+(295.1-789.7)+(-7.141275+(-0.752505--2.013735))+0-97.9--0.249644999999986</f>
        <v>2202.3696</v>
      </c>
      <c r="L192" s="3">
        <f>2696.4+(296.1-880.7)+(-1.375164+(-0.151011--0.449157))+0--81.2-0.0414119999999918</f>
        <v>2191.88157</v>
      </c>
      <c r="M192" s="3">
        <f>2808.6+(265.6-916.2)+(1.432386+(0.135456-0.467262))+0--80--0.0407999999999919</f>
        <v>2239.14138</v>
      </c>
      <c r="N192" s="3">
        <f>2968.4+(196.8-901.5)+(3.027768+(0.200736-0.91953))+0--79--0.0805800000000126</f>
        <v>2345.0895539999997</v>
      </c>
      <c r="O192" s="3">
        <f>2988.6+(154.7-772.6)+(4.572558+(0.236691-1.182078))+0--78.2--0.119646000000005</f>
        <v>2452.6468169999998</v>
      </c>
      <c r="P192" s="3">
        <f>3102.3+(122.3-751.4)+(0+(0-0))+0--75.7-0</f>
        <v>2548.9</v>
      </c>
      <c r="Q192" s="3">
        <f>3047.5+(141.8-589.8)+(1.554225+(0.072318-0.300798))+0--74.5--0.0379949999999924</f>
        <v>2675.3637400000002</v>
      </c>
      <c r="R192" s="3">
        <f>3039.3+(347.9-632.9)+(-4.650129+(-0.532287--0.968337))+0--74.4-0.113832000000004</f>
        <v>2824.3720890000004</v>
      </c>
      <c r="S192" s="3">
        <f>3061.1+(439.8-638.3)+(1.561161+(0.224298-0.325533))+0--74.1--0.0377909999999925</f>
        <v>2938.197717</v>
      </c>
      <c r="T192" s="3">
        <f>3232.8+(263.9-698.9)+(-6.594912+(-0.538356--1.425756))+0--74.4-0.151775999999997</f>
        <v>2866.3407120000002</v>
      </c>
      <c r="U192" s="3">
        <f>3402.6+(87-759.8)+(-8.67663+(-0.22185--1.93749))+0--74.8-0.190739999999989</f>
        <v>2797.4482700000003</v>
      </c>
      <c r="V192" s="3">
        <f>3411+(101-960.8)+(-3.47922+(-0.10302--0.980016))+0--75.6-0.077112000000012</f>
        <v>2624.1206639999996</v>
      </c>
      <c r="W192" s="3">
        <f>3346.1+(112.8-988.1)+(0+(0-0))+0--76.7-0</f>
        <v>2547.4999999999995</v>
      </c>
      <c r="X192" s="3">
        <f>3572.4+(69-1030.3)+(-3.643848+(-0.07038--1.050906))+0--76.6-0.0781320000000122</f>
        <v>2684.9585460000003</v>
      </c>
      <c r="Y192" s="3">
        <f>3727.4+(66.1-1113.6)+(-5.702922+(-0.101133--1.703808))+0--76.8-0.117504000000004</f>
        <v>2752.4822490000006</v>
      </c>
      <c r="Z192" s="3">
        <f>3759.6+(76.5-1165.7)+(-5.752188+(-0.117045--1.783521))+0--77.1-0.117963000000004</f>
        <v>2743.2963249999993</v>
      </c>
      <c r="AA192" s="3">
        <f>3771.4+(77-1167.4)+(-3.846828+(-0.07854--1.190748))+0--77.7-0.0792540000000124</f>
        <v>2755.8861259999994</v>
      </c>
      <c r="AB192" s="3">
        <f>3784.2+(75.4-1158.9)+(-1.929942+(-0.038454--0.591039))+0--77.9-0.0397289999999921</f>
        <v>2777.182914</v>
      </c>
      <c r="AC192" s="3">
        <f>3801.1+(62.8-1168.6)+(-1.938561+(-0.032028--0.595986))+0--78.4-0.039983999999992</f>
        <v>2772.2854130000001</v>
      </c>
      <c r="AD192">
        <v>2813.6</v>
      </c>
      <c r="AE192" s="3">
        <f>3727+(66.6-1059.6)+(0+(0-0))+0--79.6-0</f>
        <v>2813.6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3782.6+(43.2-1107.2)+(-7.716504+(-0.088128--2.258688))+0--83-0.169319999999996</f>
        <v>2795.884736</v>
      </c>
      <c r="G193" s="3">
        <f>3784.2+(39.9-1184.8)+(-9.64971+(-0.101745--3.02124))+0--82.9-0.211394999999988</f>
        <v>2715.2583900000004</v>
      </c>
      <c r="H193" s="3">
        <f>3806.2+(24.8-1249.9)+(-3.882324+(-0.025296--1.274898))+0--82.7-0.0843540000000132</f>
        <v>2661.0829239999994</v>
      </c>
      <c r="I193" s="3">
        <f>3806.1+(26.4-1294.8)+(-7.764444+(-0.053856--2.641392))+0--82.8-0.168911999999996</f>
        <v>2615.15418</v>
      </c>
      <c r="J193" s="3">
        <f>3685.1+(50.1-1243.3)+(9.397005+(0.127755-3.170415))+0--82.9--0.211394999999988</f>
        <v>2581.3657399999997</v>
      </c>
      <c r="K193" s="3">
        <f>3610+(27.2-1238.8)+(-3.6822+(-0.027744--1.263576))+0--84-0.0856800000000134</f>
        <v>2479.8679520000001</v>
      </c>
      <c r="L193" s="3">
        <f>3278.4+(26.7-1186.4)+(6.687936+(0.054468-2.420256))+0--81.8--0.166871999999996</f>
        <v>2204.98902</v>
      </c>
      <c r="M193" s="3">
        <f>3471.3+(25.8-1333.4)+(5.311089+(0.039474-2.040102))+0--81.6--0.124848000000005</f>
        <v>2248.7353089999997</v>
      </c>
      <c r="N193" s="3">
        <f>3738.9+(19.9-1453)+(-3.813678+(-0.020298--1.48206))+0--79.2-0.0807840000000126</f>
        <v>2382.5672999999997</v>
      </c>
      <c r="O193" s="3">
        <f>3718+(18-1316.7)+(1.89618+(0.00918-0.671517))+0--76.3--0.0389129999999923</f>
        <v>2496.8727560000002</v>
      </c>
      <c r="P193" s="3">
        <f>3554.2+(19-1054.7)+(3.625284+(0.01938-1.075794))+0--74.3--0.0757860000000118</f>
        <v>2595.4446560000001</v>
      </c>
      <c r="Q193" s="3">
        <f>3323.4+(111-826.9)+(0+(0-0))+0--73.6-0</f>
        <v>2681.1</v>
      </c>
      <c r="R193" s="3">
        <f>3301.6+(308.9-923.1)+(-8.41908+(-0.787695--2.353905))+0--74.5-0.189974999999989</f>
        <v>2754.8571549999997</v>
      </c>
      <c r="S193" s="3">
        <f>3297.1+(398-923.3)+(-6.726084+(-0.81192--1.883532))+0--74.7-0.152387999999997</f>
        <v>2840.6931399999999</v>
      </c>
      <c r="T193" s="3">
        <f>3305.1+(341-865.1)+(-8.428005+(-0.86955--2.206005))+0--75-0.191249999999989</f>
        <v>2848.7172</v>
      </c>
      <c r="U193" s="3">
        <f>3303.4+(192-807.6)+(-6.738936+(-0.39168--1.647504))+0--75.5-0.154019999999997</f>
        <v>2757.6628680000003</v>
      </c>
      <c r="V193" s="3">
        <f>3225.5+(88.2-829.7)+(-6.58002+(-0.179928--1.692588))+0--76.1-0.155243999999997</f>
        <v>2554.8773959999999</v>
      </c>
      <c r="W193" s="3">
        <f>3069.6+(72.5-871.5)+(-3.130992+(-0.07395--0.88893))+0--76.3-0.0778260000000122</f>
        <v>2344.5061620000001</v>
      </c>
      <c r="X193" s="3">
        <f>3288.8+(75.7-891.6)+(3.354576+(0.077214-0.909432))+0--76.1--0.0776220000000121</f>
        <v>2551.59998</v>
      </c>
      <c r="Y193" s="3">
        <f>3373.3+(105.5-908.2)+(-5.161149+(-0.161415--1.389546))+0--76.7-0.117351000000004</f>
        <v>2643.2496310000001</v>
      </c>
      <c r="Z193" s="3">
        <f>3417.9+(99.3-963.5)+(-5.229387+(-0.151929--1.474155))+0--77-0.117810000000004</f>
        <v>2626.6750289999995</v>
      </c>
      <c r="AA193" s="3">
        <f>3447.9+(89.4-971.6)+(-5.275287+(-0.136782--1.486548))+0--77.2-0.118116000000004</f>
        <v>2638.8563629999994</v>
      </c>
      <c r="AB193" s="3">
        <f>3469.8+(86-983.2)+(-1.769598+(-0.04386--0.501432))+0--77.3-0.0394229999999922</f>
        <v>2648.5485510000003</v>
      </c>
      <c r="AC193" s="3">
        <f>3485+(72-979.3)+(-3.5547+(-0.07344--0.998886))+0--77.6-0.0791520000000124</f>
        <v>2652.591594</v>
      </c>
      <c r="AD193">
        <v>2668.2000000000003</v>
      </c>
      <c r="AE193" s="3">
        <f>3375+(106.3-894)+(0+(0-0))+0--80.9-0</f>
        <v>2668.2000000000003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3447.3+(78.6-950.2)+(3.516246+(0.080172-0.969204))+0--77.4--0.0789480000000123</f>
        <v>2655.8061620000003</v>
      </c>
      <c r="G194" s="3">
        <f>3397.3+(76.7-974)+(1.732623+(0.039117-0.49674))+0--77.8--0.0396779999999921</f>
        <v>2579.1146780000004</v>
      </c>
      <c r="H194" s="3">
        <f>3404.6+(40.5-1014.8)+(3.472692+(0.04131-1.035096))+0--78.3--0.0798660000000125</f>
        <v>2511.1587720000002</v>
      </c>
      <c r="I194" s="3">
        <f>3243.1+(75.9-925.3)+(-1.653981+(-0.038709--0.471903))+0--79.1-0.040340999999992</f>
        <v>2471.5388719999996</v>
      </c>
      <c r="J194" s="3">
        <f>3201.5+(80.9-948.8)+(1.632765+(0.041259-0.483888))+0--80--0.0407999999999919</f>
        <v>2414.8309360000003</v>
      </c>
      <c r="K194" s="3">
        <f>3199.6+(155.3-1099)+(-8.15898+(-0.396015--2.80245))+0--80.5-0.205274999999988</f>
        <v>2330.44218</v>
      </c>
      <c r="L194" s="3">
        <f>2856.9+(237.1-1008.7)+(2.914038+(0.241842-1.028874))+0--80.2--0.0818040000000128</f>
        <v>2167.7088100000001</v>
      </c>
      <c r="M194" s="3">
        <f>2806.4+(240.3-975.7)+(0+(0-0))+0--79.6-0</f>
        <v>2150.6</v>
      </c>
      <c r="N194" s="3">
        <f>2919.2+(296.7-1070.6)+(-4.466376+(-0.453951--1.638018))+0--78.3-0.119799000000005</f>
        <v>2220.1978920000001</v>
      </c>
      <c r="O194" s="3">
        <f>3113.6+(260.7-1150.9)+(4.763808+(0.398871-1.760877))+0--75.9--0.116127000000004</f>
        <v>2302.8179289999994</v>
      </c>
      <c r="P194" s="3">
        <f>3090.1+(209.7-959.6)+(-3.151902+(-0.213894--0.978792))+0--74.2-0.0756840000000118</f>
        <v>2411.9373119999996</v>
      </c>
      <c r="Q194" s="3">
        <f>3026.1+(141.8-715.2)+(0+(0-0))+0--73.4-0</f>
        <v>2526.1</v>
      </c>
      <c r="R194" s="3">
        <f>2998.8+(190.7-615.6)+(0+(0-0))+0--73.7-0</f>
        <v>2647.6</v>
      </c>
      <c r="S194" s="3">
        <f>2997.1+(215.4-538.3)+(-3.057042+(-0.219708--0.549066))+0--73.6-0.0750720000000117</f>
        <v>2744.9972439999997</v>
      </c>
      <c r="T194" s="3">
        <f>2997.5+(243.4-542.9)+(-6.1149+(-0.496536--1.107516))+0--77.5-0.158099999999997</f>
        <v>2769.8379799999998</v>
      </c>
      <c r="U194" s="3">
        <f>2999.3+(274.7-647.3)+(-9.177858+(-0.840582--1.980738))+0--77.7-0.237762000000009</f>
        <v>2696.1245359999998</v>
      </c>
      <c r="V194" s="3">
        <f>2893.9+(297.5-754.5)+(-5.903556+(-0.6069--1.53918))+0--76-0.155039999999997</f>
        <v>2507.7736839999998</v>
      </c>
      <c r="W194" s="3">
        <f>2710.2+(262.8-732.9)+(2.764404+(0.268056-0.747558))+0--75.8--0.0773160000000121</f>
        <v>2318.2622179999998</v>
      </c>
      <c r="X194" s="3">
        <f>2904.3+(147.3-624)+(1.481193+(0.075123-0.31824))+0--75.7--0.0386069999999923</f>
        <v>2504.5766830000002</v>
      </c>
      <c r="Y194" s="3">
        <f>3058.4+(116.9-619.3)+(-3.119568+(-0.119238--0.631686))+0--75.6-0.077112000000012</f>
        <v>2628.9157679999998</v>
      </c>
      <c r="Z194" s="3">
        <f>3088.8+(120.1-633.9)+(-3.150576+(-0.122502--0.646578))+0--76.8-0.0783360000000122</f>
        <v>2649.0951640000003</v>
      </c>
      <c r="AA194" s="3">
        <f>3180.6+(145.1-704.9)+(-1.622106+(-0.074001--0.359499))+0--76.6-0.0390659999999922</f>
        <v>2696.0243260000002</v>
      </c>
      <c r="AB194" s="3">
        <f>3404.6+(116.3-882.5)+(-5.209038+(-0.177939--1.350225))+0--77-0.117810000000004</f>
        <v>2711.2454379999995</v>
      </c>
      <c r="AC194" s="3">
        <f>3438.3+(115-914.2)+(-5.260599+(-0.17595--1.398726))+0--77.7-0.118881000000004</f>
        <v>2712.6432960000002</v>
      </c>
      <c r="AD194">
        <v>2625.9</v>
      </c>
      <c r="AE194" s="3">
        <f>3075+(110.3-632)+(0+(0-0))+0--76.6-0</f>
        <v>2629.9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3375+(140.8-950.4)+(-15.49125+(-0.646272--4.362336))+0--82.2-0.377298000000014</f>
        <v>2635.4475160000002</v>
      </c>
      <c r="G195" s="3">
        <f>3318.6+(147-977.1)+(-3.384972+(-0.14994--0.996642))+0--81.2-0.082824000000013</f>
        <v>2567.0789059999997</v>
      </c>
      <c r="H195" s="3">
        <f>3331.1+(150.4-1036)+(-10.193166+(-0.460224--3.17016))+0--82.2-0.25153200000001</f>
        <v>2519.9652379999998</v>
      </c>
      <c r="I195" s="3">
        <f>3338.1+(147.4-1100.1)+(-5.107293+(-0.225522--1.683153))+0--82.2-0.125766000000005</f>
        <v>2463.824572</v>
      </c>
      <c r="J195" s="3">
        <f>3329.2+(153.9-1154.1)+(0+(0-0))+0--82.2-0</f>
        <v>2411.1999999999998</v>
      </c>
      <c r="K195" s="3">
        <f>3106.6+(240.2-1103.2)+(-4.753098+(-0.367506--1.687896))+0--79.5-0.121635000000005</f>
        <v>2319.5456570000001</v>
      </c>
      <c r="L195" s="3">
        <f>2873.8+(270.9-1071.8)+(1.465638+(0.138159-0.546618))+0--80.4--0.0410039999999918</f>
        <v>2154.3981830000002</v>
      </c>
      <c r="M195" s="3">
        <f>2867.8+(204.9-952.4)+(0+(0-0))+0--79.4-0</f>
        <v>2199.7000000000003</v>
      </c>
      <c r="N195" s="3">
        <f>3152.9+(92.4-1037.1)+(3.215958+(0.094248-1.057842))+0--77.5--0.0790500000000124</f>
        <v>2288.031414</v>
      </c>
      <c r="O195" s="3">
        <f>3209.8+(41.3-921.7)+(6.547992+(0.084252-1.880268))+0--76.8--0.156671999999997</f>
        <v>2411.1086480000004</v>
      </c>
      <c r="P195" s="3">
        <f>3171.5+(76-799.1)+(3.23493+(0.07752-0.815082))+0--74.5--0.0759900000000119</f>
        <v>2525.4733579999997</v>
      </c>
      <c r="Q195" s="3">
        <f>3146.8+(171-760.6)+(1.604868+(0.08721-0.387906))+0--73.9--0.0376889999999925</f>
        <v>2632.4418610000002</v>
      </c>
      <c r="R195" s="3">
        <f>3118.4+(351.3-801.7)+(-1.590384+(-0.179163--0.408867))+0--75.1-0.0383009999999924</f>
        <v>2741.7010190000001</v>
      </c>
      <c r="S195" s="3">
        <f>3110+(523.4-855.7)+(6.3444+(1.067736-1.745628))+0--74.6--0.152183999999997</f>
        <v>2858.1186919999996</v>
      </c>
      <c r="T195" s="3">
        <f>3108+(538.1-823.6)+(-1.58508+(-0.274431--0.420036))+0--75.1-0.0383009999999924</f>
        <v>2896.1222239999997</v>
      </c>
      <c r="U195" s="3">
        <f>3112.1+(376.3-727.2)+(-6.348684+(-0.767652--1.483488))+0--75.6-0.154223999999997</f>
        <v>2831.0129279999996</v>
      </c>
      <c r="V195" s="3">
        <f>3121.7+(137-708.6)+(-6.368268+(-0.27948--1.445544))+0--76.6-0.156263999999997</f>
        <v>2621.3415319999995</v>
      </c>
      <c r="W195" s="3">
        <f>3139.4+(26.3-821.5)+(-4.803282+(-0.040239--1.256895))+0--76.2-0.116586000000004</f>
        <v>2416.6967879999997</v>
      </c>
      <c r="X195" s="3">
        <f>2951+(199.6-642.4)+(0+(0-0))+0--75.5-0</f>
        <v>2583.6999999999998</v>
      </c>
      <c r="Y195" s="3">
        <f>2987.8+(282.3-695)+(-7.61889+(-0.719865--1.77225))+0--76-0.193799999999989</f>
        <v>2644.3396950000006</v>
      </c>
      <c r="Z195" s="3">
        <f>2995.9+(308.5-749.3)+(-3.055818+(-0.31467--0.764286))+0--76-0.0775200000000121</f>
        <v>2628.4162780000006</v>
      </c>
      <c r="AA195" s="3">
        <f>3025.7+(315.7-754.8)+(-6.172428+(-0.644028--1.539792))+0--76.2-0.155447999999997</f>
        <v>2657.3678879999998</v>
      </c>
      <c r="AB195" s="3">
        <f>3037.9+(281.4-724)+(-3.098658+(-0.287028--0.73848))+0--76.8-0.0783360000000122</f>
        <v>2669.3744580000002</v>
      </c>
      <c r="AC195" s="3">
        <f>3061.5+(221.8-723)+(-9.36819+(-0.678708--2.21238))+0--77.3-0.236538000000009</f>
        <v>2629.5289440000001</v>
      </c>
      <c r="AD195">
        <v>2710.6</v>
      </c>
      <c r="AE195" s="3">
        <f>3002+(259.1-630.1)+(0+(0-0))+0--79.6-0</f>
        <v>2710.6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3082.5+(165-714.1)+(-7.860375+(-0.42075--1.820955))+0-7.2--0.018359999999999</f>
        <v>2519.7581900000005</v>
      </c>
      <c r="G196" s="3">
        <f>3096.2+(133.4-776.3)+(0+(0-0))+0-7.1-0</f>
        <v>2446.1999999999998</v>
      </c>
      <c r="H196" s="3">
        <f>3103.5+(123.5-833.5)+(-4.748355+(-0.188955--1.275255))+0-7.1--0.0108630000000004</f>
        <v>2382.7488080000003</v>
      </c>
      <c r="I196" s="3">
        <f>3112.6+(97.5-862.6)+(-4.762278+(-0.149175--1.319778))+0-7--0.0107100000000004</f>
        <v>2336.9190349999999</v>
      </c>
      <c r="J196" s="3">
        <f>3117.1+(81.4-919.3)+(-4.769163+(-0.124542--1.406529))+0-6.9--0.0105570000000004</f>
        <v>2268.8233809999997</v>
      </c>
      <c r="K196" s="3">
        <f>3008.9+(184.6-967.5)+(-3.069078+(-0.188292--0.98685))+0-6.8--0.00693600000000108</f>
        <v>2216.936416</v>
      </c>
      <c r="L196" s="3">
        <f>2684.7+(241.9-898.2)+(0+(0-0))+0--79.9-0</f>
        <v>2108.2999999999997</v>
      </c>
      <c r="M196" s="3">
        <f>2697.1+(192.5-805.4)+(4.126563+(0.294525-1.232262))+0--79.1--0.121023000000005</f>
        <v>2166.6098489999999</v>
      </c>
      <c r="N196" s="3">
        <f>2925.1+(99.9-846.2)+(2.983602+(0.101898-0.863124))+0--78.4--0.0799680000000125</f>
        <v>2259.502344</v>
      </c>
      <c r="O196" s="3">
        <f>3037.2+(52.4-815.4)+(-3.097944+(-0.053448--0.831708))+0--76.8-0.0783360000000122</f>
        <v>2348.6019799999999</v>
      </c>
      <c r="P196" s="3">
        <f>2999.8+(66-685.2)+(-1.529898+(-0.03366--0.349452))+0--75.5-0.0385049999999923</f>
        <v>2454.8473890000005</v>
      </c>
      <c r="Q196" s="3">
        <f>2955.1+(145.3-615.2)+(3.014202+(0.148206-0.627504))+0--74.4--0.0758880000000119</f>
        <v>2562.2107919999999</v>
      </c>
      <c r="R196" s="3">
        <f>2926.2+(321.9-642.1)+(-1.492362+(-0.164169--0.327471))+0--73.8-0.0376379999999925</f>
        <v>2678.4333020000004</v>
      </c>
      <c r="S196" s="3">
        <f>2909.7+(479.5-634.7)+(0+(0-0))+0--73.6-0</f>
        <v>2828.1</v>
      </c>
      <c r="T196" s="3">
        <f>2901.5+(495.2-598.1)+(-7.398825+(-1.26276--1.525155))+0--73.4-0.187169999999989</f>
        <v>2864.6763999999998</v>
      </c>
      <c r="U196" s="3">
        <f>2906.2+(259-618.2)+(-5.928648+(-0.52836--1.261128))+0--74.5-0.151979999999997</f>
        <v>2616.1521399999997</v>
      </c>
      <c r="V196" s="3">
        <f>2919.5+(167.6-606.9)+(-7.444725+(-0.42738--1.547595))+0--89.5-0.228224999999987</f>
        <v>2563.1472650000001</v>
      </c>
      <c r="W196" s="3">
        <f>2784.1+(168.8-649.8)+(-2.839782+(-0.172176--0.662796))+0--85.6-0.0873120000000136</f>
        <v>2386.2635259999997</v>
      </c>
      <c r="X196" s="3">
        <f>2970+(93-597.1)+(-4.5441+(-0.14229--0.913563))+0--77.9-0.119187000000005</f>
        <v>2539.9079860000006</v>
      </c>
      <c r="Y196" s="3">
        <f>2995.7+(104.2-623.2)+(-4.583421+(-0.159426--0.953496))+0--79.1-0.121023000000005</f>
        <v>2551.8896259999997</v>
      </c>
      <c r="Z196" s="3">
        <f>3015.6+(106.2-651.1)+(-6.151824+(-0.216648--1.328244))+0--79.6-0.162383999999997</f>
        <v>2545.0973879999997</v>
      </c>
      <c r="AA196" s="3">
        <f>3036.2+(108.2-649.5)+(-4.645386+(-0.165546--0.993735))+0--80-0.122400000000005</f>
        <v>2570.9604029999996</v>
      </c>
      <c r="AB196" s="3">
        <f>3049.2+(112.2-637)+(-3.110184+(-0.114444--0.64974))+0--80.4-0.0820080000000128</f>
        <v>2602.1431039999998</v>
      </c>
      <c r="AC196" s="3">
        <f>3058.1+(141.6-681.1)+(-7.798155+(-0.36108--1.736805))+0--81-0.206549999999988</f>
        <v>2592.97102</v>
      </c>
      <c r="AD196">
        <v>2543</v>
      </c>
      <c r="AE196" s="3">
        <f>3008+(103.2-619.2)+(0+(0-0))+0--79-0</f>
        <v>2571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2990.3+(193.8-704.4)+(1.525053+(0.098838-0.359244))+0--78.9--0.040238999999992</f>
        <v>2559.9048860000003</v>
      </c>
      <c r="G197" s="3">
        <f>2947.4+(205.3-725.1)+(-7.51587+(-0.523515--1.849005))+0--78.9-0.201194999999989</f>
        <v>2500.1084250000004</v>
      </c>
      <c r="H197" s="3">
        <f>2926.1+(194.9-768.4)+(-1.492311+(-0.099399--0.391884))+0--78.9-0.040238999999992</f>
        <v>2430.259935</v>
      </c>
      <c r="I197" s="3">
        <f>2885.4+(193.7-773.6)+(-1.471554+(-0.098787--0.394536))+0--79-0.040289999999992</f>
        <v>2383.2839050000002</v>
      </c>
      <c r="J197" s="3">
        <f>2812.5+(201.7-747)+(-7.171875+(-0.514335--1.90485))+0--80.2-0.204509999999988</f>
        <v>2341.4141299999997</v>
      </c>
      <c r="K197" s="3">
        <f>2593.1+(284.3-710.9)+(-5.289924+(-0.579972--1.450236))+0--81.1-0.165443999999996</f>
        <v>2243.0148959999997</v>
      </c>
      <c r="L197" s="3">
        <f>2480.4+(320.5-796.9)+(-1.265004+(-0.163455--0.406419))+0--79.6-0.0405959999999919</f>
        <v>2082.5373640000003</v>
      </c>
      <c r="M197" s="3">
        <f>2568.9+(241.8-763.8)+(1.310139+(0.123318-0.389538))+0--78.3--0.0399329999999921</f>
        <v>2126.283852</v>
      </c>
      <c r="N197" s="3">
        <f>2827.9+(164.5-858.7)+(2.884458+(0.16779-0.875874))+0--77.6--0.0791520000000124</f>
        <v>2213.5555259999996</v>
      </c>
      <c r="O197" s="3">
        <f>2963+(112.7-844.3)+(3.02226+(0.114954-0.861186))+0--78--0.0795600000000124</f>
        <v>2311.7555880000004</v>
      </c>
      <c r="P197" s="3">
        <f>3099.7+(40.7-820.5)+(-1.580847+(-0.020757--0.418455))+0--77.3-0.0394229999999922</f>
        <v>2395.9774279999997</v>
      </c>
      <c r="Q197" s="3">
        <f>3290.3+(16-858.7)+(-5.034159+(-0.02448--1.313811))+0--77.4-0.118422000000004</f>
        <v>2521.1367500000006</v>
      </c>
      <c r="R197" s="3">
        <f>3254.4+(86-890.6)+(-6.638976+(-0.17544--1.816824))+0--76.7-0.156467999999997</f>
        <v>2521.3459399999997</v>
      </c>
      <c r="S197" s="3">
        <f>3242.9+(164-761.5)+(-3.307758+(-0.16728--0.77673))+0--75.9-0.0774180000000121</f>
        <v>2718.5242740000003</v>
      </c>
      <c r="T197" s="3">
        <f>3245+(191.6-725.8)+(-6.6198+(-0.390864--1.480632))+0--76.4-0.155855999999997</f>
        <v>2781.5141120000003</v>
      </c>
      <c r="U197" s="3">
        <f>3234.6+(110-878.3)+(-8.24823+(-0.2805--2.239665))+0--75.5-0.192524999999989</f>
        <v>2535.3184100000003</v>
      </c>
      <c r="V197" s="3">
        <f>3230.8+(46.5-853.1)+(-6.590832+(-0.09486--1.740324))+0--75.7-0.154427999999997</f>
        <v>2494.8002040000001</v>
      </c>
      <c r="W197" s="3">
        <f>3169.4+(49-958.4)+(3.232788+(0.04998-0.977568))+0--76.6--0.0781320000000122</f>
        <v>2338.9833319999998</v>
      </c>
      <c r="X197" s="3">
        <f>3284.9+(25-891.3)+(-5.025897+(-0.03825--1.363689))+0--76.8-0.117504000000004</f>
        <v>2491.5820380000009</v>
      </c>
      <c r="Y197" s="3">
        <f>3348.9+(67.7-964.5)+(-3.415878+(-0.069054--0.98379))+0--78.7-0.0802740000000126</f>
        <v>2528.2185840000002</v>
      </c>
      <c r="Z197" s="3">
        <f>3405.8+(55.1-1011.3)+(-1.736958+(-0.028101--0.515763))+0--79.3-0.040442999999992</f>
        <v>2527.6102610000007</v>
      </c>
      <c r="AA197" s="3">
        <f>3424.1+(72.3-1029.4)+(1.746291+(0.036873-0.524994))+0--79.7--0.0406469999999919</f>
        <v>2547.9988169999997</v>
      </c>
      <c r="AB197" s="3">
        <f>3400.5+(84.9-981)+(-5.202765+(-0.129897--1.50093))+0--80.5-0.123165000000005</f>
        <v>2580.945103</v>
      </c>
      <c r="AC197" s="3">
        <f>3450.9+(75.3-1020.7)+(-5.279877+(-0.115209--1.561671))+0--80.8-0.123624000000005</f>
        <v>2582.3429610000003</v>
      </c>
      <c r="AD197">
        <v>2559.6000000000004</v>
      </c>
      <c r="AE197" s="3">
        <f>3312+(37-866.2)+(0+(0-0))+0--76.8-0</f>
        <v>2559.6000000000004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3413.4+(54.3-1031.8)+(-6.963336+(-0.110772--2.104872))+0--81.3-0.165851999999996</f>
        <v>2512.0649120000003</v>
      </c>
      <c r="G198" s="3">
        <f>3320+(62.4-1021.7)+(-3.3864+(-0.063648--1.042134))+0--80.7-0.0823140000000129</f>
        <v>2438.9097719999995</v>
      </c>
      <c r="H198" s="3">
        <f>3107.4+(96.4-927.3)+(-1.584774+(-0.049164--0.472923))+0--80.5-0.0410549999999918</f>
        <v>2355.7979299999997</v>
      </c>
      <c r="I198" s="3">
        <f>3128.2+(92.5-994.2)+(-3.190764+(-0.09435--1.014084))+0--81.5-0.083130000000013</f>
        <v>2305.6458400000001</v>
      </c>
      <c r="J198" s="3">
        <f>3083+(101.3-1001.9)+(0+(0-0))+0--81.6-0</f>
        <v>2264</v>
      </c>
      <c r="K198" s="3">
        <f>2939.1+(177.3-1025.8)+(-5.995764+(-0.361692--2.092632))+0--80.7-0.164627999999996</f>
        <v>2166.8705479999999</v>
      </c>
      <c r="L198" s="3">
        <f>2861.1+(194.3-1137.9)+(-1.459161+(-0.099093--0.580329))+0--79.9-0.0407489999999919</f>
        <v>1996.3813259999999</v>
      </c>
      <c r="M198" s="3">
        <f>2944.5+(159.4-1117.5)+(0+(0-0))+0--80.9-0</f>
        <v>2067.3000000000002</v>
      </c>
      <c r="N198" s="3">
        <f>3043.1+(91.5-1082.8)+(1.551981+(0.046665-0.552228))+0--81.1--0.0413609999999918</f>
        <v>2133.987779</v>
      </c>
      <c r="O198" s="3">
        <f>3147.4+(54.3-1054)+(0+(0-0))+0--78.6-0</f>
        <v>2226.2999999999997</v>
      </c>
      <c r="P198" s="3">
        <f>3246.5+(19.1-1038)+(-3.31143+(-0.019482--1.05876))+0--76.6-0.0781320000000122</f>
        <v>2301.8497159999997</v>
      </c>
      <c r="Q198" s="3">
        <f>3278.1+(16-999.1)+(-1.671831+(-0.00816--0.509541))+0--75.8-0.0386579999999923</f>
        <v>2369.5908920000002</v>
      </c>
      <c r="R198" s="3">
        <f>3262.3+(86-981.5)+(-4.991319+(-0.13158--1.501695))+0--75.9-0.116127000000004</f>
        <v>2438.9626690000005</v>
      </c>
      <c r="S198" s="3">
        <f>3252.7+(132.5-974.8)+(-3.317754+(-0.13515--0.994296))+77.5--76.2-0.0777240000000122</f>
        <v>2561.5636679999993</v>
      </c>
      <c r="T198" s="3">
        <f>3254+(164-875.3)+(-3.31908+(-0.16728--0.892806))+0--74.9-0.0763980000000119</f>
        <v>2614.9300479999997</v>
      </c>
      <c r="U198" s="3">
        <f>3203.2+(129-833)+(0+(0-0))+0--78.6-0</f>
        <v>2577.7999999999997</v>
      </c>
      <c r="V198" s="3">
        <f>2934.3+(122.1-730.2)+(-2.992986+(-0.124542--0.744804))+0--77-0.0785400000000123</f>
        <v>2400.7487360000005</v>
      </c>
      <c r="W198" s="3">
        <f>2965+(96.5-840)+(-4.53645+(-0.147645--1.2852))+0--77.2-0.118116000000004</f>
        <v>2295.1829889999999</v>
      </c>
      <c r="X198" s="3">
        <f>3336.7+(25.2-999.1)+(-5.105151+(-0.038556--1.528623))+0--78.8-0.120564000000005</f>
        <v>2437.8643520000001</v>
      </c>
      <c r="Y198" s="3">
        <f>3363.1+(44.8-1034)+(-8.575905+(-0.11424--2.6367))+0--79.8-0.203489999999988</f>
        <v>2447.4430649999999</v>
      </c>
      <c r="Z198" s="3">
        <f>3384.2+(41.3-1078.3)+(0+(0-0))+0--81-0</f>
        <v>2428.1999999999998</v>
      </c>
      <c r="AA198" s="3">
        <f>3406.8+(44-1094.5)+(-3.474936+(-0.04488--1.11639))+0--82.4-0.0840480000000131</f>
        <v>2436.2125260000003</v>
      </c>
      <c r="AB198" s="3">
        <f>3400.2+(39.7-1094.3)+(-8.67051+(-0.101235--2.790465))+0--82.7-0.210884999999988</f>
        <v>2422.1078349999998</v>
      </c>
      <c r="AC198" s="3">
        <f>3402.8+(57.6-1131.6)+(0+(0-0))+0--82.9-0</f>
        <v>2411.7000000000003</v>
      </c>
      <c r="AD198">
        <v>2455.1999999999998</v>
      </c>
      <c r="AE198" s="3">
        <f>3344+(28.1-995.7)+(0+(0-0))+0--78.8-0</f>
        <v>2455.2000000000003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3373.4+(56-1130)+(-1.720434+(-0.02856--0.5763))+0--84.2-0.0429419999999915</f>
        <v>2382.384364</v>
      </c>
      <c r="G199" s="3">
        <f>3393.2+(26.9-1192.3)+(-1.730532+(-0.013719--0.608073))+0--85.3-0.0435029999999913</f>
        <v>2311.9203190000003</v>
      </c>
      <c r="H199" s="3">
        <f>3389.8+(24-1243.1)+(3.457596+(0.02448-1.267962))+0--85.3--0.0870060000000136</f>
        <v>2258.3011200000005</v>
      </c>
      <c r="I199" s="3">
        <f>3239.8+(24-1157.2)+(-1.652298+(-0.01224--0.590172))+0--85.5-0.0436049999999913</f>
        <v>2190.9820290000007</v>
      </c>
      <c r="J199" s="3">
        <f>3082.2+(23-1056.7)+(-4.715766+(-0.03519--1.616751))+0--86-0.131580000000005</f>
        <v>2131.2342149999995</v>
      </c>
      <c r="K199" s="3">
        <f>2970.4+(55.4-1074.8)+(-4.544712+(-0.084762--1.644444))+0--87.3-0.133569000000005</f>
        <v>2035.1814009999998</v>
      </c>
      <c r="L199" s="3">
        <f>2705.3+(90.3-1005.8)+(0+(0-0))+0--89.4-0</f>
        <v>1879.2000000000003</v>
      </c>
      <c r="M199" s="3">
        <f>2774.5+(41.4-949.5)+(0+(0-0))+0--88.3-0</f>
        <v>1954.7</v>
      </c>
      <c r="N199" s="3">
        <f>2960.8+(29-1011.3)+(1.510008+(0.01479-0.515763))+0--85.5--0.0436049999999913</f>
        <v>2065.0526399999999</v>
      </c>
      <c r="O199" s="3">
        <f>3182.6+(14-1137.3)+(-4.869378+(-0.02142--1.740069))+0--84-0.128520000000005</f>
        <v>2140.020751</v>
      </c>
      <c r="P199" s="3">
        <f>3403.1+(15-1279.7)+(-1.735581+(-0.00765--0.652647))+0--82.6-0.0421259999999916</f>
        <v>2219.8672899999997</v>
      </c>
      <c r="Q199" s="3">
        <f>3361.9+(15-1171.8)+(-3.429138+(-0.0153--1.195236))+0--81-0.0826200000000129</f>
        <v>2283.7681780000003</v>
      </c>
      <c r="R199" s="3">
        <f>3334.1+(56.5-1115.6)+(-11.902737+(-0.201705--3.982692))+0--81.1-0.289527000000001</f>
        <v>2347.6887230000002</v>
      </c>
      <c r="S199" s="3">
        <f>3342.7+(111-1044.2)+(-3.409554+(-0.11322--1.065084))+0--81.6-0.083232000000013</f>
        <v>2488.5590779999998</v>
      </c>
      <c r="T199" s="3">
        <f>3334.5+(109.5-996.7)+(-6.80238+(-0.22338--2.033268))+0--81.5-0.166259999999996</f>
        <v>2523.6412480000004</v>
      </c>
      <c r="U199" s="3">
        <f>3250.2+(75.9-945.7)+(-1.657602+(-0.038709--0.482307))+0--81.6-0.0416159999999917</f>
        <v>2460.7443799999996</v>
      </c>
      <c r="V199" s="3">
        <f>3262.4+(17-1076.3)+(-4.991472+(-0.02601--1.646739))+0--82.5-0.126225000000005</f>
        <v>2282.1030320000004</v>
      </c>
      <c r="W199" s="3">
        <f>3275.3+(14-1193.5)+(1.670403+(0.00714-0.608685))+0--83.3--0.0424829999999915</f>
        <v>2180.2113410000006</v>
      </c>
      <c r="X199" s="3">
        <f>3307.7+(16-1063.1)+(-3.373854+(-0.01632--1.084362))+0--82.9-0.0845580000000132</f>
        <v>2341.1096299999999</v>
      </c>
      <c r="Y199" s="3">
        <f>3311.2+(22.8-1072.4)+(-5.066136+(-0.034884--1.640772))+0--81.8-0.125154000000005</f>
        <v>2339.8145979999999</v>
      </c>
      <c r="Z199" s="3">
        <f>3281.2+(31.4-1078.6)+(-1.673412+(-0.016014--0.550086))+0--82.2-0.0419219999999917</f>
        <v>2315.0187379999998</v>
      </c>
      <c r="AA199" s="3">
        <f>3199.2+(55.1-1035.3)+(-4.894776+(-0.084303--1.584009))+0--82.7-0.126531000000005</f>
        <v>2298.1783989999999</v>
      </c>
      <c r="AB199" s="3">
        <f>3080.1+(84-922.7)+(-6.283404+(-0.17136--1.882308))+0--82.9-0.169115999999996</f>
        <v>2319.5584279999998</v>
      </c>
      <c r="AC199" s="3">
        <f>3095.4+(78.2-949.6)+(-3.157308+(-0.079764--0.968592))+0--83.5-0.0851700000000133</f>
        <v>2305.14635</v>
      </c>
      <c r="AD199">
        <v>2398.5</v>
      </c>
      <c r="AE199" s="3">
        <f>3359+(18.1-1060.5)+(0+(0-0))+0--81.9-0</f>
        <v>2398.5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3139.2+(28.3-1009.3)+(-6.403968+(-0.057732--2.058972))+0--83.9-0.171155999999996</f>
        <v>2237.526116</v>
      </c>
      <c r="G200" s="3">
        <f>3140.1+(18-1078.2)+(-8.007255+(-0.0459--2.74941))+0--84.1-0.214454999999988</f>
        <v>2158.4817999999996</v>
      </c>
      <c r="H200" s="3">
        <f>3066.8+(17-1054.8)+(-7.82034+(-0.04335--2.68974))+0-6.8--0.017339999999999</f>
        <v>2017.0433900000003</v>
      </c>
      <c r="I200" s="3">
        <f>2969.9+(17-1007.6)+(-6.058596+(-0.03468--2.055504))+0--85.4-0.174215999999996</f>
        <v>2060.4880120000003</v>
      </c>
      <c r="J200" s="3">
        <f>2946.4+(17-1043.3)+(4.507992+(0.02601-1.596249))+0--86.4--0.132192000000005</f>
        <v>2009.5699450000002</v>
      </c>
      <c r="K200" s="3">
        <f>2780.9+(37.6-960.9)+(-7.091295+(-0.09588--2.450295))+0--87-0.221849999999987</f>
        <v>1939.6412700000003</v>
      </c>
      <c r="L200" s="3">
        <f>2640.4+(107.2-996.7)+(-1.346604+(-0.054672--0.508317))+0--87.3-0.0445229999999911</f>
        <v>1837.262518</v>
      </c>
      <c r="M200" s="3">
        <f>2642+(101.3-905.8)+(1.34742+(0.051663-0.461958))+0--85.1--0.0434009999999914</f>
        <v>1923.5805259999997</v>
      </c>
      <c r="N200" s="3">
        <f>2780.6+(84.9-947.7)+(1.418106+(0.043299-0.483327))+0--83.3--0.0424829999999915</f>
        <v>2002.1205609999997</v>
      </c>
      <c r="O200" s="3">
        <f>3014.8+(26.5-1046.3)+(0+(0-0))+0--83.2-0</f>
        <v>2078.2000000000003</v>
      </c>
      <c r="P200" s="3">
        <f>3166.7+(17-1116.4)+(0+(0-0))+0--81.7-0</f>
        <v>2148.9999999999995</v>
      </c>
      <c r="Q200" s="3">
        <f>3264+(14-1157.1)+(-4.99392+(-0.02142--1.770363))+0--80.4-0.123012000000005</f>
        <v>2197.9320110000003</v>
      </c>
      <c r="R200" s="3">
        <f>3205+(17-1106.1)+(-1.63455+(-0.00867--0.564111))+0--80.1-0.0408509999999919</f>
        <v>2194.88004</v>
      </c>
      <c r="S200" s="3">
        <f>3196.5+(48.1-1009.7)+(3.26043+(0.049062-1.029894))+0--80.5--0.0821100000000128</f>
        <v>2317.761708</v>
      </c>
      <c r="T200" s="3">
        <f>3222.7+(52.3-1012.9)+(-3.287154+(-0.053346--1.033158))+0--81-0.0826200000000129</f>
        <v>2340.7100379999997</v>
      </c>
      <c r="U200" s="3">
        <f>3193.2+(26-1009)+(-8.14266+(-0.0663--2.57295))+0--81.6-0.208079999999988</f>
        <v>2285.9559099999997</v>
      </c>
      <c r="V200" s="3">
        <f>3008+(36.7-1001.6)+(-7.6704+(-0.093585--2.55408))+0--82.3-0.209864999999988</f>
        <v>2119.9802300000001</v>
      </c>
      <c r="W200" s="3">
        <f>3022.4+(19.7-1111.2)+(-1.541424+(-0.010047--0.566712))+0--82.8-0.0422279999999916</f>
        <v>2012.6730130000001</v>
      </c>
      <c r="X200" s="3">
        <f>3287.3+(18-1191.6)+(-1.676523+(-0.00918--0.607716))+0--82.6-0.0421259999999916</f>
        <v>2195.1798870000002</v>
      </c>
      <c r="Y200" s="3">
        <f>3259+(16-1168.2)+(-11.63463+(-0.05712--4.170474))+0--82.9-0.295953000000001</f>
        <v>2181.8827710000005</v>
      </c>
      <c r="Z200" s="3">
        <f>3228.6+(15-1171.9)+(-6.586344+(-0.0306--2.390676))+0--83-0.169319999999996</f>
        <v>2150.304412</v>
      </c>
      <c r="AA200" s="3">
        <f>3065.5+(35.6-1017.2)+(-7.817025+(-0.09078--2.59386))+0--83.2-0.212159999999988</f>
        <v>2161.573895</v>
      </c>
      <c r="AB200" s="3">
        <f>2956.3+(78.1-952)+(-4.523139+(-0.119493--1.45656))+0--83.6-0.127908000000005</f>
        <v>2162.6860200000001</v>
      </c>
      <c r="AC200" s="3">
        <f>2957.8+(70.8-948)+(-4.525434+(-0.108324--1.45044))+0--83.7-0.128061000000005</f>
        <v>2160.9886210000004</v>
      </c>
      <c r="AD200">
        <v>2205.4</v>
      </c>
      <c r="AE200" s="3">
        <f>3316+(18-1211.5)+(0+(0-0))+0--82.9-0</f>
        <v>2205.4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2970.2+(51-988)+(3.029604+(0.05202-1.00776))+0--83.8--0.0854760000000134</f>
        <v>2119.1593400000002</v>
      </c>
      <c r="G201" s="3">
        <f>3037.8+(24-1088.4)+(0+(0-0))+0--84.4-0</f>
        <v>2057.8000000000002</v>
      </c>
      <c r="H201" s="3">
        <f>2950.6+(22-1058.5)+(-3.009612+(-0.02244--1.07967))+0--84.7-0.0863940000000135</f>
        <v>1996.7612240000001</v>
      </c>
      <c r="I201" s="3">
        <f>2889.2+(23-1056.2)+(1.473492+(0.01173-0.538662))+0--84.7--0.0431969999999914</f>
        <v>1941.6897569999999</v>
      </c>
      <c r="J201" s="3">
        <f>2897.8+(23-1101.9)+(1.477878+(0.01173-0.561969))+0--85.3--0.0435029999999913</f>
        <v>1905.1711420000001</v>
      </c>
      <c r="K201" s="3">
        <f>2872.8+(20-1134.3)+(-1.465128+(-0.0102--0.578493))+0--85.7-0.0437069999999913</f>
        <v>1843.2594580000002</v>
      </c>
      <c r="L201" s="3">
        <f>2557.3+(65.1-1008.5)+(0+(0-0))+0--86.5-0</f>
        <v>1700.4</v>
      </c>
      <c r="M201" s="3">
        <f>2427.8+(95.9-896.9)+(0+(0-0))+0--85.1-0</f>
        <v>1711.9</v>
      </c>
      <c r="N201" s="3">
        <f>2613.4+(85.6-988.8)+(-7.997004+(-0.261936--3.025728))+0--83.6-0.25581600000001</f>
        <v>1788.310972</v>
      </c>
      <c r="O201" s="3">
        <f>2652+(89.9-968)+(-1.35252+(-0.045849--0.49368))+0--82.4-0.0420239999999916</f>
        <v>1855.3532870000001</v>
      </c>
      <c r="P201" s="3">
        <f>2849.8+(23-1002.8)+(-2.906796+(-0.02346--1.022856))+0--81.1-0.0827220000000129</f>
        <v>1949.109878</v>
      </c>
      <c r="Q201" s="3">
        <f>2734.2+(23-838.3)+(-2.788884+(-0.02346--0.855066))+0--74.2-0.0756840000000118</f>
        <v>1991.0670379999999</v>
      </c>
      <c r="R201" s="3">
        <f>2715.8+(37.6-818.5)+(-5.540232+(-0.076704--1.66974))+0--74-0.150959999999997</f>
        <v>2004.8018440000001</v>
      </c>
      <c r="S201" s="3">
        <f>2729+(65.3-765.1)+(-2.78358+(-0.066606--0.780402))+0--74.1-0.0755820000000118</f>
        <v>2101.154634</v>
      </c>
      <c r="T201" s="3">
        <f>2785.7+(64.7-798.6)+(-2.841414+(-0.065994--0.814572))+0--77.1-0.0786420000000123</f>
        <v>2126.7285219999999</v>
      </c>
      <c r="U201" s="3">
        <f>2820.7+(52.8-846.8)+(-8.631342+(-0.161568--2.591208))+0--77.1-0.235926000000009</f>
        <v>2097.3623720000001</v>
      </c>
      <c r="V201" s="3">
        <f>2630.9+(48-786.9)+(-5.367036+(-0.09792--1.605276))+0--77.1-0.157283999999997</f>
        <v>1965.083036</v>
      </c>
      <c r="W201" s="3">
        <f>2623.3+(27-831.6)+(-4.013649+(-0.04131--1.272348))+0--79.1-0.121023000000005</f>
        <v>1894.8963660000002</v>
      </c>
      <c r="X201" s="3">
        <f>3070.8+(15-1085.4)+(-9.396648+(-0.0459--3.321324))+0--79.1-0.242046000000009</f>
        <v>2073.1367300000002</v>
      </c>
      <c r="Y201" s="3">
        <f>3354.6+(15-1345.1)+(-8.55423+(-0.03825--3.430005))+0--81.9-0.208844999999988</f>
        <v>2101.0286799999999</v>
      </c>
      <c r="Z201" s="3">
        <f>3404.8+(15-1395.2)+(-6.945792+(-0.0306--2.846208))+0--82.2-0.167687999999996</f>
        <v>2102.5021280000001</v>
      </c>
      <c r="AA201" s="3">
        <f>3287.7+(18.6-1243.5)+(-6.706908+(-0.037944--2.53674))+0--82.5-0.168299999999996</f>
        <v>2140.9235880000001</v>
      </c>
      <c r="AB201" s="3">
        <f>3173.1+(41-1122)+(0+(0-0))+0--82.3-0</f>
        <v>2174.4</v>
      </c>
      <c r="AC201" s="3">
        <f>3178.6+(46.4-1153.6)+(-8.10543+(-0.11832--2.94168))+0--82.6-0.210629999999988</f>
        <v>2148.5072999999998</v>
      </c>
      <c r="AD201">
        <v>2131.2000000000003</v>
      </c>
      <c r="AE201" s="3">
        <f>3312+(16.6-1278.8)+(0+(0-0))+0--81.4-0</f>
        <v>2131.2000000000003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3173.8+(50.9-1151.8)+(-6.474552+(-0.103836--2.349672))+0--83.2-0.169727999999996</f>
        <v>2151.7015560000004</v>
      </c>
      <c r="G202" s="3">
        <f>3172.8+(29-1196.8)+(-6.472512+(-0.05916--2.441472))+0--83.2-0.169727999999996</f>
        <v>2083.9400720000003</v>
      </c>
      <c r="H202" s="3">
        <f>3071.2+(28-1155.3)+(-1.566312+(-0.01428--0.589203))+0--83.6-0.0426359999999915</f>
        <v>2026.4659749999998</v>
      </c>
      <c r="I202" s="3">
        <f>3133.3+(29-1264.1)+(-3.195966+(-0.02958--1.289382))+0--84-0.0856800000000134</f>
        <v>1980.1781560000004</v>
      </c>
      <c r="J202" s="3">
        <f>3067.5+(30-1240.3)+(0+(0-0))+0--84.2-0</f>
        <v>1941.4</v>
      </c>
      <c r="K202" s="3">
        <f>3066.5+(30-1301.8)+(1.563915+(0.0153-0.663918))+0--84.6--0.0431459999999914</f>
        <v>1880.2584429999999</v>
      </c>
      <c r="L202" s="3">
        <f>2995.7+(34.1-1361)+(1.527807+(0.017391-0.69411))+0--86--0.0438599999999913</f>
        <v>1755.6949479999996</v>
      </c>
      <c r="M202" s="3">
        <f>2981.8+(25.1-1234.7)+(-1.520718+(-0.012801--0.629697))+0--84.7-0.0431969999999914</f>
        <v>1855.9529810000001</v>
      </c>
      <c r="N202" s="3">
        <f>2995.8+(20-1121.8)+(-1.527858+(-0.0102--0.572118))+0--83.2-0.0424319999999916</f>
        <v>1976.1916280000003</v>
      </c>
      <c r="O202" s="3">
        <f>3089.8+(21-1134.2)+(-3.151596+(-0.02142--1.156884))+0--82.4-0.0840480000000131</f>
        <v>2056.8998200000001</v>
      </c>
      <c r="P202" s="3">
        <f>3276.4+(19-1259.6)+(0+(0-0))+0--81-0</f>
        <v>2116.8000000000002</v>
      </c>
      <c r="Q202" s="3">
        <f>3354.9+(16-1261.4)+(-5.132997+(-0.02448--1.929942))+0--81.2-0.124236000000005</f>
        <v>2187.3482289999997</v>
      </c>
      <c r="R202" s="3">
        <f>3322.5+(38-1270.9)+(-8.472375+(-0.0969--3.240795))+0--81.6-0.208079999999988</f>
        <v>2165.6634399999998</v>
      </c>
      <c r="S202" s="3">
        <f>3332.7+(85.3-1224.6)+(-5.099031+(-0.130509--1.873638))+0--81.8-0.125154000000005</f>
        <v>2271.7189440000002</v>
      </c>
      <c r="T202" s="3">
        <f>3332.6+(94.6-1197.5)+(0+(0-0))+0--81.8-0</f>
        <v>2311.5</v>
      </c>
      <c r="U202" s="3">
        <f>3327.5+(42.8-1195.6)+(-3.39405+(-0.043656--1.219512))+0--81.6-0.083232000000013</f>
        <v>2253.9985739999997</v>
      </c>
      <c r="V202" s="3">
        <f>3234+(19-1217)+(-4.94802+(-0.02907--1.86201))+0--82.1-0.125613000000005</f>
        <v>2114.8593069999997</v>
      </c>
      <c r="W202" s="3">
        <f>3244.6+(19.2-1286.8)+(-1.654746+(-0.009792--0.656268))+0--81.9-0.0417689999999917</f>
        <v>2057.8499609999999</v>
      </c>
      <c r="X202" s="3">
        <f>3402.9+(20-1278.1)+(-8.677395+(-0.051--3.259155))+0--82.2-0.209609999999988</f>
        <v>2221.3211500000002</v>
      </c>
      <c r="Y202" s="3">
        <f>3460.7+(21.7-1345.7)+(-7.059828+(-0.044268--2.745228))+0--82.1-0.167483999999996</f>
        <v>2214.2736479999999</v>
      </c>
      <c r="Z202" s="3">
        <f>3336.7+(52.6-1285.9)+(-1.701717+(-0.026826--0.655809))+0--82.4-0.0420239999999916</f>
        <v>2184.685242</v>
      </c>
      <c r="AA202" s="3">
        <f>3310.5+(66.9-1267.1)+(-8.441775+(-0.170595--3.231105))+0--82.6-0.210629999999988</f>
        <v>2187.3081050000001</v>
      </c>
      <c r="AB202" s="3">
        <f>3276.1+(81.2-1230)+(-6.683244+(-0.165648--2.5092))+0--82.9-0.169115999999996</f>
        <v>2205.6911920000002</v>
      </c>
      <c r="AC202" s="3">
        <f>3183.2+(81.6-1161.1)+(-8.11716+(-0.20808--2.960805))+0--82.3-0.209864999999988</f>
        <v>2180.4257000000002</v>
      </c>
      <c r="AD202">
        <v>2344.2000000000003</v>
      </c>
      <c r="AE202" s="3">
        <f>3444+(17-1198.2)+(0+(0-0))+0--81.4-0</f>
        <v>2344.2000000000003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3145.8+(60.6-1141.4)+(-1.604358+(-0.030906--0.582114))+0--83.3-0.0424829999999915</f>
        <v>2147.2043669999998</v>
      </c>
      <c r="G203" s="3">
        <f>3274+(23-1298.4)+(-8.3487+(-0.05865--3.31092))+0--83.7-0.213434999999988</f>
        <v>2076.9901349999996</v>
      </c>
      <c r="H203" s="3">
        <f>3194.6+(24-1276.9)+(-1.629246+(-0.01224--0.651219))+0--83.9-0.0427889999999915</f>
        <v>2024.5669439999999</v>
      </c>
      <c r="I203" s="3">
        <f>2990.2+(25-1125)+(-1.525002+(-0.01275--0.57375))+0--84.2-0.0429419999999915</f>
        <v>1973.3930559999999</v>
      </c>
      <c r="J203" s="3">
        <f>2853.6+(26-1027.3)+(-2.910672+(-0.02652--1.047846))+0--84.5-0.0861900000000135</f>
        <v>1934.824464</v>
      </c>
      <c r="K203" s="3">
        <f>2837.2+(25-1082.4)+(-4.340916+(-0.03825--1.656072))+0--85-0.130050000000005</f>
        <v>1861.9468559999998</v>
      </c>
      <c r="L203" s="3">
        <f>2762.7+(37.2-1134.4)+(-1.408977+(-0.018972--0.578544))+0--85.6-0.0436559999999913</f>
        <v>1750.2069389999997</v>
      </c>
      <c r="M203" s="3">
        <f>2763.4+(25.6-1050.4)+(-1.409334+(-0.013056--0.535704))+0--86-0.0438599999999913</f>
        <v>1823.6694539999999</v>
      </c>
      <c r="N203" s="3">
        <f>3039.1+(11-1209.5)+(3.099882+(0.01122-1.23369))+0--84.8--0.0864960000000135</f>
        <v>1927.363908</v>
      </c>
      <c r="O203" s="3">
        <f>3270.5+(12-1351.2)+(-3.33591+(-0.01224--1.378224))+0--82-0.0836400000000131</f>
        <v>2011.2464339999999</v>
      </c>
      <c r="P203" s="3">
        <f>3255.3+(12-1242.8)+(-1.660203+(-0.00612--0.633828))+0--79.7-0.0406469999999919</f>
        <v>2103.1268580000005</v>
      </c>
      <c r="Q203" s="3">
        <f>3222.7+(12-1146.3)+(-3.287154+(-0.01224--1.169226))+0--79.7-0.0812940000000127</f>
        <v>2165.8885379999992</v>
      </c>
      <c r="R203" s="3">
        <f>3200.5+(46.9-1159.5)+(-4.896765+(-0.071757--1.774035))+0--79.4-0.121482000000005</f>
        <v>2163.984031</v>
      </c>
      <c r="S203" s="3">
        <f>3183.1+(100.2-1094.2)+(-6.493524+(-0.204408--2.232168))+0--79.3-0.161771999999997</f>
        <v>2263.7724640000001</v>
      </c>
      <c r="T203" s="3">
        <f>3168.5+(91.9-1059.2)+(-1.615935+(-0.046869--0.540192))+0--94.8-0.0483479999999904</f>
        <v>2294.8290400000001</v>
      </c>
      <c r="U203" s="3">
        <f>3182.5+(36.5-1052.2)+(-8.115375+(-0.093075--2.68311))+0--81.3-0.207314999999988</f>
        <v>2242.3673450000001</v>
      </c>
      <c r="V203" s="3">
        <f>3076.4+(12-1061.1)+(-4.706892+(-0.01836--1.623483))+0--82.6-0.126378000000005</f>
        <v>2106.6718530000003</v>
      </c>
      <c r="W203" s="3">
        <f>3057.8+(12-1117.1)+(1.559478+(0.00612-0.569721))+0--83.7--0.0426869999999915</f>
        <v>2037.4385640000003</v>
      </c>
      <c r="X203" s="3">
        <f>3233.1+(13-1118.1)+(-3.297762+(-0.01326--1.140462))+0--83.5-0.0851700000000133</f>
        <v>2209.2442700000001</v>
      </c>
      <c r="Y203" s="3">
        <f>3248.7+(28.5-1153.2)+(-6.627348+(-0.05814--2.352528))+0--83.8-0.170951999999996</f>
        <v>2203.2960880000001</v>
      </c>
      <c r="Z203" s="3">
        <f>3265+(21.3-1187.2)+(-6.6606+(-0.043452--2.421888))+0--84-0.171359999999996</f>
        <v>2178.6464759999999</v>
      </c>
      <c r="AA203" s="3">
        <f>3282.1+(44.5-1202.1)+(-3.347742+(-0.04539--1.226142))+0--83.5-0.0851700000000133</f>
        <v>2205.74784</v>
      </c>
      <c r="AB203" s="3">
        <f>3288.8+(30.8-1183.5)+(-3.354576+(-0.031416--1.20717))+0--84.2-0.0858840000000134</f>
        <v>2218.0352940000002</v>
      </c>
      <c r="AC203" s="3">
        <f>3292.7+(37.2-1220.2)+(-8.396385+(-0.09486--3.11151))+0--84.6-0.215729999999988</f>
        <v>2188.7045349999999</v>
      </c>
      <c r="AD203">
        <v>2245.9</v>
      </c>
      <c r="AE203" s="3">
        <f>3209+(15-1061.1)+(0+(0-0))+0--83-0</f>
        <v>2245.9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3309.1+(11-1152.9)+(-3.375282+(-0.01122--1.175958))+0--84.4-0.0860880000000135</f>
        <v>2249.3033679999999</v>
      </c>
      <c r="G204" s="3">
        <f>3314.1+(11-1234.3)+(-5.070573+(-0.01683--1.888479))+0--87.1-0.133263000000005</f>
        <v>2174.5678130000001</v>
      </c>
      <c r="H204" s="3">
        <f>3267.8+(11-1246.2)+(0+(0-0))+0--88.1-0</f>
        <v>2120.7000000000003</v>
      </c>
      <c r="I204" s="3">
        <f>2990.1+(18-1037.4)+(0+(0-0))+0--88.1-0</f>
        <v>2058.7999999999997</v>
      </c>
      <c r="J204" s="3">
        <f>2789.8+(24.8-910.5)+(-4.268394+(-0.037944--1.393065))+0--88.1-0.134793000000005</f>
        <v>1989.1519340000002</v>
      </c>
      <c r="K204" s="3">
        <f>2751.3+(34.4-980.3)+(1.403163+(0.017544-0.499953))+0--88.1--0.0449309999999911</f>
        <v>1894.4656849999999</v>
      </c>
      <c r="L204" s="3">
        <f>2754.4+(90.4-1185.5)+(0+(0-0))+0--85.5-0</f>
        <v>1744.8000000000002</v>
      </c>
      <c r="M204" s="3">
        <f>2806.7+(53.9-1118.8)+(-2.862834+(-0.054978--1.141176))+0--84.8-0.0864960000000135</f>
        <v>1824.7368679999997</v>
      </c>
      <c r="N204" s="3">
        <f>3031.4+(12-1178.2)+(4.638042+(0.01836-1.802646))+0--84.1--0.128673000000005</f>
        <v>1952.2824289999999</v>
      </c>
      <c r="O204" s="3">
        <f>3207.2+(13-1251.7)+(-4.907016+(-0.01989--1.915101))+0--83.2-0.127296000000005</f>
        <v>2048.5608989999996</v>
      </c>
      <c r="P204" s="3">
        <f>3189.8+(13-1225.7)+(-6.507192+(-0.02652--2.500428))+0--82.2-0.167687999999996</f>
        <v>2055.0990280000001</v>
      </c>
      <c r="Q204" s="3">
        <f>3215.6+(12-1161.8)+(-6.559824+(-0.02448--2.370072))+0--82.7-0.168707999999996</f>
        <v>2144.11706</v>
      </c>
      <c r="R204" s="3">
        <f>2929.4+(38.1-871.6)+(-7.46997+(-0.097155--2.22258))+0--81.7-0.208334999999988</f>
        <v>2172.0471200000002</v>
      </c>
      <c r="S204" s="3">
        <f>2760.8+(72.8-654.2)+(1.408008+(0.037128-0.333642))+0--80.5--0.0410549999999918</f>
        <v>2261.0525490000005</v>
      </c>
      <c r="T204" s="3">
        <f>2742.3+(82.6-627.8)+(-5.594292+(-0.168504--1.280712))+0--80.8-0.164831999999996</f>
        <v>2273.2530840000004</v>
      </c>
      <c r="U204" s="3">
        <f>2650.3+(79.8-584)+(-6.758265+(-0.20349--1.4892))+0--81-0.206549999999988</f>
        <v>2221.4208950000007</v>
      </c>
      <c r="V204" s="3">
        <f>2395.3+(147.4-521.6)+(-3.664809+(-0.225522--0.798048))+0--81.3-0.124389000000005</f>
        <v>2099.1833280000001</v>
      </c>
      <c r="W204" s="3">
        <f>2323+(96.5-462.9)+(2.36946+(0.09843-0.472158))+0--81.4--0.083028000000013</f>
        <v>2040.0787600000001</v>
      </c>
      <c r="X204" s="3">
        <f>2750.9+(21.9-658.2)+(-7.014795+(-0.055845--1.67841))+0--81.7-0.208334999999988</f>
        <v>2190.699435</v>
      </c>
      <c r="Y204" s="3">
        <f>2754.9+(28.4-691.3)+(-2.809998+(-0.028968--0.705126))+0--82.2-0.0838440000000131</f>
        <v>2171.9823159999996</v>
      </c>
      <c r="Z204" s="3">
        <f>2541.4+(85.7-565.5)+(-3.888342+(-0.131121--0.865215))+0--82.8-0.126684000000005</f>
        <v>2141.1190680000004</v>
      </c>
      <c r="AA204" s="3">
        <f>2437.8+(145.1-504.5)+(-4.973112+(-0.296004--1.02918))+0--83.6-0.170543999999996</f>
        <v>2157.58952</v>
      </c>
      <c r="AB204" s="3">
        <f>2454.5+(146.8-526.9)+(0+(0-0))+0--84-0</f>
        <v>2158.4</v>
      </c>
      <c r="AC204" s="3">
        <f>2453.9+(177.8-591.4)+(-5.005956+(-0.362712--1.206456))+0--84.4-0.172175999999996</f>
        <v>2120.3656120000001</v>
      </c>
      <c r="AD204">
        <v>2197.1000000000004</v>
      </c>
      <c r="AE204" s="3">
        <f>2808+(21-713.7)+(0+(0-0))+0--81.8-0</f>
        <v>2197.1000000000004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2336.8+(176.1-534.7)+(0+(0-0))+0--84.7-0</f>
        <v>2062.9</v>
      </c>
      <c r="G205" s="3">
        <f>2317.7+(141-566.2)+(-3.546081+(-0.21573--0.866286))+0--85.8-0.131274000000005</f>
        <v>1975.2732009999997</v>
      </c>
      <c r="H205" s="3">
        <f>2324.9+(99.6-596.5)+(2.371398+(0.101592-0.60843))+0--85.3--0.0870060000000136</f>
        <v>1915.2515659999999</v>
      </c>
      <c r="I205" s="3">
        <f>2310.7+(97.9-627.7)+(-3.535371+(-0.149787--0.960381))+0--86.1-0.131733000000005</f>
        <v>1864.1434899999997</v>
      </c>
      <c r="J205" s="3">
        <f>2204+(88.1-567.7)+(0+(0-0))+0--86.9-0</f>
        <v>1811.3000000000002</v>
      </c>
      <c r="K205" s="3">
        <f>2210.2+(82.2-616.5)+(-3.381606+(-0.125766--0.943245))+0--87.5-0.133875000000005</f>
        <v>1760.7019979999998</v>
      </c>
      <c r="L205" s="3">
        <f>2207.3+(77.4-736.8)+(-2.251446+(-0.078948--0.751536))+0--89.2-0.0909840000000142</f>
        <v>1635.4301580000001</v>
      </c>
      <c r="M205" s="3">
        <f>2242.8+(57.2-698)+(2.287656+(0.058344-0.71196))+0--88--0.089760000000014</f>
        <v>1691.7238000000002</v>
      </c>
      <c r="N205" s="3">
        <f>2508.7+(14.7-765.6)+(-1.279437+(-0.007497--0.390456))+0--85.7-0.0437069999999913</f>
        <v>1842.5598149999998</v>
      </c>
      <c r="O205" s="3">
        <f>2740.6+(13-911.6)+(0+(0-0))+0--83.5-0</f>
        <v>1925.5</v>
      </c>
      <c r="P205" s="3">
        <f>2831.1+(13-923.7)+(-1.443861+(-0.00663--0.471087))+0--82.7-0.0421769999999916</f>
        <v>2002.0784189999999</v>
      </c>
      <c r="Q205" s="3">
        <f>2687.8+(18.7-741.4)+(-4.112334+(-0.028611--1.134342))+0--81.7-0.125001000000005</f>
        <v>2043.6683960000003</v>
      </c>
      <c r="R205" s="3">
        <f>2638.2+(70.4-698.8)+(-5.381928+(-0.143616--1.425552))+0--81.4-0.166055999999996</f>
        <v>2086.9339519999999</v>
      </c>
      <c r="S205" s="3">
        <f>2641.6+(114.1-658.9)+(-2.694432+(-0.116382--0.672078))+0--81.2-0.082824000000013</f>
        <v>2175.77844</v>
      </c>
      <c r="T205" s="3">
        <f>2760.5+(99.3-727.7)+(-2.81571+(-0.101286--0.742254))+0--81.5-0.083130000000013</f>
        <v>2211.3421279999998</v>
      </c>
      <c r="U205" s="3">
        <f>2756.4+(63.7-800.9)+(-5.623056+(-0.129948--1.633836))+0--81.5-0.166259999999996</f>
        <v>2096.4145720000006</v>
      </c>
      <c r="V205" s="3">
        <f>2768.8+(77.1-887.4)+(-4.236264+(-0.117963--1.357722))+0--82.7-0.126531000000005</f>
        <v>2038.0769640000001</v>
      </c>
      <c r="W205" s="3">
        <f>2782.9+(65.2-902.9)+(0+(0-0))+0--82.7-0</f>
        <v>2027.9000000000003</v>
      </c>
      <c r="X205" s="3">
        <f>2809.3+(23.5-715.9)+(-4.298229+(-0.035955--1.095327))+0--83-0.126990000000005</f>
        <v>2196.5341530000001</v>
      </c>
      <c r="Y205" s="3">
        <f>2823.6+(34.8-743.2)+(-2.880072+(-0.035496--0.758064))+0--82.9-0.0845580000000132</f>
        <v>2195.8579380000001</v>
      </c>
      <c r="Z205" s="3">
        <f>2835.4+(27.2-770.8)+(-5.784216+(-0.055488--1.572432))+0--83.3-0.169931999999996</f>
        <v>2170.6627960000005</v>
      </c>
      <c r="AA205" s="3">
        <f>2770.9+(89.6-743.1)+(-4.239477+(-0.137088--1.136943))+0--84.1-0.128673000000005</f>
        <v>2198.1317049999998</v>
      </c>
      <c r="AB205" s="3">
        <f>2713.7+(146.8-741.1)+(-6.919935+(-0.37434--1.889805))+0--84.9-0.216494999999988</f>
        <v>2198.6790349999997</v>
      </c>
      <c r="AC205" s="3">
        <f>2717.2+(150.2-791.4)+(-6.92886+(-0.38301--2.01807))+0--85-0.216749999999988</f>
        <v>2155.48945</v>
      </c>
      <c r="AD205">
        <v>2210</v>
      </c>
      <c r="AE205" s="3">
        <f>2809+(31-713.1)+(0+(0-0))+0--83.1-0</f>
        <v>2210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2729.4+(98.9-794.9)+(-5.567976+(-0.201756--1.621596))+0--84.7-0.172787999999996</f>
        <v>2113.7790760000003</v>
      </c>
      <c r="G206" s="3">
        <f>2628.6+(83.5-745.1)+(-4.021758+(-0.127755--1.140003))+0--85.1-0.130203000000005</f>
        <v>2048.9602869999999</v>
      </c>
      <c r="H206" s="3">
        <f>2540.7+(84.6-729)+(-3.887271+(-0.129438--1.11537))+0--85.6-0.130968000000005</f>
        <v>1978.8676929999997</v>
      </c>
      <c r="I206" s="3">
        <f>2460.7+(86-706.4)+(-3.764871+(-0.13158--1.080792))+0--85.9-0.131427000000005</f>
        <v>1923.2529139999997</v>
      </c>
      <c r="J206" s="3">
        <f>2374.3+(115-698.5)+(2.421786+(0.1173-0.71247))+0--85.5--0.0872100000000136</f>
        <v>1878.2138260000002</v>
      </c>
      <c r="K206" s="3">
        <f>2277.8+(130-747.6)+(-2.323356+(-0.1326--0.762552))+0--84.5-0.0861900000000135</f>
        <v>1742.9204060000002</v>
      </c>
      <c r="L206" s="3">
        <f>2367.4+(113.3-916.3)+(-2.414748+(-0.115566--0.934626))+0--92.6-0.0944520000000148</f>
        <v>1655.3098599999998</v>
      </c>
      <c r="M206" s="3">
        <f>2457.8+(75.4-878.3)+(1.253478+(0.038454-0.447933))+0--92.9--0.0473789999999906</f>
        <v>1748.6913780000002</v>
      </c>
      <c r="N206" s="3">
        <f>2665.9+(52.8-920.2)+(0+(0-0))+0--94.8-0</f>
        <v>1893.3</v>
      </c>
      <c r="O206" s="3">
        <f>2784+(44.4-976.5)+(-1.41984+(-0.022644--0.498015))+0--87.7-0.0447269999999911</f>
        <v>1938.6108040000001</v>
      </c>
      <c r="P206" s="3">
        <f>2859.6+(15.6-957.4)+(-2.916792+(-0.015912--0.976548))+0--81.4-0.083028000000013</f>
        <v>1997.1608160000001</v>
      </c>
      <c r="Q206" s="3">
        <f>2893.4+(13-961.1)+(-2.951268+(-0.01326--0.980322))+0--80-0.0816000000000128</f>
        <v>2023.2341940000001</v>
      </c>
      <c r="R206" s="3">
        <f>2890.7+(20.3-887.2)+(-7.371285+(-0.051765--2.26236))+0--80.3-0.204764999999988</f>
        <v>2098.7345449999998</v>
      </c>
      <c r="S206" s="3">
        <f>2886.2+(35.2-824.8)+(-1.471962+(-0.017952--0.420648))+0--80.4-0.0410039999999918</f>
        <v>2175.8897299999999</v>
      </c>
      <c r="T206" s="3">
        <f>2893.4+(65-839.4)+(-4.426902+(-0.09945--1.284282))+0--80.3-0.122859000000005</f>
        <v>2195.9350710000003</v>
      </c>
      <c r="U206" s="3">
        <f>2884.2+(18.3-841.5)+(-5.883768+(-0.037332--1.71666))+0--81-0.165239999999996</f>
        <v>2137.6303200000002</v>
      </c>
      <c r="V206" s="3">
        <f>2783.5+(12.8-855.9)+(-4.258755+(-0.019584--1.309527))+0--82.2-0.125766000000005</f>
        <v>2019.505422</v>
      </c>
      <c r="W206" s="3">
        <f>2775.6+(16.2-871.4)+(-1.415556+(-0.008262--0.444414))+0--81.5-0.0415649999999917</f>
        <v>2000.8790310000002</v>
      </c>
      <c r="X206" s="3">
        <f>2916.6+(18.2-833.5)+(0+(0-0))+0--81.1-0</f>
        <v>2182.4</v>
      </c>
      <c r="Y206" s="3">
        <f>2944.8+(14.2-898.4)+(-7.50924+(-0.03621--2.29092))+0--81.7-0.208334999999988</f>
        <v>2136.8371350000002</v>
      </c>
      <c r="Z206" s="3">
        <f>2905.9+(15.2-954.9)+(-1.482009+(-0.007752--0.486999))+0--81.7-0.0416669999999917</f>
        <v>2046.8555710000003</v>
      </c>
      <c r="AA206" s="3">
        <f>2908.5+(20.1-898.4)+(-5.93334+(-0.041004--1.832736))+0--82.1-0.167483999999996</f>
        <v>2107.9909080000002</v>
      </c>
      <c r="AB206" s="3">
        <f>2917.7+(18-880.9)+(-4.464081+(-0.02754--1.347777))+0--82.6-0.126378000000005</f>
        <v>2134.1297779999995</v>
      </c>
      <c r="AC206" s="3">
        <f>2914.5+(16-901.2)+(-7.431975+(-0.0408--2.29806))+0--83.2-0.212159999999988</f>
        <v>2107.1131249999999</v>
      </c>
      <c r="AD206">
        <v>2323.3000000000002</v>
      </c>
      <c r="AE206" s="3">
        <f>2965+(118-844.6)+(0+(0-0))+0--84.9-0</f>
        <v>2323.3000000000002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2861+(18-935.4)+(0+(0-0))+0--83.4-0</f>
        <v>2027</v>
      </c>
      <c r="G207" s="3">
        <f>2834.8+(20-986.8)+(0+(0-0))+0--83.4-0</f>
        <v>1951.4000000000003</v>
      </c>
      <c r="H207" s="3">
        <f>2756+(20-943.8)+(1.40556+(0.0102-0.481338))+0--84.4--0.0430439999999914</f>
        <v>1917.5774660000002</v>
      </c>
      <c r="I207" s="3">
        <f>2510.7+(29.3-751.1)+(-2.560914+(-0.029886--0.766122))+0--84.3-0.0859860000000134</f>
        <v>1871.2893359999996</v>
      </c>
      <c r="J207" s="3">
        <f>2393.7+(47.3-722)+(0+(0-0))+0--84.7-0</f>
        <v>1803.6999999999998</v>
      </c>
      <c r="K207" s="3">
        <f>2382.6+(79.3-813.1)+(-6.07563+(-0.202215--2.073405))+0--88.2-0.224909999999987</f>
        <v>1732.5706499999999</v>
      </c>
      <c r="L207" s="3">
        <f>2338.2+(92.8-856.5)+(-2.384964+(-0.094656--0.87363))+0--92.5-0.0943500000000148</f>
        <v>1665.2996599999997</v>
      </c>
      <c r="M207" s="3">
        <f>2508.1+(50.3-899.6)+(3.837393+(0.076959-1.376388))+0--91.6--0.140148000000005</f>
        <v>1753.0781119999997</v>
      </c>
      <c r="N207" s="3">
        <f>2657.9+(15.5-900.2)+(0+(0-0))+0--83.5-0</f>
        <v>1856.7</v>
      </c>
      <c r="O207" s="3">
        <f>2689.2+(11-839.4)+(-2.742984+(-0.01122--0.856188))+0--82-0.0836400000000131</f>
        <v>1940.8183439999996</v>
      </c>
      <c r="P207" s="3">
        <f>2674.2+(9-739.6)+(2.727684+(0.00918-0.754392))+0--81.1--0.0827220000000129</f>
        <v>2026.7651939999998</v>
      </c>
      <c r="Q207" s="3">
        <f>2636.7+(8-706.5)+(-4.034151+(-0.01224--1.080945))+0--80.9-0.123777000000005</f>
        <v>2016.010777</v>
      </c>
      <c r="R207" s="3">
        <f>2581.8+(46.1-714.5)+(-1.316718+(-0.023511--0.364395))+0--80.6-0.0411059999999918</f>
        <v>1992.98306</v>
      </c>
      <c r="S207" s="3">
        <f>2621.4+(78.6-726.9)+(2.673828+(0.080172-0.741438))+0--78.7--0.0802740000000126</f>
        <v>2053.892836</v>
      </c>
      <c r="T207" s="3">
        <f>2761.2+(58.1-783.7)+(1.408212+(0.029631-0.399687))+0--78.6--0.040085999999992</f>
        <v>2115.2782419999999</v>
      </c>
      <c r="U207" s="3">
        <f>2759.5+(17.5-795.1)+(-7.036725+(-0.044625--2.027505))+0--79.4-0.202469999999988</f>
        <v>2056.0436850000001</v>
      </c>
      <c r="V207" s="3">
        <f>2712.7+(14.4-868.9)+(-1.383477+(-0.007344--0.443139))+0--79.7-0.0406469999999919</f>
        <v>1936.9116709999998</v>
      </c>
      <c r="W207" s="3">
        <f>2736.5+(10.2-913.1)+(0+(0-0))+0--80-0</f>
        <v>1913.6</v>
      </c>
      <c r="X207" s="3">
        <f>2878.1+(10.2-877.1)+(-4.403493+(-0.015606--1.341963))+0--80.6-0.123318000000005</f>
        <v>2088.5995459999999</v>
      </c>
      <c r="Y207" s="3">
        <f>2996.4+(9-1008.2)+(-6.112656+(-0.01836--2.056728))+0--80.8-0.164831999999996</f>
        <v>2073.7608800000003</v>
      </c>
      <c r="Z207" s="3">
        <f>3009.5+(17.1-1053.8)+(-7.674225+(-0.043605--2.68719))+0--81.1-0.206804999999988</f>
        <v>2048.6625550000003</v>
      </c>
      <c r="AA207" s="3">
        <f>2827.4+(41.8-906.2)+(-2.883948+(-0.042636--0.924324))+0--81.5-0.083130000000013</f>
        <v>2042.41461</v>
      </c>
      <c r="AB207" s="3">
        <f>2825+(48.4-890)+(-1.44075+(-0.024684--0.4539))+0--83.8-0.0427379999999915</f>
        <v>2066.145728</v>
      </c>
      <c r="AC207" s="3">
        <f>2735.2+(78.9-840.3)+(-1.394952+(-0.040239--0.428553))+0--83.9-0.0427889999999915</f>
        <v>2056.6505729999994</v>
      </c>
      <c r="AD207">
        <v>2102.4</v>
      </c>
      <c r="AE207" s="3">
        <f>2913+(21.7-913.6)+(0+(0-0))+0--81.3-0</f>
        <v>2102.4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2740.2+(71.9-877.1)+(0+(0-0))+0--84.1-0</f>
        <v>2019.0999999999997</v>
      </c>
      <c r="G208" s="3">
        <f>2755.6+(36.9-929.8)+(0+(0-0))+0--84.3-0</f>
        <v>1946.9999999999998</v>
      </c>
      <c r="H208" s="3">
        <f>2758.3+(26-988)+(1.406733+(0.01326-0.50388))+0--84.3--0.0429929999999914</f>
        <v>1881.5591060000002</v>
      </c>
      <c r="I208" s="3">
        <f>2742.2+(27-1005.4)+(0+(0-0))+0--84.6-0</f>
        <v>1848.3999999999996</v>
      </c>
      <c r="J208" s="3">
        <f>2597+(27-915.5)+(2.64894+(0.02754-0.93381))+0--85.2--0.0869040000000136</f>
        <v>1795.5295740000001</v>
      </c>
      <c r="K208" s="3">
        <f>2519.4+(26-898.2)+(-2.569788+(-0.02652--0.916164))+0--85.5-0.0872100000000136</f>
        <v>1730.9326460000002</v>
      </c>
      <c r="L208" s="3">
        <f>2307.2+(46.9-834.7)+(-2.353344+(-0.047838--0.851394))+0--85.8-0.0875160000000137</f>
        <v>1603.5626959999995</v>
      </c>
      <c r="M208" s="3">
        <f>2184+(53.6-705.1)+(3.34152+(0.082008-1.078803))+0--84.6--0.129438000000005</f>
        <v>1619.5741629999998</v>
      </c>
      <c r="N208" s="3">
        <f>2208.2+(32.8-644.3)+(1.126182+(0.016728-0.328593))+0--84.2--0.0429419999999915</f>
        <v>1681.757259</v>
      </c>
      <c r="O208" s="3">
        <f>2324.6+(23.1-684.8)+(-2.371092+(-0.023562--0.698496))+0--83.2-0.0848640000000133</f>
        <v>1744.3189780000002</v>
      </c>
      <c r="P208" s="3">
        <f>2495.1+(22-798.3)+(0+(0-0))+0--80.4-0</f>
        <v>1799.2</v>
      </c>
      <c r="Q208" s="3">
        <f>2485.5+(57-752.2)+(-6.338025+(-0.14535--1.91811))+0--80.1-0.204254999999988</f>
        <v>1865.63048</v>
      </c>
      <c r="R208" s="3">
        <f>2529.5+(70.1-808.3)+(-3.870135+(-0.107253--1.236699))+0--80.1-0.122553000000005</f>
        <v>1868.5367580000002</v>
      </c>
      <c r="S208" s="3">
        <f>2607.4+(86.2-804.4)+(2.659548+(0.087924-0.820488))+0--79.6--0.0811920000000127</f>
        <v>1970.8081760000002</v>
      </c>
      <c r="T208" s="3">
        <f>2580.4+(99.4-800)+(-7.896024+(-0.304164--2.448))+0--80.1-0.245106000000009</f>
        <v>1953.9027060000001</v>
      </c>
      <c r="U208" s="3">
        <f>2597.4+(59.6-825.4)+(0+(0-0))+0--80.5-0</f>
        <v>1912.1000000000001</v>
      </c>
      <c r="V208" s="3">
        <f>2653.7+(6-1010.6)+(0+(0-0))+0--81.1-0</f>
        <v>1730.1999999999998</v>
      </c>
      <c r="W208" s="3">
        <f>2585.4+(7-943.9)+(1.318554+(0.00357-0.481389))+0--81.3--0.0414629999999918</f>
        <v>1730.682198</v>
      </c>
      <c r="X208" s="3">
        <f>2647.2+(43.5-799.4)+(-4.050216+(-0.066555--1.223082))+0--81.3-0.124389000000005</f>
        <v>1969.5819219999996</v>
      </c>
      <c r="Y208" s="3">
        <f>2672.5+(58.3-833.2)+(-4.088925+(-0.089199--1.274796))+0--81.9-0.125307000000005</f>
        <v>1976.4713649999999</v>
      </c>
      <c r="Z208" s="3">
        <f>2707.9+(64.8-887.1)+(1.381029+(0.033048-0.452421))+0--82--0.0418199999999917</f>
        <v>1968.6034759999998</v>
      </c>
      <c r="AA208" s="3">
        <f>2692.2+(65.4-866.1)+(0+(0-0))+0--82.4-0</f>
        <v>1973.8999999999999</v>
      </c>
      <c r="AB208" s="3">
        <f>2681.1+(79.2-810.1)+(-4.102083+(-0.121176--1.239453))+0--83-0.126990000000005</f>
        <v>2030.0892039999999</v>
      </c>
      <c r="AC208" s="3">
        <f>2621.3+(92.6-793.6)+(-6.684315+(-0.23613--2.02368))+0--83.5-0.212924999999988</f>
        <v>1998.6903100000002</v>
      </c>
      <c r="AD208">
        <v>2008.7</v>
      </c>
      <c r="AE208" s="3">
        <f>2646+(86.8-805.4)+(0+(0-0))+0--81.3-0</f>
        <v>2008.7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2643.3+(73.1-801.3)+(-6.740415+(-0.186405--2.043315))+0--84.1-0.214454999999988</f>
        <v>1994.1020400000002</v>
      </c>
      <c r="G209" s="3">
        <f>2593.5+(68.9-822.2)+(-5.29074+(-0.140556--1.677288))+0--84.1-0.171563999999996</f>
        <v>1920.3744279999996</v>
      </c>
      <c r="H209" s="3">
        <f>2544.5+(48.7-809.5)+(-3.893085+(-0.074511--1.238535))+0--83.5-0.127755000000005</f>
        <v>1864.3431840000001</v>
      </c>
      <c r="I209" s="3">
        <f>2553.9+(28.6-847.1)+(0+(0-0))+0--83.9-0</f>
        <v>1819.3000000000002</v>
      </c>
      <c r="J209" s="3">
        <f>2559.1+(27-890.5)+(-3.915423+(-0.04131--1.362465))+0--84.7-0.129591000000005</f>
        <v>1777.5761409999998</v>
      </c>
      <c r="K209" s="3">
        <f>2566.6+(50.8-987.3)+(-3.926898+(-0.077724--1.510569))+0--86.6-0.132498000000005</f>
        <v>1714.073449</v>
      </c>
      <c r="L209" s="3">
        <f>2419.7+(87-993.5)+(0+(0-0))+0--87.5-0</f>
        <v>1600.6999999999998</v>
      </c>
      <c r="M209" s="3">
        <f>2348.3+(52.7-817.8)+(1.197633+(0.026877-0.417078))+0--86.1--0.0439109999999913</f>
        <v>1670.1513430000002</v>
      </c>
      <c r="N209" s="3">
        <f>2546.1+(8.6-854.8)+(1.298511+(0.004386-0.435948))+0--84.7--0.0431969999999914</f>
        <v>1785.5101460000001</v>
      </c>
      <c r="O209" s="3">
        <f>2783.7+(10-965.8)+(2.839374+(0.0102-0.985116))+0--82.3--0.0839460000000131</f>
        <v>1912.1484039999998</v>
      </c>
      <c r="P209" s="3">
        <f>2796.5+(11.4-931.6)+(-1.426215+(-0.005814--0.475116))+0--80.2-0.0409019999999919</f>
        <v>1955.5021850000001</v>
      </c>
      <c r="Q209" s="3">
        <f>2866+(10.6-921.2)+(-2.92332+(-0.010812--0.939624))+0--80.9-0.0825180000000129</f>
        <v>2034.2229740000002</v>
      </c>
      <c r="R209" s="3">
        <f>2829.3+(13-875.9)+(0+(0-0))+0--80.5-0</f>
        <v>2046.9</v>
      </c>
      <c r="S209" s="3">
        <f>2838.7+(50.8-825.4)+(-1.447737+(-0.025908--0.420954))+0--80.1-0.0408509999999919</f>
        <v>2143.1064579999997</v>
      </c>
      <c r="T209" s="3">
        <f>2845.8+(57.7-837.4)+(0+(0-0))+0--116.1-0</f>
        <v>2182.2000000000003</v>
      </c>
      <c r="U209" s="3">
        <f>2832.8+(25.3-833.5)+(-4.334184+(-0.038709--1.275255))+0--80.4-0.123012000000005</f>
        <v>2101.7793500000002</v>
      </c>
      <c r="V209" s="3">
        <f>2846.1+(12-951.5)+(-4.354533+(-0.01836--1.455795))+0--83.3-0.127449000000005</f>
        <v>1986.8554529999999</v>
      </c>
      <c r="W209" s="3">
        <f>2873.9+(13-985.5)+(0+(0-0))+0--84.8-0</f>
        <v>1986.2</v>
      </c>
      <c r="X209" s="3">
        <f>2898+(13-855.8)+(-5.91192+(-0.02652--1.745832))+0--84.6-0.172583999999996</f>
        <v>2135.434808</v>
      </c>
      <c r="Y209" s="3">
        <f>2924.2+(14-907.2)+(0+(0-0))+0--84.1-0</f>
        <v>2115.1</v>
      </c>
      <c r="Z209" s="3">
        <f>2937.3+(22.6-957.4)+(-5.992092+(-0.046104--1.953096))+0--84.7-0.172787999999996</f>
        <v>2082.9421120000002</v>
      </c>
      <c r="AA209" s="3">
        <f>2949.2+(23.1-970.8)+(-1.504092+(-0.011781--0.495108))+0--85.2-0.0434519999999914</f>
        <v>2085.6357830000002</v>
      </c>
      <c r="AB209" s="3">
        <f>2961.7+(28.1-979.7)+(-7.552335+(-0.071655--2.498235))+0--85.5-0.218024999999988</f>
        <v>2090.2562199999998</v>
      </c>
      <c r="AC209" s="3">
        <f>2849.2+(29.9-914.8)+(-1.453092+(-0.015249--0.466548))+0--87-0.0443699999999912</f>
        <v>2050.2538369999997</v>
      </c>
      <c r="AD209">
        <v>2143.9</v>
      </c>
      <c r="AE209" s="3">
        <f>2892+(17-849.7)+(0+(0-0))+0--84.6-0</f>
        <v>2143.9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2540.6+(78.9-708.4)+(-6.47853+(-0.201195--1.80642))+0--88.5-0.225674999999987</f>
        <v>1994.5010199999999</v>
      </c>
      <c r="G210" s="3">
        <f>2530.3+(78.5-767.5)+(-1.290453+(-0.040035--0.391425))+0--88.1-0.0449309999999911</f>
        <v>1928.4160060000002</v>
      </c>
      <c r="H210" s="3">
        <f>2527.2+(80.4-820.3)+(-3.866616+(-0.123012--1.255059))+0--90.7-0.138771000000005</f>
        <v>1875.1266599999999</v>
      </c>
      <c r="I210" s="3">
        <f>2477.3+(78.2-830.2)+(-1.263423+(-0.039882--0.423402))+0--90.2-0.0460019999999908</f>
        <v>1814.5740950000002</v>
      </c>
      <c r="J210" s="3">
        <f>2483+(105.1-903.4)+(0+(0-0))+0--90.1-0</f>
        <v>1774.8</v>
      </c>
      <c r="K210" s="3">
        <f>2475.9+(109.2-964.3)+(-3.788127+(-0.167076--1.475379))+0--90-0.137700000000005</f>
        <v>1708.1824760000002</v>
      </c>
      <c r="L210" s="3">
        <f>2257.6+(167.6-904)+(0+(0-0))+0--90.4-0</f>
        <v>1611.6</v>
      </c>
      <c r="M210" s="3">
        <f>2253.6+(160.5-814.4)+(1.149336+(0.081855-0.415344))+0--89.4--0.0455939999999909</f>
        <v>1689.9614409999999</v>
      </c>
      <c r="N210" s="3">
        <f>2410.1+(73.2-805.1)+(1.229151+(0.037332-0.410601))+0--87.7--0.0447269999999911</f>
        <v>1766.8006089999999</v>
      </c>
      <c r="O210" s="3">
        <f>2644.9+(32.6-882.5)+(0+(0-0))+0--86-0</f>
        <v>1881</v>
      </c>
      <c r="P210" s="3">
        <f>2635.5+(20-774.5)+(-1.344105+(-0.0102--0.394995))+0--86.4-0.0440639999999912</f>
        <v>1966.3966260000002</v>
      </c>
      <c r="Q210" s="3">
        <f>2607.4+(16-697.8)+(2.659548+(0.01632-0.711756))+0--84.6--0.0862920000000135</f>
        <v>2012.2504039999999</v>
      </c>
      <c r="R210" s="3">
        <f>2559.6+(79.3-722.5)+(-6.52698+(-0.202215--1.842375))+0--86.1-0.219554999999987</f>
        <v>1997.3936249999999</v>
      </c>
      <c r="S210" s="3">
        <f>2540.9+(137.6-659.8)+(0+(0-0))+0--86.5-0</f>
        <v>2105.2000000000003</v>
      </c>
      <c r="T210" s="3">
        <f>2537.2+(129-618.1)+(-2.587944+(-0.13158--0.630462))+0--86.1-0.0878220000000137</f>
        <v>2132.0231159999998</v>
      </c>
      <c r="U210" s="3">
        <f>2539+(85.5-632.2)+(-6.47445+(-0.218025--1.61211))+0--87.8-0.223889999999987</f>
        <v>2074.7957449999999</v>
      </c>
      <c r="V210" s="3">
        <f>2585.9+(41.1-747.3)+(-6.594045+(-0.104805--1.905615))+0--89.4-0.227969999999987</f>
        <v>1964.0787950000004</v>
      </c>
      <c r="W210" s="3">
        <f>2657.5+(20.5-790.1)+(2.71065+(0.02091-0.805902))+0--93.6--0.0954720000000149</f>
        <v>1983.5211300000001</v>
      </c>
      <c r="X210" s="3">
        <f>2712.4+(37.2-702.2)+(-2.766648+(-0.037944--0.716244))+0--94.9-0.0967980000000151</f>
        <v>2140.1148539999999</v>
      </c>
      <c r="Y210" s="3">
        <f>2737.3+(52.2-772.1)+(0+(0-0))+0--95.2-0</f>
        <v>2112.6</v>
      </c>
      <c r="Z210" s="3">
        <f>2751.2+(56-831.6)+(-1.403112+(-0.02856--0.424116))+0--95.7-0.0488069999999903</f>
        <v>2070.2436369999996</v>
      </c>
      <c r="AA210" s="3">
        <f>2758+(73.2-855.2)+(-5.62632+(-0.149328--1.744608))+0--96.4-0.196655999999996</f>
        <v>2068.1723039999997</v>
      </c>
      <c r="AB210" s="3">
        <f>2859.2+(63.3-948.6)+(-5.832768+(-0.129132--1.935144))+0--97.6-0.199103999999996</f>
        <v>2067.27414</v>
      </c>
      <c r="AC210" s="3">
        <f>2894.5+(76.8-1046)+(-8.85717+(-0.235008--3.20076))+0--98.4-0.301104000000011</f>
        <v>2017.507478</v>
      </c>
      <c r="AD210">
        <v>2168.9</v>
      </c>
      <c r="AE210" s="3">
        <f>2704+(39-668.7)+(0+(0-0))+0--94.6-0</f>
        <v>2168.9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2905.4+(45.2-1058.8)+(-7.40877+(-0.11526--2.69994))+0--98.3-0.250664999999986</f>
        <v>1985.025245</v>
      </c>
      <c r="G211" s="3">
        <f>2871.2+(20-1083.3)+(4.392936+(0.0306-1.657449))+0--100--0.153000000000006</f>
        <v>1910.8190869999999</v>
      </c>
      <c r="H211" s="3">
        <f>2806.4+(21-1077)+(-7.15632+(-0.05355--2.74635))+0--101.2-0.258059999999985</f>
        <v>1846.8784200000002</v>
      </c>
      <c r="I211" s="3">
        <f>2672.8+(24-998.7)+(-4.089384+(-0.03672--1.528011))+0--101.3-0.154989000000006</f>
        <v>1796.6469179999999</v>
      </c>
      <c r="J211" s="3">
        <f>2666.8+(24-1035.5)+(-1.360068+(-0.01224--0.528105))+0--101.2-0.0516119999999897</f>
        <v>1755.6041850000001</v>
      </c>
      <c r="K211" s="3">
        <f>2630.8+(26.7-1056.8)+(1.341708+(0.013617-0.538968))+0--101.8--0.0519179999999897</f>
        <v>1703.368275</v>
      </c>
      <c r="L211" s="3">
        <f>2451.3+(65.2-1021.7)+(0+(0-0))+0--104.2-0</f>
        <v>1599.0000000000002</v>
      </c>
      <c r="M211" s="3">
        <f>2465.4+(22.3-919.5)+(1.257354+(0.011373-0.468945))+0--103.7--0.0528869999999895</f>
        <v>1672.7526690000002</v>
      </c>
      <c r="N211" s="3">
        <f>2823.1+(17-1161)+(1.439781+(0.00867-0.59211))+0--101.9--0.0519689999999897</f>
        <v>1781.90831</v>
      </c>
      <c r="O211" s="3">
        <f>2885.7+(18-1126.2)+(-4.415121+(-0.02754--1.723086))+0--99.1-0.151623000000006</f>
        <v>1873.7288019999996</v>
      </c>
      <c r="P211" s="3">
        <f>2840.1+(14-1013.8)+(2.896902+(0.01428-1.034076))+0--97.1--0.0990420000000155</f>
        <v>1939.3761479999998</v>
      </c>
      <c r="Q211" s="3">
        <f>2786.9+(28.6-908.7)+(0+(0-0))+0--95.8-0</f>
        <v>2002.6000000000001</v>
      </c>
      <c r="R211" s="3">
        <f>2692.2+(76.4-824.6)+(-1.373022+(-0.038964--0.420546))+0--95.5-0.0487049999999903</f>
        <v>2038.4598549999998</v>
      </c>
      <c r="S211" s="3">
        <f>2662+(133.2-742.2)+(-1.35762+(-0.067932--0.378522))+0--94.8-0.0483479999999904</f>
        <v>2146.7046220000002</v>
      </c>
      <c r="T211" s="3">
        <f>2622.7+(131.1-684.4)+(1.337577+(0.066861-0.349044))+0--94.6--0.0482459999999904</f>
        <v>2165.1036399999994</v>
      </c>
      <c r="U211" s="3">
        <f>2647.2+(95.9-726.9)+(0+(0-0))+0--95.3-0</f>
        <v>2111.5</v>
      </c>
      <c r="V211" s="3">
        <f>2692.7+(18-811)+(-5.493108+(-0.03672--1.65444))+0--96.2-0.196247999999996</f>
        <v>1991.828364</v>
      </c>
      <c r="W211" s="3">
        <f>2734.4+(16-851.5)+(4.183632+(0.02448-1.302795))+0--96--0.146880000000006</f>
        <v>1997.9521970000001</v>
      </c>
      <c r="X211" s="3">
        <f>2897+(28-867.5)+(-8.86482+(-0.08568--2.65455))+0--96.4-0.294984000000011</f>
        <v>2147.3090659999998</v>
      </c>
      <c r="Y211" s="3">
        <f>2936.1+(27.8-939.9)+(1.497411+(0.014178-0.479349))+0--97.4--0.0496739999999901</f>
        <v>2122.481914</v>
      </c>
      <c r="Z211" s="3">
        <f>2948.4+(24.5-988.8)+(-1.503684+(-0.012495--0.504288))+0--98.4-0.05018399999999</f>
        <v>2081.4379249999997</v>
      </c>
      <c r="AA211" s="3">
        <f>2940.8+(104.1-981.1)+(-4.499424+(-0.159273--1.501083))+0--99.2-0.151776000000006</f>
        <v>2159.6906099999997</v>
      </c>
      <c r="AB211" s="3">
        <f>2932.9+(31.6-976.7)+(-5.983116+(-0.064464--1.992468))+0--99.9-0.203795999999996</f>
        <v>2083.4410920000005</v>
      </c>
      <c r="AC211" s="3">
        <f>2949.1+(18-1018.4)+(-3.008082+(-0.01836--1.038768))+0--99.9-0.101898000000016</f>
        <v>2046.5104279999998</v>
      </c>
      <c r="AD211">
        <v>2165.6</v>
      </c>
      <c r="AE211" s="3">
        <f>2902+(28-861)+(0+(0-0))+0--96.6-0</f>
        <v>2165.6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2900.3+(22.5-1041.8)+(-7.395765+(-0.057375--2.65659))+0--100.5-0.256274999999985</f>
        <v>1976.4471750000002</v>
      </c>
      <c r="G212" s="3">
        <f>2795+(26.5-1022.3)+(-1.42545+(-0.013515--0.521373))+0--100.6-0.0513059999999898</f>
        <v>1898.8311019999999</v>
      </c>
      <c r="H212" s="3">
        <f>2697.5+(32.2-1004.3)+(2.75145+(0.032844-1.024386))+0--101.3--0.103326000000016</f>
        <v>1828.563234</v>
      </c>
      <c r="I212" s="3">
        <f>2648+(53.2-1018.2)+(-5.40192+(-0.108528--2.077128))+0--101.5-0.207059999999996</f>
        <v>1780.8596199999999</v>
      </c>
      <c r="J212" s="3">
        <f>2547.3+(52.9-962.3)+(1.299123+(0.026979-0.490773))+0--102--0.0520199999999897</f>
        <v>1740.7873490000002</v>
      </c>
      <c r="K212" s="3">
        <f>2511.6+(90.4-1020.7)+(-2.561832+(-0.092208--1.041114))+0--101.8-0.103836000000016</f>
        <v>1681.3832379999997</v>
      </c>
      <c r="L212" s="3">
        <f>2469.8+(109.8-1110.1)+(-3.778794+(-0.167994--1.698453))+0--102.7-0.157131000000006</f>
        <v>1569.7945340000003</v>
      </c>
      <c r="M212" s="3">
        <f>2359.9+(76.2-917)+(2.407098+(0.077724-0.93534))+0--101.9--0.103938000000016</f>
        <v>1622.6534200000001</v>
      </c>
      <c r="N212" s="3">
        <f>2534.1+(32.1-895.7)+(0+(0-0))+0--100.4-0</f>
        <v>1770.9</v>
      </c>
      <c r="O212" s="3">
        <f>2667.9+(15-941.5)+(-1.360629+(-0.00765--0.480165))+0--98.3-0.05013299999999</f>
        <v>1838.761753</v>
      </c>
      <c r="P212" s="3">
        <f>2657.9+(15-871)+(1.355529+(0.00765-0.44421))+0--96--0.0489599999999903</f>
        <v>1898.8679290000002</v>
      </c>
      <c r="Q212" s="3">
        <f>2574.7+(22.8-744.8)+(-6.565485+(-0.05814--1.89924))+0--95.4-0.243269999999986</f>
        <v>1943.132345</v>
      </c>
      <c r="R212" s="3">
        <f>2483+(37-688.1)+(-1.26633+(-0.01887--0.350931))+0--95.4-0.0486539999999903</f>
        <v>1926.3170770000002</v>
      </c>
      <c r="S212" s="3">
        <f>2477+(98-858.1)+(0+(0-0))+0--95.4-0</f>
        <v>1812.3000000000002</v>
      </c>
      <c r="T212" s="3">
        <f>2486+(162-646)+(-3.80358+(-0.24786--0.98838))+0--95.9-0.146727000000006</f>
        <v>2094.6902130000003</v>
      </c>
      <c r="U212" s="3">
        <f>2477+(43.6-519.2)+(0+(0-0))+0-7.1-0</f>
        <v>1994.3000000000002</v>
      </c>
      <c r="V212" s="3">
        <f>2488.6+(26.5-662.3)+(-7.615116+(-0.08109--2.026638))+0--96.1-0.294066000000011</f>
        <v>1942.9363659999999</v>
      </c>
      <c r="W212" s="3">
        <f>2553.5+(10-701.5)+(2.60457+(0.0102-0.71553))+0--95.5--0.0974100000000152</f>
        <v>1959.49665</v>
      </c>
      <c r="X212" s="3">
        <f>2667.4+(20.2-678.8)+(-8.162244+(-0.061812--2.077128))+0--95.8-0.293148000000011</f>
        <v>2098.159924</v>
      </c>
      <c r="Y212" s="3">
        <f>2682.7+(22-740.8)+(-4.104531+(-0.03366--1.133424))+0--95.3-0.145809000000005</f>
        <v>2056.0494239999998</v>
      </c>
      <c r="Z212" s="3">
        <f>2758.2+(14-836.1)+(-7.03341+(-0.0357--2.132055))+0--96.1-0.245054999999986</f>
        <v>2027.0178899999996</v>
      </c>
      <c r="AA212" s="3">
        <f>2721.8+(20-801.3)+(-5.552472+(-0.0408--1.634652))+0--96.7-0.197267999999996</f>
        <v>2033.0441120000003</v>
      </c>
      <c r="AB212" s="3">
        <f>2604.2+(19-690.5)+(-1.328142+(-0.00969--0.352155))+0--97-0.0494699999999902</f>
        <v>2028.664853</v>
      </c>
      <c r="AC212" s="3">
        <f>2608.3+(23-734)+(-1.330233+(-0.01173--0.37434))+0-6.6--0.00336599999999933</f>
        <v>1889.7357430000002</v>
      </c>
      <c r="AD212">
        <v>2114.6</v>
      </c>
      <c r="AE212" s="3">
        <f>2676+(15-671.2)+(0+(0-0))+0--94.8-0</f>
        <v>2114.6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2609.4+(29-811.3)+(-3.992382+(-0.04437--1.241289))+0-6.6--0.0100980000000004</f>
        <v>1817.7146350000003</v>
      </c>
      <c r="G213" s="3">
        <f>2630.2+(39.4-927.8)+(2.682804+(0.040188-0.946356))+0-6.6-0.00673200000000105</f>
        <v>1736.9699039999998</v>
      </c>
      <c r="H213" s="3">
        <f>2527.8+(57.7-908.6)+(-1.289178+(-0.029427--0.463386))+0--100.8-0.0514079999999898</f>
        <v>1776.793373</v>
      </c>
      <c r="I213" s="3">
        <f>2203.6+(81.4-682.3)+(3.371508+(0.124542-1.043919))+0--101.1--0.154683000000006</f>
        <v>1706.4068139999997</v>
      </c>
      <c r="J213" s="3">
        <f>2196.6+(95.8-728)+(1.120266+(0.048858-0.37128))+0--101.3--0.0516629999999897</f>
        <v>1666.5495069999997</v>
      </c>
      <c r="K213" s="3">
        <f>2220.8+(161.6-819.6)+(-4.530432+(-0.329664--1.671984))+0--102.5-0.209099999999996</f>
        <v>1661.9027880000001</v>
      </c>
      <c r="L213" s="3">
        <f>2153.5+(240.5-971.1)+(-4.39314+(-0.49062--1.981044))+0--103.6-0.211343999999995</f>
        <v>1523.3859399999999</v>
      </c>
      <c r="M213" s="3">
        <f>2157.4+(200.2-846.2)+(1.100274+(0.102102-0.431562))+0--102.4--0.0522239999999896</f>
        <v>1614.6230380000002</v>
      </c>
      <c r="N213" s="3">
        <f>2549.8+(96.2-1029.8)+(0+(0-0))+0--100.7-0</f>
        <v>1716.9000000000003</v>
      </c>
      <c r="O213" s="3">
        <f>2923+(37.5-1225.8)+(-2.98146+(-0.03825--1.250316))+0--98.6-0.100572000000016</f>
        <v>1831.430034</v>
      </c>
      <c r="P213" s="3">
        <f>2817+(15-1036.2)+(-2.87334+(-0.0153--1.056924))+0--97.1-0.0990420000000155</f>
        <v>1890.9692419999999</v>
      </c>
      <c r="Q213" s="3">
        <f>2780.4+(13-956.7)+(-5.672016+(-0.02652--1.951668))+0--108.4-0.221135999999995</f>
        <v>1941.1319960000003</v>
      </c>
      <c r="R213" s="3">
        <f>2721.2+(5-840.5)+(-4.163436+(-0.00765--1.285965))+0--95.8-0.146574000000006</f>
        <v>1978.4683049999996</v>
      </c>
      <c r="S213" s="3">
        <f>2713.8+(29-763.7)+(-2.768076+(-0.02958--0.778974))+0--95.2-0.0971040000000152</f>
        <v>2072.1842140000003</v>
      </c>
      <c r="T213" s="3">
        <f>2688.9+(39.9-729.9)+(0+(0-0))+0--94.8-0</f>
        <v>2093.7000000000003</v>
      </c>
      <c r="U213" s="3">
        <f>2691.9+(15-746.5)+(-2.745738+(-0.0153--0.76143))+0--95.3-0.0972060000000152</f>
        <v>2053.6031860000003</v>
      </c>
      <c r="V213" s="3">
        <f>2672.5+(61.3-888.4)+(0+(0-0))+0--103.9-0</f>
        <v>1949.3000000000002</v>
      </c>
      <c r="W213" s="3">
        <f>2726.3+(26.2-874.2)+(-1.390413+(-0.013362--0.445842))+0--105.3-0.0537029999999893</f>
        <v>1982.5883640000002</v>
      </c>
      <c r="X213" s="3">
        <f>2775.5+(13-790.8)+(-7.077525+(-0.03315--2.01654))+0--96.8-0.246839999999986</f>
        <v>2089.1590250000004</v>
      </c>
      <c r="Y213" s="3">
        <f>2708+(9-769.2)+(-4.14324+(-0.01377--1.176876))+0--97.3-0.148869000000006</f>
        <v>2041.9709969999999</v>
      </c>
      <c r="Z213" s="3">
        <f>2637.6+(7-769.4)+(-4.035528+(-0.01071--1.177182))+0--97.5-0.149175000000006</f>
        <v>1969.6817689999998</v>
      </c>
      <c r="AA213" s="3">
        <f>2645.2+(10-736.2)+(-4.047156+(-0.0153--1.126386))+0--98.2-0.150246000000006</f>
        <v>2014.1136839999999</v>
      </c>
      <c r="AB213" s="3">
        <f>2668.7+(16-771.6)+(0+(0-0))+0--99.1-0</f>
        <v>2012.1999999999998</v>
      </c>
      <c r="AC213" s="3">
        <f>2694+(16-820.1)+(-5.49576+(-0.03264--1.673004))+0--100.1-0.204203999999996</f>
        <v>1985.9404000000002</v>
      </c>
      <c r="AD213">
        <v>2099.9</v>
      </c>
      <c r="AE213" s="3">
        <f>2780+(19-799)+(0+(0-0))+0--99.9-0</f>
        <v>2099.9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2671+(18.5-874.5)+(-4.08663+(-0.028305--1.337985))+0--104.6-0.160038000000006</f>
        <v>1916.663012</v>
      </c>
      <c r="G214" s="3">
        <f>2675.2+(28.4-959.8)+(-1.364352+(-0.014484--0.489498))+0--104.7-0.0533969999999894</f>
        <v>1847.5572649999999</v>
      </c>
      <c r="H214" s="3">
        <f>2662.6+(52.5-1027.7)+(-8.147556+(-0.16065--3.144762))+0--101.5-0.310590000000012</f>
        <v>1783.4259659999998</v>
      </c>
      <c r="I214" s="3">
        <f>2628.8+(94.3-1076.8)+(-4.022064+(-0.144279--1.647504))+0--102.4-0.156672000000006</f>
        <v>1746.0244890000001</v>
      </c>
      <c r="J214" s="3">
        <f>2335.3+(131.7-866.3)+(0+(0-0))+0--104-0</f>
        <v>1704.7000000000003</v>
      </c>
      <c r="K214" s="3">
        <f>2246.6+(179-872)+(-1.145766+(-0.09129--0.44472))+0--103.8-0.0529379999999895</f>
        <v>1656.5547259999998</v>
      </c>
      <c r="L214" s="3">
        <f>2256+(218.7-1002.9)+(-3.45168+(-0.334611--1.534437))+0--103.7-0.158661000000006</f>
        <v>1573.089485</v>
      </c>
      <c r="M214" s="3">
        <f>2369.1+(173.7-1024)+(1.208241+(0.088587-0.52224))+0--103.1--0.0525809999999895</f>
        <v>1622.7271689999998</v>
      </c>
      <c r="N214" s="3">
        <f>2554+(114.3-1041.1)+(3.90762+(0.174879-1.592883))+0--101.4--0.155142000000006</f>
        <v>1731.2447580000003</v>
      </c>
      <c r="O214" s="3">
        <f>2761.4+(40.8-1078.5)+(0+(0-0))+0--99-0</f>
        <v>1822.7</v>
      </c>
      <c r="P214" s="3">
        <f>2585.2+(57.9-848.5)+(2.636904+(0.059058-0.86547))+0--97.1--0.0990420000000155</f>
        <v>1893.6295339999999</v>
      </c>
      <c r="Q214" s="3">
        <f>2553.3+(15.5-742)+(-1.302183+(-0.007905--0.37842))+0--95.6-0.0487559999999903</f>
        <v>1921.4195760000002</v>
      </c>
      <c r="R214" s="3">
        <f>2546.3+(13.8-728.9)+(-3.895839+(-0.021114--1.115217))+0--95-0.145350000000006</f>
        <v>1923.2529140000004</v>
      </c>
      <c r="S214" s="3">
        <f>2513.6+(44.5-690.3)+(-7.691616+(-0.13617--2.112318))+0--94.9-0.290394000000011</f>
        <v>1956.6941379999998</v>
      </c>
      <c r="T214" s="3">
        <f>2513+(34.1-678.6)+(-2.56326+(-0.034782--0.692172))+0--91.9-0.0937380000000147</f>
        <v>1958.400392</v>
      </c>
      <c r="U214" s="3">
        <f>2563.8+(18.8-761.9)+(-3.922614+(-0.028764--1.165707))+0--90.3-0.138159000000005</f>
        <v>1908.07617</v>
      </c>
      <c r="V214" s="3">
        <f>2554.9+(35.5-865.7)+(-3.908997+(-0.054315--1.324521))+0--90.5-0.138465000000005</f>
        <v>1812.422744</v>
      </c>
      <c r="W214" s="3">
        <f>2605.2+(33.1-877.1)+(-3.985956+(-0.050643--1.341963))+0--89.9-0.137547000000005</f>
        <v>1848.2678169999999</v>
      </c>
      <c r="X214" s="3">
        <f>2683.3+(20-812.9)+(-8.210898+(-0.0612--2.487474))+0--89.2-0.27295200000001</f>
        <v>1973.5424240000002</v>
      </c>
      <c r="Y214" s="3">
        <f>2635.1+(19-798.2)+(-4.031703+(-0.02907--1.221246))+0--90.3-0.138159000000005</f>
        <v>1943.2223139999996</v>
      </c>
      <c r="Z214" s="3">
        <f>2589.9+(15.9-795.6)+(-1.320849+(-0.008109--0.405756))+0--90.1-0.0459509999999909</f>
        <v>1899.3308469999999</v>
      </c>
      <c r="AA214" s="3">
        <f>2556.2+(15.5-766)+(-2.607324+(-0.01581--0.78132))+0--89.7-0.0914940000000143</f>
        <v>1893.4666919999997</v>
      </c>
      <c r="AB214" s="3">
        <f>2501+(21.6-710.9)+(-3.82653+(-0.033048--1.087677))+0--87.3-0.133569000000005</f>
        <v>1896.0945299999998</v>
      </c>
      <c r="AC214" s="3">
        <f>2381.5+(23.3-613.8)+(-6.072825+(-0.059415--1.56519))+0--88.1-0.224654999999987</f>
        <v>1874.3082949999998</v>
      </c>
      <c r="AD214">
        <v>1976</v>
      </c>
      <c r="AE214" s="3">
        <f>2694+(18-824.8)+(0+(0-0))+0--88.8-0</f>
        <v>1976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2330.6+(31.6-622.6)+(-3.565818+(-0.048348--0.952578))+0--87.3-0.133569000000005</f>
        <v>1824.1048429999998</v>
      </c>
      <c r="G215" s="3">
        <f>2263.1+(22.9-631.2)+(-4.616724+(-0.046716--1.287648))+0--89.1-0.181763999999996</f>
        <v>1740.3424439999997</v>
      </c>
      <c r="H215" s="3">
        <f>2137.1+(27.7-604.3)+(-5.449605+(-0.070635--1.540965))+0--89.6-0.228479999999987</f>
        <v>1645.892245</v>
      </c>
      <c r="I215" s="3">
        <f>2067.6+(18-551.1)+(-4.217904+(-0.03672--1.124244))+0--89.5-0.182579999999996</f>
        <v>1620.68704</v>
      </c>
      <c r="J215" s="3">
        <f>2042.1+(21-560.2)+(-1.041471+(-0.01071--0.285702))+0--90.3-0.0460529999999908</f>
        <v>1592.3874679999999</v>
      </c>
      <c r="K215" s="3">
        <f>2038.8+(20-610)+(-1.039788+(-0.0102--0.3111))+0--90.6-0.0462059999999908</f>
        <v>1538.6149059999998</v>
      </c>
      <c r="L215" s="3">
        <f>1865.6+(57-591)+(0+(0-0))+0--92.7-0</f>
        <v>1424.3</v>
      </c>
      <c r="M215" s="3">
        <f>1708+(82.2-437.7)+(-0.87108+(-0.041922--0.223227))+0--94.2-0.0480419999999904</f>
        <v>1445.9621830000001</v>
      </c>
      <c r="N215" s="3">
        <f>1771+(100.5-458.9)+(-1.80642+(-0.10251--0.468078))+0--93.9-0.095778000000015</f>
        <v>1504.9633699999999</v>
      </c>
      <c r="O215" s="3">
        <f>1969.6+(140.4-634.2)+(-2.008992+(-0.143208--0.646884))+0--93.6-0.0954720000000149</f>
        <v>1567.7992119999997</v>
      </c>
      <c r="P215" s="3">
        <f>2099.9+(113.6-699.2)+(-3.212847+(-0.173808--1.069776))+0--93.3-0.142749000000005</f>
        <v>1605.1403720000001</v>
      </c>
      <c r="Q215" s="3">
        <f>2148.6+(46.9-660.2)+(0+(0-0))+0--92.8-0</f>
        <v>1628.0999999999997</v>
      </c>
      <c r="R215" s="3">
        <f>2131+(18.7-629.7)+(-4.34724+(-0.038148--1.284588))+0--92.5-0.188699999999996</f>
        <v>1609.2105000000001</v>
      </c>
      <c r="S215" s="3">
        <f>2123.8+(19.1-609.6)+(-4.332552+(-0.038964--1.243584))+0--92.4-0.188495999999996</f>
        <v>1622.3835720000002</v>
      </c>
      <c r="T215" s="3">
        <f>2030+(19.1-511.5)+(-2.0706+(-0.019482--0.52173))+0--91-0.0928200000000145</f>
        <v>1626.9388279999998</v>
      </c>
      <c r="U215" s="3">
        <f>2030.7+(20.1-527.7)+(-1.035657+(-0.010251--0.269127))+0--89.7-0.0457469999999909</f>
        <v>1611.977472</v>
      </c>
      <c r="V215" s="3">
        <f>1964.5+(37.8-517.3)+(0+(0-0))+0--89.8-0</f>
        <v>1574.8</v>
      </c>
      <c r="W215" s="3">
        <f>2217.4+(67.4-689.2)+(-3.392622+(-0.103122--1.054476))+0--87-0.133110000000005</f>
        <v>1680.0256219999999</v>
      </c>
      <c r="X215" s="3">
        <f>2587+(22-917.2)+(-5.27748+(-0.04488--1.871088))+0--88.2-0.179927999999996</f>
        <v>1776.3688</v>
      </c>
      <c r="Y215" s="3">
        <f>2566+(16.6-928.3)+(-3.92598+(-0.025398--1.420299))+0--89.2-0.136476000000005</f>
        <v>1740.8324450000002</v>
      </c>
      <c r="Z215" s="3">
        <f>2403.3+(14.6-807.7)+(-6.128415+(-0.03723--2.059635))+0--89.8-0.228989999999987</f>
        <v>1695.6650000000002</v>
      </c>
      <c r="AA215" s="3">
        <f>2363.6+(13.4-798.8)+(-4.821744+(-0.027336--1.629552))+0--90.9-0.185435999999996</f>
        <v>1665.6950359999998</v>
      </c>
      <c r="AB215" s="3">
        <f>2329.9+(12.3-791.5)+(-5.941245+(-0.031365--2.018325))+0--91-0.232049999999987</f>
        <v>1637.5136649999999</v>
      </c>
      <c r="AC215" s="3">
        <f>2220.5+(13.4-754.6)+(-5.662275+(-0.03417--1.92423))+0--91-0.232049999999987</f>
        <v>1566.2957349999999</v>
      </c>
      <c r="AD215">
        <v>1769</v>
      </c>
      <c r="AE215" s="3">
        <f>2623+(21-962)+(0+(0-0))+0--87-0</f>
        <v>1769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2114.1+(11-792.3)+(-2.156382+(-0.01122--0.808146))+0--91.5-0.0933300000000146</f>
        <v>1422.8472140000001</v>
      </c>
      <c r="G216" s="3">
        <f>1965.1+(11-771.8)+(-2.004402+(-0.01122--0.787236))+0--91-0.0928200000000145</f>
        <v>1293.9787939999999</v>
      </c>
      <c r="H216" s="3">
        <f>1950+(11-740.2)+(-3.978+(-0.02244--1.510008))+0--92.1-0.187883999999996</f>
        <v>1310.2216839999999</v>
      </c>
      <c r="I216" s="3">
        <f>1955.1+(11-772.3)+(-1.994202+(-0.01122--0.787746))+0--92.7-0.0945540000000148</f>
        <v>1285.18777</v>
      </c>
      <c r="J216" s="3">
        <f>1956.2+(15-780.7)+(1.995324+(0.0153-0.796314))+0--93.1--0.0949620000000148</f>
        <v>1284.9092720000001</v>
      </c>
      <c r="K216" s="3">
        <f>1958.9+(16-774.1)+(4.995195+(0.0408-1.973955))+0--93.9--0.239444999999986</f>
        <v>1298.0014850000002</v>
      </c>
      <c r="L216" s="3">
        <f>2021+(16-797)+(-1.03071+(-0.00816--0.40647))+0--94.5-0.0481949999999904</f>
        <v>1333.819405</v>
      </c>
      <c r="M216" s="3">
        <f>2128.7+(15-826.5)+(0+(0-0))+0--93.8-0</f>
        <v>1410.9999999999998</v>
      </c>
      <c r="N216" s="3">
        <f>2238.8+(13-814.8)+(-1.141788+(-0.00663--0.415548))+0--92-0.0469199999999907</f>
        <v>1528.2202100000002</v>
      </c>
      <c r="O216" s="3">
        <f>2558.7+(46.4-1026.4)+(-5.219748+(-0.094656--2.093856))+0--89.4-0.182375999999996</f>
        <v>1664.6970759999999</v>
      </c>
      <c r="P216" s="3">
        <f>2616.5+(40.1-1100.3)+(-1.334415+(-0.020451--0.561153))+0--88.5-0.045134999999991</f>
        <v>1643.9611519999999</v>
      </c>
      <c r="Q216" s="3">
        <f>2599.8+(45-1053.9)+(-3.977694+(-0.06885--1.612467))+0--87.6-0.134028000000005</f>
        <v>1675.9318950000002</v>
      </c>
      <c r="R216" s="3">
        <f>2641.4+(37.7-1094)+(-6.73557+(-0.096135--2.7897))+0--87-0.221849999999987</f>
        <v>1667.8361450000002</v>
      </c>
      <c r="S216" s="3">
        <f>2540.2+(46.9-1008.2)+(-1.295502+(-0.023919--0.514182))+0--86-0.0438599999999913</f>
        <v>1664.0509009999996</v>
      </c>
      <c r="T216" s="3">
        <f>2510+(13-929.5)+(0+(0-0))+0--85.6-0</f>
        <v>1679.1</v>
      </c>
      <c r="U216" s="3">
        <f>2224.7+(13-737.7)+(-1.134597+(-0.00663--0.376227))+0--85.6-0.0436559999999913</f>
        <v>1584.7913439999995</v>
      </c>
      <c r="V216" s="3">
        <f>2233.6+(15-723.3)+(2.278272+(0.0153-0.737766))+0--85.8--0.0875160000000137</f>
        <v>1612.743322</v>
      </c>
      <c r="W216" s="3">
        <f>2423.8+(14-805.7)+(2.472276+(0.01428-0.821814))+0--85.9--0.0876180000000137</f>
        <v>1719.7523600000002</v>
      </c>
      <c r="X216" s="3">
        <f>2598.8+(13-858.7)+(-5.301552+(-0.02652--1.751748))+0--86.7-0.176867999999996</f>
        <v>1836.0468080000001</v>
      </c>
      <c r="Y216" s="3">
        <f>2538.4+(13-853.6)+(-5.178336+(-0.02652--1.741344))+0--87.5-0.178499999999996</f>
        <v>1781.6579880000002</v>
      </c>
      <c r="Z216" s="3">
        <f>2433.1+(12-806.2)+(-4.963524+(-0.02448--1.644648))+0--88.1-0.179723999999996</f>
        <v>1723.4769199999996</v>
      </c>
      <c r="AA216" s="3">
        <f>2233.1+(12-664.9)+(-2.277762+(-0.01224--0.678198))+0--89.4-0.0911880000000143</f>
        <v>1667.8970079999999</v>
      </c>
      <c r="AB216" s="3">
        <f>2221.8+(12-716)+(-5.66559+(-0.0306--1.8258))+0--89.7-0.228734999999987</f>
        <v>1603.4008750000003</v>
      </c>
      <c r="AC216" s="3">
        <f>2118.7+(11-770.6)+(-1.080537+(-0.00561--0.393006))+0--90.2-0.0460019999999908</f>
        <v>1448.5608569999999</v>
      </c>
      <c r="AD216">
        <v>1853.7</v>
      </c>
      <c r="AE216" s="3">
        <f>2602+(16.8-851.2)+(0+(0-0))+0--86.1-0</f>
        <v>1853.6999999999998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2078.3+(16-766.9)+(-2.119866+(-0.01632--0.782238))+0--93.8-0.095676000000015</f>
        <v>1419.7503760000002</v>
      </c>
      <c r="G217" s="3">
        <f>2083.1+(16-818)+(-2.124762+(-0.01632--0.83436))+0--94.8-0.0966960000000151</f>
        <v>1374.4965819999998</v>
      </c>
      <c r="H217" s="3">
        <f>2001.9+(19-773)+(0+(0-0))+0--93.8-0</f>
        <v>1341.7</v>
      </c>
      <c r="I217" s="3">
        <f>1999.1+(19-790.8)+(2.039082+(0.01938-0.806616))+0--89.8--0.0915960000000143</f>
        <v>1318.4434419999998</v>
      </c>
      <c r="J217" s="3">
        <f>1889.9+(37.3-699.7)+(0.963849+(0.019023-0.356847))+0--92--0.0469199999999907</f>
        <v>1320.172945</v>
      </c>
      <c r="K217" s="3">
        <f>1684.8+(96.6-548.5)+(0+(0-0))+0--92.5-0</f>
        <v>1325.4</v>
      </c>
      <c r="L217" s="3">
        <f>1776.4+(148.3-718.8)+(3.623856+(0.302532-1.466352))+0--90.8--0.185231999999996</f>
        <v>1299.345268</v>
      </c>
      <c r="M217" s="3">
        <f>2017.3+(93.4-793.6)+(2.057646+(0.095268-0.809472))+0--91.4--0.0932280000000146</f>
        <v>1409.93667</v>
      </c>
      <c r="N217" s="3">
        <f>2269.5+(67.3-833.5)+(-1.157445+(-0.034323--0.425085))+0--87.7-0.0447269999999911</f>
        <v>1590.18859</v>
      </c>
      <c r="O217" s="3">
        <f>2210.8+(72.7-796.3)+(1.127508+(0.037077-0.406113))+0--90.6--0.0462059999999908</f>
        <v>1578.6046780000001</v>
      </c>
      <c r="P217" s="3">
        <f>2314.2+(71.2-830.9)+(-3.540726+(-0.108936--1.271277))+0--91.2-0.139536000000005</f>
        <v>1643.1820790000002</v>
      </c>
      <c r="Q217" s="3">
        <f>2477.8+(71.4-923.4)+(-1.263678+(-0.036414--0.470934))+0--83.9-0.0427889999999915</f>
        <v>1708.8280530000002</v>
      </c>
      <c r="R217" s="3">
        <f>2396.1+(53.3-887.6)+(-6.110055+(-0.135915--2.26338))+0--84.8-0.216239999999988</f>
        <v>1642.4011699999996</v>
      </c>
      <c r="S217" s="3">
        <f>2211.3+(57.5-689)+(-1.127763+(-0.029325--0.35139))+0--84.4-0.0430439999999914</f>
        <v>1663.3512580000004</v>
      </c>
      <c r="T217" s="3">
        <f>2193.3+(36.8-661.3)+(0+(0-0))+0--84-0</f>
        <v>1652.8000000000002</v>
      </c>
      <c r="U217" s="3">
        <f>2173.3+(45.1-635.1)+(-6.650298+(-0.138006--1.943406))+0--84.6-0.25887600000001</f>
        <v>1662.7962259999999</v>
      </c>
      <c r="V217" s="3">
        <f>2155.5+(73.7-654.6)+(-1.099305+(-0.037587--0.333846))+0--84.5-0.0430949999999914</f>
        <v>1658.2538589999999</v>
      </c>
      <c r="W217" s="3">
        <f>2438.5+(16-781.5)+(0+(0-0))+0--84.4-0</f>
        <v>1757.4</v>
      </c>
      <c r="X217" s="3">
        <f>2639.5+(17-931.6)+(-8.07687+(-0.05202--2.850696))+0--84.9-0.25979400000001</f>
        <v>1804.2620120000001</v>
      </c>
      <c r="Y217" s="3">
        <f>2509+(17-805.2)+(-2.55918+(-0.01734--0.821304))+0--85-0.0867000000000136</f>
        <v>1803.9580839999999</v>
      </c>
      <c r="Z217" s="3">
        <f>2452.4+(17-808.8)+(-5.002896+(-0.03468--1.649952))+0--85.4-0.174215999999996</f>
        <v>1742.4381600000004</v>
      </c>
      <c r="AA217" s="3">
        <f>2416.8+(16-812.9)+(-3.697704+(-0.02448--1.243737))+0--86-0.131580000000005</f>
        <v>1703.2899730000001</v>
      </c>
      <c r="AB217" s="3">
        <f>2395.8+(13-831.6)+(-4.887432+(-0.02652--1.696464))+0--86.8-0.177071999999996</f>
        <v>1660.6054400000003</v>
      </c>
      <c r="AC217" s="3">
        <f>2289+(12-810.9)+(-4.66956+(-0.02448--1.654236))+0--87.4-0.178295999999996</f>
        <v>1574.2819</v>
      </c>
      <c r="AD217">
        <v>1874.1000000000001</v>
      </c>
      <c r="AE217" s="3">
        <f>2702+(16-929.8)+(0+(0-0))+0--85.9-0</f>
        <v>1874.1000000000001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2162.3+(16-831.3)+(-2.205546+(-0.01632--0.847926))+0--89.5-0.0912900000000143</f>
        <v>1435.0347700000002</v>
      </c>
      <c r="G218" s="3">
        <f>2076.2+(15-778.7)+(0+(0-0))+0--87.6-0</f>
        <v>1400.0999999999997</v>
      </c>
      <c r="H218" s="3">
        <f>2074.3+(32.8-790)+(0+(0-0))+0--89.5-0</f>
        <v>1406.6000000000001</v>
      </c>
      <c r="I218" s="3">
        <f>2111.8+(27.6-882.6)+(0+(0-0))+0--89.5-0</f>
        <v>1346.3000000000002</v>
      </c>
      <c r="J218" s="3">
        <f>2129.1+(45.1-933.2)+(1.085841+(0.023001-0.475932))+0--89.7--0.0457469999999909</f>
        <v>1331.378657</v>
      </c>
      <c r="K218" s="3">
        <f>2152.6+(92.6-986.4)+(-3.293478+(-0.141678--1.509192))+0--90.6-0.138618000000005</f>
        <v>1347.3354179999999</v>
      </c>
      <c r="L218" s="3">
        <f>2243.4+(135.2-1126.7)+(1.144134+(0.068952-0.574617))+0--89.6--0.0456959999999909</f>
        <v>1342.1841649999999</v>
      </c>
      <c r="M218" s="3">
        <f>2340.8+(133.2-1132.1)+(1.193808+(0.067932-0.577371))+0--89.1--0.045440999999991</f>
        <v>1431.7298100000003</v>
      </c>
      <c r="N218" s="3">
        <f>2545.8+(92.9-1202.5)+(-1.298358+(-0.047379--0.613275))+0--89.4-0.0455939999999909</f>
        <v>1524.8219440000005</v>
      </c>
      <c r="O218" s="3">
        <f>2666.9+(72.7-1191.2)+(1.360119+(0.037077-0.607512))+0--85.4--0.0435539999999913</f>
        <v>1634.6332380000003</v>
      </c>
      <c r="P218" s="3">
        <f>2675.2+(63.3-1179.3)+(0+(0-0))+0--84.6-0</f>
        <v>1643.7999999999997</v>
      </c>
      <c r="Q218" s="3">
        <f>2688.3+(60.1-1132.4)+(-1.371033+(-0.030651--0.577524))+0--80.6-0.0411059999999918</f>
        <v>1695.7347340000001</v>
      </c>
      <c r="R218" s="3">
        <f>2669.2+(38.3-1169.6)+(-6.80646+(-0.097665--2.98248))+0--80.7-0.205784999999988</f>
        <v>1614.4725700000001</v>
      </c>
      <c r="S218" s="3">
        <f>2647.4+(50.5-1117.3)+(-8.101044+(-0.15453--3.418938))+0--77.9-0.238374000000009</f>
        <v>1653.4249900000002</v>
      </c>
      <c r="T218" s="3">
        <f>2662.8+(52.7-1139.5)+(0+(0-0))+0--81.3-0</f>
        <v>1657.3000000000002</v>
      </c>
      <c r="U218" s="3">
        <f>2663+(12-1111.9)+(-4.07439+(-0.01836--1.701207))+0--81.4-0.124542000000005</f>
        <v>1641.983915</v>
      </c>
      <c r="V218" s="3">
        <f>2675.8+(36.7-1171.6)+(-1.364658+(-0.018717--0.597516))+0--82.3-0.0419729999999916</f>
        <v>1622.3721680000001</v>
      </c>
      <c r="W218" s="3">
        <f>2701.3+(14-1071.2)+(0+(0-0))+0--82-0</f>
        <v>1726.1000000000001</v>
      </c>
      <c r="X218" s="3">
        <f>2751.7+(14-1022)+(-4.210101+(-0.02142--1.56366))+0--82.4-0.126072000000005</f>
        <v>1823.306067</v>
      </c>
      <c r="Y218" s="3">
        <f>2770.3+(13-1083.5)+(-4.238559+(-0.01989--1.657755))+0--82.8-0.126684000000005</f>
        <v>1779.8726220000001</v>
      </c>
      <c r="Z218" s="3">
        <f>2789.7+(13-1151.3)+(-4.268241+(-0.01989--1.761489))+0--83.4-0.127602000000005</f>
        <v>1732.1457559999999</v>
      </c>
      <c r="AA218" s="3">
        <f>2781.4+(12-1166.1)+(-2.837028+(-0.01224--1.189422))+0--83.8-0.0854760000000134</f>
        <v>1709.3546780000001</v>
      </c>
      <c r="AB218" s="3">
        <f>2765.2+(12-1202.4)+(-7.05126+(-0.0306--3.06612))+0--85.3-0.217514999999988</f>
        <v>1655.8667449999996</v>
      </c>
      <c r="AC218" s="3">
        <f>2700.6+(11-1207.4)+(-2.754612+(-0.01122--1.231548))+0--85.4-0.0871080000000136</f>
        <v>1587.9786079999999</v>
      </c>
      <c r="AD218">
        <v>1874.3999999999999</v>
      </c>
      <c r="AE218" s="3">
        <f>2764+(18-989.4)+(0+(0-0))+0--81.8-0</f>
        <v>1874.3999999999999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2512.7+(17-1106.8)+(-1.281477+(-0.00867--0.564468))+0--85-0.0433499999999914</f>
        <v>1507.130971</v>
      </c>
      <c r="G219" s="3">
        <f>2336.7+(50.4-1019.8)+(-4.766868+(-0.102816--2.080392))+0--85.9-0.175235999999996</f>
        <v>1450.2354719999998</v>
      </c>
      <c r="H219" s="3">
        <f>2208.6+(65.1-968.5)+(-5.63193+(-0.166005--2.469675))+0--87-0.221849999999987</f>
        <v>1388.6498899999999</v>
      </c>
      <c r="I219" s="3">
        <f>2085.2+(66.4-906.3)+(-2.126904+(-0.067728--0.924426))+0--87.2-0.0889440000000139</f>
        <v>1331.1408499999998</v>
      </c>
      <c r="J219" s="3">
        <f>2092.8+(79.2-913.7)+(1.067328+(0.040392-0.465987))+0--86.7--0.0442169999999912</f>
        <v>1345.68595</v>
      </c>
      <c r="K219" s="3">
        <f>2098.2+(93-930.1)+(1.070082+(0.04743-0.474351))+0--87.4--0.0445739999999911</f>
        <v>1349.187735</v>
      </c>
      <c r="L219" s="3">
        <f>2100.6+(158.5-1021)+(3.213918+(0.242505-1.56213))+0--87.4--0.133722000000005</f>
        <v>1327.5280150000001</v>
      </c>
      <c r="M219" s="3">
        <f>2182.8+(150.3-996.4)+(-1.113228+(-0.076653--0.508164))+0--88.3-0.045032999999991</f>
        <v>1424.2732500000002</v>
      </c>
      <c r="N219" s="3">
        <f>2323.9+(118.3-990.5)+(2.370378+(0.120666-1.01031))+0--86.6--0.0883320000000138</f>
        <v>1539.869066</v>
      </c>
      <c r="O219" s="3">
        <f>2757.2+(21-1211.8)+(-2.812344+(-0.02142--1.236036))+0--84.6-0.0862920000000135</f>
        <v>1649.3159799999999</v>
      </c>
      <c r="P219" s="3">
        <f>2785.2+(15-1144.5)+(-5.681808+(-0.0306--2.33478))+0--82.7-0.168707999999996</f>
        <v>1734.853664</v>
      </c>
      <c r="Q219" s="3">
        <f>2764.7+(17-1095)+(-2.819994+(-0.01734--1.1169))+0--82.4-0.0840480000000131</f>
        <v>1767.2955179999999</v>
      </c>
      <c r="R219" s="3">
        <f>2700.6+(15-1114)+(-5.509224+(-0.0306--2.27256))+0--82.2-0.167687999999996</f>
        <v>1680.3650479999999</v>
      </c>
      <c r="S219" s="3">
        <f>2580.7+(17-959.5)+(-1.316157+(-0.00867--0.489345))+0--81.6-0.0416159999999917</f>
        <v>1718.9229019999998</v>
      </c>
      <c r="T219" s="3">
        <f>2556.9+(17-934.6)+(3.912057+(0.02601-1.429938))+0--79.5--0.121635000000005</f>
        <v>1721.4297640000002</v>
      </c>
      <c r="U219" s="3">
        <f>2583+(35.1-990.5)+(-6.58665+(-0.089505--2.525775))+0--79-0.201449999999989</f>
        <v>1702.2481699999998</v>
      </c>
      <c r="V219" s="3">
        <f>2647.7+(52.3-1109.5)+(-1.350327+(-0.026673--0.565845))+0--76.4-0.0389639999999923</f>
        <v>1666.0498809999997</v>
      </c>
      <c r="W219" s="3">
        <f>2740.7+(23-1059.7)+(-1.397757+(-0.01173--0.540447))+0--78.3-0.0399329999999921</f>
        <v>1781.3910269999997</v>
      </c>
      <c r="X219" s="3">
        <f>2718.5+(18-936.1)+(-6.932175+(-0.0459--2.387055))+0--80.8-0.206039999999988</f>
        <v>1876.4029399999999</v>
      </c>
      <c r="Y219" s="3">
        <f>2741.5+(15-1016)+(-1.398165+(-0.00765--0.51816))+0--81.9-0.0417689999999917</f>
        <v>1821.4705760000002</v>
      </c>
      <c r="Z219" s="3">
        <f>2754+(14-1094.7)+(-2.80908+(-0.01428--1.116594))+0--83-0.0846600000000132</f>
        <v>1754.508574</v>
      </c>
      <c r="AA219" s="3">
        <f>2767.5+(15-1118.3)+(-5.6457+(-0.0306--2.281332))+0--84.3-0.171971999999996</f>
        <v>1744.9330599999998</v>
      </c>
      <c r="AB219" s="3">
        <f>2713.1+(37-1103.5)+(-4.151043+(-0.05661--1.688355))+0--85.2-0.130356000000005</f>
        <v>1729.1503460000001</v>
      </c>
      <c r="AC219" s="3">
        <f>2719.9+(20.9-1208.9)+(-5.548596+(-0.042636--2.466156))+0--85-0.173399999999996</f>
        <v>1613.6015240000002</v>
      </c>
      <c r="AD219">
        <v>1884.9999999999998</v>
      </c>
      <c r="AE219" s="3">
        <f>2711+(21.7-929)+(0+(0-0))+0--81.3-0</f>
        <v>1885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2711.4+(10-1270.2)+(-6.91407+(-0.0255--3.23901))+0-6.7--0.017084999999999</f>
        <v>1440.816525</v>
      </c>
      <c r="G220" s="3">
        <f>2598.9+(26.3-1256.6)+(-1.325439+(-0.013413--0.640866))+0-6.5--0.00331499999999934</f>
        <v>1361.4053290000002</v>
      </c>
      <c r="H220" s="3">
        <f>2294.7+(65.1-1051.9)+(-1.170297+(-0.033201--0.536469))+0-6.5--0.00331499999999934</f>
        <v>1300.7362859999996</v>
      </c>
      <c r="I220" s="3">
        <f>2158.4+(97.2-957.8)+(-2.201568+(-0.099144--0.976956))+0--86.5-0.0882300000000138</f>
        <v>1382.8880140000001</v>
      </c>
      <c r="J220" s="3">
        <f>2159.6+(92.1-974.5)+(-1.101396+(-0.046971--0.496995))+0--87.2-0.0444719999999912</f>
        <v>1363.7041559999998</v>
      </c>
      <c r="K220" s="3">
        <f>2183.3+(104.2-1008.5)+(-1.113483+(-0.053142--0.514335))+0--87.5-0.0446249999999911</f>
        <v>1365.8030850000002</v>
      </c>
      <c r="L220" s="3">
        <f>2199.8+(120.5-1075.5)+(-2.243796+(-0.12291--1.09701))+0--86.5-0.0882300000000138</f>
        <v>1329.942074</v>
      </c>
      <c r="M220" s="3">
        <f>2204.4+(111.7-973.2)+(0+(0-0))+0--85.6-0</f>
        <v>1428.5</v>
      </c>
      <c r="N220" s="3">
        <f>2534.5+(79.1-1136.3)+(-2.58519+(-0.080682--1.159026))+0--85.6-0.0873120000000136</f>
        <v>1561.3058419999998</v>
      </c>
      <c r="O220" s="3">
        <f>2538.3+(27.9-1021.6)+(2.589066+(0.028458-1.042032))+0--89.3--0.0910860000000142</f>
        <v>1635.5665779999999</v>
      </c>
      <c r="P220" s="3">
        <f>2605.8+(11.8-999.5)+(-5.315832+(-0.024072--2.03898))+0--90.2-0.184007999999996</f>
        <v>1704.8150680000003</v>
      </c>
      <c r="Q220" s="3">
        <f>2796.9+(8.4-1151.5)+(-1.426419+(-0.004284--0.587265))+0--91.4-0.0466139999999907</f>
        <v>1744.3099480000001</v>
      </c>
      <c r="R220" s="3">
        <f>2781+(5-1146.7)+(-2.83662+(-0.0051--1.169634))+0--85.7-0.0874140000000137</f>
        <v>1723.2404999999999</v>
      </c>
      <c r="S220" s="3">
        <f>2753.3+(5-1142.9)+(-4.212549+(-0.00765--1.748637))+0--81.7-0.125001000000005</f>
        <v>1694.5034370000001</v>
      </c>
      <c r="T220" s="3">
        <f>2772.9+(5-1187.4)+(0+(0-0))+0--82.1-0</f>
        <v>1672.6</v>
      </c>
      <c r="U220" s="3">
        <f>2717.4+(5-1112.1)+(1.385874+(0.00255-0.567171))+0--82.1--0.0418709999999917</f>
        <v>1693.2631240000001</v>
      </c>
      <c r="V220" s="3">
        <f>2686.7+(5-1111)+(-2.740434+(-0.0051--1.13322))+0--82.6-0.0842520000000132</f>
        <v>1661.6034339999997</v>
      </c>
      <c r="W220" s="3">
        <f>2705.1+(6-1007.1)+(0+(0-0))+0--82.9-0</f>
        <v>1786.9</v>
      </c>
      <c r="X220" s="3">
        <f>2726.1+(6-926.5)+(-4.170933+(-0.00918--1.417545))+0--83.5-0.127755000000005</f>
        <v>1886.2096769999998</v>
      </c>
      <c r="Y220" s="3">
        <f>2746.6+(6-998.8)+(-2.801532+(-0.00612--1.018776))+0--83.4-0.0850680000000133</f>
        <v>1835.3260559999999</v>
      </c>
      <c r="Z220" s="3">
        <f>2783.5+(6-1088.3)+(-2.83917+(-0.00612--1.110066))+0--83.7-0.0853740000000134</f>
        <v>1783.0794020000001</v>
      </c>
      <c r="AA220" s="3">
        <f>2712.4+(5-1033.6)+(-2.766648+(-0.0051--1.054272))+0--83.9-0.0855780000000134</f>
        <v>1765.8969460000003</v>
      </c>
      <c r="AB220" s="3">
        <f>2397.9+(5-838.4)+(0+(0-0))+0--84.5-0</f>
        <v>1649</v>
      </c>
      <c r="AC220" s="3">
        <f>2396.3+(7-845.2)+(-3.666339+(-0.01071--1.293156))+0--84.7-0.129591000000005</f>
        <v>1640.2865160000001</v>
      </c>
      <c r="AD220">
        <v>1908.8</v>
      </c>
      <c r="AE220" s="3">
        <f>2740+(20-935.5)+(0+(0-0))+0--84.3-0</f>
        <v>1908.8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2665.5+(53-875.9)+(-2.71881+(-0.05406--0.893418))+0--85.3-0.0870060000000136</f>
        <v>1925.933542</v>
      </c>
      <c r="G221" s="3">
        <f>2614.6+(23.7-870.8)+(-1.333446+(-0.012087--0.444108))+0--84.7-0.0431969999999914</f>
        <v>1851.2553780000001</v>
      </c>
      <c r="H221" s="3">
        <f>2463.1+(45-1015.2)+(3.768543+(0.06885-1.553256))+0--86.1--0.131733000000005</f>
        <v>1581.4158699999998</v>
      </c>
      <c r="I221" s="3">
        <f>2317.8+(55.4-989.2)+(-4.728312+(-0.113016--2.017968))+0--85.8-0.175031999999996</f>
        <v>1466.8016079999998</v>
      </c>
      <c r="J221" s="3">
        <f>2244.7+(56.9-957.6)+(2.289594+(0.058038-0.976752))+0--85.3--0.0870060000000136</f>
        <v>1430.7578859999996</v>
      </c>
      <c r="K221" s="3">
        <f>2255+(104.4-1021.7)+(-3.45015+(-0.159732--1.563201))+0--87-0.133110000000005</f>
        <v>1422.5202089999998</v>
      </c>
      <c r="L221" s="3">
        <f>2252.1+(148.3-1117.1)+(-2.297142+(-0.151266--1.139442))+0--86.2-0.0879240000000137</f>
        <v>1368.10311</v>
      </c>
      <c r="M221" s="3">
        <f>2364.3+(75.5-1069.7)+(1.205793+(0.038505-0.545547))+0--84.8--0.0432479999999914</f>
        <v>1455.6419989999999</v>
      </c>
      <c r="N221" s="3">
        <f>2549.7+(13-1085.7)+(3.901041+(0.01989-1.661121))+0--84.5--0.129285000000005</f>
        <v>1563.8890949999998</v>
      </c>
      <c r="O221" s="3">
        <f>2544.3+(10-992.6)+(1.297593+(0.0051-0.506226))+0--82--0.0418199999999917</f>
        <v>1644.5382870000001</v>
      </c>
      <c r="P221" s="3">
        <f>2480.9+(10-883.2)+(1.265259+(0.0051-0.450432))+0--80.8--0.0412079999999918</f>
        <v>1689.3611350000001</v>
      </c>
      <c r="Q221" s="3">
        <f>2535.7+(5-856.6)+(-6.466035+(-0.01275--2.18433))+0--80.1-0.204254999999988</f>
        <v>1759.70129</v>
      </c>
      <c r="R221" s="3">
        <f>2532.1+(8.6-920)+(-5.165484+(-0.017544--1.8768))+0--77.6-0.158303999999997</f>
        <v>1694.8354679999998</v>
      </c>
      <c r="S221" s="3">
        <f>2621.4+(8.6-1003.3)+(-6.68457+(-0.02193--2.558415))+0--77.8-0.198389999999989</f>
        <v>1700.1535250000002</v>
      </c>
      <c r="T221" s="3">
        <f>2644.1+(9.6-1029.7)+(-1.348491+(-0.004896--0.525147))+0--78-0.0397799999999921</f>
        <v>1701.1319799999999</v>
      </c>
      <c r="U221" s="3">
        <f>2648.6+(12.6-1057.8)+(-4.052358+(-0.019278--1.618434))+0--78.8-0.120564000000005</f>
        <v>1679.6262339999998</v>
      </c>
      <c r="V221" s="3">
        <f>2665.7+(13.6-1109.4)+(-1.359507+(-0.006936--0.565794))+0--79.5-0.0405449999999919</f>
        <v>1648.5588059999995</v>
      </c>
      <c r="W221" s="3">
        <f>2665.8+(13.6-1005)+(0+(0-0))+0--79.5-0</f>
        <v>1753.9</v>
      </c>
      <c r="X221" s="3">
        <f>2549.3+(14.6-772.4)+(-1.300143+(-0.007446--0.393924))+0--79.8-0.0406979999999919</f>
        <v>1870.3456370000001</v>
      </c>
      <c r="Y221" s="3">
        <f>2545.3+(13.6-811.4)+(1.298103+(0.006936-0.413814))+0--80.2--0.0409019999999919</f>
        <v>1828.6321270000003</v>
      </c>
      <c r="Z221" s="3">
        <f>2559.9+(13.6-872)+(-3.916647+(-0.020808--1.33416))+0--83-0.126990000000005</f>
        <v>1781.7697150000001</v>
      </c>
      <c r="AA221" s="3">
        <f>2673.5+(10.7-991.3)+(-1.363485+(-0.005457--0.505563))+0--83.2-0.0424319999999916</f>
        <v>1775.1941890000003</v>
      </c>
      <c r="AB221" s="3">
        <f>2709.6+(11.7-1062.2)+(-2.763792+(-0.011934--1.083444))+0--83.5-0.0851700000000133</f>
        <v>1740.8225479999999</v>
      </c>
      <c r="AC221" s="3">
        <f>2672.3+(15.7-1081.7)+(-2.725746+(-0.016014--1.103334))+0--84-0.0856800000000134</f>
        <v>1688.5758940000003</v>
      </c>
      <c r="AD221">
        <v>1854.3000000000002</v>
      </c>
      <c r="AE221" s="3">
        <f>2555+(15-795.1)+(0+(0-0))+0--79.4-0</f>
        <v>1854.3000000000002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2670.7+(32.6-1175.5)+(-2.724114+(-0.033252--1.19901))+0--83.8-0.0854760000000134</f>
        <v>1609.9561679999997</v>
      </c>
      <c r="G222" s="3">
        <f>2683.9+(42.9-1259.4)+(2.737578+(0.043758-1.284588))+0--84.2--0.0858840000000134</f>
        <v>1553.1826320000002</v>
      </c>
      <c r="H222" s="3">
        <f>2485.6+(57.1-1130.7)+(0+(0-0))+0--84.5-0</f>
        <v>1496.4999999999998</v>
      </c>
      <c r="I222" s="3">
        <f>2315.3+(107.1-1034)+(-2.361606+(-0.109242--1.05468))+0--84.3-0.0859860000000134</f>
        <v>1471.197846</v>
      </c>
      <c r="J222" s="3">
        <f>2304.4+(125.8-1088.6)+(7.051464+(0.384948-3.331116))+0--86.1--0.26346600000001</f>
        <v>1432.0687620000001</v>
      </c>
      <c r="K222" s="3">
        <f>2266.9+(164-1101.4)+(0+(0-0))+0--86.5-0</f>
        <v>1416</v>
      </c>
      <c r="L222" s="3">
        <f>2196.2+(221.6-1156.2)+(-1.120062+(-0.113016--0.589662))+0--86.9-0.0443189999999912</f>
        <v>1347.812265</v>
      </c>
      <c r="M222" s="3">
        <f>2148.7+(259.7-1117.5)+(-1.095837+(-0.132447--0.569925))+0--85.9-0.0438089999999913</f>
        <v>1376.0978319999999</v>
      </c>
      <c r="N222" s="3">
        <f>2257.9+(205.8-1102.1)+(3.454587+(0.314874-1.686213))+0--84.1--0.128673000000005</f>
        <v>1447.9119209999999</v>
      </c>
      <c r="O222" s="3">
        <f>2418.3+(163.7-1143.6)+(1.233333+(0.083487-0.583236))+0--82.9--0.0422789999999916</f>
        <v>1522.0758630000005</v>
      </c>
      <c r="P222" s="3">
        <f>2570.4+(98.3-1164.3)+(0+(0-0))+0--80.8-0</f>
        <v>1585.2</v>
      </c>
      <c r="Q222" s="3">
        <f>2666.5+(84.8-1140.5)+(-4.079745+(-0.129744--1.744965))+0--80.6-0.123318000000005</f>
        <v>1688.812158</v>
      </c>
      <c r="R222" s="3">
        <f>2261.7+(82.9-917.5)+(-2.306934+(-0.084558--0.93585))+0--80.5-0.0821100000000128</f>
        <v>1506.062248</v>
      </c>
      <c r="S222" s="3">
        <f>2201.7+(75.3-718.9)+(-4.491468+(-0.153612--1.466556))+0--80.8-0.164831999999996</f>
        <v>1635.556644</v>
      </c>
      <c r="T222" s="3">
        <f>2170.1+(87.9-697.3)+(-3.320253+(-0.134487--1.066869))+0--81-0.123930000000005</f>
        <v>1639.1881989999999</v>
      </c>
      <c r="U222" s="3">
        <f>2172.5+(138.5-764.3)+(0+(0-0))+0--81.5-0</f>
        <v>1628.2</v>
      </c>
      <c r="V222" s="3">
        <f>2181.9+(164.2-843.8)+(1.112769+(0.083742-0.430338))+0--82.1--0.0418709999999917</f>
        <v>1585.208044</v>
      </c>
      <c r="W222" s="3">
        <f>2297.6+(48.4-740.2)+(0+(0-0))+0--81.9-0</f>
        <v>1687.6999999999998</v>
      </c>
      <c r="X222" s="3">
        <f>2437.3+(13.5-731.3)+(-6.215115+(-0.034425--1.864815))+0--82.6-0.210629999999988</f>
        <v>1797.5046450000002</v>
      </c>
      <c r="Y222" s="3">
        <f>2417.7+(13.5-733.2)+(-6.165135+(-0.034425--1.86966))+0--82.1-0.209354999999988</f>
        <v>1775.5607449999998</v>
      </c>
      <c r="Z222" s="3">
        <f>2401.3+(17.6-735.6)+(-4.898652+(-0.035904--1.500624))+0--82.7-0.168707999999996</f>
        <v>1762.3973600000004</v>
      </c>
      <c r="AA222" s="3">
        <f>2294+(27.8-663.6)+(0+(0-0))+0--83.4-0</f>
        <v>1741.6</v>
      </c>
      <c r="AB222" s="3">
        <f>2294.3+(33.4-669.1)+(-4.680372+(-0.068136--1.364964))+0--84.2-0.171767999999996</f>
        <v>1739.2446880000002</v>
      </c>
      <c r="AC222" s="3">
        <f>2186+(64.6-658.1)+(-5.5743+(-0.16473--1.678155))+0--84-0.214199999999988</f>
        <v>1672.2249250000002</v>
      </c>
      <c r="AD222">
        <v>1795.7</v>
      </c>
      <c r="AE222" s="3">
        <f>2425+(14-726.3)+(0+(0-0))+0--83-0</f>
        <v>1795.7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2185.1+(36.7-668.8)+(-4.457604+(-0.074868--1.364352))+0--81.5-0.166259999999996</f>
        <v>1631.16562</v>
      </c>
      <c r="G223" s="3">
        <f>2185.7+(39.6-717.4)+(-1.114707+(-0.020196--0.365874))+0--83.6-0.0426359999999915</f>
        <v>1590.6883349999998</v>
      </c>
      <c r="H223" s="3">
        <f>2187.4+(49.8-758.8)+(1.115574+(0.025398-0.386988))+0--82.6--0.0421259999999916</f>
        <v>1561.79611</v>
      </c>
      <c r="I223" s="3">
        <f>2191.9+(63.5-891.9)+(-3.353607+(-0.097155--1.364607))+0--83.5-0.127755000000005</f>
        <v>1444.7860900000001</v>
      </c>
      <c r="J223" s="3">
        <f>1912.3+(107.2-670.2)+(-0.975273+(-0.054672--0.341802))+0--83.6-0.0426359999999915</f>
        <v>1432.1692209999999</v>
      </c>
      <c r="K223" s="3">
        <f>1908.7+(127.7-709.3)+(0+(0-0))+0--83.6-0</f>
        <v>1410.7</v>
      </c>
      <c r="L223" s="3">
        <f>1935.7+(123.6-772.9)+(0+(0-0))+0--87.1-0</f>
        <v>1373.5</v>
      </c>
      <c r="M223" s="3">
        <f>2091.1+(108.5-826.7)+(3.199383+(0.166005-1.264851))+0--90--0.137700000000005</f>
        <v>1465.1382369999999</v>
      </c>
      <c r="N223" s="3">
        <f>2312.5+(63.6-886.4)+(2.35875+(0.064872-0.904128))+0--88.2--0.0899640000000141</f>
        <v>1579.509458</v>
      </c>
      <c r="O223" s="3">
        <f>2403.2+(13-829.4)+(1.225632+(0.00663-0.422994))+0--81--0.0413099999999918</f>
        <v>1668.6505779999998</v>
      </c>
      <c r="P223" s="3">
        <f>2389.5+(12-778)+(2.43729+(0.01224-0.79356))+0--78.2--0.0797640000000125</f>
        <v>1703.4357340000001</v>
      </c>
      <c r="Q223" s="3">
        <f>2376.6+(7-760.7)+(1.212066+(0.00357-0.387957))+0--77.3--0.0394229999999922</f>
        <v>1701.0671019999997</v>
      </c>
      <c r="R223" s="3">
        <f>2527.2+(12.5-870.3)+(-3.866616+(-0.019125--1.331559))+0--77.3-0.118269000000004</f>
        <v>1744.0275489999997</v>
      </c>
      <c r="S223" s="3">
        <f>2518.8+(10.5-804.2)+(-1.284588+(-0.005355--0.410142))+0--78-0.0397799999999921</f>
        <v>1802.180419</v>
      </c>
      <c r="T223" s="3">
        <f>2480.9+(9.5-736.3)+(0+(0-0))+0--78.2-0</f>
        <v>1832.3000000000002</v>
      </c>
      <c r="U223" s="3">
        <f>2419.7+(73.7-794.8)+(-3.702141+(-0.112761--1.216044))+0--79-0.120870000000005</f>
        <v>1774.8802719999999</v>
      </c>
      <c r="V223" s="3">
        <f>2356.8+(148.4-857.5)+(3.605904+(0.227052-1.311975))+0--80--0.122400000000005</f>
        <v>1730.3433810000001</v>
      </c>
      <c r="W223" s="3">
        <f>2464+(106.3-797.6)+(2.51328+(0.108426-0.813552))+0--79.4--0.0809880000000127</f>
        <v>1853.9891419999999</v>
      </c>
      <c r="X223" s="3">
        <f>2571.4+(79.2-777.2)+(-3.934242+(-0.121176--1.189116))+0--79.4-0.121482000000005</f>
        <v>1949.8122160000003</v>
      </c>
      <c r="Y223" s="3">
        <f>2484.5+(99.3-752.6)+(-1.267095+(-0.050643--0.383826))+0--79.6-0.0405959999999919</f>
        <v>1909.8254919999997</v>
      </c>
      <c r="Z223" s="3">
        <f>2430+(108.8-768.1)+(-2.4786+(-0.110976--0.783462))+0--79.8-0.0813960000000127</f>
        <v>1848.6124899999998</v>
      </c>
      <c r="AA223" s="3">
        <f>2441.4+(118.5-818.6)+(-3.735342+(-0.181305--1.252458))+0--82.6-0.126378000000005</f>
        <v>1821.1094330000001</v>
      </c>
      <c r="AB223" s="3">
        <f>2408.6+(131.4-841.4)+(-4.913544+(-0.268056--1.716456))+0--83.5-0.170339999999996</f>
        <v>1778.464516</v>
      </c>
      <c r="AC223" s="3">
        <f>2333.2+(160.2-864.9)+(-3.569796+(-0.245106--1.323297))+0--83.4-0.127602000000005</f>
        <v>1709.2807929999999</v>
      </c>
      <c r="AD223">
        <v>1957</v>
      </c>
      <c r="AE223" s="3">
        <f>2541+(79-744.4)+(0+(0-0))+0--81.4-0</f>
        <v>1957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2379.7+(166.1-1001.7)+(-1.213647+(-0.084711--0.510867))+0--87.5-0.0446249999999911</f>
        <v>1630.7678839999999</v>
      </c>
      <c r="G224" s="3">
        <f>2365.8+(175.6-1055.9)+(-3.619674+(-0.268668--1.615527))+0--88.5-0.135405000000005</f>
        <v>1571.59178</v>
      </c>
      <c r="H224" s="3">
        <f>2158.1+(182.2-919.2)+(2.201262+(0.185844-0.937584))+0--88.6--0.0903720000000141</f>
        <v>1511.2398939999998</v>
      </c>
      <c r="I224" s="3">
        <f>2155.4+(170.9-950.6)+(2.198508+(0.174318-0.969612))+0--89.5--0.0912900000000143</f>
        <v>1466.6945040000001</v>
      </c>
      <c r="J224" s="3">
        <f>2086.6+(183.6-913.2)+(1.064166+(0.093636-0.465732))+0--89.5--0.0456449999999909</f>
        <v>1447.237715</v>
      </c>
      <c r="K224" s="3">
        <f>2111.7+(194.8-976.2)+(0+(0-0))+0--90.5-0</f>
        <v>1420.7999999999997</v>
      </c>
      <c r="L224" s="3">
        <f>2148.6+(207-1058.4)+(0+(0-0))+0--95.6-0</f>
        <v>1392.7999999999997</v>
      </c>
      <c r="M224" s="3">
        <f>2221.4+(218.2-1050.2)+(4.531656+(0.445128-2.142408))+0--95.6--0.195023999999996</f>
        <v>1488.0294000000001</v>
      </c>
      <c r="N224" s="3">
        <f>2415.9+(204.3-1111.5)+(1.232109+(0.104193-0.566865))+0--93.3--0.0475829999999905</f>
        <v>1602.81702</v>
      </c>
      <c r="O224" s="3">
        <f>2449.7+(188-1065.7)+(-1.249347+(-0.09588--0.543507))+0.4--83.3-0.0424829999999915</f>
        <v>1654.8557969999999</v>
      </c>
      <c r="P224" s="3">
        <f>2459.3+(144.7-1000.8)+(2.508486+(0.147594-1.020816))+0.5--81.5--0.083130000000013</f>
        <v>1686.9183940000003</v>
      </c>
      <c r="Q224" s="3">
        <f>2481.1+(75.3-899.7)+(0+(0-0))+0--80.8-0</f>
        <v>1737.4999999999998</v>
      </c>
      <c r="R224" s="3">
        <f>2482+(50.8-920.1)+(-6.3291+(-0.12954--2.346255))+0--80.4-0.205019999999988</f>
        <v>1688.7825950000001</v>
      </c>
      <c r="S224" s="3">
        <f>2481.2+(44-893.8)+(0+(0-0))+0--95.5-0</f>
        <v>1726.8999999999999</v>
      </c>
      <c r="T224" s="3">
        <f>2479+(21-860.1)+(1.26429+(0.01071-0.438651))+0--78.5--0.040034999999992</f>
        <v>1719.276384</v>
      </c>
      <c r="U224" s="3">
        <f>2484.3+(47.9-916.5)+(-2.533986+(-0.048858--0.93483))+0--78.8-0.0803760000000126</f>
        <v>1692.77161</v>
      </c>
      <c r="V224" s="3">
        <f>2491.2+(15.6-917.6)+(3.811536+(0.023868-1.403928))+0--80--0.122400000000005</f>
        <v>1671.7538759999998</v>
      </c>
      <c r="W224" s="3">
        <f>2503+(11-782.8)+(2.55306+(0.01122-0.798456))+0--79.9--0.0814980000000127</f>
        <v>1812.9473220000002</v>
      </c>
      <c r="X224" s="3">
        <f>2524.3+(11-707.2)+(-3.862179+(-0.01683--1.082016))+0--80.2-0.122706000000005</f>
        <v>1905.3803010000001</v>
      </c>
      <c r="Y224" s="3">
        <f>2534.6+(11-757.4)+(-5.170584+(-0.02244--1.545096))+0--80.4-0.164015999999996</f>
        <v>1864.7880559999999</v>
      </c>
      <c r="Z224" s="3">
        <f>2541.5+(11-812.3)+(-3.888495+(-0.01683--1.242819))+0--80.9-0.123777000000005</f>
        <v>1818.3137170000002</v>
      </c>
      <c r="AA224" s="3">
        <f>2547.8+(30-856.8)+(-5.197512+(-0.0612--1.747872))+0--81.7-0.166667999999996</f>
        <v>1799.0224920000003</v>
      </c>
      <c r="AB224" s="3">
        <f>2525.6+(42-875.3)+(-6.44028+(-0.1071--2.232015))+0--82.1-0.209354999999988</f>
        <v>1769.87528</v>
      </c>
      <c r="AC224" s="3">
        <f>2198.4+(100-675.1)+(-3.363552+(-0.153--1.032903))+0--81.9-0.125307000000005</f>
        <v>1702.5910440000002</v>
      </c>
      <c r="AD224">
        <v>1915.8000000000002</v>
      </c>
      <c r="AE224" s="3">
        <f>2512+(6-681.6)+(0+(0-0))+0--79.4-0</f>
        <v>1915.8000000000002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1914.4+(141.4-504.3)+(-5.858064+(-0.432684--1.543158))+0--83.8-0.25642800000001</f>
        <v>1630.2959820000001</v>
      </c>
      <c r="G225" s="3">
        <f>1753.2+(118.3-397)+(-2.682396+(-0.180999--0.60741))+0--84.3-0.128979000000005</f>
        <v>1556.4150359999999</v>
      </c>
      <c r="H225" s="3">
        <f>1642.1+(156.9-373.1)+(-2.512413+(-0.240057--0.570843))+0--83.3-0.127449000000005</f>
        <v>1506.8909239999998</v>
      </c>
      <c r="I225" s="3">
        <f>1621.8+(170.2-396.4)+(-1.654236+(-0.173604--0.404328))+0--82.7-0.0843540000000132</f>
        <v>1476.7921339999998</v>
      </c>
      <c r="J225" s="3">
        <f>1633.2+(185.8-441.9)+(4.16466+(0.47379-1.126845))+0--84.1--0.214454999999988</f>
        <v>1464.92606</v>
      </c>
      <c r="K225" s="3">
        <f>1722.4+(189.2-554.2)+(0.878424+(0.096492-0.282642))+0--84--0.0428399999999915</f>
        <v>1442.1351140000002</v>
      </c>
      <c r="L225" s="3">
        <f>1770.4+(202.4-667.4)+(-0.902904+(-0.103224--0.340374))+0--85.6-0.0436559999999913</f>
        <v>1390.2905899999998</v>
      </c>
      <c r="M225" s="3">
        <f>1781.1+(190.9-590.8)+(1.816722+(0.194718-0.602616))+0--85.1--0.0868020000000136</f>
        <v>1467.7956259999999</v>
      </c>
      <c r="N225" s="3">
        <f>2004.6+(193.2-713.4)+(1.022346+(0.098532-0.363834))+0--82.4--0.0420239999999916</f>
        <v>1567.599068</v>
      </c>
      <c r="O225" s="3">
        <f>2007.2+(175.9-636.6)+(3.071016+(0.269127-0.973998))+0--81.5--0.124695000000005</f>
        <v>1630.4908399999999</v>
      </c>
      <c r="P225" s="3">
        <f>2028+(175-565.2)+(3.10284+(0.26775-0.864756))+0--90.8--0.138924000000005</f>
        <v>1731.244758</v>
      </c>
      <c r="Q225" s="3">
        <f>1978+(145.8-568.1)+(-5.0439+(-0.37179--1.448655))+0--91.1-0.232304999999987</f>
        <v>1642.6006600000001</v>
      </c>
      <c r="R225" s="3">
        <f>2010.2+(143.4-557.1)+(-4.100808+(-0.292536--1.136484))+0--80.9-0.165035999999996</f>
        <v>1673.978104</v>
      </c>
      <c r="S225" s="3">
        <f>2000.1+(150.7-522.7)+(-4.080204+(-0.307428--1.066308))+0--78.7-0.160547999999997</f>
        <v>1703.3181279999999</v>
      </c>
      <c r="T225" s="3">
        <f>2003.7+(138.5-509.3)+(1.021887+(0.070635-0.259743))+0--79--0.040289999999992</f>
        <v>1712.7730690000001</v>
      </c>
      <c r="U225" s="3">
        <f>2009.4+(117.3-504.4)+(-6.148764+(-0.358938--1.543464))+0--80.4-0.246024000000009</f>
        <v>1697.4897380000002</v>
      </c>
      <c r="V225" s="3">
        <f>1975.9+(129-515.3)+(3.023127+(0.19737-0.788409))+0--86.3--0.132039000000005</f>
        <v>1678.4641270000002</v>
      </c>
      <c r="W225" s="3">
        <f>2022.1+(112.9-419.3)+(4.125084+(0.230316-0.855372))+0--83.8--0.170951999999996</f>
        <v>1803.1709799999996</v>
      </c>
      <c r="X225" s="3">
        <f>2081.6+(176.2-459.9)+(-5.30808+(-0.44931--1.172745))+0--79.9-0.203744999999988</f>
        <v>1873.01161</v>
      </c>
      <c r="Y225" s="3">
        <f>2148.8+(155.4-554.8)+(-5.47944+(-0.39627--1.41474))+0--80.1-0.204254999999988</f>
        <v>1824.834775</v>
      </c>
      <c r="Z225" s="3">
        <f>2143.3+(171.5-612)+(-4.372332+(-0.34986--1.24848))+0--80.7-0.164627999999996</f>
        <v>1779.8616600000003</v>
      </c>
      <c r="AA225" s="3">
        <f>2189.3+(173.5-681.6)+(-5.582715+(-0.442425--1.73808))+0--80.8-0.206039999999988</f>
        <v>1757.5069000000001</v>
      </c>
      <c r="AB225" s="3">
        <f>2303.1+(76.3-751.5)+(2.349162+(0.077826-0.76653))+0--81--0.0826200000000129</f>
        <v>1710.6430779999998</v>
      </c>
      <c r="AC225" s="3">
        <f>2158.8+(43.9-650.4)+(-4.403952+(-0.089556--1.326816))+0--81.3-0.165851999999996</f>
        <v>1630.267456</v>
      </c>
      <c r="AD225">
        <v>1878</v>
      </c>
      <c r="AE225" s="3">
        <f>2090+(144.5-439.8)+(0+(0-0))+0--83.3-0</f>
        <v>1878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2089.8+(56.3-686.3)+(-4.263192+(-0.114852--1.400052))+0--85.6-0.174623999999996</f>
        <v>1542.247384</v>
      </c>
      <c r="G226" s="3">
        <f>2001.6+(99.5-708.9)+(-4.083264+(-0.20298--1.446156))+0--86.6-0.176663999999996</f>
        <v>1475.7832479999997</v>
      </c>
      <c r="H226" s="3">
        <f>1912.8+(125.4-699.5)+(0+(0-0))+0--86.7-0</f>
        <v>1425.3999999999999</v>
      </c>
      <c r="I226" s="3">
        <f>1849+(161.6-700.1)+(-3.77196+(-0.329664--1.428204))+0--85.6-0.174623999999996</f>
        <v>1393.2519559999998</v>
      </c>
      <c r="J226" s="3">
        <f>1805.3+(186.7-695.7)+(2.762109+(0.285651-1.064421))+0--86.9--0.132957000000005</f>
        <v>1385.316296</v>
      </c>
      <c r="K226" s="3">
        <f>1801.7+(212.9-712.9)+(0.918867+(0.108579-0.363579))+0--88--0.0448799999999911</f>
        <v>1390.4087469999999</v>
      </c>
      <c r="L226" s="3">
        <f>1800.1+(242.4-760.1)+(-1.836102+(-0.247248--0.775302))+0--89.4-0.0911880000000143</f>
        <v>1370.4007639999998</v>
      </c>
      <c r="M226" s="3">
        <f>1867.2+(224-729)+(1.904544+(0.22848-0.74358))+0--88.6--0.0903720000000141</f>
        <v>1452.279816</v>
      </c>
      <c r="N226" s="3">
        <f>2071.3+(179.4-806)+(2.112726+(0.182988-0.82212))+0--93.7--0.0955740000000149</f>
        <v>1539.9691680000003</v>
      </c>
      <c r="O226" s="3">
        <f>2101.4+(156.6-725.8)+(3.215142+(0.239598-1.110474))+0--85.6--0.130968000000005</f>
        <v>1620.2752340000002</v>
      </c>
      <c r="P226" s="3">
        <f>2074.3+(128.9-614)+(-5.289465+(-0.328695--1.5657))+0--79.1-0.201704999999989</f>
        <v>1664.0458350000001</v>
      </c>
      <c r="Q226" s="3">
        <f>2100.1+(83.3-578.8)+(-3.213153+(-0.127449--0.885564))+0--78.2-0.119646000000005</f>
        <v>1680.2253159999998</v>
      </c>
      <c r="R226" s="3">
        <f>2088.1+(29.8-566.1)+(-4.259724+(-0.060792--1.154844))+0--76.3-0.155651999999997</f>
        <v>1624.7786759999997</v>
      </c>
      <c r="S226" s="3">
        <f>2083.3+(17.8-516.7)+(2.124966+(0.018156-0.527034))+0--76.8--0.0783360000000122</f>
        <v>1662.8944240000001</v>
      </c>
      <c r="T226" s="3">
        <f>2090.3+(37.1-530.1)+(-3.198159+(-0.056763--0.811053))+0--77.1-0.117963000000004</f>
        <v>1671.8381680000002</v>
      </c>
      <c r="U226" s="3">
        <f>2116.7+(57.9-597.6)+(-3.238551+(-0.088587--0.914328))+0--77.1-0.117963000000004</f>
        <v>1651.5692269999997</v>
      </c>
      <c r="V226" s="3">
        <f>2150.5+(78.7-682.9)+(1.096755+(0.040137-0.348279))+0--77.4--0.0394739999999922</f>
        <v>1624.5280870000001</v>
      </c>
      <c r="W226" s="3">
        <f>2150+(48.3-522.6)+(1.0965+(0.024633-0.266526))+0--80.3--0.0409529999999919</f>
        <v>1756.8955599999999</v>
      </c>
      <c r="X226" s="3">
        <f>2156.9+(68.3-480.2)+(-3.300057+(-0.104499--0.734706))+0--81-0.123930000000005</f>
        <v>1823.20622</v>
      </c>
      <c r="Y226" s="3">
        <f>2167.9+(55-528.9)+(-5.528145+(-0.14025--1.348695))+0--80.9-0.206294999999988</f>
        <v>1770.3740050000001</v>
      </c>
      <c r="Z226" s="3">
        <f>2171.3+(47.9-575.5)+(-1.107363+(-0.024429--0.293505))+0--80.6-0.0411059999999918</f>
        <v>1723.4206070000002</v>
      </c>
      <c r="AA226" s="3">
        <f>2071.7+(48.2-487.2)+(-3.169701+(-0.073746--0.745416))+0--80.7-0.123471000000005</f>
        <v>1710.7784979999997</v>
      </c>
      <c r="AB226" s="3">
        <f>1999.8+(61.7-471.2)+(-3.059694+(-0.094401--0.720936))+0--80.9-0.123777000000005</f>
        <v>1668.6430640000001</v>
      </c>
      <c r="AC226" s="3">
        <f>1870.2+(89-441.6)+(-4.76901+(-0.22695--1.12608))+0--82.1-0.209354999999988</f>
        <v>1595.6207649999999</v>
      </c>
      <c r="AD226">
        <v>1876.0000000000002</v>
      </c>
      <c r="AE226" s="3">
        <f>2153+(115.3-475.6)+(0+(0-0))+0--83.3-0</f>
        <v>1876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1747.7+(92.8-402.7)+(-1.782654+(-0.094656--0.410754))+0--84-0.0856800000000134</f>
        <v>1520.2477640000002</v>
      </c>
      <c r="G227" s="3">
        <f>1580.5+(92.7-308.4)+(-0.806055+(-0.047277--0.157284))+0--83.6-0.0426359999999915</f>
        <v>1447.6613159999999</v>
      </c>
      <c r="H227" s="3">
        <f>1529.8+(93.6-316.6)+(-0.780198+(-0.047736--0.161466))+0--84.1-0.0428909999999915</f>
        <v>1390.1906409999999</v>
      </c>
      <c r="I227" s="3">
        <f>1419.8+(123.3-261.8)+(-0.724098+(-0.062883--0.133518))+0--84-0.0428399999999915</f>
        <v>1364.6036969999998</v>
      </c>
      <c r="J227" s="3">
        <f>1423.2+(129.9-287.5)+(-0.725832+(-0.066249--0.146625))+0--83.7-0.0426869999999915</f>
        <v>1348.6118570000003</v>
      </c>
      <c r="K227" s="3">
        <f>1421.7+(152.9-311.9)+(1.450134+(0.155958-0.318138))+0--83.7--0.0853740000000134</f>
        <v>1347.773328</v>
      </c>
      <c r="L227" s="3">
        <f>1484.1+(203.5-412.5)+(0.756891+(0.103785-0.210375))+0--85.4--0.0435539999999913</f>
        <v>1361.193855</v>
      </c>
      <c r="M227" s="3">
        <f>1681.4+(179-499.2)+(2.572542+(0.27387-0.763776))+0--88.7--0.135711000000005</f>
        <v>1452.1183470000001</v>
      </c>
      <c r="N227" s="3">
        <f>1793.1+(157.5-493.6)+(0+(0-0))+0--85.9-0</f>
        <v>1542.9</v>
      </c>
      <c r="O227" s="3">
        <f>1819.2+(89.8-378.4)+(0+(0-0))+0--82.2-0</f>
        <v>1612.8000000000002</v>
      </c>
      <c r="P227" s="3">
        <f>1815.1+(108.8-398.1)+(0+(0-0))+0--81.4-0</f>
        <v>1607.2</v>
      </c>
      <c r="Q227" s="3">
        <f>1841.2+(137.1-389.8)+(0+(0-0))+0--82.4-0</f>
        <v>1670.9</v>
      </c>
      <c r="R227" s="3">
        <f>1695.8+(131.1-292.9)+(-1.729716+(-0.133722--0.298758))+0--77.1-0.0786420000000123</f>
        <v>1609.456678</v>
      </c>
      <c r="S227" s="3">
        <f>1565+(237.4-266.9)+(-0.79815+(-0.121074--0.136119))+0--78.6-0.040085999999992</f>
        <v>1613.276809</v>
      </c>
      <c r="T227" s="3">
        <f>1571.1+(233.5-260.8)+(-0.801261+(-0.119085--0.133008))+0--79.1-0.040340999999992</f>
        <v>1622.0723209999999</v>
      </c>
      <c r="U227" s="3">
        <f>1580.6+(183.6-234.2)+(-2.418318+(-0.280908--0.358326))+0--78.8-0.120564000000005</f>
        <v>1606.338536</v>
      </c>
      <c r="V227" s="3">
        <f>1589.3+(158.1-232.8)+(-0.810543+(-0.080631--0.118728))+0--79.3-0.040442999999992</f>
        <v>1593.0871109999998</v>
      </c>
      <c r="W227" s="3">
        <f>1800.1+(138.1-291.3)+(0+(0-0))+0--78.8-0</f>
        <v>1725.6999999999998</v>
      </c>
      <c r="X227" s="3">
        <f>2037.1+(131.7-416.8)+(-4.155684+(-0.268668--0.850272))+0--79-0.161159999999997</f>
        <v>1827.2647599999998</v>
      </c>
      <c r="Y227" s="3">
        <f>2042.8+(113.8-475.1)+(-2.083656+(-0.116076--0.484602))+0--78.9-0.0804780000000126</f>
        <v>1758.604392</v>
      </c>
      <c r="Z227" s="3">
        <f>1936.3+(121.9-394.1)+(0+(0-0))+0--79.9-0</f>
        <v>1744</v>
      </c>
      <c r="AA227" s="3">
        <f>1846.3+(140-372.1)+(-2.824839+(-0.2142--0.569313))+0--80.8-0.123624000000005</f>
        <v>1692.4066499999997</v>
      </c>
      <c r="AB227" s="3">
        <f>1803.6+(126.2-371.8)+(-2.759508+(-0.193086--0.568854))+0--81.7-0.125001000000005</f>
        <v>1637.1912589999999</v>
      </c>
      <c r="AC227" s="3">
        <f>1698.6+(146-354.8)+(-2.598858+(-0.22338--0.542844))+0--81.7-0.125001000000005</f>
        <v>1569.095605</v>
      </c>
      <c r="AD227">
        <v>1816.6</v>
      </c>
      <c r="AE227" s="3">
        <f>1997+(124.1-382.3)+(0+(0-0))+0--77.8-0</f>
        <v>1816.6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1579.3+(146.5-379.3)+(0+(0-0))+0--81.8-0</f>
        <v>1428.3</v>
      </c>
      <c r="G228" s="3">
        <f>1385.4+(171.6-272.7)+(-1.413108+(-0.175032--0.278154))+0--82.3-0.0839460000000131</f>
        <v>1365.2060680000002</v>
      </c>
      <c r="H228" s="3">
        <f>1303.5+(174.2-239.4)+(-3.323925+(-0.44421--0.61047))+0--82.2-0.209609999999988</f>
        <v>1317.1327250000002</v>
      </c>
      <c r="I228" s="3">
        <f>1305.7+(159.2-254.7)+(0+(0-0))+0--82.9-0</f>
        <v>1293.1000000000001</v>
      </c>
      <c r="J228" s="3">
        <f>1245.6+(183.3-226.6)+(0+(0-0))+0--82.6-0</f>
        <v>1284.8999999999999</v>
      </c>
      <c r="K228" s="3">
        <f>1204.8+(238.9-228.3)+(0.614448+(0.121839-0.116433))+0--83.2--0.0424319999999916</f>
        <v>1299.2622859999999</v>
      </c>
      <c r="L228" s="3">
        <f>1191.2+(275.8-259.2)+(-1.822536+(-0.421974--0.396576))+0--83.8-0.128214000000005</f>
        <v>1289.6238520000002</v>
      </c>
      <c r="M228" s="3">
        <f>1225.2+(287.2-217.1)+(-0.624852+(-0.146472--0.110721))+0--83.5-0.0425849999999915</f>
        <v>1378.096812</v>
      </c>
      <c r="N228" s="3">
        <f>1327.5+(291-222.2)+(0.677025+(0.14841-0.113322))+0--82.6--0.0421259999999916</f>
        <v>1479.654239</v>
      </c>
      <c r="O228" s="3">
        <f>1411.5+(286.3-222.7)+(0.719865+(0.146013-0.113577))+0--82.5--0.0420749999999916</f>
        <v>1558.394376</v>
      </c>
      <c r="P228" s="3">
        <f>1453.3+(282.7-217.8)+(0.741183+(0.144177-0.111078))+0--82.6--0.0421259999999916</f>
        <v>1601.6164079999999</v>
      </c>
      <c r="Q228" s="3">
        <f>1566.5+(187.8-247.8)+(0+(0-0))+0--82.8-0</f>
        <v>1589.3</v>
      </c>
      <c r="R228" s="3">
        <f>1429.1+(249-232.9)+(-0.728841+(-0.12699--0.118779))+0--82.7-0.0421769999999916</f>
        <v>1527.1207709999999</v>
      </c>
      <c r="S228" s="3">
        <f>1414.6+(249.4-239.1)+(-2.164338+(-0.381582--0.365823))+0--82.6-0.126378000000005</f>
        <v>1505.1935249999999</v>
      </c>
      <c r="T228" s="3">
        <f>1419.8+(225.4-224.5)+(1.448196+(0.229908-0.22899))+0--82.6--0.0842520000000132</f>
        <v>1504.8333660000001</v>
      </c>
      <c r="U228" s="3">
        <f>1418.4+(199.7-208.5)+(-1.446768+(-0.203694--0.21267))+0--82.7-0.0843540000000132</f>
        <v>1490.7778540000002</v>
      </c>
      <c r="V228" s="3">
        <f>1427.7+(174.7-200.8)+(0+(0-0))+0--82.8-0</f>
        <v>1484.3999999999999</v>
      </c>
      <c r="W228" s="3">
        <f>1466.7+(294.8-216.2)+(1.496034+(0.300696-0.220524))+0--82.5--0.0841500000000132</f>
        <v>1629.460356</v>
      </c>
      <c r="X228" s="3">
        <f>1486.2+(365-188.4)+(0+(0-0))+0--83.1-0</f>
        <v>1745.8999999999999</v>
      </c>
      <c r="Y228" s="3">
        <f>1478.5+(320.9-188.3)+(-4.52421+(-0.981954--0.576198))+0--83.2-0.25459200000001</f>
        <v>1689.115442</v>
      </c>
      <c r="Z228" s="3">
        <f>1396.6+(325.9-183.4)+(-1.424532+(-0.332418--0.187068))+0--83.5-0.0851700000000133</f>
        <v>1620.9449479999998</v>
      </c>
      <c r="AA228" s="3">
        <f>1301.4+(386.4-188.2)+(-1.991142+(-0.591192--0.287946))+0--84.1-0.128673000000005</f>
        <v>1581.2769390000001</v>
      </c>
      <c r="AB228" s="3">
        <f>1221+(375.8-178.9)+(-1.86813+(-0.574974--0.273717))+0--84.4-0.129132000000005</f>
        <v>1500.0014810000002</v>
      </c>
      <c r="AC228" s="3">
        <f>1181+(325.6-212.2)+(-3.01155+(-0.83028--0.54111))+0--84.9-0.216494999999988</f>
        <v>1375.7827850000003</v>
      </c>
      <c r="AD228">
        <v>1713.6000000000001</v>
      </c>
      <c r="AE228" s="3">
        <f>1479+(369.9-218.6)+(0+(0-0))+0--83.3-0</f>
        <v>1713.6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1182.5+(214.9-183.8)+(0+(0-0))+0--85.2-0</f>
        <v>1298.8</v>
      </c>
      <c r="G229" s="3">
        <f>1144.6+(193.9-183.2)+(-0.583746+(-0.098889--0.093432))+0--85.3-0.0435029999999913</f>
        <v>1239.9672939999998</v>
      </c>
      <c r="H229" s="3">
        <f>1107.2+(209.6-195)+(0+(0-0))+0--85.6-0</f>
        <v>1207.3999999999999</v>
      </c>
      <c r="I229" s="3">
        <f>1051.4+(260.2-203.3)+(0+(0-0))+0--85.9-0</f>
        <v>1194.2000000000003</v>
      </c>
      <c r="J229" s="3">
        <f>1045.8+(273.1-200.7)+(0.533358+(0.139281-0.102357))+0--86.8--0.0442679999999912</f>
        <v>1205.61455</v>
      </c>
      <c r="K229" s="3">
        <f>1047.8+(296.9-218.3)+(-1.068756+(-0.302838--0.222666))+0--87.4-0.0891480000000139</f>
        <v>1212.5619239999999</v>
      </c>
      <c r="L229" s="3">
        <f>1047.3+(324-251.7)+(-1.602369+(-0.49572--0.385101))+0--88.2-0.134946000000005</f>
        <v>1205.9520660000001</v>
      </c>
      <c r="M229" s="3">
        <f>1068.2+(292.8-191)+(-0.544782+(-0.149328--0.09741))+0--86.5-0.0441149999999912</f>
        <v>1255.859185</v>
      </c>
      <c r="N229" s="3">
        <f>1051.8+(355.8-130.1)+(0.536418+(0.181458-0.066351))+0--85.5--0.0436049999999913</f>
        <v>1363.6951300000001</v>
      </c>
      <c r="O229" s="3">
        <f>1095.9+(370.9-143.4)+(0+(0-0))+0--83.1-0</f>
        <v>1406.5</v>
      </c>
      <c r="P229" s="3">
        <f>1233.4+(349.4-170.1)+(-1.258068+(-0.356388--0.173502))+0--80.7-0.0823140000000129</f>
        <v>1491.8767320000002</v>
      </c>
      <c r="Q229" s="3">
        <f>1187+(385.5-140.4)+(-1.81611+(-0.589815--0.214812))+0--79.5-0.121635000000005</f>
        <v>1509.2872519999999</v>
      </c>
      <c r="R229" s="3">
        <f>1100.2+(411.9-173.5)+(-1.683306+(-0.630207--0.265455))+0--79.1-0.121023000000005</f>
        <v>1415.5309189999998</v>
      </c>
      <c r="S229" s="3">
        <f>1090.2+(413.1-179.5)+(-1.668006+(-0.632043--0.274635))+0--78.6-0.120258000000005</f>
        <v>1400.2543280000002</v>
      </c>
      <c r="T229" s="3">
        <f>1100+(390.5-179.1)+(-1.122+(-0.39831--0.182682))+0--79.9-0.0814980000000127</f>
        <v>1389.8808740000002</v>
      </c>
      <c r="U229" s="3">
        <f>1125.6+(345.5-169.4)+(-0.574056+(-0.176205--0.086394))+0--81-0.0413099999999918</f>
        <v>1381.9948229999998</v>
      </c>
      <c r="V229" s="3">
        <f>1106.7+(360-148.6)+(1.693251+(0.5508-0.227358))+0--81.2--0.124236000000005</f>
        <v>1401.4409290000003</v>
      </c>
      <c r="W229" s="3">
        <f>1277.2+(383.1-192.2)+(1.954116+(0.586143-0.294066))+0--80.4--0.123012000000005</f>
        <v>1550.8692050000002</v>
      </c>
      <c r="X229" s="3">
        <f>1432+(368.4-239.3)+(0.73032+(0.187884-0.122043))+0--80.4--0.0410039999999918</f>
        <v>1642.3371649999999</v>
      </c>
      <c r="Y229" s="3">
        <f>1458.7+(316.8-254.7)+(0+(0-0))+0--81.3-0</f>
        <v>1602.1000000000001</v>
      </c>
      <c r="Z229" s="3">
        <f>1498.1+(240.3-269.2)+(1.528062+(0.245106-0.274584))+0--81.1--0.0827220000000129</f>
        <v>1551.8813059999998</v>
      </c>
      <c r="AA229" s="3">
        <f>1508.7+(200.4-277.3)+(0+(0-0))+0--81.8-0</f>
        <v>1513.6</v>
      </c>
      <c r="AB229" s="3">
        <f>1502.4+(162.7-281.7)+(-1.532448+(-0.165954--0.287334))+0--82.3-0.0839460000000131</f>
        <v>1464.2049860000002</v>
      </c>
      <c r="AC229" s="3">
        <f>1477.4+(136.3-312.3)+(-2.260422+(-0.208539--0.477819))+0--82.5-0.126225000000005</f>
        <v>1381.782633</v>
      </c>
      <c r="AD229">
        <v>1657.6</v>
      </c>
      <c r="AE229" s="3">
        <f>1423+(382.6-228.9)+(0+(0-0))+0--80.9-0</f>
        <v>1657.6000000000001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1485.2+(83.5-340.2)+(0+(0-0))+0--82.7-0</f>
        <v>1311.2</v>
      </c>
      <c r="G230" s="3">
        <f>1487.4+(51.8-381.2)+(1.517148+(0.052836-0.388824))+0--82.5--0.0841500000000132</f>
        <v>1241.76531</v>
      </c>
      <c r="H230" s="3">
        <f>1305.2+(87-247.3)+(0+(0-0))+0--81.9-0</f>
        <v>1226.8000000000002</v>
      </c>
      <c r="I230" s="3">
        <f>1328.5+(68.5-273.3)+(-1.35507+(-0.06987--0.278766))+0--81.6-0.083232000000013</f>
        <v>1204.070594</v>
      </c>
      <c r="J230" s="3">
        <f>1337.3+(43.5-261.2)+(0+(0-0))+0--82-0</f>
        <v>1201.5999999999999</v>
      </c>
      <c r="K230" s="3">
        <f>1381.4+(44.9-298.4)+(0.704514+(0.022899-0.152184))+0--84.3--0.0429929999999914</f>
        <v>1212.8182220000001</v>
      </c>
      <c r="L230" s="3">
        <f>1416.4+(81.1-325.5)+(-1.444728+(-0.082722--0.33201))+0--84.1-0.0857820000000134</f>
        <v>1254.8187779999998</v>
      </c>
      <c r="M230" s="3">
        <f>1460.1+(101.8-306.7)+(0.744651+(0.051918-0.156417))+0--83.8--0.0427379999999915</f>
        <v>1339.6828899999998</v>
      </c>
      <c r="N230" s="3">
        <f>1545+(83-252.8)+(2.36385+(0.12699-0.386784))+0--84.1--0.128673000000005</f>
        <v>1461.5327289999998</v>
      </c>
      <c r="O230" s="3">
        <f>1548.4+(142.9-235.5)+(-0.789684+(-0.072879--0.120105))+0--83.7-0.0426869999999915</f>
        <v>1538.7148550000004</v>
      </c>
      <c r="P230" s="3">
        <f>1544.1+(180.5-241.8)+(2.362473+(0.276165-0.369954))+0--82.4--0.126072000000005</f>
        <v>1567.594756</v>
      </c>
      <c r="Q230" s="3">
        <f>1582.1+(198.4-271.7)+(0+(0-0))+0--81.7-0</f>
        <v>1590.5</v>
      </c>
      <c r="R230" s="3">
        <f>1574.9+(163.6-276)+(0.803199+(0.083436-0.14076))+0--80.4--0.0410039999999918</f>
        <v>1543.6868790000001</v>
      </c>
      <c r="S230" s="3">
        <f>1569.2+(170.6-266.9)+(1.600584+(0.174012-0.272238))+0--80.8--0.0824160000000129</f>
        <v>1555.284774</v>
      </c>
      <c r="T230" s="3">
        <f>1568.1+(171.6-258.1)+(1.599462+(0.175032-0.263262))+0--80.6--0.0822120000000128</f>
        <v>1563.7934439999999</v>
      </c>
      <c r="U230" s="3">
        <f>1569.5+(169.6-266.8)+(-0.800445+(-0.086496--0.136068))+0--81.5-0.0415649999999917</f>
        <v>1553.007562</v>
      </c>
      <c r="V230" s="3">
        <f>1584.9+(145.3-265.5)+(0+(0-0))+0--81.3-0</f>
        <v>1546</v>
      </c>
      <c r="W230" s="3">
        <f>1607.7+(318.2-304)+(1.639854+(0.324564-0.31008))+0--81.5--0.083130000000013</f>
        <v>1705.1374680000001</v>
      </c>
      <c r="X230" s="3">
        <f>1622.2+(368.7-306.7)+(0+(0-0))+0--81.6-0</f>
        <v>1765.8</v>
      </c>
      <c r="Y230" s="3">
        <f>1638.9+(322.1-331.3)+(0+(0-0))+0--81.1-0</f>
        <v>1710.8</v>
      </c>
      <c r="Z230" s="3">
        <f>1641.4+(272.5-344.1)+(-2.511342+(-0.416925--0.526473))+0--81.7-0.125001000000005</f>
        <v>1648.973205</v>
      </c>
      <c r="AA230" s="3">
        <f>1654.9+(217.1-334.8)+(-2.531997+(-0.332163--0.512244))+0--82.1-0.125613000000005</f>
        <v>1616.822471</v>
      </c>
      <c r="AB230" s="3">
        <f>1639.4+(151.4-331.1)+(-3.344376+(-0.308856--0.675444))+0--82.6-0.168503999999996</f>
        <v>1539.1537080000001</v>
      </c>
      <c r="AC230" s="3">
        <f>1578.9+(126-331.7)+(-4.026195+(-0.3213--0.845835))+0--83.4-0.212669999999988</f>
        <v>1452.8856700000003</v>
      </c>
      <c r="AD230">
        <v>1779.3999999999999</v>
      </c>
      <c r="AE230" s="3">
        <f>1622+(411.6-335.5)+(0+(0-0))+0--81.3-0</f>
        <v>1779.3999999999999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1315.1+(153.5-275.1)+(-1.341402+(-0.15657--0.280602))+0--83-0.0846600000000132</f>
        <v>1275.1979699999999</v>
      </c>
      <c r="G231" s="3">
        <f>1313.3+(124.3-257)+(-3.348915+(-0.316965--0.65535))+0--83-0.211649999999988</f>
        <v>1260.3778199999999</v>
      </c>
      <c r="H231" s="3">
        <f>1316.5+(114.4-274.5)+(0.671415+(0.058344-0.139995))+0--83--0.0423299999999916</f>
        <v>1240.0320940000001</v>
      </c>
      <c r="I231" s="3">
        <f>1322.4+(118.9-300.7)+(-2.023272+(-0.181917--0.460071))+0--83-0.126990000000005</f>
        <v>1221.7278920000001</v>
      </c>
      <c r="J231" s="3">
        <f>1305.6+(113.7-284.2)+(1.997568+(0.173961-0.434826))+0--82--0.125460000000005</f>
        <v>1218.9621629999999</v>
      </c>
      <c r="K231" s="3">
        <f>1323.3+(169.9-310.4)+(-2.699532+(-0.346596--0.633216))+0--85-0.173399999999996</f>
        <v>1265.213688</v>
      </c>
      <c r="L231" s="3">
        <f>1429.1+(106.5-427.5)+(-2.915364+(-0.21726--0.8721))+0--83.8-0.170951999999996</f>
        <v>1189.4685239999999</v>
      </c>
      <c r="M231" s="3">
        <f>1662+(88.7-445.1)+(-3.39048+(-0.180948--0.908004))+0--83.1-0.169523999999996</f>
        <v>1385.8670519999998</v>
      </c>
      <c r="N231" s="3">
        <f>1872.2+(44.8-574.4)+(-3.819288+(-0.091392--1.171776))+0--83.4-0.170135999999996</f>
        <v>1423.09096</v>
      </c>
      <c r="O231" s="3">
        <f>2138.6+(25.5-692.1)+(-4.362744+(-0.05202--1.411884))+0--82.1-0.167483999999996</f>
        <v>1550.9296359999998</v>
      </c>
      <c r="P231" s="3">
        <f>2115.6+(15.5-617.8)+(0+(0-0))+0--79.5-0</f>
        <v>1592.8</v>
      </c>
      <c r="Q231" s="3">
        <f>2134.5+(7-604.3)+(-2.17719+(-0.00714--0.616386))+0--79.2-0.0807840000000126</f>
        <v>1614.7512720000002</v>
      </c>
      <c r="R231" s="3">
        <f>2142+(6-679.5)+(-2.18484+(-0.00612--0.69309))+0--52.3-0.0533460000000083</f>
        <v>1519.2487840000001</v>
      </c>
      <c r="S231" s="3">
        <f>2155.3+(13.1-691.1)+(-2.198406+(-0.013362--0.704922))+0--78.9-0.0804780000000126</f>
        <v>1554.6126760000002</v>
      </c>
      <c r="T231" s="3">
        <f>2208.8+(6-752.2)+(-1.126488+(-0.00306--0.383622))+0--79.8-0.0406979999999919</f>
        <v>1541.613376</v>
      </c>
      <c r="U231" s="3">
        <f>2280.7+(7-848)+(-1.163157+(-0.00357--0.43248))+0--80.2-0.0409019999999919</f>
        <v>1519.1248509999998</v>
      </c>
      <c r="V231" s="3">
        <f>2291.7+(7-871.8)+(2.337534+(0.00714-0.889236))+0--80.4--0.0820080000000128</f>
        <v>1508.837446</v>
      </c>
      <c r="W231" s="3">
        <f>2300.7+(7-749.3)+(-2.346714+(-0.00714--0.764286))+0--80.4-0.0820080000000128</f>
        <v>1637.1284239999998</v>
      </c>
      <c r="X231" s="3">
        <f>2323.4+(20.4-764.9)+(-3.554802+(-0.031212--1.170297))+0--80.9-0.123777000000005</f>
        <v>1657.2605060000001</v>
      </c>
      <c r="Y231" s="3">
        <f>2218.3+(18.9-715.4)+(-2.262666+(-0.019278--0.729708))+0--81-0.0826200000000129</f>
        <v>1601.1651440000003</v>
      </c>
      <c r="Z231" s="3">
        <f>2324+(7-918)+(-1.18524+(-0.00357--0.46818))+0--81.4-0.0415139999999917</f>
        <v>1493.6378560000001</v>
      </c>
      <c r="AA231" s="3">
        <f>2350.5+(7-974.3)+(-3.596265+(-0.01071--1.490679))+0--82-0.125460000000005</f>
        <v>1462.9582440000001</v>
      </c>
      <c r="AB231" s="3">
        <f>2343.9+(7-1008.3)+(-2.390778+(-0.00714--1.028466))+0--81.6-0.083232000000013</f>
        <v>1422.7473160000002</v>
      </c>
      <c r="AC231" s="3">
        <f>2301.4+(10-1053.7)+(-4.694856+(-0.0204--2.149548))+0--81.6-0.166463999999996</f>
        <v>1336.567828</v>
      </c>
      <c r="AD231">
        <v>1752.4</v>
      </c>
      <c r="AE231" s="3">
        <f>2284+(22-633)+(0+(0-0))+0--79.4-0</f>
        <v>1752.4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2245.4+(9.6-1033.3)+(-1.145154+(-0.004896--0.526983))+0--82.1-0.0418709999999917</f>
        <v>1303.1350620000003</v>
      </c>
      <c r="G232" s="3">
        <f>2182.6+(9.4-1024.9)+(1.113126+(0.004794-0.522699))+0--82.7--0.0421769999999916</f>
        <v>1250.437398</v>
      </c>
      <c r="H232" s="3">
        <f>1999.6+(9.3-905.2)+(0+(0-0))+0--84.5-0</f>
        <v>1188.1999999999998</v>
      </c>
      <c r="I232" s="3">
        <f>1881+(9.3-822.9)+(-1.91862+(-0.009486--0.839358))+0--84.3-0.0859860000000134</f>
        <v>1150.5252660000001</v>
      </c>
      <c r="J232" s="3">
        <f>1886.4+(9.3-846.1)+(0.962064+(0.004743-0.431511))+0--84.3--0.0429929999999914</f>
        <v>1134.4782889999999</v>
      </c>
      <c r="K232" s="3">
        <f>1901.4+(9.2-832.8)+(-1.939428+(-0.009384--0.849456))+0--84.3-0.0859860000000134</f>
        <v>1160.9146580000001</v>
      </c>
      <c r="L232" s="3">
        <f>1816.4+(9.2-781.7)+(0.926364+(0.004692-0.398667))+0--85.1--0.0434009999999914</f>
        <v>1129.5757899999999</v>
      </c>
      <c r="M232" s="3">
        <f>1671.9+(9.2-608.5)+(-0.852669+(-0.004692--0.310335))+0--85.7-0.0437069999999913</f>
        <v>1157.7092670000002</v>
      </c>
      <c r="N232" s="3">
        <f>1741.3+(9.2-620.6)+(1.776126+(0.009384-0.633012))+0--85.8--0.0875160000000137</f>
        <v>1216.940014</v>
      </c>
      <c r="O232" s="3">
        <f>1988.6+(25.8-819.3)+(-1.014186+(-0.013158--0.417843))+0--84.7-0.0431969999999914</f>
        <v>1279.1473020000001</v>
      </c>
      <c r="P232" s="3">
        <f>2260.9+(9.2-1003.9)+(-5.765295+(-0.02346--2.559945))+0--84.2-0.214709999999988</f>
        <v>1346.9564800000003</v>
      </c>
      <c r="Q232" s="3">
        <f>2257.9+(9.2-991.2)+(-2.303058+(-0.009384--1.011024))+0--82.7-0.0843540000000132</f>
        <v>1357.214228</v>
      </c>
      <c r="R232" s="3">
        <f>2277+(9.6-1074.6)+(-4.64508+(-0.019584--2.192184))+0--80.7-0.164627999999996</f>
        <v>1290.0628920000001</v>
      </c>
      <c r="S232" s="3">
        <f>2128.8+(8.4-944.7)+(-4.342752+(-0.017136--1.927188))+0--82.4-0.168095999999996</f>
        <v>1272.2992039999999</v>
      </c>
      <c r="T232" s="3">
        <f>1896.9+(19.3-740.2)+(-0.967419+(-0.009843--0.377502))+0--82.1-0.0418709999999917</f>
        <v>1257.4583689999999</v>
      </c>
      <c r="U232" s="3">
        <f>1728.1+(26-575.1)+(0+(0-0))+0--82.2-0</f>
        <v>1261.2</v>
      </c>
      <c r="V232" s="3">
        <f>1739.7+(8.2-550.8)+(-2.661741+(-0.012546--0.842724))+0--82.7-0.126531000000005</f>
        <v>1277.8419060000001</v>
      </c>
      <c r="W232" s="3">
        <f>2097.6+(9.7-709.7)+(-1.069776+(-0.004947--0.361947))+0--82.4-0.0420239999999916</f>
        <v>1479.2451999999998</v>
      </c>
      <c r="X232" s="3">
        <f>2187.2+(15.4-673.2)+(-4.461888+(-0.031416--1.373328))+0--82.6-0.168503999999996</f>
        <v>1608.7115199999996</v>
      </c>
      <c r="Y232" s="3">
        <f>2104.6+(11.6-633.1)+(-3.220038+(-0.017748--0.968643))+0--83.5-0.127755000000005</f>
        <v>1564.2031019999999</v>
      </c>
      <c r="Z232" s="3">
        <f>2109.2+(11.6-689.9)+(-3.227076+(-0.017748--1.055547))+0--84.6-0.129438000000005</f>
        <v>1513.1812849999999</v>
      </c>
      <c r="AA232" s="3">
        <f>2111.4+(11.5-714.1)+(-5.38407+(-0.029325--1.820955))+0--83.4-0.212669999999988</f>
        <v>1488.3948900000005</v>
      </c>
      <c r="AB232" s="3">
        <f>2112.8+(10.3-775.9)+(-2.155056+(-0.010506--0.791418))+0--83.6-0.0852720000000133</f>
        <v>1429.3405840000003</v>
      </c>
      <c r="AC232" s="3">
        <f>1784.6+(10.4-575.6)+(-4.55073+(-0.02652--1.46778))+0--84.2-0.214709999999988</f>
        <v>1300.2758199999998</v>
      </c>
      <c r="AD232">
        <v>1578.5</v>
      </c>
      <c r="AE232" s="3">
        <f>2200+(11-714.8)+(0+(0-0))+0--82.3-0</f>
        <v>1578.5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1569.1+(9.5-318.1)+(-1.600482+(-0.00969--0.324462))+0--84.4-0.0860880000000135</f>
        <v>1343.528202</v>
      </c>
      <c r="G233" s="3">
        <f>1496.2+(14.7-332.5)+(0+(0-0))+0--85.2-0</f>
        <v>1263.6000000000001</v>
      </c>
      <c r="H233" s="3">
        <f>1359.8+(36.1-276.4)+(-1.386996+(-0.036822--0.281928))+0--85.5-0.0872100000000136</f>
        <v>1203.7709</v>
      </c>
      <c r="I233" s="3">
        <f>1383.8+(17.3-209.3)+(-3.52869+(-0.044115--0.533715))+0--85.8-0.218789999999988</f>
        <v>1274.34212</v>
      </c>
      <c r="J233" s="3">
        <f>1357.1+(28.3-284.5)+(0.692121+(0.014433-0.145095))+0--85.8--0.0437579999999913</f>
        <v>1187.3052169999999</v>
      </c>
      <c r="K233" s="3">
        <f>1497.1+(18.6-383.6)+(0+(0-0))+0--88.4-0</f>
        <v>1220.5</v>
      </c>
      <c r="L233" s="3">
        <f>1507+(33.9-453.2)+(1.53714+(0.034578-0.462264))+0--88.9--0.0906780000000142</f>
        <v>1177.8001320000001</v>
      </c>
      <c r="M233" s="3">
        <f>1591.3+(13.8-438.3)+(1.623126+(0.014076-0.447066))+0--88.5--0.0902700000000141</f>
        <v>1256.5804059999998</v>
      </c>
      <c r="N233" s="3">
        <f>2051.1+(13.5-785.2)+(0+(0-0))+0--87.8-0</f>
        <v>1367.1999999999998</v>
      </c>
      <c r="O233" s="3">
        <f>2034.7+(17.5-719.8)+(2.075394+(0.01785-0.734196))+0--87.5--0.089250000000014</f>
        <v>1421.3482980000001</v>
      </c>
      <c r="P233" s="3">
        <f>1978.8+(15.5-628.6)+(1.009188+(0.007905-0.320586))+0--86.8--0.0442679999999912</f>
        <v>1453.240775</v>
      </c>
      <c r="Q233" s="3">
        <f>2123+(12.5-706.8)+(1.08273+(0.006375-0.360468))+0--86--0.0438599999999913</f>
        <v>1515.472497</v>
      </c>
      <c r="R233" s="3">
        <f>2153+(19.5-834.9)+(-4.39212+(-0.03978--1.703196))+0--86-0.175439999999996</f>
        <v>1420.6958559999998</v>
      </c>
      <c r="S233" s="3">
        <f>2154.1+(79.9-888.4)+(-4.394364+(-0.162996--1.812336))+0--85.5-0.174419999999996</f>
        <v>1428.1805559999998</v>
      </c>
      <c r="T233" s="3">
        <f>2153.1+(106.6-919.1)+(-3.294243+(-0.163098--1.406223))+0--85.4-0.130662000000005</f>
        <v>1423.8182199999999</v>
      </c>
      <c r="U233" s="3">
        <f>2155.3+(134.4-959.1)+(-1.099203+(-0.068544--0.489141))+0--85.3-0.0435029999999913</f>
        <v>1415.177891</v>
      </c>
      <c r="V233" s="3">
        <f>1716.8+(62.4-434.5)+(0.875568+(0.031824-0.221595))+0--85.4--0.0435539999999913</f>
        <v>1430.8293510000001</v>
      </c>
      <c r="W233" s="3">
        <f>1976.6+(13.2-465.1)+(-2.016132+(-0.013464--0.474402))+0--85.2-0.0869040000000136</f>
        <v>1608.2579019999998</v>
      </c>
      <c r="X233" s="3">
        <f>1924.9+(16.5-521.9)+(-5.890194+(-0.05049--1.597014))+0--85.4-0.26132400000001</f>
        <v>1500.2950060000001</v>
      </c>
      <c r="Y233" s="3">
        <f>1814.3+(70.7-352.8)+(-2.775879+(-0.108171--0.539784))+0--85.9-0.131427000000005</f>
        <v>1615.6243069999998</v>
      </c>
      <c r="Z233" s="3">
        <f>1646.2+(105.7-276.4)+(-0.839562+(-0.053907--0.140964))+0--86.5-0.0441149999999912</f>
        <v>1561.2033800000002</v>
      </c>
      <c r="AA233" s="3">
        <f>1560.6+(125.7-247.1)+(-3.97953+(-0.320535--0.630105))+0--83.3-0.212414999999988</f>
        <v>1518.6176249999999</v>
      </c>
      <c r="AB233" s="3">
        <f>1452+(155.6-243.6)+(-2.22156+(-0.238068--0.372708))+0--82.6-0.126378000000005</f>
        <v>1444.386702</v>
      </c>
      <c r="AC233" s="3">
        <f>1235.5+(187-175.3)+(-1.26021+(-0.19074--0.178806))+0--84-0.0856800000000134</f>
        <v>1329.8421760000001</v>
      </c>
      <c r="AD233">
        <v>1895.1999999999998</v>
      </c>
      <c r="AE233" s="3">
        <f>2031+(125.2-426.1)+(0+(0-0))+0--85.1-0</f>
        <v>1815.1999999999998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1175.1+(142.2-66.5)+(-0.599301+(-0.072522--0.033915))+0--87-0.0443699999999912</f>
        <v>1337.117722</v>
      </c>
      <c r="G234" s="3">
        <f>1175.1+(136.8-148.5)+(-2.996505+(-0.34884--0.378675))+0--87-0.221849999999987</f>
        <v>1247.2114799999999</v>
      </c>
      <c r="H234" s="3">
        <f>1176.6+(115.7-154.5)+(-0.600066+(-0.059007--0.078795))+0--87-0.0443699999999912</f>
        <v>1224.175352</v>
      </c>
      <c r="I234" s="3">
        <f>1132.5+(137.8-156.9)+(-2.3103+(-0.281112--0.320076))+0--86.5-0.176459999999996</f>
        <v>1197.4522040000002</v>
      </c>
      <c r="J234" s="3">
        <f>1149.7+(157.5-197)+(-0.586347+(-0.080325--0.10047))+0--86.7-0.0442169999999912</f>
        <v>1196.2895810000002</v>
      </c>
      <c r="K234" s="3">
        <f>1202.7+(166.1-228.1)+(-0.613377+(-0.084711--0.116331))+0-6.1--0.00311099999999938</f>
        <v>1134.0213540000002</v>
      </c>
      <c r="L234" s="3">
        <f>1193.3+(227.7-302.8)+(-0.608583+(-0.116127--0.154428))+0--89-0.045389999999991</f>
        <v>1206.5843279999999</v>
      </c>
      <c r="M234" s="3">
        <f>1312.9+(213.1-328.8)+(0+(0-0))+0--89.4-0</f>
        <v>1286.6000000000001</v>
      </c>
      <c r="N234" s="3">
        <f>1467.2+(176.5-349.9)+(-0.748272+(-0.090015--0.178449))+0--88.2-0.0449819999999911</f>
        <v>1381.2951800000003</v>
      </c>
      <c r="O234" s="3">
        <f>1484.2+(192.5-335.8)+(-1.513884+(-0.19635--0.342516))+0--86.9-0.0886380000000139</f>
        <v>1426.3436440000003</v>
      </c>
      <c r="P234" s="3">
        <f>1470.2+(195.2-289)+(0+(0-0))+0--86.2-0</f>
        <v>1462.6000000000001</v>
      </c>
      <c r="Q234" s="3">
        <f>1529.6+(131.2-270.5)+(-0.780096+(-0.066912--0.137955))+0--85.8-0.0437579999999913</f>
        <v>1475.3471889999998</v>
      </c>
      <c r="R234" s="3">
        <f>1580.6+(84.6-337.9)+(-0.806106+(-0.043146--0.172329))+0--86.9-0.0443189999999912</f>
        <v>1413.478758</v>
      </c>
      <c r="S234" s="3">
        <f>1516.4+(108.7-299.6)+(-2.320092+(-0.166311--0.458388))+0--88.5-0.135405000000005</f>
        <v>1411.8365799999999</v>
      </c>
      <c r="T234" s="3">
        <f>1483.2+(110-275.9)+(0.756432+(0.0561-0.140709))+0--85.4--0.0435539999999913</f>
        <v>1403.4153770000003</v>
      </c>
      <c r="U234" s="3">
        <f>1525.3+(114.1-310.1)+(-1.555806+(-0.116382--0.316302))+0--83.4-0.0850680000000133</f>
        <v>1411.2590459999999</v>
      </c>
      <c r="V234" s="3">
        <f>1602.9+(105.9-346.5)+(0+(0-0))+0--84.9-0</f>
        <v>1447.2000000000003</v>
      </c>
      <c r="W234" s="3">
        <f>1624.8+(142.1-289.8)+(-1.657296+(-0.144942--0.295596))+0--143.8-0.146676000000023</f>
        <v>1619.2466819999997</v>
      </c>
      <c r="X234" s="3">
        <f>1639.7+(166-328)+(-2.508741+(-0.25398--0.50184))+0--228.5-0.349605000000013</f>
        <v>1703.589514</v>
      </c>
      <c r="Y234" s="3">
        <f>1634.3+(177.1-380.2)+(-3.333972+(-0.361284--0.775608))+0--215.6-0.439823999999991</f>
        <v>1643.4405279999999</v>
      </c>
      <c r="Z234" s="3">
        <f>1626.9+(187.7-349.9)+(-0.829719+(-0.095727--0.178449))+0--85.5-0.0436049999999913</f>
        <v>1549.409398</v>
      </c>
      <c r="AA234" s="3">
        <f>1627+(180-390.1)+(-2.48931+(-0.2754--0.596853))+0--88.4-0.135252000000005</f>
        <v>1502.9968910000002</v>
      </c>
      <c r="AB234" s="3">
        <f>1629.7+(164.2-441)+(0+(0-0))+0--85.5-0</f>
        <v>1438.4</v>
      </c>
      <c r="AC234" s="3">
        <f>1586.9+(103.7-439.4)+(-4.046595+(-0.264435--1.12047))+0--84.6-0.215729999999988</f>
        <v>1332.3937100000001</v>
      </c>
      <c r="AD234">
        <v>1713.9</v>
      </c>
      <c r="AE234" s="3">
        <f>1620+(162.9-296.4)+(0+(0-0))+0--227.4-0</f>
        <v>1713.9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1494.4+(145.8-471.2)+(0+(0-0))+0--87.1-0</f>
        <v>1256.0999999999999</v>
      </c>
      <c r="G235" s="3">
        <f>1396.4+(149.5-446.5)+(0+(0-0))+0--86.9-0</f>
        <v>1186.3000000000002</v>
      </c>
      <c r="H235" s="3">
        <f>1386.3+(148-473.2)+(-0.707013+(-0.07548--0.241332))+0--87.8-0.0447779999999911</f>
        <v>1148.3140609999998</v>
      </c>
      <c r="I235" s="3">
        <f>1330.5+(159.3-441.1)+(0+(0-0))+0--87.4-0</f>
        <v>1136.1000000000001</v>
      </c>
      <c r="J235" s="3">
        <f>1276.1+(170.7-398.9)+(0.650811+(0.087057-0.203439))+0--89.3--0.0455429999999909</f>
        <v>1137.7799719999998</v>
      </c>
      <c r="K235" s="3">
        <f>1376.6+(157.2-455.3)+(3.51033+(0.40086-1.161015))+0--88--0.224399999999987</f>
        <v>1169.474575</v>
      </c>
      <c r="L235" s="3">
        <f>1449.3+(157.2-505.4)+(-2.217429+(-0.240516--0.773262))+0--90.1-0.137853000000005</f>
        <v>1189.3774639999999</v>
      </c>
      <c r="M235" s="3">
        <f>1471.3+(135.6-416)+(2.251089+(0.207468-0.63648))+0--89.7--0.137241000000005</f>
        <v>1282.5593180000001</v>
      </c>
      <c r="N235" s="3">
        <f>1569.7+(105.8-395.9)+(3.202188+(0.215832-0.807636))+0--88.7--0.180947999999996</f>
        <v>1371.0913320000002</v>
      </c>
      <c r="O235" s="3">
        <f>1534.1+(112.8-302.1)+(-0.782391+(-0.057528--0.154071))+0--87.8-0.0447779999999911</f>
        <v>1431.8693739999999</v>
      </c>
      <c r="P235" s="3">
        <f>1406.6+(185.4-216.1)+(-0.717366+(-0.094554--0.110211))+0--86.7-0.0442169999999912</f>
        <v>1461.8540740000001</v>
      </c>
      <c r="Q235" s="3">
        <f>1534.6+(92.1-251.6)+(0+(0-0))+0--86.8-0</f>
        <v>1461.8999999999999</v>
      </c>
      <c r="R235" s="3">
        <f>1656.9+(40.2-378.8)+(-4.225095+(-0.10251--0.96594))+0--87.3-0.222614999999987</f>
        <v>1402.0157200000003</v>
      </c>
      <c r="S235" s="3">
        <f>1650.6+(31.2-489.4)+(-2.525418+(-0.047736--0.748782))+0--198.4-0.303552000000011</f>
        <v>1388.6720759999998</v>
      </c>
      <c r="T235" s="3">
        <f>1620.8+(41.1-472.2)+(2.479824+(0.062883-0.722466))+0--198.8--0.304164000000011</f>
        <v>1390.6244049999998</v>
      </c>
      <c r="U235" s="3">
        <f>1509.2+(74.7-406)+(-1.539384+(-0.076194--0.41412))+0--191.4-0.195228000000031</f>
        <v>1367.9033140000001</v>
      </c>
      <c r="V235" s="3">
        <f>1514.3+(119.4-441.2)+(-0.772293+(-0.060894--0.225012))+0--203.3-0.103682999999979</f>
        <v>1395.0881419999998</v>
      </c>
      <c r="W235" s="3">
        <f>1570.6+(194.6-396.8)+(1.602012+(0.198492-0.404736))+0--223--0.227460000000036</f>
        <v>1593.023228</v>
      </c>
      <c r="X235" s="3">
        <f>1582.9+(233.3-394.8)+(-0.807279+(-0.118983--0.201348))+0--224.2-0.114341999999977</f>
        <v>1644.7607440000002</v>
      </c>
      <c r="Y235" s="3">
        <f>1592.9+(213.3-447.5)+(0+(0-0))+0--225.4-0</f>
        <v>1584.1000000000001</v>
      </c>
      <c r="Z235" s="3">
        <f>1609.1+(222.1-518.7)+(-3.282564+(-0.453084--1.058148))+0--228-0.46511999999999</f>
        <v>1537.3573799999999</v>
      </c>
      <c r="AA235" s="3">
        <f>1586.6+(221.8-541)+(-1.618332+(-0.226236--0.55182))+0--227.4-0.231948000000036</f>
        <v>1493.2753039999998</v>
      </c>
      <c r="AB235" s="3">
        <f>1523.4+(219.8-542.9)+(-2.330802+(-0.336294--0.830637))+0--227.7-0.348381000000013</f>
        <v>1425.8151600000001</v>
      </c>
      <c r="AC235" s="3">
        <f>1433.1+(234.6-550.5)+(-0.730881+(-0.119646--0.280755))+0--228.3-0.116432999999977</f>
        <v>1344.8137949999998</v>
      </c>
      <c r="AD235">
        <v>1673.8000000000002</v>
      </c>
      <c r="AE235" s="3">
        <f>1569+(221-338.6)+(0+(0-0))+0--222.4-0</f>
        <v>1673.8000000000002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1314.7+(231.2-515.2)+(-1.340994+(-0.235824--0.525504))+0--234.9-0.239598000000037</f>
        <v>1264.309088</v>
      </c>
      <c r="G236" s="3">
        <f>1291.5+(218.6-513.6)+(0+(0-0))+0--203.2-0</f>
        <v>1199.7</v>
      </c>
      <c r="H236" s="3">
        <f>1240.7+(221.5-468)+(2.531028+(0.45186-0.95472))+0--164.1--0.334763999999993</f>
        <v>1160.662932</v>
      </c>
      <c r="I236" s="3">
        <f>1219.1+(228.8-469.6)+(2.486964+(0.466752-0.957984))+0--162.1--0.330683999999993</f>
        <v>1142.726416</v>
      </c>
      <c r="J236" s="3">
        <f>1371.5+(255.5-634.6)+(0+(0-0))+0--160.1-0</f>
        <v>1152.5</v>
      </c>
      <c r="K236" s="3">
        <f>1391.2+(261.1-626.4)+(2.128536+(0.399483-0.958392))+0--163.2--0.249696000000009</f>
        <v>1190.9193230000003</v>
      </c>
      <c r="L236" s="3">
        <f>1397.4+(245.6-614.2)+(0+(0-0))+0--162-0</f>
        <v>1190.8000000000002</v>
      </c>
      <c r="M236" s="3">
        <f>1385.3+(220.7-507.8)+(0.706503+(0.112557-0.258978))+0--127--0.0647699999999871</f>
        <v>1225.8248519999997</v>
      </c>
      <c r="N236" s="3">
        <f>1399.1+(214-394.6)+(0.713541+(0.10914-0.201246))+0--90.1--0.0459509999999909</f>
        <v>1309.267386</v>
      </c>
      <c r="O236" s="3">
        <f>1416.2+(210.1-327.6)+(2.166786+(0.321453-0.501228))+0--98.7--0.151011000000006</f>
        <v>1399.538022</v>
      </c>
      <c r="P236" s="3">
        <f>1398.8+(209.7-271.9)+(-1.426776+(-0.213894--0.277338))+0--90.1-0.0919020000000144</f>
        <v>1425.2447659999998</v>
      </c>
      <c r="Q236" s="3">
        <f>1448+(169.8-229.5)+(1.47696+(0.173196-0.23409))+0--89.6--0.0913920000000143</f>
        <v>1479.4074579999999</v>
      </c>
      <c r="R236" s="3">
        <f>1462.4+(144.1-298.1)+(-2.983296+(-0.293964--0.608124))+0--89.4-0.182375999999996</f>
        <v>1394.9484880000002</v>
      </c>
      <c r="S236" s="3">
        <f>1475.9+(157.2-351.2)+(0+(0-0))+0--88.5-0</f>
        <v>1370.4</v>
      </c>
      <c r="T236" s="3">
        <f>1441.6+(168-336.4)+(-2.940864+(-0.34272--0.686256))+0--89.5-0.182579999999996</f>
        <v>1359.9200919999998</v>
      </c>
      <c r="U236" s="3">
        <f>1298.4+(208-256.8)+(-0.662184+(-0.10608--0.130968))+0--101.7-0.0518669999999897</f>
        <v>1350.6108370000002</v>
      </c>
      <c r="V236" s="3">
        <f>1363.9+(219.9-414.4)+(-0.695589+(-0.112149--0.211344))+0--226.4-0.115463999999977</f>
        <v>1395.0881420000003</v>
      </c>
      <c r="W236" s="3">
        <f>1420.2+(253.7-329.2)+(0.724302+(0.129387-0.167892))+0--227.7--0.116126999999977</f>
        <v>1573.2019240000002</v>
      </c>
      <c r="X236" s="3">
        <f>1433.2+(290.3-310.7)+(-1.461864+(-0.296106--0.316914))+0--228.9-0.233478000000037</f>
        <v>1640.0254660000003</v>
      </c>
      <c r="Y236" s="3">
        <f>1435.6+(285.8-347.6)+(-0.732156+(-0.145758--0.177276))+0--229.7-0.117146999999977</f>
        <v>1602.682215</v>
      </c>
      <c r="Z236" s="3">
        <f>1444.2+(298.5-406.1)+(-2.209626+(-0.456705--0.621333))+0--228.3-0.349299000000013</f>
        <v>1562.5057029999998</v>
      </c>
      <c r="AA236" s="3">
        <f>1430.3+(296.6-430.3)+(-0.729453+(-0.151266--0.219453))+0--228.1-0.116330999999977</f>
        <v>1523.9224029999998</v>
      </c>
      <c r="AB236" s="3">
        <f>1271.3+(277.6-326)+(-1.945089+(-0.424728--0.49878))+0--228.8-0.350064000000013</f>
        <v>1449.4788990000002</v>
      </c>
      <c r="AC236" s="3">
        <f>1109.5+(222.1-221.2)+(-1.13169+(-0.226542--0.225624))+0--229.7-0.234294000000037</f>
        <v>1338.7330980000002</v>
      </c>
      <c r="AD236">
        <v>1645.2</v>
      </c>
      <c r="AE236" s="3">
        <f>1427+(268.4-278.8)+(0+(0-0))+0--228.6-0</f>
        <v>1645.1999999999998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1086.2+(224.4-268.7)+(1.107924+(0.228888-0.274074))+0--230.8--0.235416000000037</f>
        <v>1273.9981540000001</v>
      </c>
      <c r="G237" s="3">
        <f>1030+(230.2-287.5)+(0+(0-0))+0--232.9-0</f>
        <v>1205.6000000000001</v>
      </c>
      <c r="H237" s="3">
        <f>966.7+(287.8-225.6)+(-0.986034+(-0.293556--0.230112))+0--231.2-0.235824000000037</f>
        <v>1258.8146980000001</v>
      </c>
      <c r="I237" s="3">
        <f>880.9+(323.3-284.7)+(-1.347777+(-0.494649--0.435591))+0--235.1-0.359703000000014</f>
        <v>1152.8334619999998</v>
      </c>
      <c r="J237" s="3">
        <f>897.1+(342.1-348.9)+(-0.915042+(-0.348942--0.355878))+0--237.8-0.242556000000038</f>
        <v>1126.9493379999999</v>
      </c>
      <c r="K237" s="3">
        <f>936.6+(345.6-313.3)+(0.477666+(0.176256-0.159783))+0--236.9--0.120818999999976</f>
        <v>1206.4149580000001</v>
      </c>
      <c r="L237" s="3">
        <f>969.6+(305.3-274.2)+(0.494496+(0.155703-0.139842))+0--236.5--0.120614999999976</f>
        <v>1237.830972</v>
      </c>
      <c r="M237" s="3">
        <f>1058.4+(311.6-275.3)+(0+(0-0))+0--236.7-0</f>
        <v>1331.4</v>
      </c>
      <c r="N237" s="3">
        <f>1290+(327-419.8)+(1.9737+(0.50031-0.642294))+0--234.7--0.359091000000014</f>
        <v>1434.090807</v>
      </c>
      <c r="O237" s="3">
        <f>1308.8+(304-361.5)+(0.667488+(0.15504-0.184365))+0--228.8--0.116687999999977</f>
        <v>1480.8548510000001</v>
      </c>
      <c r="P237" s="3">
        <f>1306.6+(306.6-326.7)+(-1.332732+(-0.312732--0.333234))+0--225.5-0.230010000000036</f>
        <v>1510.45776</v>
      </c>
      <c r="Q237" s="3">
        <f>1285.7+(299.8-346.6)+(-1.967121+(-0.458694--0.530298))+0--224-0.342720000000013</f>
        <v>1460.6617630000001</v>
      </c>
      <c r="R237" s="3">
        <f>1353.3+(238.8-337.8)+(-0.690183+(-0.121788--0.172278))+0--225.2-0.114851999999977</f>
        <v>1478.745455</v>
      </c>
      <c r="S237" s="3">
        <f>1437.8+(194-365.6)+(-1.466556+(-0.19788--0.372912))+0--225.2-0.229704000000036</f>
        <v>1489.8787719999998</v>
      </c>
      <c r="T237" s="3">
        <f>1417.4+(213.1-427.7)+(0+(0-0))+0--287.3-0</f>
        <v>1490.1000000000001</v>
      </c>
      <c r="U237" s="3">
        <f>1338.1+(269.6-416.5)+(1.364862+(0.274992-0.42483))+0--292.3--0.298146000000047</f>
        <v>1485.0131699999999</v>
      </c>
      <c r="V237" s="3">
        <f>1392.5+(287.5-462.1)+(1.42035+(0.29325-0.471342))+0--292.7--0.298554000000047</f>
        <v>1512.1408120000001</v>
      </c>
      <c r="W237" s="3">
        <f>1600.8+(244.5-426.3)+(1.632816+(0.24939-0.434826))+0--294.2--0.300084000000047</f>
        <v>1714.9474640000001</v>
      </c>
      <c r="X237" s="3">
        <f>1638.5+(316.8-468.4)+(-4.178175+(-0.80784--1.19442))+0--295.2-0.752759999999957</f>
        <v>1777.5556450000004</v>
      </c>
      <c r="Y237" s="3">
        <f>1640.9+(348.5-558.2)+(-1.673718+(-0.35547--0.569364))+0--296.9-0.302838000000047</f>
        <v>1726.3373379999998</v>
      </c>
      <c r="Z237" s="3">
        <f>1598.3+(353.4-580.4)+(-4.890798+(-1.081404--1.776024))+0--299.2-0.915552000000035</f>
        <v>1665.3882700000001</v>
      </c>
      <c r="AA237" s="3">
        <f>1557.8+(355-587.3)+(-1.588956+(-0.3621--0.599046))+0--298.9-0.304878000000048</f>
        <v>1622.7431119999999</v>
      </c>
      <c r="AB237" s="3">
        <f>1519.6+(329-584)+(-2.324988+(-0.50337--0.89352))+0--270.1-0.413253000000016</f>
        <v>1532.3519090000002</v>
      </c>
      <c r="AC237" s="3">
        <f>1446.2+(296.7-564.6)+(-1.475124+(-0.302634--0.575892))+0--228.5-0.233070000000036</f>
        <v>1405.3650639999998</v>
      </c>
      <c r="AD237">
        <v>1788.1</v>
      </c>
      <c r="AE237" s="3">
        <f>1629+(269.2-404.5)+(0+(0-0))+0--294.4-0</f>
        <v>1788.1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1352.2+(224-564.6)+(0+(0-0))+0--230.2-0</f>
        <v>1241.8</v>
      </c>
      <c r="G238" s="3">
        <f>1350+(229.3-628.7)+(-1.377+(-0.233886--0.641274))+0--230.7-0.235314000000037</f>
        <v>1180.0950739999998</v>
      </c>
      <c r="H238" s="3">
        <f>1316+(220.1-617.2)+(-1.34232+(-0.224502--0.629544))+0--234.8-0.239496000000037</f>
        <v>1152.5232259999998</v>
      </c>
      <c r="I238" s="3">
        <f>1230+(251.6-579.2)+(1.2546+(0.256632-0.590784))+0--231.6--0.236232000000037</f>
        <v>1135.1566799999998</v>
      </c>
      <c r="J238" s="3">
        <f>1233.3+(267.7-605.8)+(0.628983+(0.136527-0.308958))+0--232.9--0.118778999999976</f>
        <v>1128.6753309999999</v>
      </c>
      <c r="K238" s="3">
        <f>1231.9+(234.1-525.7)+(1.256538+(0.238782-0.536214))+0--234.9--0.239598000000037</f>
        <v>1176.3987040000002</v>
      </c>
      <c r="L238" s="3">
        <f>1294.6+(260.3-469.3)+(1.980738+(0.398259-0.718029))+0--234.3--0.358479000000014</f>
        <v>1321.9194469999998</v>
      </c>
      <c r="M238" s="3">
        <f>1293.8+(234.6-399.6)+(1.319676+(0.239292-0.407592))+0--232.5--0.237150000000037</f>
        <v>1362.6885259999999</v>
      </c>
      <c r="N238" s="3">
        <f>1322.8+(257.9-316.4)+(0.674628+(0.131529-0.161364))+0--227.5--0.116024999999977</f>
        <v>1492.5608179999999</v>
      </c>
      <c r="O238" s="3">
        <f>1312.8+(249.6-320)+(0+(0-0))+0--227.5-0</f>
        <v>1469.8999999999999</v>
      </c>
      <c r="P238" s="3">
        <f>1402.6+(233.1-353.1)+(-0.715326+(-0.118881--0.180081))+0--225.3-0.114902999999977</f>
        <v>1507.130971</v>
      </c>
      <c r="Q238" s="3">
        <f>1450.9+(223.8-379.1)+(-2.219877+(-0.342414--0.580023))+0--223.3-0.341649000000013</f>
        <v>1516.5760830000002</v>
      </c>
      <c r="R238" s="3">
        <f>1442.9+(198-361.7)+(0+(0-0))+0--223.1-0</f>
        <v>1502.3</v>
      </c>
      <c r="S238" s="3">
        <f>1380.3+(250.8-357.3)+(0.703953+(0.127908-0.182223))+0--223.1--0.113780999999977</f>
        <v>1497.663419</v>
      </c>
      <c r="T238" s="3">
        <f>1373.9+(257.7-352.8)+(1.401378+(0.262854-0.359856))+0--223.7--0.228174000000036</f>
        <v>1504.0325500000004</v>
      </c>
      <c r="U238" s="3">
        <f>1370.9+(288.2-374.5)+(0.699159+(0.146982-0.190995))+0--224.3--0.114392999999977</f>
        <v>1509.6695390000002</v>
      </c>
      <c r="V238" s="3">
        <f>1457.1+(262.6-414)+(2.229363+(0.401778-0.63342))+0--225.1--0.344403000000013</f>
        <v>1533.1421239999997</v>
      </c>
      <c r="W238" s="3">
        <f>1884.9+(258.4-610.7)+(0+(0-0))+0--224.9-0</f>
        <v>1757.5</v>
      </c>
      <c r="X238" s="3">
        <f>1908.1+(312.9-665.5)+(-1.946262+(-0.319158--0.67881))+0--225.3-0.229806000000036</f>
        <v>1778.9835839999998</v>
      </c>
      <c r="Y238" s="3">
        <f>1915.5+(327.3-731)+(-0.976905+(-0.166923--0.37281))+0--225.6-0.115055999999977</f>
        <v>1736.5139260000001</v>
      </c>
      <c r="Z238" s="3">
        <f>1909.8+(333.3-797.3)+(-0.973998+(-0.169983--0.406623))+0--226.5-0.115514999999977</f>
        <v>1671.4471269999999</v>
      </c>
      <c r="AA238" s="3">
        <f>1899.8+(341.2-845.7)+(-1.937796+(-0.348024--0.862614))+0--226.8-0.231336000000036</f>
        <v>1620.4454579999999</v>
      </c>
      <c r="AB238" s="3">
        <f>1909.3+(349.6-944.3)+(0+(0-0))+0--228.7-0</f>
        <v>1543.3</v>
      </c>
      <c r="AC238" s="3">
        <f>1637.8+(336.4-775.7)+(1.670556+(0.343128-0.791214))+0--228.7--0.233274000000036</f>
        <v>1428.6557439999999</v>
      </c>
      <c r="AD238">
        <v>1825.3</v>
      </c>
      <c r="AE238" s="3">
        <f>1931+(260.4-590.4)+(0+(0-0))+0--224.3-0</f>
        <v>1825.3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1572.8+(335.1-813)+(-0.802128+(-0.170901--0.41463))+0--229-0.116789999999977</f>
        <v>1323.224811</v>
      </c>
      <c r="G239" s="3">
        <f>1547.3+(284.2-810)+(-0.789123+(-0.144942--0.4131))+0--229.1-0.116840999999977</f>
        <v>1249.962194</v>
      </c>
      <c r="H239" s="3">
        <f>1580+(297-879)+(-3.2232+(-0.60588--1.79316))+0--229.3-0.46777199999999</f>
        <v>1224.796308</v>
      </c>
      <c r="I239" s="3">
        <f>1575.3+(305.7-912.7)+(4.017015+(0.779535-2.327385))+0--230.7--0.588284999999967</f>
        <v>1202.05745</v>
      </c>
      <c r="J239" s="3">
        <f>1580.4+(298.2-904)+(0+(0-0))+0--229.8-0</f>
        <v>1204.4000000000001</v>
      </c>
      <c r="K239" s="3">
        <f>1589.7+(294.3-861.3)+(-3.242988+(-0.600372--1.757052))+0--233.5-0.47633999999999</f>
        <v>1253.637352</v>
      </c>
      <c r="L239" s="3">
        <f>1447.7+(300.4-675.7)+(1.476654+(0.306408-0.689214))+0--234.1--0.238782000000037</f>
        <v>1307.8326300000001</v>
      </c>
      <c r="M239" s="3">
        <f>1432+(281.9-565.4)+(2.19096+(0.431307-0.865062))+0--233.5--0.357255000000013</f>
        <v>1384.1144600000002</v>
      </c>
      <c r="N239" s="3">
        <f>1508.2+(237.1-485.7)+(1.538364+(0.241842-0.495414))+0--230.3--0.234906000000037</f>
        <v>1491.4196980000002</v>
      </c>
      <c r="O239" s="3">
        <f>1634.1+(218-536.4)+(2.500173+(0.33354-0.820692))+0--226.4--0.346392000000013</f>
        <v>1544.4594129999998</v>
      </c>
      <c r="P239" s="3">
        <f>1901.8+(160.8-701.1)+(0.969918+(0.082008-0.357561))+0--224.5--0.114494999999977</f>
        <v>1586.8088600000001</v>
      </c>
      <c r="Q239" s="3">
        <f>2076.6+(79.4-815.8)+(-5.29533+(-0.20247--2.08029))+0--223.2-0.569159999999968</f>
        <v>1559.4133299999999</v>
      </c>
      <c r="R239" s="3">
        <f>2135.7+(60.2-871.6)+(-5.446035+(-0.15351--2.22258))+0--221.8-0.565589999999968</f>
        <v>1542.1574449999998</v>
      </c>
      <c r="S239" s="3">
        <f>2042.2+(63-793.6)+(-1.041522+(-0.03213--0.404736))+0--220.5-0.112454999999978</f>
        <v>1531.3186289999999</v>
      </c>
      <c r="T239" s="3">
        <f>2041.9+(139.5-869.4)+(1.041369+(0.071145-0.443394))+0--221.2--0.112811999999978</f>
        <v>1533.9819320000001</v>
      </c>
      <c r="U239" s="3">
        <f>2051.7+(105.2-856)+(0+(0-0))+0--220.6-0</f>
        <v>1521.4999999999998</v>
      </c>
      <c r="V239" s="3">
        <f>2112.3+(93.6-896.1)+(-1.077273+(-0.047736--0.457011))+0--221.1-0.112760999999978</f>
        <v>1530.1192410000001</v>
      </c>
      <c r="W239" s="3">
        <f>2213+(51.7-750.8)+(0+(0-0))+0--220.9-0</f>
        <v>1734.8000000000002</v>
      </c>
      <c r="X239" s="3">
        <f>2157.8+(95.9-717.3)+(-3.301434+(-0.146727--1.097469))+0--221.3-0.338589000000013</f>
        <v>1755.0107190000001</v>
      </c>
      <c r="Y239" s="3">
        <f>2157+(125.7-807.3)+(-3.30021+(-0.192321--1.235169))+0--221.9-0.339507000000013</f>
        <v>1694.7031310000002</v>
      </c>
      <c r="Z239" s="3">
        <f>2099.1+(158.3-863)+(-3.211623+(-0.242199--1.32039))+0--223-0.341190000000013</f>
        <v>1614.9253779999997</v>
      </c>
      <c r="AA239" s="3">
        <f>2107.4+(159.7-910.6)+(-2.149548+(-0.162894--0.928812))+0--223.5-0.227970000000036</f>
        <v>1578.3883999999998</v>
      </c>
      <c r="AB239" s="3">
        <f>1982.7+(218.1-923.2)+(-3.033531+(-0.333693--1.412496))+0--224.5-0.343485000000013</f>
        <v>1499.8017869999999</v>
      </c>
      <c r="AC239" s="3">
        <f>1568.4+(293.9-680.2)+(-0.799884+(-0.149889--0.346902))+0--225.6-0.115055999999977</f>
        <v>1406.9820729999999</v>
      </c>
      <c r="AD239">
        <v>1800.3000000000002</v>
      </c>
      <c r="AE239" s="3">
        <f>2188+(66-679.1)+(0+(0-0))+0--225.4-0</f>
        <v>1800.3000000000002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1530.1+(301.6-723.4)+(0.780351+(0.153816-0.368934))+0--229.7--0.117146999999977</f>
        <v>1338.68238</v>
      </c>
      <c r="G240" s="3">
        <f>1516.3+(335.7-813.7)+(0.773313+(0.171207-0.414987))+0--228.8--0.116687999999977</f>
        <v>1267.7462209999999</v>
      </c>
      <c r="H240" s="3">
        <f>1516.3+(351.9-874.3)+(0+(0-0))+0--229.8-0</f>
        <v>1223.7</v>
      </c>
      <c r="I240" s="3">
        <f>1488+(348.7-870.4)+(0+(0-0))+0--234.7-0</f>
        <v>1201</v>
      </c>
      <c r="J240" s="3">
        <f>1391.6+(317.2-745.9)+(0.709716+(0.161772-0.380409))+0--234.7--0.119696999999976</f>
        <v>1198.2107759999999</v>
      </c>
      <c r="K240" s="3">
        <f>1373.1+(309.8-697.6)+(1.400562+(0.315996-0.711552))+0--234.8--0.239496000000037</f>
        <v>1221.3445020000001</v>
      </c>
      <c r="L240" s="3">
        <f>1305.8+(320.4-630.9)+(-1.331916+(-0.326808--0.643518))+0--229.8-0.234396000000037</f>
        <v>1223.8503979999998</v>
      </c>
      <c r="M240" s="3">
        <f>1277+(309.2-536.9)+(-0.65127+(-0.157692--0.273819))+0--228.9-0.116738999999977</f>
        <v>1277.5481179999999</v>
      </c>
      <c r="N240" s="3">
        <f>1372.9+(285.7-504.6)+(0+(0-0))+0--226-0</f>
        <v>1380</v>
      </c>
      <c r="O240" s="3">
        <f>1501.5+(244.3-507.8)+(0.765765+(0.124593-0.258978))+0--222.4--0.113423999999977</f>
        <v>1461.144804</v>
      </c>
      <c r="P240" s="3">
        <f>1588.9+(238-541.4)+(2.431017+(0.36414-0.828342))+0--220.2--0.336906000000013</f>
        <v>1508.003721</v>
      </c>
      <c r="Q240" s="3">
        <f>1564.2+(268.6-501.6)+(1.595484+(0.273972-0.511632))+0--217--0.221340000000035</f>
        <v>1549.779164</v>
      </c>
      <c r="R240" s="3">
        <f>1597.4+(204.1-558.8)+(-4.888044+(-0.624546--1.709928))+0--216.5-0.662490000000025</f>
        <v>1454.7348480000003</v>
      </c>
      <c r="S240" s="3">
        <f>1570.6+(206.3-560.6)+(-3.204024+(-0.420852--1.143624))+0--217.1-0.442883999999991</f>
        <v>1430.4758639999998</v>
      </c>
      <c r="T240" s="3">
        <f>1511.1+(210.2-515.1)+(0+(0-0))+0--217.2-0</f>
        <v>1423.3999999999999</v>
      </c>
      <c r="U240" s="3">
        <f>1512.4+(214.8-516.4)+(0.771324+(0.109548-0.263364))+0--218--0.111179999999978</f>
        <v>1429.5286880000001</v>
      </c>
      <c r="V240" s="3">
        <f>1597.6+(202.2-566.5)+(-0.814776+(-0.103122--0.288915))+0--219.2-0.111791999999978</f>
        <v>1451.759225</v>
      </c>
      <c r="W240" s="3">
        <f>1647.3+(238-459.8)+(0+(0-0))+0--219.7-0</f>
        <v>1645.2</v>
      </c>
      <c r="X240" s="3">
        <f>1677.7+(240.1-430.3)+(-2.566881+(-0.367353--0.658359))+0--220-0.336600000000013</f>
        <v>1704.8875249999999</v>
      </c>
      <c r="Y240" s="3">
        <f>1686.5+(234.3-480.9)+(0+(0-0))+0--220-0</f>
        <v>1659.9</v>
      </c>
      <c r="Z240" s="3">
        <f>1691.5+(234.6-539.2)+(-1.72533+(-0.239292--0.549984))+0--221-0.225420000000035</f>
        <v>1606.2599420000001</v>
      </c>
      <c r="AA240" s="3">
        <f>1685.3+(230.7-571.1)+(-1.719006+(-0.235314--0.582522))+0--222.4-0.226848000000035</f>
        <v>1565.701354</v>
      </c>
      <c r="AB240" s="3">
        <f>1646.1+(218.4-593.2)+(-2.518533+(-0.334152--0.907596))+0--223.6-0.342108000000013</f>
        <v>1492.6128029999995</v>
      </c>
      <c r="AC240" s="3">
        <f>1557.2+(253-624.2)+(-2.382516+(-0.38709--0.955026))+0--223.9-0.342567000000013</f>
        <v>1407.7428530000002</v>
      </c>
      <c r="AD240">
        <v>1721.3999999999999</v>
      </c>
      <c r="AE240" s="3">
        <f>1672+(271-446.7)+(0+(0-0))+0--225.1-0</f>
        <v>1721.3999999999999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1591.6+(279.4-769.3)+(-2.435148+(-0.427482--1.177029))+0--228-0.348840000000013</f>
        <v>1327.6655589999998</v>
      </c>
      <c r="G241" s="3">
        <f>1440.8+(268.3-729.8)+(-1.469616+(-0.273666--0.744396))+0--228-0.232560000000036</f>
        <v>1206.0685539999997</v>
      </c>
      <c r="H241" s="3">
        <f>1312.7+(260.7-595.1)+(1.338954+(0.265914-0.607002))+0--228--0.232560000000036</f>
        <v>1207.530426</v>
      </c>
      <c r="I241" s="3">
        <f>1349.8+(284.1-630.3)+(0+(0-0))+0--226-0</f>
        <v>1229.5999999999999</v>
      </c>
      <c r="J241" s="3">
        <f>1350.4+(264-662.5)+(-1.377408+(-0.26928--0.67575))+0--225-0.229500000000036</f>
        <v>1175.699562</v>
      </c>
      <c r="K241" s="3">
        <f>1448.4+(231.4-677)+(-1.477368+(-0.236028--0.69054))+0--228-0.232560000000036</f>
        <v>1229.544584</v>
      </c>
      <c r="L241" s="3">
        <f>1447.5+(185.1-619.9)+(-0.738225+(-0.094401--0.316149))+0--231.3-0.117962999999977</f>
        <v>1243.3655600000002</v>
      </c>
      <c r="M241" s="3">
        <f>1474.4+(177.9-534.2)+(0+(0-0))+0--230-0</f>
        <v>1348.1</v>
      </c>
      <c r="N241" s="3">
        <f>1763.6+(135.3-655.9)+(0+(0-0))+0--224.1-0</f>
        <v>1467.1</v>
      </c>
      <c r="O241" s="3">
        <f>1874.4+(84.1-647.7)+(2.867832+(0.128673-0.990981))+0--219.8--0.336294000000013</f>
        <v>1532.941818</v>
      </c>
      <c r="P241" s="3">
        <f>1932.9+(36.3-606.4)+(-2.957337+(-0.055539--0.927792))+0--216.3-0.330939000000013</f>
        <v>1576.6839770000001</v>
      </c>
      <c r="Q241" s="3">
        <f>2015.6+(7-648.8)+(-1.027956+(-0.00357--0.330888))+0--213.5-0.108884999999978</f>
        <v>1586.4904770000001</v>
      </c>
      <c r="R241" s="3">
        <f>1970.7+(11-590.6)+(-3.015171+(-0.01683--0.903618))+0--214.4-0.328032000000012</f>
        <v>1603.0435849999999</v>
      </c>
      <c r="S241" s="3">
        <f>1965.9+(55.1-627)+(-3.007827+(-0.084303--0.95931))+0--214.4-0.328032000000012</f>
        <v>1605.9391479999999</v>
      </c>
      <c r="T241" s="3">
        <f>2030.6+(69.2-698.1)+(0+(0-0))+0--213.8-0</f>
        <v>1615.4999999999998</v>
      </c>
      <c r="U241" s="3">
        <f>2103.3+(61.8-774.3)+(-1.072683+(-0.031518--0.394893))+0--214.2-0.109241999999978</f>
        <v>1604.1814500000003</v>
      </c>
      <c r="V241" s="3">
        <f>2008.1+(78.1-679.2)+(-1.024131+(-0.039831--0.346392))+0--211.2-0.107711999999979</f>
        <v>1617.374718</v>
      </c>
      <c r="W241" s="3">
        <f>2032.5+(82.4-489)+(0+(0-0))+0--215.2-0</f>
        <v>1841.1000000000001</v>
      </c>
      <c r="X241" s="3">
        <f>2013.9+(109.8-488)+(-3.081267+(-0.167994--0.74664))+0--216.5-0.331245000000013</f>
        <v>1849.3661339999999</v>
      </c>
      <c r="Y241" s="3">
        <f>2021.7+(129.6-568.8)+(-5.155335+(-0.33048--1.45044))+0--217.6-0.554879999999968</f>
        <v>1795.5097450000001</v>
      </c>
      <c r="Z241" s="3">
        <f>1997.3+(142-653.7)+(-4.074492+(-0.28968--1.333548))+0--218.5-0.44573999999999</f>
        <v>1700.623636</v>
      </c>
      <c r="AA241" s="3">
        <f>1981.1+(131.6-638.6)+(-2.020722+(-0.134232--0.651372))+0--218.6-0.222972000000035</f>
        <v>1690.9734459999997</v>
      </c>
      <c r="AB241" s="3">
        <f>1953.1+(127.1-689.2)+(-4.980405+(-0.324105--1.75746))+0--220.7-0.562784999999968</f>
        <v>1607.5901650000001</v>
      </c>
      <c r="AC241" s="3">
        <f>1908.3+(99.6-767.1)+(-0.973233+(-0.050796--0.391221))+0--222.6-0.113525999999977</f>
        <v>1462.6536659999999</v>
      </c>
      <c r="AD241">
        <v>1816.9</v>
      </c>
      <c r="AE241" s="3">
        <f>1997+(109.5-503.6)+(0+(0-0))+0--214-0</f>
        <v>1816.9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1694.8+(78.5-615.6)+(-3.457392+(-0.16014--1.255824))+0--223.6-0.45614399999999</f>
        <v>1378.4821479999998</v>
      </c>
      <c r="G242" s="3">
        <f>1616.1+(131.3-655.8)+(-3.296844+(-0.267852--1.337832))+0--223.1-0.45512399999999</f>
        <v>1312.0180119999998</v>
      </c>
      <c r="H242" s="3">
        <f>1528.7+(101.4-579.1)+(0+(0-0))+0--222.6-0</f>
        <v>1273.5999999999999</v>
      </c>
      <c r="I242" s="3">
        <f>1526.4+(92.9-591.2)+(-2.335392+(-0.142137--0.904536))+0--223.4-0.341802000000013</f>
        <v>1249.5852050000001</v>
      </c>
      <c r="J242" s="3">
        <f>1620.4+(38.3-641.1)+(0.826404+(0.019533-0.326961))+0--224.4--0.114443999999977</f>
        <v>1242.6334200000001</v>
      </c>
      <c r="K242" s="3">
        <f>1741.7+(9-696.7)+(-0.888267+(-0.00459--0.355317))+0--222.2-0.113321999999977</f>
        <v>1275.5491380000001</v>
      </c>
      <c r="L242" s="3">
        <f>1813.5+(27.6-752)+(-4.624425+(-0.07038--1.9176))+0--222.8-0.568139999999968</f>
        <v>1308.5546549999999</v>
      </c>
      <c r="M242" s="3">
        <f>1839.7+(22.5-684.9)+(0.938247+(0.011475-0.349299))+0--222--0.113219999999977</f>
        <v>1400.0136430000002</v>
      </c>
      <c r="N242" s="3">
        <f>1976.5+(14.4-696.4)+(1.008015+(0.007344-0.355164))+0--219.1--0.111740999999978</f>
        <v>1514.3719359999998</v>
      </c>
      <c r="O242" s="3">
        <f>1980.8+(18.9-605.5)+(-2.020416+(-0.019278--0.61761))+0--219.3-0.223686000000035</f>
        <v>1611.8542299999997</v>
      </c>
      <c r="P242" s="3">
        <f>1967.8+(42.9-574.3)+(1.003578+(0.021879-0.292893))+0--213.4--0.108833999999978</f>
        <v>1650.641398</v>
      </c>
      <c r="Q242" s="3">
        <f>2078.2+(20.1-654.8)+(-4.239528+(-0.041004--1.335792))+0--212.6-0.433703999999991</f>
        <v>1652.721556</v>
      </c>
      <c r="R242" s="3">
        <f>2020.6+(30.6-686.3)+(-8.244048+(-0.124848--2.800104))+0--213.7-0.871895999999981</f>
        <v>1572.1593120000002</v>
      </c>
      <c r="S242" s="3">
        <f>1927.6+(46.1-644.2)+(-0.983076+(-0.023511--0.328542))+0--213-0.108629999999978</f>
        <v>1541.7133249999999</v>
      </c>
      <c r="T242" s="3">
        <f>1998+(11.1-700.9)+(0+(0-0))+0--212.2-0</f>
        <v>1520.4</v>
      </c>
      <c r="U242" s="3">
        <f>1987+(6-691.4)+(-4.05348+(-0.01224--1.410456))+0--213.9-0.436355999999991</f>
        <v>1512.4083800000001</v>
      </c>
      <c r="V242" s="3">
        <f>1970.1+(6-666.3)+(1.004751+(0.00306-0.339813))+0--215.2--0.109751999999978</f>
        <v>1525.77775</v>
      </c>
      <c r="W242" s="3">
        <f>1992.2+(38.1-590.4)+(0+(0-0))+0--215.8-0</f>
        <v>1655.7</v>
      </c>
      <c r="X242" s="3">
        <f>2011.4+(47.9-566.4)+(-5.12907+(-0.122145--1.44432))+0--217.1-0.553604999999968</f>
        <v>1705.6395</v>
      </c>
      <c r="Y242" s="3">
        <f>2010.9+(17.1-594.9)+(0+(0-0))+0--217.1-0</f>
        <v>1650.2</v>
      </c>
      <c r="Z242" s="3">
        <f>2014.4+(6-638.7)+(-4.109376+(-0.01224--1.302948))+0--218.2-0.44512799999999</f>
        <v>1596.6362040000001</v>
      </c>
      <c r="AA242" s="3">
        <f>2014.8+(6-671.3)+(-1.027548+(-0.00306--0.342363))+0--219.2-0.111791999999978</f>
        <v>1567.8999630000001</v>
      </c>
      <c r="AB242" s="3">
        <f>1979.2+(6-675.4)+(-3.028176+(-0.00918--1.033362))+0--219.4-0.335682000000013</f>
        <v>1526.8603240000004</v>
      </c>
      <c r="AC242" s="3">
        <f>1937+(14.6-762.3)+(-7.90296+(-0.059568--3.110184))+0--219.5-0.895559999999981</f>
        <v>1403.0520960000003</v>
      </c>
      <c r="AD242">
        <v>1734.8000000000002</v>
      </c>
      <c r="AE242" s="3">
        <f>2004+(42.5-527.1)+(0+(0-0))+0--215.4-0</f>
        <v>1734.8000000000002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1976.9+(35.5-827.9)+(-5.041095+(-0.090525--2.111145))+0--220.6-0.562529999999968</f>
        <v>1401.516995</v>
      </c>
      <c r="G243" s="3">
        <f>1852.7+(40.6-782.9)+(0.944877+(0.020706-0.399279))+0--220.7--0.112556999999978</f>
        <v>1331.778861</v>
      </c>
      <c r="H243" s="3">
        <f>1902.3+(48-731.2)+(-3.880692+(-0.09792--1.491648))+0--221.1-0.45104399999999</f>
        <v>1437.261992</v>
      </c>
      <c r="I243" s="3">
        <f>1613.8+(96.4-684.4)+(0+(0-0))+0--221.7-0</f>
        <v>1247.5</v>
      </c>
      <c r="J243" s="3">
        <f>1582.6+(110.5-660.4)+(-1.614252+(-0.11271--0.673608))+0--222.5-0.226950000000035</f>
        <v>1253.9196959999999</v>
      </c>
      <c r="K243" s="3">
        <f>1521.9+(76-576.2)+(1.552338+(0.07752-0.587724))+0--223.1--0.227562000000036</f>
        <v>1246.069696</v>
      </c>
      <c r="L243" s="3">
        <f>1564.2+(63.8-606.6)+(-1.595484+(-0.065076--0.618732))+0--223.6-0.228072000000036</f>
        <v>1243.7300999999998</v>
      </c>
      <c r="M243" s="3">
        <f>1576.1+(61.4-596.7)+(-1.607622+(-0.062628--0.608634))+0--224.1-0.228582000000036</f>
        <v>1263.6098019999997</v>
      </c>
      <c r="N243" s="3">
        <f>1685.7+(38.7-596.3)+(-0.859707+(-0.019737--0.304113))+0--222.8-0.113627999999977</f>
        <v>1350.211041</v>
      </c>
      <c r="O243" s="3">
        <f>1717.8+(27.3-544.1)+(-1.752156+(-0.027846--0.554982))+0--219.6-0.223992000000035</f>
        <v>1419.1509879999999</v>
      </c>
      <c r="P243" s="3">
        <f>1910.3+(11-655.5)+(-2.922759+(-0.01683--1.002915))+0--218.1-0.333693000000013</f>
        <v>1481.6296329999998</v>
      </c>
      <c r="Q243" s="3">
        <f>1957.6+(11-690.4)+(-1.996752+(-0.01122--0.704208))+0--217.2-0.221544000000035</f>
        <v>1493.8746919999999</v>
      </c>
      <c r="R243" s="3">
        <f>1924.4+(7-677.9)+(-2.944332+(-0.01071--1.037187))+0--221.6-0.339048000000013</f>
        <v>1472.8430969999999</v>
      </c>
      <c r="S243" s="3">
        <f>1884+(12-630.7)+(-2.88252+(-0.01836--0.964971))+0--219.5-0.335835000000013</f>
        <v>1482.5282559999998</v>
      </c>
      <c r="T243" s="3">
        <f>1842.9+(21.9-613)+(-3.759516+(-0.044676--1.25052))+0--221.4-0.45165599999999</f>
        <v>1470.1946720000003</v>
      </c>
      <c r="U243" s="3">
        <f>1798.9+(11.5-566.1)+(0+(0-0))+0--219.9-0</f>
        <v>1464.2000000000003</v>
      </c>
      <c r="V243" s="3">
        <f>1851.9+(17.5-608.7)+(0+(0-0))+0--220-0</f>
        <v>1480.7</v>
      </c>
      <c r="W243" s="3">
        <f>1977.2+(30.1-569.9)+(1.008372+(0.015351-0.290649))+0--221.4--0.112913999999978</f>
        <v>1659.6459880000002</v>
      </c>
      <c r="X243" s="3">
        <f>2051.4+(28.8-580.3)+(0+(0-0))+0--220.8-0</f>
        <v>1720.7</v>
      </c>
      <c r="Y243" s="3">
        <f>2058.3+(10.2-603.9)+(1.049733+(0.005202-0.307989))+0--220.7--0.112556999999978</f>
        <v>1686.1595030000003</v>
      </c>
      <c r="Z243" s="3">
        <f>2043.3+(7-624.2)+(-2.084166+(-0.00714--0.636684))+0--221.2-0.225624000000035</f>
        <v>1645.6197540000001</v>
      </c>
      <c r="AA243" s="3">
        <f>2041.8+(7-642.6)+(-2.082636+(-0.00714--0.655452))+0--223.9-0.228378000000036</f>
        <v>1628.4372979999998</v>
      </c>
      <c r="AB243" s="3">
        <f>2046.5+(7-709.7)+(-4.17486+(-0.01428--1.447788))+0--225.6-0.46022399999999</f>
        <v>1566.1984239999999</v>
      </c>
      <c r="AC243" s="3">
        <f>1946.6+(11-690.5)+(-3.971064+(-0.02244--1.40862))+0--225.7-0.46042799999999</f>
        <v>1489.7546879999998</v>
      </c>
      <c r="AD243">
        <v>1735.1999999999998</v>
      </c>
      <c r="AE243" s="3">
        <f>2051+(20-555.4)+(0+(0-0))+0--219.6-0</f>
        <v>1735.1999999999998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1943.9+(10-783.6)+(0+(0-0))+0--225.4-0</f>
        <v>1395.7000000000003</v>
      </c>
      <c r="G244" s="3">
        <f>1830.7+(10-732.2)+(-4.668285+(-0.0255--1.86711))+0--226.2-0.576809999999967</f>
        <v>1331.296515</v>
      </c>
      <c r="H244" s="3">
        <f>1781.9+(10-736.3)+(2.726307+(0.0153-1.126539))+0--225.8--0.345474000000013</f>
        <v>1283.3605420000001</v>
      </c>
      <c r="I244" s="3">
        <f>1651+(18-638)+(-1.68402+(-0.01836--0.65076))+0--229.7-0.234294000000037</f>
        <v>1259.414086</v>
      </c>
      <c r="J244" s="3">
        <f>1750.7+(18.5-750.6)+(4.464285+(0.047175-1.91403))+0--228.6--0.582929999999967</f>
        <v>1250.3803600000001</v>
      </c>
      <c r="K244" s="3">
        <f>1950+(11-895.3)+(0.9945+(0.00561-0.456603))+0--228.6--0.116585999999977</f>
        <v>1294.9600929999999</v>
      </c>
      <c r="L244" s="3">
        <f>1948.5+(11-849.6)+(-2.981205+(-0.01683--1.299888))+0--231.1-0.353583000000013</f>
        <v>1338.9482699999999</v>
      </c>
      <c r="M244" s="3">
        <f>1823.9+(10-664.7)+(0.930189+(0.0051-0.338997))+0--230.7--0.117656999999977</f>
        <v>1400.613949</v>
      </c>
      <c r="N244" s="3">
        <f>1910.2+(11-654.4)+(0.974202+(0.00561-0.333744))+0--227.6--0.116075999999977</f>
        <v>1495.1621440000001</v>
      </c>
      <c r="O244" s="3">
        <f>1998.6+(11-631.4)+(-4.077144+(-0.02244--1.288056))+0--224.6-0.45818399999999</f>
        <v>1599.5302879999997</v>
      </c>
      <c r="P244" s="3">
        <f>1986+(15.3-600.5)+(-1.01286+(-0.007803--0.306255))+0--221.7-0.113066999999978</f>
        <v>1621.672525</v>
      </c>
      <c r="Q244" s="3">
        <f>2019.6+(13.3-632.8)+(1.029996+(0.006783-0.322728))+0--220.3--0.112352999999978</f>
        <v>1621.2264039999998</v>
      </c>
      <c r="R244" s="3">
        <f>2081.1+(10.5-721)+(-3.184083+(-0.016065--1.10313))+0--220.1-0.336753000000013</f>
        <v>1588.2662289999998</v>
      </c>
      <c r="S244" s="3">
        <f>1988+(7-650.4)+(-3.04164+(-0.01071--0.995112))+0--219-0.335070000000013</f>
        <v>1561.2076919999997</v>
      </c>
      <c r="T244" s="3">
        <f>1968.5+(7-608.7)+(-1.003935+(-0.00357--0.310437))+0--218.8-0.111587999999978</f>
        <v>1584.791344</v>
      </c>
      <c r="U244" s="3">
        <f>1961.8+(7-600.2)+(-3.001554+(-0.01071--0.918306))+0--220.1-0.336753000000013</f>
        <v>1586.2692889999998</v>
      </c>
      <c r="V244" s="3">
        <f>1988.6+(8-623.3)+(-1.014186+(-0.00408--0.317883))+0--220.3-0.112352999999978</f>
        <v>1592.7872639999998</v>
      </c>
      <c r="W244" s="3">
        <f>1999.4+(14-467)+(1.019694+(0.00714-0.23817))+0--220.5--0.112454999999978</f>
        <v>1767.801119</v>
      </c>
      <c r="X244" s="3">
        <f>2003.3+(31.9-457.5)+(-4.086732+(-0.065076--0.9333))+0--221.5-0.45185999999999</f>
        <v>1795.529632</v>
      </c>
      <c r="Y244" s="3">
        <f>2014.8+(12.6-503.2)+(0+(0-0))+0--222.6-0</f>
        <v>1746.8</v>
      </c>
      <c r="Z244" s="3">
        <f>2025.3+(12.5-577.1)+(-1.032903+(-0.006375--0.294321))+0--223.1-0.113780999999977</f>
        <v>1682.9412619999996</v>
      </c>
      <c r="AA244" s="3">
        <f>2027.6+(44.4-650.1)+(-6.204456+(-0.135864--1.989306))+0--224.4-0.686664000000026</f>
        <v>1641.2623219999998</v>
      </c>
      <c r="AB244" s="3">
        <f>2004.2+(74.4-724.3)+(-2.044284+(-0.075888--0.738786))+0--224.8-0.229296000000036</f>
        <v>1577.4893180000001</v>
      </c>
      <c r="AC244" s="3">
        <f>1897.4+(106-744.3)+(-6.773718+(-0.37842--2.657151))+0--226.2-0.807534000000003</f>
        <v>1479.9974790000001</v>
      </c>
      <c r="AD244">
        <v>1835.4999999999998</v>
      </c>
      <c r="AE244" s="3">
        <f>1999.6+(41.8-426.5)+(0+(0-0))+0--220.6-0</f>
        <v>1835.4999999999998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1616.2+(144.8-583.4)+(-2.472786+(-0.221544--0.892602))+0--226-0.345780000000013</f>
        <v>1401.4524920000001</v>
      </c>
      <c r="G245" s="3">
        <f>1566.8+(137.8-594.7)+(-1.598136+(-0.140556--0.606594))+0--226.2-0.230724000000036</f>
        <v>1334.7371779999999</v>
      </c>
      <c r="H245" s="3">
        <f>1404.6+(154.8-498.1)+(0+(0-0))+0--225.3-0</f>
        <v>1286.5999999999999</v>
      </c>
      <c r="I245" s="3">
        <f>1321.3+(175.6-448.1)+(0+(0-0))+0--217.7-0</f>
        <v>1266.5</v>
      </c>
      <c r="J245" s="3">
        <f>1302.4+(208.5-469.4)+(1.328448+(0.21267-0.478788))+0--225.8--0.230316000000036</f>
        <v>1268.5926460000001</v>
      </c>
      <c r="K245" s="3">
        <f>1302.4+(215.1-440.4)+(1.328448+(0.219402-0.449208))+0--227.7--0.232254000000036</f>
        <v>1306.1308960000001</v>
      </c>
      <c r="L245" s="3">
        <f>1304.9+(221.6-423)+(1.996497+(0.339048-0.64719))+0--227.5--0.348075000000013</f>
        <v>1333.0364300000001</v>
      </c>
      <c r="M245" s="3">
        <f>1662.4+(176.8-667.8)+(2.543472+(0.270504-1.021734))+0--228--0.348840000000013</f>
        <v>1401.5410820000002</v>
      </c>
      <c r="N245" s="3">
        <f>1881+(121.1-718.8)+(-0.95931+(-0.061761--0.366588))+0--225.6-0.115055999999977</f>
        <v>1508.1304610000002</v>
      </c>
      <c r="O245" s="3">
        <f>1860+(101.7-591.9)+(-0.9486+(-0.051867--0.301869))+0--223.1-0.113780999999977</f>
        <v>1592.0876209999999</v>
      </c>
      <c r="P245" s="3">
        <f>1830.1+(58.8-493.6)+(-0.933351+(-0.029988--0.251736))+0--220.6-0.112505999999978</f>
        <v>1615.075891</v>
      </c>
      <c r="Q245" s="3">
        <f>1872.7+(55.9-517.2)+(-2.865231+(-0.085527--0.791316))+0--218.3-0.333999000000013</f>
        <v>1627.2065590000002</v>
      </c>
      <c r="R245" s="3">
        <f>1806.4+(81-503)+(-2.763792+(-0.12393--0.76959))+0--216.5-0.331245000000013</f>
        <v>1598.450623</v>
      </c>
      <c r="S245" s="3">
        <f>1717.5+(74-412.8)+(-3.5037+(-0.15096--0.842112))+0--216.4-0.441455999999991</f>
        <v>1591.845996</v>
      </c>
      <c r="T245" s="3">
        <f>1861.1+(77-555.2)+(-0.949161+(-0.03927--0.283152))+0--216.4-0.110363999999978</f>
        <v>1598.484357</v>
      </c>
      <c r="U245" s="3">
        <f>1864.6+(115.1-611.1)+(2.852838+(0.176103-0.934983))+0--218--0.333540000000013</f>
        <v>1589.0274979999999</v>
      </c>
      <c r="V245" s="3">
        <f>1887.1+(99.4-605.9)+(-4.812105+(-0.25347--1.545045))+0--221.5-0.564824999999968</f>
        <v>1598.014645</v>
      </c>
      <c r="W245" s="3">
        <f>1975.2+(75.2-482.8)+(1.007352+(0.038352-0.246228))+0--222--0.113219999999977</f>
        <v>1790.5126959999998</v>
      </c>
      <c r="X245" s="3">
        <f>1979.1+(108.6-471.6)+(-6.056046+(-0.332316--1.443096))+0--222.7-0.681462000000026</f>
        <v>1833.173272</v>
      </c>
      <c r="Y245" s="3">
        <f>1920.9+(101.3-465.5)+(-1.959318+(-0.103326--0.47481))+0--223.6-0.228072000000036</f>
        <v>1778.4840939999999</v>
      </c>
      <c r="Z245" s="3">
        <f>1913.4+(118.1-545.9)+(-3.903336+(-0.240924--1.113636))+0--223.2-0.45532799999999</f>
        <v>1705.3140480000002</v>
      </c>
      <c r="AA245" s="3">
        <f>1912.5+(124-584.4)+(-4.876875+(-0.3162--1.49022))+0--225-0.573749999999967</f>
        <v>1672.8233949999999</v>
      </c>
      <c r="AB245" s="3">
        <f>1795.3+(121-535.7)+(-2.746809+(-0.18513--0.819621))+0--225.4-0.344862000000013</f>
        <v>1603.5428200000001</v>
      </c>
      <c r="AC245" s="3">
        <f>1709.4+(116.7-553.7)+(-1.743588+(-0.119034--0.564774))+0--225.7-0.230214000000036</f>
        <v>1496.5719380000003</v>
      </c>
      <c r="AD245">
        <v>1841.6</v>
      </c>
      <c r="AE245" s="3">
        <f>1977+(92-448.2)+(0+(0-0))+0--220.8-0</f>
        <v>1841.6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1585.2+(60.6-477.8)+(1.616904+(0.061812-0.487356))+0--222.1--0.226542000000035</f>
        <v>1391.517902</v>
      </c>
      <c r="G246" s="3">
        <f>1554.4+(69.2-514.4)+(-1.585488+(-0.070584--0.524688))+0--220.9-0.225318000000035</f>
        <v>1328.7432980000001</v>
      </c>
      <c r="H246" s="3">
        <f>1491.5+(72.5-497.4)+(0.760665+(0.036975-0.253674))+0--226.2--0.115361999999977</f>
        <v>1293.4593279999999</v>
      </c>
      <c r="I246" s="3">
        <f>1361.6+(72.8-396.5)+(0.694416+(0.037128-0.202215))+0--228.1--0.116330999999977</f>
        <v>1266.6456599999997</v>
      </c>
      <c r="J246" s="3">
        <f>1365.9+(96.9-423.2)+(-1.393218+(-0.098838--0.431664))+0--228.6-0.233172000000036</f>
        <v>1266.906436</v>
      </c>
      <c r="K246" s="3">
        <f>1393+(98.9-438.4)+(1.42086+(0.100878-0.447168))+0--225.3--0.229806000000036</f>
        <v>1280.104376</v>
      </c>
      <c r="L246" s="3">
        <f>1448.9+(114.9-455.7)+(-1.477878+(-0.117198--0.464814))+0--227.9-0.232458000000036</f>
        <v>1334.6372800000004</v>
      </c>
      <c r="M246" s="3">
        <f>1507.7+(82.1-410.5)+(-0.768927+(-0.041871--0.209355))+0--227.2-0.115871999999977</f>
        <v>1405.7826850000001</v>
      </c>
      <c r="N246" s="3">
        <f>1678.6+(12-426.6)+(0+(0-0))+0--221.3-0</f>
        <v>1485.3</v>
      </c>
      <c r="O246" s="3">
        <f>1816.1+(11-502.3)+(0.926211+(0.00561-0.256173))+0--218.1--0.111230999999978</f>
        <v>1543.6868789999999</v>
      </c>
      <c r="P246" s="3">
        <f>1844.8+(11-475.1)+(-1.881696+(-0.01122--0.484602))+0--216.7-0.221034000000035</f>
        <v>1595.7706519999997</v>
      </c>
      <c r="Q246" s="3">
        <f>1913.5+(46-557)+(-4.879425+(-0.1173--1.42035))+0--214.6-0.547229999999969</f>
        <v>1612.9763949999999</v>
      </c>
      <c r="R246" s="3">
        <f>1990.5+(40-660.7)+(-3.045465+(-0.0612--1.010871))+0--214.2-0.327726000000012</f>
        <v>1581.5764799999999</v>
      </c>
      <c r="S246" s="3">
        <f>1933.3+(31-603.8)+(-1.971966+(-0.03162--0.615876))+0--214.9-0.219198000000034</f>
        <v>1573.7930920000001</v>
      </c>
      <c r="T246" s="3">
        <f>1895+(31.6-591.7)+(2.89935+(0.048348-0.905301))+0--216.9--0.331857000000013</f>
        <v>1554.174254</v>
      </c>
      <c r="U246" s="3">
        <f>1904.3+(35-592.5)+(0.971193+(0.01785-0.302175))+0--216.6--0.110465999999978</f>
        <v>1564.197334</v>
      </c>
      <c r="V246" s="3">
        <f>1976.3+(11-589.7)+(0+(0-0))+0--217.9-0</f>
        <v>1615.5</v>
      </c>
      <c r="W246" s="3">
        <f>2001+(18.2-458)+(0+(0-0))+0--219.6-0</f>
        <v>1780.8</v>
      </c>
      <c r="X246" s="3">
        <f>2000.2+(17-457.8)+(-3.060306+(-0.02601--0.700434))+0--220.5-0.337365000000013</f>
        <v>1777.176753</v>
      </c>
      <c r="Y246" s="3">
        <f>2001+(11-517.5)+(-5.10255+(-0.02805--1.319625))+0--221.3-0.564314999999968</f>
        <v>1711.4247099999998</v>
      </c>
      <c r="Z246" s="3">
        <f>2005+(12-578.5)+(0+(0-0))+0--221.6-0</f>
        <v>1660.1</v>
      </c>
      <c r="AA246" s="3">
        <f>2004.6+(12-599.3)+(-5.11173+(-0.0306--1.528215))+0--223-0.568649999999968</f>
        <v>1636.1172349999999</v>
      </c>
      <c r="AB246" s="3">
        <f>2008.7+(11-664)+(-4.097748+(-0.02244--1.35456))+0--223.7-0.45634799999999</f>
        <v>1576.1780240000001</v>
      </c>
      <c r="AC246" s="3">
        <f>1781.1+(15-544.4)+(-3.633444+(-0.0306--1.110576))+0--224.8-0.45859199999999</f>
        <v>1473.4879399999998</v>
      </c>
      <c r="AD246">
        <v>1806.1</v>
      </c>
      <c r="AE246" s="3">
        <f>2002+(36.6-451.9)+(0+(0-0))+0--219.4-0</f>
        <v>1806.1000000000001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1621+(22.5-498.6)+(-2.48013+(-0.034425--0.762858))+0--224.4-0.343332000000013</f>
        <v>1367.2049710000003</v>
      </c>
      <c r="G247" s="3">
        <f>1543.7+(66.6-551)+(0+(0-0))+0--225-0</f>
        <v>1284.3000000000002</v>
      </c>
      <c r="H247" s="3">
        <f>1501.2+(79.5-554.6)+(0+(0-0))+0--227.8-0</f>
        <v>1253.8999999999999</v>
      </c>
      <c r="I247" s="3">
        <f>1515.6+(117.9-629.8)+(0+(0-0))+0--229-0</f>
        <v>1232.6999999999998</v>
      </c>
      <c r="J247" s="3">
        <f>1495.2+(164.8-650.6)+(3.050208+(0.336192-1.327224))+0--227--0.46307999999999</f>
        <v>1238.9222560000001</v>
      </c>
      <c r="K247" s="3">
        <f>1616.9+(136.4-715.2)+(3.298476+(0.278256-1.459008))+0--226--0.46103999999999</f>
        <v>1266.6787639999998</v>
      </c>
      <c r="L247" s="3">
        <f>1745.2+(102.3-765.6)+(1.780104+(0.104346-0.780912))+0--225.2--0.229704000000036</f>
        <v>1308.4332420000003</v>
      </c>
      <c r="M247" s="3">
        <f>1785.7+(82.3-700.7)+(0+(0-0))+0--226.2-0</f>
        <v>1393.5</v>
      </c>
      <c r="N247" s="3">
        <f>1855.5+(43-620.8)+(0.946305+(0.02193-0.316608))+0--224.3--0.114392999999977</f>
        <v>1502.76602</v>
      </c>
      <c r="O247" s="3">
        <f>1872.2+(26.1-571.9)+(1.909644+(0.026622-0.583338))+0--219.7--0.224094000000035</f>
        <v>1547.6770220000001</v>
      </c>
      <c r="P247" s="3">
        <f>1874.1+(13-520.7)+(-0.955791+(-0.00663--0.265557))+0--220.1-0.112250999999978</f>
        <v>1585.6908849999998</v>
      </c>
      <c r="Q247" s="3">
        <f>1931.4+(45.9-537.1)+(-5.910084+(-0.140454--1.643526))+0--219.1-0.670446000000025</f>
        <v>1654.222542</v>
      </c>
      <c r="R247" s="3">
        <f>1855.2+(36.7-586.1)+(-3.784608+(-0.074868--1.195644))+0--219.4-0.44757599999999</f>
        <v>1522.0885920000003</v>
      </c>
      <c r="S247" s="3">
        <f>1711.1+(43.4-447.6)+(-0.872661+(-0.022134--0.228276))+0--176.9-0.0902189999999821</f>
        <v>1483.0432619999999</v>
      </c>
      <c r="T247" s="3">
        <f>1654.9+(30.5-377.5)+(0+(0-0))+0--118.9-0</f>
        <v>1426.8000000000002</v>
      </c>
      <c r="U247" s="3">
        <f>1666.3+(20.1-388.6)+(0.849813+(0.010251-0.198186))+0--90.1--0.0459509999999909</f>
        <v>1388.6078289999998</v>
      </c>
      <c r="V247" s="3">
        <f>1670.9+(18.3-386)+(0.852159+(0.009333-0.19686))+0--89.8--0.0457979999999909</f>
        <v>1393.7104300000001</v>
      </c>
      <c r="W247" s="3">
        <f>1856+(9-564.7)+(-0.94656+(-0.00459--0.287997))+5.3--204.9-0.104498999999979</f>
        <v>1509.732348</v>
      </c>
      <c r="X247" s="3">
        <f>1924.4+(9-637.2)+(0+(0-0))+0--228.2-0</f>
        <v>1524.4</v>
      </c>
      <c r="Y247" s="3">
        <f>1922+(9-676.1)+(-3.92088+(-0.01836--1.379244))+0--229.5-0.46817999999999</f>
        <v>1481.3718240000001</v>
      </c>
      <c r="Z247" s="3">
        <f>1912.4+(9-720.1)+(-0.975324+(-0.00459--0.367251))+0--230.1-0.117350999999977</f>
        <v>1430.6699860000001</v>
      </c>
      <c r="AA247" s="3">
        <f>1913.1+(9-746.3)+(-3.902724+(-0.01836--1.522452))+0--230.3-0.46981199999999</f>
        <v>1403.231556</v>
      </c>
      <c r="AB247" s="3">
        <f>1682.7+(9-608.6)+(-2.574531+(-0.01377--0.931158))+0--230.6-0.352818000000013</f>
        <v>1311.6900389999998</v>
      </c>
      <c r="AC247" s="3">
        <f>1342.5+(16.2-376.6)+(-2.054025+(-0.024786--0.576198))+0--230.7-0.352971000000013</f>
        <v>1210.9444159999998</v>
      </c>
      <c r="AD247">
        <v>1519.4</v>
      </c>
      <c r="AE247" s="3">
        <f>1920+(13-642.6)+(0+(0-0))+0--229-0</f>
        <v>1519.4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1240.7+(50.5-402.6)+(-1.265514+(-0.05151--0.410652))+0--234.1-0.238782000000037</f>
        <v>1121.5548459999998</v>
      </c>
      <c r="G248" s="3">
        <f>1163.6+(105.3-435.8)+(-1.186872+(-0.107406--0.444516))+0--234.3-0.238986000000037</f>
        <v>1066.3112519999997</v>
      </c>
      <c r="H248" s="3">
        <f>1121.7+(70.6-439.1)+(-1.144134+(-0.072012--0.447882))+0--234-0.238680000000037</f>
        <v>986.19305599999996</v>
      </c>
      <c r="I248" s="3">
        <f>1167.4+(97.2-449)+(-0.595374+(-0.049572--0.22899))+0--196.2-0.10006199999998</f>
        <v>1011.2839820000002</v>
      </c>
      <c r="J248" s="3">
        <f>1186.2+(69-408.6)+(1.209924+(0.07038-0.416772))+0--165.5--0.168810000000026</f>
        <v>1013.132342</v>
      </c>
      <c r="K248" s="3">
        <f>1186+(71.9-386.2)+(1.20972+(0.073338-0.393924))+0--171.8--0.175236000000027</f>
        <v>1044.5643700000001</v>
      </c>
      <c r="L248" s="3">
        <f>1220.7+(59.4-416.3)+(-0.622557+(-0.030294--0.212313))+0--233.8-0.119237999999976</f>
        <v>1097.0402240000001</v>
      </c>
      <c r="M248" s="3">
        <f>1344.1+(64.6-498)+(0+(0-0))+0--233.5-0</f>
        <v>1144.1999999999998</v>
      </c>
      <c r="N248" s="3">
        <f>1400.4+(85.5-501.8)+(-0.714204+(-0.043605--0.255918))+0--232.3-0.118472999999976</f>
        <v>1215.7796360000002</v>
      </c>
      <c r="O248" s="3">
        <f>1399.2+(106.9-456.8)+(0.713592+(0.054519-0.232968))+0--231.2--0.117911999999977</f>
        <v>1281.1530550000002</v>
      </c>
      <c r="P248" s="3">
        <f>1416.3+(98.9-433.4)+(-0.722313+(-0.050439--0.221034))+0--229.5-0.117044999999977</f>
        <v>1310.6312370000001</v>
      </c>
      <c r="Q248" s="3">
        <f>1603.5+(39-541.3)+(-3.27114+(-0.07956--1.104252))+0--230.4-0.47001599999999</f>
        <v>1328.883536</v>
      </c>
      <c r="R248" s="3">
        <f>1672.5+(13.5-621.5)+(-4.264875+(-0.034425--1.584825))+0--229.1-0.584204999999967</f>
        <v>1290.30132</v>
      </c>
      <c r="S248" s="3">
        <f>1671.3+(18.4-623.1)+(-3.409452+(-0.037536--1.271124))+0--229.2-0.46756799999999</f>
        <v>1293.1565679999999</v>
      </c>
      <c r="T248" s="3">
        <f>1632.9+(35.2-617.6)+(-2.498337+(-0.053856--0.944928))+0--229.8-0.351594000000013</f>
        <v>1278.3411409999999</v>
      </c>
      <c r="U248" s="3">
        <f>1501.6+(87.3-531.2)+(-1.531632+(-0.089046--0.541824))+0--230.3-0.234906000000037</f>
        <v>1286.6862399999995</v>
      </c>
      <c r="V248" s="3">
        <f>1373.8+(118.5-399.4)+(-1.401276+(-0.12087--0.407388))+0--230.9-0.235518000000037</f>
        <v>1322.4497240000003</v>
      </c>
      <c r="W248" s="3">
        <f>1489.6+(134.1-319.2)+(0.759696+(0.068391-0.162792))+0--230.9--0.117758999999977</f>
        <v>1536.1830540000001</v>
      </c>
      <c r="X248" s="3">
        <f>1493.9+(179.8-310.9)+(-4.571334+(-0.550188--0.951354))+0--231.8-0.709308000000027</f>
        <v>1589.7205240000001</v>
      </c>
      <c r="Y248" s="3">
        <f>1502.7+(213.8-385.3)+(-5.364639+(-0.763266--1.375521))+0--232.3-0.829311000000003</f>
        <v>1557.9183050000001</v>
      </c>
      <c r="Z248" s="3">
        <f>1504.1+(211.5-429.5)+(-2.301273+(-0.323595--0.657135))+0--232.4-0.355572000000013</f>
        <v>1516.1766950000001</v>
      </c>
      <c r="AA248" s="3">
        <f>1348.8+(259.6-350)+(-1.375776+(-0.264792--0.357))+0--232-0.236640000000037</f>
        <v>1488.879792</v>
      </c>
      <c r="AB248" s="3">
        <f>1283.9+(261.4-365.9)+(-1.964367+(-0.399942--0.559827))+0--233.2-0.356796000000013</f>
        <v>1410.4387220000001</v>
      </c>
      <c r="AC248" s="3">
        <f>1241.1+(257.1-417.6)+(-0.632961+(-0.131121--0.212976))+0--234.6-0.119645999999976</f>
        <v>1314.5292480000001</v>
      </c>
      <c r="AD248">
        <v>1543.4</v>
      </c>
      <c r="AE248" s="3">
        <f>1445+(174-305.6)+(0+(0-0))+0--230-0</f>
        <v>1543.4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1341+(232.9-475)+(-2.05173+(-0.356337--0.72675))+0--235-0.359550000000014</f>
        <v>1331.8591329999999</v>
      </c>
      <c r="G249" s="3">
        <f>1259.2+(229.3-455.2)+(-1.284384+(-0.233886--0.464304))+0--234.9-0.239598000000037</f>
        <v>1266.9064360000002</v>
      </c>
      <c r="H249" s="3">
        <f>1124.4+(223.8-430.6)+(-2.293776+(-0.456552--0.878424))+0--235.1-0.47960399999999</f>
        <v>1150.3484920000003</v>
      </c>
      <c r="I249" s="3">
        <f>1057.8+(202-348.5)+(1.078956+(0.20604-0.35547))+0--214--0.218280000000034</f>
        <v>1126.4478060000001</v>
      </c>
      <c r="J249" s="3">
        <f>1115.1+(172.4-445.6)+(-2.274804+(-0.351696--0.909024))+0--208-0.424319999999991</f>
        <v>1047.7582039999998</v>
      </c>
      <c r="K249" s="3">
        <f>1092+(197.3-352)+(-1.67076+(-0.301869--0.53856))+0--210.2-0.321606000000012</f>
        <v>1145.7443249999999</v>
      </c>
      <c r="L249" s="3">
        <f>1128.3+(164-346.3)+(0+(0-0))+0--236.4-0</f>
        <v>1182.4000000000001</v>
      </c>
      <c r="M249" s="3">
        <f>1283+(123.9-377.1)+(0+(0-0))+0--214-0</f>
        <v>1243.8</v>
      </c>
      <c r="N249" s="3">
        <f>1435.1+(91.6-418)+(1.463802+(0.093432-0.42636))+0--225.1--0.229602000000036</f>
        <v>1335.1604759999998</v>
      </c>
      <c r="O249" s="3">
        <f>1437.7+(90-377.6)+(-0.733227+(-0.0459--0.192576))+0--231.4-0.118013999999977</f>
        <v>1380.795435</v>
      </c>
      <c r="P249" s="3">
        <f>1424.8+(89.6-338.1)+(-0.726648+(-0.045696--0.172431))+0--228.3-0.116432999999977</f>
        <v>1403.883654</v>
      </c>
      <c r="Q249" s="3">
        <f>1462.6+(100.8-366)+(-2.237778+(-0.154224--0.55998))+0--226.8-0.347004000000013</f>
        <v>1422.0209739999998</v>
      </c>
      <c r="R249" s="3">
        <f>1454.7+(88.6-393.8)+(-2.967588+(-0.180744--0.803352))+0--226.2-0.46144799999999</f>
        <v>1372.8935719999999</v>
      </c>
      <c r="S249" s="3">
        <f>1452.7+(93.6-420.8)+(1.481754+(0.095472-0.429216))+0--225.9--0.230418000000036</f>
        <v>1352.7784280000003</v>
      </c>
      <c r="T249" s="3">
        <f>1466+(121.2-486)+(-0.74766+(-0.061812--0.24786))+0--226.3-0.115412999999977</f>
        <v>1326.822975</v>
      </c>
      <c r="U249" s="3">
        <f>1472.5+(99.7-472.2)+(-0.750975+(-0.050847--0.240822))+0--226.5-0.115514999999977</f>
        <v>1325.8234850000001</v>
      </c>
      <c r="V249" s="3">
        <f>1513.7+(81.3-457.9)+(-0.771987+(-0.041463--0.233529))+0--227.7-0.116126999999977</f>
        <v>1364.1039520000002</v>
      </c>
      <c r="W249" s="3">
        <f>1530.9+(122-307.9)+(0.780759+(0.06222-0.157029))+0--227.3--0.115922999999977</f>
        <v>1573.1018730000001</v>
      </c>
      <c r="X249" s="3">
        <f>1523.4+(176.5-305.5)+(-4.661604+(-0.54009--0.93483))+0--228.8-0.700128000000027</f>
        <v>1618.2330080000002</v>
      </c>
      <c r="Y249" s="3">
        <f>1513.1+(156.6-328.1)+(-2.315043+(-0.239598--0.501993))+0--230.8-0.353124000000013</f>
        <v>1569.9942279999998</v>
      </c>
      <c r="Z249" s="3">
        <f>1524.9+(158.4-395.6)+(-3.110796+(-0.323136--0.807024))+0--231.2-0.47164799999999</f>
        <v>1515.8014440000002</v>
      </c>
      <c r="AA249" s="3">
        <f>1576.8+(136-454.1)+(-1.608336+(-0.13872--0.463182))+0--231.9-0.236538000000037</f>
        <v>1489.0795879999998</v>
      </c>
      <c r="AB249" s="3">
        <f>1537.1+(172.5-524.9)+(-2.351763+(-0.263925--0.803097))+0--233-0.356490000000013</f>
        <v>1415.5309189999996</v>
      </c>
      <c r="AC249" s="3">
        <f>1457.1+(189.8-536.5)+(-4.458726+(-0.580788--1.64169))+0--233.2-0.713592000000027</f>
        <v>1339.4885839999999</v>
      </c>
      <c r="AD249">
        <v>1630.8000000000002</v>
      </c>
      <c r="AE249" s="3">
        <f>1516+(192.7-306.9)+(0+(0-0))+0--229-0</f>
        <v>1630.8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1252.2+(184.4-414.4)+(1.277244+(0.188088-0.422688))+0--234.1--0.238782000000037</f>
        <v>1257.5814260000002</v>
      </c>
      <c r="G250" s="3">
        <f>1282.3+(180.6-476.6)+(-1.961919+(-0.276318--0.729198))+0--235-0.359550000000014</f>
        <v>1219.4314109999998</v>
      </c>
      <c r="H250" s="3">
        <f>1366.5+(164.1-573.2)+(-2.090745+(-0.251073--0.876996))+0--236.6-0.361998000000014</f>
        <v>1192.1731799999998</v>
      </c>
      <c r="I250" s="3">
        <f>1418.5+(153.8-672.4)+(-1.44687+(-0.156876--0.685848))+0--235.4-0.240108000000038</f>
        <v>1134.1419940000001</v>
      </c>
      <c r="J250" s="3">
        <f>1355.1+(179.4-694.4)+(-2.073303+(-0.274482--1.062432))+0--236.2-0.361386000000014</f>
        <v>1074.6532609999999</v>
      </c>
      <c r="K250" s="3">
        <f>1247.1+(164.5-439.1)+(-1.272042+(-0.16779--0.447882))+0--236.5-0.241230000000038</f>
        <v>1207.7668199999998</v>
      </c>
      <c r="L250" s="3">
        <f>1194.6+(122.1-378)+(-4.264722+(-0.435897--1.34946))+0--215.3-0.768621000000003</f>
        <v>1149.88022</v>
      </c>
      <c r="M250" s="3">
        <f>1097+(134.7-229)+(-1.11894+(-0.137394--0.23358))+0--164.7-0.167994000000026</f>
        <v>1166.2092519999999</v>
      </c>
      <c r="N250" s="3">
        <f>1286.6+(112.6-322.2)+(0.656166+(0.057426-0.164322))+0--165.4--0.0843539999999832</f>
        <v>1243.0336240000001</v>
      </c>
      <c r="O250" s="3">
        <f>1316.8+(162.1-330.2)+(-3.35784+(-0.413355--0.84201))+0--165.4-0.421769999999976</f>
        <v>1310.7490450000003</v>
      </c>
      <c r="P250" s="3">
        <f>1273.9+(165.2-300.7)+(-1.949067+(-0.252756--0.460071))+0--205.5-0.314415000000012</f>
        <v>1341.8438330000001</v>
      </c>
      <c r="Q250" s="3">
        <f>1315.2+(144.8-336.2)+(-1.341504+(-0.147696--0.342924))+0--233.5-0.238170000000037</f>
        <v>1355.9155540000002</v>
      </c>
      <c r="R250" s="3">
        <f>1384.8+(171.4-326.4)+(-2.824992+(-0.349656--0.665856))+0--233.4-0.47613599999999</f>
        <v>1460.215072</v>
      </c>
      <c r="S250" s="3">
        <f>1305.1+(160.4-266.9)+(-1.996803+(-0.245412--0.408357))+0--229-0.350370000000013</f>
        <v>1425.4157719999998</v>
      </c>
      <c r="T250" s="3">
        <f>1303.6+(169.8-235.2)+(0+(0-0))+0--163.6-0</f>
        <v>1401.7999999999997</v>
      </c>
      <c r="U250" s="3">
        <f>1304.3+(185.3-253.9)+(-0.665193+(-0.094503--0.129489))+0--164.2-0.0837419999999833</f>
        <v>1399.1860510000001</v>
      </c>
      <c r="V250" s="3">
        <f>1311.3+(201.7-242.4)+(1.337526+(0.205734-0.247248))+0--164.4--0.167688000000026</f>
        <v>1436.4637</v>
      </c>
      <c r="W250" s="3">
        <f>1469.5+(257.1-392.4)+(2.248335+(0.393363-0.600372))+0--231.4--0.354042000000013</f>
        <v>1567.9953680000001</v>
      </c>
      <c r="X250" s="3">
        <f>1515.6+(204.4-388.8)+(-1.545912+(-0.208488--0.396576))+0--233.5-0.238170000000037</f>
        <v>1563.1040059999998</v>
      </c>
      <c r="Y250" s="3">
        <f>1520.5+(142-368.4)+(-1.55091+(-0.14484--0.375768))+0--234.4-0.239088000000037</f>
        <v>1526.94093</v>
      </c>
      <c r="Z250" s="3">
        <f>1508+(123.2-367.1)+(-1.53816+(-0.125664--0.374442))+0--234-0.238680000000037</f>
        <v>1496.571938</v>
      </c>
      <c r="AA250" s="3">
        <f>1369+(142-280.8)+(-2.09457+(-0.21726--0.429624))+0--235.4-0.360162000000014</f>
        <v>1463.3576320000002</v>
      </c>
      <c r="AB250" s="3">
        <f>1363.4+(113.5-325.6)+(-0.695334+(-0.057885--0.166056))+0--235.9-0.120308999999976</f>
        <v>1386.4925280000004</v>
      </c>
      <c r="AC250" s="3">
        <f>1322.6+(112.2-379.4)+(-2.023578+(-0.171666--0.580482))+0--236.2-0.361386000000014</f>
        <v>1289.6238519999999</v>
      </c>
      <c r="AD250">
        <v>1600.3</v>
      </c>
      <c r="AE250" s="3">
        <f>1516+(264-412)+(0+(0-0))+0--232.3-0</f>
        <v>1600.3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1324.1+(140.7-472.2)+(-0.675291+(-0.071757--0.240822))+0--236.6-0.120665999999976</f>
        <v>1228.5731079999998</v>
      </c>
      <c r="G251" s="3">
        <f>1325.7+(93.2-482.3)+(0+(0-0))+0--237.1-0</f>
        <v>1173.7</v>
      </c>
      <c r="H251" s="3">
        <f>1264.3+(122.1-472.6)+(1.289586+(0.124542-0.482052))+0--240.7--0.245514000000038</f>
        <v>1155.67759</v>
      </c>
      <c r="I251" s="3">
        <f>1210.4+(129.8-436.8)+(3.08652+(0.33099-1.11384))+0--240.5--0.613274999999965</f>
        <v>1146.816945</v>
      </c>
      <c r="J251" s="3">
        <f>1257.6+(137.9-492.6)+(-0.641376+(-0.070329--0.251226))+0--241.1-0.122960999999976</f>
        <v>1143.4165599999999</v>
      </c>
      <c r="K251" s="3">
        <f>1391.8+(93.8-543.1)+(2.839272+(0.191352-1.107924))+0--239.1--0.48776399999999</f>
        <v>1184.010464</v>
      </c>
      <c r="L251" s="3">
        <f>1435.7+(110.2-514.3)+(2.196621+(0.168606-0.786879))+0--237.3--0.363069000000014</f>
        <v>1270.8414170000001</v>
      </c>
      <c r="M251" s="3">
        <f>1434.8+(118.3-453.5)+(-1.463496+(-0.120666--0.46257))+0--237.4-0.242148000000038</f>
        <v>1335.63626</v>
      </c>
      <c r="N251" s="3">
        <f>1444.6+(129.3-398.3)+(1.473492+(0.131886-0.406266))+0--236.2--0.240924000000038</f>
        <v>1413.2400359999999</v>
      </c>
      <c r="O251" s="3">
        <f>1551.5+(129.4-442.8)+(-2.373795+(-0.197982--0.677484))+0--235.9-0.360927000000014</f>
        <v>1471.74478</v>
      </c>
      <c r="P251" s="3">
        <f>1595.6+(107.5-429.6)+(1.627512+(0.10965-0.438192))+0--232.7--0.237354000000037</f>
        <v>1507.7363240000002</v>
      </c>
      <c r="Q251" s="3">
        <f>1572.5+(84.6-375.8)+(0+(0-0))+0--232.6-0</f>
        <v>1513.8999999999999</v>
      </c>
      <c r="R251" s="3">
        <f>1550.8+(100.4-422.8)+(-2.372724+(-0.153612--0.646884))+0--233.1-0.356643000000013</f>
        <v>1459.263905</v>
      </c>
      <c r="S251" s="3">
        <f>1594.1+(131.3-492.1)+(-0.812991+(-0.066963--0.250971))+0--230.6-0.117605999999977</f>
        <v>1463.1534109999998</v>
      </c>
      <c r="T251" s="3">
        <f>1604.5+(120.7-487.9)+(-0.818295+(-0.061557--0.248829))+0--229.8-0.117197999999977</f>
        <v>1466.3517790000001</v>
      </c>
      <c r="U251" s="3">
        <f>1590.9+(121.7-482.2)+(-2.434077+(-0.186201--0.737766))+0--230.1-0.352053000000013</f>
        <v>1458.265435</v>
      </c>
      <c r="V251" s="3">
        <f>1618.3+(107.9-460.2)+(1.650666+(0.110058-0.469404))+0--230.2--0.234804000000037</f>
        <v>1497.726124</v>
      </c>
      <c r="W251" s="3">
        <f>1670.6+(87.2-296.8)+(0.852006+(0.044472-0.151368))+0--230.1--0.117350999999977</f>
        <v>1691.9624609999998</v>
      </c>
      <c r="X251" s="3">
        <f>1884+(27-408.2)+(-2.88252+(-0.04131--0.624546))+0--230.4-0.352512000000013</f>
        <v>1730.5482040000002</v>
      </c>
      <c r="Y251" s="3">
        <f>1832.2+(85.1-464.9)+(-0.934422+(-0.043401--0.237099))+0--230.7-0.117656999999977</f>
        <v>1682.2416190000001</v>
      </c>
      <c r="Z251" s="3">
        <f>1776.8+(114.8-498.4)+(-1.812336+(-0.117096--0.508368))+0--231.9-0.236538000000037</f>
        <v>1623.4423980000001</v>
      </c>
      <c r="AA251" s="3">
        <f>1783.6+(139.9-569.7)+(-1.819272+(-0.142698--0.581094))+0--232.2-0.236844000000037</f>
        <v>1584.3822799999998</v>
      </c>
      <c r="AB251" s="3">
        <f>1785.8+(93.2-623.8)+(-0.910758+(-0.047532--0.318138))+0--231.9-0.118268999999976</f>
        <v>1486.3415790000001</v>
      </c>
      <c r="AC251" s="3">
        <f>1539.7+(128.7-563.7)+(-0.785247+(-0.065637--0.287487))+0--232.7-0.118676999999976</f>
        <v>1336.7179260000003</v>
      </c>
      <c r="AD251">
        <v>1753</v>
      </c>
      <c r="AE251" s="3">
        <f>1824+(36.8-340.8)+(0+(0-0))+0--233-0</f>
        <v>1753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1528.8+(145.7-632.8)+(-1.559376+(-0.148614--0.645456))+0--233-0.237660000000037</f>
        <v>1273.3998060000001</v>
      </c>
      <c r="G252" s="3">
        <f>1427.4+(196.1-634)+(-1.455948+(-0.200022--0.64668))+0--233-0.237660000000037</f>
        <v>1221.25305</v>
      </c>
      <c r="H252" s="3">
        <f>1434.6+(216.9-684)+(1.463292+(0.221238-0.69768))+0--233--0.237660000000037</f>
        <v>1201.7245099999998</v>
      </c>
      <c r="I252" s="3">
        <f>1308.4+(185.8-545.2)+(2.001852+(0.284274-0.834156))+0--233--0.356490000000013</f>
        <v>1183.8084600000002</v>
      </c>
      <c r="J252" s="3">
        <f>1277.1+(190.8-521.3)+(3.256605+(0.48654-1.329315))+0--233--0.594149999999966</f>
        <v>1182.6079799999998</v>
      </c>
      <c r="K252" s="3">
        <f>1428.2+(186.3-602.4)+(2.185146+(0.285039-0.921672))+0--233--0.356490000000013</f>
        <v>1247.0050030000002</v>
      </c>
      <c r="L252" s="3">
        <f>1437.8+(174.7-515.5)+(-2.933112+(-0.356388--1.05162))+0--235.5-0.48041999999999</f>
        <v>1329.7817</v>
      </c>
      <c r="M252" s="3">
        <f>1383+(172.8-425.3)+(-0.70533+(-0.088128--0.216903))+0--238.7-0.121736999999976</f>
        <v>1368.501708</v>
      </c>
      <c r="N252" s="3">
        <f>1559.8+(120.2-462.1)+(1.590996+(0.122604-0.471342))+0--234.2--0.238884000000037</f>
        <v>1453.581142</v>
      </c>
      <c r="O252" s="3">
        <f>1580.6+(75.2-377.6)+(0+(0-0))+0--231.7-0</f>
        <v>1509.8999999999999</v>
      </c>
      <c r="P252" s="3">
        <f>1599.2+(63.2-345)+(0.815592+(0.032232-0.17595))+0--228.7--0.116636999999977</f>
        <v>1546.8885110000001</v>
      </c>
      <c r="Q252" s="3">
        <f>1545.7+(78.2-302.7)+(-1.576614+(-0.079764--0.308754))+0--223.2-0.227664000000036</f>
        <v>1542.8247120000001</v>
      </c>
      <c r="R252" s="3">
        <f>1568.8+(68-373)+(-4.800528+(-0.20808--1.14138))+0--222.3-0.680238000000026</f>
        <v>1481.5525339999999</v>
      </c>
      <c r="S252" s="3">
        <f>1575.4+(87.6-426.2)+(-4.01727+(-0.22338--1.08681))+0--225.3-0.574514999999967</f>
        <v>1458.3716450000002</v>
      </c>
      <c r="T252" s="3">
        <f>1550.4+(102.6-412.4)+(-1.581408+(-0.104652--0.420648))+0--224.8-0.229296000000036</f>
        <v>1463.9052920000001</v>
      </c>
      <c r="U252" s="3">
        <f>1520+(78.1-362.3)+(1.5504+(0.079662-0.369546))+0--224.7--0.229194000000036</f>
        <v>1461.9897100000001</v>
      </c>
      <c r="V252" s="3">
        <f>1542.2+(48.9-324.8)+(1.573044+(0.049878-0.331296))+0--224.9--0.229398000000036</f>
        <v>1492.7210239999999</v>
      </c>
      <c r="W252" s="3">
        <f>1570.5+(152.5-334.4)+(2.402865+(0.233325-0.511632))+0--227--0.347310000000013</f>
        <v>1618.071868</v>
      </c>
      <c r="X252" s="3">
        <f>1658.3+(171.9-327.2)+(-2.537199+(-0.263007--0.500616))+0--225.8-0.345474000000013</f>
        <v>1726.1549359999999</v>
      </c>
      <c r="Y252" s="3">
        <f>1663.8+(109.6-328.8)+(-1.697076+(-0.111792--0.335376))+0--225-0.229500000000036</f>
        <v>1667.8970079999997</v>
      </c>
      <c r="Z252" s="3">
        <f>1669.5+(87.7-369.6)+(-0.851445+(-0.044727--0.188496))+0--225-0.114749999999977</f>
        <v>1611.777574</v>
      </c>
      <c r="AA252" s="3">
        <f>1647.1+(113.2-413.5)+(-1.680042+(-0.115464--0.42177))+0--225.9-0.230418000000036</f>
        <v>1571.0958459999999</v>
      </c>
      <c r="AB252" s="3">
        <f>1620+(75.6-434.6)+(-4.9572+(-0.231336--1.329876))+0--228.4-0.698904000000026</f>
        <v>1484.8424359999999</v>
      </c>
      <c r="AC252" s="3">
        <f>1380.4+(135.3-432.9)+(-3.52002+(-0.345015--1.103895))+0--231.3-0.589814999999966</f>
        <v>1310.749045</v>
      </c>
      <c r="AD252">
        <v>1771.5</v>
      </c>
      <c r="AE252" s="3">
        <f>1648+(212.2-319.7)+(0+(0-0))+0--231-0</f>
        <v>1771.5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1291.9+(124-380.3)+(-0.658869+(-0.06324--0.193953))+0--231-0.117809999999977</f>
        <v>1265.9540340000001</v>
      </c>
      <c r="G253" s="3">
        <f>1264.8+(103.5-389.2)+(-2.580192+(-0.21114--0.793968))+0--232-0.47327999999999</f>
        <v>1208.6293560000001</v>
      </c>
      <c r="H253" s="3">
        <f>1196.8+(125.4-388.1)+(1.831104+(0.191862-0.593793))+2.3--232--0.354960000000013</f>
        <v>1170.184133</v>
      </c>
      <c r="I253" s="3">
        <f>1197.5+(112.8-384.1)+(-1.832175+(-0.172584--0.587673))+5--232-0.354960000000013</f>
        <v>1161.4279539999998</v>
      </c>
      <c r="J253" s="3">
        <f>1228.8+(124.1-428.4)+(2.506752+(0.253164-0.873936))+5--233--0.47531999999999</f>
        <v>1164.8613</v>
      </c>
      <c r="K253" s="3">
        <f>1350.8+(99.4-461.3)+(0.688908+(0.050694-0.235263))+2.9--234--0.119339999999976</f>
        <v>1226.4236789999998</v>
      </c>
      <c r="L253" s="3">
        <f>1355.2+(90.5-388.2)+(-0.691152+(-0.046155--0.197982))+0--236-0.120359999999976</f>
        <v>1292.8403150000001</v>
      </c>
      <c r="M253" s="3">
        <f>1353.5+(89.9-327.4)+(-0.690285+(-0.045849--0.166974))+0--236-0.120359999999976</f>
        <v>1351.3104800000001</v>
      </c>
      <c r="N253" s="3">
        <f>1367.2+(159-311.7)+(-0.697272+(-0.08109--0.158967))+0--234-0.119339999999976</f>
        <v>1447.7612650000001</v>
      </c>
      <c r="O253" s="3">
        <f>1423.1+(134.3-299.9)+(-0.725781+(-0.068493--0.152949))+0--232-0.118319999999976</f>
        <v>1488.7403549999999</v>
      </c>
      <c r="P253" s="3">
        <f>1413.7+(154.4-284.2)+(-0.720987+(-0.078744--0.144942))+0--230-0.117299999999977</f>
        <v>1513.1279110000003</v>
      </c>
      <c r="Q253" s="3">
        <f>1448.6+(136.6-299.5)+(-2.216358+(-0.208998--0.458235))+0--234-0.358020000000014</f>
        <v>1517.3748589999998</v>
      </c>
      <c r="R253" s="3">
        <f>1441.7+(155-343.8)+(-2.205801+(-0.23715--0.526014))+0--229.2-0.350676000000013</f>
        <v>1479.8323870000002</v>
      </c>
      <c r="S253" s="3">
        <f>1433.3+(171-340.8)+(-0.730983+(-0.08721--0.173808))+0--228.5-0.116534999999977</f>
        <v>1491.2390800000001</v>
      </c>
      <c r="T253" s="3">
        <f>1427.1+(158.2-328.2)+(2.183463+(0.242046-0.502146))+0--228.2--0.349146000000013</f>
        <v>1487.5725090000001</v>
      </c>
      <c r="U253" s="3">
        <f>1427.6+(172.2-344)+(0+(0-0))+0--228.5-0</f>
        <v>1484.3</v>
      </c>
      <c r="V253" s="3">
        <f>1536.3+(129.7-387.1)+(-3.134052+(-0.264588--0.789684))+0--229.3-0.46777199999999</f>
        <v>1505.1232719999998</v>
      </c>
      <c r="W253" s="3">
        <f>1573.9+(275.6-354.7)+(0.802689+(0.140556-0.180897))+0--228.9--0.116738999999977</f>
        <v>1724.5790870000003</v>
      </c>
      <c r="X253" s="3">
        <f>1572.6+(317-349)+(-2.406078+(-0.48501--0.53397))+0--226.5-0.346545000000013</f>
        <v>1764.3963369999999</v>
      </c>
      <c r="Y253" s="3">
        <f>1458.7+(350.6-331)+(0+(0-0))+0--226.6-0</f>
        <v>1704.9</v>
      </c>
      <c r="Z253" s="3">
        <f>1475+(275.8-330)+(0+(0-0))+0--227-0</f>
        <v>1647.8</v>
      </c>
      <c r="AA253" s="3">
        <f>1479.3+(237.7-330)+(-3.017772+(-0.484908--0.6732))+0--228.2-0.46552799999999</f>
        <v>1611.904992</v>
      </c>
      <c r="AB253" s="3">
        <f>1480.7+(249.4-415)+(-5.286099+(-0.890358--1.48155))+0--228.3-0.815031000000003</f>
        <v>1537.8900619999999</v>
      </c>
      <c r="AC253" s="3">
        <f>1436.6+(255.7-485)+(-3.66333+(-0.652035--1.23675))+0--229.1-0.584204999999967</f>
        <v>1432.7371800000001</v>
      </c>
      <c r="AD253">
        <v>1804.6</v>
      </c>
      <c r="AE253" s="3">
        <f>1563+(354.1-342.5)+(0+(0-0))+0--230-0</f>
        <v>1804.6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1439.9+(263.6-595.3)+(-5.140443+(-0.941052--2.125221))+0--232.1-0.828597000000003</f>
        <v>1335.5151290000003</v>
      </c>
      <c r="G254" s="3">
        <f>1374.5+(249.1-582.3)+(-2.80398+(-0.508164--1.187892))+0--232-0.47327999999999</f>
        <v>1270.7024680000002</v>
      </c>
      <c r="H254" s="3">
        <f>1222.5+(269.4-495.2)+(0+(0-0))+0--232.1-0</f>
        <v>1228.8</v>
      </c>
      <c r="I254" s="3">
        <f>1278.4+(271.1-558.7)+(-1.303968+(-0.276522--0.569874))+0--230.6-0.235212000000037</f>
        <v>1220.154172</v>
      </c>
      <c r="J254" s="3">
        <f>1321.6+(230-562)+(0+(0-0))+0--230-0</f>
        <v>1219.5999999999999</v>
      </c>
      <c r="K254" s="3">
        <f>1400.9+(214.4-575)+(2.143377+(0.328032-0.87975))+0--229.1--0.350523000000013</f>
        <v>1271.3421820000001</v>
      </c>
      <c r="L254" s="3">
        <f>1379.9+(181.5-454.3)+(-2.814996+(-0.37026--0.926772))+0--229.3-0.46777199999999</f>
        <v>1333.6737440000002</v>
      </c>
      <c r="M254" s="3">
        <f>1288.3+(237.7-359.5)+(-0.657033+(-0.121227--0.183345))+0--229.9-0.117248999999977</f>
        <v>1395.6878360000003</v>
      </c>
      <c r="N254" s="3">
        <f>1394.3+(246-377)+(0+(0-0))+0--228.2-0</f>
        <v>1491.5</v>
      </c>
      <c r="O254" s="3">
        <f>1393+(253.6-327.1)+(-0.71043+(-0.129336--0.166821))+0--225.2-0.114851999999977</f>
        <v>1543.9122030000001</v>
      </c>
      <c r="P254" s="3">
        <f>1378+(276.6-291.8)+(-2.81112+(-0.564264--0.595272))+0--219.2-0.44716799999999</f>
        <v>1578.7727200000002</v>
      </c>
      <c r="Q254" s="3">
        <f>1416.8+(251.5-307.7)+(-3.61284+(-0.641325--0.784635))+0--218.6-0.557429999999968</f>
        <v>1575.1730399999997</v>
      </c>
      <c r="R254" s="3">
        <f>1413+(213.1-307)+(-3.60315+(-0.543405--0.78285))+0--218.7-0.557684999999968</f>
        <v>1533.87861</v>
      </c>
      <c r="S254" s="3">
        <f>1417.8+(225.2-315.7)+(-2.169234+(-0.344556--0.483021))+0--222.4-0.340272000000013</f>
        <v>1547.3289590000002</v>
      </c>
      <c r="T254" s="3">
        <f>1432.5+(223.5-327.6)+(-2.191725+(-0.341955--0.501228))+0--224.1-0.342873000000013</f>
        <v>1550.124675</v>
      </c>
      <c r="U254" s="3">
        <f>1446.3+(209.7-322.4)+(-1.475226+(-0.213894--0.328848))+0--228-0.232560000000036</f>
        <v>1560.0071679999999</v>
      </c>
      <c r="V254" s="3">
        <f>1474.9+(224.7-310.3)+(0+(0-0))+0--225-0</f>
        <v>1614.3000000000002</v>
      </c>
      <c r="W254" s="3">
        <f>1470+(426.7-364)+(2.9988+(0.870468-0.74256))+0--223.2--0.45532799999999</f>
        <v>1759.4820360000001</v>
      </c>
      <c r="X254" s="3">
        <f>1435.6+(490.3-388.4)+(-2.196468+(-0.750159--0.594252))+0--223.8-0.342414000000013</f>
        <v>1758.6052110000001</v>
      </c>
      <c r="Y254" s="3">
        <f>1432.7+(401.4-352.7)+(-4.384062+(-1.228284--1.079262))+0--225.1-0.688806000000026</f>
        <v>1701.27811</v>
      </c>
      <c r="Z254" s="3">
        <f>1436.8+(342-362.3)+(-2.198304+(-0.52326--0.554319))+0--225.1-0.344403000000013</f>
        <v>1639.0883519999998</v>
      </c>
      <c r="AA254" s="3">
        <f>1435.2+(273.1-347)+(-2.195856+(-0.417843--0.53091))+0--225.8-0.345474000000013</f>
        <v>1584.6717370000001</v>
      </c>
      <c r="AB254" s="3">
        <f>1438.6+(180.9-341.2)+(-0.733686+(-0.092259--0.174012))+0--226.8-0.115667999999977</f>
        <v>1504.3323989999999</v>
      </c>
      <c r="AC254" s="3">
        <f>1387.6+(154.9-373.1)+(-3.53838+(-0.394995--0.951405))+0--230.2-0.587009999999967</f>
        <v>1396.0310199999999</v>
      </c>
      <c r="AD254">
        <v>1766</v>
      </c>
      <c r="AE254" s="3">
        <f>1440+(516.4-414.4)+(0+(0-0))+0--224-0</f>
        <v>1766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1351.5+(107.5-377.2)+(-2.75706+(-0.2193--0.769488))+0--231.7-0.47266799999999</f>
        <v>1310.8204600000001</v>
      </c>
      <c r="G255" s="3">
        <f>1290.8+(79.1-349.1)+(0.658308+(0.040341-0.178041))+0--232.5--0.118574999999976</f>
        <v>1253.939183</v>
      </c>
      <c r="H255" s="3">
        <f>1101.1+(114.5-230.1)+(1.123122+(0.11679-0.234702))+0--232.8--0.237456000000037</f>
        <v>1219.5426660000001</v>
      </c>
      <c r="I255" s="3">
        <f>1126.8+(126.1-279.7)+(-1.724004+(-0.192933--0.427941))+0--232.7-0.356031000000013</f>
        <v>1204.0549729999998</v>
      </c>
      <c r="J255" s="3">
        <f>1134+(104.5-278.7)+(-0.57834+(-0.053295--0.142137))+0--233.3-0.118982999999976</f>
        <v>1192.4915189999999</v>
      </c>
      <c r="K255" s="3">
        <f>1196.3+(112.5-312.1)+(2.440452+(0.2295-0.636684))+0--232.8--0.47491199999999</f>
        <v>1232.0081799999998</v>
      </c>
      <c r="L255" s="3">
        <f>1271.2+(145-364.9)+(0+(0-0))+0--230.6-0</f>
        <v>1281.9000000000001</v>
      </c>
      <c r="M255" s="3">
        <f>1296.2+(142.7-340.3)+(-0.661062+(-0.072777--0.173553))+0--231.9-0.118268999999976</f>
        <v>1329.821445</v>
      </c>
      <c r="N255" s="3">
        <f>1368.1+(131.1-339.9)+(0+(0-0))+0--231-0</f>
        <v>1390.3</v>
      </c>
      <c r="O255" s="3">
        <f>1371.5+(153.9-320.9)+(0+(0-0))+0--231.3-0</f>
        <v>1435.8</v>
      </c>
      <c r="P255" s="3">
        <f>1385.5+(225.5-351.1)+(-0.706605+(-0.115005--0.179061))+0--238.1-0.121430999999976</f>
        <v>1497.2360200000001</v>
      </c>
      <c r="Q255" s="3">
        <f>1410.4+(185.5-361.4)+(-0.719304+(-0.094605--0.184314))+0--227.3-0.115922999999977</f>
        <v>1461.0544819999998</v>
      </c>
      <c r="R255" s="3">
        <f>1410+(121-383.7)+(0+(0-0))+0--228-0</f>
        <v>1375.3</v>
      </c>
      <c r="S255" s="3">
        <f>1378.1+(124.4-387.5)+(0+(0-0))+0--227.8-0</f>
        <v>1342.8</v>
      </c>
      <c r="T255" s="3">
        <f>1351.5+(143.2-398)+(1.37853+(0.146064-0.40596))+0--228.2--0.232764000000036</f>
        <v>1326.2513980000001</v>
      </c>
      <c r="U255" s="3">
        <f>1345.6+(143.7-394.2)+(-1.372512+(-0.146574--0.402084))+0--229.7-0.234294000000037</f>
        <v>1323.4487039999999</v>
      </c>
      <c r="V255" s="3">
        <f>1378.7+(166.6-420)+(0+(0-0))+0--229.3-0</f>
        <v>1354.6</v>
      </c>
      <c r="W255" s="3">
        <f>1462.7+(365.5-491.9)+(0+(0-0))+0--229.1-0</f>
        <v>1565.4</v>
      </c>
      <c r="X255" s="3">
        <f>1452.8+(310-381.8)+(-2.222784+(-0.4743--0.584154))+0--229.8-0.351594000000013</f>
        <v>1608.335476</v>
      </c>
      <c r="Y255" s="3">
        <f>1408.2+(247.3-321.1)+(-2.872728+(-0.504492--0.655044))+0--230.3-0.46981199999999</f>
        <v>1561.508012</v>
      </c>
      <c r="Z255" s="3">
        <f>1410+(192.9-323.5)+(-1.4382+(-0.196758--0.32997))+0--230.7-0.235314000000037</f>
        <v>1508.559698</v>
      </c>
      <c r="AA255" s="3">
        <f>1409.4+(198.4-361.8)+(-2.156382+(-0.303552--0.553554))+0--230.7-0.352971000000013</f>
        <v>1474.4406490000001</v>
      </c>
      <c r="AB255" s="3">
        <f>1410.8+(188.7-418.9)+(-2.878032+(-0.384948--0.854556))+0--231.2-0.47164799999999</f>
        <v>1408.919928</v>
      </c>
      <c r="AC255" s="3">
        <f>1367.4+(175.2-453.2)+(-2.789496+(-0.357408--0.924528))+0--231-0.47123999999999</f>
        <v>1317.7063840000001</v>
      </c>
      <c r="AD255">
        <v>1636</v>
      </c>
      <c r="AE255" s="3">
        <f>1499+(334.1-426.1)+(0+(0-0))+0--229-0</f>
        <v>1636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1324.7+(166.6-481.6)+(-2.026791+(-0.254898--0.736848))+0--231.4-0.354042000000013</f>
        <v>1239.2011170000001</v>
      </c>
      <c r="G256" s="3">
        <f>1294.3+(167.8-508.8)+(-5.280744+(-0.684624--2.075904))+0--231.7-0.94533599999998</f>
        <v>1180.1651999999999</v>
      </c>
      <c r="H256" s="3">
        <f>1219.2+(186.7-448.3)+(-4.352544+(-0.666519--1.600431))+0--231.6-0.826812000000003</f>
        <v>1184.9545559999999</v>
      </c>
      <c r="I256" s="3">
        <f>1173.3+(193.6-476.7)+(-2.393532+(-0.394944--0.972468))+0--231.4-0.47205599999999</f>
        <v>1119.3119359999998</v>
      </c>
      <c r="J256" s="3">
        <f>1178.2+(154.5-450.1)+(-0.600882+(-0.078795--0.229551))+0--231.6-0.118115999999977</f>
        <v>1113.6317580000002</v>
      </c>
      <c r="K256" s="3">
        <f>1210+(126.1-389.5)+(0+(0-0))+0--231.9-0</f>
        <v>1178.5</v>
      </c>
      <c r="L256" s="3">
        <f>1314.8+(144.7-495.4)+(-1.341096+(-0.147594--0.505308))+0--232.8-0.237456000000037</f>
        <v>1195.6791619999999</v>
      </c>
      <c r="M256" s="3">
        <f>1371.3+(114.3-466.1)+(0.699363+(0.058293-0.237711))+0--231.5--0.118064999999977</f>
        <v>1251.6380099999999</v>
      </c>
      <c r="N256" s="3">
        <f>1228.2+(149.8-264.7)+(1.252764+(0.152796-0.269994))+0--229.1--0.233682000000037</f>
        <v>1343.7692480000001</v>
      </c>
      <c r="O256" s="3">
        <f>1238.8+(169.5-237)+(-0.631788+(-0.086445--0.12087))+0--228.4-0.116483999999977</f>
        <v>1398.9861530000001</v>
      </c>
      <c r="P256" s="3">
        <f>1301.1+(185.4-242.4)+(0+(0-0))+0--226.5-0</f>
        <v>1470.6</v>
      </c>
      <c r="Q256" s="3">
        <f>1315.3+(146.1-260.4)+(-2.012409+(-0.223533--0.398412))+0--226-0.345780000000013</f>
        <v>1424.8166899999999</v>
      </c>
      <c r="R256" s="3">
        <f>1330.3+(91-287.2)+(-4.070718+(-0.27846--0.878832))+0--226.2-0.692172000000026</f>
        <v>1356.1374819999999</v>
      </c>
      <c r="S256" s="3">
        <f>1366.4+(67.1-323.7)+(-3.48432+(-0.171105--0.825435))+0--225.9-0.576044999999967</f>
        <v>1332.2939650000003</v>
      </c>
      <c r="T256" s="3">
        <f>1357+(69.4-338.1)+(0.69207+(0.035394-0.172431))+0--225.4--0.114953999999977</f>
        <v>1314.369987</v>
      </c>
      <c r="U256" s="3">
        <f>1326.3+(58.9-321.9)+(-2.029239+(-0.090117--0.492507))+0--225.3-0.344709000000013</f>
        <v>1286.6284419999999</v>
      </c>
      <c r="V256" s="3">
        <f>1354.8+(60.2-325.2)+(0+(0-0))+0--227.6-0</f>
        <v>1317.3999999999999</v>
      </c>
      <c r="W256" s="3">
        <f>1471.1+(187.9-335.8)+(-0.750261+(-0.095829--0.171258))+0--228.1-0.116330999999977</f>
        <v>1550.5088369999999</v>
      </c>
      <c r="X256" s="3">
        <f>1478.2+(199.8-305.1)+(1.507764+(0.203796-0.311202))+0--228.2--0.232764000000036</f>
        <v>1602.7331220000003</v>
      </c>
      <c r="Y256" s="3">
        <f>1451.2+(173-298.4)+(-2.960448+(-0.35292--0.608736))+0--229.4-0.46797599999999</f>
        <v>1552.0273920000004</v>
      </c>
      <c r="Z256" s="3">
        <f>1455.4+(162.5-338.7)+(-2.969016+(-0.3315--0.690948))+0--229.7-0.46858799999999</f>
        <v>1505.8218440000001</v>
      </c>
      <c r="AA256" s="3">
        <f>1458+(155.2-373.4)+(0.74358+(0.079152-0.190434))+0--230.6--0.117605999999977</f>
        <v>1471.1499039999999</v>
      </c>
      <c r="AB256" s="3">
        <f>1460.6+(131.2-411.6)+(-0.744906+(-0.066912--0.209916))+0--229.4-0.116993999999977</f>
        <v>1408.8811039999998</v>
      </c>
      <c r="AC256" s="3">
        <f>1415.2+(147.4-454.9)+(-2.165256+(-0.225522--0.695997))+0--231.6-0.354348000000013</f>
        <v>1337.250871</v>
      </c>
      <c r="AD256">
        <v>1641.6</v>
      </c>
      <c r="AE256" s="3">
        <f>1475+(236.8-298.2)+(0+(0-0))+0--228-0</f>
        <v>1641.6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1416.8+(166.6-538.3)+(-3.61284+(-0.42483--1.372665))+0--231.9-0.591344999999966</f>
        <v>1273.7436499999999</v>
      </c>
      <c r="G257" s="3">
        <f>1371.3+(90.6-543.4)+(-1.398726+(-0.092412--0.554268))+0--232-0.236640000000037</f>
        <v>1149.3264899999999</v>
      </c>
      <c r="H257" s="3">
        <f>1353.2+(56-506.8)+(-1.380264+(-0.05712--0.516936))+0--233-0.237660000000037</f>
        <v>1134.2418920000002</v>
      </c>
      <c r="I257" s="3">
        <f>1217.5+(61.1-369.6)+(-0.620925+(-0.031161--0.188496))+0--233.3-0.118982999999976</f>
        <v>1141.717427</v>
      </c>
      <c r="J257" s="3">
        <f>1199.5+(55-361.6)+(-0.611745+(-0.02805--0.184416))+0--231.3-0.117962999999977</f>
        <v>1123.6266580000001</v>
      </c>
      <c r="K257" s="3">
        <f>1296.5+(53.6-372.9)+(2.64486+(0.109344-0.760716))+0--234--0.47735999999999</f>
        <v>1213.670848</v>
      </c>
      <c r="L257" s="3">
        <f>1438.8+(50-520.1)+(-1.467576+(-0.051--0.530502))+0--237.2-0.241944000000038</f>
        <v>1204.6699819999999</v>
      </c>
      <c r="M257" s="3">
        <f>1443.2+(64.1-463.8)+(0+(0-0))+0--177.3-0</f>
        <v>1220.8</v>
      </c>
      <c r="N257" s="3">
        <f>1436.4+(82.3-409.5)+(0+(0-0))+0--163.3-0</f>
        <v>1272.5</v>
      </c>
      <c r="O257" s="3">
        <f>1421.4+(113.8-377.5)+(-0.724914+(-0.058038--0.192525))+0--188.7-0.0962369999999809</f>
        <v>1345.713336</v>
      </c>
      <c r="P257" s="3">
        <f>1396.8+(155-401.4)+(-2.137104+(-0.23715--0.614142))+0--231.3-0.353889000000013</f>
        <v>1379.5859990000001</v>
      </c>
      <c r="Q257" s="3">
        <f>1432.3+(136.5-416.5)+(-2.921892+(-0.27846--0.84966))+0--230.3-0.46981199999999</f>
        <v>1379.7794959999999</v>
      </c>
      <c r="R257" s="3">
        <f>1501.7+(89-483.2)+(-3.829335+(-0.22695--1.23216))+0--228.6-0.582929999999967</f>
        <v>1332.6929449999998</v>
      </c>
      <c r="S257" s="3">
        <f>1555.7+(57.3-538.6)+(-1.586814+(-0.058446--0.549372))+0--228.3-0.232866000000036</f>
        <v>1301.3712459999999</v>
      </c>
      <c r="T257" s="3">
        <f>1422+(103.8-463.4)+(0+(0-0))+0--228.3-0</f>
        <v>1290.7</v>
      </c>
      <c r="U257" s="3">
        <f>1391.2+(105-447.1)+(2.128536+(0.16065-0.684063))+0--228.4--0.349452000000013</f>
        <v>1279.454575</v>
      </c>
      <c r="V257" s="3">
        <f>1401.7+(117.4-431.3)+(0+(0-0))+0--228.6-0</f>
        <v>1316.4</v>
      </c>
      <c r="W257" s="3">
        <f>1488.3+(287.8-462.4)+(-1.518066+(-0.293556--0.471648))+0--229.3-0.233886000000037</f>
        <v>1541.42614</v>
      </c>
      <c r="X257" s="3">
        <f>1552.2+(254.2-433.5)+(-0.791622+(-0.129642--0.221085))+0--230.5-0.117554999999977</f>
        <v>1602.5822660000001</v>
      </c>
      <c r="Y257" s="3">
        <f>1550+(230.2-444)+(-2.3715+(-0.352206--0.67932))+0--231.3-0.353889000000013</f>
        <v>1565.101725</v>
      </c>
      <c r="Z257" s="3">
        <f>1551.5+(131.3-403.5)+(-1.58253+(-0.133926--0.41157))+0--232.3-0.236946000000037</f>
        <v>1510.058168</v>
      </c>
      <c r="AA257" s="3">
        <f>1556.1+(94.5-398.2)+(0.793611+(0.048195-0.203082))+0--231.9--0.118268999999976</f>
        <v>1485.0569929999999</v>
      </c>
      <c r="AB257" s="3">
        <f>1569.3+(68.7-442.8)+(1.600686+(0.070074-0.451656))+0--233--0.237660000000037</f>
        <v>1429.6567639999998</v>
      </c>
      <c r="AC257" s="3">
        <f>1450.4+(63.1-393.4)+(0+(0-0))+0--237.9-0</f>
        <v>1358.0000000000002</v>
      </c>
      <c r="AD257">
        <v>1608.8</v>
      </c>
      <c r="AE257" s="3">
        <f>1552+(276.8-448.8)+(0+(0-0))+0--228.8-0</f>
        <v>1608.8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1445.7+(48-470.7)+(-1.474614+(-0.04896--0.480114))+0--235.4-0.240108000000038</f>
        <v>1257.116432</v>
      </c>
      <c r="G258" s="3">
        <f>1465.3+(48-563.3)+(-0.747303+(-0.02448--0.287283))+0--235.8-0.120257999999976</f>
        <v>1185.195242</v>
      </c>
      <c r="H258" s="3">
        <f>1468+(50-599.2)+(-1.49736+(-0.051--0.611184))+0--235.3-0.240006000000038</f>
        <v>1152.922818</v>
      </c>
      <c r="I258" s="3">
        <f>1416+(58.4-567.9)+(-0.72216+(-0.029784--0.289629))+0--234.7-0.119696999999976</f>
        <v>1140.617988</v>
      </c>
      <c r="J258" s="3">
        <f>1372.3+(73.6-506.4)+(0.699873+(0.037536-0.258264))+0--238.3--0.121532999999976</f>
        <v>1178.400678</v>
      </c>
      <c r="K258" s="3">
        <f>1428.2+(52-532)+(-0.728382+(-0.02652--0.27132))+0--240.4-0.122603999999976</f>
        <v>1187.9938140000002</v>
      </c>
      <c r="L258" s="3">
        <f>1458.9+(50-474.8)+(-0.744039+(-0.0255--0.242148))+0--236.9-0.120818999999976</f>
        <v>1270.3517900000002</v>
      </c>
      <c r="M258" s="3">
        <f>1458.5+(58.6-425.3)+(-2.231505+(-0.089658--0.650709))+0--235.5-0.360315000000014</f>
        <v>1325.269231</v>
      </c>
      <c r="N258" s="3">
        <f>1528.7+(74.7-435)+(-0.779637+(-0.038097--0.22185))+0--233.1-0.118880999999976</f>
        <v>1400.7852350000001</v>
      </c>
      <c r="O258" s="3">
        <f>1537.2+(104.1-418.1)+(-1.567944+(-0.106182--0.426462))+0--230.9-0.235518000000037</f>
        <v>1452.6168180000002</v>
      </c>
      <c r="P258" s="3">
        <f>1519+(118.3-392.1)+(-0.77469+(-0.060333--0.199971))+0--228.4-0.116483999999977</f>
        <v>1472.8484640000001</v>
      </c>
      <c r="Q258" s="3">
        <f>1553.2+(120.3-429.4)+(-0.792132+(-0.061353--0.218994))+0--228.4-0.116483999999977</f>
        <v>1471.7490250000003</v>
      </c>
      <c r="R258" s="3">
        <f>1541.1+(88.9-475.6)+(-3.143844+(-0.181356--0.970224))+0--226.5-0.46205999999999</f>
        <v>1378.0829639999997</v>
      </c>
      <c r="S258" s="3">
        <f>1529+(88.4-454.2)+(-0.77979+(-0.045084--0.231642))+0--225.1-0.114800999999977</f>
        <v>1387.5919670000001</v>
      </c>
      <c r="T258" s="3">
        <f>1526.3+(68.7-450.7)+(-3.113652+(-0.140148--0.919428))+0--225.1-0.45920399999999</f>
        <v>1366.6064239999998</v>
      </c>
      <c r="U258" s="3">
        <f>1523.5+(69.9-443.9)+(0+(0-0))+0--225.9-0</f>
        <v>1375.4</v>
      </c>
      <c r="V258" s="3">
        <f>1568.3+(73.8-471)+(-0.799833+(-0.037638--0.24021))+0--227.2-0.115871999999977</f>
        <v>1397.586867</v>
      </c>
      <c r="W258" s="3">
        <f>1594.3+(239.9-423.8)+(-1.626186+(-0.244698--0.432276))+0--227.7-0.232254000000036</f>
        <v>1636.429138</v>
      </c>
      <c r="X258" s="3">
        <f>1591.7+(237.6-367.4)+(-3.247068+(-0.484704--0.749496))+0--229-0.46715999999999</f>
        <v>1687.4505640000002</v>
      </c>
      <c r="Y258" s="3">
        <f>1589.4+(136.8-333.4)+(-4.05297+(-0.34884--0.85017))+0--232.4-0.592619999999966</f>
        <v>1621.0557400000005</v>
      </c>
      <c r="Z258" s="3">
        <f>1586.9+(139.1-397.9)+(-2.427957+(-0.212823--0.608787))+0--231.1-0.353583000000013</f>
        <v>1556.8144239999999</v>
      </c>
      <c r="AA258" s="3">
        <f>1568.8+(138.8-415.3)+(-1.600176+(-0.141576--0.423606))+0--232.2-0.236844000000037</f>
        <v>1522.9450099999999</v>
      </c>
      <c r="AB258" s="3">
        <f>1535.3+(155.7-453.3)+(-0.783003+(-0.079407--0.231183))+0--233.1-0.118880999999976</f>
        <v>1470.0498919999998</v>
      </c>
      <c r="AC258" s="3">
        <f>1460.4+(141.2-457.2)+(0+(0-0))+0--232.8-0</f>
        <v>1377.2</v>
      </c>
      <c r="AD258">
        <v>1721.3</v>
      </c>
      <c r="AE258" s="3">
        <f>1591+(299.3-396.8)+(0+(0-0))+0--227.8-0</f>
        <v>1721.3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1448.2+(170.9-552.7)+(-1.477164+(-0.174318--0.563754))+0--239-0.243780000000038</f>
        <v>1304.0684920000001</v>
      </c>
      <c r="G259" s="3">
        <f>1420+(174.1-600.2)+(-2.8968+(-0.355164--1.224408))+0--238.1-0.48572399999999</f>
        <v>1229.4867200000001</v>
      </c>
      <c r="H259" s="3">
        <f>1359.4+(151.7-557.7)+(-0.693294+(-0.077367--0.284427))+0--237.1-0.120920999999976</f>
        <v>1189.8928450000001</v>
      </c>
      <c r="I259" s="3">
        <f>1368.6+(140.9-560.5)+(-1.395972+(-0.143718--0.57171))+0--234.5-0.239190000000037</f>
        <v>1182.2928299999999</v>
      </c>
      <c r="J259" s="3">
        <f>1361.5+(153.9-561.4)+(-1.38873+(-0.156978--0.572628))+0--237.2-0.241944000000038</f>
        <v>1189.984976</v>
      </c>
      <c r="K259" s="3">
        <f>1341+(135.6-492.2)+(2.73564+(0.276624-1.004088))+0--239--0.48755999999999</f>
        <v>1225.8957359999999</v>
      </c>
      <c r="L259" s="3">
        <f>1380.9+(127.9-438.8)+(-2.817036+(-0.260916--0.895152))+0--239-0.48755999999999</f>
        <v>1306.3296399999999</v>
      </c>
      <c r="M259" s="3">
        <f>1426.6+(120.6-411.9)+(-1.455132+(-0.123012--0.420138))+0--237.7-0.242454000000038</f>
        <v>1371.5995400000002</v>
      </c>
      <c r="N259" s="3">
        <f>1503.4+(104.3-395.2)+(-0.766734+(-0.053193--0.201552))+0--235.3-0.120002999999976</f>
        <v>1447.0616219999999</v>
      </c>
      <c r="O259" s="3">
        <f>1539.5+(121.3-392.3)+(0+(0-0))+0--232-0</f>
        <v>1500.5</v>
      </c>
      <c r="P259" s="3">
        <f>1523.5+(113.4-340.7)+(-3.884925+(-0.28917--0.868785))+0--230.8-0.588539999999967</f>
        <v>1523.1061500000001</v>
      </c>
      <c r="Q259" s="3">
        <f>1565.4+(125.4-394.2)+(-1.596708+(-0.127908--0.402084))+0--228.8-0.233376000000036</f>
        <v>1523.844092</v>
      </c>
      <c r="R259" s="3">
        <f>1554.7+(119.2-458.9)+(-6.343176+(-0.486336--1.872312))+0--228.6-0.93268799999998</f>
        <v>1437.710112</v>
      </c>
      <c r="S259" s="3">
        <f>1553.7+(128.1-473.6)+(-1.584774+(-0.130662--0.483072))+0--227.5-0.232050000000036</f>
        <v>1434.235586</v>
      </c>
      <c r="T259" s="3">
        <f>1549.1+(146.7-490)+(-2.370123+(-0.224451--0.7497))+0--227.1-0.347463000000013</f>
        <v>1430.7076629999999</v>
      </c>
      <c r="U259" s="3">
        <f>1432.4+(157.3-396.3)+(-2.191572+(-0.240669--0.606339))+0--228.2-0.349146000000013</f>
        <v>1419.4249520000001</v>
      </c>
      <c r="V259" s="3">
        <f>1422.3+(122.3-346.6)+(2.176119+(0.187119-0.530298))+0--229.2--0.350676000000013</f>
        <v>1429.3836160000001</v>
      </c>
      <c r="W259" s="3">
        <f>1538+(136.2-272.4)+(-0.78438+(-0.069462--0.138924))+0--229.6-0.117095999999977</f>
        <v>1630.567986</v>
      </c>
      <c r="X259" s="3">
        <f>1566+(170.4-301.4)+(-5.59062+(-0.608328--1.075998))+0--230.8-0.823956000000003</f>
        <v>1659.8530940000001</v>
      </c>
      <c r="Y259" s="3">
        <f>1577.2+(150.7-351)+(-1.608744+(-0.153714--0.35802))+0--231.5-0.236130000000037</f>
        <v>1606.7594320000001</v>
      </c>
      <c r="Z259" s="3">
        <f>1576.1+(173.7-440.7)+(-3.215244+(-0.354348--0.899028))+0--232.1-0.47348399999999</f>
        <v>1538.0559519999997</v>
      </c>
      <c r="AA259" s="3">
        <f>1584.4+(171.8-492.9)+(-2.424132+(-0.262854--0.754137))+0--233.6-0.357408000000013</f>
        <v>1494.609743</v>
      </c>
      <c r="AB259" s="3">
        <f>1590.3+(270.9-634)+(-1.622106+(-0.276318--0.64668))+0--234.5-0.239190000000037</f>
        <v>1460.2090659999999</v>
      </c>
      <c r="AC259" s="3">
        <f>1555+(307.6-697.4)+(-2.37915+(-0.470628--1.067022))+0--234.8-0.359244000000014</f>
        <v>1397.8579999999999</v>
      </c>
      <c r="AD259">
        <v>1712.4</v>
      </c>
      <c r="AE259" s="3">
        <f>1586+(153.9-257.5)+(0+(0-0))+0--230-0</f>
        <v>1712.4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1478.7+(251.6-644.8)+(0.754137+(0.128316-0.328848))+0--235.5--0.120104999999976</f>
        <v>1321.67371</v>
      </c>
      <c r="G260" s="3">
        <f>1481.4+(183.7-659)+(1.511028+(0.187374-0.67218))+0--236.4--0.241128000000038</f>
        <v>1243.7673500000003</v>
      </c>
      <c r="H260" s="3">
        <f>1479.6+(176.1-693.6)+(0+(0-0))+0--237.4-0</f>
        <v>1199.5</v>
      </c>
      <c r="I260" s="3">
        <f>1485.9+(159.5-697.5)+(3.031236+(0.32538-1.4229))+0--237.4--0.48429599999999</f>
        <v>1187.7180120000003</v>
      </c>
      <c r="J260" s="3">
        <f>1445.2+(136-639.6)+(-1.474104+(-0.13872--0.652392))+0--238.1-0.242862000000038</f>
        <v>1178.4967059999999</v>
      </c>
      <c r="K260" s="3">
        <f>1390.8+(108.4-535.9)+(1.418616+(0.110568-0.546618))+0--238.1--0.242862000000038</f>
        <v>1202.6254280000001</v>
      </c>
      <c r="L260" s="3">
        <f>1452.2+(184.8-660.1)+(-3.70311+(-0.47124--1.683255))+0--239.5-0.610724999999965</f>
        <v>1213.2981800000002</v>
      </c>
      <c r="M260" s="3">
        <f>1364.4+(131.8-518.2)+(-0.695844+(-0.067218--0.264282))+0--239.1-0.121940999999976</f>
        <v>1216.4792790000001</v>
      </c>
      <c r="N260" s="3">
        <f>1400.5+(105.1-478.7)+(1.42851+(0.107202-0.488274))+0--237--0.241740000000038</f>
        <v>1265.1891780000001</v>
      </c>
      <c r="O260" s="3">
        <f>1501.2+(141.4-559.9)+(-3.062448+(-0.288456--1.142196))+0--235.1-0.47960399999999</f>
        <v>1315.1116880000002</v>
      </c>
      <c r="P260" s="3">
        <f>1490+(134.2-542.7)+(-0.7599+(-0.068442--0.276777))+0--234.8-0.119747999999976</f>
        <v>1315.6286869999999</v>
      </c>
      <c r="Q260" s="3">
        <f>1521.4+(138.3-558.1)+(-4.655484+(-0.423198--1.707786))+0--234-0.716040000000027</f>
        <v>1331.5130640000002</v>
      </c>
      <c r="R260" s="3">
        <f>1446.6+(124.4-551.7)+(0+(0-0))+0--232.6-0</f>
        <v>1251.8999999999999</v>
      </c>
      <c r="S260" s="3">
        <f>1441.8+(103.5-542.4)+(0+(0-0))+0--231.8-0</f>
        <v>1234.7</v>
      </c>
      <c r="T260" s="3">
        <f>1371.2+(135.2-526.1)+(-3.49656+(-0.34476--1.341555))+0--231.6-0.590579999999966</f>
        <v>1208.8096549999998</v>
      </c>
      <c r="U260" s="3">
        <f>1308.5+(151.4-503.5)+(2.002005+(0.231642-0.770355))+0--230.6--0.352818000000013</f>
        <v>1188.81611</v>
      </c>
      <c r="V260" s="3">
        <f>1407.9+(107.5-538.8)+(-0.718029+(-0.054825--0.274788))+0--231.2-0.117911999999977</f>
        <v>1207.1840220000001</v>
      </c>
      <c r="W260" s="3">
        <f>1578.5+(127-502.2)+(0+(0-0))+0--230.9-0</f>
        <v>1434.2</v>
      </c>
      <c r="X260" s="3">
        <f>1580.2+(157-478)+(-5.641314+(-0.56049--1.70646))+0--232.7-0.830739000000003</f>
        <v>1486.5739170000002</v>
      </c>
      <c r="Y260" s="3">
        <f>1590.8+(196.2-569.7)+(-3.245232+(-0.400248--1.162188))+0--233.5-0.47633999999999</f>
        <v>1447.8403680000001</v>
      </c>
      <c r="Z260" s="3">
        <f>1595.8+(215.9-641.4)+(-2.441574+(-0.330327--0.981342))+0--235-0.359550000000014</f>
        <v>1403.1498909999998</v>
      </c>
      <c r="AA260" s="3">
        <f>1602.5+(185.2-665.5)+(0+(0-0))+0--235.1-0</f>
        <v>1357.3</v>
      </c>
      <c r="AB260" s="3">
        <f>1605.2+(218.2-734.1)+(-1.637304+(-0.222564--0.748782))+0--235.5-0.240210000000038</f>
        <v>1323.4487039999999</v>
      </c>
      <c r="AC260" s="3">
        <f>1545.5+(273.2-776)+(-4.72923+(-0.835992--2.37456))+0--239.7-0.733482000000028</f>
        <v>1278.475856</v>
      </c>
      <c r="AD260">
        <v>1486.9</v>
      </c>
      <c r="AE260" s="3">
        <f>1581+(131.7-456.4)+(0+(0-0))+0--230.6-0</f>
        <v>1486.8999999999999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1370.1+(287.7-695.3)+(-2.096253+(-0.440181--1.063809))+0--238.6-0.365058000000014</f>
        <v>1199.2623169999999</v>
      </c>
      <c r="G261" s="3">
        <f>1340.9+(289.5-706.8)+(-1.367718+(-0.29529--0.720936))+0--215.9-0.220218000000034</f>
        <v>1138.3377100000002</v>
      </c>
      <c r="H261" s="3">
        <f>1342.7+(345.3-731.7)+(-2.739108+(-0.704412--1.492668))+0--166.2-0.339047999999993</f>
        <v>1120.2100999999998</v>
      </c>
      <c r="I261" s="3">
        <f>1155.8+(360.8-581.7)+(0+(0-0))+0--166.9-0</f>
        <v>1101.8</v>
      </c>
      <c r="J261" s="3">
        <f>1133.1+(353.4-563.7)+(0.577881+(0.180234-0.287487))+0--168.7--0.0860369999999829</f>
        <v>1092.0566649999998</v>
      </c>
      <c r="K261" s="3">
        <f>1134.3+(362.1-552.7)+(-1.735479+(-0.554013--0.845631))+0--170.4-0.26071200000001</f>
        <v>1112.3954269999999</v>
      </c>
      <c r="L261" s="3">
        <f>1133.5+(376.1-560.1)+(-1.15617+(-0.383622--0.571302))+0--169-0.172380000000027</f>
        <v>1117.3591300000001</v>
      </c>
      <c r="M261" s="3">
        <f>1132.9+(273.4-445.2)+(-1.733337+(-0.418302--0.681156))+0--118.2-0.180846000000007</f>
        <v>1077.6486710000001</v>
      </c>
      <c r="N261" s="3">
        <f>1149.2+(242.5-393.4)+(-0.586092+(-0.123675--0.200634))+0--97.4-0.0496739999999901</f>
        <v>1095.1411929999999</v>
      </c>
      <c r="O261" s="3">
        <f>1276.6+(203.8-481.8)+(0+(0-0))+0--94.2-0</f>
        <v>1092.8</v>
      </c>
      <c r="P261" s="3">
        <f>1266.5+(189-487.9)+(-3.87549+(-0.57834--1.492974))+0--92.4-0.282744000000011</f>
        <v>1056.7564</v>
      </c>
      <c r="Q261" s="3">
        <f>1193.6+(155.9-401.1)+(-0.608736+(-0.079509--0.204561))+0--91.6-0.0467159999999907</f>
        <v>1039.4695999999997</v>
      </c>
      <c r="R261" s="3">
        <f>1164.8+(91-320.5)+(0.594048+(0.04641-0.163455))+0--91.3--0.0465629999999907</f>
        <v>1027.1235659999998</v>
      </c>
      <c r="S261" s="3">
        <f>1164.8+(103-306.8)+(1.782144+(0.15759-0.469404))+0--90.7--0.138771000000005</f>
        <v>1053.3091009999998</v>
      </c>
      <c r="T261" s="3">
        <f>1311.8+(153-450.9)+(-0.669018+(-0.07803--0.229959))+0--90.9-0.0463589999999908</f>
        <v>1104.2365520000001</v>
      </c>
      <c r="U261" s="3">
        <f>1375.8+(177-540.1)+(-0.701658+(-0.09027--0.275451))+0--91.5-0.0466649999999907</f>
        <v>1103.6368579999998</v>
      </c>
      <c r="V261" s="3">
        <f>1379.8+(131-444.7)+(-1.407396+(-0.13362--0.453594))+0--91.8-0.0936360000000146</f>
        <v>1156.7189419999997</v>
      </c>
      <c r="W261" s="3">
        <f>1584.8+(155-356.8)+(0+(0-0))+0--91.6-0</f>
        <v>1474.6</v>
      </c>
      <c r="X261" s="3">
        <f>1559.4+(203.3-366.9)+(-3.97647+(-0.518415--0.935595))+0--91.7-0.233834999999987</f>
        <v>1483.7068750000003</v>
      </c>
      <c r="Y261" s="3">
        <f>1563.7+(197.9-377.7)+(0+(0-0))+0--91.4-0</f>
        <v>1475.3000000000002</v>
      </c>
      <c r="Z261" s="3">
        <f>1533.3+(184.6-365.5)+(0+(0-0))+0--91.7-0</f>
        <v>1444.1</v>
      </c>
      <c r="AA261" s="3">
        <f>1449.1+(212.6-318.7)+(-0.739041+(-0.108426--0.162537))+0--91.9-0.0468689999999907</f>
        <v>1434.1682010000002</v>
      </c>
      <c r="AB261" s="3">
        <f>1449.7+(249-418.5)+(-0.739347+(-0.12699--0.213435))+0--92.8-0.0473279999999906</f>
        <v>1372.2997700000001</v>
      </c>
      <c r="AC261" s="3">
        <f>1408.6+(227.3-455.7)+(0+(0-0))+0--93.2-0</f>
        <v>1273.3999999999999</v>
      </c>
      <c r="AD261">
        <v>1463.8</v>
      </c>
      <c r="AE261" s="3">
        <f>1575+(171.1-373.3)+(0+(0-0))+0--91-0</f>
        <v>1463.8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1361.1+(193.1-430.1)+(-3.470805+(-0.492405--1.096755))+0--96.2-0.245309999999986</f>
        <v>1217.1882349999998</v>
      </c>
      <c r="G262" s="3">
        <f>1257.7+(218.9-430.2)+(-1.924281+(-0.334917--0.658206))+0--96.4-0.147492000000006</f>
        <v>1141.0515160000002</v>
      </c>
      <c r="H262" s="3">
        <f>1247.2+(225.3-458.1)+(-0.636072+(-0.114903--0.233631))+0--96.3-0.0491129999999902</f>
        <v>1110.1335430000001</v>
      </c>
      <c r="I262" s="3">
        <f>1240.2+(224.9-450.5)+(-2.530008+(-0.458796--0.91902))+0--96.1-0.196043999999996</f>
        <v>1108.434172</v>
      </c>
      <c r="J262" s="3">
        <f>1260.1+(238.1-486.9)+(-0.642651+(-0.121431--0.248319))+0--96.1-0.0490109999999903</f>
        <v>1106.8352259999999</v>
      </c>
      <c r="K262" s="3">
        <f>1309+(238.3-496.7)+(2.00277+(0.364599-0.759951))+0--96.1--0.147033000000006</f>
        <v>1148.4544509999998</v>
      </c>
      <c r="L262" s="3">
        <f>1363.2+(220.5-457.2)+(-2.085696+(-0.337365--0.699516))+0--94.8-0.145044000000005</f>
        <v>1219.4314109999998</v>
      </c>
      <c r="M262" s="3">
        <f>1382.8+(126.9-332.5)+(1.410456+(0.129438-0.33915))+0--95.5--0.0974100000000152</f>
        <v>1273.9981540000001</v>
      </c>
      <c r="N262" s="3">
        <f>1569.2+(43.5-322.1)+(-0.800292+(-0.022185--0.164271))+0--94.6-0.0482459999999904</f>
        <v>1384.4935479999997</v>
      </c>
      <c r="O262" s="3">
        <f>1829.4+(32-443.1)+(0.932994+(0.01632-0.225981))+0--93.9--0.0478889999999905</f>
        <v>1512.9712220000001</v>
      </c>
      <c r="P262" s="3">
        <f>1963.5+(18-550.6)+(0+(0-0))+0--93.5-0</f>
        <v>1524.4</v>
      </c>
      <c r="Q262" s="3">
        <f>1994.6+(18-554.4)+(-1.017246+(-0.00918--0.282744))+0--93-0.0474299999999906</f>
        <v>1550.4088879999997</v>
      </c>
      <c r="R262" s="3">
        <f>1975.9+(23-596.2)+(-6.046254+(-0.07038--1.824372))+0--92.7-0.283662000000011</f>
        <v>1490.8240760000001</v>
      </c>
      <c r="S262" s="3">
        <f>1966.8+(25-594.8)+(-4.012272+(-0.051--1.213392))+0--92-0.187679999999996</f>
        <v>1485.96244</v>
      </c>
      <c r="T262" s="3">
        <f>1961.5+(29-602)+(-3.001095+(-0.04437--0.92106))+0--92.2-0.141066000000005</f>
        <v>1478.4345290000001</v>
      </c>
      <c r="U262" s="3">
        <f>1964.2+(28-608)+(-3.005226+(-0.04284--0.93024))+0--93-0.142290000000005</f>
        <v>1474.9398840000001</v>
      </c>
      <c r="V262" s="3">
        <f>1971.5+(22-575.5)+(0+(0-0))+0--92.7-0</f>
        <v>1510.7</v>
      </c>
      <c r="W262" s="3">
        <f>1989.2+(152.9-502.7)+(1.014492+(0.077979-0.256377))+0--92--0.0469199999999907</f>
        <v>1732.2830140000001</v>
      </c>
      <c r="X262" s="3">
        <f>2180.8+(48.5-551.1)+(-6.673248+(-0.14841--1.686366))+0--92.4-0.282744000000011</f>
        <v>1765.1819640000003</v>
      </c>
      <c r="Y262" s="3">
        <f>2396.6+(13-777.6)+(-3.666798+(-0.01989--1.189728))+0--92.4-0.141372000000005</f>
        <v>1721.7616680000001</v>
      </c>
      <c r="Z262" s="3">
        <f>2379.9+(16-827.9)+(-1.213749+(-0.00816--0.422229))+0--90.9-0.0463589999999908</f>
        <v>1658.0539610000001</v>
      </c>
      <c r="AA262" s="3">
        <f>2386.7+(21-879.5)+(1.217217+(0.01071-0.448545))+0--91.1--0.0464609999999908</f>
        <v>1620.1258429999996</v>
      </c>
      <c r="AB262" s="3">
        <f>2393.2+(23-968.9)+(-3.661596+(-0.03519--1.482417))+0--91.1-0.139383000000005</f>
        <v>1536.0462479999997</v>
      </c>
      <c r="AC262" s="3">
        <f>2343.8+(25-1027.9)+(-7.172028+(-0.0765--3.145374))+0--91.6-0.280296000000011</f>
        <v>1428.1165500000002</v>
      </c>
      <c r="AD262">
        <v>1826.3</v>
      </c>
      <c r="AE262" s="3">
        <f>1994+(210.6-467.3)+(0+(0-0))+0--89-0</f>
        <v>1826.3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2220.8+(20-1015.6)+(-5.66304+(-0.051--2.58978))+0--90.9-0.231794999999987</f>
        <v>1312.7439450000004</v>
      </c>
      <c r="G263" s="3">
        <f>2059.4+(34-916.9)+(-6.301764+(-0.10404--2.805714))+0--90.9-0.278154000000011</f>
        <v>1263.5217560000001</v>
      </c>
      <c r="H263" s="3">
        <f>1797.9+(32-692.9)+(2.750787+(0.04896-1.060137))+0--94.2--0.144126000000005</f>
        <v>1233.083736</v>
      </c>
      <c r="I263" s="3">
        <f>1776.1+(32-703.9)+(0+(0-0))+0--95.5-0</f>
        <v>1199.6999999999998</v>
      </c>
      <c r="J263" s="3">
        <f>1790.1+(26-721.2)+(2.738853+(0.03978-1.103436))+0--96.4--0.147492000000006</f>
        <v>1193.122689</v>
      </c>
      <c r="K263" s="3">
        <f>1839.7+(23-720.6)+(-2.814741+(-0.03519--1.102518))+0--97.2-0.148716000000006</f>
        <v>1237.403871</v>
      </c>
      <c r="L263" s="3">
        <f>1836.2+(19-658.2)+(-0.936462+(-0.00969--0.335682))+0--96.3-0.0491129999999902</f>
        <v>1292.6404169999998</v>
      </c>
      <c r="M263" s="3">
        <f>1826.4+(18-575.2)+(-1.862928+(-0.01836--0.586704))+0--97.6-0.0995520000000156</f>
        <v>1365.4058640000001</v>
      </c>
      <c r="N263" s="3">
        <f>1986.6+(14-634.7)+(2.026332+(0.01428-0.647394))+0--97--0.0989400000000155</f>
        <v>1464.3921579999999</v>
      </c>
      <c r="O263" s="3">
        <f>2369.8+(11-953.9)+(1.208598+(0.00561-0.486489))+0--113.7--0.0579869999999885</f>
        <v>1541.385706</v>
      </c>
      <c r="P263" s="3">
        <f>2442.9+(10-1098.8)+(3.737637+(0.0153-1.681164))+0--228.6--0.349758000000013</f>
        <v>1585.121531</v>
      </c>
      <c r="Q263" s="3">
        <f>2711.1+(6-1356.8)+(-1.382661+(-0.00306--0.691968))+0--226-0.115259999999977</f>
        <v>1585.4909869999999</v>
      </c>
      <c r="R263" s="3">
        <f>2744.5+(0-1476.5)+(-4.199085+(0--2.259045))+0--225.2-0.344556000000013</f>
        <v>1490.9154040000001</v>
      </c>
      <c r="S263" s="3">
        <f>2600.6+(0-1362.1)+(-6.63153+(0--3.473355))+0--225.1-0.574004999999967</f>
        <v>1459.8678199999999</v>
      </c>
      <c r="T263" s="3">
        <f>2542.3+(0-1292.6)+(-3.889719+(0--1.977678))+0--226.9-0.347157000000013</f>
        <v>1474.3408020000004</v>
      </c>
      <c r="U263" s="3">
        <f>2443.4+(0-1220.6)+(-4.984536+(0--2.490024))+0--227.2-0.46348799999999</f>
        <v>1447.0420000000001</v>
      </c>
      <c r="V263" s="3">
        <f>2678.2+(0-1434.3)+(-4.097646+(0--2.194479))+0--227.5-0.348075000000013</f>
        <v>1469.1487579999998</v>
      </c>
      <c r="W263" s="3">
        <f>2887.1+(0-1465.4)+(1.472421+(0-0.747354))+0--228.2--0.116381999999977</f>
        <v>1650.7414489999999</v>
      </c>
      <c r="X263" s="3">
        <f>2958.4+(0-1472.7)+(0+(0-0))+0--228.7-0</f>
        <v>1714.4</v>
      </c>
      <c r="Y263" s="3">
        <f>2958.5+(0-1511.2)+(-7.544175+(0--3.85356))+0--230.2-0.587009999999967</f>
        <v>1673.2223750000001</v>
      </c>
      <c r="Z263" s="3">
        <f>2963.4+(0-1575)+(-6.045336+(0--3.213))+0--231-0.47123999999999</f>
        <v>1616.0964240000001</v>
      </c>
      <c r="AA263" s="3">
        <f>2821.7+(0-1486.9)+(-4.317201+(0--2.274957))+0--231.7-0.354501000000013</f>
        <v>1564.1032549999998</v>
      </c>
      <c r="AB263" s="3">
        <f>2606.3+(0-1347.5)+(-3.987639+(0--2.061675))+0--232.2-0.355266000000013</f>
        <v>1488.7187700000002</v>
      </c>
      <c r="AC263" s="3">
        <f>2394.7+(0-1190.8)+(-2.442594+(0--1.214616))+0--232.6-0.237252000000037</f>
        <v>1435.0347699999998</v>
      </c>
      <c r="AD263">
        <v>1744.4</v>
      </c>
      <c r="AE263" s="3">
        <f>2945+(6-1435.6)+(0+(0-0))+0--229-0</f>
        <v>1744.4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2097.9+(20-1020.2)+(-3.209787+(-0.0306--1.560906))+0--233.7-0.357561000000014</f>
        <v>1329.3629580000002</v>
      </c>
      <c r="G264" s="3">
        <f>2091.9+(16-1074.7)+(-2.133738+(-0.01632--1.096194))+0--232.9-0.237558000000037</f>
        <v>1264.8085780000001</v>
      </c>
      <c r="H264" s="3">
        <f>2018.4+(15-1041.1)+(0+(0-0))+0--235.9-0</f>
        <v>1228.2000000000003</v>
      </c>
      <c r="I264" s="3">
        <f>1970.9+(18-1021.2)+(1.005159+(0.00918-0.520812))+0--238.5--0.121634999999976</f>
        <v>1206.8151619999999</v>
      </c>
      <c r="J264" s="3">
        <f>1967.3+(21-1022.7)+(-1.003323+(-0.01071--0.521577))+0--238-0.121379999999976</f>
        <v>1202.9861639999999</v>
      </c>
      <c r="K264" s="3">
        <f>2049.1+(21-1081.9)+(5.225205+(0.05355-2.758845))+0--235.3--0.600014999999966</f>
        <v>1226.6199249999997</v>
      </c>
      <c r="L264" s="3">
        <f>2142.2+(9-1112.1)+(-5.46261+(-0.02295--2.835855))+0--241-0.614549999999965</f>
        <v>1276.8357449999999</v>
      </c>
      <c r="M264" s="3">
        <f>2119.3+(12-1073.9)+(-3.242529+(-0.01836--1.643067))+0--241.4-0.369342000000014</f>
        <v>1296.8128360000003</v>
      </c>
      <c r="N264" s="3">
        <f>2123.5+(11-996.5)+(2.16597+(0.01122-1.01643))+0--239--0.243780000000038</f>
        <v>1378.40454</v>
      </c>
      <c r="O264" s="3">
        <f>2115.3+(10-905.9)+(2.157606+(0.0102-0.924018))+0--234--0.238680000000037</f>
        <v>1454.882468</v>
      </c>
      <c r="P264" s="3">
        <f>2105.2+(9-840.1)+(-2.147304+(-0.00918--0.856902))+0--229.4-0.233988000000037</f>
        <v>1501.9664299999999</v>
      </c>
      <c r="Q264" s="3">
        <f>2093.4+(6-829.3)+(-2.135268+(-0.00612--0.845886))+0--226.2-0.230724000000036</f>
        <v>1494.7737740000002</v>
      </c>
      <c r="R264" s="3">
        <f>2122.6+(6-923.5)+(-4.330104+(-0.01224--1.88394))+0--226.1-0.46124399999999</f>
        <v>1428.2803519999998</v>
      </c>
      <c r="S264" s="3">
        <f>2040.4+(6-876.3)+(-4.162416+(-0.01224--1.787652))+0--226.8-0.46267199999999</f>
        <v>1394.0503240000003</v>
      </c>
      <c r="T264" s="3">
        <f>1990.3+(14.2-844.4)+(-1.015053+(-0.007242--0.430644))+0--227.7-0.116126999999977</f>
        <v>1387.092222</v>
      </c>
      <c r="U264" s="3">
        <f>1960.5+(10.1-805.7)+(-2.999565+(-0.015453--1.232721))+0--228.8-0.350064000000013</f>
        <v>1391.5676390000001</v>
      </c>
      <c r="V264" s="3">
        <f>2023.6+(15.6-843.6)+(-1.032036+(-0.007956--0.430236))+0--229.3-0.116942999999977</f>
        <v>1424.1733009999998</v>
      </c>
      <c r="W264" s="3">
        <f>2234.1+(43.5-864.2)+(-3.418173+(-0.066555--1.322226))+0--230-0.351900000000013</f>
        <v>1640.8855979999998</v>
      </c>
      <c r="X264" s="3">
        <f>2276.1+(25.1-849.8)+(-1.160811+(-0.012801--0.433398))+0--230.3-0.117452999999977</f>
        <v>1680.8423330000001</v>
      </c>
      <c r="Y264" s="3">
        <f>2285.5+(6-866.4)+(-1.165605+(-0.00306--0.441864))+0--231-0.117809999999977</f>
        <v>1655.2553889999999</v>
      </c>
      <c r="Z264" s="3">
        <f>2297.4+(6-903.7)+(-2.343348+(-0.00612--0.921774))+0--231-0.235620000000037</f>
        <v>1629.0366860000001</v>
      </c>
      <c r="AA264" s="3">
        <f>2303.6+(6-933)+(-3.524508+(-0.00918--1.42749))+0--231.8-0.354654000000013</f>
        <v>1605.9391479999999</v>
      </c>
      <c r="AB264" s="3">
        <f>2305.9+(6-1010.1)+(-3.528027+(-0.00918--1.545453))+0--232.8-0.356184000000013</f>
        <v>1532.2520620000003</v>
      </c>
      <c r="AC264" s="3">
        <f>2227.5+(23.6-1057.9)+(-6.81615+(-0.072216--3.237174))+0--233.9-0.715734000000027</f>
        <v>1422.7330739999998</v>
      </c>
      <c r="AD264">
        <v>1802</v>
      </c>
      <c r="AE264" s="3">
        <f>2280+(59-765)+(0+(0-0))+0--228-0</f>
        <v>1802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2040.4+(26-952.2)+(-5.20302+(-0.0663--2.42811))+0--244.2-0.622709999999965</f>
        <v>1354.9360800000002</v>
      </c>
      <c r="G265" s="3">
        <f>1839.2+(23-808.3)+(-3.751968+(-0.04692--1.648932))+0--239.2-0.48796799999999</f>
        <v>1290.4620760000003</v>
      </c>
      <c r="H265" s="3">
        <f>1731.9+(26-746.3)+(0+(0-0))+0--240.1-0</f>
        <v>1251.7</v>
      </c>
      <c r="I265" s="3">
        <f>1727.4+(24-757.9)+(-0.880974+(-0.01224--0.386529))+0--239.1-0.121940999999976</f>
        <v>1231.9713740000002</v>
      </c>
      <c r="J265" s="3">
        <f>1714.4+(20-734.4)+(0.874344+(0.0102-0.374544))+0--238.5--0.121634999999976</f>
        <v>1239.1316350000002</v>
      </c>
      <c r="K265" s="3">
        <f>1788.3+(15-763.8)+(0.912033+(0.00765-0.389538))+0--238.5--0.121634999999976</f>
        <v>1278.6517799999999</v>
      </c>
      <c r="L265" s="3">
        <f>1830+(19-652.8)+(0+(0-0))+0--168.3-0</f>
        <v>1364.5</v>
      </c>
      <c r="M265" s="3">
        <f>1880.1+(30.4-650.9)+(2.876553+(0.046512-0.995877))+0--167.5--0.25627500000001</f>
        <v>1429.2834629999998</v>
      </c>
      <c r="N265" s="3">
        <f>2143.8+(43.8-880.2)+(2.186676+(0.044676-0.897804))+0--227.9--0.232458000000036</f>
        <v>1536.8660060000002</v>
      </c>
      <c r="O265" s="3">
        <f>2401.8+(44-1056.9)+(0+(0-0))+0--233.8-0</f>
        <v>1622.7</v>
      </c>
      <c r="P265" s="3">
        <f>2537+(30-1148.7)+(-3.88161+(-0.0459--1.757511))+0--232.1-0.355113000000013</f>
        <v>1647.8748879999998</v>
      </c>
      <c r="Q265" s="3">
        <f>2562.4+(28-1123.3)+(-2.613648+(-0.02856--1.145766))+0--232.6-0.237252000000037</f>
        <v>1697.966306</v>
      </c>
      <c r="R265" s="3">
        <f>2486.1+(32.5-1210)+(-6.339555+(-0.082875--3.0855))+0--231.5-0.590324999999966</f>
        <v>1536.1727450000001</v>
      </c>
      <c r="S265" s="3">
        <f>2475.8+(20.9-1171.7)+(0+(0-0))+0--231.2-0</f>
        <v>1556.2000000000003</v>
      </c>
      <c r="T265" s="3">
        <f>2470.7+(22.9-1180.7)+(-2.520114+(-0.023358--1.204314))+0--232.9-0.237558000000037</f>
        <v>1544.2232839999999</v>
      </c>
      <c r="U265" s="3">
        <f>2473.3+(22.6-1193)+(0+(0-0))+0--232.3-0</f>
        <v>1535.2</v>
      </c>
      <c r="V265" s="3">
        <f>2496.6+(16.7-1192.5)+(-1.273266+(-0.008517--0.608175))+0--233.2-0.118931999999976</f>
        <v>1553.2074599999999</v>
      </c>
      <c r="W265" s="3">
        <f>2561.9+(16.5-1043)+(2.613138+(0.01683-1.06386))+0--233.6--0.238272000000037</f>
        <v>1770.80438</v>
      </c>
      <c r="X265" s="3">
        <f>2558.8+(26-960.8)+(-3.914964+(-0.03978--1.470024))+0--234.3-0.358479000000014</f>
        <v>1855.4568010000003</v>
      </c>
      <c r="Y265" s="3">
        <f>2492+(26.4-941.8)+(-1.27092+(-0.013464--0.480318))+0--235.2-0.119951999999976</f>
        <v>1810.875982</v>
      </c>
      <c r="Z265" s="3">
        <f>2494.4+(29.2-1006.7)+(-1.272144+(-0.014892--0.513417))+0--234.9-0.119798999999976</f>
        <v>1750.9065820000001</v>
      </c>
      <c r="AA265" s="3">
        <f>2515.9+(30.8-1068.9)+(0+(0-0))+0--235.2-0</f>
        <v>1713</v>
      </c>
      <c r="AB265" s="3">
        <f>2557+(30.5-1192.5)+(0+(0-0))+0--236.7-0</f>
        <v>1631.7</v>
      </c>
      <c r="AC265" s="3">
        <f>2313.7+(51.3-1120.5)+(0+(0-0))+0--237-0</f>
        <v>1481.4999999999998</v>
      </c>
      <c r="AD265">
        <v>1865.1000000000001</v>
      </c>
      <c r="AE265" s="3">
        <f>2575+(18.9-963.1)+(0+(0-0))+0--234.3-0</f>
        <v>1865.1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2104.2+(45-1007.3)+(-3.219426+(-0.06885--1.541169))+0--237.3-0.363069000000014</f>
        <v>1377.0898239999999</v>
      </c>
      <c r="G266" s="3">
        <f>1993.1+(41-935.9)+(-5.082405+(-0.10455--2.386545))+0--238.2-0.607409999999965</f>
        <v>1332.9921799999997</v>
      </c>
      <c r="H266" s="3">
        <f>1883.1+(45-856.5)+(0+(0-0))+0--239.3-0</f>
        <v>1310.8999999999999</v>
      </c>
      <c r="I266" s="3">
        <f>1878.8+(42-897.6)+(0+(0-0))+0--239.3-0</f>
        <v>1262.5</v>
      </c>
      <c r="J266" s="3">
        <f>1907.1+(34-851.9)+(-1.945242+(-0.03468--0.868938))+0--174.5-0.177990000000028</f>
        <v>1262.4110259999998</v>
      </c>
      <c r="K266" s="3">
        <f>1941.7+(28-819.4)+(2.970801+(0.04284-1.253682))+0--166.2--0.25428600000001</f>
        <v>1318.5142450000003</v>
      </c>
      <c r="L266" s="3">
        <f>2211.6+(15-990)+(2.255832+(0.0153-1.0098))+0--167.7--0.171054000000027</f>
        <v>1405.7323860000001</v>
      </c>
      <c r="M266" s="3">
        <f>2284.9+(15-1007.2)+(4.661196+(0.0306-2.054688))+0--174.9--0.356795999999992</f>
        <v>1470.5939040000001</v>
      </c>
      <c r="N266" s="3">
        <f>2400.6+(20-1081.6)+(-2.448612+(-0.0204--1.103232))+0--240-0.244800000000038</f>
        <v>1577.38942</v>
      </c>
      <c r="O266" s="3">
        <f>2502.9+(10-1125.5)+(1.276479+(0.0051-0.574005))+0--239--0.121889999999976</f>
        <v>1627.229464</v>
      </c>
      <c r="P266" s="3">
        <f>2446.1+(9-1043.4)+(1.247511+(0.00459-0.532134))+0--234.4--0.119543999999976</f>
        <v>1646.9395109999998</v>
      </c>
      <c r="Q266" s="3">
        <f>2428.6+(9-1011.5)+(-4.954344+(-0.01836--2.06346))+0--232-0.47327999999999</f>
        <v>1654.717476</v>
      </c>
      <c r="R266" s="3">
        <f>2369.1+(9-1016.4)+(-3.624723+(-0.01377--1.555092))+0--230.9-0.353277000000013</f>
        <v>1590.1633219999999</v>
      </c>
      <c r="S266" s="3">
        <f>2198.1+(17-905.7)+(-2.242062+(-0.01734--0.923814))+0--229.9-0.234498000000037</f>
        <v>1537.729914</v>
      </c>
      <c r="T266" s="3">
        <f>1995.6+(21-774.7)+(2.035512+(0.02142-0.790194))+0--229.4--0.233988000000037</f>
        <v>1472.8007259999999</v>
      </c>
      <c r="U266" s="3">
        <f>1906.5+(24-527.9)+(-1.94463+(-0.02448--0.538458))+0--228.9-0.233478000000037</f>
        <v>1629.8358699999999</v>
      </c>
      <c r="V266" s="3">
        <f>1980+(30-591.8)+(2.0196+(0.0306-0.603636))+0--229.6--0.234192000000037</f>
        <v>1649.4807560000002</v>
      </c>
      <c r="W266" s="3">
        <f>2249.7+(23-730)+(2.294694+(0.02346-0.7446))+0--230.4--0.235008000000037</f>
        <v>1774.9085620000001</v>
      </c>
      <c r="X266" s="3">
        <f>2299+(28-745)+(-4.68996+(-0.05712--1.5198))+0--230.9-0.47103599999999</f>
        <v>1809.2016840000001</v>
      </c>
      <c r="Y266" s="3">
        <f>2302.4+(29-791.1)+(-7.045344+(-0.08874--2.420766))+0--232-0.709920000000027</f>
        <v>1766.8767620000001</v>
      </c>
      <c r="Z266" s="3">
        <f>2219.6+(35-718.1)+(-3.395988+(-0.05355--1.098693))+0--232.3-0.355419000000013</f>
        <v>1766.093736</v>
      </c>
      <c r="AA266" s="3">
        <f>2071.1+(36-605)+(-2.112522+(-0.03672--0.6171))+0--233.2-0.237864000000037</f>
        <v>1733.529994</v>
      </c>
      <c r="AB266" s="3">
        <f>2066.5+(36-680.8)+(-6.32349+(-0.11016--2.083248))+0--232.7-0.712062000000027</f>
        <v>1649.337536</v>
      </c>
      <c r="AC266" s="3">
        <f>1901.4+(37-637.7)+(-2.909142+(-0.05661--0.975681))+0--234.3-0.358479000000014</f>
        <v>1532.6514500000001</v>
      </c>
      <c r="AD266">
        <v>1811</v>
      </c>
      <c r="AE266" s="3">
        <f>2283+(22.9-725)+(0+(0-0))+0--230.1-0</f>
        <v>1811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1802.1+(38-705.8)+(-2.757213+(-0.05814--1.079874))+0--235-0.359550000000014</f>
        <v>1367.2049709999999</v>
      </c>
      <c r="G267" s="3">
        <f>1646.6+(27-564.9)+(3.359064+(0.05508-1.152396))+0--174.2--0.355367999999992</f>
        <v>1285.5171159999998</v>
      </c>
      <c r="H267" s="3">
        <f>1542.6+(31-492)+(2.360178+(0.04743-0.75276))+0--165.5--0.25321500000001</f>
        <v>1249.0080629999998</v>
      </c>
      <c r="I267" s="3">
        <f>1547.8+(33-512.2)+(0.789378+(0.01683-0.261222))+0--165.5--0.0844049999999832</f>
        <v>1234.7293910000001</v>
      </c>
      <c r="J267" s="3">
        <f>1581+(23-527.2)+(-4.03155+(-0.05865--1.34436))+0--165.8-0.422789999999976</f>
        <v>1239.4313699999998</v>
      </c>
      <c r="K267" s="3">
        <f>1583.3+(18-488.1)+(0.807483+(0.00918-0.248931))+0--166--0.0846599999999832</f>
        <v>1279.8523919999998</v>
      </c>
      <c r="L267" s="3">
        <f>1631.7+(14-431.2)+(-1.664334+(-0.01428--0.439824))+0--165.3-0.168606000000026</f>
        <v>1378.3926039999999</v>
      </c>
      <c r="M267" s="3">
        <f>1679.5+(33-474)+(0.856545+(0.01683-0.24174))+0--207.8--0.105977999999979</f>
        <v>1447.037613</v>
      </c>
      <c r="N267" s="3">
        <f>1955.6+(42-680)+(0+(0-0))+0--234.6-0</f>
        <v>1552.1999999999998</v>
      </c>
      <c r="O267" s="3">
        <f>2127.8+(41-789.7)+(1.085178+(0.02091-0.402747))+0--232.6--0.118625999999976</f>
        <v>1612.5219669999999</v>
      </c>
      <c r="P267" s="3">
        <f>2232+(28-846.2)+(-1.13832+(-0.01428--0.431562))+0--231.9-0.118268999999976</f>
        <v>1644.8606930000001</v>
      </c>
      <c r="Q267" s="3">
        <f>2324.8+(24-932.4)+(-3.556944+(-0.03672--1.426572))+0--231.3-0.353889000000013</f>
        <v>1645.1790190000002</v>
      </c>
      <c r="R267" s="3">
        <f>1924.8+(24-572)+(-1.963296+(-0.02448--0.58344))+0--229.6-0.234192000000037</f>
        <v>1604.7614719999997</v>
      </c>
      <c r="S267" s="3">
        <f>1856.5+(44-410.3)+(-3.78726+(-0.08976--0.837012))+0--230.5-0.47021999999999</f>
        <v>1717.1897720000002</v>
      </c>
      <c r="T267" s="3">
        <f>1873.8+(44-435.5)+(-1.911276+(-0.04488--0.44421))+0--228-0.232560000000036</f>
        <v>1708.5554939999997</v>
      </c>
      <c r="U267" s="3">
        <f>1978.5+(40-545.3)+(-3.027105+(-0.0612--0.834309))+0--227.9-0.348687000000013</f>
        <v>1698.4973170000003</v>
      </c>
      <c r="V267" s="3">
        <f>2112.2+(30-727.8)+(-2.154444+(-0.0306--0.742356))+0--227.9-0.232458000000036</f>
        <v>1640.6248539999999</v>
      </c>
      <c r="W267" s="3">
        <f>2064.1+(31-715.4)+(-1.052691+(-0.01581--0.364854))+0--228.4-0.116483999999977</f>
        <v>1607.279869</v>
      </c>
      <c r="X267" s="3">
        <f>2179.9+(38.1-582.3)+(-5.558745+(-0.097155--1.484865))+0--232-0.591599999999966</f>
        <v>1862.9373650000002</v>
      </c>
      <c r="Y267" s="3">
        <f>2107.2+(29-568.9)+(-2.149344+(-0.02958--0.580278))+0--233-0.237660000000037</f>
        <v>1798.4636939999998</v>
      </c>
      <c r="Z267" s="3">
        <f>2101.1+(33-624.7)+(-4.286244+(-0.06732--1.274388))+0--233.9-0.47715599999999</f>
        <v>1739.7436680000001</v>
      </c>
      <c r="AA267" s="3">
        <f>2048.3+(31-621.5)+(-2.089266+(-0.03162--0.63393))+0--234.7-0.239394000000037</f>
        <v>1690.7736500000003</v>
      </c>
      <c r="AB267" s="3">
        <f>2066.6+(35-720.4)+(-6.323796+(-0.1071--2.204424))+0--234.8-0.718488000000027</f>
        <v>1611.0550399999997</v>
      </c>
      <c r="AC267" s="3">
        <f>1987.2+(38-760.5)+(-3.040416+(-0.05814--1.163565))+0--235.7-0.360621000000014</f>
        <v>1498.104388</v>
      </c>
      <c r="AD267">
        <v>1864.7</v>
      </c>
      <c r="AE267" s="3">
        <f>2266+(29.9-660.5)+(0+(0-0))+0--229.3-0</f>
        <v>1864.7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1953.3+(37-846.8)+(-0.996183+(-0.01887--0.431868))+0--237.8-0.121277999999976</f>
        <v>1380.5955369999999</v>
      </c>
      <c r="G268" s="3">
        <f>1771.5+(27-659)+(-0.903465+(-0.01377--0.33609))+0--172.5-0.0879749999999825</f>
        <v>1311.33088</v>
      </c>
      <c r="H268" s="3">
        <f>1572.8+(42-519.1)+(0.802128+(0.02142-0.264741))+0--165.5--0.0844049999999832</f>
        <v>1261.8432119999998</v>
      </c>
      <c r="I268" s="3">
        <f>1574.7+(44-534.7)+(2.409291+(0.06732-0.818091))+0--166.8--0.25520400000001</f>
        <v>1252.713724</v>
      </c>
      <c r="J268" s="3">
        <f>1571.2+(44-523.9)+(-0.801312+(-0.02244--0.267189))+0--167.1-0.085220999999983</f>
        <v>1257.7582159999999</v>
      </c>
      <c r="K268" s="3">
        <f>1679+(44-614.3)+(3.42516+(0.08976-1.253172))+0--193.6--0.394943999999992</f>
        <v>1304.9566919999997</v>
      </c>
      <c r="L268" s="3">
        <f>1747.2+(43-622.6)+(0+(0-0))+0--241.3-0</f>
        <v>1408.8999999999999</v>
      </c>
      <c r="M268" s="3">
        <f>1751.3+(45-568.8)+(0.893163+(0.02295-0.290088))+0--242.4--0.123623999999975</f>
        <v>1470.6496490000002</v>
      </c>
      <c r="N268" s="3">
        <f>2013.6+(31-725.4)+(1.026936+(0.01581-0.369954))+0--238.2--0.121481999999976</f>
        <v>1558.194274</v>
      </c>
      <c r="O268" s="3">
        <f>2043.5+(22-695.4)+(2.08437+(0.02244-0.709308))+0--235.5--0.240210000000038</f>
        <v>1607.2377119999999</v>
      </c>
      <c r="P268" s="3">
        <f>2083.1+(25-702.5)+(-1.062381+(-0.01275--0.358275))+0--232.7-0.118676999999976</f>
        <v>1637.464467</v>
      </c>
      <c r="Q268" s="3">
        <f>2131.7+(24-732.9)+(-3.261501+(-0.03672--1.121337))+0--229.9-0.351747000000013</f>
        <v>1650.1713689999999</v>
      </c>
      <c r="R268" s="3">
        <f>2110.3+(22-728.1)+(-4.305012+(-0.04488--1.485324))+0--229.4-0.46797599999999</f>
        <v>1630.2674560000005</v>
      </c>
      <c r="S268" s="3">
        <f>1847.8+(39-509.9)+(-0.942378+(-0.01989--0.260049))+0--228.8-0.116687999999977</f>
        <v>1604.881093</v>
      </c>
      <c r="T268" s="3">
        <f>1810.1+(40-472.1)+(1.846302+(0.0408-0.481542))+0--229.6--0.234192000000037</f>
        <v>1609.239752</v>
      </c>
      <c r="U268" s="3">
        <f>1805.6+(46.2-476.6)+(0+(0-0))+0--230.2-0</f>
        <v>1605.3999999999999</v>
      </c>
      <c r="V268" s="3">
        <f>1885.3+(45.8-561)+(1.923006+(0.046716-0.57222))+0--230.5--0.235110000000037</f>
        <v>1602.232612</v>
      </c>
      <c r="W268" s="3">
        <f>2102.2+(92.1-603.8)+(3.216366+(0.140913-0.923814))+0--230.5--0.352665000000013</f>
        <v>1823.7861300000002</v>
      </c>
      <c r="X268" s="3">
        <f>2123+(97.7-584.9)+(0+(0-0))+0--231.6-0</f>
        <v>1867.3999999999999</v>
      </c>
      <c r="Y268" s="3">
        <f>2136.8+(37.1-588.6)+(-5.44884+(-0.094605--1.50093))+0--233.2-0.594659999999966</f>
        <v>1813.8628250000002</v>
      </c>
      <c r="Z268" s="3">
        <f>2060.3+(25-567.1)+(-2.101506+(-0.0255--0.578442))+0--234.1-0.238782000000037</f>
        <v>1750.5126540000001</v>
      </c>
      <c r="AA268" s="3">
        <f>1932.1+(29.3-497.1)+(-1.970742+(-0.029886--0.507042))+0--234.2-0.238884000000037</f>
        <v>1696.7675299999999</v>
      </c>
      <c r="AB268" s="3">
        <f>1888.8+(33-545.4)+(0+(0-0))+0--235.3-0</f>
        <v>1611.7</v>
      </c>
      <c r="AC268" s="3">
        <f>1847.2+(36-658.6)+(-2.826216+(-0.05508--1.007658))+0--235.3-0.360009000000014</f>
        <v>1457.6663529999998</v>
      </c>
      <c r="AD268">
        <v>1856.8000000000002</v>
      </c>
      <c r="AE268" s="3">
        <f>2148+(96.4-618.6)+(0+(0-0))+0--231-0</f>
        <v>1856.8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1852.7+(41-768.2)+(-1.889754+(-0.04182--0.783564))+0--235.2-0.239904000000038</f>
        <v>1359.3120859999999</v>
      </c>
      <c r="G269" s="3">
        <f>1845.6+(33-831.5)+(-1.882512+(-0.03366--0.84813))+0--236.8-0.241536000000038</f>
        <v>1282.5904219999998</v>
      </c>
      <c r="H269" s="3">
        <f>1826.1+(35-839.3)+(-0.931311+(-0.01785--0.428043))+0--239.2-0.121991999999976</f>
        <v>1260.35689</v>
      </c>
      <c r="I269" s="3">
        <f>1710.2+(30-736.5)+(-0.872202+(-0.0153--0.375615))+0--238.4-0.121583999999976</f>
        <v>1241.466529</v>
      </c>
      <c r="J269" s="3">
        <f>1598.8+(26-626.4)+(5.707716+(0.09282-2.236248))+0--239.1--0.853587000000003</f>
        <v>1241.9178750000001</v>
      </c>
      <c r="K269" s="3">
        <f>1694+(25-673)+(1.72788+(0.0255-0.68646))+0--238.5--0.243270000000038</f>
        <v>1285.8101899999999</v>
      </c>
      <c r="L269" s="3">
        <f>1867.9+(16.4-747.3)+(-0.952629+(-0.008364--0.381123))+0--241.2-0.123011999999976</f>
        <v>1377.497118</v>
      </c>
      <c r="M269" s="3">
        <f>1931.7+(9.8-735.5)+(-1.970334+(-0.009996--0.75021))+0--242.6-0.247452000000039</f>
        <v>1447.1224279999999</v>
      </c>
      <c r="N269" s="3">
        <f>1997.9+(14.9-724)+(-1.018929+(-0.007599--0.36924))+0--238.7-0.121736999999976</f>
        <v>1526.7209750000002</v>
      </c>
      <c r="O269" s="3">
        <f>1988.7+(13.6-635.2)+(-1.014237+(-0.006936--0.323952))+0--237.5-0.121124999999976</f>
        <v>1603.7816540000001</v>
      </c>
      <c r="P269" s="3">
        <f>1970.6+(14.7-573.8)+(0+(0-0))+0--232.3-0</f>
        <v>1643.8</v>
      </c>
      <c r="Q269" s="3">
        <f>1994+(12.2-613.5)+(-2.03388+(-0.012444--0.62577))+0--229.6-0.234192000000037</f>
        <v>1620.6452539999998</v>
      </c>
      <c r="R269" s="3">
        <f>1981.4+(15-634.5)+(-3.031542+(-0.02295--0.970785))+0--229.2-0.350676000000013</f>
        <v>1588.6656170000001</v>
      </c>
      <c r="S269" s="3">
        <f>1973+(12-642.1)+(-3.01869+(-0.01836--0.982413))+0--228.9-0.350217000000013</f>
        <v>1569.3951460000003</v>
      </c>
      <c r="T269" s="3">
        <f>1967.5+(14-650.3)+(3.010275+(0.02142-0.994959))+0--229.2--0.350676000000013</f>
        <v>1562.7874120000001</v>
      </c>
      <c r="U269" s="3">
        <f>1949.3+(12-665.7)+(0+(0-0))+0--229.4-0</f>
        <v>1525</v>
      </c>
      <c r="V269" s="3">
        <f>2108.9+(12-750.2)+(-1.075539+(-0.00612--0.382602))+0--229.8-0.117197999999977</f>
        <v>1599.683745</v>
      </c>
      <c r="W269" s="3">
        <f>2103.6+(45.2-627.8)+(2.145672+(0.046104-0.640356))+0--230.3--0.234906000000037</f>
        <v>1753.0863260000001</v>
      </c>
      <c r="X269" s="3">
        <f>2156.2+(69.1-622.5)+(-4.398648+(-0.140964--1.2699))+0--231.5-0.47225999999999</f>
        <v>1830.5580279999997</v>
      </c>
      <c r="Y269" s="3">
        <f>2141.4+(15-610.7)+(-6.552684+(-0.0459--1.868742))+0--232.4-0.711144000000027</f>
        <v>1772.6590140000001</v>
      </c>
      <c r="Z269" s="3">
        <f>2079.4+(14-609)+(-1.060494+(-0.00714--0.31059))+0--232.9-0.118778999999976</f>
        <v>1716.4241770000003</v>
      </c>
      <c r="AA269" s="3">
        <f>1988.1+(13-559.8)+(-4.055724+(-0.02652--1.141992))+0--234.1-0.47756399999999</f>
        <v>1671.9821839999997</v>
      </c>
      <c r="AB269" s="3">
        <f>1903.2+(6-552.7)+(-3.882528+(-0.01224--1.127508))+0--234.4-0.47817599999999</f>
        <v>1587.6545639999999</v>
      </c>
      <c r="AC269" s="3">
        <f>1747.4+(12-514.4)+(-3.564696+(-0.02448--1.049376))+0--234.9-0.47919599999999</f>
        <v>1476.8810040000001</v>
      </c>
      <c r="AD269">
        <v>1862.7999999999997</v>
      </c>
      <c r="AE269" s="3">
        <f>2152+(127.6-646.4)+(0+(0-0))+0--229.6-0</f>
        <v>1862.8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1694.6+(30-575.1)+(-4.32123+(-0.0765--1.466505))+0--238.1-0.607154999999965</f>
        <v>1384.0616199999999</v>
      </c>
      <c r="G270" s="3">
        <f>1599.9+(34-501.2)+(-0.815949+(-0.01734--0.255612))+0--238-0.121379999999976</f>
        <v>1370.000943</v>
      </c>
      <c r="H270" s="3">
        <f>1583.7+(34-574)+(-2.423061+(-0.05202--0.87822))+0--237.9-0.363987000000014</f>
        <v>1279.6391520000002</v>
      </c>
      <c r="I270" s="3">
        <f>1588.7+(33-590.1)+(2.430711+(0.05049-0.902853))+0--236.1--0.361233000000014</f>
        <v>1269.6395809999999</v>
      </c>
      <c r="J270" s="3">
        <f>1605+(29-598.9)+(0.81855+(0.01479-0.305439))+0--239.8--0.122297999999976</f>
        <v>1275.5501989999998</v>
      </c>
      <c r="K270" s="3">
        <f>1652.9+(18-592.5)+(2.528937+(0.02754-0.906525))+0--239.5--0.366435000000014</f>
        <v>1319.916387</v>
      </c>
      <c r="L270" s="3">
        <f>1692.7+(18-552.4)+(0.863277+(0.00918-0.281724))+0--242.3--0.123572999999975</f>
        <v>1401.3143060000002</v>
      </c>
      <c r="M270" s="3">
        <f>1741.7+(17-529.2)+(0.888267+(0.00867-0.269892))+0--242.4--0.123623999999975</f>
        <v>1472.6506690000001</v>
      </c>
      <c r="N270" s="3">
        <f>1922.8+(15-591.3)+(0.980628+(0.00765-0.301563))+0--237.5--0.121124999999976</f>
        <v>1584.8078399999999</v>
      </c>
      <c r="O270" s="3">
        <f>1991.1+(22.6-593)+(-1.015461+(-0.011526--0.30243))+0--235.1-0.119900999999976</f>
        <v>1654.9555419999997</v>
      </c>
      <c r="P270" s="3">
        <f>1974+(175.9-702.7)+(-2.01348+(-0.179418--0.716754))+0--231.9-0.236538000000037</f>
        <v>1677.3873179999998</v>
      </c>
      <c r="Q270" s="3">
        <f>2002.5+(151.4-710.3)+(-4.0851+(-0.308856--1.449012))+0--228.9-0.46695599999999</f>
        <v>1669.0880999999999</v>
      </c>
      <c r="R270" s="3">
        <f>1952.7+(38.7-525.5)+(-5.975262+(-0.118422--1.60803))+0--226.8-0.694008000000026</f>
        <v>1687.520338</v>
      </c>
      <c r="S270" s="3">
        <f>1901.5+(72-548.9)+(0+(0-0))+0--225.5-0</f>
        <v>1650.1</v>
      </c>
      <c r="T270" s="3">
        <f>1904.6+(26.2-529.6)+(-3.885384+(-0.053448--1.080384))+0--226.9-0.46287599999999</f>
        <v>1624.7786759999999</v>
      </c>
      <c r="U270" s="3">
        <f>1899.8+(18-511.5)+(0+(0-0))+0--227.5-0</f>
        <v>1633.8</v>
      </c>
      <c r="V270" s="3">
        <f>1958.9+(21.7-567.1)+(0+(0-0))+0--228.6-0</f>
        <v>1642.1</v>
      </c>
      <c r="W270" s="3">
        <f>2002.4+(204.2-593.7)+(0+(0-0))+0--228.8-0</f>
        <v>1841.7</v>
      </c>
      <c r="X270" s="3">
        <f>2003.4+(178.9-533.1)+(-4.086936+(-0.364956--1.087524))+0--231.8-0.47287199999999</f>
        <v>1877.1627599999999</v>
      </c>
      <c r="Y270" s="3">
        <f>1988.3+(105.1-512.1)+(-3.042099+(-0.160803--0.783513))+0--230.7-0.352971000000013</f>
        <v>1809.2276400000001</v>
      </c>
      <c r="Z270" s="3">
        <f>1988.9+(17.5-498.1)+(-1.014339+(-0.008925--0.254031))+0--231.6-0.118115999999977</f>
        <v>1739.0126510000002</v>
      </c>
      <c r="AA270" s="3">
        <f>1993.5+(0-524.9)+(-4.06674+(0--1.070796))+0--233.1-0.47552399999999</f>
        <v>1698.2285319999999</v>
      </c>
      <c r="AB270" s="3">
        <f>1982.2+(0-576.9)+(-5.05461+(0--1.471095))+0--233.5-0.595424999999966</f>
        <v>1634.6210600000002</v>
      </c>
      <c r="AC270" s="3">
        <f>1870+(0-608.2)+(-4.7685+(0--1.55091))+0--233.5-0.595424999999966</f>
        <v>1491.486985</v>
      </c>
      <c r="AD270">
        <v>1828.0000000000002</v>
      </c>
      <c r="AE270" s="3">
        <f>2013+(265.3-678.7)+(0+(0-0))+0--228.4-0</f>
        <v>1828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1797.3+(14-649.1)+(-1.833246+(-0.01428--0.662082))+0--237.4-0.242148000000038</f>
        <v>1398.1724079999999</v>
      </c>
      <c r="G271" s="3">
        <f>1763.3+(14-680.2)+(-3.597132+(-0.02856--1.387608))+0--237.8-0.48511199999999</f>
        <v>1332.1768039999997</v>
      </c>
      <c r="H271" s="3">
        <f>1556.4+(21-528.1)+(-0.793764+(-0.01071--0.269331))+0--236.8-0.120767999999976</f>
        <v>1285.4440890000001</v>
      </c>
      <c r="I271" s="3">
        <f>1546.6+(24-540.1)+(-1.577532+(-0.02448--0.550902))+0--238.5-0.243270000000038</f>
        <v>1267.70562</v>
      </c>
      <c r="J271" s="3">
        <f>1546.5+(23-542)+(0.788715+(0.01173-0.27642))+0--239.6--0.122195999999976</f>
        <v>1267.7462209999999</v>
      </c>
      <c r="K271" s="3">
        <f>1546.7+(18-508)+(0+(0-0))+0--240.4-0</f>
        <v>1297.1000000000001</v>
      </c>
      <c r="L271" s="3">
        <f>1570.9+(15-490.1)+(-0.801159+(-0.00765--0.249951))+0--238.4-0.121583999999976</f>
        <v>1333.5195580000002</v>
      </c>
      <c r="M271" s="3">
        <f>1601.6+(26.5-441.8)+(-5.717712+(-0.094605--1.577226))+0--176.3-0.629391000000003</f>
        <v>1357.735518</v>
      </c>
      <c r="N271" s="3">
        <f>1627.3+(71.4-430.9)+(1.659846+(0.072828-0.439518))+0--166.7--0.170034000000027</f>
        <v>1435.9631899999999</v>
      </c>
      <c r="O271" s="3">
        <f>1767.4+(65.8-500.1)+(0+(0-0))+0--163.9-0</f>
        <v>1497.0000000000002</v>
      </c>
      <c r="P271" s="3">
        <f>1845.9+(73.4-522.1)+(-3.765636+(-0.149736--1.065084))+0--162.6-0.331703999999993</f>
        <v>1556.6180079999999</v>
      </c>
      <c r="Q271" s="3">
        <f>1763.7+(102.4-451.8)+(-1.798974+(-0.104448--0.460836))+0--160.9-0.164118000000026</f>
        <v>1573.5932960000005</v>
      </c>
      <c r="R271" s="3">
        <f>1723.5+(100.8-484.9)+(-4.394925+(-0.25704--1.236495))+0--160.6-0.409529999999977</f>
        <v>1496.1750000000002</v>
      </c>
      <c r="S271" s="3">
        <f>1715.8+(72.7-479.2)+(-2.625174+(-0.111231--0.733176))+0--160.3-0.245259000000009</f>
        <v>1467.351512</v>
      </c>
      <c r="T271" s="3">
        <f>1707.6+(68.5-486.1)+(-1.741752+(-0.06987--0.495822))+0--160.9-0.164118000000026</f>
        <v>1449.4200820000001</v>
      </c>
      <c r="U271" s="3">
        <f>1735.3+(65.5-490.3)+(0.885003+(0.033405-0.250053))+0--162.1--0.0826709999999835</f>
        <v>1473.3510259999998</v>
      </c>
      <c r="V271" s="3">
        <f>1784.1+(86.7-567.4)+(1.819782+(0.088434-0.578748))+0--205.4--0.209508000000033</f>
        <v>1510.338976</v>
      </c>
      <c r="W271" s="3">
        <f>1897.8+(196.5-646)+(0+(0-0))+0--230.4-0</f>
        <v>1678.7</v>
      </c>
      <c r="X271" s="3">
        <f>1912.5+(186.1-594)+(-4.876875+(-0.474555--1.5147))+0--231.6-0.590579999999966</f>
        <v>1731.7726899999998</v>
      </c>
      <c r="Y271" s="3">
        <f>1877.5+(177-592.5)+(0.957525+(0.09027-0.302175))+0--232.3--0.118472999999976</f>
        <v>1695.1640929999999</v>
      </c>
      <c r="Z271" s="3">
        <f>1882.1+(73.1-535.3)+(-1.919742+(-0.074562--0.546006))+0--235.6-0.240312000000038</f>
        <v>1653.8113899999998</v>
      </c>
      <c r="AA271" s="3">
        <f>1882.6+(20.1-524.7)+(-4.80063+(-0.051255--1.337985))+0--235.7-0.601034999999966</f>
        <v>1609.5850650000002</v>
      </c>
      <c r="AB271" s="3">
        <f>1886.4+(10.2-594.9)+(-2.886192+(-0.015606--0.910197))+0--236.7-0.362151000000014</f>
        <v>1536.0462480000003</v>
      </c>
      <c r="AC271" s="3">
        <f>1839.7+(18.5-653)+(-4.691235+(-0.047175--1.66515))+0--236.7-0.603584999999966</f>
        <v>1438.2231550000001</v>
      </c>
      <c r="AD271">
        <v>1816.4</v>
      </c>
      <c r="AE271" s="3">
        <f>1957+(245.4-618)+(0+(0-0))+0--232-0</f>
        <v>1816.4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1678.6+(18-566.9)+(0+(0-0))+0--236.5-0</f>
        <v>1366.1999999999998</v>
      </c>
      <c r="G272" s="3">
        <f>1544.1+(19-509.2)+(-3.149964+(-0.03876--1.038768))+0--239.6-0.48878399999999</f>
        <v>1290.8612599999999</v>
      </c>
      <c r="H272" s="3">
        <f>1399.9+(21-399)+(-3.569745+(-0.05355--1.01745))+0--242.6-0.618629999999965</f>
        <v>1261.275525</v>
      </c>
      <c r="I272" s="3">
        <f>1305+(24.5-330.2)+(1.99665+(0.037485-0.505206))+0--239.7--0.366741000000014</f>
        <v>1240.8956699999999</v>
      </c>
      <c r="J272" s="3">
        <f>1300.3+(30.7-326.6)+(0+(0-0))+0--241.3-0</f>
        <v>1245.6999999999998</v>
      </c>
      <c r="K272" s="3">
        <f>1425.6+(16.7-395)+(2.181168+(0.025551-0.60435))+0--241.1--0.368883000000014</f>
        <v>1290.3712519999999</v>
      </c>
      <c r="L272" s="3">
        <f>1634.6+(10-524.7)+(-0.833646+(-0.0051--0.267597))+0--242.4-0.123623999999975</f>
        <v>1361.6052269999998</v>
      </c>
      <c r="M272" s="3">
        <f>1951.7+(10-774.8)+(0.995367+(0.0051-0.395148))+0--243--0.123929999999975</f>
        <v>1430.6292490000001</v>
      </c>
      <c r="N272" s="3">
        <f>2169.7+(10-871.8)+(-1.106547+(-0.0051--0.444618))+0--243.6-0.124235999999975</f>
        <v>1550.7087349999999</v>
      </c>
      <c r="O272" s="3">
        <f>2488.2+(10-1105.1)+(-3.806946+(-0.0153--1.690803))+0--242.1-0.370413000000014</f>
        <v>1632.6981439999997</v>
      </c>
      <c r="P272" s="3">
        <f>2657.8+(10-1241)+(-4.066434+(-0.0153--1.89873))+0--236.2-0.361386000000014</f>
        <v>1660.4556100000002</v>
      </c>
      <c r="Q272" s="3">
        <f>2693.9+(6-1268.3)+(-4.121667+(-0.00918--1.940499))+0--232.3-0.355419000000013</f>
        <v>1661.354233</v>
      </c>
      <c r="R272" s="3">
        <f>2673.3+(6-1292.2)+(-4.090149+(-0.00918--1.977066))+0--230.7-0.352971000000013</f>
        <v>1615.3247660000002</v>
      </c>
      <c r="S272" s="3">
        <f>2659.7+(6-1289.9)+(-2.712894+(-0.00612--1.315698))+0--230.3-0.234906000000037</f>
        <v>1604.4617779999996</v>
      </c>
      <c r="T272" s="3">
        <f>2612.8+(6-1243)+(-5.330112+(-0.01224--2.53572))+0--231.4-0.47205599999999</f>
        <v>1603.9213120000002</v>
      </c>
      <c r="U272" s="3">
        <f>2608+(6-1258.7)+(-1.33008+(-0.00306--0.641937))+0--234.2-0.119441999999976</f>
        <v>1588.689355</v>
      </c>
      <c r="V272" s="3">
        <f>2664.4+(6-1293.2)+(-1.358844+(-0.00306--0.659532))+0--235-0.119849999999976</f>
        <v>1611.377778</v>
      </c>
      <c r="W272" s="3">
        <f>2670.2+(6-1108.5)+(-1.361802+(-0.00306--0.565335))+0--234.8-0.119747999999976</f>
        <v>1801.5807249999998</v>
      </c>
      <c r="X272" s="3">
        <f>2560.1+(6-961.4)+(-5.222604+(-0.01224--1.961256))+0--235.6-0.48062399999999</f>
        <v>1836.5457879999997</v>
      </c>
      <c r="Y272" s="3">
        <f>2467.2+(6-921)+(-6.29136+(-0.0153--2.34855))+0--235.9-0.601544999999966</f>
        <v>1783.5403449999999</v>
      </c>
      <c r="Z272" s="3">
        <f>2344.7+(6-874.4)+(-5.978985+(-0.0153--2.22972))+0--236.6-0.603329999999966</f>
        <v>1708.5321049999998</v>
      </c>
      <c r="AA272" s="3">
        <f>2276.9+(6-847)+(-3.483657+(-0.00918--1.29591))+0--237.3-0.363069000000014</f>
        <v>1670.6400040000001</v>
      </c>
      <c r="AB272" s="3">
        <f>2277.6+(6-934.5)+(-5.80788+(-0.0153--2.382975))+0--237.4-0.605369999999966</f>
        <v>1582.4544249999999</v>
      </c>
      <c r="AC272" s="3">
        <f>2235.2+(14.2-1013.3)+(-5.69976+(-0.03621--2.583915))+0--237.7-0.606134999999965</f>
        <v>1470.0418099999999</v>
      </c>
      <c r="AD272">
        <v>1863.8</v>
      </c>
      <c r="AE272" s="3">
        <f>2682+(10-1063.2)+(0+(0-0))+0--235-0</f>
        <v>1863.8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2208.4+(10.2-1082.8)+(0+(0-0))+0--238.1-0</f>
        <v>1373.9</v>
      </c>
      <c r="G273" s="3">
        <f>2010.7+(21.3-939.3)+(0+(0-0))+0--220.3-0</f>
        <v>1313</v>
      </c>
      <c r="H273" s="3">
        <f>1836+(35-775.3)+(0+(0-0))+0--164.1-0</f>
        <v>1259.8</v>
      </c>
      <c r="I273" s="3">
        <f>1782.8+(17.8-718.5)+(0+(0-0))+0--163.8-0</f>
        <v>1245.8999999999999</v>
      </c>
      <c r="J273" s="3">
        <f>1933.2+(14.1-852.2)+(0+(0-0))+0--164.6-0</f>
        <v>1259.6999999999998</v>
      </c>
      <c r="K273" s="3">
        <f>2023.4+(11-892.2)+(0+(0-0))+0--164.6-0</f>
        <v>1306.8</v>
      </c>
      <c r="L273" s="3">
        <f>2103.5+(13-860.6)+(0+(0-0))+0--164.5-0</f>
        <v>1420.4</v>
      </c>
      <c r="M273" s="3">
        <f>2345.2+(9-1038.5)+(0+(0-0))+0--169.1-0</f>
        <v>1484.7999999999997</v>
      </c>
      <c r="N273" s="3">
        <f>2654.1+(8-1291.8)+(0+(0-0))+0--241.5-0</f>
        <v>1611.8</v>
      </c>
      <c r="O273" s="3">
        <f>2732.1+(9-1212.4)+(-2.786742+(-0.00918--1.236648))+0--238.8-0.243576000000038</f>
        <v>1765.6971499999997</v>
      </c>
      <c r="P273" s="3">
        <f>2646.4+(9-1178.9)+(-4.048992+(-0.01377--1.803717))+0--237.1-0.362763000000014</f>
        <v>1710.9781919999998</v>
      </c>
      <c r="Q273" s="3">
        <f>2666.1+(9-1193.9)+(-4.079133+(-0.01377--1.826667))+0--235-0.359550000000014</f>
        <v>1713.5742139999998</v>
      </c>
      <c r="R273" s="3">
        <f>2863.5+(7-1424.9)+(-5.84154+(-0.01428--2.906796))+0--234-0.47735999999999</f>
        <v>1676.1736159999998</v>
      </c>
      <c r="S273" s="3">
        <f>2908.6+(6-1452)+(-7.41693+(-0.0153--3.7026))+0--233.1-0.594404999999966</f>
        <v>1691.3759649999997</v>
      </c>
      <c r="T273" s="3">
        <f>2909.6+(6-1460.1)+(0+(0-0))+0--232.3-0</f>
        <v>1687.8</v>
      </c>
      <c r="U273" s="3">
        <f>2858.2+(3-1444)+(-7.28841+(-0.00765--3.6822))+0--232.1-0.591854999999966</f>
        <v>1645.0942849999999</v>
      </c>
      <c r="V273" s="3">
        <f>2918.8+(3-1453.8)+(-1.488588+(-0.00153--0.741438))+0--232.5-0.118574999999976</f>
        <v>1699.6327450000003</v>
      </c>
      <c r="W273" s="3">
        <f>3002.1+(0-1351)+(1.531071+(0-0.68901))+0--232.2--0.118421999999976</f>
        <v>1884.260483</v>
      </c>
      <c r="X273" s="3">
        <f>3029+(0-1328.1)+(-3.08958+(0--1.354662))+0--234-0.238680000000037</f>
        <v>1932.9264020000001</v>
      </c>
      <c r="Y273" s="3">
        <f>3046.5+(0-1389.3)+(-3.10743+(0--1.417086))+0--235.3-0.240006000000038</f>
        <v>1890.5696499999999</v>
      </c>
      <c r="Z273" s="3">
        <f>3022+(0-1422.8)+(-6.16488+(0--2.902512))+0--235.4-0.48021599999999</f>
        <v>1830.8574160000003</v>
      </c>
      <c r="AA273" s="3">
        <f>2800.5+(0-1258.6)+(-5.71302+(0--2.567544))+0--234.9-0.47919599999999</f>
        <v>1773.1753280000003</v>
      </c>
      <c r="AB273" s="3">
        <f>2687.2+(0-1233.6)+(-4.111416+(0--1.887408))+0--233.9-0.357867000000014</f>
        <v>1684.9181250000001</v>
      </c>
      <c r="AC273" s="3">
        <f>2624.6+(4-1291.5)+(-5.354184+(-0.00816--2.63466))+0--236.7-0.48286799999999</f>
        <v>1570.5894479999999</v>
      </c>
      <c r="AD273">
        <v>1948.2</v>
      </c>
      <c r="AE273" s="3">
        <f>2988+(20.4-1291.8)+(0+(0-0))+0--231.6-0</f>
        <v>1948.2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2544.1+(10-1279.7)+(-3.892473+(-0.0153--1.957941))+0--238.2-0.364446000000014</f>
        <v>1510.2857219999999</v>
      </c>
      <c r="G274" s="3">
        <f>2337.8+(9-1135.3)+(-5.96139+(-0.02295--2.895015))+0--239-0.609449999999965</f>
        <v>1446.8012250000004</v>
      </c>
      <c r="H274" s="3">
        <f>2131.4+(28.2-935.2)+(-1.087014+(-0.014382--0.476952))+0--163.4-0.0833339999999834</f>
        <v>1387.0922220000002</v>
      </c>
      <c r="I274" s="3">
        <f>2140.1+(16.5-942.9)+(0+(0-0))+0--164.4-0</f>
        <v>1378.1</v>
      </c>
      <c r="J274" s="3">
        <f>2147.1+(15.4-942)+(1.095021+(0.007854-0.48042))+0--164.4--0.0838439999999833</f>
        <v>1385.606299</v>
      </c>
      <c r="K274" s="3">
        <f>2200.1+(10-944.7)+(4.488204+(0.0204-1.927188))+0--188.2--0.383927999999992</f>
        <v>1456.5653439999999</v>
      </c>
      <c r="L274" s="3">
        <f>2463+(10-1209.9)+(3.76839+(0.0153-1.851147))+0--244.1--0.373473000000014</f>
        <v>1509.5060159999998</v>
      </c>
      <c r="M274" s="3">
        <f>2595.9+(10-1264.9)+(0+(0-0))+0--243.6-0</f>
        <v>1584.6</v>
      </c>
      <c r="N274" s="3">
        <f>2889.2+(11-1459.8)+(-1.473492+(-0.00561--0.744498))+0--241.2-0.123011999999976</f>
        <v>1680.7423839999999</v>
      </c>
      <c r="O274" s="3">
        <f>2955.1+(11-1438.1)+(-3.014202+(-0.01122--1.466862))+0--238.5-0.243270000000038</f>
        <v>1764.6981700000001</v>
      </c>
      <c r="P274" s="3">
        <f>2857.3+(11-1332)+(-2.914446+(-0.01122--1.35864))+0--237.1-0.241842000000038</f>
        <v>1771.591132</v>
      </c>
      <c r="Q274" s="3">
        <f>2849.1+(6-1319.6)+(-5.812164+(-0.01224--2.691984))+0--234.6-0.47858399999999</f>
        <v>1766.488996</v>
      </c>
      <c r="R274" s="3">
        <f>2779.9+(6-1303.9)+(-4.253247+(-0.00918--1.994967))+0--231.7-0.354501000000013</f>
        <v>1711.078039</v>
      </c>
      <c r="S274" s="3">
        <f>2360.6+(6-1005)+(-2.407812+(-0.00612--1.0251))+0--230.9-0.235518000000037</f>
        <v>1590.87565</v>
      </c>
      <c r="T274" s="3">
        <f>2306.4+(6-941.1)+(-2.352528+(-0.00612--0.959922))+0--231.8-0.236436000000037</f>
        <v>1601.4648380000001</v>
      </c>
      <c r="U274" s="3">
        <f>2307.9+(6-933.8)+(-1.177029+(-0.00306--0.476238))+0--232.7-0.118676999999976</f>
        <v>1611.9774720000003</v>
      </c>
      <c r="V274" s="3">
        <f>2326.2+(6-940.3)+(-1.186362+(-0.00306--0.479553))+0--234.2-0.119441999999976</f>
        <v>1625.2706889999999</v>
      </c>
      <c r="W274" s="3">
        <f>2504.3+(6-876.6)+(2.554386+(0.00612-0.894132))+0--181.2--0.184824000000029</f>
        <v>1816.7511980000002</v>
      </c>
      <c r="X274" s="3">
        <f>2512.1+(6-827.4)+(0+(0-0))+0--161.3-0</f>
        <v>1851.9999999999998</v>
      </c>
      <c r="Y274" s="3">
        <f>2520.2+(6-876.7)+(-7.711812+(-0.01836--2.682702))+0--161.7-0.494802000000019</f>
        <v>1805.6577279999999</v>
      </c>
      <c r="Z274" s="3">
        <f>2530.2+(6-947.9)+(0+(0-0))+0--161.7-0</f>
        <v>1749.9999999999998</v>
      </c>
      <c r="AA274" s="3">
        <f>2499.8+(6-960.4)+(-3.824694+(-0.00918--1.469412))+0--162.3-0.248319000000009</f>
        <v>1705.087219</v>
      </c>
      <c r="AB274" s="3">
        <f>2473.5+(6-1010.1)+(-5.04594+(-0.01224--2.060604))+0--162.8-0.332111999999993</f>
        <v>1628.870312</v>
      </c>
      <c r="AC274" s="3">
        <f>2391.4+(10-1039.2)+(-6.09807+(-0.0255--2.64996))+0--163.3-0.416414999999976</f>
        <v>1521.6099750000001</v>
      </c>
      <c r="AD274">
        <v>1865.3000000000002</v>
      </c>
      <c r="AE274" s="3">
        <f>2497+(9-802.1)+(0+(0-0))+0--161.4-0</f>
        <v>1865.3000000000002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2114.8+(48.9-973.4)+(-4.314192+(-0.099756--1.985736))+0--163.4-0.333335999999993</f>
        <v>1350.9384520000003</v>
      </c>
      <c r="G275" s="3">
        <f>1985.6+(48.7-859.2)+(-2.025312+(-0.049674--0.876384))+0--163.5-0.166770000000026</f>
        <v>1337.2346279999999</v>
      </c>
      <c r="H275" s="3">
        <f>1858.2+(10-787.1)+(-0.947682+(-0.0051--0.401421))+0--163.2-0.0832319999999834</f>
        <v>1243.665407</v>
      </c>
      <c r="I275" s="3">
        <f>1837.6+(15-801.7)+(0.937176+(0.00765-0.408867))+0--164--0.0836399999999834</f>
        <v>1215.519599</v>
      </c>
      <c r="J275" s="3">
        <f>1812.6+(16.7-691)+(-5.546556+(-0.051102--2.11446))+0--164.4-0.503064000000019</f>
        <v>1298.7137380000001</v>
      </c>
      <c r="K275" s="3">
        <f>1702.5+(13-547.9)+(3.4731+(0.02652-1.117716))+0--165.5--0.337619999999993</f>
        <v>1335.819524</v>
      </c>
      <c r="L275" s="3">
        <f>2089.1+(11-831)+(2.130882+(0.01122-0.84762))+0--166.4--0.169728000000027</f>
        <v>1436.9642100000001</v>
      </c>
      <c r="M275" s="3">
        <f>2404.1+(11-1068.8)+(-6.130455+(-0.02805--2.72544))+0--165.7-0.422534999999976</f>
        <v>1508.1444000000001</v>
      </c>
      <c r="N275" s="3">
        <f>2516.2+(11-1109.9)+(1.283262+(0.00561-0.566049))+0--163.9--0.0835889999999834</f>
        <v>1582.006412</v>
      </c>
      <c r="O275" s="3">
        <f>2492.7+(11-1022.9)+(-2.542554+(-0.01122--1.043358))+0--163.7-0.166974000000026</f>
        <v>1642.8226099999997</v>
      </c>
      <c r="P275" s="3">
        <f>2506.9+(11-981.3)+(1.278519+(0.00561-0.500463))+0--161.8--0.0825179999999836</f>
        <v>1699.2661840000001</v>
      </c>
      <c r="Q275" s="3">
        <f>2606.7+(6-1004)+(-1.329417+(-0.00306--0.51204))+0--161.2-0.0822119999999836</f>
        <v>1768.9973509999998</v>
      </c>
      <c r="R275" s="3">
        <f>2416.9+(8-931.7)+(-6.163095+(-0.0204--2.375835))+0--160.4-0.409019999999977</f>
        <v>1649.3833200000001</v>
      </c>
      <c r="S275" s="3">
        <f>2338.6+(6-860)+(-3.578058+(-0.00918--1.3158))+0--160.1-0.244953000000009</f>
        <v>1642.1836089999999</v>
      </c>
      <c r="T275" s="3">
        <f>2337.6+(6-868.1)+(-1.192176+(-0.00306--0.442731))+0--160.8-0.0820079999999837</f>
        <v>1635.4654869999999</v>
      </c>
      <c r="U275" s="3">
        <f>2387.3+(6-930.1)+(4.870092+(0.01224-1.897404))+0--161.2--0.328847999999993</f>
        <v>1627.7137760000003</v>
      </c>
      <c r="V275" s="3">
        <f>2581.8+(6-1099.9)+(-2.633436+(-0.00612--1.121898))+0--161.4-0.164628000000026</f>
        <v>1647.6177140000002</v>
      </c>
      <c r="W275" s="3">
        <f>2750.7+(6-1056)+(1.402857+(0.00306-0.53856))+0--161.2--0.0822119999999836</f>
        <v>1862.849569</v>
      </c>
      <c r="X275" s="3">
        <f>2759.8+(6-1016)+(-5.629992+(-0.01224--2.07264))+0--169-0.344759999999993</f>
        <v>1914.8856480000002</v>
      </c>
      <c r="Y275" s="3">
        <f>2775.5+(6-1084)+(-5.66202+(-0.01224--2.21136))+0--164.4-0.335375999999993</f>
        <v>1858.1017240000001</v>
      </c>
      <c r="Z275" s="3">
        <f>2547+(6-905.9)+(-3.89691+(-0.00918--1.386027))+0--162.4-0.248472000000009</f>
        <v>1806.7314650000001</v>
      </c>
      <c r="AA275" s="3">
        <f>2565+(6-996.9)+(-3.92445+(-0.00918--1.525257))+0--162.5-0.248625000000009</f>
        <v>1733.943002</v>
      </c>
      <c r="AB275" s="3">
        <f>2428.3+(6-943.2)+(-3.715299+(-0.00918--1.443096))+0--163.1-0.249543000000009</f>
        <v>1651.6690740000001</v>
      </c>
      <c r="AC275" s="3">
        <f>2215.9+(47.7-907)+(-5.650545+(-0.121635--2.31285))+0--163.4-0.416669999999976</f>
        <v>1516.1240000000003</v>
      </c>
      <c r="AD275">
        <v>1889.0000000000002</v>
      </c>
      <c r="AE275" s="3">
        <f>2747.9+(7-1026.3)+(0+(0-0))+0--160.4-0</f>
        <v>1889.0000000000002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2269.4+(36.7-1055.3)+(-3.472182+(-0.056151--1.614609))+0--163.5-0.250155000000009</f>
        <v>1412.1361210000002</v>
      </c>
      <c r="G276" s="3">
        <f>2342+(46.2-1196.4)+(-2.38884+(-0.047124--1.220328))+0--164-0.167280000000026</f>
        <v>1354.4170839999999</v>
      </c>
      <c r="H276" s="3">
        <f>2094.6+(62.5-1008.4)+(-2.136492+(-0.06375--1.028568))+0--164-0.167280000000026</f>
        <v>1311.3610459999998</v>
      </c>
      <c r="I276" s="3">
        <f>2010.9+(80.3-953.7)+(1.025559+(0.040953-0.486387))+0--165.4--0.0843539999999832</f>
        <v>1303.5644790000001</v>
      </c>
      <c r="J276" s="3">
        <f>2007.9+(50.3-920.1)+(1.024029+(0.025653-0.469251))+0--164.3--0.0837929999999833</f>
        <v>1303.064224</v>
      </c>
      <c r="K276" s="3">
        <f>2108.2+(26-966.9)+(1.075182+(0.01326-0.493119))+0--175.9--0.0897089999999822</f>
        <v>1343.8850319999999</v>
      </c>
      <c r="L276" s="3">
        <f>2180+(24.8-995.9)+(1.1118+(0.012648-0.507909))+0--250.8--0.127907999999975</f>
        <v>1460.4444470000001</v>
      </c>
      <c r="M276" s="3">
        <f>2423.1+(23.8-1099.9)+(-2.471562+(-0.024276--1.121898))+0--252.7-0.25775400000004</f>
        <v>1598.0683059999999</v>
      </c>
      <c r="N276" s="3">
        <f>2642.2+(13-1223.4)+(4.042566+(0.01989-1.871802))+0--220--0.336600000000013</f>
        <v>1654.3272539999998</v>
      </c>
      <c r="O276" s="3">
        <f>2824.7+(12-1243.5)+(-7.202985+(-0.0306--3.170925))+0--96.1-0.245054999999986</f>
        <v>1684.9922849999996</v>
      </c>
      <c r="P276" s="3">
        <f>2960.5+(11-1352.1)+(-1.509855+(-0.00561--0.689571))+0--94-0.0479399999999905</f>
        <v>1712.5261660000001</v>
      </c>
      <c r="Q276" s="3">
        <f>2827.8+(6-1208.1)+(-4.326534+(-0.00918--1.848393))+0--91.8-0.140454000000005</f>
        <v>1714.8722250000001</v>
      </c>
      <c r="R276" s="3">
        <f>2743.3+(6-1171.8)+(-2.798166+(-0.00612--1.195236))+0--90.5-0.0923100000000144</f>
        <v>1666.2986400000002</v>
      </c>
      <c r="S276" s="3">
        <f>2712.9+(6-1136.4)+(-2.767158+(-0.00612--1.159128))+0--88.8-0.0905760000000142</f>
        <v>1669.5952739999998</v>
      </c>
      <c r="T276" s="3">
        <f>2749.1+(6-1185.7)+(-4.206123+(-0.00918--1.814121))+0--88.5-0.135405000000005</f>
        <v>1655.3634129999998</v>
      </c>
      <c r="U276" s="3">
        <f>2766.9+(6-1215.7)+(-7.055595+(-0.0153--3.100035))+0--88.7-0.226184999999987</f>
        <v>1641.7029550000002</v>
      </c>
      <c r="V276" s="3">
        <f>2801.2+(6-1265.4)+(2.857224+(0.00612-1.290708))+0--99.8--0.101796000000016</f>
        <v>1643.2744319999997</v>
      </c>
      <c r="W276" s="3">
        <f>2999.3+(6-1342.5)+(-4.588929+(-0.00918--2.054025))+0--233.9-0.357867000000014</f>
        <v>1893.7980490000002</v>
      </c>
      <c r="X276" s="3">
        <f>3122.7+(6-1445.7)+(-6.370308+(-0.01224--2.949228))+0--235.5-0.48041999999999</f>
        <v>1914.5862599999996</v>
      </c>
      <c r="Y276" s="3">
        <f>2854+(6-1251.5)+(2.91108+(0.00612-1.27653))+0--237.5--0.242250000000038</f>
        <v>1847.88292</v>
      </c>
      <c r="Z276" s="3">
        <f>2627.6+(6-1109.3)+(-5.360304+(-0.01224--2.262972))+0--239.7-0.488987999999989</f>
        <v>1760.4014399999999</v>
      </c>
      <c r="AA276" s="3">
        <f>2396.3+(10-960.8)+(-4.888452+(-0.0204--1.960032))+0--243.5-0.496739999999989</f>
        <v>1685.5544400000001</v>
      </c>
      <c r="AB276" s="3">
        <f>2267.6+(21-892)+(1.156476+(0.01071-0.45492))+0--242.8--0.123827999999975</f>
        <v>1640.2360939999999</v>
      </c>
      <c r="AC276" s="3">
        <f>2007.9+(21-765.5)+(-1.024029+(-0.01071--0.390405))+0--242.9-0.123878999999975</f>
        <v>1505.5317870000001</v>
      </c>
      <c r="AD276">
        <v>1888</v>
      </c>
      <c r="AE276" s="3">
        <f>3105+(6-1457.6)+(0+(0-0))+0--234.6-0</f>
        <v>1888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2042.3+(19-858.8)+(-1.041573+(-0.00969--0.437988))+0--244.8-0.124847999999975</f>
        <v>1446.5618770000001</v>
      </c>
      <c r="G277" s="3">
        <f>2144.6+(13-1036.8)+(-1.093746+(-0.00663--0.528768))+0--244.8-0.124847999999975</f>
        <v>1364.903544</v>
      </c>
      <c r="H277" s="3">
        <f>2168.6+(13-1118.2)+(0+(0-0))+0--244.8-0</f>
        <v>1308.1999999999998</v>
      </c>
      <c r="I277" s="3">
        <f>2155.7+(13-1126)+(-1.099407+(-0.00663--0.57426))+0--249.6-0.127295999999975</f>
        <v>1291.6409269999999</v>
      </c>
      <c r="J277" s="3">
        <f>2157.2+(13-1126.6)+(1.100172+(0.00663-0.574566))+0--249--0.126989999999975</f>
        <v>1293.2592259999999</v>
      </c>
      <c r="K277" s="3">
        <f>2159.4+(13-1081.6)+(0+(0-0))+0--248.3-0</f>
        <v>1339.1000000000001</v>
      </c>
      <c r="L277" s="3">
        <f>2172+(13-1007)+(1.10772+(0.00663-0.51357))+0--247.4--0.126173999999975</f>
        <v>1426.1269540000001</v>
      </c>
      <c r="M277" s="3">
        <f>2213.7+(14-1001.1)+(0+(0-0))+0--247.8-0</f>
        <v>1474.3999999999999</v>
      </c>
      <c r="N277" s="3">
        <f>2387.4+(14-1030.3)+(-2.435148+(-0.01428--1.050906))+0--249.4-0.25438800000004</f>
        <v>1618.8470900000002</v>
      </c>
      <c r="O277" s="3">
        <f>2502.6+(14-1073.3)+(1.276326+(0.00714-0.547383))+0--246.3--0.125612999999975</f>
        <v>1690.4616959999998</v>
      </c>
      <c r="P277" s="3">
        <f>2548.7+(14-1091)+(3.899511+(0.02142-1.66923))+0--242.3--0.370719000000014</f>
        <v>1716.6224199999997</v>
      </c>
      <c r="Q277" s="3">
        <f>2648.1+(9-1181.5)+(-1.350531+(-0.00459--0.602565))+0--238.5-0.121634999999976</f>
        <v>1713.225809</v>
      </c>
      <c r="R277" s="3">
        <f>2625.7+(9-1229.5)+(-6.695535+(-0.02295--3.135225))+0--237-0.604349999999966</f>
        <v>1638.0123899999996</v>
      </c>
      <c r="S277" s="3">
        <f>2599.6+(9-1230.3)+(-5.303184+(-0.01836--2.509812))+0--235.9-0.48123599999999</f>
        <v>1610.9070320000001</v>
      </c>
      <c r="T277" s="3">
        <f>2527.6+(9-1169.3)+(-1.289076+(-0.00459--0.596343))+0--234.9-0.119798999999976</f>
        <v>1601.3828779999999</v>
      </c>
      <c r="U277" s="3">
        <f>2514.4+(9-1165.6)+(-6.41172+(-0.02295--2.97228))+0--235.4-0.600269999999966</f>
        <v>1589.1373400000004</v>
      </c>
      <c r="V277" s="3">
        <f>2528.4+(9-1177.6)+(3.868452+(0.01377-1.801728))+0--235.9--0.360927000000014</f>
        <v>1598.1414210000003</v>
      </c>
      <c r="W277" s="3">
        <f>2638.5+(11-1081.9)+(0+(0-0))+0--239.3-0</f>
        <v>1806.8999999999999</v>
      </c>
      <c r="X277" s="3">
        <f>2670.1+(13.4-1057.8)+(-6.808755+(-0.03417--2.69739))+0--239.4-0.610469999999965</f>
        <v>1860.3439949999999</v>
      </c>
      <c r="Y277" s="3">
        <f>2606.4+(21.2-1052.5)+(-6.64632+(-0.05406--2.683875))+0--240.4-0.613019999999965</f>
        <v>1810.8704750000002</v>
      </c>
      <c r="Z277" s="3">
        <f>2529.3+(9-1037.1)+(-3.869829+(-0.01377--1.586763))+0--240.9-0.368577000000014</f>
        <v>1739.4345870000004</v>
      </c>
      <c r="AA277" s="3">
        <f>2531.2+(9-1085)+(-1.290912+(-0.00459--0.55335))+0--241.4-0.123113999999976</f>
        <v>1695.7347339999999</v>
      </c>
      <c r="AB277" s="3">
        <f>2534.4+(9-1159.3)+(-3.877632+(-0.01377--1.773729))+0--241.6-0.369648000000014</f>
        <v>1623.212679</v>
      </c>
      <c r="AC277" s="3">
        <f>2469.3+(13-1195.2)+(-2.518686+(-0.01326--1.219104))+0--242.1-0.246942000000039</f>
        <v>1527.640216</v>
      </c>
      <c r="AD277">
        <v>1821.5</v>
      </c>
      <c r="AE277" s="3">
        <f>2639+(25-1081.1)+(0+(0-0))+0--238.6-0</f>
        <v>1821.5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2350.1+(10-1154.6)+(0+(0-0))+0--243.1-0</f>
        <v>1448.6</v>
      </c>
      <c r="G278" s="3">
        <f>2274+(9-1142.4)+(-5.7987+(-0.02295--2.91312))+0--244.2-0.622709999999965</f>
        <v>1381.2687600000002</v>
      </c>
      <c r="H278" s="3">
        <f>2187.6+(9-1040.7)+(-4.462704+(-0.01836--2.123028))+0--166.2-0.339047999999993</f>
        <v>1319.4029159999998</v>
      </c>
      <c r="I278" s="3">
        <f>2059.7+(10-959.1)+(1.050447+(0.0051-0.489141))+0--165.1--0.0842009999999832</f>
        <v>1276.3506069999996</v>
      </c>
      <c r="J278" s="3">
        <f>1892.4+(10-753.7)+(0.965124+(0.0051-0.384387))+0--166.6--0.0849659999999831</f>
        <v>1315.9708029999999</v>
      </c>
      <c r="K278" s="3">
        <f>1870.5+(10-713)+(0+(0-0))+0--166.6-0</f>
        <v>1334.1</v>
      </c>
      <c r="L278" s="3">
        <f>2004.4+(11.2-794.7)+(-1.022244+(-0.005712--0.405297))+0--167.4-0.085373999999983</f>
        <v>1387.5919670000001</v>
      </c>
      <c r="M278" s="3">
        <f>1972.5+(35.6-766.4)+(2.01195+(0.036312-0.781728))+0--168--0.171360000000027</f>
        <v>1411.1378940000002</v>
      </c>
      <c r="N278" s="3">
        <f>2189.5+(11-929.1)+(2.23329+(0.01122-0.947682))+0--220.2--0.224604000000035</f>
        <v>1493.1214320000001</v>
      </c>
      <c r="O278" s="3">
        <f>2238.3+(54.7-954.8)+(0+(0-0))+0--244.2-0</f>
        <v>1582.4000000000003</v>
      </c>
      <c r="P278" s="3">
        <f>2223.8+(104.8-941.6)+(-2.268276+(-0.106896--0.960432))+0--241.4-0.246228000000038</f>
        <v>1626.7390320000002</v>
      </c>
      <c r="Q278" s="3">
        <f>2198.8+(117.6-921)+(2.242776+(0.119952-0.93942))+0--236.5--0.241230000000038</f>
        <v>1633.5645380000001</v>
      </c>
      <c r="R278" s="3">
        <f>2230.2+(108.6-984.1)+(-3.412206+(-0.166158--1.505673))+0--234.9-0.359397000000014</f>
        <v>1587.1679119999999</v>
      </c>
      <c r="S278" s="3">
        <f>2217.4+(92.9-983.8)+(-5.65437+(-0.236895--2.50869))+0--233-0.594149999999966</f>
        <v>1555.523275</v>
      </c>
      <c r="T278" s="3">
        <f>2250.4+(75.2-1027.7)+(-3.443112+(-0.115056--1.572381))+0--233.5-0.357255000000013</f>
        <v>1529.0569579999999</v>
      </c>
      <c r="U278" s="3">
        <f>2382+(32.8-1112.5)+(-4.85928+(-0.066912--2.2695))+0--234.3-0.47797199999999</f>
        <v>1533.465336</v>
      </c>
      <c r="V278" s="3">
        <f>2398+(22-1099.2)+(-1.22298+(-0.01122--0.560592))+0--235.7-0.120206999999976</f>
        <v>1555.706185</v>
      </c>
      <c r="W278" s="3">
        <f>2475.5+(58.5-1019)+(1.262505+(0.029835-0.51969))+0--235.6--0.120155999999976</f>
        <v>1751.492806</v>
      </c>
      <c r="X278" s="3">
        <f>2543.5+(43.1-1028.8)+(-5.18874+(-0.087924--2.098752))+0--235.9-0.48123599999999</f>
        <v>1790.0408520000001</v>
      </c>
      <c r="Y278" s="3">
        <f>2495.7+(35-1016.9)+(3.818421+(0.05355-1.555857))+0--236.5--0.361845000000014</f>
        <v>1752.9779589999996</v>
      </c>
      <c r="Z278" s="3">
        <f>2443.8+(37.7-1012.2)+(-1.246338+(-0.019227--0.516222))+0--236.6-0.120665999999976</f>
        <v>1705.0299910000001</v>
      </c>
      <c r="AA278" s="3">
        <f>2241.3+(58.5-874.7)+(-3.429189+(-0.089505--1.338291))+0--236.8-0.362304000000014</f>
        <v>1659.357293</v>
      </c>
      <c r="AB278" s="3">
        <f>2139.1+(53.6-853.3)+(-2.181882+(-0.054672--0.870366))+0--237.5-0.242250000000038</f>
        <v>1575.2915620000001</v>
      </c>
      <c r="AC278" s="3">
        <f>1988.5+(43.7-806.5)+(-3.042405+(-0.066861--1.233945))+0--237.7-0.363681000000014</f>
        <v>1461.1609980000001</v>
      </c>
      <c r="AD278">
        <v>1763.7</v>
      </c>
      <c r="AE278" s="3">
        <f>2531+(44.6-1047.3)+(0+(0-0))+0--235.4-0</f>
        <v>1763.7000000000003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2030+(26-923.8)+(-5.1765+(-0.0663--2.35569))+0--238.4-0.607919999999965</f>
        <v>1367.1049700000003</v>
      </c>
      <c r="G279" s="3">
        <f>1976.5+(22-869.1)+(-3.024045+(-0.03366--1.329723))+0--173.9-0.26606700000001</f>
        <v>1301.3059510000001</v>
      </c>
      <c r="H279" s="3">
        <f>1932.5+(21-842.6)+(-4.927875+(-0.05355--2.14863))+0--164.3-0.418964999999976</f>
        <v>1271.9482399999999</v>
      </c>
      <c r="I279" s="3">
        <f>1710.4+(20-702.8)+(-1.744608+(-0.0204--0.716856))+0--207.5-0.211650000000033</f>
        <v>1233.8401980000001</v>
      </c>
      <c r="J279" s="3">
        <f>1847.9+(24-868.7)+(0+(0-0))+0--244-0</f>
        <v>1247.2</v>
      </c>
      <c r="K279" s="3">
        <f>1832.6+(18-797.4)+(-1.869252+(-0.01836--0.813348))+0--244.2-0.249084000000039</f>
        <v>1296.0766519999997</v>
      </c>
      <c r="L279" s="3">
        <f>1844.1+(26.1-705.4)+(0.940491+(0.013311-0.359754))+0--244.6--0.124745999999975</f>
        <v>1410.1187939999998</v>
      </c>
      <c r="M279" s="3">
        <f>1886.8+(46.8-698.5)+(1.924536+(0.047736-0.71247))+0--245.9--0.250818000000039</f>
        <v>1482.51062</v>
      </c>
      <c r="N279" s="3">
        <f>2008.3+(42.8-720.8)+(1.024233+(0.021828-0.367608))+0--244.8--0.124847999999975</f>
        <v>1575.9033009999998</v>
      </c>
      <c r="O279" s="3">
        <f>2005.1+(49.7-659.4)+(4.090404+(0.101388-1.345176))+0--242.9--0.495515999999989</f>
        <v>1641.6421320000002</v>
      </c>
      <c r="P279" s="3">
        <f>1981.1+(58-605.1)+(1.010361+(0.02958-0.308601))+0--239.7--0.122246999999976</f>
        <v>1674.5535870000001</v>
      </c>
      <c r="Q279" s="3">
        <f>2012.4+(52-634.5)+(1.026324+(0.02652-0.323595))+0--238.1--0.121430999999976</f>
        <v>1668.85068</v>
      </c>
      <c r="R279" s="3">
        <f>1954.6+(43.7-610.6)+(-4.98423+(-0.111435--1.55703))+0--236.1-0.602054999999966</f>
        <v>1619.6593099999996</v>
      </c>
      <c r="S279" s="3">
        <f>1885.7+(35.7-552.4)+(0.961707+(0.018207-0.281724))+0--237--0.120869999999976</f>
        <v>1606.81906</v>
      </c>
      <c r="T279" s="3">
        <f>1866.7+(58.9-576.2)+(1.904034+(0.060078-0.587724))+0--237.1--0.241842000000038</f>
        <v>1588.11823</v>
      </c>
      <c r="U279" s="3">
        <f>1929.7+(32.2-608.2)+(0+(0-0))+0--237.7-0</f>
        <v>1591.4</v>
      </c>
      <c r="V279" s="3">
        <f>1955+(50.5-625.5)+(-1.9941+(-0.05151--0.63801))+0--239-0.243780000000038</f>
        <v>1617.34862</v>
      </c>
      <c r="W279" s="3">
        <f>2005.2+(240.5-662.3)+(0+(0-0))+0--238.9-0</f>
        <v>1822.3000000000002</v>
      </c>
      <c r="X279" s="3">
        <f>2069.2+(250.6-673.7)+(-2.110584+(-0.255612--0.687174))+0--238.8-0.243576000000038</f>
        <v>1882.9774019999998</v>
      </c>
      <c r="Y279" s="3">
        <f>2026+(225-669.3)+(-4.13304+(-0.459--1.365372))+0--239.1-0.48776399999999</f>
        <v>1817.085568</v>
      </c>
      <c r="Z279" s="3">
        <f>2033+(153.7-673.7)+(-1.03683+(-0.078387--0.343587))+0--240.1-0.122450999999976</f>
        <v>1752.205919</v>
      </c>
      <c r="AA279" s="3">
        <f>2036.8+(80.3-657.7)+(-2.077536+(-0.081906--0.670854))+0--240.9-0.245718000000038</f>
        <v>1698.5656939999999</v>
      </c>
      <c r="AB279" s="3">
        <f>2041.4+(36.2-719.4)+(-1.041114+(-0.018462--0.366894))+0--241.1-0.122960999999976</f>
        <v>1598.484357</v>
      </c>
      <c r="AC279" s="3">
        <f>1945.7+(17.9-730)+(-0.992307+(-0.009129--0.3723))+0--241-0.122909999999976</f>
        <v>1473.8479539999998</v>
      </c>
      <c r="AD279">
        <v>1854.7999999999997</v>
      </c>
      <c r="AE279" s="3">
        <f>2017+(285.1-685.9)+(0+(0-0))+0--238.6-0</f>
        <v>1854.8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1849.5+(7-735.4)+(-1.88649+(-0.00714--0.750108))+0--240.8-0.245616000000038</f>
        <v>1360.5108619999999</v>
      </c>
      <c r="G280" s="3">
        <f>1817.3+(8-769.6)+(-0.926823+(-0.00408--0.392496))+0--244.1-0.124490999999975</f>
        <v>1299.1371019999997</v>
      </c>
      <c r="H280" s="3">
        <f>1670.5+(7-650.7)+(-2.555865+(-0.01071--0.995571))+0--244.1-0.373473000000014</f>
        <v>1268.9555229999999</v>
      </c>
      <c r="I280" s="3">
        <f>1517+(21.9-523.6)+(-2.32101+(-0.033507--0.801108))+0--245.2-0.375156000000014</f>
        <v>1258.5714349999998</v>
      </c>
      <c r="J280" s="3">
        <f>1513.9+(25.1-524.1)+(0+(0-0))+0--245.3-0</f>
        <v>1260.2</v>
      </c>
      <c r="K280" s="3">
        <f>1590.5+(24.2-556.1)+(0+(0-0))+0--245.5-0</f>
        <v>1304.0999999999999</v>
      </c>
      <c r="L280" s="3">
        <f>1770.8+(29.5-620.5)+(0+(0-0))+0--244.3-0</f>
        <v>1424.1</v>
      </c>
      <c r="M280" s="3">
        <f>1837+(32-632.3)+(1.87374+(0.03264-0.644946))+0--242.8--0.247656000000039</f>
        <v>1481.00909</v>
      </c>
      <c r="N280" s="3">
        <f>1877.6+(55.4-588.3)+(1.915152+(0.056508-0.600066))+0--237.2--0.241944000000038</f>
        <v>1583.5135379999999</v>
      </c>
      <c r="O280" s="3">
        <f>1857.4+(74.9-553.5)+(-0.947274+(-0.038199--0.282285))+0--239.9-0.122348999999976</f>
        <v>1617.8744630000003</v>
      </c>
      <c r="P280" s="3">
        <f>1830.5+(50-464.4)+(0+(0-0))+0--230.9-0</f>
        <v>1647</v>
      </c>
      <c r="Q280" s="3">
        <f>1895.5+(108.5-473.3)+(-2.900115+(-0.166005--0.724149))+0--159.6-0.244188000000009</f>
        <v>1687.7138409999998</v>
      </c>
      <c r="R280" s="3">
        <f>1951+(39.9-555.3)+(-1.99002+(-0.040698--0.566406))+0--158.5-0.161670000000025</f>
        <v>1592.4740179999999</v>
      </c>
      <c r="S280" s="3">
        <f>1885.1+(60.1-507.1)+(-2.884203+(-0.091953--0.775863))+0--158.3-0.242199000000009</f>
        <v>1593.9575079999997</v>
      </c>
      <c r="T280" s="3">
        <f>1895+(66-525.1)+(0+(0-0))+0--158.2-0</f>
        <v>1594.1000000000001</v>
      </c>
      <c r="U280" s="3">
        <f>1936.4+(51.2-555)+(2.962692+(0.078336-0.84915))+0--158.4--0.242352000000009</f>
        <v>1593.4342300000003</v>
      </c>
      <c r="V280" s="3">
        <f>2026.4+(26.8-664.3)+(2.066928+(0.027336-0.677586))+0--214.1--0.218382000000034</f>
        <v>1604.6350600000001</v>
      </c>
      <c r="W280" s="3">
        <f>2189.3+(59.5-683.6)+(3.349629+(0.091035-1.045908))+0--233--0.356490000000013</f>
        <v>1800.9512460000003</v>
      </c>
      <c r="X280" s="3">
        <f>2199.8+(75.9-716.8)+(-2.243796+(-0.077418--0.731136))+0--236.4-0.241128000000038</f>
        <v>1793.4687940000001</v>
      </c>
      <c r="Y280" s="3">
        <f>2204.4+(63.8-750.6)+(-5.62122+(-0.16269--1.91403))+0--235.3-0.600014999999966</f>
        <v>1748.4301049999999</v>
      </c>
      <c r="Z280" s="3">
        <f>2187.7+(42.5-748.9)+(1.115727+(0.021675-0.381939))+0--234.5--0.119594999999976</f>
        <v>1716.6750579999996</v>
      </c>
      <c r="AA280" s="3">
        <f>2142.6+(46.7-743.4)+(-3.278178+(-0.071451--1.137402))+0--235.6-0.360468000000014</f>
        <v>1678.9273049999999</v>
      </c>
      <c r="AB280" s="3">
        <f>1955.4+(37.8-638.5)+(-3.989016+(-0.077112--1.30254))+0--235.5-0.48041999999999</f>
        <v>1586.9559919999999</v>
      </c>
      <c r="AC280" s="3">
        <f>1565.8+(79.1-426.2)+(-3.194232+(-0.161364--0.869448))+0--235.5-0.48041999999999</f>
        <v>1451.2334319999998</v>
      </c>
      <c r="AD280">
        <v>1850.9000000000003</v>
      </c>
      <c r="AE280" s="3">
        <f>2199+(85.3-669.8)+(0+(0-0))+0--236.4-0</f>
        <v>1850.9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1567.1+(58-522.3)+(-3.196884+(-0.11832--1.065492))+0--236-0.48143999999999</f>
        <v>1336.0688479999999</v>
      </c>
      <c r="G281" s="3">
        <f>1542+(87.8-598.6)+(-1.57284+(-0.089556--0.610572))+0--237.5-0.242250000000038</f>
        <v>1267.4059260000001</v>
      </c>
      <c r="H281" s="3">
        <f>1489.3+(89.6-581)+(-0.759543+(-0.045696--0.29631))+0--239.2-0.121991999999976</f>
        <v>1236.4690790000002</v>
      </c>
      <c r="I281" s="3">
        <f>1497.5+(87.5-595.8)+(2.291175+(0.133875-0.911574))+0--239.8--0.366894000000014</f>
        <v>1230.8803700000001</v>
      </c>
      <c r="J281" s="3">
        <f>1496.6+(82-583.7)+(0+(0-0))+0--238.8-0</f>
        <v>1233.6999999999998</v>
      </c>
      <c r="K281" s="3">
        <f>1601.6+(32.1-616.1)+(4.900896+(0.098226-1.885266))+0--238.6--0.730116000000028</f>
        <v>1260.0439719999999</v>
      </c>
      <c r="L281" s="3">
        <f>1694.2+(13-546.6)+(0+(0-0))+0--239.5-0</f>
        <v>1400.1</v>
      </c>
      <c r="M281" s="3">
        <f>1757.9+(21.1-543.3)+(1.793058+(0.021522-0.554166))+0--240.4--0.245208000000038</f>
        <v>1477.6056220000005</v>
      </c>
      <c r="N281" s="3">
        <f>1944.4+(22-641.9)+(0+(0-0))+0--239.7-0</f>
        <v>1564.2</v>
      </c>
      <c r="O281" s="3">
        <f>1936.8+(26-583)+(1.975536+(0.02652-0.59466))+0--238.4--0.243168000000038</f>
        <v>1619.8505640000001</v>
      </c>
      <c r="P281" s="3">
        <f>1867.8+(46.3-509.8)+(2.857734+(0.070839-0.779994))+0--236.8--0.362304000000014</f>
        <v>1643.6108829999998</v>
      </c>
      <c r="Q281" s="3">
        <f>1958.8+(22.5-556.7)+(-0.998988+(-0.011475--0.283917))+0--231.9-0.118268999999976</f>
        <v>1655.6551849999998</v>
      </c>
      <c r="R281" s="3">
        <f>2033.6+(25-678)+(-5.18568+(-0.06375--1.7289))+0--231.9-0.591344999999966</f>
        <v>1608.3881249999999</v>
      </c>
      <c r="S281" s="3">
        <f>2033.6+(21-703.4)+(-3.111408+(-0.03213--1.076202))+0--230.4-0.352512000000013</f>
        <v>1579.1801519999999</v>
      </c>
      <c r="T281" s="3">
        <f>2078.7+(29-745.5)+(1.060137+(0.01479-0.380205))+0--230.2--0.117401999999977</f>
        <v>1593.2121239999999</v>
      </c>
      <c r="U281" s="3">
        <f>2140.5+(30-802.9)+(-1.091655+(-0.0153--0.409479))+0--231.2-0.117911999999977</f>
        <v>1597.984612</v>
      </c>
      <c r="V281" s="3">
        <f>2166.2+(25-834.7)+(-2.209524+(-0.0255--0.851394))+0--231.5-0.236130000000037</f>
        <v>1586.3802399999997</v>
      </c>
      <c r="W281" s="3">
        <f>2300.4+(26.7-771.8)+(2.346408+(0.027234-0.787236))+0--231.7--0.236334000000037</f>
        <v>1788.8227400000001</v>
      </c>
      <c r="X281" s="3">
        <f>2335.5+(48.2-725.6)+(-5.955525+(-0.12291--1.85028))+0--231.1-0.589304999999966</f>
        <v>1884.3825399999998</v>
      </c>
      <c r="Y281" s="3">
        <f>2339.7+(32.6-777.7)+(-1.193247+(-0.016626--0.396627))+0--231.9-0.118268999999976</f>
        <v>1825.568485</v>
      </c>
      <c r="Z281" s="3">
        <f>2337.1+(27-829.3)+(-1.191921+(-0.01377--0.422943))+0--232.4-0.118523999999976</f>
        <v>1766.298728</v>
      </c>
      <c r="AA281" s="3">
        <f>2339+(26-874.8)+(-2.38578+(-0.02652--0.892296))+0--232.8-0.237456000000037</f>
        <v>1721.24254</v>
      </c>
      <c r="AB281" s="3">
        <f>2367.7+(31-977.4)+(-6.037635+(-0.07905--2.49237))+0--232.9-0.593894999999966</f>
        <v>1649.9817899999998</v>
      </c>
      <c r="AC281" s="3">
        <f>2182.8+(21-886.3)+(-2.226456+(-0.02142--0.904026))+0--234.7-0.239394000000037</f>
        <v>1550.6167560000004</v>
      </c>
      <c r="AD281">
        <v>1848.1</v>
      </c>
      <c r="AE281" s="3">
        <f>2304+(43-735.7)+(0+(0-0))+0--236.8-0</f>
        <v>1848.1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1942.4+(55.6-840.7)+(-3.962496+(-0.113424--1.715028))+0--239.8-0.48919199999999</f>
        <v>1394.2499160000002</v>
      </c>
      <c r="G282" s="3">
        <f>1858.3+(76.6-857.6)+(-1.895466+(-0.078132--0.874752))+0--239.7-0.244494000000038</f>
        <v>1315.6566599999999</v>
      </c>
      <c r="H282" s="3">
        <f>1764.6+(117.2-842.4)+(-3.599784+(-0.239088--1.718496))+0--239.7-0.488987999999989</f>
        <v>1276.490636</v>
      </c>
      <c r="I282" s="3">
        <f>1624.5+(137.3-727.2)+(-3.31398+(-0.280092--1.483488))+0--241.8-0.493271999999989</f>
        <v>1273.7961439999999</v>
      </c>
      <c r="J282" s="3">
        <f>1627.7+(123.8-717.5)+(-1.660254+(-0.126276--0.73185))+0--241.9-0.246738000000039</f>
        <v>1274.5985820000001</v>
      </c>
      <c r="K282" s="3">
        <f>1707+(75.5-726.5)+(0+(0-0))+0--241.9-0</f>
        <v>1297.9000000000001</v>
      </c>
      <c r="L282" s="3">
        <f>1866.4+(41.1-733.8)+(-0.951864+(-0.020961--0.374238))+0--239-0.121889999999976</f>
        <v>1411.9795230000004</v>
      </c>
      <c r="M282" s="3">
        <f>1933.8+(30-717.6)+(0.986238+(0.0153-0.365976))+0--238.7--0.121736999999976</f>
        <v>1485.6572989999997</v>
      </c>
      <c r="N282" s="3">
        <f>1963.3+(37-630.7)+(2.002566+(0.03774-0.643314))+0--238.3--0.243066000000038</f>
        <v>1609.5400579999998</v>
      </c>
      <c r="O282" s="3">
        <f>1946.7+(39-574)+(1.985634+(0.03978-0.58548))+0--239.5--0.244290000000038</f>
        <v>1652.8842240000001</v>
      </c>
      <c r="P282" s="3">
        <f>1927.2+(38-527.6)+(0.982872+(0.01938-0.269076))+0--237.1--0.120920999999976</f>
        <v>1675.5540969999997</v>
      </c>
      <c r="Q282" s="3">
        <f>1910.7+(32-502.9)+(0+(0-0))+0--237.6-0</f>
        <v>1677.4</v>
      </c>
      <c r="R282" s="3">
        <f>1944.9+(32.3-606)+(-4.959495+(-0.082365--1.5453))+0--236.7-0.603584999999966</f>
        <v>1603.799855</v>
      </c>
      <c r="S282" s="3">
        <f>1941.7+(31.7-615.2)+(-6.931869+(-0.113169--2.196264))+0--236.6-0.844662000000003</f>
        <v>1589.1065639999999</v>
      </c>
      <c r="T282" s="3">
        <f>1937.2+(32.9-630.4)+(0+(0-0))+0--236.6-0</f>
        <v>1576.3</v>
      </c>
      <c r="U282" s="3">
        <f>1935.9+(30.3-632.9)+(2.961927+(0.046359-0.968337))+0--236.6--0.361998000000014</f>
        <v>1572.3019470000002</v>
      </c>
      <c r="V282" s="3">
        <f>1946.9+(28.1-626.3)+(-1.985838+(-0.028662--0.638826))+0--237.1-0.241842000000038</f>
        <v>1584.1824840000002</v>
      </c>
      <c r="W282" s="3">
        <f>1960.4+(110.6-551.6)+(2.999412+(0.169218-0.843948))+0--236.7--0.362151000000014</f>
        <v>1758.7868330000001</v>
      </c>
      <c r="X282" s="3">
        <f>1969.4+(146.9-530.3)+(-5.02197+(-0.374595--1.352265))+0--237.2-0.604859999999966</f>
        <v>1818.5508400000001</v>
      </c>
      <c r="Y282" s="3">
        <f>1963+(71.2-493.6)+(-5.00565+(-0.18156--1.25868))+0--238.8-0.608939999999965</f>
        <v>1774.8625299999999</v>
      </c>
      <c r="Z282" s="3">
        <f>1911.7+(59.4-500.9)+(-3.899868+(-0.121176--1.021836))+0--241-0.491639999999989</f>
        <v>1707.7091520000001</v>
      </c>
      <c r="AA282" s="3">
        <f>1918.1+(42.7-544.9)+(-3.912924+(-0.087108--1.111596))+0--242.5-0.494699999999989</f>
        <v>1655.0168639999999</v>
      </c>
      <c r="AB282" s="3">
        <f>1898.8+(58.2-613.1)+(-1.936776+(-0.059364--0.625362))+0--242.9-0.247758000000039</f>
        <v>1585.1814640000002</v>
      </c>
      <c r="AC282" s="3">
        <f>1810.6+(94.3-672.6)+(-7.387248+(-0.384744--2.744208))+0--243-0.991439999999979</f>
        <v>1469.2807759999996</v>
      </c>
      <c r="AD282">
        <v>1857.3999999999999</v>
      </c>
      <c r="AE282" s="3">
        <f>1966+(172.5-504.7)+(0+(0-0))+0--223.6-0</f>
        <v>1857.3999999999999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1789.6+(134.5-771.1)+(-1.825392+(-0.13719--0.786522))+0--251.1-0.25612200000004</f>
        <v>1402.6678179999999</v>
      </c>
      <c r="G283" s="3">
        <f>1550.8+(123.6-562.3)+(0.790908+(0.063036-0.286773))+0--215.1--0.109700999999978</f>
        <v>1327.8768719999998</v>
      </c>
      <c r="H283" s="3">
        <f>1434.4+(132.4-456)+(0.731544+(0.067524-0.23256))+0--169.1--0.0862409999999828</f>
        <v>1280.5527490000002</v>
      </c>
      <c r="I283" s="3">
        <f>1436.9+(123.9-462.4)+(-0.732819+(-0.063189--0.235824))+0--169-0.0861899999999829</f>
        <v>1266.7536260000002</v>
      </c>
      <c r="J283" s="3">
        <f>1478.3+(105.5-484)+(-3.769665+(-0.269025--1.2342))+0--170-0.433499999999975</f>
        <v>1266.5620100000001</v>
      </c>
      <c r="K283" s="3">
        <f>1668.6+(46.7-564.8)+(-0.850986+(-0.023817--0.288048))+0--170-0.0866999999999827</f>
        <v>1319.8265449999999</v>
      </c>
      <c r="L283" s="3">
        <f>1594.2+(45.3-384.1)+(-0.813042+(-0.023103--0.195891))+0--165.9-0.0846089999999832</f>
        <v>1420.5751370000003</v>
      </c>
      <c r="M283" s="3">
        <f>1670+(52.8-407.7)+(0.8517+(0.026928-0.207927))+0--166.7--0.0850169999999831</f>
        <v>1482.5557179999998</v>
      </c>
      <c r="N283" s="3">
        <f>1962.3+(35-557.9)+(-1.000773+(-0.01785--0.284529))+0--158.8-0.0809879999999839</f>
        <v>1597.3849180000002</v>
      </c>
      <c r="O283" s="3">
        <f>1947.7+(49.8-498.4)+(0.993327+(0.025398-0.254184))+0--161.6--0.0824159999999836</f>
        <v>1661.546957</v>
      </c>
      <c r="P283" s="3">
        <f>1929.6+(77.9-471.3)+(-0.984096+(-0.039729--0.240363))+0--164.5-0.0838949999999833</f>
        <v>1699.8326429999997</v>
      </c>
      <c r="Q283" s="3">
        <f>1970.9+(68.4-491.5)+(-2.010318+(-0.069768--0.50133))+0--163.4-0.166668000000026</f>
        <v>1709.4545760000001</v>
      </c>
      <c r="R283" s="3">
        <f>1836.4+(82.4-393.9)+(-2.809692+(-0.126072--0.602667))+0--163.4-0.250002000000009</f>
        <v>1685.7169010000002</v>
      </c>
      <c r="S283" s="3">
        <f>1795.3+(99-381.7)+(-0.915603+(-0.05049--0.194667))+0--162.9-0.0830789999999835</f>
        <v>1674.645495</v>
      </c>
      <c r="T283" s="3">
        <f>1795.8+(85.8-376.9)+(-1.831716+(-0.087516--0.384438))+0--162.9-0.166158000000026</f>
        <v>1665.8990480000002</v>
      </c>
      <c r="U283" s="3">
        <f>1862.1+(71.7-434.8)+(-0.949671+(-0.036567--0.221748))+0--163.2-0.0832319999999834</f>
        <v>1661.3522780000001</v>
      </c>
      <c r="V283" s="3">
        <f>1883.2+(56-472.5)+(0+(0-0))+0--198.2-0</f>
        <v>1664.9</v>
      </c>
      <c r="W283" s="3">
        <f>1969+(89.6-457)+(2.00838+(0.091392-0.46614))+0--239.7--0.244494000000038</f>
        <v>1843.178126</v>
      </c>
      <c r="X283" s="3">
        <f>1988+(110-432.8)+(-5.0694+(-0.2805--1.10364))+0--239.7-0.611234999999965</f>
        <v>1900.0425050000003</v>
      </c>
      <c r="Y283" s="3">
        <f>1981.7+(60.8-433.2)+(-5.053335+(-0.15504--1.10466))+0--240.6-0.613529999999965</f>
        <v>1845.1827550000003</v>
      </c>
      <c r="Z283" s="3">
        <f>1949.5+(59-462.7)+(-3.97698+(-0.12036--0.943908))+0--242.3-0.494291999999989</f>
        <v>1784.4522759999998</v>
      </c>
      <c r="AA283" s="3">
        <f>1895.5+(50-457.3)+(-2.900115+(-0.0765--0.699669))+0--243.4-0.372402000000014</f>
        <v>1728.9506520000002</v>
      </c>
      <c r="AB283" s="3">
        <f>1861.8+(64.1-502.5)+(-2.848554+(-0.098073--0.768825))+0--244.1-0.373473000000014</f>
        <v>1664.948725</v>
      </c>
      <c r="AC283" s="3">
        <f>1814.5+(72.1-617.9)+(-4.626975+(-0.183855--1.575645))+0--244.5-0.623474999999964</f>
        <v>1509.3413400000002</v>
      </c>
      <c r="AD283">
        <v>1850.8</v>
      </c>
      <c r="AE283" s="3">
        <f>1970+(122.6-481.8)+(0+(0-0))+0--240-0</f>
        <v>1850.8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1821.1+(59.3-694.6)+(-2.786283+(-0.090729--1.062738))+0--245.2-0.375156000000014</f>
        <v>1428.8105699999996</v>
      </c>
      <c r="G284" s="3">
        <f>1814.3+(59-741.7)+(-5.551758+(-0.18054--2.269602))+0--245-0.749700000000028</f>
        <v>1372.3876039999998</v>
      </c>
      <c r="H284" s="3">
        <f>1775.6+(91.9-753.5)+(-1.811112+(-0.093738--0.76857))+0--244.1-0.248982000000039</f>
        <v>1356.7147379999999</v>
      </c>
      <c r="I284" s="3">
        <f>1697.8+(74.2-688.1)+(-2.597634+(-0.113526--1.052793))+0--244.5-0.374085000000014</f>
        <v>1326.3675480000002</v>
      </c>
      <c r="J284" s="3">
        <f>1725.5+(57.4-682.6)+(1.76001+(0.058548-0.696252))+0--248--0.25296000000004</f>
        <v>1349.675266</v>
      </c>
      <c r="K284" s="3">
        <f>1768.9+(42-680.8)+(-0.902139+(-0.02142--0.347208))+0--247.2-0.126071999999975</f>
        <v>1376.5975770000002</v>
      </c>
      <c r="L284" s="3">
        <f>1901.6+(40-783.9)+(0.969816+(0.0204-0.399789))+0--246.5--0.125714999999975</f>
        <v>1404.9161419999998</v>
      </c>
      <c r="M284" s="3">
        <f>1921.4+(39-727.1)+(-1.959828+(-0.03978--0.741642))+0--248.5-0.25347000000004</f>
        <v>1480.2885640000002</v>
      </c>
      <c r="N284" s="3">
        <f>1952.1+(41-645.4)+(0+(0-0))+0--247.1-0</f>
        <v>1594.7999999999997</v>
      </c>
      <c r="O284" s="3">
        <f>1973.6+(41-591.3)+(1.006536+(0.02091-0.301563))+0--245.1--0.125000999999975</f>
        <v>1669.2508839999998</v>
      </c>
      <c r="P284" s="3">
        <f>1865.7+(75.3-480.1)+(-0.951507+(-0.038403--0.244851))+0--243.8-0.124337999999975</f>
        <v>1703.8306029999999</v>
      </c>
      <c r="Q284" s="3">
        <f>1846.9+(82-473.8)+(-4.709595+(-0.2091--1.20819))+0--241.6-0.616079999999965</f>
        <v>1692.373415</v>
      </c>
      <c r="R284" s="3">
        <f>1886.3+(52.9-574.1)+(-1.924026+(-0.053958--0.585582))+0--240.9-0.245718000000038</f>
        <v>1604.3618799999999</v>
      </c>
      <c r="S284" s="3">
        <f>1934.8+(37.1-646)+(-0.986748+(-0.018921--0.32946))+0--240.8-0.122807999999976</f>
        <v>1565.900983</v>
      </c>
      <c r="T284" s="3">
        <f>1963.3+(39.3-695.9)+(-2.002566+(-0.040086--0.709818))+0--241.2-0.246024000000038</f>
        <v>1546.3211419999998</v>
      </c>
      <c r="U284" s="3">
        <f>1954.2+(37.6-708.8)+(-3.986568+(-0.076704--1.445952))+0--242.8-0.495311999999989</f>
        <v>1522.6873679999999</v>
      </c>
      <c r="V284" s="3">
        <f>1947.6+(61.6-662.2)+(0.993276+(0.031416-0.337722))+0--243.2--0.124031999999975</f>
        <v>1591.011002</v>
      </c>
      <c r="W284" s="3">
        <f>1937.2+(141.5-563.5)+(1.975944+(0.14433-0.57477))+0--242.8--0.247656000000039</f>
        <v>1759.7931599999999</v>
      </c>
      <c r="X284" s="3">
        <f>1955.6+(127.1-551.2)+(-3.989424+(-0.259284--1.124448))+0--243.1-0.495923999999989</f>
        <v>1770.9798159999998</v>
      </c>
      <c r="Y284" s="3">
        <f>1981.2+(72.1-568.4)+(-4.041648+(-0.147084--1.159536))+0--243.9-0.497555999999989</f>
        <v>1725.2732480000002</v>
      </c>
      <c r="Z284" s="3">
        <f>1917.3+(56.4-551.6)+(0+(0-0))+0--244.2-0</f>
        <v>1666.3</v>
      </c>
      <c r="AA284" s="3">
        <f>1905.8+(51.7-574.5)+(-3.887832+(-0.105468--1.17198))+0--244-0.497759999999989</f>
        <v>1623.68092</v>
      </c>
      <c r="AB284" s="3">
        <f>1912.4+(31.5-638)+(-1.950648+(-0.03213--0.65076))+0--244.2-0.249084000000039</f>
        <v>1548.518898</v>
      </c>
      <c r="AC284" s="3">
        <f>1867.1+(27.9-681.8)+(-1.904442+(-0.028458--0.695436))+0--244.4-0.249288000000039</f>
        <v>1456.1132479999999</v>
      </c>
      <c r="AD284">
        <v>1783.2</v>
      </c>
      <c r="AE284" s="3">
        <f>1927+(139.5-526.3)+(0+(0-0))+0--243-0</f>
        <v>1783.2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1871.5+(42-786.8)+(-2.863395+(-0.06426--1.203804))+0--244.2-0.373626000000014</f>
        <v>1368.8025230000001</v>
      </c>
      <c r="G285" s="3">
        <f>1789.3+(102.8-832.2)+(0.912543+(0.052428-0.424422))+0--244.6--0.124745999999975</f>
        <v>1305.1652949999998</v>
      </c>
      <c r="H285" s="3">
        <f>1650.8+(118.6-747)+(-2.525724+(-0.181458--1.14291))+0--247.6-0.378828000000014</f>
        <v>1268.0568999999998</v>
      </c>
      <c r="I285" s="3">
        <f>1522.4+(126.4-646.6)+(-3.105696+(-0.257856--1.319064))+0--247.9-0.505715999999989</f>
        <v>1247.5497960000002</v>
      </c>
      <c r="J285" s="3">
        <f>1480.4+(114.7-579.8)+(-3.020016+(-0.233988--1.182792))+0--236.9-0.48327599999999</f>
        <v>1249.6455120000003</v>
      </c>
      <c r="K285" s="3">
        <f>1502.5+(72.8-473.8)+(0.766275+(0.037128-0.241638))+0--165.1--0.0842009999999832</f>
        <v>1267.2459659999997</v>
      </c>
      <c r="L285" s="3">
        <f>1493.8+(78.8-418.8)+(-2.285514+(-0.120564--0.640764))+0--165.4-0.25306200000001</f>
        <v>1317.1816240000001</v>
      </c>
      <c r="M285" s="3">
        <f>1426+(91-346.3)+(-5.09082+(-0.32487--1.236291))+0--166.2-0.593334000000002</f>
        <v>1332.1272670000001</v>
      </c>
      <c r="N285" s="3">
        <f>1397.4+(144.4-321.1)+(0.712674+(0.073644-0.163761))+0--181.4--0.0925139999999816</f>
        <v>1402.815071</v>
      </c>
      <c r="O285" s="3">
        <f>1530.5+(131.9-382.7)+(0+(0-0))+0--242.5-0</f>
        <v>1522.2</v>
      </c>
      <c r="P285" s="3">
        <f>1731.8+(96.8-533.2)+(1.766436+(0.098736-0.543864))+0--238.5--0.243270000000038</f>
        <v>1535.4645779999998</v>
      </c>
      <c r="Q285" s="3">
        <f>1837.5+(61.6-543.8)+(-2.811375+(-0.094248--0.832014))+0--237.3-0.363069000000014</f>
        <v>1590.1633220000001</v>
      </c>
      <c r="R285" s="3">
        <f>1792.4+(59.1-570.2)+(0+(0-0))+0--235.7-0</f>
        <v>1517.0000000000002</v>
      </c>
      <c r="S285" s="3">
        <f>1713.3+(63.9-524.7)+(-2.621349+(-0.097767--0.802791))+0--234.3-0.358479000000014</f>
        <v>1484.5251960000001</v>
      </c>
      <c r="T285" s="3">
        <f>1727.3+(38.2-495.4)+(0+(0-0))+0--234-0</f>
        <v>1504.1</v>
      </c>
      <c r="U285" s="3">
        <f>1706.2+(30.6-507)+(0.870162+(0.015606-0.25857))+0--234.5--0.119594999999976</f>
        <v>1465.046793</v>
      </c>
      <c r="V285" s="3">
        <f>1719.1+(44.7-507.6)+(-0.876741+(-0.022797--0.258876))+0--234.9-0.119798999999976</f>
        <v>1490.3395389999998</v>
      </c>
      <c r="W285" s="3">
        <f>1895.8+(92.1-550.9)+(1.933716+(0.093942-0.561918))+0--234.8--0.239496000000037</f>
        <v>1673.5052360000002</v>
      </c>
      <c r="X285" s="3">
        <f>2015+(73.3-574.9)+(-1.02765+(-0.037383--0.293199))+0--236.2-0.120461999999976</f>
        <v>1748.7077040000001</v>
      </c>
      <c r="Y285" s="3">
        <f>2026.9+(66.5-623.7)+(-1.033719+(-0.033915--0.318087))+0--238-0.121379999999976</f>
        <v>1706.8290730000001</v>
      </c>
      <c r="Z285" s="3">
        <f>2068.2+(35.4-682.6)+(-1.054782+(-0.018054--0.348126))+0--237-0.120869999999976</f>
        <v>1657.1544199999998</v>
      </c>
      <c r="AA285" s="3">
        <f>2097.1+(16-724.5)+(0+(0-0))+0--237.5-0</f>
        <v>1626.1</v>
      </c>
      <c r="AB285" s="3">
        <f>2122.5+(19-826.2)+(-4.3299+(-0.03876--1.685448))+0--237.8-0.48511199999999</f>
        <v>1549.9316759999999</v>
      </c>
      <c r="AC285" s="3">
        <f>2109.1+(24-935.7)+(-3.226923+(-0.03672--1.431621))+0--242.3-0.370719000000014</f>
        <v>1437.4972589999998</v>
      </c>
      <c r="AD285">
        <v>1716.3999999999999</v>
      </c>
      <c r="AE285" s="3">
        <f>2006+(80.5-605.9)+(0+(0-0))+0--235.8-0</f>
        <v>1716.3999999999999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2033.6+(47.6-975.1)+(-2.074272+(-0.048552--0.994602))+0--242.6-0.247452000000039</f>
        <v>1347.3243259999997</v>
      </c>
      <c r="G286" s="3">
        <f>1973.1+(49-924.5)+(-4.025124+(-0.09996--1.88598))+0--175.6-0.358223999999992</f>
        <v>1270.6026719999998</v>
      </c>
      <c r="H286" s="3">
        <f>1902.9+(32.1-863.4)+(0+(0-0))+0--165.1-0</f>
        <v>1236.7</v>
      </c>
      <c r="I286" s="3">
        <f>1920.7+(27-886.1)+(0.979557+(0.01377-0.451911))+0--167.1--0.085220999999983</f>
        <v>1229.3266369999999</v>
      </c>
      <c r="J286" s="3">
        <f>1983+(15-932.3)+(-1.01133+(-0.00765--0.475473))+0--169.1-0.0862409999999828</f>
        <v>1234.1702519999999</v>
      </c>
      <c r="K286" s="3">
        <f>1891+(10-779.4)+(0+(0-0))+0--169.2-0</f>
        <v>1290.8</v>
      </c>
      <c r="L286" s="3">
        <f>2050.4+(10.6-909.7)+(-1.045704+(-0.005406--0.463947))+0--218-0.111179999999978</f>
        <v>1368.6016570000004</v>
      </c>
      <c r="M286" s="3">
        <f>2222.6+(18.9-1043.1)+(3.400578+(0.028917-1.595943))+0--244.7--0.374391000000014</f>
        <v>1445.3079430000003</v>
      </c>
      <c r="N286" s="3">
        <f>2242+(30.8-957.3)+(-1.14342+(-0.015708--0.488223))+0--243.2-0.124031999999975</f>
        <v>1557.9050630000002</v>
      </c>
      <c r="O286" s="3">
        <f>2227.5+(24-767.4)+(2.27205+(0.02448-0.782748))+0--130.9--0.133518000000021</f>
        <v>1616.6473000000001</v>
      </c>
      <c r="P286" s="3">
        <f>2193.1+(22.9-650.5)+(1.118481+(0.011679-0.331755))+0--93.4--0.0476339999999905</f>
        <v>1659.7460390000001</v>
      </c>
      <c r="Q286" s="3">
        <f>2211.1+(29.4-693.4)+(-2.255322+(-0.029988--0.707268))+0--108.8-0.110976000000017</f>
        <v>1654.2109819999998</v>
      </c>
      <c r="R286" s="3">
        <f>2360.8+(29-982.5)+(-2.408016+(-0.02958--1.00215))+0--233.3-0.237966000000037</f>
        <v>1638.926588</v>
      </c>
      <c r="S286" s="3">
        <f>2198.6+(21-820.3)+(-1.121286+(-0.01071--0.418353))+0--232.3-0.118472999999976</f>
        <v>1630.7678839999999</v>
      </c>
      <c r="T286" s="3">
        <f>2144.4+(18-782.8)+(-1.093644+(-0.00918--0.399228))+0--233.1-0.118880999999976</f>
        <v>1611.8775230000001</v>
      </c>
      <c r="U286" s="3">
        <f>2265.1+(22-913.7)+(-2.310402+(-0.02244--0.931974))+0--233.6-0.238272000000037</f>
        <v>1605.3608599999998</v>
      </c>
      <c r="V286" s="3">
        <f>2266.7+(20-912.9)+(-1.156017+(-0.0102--0.465579))+0--235.7-0.120206999999976</f>
        <v>1608.6791549999998</v>
      </c>
      <c r="W286" s="3">
        <f>2422.3+(21.6-883.1)+(-1.235373+(-0.011016--0.450381))+0--235.4-0.120053999999976</f>
        <v>1795.2839380000003</v>
      </c>
      <c r="X286" s="3">
        <f>2343+(59.7-806.1)+(-3.58479+(-0.091341--1.233333))+0--236.9-0.362457000000014</f>
        <v>1830.694745</v>
      </c>
      <c r="Y286" s="3">
        <f>2332+(22.4-792.3)+(-1.18932+(-0.011424--0.404073))+0--237.5-0.121124999999976</f>
        <v>1798.682204</v>
      </c>
      <c r="Z286" s="3">
        <f>2203.7+(15-711.7)+(-3.371661+(-0.02295--1.088901))+0--238.4-0.364752000000014</f>
        <v>1742.7295379999998</v>
      </c>
      <c r="AA286" s="3">
        <f>2106.3+(15-661.4)+(-4.296852+(-0.0306--1.349256))+0--239.4-0.48837599999999</f>
        <v>1695.8334280000001</v>
      </c>
      <c r="AB286" s="3">
        <f>2053.3+(19-691.9)+(-3.141549+(-0.02907--1.058607))+0--239.6-0.366588000000014</f>
        <v>1617.5213999999999</v>
      </c>
      <c r="AC286" s="3">
        <f>2005.3+(26-766.1)+(-4.090812+(-0.05304--1.562844))+0--240.1-0.48980399999999</f>
        <v>1502.2291879999996</v>
      </c>
      <c r="AD286">
        <v>1825.6999999999998</v>
      </c>
      <c r="AE286" s="3">
        <f>2456+(33-899.4)+(0+(0-0))+0--236.1-0</f>
        <v>1825.6999999999998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1931.2+(38-810.9)+(-3.939648+(-0.07752--1.654236))+0--243-0.495719999999989</f>
        <v>1398.4413480000003</v>
      </c>
      <c r="G287" s="3">
        <f>1775.3+(31-733.1)+(1.810806+(0.03162-0.747762))+0--240.3--0.245106000000038</f>
        <v>1314.8397699999998</v>
      </c>
      <c r="H287" s="3">
        <f>1762.6+(25-747.8)+(-3.595704+(-0.051--1.525512))+0--243.5-0.496739999999989</f>
        <v>1280.6820679999998</v>
      </c>
      <c r="I287" s="3">
        <f>1805.6+(18-804.4)+(0+(0-0))+0--244.8-0</f>
        <v>1264</v>
      </c>
      <c r="J287" s="3">
        <f>1897.9+(19-887.3)+(0+(0-0))+0--246-0</f>
        <v>1275.6000000000001</v>
      </c>
      <c r="K287" s="3">
        <f>1964.7+(25-906.3)+(0+(0-0))+0--244.8-0</f>
        <v>1328.2</v>
      </c>
      <c r="L287" s="3">
        <f>1995.7+(15-881.3)+(0+(0-0))+0--244.8-0</f>
        <v>1374.2</v>
      </c>
      <c r="M287" s="3">
        <f>2025.3+(20-826.9)+(-1.032903+(-0.0102--0.421719))+0--244.3-0.124592999999975</f>
        <v>1461.954023</v>
      </c>
      <c r="N287" s="3">
        <f>2028.6+(26-706.3)+(-4.138344+(-0.05304--1.440852))+0--246.7-0.503267999999989</f>
        <v>1591.7462</v>
      </c>
      <c r="O287" s="3">
        <f>2116.5+(23-735.4)+(-3.238245+(-0.03519--1.125162))+0--242.1-0.370413000000014</f>
        <v>1643.6813139999997</v>
      </c>
      <c r="P287" s="3">
        <f>2165.4+(35-756.5)+(-1.104354+(-0.01785--0.385815))+0--238.1-0.121430999999976</f>
        <v>1681.1421800000001</v>
      </c>
      <c r="Q287" s="3">
        <f>2221.6+(29.8-782.1)+(-4.532064+(-0.060792--1.595484))+0--234.6-0.47858399999999</f>
        <v>1700.4240439999996</v>
      </c>
      <c r="R287" s="3">
        <f>2201.8+(21.1-800.9)+(-5.61459+(-0.053805--2.042295))+0--234.1-0.596954999999966</f>
        <v>1651.8769450000002</v>
      </c>
      <c r="S287" s="3">
        <f>2078+(33.3-714.3)+(1.05978+(0.016983-0.364293))+0--234.5--0.119594999999976</f>
        <v>1632.3320649999998</v>
      </c>
      <c r="T287" s="3">
        <f>2004.2+(45-670.4)+(1.022142+(0.02295-0.341904))+0--234.6--0.119645999999976</f>
        <v>1614.2228339999999</v>
      </c>
      <c r="U287" s="3">
        <f>2005.4+(44-678.7)+(0+(0-0))+0--234.5-0</f>
        <v>1605.2</v>
      </c>
      <c r="V287" s="3">
        <f>2145.3+(32.9-777.1)+(-4.376412+(-0.067116--1.585284))+0--235.6-0.48062399999999</f>
        <v>1633.361132</v>
      </c>
      <c r="W287" s="3">
        <f>2227.4+(64.5-713.5)+(0+(0-0))+0--235.6-0</f>
        <v>1814</v>
      </c>
      <c r="X287" s="3">
        <f>2243+(63.9-675.8)+(-4.57572+(-0.130356--1.378632))+0--237.3-0.48409199999999</f>
        <v>1864.5884639999999</v>
      </c>
      <c r="Y287" s="3">
        <f>2138.1+(55.4-624.4)+(-4.361724+(-0.113016--1.273776))+0--237.7-0.48490799999999</f>
        <v>1803.1141279999999</v>
      </c>
      <c r="Z287" s="3">
        <f>2172.5+(40.8-707.4)+(-4.4319+(-0.083232--1.443096))+0--238.8-0.48715199999999</f>
        <v>1741.1408120000001</v>
      </c>
      <c r="AA287" s="3">
        <f>1958.2+(60.9-554.5)+(-2.996046+(-0.093177--0.848385))+0--238.9-0.365517000000014</f>
        <v>1700.8936450000001</v>
      </c>
      <c r="AB287" s="3">
        <f>1943.1+(41.8-598.2)+(-3.963924+(-0.085272--1.220328))+0--241.1-0.491843999999989</f>
        <v>1624.4792879999998</v>
      </c>
      <c r="AC287" s="3">
        <f>1903.4+(27-662.1)+(-2.912202+(-0.04131--1.013013))+0--240.7-0.368271000000014</f>
        <v>1506.6912300000001</v>
      </c>
      <c r="AD287">
        <v>1845.3</v>
      </c>
      <c r="AE287" s="3">
        <f>2246+(68-705.3)+(0+(0-0))+0--236.6-0</f>
        <v>1845.3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1806.5+(19-763.3)+(-1.84263+(-0.01938--0.778566))+0--241.5-0.246330000000039</f>
        <v>1302.370226</v>
      </c>
      <c r="G288" s="3">
        <f>1848+(23-778.6)+(-0.94248+(-0.01173--0.397086))+0--240.5-0.122654999999976</f>
        <v>1332.2202210000003</v>
      </c>
      <c r="H288" s="3">
        <f>1726.4+(30-707.6)+(-0.880464+(-0.0153--0.360876))+0--239.4-0.122093999999976</f>
        <v>1287.5430180000003</v>
      </c>
      <c r="I288" s="3">
        <f>1724.9+(14-726.8)+(0.879699+(0.00714-0.370668))+0--241.3--0.123062999999976</f>
        <v>1254.0392340000001</v>
      </c>
      <c r="J288" s="3">
        <f>1723.9+(30-707.4)+(-3.516756+(-0.0612--1.443096))+0--227-0.46307999999999</f>
        <v>1270.9020600000001</v>
      </c>
      <c r="K288" s="3">
        <f>1898.6+(21-846.5)+(0.968286+(0.01071-0.431715))+0--238.3--0.121532999999976</f>
        <v>1312.068814</v>
      </c>
      <c r="L288" s="3">
        <f>1963.4+(14-794.8)+(-3.004002+(-0.02142--1.216044))+0--245.4-0.375462000000014</f>
        <v>1425.8151600000003</v>
      </c>
      <c r="M288" s="3">
        <f>2091.5+(14-841.6)+(-1.066665+(-0.00714--0.429216))+0--244.7-0.124796999999975</f>
        <v>1507.8306140000002</v>
      </c>
      <c r="N288" s="3">
        <f>2172+(23.8-816.3)+(0+(0-0))+0--240.9-0</f>
        <v>1620.4</v>
      </c>
      <c r="O288" s="3">
        <f>2264.3+(20-812.5)+(0+(0-0))+0--238-0</f>
        <v>1709.8000000000002</v>
      </c>
      <c r="P288" s="3">
        <f>2256.1+(16-793.9)+(1.150611+(0.00816-0.404889))+0--234.2--0.119441999999976</f>
        <v>1713.2733239999998</v>
      </c>
      <c r="Q288" s="3">
        <f>2292.7+(17.4-782.9)+(-3.507831+(-0.026622--1.197837))+0--231.6-0.354348000000013</f>
        <v>1756.1090359999996</v>
      </c>
      <c r="R288" s="3">
        <f>2310.3+(10-909.2)+(-7.069518+(-0.0306--2.782152))+0--231.8-0.709308000000027</f>
        <v>1637.8727260000001</v>
      </c>
      <c r="S288" s="3">
        <f>2264.6+(9.6-870.2)+(-4.619784+(-0.019584--1.775208))+0--230.8-0.47083199999999</f>
        <v>1631.4650079999999</v>
      </c>
      <c r="T288" s="3">
        <f>2257.5+(6-885.9)+(-1.151325+(-0.00306--0.451809))+0--231.1-0.117860999999977</f>
        <v>1607.879563</v>
      </c>
      <c r="U288" s="3">
        <f>2107.5+(47-799.9)+(-1.074825+(-0.02397--0.407949))+0--232.1-0.118370999999976</f>
        <v>1585.8907829999998</v>
      </c>
      <c r="V288" s="3">
        <f>2046.8+(88.6-760.7)+(-2.087736+(-0.090372--0.775914))+0--234-0.238680000000037</f>
        <v>1607.0591259999999</v>
      </c>
      <c r="W288" s="3">
        <f>2224.2+(88.7-794)+(-3.403026+(-0.135711--1.21482))+0--234.7-0.359091000000014</f>
        <v>1750.9169919999999</v>
      </c>
      <c r="X288" s="3">
        <f>2510.7+(44-990.8)+(-5.121828+(-0.08976--2.021232))+0--234.8-0.47899199999999</f>
        <v>1795.0306519999997</v>
      </c>
      <c r="Y288" s="3">
        <f>2500.7+(31.2-1010.9)+(-6.376785+(-0.07956--2.577795))+0--235.5-0.600524999999966</f>
        <v>1752.020925</v>
      </c>
      <c r="Z288" s="3">
        <f>2364.2+(26.2-937.5)+(-2.411484+(-0.026724--0.95625))+0--235.2-0.239904000000038</f>
        <v>1686.3781379999998</v>
      </c>
      <c r="AA288" s="3">
        <f>2173.2+(42.1-808.7)+(-6.649992+(-0.128826--2.474622))+0--235.9-0.721854000000027</f>
        <v>1637.4739499999998</v>
      </c>
      <c r="AB288" s="3">
        <f>2140.8+(6-829.1)+(-4.367232+(-0.01224--1.691364))+0--236.9-0.48327599999999</f>
        <v>1551.4286160000004</v>
      </c>
      <c r="AC288" s="3">
        <f>2142.5+(11-948.1)+(-2.18535+(-0.01122--0.967062))+0--236.3-0.241026000000038</f>
        <v>1440.229466</v>
      </c>
      <c r="AD288">
        <v>1831</v>
      </c>
      <c r="AE288" s="3">
        <f>2497+(61-961)+(0+(0-0))+0--234-0</f>
        <v>1831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2151.1+(11-1025.3)+(-5.485305+(-0.02805--2.614515))+0--236.2-0.602309999999966</f>
        <v>1369.4988499999999</v>
      </c>
      <c r="G289" s="3">
        <f>2030.6+(12-906.9)+(0+(0-0))+0--167.4-0</f>
        <v>1303.0999999999999</v>
      </c>
      <c r="H289" s="3">
        <f>1964.9+(12-875.9)+(-2.004198+(-0.01224--0.893418))+0--166.3-0.169626000000027</f>
        <v>1266.0073539999999</v>
      </c>
      <c r="I289" s="3">
        <f>1963.2+(12-893.4)+(2.002464+(0.01224-0.911268))+0--167--0.170340000000027</f>
        <v>1250.0737760000004</v>
      </c>
      <c r="J289" s="3">
        <f>1964.2+(11-885.8)+(1.001742+(0.00561-0.451758))+0--168.3--0.0858329999999829</f>
        <v>1258.3414270000001</v>
      </c>
      <c r="K289" s="3">
        <f>1964.6+(11-844.4)+(2.003892+(0.01122-0.861288))+0--169--0.172380000000027</f>
        <v>1301.5262039999998</v>
      </c>
      <c r="L289" s="3">
        <f>1966.6+(20.2-750.9)+(4.011864+(0.041208-1.531836))+0--169.1--0.344963999999993</f>
        <v>1407.8661999999999</v>
      </c>
      <c r="M289" s="3">
        <f>2106.5+(11-822.3)+(-1.074315+(-0.00561--0.419373))+0--183.7-0.0936869999999814</f>
        <v>1478.145761</v>
      </c>
      <c r="N289" s="3">
        <f>2220.7+(12-956.2)+(1.132557+(0.00612-0.487662))+0--243.2--0.124031999999975</f>
        <v>1520.4750469999997</v>
      </c>
      <c r="O289" s="3">
        <f>2391.3+(13-993.7)+(0+(0-0))+0--241.3-0</f>
        <v>1651.9</v>
      </c>
      <c r="P289" s="3">
        <f>2428.1+(13-995)+(0+(0-0))+0--239.3-0</f>
        <v>1685.3999999999999</v>
      </c>
      <c r="Q289" s="3">
        <f>2556.2+(7-1111.5)+(-5.214648+(-0.01428--2.26746))+0--236.8-0.48307199999999</f>
        <v>1685.0554599999998</v>
      </c>
      <c r="R289" s="3">
        <f>2445.2+(6-1101.5)+(-3.741156+(-0.00918--1.685295))+0--236.2-0.361386000000014</f>
        <v>1583.4735729999998</v>
      </c>
      <c r="S289" s="3">
        <f>2328.3+(6-985.7)+(-3.562299+(-0.00918--1.508121))+0--236.2-0.361386000000014</f>
        <v>1582.375256</v>
      </c>
      <c r="T289" s="3">
        <f>2325+(5-998.1)+(1.18575+(0.00255-0.509031))+0--236.1--0.120410999999976</f>
        <v>1568.7996799999999</v>
      </c>
      <c r="U289" s="3">
        <f>2309.7+(6-986.1)+(-1.177947+(-0.00306--0.502911))+0--236-0.120359999999976</f>
        <v>1564.8015439999999</v>
      </c>
      <c r="V289" s="3">
        <f>2406.2+(6-1075.9)+(-3.681486+(-0.00918--1.646127))+0--237-0.362610000000014</f>
        <v>1570.8928509999998</v>
      </c>
      <c r="W289" s="3">
        <f>2539.8+(6-1036.7)+(0+(0-0))+0--236.3-0</f>
        <v>1745.4</v>
      </c>
      <c r="X289" s="3">
        <f>2588.4+(19.6-1015.2)+(-3.960252+(-0.029988--1.553256))+0--237-0.362610000000014</f>
        <v>1827.0004060000003</v>
      </c>
      <c r="Y289" s="3">
        <f>2575.8+(6-1051.4)+(-3.940974+(-0.00918--1.608642))+0--238.4-0.364752000000014</f>
        <v>1766.0937360000003</v>
      </c>
      <c r="Z289" s="3">
        <f>2420.7+(6-951.1)+(-6.172785+(-0.0153--2.425305))+0--239.4-0.610469999999965</f>
        <v>1710.6267499999999</v>
      </c>
      <c r="AA289" s="3">
        <f>2169.7+(20.6-769.8)+(-1.106547+(-0.010506--0.392598))+0--238.6-0.121685999999976</f>
        <v>1658.2538589999999</v>
      </c>
      <c r="AB289" s="3">
        <f>2175.9+(6-835.8)+(-3.329127+(-0.00918--1.278774))+0--239.9-0.367047000000014</f>
        <v>1583.5734200000002</v>
      </c>
      <c r="AC289" s="3">
        <f>2134.6+(10-915.4)+(-4.354584+(-0.0204--1.867416))+0--241.7-0.493067999999989</f>
        <v>1467.8993639999999</v>
      </c>
      <c r="AD289">
        <v>1815.8</v>
      </c>
      <c r="AE289" s="3">
        <f>2574+(8.4-1003.2)+(0+(0-0))+0--236.6-0</f>
        <v>1815.7999999999997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2041.7+(10-863.1)+(-4.165068+(-0.0204--1.760724))+0--242.7-0.495107999999989</f>
        <v>1428.380148</v>
      </c>
      <c r="G290" s="3">
        <f>1971.3+(9-824)+(-1.005363+(-0.00459--0.42024))+0--244.3-0.124592999999975</f>
        <v>1399.8856939999998</v>
      </c>
      <c r="H290" s="3">
        <f>1848.5+(10-799.1)+(-1.88547+(-0.0102--0.815082))+0--245.2-0.250104000000039</f>
        <v>1303.2693080000001</v>
      </c>
      <c r="I290" s="3">
        <f>1786.3+(10-767.6)+(1.822026+(0.0102-0.782952))+0--244.4--0.249288000000039</f>
        <v>1274.3985619999999</v>
      </c>
      <c r="J290" s="3">
        <f>1787.6+(10-760.5)+(0+(0-0))+0--244.1-0</f>
        <v>1281.1999999999998</v>
      </c>
      <c r="K290" s="3">
        <f>1809.5+(10-714.1)+(1.84569+(0.0102-0.728382))+0--242.6--0.247452000000039</f>
        <v>1349.3749600000001</v>
      </c>
      <c r="L290" s="3">
        <f>1847.5+(33.4-726.6)+(1.88445+(0.034068-0.741132))+0--242.4--0.247248000000039</f>
        <v>1398.1246340000002</v>
      </c>
      <c r="M290" s="3">
        <f>1900.8+(79.8-770.7)+(1.938816+(0.081396-0.786114))+0--243.2--0.248064000000039</f>
        <v>1454.5821619999999</v>
      </c>
      <c r="N290" s="3">
        <f>2288.2+(30.5-986)+(0+(0-0))+0--242.5-0</f>
        <v>1575.1999999999998</v>
      </c>
      <c r="O290" s="3">
        <f>2334+(11-926.2)+(0+(0-0))+0--241.8-0</f>
        <v>1660.6</v>
      </c>
      <c r="P290" s="3">
        <f>2319.2+(12-895.7)+(1.182792+(0.00612-0.456807))+0--239.5--0.122144999999976</f>
        <v>1675.8542499999999</v>
      </c>
      <c r="Q290" s="3">
        <f>2384.9+(6-995.3)+(-1.216299+(-0.00306--0.507603))+0--238.7-0.121736999999976</f>
        <v>1633.4665070000003</v>
      </c>
      <c r="R290" s="3">
        <f>2409.1+(6-1053.3)+(-4.914564+(-0.01224--2.148732))+0--239.9-0.48939599999999</f>
        <v>1598.432532</v>
      </c>
      <c r="S290" s="3">
        <f>2347.3+(6-999.3)+(-1.197123+(-0.00306--0.509643))+0--240-0.122399999999976</f>
        <v>1593.1870600000002</v>
      </c>
      <c r="T290" s="3">
        <f>2349.5+(6-1006.2)+(0+(0-0))+0--240.1-0</f>
        <v>1589.3999999999999</v>
      </c>
      <c r="U290" s="3">
        <f>2367.1+(6-1021.1)+(-2.414442+(-0.00612--1.041522))+0--239.9-0.244698000000038</f>
        <v>1590.2762620000001</v>
      </c>
      <c r="V290" s="3">
        <f>2306.4+(192.6-1092.4)+(1.176264+(0.098226-0.557124))+0--239.8--0.122297999999976</f>
        <v>1647.2396639999999</v>
      </c>
      <c r="W290" s="3">
        <f>2436.3+(68.8-837.4)+(2.485026+(0.070176-0.854148))+0--92.7--0.0945540000000148</f>
        <v>1762.1956080000004</v>
      </c>
      <c r="X290" s="3">
        <f>2606.3+(47.6-918.7)+(-1.329213+(-0.024276--0.468537))+0--92.7-0.0472769999999906</f>
        <v>1826.9677710000003</v>
      </c>
      <c r="Y290" s="3">
        <f>2636.5+(19.8-975.5)+(-5.37846+(-0.040392--1.99002))+0--93.3-0.190331999999996</f>
        <v>1770.480836</v>
      </c>
      <c r="Z290" s="3">
        <f>2641.1+(6-1028.9)+(-4.040883+(-0.00918--1.574217))+0--93.9-0.143667000000005</f>
        <v>1709.4804869999998</v>
      </c>
      <c r="AA290" s="3">
        <f>2644.1+(6-1077.5)+(-4.045473+(-0.00918--1.648575))+0--94.9-0.145197000000005</f>
        <v>1664.948725</v>
      </c>
      <c r="AB290" s="3">
        <f>2573.5+(6-1081.5)+(-3.937455+(-0.00918--1.654695))+0--95.3-0.145809000000005</f>
        <v>1590.8622509999998</v>
      </c>
      <c r="AC290" s="3">
        <f>2488.7+(6-1111.9)+(-7.615422+(-0.01836--3.402414))+0--95.6-0.292536000000011</f>
        <v>1473.8760959999997</v>
      </c>
      <c r="AD290">
        <v>1841.1</v>
      </c>
      <c r="AE290" s="3">
        <f>2546+(65.1-862)+(0+(0-0))+0--92-0</f>
        <v>1841.1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2308.4+(17-1027.5)+(-2.354568+(-0.01734--1.04805))+0--96-0.0979200000000153</f>
        <v>1392.4782220000002</v>
      </c>
      <c r="G291" s="3">
        <f>2097.2+(20-888.1)+(-3.208716+(-0.0306--1.358793))+0--96.5-0.147645000000006</f>
        <v>1323.5718319999999</v>
      </c>
      <c r="H291" s="3">
        <f>1990.7+(19-825.1)+(-1.015257+(-0.00969--0.420801))+0--96.9-0.0494189999999902</f>
        <v>1280.8464350000002</v>
      </c>
      <c r="I291" s="3">
        <f>1997.3+(17-855.6)+(5.093115+(0.04335-2.18178))+0--97.8--0.249389999999986</f>
        <v>1259.7040749999996</v>
      </c>
      <c r="J291" s="3">
        <f>2076.8+(17-919.3)+(4.236672+(0.03468-1.875372))+0--97.9--0.199715999999996</f>
        <v>1274.9956960000004</v>
      </c>
      <c r="K291" s="3">
        <f>2186.4+(18-1006)+(4.460256+(0.03672-2.05224))+0--98.6--0.201143999999996</f>
        <v>1299.6458799999998</v>
      </c>
      <c r="L291" s="3">
        <f>2330.8+(17-1014)+(8.320956+(0.06069-3.61998))+0--98.8--0.352716000000001</f>
        <v>1437.7143820000003</v>
      </c>
      <c r="M291" s="3">
        <f>2456.4+(17-1032.9)+(-3.758292+(-0.02601--1.580337))+0--99-0.151470000000006</f>
        <v>1537.1445650000001</v>
      </c>
      <c r="N291" s="3">
        <f>2502.7+(17-959.5)+(3.829131+(0.02601-1.468035))+0--98.8--0.151164000000006</f>
        <v>1661.5382699999998</v>
      </c>
      <c r="O291" s="3">
        <f>2499.2+(17-883.8)+(2.549184+(0.01734-0.901476))+0--98--0.0999600000000156</f>
        <v>1732.1650079999999</v>
      </c>
      <c r="P291" s="3">
        <f>2471.9+(17-819.7)+(2.521338+(0.01734-0.836094))+0--95.7--0.0976140000000153</f>
        <v>1766.700198</v>
      </c>
      <c r="Q291" s="3">
        <f>2493.7+(17-797)+(0+(0-0))+0--94.2-0</f>
        <v>1807.8999999999999</v>
      </c>
      <c r="R291" s="3">
        <f>2515.9+(0-995.9)+(-3.849327+(0--1.523727))+0--93.8-0.143514000000005</f>
        <v>1611.330886</v>
      </c>
      <c r="S291" s="3">
        <f>2462.6+(0-987.8)+(0+(0-0))+0--92.7-0</f>
        <v>1567.5</v>
      </c>
      <c r="T291" s="3">
        <f>2456.2+(0-990.1)+(-1.252662+(0--0.504951))+0--91.5-0.0466649999999907</f>
        <v>1556.8056239999999</v>
      </c>
      <c r="U291" s="3">
        <f>2458.9+(0-1019.2)+(2.508078+(0-1.039584))+0--92.7--0.0945540000000148</f>
        <v>1533.9630480000001</v>
      </c>
      <c r="V291" s="3">
        <f>2463.7+(0-996)+(1.256487+(0-0.50796))+0--92.6--0.0472259999999906</f>
        <v>1561.0957529999996</v>
      </c>
      <c r="W291" s="3">
        <f>2481.6+(37.1-900)+(3.796848+(0.056763-1.377))+0--93.1--0.142443000000005</f>
        <v>1714.4190539999997</v>
      </c>
      <c r="X291" s="3">
        <f>2482.9+(39.1-830.3)+(-6.331395+(-0.099705--2.117265))+0--93.7-0.238934999999986</f>
        <v>1780.8472300000003</v>
      </c>
      <c r="Y291" s="3">
        <f>2499.7+(14.9-884)+(-2.549694+(-0.015198--0.90168))+0--94-0.095880000000015</f>
        <v>1722.8409079999999</v>
      </c>
      <c r="Z291" s="3">
        <f>2494.4+(0-911.9)+(-8.905008+(0--3.255483))+0--94.2-0.336294000000001</f>
        <v>1670.7141810000001</v>
      </c>
      <c r="AA291" s="3">
        <f>2501.4+(0-969.3)+(-7.654284+(0--2.966058))+0--94.3-0.288558000000011</f>
        <v>1621.4232160000001</v>
      </c>
      <c r="AB291" s="3">
        <f>2372.6+(0-905.3)+(-1.210026+(0--0.461703))+0--93.9-0.0478889999999905</f>
        <v>1560.4037880000001</v>
      </c>
      <c r="AC291" s="3">
        <f>2073.6+(5-714.7)+(1.057536+(0.00255-0.364497))+0--94.1--0.0479909999999905</f>
        <v>1458.7435799999996</v>
      </c>
      <c r="AD291">
        <v>1809.8999999999999</v>
      </c>
      <c r="AE291" s="3">
        <f>2475+(69-827.4)+(0+(0-0))+0--93.3-0</f>
        <v>1809.8999999999999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1978+(28.9-693.8)+(-5.0439+(-0.073695--1.76919))+0--94.2-0.240209999999986</f>
        <v>1403.7113850000001</v>
      </c>
      <c r="G292" s="3">
        <f>1925.5+(33.8-710.5)+(0+(0-0))+0--94.2-0</f>
        <v>1343</v>
      </c>
      <c r="H292" s="3">
        <f>1745.9+(31.5-581.9)+(-0.890409+(-0.016065--0.296769))+0--94.3-0.0480929999999904</f>
        <v>1289.142202</v>
      </c>
      <c r="I292" s="3">
        <f>1630.5+(26.1-502.2)+(1.66311+(0.026622-0.512244))+0--94.5--0.0963900000000151</f>
        <v>1250.1738780000001</v>
      </c>
      <c r="J292" s="3">
        <f>1664.5+(26.4-523)+(-1.69779+(-0.026928--0.53346))+0--94.7-0.0965940000000151</f>
        <v>1261.312148</v>
      </c>
      <c r="K292" s="3">
        <f>1593+(46-468.1)+(2.43729+(0.07038-0.716193))+0--96.7--0.147951000000006</f>
        <v>1269.539428</v>
      </c>
      <c r="L292" s="3">
        <f>1672.5+(59-515.6)+(0+(0-0))+0--97.7-0</f>
        <v>1313.6000000000001</v>
      </c>
      <c r="M292" s="3">
        <f>1671.5+(87.1-523.7)+(-0.852465+(-0.044421--0.267087))+0--98.1-0.05003099999999</f>
        <v>1332.32017</v>
      </c>
      <c r="N292" s="3">
        <f>1786+(96.6-567.2)+(0.91086+(0.049266-0.289272))+0--96.6--0.0492659999999902</f>
        <v>1412.72012</v>
      </c>
      <c r="O292" s="3">
        <f>1959.9+(78.5-612.6)+(2.998647+(0.120105-0.937278))+0--94.6--0.144738000000005</f>
        <v>1522.726212</v>
      </c>
      <c r="P292" s="3">
        <f>2010.3+(95-631.6)+(0+(0-0))+0--93.4-0</f>
        <v>1567.1</v>
      </c>
      <c r="Q292" s="3">
        <f>2001.9+(88.2-602.8)+(-3.062907+(-0.134946--0.922284))+0--92.7-0.141831000000005</f>
        <v>1577.5826000000004</v>
      </c>
      <c r="R292" s="3">
        <f>2045.5+(59.3-660.7)+(-5.216025+(-0.151215--1.684785))+0--92.2-0.235109999999987</f>
        <v>1532.382435</v>
      </c>
      <c r="S292" s="3">
        <f>2040.4+(57.9-690.7)+(-3.121812+(-0.088587--1.056771))+0--96.1-0.147033000000006</f>
        <v>1501.3993389999998</v>
      </c>
      <c r="T292" s="3">
        <f>2037.7+(27.7-710.9)+(-3.117681+(-0.042381--1.087677))+0--125.1-0.191403000000007</f>
        <v>1477.3362119999999</v>
      </c>
      <c r="U292" s="3">
        <f>2042.4+(43.9-711.7)+(3.124872+(0.067167-1.088901))+0--92.6--0.141678000000005</f>
        <v>1469.4448159999997</v>
      </c>
      <c r="V292" s="3">
        <f>2045.7+(51-700.9)+(0+(0-0))+0--94-0</f>
        <v>1489.8000000000002</v>
      </c>
      <c r="W292" s="3">
        <f>2066.1+(124-622.5)+(-2.107422+(-0.12648--0.63495))+0--94-0.095880000000015</f>
        <v>1659.9051679999998</v>
      </c>
      <c r="X292" s="3">
        <f>2080.7+(169.8-601.9)+(-2.122314+(-0.173196--0.613938))+0--94.5-0.0963900000000151</f>
        <v>1741.322038</v>
      </c>
      <c r="Y292" s="3">
        <f>2090.2+(127.2-608.5)+(-2.132004+(-0.129744--0.62067))+0--95.7-0.0976140000000153</f>
        <v>1702.8613079999998</v>
      </c>
      <c r="Z292" s="3">
        <f>2092.6+(72.1-597.5)+(-2.134452+(-0.073542--0.60945))+0--95.7-0.0976140000000153</f>
        <v>1661.2038419999999</v>
      </c>
      <c r="AA292" s="3">
        <f>2093.9+(51.1-619.9)+(-1.067889+(-0.026061--0.316149))+0--95.3-0.0486029999999903</f>
        <v>1619.5735960000002</v>
      </c>
      <c r="AB292" s="3">
        <f>2092.4+(16.7-668.5)+(-2.134248+(-0.017034--0.68187))+0--97.2-0.0991440000000155</f>
        <v>1536.2314440000002</v>
      </c>
      <c r="AC292" s="3">
        <f>2050.7+(10-728.3)+(-4.183428+(-0.0204--1.485732))+0--98.1-0.200123999999996</f>
        <v>1427.5817799999998</v>
      </c>
      <c r="AD292">
        <v>1745.5</v>
      </c>
      <c r="AE292" s="3">
        <f>2081+(168.6-599.1)+(0+(0-0))+0--95-0</f>
        <v>1745.5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2007.9+(13-772.8)+(-5.120145+(-0.03315--1.97064))+0--97.7-0.249134999999986</f>
        <v>1342.3682100000001</v>
      </c>
      <c r="G293" s="3">
        <f>1881.4+(17-704.2)+(0+(0-0))+0--97.5-0</f>
        <v>1291.7</v>
      </c>
      <c r="H293" s="3">
        <f>1817.8+(14-708.4)+(1.854156+(0.01428-0.722568))+0--98.6--0.100572000000016</f>
        <v>1223.2464400000001</v>
      </c>
      <c r="I293" s="3">
        <f>1800.4+(14-671.9)+(-0.918204+(-0.00714--0.342669))+0--98.3-0.05013299999999</f>
        <v>1240.1671919999999</v>
      </c>
      <c r="J293" s="3">
        <f>1782.2+(14-717.1)+(1.817844+(0.01428-0.731442))+0--99.1--0.101082000000016</f>
        <v>1179.4017639999997</v>
      </c>
      <c r="K293" s="3">
        <f>2038.5+(12-859.6)+(-3.118905+(-0.01836--1.315188))+0--99.3-0.151929000000006</f>
        <v>1288.2259939999999</v>
      </c>
      <c r="L293" s="3">
        <f>2307.8+(11-1021.1)+(-2.353956+(-0.01122--1.041522))+0--101-0.103020000000016</f>
        <v>1397.2733260000002</v>
      </c>
      <c r="M293" s="3">
        <f>2346.7+(11-957.9)+(-1.196817+(-0.00561--0.488529))+0--101.4-0.0517139999999897</f>
        <v>1500.4343879999999</v>
      </c>
      <c r="N293" s="3">
        <f>2348.3+(12-870.6)+(1.197633+(0.00612-0.444006))+0--100.7--0.0513569999999898</f>
        <v>1591.2111040000004</v>
      </c>
      <c r="O293" s="3">
        <f>2315.4+(12-779.2)+(0+(0-0))+0--98.8-0</f>
        <v>1647</v>
      </c>
      <c r="P293" s="3">
        <f>2234.2+(12-655.7)+(1.139442+(0.00612-0.334407))+0--97--0.0494699999999902</f>
        <v>1688.3606249999998</v>
      </c>
      <c r="Q293" s="3">
        <f>2267.4+(6-693.6)+(-3.469122+(-0.00918--1.061208))+0--96-0.146880000000006</f>
        <v>1673.2360260000003</v>
      </c>
      <c r="R293" s="3">
        <f>2262.9+(6-753.9)+(-2.308158+(-0.00612--0.768978))+0--95.1-0.0970020000000152</f>
        <v>1608.4576979999999</v>
      </c>
      <c r="S293" s="3">
        <f>2241.6+(7-728.3)+(-2.286432+(-0.00714--0.742866))+0--95.7-0.0976140000000153</f>
        <v>1614.35168</v>
      </c>
      <c r="T293" s="3">
        <f>2166.6+(7-663.8)+(2.209932+(0.00714-0.677076))+0--95.7--0.0976140000000153</f>
        <v>1607.13761</v>
      </c>
      <c r="U293" s="3">
        <f>2174.8+(7-652.8)+(-2.218296+(-0.00714--0.665856))+0--96-0.0979200000000153</f>
        <v>1623.3425000000002</v>
      </c>
      <c r="V293" s="3">
        <f>2205.7+(6-678)+(0+(0-0))+0--96.2-0</f>
        <v>1629.8999999999999</v>
      </c>
      <c r="W293" s="3">
        <f>2416.8+(6-758.8)+(2.465136+(0.00612-0.773976))+0--96.1--0.0980220000000153</f>
        <v>1761.8953020000004</v>
      </c>
      <c r="X293" s="3">
        <f>2433.6+(12-715.3)+(-3.723408+(-0.01836--1.094409))+0--95.7-0.146421000000006</f>
        <v>1823.20622</v>
      </c>
      <c r="Y293" s="3">
        <f>2380.5+(11-709.1)+(-1.214055+(-0.00561--0.361641))+0--96.5-0.0492149999999902</f>
        <v>1777.9927610000002</v>
      </c>
      <c r="Z293" s="3">
        <f>2367.6+(11-749)+(-4.829904+(-0.02244--1.52796))+0--96.8-0.197471999999996</f>
        <v>1722.8781439999998</v>
      </c>
      <c r="AA293" s="3">
        <f>2159.1+(18.2-601.6)+(-2.202282+(-0.018564--0.613632))+0--97.3-0.0992460000000155</f>
        <v>1671.2935399999997</v>
      </c>
      <c r="AB293" s="3">
        <f>2005.1+(15.1-544.5)+(-1.022601+(-0.007701--0.277695))+0--96.9-0.0494189999999902</f>
        <v>1571.7979740000001</v>
      </c>
      <c r="AC293" s="3">
        <f>1913.3+(11-571.3)+(-2.927349+(-0.01683--0.874089))+0--97.3-0.148869000000006</f>
        <v>1448.0810409999999</v>
      </c>
      <c r="AD293">
        <v>1854.3000000000002</v>
      </c>
      <c r="AE293" s="3">
        <f>2482+(10.8-735.5)+(0+(0-0))+0--97-0</f>
        <v>1854.3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1905.2+(9-599.9)+(-3.886608+(-0.01836--1.223796))+0--96.9-0.197675999999996</f>
        <v>1408.3211520000002</v>
      </c>
      <c r="G294" s="3">
        <f>1591.5+(22-396.7)+(-2.434995+(-0.03366--0.606951))+0--98-0.149940000000006</f>
        <v>1312.788356</v>
      </c>
      <c r="H294" s="3">
        <f>1483.3+(11.3-330.1)+(-0.756483+(-0.005763--0.168351))+0--100.7-0.0513569999999898</f>
        <v>1264.554748</v>
      </c>
      <c r="I294" s="3">
        <f>1480.2+(25.8-356.8)+(-2.264706+(-0.039474--0.545904))+0--98.9-0.151317000000006</f>
        <v>1246.1904070000001</v>
      </c>
      <c r="J294" s="3">
        <f>1506.9+(9-355.5)+(0+(0-0))+0--96.1-0</f>
        <v>1256.5</v>
      </c>
      <c r="K294" s="3">
        <f>1611.6+(9-418.6)+(-2.465748+(-0.01377--0.640458))+0--96.9-0.148257000000006</f>
        <v>1296.912683</v>
      </c>
      <c r="L294" s="3">
        <f>1712.8+(16-515.2)+(0+(0-0))+0--98.5-0</f>
        <v>1312.1</v>
      </c>
      <c r="M294" s="3">
        <f>1873.8+(32-521.3)+(0+(0-0))+0--98.4-0</f>
        <v>1482.9</v>
      </c>
      <c r="N294" s="3">
        <f>1986.8+(30-509.8)+(0+(0-0))+0--96.4-0</f>
        <v>1603.4</v>
      </c>
      <c r="O294" s="3">
        <f>2067.8+(14-571.1)+(0+(0-0))+0--95.1-0</f>
        <v>1605.8000000000002</v>
      </c>
      <c r="P294" s="3">
        <f>1977.8+(14-460.6)+(0+(0-0))+0--96.1-0</f>
        <v>1627.2999999999997</v>
      </c>
      <c r="Q294" s="3">
        <f>2045.8+(9-484.1)+(0+(0-0))+0--95.3-0</f>
        <v>1665.9999999999998</v>
      </c>
      <c r="R294" s="3">
        <f>2031.8+(6-566.6)+(0+(0-0))+0--94.5-0</f>
        <v>1565.6999999999998</v>
      </c>
      <c r="S294" s="3">
        <f>2024.8+(9-559.9)+(0+(0-0))+0--93.9-0</f>
        <v>1567.8000000000002</v>
      </c>
      <c r="T294" s="3">
        <f>1990.8+(6-537.9)+(-3.045924+(-0.00918--0.822987))+0--94.2-0.144126000000005</f>
        <v>1550.7237570000002</v>
      </c>
      <c r="U294" s="3">
        <f>1917.3+(34-498.4)+(0+(0-0))+0--94.6-0</f>
        <v>1547.5</v>
      </c>
      <c r="V294" s="3">
        <f>2005.8+(32.6-574)+(2.045916+(0.033252-0.58548))+0--95--0.0969000000000152</f>
        <v>1560.9905880000001</v>
      </c>
      <c r="W294" s="3">
        <f>1917.3+(235.2-530.3)+(1.955646+(0.239904-0.540906))+0--94.5--0.0963900000000151</f>
        <v>1718.4510339999999</v>
      </c>
      <c r="X294" s="3">
        <f>1925.8+(277.2-504.5)+(-1.964316+(-0.282744--0.51459))+0--95.3-0.0972060000000152</f>
        <v>1791.9703240000001</v>
      </c>
      <c r="Y294" s="3">
        <f>1893.7+(221.7-478.4)+(-0.965787+(-0.113067--0.243984))+0--95.7-0.0488069999999903</f>
        <v>1731.8163230000002</v>
      </c>
      <c r="Z294" s="3">
        <f>1844.3+(165.9-441.1)+(-0.940593+(-0.084609--0.224961))+0--95.8-0.0488579999999903</f>
        <v>1664.0509010000001</v>
      </c>
      <c r="AA294" s="3">
        <f>1837.5+(89.2-401.6)+(0+(0-0))+0--96.2-0</f>
        <v>1621.3</v>
      </c>
      <c r="AB294" s="3">
        <f>1856.4+(22.1-438.4)+(0+(0-0))+0--95.9-0</f>
        <v>1536.0000000000002</v>
      </c>
      <c r="AC294" s="3">
        <f>1768.9+(11.2-457.8)+(-2.706417+(-0.017136--0.700434))+0--95.9-0.146727000000006</f>
        <v>1416.0301540000003</v>
      </c>
      <c r="AD294">
        <v>1803.3999999999999</v>
      </c>
      <c r="AE294" s="3">
        <f>1917+(335.1-543)+(0+(0-0))+0--94.3-0</f>
        <v>1803.3999999999999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1805.9+(12-585.7)+(-1.842018+(-0.01224--0.597414))+0--97.5-0.0994500000000155</f>
        <v>1328.3437060000001</v>
      </c>
      <c r="G295" s="3">
        <f>1738.3+(11-593.3)+(-5.319198+(-0.03366--1.815498))+0--98-0.299880000000011</f>
        <v>1250.1627599999999</v>
      </c>
      <c r="H295" s="3">
        <f>1694.1+(11-597.9)+(0+(0-0))+0--97.8-0</f>
        <v>1204.9999999999998</v>
      </c>
      <c r="I295" s="3">
        <f>1725.5+(11-652.9)+(-1.76001+(-0.01122--0.665958))+0--98.8-0.100776000000016</f>
        <v>1181.1939519999999</v>
      </c>
      <c r="J295" s="3">
        <f>1745.7+(12-669.2)+(-0.890307+(-0.00612--0.341292))+0--97.1-0.0495209999999901</f>
        <v>1184.9953439999999</v>
      </c>
      <c r="K295" s="3">
        <f>1874.5+(13-757.6)+(2.867985+(0.01989-1.159128))+0--98.6--0.150858000000006</f>
        <v>1230.3796050000001</v>
      </c>
      <c r="L295" s="3">
        <f>1919.8+(15-699.1)+(-0.979098+(-0.00765--0.356541))+0--99.4-0.0506939999999899</f>
        <v>1334.419099</v>
      </c>
      <c r="M295" s="3">
        <f>1902.5+(26-631.8)+(-1.94055+(-0.02652--0.644436))+0--98.9-0.100878000000016</f>
        <v>1394.1764880000001</v>
      </c>
      <c r="N295" s="3">
        <f>1910.5+(27.5-562.2)+(-2.923065+(-0.042075--0.860166))+0--97.4-0.149022000000006</f>
        <v>1470.9460039999999</v>
      </c>
      <c r="O295" s="3">
        <f>1955+(20.4-535.2)+(-0.99705+(-0.010404--0.272952))+0--95.6-0.0487559999999903</f>
        <v>1535.0167419999998</v>
      </c>
      <c r="P295" s="3">
        <f>1941.5+(34.6-501.3)+(-1.98033+(-0.035292--0.511326))+0--94.4-0.0962880000000151</f>
        <v>1567.599416</v>
      </c>
      <c r="Q295" s="3">
        <f>1917.7+(26.7-465.9)+(-1.956054+(-0.027234--0.475218))+0--92.3-0.0941460000000147</f>
        <v>1569.197784</v>
      </c>
      <c r="R295" s="3">
        <f>1891.9+(35.8-525.8)+(-3.859476+(-0.073032--1.072632))+0--89.1-0.181763999999996</f>
        <v>1487.9583600000001</v>
      </c>
      <c r="S295" s="3">
        <f>1916.6+(17.1-536.9)+(-2.932398+(-0.026163--0.821457))+0--90.3-0.138159000000005</f>
        <v>1484.8247369999999</v>
      </c>
      <c r="T295" s="3">
        <f>1927.5+(6-545.7)+(-0.983025+(-0.00306--0.278307))+0--92.2-0.0470219999999906</f>
        <v>1479.2452000000001</v>
      </c>
      <c r="U295" s="3">
        <f>2013.6+(6-647.3)+(-1.026936+(-0.00306--0.330123))+0--92.8-0.0473279999999906</f>
        <v>1464.352799</v>
      </c>
      <c r="V295" s="3">
        <f>1819.5+(45.9-483.5)+(0+(0-0))+0--92.3-0</f>
        <v>1474.2</v>
      </c>
      <c r="W295" s="3">
        <f>1849.2+(190.8-486.1)+(-0.943092+(-0.097308--0.247911))+0--92.5-0.0471749999999906</f>
        <v>1645.5603360000002</v>
      </c>
      <c r="X295" s="3">
        <f>1867.7+(293.1-515.3)+(-2.857581+(-0.448443--0.788409))+0--93.2-0.142596000000005</f>
        <v>1736.0397890000002</v>
      </c>
      <c r="Y295" s="3">
        <f>1864.6+(214.1-475.9)+(-3.803784+(-0.436764--0.970836))+0--93.3-0.190331999999996</f>
        <v>1692.639956</v>
      </c>
      <c r="Z295" s="3">
        <f>1817.5+(137.4-411.8)+(-2.780775+(-0.210222--0.630054))+0--93.7-0.143361000000005</f>
        <v>1634.2956960000001</v>
      </c>
      <c r="AA295" s="3">
        <f>1752.7+(119.3-367.3)+(-5.363262+(-0.365058--1.123938))+0--94.7-0.289782000000011</f>
        <v>1594.505836</v>
      </c>
      <c r="AB295" s="3">
        <f>1749.3+(66.8-393.8)+(-1.784286+(-0.068136--0.401676))+0--95.1-0.0970020000000152</f>
        <v>1515.8522519999999</v>
      </c>
      <c r="AC295" s="3">
        <f>1633.9+(94.7-413.7)+(-0.833289+(-0.048297--0.210987))+0--95.5-0.0487049999999903</f>
        <v>1409.6806960000001</v>
      </c>
      <c r="AD295">
        <v>1775.8000000000002</v>
      </c>
      <c r="AE295" s="3">
        <f>1860+(273.4-456.6)+(0+(0-0))+0--99-0</f>
        <v>1775.8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1648.8+(51.3-495.8)+(-0.840888+(-0.026163--0.252858))+0--103-0.0525299999999896</f>
        <v>1306.6332770000001</v>
      </c>
      <c r="G296" s="3">
        <f>1659+(20.8-541.3)+(-4.23045+(-0.05304--1.380315))+0--102.8-0.262139999999985</f>
        <v>1238.134685</v>
      </c>
      <c r="H296" s="3">
        <f>1629.6+(28.9-558.6)+(-0.831096+(-0.014739--0.284886))+0--103.2-0.0526319999999895</f>
        <v>1202.4864190000001</v>
      </c>
      <c r="I296" s="3">
        <f>1656.9+(11-569.5)+(0+(0-0))+0--102.9-0</f>
        <v>1201.3000000000002</v>
      </c>
      <c r="J296" s="3">
        <f>1691.4+(11-611.9)+(0.862614+(0.00561-0.312069))+0--102.5--0.0522749999999896</f>
        <v>1193.60843</v>
      </c>
      <c r="K296" s="3">
        <f>1691.7+(27.8-586.1)+(1.725534+(0.028356-0.597822))+0--102.6--0.104652000000016</f>
        <v>1237.26072</v>
      </c>
      <c r="L296" s="3">
        <f>1700.9+(87.7-569.5)+(-0.867459+(-0.044727--0.290445))+0--103.5-0.0527849999999895</f>
        <v>1321.9254740000001</v>
      </c>
      <c r="M296" s="3">
        <f>1763.1+(79.7-568.2)+(0+(0-0))+0--103.4-0</f>
        <v>1378</v>
      </c>
      <c r="N296" s="3">
        <f>1895.4+(70.2-596.2)+(0+(0-0))+0--104-0</f>
        <v>1473.4</v>
      </c>
      <c r="O296" s="3">
        <f>1883.1+(71.4-547.8)+(0+(0-0))+0--102.6-0</f>
        <v>1509.2999999999997</v>
      </c>
      <c r="P296" s="3">
        <f>1916.2+(81.3-556.3)+(-1.954524+(-0.082926--0.567426))+0--99.6-0.101592000000016</f>
        <v>1539.228384</v>
      </c>
      <c r="Q296" s="3">
        <f>1999.5+(79.8-623.9)+(-2.03949+(-0.081396--0.636378))+0--97.7-0.0996540000000156</f>
        <v>1551.515838</v>
      </c>
      <c r="R296" s="3">
        <f>1896.7+(86.2-571.5)+(-4.836585+(-0.21981--1.457325))+0--98.4-0.250919999999986</f>
        <v>1505.9500100000002</v>
      </c>
      <c r="S296" s="3">
        <f>1799.1+(84.8-482.4)+(0.917541+(0.043248-0.246024))+0--97--0.0494699999999902</f>
        <v>1499.2642349999999</v>
      </c>
      <c r="T296" s="3">
        <f>1845.3+(60.1-516)+(0.941103+(0.030651-0.26316))+0--95.6--0.0487559999999903</f>
        <v>1485.7573499999999</v>
      </c>
      <c r="U296" s="3">
        <f>1908+(43.9-565.5)+(0+(0-0))+0--96.1-0</f>
        <v>1482.5</v>
      </c>
      <c r="V296" s="3">
        <f>2072.9+(21-704.1)+(-3.171537+(-0.03213--1.077273))+0--96.7-0.147951000000006</f>
        <v>1484.2256550000004</v>
      </c>
      <c r="W296" s="3">
        <f>2090.5+(43.6-561)+(-2.13231+(-0.044472--0.57222))+0--96.8-0.0987360000000154</f>
        <v>1668.196702</v>
      </c>
      <c r="X296" s="3">
        <f>2073.5+(92.9-495.7)+(-3.172455+(-0.142137--0.758421))+0--96.9-0.148257000000006</f>
        <v>1764.8955720000001</v>
      </c>
      <c r="Y296" s="3">
        <f>2025.6+(84.7-458.1)+(-5.16528+(-0.215985--1.168155))+0--98-0.249899999999986</f>
        <v>1745.7369899999999</v>
      </c>
      <c r="Z296" s="3">
        <f>1993.9+(64-496.4)+(-1.016889+(-0.03264--0.253164))+0--98.2-0.05008199999999</f>
        <v>1658.8535530000001</v>
      </c>
      <c r="AA296" s="3">
        <f>2000.4+(66.2-544.4)+(-4.080816+(-0.135048--1.110576))+0--99.2-0.202367999999996</f>
        <v>1618.0923440000001</v>
      </c>
      <c r="AB296" s="3">
        <f>2000.4+(30.9-590.6)+(-5.10102+(-0.078795--1.50603))+0--98.7-0.251684999999986</f>
        <v>1535.4745300000002</v>
      </c>
      <c r="AC296" s="3">
        <f>1824.4+(55.7-500.2)+(-6.513108+(-0.198849--1.785714))+0--99-0.353430000000001</f>
        <v>1473.6203270000003</v>
      </c>
      <c r="AD296">
        <v>1725.5</v>
      </c>
      <c r="AE296" s="3">
        <f>2095+(65-525.5)+(0+(0-0))+0--91-0</f>
        <v>1725.5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1818.4+(63.9-545.4)+(-1.854768+(-0.065178--0.556308))+0--99-0.100980000000016</f>
        <v>1434.4353820000001</v>
      </c>
      <c r="G297" s="3">
        <f>1813.3+(58-604.2)+(-3.699132+(-0.11832--1.232568))+0--99-0.201959999999996</f>
        <v>1363.3131559999997</v>
      </c>
      <c r="H297" s="3">
        <f>1682+(12-558.5)+(-0.85782+(-0.00612--0.284835))+0--101-0.0515099999999898</f>
        <v>1235.869385</v>
      </c>
      <c r="I297" s="3">
        <f>1674+(14-571.3)+(-2.56122+(-0.02142--0.874089))+0--103-0.157590000000006</f>
        <v>1217.8338590000001</v>
      </c>
      <c r="J297" s="3">
        <f>1687.8+(10-591.7)+(0+(0-0))+0--104.2-0</f>
        <v>1210.3</v>
      </c>
      <c r="K297" s="3">
        <f>1762.9+(10-618.7)+(0+(0-0))+0--103.9-0</f>
        <v>1258.1000000000001</v>
      </c>
      <c r="L297" s="3">
        <f>1866.6+(30-643.7)+(0+(0-0))+0--103.4-0</f>
        <v>1356.3</v>
      </c>
      <c r="M297" s="3">
        <f>1950+(44.7-671.8)+(0.9945+(0.022797-0.342618))+0--103.2--0.0526319999999895</f>
        <v>1426.827311</v>
      </c>
      <c r="N297" s="3">
        <f>1972.1+(73.2-641.5)+(2.011542+(0.074664-0.65433))+0--102.9--0.104958000000016</f>
        <v>1508.2368340000003</v>
      </c>
      <c r="O297" s="3">
        <f>1960.6+(66.1-574.5)+(2.999718+(0.101133-0.878985))+0--101.6--0.155448000000006</f>
        <v>1556.1773139999998</v>
      </c>
      <c r="P297" s="3">
        <f>1938.7+(62-542)+(1.977474+(0.06324-0.55284))+0--99--0.100980000000016</f>
        <v>1559.2888539999999</v>
      </c>
      <c r="Q297" s="3">
        <f>1971+(55.6-536.8)+(-2.01042+(-0.056712--0.547536))+0--98-0.0999600000000156</f>
        <v>1586.1804440000001</v>
      </c>
      <c r="R297" s="3">
        <f>1956.7+(57.1-598)+(-5.987502+(-0.174726--1.82988))+0--99.9-0.305694000000012</f>
        <v>1511.0619580000005</v>
      </c>
      <c r="S297" s="3">
        <f>1957.9+(56.7-602.5)+(0.998529+(0.028917-0.307275))+0--98.9--0.05043899999999</f>
        <v>1511.7706100000003</v>
      </c>
      <c r="T297" s="3">
        <f>1951.4+(64-620.6)+(0.995214+(0.03264-0.316506))+0--98.9--0.05043899999999</f>
        <v>1494.4617870000004</v>
      </c>
      <c r="U297" s="3">
        <f>1826.6+(87.1-503.8)+(0.931566+(0.044421-0.256938))+0--98.2--0.05008199999999</f>
        <v>1508.8691309999999</v>
      </c>
      <c r="V297" s="3">
        <f>1839.3+(131-524.9)+(-0.938043+(-0.06681--0.267699))+0--99.5-0.0507449999999899</f>
        <v>1544.1121010000002</v>
      </c>
      <c r="W297" s="3">
        <f>1987+(149.9-568.6)+(-1.01337+(-0.076449--0.289986))+0--100.1-0.0510509999999898</f>
        <v>1667.5491159999999</v>
      </c>
      <c r="X297" s="3">
        <f>2144.6+(108.2-635)+(-2.187492+(-0.110364--0.6477))+0--100.2-0.102204000000016</f>
        <v>1716.24764</v>
      </c>
      <c r="Y297" s="3">
        <f>2141.5+(66.7-647.8)+(-1.092165+(-0.034017--0.330378))+0--100-0.0509999999999899</f>
        <v>1659.5531960000001</v>
      </c>
      <c r="Z297" s="3">
        <f>2112.4+(43.5-659.1)+(-1.077324+(-0.022185--0.336141))+0--100.8-0.0514079999999898</f>
        <v>1596.7852240000002</v>
      </c>
      <c r="AA297" s="3">
        <f>2065.4+(48.6-669.7)+(-4.213416+(-0.099144--1.366188))+0--101.4-0.206855999999996</f>
        <v>1542.5467720000001</v>
      </c>
      <c r="AB297" s="3">
        <f>2050.1+(47.5-731.8)+(1.045551+(0.024225-0.373218))+0--101.4--0.0517139999999897</f>
        <v>1467.9482720000001</v>
      </c>
      <c r="AC297" s="3">
        <f>1965.7+(98.3-799)+(-5.012535+(-0.250665--2.03745))+0--102.3-0.260864999999985</f>
        <v>1363.8133849999999</v>
      </c>
      <c r="AD297">
        <v>1710</v>
      </c>
      <c r="AE297" s="3">
        <f>2033+(183-601)+(0+(0-0))+0--95-0</f>
        <v>1710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1968.6+(56.2-867.3)+(-2.007972+(-0.057324--0.884646))+0--94.2-0.096084000000015</f>
        <v>1250.423266</v>
      </c>
      <c r="G298" s="3">
        <f>1969.5+(11.8-895.3)+(1.004445+(0.006018-0.456603))+0--93.9--0.0478889999999905</f>
        <v>1180.501749</v>
      </c>
      <c r="H298" s="3">
        <f>1971.2+(9-934.3)+(0+(0-0))+0--94.8-0</f>
        <v>1140.7</v>
      </c>
      <c r="I298" s="3">
        <f>1972.6+(9-963.5)+(1.006026+(0.00459-0.491385))+0--95.1--0.0485009999999904</f>
        <v>1113.7677319999998</v>
      </c>
      <c r="J298" s="3">
        <f>2023.3+(9-1007.5)+(-5.159415+(-0.02295--2.569125))+0--95.8-0.244289999999986</f>
        <v>1117.7424699999999</v>
      </c>
      <c r="K298" s="3">
        <f>2026.1+(9-972.8)+(2.066622+(0.00918-0.992256))+0--95.9--0.0978180000000153</f>
        <v>1159.3813640000001</v>
      </c>
      <c r="L298" s="3">
        <f>2026.7+(19.3-915.2)+(0+(0-0))+0--92.9-0</f>
        <v>1223.7</v>
      </c>
      <c r="M298" s="3">
        <f>2103.2+(33.8-950.4)+(-1.072632+(-0.017238--0.484704))+0--94.3-0.0480929999999904</f>
        <v>1280.2467409999999</v>
      </c>
      <c r="N298" s="3">
        <f>2232.1+(34.3-983.2)+(2.276742+(0.034986-1.002864))+0--93--0.0948600000000148</f>
        <v>1377.6037239999998</v>
      </c>
      <c r="O298" s="3">
        <f>2229+(51.8-921.3)+(3.41037+(0.079254-1.409589))+0--91.4--0.139842000000005</f>
        <v>1453.1198770000001</v>
      </c>
      <c r="P298" s="3">
        <f>2219.6+(52.6-870.2)+(0+(0-0))+0--90.4-0</f>
        <v>1492.4</v>
      </c>
      <c r="Q298" s="3">
        <f>2257.9+(44.4-899)+(-2.303058+(-0.045288--0.91698))+0--89.9-0.0916980000000143</f>
        <v>1491.6769360000003</v>
      </c>
      <c r="R298" s="3">
        <f>2244+(28.1-961)+(-3.43332+(-0.042993--1.47033))+0--88.4-0.135252000000005</f>
        <v>1397.3587649999999</v>
      </c>
      <c r="S298" s="3">
        <f>2230.8+(10-968.4)+(-5.68854+(-0.0255--2.46942))+0--88.1-0.224654999999987</f>
        <v>1357.0307250000001</v>
      </c>
      <c r="T298" s="3">
        <f>2231.8+(10-1007.6)+(-6.829308+(-0.0306--3.083256))+0--88.1-0.26958600000001</f>
        <v>1318.2537620000001</v>
      </c>
      <c r="U298" s="3">
        <f>2234.8+(10-1022)+(-4.558992+(-0.0204--2.08488))+0--89.2-0.181967999999996</f>
        <v>1309.3235200000001</v>
      </c>
      <c r="V298" s="3">
        <f>2243.6+(10-1009.4)+(-1.144236+(-0.0051--0.514794))+0--90-0.0458999999999909</f>
        <v>1333.5195579999997</v>
      </c>
      <c r="W298" s="3">
        <f>2251.4+(50.6-930.9)+(-2.296428+(-0.051612--0.949518))+0--90.3-0.0921060000000144</f>
        <v>1459.9093720000001</v>
      </c>
      <c r="X298" s="3">
        <f>2256.6+(48.5-865.9)+(-3.452598+(-0.074205--1.324827))+0--90.4-0.138312000000005</f>
        <v>1527.2597119999998</v>
      </c>
      <c r="Y298" s="3">
        <f>2258.9+(17.7-871.9)+(0+(0-0))+0--91.8-0</f>
        <v>1496.5000000000002</v>
      </c>
      <c r="Z298" s="3">
        <f>2262.7+(10-915.1)+(-1.153977+(-0.0051--0.466701))+0--91.5-0.0466649999999907</f>
        <v>1448.3609589999999</v>
      </c>
      <c r="AA298" s="3">
        <f>2263.2+(10-946.9)+(-2.308464+(-0.0102--0.965838))+0--92.3-0.0941460000000147</f>
        <v>1417.1530279999997</v>
      </c>
      <c r="AB298" s="3">
        <f>2263.6+(10-1015.1)+(-3.463308+(-0.0153--1.553103))+0--92.5-0.141525000000005</f>
        <v>1348.9329700000001</v>
      </c>
      <c r="AC298" s="3">
        <f>2213.6+(14-1058)+(-5.64468+(-0.0357--2.6979))+0--92.2-0.235109999999987</f>
        <v>1258.58241</v>
      </c>
      <c r="AD298">
        <v>1530.8</v>
      </c>
      <c r="AE298" s="3">
        <f>2259+(52-879.2)+(0+(0-0))+0--99-0</f>
        <v>1530.8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2168.1+(9-1096.4)+(-1.105731+(-0.00459--0.559164))+0--93-0.0474299999999906</f>
        <v>1173.1014129999996</v>
      </c>
      <c r="G299" s="3">
        <f>2131.9+(9-1129.8)+(-1.087269+(-0.00459--0.576198))+0--96-0.0489599999999903</f>
        <v>1106.5353789999999</v>
      </c>
      <c r="H299" s="3">
        <f>2094+(9-1128.3)+(-1.06794+(-0.00459--0.575433))+0--94-0.0479399999999905</f>
        <v>1068.154963</v>
      </c>
      <c r="I299" s="3">
        <f>2113.9+(9-1153.2)+(2.156178+(0.00918-1.176264))+0--96--0.0979200000000153</f>
        <v>1066.787014</v>
      </c>
      <c r="J299" s="3">
        <f>2180.5+(9-1208.8)+(-2.22411+(-0.00918--1.232976))+0--96-0.0979200000000153</f>
        <v>1075.601766</v>
      </c>
      <c r="K299" s="3">
        <f>2183.4+(9-1187.3)+(-1.113534+(-0.00459--0.605523))+0--96-0.0489599999999903</f>
        <v>1100.5384389999999</v>
      </c>
      <c r="L299" s="3">
        <f>2175.8+(9-1144.2)+(1.109658+(0.00459-0.583542))+0--94--0.0479399999999905</f>
        <v>1135.1786460000001</v>
      </c>
      <c r="M299" s="3">
        <f>2034.1+(9-1012.7)+(-2.074782+(-0.00918--1.032954))+0--96.3-0.0982260000000154</f>
        <v>1125.5507659999998</v>
      </c>
      <c r="N299" s="3">
        <f>2003+(9-909.7)+(0+(0-0))+0--94.9-0</f>
        <v>1197.2</v>
      </c>
      <c r="O299" s="3">
        <f>2019.3+(47-872)+(-2.059686+(-0.04794--0.88944))+0--92.8-0.0946560000000148</f>
        <v>1285.7871579999999</v>
      </c>
      <c r="P299" s="3">
        <f>2025.7+(52-857.8)+(-1.033107+(-0.02652--0.437478))+0--91.1-0.0464609999999908</f>
        <v>1310.3313900000001</v>
      </c>
      <c r="Q299" s="3">
        <f>2071+(51-871.2)+(-2.11242+(-0.05202--0.888624))+0--90.2-0.0920040000000144</f>
        <v>1339.6321799999998</v>
      </c>
      <c r="R299" s="3">
        <f>1985.2+(50.6-816.7)+(1.012452+(0.025806-0.416517))+0--89.8--0.0457979999999909</f>
        <v>1309.5675389999999</v>
      </c>
      <c r="S299" s="3">
        <f>1932.9+(27.5-788.1)+(-3.943116+(-0.0561--1.607724))+0--89.7-0.182987999999996</f>
        <v>1259.4255200000002</v>
      </c>
      <c r="T299" s="3">
        <f>1937.3+(6.8-795.8)+(-0.988023+(-0.003468--0.405858))+0--90.7-0.0462569999999908</f>
        <v>1238.3681100000001</v>
      </c>
      <c r="U299" s="3">
        <f>1971+(9.1-847.4)+(0+(0-0))+0--90.8-0</f>
        <v>1223.5</v>
      </c>
      <c r="V299" s="3">
        <f>2006.3+(6-856.8)+(-3.069639+(-0.00918--1.310904))+0--91.4-0.139842000000005</f>
        <v>1244.9922430000001</v>
      </c>
      <c r="W299" s="3">
        <f>2095.7+(14-844.6)+(-4.275228+(-0.02856--1.722984))+0--91.3-0.186251999999996</f>
        <v>1353.632944</v>
      </c>
      <c r="X299" s="3">
        <f>2222.3+(20.7-897.4)+(-5.666865+(-0.052785--2.28837))+0--92.2-0.235109999999987</f>
        <v>1434.1336100000003</v>
      </c>
      <c r="Y299" s="3">
        <f>2155.8+(6-859.6)+(-1.099458+(-0.00306--0.438396))+0--92.5-0.0471749999999906</f>
        <v>1393.9887030000004</v>
      </c>
      <c r="Z299" s="3">
        <f>2105.2+(6-833.4)+(-4.294608+(-0.01224--1.700136))+0--92.8-0.189311999999996</f>
        <v>1367.8039759999997</v>
      </c>
      <c r="AA299" s="3">
        <f>2070.4+(6-837.6)+(-3.167712+(-0.00918--1.281528))+0--92.8-0.141984000000005</f>
        <v>1329.5626520000001</v>
      </c>
      <c r="AB299" s="3">
        <f>2068.9+(6-890)+(-2.110278+(-0.00612--0.9078))+0--93.2-0.0950640000000149</f>
        <v>1276.7963380000001</v>
      </c>
      <c r="AC299" s="3">
        <f>2024.2+(10.4-928.8)+(-3.097026+(-0.015912--1.421064))+0--92.8-0.141984000000005</f>
        <v>1196.7661419999999</v>
      </c>
      <c r="AD299">
        <v>1448</v>
      </c>
      <c r="AE299" s="3">
        <f>2228+(29-901)+(0+(0-0))+0--92-0</f>
        <v>1448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1966.6+(24.7-951.4)+(-1.002966+(-0.012597--0.485214))+0--102-0.0520199999999897</f>
        <v>1141.3176310000001</v>
      </c>
      <c r="G300" s="3">
        <f>1879.3+(26.6-935.1)+(-0.958443+(-0.013566--0.476901))+0--103-0.0525299999999896</f>
        <v>1073.2523620000002</v>
      </c>
      <c r="H300" s="3">
        <f>1553.5+(83.6-701.9)+(-1.58457+(-0.085272--0.715938))+0--103-0.105060000000016</f>
        <v>1037.141036</v>
      </c>
      <c r="I300" s="3">
        <f>1502.9+(86.4-674.7)+(0+(0-0))+0--104-0</f>
        <v>1018.6</v>
      </c>
      <c r="J300" s="3">
        <f>1507.2+(83.4-672.7)+(-2.306016+(-0.127602--1.029231))+0--104-0.159120000000006</f>
        <v>1020.3364929999999</v>
      </c>
      <c r="K300" s="3">
        <f>1509.4+(56.9-625.1)+(0+(0-0))+0--104-0</f>
        <v>1045.2</v>
      </c>
      <c r="L300" s="3">
        <f>1508.1+(42.2-592.2)+(1.538262+(0.043044-0.604044))+0--104--0.106080000000017</f>
        <v>1063.1833419999998</v>
      </c>
      <c r="M300" s="3">
        <f>1509.9+(32.1-605.4)+(-0.770049+(-0.016371--0.308754))+0--103-0.0525299999999896</f>
        <v>1039.0698040000002</v>
      </c>
      <c r="N300" s="3">
        <f>1616+(22.1-634.2)+(2.47248+(0.033813-0.970326))+0--104--0.159120000000006</f>
        <v>1109.5950869999999</v>
      </c>
      <c r="O300" s="3">
        <f>1908.7+(17-860.2)+(0+(0-0))+0--104-0</f>
        <v>1169.5</v>
      </c>
      <c r="P300" s="3">
        <f>1979.1+(13-874.2)+(-1.009341+(-0.00663--0.445842))+0--104-0.0530399999999895</f>
        <v>1221.2768309999999</v>
      </c>
      <c r="Q300" s="3">
        <f>2074+(53-920)+(-1.05774+(-0.02703--0.4692))+0--104-0.0530399999999895</f>
        <v>1310.3313900000001</v>
      </c>
      <c r="R300" s="3">
        <f>2071.1+(2-1015.1)+(-4.225044+(-0.00408--2.070804))+0--103.6-0.211343999999995</f>
        <v>1159.2303359999999</v>
      </c>
      <c r="S300" s="3">
        <f>1912.3+(2-872.5)+(0.975273+(0.00102-0.444975))+0--103--0.0525299999999896</f>
        <v>1145.3838479999999</v>
      </c>
      <c r="T300" s="3">
        <f>1740.7+(6.2-730.5)+(-2.663271+(-0.009486--1.117665))+0--102.8-0.157284000000006</f>
        <v>1117.4876240000001</v>
      </c>
      <c r="U300" s="3">
        <f>1713.4+(2-712.2)+(-0.873834+(-0.00102--0.363222))+0--103.2-0.0526319999999895</f>
        <v>1105.8357360000002</v>
      </c>
      <c r="V300" s="3">
        <f>1733.7+(2-701.5)+(-1.768374+(-0.00204--0.71553))+0--103-0.105060000000016</f>
        <v>1136.040056</v>
      </c>
      <c r="W300" s="3">
        <f>2018.5+(0-812.7)+(2.05887+(0-0.828954))+0--103.2--0.105264000000016</f>
        <v>1310.33518</v>
      </c>
      <c r="X300" s="3">
        <f>2183.6+(0-811.4)+(-4.454544+(0--1.655256))+0--103.7-0.211547999999995</f>
        <v>1472.8891639999999</v>
      </c>
      <c r="Y300" s="3">
        <f>2113+(2-750.2)+(-4.31052+(-0.00408--1.530408))+0--103.6-0.211343999999995</f>
        <v>1465.4044639999997</v>
      </c>
      <c r="Z300" s="3">
        <f>2122.9+(3-791.1)+(0+(0-0))+0--104.7-0</f>
        <v>1439.5000000000002</v>
      </c>
      <c r="AA300" s="3">
        <f>2126.4+(5-815.1)+(-1.084464+(-0.00255--0.415701))+0--104.5-0.0532949999999894</f>
        <v>1420.0753920000002</v>
      </c>
      <c r="AB300" s="3">
        <f>2127.7+(11.7-886.8)+(-1.085127+(-0.005967--0.452268))+0--104.9-0.0534989999999894</f>
        <v>1356.8076749999998</v>
      </c>
      <c r="AC300" s="3">
        <f>2083.6+(44.1-979.1)+(-4.250544+(-0.089964--1.997364))+0--105.8-0.215831999999995</f>
        <v>1251.8410239999998</v>
      </c>
      <c r="AD300">
        <v>1477.5</v>
      </c>
      <c r="AE300" s="3">
        <f>2181+(1.5-810.5)+(0+(0-0))+0--105.5-0</f>
        <v>1477.5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2087.7+(56.8-1080.8)+(-4.258908+(-0.115872--2.204832))+0--104-0.212159999999995</f>
        <v>1165.3178919999998</v>
      </c>
      <c r="G301" s="3">
        <f>1969.4+(99.4-1069.1)+(-3.013182+(-0.152082--1.635723))+0--104-0.159120000000006</f>
        <v>1102.0113390000001</v>
      </c>
      <c r="H301" s="3">
        <f>1943.4+(81.6-1063.7)+(-0.991134+(-0.041616--0.542487))+0--104-0.0530399999999895</f>
        <v>1064.756697</v>
      </c>
      <c r="I301" s="3">
        <f>1873.8+(113-1040.9)+(-3.822552+(-0.23052--2.123436))+0--104-0.212159999999995</f>
        <v>1047.7582039999998</v>
      </c>
      <c r="J301" s="3">
        <f>1800+(94.9-951.6)+(-2.754+(-0.145197--1.455948))+0--104-0.159120000000006</f>
        <v>1045.6976309999998</v>
      </c>
      <c r="K301" s="3">
        <f>1850.6+(37.8-909.2)+(0.943806+(0.019278-0.463692))+0--104--0.0530399999999895</f>
        <v>1083.7524319999998</v>
      </c>
      <c r="L301" s="3">
        <f>2125.2+(20-1046.9)+(-2.167704+(-0.0204--1.067838))+0--106.6-0.108732000000017</f>
        <v>1203.6710019999998</v>
      </c>
      <c r="M301" s="3">
        <f>2293+(20-1173.2)+(1.16943+(0.0102-0.598332))+0--106.4--0.0542639999999892</f>
        <v>1246.8355620000002</v>
      </c>
      <c r="N301" s="3">
        <f>2301.8+(20-1089.2)+(0+(0-0))+0--106.2-0</f>
        <v>1338.8000000000002</v>
      </c>
      <c r="O301" s="3">
        <f>2284.9+(17-1020.9)+(1.165299+(0.00867-0.520659))+0--105.9--0.0540089999999893</f>
        <v>1387.607319</v>
      </c>
      <c r="P301" s="3">
        <f>2269.2+(16-982.3)+(0+(0-0))+0--105.4-0</f>
        <v>1408.3</v>
      </c>
      <c r="Q301" s="3">
        <f>2300.9+(13-1011.9)+(-4.693836+(-0.02652--2.064276))+0--104.9-0.213995999999995</f>
        <v>1404.0299240000002</v>
      </c>
      <c r="R301" s="3">
        <f>2336.3+(14-1093.8)+(-4.766052+(-0.02856--2.231352))+0--104.9-0.213995999999995</f>
        <v>1358.6227440000005</v>
      </c>
      <c r="S301" s="3">
        <f>2329.8+(14-1092.2)+(-4.752792+(-0.02856--2.228088))+0--103.4-0.210935999999995</f>
        <v>1352.2358000000004</v>
      </c>
      <c r="T301" s="3">
        <f>2290.7+(13-1072.6)+(1.168257+(0.00663-0.547026))+0--102.9--0.0524789999999896</f>
        <v>1334.6803399999999</v>
      </c>
      <c r="U301" s="3">
        <f>2296.3+(14-1076.8)+(-1.171113+(-0.00714--0.549168))+0--102.8-0.0524279999999896</f>
        <v>1335.6184870000002</v>
      </c>
      <c r="V301" s="3">
        <f>2395.9+(14-1146.1)+(-1.221909+(-0.00714--0.584511))+0--103.6-0.0528359999999895</f>
        <v>1366.702626</v>
      </c>
      <c r="W301" s="3">
        <f>2469.7+(12-1043.8)+(3.778641+(0.01836-1.597014))+0--103.5--0.158355000000006</f>
        <v>1543.7583419999999</v>
      </c>
      <c r="X301" s="3">
        <f>2484.1+(11-920.1)+(0+(0-0))+0--104.1-0</f>
        <v>1679.1</v>
      </c>
      <c r="Y301" s="3">
        <f>2491.6+(11-965.7)+(-3.812148+(-0.01683--1.477521))+0--104.2-0.159426000000006</f>
        <v>1638.589117</v>
      </c>
      <c r="Z301" s="3">
        <f>2501+(14-1029.2)+(1.27551+(0.00714-0.524892))+0--104.4--0.0532439999999894</f>
        <v>1591.011002</v>
      </c>
      <c r="AA301" s="3">
        <f>2499.7+(17-1059.1)+(-5.099388+(-0.03468--2.160564))+0--104.6-0.213383999999995</f>
        <v>1559.0131119999999</v>
      </c>
      <c r="AB301" s="3">
        <f>2430.5+(13-1052.8)+(-1.239555+(-0.00663--0.536928))+0--105.6-0.0538559999999893</f>
        <v>1495.536887</v>
      </c>
      <c r="AC301" s="3">
        <f>2353.2+(35-1110.2)+(-6.00066+(-0.08925--2.83101))+0--107.3-0.273614999999984</f>
        <v>1381.7674849999996</v>
      </c>
      <c r="AD301">
        <v>1650.1</v>
      </c>
      <c r="AE301" s="3">
        <f>2481+(10-943.9)+(0+(0-0))+0--103-0</f>
        <v>1650.1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2455.8+(45.9-1233.9)+(0+(0-0))+0--106.7-0</f>
        <v>1374.5000000000002</v>
      </c>
      <c r="G302" s="3">
        <f>2290.1+(47.8-1244.5)+(-2.335902+(-0.048756--1.26939))+0--108.5-0.110670000000017</f>
        <v>1200.6740619999998</v>
      </c>
      <c r="H302" s="3">
        <f>2084+(51.9-1080.4)+(-1.06284+(-0.026469--0.551004))+0--107.6-0.0548759999999891</f>
        <v>1162.506819</v>
      </c>
      <c r="I302" s="3">
        <f>2042.6+(48.7-1056.7)+(3.125178+(0.074511-1.616751))+0--107.9--0.165087000000006</f>
        <v>1144.2480250000001</v>
      </c>
      <c r="J302" s="3">
        <f>2095.4+(37.1-1093.9)+(-1.068654+(-0.018921--0.557889))+0--108.1-0.055130999999989</f>
        <v>1146.1151829999997</v>
      </c>
      <c r="K302" s="3">
        <f>2124.7+(34.4-1099.9)+(0+(0-0))+23.2--107.8-0</f>
        <v>1190.1999999999998</v>
      </c>
      <c r="L302" s="3">
        <f>2079+(12.4-958.1)+(1.06029+(0.006324-0.488631))+20.8--108.3--0.055232999999989</f>
        <v>1263.0332159999998</v>
      </c>
      <c r="M302" s="3">
        <f>2333.5+(12.6-1146.3)+(-1.190085+(-0.006426--0.584613))+0--110.3-0.0562529999999888</f>
        <v>1309.4318489999998</v>
      </c>
      <c r="N302" s="3">
        <f>2479.2+(12.6-1203.6)+(0+(0-0))+0--109.4-0</f>
        <v>1397.6</v>
      </c>
      <c r="O302" s="3">
        <f>2441.4+(12.4-1119.8)+(-1.245114+(-0.006324--0.571098))+0--107.2-0.0546719999999891</f>
        <v>1440.4649880000004</v>
      </c>
      <c r="P302" s="3">
        <f>2441.1+(12.6-1094.7)+(-3.734883+(-0.019278--1.674891))+0--105.9-0.162027000000006</f>
        <v>1462.6587029999998</v>
      </c>
      <c r="Q302" s="3">
        <f>2477.7+(9-1126.2)+(-5.054508+(-0.01836--2.297448))+0--104.6-0.213383999999995</f>
        <v>1462.1111959999998</v>
      </c>
      <c r="R302" s="3">
        <f>2478.1+(0-1180.2)+(-2.527662+(0--1.203804))+0--103.6-0.105672000000017</f>
        <v>1400.0704699999999</v>
      </c>
      <c r="S302" s="3">
        <f>2433.4+(7-1144.3)+(0+(0-0))+0--103.3-0</f>
        <v>1399.4</v>
      </c>
      <c r="T302" s="3">
        <f>2385.1+(10-1112.6)+(-1.216401+(-0.0051--0.567426))+0--150-0.0764999999999848</f>
        <v>1431.7694250000002</v>
      </c>
      <c r="U302" s="3">
        <f>2396.4+(2-1237.4)+(1.222164+(0.00102-0.631074))+0--219.7--0.112046999999978</f>
        <v>1381.4041570000002</v>
      </c>
      <c r="V302" s="3">
        <f>2399.9+(4-1135.4)+(1.223949+(0.00204-0.579054))+0--106.3--0.0542129999999892</f>
        <v>1375.5011479999998</v>
      </c>
      <c r="W302" s="3">
        <f>2455.4+(2-1049.4)+(1.252254+(0.00102-0.535194))+0--97.9--0.0499289999999901</f>
        <v>1506.6680090000002</v>
      </c>
      <c r="X302" s="3">
        <f>2497.8+(2-950.2)+(-5.095512+(-0.00408--1.938408))+0--98.2-0.200327999999996</f>
        <v>1644.4384880000002</v>
      </c>
      <c r="Y302" s="3">
        <f>2515.7+(1-966.5)+(-1.283007+(-0.00051--0.492915))+0--99.4-0.0506939999999899</f>
        <v>1648.7587039999999</v>
      </c>
      <c r="Z302" s="3">
        <f>2523.2+(3-1016.3)+(-3.860496+(-0.00459--1.554939))+0--99.6-0.152388000000006</f>
        <v>1607.0374649999999</v>
      </c>
      <c r="AA302" s="3">
        <f>2531.3+(4-1101.3)+(-3.872889+(-0.00612--1.684989))+0--143.9-0.220167000000008</f>
        <v>1575.4858130000005</v>
      </c>
      <c r="AB302" s="3">
        <f>2530.8+(7-1138.6)+(-3.872124+(-0.01071--1.742058))+0--103.5-0.158355000000006</f>
        <v>1500.4008690000003</v>
      </c>
      <c r="AC302" s="3">
        <f>2399+(18.8-1140.1)+(-3.67047+(-0.028764--1.744353))+0--104.4-0.159732000000006</f>
        <v>1379.9853870000002</v>
      </c>
      <c r="AD302">
        <v>1680.6</v>
      </c>
      <c r="AE302" s="3">
        <f>2533+(2-953.4)+(0+(0-0))+0--99-0</f>
        <v>1680.6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2147.3+(43-1027.8)+(-3.285369+(-0.06579--1.572534))+0--105.7-0.161721000000006</f>
        <v>1266.2596540000004</v>
      </c>
      <c r="G303" s="3">
        <f>1891.1+(75.8-878.9)+(-1.928922+(-0.077316--0.896478))+0--105.8-0.107916000000017</f>
        <v>1192.582324</v>
      </c>
      <c r="H303" s="3">
        <f>1722.1+(86.1-766.1)+(0.878271+(0.043911-0.390711))+0--105.8--0.0539579999999893</f>
        <v>1148.4854289999998</v>
      </c>
      <c r="I303" s="3">
        <f>1680.3+(93.3-733.4)+(-2.570859+(-0.142749--1.122102))+0--105.4-0.161262000000006</f>
        <v>1143.8472319999998</v>
      </c>
      <c r="J303" s="3">
        <f>1687.8+(77.4-724.9)+(1.721556+(0.078948-0.739398))+0--105.4--0.107508000000017</f>
        <v>1146.8686140000002</v>
      </c>
      <c r="K303" s="3">
        <f>1716.7+(47.5-686.9)+(2.626551+(0.072675-1.050957))+0--108.5--0.166005000000006</f>
        <v>1187.6142740000003</v>
      </c>
      <c r="L303" s="3">
        <f>1972.9+(12-807.1)+(2.012358+(0.01224-0.823242))+0--108.4--0.110568000000017</f>
        <v>1287.5119240000004</v>
      </c>
      <c r="M303" s="3">
        <f>2241+(11-1020.4)+(0+(0-0))+0--108.2-0</f>
        <v>1339.8</v>
      </c>
      <c r="N303" s="3">
        <f>2336.1+(8-1047.4)+(0+(0-0))+0--107.2-0</f>
        <v>1403.8999999999999</v>
      </c>
      <c r="O303" s="3">
        <f>2372.5+(7-1054.1)+(-1.209975+(-0.00357--0.537591))+0--105.7-0.0539069999999893</f>
        <v>1430.3701390000001</v>
      </c>
      <c r="P303" s="3">
        <f>2458.1+(7-1069.3)+(-2.507262+(-0.00714--1.090686))+0--105-0.107100000000017</f>
        <v>1499.269184</v>
      </c>
      <c r="Q303" s="3">
        <f>2492.7+(2-1097.3)+(-1.271277+(-0.00102--0.559623))+0--106.3-0.0542129999999892</f>
        <v>1502.9331129999998</v>
      </c>
      <c r="R303" s="3">
        <f>2462.4+(3-1147.8)+(-3.767472+(-0.00459--1.756134))+0--105.1-0.160803000000006</f>
        <v>1420.523269</v>
      </c>
      <c r="S303" s="3">
        <f>2512.3+(1-1178.3)+(-1.281273+(-0.00051--0.600933))+0--105-0.0535499999999893</f>
        <v>1439.2656000000002</v>
      </c>
      <c r="T303" s="3">
        <f>2417.6+(3-1098.5)+(-1.232976+(-0.00153--0.560235))+0--104-0.0530399999999895</f>
        <v>1425.3726889999998</v>
      </c>
      <c r="U303" s="3">
        <f>2394.1+(3-1097.8)+(-2.441982+(-0.00306--1.119756))+0--102.3-0.104346000000016</f>
        <v>1400.1703679999998</v>
      </c>
      <c r="V303" s="3">
        <f>2396.4+(3-1093.5)+(2.444328+(0.00306-1.11537))+0--102.5--0.104550000000016</f>
        <v>1409.8365680000002</v>
      </c>
      <c r="W303" s="3">
        <f>2387.6+(2-913.4)+(1.217676+(0.00102-0.465834))+0--101.9--0.0519689999999897</f>
        <v>1578.9048310000001</v>
      </c>
      <c r="X303" s="3">
        <f>2390+(3-764.1)+(-2.4378+(-0.00306--0.779382))+0--102.5-0.104550000000016</f>
        <v>1729.6339720000001</v>
      </c>
      <c r="Y303" s="3">
        <f>2398.7+(2-813)+(-4.893348+(-0.00408--1.65852))+0--103-0.210119999999996</f>
        <v>1687.2509719999998</v>
      </c>
      <c r="Z303" s="3">
        <f>2412.1+(2-882.5)+(-3.690513+(-0.00306--1.350225))+0--103.2-0.157896000000006</f>
        <v>1632.2987559999999</v>
      </c>
      <c r="AA303" s="3">
        <f>2339.6+(6.9-860)+(-2.386392+(-0.007038--0.8772))+0--103.6-0.105672000000017</f>
        <v>1588.478098</v>
      </c>
      <c r="AB303" s="3">
        <f>2347.1+(11.6-942.4)+(-3.591063+(-0.017748--1.441872))+0--103.2-0.157896000000006</f>
        <v>1517.1751650000001</v>
      </c>
      <c r="AC303" s="3">
        <f>2248.3+(46.2-991.6)+(-4.586532+(-0.094248--2.022864))+0--103.5-0.211139999999995</f>
        <v>1403.5309440000003</v>
      </c>
      <c r="AD303">
        <v>1710.1</v>
      </c>
      <c r="AE303" s="3">
        <f>2380+(2-775.9)+(0+(0-0))+0--104-0</f>
        <v>1710.1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2211.7+(48.7-1070.7)+(-3.383901+(-0.074511--1.638171))+0--104.2-0.159426000000006</f>
        <v>1291.920333</v>
      </c>
      <c r="G304" s="3">
        <f>2023.4+(47.8-965)+(-1.031934+(-0.024378--0.49215))+0--104.7-0.0533969999999894</f>
        <v>1210.2824410000003</v>
      </c>
      <c r="H304" s="3">
        <f>1879.9+(65-883.2)+(1.917498+(0.0663-0.900864))+0--104.1--0.106182000000017</f>
        <v>1166.989116</v>
      </c>
      <c r="I304" s="3">
        <f>1857.6+(57.6-867.4)+(1.894752+(0.058752-0.884748))+0--103.9--0.105978000000017</f>
        <v>1152.874734</v>
      </c>
      <c r="J304" s="3">
        <f>1919.3+(54.9-925.9)+(-1.957686+(-0.055998--0.944418))+0--104.3-0.106386000000017</f>
        <v>1151.424348</v>
      </c>
      <c r="K304" s="3">
        <f>1975.5+(34.7-932.1)+(-1.007505+(-0.017697--0.475371))+0--103.8-0.0529379999999895</f>
        <v>1181.2972309999998</v>
      </c>
      <c r="L304" s="3">
        <f>2258.9+(4-1083.3)+(-3.456117+(-0.00612--1.657449))+0--102.9-0.157437000000006</f>
        <v>1280.5377750000002</v>
      </c>
      <c r="M304" s="3">
        <f>2326.3+(4-1092.3)+(-3.559239+(-0.00612--1.671219))+0--104.4-0.159732000000006</f>
        <v>1340.3461280000001</v>
      </c>
      <c r="N304" s="3">
        <f>2311+(4-997.8)+(1.17861+(0.00204-0.508878))+0--103.3--0.0526829999999895</f>
        <v>1421.2244549999998</v>
      </c>
      <c r="O304" s="3">
        <f>2261.8+(4-897.9)+(-2.307036+(-0.00408--0.915858))+0--102.5-0.104550000000016</f>
        <v>1468.9001920000001</v>
      </c>
      <c r="P304" s="3">
        <f>2258.9+(4-880.8)+(1.152039+(0.00204-0.449208))+0--101.8--0.0519179999999897</f>
        <v>1484.6567889999999</v>
      </c>
      <c r="Q304" s="3">
        <f>2235.4+(0-900.7)+(-2.280108+(0--0.918714))+0--101.4-0.103428000000016</f>
        <v>1434.635178</v>
      </c>
      <c r="R304" s="3">
        <f>2283.3+(5-953.8)+(-1.164483+(-0.00255--0.486438))+0--101.3-0.0516629999999897</f>
        <v>1435.0677420000002</v>
      </c>
      <c r="S304" s="3">
        <f>2266.4+(9-940.7)+(-1.155864+(-0.00459--0.479757))+0--101.5-0.0517649999999897</f>
        <v>1435.4675380000001</v>
      </c>
      <c r="T304" s="3">
        <f>2272.5+(6-968.2)+(-1.158975+(-0.00306--0.493782))+0--100.9-0.0514589999999898</f>
        <v>1410.480288</v>
      </c>
      <c r="U304" s="3">
        <f>2282.2+(3-1002.2)+(0+(0-0))+0--100.8-0</f>
        <v>1383.7999999999997</v>
      </c>
      <c r="V304" s="3">
        <f>2366.4+(2-1038)+(0+(0-0))+0--101.4-0</f>
        <v>1431.8000000000002</v>
      </c>
      <c r="W304" s="3">
        <f>2411.4+(2-917.2)+(1.229814+(0.00102-0.467772))+0--101--0.0515099999999898</f>
        <v>1598.014572</v>
      </c>
      <c r="X304" s="3">
        <f>2551+(2-925.8)+(-5.20404+(-0.00408--1.888632))+0--101.3-0.206651999999996</f>
        <v>1724.9738599999998</v>
      </c>
      <c r="Y304" s="3">
        <f>2451.9+(2-867.8)+(-5.001876+(-0.00408--1.770312))+0--101.4-0.206855999999996</f>
        <v>1684.0575000000001</v>
      </c>
      <c r="Z304" s="3">
        <f>2318+(1-789.2)+(0+(0-0))+0--102.2-0</f>
        <v>1632</v>
      </c>
      <c r="AA304" s="3">
        <f>2327.2+(1-847.4)+(-7.121232+(-0.00306--2.593044))+0--103-0.315180000000012</f>
        <v>1578.9535719999997</v>
      </c>
      <c r="AB304" s="3">
        <f>2391.4+(1-991.2)+(-3.658842+(-0.00153--1.516536))+0--103.2-0.157896000000006</f>
        <v>1502.0982680000002</v>
      </c>
      <c r="AC304" s="3">
        <f>2354.8+(4-1065.2)+(-9.607584+(-0.01632--4.346016))+0--103.5-0.422279999999991</f>
        <v>1391.3998320000001</v>
      </c>
      <c r="AD304">
        <v>1730.1</v>
      </c>
      <c r="AE304" s="3">
        <f>2575+(2-947.9)+(0+(0-0))+0--101-0</f>
        <v>1730.1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2362.4+(3-1171.8)+(-4.819296+(-0.00612--2.390472))+0--104-0.212159999999995</f>
        <v>1294.952896</v>
      </c>
      <c r="G305" s="3">
        <f>2293.3+(3-1166)+(-4.678332+(-0.00612--2.37864))+0--104.2-0.212567999999995</f>
        <v>1231.9816200000002</v>
      </c>
      <c r="H305" s="3">
        <f>2055.9+(5-981.3)+(-6.291054+(-0.0153--3.002778))+0--104.4-0.319464000000012</f>
        <v>1180.3769600000003</v>
      </c>
      <c r="I305" s="3">
        <f>2003.9+(5-953.7)+(0+(0-0))+0--105.3-0</f>
        <v>1160.5</v>
      </c>
      <c r="J305" s="3">
        <f>1902.8+(4-851.9)+(1.940856+(0.00408-0.868938))+0--104.7--0.106794000000017</f>
        <v>1160.7827920000002</v>
      </c>
      <c r="K305" s="3">
        <f>1950.9+(4-856.3)+(0+(0-0))+0--104.8-0</f>
        <v>1203.4000000000001</v>
      </c>
      <c r="L305" s="3">
        <f>1909.5+(9.8-750.7)+(-0.973845+(-0.004998--0.382857))+0--107-0.0545699999999891</f>
        <v>1274.9494439999999</v>
      </c>
      <c r="M305" s="3">
        <f>1953.6+(24.3-763)+(0+(0-0))+0--107.5-0</f>
        <v>1322.3999999999999</v>
      </c>
      <c r="N305" s="3">
        <f>2283.3+(4-962.8)+(2.328966+(0.00408-0.982056))+0--105.4--0.107508000000017</f>
        <v>1431.3584980000003</v>
      </c>
      <c r="O305" s="3">
        <f>2301.7+(27.3-937.6)+(2.347734+(0.027846-0.956352))+0--104.4--0.106488000000017</f>
        <v>1497.3257159999998</v>
      </c>
      <c r="P305" s="3">
        <f>2281.4+(29.7-904.5)+(3.490542+(0.045441-1.383885))+0--102.9--0.157437000000006</f>
        <v>1511.8095350000003</v>
      </c>
      <c r="Q305" s="3">
        <f>2306.2+(28.9-939.8)+(1.176162+(0.014739-0.479298))+0--102.8--0.0524279999999896</f>
        <v>1498.8640309999996</v>
      </c>
      <c r="R305" s="3">
        <f>2288.6+(16-950.6)+(-4.668744+(-0.03264--1.939224))+0--103.2-0.210527999999995</f>
        <v>1454.227312</v>
      </c>
      <c r="S305" s="3">
        <f>2272.8+(16-969.5)+(-2.318256+(-0.01632--0.98889))+0--102.1-0.104142000000016</f>
        <v>1419.9501720000003</v>
      </c>
      <c r="T305" s="3">
        <f>2246.2+(11-970.8)+(0+(0-0))+0--101.7-0</f>
        <v>1388.1</v>
      </c>
      <c r="U305" s="3">
        <f>2238+(11-976.9)+(0+(0-0))+0--102-0</f>
        <v>1374.1</v>
      </c>
      <c r="V305" s="3">
        <f>2287.7+(0-981.6)+(-3.500181+(0--1.501848))+0--102.4-0.156672000000006</f>
        <v>1406.3449949999999</v>
      </c>
      <c r="W305" s="3">
        <f>2364.2+(10.9-919)+(3.617226+(0.016677-1.40607))+0--102.4--0.156672000000006</f>
        <v>1560.884505</v>
      </c>
      <c r="X305" s="3">
        <f>2440.2+(24.1-857.5)+(-2.489004+(-0.024582--0.87465))+0--102.8-0.104856000000016</f>
        <v>1707.8562079999997</v>
      </c>
      <c r="Y305" s="3">
        <f>2451+(0-883.4)+(-5.00004+(0--1.802136))+0--102.3-0.208691999999996</f>
        <v>1666.4934039999998</v>
      </c>
      <c r="Z305" s="3">
        <f>2461.5+(0-943.4)+(-6.276825+(0--2.40567))+0--103.1-0.262904999999985</f>
        <v>1617.0659399999997</v>
      </c>
      <c r="AA305" s="3">
        <f>2466.6+(1-1001.3)+(-3.773898+(-0.00153--1.531989))+0--103.4-0.158202000000006</f>
        <v>1567.2983589999999</v>
      </c>
      <c r="AB305" s="3">
        <f>2471.7+(2-1072.7)+(-1.260567+(-0.00102--0.547077))+0--103.6-0.0528359999999895</f>
        <v>1503.8326539999996</v>
      </c>
      <c r="AC305" s="3">
        <f>2425.5+(4-1112)+(-2.47401+(-0.00408--1.13424))+0--104.9-0.106998000000017</f>
        <v>1420.9491520000001</v>
      </c>
      <c r="AD305">
        <v>1662.5</v>
      </c>
      <c r="AE305" s="3">
        <f>2378+(36-853)+(0+(0-0))+0--101.5-0</f>
        <v>1662.5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2240.6+(6-1033.4)+(-2.285412+(-0.00612--1.054068))+0--103.3-0.105366000000016</f>
        <v>1315.1571699999997</v>
      </c>
      <c r="G306" s="3">
        <f>2182.3+(6-1054.2)+(0+(0-0))+0--102.3-0</f>
        <v>1236.4000000000001</v>
      </c>
      <c r="H306" s="3">
        <f>1940.2+(5-856.4)+(0.989502+(0.00255-0.436764))+0--101.9--0.0519689999999897</f>
        <v>1191.3072570000004</v>
      </c>
      <c r="I306" s="3">
        <f>1875.4+(5-820.7)+(1.912908+(0.0051-0.837114))+0--103.5--0.105570000000016</f>
        <v>1164.3864639999999</v>
      </c>
      <c r="J306" s="3">
        <f>1946.5+(4-892.3)+(0+(0-0))+0--103.8-0</f>
        <v>1162</v>
      </c>
      <c r="K306" s="3">
        <f>1965.8+(3-882.8)+(0+(0-0))+0--103.1-0</f>
        <v>1189.0999999999999</v>
      </c>
      <c r="L306" s="3">
        <f>1962.5+(3-840.4)+(0+(0-0))+0--103.4-0</f>
        <v>1228.5</v>
      </c>
      <c r="M306" s="3">
        <f>1919.7+(5-797.3)+(-2.937141+(-0.00765--1.219869))+0--104.3-0.159579000000006</f>
        <v>1229.815499</v>
      </c>
      <c r="N306" s="3">
        <f>1889.7+(26.4-730.2)+(1.927494+(0.026928-0.744804))+0--105.1--0.107202000000017</f>
        <v>1292.31682</v>
      </c>
      <c r="O306" s="3">
        <f>2032.5+(54.8-810.3)+(-1.036575+(-0.027948--0.413253))+0--104-0.0530399999999895</f>
        <v>1380.2956899999999</v>
      </c>
      <c r="P306" s="3">
        <f>2065.6+(63.3-802.9)+(-1.053456+(-0.032283--0.409479))+0--103.7-0.0528869999999895</f>
        <v>1428.970853</v>
      </c>
      <c r="Q306" s="3">
        <f>2128.2+(60.6-819.7)+(-1.085382+(-0.030906--0.418047))+0--105.1-0.0536009999999893</f>
        <v>1473.4481579999997</v>
      </c>
      <c r="R306" s="3">
        <f>2062+(62-840.3)+(-3.15486+(-0.09486--1.285659))+0--104-0.159120000000006</f>
        <v>1385.5768190000001</v>
      </c>
      <c r="S306" s="3">
        <f>2136.5+(8.6-882.9)+(-4.35846+(-0.017544--1.801116))+0--102.6-0.209303999999996</f>
        <v>1362.0158079999999</v>
      </c>
      <c r="T306" s="3">
        <f>2088.3+(0-849.2)+(-3.195099+(0--1.299276))+0--101.7-0.155601000000006</f>
        <v>1338.7485760000002</v>
      </c>
      <c r="U306" s="3">
        <f>2114.4+(0-898.3)+(0+(0-0))+0--102.1-0</f>
        <v>1318.2</v>
      </c>
      <c r="V306" s="3">
        <f>2285.2+(0-1041.7)+(0+(0-0))+0--102.8-0</f>
        <v>1346.2999999999997</v>
      </c>
      <c r="W306" s="3">
        <f>2399.4+(0-994.8)+(-1.223694+(0--0.507348))+0--102-0.0520199999999897</f>
        <v>1505.8316340000001</v>
      </c>
      <c r="X306" s="3">
        <f>2388.6+(20.6-873.7)+(0+(0-0))+0--102.6-0</f>
        <v>1638.1</v>
      </c>
      <c r="Y306" s="3">
        <f>2375.1+(6.2-863.3)+(-4.845204+(-0.012648--1.761132))+0--103.3-0.210731999999995</f>
        <v>1617.9925479999999</v>
      </c>
      <c r="Z306" s="3">
        <f>2344.7+(0-873.5)+(-2.391594+(0--0.89097))+0--104.3-0.106386000000017</f>
        <v>1573.8929899999998</v>
      </c>
      <c r="AA306" s="3">
        <f>2385.9+(0-945.5)+(-1.216809+(0--0.482205))+0--103.7-0.0528869999999895</f>
        <v>1543.3125090000001</v>
      </c>
      <c r="AB306" s="3">
        <f>2304.6+(0-930.6)+(-5.87673+(0--2.37303))+0--102.6-0.261629999999985</f>
        <v>1472.83467</v>
      </c>
      <c r="AC306" s="3">
        <f>2155.9+(4-888.2)+(-4.398036+(-0.00816--1.811928))+0--103.1-0.210323999999995</f>
        <v>1371.995408</v>
      </c>
      <c r="AD306">
        <v>1600.9</v>
      </c>
      <c r="AE306" s="3">
        <f>2385+(16-903.1)+(0+(0-0))+0--103-0</f>
        <v>1600.9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2161.1+(24-998.8)+(-2.204322+(-0.02448--1.018776))+0--103.5-0.105570000000016</f>
        <v>1288.484404</v>
      </c>
      <c r="G307" s="3">
        <f>2168.6+(26-1064.2)+(-1.105986+(-0.01326--0.542742))+0--102.6-0.0523259999999896</f>
        <v>1232.3711699999997</v>
      </c>
      <c r="H307" s="3">
        <f>2121.9+(27-1040.7)+(-4.328676+(-0.05508--2.123028))+0--102.6-0.209303999999996</f>
        <v>1208.329968</v>
      </c>
      <c r="I307" s="3">
        <f>2033.5+(27-980.2)+(1.037085+(0.01377-0.499902))+0--103--0.0525299999999896</f>
        <v>1183.9034829999998</v>
      </c>
      <c r="J307" s="3">
        <f>2038.5+(27-984)+(2.07927+(0.02754-1.00368))+0--103.9--0.105978000000017</f>
        <v>1186.6091080000001</v>
      </c>
      <c r="K307" s="3">
        <f>2181.2+(26-1080.7)+(2.224824+(0.02652-1.102314))+0--105.1--0.107202000000017</f>
        <v>1232.8562319999996</v>
      </c>
      <c r="L307" s="3">
        <f>2379.3+(12-1199.4)+(2.426886+(0.01224-1.223388))+0--107.2--0.109344000000017</f>
        <v>1300.4250820000002</v>
      </c>
      <c r="M307" s="3">
        <f>2431.7+(13-1197.3)+(-2.480334+(-0.01326--1.221246))+0--109.1-0.111282000000017</f>
        <v>1355.1163699999997</v>
      </c>
      <c r="N307" s="3">
        <f>2438.5+(14-1129.7)+(4.97454+(0.02856-2.304588))+0--109.8--0.223991999999995</f>
        <v>1435.5225039999998</v>
      </c>
      <c r="O307" s="3">
        <f>2436.9+(13-1067.6)+(2.485638+(0.01326-1.088952))+0--109.3--0.111486000000017</f>
        <v>1493.1214320000001</v>
      </c>
      <c r="P307" s="3">
        <f>2430.4+(12-1035.7)+(-3.718512+(-0.01836--1.584621))+0--109.1-0.166923000000006</f>
        <v>1513.480826</v>
      </c>
      <c r="Q307" s="3">
        <f>2482.5+(9-1068.5)+(-2.53215+(-0.00918--1.08987))+0--108.3-0.110466000000017</f>
        <v>1529.7380739999999</v>
      </c>
      <c r="R307" s="3">
        <f>2475.5+(9-1113.3)+(-3.787515+(-0.01377--1.703349))+0--108-0.165240000000006</f>
        <v>1476.9368240000001</v>
      </c>
      <c r="S307" s="3">
        <f>2629.8+(9-1263.2)+(1.341198+(0.00459-0.644232))+0--107.9--0.0550289999999891</f>
        <v>1484.2565850000001</v>
      </c>
      <c r="T307" s="3">
        <f>2608.7+(9-1260)+(-3.991311+(-0.01377--1.9278))+0--108.5-0.166005000000006</f>
        <v>1463.9567139999997</v>
      </c>
      <c r="U307" s="3">
        <f>2643+(9-1301.2)+(-1.34793+(-0.00459--0.663612))+0--109.2-0.0556919999999889</f>
        <v>1459.2554</v>
      </c>
      <c r="V307" s="3">
        <f>2717.2+(9-1370)+(-2.771544+(-0.00918--1.3974))+0--109.4-0.111588000000017</f>
        <v>1464.105088</v>
      </c>
      <c r="W307" s="3">
        <f>2795.9+(9-1319.6)+(4.277727+(0.01377-2.018988))+0--110.5--0.169065000000006</f>
        <v>1598.2415740000001</v>
      </c>
      <c r="X307" s="3">
        <f>2763.9+(9-1163.3)+(0+(0-0))+0--111.1-0</f>
        <v>1720.7</v>
      </c>
      <c r="Y307" s="3">
        <f>2767.8+(9-1191.5)+(-4.234734+(-0.01377--1.822995))+0--111.8-0.171054000000006</f>
        <v>1694.5034370000003</v>
      </c>
      <c r="Z307" s="3">
        <f>2793.3+(9-1287)+(-4.273749+(-0.01377--1.96911))+0--111.3-0.170289000000006</f>
        <v>1624.1113020000003</v>
      </c>
      <c r="AA307" s="3">
        <f>2775.6+(9-1297.1)+(-7.07778+(-0.02295--3.307605))+0--112.3-0.286364999999984</f>
        <v>1595.7205100000001</v>
      </c>
      <c r="AB307" s="3">
        <f>2782.5+(9-1365.4)+(-7.095375+(-0.02295--3.48177))+0--111.6-0.284579999999984</f>
        <v>1533.7788649999998</v>
      </c>
      <c r="AC307" s="3">
        <f>2731.8+(13-1416.8)+(-1.393218+(-0.00663--0.722568))+0--110.1-0.0561509999999888</f>
        <v>1437.366569</v>
      </c>
      <c r="AD307">
        <v>1716.1</v>
      </c>
      <c r="AE307" s="3">
        <f>2752+(6-1146.9)+(0+(0-0))+0--105-0</f>
        <v>1716.1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2669.6+(12-1449.4)+(0+(0-0))+0--105-0</f>
        <v>1337.1999999999998</v>
      </c>
      <c r="G308" s="3">
        <f>2607.3+(12-1453.7)+(-1.329723+(-0.00612--0.741387))+0--107-0.0545699999999891</f>
        <v>1271.9509740000001</v>
      </c>
      <c r="H308" s="3">
        <f>2491.9+(12-1391)+(0+(0-0))+0--105-0</f>
        <v>1217.9000000000001</v>
      </c>
      <c r="I308" s="3">
        <f>2443.2+(12-1351.1)+(0+(0-0))+0--106-0</f>
        <v>1210.0999999999999</v>
      </c>
      <c r="J308" s="3">
        <f>2332+(12-1253)+(2.37864+(0.01224-1.27806))+0--106--0.108120000000017</f>
        <v>1198.2209400000002</v>
      </c>
      <c r="K308" s="3">
        <f>2389.9+(12-1291)+(1.218849+(0.00612-0.65841))+0--108--0.055079999999989</f>
        <v>1219.5216390000003</v>
      </c>
      <c r="L308" s="3">
        <f>2414.3+(12-1295.2)+(0+(0-0))+0--108.6-0</f>
        <v>1239.7</v>
      </c>
      <c r="M308" s="3">
        <f>2406.9+(12-1306)+(-2.455038+(-0.01224--1.33212))+0--108.8-0.110976000000017</f>
        <v>1220.4538660000001</v>
      </c>
      <c r="N308" s="3">
        <f>2498.4+(12-1331.6)+(2.548368+(0.01224-1.358232))+0--107.6--0.109752000000017</f>
        <v>1287.7121280000001</v>
      </c>
      <c r="O308" s="3">
        <f>2705.9+(12-1446.4)+(-4.140027+(-0.01836--2.212992))+0--106.9-0.163557000000006</f>
        <v>1376.291048</v>
      </c>
      <c r="P308" s="3">
        <f>2709.5+(12-1411.5)+(-4.145535+(-0.01836--2.159595))+0--106.5-0.162945000000006</f>
        <v>1414.3327549999999</v>
      </c>
      <c r="Q308" s="3">
        <f>2729.6+(9-1422.6)+(-6.96048+(-0.02295--3.62763))+0--104.2-0.265709999999985</f>
        <v>1416.5784900000001</v>
      </c>
      <c r="R308" s="3">
        <f>2616.1+(9-1356.7)+(-2.668422+(-0.00918--1.383834))+0--102.9-0.104958000000016</f>
        <v>1369.9012739999998</v>
      </c>
      <c r="S308" s="3">
        <f>2566.9+(9-1329.3)+(-1.309119+(-0.00459--0.677943))+0--102.6-0.0523259999999896</f>
        <v>1348.5119079999999</v>
      </c>
      <c r="T308" s="3">
        <f>2613.8+(9-1389.2)+(-1.333038+(-0.00459--0.708492))+0--103.9-0.0529889999999895</f>
        <v>1336.8178750000002</v>
      </c>
      <c r="U308" s="3">
        <f>2609.4+(9-1404.5)+(-5.323176+(-0.01836--2.86518))+0--103.2-0.210527999999995</f>
        <v>1314.4131160000002</v>
      </c>
      <c r="V308" s="3">
        <f>2632.2+(9-1420.6)+(-1.342422+(-0.00459--0.724506))+0--103.3-0.0526829999999895</f>
        <v>1323.224811</v>
      </c>
      <c r="W308" s="3">
        <f>2671.8+(9-1317.2)+(0+(0-0))+0--104-0</f>
        <v>1467.6000000000001</v>
      </c>
      <c r="X308" s="3">
        <f>2608.9+(25.2-1106.6)+(1.330539+(0.012852-0.564366))+0--107.1--0.0546209999999891</f>
        <v>1635.4336460000002</v>
      </c>
      <c r="Y308" s="3">
        <f>2626.8+(9-1117.5)+(-2.679336+(-0.00918--1.13985))+0--106.8-0.108936000000017</f>
        <v>1623.4423980000001</v>
      </c>
      <c r="Z308" s="3">
        <f>2638.5+(9-1161.3)+(-2.69127+(-0.00918--1.184526))+0--102.8-0.104856000000016</f>
        <v>1587.37922</v>
      </c>
      <c r="AA308" s="3">
        <f>2643.6+(9-1180.5)+(-4.044708+(-0.01377--1.806165))+0--104.1-0.159273000000006</f>
        <v>1573.7884139999999</v>
      </c>
      <c r="AB308" s="3">
        <f>2645.8+(9-1251)+(-4.048074+(-0.01377--1.91403))+0--104.2-0.159426000000006</f>
        <v>1505.6927600000004</v>
      </c>
      <c r="AC308" s="3">
        <f>2481.9+(12-1185)+(-6.328845+(-0.0306--3.02175))+0--104.1-0.265454999999985</f>
        <v>1409.3968500000001</v>
      </c>
      <c r="AD308">
        <v>1615.5</v>
      </c>
      <c r="AE308" s="3">
        <f>2601+(2.5-1098.5)+(0+(0-0))+0--110.5-0</f>
        <v>1615.5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2409.2+(8-1190.7)+(-6.14346+(-0.0204--3.036285))+0--105-0.267749999999985</f>
        <v>1328.1046749999998</v>
      </c>
      <c r="G309" s="3">
        <f>2265.9+(8-1109.1)+(-4.622436+(-0.01632--2.262564))+0--105.9-0.216035999999995</f>
        <v>1268.1077720000003</v>
      </c>
      <c r="H309" s="3">
        <f>2125.9+(8-1018)+(1.084209+(0.00408-0.51918))+0--107.5--0.0548249999999891</f>
        <v>1224.0239340000001</v>
      </c>
      <c r="I309" s="3">
        <f>2136.9+(7-1042.1)+(2.179638+(0.00714-1.062942))+0--106.8--0.108936000000017</f>
        <v>1209.8327720000002</v>
      </c>
      <c r="J309" s="3">
        <f>2223.3+(7-1119.2)+(1.133883+(0.00357-0.570792))+0--106.4--0.0542639999999892</f>
        <v>1218.1209250000002</v>
      </c>
      <c r="K309" s="3">
        <f>2215.6+(7-1069.1)+(1.129956+(0.00357-0.545241))+0--106--0.0540599999999892</f>
        <v>1260.142345</v>
      </c>
      <c r="L309" s="3">
        <f>2214.5+(6-972.8)+(1.129395+(0.00306-0.496128))+0--106--0.0540599999999892</f>
        <v>1354.3903869999999</v>
      </c>
      <c r="M309" s="3">
        <f>2339.1+(6-1066.7)+(1.192941+(0.00306-0.544017))+0--107.4--0.0547739999999891</f>
        <v>1386.506758</v>
      </c>
      <c r="N309" s="3">
        <f>2478+(6-1112.4)+(-1.26378+(-0.00306--0.567324))+0--106.7-0.0544169999999892</f>
        <v>1477.546067</v>
      </c>
      <c r="O309" s="3">
        <f>2464.8+(7-1040.8)+(3.771144+(0.01071-1.592424))+0--104.8--0.160344000000006</f>
        <v>1538.149774</v>
      </c>
      <c r="P309" s="3">
        <f>2442.1+(7-998.3)+(2.490942+(0.00714-1.018266))+0--104.3--0.106386000000017</f>
        <v>1556.6862019999999</v>
      </c>
      <c r="Q309" s="3">
        <f>2468.8+(3-1019.4)+(2.518176+(0.00306-1.039788))+0--105.7--0.107814000000017</f>
        <v>1559.6892620000001</v>
      </c>
      <c r="R309" s="3">
        <f>2574.8+(3-1156.3)+(-3.939444+(-0.00459--1.769139))+0--106-0.162180000000006</f>
        <v>1525.1629250000001</v>
      </c>
      <c r="S309" s="3">
        <f>2623.7+(3-1210.8)+(-5.352348+(-0.00612--2.470032))+0--105.6-0.215423999999995</f>
        <v>1518.3961399999998</v>
      </c>
      <c r="T309" s="3">
        <f>2599.9+(3-1200.1)+(-1.325949+(-0.00153--0.612051))+0--105.5-0.0538049999999893</f>
        <v>1507.5307670000002</v>
      </c>
      <c r="U309" s="3">
        <f>2546.6+(3-1158.1)+(-3.896298+(-0.00459--1.771893))+0--105.6-0.161568000000006</f>
        <v>1494.8094369999999</v>
      </c>
      <c r="V309" s="3">
        <f>2553.8+(3-1139.5)+(-2.604876+(-0.00306--1.16229))+0--105.4-0.107508000000017</f>
        <v>1521.1468460000003</v>
      </c>
      <c r="W309" s="3">
        <f>2582.9+(4.3-1042.9)+(0+(0-0))+0--104.8-0</f>
        <v>1649.1</v>
      </c>
      <c r="X309" s="3">
        <f>2588.6+(18.2-949.9)+(-5.280744+(-0.037128--1.937796))+0--105-0.214199999999995</f>
        <v>1758.3057240000003</v>
      </c>
      <c r="Y309" s="3">
        <f>2593.1+(3-932.9)+(-6.612405+(-0.00765--2.378895))+0--104.7-0.266984999999985</f>
        <v>1763.3918549999999</v>
      </c>
      <c r="Z309" s="3">
        <f>2421+(18.9-838.5)+(-2.46942+(-0.019278--0.85527))+0--103.7-0.105774000000017</f>
        <v>1703.3607979999999</v>
      </c>
      <c r="AA309" s="3">
        <f>2281.9+(22.6-753.6)+(-1.163769+(-0.011526--0.384336))+0--104-0.0530399999999895</f>
        <v>1654.0560010000002</v>
      </c>
      <c r="AB309" s="3">
        <f>2296.9+(14-833.5)+(-5.857095+(-0.0357--2.125425))+0--105.2-0.268259999999985</f>
        <v>1578.5643700000001</v>
      </c>
      <c r="AC309" s="3">
        <f>2394.1+(6-1033.6)+(-2.441982+(-0.00612--1.054272))+0--105.6-0.107712000000017</f>
        <v>1470.5984579999999</v>
      </c>
      <c r="AD309">
        <v>1733.4</v>
      </c>
      <c r="AE309" s="3">
        <f>2583+(22-979.6)+(0+(0-0))+0--108-0</f>
        <v>1733.4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2402.9+(3-1135)+(-6.127395+(-0.00765--2.89425))+0--150-0.382499999999978</f>
        <v>1417.2767050000002</v>
      </c>
      <c r="G310" s="3">
        <f>2131.2+(3-941.3)+(-2.173824+(-0.00306--0.960126))+0--150-0.153000000000024</f>
        <v>1341.5302419999998</v>
      </c>
      <c r="H310" s="3">
        <f>2126.6+(3-978.5)+(-5.42283+(-0.00765--2.495175))+0--150-0.382499999999978</f>
        <v>1297.782195</v>
      </c>
      <c r="I310" s="3">
        <f>2212+(3-1089.9)+(0+(0-0))+0--150-0</f>
        <v>1275.0999999999999</v>
      </c>
      <c r="J310" s="3">
        <f>2292.9+(3-1172.8)+(1.169379+(0.00153-0.598128))+0--150--0.0764999999999848</f>
        <v>1273.7492810000001</v>
      </c>
      <c r="K310" s="3">
        <f>2278.9+(3-1126.5)+(-1.162239+(-0.00153--0.574515))+0--150-0.0764999999999848</f>
        <v>1304.7342460000002</v>
      </c>
      <c r="L310" s="3">
        <f>2304.4+(3-1127.1)+(-3.525732+(-0.00459--1.724463))+0--110.5-0.169065000000006</f>
        <v>1288.8250760000001</v>
      </c>
      <c r="M310" s="3">
        <f>2329.4+(3-1151.5)+(-2.375988+(-0.00306--1.17453))+2.6--110.8-0.113016000000018</f>
        <v>1292.9824659999999</v>
      </c>
      <c r="N310" s="3">
        <f>2313.9+(4-1068.3)+(-1.180089+(-0.00204--0.544833))+0--110.1-0.0561509999999888</f>
        <v>1359.0065529999999</v>
      </c>
      <c r="O310" s="3">
        <f>2280.2+(21.3-976.9)+(-1.162902+(-0.010863--0.498219))+0--109.8-0.0559979999999889</f>
        <v>1433.6684559999999</v>
      </c>
      <c r="P310" s="3">
        <f>2352.5+(13.7-994.1)+(0+(0-0))+0--109.1-0</f>
        <v>1481.1999999999998</v>
      </c>
      <c r="Q310" s="3">
        <f>2458.3+(0-1085.6)+(-1.253733+(0--0.553656))+0--108.1-0.055130999999989</f>
        <v>1480.0447920000001</v>
      </c>
      <c r="R310" s="3">
        <f>2435.7+(5.9-1085.2)+(-2.484414+(-0.006018--1.106904))+0--107.2-0.109344000000017</f>
        <v>1462.1071279999999</v>
      </c>
      <c r="S310" s="3">
        <f>2420.8+(0-1088.6)+(-4.938432+(0--2.220744))+0--106.4-0.217055999999995</f>
        <v>1435.6652560000005</v>
      </c>
      <c r="T310" s="3">
        <f>2361.6+(4.6-1046.1)+(-2.408832+(-0.004692--1.067022))+0--106.3-0.108426000000017</f>
        <v>1424.9450719999998</v>
      </c>
      <c r="U310" s="3">
        <f>2323.4+(18.9-1028.3)+(1.184934+(0.009639-0.524433))+0--109--0.0555899999999889</f>
        <v>1423.7257299999999</v>
      </c>
      <c r="V310" s="3">
        <f>2401.9+(11.4-1101.8)+(0+(0-0))+0--107.9-0</f>
        <v>1419.4000000000003</v>
      </c>
      <c r="W310" s="3">
        <f>2479.6+(70.4-1099.6)+(6.32298+(0.17952-2.80398))+0--110.3--0.281264999999984</f>
        <v>1564.679785</v>
      </c>
      <c r="X310" s="3">
        <f>2544.7+(119.9-1015.7)+(-3.893391+(-0.183447--1.554021))+0--105.7-0.161721000000006</f>
        <v>1751.9154619999997</v>
      </c>
      <c r="Y310" s="3">
        <f>2585.6+(59.1-1027.3)+(-5.274624+(-0.120564--2.095692))+0--107.1-0.218483999999995</f>
        <v>1720.9820199999999</v>
      </c>
      <c r="Z310" s="3">
        <f>2585.2+(26.4-1041.5)+(-1.318452+(-0.013464--0.531165))+0--108.4-0.055283999999989</f>
        <v>1677.643965</v>
      </c>
      <c r="AA310" s="3">
        <f>2615.2+(11.8-1085.2)+(1.333752+(0.006018-0.553452))+0--107.4--0.0547739999999891</f>
        <v>1650.0410919999997</v>
      </c>
      <c r="AB310" s="3">
        <f>2474.8+(14.2-1030.9)+(-2.524296+(-0.014484--1.051518))+0--107.6-0.109752000000017</f>
        <v>1564.1029859999999</v>
      </c>
      <c r="AC310" s="3">
        <f>2431.8+(4-1073.1)+(-4.960872+(-0.00816--2.189124))+0--108.1-0.220523999999995</f>
        <v>1467.7995680000001</v>
      </c>
      <c r="AD310">
        <v>1730.6</v>
      </c>
      <c r="AE310" s="3">
        <f>2534+(123.7-1031.6)+(0+(0-0))+0--104.5-0</f>
        <v>1730.6000000000001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2445.3+(3-1136.2)+(0+(0-0))+0--108.2-0</f>
        <v>1420.3000000000002</v>
      </c>
      <c r="G311" s="3">
        <f>2444.4+(3-1208)+(-2.493288+(-0.00306--1.23216))+0--108.4-0.110568000000017</f>
        <v>1346.425244</v>
      </c>
      <c r="H311" s="3">
        <f>2438.9+(3-1239.2)+(-1.243839+(-0.00153--0.631992))+0--108.3-0.055232999999989</f>
        <v>1310.3313900000001</v>
      </c>
      <c r="I311" s="3">
        <f>2397.9+(3-1217.8)+(1.222929+(0.00153-0.621078))+0--108.4--0.055283999999989</f>
        <v>1292.1586650000002</v>
      </c>
      <c r="J311" s="3">
        <f>2404.2+(3-1213.4)+(1.226142+(0.00153-0.618834))+0--107.8--0.0549779999999891</f>
        <v>1302.2638159999997</v>
      </c>
      <c r="K311" s="3">
        <f>2465.8+(3-1221.4)+(2.515116+(0.00306-1.245828))+0-0-0</f>
        <v>1248.6723480000001</v>
      </c>
      <c r="L311" s="3">
        <f>2492.2+(4-1184.2)+(1.271022+(0.00204-0.603942))+0--110.2--0.0562019999999888</f>
        <v>1422.9253219999998</v>
      </c>
      <c r="M311" s="3">
        <f>2495.8+(4-1138.3)+(0+(0-0))+0--111.4-0</f>
        <v>1472.9000000000003</v>
      </c>
      <c r="N311" s="3">
        <f>2509.2+(2-1075.5)+(2.559384+(0.00204-1.09701))+0--109.4--0.111588000000017</f>
        <v>1546.6760019999999</v>
      </c>
      <c r="O311" s="3">
        <f>2484.2+(13.6-1007.7)+(2.533884+(0.013872-1.027854))+0--107.9--0.110058000000017</f>
        <v>1599.62996</v>
      </c>
      <c r="P311" s="3">
        <f>2489+(29.7-995.2)+(0+(0-0))+0--107-0</f>
        <v>1630.5</v>
      </c>
      <c r="Q311" s="3">
        <f>2467.5+(15.8-993.9)+(1.258425+(0.008058-0.506889))+0--107.2--0.0546719999999891</f>
        <v>1597.4142660000002</v>
      </c>
      <c r="R311" s="3">
        <f>2484.4+(15.1-976.7)+(-3.801132+(-0.023103--1.494351))+0--107.3-0.164169000000006</f>
        <v>1627.6059470000002</v>
      </c>
      <c r="S311" s="3">
        <f>2510.9+(4.8-1002)+(0+(0-0))+0--107.5-0</f>
        <v>1621.2</v>
      </c>
      <c r="T311" s="3">
        <f>2503.9+(0-1012.3)+(2.553978+(0-1.032546))+0--106.5--0.108630000000017</f>
        <v>1599.7300620000001</v>
      </c>
      <c r="U311" s="3">
        <f>2496.5+(4.5-1008.9)+(-1.273215+(-0.002295--0.514539))+0--105.4-0.0537539999999893</f>
        <v>1596.685275</v>
      </c>
      <c r="V311" s="3">
        <f>2495+(34.2-1025.2)+(0+(0-0))+0--105.5-0</f>
        <v>1609.5</v>
      </c>
      <c r="W311" s="3">
        <f>2465.5+(66.6-909.6)+(1.257405+(0.033966-0.463896))+0--105.6--0.0538559999999893</f>
        <v>1728.981331</v>
      </c>
      <c r="X311" s="3">
        <f>2476.8+(120.4-832.1)+(-2.526336+(-0.122808--0.848742))+0--107.2-0.109344000000017</f>
        <v>1870.3902540000001</v>
      </c>
      <c r="Y311" s="3">
        <f>2489.6+(74.9-838.5)+(-2.539392+(-0.076398--0.85527))+0--106.1-0.108222000000017</f>
        <v>1830.2312579999998</v>
      </c>
      <c r="Z311" s="3">
        <f>2504+(47.1-877.7)+(-2.55408+(-0.048042--0.895254))+0--106.3-0.108426000000017</f>
        <v>1777.8847060000001</v>
      </c>
      <c r="AA311" s="3">
        <f>2508+(35.4-917.2)+(-2.55816+(-0.036108--0.935544))+0--107.4-0.109548000000017</f>
        <v>1731.8317280000001</v>
      </c>
      <c r="AB311" s="3">
        <f>2504.7+(0-948.2)+(-1.277397+(0--0.483582))+0--107.1-0.0546209999999891</f>
        <v>1662.7515639999997</v>
      </c>
      <c r="AC311" s="3">
        <f>2340.3+(0-942.8)+(-4.774212+(0--1.923312))+0--107.1-0.218483999999995</f>
        <v>1501.5306160000002</v>
      </c>
      <c r="AD311">
        <v>1795.4</v>
      </c>
      <c r="AE311" s="3">
        <f>2467+(122.9-901)+(0+(0-0))+0--106.5-0</f>
        <v>1795.4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2323.3+(13-1026.3)+(0+(0-0))+0--107.2-0</f>
        <v>1417.2000000000003</v>
      </c>
      <c r="G312" s="3">
        <f>2258.3+(13-1029.6)+(-1.151733+(-0.00663--0.525096))+0--108.2-0.055181999999989</f>
        <v>1349.2115510000003</v>
      </c>
      <c r="H312" s="3">
        <f>2228.8+(15-1049.7)+(0+(0-0))+0--109.8-0</f>
        <v>1303.9000000000001</v>
      </c>
      <c r="I312" s="3">
        <f>2236.1+(14-1085.3)+(3.421233+(0.02142-1.660509))+0--108.7--0.166311000000006</f>
        <v>1275.448455</v>
      </c>
      <c r="J312" s="3">
        <f>2237.5+(13-1093.1)+(0+(0-0))+0--109.1-0</f>
        <v>1266.5</v>
      </c>
      <c r="K312" s="3">
        <f>2277.3+(13-1103.1)+(6.968538+(0.03978-3.375486))+0--109.3--0.334458000000013</f>
        <v>1300.4672900000003</v>
      </c>
      <c r="L312" s="3">
        <f>2288.7+(13-1035.5)+(1.167237+(0.00663-0.528105))+0--109--0.0555899999999889</f>
        <v>1375.9013519999999</v>
      </c>
      <c r="M312" s="3">
        <f>2337.5+(14.1-1025.2)+(2.38425+(0.014382-1.045704))+0--110.5--0.112710000000018</f>
        <v>1438.3656380000002</v>
      </c>
      <c r="N312" s="3">
        <f>2348.8+(47.9-981.8)+(4.791552+(0.097716-2.002872))+0--110.6--0.225623999999995</f>
        <v>1528.61202</v>
      </c>
      <c r="O312" s="3">
        <f>2320.9+(103.6-943.8)+(4.734636+(0.211344-1.925352))+0--108.1--0.220523999999995</f>
        <v>1592.0411520000002</v>
      </c>
      <c r="P312" s="3">
        <f>2291.5+(210-985.1)+(1.168665+(0.1071-0.502401))+0--106.1--0.0541109999999892</f>
        <v>1623.3274749999998</v>
      </c>
      <c r="Q312" s="3">
        <f>2309.2+(171-984.7)+(0+(0-0))+0--103.8-0</f>
        <v>1599.2999999999997</v>
      </c>
      <c r="R312" s="3">
        <f>2293.8+(113-1008.9)+(-5.84919+(-0.28815--2.572695))+0--103.5-0.263924999999985</f>
        <v>1497.5714300000002</v>
      </c>
      <c r="S312" s="3">
        <f>2284.1+(97.9-1018.6)+(-2.329782+(-0.099858--1.038972))+0--103.6-0.105672000000017</f>
        <v>1465.5036599999999</v>
      </c>
      <c r="T312" s="3">
        <f>2352.1+(65-1117.9)+(2.399142+(0.0663-1.140258))+0--103.6--0.105672000000017</f>
        <v>1404.2308559999997</v>
      </c>
      <c r="U312" s="3">
        <f>2400.5+(52-1122.4)+(0+(0-0))+0--104.3-0</f>
        <v>1434.3999999999999</v>
      </c>
      <c r="V312" s="3">
        <f>2401.9+(69.3-1108.1)+(2.449938+(0.070686-1.130262))+0--104.5--0.106590000000017</f>
        <v>1469.0969520000003</v>
      </c>
      <c r="W312" s="3">
        <f>2292.4+(230.4-1049.5)+(3.507372+(0.352512-1.605735))+0--104.7--0.160191000000006</f>
        <v>1580.4143400000003</v>
      </c>
      <c r="X312" s="3">
        <f>2308.4+(383.2-1050.2)+(-1.177284+(-0.195432--0.535602))+0--104.6-0.0533459999999894</f>
        <v>1745.1095400000002</v>
      </c>
      <c r="Y312" s="3">
        <f>2317+(273-990.3)+(-2.36334+(-0.27846--1.010106))+0--105.1-0.107202000000017</f>
        <v>1703.0611040000001</v>
      </c>
      <c r="Z312" s="3">
        <f>2325.1+(201.9-980.9)+(-2.371602+(-0.205938--1.000518))+0--105.1-0.107202000000017</f>
        <v>1649.515776</v>
      </c>
      <c r="AA312" s="3">
        <f>2377.2+(135.3-1002.9)+(-1.212372+(-0.069003--0.511479))+0--105.5-0.0538049999999893</f>
        <v>1614.2762989999999</v>
      </c>
      <c r="AB312" s="3">
        <f>2442.5+(82.9-1076.8)+(-9.9654+(-0.338232--4.393344))+0--106.3-0.433703999999991</f>
        <v>1548.5560079999998</v>
      </c>
      <c r="AC312" s="3">
        <f>2302.2+(76.4-1018)+(-3.522366+(-0.116892--1.55754))+0--106-0.162180000000006</f>
        <v>1464.356102</v>
      </c>
      <c r="AD312">
        <v>1718.6</v>
      </c>
      <c r="AE312" s="3">
        <f>2298+(417.5-1100.4)+(0+(0-0))+0--103.5-0</f>
        <v>1718.6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2062.9+(68.9-866.4)+(1.052079+(0.035139-0.441864))+0--106--0.0540599999999892</f>
        <v>1372.099414</v>
      </c>
      <c r="G313" s="3">
        <f>1964.1+(59.3-835.9)+(-1.001691+(-0.030243--0.426309))+0--107.9-0.0550289999999891</f>
        <v>1294.7393460000003</v>
      </c>
      <c r="H313" s="3">
        <f>1869.7+(57.2-784.1)+(0+(0-0))+0--107.3-0</f>
        <v>1250.1000000000001</v>
      </c>
      <c r="I313" s="3">
        <f>1843.8+(47-783.9)+(1.880676+(0.04794-0.799578))+0--106.2--0.108324000000017</f>
        <v>1214.3373620000002</v>
      </c>
      <c r="J313" s="3">
        <f>1844.4+(39.2-777.5)+(-3.762576+(-0.079968--1.5861))+0--106.2-0.216647999999995</f>
        <v>1209.826908</v>
      </c>
      <c r="K313" s="3">
        <f>1906.7+(42-827.5)+(-2.917251+(-0.06426--1.266075))+0--106.3-0.162639000000006</f>
        <v>1225.6219250000001</v>
      </c>
      <c r="L313" s="3">
        <f>1939.2+(70.9-855.8)+(-7.911936+(-0.289272--3.491664))+0--108.1-0.441047999999991</f>
        <v>1257.2494080000001</v>
      </c>
      <c r="M313" s="3">
        <f>1802.8+(137.2-784.1)+(-0.919428+(-0.069972--0.399891))+0--109-0.0555899999999889</f>
        <v>1264.254901</v>
      </c>
      <c r="N313" s="3">
        <f>1778.4+(203.8-759)+(0+(0-0))+0--107.8-0</f>
        <v>1331</v>
      </c>
      <c r="O313" s="3">
        <f>1922.7+(253.2-863.4)+(-1.961154+(-0.258264--0.880668))+0--105.9-0.108018000000017</f>
        <v>1416.9532320000001</v>
      </c>
      <c r="P313" s="3">
        <f>2036.1+(270.8-942.7)+(0+(0-0))+0--104.6-0</f>
        <v>1468.7999999999997</v>
      </c>
      <c r="Q313" s="3">
        <f>2165.7+(204.3-1002.4)+(-2.209014+(-0.208386--1.022448))+0--103.8-0.105876000000017</f>
        <v>1469.8991719999997</v>
      </c>
      <c r="R313" s="3">
        <f>2143.3+(173.5-940.4)+(-4.372332+(-0.35394--1.918416))+0--102.2-0.208487999999996</f>
        <v>1475.5836560000002</v>
      </c>
      <c r="S313" s="3">
        <f>2114.6+(143.4-912.6)+(-2.156892+(-0.146268--0.930852))+0--102.7-0.104754000000016</f>
        <v>1446.622938</v>
      </c>
      <c r="T313" s="3">
        <f>1977.2+(173.1-830.1)+(-4.033488+(-0.353124--1.693404))+0--102.7-0.209507999999996</f>
        <v>1419.9972840000003</v>
      </c>
      <c r="U313" s="3">
        <f>1904.4+(163.4-773.9)+(-0.971244+(-0.083334--0.394689))+0--103.4-0.0527339999999895</f>
        <v>1396.5873770000001</v>
      </c>
      <c r="V313" s="3">
        <f>1905.3+(184.4-784.4)+(-2.915109+(-0.282132--1.200132))+0--103.3-0.158049000000006</f>
        <v>1406.4448419999999</v>
      </c>
      <c r="W313" s="3">
        <f>2005.1+(284.9-863.2)+(1.022601+(0.145299-0.440232))+0--103.5--0.0527849999999895</f>
        <v>1531.0804529999998</v>
      </c>
      <c r="X313" s="3">
        <f>2138.8+(394.2-916.1)+(-2.181576+(-0.402084--0.934422))+0--103.8-0.105876000000017</f>
        <v>1718.944886</v>
      </c>
      <c r="Y313" s="3">
        <f>2145.4+(351.7-901.9)+(0+(0-0))+0--103.8-0</f>
        <v>1699</v>
      </c>
      <c r="Z313" s="3">
        <f>2154.6+(325.6-923.8)+(-2.197692+(-0.332112--0.942276))+0--104.4-0.106488000000017</f>
        <v>1659.105984</v>
      </c>
      <c r="AA313" s="3">
        <f>2134.5+(257.2-862.6)+(-2.17719+(-0.262344--0.879852))+0--104.8-0.106896000000017</f>
        <v>1632.2334219999998</v>
      </c>
      <c r="AB313" s="3">
        <f>2080.6+(176.1-804.1)+(-1.061106+(-0.089811--0.410091))+0--105.2-0.0536519999999893</f>
        <v>1557.0055219999999</v>
      </c>
      <c r="AC313" s="3">
        <f>2032+(105.5-835.3)+(-4.14528+(-0.21522--1.704012))+0--105.9-0.216035999999995</f>
        <v>1405.227476</v>
      </c>
      <c r="AD313">
        <v>1692.3999999999999</v>
      </c>
      <c r="AE313" s="3">
        <f>2141+(406.2-958.3)+(0+(0-0))+0--103.5-0</f>
        <v>1692.4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2031.9+(58.6-892.5)+(-5.181345+(-0.14943--2.275875))+0--105.4-0.268769999999985</f>
        <v>1300.0763300000001</v>
      </c>
      <c r="G314" s="3">
        <f>2036.9+(25.8-918.1)+(-2.077638+(-0.026316--0.936462))+0--107-0.109140000000017</f>
        <v>1250.3233679999998</v>
      </c>
      <c r="H314" s="3">
        <f>2040+(13.6-938.4)+(-4.1616+(-0.027744--1.914336))+0--107.7-0.219707999999995</f>
        <v>1220.4052839999999</v>
      </c>
      <c r="I314" s="3">
        <f>1975.1+(14.8-898.7)+(-3.021903+(-0.022644--1.375011))+0--108-0.165240000000006</f>
        <v>1197.3652239999997</v>
      </c>
      <c r="J314" s="3">
        <f>1872.2+(37-823.6)+(1.909644+(0.03774-0.840072))+0--107.3--0.109446000000017</f>
        <v>1194.1167579999999</v>
      </c>
      <c r="K314" s="3">
        <f>1990.1+(23.5-879.7)+(-2.029902+(-0.02397--0.897294))+0--108.4-0.110568000000017</f>
        <v>1241.0328539999998</v>
      </c>
      <c r="L314" s="3">
        <f>2135.2+(81.2-981.6)+(1.088952+(0.041412-0.500616))+0--108.8--0.055487999999989</f>
        <v>1344.2852359999997</v>
      </c>
      <c r="M314" s="3">
        <f>2135.5+(110.1-955.8)+(1.089105+(0.056151-0.487458))+0--109.2--0.0556919999999889</f>
        <v>1399.7134900000001</v>
      </c>
      <c r="N314" s="3">
        <f>2148.6+(115.9-881.4)+(2.191572+(0.118218-0.899028))+0--108.5--0.110670000000017</f>
        <v>1493.1214319999999</v>
      </c>
      <c r="O314" s="3">
        <f>2208.3+(136.3-895.2)+(-1.126233+(-0.069513--0.456552))+0--108.8-0.055487999999989</f>
        <v>1557.4053180000001</v>
      </c>
      <c r="P314" s="3">
        <f>2246.9+(144.4-898.8)+(-2.291838+(-0.147288--0.916776))+0--104.8-0.106896000000017</f>
        <v>1595.670754</v>
      </c>
      <c r="Q314" s="3">
        <f>2376.8+(57.4-890.3)+(-2.424336+(-0.058548--0.908106))+0--100.6-0.102612000000016</f>
        <v>1642.8226100000002</v>
      </c>
      <c r="R314" s="3">
        <f>2318.3+(46.1-943.5)+(-7.093998+(-0.141066--2.88711))+0--98.5-0.301410000000011</f>
        <v>1514.750636</v>
      </c>
      <c r="S314" s="3">
        <f>2288.6+(48.2-901.7)+(-3.501558+(-0.073746--1.379601))+0--97.6-0.149328000000006</f>
        <v>1530.3549689999998</v>
      </c>
      <c r="T314" s="3">
        <f>2104.1+(82.2-775.1)+(-1.073091+(-0.041922--0.395301))+0--95.8-0.0488579999999903</f>
        <v>1506.2314299999998</v>
      </c>
      <c r="U314" s="3">
        <f>2123.6+(50.1-808.2)+(-3.249108+(-0.076653--1.236546))+0--96.8-0.148104000000006</f>
        <v>1460.0626809999999</v>
      </c>
      <c r="V314" s="3">
        <f>2214.9+(41.8-874.8)+(1.129599+(0.021318-0.446148))+0--99.3--0.0506429999999899</f>
        <v>1481.955412</v>
      </c>
      <c r="W314" s="3">
        <f>2378.4+(55.6-918.6)+(-1.212984+(-0.028356--0.468486))+0--102.8-0.0524279999999896</f>
        <v>1617.374718</v>
      </c>
      <c r="X314" s="3">
        <f>2406.4+(166.7-869.3)+(2.454528+(0.170034-0.886686))+0--101.5--0.103530000000016</f>
        <v>1807.1414060000002</v>
      </c>
      <c r="Y314" s="3">
        <f>2403.4+(110.3-859.6)+(-6.12867+(-0.281265--2.19198))+0--103.4-0.263669999999985</f>
        <v>1753.0183749999999</v>
      </c>
      <c r="Z314" s="3">
        <f>2410.4+(61.5-877.8)+(-3.687912+(-0.094095--1.343034))+0--102.9-0.157437000000006</f>
        <v>1694.4035900000001</v>
      </c>
      <c r="AA314" s="3">
        <f>2428.6+(40.7-930.9)+(-8.670102+(-0.145299--3.323313))+0--103.5-0.369495000000001</f>
        <v>1636.0384170000002</v>
      </c>
      <c r="AB314" s="3">
        <f>2399.4+(28.8-983.2)+(-4.894776+(-0.058752--2.005728))+0--103.6-0.211343999999995</f>
        <v>1545.4408559999999</v>
      </c>
      <c r="AC314" s="3">
        <f>2385.1+(19.1-1113.4)+(-6.082005+(-0.048705--2.83917))+0--103.5-0.263924999999985</f>
        <v>1390.7445349999998</v>
      </c>
      <c r="AD314">
        <v>1837</v>
      </c>
      <c r="AE314" s="3">
        <f>2397+(174.1-834.6)+(0+(0-0))+0--100.5-0</f>
        <v>1837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2310.4+(9.6-1137.2)+(0+(0-0))+0--103.7-0</f>
        <v>1286.5</v>
      </c>
      <c r="G315" s="3">
        <f>2163.7+(13.2-1082.5)+(-5.517435+(-0.03366--2.760375))+0--103.4-0.263669999999985</f>
        <v>1194.7456099999999</v>
      </c>
      <c r="H315" s="3">
        <f>2124.3+(8.6-1088.3)+(-3.250179+(-0.013158--1.665099))+0--103.2-0.157896000000006</f>
        <v>1146.0438660000002</v>
      </c>
      <c r="I315" s="3">
        <f>2089.6+(12-1088.1)+(-4.262784+(-0.02448--2.219724))+0--103.6-0.211343999999995</f>
        <v>1114.8211159999998</v>
      </c>
      <c r="J315" s="3">
        <f>2003.4+(11.7-1011.2)+(3.065202+(0.017901-1.547136))+0--104.9--0.160497000000006</f>
        <v>1110.4964640000003</v>
      </c>
      <c r="K315" s="3">
        <f>2022.4+(19-1006)+(-1.031424+(-0.00969--0.51306))+0--106.8-0.0544679999999892</f>
        <v>1141.6174779999999</v>
      </c>
      <c r="L315" s="3">
        <f>2215.6+(26.9-1040.4)+(0+(0-0))+0--105.9-0</f>
        <v>1308</v>
      </c>
      <c r="M315" s="3">
        <f>2355.1+(28.3-1089.6)+(1.201101+(0.014433-0.555696))+0--105--0.0535499999999893</f>
        <v>1399.5133880000001</v>
      </c>
      <c r="N315" s="3">
        <f>2449.2+(35.4-1067.9)+(-3.747276+(-0.054162--1.633887))+0--104.9-0.160497000000006</f>
        <v>1519.2719519999998</v>
      </c>
      <c r="O315" s="3">
        <f>2429.4+(39.7-1004.4)+(-1.238994+(-0.020247--0.512244))+0--103.6-0.0528359999999895</f>
        <v>1567.5001670000001</v>
      </c>
      <c r="P315" s="3">
        <f>2422.9+(42.5-948.6)+(-4.942716+(-0.0867--1.935144))+0--104.6-0.213383999999995</f>
        <v>1618.0923440000001</v>
      </c>
      <c r="Q315" s="3">
        <f>2428.9+(36-961.6)+(-3.716217+(-0.05508--1.471248))+0--104.6-0.160038000000006</f>
        <v>1605.4399130000002</v>
      </c>
      <c r="R315" s="3">
        <f>2420.4+(29.4-1038.9)+(-8.640828+(-0.104958--3.708873))+0--101.9-0.363783000000001</f>
        <v>1507.3993040000003</v>
      </c>
      <c r="S315" s="3">
        <f>2437.1+(29-1033)+(-3.728763+(-0.04437--1.58049))+0--101.8-0.155754000000006</f>
        <v>1532.5516029999997</v>
      </c>
      <c r="T315" s="3">
        <f>2426.1+(34.2-1049.1)+(-1.237311+(-0.017442--0.535041))+0--102.5-0.0522749999999896</f>
        <v>1512.928013</v>
      </c>
      <c r="U315" s="3">
        <f>2429.4+(30.2-1053.2)+(1.238994+(0.015402-0.537132))+0--103.4--0.0527339999999895</f>
        <v>1510.5699980000002</v>
      </c>
      <c r="V315" s="3">
        <f>2432.2+(28.5-1057.6)+(-2.480844+(-0.02907--1.078752))+0--103.4-0.105468000000016</f>
        <v>1504.9633699999999</v>
      </c>
      <c r="W315" s="3">
        <f>2443.6+(43.2-973.1)+(0+(0-0))+0--103.6-0</f>
        <v>1617.2999999999997</v>
      </c>
      <c r="X315" s="3">
        <f>2455.1+(194.6-951.9)+(-1.252101+(-0.099246--0.485469))+0--103.4-0.0527339999999895</f>
        <v>1800.2813879999999</v>
      </c>
      <c r="Y315" s="3">
        <f>2456+(116.6-915.9)+(-3.75768+(-0.178398--1.401327))+0--103.5-0.158355000000006</f>
        <v>1757.5068940000001</v>
      </c>
      <c r="Z315" s="3">
        <f>2457.3+(57.7-905.1)+(-6.266115+(-0.147135--2.308005))+0--103.9-0.264944999999985</f>
        <v>1709.4298100000003</v>
      </c>
      <c r="AA315" s="3">
        <f>2463.3+(50-957.7)+(-5.025132+(-0.102--1.953708))+0--104.7-0.213587999999995</f>
        <v>1656.912988</v>
      </c>
      <c r="AB315" s="3">
        <f>2466+(33.6-1015.7)+(-6.2883+(-0.08568--2.590035))+0--105.1-0.268004999999985</f>
        <v>1584.9480500000002</v>
      </c>
      <c r="AC315" s="3">
        <f>2434.1+(18.2-1078.5)+(-4.965564+(-0.037128--2.20014))+0--107.3-0.218891999999995</f>
        <v>1478.0785559999997</v>
      </c>
      <c r="AD315">
        <v>1830</v>
      </c>
      <c r="AE315" s="3">
        <f>2447+(224.5-944)+(0+(0-0))+0--102.5-0</f>
        <v>1830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2369.3+(8.7-1044.9)+(-4.833372+(-0.017748--2.131596))+0-0-0</f>
        <v>1330.380476</v>
      </c>
      <c r="G316" s="3">
        <f>1983.2+(23.2-759.9)+(-5.05716+(-0.05916--1.937745))+0--106.2-0.270809999999985</f>
        <v>1349.2506150000002</v>
      </c>
      <c r="H316" s="3">
        <f>1739.5+(37.9-596.7)+(-2.661435+(-0.057987--0.912951))+0--106.4-0.162792000000006</f>
        <v>1285.1307369999997</v>
      </c>
      <c r="I316" s="3">
        <f>1760.3+(29.2-620.5)+(-0.897753+(-0.014892--0.316455))+0--106.8-0.0544679999999892</f>
        <v>1275.1493419999999</v>
      </c>
      <c r="J316" s="3">
        <f>1765.4+(29.3-613)+(-3.601416+(-0.059772--1.25052))+0--106.8-0.217871999999995</f>
        <v>1285.8714600000001</v>
      </c>
      <c r="K316" s="3">
        <f>1808.6+(28.2-628.3)+(0+(0-0))+0--109.3-0</f>
        <v>1317.8</v>
      </c>
      <c r="L316" s="3">
        <f>1894.8+(50.5-694.1)+(-1.932696+(-0.05151--0.707982))+0--109.1-0.111282000000017</f>
        <v>1358.9124939999997</v>
      </c>
      <c r="M316" s="3">
        <f>2074.2+(33.2-894.8)+(3.173526+(0.050796-1.369044))+0--109.7--0.167841000000006</f>
        <v>1324.3231189999999</v>
      </c>
      <c r="N316" s="3">
        <f>2260.1+(42.3-911.6)+(0+(0-0))+0--110.4-0</f>
        <v>1501.1999999999998</v>
      </c>
      <c r="O316" s="3">
        <f>2238.8+(53-826.6)+(0+(0-0))+0--106.1-0</f>
        <v>1571.3000000000002</v>
      </c>
      <c r="P316" s="3">
        <f>2224.3+(53.7-727.2)+(-3.403179+(-0.082161--1.112616))+0--105.5-0.161415000000006</f>
        <v>1653.7658610000001</v>
      </c>
      <c r="Q316" s="3">
        <f>2295.6+(51.3-889)+(-2.341512+(-0.052326--0.90678))+0--103.4-0.105468000000016</f>
        <v>1559.707474</v>
      </c>
      <c r="R316" s="3">
        <f>2271.3+(43.8-883.4)+(-4.633452+(-0.089352--1.802136))+0--103.8-0.211751999999995</f>
        <v>1532.3675800000003</v>
      </c>
      <c r="S316" s="3">
        <f>2257.6+(53-883.4)+(-5.75688+(-0.13515--2.25267))+0--104.4-0.266219999999985</f>
        <v>1527.69442</v>
      </c>
      <c r="T316" s="3">
        <f>2258.1+(41.8-895.8)+(2.303262+(0.042636-0.913716))+0--103.6--0.105672000000017</f>
        <v>1509.2378539999997</v>
      </c>
      <c r="U316" s="3">
        <f>2305.1+(36.9-965.7)+(0+(0-0))+0--101.3-0</f>
        <v>1477.5999999999997</v>
      </c>
      <c r="V316" s="3">
        <f>2380.5+(36.8-1016.9)+(-2.42811+(-0.037536--1.037238))+0--101.6-0.103632000000016</f>
        <v>1500.4679599999999</v>
      </c>
      <c r="W316" s="3">
        <f>2388.5+(54-932.6)+(2.43627+(0.05508-0.951252))+0--103.1--0.105162000000016</f>
        <v>1614.64526</v>
      </c>
      <c r="X316" s="3">
        <f>2372.8+(241.8-921.7)+(-4.840512+(-0.493272--1.880268))+0--102-0.208079999999996</f>
        <v>1791.2384039999999</v>
      </c>
      <c r="Y316" s="3">
        <f>2380.8+(170.7-881.8)+(-4.856832+(-0.348228--1.798872))+0--102.8-0.209711999999996</f>
        <v>1768.8841000000002</v>
      </c>
      <c r="Z316" s="3">
        <f>2341.8+(100-826.5)+(-2.388636+(-0.102--0.84303))+0--103-0.105060000000016</f>
        <v>1716.5473340000001</v>
      </c>
      <c r="AA316" s="3">
        <f>2307.1+(76.7-817)+(-2.353242+(-0.078234--0.83334))+0--103.8-0.105876000000017</f>
        <v>1668.8959879999998</v>
      </c>
      <c r="AB316" s="3">
        <f>2311.3+(38.4-860.4)+(-3.536289+(-0.058752--1.316412))+0--104.4-0.159732000000006</f>
        <v>1591.2616390000003</v>
      </c>
      <c r="AC316" s="3">
        <f>2221.4+(9.4-841.2)+(-5.66457+(-0.02397--2.14506))+0--105.3-0.268514999999985</f>
        <v>1491.0880049999998</v>
      </c>
      <c r="AD316">
        <v>1811.8000000000002</v>
      </c>
      <c r="AE316" s="3">
        <f>2362+(246.4-898.6)+(0+(0-0))+0--102-0</f>
        <v>1811.8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2186.9+(4-895.6)+(-4.461276+(-0.00816--1.827024))+0--107-0.218279999999995</f>
        <v>1399.4393080000002</v>
      </c>
      <c r="G317" s="3">
        <f>2191.7+(3-969.6)+(-3.353301+(-0.00459--1.483488))+0--106.7-0.163251000000006</f>
        <v>1329.762346</v>
      </c>
      <c r="H317" s="3">
        <f>2090+(3-904.1)+(-5.3295+(-0.00765--2.305455))+0--106.3-0.271064999999985</f>
        <v>1291.8972400000002</v>
      </c>
      <c r="I317" s="3">
        <f>1853.4+(4-700.4)+(-0.945234+(-0.00204--0.357204))+0--107.9-0.0550289999999891</f>
        <v>1264.2549010000002</v>
      </c>
      <c r="J317" s="3">
        <f>1830.2+(10.2-689.7)+(0+(0-0))+0--108.8-0</f>
        <v>1259.5</v>
      </c>
      <c r="K317" s="3">
        <f>1826.7+(30.9-675.9)+(-0.931617+(-0.015759--0.344709))+0--108.4-0.055283999999989</f>
        <v>1289.442049</v>
      </c>
      <c r="L317" s="3">
        <f>1953.8+(60.1-748.1)+(-1.992876+(-0.061302--0.763062))+0--110.2-0.112404000000018</f>
        <v>1374.5964799999999</v>
      </c>
      <c r="M317" s="3">
        <f>2124.9+(45.3-826.6)+(2.167398+(0.046206-0.843132))+0--107.7--0.109854000000017</f>
        <v>1452.7803260000001</v>
      </c>
      <c r="N317" s="3">
        <f>2312.8+(42.8-934.2)+(2.359056+(0.043656-0.952884))+0--108.4--0.110568000000017</f>
        <v>1531.3603960000003</v>
      </c>
      <c r="O317" s="3">
        <f>2314.4+(62-867.5)+(2.360688+(0.06324-0.88485))+0--105--0.107100000000017</f>
        <v>1615.5461780000001</v>
      </c>
      <c r="P317" s="3">
        <f>2321.5+(82.2-854)+(0+(0-0))+0--102.9-0</f>
        <v>1652.6000000000001</v>
      </c>
      <c r="Q317" s="3">
        <f>2404.2+(57.1-900)+(1.226142+(0.029121-0.459))+0--101.3--0.0516629999999897</f>
        <v>1663.4479259999996</v>
      </c>
      <c r="R317" s="3">
        <f>2430.1+(30.9-966.7)+(-3.718053+(-0.047277--1.479051))+0--100.6-0.153918000000006</f>
        <v>1592.4598029999997</v>
      </c>
      <c r="S317" s="3">
        <f>2403.5+(25-942.9)+(-2.45157+(-0.0255--0.961758))+0--99.8-0.101796000000016</f>
        <v>1583.7828919999999</v>
      </c>
      <c r="T317" s="3">
        <f>2407.3+(5-958.6)+(1.227723+(0.00255-0.488886))+0--99.2--0.0505919999999899</f>
        <v>1553.6919790000004</v>
      </c>
      <c r="U317" s="3">
        <f>2368+(34.6-927.2)+(-6.0384+(-0.08823--2.36436))+0--99.4-0.253469999999986</f>
        <v>1570.7842600000004</v>
      </c>
      <c r="V317" s="3">
        <f>2404.8+(44.7-943)+(0+(0-0))+0--101.4-0</f>
        <v>1607.9000000000003</v>
      </c>
      <c r="W317" s="3">
        <f>2476.8+(119.2-962.2)+(-2.526336+(-0.121584--0.981444))+0--100.9-0.102918000000016</f>
        <v>1732.9306060000001</v>
      </c>
      <c r="X317" s="3">
        <f>2504.1+(164.8-911.7)+(-1.277091+(-0.084048--0.464967))+0--103.2-0.0526319999999895</f>
        <v>1859.451196</v>
      </c>
      <c r="Y317" s="3">
        <f>2426+(147.8-871.2)+(-3.71178+(-0.226134--1.332936))+0--103.5-0.158355000000006</f>
        <v>1803.3366669999998</v>
      </c>
      <c r="Z317" s="3">
        <f>2319.3+(128.7-818.1)+(-4.731372+(-0.262548--1.668924))+0--102.6-0.209303999999996</f>
        <v>1728.9657</v>
      </c>
      <c r="AA317" s="3">
        <f>2370.5+(57.7-841.1)+(-4.83582+(-0.117708--1.715844))+0--104.6-0.213383999999995</f>
        <v>1688.248932</v>
      </c>
      <c r="AB317" s="3">
        <f>2329.9+(34.5-861.5)+(-3.564747+(-0.052785--1.318095))+0--104.3-0.159579000000006</f>
        <v>1604.7409840000003</v>
      </c>
      <c r="AC317" s="3">
        <f>2164.1+(9.5-812.6)+(-3.311073+(-0.014535--1.243278))+0--103.5-0.158355000000006</f>
        <v>1462.259315</v>
      </c>
      <c r="AD317">
        <v>1819.9</v>
      </c>
      <c r="AE317" s="3">
        <f>2493+(167.5-943.6)+(0+(0-0))+0--103-0</f>
        <v>1819.9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2102+(15-846.3)+(0+(0-0))+0--104-0</f>
        <v>1374.7</v>
      </c>
      <c r="G318" s="3">
        <f>2066.8+(15-876.4)+(0+(0-0))+0--104-0</f>
        <v>1309.4000000000001</v>
      </c>
      <c r="H318" s="3">
        <f>1812.2+(39-683.2)+(0.924222+(0.01989-0.348432))+0--104--0.0530399999999895</f>
        <v>1272.6487199999999</v>
      </c>
      <c r="I318" s="3">
        <f>1776.5+(40.2-676)+(0+(0-0))+0--104-0</f>
        <v>1244.7</v>
      </c>
      <c r="J318" s="3">
        <f>1780.5+(48.2-694.1)+(0+(0-0))+0--98.9-0</f>
        <v>1233.5</v>
      </c>
      <c r="K318" s="3">
        <f>1795.4+(49.9-674.5)+(1.831308+(0.050898-0.68799))+0--104--0.106080000000017</f>
        <v>1276.1002960000003</v>
      </c>
      <c r="L318" s="3">
        <f>2043.5+(71.2-854.6)+(-2.08437+(-0.072624--0.871692))+0--101-0.103020000000016</f>
        <v>1359.7116779999999</v>
      </c>
      <c r="M318" s="3">
        <f>2128.9+(65.4-884.1)+(0+(0-0))+2.4--101.5-0</f>
        <v>1414.1000000000001</v>
      </c>
      <c r="N318" s="3">
        <f>2292.2+(52.9-946.5)+(3.507066+(0.080937-1.448145))+0--101.3--0.154989000000006</f>
        <v>1502.194847</v>
      </c>
      <c r="O318" s="3">
        <f>2288.6+(54-849.3)+(-1.167186+(-0.02754--0.433143))+0--99.5-0.0507449999999899</f>
        <v>1591.987672</v>
      </c>
      <c r="P318" s="3">
        <f>2276.3+(62.3-830.3)+(2.321826+(0.063546-0.846906))+0--98.8--0.100776000000016</f>
        <v>1608.7392420000001</v>
      </c>
      <c r="Q318" s="3">
        <f>2273.4+(65.1-821.2)+(-4.637736+(-0.132804--1.675248))+0--99.2-0.202367999999996</f>
        <v>1613.2023400000003</v>
      </c>
      <c r="R318" s="3">
        <f>2271.4+(44.2-873.7)+(-4.633656+(-0.090168--1.782348))+0--99-0.201959999999996</f>
        <v>1537.756564</v>
      </c>
      <c r="S318" s="3">
        <f>2237.9+(41.5-836.6)+(-2.282658+(-0.04233--0.853332))+0--98.8-0.100776000000016</f>
        <v>1540.0275680000002</v>
      </c>
      <c r="T318" s="3">
        <f>2111.3+(32-751.5)+(-2.153526+(-0.03264--0.76653))+0--99.8-0.101796000000016</f>
        <v>1490.0785680000001</v>
      </c>
      <c r="U318" s="3">
        <f>2109.3+(20.2-749.2)+(0+(0-0))+0.8--99.7-0</f>
        <v>1480.8000000000002</v>
      </c>
      <c r="V318" s="3">
        <f>2135.8+(14.2-738.9)+(-2.178516+(-0.014484--0.753678))+0--99.9-0.101898000000016</f>
        <v>1509.4587800000004</v>
      </c>
      <c r="W318" s="3">
        <f>2185.6+(40.6-727.7)+(0+(0-0))+0--99.2-0</f>
        <v>1597.7</v>
      </c>
      <c r="X318" s="3">
        <f>2184.8+(106-691.5)+(-3.342744+(-0.16218--1.057995))+0--99.5-0.152235000000006</f>
        <v>1696.2008360000002</v>
      </c>
      <c r="Y318" s="3">
        <f>2181.4+(71.8-706.5)+(-1.112514+(-0.036618--0.360315))+0--99.5-0.0507449999999899</f>
        <v>1645.3604379999999</v>
      </c>
      <c r="Z318" s="3">
        <f>2169.5+(40.9-709.7)+(-2.21289+(-0.041718--0.723894))+0--98.5-0.100470000000016</f>
        <v>1597.5688159999997</v>
      </c>
      <c r="AA318" s="3">
        <f>2057.6+(36.8-641.2)+(-2.098752+(-0.037536--0.654024))+0--98.2-0.100164000000016</f>
        <v>1549.8175719999999</v>
      </c>
      <c r="AB318" s="3">
        <f>2026.6+(18.8-662.6)+(-2.067132+(-0.019176--0.675852))+0--97.5-0.0994500000000155</f>
        <v>1478.7900939999997</v>
      </c>
      <c r="AC318" s="3">
        <f>1892.4+(23.4-617.4)+(-2.895372+(-0.035802--0.944622))+0--97.3-0.148869000000006</f>
        <v>1393.5645789999999</v>
      </c>
      <c r="AD318">
        <v>1731.2000000000003</v>
      </c>
      <c r="AE318" s="3">
        <f>2185+(125.3-678.1)+(0+(0-0))+0--99-0</f>
        <v>1731.1999999999998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1705.6+(18.2-518.1)+(-3.479424+(-0.037128--1.056924))+0--95-0.193799999999996</f>
        <v>1298.0465719999997</v>
      </c>
      <c r="G319" s="3">
        <f>1527.9+(10.6-396.7)+(-3.896145+(-0.02703--1.011585))+0--98.2-0.250409999999986</f>
        <v>1236.8380000000004</v>
      </c>
      <c r="H319" s="3">
        <f>1435.7+(10-354.4)+(-0.732207+(-0.0051--0.180744))+0--96-0.0489599999999903</f>
        <v>1186.694477</v>
      </c>
      <c r="I319" s="3">
        <f>1432.7+(13-380.2)+(0+(0-0))+0--94-0</f>
        <v>1159.5</v>
      </c>
      <c r="J319" s="3">
        <f>1507.5+(7-456.1)+(0+(0-0))+0--96-0</f>
        <v>1154.4000000000001</v>
      </c>
      <c r="K319" s="3">
        <f>1560.2+(6-491.2)+(-0.795702+(-0.00306--0.250512))+0--95-0.0484499999999904</f>
        <v>1169.4032999999999</v>
      </c>
      <c r="L319" s="3">
        <f>1561.6+(6-438.4)+(-1.592832+(-0.00612--0.447168))+0--98.4-0.100368000000016</f>
        <v>1226.3478479999999</v>
      </c>
      <c r="M319" s="3">
        <f>1599+(23.6-431.5)+(-1.63098+(-0.024072--0.44013))+0--99-0.100980000000016</f>
        <v>1288.7840980000001</v>
      </c>
      <c r="N319" s="3">
        <f>1714.4+(46-495.4)+(0+(0-0))+0--99.6-0</f>
        <v>1364.6</v>
      </c>
      <c r="O319" s="3">
        <f>1819.3+(44-538.9)+(0+(0-0))+0--100-0</f>
        <v>1424.4</v>
      </c>
      <c r="P319" s="3">
        <f>1946.5+(34-620.2)+(0.992715+(0.01734-0.316302))+0--100.4--0.0512039999999898</f>
        <v>1461.4449570000002</v>
      </c>
      <c r="Q319" s="3">
        <f>1998+(57-734.8)+(-5.0949+(-0.14535--1.87374))+0--100.8-0.257039999999985</f>
        <v>1417.37645</v>
      </c>
      <c r="R319" s="3">
        <f>1941.7+(1-701.6)+(-4.951335+(-0.00255--1.78908))+0--100.6-0.256529999999985</f>
        <v>1338.278665</v>
      </c>
      <c r="S319" s="3">
        <f>1904.2+(13-671.6)+(-3.884568+(-0.02652--1.370064))+0--101-0.206039999999996</f>
        <v>1343.8529359999998</v>
      </c>
      <c r="T319" s="3">
        <f>1905.5+(0-724.1)+(-1.94361+(0--0.738582))+0--100.6-0.102612000000016</f>
        <v>1280.69236</v>
      </c>
      <c r="U319" s="3">
        <f>1919.8+(0-739.2)+(-2.937294+(0--1.130976))+0--100.6-0.153918000000006</f>
        <v>1279.2397639999999</v>
      </c>
      <c r="V319" s="3">
        <f>1842.6+(0-701.9)+(0.939726+(0-0.357969))+0--101.2--0.0516119999999897</f>
        <v>1242.5333689999998</v>
      </c>
      <c r="W319" s="3">
        <f>2001.6+(42-731.5)+(1.020816+(0.02142-0.373065))+0--102.2--0.0521219999999896</f>
        <v>1415.021293</v>
      </c>
      <c r="X319" s="3">
        <f>2075+(42.6-650.5)+(-2.1165+(-0.043452--0.66351))+0--102.4-0.104448000000016</f>
        <v>1567.8991100000001</v>
      </c>
      <c r="Y319" s="3">
        <f>1980.6+(86-581.3)+(-3.030318+(-0.13158--0.889389))+0--102.8-0.157284000000006</f>
        <v>1585.6702069999999</v>
      </c>
      <c r="Z319" s="3">
        <f>1745.3+(155.4-498.4)+(0+(0-0))+0--103.8-0</f>
        <v>1506.1</v>
      </c>
      <c r="AA319" s="3">
        <f>1702+(121.8-449.5)+(-0.86802+(-0.062118--0.229245))+0--104.3-0.0531929999999894</f>
        <v>1477.845914</v>
      </c>
      <c r="AB319" s="3">
        <f>1685+(76-490.8)+(0.85935+(0.03876-0.250308))+0--104.3--0.0531929999999894</f>
        <v>1375.2009949999999</v>
      </c>
      <c r="AC319" s="3">
        <f>1715.1+(32.5-527.7)+(-4.373505+(-0.082875--1.345635))+0--104.9-0.267494999999985</f>
        <v>1321.4217599999999</v>
      </c>
      <c r="AD319">
        <v>1544.7000000000003</v>
      </c>
      <c r="AE319" s="3">
        <f>2070+(33.8-661.6)+(0+(0-0))+0--102.5-0</f>
        <v>1544.6999999999998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1702.9+(8-574.7)+(0+(0-0))+0--105-0</f>
        <v>1241.2</v>
      </c>
      <c r="G320" s="3">
        <f>1552.5+(8-480.7)+(1.58355+(0.00816-0.490314))+0--105--0.107100000000017</f>
        <v>1186.0084959999999</v>
      </c>
      <c r="H320" s="3">
        <f>1507.7+(9-456.9)+(-0.768927+(-0.00459--0.233019))+0--105.8-0.0539579999999893</f>
        <v>1165.0055440000001</v>
      </c>
      <c r="I320" s="3">
        <f>1421.6+(10-411.7)+(-1.450032+(-0.0102--0.419934))+0--106.1-0.108222000000017</f>
        <v>1124.8514799999998</v>
      </c>
      <c r="J320" s="3">
        <f>1437.7+(10-419.3)+(1.466454+(0.0102-0.427686))+0--105.6--0.107712000000017</f>
        <v>1135.1566800000001</v>
      </c>
      <c r="K320" s="3">
        <f>1439.1+(10-431.1)+(0.733941+(0.0051-0.219861))+0--106.1--0.0541109999999892</f>
        <v>1124.6732909999998</v>
      </c>
      <c r="L320" s="3">
        <f>1385.4+(48-393.1)+(-5.652432+(-0.19584--1.603848))+0--107.1-0.436967999999991</f>
        <v>1142.7186080000001</v>
      </c>
      <c r="M320" s="3">
        <f>1273.7+(84-340.7)+(0+(0-0))+0--107.2-0</f>
        <v>1124.2</v>
      </c>
      <c r="N320" s="3">
        <f>1292.8+(127.7-340.8)+(-0.659328+(-0.065127--0.173808))+0--107-0.0545699999999891</f>
        <v>1186.0947829999998</v>
      </c>
      <c r="O320" s="3">
        <f>1440.1+(180.6-484.6)+(0.734451+(0.092106-0.247146))+0--106.9--0.0545189999999892</f>
        <v>1243.63393</v>
      </c>
      <c r="P320" s="3">
        <f>1567.2+(173.6-551)+(0+(0-0))+0--106.4-0</f>
        <v>1296.2000000000003</v>
      </c>
      <c r="Q320" s="3">
        <f>1624.3+(143.9-564.5)+(0+(0-0))+0--106-0</f>
        <v>1309.6999999999998</v>
      </c>
      <c r="R320" s="3">
        <f>1635.8+(82.3-556.2)+(-1.668516+(-0.083946--0.567324))+0--105.8-0.107916000000017</f>
        <v>1266.4069459999998</v>
      </c>
      <c r="S320" s="3">
        <f>1635.2+(43-558.1)+(-1.667904+(-0.04386--0.569262))+1.5--104.7-0.106794000000017</f>
        <v>1225.050704</v>
      </c>
      <c r="T320" s="3">
        <f>1736.5+(68-654.9)+(-3.54246+(-0.13872--1.335996))+0--104.1-0.212363999999995</f>
        <v>1251.1424519999998</v>
      </c>
      <c r="U320" s="3">
        <f>1705+(60-635.6)+(-0.86955+(-0.0306--0.324156))+0--104-0.0530399999999895</f>
        <v>1232.770966</v>
      </c>
      <c r="V320" s="3">
        <f>1724.8+(42-646.2)+(1.759296+(0.04284-0.659124))+0--104.4--0.106488000000017</f>
        <v>1226.2495000000001</v>
      </c>
      <c r="W320" s="3">
        <f>1840.7+(117-663.7)+(0+(0-0))+0--104.8-0</f>
        <v>1398.8</v>
      </c>
      <c r="X320" s="3">
        <f>1856.2+(231.5-628.8)+(-0.946662+(-0.118065--0.320688))+0--104.5-0.0532949999999894</f>
        <v>1562.6026660000002</v>
      </c>
      <c r="Y320" s="3">
        <f>1861+(196.7-609.2)+(-0.94911+(-0.100317--0.310692))+0--104.8-0.0534479999999894</f>
        <v>1552.5078170000002</v>
      </c>
      <c r="Z320" s="3">
        <f>1863.5+(132.8-582.3)+(0+(0-0))+0--105.3-0</f>
        <v>1519.3</v>
      </c>
      <c r="AA320" s="3">
        <f>1867.7+(71-531.6)+(-1.905054+(-0.07242--0.542232))+0--105.9-0.108018000000017</f>
        <v>1511.4567399999999</v>
      </c>
      <c r="AB320" s="3">
        <f>1871.2+(27-577.9)+(-0.954312+(-0.01377--0.294729))+0--106.6-0.0543659999999892</f>
        <v>1426.1722810000001</v>
      </c>
      <c r="AC320" s="3">
        <f>1775.5+(27-545)+(-0.905505+(-0.01377--0.27795))+0--106.6-0.0543659999999892</f>
        <v>1363.4043089999998</v>
      </c>
      <c r="AD320">
        <v>1637.9999999999998</v>
      </c>
      <c r="AE320" s="3">
        <f>1849+(256.7-572.2)+(0+(0-0))+0--104.5-0</f>
        <v>1638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1724.4+(6-562.1)+(-2.638332+(-0.00918--0.860013))+0--106.4-0.162792000000006</f>
        <v>1272.7497090000002</v>
      </c>
      <c r="G321" s="3">
        <f>1735+(5-644.7)+(2.65455+(0.00765-0.986391))+0--106.7--0.163251000000006</f>
        <v>1203.83906</v>
      </c>
      <c r="H321" s="3">
        <f>1687.8+(10-629.1)+(-2.582334+(-0.0153--0.962523))+0--107.6-0.164628000000006</f>
        <v>1174.5002609999997</v>
      </c>
      <c r="I321" s="3">
        <f>1566.7+(10-522)+(3.196068+(0.0204-1.06488))+0--108--0.220319999999995</f>
        <v>1165.0719079999999</v>
      </c>
      <c r="J321" s="3">
        <f>1556.5+(11-504.4)+(-0.793815+(-0.00561--0.257244))+0--108-0.055079999999989</f>
        <v>1170.5027389999998</v>
      </c>
      <c r="K321" s="3">
        <f>1559.7+(31-485)+(-2.386341+(-0.04743--0.74205))+0--108.3-0.165699000000006</f>
        <v>1212.1425800000002</v>
      </c>
      <c r="L321" s="3">
        <f>1504.4+(91-406.5)+(-0.767244+(-0.04641--0.207315))+0--110.7-0.0564569999999888</f>
        <v>1298.9372040000003</v>
      </c>
      <c r="M321" s="3">
        <f>1621.6+(82-498.3)+(-0.827016+(-0.04182--0.254133))+0--109.8-0.0559979999999889</f>
        <v>1314.4292989999999</v>
      </c>
      <c r="N321" s="3">
        <f>1853.5+(68-614.5)+(0+(0-0))+0--110.1-0</f>
        <v>1417.1</v>
      </c>
      <c r="O321" s="3">
        <f>1861.3+(82.2-583.2)+(1.898526+(0.083844-0.594864))+0--104.5--0.106590000000017</f>
        <v>1466.2940960000001</v>
      </c>
      <c r="P321" s="3">
        <f>1829.3+(147.3-623.5)+(0+(0-0))+0--101.5-0</f>
        <v>1454.6</v>
      </c>
      <c r="Q321" s="3">
        <f>1864.6+(139.9-629.3)+(0+(0-0))+0--100.1-0</f>
        <v>1475.2999999999997</v>
      </c>
      <c r="R321" s="3">
        <f>1847.8+(144-677.9)+(0+(0-0))+0-0-0</f>
        <v>1313.9</v>
      </c>
      <c r="S321" s="3">
        <f>1818+(159.1-698.5)+(-1.85436+(-0.162282--0.71247))+0-0-0</f>
        <v>1277.2958279999998</v>
      </c>
      <c r="T321" s="3">
        <f>1707.9+(173.5-703.6)+(-1.742058+(-0.17697--0.717672))+0-0-0</f>
        <v>1176.5986440000001</v>
      </c>
      <c r="U321" s="3">
        <f>1615.4+(210.4-623.5)+(0.823854+(0.107304-0.317985))+0-0-0</f>
        <v>1202.9131730000001</v>
      </c>
      <c r="V321" s="3">
        <f>1685.3+(239.4-620.8)+(-0.859503+(-0.122094--0.316608))+0--98.9-0.05043899999999</f>
        <v>1402.084572</v>
      </c>
      <c r="W321" s="3">
        <f>1742.7+(271.4-657.8)+(0+(0-0))+0--140.8-0</f>
        <v>1497.1000000000001</v>
      </c>
      <c r="X321" s="3">
        <f>2185.9+(132.8-815.6)+(-3.344427+(-0.203184--1.247868))+0--246.8-0.377604000000014</f>
        <v>1747.222653</v>
      </c>
      <c r="Y321" s="3">
        <f>2157.4+(129.2-793.9)+(-2.200548+(-0.131784--0.809778))+0--248.7-0.25367400000004</f>
        <v>1739.6237720000001</v>
      </c>
      <c r="Z321" s="3">
        <f>1977.3+(156-698.1)+(-4.033692+(-0.31824--1.424124))+0--250.1-0.510203999999989</f>
        <v>1681.8619879999999</v>
      </c>
      <c r="AA321" s="3">
        <f>1972.9+(107-702.8)+(1.006179+(0.05457-0.358428))+0--250.8--0.127907999999975</f>
        <v>1628.730229</v>
      </c>
      <c r="AB321" s="3">
        <f>1972+(85-744.5)+(1.00572+(0.04335-0.379695))+0--251.6--0.128315999999974</f>
        <v>1564.8976909999999</v>
      </c>
      <c r="AC321" s="3">
        <f>1939.1+(63-794.9)+(-2.966823+(-0.09639--1.216197))+0--251.5-0.384795000000015</f>
        <v>1456.4681889999999</v>
      </c>
      <c r="AD321">
        <v>1751.5</v>
      </c>
      <c r="AE321" s="3">
        <f>2217+(128.9-842.4)+(0+(0-0))+0--248-0</f>
        <v>1751.5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1975.5+(25-855)+(-2.01501+(-0.0255--0.8721))+0--245.6-0.250512000000039</f>
        <v>1389.6810779999998</v>
      </c>
      <c r="G322" s="3">
        <f>1947+(24-917.9)+(-2.97891+(-0.03672--1.404387))+0--248.8-0.380664000000014</f>
        <v>1299.9080929999998</v>
      </c>
      <c r="H322" s="3">
        <f>1932.6+(23-935.1)+(0+(0-0))+0--248.9-0</f>
        <v>1269.3999999999999</v>
      </c>
      <c r="I322" s="3">
        <f>1938.8+(24-949)+(0+(0-0))+0--248.7-0</f>
        <v>1262.5</v>
      </c>
      <c r="J322" s="3">
        <f>1944.5+(21-966.1)+(-0.991695+(-0.01071--0.492711))+0--249.3-0.127142999999975</f>
        <v>1248.063163</v>
      </c>
      <c r="K322" s="3">
        <f>2000.6+(13-978.7)+(1.020306+(0.00663-0.499137))+0--249.1--0.127040999999975</f>
        <v>1284.6548399999997</v>
      </c>
      <c r="L322" s="3">
        <f>2018.5+(41-941.9)+(0+(0-0))+0--249.8-0</f>
        <v>1367.3999999999999</v>
      </c>
      <c r="M322" s="3">
        <f>2025.6+(66-950.8)+(-2.066112+(-0.06732--0.969816))+0--250.7-0.25571400000004</f>
        <v>1390.0806699999998</v>
      </c>
      <c r="N322" s="3">
        <f>2187.6+(51-1033.7)+(2.231352+(0.05202-1.054374))+0--249.4--0.25438800000004</f>
        <v>1455.7833860000001</v>
      </c>
      <c r="O322" s="3">
        <f>2204+(61-978.8)+(-1.12404+(-0.03111--0.499188))+0--253.2-0.129131999999974</f>
        <v>1538.614906</v>
      </c>
      <c r="P322" s="3">
        <f>2200.2+(53-960.4)+(-1.122102+(-0.02703--0.489804))+0--242.6-0.123725999999975</f>
        <v>1534.6169459999996</v>
      </c>
      <c r="Q322" s="3">
        <f>2315.7+(47-1062.6)+(-4.724028+(-0.09588--2.167704))+0--241.1-0.491843999999989</f>
        <v>1538.0559519999999</v>
      </c>
      <c r="R322" s="3">
        <f>2339+(34-1161.8)+(-5.96445+(-0.0867--2.96259))+0--238.6-0.608429999999965</f>
        <v>1446.10301</v>
      </c>
      <c r="S322" s="3">
        <f>2055.2+(69-956.4)+(0+(0-0))+0--237.1-0</f>
        <v>1404.8999999999996</v>
      </c>
      <c r="T322" s="3">
        <f>1868.4+(89-815.5)+(0+(0-0))+0--236-0</f>
        <v>1377.9</v>
      </c>
      <c r="U322" s="3">
        <f>1853.9+(86-800)+(0.945489+(0.04386-0.408))+0--237--0.120869999999976</f>
        <v>1377.6022190000001</v>
      </c>
      <c r="V322" s="3">
        <f>1888.4+(100-851.4)+(-3.852336+(-0.204--1.736856))+0--239.2-0.48796799999999</f>
        <v>1373.392552</v>
      </c>
      <c r="W322" s="3">
        <f>1926.7+(205.3-869.3)+(0+(0-0))+0--239.1-0</f>
        <v>1501.8</v>
      </c>
      <c r="X322" s="3">
        <f>1936.7+(432-893.4)+(-1.975434+(-0.44064--0.911268))+0--239.9-0.244698000000038</f>
        <v>1713.4504960000004</v>
      </c>
      <c r="Y322" s="3">
        <f>2059.5+(328.3-948.5)+(-5.251725+(-0.837165--2.418675))+0--241.4-0.615569999999965</f>
        <v>1676.414215</v>
      </c>
      <c r="Z322" s="3">
        <f>2098.6+(279.5-964.2)+(-3.210858+(-0.427635--1.475226))+0--241.3-0.369189000000014</f>
        <v>1652.6675439999999</v>
      </c>
      <c r="AA322" s="3">
        <f>1889.8+(308.6-828.8)+(-0.963798+(-0.157386--0.422688))+0--242.1-0.123470999999975</f>
        <v>1610.878033</v>
      </c>
      <c r="AB322" s="3">
        <f>1841.1+(174-724.9)+(-1.877922+(-0.17748--0.739398))+0--242.9-0.247758000000039</f>
        <v>1531.5362379999999</v>
      </c>
      <c r="AC322" s="3">
        <f>1753.9+(118-695.7)+(-1.788978+(-0.12036--0.709614))+0--243-0.247860000000039</f>
        <v>1417.752416</v>
      </c>
      <c r="AD322">
        <v>1793.2000000000003</v>
      </c>
      <c r="AE322" s="3">
        <f>1920+(470.8-844.6)+(0+(0-0))+0--247-0</f>
        <v>1793.2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1752.4+(12-757)+(-4.46862+(-0.0306--1.93035))+0--250-0.637499999999964</f>
        <v>1254.19363</v>
      </c>
      <c r="G323" s="3">
        <f>1681.6+(12-714.6)+(-1.715232+(-0.01224--0.728892))+0--250.9-0.25591800000004</f>
        <v>1228.6455019999999</v>
      </c>
      <c r="H323" s="3">
        <f>1556.6+(12-630)+(-2.381598+(-0.01836--0.9639))+0--253-0.387090000000015</f>
        <v>1189.776852</v>
      </c>
      <c r="I323" s="3">
        <f>1556.1+(12-635.8)+(1.587222+(0.01224-0.648516))+0--254.6--0.259692000000041</f>
        <v>1188.1106380000001</v>
      </c>
      <c r="J323" s="3">
        <f>1553.7+(13-643.5)+(-2.377161+(-0.01989--0.984555))+0--255.3-0.390609000000015</f>
        <v>1176.696895</v>
      </c>
      <c r="K323" s="3">
        <f>1467.3+(14.7-585.9)+(0.748323+(0.007497-0.298809))+0--256.7--0.130916999999974</f>
        <v>1153.3879279999999</v>
      </c>
      <c r="L323" s="3">
        <f>1470.9+(221.6-634.7)+(-1.500318+(-0.226032--0.647394))+0--258.5-0.263670000000041</f>
        <v>1314.9573740000001</v>
      </c>
      <c r="M323" s="3">
        <f>1505.2+(266.8-672.2)+(-2.302956+(-0.408204--1.028466))+0--260.4-0.398412000000015</f>
        <v>1358.1188939999997</v>
      </c>
      <c r="N323" s="3">
        <f>1664.3+(238.9-745.5)+(2.546379+(0.365517-1.140615))+0--257.7--0.394281000000015</f>
        <v>1417.565562</v>
      </c>
      <c r="O323" s="3">
        <f>1699.8+(257-754.3)+(0.866898+(0.13107-0.384693))+0--253.2--0.129131999999974</f>
        <v>1456.442407</v>
      </c>
      <c r="P323" s="3">
        <f>1686.6+(297.4-768)+(0.860166+(0.151674-0.39168))+0--251.5--0.128264999999974</f>
        <v>1468.248425</v>
      </c>
      <c r="Q323" s="3">
        <f>1695.5+(290.6-808.6)+(-0.864705+(-0.148206--0.412386))+0--251.4-0.128213999999974</f>
        <v>1428.171261</v>
      </c>
      <c r="R323" s="3">
        <f>1725.9+(218.1-764.7)+(0+(0-0))+0--248.1-0</f>
        <v>1427.4</v>
      </c>
      <c r="S323" s="3">
        <f>1684.9+(246.3-720.9)+(-2.577897+(-0.376839--1.102977))+0--249.8-0.382194000000014</f>
        <v>1457.8660470000002</v>
      </c>
      <c r="T323" s="3">
        <f>1684.5+(211.2-705.7)+(-0.859095+(-0.107712--0.359907))+0--249.2-0.127091999999975</f>
        <v>1438.4660080000001</v>
      </c>
      <c r="U323" s="3">
        <f>1642.3+(190-648.7)+(-1.675146+(-0.1938--0.661674))+0--248.7-0.25367400000004</f>
        <v>1430.8390539999998</v>
      </c>
      <c r="V323" s="3">
        <f>1631.7+(239.9-698.3)+(1.664334+(0.244698-0.712266))+0--249.9--0.25489800000004</f>
        <v>1424.6516640000004</v>
      </c>
      <c r="W323" s="3">
        <f>1635.1+(371.7-729)+(2.501703+(0.568701-1.11537))+0--250.8--0.383724000000015</f>
        <v>1530.938758</v>
      </c>
      <c r="X323" s="3">
        <f>1745.5+(538.3-778.7)+(0+(0-0))+0--250.1-0</f>
        <v>1755.1999999999998</v>
      </c>
      <c r="Y323" s="3">
        <f>1756+(495.4-773.5)+(-2.68668+(-0.757962--1.183455))+0--251.1-0.384183000000014</f>
        <v>1726.3546299999998</v>
      </c>
      <c r="Z323" s="3">
        <f>1625.7+(480.3-669.5)+(-0.829107+(-0.244953--0.341445))+0--249.1-0.127040999999975</f>
        <v>1684.7403440000001</v>
      </c>
      <c r="AA323" s="3">
        <f>1511+(514.9-572.4)+(-0.77061+(-0.262599--0.291924))+0--175.1-0.0893009999999822</f>
        <v>1627.7694139999999</v>
      </c>
      <c r="AB323" s="3">
        <f>1436.6+(376.2-503)+(-2.197998+(-0.575586--0.76959))+0--239.5-0.366435000000014</f>
        <v>1546.9295710000001</v>
      </c>
      <c r="AC323" s="3">
        <f>1281.3+(351.2-446.1)+(-1.960389+(-0.537336--0.682533))+0--253.3-0.387549000000015</f>
        <v>1437.4972589999998</v>
      </c>
      <c r="AD323">
        <v>1769.9</v>
      </c>
      <c r="AE323" s="3">
        <f>1749+(555.8-785.9)+(0+(0-0))+0--251-0</f>
        <v>1769.9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1273.4+(224.5-376.2)+(0+(0-0))+0--248-0</f>
        <v>1369.7</v>
      </c>
      <c r="G324" s="3">
        <f>1263.9+(155.3-369.7)+(-0.644589+(-0.079203--0.188547))+0--248.8-0.126887999999975</f>
        <v>1297.6378669999999</v>
      </c>
      <c r="H324" s="3">
        <f>1237.2+(182.3-409)+(1.892916+(0.278919-0.62577))+0--249.4--0.381582000000014</f>
        <v>1261.8276470000001</v>
      </c>
      <c r="I324" s="3">
        <f>1133.6+(260.6-398.5)+(-1.734408+(-0.398718--0.609705))+0--250.5-0.383265000000014</f>
        <v>1244.293314</v>
      </c>
      <c r="J324" s="3">
        <f>1108.5+(260.8-381)+(0.565335+(0.133008-0.19431))+0--251.8--0.128417999999974</f>
        <v>1240.7324510000001</v>
      </c>
      <c r="K324" s="3">
        <f>1109.3+(316.7-395)+(0.565743+(0.161517-0.20145))+0--252.2--0.128621999999974</f>
        <v>1283.8544320000001</v>
      </c>
      <c r="L324" s="3">
        <f>1111.2+(485.1-507.5)+(-1.700136+(-0.742203--0.776475))+0--250.8-0.383724000000015</f>
        <v>1337.5504120000001</v>
      </c>
      <c r="M324" s="3">
        <f>1152.8+(516.3-528.3)+(0.587928+(0.263313-0.269433))+0--250.3--0.127652999999975</f>
        <v>1391.8094609999998</v>
      </c>
      <c r="N324" s="3">
        <f>1432.5+(334.8-544)+(1.46115+(0.341496-0.55488))+0--252--0.25704000000004</f>
        <v>1476.8048059999999</v>
      </c>
      <c r="O324" s="3">
        <f>1616.5+(283.5-622.3)+(1.64883+(0.28917-0.634746))+0--250--0.25500000000004</f>
        <v>1529.2582540000001</v>
      </c>
      <c r="P324" s="3">
        <f>1707.7+(268.2-664.8)+(-0.870927+(-0.136782--0.339048))+0--243-0.123929999999975</f>
        <v>1553.3074090000002</v>
      </c>
      <c r="Q324" s="3">
        <f>2033.2+(77.9-791.5)+(-2.073864+(-0.079458--0.80733))+0--243.1-0.247962000000039</f>
        <v>1561.1060459999997</v>
      </c>
      <c r="R324" s="3">
        <f>2157.2+(40.1-976.3)+(-5.50086+(-0.102255--2.489565))+0--242.5-0.618374999999965</f>
        <v>1459.768075</v>
      </c>
      <c r="S324" s="3">
        <f>2177.5+(45.8-1000.2)+(0+(0-0))+0--242.6-0</f>
        <v>1465.6999999999998</v>
      </c>
      <c r="T324" s="3">
        <f>2132.9+(36.8-978.8)+(1.087779+(0.018768-0.499188))+0--243.2--0.124031999999975</f>
        <v>1434.8313910000002</v>
      </c>
      <c r="U324" s="3">
        <f>2065.1+(50.7-938.8)+(-1.053201+(-0.025857--0.478788))+0--244.7-0.124796999999975</f>
        <v>1420.9749330000002</v>
      </c>
      <c r="V324" s="3">
        <f>2152+(50.6-998.1)+(2.19504+(0.051612-1.018062))+0--244.9--0.249798000000039</f>
        <v>1450.8783880000001</v>
      </c>
      <c r="W324" s="3">
        <f>2236.9+(57.8-988.3)+(2.281638+(0.058956-1.008066))+0--245.4--0.250308000000039</f>
        <v>1553.3828360000002</v>
      </c>
      <c r="X324" s="3">
        <f>2232.7+(220-958.1)+(1.138677+(0.1122-0.488631))+0--245.7--0.125306999999975</f>
        <v>1741.187553</v>
      </c>
      <c r="Y324" s="3">
        <f>2242.5+(143-930.4)+(-4.5747+(-0.29172--1.898016))+0--246.3-0.502451999999989</f>
        <v>1697.929144</v>
      </c>
      <c r="Z324" s="3">
        <f>2100.5+(152.8-842)+(-5.356275+(-0.38964--2.1471))+0--246.4-0.628319999999964</f>
        <v>1653.472865</v>
      </c>
      <c r="AA324" s="3">
        <f>1943.6+(254.4-830.9)+(-0.991236+(-0.129744--0.423759))+0--246.5-0.125714999999975</f>
        <v>1612.7770640000001</v>
      </c>
      <c r="AB324" s="3">
        <f>1850.9+(224.6-787.8)+(0+(0-0))+0--247.6-0</f>
        <v>1535.3000000000002</v>
      </c>
      <c r="AC324" s="3">
        <f>1748.1+(141.3-713.5)+(-1.783062+(-0.144126--0.72777))+0--247-0.251940000000039</f>
        <v>1421.4486419999998</v>
      </c>
      <c r="AD324">
        <v>1795.1</v>
      </c>
      <c r="AE324" s="3">
        <f>2222+(267.1-945.5)+(0+(0-0))+0--251.5-0</f>
        <v>1795.1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1689.7+(100.6-688.4)+(0+(0-0))+0--251.1-0</f>
        <v>1353</v>
      </c>
      <c r="G325" s="3">
        <f>1679.1+(78.9-726)+(0+(0-0))+0--251.2-0</f>
        <v>1283.2</v>
      </c>
      <c r="H325" s="3">
        <f>1562.8+(98.6-668.3)+(0+(0-0))+0--251.6-0</f>
        <v>1244.7</v>
      </c>
      <c r="I325" s="3">
        <f>1562.3+(94.4-684.7)+(-2.390319+(-0.144432--1.047591))+0--252.8-0.386784000000015</f>
        <v>1222.9260559999998</v>
      </c>
      <c r="J325" s="3">
        <f>1573.4+(80.6-678.8)+(1.604868+(0.082212-0.692376))+0--253.9--0.258978000000041</f>
        <v>1230.3536820000002</v>
      </c>
      <c r="K325" s="3">
        <f>1632.3+(86.8-707.2)+(1.664946+(0.088536-0.721344))+0--252.4--0.25744800000004</f>
        <v>1265.5895860000001</v>
      </c>
      <c r="L325" s="3">
        <f>1754.6+(104.2-769.4)+(0+(0-0))+0--253.9-0</f>
        <v>1343.3000000000002</v>
      </c>
      <c r="M325" s="3">
        <f>1916.1+(104.2-870.6)+(0+(0-0))+0--255.2-0</f>
        <v>1404.8999999999999</v>
      </c>
      <c r="N325" s="3">
        <f>2059.5+(101-892.1)+(-1.050345+(-0.05151--0.454971))+0--256.3-0.130712999999974</f>
        <v>1523.922403</v>
      </c>
      <c r="O325" s="3">
        <f>2099.2+(113.3-906.3)+(-1.070592+(-0.057783--0.462213))+0--251.4-0.128213999999974</f>
        <v>1556.8056239999999</v>
      </c>
      <c r="P325" s="3">
        <f>2090.2+(116.3-893.5)+(-1.066002+(-0.059313--0.455685))+0--243.3-0.124082999999975</f>
        <v>1555.5062869999997</v>
      </c>
      <c r="Q325" s="3">
        <f>2120.3+(112.2-912.3)+(-2.162706+(-0.114444--0.930546))+0--240.9-0.245718000000038</f>
        <v>1559.5076780000002</v>
      </c>
      <c r="R325" s="3">
        <f>2130.1+(77.5-967.4)+(-3.259053+(-0.118575--1.480122))+0--240.7-0.368271000000014</f>
        <v>1478.6342229999998</v>
      </c>
      <c r="S325" s="3">
        <f>2153.5+(54.9-968)+(-3.294855+(-0.083997--1.48104))+0--242.4-0.370872000000014</f>
        <v>1480.5313160000003</v>
      </c>
      <c r="T325" s="3">
        <f>2207.9+(31.4-1023.1)+(0+(0-0))+0--242.2-0</f>
        <v>1458.4</v>
      </c>
      <c r="U325" s="3">
        <f>2213.4+(33.6-1033.7)+(2.257668+(0.034272-1.054374))+0--242.8--0.247656000000039</f>
        <v>1457.5852220000002</v>
      </c>
      <c r="V325" s="3">
        <f>2217.8+(39.3-1050.2)+(1.131078+(0.020043-0.535602))+0--243.1--0.123980999999975</f>
        <v>1450.7394999999999</v>
      </c>
      <c r="W325" s="3">
        <f>2234.7+(88.2-1040.2)+(2.279394+(0.089964-1.061004))+0--243.9--0.248778000000039</f>
        <v>1528.157132</v>
      </c>
      <c r="X325" s="3">
        <f>2254.9+(240.5-1003.8)+(-5.749995+(-0.613275--2.55969))+0--244.4-0.623219999999965</f>
        <v>1731.5732000000003</v>
      </c>
      <c r="Y325" s="3">
        <f>2264.5+(165-966.3)+(-3.464685+(-0.25245--1.478439))+0--245.1-0.375003000000014</f>
        <v>1705.686301</v>
      </c>
      <c r="Z325" s="3">
        <f>2173+(129-882.7)+(-1.10823+(-0.06579--0.450177))+0--246.1-0.125510999999975</f>
        <v>1664.5506459999999</v>
      </c>
      <c r="AA325" s="3">
        <f>2039+(122.2-790.7)+(1.03989+(0.062322-0.403257))+0--247--0.125969999999975</f>
        <v>1618.3249250000001</v>
      </c>
      <c r="AB325" s="3">
        <f>1900.8+(165.7-774.8)+(0.969408+(0.084507-0.395148))+0--247.7--0.126326999999975</f>
        <v>1540.1850939999999</v>
      </c>
      <c r="AC325" s="3">
        <f>1782.4+(136.1-743.9)+(0+(0-0))+0--247.9-0</f>
        <v>1422.5000000000002</v>
      </c>
      <c r="AD325">
        <v>1737.8999999999999</v>
      </c>
      <c r="AE325" s="3">
        <f>2249+(255.2-1005.3)+(0+(0-0))+0--239-0</f>
        <v>1737.9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1767.8+(96.6-762.1)+(-4.50789+(-0.24633--1.943355))+0--248.6-0.633929999999964</f>
        <v>1347.455205</v>
      </c>
      <c r="G326" s="3">
        <f>1663.2+(99.5-739.7)+(-1.696464+(-0.10149--0.754494))+0--248.7-0.25367400000004</f>
        <v>1270.4028659999999</v>
      </c>
      <c r="H326" s="3">
        <f>1666.9+(86.3-774.6)+(-5.100714+(-0.264078--2.370276))+0--248.9-0.761634000000029</f>
        <v>1223.7438500000001</v>
      </c>
      <c r="I326" s="3">
        <f>1667.4+(80.6-796.2)+(1.700748+(0.082212-0.812124))+0--253.5--0.25857000000004</f>
        <v>1206.5294060000001</v>
      </c>
      <c r="J326" s="3">
        <f>1659.9+(84.3-785)+(-0.846549+(-0.042993--0.40035))+0--252.9-0.128978999999974</f>
        <v>1211.4818290000001</v>
      </c>
      <c r="K326" s="3">
        <f>1610+(116.2-737.2)+(2.4633+(0.177786-1.127916))+0--252.8--0.386784000000015</f>
        <v>1243.6999539999999</v>
      </c>
      <c r="L326" s="3">
        <f>1622.4+(152-762)+(1.654848+(0.15504-0.77724))+0--252.8--0.25785600000004</f>
        <v>1266.4905040000001</v>
      </c>
      <c r="M326" s="3">
        <f>1781.7+(138-844.9)+(1.817334+(0.14076-0.861798))+0--252.7--0.25775400000004</f>
        <v>1328.8540500000001</v>
      </c>
      <c r="N326" s="3">
        <f>1870.9+(149.8-843.2)+(0.954159+(0.076398-0.430032))+0--250.4--0.127703999999975</f>
        <v>1428.6282290000001</v>
      </c>
      <c r="O326" s="3">
        <f>2058.1+(121.3-939.5)+(1.049631+(0.061863-0.479145))+0--247.3--0.126122999999975</f>
        <v>1487.9584719999998</v>
      </c>
      <c r="P326" s="3">
        <f>2167.8+(85-972.6)+(1.105578+(0.04335-0.496026))+0--242.9--0.123878999999975</f>
        <v>1523.8767810000004</v>
      </c>
      <c r="Q326" s="3">
        <f>2122.5+(91.1-979.7)+(0+(0-0))+0--240.6-0</f>
        <v>1474.5</v>
      </c>
      <c r="R326" s="3">
        <f>2197.2+(58-994.8)+(-3.361716+(-0.08874--1.522044))+0--237.9-0.363987000000014</f>
        <v>1496.007601</v>
      </c>
      <c r="S326" s="3">
        <f>2149.5+(57.9-977)+(0+(0-0))+0--239.2-0</f>
        <v>1469.6000000000001</v>
      </c>
      <c r="T326" s="3">
        <f>2104.7+(51.8-948.1)+(0+(0-0))+0--240-0</f>
        <v>1448.3999999999996</v>
      </c>
      <c r="U326" s="3">
        <f>2109+(51.1-964)+(-2.15118+(-0.052122--0.98328))+0--240.6-0.245412000000038</f>
        <v>1435.2345659999999</v>
      </c>
      <c r="V326" s="3">
        <f>2118.8+(46.1-954.8)+(-2.161176+(-0.047022--0.973896))+0--241.1-0.245922000000038</f>
        <v>1449.7197760000001</v>
      </c>
      <c r="W326" s="3">
        <f>2141.5+(82.1-921.1)+(-1.092165+(-0.041871--0.469761))+0--241.2-0.123011999999976</f>
        <v>1542.9127129999999</v>
      </c>
      <c r="X326" s="3">
        <f>2188.3+(168-890.3)+(-2.232066+(-0.17136--0.908106))+0--241.2-0.246024000000038</f>
        <v>1705.4586560000002</v>
      </c>
      <c r="Y326" s="3">
        <f>2180.3+(129-874.3)+(-4.447812+(-0.26316--1.783572))+0--242.2-0.494087999999989</f>
        <v>1673.7785120000003</v>
      </c>
      <c r="Z326" s="3">
        <f>2082.6+(69.3-768.4)+(-5.31063+(-0.176715--1.95942))+0--242.9-0.619394999999965</f>
        <v>1622.2526800000001</v>
      </c>
      <c r="AA326" s="3">
        <f>1912.5+(107-683.3)+(-0.975375+(-0.05457--0.348483))+0--242.6-0.123725999999975</f>
        <v>1577.9948119999999</v>
      </c>
      <c r="AB326" s="3">
        <f>1732.5+(180.4-658.3)+(0.883575+(0.092004-0.335733))+3.1--242.3--0.123572999999975</f>
        <v>1500.7634189999999</v>
      </c>
      <c r="AC326" s="3">
        <f>1678.7+(151.2-665.3)+(-0.856137+(-0.077112--0.339303))+0--243.3-0.124082999999975</f>
        <v>1407.1819710000002</v>
      </c>
      <c r="AD326">
        <v>1671.8000000000002</v>
      </c>
      <c r="AE326" s="3">
        <f>2184+(153.8-906.5)+(0+(0-0))+0--240.5-0</f>
        <v>1671.8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1685.1+(93.4-699.1)+(-2.578203+(-0.142902--1.069623))+0--243.1-0.371943000000014</f>
        <v>1320.4765749999997</v>
      </c>
      <c r="G327" s="3">
        <f>1579+(126.3-690.9)+(0.80529+(0.064413-0.352359))+0--243--0.123929999999975</f>
        <v>1258.0412739999999</v>
      </c>
      <c r="H327" s="3">
        <f>1518.6+(147.9-704.4)+(-1.548972+(-0.150858--0.718488))+0--242.6-0.247452000000039</f>
        <v>1203.4712059999997</v>
      </c>
      <c r="I327" s="3">
        <f>1539.6+(124.8-727.1)+(0.785196+(0.063648-0.370821))+0--241.9--0.123368999999975</f>
        <v>1179.8013919999999</v>
      </c>
      <c r="J327" s="3">
        <f>1451.8+(123.9-652.7)+(-1.480836+(-0.126378--0.665754))+0--242.9-0.247758000000039</f>
        <v>1164.7107819999999</v>
      </c>
      <c r="K327" s="3">
        <f>1452.8+(125.2-635.8)+(1.481856+(0.127704-0.648516))+0--244--0.248880000000039</f>
        <v>1187.409924</v>
      </c>
      <c r="L327" s="3">
        <f>1453.8+(147-631)+(-0.741438+(-0.07497--0.32181))+0--244.1-0.124490999999975</f>
        <v>1213.2809109999998</v>
      </c>
      <c r="M327" s="3">
        <f>1499.2+(160-673.7)+(0+(0-0))+0--245.9-0</f>
        <v>1231.4000000000001</v>
      </c>
      <c r="N327" s="3">
        <f>1515.3+(197.1-644.7)+(1.545606+(0.201042-0.657594))+0--243.3--0.248166000000039</f>
        <v>1312.3372199999999</v>
      </c>
      <c r="O327" s="3">
        <f>1475.1+(226.4-555.9)+(0+(0-0))+0--241.9-0</f>
        <v>1387.5</v>
      </c>
      <c r="P327" s="3">
        <f>1531.3+(207.2-539.1)+(0+(0-0))+0--237.3-0</f>
        <v>1436.6999999999998</v>
      </c>
      <c r="Q327" s="3">
        <f>1583.2+(172.5-550.6)+(2.422296+(0.263925-0.842418))+0--233.9--0.357867000000014</f>
        <v>1441.2016699999999</v>
      </c>
      <c r="R327" s="3">
        <f>1621.4+(148.5-594)+(-3.307656+(-0.30294--1.21176))+0--232.6-0.47450399999999</f>
        <v>1405.6266599999999</v>
      </c>
      <c r="S327" s="3">
        <f>1258.1+(313.5-432)+(-0.641631+(-0.159885--0.22032))+0--232.9-0.118778999999976</f>
        <v>1371.800025</v>
      </c>
      <c r="T327" s="3">
        <f>1366.3+(176.7-440)+(0+(0-0))+0--233.3-0</f>
        <v>1336.3</v>
      </c>
      <c r="U327" s="3">
        <f>1593+(88.7-569.5)+(-2.43729+(-0.135711--0.871335))+0--235.3-0.360009000000014</f>
        <v>1345.4383250000001</v>
      </c>
      <c r="V327" s="3">
        <f>1680.1+(76.6-655.4)+(-0.856851+(-0.039066--0.334254))+0--237.3-0.121022999999976</f>
        <v>1337.917314</v>
      </c>
      <c r="W327" s="3">
        <f>1997.3+(60.1-864.3)+(-2.037246+(-0.061302--0.881586))+0--237.5-0.242250000000038</f>
        <v>1429.1407879999999</v>
      </c>
      <c r="X327" s="3">
        <f>2114.6+(86.9-835.9)+(-1.078446+(-0.044319--0.426309))+0--237.7-0.121226999999976</f>
        <v>1602.4823170000002</v>
      </c>
      <c r="Y327" s="3">
        <f>2122.3+(62.7-842.1)+(-3.247119+(-0.095931--1.288413))+0--237.8-0.363834000000014</f>
        <v>1578.2815290000001</v>
      </c>
      <c r="Z327" s="3">
        <f>2071.3+(51.2-821.6)+(-2.112726+(-0.052224--0.838032))+0--238.1-0.242862000000038</f>
        <v>1537.43022</v>
      </c>
      <c r="AA327" s="3">
        <f>2056.1+(43.3-839)+(-4.194444+(-0.088332--1.71156))+0--240.2-0.49000799999999</f>
        <v>1497.5387759999999</v>
      </c>
      <c r="AB327" s="3">
        <f>2085.3+(22-904.9)+(-1.063503+(-0.01122--0.461499))+0--240.3-0.122552999999976</f>
        <v>1441.9642230000002</v>
      </c>
      <c r="AC327" s="3">
        <f>2024.9+(25-922.5)+(2.065398+(0.0255-0.94095))+0--240.2--0.245004000000038</f>
        <v>1368.9949520000002</v>
      </c>
      <c r="AD327">
        <v>1573.5</v>
      </c>
      <c r="AE327" s="3">
        <f>2115+(73.1-851.6)+(0+(0-0))+0--237-0</f>
        <v>1573.5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1911.1+(18-866.8)+(-3.898644+(-0.03672--1.768272))+0--225.8-0.46063199999999</f>
        <v>1285.472276</v>
      </c>
      <c r="G328" s="3">
        <f>1856.1+(39-844.7)+(-1.893222+(-0.03978--0.861594))+0--167.4-0.170748000000027</f>
        <v>1216.5578439999999</v>
      </c>
      <c r="H328" s="3">
        <f>1675.2+(50.1-694.1)+(-3.417408+(-0.102204--1.415964))+0--132.3-0.269891999999994</f>
        <v>1161.12646</v>
      </c>
      <c r="I328" s="3">
        <f>1613+(53.9-622.6)+(0.82263+(0.027489-0.317526))+0--90.1--0.0459509999999909</f>
        <v>1134.9785439999998</v>
      </c>
      <c r="J328" s="3">
        <f>1614.5+(65-637.7)+(-2.470185+(-0.09945--0.975681))+0--89.9-0.137547000000005</f>
        <v>1129.9684990000001</v>
      </c>
      <c r="K328" s="3">
        <f>1640.4+(65.4-647.4)+(0.836604+(0.033354-0.330174))+0--92.7--0.0472769999999906</f>
        <v>1151.6870610000001</v>
      </c>
      <c r="L328" s="3">
        <f>1652.8+(65.7-686.5)+(0.842928+(0.033507-0.350115))+0--167.5--0.085424999999983</f>
        <v>1200.1117449999999</v>
      </c>
      <c r="M328" s="3">
        <f>1650.4+(94.3-688.7)+(-2.525112+(-0.144279--1.053711))+0--168.4-0.25765200000001</f>
        <v>1222.526668</v>
      </c>
      <c r="N328" s="3">
        <f>1699.4+(114-666.3)+(-0.866694+(-0.05814--0.339813))+0--167.2-0.085271999999983</f>
        <v>1313.6297070000001</v>
      </c>
      <c r="O328" s="3">
        <f>1816.4+(122.5-717.5)+(0+(0-0))+0--174.9-0</f>
        <v>1396.3000000000002</v>
      </c>
      <c r="P328" s="3">
        <f>1921.7+(88.6-802.7)+(-1.960134+(-0.090372--0.818754))+0--235.6-0.240312000000038</f>
        <v>1441.7279359999998</v>
      </c>
      <c r="Q328" s="3">
        <f>2021.9+(70.2-929.4)+(-3.093507+(-0.107406--1.421982))+0--236.3-0.361539000000014</f>
        <v>1396.8595300000002</v>
      </c>
      <c r="R328" s="3">
        <f>2090.7+(73.7-1022.5)+(-3.198771+(-0.112761--1.564425))+0--236.8-0.362304000000014</f>
        <v>1376.5905889999999</v>
      </c>
      <c r="S328" s="3">
        <f>2068.8+(79.7-1021.9)+(-4.220352+(-0.162588--2.084676))+0--237-0.48347999999999</f>
        <v>1360.8182560000002</v>
      </c>
      <c r="T328" s="3">
        <f>1917+(113.5-930)+(-0.97767+(-0.057885--0.4743))+0--236.7-0.120716999999976</f>
        <v>1336.518028</v>
      </c>
      <c r="U328" s="3">
        <f>1970.7+(96.4-965.1)+(0+(0-0))+0--236.8-0</f>
        <v>1338.8</v>
      </c>
      <c r="V328" s="3">
        <f>2076.1+(52.3-1023.7)+(-1.058811+(-0.026673--0.522087))+0--236.9-0.120818999999976</f>
        <v>1340.915784</v>
      </c>
      <c r="W328" s="3">
        <f>2260.4+(78.2-1126.1)+(0+(0-0))+0--237.2-0</f>
        <v>1449.7000000000003</v>
      </c>
      <c r="X328" s="3">
        <f>2278.5+(116-986.4)+(-2.32407+(-0.11832--1.006128))+0--237.7-0.242454000000038</f>
        <v>1644.1212840000001</v>
      </c>
      <c r="Y328" s="3">
        <f>2292.6+(113.3-1009.2)+(-1.169226+(-0.057783--0.514692))+0--238.5-0.121634999999976</f>
        <v>1634.3660479999999</v>
      </c>
      <c r="Z328" s="3">
        <f>2297.4+(95.5-1030.5)+(-2.343348+(-0.09741--1.05111))+0--238.9-0.243678000000038</f>
        <v>1599.6666740000001</v>
      </c>
      <c r="AA328" s="3">
        <f>2303.7+(81.2-1069.8)+(0+(0-0))+0--240.1-0</f>
        <v>1555.1999999999998</v>
      </c>
      <c r="AB328" s="3">
        <f>2279.2+(51.3-1068.6)+(-1.162392+(-0.026163--0.544986))+0--240-0.122399999999976</f>
        <v>1501.1340309999998</v>
      </c>
      <c r="AC328" s="3">
        <f>2178.6+(28.8-1059.7)+(-5.55543+(-0.07344--2.702235))+0--240.1-0.612254999999965</f>
        <v>1384.2611099999997</v>
      </c>
      <c r="AD328">
        <v>1678.7999999999997</v>
      </c>
      <c r="AE328" s="3">
        <f>2280+(121.7-960.4)+(0+(0-0))+0--237.5-0</f>
        <v>1678.8000000000002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2170.3+(33-1117.1)+(-3.320559+(-0.05049--1.709163))+0--246-0.376380000000014</f>
        <v>1330.1617340000003</v>
      </c>
      <c r="G329" s="3">
        <f>2143.3+(44-1168.7)+(-3.279249+(-0.06732--1.788111))+0--245-0.374850000000014</f>
        <v>1261.6666920000002</v>
      </c>
      <c r="H329" s="3">
        <f>1996+(44-1059.1)+(-4.07184+(-0.08976--2.160564))+0--247-0.503879999999989</f>
        <v>1225.395084</v>
      </c>
      <c r="I329" s="3">
        <f>1911.9+(40-994)+(-0.975069+(-0.0204--0.50694))+0--247-0.125969999999975</f>
        <v>1204.2855010000001</v>
      </c>
      <c r="J329" s="3">
        <f>1909.2+(33-985.6)+(2.921076+(0.05049-1.507968))+0--248--0.379440000000014</f>
        <v>1206.4430380000001</v>
      </c>
      <c r="K329" s="3">
        <f>1976.5+(31-1014.4)+(1.008015+(0.01581-0.517344))+0--248--0.126479999999975</f>
        <v>1241.7329609999999</v>
      </c>
      <c r="L329" s="3">
        <f>2115.8+(26.5-1049.8)+(1.079058+(0.013515-0.535398))+0--243.7--0.124286999999975</f>
        <v>1336.8814620000001</v>
      </c>
      <c r="M329" s="3">
        <f>2164.2+(68.1-1070.7)+(0+(0-0))+0--243.5-0</f>
        <v>1405.1</v>
      </c>
      <c r="N329" s="3">
        <f>2308.9+(75.5-1119.7)+(2.355078+(0.07701-1.142094))+0--244.3--0.249186000000039</f>
        <v>1510.53918</v>
      </c>
      <c r="O329" s="3">
        <f>2388.3+(77.6-1140.5)+(1.218033+(0.039576-0.581655))+0--242.4--0.123623999999975</f>
        <v>1568.5995780000003</v>
      </c>
      <c r="P329" s="3">
        <f>2409+(61-1167.7)+(1.22859+(0.03111-0.595527))+0--240.1--0.122450999999976</f>
        <v>1543.1866239999997</v>
      </c>
      <c r="Q329" s="3">
        <f>2501.8+(54-1200)+(-2.551836+(-0.05508--1.224))+0--240.5-0.245310000000038</f>
        <v>1594.6717740000001</v>
      </c>
      <c r="R329" s="3">
        <f>2564.5+(38-1302.1)+(-6.539475+(-0.0969--3.320355))+0--238.9-0.609194999999965</f>
        <v>1535.3747850000002</v>
      </c>
      <c r="S329" s="3">
        <f>2561.6+(39-1274.2)+(-2.612832+(-0.03978--1.299684))+0--237.6-0.242352000000038</f>
        <v>1562.4047199999998</v>
      </c>
      <c r="T329" s="3">
        <f>2442.9+(42-1189.6)+(-3.737637+(-0.06426--1.820088))+0--237.2-0.362916000000014</f>
        <v>1530.1552750000001</v>
      </c>
      <c r="U329" s="3">
        <f>2436.6+(61-1209.9)+(-1.242666+(-0.03111--0.617049))+0--236.8-0.120767999999976</f>
        <v>1523.7225049999997</v>
      </c>
      <c r="V329" s="3">
        <f>2560.1+(21-1295.8)+(1.305651+(0.01071-0.660858))+0--237.5--0.121124999999976</f>
        <v>1523.5766279999998</v>
      </c>
      <c r="W329" s="3">
        <f>2593.2+(14.5-1244.8)+(0+(0-0))+0--238.8-0</f>
        <v>1601.6999999999998</v>
      </c>
      <c r="X329" s="3">
        <f>2675.7+(61.2-1157.6)+(-1.364607+(-0.031212--0.590376))+0--239-0.121889999999976</f>
        <v>1817.3726670000001</v>
      </c>
      <c r="Y329" s="3">
        <f>2693.6+(55.8-1188.1)+(0+(0-0))+0--240.2-0</f>
        <v>1801.5</v>
      </c>
      <c r="Z329" s="3">
        <f>2695.8+(35.9-1113.5)+(-6.87429+(-0.091545--2.839425))+0--127.6-0.325379999999981</f>
        <v>1741.3482100000001</v>
      </c>
      <c r="AA329" s="3">
        <f>2705.5+(31-1148.6)+(0+(0-0))+0--96.9-0</f>
        <v>1684.8000000000002</v>
      </c>
      <c r="AB329" s="3">
        <f>2697.2+(26-1213.3)+(-6.87786+(-0.0663--3.093915))+0--97.4-0.248369999999986</f>
        <v>1603.2013849999998</v>
      </c>
      <c r="AC329" s="3">
        <f>2521.9+(32-1165.1)+(-6.430845+(-0.0816--2.971005))+0--97.9-0.249644999999986</f>
        <v>1482.9089150000004</v>
      </c>
      <c r="AD329">
        <v>1797.4</v>
      </c>
      <c r="AE329" s="3">
        <f>2677+(51.5-1169.6)+(0+(0-0))+0--238.5-0</f>
        <v>1797.4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2466.6+(33-1241.9)+(-2.515932+(-0.03366--1.266738))+0--98.6-0.100572000000016</f>
        <v>1354.9165739999996</v>
      </c>
      <c r="G330" s="3">
        <f>2471.2+(31-1318.3)+(5.041248+(0.06324-2.689332))+0--97.9--0.199715999999996</f>
        <v>1284.4148720000001</v>
      </c>
      <c r="H330" s="3">
        <f>2474.3+(36-1362)+(3.785679+(0.05508-2.08386))+0--98.1--0.150093000000006</f>
        <v>1248.306992</v>
      </c>
      <c r="I330" s="3">
        <f>2449.7+(34-1343.8)+(-4.997388+(-0.06936--2.741352))+0--99-0.201959999999996</f>
        <v>1236.3726439999998</v>
      </c>
      <c r="J330" s="3">
        <f>2362.9+(11-1256.2)+(2.410158+(0.01122-1.281324))+0--100.5--0.102510000000016</f>
        <v>1219.4425639999999</v>
      </c>
      <c r="K330" s="3">
        <f>2567.5+(12-1424.6)+(0+(0-0))+0--102.5-0</f>
        <v>1257.4000000000001</v>
      </c>
      <c r="L330" s="3">
        <f>2676.7+(10-1433.4)+(1.365117+(0.0051-0.731034))+0--103.4--0.0527339999999895</f>
        <v>1357.3919169999999</v>
      </c>
      <c r="M330" s="3">
        <f>2676.4+(16-1368.7)+(-2.729928+(-0.01632--1.396074))+0--101.5-0.103530000000016</f>
        <v>1423.746296</v>
      </c>
      <c r="N330" s="3">
        <f>2666.4+(18-1276.1)+(-1.359864+(-0.00918--0.650811))+0--100.6-0.0513059999999898</f>
        <v>1508.130461</v>
      </c>
      <c r="O330" s="3">
        <f>2660.8+(18-1197.4)+(-1.357008+(-0.00918--0.610674))+0--98.4-0.05018399999999</f>
        <v>1578.9943020000003</v>
      </c>
      <c r="P330" s="3">
        <f>2644+(4-1178.1)+(-4.04532+(-0.00612--1.802493))+0--96.5-0.147645000000006</f>
        <v>1564.003408</v>
      </c>
      <c r="Q330" s="3">
        <f>2631.5+(4-1118.9)+(-1.342065+(-0.00204--0.570639))+0--96.4-0.0491639999999902</f>
        <v>1612.1773699999999</v>
      </c>
      <c r="R330" s="3">
        <f>2667.2+(0-1209.1)+(-4.080816+(0--1.849923))+0--95.1-0.145503000000005</f>
        <v>1550.8236039999999</v>
      </c>
      <c r="S330" s="3">
        <f>2659.7+(0-1188)+(0+(0-0))+0--94.4-0</f>
        <v>1566.1</v>
      </c>
      <c r="T330" s="3">
        <f>2668.1+(0-1207)+(-1.360731+(0--0.61557))+0--94.8-0.0483479999999904</f>
        <v>1555.1064909999998</v>
      </c>
      <c r="U330" s="3">
        <f>2672.8+(0-1218.2)+(-1.363128+(0--0.621282))+0--95.4-0.0486539999999903</f>
        <v>1549.2095000000004</v>
      </c>
      <c r="V330" s="3">
        <f>2681.8+(0-1228.1)+(2.735436+(0-1.252662))+0--95.9--0.0978180000000153</f>
        <v>1551.1805920000004</v>
      </c>
      <c r="W330" s="3">
        <f>2676.8+(0-1182)+(-1.365168+(0--0.60282))+0--95.5-0.0487049999999903</f>
        <v>1589.4889470000003</v>
      </c>
      <c r="X330" s="3">
        <f>2689.5+(14.7-992.7)+(-1.371645+(-0.007497--0.506277))+0--95.1-0.0485009999999904</f>
        <v>1805.6786339999999</v>
      </c>
      <c r="Y330" s="3">
        <f>2633.5+(9.7-950.3)+(-5.37234+(-0.019788--1.938612))+0--95.3-0.194411999999996</f>
        <v>1784.552072</v>
      </c>
      <c r="Z330" s="3">
        <f>2598.8+(2-958.3)+(-1.325388+(-0.00102--0.488733))+0--96.3-0.0491129999999902</f>
        <v>1737.9132120000002</v>
      </c>
      <c r="AA330" s="3">
        <f>2496.8+(4.3-910.4)+(5.093472+(0.008772-1.857216))+0--96.7--0.197267999999996</f>
        <v>1690.8422960000003</v>
      </c>
      <c r="AB330" s="3">
        <f>2662.8+(0-1146.1)+(-2.716056+(0--1.169022))+0--97.3-0.0992460000000155</f>
        <v>1612.3537200000003</v>
      </c>
      <c r="AC330" s="3">
        <f>2637.1+(7-1235.6)+(-5.379684+(-0.01428--2.520624))+0--97.4-0.198695999999996</f>
        <v>1502.8279640000001</v>
      </c>
      <c r="AD330">
        <v>1805.2</v>
      </c>
      <c r="AE330" s="3">
        <f>2666+(16-970.8)+(0+(0-0))+0--94-0</f>
        <v>1805.2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2643+(19-1353.2)+(-4.04379+(-0.02907--2.070396))+0--97.4-0.149022000000006</f>
        <v>1404.0485140000001</v>
      </c>
      <c r="G331" s="3">
        <f>2645.9+(17-1431.8)+(-2.698818+(-0.01734--1.460436))+0--97.4-0.0993480000000155</f>
        <v>1327.1449300000002</v>
      </c>
      <c r="H331" s="3">
        <f>2655.2+(18-1484.3)+(1.354152+(0.00918-0.756993))+0--98--0.0499799999999901</f>
        <v>1287.5563189999998</v>
      </c>
      <c r="I331" s="3">
        <f>2566.9+(22-1413.8)+(0+(0-0))+0--98.5-0</f>
        <v>1273.6000000000001</v>
      </c>
      <c r="J331" s="3">
        <f>2443.9+(23-1302.8)+(1.246389+(0.01173-0.664428))+0--98.4--0.05018399999999</f>
        <v>1263.1438750000002</v>
      </c>
      <c r="K331" s="3">
        <f>2460.6+(18-1273.2)+(6.27453+(0.0459-3.24666))+0--98.5--0.251174999999986</f>
        <v>1307.2249449999997</v>
      </c>
      <c r="L331" s="3">
        <f>2582.6+(14-1298.5)+(-1.317126+(-0.00714--0.662235))+0--99.4-0.0506939999999899</f>
        <v>1396.7872749999999</v>
      </c>
      <c r="M331" s="3">
        <f>2664.2+(14-1312.7)+(0+(0-0))+0--99.7-0</f>
        <v>1465.1999999999998</v>
      </c>
      <c r="N331" s="3">
        <f>2655.3+(14-1213.6)+(0+(0-0))+0--97.8-0</f>
        <v>1553.5000000000002</v>
      </c>
      <c r="O331" s="3">
        <f>2657.4+(14-1167.3)+(1.355274+(0.00714-0.595323))+0--97.2--0.0495719999999901</f>
        <v>1602.116663</v>
      </c>
      <c r="P331" s="3">
        <f>2631.1+(14-1108)+(-2.683722+(-0.01428--1.13016))+0--95.7-0.0976140000000153</f>
        <v>1631.134544</v>
      </c>
      <c r="Q331" s="3">
        <f>2658+(10-1129.9)+(-4.06674+(-0.0153--1.728747))+0--94.9-0.145197000000005</f>
        <v>1630.5015100000001</v>
      </c>
      <c r="R331" s="3">
        <f>2643.9+(0-1199.1)+(-2.696778+(0--1.223082))+0--95.2-0.0971040000000152</f>
        <v>1538.4292000000003</v>
      </c>
      <c r="S331" s="3">
        <f>2646.9+(0-1210.1)+(4.049757+(0-1.851453))+0--96--0.146880000000006</f>
        <v>1535.1451840000002</v>
      </c>
      <c r="T331" s="3">
        <f>2643.6+(0-1222.2)+(-2.696472+(0--1.246644))+0--96.6-0.0985320000000154</f>
        <v>1516.4516399999998</v>
      </c>
      <c r="U331" s="3">
        <f>2642.1+(0-1221.5)+(1.347471+(0-0.622965))+0--96.8--0.0493679999999902</f>
        <v>1518.1738739999998</v>
      </c>
      <c r="V331" s="3">
        <f>2666.4+(0-1234.3)+(1.359864+(0-0.629493))+0--97.3--0.0496229999999901</f>
        <v>1530.1799940000001</v>
      </c>
      <c r="W331" s="3">
        <f>2697+(0-1225.1)+(1.37547+(0-0.624801))+0--97.6--0.0497759999999901</f>
        <v>1570.3004450000001</v>
      </c>
      <c r="X331" s="3">
        <f>2791.7+(0-1095.6)+(0+(0-0))+0--97.3-0</f>
        <v>1793.3999999999999</v>
      </c>
      <c r="Y331" s="3">
        <f>2751.6+(0-1073)+(-7.01658+(0--2.73615))+0--97.9-0.249644999999986</f>
        <v>1771.9699250000001</v>
      </c>
      <c r="Z331" s="3">
        <f>2700.6+(0-1079.3)+(-1.377306+(0--0.550443))+0--96.1-0.0490109999999903</f>
        <v>1716.5241259999998</v>
      </c>
      <c r="AA331" s="3">
        <f>2701.8+(0-1124.1)+(-4.133754+(0--1.719873))+0--95.6-0.146268000000006</f>
        <v>1670.7398510000003</v>
      </c>
      <c r="AB331" s="3">
        <f>2714.2+(0-1212.1)+(-1.384242+(0--0.618171))+0--95.7-0.0488069999999903</f>
        <v>1596.985122</v>
      </c>
      <c r="AC331" s="3">
        <f>2662.6+(4-1283.1)+(-6.78963+(-0.0102--3.271905))+0--96-0.244799999999986</f>
        <v>1475.727275</v>
      </c>
      <c r="AD331">
        <v>1834.6</v>
      </c>
      <c r="AE331" s="3">
        <f>2782+(9-1053.4)+(0+(0-0))+0--97-0</f>
        <v>1834.6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2529.4+(8-1253.9)+(-5.159976+(-0.01632--2.557956))+0--96.2-0.196247999999996</f>
        <v>1376.8854120000001</v>
      </c>
      <c r="G332" s="3">
        <f>2006.8+(9-901.6)+(0+(0-0))+0--97.5-0</f>
        <v>1211.6999999999998</v>
      </c>
      <c r="H332" s="3">
        <f>2008.2+(9-942.2)+(-1.024182+(-0.00459--0.480522))+0--98.9-0.05043899999999</f>
        <v>1173.3013109999999</v>
      </c>
      <c r="I332" s="3">
        <f>2016.5+(9-983.6)+(2.05683+(0.00918-1.003272))+0--100--0.102000000000016</f>
        <v>1143.0647380000003</v>
      </c>
      <c r="J332" s="3">
        <f>2018.1+(7-971.8)+(-2.058462+(-0.00714--0.991236))+0--99.7-0.101694000000016</f>
        <v>1151.82394</v>
      </c>
      <c r="K332" s="3">
        <f>2054.2+(5-944.4)+(1.047642+(0.00255-0.481644))+0--100.2--0.0511019999999898</f>
        <v>1215.6196499999996</v>
      </c>
      <c r="L332" s="3">
        <f>2176.7+(5-952.4)+(0+(0-0))+0--100.7-0</f>
        <v>1329.9999999999998</v>
      </c>
      <c r="M332" s="3">
        <f>2256.3+(5-948.7)+(1.150713+(0.00255-0.483837))+0--100.8--0.0514079999999898</f>
        <v>1414.1208340000001</v>
      </c>
      <c r="N332" s="3">
        <f>2260+(5-848.5)+(3.4578+(0.00765-1.298205))+0--99.9--0.152847000000006</f>
        <v>1518.7200920000002</v>
      </c>
      <c r="O332" s="3">
        <f>2237.9+(4-781.4)+(3.423987+(0.00612-1.195542))+0--98.6--0.150858000000006</f>
        <v>1561.4854229999999</v>
      </c>
      <c r="P332" s="3">
        <f>2223.8+(4-739.1)+(4.536552+(0.00816-1.507764))+0--97.5--0.198899999999996</f>
        <v>1589.4358480000003</v>
      </c>
      <c r="Q332" s="3">
        <f>2262+(4-744)+(-2.30724+(-0.00408--0.75888))+0--96.8-0.0987360000000154</f>
        <v>1617.1488240000001</v>
      </c>
      <c r="R332" s="3">
        <f>2313.2+(0-892)+(-5.89866+(0--2.2746))+0--96.8-0.246839999999986</f>
        <v>1514.1290999999997</v>
      </c>
      <c r="S332" s="3">
        <f>2318.9+(1-913.2)+(1.182639+(0.00051-0.465732))+0--96.6--0.0492659999999902</f>
        <v>1504.066683</v>
      </c>
      <c r="T332" s="3">
        <f>2447+(1-1050.9)+(0+(0-0))+0--96.5-0</f>
        <v>1493.6</v>
      </c>
      <c r="U332" s="3">
        <f>2488.5+(0-1077.5)+(2.53827+(0-1.09905))+0--96.9--0.0988380000000155</f>
        <v>1509.4380580000002</v>
      </c>
      <c r="V332" s="3">
        <f>2493.6+(0-1061.1)+(-2.543472+(0--1.082322))+0--97.2-0.0991440000000155</f>
        <v>1528.1397059999999</v>
      </c>
      <c r="W332" s="3">
        <f>2502.4+(0-975.5)+(-2.552448+(0--0.99501))+0--97.7-0.0996540000000156</f>
        <v>1622.942908</v>
      </c>
      <c r="X332" s="3">
        <f>2524.3+(0-796.5)+(-3.862179+(0--1.218645))+0--97.3-0.148869000000006</f>
        <v>1822.307597</v>
      </c>
      <c r="Y332" s="3">
        <f>2530.7+(0-858.5)+(-5.162628+(0--1.75134))+0--97.5-0.198899999999996</f>
        <v>1766.0898119999997</v>
      </c>
      <c r="Z332" s="3">
        <f>2535.7+(0-930.5)+(-3.879621+(0--1.423665))+0--97.5-0.149175000000006</f>
        <v>1700.0948689999998</v>
      </c>
      <c r="AA332" s="3">
        <f>2501.7+(1-947.1)+(-3.827601+(-0.00153--1.449063))+0--97.8-0.149634000000006</f>
        <v>1650.8702979999998</v>
      </c>
      <c r="AB332" s="3">
        <f>2479.9+(3-1028.6)+(-2.529498+(-0.00306--1.049172))+0--97.9-0.0998580000000156</f>
        <v>1550.6167560000001</v>
      </c>
      <c r="AC332" s="3">
        <f>2442.9+(7-1125.9)+(-2.491758+(-0.00714--1.148418))+0--98.5-0.100470000000016</f>
        <v>1421.0490499999999</v>
      </c>
      <c r="AD332">
        <v>1832.8</v>
      </c>
      <c r="AE332" s="3">
        <f>2515+(0-779.2)+(0+(0-0))+0--97-0</f>
        <v>1832.8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2396.6+(19-1204.3)+(-6.11133+(-0.04845--3.070965))+0--98.5-0.251174999999986</f>
        <v>1306.46001</v>
      </c>
      <c r="G333" s="3">
        <f>2345.7+(18-1238)+(-3.588921+(-0.02754--1.89414))+0--98.4-0.150552000000006</f>
        <v>1222.2271269999999</v>
      </c>
      <c r="H333" s="3">
        <f>2118.9+(21-1079.5)+(-3.241917+(-0.03213--1.651635))+0--98-0.149940000000006</f>
        <v>1156.6276480000001</v>
      </c>
      <c r="I333" s="3">
        <f>1913.6+(22-915.8)+(-3.903744+(-0.04488--1.868232))+0--97-0.197879999999996</f>
        <v>1114.5217279999999</v>
      </c>
      <c r="J333" s="3">
        <f>1720.8+(19-750.4)+(1.755216+(0.01938-0.765408))+0--97--0.0989400000000155</f>
        <v>1087.5081280000002</v>
      </c>
      <c r="K333" s="3">
        <f>1760.7+(18-740.5)+(0.897957+(0.00918-0.377655))+0--98.3--0.05013299999999</f>
        <v>1137.0796149999999</v>
      </c>
      <c r="L333" s="3">
        <f>1895.5+(18-777.9)+(-0.966705+(-0.00918--0.396729))+0--98.7-0.05033699999999</f>
        <v>1233.670507</v>
      </c>
      <c r="M333" s="3">
        <f>2116.6+(15-917)+(0+(0-0))+0--99.9-0</f>
        <v>1314.5</v>
      </c>
      <c r="N333" s="3">
        <f>2354.3+(14-1003.6)+(1.200693+(0.00714-0.511836))+0--98.2--0.05008199999999</f>
        <v>1463.6460790000003</v>
      </c>
      <c r="O333" s="3">
        <f>2339+(13-839.4)+(-1.19289+(-0.00663--0.428094))+0--97.2-0.0495719999999901</f>
        <v>1608.979002</v>
      </c>
      <c r="P333" s="3">
        <f>2380.5+(13-830.2)+(0+(0-0))+0--96.2-0</f>
        <v>1659.5</v>
      </c>
      <c r="Q333" s="3">
        <f>2460.8+(9-933.9)+(-2.510016+(-0.00918--0.952578))+0--95.4-0.0973080000000152</f>
        <v>1629.636074</v>
      </c>
      <c r="R333" s="3">
        <f>2502.2+(10-964.7)+(-5.104488+(-0.0204--1.967988))+0--93.9-0.191555999999996</f>
        <v>1638.0515439999999</v>
      </c>
      <c r="S333" s="3">
        <f>2503.3+(10-1032.5)+(-5.106732+(-0.0204--2.1063))+0--93.2-0.190127999999996</f>
        <v>1570.7890400000003</v>
      </c>
      <c r="T333" s="3">
        <f>2498.3+(10-1088.1)+(-2.548266+(-0.0102--1.109862))+0--93.3-0.0951660000000149</f>
        <v>1511.9562300000002</v>
      </c>
      <c r="U333" s="3">
        <f>2501.6+(10-1128.4)+(-5.103264+(-0.0204--2.301936))+0--93.4-0.190535999999996</f>
        <v>1473.5877359999999</v>
      </c>
      <c r="V333" s="3">
        <f>2559.4+(10-1134.4)+(-1.305294+(-0.0051--0.578544))+0--93.7-0.0477869999999905</f>
        <v>1527.9203630000002</v>
      </c>
      <c r="W333" s="3">
        <f>2627.9+(10-1196)+(-4.020687+(-0.0153--1.82988))+0--94.4-0.144432000000005</f>
        <v>1533.9494610000002</v>
      </c>
      <c r="X333" s="3">
        <f>2495.6+(15-964)+(-2.545512+(-0.0153--0.98328))+0--92.9-0.0947580000000148</f>
        <v>1637.82771</v>
      </c>
      <c r="Y333" s="3">
        <f>2486.9+(15-971.1)+(-2.536638+(-0.0153--0.990522))+0--98-0.0999600000000156</f>
        <v>1627.1386240000002</v>
      </c>
      <c r="Z333" s="3">
        <f>2476.1+(15-1021.7)+(-3.788433+(-0.02295--1.563201))+0--90.7-0.138771000000005</f>
        <v>1557.713047</v>
      </c>
      <c r="AA333" s="3">
        <f>2438.3+(15-1065.3)+(-2.487066+(-0.0153--1.086606))+0--91.5-0.0933300000000146</f>
        <v>1477.9909100000002</v>
      </c>
      <c r="AB333" s="3">
        <f>2466+(14-1180.4)+(-3.77298+(-0.02142--1.806012))+0--91.4-0.139842000000005</f>
        <v>1388.87177</v>
      </c>
      <c r="AC333" s="3">
        <f>2470.4+(13-1286.2)+(0+(0-0))+0--90-0</f>
        <v>1287.2</v>
      </c>
      <c r="AD333">
        <v>1675.5</v>
      </c>
      <c r="AE333" s="3">
        <f>2531+(0-948.5)+(0+(0-0))+0--93-0</f>
        <v>1675.5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2325.9+(10-1382.9)+(-2.372418+(-0.0102--1.410558))+0--89-0.0907800000000142</f>
        <v>1040.9371599999999</v>
      </c>
      <c r="G334" s="3">
        <f>2205.5+(10-1346.2)+(-1.124805+(-0.0051--0.686562))+0--89-0.045389999999991</f>
        <v>957.81126699999993</v>
      </c>
      <c r="H334" s="3">
        <f>2008+(13-1184)+(0+(0-0))+0--89-0</f>
        <v>926</v>
      </c>
      <c r="I334" s="3">
        <f>1624.4+(14-870.7)+(-1.656888+(-0.01428--0.888114))+0--89-0.0907800000000142</f>
        <v>855.82616600000006</v>
      </c>
      <c r="J334" s="3">
        <f>1516.1+(13-806.9)+(3.866055+(0.03315-2.057595))+0--89--0.226949999999987</f>
        <v>813.26855999999987</v>
      </c>
      <c r="K334" s="3">
        <f>1698+(12-919.2)+(0.86598+(0.00612-0.468792))+0--90--0.0458999999999909</f>
        <v>881.24920799999995</v>
      </c>
      <c r="L334" s="3">
        <f>2014.5+(11-1028.1)+(-2.05479+(-0.01122--1.048662))+0--89-0.0907800000000142</f>
        <v>1085.2918720000002</v>
      </c>
      <c r="M334" s="3">
        <f>1914.1+(10-941)+(0.976191+(0.0051-0.47991))+0--90--0.0458999999999909</f>
        <v>1073.647281</v>
      </c>
      <c r="N334" s="3">
        <f>2018.5+(10-957.1)+(0+(0-0))+0--88-0</f>
        <v>1159.4000000000001</v>
      </c>
      <c r="O334" s="3">
        <f>2151.6+(10-946.5)+(-1.097316+(-0.0051--0.482715))+0--87-0.0443699999999912</f>
        <v>1301.4359289999998</v>
      </c>
      <c r="P334" s="3">
        <f>2176.5+(16-918.2)+(-1.110015+(-0.00816--0.468282))+0--86-0.0438599999999913</f>
        <v>1359.6062469999999</v>
      </c>
      <c r="Q334" s="3">
        <f>2224.5+(15-917.3)+(-4.53798+(-0.0306--1.871292))+0--86-0.175439999999996</f>
        <v>1405.327272</v>
      </c>
      <c r="R334" s="3">
        <f>2276.3+(6-1099.3)+(-3.482739+(-0.00918--1.681929))+0--87-0.133110000000005</f>
        <v>1268.0569000000003</v>
      </c>
      <c r="S334" s="3">
        <f>2304.3+(6-1162.1)+(-3.525579+(-0.00918--1.778013))+0--87-0.133110000000005</f>
        <v>1233.3101440000003</v>
      </c>
      <c r="T334" s="3">
        <f>2281.7+(6-1180)+(-4.654668+(-0.01224--2.4072))+0--87-0.177479999999996</f>
        <v>1192.2628119999997</v>
      </c>
      <c r="U334" s="3">
        <f>2210.6+(6-1153.4)+(-1.127406+(-0.00306--0.588234))+0--87-0.0443699999999912</f>
        <v>1149.6133979999997</v>
      </c>
      <c r="V334" s="3">
        <f>2140.2+(6-1027.6)+(-1.091502+(-0.00306--0.524076))+0--87-0.0443699999999912</f>
        <v>1204.9851439999998</v>
      </c>
      <c r="W334" s="3">
        <f>2169+(6-982.2)+(-2.21238+(-0.00612--1.001844))+0--87-0.0887400000000139</f>
        <v>1278.494604</v>
      </c>
      <c r="X334" s="3">
        <f>2333.1+(6-921.4)+(0+(0-0))+0--87-0</f>
        <v>1504.6999999999998</v>
      </c>
      <c r="Y334" s="3">
        <f>2336+(6-925.7)+(1.19136+(0.00306-0.472107))+0--87--0.0443699999999912</f>
        <v>1504.066683</v>
      </c>
      <c r="Z334" s="3">
        <f>2333.8+(6-985)+(-2.380476+(-0.00612--1.0047))+0--87-0.0887400000000139</f>
        <v>1440.3293640000002</v>
      </c>
      <c r="AA334" s="3">
        <f>2332.8+(6-1039)+(-5.94864+(-0.0153--2.64945))+0--87-0.221849999999987</f>
        <v>1383.2636600000003</v>
      </c>
      <c r="AB334" s="3">
        <f>2349+(6-1124.6)+(-2.39598+(-0.00612--1.147092))+0--88-0.089760000000014</f>
        <v>1317.0552319999999</v>
      </c>
      <c r="AC334" s="3">
        <f>2300.2+(10-1172.2)+(-4.692408+(-0.0204--2.391288))+0--87-0.177479999999996</f>
        <v>1222.5009999999997</v>
      </c>
      <c r="AD334">
        <v>1492.2000000000003</v>
      </c>
      <c r="AE334" s="3">
        <f>2329+(0.3-930.8)+(0+(0-0))+0--93.7-0</f>
        <v>1492.2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2001+(15-990.4)+(-5.10255+(-0.03825--2.52552))+0--141-0.35954999999998</f>
        <v>1163.62517</v>
      </c>
      <c r="G335" s="3">
        <f>1795.5+(19-902.1)+(-4.578525+(-0.04845--2.300355))+0--141-0.35954999999998</f>
        <v>1050.7138299999999</v>
      </c>
      <c r="H335" s="3">
        <f>1673.4+(30-880.1)+(-3.413736+(-0.0612--1.795404))+0--140-0.285599999999994</f>
        <v>961.33486800000003</v>
      </c>
      <c r="I335" s="3">
        <f>1675.9+(21-908.4)+(-3.418836+(-0.04284--1.853136))+0--141-0.287639999999994</f>
        <v>927.60382000000016</v>
      </c>
      <c r="J335" s="3">
        <f>1827.6+(20-1028.2)+(0.932076+(0.0102-0.524382))+0--141--0.0719099999999857</f>
        <v>960.88980399999991</v>
      </c>
      <c r="K335" s="3">
        <f>2003+(20-1157.3)+(4.08612+(0.0408-2.360892))+0--141--0.287639999999994</f>
        <v>1008.7536680000001</v>
      </c>
      <c r="L335" s="3">
        <f>2276.5+(15-1245.4)+(-5.805075+(-0.03825--3.17577))+0--91.3-0.232814999999987</f>
        <v>1134.4996299999998</v>
      </c>
      <c r="M335" s="3">
        <f>2294.6+(15-1180.2)+(2.340492+(0.0153-1.203804))+0--92--0.0938400000000147</f>
        <v>1222.6458279999999</v>
      </c>
      <c r="N335" s="3">
        <f>2282.1+(14-1094.4)+(0+(0-0))+0--92.2-0</f>
        <v>1293.8999999999999</v>
      </c>
      <c r="O335" s="3">
        <f>2267+(13-1029.5)+(-1.15617+(-0.00663--0.525045))+0--91.8-0.0468179999999907</f>
        <v>1341.615427</v>
      </c>
      <c r="P335" s="3">
        <f>2269+(13-954.3)+(-5.78595+(-0.03315--2.433465))+0--92.3-0.235364999999987</f>
        <v>1416.3789999999999</v>
      </c>
      <c r="Q335" s="3">
        <f>2287.1+(13-975.6)+(2.332842+(0.01326-0.995112))+0--91.5--0.0933300000000146</f>
        <v>1417.4443199999998</v>
      </c>
      <c r="R335" s="3">
        <f>2303.7+(0-874)+(-5.874435+(0--2.2287))+0--92.3-0.235364999999987</f>
        <v>1518.1188999999997</v>
      </c>
      <c r="S335" s="3">
        <f>2313+(0-1041.4)+(-5.89815+(0--2.65557))+0--93-0.237149999999987</f>
        <v>1361.1202699999999</v>
      </c>
      <c r="T335" s="3">
        <f>2316.3+(0-1062.3)+(-1.181313+(0--0.541773))+0--93-0.0474299999999906</f>
        <v>1346.3130300000003</v>
      </c>
      <c r="U335" s="3">
        <f>2319.2+(0-1090.5)+(0+(0-0))+0--93-0</f>
        <v>1321.6999999999998</v>
      </c>
      <c r="V335" s="3">
        <f>2315+(0-1067.1)+(-2.3613+(0--1.088442))+0--93-0.0948600000000148</f>
        <v>1339.5322820000001</v>
      </c>
      <c r="W335" s="3">
        <f>2324.3+(0-973.1)+(1.185393+(0-0.496281))+0--93--0.0474299999999906</f>
        <v>1444.9365420000004</v>
      </c>
      <c r="X335" s="3">
        <f>2332.5+(0-799.4)+(-1.189575+(0--0.407694))+0--93-0.0474299999999906</f>
        <v>1625.2706889999997</v>
      </c>
      <c r="Y335" s="3">
        <f>2297.1+(0-795.8)+(-1.171521+(0--0.405858))+0--93-0.0474299999999906</f>
        <v>1593.486907</v>
      </c>
      <c r="Z335" s="3">
        <f>2279.5+(5-837.9)+(-4.65018+(-0.0102--1.709316))+0--93-0.189719999999996</f>
        <v>1536.4592159999997</v>
      </c>
      <c r="AA335" s="3">
        <f>2287.1+(6-905.6)+(1.166421+(0.00306-0.461856))+0--93--0.0474299999999906</f>
        <v>1481.2550550000001</v>
      </c>
      <c r="AB335" s="3">
        <f>2200.6+(3-920.5)+(-4.489224+(-0.00612--1.87782))+0--93-0.189719999999996</f>
        <v>1373.2927559999998</v>
      </c>
      <c r="AC335" s="3">
        <f>2087.1+(5-994.6)+(-5.322105+(-0.01275--2.53623))+0--93-0.237149999999987</f>
        <v>1187.4642250000002</v>
      </c>
      <c r="AD335">
        <v>1695.6</v>
      </c>
      <c r="AE335" s="3">
        <f>2335+(10-742.4)+(0+(0-0))+0--93-0</f>
        <v>1695.6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2025.9+(3-891.4)+(-3.099627+(-0.00459--1.363842))+0--93-0.142290000000005</f>
        <v>1228.6173349999999</v>
      </c>
      <c r="G336" s="3">
        <f>1916.7+(3-864.6)+(-3.910068+(-0.00612--1.763784))+0--93.2-0.190127999999996</f>
        <v>1145.9574680000001</v>
      </c>
      <c r="H336" s="3">
        <f>1707.8+(3-718.4)+(1.741956+(0.00306-0.732768))+0--93--0.0948600000000148</f>
        <v>1086.507108</v>
      </c>
      <c r="I336" s="3">
        <f>1661.7+(3-680.8)+(-2.542401+(-0.00459--1.041624))+0--93.9-0.143667000000005</f>
        <v>1076.1509660000002</v>
      </c>
      <c r="J336" s="3">
        <f>1631.1+(3-648.6)+(-0.831861+(-0.00153--0.330786))+0-0-0</f>
        <v>984.99739499999987</v>
      </c>
      <c r="K336" s="3">
        <f>1691.5+(4-659)+(1.72533+(0.00408-0.67218))+0--94.4--0.0962880000000151</f>
        <v>1132.0535179999999</v>
      </c>
      <c r="L336" s="3">
        <f>1780.7+(4-698.6)+(0.908157+(0.00204-0.356286))+0--94.8--0.0483479999999904</f>
        <v>1181.5022589999999</v>
      </c>
      <c r="M336" s="3">
        <f>1868.6+(3-756.4)+(0.952986+(0.00153-0.385764))+0--95.1--0.0485009999999904</f>
        <v>1210.9172529999996</v>
      </c>
      <c r="N336" s="3">
        <f>1975.4+(4-778.3)+(-1.007454+(-0.00204--0.396933))+0--94.8-0.0483479999999904</f>
        <v>1295.2390910000001</v>
      </c>
      <c r="O336" s="3">
        <f>2095.8+(11.6-823.9)+(-1.068858+(-0.005916--0.420189))+0--94-0.0479399999999905</f>
        <v>1376.7974750000003</v>
      </c>
      <c r="P336" s="3">
        <f>2156.8+(8.9-864.3)+(1.099968+(0.004539-0.440793))+0--94.5--0.0481949999999904</f>
        <v>1396.6119090000002</v>
      </c>
      <c r="Q336" s="3">
        <f>2201.5+(3.8-904.5)+(-2.24553+(-0.003876--0.92259))+0--94.7-0.0965940000000151</f>
        <v>1394.0765899999999</v>
      </c>
      <c r="R336" s="3">
        <f>2193.2+(0-947.2)+(-4.474128+(0--1.932288))+0--94.2-0.192167999999996</f>
        <v>1337.4659919999997</v>
      </c>
      <c r="S336" s="3">
        <f>2197.4+(1-963.1)+(-3.362022+(-0.00153--1.473543))+0--93.8-0.143514000000005</f>
        <v>1327.0664770000001</v>
      </c>
      <c r="T336" s="3">
        <f>2203.1+(0-994.9)+(1.123581+(0-0.507399))+0--92.8--0.0473279999999906</f>
        <v>1301.6635099999996</v>
      </c>
      <c r="U336" s="3">
        <f>2201.6+(0-1002.5)+(-4.491264+(0--2.0451))+0--92.8-0.189311999999996</f>
        <v>1289.2645239999999</v>
      </c>
      <c r="V336" s="3">
        <f>2212.2+(0-985.2)+(0+(0-0))+0--93-0</f>
        <v>1319.9999999999998</v>
      </c>
      <c r="W336" s="3">
        <f>2222+(0-924.3)+(-1.13322+(0--0.471393))+0--93.7-0.0477869999999905</f>
        <v>1390.6903860000002</v>
      </c>
      <c r="X336" s="3">
        <f>2234.8+(2.4-719.1)+(-1.139748+(-0.001224--0.366741))+0--92.3-0.0470729999999906</f>
        <v>1609.578696</v>
      </c>
      <c r="Y336" s="3">
        <f>2235.9+(0-787.5)+(-3.420927+(0--1.204875))+0--92.4-0.141372000000005</f>
        <v>1538.4425760000001</v>
      </c>
      <c r="Z336" s="3">
        <f>2239.9+(0-879.3)+(-5.711745+(0--2.242215))+0--93.3-0.237914999999986</f>
        <v>1450.1925550000001</v>
      </c>
      <c r="AA336" s="3">
        <f>2254.5+(0-863.1)+(1.149795+(0-0.440181))+0--93.9--0.0478889999999905</f>
        <v>1486.0575030000002</v>
      </c>
      <c r="AB336" s="3">
        <f>2217.8+(0-877.4)+(-4.524312+(0--1.789896))+0--94.1-0.191963999999996</f>
        <v>1431.5736199999999</v>
      </c>
      <c r="AC336" s="3">
        <f>2015+(4-828.4)+(-4.1106+(-0.00816--1.689936))+0--95.8-0.195431999999996</f>
        <v>1283.7757439999998</v>
      </c>
      <c r="AD336">
        <v>1632</v>
      </c>
      <c r="AE336" s="3">
        <f>2291+(10-761)+(0+(0-0))+0--92-0</f>
        <v>1632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1953.3+(13-893.8)+(-3.984732+(-0.02652--1.823352))+0-0-0</f>
        <v>1070.3121000000001</v>
      </c>
      <c r="G337" s="3">
        <f>1955.9+(17-870.4)+(-2.992527+(-0.02601--1.331712))+0-0-0</f>
        <v>1100.813175</v>
      </c>
      <c r="H337" s="3">
        <f>1833.5+(13-785.7)+(-1.87017+(-0.01326--0.801414))+0-0-0</f>
        <v>1059.7179839999999</v>
      </c>
      <c r="I337" s="3">
        <f>1660.4+(12-647.9)+(-1.693608+(-0.01224--0.660858))+0--96.3-0.0982260000000154</f>
        <v>1119.656784</v>
      </c>
      <c r="J337" s="3">
        <f>1609.5+(15-598.5)+(1.64169+(0.0153-0.61047))+0--96.5--0.0984300000000154</f>
        <v>1123.6449500000001</v>
      </c>
      <c r="K337" s="3">
        <f>1612.4+(14-603.4)+(2.466972+(0.02142-0.923202))+0--97.3--0.148869000000006</f>
        <v>1122.0140590000001</v>
      </c>
      <c r="L337" s="3">
        <f>1663.8+(13-513.3)+(1.697076+(0.01326-0.523566))+0--102.1--0.104142000000016</f>
        <v>1266.8909119999998</v>
      </c>
      <c r="M337" s="3">
        <f>1780.3+(13-624.7)+(-0.907953+(-0.00663--0.318597))+0--105-0.0535499999999893</f>
        <v>1272.9504639999998</v>
      </c>
      <c r="N337" s="3">
        <f>2011.6+(34-763.7)+(3.077748+(0.05202-1.168461))+0--104.8--0.160344000000006</f>
        <v>1388.8216509999997</v>
      </c>
      <c r="O337" s="3">
        <f>2144.6+(25-847.4)+(2.187492+(0.0255-0.864348))+0--100.2--0.102204000000016</f>
        <v>1423.8508479999998</v>
      </c>
      <c r="P337" s="3">
        <f>2075.3+(32-712.2)+(2.116806+(0.03264-0.726444))+0--99--0.100980000000016</f>
        <v>1495.6239820000001</v>
      </c>
      <c r="Q337" s="3">
        <f>2051.9+(28-677.6)+(-1.046469+(-0.01428--0.345576))+0--99.9-0.0509489999999899</f>
        <v>1501.4338780000003</v>
      </c>
      <c r="R337" s="3">
        <f>2017.9+(33-722.2)+(-3.087387+(-0.05049--1.104966))+0--99.7-0.152541000000006</f>
        <v>1426.2145480000001</v>
      </c>
      <c r="S337" s="3">
        <f>2054.9+(27-754.2)+(1.047999+(0.01377-0.384642))+0--99.8--0.0508979999999899</f>
        <v>1428.2280249999999</v>
      </c>
      <c r="T337" s="3">
        <f>2062.2+(20-761.6)+(-1.051722+(-0.0102--0.388416))+0--100.2-0.0511019999999898</f>
        <v>1420.075392</v>
      </c>
      <c r="U337" s="3">
        <f>1962.4+(25-674)+(-4.003296+(-0.051--1.37496))+0--99.7-0.203387999999996</f>
        <v>1410.2172760000003</v>
      </c>
      <c r="V337" s="3">
        <f>1887.1+(21-596.4)+(0.962421+(0.01071-0.304164))+0--99--0.05048999999999</f>
        <v>1411.419457</v>
      </c>
      <c r="W337" s="3">
        <f>1893+(37.5-559.9)+(0+(0-0))+0--99-0</f>
        <v>1469.6</v>
      </c>
      <c r="X337" s="3">
        <f>2015.9+(118.4-523)+(-2.056218+(-0.120768--0.53346))+0--99.2-0.101184000000016</f>
        <v>1708.7552900000001</v>
      </c>
      <c r="Y337" s="3">
        <f>2188+(35.8-606)+(-7.81116+(-0.127806--2.16342))+0--100.1-0.357357000000001</f>
        <v>1711.7670969999997</v>
      </c>
      <c r="Z337" s="3">
        <f>1930.6+(65.4-433.9)+(-3.938424+(-0.133416--0.885156))+0--100.4-0.204815999999996</f>
        <v>1659.1085</v>
      </c>
      <c r="AA337" s="3">
        <f>1872.3+(46.1-403.6)+(-5.729238+(-0.141066--1.235016))+0--100.9-0.308754000000012</f>
        <v>1610.7559580000002</v>
      </c>
      <c r="AB337" s="3">
        <f>1879.1+(24-471.9)+(-1.916682+(-0.02448--0.481338))+0--101.2-0.103224000000016</f>
        <v>1530.8369519999999</v>
      </c>
      <c r="AC337" s="3">
        <f>1836+(26-545.8)+(-3.74544+(-0.05304--1.113432))+0--101.5-0.207059999999996</f>
        <v>1414.807892</v>
      </c>
      <c r="AD337">
        <v>1695.5000000000002</v>
      </c>
      <c r="AE337" s="3">
        <f>2114+(75.3-593.8)+(0+(0-0))+0--100-0</f>
        <v>1695.5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1750.7+(3-546.5)+(-2.678571+(-0.00459--0.836145))+0--101.6-0.155448000000006</f>
        <v>1306.797536</v>
      </c>
      <c r="G338" s="3">
        <f>1817.4+(3-689.4)+(-0.926874+(-0.00153--0.351594))+0--101.8-0.0519179999999897</f>
        <v>1232.171272</v>
      </c>
      <c r="H338" s="3">
        <f>1784.9+(3-694.3)+(-4.551495+(-0.00765--1.770465))+0--102-0.260099999999985</f>
        <v>1192.5512200000001</v>
      </c>
      <c r="I338" s="3">
        <f>1690.3+(3-623.4)+(-1.724106+(-0.00306--0.635868))+0--101.7-0.103734000000016</f>
        <v>1170.4049680000001</v>
      </c>
      <c r="J338" s="3">
        <f>1691.7+(3-621.3)+(-3.451068+(-0.00612--1.267452))+0--101.7-0.207467999999996</f>
        <v>1172.702796</v>
      </c>
      <c r="K338" s="3">
        <f>1716+(3-612.9)+(0+(0-0))+0--101.8-0</f>
        <v>1207.8999999999999</v>
      </c>
      <c r="L338" s="3">
        <f>1980+(18-807.3)+(-4.0392+(-0.03672--1.646892))+0--102.5-0.209099999999996</f>
        <v>1290.561872</v>
      </c>
      <c r="M338" s="3">
        <f>2170.9+(18-941.1)+(-1.107159+(-0.00918--0.479961))+0--103.4-0.0527339999999895</f>
        <v>1350.5108880000003</v>
      </c>
      <c r="N338" s="3">
        <f>2254.3+(23-954.9)+(4.598772+(0.04692-1.947996))+0--103.8--0.211751999999995</f>
        <v>1429.1094479999999</v>
      </c>
      <c r="O338" s="3">
        <f>2251.1+(26-882.8)+(1.148061+(0.01326-0.450228))+0--103.2--0.0526319999999895</f>
        <v>1498.2637249999998</v>
      </c>
      <c r="P338" s="3">
        <f>2232.8+(27-842.8)+(0+(0-0))+0--102.7-0</f>
        <v>1519.7000000000003</v>
      </c>
      <c r="Q338" s="3">
        <f>2242.1+(27-798.5)+(-4.573884+(-0.05508--1.62894))+0--103-0.210119999999996</f>
        <v>1570.389856</v>
      </c>
      <c r="R338" s="3">
        <f>2235.3+(22.4-913.1)+(-5.700015+(-0.05712--2.328405))+0--103.2-0.263159999999985</f>
        <v>1444.1081100000001</v>
      </c>
      <c r="S338" s="3">
        <f>2230.9+(22.2-892.1)+(-3.413277+(-0.033966--1.364913))+0--104.5-0.159885000000006</f>
        <v>1463.257785</v>
      </c>
      <c r="T338" s="3">
        <f>2202.5+(15.3-881.5)+(-3.369825+(-0.023409--1.348695))+0--103.8-0.158814000000006</f>
        <v>1437.896647</v>
      </c>
      <c r="U338" s="3">
        <f>2175.6+(18.9-883.3)+(-3.328668+(-0.028917--1.351449))+0--104.2-0.159426000000006</f>
        <v>1413.234438</v>
      </c>
      <c r="V338" s="3">
        <f>2184.3+(17.3-883.6)+(2.227986+(0.017646-0.901272))+0--104.4--0.106488000000017</f>
        <v>1423.8508480000003</v>
      </c>
      <c r="W338" s="3">
        <f>2196.1+(12.7-825.7)+(1.120011+(0.006477-0.421107))+0--104.2--0.0531419999999894</f>
        <v>1488.0585229999999</v>
      </c>
      <c r="X338" s="3">
        <f>2253.1+(36-676)+(0+(0-0))+0--103.4-0</f>
        <v>1716.5</v>
      </c>
      <c r="Y338" s="3">
        <f>2260.3+(16.1-736.8)+(-5.763765+(-0.041055--1.87884))+0--160.4-0.409019999999977</f>
        <v>1695.6650000000004</v>
      </c>
      <c r="Z338" s="3">
        <f>2085.8+(44.8-678.1)+(0+(0-0))+0--175.8-0</f>
        <v>1628.3</v>
      </c>
      <c r="AA338" s="3">
        <f>2113.3+(17.5-682.4)+(-3.233349+(-0.026775--1.044072))+0--176.7-0.27035100000001</f>
        <v>1622.613597</v>
      </c>
      <c r="AB338" s="3">
        <f>2131.7+(21-801.2)+(-3.261501+(-0.03213--1.225836))+0--178.5-0.27310500000001</f>
        <v>1527.6590999999999</v>
      </c>
      <c r="AC338" s="3">
        <f>2014.6+(19.2-801.6)+(-2.054892+(-0.019584--0.817632))+0--179-0.182580000000029</f>
        <v>1409.7605759999999</v>
      </c>
      <c r="AD338">
        <v>1793.1</v>
      </c>
      <c r="AE338" s="3">
        <f>2261+(69.2-639.6)+(0+(0-0))+0--102.5-0</f>
        <v>1793.1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1990.7+(37-862.4)+(-3.045771+(-0.05661--1.319472))+0--179.2-0.27417600000001</f>
        <v>1342.4429150000003</v>
      </c>
      <c r="G339" s="3">
        <f>1989.3+(38-982.6)+(0+(0-0))+0--179.1-0</f>
        <v>1223.7999999999997</v>
      </c>
      <c r="H339" s="3">
        <f>1972.7+(43-952.9)+(-3.018231+(-0.06579--1.457937))+0--179.5-0.27463500000001</f>
        <v>1240.3992810000002</v>
      </c>
      <c r="I339" s="3">
        <f>1886.2+(40-902.2)+(0.961962+(0.0204-0.460122))+0--179.3--0.0914429999999818</f>
        <v>1203.913683</v>
      </c>
      <c r="J339" s="3">
        <f>1971.1+(27-1051.8)+(-1.005261+(-0.01377--0.536418))+0--255-0.130049999999974</f>
        <v>1200.6873370000001</v>
      </c>
      <c r="K339" s="3">
        <f>2007+(22-1052.6)+(3.07071+(0.03366-1.610478))+0--259.7--0.397341000000015</f>
        <v>1237.9912330000002</v>
      </c>
      <c r="L339" s="3">
        <f>2079+(22.4-1047.8)+(-1.06029+(-0.011424--0.534378))+0--261.4-0.133313999999973</f>
        <v>1314.3293500000002</v>
      </c>
      <c r="M339" s="3">
        <f>2096.2+(22.6-981.9)+(1.069062+(0.011526-0.500769))+0--259.2--0.132191999999974</f>
        <v>1396.812011</v>
      </c>
      <c r="N339" s="3">
        <f>2169.8+(27.8-982.2)+(-1.106598+(-0.014178--0.500922))+0--256.4-0.130763999999974</f>
        <v>1471.0493820000002</v>
      </c>
      <c r="O339" s="3">
        <f>2053.7+(41.2-848.3)+(-1.047387+(-0.021012--0.432633))+0--254.5-0.129794999999974</f>
        <v>1500.3344389999997</v>
      </c>
      <c r="P339" s="3">
        <f>2105.7+(45-858.4)+(0+(0-0))+0--251.6-0</f>
        <v>1543.8999999999996</v>
      </c>
      <c r="Q339" s="3">
        <f>2010.8+(33-743.3)+(-2.051016+(-0.03366--0.758166))+0--251-0.25602000000004</f>
        <v>1549.9174699999999</v>
      </c>
      <c r="R339" s="3">
        <f>1928.8+(24-718.9)+(-3.934752+(-0.04896--1.466556))+0--250.8-0.511631999999989</f>
        <v>1481.6712120000002</v>
      </c>
      <c r="S339" s="3">
        <f>1875+(7-658.6)+(-2.86875+(-0.01071--1.007658))+0--250.9-0.383877000000015</f>
        <v>1472.0443210000003</v>
      </c>
      <c r="T339" s="3">
        <f>1870.3+(7-645)+(-3.815412+(-0.01428--1.3158))+0--238-0.48551999999999</f>
        <v>1467.3005880000001</v>
      </c>
      <c r="U339" s="3">
        <f>1827.2+(11-623.3)+(-2.795616+(-0.01683--0.953649))+0--249.6-0.381888000000014</f>
        <v>1462.2593149999998</v>
      </c>
      <c r="V339" s="3">
        <f>1826.6+(14-616.6)+(-1.863132+(-0.01428--0.628932))+0--250.9-0.25591800000004</f>
        <v>1473.3956020000001</v>
      </c>
      <c r="W339" s="3">
        <f>1870+(10-616)+(-1.9074+(-0.0102--0.62832))+0--252.5-0.25755000000004</f>
        <v>1514.95317</v>
      </c>
      <c r="X339" s="3">
        <f>2103.8+(10.9-660.6)+(-3.218814+(-0.016677--1.010718))+0--251-0.384030000000015</f>
        <v>1702.4911970000003</v>
      </c>
      <c r="Y339" s="3">
        <f>2049.8+(25.8-609.7)+(-2.090796+(-0.026316--0.621894))+0--251.9-0.25693800000004</f>
        <v>1716.0478440000002</v>
      </c>
      <c r="Z339" s="3">
        <f>1916.5+(21.6-522)+(-5.86449+(-0.066096--1.59732))+0--252.4-0.772344000000029</f>
        <v>1663.3943899999999</v>
      </c>
      <c r="AA339" s="3">
        <f>1929.6+(4-565.5)+(-1.968192+(-0.00408--0.57681))+0--252.5-0.25755000000004</f>
        <v>1618.9469879999999</v>
      </c>
      <c r="AB339" s="3">
        <f>1927.3+(8-654.4)+(-4.914615+(-0.0204--1.66872))+0--252.8-0.644639999999963</f>
        <v>1529.7890650000002</v>
      </c>
      <c r="AC339" s="3">
        <f>1858.1+(17-698.6)+(-3.790524+(-0.03468--1.425144))+0--253.5-0.517139999999989</f>
        <v>1427.0828000000001</v>
      </c>
      <c r="AD339">
        <v>1744</v>
      </c>
      <c r="AE339" s="3">
        <f>2226+(5.5-740)+(0+(0-0))+0--252.5-0</f>
        <v>1744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1727.4+(14-805.5)+(-1.761948+(-0.01428--0.82161))+0--253.2-0.25826400000004</f>
        <v>1187.8871180000001</v>
      </c>
      <c r="G340" s="3">
        <f>1732.7+(21-813.2)+(0+(0-0))+0--254.4-0</f>
        <v>1194.9000000000001</v>
      </c>
      <c r="H340" s="3">
        <f>1690.6+(26-751)+(-0.862206+(-0.01326--0.38301))+0--255-0.130049999999974</f>
        <v>1219.977494</v>
      </c>
      <c r="I340" s="3">
        <f>1630.3+(26-712.5)+(3.325812+(0.05304-1.4535))+0--255.4--0.521015999999989</f>
        <v>1201.6463679999999</v>
      </c>
      <c r="J340" s="3">
        <f>1652+(22-730.5)+(2.52756+(0.03366-1.117665))+0--255.4--0.390762000000015</f>
        <v>1200.7343169999999</v>
      </c>
      <c r="K340" s="3">
        <f>1661.4+(15-689.1)+(4.23657+(0.03825-1.757205))+0--254.3--0.648464999999963</f>
        <v>1244.7660800000001</v>
      </c>
      <c r="L340" s="3">
        <f>1648.8+(14-618.1)+(-0.840888+(-0.00714--0.315231))+0--254-0.129539999999974</f>
        <v>1298.0376629999998</v>
      </c>
      <c r="M340" s="3">
        <f>1712.6+(13-613.3)+(0+(0-0))+0--255.3-0</f>
        <v>1367.6</v>
      </c>
      <c r="N340" s="3">
        <f>1907.5+(23-702.8)+(3.8913+(0.04692-1.433712))+0--253.9--0.517955999999989</f>
        <v>1484.622464</v>
      </c>
      <c r="O340" s="3">
        <f>1897.4+(21-635.6)+(1.935348+(0.02142-0.648312))+0--249.9--0.25489800000004</f>
        <v>1534.2633540000004</v>
      </c>
      <c r="P340" s="3">
        <f>1887+(24-603.8)+(0+(0-0))+0--248.2-0</f>
        <v>1555.4</v>
      </c>
      <c r="Q340" s="3">
        <f>1924.6+(16-666)+(2.944638+(0.02448-1.01898))+0--249.6--0.381888000000014</f>
        <v>1526.5320259999999</v>
      </c>
      <c r="R340" s="3">
        <f>1912.3+(15-709.5)+(-5.851638+(-0.0459--2.17107))+0--250.2-0.765612000000029</f>
        <v>1463.50792</v>
      </c>
      <c r="S340" s="3">
        <f>1962+(13-757.8)+(-6.00372+(-0.03978--2.318868))+0--249.5-0.763470000000029</f>
        <v>1462.211898</v>
      </c>
      <c r="T340" s="3">
        <f>1977.6+(14-794.7)+(-2.017152+(-0.01428--0.810594))+0--247.8-0.25275600000004</f>
        <v>1443.2264059999998</v>
      </c>
      <c r="U340" s="3">
        <f>1911.9+(14-749.3)+(-4.875345+(-0.0357--1.910715))+0--247.1-0.630104999999964</f>
        <v>1420.069565</v>
      </c>
      <c r="V340" s="3">
        <f>1790.3+(15-635.7)+(-1.826106+(-0.0153--0.648414))+0--248.2-0.25316400000004</f>
        <v>1416.353844</v>
      </c>
      <c r="W340" s="3">
        <f>1846.3+(20.2-667.9)+(0+(0-0))+0--250.2-0</f>
        <v>1448.8</v>
      </c>
      <c r="X340" s="3">
        <f>2002.9+(39.3-620)+(0+(0-0))+0--250-0</f>
        <v>1672.2</v>
      </c>
      <c r="Y340" s="3">
        <f>1992.4+(37.6-603.6)+(-2.032248+(-0.038352--0.615672))+0--251-0.25602000000004</f>
        <v>1675.6890519999999</v>
      </c>
      <c r="Z340" s="3">
        <f>1974.3+(22.1-629.4)+(-4.027572+(-0.045084--1.283976))+0--251.3-0.512651999999989</f>
        <v>1614.998668</v>
      </c>
      <c r="AA340" s="3">
        <f>1926.6+(17-623.1)+(0+(0-0))+0--251.9-0</f>
        <v>1572.4</v>
      </c>
      <c r="AB340" s="3">
        <f>1987.6+(16-764.2)+(-4.054704+(-0.03264--1.558968))+0--252.5-0.515099999999989</f>
        <v>1488.8565239999998</v>
      </c>
      <c r="AC340" s="3">
        <f>1875.2+(20-786.1)+(-1.912704+(-0.0204--0.801822))+0--252.3-0.25734600000004</f>
        <v>1360.0113719999997</v>
      </c>
      <c r="AD340">
        <v>1716.3</v>
      </c>
      <c r="AE340" s="3">
        <f>2017+(51-603.7)+(0+(0-0))+0--252-0</f>
        <v>1716.3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1839.7+(3-791.2)+(-1.876494+(-0.00306--0.807024))+0--254.2-0.259284000000041</f>
        <v>1304.3681860000002</v>
      </c>
      <c r="G341" s="3">
        <f>1838.4+(4-865.9)+(-0.937584+(-0.00204--0.441609))+0--254.4-0.129743999999974</f>
        <v>1230.2722410000001</v>
      </c>
      <c r="H341" s="3">
        <f>1840.4+(4-910.8)+(2.815812+(0.00612-1.393524))+0--255.4--0.390762000000015</f>
        <v>1190.8191700000002</v>
      </c>
      <c r="I341" s="3">
        <f>1836+(4-924.1)+(-2.80908+(-0.00612--1.413873))+0--256.2-0.391986000000015</f>
        <v>1170.3066869999998</v>
      </c>
      <c r="J341" s="3">
        <f>1752.8+(5-838.3)+(-0.893928+(-0.00255--0.427533))+0--257.2-0.131171999999974</f>
        <v>1176.0998830000001</v>
      </c>
      <c r="K341" s="3">
        <f>1670.9+(5-732)+(0+(0-0))+0--256.7-0</f>
        <v>1200.6000000000001</v>
      </c>
      <c r="L341" s="3">
        <f>1660.9+(19-710.5)+(-3.388236+(-0.03876--1.44942))+0--257.1-0.524483999999989</f>
        <v>1223.9979400000002</v>
      </c>
      <c r="M341" s="3">
        <f>1663.6+(13-689)+(-0.848436+(-0.00663--0.35139))+0--256.7-0.130916999999974</f>
        <v>1243.665407</v>
      </c>
      <c r="N341" s="3">
        <f>1812.5+(12-736.8)+(-0.924375+(-0.00612--0.375768))+0--253.9-0.129488999999974</f>
        <v>1340.9157840000003</v>
      </c>
      <c r="O341" s="3">
        <f>1899.6+(12-746)+(0+(0-0))+0--248.6-0</f>
        <v>1414.1999999999998</v>
      </c>
      <c r="P341" s="3">
        <f>1912.9+(12-691.6)+(0.975579+(0.00612-0.352716))+0--245.3--0.125102999999975</f>
        <v>1479.3540860000003</v>
      </c>
      <c r="Q341" s="3">
        <f>1942.7+(10-703.5)+(-3.963108+(-0.0204--1.43514))+0--242.9-0.495515999999989</f>
        <v>1489.0561160000002</v>
      </c>
      <c r="R341" s="3">
        <f>1782.5+(14.2-630.4)+(-2.727225+(-0.021726--0.964512))+0--241.4-0.369342000000014</f>
        <v>1405.5462190000003</v>
      </c>
      <c r="S341" s="3">
        <f>1652.3+(11.9-547.9)+(-2.528019+(-0.018207--0.838287))+0--241.8-0.369954000000014</f>
        <v>1356.022107</v>
      </c>
      <c r="T341" s="3">
        <f>1657.3+(17.7-571.5)+(-2.535669+(-0.027081--0.874395))+0--240.4-0.367812000000014</f>
        <v>1341.8438330000001</v>
      </c>
      <c r="U341" s="3">
        <f>1664.4+(10-572.9)+(-1.697688+(-0.0102--0.584358))+0--239.6-0.244392000000038</f>
        <v>1339.7320779999998</v>
      </c>
      <c r="V341" s="3">
        <f>1674.6+(8-575)+(0+(0-0))+0--242.8-0</f>
        <v>1350.3999999999999</v>
      </c>
      <c r="W341" s="3">
        <f>1650.1+(26.8-527.3)+(-1.683102+(-0.027336--0.537846))+0--244.4-0.249288000000039</f>
        <v>1392.5781200000001</v>
      </c>
      <c r="X341" s="3">
        <f>1876.4+(76.4-584.9)+(0+(0-0))+0--244.4-0</f>
        <v>1612.3000000000002</v>
      </c>
      <c r="Y341" s="3">
        <f>1885.7+(59.1-572.7)+(0+(0-0))+0--247.1-0</f>
        <v>1619.1999999999998</v>
      </c>
      <c r="Z341" s="3">
        <f>1894.6+(40.1-594.2)+(-0.966246+(-0.020451--0.303042))+0--247.9-0.126428999999975</f>
        <v>1587.5899160000001</v>
      </c>
      <c r="AA341" s="3">
        <f>1906.2+(16-620.8)+(0+(0-0))+0--247.9-0</f>
        <v>1549.3000000000002</v>
      </c>
      <c r="AB341" s="3">
        <f>1854.6+(14-688.5)+(-4.72923+(-0.0357--1.755675))+0--248.1-0.632654999999964</f>
        <v>1424.55809</v>
      </c>
      <c r="AC341" s="3">
        <f>1632.7+(21-558.8)+(-3.330708+(-0.04284--1.139952))+0--247.5-0.504899999999989</f>
        <v>1339.6615040000001</v>
      </c>
      <c r="AD341">
        <v>1634.6999999999998</v>
      </c>
      <c r="AE341" s="3">
        <f>1890+(78.8-578.6)+(0+(0-0))+0--244.5-0</f>
        <v>1634.7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1639.6+(31-623.2)+(0+(0-0))+0--248.6-0</f>
        <v>1295.9999999999998</v>
      </c>
      <c r="G342" s="3">
        <f>1575.2+(42-637.2)+(0.803352+(0.02142-0.324972))+0--248.5--0.126734999999975</f>
        <v>1229.1265350000001</v>
      </c>
      <c r="H342" s="3">
        <f>1514.8+(41-612.1)+(0+(0-0))+0--248-0</f>
        <v>1191.6999999999998</v>
      </c>
      <c r="I342" s="3">
        <f>1442.2+(35-489.6)+(-0.735522+(-0.01785--0.249696))+0--249.2-0.127091999999975</f>
        <v>1236.169232</v>
      </c>
      <c r="J342" s="3">
        <f>1496.3+(34-615.6)+(-0.763113+(-0.01734--0.313956))+0--249.1-0.127040999999975</f>
        <v>1163.2064619999999</v>
      </c>
      <c r="K342" s="3">
        <f>1545.2+(33-622)+(3.152208+(0.06732-1.26888))+0--249.8--0.509591999999989</f>
        <v>1208.4602399999999</v>
      </c>
      <c r="L342" s="3">
        <f>1700.8+(32-689.6)+(1.734816+(0.03264-0.703392))+0--250.9--0.25591800000004</f>
        <v>1295.4199819999999</v>
      </c>
      <c r="M342" s="3">
        <f>1855.5+(37-766.6)+(0.946305+(0.01887-0.390966))+0--249.8--0.127397999999975</f>
        <v>1376.4016070000002</v>
      </c>
      <c r="N342" s="3">
        <f>1864.4+(37-656.4)+(0+(0-0))+0--248.3-0</f>
        <v>1493.3</v>
      </c>
      <c r="O342" s="3">
        <f>1825.3+(39-546.5)+(0+(0-0))+0--245.4-0</f>
        <v>1563.2</v>
      </c>
      <c r="P342" s="3">
        <f>1804.4+(37-498.1)+(0.920244+(0.01887-0.254031))+0--243.7--0.124286999999975</f>
        <v>1587.8093700000002</v>
      </c>
      <c r="Q342" s="3">
        <f>1879.6+(33-540.6)+(-2.875788+(-0.05049--0.827118))+0--239.8-0.366894000000014</f>
        <v>1609.333946</v>
      </c>
      <c r="R342" s="3">
        <f>1874+(26.4-615.7)+(-2.86722+(-0.040392--0.942021))+0--237.4-0.363222000000014</f>
        <v>1519.7711870000001</v>
      </c>
      <c r="S342" s="3">
        <f>1880.3+(25.3-628.9)+(-1.917906+(-0.025806--0.641478))+0--238.4-0.243168000000038</f>
        <v>1513.5545979999999</v>
      </c>
      <c r="T342" s="3">
        <f>1892.1+(22.4-672.3)+(0.964971+(0.011424-0.342873))+0--239.9--0.122348999999976</f>
        <v>1482.855871</v>
      </c>
      <c r="U342" s="3">
        <f>1934.8+(24.8-719.2)+(0+(0-0))+0--239.2-0</f>
        <v>1479.6</v>
      </c>
      <c r="V342" s="3">
        <f>1881.7+(22.4-650.4)+(-0.959667+(-0.011424--0.331704))+0--238.6-0.121685999999976</f>
        <v>1491.5389270000001</v>
      </c>
      <c r="W342" s="3">
        <f>1863+(30-567.4)+(0+(0-0))+0--237.8-0</f>
        <v>1563.3999999999999</v>
      </c>
      <c r="X342" s="3">
        <f>1868.2+(87.2-481.9)+(0+(0-0))+0--237.8-0</f>
        <v>1711.3</v>
      </c>
      <c r="Y342" s="3">
        <f>1873.9+(47.7-487.1)+(-3.822756+(-0.097308--0.993684))+0--235.4-0.48021599999999</f>
        <v>1666.4934040000001</v>
      </c>
      <c r="Z342" s="3">
        <f>1782.1+(78.8-493.3)+(0.908871+(0.040188-0.251583))+0--232.4--0.118523999999976</f>
        <v>1600.816</v>
      </c>
      <c r="AA342" s="3">
        <f>1568.6+(147.8-440)+(-2.399958+(-0.226134--0.6732))+0--230.7-0.352971000000013</f>
        <v>1504.7941369999999</v>
      </c>
      <c r="AB342" s="3">
        <f>1520.2+(31.3-363.5)+(-5.427114+(-0.111741--1.297695))+0--229.6-0.819672000000003</f>
        <v>1412.5391679999998</v>
      </c>
      <c r="AC342" s="3">
        <f>1487+(23.4-436.6)+(-4.55022+(-0.071604--1.335996))+0--231.9-0.709614000000027</f>
        <v>1301.7045579999999</v>
      </c>
      <c r="AD342">
        <v>1717.4</v>
      </c>
      <c r="AE342" s="3">
        <f>1867+(89.7-469.3)+(0+(0-0))+0--230-0</f>
        <v>1717.4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1491.2+(27-529.5)+(0+(0-0))+0--235-0</f>
        <v>1223.7</v>
      </c>
      <c r="G343" s="3">
        <f>1359.3+(21-494.1)+(-2.772972+(-0.04284--1.007964))+0--241-0.491639999999989</f>
        <v>1124.9005119999999</v>
      </c>
      <c r="H343" s="3">
        <f>1363.7+(22-535.6)+(0.695487+(0.01122-0.273156))+0--241--0.122909999999976</f>
        <v>1091.656461</v>
      </c>
      <c r="I343" s="3">
        <f>1351+(23-528)+(-2.06703+(-0.03519--0.80784))+0--236-0.361080000000014</f>
        <v>1080.3445400000001</v>
      </c>
      <c r="J343" s="3">
        <f>1365.9+(19-560.1)+(2.089827+(0.02907-0.856953))+0--236--0.361080000000014</f>
        <v>1062.4230239999999</v>
      </c>
      <c r="K343" s="3">
        <f>1386.4+(15-577)+(2.828256+(0.0306-1.17708))+0--236--0.48143999999999</f>
        <v>1062.563216</v>
      </c>
      <c r="L343" s="3">
        <f>1509.4+(23-607.8)+(0+(0-0))+0--229.1-0</f>
        <v>1153.7</v>
      </c>
      <c r="M343" s="3">
        <f>1549.4+(29-641.8)+(-0.790194+(-0.01479--0.327318))+0--231.2-0.117911999999977</f>
        <v>1167.2044220000002</v>
      </c>
      <c r="N343" s="3">
        <f>1564.3+(30-583.8)+(-1.595586+(-0.0306--0.595476))+0--236.5-0.241230000000038</f>
        <v>1245.7280599999999</v>
      </c>
      <c r="O343" s="3">
        <f>1583+(31.1-533.2)+(-1.61466+(-0.031722--0.543864))+0--236.4-0.241128000000038</f>
        <v>1315.9563540000001</v>
      </c>
      <c r="P343" s="3">
        <f>1583.7+(29-512.1)+(-4.038435+(-0.07395--1.305855))+0--236.1-0.602054999999966</f>
        <v>1333.2914149999997</v>
      </c>
      <c r="Q343" s="3">
        <f>1587.8+(26.5-537.3)+(0+(0-0))+0--235.4-0</f>
        <v>1312.4</v>
      </c>
      <c r="R343" s="3">
        <f>1503.5+(33.6-482.6)+(-0.766785+(-0.017136--0.246126))+0--235.2-0.119951999999976</f>
        <v>1289.0422530000001</v>
      </c>
      <c r="S343" s="3">
        <f>1505.5+(34.9-488.2)+(-1.53561+(-0.035598--0.497964))+0--234.9-0.239598000000037</f>
        <v>1285.7871580000001</v>
      </c>
      <c r="T343" s="3">
        <f>1594.8+(40.2-602)+(0+(0-0))+0--234.9-0</f>
        <v>1267.9000000000001</v>
      </c>
      <c r="U343" s="3">
        <f>1577.3+(43.5-591.9)+(-0.804423+(-0.022185--0.301869))+0--235.6-0.120155999999976</f>
        <v>1263.8551050000001</v>
      </c>
      <c r="V343" s="3">
        <f>1687.1+(41.7-700.8)+(-2.581263+(-0.063801--1.072224))+0--236.5-0.361845000000014</f>
        <v>1262.5653150000001</v>
      </c>
      <c r="W343" s="3">
        <f>1691.6+(38.1-642.9)+(-1.725432+(-0.038862--0.655758))+0--237.2-0.241944000000038</f>
        <v>1322.6495199999999</v>
      </c>
      <c r="X343" s="3">
        <f>1817.5+(52.7-555.2)+(-2.780775+(-0.080631--0.849456))+0--238.1-0.364293000000014</f>
        <v>1550.7237569999998</v>
      </c>
      <c r="Y343" s="3">
        <f>1828.9+(57-551.2)+(-1.865478+(-0.05814--0.562224))+0--239-0.243780000000038</f>
        <v>1572.094826</v>
      </c>
      <c r="Z343" s="3">
        <f>1837.1+(49.6-581.6)+(0+(0-0))+0--238.9-0</f>
        <v>1544</v>
      </c>
      <c r="AA343" s="3">
        <f>1836.7+(34-606.1)+(-1.873434+(-0.03468--0.618222))+0--240.5-0.245310000000038</f>
        <v>1503.5647979999999</v>
      </c>
      <c r="AB343" s="3">
        <f>1830.6+(35.1-684.3)+(-4.66803+(-0.089505--1.744965))+0--240.7-0.613784999999965</f>
        <v>1418.473645</v>
      </c>
      <c r="AC343" s="3">
        <f>1587.9+(47.7-566.9)+(-1.619658+(-0.048654--0.578238))+0--241.3-0.246126000000038</f>
        <v>1308.6638000000003</v>
      </c>
      <c r="AD343">
        <v>1569.8</v>
      </c>
      <c r="AE343" s="3">
        <f>1810+(53-539.2)+(0+(0-0))+0--246-0</f>
        <v>1569.8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1513.6+(52-505.1)+(-2.315808+(-0.07956--0.772803))+0--251.5-0.384795000000015</f>
        <v>1309.9926400000002</v>
      </c>
      <c r="G344" s="3">
        <f>1514.6+(65-592.9)+(-0.772446+(-0.03315--0.302379))+0--252.6-0.128825999999974</f>
        <v>1238.6679570000001</v>
      </c>
      <c r="H344" s="3">
        <f>1514.5+(83.9-656)+(1.54479+(0.085578-0.66912))+0--252.3--0.25734600000004</f>
        <v>1195.918594</v>
      </c>
      <c r="I344" s="3">
        <f>1472.7+(59.9-603.1)+(0+(0-0))+0--251.8-0</f>
        <v>1181.3</v>
      </c>
      <c r="J344" s="3">
        <f>1425.5+(51-543.1)+(-1.45401+(-0.05202--0.553962))+0--253.9-0.258978000000041</f>
        <v>1186.0889539999998</v>
      </c>
      <c r="K344" s="3">
        <f>1436.3+(55-523)+(-0.732513+(-0.02805--0.26673))+0--255.4-0.130253999999974</f>
        <v>1223.0759130000001</v>
      </c>
      <c r="L344" s="3">
        <f>1524.5+(44-634.3)+(-3.887475+(-0.1122--1.617465))+16.9--252.9-0.644894999999963</f>
        <v>1200.9728950000001</v>
      </c>
      <c r="M344" s="3">
        <f>1578.6+(38-609.1)+(1.610172+(0.03876-0.621282))+0--252.7--0.25775400000004</f>
        <v>1261.4854039999998</v>
      </c>
      <c r="N344" s="3">
        <f>1589.1+(40-524.4)+(2.431323+(0.0612-0.802332))+0--249.3--0.381429000000014</f>
        <v>1356.0716199999997</v>
      </c>
      <c r="O344" s="3">
        <f>1577.4+(43.7-449.2)+(-4.02237+(-0.111435--1.14546))+0--247.5-0.631124999999964</f>
        <v>1415.7805300000002</v>
      </c>
      <c r="P344" s="3">
        <f>1553+(50-405.2)+(1.58406+(0.051-0.413304))+0--243.5--0.248370000000039</f>
        <v>1442.7701259999999</v>
      </c>
      <c r="Q344" s="3">
        <f>1611.3+(36.6-455.3)+(-1.643526+(-0.037332--0.464406))+0--241.7-0.246534000000039</f>
        <v>1432.837014</v>
      </c>
      <c r="R344" s="3">
        <f>1737.8+(29-628.6)+(-0.886278+(-0.01479--0.320586))+0--238.9-0.121838999999976</f>
        <v>1376.3976789999999</v>
      </c>
      <c r="S344" s="3">
        <f>1684.7+(30-580.1)+(-1.718394+(-0.0306--0.591702))+0--239.9-0.244698000000038</f>
        <v>1373.0980099999999</v>
      </c>
      <c r="T344" s="3">
        <f>1711.1+(29-652.2)+(-0.872661+(-0.01479--0.332622))+0--240.1-0.122450999999976</f>
        <v>1327.3227199999999</v>
      </c>
      <c r="U344" s="3">
        <f>1773.8+(28-697.7)+(-3.618552+(-0.05712--1.423308))+0--240.8-0.49123199999999</f>
        <v>1342.1564039999998</v>
      </c>
      <c r="V344" s="3">
        <f>1776.1+(29-649.8)+(-0.905811+(-0.01479--0.331398))+0--238-0.121379999999976</f>
        <v>1392.5894169999999</v>
      </c>
      <c r="W344" s="3">
        <f>1799.7+(22-681.4)+(-3.671388+(-0.04488--1.390056))+0--237-0.48347999999999</f>
        <v>1374.4903080000001</v>
      </c>
      <c r="X344" s="3">
        <f>2105.5+(5.9-734.9)+(-1.073805+(-0.003009--0.374799))+0--237-0.120869999999976</f>
        <v>1612.677115</v>
      </c>
      <c r="Y344" s="3">
        <f>2142.5+(8.5-726.1)+(-5.463375+(-0.021675--1.851555))+0--237.2-0.604859999999966</f>
        <v>1657.8616450000002</v>
      </c>
      <c r="Z344" s="3">
        <f>1871.9+(81.4-566.4)+(-2.864007+(-0.124542--0.866592))+0--237.9-0.363987000000014</f>
        <v>1622.3140560000002</v>
      </c>
      <c r="AA344" s="3">
        <f>1690.9+(90.6-451)+(-0.862359+(-0.046206--0.23001))+0--239-0.121889999999976</f>
        <v>1568.6995550000001</v>
      </c>
      <c r="AB344" s="3">
        <f>1695.1+(54.3-486.7)+(-0.864501+(-0.027693--0.248217))+0--239.4-0.122093999999976</f>
        <v>1501.3339289999999</v>
      </c>
      <c r="AC344" s="3">
        <f>1650.8+(43-541.8)+(0+(0-0))+0--242-0</f>
        <v>1394</v>
      </c>
      <c r="AD344">
        <v>1656.3000000000002</v>
      </c>
      <c r="AE344" s="3">
        <f>2167+(6.9-759.1)+(0+(0-0))+0--241.5-0</f>
        <v>1656.3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1589.2+(68.9-614)+(-4.05246+(-0.175695--1.5657))+0--245-0.624749999999965</f>
        <v>1285.8127950000001</v>
      </c>
      <c r="G345" s="3">
        <f>1546.1+(59.8-632)+(-2.365533+(-0.091494--0.96696))+0--245-0.374850000000014</f>
        <v>1217.035083</v>
      </c>
      <c r="H345" s="3">
        <f>1434.8+(49.9-557.4)+(-1.463496+(-0.050898--0.568548))+0--245-0.249900000000039</f>
        <v>1171.1042540000001</v>
      </c>
      <c r="I345" s="3">
        <f>1460+(47.9-596.5)+(-2.2338+(-0.073287--0.912645))+0--245-0.374850000000014</f>
        <v>1154.6307079999999</v>
      </c>
      <c r="J345" s="3">
        <f>1404.9+(56-555.2)+(1.432998+(0.05712-0.566304))+0--245--0.249900000000039</f>
        <v>1151.8737140000001</v>
      </c>
      <c r="K345" s="3">
        <f>1579.2+(28-644.1)+(0.805392+(0.01428-0.328491))+0--245.3--0.125102999999975</f>
        <v>1209.016284</v>
      </c>
      <c r="L345" s="3">
        <f>1649.3+(3-647.4)+(0.841143+(0.00153-0.330174))+0--244.5--0.124694999999975</f>
        <v>1250.037194</v>
      </c>
      <c r="M345" s="3">
        <f>1771+(4-706.1)+(0.90321+(0.00204-0.360111))+0--246.2--0.125561999999975</f>
        <v>1315.7707010000001</v>
      </c>
      <c r="N345" s="3">
        <f>1868.6+(4-701.1)+(1.905972+(0.00408-0.715122))+0--244.2--0.249084000000039</f>
        <v>1417.1440140000002</v>
      </c>
      <c r="O345" s="3">
        <f>1889.6+(4-656.6)+(1.927392+(0.00408-0.669732))+0--241.5--0.246330000000039</f>
        <v>1480.0080699999999</v>
      </c>
      <c r="P345" s="3">
        <f>1862.4+(5-632.2)+(-2.849472+(-0.00765--0.967266))+0--237.1-0.362763000000014</f>
        <v>1470.0473809999999</v>
      </c>
      <c r="Q345" s="3">
        <f>1904.6+(1-664.4)+(-1.942692+(-0.00102--0.677688))+0--235.8-0.240516000000038</f>
        <v>1475.4934599999997</v>
      </c>
      <c r="R345" s="3">
        <f>1886.2+(8-705.1)+(-4.80981+(-0.0204--1.798005))+0--233.6-0.595679999999966</f>
        <v>1419.0721149999999</v>
      </c>
      <c r="S345" s="3">
        <f>1901.6+(7-721.9)+(1.939632+(0.00714-0.736338))+0--232--0.236640000000037</f>
        <v>1420.147074</v>
      </c>
      <c r="T345" s="3">
        <f>1887.7+(6-729.5)+(-1.925454+(-0.00612--0.74409))+0--231.5-0.236130000000037</f>
        <v>1394.276386</v>
      </c>
      <c r="U345" s="3">
        <f>1885.6+(6-744.7)+(3.846624+(0.01224-1.519188))+0--231.8--0.47287199999999</f>
        <v>1381.5125479999999</v>
      </c>
      <c r="V345" s="3">
        <f>1840.2+(7-694.2)+(-1.877004+(-0.00714--0.708084))+0--230.8-0.235416000000037</f>
        <v>1382.388524</v>
      </c>
      <c r="W345" s="3">
        <f>1746.7+(25.7-603.8)+(0.890817+(0.013107-0.307938))+0--233.1--0.118880999999976</f>
        <v>1402.414867</v>
      </c>
      <c r="X345" s="3">
        <f>2243.3+(0-825.2)+(2.288166+(0-0.841704))+0--231.2--0.235824000000037</f>
        <v>1650.9822860000004</v>
      </c>
      <c r="Y345" s="3">
        <f>2269.5+(0-820.5)+(1.157445+(0-0.418455))+0--231.7--0.118166999999976</f>
        <v>1681.5571570000002</v>
      </c>
      <c r="Z345" s="3">
        <f>2272.7+(0-856.1)+(-2.318154+(0--0.873222))+0--232.9-0.237558000000037</f>
        <v>1647.8175099999999</v>
      </c>
      <c r="AA345" s="3">
        <f>2320.6+(0-929.9)+(-2.367012+(0--0.948498))+0--233.8-0.238476000000037</f>
        <v>1622.8430099999998</v>
      </c>
      <c r="AB345" s="3">
        <f>2353.2+(0-1045.4)+(-3.600396+(0--1.599462))+0--234.5-0.358785000000014</f>
        <v>1539.9402809999997</v>
      </c>
      <c r="AC345" s="3">
        <f>2249.1+(4-1059.1)+(-3.441123+(-0.00612--1.620423))+0--236.5-0.361845000000014</f>
        <v>1428.3113350000001</v>
      </c>
      <c r="AD345">
        <v>1691.4</v>
      </c>
      <c r="AE345" s="3">
        <f>2248+(9-800.1)+(0+(0-0))+0--234.5-0</f>
        <v>1691.4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1919.1+(23-855.3)+(0+(0-0))+0--238-0</f>
        <v>1324.8</v>
      </c>
      <c r="G346" s="3">
        <f>1671+(28-690)+(-3.40884+(-0.05712--1.4076))+0--237.6-0.48470399999999</f>
        <v>1244.056936</v>
      </c>
      <c r="H346" s="3">
        <f>1577.3+(29-641.6)+(-2.413269+(-0.04437--0.981648))+0--238.1-0.364293000000014</f>
        <v>1200.9597159999998</v>
      </c>
      <c r="I346" s="3">
        <f>1528.6+(35-613.1)+(-1.559172+(-0.0357--0.625362))+0--238.1-0.242862000000038</f>
        <v>1187.3876279999997</v>
      </c>
      <c r="J346" s="3">
        <f>1582.2+(38-678.2)+(0.806922+(0.01938-0.345882))+0--238.1--0.121430999999976</f>
        <v>1180.701851</v>
      </c>
      <c r="K346" s="3">
        <f>1640.9+(45-701.8)+(0.836859+(0.02295-0.357918))+0--238.1--0.121430999999976</f>
        <v>1222.8233220000002</v>
      </c>
      <c r="L346" s="3">
        <f>1654.7+(43-647.7)+(0.843897+(0.02193-0.330327))+0--243.6--0.124235999999975</f>
        <v>1294.2597359999997</v>
      </c>
      <c r="M346" s="3">
        <f>1788.5+(25-700.5)+(0+(0-0))+0--243.4-0</f>
        <v>1356.4</v>
      </c>
      <c r="N346" s="3">
        <f>1802.1+(25-612.2)+(0.919071+(0.01275-0.312222))+0--241.3--0.123062999999976</f>
        <v>1456.9426619999999</v>
      </c>
      <c r="O346" s="3">
        <f>1778.4+(30.1-536.1)+(0+(0-0))+0--237.2-0</f>
        <v>1509.6000000000001</v>
      </c>
      <c r="P346" s="3">
        <f>1764.2+(41.5-505.4)+(-3.598968+(-0.08466--1.031016))+0--235.3-0.48001199999999</f>
        <v>1532.4673760000001</v>
      </c>
      <c r="Q346" s="3">
        <f>1792.3+(30.7-521.5)+(0+(0-0))+0--235.7-0</f>
        <v>1537.2</v>
      </c>
      <c r="R346" s="3">
        <f>1767.6+(28.2-556.4)+(-1.802952+(-0.028764--0.567528))+0--235.5-0.240210000000038</f>
        <v>1473.3956020000001</v>
      </c>
      <c r="S346" s="3">
        <f>1757.9+(28.6-549.9)+(-0.896529+(-0.014586--0.280449))+0--235.7-0.120206999999976</f>
        <v>1471.5491270000002</v>
      </c>
      <c r="T346" s="3">
        <f>1781.9+(15-577.2)+(0.908769+(0.00765-0.294372))+0--235.1--0.119900999999976</f>
        <v>1455.541948</v>
      </c>
      <c r="U346" s="3">
        <f>1876.7+(10-685.2)+(-4.785585+(-0.0255--1.74726))+0--234.7-0.598484999999966</f>
        <v>1432.5376900000001</v>
      </c>
      <c r="V346" s="3">
        <f>1890.2+(10-705.1)+(0+(0-0))+0--233.4-0</f>
        <v>1428.5</v>
      </c>
      <c r="W346" s="3">
        <f>1981.2+(10-755.2)+(-4.041648+(-0.0204--1.540608))+0--233.3-0.47593199999999</f>
        <v>1466.3026279999999</v>
      </c>
      <c r="X346" s="3">
        <f>2081.3+(15-711.1)+(-2.122926+(-0.0153--0.725322))+0--232.4-0.237048000000037</f>
        <v>1615.9500480000004</v>
      </c>
      <c r="Y346" s="3">
        <f>2093.2+(10-713.3)+(-6.405192+(-0.0306--2.182698))+0--234.2-0.716652000000027</f>
        <v>1619.1302539999999</v>
      </c>
      <c r="Z346" s="3">
        <f>2167.1+(10-762.8)+(-3.315663+(-0.0153--1.167084))+0--235.8-0.360774000000014</f>
        <v>1647.575347</v>
      </c>
      <c r="AA346" s="3">
        <f>2183.2+(13-820.1)+(-2.226864+(-0.01326--0.836502))+0--235.7-0.240414000000038</f>
        <v>1610.1559639999998</v>
      </c>
      <c r="AB346" s="3">
        <f>2193.9+(15-908.9)+(-3.356667+(-0.02295--1.390617))+0--236.7-0.362151000000014</f>
        <v>1534.348849</v>
      </c>
      <c r="AC346" s="3">
        <f>2128.9+(17-943.7)+(-5.428695+(-0.04335--2.406435))+0--236.6-0.603329999999966</f>
        <v>1435.1310599999999</v>
      </c>
      <c r="AD346">
        <v>1688</v>
      </c>
      <c r="AE346" s="3">
        <f>2173+(8-725)+(0+(0-0))+0--232-0</f>
        <v>1688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1928.4+(13-850.9)+(-3.933936+(-0.02652--1.735836))+0--236.5-0.48245999999999</f>
        <v>1324.2929200000001</v>
      </c>
      <c r="G347" s="3">
        <f>1639.8+(11-650.2)+(2.508894+(0.01683-0.994806))+0--236.4--0.361692000000014</f>
        <v>1238.8926099999999</v>
      </c>
      <c r="H347" s="3">
        <f>1495.7+(9-550.1)+(-3.814035+(-0.02295--1.402755))+0--236.7-0.603584999999966</f>
        <v>1188.262185</v>
      </c>
      <c r="I347" s="3">
        <f>1484.7+(9-557.7)+(1.514394+(0.00918-0.568854))+0--238.1--0.242862000000038</f>
        <v>1175.2975819999999</v>
      </c>
      <c r="J347" s="3">
        <f>1601.4+(17-685.1)+(-3.266856+(-0.03468--1.397604))+0--238.3-0.48613199999999</f>
        <v>1169.209936</v>
      </c>
      <c r="K347" s="3">
        <f>1699.4+(18-742.3)+(-1.733388+(-0.01836--0.757146))+0--238.7-0.243474000000038</f>
        <v>1212.5619240000001</v>
      </c>
      <c r="L347" s="3">
        <f>1850.9+(10-843.4)+(-3.775836+(-0.0204--1.720536))+0--239.1-0.48776399999999</f>
        <v>1254.0365360000001</v>
      </c>
      <c r="M347" s="3">
        <f>1874+(10-782.1)+(5.73444+(0.0306-2.393226))+0--235.2--0.719712000000027</f>
        <v>1341.1915260000003</v>
      </c>
      <c r="N347" s="3">
        <f>1892+(10-694.4)+(3.85968+(0.0204-1.416576))+0--232.9--0.47511599999999</f>
        <v>1443.4386200000001</v>
      </c>
      <c r="O347" s="3">
        <f>1888.9+(11-619.1)+(-0.963339+(-0.00561--0.315741))+0--231.5-0.118064999999977</f>
        <v>1511.5287270000003</v>
      </c>
      <c r="P347" s="3">
        <f>1874.3+(10-567.9)+(1.911786+(0.0102-0.579258))+0--226.1--0.230622000000036</f>
        <v>1544.0733500000001</v>
      </c>
      <c r="Q347" s="3">
        <f>1902.1+(6-602.4)+(0+(0-0))+0--223-0</f>
        <v>1528.6999999999998</v>
      </c>
      <c r="R347" s="3">
        <f>1887.7+(24-645.8)+(-5.776362+(-0.07344--1.976148))+0--222.6-0.681156000000026</f>
        <v>1483.9451899999999</v>
      </c>
      <c r="S347" s="3">
        <f>1884.4+(18-672)+(-5.766264+(-0.05508--2.05632))+0--223-0.682380000000026</f>
        <v>1448.9525960000001</v>
      </c>
      <c r="T347" s="3">
        <f>1896.7+(11-700.3)+(3.869268+(0.02244-1.428612))+0--222.7--0.45430799999999</f>
        <v>1433.0174040000002</v>
      </c>
      <c r="U347" s="3">
        <f>1905.6+(16-723.9)+(0.971856+(0.00816-0.369189))+0--222.9--0.113678999999977</f>
        <v>1421.3245059999999</v>
      </c>
      <c r="V347" s="3">
        <f>1926.2+(12-740.9)+(-0.982362+(-0.00612--0.377859))+0--223.9-0.114188999999977</f>
        <v>1420.4751880000003</v>
      </c>
      <c r="W347" s="3">
        <f>1915.6+(11-699.6)+(-1.953912+(-0.01122--0.713592))+0--225.3-0.229806000000036</f>
        <v>1450.8186539999999</v>
      </c>
      <c r="X347" s="3">
        <f>1924.7+(47.3-532.7)+(-0.981597+(-0.024123--0.271677))+0--225.9-0.115208999999977</f>
        <v>1664.3507480000001</v>
      </c>
      <c r="Y347" s="3">
        <f>1928.6+(45.6-521.3)+(-2.950758+(-0.069768--0.797589))+0--228.6-0.349758000000013</f>
        <v>1678.9273049999999</v>
      </c>
      <c r="Z347" s="3">
        <f>1934+(31.7-564.2)+(-3.94536+(-0.064668--1.150968))+0--230-0.46919999999999</f>
        <v>1628.17174</v>
      </c>
      <c r="AA347" s="3">
        <f>1939.8+(11-593.4)+(0+(0-0))+0--231-0</f>
        <v>1588.4</v>
      </c>
      <c r="AB347" s="3">
        <f>1942.8+(15-663.4)+(-4.95414+(-0.03825--1.69167))+0--231.3-0.589814999999966</f>
        <v>1521.809465</v>
      </c>
      <c r="AC347" s="3">
        <f>1905.5+(18-717.6)+(0+(0-0))+0--232.3-0</f>
        <v>1438.2</v>
      </c>
      <c r="AD347">
        <v>1625.4</v>
      </c>
      <c r="AE347" s="3">
        <f>1912+(50-563.6)+(0+(0-0))+0--227-0</f>
        <v>1625.4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1907.4+(3-824.7)+(-3.891096+(-0.00612--1.682388))+0--236.3-0.48205199999999</f>
        <v>1319.30312</v>
      </c>
      <c r="G348" s="3">
        <f>1713.9+(7-713.5)+(0+(0-0))+0--236.9-0</f>
        <v>1244.3000000000002</v>
      </c>
      <c r="H348" s="3">
        <f>1602.5+(7-651.1)+(0.817275+(0.00357-0.332061))+0--237.1--0.120920999999976</f>
        <v>1196.1097049999998</v>
      </c>
      <c r="I348" s="3">
        <f>1539.7+(4-614.4)+(-1.570494+(-0.00408--0.626688))+0--239.2-0.243984000000038</f>
        <v>1167.3081300000001</v>
      </c>
      <c r="J348" s="3">
        <f>1536+(13.9-627.2)+(-3.9168+(-0.035445--1.59936))+0--239.9-0.611744999999965</f>
        <v>1159.63537</v>
      </c>
      <c r="K348" s="3">
        <f>1562.6+(3-613.4)+(1.593852+(0.00306-0.625668))+0--240.8--0.245616000000038</f>
        <v>1194.2168599999998</v>
      </c>
      <c r="L348" s="3">
        <f>1629.1+(3-671.5)+(0.830841+(0.00153-0.342465))+0--242.6--0.123725999999975</f>
        <v>1203.8136319999999</v>
      </c>
      <c r="M348" s="3">
        <f>1634.7+(3-647.6)+(0+(0-0))+0--242.1-0</f>
        <v>1232.2</v>
      </c>
      <c r="N348" s="3">
        <f>1639.3+(3-567.2)+(0.836043+(0.00153-0.289272))+0--237.9--0.121328999999976</f>
        <v>1313.6696300000001</v>
      </c>
      <c r="O348" s="3">
        <f>1709.6+(3-582.3)+(1.743792+(0.00306-0.593946))+0--235.9--0.240618000000038</f>
        <v>1367.5935240000001</v>
      </c>
      <c r="P348" s="3">
        <f>1837.5+(3-664.9)+(-0.937125+(-0.00153--0.339099))+0--233.5-0.119084999999976</f>
        <v>1408.381359</v>
      </c>
      <c r="Q348" s="3">
        <f>1874.7+(3-653.4)+(-0.956097+(-0.00153--0.333234))+0--234.5-0.119594999999976</f>
        <v>1458.0560120000002</v>
      </c>
      <c r="R348" s="3">
        <f>1819.8+(2.5-705.4)+(0+(0-0))+0--233.5-0</f>
        <v>1350.4</v>
      </c>
      <c r="S348" s="3">
        <f>1804.8+(0-705.2)+(0+(0-0))+0--233.4-0</f>
        <v>1333</v>
      </c>
      <c r="T348" s="3">
        <f>1736.1+(0-658.1)+(0+(0-0))+0--233-0</f>
        <v>1311</v>
      </c>
      <c r="U348" s="3">
        <f>1573.2+(8-523.4)+(0+(0-0))+0--233-0</f>
        <v>1290.8000000000002</v>
      </c>
      <c r="V348" s="3">
        <f>1519+(10.1-483.8)+(0+(0-0))+0--233.4-0</f>
        <v>1278.7</v>
      </c>
      <c r="W348" s="3">
        <f>1559.8+(34.2-464)+(0+(0-0))+0--234.7-0</f>
        <v>1364.7</v>
      </c>
      <c r="X348" s="3">
        <f>1711.9+(111.8-523.3)+(0+(0-0))+0--234.2-0</f>
        <v>1534.6000000000001</v>
      </c>
      <c r="Y348" s="3">
        <f>1834.8+(83.3-558.3)+(0+(0-0))+0--234.7-0</f>
        <v>1594.5</v>
      </c>
      <c r="Z348" s="3">
        <f>1630.7+(173.9-480.1)+(0+(0-0))+0--237.4-0</f>
        <v>1561.9</v>
      </c>
      <c r="AA348" s="3">
        <f>1755+(43.5-504.4)+(0+(0-0))+0--238.3-0</f>
        <v>1532.3999999999999</v>
      </c>
      <c r="AB348" s="3">
        <f>1818.8+(0-581.4)+(0+(0-0))+0--238.3-0</f>
        <v>1475.7</v>
      </c>
      <c r="AC348" s="3">
        <f>1798.8+(4-666.8)+(0+(0-0))+0--238.5-0</f>
        <v>1374.5</v>
      </c>
      <c r="AD348">
        <v>1600.8999999999999</v>
      </c>
      <c r="AE348" s="3">
        <f>1864+(79.1-575.7)+(0+(0-0))+0--233.5-0</f>
        <v>1600.9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1817.5+(13-753.9)+(0+(0-0))+0--228.6-0</f>
        <v>1305.1999999999998</v>
      </c>
      <c r="G349" s="3">
        <f>1561.8+(13-575)+(0+(0-0))+0--227.1-0</f>
        <v>1226.8999999999999</v>
      </c>
      <c r="H349" s="3">
        <f>1533.4+(13-587.8)+(0+(0-0))+0--227-0</f>
        <v>1185.6000000000001</v>
      </c>
      <c r="I349" s="3">
        <f>1491.6+(13-563.5)+(0+(0-0))+0--228.2-0</f>
        <v>1169.3</v>
      </c>
      <c r="J349" s="3">
        <f>1433.7+(15-513.5)+(0+(0-0))+0--229.2-0</f>
        <v>1164.4000000000001</v>
      </c>
      <c r="K349" s="3">
        <f>1544.2+(13-572.7)+(0+(0-0))+0--228-0</f>
        <v>1212.5</v>
      </c>
      <c r="L349" s="3">
        <f>1698.6+(13-658.5)+(4.33143+(0.03315-1.679175))+0--227.8--0.580889999999967</f>
        <v>1284.1662949999998</v>
      </c>
      <c r="M349" s="3">
        <f>1917.8+(14-795.3)+(3.912312+(0.02856-1.622412))+0--229--0.46715999999999</f>
        <v>1368.2856199999999</v>
      </c>
      <c r="N349" s="3">
        <f>2185.3+(14-942.7)+(0+(0-0))+0--228.8-0</f>
        <v>1485.4</v>
      </c>
      <c r="O349" s="3">
        <f>2241+(68.5-970.7)+(1.14291+(0.034935-0.495057))+0--226.7--0.115616999999977</f>
        <v>1566.298405</v>
      </c>
      <c r="P349" s="3">
        <f>2242+(73.2-920.2)+(1.14342+(0.037332-0.469302))+0--225.2--0.114851999999977</f>
        <v>1621.026302</v>
      </c>
      <c r="Q349" s="3">
        <f>2302.8+(66.9-992)+(-3.523284+(-0.102357--1.51776))+0--224.5-0.343485000000013</f>
        <v>1599.7486340000003</v>
      </c>
      <c r="R349" s="3">
        <f>2325.6+(39-1088.1)+(0+(0-0))+0--234.6-0</f>
        <v>1511.1</v>
      </c>
      <c r="S349" s="3">
        <f>2345.4+(18.1-1100.6)+(-2.392308+(-0.018462--1.122612))+0--237.9-0.242658000000038</f>
        <v>1499.269184</v>
      </c>
      <c r="T349" s="3">
        <f>2445.2+(0-1188.6)+(0+(0-0))+0--237.7-0</f>
        <v>1494.3</v>
      </c>
      <c r="U349" s="3">
        <f>2564.5+(0-1300.2)+(-3.923685+(0--1.989306))+0--238-0.364140000000014</f>
        <v>1500.001481</v>
      </c>
      <c r="V349" s="3">
        <f>2542.2+(0-1295.9)+(1.296522+(0-0.660909))+0--239--0.121889999999976</f>
        <v>1486.0575029999995</v>
      </c>
      <c r="W349" s="3">
        <f>2610.1+(0-1327.6)+(-2.662302+(0--1.354152))+0--239.9-0.244698000000038</f>
        <v>1520.8471520000001</v>
      </c>
      <c r="X349" s="3">
        <f>2754.2+(0-1247.4)+(0+(0-0))+0--240.8-0</f>
        <v>1747.5999999999997</v>
      </c>
      <c r="Y349" s="3">
        <f>2754.6+(0-1242.1)+(-4.214538+(0--1.900413))+0--242.5-0.371025000000014</f>
        <v>1752.31485</v>
      </c>
      <c r="Z349" s="3">
        <f>2551.3+(0-1099)+(-3.903489+(0--1.68147))+0--244.6-0.374238000000014</f>
        <v>1694.3037429999999</v>
      </c>
      <c r="AA349" s="3">
        <f>2433.9+(0-1018.3)+(-1.241289+(0--0.519333))+0--247.1-0.126020999999975</f>
        <v>1661.8520229999999</v>
      </c>
      <c r="AB349" s="3">
        <f>2435.9+(0-1113.4)+(-4.969236+(0--2.271336))+0--250.1-0.510203999999989</f>
        <v>1569.3918960000001</v>
      </c>
      <c r="AC349" s="3">
        <f>2390.3+(4-1187)+(-6.095265+(-0.0102--3.02685))+0--251.3-0.640814999999964</f>
        <v>1454.8805700000003</v>
      </c>
      <c r="AD349">
        <v>1806.2</v>
      </c>
      <c r="AE349" s="3">
        <f>2748+(0.5-1183.8)+(0+(0-0))+0--241.5-0</f>
        <v>1806.2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2392.7+(3.5-1279.9)+(-6.101385+(-0.008925--3.263745))+0--250.8-0.639539999999964</f>
        <v>1363.6138949999997</v>
      </c>
      <c r="G350" s="3">
        <f>2396.9+(3.5-1353.2)+(-6.112095+(-0.008925--3.45066))+0--251.3-0.640814999999964</f>
        <v>1295.188825</v>
      </c>
      <c r="H350" s="3">
        <f>2396.7+(3.5-1376.5)+(-6.111585+(-0.008925--3.510075))+0--251.5-0.641324999999964</f>
        <v>1271.9482399999997</v>
      </c>
      <c r="I350" s="3">
        <f>2265.3+(3.5-1275.4)+(-1.155303+(-0.001785--0.650454))+0--250.6-0.127805999999975</f>
        <v>1243.3655600000002</v>
      </c>
      <c r="J350" s="3">
        <f>2441.3+(3.5-1445.9)+(-6.225315+(-0.008925--3.687045))+0--251.3-0.640814999999964</f>
        <v>1247.0119900000002</v>
      </c>
      <c r="K350" s="3">
        <f>2547+(3.5-1512.2)+(1.29897+(0.001785-0.771222))+0--251.8--0.128417999999974</f>
        <v>1290.7579509999998</v>
      </c>
      <c r="L350" s="3">
        <f>2633.2+(3.5-1519.3)+(-4.028796+(-0.005355--2.324529))+0--252.5-0.386325000000015</f>
        <v>1367.8040529999998</v>
      </c>
      <c r="M350" s="3">
        <f>2692.7+(4.5-1499.9)+(-2.746554+(-0.00459--1.529898))+0--251.3-0.25632600000004</f>
        <v>1447.1224279999997</v>
      </c>
      <c r="N350" s="3">
        <f>2723.6+(4.5-1426.3)+(1.389036+(0.002295-0.727413))+0--248.8--0.126887999999975</f>
        <v>1551.3908059999999</v>
      </c>
      <c r="O350" s="3">
        <f>2717.3+(33.6-1358.9)+(2.771646+(0.034272-1.386078))+0--246.7--0.251634000000039</f>
        <v>1640.371474</v>
      </c>
      <c r="P350" s="3">
        <f>2739.1+(34.5-1350.9)+(-1.396941+(-0.017595--0.688959))+0--248.8-0.126887999999975</f>
        <v>1670.6475349999998</v>
      </c>
      <c r="Q350" s="3">
        <f>2797.5+(24.2-1395)+(-2.85345+(-0.024684--1.4229))+0--247.9-0.25285800000004</f>
        <v>1672.8919080000001</v>
      </c>
      <c r="R350" s="3">
        <f>2821+(12.4-1460.5)+(-1.43871+(-0.006324--0.744855))+0--245.5-0.125204999999975</f>
        <v>1617.5746160000001</v>
      </c>
      <c r="S350" s="3">
        <f>2814.6+(0.5-1452.3)+(2.870892+(0.00051-1.481346))+0--244.7--0.249594000000039</f>
        <v>1609.1396500000001</v>
      </c>
      <c r="T350" s="3">
        <f>2863.3+(0.5-1529.3)+(1.460283+(0.000255-0.779943))+0--244.5--0.124694999999975</f>
        <v>1579.8052900000002</v>
      </c>
      <c r="U350" s="3">
        <f>2861.5+(0.5-1542.3)+(1.459365+(0.000255-0.786573))+0--244.8--0.124847999999975</f>
        <v>1565.2978949999999</v>
      </c>
      <c r="V350" s="3">
        <f>2867.1+(0.5-1558.7)+(-1.462221+(-0.000255--0.794937))+0--245.1-0.125000999999975</f>
        <v>1553.2074599999999</v>
      </c>
      <c r="W350" s="3">
        <f>2880.9+(0.5-1546.6)+(4.407777+(0.000765-2.366298))+0--245.3--0.375309000000014</f>
        <v>1582.5175530000001</v>
      </c>
      <c r="X350" s="3">
        <f>2898.4+(0.5-1353)+(0+(0-0))+0--244.9-0</f>
        <v>1790.8000000000002</v>
      </c>
      <c r="Y350" s="3">
        <f>2915.9+(0.5-1334.6)+(-4.461327+(-0.000765--2.041938))+0--244.6-0.374238000000014</f>
        <v>1823.6056080000001</v>
      </c>
      <c r="Z350" s="3">
        <f>2924.1+(0.5-1388.9)+(-2.982582+(-0.00051--1.416678))+0--245.3-0.250206000000039</f>
        <v>1779.1833799999999</v>
      </c>
      <c r="AA350" s="3">
        <f>2933.7+(0.5-1431.3)+(-7.480935+(-0.001275--3.649815))+0--245.7-0.626534999999964</f>
        <v>1744.1410700000001</v>
      </c>
      <c r="AB350" s="3">
        <f>2939.9+(0.5-1524.3)+(-4.498047+(-0.000765--2.332179))+0--246.9-0.377757000000014</f>
        <v>1660.4556100000002</v>
      </c>
      <c r="AC350" s="3">
        <f>2709.5+(4.5-1428.1)+(-5.52738+(-0.00918--2.913324))+0--247.1-0.504083999999989</f>
        <v>1529.8726800000002</v>
      </c>
      <c r="AD350">
        <v>1826</v>
      </c>
      <c r="AE350" s="3">
        <f>2892+(0.5-1312)+(0+(0-0))+0--245.5-0</f>
        <v>1826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2693.5+(12-1528.5)+(1.373685+(0.00612-0.779535))+0--247.8--0.126377999999975</f>
        <v>1425.5266479999998</v>
      </c>
      <c r="G351" s="3">
        <f>2604.8+(12-1514.5)+(-2.656896+(-0.01224--1.54479))+0--247.9-0.25285800000004</f>
        <v>1348.8227960000002</v>
      </c>
      <c r="H351" s="3">
        <f>2556.2+(12-1499.8)+(-1.303662+(-0.00612--0.764898))+0--248.4-0.126683999999975</f>
        <v>1316.128432</v>
      </c>
      <c r="I351" s="3">
        <f>2520+(12-1480.8)+(1.2852+(0.00612-0.755208))+0--248.5--0.126734999999975</f>
        <v>1300.3628470000001</v>
      </c>
      <c r="J351" s="3">
        <f>2437.5+(12-1399.8)+(-2.48625+(-0.01224--1.427796))+0--249.5-0.25449000000004</f>
        <v>1297.874816</v>
      </c>
      <c r="K351" s="3">
        <f>2350.6+(12-1320.5)+(0+(0-0))+0--248-0</f>
        <v>1290.0999999999999</v>
      </c>
      <c r="L351" s="3">
        <f>2601.6+(12-1459.6)+(-2.653632+(-0.01224--1.488792))+0--249.1-0.25408200000004</f>
        <v>1401.6688379999998</v>
      </c>
      <c r="M351" s="3">
        <f>2731.1+(13-1497.4)+(1.392861+(0.00663-0.763674))+0--250.4--0.127703999999975</f>
        <v>1497.863521</v>
      </c>
      <c r="N351" s="3">
        <f>2753.9+(13-1425.8)+(2.808978+(0.01326-1.454316))+0--251.9--0.25693800000004</f>
        <v>1594.6248600000001</v>
      </c>
      <c r="O351" s="3">
        <f>2831.2+(33.2-1337.5)+(1.443912+(0.016932-0.682125))+0--134.2--0.0684419999999864</f>
        <v>1661.9471609999998</v>
      </c>
      <c r="P351" s="3">
        <f>3132.4+(111.9-1640.5)+(-4.792572+(-0.171207--2.509965))+0--107.5-0.164475000000006</f>
        <v>1708.6817110000002</v>
      </c>
      <c r="Q351" s="3">
        <f>3177.3+(139.8-1731)+(-6.481692+(-0.285192--3.53124))+0--106-0.216239999999995</f>
        <v>1688.6481160000001</v>
      </c>
      <c r="R351" s="3">
        <f>3177.5+(62.6-1743.6)+(-4.861575+(-0.095778--2.667708))+0--107-0.163710000000006</f>
        <v>1601.0466449999999</v>
      </c>
      <c r="S351" s="3">
        <f>3109.1+(9-1616.5)+(-7.928205+(-0.02295--4.122075))+0--106.1-0.270554999999985</f>
        <v>1603.6003649999998</v>
      </c>
      <c r="T351" s="3">
        <f>2967.8+(9-1477.2)+(1.513578+(0.00459-0.753372))+0--106.4--0.0542639999999892</f>
        <v>1606.8190600000003</v>
      </c>
      <c r="U351" s="3">
        <f>2739.4+(9-1270)+(-5.588376+(-0.01836--2.5908))+0--105.8-0.215831999999995</f>
        <v>1580.9682319999999</v>
      </c>
      <c r="V351" s="3">
        <f>2650.3+(9-1205.3)+(0+(0-0))+0--106.2-0</f>
        <v>1560.2000000000003</v>
      </c>
      <c r="W351" s="3">
        <f>3009.7+(9-1619.3)+(1.534947+(0.00459-0.825843))+0--188.5--0.0961349999999809</f>
        <v>1588.7098289999999</v>
      </c>
      <c r="X351" s="3">
        <f>3194+(9-1641.8)+(3.25788+(0.00918-1.674636))+0--250.6--0.25561200000004</f>
        <v>1813.6480359999998</v>
      </c>
      <c r="Y351" s="3">
        <f>3234.3+(9-1655.3)+(0+(0-0))+0--252.8-0</f>
        <v>1840.8000000000002</v>
      </c>
      <c r="Z351" s="3">
        <f>3213.1+(9-1586.9)+(1.638681+(0.00459-0.809319))+0--161.2--0.0822119999999836</f>
        <v>1797.3161639999998</v>
      </c>
      <c r="AA351" s="3">
        <f>3077.8+(9-1432.7)+(-3.139356+(-0.00918--1.461354))+0--104.9-0.106998000000017</f>
        <v>1757.2058200000004</v>
      </c>
      <c r="AB351" s="3">
        <f>2913.2+(9-1360.8)+(-1.485732+(-0.00459--0.694008))+0--105.6-0.0538559999999893</f>
        <v>1666.1498299999998</v>
      </c>
      <c r="AC351" s="3">
        <f>2617.2+(12-1190.7)+(-5.339088+(-0.02448--2.429028))+0--106.1-0.216443999999995</f>
        <v>1541.4490159999998</v>
      </c>
      <c r="AD351">
        <v>1881.7</v>
      </c>
      <c r="AE351" s="3">
        <f>3222+(0-1592.3)+(0+(0-0))+0--252-0</f>
        <v>1881.7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2501.8+(13-1187.2)+(-1.275918+(-0.00663--0.605472))+0--105.9-0.0540089999999893</f>
        <v>1432.7689150000003</v>
      </c>
      <c r="G352" s="3">
        <f>2440+(13-1197.5)+(0+(0-0))+0--106.8-0</f>
        <v>1362.3</v>
      </c>
      <c r="H352" s="3">
        <f>2416.5+(13-1333.1)+(-1.232415+(-0.00663--0.679881))+0--242.9-0.123878999999975</f>
        <v>1338.6169570000002</v>
      </c>
      <c r="I352" s="3">
        <f>2416+(13-1358)+(0+(0-0))+0--254.1-0</f>
        <v>1325.1</v>
      </c>
      <c r="J352" s="3">
        <f>2564.2+(13-1504.3)+(2.615484+(0.01326-1.534386))+0--254.8--0.259896000000041</f>
        <v>1329.0542539999999</v>
      </c>
      <c r="K352" s="3">
        <f>2682.6+(13-1565.1)+(-1.368126+(-0.00663--0.798201))+0--255.6-0.130355999999974</f>
        <v>1385.3930889999999</v>
      </c>
      <c r="L352" s="3">
        <f>2685.9+(14-1509.7)+(-1.369809+(-0.00714--0.769947))+0--257.7-0.131426999999974</f>
        <v>1447.1615710000001</v>
      </c>
      <c r="M352" s="3">
        <f>2771.6+(14-1515.9)+(2.827032+(0.01428-1.546218))+0--256.9--0.262038000000041</f>
        <v>1528.157132</v>
      </c>
      <c r="N352" s="3">
        <f>2941.1+(14-1564.5)+(2.999922+(0.01428-1.59579))+0--254.8--0.259896000000041</f>
        <v>1647.0783079999999</v>
      </c>
      <c r="O352" s="3">
        <f>2925.3+(14-1458.5)+(2.983806+(0.01428-1.48767))+0--219.2--0.223584000000035</f>
        <v>1701.7340000000004</v>
      </c>
      <c r="P352" s="3">
        <f>2908.6+(14-1313.6)+(4.450158+(0.02142-2.009808))+0--102.3--0.156519000000006</f>
        <v>1713.918289</v>
      </c>
      <c r="Q352" s="3">
        <f>2927.3+(10-1334.8)+(-4.478769+(-0.0153--2.042244))+0--102.2-0.156366000000006</f>
        <v>1702.0918090000002</v>
      </c>
      <c r="R352" s="3">
        <f>2875.9+(11-1370.6)+(-5.866836+(-0.02244--2.796024))+0--102.1-0.208283999999996</f>
        <v>1615.0984640000001</v>
      </c>
      <c r="S352" s="3">
        <f>2726.1+(17-1247)+(-6.951555+(-0.04335--3.17985))+0--97.5-0.248624999999986</f>
        <v>1589.5363199999999</v>
      </c>
      <c r="T352" s="3">
        <f>2543.9+(18-1104.9)+(3.892167+(0.02754-1.690497))+0--93.4--0.142902000000005</f>
        <v>1552.7721120000001</v>
      </c>
      <c r="U352" s="3">
        <f>2537+(17-1118.6)+(3.88161+(0.02601-1.711458))+0--101.4--0.155142000000006</f>
        <v>1539.1513040000002</v>
      </c>
      <c r="V352" s="3">
        <f>2527.2+(15-1082.8)+(-1.288872+(-0.00765--0.552228))+0--101-0.0515099999999898</f>
        <v>1559.6041959999998</v>
      </c>
      <c r="W352" s="3">
        <f>2532.2+(16-1071.5)+(-1.291422+(-0.00816--0.546465))+1.4--101.6-0.0518159999999897</f>
        <v>1578.8950669999999</v>
      </c>
      <c r="X352" s="3">
        <f>2630.2+(10-998.6)+(0+(0-0))+0--220.4-0</f>
        <v>1862</v>
      </c>
      <c r="Y352" s="3">
        <f>2661.7+(13-962.3)+(-4.072401+(-0.01989--1.472319))+0--195.1-0.298503000000011</f>
        <v>1904.5815249999998</v>
      </c>
      <c r="Z352" s="3">
        <f>2674+(16-951.4)+(-2.72748+(-0.01632--0.970428))+0--102.3-0.104346000000016</f>
        <v>1839.0222819999997</v>
      </c>
      <c r="AA352" s="3">
        <f>2681.9+(15-1018.5)+(-2.735538+(-0.0153--1.03887))+0--102.5-0.104550000000016</f>
        <v>1779.083482</v>
      </c>
      <c r="AB352" s="3">
        <f>2414.5+(16-835.2)+(-4.92558+(-0.03264--1.703808))+0--102.1-0.208283999999996</f>
        <v>1693.9373039999998</v>
      </c>
      <c r="AC352" s="3">
        <f>2128.7+(21-693.4)+(-3.256911+(-0.03213--1.060902))+0--102.7-0.157131000000006</f>
        <v>1556.6147299999998</v>
      </c>
      <c r="AD352">
        <v>1764.6</v>
      </c>
      <c r="AE352" s="3">
        <f>2573+(0-917.4)+(0+(0-0))+0--109-0</f>
        <v>1764.6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2064.8+(22-745.8)+(-7.371336+(-0.07854--2.662506))+0--103.2-0.368424000000001</f>
        <v>1439.0442060000003</v>
      </c>
      <c r="G353" s="3">
        <f>1963.9+(33.5-737.3)+(-2.003178+(-0.03417--0.752046))+0--102.5-0.104550000000016</f>
        <v>1361.2101480000001</v>
      </c>
      <c r="H353" s="3">
        <f>1852.8+(45.6-733.3)+(-3.779712+(-0.093024--1.495932))+0--156-0.318239999999993</f>
        <v>1318.4049559999999</v>
      </c>
      <c r="I353" s="3">
        <f>1858.3+(47.2-779.3)+(0.947733+(0.024072-0.397443))+0--174.8--0.0891479999999823</f>
        <v>1301.6635100000001</v>
      </c>
      <c r="J353" s="3">
        <f>1857.5+(43.4-811.1)+(0+(0-0))+0--226.8-0</f>
        <v>1316.6</v>
      </c>
      <c r="K353" s="3">
        <f>1894.6+(41.1-824.9)+(-1.932492+(-0.041922--0.841398))+0--246.7-0.251634000000039</f>
        <v>1356.11535</v>
      </c>
      <c r="L353" s="3">
        <f>1928.4+(12-756.9)+(0.983484+(0.00612-0.386019))+0--248.6--0.126785999999975</f>
        <v>1432.830371</v>
      </c>
      <c r="M353" s="3">
        <f>1956.5+(21.1-702.9)+(1.99563+(0.021522-0.716958))+0--246.8--0.251736000000039</f>
        <v>1523.0519299999999</v>
      </c>
      <c r="N353" s="3">
        <f>2106.7+(21-741.8)+(2.148834+(0.02142-0.756636))+0--243.6--0.248472000000039</f>
        <v>1631.1620899999998</v>
      </c>
      <c r="O353" s="3">
        <f>2097.2+(29.9-642.2)+(0+(0-0))+0--211.5-0</f>
        <v>1696.3999999999996</v>
      </c>
      <c r="P353" s="3">
        <f>2094.7+(53.2-530.2)+(-2.136594+(-0.054264--0.540804))+0--95.4-0.0973080000000152</f>
        <v>1711.3526379999998</v>
      </c>
      <c r="Q353" s="3">
        <f>2087.7+(45-507)+(-5.323635+(-0.11475--1.29285))+0--94.8-0.241739999999986</f>
        <v>1716.1127249999997</v>
      </c>
      <c r="R353" s="3">
        <f>2099.9+(65.2-581.9)+(-3.212847+(-0.099756--0.890307))+0--95-0.145350000000006</f>
        <v>1675.6323540000003</v>
      </c>
      <c r="S353" s="3">
        <f>1660.1+(234.4-328.5)+(-3.386604+(-0.478176--0.67014))+0--94.6-0.192983999999996</f>
        <v>1657.2123759999999</v>
      </c>
      <c r="T353" s="3">
        <f>1618.1+(191.9-245)+(-0.825231+(-0.097869--0.12495))+0--93.4-0.0476339999999905</f>
        <v>1657.554216</v>
      </c>
      <c r="U353" s="3">
        <f>1615.7+(166.1-243.4)+(0+(0-0))+0--93.5-0</f>
        <v>1631.9</v>
      </c>
      <c r="V353" s="3">
        <f>1690.4+(114.4-381.9)+(2.586312+(0.175032-0.584307))+0--198.4--0.303552000000011</f>
        <v>1623.7805890000002</v>
      </c>
      <c r="W353" s="3">
        <f>2212.5+(26.4-826.9)+(-3.385125+(-0.040392--1.265157))+0--238.4-0.364752000000014</f>
        <v>1647.8748880000001</v>
      </c>
      <c r="X353" s="3">
        <f>2436.2+(31.4-831.6)+(2.484924+(0.032028-0.848232))+0--238.8--0.243576000000038</f>
        <v>1876.7122959999997</v>
      </c>
      <c r="Y353" s="3">
        <f>2465+(54-755.5)+(-3.77145+(-0.08262--1.155915))+0--150-0.229500000000009</f>
        <v>1910.572345</v>
      </c>
      <c r="Z353" s="3">
        <f>2478.3+(44.2-770.1)+(-5.055732+(-0.090168--1.571004))+0--101.6-0.207263999999996</f>
        <v>1850.21784</v>
      </c>
      <c r="AA353" s="3">
        <f>2481.3+(20-807.2)+(-3.796389+(-0.0306--1.235016))+0--101.4-0.155142000000006</f>
        <v>1792.7528850000001</v>
      </c>
      <c r="AB353" s="3">
        <f>2428+(20-841.4)+(-6.1914+(-0.051--2.14557))+0--101.8-0.259589999999985</f>
        <v>1704.04358</v>
      </c>
      <c r="AC353" s="3">
        <f>2320.8+(19-853.5)+(-1.183608+(-0.00969--0.435285))+0--102.5-0.0522749999999896</f>
        <v>1587.9897120000003</v>
      </c>
      <c r="AD353">
        <v>1903</v>
      </c>
      <c r="AE353" s="3">
        <f>2502+(33-859)+(0+(0-0))+0--227-0</f>
        <v>1903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2223.2+(24-873.1)+(-5.66916+(-0.0612--2.226405))+0--103.2-0.263159999999985</f>
        <v>1473.5328850000001</v>
      </c>
      <c r="G354" s="3">
        <f>2097.9+(34.9-841.7)+(-5.349645+(-0.088995--2.146335))+0--103-0.262649999999985</f>
        <v>1390.5450450000001</v>
      </c>
      <c r="H354" s="3">
        <f>1948.8+(49.5-756.5)+(-2.981664+(-0.075735--1.157445))+0--103.2-0.157896000000006</f>
        <v>1342.9421500000001</v>
      </c>
      <c r="I354" s="3">
        <f>1933.1+(64-776.5)+(2.957643+(0.09792-1.188045))+0--103.1--0.157743000000006</f>
        <v>1325.7252609999998</v>
      </c>
      <c r="J354" s="3">
        <f>1968.3+(42.2-787)+(4.015332+(0.086088-1.60548))+0--103.3--0.210731999999995</f>
        <v>1329.506672</v>
      </c>
      <c r="K354" s="3">
        <f>2025.5+(23-786.7)+(5.165025+(0.05865-2.006085))+0--103.9--0.264944999999985</f>
        <v>1369.1825349999999</v>
      </c>
      <c r="L354" s="3">
        <f>2196+(15-919.5)+(-2.23992+(-0.0153--0.93789))+0--120.4-0.122808000000019</f>
        <v>1410.4598619999999</v>
      </c>
      <c r="M354" s="3">
        <f>2202.1+(15-889.4)+(2.246142+(0.0153-0.907188))+0--191.2--0.19502400000003</f>
        <v>1520.449278</v>
      </c>
      <c r="N354" s="3">
        <f>2215.5+(12-787.4)+(1.129905+(0.00612-0.401574))+0--183.3--0.0934829999999814</f>
        <v>1624.2279339999998</v>
      </c>
      <c r="O354" s="3">
        <f>2224.9+(20.2-719.2)+(2.269398+(0.020604-0.733584))+0--170.4--0.173808000000027</f>
        <v>1698.0302260000001</v>
      </c>
      <c r="P354" s="3">
        <f>2281.2+(16.5-759.4)+(-2.326824+(-0.01683--0.774588))+0--170.8-0.174216000000027</f>
        <v>1707.3567179999995</v>
      </c>
      <c r="Q354" s="3">
        <f>2286.9+(13.9-789)+(-3.498957+(-0.021267--1.20717))+0--170-0.26010000000001</f>
        <v>1679.2268460000003</v>
      </c>
      <c r="R354" s="3">
        <f>2209+(34.8-764.1)+(-4.50636+(-0.070992--1.558764))+0--124.9-0.254795999999995</f>
        <v>1601.3266160000001</v>
      </c>
      <c r="S354" s="3">
        <f>2145.6+(21.1-690.8)+(2.188512+(0.021522-0.704616))+0--97.9--0.0998580000000156</f>
        <v>1575.4052760000002</v>
      </c>
      <c r="T354" s="3">
        <f>2106.6+(14-654.1)+(2.148732+(0.01428-0.667182))+0--98.7--0.100674000000016</f>
        <v>1566.7965040000001</v>
      </c>
      <c r="U354" s="3">
        <f>2094.4+(10.4-648.2)+(-2.136288+(-0.010608--0.661164))+0--98.5-0.100470000000016</f>
        <v>1553.5137979999997</v>
      </c>
      <c r="V354" s="3">
        <f>1791.4+(90.2-433.3)+(-2.740842+(-0.138006--0.662949))+0--99.8-0.152694000000006</f>
        <v>1545.731407</v>
      </c>
      <c r="W354" s="3">
        <f>1939+(45.6-534.7)+(-4.94445+(-0.11628--1.363485))+0--99.7-0.254234999999986</f>
        <v>1545.6485200000002</v>
      </c>
      <c r="X354" s="3">
        <f>2157.9+(86.3-642.6)+(1.100529+(0.044013-0.327726))+0--126.4--0.0644639999999872</f>
        <v>1728.8812800000001</v>
      </c>
      <c r="Y354" s="3">
        <f>2265.6+(35-757.8)+(-6.932736+(-0.1071--2.318868))+0--248-0.758880000000029</f>
        <v>1785.3201519999998</v>
      </c>
      <c r="Z354" s="3">
        <f>2287.4+(10.5-790.5)+(0+(0-0))+0--245.1-0</f>
        <v>1752.5</v>
      </c>
      <c r="AA354" s="3">
        <f>2288.5+(3-818.2)+(-3.501405+(-0.00459--1.251846))+0--245.2-0.375156000000014</f>
        <v>1715.8706949999998</v>
      </c>
      <c r="AB354" s="3">
        <f>2266.9+(3-862.1)+(-4.624476+(-0.00612--1.758684))+0--244.4-0.498575999999989</f>
        <v>1648.8295120000002</v>
      </c>
      <c r="AC354" s="3">
        <f>2040.5+(9.6-736.7)+(-1.040655+(-0.004896--0.375717))+0--245.1-0.125000999999975</f>
        <v>1557.7051650000001</v>
      </c>
      <c r="AD354">
        <v>1830.3999999999999</v>
      </c>
      <c r="AE354" s="3">
        <f>2280+(51.7-700.7)+(0+(0-0))+0--199.4-0</f>
        <v>1830.4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1930+(12-749.8)+(-2.9529+(-0.01836--1.147194))+0--245.4-0.375462000000014</f>
        <v>1435.4004720000003</v>
      </c>
      <c r="G355" s="3">
        <f>1880.7+(27.6-800.5)+(-3.836628+(-0.056304--1.63302))+0--248.2-0.506327999999989</f>
        <v>1353.2337600000003</v>
      </c>
      <c r="H355" s="3">
        <f>1750.4+(34.7-696.8)+(-0.892704+(-0.017697--0.355368))+0--252.5-0.128774999999974</f>
        <v>1340.1161920000002</v>
      </c>
      <c r="I355" s="3">
        <f>1674.7+(54.2-657.4)+(-2.562291+(-0.082926--1.005822))+0--252.1-0.385713000000015</f>
        <v>1321.5748919999999</v>
      </c>
      <c r="J355" s="3">
        <f>1687.9+(48.8-668.3)+(0.860829+(0.024888-0.340833))+0--254.5--0.129794999999974</f>
        <v>1323.5746790000001</v>
      </c>
      <c r="K355" s="3">
        <f>1688.3+(30.2-622.8)+(0+(0-0))+0--252.7-0</f>
        <v>1348.4</v>
      </c>
      <c r="L355" s="3">
        <f>1614.3+(22.1-533.3)+(-3.293172+(-0.045084--1.087932))+0--255.2-0.520607999999989</f>
        <v>1355.5290679999998</v>
      </c>
      <c r="M355" s="3">
        <f>1622.9+(29-492.5)+(0.827679+(0.01479-0.251175))+0--259.6--0.132395999999974</f>
        <v>1419.7236900000003</v>
      </c>
      <c r="N355" s="3">
        <f>1666.7+(53.8-466)+(1.700034+(0.054876-0.47532))+0--256.6--0.261732000000041</f>
        <v>1512.6413219999999</v>
      </c>
      <c r="O355" s="3">
        <f>1681.7+(75.4-422.3)+(-0.857667+(-0.038454--0.215373))+0--250.6-0.127805999999975</f>
        <v>1584.5914460000001</v>
      </c>
      <c r="P355" s="3">
        <f>1778.6+(60.2-462.5)+(0.907086+(0.030702-0.235875))+0--246.1--0.125510999999975</f>
        <v>1623.2274239999999</v>
      </c>
      <c r="Q355" s="3">
        <f>2005.9+(19.8-634.6)+(-3.069027+(-0.030294--0.970938))+0--243.6-0.372708000000014</f>
        <v>1632.1989089999997</v>
      </c>
      <c r="R355" s="3">
        <f>2318.3+(0-948.2)+(-7.093998+(0--2.901492))+0--240.8-0.736848000000028</f>
        <v>1605.970646</v>
      </c>
      <c r="S355" s="3">
        <f>2270.3+(3.7-877.8)+(-1.157853+(-0.001887--0.447678))+0--239.4-0.122093999999976</f>
        <v>1634.7658440000002</v>
      </c>
      <c r="T355" s="3">
        <f>2245.8+(3.2-872.6)+(0+(0-0))+0--240.6-0</f>
        <v>1617</v>
      </c>
      <c r="U355" s="3">
        <f>2238.4+(6.3-880.1)+(-1.141584+(-0.003213--0.448851))+0--239.1-0.121940999999976</f>
        <v>1602.8821129999999</v>
      </c>
      <c r="V355" s="3">
        <f>2238+(6.1-872.9)+(-2.28276+(-0.006222--0.890358))+0--243.2-0.248064000000039</f>
        <v>1612.7533120000001</v>
      </c>
      <c r="W355" s="3">
        <f>2278.1+(0-877.1)+(-4.647324+(0--1.789284))+0--246.2-0.502247999999989</f>
        <v>1643.839712</v>
      </c>
      <c r="X355" s="3">
        <f>2321.1+(7.1-812.9)+(1.183761+(0.003621-0.414579))+0--246.4--0.125663999999975</f>
        <v>1762.598467</v>
      </c>
      <c r="Y355" s="3">
        <f>2335.2+(6.9-771.1)+(-3.572856+(-0.010557--1.179783))+0--245.7-0.375921000000014</f>
        <v>1813.9204489999997</v>
      </c>
      <c r="Z355" s="3">
        <f>2317.8+(10-798.6)+(2.364156+(0.0102-0.814572))+0--246.1--0.251022000000039</f>
        <v>1777.1108060000004</v>
      </c>
      <c r="AA355" s="3">
        <f>2312+(9.9-835.7)+(-4.71648+(-0.020196--1.704828))+0--248.9-0.507755999999989</f>
        <v>1731.5603959999999</v>
      </c>
      <c r="AB355" s="3">
        <f>2144.5+(4.7-745.3)+(-1.093695+(-0.002397--0.380103))+0--249.5-0.127244999999975</f>
        <v>1652.5567660000002</v>
      </c>
      <c r="AC355" s="3">
        <f>1927.1+(22.1-674.9)+(-2.948463+(-0.033813--1.032597))+0--249.2-0.381276000000014</f>
        <v>1521.1690449999999</v>
      </c>
      <c r="AD355">
        <v>1818.6000000000001</v>
      </c>
      <c r="AE355" s="3">
        <f>2329+(14.9-772.8)+(0+(0-0))+0--247.5-0</f>
        <v>1818.6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1938.1+(16.2-746.5)+(-1.976862+(-0.016524--0.76143))+0--237.2-0.241944000000038</f>
        <v>1443.5260999999998</v>
      </c>
      <c r="G356" s="3">
        <f>1930.9+(4-792.5)+(-1.969518+(-0.00408--0.80835))+0--239-0.243780000000038</f>
        <v>1379.9909720000001</v>
      </c>
      <c r="H356" s="3">
        <f>1942.5+(5-843.2)+(1.98135+(0.0051-0.860064))+0--238.7--0.243474000000038</f>
        <v>1344.36986</v>
      </c>
      <c r="I356" s="3">
        <f>1940.8+(6-858)+(-2.969424+(-0.00918--1.31274))+0--238.8-0.365364000000014</f>
        <v>1325.5687719999999</v>
      </c>
      <c r="J356" s="3">
        <f>1939.4+(7-850.6)+(-1.978188+(-0.00714--0.867612))+0--236.3-0.241026000000038</f>
        <v>1330.741258</v>
      </c>
      <c r="K356" s="3">
        <f>1987.3+(5-844.5)+(0+(0-0))+0--238.3-0</f>
        <v>1386.1</v>
      </c>
      <c r="L356" s="3">
        <f>2014.2+(17.6-850.9)+(0+(0-0))+0--247.2-0</f>
        <v>1428.1000000000001</v>
      </c>
      <c r="M356" s="3">
        <f>2020.4+(34.2-771.4)+(2.060808+(0.034884-0.786828))+0--249--0.25398000000004</f>
        <v>1533.7628440000003</v>
      </c>
      <c r="N356" s="3">
        <f>2114.8+(45.5-759.1)+(0+(0-0))+0--248.6-0</f>
        <v>1649.8000000000002</v>
      </c>
      <c r="O356" s="3">
        <f>2250+(25.7-817)+(1.1475+(0.013107-0.41667))+0--249.7--0.127346999999975</f>
        <v>1709.2712839999999</v>
      </c>
      <c r="P356" s="3">
        <f>2287.8+(25.5-837.9)+(0+(0-0))+0--248.3-0</f>
        <v>1723.7</v>
      </c>
      <c r="Q356" s="3">
        <f>2394.5+(23.8-951.5)+(0+(0-0))+0--248.4-0</f>
        <v>1715.2</v>
      </c>
      <c r="R356" s="3">
        <f>2538.1+(23.8-1078.2)+(-6.472155+(-0.06069--2.74941))+0--246.3-0.628064999999964</f>
        <v>1725.5884999999998</v>
      </c>
      <c r="S356" s="3">
        <f>2709.2+(0-1191.4)+(-1.381692+(0--0.607614))+0--245.6-0.125255999999975</f>
        <v>1762.5006659999997</v>
      </c>
      <c r="T356" s="3">
        <f>2519.2+(0-1074.6)+(0+(0-0))+0--245.9-0</f>
        <v>1690.5</v>
      </c>
      <c r="U356" s="3">
        <f>2675.8+(0-1236.2)+(-1.364658+(0--0.630462))+0--247.3-0.126122999999975</f>
        <v>1686.039681</v>
      </c>
      <c r="V356" s="3">
        <f>2712.6+(0-1276.3)+(-2.766852+(0--1.301826))+0--249.8-0.25479600000004</f>
        <v>1684.3801779999999</v>
      </c>
      <c r="W356" s="3">
        <f>2794.2+(0-1334.3)+(-4.275126+(0--2.041479))+0--250.3-0.382959000000014</f>
        <v>1707.5833939999998</v>
      </c>
      <c r="X356" s="3">
        <f>2883.3+(0-1221.8)+(0+(0-0))+0--250.8-0</f>
        <v>1912.3000000000002</v>
      </c>
      <c r="Y356" s="3">
        <f>2940.2+(0-1251.6)+(-4.498506+(0--1.914948))+0--251.2-0.384336000000015</f>
        <v>1936.8321059999998</v>
      </c>
      <c r="Z356" s="3">
        <f>2977.1+(0-1338.9)+(-7.591605+(0--3.414195))+0--250.6-0.639029999999964</f>
        <v>1883.9835599999997</v>
      </c>
      <c r="AA356" s="3">
        <f>3010.8+(0-1427.7)+(-6.142032+(0--2.912508))+0--251.5-0.513059999999989</f>
        <v>1830.8574160000001</v>
      </c>
      <c r="AB356" s="3">
        <f>3032.5+(0-1539.5)+(-1.546575+(0--0.785145))+0--249.3-0.127142999999975</f>
        <v>1741.411427</v>
      </c>
      <c r="AC356" s="3">
        <f>2988.6+(4-1616.6)+(-6.096744+(-0.00816--3.297864))+0--248.5-0.506939999999989</f>
        <v>1621.1860200000001</v>
      </c>
      <c r="AD356">
        <v>1937.1</v>
      </c>
      <c r="AE356" s="3">
        <f>2900+(0-1211.9)+(0+(0-0))+0--249-0</f>
        <v>1937.1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2920.7+(3-1653.4)+(-2.979114+(-0.00306--1.686468))+0--243.8-0.248676000000039</f>
        <v>1512.5556179999996</v>
      </c>
      <c r="G357" s="3">
        <f>2792.7+(5-1469.3)+(-2.848554+(-0.0051--1.498686))+0--105.6-0.107712000000017</f>
        <v>1432.5373199999997</v>
      </c>
      <c r="H357" s="3">
        <f>2774.4+(6-1472)+(-5.659776+(-0.01224--3.00288))+0--101.3-0.206651999999996</f>
        <v>1406.824212</v>
      </c>
      <c r="I357" s="3">
        <f>2664.9+(5-1395.9)+(0+(0-0))+0--100.5-0</f>
        <v>1374.5</v>
      </c>
      <c r="J357" s="3">
        <f>2672.4+(5-1400.7)+(-2.725848+(-0.0051--1.428714))+0--102.4-0.104448000000016</f>
        <v>1377.6933180000001</v>
      </c>
      <c r="K357" s="3">
        <f>2824.4+(5-1512.9)+(1.440444+(0.00255-0.771579))+0--104.1--0.0530909999999894</f>
        <v>1421.3245059999999</v>
      </c>
      <c r="L357" s="3">
        <f>3107.6+(4-1731.1)+(-1.584876+(-0.00204--0.882861))+0--106.9-0.0545189999999892</f>
        <v>1486.6414260000001</v>
      </c>
      <c r="M357" s="3">
        <f>3194.2+(5-1706.5)+(0+(0-0))+0--106.6-0</f>
        <v>1599.2999999999997</v>
      </c>
      <c r="N357" s="3">
        <f>3282.5+(5-1688.4)+(1.674075+(0.00255-0.861084))+0--107--0.0545699999999891</f>
        <v>1706.9701109999999</v>
      </c>
      <c r="O357" s="3">
        <f>3268.1+(5-1707.1)+(-1.666731+(-0.00255--0.870621))+0--187.7-0.095726999999981</f>
        <v>1752.8056130000002</v>
      </c>
      <c r="P357" s="3">
        <f>3241.9+(5-1693.2)+(-1.653369+(-0.00255--0.863532))+0--240.9-0.122858999999976</f>
        <v>1793.6847540000001</v>
      </c>
      <c r="Q357" s="3">
        <f>3238.3+(5-1693.1)+(1.651533+(0.00255-0.863481))+0--246.1--0.125510999999975</f>
        <v>1797.2161130000002</v>
      </c>
      <c r="R357" s="3">
        <f>3213.6+(5-1726)+(-8.19468+(-0.01275--4.4013))+0--246.9-0.629594999999964</f>
        <v>1735.0642750000002</v>
      </c>
      <c r="S357" s="3">
        <f>3105.9+(6-1631.3)+(-6.336036+(-0.01224--3.327852))+0--248-0.505919999999989</f>
        <v>1725.073656</v>
      </c>
      <c r="T357" s="3">
        <f>3108.9+(5-1645.5)+(1.585539+(0.00255-0.839205))+0--244.9--0.124898999999975</f>
        <v>1714.1737830000002</v>
      </c>
      <c r="U357" s="3">
        <f>3128.6+(6-1668.8)+(-3.191172+(-0.00612--1.702176))+0--244.8-0.249696000000039</f>
        <v>1708.8551879999998</v>
      </c>
      <c r="V357" s="3">
        <f>3235.5+(5-1766.9)+(-8.250525+(-0.01275--4.505595))+0--246.5-0.628574999999964</f>
        <v>1715.713745</v>
      </c>
      <c r="W357" s="3">
        <f>3448.8+(6-1950.4)+(-7.035552+(-0.01224--3.978816))+0--249.2-0.508367999999989</f>
        <v>1750.0226560000001</v>
      </c>
      <c r="X357" s="3">
        <f>3629.9+(7-1932.5)+(-1.851249+(-0.00357--0.985575))+0--248.8-0.126887999999975</f>
        <v>1952.2038680000001</v>
      </c>
      <c r="Y357" s="3">
        <f>3646.1+(6-1924.2)+(-5.578533+(-0.00918--2.944026))+0--249.9-0.382347000000014</f>
        <v>1974.773966</v>
      </c>
      <c r="Z357" s="3">
        <f>3642.1+(6-1982.6)+(-5.572413+(-0.00918--3.033378))+0--251.3-0.384489000000015</f>
        <v>1913.8672959999999</v>
      </c>
      <c r="AA357" s="3">
        <f>3542.2+(5-1933.7)+(-3.613044+(-0.0051--1.972374))+0--253.9-0.258978000000041</f>
        <v>1865.4952519999997</v>
      </c>
      <c r="AB357" s="3">
        <f>3208.7+(5-1692.4)+(-4.909311+(-0.00765--2.589372))+0--255.1-0.390303000000015</f>
        <v>1773.6821079999997</v>
      </c>
      <c r="AC357" s="3">
        <f>3044.7+(17-1648.9)+(-1.552797+(-0.00867--0.840939))+0--253.9-0.129488999999974</f>
        <v>1665.8499829999998</v>
      </c>
      <c r="AD357">
        <v>1938.6</v>
      </c>
      <c r="AE357" s="3">
        <f>3644+(0-1952.9)+(0+(0-0))+0--247.5-0</f>
        <v>1938.6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2991.7+(4-1691.3)+(-4.577301+(-0.00612--2.587689))+0--255.5-0.390915000000015</f>
        <v>1557.5133529999998</v>
      </c>
      <c r="G358" s="3">
        <f>2940.1+(4-1715.3)+(-2.998902+(-0.00408--1.749606))+0--256.6-0.261732000000041</f>
        <v>1483.884892</v>
      </c>
      <c r="H358" s="3">
        <f>2903.5+(4-1723.2)+(-4.442355+(-0.00612--2.636496))+0--256.3-0.392139000000015</f>
        <v>1438.3958819999998</v>
      </c>
      <c r="I358" s="3">
        <f>2732.2+(4-1570.1)+(-2.786844+(-0.00408--1.601502))+0--255.8-0.260916000000041</f>
        <v>1420.449662</v>
      </c>
      <c r="J358" s="3">
        <f>2679.6+(4-1515.6)+(2.733192+(0.00408-1.545912))+0--255.3--0.260406000000041</f>
        <v>1424.7517660000001</v>
      </c>
      <c r="K358" s="3">
        <f>2789.4+(4-1573.2)+(0+(0-0))+0--257.1-0</f>
        <v>1477.3000000000002</v>
      </c>
      <c r="L358" s="3">
        <f>2922.7+(4-1684.3)+(1.490577+(0.00204-0.858993))+0--259.9--0.132548999999974</f>
        <v>1503.0661729999997</v>
      </c>
      <c r="M358" s="3">
        <f>3092.5+(4-1746.4)+(3.15435+(0.00408-1.781328))+0--256.8--0.261936000000041</f>
        <v>1608.5390379999999</v>
      </c>
      <c r="N358" s="3">
        <f>3178.1+(4-1714.1)+(3.241662+(0.00408-1.748382))+0--253.8--0.25887600000004</f>
        <v>1723.5562360000001</v>
      </c>
      <c r="O358" s="3">
        <f>3250.8+(4-1715.7)+(1.657908+(0.00204-0.875007))+0--251--0.128009999999975</f>
        <v>1791.0129509999999</v>
      </c>
      <c r="P358" s="3">
        <f>3199.8+(4-1646.4)+(0+(0-0))+0--249.4-0</f>
        <v>1806.8000000000002</v>
      </c>
      <c r="Q358" s="3">
        <f>3197.4+(4-1642.7)+(0+(0-0))+0--252-0</f>
        <v>1810.7</v>
      </c>
      <c r="R358" s="3">
        <f>3189.1+(6-1688.8)+(-6.505764+(-0.01224--3.445152))+0--247.6-0.505103999999989</f>
        <v>1750.3220439999998</v>
      </c>
      <c r="S358" s="3">
        <f>3214.3+(6-1715.5)+(-1.639293+(-0.00306--0.874905))+0--247-0.125969999999975</f>
        <v>1750.9065820000001</v>
      </c>
      <c r="T358" s="3">
        <f>3335.1+(6-1840.9)+(0+(0-0))+0--247-0</f>
        <v>1747.1999999999998</v>
      </c>
      <c r="U358" s="3">
        <f>3364.6+(46.6-1891.9)+(-3.431892+(-0.047532--1.929738))+0--247.5-0.252450000000039</f>
        <v>1764.9978639999997</v>
      </c>
      <c r="V358" s="3">
        <f>3395.2+(46.6-1916.7)+(1.731552+(0.023766-0.977517))+0--248.8--0.126887999999975</f>
        <v>1774.8046889999996</v>
      </c>
      <c r="W358" s="3">
        <f>3406.1+(43-1936.1)+(1.737111+(0.02193-0.987411))+0--249.8--0.127397999999975</f>
        <v>1763.699028</v>
      </c>
      <c r="X358" s="3">
        <f>3430+(69-1806.6)+(1.7493+(0.03519-0.921366))+0--250.6--0.127805999999975</f>
        <v>1943.9909299999999</v>
      </c>
      <c r="Y358" s="3">
        <f>3446.2+(74.2-1784.1)+(-1.757562+(-0.037842--0.909891))+0--251.6-0.128315999999974</f>
        <v>1986.8861709999999</v>
      </c>
      <c r="Z358" s="3">
        <f>3444.2+(59.5-1833.8)+(1.756542+(0.030345-0.935238))+0--252.2--0.128621999999974</f>
        <v>1923.0802709999998</v>
      </c>
      <c r="AA358" s="3">
        <f>3452.3+(56.4-1884.6)+(-1.760673+(-0.028764--0.961146))+0--253-0.129029999999974</f>
        <v>1876.1426790000003</v>
      </c>
      <c r="AB358" s="3">
        <f>3358.1+(42.1-1845.2)+(-13.701048+(-0.171768--7.528416))+0--255.8-1.04366399999998</f>
        <v>1803.4119359999997</v>
      </c>
      <c r="AC358" s="3">
        <f>2912.9+(56.7-1549.8)+(-8.913474+(-0.173502--4.742388))+0--257.4-0.78764400000003</f>
        <v>1672.0677680000003</v>
      </c>
      <c r="AD358">
        <v>1984.1</v>
      </c>
      <c r="AE358" s="3">
        <f>3428+(72-1766.9)+(0+(0-0))+0--251-0</f>
        <v>1984.1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2812.3+(56.8-1566.2)+(-4.302819+(-0.086904--2.396286))+0--253-0.387090000000015</f>
        <v>1553.5194730000001</v>
      </c>
      <c r="G359" s="3">
        <f>2605.5+(70.1-1453.7)+(-1.328805+(-0.035751--0.741387))+0--252-0.128519999999974</f>
        <v>1473.1483109999999</v>
      </c>
      <c r="H359" s="3">
        <f>2489.4+(64.7-1387.2)+(0+(0-0))+0--252.7-0</f>
        <v>1419.6000000000001</v>
      </c>
      <c r="I359" s="3">
        <f>2523.1+(35-1402.1)+(1.286781+(0.01785-0.715071))+0--254.1--0.129590999999974</f>
        <v>1410.8191509999997</v>
      </c>
      <c r="J359" s="3">
        <f>2605+(37-1496.3)+(0+(0-0))+0--255.4-0</f>
        <v>1401.1000000000001</v>
      </c>
      <c r="K359" s="3">
        <f>2828.7+(36-1659.4)+(1.442637+(0.01836-0.846294))+0--258.1--0.131630999999974</f>
        <v>1464.1463339999998</v>
      </c>
      <c r="L359" s="3">
        <f>2886.4+(28-1640.1)+(-5.888256+(-0.05712--3.345804))+0--255.7-0.521627999999989</f>
        <v>1526.8788000000002</v>
      </c>
      <c r="M359" s="3">
        <f>2984.7+(15-1620.1)+(4.566591+(0.02295-2.478753))+0--252.8--0.386784000000015</f>
        <v>1634.8975719999999</v>
      </c>
      <c r="N359" s="3">
        <f>3033.9+(8-1543.3)+(3.094578+(0.00816-1.574166))+0--249--0.25398000000004</f>
        <v>1749.382552</v>
      </c>
      <c r="O359" s="3">
        <f>3017.5+(6-1463.6)+(6.1557+(0.01224-2.985744))+0--243.9--0.497555999999989</f>
        <v>1807.4797520000002</v>
      </c>
      <c r="P359" s="3">
        <f>2989+(6-1412.2)+(0+(0-0))+0--240.4-0</f>
        <v>1823.2</v>
      </c>
      <c r="Q359" s="3">
        <f>2991+(6-1395.6)+(-1.52541+(-0.00306--0.711756))+0--237.4-0.121073999999976</f>
        <v>1837.8622120000002</v>
      </c>
      <c r="R359" s="3">
        <f>2975.1+(6-1467.5)+(0+(0-0))+0--238.9-0</f>
        <v>1752.5</v>
      </c>
      <c r="S359" s="3">
        <f>2976.9+(6-1510.7)+(0+(0-0))+0--239.9-0</f>
        <v>1712.1000000000001</v>
      </c>
      <c r="T359" s="3">
        <f>2982.9+(6-1516.4)+(0+(0-0))+0--239.4-0</f>
        <v>1711.9</v>
      </c>
      <c r="U359" s="3">
        <f>3011.6+(6-1541.1)+(-4.607748+(-0.00918--2.357883))+0--238.4-0.364752000000014</f>
        <v>1712.2762030000001</v>
      </c>
      <c r="V359" s="3">
        <f>3029.3+(6-1543.3)+(6.179772+(0.01224-3.148332))+0--217.4--0.443495999999991</f>
        <v>1712.8871760000004</v>
      </c>
      <c r="W359" s="3">
        <f>3058.5+(6-1566.5)+(-1.559835+(-0.00306--0.798915))+0--233.1-0.118880999999976</f>
        <v>1730.2171390000001</v>
      </c>
      <c r="X359" s="3">
        <f>3135.9+(7-1474.9)+(0+(0-0))+0--241.8-0</f>
        <v>1909.8</v>
      </c>
      <c r="Y359" s="3">
        <f>3159+(7-1475.1)+(-4.83327+(-0.01071--2.256903))+0--240.4-0.367812000000014</f>
        <v>1928.3451110000003</v>
      </c>
      <c r="Z359" s="3">
        <f>3256.4+(6-1635.1)+(-1.660764+(-0.00306--0.833901))+0--234.2-0.119441999999976</f>
        <v>1860.5506350000003</v>
      </c>
      <c r="AA359" s="3">
        <f>3255.5+(6-1705.9)+(-1.660305+(-0.00306--0.870009))+0--244.8-0.124847999999975</f>
        <v>1799.481796</v>
      </c>
      <c r="AB359" s="3">
        <f>3142.6+(5-1677.3)+(-8.01363+(-0.01275--4.277115))+0--245.5-0.626024999999964</f>
        <v>1711.42471</v>
      </c>
      <c r="AC359" s="3">
        <f>3127+(6-1764)+(-7.97385+(-0.0153--4.4982))+0--246.6-0.628829999999964</f>
        <v>1611.4802199999999</v>
      </c>
      <c r="AD359">
        <v>1982.5</v>
      </c>
      <c r="AE359" s="3">
        <f>3145+(7-1411.5)+(0+(0-0))+0--242-0</f>
        <v>1982.5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2928.6+(25-1664.6)+(-2.987172+(-0.0255--1.697892))+0--250-0.25500000000004</f>
        <v>1537.43022</v>
      </c>
      <c r="G360" s="3">
        <f>3011.2+(48-1830.8)+(-1.535712+(-0.02448--0.933708))+0--250.7-0.127856999999975</f>
        <v>1478.3456590000001</v>
      </c>
      <c r="H360" s="3">
        <f>3043.1+(52-1908.7)+(0+(0-0))+0--250.3-0</f>
        <v>1436.6999999999998</v>
      </c>
      <c r="I360" s="3">
        <f>2991.6+(54-1873.6)+(3.051432+(0.05508-1.911072))+0--250.5--0.25551000000004</f>
        <v>1423.9509499999999</v>
      </c>
      <c r="J360" s="3">
        <f>2861.6+(50-1728.5)+(7.29708+(0.1275-4.407675))+0--249.9--0.637244999999964</f>
        <v>1436.6541499999998</v>
      </c>
      <c r="K360" s="3">
        <f>2912+(51-1761.6)+(7.4256+(0.13005-4.49208))+0--250.2--0.638009999999964</f>
        <v>1455.3015800000001</v>
      </c>
      <c r="L360" s="3">
        <f>2989+(52-1797.6)+(1.52439+(0.02652-0.916776))+0--254--0.129539999999974</f>
        <v>1498.1636739999999</v>
      </c>
      <c r="M360" s="3">
        <f>3045+(47-1728.4)+(0+(0-0))+0--249.7-0</f>
        <v>1613.3</v>
      </c>
      <c r="N360" s="3">
        <f>3122+(43-1637.3)+(0+(0-0))+0--243.1-0</f>
        <v>1770.8</v>
      </c>
      <c r="O360" s="3">
        <f>3146+(29-1622.8)+(3.20892+(0.02958-1.655256))+0--238.6--0.243372000000038</f>
        <v>1792.626616</v>
      </c>
      <c r="P360" s="3">
        <f>3153+(19-1575.7)+(-1.60803+(-0.00969--0.803607))+0--233-0.118829999999976</f>
        <v>1828.3670570000002</v>
      </c>
      <c r="Q360" s="3">
        <f>3103+(18-1520)+(-3.16506+(-0.01836--1.5504))+0--226.8-0.231336000000036</f>
        <v>1825.9356439999999</v>
      </c>
      <c r="R360" s="3">
        <f>3052+(20-1504.4)+(-3.11304+(-0.0204--1.534488))+0--228.7-0.233274000000036</f>
        <v>1794.467774</v>
      </c>
      <c r="S360" s="3">
        <f>3019.7+(25-1491.9)+(-1.540047+(-0.01275--0.760869))+0--229.3-0.116942999999977</f>
        <v>1781.1911289999996</v>
      </c>
      <c r="T360" s="3">
        <f>3023.6+(25-1540.2)+(-6.168144+(-0.051--3.142008))+0--194.5-0.396779999999992</f>
        <v>1699.4260839999997</v>
      </c>
      <c r="U360" s="3">
        <f>3013.1+(28-1620.1)+(0+(0-0))+0--155.1-0</f>
        <v>1576.1</v>
      </c>
      <c r="V360" s="3">
        <f>3082.8+(24-1729.2)+(-3.144456+(-0.02448--1.763784))+0--160.6-0.163812000000026</f>
        <v>1536.631036</v>
      </c>
      <c r="W360" s="3">
        <f>3086.6+(31-1812.1)+(-1.574166+(-0.01581--0.924171))+0--238-0.121379999999976</f>
        <v>1542.7128149999999</v>
      </c>
      <c r="X360" s="3">
        <f>3004.7+(27-1613.2)+(-1.532397+(-0.01377--0.822732))+0--250-0.127499999999975</f>
        <v>1667.6490649999996</v>
      </c>
      <c r="Y360" s="3">
        <f>2426.6+(53.8-817.1)+(-2.475132+(-0.054876--0.833442))+0--238.8-0.243576000000038</f>
        <v>1900.1598579999995</v>
      </c>
      <c r="Z360" s="3">
        <f>2424.1+(50-829.4)+(-6.181455+(-0.1275--2.11497))+0--240.1-0.612254999999965</f>
        <v>1879.9937599999996</v>
      </c>
      <c r="AA360" s="3">
        <f>2438+(30-914.8)+(-2.48676+(-0.0306--0.933096))+0--239.3-0.244086000000038</f>
        <v>1790.67165</v>
      </c>
      <c r="AB360" s="3">
        <f>2405.4+(33-979.7)+(-3.680262+(-0.05049--1.498941))+0--241-0.368730000000014</f>
        <v>1697.099459</v>
      </c>
      <c r="AC360" s="3">
        <f>2303.6+(50-1036)+(-3.524508+(-0.0765--1.58508))+0--240.3-0.367659000000014</f>
        <v>1555.5164129999998</v>
      </c>
      <c r="AD360">
        <v>1955.1000000000004</v>
      </c>
      <c r="AE360" s="3">
        <f>2436.8+(64.5-784.6)+(0+(0-0))+0--238.4-0</f>
        <v>1955.1000000000004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2300.4+(50-1202.3)+(-2.346408+(-0.051--1.226346))+0--246-0.250920000000039</f>
        <v>1392.6780180000003</v>
      </c>
      <c r="G361" s="3">
        <f>2302.2+(49-1317.2)+(1.174122+(0.02499-0.671772))+0--247--0.125969999999975</f>
        <v>1281.6533099999999</v>
      </c>
      <c r="H361" s="3">
        <f>2304.6+(51-1367.6)+(-3.526038+(-0.07803--2.092428))+0--246-0.376380000000014</f>
        <v>1232.1119800000001</v>
      </c>
      <c r="I361" s="3">
        <f>2305.1+(50-1397.4)+(-2.351202+(-0.051--1.425348))+0--244-0.248880000000039</f>
        <v>1200.4742659999997</v>
      </c>
      <c r="J361" s="3">
        <f>2278.5+(53-1386)+(-3.486105+(-0.08109--2.12058))+0--246-0.376380000000014</f>
        <v>1189.6770050000002</v>
      </c>
      <c r="K361" s="3">
        <f>2230.3+(45-1279.2)+(3.412359+(0.06885-1.957176))+0--248--0.379440000000014</f>
        <v>1246.003473</v>
      </c>
      <c r="L361" s="3">
        <f>2171.9+(32-1158.8)+(-2.215338+(-0.03264--1.181976))+0--240.3-0.245106000000038</f>
        <v>1284.088892</v>
      </c>
      <c r="M361" s="3">
        <f>2184.6+(29-1003.5)+(0+(0-0))+0--237.6-0</f>
        <v>1447.6999999999998</v>
      </c>
      <c r="N361" s="3">
        <f>2216.1+(97.5-853.6)+(2.260422+(0.09945-0.870672))+0--239.2--0.243984000000038</f>
        <v>1700.933184</v>
      </c>
      <c r="O361" s="3">
        <f>2294.4+(102.8-905.2)+(3.510432+(0.157284-1.384956))+0--230.8--0.353124000000013</f>
        <v>1725.435884</v>
      </c>
      <c r="P361" s="3">
        <f>2249.7+(277.5-909.9)+(0+(0-0))+0--224.1-0</f>
        <v>1841.3999999999996</v>
      </c>
      <c r="Q361" s="3">
        <f>2215.9+(325.9-928.2)+(-1.130109+(-0.166209--0.473382))+0--221.2-0.112811999999978</f>
        <v>1833.8642519999999</v>
      </c>
      <c r="R361" s="3">
        <f>2192.3+(247.7-902.4)+(-8.944584+(-1.010616--3.681792))+0--220-0.897599999999981</f>
        <v>1750.4289920000001</v>
      </c>
      <c r="S361" s="3">
        <f>2191.5+(190.1-899)+(-4.47066+(-0.387804--1.83396))+0--220.2-0.44920799999999</f>
        <v>1699.326288</v>
      </c>
      <c r="T361" s="3">
        <f>2228+(156.9-886.3)+(1.13628+(0.080019-0.452013))+0--220.2--0.112301999999978</f>
        <v>1719.676588</v>
      </c>
      <c r="U361" s="3">
        <f>2197.6+(145.7-896.9)+(-6.724656+(-0.445842--2.744514))+0--220.8-0.675648000000026</f>
        <v>1662.0983679999997</v>
      </c>
      <c r="V361" s="3">
        <f>2231.8+(106.7-895.9)+(-6.829308+(-0.326502--2.741454))+0--221.4-0.677484000000026</f>
        <v>1658.9081600000004</v>
      </c>
      <c r="W361" s="3">
        <f>2307.2+(63-884.8)+(-3.530016+(-0.09639--1.353744))+0--221.2-0.338436000000013</f>
        <v>1703.9889019999998</v>
      </c>
      <c r="X361" s="3">
        <f>2395+(256.2-973)+(-1.22145+(-0.130662--0.49623))+0--222-0.113219999999977</f>
        <v>1899.230898</v>
      </c>
      <c r="Y361" s="3">
        <f>2434.2+(134.1-909.1)+(-4.965768+(-0.273564--1.854564))+0--224.7-0.45838799999999</f>
        <v>1880.056844</v>
      </c>
      <c r="Z361" s="3">
        <f>2447.5+(81.3-928.5)+(1.248225+(0.041463-0.473535))+0--227.1--0.115820999999977</f>
        <v>1828.3319739999997</v>
      </c>
      <c r="AA361" s="3">
        <f>2446.8+(19-936.4)+(-3.743604+(-0.02907--1.432692))+0--228.4-0.349452000000013</f>
        <v>1755.1105660000003</v>
      </c>
      <c r="AB361" s="3">
        <f>2448.2+(12-1012.8)+(-1.248582+(-0.00612--0.516528))+0--226.7-0.115616999999977</f>
        <v>1673.2462089999999</v>
      </c>
      <c r="AC361" s="3">
        <f>2444.3+(5-1112.7)+(-8.726151+(-0.01785--3.972339))+0--226-0.806820000000003</f>
        <v>1557.021518</v>
      </c>
      <c r="AD361">
        <v>1954.2999999999997</v>
      </c>
      <c r="AE361" s="3">
        <f>2416+(361.2-1052.9)+(0+(0-0))+0--230-0</f>
        <v>1954.3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2382.1+(15-1189.2)+(-2.429742+(-0.0153--1.212984))+0--235-0.239700000000037</f>
        <v>1441.4282419999997</v>
      </c>
      <c r="G362" s="3">
        <f>2337.4+(15-1206.8)+(-4.768296+(-0.0306--2.461872))+0--239.1-0.48776399999999</f>
        <v>1381.8752120000001</v>
      </c>
      <c r="H362" s="3">
        <f>2274.4+(17-1186.2)+(-3.479832+(-0.02601--1.814886))+0--238.9-0.365517000000014</f>
        <v>1342.0435270000003</v>
      </c>
      <c r="I362" s="3">
        <f>2206.3+(19-1147.9)+(-4.500852+(-0.03876--2.341716))+0--241-0.491639999999989</f>
        <v>1315.7104640000002</v>
      </c>
      <c r="J362" s="3">
        <f>1952.2+(14-815.6)+(2.986866+(0.02142-1.247868))+0--164.1--0.251073000000009</f>
        <v>1316.7114909999998</v>
      </c>
      <c r="K362" s="3">
        <f>1977.8+(10-806.6)+(4.034712+(0.0204-1.645464))+0--162.2--0.330887999999993</f>
        <v>1346.1405359999999</v>
      </c>
      <c r="L362" s="3">
        <f>2015.7+(15-840.3)+(-1.028007+(-0.00765--0.428553))+0--160.1-0.0816509999999838</f>
        <v>1349.8112450000001</v>
      </c>
      <c r="M362" s="3">
        <f>2013.7+(25.9-754.2)+(-1.026987+(-0.013209--0.384642))+0--159.2-0.0811919999999838</f>
        <v>1443.8632540000003</v>
      </c>
      <c r="N362" s="3">
        <f>2068.5+(64.1-728.5)+(-3.164805+(-0.098073--1.114605))+0--156.7-0.239751000000009</f>
        <v>1558.4119759999999</v>
      </c>
      <c r="O362" s="3">
        <f>2264.8+(48.1-825.9)+(0+(0-0))+0--154.7-0</f>
        <v>1641.7000000000003</v>
      </c>
      <c r="P362" s="3">
        <f>2325.6+(70.9-846.5)+(4.744224+(0.144636-1.72686))+0--154.1--0.314363999999993</f>
        <v>1707.576364</v>
      </c>
      <c r="Q362" s="3">
        <f>2291.3+(154.8-876.1)+(-1.168563+(-0.078948--0.446811))+0--153.1-0.0780809999999845</f>
        <v>1722.2212190000002</v>
      </c>
      <c r="R362" s="3">
        <f>2317.4+(42.5-948.1)+(-5.90937+(-0.108375--2.417655))+0--220.8-0.563039999999968</f>
        <v>1628.4368700000002</v>
      </c>
      <c r="S362" s="3">
        <f>2359.2+(33.4-1044.3)+(-1.203192+(-0.017034--0.532593))+0--226.7-0.115616999999977</f>
        <v>1574.1967499999998</v>
      </c>
      <c r="T362" s="3">
        <f>2352.5+(7.4-1039.3)+(-5.998875+(-0.01887--2.650215))+0--227.2-0.579359999999967</f>
        <v>1543.8531100000002</v>
      </c>
      <c r="U362" s="3">
        <f>2345.9+(12.1-1037.1)+(-1.196409+(-0.006171--0.528921))+0--227.8-0.116177999999977</f>
        <v>1547.910163</v>
      </c>
      <c r="V362" s="3">
        <f>2280.3+(25.2-972.1)+(-1.162953+(-0.012852--0.495771))+0--228.7-0.116636999999977</f>
        <v>1561.3033290000001</v>
      </c>
      <c r="W362" s="3">
        <f>2265.1+(33.5-958.3)+(1.155201+(0.017085-0.488733))+0--230.9--0.117758999999977</f>
        <v>1572.0013120000001</v>
      </c>
      <c r="X362" s="3">
        <f>2308.5+(159.2-927.2)+(0+(0-0))+0--232.5-0</f>
        <v>1773</v>
      </c>
      <c r="Y362" s="3">
        <f>2332+(200.3-964.7)+(-5.9466+(-0.510765--2.459985))+0--234.2-0.597209999999966</f>
        <v>1797.20541</v>
      </c>
      <c r="Z362" s="3">
        <f>2328.9+(140.9-949.5)+(0+(0-0))+0--235.7-0</f>
        <v>1756.0000000000002</v>
      </c>
      <c r="AA362" s="3">
        <f>2217.8+(218.7-952.1)+(-6.786468+(-0.669222--2.913426))+0--237-0.725220000000027</f>
        <v>1716.1325160000001</v>
      </c>
      <c r="AB362" s="3">
        <f>2208.9+(20.9-831.5)+(-1.126539+(-0.010659--0.424065))+0--236.6-0.120665999999976</f>
        <v>1634.0662010000001</v>
      </c>
      <c r="AC362" s="3">
        <f>2204.7+(5-917.2)+(-4.497588+(-0.0102--1.871088))+0--237.4-0.48429599999999</f>
        <v>1526.7790039999998</v>
      </c>
      <c r="AD362">
        <v>1816.6</v>
      </c>
      <c r="AE362" s="3">
        <f>2333+(225.5-976.9)+(0+(0-0))+0--235-0</f>
        <v>1816.6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2217+(9-1025.8)+(-2.26134+(-0.00918--1.046316))+0--243.9-0.248778000000039</f>
        <v>1442.6270179999999</v>
      </c>
      <c r="G363" s="3">
        <f>2186.7+(9-1067.2)+(-2.230434+(-0.00918--1.088544))+0--242.1-0.246942000000039</f>
        <v>1369.2019879999998</v>
      </c>
      <c r="H363" s="3">
        <f>1998.3+(9-927.5)+(0+(0-0))+0--245.2-0</f>
        <v>1325</v>
      </c>
      <c r="I363" s="3">
        <f>1901.8+(9-851.9)+(-2.909754+(-0.01377--1.303407))+0--246.1-0.376533000000014</f>
        <v>1303.00335</v>
      </c>
      <c r="J363" s="3">
        <f>1895.9+(9-841.7)+(0.966909+(0.00459-0.429267))+0--244.2--0.124541999999975</f>
        <v>1308.0667740000001</v>
      </c>
      <c r="K363" s="3">
        <f>1943.5+(9-855.1)+(2.973555+(0.01377-1.308303))+0--246.2--0.376686000000014</f>
        <v>1345.6557080000002</v>
      </c>
      <c r="L363" s="3">
        <f>2079+(10-952.7)+(-5.30145+(-0.0255--2.429385))+0--241.8-0.616589999999965</f>
        <v>1374.5858450000001</v>
      </c>
      <c r="M363" s="3">
        <f>2106.2+(22.7-851.7)+(-4.296648+(-0.046308--1.737468))+0--241.9-0.493475999999989</f>
        <v>1516.0010359999999</v>
      </c>
      <c r="N363" s="3">
        <f>2248.5+(26.8-851.2)+(0+(0-0))+0--238.2-0</f>
        <v>1662.3</v>
      </c>
      <c r="O363" s="3">
        <f>2333.6+(52.8-888.1)+(1.190136+(0.026928-0.452931))+0--233.3--0.118982999999976</f>
        <v>1732.4831159999997</v>
      </c>
      <c r="P363" s="3">
        <f>2346+(83.7-885.2)+(0+(0-0))+0--230.6-0</f>
        <v>1775.1</v>
      </c>
      <c r="Q363" s="3">
        <f>2331.6+(103-887.4)+(0+(0-0))+0--230.5-0</f>
        <v>1777.6999999999998</v>
      </c>
      <c r="R363" s="3">
        <f>2200.8+(227.3-988.1)+(-4.489632+(-0.463692--2.015724))+0--229.7-0.46858799999999</f>
        <v>1666.2938120000003</v>
      </c>
      <c r="S363" s="3">
        <f>2125.7+(278.8-968.9)+(-3.252321+(-0.426564--1.482417))+0--229.9-0.351747000000013</f>
        <v>1662.951785</v>
      </c>
      <c r="T363" s="3">
        <f>2108.3+(264.8-950)+(-1.075233+(-0.135048--0.4845))+0--230-0.117299999999977</f>
        <v>1652.2569190000002</v>
      </c>
      <c r="U363" s="3">
        <f>2105.8+(244-968.1)+(0+(0-0))+0--231.9-0</f>
        <v>1613.6000000000004</v>
      </c>
      <c r="V363" s="3">
        <f>2117+(271.9-948.9)+(-3.23901+(-0.416007--1.451817))+0--233.2-0.356796000000013</f>
        <v>1670.6400040000001</v>
      </c>
      <c r="W363" s="3">
        <f>2064.6+(269.3-912.7)+(0+(0-0))+0--235.1-0</f>
        <v>1656.2999999999997</v>
      </c>
      <c r="X363" s="3">
        <f>2263.8+(460.8-1101)+(-1.154538+(-0.235008--0.56151))+0--238-0.121379999999976</f>
        <v>1860.650584</v>
      </c>
      <c r="Y363" s="3">
        <f>2350.1+(430-1111.4)+(-3.595653+(-0.6579--1.700442))+0--238.1-0.364293000000014</f>
        <v>1903.8825959999997</v>
      </c>
      <c r="Z363" s="3">
        <f>2287.9+(144-836.7)+(-3.500487+(-0.22032--1.280151))+0--238.3-0.364599000000014</f>
        <v>1830.694745</v>
      </c>
      <c r="AA363" s="3">
        <f>2214.6+(184.9-844.8)+(-2.258892+(-0.188598--0.861696))+0--238.4-0.243168000000038</f>
        <v>1791.2710379999999</v>
      </c>
      <c r="AB363" s="3">
        <f>2209.9+(71.4-810.4)+(-5.635245+(-0.18207--2.06652))+0--238.4-0.607919999999965</f>
        <v>1704.9412850000003</v>
      </c>
      <c r="AC363" s="3">
        <f>2156+(28.9-834.9)+(-3.29868+(-0.044217--1.277397))+0--237.2-0.362916000000014</f>
        <v>1584.7715840000001</v>
      </c>
      <c r="AD363">
        <v>2024.6</v>
      </c>
      <c r="AE363" s="3">
        <f>2381+(477.5-1077.9)+(0+(0-0))+0--244-0</f>
        <v>2024.6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2124.3+(16.1-877.2)+(-5.416965+(-0.041055--2.23686))+0--244.9-0.624494999999965</f>
        <v>1504.2543450000003</v>
      </c>
      <c r="G364" s="3">
        <f>2072.5+(14-914.2)+(-5.284875+(-0.0357--2.33121))+0--250-0.637499999999964</f>
        <v>1418.673135</v>
      </c>
      <c r="H364" s="3">
        <f>1903.5+(14-778.5)+(-0.970785+(-0.00714--0.397035))+0--249.8-0.127397999999975</f>
        <v>1388.0917119999999</v>
      </c>
      <c r="I364" s="3">
        <f>1835.3+(15.3-726.9)+(-2.808009+(-0.023409--1.112157))+0--249.8-0.382194000000014</f>
        <v>1371.3985449999998</v>
      </c>
      <c r="J364" s="3">
        <f>1827.2+(17-732.6)+(-2.795616+(-0.02601--1.120878))+0--251.8-0.385254000000015</f>
        <v>1361.3139979999999</v>
      </c>
      <c r="K364" s="3">
        <f>1834.7+(27-720.6)+(-2.807091+(-0.04131--1.102518))+0--254.9-0.389997000000015</f>
        <v>1393.86412</v>
      </c>
      <c r="L364" s="3">
        <f>1828+(26-700.1)+(-1.86456+(-0.02652--0.714102))+0--251.6-0.25663200000004</f>
        <v>1404.06639</v>
      </c>
      <c r="M364" s="3">
        <f>1987.4+(20-744.1)+(1.013574+(0.0102-0.379491))+0--254.6--0.129845999999974</f>
        <v>1518.6741290000002</v>
      </c>
      <c r="N364" s="3">
        <f>2146.9+(22-769.5)+(1.094919+(0.01122-0.392445))+0--255--0.130049999999974</f>
        <v>1655.2437440000001</v>
      </c>
      <c r="O364" s="3">
        <f>2313.7+(14-857.1)+(0+(0-0))+0--254.5-0</f>
        <v>1725.1</v>
      </c>
      <c r="P364" s="3">
        <f>2395.5+(14-906.3)+(-3.665115+(-0.02142--1.386639))+0--253.9-0.388467000000015</f>
        <v>1754.4116370000002</v>
      </c>
      <c r="Q364" s="3">
        <f>2275.5+(37.9-851)+(0+(0-0))+0--251.9-0</f>
        <v>1714.3000000000002</v>
      </c>
      <c r="R364" s="3">
        <f>2065+(83.4-668)+(-2.1063+(-0.085068--0.68136))+0--249.9-0.25489800000004</f>
        <v>1728.5350940000001</v>
      </c>
      <c r="S364" s="3">
        <f>1871+(116.6-542.9)+(-1.90842+(-0.118932--0.553758))+0--249.1-0.25408200000004</f>
        <v>1692.0723239999998</v>
      </c>
      <c r="T364" s="3">
        <f>1881+(94.8-499.6)+(0+(0-0))+0--248.7-0</f>
        <v>1724.9</v>
      </c>
      <c r="U364" s="3">
        <f>1824.5+(68-487)+(-0.930495+(-0.03468--0.24837))+0--249.7-0.127346999999975</f>
        <v>1654.3558480000002</v>
      </c>
      <c r="V364" s="3">
        <f>1834.2+(81.3-508.5)+(-0.935442+(-0.041463--0.259335))+0--249.9-0.127448999999975</f>
        <v>1656.054981</v>
      </c>
      <c r="W364" s="3">
        <f>1838.4+(97.5-412.8)+(-1.875168+(-0.09945--0.421056))+0--251.3-0.25632600000004</f>
        <v>1772.5901120000001</v>
      </c>
      <c r="X364" s="3">
        <f>1987.4+(115.2-494.5)+(-1.013574+(-0.058752--0.252195))+0--250.1-0.127550999999975</f>
        <v>1857.2523180000001</v>
      </c>
      <c r="Y364" s="3">
        <f>2283.1+(54-671.6)+(-5.821905+(-0.1377--1.71258))+0--251.2-0.640559999999963</f>
        <v>1911.8124150000001</v>
      </c>
      <c r="Z364" s="3">
        <f>2266.8+(55-711.5)+(-6.936408+(-0.1683--2.17719))+0--252-0.771120000000029</f>
        <v>1856.6013620000001</v>
      </c>
      <c r="AA364" s="3">
        <f>2076.1+(55-584.1)+(-2.117622+(-0.0561--0.595782))+0--254.4-0.259488000000041</f>
        <v>1799.562572</v>
      </c>
      <c r="AB364" s="3">
        <f>2038.6+(29-610.9)+(-4.158744+(-0.05916--1.246236))+0--255.8-0.521831999999989</f>
        <v>1709.0065</v>
      </c>
      <c r="AC364" s="3">
        <f>1860.2+(28-530.7)+(-1.897404+(-0.02856--0.541314))+0--256.4-0.261528000000041</f>
        <v>1612.2538220000001</v>
      </c>
      <c r="AD364">
        <v>1869.3</v>
      </c>
      <c r="AE364" s="3">
        <f>2291+(41-721)+(0+(0-0))+0--258.3-0</f>
        <v>1869.3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1813.5+(4-605.7)+(0.924885+(0.00204-0.308907))+0--261.1--0.133160999999974</f>
        <v>1473.6511789999997</v>
      </c>
      <c r="G365" s="3">
        <f>1852.3+(4-735.2)+(-4.723365+(-0.0102--1.87476))+0--261-0.665549999999962</f>
        <v>1378.5756449999999</v>
      </c>
      <c r="H365" s="3">
        <f>1826.2+(4-760.1)+(-0.931362+(-0.00204--0.387651))+0--260.1-0.132650999999974</f>
        <v>1329.5215979999998</v>
      </c>
      <c r="I365" s="3">
        <f>1789.4+(6-739.6)+(-1.825188+(-0.00612--0.754392))+0--262.2-0.267444000000042</f>
        <v>1316.6556400000002</v>
      </c>
      <c r="J365" s="3">
        <f>1735.7+(7-613.8)+(2.655621+(0.01071-0.939114))+0--175.3--0.26820900000001</f>
        <v>1306.1954260000002</v>
      </c>
      <c r="K365" s="3">
        <f>1722.6+(5-569.6)+(0.878526+(0.00255-0.290496))+0--176.4--0.0899639999999821</f>
        <v>1335.0805440000001</v>
      </c>
      <c r="L365" s="3">
        <f>1730+(5-570.6)+(-3.5292+(-0.0102--1.164024))+0--172.6-0.352103999999992</f>
        <v>1334.27252</v>
      </c>
      <c r="M365" s="3">
        <f>1697.9+(23.9-471.9)+(0.865929+(0.012189-0.240669))+0--171--0.0872099999999826</f>
        <v>1421.6246590000001</v>
      </c>
      <c r="N365" s="3">
        <f>1918.9+(16.3-569)+(1.957278+(0.016626-0.58038))+0--178.2--0.181764000000028</f>
        <v>1545.9752880000001</v>
      </c>
      <c r="O365" s="3">
        <f>2072+(6-700)+(-1.05672+(-0.00306--0.357))+0--244.5-0.124694999999975</f>
        <v>1621.672525</v>
      </c>
      <c r="P365" s="3">
        <f>1977.9+(28.7-576.9)+(-4.034916+(-0.058548--1.176876))+0--241.8-0.493271999999989</f>
        <v>1668.0901400000002</v>
      </c>
      <c r="Q365" s="3">
        <f>1919.9+(58.6-591.6)+(-0.979149+(-0.029886--0.301716))+0--238.8-0.121787999999976</f>
        <v>1624.870893</v>
      </c>
      <c r="R365" s="3">
        <f>1874.4+(65.8-540.7)+(-5.735664+(-0.201348--1.654542))+0--239.3-0.732258000000028</f>
        <v>1633.7852719999998</v>
      </c>
      <c r="S365" s="3">
        <f>1797.9+(78.1-508.4)+(0.916929+(0.039831-0.259284))+0--241.7--0.123266999999975</f>
        <v>1610.1207430000002</v>
      </c>
      <c r="T365" s="3">
        <f>1787.5+(73.5-489.3)+(-0.911625+(-0.037485--0.249543))+0--242.9-0.123878999999975</f>
        <v>1613.7765540000003</v>
      </c>
      <c r="U365" s="3">
        <f>1788.1+(97.3-506.8)+(-0.911931+(-0.049623--0.258468))+0--241-0.122909999999976</f>
        <v>1618.7740039999999</v>
      </c>
      <c r="V365" s="3">
        <f>1797.8+(76.4-484.8)+(0+(0-0))+0--240.8-0</f>
        <v>1630.2</v>
      </c>
      <c r="W365" s="3">
        <f>1831.7+(70.5-506.2)+(-3.736668+(-0.14382--1.032648))+0--241.5-0.492659999999989</f>
        <v>1634.1595000000002</v>
      </c>
      <c r="X365" s="3">
        <f>1945.5+(124.3-481.2)+(-2.976615+(-0.190179--0.736236))+0--241.9-0.370107000000014</f>
        <v>1827.699335</v>
      </c>
      <c r="Y365" s="3">
        <f>1981.8+(136.3-474.1)+(-3.032154+(-0.208539--0.725373))+0--243.2-0.372096000000014</f>
        <v>1884.312584</v>
      </c>
      <c r="Z365" s="3">
        <f>1992+(82.8-474.9)+(-5.0796+(-0.21114--1.210995))+0--243.7-0.621434999999965</f>
        <v>1838.8988200000001</v>
      </c>
      <c r="AA365" s="3">
        <f>1991.3+(52.1-503.5)+(-4.062252+(-0.106284--1.02714))+0--246.2-0.502247999999989</f>
        <v>1782.4563560000001</v>
      </c>
      <c r="AB365" s="3">
        <f>1965.5+(25.2-509)+(-4.00962+(-0.051408--1.03836))+0--248.9-0.507755999999989</f>
        <v>1727.0695760000001</v>
      </c>
      <c r="AC365" s="3">
        <f>1886.4+(20.8-514.2)+(-2.886192+(-0.031824--0.786726))+0--248.2-0.379746000000014</f>
        <v>1638.6889639999999</v>
      </c>
      <c r="AD365">
        <v>1838.7999999999997</v>
      </c>
      <c r="AE365" s="3">
        <f>1970+(93.7-469)+(0+(0-0))+0--244.1-0</f>
        <v>1838.8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158.9+(198.6-16.9)+(-0.405195+(-0.50643--0.043095))+0-73.9--0.188444999999989</f>
        <v>266.01991499999997</v>
      </c>
      <c r="G1" s="3">
        <f>159+(171.3-4.3)+(-0.24327+(-0.262089--0.006579))+0-72.2--0.110466000000004</f>
        <v>253.411686</v>
      </c>
      <c r="H1" s="3">
        <f>160.8+(202.4-40)+(-0.082008+(-0.103224--0.0204))+0-71.9--0.0366689999999927</f>
        <v>251.17183700000004</v>
      </c>
      <c r="I1" s="3">
        <f>160.7+(219.6-49.9)+(-0.409785+(-0.55998--0.127245))+0-91.6--0.233579999999987</f>
        <v>238.19105999999999</v>
      </c>
      <c r="J1" s="3">
        <f>160.1+(195.6-21.6)+(-0.081651+(-0.099756--0.011016))+0-107.9--0.0550289999999891</f>
        <v>226.08463800000001</v>
      </c>
      <c r="K1" s="3">
        <f>160+(195.9-32.2)+(-0.408+(-0.499545--0.08211))+0-110--0.280499999999984</f>
        <v>213.15506499999995</v>
      </c>
      <c r="L1" s="3">
        <f>160.3+(164.9-31.4)+(0+(0-0))+0-102.8-0</f>
        <v>191</v>
      </c>
      <c r="M1" s="3">
        <f>160.8+(146.2-17.1)+(0+(0-0))+0-101.7-0</f>
        <v>188.2</v>
      </c>
      <c r="N1" s="3">
        <f>161+(152.3-21.6)+(-0.24633+(-0.233019--0.033048))+0-100.5--0.153765000000006</f>
        <v>190.90746400000003</v>
      </c>
      <c r="O1" s="3">
        <f>160.5+(170.1-29)+(-0.081855+(-0.086751--0.01479))+0-105.5--0.0538049999999893</f>
        <v>195.999989</v>
      </c>
      <c r="P1" s="3">
        <f>158.6+(170.2-30)+(-0.242658+(-0.260406--0.0459))+0-103.4--0.158202000000006</f>
        <v>195.10103799999999</v>
      </c>
      <c r="Q1" s="3">
        <f>157.9+(168.3-41)+(-0.241587+(-0.257499--0.06273))+0-89.9--0.137547000000005</f>
        <v>195.00119100000006</v>
      </c>
      <c r="R1" s="3">
        <f>156.6+(185.7-47.3)+(-0.079866+(-0.094707--0.024123))+0-105.8--0.0539579999999893</f>
        <v>189.10350800000001</v>
      </c>
      <c r="S1" s="3">
        <f>155.2+(179.2-46.5)+(0.158304+(0.182784-0.04743))+0-100.7-0.102714000000016</f>
        <v>187.39094399999996</v>
      </c>
      <c r="T1" s="3">
        <f>154.9+(190-50.8)+(-0.236997+(-0.2907--0.077724))+0-108.2--0.165546000000006</f>
        <v>185.61557300000004</v>
      </c>
      <c r="U1" s="3">
        <f>154.8+(199.9-57.3)+(-0.157896+(-0.203898--0.058446))+0-107.4--0.109548000000017</f>
        <v>189.80620000000002</v>
      </c>
      <c r="V1" s="3">
        <f>154.7+(183.6-46.4)+(-0.078897+(-0.093636--0.023664))+0-102.8--0.0524279999999896</f>
        <v>189.00355899999997</v>
      </c>
      <c r="W1" s="3">
        <f>155+(188.3-39.8)+(0+(0-0))+0-103.4-0</f>
        <v>200.1</v>
      </c>
      <c r="X1" s="3">
        <f>156.4+(261.4-58.1)+(0+(0-0))+0-108.7-0</f>
        <v>251</v>
      </c>
      <c r="Y1" s="3">
        <f>154.4+(229.6-20.5)+(-0.078744+(-0.117096--0.010455))+0-93.3--0.0475829999999905</f>
        <v>270.06219799999997</v>
      </c>
      <c r="Z1" s="3">
        <f>149.8+(221.1-0)+(0.076398+(0.112761-0))+0-104.9-0.0534989999999894</f>
        <v>266.13566000000003</v>
      </c>
      <c r="AA1" s="3">
        <f>149.4+(219.4-0)+(0+(0-0))+0-104.3-0</f>
        <v>264.5</v>
      </c>
      <c r="AB1" s="3">
        <f>149.1+(220-0)+(0+(0-0))+0-111.1-0</f>
        <v>258</v>
      </c>
      <c r="AC1" s="3">
        <f>148.6+(214.1-0)+(-0.075786+(-0.109191-0))+0-106--0.0540599999999892</f>
        <v>256.56908299999998</v>
      </c>
      <c r="AD1">
        <v>268.8</v>
      </c>
      <c r="AE1" s="3">
        <f>157+(240.5-32.4)+(0+(0-0))+0-96.3-0</f>
        <v>268.8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255.78454149999999</v>
      </c>
      <c r="G2" s="3">
        <f>147+(173-0)+(0+(0-0))+0-65-0</f>
        <v>255</v>
      </c>
      <c r="H2" s="3">
        <f>147+(175-0)+(-0.29988+(-0.357-0))+0-63--0.128519999999997</f>
        <v>258.47163999999998</v>
      </c>
      <c r="I2" s="3">
        <f>146.8+(192.3-19.7)+(-0.149736+(-0.196146--0.020094))+0-105.7--0.107814000000017</f>
        <v>213.48202600000008</v>
      </c>
      <c r="J2" s="3">
        <f>148+(190.9-29.1)+(0+(0-0))+0-96.2-0</f>
        <v>213.60000000000002</v>
      </c>
      <c r="K2" s="3">
        <f>146.3+(217.8-46.3)+(-0.223839+(-0.333234--0.070839))+0-103--0.157590000000006</f>
        <v>214.47135599999999</v>
      </c>
      <c r="L2" s="3">
        <f>147.2+(202.2-35.1)+(-0.150144+(-0.206244--0.035802))+0-104.4--0.106488000000017</f>
        <v>209.68590199999997</v>
      </c>
      <c r="M2" s="3">
        <f>144.4+(183.4-25.3)+(-0.515508+(-0.654738--0.090321))+0-104--0.371280000000002</f>
        <v>197.79135500000001</v>
      </c>
      <c r="N2" s="3">
        <f>150.3+(183.2-20.4)+(0.229959+(0.280296-0.031212))+0-111.7-0.170901000000006</f>
        <v>201.70814200000001</v>
      </c>
      <c r="O2" s="3">
        <f>150.5+(200.8-28.7)+(0.230265+(0.307224-0.043911))+0-108.3-0.165699000000006</f>
        <v>214.62787900000001</v>
      </c>
      <c r="P2" s="3">
        <f>148.9+(197.4-5.7)+(0.151878+(0.201348-0.005814))+0-113-0.115260000000018</f>
        <v>227.83215200000004</v>
      </c>
      <c r="Q2" s="3">
        <f>144.7+(194.6-0)+(-0.442782+(-0.595476-0))+0-106.6--0.326196000000012</f>
        <v>231.98793799999999</v>
      </c>
      <c r="R2" s="3">
        <f>148.9+(183.7-3.2)+(-0.075939+(-0.093687--0.001632))+0-99.2--0.0505919999999899</f>
        <v>230.08259799999996</v>
      </c>
      <c r="S2" s="3">
        <f>150.9+(211.4-27.3)+(0.153918+(0.215628-0.027846))+0-110.2-0.112404000000018</f>
        <v>225.02929599999999</v>
      </c>
      <c r="T2" s="3">
        <f>148.6+(236-65.6)+(-0.227358+(-0.36108--0.100368))+0-95.7--0.146421000000006</f>
        <v>222.95835100000002</v>
      </c>
      <c r="U2" s="3">
        <f>149.6+(237.8-63.1)+(0+(0-0))+0-101.6-0</f>
        <v>222.70000000000002</v>
      </c>
      <c r="V2" s="3">
        <f>149+(224.6-58.8)+(-0.22797+(-0.343638--0.089964))+0-86.9--0.132957000000005</f>
        <v>227.55131299999999</v>
      </c>
      <c r="W2" s="3">
        <f>147.8+(224.8-52.1)+(-0.301512+(-0.458592--0.106284))+0-90.2--0.184007999999996</f>
        <v>229.83018800000002</v>
      </c>
      <c r="X2" s="3">
        <f>148.3+(216.7-40.8)+(-0.302532+(-0.442068--0.083232))+0-83.1--0.169523999999996</f>
        <v>240.60815600000001</v>
      </c>
      <c r="Y2" s="3">
        <f>148+(275-48.7)+(-0.22644+(-0.42075--0.074511))+0-92.7--0.141831000000005</f>
        <v>281.16915200000005</v>
      </c>
      <c r="Z2" s="3">
        <f>145.9+(307.1-52.8)+(-0.372045+(-0.783105--0.13464))+0-112.2--0.286109999999984</f>
        <v>287.26560000000006</v>
      </c>
      <c r="AA2" s="3">
        <f>149.5+(299.6-54.7)+(-0.076245+(-0.152796--0.027897))+0-109.4--0.0557939999999889</f>
        <v>284.85464999999999</v>
      </c>
      <c r="AB2" s="3">
        <f>146.7+(293.5-48.7)+(-0.448902+(-0.89811--0.149022))+0-108.4--0.331704000000013</f>
        <v>282.23371400000002</v>
      </c>
      <c r="AC2" s="3">
        <f>149.6+(262.9-37.8)+(-0.152592+(-0.268158--0.038556))+0-96.5--0.0984300000000154</f>
        <v>277.91623599999991</v>
      </c>
      <c r="AD2">
        <v>289.39999999999998</v>
      </c>
      <c r="AE2" s="3">
        <f>145+(316.4-45.3)+(0+(0-0))+0-126.7-0</f>
        <v>289.39999999999998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150.2+(245.7-23.2)+(-0.153204+(-0.250614--0.023664))+0-115.4--0.117708000000018</f>
        <v>257.037554</v>
      </c>
      <c r="G3" s="3">
        <f>150.2+(198.5-11.1)+(0+(0-0))+0-93.1-0</f>
        <v>244.50000000000003</v>
      </c>
      <c r="H3" s="3">
        <f>147.3+(189.9-0)+(-0.300492+(-0.387396-0))+0-103.5--0.211139999999995</f>
        <v>233.22325200000006</v>
      </c>
      <c r="I3" s="3">
        <f>150+(188.3-0)+(0+(0-0))+0-108.2-0</f>
        <v>230.10000000000002</v>
      </c>
      <c r="J3" s="3">
        <f>146.3+(196.1-9.3)+(-0.373065+(-0.500055--0.023715))+0-106.8--0.272339999999984</f>
        <v>225.72293500000001</v>
      </c>
      <c r="K3" s="3">
        <f>153.1+(206.1-28.9)+(0.312324+(0.420444-0.058956))+0-100.1-0.204203999999996</f>
        <v>230.66960799999995</v>
      </c>
      <c r="L3" s="3">
        <f>150.1+(212.7-33.6)+(-0.229653+(-0.325431--0.051408))+0-105.5--0.161415000000006</f>
        <v>223.35773900000001</v>
      </c>
      <c r="M3" s="3">
        <f>149.9+(182.6-11.7)+(-0.076449+(-0.093126--0.005967))+0-103.2--0.0526319999999895</f>
        <v>217.489024</v>
      </c>
      <c r="N3" s="3">
        <f>150.6+(186.3-15.3)+(0+(0-0))+0-90.8-0</f>
        <v>230.8</v>
      </c>
      <c r="O3" s="3">
        <f>149.6+(204.3-1.6)+(-0.076296+(-0.104193--0.000816))+0-111.7--0.0569669999999887</f>
        <v>240.47729400000003</v>
      </c>
      <c r="P3" s="3">
        <f>149.8+(203.2-0)+(0+(0-0))+0-99.7-0</f>
        <v>253.3</v>
      </c>
      <c r="Q3" s="3">
        <f>149.2+(222.6-0)+(0+(0-0))+0-115.6-0</f>
        <v>256.19999999999993</v>
      </c>
      <c r="R3" s="3">
        <f>147.7+(234.9-15.4)+(-0.150654+(-0.239598--0.015708))+0-112.5--0.114750000000018</f>
        <v>254.44020599999999</v>
      </c>
      <c r="S3" s="3">
        <f>148.8+(248.2-26.5)+(0+(0-0))+0-117-0</f>
        <v>253.5</v>
      </c>
      <c r="T3" s="3">
        <f>148.8+(244.3-41)+(0.075888+(0.124593-0.02091))+0-105-0.0535499999999893</f>
        <v>247.22602100000003</v>
      </c>
      <c r="U3" s="3">
        <f>146.3+(249.1-41.8)+(-0.149226+(-0.254082--0.042636))+0-110.7--0.112914000000018</f>
        <v>242.65224200000003</v>
      </c>
      <c r="V3" s="3">
        <f>149+(256.3-56)+(0.07599+(0.130713-0.02856))+0-105.1-0.0536009999999893</f>
        <v>244.32454200000001</v>
      </c>
      <c r="W3" s="3">
        <f>148.5+(256.3-52.6)+(-0.075735+(-0.130713--0.026826))+0-107.5--0.0548249999999891</f>
        <v>244.57520300000004</v>
      </c>
      <c r="X3" s="3">
        <f>150.5+(254.7-44.4)+(0.076755+(0.129897-0.022644))+0-107.5-0.0548249999999891</f>
        <v>253.42918299999997</v>
      </c>
      <c r="Y3" s="3">
        <f>151.8+(330-73.7)+(0.077418+(0.1683-0.037587))+0-112.1-0.0571709999999886</f>
        <v>296.15096</v>
      </c>
      <c r="Z3" s="3">
        <f>155.2+(315.3-44.5)+(-0.079152+(-0.160803--0.022695))+0-111.6--0.0569159999999887</f>
        <v>314.23965599999997</v>
      </c>
      <c r="AA3" s="3">
        <f>154.5+(297.3-34.4)+(0+(0-0))+0-110.3-0</f>
        <v>307.10000000000002</v>
      </c>
      <c r="AB3" s="3">
        <f>155.6+(277.3-27.3)+(0.079356+(0.141423-0.013923))+0-107.3-0.0547229999999891</f>
        <v>298.45213300000006</v>
      </c>
      <c r="AC3" s="3">
        <f>155.5+(261.4-23)+(-0.079305+(-0.133314--0.01173))+0-99.2--0.0505919999999899</f>
        <v>294.54970299999997</v>
      </c>
      <c r="AD3">
        <v>306.09999999999997</v>
      </c>
      <c r="AE3" s="3">
        <f>153+(332-46.6)+(0+(0-0))+0-132.3-0</f>
        <v>306.09999999999997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155.2+(275.8-39.1)+(-0.079152+(-0.140658--0.019941))+0-121.1--0.0617609999999877</f>
        <v>270.66189200000002</v>
      </c>
      <c r="G4" s="3">
        <f>156+(253.8-43.1)+(-0.23868+(-0.388314--0.065943))+0-116--0.177480000000007</f>
        <v>250.31642900000003</v>
      </c>
      <c r="H4" s="3">
        <f>161.1+(232.3-40.3)+(-0.164322+(-0.236946--0.041106))+0-112.8--0.115056000000018</f>
        <v>240.05489400000002</v>
      </c>
      <c r="I4" s="3">
        <f>162.5+(219.9-30.6)+(0.16575+(0.224298-0.031212))+0-115.9-0.118218000000018</f>
        <v>236.14061799999999</v>
      </c>
      <c r="J4" s="3">
        <f>161.1+(205.6-20.9)+(-0.164322+(-0.209712--0.021318))+0-112.2--0.114444000000018</f>
        <v>233.361728</v>
      </c>
      <c r="K4" s="3">
        <f>163.1+(199.9-9.2)+(0.249543+(0.305847-0.014076))+0-118.3-0.180999000000007</f>
        <v>235.86031499999999</v>
      </c>
      <c r="L4" s="3">
        <f>160.8+(215.7-20.7)+(-0.41004+(-0.550035--0.052785))+0-116.8--0.297839999999983</f>
        <v>238.39054999999999</v>
      </c>
      <c r="M4" s="3">
        <f>163.4+(194.9-31.9)+(0.166668+(0.198798-0.032538))+0-109.4-0.111588000000017</f>
        <v>217.22133999999994</v>
      </c>
      <c r="N4" s="3">
        <f>163.4+(219.7-41.5)+(0+(0-0))+0-110-0</f>
        <v>231.60000000000002</v>
      </c>
      <c r="O4" s="3">
        <f>162.1+(247.5-55.1)+(0.082671+(0.126225-0.028101))+0-66-0.0336599999999933</f>
        <v>288.64713499999999</v>
      </c>
      <c r="P4" s="3">
        <f>159.1+(263.9-68.5)+(-0.081141+(-0.134589--0.034935))+0-103.3--0.0526829999999895</f>
        <v>251.071888</v>
      </c>
      <c r="Q4" s="3">
        <f>160+(292.3-82)+(-0.1632+(-0.298146--0.08364))+0-63--0.06426000000001</f>
        <v>306.98655400000001</v>
      </c>
      <c r="R4" s="3">
        <f>156.9+(322.7-109.5)+(-0.080019+(-0.164577--0.055845))+0-109.3--0.0557429999999889</f>
        <v>260.66699199999999</v>
      </c>
      <c r="S4" s="3">
        <f>155.3+(296.1-99.9)+(-0.237609+(-0.453033--0.152847))+0-95.8--0.146574000000006</f>
        <v>255.30877899999999</v>
      </c>
      <c r="T4" s="3">
        <f>150+(329.8-124.8)+(-0.3825+(-0.84099--0.31824))+0-103--0.262649999999985</f>
        <v>251.35739999999996</v>
      </c>
      <c r="U4" s="3">
        <f>153.4+(337.2-136)+(0.312936+(0.687888-0.27744))+0-107.4-0.219095999999995</f>
        <v>247.70428800000002</v>
      </c>
      <c r="V4" s="3">
        <f>151.7+(334.4-126.9)+(0.077367+(0.170544-0.064719))+0-109.8-0.0559979999999889</f>
        <v>249.52719399999995</v>
      </c>
      <c r="W4" s="3">
        <f>149.5+(316.4-105)+(-0.15249+(-0.322728--0.1071))+0-109.7--0.111894000000017</f>
        <v>250.94377600000001</v>
      </c>
      <c r="X4" s="3">
        <f>149+(306.7-89.4)+(-0.15198+(-0.312834--0.091188))+0-113.5--0.115770000000018</f>
        <v>252.54214399999998</v>
      </c>
      <c r="Y4" s="3">
        <f>149+(348.6-92.1)+(0.07599+(0.177786-0.046971))+0-118.4-0.060383999999988</f>
        <v>287.24642099999994</v>
      </c>
      <c r="Z4" s="3">
        <f>149+(341.3-64.3)+(0+(0-0))+0-120-0</f>
        <v>306</v>
      </c>
      <c r="AA4" s="3">
        <f>149+(321-60.9)+(-0.15198+(-0.32742--0.062118))+0-108.2--0.110364000000017</f>
        <v>300.59308200000004</v>
      </c>
      <c r="AB4" s="3">
        <f>149+(311.4-46.5)+(0.07599+(0.158814-0.023715))+0-119.3-0.0608429999999879</f>
        <v>294.750246</v>
      </c>
      <c r="AC4" s="3">
        <f>149+(280.1-43.1)+(0.07599+(0.142851-0.021981))+0-93.5-0.0476849999999905</f>
        <v>292.64917500000001</v>
      </c>
      <c r="AD4">
        <v>312.60000000000002</v>
      </c>
      <c r="AE4" s="3">
        <f>157+(334-63.5)+(0+(0-0))+0-114.9-0</f>
        <v>312.60000000000002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167+(276.7-45)+(-0.25551+(-0.423351--0.06885))+0-107.2--0.164016000000006</f>
        <v>291.05400500000002</v>
      </c>
      <c r="G5" s="3">
        <f>167+(262.7-55.1)+(-0.17034+(-0.267954--0.056202))+0-103.2--0.105264000000016</f>
        <v>271.12317200000007</v>
      </c>
      <c r="H5" s="3">
        <f>167+(242.4-39.4)+(0+(0-0))+0-107.5-0</f>
        <v>262.5</v>
      </c>
      <c r="I5" s="3">
        <f>167+(216-15.6)+(0+(0-0))+0-113.8-0</f>
        <v>253.59999999999997</v>
      </c>
      <c r="J5" s="3">
        <f>167+(202.3-6.5)+(0.08517+(0.103173-0.003315))+0-112.6-0.0574259999999886</f>
        <v>250.32760200000001</v>
      </c>
      <c r="K5" s="3">
        <f>167+(189.9-7.3)+(0+(0-0))+0-95.6-0</f>
        <v>254.00000000000003</v>
      </c>
      <c r="L5" s="3">
        <f>163+(170.5-6.1)+(0.24939+(0.260865-0.009333))+0-85.3-0.130509000000005</f>
        <v>242.47041299999995</v>
      </c>
      <c r="M5" s="3">
        <f>161+(203.3-19.6)+(-0.32844+(-0.414732--0.039984))+0-109.2--0.222767999999995</f>
        <v>235.01958000000005</v>
      </c>
      <c r="N5" s="3">
        <f>163+(217.6-31.9)+(0.08313+(0.110976-0.016269))+0-107.3-0.0547229999999891</f>
        <v>241.52311399999999</v>
      </c>
      <c r="O5" s="3">
        <f>158+(243-50.3)+(-0.24174+(-0.37179--0.076959))+0-103--0.157590000000006</f>
        <v>247.32101900000001</v>
      </c>
      <c r="P5" s="3">
        <f>157+(221.9-22.6)+(0+(0-0))+0-99.4-0</f>
        <v>256.89999999999998</v>
      </c>
      <c r="Q5" s="3">
        <f>160+(232.8-19.7)+(0.0816+(0.118728-0.010047))+0-110.5-0.0563549999999888</f>
        <v>262.73392600000005</v>
      </c>
      <c r="R5" s="3">
        <f>156.9+(229.2-39.5)+(-0.240057+(-0.350676--0.060435))+0-109.2--0.167076000000006</f>
        <v>237.03677800000003</v>
      </c>
      <c r="S5" s="3">
        <f>156.6+(254.3-57.4)+(-0.159732+(-0.259386--0.058548))+0-115--0.117300000000018</f>
        <v>238.25673000000003</v>
      </c>
      <c r="T5" s="3">
        <f>155.5+(262.8-58.9)+(-0.396525+(-0.67014--0.150195))+0-119--0.303449999999983</f>
        <v>239.78697999999994</v>
      </c>
      <c r="U5" s="3">
        <f>154.9+(287.9-74.4)+(-0.236997+(-0.440487--0.113832))+0-126--0.192780000000007</f>
        <v>242.02912799999999</v>
      </c>
      <c r="V5" s="3">
        <f>155.8+(292.7-86.3)+(0+(0-0))+0-124.2-0</f>
        <v>238</v>
      </c>
      <c r="W5" s="3">
        <f>156.2+(298.7-68.1)+(-0.079662+(-0.152337--0.034731))+0-137.7--0.070226999999986</f>
        <v>248.97295899999995</v>
      </c>
      <c r="X5" s="3">
        <f>156.2+(282.5-54)+(0+(0-0))+0-136.5-0</f>
        <v>248.2</v>
      </c>
      <c r="Y5" s="3">
        <f>156.3+(341.4-64.4)+(0+(0-0))+0-145.3-0</f>
        <v>288</v>
      </c>
      <c r="Z5" s="3">
        <f>148.2+(314.9-12.4)+(-0.151164+(-0.321198--0.012648))+0-149.4--0.152388000000024</f>
        <v>300.99267400000002</v>
      </c>
      <c r="AA5" s="3">
        <f>148.5+(312.7-14.4)+(-0.075735+(-0.159477--0.007344))+0-147.4--0.075173999999985</f>
        <v>299.24730600000004</v>
      </c>
      <c r="AB5" s="3">
        <f>148.8+(300.9-26.5)+(0+(0-0))+0-131.3-0</f>
        <v>291.89999999999998</v>
      </c>
      <c r="AC5" s="3">
        <f>147.2+(318.4-41.2)+(-0.150144+(-0.324768--0.042024))+0-137.1--0.139842000000022</f>
        <v>287.00695400000006</v>
      </c>
      <c r="AD5">
        <v>353.00000000000006</v>
      </c>
      <c r="AE5" s="3">
        <f>152+(383.6-16.8)+(0+(0-0))+0-165.8-0</f>
        <v>352.99999999999994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147.2+(325.9-36.7)+(-0.150144+(-0.332418--0.037434))+0-135.8--0.138516000000022</f>
        <v>300.29338799999999</v>
      </c>
      <c r="G6" s="3">
        <f>147.2+(286.5-8.1)+(-0.150144+(-0.29223--0.008262))+0-136.9--0.139638000000022</f>
        <v>288.40552599999995</v>
      </c>
      <c r="H6" s="3">
        <f>148.3+(279.6-0)+(0+(0-0))+0-146.5-0</f>
        <v>281.40000000000003</v>
      </c>
      <c r="I6" s="3">
        <f>148.5+(269.4-0)+(0+(0-0))+0-138.3-0</f>
        <v>279.59999999999997</v>
      </c>
      <c r="J6" s="3">
        <f>151.5+(275.1-0)+(0.15453+(0.280602-0))+0-146.6-0.149532000000023</f>
        <v>280.28560000000004</v>
      </c>
      <c r="K6" s="3">
        <f>148.3+(284.7-0)+(-0.302532+(-0.580788-0))+0-146.4--0.298655999999994</f>
        <v>286.01533599999999</v>
      </c>
      <c r="L6" s="3">
        <f>150.7+(274.2-0)+(-0.076857+(-0.139842-0))+0-133.4--0.0680339999999865</f>
        <v>291.35133499999995</v>
      </c>
      <c r="M6" s="3">
        <f>154.8+(297.6-0)+(-0.157896+(-0.303552-0))+0-145.2--0.148104000000023</f>
        <v>306.88665600000007</v>
      </c>
      <c r="N6" s="3">
        <f>160.5+(314.2-0)+(0.245565+(0.480726-0))+0-139.6-0.213588000000008</f>
        <v>335.61270299999995</v>
      </c>
      <c r="O6" s="3">
        <f>159.1+(334.1-0)+(-0.081141+(-0.170391-0))+0-140.9--0.0718589999999857</f>
        <v>352.12032700000003</v>
      </c>
      <c r="P6" s="3">
        <f>158.6+(326.1-0)+(-0.161772+(-0.332622-0))+0-118.5--0.120870000000019</f>
        <v>365.82647600000007</v>
      </c>
      <c r="Q6" s="3">
        <f>159.2+(353.7-0)+(-0.081192+(-0.180387-0))+0-125.9--0.0642089999999872</f>
        <v>386.80263000000002</v>
      </c>
      <c r="R6" s="3">
        <f>158.7+(359.1-0)+(-0.080937+(-0.183141-0))+0-136.6--0.0696659999999861</f>
        <v>381.00558799999988</v>
      </c>
      <c r="S6" s="3">
        <f>158+(361.2-3.4)+(-0.24174+(-0.552636--0.005202))+0-136.5--0.208845000000008</f>
        <v>378.71967099999995</v>
      </c>
      <c r="T6" s="3">
        <f>157.4+(386.3-30.3)+(-0.321096+(-0.788052--0.061812))+0-135.7--0.276827999999994</f>
        <v>376.92949199999998</v>
      </c>
      <c r="U6" s="3">
        <f>157+(397.1-55.7)+(-0.32028+(-0.810084--0.113628))+0-137.7--0.280907999999994</f>
        <v>359.96417200000008</v>
      </c>
      <c r="V6" s="3">
        <f>157.3+(392.2-47.7)+(-0.240669+(-0.600066--0.072981))+0-134.2--0.205326000000008</f>
        <v>367.03757200000001</v>
      </c>
      <c r="W6" s="3">
        <f>157.8+(369.7-27.9)+(-0.241434+(-0.565641--0.042687))+0-125--0.191250000000007</f>
        <v>374.02686200000005</v>
      </c>
      <c r="X6" s="3">
        <f>158.3+(376.4-18.7)+(-0.242199+(-0.575892--0.028611))+0-138.3--0.211599000000008</f>
        <v>377.122119</v>
      </c>
      <c r="Y6" s="3">
        <f>161.8+(421.5-16.6)+(0+(0-0))+0-148.8-0</f>
        <v>417.90000000000003</v>
      </c>
      <c r="Z6" s="3">
        <f>166.7+(408.3-0)+(-0.255051+(-0.624699-0))+0-148.7--0.227511000000009</f>
        <v>425.64776100000006</v>
      </c>
      <c r="AA6" s="3">
        <f>158.8+(435.5-34.8)+(-0.242964+(-0.666315--0.053244))+0-149.4--0.228582000000009</f>
        <v>409.47254700000002</v>
      </c>
      <c r="AB6" s="3">
        <f>162.2+(415.7-31.5)+(-0.082722+(-0.212007--0.016065))+0-148.2--0.075581999999985</f>
        <v>397.99691799999994</v>
      </c>
      <c r="AC6" s="3">
        <f>161.2+(409.6-27.5)+(-0.164424+(-0.417792--0.02805))+0-152.6--0.155652000000024</f>
        <v>390.30148599999995</v>
      </c>
      <c r="AD6">
        <v>417.79999999999995</v>
      </c>
      <c r="AE6" s="3">
        <f>165+(432.9-0)+(0+(0-0))+0-180.1-0</f>
        <v>417.79999999999995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162.9+(371.4-34.6)+(0+(0-0))+0-128-0</f>
        <v>371.69999999999993</v>
      </c>
      <c r="G7" s="3">
        <f>162.6+(346.1-15.8)+(0+(0-0))+0-139.4-0</f>
        <v>353.5</v>
      </c>
      <c r="H7" s="3">
        <f>161+(315.8-5.8)+(-0.24633+(-0.483174--0.008874))+0-127--0.194310000000007</f>
        <v>343.47368</v>
      </c>
      <c r="I7" s="3">
        <f>162.9+(303.1-0)+(0.083079+(0.154581-0))+0-126-0.0642599999999872</f>
        <v>340.17340000000002</v>
      </c>
      <c r="J7" s="3">
        <f>162.8+(308.6-0)+(0+(0-0))+0-131.4-0</f>
        <v>340</v>
      </c>
      <c r="K7" s="3">
        <f>164.3+(302.2-0)+(0.167586+(0.308244-0))+0-126-0.12852000000002</f>
        <v>340.84730999999994</v>
      </c>
      <c r="L7" s="3">
        <f>162.5+(304.9-0)+(-0.16575+(-0.310998-0))+0-128.8--0.131376000000021</f>
        <v>338.25462800000003</v>
      </c>
      <c r="M7" s="3">
        <f>165.4+(308.9-0)+(0+(0-0))+0-122.2-0</f>
        <v>352.09999999999997</v>
      </c>
      <c r="N7" s="3">
        <f>165.5+(328.3-0)+(0+(0-0))+0-130.3-0</f>
        <v>363.5</v>
      </c>
      <c r="O7" s="3">
        <f>165.7+(351.5-0)+(0+(0-0))+0-132-0</f>
        <v>385.20000000000005</v>
      </c>
      <c r="P7" s="3">
        <f>164.7+(341-0)+(0.167994+(0.34782-0))+0-126.1-0.12862200000002</f>
        <v>379.98719199999999</v>
      </c>
      <c r="Q7" s="3">
        <f>163.5+(377.2-0)+(-0.33354+(-0.769488-0))+0-140.6--0.286823999999994</f>
        <v>399.283796</v>
      </c>
      <c r="R7" s="3">
        <f>162.9+(330.1-0)+(-0.332316+(-0.673404-0))+0-129.3--0.263771999999994</f>
        <v>362.95805200000001</v>
      </c>
      <c r="S7" s="3">
        <f>162.4+(332.5-0)+(-0.082824+(-0.169575-0))+0-134--0.0683399999999864</f>
        <v>360.71594099999993</v>
      </c>
      <c r="T7" s="3">
        <f>161.2+(319-0)+(0.164424+(0.32538-0))+0-132.2-0.134844000000021</f>
        <v>348.35495999999995</v>
      </c>
      <c r="U7" s="3">
        <f>160.2+(297.7-0)+(-0.163404+(-0.303654-0))+0-115.8--0.118116000000018</f>
        <v>341.751058</v>
      </c>
      <c r="V7" s="3">
        <f>157.8+(323.6-19.2)+(-0.241434+(-0.495108--0.029376))+0-120.5--0.184365000000007</f>
        <v>341.17719900000009</v>
      </c>
      <c r="W7" s="3">
        <f>158.2+(317.9-8.3)+(0.161364+(0.324258-0.008466))+0-128.6-0.13117200000002</f>
        <v>339.54598399999998</v>
      </c>
      <c r="X7" s="3">
        <f>157.6+(301.9-0)+(-0.080376+(-0.153969-0))+0-128.4--0.065483999999987</f>
        <v>330.93113899999992</v>
      </c>
      <c r="Y7" s="3">
        <f>159.8+(349.7-0)+(0.244494+(0.535041-0))+0-135.2-0.206856000000008</f>
        <v>374.87267900000001</v>
      </c>
      <c r="Z7" s="3">
        <f>159.6+(368.5-0)+(0.081396+(0.187935-0))+0-149-0.0759899999999849</f>
        <v>379.293341</v>
      </c>
      <c r="AA7" s="3">
        <f>157.4+(370.4-0)+(0+(0-0))+0-146.3-0</f>
        <v>381.49999999999994</v>
      </c>
      <c r="AB7" s="3">
        <f>157.2+(361.4-0)+(0+(0-0))+0-145.5-0</f>
        <v>373.09999999999991</v>
      </c>
      <c r="AC7" s="3">
        <f>154.3+(369.8-0)+(0.078693+(0.188598-0))+0-152.4-0.0777239999999845</f>
        <v>371.88956700000006</v>
      </c>
      <c r="AD7">
        <v>409.90000000000003</v>
      </c>
      <c r="AE7" s="3">
        <f>155+(415.1-0)+(0+(0-0))+0-160.2-0</f>
        <v>409.90000000000003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152.8+(393.7-10.4)+(-0.467568+(-1.204722--0.031824))+0-146.7--0.448902000000017</f>
        <v>388.20843600000012</v>
      </c>
      <c r="G8" s="3">
        <f>159.5+(360.1-16.1)+(-0.244035+(-0.550953--0.024633))+0-134.1--0.205173000000008</f>
        <v>368.83481799999998</v>
      </c>
      <c r="H8" s="3">
        <f>163.6+(332.1-17.8)+(-0.083436+(-0.169371--0.009078))+0-120.2--0.0613019999999878</f>
        <v>357.51757300000003</v>
      </c>
      <c r="I8" s="3">
        <f>166.3+(334-9.3)+(-0.424065+(-0.8517--0.023715))+0-137.7--0.35113499999998</f>
        <v>352.39908500000001</v>
      </c>
      <c r="J8" s="3">
        <f>173.1+(349.1-29.3)+(0+(0-0))+0-141.7-0</f>
        <v>351.2</v>
      </c>
      <c r="K8" s="3">
        <f>174.6+(359.2-43.7)+(0.267138+(0.549576-0.066861))+0-136.1-0.208233000000008</f>
        <v>354.54162000000002</v>
      </c>
      <c r="L8" s="3">
        <f>173.7+(349.3-38.9)+(0.177174+(0.356286-0.039678))+0-130.4-0.133008000000021</f>
        <v>354.06077400000004</v>
      </c>
      <c r="M8" s="3">
        <f>171.9+(360-49.7)+(-0.263007+(-0.5508--0.076041))+0-124.2--0.190026000000007</f>
        <v>357.45226000000002</v>
      </c>
      <c r="N8" s="3">
        <f>172.2+(395.3-64.3)+(-0.087822+(-0.201603--0.032793))+0-131.6--0.0671159999999866</f>
        <v>371.41048399999994</v>
      </c>
      <c r="O8" s="3">
        <f>171.8+(377.6-60)+(-0.175236+(-0.385152--0.0612))+0-115.8--0.118116000000018</f>
        <v>373.21892800000006</v>
      </c>
      <c r="P8" s="3">
        <f>166.6+(376.6-32.1)+(-0.169932+(-0.384132--0.032742))+0-126.6--0.12913200000002</f>
        <v>384.10781000000009</v>
      </c>
      <c r="Q8" s="3">
        <f>159.9+(383.6-26.3)+(-0.081549+(-0.195636--0.013413))+0-117.7--0.0600269999999881</f>
        <v>399.29625500000003</v>
      </c>
      <c r="R8" s="3">
        <f>170.1+(374-14.1)+(-0.173502+(-0.38148--0.014382))+0-125.7--0.12821400000002</f>
        <v>403.88761399999999</v>
      </c>
      <c r="S8" s="3">
        <f>168.7+(366.5-14.5)+(-0.172074+(-0.37383--0.01479))+0-120.4--0.122808000000019</f>
        <v>399.89169400000009</v>
      </c>
      <c r="T8" s="3">
        <f>167.3+(378.7-36.6)+(-0.341292+(-0.772548--0.074664))+0-125.4--0.255815999999995</f>
        <v>383.21663999999998</v>
      </c>
      <c r="U8" s="3">
        <f>167.8+(378.6-50.8)+(-0.085578+(-0.193086--0.025908))+0-122.5--0.0624749999999876</f>
        <v>372.90971900000005</v>
      </c>
      <c r="V8" s="3">
        <f>192.5+(381.4-42.2)+(-0.3927+(-0.778056--0.086088))+0-137.1--0.279683999999994</f>
        <v>393.79501600000003</v>
      </c>
      <c r="W8" s="3">
        <f>255.7+(364.1-39.6)+(-0.521628+(-0.742764--0.080784))+0-143.1--0.291923999999994</f>
        <v>436.20831599999997</v>
      </c>
      <c r="X8" s="3">
        <f>168+(378.8-18.2)+(0.08568+(0.193188-0.009282))+0-141.2-0.0720119999999857</f>
        <v>387.59757400000007</v>
      </c>
      <c r="Y8" s="3">
        <f>168.3+(424.3-30.8)+(0.085833+(0.216393-0.015708))+0-130.5-0.0665549999999868</f>
        <v>431.51996299999996</v>
      </c>
      <c r="Z8" s="3">
        <f>167.5+(417.9-0)+(-0.085425+(-0.213129-0))+0-141.5--0.0721649999999856</f>
        <v>443.67361099999999</v>
      </c>
      <c r="AA8" s="3">
        <f>165.6+(417.1-0)+(-0.337824+(-0.850884-0))+0-145.8--0.297431999999994</f>
        <v>436.00872400000003</v>
      </c>
      <c r="AB8" s="3">
        <f>166.4+(414-20.4)+(-0.169728+(-0.42228--0.020808))+0-140.3--0.143106000000022</f>
        <v>419.27190600000006</v>
      </c>
      <c r="AC8" s="3">
        <f>169.6+(413.2-28.9)+(-0.086496+(-0.210732--0.014739))+0-146.7--0.0748169999999851</f>
        <v>406.99232799999993</v>
      </c>
      <c r="AD8">
        <v>421.29999999999995</v>
      </c>
      <c r="AE8" s="3">
        <f>168+(366.9-0)+(0+(0-0))+0-113.6-0</f>
        <v>421.29999999999995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169.4+(387.8-26.5)+(-0.172788+(-0.395556--0.02703))+0-149.7--0.152694000000024</f>
        <v>380.61138</v>
      </c>
      <c r="G9" s="3">
        <f>168.4+(349-0)+(-0.42942+(-0.88995-0))+0-148.1--0.377654999999978</f>
        <v>368.35828499999991</v>
      </c>
      <c r="H9" s="3">
        <f>170.9+(326.8-0)+(0+(0-0))+0-143.6-0</f>
        <v>354.1</v>
      </c>
      <c r="I9" s="3">
        <f>169.4+(318.4-0)+(-0.345576+(-0.649536-0))+0-137.4--0.280295999999994</f>
        <v>349.68518399999994</v>
      </c>
      <c r="J9" s="3">
        <f>170.7+(330.3-0)+(-0.174114+(-0.336906-0))+0-152.4--0.155448000000024</f>
        <v>348.24442800000003</v>
      </c>
      <c r="K9" s="3">
        <f>170.7+(316.8-0)+(-0.087057+(-0.161568-0))+0-141.7--0.0722669999999856</f>
        <v>345.62364200000002</v>
      </c>
      <c r="L9" s="3">
        <f>171.2+(314-0)+(0+(0-0))+0-53.8-0</f>
        <v>431.4</v>
      </c>
      <c r="M9" s="3">
        <f>170.5+(335.1-0)+(-0.34782+(-0.683604-0))+0-100--0.203999999999996</f>
        <v>404.77257600000002</v>
      </c>
      <c r="N9" s="3">
        <f>173.2+(322.4-0)+(0.088332+(0.164424-0))+0-127.4-0.0649739999999871</f>
        <v>368.3877819999999</v>
      </c>
      <c r="O9" s="3">
        <f>171.6+(328.9-0)+(0+(0-0))+0-115.8-0</f>
        <v>384.7</v>
      </c>
      <c r="P9" s="3">
        <f>75.8+(443.6-0)+(-0.077316+(-0.452472-0))+0-116.2--0.118524000000019</f>
        <v>402.78873599999997</v>
      </c>
      <c r="Q9" s="3">
        <f>12+(509.3-0)+(-0.00612+(-0.259743-0))+0-122.4--0.0624239999999876</f>
        <v>398.69656099999997</v>
      </c>
      <c r="R9" s="3">
        <f>102.1+(491.8-0)+(-0.312426+(-1.504908-0))+0-64.3--0.196758000000007</f>
        <v>527.97942400000011</v>
      </c>
      <c r="S9" s="3">
        <f>157.5+(373.5-17.5)+(-0.240975+(-0.571455--0.026775))+0-87--0.133110000000005</f>
        <v>425.84745499999997</v>
      </c>
      <c r="T9" s="3">
        <f>161.7+(372-35.5)+(-0.247401+(-0.56916--0.054315))+0-87--0.133110000000005</f>
        <v>410.57086399999997</v>
      </c>
      <c r="U9" s="3">
        <f>162.2+(372.7-44.2)+(-0.248166+(-0.570231--0.067626))+0-86--0.131580000000005</f>
        <v>404.08080899999999</v>
      </c>
      <c r="V9" s="3">
        <f>161.8+(363.5-46.7)+(-0.165036+(-0.37077--0.047634))+0-59--0.0601800000000094</f>
        <v>419.17200800000001</v>
      </c>
      <c r="W9" s="3">
        <f>161.1+(376.6-45.6)+(-0.246483+(-0.576198--0.069768))+0-101--0.154530000000006</f>
        <v>390.50161700000007</v>
      </c>
      <c r="X9" s="3">
        <f>161.2+(372.9-32.7)+(-0.328848+(-0.760716--0.066708))+0-84--0.171359999999996</f>
        <v>416.54850399999998</v>
      </c>
      <c r="Y9" s="3">
        <f>164.1+(433.7-34.9)+(0.083691+(0.221187-0.017799))+0-104-0.0530399999999895</f>
        <v>459.13403899999992</v>
      </c>
      <c r="Z9" s="3">
        <f>166.2+(401.9-0)+(0+(0-0))+0-102-0</f>
        <v>466.09999999999991</v>
      </c>
      <c r="AA9" s="3">
        <f>164.5+(391.8-0)+(-0.419475+(-0.99909-0))+0-93--0.237149999999987</f>
        <v>462.118585</v>
      </c>
      <c r="AB9" s="3">
        <f>163.8+(396.4-0)+(-0.334152+(-0.808656-0))+0-83--0.169319999999996</f>
        <v>476.22651200000007</v>
      </c>
      <c r="AC9" s="3">
        <f>164.9+(412.5-0)+(-0.252297+(-0.631125-0))+0-84--0.128520000000005</f>
        <v>492.64509799999996</v>
      </c>
      <c r="AD9">
        <v>473.29999999999995</v>
      </c>
      <c r="AE9" s="3">
        <f>168+(405.3-0)+(0+(0-0))+0-100-0</f>
        <v>473.29999999999995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165.7+(360.7-0)+(-0.169014+(-0.367914-0))+0-75--0.076500000000012</f>
        <v>450.939572</v>
      </c>
      <c r="G10" s="3">
        <f>163.5+(306.7-4.4)+(-0.416925+(-0.782085--0.01122))+0-80--0.203999999999988</f>
        <v>384.81621000000001</v>
      </c>
      <c r="H10" s="3">
        <f>166+(310.1-4)+(-0.08466+(-0.158151--0.00204))+0-87--0.0443699999999912</f>
        <v>384.90359900000004</v>
      </c>
      <c r="I10" s="3">
        <f>163.7+(356-0)+(-0.333948+(-0.72624-0))+0-87--0.177479999999996</f>
        <v>431.81729200000001</v>
      </c>
      <c r="J10" s="3">
        <f>167.6+(367.1-0)+(0+(0-0))+0-92-0</f>
        <v>442.70000000000005</v>
      </c>
      <c r="K10" s="3">
        <f>167.1+(360.1-0)+(-0.085221+(-0.183651-0))+0-81--0.0413099999999918</f>
        <v>445.97243800000007</v>
      </c>
      <c r="L10" s="3">
        <f>167.4+(357.7-0)+(-0.170748+(-0.364854-0))+0-125--0.12750000000002</f>
        <v>399.69189799999998</v>
      </c>
      <c r="M10" s="3">
        <f>169.3+(325.8-0)+(0.086343+(0.166158-0))+0-102-0.0520199999999897</f>
        <v>393.30048100000005</v>
      </c>
      <c r="N10" s="3">
        <f>168.8+(303.9-0)+(0+(0-0))+0-83-0</f>
        <v>389.7</v>
      </c>
      <c r="O10" s="3">
        <f>182.6+(384.2-0)+(0+(0-0))+0-98-0</f>
        <v>468.79999999999995</v>
      </c>
      <c r="P10" s="3">
        <f>121.9+(484.4-0)+(0.062169+(0.247044-0))+0-99-0.05048999999999</f>
        <v>507.55872299999999</v>
      </c>
      <c r="Q10" s="3">
        <f>117.9+(455.1-0)+(-0.180387+(-0.696303-0))+0-94--0.143820000000005</f>
        <v>478.26712999999995</v>
      </c>
      <c r="R10" s="3">
        <f>350.3+(321.9-18.1)+(-0.714612+(-0.656676--0.036924))+0-108--0.220319999999995</f>
        <v>544.98595599999987</v>
      </c>
      <c r="S10" s="3">
        <f>200.7+(354.8-18.2)+(0+(0-0))+0-84-0</f>
        <v>453.29999999999995</v>
      </c>
      <c r="T10" s="3">
        <f>196.2+(365.5-20.5)+(-0.100062+(-0.186405--0.010455))+0-76--0.0387599999999923</f>
        <v>464.96274799999998</v>
      </c>
      <c r="U10" s="3">
        <f>165.6+(380.7-19.1)+(-0.168912+(-0.388314--0.019482))+0-103--0.105060000000016</f>
        <v>423.76731599999999</v>
      </c>
      <c r="V10" s="3">
        <f>165.8+(380.9-16.3)+(0+(0-0))+0-100-0</f>
        <v>430.4</v>
      </c>
      <c r="W10" s="3">
        <f>166+(379.9-5.1)+(-0.16932+(-0.387498--0.005202))+0-109--0.111180000000017</f>
        <v>431.35956399999998</v>
      </c>
      <c r="X10" s="3">
        <f>162+(369.1-0)+(-0.4131+(-0.941205-0))+0-99--0.252449999999986</f>
        <v>430.99814500000008</v>
      </c>
      <c r="Y10" s="3">
        <f>167.4+(432.8-0)+(0.170748+(0.441456-0))+0-120-0.122400000000019</f>
        <v>480.68980400000004</v>
      </c>
      <c r="Z10" s="3">
        <f>166.2+(414.5-0)+(-0.339048+(-0.84558-0))+0-95--0.193799999999996</f>
        <v>484.70917200000008</v>
      </c>
      <c r="AA10" s="3">
        <f>168.1+(410.4-0)+(0.085731+(0.209304-0))+0-102-0.0520199999999897</f>
        <v>476.74301500000001</v>
      </c>
      <c r="AB10" s="3">
        <f>165.9+(399-0)+(-0.338436+(-0.81396-0))+0-104--0.212159999999995</f>
        <v>459.95976400000001</v>
      </c>
      <c r="AC10" s="3">
        <f>168+(381.3-0)+(-0.08568+(-0.194463-0))+0-102--0.0520199999999897</f>
        <v>447.07187699999997</v>
      </c>
      <c r="AD10">
        <v>520.29999999999995</v>
      </c>
      <c r="AE10" s="3">
        <f>166+(435.3-0)+(0+(0-0))+0-81-0</f>
        <v>520.29999999999995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167.5+(369.9-0)+(-0.085425+(-0.188649-0))+0-106--0.0540599999999892</f>
        <v>431.17998599999993</v>
      </c>
      <c r="G11" s="3">
        <f>167.1+(347.8-0)+(-0.255663+(-0.532134-0))+0-101--0.154530000000006</f>
        <v>413.26673300000004</v>
      </c>
      <c r="H11" s="3">
        <f>167.7+(332.1-0)+(-0.085527+(-0.169371-0))+0-99--0.05048999999999</f>
        <v>400.59559199999995</v>
      </c>
      <c r="I11" s="3">
        <f>166+(328.8-0)+(-0.33864+(-0.670752-0))+0-106--0.216239999999995</f>
        <v>388.00684799999999</v>
      </c>
      <c r="J11" s="3">
        <f>165.1+(345.1-0)+(-0.505206+(-1.056006-0))+0-121--0.370260000000014</f>
        <v>388.00904800000006</v>
      </c>
      <c r="K11" s="3">
        <f>168.2+(332.1-0)+(-0.085782+(-0.169371-0))+0-110--0.0560999999999888</f>
        <v>390.10094700000002</v>
      </c>
      <c r="L11" s="3">
        <f>166.6+(336.7-0)+(-0.254898+(-0.515151-0))+0-119--0.182070000000007</f>
        <v>383.71202099999999</v>
      </c>
      <c r="M11" s="3">
        <f>168.2+(345.2-0)+(-0.085782+(-0.176052-0))+0-113--0.0576299999999885</f>
        <v>400.19579599999992</v>
      </c>
      <c r="N11" s="3">
        <f>168.8+(360.3-0)+(0.086088+(0.183753-0))+0-121-0.0617099999999877</f>
        <v>408.30813100000006</v>
      </c>
      <c r="O11" s="3">
        <f>169.3+(362.7-3)+(0.259029+(0.554931-0.00459))+0-101-0.154530000000006</f>
        <v>428.65483999999992</v>
      </c>
      <c r="P11" s="3">
        <f>167.6+(383.3-0)+(-0.085476+(-0.195483-0))+0-111--0.0566099999999887</f>
        <v>439.6756509999999</v>
      </c>
      <c r="Q11" s="3">
        <f>167.8+(394.5-14.6)+(0.256734+(0.603585-0.022338))+0-101-0.154530000000006</f>
        <v>447.38345100000004</v>
      </c>
      <c r="R11" s="3">
        <f>165.8+(398.5-32)+(0+(0-0))+0-91-0</f>
        <v>441.29999999999995</v>
      </c>
      <c r="S11" s="3">
        <f>164.7+(427.2-51.2)+(-0.167994+(-0.435744--0.052224))+0-114--0.116280000000018</f>
        <v>426.26476600000007</v>
      </c>
      <c r="T11" s="3">
        <f>162.9+(426.4-76)+(-0.332316+(-0.869856--0.15504))+0-108--0.220319999999995</f>
        <v>404.47318799999994</v>
      </c>
      <c r="U11" s="3">
        <f>164.5+(424.4-75.3)+(0.083895+(0.216444-0.038403))+0-116-0.0591599999999882</f>
        <v>397.80277599999994</v>
      </c>
      <c r="V11" s="3">
        <f>161.4+(422.1-76.4)+(-0.41157+(-1.076355--0.19482))+0-110--0.280499999999984</f>
        <v>396.08739499999996</v>
      </c>
      <c r="W11" s="3">
        <f>163.4+(424.2-78.7)+(-0.250002+(-0.649026--0.120411))+0-106--0.162180000000006</f>
        <v>402.28356299999996</v>
      </c>
      <c r="X11" s="3">
        <f>163.4+(389.3-56.3)+(-0.333336+(-0.794172--0.114852))+0-97--0.197879999999996</f>
        <v>398.58522399999998</v>
      </c>
      <c r="Y11" s="3">
        <f>165.7+(450.4-55.9)+(0.169014+(0.459408-0.057018))+0-113-0.115260000000018</f>
        <v>447.65614400000004</v>
      </c>
      <c r="Z11" s="3">
        <f>164.4+(451.6-49.3)+(-0.335376+(-0.921264--0.100572))+0-106--0.216239999999995</f>
        <v>459.76017200000001</v>
      </c>
      <c r="AA11" s="3">
        <f>163.9+(449.7-37.4)+(-0.334356+(-0.917388--0.076296))+0-128--0.261119999999994</f>
        <v>447.28567200000009</v>
      </c>
      <c r="AB11" s="3">
        <f>162.2+(427.7-43.2)+(-0.41361+(-1.090635--0.11016))+0-106--0.270299999999985</f>
        <v>439.57621499999999</v>
      </c>
      <c r="AC11" s="3">
        <f>166.3+(427.5-37.2)+(0.084813+(0.218025-0.018972))+0-128-0.065279999999987</f>
        <v>428.81858600000004</v>
      </c>
      <c r="AD11">
        <v>460.70000000000005</v>
      </c>
      <c r="AE11" s="3">
        <f>162+(457.5-51.8)+(0+(0-0))+0-107-0</f>
        <v>460.70000000000005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166+(382.8-32.9)+(0+(0-0))+0-105-0</f>
        <v>410.90000000000009</v>
      </c>
      <c r="G12" s="3">
        <f>163.8+(362.4-18.9)+(-0.250614+(-0.554472--0.028917))+0-112--0.171360000000006</f>
        <v>394.69519100000002</v>
      </c>
      <c r="H12" s="3">
        <f>162.3+(345.9-6.3)+(-0.496638+(-1.058454--0.019278))+0-112--0.342720000000013</f>
        <v>388.70690599999995</v>
      </c>
      <c r="I12" s="3">
        <f>163.8+(337.4-9.3)+(-0.334152+(-0.688296--0.018972))+0-109--0.222359999999995</f>
        <v>382.11888399999998</v>
      </c>
      <c r="J12" s="3">
        <f>165.2+(325.1-3)+(-0.084252+(-0.165801--0.00153))+0-114--0.0581399999999884</f>
        <v>373.10961700000001</v>
      </c>
      <c r="K12" s="3">
        <f>167.9+(324.3-0)+(-0.085629+(-0.165393-0))+0-117--0.0596699999999881</f>
        <v>375.00864800000005</v>
      </c>
      <c r="L12" s="3">
        <f>170.3+(313.3-0)+(-0.521118+(-0.958698-0))+0-89--0.27234000000001</f>
        <v>393.39252399999998</v>
      </c>
      <c r="M12" s="3">
        <f>171.6+(290.4-19.2)+(-0.175032+(-0.296208--0.019584))+0-90--0.0918000000000144</f>
        <v>352.44014399999998</v>
      </c>
      <c r="N12" s="3">
        <f>171.1+(307.9-40.7)+(0.087261+(0.157029-0.020757))+0-51-0.0260099999999948</f>
        <v>387.49752299999994</v>
      </c>
      <c r="O12" s="3">
        <f>169.2+(310.1-53.9)+(-0.258876+(-0.474453--0.082467))+0-62--0.0948600000000036</f>
        <v>362.843998</v>
      </c>
      <c r="P12" s="3">
        <f>169+(320.5-45)+(-0.25857+(-0.490365--0.06885))+0-63--0.0963900000000036</f>
        <v>380.91630499999997</v>
      </c>
      <c r="Q12" s="3">
        <f>167.1+(319.5-48.5)+(-0.340884+(-0.65178--0.09894))+0-45--0.091799999999998</f>
        <v>392.29807599999998</v>
      </c>
      <c r="R12" s="3">
        <f>163.1+(358.6-52)+(-0.249543+(-0.548658--0.07956))+0-76--0.116280000000004</f>
        <v>393.09763900000007</v>
      </c>
      <c r="S12" s="3">
        <f>161.3+(359.5-47.7)+(-0.082263+(-0.183345--0.024327))+0-105--0.0535499999999893</f>
        <v>367.91226899999998</v>
      </c>
      <c r="T12" s="3">
        <f>160.2+(377.7-51.5)+(0+(0-0))+0-109-0</f>
        <v>377.4</v>
      </c>
      <c r="U12" s="3">
        <f>161.4+(372.9-58.4)+(-0.246942+(-0.570537--0.089352))+0-110--0.168300000000006</f>
        <v>365.34017299999999</v>
      </c>
      <c r="V12" s="3">
        <f>162.9+(369.5-61)+(-0.332316+(-0.75378--0.12444))+0-110--0.224399999999995</f>
        <v>360.66274399999998</v>
      </c>
      <c r="W12" s="3">
        <f>163.3+(365.4-41.8)+(0.166566+(0.372708-0.042636))+0-122-0.124440000000019</f>
        <v>365.272198</v>
      </c>
      <c r="X12" s="3">
        <f>161.1+(373.3-29.7)+(-0.410805+(-0.951915--0.075735))+0-111--0.283049999999984</f>
        <v>392.69606500000003</v>
      </c>
      <c r="Y12" s="3">
        <f>163.7+(425.3-31.1)+(0+(0-0))+0-116-0</f>
        <v>441.9</v>
      </c>
      <c r="Z12" s="3">
        <f>164.9+(417.4-26.8)+(0+(0-0))+0-114-0</f>
        <v>441.5</v>
      </c>
      <c r="AA12" s="3">
        <f>162.8+(412.6-24.4)+(-0.41514+(-1.05213--0.06222))+0-110--0.280499999999984</f>
        <v>439.87545</v>
      </c>
      <c r="AB12" s="3">
        <f>163.1+(389.6-21.4)+(-0.332724+(-0.794784--0.043656))+0-118--0.240719999999995</f>
        <v>412.4568680000001</v>
      </c>
      <c r="AC12" s="3">
        <f>164.1+(390.1-22.9)+(-0.251073+(-0.596853--0.035037))+0-116--0.177480000000007</f>
        <v>414.66459100000003</v>
      </c>
      <c r="AD12">
        <v>438.59999999999991</v>
      </c>
      <c r="AE12" s="3">
        <f>163+(403.3-20.7)+(0+(0-0))+0-107-0</f>
        <v>438.6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163.7+(379.2-25.5)+(-0.166974+(-0.386784--0.02601))+0-114--0.116280000000018</f>
        <v>402.98853200000002</v>
      </c>
      <c r="G13" s="3">
        <f>163.2+(357.1-21.7)+(-0.332928+(-0.728484--0.044268))+0-113--0.230519999999995</f>
        <v>384.81337600000006</v>
      </c>
      <c r="H13" s="3">
        <f>164.3+(329.2-13)+(-0.418965+(-0.83946--0.03315))+0-113--0.288149999999984</f>
        <v>366.56287499999996</v>
      </c>
      <c r="I13" s="3">
        <f>171+(305.8-3.3)+(0.17442+(0.311916-0.003366))+0-108-0.110160000000017</f>
        <v>365.87281000000002</v>
      </c>
      <c r="J13" s="3">
        <f>171+(303-0)+(-0.17442+(-0.30906-0))+0-119--0.121380000000019</f>
        <v>354.63790000000006</v>
      </c>
      <c r="K13" s="3">
        <f>171.7+(259.6-0)+(0.087567+(0.132396-0))+0-97-0.0494699999999902</f>
        <v>334.47049300000003</v>
      </c>
      <c r="L13" s="3">
        <f>169.1+(251.2-0)+(-0.603687+(-0.896784-0))+0-111--0.396270000000002</f>
        <v>308.19579899999997</v>
      </c>
      <c r="M13" s="3">
        <f>171.2+(245-16.5)+(-0.087312+(-0.12495--0.008415))+0-105--0.0535499999999893</f>
        <v>294.54970299999997</v>
      </c>
      <c r="N13" s="3">
        <f>171.3+(257.6-12)+(0.087363+(0.131376-0.00612))+0-121-0.0617099999999877</f>
        <v>296.05090900000005</v>
      </c>
      <c r="O13" s="3">
        <f>169.6+(254.6-8.5)+(-0.259488+(-0.389538--0.013005))+0-117--0.179010000000007</f>
        <v>298.24298899999997</v>
      </c>
      <c r="P13" s="3">
        <f>168.7+(240.6-10.4)+(0.172074+(0.245412-0.010608))+0-99-0.100980000000016</f>
        <v>300.20589799999999</v>
      </c>
      <c r="Q13" s="3">
        <f>167.2+(241.2-7.2)+(-0.170544+(-0.246024--0.007344))+0-105--0.107100000000017</f>
        <v>295.897876</v>
      </c>
      <c r="R13" s="3">
        <f>165.6+(249.7-6.3)+(-0.168912+(-0.254694--0.006426))+0-107--0.109140000000017</f>
        <v>301.69196000000005</v>
      </c>
      <c r="S13" s="3">
        <f>165+(251-18.1)+(0+(0-0))+0-107-0</f>
        <v>290.89999999999998</v>
      </c>
      <c r="T13" s="3">
        <f>163.3+(256.8-32.9)+(-0.083283+(-0.130968--0.016779))+0-102--0.0520199999999897</f>
        <v>285.05454800000001</v>
      </c>
      <c r="U13" s="3">
        <f>162.6+(270.5-41.7)+(-0.165852+(-0.27591--0.042534))+0-104--0.106080000000017</f>
        <v>287.106852</v>
      </c>
      <c r="V13" s="3">
        <f>162.9+(275.8-50.3)+(-0.166158+(-0.281316--0.051306))+0-99--0.100980000000016</f>
        <v>289.10481199999998</v>
      </c>
      <c r="W13" s="3">
        <f>162.8+(274.5-46.2)+(-0.083028+(-0.139995--0.023562))+0-99--0.05048999999999</f>
        <v>291.95102900000001</v>
      </c>
      <c r="X13" s="3">
        <f>162.4+(279.7-45.9)+(-0.41412+(-0.713235--0.117045))+0-96--0.244799999999986</f>
        <v>299.43448999999998</v>
      </c>
      <c r="Y13" s="3">
        <f>163.6+(348.4-72.9)+(-0.166872+(-0.355368--0.074358))+0-88--0.089760000000014</f>
        <v>350.74187800000004</v>
      </c>
      <c r="Z13" s="3">
        <f>165.5+(367.3-61.4)+(-0.084405+(-0.187323--0.031314))+0-95--0.0484499999999904</f>
        <v>376.20803600000005</v>
      </c>
      <c r="AA13" s="3">
        <f>166.7+(376.2-62.9)+(-0.085017+(-0.191862--0.032079))+0-103--0.0525299999999896</f>
        <v>376.80772999999999</v>
      </c>
      <c r="AB13" s="3">
        <f>165.5+(355.8-63.8)+(-0.253215+(-0.544374--0.097614))+0-84--0.128520000000005</f>
        <v>372.92854499999999</v>
      </c>
      <c r="AC13" s="3">
        <f>166.3+(372.9-64.1)+(-0.169626+(-0.380358--0.065382))+0-99--0.100980000000016</f>
        <v>375.71637799999996</v>
      </c>
      <c r="AD13">
        <v>412.6</v>
      </c>
      <c r="AE13" s="3">
        <f>167+(384.7-64.1)+(0+(0-0))+0-75-0</f>
        <v>412.6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165.6+(353-86.2)+(-0.337824+(-0.72012--0.175848))+0-99--0.201959999999996</f>
        <v>332.71986399999997</v>
      </c>
      <c r="G14" s="3">
        <f>168+(313.5-58.7)+(0.08568+(0.159885-0.029937))+0-106-0.0540599999999892</f>
        <v>316.961568</v>
      </c>
      <c r="H14" s="3">
        <f>167.7+(298.4-39.3)+(-0.171054+(-0.304368--0.040086))+0-111--0.113220000000018</f>
        <v>315.47788399999996</v>
      </c>
      <c r="I14" s="3">
        <f>167.2+(294.4-40.1)+(-0.170544+(-0.300288--0.040902))+0-107--0.109140000000017</f>
        <v>314.17921000000001</v>
      </c>
      <c r="J14" s="3">
        <f>168.4+(281.5-23.9)+(0+(0-0))+0-107-0</f>
        <v>319</v>
      </c>
      <c r="K14" s="3">
        <f>168.3+(266.9-3.3)+(0+(0-0))+0-109-0</f>
        <v>322.89999999999998</v>
      </c>
      <c r="L14" s="3">
        <f>166.5+(270.6-0)+(-0.33966+(-0.552024-0))+0-99--0.201959999999996</f>
        <v>337.41027600000001</v>
      </c>
      <c r="M14" s="3">
        <f>168.6+(323.5-6.4)+(-0.085986+(-0.164985--0.003264))+0-107--0.0545699999999891</f>
        <v>378.50686300000007</v>
      </c>
      <c r="N14" s="3">
        <f>171.6+(379.8-27.9)+(0+(0-0))+0-110-0</f>
        <v>413.5</v>
      </c>
      <c r="O14" s="3">
        <f>171+(362.2-5.3)+(0+(0-0))+0-104-0</f>
        <v>423.9</v>
      </c>
      <c r="P14" s="3">
        <f>175.9+(414.9-57.4)+(-0.089709+(-0.211599--0.029274))+0-110--0.0560999999999888</f>
        <v>423.18406600000003</v>
      </c>
      <c r="Q14" s="3">
        <f>195.2+(445-91.5)+(-0.298656+(-0.68085--0.139995))+0-104--0.159120000000006</f>
        <v>444.01960900000006</v>
      </c>
      <c r="R14" s="3">
        <f>245.9+(463.5-111.7)+(-0.376227+(-0.709155--0.170901))+0-107--0.163710000000006</f>
        <v>489.949229</v>
      </c>
      <c r="S14" s="3">
        <f>313.8+(389.5-116.1)+(-0.640152+(-0.79458--0.236844))+0-113--0.230519999999995</f>
        <v>473.23263200000002</v>
      </c>
      <c r="T14" s="3">
        <f>319.3+(362.4-117.8)+(-0.488529+(-0.554472--0.180234))+0-103--0.157590000000006</f>
        <v>460.19482300000004</v>
      </c>
      <c r="U14" s="3">
        <f>319.4+(343.5-102.6)+(-0.651576+(-0.70074--0.209304))+0-107--0.218279999999995</f>
        <v>452.37526799999995</v>
      </c>
      <c r="V14" s="3">
        <f>317.2+(299.6-60.8)+(-0.970632+(-0.916776--0.186048))+0-95--0.290700000000011</f>
        <v>459.58933999999999</v>
      </c>
      <c r="W14" s="3">
        <f>320+(264.8-18.8)+(-0.816+(-0.67524--0.04794))+0-100--0.254999999999986</f>
        <v>464.81169999999997</v>
      </c>
      <c r="X14" s="3">
        <f>321.6+(239.8-3.3)+(-0.492048+(-0.366894--0.005049))+0-93--0.142290000000005</f>
        <v>464.38839700000005</v>
      </c>
      <c r="Y14" s="3">
        <f>324.2+(307-12)+(0+(0-0))+0-103-0</f>
        <v>516.20000000000005</v>
      </c>
      <c r="Z14" s="3">
        <f>320.3+(312.8-0)+(-0.653412+(-0.638112-0))+0-100--0.203999999999996</f>
        <v>532.01247599999999</v>
      </c>
      <c r="AA14" s="3">
        <f>315.5+(302.2-0)+(-0.64362+(-0.616488-0))+0-99--0.201959999999996</f>
        <v>517.64185200000009</v>
      </c>
      <c r="AB14" s="3">
        <f>317.9+(296.6-11.9)+(-0.486387+(-0.453798--0.018207))+0-102--0.156060000000006</f>
        <v>499.83408200000008</v>
      </c>
      <c r="AC14" s="3">
        <f>323.5+(297.6-20.3)+(-0.65994+(-0.607104--0.041412))+0-115--0.234599999999995</f>
        <v>484.80896799999994</v>
      </c>
      <c r="AD14">
        <v>540.20000000000005</v>
      </c>
      <c r="AE14" s="3">
        <f>320+(333.2-0)+(0+(0-0))+0-113-0</f>
        <v>540.20000000000005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320.9+(261.6-12.4)+(-0.818295+(-0.66708--0.03162))+0-107--0.272849999999984</f>
        <v>461.91909500000003</v>
      </c>
      <c r="G15" s="3">
        <f>322+(240.5-18.1)+(-0.8211+(-0.613275--0.046155))+0-103--0.262649999999985</f>
        <v>440.27442999999994</v>
      </c>
      <c r="H15" s="3">
        <f>324.2+(233.9-45)+(-0.496026+(-0.357867--0.06885))+0-84--0.128520000000005</f>
        <v>428.44347700000003</v>
      </c>
      <c r="I15" s="3">
        <f>325+(259.1-73)+(-0.49725+(-0.396423--0.11169))+0-92--0.140760000000005</f>
        <v>418.458777</v>
      </c>
      <c r="J15" s="3">
        <f>326.7+(275.6-75)+(-0.333234+(-0.281112--0.0765))+0-106--0.108120000000017</f>
        <v>420.87027400000005</v>
      </c>
      <c r="K15" s="3">
        <f>331+(290.3-90)+(0.33762+(0.296106-0.0918))+0-104-0.106080000000017</f>
        <v>427.73584599999992</v>
      </c>
      <c r="L15" s="3">
        <f>327.1+(340.1-138)+(-0.333642+(-0.346902--0.14076))+0-111--0.113220000000018</f>
        <v>417.773436</v>
      </c>
      <c r="M15" s="3">
        <f>329.1+(371.1-121)+(0+(0-0))+0-124-0</f>
        <v>455.20000000000005</v>
      </c>
      <c r="N15" s="3">
        <f>326.5+(350.2-103)+(-0.166515+(-0.178602--0.05253))+0-90--0.0458999999999909</f>
        <v>483.45331300000004</v>
      </c>
      <c r="O15" s="3">
        <f>329.8+(295.9-28)+(0.336396+(0.301818-0.02856))+0-106-0.108120000000017</f>
        <v>492.20153399999998</v>
      </c>
      <c r="P15" s="3">
        <f>324.8+(285.4-0)+(-0.165648+(-0.145554-0))+0-107--0.0545699999999891</f>
        <v>502.94336800000008</v>
      </c>
      <c r="Q15" s="3">
        <f>324.1+(306.1-0)+(-0.165291+(-0.156111-0))+0-108--0.055079999999989</f>
        <v>521.93367799999999</v>
      </c>
      <c r="R15" s="3">
        <f>321.9+(307.9-25.9)+(-0.164169+(-0.157029--0.013209))+0-91--0.0464099999999908</f>
        <v>512.63842099999999</v>
      </c>
      <c r="S15" s="3">
        <f>311.8+(334.1-48.2)+(-0.79509+(-0.851955--0.12291))+0-96--0.244799999999986</f>
        <v>500.42066500000004</v>
      </c>
      <c r="T15" s="3">
        <f>309.5+(325.9-56.7)+(-0.63138+(-0.664836--0.115668))+0-99--0.201959999999996</f>
        <v>478.72141199999999</v>
      </c>
      <c r="U15" s="3">
        <f>314.3+(293.7-38.8)+(-0.320586+(-0.299574--0.039576))+0-105--0.107100000000017</f>
        <v>463.726516</v>
      </c>
      <c r="V15" s="3">
        <f>315.9+(265.8-12.2)+(-0.483327+(-0.406674--0.018666))+0-99--0.151470000000006</f>
        <v>469.78013499999997</v>
      </c>
      <c r="W15" s="3">
        <f>322.2+(257.8-0)+(0.164322+(0.131478-0))+0-103-0.0525299999999896</f>
        <v>477.24327</v>
      </c>
      <c r="X15" s="3">
        <f>313.7+(298.2-0)+(-0.479961+(-0.456246-0))+0-119--0.182070000000007</f>
        <v>492.14586300000002</v>
      </c>
      <c r="Y15" s="3">
        <f>310.4+(362.6-31.1)+(-0.316608+(-0.369852--0.031722))+0-118--0.120360000000019</f>
        <v>523.36562200000003</v>
      </c>
      <c r="Z15" s="3">
        <f>327.5+(337.6-17.9)+(-0.6681+(-0.688704--0.036516))+0-108--0.220319999999995</f>
        <v>538.10003200000006</v>
      </c>
      <c r="AA15" s="3">
        <f>330+(365.9-65)+(-0.1683+(-0.186609--0.03315))+0-107--0.0545699999999891</f>
        <v>523.63281099999995</v>
      </c>
      <c r="AB15" s="3">
        <f>332.5+(362.4-76.8)+(-0.847875+(-0.92412--0.19584))+0-115--0.293249999999983</f>
        <v>501.81709499999994</v>
      </c>
      <c r="AC15" s="3">
        <f>336.2+(342-74.5)+(-0.171462+(-0.17442--0.037995))+0-120--0.0611999999999878</f>
        <v>483.45331299999998</v>
      </c>
      <c r="AD15">
        <v>448.20000000000005</v>
      </c>
      <c r="AE15" s="3">
        <f>312+(281-29.8)+(0+(0-0))+0-115-0</f>
        <v>448.20000000000005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339.3+(315.5-87.8)+(-0.519129+(-0.482715--0.134334))+0-118--0.180540000000007</f>
        <v>448.31302999999997</v>
      </c>
      <c r="G16" s="3">
        <f>341.2+(274.5-57.4)+(0+(0-0))+0-128-0</f>
        <v>430.29999999999995</v>
      </c>
      <c r="H16" s="3">
        <f>343.8+(221.3-24.3)+(0.175338+(0.112863-0.012393))+0-116-0.0591599999999882</f>
        <v>425.01664799999998</v>
      </c>
      <c r="I16" s="3">
        <f>345.1+(222.5-23.6)+(0+(0-0))+0-124-0</f>
        <v>420</v>
      </c>
      <c r="J16" s="3">
        <f>345.3+(227.5-27)+(-1.056618+(-0.69615--0.08262))+0-122--0.373320000000014</f>
        <v>422.50317199999995</v>
      </c>
      <c r="K16" s="3">
        <f>345.9+(230.6-28)+(0.352818+(0.235212-0.02856))+0-126-0.12852000000002</f>
        <v>422.93095</v>
      </c>
      <c r="L16" s="3">
        <f>343.5+(236.1-53)+(-0.175185+(-0.120411--0.02703))+0-99--0.05048999999999</f>
        <v>427.38192400000003</v>
      </c>
      <c r="M16" s="3">
        <f>333.7+(289.1-53)+(-0.340374+(-0.294882--0.05406))+0-115--0.117300000000018</f>
        <v>454.33610399999998</v>
      </c>
      <c r="N16" s="3">
        <f>335+(299-56)+(-0.17085+(-0.15249--0.02856))+0-102--0.0520199999999897</f>
        <v>475.75724000000002</v>
      </c>
      <c r="O16" s="3">
        <f>335.9+(277.3-7)+(0.171309+(0.141423-0.00357))+0-111-0.0566099999999887</f>
        <v>495.45255200000008</v>
      </c>
      <c r="P16" s="3">
        <f>335+(257.9-0)+(0.17085+(0.131529-0))+0-104-0.0530399999999895</f>
        <v>489.14933899999994</v>
      </c>
      <c r="Q16" s="3">
        <f>331.8+(279.5-0)+(0+(0-0))+0-105-0</f>
        <v>506.29999999999995</v>
      </c>
      <c r="R16" s="3">
        <f>329.4+(302.5-0)+(-0.335988+(-0.30855-0))+0-122--0.124440000000019</f>
        <v>509.37990199999996</v>
      </c>
      <c r="S16" s="3">
        <f>328.1+(282.3-7.9)+(-0.334662+(-0.287946--0.008058))+0-110--0.112200000000018</f>
        <v>491.99765000000002</v>
      </c>
      <c r="T16" s="3">
        <f>328.3+(281.9-39.5)+(-0.334866+(-0.287538--0.04029))+0-97--0.0989400000000155</f>
        <v>473.21682600000003</v>
      </c>
      <c r="U16" s="3">
        <f>327.1+(302.2-43.1)+(0.166821+(0.154122-0.021981))+0-125-0.0637499999999873</f>
        <v>461.43521200000004</v>
      </c>
      <c r="V16" s="3">
        <f>326.4+(261.7-21.3)+(-0.166464+(-0.133467--0.010863))+0-97--0.0494699999999902</f>
        <v>469.5604019999999</v>
      </c>
      <c r="W16" s="3">
        <f>325.3+(260.9-0)+(-0.497709+(-0.399177-0))+0-104--0.159120000000006</f>
        <v>481.46223400000008</v>
      </c>
      <c r="X16" s="3">
        <f>333.6+(281.1-0)+(-0.340272+(-0.286722-0))+0-117--0.119340000000019</f>
        <v>497.1923460000001</v>
      </c>
      <c r="Y16" s="3">
        <f>333.6+(322.7-19.6)+(-0.170136+(-0.164577--0.009996))+0-105--0.0535499999999893</f>
        <v>531.42883300000005</v>
      </c>
      <c r="Z16" s="3">
        <f>332.9+(345.4-40.6)+(-0.848895+(-0.88077--0.10353))+0-101--0.257549999999985</f>
        <v>535.33141499999999</v>
      </c>
      <c r="AA16" s="3">
        <f>340.2+(340.9-59.9)+(-0.520506+(-0.521577--0.091647))+0-103--0.157590000000006</f>
        <v>517.40715400000011</v>
      </c>
      <c r="AB16" s="3">
        <f>340+(346.2-75.9)+(-0.5202+(-0.529686--0.116127))+0-106--0.162180000000006</f>
        <v>503.52842099999992</v>
      </c>
      <c r="AC16" s="3">
        <f>337.5+(353-104.5)+(-0.860625+(-0.90015--0.266475))+0-114--0.290699999999983</f>
        <v>470.79640000000001</v>
      </c>
      <c r="AD16">
        <v>545.1</v>
      </c>
      <c r="AE16" s="3">
        <f>334+(349-34.9)+(0+(0-0))+0-103-0</f>
        <v>545.1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341.6+(389-173.2)+(-0.348432+(-0.39678--0.176664))+0-107--0.109140000000017</f>
        <v>449.94059200000015</v>
      </c>
      <c r="G17" s="3">
        <f>338.4+(351-166.7)+(-1.380672+(-1.43208--0.680136))+0-91--0.371279999999992</f>
        <v>429.93866400000007</v>
      </c>
      <c r="H17" s="3">
        <f>339.7+(294-104.7)+(-0.519741+(-0.44982--0.160191))+0-109--0.166770000000006</f>
        <v>419.35740000000004</v>
      </c>
      <c r="I17" s="3">
        <f>340.6+(302-118.9)+(-0.347412+(-0.30804--0.121278))+0-104--0.106080000000017</f>
        <v>419.27190600000006</v>
      </c>
      <c r="J17" s="3">
        <f>339.9+(295-98.3)+(-0.866745+(-0.75225--0.250665))+0-122--0.311099999999982</f>
        <v>413.5427699999999</v>
      </c>
      <c r="K17" s="3">
        <f>341.8+(271-69)+(0.174318+(0.13821-0.03519))+0-121-0.0617099999999877</f>
        <v>423.01562799999994</v>
      </c>
      <c r="L17" s="3">
        <f>338.5+(254.1-47.9)+(-0.34527+(-0.259182--0.048858))+0-118--0.120360000000019</f>
        <v>426.26476600000001</v>
      </c>
      <c r="M17" s="3">
        <f>339.2+(264.1-14.4)+(-0.345984+(-0.269382--0.014688))+0-126--0.12852000000002</f>
        <v>462.427842</v>
      </c>
      <c r="N17" s="3">
        <f>340.9+(265-14.8)+(-0.347718+(-0.2703--0.015096))+0-104--0.106080000000017</f>
        <v>486.60315799999989</v>
      </c>
      <c r="O17" s="3">
        <f>340+(298.9-35.9)+(-0.1734+(-0.152439--0.018309))+0-105--0.0535499999999893</f>
        <v>497.74601999999993</v>
      </c>
      <c r="P17" s="3">
        <f>333.9+(286-15.5)+(0+(0-0))+0-105-0</f>
        <v>499.4</v>
      </c>
      <c r="Q17" s="3">
        <f>331.9+(298.4-22.9)+(-0.169269+(-0.152184--0.011679))+0-98--0.0499799999999901</f>
        <v>509.14020600000003</v>
      </c>
      <c r="R17" s="3">
        <f>332.9+(372.3-76.3)+(-0.169779+(-0.189873--0.038913))+0-115--0.0586499999999883</f>
        <v>513.63791099999992</v>
      </c>
      <c r="S17" s="3">
        <f>334.3+(419.6-175.8)+(-0.511479+(-0.641988--0.268974))+0-92--0.140760000000005</f>
        <v>485.356267</v>
      </c>
      <c r="T17" s="3">
        <f>333.1+(442-188.6)+(-0.169881+(-0.22542--0.096186))+0-117--0.0596699999999881</f>
        <v>469.26055499999995</v>
      </c>
      <c r="U17" s="3">
        <f>328.5+(409.4-175.3)+(-1.172745+(-1.461558--0.625821))+0-100--0.357000000000001</f>
        <v>460.94851799999998</v>
      </c>
      <c r="V17" s="3">
        <f>328.8+(385.7-143.8)+(-0.503064+(-0.590121--0.220014))+0-99--0.151470000000006</f>
        <v>470.97829900000011</v>
      </c>
      <c r="W17" s="3">
        <f>327.1+(335.9-81.3)+(-1.000926+(-1.027854--0.248778))+0-117--0.358020000000014</f>
        <v>463.27801800000009</v>
      </c>
      <c r="X17" s="3">
        <f>329.1+(330.3-76.1)+(-0.503523+(-0.505359--0.116433))+0-103--0.157590000000006</f>
        <v>479.56514100000004</v>
      </c>
      <c r="Y17" s="3">
        <f>336.1+(410.2-139.6)+(-0.342822+(-0.418404--0.142392))+0-109--0.111180000000017</f>
        <v>497.19234600000004</v>
      </c>
      <c r="Z17" s="3">
        <f>342.4+(393.6-128.2)+(-0.698496+(-0.802944--0.261528))+0-104--0.212159999999995</f>
        <v>502.77224799999993</v>
      </c>
      <c r="AA17" s="3">
        <f>341.4+(433-174.7)+(-0.696456+(-0.88332--0.356388))+0-100--0.203999999999996</f>
        <v>498.68061200000005</v>
      </c>
      <c r="AB17" s="3">
        <f>344.3+(441.4-216.3)+(-0.351186+(-0.450228--0.220626))+0-91--0.0928200000000145</f>
        <v>477.91203200000001</v>
      </c>
      <c r="AC17" s="3">
        <f>346+(526.5-314.8)+(-0.35292+(-0.53703--0.321096))+0-94--0.095880000000015</f>
        <v>463.22702600000008</v>
      </c>
      <c r="AD17">
        <v>552</v>
      </c>
      <c r="AE17" s="3">
        <f>344+(391.4-113.4)+(0+(0-0))+0-70-0</f>
        <v>552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347.1+(511-309.4)+(-0.885105+(-1.30305--0.78897))+0-113--0.288149999999984</f>
        <v>434.58896500000003</v>
      </c>
      <c r="G18" s="3">
        <f>347.3+(481-277.6)+(-0.531369+(-0.73593--0.424728))+0-129--0.197370000000007</f>
        <v>421.05479900000006</v>
      </c>
      <c r="H18" s="3">
        <f>341.6+(446-250.4)+(0+(0-0))+0-122-0</f>
        <v>415.20000000000005</v>
      </c>
      <c r="I18" s="3">
        <f>328.8+(432-223.7)+(-0.503064+(-0.66096--0.342261))+0-120--0.183600000000007</f>
        <v>416.461837</v>
      </c>
      <c r="J18" s="3">
        <f>323.8+(413-207.2)+(-0.990828+(-1.26378--0.634032))+0-119--0.364140000000014</f>
        <v>409.34356400000001</v>
      </c>
      <c r="K18" s="3">
        <f>327.7+(384-190.5)+(-0.334254+(-0.39168--0.19431))+0-110--0.112200000000018</f>
        <v>410.78057600000011</v>
      </c>
      <c r="L18" s="3">
        <f>325.3+(345-143.1)+(-0.663612+(-0.7038--0.291924))+0-115--0.234599999999995</f>
        <v>411.3591120000001</v>
      </c>
      <c r="M18" s="3">
        <f>330.7+(316-103.7)+(0+(0-0))+0-114-0</f>
        <v>429</v>
      </c>
      <c r="N18" s="3">
        <f>337.2+(307.8-72.9)+(-0.343944+(-0.313956--0.074358))+0-110--0.112200000000018</f>
        <v>461.62865800000009</v>
      </c>
      <c r="O18" s="3">
        <f>335.7+(295.4-42.7)+(0+(0-0))+0-111-0</f>
        <v>477.4</v>
      </c>
      <c r="P18" s="3">
        <f>332.3+(307.4-45.8)+(0.169473+(0.156774-0.023358))+0-107-0.0545699999999891</f>
        <v>487.14831900000001</v>
      </c>
      <c r="Q18" s="3">
        <f>327.1+(359.2-70.1)+(-0.500463+(-0.549576--0.107253))+0-120--0.183600000000007</f>
        <v>495.4408140000001</v>
      </c>
      <c r="R18" s="3">
        <f>328.8+(395-123.9)+(-0.335376+(-0.4029--0.126378))+0-110--0.112200000000018</f>
        <v>489.40030200000012</v>
      </c>
      <c r="S18" s="3">
        <f>328.3+(447-178.4)+(-0.334866+(-0.45594--0.181968))+0-123--0.12546000000002</f>
        <v>473.41662200000013</v>
      </c>
      <c r="T18" s="3">
        <f>320.1+(441-204.1)+(0+(0-0))+0-101-0</f>
        <v>456</v>
      </c>
      <c r="U18" s="3">
        <f>315.2+(395-182)+(-0.643008+(-0.8058--0.37128))+0-64--0.130559999999997</f>
        <v>463.25303200000002</v>
      </c>
      <c r="V18" s="3">
        <f>318.1+(334-142.4)+(-0.324462+(-0.34068--0.145248))+0-55--0.0561000000000088</f>
        <v>454.23620600000004</v>
      </c>
      <c r="W18" s="3">
        <f>318.4+(301-98.4)+(-0.487152+(-0.46053--0.150552))+0-64--0.0979200000000037</f>
        <v>456.30078999999995</v>
      </c>
      <c r="X18" s="3">
        <f>316.4+(275.3-72.9)+(-0.645456+(-0.561612--0.148716))+0-55--0.112199999999998</f>
        <v>462.85384799999991</v>
      </c>
      <c r="Y18" s="3">
        <f>317.4+(372-123)+(-0.161874+(-0.18972--0.06273))+0-77--0.0392699999999922</f>
        <v>489.15040599999998</v>
      </c>
      <c r="Z18" s="3">
        <f>315.1+(399-124.3)+(0.160701+(0.20349-0.063393))+0-88-0.0448799999999911</f>
        <v>502.05591799999996</v>
      </c>
      <c r="AA18" s="3">
        <f>306+(447-148.6)+(-0.62424+(-0.91188--0.303144))+0-115--0.234599999999995</f>
        <v>488.40162399999997</v>
      </c>
      <c r="AB18" s="3">
        <f>306.9+(453-169.3)+(-0.626076+(-0.92412--0.345372))+0-110--0.224399999999995</f>
        <v>479.61957599999988</v>
      </c>
      <c r="AC18" s="3">
        <f>298.2+(441-182.8)+(-0.304164+(-0.44982--0.186456))+0-97--0.0989400000000155</f>
        <v>458.93141199999997</v>
      </c>
      <c r="AD18">
        <v>560.20000000000005</v>
      </c>
      <c r="AE18" s="3">
        <f>314+(401.7-122.5)+(0+(0-0))+0-33-0</f>
        <v>560.20000000000005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243.7+(459-144.7)+(-0.248574+(-0.46818--0.147594))+0-118--0.120360000000019</f>
        <v>439.55119999999999</v>
      </c>
      <c r="G19" s="3">
        <f>153.4+(458-79.5)+(-0.078234+(-0.23358--0.040545))+0-109--0.0555899999999889</f>
        <v>422.68432100000001</v>
      </c>
      <c r="H19" s="3">
        <f>152.8+(423.4-61.3)+(-0.233784+(-0.647802--0.093789))+0-107--0.163710000000006</f>
        <v>407.275913</v>
      </c>
      <c r="I19" s="3">
        <f>156.2+(417.6-66.6)+(0+(0-0))+0-109-0</f>
        <v>398.2</v>
      </c>
      <c r="J19" s="3">
        <f>155+(436.3-76.2)+(-0.23715+(-0.667539--0.116586))+0-111--0.169830000000006</f>
        <v>403.48172700000003</v>
      </c>
      <c r="K19" s="3">
        <f>156.4+(436.3-75.1)+(0.079764+(0.222513-0.038301))+0-119-0.0606899999999879</f>
        <v>398.80328600000001</v>
      </c>
      <c r="L19" s="3">
        <f>153.5+(387.9-48.4)+(-0.234855+(-0.593487--0.074052))+0-115--0.175950000000007</f>
        <v>377.42165999999997</v>
      </c>
      <c r="M19" s="3">
        <f>154.4+(338-7.7)+(-0.314976+(-0.68952--0.015708))+0-103--0.210119999999996</f>
        <v>380.92133200000006</v>
      </c>
      <c r="N19" s="3">
        <f>157.4+(440.4-103.2)+(-0.40137+(-1.12302--0.26316))+0-121--0.308549999999982</f>
        <v>372.64731999999998</v>
      </c>
      <c r="O19" s="3">
        <f>159.1+(417.4-92.2)+(-0.081141+(-0.212874--0.047022))+0-85--0.0433499999999914</f>
        <v>399.09635699999995</v>
      </c>
      <c r="P19" s="3">
        <f>158.2+(399.4-61.7)+(-0.161364+(-0.407388--0.062934))+0-88--0.089760000000014</f>
        <v>407.48394200000001</v>
      </c>
      <c r="Q19" s="3">
        <f>158.1+(459.4-92.8)+(-0.080631+(-0.234294--0.047328))+0-107--0.0545699999999891</f>
        <v>417.48697299999992</v>
      </c>
      <c r="R19" s="3">
        <f>157+(465-111)+(-0.24021+(-0.71145--0.16983))+0-95--0.145350000000006</f>
        <v>415.36351999999999</v>
      </c>
      <c r="S19" s="3">
        <f>154.1+(465-120.8)+(-0.471546+(-1.4229--0.369648))+0-102--0.312120000000012</f>
        <v>395.08732199999997</v>
      </c>
      <c r="T19" s="3">
        <f>155.8+(384.1-27.7)+(-0.158916+(-0.391782--0.028254))+0-114--0.116280000000018</f>
        <v>397.79383600000006</v>
      </c>
      <c r="U19" s="3">
        <f>154.3+(366.8-0)+(-0.472158+(-1.122408-0))+0-128--0.391680000000015</f>
        <v>391.89711400000004</v>
      </c>
      <c r="V19" s="3">
        <f>155.6+(357.6-0)+(-0.238068+(-0.547128-0))+0-114--0.174420000000007</f>
        <v>398.589224</v>
      </c>
      <c r="W19" s="3">
        <f>156.4+(365.9-0)+(-0.079764+(-0.186609-0))+0-122--0.0622199999999876</f>
        <v>400.09584699999988</v>
      </c>
      <c r="X19" s="3">
        <f>159.9+(352.5-0)+(0+(0-0))+0-118-0</f>
        <v>394.4</v>
      </c>
      <c r="Y19" s="3">
        <f>161.1+(398-0)+(-0.082161+(-0.20298-0))+0-118--0.060179999999988</f>
        <v>440.87503900000007</v>
      </c>
      <c r="Z19" s="3">
        <f>160.2+(424.9-0)+(-0.245106+(-0.650097-0))+0-132--0.201960000000008</f>
        <v>452.40675699999986</v>
      </c>
      <c r="AA19" s="3">
        <f>161.6+(408.1-0)+(-0.082416+(-0.208131-0))+0-116--0.0591599999999882</f>
        <v>453.46861300000006</v>
      </c>
      <c r="AB19" s="3">
        <f>162+(378.6-6.8)+(-0.33048+(-0.772344--0.013872))+0-93--0.189719999999996</f>
        <v>439.90076800000003</v>
      </c>
      <c r="AC19" s="3">
        <f>164.9+(386.2-7.1)+(-0.084099+(-0.196962--0.003621))+0-108--0.055079999999989</f>
        <v>435.77764000000002</v>
      </c>
      <c r="AD19">
        <v>520.20000000000005</v>
      </c>
      <c r="AE19" s="3">
        <f>164+(425.2-0)+(0+(0-0))+0-69-0</f>
        <v>520.20000000000005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163.6+(374.5-2.9)+(-0.41718+(-0.954975--0.007395))+0-114--0.290699999999983</f>
        <v>420.12593999999996</v>
      </c>
      <c r="G20" s="3">
        <f>168.9+(365.7-0)+(-0.258417+(-0.559521-0))+0-120--0.183600000000007</f>
        <v>413.96566200000001</v>
      </c>
      <c r="H20" s="3">
        <f>169.7+(347.4-0)+(0.173094+(0.354348-0))+0-114-0.116280000000018</f>
        <v>403.51116199999984</v>
      </c>
      <c r="I20" s="3">
        <f>170.9+(375.9-20)+(0+(0-0))+0-125-0</f>
        <v>401.79999999999995</v>
      </c>
      <c r="J20" s="3">
        <f>168.3+(385-32)+(-0.171666+(-0.3927--0.03264))+0-120--0.122400000000019</f>
        <v>400.89067399999993</v>
      </c>
      <c r="K20" s="3">
        <f>167+(368.9-13)+(-0.25551+(-0.564417--0.01989))+0-121--0.185130000000007</f>
        <v>401.28509300000002</v>
      </c>
      <c r="L20" s="3">
        <f>167.2+(387.4-9)+(-0.341088+(-0.790296--0.01836))+0-127--0.259079999999994</f>
        <v>417.7460559999999</v>
      </c>
      <c r="M20" s="3">
        <f>168.7+(406.8-7)+(0+(0-0))+0-105-0</f>
        <v>463.5</v>
      </c>
      <c r="N20" s="3">
        <f>167.6+(445.7-0)+(0+(0-0))+0-122-0</f>
        <v>491.29999999999995</v>
      </c>
      <c r="O20" s="3">
        <f>167+(431.6-0)+(0+(0-0))+0-98-0</f>
        <v>500.6</v>
      </c>
      <c r="P20" s="3">
        <f>214.7+(396.3-0)+(0+(0-0))+0-103-0</f>
        <v>508</v>
      </c>
      <c r="Q20" s="3">
        <f>262.3+(355.8-0)+(-0.535092+(-0.725832-0))+0-101--0.206039999999996</f>
        <v>516.04511600000001</v>
      </c>
      <c r="R20" s="3">
        <f>257.4+(357-0)+(-0.131274+(-0.18207-0))+0-102--0.0520199999999897</f>
        <v>512.13867599999992</v>
      </c>
      <c r="S20" s="3">
        <f>225.4+(393.9-0)+(-0.229908+(-0.401778-0))+0-113--0.115260000000018</f>
        <v>505.78357400000004</v>
      </c>
      <c r="T20" s="3">
        <f>163.5+(425.1-0)+(-0.16677+(-0.433602-0))+0-106--0.108120000000017</f>
        <v>482.10774800000007</v>
      </c>
      <c r="U20" s="3">
        <f>181.8+(404.1-0)+(0+(0-0))+0-115-0</f>
        <v>470.90000000000009</v>
      </c>
      <c r="V20" s="3">
        <f>218+(365.2-0)+(-0.11118+(-0.186252-0))+0-100--0.0509999999999899</f>
        <v>482.95356800000008</v>
      </c>
      <c r="W20" s="3">
        <f>293.4+(322.5-17)+(-0.897804+(-0.98685--0.05202))+0-102--0.312120000000012</f>
        <v>495.37948599999999</v>
      </c>
      <c r="X20" s="3">
        <f>311.3+(334.5-31)+(-0.635052+(-0.68238--0.06324))+0-125--0.254999999999995</f>
        <v>488.80080799999996</v>
      </c>
      <c r="Y20" s="3">
        <f>320.3+(319.8-0)+(0.326706+(0.326196-0))+0-111-0.113220000000018</f>
        <v>529.63968199999999</v>
      </c>
      <c r="Z20" s="3">
        <f>336.8+(318.6-0)+(0+(0-0))+0-115-0</f>
        <v>540.40000000000009</v>
      </c>
      <c r="AA20" s="3">
        <f>345+(298.4-0)+(-0.87975+(-0.76092-0))+0-148--0.377399999999979</f>
        <v>494.13672999999994</v>
      </c>
      <c r="AB20" s="3">
        <f>348.5+(263.3-0)+(-0.177735+(-0.134283-0))+0-128.7--0.0656369999999869</f>
        <v>482.85361899999998</v>
      </c>
      <c r="AC20" s="3">
        <f>349.2+(256.8-29.5)+(-0.356184+(-0.261936--0.03009))+0-117.8--0.120156000000019</f>
        <v>458.23212599999999</v>
      </c>
      <c r="AD20">
        <v>516.70000000000005</v>
      </c>
      <c r="AE20" s="3">
        <f>338+(308.7-0)+(0+(0-0))+0-130-0</f>
        <v>516.70000000000005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350.5+(231.9-46.2)+(-0.35751+(-0.236538--0.047124))+0-122.4--0.12484800000002</f>
        <v>413.37792400000012</v>
      </c>
      <c r="G21" s="3">
        <f>352.1+(208.8-20.2)+(0+(0-0))+0-144.2-0</f>
        <v>396.50000000000006</v>
      </c>
      <c r="H21" s="3">
        <f>352+(188-17)+(-0.71808+(-0.38352--0.03468))+0-135.4--0.276215999999994</f>
        <v>386.80929600000002</v>
      </c>
      <c r="I21" s="3">
        <f>351+(201.3-25)+(-0.71604+(-0.410652--0.051))+0-144.6--0.294983999999994</f>
        <v>381.91929199999993</v>
      </c>
      <c r="J21" s="3">
        <f>350.3+(190.8-25.9)+(-0.535959+(-0.291924--0.039627))+0-132.1--0.202113000000008</f>
        <v>382.51385699999997</v>
      </c>
      <c r="K21" s="3">
        <f>351.9+(192-20.1)+(-0.538407+(-0.29376--0.030753))+0-139.8--0.213894000000008</f>
        <v>383.4124799999999</v>
      </c>
      <c r="L21" s="3">
        <f>354.7+(234.1-49)+(-0.180897+(-0.119391--0.02499))+0-138.4--0.070583999999986</f>
        <v>401.19528599999995</v>
      </c>
      <c r="M21" s="3">
        <f>353.4+(268.4-85)+(0+(0-0))+0-117.4-0</f>
        <v>419.4</v>
      </c>
      <c r="N21" s="3">
        <f>348.6+(233-48)+(-0.177786+(-0.11883--0.02448))+0-95--0.0484499999999904</f>
        <v>438.37631399999998</v>
      </c>
      <c r="O21" s="3">
        <f>345.7+(255.2-10)+(-0.352614+(-0.260304--0.0102))+0-136.4--0.139128000000022</f>
        <v>454.03641000000005</v>
      </c>
      <c r="P21" s="3">
        <f>340.9+(257.9-0)+(-0.173859+(-0.131529-0))+0-139.9--0.0713489999999858</f>
        <v>458.66596099999998</v>
      </c>
      <c r="Q21" s="3">
        <f>337.8+(256.7-0)+(0+(0-0))+0-126.1-0</f>
        <v>468.4</v>
      </c>
      <c r="R21" s="3">
        <f>334.6+(264.7-0)+(0+(0-0))+0-132.5-0</f>
        <v>466.79999999999995</v>
      </c>
      <c r="S21" s="3">
        <f>332.9+(273.6-26.7)+(-0.339558+(-0.279072--0.027234))+0-102--0.104040000000016</f>
        <v>477.31264399999992</v>
      </c>
      <c r="T21" s="3">
        <f>326.2+(275.5-34.1)+(0+(0-0))+0-130.6-0</f>
        <v>437</v>
      </c>
      <c r="U21" s="3">
        <f>323.2+(236.5-21.4)+(0+(0-0))+0-116-0</f>
        <v>422.29999999999995</v>
      </c>
      <c r="V21" s="3">
        <f>323.6+(226.8-13.5)+(-0.495108+(-0.347004--0.020655))+0-108.3--0.165699000000006</f>
        <v>427.94424200000009</v>
      </c>
      <c r="W21" s="3">
        <f>320.9+(250.9-0)+(-0.490977+(-0.383877-0))+0-124.1--0.189873000000007</f>
        <v>447.01501899999994</v>
      </c>
      <c r="X21" s="3">
        <f>321.4+(253.2-0)+(-0.655656+(-0.516528-0))+0-107.5--0.219299999999995</f>
        <v>466.14711599999987</v>
      </c>
      <c r="Y21" s="3">
        <f>325.3+(282.9-5.1)+(0+(0-0))+0-118.7-0</f>
        <v>484.39999999999992</v>
      </c>
      <c r="Z21" s="3">
        <f>336.3+(285.2-6.1)+(-0.686052+(-0.581808--0.012444))+0-119.7--0.244187999999995</f>
        <v>494.68877200000003</v>
      </c>
      <c r="AA21" s="3">
        <f>332.8+(303.5-11)+(-0.509184+(-0.464355--0.01683))+0-137.2--0.209916000000008</f>
        <v>487.35320699999994</v>
      </c>
      <c r="AB21" s="3">
        <f>338.6+(295.7-31.6)+(-0.518058+(-0.452421--0.048348))+0-127--0.194310000000007</f>
        <v>474.97217900000004</v>
      </c>
      <c r="AC21" s="3">
        <f>335.7+(262.9-42)+(-0.513621+(-0.402237--0.06426))+0-115.5--0.176715000000007</f>
        <v>440.42511699999994</v>
      </c>
      <c r="AD21">
        <v>492.6</v>
      </c>
      <c r="AE21" s="3">
        <f>341+(289.7-7.7)+(0+(0-0))+0-130.4-0</f>
        <v>492.6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337.3+(246.2-58.4)+(-0.344046+(-0.251124--0.059568))+0-117.3--0.119646000000019</f>
        <v>407.38404400000002</v>
      </c>
      <c r="G22" s="3">
        <f>339.6+(239.8-75.9)+(0+(0-0))+0-99.4-0</f>
        <v>404.1</v>
      </c>
      <c r="H22" s="3">
        <f>343.6+(233.5-43.1)+(-0.525708+(-0.357255--0.065943))+0-127.8--0.195534000000007</f>
        <v>405.57851400000004</v>
      </c>
      <c r="I22" s="3">
        <f>348.1+(226.8-40.6)+(-0.355062+(-0.231336--0.041412))+0-128.7--0.131274000000021</f>
        <v>405.1862880000001</v>
      </c>
      <c r="J22" s="3">
        <f>349.2+(215.7-36.9)+(0.178092+(0.110007-0.018819))+0-122.2-0.0623219999999876</f>
        <v>406.006958</v>
      </c>
      <c r="K22" s="3">
        <f>349.2+(218.3-33)+(-0.356184+(-0.222666--0.03366))+0-126.4--0.12892800000002</f>
        <v>407.68373800000001</v>
      </c>
      <c r="L22" s="3">
        <f>353.2+(240.5-66)+(-0.540396+(-0.367965--0.10098))+0-114.9--0.175797000000007</f>
        <v>412.16841600000009</v>
      </c>
      <c r="M22" s="3">
        <f>350.7+(264.7-50)+(0+(0-0))+0-119.4-0</f>
        <v>446</v>
      </c>
      <c r="N22" s="3">
        <f>347.1+(248.8-16)+(0.708084+(0.507552-0.03264))+0-114.1-0.232763999999995</f>
        <v>466.7502320000001</v>
      </c>
      <c r="O22" s="3">
        <f>346.4+(284.3-27)+(0.176664+(0.144993-0.01377))+0-118-0.060179999999988</f>
        <v>485.94770700000009</v>
      </c>
      <c r="P22" s="3">
        <f>343.6+(259.5-0)+(0+(0-0))+0-124.5-0</f>
        <v>478.6</v>
      </c>
      <c r="Q22" s="3">
        <f>339.8+(253-0)+(0+(0-0))+0-117.1-0</f>
        <v>475.69999999999993</v>
      </c>
      <c r="R22" s="3">
        <f>338.2+(298-29.4)+(-0.689928+(-0.60792--0.059976))+0-120.7--0.246227999999995</f>
        <v>485.1083559999999</v>
      </c>
      <c r="S22" s="3">
        <f>336.3+(330.5-60.3)+(-0.343026+(-0.33711--0.061506))+0-120.7--0.123114000000019</f>
        <v>485.304484</v>
      </c>
      <c r="T22" s="3">
        <f>333.1+(277.3-30)+(0+(0-0))+0-116.9-0</f>
        <v>463.50000000000011</v>
      </c>
      <c r="U22" s="3">
        <f>332.4+(272.7-51.8)+(-0.339048+(-0.278154--0.052836))+0-108.2--0.110364000000017</f>
        <v>444.64599800000002</v>
      </c>
      <c r="V22" s="3">
        <f>330.6+(263.6-39.6)+(-0.337212+(-0.268872--0.040392))+0-111.2--0.113424000000018</f>
        <v>442.94773200000003</v>
      </c>
      <c r="W22" s="3">
        <f>330.2+(228.2-3.7)+(0+(0-0))+0-105.5-0</f>
        <v>449.20000000000005</v>
      </c>
      <c r="X22" s="3">
        <f>330.9+(261-30)+(-0.168759+(-0.13311--0.0153))+0-108.1--0.055130999999989</f>
        <v>453.56856199999999</v>
      </c>
      <c r="Y22" s="3">
        <f>332.4+(289.6-0)+(-0.169524+(-0.147696-0))+0-116.4--0.0593639999999882</f>
        <v>505.34214400000002</v>
      </c>
      <c r="Z22" s="3">
        <f>336.1+(286.8-0)+(-0.685644+(-0.585072-0))+0-107--0.218279999999995</f>
        <v>514.84756400000015</v>
      </c>
      <c r="AA22" s="3">
        <f>337.8+(274.7-0)+(-0.689112+(-0.560388-0))+0-111.1--0.226643999999995</f>
        <v>500.37714399999999</v>
      </c>
      <c r="AB22" s="3">
        <f>337.8+(285.4-17.4)+(-0.516834+(-0.436662--0.026622))+0-119.3--0.182529000000007</f>
        <v>485.75565499999993</v>
      </c>
      <c r="AC22" s="3">
        <f>334+(256.8-0)+(-0.68136+(-0.523872-0))+0-103.4--0.210935999999995</f>
        <v>486.40570399999996</v>
      </c>
      <c r="AD22">
        <v>502.1</v>
      </c>
      <c r="AE22" s="3">
        <f>333+(288.5-0)+(0+(0-0))+0-119.4-0</f>
        <v>502.1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339+(379-143.8)+(-0.51867+(-0.57987--0.220014))+0-111--0.169830000000006</f>
        <v>462.49130400000007</v>
      </c>
      <c r="G23" s="3">
        <f>322.3+(401-165.4)+(-0.821865+(-1.02255--0.42177))+0-114.5--0.291974999999983</f>
        <v>442.26932999999997</v>
      </c>
      <c r="H23" s="3">
        <f>325.2+(353-121.2)+(-0.165852+(-0.18003--0.061812))+0-125.7--0.0641069999999872</f>
        <v>431.08003699999995</v>
      </c>
      <c r="I23" s="3">
        <f>320.7+(325-110.1)+(-0.654228+(-0.663--0.224604))+0-111.4--0.227255999999995</f>
        <v>423.33463200000006</v>
      </c>
      <c r="J23" s="3">
        <f>322.3+(306-89.5)+(-0.657492+(-0.62424--0.18258))+0-125.6--0.256223999999995</f>
        <v>412.3570719999999</v>
      </c>
      <c r="K23" s="3">
        <f>327.4+(288-91.1)+(0.166974+(0.14688-0.046461))+0-117.4-0.0598739999999881</f>
        <v>407.10751899999997</v>
      </c>
      <c r="L23" s="3">
        <f>323.9+(257.2-46.7)+(-0.660756+(-0.524688--0.095268))+0-117.8--0.240311999999995</f>
        <v>415.75013599999994</v>
      </c>
      <c r="M23" s="3">
        <f>327.9+(237.5-10.1)+(-0.334458+(-0.24225--0.010302))+0-103.5--0.105570000000016</f>
        <v>451.33916399999993</v>
      </c>
      <c r="N23" s="3">
        <f>330.8+(271.5-4)+(0+(0-0))+0-122.5-0</f>
        <v>475.79999999999995</v>
      </c>
      <c r="O23" s="3">
        <f>326.9+(292.9-13.1)+(0.166719+(0.149379-0.006681))+0-115.6-0.0589559999999883</f>
        <v>491.350461</v>
      </c>
      <c r="P23" s="3">
        <f>326.8+(317.6-46.9)+(0.166668+(0.161976-0.023919))+0-101.1-0.0515609999999897</f>
        <v>496.65316399999995</v>
      </c>
      <c r="Q23" s="3">
        <f>322.6+(399-107.6)+(-0.164526+(-0.20349--0.054876))+0-114.2--0.0582419999999884</f>
        <v>499.54510200000004</v>
      </c>
      <c r="R23" s="3">
        <f>322.2+(453.9-176.9)+(-0.164322+(-0.231489--0.090219))+0-111.8--0.0570179999999887</f>
        <v>487.15142599999996</v>
      </c>
      <c r="S23" s="3">
        <f>316.1+(482.7-191.9)+(-0.806055+(-1.230885--0.489345))+0-119.5--0.304724999999983</f>
        <v>486.15712999999994</v>
      </c>
      <c r="T23" s="3">
        <f>317.5+(469.2-199.9)+(-0.32385+(-0.478584--0.203898))+0-112.3--0.114546000000018</f>
        <v>474.01600999999999</v>
      </c>
      <c r="U23" s="3">
        <f>312.3+(417.4-134.8)+(-0.318546+(-0.425748--0.137496))+0-118--0.120360000000019</f>
        <v>476.41356199999996</v>
      </c>
      <c r="V23" s="3">
        <f>316.3+(348.7-81.3)+(0+(0-0))+0-109.1-0</f>
        <v>474.6</v>
      </c>
      <c r="W23" s="3">
        <f>313.2+(318.7-29.5)+(-0.79866+(-0.812685--0.075225))+0-114.7--0.292484999999983</f>
        <v>486.45636500000001</v>
      </c>
      <c r="X23" s="3">
        <f>315.3+(295.3-0)+(-0.643212+(-0.602412-0))+0-122.9--0.250715999999995</f>
        <v>486.70509200000004</v>
      </c>
      <c r="Y23" s="3">
        <f>319.8+(325.1-2.4)+(0.163098+(0.165801-0.001224))+0-120.2-0.0613019999999878</f>
        <v>522.566373</v>
      </c>
      <c r="Z23" s="3">
        <f>317.6+(372.2-31.3)+(-0.485928+(-0.569466--0.047889))+0-117.2--0.179316000000007</f>
        <v>540.47181099999989</v>
      </c>
      <c r="AA23" s="3">
        <f>318.8+(390.4-55.1)+(-0.81294+(-0.99552--0.140505))+0-130--0.331499999999981</f>
        <v>522.76354499999991</v>
      </c>
      <c r="AB23" s="3">
        <f>317.1+(403.8-83.4)+(-0.808605+(-1.02969--0.21267))+0-128.2--0.326909999999981</f>
        <v>508.001285</v>
      </c>
      <c r="AC23" s="3">
        <f>322.7+(446.6-159.1)+(-0.329154+(-0.455532--0.162282))+0-124.8--0.12729600000002</f>
        <v>484.90489200000007</v>
      </c>
      <c r="AD23">
        <v>522.9</v>
      </c>
      <c r="AE23" s="3">
        <f>323+(349.1-31.1)+(0+(0-0))+0-118.1-0</f>
        <v>522.9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324.7+(479-233.8)+(0+(0-0))+0-111.7-0</f>
        <v>458.2</v>
      </c>
      <c r="G24" s="3">
        <f>328.7+(405-175.6)+(0.335274+(0.4131-0.179112))+0-109.1-0.111282000000017</f>
        <v>449.45797999999996</v>
      </c>
      <c r="H24" s="3">
        <f>325.8+(323-101.1)+(-0.498474+(-0.49419--0.154683))+0-108.5--0.166005000000006</f>
        <v>438.52802400000002</v>
      </c>
      <c r="I24" s="3">
        <f>327.7+(289.8-72.1)+(-0.334254+(-0.295596--0.073542))+0-107.1--0.109242000000017</f>
        <v>437.852934</v>
      </c>
      <c r="J24" s="3">
        <f>334.9+(267.3-59)+(-0.683196+(-0.545292--0.12036))+0-113.3--0.231131999999995</f>
        <v>429.02300400000007</v>
      </c>
      <c r="K24" s="3">
        <f>334.6+(253.2-40.7)+(0+(0-0))+0-115.1-0</f>
        <v>432</v>
      </c>
      <c r="L24" s="3">
        <f>334.5+(207.3-2)+(-0.170595+(-0.105723--0.00102))+0-106--0.0540599999999892</f>
        <v>433.57876199999993</v>
      </c>
      <c r="M24" s="3">
        <f>337.1+(243.9-0)+(0+(0-0))+0-115.9-0</f>
        <v>465.1</v>
      </c>
      <c r="N24" s="3">
        <f>333.8+(262.5-0)+(-0.170238+(-0.133875-0))+0-111.1--0.0566609999999887</f>
        <v>484.95254799999987</v>
      </c>
      <c r="O24" s="3">
        <f>329.6+(291.6-0)+(-0.168096+(-0.148716-0))+0-118.7--0.060536999999988</f>
        <v>502.24372500000004</v>
      </c>
      <c r="P24" s="3">
        <f>328.3+(298.8-0)+(-0.334866+(-0.304776-0))+0-114.4--0.116688000000018</f>
        <v>512.17704600000013</v>
      </c>
      <c r="Q24" s="3">
        <f>324.5+(311.7-0)+(-0.33099+(-0.317934-0))+0-111.3--0.113526000000018</f>
        <v>524.3646020000001</v>
      </c>
      <c r="R24" s="3">
        <f>328.5+(353.2-0)+(-0.33507+(-0.360264-0))+0-120.9--0.123318000000019</f>
        <v>560.22798400000011</v>
      </c>
      <c r="S24" s="3">
        <f>321.4+(354.1-58.3)+(-0.327828+(-0.361182--0.059466))+0-107.8--0.109956000000017</f>
        <v>508.88041200000004</v>
      </c>
      <c r="T24" s="3">
        <f>326.3+(389.4-119.1)+(0+(0-0))+0-114.4-0</f>
        <v>482.19999999999993</v>
      </c>
      <c r="U24" s="3">
        <f>319.7+(431.1-171.2)+(-0.326094+(-0.439722--0.174624))+0-100.3--0.102306000000016</f>
        <v>478.81111400000003</v>
      </c>
      <c r="V24" s="3">
        <f>320.6+(423.1-133.4)+(0.490518+(0.647343-0.204102))+0-118.7-0.181611000000007</f>
        <v>492.35214800000006</v>
      </c>
      <c r="W24" s="3">
        <f>324+(364.7-84.6)+(-0.66096+(-0.743988--0.172584))+0-106.3--0.216851999999995</f>
        <v>496.78448800000007</v>
      </c>
      <c r="X24" s="3">
        <f>330.5+(340.6-53.1)+(0.168555+(0.173706-0.027081))+0-112.2-0.0572219999999886</f>
        <v>506.0579580000001</v>
      </c>
      <c r="Y24" s="3">
        <f>331.9+(344.8-26.1)+(0.169269+(0.175848-0.013311))+0-114.6-0.0584459999999884</f>
        <v>536.27335999999991</v>
      </c>
      <c r="Z24" s="3">
        <f>329+(372.2-34.3)+(-0.67116+(-0.759288--0.069972))+0-123.7--0.252347999999995</f>
        <v>542.09187199999997</v>
      </c>
      <c r="AA24" s="3">
        <f>329.5+(369.9-50.9)+(-1.00827+(-1.131894--0.155754))+0-118.2--0.361692000000014</f>
        <v>528.67728199999999</v>
      </c>
      <c r="AB24" s="3">
        <f>330.5+(425.7-114.5)+(-0.67422+(-0.868428--0.23358))+0-129.5--0.264179999999994</f>
        <v>511.15511200000003</v>
      </c>
      <c r="AC24" s="3">
        <f>331+(514.8-214.4)+(-0.67524+(-1.050192--0.437376))+0-138.2--0.281927999999994</f>
        <v>492.193872</v>
      </c>
      <c r="AD24">
        <v>552.6</v>
      </c>
      <c r="AE24" s="3">
        <f>336+(374.5-29.8)+(0+(0-0))+0-128.1-0</f>
        <v>552.6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335.1+(479.1-233.9)+(-0.170901+(-0.244341--0.119289))+0-108.1--0.055130999999989</f>
        <v>471.95917800000001</v>
      </c>
      <c r="G25" s="3">
        <f>341.9+(466.3-215.5)+(-0.697476+(-0.951252--0.43962))+0-136.4--0.278255999999994</f>
        <v>455.36914800000005</v>
      </c>
      <c r="H25" s="3">
        <f>345.3+(430.6-209.2)+(-0.352206+(-0.439212--0.213384))+0-130.7--0.133314000000021</f>
        <v>435.5552800000001</v>
      </c>
      <c r="I25" s="3">
        <f>347.3+(411.6-186.9)+(0.177123+(0.209916-0.095319))+0-134.6-0.0686459999999863</f>
        <v>437.62307400000003</v>
      </c>
      <c r="J25" s="3">
        <f>347.7+(376.5-167.4)+(0.354654+(0.38403-0.170748))+0-118.8-0.121176000000019</f>
        <v>438.44675999999998</v>
      </c>
      <c r="K25" s="3">
        <f>348.6+(291.3-83.1)+(-0.177786+(-0.148563--0.042381))+0-120.7--0.0615569999999878</f>
        <v>435.87758900000011</v>
      </c>
      <c r="L25" s="3">
        <f>346.6+(234.6-23.2)+(-0.530298+(-0.358938--0.035496))+0-123.7--0.189261000000007</f>
        <v>433.63552099999998</v>
      </c>
      <c r="M25" s="3">
        <f>349.2+(230.8-0)+(0+(0-0))+0-124.7-0</f>
        <v>455.3</v>
      </c>
      <c r="N25" s="3">
        <f>346+(280-0)+(0+(0-0))+0-128.5-0</f>
        <v>497.5</v>
      </c>
      <c r="O25" s="3">
        <f>343.5+(277.9-1.4)+(-0.175185+(-0.141729--0.000714))+0-84.6--0.0431459999999914</f>
        <v>535.12694599999998</v>
      </c>
      <c r="P25" s="3">
        <f>342.8+(294.1-8.7)+(0.524484+(0.449973-0.013311))+0-87.7-0.134181000000005</f>
        <v>541.32696499999997</v>
      </c>
      <c r="Q25" s="3">
        <f>338.7+(313.6-18.7)+(-1.036422+(-0.959616--0.057222))+0-86.9--0.26591400000001</f>
        <v>545.02709800000014</v>
      </c>
      <c r="R25" s="3">
        <f>337.6+(369.2-78.8)+(-0.86088+(-0.94146--0.20094))+0-80.3--0.204764999999988</f>
        <v>546.30336499999999</v>
      </c>
      <c r="S25" s="3">
        <f>335.6+(446.9-176.1)+(-0.171156+(-0.227919--0.089811))+0-78.9--0.040238999999992</f>
        <v>527.23097500000006</v>
      </c>
      <c r="T25" s="3">
        <f>332.1+(484.5-230.6)+(0.169371+(0.247095-0.117606))+0-117.2-0.0597719999999881</f>
        <v>469.03908799999999</v>
      </c>
      <c r="U25" s="3">
        <f>327.3+(415.7-199.1)+(-0.166923+(-0.212007--0.101541))+0-101--0.0515099999999898</f>
        <v>442.67412100000001</v>
      </c>
      <c r="V25" s="3">
        <f>326.3+(301.5-114.7)+(-0.665652+(-0.61506--0.233988))+0-82.8--0.168911999999996</f>
        <v>429.42218799999995</v>
      </c>
      <c r="W25" s="3">
        <f>325.2+(265.4-70.5)+(-0.497556+(-0.406062--0.107865))+0-89.6--0.137088000000005</f>
        <v>429.8413349999999</v>
      </c>
      <c r="X25" s="3">
        <f>326.6+(245.9-49.9)+(-0.333132+(-0.250818--0.050898))+0-87.9--0.089658000000014</f>
        <v>434.25660600000003</v>
      </c>
      <c r="Y25" s="3">
        <f>327.7+(295.2-63.4)+(-0.668508+(-0.602208--0.129336))+0-91--0.185639999999996</f>
        <v>467.54425999999995</v>
      </c>
      <c r="Z25" s="3">
        <f>331.3+(333.7-76.2)+(-0.844815+(-0.850935--0.19431))+0-98.5--0.251174999999986</f>
        <v>489.04973499999994</v>
      </c>
      <c r="AA25" s="3">
        <f>336.4+(339.7-69.5)+(-0.514692+(-0.519741--0.106335))+0-118.1--0.180693000000007</f>
        <v>487.75259499999993</v>
      </c>
      <c r="AB25" s="3">
        <f>339.4+(328.2-83.5)+(-0.346188+(-0.334764--0.08517))+0-110.3--0.112506000000018</f>
        <v>473.31672399999991</v>
      </c>
      <c r="AC25" s="3">
        <f>341.6+(330.1-92.6)+(-0.174216+(-0.168351--0.047226))+0-120.6--0.0615059999999878</f>
        <v>458.266165</v>
      </c>
      <c r="AD25">
        <v>520.29999999999995</v>
      </c>
      <c r="AE25" s="3">
        <f>328+(337.8-64.7)+(0+(0-0))+0-80.8-0</f>
        <v>520.30000000000007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342.3+(345.5-116.5)+(-0.174573+(-0.176205--0.059415))+0-114.5--0.0583949999999884</f>
        <v>456.56703199999987</v>
      </c>
      <c r="G26" s="3">
        <f>341.1+(317.5-110.4)+(-0.347922+(-0.32385--0.112608))+0-118.3--0.120666000000019</f>
        <v>429.46150200000005</v>
      </c>
      <c r="H26" s="3">
        <f>340.2+(275-75)+(-0.520506+(-0.42075--0.11475))+0-113.3--0.173349000000007</f>
        <v>426.24684300000007</v>
      </c>
      <c r="I26" s="3">
        <f>344.3+(251.5-49.8)+(0+(0-0))+0-123.2-0</f>
        <v>422.8</v>
      </c>
      <c r="J26" s="3">
        <f>345.9+(230.1-28.3)+(0+(0-0))+0-133.2-0</f>
        <v>414.49999999999994</v>
      </c>
      <c r="K26" s="3">
        <f>343.5+(227.7-40.1)+(-0.35037+(-0.232254--0.040902))+0-123.1--0.12556200000002</f>
        <v>407.58383999999995</v>
      </c>
      <c r="L26" s="3">
        <f>336.9+(213.2-27.6)+(-1.374552+(-0.869856--0.112608))+0-125--0.509999999999989</f>
        <v>395.87819999999999</v>
      </c>
      <c r="M26" s="3">
        <f>343.2+(204-22)+(-0.350064+(-0.20808--0.02244))+0-130.1--0.132702000000021</f>
        <v>394.69699800000001</v>
      </c>
      <c r="N26" s="3">
        <f>348.3+(183.1-28.4)+(0.710532+(0.373524-0.057936))+0-114.2-0.232967999999995</f>
        <v>389.59315200000003</v>
      </c>
      <c r="O26" s="3">
        <f>342.4+(211.9-38.9)+(-0.523872+(-0.324207--0.059517))+0-119.2--0.182376000000007</f>
        <v>395.59381400000007</v>
      </c>
      <c r="P26" s="3">
        <f>345.5+(238.6-76.3)+(0.35241+(0.243372-0.077826))+0-98.4-0.100368000000016</f>
        <v>409.817588</v>
      </c>
      <c r="Q26" s="3">
        <f>341+(259.8-56.4)+(-0.52173+(-0.397494--0.086292))+0-128.3--0.196299000000007</f>
        <v>415.46336699999995</v>
      </c>
      <c r="R26" s="3">
        <f>336.8+(268.9-91.4)+(-1.202376+(-0.959973--0.326298))+0-102.4--0.365568000000001</f>
        <v>410.42951699999998</v>
      </c>
      <c r="S26" s="3">
        <f>340.3+(339.5-176.5)+(0+(0-0))+0-98-0</f>
        <v>405.3</v>
      </c>
      <c r="T26" s="3">
        <f>337.7+(331.9-172)+(-0.344454+(-0.338538--0.17544))+0-111.3--0.113526000000018</f>
        <v>385.90597400000001</v>
      </c>
      <c r="U26" s="3">
        <f>335.5+(318.3-143.4)+(-0.171105+(-0.162333--0.073134))+0-112.1--0.0571709999999886</f>
        <v>398.09686699999992</v>
      </c>
      <c r="V26" s="3">
        <f>334.7+(290.5-115.6)+(-0.682788+(-0.59262--0.235824))+0-109.6--0.223583999999995</f>
        <v>399.18400000000003</v>
      </c>
      <c r="W26" s="3">
        <f>335.1+(260.1-80.4)+(-0.170901+(-0.132651--0.041004))+0-109.6--0.0558959999999889</f>
        <v>404.99334799999997</v>
      </c>
      <c r="X26" s="3">
        <f>335.9+(326.5-143)+(0.171309+(0.166515-0.07293))+0-110.5-0.0563549999999888</f>
        <v>409.10853900000001</v>
      </c>
      <c r="Y26" s="3">
        <f>332.9+(416.5-194.5)+(-0.679116+(-0.84966--0.39678))+0-113.3--0.231131999999995</f>
        <v>440.69913600000001</v>
      </c>
      <c r="Z26" s="3">
        <f>328.1+(408.7-155.3)+(-0.167331+(-0.208437--0.079203))+0-121.6--0.0620159999999877</f>
        <v>459.66545099999996</v>
      </c>
      <c r="AA26" s="3">
        <f>324.6+(369.1-120.8)+(-0.662184+(-0.752964--0.246432))+0-111.8--0.228071999999995</f>
        <v>460.15935600000006</v>
      </c>
      <c r="AB26" s="3">
        <f>326.5+(364.3-122.8)+(-0.33303+(-0.371586--0.125256))+0-117.2--0.119544000000019</f>
        <v>450.34018400000008</v>
      </c>
      <c r="AC26" s="3">
        <f>321.2+(418.5-176.4)+(-0.655248+(-0.85374--0.359856))+0-128.7--0.262547999999994</f>
        <v>433.71341599999994</v>
      </c>
      <c r="AD26">
        <v>469.1</v>
      </c>
      <c r="AE26" s="3">
        <f>326+(368.9-128.7)+(0+(0-0))+0-97.1-0</f>
        <v>469.1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325.5+(471.1-249.6)+(0+(0-0))+0-118.9-0</f>
        <v>428.1</v>
      </c>
      <c r="G27" s="3">
        <f>319.3+(465.7-260.8)+(-0.814215+(-1.187535--0.66504))+0-116.9--0.298094999999983</f>
        <v>406.26138500000002</v>
      </c>
      <c r="H27" s="3">
        <f>324.3+(408-217.7)+(-0.165393+(-0.20808--0.111027))+0-109--0.0555899999999889</f>
        <v>405.39314400000006</v>
      </c>
      <c r="I27" s="3">
        <f>326.9+(359.2-168.7)+(0.166719+(0.183192-0.086037))+0-120.4-0.0614039999999878</f>
        <v>397.20247000000001</v>
      </c>
      <c r="J27" s="3">
        <f>324.6+(305.9-105.6)+(-0.165546+(-0.156009--0.053856))+0-131.4--0.0670139999999867</f>
        <v>393.29931499999998</v>
      </c>
      <c r="K27" s="3">
        <f>326.7+(259.5-75.2)+(0.166617+(0.132345-0.038352))+0-130.1-0.0663509999999868</f>
        <v>381.09425900000002</v>
      </c>
      <c r="L27" s="3">
        <f>317.2+(254.2-45.3)+(-0.80886+(-0.64821--0.115515))+0-129.4--0.329969999999981</f>
        <v>395.68841499999996</v>
      </c>
      <c r="M27" s="3">
        <f>332.1+(277.8-39.2)+(0.338742+(0.283356-0.039984))+0-133.8-0.136476000000021</f>
        <v>437.34563800000006</v>
      </c>
      <c r="N27" s="3">
        <f>347.2+(363.5-130.1)+(0+(0-0))+0-114.8-0</f>
        <v>465.8</v>
      </c>
      <c r="O27" s="3">
        <f>349.2+(436.5-193.4)+(0+(0-0))+0-120.7-0</f>
        <v>471.59999999999997</v>
      </c>
      <c r="P27" s="3">
        <f>346.3+(530.8-276.1)+(0.353226+(0.541416-0.281622))+0-114.8-0.117096000000018</f>
        <v>486.69592399999999</v>
      </c>
      <c r="Q27" s="3">
        <f>342.6+(556.2-261.2)+(-0.349452+(-0.567324--0.266424))+0-126.6--0.12913200000002</f>
        <v>510.47878000000014</v>
      </c>
      <c r="R27" s="3">
        <f>337.6+(600.3-301.4)+(-0.172176+(-0.306153--0.153714))+0-124.5--0.0634949999999874</f>
        <v>511.73887999999999</v>
      </c>
      <c r="S27" s="3">
        <f>335.1+(655.1-351.2)+(0+(0-0))+0-136.2-0</f>
        <v>502.8</v>
      </c>
      <c r="T27" s="3">
        <f>334+(643.8-379.8)+(-0.17034+(-0.328338--0.193698))+0-117.1--0.0597209999999881</f>
        <v>480.65474099999994</v>
      </c>
      <c r="U27" s="3">
        <f>330+(609.6-371)+(-0.5049+(-0.932688--0.56763))+0-102.4--0.156672000000006</f>
        <v>465.48671400000006</v>
      </c>
      <c r="V27" s="3">
        <f>324.2+(577.4-293.9)+(-0.165342+(-0.294474--0.149889))+0-130--0.0662999999999868</f>
        <v>477.45637300000004</v>
      </c>
      <c r="W27" s="3">
        <f>325.2+(539.9-261.8)+(-0.663408+(-1.101396--0.534072))+0-120.1--0.245003999999995</f>
        <v>482.21427199999994</v>
      </c>
      <c r="X27" s="3">
        <f>327.7+(511.3-244.4)+(-0.835635+(-1.303815--0.62322))+0-108.4--0.276419999999984</f>
        <v>484.96018999999995</v>
      </c>
      <c r="Y27" s="3">
        <f>331.1+(582.2-275.2)+(-0.168861+(-0.296922--0.140352))+0-116.3--0.0593129999999882</f>
        <v>521.53388200000018</v>
      </c>
      <c r="Z27" s="3">
        <f>329.4+(594-269.8)+(-0.671976+(-1.21176--0.550392))+0-118.9--0.242555999999995</f>
        <v>533.60921199999996</v>
      </c>
      <c r="AA27" s="3">
        <f>331.9+(598.3-306.1)+(-0.507807+(-0.915399--0.468333))+0-117--0.179010000000007</f>
        <v>506.32413699999989</v>
      </c>
      <c r="AB27" s="3">
        <f>328.3+(622.3-338)+(-0.837165+(-1.586865--0.8619))+0-121.9--0.310844999999982</f>
        <v>489.44871499999988</v>
      </c>
      <c r="AC27" s="3">
        <f>328.6+(622.7-346.7)+(-0.670344+(-1.270308--0.707268))+0-132.1--0.269483999999994</f>
        <v>471.53610000000009</v>
      </c>
      <c r="AD27">
        <v>544.20000000000005</v>
      </c>
      <c r="AE27" s="3">
        <f>325+(602.1-260.2)+(0+(0-0))+0-122.7-0</f>
        <v>544.20000000000005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331.4+(601.1-348.9)+(-0.507042+(-0.919683--0.533817))+0-132--0.201960000000008</f>
        <v>450.90905199999997</v>
      </c>
      <c r="G28" s="3">
        <f>331.5+(524.8-284)+(-0.33813+(-0.535296--0.28968))+0-128.7--0.131274000000021</f>
        <v>443.14752799999997</v>
      </c>
      <c r="H28" s="3">
        <f>330+(419.6-191.5)+(-0.6732+(-0.855984--0.39066))+0-121.4--0.247655999999995</f>
        <v>435.80913200000009</v>
      </c>
      <c r="I28" s="3">
        <f>331.6+(379.4-149.2)+(-0.338232+(-0.386988--0.152184))+0-132.2--0.134844000000021</f>
        <v>429.16180800000001</v>
      </c>
      <c r="J28" s="3">
        <f>329.8+(318.3-98.9)+(-0.672792+(-0.649332--0.201756))+0-144--0.293759999999994</f>
        <v>404.37339200000008</v>
      </c>
      <c r="K28" s="3">
        <f>337.8+(295.2-98.1)+(0+(0-0))+0-127.7-0</f>
        <v>407.2</v>
      </c>
      <c r="L28" s="3">
        <f>339.7+(246.6-43.9)+(-1.212729+(-0.880362--0.156723))+0-127.9--0.456603000000002</f>
        <v>413.02023500000001</v>
      </c>
      <c r="M28" s="3">
        <f>347.7+(260.5-18.9)+(0+(0-0))+0-143.8-0</f>
        <v>445.49999999999994</v>
      </c>
      <c r="N28" s="3">
        <f>347.9+(248.1-4.8)+(0.354858+(0.253062-0.004896))+0-115.8-0.118116000000018</f>
        <v>475.88490799999988</v>
      </c>
      <c r="O28" s="3">
        <f>344.1+(292.1-0)+(-0.350982+(-0.297942-0))+0-147.2--0.150144000000023</f>
        <v>488.5012200000001</v>
      </c>
      <c r="P28" s="3">
        <f>342.7+(304.4-28.6)+(0.174777+(0.155244-0.014586))+0-117.7-0.0600269999999881</f>
        <v>501.055408</v>
      </c>
      <c r="Q28" s="3">
        <f>339.1+(389.5-76.1)+(0+(0-0))+0-143-0</f>
        <v>509.5</v>
      </c>
      <c r="R28" s="3">
        <f>334.2+(464.1-136.9)+(-0.85221+(-1.183455--0.349095))+0-138.5--0.35317499999998</f>
        <v>521.5666050000001</v>
      </c>
      <c r="S28" s="3">
        <f>324.8+(527.9-203.1)+(-0.662592+(-1.076916--0.414324))+0-135.7--0.276827999999994</f>
        <v>512.85164399999985</v>
      </c>
      <c r="T28" s="3">
        <f>326+(579.6-262.3)+(0.33252+(0.591192-0.267546))+0-149.7-0.152694000000024</f>
        <v>494.10347199999995</v>
      </c>
      <c r="U28" s="3">
        <f>322+(565.8-263.8)+(-0.65688+(-1.154232--0.538152))+0-132.6--0.270503999999994</f>
        <v>490.39754399999998</v>
      </c>
      <c r="V28" s="3">
        <f>320.8+(481-191.2)+(-0.654432+(-0.98124--0.390048))+0-119.4--0.243575999999995</f>
        <v>490.19795200000004</v>
      </c>
      <c r="W28" s="3">
        <f>317.9+(410.9-130.5)+(-0.972774+(-1.257354--0.39933))+0-115.2--0.352512000000013</f>
        <v>481.621714</v>
      </c>
      <c r="X28" s="3">
        <f>320.8+(447.3-163.5)+(-0.654432+(-0.912492--0.33354))+0-116.5--0.237659999999995</f>
        <v>487.10427600000003</v>
      </c>
      <c r="Y28" s="3">
        <f>327.5+(528.9-202.3)+(0.167025+(0.269739-0.103173))+0-120.8-0.0616079999999877</f>
        <v>533.57198299999993</v>
      </c>
      <c r="Z28" s="3">
        <f>332.4+(512.9-155.9)+(-0.84762+(-1.307895--0.397545))+0-133--0.339149999999981</f>
        <v>554.98117999999999</v>
      </c>
      <c r="AA28" s="3">
        <f>334.5+(527.6-204.2)+(-0.852975+(-1.34538--0.52071))+0-124.4--0.317219999999982</f>
        <v>532.13957500000015</v>
      </c>
      <c r="AB28" s="3">
        <f>333.7+(587.2-275.8)+(-1.191309+(-2.096304--0.984606))+0-133.7--0.477309000000002</f>
        <v>509.57430200000005</v>
      </c>
      <c r="AC28" s="3">
        <f>334.7+(599.5-294.7)+(-0.853485+(-1.528725--0.751485))+0-144.8--0.369239999999979</f>
        <v>493.438515</v>
      </c>
      <c r="AD28">
        <v>558.4</v>
      </c>
      <c r="AE28" s="3">
        <f>330+(496-150.5)+(0+(0-0))+0-117.1-0</f>
        <v>558.4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337.8+(553.9-291.5)+(-0.516834+(-0.847467--0.445995))+0-128.4--0.196452000000007</f>
        <v>471.07814600000006</v>
      </c>
      <c r="G29" s="3">
        <f>339.7+(523.6-263.1)+(-1.212729+(-1.869252--0.939267))+0-141.4--0.504798000000002</f>
        <v>457.16208400000011</v>
      </c>
      <c r="H29" s="3">
        <f>342.2+(488.4-242.3)+(-0.523566+(-0.747252--0.370719))+0-141.6--0.216648000000008</f>
        <v>446.016549</v>
      </c>
      <c r="I29" s="3">
        <f>344.6+(452.2-204.1)+(0+(0-0))+0-149.1-0</f>
        <v>443.6</v>
      </c>
      <c r="J29" s="3">
        <f>341+(412.9-180.3)+(-0.69564+(-0.842316--0.367812))+0-139.2--0.283967999999994</f>
        <v>433.51382399999989</v>
      </c>
      <c r="K29" s="3">
        <f>342.4+(377.2-145.1)+(-0.349248+(-0.384744--0.148002))+0-137.4--0.140148000000022</f>
        <v>436.654158</v>
      </c>
      <c r="L29" s="3">
        <f>340.5+(335.5-103.7)+(-0.69462+(-0.68442--0.211548))+0-127.8--0.260711999999994</f>
        <v>443.59321999999992</v>
      </c>
      <c r="M29" s="3">
        <f>350.3+(333.5-63.2)+(0.178653+(0.170085-0.032232))+0-138.9-0.0708389999999859</f>
        <v>481.94566700000007</v>
      </c>
      <c r="N29" s="3">
        <f>340.5+(351.2-60.7)+(0.173655+(0.179112-0.030957))+0-128.6-0.0655859999999869</f>
        <v>502.65622400000001</v>
      </c>
      <c r="O29" s="3">
        <f>323.2+(381.6-65)+(-0.494496+(-0.583848--0.09945))+0-128--0.195840000000007</f>
        <v>511.01694600000002</v>
      </c>
      <c r="P29" s="3">
        <f>318.2+(443.6-133)+(-0.649128+(-0.904944--0.27132))+0-112.4--0.229295999999995</f>
        <v>515.34654399999999</v>
      </c>
      <c r="Q29" s="3">
        <f>322.7+(534.4-203.5)+(-0.164577+(-0.272544--0.103785))+0-127.4--0.0649739999999871</f>
        <v>525.93163799999991</v>
      </c>
      <c r="R29" s="3">
        <f>322.5+(600.4-264)+(0.164475+(0.306204-0.13464))+0-110-0.0560999999999888</f>
        <v>549.17993899999999</v>
      </c>
      <c r="S29" s="3">
        <f>322.6+(648.4-318.7)+(-0.164526+(-0.330684--0.162537))+0-136.2--0.0694619999999862</f>
        <v>515.83678899999995</v>
      </c>
      <c r="T29" s="3">
        <f>321.3+(624.1-332.8)+(-0.327726+(-0.636582--0.339456))+0-130.6--0.133212000000021</f>
        <v>481.50835999999998</v>
      </c>
      <c r="U29" s="3">
        <f>318.8+(582.2-288.6)+(-0.487764+(-0.890766--0.441558))+0-129.6--0.198288000000007</f>
        <v>482.06131600000009</v>
      </c>
      <c r="V29" s="3">
        <f>318.7+(533.2-231.5)+(-0.650148+(-1.087728--0.47226))+0-129.1--0.263363999999994</f>
        <v>490.29774800000001</v>
      </c>
      <c r="W29" s="3">
        <f>318.5+(521.5-198.5)+(-0.32487+(-0.53193--0.20247))+0-144.2--0.147084000000023</f>
        <v>496.79275400000006</v>
      </c>
      <c r="X29" s="3">
        <f>317.5+(459.6-149.5)+(-0.809625+(-1.17198--0.381225))+0-125.6--0.320279999999982</f>
        <v>500.7199</v>
      </c>
      <c r="Y29" s="3">
        <f>321+(573.5-209.7)+(-0.32742+(-0.58497--0.213894))+0-148.5--0.151470000000024</f>
        <v>535.75297399999999</v>
      </c>
      <c r="Z29" s="3">
        <f>322.6+(582.6-216.1)+(-0.329052+(-0.594252--0.220422))+0-141.1--0.143922000000023</f>
        <v>547.44103999999993</v>
      </c>
      <c r="AA29" s="3">
        <f>320.9+(584.7-248.8)+(-0.490977+(-0.894591--0.380664))+0-129.1--0.197523000000007</f>
        <v>526.89261899999997</v>
      </c>
      <c r="AB29" s="3">
        <f>325.8+(624.5-297.8)+(-0.83079+(-1.592475--0.75939))+0-139.1--0.35470499999998</f>
        <v>512.09082999999998</v>
      </c>
      <c r="AC29" s="3">
        <f>331.7+(610-329.6)+(-0.338334+(-0.6222--0.336192))+0-117.7--0.120054000000019</f>
        <v>493.895712</v>
      </c>
      <c r="AD29">
        <v>553.4</v>
      </c>
      <c r="AE29" s="3">
        <f>328+(568.4-209.4)+(0+(0-0))+0-133.6-0</f>
        <v>553.4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329+(605.3-324)+(-0.83895+(-1.543515--0.8262))+0-132.3--0.337364999999981</f>
        <v>476.78109999999987</v>
      </c>
      <c r="G30" s="3">
        <f>332.5+(572.6-319.2)+(-0.33915+(-0.584052--0.325584))+0-114.9--0.117198000000018</f>
        <v>470.51958000000013</v>
      </c>
      <c r="H30" s="3">
        <f>332.5+(510.7-258.6)+(-0.33915+(-0.520914--0.263772))+0-131.4--0.134028000000021</f>
        <v>452.73773599999998</v>
      </c>
      <c r="I30" s="3">
        <f>331.4+(410.8-160.5)+(-0.676056+(-0.838032--0.32742))+0-135.5--0.276419999999994</f>
        <v>445.28975199999996</v>
      </c>
      <c r="J30" s="3">
        <f>328.8+(427.2-167.9)+(-0.83844+(-1.08936--0.428145))+0-150.1--0.382754999999978</f>
        <v>436.8830999999999</v>
      </c>
      <c r="K30" s="3">
        <f>335.6+(367.8-140.2)+(-0.171156+(-0.187578--0.071502))+0-124.4--0.0634439999999874</f>
        <v>438.57621200000006</v>
      </c>
      <c r="L30" s="3">
        <f>337.7+(292.1-67.4)+(0+(0-0))+0-125.7-0</f>
        <v>436.7</v>
      </c>
      <c r="M30" s="3">
        <f>338.6+(305.6-49.6)+(0+(0-0))+0-130-0</f>
        <v>464.6</v>
      </c>
      <c r="N30" s="3">
        <f>328.5+(377.9-79.9)+(-0.502605+(-0.578187--0.122247))+0-125.7--0.192321000000007</f>
        <v>500.03377600000005</v>
      </c>
      <c r="O30" s="3">
        <f>305.1+(442.1-105.1)+(-0.311202+(-0.450942--0.107202))+0-142.2--0.145044000000023</f>
        <v>499.39010200000007</v>
      </c>
      <c r="P30" s="3">
        <f>311.4+(462.2-145.9)+(-0.158814+(-0.235722--0.074409))+0-116.7--0.0595169999999882</f>
        <v>510.73938999999996</v>
      </c>
      <c r="Q30" s="3">
        <f>323.3+(434.3-116.8)+(-0.494649+(-0.664479--0.178704))+0-120.5--0.184365000000007</f>
        <v>519.50394099999994</v>
      </c>
      <c r="R30" s="3">
        <f>324.5+(475.1-165.8)+(0.165495+(0.242301-0.084558))+0-110.6-0.0564059999999888</f>
        <v>523.46683199999984</v>
      </c>
      <c r="S30" s="3">
        <f>323+(612-303.1)+(-0.82365+(-1.5606--0.772905))+0-120.9--0.308294999999982</f>
        <v>509.69694999999996</v>
      </c>
      <c r="T30" s="3">
        <f>321.1+(584.9-286.9)+(-0.163761+(-0.298299--0.146319))+0-130.3--0.0664529999999868</f>
        <v>488.55071199999998</v>
      </c>
      <c r="U30" s="3">
        <f>319.8+(551.7-269.6)+(0+(0-0))+0-122.6-0</f>
        <v>479.30000000000007</v>
      </c>
      <c r="V30" s="3">
        <f>319.7+(455.5-182.6)+(-0.652188+(-0.92922--0.372504))+0-103.1--0.210323999999995</f>
        <v>488.50141999999994</v>
      </c>
      <c r="W30" s="3">
        <f>318.6+(380.9-80.7)+(0+(0-0))+0-123.7-0</f>
        <v>495.09999999999997</v>
      </c>
      <c r="X30" s="3">
        <f>319.1+(335.9-27.9)+(-0.813705+(-0.856545--0.071145))+0-133.2--0.339659999999981</f>
        <v>492.64055500000001</v>
      </c>
      <c r="Y30" s="3">
        <f>316.6+(412.1-71.7)+(-0.161466+(-0.210171--0.036567))+0-130.8--0.0667079999999867</f>
        <v>525.93163799999991</v>
      </c>
      <c r="Z30" s="3">
        <f>312.7+(443.8-80.4)+(-0.318954+(-0.452676--0.082008))+0-127.8--0.13035600000002</f>
        <v>547.74073399999997</v>
      </c>
      <c r="AA30" s="3">
        <f>321.1+(463.6-126.6)+(-0.327522+(-0.472872--0.129132))+0-131.2--0.133824000000021</f>
        <v>526.36256200000003</v>
      </c>
      <c r="AB30" s="3">
        <f>315.1+(496.6-176.6)+(-0.803505+(-1.26633--0.45033))+0-130.3--0.332264999999981</f>
        <v>503.51276000000001</v>
      </c>
      <c r="AC30" s="3">
        <f>320.4+(487.6-199.4)+(0+(0-0))+0-122.7-0</f>
        <v>485.90000000000003</v>
      </c>
      <c r="AD30">
        <v>523.1</v>
      </c>
      <c r="AE30" s="3">
        <f>304+(454-85.3)+(0+(0-0))+0-149.6-0</f>
        <v>523.1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319.1+(488.1-190.7)+(-0.162741+(-0.248931--0.097257))+0-134.9--0.0687989999999863</f>
        <v>481.35438399999998</v>
      </c>
      <c r="G31" s="3">
        <f>316.4+(415.1-149.8)+(-0.80682+(-1.058505--0.38199))+0-118.2--0.301409999999983</f>
        <v>462.31807500000002</v>
      </c>
      <c r="H31" s="3">
        <f>319.8+(374.5-121)+(-0.163098+(-0.190995--0.06171))+0-120.2--0.0613019999999878</f>
        <v>452.86891900000001</v>
      </c>
      <c r="I31" s="3">
        <f>320.3+(324.9-65.3)+(-0.163353+(-0.165699--0.033303))+0-132.1--0.0673709999999866</f>
        <v>447.57162199999993</v>
      </c>
      <c r="J31" s="3">
        <f>320.4+(322.4-48.1)+(-0.326808+(-0.328848--0.049062))+0-144.1--0.146982000000023</f>
        <v>450.14038799999997</v>
      </c>
      <c r="K31" s="3">
        <f>323.1+(282.2-27.6)+(0+(0-0))+0-133.9-0</f>
        <v>443.80000000000007</v>
      </c>
      <c r="L31" s="3">
        <f>316.7+(287-26.7)+(-0.807585+(-0.73185--0.068085))+0-131.7--0.335834999999981</f>
        <v>444.16448499999996</v>
      </c>
      <c r="M31" s="3">
        <f>325.4+(316.4-42.6)+(-0.331908+(-0.322728--0.043452))+0-121.3--0.123726000000019</f>
        <v>477.41254199999997</v>
      </c>
      <c r="N31" s="3">
        <f>333.4+(338.9-40.9)+(0.340068+(0.345678-0.041718))+0-137.4-0.140148000000022</f>
        <v>494.50388000000004</v>
      </c>
      <c r="O31" s="3">
        <f>323.2+(364.1-40.2)+(-0.329664+(-0.371382--0.041004))+0-138.6--0.141372000000022</f>
        <v>507.98133000000007</v>
      </c>
      <c r="P31" s="3">
        <f>317.5+(374.5-42.4)+(-0.161925+(-0.190995--0.021624))+0-133.9--0.0682889999999864</f>
        <v>515.43699300000003</v>
      </c>
      <c r="Q31" s="3">
        <f>307+(396-39.5)+(-0.15657+(-0.20196--0.020145))+0-141.2--0.0720119999999857</f>
        <v>522.03362699999991</v>
      </c>
      <c r="R31" s="3">
        <f>304.6+(383.6-37.4)+(-0.466038+(-0.586908--0.057222))+0-121.5--0.185895000000007</f>
        <v>528.49017100000003</v>
      </c>
      <c r="S31" s="3">
        <f>307.1+(444.8-113.1)+(0+(0-0))+0-130.4-0</f>
        <v>508.40000000000009</v>
      </c>
      <c r="T31" s="3">
        <f>288.2+(495.6-184.9)+(0+(0-0))+0-108.3-0</f>
        <v>490.60000000000008</v>
      </c>
      <c r="U31" s="3">
        <f>292.9+(498-162.3)+(-0.298758+(-0.50796--0.165546))+0-140.4--0.143208000000022</f>
        <v>487.70203599999996</v>
      </c>
      <c r="V31" s="3">
        <f>316.3+(401.9-98.7)+(0+(0-0))+0-123.6-0</f>
        <v>495.9</v>
      </c>
      <c r="W31" s="3">
        <f>307.8+(402.6-72.1)+(-0.941868+(-1.231956--0.220626))+0-135.4--0.414324000000016</f>
        <v>501.36112599999996</v>
      </c>
      <c r="X31" s="3">
        <f>308+(367.4-43.5)+(-1.25664+(-1.498992--0.17748))+0-124--0.505919999999989</f>
        <v>505.82776799999994</v>
      </c>
      <c r="Y31" s="3">
        <f>315+(394.3-46.1)+(-0.6426+(-0.804372--0.094044))+0-128.8--0.262751999999994</f>
        <v>533.30982400000005</v>
      </c>
      <c r="Z31" s="3">
        <f>305+(413.8-40.2)+(-1.08885+(-1.477266--0.143514))+0-135.8--0.484806000000002</f>
        <v>540.86220400000013</v>
      </c>
      <c r="AA31" s="3">
        <f>312+(461.6-113.6)+(-0.31824+(-0.470832--0.115872))+0-137--0.139740000000022</f>
        <v>522.46654000000012</v>
      </c>
      <c r="AB31" s="3">
        <f>310+(444.7-126.1)+(-0.7905+(-1.133985--0.321555))+0-126.5--0.322574999999982</f>
        <v>500.81964499999998</v>
      </c>
      <c r="AC31" s="3">
        <f>320+(427.6-136.9)+(0+(0-0))+0-141.1-0</f>
        <v>469.6</v>
      </c>
      <c r="AD31">
        <v>532.09999999999991</v>
      </c>
      <c r="AE31" s="3">
        <f>301+(406.3-31.4)+(0+(0-0))+0-143.8-0</f>
        <v>532.10000000000014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321.3+(407.4-152.8)+(0+(0-0))+0-110.5-0</f>
        <v>465.4</v>
      </c>
      <c r="G32" s="3">
        <f>327.1+(343.4-100.2)+(0.333642+(0.350268-0.102204))+0-118.1-0.120462000000019</f>
        <v>452.66124399999995</v>
      </c>
      <c r="H32" s="3">
        <f>322.9+(324.5-62.8)+(-0.329358+(-0.33099--0.064056))+0-141.5--0.144330000000023</f>
        <v>442.64803799999999</v>
      </c>
      <c r="I32" s="3">
        <f>328+(298.8-71.3)+(-0.66912+(-0.609552--0.145452))+0-127.7--0.260507999999994</f>
        <v>426.92728799999998</v>
      </c>
      <c r="J32" s="3">
        <f>335.4+(273.7-44.5)+(0.513162+(0.418761-0.068085))+0-137-0.209610000000008</f>
        <v>428.2542279999999</v>
      </c>
      <c r="K32" s="3">
        <f>333.2+(282-53.7)+(0.169932+(0.14382-0.027387))+0-135.2-0.0689519999999863</f>
        <v>426.51741300000009</v>
      </c>
      <c r="L32" s="3">
        <f>333.5+(326.6-98.1)+(-0.34017+(-0.333132--0.100062))+0-131.7--0.134334000000021</f>
        <v>429.86109399999998</v>
      </c>
      <c r="M32" s="3">
        <f>339.6+(340.3-81.8)+(0.346392+(0.347106-0.083436))+0-140.6-0.143412000000022</f>
        <v>457.96664999999996</v>
      </c>
      <c r="N32" s="3">
        <f>337.3+(289.1-48.9)+(0.172023+(0.147441-0.024939))+0-114-0.0581399999999884</f>
        <v>463.73638500000004</v>
      </c>
      <c r="O32" s="3">
        <f>336.1+(290-56.1)+(0.342822+(0.2958-0.057222))+0-94.3-0.096186000000015</f>
        <v>476.18521400000003</v>
      </c>
      <c r="P32" s="3">
        <f>332.9+(313.2-54.3)+(0+(0-0))+0-120.9-0</f>
        <v>470.9</v>
      </c>
      <c r="Q32" s="3">
        <f>330.2+(320.8-48.5)+(0.673608+(0.654432-0.09894))+0-112.9-0.230315999999995</f>
        <v>490.59878400000002</v>
      </c>
      <c r="R32" s="3">
        <f>327+(344.5-70.3)+(0+(0-0))+0-112.2-0</f>
        <v>489.00000000000006</v>
      </c>
      <c r="S32" s="3">
        <f>325.2+(469.3-180.8)+(-0.331704+(-0.478686--0.184416))+0-122.6--0.12505200000002</f>
        <v>490.59907800000002</v>
      </c>
      <c r="T32" s="3">
        <f>320.8+(551.2-264.8)+(0.490824+(0.843336-0.405144))+0-138.7-0.212211000000008</f>
        <v>469.21680500000008</v>
      </c>
      <c r="U32" s="3">
        <f>308.1+(528.5-242.6)+(-0.785655+(-1.347675--0.61863))+0-130.8--0.333539999999981</f>
        <v>462.01884000000001</v>
      </c>
      <c r="V32" s="3">
        <f>312.4+(466.5-209.4)+(0+(0-0))+0-109.1-0</f>
        <v>460.4</v>
      </c>
      <c r="W32" s="3">
        <f>303.2+(405.4-122.9)+(-1.082424+(-1.447278--0.438753))+0-115.1--0.410907000000002</f>
        <v>468.91995800000001</v>
      </c>
      <c r="X32" s="3">
        <f>307.9+(322.4-51.8)+(-0.628116+(-0.657696--0.105672))+0-113.5--0.231539999999995</f>
        <v>464.05139999999994</v>
      </c>
      <c r="Y32" s="3">
        <f>315.7+(390.8-80.7)+(-0.322014+(-0.398616--0.082314))+0-129.4--0.131988000000021</f>
        <v>495.89367199999998</v>
      </c>
      <c r="Z32" s="3">
        <f>320.6+(440.6-119.1)+(-0.81753+(-1.12353--0.303705))+0-131.8--0.336089999999981</f>
        <v>508.99873500000001</v>
      </c>
      <c r="AA32" s="3">
        <f>313.8+(478.8-163.7)+(-1.120266+(-1.709316--0.584409))+0-135.6--0.484092000000002</f>
        <v>491.53891900000002</v>
      </c>
      <c r="AB32" s="3">
        <f>323.1+(487.7-205.9)+(-0.659124+(-0.994908--0.420036))+0-125.7--0.256427999999994</f>
        <v>478.22243199999991</v>
      </c>
      <c r="AC32" s="3">
        <f>330.5+(505.4-235)+(-0.33711+(-0.515508--0.2397))+0-140--0.142800000000022</f>
        <v>460.42988199999996</v>
      </c>
      <c r="AD32">
        <v>525</v>
      </c>
      <c r="AE32" s="3">
        <f>325+(438.4-133.9)+(0+(0-0))+0-104.5-0</f>
        <v>525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331.8+(459.5-229)+(-0.84609+(-1.171725--0.58395))+0-140.2--0.35750999999998</f>
        <v>421.02364499999999</v>
      </c>
      <c r="G33" s="3">
        <f>332.6+(405.2-183.9)+(-0.84813+(-1.03326--0.468945))+0-142.1--0.362354999999979</f>
        <v>410.74990999999989</v>
      </c>
      <c r="H33" s="3">
        <f>336.4+(365.3-160)+(-0.514692+(-0.558909--0.2448))+0-138.2--0.211446000000008</f>
        <v>402.88264500000008</v>
      </c>
      <c r="I33" s="3">
        <f>340.3+(338.3-144.8)+(-0.173553+(-0.172533--0.073848))+0-133.2--0.0679319999999865</f>
        <v>400.39569399999993</v>
      </c>
      <c r="J33" s="3">
        <f>339.5+(315.5-116.8)+(-0.34629+(-0.32181--0.119136))+0-137--0.139740000000022</f>
        <v>400.79077600000011</v>
      </c>
      <c r="K33" s="3">
        <f>339.2+(293.4-100.2)+(-0.345984+(-0.299268--0.102204))+0-130.2--0.132804000000021</f>
        <v>401.78975600000001</v>
      </c>
      <c r="L33" s="3">
        <f>336.7+(242-48.6)+(-0.858585+(-0.6171--0.12393))+0-130--0.331499999999981</f>
        <v>399.079745</v>
      </c>
      <c r="M33" s="3">
        <f>339.5+(252.1-55.7)+(0+(0-0))+0-132.6-0</f>
        <v>403.29999999999995</v>
      </c>
      <c r="N33" s="3">
        <f>336.6+(282.7-70.3)+(-0.514998+(-0.432531--0.107559))+0-131.3--0.200889000000008</f>
        <v>417.06091900000001</v>
      </c>
      <c r="O33" s="3">
        <f>332.8+(326.7-111.4)+(-0.169728+(-0.166617--0.056814))+0-125.4--0.0639539999999873</f>
        <v>422.48442299999999</v>
      </c>
      <c r="P33" s="3">
        <f>328.9+(366.7-131.8)+(-0.335478+(-0.374034--0.134436))+0-131.4--0.134028000000021</f>
        <v>431.95895200000001</v>
      </c>
      <c r="Q33" s="3">
        <f>327.6+(429.4-178.4)+(0+(0-0))+0-140.6-0</f>
        <v>438</v>
      </c>
      <c r="R33" s="3">
        <f>321.9+(444.3-219)+(-0.164169+(-0.226593--0.11169))+0-125.5--0.0640049999999873</f>
        <v>421.48493300000001</v>
      </c>
      <c r="S33" s="3">
        <f>319.8+(515.7-278.1)+(-0.652392+(-1.052028--0.567324))+0-141.1--0.287843999999994</f>
        <v>415.45074800000003</v>
      </c>
      <c r="T33" s="3">
        <f>318.5+(566.2-335.1)+(-0.162435+(-0.288762--0.170901))+0-119.9--0.0611489999999878</f>
        <v>429.48085300000002</v>
      </c>
      <c r="U33" s="3">
        <f>315.3+(593.7-348.9)+(-0.482409+(-0.908361--0.533817))+0-143.8--0.220014000000008</f>
        <v>415.66306100000014</v>
      </c>
      <c r="V33" s="3">
        <f>312.2+(541.1-301.1)+(-0.79611+(-1.379805--0.767805))+0-133.6--0.340679999999981</f>
        <v>417.53257000000002</v>
      </c>
      <c r="W33" s="3">
        <f>312.1+(405.8-167.6)+(-0.477513+(-0.620874--0.256428))+0-137.7--0.210681000000008</f>
        <v>411.96872200000013</v>
      </c>
      <c r="X33" s="3">
        <f>314.2+(330.6-81.8)+(-0.640968+(-0.674424--0.166872))+0-124.9--0.254795999999995</f>
        <v>437.20627600000006</v>
      </c>
      <c r="Y33" s="3">
        <f>316.1+(376.7-113.2)+(0+(0-0))+0-111.5-0</f>
        <v>468.1</v>
      </c>
      <c r="Z33" s="3">
        <f>310.2+(515.3-207.1)+(-0.632808+(-1.051212--0.422484))+0-131--0.267239999999994</f>
        <v>486.4057039999999</v>
      </c>
      <c r="AA33" s="3">
        <f>312.9+(569.3-260.4)+(0+(0-0))+0-136.1-0</f>
        <v>485.69999999999993</v>
      </c>
      <c r="AB33" s="3">
        <f>313.1+(601-297.2)+(-0.159681+(-0.30651--0.151572))+0-150.7--0.0768569999999847</f>
        <v>465.96223800000007</v>
      </c>
      <c r="AC33" s="3">
        <f>309.5+(577.5-306.3)+(-0.789225+(-1.472625--0.781065))+0-130.9--0.333794999999981</f>
        <v>448.65301000000011</v>
      </c>
      <c r="AD33">
        <v>464.09999999999997</v>
      </c>
      <c r="AE33" s="3">
        <f>309+(508.5-214.6)+(0+(0-0))+0-138.8-0</f>
        <v>464.09999999999997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314.8+(532.6-276.4)+(-0.160548+(-0.271626--0.140964))+0-132--0.0673199999999866</f>
        <v>438.77611000000002</v>
      </c>
      <c r="G34" s="3">
        <f>311.6+(458-206.4)+(-0.476748+(-0.70074--0.315792))+0-135.2--0.206856000000008</f>
        <v>427.34516000000002</v>
      </c>
      <c r="H34" s="3">
        <f>316.2+(388.1-156.4)+(-0.161262+(-0.197931--0.079764))+0-128.1--0.065330999999987</f>
        <v>419.58590199999992</v>
      </c>
      <c r="I34" s="3">
        <f>319.4+(354.1-112.4)+(-0.325788+(-0.361182--0.114648))+0-142.6--0.145452000000023</f>
        <v>418.07313000000005</v>
      </c>
      <c r="J34" s="3">
        <f>320.1+(326.4-108.1)+(-0.489753+(-0.499392--0.165393))+0-120.5--0.184365000000007</f>
        <v>417.26061299999998</v>
      </c>
      <c r="K34" s="3">
        <f>324.8+(294.8-72.9)+(-0.165648+(-0.150348--0.037179))+0-124.1--0.0632909999999874</f>
        <v>422.38447400000001</v>
      </c>
      <c r="L34" s="3">
        <f>322.2+(281.5-47.4)+(-0.492966+(-0.430695--0.072522))+0-123.5--0.188955000000007</f>
        <v>432.13781599999999</v>
      </c>
      <c r="M34" s="3">
        <f>328+(314.5-41.2)+(0.50184+(0.481185-0.063036))+0-127.4-0.194922000000007</f>
        <v>474.62506699999994</v>
      </c>
      <c r="N34" s="3">
        <f>325.6+(347-46.6)+(0.166056+(0.17697-0.023766))+0-124.1-0.0632909999999874</f>
        <v>502.15596899999997</v>
      </c>
      <c r="O34" s="3">
        <f>322.7+(369.3-61.1)+(0+(0-0))+0-114.3-0</f>
        <v>516.6</v>
      </c>
      <c r="P34" s="3">
        <f>320.9+(390.9-70.6)+(-0.163659+(-0.199359--0.036006))+0-112--0.0571199999999886</f>
        <v>528.9301079999999</v>
      </c>
      <c r="Q34" s="3">
        <f>320.6+(432.9-92.6)+(0.163506+(0.220779-0.047226))+0-118.4-0.060383999999988</f>
        <v>542.77667499999995</v>
      </c>
      <c r="R34" s="3">
        <f>318.3+(494-138.8)+(-0.162333+(-0.25194--0.070788))+0-133.8--0.0682379999999864</f>
        <v>539.4247529999999</v>
      </c>
      <c r="S34" s="3">
        <f>316.2+(609.1-255.9)+(0+(0-0))+0-140.3-0</f>
        <v>529.10000000000014</v>
      </c>
      <c r="T34" s="3">
        <f>316.5+(672-328.9)+(0+(0-0))+0-145.5-0</f>
        <v>514.1</v>
      </c>
      <c r="U34" s="3">
        <f>314.1+(592.2-280.7)+(-0.640764+(-1.208088--0.572628))+0-114.4--0.233375999999995</f>
        <v>510.15715200000022</v>
      </c>
      <c r="V34" s="3">
        <f>313.9+(487.4-162.5)+(-0.640356+(-0.994296--0.3315))+0-126.8--0.258671999999994</f>
        <v>510.95551999999998</v>
      </c>
      <c r="W34" s="3">
        <f>313.9+(447.7-94.9)+(-0.640356+(-0.913308--0.193596))+0-143.5--0.292739999999994</f>
        <v>522.13267199999996</v>
      </c>
      <c r="X34" s="3">
        <f>313.4+(370.6-38.2)+(-0.479502+(-0.567018--0.058446))+0-131.4--0.201042000000008</f>
        <v>513.61296800000002</v>
      </c>
      <c r="Y34" s="3">
        <f>318.1+(397.8-51.7)+(0+(0-0))+0-112.9-0</f>
        <v>551.30000000000007</v>
      </c>
      <c r="Z34" s="3">
        <f>316.8+(468.3-109.6)+(-0.80784+(-1.194165--0.27948))+0-119.6--0.304979999999983</f>
        <v>554.48245499999996</v>
      </c>
      <c r="AA34" s="3">
        <f>317.2+(520.3-171.7)+(-0.80886+(-1.326765--0.437835))+0-127.4--0.324869999999982</f>
        <v>537.02707999999996</v>
      </c>
      <c r="AB34" s="3">
        <f>322.9+(514.4-211.7)+(-0.329358+(-0.524688--0.215934))+0-109--0.111180000000017</f>
        <v>516.07306799999992</v>
      </c>
      <c r="AC34" s="3">
        <f>322.6+(541.3-255.4)+(-0.329052+(-0.552126--0.260508))+0-115.1--0.117402000000018</f>
        <v>492.89673199999999</v>
      </c>
      <c r="AD34">
        <v>554.80000000000007</v>
      </c>
      <c r="AE34" s="3">
        <f>318+(480-126.3)+(0+(0-0))+0-116.9-0</f>
        <v>554.80000000000007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319.3+(517.4-243.1)+(-0.325686+(-0.527748--0.247962))+0-105.4--0.107508000000017</f>
        <v>487.70203599999996</v>
      </c>
      <c r="G35" s="3">
        <f>318.9+(428.2-159.5)+(-0.325278+(-0.436764--0.16269))+0-112--0.114240000000018</f>
        <v>475.11488799999995</v>
      </c>
      <c r="H35" s="3">
        <f>318.9+(358.8-105.5)+(-0.325278+(-0.365976--0.10761))+0-107.1--0.109242000000017</f>
        <v>464.62559799999997</v>
      </c>
      <c r="I35" s="3">
        <f>322.3+(309.5-82.3)+(-0.493119+(-0.473535--0.125919))+0-96--0.146880000000006</f>
        <v>452.80614500000001</v>
      </c>
      <c r="J35" s="3">
        <f>320.5+(306.5-72.2)+(-0.817275+(-0.781575--0.18411))+0-96.9--0.247094999999986</f>
        <v>456.73235499999993</v>
      </c>
      <c r="K35" s="3">
        <f>321.6+(309-74.7)+(-0.82008+(-0.78795--0.190485))+0-101.7--0.259334999999985</f>
        <v>453.04179000000005</v>
      </c>
      <c r="L35" s="3">
        <f>320.3+(285.6-36.3)+(-0.980118+(-0.873936--0.111078))+0-112.2--0.343332000000013</f>
        <v>456.00035600000007</v>
      </c>
      <c r="M35" s="3">
        <f>325.6+(323.5-47.9)+(0+(0-0))+0-110.3-0</f>
        <v>490.90000000000003</v>
      </c>
      <c r="N35" s="3">
        <f>324.3+(351-42.7)+(0+(0-0))+0-119.3-0</f>
        <v>513.30000000000007</v>
      </c>
      <c r="O35" s="3">
        <f>327.9+(399.6-47.7)+(0+(0-0))+0-117.5-0</f>
        <v>562.29999999999995</v>
      </c>
      <c r="P35" s="3">
        <f>312.1+(382.6-44)+(0+(0-0))+0-120.5-0</f>
        <v>530.20000000000005</v>
      </c>
      <c r="Q35" s="3">
        <f>315.7+(408.4-62.6)+(-0.483021+(-0.624852--0.095778))+0-105.7--0.161721000000006</f>
        <v>554.94962599999997</v>
      </c>
      <c r="R35" s="3">
        <f>311.8+(484.2-129)+(-0.79509+(-1.23471--0.32895))+0-111.6--0.284579999999984</f>
        <v>553.98373000000004</v>
      </c>
      <c r="S35" s="3">
        <f>311.9+(522.1-175.1)+(0.159069+(0.266271-0.089301))+0-119.9-0.0611489999999878</f>
        <v>539.27489000000003</v>
      </c>
      <c r="T35" s="3">
        <f>309+(510.9-186.9)+(-0.47277+(-0.781677--0.285957))+0-107--0.163710000000006</f>
        <v>525.19522000000006</v>
      </c>
      <c r="U35" s="3">
        <f>305.4+(504.3-184.8)+(-0.623016+(-1.028772--0.376992))+0-107.7--0.219707999999995</f>
        <v>516.14491199999986</v>
      </c>
      <c r="V35" s="3">
        <f>303.6+(504.8-180)+(-0.77418+(-1.28724--0.459))+0-116--0.295799999999983</f>
        <v>511.09338000000002</v>
      </c>
      <c r="W35" s="3">
        <f>303+(400.8-79.7)+(-0.61812+(-0.817632--0.162588))+0-98.4--0.200735999999996</f>
        <v>524.6275720000001</v>
      </c>
      <c r="X35" s="3">
        <f>296.2+(367.4-36.4)+(-0.604248+(-0.749496--0.074256))+0-102.9--0.209915999999996</f>
        <v>523.23042800000007</v>
      </c>
      <c r="Y35" s="3">
        <f>299.3+(396.9-40.6)+(-0.610572+(-0.809676--0.082824))+0-101.9--0.207875999999996</f>
        <v>552.57045199999982</v>
      </c>
      <c r="Z35" s="3">
        <f>303+(439.9-81)+(-0.46359+(-0.673047--0.12393))+0-102.6--0.156978000000006</f>
        <v>558.44427099999996</v>
      </c>
      <c r="AA35" s="3">
        <f>308.6+(439.7-107.4)+(-0.78693+(-1.121235--0.27387))+0-100.6--0.256529999999985</f>
        <v>538.922235</v>
      </c>
      <c r="AB35" s="3">
        <f>312.1+(415.7-98)+(-1.114197+(-1.484049--0.34986))+0-106.8--0.381276000000002</f>
        <v>521.13288999999997</v>
      </c>
      <c r="AC35" s="3">
        <f>318.2+(407.5-111.9)+(-0.324564+(-0.41565--0.114138))+0-113--0.115260000000018</f>
        <v>500.28918399999998</v>
      </c>
      <c r="AD35">
        <v>569.09999999999991</v>
      </c>
      <c r="AE35" s="3">
        <f>300+(453.3-82.6)+(0+(0-0))+0-101.6-0</f>
        <v>569.1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320.8+(380.6-88.4)+(-0.163608+(-0.194106--0.045084))+0-115.1--0.0587009999999883</f>
        <v>497.64607099999995</v>
      </c>
      <c r="G36" s="3">
        <f>320.5+(352-65.9)+(-0.490365+(-0.53856--0.100827))+0-118.3--0.180999000000007</f>
        <v>487.55290100000002</v>
      </c>
      <c r="H36" s="3">
        <f>326+(305.8-45.1)+(-0.66504+(-0.623832--0.092004))+0-105.9--0.216035999999995</f>
        <v>479.81916800000005</v>
      </c>
      <c r="I36" s="3">
        <f>332.6+(298.9-55.1)+(0.508878+(0.457317-0.084303))+0-103.5-0.158355000000006</f>
        <v>473.62353699999994</v>
      </c>
      <c r="J36" s="3">
        <f>329+(331.9-79.1)+(-0.33558+(-0.338538--0.080682))+0-105.9--0.108018000000017</f>
        <v>475.414582</v>
      </c>
      <c r="K36" s="3">
        <f>327.3+(361.2-113.2)+(-0.500769+(-0.552636--0.173196))+0-114.4--0.175032000000007</f>
        <v>460.19482299999993</v>
      </c>
      <c r="L36" s="3">
        <f>327.8+(467.3-219.3)+(-0.501534+(-0.714969--0.335529))+0-113.3--0.173349000000007</f>
        <v>461.79237499999994</v>
      </c>
      <c r="M36" s="3">
        <f>330.6+(497.9-226.2)+(-0.168606+(-0.253929--0.115362))+0-98.9--0.05043899999999</f>
        <v>503.14326599999993</v>
      </c>
      <c r="N36" s="3">
        <f>330.6+(449.6-141.7)+(-0.168606+(-0.229296--0.072267))+0-106.6--0.0543659999999892</f>
        <v>531.6287309999999</v>
      </c>
      <c r="O36" s="3">
        <f>326.2+(432.1-112.2)+(-0.332724+(-0.440742--0.114444))+0-102.8--0.104856000000016</f>
        <v>542.74583400000006</v>
      </c>
      <c r="P36" s="3">
        <f>325.5+(417.3-83.7)+(-0.33201+(-0.425646--0.085374))+0-112.7--0.114954000000018</f>
        <v>545.84267199999999</v>
      </c>
      <c r="Q36" s="3">
        <f>322+(410.6-52.4)+(-0.49266+(-0.628218--0.080172))+0-119.8--0.183294000000007</f>
        <v>559.54258800000014</v>
      </c>
      <c r="R36" s="3">
        <f>318.2+(396.4-42)+(-0.81141+(-1.01082--0.1071))+0-110.6--0.282029999999984</f>
        <v>560.56689999999981</v>
      </c>
      <c r="S36" s="3">
        <f>318.2+(448.4-107.2)+(-0.324564+(-0.457368--0.109344))+0-104.8--0.106896000000017</f>
        <v>554.03430800000001</v>
      </c>
      <c r="T36" s="3">
        <f>315.9+(500.7-165.7)+(-0.322218+(-0.510714--0.169014))+0-122.6--0.12505200000002</f>
        <v>527.76113399999997</v>
      </c>
      <c r="U36" s="3">
        <f>313.7+(493-177.7)+(-0.639948+(-1.00572--0.362508))+0-110.7--0.225827999999995</f>
        <v>517.24266799999998</v>
      </c>
      <c r="V36" s="3">
        <f>314.7+(528.1-201.7)+(-0.481491+(-0.807993--0.308601))+0-118.3--0.180999000000007</f>
        <v>522.00011600000016</v>
      </c>
      <c r="W36" s="3">
        <f>313.8+(429-98)+(-0.320076+(-0.43758--0.09996))+0-107.9--0.110058000000017</f>
        <v>536.35236199999997</v>
      </c>
      <c r="X36" s="3">
        <f>313.3+(374.2-48.2)+(-0.639132+(-0.763368--0.098328))+0-103.5--0.211139999999995</f>
        <v>534.70696799999996</v>
      </c>
      <c r="Y36" s="3">
        <f>228.7+(466.5-35.7)+(-0.233274+(-0.47583--0.036414))+0-107.2--0.109344000000017</f>
        <v>551.73665399999993</v>
      </c>
      <c r="Z36" s="3">
        <f>159.4+(567.3-71.2)+(-0.162588+(-0.578646--0.072624))+0-107.6--0.109752000000017</f>
        <v>547.3411420000001</v>
      </c>
      <c r="AA36" s="3">
        <f>234.6+(523.5-113.7)+(-0.59823+(-1.334925--0.289935))+0-114.3--0.291464999999983</f>
        <v>528.748245</v>
      </c>
      <c r="AB36" s="3">
        <f>328.1+(450.3-154.5)+(-0.501993+(-0.688959--0.236385))+0-107.1--0.163863000000006</f>
        <v>516.00929600000006</v>
      </c>
      <c r="AC36" s="3">
        <f>336.5+(477.2-192.4)+(-0.171615+(-0.243372--0.098124))+0-118.3--0.060332999999988</f>
        <v>502.74346999999995</v>
      </c>
      <c r="AD36">
        <v>564.29999999999995</v>
      </c>
      <c r="AE36" s="3">
        <f>162+(579.3-77.7)+(0+(0-0))+0-99.3-0</f>
        <v>564.29999999999995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338.4+(447.9-191.6)+(-0.345168+(-0.456858--0.195432))+0-106.5--0.108630000000017</f>
        <v>487.70203599999996</v>
      </c>
      <c r="G37" s="3">
        <f>337.5+(400.3-149.4)+(-0.6885+(-0.816612--0.304776))+0-109.4--0.223175999999995</f>
        <v>478.02283999999997</v>
      </c>
      <c r="H37" s="3">
        <f>341+(382-141.3)+(0+(0-0))+0-117.4-0</f>
        <v>464.30000000000007</v>
      </c>
      <c r="I37" s="3">
        <f>339.2+(353.7-111)+(-0.691968+(-0.721548--0.22644))+0-122.1--0.249083999999995</f>
        <v>458.86200799999989</v>
      </c>
      <c r="J37" s="3">
        <f>342.1+(322-94.3)+(0.174471+(0.16422-0.048093))+0-112.9-0.0575789999999885</f>
        <v>457.13301900000005</v>
      </c>
      <c r="K37" s="3">
        <f>341.9+(282.2-53.8)+(0+(0-0))+0-112.1-0</f>
        <v>458.19999999999993</v>
      </c>
      <c r="L37" s="3">
        <f>339.4+(364.9-130.6)+(-0.519282+(-0.558297--0.199818))+0-113.9--0.174267000000007</f>
        <v>459.09650599999998</v>
      </c>
      <c r="M37" s="3">
        <f>342.7+(407.9-140.1)+(0+(0-0))+0-114.3-0</f>
        <v>496.2</v>
      </c>
      <c r="N37" s="3">
        <f>339.4+(391.9-96.4)+(-0.346188+(-0.399738--0.098328))+0-109.1--0.111282000000017</f>
        <v>525.26368400000001</v>
      </c>
      <c r="O37" s="3">
        <f>339.8+(356-44.5)+(0.346596+(0.36312-0.04539))+0-115.2-0.117504000000018</f>
        <v>536.64682199999982</v>
      </c>
      <c r="P37" s="3">
        <f>337.5+(365.1-44.3)+(-0.34425+(-0.372402--0.045186))+0-114.4--0.116688000000018</f>
        <v>543.34522200000004</v>
      </c>
      <c r="Q37" s="3">
        <f>337.1+(383.1-41.6)+(-0.171921+(-0.195381--0.021216))+0-124--0.0632399999999874</f>
        <v>554.31715399999996</v>
      </c>
      <c r="R37" s="3">
        <f>332.8+(439.3-97.6)+(-0.169728+(-0.224043--0.049776))+0-116.9--0.0596189999999881</f>
        <v>557.31562400000007</v>
      </c>
      <c r="S37" s="3">
        <f>329.7+(523.1-183.3)+(-0.168147+(-0.266781--0.093483))+0-126.2--0.0643619999999872</f>
        <v>543.02291699999989</v>
      </c>
      <c r="T37" s="3">
        <f>329.4+(549.8-237.9)+(0.335988+(0.560796-0.242658))+0-130.5-0.133110000000021</f>
        <v>511.32101599999993</v>
      </c>
      <c r="U37" s="3">
        <f>328.7+(508.7-201.9)+(0.335274+(0.518874-0.205938))+0-128.1-0.13066200000002</f>
        <v>507.9175479999999</v>
      </c>
      <c r="V37" s="3">
        <f>322.3+(439.2-122.1)+(-0.657492+(-0.895968--0.249084))+0-128.9--0.262955999999994</f>
        <v>509.45858000000004</v>
      </c>
      <c r="W37" s="3">
        <f>327.1+(378.7-56.1)+(-0.500463+(-0.579411--0.085833))+0-136.5--0.208845000000008</f>
        <v>512.414804</v>
      </c>
      <c r="X37" s="3">
        <f>328.8+(327.1-33.6)+(-0.83844+(-0.834105--0.08568))+0-107--0.272849999999984</f>
        <v>513.98598499999991</v>
      </c>
      <c r="Y37" s="3">
        <f>334+(347.5-30.9)+(-0.17034+(-0.177225--0.015759))+0-111.6--0.0569159999999887</f>
        <v>538.72510999999997</v>
      </c>
      <c r="Z37" s="3">
        <f>335.8+(401.5-71.8)+(-0.171258+(-0.204765--0.036618))+0-109.1--0.0556409999999889</f>
        <v>556.11623599999996</v>
      </c>
      <c r="AA37" s="3">
        <f>334.7+(415.3-90.2)+(-0.853485+(-1.059015--0.23001))+0-127.7--0.325634999999981</f>
        <v>530.74314499999991</v>
      </c>
      <c r="AB37" s="3">
        <f>337+(418.6-134)+(-0.34374+(-0.426972--0.13668))+0-127.7--0.13025400000002</f>
        <v>493.39622200000002</v>
      </c>
      <c r="AC37" s="3">
        <f>339+(425.5-164.8)+(-0.69156+(-0.86802--0.336192))+0-130.3--0.265811999999994</f>
        <v>468.44242400000002</v>
      </c>
      <c r="AD37">
        <v>555.9</v>
      </c>
      <c r="AE37" s="3">
        <f>339+(399.9-80.7)+(0+(0-0))+0-102.3-0</f>
        <v>555.90000000000009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339.5+(388.2-136.3)+(-0.34629+(-0.395964--0.139026))+0-132.1--0.134742000000021</f>
        <v>458.83151400000003</v>
      </c>
      <c r="G38" s="3">
        <f>339.5+(352.6-96.2)+(-0.865725+(-0.89913--0.24531))+0-138.1--0.35215499999998</f>
        <v>456.63261000000006</v>
      </c>
      <c r="H38" s="3">
        <f>342.2+(318.2-81.5)+(-0.523566+(-0.486846--0.124695))+0-123.1--0.188343000000007</f>
        <v>455.10262599999999</v>
      </c>
      <c r="I38" s="3">
        <f>340.9+(311.8-63)+(-0.347718+(-0.318036--0.06426))+0-138.2--0.140964000000022</f>
        <v>451.03947000000005</v>
      </c>
      <c r="J38" s="3">
        <f>342.8+(292.3-56.9)+(-0.174828+(-0.149073--0.029019))+0-128.9--0.0657389999999869</f>
        <v>449.07085700000005</v>
      </c>
      <c r="K38" s="3">
        <f>341.9+(338.9-105.8)+(-0.348738+(-0.345678--0.107916))+0-130.2--0.132804000000021</f>
        <v>444.34630400000003</v>
      </c>
      <c r="L38" s="3">
        <f>339.4+(451.7-241.8)+(-0.86547+(-1.151835--0.61659))+0-101.5--0.258824999999985</f>
        <v>446.65810999999997</v>
      </c>
      <c r="M38" s="3">
        <f>343+(460.3-191.9)+(-0.17493+(-0.234753--0.097869))+0-127.3--0.0649229999999871</f>
        <v>483.8531089999999</v>
      </c>
      <c r="N38" s="3">
        <f>342.3+(440.2-149.3)+(-0.523719+(-0.673506--0.228429))+0-114.9--0.175797000000007</f>
        <v>517.50700100000006</v>
      </c>
      <c r="O38" s="3">
        <f>341.4+(453-161.4)+(-0.174114+(-0.23103--0.082314))+0-107.6--0.0548759999999891</f>
        <v>525.13204600000006</v>
      </c>
      <c r="P38" s="3">
        <f>336.7+(396.5-90.6)+(-0.171717+(-0.202215--0.046206))+0-117.2--0.0597719999999881</f>
        <v>525.13204599999983</v>
      </c>
      <c r="Q38" s="3">
        <f>330.5+(385-53.6)+(-0.842775+(-0.98175--0.13668))+0-143.3--0.365414999999979</f>
        <v>517.27756999999997</v>
      </c>
      <c r="R38" s="3">
        <f>330.2+(432.6-110.5)+(-0.336804+(-0.441252--0.11271))+0-132.3--0.134946000000021</f>
        <v>519.46960000000001</v>
      </c>
      <c r="S38" s="3">
        <f>327.4+(516.7-180.1)+(-0.166974+(-0.263517--0.091851))+0-146.4--0.0746639999999851</f>
        <v>517.33602399999995</v>
      </c>
      <c r="T38" s="3">
        <f>325.1+(479.9-160.7)+(-0.165801+(-0.244749--0.081957))+0-134.6--0.0686459999999863</f>
        <v>509.44005299999998</v>
      </c>
      <c r="U38" s="3">
        <f>322.6+(436-148.1)+(-0.82263+(-1.1118--0.377655))+0-115.1--0.293504999999983</f>
        <v>494.13672999999994</v>
      </c>
      <c r="V38" s="3">
        <f>323.1+(425-106.7)+(-0.164781+(-0.21675--0.054417))+0-147.5--0.075224999999985</f>
        <v>493.64811100000003</v>
      </c>
      <c r="W38" s="3">
        <f>323.2+(364.8-44.4)+(-0.82416+(-0.93024--0.11322))+0-133.7--0.340934999999981</f>
        <v>508.59975500000007</v>
      </c>
      <c r="X38" s="3">
        <f>322.5+(372.1-42)+(-0.493425+(-0.569313--0.06426))+0-146.1--0.223533000000008</f>
        <v>505.72505500000005</v>
      </c>
      <c r="Y38" s="3">
        <f>320.4+(375-34.5)+(-0.653616+(-0.765--0.07038))+0-133.9--0.273155999999994</f>
        <v>525.92491999999993</v>
      </c>
      <c r="Z38" s="3">
        <f>324.9+(424.3-83.6)+(-0.331398+(-0.432786--0.085272))+0-121.5--0.123930000000019</f>
        <v>543.54501800000003</v>
      </c>
      <c r="AA38" s="3">
        <f>322.5+(436.9-106.9)+(-0.6579+(-0.891276--0.218076))+0-123.2--0.251327999999995</f>
        <v>528.22022799999991</v>
      </c>
      <c r="AB38" s="3">
        <f>319.6+(447.7-148.4)+(-0.81498+(-1.141635--0.37842))+0-114.3--0.291464999999983</f>
        <v>503.31326999999987</v>
      </c>
      <c r="AC38" s="3">
        <f>282.3+(461.5-150.4)+(-0.431919+(-0.706095--0.230112))+0-105.6--0.161568000000006</f>
        <v>487.05366600000002</v>
      </c>
      <c r="AD38">
        <v>551.9</v>
      </c>
      <c r="AE38" s="3">
        <f>328+(442.4-99.3)+(0+(0-0))+0-119.2-0</f>
        <v>551.89999999999986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180.2+(536.8-129.2)+(-0.367608+(-1.095072--0.263568))+0-109.9--0.224195999999995</f>
        <v>476.92508399999997</v>
      </c>
      <c r="G39" s="3">
        <f>151.8+(539.3-101.4)+(-0.541926+(-1.925301--0.361998))+0-126--0.449820000000002</f>
        <v>462.04459100000003</v>
      </c>
      <c r="H39" s="3">
        <f>151.8+(510.7-72)+(-0.619344+(-2.083656--0.29376))+0-142.3--0.580583999999988</f>
        <v>446.37134400000002</v>
      </c>
      <c r="I39" s="3">
        <f>157.3+(461.9-34.9)+(0.080223+(0.235569-0.017799))+0-141-0.0719099999999857</f>
        <v>443.52608299999997</v>
      </c>
      <c r="J39" s="3">
        <f>153.8+(423.7-16.6)+(-0.313752+(-0.864348--0.033864))+0-131.2--0.267647999999994</f>
        <v>428.82341200000002</v>
      </c>
      <c r="K39" s="3">
        <f>155.1+(426.1-21.6)+(-0.158202+(-0.434622--0.022032))+0-134.1--0.136782000000021</f>
        <v>425.06599000000006</v>
      </c>
      <c r="L39" s="3">
        <f>161.1+(459.9-62.2)+(-0.164322+(-0.469098--0.063444))+0-133.7--0.136374000000021</f>
        <v>424.66639800000002</v>
      </c>
      <c r="M39" s="3">
        <f>204.1+(446.1-26.5)+(-0.104091+(-0.227511--0.013515))+0-136.5--0.0696149999999861</f>
        <v>486.95152800000005</v>
      </c>
      <c r="N39" s="3">
        <f>193.5+(508.4-46.5)+(-0.19737+(-0.518568--0.04743))+0-139.1--0.141882000000022</f>
        <v>515.77337399999999</v>
      </c>
      <c r="O39" s="3">
        <f>170.1+(502.1-33.4)+(-0.086751+(-0.256071--0.017034))+0-122.7--0.0625769999999876</f>
        <v>515.83678900000007</v>
      </c>
      <c r="P39" s="3">
        <f>158.8+(534-25.1)+(-0.242964+(-0.81702--0.038403))+0-148.4--0.227052000000009</f>
        <v>518.50547100000006</v>
      </c>
      <c r="Q39" s="3">
        <f>159.6+(502.2-20.7)+(0+(0-0))+0-112-0</f>
        <v>529.1</v>
      </c>
      <c r="R39" s="3">
        <f>155.9+(570.7-44.8)+(-0.477054+(-1.746342--0.137088))+0-147--0.449820000000017</f>
        <v>533.16351200000008</v>
      </c>
      <c r="S39" s="3">
        <f>159.4+(584.9-83.1)+(0.081294+(0.298299-0.042381))+0-141.8-0.0723179999999856</f>
        <v>519.664894</v>
      </c>
      <c r="T39" s="3">
        <f>157.2+(584.3-130.7)+(0+(0-0))+0-114.5-0</f>
        <v>496.29999999999995</v>
      </c>
      <c r="U39" s="3">
        <f>153.9+(569.9-112.2)+(-0.235467+(-0.871947--0.171666))+0-123.1--0.188343000000007</f>
        <v>487.75259500000004</v>
      </c>
      <c r="V39" s="3">
        <f>153.9+(538.7-82.4)+(-0.235467+(-0.824211--0.126072))+0-122--0.186660000000007</f>
        <v>487.45305400000001</v>
      </c>
      <c r="W39" s="3">
        <f>153.4+(482.2-28.9)+(-0.234702+(-0.737766--0.044217))+0-120.9--0.184977000000007</f>
        <v>485.05672600000003</v>
      </c>
      <c r="X39" s="3">
        <f>154.6+(476.4-20.4)+(-0.473076+(-1.457784--0.062424))+0-130--0.397800000000015</f>
        <v>479.12936400000007</v>
      </c>
      <c r="Y39" s="3">
        <f>156.4+(497.1-15.4)+(-0.319056+(-1.014084--0.031416))+0-127.4--0.259895999999994</f>
        <v>509.65817199999998</v>
      </c>
      <c r="Z39" s="3">
        <f>161.4+(485.3-22.4)+(-0.329256+(-0.990012--0.045696))+0-106.5--0.217259999999995</f>
        <v>516.74368800000013</v>
      </c>
      <c r="AA39" s="3">
        <f>162+(469-26)+(-0.24786+(-0.71757--0.03978))+0-112.2--0.171666000000006</f>
        <v>492.04601600000001</v>
      </c>
      <c r="AB39" s="3">
        <f>156.2+(449.9-46.7)+(-0.318648+(-0.917796--0.095268))+0-85.7--0.174827999999996</f>
        <v>472.73365200000001</v>
      </c>
      <c r="AC39" s="3">
        <f>159.4+(436.4-52.3)+(-0.243882+(-0.667692--0.080019))+0-84.9--0.129897000000005</f>
        <v>457.89834200000007</v>
      </c>
      <c r="AD39">
        <v>497.10000000000008</v>
      </c>
      <c r="AE39" s="3">
        <f>165+(450.7-26.9)+(0+(0-0))+0-91.7-0</f>
        <v>497.09999999999997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185.5+(413-43)+(-0.18921+(-0.42126--0.04386))+0-87.2--0.0889440000000139</f>
        <v>467.82233400000007</v>
      </c>
      <c r="G40" s="3">
        <f>166.2+(460.4-61.4)+(-0.42381+(-1.17402--0.15657))+0-112.4--0.286619999999984</f>
        <v>451.64535999999998</v>
      </c>
      <c r="H40" s="3">
        <f>166+(462-42.4)+(-0.25398+(-0.70686--0.064872))+0-142.5--0.218025000000008</f>
        <v>442.422057</v>
      </c>
      <c r="I40" s="3">
        <f>166.6+(412.7-17.2)+(-0.084966+(-0.210477--0.008772))+0-125.5--0.0640049999999873</f>
        <v>436.37733400000008</v>
      </c>
      <c r="J40" s="3">
        <f>165.7+(426.3-14)+(-0.507042+(-1.304478--0.04284))+0-146.3--0.447678000000017</f>
        <v>430.37899799999997</v>
      </c>
      <c r="K40" s="3">
        <f>165.8+(407.2-17.1)+(-0.338232+(-0.830688--0.034884))+0-132.7--0.270707999999994</f>
        <v>422.33667199999996</v>
      </c>
      <c r="L40" s="3">
        <f>166.3+(409-39.4)+(-0.254439+(-0.62577--0.060282))+0-137.6--0.210528000000008</f>
        <v>397.69060100000007</v>
      </c>
      <c r="M40" s="3">
        <f>166.3+(378.3-13.9)+(-0.084813+(-0.192933--0.007089))+0-125.1--0.0638009999999873</f>
        <v>405.39314400000001</v>
      </c>
      <c r="N40" s="3">
        <f>165.1+(402.7-11.4)+(-0.168402+(-0.410754--0.011628))+0-147--0.149940000000023</f>
        <v>408.98241199999995</v>
      </c>
      <c r="O40" s="3">
        <f>162.3+(429-20)+(0+(0-0))+0-139.7-0</f>
        <v>431.59999999999997</v>
      </c>
      <c r="P40" s="3">
        <f>161+(437.5-8.9)+(-0.24633+(-0.669375--0.013617))+0-145.8--0.223074000000008</f>
        <v>443.12098599999996</v>
      </c>
      <c r="Q40" s="3">
        <f>160.7+(463.4-20.5)+(-0.245871+(-0.709002--0.031365))+0-150.2--0.229806000000009</f>
        <v>452.70629799999995</v>
      </c>
      <c r="R40" s="3">
        <f>161.5+(500.9-76.6)+(-0.16473+(-0.510918--0.078132))+0-145.3--0.148206000000023</f>
        <v>440.05068999999992</v>
      </c>
      <c r="S40" s="3">
        <f>159.6+(532.4-121.2)+(-0.325584+(-1.086096--0.247248))+0-140.3--0.286211999999994</f>
        <v>429.62177999999989</v>
      </c>
      <c r="T40" s="3">
        <f>159.1+(604.5-215.3)+(-0.162282+(-0.61659--0.219606))+0-121.2--0.123624000000019</f>
        <v>426.66435799999999</v>
      </c>
      <c r="U40" s="3">
        <f>157.5+(596.2-213.7)+(-0.240975+(-0.912186--0.326961))+0-119.9--0.183447000000007</f>
        <v>419.45724700000005</v>
      </c>
      <c r="V40" s="3">
        <f>157+(559.4-169.4)+(-0.16014+(-0.570588--0.172788))+0-121.9--0.124338000000019</f>
        <v>424.66639800000002</v>
      </c>
      <c r="W40" s="3">
        <f>156.3+(489.6-84)+(-0.398565+(-1.24848--0.2142))+0-133--0.339149999999981</f>
        <v>427.80630500000001</v>
      </c>
      <c r="X40" s="3">
        <f>159.2+(428.8-30)+(-0.324768+(-0.874752--0.0612))+0-122.1--0.249083999999995</f>
        <v>435.01076399999994</v>
      </c>
      <c r="Y40" s="3">
        <f>182.1+(460.7-36)+(-0.278613+(-0.704871--0.05508))+0-146.8--0.224604000000008</f>
        <v>459.29619999999994</v>
      </c>
      <c r="Z40" s="3">
        <f>273.8+(441.2-90.2)+(-0.558552+(-0.900048--0.184008))+0-137--0.279479999999994</f>
        <v>486.80488799999995</v>
      </c>
      <c r="AA40" s="3">
        <f>321.6+(421.2-122.6)+(-0.328032+(-0.429624--0.125052))+0-141.8--0.144636000000023</f>
        <v>477.91203200000007</v>
      </c>
      <c r="AB40" s="3">
        <f>350.9+(439.2-162.5)+(-0.536877+(-0.671976--0.248625))+0-141.7--0.216801000000008</f>
        <v>485.15657299999992</v>
      </c>
      <c r="AC40" s="3">
        <f>368+(431-191.7)+(-0.18768+(-0.21981--0.097767))+0-134.6--0.0686459999999863</f>
        <v>472.45892299999997</v>
      </c>
      <c r="AD40">
        <v>499.7</v>
      </c>
      <c r="AE40" s="3">
        <f>294+(410.2-95.2)+(0+(0-0))+0-109.3-0</f>
        <v>499.7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366.6+(431.7-218)+(-0.373932+(-0.440334--0.22236))+0-131.6--0.134232000000021</f>
        <v>448.24232599999993</v>
      </c>
      <c r="G41" s="3">
        <f>364.6+(402.5-203.9)+(-0.743784+(-0.8211--0.415956))+0-128.4--0.261935999999994</f>
        <v>433.9130080000001</v>
      </c>
      <c r="H41" s="3">
        <f>363.2+(358.4-160.6)+(-0.555696+(-0.548352--0.245718))+0-139.7--0.213741000000008</f>
        <v>420.65541100000002</v>
      </c>
      <c r="I41" s="3">
        <f>372+(319.7-131.9)+(-0.18972+(-0.163047--0.067269))+0-136.3--0.0695129999999862</f>
        <v>423.28401499999995</v>
      </c>
      <c r="J41" s="3">
        <f>369.3+(308.9-109.2)+(-1.318401+(-1.102773--0.389844))+0-142.8--0.509796000000002</f>
        <v>424.67846599999996</v>
      </c>
      <c r="K41" s="3">
        <f>374.6+(294.3-99)+(-1.146276+(-0.900558--0.30294))+0-147--0.449820000000017</f>
        <v>421.60592600000018</v>
      </c>
      <c r="L41" s="3">
        <f>380.3+(297.3-107.3)+(-0.775812+(-0.606492--0.218892))+0-141.1--0.287843999999994</f>
        <v>428.32443199999994</v>
      </c>
      <c r="M41" s="3">
        <f>385+(298.6-88.4)+(-0.19635+(-0.152286--0.045084))+0-127.6--0.065075999999987</f>
        <v>467.36152400000003</v>
      </c>
      <c r="N41" s="3">
        <f>380.9+(328.5-65.7)+(-0.388518+(-0.33507--0.067014))+0-147.9--0.150858000000024</f>
        <v>495.29428400000012</v>
      </c>
      <c r="O41" s="3">
        <f>378.1+(330.4-58.2)+(-0.578493+(-0.505512--0.089046))+0-122.5--0.187425000000007</f>
        <v>526.99246599999992</v>
      </c>
      <c r="P41" s="3">
        <f>365.5+(352.7-76.7)+(-0.186405+(-0.179877--0.039117))+0-120.2--0.0613019999999878</f>
        <v>521.03413699999987</v>
      </c>
      <c r="Q41" s="3">
        <f>380.6+(402.2-100.3)+(0+(0-0))+0-137.2-0</f>
        <v>545.29999999999995</v>
      </c>
      <c r="R41" s="3">
        <f>387.6+(457.2-146.9)+(-0.197676+(-0.233172--0.074919))+0-140.6--0.0717059999999857</f>
        <v>557.01577699999996</v>
      </c>
      <c r="S41" s="3">
        <f>371.5+(522.7-242.4)+(-0.189465+(-0.266577--0.123624))+0-122.7--0.0625769999999876</f>
        <v>528.83015900000009</v>
      </c>
      <c r="T41" s="3">
        <f>358+(621.7-325.2)+(-0.54774+(-0.951201--0.497556))+0-142.6--0.218178000000008</f>
        <v>511.11679299999997</v>
      </c>
      <c r="U41" s="3">
        <f>355.4+(606.2-311.5)+(-0.543762+(-0.927486--0.476595))+0-135.8--0.207774000000008</f>
        <v>513.51312099999996</v>
      </c>
      <c r="V41" s="3">
        <f>350.6+(520.9-246)+(-0.357612+(-0.531318--0.25092))+0-116.8--0.119136000000019</f>
        <v>508.18112600000001</v>
      </c>
      <c r="W41" s="3">
        <f>353.7+(417.4-124.4)+(-0.541161+(-0.638622--0.190332))+0-133--0.203490000000008</f>
        <v>512.914039</v>
      </c>
      <c r="X41" s="3">
        <f>364.8+(340-73.5)+(-0.744192+(-0.6936--0.14994))+0-123.2--0.251327999999995</f>
        <v>507.06347599999992</v>
      </c>
      <c r="Y41" s="3">
        <f>397.5+(346.2-62.6)+(-0.202725+(-0.176562--0.031926))+0-132.9--0.0677789999999865</f>
        <v>547.92041799999993</v>
      </c>
      <c r="Z41" s="3">
        <f>431.4+(392.3-142.9)+(-1.320084+(-1.200438--0.437274))+0-123.3--0.377298000000014</f>
        <v>555.79404999999997</v>
      </c>
      <c r="AA41" s="3">
        <f>509.5+(345.5-181.6)+(-1.03938+(-0.70482--0.370464))+0-130.1--0.265403999999994</f>
        <v>542.19166799999994</v>
      </c>
      <c r="AB41" s="3">
        <f>462.3+(488.4-240.6)+(-1.178865+(-1.24542--0.61353))+0-136.8--0.34883999999998</f>
        <v>571.83808499999998</v>
      </c>
      <c r="AC41" s="3">
        <f>353.5+(570.3-281.4)+(-0.72114+(-1.163412--0.574056))+0-119.9--0.244595999999995</f>
        <v>521.43410000000006</v>
      </c>
      <c r="AD41">
        <v>545</v>
      </c>
      <c r="AE41" s="3">
        <f>536+(328-165)+(0+(0-0))+0-154-0</f>
        <v>545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320.1+(545.3-256.8)+(-0.489753+(-0.834309--0.392904))+0-135.1--0.206703000000008</f>
        <v>472.77554499999991</v>
      </c>
      <c r="G42" s="3">
        <f>317.8+(486.3-209.7)+(-0.972468+(-1.488078--0.641682))+0-130--0.397800000000015</f>
        <v>462.97893600000015</v>
      </c>
      <c r="H42" s="3">
        <f>321+(436.2-182.2)+(-0.65484+(-0.889848--0.371688))+0-129.9--0.264995999999994</f>
        <v>444.19199600000002</v>
      </c>
      <c r="I42" s="3">
        <f>326.3+(462.9-220.2)+(0.166413+(0.236079-0.112302))+0-131.7-0.0671669999999866</f>
        <v>437.52302300000008</v>
      </c>
      <c r="J42" s="3">
        <f>327.2+(400-160)+(0.166872+(0.204-0.0816))+0-126.3-0.0644129999999872</f>
        <v>441.12485900000001</v>
      </c>
      <c r="K42" s="3">
        <f>326.8+(308.7-69.7)+(0+(0-0))+0-126.6-0</f>
        <v>439.19999999999993</v>
      </c>
      <c r="L42" s="3">
        <f>320.9+(340.1-111.4)+(-0.818295+(-0.867255--0.28407))+0-114--0.290699999999983</f>
        <v>434.48921999999999</v>
      </c>
      <c r="M42" s="3">
        <f>324.2+(367.6-97.1)+(-0.496026+(-0.562428--0.148563))+0-126.1--0.192933000000007</f>
        <v>467.88304199999999</v>
      </c>
      <c r="N42" s="3">
        <f>334.5+(354.1-61.6)+(-0.68238+(-0.722364--0.125664))+0-120--0.244799999999995</f>
        <v>505.96571999999998</v>
      </c>
      <c r="O42" s="3">
        <f>356.8+(353.7-62.7)+(0+(0-0))+0-127.9-0</f>
        <v>519.9</v>
      </c>
      <c r="P42" s="3">
        <f>336.5+(382.9-98.8)+(-0.34323+(-0.390558--0.100776))+0-111.1--0.113322000000018</f>
        <v>508.98030999999992</v>
      </c>
      <c r="Q42" s="3">
        <f>331.6+(455.8-146.7)+(-0.507348+(-0.697374--0.224451))+0-119.6--0.182988000000007</f>
        <v>520.30271700000003</v>
      </c>
      <c r="R42" s="3">
        <f>336.8+(540.9-226.2)+(-1.030608+(-1.655154--0.692172))+0-123.1--0.376686000000014</f>
        <v>526.783096</v>
      </c>
      <c r="S42" s="3">
        <f>348+(670.9-367.6)+(-0.70992+(-1.368636--0.749904))+0-132.8--0.270911999999994</f>
        <v>517.44225999999981</v>
      </c>
      <c r="T42" s="3">
        <f>361.6+(718.2-447.5)+(-1.106496+(-2.197692--1.36935))+0-136.5--0.417690000000016</f>
        <v>494.28285200000005</v>
      </c>
      <c r="U42" s="3">
        <f>360.8+(689.3-440.2)+(-0.736032+(-1.406172--0.898008))+0-125.7--0.256427999999994</f>
        <v>483.21223199999997</v>
      </c>
      <c r="V42" s="3">
        <f>336.4+(591.2-318.9)+(-0.85782+(-1.50756--0.813195))+0-128.5--0.327674999999981</f>
        <v>478.97549000000004</v>
      </c>
      <c r="W42" s="3">
        <f>306.4+(433.2-127.6)+(-0.625056+(-0.883728--0.260304))+0-124.3--0.253571999999995</f>
        <v>486.70509200000004</v>
      </c>
      <c r="X42" s="3">
        <f>300.1+(419.5-90.6)+(-1.071357+(-1.497615--0.323442))+0-138.9--0.495873000000002</f>
        <v>488.35034300000001</v>
      </c>
      <c r="Y42" s="3">
        <f>307+(441.1-108.3)+(0+(0-0))+0-125.9-0</f>
        <v>513.9</v>
      </c>
      <c r="Z42" s="3">
        <f>305.7+(550.8-182)+(-0.779535+(-1.40454--0.4641))+0-134.9--0.34399499999998</f>
        <v>538.22402</v>
      </c>
      <c r="AA42" s="3">
        <f>309.8+(607.8-286.8)+(-0.631992+(-1.239912--0.585072))+0-112.9--0.230315999999995</f>
        <v>516.84348399999999</v>
      </c>
      <c r="AB42" s="3">
        <f>313.8+(667.9-376.9)+(-0.320076+(-0.681258--0.384438))+0-113.5--0.115770000000018</f>
        <v>490.79887399999996</v>
      </c>
      <c r="AC42" s="3">
        <f>316.1+(684.1-405.3)+(-0.322422+(-0.697782--0.413406))+0-125.5--0.12801000000002</f>
        <v>468.92121200000008</v>
      </c>
      <c r="AD42">
        <v>513.30000000000007</v>
      </c>
      <c r="AE42" s="3">
        <f>306+(552.1-209.9)+(0+(0-0))+0-134.9-0</f>
        <v>513.30000000000007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312.2+(675.6-407.4)+(-0.955332+(-2.067336--1.246644))+0-122.4--0.374544000000014</f>
        <v>456.59852000000012</v>
      </c>
      <c r="G43" s="3">
        <f>312.4+(626.9-380.6)+(-0.637296+(-1.278876--0.776424))+0-121.9--0.248675999999995</f>
        <v>435.90892799999989</v>
      </c>
      <c r="H43" s="3">
        <f>316.2+(562.2-321.7)+(-0.322524+(-0.573444--0.328134))+0-131.7--0.134334000000021</f>
        <v>424.56650000000013</v>
      </c>
      <c r="I43" s="3">
        <f>316+(484.7-253.5)+(-0.48348+(-0.741591--0.387855))+0-121.4--0.185742000000007</f>
        <v>425.14852600000006</v>
      </c>
      <c r="J43" s="3">
        <f>317.7+(386.9-146)+(-0.162027+(-0.197319--0.07446))+0-132.9--0.0677789999999865</f>
        <v>425.48289299999988</v>
      </c>
      <c r="K43" s="3">
        <f>316.3+(321-83.2)+(-0.645252+(-0.65484--0.169728))+0-139.9--0.285395999999994</f>
        <v>413.35503200000005</v>
      </c>
      <c r="L43" s="3">
        <f>313+(307.8-52.8)+(-0.95778+(-0.941868--0.161568))+0-139.4--0.426564000000016</f>
        <v>427.2884840000001</v>
      </c>
      <c r="M43" s="3">
        <f>321.3+(354.9-62.5)+(-0.327726+(-0.361998--0.06375))+0-139.8--0.142596000000022</f>
        <v>473.41662200000002</v>
      </c>
      <c r="N43" s="3">
        <f>356+(324.8-47.2)+(-0.54468+(-0.496944--0.072216))+0-125.3--0.191709000000007</f>
        <v>507.52230099999997</v>
      </c>
      <c r="O43" s="3">
        <f>357.3+(336.1-35.7)+(-0.546669+(-0.514233--0.054621))+0-140.1--0.214353000000008</f>
        <v>516.80807200000004</v>
      </c>
      <c r="P43" s="3">
        <f>351.4+(363.8-48.4)+(-0.716856+(-0.742152--0.098736))+0-134.8--0.274991999999994</f>
        <v>530.91471999999987</v>
      </c>
      <c r="Q43" s="3">
        <f>342.3+(418.5-78.6)+(-0.523719+(-0.640305--0.120258))+0-149.5--0.228735000000009</f>
        <v>531.88496900000007</v>
      </c>
      <c r="R43" s="3">
        <f>323.9+(491.3-147.4)+(-0.825945+(-1.252815--0.37587))+0-143.3--0.365414999999979</f>
        <v>523.16252499999996</v>
      </c>
      <c r="S43" s="3">
        <f>321.9+(646.4-308.2)+(-0.164169+(-0.329664--0.157182))+0-136.3--0.0695129999999862</f>
        <v>523.53286199999991</v>
      </c>
      <c r="T43" s="3">
        <f>313+(670.1-343.1)+(-0.47889+(-1.025253--0.524943))+0-134.3--0.205479000000008</f>
        <v>504.92627900000002</v>
      </c>
      <c r="U43" s="3">
        <f>311.9+(645.6-320.6)+(-0.795345+(-1.64628--0.81753))+0-128.6--0.327929999999981</f>
        <v>507.00383499999992</v>
      </c>
      <c r="V43" s="3">
        <f>311.7+(577.2-247.6)+(-0.794835+(-1.47186--0.63138))+0-133.4--0.340169999999981</f>
        <v>506.60485499999999</v>
      </c>
      <c r="W43" s="3">
        <f>312.4+(441.7-105.3)+(-0.637296+(-0.901068--0.214812))+0-131.4--0.268055999999994</f>
        <v>516.34450400000003</v>
      </c>
      <c r="X43" s="3">
        <f>311.2+(374.6-32.4)+(-0.79356+(-0.95523--0.08262))+0-140.8--0.35903999999998</f>
        <v>511.29287000000011</v>
      </c>
      <c r="Y43" s="3">
        <f>315.6+(392.4-36.6)+(0.160956+(0.200124-0.018666))+0-141.3-0.0720629999999857</f>
        <v>530.37035099999991</v>
      </c>
      <c r="Z43" s="3">
        <f>314.7+(459.4-78.8)+(-0.320994+(-0.468588--0.080376))+0-144.8--0.147696000000023</f>
        <v>549.93849</v>
      </c>
      <c r="AA43" s="3">
        <f>308.6+(488-129)+(-0.944316+(-1.49328--0.39474))+0-153.6--0.470016000000018</f>
        <v>512.42715999999996</v>
      </c>
      <c r="AB43" s="3">
        <f>309.1+(499.6-192.4)+(-1.103487+(-1.783572--0.686868))+0-124.1--0.443037000000002</f>
        <v>490.44284600000003</v>
      </c>
      <c r="AC43" s="3">
        <f>314.9+(546.7-235.4)+(-0.481797+(-0.836451--0.360162))+0-156.3--0.239139000000009</f>
        <v>469.18105300000008</v>
      </c>
      <c r="AD43">
        <v>544.29999999999995</v>
      </c>
      <c r="AE43" s="3">
        <f>310+(475.2-90.2)+(0+(0-0))+0-150.7-0</f>
        <v>544.29999999999995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318.1+(511.3-262.1)+(0+(0-0))+0-137.7-0</f>
        <v>429.59999999999997</v>
      </c>
      <c r="G44" s="3">
        <f>318.3+(431.8-206.9)+(0+(0-0))+0-142-0</f>
        <v>401.20000000000005</v>
      </c>
      <c r="H44" s="3">
        <f>329.5+(348.8-155.9)+(0+(0-0))+0-124.9-0</f>
        <v>397.5</v>
      </c>
      <c r="I44" s="3">
        <f>323.5+(346-129.3)+(0+(0-0))+0-148.1-0</f>
        <v>392.1</v>
      </c>
      <c r="J44" s="3">
        <f>327.4+(329-120.8)+(-0.500922+(-0.50337--0.184824))+0-143.8--0.220014000000008</f>
        <v>391.20054599999986</v>
      </c>
      <c r="K44" s="3">
        <f>328+(271.2-83.5)+(-0.33456+(-0.276624--0.08517))+0-129.2--0.131784000000021</f>
        <v>386.10577000000006</v>
      </c>
      <c r="L44" s="3">
        <f>332.2+(335.3-123.3)+(0.338844+(0.342006-0.125766))+0-124.8-0.12729600000002</f>
        <v>419.827788</v>
      </c>
      <c r="M44" s="3">
        <f>330.8+(375.1-115.1)+(0.337416+(0.382602-0.117402))+0-125.6-0.12811200000002</f>
        <v>465.6745039999999</v>
      </c>
      <c r="N44" s="3">
        <f>327.8+(384.1-81.4)+(-0.167178+(-0.195891--0.041514))+0-141.5--0.0721649999999856</f>
        <v>488.75060999999999</v>
      </c>
      <c r="O44" s="3">
        <f>327+(354.1-46)+(0+(0-0))+0-132.2-0</f>
        <v>502.90000000000003</v>
      </c>
      <c r="P44" s="3">
        <f>327+(359.6-42.1)+(0+(0-0))+0-142.5-0</f>
        <v>502</v>
      </c>
      <c r="Q44" s="3">
        <f>321.9+(400.9-90.8)+(-0.656676+(-0.817836--0.185232))+0-123.2--0.251327999999995</f>
        <v>507.76204800000005</v>
      </c>
      <c r="R44" s="3">
        <f>325.6+(485.8-163.4)+(-0.166056+(-0.247758--0.083334))+0-134.7--0.0686969999999863</f>
        <v>513.03821700000015</v>
      </c>
      <c r="S44" s="3">
        <f>330.4+(614.6-299.5)+(0+(0-0))+0-138.4-0</f>
        <v>507.1</v>
      </c>
      <c r="T44" s="3">
        <f>337.7+(605.2-316.5)+(-0.172227+(-0.308652--0.161415))+0-136.3--0.0695129999999862</f>
        <v>489.85004900000001</v>
      </c>
      <c r="U44" s="3">
        <f>320.1+(533.8-228.9)+(-1.142757+(-1.905666--0.817173))+0-141.2--0.504084000000002</f>
        <v>482.07283399999994</v>
      </c>
      <c r="V44" s="3">
        <f>317.1+(420.6-129.2)+(-0.970326+(-1.287036--0.395352))+0-116.8--0.357408000000013</f>
        <v>490.19539799999995</v>
      </c>
      <c r="W44" s="3">
        <f>315.4+(374.6-67.5)+(-1.125978+(-1.337322--0.240975))+0-131.1--0.468027000000002</f>
        <v>489.64570200000003</v>
      </c>
      <c r="X44" s="3">
        <f>314.8+(341.1-37.5)+(-0.80274+(-0.869805--0.095625))+0-132.1--0.336854999999981</f>
        <v>485.05993500000005</v>
      </c>
      <c r="Y44" s="3">
        <f>317.6+(355.8-29.5)+(-0.80988+(-0.90729--0.075225))+0-138.1--0.35215499999998</f>
        <v>504.51021000000009</v>
      </c>
      <c r="Z44" s="3">
        <f>319.4+(413-84.8)+(-0.651576+(-0.84252--0.172992))+0-127.8--0.260711999999994</f>
        <v>518.73960799999998</v>
      </c>
      <c r="AA44" s="3">
        <f>319.1+(389.6-87.2)+(-0.650964+(-0.794784--0.177888))+0-122.2--0.249287999999995</f>
        <v>498.28142799999995</v>
      </c>
      <c r="AB44" s="3">
        <f>324.1+(372.9-83.5)+(0.165291+(0.190179-0.042585))+0-132.5-0.0675749999999866</f>
        <v>481.24531000000007</v>
      </c>
      <c r="AC44" s="3">
        <f>320.5+(383.7-110.8)+(-0.32691+(-0.391374--0.113016))+0-138.7--0.141474000000022</f>
        <v>454.23620599999998</v>
      </c>
      <c r="AD44">
        <v>522.4</v>
      </c>
      <c r="AE44" s="3">
        <f>324+(397-98)+(0+(0-0))+0-100.6-0</f>
        <v>522.4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306.7+(394-128.8)+(0+(0-0))+0-128.8-0</f>
        <v>443.09999999999997</v>
      </c>
      <c r="G45" s="3">
        <f>304.1+(352.9-102.8)+(-0.310182+(-0.359958--0.104856))+0-128.7--0.131274000000021</f>
        <v>425.06599000000006</v>
      </c>
      <c r="H45" s="3">
        <f>308.8+(301.5-60.8)+(0+(0-0))+0-131-0</f>
        <v>418.5</v>
      </c>
      <c r="I45" s="3">
        <f>306.6+(312.9-63)+(-0.469098+(-0.478737--0.09639))+0-135.3--0.207009000000008</f>
        <v>420.555564</v>
      </c>
      <c r="J45" s="3">
        <f>311.7+(303.5-68.9)+(0.317934+(0.30957-0.070278))+0-136.1-0.138822000000022</f>
        <v>410.61840399999994</v>
      </c>
      <c r="K45" s="3">
        <f>305.5+(298.7-71.6)+(-0.62322+(-0.609348--0.146064))+0-132.1--0.269483999999994</f>
        <v>399.68297999999999</v>
      </c>
      <c r="L45" s="3">
        <f>316.9+(334.2-129.1)+(-0.161619+(-0.170442--0.065841))+0-114.1--0.0581909999999884</f>
        <v>407.69197099999997</v>
      </c>
      <c r="M45" s="3">
        <f>312.6+(388.8-127.3)+(-0.159426+(-0.198288--0.064923))+0-114.1--0.0581909999999884</f>
        <v>459.7654</v>
      </c>
      <c r="N45" s="3">
        <f>304.2+(408.6-100.8)+(-0.155142+(-0.208386--0.051408))+0-126.5--0.0645149999999872</f>
        <v>485.25239499999992</v>
      </c>
      <c r="O45" s="3">
        <f>306.5+(385.7-60.6)+(-0.31263+(-0.393414--0.061812))+0-121.3--0.123726000000019</f>
        <v>509.77949399999994</v>
      </c>
      <c r="P45" s="3">
        <f>310+(376.8-45.1)+(-0.4743+(-0.576504--0.069003))+0-121.5--0.185895000000007</f>
        <v>519.40409399999999</v>
      </c>
      <c r="Q45" s="3">
        <f>315.8+(381.7-45.3)+(0+(0-0))+0-125.7-0</f>
        <v>526.5</v>
      </c>
      <c r="R45" s="3">
        <f>309.1+(418.3-46.9)+(-0.788205+(-1.066665--0.119595))+0-136.1--0.34705499999998</f>
        <v>543.01177999999993</v>
      </c>
      <c r="S45" s="3">
        <f>311.5+(441.7-108.2)+(0+(0-0))+0-122.1-0</f>
        <v>522.9</v>
      </c>
      <c r="T45" s="3">
        <f>306.7+(512.9-186.3)+(-0.625668+(-1.046316--0.380052))+0-133.6--0.272543999999994</f>
        <v>498.68061199999994</v>
      </c>
      <c r="U45" s="3">
        <f>313.3+(535.4-223.2)+(-0.798915+(-1.36527--0.56916))+0-136--0.34679999999998</f>
        <v>488.25177500000001</v>
      </c>
      <c r="V45" s="3">
        <f>318.3+(446-140.9)+(-0.486999+(-0.68238--0.215577))+0-123.1--0.188343000000007</f>
        <v>499.5345410000001</v>
      </c>
      <c r="W45" s="3">
        <f>307.5+(382.3-50)+(-0.470475+(-0.584919--0.0765))+0-136.1--0.208233000000008</f>
        <v>502.92933899999997</v>
      </c>
      <c r="X45" s="3">
        <f>304.8+(384.8-60.3)+(-0.77724+(-0.98124--0.153765))+0-123.3--0.314414999999982</f>
        <v>504.70969999999988</v>
      </c>
      <c r="Y45" s="3">
        <f>305.5+(377.7-39.4)+(-0.467415+(-0.577881--0.060282))+0-124.6--0.190638000000007</f>
        <v>518.40562399999999</v>
      </c>
      <c r="Z45" s="3">
        <f>309.2+(399.3-38.6)+(-0.157692+(-0.203643--0.019686))+0-121.9--0.0621689999999876</f>
        <v>547.72052000000008</v>
      </c>
      <c r="AA45" s="3">
        <f>315.8+(372.6-35)+(-0.644232+(-0.760104--0.0714))+0-128.6--0.262343999999994</f>
        <v>523.72940800000003</v>
      </c>
      <c r="AB45" s="3">
        <f>319.9+(420.3-84.3)+(-0.815745+(-1.071765--0.214965))+0-144.1--0.367454999999979</f>
        <v>510.49490999999995</v>
      </c>
      <c r="AC45" s="3">
        <f>315.5+(429.9-125.7)+(-0.482715+(-0.657747--0.192321))+0-131.1--0.200583000000008</f>
        <v>487.85244200000005</v>
      </c>
      <c r="AD45">
        <v>537.69999999999993</v>
      </c>
      <c r="AE45" s="3">
        <f>313+(392.8-37.6)+(0+(0-0))+0-130.5-0</f>
        <v>537.70000000000005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313+(450.4-144.8)+(-0.63852+(-0.918816--0.295392))+0-139.7--0.284987999999994</f>
        <v>477.92304399999995</v>
      </c>
      <c r="G46" s="3">
        <f>314.2+(438.3-155.4)+(-0.160242+(-0.223533--0.079254))+0-135.2--0.0689519999999863</f>
        <v>461.66443099999987</v>
      </c>
      <c r="H46" s="3">
        <f>314+(397.9-121.3)+(-0.16014+(-0.202929--0.061863))+0-141.9--0.0723689999999856</f>
        <v>448.47116299999993</v>
      </c>
      <c r="I46" s="3">
        <f>315+(324.1-57.3)+(-0.16065+(-0.165291--0.029223))+0-136.4--0.0695639999999862</f>
        <v>445.17284599999994</v>
      </c>
      <c r="J46" s="3">
        <f>313.5+(322-54)+(-0.63954+(-0.65688--0.11016))+0-134.5--0.274379999999994</f>
        <v>446.08812000000006</v>
      </c>
      <c r="K46" s="3">
        <f>311.1+(304.1-42.7)+(-1.269288+(-1.240728--0.174216))+0-141.7--0.578135999999988</f>
        <v>429.04233600000003</v>
      </c>
      <c r="L46" s="3">
        <f>314.2+(323-85.9)+(-0.480726+(-0.49419--0.131427))+0-114.6--0.175338000000007</f>
        <v>436.03184899999997</v>
      </c>
      <c r="M46" s="3">
        <f>318.1+(353.6-63.3)+(0+(0-0))+0-131.2-0</f>
        <v>477.2000000000001</v>
      </c>
      <c r="N46" s="3">
        <f>316.7+(362-40.1)+(0+(0-0))+0-124-0</f>
        <v>514.59999999999991</v>
      </c>
      <c r="O46" s="3">
        <f>315.8+(366.7-40.5)+(0.161058+(0.187017-0.020655))+0-121-0.0617099999999877</f>
        <v>521.26571000000001</v>
      </c>
      <c r="P46" s="3">
        <f>323.6+(407.9-62)+(-0.495108+(-0.624087--0.09486))+0-135.7--0.207621000000008</f>
        <v>532.98328600000013</v>
      </c>
      <c r="Q46" s="3">
        <f>313.3+(424.6-65.4)+(-0.479349+(-0.649638--0.100062))+0-128.6--0.196758000000007</f>
        <v>543.06783300000006</v>
      </c>
      <c r="R46" s="3">
        <f>311.8+(478.5-133.6)+(-0.477054+(-0.732105--0.204408))+0-118.3--0.180999000000007</f>
        <v>537.57624800000008</v>
      </c>
      <c r="S46" s="3">
        <f>319.5+(726-425.4)+(-0.32589+(-0.74052--0.433908))+0-104.9--0.106998000000017</f>
        <v>514.67449599999998</v>
      </c>
      <c r="T46" s="3">
        <f>326.6+(825.1-529.4)+(0.166566+(0.420801-0.269994))+0-129.2-0.0658919999999869</f>
        <v>493.35148100000009</v>
      </c>
      <c r="U46" s="3">
        <f>314.1+(823.6-515.2)+(-0.480573+(-1.260108--0.788256))+0-139.9--0.214047000000008</f>
        <v>481.86162200000007</v>
      </c>
      <c r="V46" s="3">
        <f>313.9+(725.7-429.6)+(-0.640356+(-1.480428--0.876384))+0-121.4--0.247655999999995</f>
        <v>487.60325599999999</v>
      </c>
      <c r="W46" s="3">
        <f>314.6+(541-259.8)+(-0.481338+(-0.82773--0.397494))+0-110.6--0.169218000000006</f>
        <v>484.45764399999996</v>
      </c>
      <c r="X46" s="3">
        <f>315.2+(407-119.9)+(-0.643008+(-0.83028--0.244596))+0-121.8--0.248471999999995</f>
        <v>479.51977999999991</v>
      </c>
      <c r="Y46" s="3">
        <f>317.3+(424.4-118.9)+(-0.161823+(-0.216444--0.060639))+0-128.5--0.065534999999987</f>
        <v>494.04790699999995</v>
      </c>
      <c r="Z46" s="3">
        <f>314.7+(519.7-189.8)+(-0.802485+(-1.325235--0.48399))+0-126.1--0.321554999999982</f>
        <v>517.17782499999998</v>
      </c>
      <c r="AA46" s="3">
        <f>317.8+(537.2-216.9)+(-0.486234+(-0.821916--0.331857))+0-143.6--0.219708000000008</f>
        <v>493.74341500000008</v>
      </c>
      <c r="AB46" s="3">
        <f>318.4+(554.3-254.2)+(-0.487152+(-0.848079--0.388926))+0-136.5--0.208845000000008</f>
        <v>481.26253999999994</v>
      </c>
      <c r="AC46" s="3">
        <f>319.2+(575.7-312.1)+(-0.325584+(-0.587214--0.318342))+0-112.4--0.114648000000018</f>
        <v>469.92019199999999</v>
      </c>
      <c r="AD46">
        <v>502.69999999999993</v>
      </c>
      <c r="AE46" s="3">
        <f>316+(551.4-209.6)+(0+(0-0))+0-155.1-0</f>
        <v>502.69999999999993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325.5+(578.9-328.2)+(-0.498015+(-0.885717--0.502146))+0-110.7--0.169371000000006</f>
        <v>464.7877850000001</v>
      </c>
      <c r="G47" s="3">
        <f>327.2+(542.8-318)+(-0.500616+(-0.830484--0.48654))+0-107.9--0.165087000000006</f>
        <v>443.42052700000005</v>
      </c>
      <c r="H47" s="3">
        <f>328.8+(527.3-297.9)+(0+(0-0))+0-120.5-0</f>
        <v>437.70000000000005</v>
      </c>
      <c r="I47" s="3">
        <f>327+(475.3-236.7)+(-0.83385+(-1.212015--0.603585))+0-134.3--0.342464999999981</f>
        <v>430.20018500000003</v>
      </c>
      <c r="J47" s="3">
        <f>318.1+(444.8-208.9)+(0.324462+(0.453696-0.213078))+0-129.2-0.131784000000021</f>
        <v>425.23329599999994</v>
      </c>
      <c r="K47" s="3">
        <f>316+(391.6-163)+(-0.64464+(-0.798864--0.33252))+0-127.4--0.259895999999994</f>
        <v>416.34891199999998</v>
      </c>
      <c r="L47" s="3">
        <f>318.7+(313.3-107.1)+(0.162537+(0.159783-0.054621))+0-131.3-0.0669629999999867</f>
        <v>393.80073599999997</v>
      </c>
      <c r="M47" s="3">
        <f>318+(347.9-118.5)+(0+(0-0))+0-141.4-0</f>
        <v>406</v>
      </c>
      <c r="N47" s="3">
        <f>316.5+(345.1-140.4)+(-0.161415+(-0.176001--0.071604))+0-109.3--0.0557429999999889</f>
        <v>411.68993100000006</v>
      </c>
      <c r="O47" s="3">
        <f>318+(403.8-186.8)+(0+(0-0))+0-113.5-0</f>
        <v>421.5</v>
      </c>
      <c r="P47" s="3">
        <f>317.5+(430.9-212.6)+(-0.161925+(-0.219759--0.108426))+0-116--0.0591599999999882</f>
        <v>419.58590199999986</v>
      </c>
      <c r="Q47" s="3">
        <f>317.7+(556-323.2)+(0.162027+(0.28356-0.164832))+0-126.2-0.0643619999999872</f>
        <v>424.51639300000005</v>
      </c>
      <c r="R47" s="3">
        <f>314.2+(670.8-440.5)+(-0.320484+(-0.684216--0.44931))+0-119.7--0.122094000000019</f>
        <v>424.36670400000003</v>
      </c>
      <c r="S47" s="3">
        <f>312.7+(803.9-548.3)+(-0.318954+(-0.819978--0.559266))+0-138.5--0.141270000000022</f>
        <v>429.361604</v>
      </c>
      <c r="T47" s="3">
        <f>311.6+(897.5-649.7)+(-0.476748+(-1.373175--0.994041))+0-134.5--0.205785000000008</f>
        <v>424.24990300000002</v>
      </c>
      <c r="U47" s="3">
        <f>309.7+(890.2-633.6)+(-0.631788+(-1.816008--1.292544))+0-138.9--0.283355999999994</f>
        <v>426.52810399999993</v>
      </c>
      <c r="V47" s="3">
        <f>306.6+(733.4-491.3)+(-0.78183+(-1.87017--1.252815))+0-124.2--0.316709999999982</f>
        <v>423.41752500000007</v>
      </c>
      <c r="W47" s="3">
        <f>306.4+(541.8-319.2)+(-0.625056+(-1.105272--0.651168))+0-105.2--0.214607999999995</f>
        <v>422.93544800000001</v>
      </c>
      <c r="X47" s="3">
        <f>306.9+(426.6-180.7)+(-0.782595+(-1.08783--0.460785))+0-125.9--0.321044999999982</f>
        <v>425.81140499999998</v>
      </c>
      <c r="Y47" s="3">
        <f>310.6+(444.3-178.7)+(-0.633624+(-0.906372--0.364548))+0-128.3--0.261731999999994</f>
        <v>446.98628400000007</v>
      </c>
      <c r="Z47" s="3">
        <f>313.6+(489.3-181.1)+(-0.79968+(-1.247715--0.461805))+0-141--0.35954999999998</f>
        <v>479.57396</v>
      </c>
      <c r="AA47" s="3">
        <f>315.6+(505-202.6)+(-0.80478+(-1.28775--0.51663))+0-140.6--0.35852999999998</f>
        <v>476.1826299999999</v>
      </c>
      <c r="AB47" s="3">
        <f>317.4+(551.1-260.2)+(-0.323748+(-0.562122--0.265404))+0-149.3--0.152286000000024</f>
        <v>458.53181999999998</v>
      </c>
      <c r="AC47" s="3">
        <f>314.5+(591.8-314.3)+(-0.481185+(-0.905454--0.480879))+0-131.4--0.201042000000008</f>
        <v>459.89528200000007</v>
      </c>
      <c r="AD47">
        <v>490.5</v>
      </c>
      <c r="AE47" s="3">
        <f>320+(509.5-178.1)+(0+(0-0))+0-160.9-0</f>
        <v>490.5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316.9+(575.7-324.4)+(-0.646476+(-1.174428--0.661776))+0-127.8--0.260711999999994</f>
        <v>439.50158400000004</v>
      </c>
      <c r="G48" s="3">
        <f>317.2+(511.6-296)+(-0.80886+(-1.30458--0.7548))+0-109.2--0.278459999999984</f>
        <v>422.51981999999992</v>
      </c>
      <c r="H48" s="3">
        <f>317.4+(450.1-223.6)+(-0.647496+(-0.918204--0.456144))+0-128.8--0.262751999999994</f>
        <v>414.25319599999995</v>
      </c>
      <c r="I48" s="3">
        <f>318.5+(411.5-191.6)+(-0.487305+(-0.629595--0.293148))+0-128.2--0.196146000000007</f>
        <v>409.57239399999997</v>
      </c>
      <c r="J48" s="3">
        <f>314.5+(394.5-182.5)+(-0.64158+(-0.80478--0.3723))+0-116.3--0.237251999999995</f>
        <v>409.36319199999997</v>
      </c>
      <c r="K48" s="3">
        <f>288.8+(354.2-130.2)+(-0.441864+(-0.541926--0.199206))+0-120.7--0.184671000000007</f>
        <v>391.50008699999995</v>
      </c>
      <c r="L48" s="3">
        <f>284.9+(287.7-84.4)+(-0.726495+(-0.733635--0.21522))+0-111.6--0.284579999999984</f>
        <v>375.63966999999991</v>
      </c>
      <c r="M48" s="3">
        <f>262.8+(322.3-79.4)+(0.268056+(0.328746-0.080988))+0-116.8-0.119136000000019</f>
        <v>389.29667799999999</v>
      </c>
      <c r="N48" s="3">
        <f>265+(341.3-78.4)+(-0.13515+(-0.174063--0.039984))+0-118.5--0.060434999999988</f>
        <v>409.19120599999997</v>
      </c>
      <c r="O48" s="3">
        <f>291.5+(370.6-114.3)+(-0.29733+(-0.378012--0.116586))+0-123.9--0.12637800000002</f>
        <v>423.46762200000001</v>
      </c>
      <c r="P48" s="3">
        <f>290.6+(462.8-201.5)+(-0.592824+(-0.944112--0.41106))+0-124.9--0.254795999999995</f>
        <v>426.12892000000016</v>
      </c>
      <c r="Q48" s="3">
        <f>281.7+(522.4-242.5)+(-0.431001+(-0.799272--0.371025))+0-122.9--0.188037000000007</f>
        <v>438.02878899999996</v>
      </c>
      <c r="R48" s="3">
        <f>283.8+(643.1-359.6)+(-0.578952+(-1.311924--0.733584))+0-128.9--0.262955999999994</f>
        <v>437.50566399999997</v>
      </c>
      <c r="S48" s="3">
        <f>282.5+(801-538.5)+(-0.720375+(-2.04255--1.373175))+0-123--0.313649999999982</f>
        <v>420.92389999999995</v>
      </c>
      <c r="T48" s="3">
        <f>280.5+(933.2-669.9)+(-0.28611+(-0.951864--0.683298))+0-128.7--0.131274000000021</f>
        <v>414.67659800000013</v>
      </c>
      <c r="U48" s="3">
        <f>293.4+(879.3-621.8)+(-0.598536+(-1.793772--1.268472))+0-122.1--0.249083999999995</f>
        <v>427.92524799999995</v>
      </c>
      <c r="V48" s="3">
        <f>301.1+(745.3-499.4)+(0+(0-0))+0-122.3-0</f>
        <v>424.7</v>
      </c>
      <c r="W48" s="3">
        <f>300.1+(557.9-308.2)+(-0.459153+(-0.853587--0.471546))+0-125.7--0.192321000000007</f>
        <v>423.45112699999999</v>
      </c>
      <c r="X48" s="3">
        <f>304.6+(353.7-109.4)+(-0.621384+(-0.721548--0.223176))+0-128--0.261119999999994</f>
        <v>420.04136399999993</v>
      </c>
      <c r="Y48" s="3">
        <f>303.1+(384.3-103)+(-0.618324+(-0.783972--0.21012))+0-129.4--0.263975999999994</f>
        <v>454.07180000000011</v>
      </c>
      <c r="Z48" s="3">
        <f>320.1+(534.4-273.6)+(-0.489753+(-0.817632--0.418608))+0-118.2--0.180846000000007</f>
        <v>461.99206900000001</v>
      </c>
      <c r="AA48" s="3">
        <f>320.9+(640.1-369.9)+(-0.654636+(-1.305804--0.754596))+0-135.2--0.275807999999994</f>
        <v>454.96996400000006</v>
      </c>
      <c r="AB48" s="3">
        <f>319.1+(637.1-378.4)+(-0.325482+(-0.649842--0.385968))+0-129--0.131580000000021</f>
        <v>448.34222400000016</v>
      </c>
      <c r="AC48" s="3">
        <f>318.9+(640.1-393.4)+(-0.650556+(-1.305804--0.802536))+0-127.7--0.260507999999994</f>
        <v>437.00668400000006</v>
      </c>
      <c r="AD48">
        <v>468.9</v>
      </c>
      <c r="AE48" s="3">
        <f>320+(594.3-306.3)+(0+(0-0))+0-139.1-0</f>
        <v>468.9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321.8+(563.7-353.2)+(0+(0-0))+0-127.2-0</f>
        <v>405.10000000000008</v>
      </c>
      <c r="G49" s="3">
        <f>320.3+(435.6-236.5)+(-0.163353+(-0.222156--0.120615))+0-125.5--0.0640049999999873</f>
        <v>393.69911100000007</v>
      </c>
      <c r="H49" s="3">
        <f>317.5+(327.4-135.3)+(-1.133475+(-1.168818--0.483021))+0-127.2--0.454104000000002</f>
        <v>381.03483199999999</v>
      </c>
      <c r="I49" s="3">
        <f>317+(289.3-96.3)+(-0.48501+(-0.442629--0.147339))+0-136.5--0.208845000000008</f>
        <v>372.92854499999999</v>
      </c>
      <c r="J49" s="3">
        <f>320.2+(262.9-53.7)+(0+(0-0))+0-144.2-0</f>
        <v>385.2</v>
      </c>
      <c r="K49" s="3">
        <f>319.6+(298.4-104.1)+(-0.162996+(-0.152184--0.053091))+0-133.1--0.0678809999999865</f>
        <v>380.60579200000001</v>
      </c>
      <c r="L49" s="3">
        <f>320+(357.8-123)+(-0.1632+(-0.182478--0.06273))+0-138.4--0.070583999999986</f>
        <v>416.18763599999994</v>
      </c>
      <c r="M49" s="3">
        <f>320.6+(354.9-88.3)+(0.163506+(0.180999-0.045033))+0-130-0.0662999999999868</f>
        <v>457.43317200000007</v>
      </c>
      <c r="N49" s="3">
        <f>321.9+(351.4-44.5)+(0.328338+(0.358428-0.04539))+0-141.4-0.144228000000023</f>
        <v>487.89714800000002</v>
      </c>
      <c r="O49" s="3">
        <f>319.3+(371.3-46.8)+(0+(0-0))+0-135.2-0</f>
        <v>508.59999999999997</v>
      </c>
      <c r="P49" s="3">
        <f>320.5+(395.1-63.7)+(0+(0-0))+0-130-0</f>
        <v>521.90000000000009</v>
      </c>
      <c r="Q49" s="3">
        <f>319.5+(446.6-104.5)+(0.162945+(0.227766-0.053295))+0-126.4-0.0644639999999872</f>
        <v>535.47295199999996</v>
      </c>
      <c r="R49" s="3">
        <f>317.9+(491.8-143.7)+(0.324258+(0.501636-0.146574))+0-128.7-0.131274000000021</f>
        <v>537.84804599999984</v>
      </c>
      <c r="S49" s="3">
        <f>313.8+(560.5-210.1)+(-0.160038+(-0.285855--0.107151))+0-134.4--0.0685439999999864</f>
        <v>529.52980200000002</v>
      </c>
      <c r="T49" s="3">
        <f>313.4+(607-282.5)+(0+(0-0))+0-123.4-0</f>
        <v>514.5</v>
      </c>
      <c r="U49" s="3">
        <f>303.7+(560.3-228.9)+(0+(0-0))+0-127.1-0</f>
        <v>507.99999999999989</v>
      </c>
      <c r="V49" s="3">
        <f>301.9+(492.1-121)+(-0.615876+(-1.003884--0.24684))+0-150--0.305999999999993</f>
        <v>521.93308000000002</v>
      </c>
      <c r="W49" s="3">
        <f>303.1+(406.5-36.7)+(-0.618324+(-0.82926--0.074868))+0-144.9--0.295595999999994</f>
        <v>526.92288000000019</v>
      </c>
      <c r="X49" s="3">
        <f>302.9+(432.3-74.7)+(-1.235832+(-1.763784--0.304776))+0-131.8--0.537743999999989</f>
        <v>526.54290399999991</v>
      </c>
      <c r="Y49" s="3">
        <f>345.4+(421.5-86.5)+(-0.88077+(-1.074825--0.220575))+0-134.6--0.34322999999998</f>
        <v>544.40820999999994</v>
      </c>
      <c r="Z49" s="3">
        <f>412.3+(331.3-46.6)+(-0.630819+(-0.506889--0.071298))+0-130.4--0.199512000000008</f>
        <v>565.73310200000003</v>
      </c>
      <c r="AA49" s="3">
        <f>428.2+(327.5-77.9)+(-1.310292+(-1.00215--0.238374))+0-126.8--0.388008000000015</f>
        <v>549.31394</v>
      </c>
      <c r="AB49" s="3">
        <f>429.6+(327.6-107.2)+(-0.438192+(-0.334152--0.109344))+0-120.1--0.122502000000019</f>
        <v>529.35950200000002</v>
      </c>
      <c r="AC49" s="3">
        <f>436.8+(350.5-137.3)+(-0.445536+(-0.35751--0.140046))+0-139.7--0.142494000000022</f>
        <v>509.779494</v>
      </c>
      <c r="AD49">
        <v>571.9</v>
      </c>
      <c r="AE49" s="3">
        <f>426+(329.2-65.6)+(0+(0-0))+0-117.7-0</f>
        <v>571.9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441.2+(334.5-141.5)+(-1.12506+(-0.852975--0.360825))+0-138.4--0.35291999999998</f>
        <v>494.53571000000005</v>
      </c>
      <c r="G50" s="3">
        <f>433.4+(303.1-137.8)+(-0.442068+(-0.309162--0.140556))+0-123.5--0.12597000000002</f>
        <v>474.71529600000002</v>
      </c>
      <c r="H50" s="3">
        <f>436.4+(260.4-118.1)+(-0.445128+(-0.265608--0.120462))+0-121.8--0.124236000000019</f>
        <v>456.43396199999989</v>
      </c>
      <c r="I50" s="3">
        <f>332.1+(321.5-67)+(0+(0-0))+0-132.7-0</f>
        <v>453.90000000000003</v>
      </c>
      <c r="J50" s="3">
        <f>317.9+(309.1-41.4)+(0.324258+(0.315282-0.042228))+0-135.8-0.138516000000022</f>
        <v>450.25879599999996</v>
      </c>
      <c r="K50" s="3">
        <f>313.6+(366.8-109.4)+(-0.79968+(-0.93534--0.27897))+0-133.6--0.340679999999981</f>
        <v>436.28462999999994</v>
      </c>
      <c r="L50" s="3">
        <f>314.2+(437.7-175.5)+(-0.80121+(-1.116135--0.447525))+0-134.5--0.34297499999998</f>
        <v>440.77315499999992</v>
      </c>
      <c r="M50" s="3">
        <f>316.8+(458.5-182.5)+(0+(0-0))+0-108.7-0</f>
        <v>484.09999999999997</v>
      </c>
      <c r="N50" s="3">
        <f>314.7+(459.9-141)+(-0.320994+(-0.469098--0.14382))+0-120.4--0.122808000000019</f>
        <v>512.67653599999994</v>
      </c>
      <c r="O50" s="3">
        <f>313.6+(457.3-128)+(-0.639744+(-0.932892--0.26112))+0-118--0.240719999999995</f>
        <v>523.82920400000012</v>
      </c>
      <c r="P50" s="3">
        <f>316.3+(433.7-54)+(-0.161313+(-0.221187--0.02754))+0-149.8--0.0763979999999848</f>
        <v>545.92143799999997</v>
      </c>
      <c r="Q50" s="3">
        <f>316.5+(431.4-48)+(0+(0-0))+0-138.6-0</f>
        <v>561.29999999999995</v>
      </c>
      <c r="R50" s="3">
        <f>312.8+(469.4-84.8)+(-0.638112+(-0.957576--0.172992))+0-137.1--0.279683999999994</f>
        <v>559.15698799999996</v>
      </c>
      <c r="S50" s="3">
        <f>310.2+(546-170.8)+(-0.949212+(-1.67076--0.522648))+0-145.6--0.445536000000017</f>
        <v>538.14821200000006</v>
      </c>
      <c r="T50" s="3">
        <f>310+(555.9-221.1)+(-0.6324+(-1.134036--0.451044))+0-129--0.263159999999994</f>
        <v>514.74776799999995</v>
      </c>
      <c r="U50" s="3">
        <f>309+(505.9-187.6)+(0+(0-0))+0-135.9-0</f>
        <v>491.4</v>
      </c>
      <c r="V50" s="3">
        <f>317.6+(412.3-114.4)+(-0.80988+(-1.051365--0.29172))+0-136.1--0.34705499999998</f>
        <v>478.17752999999993</v>
      </c>
      <c r="W50" s="3">
        <f>319.4+(367.8-37.7)+(-0.81447+(-0.93789--0.096135))+0-138.7--0.35368499999998</f>
        <v>509.49746000000005</v>
      </c>
      <c r="X50" s="3">
        <f>319.4+(403-65)+(-0.651576+(-0.82212--0.1326))+0-138.7--0.282947999999994</f>
        <v>517.64185199999997</v>
      </c>
      <c r="Y50" s="3">
        <f>319.4+(409.7-79.7)+(-0.162894+(-0.208947--0.040647))+0-138.7--0.0707369999999859</f>
        <v>510.43954300000001</v>
      </c>
      <c r="Z50" s="3">
        <f>324.5+(384.1-34.7)+(-0.165495+(-0.195891--0.017697))+0-114.3--0.0582929999999884</f>
        <v>559.31460400000003</v>
      </c>
      <c r="AA50" s="3">
        <f>325.2+(372.7-33.9)+(-0.165852+(-0.190077--0.017289))+0-120.1--0.0612509999999878</f>
        <v>543.62261099999989</v>
      </c>
      <c r="AB50" s="3">
        <f>327.3+(367.4-58.5)+(-0.166923+(-0.187374--0.029835))+0-117--0.0596699999999881</f>
        <v>518.93520799999999</v>
      </c>
      <c r="AC50" s="3">
        <f>324.7+(382.1-87.9)+(-0.827985+(-0.974355--0.224145))+0-127.2--0.324359999999982</f>
        <v>490.44616500000001</v>
      </c>
      <c r="AD50">
        <v>562.9</v>
      </c>
      <c r="AE50" s="3">
        <f>323+(412.3-29.9)+(0+(0-0))+0-142.5-0</f>
        <v>562.90000000000009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326.2+(397-109.7)+(-0.332724+(-0.40494--0.111894))+0-136.2--0.138924000000022</f>
        <v>476.81315400000005</v>
      </c>
      <c r="G51" s="3">
        <f>325.6+(364-93.6)+(-0.664224+(-0.74256--0.190944))+0-133.1--0.271523999999994</f>
        <v>461.95568400000002</v>
      </c>
      <c r="H51" s="3">
        <f>328.1+(332.7-74.1)+(0+(0-0))+0-128.5-0</f>
        <v>458.20000000000005</v>
      </c>
      <c r="I51" s="3">
        <f>324.9+(308.1-50.5)+(-0.828495+(-0.785655--0.128775))+0-134.8--0.34373999999998</f>
        <v>446.55836499999998</v>
      </c>
      <c r="J51" s="3">
        <f>323+(295.1-39.5)+(-0.82365+(-0.752505--0.100725))+0-130--0.331499999999981</f>
        <v>447.45607000000007</v>
      </c>
      <c r="K51" s="3">
        <f>326.7+(332.2-88.9)+(-0.333234+(-0.338844--0.090678))+0-140.6--0.143412000000022</f>
        <v>428.96201199999996</v>
      </c>
      <c r="L51" s="3">
        <f>324.1+(382.1-140.3)+(-1.157037+(-1.364097--0.500871))+0-122.8--0.438396000000002</f>
        <v>441.51813300000009</v>
      </c>
      <c r="M51" s="3">
        <f>329.9+(400.8-118.2)+(0.504747+(0.613224-0.180846))+0-133.5-0.204255000000008</f>
        <v>479.73287000000005</v>
      </c>
      <c r="N51" s="3">
        <f>328.5+(399.1-80.4)+(0.33507+(0.407082-0.082008))+0-137.6-0.140352000000022</f>
        <v>510.11979199999996</v>
      </c>
      <c r="O51" s="3">
        <f>323.1+(384.2-64.8)+(-0.329562+(-0.391884--0.066096))+0-135.9--0.138618000000022</f>
        <v>506.08326800000003</v>
      </c>
      <c r="P51" s="3">
        <f>318.5+(380.5-48.5)+(-0.487305+(-0.582165--0.074205))+0-131.3--0.200889000000008</f>
        <v>518.40562399999999</v>
      </c>
      <c r="Q51" s="3">
        <f>316.1+(405.1-37.9)+(0.161211+(0.206601-0.019329))+0-125.6-0.0640559999999873</f>
        <v>557.9844270000001</v>
      </c>
      <c r="R51" s="3">
        <f>313.2+(447-66)+(-0.319464+(-0.45594--0.06732))+0-140.7--0.143514000000022</f>
        <v>552.93543000000011</v>
      </c>
      <c r="S51" s="3">
        <f>312+(541.2-161.9)+(-0.31824+(-0.552024--0.165138))+0-139.7--0.142494000000022</f>
        <v>551.03736800000013</v>
      </c>
      <c r="T51" s="3">
        <f>310.4+(559.5-224.1)+(-0.316608+(-0.57069--0.228582))+0-111.8--0.114036000000018</f>
        <v>533.45532000000003</v>
      </c>
      <c r="U51" s="3">
        <f>307+(523.1-205.6)+(-0.78285+(-1.333905--0.52428))+0-111.6--0.284579999999984</f>
        <v>511.59210499999995</v>
      </c>
      <c r="V51" s="3">
        <f>305+(439-90.2)+(-0.3111+(-0.44778--0.092004))+0-125.2--0.12770400000002</f>
        <v>528.0608279999999</v>
      </c>
      <c r="W51" s="3">
        <f>301.4+(407.3-37.3)+(-1.075998+(-1.454061--0.133161))+0-129.3--0.461601000000002</f>
        <v>540.16470299999992</v>
      </c>
      <c r="X51" s="3">
        <f>302.5+(479.9-121.4)+(-1.079925+(-1.713243--0.433398))+0-123.7--0.441609000000002</f>
        <v>535.3818389999999</v>
      </c>
      <c r="Y51" s="3">
        <f>306.1+(421.4-45.9)+(-0.312222+(-0.429828--0.046818))+0-140.1--0.142902000000022</f>
        <v>540.94767000000002</v>
      </c>
      <c r="Z51" s="3">
        <f>310.7+(422.2-30.5)+(-0.475371+(-0.645966--0.046665))+0-140.7--0.215271000000008</f>
        <v>560.84059900000011</v>
      </c>
      <c r="AA51" s="3">
        <f>311.4+(391.7-28.1)+(-0.79407+(-0.998835--0.071655))+0-130.8--0.333539999999981</f>
        <v>542.81228999999996</v>
      </c>
      <c r="AB51" s="3">
        <f>313.9+(398.3-39.5)+(0+(0-0))+0-148.5-0</f>
        <v>524.20000000000005</v>
      </c>
      <c r="AC51" s="3">
        <f>312.7+(391.6-68.2)+(-0.956862+(-1.198296--0.208692))+0-133.5--0.408510000000015</f>
        <v>501.06204400000007</v>
      </c>
      <c r="AD51">
        <v>543.69999999999993</v>
      </c>
      <c r="AE51" s="3">
        <f>307+(410.3-28.1)+(0+(0-0))+0-145.5-0</f>
        <v>543.70000000000005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314.1+(394-77.1)+(0+(0-0))+0-144.4-0</f>
        <v>486.6</v>
      </c>
      <c r="G52" s="3">
        <f>316.7+(375.2-66.8)+(-0.646068+(-0.765408--0.136272))+0-155.4--0.317015999999993</f>
        <v>468.74181199999987</v>
      </c>
      <c r="H52" s="3">
        <f>319.7+(342.8-61.8)+(-0.489141+(-0.524484--0.094554))+0-138.2--0.211446000000008</f>
        <v>461.79237500000005</v>
      </c>
      <c r="I52" s="3">
        <f>321.1+(319.1-40.6)+(-0.327522+(-0.325482--0.041412))+0-149.2--0.152184000000024</f>
        <v>449.94059200000009</v>
      </c>
      <c r="J52" s="3">
        <f>320.8+(332.9-63.1)+(-0.654432+(-0.679116--0.128724))+0-139.3--0.284171999999994</f>
        <v>450.37934799999988</v>
      </c>
      <c r="K52" s="3">
        <f>319.1+(387.6-132)+(-0.813705+(-0.98838--0.3366))+0-131.7--0.335834999999981</f>
        <v>441.87035000000009</v>
      </c>
      <c r="L52" s="3">
        <f>322.2+(445.7-199.1)+(-0.328644+(-0.454614--0.203082))+0-114--0.116280000000018</f>
        <v>454.33610399999992</v>
      </c>
      <c r="M52" s="3">
        <f>319.6+(486.6-189.9)+(-0.977976+(-1.488996--0.581094))+0-113.3--0.346698000000013</f>
        <v>501.46082000000001</v>
      </c>
      <c r="N52" s="3">
        <f>321.9+(449-118.3)+(0.328338+(0.45798-0.120666))+0-127.3-0.12984600000002</f>
        <v>525.83580599999993</v>
      </c>
      <c r="O52" s="3">
        <f>318.9+(416.4-75.1)+(0+(0-0))+0-124.1-0</f>
        <v>536.09999999999991</v>
      </c>
      <c r="P52" s="3">
        <f>306.3+(412.7-43.4)+(-0.312426+(-0.420954--0.044268))+0-134.9--0.137598000000022</f>
        <v>540.14848600000005</v>
      </c>
      <c r="Q52" s="3">
        <f>312.7+(427.7-35.6)+(-0.318954+(-0.436254--0.036312))+0-140.3--0.143106000000022</f>
        <v>563.9242099999999</v>
      </c>
      <c r="R52" s="3">
        <f>308.6+(455-65.8)+(-0.314772+(-0.4641--0.067116))+0-132.2--0.134844000000021</f>
        <v>565.02308800000003</v>
      </c>
      <c r="S52" s="3">
        <f>308.1+(577-178.3)+(0+(0-0))+0-149.4-0</f>
        <v>557.4</v>
      </c>
      <c r="T52" s="3">
        <f>305.5+(653.8-301.9)+(0.155805+(0.333438-0.153969))+0-121.1-0.0617609999999877</f>
        <v>536.57351300000005</v>
      </c>
      <c r="U52" s="3">
        <f>303.5+(655.1-292.6)+(-0.154785+(-0.334101--0.149226))+0-140.8--0.0718079999999857</f>
        <v>524.93214799999998</v>
      </c>
      <c r="V52" s="3">
        <f>301+(541.9-179.8)+(-0.76755+(-1.381845--0.45849))+0-128.6--0.327929999999981</f>
        <v>533.13702499999988</v>
      </c>
      <c r="W52" s="3">
        <f>299.9+(417.1-52.3)+(-1.070643+(-1.489047--0.186711))+0-126--0.449820000000002</f>
        <v>536.7768410000001</v>
      </c>
      <c r="X52" s="3">
        <f>301.8+(406-31)+(-0.615672+(-0.82824--0.06324))+0-143.6--0.292943999999994</f>
        <v>532.11227199999996</v>
      </c>
      <c r="Y52" s="3">
        <f>315.5+(388.5-26.3)+(-0.804525+(-0.990675--0.067065))+0-124.4--0.317219999999982</f>
        <v>551.88908500000014</v>
      </c>
      <c r="Z52" s="3">
        <f>317.6+(439.7-71)+(-0.485928+(-0.672741--0.10863))+0-114.2--0.174726000000007</f>
        <v>571.2246869999999</v>
      </c>
      <c r="AA52" s="3">
        <f>307.8+(452.5-81.9)+(0+(0-0))+0-128.5-0</f>
        <v>549.90000000000009</v>
      </c>
      <c r="AB52" s="3">
        <f>304.4+(530.6-165.8)+(-0.155244+(-0.270606--0.084558))+0-126.8--0.0646679999999871</f>
        <v>542.12337600000012</v>
      </c>
      <c r="AC52" s="3">
        <f>285.4+(562.1-197.3)+(-0.145554+(-0.286671--0.100623))+0-121.5--0.0619649999999877</f>
        <v>528.43036300000006</v>
      </c>
      <c r="AD52">
        <v>560.79999999999995</v>
      </c>
      <c r="AE52" s="3">
        <f>313.9+(446.4-64.1)+(0+(0-0))+0-135.4-0</f>
        <v>560.79999999999995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197.1+(601.5-165.1)+(-0.100521+(-0.306765--0.084201))+0-127.3--0.0649229999999871</f>
        <v>505.94183799999996</v>
      </c>
      <c r="G53" s="3">
        <f>156+(552.9-100)+(-0.23868+(-0.845937--0.153))+0-126.6--0.193698000000007</f>
        <v>481.56208099999998</v>
      </c>
      <c r="H53" s="3">
        <f>155.8+(523.8-76.2)+(-0.39729+(-1.33569--0.19431))+0-132.2--0.337109999999981</f>
        <v>469.99843999999996</v>
      </c>
      <c r="I53" s="3">
        <f>158.1+(532.2-82.3)+(-0.403155+(-1.35711--0.209865))+0-145--0.369749999999979</f>
        <v>461.81934999999999</v>
      </c>
      <c r="J53" s="3">
        <f>156.3+(492.1-55.5)+(0.079713+(0.250971-0.028305))+0-132-0.0673199999999866</f>
        <v>461.13505900000007</v>
      </c>
      <c r="K53" s="3">
        <f>156.5+(436.2-22.5)+(-0.079815+(-0.222462--0.011475))+0-134.2--0.0684419999999864</f>
        <v>435.77764000000008</v>
      </c>
      <c r="L53" s="3">
        <f>154.7+(446.1-29.9)+(-0.315588+(-0.910044--0.060996))+0-122.9--0.250715999999995</f>
        <v>447.08608000000015</v>
      </c>
      <c r="M53" s="3">
        <f>157.5+(469.8-31.4)+(0.16065+(0.479196-0.032028))+0-114.4-0.116688000000018</f>
        <v>481.99113000000006</v>
      </c>
      <c r="N53" s="3">
        <f>156.4+(513.5-31.4)+(0.159528+(0.52377-0.032028))+0-120.7-0.123114000000019</f>
        <v>518.32815599999992</v>
      </c>
      <c r="O53" s="3">
        <f>154.1+(550.4-43.8)+(0.078591+(0.280704-0.022338))+0-119.2-0.0607919999999879</f>
        <v>541.77616499999988</v>
      </c>
      <c r="P53" s="3">
        <f>150.9+(564.9-41.3)+(-0.076959+(-0.288099--0.021063))+0-123.3--0.0628829999999875</f>
        <v>550.91888800000004</v>
      </c>
      <c r="Q53" s="3">
        <f>174.4+(545.9-36.3)+(-0.266832+(-0.835227--0.055539))+0-126.9--0.194157000000007</f>
        <v>556.24763700000005</v>
      </c>
      <c r="R53" s="3">
        <f>245.4+(496.6-58.2)+(-0.250308+(-0.506532--0.059364))+0-123.8--0.12627600000002</f>
        <v>559.42880000000014</v>
      </c>
      <c r="S53" s="3">
        <f>257.2+(584.2-163.7)+(-0.262344+(-0.595884--0.166974))+0-131.7--0.134334000000021</f>
        <v>545.44308000000012</v>
      </c>
      <c r="T53" s="3">
        <f>282.3+(628.9-268)+(-0.143973+(-0.320739--0.13668))+0-119.7--0.0610469999999879</f>
        <v>523.23301500000002</v>
      </c>
      <c r="U53" s="3">
        <f>372.9+(552.7-268.4)+(-0.950895+(-1.409385--0.68442))+0-136.2--0.34730999999998</f>
        <v>519.67144999999994</v>
      </c>
      <c r="V53" s="3">
        <f>374.9+(425-161.1)+(-0.191199+(-0.21675--0.082161))+0-124.9--0.0636989999999873</f>
        <v>513.63791100000003</v>
      </c>
      <c r="W53" s="3">
        <f>372.9+(333.6-45.7)+(-1.331253+(-1.190952--0.163149))+0-130.9--0.467313000000002</f>
        <v>528.00825699999996</v>
      </c>
      <c r="X53" s="3">
        <f>375.9+(359.8-73.9)+(-0.766836+(-0.733992--0.150756))+0-141.5--0.288659999999994</f>
        <v>519.23858800000005</v>
      </c>
      <c r="Y53" s="3">
        <f>392.9+(324-43.5)+(-0.801516+(-0.66096--0.08874))+0-145.5--0.296819999999994</f>
        <v>526.82308399999999</v>
      </c>
      <c r="Z53" s="3">
        <f>403.6+(340.6-50.9)+(-0.617508+(-0.521118--0.077877))+0-147.3--0.225369000000009</f>
        <v>545.16462000000001</v>
      </c>
      <c r="AA53" s="3">
        <f>366.7+(351.6-46.1)+(-0.748068+(-0.717264--0.094044))+0-131.8--0.268871999999994</f>
        <v>539.29758400000003</v>
      </c>
      <c r="AB53" s="3">
        <f>262.4+(399.6-31.2)+(-0.267648+(-0.407592--0.031824))+0-113.8--0.116076000000018</f>
        <v>516.47266000000002</v>
      </c>
      <c r="AC53" s="3">
        <f>262.9+(434.5-50.8)+(-0.536316+(-0.88638--0.103632))+0-141.6--0.288863999999994</f>
        <v>503.96979999999985</v>
      </c>
      <c r="AD53">
        <v>548.19999999999993</v>
      </c>
      <c r="AE53" s="3">
        <f>405+(332.9-50.2)+(0+(0-0))+0-139.5-0</f>
        <v>548.20000000000005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264.1+(438.8-81.9)+(-0.404073+(-0.671364--0.125307))+0-134.1--0.205173000000008</f>
        <v>486.15504300000003</v>
      </c>
      <c r="G54" s="3">
        <f>195.9+(470-43.5)+(-0.299727+(-0.7191--0.066555))+0-144.4--0.220932000000008</f>
        <v>477.26866000000001</v>
      </c>
      <c r="H54" s="3">
        <f>153.7+(500.5-52.7)+(-0.313548+(-1.02102--0.107508))+0-140.2--0.286007999999994</f>
        <v>460.35894799999994</v>
      </c>
      <c r="I54" s="3">
        <f>158.7+(482.4-50.2)+(0+(0-0))+0-143-0</f>
        <v>447.9</v>
      </c>
      <c r="J54" s="3">
        <f>157.8+(444-12.9)+(-0.160956+(-0.45288--0.013158))+0-139.6--0.142392000000022</f>
        <v>448.84171400000008</v>
      </c>
      <c r="K54" s="3">
        <f>159.6+(422.1-18.2)+(0+(0-0))+0-138.2-0</f>
        <v>425.3</v>
      </c>
      <c r="L54" s="3">
        <f>156.3+(428.7-48.5)+(-0.398565+(-1.093185--0.123675))+0-132.6--0.338129999999981</f>
        <v>402.87005499999998</v>
      </c>
      <c r="M54" s="3">
        <f>159.9+(415.1-27)+(0.163098+(0.423402-0.02754))+0-138.1-0.140862000000022</f>
        <v>410.31809799999991</v>
      </c>
      <c r="N54" s="3">
        <f>158.7+(417.3-17.2)+(0.080937+(0.212823-0.008772))+0-135.6-0.0691559999999862</f>
        <v>423.41583199999997</v>
      </c>
      <c r="O54" s="3">
        <f>154.8+(442.2-13.6)+(-0.157896+(-0.451044--0.013872))+0-140--0.142800000000022</f>
        <v>442.94773200000003</v>
      </c>
      <c r="P54" s="3">
        <f>153.6+(465.1-33.6)+(-0.078336+(-0.237201--0.017136))+0-126.7--0.0646169999999871</f>
        <v>458.16621600000002</v>
      </c>
      <c r="Q54" s="3">
        <f>152.4+(540.3-88.9)+(0.155448+(0.551106-0.090678))+0-136.1-0.138822000000022</f>
        <v>468.17705399999988</v>
      </c>
      <c r="R54" s="3">
        <f>144.5+(662-203)+(0.29478+(1.35048-0.41412))+0-134.4-0.274175999999994</f>
        <v>470.05696399999999</v>
      </c>
      <c r="S54" s="3">
        <f>151+(737.5-292)+(-0.07701+(-0.376125--0.14892))+0-134.5--0.0685949999999864</f>
        <v>461.76437999999996</v>
      </c>
      <c r="T54" s="3">
        <f>258.4+(703.8-388.6)+(-0.65892+(-1.79469--0.99093))+0-127.3--0.324614999999982</f>
        <v>445.16193499999991</v>
      </c>
      <c r="U54" s="3">
        <f>260.2+(674.7-406.5)+(-0.530808+(-1.376388--0.82926))+0-100.4--0.204815999999996</f>
        <v>427.12688000000009</v>
      </c>
      <c r="V54" s="3">
        <f>257.9+(593.4-318.3)+(-0.394587+(-0.907902--0.486999))+0-104--0.159120000000006</f>
        <v>428.34363000000008</v>
      </c>
      <c r="W54" s="3">
        <f>255.3+(419.7-153.5)+(-0.781218+(-1.284282--0.46971))+0-105--0.321300000000012</f>
        <v>415.22551000000004</v>
      </c>
      <c r="X54" s="3">
        <f>254.2+(312.4-35.8)+(-0.64821+(-0.79662--0.09129))+0-108.8--0.277439999999984</f>
        <v>420.92389999999995</v>
      </c>
      <c r="Y54" s="3">
        <f>260.7+(327.7-23.9)+(0+(0-0))+0-110.4-0</f>
        <v>454.1</v>
      </c>
      <c r="Z54" s="3">
        <f>259.1+(423.7-55.7)+(-0.528564+(-0.864348--0.113628))+0-123.7--0.252347999999995</f>
        <v>502.37306400000006</v>
      </c>
      <c r="AA54" s="3">
        <f>260.2+(461.7-84.9)+(-0.398106+(-0.706401--0.129897))+0-135.2--0.206856000000008</f>
        <v>501.03224600000004</v>
      </c>
      <c r="AB54" s="3">
        <f>264.7+(494.5-120.7)+(0+(0-0))+0-134.7-0</f>
        <v>503.8</v>
      </c>
      <c r="AC54" s="3">
        <f>264.9+(482.2-126.1)+(-0.270198+(-0.491844--0.128622))+0-132.5--0.135150000000021</f>
        <v>488.00173000000001</v>
      </c>
      <c r="AD54">
        <v>509.70000000000005</v>
      </c>
      <c r="AE54" s="3">
        <f>250+(441.7-62)+(0+(0-0))+0-120-0</f>
        <v>509.70000000000005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265.7+(452-109.6)+(-0.406521+(-0.69156--0.167688))+0-139.4--0.213282000000008</f>
        <v>467.98288899999994</v>
      </c>
      <c r="G55" s="3">
        <f>265.8+(410.7-83.9)+(-0.67779+(-1.047285--0.213945))+0-132.4--0.337619999999981</f>
        <v>459.02648999999991</v>
      </c>
      <c r="H55" s="3">
        <f>172.1+(427-24.2)+(0.087771+(0.21777-0.012342))+0-124-0.0632399999999874</f>
        <v>451.12995899999993</v>
      </c>
      <c r="I55" s="3">
        <f>150.2+(432.3-10.2)+(-0.306408+(-0.881892--0.020808))+0-127.6--0.260303999999994</f>
        <v>443.79281199999991</v>
      </c>
      <c r="J55" s="3">
        <f>151.4+(453.9-35.5)+(-0.231642+(-0.694467--0.054315))+0-121.5--0.185895000000007</f>
        <v>447.61410099999995</v>
      </c>
      <c r="K55" s="3">
        <f>149.8+(435.9-11.7)+(-0.305592+(-0.889236--0.023868))+0-140.2--0.286007999999994</f>
        <v>432.91504799999996</v>
      </c>
      <c r="L55" s="3">
        <f>151.4+(498-57.8)+(-0.38607+(-1.2699--0.14739))+0-130.8--0.333539999999981</f>
        <v>459.62495999999993</v>
      </c>
      <c r="M55" s="3">
        <f>155.7+(574.6-83.1)+(0+(0-0))+0-136.3-0</f>
        <v>510.90000000000003</v>
      </c>
      <c r="N55" s="3">
        <f>151.6+(574.9-56.2)+(-0.38658+(-1.465995--0.14331))+0-128.7--0.328184999999981</f>
        <v>540.21891999999991</v>
      </c>
      <c r="O55" s="3">
        <f>162.5+(566.3-38.1)+(-0.248625+(-0.866439--0.058293))+0-128.8--0.197064000000007</f>
        <v>561.04029299999979</v>
      </c>
      <c r="P55" s="3">
        <f>168.6+(568-39.6)+(-0.171972+(-0.57936--0.040392))+0-99--0.100980000000016</f>
        <v>597.39004</v>
      </c>
      <c r="Q55" s="3">
        <f>159.3+(612.7-31.3)+(0+(0-0))+0-146.1-0</f>
        <v>594.6</v>
      </c>
      <c r="R55" s="3">
        <f>272.8+(498.7-34.8)+(-0.417384+(-0.763011--0.053244))+0-139--0.212670000000008</f>
        <v>596.78551900000002</v>
      </c>
      <c r="S55" s="3">
        <f>269.1+(516.4-53.9)+(-0.548964+(-1.053456--0.109956))+0-144.9--0.295595999999994</f>
        <v>585.50313200000005</v>
      </c>
      <c r="T55" s="3">
        <f>283.2+(526.2-98)+(-0.577728+(-1.073448--0.19992))+0-142--0.289679999999994</f>
        <v>568.23842400000012</v>
      </c>
      <c r="U55" s="3">
        <f>285.7+(495.8-99.4)+(-0.145707+(-0.252858--0.050694))+0-122.6--0.0625259999999876</f>
        <v>559.21465499999977</v>
      </c>
      <c r="V55" s="3">
        <f>302.7+(424.9-47.7)+(0+(0-0))+0-112.3-0</f>
        <v>567.6</v>
      </c>
      <c r="W55" s="3">
        <f>334.3+(431.5-51.1)+(-1.022958+(-1.32039--0.156366))+0-138.5--0.423810000000016</f>
        <v>574.43682800000011</v>
      </c>
      <c r="X55" s="3">
        <f>408.9+(525.8-223.4)+(-1.876851+(-2.413422--1.025406))+0-144.6--0.663714000000025</f>
        <v>564.09884699999998</v>
      </c>
      <c r="Y55" s="3">
        <f>445.5+(422.3-155.6)+(-0.45441+(-0.430746--0.158712))+0-137.9--0.140658000000022</f>
        <v>573.71421400000008</v>
      </c>
      <c r="Z55" s="3">
        <f>463.1+(384.7-121.9)+(-0.708543+(-0.588591--0.186507))+0-135--0.206550000000008</f>
        <v>589.99592299999995</v>
      </c>
      <c r="AA55" s="3">
        <f>473.6+(370.9-121.3)+(-0.724608+(-0.567477--0.185589))+0-146.1--0.223533000000008</f>
        <v>576.217037</v>
      </c>
      <c r="AB55" s="3">
        <f>470.1+(294-78.9)+(-0.239751+(-0.14994--0.040239))+0-127.9--0.065228999999987</f>
        <v>557.01577699999996</v>
      </c>
      <c r="AC55" s="3">
        <f>364.1+(352-61.1)+(-0.371382+(-0.35904--0.062322))+0-127.6--0.13015200000002</f>
        <v>526.86205200000006</v>
      </c>
      <c r="AD55">
        <v>586.29999999999995</v>
      </c>
      <c r="AE55" s="3">
        <f>471+(394-144.5)+(0+(0-0))+0-134.2-0</f>
        <v>586.29999999999995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358.3+(352.1-51.7)+(-0.365466+(-0.359142--0.052734))+0-143.4--0.146268000000023</f>
        <v>514.77439400000014</v>
      </c>
      <c r="G56" s="3">
        <f>354+(328.5-52)+(-1.08324+(-1.00521--0.15912))+0-123.7--0.378522000000014</f>
        <v>505.24919199999999</v>
      </c>
      <c r="H56" s="3">
        <f>350.2+(300.4-37.4)+(-0.535806+(-0.459612--0.057222))+0-115.8--0.177174000000007</f>
        <v>496.63897800000007</v>
      </c>
      <c r="I56" s="3">
        <f>360.3+(299.6-36.1)+(-0.367506+(-0.305592--0.036822))+0-138.9--0.141678000000022</f>
        <v>484.40540200000004</v>
      </c>
      <c r="J56" s="3">
        <f>365.4+(291.5-49.9)+(-0.745416+(-0.59466--0.101796))+0-124--0.252959999999995</f>
        <v>482.01467999999994</v>
      </c>
      <c r="K56" s="3">
        <f>365.2+(322.8-84.4)+(-1.303764+(-1.152396--0.301308))+0-130.6--0.466242000000002</f>
        <v>471.31139000000002</v>
      </c>
      <c r="L56" s="3">
        <f>371.4+(425.9-185.1)+(-0.378828+(-0.434418--0.188802))+0-128--0.13056000000002</f>
        <v>483.70611599999989</v>
      </c>
      <c r="M56" s="3">
        <f>374+(463.2-178.6)+(0.19074+(0.236232-0.091086))+0-131.4-0.0670139999999867</f>
        <v>527.46887200000003</v>
      </c>
      <c r="N56" s="3">
        <f>376.2+(473.5-156.7)+(0.383724+(0.48297-0.159834))+0-139.6-0.142392000000022</f>
        <v>553.96446800000001</v>
      </c>
      <c r="O56" s="3">
        <f>375.1+(445.4-115.6)+(0.573903+(0.681462-0.176868))+0-135.6-0.207468000000008</f>
        <v>570.17102899999986</v>
      </c>
      <c r="P56" s="3">
        <f>408.5+(355.5-53.3)+(0.208335+(0.181305-0.027183))+0-136.5-0.0696149999999861</f>
        <v>574.492842</v>
      </c>
      <c r="Q56" s="3">
        <f>366.1+(415.1-45.2)+(-0.560133+(-0.635103--0.069156))+0-141.5--0.216495000000008</f>
        <v>593.59041500000001</v>
      </c>
      <c r="R56" s="3">
        <f>359.9+(491.4-114.8)+(0.550647+(0.751842-0.175644))+0-140.4-0.214812000000008</f>
        <v>597.01203299999997</v>
      </c>
      <c r="S56" s="3">
        <f>355.4+(616.7-239.4)+(-0.362508+(-0.629034--0.244188))+0-147.2--0.150144000000023</f>
        <v>584.90279000000021</v>
      </c>
      <c r="T56" s="3">
        <f>354.9+(674.1-319.7)+(-0.180999+(-0.343791--0.163047))+0-144--0.0734399999999854</f>
        <v>565.01169699999991</v>
      </c>
      <c r="U56" s="3">
        <f>349.8+(655.3-315.3)+(-0.713592+(-1.336812--0.643212))+0-139.2--0.283967999999994</f>
        <v>549.47677599999997</v>
      </c>
      <c r="V56" s="3">
        <f>353.1+(529.8-183.3)+(-0.360162+(-0.540396--0.186966))+0-144.4--0.147288000000023</f>
        <v>554.63369599999999</v>
      </c>
      <c r="W56" s="3">
        <f>348.5+(389.6-39.1)+(-1.06641+(-1.192176--0.119646))+0-144.9--0.443394000000017</f>
        <v>552.40445399999999</v>
      </c>
      <c r="X56" s="3">
        <f>361.7+(387.5-63.5)+(-0.737868+(-0.7905--0.12954))+0-129--0.263159999999994</f>
        <v>555.56433200000004</v>
      </c>
      <c r="Y56" s="3">
        <f>357.2+(373.6-31.8)+(-0.182172+(-0.190536--0.016218))+0-141.6--0.0722159999999856</f>
        <v>557.115726</v>
      </c>
      <c r="Z56" s="3">
        <f>435.9+(349.7-70.9)+(-0.444618+(-0.356694--0.072318))+0-136.1--0.138822000000022</f>
        <v>578.00982799999997</v>
      </c>
      <c r="AA56" s="3">
        <f>646.7+(197.7-144.7)+(-0.989451+(-0.302481--0.221391))+0-127--0.194310000000007</f>
        <v>571.82376899999997</v>
      </c>
      <c r="AB56" s="3">
        <f>654.4+(219.1-184.7)+(0+(0-0))+0-134.3-0</f>
        <v>554.5</v>
      </c>
      <c r="AC56" s="3">
        <f>661.5+(231.3-241.2)+(-1.012095+(-0.353889--0.369036))+0-122--0.186660000000007</f>
        <v>528.78971200000001</v>
      </c>
      <c r="AD56">
        <v>515.1</v>
      </c>
      <c r="AE56" s="3">
        <f>454+(262-88.3)+(0+(0-0))+0-112.6-0</f>
        <v>515.1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618.1+(244.8-206.8)+(-1.576155+(-0.62424--0.52734))+0-129.9--0.331244999999981</f>
        <v>524.85819000000004</v>
      </c>
      <c r="G57" s="3">
        <f>565.3+(234.9-164.1)+(-1.441515+(-0.598995--0.418455))+0-124.7--0.317984999999982</f>
        <v>510.09592999999984</v>
      </c>
      <c r="H57" s="3">
        <f>562.6+(236.6-171.6)+(-1.43463+(-0.60333--0.43758))+0-125.9--0.321044999999982</f>
        <v>500.42066500000004</v>
      </c>
      <c r="I57" s="3">
        <f>558.9+(210.7-162.9)+(-0.570078+(-0.214914--0.166158))+0-108.6--0.110772000000017</f>
        <v>497.59193799999991</v>
      </c>
      <c r="J57" s="3">
        <f>573.7+(196.7-172.2)+(-0.292587+(-0.100317--0.087822))+0-103.8--0.0529379999999895</f>
        <v>494.14785600000005</v>
      </c>
      <c r="K57" s="3">
        <f>574.2+(201.7-195.5)+(-0.878526+(-0.308601--0.299115))+0-102.1--0.156213000000006</f>
        <v>477.56820100000004</v>
      </c>
      <c r="L57" s="3">
        <f>577.4+(264.5-254.8)+(-0.588948+(-0.26979--0.259896))+0-101.2--0.103224000000016</f>
        <v>485.40438199999994</v>
      </c>
      <c r="M57" s="3">
        <f>574.6+(347.3-291.9)+(0+(0-0))+0-100.4-0</f>
        <v>529.6</v>
      </c>
      <c r="N57" s="3">
        <f>569.9+(341.3-255.8)+(0.581298+(0.348126-0.260916))+0-96.7-0.0986340000000154</f>
        <v>559.26987399999985</v>
      </c>
      <c r="O57" s="3">
        <f>566.1+(343.6-231)+(0+(0-0))+0-96.2-0</f>
        <v>582.5</v>
      </c>
      <c r="P57" s="3">
        <f>567.3+(289.4-163.9)+(0+(0-0))+0-99-0</f>
        <v>593.79999999999995</v>
      </c>
      <c r="Q57" s="3">
        <f>604.5+(248-134)+(0.308295+(0.12648-0.06834))+0-99.3-0.0506429999999899</f>
        <v>619.51579200000003</v>
      </c>
      <c r="R57" s="3">
        <f>599.5+(230.6-111.4)+(-0.917235+(-0.352818--0.170442))+0-99.3--0.151929000000006</f>
        <v>618.4523180000001</v>
      </c>
      <c r="S57" s="3">
        <f>598.9+(350.4-235.9)+(-0.305439+(-0.178704--0.120309))+0-101.6--0.0518159999999897</f>
        <v>611.48798199999999</v>
      </c>
      <c r="T57" s="3">
        <f>599.3+(375.9-280.3)+(-1.833858+(-1.150254--0.857718))+0-102.4--0.313344000000012</f>
        <v>590.68694999999991</v>
      </c>
      <c r="U57" s="3">
        <f>597.4+(363.5-271.6)+(-1.828044+(-1.11231--0.831096))+0-103.3--0.316098000000012</f>
        <v>584.20684000000006</v>
      </c>
      <c r="V57" s="3">
        <f>597.4+(285.9-191)+(-2.132718+(-1.020663--0.68187))+0-101.3--0.361641000000001</f>
        <v>588.89013</v>
      </c>
      <c r="W57" s="3">
        <f>596.4+(213.6-114.8)+(-2.433312+(-0.871488--0.468384))+0-100.2--0.408815999999991</f>
        <v>592.5723999999999</v>
      </c>
      <c r="X57" s="3">
        <f>598.2+(266.7-178.7)+(-2.135574+(-0.952119--0.637959))+0-98.8--0.352716000000001</f>
        <v>585.30298200000004</v>
      </c>
      <c r="Y57" s="3">
        <f>596.7+(258.9-167.4)+(-1.217268+(-0.528156--0.341496))+0-106.4--0.217055999999995</f>
        <v>580.61312800000007</v>
      </c>
      <c r="Z57" s="3">
        <f>595.3+(221.1-95.6)+(-1.821618+(-0.676566--0.292536))+0-114.1--0.349146000000013</f>
        <v>604.84349799999995</v>
      </c>
      <c r="AA57" s="3">
        <f>600.6+(214.6-98.4)+(-1.225224+(-0.437784--0.200736))+0-121.7--0.248267999999995</f>
        <v>593.88599599999986</v>
      </c>
      <c r="AB57" s="3">
        <f>596.9+(233.7-147.8)+(-1.217676+(-0.476748--0.301512))+0-116.5--0.237659999999995</f>
        <v>565.14474799999994</v>
      </c>
      <c r="AC57" s="3">
        <f>597.3+(306.2-235.8)+(-0.913869+(-0.468486--0.360774))+0-122.6--0.187578000000007</f>
        <v>544.26599699999997</v>
      </c>
      <c r="AD57">
        <v>605.79999999999995</v>
      </c>
      <c r="AE57" s="3">
        <f>598+(214.9-100.1)+(0+(0-0))+0-107-0</f>
        <v>605.79999999999995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599.7+(295-238.8)+(-0.611694+(-0.3009--0.243576))+0-123.7--0.12617400000002</f>
        <v>531.65715599999999</v>
      </c>
      <c r="G58" s="3">
        <f>607.7+(256.2-228.3)+(-1.239708+(-0.522648--0.465732))+0-118.8--0.242351999999995</f>
        <v>515.7457280000001</v>
      </c>
      <c r="H58" s="3">
        <f>607.7+(188.5-172.7)+(-0.619854+(-0.19227--0.176154))+0-122--0.124440000000019</f>
        <v>500.98846999999995</v>
      </c>
      <c r="I58" s="3">
        <f>603.8+(197.9-172.3)+(-1.231752+(-0.403716--0.351492))+0-131.2--0.267647999999994</f>
        <v>497.18367199999994</v>
      </c>
      <c r="J58" s="3">
        <f>608.7+(191.1-181)+(-0.931311+(-0.292383--0.27693))+0-122.8--0.187884000000007</f>
        <v>495.24112000000002</v>
      </c>
      <c r="K58" s="3">
        <f>604+(186.1-192.4)+(-1.84824+(-0.569466--0.588744))+0-129.3--0.395658000000015</f>
        <v>466.96669600000001</v>
      </c>
      <c r="L58" s="3">
        <f>541.9+(253.7-193.2)+(-1.381845+(-0.646935--0.49266))+0-126.1--0.321554999999982</f>
        <v>475.08543499999996</v>
      </c>
      <c r="M58" s="3">
        <f>489.6+(287.1-137.4)+(-0.249696+(-0.146421--0.070074))+0-124.5--0.0634949999999874</f>
        <v>514.53745200000003</v>
      </c>
      <c r="N58" s="3">
        <f>618.5+(232.2-181.3)+(0+(0-0))+0-130.3-0</f>
        <v>539.09999999999991</v>
      </c>
      <c r="O58" s="3">
        <f>637.3+(195.2-153.9)+(-0.325023+(-0.099552--0.078489))+0-126.3--0.0644129999999872</f>
        <v>552.01832699999989</v>
      </c>
      <c r="P58" s="3">
        <f>668.1+(177-132.9)+(0.340731+(0.09027-0.067779))+0-128.8-0.0656879999999869</f>
        <v>583.69753400000002</v>
      </c>
      <c r="Q58" s="3">
        <f>667.4+(205.7-136)+(0.680748+(0.209814-0.13872))+0-134.1-0.136782000000021</f>
        <v>603.61505999999986</v>
      </c>
      <c r="R58" s="3">
        <f>552.1+(426.6-239.6)+(-0.563142+(-0.435132--0.244392))+0-124.8--0.12729600000002</f>
        <v>613.67341400000009</v>
      </c>
      <c r="S58" s="3">
        <f>310.6+(674.8-257.8)+(-0.79203+(-1.72074--0.65739))+0-133.7--0.340934999999981</f>
        <v>592.38555499999984</v>
      </c>
      <c r="T58" s="3">
        <f>311.7+(730.9-337.9)+(0+(0-0))+0-129.6-0</f>
        <v>575.1</v>
      </c>
      <c r="U58" s="3">
        <f>312.6+(739.8-348.9)+(-0.478278+(-1.131894--0.533817))+0-137.3--0.210069000000008</f>
        <v>565.33371399999987</v>
      </c>
      <c r="V58" s="3">
        <f>307+(646.7-245.8)+(-0.31314+(-0.659634--0.250716))+0-134.6--0.137292000000021</f>
        <v>572.71523400000012</v>
      </c>
      <c r="W58" s="3">
        <f>326+(458.5-67.3)+(-0.99756+(-1.40301--0.205938))+0-138.8--0.424728000000016</f>
        <v>576.63009600000009</v>
      </c>
      <c r="X58" s="3">
        <f>356.4+(400.2-38)+(-1.090584+(-1.224612--0.11628))+0-146.9--0.449514000000017</f>
        <v>569.9505979999999</v>
      </c>
      <c r="Y58" s="3">
        <f>424.4+(336.1-37.3)+(-0.649332+(-0.514233--0.057069))+0-145.9--0.223227000000008</f>
        <v>576.41673100000003</v>
      </c>
      <c r="Z58" s="3">
        <f>645.2+(222.9-124.8)+(-1.316208+(-0.454716--0.254592))+0-142.7--0.291107999999994</f>
        <v>599.374776</v>
      </c>
      <c r="AA58" s="3">
        <f>645.1+(311.5-219)+(-1.645005+(-0.794325--0.55845))+0-147.7--0.376634999999979</f>
        <v>588.39575499999989</v>
      </c>
      <c r="AB58" s="3">
        <f>637.9+(368.9-322.7)+(0+(0-0))+0-122.5-0</f>
        <v>561.59999999999991</v>
      </c>
      <c r="AC58" s="3">
        <f>644.1+(401.6-392.5)+(-1.313964+(-0.819264--0.8007))+0-111.9--0.228275999999995</f>
        <v>540.19574800000009</v>
      </c>
      <c r="AD58">
        <v>618.90000000000009</v>
      </c>
      <c r="AE58" s="3">
        <f>659+(285.6-205.4)+(0+(0-0))+0-120.3-0</f>
        <v>618.90000000000009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647.6+(433.9-417.5)+(-1.321104+(-0.885156--0.8517))+0-141.6--0.288863999999994</f>
        <v>521.33430399999997</v>
      </c>
      <c r="G59" s="3">
        <f>609.3+(403.9-382.6)+(-0.621486+(-0.411978--0.390252))+0-123.1--0.12556200000002</f>
        <v>506.98234999999994</v>
      </c>
      <c r="H59" s="3">
        <f>663.6+(303.4-347.8)+(-0.338436+(-0.154734--0.177378))+0-120.2--0.0613019999999878</f>
        <v>498.74551000000008</v>
      </c>
      <c r="I59" s="3">
        <f>681.6+(238.9-310)+(-0.695232+(-0.243678--0.3162))+0-125.5--0.12801000000002</f>
        <v>484.50530000000003</v>
      </c>
      <c r="J59" s="3">
        <f>682.6+(247.3-311.2)+(0+(0-0))+0-136.5-0</f>
        <v>482.20000000000005</v>
      </c>
      <c r="K59" s="3">
        <f>679.9+(185-257.4)+(-1.386996+(-0.3774--0.525096))+0-140.1--0.285803999999994</f>
        <v>466.446504</v>
      </c>
      <c r="L59" s="3">
        <f>676.3+(150.5-209.4)+(-1.724565+(-0.383775--0.53397))+0-143.8--0.366689999999979</f>
        <v>472.39231999999993</v>
      </c>
      <c r="M59" s="3">
        <f>690.5+(136.8-189.9)+(0+(0-0))+0-120.5-0</f>
        <v>516.9</v>
      </c>
      <c r="N59" s="3">
        <f>668.4+(141.7-157.1)+(-0.340884+(-0.072267--0.080121))+0-107.6--0.0548759999999891</f>
        <v>545.12184600000001</v>
      </c>
      <c r="O59" s="3">
        <f>652.8+(167.6-136.6)+(-0.332928+(-0.085476--0.069666))+0-116.1--0.0592109999999882</f>
        <v>567.41047299999991</v>
      </c>
      <c r="P59" s="3">
        <f>656+(305-150.7)+(-0.66912+(-0.3111--0.153714))+0-115--0.117300000000018</f>
        <v>694.59079399999996</v>
      </c>
      <c r="Q59" s="3">
        <f>664.9+(366.9-283.6)+(0.339099+(0.187119-0.144636))+0-140.2-0.0715019999999858</f>
        <v>608.31007999999997</v>
      </c>
      <c r="R59" s="3">
        <f>690+(548.7-472)+(-0.3519+(-0.279837--0.24072))+0-138.8--0.0707879999999859</f>
        <v>627.57977099999994</v>
      </c>
      <c r="S59" s="3">
        <f>708.8+(659.9-627.5)+(0.361488+(0.336549-0.320025))+0-127.5-0.0650249999999871</f>
        <v>614.01298699999995</v>
      </c>
      <c r="T59" s="3">
        <f>715.4+(701.9-684.4)+(-0.364854+(-0.357969--0.349044))+0-141.9--0.0723689999999856</f>
        <v>590.69858999999997</v>
      </c>
      <c r="U59" s="3">
        <f>713.7+(706.9-701.8)+(-1.819935+(-1.802595--1.78959))+0-133.1--0.339404999999981</f>
        <v>584.20646499999998</v>
      </c>
      <c r="V59" s="3">
        <f>717.5+(596.5-603.8)+(-1.4637+(-1.21686--1.231752))+0-130.7--0.266627999999994</f>
        <v>578.3178200000001</v>
      </c>
      <c r="W59" s="3">
        <f>647.9+(419.4-350.2)+(-1.652145+(-1.06947--0.89301))+0-129--0.328949999999981</f>
        <v>586.60034499999983</v>
      </c>
      <c r="X59" s="3">
        <f>496.9+(291.8-78.3)+(-1.773933+(-1.041726--0.279531))+0-132.9--0.474453000000002</f>
        <v>575.43832500000008</v>
      </c>
      <c r="Y59" s="3">
        <f>553.3+(299.3-162.5)+(-0.564366+(-0.305286--0.16575))+0-115.3--0.117606000000018</f>
        <v>574.21370400000001</v>
      </c>
      <c r="Z59" s="3">
        <f>650.8+(376.6-313.6)+(-0.663816+(-0.384132--0.319872))+0-121--0.123420000000019</f>
        <v>592.19534399999998</v>
      </c>
      <c r="AA59" s="3">
        <f>661.5+(358.1-316.2)+(-1.34946+(-0.730524--0.645048))+0-138.4--0.282335999999994</f>
        <v>563.84740000000011</v>
      </c>
      <c r="AB59" s="3">
        <f>633.9+(410.3-352.5)+(-1.616445+(-1.046265--0.898875))+0-144.2--0.367709999999979</f>
        <v>546.10387500000002</v>
      </c>
      <c r="AC59" s="3">
        <f>638.9+(436.6-386.1)+(-0.325839+(-0.222666--0.196911))+0-142.4--0.0726239999999856</f>
        <v>546.72103000000004</v>
      </c>
      <c r="AD59">
        <v>577.49999999999989</v>
      </c>
      <c r="AE59" s="3">
        <f>659+(349.4-304.8)+(0+(0-0))+0-126.1-0</f>
        <v>577.49999999999989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624.3+(427.5-381.3)+(-1.591965+(-1.090125--0.972315))+0-142.8--0.364139999999979</f>
        <v>526.35436500000003</v>
      </c>
      <c r="G60" s="3">
        <f>627.5+(361.9-318.2)+(-0.320025+(-0.184569--0.162282))+0-150.7--0.0768569999999847</f>
        <v>520.23454500000003</v>
      </c>
      <c r="H60" s="3">
        <f>572.4+(335-247)+(-1.167696+(-0.6834--0.50388))+0-145.1--0.296003999999994</f>
        <v>514.24878799999999</v>
      </c>
      <c r="I60" s="3">
        <f>568.8+(308.6-230.3)+(-1.45044+(-0.78693--0.587265))+0-142.5--0.363374999999979</f>
        <v>503.31326999999982</v>
      </c>
      <c r="J60" s="3">
        <f>563.5+(284.5-202.9)+(-0.862155+(-0.435285--0.310437))+0-146.9--0.224757000000009</f>
        <v>497.4377540000001</v>
      </c>
      <c r="K60" s="3">
        <f>545.3+(227-155.3)+(-0.834309+(-0.34731--0.237609))+0-141.3--0.216189000000008</f>
        <v>474.97217899999993</v>
      </c>
      <c r="L60" s="3">
        <f>546.7+(212.3-148.8)+(-0.278817+(-0.108273--0.075888))+0-134.1--0.0683909999999864</f>
        <v>475.85718900000001</v>
      </c>
      <c r="M60" s="3">
        <f>577+(220.9-152.7)+(-0.29427+(-0.112659--0.077877))+0-142--0.0724199999999856</f>
        <v>502.94336799999996</v>
      </c>
      <c r="N60" s="3">
        <f>606.4+(204-137.7)+(0.309264+(0.10404-0.070227))+0-135.3-0.0690029999999863</f>
        <v>537.67407400000013</v>
      </c>
      <c r="O60" s="3">
        <f>601.7+(204.1-117.9)+(-0.920601+(-0.312273--0.180387))+0-121.6--0.186048000000007</f>
        <v>565.43356100000005</v>
      </c>
      <c r="P60" s="3">
        <f>550.8+(338-157.5)+(-0.561816+(-0.34476--0.16065))+0-138.8--0.141576000000022</f>
        <v>591.89564999999993</v>
      </c>
      <c r="Q60" s="3">
        <f>540.3+(485.4-305.9)+(-0.551106+(-0.495108--0.312018))+0-121.7--0.124134000000019</f>
        <v>597.48993799999994</v>
      </c>
      <c r="R60" s="3">
        <f>604+(622.3-487.2)+(0.30804+(0.317373-0.248472))+0-135.7-0.0692069999999862</f>
        <v>603.70773399999985</v>
      </c>
      <c r="S60" s="3">
        <f>590.4+(731-608.9)+(-0.301104+(-0.37281--0.310539))+0-137.7--0.070226999999986</f>
        <v>574.50685199999998</v>
      </c>
      <c r="T60" s="3">
        <f>590.8+(763.9-654)+(0.301308+(0.389589-0.33354))+0-148.1-0.075530999999985</f>
        <v>552.88182599999993</v>
      </c>
      <c r="U60" s="3">
        <f>586+(742.8-617.7)+(-0.89658+(-1.136484--0.945081))+0-145--0.221850000000008</f>
        <v>565.23386699999992</v>
      </c>
      <c r="V60" s="3">
        <f>592+(586-499.4)+(-0.30192+(-0.29886--0.254694))+0-112--0.0571199999999886</f>
        <v>566.31103399999995</v>
      </c>
      <c r="W60" s="3">
        <f>591+(416-303.8)+(-1.50705+(-1.0608--0.77469))+0-110--0.280499999999984</f>
        <v>591.68734000000006</v>
      </c>
      <c r="X60" s="3">
        <f>565+(272.2-132.1)+(-1.44075+(-0.69411--0.336855))+0-113--0.288149999999984</f>
        <v>590.59014500000001</v>
      </c>
      <c r="Y60" s="3">
        <f>653+(232.5-191.5)+(-0.99909+(-0.355725--0.292995))+0-107--0.163710000000006</f>
        <v>586.10189000000003</v>
      </c>
      <c r="Z60" s="3">
        <f>643.5+(368.4-301)+(-0.984555+(-0.563652--0.46053))+0-110--0.168300000000006</f>
        <v>599.98062300000004</v>
      </c>
      <c r="AA60" s="3">
        <f>645.8+(421-362.3)+(-1.64679+(-1.07355--0.923865))+0-112--0.285599999999984</f>
        <v>590.98912499999994</v>
      </c>
      <c r="AB60" s="3">
        <f>656.6+(420.3-395.7)+(-0.669732+(-0.428706--0.403614))+0-113--0.115260000000018</f>
        <v>567.62043600000004</v>
      </c>
      <c r="AC60" s="3">
        <f>660.4+(427.1-419.9)+(0+(0-0))+0-101-0</f>
        <v>566.6</v>
      </c>
      <c r="AD60">
        <v>639.29999999999995</v>
      </c>
      <c r="AE60" s="3">
        <f>659+(406.8-322.5)+(0+(0-0))+0-104-0</f>
        <v>639.29999999999995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654.4+(451.4-446.7)+(0+(0-0))+0-104-0</f>
        <v>555.09999999999991</v>
      </c>
      <c r="G61" s="3">
        <f>649.5+(464.9-462.1)+(-1.32498+(-0.948396--0.942684))+0-115--0.234599999999995</f>
        <v>536.20390799999996</v>
      </c>
      <c r="H61" s="3">
        <f>655.2+(400.1-438.4)+(0+(0-0))+0-100-0</f>
        <v>516.90000000000009</v>
      </c>
      <c r="I61" s="3">
        <f>657.8+(352-394.5)+(-0.335478+(-0.17952--0.201195))+0-106--0.0540599999999892</f>
        <v>509.04025699999994</v>
      </c>
      <c r="J61" s="3">
        <f>659.3+(272.7-325.7)+(0+(0-0))+0-99-0</f>
        <v>507.29999999999995</v>
      </c>
      <c r="K61" s="3">
        <f>653.2+(134.5-212.3)+(-1.332528+(-0.27438--0.433092))+0-112--0.228479999999995</f>
        <v>462.45466400000009</v>
      </c>
      <c r="L61" s="3">
        <f>618.1+(174.7-225.7)+(-2.837079+(-0.801873--1.035963))+0-112--0.514080000000019</f>
        <v>453.01109100000008</v>
      </c>
      <c r="M61" s="3">
        <f>600.2+(178.2-200)+(0.306102+(0.090882-0.102))+0-115-0.0586499999999883</f>
        <v>463.63633400000009</v>
      </c>
      <c r="N61" s="3">
        <f>600.8+(168.9-168.1)+(-0.612816+(-0.172278--0.171462))+0-121--0.123420000000019</f>
        <v>480.10978799999987</v>
      </c>
      <c r="O61" s="3">
        <f>621+(164.6-156.4)+(0+(0-0))+0-125-0</f>
        <v>504.20000000000005</v>
      </c>
      <c r="P61" s="3">
        <f>682.4+(116-196.7)+(-0.348024+(-0.05916--0.100317))+0-124--0.0632399999999874</f>
        <v>477.45637300000004</v>
      </c>
      <c r="Q61" s="3">
        <f>553.2+(355.5-267.9)+(0.564264+(0.36261-0.273258))+0-98-0.0999600000000156</f>
        <v>543.35365600000011</v>
      </c>
      <c r="R61" s="3">
        <f>536.8+(489.8-358.9)+(-0.821304+(-0.749394--0.549117))+0-110--0.168300000000006</f>
        <v>556.84671900000012</v>
      </c>
      <c r="S61" s="3">
        <f>535.7+(587.5-468.9)+(0+(0-0))+0-149.1-0</f>
        <v>505.20000000000005</v>
      </c>
      <c r="T61" s="3">
        <f>529.9+(506-402.2)+(-0.810747+(-0.77418--0.615366))+0-155--0.237150000000009</f>
        <v>477.96758900000003</v>
      </c>
      <c r="U61" s="3">
        <f>529.3+(602.2-510)+(-0.269943+(-0.307122--0.2601))+0-139.8--0.0712979999999858</f>
        <v>481.45433300000002</v>
      </c>
      <c r="V61" s="3">
        <f>604.7+(481.3-446.1)+(0.308397+(0.245463-0.227511))+0-150.2-0.0766019999999848</f>
        <v>489.94974700000017</v>
      </c>
      <c r="W61" s="3">
        <f>645.5+(274-290.1)+(-1.646025+(-0.6987--0.739755))+0-141.1--0.35980499999998</f>
        <v>487.05483499999997</v>
      </c>
      <c r="X61" s="3">
        <f>650.9+(158.9-193.6)+(-1.991754+(-0.486234--0.592416))+0-134.4--0.411264000000016</f>
        <v>480.32569200000006</v>
      </c>
      <c r="Y61" s="3">
        <f>653.2+(162.2-214.5)+(-0.999396+(-0.248166--0.328185))+0-109.7--0.167841000000006</f>
        <v>490.44846400000006</v>
      </c>
      <c r="Z61" s="3">
        <f>666.8+(324-349.9)+(0.340068+(0.16524-0.178449))+0-103.5-0.0527849999999895</f>
        <v>537.67407400000002</v>
      </c>
      <c r="AA61" s="3">
        <f>673.5+(393.8-434.6)+(0+(0-0))+0-99-0</f>
        <v>533.70000000000005</v>
      </c>
      <c r="AB61" s="3">
        <f>671.7+(461.6-503.3)+(0+(0-0))+0-101.5-0</f>
        <v>528.5</v>
      </c>
      <c r="AC61" s="3">
        <f>672.6+(489.9-527.1)+(-1.029078+(-0.749547--0.806463))+0-108.4--0.165852000000006</f>
        <v>526.19368999999995</v>
      </c>
      <c r="AD61">
        <v>528.1</v>
      </c>
      <c r="AE61" s="3">
        <f>671+(399.2-438.4)+(0+(0-0))+0-103.7-0</f>
        <v>528.09999999999991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678+(470.6-517.4)+(-0.34578+(-0.240006--0.263874))+0-123.3--0.0628829999999875</f>
        <v>507.64097100000004</v>
      </c>
      <c r="G62" s="3">
        <f>683.8+(394.7-454.9)+(-0.697476+(-0.402594--0.463998))+0-131--0.133620000000021</f>
        <v>492.0975479999999</v>
      </c>
      <c r="H62" s="3">
        <f>680.5+(343.2-412.4)+(-1.041165+(-0.525096--0.630972))+0-129.6--0.198288000000007</f>
        <v>480.96299899999991</v>
      </c>
      <c r="I62" s="3">
        <f>657.5+(303.7-349.1)+(-0.67065+(-0.309774--0.356082))+0-134.8--0.137496000000022</f>
        <v>476.81315399999994</v>
      </c>
      <c r="J62" s="3">
        <f>654.8+(223.5-277.9)+(-1.001844+(-0.341955--0.425187))+0-122.7--0.187731000000007</f>
        <v>476.96911899999992</v>
      </c>
      <c r="K62" s="3">
        <f>652.5+(167.1-230.9)+(-1.663875+(-0.426105--0.588795))+0-124.2--0.316709999999982</f>
        <v>463.31552500000009</v>
      </c>
      <c r="L62" s="3">
        <f>662.2+(178.8-243.1)+(-0.337722+(-0.091188--0.123981))+0-120.3--0.0613529999999878</f>
        <v>477.35642400000006</v>
      </c>
      <c r="M62" s="3">
        <f>659.1+(197.1-199.8)+(-0.336141+(-0.100521--0.101898))+0-121.9--0.0621689999999876</f>
        <v>534.22740500000009</v>
      </c>
      <c r="N62" s="3">
        <f>629.4+(208-137.4)+(-0.320994+(-0.10608--0.070074))+0-124.5--0.0634949999999874</f>
        <v>575.20649500000002</v>
      </c>
      <c r="O62" s="3">
        <f>651.3+(229.7-162.3)+(0+(0-0))+0-121.2-0</f>
        <v>597.49999999999989</v>
      </c>
      <c r="P62" s="3">
        <f>649.4+(189.8-87.4)+(-0.331194+(-0.096798--0.044574))+0-134.6--0.0686459999999863</f>
        <v>616.88522799999987</v>
      </c>
      <c r="Q62" s="3">
        <f>651.6+(299.2-186.6)+(0+(0-0))+0-130.1-0</f>
        <v>634.1</v>
      </c>
      <c r="R62" s="3">
        <f>653.9+(471.4-357.2)+(0.333489+(0.240414-0.182172))+0-122.4-0.0624239999999876</f>
        <v>646.02930700000002</v>
      </c>
      <c r="S62" s="3">
        <f>674+(632.7-533.5)+(-0.68748+(-0.645354--0.54417))+0-128.3--0.13086600000002</f>
        <v>644.24220199999991</v>
      </c>
      <c r="T62" s="3">
        <f>624.4+(724.2-598.6)+(0.318444+(0.369342-0.305286))+0-125.4-0.0639539999999873</f>
        <v>624.91854600000011</v>
      </c>
      <c r="U62" s="3">
        <f>616.6+(715.2-583.6)+(-0.314466+(-0.364752--0.297636))+0-136.7--0.0697169999999861</f>
        <v>611.18813499999999</v>
      </c>
      <c r="V62" s="3">
        <f>642.2+(576.9-485.5)+(-1.310088+(-1.176876--0.99042))+0-129.1--0.263363999999994</f>
        <v>603.26682000000005</v>
      </c>
      <c r="W62" s="3">
        <f>609+(348.5-212.8)+(-1.86354+(-1.06641--0.651168))+0-133--0.406980000000015</f>
        <v>609.82819800000004</v>
      </c>
      <c r="X62" s="3">
        <f>579.1+(231.6-80.7)+(-0.886023+(-0.354348--0.123471))+0-117.8--0.180234000000007</f>
        <v>611.2633340000001</v>
      </c>
      <c r="Y62" s="3">
        <f>592.4+(255.9-113)+(-0.302124+(-0.130509--0.05763))+0-126.9--0.0647189999999871</f>
        <v>608.08971599999995</v>
      </c>
      <c r="Z62" s="3">
        <f>648.7+(231.4-132.5)+(-0.330837+(-0.118014--0.067575))+0-128.5--0.065534999999987</f>
        <v>618.78425900000002</v>
      </c>
      <c r="AA62" s="3">
        <f>635.2+(294.9-187.4)+(-0.971856+(-0.451197--0.286722))+0-136.2--0.208386000000008</f>
        <v>605.57205500000009</v>
      </c>
      <c r="AB62" s="3">
        <f>661.4+(320.6-257.2)+(-1.011942+(-0.490518--0.393516))+0-125.6--0.192168000000007</f>
        <v>598.28322400000002</v>
      </c>
      <c r="AC62" s="3">
        <f>650.4+(336.1-287.1)+(-1.326816+(-0.685644--0.585684))+0-124.2--0.253367999999995</f>
        <v>574.02659199999994</v>
      </c>
      <c r="AD62">
        <v>618</v>
      </c>
      <c r="AE62" s="3">
        <f>633+(309-188)+(0+(0-0))+0-136-0</f>
        <v>618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579.7+(343.5-242.2)+(-1.182588+(-0.70074--0.494088))+0-121--0.246839999999995</f>
        <v>558.85760000000005</v>
      </c>
      <c r="G63" s="3">
        <f>568.1+(309.6-205.5)+(-1.448655+(-0.78948--0.524025))+0-127.9--0.326144999999981</f>
        <v>542.91203500000006</v>
      </c>
      <c r="H63" s="3">
        <f>566.8+(275-180.3)+(-0.578136+(-0.2805--0.183906))+0-126.6--0.12913200000002</f>
        <v>534.35440200000005</v>
      </c>
      <c r="I63" s="3">
        <f>566.3+(276-183.3)+(-1.155252+(-0.56304--0.373932))+0-135.1--0.275603999999994</f>
        <v>522.83124399999997</v>
      </c>
      <c r="J63" s="3">
        <f>559.2+(235.3-149.1)+(-1.996344+(-0.840021--0.532287))+0-130.4--0.465528000000002</f>
        <v>513.16145000000006</v>
      </c>
      <c r="K63" s="3">
        <f>558.3+(221.4-147.9)+(-1.993131+(-0.790398--0.528003))+0-128.3--0.458031000000002</f>
        <v>501.70250499999992</v>
      </c>
      <c r="L63" s="3">
        <f>564.2+(226.5-159.7)+(-0.863226+(-0.346545--0.244341))+0-123.2--0.188496000000007</f>
        <v>507.02306600000003</v>
      </c>
      <c r="M63" s="3">
        <f>581.8+(285-199.1)+(0.593436+(0.2907-0.203082))+0-120.6-0.123012000000019</f>
        <v>547.65804199999991</v>
      </c>
      <c r="N63" s="3">
        <f>562.4+(309.6-153.6)+(0.286824+(0.157896-0.078336))+0-132.4-0.0675239999999866</f>
        <v>586.2988600000001</v>
      </c>
      <c r="O63" s="3">
        <f>482.3+(338.1-95.3)+(-0.245973+(-0.172431--0.048603))+0-126.1--0.0643109999999872</f>
        <v>598.69450999999992</v>
      </c>
      <c r="P63" s="3">
        <f>491.4+(313.5-68.3)+(-0.250614+(-0.159885--0.034833))+0-125.8--0.0641579999999872</f>
        <v>610.48849199999995</v>
      </c>
      <c r="Q63" s="3">
        <f>595.9+(343.8-189.5)+(-0.911727+(-0.526014--0.289935))+0-121.9--0.186507000000007</f>
        <v>627.33870100000013</v>
      </c>
      <c r="R63" s="3">
        <f>645.4+(467.6-335.8)+(0+(0-0))+0-136.2-0</f>
        <v>641</v>
      </c>
      <c r="S63" s="3">
        <f>653+(576.1-470.3)+(-0.33303+(-0.293811--0.239853))+0-132.3--0.0674729999999866</f>
        <v>626.18048499999998</v>
      </c>
      <c r="T63" s="3">
        <f>655.5+(609.6-537.6)+(0+(0-0))+0-128.5-0</f>
        <v>599</v>
      </c>
      <c r="U63" s="3">
        <f>652.6+(653.1-578.9)+(-1.331304+(-1.332324--1.180956))+0-131.6--0.268463999999994</f>
        <v>593.98579200000006</v>
      </c>
      <c r="V63" s="3">
        <f>659.2+(561.7-484.5)+(-1.008576+(-0.859401--0.741285))+0-126.6--0.193698000000007</f>
        <v>608.86700600000006</v>
      </c>
      <c r="W63" s="3">
        <f>654.7+(324-244.9)+(-1.001691+(-0.49572--0.374697))+0-122.4--0.187272000000007</f>
        <v>610.46455800000012</v>
      </c>
      <c r="X63" s="3">
        <f>654.9+(204.8-126.9)+(-3.005991+(-0.940032--0.582471))+0-129.2--0.593028000000022</f>
        <v>600.82947599999989</v>
      </c>
      <c r="Y63" s="3">
        <f>650.3+(206.9-149.4)+(-1.326612+(-0.422076--0.304776))+0-117.5--0.239699999999995</f>
        <v>589.09578799999997</v>
      </c>
      <c r="Z63" s="3">
        <f>652.7+(235.5-156.7)+(-0.998631+(-0.360315--0.239751))+0-124.2--0.190026000000007</f>
        <v>606.37083099999995</v>
      </c>
      <c r="AA63" s="3">
        <f>654.4+(243.8-171.2)+(-2.002464+(-0.746028--0.523872))+0-128.4--0.392904000000015</f>
        <v>596.76828400000011</v>
      </c>
      <c r="AB63" s="3">
        <f>657.1+(260.9-219.9)+(-1.340484+(-0.532236--0.448596))+0-118.5--0.241739999999995</f>
        <v>578.41761600000007</v>
      </c>
      <c r="AC63" s="3">
        <f>664.5+(286.8-277.8)+(-0.338895+(-0.146268--0.141678))+0-121.7--0.0620669999999877</f>
        <v>551.51858199999992</v>
      </c>
      <c r="AD63">
        <v>587.9</v>
      </c>
      <c r="AE63" s="3">
        <f>662+(227.9-174.5)+(0+(0-0))+0-127.5-0</f>
        <v>587.9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668.4+(266.1-281.5)+(-1.70442+(-0.678555--0.717825))+0-115.7--0.295034999999983</f>
        <v>535.9298849999999</v>
      </c>
      <c r="G64" s="3">
        <f>678.2+(163.2-197.5)+(-0.345882+(-0.083232--0.100725))+0-117.9--0.060128999999988</f>
        <v>525.73174000000006</v>
      </c>
      <c r="H64" s="3">
        <f>685.2+(159.5-200.9)+(0.698904+(0.16269-0.204918))+0-125-0.12750000000002</f>
        <v>519.32917599999996</v>
      </c>
      <c r="I64" s="3">
        <f>675+(155.2-205.5)+(-1.03275+(-0.237456--0.314415))+0-108.6--0.166158000000006</f>
        <v>515.31036700000004</v>
      </c>
      <c r="J64" s="3">
        <f>674.2+(164.7-203.3)+(-1.375368+(-0.335988--0.414732))+0-128.6--0.262343999999994</f>
        <v>505.96572000000003</v>
      </c>
      <c r="K64" s="3">
        <f>672.7+(171.5-237.9)+(-2.744616+(-0.69972--0.970632))+0-115.1--0.46960799999999</f>
        <v>489.19590400000004</v>
      </c>
      <c r="L64" s="3">
        <f>674.9+(241.7-293)+(-2.409393+(-0.862869--1.04601))+0-120.6--0.430542000000002</f>
        <v>501.20428999999984</v>
      </c>
      <c r="M64" s="3">
        <f>681.9+(263.5-291.5)+(0+(0-0))+0-109.7-0</f>
        <v>544.19999999999993</v>
      </c>
      <c r="N64" s="3">
        <f>642+(307.1-269.4)+(-1.30968+(-0.626484--0.549576))+0-114.9--0.234395999999995</f>
        <v>563.64780800000005</v>
      </c>
      <c r="O64" s="3">
        <f>668.9+(283.4-246.2)+(0.682278+(0.289068-0.251124))+0-120.1-0.122502000000019</f>
        <v>586.59771999999987</v>
      </c>
      <c r="P64" s="3">
        <f>667.4+(217.3-148.3)+(0.340374+(0.110823-0.075633))+0-126.5-0.0645149999999872</f>
        <v>610.211049</v>
      </c>
      <c r="Q64" s="3">
        <f>675+(201-109.4)+(-0.34425+(-0.10251--0.055794))+0-101--0.0515099999999898</f>
        <v>665.26054399999998</v>
      </c>
      <c r="R64" s="3">
        <f>688.2+(292.7-226.4)+(0+(0-0))+0-120.7-0</f>
        <v>633.79999999999995</v>
      </c>
      <c r="S64" s="3">
        <f>672.5+(427.9-351.5)+(-1.028925+(-0.654687--0.537795))+0-122.1--0.186813000000007</f>
        <v>625.84099600000002</v>
      </c>
      <c r="T64" s="3">
        <f>668.7+(460-412.4)+(-0.341037+(-0.2346--0.210324))+0-111.3--0.0567629999999887</f>
        <v>604.69145000000003</v>
      </c>
      <c r="U64" s="3">
        <f>678.4+(450.8-409.1)+(0.345984+(0.229908-0.208641))+0-116.5-0.0594149999999882</f>
        <v>603.90783599999997</v>
      </c>
      <c r="V64" s="3">
        <f>684.1+(333.6-300.1)+(-1.046673+(-0.510408--0.459153))+0-116.5--0.178245000000007</f>
        <v>600.18031700000006</v>
      </c>
      <c r="W64" s="3">
        <f>663.5+(187.6-122)+(-1.35354+(-0.382704--0.24888))+0-123--0.250919999999995</f>
        <v>604.86355600000002</v>
      </c>
      <c r="X64" s="3">
        <f>631.9+(259.1-168.6)+(-1.933614+(-0.792846--0.515916))+0-127.3--0.389538000000015</f>
        <v>593.27899400000001</v>
      </c>
      <c r="Y64" s="3">
        <f>642.5+(215.7-142.5)+(0+(0-0))+0-123.5-0</f>
        <v>592.20000000000005</v>
      </c>
      <c r="Z64" s="3">
        <f>673+(179.3-122.5)+(-0.68646+(-0.182886--0.12495))+0-119.7--0.122094000000019</f>
        <v>609.47769799999992</v>
      </c>
      <c r="AA64" s="3">
        <f>701.7+(172.4-146.1)+(-0.715734+(-0.175848--0.149022))+0-123.8--0.12627600000002</f>
        <v>603.58371600000009</v>
      </c>
      <c r="AB64" s="3">
        <f>701.2+(174.3-159)+(-1.072836+(-0.266679--0.24327))+0-126.5--0.193545000000007</f>
        <v>589.09730000000002</v>
      </c>
      <c r="AC64" s="3">
        <f>656.8+(187.2-161)+(-1.67484+(-0.47736--0.41055))+0-120.6--0.307529999999982</f>
        <v>560.96587999999986</v>
      </c>
      <c r="AD64">
        <v>588.09999999999991</v>
      </c>
      <c r="AE64" s="3">
        <f>703+(170-146.7)+(0+(0-0))+0-138.2-0</f>
        <v>588.09999999999991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618.4+(218.7-156.9)+(-1.57692+(-0.557685--0.400095))+0-120.9--0.308294999999982</f>
        <v>557.87378499999988</v>
      </c>
      <c r="G65" s="3">
        <f>609.1+(199.3-144.3)+(-1.553205+(-0.508215--0.367965))+0-125.2--0.319259999999982</f>
        <v>537.52580499999999</v>
      </c>
      <c r="H65" s="3">
        <f>611.1+(193.5-156.8)+(-0.623322+(-0.19737--0.159936))+0-115.6--0.117912000000018</f>
        <v>531.65715599999999</v>
      </c>
      <c r="I65" s="3">
        <f>641.8+(171.5-170.7)+(-1.309272+(-0.34986--0.348228))+0-122.2--0.249287999999995</f>
        <v>519.33838399999979</v>
      </c>
      <c r="J65" s="3">
        <f>644.4+(174.2-178.9)+(-1.64322+(-0.44421--0.456195))+0-124.6--0.317729999999982</f>
        <v>513.78649499999995</v>
      </c>
      <c r="K65" s="3">
        <f>645.7+(178.8-219.2)+(-0.987921+(-0.273564--0.335376))+0-112.2--0.171666000000006</f>
        <v>492.3455570000001</v>
      </c>
      <c r="L65" s="3">
        <f>623.6+(232.4-239)+(-0.954108+(-0.355572--0.36567))+0-117.9--0.180387000000007</f>
        <v>498.33637699999997</v>
      </c>
      <c r="M65" s="3">
        <f>622.3+(211.5-180.7)+(0.952119+(0.323595-0.276471))+0-117.3-0.179469000000007</f>
        <v>536.61977399999989</v>
      </c>
      <c r="N65" s="3">
        <f>614.9+(268.7-192.6)+(-1.254396+(-0.548148--0.392904))+0-117.2--0.239087999999995</f>
        <v>572.62944800000002</v>
      </c>
      <c r="O65" s="3">
        <f>655.4+(230.3-164.6)+(-1.002762+(-0.352359--0.251838))+0-125--0.191250000000007</f>
        <v>595.18796699999996</v>
      </c>
      <c r="P65" s="3">
        <f>612+(245.9-120.4)+(-0.31212+(-0.125409--0.061404))+0-124.1--0.0632909999999874</f>
        <v>613.08716599999991</v>
      </c>
      <c r="Q65" s="3">
        <f>483.6+(324.8-70.9)+(0+(0-0))+0-116.9-0</f>
        <v>620.6</v>
      </c>
      <c r="R65" s="3">
        <f>417.7+(430.5-93.9)+(-0.639081+(-0.658665--0.143667))+0-126.5--0.193545000000007</f>
        <v>626.8394659999999</v>
      </c>
      <c r="S65" s="3">
        <f>486.8+(471.4-207.2)+(-0.496536+(-0.480828--0.211344))+0-129.5--0.132090000000021</f>
        <v>620.86607000000004</v>
      </c>
      <c r="T65" s="3">
        <f>607.8+(437.6-318)+(-0.309978+(-0.223176--0.16218))+0-127.9--0.065228999999987</f>
        <v>599.19425499999988</v>
      </c>
      <c r="U65" s="3">
        <f>645.7+(372.2-300.1)+(-1.646535+(-0.94911--0.765255))+0-124.1--0.316454999999982</f>
        <v>592.18606499999999</v>
      </c>
      <c r="V65" s="3">
        <f>645.7+(275.6-201.6)+(-2.305149+(-0.983892--0.719712))+0-124.4--0.444108000000002</f>
        <v>593.17477900000006</v>
      </c>
      <c r="W65" s="3">
        <f>645.2+(202.2-116.1)+(-2.303364+(-0.721854--0.414477))+0-132--0.471240000000002</f>
        <v>597.16049900000007</v>
      </c>
      <c r="X65" s="3">
        <f>643+(352-280.3)+(-2.62344+(-1.43616--1.143624))+0-119.6--0.48796799999999</f>
        <v>592.67199200000005</v>
      </c>
      <c r="Y65" s="3">
        <f>646.1+(287.2-227.7)+(-1.647555+(-0.73236--0.580635))+0-118.2--0.301409999999983</f>
        <v>585.90213000000006</v>
      </c>
      <c r="Z65" s="3">
        <f>655.4+(212.6-134.4)+(-0.334254+(-0.108426--0.068544))+0-126.2--0.0643619999999872</f>
        <v>607.0902259999998</v>
      </c>
      <c r="AA65" s="3">
        <f>650.3+(201.7-130.4)+(-1.658265+(-0.514335--0.33252))+0-125.9--0.321044999999982</f>
        <v>594.18096500000001</v>
      </c>
      <c r="AB65" s="3">
        <f>636.1+(193.3-145.1)+(-1.297644+(-0.394332--0.296004))+0-110.1--0.224603999999995</f>
        <v>573.02863200000002</v>
      </c>
      <c r="AC65" s="3">
        <f>622+(202.9-156.8)+(-1.26888+(-0.413916--0.319872))+0-119.5--0.243779999999995</f>
        <v>547.48085600000002</v>
      </c>
      <c r="AD65">
        <v>593.79999999999995</v>
      </c>
      <c r="AE65" s="3">
        <f>658+(207.8-128.1)+(0+(0-0))+0-143.9-0</f>
        <v>593.80000000000007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628.6+(190.7-160.4)+(0+(0-0))+0-122.3-0</f>
        <v>536.6</v>
      </c>
      <c r="G66" s="3">
        <f>634.6+(191.7-187.2)+(-0.970938+(-0.293301--0.286416))+0-119.3--0.182529000000007</f>
        <v>519.00470600000017</v>
      </c>
      <c r="H66" s="3">
        <f>635.1+(187.2-193.5)+(-0.647802+(-0.190944--0.19737))+0-127.6--0.13015200000002</f>
        <v>500.6887759999999</v>
      </c>
      <c r="I66" s="3">
        <f>636.8+(182-207.2)+(-0.324768+(-0.09282--0.105672))+0-115.8--0.0590579999999883</f>
        <v>495.54714199999989</v>
      </c>
      <c r="J66" s="3">
        <f>632+(188.9-213.6)+(-1.6116+(-0.481695--0.54468))+0-115.5--0.294524999999983</f>
        <v>490.54590999999988</v>
      </c>
      <c r="K66" s="3">
        <f>635.6+(181-224.7)+(-1.62078+(-0.46155--0.572985))+0-120--0.305999999999983</f>
        <v>470.69665500000002</v>
      </c>
      <c r="L66" s="3">
        <f>562.3+(213.5-183.5)+(-0.286773+(-0.108885--0.093585))+0-112--0.0571199999999886</f>
        <v>480.055047</v>
      </c>
      <c r="M66" s="3">
        <f>550.1+(238-148.5)+(0.280551+(0.12138-0.075735))+0-119.3-0.0608429999999879</f>
        <v>520.56535300000007</v>
      </c>
      <c r="N66" s="3">
        <f>581.6+(276.7-187.2)+(0.296616+(0.141117-0.095472))+0-121.9-0.0621689999999876</f>
        <v>549.48009200000001</v>
      </c>
      <c r="O66" s="3">
        <f>649.9+(288.8-241)+(-0.331449+(-0.147288--0.12291))+0-120.6--0.0615059999999878</f>
        <v>576.80567900000005</v>
      </c>
      <c r="P66" s="3">
        <f>663.7+(208.9-163.1)+(0.338487+(0.106539-0.083181))+0-124.3-0.0633929999999874</f>
        <v>585.49845200000004</v>
      </c>
      <c r="Q66" s="3">
        <f>687.2+(170.6-140.1)+(-0.350472+(-0.087006--0.071451))+0-114.2--0.0582419999999884</f>
        <v>603.19221499999992</v>
      </c>
      <c r="R66" s="3">
        <f>727.4+(232.1-231.5)+(-0.370974+(-0.118371--0.118065))+0-115.8--0.0590579999999883</f>
        <v>611.88777800000003</v>
      </c>
      <c r="S66" s="3">
        <f>732.7+(318.1-333.8)+(-0.747354+(-0.324462--0.340476))+0-123.1--0.12556200000002</f>
        <v>593.29422199999999</v>
      </c>
      <c r="T66" s="3">
        <f>731.6+(378.8-396.6)+(0+(0-0))+0-123.5-0</f>
        <v>590.29999999999995</v>
      </c>
      <c r="U66" s="3">
        <f>728+(354-387.4)+(-2.22768+(-1.08324--1.185444))+0-132--0.403920000000015</f>
        <v>560.87844399999994</v>
      </c>
      <c r="V66" s="3">
        <f>732.3+(238.6-266.5)+(-1.867365+(-0.60843--0.679575))+0-127.8--0.325889999999981</f>
        <v>575.12967000000003</v>
      </c>
      <c r="W66" s="3">
        <f>731.9+(166.7-200.6)+(-2.239614+(-0.510102--0.613836))+0-125--0.382500000000014</f>
        <v>571.24662000000001</v>
      </c>
      <c r="X66" s="3">
        <f>730.7+(274.1-309.8)+(-1.863285+(-0.698955--0.78999))+0-127.2--0.324359999999982</f>
        <v>566.35210999999993</v>
      </c>
      <c r="Y66" s="3">
        <f>693.2+(244.6-238.9)+(-0.353532+(-0.124746--0.121839))+0-126.9--0.0647189999999871</f>
        <v>571.70828000000006</v>
      </c>
      <c r="Z66" s="3">
        <f>693.9+(198.3-169)+(-0.707778+(-0.202266--0.17238))+0-122.2--0.124644000000019</f>
        <v>600.38697999999999</v>
      </c>
      <c r="AA66" s="3">
        <f>687.4+(195.2-166.8)+(-1.402296+(-0.398208--0.340272))+0-122.7--0.250307999999995</f>
        <v>591.89007599999991</v>
      </c>
      <c r="AB66" s="3">
        <f>698.9+(182.4-188.5)+(-1.782195+(-0.46512--0.480675))+0-123.9--0.315944999999982</f>
        <v>567.44930499999987</v>
      </c>
      <c r="AC66" s="3">
        <f>695+(226.5-233.2)+(-1.06335+(-0.346545--0.356796))+0-115.8--0.177174000000007</f>
        <v>571.62407500000006</v>
      </c>
      <c r="AD66">
        <v>608.70000000000005</v>
      </c>
      <c r="AE66" s="3">
        <f>700+(198.7-162.2)+(0+(0-0))+0-127.8-0</f>
        <v>608.70000000000005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668.1+(317.9-331.6)+(-1.703655+(-0.810645--0.84558))+0-121.9--0.310844999999982</f>
        <v>531.14212499999996</v>
      </c>
      <c r="G67" s="3">
        <f>664.5+(268.2-302.3)+(-1.35558+(-0.547128--0.616692))+0-117.8--0.240311999999995</f>
        <v>511.55429599999997</v>
      </c>
      <c r="H67" s="3">
        <f>665.9+(248-286.3)+(-1.018827+(-0.37944--0.438039))+0-123.8--0.189414000000007</f>
        <v>503.02918599999987</v>
      </c>
      <c r="I67" s="3">
        <f>669.7+(191.8-252.5)+(-1.366188+(-0.391272--0.5151))+0-112.4--0.229295999999995</f>
        <v>495.58693600000004</v>
      </c>
      <c r="J67" s="3">
        <f>678.4+(169.3-248.5)+(0.345984+(0.086343-0.126735))+0-117.8-0.0600779999999881</f>
        <v>481.64551400000011</v>
      </c>
      <c r="K67" s="3">
        <f>666.8+(177-246.2)+(-1.70034+(-0.45135--0.62781))+0-119.2--0.303959999999983</f>
        <v>477.18007999999992</v>
      </c>
      <c r="L67" s="3">
        <f>673.1+(170.9-246.1)+(-1.029843+(-0.261477--0.376533))+0-112.8--0.172584000000007</f>
        <v>484.35779700000006</v>
      </c>
      <c r="M67" s="3">
        <f>692.5+(191.4-245.7)+(1.765875+(0.48807-0.626535))+0-124.6-0.317729999999982</f>
        <v>514.90968000000009</v>
      </c>
      <c r="N67" s="3">
        <f>679.5+(184.2-200.2)+(-0.346545+(-0.093942--0.102102))+0-111.1--0.0566609999999887</f>
        <v>552.11827599999992</v>
      </c>
      <c r="O67" s="3">
        <f>684.7+(183.1-178.2)+(0.698394+(0.186762-0.181764))+0-128.4-0.13096800000002</f>
        <v>561.772424</v>
      </c>
      <c r="P67" s="3">
        <f>680+(185.2-161.3)+(-0.3468+(-0.094452--0.082263))+0-131.4--0.0670139999999867</f>
        <v>572.20802500000002</v>
      </c>
      <c r="Q67" s="3">
        <f>683.6+(295.1-258.9)+(0.697272+(0.301002-0.264078))+0-133.5-0.136170000000021</f>
        <v>586.89802600000007</v>
      </c>
      <c r="R67" s="3">
        <f>685.3+(442.5-391.2)+(-0.699006+(-0.45135--0.399024))+0-138.3--0.141066000000022</f>
        <v>597.68973399999993</v>
      </c>
      <c r="S67" s="3">
        <f>682+(525-491.2)+(-1.7391+(-1.33875--1.25256))+0-127.8--0.325889999999981</f>
        <v>586.50059999999996</v>
      </c>
      <c r="T67" s="3">
        <f>682.7+(539.2-534.7)+(-1.740885+(-1.37496--1.363485))+0-123.8--0.315689999999982</f>
        <v>561.96333000000016</v>
      </c>
      <c r="U67" s="3">
        <f>681.4+(492.8-478.5)+(-1.042542+(-0.753984--0.732105))+0-137.6--0.210528000000008</f>
        <v>557.24610699999994</v>
      </c>
      <c r="V67" s="3">
        <f>677.4+(398.3-391.6)+(-0.690948+(-0.406266--0.399432))+0-130.8--0.133416000000021</f>
        <v>552.735634</v>
      </c>
      <c r="W67" s="3">
        <f>671.4+(195.2-182.7)+(-0.684828+(-0.199104--0.186354))+0-131.4--0.134028000000021</f>
        <v>551.93645000000004</v>
      </c>
      <c r="X67" s="3">
        <f>665.3+(200.9-190.9)+(-2.035818+(-0.614754--0.584154))+0-128.3--0.392598000000015</f>
        <v>545.32617999999991</v>
      </c>
      <c r="Y67" s="3">
        <f>663.9+(262.3-246.3)+(-0.677178+(-0.267546--0.251226))+0-140.8--0.143616000000022</f>
        <v>538.55011800000011</v>
      </c>
      <c r="Z67" s="3">
        <f>688.3+(199.6-188.4)+(-0.702066+(-0.203592--0.192168))+0-128.3--0.13086600000002</f>
        <v>570.61737599999992</v>
      </c>
      <c r="AA67" s="3">
        <f>692.4+(183.8-193.3)+(-1.412496+(-0.374952--0.394332))+0-126--0.257039999999995</f>
        <v>555.76392399999997</v>
      </c>
      <c r="AB67" s="3">
        <f>694.5+(266-301.9)+(-1.770975+(-0.6783--0.769845))+0-123.4--0.314669999999982</f>
        <v>533.83524</v>
      </c>
      <c r="AC67" s="3">
        <f>671.5+(344.6-365.7)+(0+(0-0))+0-126.6-0</f>
        <v>523.80000000000007</v>
      </c>
      <c r="AD67">
        <v>553.10000000000014</v>
      </c>
      <c r="AE67" s="3">
        <f>697+(176.1-197.2)+(0+(0-0))+0-122.8-0</f>
        <v>553.1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662+(375.5-397.5)+(-1.35048+(-0.76602--0.8109))+0-134.7--0.274787999999994</f>
        <v>504.26918799999999</v>
      </c>
      <c r="G68" s="3">
        <f>667.4+(327.3-373.7)+(-0.680748+(-0.333846--0.381174))+0-124.5--0.12699000000002</f>
        <v>495.99357000000003</v>
      </c>
      <c r="H68" s="3">
        <f>664.7+(280.7-335.9)+(-1.016991+(-0.429471--0.513927))+0-128--0.195840000000007</f>
        <v>480.763305</v>
      </c>
      <c r="I68" s="3">
        <f>650.8+(232-274.9)+(0+(0-0))+0-127.9-0</f>
        <v>480</v>
      </c>
      <c r="J68" s="3">
        <f>559+(228.7-199.8)+(0.28509+(0.116637-0.101898))+0-123.7-0.0630869999999875</f>
        <v>464.43674200000004</v>
      </c>
      <c r="K68" s="3">
        <f>543.1+(198.3-171.4)+(-1.107924+(-0.404532--0.349656))+0-121.3--0.247451999999995</f>
        <v>447.78465200000005</v>
      </c>
      <c r="L68" s="3">
        <f>541.8+(202.4-176.8)+(-0.552636+(-0.206448--0.180336))+0-134--0.136680000000021</f>
        <v>432.95793199999997</v>
      </c>
      <c r="M68" s="3">
        <f>541.9+(155.1-142.9)+(-0.552738+(-0.158202--0.145758))+0-113.6--0.115872000000018</f>
        <v>440.05068999999986</v>
      </c>
      <c r="N68" s="3">
        <f>541.9+(156.6-123.7)+(-0.829107+(-0.239598--0.189261))+0-118.8--0.181764000000007</f>
        <v>455.3023199999999</v>
      </c>
      <c r="O68" s="3">
        <f>540.9+(166.8-118.3)+(-0.551718+(-0.170136--0.120666))+0-120.7--0.123114000000019</f>
        <v>468.22192600000005</v>
      </c>
      <c r="P68" s="3">
        <f>541+(228.9-152.1)+(-0.82773+(-0.350217--0.232713))+0-137.6--0.210528000000008</f>
        <v>479.46529399999991</v>
      </c>
      <c r="Q68" s="3">
        <f>623.6+(292-288.3)+(-0.954108+(-0.44676--0.441099))+0-138.9--0.212517000000008</f>
        <v>487.65274799999992</v>
      </c>
      <c r="R68" s="3">
        <f>690+(341.9-395.1)+(-0.3519+(-0.174369--0.201501))+0-136.4--0.0695639999999862</f>
        <v>500.14479600000004</v>
      </c>
      <c r="S68" s="3">
        <f>694.8+(379.9-434.2)+(-0.354348+(-0.193749--0.221442))+0-141.6--0.0722159999999856</f>
        <v>498.64556099999999</v>
      </c>
      <c r="T68" s="3">
        <f>672+(420.7-458.7)+(-1.37088+(-0.858228--0.935748))+0-139.1--0.283763999999994</f>
        <v>493.89040399999999</v>
      </c>
      <c r="U68" s="3">
        <f>651.3+(402.4-428.5)+(-0.332163+(-0.205224--0.218535))+0-131.4--0.0670139999999867</f>
        <v>493.54816199999993</v>
      </c>
      <c r="V68" s="3">
        <f>653.6+(302.5-320.7)+(-0.333336+(-0.154275--0.163557))+0-139--0.0708899999999859</f>
        <v>496.14683600000001</v>
      </c>
      <c r="W68" s="3">
        <f>615.6+(145.4-122.2)+(-1.255824+(-0.296616--0.249288))+0-144.7--0.295187999999994</f>
        <v>493.09203600000012</v>
      </c>
      <c r="X68" s="3">
        <f>582.6+(167.9-156.2)+(-1.48563+(-0.428145--0.39831))+0-110.6--0.282029999999984</f>
        <v>482.46656500000006</v>
      </c>
      <c r="Y68" s="3">
        <f>573+(166.6-115.3)+(-0.87669+(-0.254898--0.176409))+0-132.2--0.202266000000008</f>
        <v>491.34708699999993</v>
      </c>
      <c r="Z68" s="3">
        <f>639.9+(148.8-123.2)+(-0.979047+(-0.227664--0.188496))+0-131.9--0.201807000000008</f>
        <v>532.783592</v>
      </c>
      <c r="AA68" s="3">
        <f>683.9+(154.9-160.4)+(-1.046367+(-0.236997--0.245412))+0-140.2--0.214506000000008</f>
        <v>537.37655399999994</v>
      </c>
      <c r="AB68" s="3">
        <f>688.3+(209.4-241.4)+(-1.404132+(-0.427176--0.492456))+0-125.1--0.255203999999995</f>
        <v>530.11635200000001</v>
      </c>
      <c r="AC68" s="3">
        <f>687.6+(270.3-300.8)+(-1.052028+(-0.413559--0.460224))+0-140.6--0.215118000000008</f>
        <v>515.70975499999997</v>
      </c>
      <c r="AD68">
        <v>525.20000000000005</v>
      </c>
      <c r="AE68" s="3">
        <f>676+(184.4-179.5)+(0+(0-0))+0-155.7-0</f>
        <v>525.20000000000005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664+(270.9-307.2)+(-1.35456+(-0.552636--0.626688))+0-128.7--0.262547999999994</f>
        <v>497.98203999999998</v>
      </c>
      <c r="G69" s="3">
        <f>648.4+(230.7-273.1)+(-1.322736+(-0.470628--0.557124))+0-125.2--0.255407999999995</f>
        <v>479.81916800000005</v>
      </c>
      <c r="H69" s="3">
        <f>653.5+(163.1-212.7)+(-0.66657+(-0.166362--0.216954))+0-134.9--0.137598000000022</f>
        <v>468.52161999999998</v>
      </c>
      <c r="I69" s="3">
        <f>603.7+(171.3-178.8)+(-0.307887+(-0.087363--0.091188))+0-135--0.0688499999999863</f>
        <v>460.964788</v>
      </c>
      <c r="J69" s="3">
        <f>568.9+(196.3-162.2)+(-0.580278+(-0.200226--0.165444))+0-141.6--0.144432000000023</f>
        <v>460.929372</v>
      </c>
      <c r="K69" s="3">
        <f>613+(166.5-201.9)+(-1.56315+(-0.424575--0.514845))+0-130.5--0.332774999999981</f>
        <v>445.95989499999996</v>
      </c>
      <c r="L69" s="3">
        <f>651.4+(184.4-231.5)+(0+(0-0))+0-134.6-0</f>
        <v>469.69999999999993</v>
      </c>
      <c r="M69" s="3">
        <f>506.4+(246.1-104.3)+(-0.516528+(-0.251022--0.106386))+0-124--0.12648000000002</f>
        <v>523.66531600000008</v>
      </c>
      <c r="N69" s="3">
        <f>462.5+(340.9-123.6)+(-0.9435+(-0.695436--0.252144))+0-127.7--0.260507999999994</f>
        <v>550.97371599999985</v>
      </c>
      <c r="O69" s="3">
        <f>538.4+(324.3-135.5)+(-0.274584+(-0.165393--0.069105))+0-128.4--0.065483999999987</f>
        <v>598.49461200000007</v>
      </c>
      <c r="P69" s="3">
        <f>573.9+(257.2-98.3)+(0+(0-0))+0-131.4-0</f>
        <v>601.4</v>
      </c>
      <c r="Q69" s="3">
        <f>669.8+(172.4-90.4)+(0.683196+(0.175848-0.092208))+0-136.1-0.138822000000022</f>
        <v>616.32801399999994</v>
      </c>
      <c r="R69" s="3">
        <f>670.6+(296.5-198.3)+(-0.342006+(-0.151215--0.101133))+0-142.5--0.0726749999999855</f>
        <v>625.98058700000001</v>
      </c>
      <c r="S69" s="3">
        <f>670.6+(444.7-364.7)+(0+(0-0))+0-136.7-0</f>
        <v>613.90000000000009</v>
      </c>
      <c r="T69" s="3">
        <f>674.4+(470.8-416.3)+(-0.343944+(-0.240108--0.212313))+0-137.8--0.070277999999986</f>
        <v>590.79853900000001</v>
      </c>
      <c r="U69" s="3">
        <f>676+(435-391.2)+(-1.7238+(-1.10925--0.99756))+0-141.3--0.36031499999998</f>
        <v>577.02482499999985</v>
      </c>
      <c r="V69" s="3">
        <f>678.2+(341.5-288)+(-1.037646+(-0.522495--0.44064))+0-136--0.208080000000008</f>
        <v>594.78857900000003</v>
      </c>
      <c r="W69" s="3">
        <f>676.9+(197-135.7)+(-2.416533+(-0.70329--0.484449))+0-135.8--0.484806000000002</f>
        <v>600.24943200000018</v>
      </c>
      <c r="X69" s="3">
        <f>670.1+(348.7-303.4)+(-2.392257+(-1.244859--1.083138))+0-128--0.456960000000002</f>
        <v>585.30298200000004</v>
      </c>
      <c r="Y69" s="3">
        <f>678.5+(323.4-270.5)+(-0.346035+(-0.164934--0.137955))+0-139.7--0.0712469999999858</f>
        <v>591.398233</v>
      </c>
      <c r="Z69" s="3">
        <f>689+(206-139.4)+(-0.70278+(-0.21012--0.142188))+0-131.3--0.133926000000021</f>
        <v>623.66321399999993</v>
      </c>
      <c r="AA69" s="3">
        <f>710.1+(185.7-144.4)+(-2.172906+(-0.568242--0.441864))+0-147--0.449820000000017</f>
        <v>602.55053600000008</v>
      </c>
      <c r="AB69" s="3">
        <f>687+(227.3-201.9)+(-1.40148+(-0.463692--0.411876))+0-140.8--0.287231999999994</f>
        <v>570.43393600000002</v>
      </c>
      <c r="AC69" s="3">
        <f>659.1+(251.2-234)+(-2.016846+(-0.768672--0.71604))+0-127.5--0.390150000000015</f>
        <v>547.12067200000001</v>
      </c>
      <c r="AD69">
        <v>602.70000000000005</v>
      </c>
      <c r="AE69" s="3">
        <f>719+(183.1-157.9)+(0+(0-0))+0-141.5-0</f>
        <v>602.70000000000005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664.7+(216.8-206.9)+(-0.677994+(-0.221136--0.211038))+0-143.7--0.146574000000023</f>
        <v>530.35848199999998</v>
      </c>
      <c r="G70" s="3">
        <f>659.7+(167-195.8)+(-1.682235+(-0.42585--0.49929))+0-116.4--0.296819999999983</f>
        <v>513.18802500000015</v>
      </c>
      <c r="H70" s="3">
        <f>665.8+(176.8-202.9)+(-1.358232+(-0.360672--0.413916))+0-139.2--0.283967999999994</f>
        <v>499.47897999999998</v>
      </c>
      <c r="I70" s="3">
        <f>671.7+(169.9-221.3)+(-1.027701+(-0.259947--0.338589))+0-131--0.200430000000008</f>
        <v>488.55137100000002</v>
      </c>
      <c r="J70" s="3">
        <f>671.1+(168.3-229.2)+(-1.026783+(-0.257499--0.350676))+0-125.2--0.191556000000007</f>
        <v>484.25794999999999</v>
      </c>
      <c r="K70" s="3">
        <f>670.1+(168.6-239.7)+(-1.367004+(-0.343944--0.488988))+0-130.6--0.266423999999994</f>
        <v>467.44446399999998</v>
      </c>
      <c r="L70" s="3">
        <f>674.3+(197-272.8)+(-1.031679+(-0.30141--0.417384))+0-120--0.183600000000007</f>
        <v>477.76789500000001</v>
      </c>
      <c r="M70" s="3">
        <f>676.3+(189.6-237.3)+(-0.344913+(-0.096696--0.121023))+0-113--0.0576299999999885</f>
        <v>515.33704399999988</v>
      </c>
      <c r="N70" s="3">
        <f>674.5+(170-183.2)+(0+(0-0))+0-110-0</f>
        <v>551.29999999999995</v>
      </c>
      <c r="O70" s="3">
        <f>673.9+(227.6-215.5)+(0.343689+(0.116076-0.109905))+0-113.7-0.0579869999999885</f>
        <v>572.59187299999996</v>
      </c>
      <c r="P70" s="3">
        <f>670.3+(264.2-223.8)+(0.341853+(0.134742-0.114138))+0-118.5-0.060434999999988</f>
        <v>592.5020219999999</v>
      </c>
      <c r="Q70" s="3">
        <f>571.5+(228.9-72.9)+(0.291465+(0.116739-0.037179))+0-122.6-0.0625259999999876</f>
        <v>605.20849900000007</v>
      </c>
      <c r="R70" s="3">
        <f>479.8+(364.7-101.8)+(0+(0-0))+0-137.8-0</f>
        <v>604.90000000000009</v>
      </c>
      <c r="S70" s="3">
        <f>529.4+(369.1-168.9)+(0+(0-0))+0-134.3-0</f>
        <v>595.29999999999995</v>
      </c>
      <c r="T70" s="3">
        <f>570.3+(420.9-274.3)+(-0.872559+(-0.643977--0.419679))+0-125.3--0.191709000000007</f>
        <v>590.69485199999997</v>
      </c>
      <c r="U70" s="3">
        <f>524.3+(478.7-297.6)+(0.534786+(0.488274-0.303552))+0-129.8-0.132396000000021</f>
        <v>576.18711199999984</v>
      </c>
      <c r="V70" s="3">
        <f>608+(336.2-214.3)+(-0.62016+(-0.342924--0.218586))+0-146--0.148920000000023</f>
        <v>583.30442199999993</v>
      </c>
      <c r="W70" s="3">
        <f>604.3+(221.4-116.3)+(-2.157351+(-0.790398--0.415191))+0-127.3--0.454461000000002</f>
        <v>580.02190300000007</v>
      </c>
      <c r="X70" s="3">
        <f>609.4+(336.9-238.2)+(-1.55397+(-0.859095--0.60741))+0-133--0.339149999999981</f>
        <v>573.63349499999993</v>
      </c>
      <c r="Y70" s="3">
        <f>610.8+(290.8-197)+(-0.934524+(-0.444924--0.30141))+0-142.5--0.218025000000008</f>
        <v>561.23998699999993</v>
      </c>
      <c r="Z70" s="3">
        <f>618.6+(208.1-104.2)+(-0.630972+(-0.212262--0.106284))+0-135.6--0.138312000000022</f>
        <v>586.30136200000004</v>
      </c>
      <c r="AA70" s="3">
        <f>615.3+(196.9-105)+(-1.569015+(-0.502095--0.26775))+0-123.2--0.314159999999982</f>
        <v>582.5107999999999</v>
      </c>
      <c r="AB70" s="3">
        <f>609.7+(201.9-112.8)+(-1.243788+(-0.411876--0.230112))+0-126.6--0.258263999999994</f>
        <v>571.03271199999995</v>
      </c>
      <c r="AC70" s="3">
        <f>607.4+(208.3-136)+(-1.239096+(-0.424932--0.27744))+0-122.8--0.250511999999995</f>
        <v>555.76392400000009</v>
      </c>
      <c r="AD70">
        <v>581.09999999999991</v>
      </c>
      <c r="AE70" s="3">
        <f>624+(195.8-103.7)+(0+(0-0))+0-135-0</f>
        <v>581.1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615.8+(204.2-147.5)+(-0.628116+(-0.208284--0.15045))+0-121.6--0.124032000000019</f>
        <v>550.33808199999999</v>
      </c>
      <c r="G71" s="3">
        <f>607.7+(188.5-165.5)+(-1.239708+(-0.38454--0.33762))+0-110.4--0.225215999999995</f>
        <v>519.23858800000016</v>
      </c>
      <c r="H71" s="3">
        <f>609.8+(190.2-163.5)+(-1.243992+(-0.388008--0.33354))+0-113.7--0.231947999999995</f>
        <v>521.73348799999997</v>
      </c>
      <c r="I71" s="3">
        <f>609.6+(195.7-168.3)+(-0.932688+(-0.299421--0.257499))+0-125.1--0.191403000000007</f>
        <v>511.11679299999997</v>
      </c>
      <c r="J71" s="3">
        <f>617.2+(194.9-183.8)+(-0.314772+(-0.099399--0.093738))+0-124.7--0.0635969999999874</f>
        <v>503.34316400000012</v>
      </c>
      <c r="K71" s="3">
        <f>618.1+(209-222.5)+(-0.945693+(-0.31977--0.340425))+0-120.3--0.184059000000007</f>
        <v>483.55902100000003</v>
      </c>
      <c r="L71" s="3">
        <f>620.6+(280.5-281.4)+(-0.633012+(-0.28611--0.287028))+0-116.1--0.118422000000019</f>
        <v>503.08632799999998</v>
      </c>
      <c r="M71" s="3">
        <f>620.9+(315.4-276.6)+(0+(0-0))+0-110.1-0</f>
        <v>549.59999999999991</v>
      </c>
      <c r="N71" s="3">
        <f>624.4+(338.7-261.2)+(0.636888+(0.345474-0.266424))+0-122.7-0.12515400000002</f>
        <v>579.79078399999992</v>
      </c>
      <c r="O71" s="3">
        <f>620.5+(354.5-272.7)+(0.316455+(0.180795-0.139077))+0-103.9-0.0529889999999895</f>
        <v>598.70518399999992</v>
      </c>
      <c r="P71" s="3">
        <f>618.9+(274.8-175.7)+(0.315639+(0.140148-0.089607))+0-109.4-0.0557939999999889</f>
        <v>608.91038600000002</v>
      </c>
      <c r="Q71" s="3">
        <f>618.9+(194.5-95.9)+(0.631278+(0.19839-0.097818))+0-97.5-0.0994500000000155</f>
        <v>620.63239999999996</v>
      </c>
      <c r="R71" s="3">
        <f>612.5+(317-195.6)+(0.312375+(0.16167-0.099756))+0-104.4-0.0532439999999894</f>
        <v>629.82104500000003</v>
      </c>
      <c r="S71" s="3">
        <f>604.1+(465.9-336.8)+(-0.308091+(-0.237609--0.171768))+0-107.1--0.0546209999999891</f>
        <v>625.78068900000005</v>
      </c>
      <c r="T71" s="3">
        <f>546.2+(539.5-363.1)+(-0.278562+(-0.275145--0.185181))+0-112.5--0.0573749999999886</f>
        <v>609.78884900000003</v>
      </c>
      <c r="U71" s="3">
        <f>489.2+(501.5-265.6)+(-0.748476+(-0.767295--0.406368))+0-118.2--0.180846000000007</f>
        <v>605.97144299999979</v>
      </c>
      <c r="V71" s="3">
        <f>492.6+(390.7-170.5)+(-0.502452+(-0.398514--0.17391))+0-110.1--0.112302000000018</f>
        <v>602.08524599999998</v>
      </c>
      <c r="W71" s="3">
        <f>490.8+(292.9-71.6)+(-1.501848+(-0.896274--0.219096))+0-124.8--0.381888000000014</f>
        <v>585.50286200000005</v>
      </c>
      <c r="X71" s="3">
        <f>503.5+(412.8-231.8)+(-1.54071+(-1.263168--0.709308))+0-118--0.361080000000014</f>
        <v>564.76651000000004</v>
      </c>
      <c r="Y71" s="3">
        <f>506.3+(386.2-182.4)+(-1.032852+(-0.787848--0.372096))+0-136--0.277439999999994</f>
        <v>572.92883599999993</v>
      </c>
      <c r="Z71" s="3">
        <f>515.5+(316.2-101.4)+(-0.52581+(-0.322524--0.103428))+0-134.9--0.137598000000022</f>
        <v>594.79269199999999</v>
      </c>
      <c r="AA71" s="3">
        <f>507.5+(292.5-59.3)+(-1.55295+(-0.89505--0.181458))+0-145.5--0.445230000000017</f>
        <v>593.37868800000012</v>
      </c>
      <c r="AB71" s="3">
        <f>510.8+(287.8-96.3)+(-1.042032+(-0.587112--0.196452))+0-125.2--0.255407999999995</f>
        <v>575.92271599999992</v>
      </c>
      <c r="AC71" s="3">
        <f>518+(300.6-122.2)+(-0.26418+(-0.153306--0.062322))+0-129.8--0.0661979999999868</f>
        <v>566.31103400000006</v>
      </c>
      <c r="AD71">
        <v>577.30000000000007</v>
      </c>
      <c r="AE71" s="3">
        <f>515+(278-59.8)+(0+(0-0))+0-155.9-0</f>
        <v>577.30000000000007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507.2+(299.2-137.7)+(-0.517344+(-0.305184--0.140454))+0-119--0.121380000000019</f>
        <v>549.13930600000003</v>
      </c>
      <c r="G72" s="3">
        <f>468.2+(284.4-101)+(-0.955128+(-0.580176--0.20604))+0-122.8--0.250511999999995</f>
        <v>527.72124799999995</v>
      </c>
      <c r="H72" s="3">
        <f>470.9+(278.7-101.9)+(-0.960636+(-0.568548--0.207876))+0-133.3--0.271931999999994</f>
        <v>513.35062399999981</v>
      </c>
      <c r="I72" s="3">
        <f>472+(288.9-118.2)+(-0.96288+(-0.589356--0.241128))+0-139.4--0.284375999999994</f>
        <v>502.27326800000009</v>
      </c>
      <c r="J72" s="3">
        <f>473.4+(295.4-133.7)+(-0.241434+(-0.150654--0.068187))+0-135.1--0.0689009999999863</f>
        <v>499.74499999999989</v>
      </c>
      <c r="K72" s="3">
        <f>442.7+(286.3-119.5)+(-1.806216+(-1.168104--0.48756))+0-133.6--0.545087999999988</f>
        <v>473.95832799999994</v>
      </c>
      <c r="L72" s="3">
        <f>417.9+(380.3-184.9)+(-0.426258+(-0.387906--0.188598))+0-133.5--0.136170000000021</f>
        <v>479.3106039999999</v>
      </c>
      <c r="M72" s="3">
        <f>416.4+(428.8-183.4)+(-0.424728+(-0.437376--0.187068))+0-136.2--0.138924000000022</f>
        <v>525.06388800000002</v>
      </c>
      <c r="N72" s="3">
        <f>415.2+(495.3-226.5)+(0+(0-0))+0-121.9-0</f>
        <v>562.1</v>
      </c>
      <c r="O72" s="3">
        <f>528.7+(436.9-231)+(-0.539274+(-0.445638--0.23562))+0-129.7--0.132294000000021</f>
        <v>604.28300200000012</v>
      </c>
      <c r="P72" s="3">
        <f>548.8+(387.2-180.8)+(-0.839664+(-0.592416--0.276624))+0-143.9--0.220167000000008</f>
        <v>610.36471100000006</v>
      </c>
      <c r="Q72" s="3">
        <f>546.9+(289.6-68.7)+(-1.115676+(-0.590784--0.140148))+0-132.9--0.271115999999994</f>
        <v>633.60480399999994</v>
      </c>
      <c r="R72" s="3">
        <f>552.3+(358.6-126.6)+(-0.563346+(-0.365772--0.129132))+0-145.2--0.148104000000023</f>
        <v>638.44811799999991</v>
      </c>
      <c r="S72" s="3">
        <f>568.6+(412.4-210.7)+(-0.579972+(-0.420648--0.214914))+0-138.4--0.141168000000022</f>
        <v>631.25546199999997</v>
      </c>
      <c r="T72" s="3">
        <f>569.5+(428.2-246.3)+(0.290445+(0.218382-0.125613))+0-145.8-0.0743579999999852</f>
        <v>605.9088559999999</v>
      </c>
      <c r="U72" s="3">
        <f>570.1+(420.2-266.5)+(-0.581502+(-0.428604--0.27183))+0-121.4--0.123828000000019</f>
        <v>601.78555199999994</v>
      </c>
      <c r="V72" s="3">
        <f>565.9+(350-178.3)+(-2.020263+(-1.2495--0.636531))+0-126.7--0.452319000000002</f>
        <v>608.71908699999983</v>
      </c>
      <c r="W72" s="3">
        <f>541.8+(267.2-84.2)+(-0.552636+(-0.272544--0.085884))+0-125--0.12750000000002</f>
        <v>599.18820400000004</v>
      </c>
      <c r="X72" s="3">
        <f>537.1+(338.9-157.8)+(-1.369605+(-0.864195--0.40239))+0-135.5--0.34552499999998</f>
        <v>581.21411499999999</v>
      </c>
      <c r="Y72" s="3">
        <f>527.3+(369.3-172.2)+(0+(0-0))+0-142.1-0</f>
        <v>582.29999999999995</v>
      </c>
      <c r="Z72" s="3">
        <f>549+(338-131.5)+(0+(0-0))+0-144.3-0</f>
        <v>611.20000000000005</v>
      </c>
      <c r="AA72" s="3">
        <f>513.5+(323.2-64.4)+(-1.04754+(-0.659328--0.131376))+0-147.3--0.300491999999994</f>
        <v>623.7249999999998</v>
      </c>
      <c r="AB72" s="3">
        <f>519.9+(273.3-118.1)+(0+(0-0))+0-125.5-0</f>
        <v>549.6</v>
      </c>
      <c r="AC72" s="3">
        <f>539.1+(262.8-128.8)+(-1.099764+(-0.536112--0.262752))+0-120.2--0.245207999999995</f>
        <v>551.77208400000006</v>
      </c>
      <c r="AD72">
        <v>601.4</v>
      </c>
      <c r="AE72" s="3">
        <f>483+(356.9-71.6)+(0+(0-0))+0-166.9-0</f>
        <v>601.4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535.6+(279.3-117)+(-1.092624+(-0.569772--0.23868))+0-141.9--0.289475999999994</f>
        <v>554.86576000000014</v>
      </c>
      <c r="G73" s="3">
        <f>533+(270.3-139.2)+(-1.35915+(-0.689265--0.35496))+0-131.6--0.335579999999981</f>
        <v>531.14212499999996</v>
      </c>
      <c r="H73" s="3">
        <f>542.3+(258.8-151.2)+(-0.276573+(-0.131988--0.077112))+0-128.4--0.065483999999987</f>
        <v>521.23403499999995</v>
      </c>
      <c r="I73" s="3">
        <f>544.4+(262.6-161.8)+(0+(0-0))+0-137.4-0</f>
        <v>507.80000000000007</v>
      </c>
      <c r="J73" s="3">
        <f>541.4+(261.1-159.9)+(-0.552228+(-0.266322--0.163098))+0-142.8--0.145656000000023</f>
        <v>499.29020400000007</v>
      </c>
      <c r="K73" s="3">
        <f>536.8+(283.6-191.9)+(-1.36884+(-0.72318--0.489345))+0-137.4--0.35036999999998</f>
        <v>489.84769500000004</v>
      </c>
      <c r="L73" s="3">
        <f>549.5+(418.7-340.3)+(0.56049+(0.427074-0.347106))+0-134.3-0.136986000000021</f>
        <v>494.1034719999999</v>
      </c>
      <c r="M73" s="3">
        <f>541.6+(482.3-350.1)+(-0.276216+(-0.245973--0.178551))+0-138.1--0.070430999999986</f>
        <v>535.42679299999986</v>
      </c>
      <c r="N73" s="3">
        <f>537.1+(451-275.5)+(0.821763+(0.69003-0.421515))+0-131.4-0.201042000000008</f>
        <v>582.08923600000003</v>
      </c>
      <c r="O73" s="3">
        <f>429.8+(384.7-87)+(-0.219198+(-0.196197--0.04437))+0-129.2--0.0658919999999869</f>
        <v>597.994867</v>
      </c>
      <c r="P73" s="3">
        <f>452.4+(363.6-54.3)+(0+(0-0))+0-144.4-0</f>
        <v>617.30000000000007</v>
      </c>
      <c r="Q73" s="3">
        <f>552.4+(355.3-130.8)+(0+(0-0))+0-133.5-0</f>
        <v>643.4</v>
      </c>
      <c r="R73" s="3">
        <f>551.7+(463.3-233.6)+(0.281367+(0.236283-0.119136))+0-143.5-0.0731849999999854</f>
        <v>638.2253290000001</v>
      </c>
      <c r="S73" s="3">
        <f>557.9+(512.2-287.6)+(-1.138116+(-1.044888--0.586704))+0-147--0.299879999999994</f>
        <v>634.20357999999999</v>
      </c>
      <c r="T73" s="3">
        <f>547.6+(393.9-197.3)+(-1.117104+(-0.803556--0.402492))+0-133.2--0.271727999999994</f>
        <v>609.75356000000011</v>
      </c>
      <c r="U73" s="3">
        <f>528.2+(364.6-157.8)+(-0.538764+(-0.371892--0.160956))+0-131.7--0.134334000000021</f>
        <v>602.68463400000007</v>
      </c>
      <c r="V73" s="3">
        <f>515.2+(342.9-115)+(-1.051008+(-0.699516--0.2346))+0-135.5--0.276419999999994</f>
        <v>606.36049600000001</v>
      </c>
      <c r="W73" s="3">
        <f>502.6+(338.5-104.7)+(-1.28163+(-0.863175--0.266985))+0-122.8--0.313139999999982</f>
        <v>612.03532000000007</v>
      </c>
      <c r="X73" s="3">
        <f>493+(484.7-232.9)+(-2.5143+(-2.47197--1.18779))+0-139.1--0.70941000000001</f>
        <v>602.61092999999994</v>
      </c>
      <c r="Y73" s="3">
        <f>469+(507.9-228.8)+(-0.71757+(-0.777087--0.350064))+0-150.6--0.230418000000009</f>
        <v>596.58582499999989</v>
      </c>
      <c r="Z73" s="3">
        <f>410.5+(417.5-87.1)+(0.209355+(0.212925-0.044421))+0-131.6-0.0671159999999866</f>
        <v>609.61074299999996</v>
      </c>
      <c r="AA73" s="3">
        <f>410.9+(410.8-68.8)+(-0.838236+(-0.838032--0.140352))+0-141.3--0.288251999999994</f>
        <v>610.35233599999981</v>
      </c>
      <c r="AB73" s="3">
        <f>413.1+(366.7-59.4)+(-0.421362+(-0.374034--0.060588))+0-135.3--0.138006000000022</f>
        <v>584.503198</v>
      </c>
      <c r="AC73" s="3">
        <f>403.6+(366.8-53.2)+(-1.02918+(-0.93534--0.13566))+0-146.8--0.374339999999979</f>
        <v>568.94547999999998</v>
      </c>
      <c r="AD73">
        <v>612.6</v>
      </c>
      <c r="AE73" s="3">
        <f>402+(419.1-68.4)+(0+(0-0))+0-140.1-0</f>
        <v>612.6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399.5+(347.1-55.6)+(-1.018725+(-0.885105--0.14178))+0-137.8--0.35138999999998</f>
        <v>551.78933999999992</v>
      </c>
      <c r="G74" s="3">
        <f>407.3+(358.2-81)+(-1.038615+(-0.91341--0.20655))+0-150.5--0.383774999999978</f>
        <v>532.63829999999996</v>
      </c>
      <c r="H74" s="3">
        <f>419.8+(356.2-109.6)+(0.214098+(0.181662-0.055896))+0-142.3-0.0725729999999856</f>
        <v>524.36729099999991</v>
      </c>
      <c r="I74" s="3">
        <f>418.5+(409.9-174.9)+(-0.213435+(-0.209049--0.089199))+0-133.5--0.0680849999999865</f>
        <v>519.73479999999995</v>
      </c>
      <c r="J74" s="3">
        <f>414.7+(458.6-223)+(-1.480479+(-1.637202--0.79611))+0-139.3--0.497301000000002</f>
        <v>509.17572999999999</v>
      </c>
      <c r="K74" s="3">
        <f>415.3+(506.7-291.8)+(-1.906227+(-2.325753--1.339362))+0-138.9--0.637551000000024</f>
        <v>489.04493300000013</v>
      </c>
      <c r="L74" s="3">
        <f>420.4+(569.5-358.8)+(-1.07202+(-1.452225--0.91494))+0-142.7--0.363884999999979</f>
        <v>487.15457999999995</v>
      </c>
      <c r="M74" s="3">
        <f>430.6+(613-374.3)+(0.658818+(0.93789-0.572679))+0-139.3-0.213129000000008</f>
        <v>530.81089999999995</v>
      </c>
      <c r="N74" s="3">
        <f>427.3+(586.8-317.6)+(0.653769+(0.897804-0.485928))+0-131.2-0.200736000000008</f>
        <v>566.16490900000008</v>
      </c>
      <c r="O74" s="3">
        <f>423.7+(527.9-230.4)+(0.864348+(1.076916-0.470016))+0-127.6-0.260303999999994</f>
        <v>594.81094399999995</v>
      </c>
      <c r="P74" s="3">
        <f>415.8+(513.1-174.2)+(0.636174+(0.785043-0.266526))+0-130.9-0.200277000000008</f>
        <v>624.754414</v>
      </c>
      <c r="Q74" s="3">
        <f>466.5+(425.9-124.6)+(0+(0-0))+0-133.6-0</f>
        <v>634.19999999999993</v>
      </c>
      <c r="R74" s="3">
        <f>514.7+(316.9-64.6)+(-0.262497+(-0.161619--0.032946))+0-135.6--0.0691559999999862</f>
        <v>631.07798600000001</v>
      </c>
      <c r="S74" s="3">
        <f>544.7+(344.7-136.8)+(-1.388985+(-0.878985--0.34884))+0-134--0.341699999999981</f>
        <v>617.02256999999997</v>
      </c>
      <c r="T74" s="3">
        <f>503+(388.2-160.8)+(-1.53918+(-1.187892--0.492048))+0-142.5--0.436050000000016</f>
        <v>586.10102600000005</v>
      </c>
      <c r="U74" s="3">
        <f>473.2+(446.9-215.3)+(-0.723996+(-0.683757--0.329409))+0-125.1--0.191403000000007</f>
        <v>578.81305899999995</v>
      </c>
      <c r="V74" s="3">
        <f>469.5+(415.9-178)+(0+(0-0))+0-141.7-0</f>
        <v>565.70000000000005</v>
      </c>
      <c r="W74" s="3">
        <f>439.2+(333.9-78.6)+(0.447984+(0.340578-0.080172))+0-136.1-0.138822000000022</f>
        <v>558.96956799999998</v>
      </c>
      <c r="X74" s="3">
        <f>417.9+(384.3-108.5)+(-0.639387+(-0.587979--0.166005))+0-147.8--0.226134000000009</f>
        <v>545.06477300000006</v>
      </c>
      <c r="Y74" s="3">
        <f>444.2+(425.3-176.8)+(0.226542+(0.216903-0.090168))+0-146.9-0.0749189999999851</f>
        <v>546.07835800000009</v>
      </c>
      <c r="Z74" s="3">
        <f>480.5+(340.5-109.3)+(-0.735165+(-0.520965--0.167229))+0-138.9--0.212517000000008</f>
        <v>571.92361600000015</v>
      </c>
      <c r="AA74" s="3">
        <f>512.4+(364.4-157.4)+(-0.522648+(-0.371688--0.160548))+0-148.6--0.151572000000024</f>
        <v>570.21778399999994</v>
      </c>
      <c r="AB74" s="3">
        <f>516.7+(329-153.5)+(-0.790551+(-0.50337--0.234855))+0-141.1--0.215883000000008</f>
        <v>550.25681699999996</v>
      </c>
      <c r="AC74" s="3">
        <f>502.8+(268.7-82.5)+(0+(0-0))+0-148.1-0</f>
        <v>540.9</v>
      </c>
      <c r="AD74">
        <v>566.00000000000011</v>
      </c>
      <c r="AE74" s="3">
        <f>514+(373.7-159.8)+(0+(0-0))+0-161.9-0</f>
        <v>566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418.8+(269.6-59.2)+(-0.427176+(-0.274992--0.060384))+0-127.7--0.13025400000002</f>
        <v>500.98847000000006</v>
      </c>
      <c r="G75" s="3">
        <f>421.5+(276.6-72.2)+(-0.85986+(-0.564264--0.147288))+0-141.4--0.288455999999994</f>
        <v>483.51162000000011</v>
      </c>
      <c r="H75" s="3">
        <f>421.9+(256.9-69.7)+(-0.860676+(-0.524076--0.142188))+0-137.2--0.279887999999994</f>
        <v>470.93732399999988</v>
      </c>
      <c r="I75" s="3">
        <f>432.6+(271.8-88.4)+(0.220626+(0.138618-0.045084))+0-151.5-0.0772649999999846</f>
        <v>464.736895</v>
      </c>
      <c r="J75" s="3">
        <f>428.6+(284.3-105.8)+(-0.437172+(-0.289986--0.107916))+0-145.2--0.148104000000023</f>
        <v>461.42886200000009</v>
      </c>
      <c r="K75" s="3">
        <f>429.6+(296.8-143.7)+(-0.438192+(-0.302736--0.146574))+0-140.7--0.143514000000022</f>
        <v>441.54916000000014</v>
      </c>
      <c r="L75" s="3">
        <f>388.5+(362.2-154.4)+(-0.990675+(-0.92361--0.39372))+0-147.8--0.376889999999979</f>
        <v>447.35632499999991</v>
      </c>
      <c r="M75" s="3">
        <f>375.7+(367.8-151.4)+(0+(0-0))+0-129.8-0</f>
        <v>462.3</v>
      </c>
      <c r="N75" s="3">
        <f>380.4+(375-150)+(0.582012+(0.57375-0.2295))+0-148.5-0.227205000000009</f>
        <v>457.5990569999999</v>
      </c>
      <c r="O75" s="3">
        <f>376.2+(412.7-161.3)+(0.575586+(0.631431-0.246789))+0-131.4-0.201042000000008</f>
        <v>496.95918599999993</v>
      </c>
      <c r="P75" s="3">
        <f>348.6+(430.1-133.2)+(0.88893+(1.096755-0.33966))+0-139.7-0.35623499999998</f>
        <v>507.08979000000005</v>
      </c>
      <c r="Q75" s="3">
        <f>345.2+(424.1-98.3)+(0.528156+(0.648873-0.150399))+0-145.4-0.222462000000008</f>
        <v>526.40416799999991</v>
      </c>
      <c r="R75" s="3">
        <f>341.5+(366.2-39.3)+(-0.34833+(-0.373524--0.040086))+0-148.3--0.151266000000024</f>
        <v>519.56949800000007</v>
      </c>
      <c r="S75" s="3">
        <f>344.5+(407.7-85.1)+(-0.175695+(-0.207927--0.043401))+0-148.8--0.0758879999999849</f>
        <v>518.03566699999999</v>
      </c>
      <c r="T75" s="3">
        <f>344.3+(487.9-186)+(0+(0-0))+0-141.5-0</f>
        <v>504.70000000000005</v>
      </c>
      <c r="U75" s="3">
        <f>349.2+(496.4-206.5)+(0+(0-0))+0-147-0</f>
        <v>492.09999999999991</v>
      </c>
      <c r="V75" s="3">
        <f>346.6+(452.3-165.9)+(-0.530298+(-0.692019--0.253827))+0-142.8--0.218484000000008</f>
        <v>489.449994</v>
      </c>
      <c r="W75" s="3">
        <f>344.6+(363.2-66.4)+(-0.87873+(-0.92616--0.16932))+0-151.4--0.386069999999978</f>
        <v>488.75049999999993</v>
      </c>
      <c r="X75" s="3">
        <f>345.3+(362.6-78)+(-0.880515+(-0.92463--0.1989))+0-151--0.385049999999978</f>
        <v>477.67880500000012</v>
      </c>
      <c r="Y75" s="3">
        <f>338.6+(421.1-119.7)+(-0.345372+(-0.429522--0.122094))+0-153.2--0.156264000000024</f>
        <v>486.30346400000008</v>
      </c>
      <c r="Z75" s="3">
        <f>387.3+(321.6-37.2)+(-0.395046+(-0.328032--0.037944))+0-146.2--0.149124000000023</f>
        <v>524.96399000000019</v>
      </c>
      <c r="AA75" s="3">
        <f>368.1+(415.1-96.3)+(-0.750924+(-0.846804--0.196452))+0-157.6--0.321503999999993</f>
        <v>528.22022800000002</v>
      </c>
      <c r="AB75" s="3">
        <f>321.1+(494.8-136.8)+(-0.655044+(-1.009392--0.279072))+0-145--0.295799999999994</f>
        <v>533.01043600000003</v>
      </c>
      <c r="AC75" s="3">
        <f>379.9+(415.8-130.9)+(-0.387498+(-0.424116--0.133518))+0-138.7--0.141474000000022</f>
        <v>525.56337800000006</v>
      </c>
      <c r="AD75">
        <v>527.1</v>
      </c>
      <c r="AE75" s="3">
        <f>320+(485.5-116)+(0+(0-0))+0-162.4-0</f>
        <v>527.1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373.2+(383.9-134.2)+(-0.761328+(-0.783156--0.273768))+0-138.7--0.282947999999994</f>
        <v>483.21223199999997</v>
      </c>
      <c r="G76" s="3">
        <f>404.4+(371.3-159.4)+(0+(0-0))+0-152.3-0</f>
        <v>463.99999999999994</v>
      </c>
      <c r="H76" s="3">
        <f>402.5+(445.3-264.6)+(-0.615825+(-0.681309--0.404838))+0-135.4--0.207162000000008</f>
        <v>447.11486600000006</v>
      </c>
      <c r="I76" s="3">
        <f>408+(417.1-225.5)+(-0.41616+(-0.425442--0.23001))+0-148.7--0.151674000000024</f>
        <v>450.44008200000007</v>
      </c>
      <c r="J76" s="3">
        <f>412.9+(282.2-112.1)+(0.210579+(0.143922-0.057171))+0-140.4-0.0716039999999858</f>
        <v>442.82572600000003</v>
      </c>
      <c r="K76" s="3">
        <f>415.2+(223.7-61.8)+(-1.270512+(-0.684522--0.189108))+0-144.5--0.442170000000017</f>
        <v>431.27624399999991</v>
      </c>
      <c r="L76" s="3">
        <f>420.9+(235-78.4)+(-0.643977+(-0.35955--0.119952))+0-134.2--0.205326000000008</f>
        <v>442.62175100000007</v>
      </c>
      <c r="M76" s="3">
        <f>428.6+(257.4-95.5)+(0.437172+(0.262548-0.09741))+0-138.2-0.140964000000022</f>
        <v>452.761346</v>
      </c>
      <c r="N76" s="3">
        <f>417.2+(266.1-69.8)+(-1.06386+(-0.678555--0.17799))+0-138.7--0.35368499999998</f>
        <v>473.58925999999997</v>
      </c>
      <c r="O76" s="3">
        <f>419.2+(266-51.3)+(-0.213792+(-0.13566--0.026163))+0-137.6--0.070175999999986</f>
        <v>496.04688699999991</v>
      </c>
      <c r="P76" s="3">
        <f>419.3+(279.7-60.6)+(0+(0-0))+0-147.2-0</f>
        <v>491.2</v>
      </c>
      <c r="Q76" s="3">
        <f>416.2+(351.6-107.1)+(0.212262+(0.179316-0.054621))+0-146.5-0.0747149999999851</f>
        <v>514.46224200000006</v>
      </c>
      <c r="R76" s="3">
        <f>416.2+(522.9-276.6)+(0+(0-0))+0-144.5-0</f>
        <v>518</v>
      </c>
      <c r="S76" s="3">
        <f>412+(674.2-427.4)+(-0.21012+(-0.343842--0.217974))+0-146.2--0.0745619999999852</f>
        <v>512.33857400000011</v>
      </c>
      <c r="T76" s="3">
        <f>407+(747.5-508.6)+(-1.03785+(-1.906125--1.29693))+0-143.6--0.366179999999979</f>
        <v>501.01913499999989</v>
      </c>
      <c r="U76" s="3">
        <f>408.7+(732-490.2)+(-0.416874+(-0.74664--0.500004))+0-152.4--0.155448000000024</f>
        <v>497.59193800000008</v>
      </c>
      <c r="V76" s="3">
        <f>405.4+(636.2-397.5)+(-1.03377+(-1.62231--1.013625))+0-141.6--0.361079999999979</f>
        <v>501.21862499999992</v>
      </c>
      <c r="W76" s="3">
        <f>405.6+(468.1-222.4)+(-0.827424+(-0.954924--0.453696))+0-152--0.310079999999993</f>
        <v>498.28142800000001</v>
      </c>
      <c r="X76" s="3">
        <f>401.2+(321.9-78.1)+(-1.227672+(-0.985014--0.238986))+0-149.9--0.458694000000017</f>
        <v>493.58499400000005</v>
      </c>
      <c r="Y76" s="3">
        <f>405.9+(277.9-47)+(-0.621027+(-0.425187--0.07191))+0-142.8--0.218484000000008</f>
        <v>493.24417999999997</v>
      </c>
      <c r="Z76" s="3">
        <f>408.2+(390.6-136.3)+(-0.416364+(-0.398412--0.139026))+0-137.1--0.139842000000022</f>
        <v>524.86409200000003</v>
      </c>
      <c r="AA76" s="3">
        <f>406.1+(448.5-201)+(-0.828444+(-0.91494--0.41004))+0-126.4--0.257855999999994</f>
        <v>526.12451199999998</v>
      </c>
      <c r="AB76" s="3">
        <f>406.8+(475.3-231)+(-0.622404+(-0.727209--0.35343))+0-130.1--0.199053000000008</f>
        <v>520.20287000000008</v>
      </c>
      <c r="AC76" s="3">
        <f>405.3+(514.3-276.4)+(-0.620109+(-0.786879--0.422892))+0-133.3--0.203949000000008</f>
        <v>509.11985300000003</v>
      </c>
      <c r="AD76">
        <v>529.19999999999993</v>
      </c>
      <c r="AE76" s="3">
        <f>408+(460.1-219.8)+(0+(0-0))+0-119.1-0</f>
        <v>529.19999999999993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390.9+(508.5-268.3)+(-0.797436+(-1.03734--0.547332))+0-133.6--0.272543999999994</f>
        <v>496.48509999999982</v>
      </c>
      <c r="G77" s="3">
        <f>396.7+(467.4-238.8)+(0.202317+(0.238374-0.121788))+0-139.1-0.0709409999999859</f>
        <v>486.4479619999999</v>
      </c>
      <c r="H77" s="3">
        <f>396.4+(379.7-175.9)+(-0.404328+(-0.387294--0.179418))+0-127.6--0.13015200000002</f>
        <v>472.1179479999999</v>
      </c>
      <c r="I77" s="3">
        <f>408.9+(347.5-146.4)+(0+(0-0))+0-151.4-0</f>
        <v>458.6</v>
      </c>
      <c r="J77" s="3">
        <f>427.8+(298.1-138.6)+(0.654534+(0.456093-0.212058))+0-138.3-0.211599000000008</f>
        <v>449.68696999999997</v>
      </c>
      <c r="K77" s="3">
        <f>415.3+(257.4-89.8)+(-1.270818+(-0.787644--0.274788))+0-153--0.468180000000018</f>
        <v>428.58450599999998</v>
      </c>
      <c r="L77" s="3">
        <f>423.5+(236.6-104)+(-0.43197+(-0.241332--0.10608))+0-133--0.135660000000021</f>
        <v>422.66843800000004</v>
      </c>
      <c r="M77" s="3">
        <f>382.7+(259.8-65.1)+(0.195177+(0.132498-0.033201))+0-146.3-0.0746129999999852</f>
        <v>431.319861</v>
      </c>
      <c r="N77" s="3">
        <f>371.5+(282.8-50.1)+(0+(0-0))+0-143.4-0</f>
        <v>460.80000000000007</v>
      </c>
      <c r="O77" s="3">
        <f>368.4+(309-45.4)+(-0.375768+(-0.31518--0.046308))+0-148.2--0.151164000000024</f>
        <v>483.30652400000008</v>
      </c>
      <c r="P77" s="3">
        <f>373.3+(308.1-47.8)+(0+(0-0))+0-135.5-0</f>
        <v>498.1</v>
      </c>
      <c r="Q77" s="3">
        <f>346.7+(410.1-82.6)+(0.176817+(0.209151-0.042126))+0-154.4-0.0787439999999843</f>
        <v>520.06509800000003</v>
      </c>
      <c r="R77" s="3">
        <f>309+(545.9-188.4)+(0.31518+(0.556818-0.192168))+0-141-0.143820000000022</f>
        <v>526.03601000000003</v>
      </c>
      <c r="S77" s="3">
        <f>390.1+(612.4-330.8)+(-0.198951+(-0.312324--0.168708))+0-149.8--0.0763979999999848</f>
        <v>521.63383099999999</v>
      </c>
      <c r="T77" s="3">
        <f>414.4+(671.2-437.4)+(0.211344+(0.342312-0.223074))+0-135.9-0.0693089999999862</f>
        <v>512.56127300000014</v>
      </c>
      <c r="U77" s="3">
        <f>411.9+(687.2-445.1)+(-0.420138+(-0.700944--0.454002))+0-141.1--0.143922000000023</f>
        <v>512.3768419999999</v>
      </c>
      <c r="V77" s="3">
        <f>411.1+(643.4-388)+(-0.419322+(-0.656268--0.39576))+0-149.1--0.152082000000024</f>
        <v>516.872252</v>
      </c>
      <c r="W77" s="3">
        <f>409.7+(433-193.6)+(-1.044735+(-1.10415--0.49368))+0-131--0.334049999999981</f>
        <v>516.77884499999993</v>
      </c>
      <c r="X77" s="3">
        <f>409.5+(293.4-48.6)+(-1.461915+(-1.047438--0.173502))+0-142.5--0.508725000000002</f>
        <v>509.97287399999993</v>
      </c>
      <c r="Y77" s="3">
        <f>413.4+(291.8-53)+(-0.421668+(-0.297636--0.05406))+0-148.3--0.151266000000024</f>
        <v>503.38602200000003</v>
      </c>
      <c r="Z77" s="3">
        <f>417.9+(369.8-104.7)+(0.213129+(0.188598-0.053397))+0-137.1-0.0699209999999861</f>
        <v>546.17840899999999</v>
      </c>
      <c r="AA77" s="3">
        <f>419.8+(424.2-151.8)+(-0.642294+(-0.649026--0.232254))+0-146.8--0.224604000000008</f>
        <v>544.56553800000006</v>
      </c>
      <c r="AB77" s="3">
        <f>419.2+(493-232.1)+(-0.855168+(-1.00572--0.473484))+0-142.4--0.290495999999994</f>
        <v>536.60309199999995</v>
      </c>
      <c r="AC77" s="3">
        <f>419.1+(505.5-277.7)+(-1.068705+(-1.289025--0.708135))+0-132.2--0.337109999999981</f>
        <v>513.38751500000012</v>
      </c>
      <c r="AD77">
        <v>533.30000000000007</v>
      </c>
      <c r="AE77" s="3">
        <f>422+(438.1-162.4)+(0+(0-0))+0-164.4-0</f>
        <v>533.30000000000007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421.9+(499.5-283.8)+(-0.645507+(-0.764235--0.434214))+0-108--0.165240000000006</f>
        <v>528.78971199999989</v>
      </c>
      <c r="G78" s="3">
        <f>423+(428.3-219.7)+(-0.43146+(-0.436866--0.224094))+0-116--0.118320000000018</f>
        <v>515.07408800000007</v>
      </c>
      <c r="H78" s="3">
        <f>424.4+(329.5-131.2)+(-0.432888+(-0.33609--0.133824))+0-117--0.119340000000019</f>
        <v>505.18418600000001</v>
      </c>
      <c r="I78" s="3">
        <f>430.4+(278.1-94.5)+(0.219504+(0.141831-0.048195))+0-110-0.0560999999999888</f>
        <v>504.25703999999996</v>
      </c>
      <c r="J78" s="3">
        <f>424.7+(253.9-85.9)+(-1.082985+(-0.647445--0.219045))+0-91--0.232049999999987</f>
        <v>500.42066500000004</v>
      </c>
      <c r="K78" s="3">
        <f>419.7+(244.5-68.9)+(-1.498329+(-0.872865--0.245973))+0-112--0.399840000000002</f>
        <v>481.57461899999993</v>
      </c>
      <c r="L78" s="3">
        <f>380.5+(289-74.6)+(0.38811+(0.29478-0.076092))+0-99-0.100980000000016</f>
        <v>496.40581800000001</v>
      </c>
      <c r="M78" s="3">
        <f>375.7+(331.5-64.2)+(0+(0-0))+0-99-0</f>
        <v>544</v>
      </c>
      <c r="N78" s="3">
        <f>403.7+(326.8-47)+(0+(0-0))+0-90-0</f>
        <v>593.5</v>
      </c>
      <c r="O78" s="3">
        <f>428.1+(347.2-54.4)+(0.218331+(0.177072-0.027744))+0-97-0.0494699999999902</f>
        <v>624.21818900000005</v>
      </c>
      <c r="P78" s="3">
        <f>423.5+(373.8-56.5)+(0.43197+(0.381276-0.05763))+0-98-0.0999600000000156</f>
        <v>643.45565599999998</v>
      </c>
      <c r="Q78" s="3">
        <f>422.9+(404.8-49.1)+(0.215679+(0.206448-0.025041))+0-110-0.0560999999999888</f>
        <v>668.94098599999984</v>
      </c>
      <c r="R78" s="3">
        <f>428.8+(481.8-132.5)+(0.218688+(0.245718-0.067575))+0-106-0.0540599999999892</f>
        <v>672.44277100000011</v>
      </c>
      <c r="S78" s="3">
        <f>437.8+(518.4-175.7)+(-0.446556+(-0.528768--0.179214))+0-109--0.111180000000017</f>
        <v>670.81506999999999</v>
      </c>
      <c r="T78" s="3">
        <f>437.7+(538.6-221.9)+(-0.223227+(-0.274686--0.113169))+0-109--0.0555899999999889</f>
        <v>645.07084600000007</v>
      </c>
      <c r="U78" s="3">
        <f>451.9+(504.3-216.3)+(-0.921876+(-1.028772--0.441252))+0-95--0.193799999999996</f>
        <v>643.58440399999995</v>
      </c>
      <c r="V78" s="3">
        <f>443.3+(435.9-140.5)+(-1.582581+(-1.556163--0.501585))+0-101--0.360570000000001</f>
        <v>635.4234110000001</v>
      </c>
      <c r="W78" s="3">
        <f>436+(356.4-50.8)+(-0.66708+(-0.545292--0.077724))+0-85--0.130050000000005</f>
        <v>655.59540199999992</v>
      </c>
      <c r="X78" s="3">
        <f>426.4+(477.5-150.5)+(-1.08732+(-1.217625--0.383775))+0-102--0.260099999999985</f>
        <v>649.73892999999998</v>
      </c>
      <c r="Y78" s="3">
        <f>410.5+(489.6-167.2)+(-0.628065+(-0.749088--0.255816))+0-91--0.139230000000005</f>
        <v>640.91789300000005</v>
      </c>
      <c r="Z78" s="3">
        <f>412.2+(431-80.7)+(-0.420444+(-0.43962--0.082314))+0-97--0.0989400000000155</f>
        <v>664.82119</v>
      </c>
      <c r="AA78" s="3">
        <f>416.5+(387.6-48.7)+(-0.84966+(-0.790704--0.099348))+0-104--0.212159999999995</f>
        <v>650.07114400000012</v>
      </c>
      <c r="AB78" s="3">
        <f>416.5+(363.3-50.6)+(-0.84966+(-0.741132--0.103224))+0-95--0.193799999999996</f>
        <v>632.90623200000005</v>
      </c>
      <c r="AC78" s="3">
        <f>419.2+(363-77.7)+(-0.641376+(-0.55539--0.118881))+0-99--0.151470000000006</f>
        <v>604.57358499999998</v>
      </c>
      <c r="AD78">
        <v>683.6</v>
      </c>
      <c r="AE78" s="3">
        <f>430+(418.5-49.9)+(0+(0-0))+0-115-0</f>
        <v>683.6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415.5+(356.5-64.1)+(-1.059525+(-0.909075--0.163455))+0-184.1--0.469454999999973</f>
        <v>522.46430999999984</v>
      </c>
      <c r="G79" s="3">
        <f>417.7+(310.8-54.4)+(-0.852108+(-0.634032--0.110976))+0-168.1--0.342923999999993</f>
        <v>504.96775999999994</v>
      </c>
      <c r="H79" s="3">
        <f>421.5+(278.9-69.5)+(-0.42993+(-0.284478--0.07089))+0-115--0.117300000000018</f>
        <v>515.37378200000001</v>
      </c>
      <c r="I79" s="3">
        <f>416.1+(281.8-83.7)+(-1.061055+(-0.71859--0.213435))+0-91.5--0.233324999999987</f>
        <v>521.36711500000013</v>
      </c>
      <c r="J79" s="3">
        <f>416.3+(305.4-117.3)+(-1.061565+(-0.77877--0.299115))+0-90.6--0.231029999999987</f>
        <v>512.48981000000003</v>
      </c>
      <c r="K79" s="3">
        <f>415.5+(342.8-180.9)+(-1.059525+(-0.87414--0.461295))+0-83--0.211649999999988</f>
        <v>493.13927999999999</v>
      </c>
      <c r="L79" s="3">
        <f>426.7+(370.2-203.1)+(0.217617+(0.188802-0.103581))+0-106.9-0.0545189999999892</f>
        <v>487.14831899999996</v>
      </c>
      <c r="M79" s="3">
        <f>421.2+(392.6-162.7)+(0+(0-0))+0-130.2-0</f>
        <v>520.90000000000009</v>
      </c>
      <c r="N79" s="3">
        <f>402.7+(442.9-137.5)+(-0.410754+(-0.451758--0.14025))+0-151.6--0.154632000000024</f>
        <v>555.93236999999988</v>
      </c>
      <c r="O79" s="3">
        <f>336.4+(491-91)+(-0.343128+(-0.50082--0.09282))+0-173.6--0.177072000000028</f>
        <v>562.22594400000003</v>
      </c>
      <c r="P79" s="3">
        <f>333.6+(461.6-52.2)+(-0.510408+(-0.706248--0.079866))+0-161.3--0.246789000000009</f>
        <v>580.80999900000006</v>
      </c>
      <c r="Q79" s="3">
        <f>335.7+(496.2-42)+(0.171207+(0.253062-0.02142))+0-181.2-0.0924119999999816</f>
        <v>609.01043699999991</v>
      </c>
      <c r="R79" s="3">
        <f>333.1+(570.5-122.1)+(0.339762+(0.58191-0.124542))+0-170-0.173400000000027</f>
        <v>612.12373000000002</v>
      </c>
      <c r="S79" s="3">
        <f>323.1+(646.1-204.4)+(-0.329562+(-0.659022--0.208488))+0-158.9--0.162078000000025</f>
        <v>605.2819820000002</v>
      </c>
      <c r="T79" s="3">
        <f>323.9+(664.5-230)+(-0.165189+(-0.338895--0.1173))+0-167.5--0.085424999999983</f>
        <v>590.59864099999993</v>
      </c>
      <c r="U79" s="3">
        <f>320.9+(623.5-186.8)+(-0.163659+(-0.317985--0.095268))+0-176.8--0.0901679999999821</f>
        <v>580.50379199999975</v>
      </c>
      <c r="V79" s="3">
        <f>318.9+(563.1-134.6)+(-0.325278+(-0.574362--0.137292))+0-167.9--0.171258000000027</f>
        <v>578.90891000000011</v>
      </c>
      <c r="W79" s="3">
        <f>325.4+(479.2-48.1)+(-0.497862+(-0.733176--0.073593))+0-150--0.229500000000009</f>
        <v>605.57205499999998</v>
      </c>
      <c r="X79" s="3">
        <f>362.7+(430.4-50.2)+(-0.924885+(-1.09752--0.12801))+0-160--0.407999999999977</f>
        <v>581.41360499999996</v>
      </c>
      <c r="Y79" s="3">
        <f>366.6+(443.8-74.6)+(-0.747864+(-0.905352--0.152184))+0-150--0.305999999999993</f>
        <v>584.6049680000001</v>
      </c>
      <c r="Z79" s="3">
        <f>426.4+(374.3-41.1)+(0+(0-0))+0-160-0</f>
        <v>599.59999999999991</v>
      </c>
      <c r="AA79" s="3">
        <f>478+(341.6-56.2)+(-0.48756+(-0.348432--0.057324))+0-179.1--0.182682000000029</f>
        <v>583.70401400000003</v>
      </c>
      <c r="AB79" s="3">
        <f>471.1+(359.2-85)+(-0.720783+(-0.549576--0.13005))+0-177.4--0.27142200000001</f>
        <v>567.031113</v>
      </c>
      <c r="AC79" s="3">
        <f>430.6+(389.9-120.9)+(-0.219606+(-0.198849--0.061659))+0-162.3--0.0827729999999835</f>
        <v>537.0259769999999</v>
      </c>
      <c r="AD79">
        <v>580.20000000000005</v>
      </c>
      <c r="AE79" s="3">
        <f>473+(352.1-48.7)+(0+(0-0))+0-196.2-0</f>
        <v>580.20000000000005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411.7+(384.5-107.8)+(-0.209967+(-0.196095--0.054978))+0-167.9--0.085628999999983</f>
        <v>520.23454499999991</v>
      </c>
      <c r="G80" s="3">
        <f>410.5+(334.2-80.4)+(-0.41871+(-0.340884--0.082008))+0-163--0.166260000000026</f>
        <v>500.78867399999996</v>
      </c>
      <c r="H80" s="3">
        <f>411.4+(299.2-40.5)+(-0.419628+(-0.305184--0.04131))+0-174.3--0.177786000000028</f>
        <v>495.29428399999995</v>
      </c>
      <c r="I80" s="3">
        <f>406.1+(284.7-37.5)+(-1.242666+(-0.871182--0.11475))+0-170--0.52020000000002</f>
        <v>481.821102</v>
      </c>
      <c r="J80" s="3">
        <f>416.3+(273.4-39.6)+(0.212313+(0.139434-0.020196))+0-169.9-0.0866489999999828</f>
        <v>480.44490200000007</v>
      </c>
      <c r="K80" s="3">
        <f>413.4+(311.8-83.4)+(-0.421668+(-0.318036--0.085068))+0-186.5--0.19023000000003</f>
        <v>454.83559400000001</v>
      </c>
      <c r="L80" s="3">
        <f>401.6+(336.2-121.5)+(-0.409632+(-0.342924--0.12393))+0-153--0.156060000000024</f>
        <v>462.82743399999993</v>
      </c>
      <c r="M80" s="3">
        <f>394.2+(398.9-128.5)+(0.402084+(0.406878-0.13107))+0-155.5-0.158610000000025</f>
        <v>509.61928199999994</v>
      </c>
      <c r="N80" s="3">
        <f>397.8+(432-126.1)+(0.608634+(0.66096-0.192933))+0-163.2-0.249696000000009</f>
        <v>541.32696500000009</v>
      </c>
      <c r="O80" s="3">
        <f>407.1+(422.3-108.6)+(0.207621+(0.215373-0.055386))+0-150-0.0764999999999848</f>
        <v>571.09110800000008</v>
      </c>
      <c r="P80" s="3">
        <f>405+(410.9-57.1)+(0.20655+(0.209559-0.029121))+0-164.9-0.0840989999999833</f>
        <v>594.20288899999991</v>
      </c>
      <c r="Q80" s="3">
        <f>403.7+(434.2-50.8)+(0+(0-0))+0-174.4-0</f>
        <v>612.69999999999993</v>
      </c>
      <c r="R80" s="3">
        <f>404.6+(455.8-63.8)+(0.206346+(0.232458-0.032538))+0-169.2-0.0862919999999828</f>
        <v>627.71997400000009</v>
      </c>
      <c r="S80" s="3">
        <f>402.2+(513.9-130.4)+(-0.615366+(-0.786267--0.199512))+0-169.2--0.25887600000001</f>
        <v>615.55675499999995</v>
      </c>
      <c r="T80" s="3">
        <f>413.9+(563.9-231.1)+(0.422178+(0.575178-0.235722))+0-169.6-0.172992000000027</f>
        <v>577.68864199999985</v>
      </c>
      <c r="U80" s="3">
        <f>428.4+(557.1-244.6)+(-0.873936+(-1.136484--0.498984))+0-172.7--0.352307999999992</f>
        <v>567.04087200000004</v>
      </c>
      <c r="V80" s="3">
        <f>431.5+(492.8-182.6)+(-0.660195+(-0.753984--0.279378))+0-169.7--0.25964100000001</f>
        <v>571.12484000000006</v>
      </c>
      <c r="W80" s="3">
        <f>430.2+(404.7-86.6)+(-0.438804+(-0.412794--0.088332))+0-174.2--0.177684000000028</f>
        <v>573.51441799999998</v>
      </c>
      <c r="X80" s="3">
        <f>425.9+(418.4-96.1)+(-1.737672+(-1.707072--0.392088))+0-171.6--0.700127999999985</f>
        <v>574.2474719999999</v>
      </c>
      <c r="Y80" s="3">
        <f>433.3+(383.8-76.5)+(-0.441966+(-0.391476--0.07803))+0-169.2--0.172584000000027</f>
        <v>570.81717200000014</v>
      </c>
      <c r="Z80" s="3">
        <f>462+(357.2-49.1)+(-0.94248+(-0.728688--0.100164))+0-170.3--0.347411999999993</f>
        <v>598.57640799999979</v>
      </c>
      <c r="AA80" s="3">
        <f>470.8+(351.2-52.4)+(-1.20054+(-0.89556--0.13362))+0-175.6--0.447779999999975</f>
        <v>592.48529999999994</v>
      </c>
      <c r="AB80" s="3">
        <f>476.3+(353.9-69.8)+(-0.971652+(-0.721956--0.142392))+0-178.9--0.364955999999992</f>
        <v>580.31374000000005</v>
      </c>
      <c r="AC80" s="3">
        <f>480.6+(360-111.7)+(-0.980424+(-0.7344--0.227868))+0-174.3--0.355571999999992</f>
        <v>553.46861600000011</v>
      </c>
      <c r="AD80">
        <v>590.20000000000005</v>
      </c>
      <c r="AE80" s="3">
        <f>469+(354.5-52.3)+(0+(0-0))+0-181-0</f>
        <v>590.20000000000005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417.3+(366.6-114.4)+(0+(0-0))+0-167-0</f>
        <v>502.5</v>
      </c>
      <c r="G81" s="3">
        <f>417.3+(349.5-119.3)+(-0.212823+(-0.178245--0.060843))+0-164.8--0.0840479999999833</f>
        <v>482.45382299999994</v>
      </c>
      <c r="H81" s="3">
        <f>423+(350.6-142.9)+(0.21573+(0.178806-0.072879))+0-169-0.0861899999999829</f>
        <v>461.93546700000002</v>
      </c>
      <c r="I81" s="3">
        <f>421+(339.1-140.5)+(-0.21471+(-0.172941--0.071655))+0-170.2--0.0868019999999827</f>
        <v>449.17080599999997</v>
      </c>
      <c r="J81" s="3">
        <f>424.3+(298.3-107.7)+(-0.216393+(-0.152133--0.054927))+0-162.7--0.0829769999999835</f>
        <v>451.96937800000012</v>
      </c>
      <c r="K81" s="3">
        <f>420.9+(251.6-71.4)+(-1.073295+(-0.64158--0.18207))+0-164.5--0.419474999999976</f>
        <v>435.48666999999983</v>
      </c>
      <c r="L81" s="3">
        <f>420.8+(263.1-95.9)+(-0.429216+(-0.268362--0.097818))+0-150.2--0.153204000000024</f>
        <v>437.35344400000008</v>
      </c>
      <c r="M81" s="3">
        <f>423.2+(307.9-99.1)+(0.431664+(0.314058-0.101082))+0-150.7-0.153714000000024</f>
        <v>481.79092599999996</v>
      </c>
      <c r="N81" s="3">
        <f>447.7+(319.3-85.3)+(0.684981+(0.488529-0.130509))+0-158.3-0.242199000000009</f>
        <v>524.20080200000007</v>
      </c>
      <c r="O81" s="3">
        <f>488.1+(326.2-86.2)+(0+(0-0))+0-165.3-0</f>
        <v>562.79999999999995</v>
      </c>
      <c r="P81" s="3">
        <f>488.7+(326.7-56.9)+(0+(0-0))+0-167.3-0</f>
        <v>591.20000000000005</v>
      </c>
      <c r="Q81" s="3">
        <f>488.7+(396.3-104)+(0.498474+(0.404226-0.10608))+0-172.2-0.175644000000027</f>
        <v>609.420976</v>
      </c>
      <c r="R81" s="3">
        <f>477.4+(539.7-240)+(-0.243474+(-0.275247--0.1224))+0-165.7--0.0845069999999832</f>
        <v>611.08818600000018</v>
      </c>
      <c r="S81" s="3">
        <f>474.7+(589.7-306.8)+(-0.968388+(-1.202988--0.625872))+0-160.6--0.327623999999993</f>
        <v>595.78211999999996</v>
      </c>
      <c r="T81" s="3">
        <f>473.4+(643.3-369.7)+(-0.965736+(-1.312332--0.754188))+0-172.2--0.351287999999992</f>
        <v>573.62740799999995</v>
      </c>
      <c r="U81" s="3">
        <f>470.9+(648-396.7)+(-0.240159+(-0.33048--0.202317))+0-163.5--0.0833849999999834</f>
        <v>558.41506300000003</v>
      </c>
      <c r="V81" s="3">
        <f>469.1+(618-307.5)+(-1.196205+(-1.5759--0.784125))+0-188--0.479399999999973</f>
        <v>590.09141999999997</v>
      </c>
      <c r="W81" s="3">
        <f>466.6+(331.2-142.5)+(-0.475932+(-0.337824--0.14535))+0-109--0.111180000000017</f>
        <v>545.74277399999994</v>
      </c>
      <c r="X81" s="3">
        <f>426.5+(353.5-57.9)+(-1.30509+(-1.08171--0.177174))+0-176--0.53856000000002</f>
        <v>544.42893400000014</v>
      </c>
      <c r="Y81" s="3">
        <f>417.1+(342.1-48.4)+(-0.212721+(-0.174471--0.024684))+0-174--0.0887399999999823</f>
        <v>536.52623200000005</v>
      </c>
      <c r="Z81" s="3">
        <f>478.3+(308.7-53.9)+(-0.731799+(-0.472311--0.082467))+0-166--0.25398000000001</f>
        <v>566.23233700000003</v>
      </c>
      <c r="AA81" s="3">
        <f>505.9+(328.1-96.9)+(-0.774027+(-0.501993--0.148257))+0-173--0.26469000000001</f>
        <v>563.23692700000004</v>
      </c>
      <c r="AB81" s="3">
        <f>488.3+(347.8-119.8)+(-1.494198+(-1.064268--0.366588))+0-175--0.53550000000002</f>
        <v>539.64362200000005</v>
      </c>
      <c r="AC81" s="3">
        <f>476.1+(364.6-134)+(-0.485622+(-0.371892--0.13668))+0-172--0.175440000000027</f>
        <v>534.15460600000006</v>
      </c>
      <c r="AD81">
        <v>589</v>
      </c>
      <c r="AE81" s="3">
        <f>498+(354.6-88.6)+(0+(0-0))+0-175-0</f>
        <v>589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450.7+(416.2-168.8)+(-0.919428+(-0.849048--0.344352))+0-119--0.242759999999995</f>
        <v>577.91863599999988</v>
      </c>
      <c r="G82" s="3">
        <f>429.6+(406.3-154.2)+(-1.09548+(-1.036065--0.39321))+0-118--0.300899999999983</f>
        <v>562.262565</v>
      </c>
      <c r="H82" s="3">
        <f>398.9+(367.9-109.6)+(-0.406878+(-0.375258--0.111792))+0-110--0.112200000000018</f>
        <v>546.64185599999996</v>
      </c>
      <c r="I82" s="3">
        <f>382.9+(351.9-79.2)+(-0.195279+(-0.179469--0.040392))+0-120--0.0611999999999878</f>
        <v>535.32684399999994</v>
      </c>
      <c r="J82" s="3">
        <f>388.2+(313.8-62.1)+(-0.395964+(-0.320076--0.063342))+0-113--0.115260000000018</f>
        <v>526.36256200000003</v>
      </c>
      <c r="K82" s="3">
        <f>384.4+(263.5-34.1)+(-0.98022+(-0.671925--0.086955))+0-112--0.285599999999984</f>
        <v>500.52040999999991</v>
      </c>
      <c r="L82" s="3">
        <f>383.1+(256.4-58.8)+(0+(0-0))+0-106-0</f>
        <v>474.70000000000005</v>
      </c>
      <c r="M82" s="3">
        <f>339.2+(276.7-33.9)+(0.172992+(0.141117-0.017289))+0-97-0.0494699999999902</f>
        <v>485.24735000000004</v>
      </c>
      <c r="N82" s="3">
        <f>336.5+(310.4-32.8)+(-0.171615+(-0.158304--0.016728))+0-113--0.0576299999999885</f>
        <v>500.84443899999991</v>
      </c>
      <c r="O82" s="3">
        <f>332.8+(348.5-59.3)+(-0.169728+(-0.177735--0.030243))+0-111--0.0566099999999887</f>
        <v>510.73938999999996</v>
      </c>
      <c r="P82" s="3">
        <f>333.2+(370.9-78.1)+(-0.169932+(-0.189159--0.039831))+0-108--0.055079999999989</f>
        <v>517.73581999999999</v>
      </c>
      <c r="Q82" s="3">
        <f>336.6+(410.2-100.5)+(0.171666+(0.209202-0.051255))+0-106-0.0540599999999892</f>
        <v>540.57555300000001</v>
      </c>
      <c r="R82" s="3">
        <f>332.5+(543.5-201.8)+(-0.169575+(-0.277185--0.102918))+0-113--0.0576299999999885</f>
        <v>560.91378800000007</v>
      </c>
      <c r="S82" s="3">
        <f>329.5+(619.6-281.9)+(-0.33609+(-0.631992--0.287538))+0-110--0.112200000000018</f>
        <v>556.63165600000002</v>
      </c>
      <c r="T82" s="3">
        <f>325.9+(629.8-289.4)+(-0.664836+(-1.284792--0.590376))+0-117--0.238679999999995</f>
        <v>548.17942800000003</v>
      </c>
      <c r="U82" s="3">
        <f>326.3+(623.2-289.9)+(-0.499239+(-0.953496--0.443547))+0-115--0.175950000000007</f>
        <v>543.7667620000002</v>
      </c>
      <c r="V82" s="3">
        <f>326.3+(604.7-259.7)+(-0.499239+(-0.925191--0.397341))+0-118--0.180540000000007</f>
        <v>552.45345099999997</v>
      </c>
      <c r="W82" s="3">
        <f>326.3+(493.2-153.1)+(-0.832065+(-1.25766--0.390405))+0-115--0.293249999999983</f>
        <v>549.99393000000009</v>
      </c>
      <c r="X82" s="3">
        <f>326.3+(394.9-60.7)+(-0.832065+(-1.006995--0.154785))+0-117--0.298349999999983</f>
        <v>542.11407500000007</v>
      </c>
      <c r="Y82" s="3">
        <f>326.3+(358.3-25.3)+(-0.332826+(-0.365466--0.025806))+0-116--0.118320000000018</f>
        <v>542.74583399999995</v>
      </c>
      <c r="Z82" s="3">
        <f>326.3+(403.2-58.9)+(0.166413+(0.205632-0.030039))+0-110-0.0560999999999888</f>
        <v>560.88590599999998</v>
      </c>
      <c r="AA82" s="3">
        <f>324+(469.5-92.6)+(-0.66096+(-0.95778--0.188904))+0-119--0.242759999999995</f>
        <v>580.71292399999993</v>
      </c>
      <c r="AB82" s="3">
        <f>317.9+(483.6-107.5)+(-0.324258+(-0.493272--0.10965))+0-123--0.12546000000002</f>
        <v>570.41757999999993</v>
      </c>
      <c r="AC82" s="3">
        <f>338.2+(468.2-129.6)+(-0.344964+(-0.477564--0.132192))+0-113--0.115260000000018</f>
        <v>563.22492399999999</v>
      </c>
      <c r="AD82">
        <v>597</v>
      </c>
      <c r="AE82" s="3">
        <f>327+(462.3-94.3)+(0+(0-0))+0-98-0</f>
        <v>597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345.5+(443.3-132.9)+(-0.35241+(-0.452166--0.135558))+0-120--0.122400000000019</f>
        <v>535.3533819999999</v>
      </c>
      <c r="G83" s="3">
        <f>350.5+(415.2-112.2)+(-0.893775+(-1.05876--0.28611))+0-128--0.326399999999981</f>
        <v>524.15997500000003</v>
      </c>
      <c r="H83" s="3">
        <f>338+(389.4-102.2)+(-0.8619+(-0.99297--0.26061))+0-109--0.277949999999984</f>
        <v>514.88369000000012</v>
      </c>
      <c r="I83" s="3">
        <f>347.3+(370.7-87.1)+(0.177123+(0.189057-0.044421))+0-118-0.060179999999988</f>
        <v>513.16157900000019</v>
      </c>
      <c r="J83" s="3">
        <f>347.6+(338.9-68.2)+(0+(0-0))+0-111-0</f>
        <v>507.29999999999995</v>
      </c>
      <c r="K83" s="3">
        <f>340.7+(312-46.5)+(-1.042542+(-0.95472--0.14229))+0-111--0.339660000000013</f>
        <v>493.68468800000011</v>
      </c>
      <c r="L83" s="3">
        <f>351.8+(323.4-53.1)+(0.538254+(0.494802-0.081243))+0-117-0.179010000000007</f>
        <v>505.87280299999992</v>
      </c>
      <c r="M83" s="3">
        <f>345.1+(409.4-100.4)+(-0.528003+(-0.626382--0.153612))+0-96--0.146880000000006</f>
        <v>557.24610700000005</v>
      </c>
      <c r="N83" s="3">
        <f>348.7+(441-81.3)+(0.355674+(0.44982-0.082926))+0-111-0.113220000000018</f>
        <v>598.00934799999993</v>
      </c>
      <c r="O83" s="3">
        <f>346.4+(432-46.4)+(0.353328+(0.44064-0.047328))+0-107-0.109140000000017</f>
        <v>625.63749999999993</v>
      </c>
      <c r="P83" s="3">
        <f>418.7+(389.4-55.6)+(0.640611+(0.595782-0.085068))+0-106-0.162180000000006</f>
        <v>647.48914500000001</v>
      </c>
      <c r="Q83" s="3">
        <f>451.9+(380.1-51.2)+(0+(0-0))+0-111-0</f>
        <v>669.8</v>
      </c>
      <c r="R83" s="3">
        <f>448.8+(447.3-96.9)+(0.228888+(0.228123-0.049419))+0-118-0.060179999999988</f>
        <v>681.54741200000012</v>
      </c>
      <c r="S83" s="3">
        <f>440+(520-179.4)+(-0.2244+(-0.2652--0.091494))+0-107--0.0545699999999891</f>
        <v>673.25646400000005</v>
      </c>
      <c r="T83" s="3">
        <f>437+(523.7-177.3)+(-0.22287+(-0.267087--0.090423))+0-121--0.0617099999999877</f>
        <v>662.06217600000002</v>
      </c>
      <c r="U83" s="3">
        <f>474+(494.4-190.9)+(-0.48348+(-0.504288--0.194718))+0-98--0.0999600000000156</f>
        <v>678.80691000000002</v>
      </c>
      <c r="V83" s="3">
        <f>476+(426.2-123.2)+(-0.48552+(-0.434724--0.125664))+0-91--0.0928200000000145</f>
        <v>687.29823999999996</v>
      </c>
      <c r="W83" s="3">
        <f>476+(355.7-51.7)+(-0.97104+(-0.725628--0.105468))+0-102--0.208079999999996</f>
        <v>676.61688000000004</v>
      </c>
      <c r="X83" s="3">
        <f>471+(512.9-183.9)+(-1.20105+(-1.307895--0.468945))+0-107--0.272849999999984</f>
        <v>691.23284999999998</v>
      </c>
      <c r="Y83" s="3">
        <f>474+(513.8-205.8)+(-0.72522+(-0.786114--0.314874))+0-122--0.186660000000007</f>
        <v>658.99019999999996</v>
      </c>
      <c r="Z83" s="3">
        <f>472+(430.4-76.3)+(-0.72216+(-0.658512--0.116739))+0-122--0.186660000000007</f>
        <v>703.02272699999992</v>
      </c>
      <c r="AA83" s="3">
        <f>475+(408.6-88.8)+(-0.72675+(-0.625158--0.135864))+0-122--0.186660000000007</f>
        <v>671.7706159999999</v>
      </c>
      <c r="AB83" s="3">
        <f>484+(368.6-71.7)+(-0.24684+(-0.187986--0.036567))+0-122--0.0622199999999876</f>
        <v>658.56396100000006</v>
      </c>
      <c r="AC83" s="3">
        <f>488+(343-68.7)+(-0.49776+(-0.34986--0.070074))+0-122--0.124440000000019</f>
        <v>639.64689399999997</v>
      </c>
      <c r="AD83">
        <v>637.79999999999995</v>
      </c>
      <c r="AE83" s="3">
        <f>445+(400.4-92.6)+(0+(0-0))+0-115-0</f>
        <v>637.79999999999995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443+(330.4-84.8)+(-0.22593+(-0.168504--0.043248))+0-110--0.0560999999999888</f>
        <v>578.30491399999994</v>
      </c>
      <c r="G84" s="3">
        <f>443+(355.9-106.5)+(-0.67779+(-0.544527--0.162945))+0-110--0.168300000000006</f>
        <v>581.50892799999997</v>
      </c>
      <c r="H84" s="3">
        <f>443+(354.2-133.6)+(-0.22593+(-0.180642--0.068136))+0-110--0.0560999999999888</f>
        <v>553.31766400000004</v>
      </c>
      <c r="I84" s="3">
        <f>443+(353.8-137.6)+(-0.67779+(-0.541314--0.210528))+0-110--0.168300000000006</f>
        <v>548.35972400000014</v>
      </c>
      <c r="J84" s="3">
        <f>443+(403.7-199.6)+(-0.90372+(-0.823548--0.407184))+0-110--0.224399999999995</f>
        <v>536.00431600000002</v>
      </c>
      <c r="K84" s="3">
        <f>443+(480.6-285)+(-2.03337+(-2.205954--1.30815))+0-110--0.504900000000019</f>
        <v>526.17372599999999</v>
      </c>
      <c r="L84" s="3">
        <f>450+(527-320.3)+(-1.836+(-2.15016--1.306824))+0-110--0.44879999999999</f>
        <v>544.46946400000002</v>
      </c>
      <c r="M84" s="3">
        <f>455+(519.1-294.7)+(-0.4641+(-0.529482--0.300594))+0-110--0.112200000000018</f>
        <v>568.81921200000011</v>
      </c>
      <c r="N84" s="3">
        <f>446+(574.1-282.3)+(-0.90984+(-1.171164--0.575892))+0-110--0.224399999999995</f>
        <v>626.51928799999985</v>
      </c>
      <c r="O84" s="3">
        <f>447+(541.3-240.9)+(-0.68391+(-0.828189--0.368577))+0-110--0.168300000000006</f>
        <v>636.42477800000006</v>
      </c>
      <c r="P84" s="3">
        <f>451+(517.1-184.5)+(-0.46002+(-0.527442--0.18819))+0-125--0.12750000000002</f>
        <v>657.9282280000001</v>
      </c>
      <c r="Q84" s="3">
        <f>451+(431.8-104)+(-0.23001+(-0.220218--0.05304))+0-106--0.0540599999999892</f>
        <v>672.45687199999986</v>
      </c>
      <c r="R84" s="3">
        <f>454+(396.4-59.7)+(-0.69462+(-0.606492--0.091341))+0-118--0.180540000000007</f>
        <v>671.67076899999995</v>
      </c>
      <c r="S84" s="3">
        <f>447+(412.9-91.7)+(-0.68391+(-0.631737--0.140301))+0-107--0.163710000000006</f>
        <v>660.18836400000009</v>
      </c>
      <c r="T84" s="3">
        <f>447+(422-131.8)+(0.22797+(0.21522-0.067218))+0-100-0.0509999999999899</f>
        <v>637.52497200000005</v>
      </c>
      <c r="U84" s="3">
        <f>451+(400.9-126.2)+(-1.15005+(-1.022295--0.32181))+0-87--0.221849999999987</f>
        <v>637.07131500000003</v>
      </c>
      <c r="V84" s="3">
        <f>444+(392-89.1)+(0+(0-0))+0-102-0</f>
        <v>644.9</v>
      </c>
      <c r="W84" s="3">
        <f>447+(386.7-62.6)+(-0.45594+(-0.394434--0.063852))+0-112--0.114240000000018</f>
        <v>658.42771799999991</v>
      </c>
      <c r="X84" s="3">
        <f>443+(564.6-254.5)+(-0.67779+(-0.863838--0.389385))+0-101--0.154530000000006</f>
        <v>651.10228700000005</v>
      </c>
      <c r="Y84" s="3">
        <f>450+(562-295.3)+(-0.2295+(-0.28662--0.150603))+0-86--0.0438599999999913</f>
        <v>630.37834300000009</v>
      </c>
      <c r="Z84" s="3">
        <f>451+(435.1-151.7)+(-0.23001+(-0.221901--0.077367))+0-91--0.0464099999999908</f>
        <v>643.07186600000011</v>
      </c>
      <c r="AA84" s="3">
        <f>451.1+(409.5-121.8)+(-0.920244+(-0.83538--0.248472))+0-90--0.183599999999996</f>
        <v>647.47644799999989</v>
      </c>
      <c r="AB84" s="3">
        <f>445.9+(370-120.5)+(-0.227409+(-0.1887--0.061455))+0-78--0.0397799999999921</f>
        <v>617.08512599999995</v>
      </c>
      <c r="AC84" s="3">
        <f>458.5+(333.2-118)+(0.233835+(0.169932-0.06018))+0-84-0.0428399999999915</f>
        <v>590.00074700000005</v>
      </c>
      <c r="AD84">
        <v>662.4</v>
      </c>
      <c r="AE84" s="3">
        <f>448+(402.1-123.7)+(0+(0-0))+0-64-0</f>
        <v>662.40000000000009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452.2+(335.3-81.2)+(-0.922488+(-0.684012--0.165648))+0-93--0.189719999999996</f>
        <v>612.04886799999997</v>
      </c>
      <c r="G85" s="3">
        <f>444.2+(336.8-128.5)+(-0.453084+(-0.343536--0.13107))+0-75--0.076500000000012</f>
        <v>576.91094999999996</v>
      </c>
      <c r="H85" s="3">
        <f>422.3+(372.7-140.8)+(-0.861492+(-0.760308--0.287232))+0-85--0.173399999999996</f>
        <v>568.03883200000007</v>
      </c>
      <c r="I85" s="3">
        <f>430.9+(375.2-142.5)+(-1.098795+(-0.95676--0.363375))+0-93--0.237149999999987</f>
        <v>569.14496999999994</v>
      </c>
      <c r="J85" s="3">
        <f>438.4+(368.1-139.6)+(0.447168+(0.375462-0.142392))+0-93-0.0948600000000148</f>
        <v>574.48537799999997</v>
      </c>
      <c r="K85" s="3">
        <f>409.6+(440.4-203.9)+(-1.04448+(-1.12302--0.519945))+0-100--0.254999999999986</f>
        <v>544.70744500000001</v>
      </c>
      <c r="L85" s="3">
        <f>382.7+(467.4-205.8)+(-0.975885+(-1.19187--0.52479))+0-102--0.260099999999985</f>
        <v>540.91713499999992</v>
      </c>
      <c r="M85" s="3">
        <f>396.9+(510.2-204.7)+(0.404838+(0.520404-0.208794))+0-125-0.12750000000002</f>
        <v>577.98894799999994</v>
      </c>
      <c r="N85" s="3">
        <f>357.5+(564.7-193.5)+(0+(0-0))+0-100-0</f>
        <v>628.70000000000005</v>
      </c>
      <c r="O85" s="3">
        <f>362.8+(558.2-159.3)+(0.185028+(0.284682-0.081243))+0-136-0.0693599999999862</f>
        <v>626.01910700000008</v>
      </c>
      <c r="P85" s="3">
        <f>359.5+(561.1-152.4)+(-0.36669+(-0.572322--0.155448))+0-137.6--0.140352000000022</f>
        <v>629.95678800000007</v>
      </c>
      <c r="Q85" s="3">
        <f>413+(449.2-58.8)+(0.21063+(0.229092-0.029988))+0-147.7-0.075326999999985</f>
        <v>656.03440699999987</v>
      </c>
      <c r="R85" s="3">
        <f>449.8+(395.3-57.5)+(-0.458796+(-0.403206--0.05865))+0-143.6--0.146472000000023</f>
        <v>643.34312</v>
      </c>
      <c r="S85" s="3">
        <f>445.9+(412.5-76.6)+(-0.227409+(-0.210375--0.039066))+0-145.7--0.0743069999999852</f>
        <v>635.77558899999997</v>
      </c>
      <c r="T85" s="3">
        <f>446+(425-114.3)+(0+(0-0))+0-130-0</f>
        <v>626.70000000000005</v>
      </c>
      <c r="U85" s="3">
        <f>445.1+(445.8-110.6)+(-0.681003+(-0.682074--0.169218))+0-150.6--0.230418000000009</f>
        <v>628.73655900000006</v>
      </c>
      <c r="V85" s="3">
        <f>446+(401.3-83.5)+(0+(0-0))+0-131.5-0</f>
        <v>632.29999999999995</v>
      </c>
      <c r="W85" s="3">
        <f>449+(374.2-58.2)+(-0.45798+(-0.381684--0.059364))+0-128.5--0.13107000000002</f>
        <v>635.85077000000001</v>
      </c>
      <c r="X85" s="3">
        <f>445+(535.7-217.1)+(-0.9078+(-1.092828--0.442884))+0-142.8--0.291311999999994</f>
        <v>619.53356799999995</v>
      </c>
      <c r="Y85" s="3">
        <f>447+(499-199.1)+(-0.45594+(-0.50898--0.203082))+0-149.4--0.152388000000024</f>
        <v>596.89054999999996</v>
      </c>
      <c r="Z85" s="3">
        <f>453+(378.9-89.2)+(-0.23103+(-0.193239--0.045492))+0-128.7--0.0656369999999869</f>
        <v>613.68686000000014</v>
      </c>
      <c r="AA85" s="3">
        <f>455+(384-92.4)+(-0.69615+(-0.58752--0.141372))+0-127--0.194310000000007</f>
        <v>618.65201200000001</v>
      </c>
      <c r="AB85" s="3">
        <f>458+(344.2-82.5)+(-1.1679+(-0.87771--0.210375))+0-100.1--0.255254999999985</f>
        <v>618.02002000000005</v>
      </c>
      <c r="AC85" s="3">
        <f>449+(319-63)+(-0.45798+(-0.32538--0.06426))+0-124.9--0.12739800000002</f>
        <v>579.50829799999997</v>
      </c>
      <c r="AD85">
        <v>625.5</v>
      </c>
      <c r="AE85" s="3">
        <f>454+(382.2-82.5)+(0+(0-0))+0-128.2-0</f>
        <v>625.5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448.1+(313.8-58.1)+(-0.685593+(-0.480114--0.088893))+0-130.6--0.199818000000008</f>
        <v>572.32300400000008</v>
      </c>
      <c r="G86" s="3">
        <f>427.4+(344.9-88.4)+(-1.08987+(-0.879495--0.22542))+0-132.2--0.337109999999981</f>
        <v>550.29316499999982</v>
      </c>
      <c r="H86" s="3">
        <f>444.3+(426.2-195.2)+(-0.226593+(-0.217362--0.099552))+0-130.1--0.0663509999999868</f>
        <v>544.92194799999982</v>
      </c>
      <c r="I86" s="3">
        <f>455.4+(354-142.3)+(-0.929016+(-0.72216--0.290292))+0-130.2--0.265607999999994</f>
        <v>535.80472399999996</v>
      </c>
      <c r="J86" s="3">
        <f>454.1+(358.2-165.7)+(-1.157955+(-0.91341--0.422535))+0-120.9--0.308294999999982</f>
        <v>524.359465</v>
      </c>
      <c r="K86" s="3">
        <f>455.9+(377.4-227.3)+(-1.860072+(-1.539792--0.927384))+0-109.6--0.44716799999999</f>
        <v>494.37468799999994</v>
      </c>
      <c r="L86" s="3">
        <f>423+(404.5-222.9)+(-0.64719+(-0.618885--0.341037))+0-108.9--0.166617000000006</f>
        <v>494.9415790000001</v>
      </c>
      <c r="M86" s="3">
        <f>412.4+(446.2-185.5)+(0.210324+(0.227562-0.094605))+0-130.3-0.0664529999999868</f>
        <v>543.07682799999986</v>
      </c>
      <c r="N86" s="3">
        <f>406.2+(522.6-228.4)+(0.207162+(0.266526-0.116484))+0-112.3-0.0572729999999886</f>
        <v>588.39993100000015</v>
      </c>
      <c r="O86" s="3">
        <f>417+(562-257.2)+(0.21267+(0.28662-0.131172))+0-99.1-0.0505409999999899</f>
        <v>623.01757699999996</v>
      </c>
      <c r="P86" s="3">
        <f>438.9+(509.7-216.7)+(0.223839+(0.259947-0.110517))+0-101.1-0.0515609999999897</f>
        <v>631.12170800000001</v>
      </c>
      <c r="Q86" s="3">
        <f>410+(410.2-86.9)+(0.2091+(0.209202-0.044319))+0-88.9-0.045338999999991</f>
        <v>644.72864399999992</v>
      </c>
      <c r="R86" s="3">
        <f>409.2+(389.9-58.6)+(0.208692+(0.198849-0.029886))+0-82.4-0.0420239999999916</f>
        <v>658.43563100000006</v>
      </c>
      <c r="S86" s="3">
        <f>401.3+(426.8-95)+(-0.409326+(-0.435336--0.0969))+0-82.9--0.0845580000000132</f>
        <v>649.53679600000009</v>
      </c>
      <c r="T86" s="3">
        <f>416.4+(434.2-134.5)+(-0.212364+(-0.221442--0.068595))+0-91--0.0464099999999908</f>
        <v>624.7811989999999</v>
      </c>
      <c r="U86" s="3">
        <f>427.3+(422.7-136.9)+(-0.871692+(-0.862308--0.279276))+0-92.7--0.189107999999996</f>
        <v>619.13438399999984</v>
      </c>
      <c r="V86" s="3">
        <f>431.6+(386.8-102.9)+(0+(0-0))+0-88.4-0</f>
        <v>627.1</v>
      </c>
      <c r="W86" s="3">
        <f>422.8+(387-99.6)+(-1.293768+(-1.18422--0.304776))+0-82.6--0.25275600000001</f>
        <v>625.67954399999996</v>
      </c>
      <c r="X86" s="3">
        <f>421.1+(612.1-326)+(-1.503327+(-2.185197--1.16382))+0-85.7--0.305949000000001</f>
        <v>619.28124500000001</v>
      </c>
      <c r="Y86" s="3">
        <f>471.5+(592.1-360.6)+(-1.202325+(-1.509855--0.91953))+0-96--0.244799999999986</f>
        <v>605.45214999999996</v>
      </c>
      <c r="Z86" s="3">
        <f>506.9+(397.1-175.3)+(0+(0-0))+0-105.6-0</f>
        <v>623.1</v>
      </c>
      <c r="AA86" s="3">
        <f>545.6+(425.9-221.9)+(-1.669536+(-1.303254--0.679014))+0-133.4--0.408204000000015</f>
        <v>614.31442800000013</v>
      </c>
      <c r="AB86" s="3">
        <f>558.1+(361.7-206.7)+(-0.569262+(-0.368934--0.210834))+0-115.8--0.118116000000018</f>
        <v>596.69075400000008</v>
      </c>
      <c r="AC86" s="3">
        <f>555.8+(298.4-154.3)+(0.283458+(0.152184-0.078693))+0-125.8-0.0641579999999872</f>
        <v>574.39279099999987</v>
      </c>
      <c r="AD86">
        <v>619.40000000000009</v>
      </c>
      <c r="AE86" s="3">
        <f>542+(400.6-181.4)+(0+(0-0))+0-141.8-0</f>
        <v>619.40000000000009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548.3+(267.4-131.7)+(-1.398165+(-0.68187--0.335835))+0-122.5--0.312374999999982</f>
        <v>560.068175</v>
      </c>
      <c r="G87" s="3">
        <f>550.7+(277-150.3)+(-0.842571+(-0.42381--0.229959))+0-136.7--0.209151000000008</f>
        <v>539.87272900000016</v>
      </c>
      <c r="H87" s="3">
        <f>547.2+(251.5-154.2)+(-0.558144+(-0.25653--0.157284))+0-118.7--0.121074000000019</f>
        <v>525.26368400000001</v>
      </c>
      <c r="I87" s="3">
        <f>541.5+(278.5-164.7)+(-1.10466+(-0.56814--0.335988))+0-146.5--0.298859999999994</f>
        <v>507.76204799999994</v>
      </c>
      <c r="J87" s="3">
        <f>551.7+(281.2-196.7)+(0.281367+(0.143412-0.100317))+0-129.5-0.0660449999999869</f>
        <v>506.95841700000011</v>
      </c>
      <c r="K87" s="3">
        <f>549.2+(329.2-266)+(-0.280092+(-0.167892--0.13566))+0-123.5--0.0629849999999875</f>
        <v>488.65066100000007</v>
      </c>
      <c r="L87" s="3">
        <f>462.6+(363.6-213.8)+(0.235926+(0.185436-0.109038))+0-121.3-0.0618629999999877</f>
        <v>491.35046100000011</v>
      </c>
      <c r="M87" s="3">
        <f>466.1+(388.4-195.1)+(0.237711+(0.198084-0.099501))+0-136.6-0.0696659999999861</f>
        <v>523.06662799999992</v>
      </c>
      <c r="N87" s="3">
        <f>511.4+(442.1-253.9)+(-0.260814+(-0.225471--0.129489))+0-134.8--0.0687479999999863</f>
        <v>564.51195199999995</v>
      </c>
      <c r="O87" s="3">
        <f>560.8+(475.4-318.5)+(-0.286008+(-0.242454--0.162435))+0-134.5--0.0685949999999864</f>
        <v>582.90256799999986</v>
      </c>
      <c r="P87" s="3">
        <f>560.9+(420.3-258.7)+(-0.286059+(-0.214353--0.131937))+0-124.1--0.0632909999999874</f>
        <v>598.09481599999992</v>
      </c>
      <c r="Q87" s="3">
        <f>556.3+(348.2-162.5)+(-0.851139+(-0.532746--0.248625))+0-109.6--0.167688000000006</f>
        <v>631.43242799999996</v>
      </c>
      <c r="R87" s="3">
        <f>556.5+(275.3-77.6)+(-0.283815+(-0.140403--0.039576))+0-109.9--0.0560489999999889</f>
        <v>643.97140700000011</v>
      </c>
      <c r="S87" s="3">
        <f>552.1+(331.6-127.7)+(-0.563142+(-0.338232--0.130254))+0-120.9--0.123318000000019</f>
        <v>634.45219800000007</v>
      </c>
      <c r="T87" s="3">
        <f>550.8+(326-159.9)+(-0.842724+(-0.49878--0.244647))+0-104.8--0.160344000000006</f>
        <v>611.16348700000003</v>
      </c>
      <c r="U87" s="3">
        <f>550.7+(332.4-161.5)+(-1.404285+(-0.84762--0.411825))+0-118.3--0.301664999999983</f>
        <v>601.76158500000008</v>
      </c>
      <c r="V87" s="3">
        <f>548.2+(281.3-106.5)+(-1.118328+(-0.573852--0.21726))+0-113.7--0.231947999999995</f>
        <v>608.05702799999995</v>
      </c>
      <c r="W87" s="3">
        <f>545.4+(312-116.3)+(-0.834462+(-0.47736--0.177939))+0-129.8--0.198594000000008</f>
        <v>610.36471099999994</v>
      </c>
      <c r="X87" s="3">
        <f>545.5+(463-276.7)+(-1.66923+(-1.41678--0.846702))+0-127.5--0.390150000000015</f>
        <v>602.45084199999997</v>
      </c>
      <c r="Y87" s="3">
        <f>541.3+(453.2-260.3)+(-0.828189+(-0.693396--0.398259))+0-125.4--0.191862000000007</f>
        <v>607.86853599999995</v>
      </c>
      <c r="Z87" s="3">
        <f>545.6+(322-125.8)+(-0.278256+(-0.16422--0.064158))+0-121.9--0.0621689999999876</f>
        <v>619.58385099999998</v>
      </c>
      <c r="AA87" s="3">
        <f>548.4+(304.8-118.5)+(-0.839052+(-0.466344--0.181305))+0-112.3--0.171819000000006</f>
        <v>621.4477280000001</v>
      </c>
      <c r="AB87" s="3">
        <f>554.1+(252.8-73.7)+(-0.565182+(-0.257856--0.075174))+0-130.2--0.132804000000021</f>
        <v>602.38494000000003</v>
      </c>
      <c r="AC87" s="3">
        <f>558.1+(285.4-120.4)+(-0.569262+(-0.291108--0.122808))+0-145.2--0.148104000000023</f>
        <v>577.31054200000005</v>
      </c>
      <c r="AD87">
        <v>621.59999999999991</v>
      </c>
      <c r="AE87" s="3">
        <f>557+(309.3-132.5)+(0+(0-0))+0-112.2-0</f>
        <v>621.59999999999991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532.4+(301.9-130.5)+(-0.814572+(-0.461907--0.199665))+0-141.3--0.216189000000008</f>
        <v>561.63937499999997</v>
      </c>
      <c r="G88" s="3">
        <f>460.8+(343.3-115.6)+(-0.470016+(-0.350166--0.117912))+0-146.1--0.149022000000023</f>
        <v>541.84675200000004</v>
      </c>
      <c r="H88" s="3">
        <f>456.8+(320.7-98.2)+(-1.16484+(-0.817785--0.25041))+0-148--0.377399999999979</f>
        <v>529.94518499999992</v>
      </c>
      <c r="I88" s="3">
        <f>465.9+(290.1-91.8)+(0+(0-0))+0-142.8-0</f>
        <v>521.40000000000009</v>
      </c>
      <c r="J88" s="3">
        <f>474.9+(290.3-109.9)+(-1.453194+(-0.888318--0.336294))+0-149.2--0.456552000000017</f>
        <v>504.551334</v>
      </c>
      <c r="K88" s="3">
        <f>473.1+(252.4-126.5)+(-1.206405+(-0.64362--0.322575))+0-140.7--0.35878499999998</f>
        <v>457.13133499999992</v>
      </c>
      <c r="L88" s="3">
        <f>453.3+(262.6-138.8)+(-0.693549+(-0.401778--0.212364))+0-141.7--0.216801000000008</f>
        <v>434.73383800000005</v>
      </c>
      <c r="M88" s="3">
        <f>455.2+(261.7-131.1)+(-0.696456+(-0.400401--0.200583))+0-136.9--0.209457000000008</f>
        <v>448.21318300000001</v>
      </c>
      <c r="N88" s="3">
        <f>455+(251.8-98.3)+(-0.4641+(-0.256836--0.100266))+0-123.8--0.12627600000002</f>
        <v>484.20560599999999</v>
      </c>
      <c r="O88" s="3">
        <f>450.6+(246.6-83.5)+(-0.919224+(-0.503064--0.17034))+0-90.4--0.184415999999996</f>
        <v>522.23246800000004</v>
      </c>
      <c r="P88" s="3">
        <f>452.1+(252.2-74)+(0.230571+(0.128622-0.03774))+0-79.9-0.0407489999999919</f>
        <v>550.68070399999999</v>
      </c>
      <c r="Q88" s="3">
        <f>497.8+(291.3-142.9)+(-0.507756+(-0.297126--0.145758))+0-77.6--0.0791520000000124</f>
        <v>568.02002800000002</v>
      </c>
      <c r="R88" s="3">
        <f>591+(369.6-303.9)+(-0.30141+(-0.188496--0.154989))+0-76.8--0.0391679999999922</f>
        <v>579.60425100000009</v>
      </c>
      <c r="S88" s="3">
        <f>587.5+(503.6-420.6)+(-0.898875+(-0.770508--0.643518))+0-114.4--0.175032000000007</f>
        <v>555.24916700000006</v>
      </c>
      <c r="T88" s="3">
        <f>585.1+(600.4-506.6)+(-0.596802+(-0.612408--0.516732))+0-121.2--0.123624000000019</f>
        <v>557.13114599999994</v>
      </c>
      <c r="U88" s="3">
        <f>582.6+(592-515.2)+(-0.891378+(-0.90576--0.788256))+0-106.2--0.162486000000006</f>
        <v>552.35360400000002</v>
      </c>
      <c r="V88" s="3">
        <f>580.5+(522.6-450.7)+(-0.888165+(-0.799578--0.689571))+0-110.7--0.169371000000006</f>
        <v>540.87119900000005</v>
      </c>
      <c r="W88" s="3">
        <f>579.3+(345.3-281.2)+(-0.886329+(-0.528309--0.430236))+0-102.5--0.156825000000006</f>
        <v>540.07242299999996</v>
      </c>
      <c r="X88" s="3">
        <f>577.2+(217.2-130.8)+(-1.766232+(-0.664632--0.400248))+0-124.8--0.381888000000014</f>
        <v>537.15127200000006</v>
      </c>
      <c r="Y88" s="3">
        <f>495.8+(240.1-95.4)+(-0.758574+(-0.367353--0.145962))+0-128.9--0.197217000000007</f>
        <v>510.81725200000005</v>
      </c>
      <c r="Z88" s="3">
        <f>488+(330.7-145.9)+(0.49776+(0.337314-0.148818))+0-135-0.137700000000022</f>
        <v>538.34855599999992</v>
      </c>
      <c r="AA88" s="3">
        <f>557.4+(299.5-158)+(-1.705644+(-0.91647--0.48348))+0-151.1--0.462366000000017</f>
        <v>546.1237319999999</v>
      </c>
      <c r="AB88" s="3">
        <f>563.4+(285.6-173.3)+(-0.574668+(-0.291312--0.176766))+0-145--0.147900000000023</f>
        <v>530.1586860000001</v>
      </c>
      <c r="AC88" s="3">
        <f>567.2+(325.4-225.1)+(-0.578544+(-0.331908--0.229602))+0-146--0.148920000000023</f>
        <v>520.96807000000001</v>
      </c>
      <c r="AD88">
        <v>525.80000000000007</v>
      </c>
      <c r="AE88" s="3">
        <f>552+(307.7-158.9)+(0+(0-0))+0-175-0</f>
        <v>525.79999999999995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572.2+(350-262.8)+(0.583644+(0.357-0.268056))+0-130-0.132600000000021</f>
        <v>529.93998800000008</v>
      </c>
      <c r="G89" s="3">
        <f>565.3+(326.5-232)+(-1.153212+(-0.66606--0.47328))+0-152--0.310079999999993</f>
        <v>506.7640879999999</v>
      </c>
      <c r="H89" s="3">
        <f>529.4+(290.7-190.1)+(0+(0-0))+0-158.6-0</f>
        <v>471.4</v>
      </c>
      <c r="I89" s="3">
        <f>569.3+(246.2-165.1)+(-0.580686+(-0.251124--0.168402))+0-163.4--0.166668000000026</f>
        <v>486.50326000000001</v>
      </c>
      <c r="J89" s="3">
        <f>573.8+(230.6-179.7)+(0+(0-0))+0-146.2-0</f>
        <v>478.49999999999994</v>
      </c>
      <c r="K89" s="3">
        <f>567.2+(219-172.3)+(-1.735632+(-0.67014--0.527238))+0-156.9--0.480114000000018</f>
        <v>455.60158000000018</v>
      </c>
      <c r="L89" s="3">
        <f>489.6+(246.8-158.7)+(-1.24848+(-0.62934--0.404685))+0-136--0.34679999999998</f>
        <v>440.57366500000006</v>
      </c>
      <c r="M89" s="3">
        <f>466.4+(258.9-125.7)+(-0.475728+(-0.264078--0.128214))+0-152.5--0.155550000000024</f>
        <v>446.64395799999994</v>
      </c>
      <c r="N89" s="3">
        <f>469.2+(261.3-108.7)+(0.239292+(0.133263-0.055437))+0-151.8-0.0774179999999846</f>
        <v>470.23970000000003</v>
      </c>
      <c r="O89" s="3">
        <f>467.8+(259.4-93.6)+(-0.954312+(-0.529176--0.190944))+0-150.9--0.307835999999993</f>
        <v>481.71529200000003</v>
      </c>
      <c r="P89" s="3">
        <f>511.1+(242.7-116.9)+(0.260661+(0.123777-0.059619))+0-126.1-0.0643109999999872</f>
        <v>511.06050800000003</v>
      </c>
      <c r="Q89" s="3">
        <f>558.3+(275.3-189.8)+(0+(0-0))+0-127-0</f>
        <v>516.79999999999995</v>
      </c>
      <c r="R89" s="3">
        <f>554.3+(426.2-320.6)+(0+(0-0))+0-129-0</f>
        <v>530.89999999999986</v>
      </c>
      <c r="S89" s="3">
        <f>548.9+(496.6-388.5)+(-0.279939+(-0.253266--0.198135))+0-122.1--0.0622709999999876</f>
        <v>534.62720100000001</v>
      </c>
      <c r="T89" s="3">
        <f>547.7+(591.1-484.4)+(0.279327+(0.301461-0.247044))+0-117.3-0.0598229999999881</f>
        <v>537.37392100000022</v>
      </c>
      <c r="U89" s="3">
        <f>543.8+(609.5-480.9)+(-0.277338+(-0.310845--0.245259))+0-151--0.0770099999999847</f>
        <v>521.13408599999991</v>
      </c>
      <c r="V89" s="3">
        <f>542.7+(551.2-438.7)+(-1.107108+(-1.124448--0.894948))+0-145.4--0.296615999999994</f>
        <v>508.76000800000008</v>
      </c>
      <c r="W89" s="3">
        <f>544.1+(357.4-247.1)+(-0.277491+(-0.182274--0.126021))+0-148.2--0.075581999999985</f>
        <v>505.94183799999996</v>
      </c>
      <c r="X89" s="3">
        <f>537.3+(221.7-96.4)+(-1.644138+(-0.678402--0.294984))+0-152.2--0.465732000000018</f>
        <v>508.83817599999992</v>
      </c>
      <c r="Y89" s="3">
        <f>541.6+(228.1-99.9)+(-0.828648+(-0.348993--0.152847))+0-150.5--0.230265000000009</f>
        <v>518.50547099999994</v>
      </c>
      <c r="Z89" s="3">
        <f>549.3+(257.2-112.3)+(1.680858+(0.787032-0.343638))+0-130.4-0.399024000000015</f>
        <v>565.52522799999986</v>
      </c>
      <c r="AA89" s="3">
        <f>570.3+(255.2-121.9)+(-0.290853+(-0.130152--0.062169))+0-139.9--0.0713489999999858</f>
        <v>563.41251299999988</v>
      </c>
      <c r="AB89" s="3">
        <f>591.4+(273.2-145.3)+(-0.603228+(-0.278664--0.148206))+0-159.3--0.162486000000025</f>
        <v>559.42880000000002</v>
      </c>
      <c r="AC89" s="3">
        <f>599.9+(276.3-175.5)+(-0.611898+(-0.281826--0.17901))+0-147.2--0.150144000000023</f>
        <v>552.93543000000011</v>
      </c>
      <c r="AD89">
        <v>559.5</v>
      </c>
      <c r="AE89" s="3">
        <f>574+(260.5-122.3)+(0+(0-0))+0-152.7-0</f>
        <v>559.5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587.9+(274.5-171.1)+(-1.499145+(-0.699975--0.436305))+0-151.2--0.385559999999978</f>
        <v>538.7227449999998</v>
      </c>
      <c r="G90" s="3">
        <f>570.4+(263.4-153.6)+(-1.745424+(-0.806004--0.470016))+0-157.7--0.482562000000018</f>
        <v>520.90115000000003</v>
      </c>
      <c r="H90" s="3">
        <f>575.7+(240-154.7)+(-1.174428+(-0.4896--0.315588))+0-151.4--0.308855999999993</f>
        <v>508.56041600000003</v>
      </c>
      <c r="I90" s="3">
        <f>578.4+(225-165)+(-0.589968+(-0.2295--0.1683))+0-134.1--0.136782000000021</f>
        <v>503.78561400000001</v>
      </c>
      <c r="J90" s="3">
        <f>578.6+(227.2-164.3)+(-1.47543+(-0.57936--0.418965))+0-135.1--0.34450499999998</f>
        <v>505.10867999999999</v>
      </c>
      <c r="K90" s="3">
        <f>582.6+(218.4-186.1)+(-0.594252+(-0.222768--0.189822))+0-133.1--0.135762000000021</f>
        <v>481.30856400000005</v>
      </c>
      <c r="L90" s="3">
        <f>468.3+(291.8-162.2)+(-0.238833+(-0.148818--0.082722))+0-121.4--0.0619139999999877</f>
        <v>476.2569850000001</v>
      </c>
      <c r="M90" s="3">
        <f>422.4+(355-132.9)+(0.215424+(0.18105-0.067779))+0-118.1-0.060230999999988</f>
        <v>526.66846399999997</v>
      </c>
      <c r="N90" s="3">
        <f>542.3+(346.4-199.7)+(0.553146+(0.353328-0.203694))+0-127.1-0.12964200000002</f>
        <v>562.47313799999995</v>
      </c>
      <c r="O90" s="3">
        <f>571.3+(344.3-190.4)+(0.582726+(0.351186-0.194208))+0-133.8-0.136476000000021</f>
        <v>592.00322799999992</v>
      </c>
      <c r="P90" s="3">
        <f>565.3+(319.5-152.9)+(-0.576606+(-0.32589--0.155958))+0-122.1--0.124542000000019</f>
        <v>609.17800399999999</v>
      </c>
      <c r="Q90" s="3">
        <f>562.6+(304.6-80.8)+(0.573852+(0.310692-0.082416))+0-147.3-0.150246000000024</f>
        <v>639.75188200000014</v>
      </c>
      <c r="R90" s="3">
        <f>579.9+(363.9-133.1)+(0+(0-0))+0-139.2-0</f>
        <v>671.5</v>
      </c>
      <c r="S90" s="3">
        <f>575.6+(637.6-411.8)+(0.587112+(0.650352-0.420036))+0-147.3-0.150246000000024</f>
        <v>654.76718199999993</v>
      </c>
      <c r="T90" s="3">
        <f>576.3+(672-498.5)+(-0.587826+(-0.68544--0.50847))+0-121.3--0.123726000000019</f>
        <v>627.85892999999999</v>
      </c>
      <c r="U90" s="3">
        <f>573+(610.3-437.1)+(-0.58446+(-0.622506--0.445842))+0-131.5--0.134130000000021</f>
        <v>614.07300599999996</v>
      </c>
      <c r="V90" s="3">
        <f>572.7+(526.7-329.2)+(-1.168308+(-1.074468--0.671568))+0-145.9--0.297635999999994</f>
        <v>623.02642800000012</v>
      </c>
      <c r="W90" s="3">
        <f>565.8+(345.5-149.6)+(-1.731348+(-1.05723--0.457776))+0-153.4--0.469404000000018</f>
        <v>606.43860200000006</v>
      </c>
      <c r="X90" s="3">
        <f>544.1+(303.3-95.3)+(-1.664946+(-0.928098--0.291618))+0-136.9--0.418914000000016</f>
        <v>613.31748800000003</v>
      </c>
      <c r="Y90" s="3">
        <f>545.5+(326.1-134)+(-0.834615+(-0.498933--0.20502))+0-140.5--0.214965000000008</f>
        <v>596.18643700000007</v>
      </c>
      <c r="Z90" s="3">
        <f>559+(278.3-94.9)+(0+(0-0))+0-119.1-0</f>
        <v>623.29999999999995</v>
      </c>
      <c r="AA90" s="3">
        <f>605.8+(268.7-109.1)+(-0.926874+(-0.411111--0.166923))+0-139.8--0.213894000000008</f>
        <v>624.642832</v>
      </c>
      <c r="AB90" s="3">
        <f>605.3+(245.6-110.6)+(-1.543515+(-0.62628--0.28203))+0-131.6--0.335579999999981</f>
        <v>607.14781499999992</v>
      </c>
      <c r="AC90" s="3">
        <f>582.7+(268.9-123)+(0+(0-0))+0-134.1-0</f>
        <v>594.5</v>
      </c>
      <c r="AD90">
        <v>586.6</v>
      </c>
      <c r="AE90" s="3">
        <f>596+(277.5-118.3)+(0+(0-0))+0-168.6-0</f>
        <v>586.6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544.2+(258.3-112.5)+(-0.277542+(-0.131733--0.057375))+0-139.6--0.0711959999999858</f>
        <v>550.11929599999996</v>
      </c>
      <c r="G91" s="3">
        <f>541.5+(247.9-115.5)+(-0.55233+(-0.252858--0.11781))+0-135.8--0.138516000000022</f>
        <v>537.55113800000004</v>
      </c>
      <c r="H91" s="3">
        <f>539.1+(252.7-125.8)+(-1.099764+(-0.515508--0.256632))+0-153.9--0.313955999999993</f>
        <v>511.055316</v>
      </c>
      <c r="I91" s="3">
        <f>546.2+(269.2-146.5)+(0+(0-0))+0-152.1-0</f>
        <v>516.80000000000007</v>
      </c>
      <c r="J91" s="3">
        <f>542.4+(260.7-159.1)+(-1.106496+(-0.531828--0.324564))+0-136--0.277439999999994</f>
        <v>506.96368000000001</v>
      </c>
      <c r="K91" s="3">
        <f>545.2+(228.9-154.1)+(-1.668312+(-0.700434--0.471546))+0-134.9--0.412794000000016</f>
        <v>483.61559400000004</v>
      </c>
      <c r="L91" s="3">
        <f>485.3+(323.5-168.1)+(-1.732521+(-1.154895--0.600117))+0-125.1--0.446607000000002</f>
        <v>513.75930800000003</v>
      </c>
      <c r="M91" s="3">
        <f>451.9+(387.6-132)+(0.230469+(0.197676-0.06732))+0-152.1-0.0775709999999846</f>
        <v>555.68325399999992</v>
      </c>
      <c r="N91" s="3">
        <f>466.9+(392.4-114.6)+(0.714357+(0.600372-0.175338))+0-144.6-0.221238000000008</f>
        <v>601.01815299999998</v>
      </c>
      <c r="O91" s="3">
        <f>470.7+(412.3-99.3)+(0.240057+(0.210273-0.050643))+0-157.1-0.0801209999999841</f>
        <v>626.91956600000003</v>
      </c>
      <c r="P91" s="3">
        <f>467.1+(401.2-76.4)+(0+(0-0))+0-150.6-0</f>
        <v>641.29999999999995</v>
      </c>
      <c r="Q91" s="3">
        <f>553.5+(336.5-80.7)+(0.56457+(0.34323-0.082314))+0-149.6-0.152592000000024</f>
        <v>660.37289399999986</v>
      </c>
      <c r="R91" s="3">
        <f>569.5+(395.7-153.9)+(0+(0-0))+0-137-0</f>
        <v>674.3</v>
      </c>
      <c r="S91" s="3">
        <f>610.2+(475-277)+(0+(0-0))+0-145.2-0</f>
        <v>663</v>
      </c>
      <c r="T91" s="3">
        <f>611.8+(515.8-356)+(0+(0-0))+0-136-0</f>
        <v>635.59999999999991</v>
      </c>
      <c r="U91" s="3">
        <f>610.6+(490.9-336.1)+(-0.622812+(-0.500718--0.342822))+0-141.5--0.144330000000023</f>
        <v>623.26362199999994</v>
      </c>
      <c r="V91" s="3">
        <f>610.3+(427.5-274.1)+(-0.311253+(-0.218025--0.139791))+0-137.5--0.070124999999986</f>
        <v>625.88063799999986</v>
      </c>
      <c r="W91" s="3">
        <f>601.3+(294.5-131.3)+(0+(0-0))+0-136.5-0</f>
        <v>628</v>
      </c>
      <c r="X91" s="3">
        <f>552.1+(353.7-151.3)+(-0.281571+(-0.180387--0.077163))+0-142.1--0.0724709999999856</f>
        <v>612.08767599999987</v>
      </c>
      <c r="Y91" s="3">
        <f>539.9+(476.1-297.8)+(0+(0-0))+0-133.7-0</f>
        <v>584.5</v>
      </c>
      <c r="Z91" s="3">
        <f>549.8+(314-150.3)+(-0.560796+(-0.32028--0.153306))+0-100--0.102000000000016</f>
        <v>612.87423000000001</v>
      </c>
      <c r="AA91" s="3">
        <f>577.8+(272-78.6)+(-0.884034+(-0.41616--0.120258))+0-107--0.163710000000006</f>
        <v>663.18377399999997</v>
      </c>
      <c r="AB91" s="3">
        <f>580.4+(277.9-97.7)+(-0.592008+(-0.283458--0.099654))+0-102--0.104040000000016</f>
        <v>657.92822799999999</v>
      </c>
      <c r="AC91" s="3">
        <f>569.1+(294.8-115)+(-0.580482+(-0.300696--0.1173))+0-99--0.100980000000016</f>
        <v>649.23710200000016</v>
      </c>
      <c r="AD91">
        <v>690.4</v>
      </c>
      <c r="AE91" s="3">
        <f>577+(285.5-80.1)+(0+(0-0))+0-92-0</f>
        <v>690.4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570.7+(290.9-146.2)+(-1.746342+(-0.890154--0.447372))+0-118--0.361080000000014</f>
        <v>595.57195600000011</v>
      </c>
      <c r="G92" s="3">
        <f>577.7+(233.1-124.7)+(-1.178508+(-0.475524--0.254388))+0-109--0.222359999999995</f>
        <v>575.92271600000004</v>
      </c>
      <c r="H92" s="3">
        <f>579.1+(224.9-121.1)+(-0.886023+(-0.344097--0.185283))+0-118--0.180540000000007</f>
        <v>564.03570300000001</v>
      </c>
      <c r="I92" s="3">
        <f>581.2+(223.2-137)+(0.592824+(0.227664-0.13974))+0-112-0.114240000000018</f>
        <v>555.96650800000009</v>
      </c>
      <c r="J92" s="3">
        <f>583.7+(234.9-164.5)+(-1.190748+(-0.479196--0.33558))+0-110--0.224399999999995</f>
        <v>542.99003599999992</v>
      </c>
      <c r="K92" s="3">
        <f>584.2+(220.9-172.3)+(-1.48971+(-0.563295--0.439365))+0-115--0.293249999999983</f>
        <v>516.47960999999998</v>
      </c>
      <c r="L92" s="3">
        <f>533.9+(360.5-250.3)+(-0.544578+(-0.36771--0.255306))+0-107--0.109140000000017</f>
        <v>536.55215799999996</v>
      </c>
      <c r="M92" s="3">
        <f>528.9+(421.6-262.1)+(1.348695+(1.07508-0.668355))+0-92-0.234599999999987</f>
        <v>597.92081999999994</v>
      </c>
      <c r="N92" s="3">
        <f>466+(402-116.5)+(0.23766+(0.20502-0.059415))+0-124-0.0632399999999874</f>
        <v>627.8200250000001</v>
      </c>
      <c r="O92" s="3">
        <f>457.5+(426.1-114.1)+(-0.233325+(-0.217311--0.058191))+0-108--0.055079999999989</f>
        <v>661.16263500000002</v>
      </c>
      <c r="P92" s="3">
        <f>451.1+(404.7-62.5)+(0.690183+(0.619191-0.095625))+0-120-0.183600000000007</f>
        <v>674.33014900000001</v>
      </c>
      <c r="Q92" s="3">
        <f>447+(412.9-56.4)+(0.91188+(0.842316-0.115056))+0-110-0.224399999999995</f>
        <v>694.91474000000005</v>
      </c>
      <c r="R92" s="3">
        <f>438.5+(476-104.2)+(0.223635+(0.24276-0.053142))+0-115-0.0586499999999883</f>
        <v>695.65460300000007</v>
      </c>
      <c r="S92" s="3">
        <f>438.8+(551.2-187.5)+(0.223788+(0.281112-0.095625))+0-116-0.0591599999999882</f>
        <v>686.85011499999996</v>
      </c>
      <c r="T92" s="3">
        <f>464.9+(548.8-241.6)+(0.474198+(0.559776-0.246432))+0-110-0.112200000000018</f>
        <v>662.77534199999991</v>
      </c>
      <c r="U92" s="3">
        <f>467.3+(513.7-225.4)+(0+(0-0))+0-110-0</f>
        <v>645.60000000000014</v>
      </c>
      <c r="V92" s="3">
        <f>475.8+(459-164.2)+(0.242658+(0.23409-0.083742))+0-115-0.0586499999999883</f>
        <v>655.93435600000009</v>
      </c>
      <c r="W92" s="3">
        <f>460.7+(359.3-61.1)+(-0.704871+(-0.549729--0.093483))+0-97--0.148410000000006</f>
        <v>660.887293</v>
      </c>
      <c r="X92" s="3">
        <f>449.7+(449.4-162.2)+(-0.917388+(-0.916776--0.330888))+0-87--0.177479999999996</f>
        <v>648.5742039999999</v>
      </c>
      <c r="Y92" s="3">
        <f>481.8+(483.5-227.6)+(-1.22859+(-1.232925--0.58038))+0-104--0.265199999999985</f>
        <v>632.08406500000001</v>
      </c>
      <c r="Z92" s="3">
        <f>488.7+(392-95.3)+(0+(0-0))+0-119-0</f>
        <v>666.4</v>
      </c>
      <c r="AA92" s="3">
        <f>580+(322.7-139.9)+(-0.2958+(-0.164577--0.071349))+0-92--0.0469199999999907</f>
        <v>670.4578919999999</v>
      </c>
      <c r="AB92" s="3">
        <f>584.6+(279.7-117.8)+(-0.596292+(-0.285294--0.120156))+0-86--0.0877200000000137</f>
        <v>659.82628999999997</v>
      </c>
      <c r="AC92" s="3">
        <f>589.6+(258.7-111.1)+(-0.601392+(-0.263874--0.113322))+0-92--0.0938400000000147</f>
        <v>644.54189600000007</v>
      </c>
      <c r="AD92">
        <v>630.20000000000005</v>
      </c>
      <c r="AE92" s="3">
        <f>582+(306.1-151.9)+(0+(0-0))+0-106-0</f>
        <v>630.20000000000005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587.7+(256-127.6)+(-0.599454+(-0.26112--0.130152))+0-94--0.095880000000015</f>
        <v>621.46545800000001</v>
      </c>
      <c r="G93" s="3">
        <f>573.4+(268.9-129.2)+(0+(0-0))+0-113-0</f>
        <v>600.09999999999991</v>
      </c>
      <c r="H93" s="3">
        <f>573.7+(269.5-146)+(-0.877761+(-0.412335--0.22338))+0-117--0.179010000000007</f>
        <v>579.31229400000007</v>
      </c>
      <c r="I93" s="3">
        <f>575+(285.6-187.2)+(-0.5865+(-0.291312--0.190944))+0-114--0.116280000000018</f>
        <v>558.82941200000016</v>
      </c>
      <c r="J93" s="3">
        <f>573.6+(343.6-250)+(-1.46268+(-0.87618--0.6375))+0-115--0.293249999999983</f>
        <v>550.79188999999997</v>
      </c>
      <c r="K93" s="3">
        <f>538.7+(372.5-273.4)+(-1.373685+(-0.949875--0.69717))+0-113--0.288149999999984</f>
        <v>523.46176000000003</v>
      </c>
      <c r="L93" s="3">
        <f>493.6+(367-223.4)+(0+(0-0))+0-111-0</f>
        <v>526.20000000000005</v>
      </c>
      <c r="M93" s="3">
        <f>539.1+(352.8-222)+(0.274941+(0.179928-0.11322))+0-97-0.0494699999999902</f>
        <v>573.19217900000001</v>
      </c>
      <c r="N93" s="3">
        <f>568.9+(407.4-247.5)+(-0.580278+(-0.415548--0.25245))+0-119--0.121380000000019</f>
        <v>609.17800399999999</v>
      </c>
      <c r="O93" s="3">
        <f>556.2+(458.9-261.8)+(-0.567324+(-0.468078--0.267036))+0-108--0.110160000000017</f>
        <v>644.641794</v>
      </c>
      <c r="P93" s="3">
        <f>550.2+(383.3-158.3)+(0.280602+(0.195483-0.080733))+0-114-0.0581399999999884</f>
        <v>661.53721200000007</v>
      </c>
      <c r="Q93" s="3">
        <f>543.9+(323.1-79.9)+(0+(0-0))+0-106-0</f>
        <v>681.1</v>
      </c>
      <c r="R93" s="3">
        <f>537.6+(366.6-129.2)+(-0.548352+(-0.373932--0.131784))+0-96--0.0979200000000153</f>
        <v>678.30742000000009</v>
      </c>
      <c r="S93" s="3">
        <f>534.3+(434.1-201)+(-0.272493+(-0.221391--0.10251))+0-97--0.0494699999999902</f>
        <v>670.05809599999998</v>
      </c>
      <c r="T93" s="3">
        <f>533+(495.3-266.3)+(0+(0-0))+0-111-0</f>
        <v>651</v>
      </c>
      <c r="U93" s="3">
        <f>533.8+(456.2-225.6)+(-0.272238+(-0.232662--0.115056))+0-121--0.0617099999999877</f>
        <v>643.07186599999989</v>
      </c>
      <c r="V93" s="3">
        <f>532.4+(432.9-195.8)+(-0.271524+(-0.220779--0.099858))+0-170.6--0.0870059999999827</f>
        <v>598.594561</v>
      </c>
      <c r="W93" s="3">
        <f>525.4+(336.5-96.5)+(-0.535908+(-0.34323--0.09843))+0-168.3--0.171666000000027</f>
        <v>596.49095799999998</v>
      </c>
      <c r="X93" s="3">
        <f>520.9+(400.2-158.1)+(-0.796977+(-0.612306--0.241893))+0-171.1--0.26178300000001</f>
        <v>590.99439300000006</v>
      </c>
      <c r="Y93" s="3">
        <f>515.2+(450.2-221.1)+(-2.102016+(-1.836816--0.902088))+0-163.9--0.668711999999986</f>
        <v>578.03196800000012</v>
      </c>
      <c r="Z93" s="3">
        <f>533.9+(298.1-66.9)+(0.544578+(0.304062-0.068238))+0-162.1-0.165342000000026</f>
        <v>603.61505999999997</v>
      </c>
      <c r="AA93" s="3">
        <f>538.3+(302.7-67.5)+(-0.274533+(-0.154377--0.034425))+0-164.3--0.0837929999999833</f>
        <v>608.88930800000003</v>
      </c>
      <c r="AB93" s="3">
        <f>540.5+(273.7-73.6)+(-0.275655+(-0.139587--0.037536))+0-149.1--0.0760409999999849</f>
        <v>591.19833500000004</v>
      </c>
      <c r="AC93" s="3">
        <f>528.7+(291.1-91.6)+(-1.078548+(-0.593844--0.186864))+0-149.5--0.304979999999993</f>
        <v>577.519452</v>
      </c>
      <c r="AD93">
        <v>601.70000000000005</v>
      </c>
      <c r="AE93" s="3">
        <f>544+(295.2-75.8)+(0+(0-0))+0-161.7-0</f>
        <v>601.70000000000005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517.8+(274.9-86.7)+(-1.32039+(-0.700995--0.221085))+0-135.6--0.34577999999998</f>
        <v>568.94547999999998</v>
      </c>
      <c r="G94" s="3">
        <f>515.2+(269.5-92.6)+(-1.051008+(-0.54978--0.188904))+0-140.8--0.287231999999994</f>
        <v>550.1753480000001</v>
      </c>
      <c r="H94" s="3">
        <f>509.4+(305.8-143.6)+(-1.29897+(-0.77979--0.36618))+0-137.7--0.35113499999998</f>
        <v>532.53855499999997</v>
      </c>
      <c r="I94" s="3">
        <f>537.6+(304.4-177.3)+(-1.096704+(-0.620976--0.361692))+0-143.6--0.292943999999994</f>
        <v>520.03695600000003</v>
      </c>
      <c r="J94" s="3">
        <f>549.2+(348.3-214.7)+(-0.280092+(-0.177633--0.109497))+0-167.8--0.085577999999983</f>
        <v>514.73735000000011</v>
      </c>
      <c r="K94" s="3">
        <f>546.2+(391.7-281)+(-1.114248+(-0.799068--0.57324))+0-162.1--0.330683999999993</f>
        <v>493.79060800000013</v>
      </c>
      <c r="L94" s="3">
        <f>547.9+(380.8-282.9)+(-0.558858+(-0.388416--0.288558))+0-150.8--0.153816000000024</f>
        <v>494.49509999999992</v>
      </c>
      <c r="M94" s="3">
        <f>558.5+(358.4-245.4)+(0.284835+(0.182784-0.125154))+0-129.7-0.0661469999999868</f>
        <v>542.0763179999999</v>
      </c>
      <c r="N94" s="3">
        <f>551.2+(365.3-190.9)+(-0.281112+(-0.186303--0.097359))+0-134.3--0.0684929999999864</f>
        <v>590.99843699999997</v>
      </c>
      <c r="O94" s="3">
        <f>562.3+(366.6-208.8)+(0+(0-0))+0-92-0</f>
        <v>628.09999999999991</v>
      </c>
      <c r="P94" s="3">
        <f>559.3+(350.4-139.5)+(0+(0-0))+0-144.7-0</f>
        <v>625.5</v>
      </c>
      <c r="Q94" s="3">
        <f>559.1+(323.4-97)+(0+(0-0))+0-140.5-0</f>
        <v>645</v>
      </c>
      <c r="R94" s="3">
        <f>556.7+(362.5-119.4)+(0+(0-0))+0-151-0</f>
        <v>648.80000000000007</v>
      </c>
      <c r="S94" s="3">
        <f>550.6+(424-183.5)+(-0.561612+(-0.43248--0.18717))+0-149.2--0.152184000000024</f>
        <v>641.24526200000014</v>
      </c>
      <c r="T94" s="3">
        <f>536.1+(518.6-294.2)+(0.273411+(0.264486-0.150042))+0-141.4-0.0721139999999857</f>
        <v>619.41574100000003</v>
      </c>
      <c r="U94" s="3">
        <f>502.6+(580.3-326.7)+(-0.256326+(-0.295953--0.166617))+0-152.9--0.0779789999999845</f>
        <v>602.99231700000007</v>
      </c>
      <c r="V94" s="3">
        <f>498.8+(539.2-266.7)+(-0.508776+(-0.549984--0.272034))+0-163.5--0.166770000000026</f>
        <v>607.18004400000007</v>
      </c>
      <c r="W94" s="3">
        <f>452.2+(439.4-121.3)+(-0.461244+(-0.448188--0.123726))+0-159.6--0.162792000000025</f>
        <v>610.07708600000001</v>
      </c>
      <c r="X94" s="3">
        <f>492.4+(367.4-114.4)+(-1.757868+(-1.311618--0.408408))+0-143.6--0.512652000000002</f>
        <v>599.65157399999998</v>
      </c>
      <c r="Y94" s="3">
        <f>493.3+(410.4-175.8)+(-0.503166+(-0.418608--0.179316))+0-145.7--0.148614000000023</f>
        <v>581.60615599999994</v>
      </c>
      <c r="Z94" s="3">
        <f>496.7+(325.2-71.6)+(-0.506634+(-0.331704--0.073032))+0-144.3--0.147186000000023</f>
        <v>605.38188000000002</v>
      </c>
      <c r="AA94" s="3">
        <f>536.4+(283.5-95.2)+(-1.641384+(-0.86751--0.291312))+0-101--0.309060000000012</f>
        <v>621.7914780000001</v>
      </c>
      <c r="AB94" s="3">
        <f>521.2+(288-114.9)+(-0.531624+(-0.29376--0.117198))+0-72.3--0.0737460000000115</f>
        <v>621.36556000000019</v>
      </c>
      <c r="AC94" s="3">
        <f>482.8+(298.4-113)+(0+(0-0))+0-64.4-0</f>
        <v>603.80000000000007</v>
      </c>
      <c r="AD94">
        <v>632.6</v>
      </c>
      <c r="AE94" s="3">
        <f>535+(276.2-97.9)+(0+(0-0))+0-80.7-0</f>
        <v>632.59999999999991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411.3+(356.7-99.9)+(-0.209763+(-0.181917--0.050949))+0-85.7--0.0437069999999913</f>
        <v>582.1029759999999</v>
      </c>
      <c r="G95" s="3">
        <f>412.5+(317.9-84.5)+(-0.210375+(-0.162129--0.043095))+0-74.6--0.0380459999999924</f>
        <v>571.00863699999991</v>
      </c>
      <c r="H95" s="3">
        <f>414.8+(322.8-81.2)+(-0.211548+(-0.164628--0.041412))+0-112.1--0.0571709999999886</f>
        <v>544.02240700000016</v>
      </c>
      <c r="I95" s="3">
        <f>425.1+(308.8-64.6)+(-0.433602+(-0.314976--0.065892))+0-133.2--0.135864000000021</f>
        <v>535.553178</v>
      </c>
      <c r="J95" s="3">
        <f>433.8+(317.1-88.2)+(0.442476+(0.323442-0.089964))+0-133.6-0.136272000000021</f>
        <v>529.63968199999999</v>
      </c>
      <c r="K95" s="3">
        <f>449.4+(286.7-104.5)+(-1.375164+(-0.877302--0.31977))+0-129.3--0.395658000000015</f>
        <v>500.76296199999996</v>
      </c>
      <c r="L95" s="3">
        <f>417.7+(267.6-71.7)+(-0.639081+(-0.409428--0.109701))+0-114.4--0.175032000000007</f>
        <v>498.43622400000004</v>
      </c>
      <c r="M95" s="3">
        <f>541.1+(248.9-132.8)+(0.551922+(0.253878-0.135456))+0-110.1-0.112302000000018</f>
        <v>547.65804200000002</v>
      </c>
      <c r="N95" s="3">
        <f>550.9+(310.5-149)+(0.842877+(0.475065-0.22797))+0-119.9-0.183447000000007</f>
        <v>593.40652499999999</v>
      </c>
      <c r="O95" s="3">
        <f>552.5+(331.2-133.9)+(0.845325+(0.506736-0.204867))+0-145.4-0.222462000000008</f>
        <v>605.32473199999993</v>
      </c>
      <c r="P95" s="3">
        <f>546.1+(329-101.5)+(0+(0-0))+0-145-0</f>
        <v>628.6</v>
      </c>
      <c r="Q95" s="3">
        <f>558.1+(314.1-69)+(-0.284631+(-0.160191--0.03519))+0-151.2--0.0771119999999847</f>
        <v>651.66748000000007</v>
      </c>
      <c r="R95" s="3">
        <f>560.2+(311.6-74.4)+(0+(0-0))+0-143.5-0</f>
        <v>653.90000000000009</v>
      </c>
      <c r="S95" s="3">
        <f>532.9+(397.3-148.9)+(-1.902453+(-1.418361--0.531573))+0-143.5--0.512295000000002</f>
        <v>635.523054</v>
      </c>
      <c r="T95" s="3">
        <f>542.7+(406.3-209.2)+(-0.553554+(-0.414426--0.213384))+0-144.1--0.146982000000023</f>
        <v>595.09238600000003</v>
      </c>
      <c r="U95" s="3">
        <f>538.7+(420-232.1)+(-0.824211+(-0.6426--0.355113))+0-140.5--0.214965000000008</f>
        <v>585.20326699999998</v>
      </c>
      <c r="V95" s="3">
        <f>548.9+(392.6-228.6)+(-0.559878+(-0.400452--0.233172))+0-119.1--0.121482000000019</f>
        <v>593.19432399999994</v>
      </c>
      <c r="W95" s="3">
        <f>560.7+(291.6-121.6)+(-1.143828+(-0.594864--0.248064))+0-131.3--0.267851999999994</f>
        <v>598.17722400000002</v>
      </c>
      <c r="X95" s="3">
        <f>546.3+(330.2-163.8)+(-1.671678+(-1.010412--0.501228))+0-125.1--0.382806000000014</f>
        <v>585.80194399999982</v>
      </c>
      <c r="Y95" s="3">
        <f>551.8+(334.6-213.6)+(-1.688508+(-1.023876--0.653616))+0-105.6--0.323136000000012</f>
        <v>565.46436799999992</v>
      </c>
      <c r="Z95" s="3">
        <f>564.2+(276.3-106.6)+(0+(0-0))+0-136.4-0</f>
        <v>597.50000000000011</v>
      </c>
      <c r="AA95" s="3">
        <f>557+(272.4-84.2)+(-1.98849+(-0.972468--0.300594))+0-143.9--0.513723000000002</f>
        <v>599.15335900000014</v>
      </c>
      <c r="AB95" s="3">
        <f>568.2+(256.2-103)+(-0.869346+(-0.391986--0.15759))+0-143.5--0.219555000000008</f>
        <v>577.01581300000009</v>
      </c>
      <c r="AC95" s="3">
        <f>576+(246.3-113.4)+(-0.29376+(-0.125613--0.057834))+0-137.8--0.070277999999986</f>
        <v>570.80873899999995</v>
      </c>
      <c r="AD95">
        <v>586.4</v>
      </c>
      <c r="AE95" s="3">
        <f>557+(266.1-100.1)+(0+(0-0))+0-136.6-0</f>
        <v>586.4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594.4+(251.2-134.3)+(0+(0-0))+0-149.4-0</f>
        <v>561.9</v>
      </c>
      <c r="G96" s="3">
        <f>594.2+(221.4-130.5)+(-0.606084+(-0.225828--0.13311))+0-139.2--0.141984000000022</f>
        <v>545.34318199999996</v>
      </c>
      <c r="H96" s="3">
        <f>590.4+(213.1-139)+(-0.301104+(-0.108681--0.07089))+0-143.3--0.0730829999999855</f>
        <v>520.93418799999995</v>
      </c>
      <c r="I96" s="3">
        <f>512.7+(241-96)+(-1.045908+(-0.49164--0.19584))+0-139.4--0.284375999999994</f>
        <v>517.24266799999998</v>
      </c>
      <c r="J96" s="3">
        <f>459+(276.4-84.4)+(0.46818+(0.281928-0.086088))+0-138.8-0.141576000000022</f>
        <v>512.722444</v>
      </c>
      <c r="K96" s="3">
        <f>463.7+(275.8-130.9)+(-0.709461+(-0.421974--0.200277))+0-131.4--0.201042000000008</f>
        <v>476.46988400000009</v>
      </c>
      <c r="L96" s="3">
        <f>456.6+(259.3-131.2)+(-0.465732+(-0.264486--0.133824))+0-139--0.141780000000022</f>
        <v>445.24538600000005</v>
      </c>
      <c r="M96" s="3">
        <f>445.7+(260.9-151.2)+(0.681921+(0.399177-0.231336))+0-150.8-0.230724000000009</f>
        <v>405.21903800000001</v>
      </c>
      <c r="N96" s="3">
        <f>525.4+(250.6-189.3)+(0+(0-0))+0-157.7-0</f>
        <v>428.99999999999994</v>
      </c>
      <c r="O96" s="3">
        <f>556.4+(219.5-168.4)+(-0.567528+(-0.22389--0.171768))+0-148.1--0.151062000000024</f>
        <v>458.93141200000002</v>
      </c>
      <c r="P96" s="3">
        <f>562.1+(198.6-112.6)+(0.573342+(0.202572-0.114852))+0-170.5-0.173910000000027</f>
        <v>478.087152</v>
      </c>
      <c r="Q96" s="3">
        <f>563.2+(170.4-92.8)+(0.287232+(0.086904-0.047328))+0-154.7-0.0788969999999843</f>
        <v>486.34791100000012</v>
      </c>
      <c r="R96" s="3">
        <f>567.8+(254.7-190.6)+(0.289578+(0.129897-0.097206))+0-148.1-0.075530999999985</f>
        <v>484.04673799999995</v>
      </c>
      <c r="S96" s="3">
        <f>573.3+(294.7-236)+(-0.292383+(-0.150297--0.12036))+0-141.9--0.0723689999999856</f>
        <v>489.85004900000001</v>
      </c>
      <c r="T96" s="3">
        <f>571.6+(292.1-233.8)+(0+(0-0))+0-141.4-0</f>
        <v>488.50000000000011</v>
      </c>
      <c r="U96" s="3">
        <f>568+(268-214.2)+(-0.57936+(-0.27336--0.218484))+0-148.7--0.151674000000024</f>
        <v>472.61743799999999</v>
      </c>
      <c r="V96" s="3">
        <f>570.9+(233.5-186.8)+(0.582318+(0.23817-0.190536))+0-147.5-0.150450000000024</f>
        <v>470.57950199999988</v>
      </c>
      <c r="W96" s="3">
        <f>565.7+(223.8-160.9)+(-0.288507+(-0.114138--0.082059))+0-148.6--0.0757859999999849</f>
        <v>479.75519999999995</v>
      </c>
      <c r="X96" s="3">
        <f>566.1+(331.6-263.1)+(-0.577422+(-0.338232--0.268362))+0-148.4--0.151368000000024</f>
        <v>485.7040760000001</v>
      </c>
      <c r="Y96" s="3">
        <f>534.8+(418.4-324.9)+(-0.545496+(-0.426768--0.331398))+0-147.2--0.150144000000023</f>
        <v>480.60927800000002</v>
      </c>
      <c r="Z96" s="3">
        <f>538.4+(255.3-121.7)+(-0.549168+(-0.260406--0.124134))+0-155.8--0.158916000000025</f>
        <v>515.67347600000005</v>
      </c>
      <c r="AA96" s="3">
        <f>564.1+(250.2-142.3)+(-1.726146+(-0.765612--0.435438))+0-150.9--0.461754000000017</f>
        <v>519.50543400000004</v>
      </c>
      <c r="AB96" s="3">
        <f>574+(262.4-168.5)+(-0.58548+(-0.267648--0.17187))+0-152.8--0.155856000000024</f>
        <v>514.57459800000004</v>
      </c>
      <c r="AC96" s="3">
        <f>574.3+(271.9-189.3)+(-0.292893+(-0.138669--0.096543))+0-152.9--0.0779789999999845</f>
        <v>503.74295999999987</v>
      </c>
      <c r="AD96">
        <v>548.1</v>
      </c>
      <c r="AE96" s="3">
        <f>600+(274.7-166.2)+(0+(0-0))+0-160.4-0</f>
        <v>548.1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589.6+(269.5-206.7)+(-1.50348+(-0.687225--0.527085))+0-154.6--0.394229999999978</f>
        <v>496.53061000000002</v>
      </c>
      <c r="G97" s="3">
        <f>591.8+(243.6-187)+(-1.207272+(-0.496944--0.38148))+0-156.6--0.319463999999993</f>
        <v>490.79672799999997</v>
      </c>
      <c r="H97" s="3">
        <f>595+(207.6-180.2)+(-0.30345+(-0.105876--0.091902))+0-139.5--0.0711449999999858</f>
        <v>482.65372100000002</v>
      </c>
      <c r="I97" s="3">
        <f>590.2+(203.4-179.3)+(-0.903006+(-0.311202--0.274329))+0-137.4--0.210222000000008</f>
        <v>476.17034300000006</v>
      </c>
      <c r="J97" s="3">
        <f>590.6+(212.6-185.9)+(-0.602412+(-0.216852--0.189618))+0-144.6--0.147492000000023</f>
        <v>472.21784599999995</v>
      </c>
      <c r="K97" s="3">
        <f>587.8+(194.4-203.4)+(-1.798668+(-0.594864--0.622404))+0-130.9--0.400554000000015</f>
        <v>446.529426</v>
      </c>
      <c r="L97" s="3">
        <f>545+(218.6-173.8)+(-1.1118+(-0.445944--0.354552))+0-139.5--0.284579999999994</f>
        <v>449.38138800000002</v>
      </c>
      <c r="M97" s="3">
        <f>536.4+(273.6-168.2)+(0+(0-0))+0-143.7-0</f>
        <v>498.09999999999997</v>
      </c>
      <c r="N97" s="3">
        <f>504.6+(363.9-173.3)+(-0.772038+(-0.556767--0.265149))+0-145.9--0.223227000000008</f>
        <v>548.45957099999998</v>
      </c>
      <c r="O97" s="3">
        <f>463.2+(380.8-122.2)+(0.472464+(0.388416-0.124644))+0-149.4-0.152388000000024</f>
        <v>572.98384799999997</v>
      </c>
      <c r="P97" s="3">
        <f>510.6+(319.6-84.7)+(-0.260406+(-0.162996--0.043197))+0-159.8--0.0814979999999838</f>
        <v>585.4012929999999</v>
      </c>
      <c r="Q97" s="3">
        <f>560.6+(289.1-83.3)+(-0.285906+(-0.147441--0.042483))+0-146.3--0.0746129999999852</f>
        <v>619.78374900000017</v>
      </c>
      <c r="R97" s="3">
        <f>564+(371.4-151.1)+(0.28764+(0.189414-0.077061))+0-157.2-0.080171999999984</f>
        <v>627.41982099999996</v>
      </c>
      <c r="S97" s="3">
        <f>581.5+(428-249.7)+(-0.296565+(-0.21828--0.127347))+0-142.4--0.0726239999999856</f>
        <v>617.08512599999995</v>
      </c>
      <c r="T97" s="3">
        <f>578.4+(489.6-341)+(-0.589968+(-0.499392--0.34782))+0-141.3--0.144126000000023</f>
        <v>585.10258600000009</v>
      </c>
      <c r="U97" s="3">
        <f>576.5+(532.9-373.7)+(-0.882045+(-0.815337--0.571761))+0-148.6--0.227358000000009</f>
        <v>586.20173699999998</v>
      </c>
      <c r="V97" s="3">
        <f>574.4+(488.4-315.2)+(-1.46472+(-1.24542--0.80376))+0-154.1--0.392954999999978</f>
        <v>591.9865749999999</v>
      </c>
      <c r="W97" s="3">
        <f>583.3+(313.2-173.1)+(-2.082381+(-1.118124--0.617967))+0-142.4--0.508368000000002</f>
        <v>578.92583000000002</v>
      </c>
      <c r="X97" s="3">
        <f>586.5+(303.5-161.5)+(-1.79469+(-0.92871--0.49419))+0-143--0.437580000000017</f>
        <v>583.70837000000006</v>
      </c>
      <c r="Y97" s="3">
        <f>587.2+(323.9-179.1)+(-1.197888+(-0.660756--0.365364))+0-154.4--0.314975999999993</f>
        <v>576.421696</v>
      </c>
      <c r="Z97" s="3">
        <f>594.6+(267.9-101.4)+(0+(0-0))+0-154.9-0</f>
        <v>606.20000000000005</v>
      </c>
      <c r="AA97" s="3">
        <f>597.7+(307.6-137.5)+(-0.609654+(-0.313752--0.14025))+0-164.7--0.167994000000026</f>
        <v>602.4848380000002</v>
      </c>
      <c r="AB97" s="3">
        <f>597.9+(302-160.8)+(-0.914787+(-0.46206--0.246024))+0-148.3--0.226899000000009</f>
        <v>589.89607599999999</v>
      </c>
      <c r="AC97" s="3">
        <f>593+(318-184)+(-0.30243+(-0.16218--0.09384))+0-148.3--0.075632999999985</f>
        <v>578.40486300000009</v>
      </c>
      <c r="AD97">
        <v>599.9</v>
      </c>
      <c r="AE97" s="3">
        <f>601+(302.3-154)+(0+(0-0))+0-149.4-0</f>
        <v>599.9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560.2+(327.9-172.7)+(-0.857106+(-0.501687--0.264231))+0-90--0.137700000000005</f>
        <v>624.44313800000009</v>
      </c>
      <c r="G98" s="3">
        <f>562.5+(294.2-158.5)+(-0.860625+(-0.450126--0.242505))+0-87--0.133110000000005</f>
        <v>610.26486399999999</v>
      </c>
      <c r="H98" s="3">
        <f>563.3+(249.8-127.8)+(-0.574566+(-0.254796--0.130356))+0-93--0.0948600000000148</f>
        <v>591.69585399999994</v>
      </c>
      <c r="I98" s="3">
        <f>572.1+(245.4-134)+(0.875313+(0.375462-0.20502))+0-98-0.149940000000006</f>
        <v>586.39581499999997</v>
      </c>
      <c r="J98" s="3">
        <f>536.7+(252.7-120.1)+(0+(0-0))+0-87-0</f>
        <v>582.30000000000007</v>
      </c>
      <c r="K98" s="3">
        <f>446.7+(291.6-94)+(-0.455634+(-0.297432--0.09588))+0-94--0.095880000000015</f>
        <v>549.7386939999999</v>
      </c>
      <c r="L98" s="3">
        <f>416.1+(296.7-81.6)+(-0.848844+(-0.605268--0.166464))+0-84--0.171359999999996</f>
        <v>546.08371200000011</v>
      </c>
      <c r="M98" s="3">
        <f>458.1+(288.9-73)+(1.401786+(0.884034-0.22338))+0-85-0.26010000000001</f>
        <v>590.80234000000007</v>
      </c>
      <c r="N98" s="3">
        <f>453.5+(367.8-102.6)+(-0.92514+(-0.750312--0.209304))+0-86--0.175439999999996</f>
        <v>631.40929200000005</v>
      </c>
      <c r="O98" s="3">
        <f>550.2+(349.5-148.6)+(-0.280602+(-0.178245--0.075786))+0-87--0.0443699999999912</f>
        <v>663.76130899999998</v>
      </c>
      <c r="P98" s="3">
        <f>556.6+(302.5-89.4)+(-0.283866+(-0.154275--0.045594))+0-81--0.0413099999999918</f>
        <v>688.34876299999996</v>
      </c>
      <c r="Q98" s="3">
        <f>594.5+(320.1-119.4)+(-0.303195+(-0.163251--0.060894))+0-89--0.045389999999991</f>
        <v>705.8398380000001</v>
      </c>
      <c r="R98" s="3">
        <f>601.1+(422.7-221.6)+(0+(0-0))+0-84-0</f>
        <v>718.2</v>
      </c>
      <c r="S98" s="3">
        <f>583.5+(508.1-301.8)+(-0.59517+(-0.518262--0.307836))+0-87--0.0887400000000139</f>
        <v>702.08314399999995</v>
      </c>
      <c r="T98" s="3">
        <f>578.7+(507.4-325.7)+(-1.180548+(-1.035096--0.664428))+0-81--0.165239999999996</f>
        <v>678.01402400000018</v>
      </c>
      <c r="U98" s="3">
        <f>574.8+(469-288.1)+(-0.879444+(-0.71757--0.440793))+0-85--0.130050000000005</f>
        <v>669.67382899999996</v>
      </c>
      <c r="V98" s="3">
        <f>587.5+(390.8-217.2)+(-0.299625+(-0.199308--0.110772))+0-77--0.0392699999999922</f>
        <v>683.75110900000004</v>
      </c>
      <c r="W98" s="3">
        <f>592+(287.3-108.5)+(-0.30192+(-0.146523--0.055335))+0-85--0.0433499999999914</f>
        <v>685.450242</v>
      </c>
      <c r="X98" s="3">
        <f>586.6+(387-221.6)+(-1.794996+(-1.18422--0.678096))+0-83--0.25398000000001</f>
        <v>666.95285999999999</v>
      </c>
      <c r="Y98" s="3">
        <f>623.4+(440.9-342.5)+(-0.953802+(-0.674577--0.524025))+0-96--0.146880000000006</f>
        <v>624.84252600000002</v>
      </c>
      <c r="Z98" s="3">
        <f>634.5+(287.6-138.4)+(-0.970785+(-0.440028--0.211752))+0-78--0.119340000000005</f>
        <v>704.62027899999998</v>
      </c>
      <c r="AA98" s="3">
        <f>649.6+(232.6-120.4)+(-0.331296+(-0.118626--0.061404))+0-153.7--0.0783869999999844</f>
        <v>607.78986899999995</v>
      </c>
      <c r="AB98" s="3">
        <f>630.3+(262.4-133.1)+(-1.285812+(-0.535296--0.271524))+0-160.6--0.327623999999993</f>
        <v>597.77803999999992</v>
      </c>
      <c r="AC98" s="3">
        <f>644+(266.5-169.2)+(-0.65688+(-0.27183--0.172584))+0-157.4--0.160548000000025</f>
        <v>583.30442200000005</v>
      </c>
      <c r="AD98">
        <v>611.5</v>
      </c>
      <c r="AE98" s="3">
        <f>649+(229.3-131.6)+(0+(0-0))+0-135.2-0</f>
        <v>611.5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584.1+(287.1-154.2)+(-0.893673+(-0.439263--0.235926))+0-157.8--0.241434000000009</f>
        <v>558.34442400000012</v>
      </c>
      <c r="G99" s="3">
        <f>575.5+(249.7-130.8)+(-1.17402+(-0.509388--0.266832))+0-149.9--0.305795999999993</f>
        <v>543.38922000000002</v>
      </c>
      <c r="H99" s="3">
        <f>561.4+(242.8-135.8)+(-1.145256+(-0.495312--0.277032))+0-147.5--0.300899999999994</f>
        <v>519.83736399999998</v>
      </c>
      <c r="I99" s="3">
        <f>567.3+(236.5-136.9)+(-1.446615+(-0.603075--0.349095))+0-154.5--0.393974999999978</f>
        <v>511.09337999999991</v>
      </c>
      <c r="J99" s="3">
        <f>572.9+(243.3-140.8)+(-1.753074+(-0.744498--0.430848))+0-156.9--0.480114000000018</f>
        <v>516.91339000000005</v>
      </c>
      <c r="K99" s="3">
        <f>492.6+(265.6-116.2)+(-1.25613+(-0.67728--0.29631))+0-145.5--0.371024999999979</f>
        <v>495.23392499999994</v>
      </c>
      <c r="L99" s="3">
        <f>481.3+(322.2-160)+(-0.245463+(-0.164322--0.0816))+0-147.5--0.075224999999985</f>
        <v>495.74704000000003</v>
      </c>
      <c r="M99" s="3">
        <f>484.6+(355.7-165.8)+(-0.247146+(-0.181407--0.084558))+0-132.3--0.0674729999999866</f>
        <v>541.92347800000005</v>
      </c>
      <c r="N99" s="3">
        <f>524.5+(423.6-217.1)+(0.267495+(0.216036-0.110721))+0-149.7-0.0763469999999848</f>
        <v>581.59646300000009</v>
      </c>
      <c r="O99" s="3">
        <f>451+(452.1-133.2)+(-0.23001+(-0.230571--0.067932))+0-160.7--0.0819569999999837</f>
        <v>608.88930800000014</v>
      </c>
      <c r="P99" s="3">
        <f>456.8+(392.9-70.7)+(-0.232968+(-0.200379--0.036057))+0-158.3--0.0807329999999839</f>
        <v>620.38344299999994</v>
      </c>
      <c r="Q99" s="3">
        <f>468.9+(397.1-64)+(0+(0-0))+0-165.2-0</f>
        <v>636.79999999999995</v>
      </c>
      <c r="R99" s="3">
        <f>458.4+(478-124.1)+(0+(0-0))+0-168.1-0</f>
        <v>644.19999999999993</v>
      </c>
      <c r="S99" s="3">
        <f>522.3+(486.6-209)+(-0.532746+(-0.496332--0.21318))+0-166.8--0.170136000000027</f>
        <v>632.45423800000015</v>
      </c>
      <c r="T99" s="3">
        <f>564.9+(493.3-270.1)+(-0.288099+(-0.251583--0.137751))+0-177.4--0.090473999999982</f>
        <v>610.38854299999991</v>
      </c>
      <c r="U99" s="3">
        <f>580.9+(470.9-313.4)+(0.296259+(0.240159-0.159834))+0-140-0.0713999999999858</f>
        <v>598.70518399999992</v>
      </c>
      <c r="V99" s="3">
        <f>570.2+(404.9-226.9)+(-0.290802+(-0.206499--0.115719))+0-145.5--0.0742049999999852</f>
        <v>602.39262300000007</v>
      </c>
      <c r="W99" s="3">
        <f>564.2+(319.5-105.7)+(-2.014194+(-1.140615--0.377349))+0-168.7--0.602259000000002</f>
        <v>607.12479899999994</v>
      </c>
      <c r="X99" s="3">
        <f>520.6+(382.9-142.4)+(-1.593036+(-1.171674--0.435744))+0-161--0.492660000000019</f>
        <v>598.26369399999999</v>
      </c>
      <c r="Y99" s="3">
        <f>533.8+(357.4-158.3)+(-0.272238+(-0.182274--0.080733))+0-148.5--0.0757349999999849</f>
        <v>584.10195599999986</v>
      </c>
      <c r="Z99" s="3">
        <f>563+(265.9-75.3)+(0.28713+(0.135609-0.038403))+0-142.9-0.0728789999999855</f>
        <v>611.01145699999995</v>
      </c>
      <c r="AA99" s="3">
        <f>561.7+(311.8-102.6)+(-1.145868+(-0.636072--0.209304))+0-158.4--0.323135999999993</f>
        <v>611.2505000000001</v>
      </c>
      <c r="AB99" s="3">
        <f>568.4+(324.1-140)+(-0.289884+(-0.165291--0.0714))+0-157.5--0.080324999999984</f>
        <v>594.69655</v>
      </c>
      <c r="AC99" s="3">
        <f>553.9+(326-157.4)+(0+(0-0))+0-155.1-0</f>
        <v>567.4</v>
      </c>
      <c r="AD99">
        <v>611.9</v>
      </c>
      <c r="AE99" s="3">
        <f>568+(313.8-114.4)+(0+(0-0))+0-155.5-0</f>
        <v>611.9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535.2+(351.8-161)+(-1.36476+(-0.89709--0.41055))+0-157.4--0.401369999999977</f>
        <v>567.15006999999991</v>
      </c>
      <c r="G100" s="3">
        <f>532+(297.4-123.2)+(-1.08528+(-0.606696--0.251328))+0-154.7--0.315587999999993</f>
        <v>550.37494000000004</v>
      </c>
      <c r="H100" s="3">
        <f>535+(259.7-94.5)+(-0.5457+(-0.264894--0.09639))+0-160.2--0.163404000000026</f>
        <v>539.44920000000013</v>
      </c>
      <c r="I100" s="3">
        <f>539.4+(251.7-112.7)+(-0.825282+(-0.385101--0.172431))+0-146.4--0.223992000000008</f>
        <v>531.18603999999993</v>
      </c>
      <c r="J100" s="3">
        <f>533.6+(253.4-126)+(-1.36068+(-0.64617--0.3213))+0-138.1--0.35215499999998</f>
        <v>521.56660499999987</v>
      </c>
      <c r="K100" s="3">
        <f>532.8+(293.4-187.5)+(-1.35864+(-0.74817--0.478125))+0-138.8--0.35393999999998</f>
        <v>498.62525499999987</v>
      </c>
      <c r="L100" s="3">
        <f>558.9+(274.1-201.2)+(0.285039+(0.139791-0.102612))+0-133.2-0.0679319999999865</f>
        <v>498.854286</v>
      </c>
      <c r="M100" s="3">
        <f>569.1+(305.4-196.3)+(-0.870723+(-0.467262--0.300339))+0-130.6--0.199818000000008</f>
        <v>546.76217200000008</v>
      </c>
      <c r="N100" s="3">
        <f>569.2+(312.1-158.4)+(0.290292+(0.159171-0.080784))+0-138.1-0.070430999999986</f>
        <v>585.09824800000013</v>
      </c>
      <c r="O100" s="3">
        <f>569+(350.9-175.2)+(0+(0-0))+0-139.6-0</f>
        <v>605.1</v>
      </c>
      <c r="P100" s="3">
        <f>566.6+(323.6-127.8)+(-0.288966+(-0.165036--0.065178))+0-138.2--0.070481999999986</f>
        <v>623.88165800000013</v>
      </c>
      <c r="Q100" s="3">
        <f>565.4+(295.7-75.2)+(0.576708+(0.301614-0.076704))+0-149.6-0.152592000000024</f>
        <v>636.94902599999989</v>
      </c>
      <c r="R100" s="3">
        <f>564.7+(381.7-154)+(0.575994+(0.389334-0.15708))+0-154-0.157080000000025</f>
        <v>639.05116800000008</v>
      </c>
      <c r="S100" s="3">
        <f>561.9+(439.8-233.6)+(0+(0-0))+0-132.9-0</f>
        <v>635.20000000000005</v>
      </c>
      <c r="T100" s="3">
        <f>563.3+(446.1-267.8)+(-0.287283+(-0.227511--0.136578))+0-133.9--0.0682889999999864</f>
        <v>607.39007299999992</v>
      </c>
      <c r="U100" s="3">
        <f>610+(452.9-308.9)+(-0.3111+(-0.230979--0.157539))+0-152.7--0.0778769999999845</f>
        <v>600.99333699999988</v>
      </c>
      <c r="V100" s="3">
        <f>612.5+(378.2-234.7)+(-0.937125+(-0.578646--0.359091))+0-154.3--0.236079000000009</f>
        <v>600.77939900000001</v>
      </c>
      <c r="W100" s="3">
        <f>609+(275.2-121.4)+(0.62118+(0.280704-0.123828))+0-159.4-0.162588000000025</f>
        <v>604.01546799999994</v>
      </c>
      <c r="X100" s="3">
        <f>603+(303.3-157)+(-1.23012+(-0.618732--0.32028))+0-154.6--0.315383999999993</f>
        <v>593.48681199999987</v>
      </c>
      <c r="Y100" s="3">
        <f>605.9+(432-291.9)+(-0.618018+(-0.44064--0.297738))+0-158.8--0.161976000000025</f>
        <v>586.60105599999986</v>
      </c>
      <c r="Z100" s="3">
        <f>620.2+(294.9-139.6)+(0+(0-0))+0-160.9-0</f>
        <v>614.6</v>
      </c>
      <c r="AA100" s="3">
        <f>666.1+(241.5-124.2)+(-0.339711+(-0.123165--0.063342))+0-165.2--0.0842519999999832</f>
        <v>617.88471799999991</v>
      </c>
      <c r="AB100" s="3">
        <f>684.4+(226.6-156.7)+(-1.047132+(-0.346698--0.239751))+0-151.4--0.231642000000009</f>
        <v>601.97756299999992</v>
      </c>
      <c r="AC100" s="3">
        <f>685.9+(236.2-164.3)+(0+(0-0))+0-168.8-0</f>
        <v>589</v>
      </c>
      <c r="AD100">
        <v>601</v>
      </c>
      <c r="AE100" s="3">
        <f>677+(217.5-155.1)+(0+(0-0))+0-138.4-0</f>
        <v>601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685+(221.9-170.6)+(-1.04805+(-0.339507--0.261018))+0-166.8--0.25520400000001</f>
        <v>568.62866499999996</v>
      </c>
      <c r="G101" s="3">
        <f>651.6+(220-162.4)+(0+(0-0))+0-149.4-0</f>
        <v>559.80000000000007</v>
      </c>
      <c r="H101" s="3">
        <f>646.1+(222.5-155.6)+(-1.647555+(-0.567375--0.39678))+0-169.5--0.432224999999975</f>
        <v>542.11407500000007</v>
      </c>
      <c r="I101" s="3">
        <f>648.5+(221.5-161.9)+(-0.992205+(-0.338895--0.247707))+0-172.7--0.26423100000001</f>
        <v>534.58083799999997</v>
      </c>
      <c r="J101" s="3">
        <f>649.5+(215.1-179.6)+(-0.993735+(-0.329103--0.274788))+0-157.7--0.241281000000009</f>
        <v>526.49323100000004</v>
      </c>
      <c r="K101" s="3">
        <f>646.2+(288.1-279.3)+(-1.977372+(-0.881586--0.854658))+0-137.9--0.421974000000016</f>
        <v>515.51767400000006</v>
      </c>
      <c r="L101" s="3">
        <f>562.6+(347.2-248.8)+(-0.573852+(-0.354144--0.253776))+0-147.8--0.150756000000024</f>
        <v>512.67653599999994</v>
      </c>
      <c r="M101" s="3">
        <f>547.9+(338.4-166.5)+(0.279429+(0.172584-0.084915))+0-168.8-0.0860879999999829</f>
        <v>551.28100999999992</v>
      </c>
      <c r="N101" s="3">
        <f>545.7+(425-228.5)+(0.556614+(0.4335-0.23307))+0-152.9-0.155958000000024</f>
        <v>589.90108599999996</v>
      </c>
      <c r="O101" s="3">
        <f>558.4+(416.4-207.2)+(-0.854352+(-0.637092--0.317016))+0-150.3--0.229959000000009</f>
        <v>616.35553099999993</v>
      </c>
      <c r="P101" s="3">
        <f>554.9+(356.7-125.7)+(0+(0-0))+0-155.9-0</f>
        <v>630</v>
      </c>
      <c r="Q101" s="3">
        <f>550.7+(322.4-82.1)+(0.280857+(0.164424-0.041871))+0-144.2-0.0735419999999854</f>
        <v>647.1298680000001</v>
      </c>
      <c r="R101" s="3">
        <f>561.4+(362-114.2)+(-0.286314+(-0.18462--0.058242))+0-157.1--0.0801209999999841</f>
        <v>651.76742899999999</v>
      </c>
      <c r="S101" s="3">
        <f>582.2+(389.4-175.4)+(-1.187688+(-0.794376--0.357816))+0-166.8--0.340271999999993</f>
        <v>628.11602400000004</v>
      </c>
      <c r="T101" s="3">
        <f>588.4+(395.4-227.2)+(0.300084+(0.201654-0.115872))+0-153.8-0.0784379999999844</f>
        <v>603.1074279999998</v>
      </c>
      <c r="U101" s="3">
        <f>619.9+(383.2-249.1)+(-1.580745+(-0.97716--0.635205))+0-164.8--0.420239999999976</f>
        <v>587.69753999999989</v>
      </c>
      <c r="V101" s="3">
        <f>616.8+(335.4-184.3)+(0+(0-0))+0-175.1-0</f>
        <v>592.79999999999984</v>
      </c>
      <c r="W101" s="3">
        <f>616+(236.4-106.5)+(-0.94248+(-0.361692--0.162945))+0-151.9--0.232407000000009</f>
        <v>593.09118000000001</v>
      </c>
      <c r="X101" s="3">
        <f>617.8+(369.8-234.8)+(-1.260312+(-0.754392--0.478992))+0-172.9--0.352715999999992</f>
        <v>578.71700399999997</v>
      </c>
      <c r="Y101" s="3">
        <f>620.2+(416.1-303.7)+(-0.632604+(-0.424422--0.309774))+0-157.4--0.160548000000025</f>
        <v>574.61329600000022</v>
      </c>
      <c r="Z101" s="3">
        <f>621.4+(268.9-116.9)+(-1.267656+(-0.548556--0.238476))+0-165.6--0.337823999999993</f>
        <v>606.56008799999995</v>
      </c>
      <c r="AA101" s="3">
        <f>624.3+(251.4-102.9)+(-0.955179+(-0.384642--0.157437))+0-170.3--0.26055900000001</f>
        <v>601.5781750000001</v>
      </c>
      <c r="AB101" s="3">
        <f>624.2+(239.2-107.8)+(-0.955026+(-0.365976--0.164934))+0-169.7--0.25964100000001</f>
        <v>585.00357300000007</v>
      </c>
      <c r="AC101" s="3">
        <f>627+(245-123.6)+(0.63954+(0.2499-0.126072))+0-173.4-0.176868000000028</f>
        <v>575.5865</v>
      </c>
      <c r="AD101">
        <v>605.19999999999993</v>
      </c>
      <c r="AE101" s="3">
        <f>625+(252.4-104.2)+(0+(0-0))+0-168-0</f>
        <v>605.20000000000005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628.5+(238.3-132.4)+(-0.320535+(-0.121533--0.067524))+0-171.4--0.0874139999999826</f>
        <v>562.71286999999995</v>
      </c>
      <c r="G102" s="3">
        <f>627.2+(234.3-139.8)+(-0.639744+(-0.238986--0.142596))+0-171--0.174420000000027</f>
        <v>550.13828600000011</v>
      </c>
      <c r="H102" s="3">
        <f>635+(222.9-152)+(-0.6477+(-0.227358--0.15504))+0-174.9--0.178398000000028</f>
        <v>530.45838000000003</v>
      </c>
      <c r="I102" s="3">
        <f>583.9+(243.3-153.9)+(0.297789+(0.124083-0.078489))+0-154.3-0.0786929999999844</f>
        <v>519.26468999999997</v>
      </c>
      <c r="J102" s="3">
        <f>578+(227.7-142.2)+(-0.88434+(-0.348381--0.217566))+0-151.4--0.231642000000009</f>
        <v>511.316487</v>
      </c>
      <c r="K102" s="3">
        <f>576+(271.3-217.7)+(-1.4688+(-0.691815--0.555135))+0-146.7--0.374084999999979</f>
        <v>481.66860499999996</v>
      </c>
      <c r="L102" s="3">
        <f>521.2+(312.2-246.9)+(-1.594872+(-0.955332--0.755514))+0-120.2--0.367812000000014</f>
        <v>464.87312200000008</v>
      </c>
      <c r="M102" s="3">
        <f>478.2+(375.8-237.5)+(-0.243882+(-0.191658--0.121125))+0-151.8--0.0774179999999846</f>
        <v>464.4630029999999</v>
      </c>
      <c r="N102" s="3">
        <f>476.1+(438.7-279.7)+(-0.242811+(-0.223737--0.142647))+0-148.6--0.0757859999999849</f>
        <v>486.25188500000002</v>
      </c>
      <c r="O102" s="3">
        <f>473.1+(427.4-229.7)+(0+(0-0))+0-159.3-0</f>
        <v>511.49999999999994</v>
      </c>
      <c r="P102" s="3">
        <f>505.6+(343.1-166.1)+(0+(0-0))+0-169.4-0</f>
        <v>513.20000000000005</v>
      </c>
      <c r="Q102" s="3">
        <f>573.2+(242.8-116.2)+(-0.876996+(-0.371484--0.177786))+0-175.6--0.26866800000001</f>
        <v>523.39797400000009</v>
      </c>
      <c r="R102" s="3">
        <f>568.1+(252.1-124.9)+(-0.289731+(-0.128571--0.063699))+0-170.6--0.0870059999999827</f>
        <v>524.43240299999991</v>
      </c>
      <c r="S102" s="3">
        <f>562.3+(311.6-177.3)+(-1.433865+(-0.79458--0.452115))+0-172.9--0.440894999999975</f>
        <v>522.36456499999986</v>
      </c>
      <c r="T102" s="3">
        <f>557.6+(313.8-191.7)+(0.284376+(0.160038-0.097767))+0-167.8-0.085577999999983</f>
        <v>512.161069</v>
      </c>
      <c r="U102" s="3">
        <f>547+(327-220.3)+(0.27897+(0.16677-0.112353))+0-149.6-0.0762959999999848</f>
        <v>504.35709100000008</v>
      </c>
      <c r="V102" s="3">
        <f>548.3+(279.1-160.4)+(-0.559266+(-0.284682--0.163608))+0-166.1--0.169422000000026</f>
        <v>500.38908200000003</v>
      </c>
      <c r="W102" s="3">
        <f>538.9+(217.4-87.6)+(-0.824517+(-0.332622--0.134028))+0-164.2--0.25122600000001</f>
        <v>503.72811500000012</v>
      </c>
      <c r="X102" s="3">
        <f>532.8+(417.3-288.1)+(-1.086912+(-0.851292--0.587724))+0-157.8--0.321911999999993</f>
        <v>503.17143200000004</v>
      </c>
      <c r="Y102" s="3">
        <f>530.1+(430.5-306.7)+(-0.811053+(-0.658665--0.469251))+0-146.3--0.223839000000008</f>
        <v>506.82337200000012</v>
      </c>
      <c r="Z102" s="3">
        <f>544.8+(274-132.4)+(0.277848+(0.13974-0.067524))+0-147.7-0.075326999999985</f>
        <v>538.974737</v>
      </c>
      <c r="AA102" s="3">
        <f>568.8+(269-132.9)+(-0.870264+(-0.41157--0.203337))+0-164.5--0.251685000000009</f>
        <v>539.57318799999996</v>
      </c>
      <c r="AB102" s="3">
        <f>559.8+(234.8-109.5)+(-0.570996+(-0.239496--0.11169))+0-156.3--0.159426000000025</f>
        <v>528.26062399999989</v>
      </c>
      <c r="AC102" s="3">
        <f>561.6+(235.2-119)+(0.572832+(0.239904-0.12138))+0-163.7-0.166974000000026</f>
        <v>514.62438199999997</v>
      </c>
      <c r="AD102">
        <v>541</v>
      </c>
      <c r="AE102" s="3">
        <f>572+(266.9-139.1)+(0+(0-0))+0-158.8-0</f>
        <v>541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562.9+(240-120.3)+(-0.574158+(-0.2448--0.122706))+0-163.4--0.166668000000026</f>
        <v>518.67041600000016</v>
      </c>
      <c r="G103" s="3">
        <f>577.5+(237.5-141.4)+(-0.294525+(-0.121125--0.072114))+0-167.9--0.085628999999983</f>
        <v>505.44209300000006</v>
      </c>
      <c r="H103" s="3">
        <f>573.6+(237.8-153.6)+(-1.170144+(-0.485112--0.313344))+0-164.3--0.335171999999993</f>
        <v>492.49326000000008</v>
      </c>
      <c r="I103" s="3">
        <f>577.6+(258.8-181.5)+(-1.47288+(-0.65994--0.462825))+0-170.4--0.434519999999975</f>
        <v>483.26452500000011</v>
      </c>
      <c r="J103" s="3">
        <f>586.4+(291-233.4)+(0.598128+(0.29682-0.238068))+0-167.6-0.170952000000027</f>
        <v>476.88592799999998</v>
      </c>
      <c r="K103" s="3">
        <f>580.4+(328.4-283.8)+(-1.48002+(-0.83742--0.72369))+0-158.7--0.404684999999977</f>
        <v>465.11093499999998</v>
      </c>
      <c r="L103" s="3">
        <f>527.4+(286.4-216.4)+(-0.268974+(-0.146064--0.110364))+0-139.1--0.0709409999999859</f>
        <v>458.06626699999998</v>
      </c>
      <c r="M103" s="3">
        <f>472.4+(333.4-213.4)+(-0.481848+(-0.340068--0.217668))+0-133.9--0.136578000000021</f>
        <v>458.03233000000006</v>
      </c>
      <c r="N103" s="3">
        <f>471.8+(422.1-283.7)+(-0.481236+(-0.430542--0.289374))+0-138--0.140760000000022</f>
        <v>471.71835600000009</v>
      </c>
      <c r="O103" s="3">
        <f>471.5+(443.7-264.3)+(0.240465+(0.226287-0.134793))+0-153.2-0.0781319999999845</f>
        <v>497.95382699999999</v>
      </c>
      <c r="P103" s="3">
        <f>466.5+(377.8-171.8)+(-0.47583+(-0.385356--0.175236))+0-162.6--0.165852000000026</f>
        <v>509.37990199999996</v>
      </c>
      <c r="Q103" s="3">
        <f>463.8+(328.8-99.7)+(0+(0-0))+0-173.9-0</f>
        <v>519.00000000000011</v>
      </c>
      <c r="R103" s="3">
        <f>460.4+(293.8-54.3)+(0.704412+(0.449514-0.083079))+0-171.7-0.26270100000001</f>
        <v>529.00814600000001</v>
      </c>
      <c r="S103" s="3">
        <f>479+(295.8-89.8)+(0+(0-0))+0-166-0</f>
        <v>519</v>
      </c>
      <c r="T103" s="3">
        <f>559.2+(250.2-158.1)+(0.285192+(0.127602-0.080631))+0-140.7-0.0717569999999857</f>
        <v>510.86040600000013</v>
      </c>
      <c r="U103" s="3">
        <f>548.7+(274.2-164.8)+(-1.679022+(-0.839052--0.504288))+0-152.8--0.467568000000018</f>
        <v>503.75378200000006</v>
      </c>
      <c r="V103" s="3">
        <f>554.6+(253-134.4)+(0.848538+(0.38709-0.205632))+0-166.4-0.25459200000001</f>
        <v>507.57540400000005</v>
      </c>
      <c r="W103" s="3">
        <f>534.5+(249.5-101.4)+(-1.362975+(-0.636225--0.25857))+0-178.6--0.455429999999974</f>
        <v>502.71479999999997</v>
      </c>
      <c r="X103" s="3">
        <f>534.7+(456.8-327.2)+(-1.363485+(-1.16484--0.83436))+0-164.9--0.420494999999976</f>
        <v>498.12653</v>
      </c>
      <c r="Y103" s="3">
        <f>539.6+(449.5-310.1)+(-0.550392+(-0.45849--0.316302))+0-161.9--0.165138000000026</f>
        <v>516.57255800000007</v>
      </c>
      <c r="Z103" s="3">
        <f>548.6+(264.9-93.4)+(-0.559572+(-0.270198--0.095268))+0-158.4--0.161568000000025</f>
        <v>561.12706600000001</v>
      </c>
      <c r="AA103" s="3">
        <f>554.4+(295.5-116.3)+(-1.130976+(-0.60282--0.237252))+0-159.7--0.325787999999993</f>
        <v>572.72924399999999</v>
      </c>
      <c r="AB103" s="3">
        <f>541+(281-83.1)+(-0.55182+(-0.28662--0.084762))+0-178.1--0.181662000000028</f>
        <v>560.22798399999999</v>
      </c>
      <c r="AC103" s="3">
        <f>508.9+(260.1-75.8)+(-0.778617+(-0.397953--0.115974))+0-144--0.220320000000008</f>
        <v>548.35972400000003</v>
      </c>
      <c r="AD103">
        <v>558.29999999999995</v>
      </c>
      <c r="AE103" s="3">
        <f>555+(275.8-93.2)+(0+(0-0))+0-179.3-0</f>
        <v>558.29999999999995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515+(274.8-84.7)+(-0.26265+(-0.140148--0.043197))+0-174.5--0.0889949999999823</f>
        <v>530.32939399999998</v>
      </c>
      <c r="G104" s="3">
        <f>527.7+(266-105.5)+(-0.538254+(-0.27132--0.10761))+0-172.1--0.175542000000027</f>
        <v>515.57357800000011</v>
      </c>
      <c r="H104" s="3">
        <f>537.7+(266.7-128.2)+(0.548454+(0.272034-0.130764))+0-164-0.167280000000026</f>
        <v>512.722444</v>
      </c>
      <c r="I104" s="3">
        <f>505.3+(294.4-125.5)+(-0.257703+(-0.150144--0.064005))+0-169.9--0.0866489999999828</f>
        <v>504.04280700000004</v>
      </c>
      <c r="J104" s="3">
        <f>467.9+(316.5-124.8)+(-0.715887+(-0.484245--0.190944))+0-161.7--0.247401000000009</f>
        <v>497.13821299999995</v>
      </c>
      <c r="K104" s="3">
        <f>453.6+(291.6-113.4)+(-1.850688+(-1.189728--0.462672))+0-146.6--0.598127999999987</f>
        <v>483.22038399999997</v>
      </c>
      <c r="L104" s="3">
        <f>480.3+(326-163.5)+(-0.979812+(-0.66504--0.33354))+0-140.8--0.287231999999994</f>
        <v>500.97591999999992</v>
      </c>
      <c r="M104" s="3">
        <f>523.8+(396.1-192.4)+(0.801414+(0.606033-0.294372))+0-171.4-0.26224200000001</f>
        <v>556.95083299999999</v>
      </c>
      <c r="N104" s="3">
        <f>548.6+(416.7-206.5)+(0.279786+(0.212517-0.105315))+0-164.1-0.0836909999999833</f>
        <v>595.00329699999998</v>
      </c>
      <c r="O104" s="3">
        <f>541.6+(492.1-256.2)+(0.276216+(0.250971-0.130662))+0-163.5-0.0833849999999834</f>
        <v>614.31313999999998</v>
      </c>
      <c r="P104" s="3">
        <f>535.8+(435.1-165)+(-0.546516+(-0.443802--0.1683))+0-174.8--0.178296000000028</f>
        <v>630.45627800000011</v>
      </c>
      <c r="Q104" s="3">
        <f>534.7+(375.6-90.1)+(-0.272697+(-0.191556--0.045951))+0-171.4--0.0874139999999826</f>
        <v>648.469112</v>
      </c>
      <c r="R104" s="3">
        <f>561.6+(357.8-105.6)+(-0.572832+(-0.364956--0.107712))+0-142.3--0.145146000000023</f>
        <v>670.81507000000011</v>
      </c>
      <c r="S104" s="3">
        <f>622.1+(365.4-184.3)+(-0.317271+(-0.186354--0.093993))+0-117.3--0.0598229999999881</f>
        <v>685.55019100000004</v>
      </c>
      <c r="T104" s="3">
        <f>617.7+(365.9-225.7)+(-0.945081+(-0.559827--0.345321))+0-102.7--0.157131000000006</f>
        <v>654.19754400000011</v>
      </c>
      <c r="U104" s="3">
        <f>598.1+(380.4-246.9)+(0+(0-0))+0-97.9-0</f>
        <v>633.70000000000005</v>
      </c>
      <c r="V104" s="3">
        <f>584.4+(355.4-186.3)+(-0.596088+(-0.362508--0.190026))+0-112.1--0.114342000000018</f>
        <v>640.74577199999999</v>
      </c>
      <c r="W104" s="3">
        <f>516.2+(343.4-78.9)+(-1.31631+(-0.87567--0.201195))+0-145.9--0.372044999999979</f>
        <v>633.18126000000007</v>
      </c>
      <c r="X104" s="3">
        <f>558.4+(379.4-156.1)+(-1.42392+(-0.96747--0.398055))+0-158.6--0.404429999999977</f>
        <v>621.51109499999984</v>
      </c>
      <c r="Y104" s="3">
        <f>576.9+(364.2-171)+(-1.765314+(-1.114452--0.52326))+0-153.3--0.469098000000018</f>
        <v>614.9125919999999</v>
      </c>
      <c r="Z104" s="3">
        <f>592.8+(309.1-104.1)+(0.604656+(0.315282-0.106182))+0-178.8-0.182376000000029</f>
        <v>619.63138000000004</v>
      </c>
      <c r="AA104" s="3">
        <f>591.8+(272.3-83.9)+(-0.905454+(-0.416619--0.128367))+0-158.1--0.241893000000009</f>
        <v>621.14818699999989</v>
      </c>
      <c r="AB104" s="3">
        <f>573.3+(274-99)+(-0.584766+(-0.27948--0.10098))+0-141.6--0.144432000000023</f>
        <v>606.08116599999994</v>
      </c>
      <c r="AC104" s="3">
        <f>573.7+(289.6-127.4)+(0.292587+(0.147696-0.064974))+0-147.3-0.0751229999999851</f>
        <v>588.90018600000019</v>
      </c>
      <c r="AD104">
        <v>605.6</v>
      </c>
      <c r="AE104" s="3">
        <f>587+(267-92)+(0+(0-0))+0-156.4-0</f>
        <v>605.6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572.5+(316.1-134.7)+(0+(0-0))+0-172.8-0</f>
        <v>581.10000000000014</v>
      </c>
      <c r="G105" s="3">
        <f>578.8+(262.2-117.3)+(-0.295188+(-0.133722--0.059823))+0-158.8--0.0809879999999839</f>
        <v>564.61190099999976</v>
      </c>
      <c r="H105" s="3">
        <f>502.6+(290.1-76)+(-0.768978+(-0.443853--0.11628))+0-161--0.246330000000009</f>
        <v>554.84977900000013</v>
      </c>
      <c r="I105" s="3">
        <f>500.6+(293.5-79.4)+(-0.765918+(-0.449055--0.121482))+0-173.3--0.26514900000001</f>
        <v>540.57165800000007</v>
      </c>
      <c r="J105" s="3">
        <f>499.2+(276.1-74.5)+(-1.27296+(-0.704055--0.189975))+0-173.1--0.441404999999975</f>
        <v>526.35436499999992</v>
      </c>
      <c r="K105" s="3">
        <f>499+(291-113.6)+(-1.27245+(-0.74205--0.28968))+0-165.2--0.421259999999976</f>
        <v>509.89643999999993</v>
      </c>
      <c r="L105" s="3">
        <f>535.7+(319.7-208.5)+(-0.546414+(-0.326094--0.21267))+0-148.6--0.151572000000024</f>
        <v>497.79173400000008</v>
      </c>
      <c r="M105" s="3">
        <f>560.8+(369.7-253.1)+(-0.286008+(-0.188547--0.129081))+0-163.6--0.0834359999999834</f>
        <v>513.53796199999999</v>
      </c>
      <c r="N105" s="3">
        <f>605+(362.7-261.2)+(0.30855+(0.184977-0.133212))+0-164.4-0.0838439999999833</f>
        <v>542.37647100000004</v>
      </c>
      <c r="O105" s="3">
        <f>602.4+(294.5-177.1)+(0+(0-0))+0-168.3-0</f>
        <v>551.5</v>
      </c>
      <c r="P105" s="3">
        <f>604.3+(274.1-132.7)+(0.616386+(0.279582-0.135354))+0-162.3-0.165546000000026</f>
        <v>583.99506800000006</v>
      </c>
      <c r="Q105" s="3">
        <f>607+(256.2-96)+(-0.30957+(-0.130662--0.04896))+0-163.8--0.0835379999999834</f>
        <v>603.092266</v>
      </c>
      <c r="R105" s="3">
        <f>623.5+(329.3-161.8)+(-0.63597+(-0.335886--0.165036))+0-172.4--0.175848000000027</f>
        <v>617.96902799999998</v>
      </c>
      <c r="S105" s="3">
        <f>620+(365.3-230.4)+(-0.6324+(-0.372606--0.235008))+0-144.9--0.147798000000023</f>
        <v>609.37779999999998</v>
      </c>
      <c r="T105" s="3">
        <f>619.7+(417.1-292.2)+(0+(0-0))+0-150.8-0</f>
        <v>593.80000000000018</v>
      </c>
      <c r="U105" s="3">
        <f>620.2+(414.1-297.3)+(0+(0-0))+0-153.5-0</f>
        <v>583.5</v>
      </c>
      <c r="V105" s="3">
        <f>620.2+(346.9-223.6)+(0.316302+(0.176919-0.114036))+0-154.9-0.0789989999999843</f>
        <v>588.90018600000008</v>
      </c>
      <c r="W105" s="3">
        <f>593.5+(255-110)+(-1.21074+(-0.5202--0.2244))+0-146.8--0.299471999999994</f>
        <v>590.492932</v>
      </c>
      <c r="X105" s="3">
        <f>568.3+(403.9-236.9)+(-2.028831+(-1.441923--0.845733))+0-154.7--0.552279000000002</f>
        <v>578.52725800000007</v>
      </c>
      <c r="Y105" s="3">
        <f>568.7+(491.6-313)+(-1.450185+(-1.25358--0.79815))+0-167.9--0.428144999999976</f>
        <v>577.92253000000005</v>
      </c>
      <c r="Z105" s="3">
        <f>586.8+(288.1-109.2)+(-0.299268+(-0.146931--0.055692))+0-176.3--0.0899129999999821</f>
        <v>589.09940600000004</v>
      </c>
      <c r="AA105" s="3">
        <f>587.1+(290.1-115.2)+(-1.197684+(-0.591804--0.235008))+0-170.7--0.348227999999993</f>
        <v>590.09374799999989</v>
      </c>
      <c r="AB105" s="3">
        <f>574.4+(271.2-107.8)+(-0.878832+(-0.414936--0.164934))+0-157.4--0.240822000000009</f>
        <v>579.51198799999997</v>
      </c>
      <c r="AC105" s="3">
        <f>576.1+(269.1-94.5)+(0.293811+(0.137241-0.048195))+0-185.6-0.0946559999999812</f>
        <v>565.38820099999998</v>
      </c>
      <c r="AD105">
        <v>599.5</v>
      </c>
      <c r="AE105" s="3">
        <f>600+(290.2-141.5)+(0+(0-0))+0-149.2-0</f>
        <v>599.5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582+(268.1-112.7)+(0+(0-0))+0-177.4-0</f>
        <v>560.00000000000011</v>
      </c>
      <c r="G106" s="3">
        <f>573.5+(263.3-120.4)+(-1.16994+(-0.537132--0.245616))+0-168.8--0.344351999999993</f>
        <v>546.48289599999987</v>
      </c>
      <c r="H106" s="3">
        <f>493.8+(303.1-95.2)+(0.251838+(0.154581-0.048552))+0-162.8-0.0830279999999835</f>
        <v>539.17483900000002</v>
      </c>
      <c r="I106" s="3">
        <f>486.8+(298.7-101)+(-0.993072+(-0.609348--0.20604))+0-160.5--0.327419999999993</f>
        <v>522.93103999999994</v>
      </c>
      <c r="J106" s="3">
        <f>501.7+(272.6-93.8)+(0+(0-0))+0-166.8-0</f>
        <v>513.70000000000005</v>
      </c>
      <c r="K106" s="3">
        <f>503.6+(329.3-170.4)+(-1.28418+(-0.839715--0.43452))+0-155.3--0.396014999999977</f>
        <v>505.90663999999992</v>
      </c>
      <c r="L106" s="3">
        <f>515.5+(353.3-229.4)+(-1.314525+(-0.900915--0.58497))+0-151.9--0.387344999999978</f>
        <v>486.25687500000004</v>
      </c>
      <c r="M106" s="3">
        <f>548.6+(385.8-250.5)+(0+(0-0))+0-148.9-0</f>
        <v>535.00000000000011</v>
      </c>
      <c r="N106" s="3">
        <f>564.8+(467.2-273.1)+(0.864144+(0.714816-0.417843))+0-161.7-0.247401000000009</f>
        <v>598.11371599999995</v>
      </c>
      <c r="O106" s="3">
        <f>603.7+(450.3-273)+(0.615774+(0.459306-0.27846))+0-156.3-0.159426000000025</f>
        <v>625.33719399999984</v>
      </c>
      <c r="P106" s="3">
        <f>556.3+(409.8-154.5)+(0.851139+(0.626994-0.236385))+0-160-0.244800000000009</f>
        <v>652.59694799999988</v>
      </c>
      <c r="Q106" s="3">
        <f>513+(392.2-72.5)+(0.78489+(0.600066-0.110925))+0-168.6-0.25795800000001</f>
        <v>665.11607300000003</v>
      </c>
      <c r="R106" s="3">
        <f>559+(347.8-77.8)+(-0.28509+(-0.177378--0.039678))+0-165--0.0841499999999833</f>
        <v>663.66136000000006</v>
      </c>
      <c r="S106" s="3">
        <f>556.6+(436.5-165)+(-1.135464+(-0.89046--0.3366))+0-170--0.346799999999993</f>
        <v>656.757476</v>
      </c>
      <c r="T106" s="3">
        <f>565.8+(407-194.8)+(0.865674+(0.62271-0.298044))+0-155-0.237150000000009</f>
        <v>623.95318999999995</v>
      </c>
      <c r="U106" s="3">
        <f>581.6+(389.4-193.9)+(-0.593232+(-0.397188--0.197778))+0-162.2--0.165444000000026</f>
        <v>614.27280199999996</v>
      </c>
      <c r="V106" s="3">
        <f>607.4+(342.7-151.9)+(-1.239096+(-0.699108--0.309876))+0-176.1--0.359243999999992</f>
        <v>620.83091599999989</v>
      </c>
      <c r="W106" s="3">
        <f>593.4+(292.9-75.1)+(-1.210536+(-0.597516--0.153204))+0-184.4--0.376175999999992</f>
        <v>625.52132799999993</v>
      </c>
      <c r="X106" s="3">
        <f>571.4+(493.8-278.1)+(-1.165656+(-1.007352--0.567324))+0-172.1--0.351083999999992</f>
        <v>613.7453999999999</v>
      </c>
      <c r="Y106" s="3">
        <f>560.3+(520.4-291.4)+(-1.143012+(-1.061616--0.594456))+0-182.1--0.371483999999992</f>
        <v>605.96131199999991</v>
      </c>
      <c r="Z106" s="3">
        <f>585.5+(342.9-131.1)+(-0.298605+(-0.174879--0.066861))+0-171.7--0.0875669999999826</f>
        <v>625.28094400000009</v>
      </c>
      <c r="AA106" s="3">
        <f>581.8+(332.1-95.4)+(-0.890154+(-0.508113--0.145962))+0-195.1--0.298503000000011</f>
        <v>622.44619799999998</v>
      </c>
      <c r="AB106" s="3">
        <f>582+(266.9-81.1)+(-1.18728+(-0.544476--0.165444))+0-166.9--0.340475999999993</f>
        <v>599.67416399999991</v>
      </c>
      <c r="AC106" s="3">
        <f>570.1+(309.4-100.7)+(0+(0-0))+0-192.3-0</f>
        <v>586.5</v>
      </c>
      <c r="AD106">
        <v>603.69999999999993</v>
      </c>
      <c r="AE106" s="3">
        <f>582+(331.8-110.5)+(0+(0-0))+0-199.6-0</f>
        <v>603.69999999999993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579.5+(287.4-118.9)+(-0.886635+(-0.439722--0.181917))+0-160.4--0.245412000000009</f>
        <v>586.70097199999998</v>
      </c>
      <c r="G107" s="3">
        <f>579.8+(274.8-106.1)+(-2.069886+(-0.981036--0.378777))+0-169.2--0.604044000000002</f>
        <v>577.231899</v>
      </c>
      <c r="H107" s="3">
        <f>581.4+(267.9-122.6)+(-1.779084+(-0.819774--0.375156))+0-160.4--0.490824000000019</f>
        <v>564.56712199999993</v>
      </c>
      <c r="I107" s="3">
        <f>582.2+(294.2-163.8)+(-1.48461+(-0.75021--0.41769))+0-155.1--0.395504999999977</f>
        <v>556.07837499999994</v>
      </c>
      <c r="J107" s="3">
        <f>607.1+(308.2-200.8)+(0.928863+(0.471546-0.307224))+0-164.4-0.25153200000001</f>
        <v>550.94165299999997</v>
      </c>
      <c r="K107" s="3">
        <f>510.5+(350.7-186)+(-0.781065+(-0.536571--0.28458))+0-150.6--0.230418000000009</f>
        <v>523.79736200000002</v>
      </c>
      <c r="L107" s="3">
        <f>492.5+(384.3-205.5)+(-1.0047+(-0.783972--0.41922))+0-151.8--0.309671999999993</f>
        <v>518.44021999999984</v>
      </c>
      <c r="M107" s="3">
        <f>509.1+(399.4-185.4)+(0+(0-0))+0-149.8-0</f>
        <v>573.29999999999995</v>
      </c>
      <c r="N107" s="3">
        <f>581.8+(401-214)+(-0.890154+(-0.61353--0.32742))+0-163.3--0.249849000000009</f>
        <v>604.57358500000009</v>
      </c>
      <c r="O107" s="3">
        <f>608+(437-252.4)+(0.31008+(0.22287-0.128724))+0-161.7-0.0824669999999836</f>
        <v>631.22175900000002</v>
      </c>
      <c r="P107" s="3">
        <f>596.7+(405.2-190.5)+(0+(0-0))+0-158.4-0</f>
        <v>653.00000000000011</v>
      </c>
      <c r="Q107" s="3">
        <f>589.5+(405-158.1)+(-0.60129+(-0.4131--0.161262))+0-164--0.167280000000026</f>
        <v>671.71415200000001</v>
      </c>
      <c r="R107" s="3">
        <f>615.9+(331-88.8)+(0+(0-0))+0-183.8-0</f>
        <v>674.3</v>
      </c>
      <c r="S107" s="3">
        <f>592.6+(389.8-141.3)+(-0.604452+(-0.397596--0.144126))+0-177.4--0.180948000000028</f>
        <v>663.02302600000007</v>
      </c>
      <c r="T107" s="3">
        <f>589.9+(394.6-185.2)+(-0.601698+(-0.402492--0.188904))+0-172.1--0.175542000000027</f>
        <v>626.56025599999998</v>
      </c>
      <c r="U107" s="3">
        <f>592.7+(365.6-189.8)+(-0.906831+(-0.559368--0.290394))+0-170.6--0.26101800000001</f>
        <v>596.98521300000004</v>
      </c>
      <c r="V107" s="3">
        <f>590.6+(340.9-149.8)+(-0.301206+(-0.173859--0.076398))+0-166.2--0.0847619999999831</f>
        <v>615.18609500000002</v>
      </c>
      <c r="W107" s="3">
        <f>574.1+(314-87.5)+(-0.878373+(-0.48042--0.133875))+0-178.6--0.27325800000001</f>
        <v>621.04834000000005</v>
      </c>
      <c r="X107" s="3">
        <f>566.1+(453.2-237.8)+(-1.443555+(-1.15566--0.60639))+0-166.4--0.424319999999976</f>
        <v>613.53149499999995</v>
      </c>
      <c r="Y107" s="3">
        <f>547.9+(518-290.6)+(-0.838287+(-0.79254--0.444618))+0-164--0.250920000000009</f>
        <v>610.36471100000006</v>
      </c>
      <c r="Z107" s="3">
        <f>557.9+(342.3-116.8)+(-0.569058+(-0.349146--0.119136))+0-169.8--0.173196000000027</f>
        <v>612.97412799999995</v>
      </c>
      <c r="AA107" s="3">
        <f>610.8+(329.9-143.3)+(-0.623016+(-0.336498--0.146166))+0-177.1--0.180642000000028</f>
        <v>619.66729399999986</v>
      </c>
      <c r="AB107" s="3">
        <f>616+(284.9-123.7)+(-1.25664+(-0.581196--0.252348))+0-173.6--0.354143999999992</f>
        <v>602.36865599999999</v>
      </c>
      <c r="AC107" s="3">
        <f>608.8+(265.9-100.2)+(-0.620976+(-0.271218--0.102204))+0-181.4--0.185028000000029</f>
        <v>592.49503800000002</v>
      </c>
      <c r="AD107">
        <v>599.1</v>
      </c>
      <c r="AE107" s="3">
        <f>623+(293-165.3)+(0+(0-0))+0-151.6-0</f>
        <v>599.1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591.7+(268.9-108.6)+(-0.905301+(-0.411417--0.166158))+0-180.3--0.27585900000001</f>
        <v>570.82529899999997</v>
      </c>
      <c r="G108" s="3">
        <f>600.5+(263.6-128)+(-0.918765+(-0.403308--0.19584))+0-165.7--0.25352100000001</f>
        <v>569.52728800000011</v>
      </c>
      <c r="H108" s="3">
        <f>616+(292.2-164.8)+(0+(0-0))+0-184.1-0</f>
        <v>559.29999999999995</v>
      </c>
      <c r="I108" s="3">
        <f>613.1+(289.3-189.3)+(-1.250724+(-0.590172--0.386172))+0-163.7--0.333947999999993</f>
        <v>548.27922399999989</v>
      </c>
      <c r="J108" s="3">
        <f>616.1+(328.6-237)+(-1.256844+(-0.670344--0.48348))+0-165.8--0.338231999999993</f>
        <v>540.79452400000002</v>
      </c>
      <c r="K108" s="3">
        <f>618.4+(398-337.7)+(-1.261536+(-0.81192--0.688908))+0-157.3--0.320891999999993</f>
        <v>520.33634400000005</v>
      </c>
      <c r="L108" s="3">
        <f>577.4+(422.5-302.5)+(-1.177896+(-0.8619--0.6171))+0-179.6--0.366383999999992</f>
        <v>516.74368800000002</v>
      </c>
      <c r="M108" s="3">
        <f>584.7+(433.1-306.6)+(0.894591+(0.662643-0.469098))+0-163.8-0.25061400000001</f>
        <v>548.2375219999999</v>
      </c>
      <c r="N108" s="3">
        <f>631.3+(472.2-323.1)+(0.643926+(0.481644-0.329562))+0-193.9-0.197778000000031</f>
        <v>587.09822999999983</v>
      </c>
      <c r="O108" s="3">
        <f>616.3+(542.6-359)+(0+(0-0))+0-178.8-0</f>
        <v>621.09999999999991</v>
      </c>
      <c r="P108" s="3">
        <f>594.9+(463.9-245.4)+(0.303399+(0.236589-0.125154))+0-181.7-0.0926669999999816</f>
        <v>632.02216699999997</v>
      </c>
      <c r="Q108" s="3">
        <f>581.2+(365.1-116)+(0+(0-0))+0-179.2-0</f>
        <v>651.10000000000014</v>
      </c>
      <c r="R108" s="3">
        <f>596.6+(339.7-110.4)+(0.304266+(0.173247-0.056304))+0-168.7-0.0860369999999829</f>
        <v>657.53517199999987</v>
      </c>
      <c r="S108" s="3">
        <f>590.5+(390.4-173.9)+(0.60231+(0.398208-0.177378))+0-156.1-0.159222000000025</f>
        <v>651.56391799999994</v>
      </c>
      <c r="T108" s="3">
        <f>589+(399.9-207.3)+(-0.60078+(-0.407898--0.211446))+0-157.2--0.160344000000025</f>
        <v>623.76311199999998</v>
      </c>
      <c r="U108" s="3">
        <f>587.9+(393.9-183.1)+(0.599658+(0.401778-0.186762))+0-186.4-0.19012800000003</f>
        <v>612.92454599999985</v>
      </c>
      <c r="V108" s="3">
        <f>588.1+(341.9-151.1)+(-1.499655+(-0.871845--0.385305))+0-159.9--0.407744999999977</f>
        <v>617.42155000000002</v>
      </c>
      <c r="W108" s="3">
        <f>585.8+(304-108)+(-1.792548+(-0.93024--0.33048))+0-168--0.514080000000019</f>
        <v>611.92177200000003</v>
      </c>
      <c r="X108" s="3">
        <f>576.4+(522.5-317.2)+(-1.763784+(-1.59885--0.970632))+0-163.6--0.500616000000019</f>
        <v>616.20861400000001</v>
      </c>
      <c r="Y108" s="3">
        <f>554.6+(598.3-377.8)+(-0.565692+(-0.610266--0.385356))+0-180.1--0.183702000000029</f>
        <v>594.39309999999989</v>
      </c>
      <c r="Z108" s="3">
        <f>559.5+(392.6-151.9)+(-0.856035+(-0.600678--0.232407))+0-183.3--0.280449000000011</f>
        <v>615.956143</v>
      </c>
      <c r="AA108" s="3">
        <f>578.3+(344.5-137)+(-1.474665+(-0.878475--0.34935))+0-170.6--0.435029999999975</f>
        <v>613.63123999999993</v>
      </c>
      <c r="AB108" s="3">
        <f>583.1+(311.4-130.5)+(-0.594762+(-0.317628--0.13311))+0-165.6--0.168912000000026</f>
        <v>597.78963199999998</v>
      </c>
      <c r="AC108" s="3">
        <f>587.7+(278.3-116.2)+(1.198908+(0.567732-0.237048))+0-160.1-0.326603999999993</f>
        <v>590.90298800000005</v>
      </c>
      <c r="AD108">
        <v>624.6</v>
      </c>
      <c r="AE108" s="3">
        <f>578+(344-145.4)+(0+(0-0))+0-152-0</f>
        <v>624.6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595.4+(256.6-115.1)+(-0.607308+(-0.261732--0.117402))+0-162.6--0.165852000000026</f>
        <v>573.71421399999997</v>
      </c>
      <c r="G109" s="3">
        <f>605.1+(241.1-138.5)+(0+(0-0))+0-155.8-0</f>
        <v>551.90000000000009</v>
      </c>
      <c r="H109" s="3">
        <f>601.1+(246.7-146.3)+(-0.613122+(-0.251634--0.149226))+0-160.2--0.163404000000026</f>
        <v>540.74787400000002</v>
      </c>
      <c r="I109" s="3">
        <f>518.1+(313-147)+(0+(0-0))+0-156.7-0</f>
        <v>527.40000000000009</v>
      </c>
      <c r="J109" s="3">
        <f>509.6+(284.5-107.4)+(0+(0-0))+0-170.1-0</f>
        <v>516.6</v>
      </c>
      <c r="K109" s="3">
        <f>503.9+(283.4-127.4)+(-1.284945+(-0.72267--0.32487))+0-165.9--0.423044999999976</f>
        <v>492.74030000000005</v>
      </c>
      <c r="L109" s="3">
        <f>518.3+(289.3-135.4)+(-0.528666+(-0.295086--0.138108))+0-181.2--0.184824000000029</f>
        <v>490.49917999999997</v>
      </c>
      <c r="M109" s="3">
        <f>530.9+(305.4-151.7)+(0.541518+(0.311508-0.154734))+0-155.1-0.158202000000025</f>
        <v>530.04008999999985</v>
      </c>
      <c r="N109" s="3">
        <f>547.6+(346-158.3)+(0.279276+(0.17646-0.080733))+0-166.9-0.0851189999999831</f>
        <v>568.68988400000001</v>
      </c>
      <c r="O109" s="3">
        <f>550+(354.4-140)+(0.561+(0.361488-0.1428))+0-158.3-0.161466000000025</f>
        <v>606.71822199999997</v>
      </c>
      <c r="P109" s="3">
        <f>538.7+(325.1-78.8)+(0.274737+(0.165801-0.040188))+0-165.2-0.0842519999999832</f>
        <v>620.11609800000008</v>
      </c>
      <c r="Q109" s="3">
        <f>600+(315.6-94.1)+(0.612+(0.321912-0.095982))+0-178.9-0.182478000000029</f>
        <v>643.25545199999999</v>
      </c>
      <c r="R109" s="3">
        <f>600.8+(383.5-142.2)+(0+(0-0))+0-202.3-0</f>
        <v>639.79999999999995</v>
      </c>
      <c r="S109" s="3">
        <f>604.7+(421.7-215.4)+(0+(0-0))+0-183.5-0</f>
        <v>627.5</v>
      </c>
      <c r="T109" s="3">
        <f>606.2+(459.9-277.7)+(-0.309162+(-0.234549--0.141627))+0-191.5--0.0976649999999806</f>
        <v>596.59558100000015</v>
      </c>
      <c r="U109" s="3">
        <f>602.5+(427.8-282)+(-0.61455+(-0.436356--0.28764))+0-173.3--0.176766000000028</f>
        <v>574.41349999999989</v>
      </c>
      <c r="V109" s="3">
        <f>602.5+(336.4-190)+(0+(0-0))+0-177.8-0</f>
        <v>571.09999999999991</v>
      </c>
      <c r="W109" s="3">
        <f>554.5+(267.2-66.3)+(-0.56559+(-0.272544--0.067626))+0-173.8--0.177276000000028</f>
        <v>581.00676800000008</v>
      </c>
      <c r="X109" s="3">
        <f>464.2+(403.2-121.7)+(0+(0-0))+0-177.1-0</f>
        <v>568.6</v>
      </c>
      <c r="Y109" s="3">
        <f>459.8+(486.4-207.1)+(-1.17249+(-1.24032--0.528105))+0-182--0.464099999999974</f>
        <v>555.67939499999989</v>
      </c>
      <c r="Z109" s="3">
        <f>513.6+(327.4-77.1)+(0.261936+(0.166974-0.039321))+0-194.4-0.0991439999999803</f>
        <v>569.79044499999998</v>
      </c>
      <c r="AA109" s="3">
        <f>674.7+(220.3-127.9)+(-0.688194+(-0.224706--0.130458))+0-204.2--0.208284000000033</f>
        <v>562.32584200000019</v>
      </c>
      <c r="AB109" s="3">
        <f>656.8+(224-126)+(0+(0-0))+0-199.3-0</f>
        <v>555.5</v>
      </c>
      <c r="AC109" s="3">
        <f>639.8+(243.7-142.5)+(-0.652596+(-0.248574--0.14535))+0-186.9--0.19063800000003</f>
        <v>553.53481800000009</v>
      </c>
      <c r="AD109">
        <v>574.1</v>
      </c>
      <c r="AE109" s="3">
        <f>681+(230.9-121.4)+(0+(0-0))+0-216.4-0</f>
        <v>574.1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619.2+(283.2-169.3)+(-1.263168+(-0.577728--0.345372))+0-187.2--0.381887999999992</f>
        <v>544.78636399999994</v>
      </c>
      <c r="G110" s="3">
        <f>610.6+(272.3-157.5)+(-0.934218+(-0.416619--0.240975))+0-187.1--0.286263000000011</f>
        <v>537.47640100000001</v>
      </c>
      <c r="H110" s="3">
        <f>608.9+(236.5-150.3)+(-0.931617+(-0.361845--0.229959))+0-170.3--0.26055900000001</f>
        <v>523.99705599999993</v>
      </c>
      <c r="I110" s="3">
        <f>609.3+(233.5-158.8)+(-1.553715+(-0.595425--0.40494))+0-179.6--0.457979999999974</f>
        <v>503.11377999999996</v>
      </c>
      <c r="J110" s="3">
        <f>460.2+(327.4-110.3)+(-0.234702+(-0.166974--0.056253))+0-178.7--0.0911369999999819</f>
        <v>498.34571399999999</v>
      </c>
      <c r="K110" s="3">
        <f>416.6+(299.5-75.7)+(-0.637398+(-0.458235--0.115821))+0-165.6--0.25336800000001</f>
        <v>474.07355600000005</v>
      </c>
      <c r="L110" s="3">
        <f>429.2+(285.4-102.3)+(-0.875568+(-0.582216--0.208692))+0-146.8--0.299471999999994</f>
        <v>464.5503799999999</v>
      </c>
      <c r="M110" s="3">
        <f>433.2+(255.9-76.9)+(-0.441864+(-0.261018--0.078438))+0-148.5--0.151470000000024</f>
        <v>463.22702600000002</v>
      </c>
      <c r="N110" s="3">
        <f>453.9+(280.4-98.1)+(0.231489+(0.143004-0.050031))+0-153.8-0.0784379999999844</f>
        <v>482.64602399999995</v>
      </c>
      <c r="O110" s="3">
        <f>466+(253.5-77)+(0+(0-0))+0-150.3-0</f>
        <v>492.2</v>
      </c>
      <c r="P110" s="3">
        <f>482.3+(266-69.7)+(0.491946+(0.27132-0.071094))+0-160.5-0.163710000000026</f>
        <v>518.62846200000001</v>
      </c>
      <c r="Q110" s="3">
        <f>587.2+(227.2-110.6)+(0.598944+(0.231744-0.112812))+0-174.6-0.178092000000028</f>
        <v>529.7397840000001</v>
      </c>
      <c r="R110" s="3">
        <f>722.1+(247-254.2)+(0.368271+(0.12597-0.129642))+0-178.6-0.0910859999999819</f>
        <v>536.57351300000005</v>
      </c>
      <c r="S110" s="3">
        <f>739.2+(329.2-377.3)+(0+(0-0))+0-178.2-0</f>
        <v>512.90000000000009</v>
      </c>
      <c r="T110" s="3">
        <f>729.6+(394.2-442.8)+(-0.744192+(-0.402084--0.451656))+0-181.3--0.184926000000029</f>
        <v>499.19030600000002</v>
      </c>
      <c r="U110" s="3">
        <f>699.9+(416.1-457.4)+(-1.070847+(-0.636633--0.699822))+0-164.3--0.25137900000001</f>
        <v>493.54372100000001</v>
      </c>
      <c r="V110" s="3">
        <f>695.4+(359-383.3)+(0+(0-0))+0-183.2-0</f>
        <v>487.89999999999992</v>
      </c>
      <c r="W110" s="3">
        <f>682.5+(144.2-154.1)+(-0.348075+(-0.073542--0.078591))+0-174.5--0.0889949999999823</f>
        <v>497.84596899999997</v>
      </c>
      <c r="X110" s="3">
        <f>631.4+(259-214.8)+(-1.61007+(-0.66045--0.54774))+0-178.6--0.455429999999974</f>
        <v>495.73264999999992</v>
      </c>
      <c r="Y110" s="3">
        <f>637.4+(311.2-269.9)+(-1.300296+(-0.634848--0.550596))+0-173.8--0.354551999999992</f>
        <v>503.87000400000005</v>
      </c>
      <c r="Z110" s="3">
        <f>671.2+(201.9-140.7)+(0.342312+(0.102969-0.071757))+0-185.3-0.0945029999999812</f>
        <v>547.37902099999997</v>
      </c>
      <c r="AA110" s="3">
        <f>689.4+(205.6-160.7)+(-1.75797+(-0.52428--0.409785))+0-180.5--0.460274999999974</f>
        <v>552.38780999999994</v>
      </c>
      <c r="AB110" s="3">
        <f>695.6+(203.9-186.8)+(-1.419024+(-0.415956--0.381072))+0-165.2--0.337007999999993</f>
        <v>546.38310000000001</v>
      </c>
      <c r="AC110" s="3">
        <f>707.5+(218.2-212.7)+(-0.360825+(-0.111282--0.108477))+0-173.1--0.0882809999999824</f>
        <v>539.62465099999997</v>
      </c>
      <c r="AD110">
        <v>515.90000000000009</v>
      </c>
      <c r="AE110" s="3">
        <f>696+(185.4-185.2)+(0+(0-0))+0-180.3-0</f>
        <v>515.90000000000009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715.2+(176.8-212.1)+(0+(0-0))+0-176-0</f>
        <v>503.90000000000009</v>
      </c>
      <c r="G111" s="3">
        <f>713.6+(166.5-206.6)+(-1.455744+(-0.33966--0.421464))+0-182.8--0.372911999999992</f>
        <v>489.69897200000003</v>
      </c>
      <c r="H111" s="3">
        <f>725.9+(151-221)+(0.740418+(0.15402-0.22542))+0-179.5-0.183090000000029</f>
        <v>476.88592799999998</v>
      </c>
      <c r="I111" s="3">
        <f>724.1+(156.3-224.7)+(-0.369291+(-0.079713--0.114597))+0-184.1--0.0938909999999813</f>
        <v>471.35948399999995</v>
      </c>
      <c r="J111" s="3">
        <f>719.4+(157.6-225.2)+(-1.100682+(-0.241128--0.344556))+0-186.5--0.285345000000011</f>
        <v>464.58809099999996</v>
      </c>
      <c r="K111" s="3">
        <f>727.3+(172.2-261.3)+(-1.483692+(-0.351288--0.533052))+0-186.1--0.379643999999992</f>
        <v>451.17771599999992</v>
      </c>
      <c r="L111" s="3">
        <f>733.7+(204.6-271.7)+(-0.748374+(-0.208692--0.277134))+0-184.3--0.187986000000029</f>
        <v>481.80805400000003</v>
      </c>
      <c r="M111" s="3">
        <f>747.9+(217.5-241.5)+(-1.144287+(-0.332775--0.369495))+0-187.8--0.287334000000011</f>
        <v>535.27976699999988</v>
      </c>
      <c r="N111" s="3">
        <f>745.5+(310.8-279.9)+(0+(0-0))+0-201.5-0</f>
        <v>574.90000000000009</v>
      </c>
      <c r="O111" s="3">
        <f>744.9+(232.6-189.3)+(0.379899+(0.118626-0.096543))+0-194.9-0.0993989999999802</f>
        <v>593.60258299999998</v>
      </c>
      <c r="P111" s="3">
        <f>741.7+(209.2-155.3)+(0.756534+(0.213384-0.158406))+0-182.9-0.186558000000029</f>
        <v>613.32495400000005</v>
      </c>
      <c r="Q111" s="3">
        <f>749+(215-129.8)+(0+(0-0))+0-202.7-0</f>
        <v>631.5</v>
      </c>
      <c r="R111" s="3">
        <f>707.1+(288.3-160)+(-0.360621+(-0.147033--0.0816))+0-197.3--0.10062299999998</f>
        <v>637.77456900000004</v>
      </c>
      <c r="S111" s="3">
        <f>638.3+(379.7-187.4)+(-0.325533+(-0.193647--0.095574))+0-196.7--0.10031699999998</f>
        <v>633.57671100000005</v>
      </c>
      <c r="T111" s="3">
        <f>624.9+(383.5-215.1)+(-0.318699+(-0.195585--0.109701))+0-197.9--0.10092899999998</f>
        <v>595.09634599999993</v>
      </c>
      <c r="U111" s="3">
        <f>628.4+(374.1-228.8)+(-0.961452+(-0.572373--0.350064))+0-182--0.278460000000011</f>
        <v>590.79469900000004</v>
      </c>
      <c r="V111" s="3">
        <f>623.5+(354.4-192.2)+(0+(0-0))+0-194.3-0</f>
        <v>591.40000000000009</v>
      </c>
      <c r="W111" s="3">
        <f>623.4+(268.2-115.4)+(-0.953802+(-0.410346--0.176562))+0-195.8--0.299574000000011</f>
        <v>579.51198799999986</v>
      </c>
      <c r="X111" s="3">
        <f>637.2+(338.5-214.4)+(-1.949832+(-1.03581--0.656064))+0-184.8--0.565488000000021</f>
        <v>574.73591000000022</v>
      </c>
      <c r="Y111" s="3">
        <f>640.7+(422.3-301.3)+(-0.653514+(-0.430746--0.307326))+0-182.6--0.186252000000029</f>
        <v>578.50931800000012</v>
      </c>
      <c r="Z111" s="3">
        <f>681.8+(264.3-152.6)+(0.347718+(0.134793-0.077826))+0-189.5-0.0966449999999808</f>
        <v>604.30804000000001</v>
      </c>
      <c r="AA111" s="3">
        <f>704.4+(235.3-142.2)+(-0.359244+(-0.120003--0.072522))+0-193.3--0.0985829999999804</f>
        <v>603.89185799999996</v>
      </c>
      <c r="AB111" s="3">
        <f>696.8+(232.2-152.8)+(-0.355368+(-0.118422--0.077928))+0-196.1--0.10001099999998</f>
        <v>579.80414899999994</v>
      </c>
      <c r="AC111" s="3">
        <f>677.5+(232.1-161.7)+(0.345525+(0.118371-0.082467))+0-181-0.0923099999999816</f>
        <v>567.18911900000001</v>
      </c>
      <c r="AD111">
        <v>607.29999999999995</v>
      </c>
      <c r="AE111" s="3">
        <f>698+(242.6-147.1)+(0+(0-0))+0-186.2-0</f>
        <v>607.29999999999995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679.5+(239.5-160.8)+(0.346545+(0.122145-0.082008))+0-200.9-0.10245899999998</f>
        <v>557.58422300000007</v>
      </c>
      <c r="G112" s="3">
        <f>679.5+(232.4-197.8)+(0+(0-0))+0-174-0</f>
        <v>540.1</v>
      </c>
      <c r="H112" s="3">
        <f>647+(248.7-178)+(0.32997+(0.126837-0.09078))+0-188.9-0.0963389999999808</f>
        <v>529.06968800000016</v>
      </c>
      <c r="I112" s="3">
        <f>576.9+(269.7-147.5)+(-0.588438+(-0.275094--0.15045))+0-185.4--0.18910800000003</f>
        <v>513.17602599999998</v>
      </c>
      <c r="J112" s="3">
        <f>590.9+(275.3-179.1)+(-0.602718+(-0.280806--0.182682))+0-182--0.185640000000029</f>
        <v>504.58479800000009</v>
      </c>
      <c r="K112" s="3">
        <f>587.5+(299.9-209.9)+(-1.498125+(-0.764745--0.535245))+0-186.2--0.474809999999973</f>
        <v>490.04718500000001</v>
      </c>
      <c r="L112" s="3">
        <f>584.4+(284.4-213.1)+(-0.894132+(-0.435132--0.326043))+0-172.6--0.26407800000001</f>
        <v>482.36085699999984</v>
      </c>
      <c r="M112" s="3">
        <f>634+(317-238.9)+(0.32334+(0.16167-0.121839))+0-181.8-0.0927179999999816</f>
        <v>530.57045299999993</v>
      </c>
      <c r="N112" s="3">
        <f>627.9+(371.9-250.8)+(0+(0-0))+0-179.4-0</f>
        <v>569.6</v>
      </c>
      <c r="O112" s="3">
        <f>630.2+(370.3-228.7)+(-0.642804+(-0.377706--0.233274))+0-186.5--0.19023000000003</f>
        <v>584.7029940000001</v>
      </c>
      <c r="P112" s="3">
        <f>754+(279-206)+(0+(0-0))+0-180-0</f>
        <v>647</v>
      </c>
      <c r="Q112" s="3">
        <f>776.5+(201.7-142.6)+(-0.79203+(-0.205734--0.145452))+0-195.2--0.199104000000031</f>
        <v>639.74679200000014</v>
      </c>
      <c r="R112" s="3">
        <f>782.1+(183.9-144.7)+(-0.398871+(-0.093789--0.073797))+0-175.2--0.0893519999999822</f>
        <v>645.770489</v>
      </c>
      <c r="S112" s="3">
        <f>803.7+(175.6-158.6)+(-0.409887+(-0.089556--0.080886))+0-183.7--0.0936869999999814</f>
        <v>636.67512999999997</v>
      </c>
      <c r="T112" s="3">
        <f>805.9+(160.2-194.6)+(-1.233027+(-0.245106--0.297738))+0-160.2--0.245106000000009</f>
        <v>610.36471100000006</v>
      </c>
      <c r="U112" s="3">
        <f>803.5+(177-185.7)+(0+(0-0))+0-189.6-0</f>
        <v>605.19999999999993</v>
      </c>
      <c r="V112" s="3">
        <f>812.2+(179.4-202.6)+(-0.414222+(-0.091494--0.103326))+0-180.1--0.0918509999999817</f>
        <v>608.58946100000003</v>
      </c>
      <c r="W112" s="3">
        <f>802.2+(178-185.5)+(-2.04561+(-0.4539--0.473025))+0-178.4--0.454919999999974</f>
        <v>614.7284350000001</v>
      </c>
      <c r="X112" s="3">
        <f>782.4+(357.4-358.7)+(-2.793168+(-1.275918--1.280559))+0-186.4--0.665448000000003</f>
        <v>592.57692099999986</v>
      </c>
      <c r="Y112" s="3">
        <f>790.1+(405.8-419.3)+(0.402951+(0.206958-0.213843))+0-194.6-0.0992459999999803</f>
        <v>582.29682000000003</v>
      </c>
      <c r="Z112" s="3">
        <f>797.5+(203.4-209.3)+(0.81345+(0.207468-0.213486))+0-181.7-0.185334000000029</f>
        <v>610.52209799999991</v>
      </c>
      <c r="AA112" s="3">
        <f>805+(202.7-205.5)+(-2.05275+(-0.516885--0.524025))+0-199.6--0.508979999999971</f>
        <v>601.06336999999996</v>
      </c>
      <c r="AB112" s="3">
        <f>814.8+(187.4-221.8)+(-1.246644+(-0.286722--0.339354))+0-186.7--0.285651000000011</f>
        <v>592.79163899999992</v>
      </c>
      <c r="AC112" s="3">
        <f>817.2+(185.7-236.3)+(-0.416772+(-0.094707--0.120513))+0-189.3--0.0965429999999808</f>
        <v>577.00557700000002</v>
      </c>
      <c r="AD112">
        <v>606.70000000000005</v>
      </c>
      <c r="AE112" s="3">
        <f>813+(212.2-198.4)+(0+(0-0))+0-220.1-0</f>
        <v>606.69999999999993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823.7+(172.9-261.3)+(-1.260261+(-0.264537--0.399789))+0-175.8--0.26897400000001</f>
        <v>558.64396500000009</v>
      </c>
      <c r="G113" s="3">
        <f>824.9+(159.5-278.6)+(-2.103495+(-0.406725--0.71043))+0-166.4--0.424319999999976</f>
        <v>538.02452999999991</v>
      </c>
      <c r="H113" s="3">
        <f>809.8+(182.7-297.8)+(-0.412998+(-0.093177--0.151878))+0-162.2--0.0827219999999835</f>
        <v>532.2284249999999</v>
      </c>
      <c r="I113" s="3">
        <f>688+(220.6-203.3)+(-1.05264+(-0.337518--0.311049))+0-186.6--0.285498000000011</f>
        <v>517.90638899999988</v>
      </c>
      <c r="J113" s="3">
        <f>631.5+(262.4-204.7)+(-0.322065+(-0.133824--0.104397))+0-180.9--0.0922589999999816</f>
        <v>508.04076700000002</v>
      </c>
      <c r="K113" s="3">
        <f>643.2+(299.4-269.8)+(-3.28032+(-1.52694--1.37598))+0-186.9--0.953190000000014</f>
        <v>483.42190999999997</v>
      </c>
      <c r="L113" s="3">
        <f>680.4+(286.5-306.6)+(-2.082024+(-0.87669--0.938196))+0-171.4--0.52448400000002</f>
        <v>487.40396599999997</v>
      </c>
      <c r="M113" s="3">
        <f>672+(342.1-306.6)+(0.68544+(0.348942-0.312732))+0-190.7-0.19451400000003</f>
        <v>517.32713599999988</v>
      </c>
      <c r="N113" s="3">
        <f>668.6+(416.5-339.6)+(0.681972+(0.42483-0.346392))+0-179.8-0.183396000000029</f>
        <v>566.27701399999989</v>
      </c>
      <c r="O113" s="3">
        <f>679.3+(405.5-296.5)+(-0.692886+(-0.41361--0.30243))+0-203.1--0.207162000000032</f>
        <v>584.60309599999994</v>
      </c>
      <c r="P113" s="3">
        <f>706+(324-277)+(0.36006+(0.16524-0.14127))+0-180-0.0917999999999817</f>
        <v>573.29223000000002</v>
      </c>
      <c r="Q113" s="3">
        <f>704+(231-183.2)+(0.35904+(0.11781-0.093432))+0-160-0.0815999999999838</f>
        <v>592.10181799999998</v>
      </c>
      <c r="R113" s="3">
        <f>787.5+(199.3-165.6)+(0+(0-0))+0-190.5-0</f>
        <v>630.70000000000005</v>
      </c>
      <c r="S113" s="3">
        <f>804.5+(232.8-206.5)+(0.410295+(0.118728-0.105315))+0-202.4-0.103223999999979</f>
        <v>628.72048400000006</v>
      </c>
      <c r="T113" s="3">
        <f>797.8+(222.9-232)+(0.813756+(0.227358-0.23664))+0-182.2-0.185844000000029</f>
        <v>607.11863000000005</v>
      </c>
      <c r="U113" s="3">
        <f>792.4+(202.7-227.7)+(-1.212372+(-0.310131--0.348381))+0-146.6--0.224298000000008</f>
        <v>619.85017599999992</v>
      </c>
      <c r="V113" s="3">
        <f>789.3+(184.7-222.2)+(-0.402543+(-0.094197--0.113322))+0-109.7--0.0559469999999889</f>
        <v>641.77252899999985</v>
      </c>
      <c r="W113" s="3">
        <f>770.7+(177.8-221.7)+(-1.572228+(-0.362712--0.452268))+0-95.6--0.195023999999996</f>
        <v>629.91235200000006</v>
      </c>
      <c r="X113" s="3">
        <f>745+(353.2-390.4)+(-1.5198+(-0.720528--0.796416))+0-87.4--0.178295999999996</f>
        <v>619.13438400000007</v>
      </c>
      <c r="Y113" s="3">
        <f>762.1+(375.9-448.6)+(-1.166013+(-0.575127--0.686358))+0-77.8--0.119034000000004</f>
        <v>610.66425200000003</v>
      </c>
      <c r="Z113" s="3">
        <f>779.2+(199.9-270.7)+(0.397392+(0.101949-0.138057))+0-83.1-0.0423809999999916</f>
        <v>625.61890300000005</v>
      </c>
      <c r="AA113" s="3">
        <f>776+(198.1-220.9)+(-1.18728+(-0.303093--0.337977))+0-148.3--0.226899000000009</f>
        <v>603.97450300000014</v>
      </c>
      <c r="AB113" s="3">
        <f>784.9+(204.3-218.3)+(-0.400299+(-0.104193--0.111333))+0-196--0.0999599999999801</f>
        <v>574.60680100000002</v>
      </c>
      <c r="AC113" s="3">
        <f>783.3+(191.2-235.1)+(-0.798966+(-0.195024--0.239802))+0-180.5--0.184110000000029</f>
        <v>558.32992200000001</v>
      </c>
      <c r="AD113">
        <v>543.70000000000005</v>
      </c>
      <c r="AE113" s="3">
        <f>771+(204.7-216.9)+(0+(0-0))+0-215.1-0</f>
        <v>543.69999999999993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783.5+(195.3-230)+(-0.79917+(-0.199206--0.2346))+0-195.3--0.199206000000031</f>
        <v>552.93543</v>
      </c>
      <c r="G114" s="3">
        <f>781.8+(179.9-255.8)+(-2.392308+(-0.550494--0.782748))+0-166.2--0.508572000000019</f>
        <v>538.04851800000017</v>
      </c>
      <c r="H114" s="3">
        <f>791.3+(187.6-265.6)+(-0.403563+(-0.095676--0.135456))+0-181.3--0.0924629999999816</f>
        <v>531.72867999999994</v>
      </c>
      <c r="I114" s="3">
        <f>789.2+(198.1-287)+(-1.609968+(-0.404124--0.58548))+0-182.5--0.372299999999992</f>
        <v>516.74368800000002</v>
      </c>
      <c r="J114" s="3">
        <f>804+(198.2-316.8)+(0.41004+(0.101082-0.161568))+0-182-0.0928199999999815</f>
        <v>503.65673400000003</v>
      </c>
      <c r="K114" s="3">
        <f>802.6+(207.6-333.9)+(-0.409326+(-0.105876--0.170289))+0-185.2--0.0944519999999812</f>
        <v>490.84953900000005</v>
      </c>
      <c r="L114" s="3">
        <f>801.5+(290.5-422.8)+(-2.043825+(-0.740775--1.07814))+0-185.6--0.473279999999973</f>
        <v>482.36682000000002</v>
      </c>
      <c r="M114" s="3">
        <f>806.9+(329.7-421.3)+(0+(0-0))+0-190.2-0</f>
        <v>525.09999999999991</v>
      </c>
      <c r="N114" s="3">
        <f>807.7+(349.2-406.5)+(0+(0-0))+0-186.3-0</f>
        <v>564.10000000000014</v>
      </c>
      <c r="O114" s="3">
        <f>795+(362-369)+(0.40545+(0.18462-0.18819))+0-196.4-0.10016399999998</f>
        <v>591.90171600000008</v>
      </c>
      <c r="P114" s="3">
        <f>793+(275.1-275.7)+(-0.40443+(-0.140301--0.140607))+0-185.5--0.0946049999999812</f>
        <v>606.59048100000007</v>
      </c>
      <c r="Q114" s="3">
        <f>785.6+(209.2-161.1)+(0.801312+(0.213384-0.164322))+0-202.2-0.206244000000032</f>
        <v>632.14413000000002</v>
      </c>
      <c r="R114" s="3">
        <f>784.6+(208-163.4)+(1.600584+(0.42432-0.333336))+0-192.9-0.393515999999992</f>
        <v>637.59805200000005</v>
      </c>
      <c r="S114" s="3">
        <f>745.2+(278.2-191.5)+(-0.380052+(-0.141882--0.097665))+0-199.1--0.10154099999998</f>
        <v>632.47727200000008</v>
      </c>
      <c r="T114" s="3">
        <f>737+(268.4-221.8)+(-0.37587+(-0.136884--0.113118))+0-177.2--0.090371999999982</f>
        <v>606.09073599999999</v>
      </c>
      <c r="U114" s="3">
        <f>737.2+(259.8-216.2)+(-0.751944+(-0.264996--0.220524))+0-182.8--0.186456000000029</f>
        <v>597.39004000000011</v>
      </c>
      <c r="V114" s="3">
        <f>735.3+(235-175)+(-0.750006+(-0.2397--0.1785))+0-187--0.19074000000003</f>
        <v>607.67953399999999</v>
      </c>
      <c r="W114" s="3">
        <f>725.8+(222.6-154)+(-1.110474+(-0.340578--0.23562))+0-190.3--0.291159000000011</f>
        <v>603.17572699999994</v>
      </c>
      <c r="X114" s="3">
        <f>723.5+(360.1-310.1)+(-2.21391+(-1.101906--0.948906))+0-183.3--0.560898000000021</f>
        <v>588.39398800000015</v>
      </c>
      <c r="Y114" s="3">
        <f>728.5+(409.4-363.5)+(-0.74307+(-0.417588--0.37077))+0-192.7--0.196554000000031</f>
        <v>581.10666600000002</v>
      </c>
      <c r="Z114" s="3">
        <f>739.4+(247.6-169.2)+(1.131282+(0.378828-0.258876))+0-208.7-0.319311000000012</f>
        <v>610.03192300000001</v>
      </c>
      <c r="AA114" s="3">
        <f>741.2+(232.3-157.2)+(-1.134036+(-0.355419--0.240516))+0-211.9--0.324207000000012</f>
        <v>603.47526800000014</v>
      </c>
      <c r="AB114" s="3">
        <f>751.9+(214.1-200.3)+(0.766938+(0.218382-0.204306))+0-181.4-0.185028000000029</f>
        <v>584.89598599999999</v>
      </c>
      <c r="AC114" s="3">
        <f>745.5+(213.5-203.1)+(-1.52082+(-0.43554--0.414324))+0-177--0.361079999999992</f>
        <v>577.71904399999994</v>
      </c>
      <c r="AD114">
        <v>601.19999999999993</v>
      </c>
      <c r="AE114" s="3">
        <f>744+(232.8-153.5)+(0+(0-0))+0-222.1-0</f>
        <v>601.19999999999993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755.5+(216.6-208.7)+(0+(0-0))+0-199.1-0</f>
        <v>564.29999999999995</v>
      </c>
      <c r="G115" s="3">
        <f>754.6+(207.2-218.2)+(0+(0-0))+0-198.3-0</f>
        <v>545.29999999999995</v>
      </c>
      <c r="H115" s="3">
        <f>758.7+(205.4-228.7)+(-1.160811+(-0.314262--0.349911))+0-202.4--0.309672000000012</f>
        <v>532.18451000000005</v>
      </c>
      <c r="I115" s="3">
        <f>756.5+(204.1-238.1)+(-1.54326+(-0.416364--0.485724))+0-202.4--0.412895999999991</f>
        <v>519.03899600000011</v>
      </c>
      <c r="J115" s="3">
        <f>755.6+(200.4-243.4)+(-1.156068+(-0.306612--0.372402))+0-196.2--0.300186000000011</f>
        <v>515.60990800000002</v>
      </c>
      <c r="K115" s="3">
        <f>754+(220.6-296.4)+(-2.69178+(-0.787542--1.058148))+0-183.4--0.654738000000003</f>
        <v>493.03356400000013</v>
      </c>
      <c r="L115" s="3">
        <f>756.9+(244.8-335.4)+(-2.702133+(-0.873936--1.197378))+0-175.5--0.626535000000003</f>
        <v>489.04784399999994</v>
      </c>
      <c r="M115" s="3">
        <f>767.4+(229.8-290.4)+(0.782748+(0.234396-0.296208))+0-178.3-0.181866000000028</f>
        <v>529.03906999999992</v>
      </c>
      <c r="N115" s="3">
        <f>765.6+(279.5-293.7)+(1.171368+(0.427635-0.449361))+0-185-0.283050000000011</f>
        <v>567.26659200000006</v>
      </c>
      <c r="O115" s="3">
        <f>756+(191-183.8)+(0+(0-0))+0-182.5-0</f>
        <v>580.70000000000005</v>
      </c>
      <c r="P115" s="3">
        <f>758.5+(155.9-143.7)+(0+(0-0))+0-167.3-0</f>
        <v>603.40000000000009</v>
      </c>
      <c r="Q115" s="3">
        <f>788.7+(154.3-142.6)+(-1.206711+(-0.236079--0.218178))+0-156--0.238680000000009</f>
        <v>643.41406800000016</v>
      </c>
      <c r="R115" s="3">
        <f>785.7+(242.9-215.4)+(-1.202121+(-0.371637--0.329562))+0-156--0.238680000000009</f>
        <v>656.1944840000001</v>
      </c>
      <c r="S115" s="3">
        <f>773.2+(281.1-244.1)+(-0.788664+(-0.286722--0.248982))+0-150--0.153000000000024</f>
        <v>659.52659600000004</v>
      </c>
      <c r="T115" s="3">
        <f>768.7+(283.1-269.1)+(-1.568148+(-0.577524--0.548964))+0-160--0.326399999999993</f>
        <v>621.42969200000005</v>
      </c>
      <c r="U115" s="3">
        <f>765.6+(264.4-264.3)+(-1.95228+(-0.67422--0.673965))+0-150--0.382499999999978</f>
        <v>614.12996499999997</v>
      </c>
      <c r="V115" s="3">
        <f>757.8+(215.1-208.2)+(-2.318868+(-0.658206--0.637092))+0-160--0.489600000000018</f>
        <v>602.84961799999996</v>
      </c>
      <c r="W115" s="3">
        <f>716.9+(151.6-86.5)+(-2.193714+(-0.463896--0.26469))+0-155--0.474300000000018</f>
        <v>625.08137999999997</v>
      </c>
      <c r="X115" s="3">
        <f>743.2+(250.2-223.4)+(-2.274192+(-0.765612--0.683604))+0-165--0.504900000000019</f>
        <v>603.14870000000008</v>
      </c>
      <c r="Y115" s="3">
        <f>744.3+(280.6-265.7)+(-1.897965+(-0.71553--0.677535))+0-155--0.395249999999978</f>
        <v>602.65929000000006</v>
      </c>
      <c r="Z115" s="3">
        <f>758.8+(173.4-145.1)+(0+(0-0))+0-156-0</f>
        <v>631.09999999999991</v>
      </c>
      <c r="AA115" s="3">
        <f>773.2+(152.6-136.6)+(-1.97166+(-0.38913--0.34833))+0-156--0.397799999999977</f>
        <v>631.58533999999997</v>
      </c>
      <c r="AB115" s="3">
        <f>774.6+(160.5-155.5)+(-3.160368+(-0.65484--0.63444))+0-162--0.660959999999986</f>
        <v>615.08019200000001</v>
      </c>
      <c r="AC115" s="3">
        <f>787.6+(153.4-193.2)+(-0.401676+(-0.078234--0.098532))+0-161--0.0821099999999837</f>
        <v>586.50073199999997</v>
      </c>
      <c r="AD115">
        <v>616.9</v>
      </c>
      <c r="AE115" s="3">
        <f>771+(156.4-160.5)+(0+(0-0))+0-150-0</f>
        <v>616.9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786.3+(152.7-190.2)+(0+(0-0))+0-106-0</f>
        <v>642.79999999999995</v>
      </c>
      <c r="G116" s="3">
        <f>782.7+(134.4-190.6)+(0.399177+(0.068544-0.097206))+0-101-0.0515099999999898</f>
        <v>625.81900499999995</v>
      </c>
      <c r="H116" s="3">
        <f>777.8+(115.2-180.9)+(-0.396678+(-0.058752--0.092259))+0-111--0.0566099999999887</f>
        <v>600.79343899999992</v>
      </c>
      <c r="I116" s="3">
        <f>782.9+(122-211.6)+(-0.399279+(-0.06222--0.107916))+0-106--0.0540599999999892</f>
        <v>587.00047699999993</v>
      </c>
      <c r="J116" s="3">
        <f>790.3+(146-246.7)+(-1.209159+(-0.22338--0.377451))+0-108--0.165240000000006</f>
        <v>580.71015199999999</v>
      </c>
      <c r="K116" s="3">
        <f>789+(150-269.9)+(-2.01195+(-0.3825--0.688245))+0-109--0.277949999999984</f>
        <v>558.6717450000001</v>
      </c>
      <c r="L116" s="3">
        <f>794.2+(137-290.8)+(-0.810084+(-0.13974--0.296616))+0-97--0.0989400000000155</f>
        <v>542.84573200000011</v>
      </c>
      <c r="M116" s="3">
        <f>798.5+(151-267.1)+(0.407235+(0.07701-0.136221))+0-99-0.05048999999999</f>
        <v>583.69753400000002</v>
      </c>
      <c r="N116" s="3">
        <f>801.5+(163-239.3)+(0.408765+(0.08313-0.122043))+0-101-0.0515099999999898</f>
        <v>624.51834200000008</v>
      </c>
      <c r="O116" s="3">
        <f>793.1+(183-201.1)+(-0.808962+(-0.18666--0.205122))+0-106--0.108120000000017</f>
        <v>668.31762000000003</v>
      </c>
      <c r="P116" s="3">
        <f>792+(149.4-154.1)+(0+(0-0))+0-108-0</f>
        <v>679.3</v>
      </c>
      <c r="Q116" s="3">
        <f>790+(158-144.2)+(0.8058+(0.16116-0.147084))+0-106-0.108120000000017</f>
        <v>698.51175599999999</v>
      </c>
      <c r="R116" s="3">
        <f>790.3+(267.9-239.8)+(0+(0-0))+0-114-0</f>
        <v>704.39999999999986</v>
      </c>
      <c r="S116" s="3">
        <f>784.4+(316.4-309.7)+(-1.600176+(-0.645456--0.631788))+0-109--0.222359999999995</f>
        <v>680.70851599999992</v>
      </c>
      <c r="T116" s="3">
        <f>765.5+(358.8-344.1)+(-1.56162+(-0.731952--0.701964))+0-106--0.216239999999995</f>
        <v>672.82463200000007</v>
      </c>
      <c r="U116" s="3">
        <f>746.9+(355.8-332.3)+(-1.904595+(-0.90729--0.847365))+0-111--0.283049999999984</f>
        <v>657.71852999999999</v>
      </c>
      <c r="V116" s="3">
        <f>730.3+(311.9-268.9)+(-1.489812+(-0.636276--0.548556))+0-117--0.238679999999995</f>
        <v>654.96114799999998</v>
      </c>
      <c r="W116" s="3">
        <f>729.1+(177.2-134.7)+(-1.859205+(-0.45186--0.343485))+0-120--0.305999999999983</f>
        <v>649.93841999999995</v>
      </c>
      <c r="X116" s="3">
        <f>728.8+(206.3-184.5)+(-2.973504+(-0.841704--0.75276))+0-118--0.48143999999999</f>
        <v>630.01899199999991</v>
      </c>
      <c r="Y116" s="3">
        <f>736.2+(252.8-243.4)+(-2.252772+(-0.773568--0.744804))+0-122--0.373320000000014</f>
        <v>621.6917840000001</v>
      </c>
      <c r="Z116" s="3">
        <f>768.7+(147.5-159.2)+(-0.392037+(-0.075225--0.081192))+0-116--0.0591599999999882</f>
        <v>640.67309</v>
      </c>
      <c r="AA116" s="3">
        <f>777+(128.1-142.7)+(-2.37762+(-0.391986--0.436662))+0-114--0.348840000000013</f>
        <v>646.41589599999998</v>
      </c>
      <c r="AB116" s="3">
        <f>779.8+(142.7-177.3)+(-1.590792+(-0.291108--0.361692))+0-111--0.226439999999995</f>
        <v>632.90623199999993</v>
      </c>
      <c r="AC116" s="3">
        <f>783.9+(165.6-200.1)+(0.399789+(0.084456-0.102051))+0-125-0.0637499999999873</f>
        <v>624.71844399999998</v>
      </c>
      <c r="AD116">
        <v>616.69999999999993</v>
      </c>
      <c r="AE116" s="3">
        <f>770+(132.8-176.1)+(0+(0-0))+0-110-0</f>
        <v>616.70000000000005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755+(203.5-223.5)+(0.38505+(0.103785-0.113985))+0-117-0.0596699999999881</f>
        <v>618.31518000000005</v>
      </c>
      <c r="G117" s="3">
        <f>751.3+(234.2-255.1)+(-0.766326+(-0.238884--0.260202))+0-122--0.124440000000019</f>
        <v>607.77943200000004</v>
      </c>
      <c r="H117" s="3">
        <f>760.6+(207.6-252.6)+(-1.163718+(-0.317628--0.386478))+0-119--0.182070000000007</f>
        <v>595.68720199999996</v>
      </c>
      <c r="I117" s="3">
        <f>767.4+(171.3-249.8)+(-0.391374+(-0.087363--0.127398))+0-111--0.0566099999999887</f>
        <v>577.6052709999999</v>
      </c>
      <c r="J117" s="3">
        <f>776.2+(145.4-243.7)+(0.395862+(0.074154-0.124287))+0-102-0.0520199999999897</f>
        <v>576.19370900000013</v>
      </c>
      <c r="K117" s="3">
        <f>765.9+(118.9-215.4)+(-2.734263+(-0.424473--0.768978))+0-121--0.431970000000002</f>
        <v>546.44221199999993</v>
      </c>
      <c r="L117" s="3">
        <f>772.7+(85.2-228.7)+(-1.182231+(-0.130356--0.349911))+0-109--0.166770000000006</f>
        <v>519.4040940000001</v>
      </c>
      <c r="M117" s="3">
        <f>769.6+(86.7-226.5)+(-1.569984+(-0.176868--0.46206))+0-111--0.226439999999995</f>
        <v>517.74164799999994</v>
      </c>
      <c r="N117" s="3">
        <f>765.7+(93-214.1)+(-0.781014+(-0.09486--0.218382))+0-109--0.111180000000017</f>
        <v>535.05368799999997</v>
      </c>
      <c r="O117" s="3">
        <f>765.6+(129-214)+(0+(0-0))+0-124-0</f>
        <v>556.6</v>
      </c>
      <c r="P117" s="3">
        <f>753.9+(120-184)+(1.153467+(0.1836-0.28152))+0-115-0.175950000000007</f>
        <v>575.77959699999997</v>
      </c>
      <c r="Q117" s="3">
        <f>758.4+(130.9-186.6)+(0.773568+(0.133518-0.190332))+0-120-0.122400000000019</f>
        <v>583.29435400000011</v>
      </c>
      <c r="R117" s="3">
        <f>743.8+(174-202.1)+(-0.379338+(-0.08874--0.103071))+0-124--0.0632399999999874</f>
        <v>591.39823299999989</v>
      </c>
      <c r="S117" s="3">
        <f>736.6+(242.2-276.1)+(0.751332+(0.247044-0.281622))+0-117-0.119340000000019</f>
        <v>586.29741400000012</v>
      </c>
      <c r="T117" s="3">
        <f>737+(260.2-312.4)+(0+(0-0))+0-112-0</f>
        <v>572.79999999999995</v>
      </c>
      <c r="U117" s="3">
        <f>735.4+(273-325.4)+(-0.750108+(-0.27846--0.331908))+0-118--0.120360000000019</f>
        <v>564.42370000000005</v>
      </c>
      <c r="V117" s="3">
        <f>737.1+(237.7-287.1)+(-1.503684+(-0.484908--0.585684))+0-109--0.222359999999995</f>
        <v>577.519452</v>
      </c>
      <c r="W117" s="3">
        <f>740.1+(143.3-191.2)+(-0.377451+(-0.073083--0.097512))+0-115--0.0586499999999883</f>
        <v>576.90562799999998</v>
      </c>
      <c r="X117" s="3">
        <f>740.1+(215.1-277.2)+(-0.377451+(-0.109701--0.141372))+0-115--0.0586499999999883</f>
        <v>562.71286999999995</v>
      </c>
      <c r="Y117" s="3">
        <f>744.9+(275-350.6)+(-1.519596+(-0.561--0.715224))+0-100--0.203999999999996</f>
        <v>568.13862799999993</v>
      </c>
      <c r="Z117" s="3">
        <f>760.2+(112.5-161.9)+(-0.775404+(-0.11475--0.165138))+0-101--0.103020000000016</f>
        <v>609.1780040000001</v>
      </c>
      <c r="AA117" s="3">
        <f>787+(149.1-210.9)+(-1.20411+(-0.228123--0.322677))+0-113--0.172890000000007</f>
        <v>611.2633340000001</v>
      </c>
      <c r="AB117" s="3">
        <f>780.5+(152.5-206.3)+(-2.38833+(-0.46665--0.631278))+0-119--0.364140000000014</f>
        <v>605.84043800000006</v>
      </c>
      <c r="AC117" s="3">
        <f>778.9+(163.9-236.3)+(1.191717+(0.250767-0.361539))+0-107-0.163710000000006</f>
        <v>600.41723500000001</v>
      </c>
      <c r="AD117">
        <v>599.90000000000009</v>
      </c>
      <c r="AE117" s="3">
        <f>782+(149.7-223.8)+(0+(0-0))+0-108-0</f>
        <v>599.9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776.5+(139.8-245.4)+(-0.79203+(-0.142596--0.250308))+0-111--0.113220000000018</f>
        <v>559.32890200000008</v>
      </c>
      <c r="G118" s="3">
        <f>770.1+(136.6-250.1)+(-2.749257+(-0.487662--0.892857))+0-112--0.399840000000002</f>
        <v>542.65577800000005</v>
      </c>
      <c r="H118" s="3">
        <f>784.4+(115.5-255.6)+(0+(0-0))+0-119-0</f>
        <v>525.29999999999995</v>
      </c>
      <c r="I118" s="3">
        <f>792.9+(89.9-259.9)+(-0.404379+(-0.045849--0.132549))+0-105--0.0535499999999893</f>
        <v>517.63587099999995</v>
      </c>
      <c r="J118" s="3">
        <f>794+(75.1-249.9)+(0+(0-0))+0-108-0</f>
        <v>511.20000000000005</v>
      </c>
      <c r="K118" s="3">
        <f>718.1+(74.3-185.6)+(0.366231+(0.037893-0.094656))+0-118-0.060179999999988</f>
        <v>489.0492880000001</v>
      </c>
      <c r="L118" s="3">
        <f>711.2+(89.2-197.9)+(-1.450848+(-0.181968--0.403716))+0-103--0.210119999999996</f>
        <v>498.48102</v>
      </c>
      <c r="M118" s="3">
        <f>727.4+(109.3-192.5)+(0+(0-0))+0-106-0</f>
        <v>538.19999999999993</v>
      </c>
      <c r="N118" s="3">
        <f>772.3+(108.1-195.9)+(-0.393873+(-0.055131--0.099909))+0-110--0.0560999999999888</f>
        <v>574.20700499999998</v>
      </c>
      <c r="O118" s="3">
        <f>755+(157.3-191.7)+(0+(0-0))+0-111-0</f>
        <v>609.6</v>
      </c>
      <c r="P118" s="3">
        <f>750.9+(140.8-159.3)+(0+(0-0))+0-108-0</f>
        <v>624.4</v>
      </c>
      <c r="Q118" s="3">
        <f>752+(146.7-140.9)+(0.38352+(0.074817-0.071859))+0-116-0.0591599999999882</f>
        <v>642.12731799999995</v>
      </c>
      <c r="R118" s="3">
        <f>751.1+(237-254.1)+(0+(0-0))+0-95-0</f>
        <v>639</v>
      </c>
      <c r="S118" s="3">
        <f>750+(326.4-332.7)+(0+(0-0))+0-98-0</f>
        <v>645.70000000000005</v>
      </c>
      <c r="T118" s="3">
        <f>748.7+(352.7-373.5)+(-0.763674+(-0.359754--0.38097))+0-107--0.109140000000017</f>
        <v>620.26668200000006</v>
      </c>
      <c r="U118" s="3">
        <f>746.1+(337.8-359.1)+(-0.761022+(-0.344556--0.366282))+0-110--0.112200000000018</f>
        <v>614.17290400000002</v>
      </c>
      <c r="V118" s="3">
        <f>754.1+(302.7-313.4)+(0+(0-0))+0-122-0</f>
        <v>621.40000000000009</v>
      </c>
      <c r="W118" s="3">
        <f>751.9+(160.2-191.2)+(-0.383469+(-0.081702--0.097512))+0-109--0.0555899999999889</f>
        <v>611.58793099999991</v>
      </c>
      <c r="X118" s="3">
        <f>744.6+(141.2-161.6)+(-0.759492+(-0.144024--0.164832))+0-120--0.122400000000019</f>
        <v>603.58371599999998</v>
      </c>
      <c r="Y118" s="3">
        <f>749.7+(201.6-236.1)+(-0.382347+(-0.102816--0.120411))+0-125--0.0637499999999873</f>
        <v>589.89899800000012</v>
      </c>
      <c r="Z118" s="3">
        <f>758.8+(119.5-159)+(0.386988+(0.060945-0.08109))+0-112-0.0571199999999886</f>
        <v>607.60972300000003</v>
      </c>
      <c r="AA118" s="3">
        <f>802.2+(135-219)+(-2.454732+(-0.4131--0.67014))+0-112--0.342720000000013</f>
        <v>604.34502800000007</v>
      </c>
      <c r="AB118" s="3">
        <f>811.4+(124.5-253.5)+(-1.241442+(-0.190485--0.387855))+0-96--0.146880000000006</f>
        <v>585.50280799999996</v>
      </c>
      <c r="AC118" s="3">
        <f>784.8+(150.5-254.4)+(-0.800496+(-0.15351--0.259488))+0-103--0.105060000000016</f>
        <v>577.31054199999994</v>
      </c>
      <c r="AD118">
        <v>553.5</v>
      </c>
      <c r="AE118" s="3">
        <f>791+(129.7-252.2)+(0+(0-0))+0-115-0</f>
        <v>553.5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792.1+(149.6-262.2)+(-0.807942+(-0.152592--0.267444))+0-100--0.102000000000016</f>
        <v>578.90890999999999</v>
      </c>
      <c r="G119" s="3">
        <f>786.8+(141-253.3)+(-1.605072+(-0.28764--0.516732))+0-108--0.220319999999995</f>
        <v>565.34433999999999</v>
      </c>
      <c r="H119" s="3">
        <f>794.1+(106.1-238)+(-1.214973+(-0.162333--0.36414))+0-103--0.157590000000006</f>
        <v>558.34442400000012</v>
      </c>
      <c r="I119" s="3">
        <f>792.7+(89.8-225.2)+(-0.808554+(-0.091596--0.229704))+0-109--0.111180000000017</f>
        <v>547.74073400000009</v>
      </c>
      <c r="J119" s="3">
        <f>795.5+(74.2-222.8)+(-2.028525+(-0.18921--0.56814))+0-104--0.265199999999985</f>
        <v>541.51560499999994</v>
      </c>
      <c r="K119" s="3">
        <f>786.7+(110.4-266.3)+(-2.006085+(-0.28152--0.679065))+0-119--0.303449999999983</f>
        <v>510.49491000000012</v>
      </c>
      <c r="L119" s="3">
        <f>782.2+(115.2-310.1)+(-2.393532+(-0.352512--0.948906))+0-115--0.351900000000013</f>
        <v>470.85476199999994</v>
      </c>
      <c r="M119" s="3">
        <f>782.4+(99-305.4)+(-0.399024+(-0.05049--0.155754))+0-104--0.0530399999999895</f>
        <v>471.75927999999999</v>
      </c>
      <c r="N119" s="3">
        <f>748.4+(158.1-288.4)+(-0.381684+(-0.080631--0.147084))+0-113--0.0576299999999885</f>
        <v>504.84239899999994</v>
      </c>
      <c r="O119" s="3">
        <f>736.1+(162.6-275.4)+(-0.375411+(-0.082926--0.140454))+0-104--0.0530399999999895</f>
        <v>519.03515700000003</v>
      </c>
      <c r="P119" s="3">
        <f>739.2+(148.9-241.4)+(0+(0-0))+0-123-0</f>
        <v>523.70000000000005</v>
      </c>
      <c r="Q119" s="3">
        <f>736.1+(89.1-181.1)+(-0.375411+(-0.045441--0.092361))+0-103--0.0525299999999896</f>
        <v>540.82403899999997</v>
      </c>
      <c r="R119" s="3">
        <f>736.1+(142.8-212.2)+(-1.126233+(-0.218484--0.324666))+0-126--0.192780000000007</f>
        <v>539.87272900000005</v>
      </c>
      <c r="S119" s="3">
        <f>734.2+(187-266.9)+(-0.748884+(-0.19074--0.272238))+0-119--0.121380000000019</f>
        <v>534.75399400000015</v>
      </c>
      <c r="T119" s="3">
        <f>741+(192.3-298.1)+(-0.75582+(-0.196146--0.304062))+0-103--0.105060000000016</f>
        <v>531.65715599999999</v>
      </c>
      <c r="U119" s="3">
        <f>739.8+(194.8-268.5)+(-0.377298+(-0.099348--0.136935))+0-125--0.0637499999999873</f>
        <v>540.82403899999997</v>
      </c>
      <c r="V119" s="3">
        <f>737.4+(164.9-240)+(-1.504296+(-0.336396--0.4896))+0-117--0.238679999999995</f>
        <v>544.18758800000001</v>
      </c>
      <c r="W119" s="3">
        <f>729.7+(117.1-180.3)+(-2.232882+(-0.358326--0.551718))+0-115--0.351900000000013</f>
        <v>549.81241</v>
      </c>
      <c r="X119" s="3">
        <f>730.3+(184.6-250.9)+(-1.489812+(-0.376584--0.511836))+0-124--0.252959999999995</f>
        <v>538.89840000000004</v>
      </c>
      <c r="Y119" s="3">
        <f>714.9+(250.3-315.5)+(-0.364599+(-0.127653--0.160905))+0-118--0.060179999999988</f>
        <v>531.42883299999994</v>
      </c>
      <c r="Z119" s="3">
        <f>715.4+(149.9-172.8)+(-0.364854+(-0.076449--0.088128))+0-120--0.0611999999999878</f>
        <v>572.20802500000002</v>
      </c>
      <c r="AA119" s="3">
        <f>720.9+(121.5-153.9)+(-1.470636+(-0.24786--0.313956))+0-115--0.234599999999995</f>
        <v>572.33006</v>
      </c>
      <c r="AB119" s="3">
        <f>723.2+(129.1-159)+(-1.475328+(-0.263364--0.32436))+0-128--0.261119999999994</f>
        <v>564.14678800000013</v>
      </c>
      <c r="AC119" s="3">
        <f>744.9+(121.3-206.9)+(-1.139697+(-0.185589--0.316557))+0-109--0.166770000000006</f>
        <v>549.45804099999998</v>
      </c>
      <c r="AD119">
        <v>593.9</v>
      </c>
      <c r="AE119" s="3">
        <f>718+(126.8-147.9)+(0+(0-0))+0-103-0</f>
        <v>593.9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742.7+(135.4-229.1)+(-1.893885+(-0.34527--0.584205))+0-113--0.288149999999984</f>
        <v>534.63319999999999</v>
      </c>
      <c r="G120" s="3">
        <f>739.1+(117.7-218.6)+(-2.638587+(-0.420189--0.780402))+0-107--0.381990000000002</f>
        <v>529.30361600000003</v>
      </c>
      <c r="H120" s="3">
        <f>746.7+(97.6-205.8)+(0+(0-0))+0-110-0</f>
        <v>528.5</v>
      </c>
      <c r="I120" s="3">
        <f>729.2+(102.8-196.7)+(-3.347028+(-0.471852--0.902853))+0-112--0.514080000000019</f>
        <v>520.89805300000012</v>
      </c>
      <c r="J120" s="3">
        <f>739.5+(128.3-236.2)+(-0.75429+(-0.130866--0.240924))+0-124--0.12648000000002</f>
        <v>507.08224800000005</v>
      </c>
      <c r="K120" s="3">
        <f>734.8+(158.4-293.9)+(-3.372732+(-0.727056--1.349001))+0-102--0.468180000000018</f>
        <v>495.01739300000003</v>
      </c>
      <c r="L120" s="3">
        <f>748.5+(186.8-318.1)+(-3.05388+(-0.762144--1.297848))+0-124--0.505919999999989</f>
        <v>491.18774400000001</v>
      </c>
      <c r="M120" s="3">
        <f>765.1+(205.6-316.5)+(0.390201+(0.104856-0.161415))+0-105-0.0535499999999893</f>
        <v>549.48009200000013</v>
      </c>
      <c r="N120" s="3">
        <f>755+(248.6-294.8)+(0+(0-0))+0-115-0</f>
        <v>593.79999999999995</v>
      </c>
      <c r="O120" s="3">
        <f>760+(292.2-318)+(0+(0-0))+0-117-0</f>
        <v>617.20000000000005</v>
      </c>
      <c r="P120" s="3">
        <f>756.4+(234.1-225.7)+(0.385764+(0.119391-0.115107))+0-178.7-0.0911369999999819</f>
        <v>586.39891099999988</v>
      </c>
      <c r="Q120" s="3">
        <f>750.3+(184.5-145.4)+(0.382653+(0.094095-0.074154))+0-184.5-0.0940949999999813</f>
        <v>605.20849900000007</v>
      </c>
      <c r="R120" s="3">
        <f>742+(209.2-157.3)+(0+(0-0))+0-195.6-0</f>
        <v>598.29999999999995</v>
      </c>
      <c r="S120" s="3">
        <f>772.7+(282.9-257.5)+(-0.394077+(-0.144279--0.131325))+0-195.6--0.0997559999999802</f>
        <v>602.192725</v>
      </c>
      <c r="T120" s="3">
        <f>768+(297.3-288.1)+(-0.39168+(-0.151623--0.146931))+0-195.6--0.0997559999999802</f>
        <v>581.30338399999994</v>
      </c>
      <c r="U120" s="3">
        <f>755+(310.5-327.8)+(-0.7701+(-0.31671--0.334356))+0-174.1--0.177582000000028</f>
        <v>563.02512800000011</v>
      </c>
      <c r="V120" s="3">
        <f>758.8+(268.5-266.3)+(0.386988+(0.136935-0.135813))+0-189.1-0.0964409999999808</f>
        <v>572.19166899999993</v>
      </c>
      <c r="W120" s="3">
        <f>738.8+(142.7-129.6)+(-0.376788+(-0.072777--0.066096))+0-193.9--0.0988889999999803</f>
        <v>557.71541999999999</v>
      </c>
      <c r="X120" s="3">
        <f>720.8+(263.1-231.5)+(-1.83804+(-0.670905--0.590325))+0-194.9--0.496994999999972</f>
        <v>556.07837499999994</v>
      </c>
      <c r="Y120" s="3">
        <f>726.7+(303.6-315.4)+(-1.853085+(-0.77418--0.80427))+0-162.5--0.414374999999976</f>
        <v>550.99138000000005</v>
      </c>
      <c r="Z120" s="3">
        <f>738.9+(186.8-163.1)+(0.753678+(0.190536-0.166362))+0-179.4-0.182988000000029</f>
        <v>583.79486400000008</v>
      </c>
      <c r="AA120" s="3">
        <f>734.2+(162.8-118.5)+(-0.748884+(-0.166056--0.12087))+0-196.9--0.200838000000031</f>
        <v>581.00676799999997</v>
      </c>
      <c r="AB120" s="3">
        <f>738.4+(169.6-144.1)+(-0.376584+(-0.086496--0.073491))+0-204.9--0.104498999999979</f>
        <v>558.71491000000003</v>
      </c>
      <c r="AC120" s="3">
        <f>740.6+(175.6-175.8)+(0+(0-0))+0-199.3-0</f>
        <v>541.09999999999991</v>
      </c>
      <c r="AD120">
        <v>562.99999999999989</v>
      </c>
      <c r="AE120" s="3">
        <f>736+(165.8-135.2)+(0+(0-0))+0-203.6-0</f>
        <v>563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745.4+(155.9-204.6)+(-2.280924+(-0.477054--0.626076))+0-151.1--0.462366000000017</f>
        <v>543.93046400000003</v>
      </c>
      <c r="G121" s="3">
        <f>761.1+(132-237.5)+(-0.388161+(-0.06732--0.121125))+0-113.3--0.0577829999999885</f>
        <v>542.02342700000008</v>
      </c>
      <c r="H121" s="3">
        <f>765.5+(110.1-238.1)+(-0.78081+(-0.112302--0.242862))+0-101.8--0.103836000000016</f>
        <v>535.15358600000002</v>
      </c>
      <c r="I121" s="3">
        <f>754.6+(90.1-227.6)+(-1.154538+(-0.137853--0.348228))+0-85.1--0.130203000000005</f>
        <v>531.18604000000005</v>
      </c>
      <c r="J121" s="3">
        <f>752.7+(93.5-225)+(-1.919385+(-0.238425--0.57375))+0-97.5--0.248624999999986</f>
        <v>522.36456499999997</v>
      </c>
      <c r="K121" s="3">
        <f>753.4+(169.2-304.8)+(-1.536936+(-0.345168--0.621792))+0-93.3--0.190331999999996</f>
        <v>523.43002000000001</v>
      </c>
      <c r="L121" s="3">
        <f>753.7+(209.5-338.7)+(-1.153161+(-0.320535--0.518211))+0-136.1--0.208233000000008</f>
        <v>487.65274800000003</v>
      </c>
      <c r="M121" s="3">
        <f>755.9+(237.7-319.8)+(-0.385509+(-0.121227--0.163098))+0-158.9--0.0810389999999839</f>
        <v>514.63740099999995</v>
      </c>
      <c r="N121" s="3">
        <f>753.9+(272-326.4)+(0.768978+(0.27744-0.332928))+0-164.5-0.167790000000026</f>
        <v>535.5456999999999</v>
      </c>
      <c r="O121" s="3">
        <f>751.3+(293.1-313.4)+(0+(0-0))+0-171-0</f>
        <v>560</v>
      </c>
      <c r="P121" s="3">
        <f>751.4+(226-243.3)+(0.766428+(0.23052-0.248166))+0-168.6-0.171972000000027</f>
        <v>566.07680999999991</v>
      </c>
      <c r="Q121" s="3">
        <f>747.4+(157.8-129.9)+(0.762348+(0.160956-0.132498))+0-182.8-0.186456000000029</f>
        <v>593.10434999999995</v>
      </c>
      <c r="R121" s="3">
        <f>746.1+(232.2-191)+(0+(0-0))+0-174.3-0</f>
        <v>613</v>
      </c>
      <c r="S121" s="3">
        <f>758.2+(327.6-287)+(-0.773364+(-0.334152--0.29274))+0-171.4--0.174828000000027</f>
        <v>626.76005200000009</v>
      </c>
      <c r="T121" s="3">
        <f>759.7+(362.3-351.2)+(0.387447+(0.184773-0.179112))+0-184.2-0.0939419999999813</f>
        <v>586.89916600000015</v>
      </c>
      <c r="U121" s="3">
        <f>758.3+(359.6-353)+(-1.160199+(-0.550188--0.54009))+0-178.7--0.27341100000001</f>
        <v>585.30311399999994</v>
      </c>
      <c r="V121" s="3">
        <f>748.4+(291.2-289.4)+(-1.526736+(-0.594048--0.590376))+0-172.8--0.352511999999993</f>
        <v>576.22210400000006</v>
      </c>
      <c r="W121" s="3">
        <f>725.8+(146.8-132.5)+(0+(0-0))+0-155.7-0</f>
        <v>584.39999999999986</v>
      </c>
      <c r="X121" s="3">
        <f>709+(254.8-228.7)+(-0.72318+(-0.259896--0.233274))+0-155.2--0.158304000000025</f>
        <v>579.30850200000009</v>
      </c>
      <c r="Y121" s="3">
        <f>724.2+(286.5-261.8)+(-1.108026+(-0.438345--0.400554))+0-172.1--0.26331300000001</f>
        <v>575.91749600000014</v>
      </c>
      <c r="Z121" s="3">
        <f>733+(181.3-124.8)+(0+(0-0))+0-189.3-0</f>
        <v>600.20000000000005</v>
      </c>
      <c r="AA121" s="3">
        <f>738.3+(146.1-107.2)+(0+(0-0))+0-182.7-0</f>
        <v>594.5</v>
      </c>
      <c r="AB121" s="3">
        <f>733.5+(154.1-129.7)+(-1.49634+(-0.314364--0.264588))+0-181.1--0.369443999999992</f>
        <v>575.62332800000001</v>
      </c>
      <c r="AC121" s="3">
        <f>736.6+(161.9-165.3)+(0+(0-0))+0-176.1-0</f>
        <v>557.1</v>
      </c>
      <c r="AD121">
        <v>570</v>
      </c>
      <c r="AE121" s="3">
        <f>740+(135.4-151.1)+(0+(0-0))+0-154.3-0</f>
        <v>570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736.2+(157.2-160.8)+(-1.126386+(-0.240516--0.246024))+0-179.7--0.27494100000001</f>
        <v>552.05406300000016</v>
      </c>
      <c r="G122" s="3">
        <f>738.7+(136.2-174.2)+(-0.753474+(-0.138924--0.177684))+0-168.4--0.171768000000027</f>
        <v>531.75705400000015</v>
      </c>
      <c r="H122" s="3">
        <f>743.8+(128.6-171.5)+(-1.517352+(-0.262344--0.34986))+0-177.4--0.361895999999992</f>
        <v>522.43205999999998</v>
      </c>
      <c r="I122" s="3">
        <f>746.6+(140.7-208.5)+(-1.142298+(-0.215271--0.319005))+0-172.9--0.26453700000001</f>
        <v>505.12597300000004</v>
      </c>
      <c r="J122" s="3">
        <f>746.7+(141.8-202.7)+(-1.523268+(-0.289272--0.413508))+0-183.2--0.373727999999992</f>
        <v>501.57469600000002</v>
      </c>
      <c r="K122" s="3">
        <f>747.3+(124.9-217.4)+(-1.524492+(-0.254796--0.443496))+0-176.5--0.360059999999992</f>
        <v>477.32426799999996</v>
      </c>
      <c r="L122" s="3">
        <f>755.4+(171.3-270.3)+(-2.696778+(-0.611541--0.964971))+0-167.9--0.599403000000002</f>
        <v>486.756055</v>
      </c>
      <c r="M122" s="3">
        <f>766.6+(169.6-241.3)+(0+(0-0))+0-168.3-0</f>
        <v>526.59999999999991</v>
      </c>
      <c r="N122" s="3">
        <f>770.9+(186.5-226.9)+(0+(0-0))+0-173.1-0</f>
        <v>557.4</v>
      </c>
      <c r="O122" s="3">
        <f>768.3+(203.8-199.7)+(0+(0-0))+0-179.3-0</f>
        <v>593.09999999999991</v>
      </c>
      <c r="P122" s="3">
        <f>766.9+(181.7-168.1)+(0.782238+(0.185334-0.171462))+0-169.7-0.173094000000027</f>
        <v>611.42301599999996</v>
      </c>
      <c r="Q122" s="3">
        <f>763.9+(172.8-129.3)+(0.389589+(0.088128-0.065943))+0-176.4-0.0899639999999821</f>
        <v>631.32181000000003</v>
      </c>
      <c r="R122" s="3">
        <f>741.9+(207.2-153)+(0.756738+(0.211344-0.15606))+0-156-0.159120000000025</f>
        <v>640.75290199999984</v>
      </c>
      <c r="S122" s="3">
        <f>734.7+(255.8-206)+(-0.374697+(-0.130458--0.10506))+0-159.6--0.0813959999999838</f>
        <v>624.58130099999994</v>
      </c>
      <c r="T122" s="3">
        <f>732.7+(250.3-206.4)+(0.373677+(0.127653-0.105264))+0-177.3-0.090422999999982</f>
        <v>599.60564299999999</v>
      </c>
      <c r="U122" s="3">
        <f>726.9+(247.7-221)+(-1.853595+(-0.631635--0.56355))+0-161.7--0.412334999999977</f>
        <v>590.39065499999992</v>
      </c>
      <c r="V122" s="3">
        <f>722.9+(218.3-171.4)+(-1.474716+(-0.445332--0.349656))+0-180.6--0.368423999999992</f>
        <v>587.99803199999997</v>
      </c>
      <c r="W122" s="3">
        <f>703.5+(206.2-136.7)+(-2.87028+(-0.841296--0.557736))+0-168.1--0.685847999999985</f>
        <v>602.432008</v>
      </c>
      <c r="X122" s="3">
        <f>705.2+(285.2-222.5)+(-2.517564+(-1.018164--0.794325))+0-175.6--0.626892000000002</f>
        <v>590.18548900000008</v>
      </c>
      <c r="Y122" s="3">
        <f>725.7+(287.4-253.8)+(-0.740214+(-0.293148--0.258876))+0-176.1--0.179622000000028</f>
        <v>582.6051359999999</v>
      </c>
      <c r="Z122" s="3">
        <f>724.2+(213.6-146)+(-0.369342+(-0.108936--0.07446))+0-179.5--0.0915449999999818</f>
        <v>611.98772700000006</v>
      </c>
      <c r="AA122" s="3">
        <f>731.3+(194-138)+(-1.491852+(-0.39576--0.28152))+0-185.6--0.378623999999992</f>
        <v>600.47253199999989</v>
      </c>
      <c r="AB122" s="3">
        <f>743.2+(190.6-150.1)+(-1.89516+(-0.48603--0.382755))+0-192.2--0.490109999999972</f>
        <v>589.99167499999999</v>
      </c>
      <c r="AC122" s="3">
        <f>754.7+(178-176.4)+(0.384897+(0.09078-0.089964))+0-184.6-0.0941459999999813</f>
        <v>571.99156700000003</v>
      </c>
      <c r="AD122">
        <v>612.20000000000005</v>
      </c>
      <c r="AE122" s="3">
        <f>729+(192.7-145.4)+(0+(0-0))+0-164.1-0</f>
        <v>612.19999999999993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744.5+(183.5-202)+(-0.379695+(-0.093585--0.10302))+0-184.8--0.0942479999999813</f>
        <v>540.92398799999989</v>
      </c>
      <c r="G123" s="3">
        <f>746.7+(176.4-212.7)+(-0.761634+(-0.179928--0.216954))+0-184.8--0.188496000000029</f>
        <v>525.06388800000013</v>
      </c>
      <c r="H123" s="3">
        <f>749.5+(171.8-227.9)+(-0.382245+(-0.087618--0.116229))+0-184.2--0.0939419999999813</f>
        <v>508.9403079999999</v>
      </c>
      <c r="I123" s="3">
        <f>746.9+(163.3-232.2)+(-2.285514+(-0.499698--0.710532))+0-176.4--0.53978400000002</f>
        <v>500.06510400000008</v>
      </c>
      <c r="J123" s="3">
        <f>758.7+(157.9-243.4)+(-1.934685+(-0.402645--0.62067))+0-178--0.453899999999974</f>
        <v>493.93723999999997</v>
      </c>
      <c r="K123" s="3">
        <f>754.1+(150.9-253.8)+(-2.692137+(-0.538713--0.906066))+0-179.5--0.640815000000003</f>
        <v>470.016031</v>
      </c>
      <c r="L123" s="3">
        <f>775.1+(183.5-310.3)+(-2.767107+(-0.655095--1.107771))+0-173.1--0.617967000000002</f>
        <v>473.50353599999994</v>
      </c>
      <c r="M123" s="3">
        <f>773.1+(201.5-296.7)+(-0.394281+(-0.102765--0.151317))+0-160.5--0.0818549999999837</f>
        <v>517.1361260000001</v>
      </c>
      <c r="N123" s="3">
        <f>765.5+(203.1-268.2)+(0.78081+(0.207162-0.273564))+0-179.5-0.183090000000029</f>
        <v>521.43131800000003</v>
      </c>
      <c r="O123" s="3">
        <f>770+(265-320.1)+(0.7854+(0.2703-0.326502))+0-163-0.166260000000026</f>
        <v>552.46293799999989</v>
      </c>
      <c r="P123" s="3">
        <f>767.5+(220.9-235.3)+(0.78285+(0.225318-0.240006))+0-184.7-0.188394000000029</f>
        <v>568.97976799999992</v>
      </c>
      <c r="Q123" s="3">
        <f>750.1+(178.9-150.5)+(0+(0-0))+0-187.6-0</f>
        <v>590.9</v>
      </c>
      <c r="R123" s="3">
        <f>743.9+(186.8-154.3)+(-1.138167+(-0.285804--0.236079))+0-173.4--0.26530200000001</f>
        <v>602.07740999999999</v>
      </c>
      <c r="S123" s="3">
        <f>745.1+(274.2-231.6)+(-1.900005+(-0.69921--0.59058))+0-189.8--0.483989999999973</f>
        <v>596.3753549999999</v>
      </c>
      <c r="T123" s="3">
        <f>745+(284.9-292)+(0+(0-0))+0-176.9-0</f>
        <v>561</v>
      </c>
      <c r="U123" s="3">
        <f>736.7+(276-271.9)+(-1.502868+(-0.56304--0.554676))+0-179.1--0.365363999999992</f>
        <v>560.5541320000001</v>
      </c>
      <c r="V123" s="3">
        <f>737+(232-226.5)+(-0.75174+(-0.23664--0.23103))+0-176.9--0.180438000000028</f>
        <v>565.02308800000003</v>
      </c>
      <c r="W123" s="3">
        <f>736.9+(190.2-182.4)+(-1.127457+(-0.291006--0.279072))+0-181.7--0.27800100000001</f>
        <v>562.13860999999986</v>
      </c>
      <c r="X123" s="3">
        <f>740+(260.5-267.5)+(-1.887+(-0.664275--0.682125))+0-183.2--0.467159999999973</f>
        <v>548.39800999999989</v>
      </c>
      <c r="Y123" s="3">
        <f>742+(309.8-327)+(-0.75684+(-0.315996--0.33354))+0-174.7--0.178194000000028</f>
        <v>549.53889800000002</v>
      </c>
      <c r="Z123" s="3">
        <f>749.9+(195.6-190.5)+(0+(0-0))+0-188.4-0</f>
        <v>566.6</v>
      </c>
      <c r="AA123" s="3">
        <f>747.5+(192.7-202.4)+(-1.906125+(-0.491385--0.51612))+0-189.5--0.483224999999972</f>
        <v>546.90183499999989</v>
      </c>
      <c r="AB123" s="3">
        <f>758.6+(176.7-221.5)+(-0.386886+(-0.090117--0.112965))+0-181.2--0.0924119999999816</f>
        <v>532.32837399999994</v>
      </c>
      <c r="AC123" s="3">
        <f>764.6+(169.3-246.3)+(-0.389946+(-0.086343--0.125613))+0-172.4--0.0879239999999825</f>
        <v>514.93724799999995</v>
      </c>
      <c r="AD123">
        <v>518.20000000000005</v>
      </c>
      <c r="AE123" s="3">
        <f>729+(184.3-213.4)+(0+(0-0))+0-181.7-0</f>
        <v>518.20000000000005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764.8+(167.9-255.5)+(-0.390048+(-0.085629--0.130305))+0-174--0.0887399999999823</f>
        <v>502.94336799999991</v>
      </c>
      <c r="G124" s="3">
        <f>776.3+(155.1-259)+(0.791826+(0.158202-0.26418))+0-165.3-0.168606000000026</f>
        <v>507.61724199999992</v>
      </c>
      <c r="H124" s="3">
        <f>778.8+(158.3-269.7)+(0.794376+(0.161466-0.275094))+0-174.5-0.177990000000028</f>
        <v>493.40275799999995</v>
      </c>
      <c r="I124" s="3">
        <f>779.4+(166.7-285.9)+(0.397494+(0.085017-0.145809))+0-175.6-0.0895559999999822</f>
        <v>484.84714600000001</v>
      </c>
      <c r="J124" s="3">
        <f>739.8+(166.7-260.7)+(1.131894+(0.255051-0.398871))+0-179.1-0.27402300000001</f>
        <v>467.41405099999992</v>
      </c>
      <c r="K124" s="3">
        <f>716.9+(165.5-264.8)+(-0.731238+(-0.16881--0.270096))+0-168.5--0.171870000000027</f>
        <v>448.64191799999992</v>
      </c>
      <c r="L124" s="3">
        <f>717.1+(190.1-302.9)+(0.731442+(0.193902-0.308958))+0-176-0.179520000000028</f>
        <v>428.73686600000008</v>
      </c>
      <c r="M124" s="3">
        <f>692.3+(194.4-297.1)+(-0.353073+(-0.099144--0.151521))+0-164--0.0836399999999834</f>
        <v>425.3829439999999</v>
      </c>
      <c r="N124" s="3">
        <f>692.4+(194.8-272.2)+(1.059372+(0.298044-0.416466))+0-173.9-0.26606700000001</f>
        <v>441.77488300000005</v>
      </c>
      <c r="O124" s="3">
        <f>690.3+(213.2-271.9)+(0.352053+(0.108732-0.138669))+0-161.4-0.0823139999999836</f>
        <v>470.43980199999999</v>
      </c>
      <c r="P124" s="3">
        <f>685.5+(182.3-210.3)+(1.048815+(0.278919-0.321759))+0-179.5-0.27463500000001</f>
        <v>478.73134000000005</v>
      </c>
      <c r="Q124" s="3">
        <f>712.9+(165.3-202.8)+(0.727158+(0.168606-0.206856))+0-166.6-0.169932000000027</f>
        <v>509.31897599999991</v>
      </c>
      <c r="R124" s="3">
        <f>713.7+(161.6-226)+(-0.363987+(-0.082416--0.11526))+0-160.6--0.0819059999999837</f>
        <v>488.45076300000005</v>
      </c>
      <c r="S124" s="3">
        <f>705.2+(187.5-226.6)+(-0.359652+(-0.095625--0.115566))+0-178.7--0.0911369999999819</f>
        <v>487.15142600000007</v>
      </c>
      <c r="T124" s="3">
        <f>702.7+(223-277.7)+(-1.075131+(-0.34119--0.424881))+0-175.6--0.26866800000001</f>
        <v>471.67722799999996</v>
      </c>
      <c r="U124" s="3">
        <f>706.2+(230-289.8)+(0.360162+(0.1173-0.147798))+0-178.9-0.0912389999999818</f>
        <v>467.73842500000012</v>
      </c>
      <c r="V124" s="3">
        <f>684+(209.8-244.3)+(-0.34884+(-0.106998--0.124593))+0-175.2--0.0893519999999822</f>
        <v>474.05810700000001</v>
      </c>
      <c r="W124" s="3">
        <f>678.3+(178.8-196.5)+(-1.729665+(-0.45594--0.501075))+0-186.2--0.474809999999973</f>
        <v>473.19027999999992</v>
      </c>
      <c r="X124" s="3">
        <f>680.7+(192.1-225.5)+(-1.041471+(-0.293913--0.345015))+0-178.2--0.27264600000001</f>
        <v>468.3822770000001</v>
      </c>
      <c r="Y124" s="3">
        <f>673.3+(236.8-262.7)+(-2.403681+(-0.845376--0.937839))+0-179.4--0.640458000000003</f>
        <v>466.32923999999997</v>
      </c>
      <c r="Z124" s="3">
        <f>704.5+(172.9-176.7)+(1.077885+(0.264537-0.270351))+0-185.5-0.283815000000011</f>
        <v>515.98825600000009</v>
      </c>
      <c r="AA124" s="3">
        <f>733+(153.6-199.5)+(-1.12149+(-0.235008--0.305235))+0-183.1--0.280143000000011</f>
        <v>503.22888000000006</v>
      </c>
      <c r="AB124" s="3">
        <f>738.3+(150.1-211.8)+(-0.753066+(-0.153102--0.216036))+0-182.5--0.186150000000029</f>
        <v>493.59601800000002</v>
      </c>
      <c r="AC124" s="3">
        <f>749.4+(141.9-233.5)+(0.382194+(0.072369-0.119085))+0-176.1-0.0898109999999821</f>
        <v>481.9456669999999</v>
      </c>
      <c r="AD124">
        <v>513.5</v>
      </c>
      <c r="AE124" s="3">
        <f>741+(157.9-191.6)+(0+(0-0))+0-193.8-0</f>
        <v>513.5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768.7+(137.7-238.1)+(-0.784074+(-0.140454--0.242862))+0-176.4--0.179928000000028</f>
        <v>491.39826200000016</v>
      </c>
      <c r="G125" s="3">
        <f>758.2+(154.7-256.1)+(-0.773364+(-0.157794--0.261222))+0-178.4--0.181968000000028</f>
        <v>477.91203200000001</v>
      </c>
      <c r="H125" s="3">
        <f>755.1+(173.1-277.7)+(-1.155303+(-0.264843--0.424881))+0-179.2--0.27417600000001</f>
        <v>470.57891100000001</v>
      </c>
      <c r="I125" s="3">
        <f>769.8+(163.8-283.3)+(-1.177794+(-0.250614--0.433449))+0-184.6--0.282438000000011</f>
        <v>464.98747899999995</v>
      </c>
      <c r="J125" s="3">
        <f>747.6+(166.1-279.3)+(-1.525104+(-0.338844--0.569772))+0-174.7--0.356387999999992</f>
        <v>458.76221199999998</v>
      </c>
      <c r="K125" s="3">
        <f>745.1+(178.5-303.6)+(-1.520004+(-0.36414--0.619344))+0-161.1--0.328643999999993</f>
        <v>457.96384399999994</v>
      </c>
      <c r="L125" s="3">
        <f>694.2+(276.6-361.5)+(-0.354042+(-0.141066--0.184365))+0-152.3--0.0776729999999846</f>
        <v>456.76693000000006</v>
      </c>
      <c r="M125" s="3">
        <f>691.3+(302.3-308)+(0+(0-0))+0-155.8-0</f>
        <v>529.79999999999995</v>
      </c>
      <c r="N125" s="3">
        <f>746+(292.8-306.7)+(0.76092+(0.298656-0.312834))+0-144-0.146880000000023</f>
        <v>588.69986200000005</v>
      </c>
      <c r="O125" s="3">
        <f>769.6+(292.6-332.1)+(-0.392496+(-0.149226--0.169371))+0-130.7--0.0666569999999867</f>
        <v>599.09430600000007</v>
      </c>
      <c r="P125" s="3">
        <f>756+(241.8-280.4)+(-0.38556+(-0.123318--0.143004))+0-99.2--0.0505919999999899</f>
        <v>617.88471800000002</v>
      </c>
      <c r="Q125" s="3">
        <f>763.1+(193.1-190.4)+(1.167543+(0.295443-0.291312))+0-119.1-0.182223000000007</f>
        <v>647.68945099999996</v>
      </c>
      <c r="R125" s="3">
        <f>755.6+(191.8-147.8)+(0.385356+(0.097818-0.075378))+0-145.2-0.0740519999999853</f>
        <v>654.73374400000012</v>
      </c>
      <c r="S125" s="3">
        <f>743.3+(244.4-218.2)+(0+(0-0))+0-140.6-0</f>
        <v>628.9</v>
      </c>
      <c r="T125" s="3">
        <f>761.6+(221.6-251.6)+(-0.776832+(-0.226032--0.256632))+0-125.8--0.12831600000002</f>
        <v>605.18208400000015</v>
      </c>
      <c r="U125" s="3">
        <f>753.6+(212.7-227)+(-1.153008+(-0.325431--0.34731))+0-139.7--0.213741000000008</f>
        <v>598.68261200000006</v>
      </c>
      <c r="V125" s="3">
        <f>754.2+(167.9-190.5)+(-1.538568+(-0.342516--0.38862))+0-120.1--0.245003999999995</f>
        <v>610.25253999999995</v>
      </c>
      <c r="W125" s="3">
        <f>736.9+(180.1-172.1)+(-1.127457+(-0.275553--0.263313))+0-131.3--0.200889000000008</f>
        <v>612.66119200000003</v>
      </c>
      <c r="X125" s="3">
        <f>719.9+(326.4-309.9)+(-2.202894+(-0.998784--0.948294))+0-108.5--0.332010000000013</f>
        <v>625.97862599999996</v>
      </c>
      <c r="Y125" s="3">
        <f>726.8+(351.9-357.4)+(-0.370668+(-0.179469--0.182274))+0-96.8--0.0493679999999902</f>
        <v>624.1815049999999</v>
      </c>
      <c r="Z125" s="3">
        <f>736.6+(199.3-168.8)+(-0.751332+(-0.203286--0.172176))+0-106.6--0.108732000000017</f>
        <v>659.82629000000009</v>
      </c>
      <c r="AA125" s="3">
        <f>749.9+(187.9-183.1)+(0+(0-0))+0-104.6-0</f>
        <v>650.1</v>
      </c>
      <c r="AB125" s="3">
        <f>747+(188.9-186.1)+(-1.14291+(-0.289017--0.284733))+0-121.5--0.185895000000007</f>
        <v>627.3387009999999</v>
      </c>
      <c r="AC125" s="3">
        <f>753.8+(180.2-222.5)+(0+(0-0))+0-108.5-0</f>
        <v>603</v>
      </c>
      <c r="AD125">
        <v>620</v>
      </c>
      <c r="AE125" s="3">
        <f>742+(176.8-182.9)+(0+(0-0))+0-115.9-0</f>
        <v>620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745.8+(176.3-241.1)+(-0.760716+(-0.179826--0.245922))+0-107.4--0.109548000000017</f>
        <v>573.01492800000005</v>
      </c>
      <c r="G126" s="3">
        <f>743.9+(166.4-254.4)+(-1.896945+(-0.42432--0.64872))+0-101.6--0.259079999999985</f>
        <v>552.88653499999998</v>
      </c>
      <c r="H126" s="3">
        <f>751.2+(189.2-287.5)+(-0.766224+(-0.192984--0.29325))+0-114--0.116280000000018</f>
        <v>538.35032200000012</v>
      </c>
      <c r="I126" s="3">
        <f>750.2+(209.5-312.7)+(-1.530408+(-0.42738--0.637908))+0-116.9--0.238475999999995</f>
        <v>529.018596</v>
      </c>
      <c r="J126" s="3">
        <f>752.7+(180.1-298.8)+(-1.151631+(-0.275553--0.457164))+0-116--0.177480000000007</f>
        <v>517.20746000000008</v>
      </c>
      <c r="K126" s="3">
        <f>757+(177.2-319.2)+(-0.77214+(-0.180744--0.325584))+0-116.5--0.118830000000019</f>
        <v>497.99153000000001</v>
      </c>
      <c r="L126" s="3">
        <f>755.8+(207.5-354.4)+(-1.92729+(-0.529125--0.90372))+0-125--0.318749999999982</f>
        <v>482.66605499999997</v>
      </c>
      <c r="M126" s="3">
        <f>727.5+(251.1-317.1)+(1.113075+(0.384183-0.485163))+0-131.8-0.201654000000008</f>
        <v>530.51044100000013</v>
      </c>
      <c r="N126" s="3">
        <f>737.2+(279.6-335.2)+(0+(0-0))+0-127.3-0</f>
        <v>554.30000000000018</v>
      </c>
      <c r="O126" s="3">
        <f>734.2+(291.5-296.8)+(0.374442+(0.148665-0.151368))+0-136.2-0.0694619999999862</f>
        <v>593.00227700000028</v>
      </c>
      <c r="P126" s="3">
        <f>746.8+(217.2-223.9)+(0.380868+(0.110772-0.114189))+0-130.4-0.0665039999999868</f>
        <v>610.01094699999987</v>
      </c>
      <c r="Q126" s="3">
        <f>741.5+(170.5-172.6)+(1.134495+(0.260865-0.264078))+0-116.5-0.178245000000007</f>
        <v>623.85303699999997</v>
      </c>
      <c r="R126" s="3">
        <f>733.2+(181.5-169)+(0+(0-0))+0-111-0</f>
        <v>634.70000000000005</v>
      </c>
      <c r="S126" s="3">
        <f>695.6+(237-243.2)+(0+(0-0))+0-109.9-0</f>
        <v>579.50000000000011</v>
      </c>
      <c r="T126" s="3">
        <f>731.2+(262.1-269.8)+(1.118736+(0.401013-0.412794))+0-126.2-0.193086000000007</f>
        <v>598.21386899999993</v>
      </c>
      <c r="U126" s="3">
        <f>712.7+(257-272.1)+(-0.726954+(-0.26214--0.277542))+0-103.4--0.105468000000016</f>
        <v>593.59391600000004</v>
      </c>
      <c r="V126" s="3">
        <f>706.5+(236.1-234.1)+(-1.44126+(-0.481644--0.477564))+0-101.3--0.206651999999996</f>
        <v>605.96131200000002</v>
      </c>
      <c r="W126" s="3">
        <f>709.4+(171.5-159.7)+(-2.170764+(-0.52479--0.488682))+0-103.3--0.316098000000012</f>
        <v>616.00922600000013</v>
      </c>
      <c r="X126" s="3">
        <f>717.4+(246.4-241.8)+(-2.195244+(-0.753984--0.739908))+0-109.9--0.336294000000013</f>
        <v>610.22697400000004</v>
      </c>
      <c r="Y126" s="3">
        <f>717.1+(308.6-304.3)+(-0.731442+(-0.314772--0.310386))+0-121.1--0.123522000000019</f>
        <v>599.68769400000008</v>
      </c>
      <c r="Z126" s="3">
        <f>724.4+(201.5-165.3)+(0+(0-0))+0-111.2-0</f>
        <v>649.39999999999986</v>
      </c>
      <c r="AA126" s="3">
        <f>729.2+(188.4-166.6)+(-2.231352+(-0.576504--0.509796))+0-109.4--0.334764000000013</f>
        <v>639.63670400000012</v>
      </c>
      <c r="AB126" s="3">
        <f>750.7+(166.5-194.6)+(-0.382857+(-0.084915--0.099246))+0-102--0.0520199999999897</f>
        <v>620.28349400000002</v>
      </c>
      <c r="AC126" s="3">
        <f>744.1+(165.5-206.1)+(-0.379491+(-0.084405--0.105111))+0-102.1--0.0520709999999896</f>
        <v>601.09328599999992</v>
      </c>
      <c r="AD126">
        <v>587</v>
      </c>
      <c r="AE126" s="3">
        <f>726+(177.9-197.6)+(0+(0-0))+0-119.3-0</f>
        <v>587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727.8+(175.7-234.1)+(-1.113534+(-0.268821--0.358173))+0-109.9--0.168147000000006</f>
        <v>558.64396499999998</v>
      </c>
      <c r="G127" s="3">
        <f>741.3+(173.2-266.6)+(-1.134189+(-0.264996--0.407898))+0-105.3--0.161109000000006</f>
        <v>541.76982199999986</v>
      </c>
      <c r="H127" s="3">
        <f>744.3+(187.6-297.8)+(-0.759186+(-0.191352--0.303756))+0-104.1--0.106182000000017</f>
        <v>529.45939999999985</v>
      </c>
      <c r="I127" s="3">
        <f>730.8+(195.6-296)+(-0.745416+(-0.199512--0.30192))+0-107.7--0.109854000000017</f>
        <v>522.16684599999996</v>
      </c>
      <c r="J127" s="3">
        <f>690.6+(197.9-264.8)+(0.704412+(0.201858-0.270096))+0-101.4-0.103428000000016</f>
        <v>522.83274600000004</v>
      </c>
      <c r="K127" s="3">
        <f>691.1+(217.2-301.4)+(0.352461+(0.110772-0.153714))+0-100.4-0.0512039999999898</f>
        <v>506.75831500000015</v>
      </c>
      <c r="L127" s="3">
        <f>698.3+(265.8-354)+(-0.356133+(-0.135558--0.18054))+0-106.3--0.0542129999999892</f>
        <v>503.54306199999991</v>
      </c>
      <c r="M127" s="3">
        <f>703.6+(251.6-312.2)+(-0.358836+(-0.128316--0.159222))+0-105.9--0.0540089999999893</f>
        <v>536.82607899999994</v>
      </c>
      <c r="N127" s="3">
        <f>738.8+(250.8-311.9)+(0+(0-0))+0-116.6-0</f>
        <v>561.1</v>
      </c>
      <c r="O127" s="3">
        <f>746.4+(252.4-299.6)+(-0.761328+(-0.257448--0.305592))+0-112.1--0.114342000000018</f>
        <v>586.50115799999992</v>
      </c>
      <c r="P127" s="3">
        <f>749+(281.5-314.9)+(-0.38199+(-0.143565--0.160599))+0-105.8--0.0539579999999893</f>
        <v>609.48900200000003</v>
      </c>
      <c r="Q127" s="3">
        <f>756.4+(181.6-189.7)+(0+(0-0))+0-110.7-0</f>
        <v>637.59999999999991</v>
      </c>
      <c r="R127" s="3">
        <f>749.8+(175.7-163.7)+(-1.529592+(-0.358428--0.333948))+0-109.7--0.223787999999995</f>
        <v>650.7697159999999</v>
      </c>
      <c r="S127" s="3">
        <f>747.5+(218.6-212.9)+(-1.143675+(-0.334458--0.325737))+0-113.8--0.174114000000007</f>
        <v>638.42171800000017</v>
      </c>
      <c r="T127" s="3">
        <f>746.6+(238.2-256.9)+(0.380766+(0.121482-0.131019))+0-118.4-0.060383999999988</f>
        <v>609.81084500000009</v>
      </c>
      <c r="U127" s="3">
        <f>738.5+(241.9-269.8)+(-0.75327+(-0.246738--0.275196))+0-91.1--0.0929220000000145</f>
        <v>618.86811</v>
      </c>
      <c r="V127" s="3">
        <f>739.4+(210.4-223.9)+(0.754188+(0.214608-0.228378))+0-94.2-0.096084000000015</f>
        <v>632.34433399999989</v>
      </c>
      <c r="W127" s="3">
        <f>714.2+(175.1-160.9)+(-1.456968+(-0.357204--0.328236))+0-106.3--0.216851999999995</f>
        <v>620.83091600000012</v>
      </c>
      <c r="X127" s="3">
        <f>585.5+(327.4-192.6)+(-0.895815+(-0.500922--0.294678))+0-101--0.154530000000006</f>
        <v>618.35247099999992</v>
      </c>
      <c r="Y127" s="3">
        <f>535.4+(396.9-232.9)+(-0.546108+(-0.404838--0.237558))+0-98.8--0.100776000000016</f>
        <v>599.98738800000001</v>
      </c>
      <c r="Z127" s="3">
        <f>680.5+(215.8-140.2)+(0+(0-0))+0-101.8-0</f>
        <v>654.30000000000007</v>
      </c>
      <c r="AA127" s="3">
        <f>706.9+(191.7-156.8)+(-0.721038+(-0.195534--0.159936))+0-99.4--0.101388000000016</f>
        <v>641.74475200000006</v>
      </c>
      <c r="AB127" s="3">
        <f>720.2+(205-185.8)+(-0.734604+(-0.2091--0.189516))+0-100.7--0.102714000000016</f>
        <v>638.04852600000004</v>
      </c>
      <c r="AC127" s="3">
        <f>700.9+(223.8-188.5)+(-0.357459+(-0.114138--0.096135))+0-93.6--0.0477359999999905</f>
        <v>642.27227400000004</v>
      </c>
      <c r="AD127">
        <v>657.7</v>
      </c>
      <c r="AE127" s="3">
        <f>731+(200-149.4)+(0+(0-0))+0-123.9-0</f>
        <v>657.7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709.5+(186.7-193.2)+(0+(0-0))+0-104.5-0</f>
        <v>598.5</v>
      </c>
      <c r="G128" s="3">
        <f>707.9+(172.7-211.2)+(0.361029+(0.088077-0.107712))+0-92.9-0.0473789999999906</f>
        <v>576.79401500000006</v>
      </c>
      <c r="H128" s="3">
        <f>707.9+(193.7-210.3)+(-1.444116+(-0.395148--0.429012))+0-123.8--0.252551999999995</f>
        <v>566.34230000000002</v>
      </c>
      <c r="I128" s="3">
        <f>710+(214.2-253.3)+(0.7242+(0.218484-0.258366))+0-113.7-0.115974000000018</f>
        <v>557.76834399999984</v>
      </c>
      <c r="J128" s="3">
        <f>680.8+(235.1-256.7)+(-1.388832+(-0.479604--0.523668))+0-121.8--0.248471999999995</f>
        <v>536.30370399999993</v>
      </c>
      <c r="K128" s="3">
        <f>681.7+(242.5-278.9)+(-1.043001+(-0.371025--0.426717))+0-124.9--0.191097000000007</f>
        <v>519.60378800000012</v>
      </c>
      <c r="L128" s="3">
        <f>679.8+(310.8-356.5)+(-1.73349+(-0.79254--0.909075))+0-123--0.313649999999982</f>
        <v>509.79669499999994</v>
      </c>
      <c r="M128" s="3">
        <f>680.1+(345.9-331.7)+(0+(0-0))+0-138.5-0</f>
        <v>555.79999999999995</v>
      </c>
      <c r="N128" s="3">
        <f>695.9+(342.8-332)+(1.774545+(0.87414-0.8466))+0-120.5-0.307274999999983</f>
        <v>587.69481000000007</v>
      </c>
      <c r="O128" s="3">
        <f>712.4+(333.1-345.1)+(0+(0-0))+0-59-0</f>
        <v>641.4</v>
      </c>
      <c r="P128" s="3">
        <f>717.7+(318.5-336.1)+(1.098081+(0.487305-0.514233))+0-53.1-0.0812430000000031</f>
        <v>647.98991000000001</v>
      </c>
      <c r="Q128" s="3">
        <f>732.5+(229.6-199.3)+(1.120725+(0.351288-0.304929))+0-67.9-0.103887000000004</f>
        <v>695.96319700000004</v>
      </c>
      <c r="R128" s="3">
        <f>744.9+(152.9-162.6)+(0.759798+(0.155958-0.165852))+0-55.4-0.0565080000000088</f>
        <v>680.49339600000008</v>
      </c>
      <c r="S128" s="3">
        <f>739.6+(199-183.8)+(-0.377196+(-0.10149--0.093738))+0-80.7--0.0411569999999918</f>
        <v>673.7562089999999</v>
      </c>
      <c r="T128" s="3">
        <f>735.1+(234.3-201.8)+(0.374901+(0.119493-0.102918))+0-118.7-0.060536999999988</f>
        <v>649.23093900000003</v>
      </c>
      <c r="U128" s="3">
        <f>733.6+(256.7-204.8)+(0+(0-0))+0-133.2-0</f>
        <v>652.29999999999995</v>
      </c>
      <c r="V128" s="3">
        <f>728.7+(213.6-130.7)+(-1.858185+(-0.54468--0.333285))+0-120.5--0.307274999999983</f>
        <v>689.33769500000005</v>
      </c>
      <c r="W128" s="3">
        <f>728.8+(186.7-119.3)+(-1.85844+(-0.476085--0.304215))+0-127.1--0.324104999999982</f>
        <v>667.39379499999995</v>
      </c>
      <c r="X128" s="3">
        <f>732.4+(310.8-253.9)+(-1.120572+(-0.475524--0.388467))+0-144.5--0.221085000000008</f>
        <v>643.81345599999997</v>
      </c>
      <c r="Y128" s="3">
        <f>737.6+(357.7-325.4)+(0.376176+(0.182427-0.165954))+0-130.8-0.0667079999999867</f>
        <v>639.42594100000008</v>
      </c>
      <c r="Z128" s="3">
        <f>741+(208.8-142.8)+(0+(0-0))+0-133.7-0</f>
        <v>673.3</v>
      </c>
      <c r="AA128" s="3">
        <f>748.8+(184.7-147.9)+(-0.763776+(-0.188394--0.150858))+0-144.5--0.147390000000023</f>
        <v>640.44607799999983</v>
      </c>
      <c r="AB128" s="3">
        <f>750.3+(174.4-170)+(-1.147959+(-0.266832--0.2601))+0-116.8--0.178704000000007</f>
        <v>636.92401300000006</v>
      </c>
      <c r="AC128" s="3">
        <f>758+(171.3-190.3)+(-0.38658+(-0.087363--0.097053))+0-130.3--0.0664529999999868</f>
        <v>608.38956300000007</v>
      </c>
      <c r="AD128">
        <v>640.9</v>
      </c>
      <c r="AE128" s="3">
        <f>747+(179.4-151.5)+(0+(0-0))+0-134-0</f>
        <v>640.9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769.7+(163-196.9)+(-1.177641+(-0.24939--0.301257))+0-115.2--0.176256000000007</f>
        <v>619.65048200000001</v>
      </c>
      <c r="G129" s="3">
        <f>772.1+(169.3-233.7)+(0+(0-0))+0-120.5-0</f>
        <v>587.20000000000005</v>
      </c>
      <c r="H129" s="3">
        <f>752.7+(174.8-251.8)+(-0.767754+(-0.178296--0.256836))+0-122.5--0.12495000000002</f>
        <v>552.63573600000007</v>
      </c>
      <c r="I129" s="3">
        <f>738.9+(189.8-243.3)+(0.753678+(0.193596-0.248166))+0-127.9-0.13045800000002</f>
        <v>558.06865000000005</v>
      </c>
      <c r="J129" s="3">
        <f>739.4+(202.3-260.1)+(0+(0-0))+0-133.9-0</f>
        <v>547.69999999999993</v>
      </c>
      <c r="K129" s="3">
        <f>736.9+(237.3-315.8)+(-1.127457+(-0.363069--0.483174))+0-127.7--0.195381000000007</f>
        <v>529.88802899999996</v>
      </c>
      <c r="L129" s="3">
        <f>737.4+(313.7-396.6)+(-1.128222+(-0.479961--0.606798))+0-134.8--0.206244000000008</f>
        <v>518.90485899999999</v>
      </c>
      <c r="M129" s="3">
        <f>729.2+(317.5-363)+(1.115676+(0.485775-0.55539))+0-123.8-0.189414000000007</f>
        <v>560.75664700000004</v>
      </c>
      <c r="N129" s="3">
        <f>726.8+(362.4-367.3)+(0.370668+(0.184824-0.187323))+0-129.8-0.0661979999999868</f>
        <v>592.40197099999978</v>
      </c>
      <c r="O129" s="3">
        <f>753.2+(353.5-355.6)+(-0.384132+(-0.180285--0.181356))+0-149.2--0.0760919999999849</f>
        <v>601.59303100000011</v>
      </c>
      <c r="P129" s="3">
        <f>757.6+(272.8-260.2)+(0.772752+(0.278256-0.265404))+0-158.5-0.161670000000025</f>
        <v>612.32393400000001</v>
      </c>
      <c r="Q129" s="3">
        <f>766.7+(179.3-150.2)+(1.955085+(0.457215-0.38301))+0-165.7-0.422534999999976</f>
        <v>631.70675500000016</v>
      </c>
      <c r="R129" s="3">
        <f>769.6+(155.9-137)+(-0.392496+(-0.079509--0.06987))+0-154.9--0.0789989999999843</f>
        <v>633.27686399999993</v>
      </c>
      <c r="S129" s="3">
        <f>767.9+(184.2-191)+(0.391629+(0.093942-0.09741))+0-146.4-0.0746639999999851</f>
        <v>615.01349699999992</v>
      </c>
      <c r="T129" s="3">
        <f>755.6+(182.5-215.2)+(0+(0-0))+0-148.8-0</f>
        <v>574.10000000000014</v>
      </c>
      <c r="U129" s="3">
        <f>744.4+(200.2-206.8)+(-0.379644+(-0.102102--0.105468))+0-161.2--0.0822119999999836</f>
        <v>576.30593399999998</v>
      </c>
      <c r="V129" s="3">
        <f>742.7+(184.1-173.1)+(-0.757554+(-0.187782--0.176562))+0-181.4--0.185028000000029</f>
        <v>571.71625400000005</v>
      </c>
      <c r="W129" s="3">
        <f>743.1+(159-147.3)+(-1.136943+(-0.24327--0.225369))+0-170.8--0.26132400000001</f>
        <v>583.10647999999992</v>
      </c>
      <c r="X129" s="3">
        <f>721.7+(316.8-291)+(-2.576469+(-1.130976--1.03887))+0-172.4--0.615468000000002</f>
        <v>573.04689299999995</v>
      </c>
      <c r="Y129" s="3">
        <f>730.3+(379.8-369.6)+(-0.372453+(-0.193698--0.188496))+0-165.2--0.0842519999999832</f>
        <v>575.00659699999994</v>
      </c>
      <c r="Z129" s="3">
        <f>769.9+(184.9-159.7)+(-1.177947+(-0.282897--0.244341))+0-187.9--0.287487000000011</f>
        <v>606.27098400000011</v>
      </c>
      <c r="AA129" s="3">
        <f>797.4+(171.5-207.4)+(-2.846718+(-0.612255--0.740418))+0-170.9--0.610113000000002</f>
        <v>588.49155799999994</v>
      </c>
      <c r="AB129" s="3">
        <f>803.3+(161-241)+(-1.229049+(-0.24633--0.36873))+0-154.3--0.236079000000009</f>
        <v>568.12942999999996</v>
      </c>
      <c r="AC129" s="3">
        <f>800.8+(155-219)+(-0.816816+(-0.1581--0.22338))+0-187.3--0.19104600000003</f>
        <v>548.93951000000004</v>
      </c>
      <c r="AD129">
        <v>561.6</v>
      </c>
      <c r="AE129" s="3">
        <f>781+(178.3-202.8)+(0+(0-0))+0-194.9-0</f>
        <v>561.6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759.4+(150.5-230.3)+(-0.387294+(-0.076755--0.117453))+0-175.9--0.0897089999999822</f>
        <v>503.44311299999993</v>
      </c>
      <c r="G130" s="3">
        <f>739.6+(160.3-220.4)+(-1.131588+(-0.245259--0.337212))+0-172.5--0.26392500000001</f>
        <v>506.22429000000005</v>
      </c>
      <c r="H130" s="3">
        <f>734.9+(178.8-231.2)+(-0.749598+(-0.182376--0.235824))+0-174.8--0.178296000000028</f>
        <v>507.18214600000005</v>
      </c>
      <c r="I130" s="3">
        <f>735.4+(182.1-250.3)+(0.750108+(0.185742-0.255306))+0-172.4-0.175848000000027</f>
        <v>495.30469599999998</v>
      </c>
      <c r="J130" s="3">
        <f>740.4+(202.1-296.6)+(-0.755208+(-0.206142--0.302532))+0-151--0.154020000000024</f>
        <v>494.39520199999998</v>
      </c>
      <c r="K130" s="3">
        <f>742+(190.8-278.2)+(0.37842+(0.097308-0.141882))+0-179.2-0.0913919999999818</f>
        <v>475.64245400000004</v>
      </c>
      <c r="L130" s="3">
        <f>746.4+(259.8-360.8)+(-2.283984+(-0.794988--1.104048))+0-171.5--0.52479000000002</f>
        <v>472.44986599999999</v>
      </c>
      <c r="M130" s="3">
        <f>742.3+(301.9-357.9)+(0+(0-0))+0-169.3-0</f>
        <v>517</v>
      </c>
      <c r="N130" s="3">
        <f>736.6+(292.8-316.4)+(0+(0-0))+0-165.4-0</f>
        <v>547.6</v>
      </c>
      <c r="O130" s="3">
        <f>732.4+(251.5-248.4)+(-0.373524+(-0.128265--0.126684))+0-165.4--0.0843539999999832</f>
        <v>569.80924900000002</v>
      </c>
      <c r="P130" s="3">
        <f>728.9+(181.1-136.1)+(-0.371739+(-0.092361--0.069411))+0-185.4--0.0945539999999812</f>
        <v>588.19986500000005</v>
      </c>
      <c r="Q130" s="3">
        <f>721.7+(172.4-114.5)+(-0.736134+(-0.175848--0.11679))+0-178.4--0.181968000000028</f>
        <v>600.58677599999999</v>
      </c>
      <c r="R130" s="3">
        <f>724.1+(200.5-146.7)+(-1.477164+(-0.40902--0.299268))+0-172.5--0.351899999999993</f>
        <v>604.16498400000012</v>
      </c>
      <c r="S130" s="3">
        <f>732.9+(222-211.3)+(-1.868895+(-0.5661--0.538815))+0-163.5--0.416924999999976</f>
        <v>578.62074499999994</v>
      </c>
      <c r="T130" s="3">
        <f>745.1+(246.3-260.8)+(-1.140003+(-0.376839--0.399024))+0-173.4--0.26530200000001</f>
        <v>556.34748400000001</v>
      </c>
      <c r="U130" s="3">
        <f>735.5+(264.3-284.4)+(0+(0-0))+0-175.3-0</f>
        <v>540.10000000000014</v>
      </c>
      <c r="V130" s="3">
        <f>735+(217.7-246.4)+(-0.37485+(-0.111027--0.125664))+0-172.5--0.0879749999999825</f>
        <v>533.52776199999994</v>
      </c>
      <c r="W130" s="3">
        <f>725.5+(147.1-141.8)+(-2.96004+(-0.600168--0.578544))+0-178.8--0.729503999999984</f>
        <v>549.74783999999988</v>
      </c>
      <c r="X130" s="3">
        <f>729.8+(187.8-186.7)+(-2.233188+(-0.574668--0.571302))+0-177.7--0.543762000000021</f>
        <v>551.50720799999999</v>
      </c>
      <c r="Y130" s="3">
        <f>730.6+(232.4-254.3)+(-1.86303+(-0.59262--0.648465))+0-169.1--0.431204999999975</f>
        <v>538.22402</v>
      </c>
      <c r="Z130" s="3">
        <f>750+(143.8-147.2)+(0.3825+(0.073338-0.075072))+0-183.2-0.0934319999999814</f>
        <v>563.68733400000008</v>
      </c>
      <c r="AA130" s="3">
        <f>744.1+(142.4-142.8)+(-1.897455+(-0.36312--0.36414))+0-188.7--0.481184999999973</f>
        <v>553.5847500000001</v>
      </c>
      <c r="AB130" s="3">
        <f>746.7+(133.8-175)+(-1.904085+(-0.34119--0.44625))+0-179.9--0.458744999999974</f>
        <v>524.25972000000002</v>
      </c>
      <c r="AC130" s="3">
        <f>752.9+(134.5-191.7)+(-0.383979+(-0.068595--0.097767))+0-182.1--0.0928709999999815</f>
        <v>513.33806399999992</v>
      </c>
      <c r="AD130">
        <v>571.80000000000007</v>
      </c>
      <c r="AE130" s="3">
        <f>750+(148.1-154.2)+(0+(0-0))+0-172.1-0</f>
        <v>571.79999999999995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779.1+(129.3-204.7)+(-0.397341+(-0.065943--0.104397))+0-181.3--0.0924629999999816</f>
        <v>522.13357599999995</v>
      </c>
      <c r="G131" s="3">
        <f>780.4+(129.5-220.6)+(-0.796008+(-0.13209--0.225012))+0-184.8--0.188496000000029</f>
        <v>503.98541</v>
      </c>
      <c r="H131" s="3">
        <f>784.5+(136.6-251.3)+(0+(0-0))+0-174.5-0</f>
        <v>495.29999999999995</v>
      </c>
      <c r="I131" s="3">
        <f>752.1+(153.7-263)+(-1.534284+(-0.313548--0.53652))+0-174.9--0.356795999999992</f>
        <v>466.94548399999991</v>
      </c>
      <c r="J131" s="3">
        <f>749.9+(159.5-244.9)+(-1.912245+(-0.406725--0.624495))+0-187.8--0.478889999999973</f>
        <v>475.48441499999996</v>
      </c>
      <c r="K131" s="3">
        <f>750.4+(174.5-288.7)+(-1.91352+(-0.444975--0.736185))+0-182.7--0.465884999999973</f>
        <v>452.34357500000004</v>
      </c>
      <c r="L131" s="3">
        <f>711+(282.1-421)+(-1.81305+(-0.719355--1.07355))+0-158.9--0.405194999999977</f>
        <v>412.14634000000007</v>
      </c>
      <c r="M131" s="3">
        <f>684.5+(353.7-436.9)+(-1.047285+(-0.541161--0.668457))+0-181.1--0.27708300000001</f>
        <v>419.55709399999995</v>
      </c>
      <c r="N131" s="3">
        <f>683.1+(351.6-446.5)+(-0.696762+(-0.358632--0.45543))+0-151.4--0.154428000000024</f>
        <v>436.35446400000006</v>
      </c>
      <c r="O131" s="3">
        <f>721.3+(331.9-436.6)+(-0.367863+(-0.169269--0.222666))+0-161.1--0.0821609999999837</f>
        <v>455.26769499999983</v>
      </c>
      <c r="P131" s="3">
        <f>724.3+(271.2-368.2)+(0.369393+(0.138312-0.187782))+0-162.5-0.0828749999999835</f>
        <v>465.03704799999997</v>
      </c>
      <c r="Q131" s="3">
        <f>718.8+(181.4-249.4)+(0+(0-0))+0-176.7-0</f>
        <v>474.09999999999997</v>
      </c>
      <c r="R131" s="3">
        <f>720.6+(129.2-187.4)+(0.367506+(0.065892-0.095574))+0-176.1-0.0898109999999821</f>
        <v>486.54801299999991</v>
      </c>
      <c r="S131" s="3">
        <f>683+(140.3-156.1)+(1.04499+(0.214659-0.238833))+0-173.1-0.26484300000001</f>
        <v>494.85597300000001</v>
      </c>
      <c r="T131" s="3">
        <f>682.1+(203.2-224.8)+(-0.347871+(-0.103632--0.114648))+0-174.6--0.0890459999999823</f>
        <v>485.65219099999996</v>
      </c>
      <c r="U131" s="3">
        <f>678.3+(278.3-313.1)+(-1.383732+(-0.567732--0.638724))+0-163.6--0.333743999999993</f>
        <v>478.92100399999998</v>
      </c>
      <c r="V131" s="3">
        <f>678.4+(248.5-284.2)+(-0.345984+(-0.126735--0.144942))+0-164.1--0.0836909999999833</f>
        <v>478.35591400000004</v>
      </c>
      <c r="W131" s="3">
        <f>675.8+(135.9-149.7)+(-1.72329+(-0.346545--0.381735))+0-181.2--0.462059999999974</f>
        <v>479.57396</v>
      </c>
      <c r="X131" s="3">
        <f>679.9+(242.3-286.4)+(-0.693498+(-0.247146--0.292128))+0-172.9--0.176358000000028</f>
        <v>462.42784200000006</v>
      </c>
      <c r="Y131" s="3">
        <f>689+(309.9-343.8)+(-1.40556+(-0.632196--0.701352))+0-178.2--0.363527999999992</f>
        <v>475.92712399999988</v>
      </c>
      <c r="Z131" s="3">
        <f>736.1+(142.8-208.2)+(-1.501644+(-0.291312--0.424728))+0-174.4--0.355775999999992</f>
        <v>495.28754800000002</v>
      </c>
      <c r="AA131" s="3">
        <f>766.8+(133.1-199.2)+(-1.173204+(-0.203643--0.304776))+0-197--0.301410000000011</f>
        <v>502.92933899999991</v>
      </c>
      <c r="AB131" s="3">
        <f>771.1+(129.6-203.6)+(-1.179783+(-0.198288--0.311508))+0-190.8--0.291924000000011</f>
        <v>505.52536100000003</v>
      </c>
      <c r="AC131" s="3">
        <f>775.6+(137.8-224.9)+(0+(0-0))+0-197.7-0</f>
        <v>490.8</v>
      </c>
      <c r="AD131">
        <v>494</v>
      </c>
      <c r="AE131" s="3">
        <f>759+(128.3-197.9)+(0+(0-0))+0-195.4-0</f>
        <v>494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738.7+(146.5-251.6)+(-1.506948+(-0.29886--0.513264))+0-166.2--0.339047999999993</f>
        <v>466.446504</v>
      </c>
      <c r="G132" s="3">
        <f>729.2+(147.1-233.9)+(-1.115676+(-0.225063--0.357867))+0-183.1--0.280143000000011</f>
        <v>458.59727100000003</v>
      </c>
      <c r="H132" s="3">
        <f>730.3+(143.6-233.5)+(0+(0-0))+0-189.5-0</f>
        <v>450.9</v>
      </c>
      <c r="I132" s="3">
        <f>730.5+(155.3-249.6)+(-1.49022+(-0.316812--0.509184))+0-181.5--0.370259999999992</f>
        <v>453.77241199999997</v>
      </c>
      <c r="J132" s="3">
        <f>730.1+(177.7-281.6)+(-1.489404+(-0.362508--0.574464))+0-180.5--0.368219999999992</f>
        <v>444.790772</v>
      </c>
      <c r="K132" s="3">
        <f>712.9+(187.4-284.9)+(-1.817895+(-0.47787--0.726495))+0-166.5--0.424574999999976</f>
        <v>447.75530500000002</v>
      </c>
      <c r="L132" s="3">
        <f>712+(207.8-300.1)+(-1.8156+(-0.52989--0.765255))+0-169.9--0.433244999999975</f>
        <v>448.65301000000005</v>
      </c>
      <c r="M132" s="3">
        <f>710.3+(252-315.6)+(1.086759+(0.38556-0.482868))+0-150.1-0.229653000000009</f>
        <v>497.35979799999996</v>
      </c>
      <c r="N132" s="3">
        <f>733+(283.2-309.2)+(-0.37383+(-0.144432--0.157692))+0-172.4--0.0879239999999825</f>
        <v>534.3273539999999</v>
      </c>
      <c r="O132" s="3">
        <f>737.7+(277.2-288.3)+(0+(0-0))+0-168.6-0</f>
        <v>558</v>
      </c>
      <c r="P132" s="3">
        <f>733+(222.9-207.4)+(0.74766+(0.227358-0.211548))+0-172.7-0.176154000000028</f>
        <v>576.38731600000006</v>
      </c>
      <c r="Q132" s="3">
        <f>757.7+(180.9-171.4)+(0.772854+(0.184518-0.174828))+0-167.1-0.170442000000027</f>
        <v>600.71210200000007</v>
      </c>
      <c r="R132" s="3">
        <f>756.7+(203.7-196)+(0.771834+(0.207774-0.19992))+0-165.8-0.169116000000026</f>
        <v>599.21057199999996</v>
      </c>
      <c r="S132" s="3">
        <f>756.3+(269.2-269.8)+(-0.385713+(-0.137292--0.137598))+0-175.3--0.0894029999999822</f>
        <v>580.10399599999982</v>
      </c>
      <c r="T132" s="3">
        <f>779.7+(272.4-321)+(-0.795294+(-0.277848--0.32742))+0-163.9--0.167178000000026</f>
        <v>566.62145600000008</v>
      </c>
      <c r="U132" s="3">
        <f>780.4+(266.8-322.4)+(1.194012+(0.408204-0.493272))+0-169.4-0.25918200000001</f>
        <v>556.24976199999992</v>
      </c>
      <c r="V132" s="3">
        <f>780.4+(231-285.9)+(0+(0-0))+0-162.9-0</f>
        <v>562.6</v>
      </c>
      <c r="W132" s="3">
        <f>775.5+(168.3-207.4)+(0.395505+(0.085833-0.105774))+0-165.1-0.0842009999999832</f>
        <v>571.591363</v>
      </c>
      <c r="X132" s="3">
        <f>752.6+(193.6-211.1)+(-1.151478+(-0.296208--0.322983))+0-160.6--0.245718000000009</f>
        <v>573.62101500000006</v>
      </c>
      <c r="Y132" s="3">
        <f>749.1+(273-285.7)+(-0.764082+(-0.27846--0.291414))+0-168--0.171360000000027</f>
        <v>567.82023200000015</v>
      </c>
      <c r="Z132" s="3">
        <f>744.7+(200.3-160.2)+(0.379797+(0.102153-0.081702))+0-185.5-0.0946049999999812</f>
        <v>599.6056430000001</v>
      </c>
      <c r="AA132" s="3">
        <f>756.3+(181.3-183.3)+(-0.771426+(-0.184926--0.186966))+0-169.6--0.172992000000027</f>
        <v>584.1036059999999</v>
      </c>
      <c r="AB132" s="3">
        <f>762.5+(185.3-204.1)+(-0.77775+(-0.189006--0.208182))+0-170.1--0.173502000000027</f>
        <v>573.01492800000005</v>
      </c>
      <c r="AC132" s="3">
        <f>773.2+(176.5-229)+(0.788664+(0.18003-0.23358))+0-172.8-0.176256000000028</f>
        <v>548.45885799999985</v>
      </c>
      <c r="AD132">
        <v>591.79999999999995</v>
      </c>
      <c r="AE132" s="3">
        <f>767+(173.3-194.9)+(0+(0-0))+0-153.6-0</f>
        <v>591.79999999999995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769.9+(174.7-236.6)+(-1.963245+(-0.445485--0.60333))+0-173--0.441149999999975</f>
        <v>533.63575000000003</v>
      </c>
      <c r="G133" s="3">
        <f>775.2+(167.8-270.3)+(-1.186056+(-0.256734--0.413559))+0-165.3--0.25290900000001</f>
        <v>506.62367800000004</v>
      </c>
      <c r="H133" s="3">
        <f>773.4+(158-267.8)+(-1.97217+(-0.4029--0.68289))+0-168.2--0.428909999999976</f>
        <v>494.13672999999989</v>
      </c>
      <c r="I133" s="3">
        <f>777+(181-294.5)+(-1.58508+(-0.36924--0.60078))+0-167.6--0.341903999999993</f>
        <v>494.88836400000002</v>
      </c>
      <c r="J133" s="3">
        <f>778.8+(192.7-333.9)+(-1.191564+(-0.294831--0.510867))+0-165.1--0.25260300000001</f>
        <v>471.77707499999985</v>
      </c>
      <c r="K133" s="3">
        <f>779.8+(235.6-375.8)+(-1.193094+(-0.360468--0.574974))+0-164.4--0.25153200000001</f>
        <v>474.47294399999998</v>
      </c>
      <c r="L133" s="3">
        <f>781.8+(274.5-422.8)+(-0.797436+(-0.27999--0.431256))+0-161.7--0.164934000000026</f>
        <v>471.31876400000004</v>
      </c>
      <c r="M133" s="3">
        <f>786+(234.8-355.9)+(0.80172+(0.239496-0.363018))+0-163.9-0.167178000000026</f>
        <v>501.51102000000003</v>
      </c>
      <c r="N133" s="3">
        <f>775.3+(287.2-359.3)+(-1.581612+(-0.585888--0.732972))+0-164.9--0.336395999999993</f>
        <v>537.20186799999999</v>
      </c>
      <c r="O133" s="3">
        <f>776.7+(284.9-322.9)+(0.396117+(0.145299-0.164679))+0-172.3-0.0878729999999825</f>
        <v>566.68886400000019</v>
      </c>
      <c r="P133" s="3">
        <f>773.7+(190.3-205.5)+(0.789174+(0.194106-0.20961))+0-181-0.184620000000029</f>
        <v>578.08905000000004</v>
      </c>
      <c r="Q133" s="3">
        <f>766.9+(177.7-167.7)+(1.173357+(0.271881-0.256581))+0-176.4-0.26989200000001</f>
        <v>601.41876500000001</v>
      </c>
      <c r="R133" s="3">
        <f>754.1+(248.3-220)+(0.384591+(0.126633-0.1122))+0-176.3-0.0899129999999821</f>
        <v>606.40911100000017</v>
      </c>
      <c r="S133" s="3">
        <f>766.6+(288.1-283.4)+(-0.390966+(-0.146931--0.144534))+0-181--0.0923099999999816</f>
        <v>589.99894700000004</v>
      </c>
      <c r="T133" s="3">
        <f>781.1+(275.5-313.4)+(0+(0-0))+0-170.6-0</f>
        <v>572.6</v>
      </c>
      <c r="U133" s="3">
        <f>779.8+(268.1-314.2)+(-1.193094+(-0.410193--0.480726))+0-179--0.27387000000001</f>
        <v>553.85130900000001</v>
      </c>
      <c r="V133" s="3">
        <f>776.4+(216.2-267.1)+(-0.791928+(-0.220524--0.272442))+0-169.7--0.173094000000027</f>
        <v>555.23308399999996</v>
      </c>
      <c r="W133" s="3">
        <f>769.6+(166.4-192.1)+(-0.392496+(-0.084864--0.097971))+0-171.1--0.0872609999999826</f>
        <v>572.50787200000013</v>
      </c>
      <c r="X133" s="3">
        <f>749.9+(234-259.4)+(-0.764898+(-0.23868--0.264588))+0-152.6--0.155652000000024</f>
        <v>571.31666200000006</v>
      </c>
      <c r="Y133" s="3">
        <f>678.3+(340.5-300.9)+(0.691866+(0.34731-0.306918))+0-163.4-0.166668000000026</f>
        <v>555.06558999999993</v>
      </c>
      <c r="Z133" s="3">
        <f>639.7+(242.2-114.6)+(-0.326247+(-0.123522--0.058446))+0-170.9--0.0871589999999827</f>
        <v>596.09583599999996</v>
      </c>
      <c r="AA133" s="3">
        <f>660.5+(265.7-149.2)+(-1.684275+(-0.677535--0.38046))+0-177.2--0.451859999999974</f>
        <v>598.27050999999994</v>
      </c>
      <c r="AB133" s="3">
        <f>666.4+(256.7-168.1)+(0.339864+(0.130917-0.085731))+0-168.3-0.0858329999999829</f>
        <v>586.99921699999993</v>
      </c>
      <c r="AC133" s="3">
        <f>672+(249.6-189.9)+(-0.34272+(-0.127296--0.096849))+0-167.6--0.085475999999983</f>
        <v>563.81230900000003</v>
      </c>
      <c r="AD133">
        <v>614.80000000000007</v>
      </c>
      <c r="AE133" s="3">
        <f>658+(272.1-144.2)+(0+(0-0))+0-171.1-0</f>
        <v>614.80000000000007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649.5+(253.1-185.5)+(-1.656225+(-0.645405--0.473025))+0-173.5--0.442424999999975</f>
        <v>542.21381999999994</v>
      </c>
      <c r="G134" s="3">
        <f>650.3+(217.6-170.4)+(-1.326612+(-0.443904--0.347616))+0-166.6--0.339863999999993</f>
        <v>529.81696399999998</v>
      </c>
      <c r="H134" s="3">
        <f>651.2+(212.9-181.9)+(-2.324784+(-0.760053--0.649383))+0-168.8--0.602616000000002</f>
        <v>511.567162</v>
      </c>
      <c r="I134" s="3">
        <f>658.5+(206.5-189.8)+(-0.335835+(-0.105315--0.096798))+0-176.5--0.0900149999999821</f>
        <v>498.44566300000008</v>
      </c>
      <c r="J134" s="3">
        <f>660.9+(193-199)+(-0.337059+(-0.09843--0.10149))+0-156.7--0.0799169999999841</f>
        <v>497.94591800000001</v>
      </c>
      <c r="K134" s="3">
        <f>662.5+(206.8-226.5)+(-0.337875+(-0.105468--0.115515))+0-159.7--0.0814469999999838</f>
        <v>482.85361899999998</v>
      </c>
      <c r="L134" s="3">
        <f>682.4+(228-286.2)+(-0.696048+(-0.23256--0.291924))+0-134--0.136680000000021</f>
        <v>489.69999600000011</v>
      </c>
      <c r="M134" s="3">
        <f>679.5+(275.5-277.5)+(1.039635+(0.421515-0.424575))+0-151.7-0.232101000000009</f>
        <v>526.60447399999998</v>
      </c>
      <c r="N134" s="3">
        <f>666.6+(291.8-264.3)+(-0.339966+(-0.148818--0.134793))+0-141.7--0.0722669999999856</f>
        <v>552.11827600000015</v>
      </c>
      <c r="O134" s="3">
        <f>653.2+(263-193.7)+(0.999396+(0.40239-0.296361))+0-152.1-0.232713000000009</f>
        <v>571.27271199999996</v>
      </c>
      <c r="P134" s="3">
        <f>645.9+(210.8-116.4)+(0.658818+(0.215016-0.118728))+0-154.6-0.157692000000025</f>
        <v>586.29741399999989</v>
      </c>
      <c r="Q134" s="3">
        <f>643.1+(270.3-147.2)+(0.655962+(0.275706-0.150144))+0-154.9-0.157998000000025</f>
        <v>611.92352600000004</v>
      </c>
      <c r="R134" s="3">
        <f>644.2+(327.1-203.3)+(0+(0-0))+0-158.5-0</f>
        <v>609.5</v>
      </c>
      <c r="S134" s="3">
        <f>655.8+(370.9-290.3)+(-0.334458+(-0.189159--0.148053))+0-161.5--0.0823649999999836</f>
        <v>574.60680099999979</v>
      </c>
      <c r="T134" s="3">
        <f>647.7+(382.3-310.3)+(-0.660654+(-0.389946--0.316506))+0-144.1--0.146982000000023</f>
        <v>575.01288799999998</v>
      </c>
      <c r="U134" s="3">
        <f>647.4+(372.5-310.2)+(-1.320696+(-0.7599--0.632808))+0-154.4--0.314975999999993</f>
        <v>554.16718800000012</v>
      </c>
      <c r="V134" s="3">
        <f>647.1+(338.1-290.8)+(-0.330021+(-0.172431--0.148308))+0-142.4--0.0726239999999856</f>
        <v>551.71848000000011</v>
      </c>
      <c r="W134" s="3">
        <f>639.2+(255-183.6)+(-0.651984+(-0.2601--0.187272))+0-148.9--0.151878000000024</f>
        <v>561.12706600000001</v>
      </c>
      <c r="X134" s="3">
        <f>612.9+(211.2-113.8)+(-0.937737+(-0.323136--0.174114))+0-143.8--0.220014000000008</f>
        <v>565.63325499999996</v>
      </c>
      <c r="Y134" s="3">
        <f>639.3+(226.2-143.8)+(0.652086+(0.230724-0.146676))+0-160.5-0.163710000000026</f>
        <v>561.77242399999989</v>
      </c>
      <c r="Z134" s="3">
        <f>661.7+(254.2-162.6)+(0.337467+(0.129642-0.082926))+0-160.7-0.0819569999999837</f>
        <v>592.90222600000004</v>
      </c>
      <c r="AA134" s="3">
        <f>681.5+(278.9-188.2)+(-0.347565+(-0.142239--0.095982))+0-156.5--0.0798149999999841</f>
        <v>615.38599299999998</v>
      </c>
      <c r="AB134" s="3">
        <f>684.1+(282.1-200.4)+(-0.697782+(-0.287742--0.204408))+0-164.5--0.167790000000026</f>
        <v>600.68667400000015</v>
      </c>
      <c r="AC134" s="3">
        <f>693.6+(254.5-209)+(0.353736+(0.129795-0.10659))+0-151.7-0.0773669999999846</f>
        <v>587.6995740000001</v>
      </c>
      <c r="AD134">
        <v>626.20000000000005</v>
      </c>
      <c r="AE134" s="3">
        <f>679+(294.1-189.9)+(0+(0-0))+0-157-0</f>
        <v>626.20000000000005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676.7+(240.9-188)+(0.345117+(0.122859-0.09588))+0-162.2-0.0827219999999835</f>
        <v>567.68937400000016</v>
      </c>
      <c r="G135" s="3">
        <f>664.5+(222-181.3)+(-1.35558+(-0.45288--0.369852))+0-161.3--0.329051999999993</f>
        <v>542.79044399999998</v>
      </c>
      <c r="H135" s="3">
        <f>671.1+(220.7-206.8)+(-0.342261+(-0.112557--0.105468))+0-158.4--0.0807839999999839</f>
        <v>526.33143400000006</v>
      </c>
      <c r="I135" s="3">
        <f>676.7+(213.7-205)+(1.035351+(0.326961-0.31365))+0-159.3-0.243729000000009</f>
        <v>526.90493300000003</v>
      </c>
      <c r="J135" s="3">
        <f>669.5+(215.5-205)+(-0.341445+(-0.109905--0.10455))+0-163.2--0.0832319999999834</f>
        <v>516.53643199999988</v>
      </c>
      <c r="K135" s="3">
        <f>672.8+(205.8-212.9)+(0+(0-0))+0-159.3-0</f>
        <v>506.39999999999992</v>
      </c>
      <c r="L135" s="3">
        <f>677.9+(209.6-224.8)+(-0.691458+(-0.213792--0.229296))+0-162.8--0.166056000000026</f>
        <v>499.3901019999999</v>
      </c>
      <c r="M135" s="3">
        <f>680.3+(209.4-214.5)+(0+(0-0))+0-146.6-0</f>
        <v>528.59999999999991</v>
      </c>
      <c r="N135" s="3">
        <f>683.6+(222.8-195)+(0.348636+(0.113628-0.09945))+0-155.6-0.0793559999999842</f>
        <v>556.08345800000006</v>
      </c>
      <c r="O135" s="3">
        <f>682.7+(232.2-162.5)+(1.392708+(0.473688-0.3315))+0-161.6-0.329663999999993</f>
        <v>592.00523200000009</v>
      </c>
      <c r="P135" s="3">
        <f>675.7+(215.3-131.5)+(0.689214+(0.219606-0.13413))+0-149.5-0.152490000000024</f>
        <v>610.62219999999991</v>
      </c>
      <c r="Q135" s="3">
        <f>653.2+(273-164.7)+(0.666264+(0.27846-0.167994))+0-149.5-0.152490000000024</f>
        <v>612.62423999999999</v>
      </c>
      <c r="R135" s="3">
        <f>645.8+(341.7-210.7)+(-0.988074+(-0.522801--0.322371))+0-153.4--0.234702000000009</f>
        <v>622.44619799999998</v>
      </c>
      <c r="S135" s="3">
        <f>670.3+(351.3-274.3)+(-0.683706+(-0.358326--0.279786))+0-151.1--0.154122000000024</f>
        <v>595.59187599999996</v>
      </c>
      <c r="T135" s="3">
        <f>673.9+(396.3-304.3)+(0+(0-0))+0-169.1-0</f>
        <v>596.79999999999995</v>
      </c>
      <c r="U135" s="3">
        <f>671.7+(378.8-321)+(-0.685134+(-0.386376--0.32742))+0-160--0.163200000000026</f>
        <v>568.91911000000005</v>
      </c>
      <c r="V135" s="3">
        <f>673.3+(356-287.1)+(1.030149+(0.54468-0.439263))+0-160.2-0.245106000000009</f>
        <v>582.89045999999996</v>
      </c>
      <c r="W135" s="3">
        <f>673.5+(274.8-215.3)+(-1.030455+(-0.420444--0.329409))+0-167--0.25551000000001</f>
        <v>565.13401999999996</v>
      </c>
      <c r="X135" s="3">
        <f>655+(211.2-121.8)+(-1.3362+(-0.430848--0.248472))+0-176.3--0.359651999999992</f>
        <v>566.94107599999995</v>
      </c>
      <c r="Y135" s="3">
        <f>651.4+(208.6-127.2)+(0.332214+(0.106386-0.064872))+0-168.7-0.0860369999999829</f>
        <v>564.3876909999999</v>
      </c>
      <c r="Z135" s="3">
        <f>651.1+(312.2-189.5)+(0.332061+(0.159222-0.096645))+0-198.2-0.10108199999998</f>
        <v>575.89355599999988</v>
      </c>
      <c r="AA135" s="3">
        <f>646.4+(337.7-200.1)+(-1.64832+(-0.861135--0.510255))+0-188.8--0.481439999999973</f>
        <v>593.68224000000009</v>
      </c>
      <c r="AB135" s="3">
        <f>654.7+(334.4-205.2)+(-0.667794+(-0.341088--0.209304))+0-191.7--0.195534000000031</f>
        <v>591.59595600000023</v>
      </c>
      <c r="AC135" s="3">
        <f>662+(305.3-214.7)+(-0.33762+(-0.155703--0.109497))+0-178--0.0907799999999819</f>
        <v>574.30695400000002</v>
      </c>
      <c r="AD135">
        <v>583.69999999999993</v>
      </c>
      <c r="AE135" s="3">
        <f>646+(331.8-207.1)+(0+(0-0))+0-187-0</f>
        <v>583.70000000000005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657.5+(279.8-202.5)+(-0.335325+(-0.142698--0.103275))+0-193--0.0984299999999804</f>
        <v>541.52368200000001</v>
      </c>
      <c r="G136" s="3">
        <f>654.4+(227.8-183.7)+(-1.66872+(-0.58089--0.468435))+0-178.1--0.454154999999974</f>
        <v>519.07298000000003</v>
      </c>
      <c r="H136" s="3">
        <f>663.3+(203-197.2)+(-0.676566+(-0.20706--0.201144))+0-155--0.158100000000025</f>
        <v>513.57561799999985</v>
      </c>
      <c r="I136" s="3">
        <f>667.3+(189.7-225.6)+(0.340323+(0.096747-0.115056))+0-131-0.0668099999999867</f>
        <v>500.65520399999997</v>
      </c>
      <c r="J136" s="3">
        <f>665.8+(173.9-209.2)+(-0.339558+(-0.088689--0.106692))+0-136--0.0693599999999862</f>
        <v>494.24780499999997</v>
      </c>
      <c r="K136" s="3">
        <f>665.9+(167.6-212.9)+(-0.339609+(-0.085476--0.108579))+0-139--0.0708899999999859</f>
        <v>481.35438399999987</v>
      </c>
      <c r="L136" s="3">
        <f>664.8+(135.3-192.4)+(-1.017144+(-0.207009--0.294372))+0-139--0.212670000000008</f>
        <v>467.98288899999989</v>
      </c>
      <c r="M136" s="3">
        <f>666.5+(144.8-172.3)+(0.339915+(0.073848-0.087873))+0-155-0.0790499999999843</f>
        <v>484.24683999999996</v>
      </c>
      <c r="N136" s="3">
        <f>663.2+(179.1-150.1)+(0+(0-0))+0-161-0</f>
        <v>531.20000000000005</v>
      </c>
      <c r="O136" s="3">
        <f>660+(198.2-137)+(1.0098+(0.303246-0.20961))+0-157-0.240210000000009</f>
        <v>565.06322599999999</v>
      </c>
      <c r="P136" s="3">
        <f>654.6+(245.4-172.5)+(0.667692+(0.250308-0.17595))+0-149-0.151980000000024</f>
        <v>579.09006999999997</v>
      </c>
      <c r="Q136" s="3">
        <f>648.7+(331.1-235.7)+(0.992511+(0.506583-0.360621))+0-158-0.241740000000009</f>
        <v>586.99673300000006</v>
      </c>
      <c r="R136" s="3">
        <f>670.1+(436.9-356.3)+(-0.341751+(-0.222819--0.181713))+0-138--0.070379999999986</f>
        <v>612.3875230000001</v>
      </c>
      <c r="S136" s="3">
        <f>669.5+(478.5-407.3)+(-0.341445+(-0.244035--0.207723))+0-147--0.0749699999999851</f>
        <v>593.39721300000008</v>
      </c>
      <c r="T136" s="3">
        <f>676.1+(485.6-429.8)+(0.344811+(0.247656-0.219198))+0-153-0.0780299999999845</f>
        <v>579.19523900000013</v>
      </c>
      <c r="U136" s="3">
        <f>679.1+(400.9-404.9)+(0.346341+(0.204459-0.206499))+0-150-0.0764999999999848</f>
        <v>525.36780099999999</v>
      </c>
      <c r="V136" s="3">
        <f>682.8+(427.3-386.6)+(-0.348228+(-0.217923--0.197166))+0-169.6--0.0864959999999828</f>
        <v>553.61751100000004</v>
      </c>
      <c r="W136" s="3">
        <f>683.7+(322.1-292.7)+(-1.046061+(-0.492813--0.447831))+0-158.6--0.242658000000009</f>
        <v>553.65161500000011</v>
      </c>
      <c r="X136" s="3">
        <f>676.8+(177.8-154.1)+(-0.345168+(-0.090678--0.078591))+0-144.6--0.0737459999999853</f>
        <v>555.616491</v>
      </c>
      <c r="Y136" s="3">
        <f>669+(182.2-145.4)+(-0.68238+(-0.185844--0.148308))+0-138.7--0.141474000000022</f>
        <v>566.52155799999991</v>
      </c>
      <c r="Z136" s="3">
        <f>693.7+(264.6-238.2)+(-0.707574+(-0.269892--0.242964))+0-144.9--0.147798000000023</f>
        <v>574.61329600000022</v>
      </c>
      <c r="AA136" s="3">
        <f>703.5+(307.5-229.5)+(-1.076355+(-0.470475--0.351135))+0-177.3--0.27126900000001</f>
        <v>603.27557399999989</v>
      </c>
      <c r="AB136" s="3">
        <f>707.7+(283.6-239.1)+(0.360927+(0.144636-0.121941))+0-157.6-0.080375999999984</f>
        <v>594.90324599999997</v>
      </c>
      <c r="AC136" s="3">
        <f>710.6+(291.9-250.1)+(-0.362406+(-0.148869--0.127551))+0-165.6--0.0844559999999832</f>
        <v>586.50073199999986</v>
      </c>
      <c r="AD136">
        <v>574.89999999999986</v>
      </c>
      <c r="AE136" s="3">
        <f>688+(308.9-263.8)+(0+(0-0))+0-158.2-0</f>
        <v>574.89999999999986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706.5+(235.4-217.6)+(0+(0-0))+0-159.1-0</f>
        <v>565.19999999999993</v>
      </c>
      <c r="G137" s="3">
        <f>692.9+(196.6-176.5)+(-0.353379+(-0.100266--0.090015))+0-164.6--0.0839459999999833</f>
        <v>548.120316</v>
      </c>
      <c r="H137" s="3">
        <f>696.4+(181-183.8)+(-0.710328+(-0.18462--0.187476))+0-163.2--0.166464000000026</f>
        <v>529.85899199999983</v>
      </c>
      <c r="I137" s="3">
        <f>700.6+(174.4-193)+(-0.714612+(-0.177888--0.19686))+0-162.5--0.165750000000026</f>
        <v>518.97010999999998</v>
      </c>
      <c r="J137" s="3">
        <f>705.7+(177.2-203.3)+(-1.439628+(-0.361488--0.414732))+0-169.3--0.345371999999993</f>
        <v>509.25898799999999</v>
      </c>
      <c r="K137" s="3">
        <f>706.5+(170.5-217.6)+(-1.44126+(-0.34782--0.443904))+0-162.5--0.331499999999993</f>
        <v>495.88632399999995</v>
      </c>
      <c r="L137" s="3">
        <f>710.4+(233.7-292.4)+(-1.449216+(-0.476748--0.596496))+0-167--0.340679999999993</f>
        <v>483.71121200000005</v>
      </c>
      <c r="M137" s="3">
        <f>710.6+(235.9-289.2)+(1.81203+(0.601545-0.73746))+0-149.5-0.381224999999978</f>
        <v>509.09489000000008</v>
      </c>
      <c r="N137" s="3">
        <f>697.1+(257.4-253.9)+(0.711042+(0.262548-0.258978))+0-161.4-0.164628000000026</f>
        <v>539.74998400000004</v>
      </c>
      <c r="O137" s="3">
        <f>689.9+(168.1-139.6)+(0.703698+(0.171462-0.142392))+0-149.2-0.152184000000024</f>
        <v>569.78058399999986</v>
      </c>
      <c r="P137" s="3">
        <f>682.7+(198.9-149.4)+(1.044531+(0.304317-0.228582))+0-148.5-0.227205000000009</f>
        <v>584.59306100000003</v>
      </c>
      <c r="Q137" s="3">
        <f>670.8+(293.2-217.3)+(1.368432+(0.598128-0.443292))+0-152.3-0.310691999999993</f>
        <v>595.61257599999999</v>
      </c>
      <c r="R137" s="3">
        <f>687.7+(323.1-279.8)+(0.701454+(0.329562-0.285396))+0-152.4-0.155448000000024</f>
        <v>579.19017200000008</v>
      </c>
      <c r="S137" s="3">
        <f>686+(372.4-333.9)+(-0.34986+(-0.189924--0.170289))+0-161.1--0.0821609999999837</f>
        <v>563.11266599999988</v>
      </c>
      <c r="T137" s="3">
        <f>681.6+(389.9-365.5)+(-0.347616+(-0.198849--0.186405))+0-152.9--0.0779789999999845</f>
        <v>552.81791900000007</v>
      </c>
      <c r="U137" s="3">
        <f>679.3+(363.9-356.5)+(-1.385772+(-0.742356--0.72726))+0-158.2--0.322727999999993</f>
        <v>527.42186000000004</v>
      </c>
      <c r="V137" s="3">
        <f>679.5+(338-334.8)+(0.346545+(0.17238-0.170748))+0-146.4-0.0746639999999851</f>
        <v>536.57351300000005</v>
      </c>
      <c r="W137" s="3">
        <f>677.7+(239.5-224.1)+(-1.036881+(-0.366435--0.342873))+0-147.1--0.225063000000008</f>
        <v>545.16462000000001</v>
      </c>
      <c r="X137" s="3">
        <f>670.7+(162.2-144.7)+(-0.684114+(-0.165444--0.147594))+0-150.6--0.153612000000024</f>
        <v>537.05164800000011</v>
      </c>
      <c r="Y137" s="3">
        <f>659+(162.8-146.9)+(0+(0-0))+0-144.2-0</f>
        <v>530.70000000000005</v>
      </c>
      <c r="Z137" s="3">
        <f>687.8+(216.6-194.4)+(-0.701556+(-0.220932--0.198288))+0-156.8--0.159936000000025</f>
        <v>552.63573599999995</v>
      </c>
      <c r="AA137" s="3">
        <f>695.3+(262-211.4)+(-1.773015+(-0.6681--0.53907))+0-166.5--0.424574999999976</f>
        <v>577.92252999999994</v>
      </c>
      <c r="AB137" s="3">
        <f>697.8+(261.6-217.2)+(-0.711756+(-0.266832--0.221544))+0-176.9--0.180438000000028</f>
        <v>564.7233940000001</v>
      </c>
      <c r="AC137" s="3">
        <f>692.5+(277.2-238.5)+(-0.70635+(-0.282744--0.24327))+0-175.7--0.179214000000028</f>
        <v>554.93339000000014</v>
      </c>
      <c r="AD137">
        <v>564.09999999999991</v>
      </c>
      <c r="AE137" s="3">
        <f>683+(267.9-220)+(0+(0-0))+0-166.8-0</f>
        <v>564.09999999999991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678.4+(241.3-220.8)+(-0.345984+(-0.123063--0.112608))+0-160--0.0815999999999838</f>
        <v>538.62516099999993</v>
      </c>
      <c r="G138" s="3">
        <f>680.5+(207-198.3)+(-0.69411+(-0.21114--0.202266))+0-166.9--0.170238000000027</f>
        <v>521.76725400000009</v>
      </c>
      <c r="H138" s="3">
        <f>688.2+(168.2-181)+(-2.105892+(-0.514692--0.55386))+0-166.4--0.509184000000019</f>
        <v>507.4424600000001</v>
      </c>
      <c r="I138" s="3">
        <f>694.3+(162.2-189)+(0.708186+(0.165444-0.19278))+0-176.9-0.180438000000028</f>
        <v>491.10041199999995</v>
      </c>
      <c r="J138" s="3">
        <f>702+(160.1-201.4)+(-0.35802+(-0.081651--0.102714))+0-170.4--0.0869039999999827</f>
        <v>490.04994700000009</v>
      </c>
      <c r="K138" s="3">
        <f>707.2+(144.6-214.4)+(-0.360672+(-0.073746--0.109344))+0-163.9--0.0835889999999834</f>
        <v>473.2585150000001</v>
      </c>
      <c r="L138" s="3">
        <f>702.3+(154.7-285.6)+(-1.432692+(-0.315588--0.582624))+0-134.1--0.273563999999994</f>
        <v>436.40790799999985</v>
      </c>
      <c r="M138" s="3">
        <f>695.7+(140.1-260.8)+(-1.419228+(-0.285804--0.532032))+0-135.8--0.277031999999994</f>
        <v>438.30403200000001</v>
      </c>
      <c r="N138" s="3">
        <f>688.9+(135.2-226.7)+(0+(0-0))+0-143.7-0</f>
        <v>453.7</v>
      </c>
      <c r="O138" s="3">
        <f>677.8+(150.4-205.9)+(0+(0-0))+0-151.2-0</f>
        <v>471.09999999999997</v>
      </c>
      <c r="P138" s="3">
        <f>668.6+(154.6-182.7)+(-0.681972+(-0.157692--0.186354))+0-145.8--0.148716000000023</f>
        <v>494.19540599999999</v>
      </c>
      <c r="Q138" s="3">
        <f>665.8+(168.7-172.9)+(0.679116+(0.172074-0.176358))+0-158.9-0.162078000000025</f>
        <v>503.21275399999996</v>
      </c>
      <c r="R138" s="3">
        <f>670.3+(254-255.4)+(-0.683706+(-0.25908--0.260508))+0-162.8--0.166056000000026</f>
        <v>505.583778</v>
      </c>
      <c r="S138" s="3">
        <f>683.1+(316-334.3)+(0.348381+(0.16116-0.170493))+0-158.4-0.0807839999999839</f>
        <v>506.65826400000003</v>
      </c>
      <c r="T138" s="3">
        <f>682.9+(343.2-370.7)+(-0.348279+(-0.175032--0.189057))+0-156.3--0.0797129999999841</f>
        <v>498.84545899999995</v>
      </c>
      <c r="U138" s="3">
        <f>681.4+(352.3-361.8)+(-0.347514+(-0.179673--0.184518))+0-169.5--0.0864449999999828</f>
        <v>502.14377599999995</v>
      </c>
      <c r="V138" s="3">
        <f>680.8+(318.7-334.1)+(0+(0-0))+0-169.5-0</f>
        <v>495.89999999999986</v>
      </c>
      <c r="W138" s="3">
        <f>681.4+(201.5-209)+(-1.390056+(-0.41106--0.42636))+0-171.7--0.350267999999992</f>
        <v>501.17551199999991</v>
      </c>
      <c r="X138" s="3">
        <f>655.9+(166.2-160.5)+(-0.669018+(-0.169524--0.16371))+0-154.7--0.157794000000025</f>
        <v>506.38296199999991</v>
      </c>
      <c r="Y138" s="3">
        <f>659.7+(163-171.5)+(-0.672894+(-0.16626--0.17493))+0-144.1--0.146982000000023</f>
        <v>506.58275800000007</v>
      </c>
      <c r="Z138" s="3">
        <f>685.4+(187.5-176.8)+(-0.699108+(-0.19125--0.180336))+0-169.4--0.172788000000027</f>
        <v>526.16276600000003</v>
      </c>
      <c r="AA138" s="3">
        <f>699.3+(192.9-188.4)+(-1.069929+(-0.295137--0.288252))+0-165.2--0.25275600000001</f>
        <v>537.77594199999987</v>
      </c>
      <c r="AB138" s="3">
        <f>703.4+(196.8-196.2)+(-0.717468+(-0.200736--0.200124))+0-164.2--0.167484000000026</f>
        <v>539.24940400000014</v>
      </c>
      <c r="AC138" s="3">
        <f>702.4+(207.4-215.8)+(0.358224+(0.105774-0.110058))+0-156.2-0.0796619999999841</f>
        <v>538.07427799999994</v>
      </c>
      <c r="AD138">
        <v>557.70000000000005</v>
      </c>
      <c r="AE138" s="3">
        <f>699+(201-193.1)+(0+(0-0))+0-149.2-0</f>
        <v>557.70000000000005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667.9+(221.4-214.9)+(0+(0-0))+0-153.1-0</f>
        <v>521.29999999999995</v>
      </c>
      <c r="G139" s="3">
        <f>663.9+(200.4-194.1)+(-0.338589+(-0.102204--0.098991))+0-166.6--0.0849659999999831</f>
        <v>503.343164</v>
      </c>
      <c r="H139" s="3">
        <f>666.5+(200.5-209)+(-0.339915+(-0.102255--0.10659))+0-167.4--0.085373999999983</f>
        <v>490.34979399999997</v>
      </c>
      <c r="I139" s="3">
        <f>665.6+(195-213.6)+(-0.678912+(-0.1989--0.217872))+0-164.1--0.167382000000026</f>
        <v>482.407442</v>
      </c>
      <c r="J139" s="3">
        <f>667.9+(194.8-209.2)+(-1.021887+(-0.298044--0.320076))+0-168--0.25704000000001</f>
        <v>484.75718499999999</v>
      </c>
      <c r="K139" s="3">
        <f>667.5+(185-217)+(-1.021275+(-0.28305--0.33201))+0-158.9--0.243117000000009</f>
        <v>475.87080200000003</v>
      </c>
      <c r="L139" s="3">
        <f>670.6+(267-313.5)+(-0.342006+(-0.13617--0.159885))+0-143.6--0.0732359999999854</f>
        <v>480.25494499999996</v>
      </c>
      <c r="M139" s="3">
        <f>681.4+(277.6-309.5)+(0.695028+(0.283152-0.31569))+0-146.8-0.149736000000023</f>
        <v>503.21275400000002</v>
      </c>
      <c r="N139" s="3">
        <f>677.9+(273.9-273.1)+(1.037187+(0.419067-0.417843))+0-143.4-0.219402000000008</f>
        <v>536.11900899999989</v>
      </c>
      <c r="O139" s="3">
        <f>669.4+(231.3-192.6)+(0.341394+(0.117963-0.098226))+0-148.6-0.0757859999999849</f>
        <v>559.78534500000001</v>
      </c>
      <c r="P139" s="3">
        <f>676.7+(215.7-144.6)+(0+(0-0))+0-162.5-0</f>
        <v>585.30000000000007</v>
      </c>
      <c r="Q139" s="3">
        <f>664.4+(233.4-159.3)+(0.338844+(0.119034-0.081243))+0-158.3-0.0807329999999839</f>
        <v>580.49590199999989</v>
      </c>
      <c r="R139" s="3">
        <f>688.2+(325.2-241.2)+(0.350982+(0.165852-0.123012))+0-160.4-0.0818039999999837</f>
        <v>612.11201800000003</v>
      </c>
      <c r="S139" s="3">
        <f>681.7+(392.1-302.9)+(-0.347667+(-0.199971--0.154479))+0-160.1--0.0816509999999838</f>
        <v>610.48849200000006</v>
      </c>
      <c r="T139" s="3">
        <f>684.4+(409.4-328.6)+(0.349044+(0.208794-0.167586))+0-157.3-0.080222999999984</f>
        <v>608.21002900000008</v>
      </c>
      <c r="U139" s="3">
        <f>662.2+(415.8-341.6)+(-1.013166+(-0.636174--0.522648))+0-169.6--0.25948800000001</f>
        <v>565.93279600000005</v>
      </c>
      <c r="V139" s="3">
        <f>654.9+(365.4-298.4)+(-0.333999+(-0.186354--0.152184))+0-161.9--0.0825689999999836</f>
        <v>559.71440000000007</v>
      </c>
      <c r="W139" s="3">
        <f>657.4+(237.4-180.1)+(-1.341096+(-0.484296--0.367404))+0-143.7--0.293147999999994</f>
        <v>569.83516000000009</v>
      </c>
      <c r="X139" s="3">
        <f>657.7+(172.1-123.2)+(0+(0-0))+0-145.7-0</f>
        <v>560.90000000000009</v>
      </c>
      <c r="Y139" s="3">
        <f>661.1+(182.3-128.2)+(1.011483+(0.278919-0.196146))+0-148-0.226440000000009</f>
        <v>568.06781599999999</v>
      </c>
      <c r="Z139" s="3">
        <f>687+(222.6-161.8)+(0.35037+(0.113526-0.082518))+0-169.5-0.0864449999999828</f>
        <v>578.59493299999997</v>
      </c>
      <c r="AA139" s="3">
        <f>695+(237.4-158.7)+(-1.06335+(-0.363222--0.242811))+0-177.9--0.27218700000001</f>
        <v>594.88842600000009</v>
      </c>
      <c r="AB139" s="3">
        <f>697.8+(217.3-122.3)+(1.067634+(0.332469-0.187119))+0-181.5-0.27769500000001</f>
        <v>612.23528899999997</v>
      </c>
      <c r="AC139" s="3">
        <f>695.7+(234.9-117.8)+(-0.354807+(-0.119799--0.060078))+0-174.4--0.0889439999999823</f>
        <v>638.07441600000004</v>
      </c>
      <c r="AD139">
        <v>596.20000000000005</v>
      </c>
      <c r="AE139" s="3">
        <f>688+(261.7-176.2)+(0+(0-0))+0-177.3-0</f>
        <v>596.20000000000005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679+(208.7-175.2)+(0.34629+(0.106437-0.089352))+0-166.7-0.0850169999999831</f>
        <v>546.07835800000009</v>
      </c>
      <c r="G140" s="3">
        <f>678.7+(178.4-168.4)+(0+(0-0))+0-153.2-0</f>
        <v>535.5</v>
      </c>
      <c r="H140" s="3">
        <f>685.3+(168.4-181.9)+(1.048509+(0.257652-0.278307))+0-150.9-0.230877000000009</f>
        <v>521.69697700000006</v>
      </c>
      <c r="I140" s="3">
        <f>687+(163-199)+(0+(0-0))+0-148-0</f>
        <v>503</v>
      </c>
      <c r="J140" s="3">
        <f>690.5+(160.3-190.1)+(0.352155+(0.081753-0.096951))+0-163.9-0.0835889999999834</f>
        <v>497.05336800000009</v>
      </c>
      <c r="K140" s="3">
        <f>695.2+(142.2-187.9)+(-0.354552+(-0.072522--0.095829))+0-165.3--0.0843029999999832</f>
        <v>483.953058</v>
      </c>
      <c r="L140" s="3">
        <f>704.2+(146.3-224.1)+(-2.513994+(-0.522291--0.800037))+0-142.9--0.510153000000002</f>
        <v>481.77390500000007</v>
      </c>
      <c r="M140" s="3">
        <f>704.1+(162.1-208.5)+(0.359091+(0.082671-0.106335))+0-144.5-0.0736949999999853</f>
        <v>513.4617320000001</v>
      </c>
      <c r="N140" s="3">
        <f>694.7+(179.7-169.2)+(0.708594+(0.183294-0.172584))+0-165.8-0.169116000000026</f>
        <v>539.95018800000003</v>
      </c>
      <c r="O140" s="3">
        <f>683.3+(182.3-135.3)+(0.348483+(0.092973-0.069003))+0-159.6-0.0813959999999838</f>
        <v>570.99105699999996</v>
      </c>
      <c r="P140" s="3">
        <f>673.4+(189.7-135.7)+(0.686868+(0.193494-0.138414))+0-158.9-0.162078000000025</f>
        <v>569.07986999999991</v>
      </c>
      <c r="Q140" s="3">
        <f>664.6+(249.2-167.9)+(-0.338946+(-0.127092--0.085629))+0-148.3--0.075632999999985</f>
        <v>597.29522400000008</v>
      </c>
      <c r="R140" s="3">
        <f>666.1+(392-301.1)+(0+(0-0))+0-154.6-0</f>
        <v>602.4</v>
      </c>
      <c r="S140" s="3">
        <f>681.1+(432.3-350.9)+(-1.736805+(-1.102365--0.894795))+0-170.5--0.434774999999975</f>
        <v>590.49039999999991</v>
      </c>
      <c r="T140" s="3">
        <f>679.2+(437.3-351.2)+(-0.692784+(-0.446046--0.358224))+0-167.3--0.170646000000027</f>
        <v>597.39004</v>
      </c>
      <c r="U140" s="3">
        <f>677.3+(379.5-326.1)+(-0.345423+(-0.193545--0.166311))+0-148.8--0.0758879999999849</f>
        <v>581.60323099999994</v>
      </c>
      <c r="V140" s="3">
        <f>676.5+(376.5-318.4)+(1.035045+(0.576045-0.487152))+0-166.8-0.25520400000001</f>
        <v>568.66873399999986</v>
      </c>
      <c r="W140" s="3">
        <f>659+(302.9-225.9)+(-0.33609+(-0.154479--0.115209))+0-164.9--0.0840989999999833</f>
        <v>570.80873900000006</v>
      </c>
      <c r="X140" s="3">
        <f>658.7+(173.7-104.2)+(-1.343748+(-0.354348--0.212568))+0-157.3--0.320891999999993</f>
        <v>569.73536399999989</v>
      </c>
      <c r="Y140" s="3">
        <f>658.3+(174.7-104.1)+(-1.007199+(-0.267291--0.159273))+0-159.9--0.244647000000009</f>
        <v>568.12942999999996</v>
      </c>
      <c r="Z140" s="3">
        <f>666.8+(237.4-161.4)+(-0.340068+(-0.121074--0.082314))+0-162--0.0826199999999836</f>
        <v>580.50379199999998</v>
      </c>
      <c r="AA140" s="3">
        <f>651.4+(322.5-206.3)+(-1.328856+(-0.6579--0.420852))+0-174.9--0.356795999999992</f>
        <v>591.49089199999992</v>
      </c>
      <c r="AB140" s="3">
        <f>647.4+(339.3-220.4)+(-0.660348+(-0.346086--0.224808))+0-181--0.184620000000029</f>
        <v>584.70299399999999</v>
      </c>
      <c r="AC140" s="3">
        <f>652.4+(330.6-232.8)+(0+(0-0))+0-175.7-0</f>
        <v>574.5</v>
      </c>
      <c r="AD140">
        <v>578.9</v>
      </c>
      <c r="AE140" s="3">
        <f>665+(280.1-202.1)+(0+(0-0))+0-164.1-0</f>
        <v>578.9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646.3+(289.1-214.9)+(-1.977678+(-0.884646--0.657594))+0-160.5--0.491130000000019</f>
        <v>558.28639999999996</v>
      </c>
      <c r="G141" s="3">
        <f>648+(227.4-155.4)+(-1.6524+(-0.57987--0.39627))+0-172.5--0.439874999999975</f>
        <v>546.10387500000002</v>
      </c>
      <c r="H141" s="3">
        <f>655.3+(205.4-156.1)+(-0.334203+(-0.104754--0.079611))+0-169.9--0.0866489999999828</f>
        <v>534.42730299999994</v>
      </c>
      <c r="I141" s="3">
        <f>658.3+(191.4-172.8)+(0.335733+(0.097614-0.088128))+0-155.6-0.0793559999999842</f>
        <v>521.56586300000004</v>
      </c>
      <c r="J141" s="3">
        <f>657.9+(186.4-171.8)+(-0.671058+(-0.190128--0.175236))+0-158.3--0.161466000000025</f>
        <v>513.67551600000002</v>
      </c>
      <c r="K141" s="3">
        <f>659.3+(164.6-175.9)+(-1.008729+(-0.251838--0.269127))+0-140.5--0.214965000000008</f>
        <v>506.723525</v>
      </c>
      <c r="L141" s="3">
        <f>661.2+(164.5-188.9)+(-2.023272+(-0.50337--0.578034))+0-131.7--0.403002000000015</f>
        <v>503.55439400000006</v>
      </c>
      <c r="M141" s="3">
        <f>664.9+(161.7-179.5)+(-0.678198+(-0.164934--0.18309))+0-129.1--0.131682000000021</f>
        <v>517.47163999999998</v>
      </c>
      <c r="N141" s="3">
        <f>672.3+(175-166.4)+(0.685746+(0.1785-0.169728))+0-135-0.137700000000022</f>
        <v>546.456818</v>
      </c>
      <c r="O141" s="3">
        <f>665.6+(184.2-132.3)+(-1.018368+(-0.281826--0.202419))+0-140.1--0.214353000000008</f>
        <v>576.51657799999998</v>
      </c>
      <c r="P141" s="3">
        <f>660.1+(196.7-102)+(0.336651+(0.100317-0.05202))+0-161.8-0.0825179999999836</f>
        <v>593.30242999999996</v>
      </c>
      <c r="Q141" s="3">
        <f>657.7+(218.5-112.4)+(0+(0-0))+0-141.6-0</f>
        <v>622.20000000000005</v>
      </c>
      <c r="R141" s="3">
        <f>656.9+(386.8-312.8)+(-0.335019+(-0.197268--0.159528))+0-123.7--0.0630869999999875</f>
        <v>606.89032799999995</v>
      </c>
      <c r="S141" s="3">
        <f>668.9+(447.6-395)+(-0.682278+(-0.456552--0.4029))+0-106.2--0.108324000000017</f>
        <v>614.67239399999994</v>
      </c>
      <c r="T141" s="3">
        <f>665.4+(495.5-422.6)+(0.339354+(0.252705-0.215526))+0-159-0.0810899999999839</f>
        <v>579.59544299999993</v>
      </c>
      <c r="U141" s="3">
        <f>661.6+(528.6-461.5)+(-1.012248+(-0.808758--0.706095))+0-166.9--0.25535700000001</f>
        <v>560.94044600000007</v>
      </c>
      <c r="V141" s="3">
        <f>654.7+(502.3-435.8)+(-1.669485+(-1.280865--1.11129))+0-159.6--0.406979999999977</f>
        <v>560.16791999999998</v>
      </c>
      <c r="W141" s="3">
        <f>656.8+(360.1-281.4)+(-1.339872+(-0.734604--0.574056))+0-172.2--0.351287999999992</f>
        <v>562.15086800000006</v>
      </c>
      <c r="X141" s="3">
        <f>660.2+(175.3-120)+(-2.020212+(-0.536418--0.3672))+0-154.8--0.473688000000018</f>
        <v>558.98425799999995</v>
      </c>
      <c r="Y141" s="3">
        <f>664.8+(170.4-108.4)+(-0.678096+(-0.173808--0.110568))+0-161.6--0.164832000000026</f>
        <v>564.62349599999993</v>
      </c>
      <c r="Z141" s="3">
        <f>680.9+(328-251.3)+(0+(0-0))+0-188.4-0</f>
        <v>569.19999999999993</v>
      </c>
      <c r="AA141" s="3">
        <f>681.9+(387.8-287.2)+(-2.434383+(-1.384446--1.025304))+0-199.3--0.711501000000003</f>
        <v>581.117976</v>
      </c>
      <c r="AB141" s="3">
        <f>670.6+(391.3-291.4)+(-1.026018+(-0.598689--0.445842))+0-179.6--0.27478800000001</f>
        <v>589.99592300000006</v>
      </c>
      <c r="AC141" s="3">
        <f>672+(395.5-311.7)+(-0.68544+(-0.40341--0.317934))+0-174.1--0.177582000000028</f>
        <v>581.1066659999999</v>
      </c>
      <c r="AD141">
        <v>587.4</v>
      </c>
      <c r="AE141" s="3">
        <f>680+(395.3-291.3)+(0+(0-0))+0-196.6-0</f>
        <v>587.4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687.2+(357.6-284.3)+(-0.700944+(-0.364752--0.289986))+0-196.1--0.200022000000031</f>
        <v>563.82431199999996</v>
      </c>
      <c r="G142" s="3">
        <f>691.2+(255.6-224.7)+(-0.352512+(-0.130356--0.114597))+0-182.4--0.0930239999999815</f>
        <v>539.42475300000001</v>
      </c>
      <c r="H142" s="3">
        <f>697.9+(217.2-195.7)+(0+(0-0))+0-187.4-0</f>
        <v>532</v>
      </c>
      <c r="I142" s="3">
        <f>703.1+(182.7-190.1)+(-1.075743+(-0.279531--0.290853))+0-185.5--0.283815000000011</f>
        <v>509.41939400000001</v>
      </c>
      <c r="J142" s="3">
        <f>704.2+(172.1-195.4)+(1.077426+(0.263313-0.298962))+0-175.4-0.26836200000001</f>
        <v>506.27341500000011</v>
      </c>
      <c r="K142" s="3">
        <f>707.6+(170.6-191.1)+(-1.443504+(-0.348024--0.389844))+0-188.3--0.384131999999992</f>
        <v>497.78244799999993</v>
      </c>
      <c r="L142" s="3">
        <f>710.6+(163.1-205.9)+(-1.087218+(-0.249543--0.315027))+0-173--0.26469000000001</f>
        <v>494.04295599999995</v>
      </c>
      <c r="M142" s="3">
        <f>704.7+(174-197.1)+(0.359397+(0.08874-0.100521))+0-163.3-0.0832829999999834</f>
        <v>518.56433300000003</v>
      </c>
      <c r="N142" s="3">
        <f>696.1+(190.3-161.8)+(0.355011+(0.097053-0.082518))+0-174.7-0.0890969999999823</f>
        <v>550.18044899999995</v>
      </c>
      <c r="O142" s="3">
        <f>677.5+(200.3-145.6)+(0.69105+(0.204306-0.148512))+0-176-0.179520000000028</f>
        <v>556.76732400000003</v>
      </c>
      <c r="P142" s="3">
        <f>671.2+(224.4-146)+(0+(0-0))+0-173.7-0</f>
        <v>575.90000000000009</v>
      </c>
      <c r="Q142" s="3">
        <f>663.3+(333.5-239.4)+(0.676566+(0.34017-0.244188))+0-171-0.174420000000027</f>
        <v>586.99812799999995</v>
      </c>
      <c r="R142" s="3">
        <f>656.7+(434.6-331)+(0.334917+(0.221646-0.16881))+0-173.8-0.0886379999999824</f>
        <v>586.79911500000003</v>
      </c>
      <c r="S142" s="3">
        <f>652.5+(466.8-378.8)+(-0.998325+(-0.714204--0.579564))+0-163.3--0.249849000000009</f>
        <v>576.31688400000007</v>
      </c>
      <c r="T142" s="3">
        <f>654.3+(413-409.9)+(0+(0-0))+0-173-0</f>
        <v>484.4</v>
      </c>
      <c r="U142" s="3">
        <f>668+(456.6-431.2)+(-1.02204+(-0.698598--0.659736))+0-168.7--0.25811100000001</f>
        <v>523.89720900000009</v>
      </c>
      <c r="V142" s="3">
        <f>665.8+(438.1-378.2)+(-1.69779+(-1.117155--0.96441))+0-183.1--0.466904999999973</f>
        <v>541.21636999999998</v>
      </c>
      <c r="W142" s="3">
        <f>666.2+(275-207.2)+(-1.019286+(-0.42075--0.317016))+0-183.2--0.280296000000011</f>
        <v>549.95727599999998</v>
      </c>
      <c r="X142" s="3">
        <f>648.4+(197.5-124.1)+(-0.661368+(-0.20145--0.126582))+0-174.9--0.178398000000028</f>
        <v>546.34216200000003</v>
      </c>
      <c r="Y142" s="3">
        <f>651+(183.3-113.1)+(0.66402+(0.186966-0.115362))+0-182.5-0.186150000000029</f>
        <v>539.24947400000008</v>
      </c>
      <c r="Z142" s="3">
        <f>659.6+(265.7-194.4)+(-1.345584+(-0.542028--0.396576))+0-177.7--0.362507999999992</f>
        <v>552.07147199999997</v>
      </c>
      <c r="AA142" s="3">
        <f>665.1+(300.1-204.4)+(-1.696005+(-0.765255--0.52122))+0-185.1--0.472004999999973</f>
        <v>574.23196500000006</v>
      </c>
      <c r="AB142" s="3">
        <f>670.7+(313-237.7)+(-0.684114+(-0.31926--0.242454))+0-173--0.176460000000028</f>
        <v>572.41553999999996</v>
      </c>
      <c r="AC142" s="3">
        <f>682.4+(332-268.6)+(-0.696048+(-0.33864--0.273972))+0-183.2--0.186864000000029</f>
        <v>562.02614799999992</v>
      </c>
      <c r="AD142">
        <v>582.4</v>
      </c>
      <c r="AE142" s="3">
        <f>659+(317.4-210.4)+(0+(0-0))+0-183.6-0</f>
        <v>582.4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690.6+(300.1-264.2)+(-1.76103+(-0.765255--0.67371))+0-177.8--0.453389999999974</f>
        <v>547.30081499999994</v>
      </c>
      <c r="G143" s="3">
        <f>694.4+(224.8-211.6)+(-1.77072+(-0.57324--0.53958))+0-176.2--0.449309999999974</f>
        <v>530.04493000000002</v>
      </c>
      <c r="H143" s="3">
        <f>695.9+(178.3-183.6)+(-1.774545+(-0.454665--0.46818))+0-172.7--0.440384999999975</f>
        <v>516.57935499999996</v>
      </c>
      <c r="I143" s="3">
        <f>696.6+(166.6-181)+(-0.710532+(-0.169932--0.18462))+0-180.7--0.184314000000029</f>
        <v>500.98847000000012</v>
      </c>
      <c r="J143" s="3">
        <f>700.4+(161.1-188.5)+(-1.071612+(-0.246483--0.288405))+0-173.9--0.26606700000001</f>
        <v>498.33637700000008</v>
      </c>
      <c r="K143" s="3">
        <f>705+(149-185.3)+(-0.35955+(-0.07599--0.094503))+0-175.6--0.0895559999999822</f>
        <v>492.84851899999995</v>
      </c>
      <c r="L143" s="3">
        <f>705.3+(147.2-201.3)+(-2.158218+(-0.450432--0.615978))+0-168.4--0.51530400000002</f>
        <v>481.322632</v>
      </c>
      <c r="M143" s="3">
        <f>706.1+(160.6-186.5)+(0+(0-0))+0-182.5-0</f>
        <v>497.70000000000005</v>
      </c>
      <c r="N143" s="3">
        <f>703.6+(190.2-180.7)+(0+(0-0))+0-179-0</f>
        <v>534.1</v>
      </c>
      <c r="O143" s="3">
        <f>693.9+(191.1-157.8)+(0+(0-0))+0-168.9-0</f>
        <v>558.29999999999995</v>
      </c>
      <c r="P143" s="3">
        <f>683.9+(220.8-155.4)+(-0.348789+(-0.112608--0.079254))+0-161.5--0.0823649999999836</f>
        <v>587.50022199999989</v>
      </c>
      <c r="Q143" s="3">
        <f>674.4+(298.6-198.8)+(1.375776+(0.609144-0.405552))+0-179.4-0.365975999999992</f>
        <v>596.01339200000007</v>
      </c>
      <c r="R143" s="3">
        <f>664.4+(434.7-320.3)+(-1.355376+(-0.886788--0.653412))+0-185.4--0.378215999999992</f>
        <v>592.18946399999993</v>
      </c>
      <c r="S143" s="3">
        <f>654.5+(494-403.8)+(-1.668975+(-1.2597--1.02969))+0-175.3--0.447014999999975</f>
        <v>567.94803000000002</v>
      </c>
      <c r="T143" s="3">
        <f>649.7+(584.8-509.4)+(-0.331347+(-0.298248--0.259794))+0-179.8--0.0916979999999818</f>
        <v>545.02189699999985</v>
      </c>
      <c r="U143" s="3">
        <f>643.7+(564-489.8)+(-0.656574+(-0.57528--0.499596))+0-189--0.19278000000003</f>
        <v>528.36052200000017</v>
      </c>
      <c r="V143" s="3">
        <f>642.6+(498.3-399.9)+(-0.327726+(-0.254133--0.203949))+0-201.2--0.10261199999998</f>
        <v>539.52470200000005</v>
      </c>
      <c r="W143" s="3">
        <f>642.5+(343.2-252)+(-0.65535+(-0.350064--0.25704))+0-193.4--0.197268000000031</f>
        <v>539.74889400000006</v>
      </c>
      <c r="X143" s="3">
        <f>645.8+(198.5-104.1)+(-0.988074+(-0.303705--0.159273))+0-196--0.299880000000011</f>
        <v>543.36737399999993</v>
      </c>
      <c r="Y143" s="3">
        <f>651.4+(205.1-125.1)+(-0.664428+(-0.209202--0.127602))+0-178.7--0.182274000000028</f>
        <v>552.13624600000003</v>
      </c>
      <c r="Z143" s="3">
        <f>676.4+(315.9-248.8)+(-1.379856+(-0.644436--0.507552))+0-173.8--0.354551999999992</f>
        <v>568.53781200000003</v>
      </c>
      <c r="AA143" s="3">
        <f>683.1+(351.9-268.5)+(-1.741905+(-0.897345--0.684675))+0-178.8--0.455939999999974</f>
        <v>586.20136500000001</v>
      </c>
      <c r="AB143" s="3">
        <f>673.6+(355.8-275.1)+(-1.030608+(-0.544374--0.420903))+0-172.1--0.26331300000001</f>
        <v>581.30923399999995</v>
      </c>
      <c r="AC143" s="3">
        <f>662.7+(386.3-297.6)+(-0.675954+(-0.394026--0.303552))+0-179.1--0.182682000000029</f>
        <v>571.71625400000005</v>
      </c>
      <c r="AD143">
        <v>594.6</v>
      </c>
      <c r="AE143" s="3">
        <f>674+(353.2-275)+(0+(0-0))+0-157.6-0</f>
        <v>594.6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663.4+(350.8-312.6)+(-1.69167+(-0.89454--0.79713))+0-182.9--0.466394999999973</f>
        <v>517.37731499999984</v>
      </c>
      <c r="G144" s="3">
        <f>664.9+(308.9-298.2)+(-0.678198+(-0.315078--0.304164))+0-183--0.186660000000029</f>
        <v>492.0975479999999</v>
      </c>
      <c r="H144" s="3">
        <f>667.6+(258.7-253.1)+(-0.340476+(-0.131937--0.129081))+0-175.7--0.0896069999999822</f>
        <v>497.24627500000003</v>
      </c>
      <c r="I144" s="3">
        <f>674.1+(219.9-239)+(0+(0-0))+0-175.6-0</f>
        <v>479.4</v>
      </c>
      <c r="J144" s="3">
        <f>685.6+(196.2-218.9)+(1.048968+(0.300186-0.334917))+0-188.7-0.288711000000011</f>
        <v>474.92552599999993</v>
      </c>
      <c r="K144" s="3">
        <f>655.1+(161.8-166.3)+(-2.338707+(-0.577626--0.593691))+0-181.2--0.646884000000003</f>
        <v>467.72424200000006</v>
      </c>
      <c r="L144" s="3">
        <f>648.9+(188.9-162.9)+(-1.985634+(-0.578034--0.498474))+0-191.6--0.586296000000022</f>
        <v>481.82110199999994</v>
      </c>
      <c r="M144" s="3">
        <f>653.2+(206.2-173)+(-0.333132+(-0.105162--0.08823))+0-188--0.0958799999999809</f>
        <v>498.14581600000008</v>
      </c>
      <c r="N144" s="3">
        <f>650.3+(198.8-131.8)+(0.994959+(0.304164-0.201654))+0-187.9-0.287487000000011</f>
        <v>530.20998199999997</v>
      </c>
      <c r="O144" s="3">
        <f>647.3+(202-107.5)+(-0.660246+(-0.20604--0.10965))+0-183.7--0.187374000000029</f>
        <v>557.53073800000004</v>
      </c>
      <c r="P144" s="3">
        <f>651.2+(250.1-123.1)+(0.332112+(0.127551-0.062781))+0-196.9-0.10041899999998</f>
        <v>581.59646300000009</v>
      </c>
      <c r="Q144" s="3">
        <f>645.1+(359.8-214.7)+(-0.658002+(-0.366996--0.218994))+0-187.8--0.19155600000003</f>
        <v>601.78555200000005</v>
      </c>
      <c r="R144" s="3">
        <f>618.8+(493.4-371.7)+(-0.315588+(-0.251634--0.189567))+0-178.1--0.0908309999999819</f>
        <v>562.11317599999995</v>
      </c>
      <c r="S144" s="3">
        <f>617.9+(560.1-433.1)+(-0.630258+(-0.571302--0.441762))+0-199.5--0.203490000000032</f>
        <v>544.84369199999992</v>
      </c>
      <c r="T144" s="3">
        <f>618.9+(534.3-451.7)+(0.315639+(0.272493-0.230367))+0-175.8-0.0896579999999822</f>
        <v>525.96810700000003</v>
      </c>
      <c r="U144" s="3">
        <f>612.6+(505.9-409.2)+(-0.624852+(-0.516018--0.417384))+0-190.1--0.19390200000003</f>
        <v>518.67041599999993</v>
      </c>
      <c r="V144" s="3">
        <f>639.4+(450.8-368.6)+(0+(0-0))+0-178.5-0</f>
        <v>543.09999999999991</v>
      </c>
      <c r="W144" s="3">
        <f>630.1+(338.9-237.1)+(-0.321351+(-0.172839--0.120921))+0-190.6--0.0972059999999807</f>
        <v>541.02393699999993</v>
      </c>
      <c r="X144" s="3">
        <f>619.5+(200.1-87.6)+(-2.211615+(-0.714357--0.312732))+0-196--0.699720000000003</f>
        <v>534.08647999999994</v>
      </c>
      <c r="Y144" s="3">
        <f>622.5+(201.3-98.6)+(-0.63495+(-0.205326--0.100572))+0-186.5--0.19023000000003</f>
        <v>538.15052600000013</v>
      </c>
      <c r="Z144" s="3">
        <f>631.9+(272.3-158.6)+(-1.933614+(-0.833238--0.485316))+0-187.5--0.573750000000022</f>
        <v>556.39221400000008</v>
      </c>
      <c r="AA144" s="3">
        <f>638.3+(272.5-153.3)+(-0.325533+(-0.138975--0.078183))+0-192.8--0.0983279999999804</f>
        <v>564.4120029999998</v>
      </c>
      <c r="AB144" s="3">
        <f>637.8+(299.5-188.9)+(0+(0-0))+0-188.5-0</f>
        <v>559.9</v>
      </c>
      <c r="AC144" s="3">
        <f>640.7+(304.1-214.1)+(0+(0-0))+0-176-0</f>
        <v>554.70000000000005</v>
      </c>
      <c r="AD144">
        <v>587.19999999999993</v>
      </c>
      <c r="AE144" s="3">
        <f>632+(273.3-147.1)+(0+(0-0))+0-171-0</f>
        <v>587.20000000000005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635.9+(299.1-226)+(0.324309+(0.152541-0.11526))+0-174.4-0.0889439999999823</f>
        <v>534.87264600000003</v>
      </c>
      <c r="G145" s="3">
        <f>639.6+(317.6-254.9)+(-0.326196+(-0.161976--0.129999))+0-188--0.0958799999999809</f>
        <v>514.03770700000007</v>
      </c>
      <c r="H145" s="3">
        <f>640.9+(286.9-245.6)+(0.326859+(0.146319-0.125256))+0-183.6-0.0936359999999814</f>
        <v>498.85428599999995</v>
      </c>
      <c r="I145" s="3">
        <f>644.6+(245.2-213.9)+(-0.328746+(-0.125052--0.109089))+0-189.4--0.0965939999999808</f>
        <v>486.25188500000002</v>
      </c>
      <c r="J145" s="3">
        <f>653+(212.5-197.6)+(0.66606+(0.21675-0.201552))+0-183.4-0.187068000000029</f>
        <v>484.99418999999995</v>
      </c>
      <c r="K145" s="3">
        <f>657.3+(177.5-181)+(-1.676115+(-0.452625--0.46155))+0-190.9--0.486794999999972</f>
        <v>461.71960499999994</v>
      </c>
      <c r="L145" s="3">
        <f>668.8+(166-207.7)+(-0.682176+(-0.16932--0.211854))+0-189.8--0.19359600000003</f>
        <v>436.85395399999993</v>
      </c>
      <c r="M145" s="3">
        <f>664.1+(178-215)+(0.338691+(0.09078-0.10965))+0-178.9-0.0912389999999818</f>
        <v>448.42858200000012</v>
      </c>
      <c r="N145" s="3">
        <f>657.7+(179-187.7)+(-0.335427+(-0.09129--0.095727))+0-187.9--0.0958289999999809</f>
        <v>460.86483899999996</v>
      </c>
      <c r="O145" s="3">
        <f>654.1+(173.7-196.5)+(0.333591+(0.088587-0.100215))+0-146.6-0.0747659999999851</f>
        <v>484.9471969999999</v>
      </c>
      <c r="P145" s="3">
        <f>647.9+(172.5-184.3)+(1.321716+(0.3519-0.375972))+0-105.9-0.216035999999995</f>
        <v>531.28160799999989</v>
      </c>
      <c r="Q145" s="3">
        <f>639.1+(166.5-174.3)+(0.977823+(0.254745-0.266679))+0-94.7-0.144891000000005</f>
        <v>537.42099799999983</v>
      </c>
      <c r="R145" s="3">
        <f>621.9+(286.2-256.8)+(-0.634338+(-0.291924--0.261936))+0-117.5--0.119850000000019</f>
        <v>533.25552400000004</v>
      </c>
      <c r="S145" s="3">
        <f>615.9+(354.3-299.6)+(-0.314109+(-0.180693--0.152796))+0-160.4--0.0818039999999837</f>
        <v>509.93979799999994</v>
      </c>
      <c r="T145" s="3">
        <f>611.9+(391.9-327.9)+(0.624138+(0.399738-0.334458))+0-178-0.181560000000028</f>
        <v>498.40785799999998</v>
      </c>
      <c r="U145" s="3">
        <f>607.4+(399.3-337.5)+(-0.619548+(-0.407286--0.34425))+0-168.8--0.172176000000027</f>
        <v>499.88959200000005</v>
      </c>
      <c r="V145" s="3">
        <f>603.3+(376.9-314.4)+(-0.615366+(-0.384438--0.320688))+0-171.9--0.175338000000027</f>
        <v>493.39622199999997</v>
      </c>
      <c r="W145" s="3">
        <f>605.9+(196.3-140.1)+(-0.618018+(-0.200226--0.142902))+0-168.3--0.171666000000027</f>
        <v>493.29632400000003</v>
      </c>
      <c r="X145" s="3">
        <f>609+(186.7-134.1)+(-1.55295+(-0.476085--0.341955))+0-167.1--0.426104999999976</f>
        <v>493.23902499999991</v>
      </c>
      <c r="Y145" s="3">
        <f>608.1+(190.4-107.8)+(0+(0-0))+0-183.1-0</f>
        <v>507.6</v>
      </c>
      <c r="Z145" s="3">
        <f>615+(217.3-145)+(0.31365+(0.110823-0.07395))+0-166.6-0.0849659999999831</f>
        <v>520.96555699999988</v>
      </c>
      <c r="AA145" s="3">
        <f>621.7+(257.1-157)+(-1.268268+(-0.524484--0.32028))+0-184.7--0.376787999999992</f>
        <v>536.00431600000002</v>
      </c>
      <c r="AB145" s="3">
        <f>632.2+(250.1-170.2)+(-0.967266+(-0.382653--0.260406))+0-170.3--0.26055900000001</f>
        <v>540.97104600000011</v>
      </c>
      <c r="AC145" s="3">
        <f>634.7+(268.1-194.2)+(0.647394+(0.273462-0.198084))+0-170.3-0.173706000000027</f>
        <v>538.84906599999999</v>
      </c>
      <c r="AD145">
        <v>537.39999999999986</v>
      </c>
      <c r="AE145" s="3">
        <f>613+(275.4-150.8)+(0+(0-0))+0-200.2-0</f>
        <v>537.39999999999986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628+(287.4-206.7)+(0.32028+(0.146574-0.105417))+0-183.2-0.0934319999999814</f>
        <v>525.76800500000002</v>
      </c>
      <c r="G146" s="3">
        <f>623.7+(246.5-177.2)+(-0.636174+(-0.25143--0.180744))+0-184.6--0.188292000000029</f>
        <v>507.88143200000002</v>
      </c>
      <c r="H146" s="3">
        <f>628.4+(204-159.3)+(-0.640968+(-0.20808--0.162486))+0-175.9--0.179418000000028</f>
        <v>496.69285600000001</v>
      </c>
      <c r="I146" s="3">
        <f>634.8+(192-158.8)+(0.323748+(0.09792-0.080988))+0-182.7-0.0931769999999815</f>
        <v>485.54750300000006</v>
      </c>
      <c r="J146" s="3">
        <f>637.7+(187.2-169.2)+(-0.325227+(-0.095472--0.086292))+0-175.4--0.0894539999999822</f>
        <v>480.055047</v>
      </c>
      <c r="K146" s="3">
        <f>638.5+(180.6-178.4)+(-1.628175+(-0.46053--0.45492))+0-166--0.423299999999976</f>
        <v>473.48951500000004</v>
      </c>
      <c r="L146" s="3">
        <f>652.2+(192.4-197)+(-0.665244+(-0.196248--0.20094))+0-170.5--0.173910000000027</f>
        <v>476.61335800000001</v>
      </c>
      <c r="M146" s="3">
        <f>653.8+(199.1-181)+(0.666876+(0.203082-0.18462))+0-167.9-0.171258000000027</f>
        <v>504.51407999999998</v>
      </c>
      <c r="N146" s="3">
        <f>650.6+(192.6-126.1)+(1.65903+(0.49113-0.321555))+0-167.6-0.427379999999976</f>
        <v>550.90122500000007</v>
      </c>
      <c r="O146" s="3">
        <f>646.2+(187.4-102.5)+(0.329562+(0.095574-0.052275))+0-154.7-0.0788969999999843</f>
        <v>576.69396399999994</v>
      </c>
      <c r="P146" s="3">
        <f>516.7+(343.5-108.7)+(0.263517+(0.175185-0.055437))+0-168.7-0.0860369999999829</f>
        <v>583.09722800000009</v>
      </c>
      <c r="Q146" s="3">
        <f>272+(584.2-101)+(0+(0-0))+0-163.7-0</f>
        <v>591.5</v>
      </c>
      <c r="R146" s="3">
        <f>292.9+(706.7-237.1)+(0.448137+(1.081251-0.362763))+0-169.8-0.25979400000001</f>
        <v>593.60683099999983</v>
      </c>
      <c r="S146" s="3">
        <f>292.8+(786.6-337.4)+(-0.149328+(-0.401166--0.172074))+0-171.2--0.0873119999999826</f>
        <v>570.50889199999995</v>
      </c>
      <c r="T146" s="3">
        <f>307.4+(778.1-341.9)+(0+(0-0))+0-187-0</f>
        <v>556.6</v>
      </c>
      <c r="U146" s="3">
        <f>431.5+(656.8-372.5)+(-0.88026+(-1.339872--0.7599))+0-162.6--0.331703999999993</f>
        <v>552.07147199999986</v>
      </c>
      <c r="V146" s="3">
        <f>484.3+(597.9-344.1)+(-0.493986+(-0.609858--0.350982))+0-178.4--0.181968000000028</f>
        <v>559.12910599999987</v>
      </c>
      <c r="W146" s="3">
        <f>530.6+(386.9-191.1)+(-1.35303+(-0.986595--0.487305))+0-168.8--0.430439999999976</f>
        <v>556.17811999999992</v>
      </c>
      <c r="X146" s="3">
        <f>531+(280-56.3)+(-2.16648+(-1.1424--0.229704))+0-184.8--0.753983999999984</f>
        <v>567.57480800000008</v>
      </c>
      <c r="Y146" s="3">
        <f>530+(282-56.6)+(-0.2703+(-0.14382--0.028866))+0-178--0.0907799999999819</f>
        <v>577.10552599999994</v>
      </c>
      <c r="Z146" s="3">
        <f>541.7+(424.1-193.8)+(0.552534+(0.432582-0.197676))+0-190-0.19380000000003</f>
        <v>582.59363999999994</v>
      </c>
      <c r="AA146" s="3">
        <f>549+(445.1-210.5)+(-0.55998+(-0.454002--0.21471))+0-185--0.18870000000003</f>
        <v>597.98942800000009</v>
      </c>
      <c r="AB146" s="3">
        <f>551.7+(440.1-205.5)+(-0.562734+(-0.448902--0.20961))+0-186.1--0.18982200000003</f>
        <v>599.58779600000014</v>
      </c>
      <c r="AC146" s="3">
        <f>556.7+(444.1-239.3)+(-0.567834+(-0.452982--0.244086))+0-182--0.185640000000029</f>
        <v>578.90890999999999</v>
      </c>
      <c r="AD146">
        <v>595.1</v>
      </c>
      <c r="AE146" s="3">
        <f>529+(441-219.5)+(0+(0-0))+0-155.4-0</f>
        <v>595.1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544.3+(426.2-249.6)+(-0.277593+(-0.217362--0.127296))+0-162.5--0.0828749999999835</f>
        <v>558.11521599999992</v>
      </c>
      <c r="G147" s="3">
        <f>552.2+(397.7-227.5)+(-0.844866+(-0.608481--0.348075))+0-171.7--0.26270100000001</f>
        <v>549.85742900000002</v>
      </c>
      <c r="H147" s="3">
        <f>459.6+(404.9-158.4)+(0.234396+(0.206499-0.080784))+0-174-0.0887399999999823</f>
        <v>532.37137099999995</v>
      </c>
      <c r="I147" s="3">
        <f>470.4+(369.6-163)+(-0.479808+(-0.376992--0.16626))+0-164.4--0.167688000000026</f>
        <v>512.07714799999997</v>
      </c>
      <c r="J147" s="3">
        <f>554.2+(301-182.9)+(-1.130568+(-0.61404--0.373116))+0-162.6--0.331703999999993</f>
        <v>508.66021200000006</v>
      </c>
      <c r="K147" s="3">
        <f>625.5+(193.3-149.1)+(-1.27602+(-0.394332--0.304164))+0-143.7--0.293147999999994</f>
        <v>524.92696000000001</v>
      </c>
      <c r="L147" s="3">
        <f>645.4+(174.8-159.9)+(-0.987462+(-0.267444--0.244647))+0-122.7--0.187731000000007</f>
        <v>536.77747199999988</v>
      </c>
      <c r="M147" s="3">
        <f>649.1+(178.5-153.2)+(0.331041+(0.091035-0.078132))+0-111.8-0.0570179999999887</f>
        <v>562.88692600000013</v>
      </c>
      <c r="N147" s="3">
        <f>637.1+(180.6-120.6)+(0+(0-0))+0-109.3-0</f>
        <v>587.80000000000007</v>
      </c>
      <c r="O147" s="3">
        <f>634.2+(187.1-94.2)+(0.646884+(0.190842-0.096084))+0-128.1-0.13066200000002</f>
        <v>599.61097999999993</v>
      </c>
      <c r="P147" s="3">
        <f>621.7+(194.2-78)+(0.951201+(0.297126-0.11934))+0-151.4-0.231642000000009</f>
        <v>587.3973450000002</v>
      </c>
      <c r="Q147" s="3">
        <f>617.6+(310.7-195.5)+(0.629952+(0.316914-0.19941))+0-142-0.144840000000023</f>
        <v>591.40261599999997</v>
      </c>
      <c r="R147" s="3">
        <f>630.3+(426-297.7)+(1.285812+(0.86904-0.607308))+0-155.7-0.317627999999993</f>
        <v>604.12991599999987</v>
      </c>
      <c r="S147" s="3">
        <f>641.1+(435.6-338.2)+(0+(0-0))+0-153-0</f>
        <v>585.5</v>
      </c>
      <c r="T147" s="3">
        <f>642.2+(467.1-373.7)+(-0.655044+(-0.476442--0.381174))+0-162.7--0.165954000000026</f>
        <v>572.31564200000025</v>
      </c>
      <c r="U147" s="3">
        <f>639.2+(439.3-364.8)+(0.325992+(0.224043-0.186048))+0-157.5-0.080324999999984</f>
        <v>556.48366199999998</v>
      </c>
      <c r="V147" s="3">
        <f>637.7+(398-322.8)+(-0.325227+(-0.20298--0.164628))+0-143.3--0.0730829999999855</f>
        <v>569.30950400000006</v>
      </c>
      <c r="W147" s="3">
        <f>632.9+(273.1-189.7)+(-0.645558+(-0.278562--0.193494))+0-129.5--0.132090000000021</f>
        <v>586.20146399999999</v>
      </c>
      <c r="X147" s="3">
        <f>608.2+(198-90.1)+(-1.861092+(-0.60588--0.275706))+0-122.5--0.374850000000014</f>
        <v>591.78358400000002</v>
      </c>
      <c r="Y147" s="3">
        <f>616+(191-78.2)+(0+(0-0))+0-136.7-0</f>
        <v>592.09999999999991</v>
      </c>
      <c r="Z147" s="3">
        <f>623.8+(305.6-193.5)+(-0.636276+(-0.311712--0.19737))+0-132.1--0.134742000000021</f>
        <v>603.184124</v>
      </c>
      <c r="AA147" s="3">
        <f>634.2+(332-205.3)+(-1.61721+(-0.8466--0.523515))+0-144.2--0.367709999999979</f>
        <v>615.12741500000016</v>
      </c>
      <c r="AB147" s="3">
        <f>634.3+(329.8-209.7)+(0.323493+(0.168198-0.106947))+0-143.6-0.0732359999999854</f>
        <v>611.11150799999996</v>
      </c>
      <c r="AC147" s="3">
        <f>640.2+(311.1-225.8)+(-1.306008+(-0.634644--0.460632))+0-130.2--0.265607999999994</f>
        <v>594.08558800000003</v>
      </c>
      <c r="AD147">
        <v>630.1</v>
      </c>
      <c r="AE147" s="3">
        <f>618+(365.6-203.1)+(0+(0-0))+0-150.4-0</f>
        <v>630.1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642.1+(306.9-217.9)+(-0.982413+(-0.469557--0.333387))+0-133.5--0.204255000000008</f>
        <v>596.68567200000007</v>
      </c>
      <c r="G148" s="3">
        <f>644.1+(281.6-197.2)+(-1.313964+(-0.574464--0.402288))+0-140.1--0.285803999999994</f>
        <v>587.19966399999998</v>
      </c>
      <c r="H148" s="3">
        <f>648.3+(224.3-183.3)+(-0.991899+(-0.343179--0.280449))+0-125.3--0.191709000000007</f>
        <v>563.13708000000008</v>
      </c>
      <c r="I148" s="3">
        <f>647.9+(204.3-165.8)+(-0.330429+(-0.104193--0.084558))+0-136.4--0.0695639999999862</f>
        <v>549.71950000000004</v>
      </c>
      <c r="J148" s="3">
        <f>655.8+(197.9-169.7)+(-1.337832+(-0.403716--0.346188))+0-134.4--0.274175999999994</f>
        <v>548.47881600000005</v>
      </c>
      <c r="K148" s="3">
        <f>663.8+(198.9-180.8)+(-1.354152+(-0.405756--0.368832))+0-148.4--0.302735999999994</f>
        <v>532.41165999999998</v>
      </c>
      <c r="L148" s="3">
        <f>671.9+(183-194.5)+(-2.056014+(-0.55998--0.59517))+0-134.3--0.410958000000016</f>
        <v>524.49013400000001</v>
      </c>
      <c r="M148" s="3">
        <f>651.6+(188.2-146.2)+(-0.664632+(-0.191964--0.149124))+0-142.1--0.144942000000023</f>
        <v>550.93746999999996</v>
      </c>
      <c r="N148" s="3">
        <f>645.5+(188.1-106.3)+(1.31682+(0.383724-0.216852))+0-139.7-0.284987999999994</f>
        <v>588.79870399999993</v>
      </c>
      <c r="O148" s="3">
        <f>632.7+(202.3-96.7)+(0+(0-0))+0-149.2-0</f>
        <v>589.10000000000014</v>
      </c>
      <c r="P148" s="3">
        <f>635.7+(228.5-86.4)+(-0.648414+(-0.23307--0.088128))+0-151.6--0.154632000000024</f>
        <v>625.56127600000002</v>
      </c>
      <c r="Q148" s="3">
        <f>630.1+(310.8-133.4)+(0+(0-0))+0-163.5-0</f>
        <v>644</v>
      </c>
      <c r="R148" s="3">
        <f>620.1+(384.4-227)+(0.316251+(0.196044-0.11577))+0-133.7-0.0681869999999864</f>
        <v>644.1283380000001</v>
      </c>
      <c r="S148" s="3">
        <f>638.9+(426.9-292.9)+(-0.651678+(-0.435438--0.298758))+0-149.4--0.152388000000024</f>
        <v>622.86402999999996</v>
      </c>
      <c r="T148" s="3">
        <f>636.4+(422.1-309.8)+(-0.973692+(-0.645813--0.473994))+0-139.4--0.213282000000008</f>
        <v>608.36777100000006</v>
      </c>
      <c r="U148" s="3">
        <f>637.1+(401.4-304.1)+(-1.299684+(-0.818856--0.620364))+0-136.6--0.278663999999994</f>
        <v>596.58048800000006</v>
      </c>
      <c r="V148" s="3">
        <f>641.2+(341.4-238)+(-1.308048+(-0.696456--0.48552))+0-152.1--0.310283999999993</f>
        <v>591.29129999999998</v>
      </c>
      <c r="W148" s="3">
        <f>627.1+(261.8-121.9)+(-0.319821+(-0.133518--0.062169))+0-161.5--0.0823649999999836</f>
        <v>605.19119499999999</v>
      </c>
      <c r="X148" s="3">
        <f>616+(285.4-152.8)+(-0.62832+(-0.291108--0.155856))+0-143.2--0.146064000000023</f>
        <v>604.78249200000005</v>
      </c>
      <c r="Y148" s="3">
        <f>613.7+(275.5-123.5)+(0.625974+(0.28101-0.12597))+0-159-0.162180000000025</f>
        <v>607.31883400000004</v>
      </c>
      <c r="Z148" s="3">
        <f>641+(275.3-145.6)+(0+(0-0))+0-156.9-0</f>
        <v>613.80000000000007</v>
      </c>
      <c r="AA148" s="3">
        <f>642.9+(306.2-151.7)+(-0.655758+(-0.312324--0.154734))+0-163--0.166260000000026</f>
        <v>633.75291200000004</v>
      </c>
      <c r="AB148" s="3">
        <f>649.6+(289.6-156)+(-1.325184+(-0.590784--0.31824))+0-142.1--0.289883999999994</f>
        <v>639.79215600000009</v>
      </c>
      <c r="AC148" s="3">
        <f>632.7+(306.1-154.7)+(-0.645354+(-0.312222--0.157794))+0-156.7--0.159834000000025</f>
        <v>626.76005200000009</v>
      </c>
      <c r="AD148">
        <v>640.19999999999993</v>
      </c>
      <c r="AE148" s="3">
        <f>633+(325.5-150.2)+(0+(0-0))+0-168.1-0</f>
        <v>640.19999999999993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560.8+(343.5-145.4)+(-0.572016+(-0.35037--0.148308))+0-154.6--0.157692000000025</f>
        <v>603.68361399999992</v>
      </c>
      <c r="G149" s="3">
        <f>556.1+(306.9-118.3)+(-0.850833+(-0.469557--0.180999))+0-157.1--0.240363000000009</f>
        <v>586.70097199999998</v>
      </c>
      <c r="H149" s="3">
        <f>545.3+(276.6-94.1)+(-1.112412+(-0.564264--0.191964))+0-152.2--0.310487999999993</f>
        <v>574.42577599999993</v>
      </c>
      <c r="I149" s="3">
        <f>519+(265.6-85.3)+(-0.52938+(-0.270912--0.087006))+0-143--0.145860000000023</f>
        <v>555.73257399999989</v>
      </c>
      <c r="J149" s="3">
        <f>531.4+(260-90.9)+(0+(0-0))+0-150.2-0</f>
        <v>550.29999999999995</v>
      </c>
      <c r="K149" s="3">
        <f>554.4+(251.8-127.5)+(-1.41372+(-0.64209--0.325125))+0-131.1--0.334304999999981</f>
        <v>546.20362</v>
      </c>
      <c r="L149" s="3">
        <f>573.8+(246.5-159.4)+(-0.585276+(-0.25143--0.162588))+0-117.8--0.120156000000019</f>
        <v>542.54603800000007</v>
      </c>
      <c r="M149" s="3">
        <f>571.1+(258.2-148.6)+(0.582522+(0.263364-0.151572))+0-120.4-0.122808000000019</f>
        <v>560.87150600000007</v>
      </c>
      <c r="N149" s="3">
        <f>572.3+(275.2-117.2)+(0.291873+(0.140352-0.059772))+0-134.7-0.0686969999999863</f>
        <v>595.90375599999982</v>
      </c>
      <c r="O149" s="3">
        <f>592.1+(291.4-104.2)+(0.603942+(0.297228-0.106284))+0-141.8-0.144636000000023</f>
        <v>638.15024999999991</v>
      </c>
      <c r="P149" s="3">
        <f>606.1+(264.3-83.2)+(-0.618222+(-0.269586--0.084864))+0-131.4--0.134028000000021</f>
        <v>655.1310840000001</v>
      </c>
      <c r="Q149" s="3">
        <f>635.6+(293.4-129.9)+(0.324156+(0.149634-0.066249))+0-149.8-0.0763979999999848</f>
        <v>649.63114299999995</v>
      </c>
      <c r="R149" s="3">
        <f>635.9+(355.8-206)+(-0.648618+(-0.362916--0.21012))+0-139.2--0.141984000000022</f>
        <v>645.84056999999996</v>
      </c>
      <c r="S149" s="3">
        <f>631.8+(382.8-251.2)+(-0.644436+(-0.390456--0.256224))+0-136.3--0.139026000000022</f>
        <v>626.46035800000004</v>
      </c>
      <c r="T149" s="3">
        <f>625.6+(423-319.9)+(0.319056+(0.21573-0.163149))+0-120.4-0.0614039999999878</f>
        <v>608.61023299999999</v>
      </c>
      <c r="U149" s="3">
        <f>625.4+(402.2-316.7)+(0+(0-0))+0-125.9-0</f>
        <v>585</v>
      </c>
      <c r="V149" s="3">
        <f>627.4+(368.1-265.8)+(-0.639948+(-0.375462--0.271116))+0-136.4--0.139128000000022</f>
        <v>592.69483400000013</v>
      </c>
      <c r="W149" s="3">
        <f>630.4+(260.4-142.4)+(-0.643008+(-0.265608--0.145248))+0-149.1--0.152082000000024</f>
        <v>598.688714</v>
      </c>
      <c r="X149" s="3">
        <f>621+(258.4-136.2)+(-0.95013+(-0.395352--0.208386))+0-151.4--0.231642000000009</f>
        <v>590.89454599999999</v>
      </c>
      <c r="Y149" s="3">
        <f>610.6+(244.7-107.2)+(-0.622812+(-0.249594--0.109344))+0-155.5--0.158610000000025</f>
        <v>591.9955480000001</v>
      </c>
      <c r="Z149" s="3">
        <f>639.5+(251.4-157.1)+(-0.326145+(-0.128214--0.080121))+0-133.4--0.0680339999999865</f>
        <v>600.093796</v>
      </c>
      <c r="AA149" s="3">
        <f>643.4+(265.1-157.9)+(-1.64067+(-0.676005--0.402645))+0-143.3--0.365414999999979</f>
        <v>605.75138500000003</v>
      </c>
      <c r="AB149" s="3">
        <f>627.7+(291.9-161.8)+(-0.640254+(-0.297738--0.165036))+0-149.6--0.152592000000024</f>
        <v>607.57963599999994</v>
      </c>
      <c r="AC149" s="3">
        <f>627.3+(287.3-168)+(0+(0-0))+0-143.7-0</f>
        <v>602.89999999999986</v>
      </c>
      <c r="AD149">
        <v>597.79999999999995</v>
      </c>
      <c r="AE149" s="3">
        <f>643+(254-152.4)+(0+(0-0))+0-146.8-0</f>
        <v>597.79999999999995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628.9+(271.1-157.9)+(-1.603695+(-0.691305--0.402645))+0-158.3--0.403664999999977</f>
        <v>582.31130999999993</v>
      </c>
      <c r="G150" s="3">
        <f>627.8+(230.8-141.7)+(-1.280712+(-0.470832--0.289068))+0-153.5--0.313139999999993</f>
        <v>562.25066399999992</v>
      </c>
      <c r="H150" s="3">
        <f>626.4+(224.2-155.1)+(-0.958392+(-0.343026--0.237303))+0-163.6--0.250308000000009</f>
        <v>531.08619299999998</v>
      </c>
      <c r="I150" s="3">
        <f>631.7+(207.9-161.8)+(-0.322167+(-0.106029--0.082518))+0-180--0.0917999999999817</f>
        <v>497.54612200000003</v>
      </c>
      <c r="J150" s="3">
        <f>639+(207.3-163.6)+(0+(0-0))+0-189.4-0</f>
        <v>493.30000000000007</v>
      </c>
      <c r="K150" s="3">
        <f>646.2+(217-181.2)+(-1.977372+(-0.66402--0.554472))+0-191.6--0.586296000000022</f>
        <v>488.89937600000002</v>
      </c>
      <c r="L150" s="3">
        <f>647.4+(205-195.2)+(-0.660348+(-0.2091--0.199104))+0-167.9--0.171258000000027</f>
        <v>488.80091400000009</v>
      </c>
      <c r="M150" s="3">
        <f>645.8+(217.5-183)+(0.988074+(0.332775-0.27999))+0-176.7-0.27035100000001</f>
        <v>504.37050799999992</v>
      </c>
      <c r="N150" s="3">
        <f>603+(215.9-158.1)+(0.30753+(0.110109-0.080631))+0-165.2-0.0842519999999832</f>
        <v>495.85275599999994</v>
      </c>
      <c r="O150" s="3">
        <f>637.6+(269.3-156.8)+(-0.325176+(-0.137343--0.079968))+0-191.3--0.0975629999999806</f>
        <v>558.51501200000007</v>
      </c>
      <c r="P150" s="3">
        <f>630.7+(236.2-120.6)+(-0.321657+(-0.120462--0.061506))+0-171.7--0.0875669999999826</f>
        <v>574.30695400000013</v>
      </c>
      <c r="Q150" s="3">
        <f>624.2+(262.4-127.5)+(-0.636684+(-0.267648--0.13005))+0-187.4--0.19114800000003</f>
        <v>571.11686600000007</v>
      </c>
      <c r="R150" s="3">
        <f>634.8+(327.1-182.2)+(0.323748+(0.166821-0.092922))+0-191.4-0.0976139999999806</f>
        <v>588.60003300000005</v>
      </c>
      <c r="S150" s="3">
        <f>633.5+(364-255.4)+(-0.969255+(-0.55692--0.390762))+0-178--0.27234000000001</f>
        <v>563.23692700000004</v>
      </c>
      <c r="T150" s="3">
        <f>630.9+(405.2-325.1)+(0+(0-0))+0-170.2-0</f>
        <v>540.79999999999995</v>
      </c>
      <c r="U150" s="3">
        <f>614.9+(392.8-307.1)+(0.627198+(0.400656-0.313242))+0-177.8-0.181356000000028</f>
        <v>523.33325599999989</v>
      </c>
      <c r="V150" s="3">
        <f>611.2+(340.6-251.7)+(0+(0-0))+0-182.4-0</f>
        <v>517.70000000000016</v>
      </c>
      <c r="W150" s="3">
        <f>611.6+(236.1-144.5)+(-0.935748+(-0.361233--0.221085))+0-178.6--0.27325800000001</f>
        <v>523.79736200000013</v>
      </c>
      <c r="X150" s="3">
        <f>595.5+(261.6-147.3)+(-1.21482+(-0.533664--0.300492))+0-186.7--0.380867999999992</f>
        <v>522.03287599999999</v>
      </c>
      <c r="Y150" s="3">
        <f>600.7+(253.1-136.2)+(0.306357+(0.129081-0.069462))+0-190.1-0.0969509999999807</f>
        <v>527.76902500000006</v>
      </c>
      <c r="Z150" s="3">
        <f>608.9+(243.9-146.3)+(0.931617+(0.373167-0.223839))+0-165.6-0.25336800000001</f>
        <v>541.727577</v>
      </c>
      <c r="AA150" s="3">
        <f>606+(280.5-154.3)+(-0.92718+(-0.429165--0.236079))+0-173.8--0.26591400000001</f>
        <v>557.54564800000003</v>
      </c>
      <c r="AB150" s="3">
        <f>611.9+(291.2-154.1)+(-0.312069+(-0.148512--0.078591))+0-191.2--0.0975119999999806</f>
        <v>557.51552200000003</v>
      </c>
      <c r="AC150" s="3">
        <f>616.1+(273.6-165.7)+(0+(0-0))+0-173.4-0</f>
        <v>550.6</v>
      </c>
      <c r="AD150">
        <v>551.90000000000009</v>
      </c>
      <c r="AE150" s="3">
        <f>607+(273.4-155.7)+(0+(0-0))+0-172.8-0</f>
        <v>551.90000000000009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618.6+(256.8-167.4)+(-0.630972+(-0.261936--0.170748))+0-179.5--0.183090000000029</f>
        <v>527.96092999999996</v>
      </c>
      <c r="G151" s="3">
        <f>621.4+(268.5-194.3)+(0+(0-0))+0-183.1-0</f>
        <v>512.49999999999989</v>
      </c>
      <c r="H151" s="3">
        <f>623.8+(236-185.4)+(0.318138+(0.12036-0.094554))+0-170.3-0.0868529999999827</f>
        <v>504.35709099999997</v>
      </c>
      <c r="I151" s="3">
        <f>621.1+(219.5-172.2)+(-0.316761+(-0.111945--0.087822))+0-182.1--0.0928709999999815</f>
        <v>486.05198700000011</v>
      </c>
      <c r="J151" s="3">
        <f>631.7+(205.7-189.7)+(0.966501+(0.314721-0.290241))+0-163.4-0.250002000000009</f>
        <v>485.04097900000011</v>
      </c>
      <c r="K151" s="3">
        <f>626.1+(211.9-181.9)+(-1.915866+(-0.648414--0.556614))+0-178.2--0.545292000000021</f>
        <v>476.43762600000008</v>
      </c>
      <c r="L151" s="3">
        <f>628.8+(183.6-198)+(-1.60344+(-0.46818--0.5049))+0-163--0.415649999999976</f>
        <v>450.24892999999992</v>
      </c>
      <c r="M151" s="3">
        <f>642.9+(193.8-191.2)+(0.327879+(0.098838-0.097512))+0-169.2-0.0862919999999828</f>
        <v>476.54291300000006</v>
      </c>
      <c r="N151" s="3">
        <f>640.9+(217.8-173.6)+(0.326859+(0.111078-0.088536))+0-183.8-0.0937379999999814</f>
        <v>501.55566299999998</v>
      </c>
      <c r="O151" s="3">
        <f>638.9+(232-158.4)+(0.651678+(0.23664-0.161568))+0-188.8-0.19257600000003</f>
        <v>524.23417400000005</v>
      </c>
      <c r="P151" s="3">
        <f>633.2+(214.5-124)+(0.645864+(0.21879-0.12648))+0-176.9-0.180438000000028</f>
        <v>547.35773600000005</v>
      </c>
      <c r="Q151" s="3">
        <f>622.9+(253.7-120)+(0.953037+(0.388161-0.1836))+0-198.9-0.304317000000011</f>
        <v>558.55328099999997</v>
      </c>
      <c r="R151" s="3">
        <f>615.3+(303.5-178.3)+(-0.313803+(-0.154785--0.090933))+0-181.6--0.0926159999999816</f>
        <v>558.61496099999999</v>
      </c>
      <c r="S151" s="3">
        <f>604.3+(320.2-215.3)+(-1.232772+(-0.653208--0.439212))+0-180.9--0.369035999999992</f>
        <v>527.22226799999987</v>
      </c>
      <c r="T151" s="3">
        <f>606.6+(347.6-262.2)+(-0.618732+(-0.354552--0.267444))+0-174.2--0.177684000000028</f>
        <v>517.2718440000001</v>
      </c>
      <c r="U151" s="3">
        <f>624.9+(301.4-241.3)+(-0.956097+(-0.461142--0.369189))+0-171.3--0.26208900000001</f>
        <v>512.914039</v>
      </c>
      <c r="V151" s="3">
        <f>624.3+(244.1-186.9)+(-0.955179+(-0.373473--0.285957))+0-177--0.27081000000001</f>
        <v>503.728115</v>
      </c>
      <c r="W151" s="3">
        <f>624.7+(216.2-144.4)+(-1.274388+(-0.441048--0.294576))+0-178--0.363119999999992</f>
        <v>517.44226000000003</v>
      </c>
      <c r="X151" s="3">
        <f>625.9+(340.6-267.7)+(-0.957627+(-0.521118--0.409581))+0-182.2--0.278766000000011</f>
        <v>515.80960199999993</v>
      </c>
      <c r="Y151" s="3">
        <f>630.6+(305.4-233.9)+(-0.321606+(-0.155754--0.119289))+0-177.3--0.090422999999982</f>
        <v>524.53235200000006</v>
      </c>
      <c r="Z151" s="3">
        <f>637.3+(212.1-146.3)+(-0.650046+(-0.216342--0.149226))+0-159.7--0.162894000000025</f>
        <v>542.845732</v>
      </c>
      <c r="AA151" s="3">
        <f>632.1+(218.7-133.4)+(-0.967113+(-0.334611--0.204102))+0-165.5--0.25321500000001</f>
        <v>551.05559299999993</v>
      </c>
      <c r="AB151" s="3">
        <f>629.1+(228.9-119.4)+(-0.320841+(-0.116739--0.060894))+0-186.3--0.0950129999999811</f>
        <v>552.01832700000011</v>
      </c>
      <c r="AC151" s="3">
        <f>628.6+(220-145.5)+(-0.320586+(-0.1122--0.074205))+0-170--0.0866999999999827</f>
        <v>532.82811900000002</v>
      </c>
      <c r="AD151">
        <v>569.60000000000014</v>
      </c>
      <c r="AE151" s="3">
        <f>639+(230.2-131.9)+(0+(0-0))+0-167.7-0</f>
        <v>569.59999999999991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631.4+(225.6-142.6)+(-0.644028+(-0.230112--0.145452))+0-187.1--0.19084200000003</f>
        <v>526.7621539999999</v>
      </c>
      <c r="G152" s="3">
        <f>634.7+(210.6-167.8)+(-0.647394+(-0.214812--0.171156))+0-174.2--0.177684000000028</f>
        <v>502.78663400000005</v>
      </c>
      <c r="H152" s="3">
        <f>641.7+(209.9-166.5)+(-1.309068+(-0.428196--0.33966))+0-186.3--0.380051999999992</f>
        <v>497.78244799999999</v>
      </c>
      <c r="I152" s="3">
        <f>643.1+(200.7-183.6)+(-0.327981+(-0.102357--0.093636))+0-179.2--0.0913919999999818</f>
        <v>480.7546900000001</v>
      </c>
      <c r="J152" s="3">
        <f>644.8+(201.3-179.6)+(-0.986544+(-0.307989--0.274788))+0-187.4--0.286722000000011</f>
        <v>478.36697700000008</v>
      </c>
      <c r="K152" s="3">
        <f>651.5+(205.6-243.8)+(-0.66453+(-0.209712--0.248676))+0-179.8--0.183396000000029</f>
        <v>433.05782999999991</v>
      </c>
      <c r="L152" s="3">
        <f>655.1+(290.6-320.5)+(-2.672808+(-1.185648--1.30764))+0-184.5--0.752759999999984</f>
        <v>438.90194399999996</v>
      </c>
      <c r="M152" s="3">
        <f>656.9+(298.1-351.1)+(0+(0-0))+0-164.9-0</f>
        <v>439</v>
      </c>
      <c r="N152" s="3">
        <f>647.9+(297.3-326.5)+(0.660858+(0.303246-0.33303))+0-173.2-0.176664000000028</f>
        <v>445.95441000000005</v>
      </c>
      <c r="O152" s="3">
        <f>627.1+(278.1-261.4)+(-0.639642+(-0.283662--0.266628))+0-187.1--0.19084200000003</f>
        <v>456.23416600000013</v>
      </c>
      <c r="P152" s="3">
        <f>613.3+(265.5-220)+(0+(0-0))+0-170.5-0</f>
        <v>488.29999999999995</v>
      </c>
      <c r="Q152" s="3">
        <f>607.3+(223.2-138.4)+(0.309723+(0.113832-0.070584))+0-197.4-0.10067399999998</f>
        <v>494.95229699999999</v>
      </c>
      <c r="R152" s="3">
        <f>602.6+(211.8-134.2)+(1.229304+(0.432072-0.273768))+0-176.6-0.360263999999992</f>
        <v>504.62734400000005</v>
      </c>
      <c r="S152" s="3">
        <f>595.9+(242.4-157.9)+(0+(0-0))+0-184.2-0</f>
        <v>496.2</v>
      </c>
      <c r="T152" s="3">
        <f>596.8+(277.7-188.6)+(-0.304368+(-0.141627--0.096186))+0-191.7--0.0977669999999806</f>
        <v>493.94795799999991</v>
      </c>
      <c r="U152" s="3">
        <f>599.6+(266.2-188.3)+(-0.305796+(-0.135762--0.096033))+0-182.7--0.0931769999999815</f>
        <v>494.54765200000003</v>
      </c>
      <c r="V152" s="3">
        <f>596.9+(246-161.1)+(-1.217676+(-0.50184--0.328644))+0-187.7--0.382907999999992</f>
        <v>493.09203600000001</v>
      </c>
      <c r="W152" s="3">
        <f>600.2+(210.6-131.9)+(-0.612204+(-0.214812--0.134538))+0-186.9--0.19063800000003</f>
        <v>491.4981600000001</v>
      </c>
      <c r="X152" s="3">
        <f>603.1+(332.2-265.4)+(-0.922743+(-0.508266--0.406062))+0-173.4--0.26530200000001</f>
        <v>495.74035500000014</v>
      </c>
      <c r="Y152" s="3">
        <f>604.4+(302.4-224.6)+(0.308244+(0.154224-0.114546))+0-173.8-0.0886379999999824</f>
        <v>508.65928399999996</v>
      </c>
      <c r="Z152" s="3">
        <f>635+(208.6-141.7)+(-0.6477+(-0.212772--0.144534))+0-170.4--0.173808000000027</f>
        <v>530.95786999999996</v>
      </c>
      <c r="AA152" s="3">
        <f>641.1+(220-127.6)+(-1.307844+(-0.4488--0.260304))+0-193--0.393719999999992</f>
        <v>539.39738</v>
      </c>
      <c r="AB152" s="3">
        <f>641.3+(218.2-131.6)+(0+(0-0))+0-187.3-0</f>
        <v>540.59999999999991</v>
      </c>
      <c r="AC152" s="3">
        <f>642.1+(212.4-151.2)+(0.327471+(0.108324-0.077112))+0-166.2-0.0847619999999831</f>
        <v>537.37392100000011</v>
      </c>
      <c r="AD152">
        <v>538.29999999999995</v>
      </c>
      <c r="AE152" s="3">
        <f>640+(226.5-121.7)+(0+(0-0))+0-206.5-0</f>
        <v>538.29999999999995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648.6+(201-185.7)+(0.992358+(0.30753-0.284121))+0-128.3-0.196299000000007</f>
        <v>536.41946800000005</v>
      </c>
      <c r="G153" s="3">
        <f>639.2+(199.5-186.7)+(-0.977976+(-0.305235--0.285651))+0-113.7--0.173961000000007</f>
        <v>537.4764009999999</v>
      </c>
      <c r="H153" s="3">
        <f>635+(199.4-191.4)+(-0.32385+(-0.101694--0.097614))+0-118.2--0.060281999999988</f>
        <v>524.53235199999995</v>
      </c>
      <c r="I153" s="3">
        <f>615.7+(199.4-194.4)+(1.256028+(0.406776-0.396576))+0-101-0.206039999999996</f>
        <v>520.76018799999997</v>
      </c>
      <c r="J153" s="3">
        <f>612+(207.1-181.5)+(0+(0-0))+0-134.6-0</f>
        <v>503</v>
      </c>
      <c r="K153" s="3">
        <f>615.6+(245.6-222.1)+(-1.255824+(-0.501024--0.453084))+0-165.9--0.338435999999993</f>
        <v>472.23467200000005</v>
      </c>
      <c r="L153" s="3">
        <f>604.4+(314.8-281.6)+(-1.232976+(-0.642192--0.574464))+0-180.3--0.367811999999992</f>
        <v>456.36710799999992</v>
      </c>
      <c r="M153" s="3">
        <f>610.1+(312.1-289)+(-0.311151+(-0.159171--0.14739))+0-170.8--0.0871079999999827</f>
        <v>462.164176</v>
      </c>
      <c r="N153" s="3">
        <f>614.9+(288.4-242.1)+(-0.627198+(-0.294168--0.246942))+0-165.2--0.168504000000026</f>
        <v>495.49407999999994</v>
      </c>
      <c r="O153" s="3">
        <f>612.9+(277.8-193.7)+(0.312579+(0.141678-0.098787))+0-165.1-0.0842009999999832</f>
        <v>532.17126899999994</v>
      </c>
      <c r="P153" s="3">
        <f>604.7+(260-125.7)+(0.616794+(0.2652-0.128214))+0-187.8-0.19155600000003</f>
        <v>551.76222400000006</v>
      </c>
      <c r="Q153" s="3">
        <f>603.4+(245.1-87)+(-0.307734+(-0.125001--0.04437))+0-188.8--0.0962879999999808</f>
        <v>572.40792299999998</v>
      </c>
      <c r="R153" s="3">
        <f>590.3+(306.7-146.1)+(0+(0-0))+0-177.5-0</f>
        <v>573.4</v>
      </c>
      <c r="S153" s="3">
        <f>579.2+(361.3-207.5)+(-0.886176+(-0.552789--0.317475))+0-173.3--0.26514900000001</f>
        <v>558.84365900000012</v>
      </c>
      <c r="T153" s="3">
        <f>574.7+(379.5-235.1)+(0.293097+(0.193545-0.119901))+0-161.5-0.0823649999999836</f>
        <v>557.88437600000009</v>
      </c>
      <c r="U153" s="3">
        <f>573.5+(369-235.2)+(0.58497+(0.37638-0.239904))+0-162.7-0.165954000000026</f>
        <v>545.15549199999987</v>
      </c>
      <c r="V153" s="3">
        <f>570.3+(302.3-171.6)+(-1.163412+(-0.616692--0.350064))+0-162.3--0.331091999999993</f>
        <v>537.6010520000001</v>
      </c>
      <c r="W153" s="3">
        <f>572.9+(225.5-84.1)+(-0.584358+(-0.23001--0.085782))+0-175.5--0.179010000000028</f>
        <v>538.25042400000007</v>
      </c>
      <c r="X153" s="3">
        <f>567.2+(307-148.9)+(-2.024904+(-1.09599--0.531573))+0-189.2--0.675444000000003</f>
        <v>534.18612299999995</v>
      </c>
      <c r="Y153" s="3">
        <f>582.6+(294.1-139.9)+(-0.297126+(-0.149991--0.071349))+0-188.7--0.0962369999999809</f>
        <v>547.820469</v>
      </c>
      <c r="Z153" s="3">
        <f>601.8+(255.9-104.8)+(0+(0-0))+0-193.9-0</f>
        <v>559</v>
      </c>
      <c r="AA153" s="3">
        <f>604.5+(255.3-109)+(-1.23318+(-0.520812--0.22236))+0-180.3--0.367811999999992</f>
        <v>569.33618000000001</v>
      </c>
      <c r="AB153" s="3">
        <f>590.8+(262.8-100.5)+(0+(0-0))+0-191-0</f>
        <v>562.09999999999991</v>
      </c>
      <c r="AC153" s="3">
        <f>585.8+(253-108.5)+(-0.896274+(-0.38709--0.166005))+0-177.4--0.27142200000001</f>
        <v>552.05406300000004</v>
      </c>
      <c r="AD153">
        <v>571.70000000000005</v>
      </c>
      <c r="AE153" s="3">
        <f>600+(239.2-114.3)+(0+(0-0))+0-153.2-0</f>
        <v>571.70000000000005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591.2+(253.8-127.9)+(0.904536+(0.388314-0.195687))+0-181-0.27693000000001</f>
        <v>536.92023300000005</v>
      </c>
      <c r="G154" s="3">
        <f>595.9+(234-126.6)+(0.303909+(0.11934-0.064566))+0-184.1-0.0938909999999813</f>
        <v>519.46479199999999</v>
      </c>
      <c r="H154" s="3">
        <f>597.4+(237.8-125)+(-0.914022+(-0.363834--0.19125))+0-197.3--0.301869000000011</f>
        <v>512.11526300000014</v>
      </c>
      <c r="I154" s="3">
        <f>556.7+(222.9-148.4)+(0.283917+(0.113679-0.075684))+0-183.6-0.0936359999999814</f>
        <v>447.82827600000002</v>
      </c>
      <c r="J154" s="3">
        <f>594.7+(217.8-171)+(0+(0-0))+0-157.1-0</f>
        <v>484.4</v>
      </c>
      <c r="K154" s="3">
        <f>593.4+(268.4-194.7)+(-1.210536+(-0.547536--0.397188))+0-177.8--0.362711999999992</f>
        <v>488.30182799999983</v>
      </c>
      <c r="L154" s="3">
        <f>599.8+(354.6-298.2)+(-1.835388+(-1.085076--0.912492))+0-180.5--0.552330000000021</f>
        <v>474.24435800000009</v>
      </c>
      <c r="M154" s="3">
        <f>613.8+(362.4-301.1)+(0.313038+(0.184824-0.153561))+0-172.9-0.0881789999999825</f>
        <v>502.45612199999994</v>
      </c>
      <c r="N154" s="3">
        <f>547.8+(300.8-150.4)+(0.279378+(0.153408-0.076704))+0-174.8-0.0891479999999823</f>
        <v>523.66693399999986</v>
      </c>
      <c r="O154" s="3">
        <f>542.2+(306-114.4)+(0.276522+(0.15606-0.058344))+0-178.7-0.0911369999999819</f>
        <v>555.38310100000001</v>
      </c>
      <c r="P154" s="3">
        <f>539.6+(294.7-66.5)+(1.100784+(0.601188-0.13566))+0-191.4-0.390455999999992</f>
        <v>577.57585600000004</v>
      </c>
      <c r="Q154" s="3">
        <f>546.9+(316.4-88.7)+(0.278919+(0.161364-0.045237))+0-194.1-0.0989909999999803</f>
        <v>580.79605499999991</v>
      </c>
      <c r="R154" s="3">
        <f>563+(357-152.1)+(0.57426+(0.36414-0.155142))+0-184-0.187680000000029</f>
        <v>584.49557800000002</v>
      </c>
      <c r="S154" s="3">
        <f>560.6+(381.1-195.4)+(-0.571812+(-0.388722--0.199308))+0-179.3--0.182886000000029</f>
        <v>566.4216600000002</v>
      </c>
      <c r="T154" s="3">
        <f>593.4+(386-251.4)+(-0.605268+(-0.39372--0.256428))+0-171.3--0.174726000000027</f>
        <v>556.13216599999998</v>
      </c>
      <c r="U154" s="3">
        <f>670.4+(361-235)+(-1.367616+(-0.73644--0.4794))+0-193--0.393719999999992</f>
        <v>602.16906400000005</v>
      </c>
      <c r="V154" s="3">
        <f>591.1+(299.6-161.1)+(-1.205844+(-0.611184--0.328644))+0-183.1--0.373523999999992</f>
        <v>545.38513999999998</v>
      </c>
      <c r="W154" s="3">
        <f>631.6+(225.2-101.5)+(-2.254812+(-0.803964--0.362355))+0-184.6--0.659022000000003</f>
        <v>568.662601</v>
      </c>
      <c r="X154" s="3">
        <f>619.4+(339.4-244.5)+(-1.895364+(-1.038564--0.74817))+0-188.8--0.577728000000022</f>
        <v>523.8919699999999</v>
      </c>
      <c r="Y154" s="3">
        <f>647.3+(280.6-209.7)+(0.330123+(0.143106-0.106947))+0-186.5-0.0951149999999811</f>
        <v>531.97116700000004</v>
      </c>
      <c r="Z154" s="3">
        <f>723.8+(174.5-153.3)+(-0.369138+(-0.088995--0.078183))+0-188.7--0.0962369999999809</f>
        <v>556.01628699999992</v>
      </c>
      <c r="AA154" s="3">
        <f>718.6+(162.8-173.9)+(-2.565402+(-0.581196--0.620823))+0-191.2--0.682584000000003</f>
        <v>514.45680900000013</v>
      </c>
      <c r="AB154" s="3">
        <f>729.2+(155.4-228)+(-1.85946+(-0.39627--0.5814))+0-170.3--0.434264999999975</f>
        <v>485.05993499999994</v>
      </c>
      <c r="AC154" s="3">
        <f>738.8+(157.9-264.8)+(0.376788+(0.080529-0.135048))+0-178.9-0.0912389999999818</f>
        <v>453.23103000000003</v>
      </c>
      <c r="AD154">
        <v>539.20000000000005</v>
      </c>
      <c r="AE154" s="3">
        <f>716+(186.9-152.2)+(0+(0-0))+0-211.5-0</f>
        <v>539.20000000000005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746.3+(146.4-303.4)+(-0.380613+(-0.074664--0.154734))+0-161.6--0.0824159999999836</f>
        <v>427.48187299999995</v>
      </c>
      <c r="G155" s="3">
        <f>750.7+(142.9-306.4)+(-1.148571+(-0.218637--0.468792))+0-180--0.27540000000001</f>
        <v>406.57698400000004</v>
      </c>
      <c r="H155" s="3">
        <f>759.2+(134.4-326.7)+(-0.774384+(-0.137088--0.333234))+0-177.4--0.180948000000028</f>
        <v>389.10271000000006</v>
      </c>
      <c r="I155" s="3">
        <f>771.2+(119.2-336.4)+(1.179936+(0.182376-0.514692))+0-172.5-0.26392500000001</f>
        <v>382.08369499999998</v>
      </c>
      <c r="J155" s="3">
        <f>768.8+(126.5-329.3)+(0.392088+(0.064515-0.167943))+0-186.2-0.0949619999999811</f>
        <v>379.99369800000011</v>
      </c>
      <c r="K155" s="3">
        <f>696.5+(158.9-309.5)+(-1.065645+(-0.243117--0.473535))+0-185.8--0.284274000000011</f>
        <v>359.54904699999997</v>
      </c>
      <c r="L155" s="3">
        <f>599.8+(173.7-286.9)+(-2.447184+(-0.708696--1.170552))+0-169.1--0.689927999999985</f>
        <v>316.20460000000003</v>
      </c>
      <c r="M155" s="3">
        <f>612.6+(179.3-316.1)+(0+(0-0))+0-156.1-0</f>
        <v>319.70000000000005</v>
      </c>
      <c r="N155" s="3">
        <f>634.8+(198.1-335.9)+(1.294992+(0.404124-0.685236))+0-181.4-0.370055999999992</f>
        <v>316.24382400000002</v>
      </c>
      <c r="O155" s="3">
        <f>626.3+(184.2-309.8)+(1.277652+(0.375768-0.631992))+0-166.9-0.340475999999993</f>
        <v>334.480952</v>
      </c>
      <c r="P155" s="3">
        <f>633+(159.7-256.6)+(0+(0-0))+0-165.8-0</f>
        <v>370.2999999999999</v>
      </c>
      <c r="Q155" s="3">
        <f>642.6+(143.5-249.3)+(0.327726+(0.073185-0.127143))+0-168.4-0.0858839999999829</f>
        <v>368.58788400000003</v>
      </c>
      <c r="R155" s="3">
        <f>687.5+(134.2-268.5)+(0+(0-0))+0-169.5-0</f>
        <v>383.70000000000005</v>
      </c>
      <c r="S155" s="3">
        <f>683.8+(139.7-279.9)+(-1.046214+(-0.213741--0.428247))+0-160.6--0.245718000000009</f>
        <v>382.41400999999985</v>
      </c>
      <c r="T155" s="3">
        <f>689.3+(183-308.5)+(0.351543+(0.09333-0.157335))+0-175-0.0892499999999822</f>
        <v>388.998288</v>
      </c>
      <c r="U155" s="3">
        <f>709.8+(173.4-316.3)+(-0.723996+(-0.176868--0.322626))+0-168.9--0.172278000000027</f>
        <v>397.59403999999995</v>
      </c>
      <c r="V155" s="3">
        <f>717.7+(149.8-280)+(0.366027+(0.076398-0.1428))+0-185.3-0.0945029999999812</f>
        <v>402.40512200000001</v>
      </c>
      <c r="W155" s="3">
        <f>710.6+(142.3-261.9)+(-1.449624+(-0.290292--0.534276))+0-182.9--0.373115999999992</f>
        <v>407.26747599999999</v>
      </c>
      <c r="X155" s="3">
        <f>710.7+(187.9-298.3)+(-0.362457+(-0.095829--0.152133))+0-162.7--0.0829769999999835</f>
        <v>437.37682400000006</v>
      </c>
      <c r="Y155" s="3">
        <f>717.3+(157.3-255.9)+(-0.365823+(-0.080223--0.130509))+0-156.7--0.0799169999999841</f>
        <v>461.76437999999996</v>
      </c>
      <c r="Z155" s="3">
        <f>757.3+(155.7-256)+(-1.544892+(-0.317628--0.52224))+0-167.5--0.341699999999993</f>
        <v>488.50142</v>
      </c>
      <c r="AA155" s="3">
        <f>755.2+(155.2-248.1)+(-0.770304+(-0.158304--0.253062))+0-157.3--0.160446000000025</f>
        <v>504.48490000000004</v>
      </c>
      <c r="AB155" s="3">
        <f>741.2+(164.8-234.8)+(0+(0-0))+0-157.2-0</f>
        <v>514</v>
      </c>
      <c r="AC155" s="3">
        <f>733.5+(176.5-228.9)+(-1.49634+(-0.36006--0.466956))+0-156.1--0.318443999999993</f>
        <v>523.92899999999997</v>
      </c>
      <c r="AD155">
        <v>493.00000000000011</v>
      </c>
      <c r="AE155" s="3">
        <f>760+(160.6-249.2)+(0+(0-0))+0-178.4-0</f>
        <v>493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731.3+(172.2-245.5)+(-1.491852+(-0.351288--0.50082))+0-153.3--0.312731999999993</f>
        <v>503.670412</v>
      </c>
      <c r="G156" s="3">
        <f>734.5+(156.2-255)+(-1.49838+(-0.318648--0.5202))+0-147.5--0.300899999999994</f>
        <v>487.20407200000005</v>
      </c>
      <c r="H156" s="3">
        <f>746.3+(140.2-256.5)+(-0.380613+(-0.071502--0.130815))+0-149.8--0.0763979999999848</f>
        <v>479.95509800000002</v>
      </c>
      <c r="I156" s="3">
        <f>752.8+(132-277.8)+(0.767856+(0.13464-0.283356))+0-138.1-0.140862000000022</f>
        <v>469.37827799999997</v>
      </c>
      <c r="J156" s="3">
        <f>760.1+(142.7-286.7)+(0.775302+(0.145554-0.292434))+0-146.9-0.149838000000023</f>
        <v>469.678584</v>
      </c>
      <c r="K156" s="3">
        <f>750.8+(152.6-288.3)+(-1.148724+(-0.233478--0.441099))+0-157--0.240210000000009</f>
        <v>457.3991069999999</v>
      </c>
      <c r="L156" s="3">
        <f>755.1+(164-331)+(0+(0-0))+0-148.8-0</f>
        <v>439.3</v>
      </c>
      <c r="M156" s="3">
        <f>759.9+(187.5-320.8)+(0+(0-0))+0-161.8-0</f>
        <v>464.7999999999999</v>
      </c>
      <c r="N156" s="3">
        <f>745.2+(159-221.6)+(1.140156+(0.24327-0.339048))+0-189.2-0.289476000000011</f>
        <v>494.15490200000005</v>
      </c>
      <c r="O156" s="3">
        <f>740.1+(133.4-172.7)+(0.754902+(0.136068-0.176154))+0-173.5-0.176970000000028</f>
        <v>527.83784600000013</v>
      </c>
      <c r="P156" s="3">
        <f>746+(146.9-144.1)+(1.52184+(0.299676-0.293964))+0-189-0.385559999999992</f>
        <v>560.94199200000003</v>
      </c>
      <c r="Q156" s="3">
        <f>733.7+(141.4-129.4)+(0.748374+(0.144228-0.131988))+0-174.6-0.178092000000028</f>
        <v>571.68252200000006</v>
      </c>
      <c r="R156" s="3">
        <f>722.6+(198-153.9)+(1.105578+(0.30294-0.235467))+0-164.2-0.25122600000001</f>
        <v>603.42182500000001</v>
      </c>
      <c r="S156" s="3">
        <f>712.9+(345.7-318.3)+(0+(0-0))+0-152.1-0</f>
        <v>588.19999999999993</v>
      </c>
      <c r="T156" s="3">
        <f>735.5+(395.8-392.9)+(0+(0-0))+0-158.1-0</f>
        <v>580.30000000000007</v>
      </c>
      <c r="U156" s="3">
        <f>739.7+(371.7-407.9)+(-2.263482+(-1.137402--1.248174))+0-128--0.391680000000015</f>
        <v>573.73897000000011</v>
      </c>
      <c r="V156" s="3">
        <f>744.4+(277.4-319.3)+(-1.138932+(-0.424422--0.488529))+0-129.8--0.198594000000008</f>
        <v>571.82376899999986</v>
      </c>
      <c r="W156" s="3">
        <f>737.4+(167.4-205.8)+(-0.752148+(-0.170748--0.209916))+0-127.9--0.13045800000002</f>
        <v>570.51747799999998</v>
      </c>
      <c r="X156" s="3">
        <f>723.8+(173.4-180.3)+(-1.107414+(-0.265302--0.275859))+0-140.9--0.215577000000008</f>
        <v>575.11872000000005</v>
      </c>
      <c r="Y156" s="3">
        <f>730.4+(173-189.3)+(0.745008+(0.17646-0.193086))+0-145.4-0.148308000000023</f>
        <v>569.2800739999999</v>
      </c>
      <c r="Z156" s="3">
        <f>722.4+(197.3-176.8)+(-0.736848+(-0.201246--0.180336))+0-160.1--0.163302000000026</f>
        <v>582.20554400000003</v>
      </c>
      <c r="AA156" s="3">
        <f>740+(208.5-194.4)+(-1.1322+(-0.319005--0.297432))+0-166--0.25398000000001</f>
        <v>587.20020699999998</v>
      </c>
      <c r="AB156" s="3">
        <f>749+(202-206.8)+(-1.14597+(-0.30906--0.316404))+0-156.1--0.238833000000009</f>
        <v>587.20020699999998</v>
      </c>
      <c r="AC156" s="3">
        <f>761.9+(188-215.2)+(-0.777138+(-0.19176--0.219504))+0-155--0.158100000000025</f>
        <v>579.10870599999998</v>
      </c>
      <c r="AD156">
        <v>600.19999999999993</v>
      </c>
      <c r="AE156" s="3">
        <f>724+(224.8-175.7)+(0+(0-0))+0-172.9-0</f>
        <v>600.20000000000005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766.5+(179.2-231)+(-0.390915+(-0.091392--0.11781))+0-158.1--0.080630999999984</f>
        <v>556.31613400000003</v>
      </c>
      <c r="G157" s="3">
        <f>766.6+(173.9-233.5)+(-1.172898+(-0.266067--0.357255))+0-158.3--0.242199000000009</f>
        <v>547.86048899999992</v>
      </c>
      <c r="H157" s="3">
        <f>771.4+(166.1-245.2)+(-0.786828+(-0.169422--0.250104))+0-160.4--0.163608000000026</f>
        <v>531.35746200000006</v>
      </c>
      <c r="I157" s="3">
        <f>772.2+(161.8-257.4)+(-1.96911+(-0.41259--0.65637))+0-163.5--0.416924999999976</f>
        <v>511.79159500000014</v>
      </c>
      <c r="J157" s="3">
        <f>777.8+(154.6-275)+(0.396678+(0.078846-0.14025))+0-144.1-0.0734909999999854</f>
        <v>513.56178299999999</v>
      </c>
      <c r="K157" s="3">
        <f>778.1+(154.8-304)+(-1.984155+(-0.39474--0.7752))+0-102.6--0.261629999999985</f>
        <v>524.95793500000002</v>
      </c>
      <c r="L157" s="3">
        <f>781.7+(162.6-313.1)+(-1.196001+(-0.248778--0.479043))+0-139.8--0.213894000000008</f>
        <v>490.64815800000002</v>
      </c>
      <c r="M157" s="3">
        <f>783.5+(158.4-326.2)+(-0.79917+(-0.161568--0.332724))+0-164.1--0.167382000000026</f>
        <v>451.13936800000005</v>
      </c>
      <c r="N157" s="3">
        <f>785.8+(162.8-308.4)+(0.801516+(0.166056-0.314568))+0-161.5-0.164730000000026</f>
        <v>479.18827400000004</v>
      </c>
      <c r="O157" s="3">
        <f>782.4+(162.4-259.1)+(0.798048+(0.165648-0.264282))+0-162-0.165240000000026</f>
        <v>524.23417399999994</v>
      </c>
      <c r="P157" s="3">
        <f>770.7+(170.4-206.4)+(0.393057+(0.086904-0.105264))+0-163.1-0.0831809999999834</f>
        <v>571.89151600000002</v>
      </c>
      <c r="Q157" s="3">
        <f>761.4+(175.9-193.6)+(-0.776628+(-0.179418--0.197472))+0-157.6--0.160752000000025</f>
        <v>585.50217800000007</v>
      </c>
      <c r="R157" s="3">
        <f>766.1+(235-263.6)+(-0.390711+(-0.11985--0.134436))+0-166.4--0.0848639999999831</f>
        <v>570.80873900000006</v>
      </c>
      <c r="S157" s="3">
        <f>758.4+(255.3-294.6)+(-1.93392+(-0.651015--0.75123))+0-136.7--0.34858499999998</f>
        <v>580.91487999999981</v>
      </c>
      <c r="T157" s="3">
        <f>749.5+(272.3-317)+(-1.911225+(-0.694365--0.80835))+0-122--0.311099999999982</f>
        <v>581.31385999999998</v>
      </c>
      <c r="U157" s="3">
        <f>742.1+(281.4-318.1)+(-1.135413+(-0.430542--0.486693))+0-130.3--0.199359000000008</f>
        <v>574.2200969999999</v>
      </c>
      <c r="V157" s="3">
        <f>744.1+(195.7-227.8)+(-1.138473+(-0.299421--0.348534))+0-139.5--0.213435000000008</f>
        <v>571.62407499999995</v>
      </c>
      <c r="W157" s="3">
        <f>744.3+(160.6-195.6)+(-0.759186+(-0.163812--0.199512))+0-127.4--0.12994800000002</f>
        <v>581.30646200000001</v>
      </c>
      <c r="X157" s="3">
        <f>724.8+(260.3-269.7)+(-1.84824+(-0.663765--0.687735))+0-135.4--0.34526999999998</f>
        <v>578.52100000000007</v>
      </c>
      <c r="Y157" s="3">
        <f>721.4+(215.7-209.7)+(-0.367914+(-0.110007--0.106947))+0-139.5--0.0711449999999858</f>
        <v>587.60017099999993</v>
      </c>
      <c r="Z157" s="3">
        <f>746.5+(174.1-188.7)+(0+(0-0))+0-132.7-0</f>
        <v>599.20000000000005</v>
      </c>
      <c r="AA157" s="3">
        <f>752.7+(179.2-189)+(-1.535508+(-0.365568--0.38556))+0-127.7--0.260507999999994</f>
        <v>613.94499199999996</v>
      </c>
      <c r="AB157" s="3">
        <f>752.9+(179.3-183.4)+(0.383979+(0.091443-0.093534))+0-133.3-0.0679829999999865</f>
        <v>615.81390499999986</v>
      </c>
      <c r="AC157" s="3">
        <f>750.2+(191.3-199.4)+(-1.530408+(-0.390252--0.406776))+0-133.9--0.273155999999994</f>
        <v>606.95927200000006</v>
      </c>
      <c r="AD157">
        <v>601.5</v>
      </c>
      <c r="AE157" s="3">
        <f>752+(170.8-198)+(0+(0-0))+0-123.3-0</f>
        <v>601.5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742.6+(164.2-210.8)+(-0.378726+(-0.083742--0.107508))+0-142.4--0.0726239999999856</f>
        <v>553.31766400000004</v>
      </c>
      <c r="G158" s="3">
        <f>727.9+(160.9-218.5)+(0+(0-0))+0-133.7-0</f>
        <v>536.59999999999991</v>
      </c>
      <c r="H158" s="3">
        <f>733.6+(151.2-216.3)+(0+(0-0))+0-144.7-0</f>
        <v>523.79999999999995</v>
      </c>
      <c r="I158" s="3">
        <f>740.4+(135-241.9)+(1.132812+(0.20655-0.370107))+0-130.9-0.200277000000008</f>
        <v>503.36897799999997</v>
      </c>
      <c r="J158" s="3">
        <f>731.6+(139-235.5)+(-0.373116+(-0.07089--0.120105))+0-137.6--0.070175999999986</f>
        <v>497.24627500000003</v>
      </c>
      <c r="K158" s="3">
        <f>726.8+(132.4-243.1)+(-1.85334+(-0.33762--0.619905))+0-121.4--0.309569999999982</f>
        <v>493.43851499999994</v>
      </c>
      <c r="L158" s="3">
        <f>739.6+(178.5-284.9)+(-1.508784+(-0.36414--0.581196))+0-128.4--0.261935999999994</f>
        <v>503.77020800000003</v>
      </c>
      <c r="M158" s="3">
        <f>754.8+(191.9-305.4)+(0.769896+(0.195738-0.311508))+0-117.5-0.119850000000019</f>
        <v>524.33427599999993</v>
      </c>
      <c r="N158" s="3">
        <f>749.5+(183.3-250.5)+(0+(0-0))+0-126.6-0</f>
        <v>555.69999999999993</v>
      </c>
      <c r="O158" s="3">
        <f>746+(173.7-217.9)+(0.38046+(0.088587-0.111129))+0-129.2-0.0658919999999869</f>
        <v>572.8920260000001</v>
      </c>
      <c r="P158" s="3">
        <f>746.5+(162.4-193.3)+(1.52286+(0.331296-0.394332))+0-123-0.250919999999995</f>
        <v>593.8089040000001</v>
      </c>
      <c r="Q158" s="3">
        <f>729.5+(205.2-191.4)+(-1.860225+(-0.52326--0.48807))+0-135.1--0.34450499999998</f>
        <v>606.64909</v>
      </c>
      <c r="R158" s="3">
        <f>733.5+(293.1-287.7)+(0.74817+(0.298962-0.293454))+0-125.8-0.12831600000002</f>
        <v>613.72536200000013</v>
      </c>
      <c r="S158" s="3">
        <f>720+(358.3-357.1)+(-1.1016+(-0.548199--0.546363))+0-131.5--0.201195000000008</f>
        <v>588.79775900000004</v>
      </c>
      <c r="T158" s="3">
        <f>725.2+(384.5-398.7)+(0.369852+(0.196095-0.203337))+0-143.8-0.0733379999999854</f>
        <v>567.48927199999991</v>
      </c>
      <c r="U158" s="3">
        <f>723+(340.5-370.6)+(0+(0-0))+0-130.2-0</f>
        <v>562.70000000000005</v>
      </c>
      <c r="V158" s="3">
        <f>715.5+(260.9-283.2)+(-1.824525+(-0.665295--0.72216))+0-141.7--0.361334999999979</f>
        <v>550.09367499999996</v>
      </c>
      <c r="W158" s="3">
        <f>717.7+(158.9-187.1)+(-1.098081+(-0.243117--0.286263))+0-137.8--0.210834000000008</f>
        <v>550.85589899999991</v>
      </c>
      <c r="X158" s="3">
        <f>719.1+(177-189.7)+(-1.100223+(-0.27081--0.290241))+0-148.2--0.226746000000009</f>
        <v>557.34595400000012</v>
      </c>
      <c r="Y158" s="3">
        <f>731.1+(158.5-168.9)+(0.745722+(0.16167-0.172278))+0-152.1-0.155142000000024</f>
        <v>569.17997199999991</v>
      </c>
      <c r="Z158" s="3">
        <f>749.1+(174.4-198.8)+(-2.674287+(-0.622608--0.709716))+0-155.6--0.555492000000002</f>
        <v>567.06831299999999</v>
      </c>
      <c r="AA158" s="3">
        <f>761.9+(195.7-218.5)+(-1.165707+(-0.299421--0.334305))+0-162.3--0.248319000000009</f>
        <v>575.91749600000003</v>
      </c>
      <c r="AB158" s="3">
        <f>765.3+(197.9-236.7)+(0.390303+(0.100929-0.120717))+0-146.3-0.0746129999999852</f>
        <v>580.49590199999989</v>
      </c>
      <c r="AC158" s="3">
        <f>760.7+(202.9-236)+(-1.939785+(-0.517395--0.6018))+0-159.3--0.406214999999977</f>
        <v>566.85083499999996</v>
      </c>
      <c r="AD158">
        <v>575.09999999999991</v>
      </c>
      <c r="AE158" s="3">
        <f>753+(210.4-208.6)+(0+(0-0))+0-179.7-0</f>
        <v>575.09999999999991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750.1+(187.1-233.1)+(-1.912755+(-0.477105--0.594405))+0-135.5--0.34552499999998</f>
        <v>567.15007000000003</v>
      </c>
      <c r="G159" s="3">
        <f>745.4+(153.7-209)+(-1.90077+(-0.391935--0.53295))+0-146.1--0.372554999999979</f>
        <v>542.61279999999988</v>
      </c>
      <c r="H159" s="3">
        <f>750.4+(138.6-211.8)+(0.765408+(0.141372-0.216036))+0-147.2-0.150144000000023</f>
        <v>530.54059999999993</v>
      </c>
      <c r="I159" s="3">
        <f>743.1+(140.1-219.3)+(-1.136943+(-0.214353--0.335529))+0-149--0.227970000000009</f>
        <v>514.11220300000002</v>
      </c>
      <c r="J159" s="3">
        <f>747.6+(132.9-225.8)+(0+(0-0))+0-148.9-0</f>
        <v>505.80000000000007</v>
      </c>
      <c r="K159" s="3">
        <f>741.1+(141.3-230.4)+(-1.889805+(-0.360315--0.58752))+0-153--0.390149999999978</f>
        <v>497.72755000000001</v>
      </c>
      <c r="L159" s="3">
        <f>744.5+(144.8-279.7)+(-2.657865+(-0.516936--0.998529))+0-136.6--0.487662000000002</f>
        <v>471.31138999999996</v>
      </c>
      <c r="M159" s="3">
        <f>737.7+(142.8-263.9)+(0.376227+(0.072828-0.134589))+0-144.7-0.0737969999999853</f>
        <v>472.14066900000017</v>
      </c>
      <c r="N159" s="3">
        <f>694.3+(170-271.7)+(0.354093+(0.0867-0.138567))+0-132.9-0.0677789999999865</f>
        <v>459.93444699999998</v>
      </c>
      <c r="O159" s="3">
        <f>701.1+(170.2-241)+(-0.715122+(-0.173604--0.24582))+0-138.6--0.141372000000022</f>
        <v>491.19846599999994</v>
      </c>
      <c r="P159" s="3">
        <f>699.6+(155.4-204)+(0.713592+(0.158508-0.20808))+0-145.2-0.148104000000023</f>
        <v>506.31591600000002</v>
      </c>
      <c r="Q159" s="3">
        <f>689.6+(137.2-180.1)+(1.406784+(0.279888-0.367404))+0-150.2-0.306407999999993</f>
        <v>497.51286000000005</v>
      </c>
      <c r="R159" s="3">
        <f>678.6+(155.7-177)+(-1.038258+(-0.238221--0.27081))+0-148--0.226440000000009</f>
        <v>508.52077099999997</v>
      </c>
      <c r="S159" s="3">
        <f>679.6+(245.3-284.4)+(-0.693192+(-0.250206--0.290088))+0-137.5--0.140250000000022</f>
        <v>502.48694</v>
      </c>
      <c r="T159" s="3">
        <f>670.9+(336.8-344.8)+(0.342159+(0.171768-0.175848))+0-149.9-0.0764489999999848</f>
        <v>513.26162999999997</v>
      </c>
      <c r="U159" s="3">
        <f>661.5+(282.1-292.9)+(0+(0-0))+0-144.9-0</f>
        <v>505.80000000000007</v>
      </c>
      <c r="V159" s="3">
        <f>661.4+(212.2-221.7)+(0+(0-0))+0-140.8-0</f>
        <v>511.09999999999997</v>
      </c>
      <c r="W159" s="3">
        <f>662.8+(177.6-180.9)+(0+(0-0))+0-143.4-0</f>
        <v>516.1</v>
      </c>
      <c r="X159" s="3">
        <f>662.4+(253.4-264.3)+(-1.013472+(-0.387702--0.404379))+0-143.7--0.219861000000008</f>
        <v>507.02306599999997</v>
      </c>
      <c r="Y159" s="3">
        <f>667.3+(200.2-189.5)+(1.020969+(0.306306-0.289935))+0-149.1-0.228123000000009</f>
        <v>529.70921699999997</v>
      </c>
      <c r="Z159" s="3">
        <f>664.2+(195.9-156)+(-0.677484+(-0.199818--0.15912))+0-153.6--0.156672000000024</f>
        <v>549.93849000000012</v>
      </c>
      <c r="AA159" s="3">
        <f>668.8+(206.7-173.8)+(-0.341088+(-0.105417--0.088638))+0-141.1--0.0719609999999857</f>
        <v>560.31409399999984</v>
      </c>
      <c r="AB159" s="3">
        <f>672.5+(202.2-187.2)+(-0.68595+(-0.206244--0.190944))+0-137.9--0.140658000000022</f>
        <v>549.03940800000009</v>
      </c>
      <c r="AC159" s="3">
        <f>676.6+(200.5-191.8)+(0.345066+(0.102255-0.097818))+0-130.4-0.0665039999999868</f>
        <v>555.182999</v>
      </c>
      <c r="AD159">
        <v>546.79999999999995</v>
      </c>
      <c r="AE159" s="3">
        <f>671+(213-159)+(0+(0-0))+0-178.2-0</f>
        <v>546.79999999999995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671+(196.3-187.2)+(-0.34221+(-0.100113--0.095472))+0-135.6--0.0691559999999862</f>
        <v>544.22230500000001</v>
      </c>
      <c r="G160" s="3">
        <f>671.1+(185.4-194.5)+(-2.053566+(-0.567324--0.59517))+0-128.7--0.393822000000015</f>
        <v>531.66810200000009</v>
      </c>
      <c r="H160" s="3">
        <f>680.7+(175.3-198.5)+(-1.388628+(-0.357612--0.40494))+0-137.7--0.280907999999994</f>
        <v>518.73960799999986</v>
      </c>
      <c r="I160" s="3">
        <f>691.2+(161.2-209.9)+(0.352512+(0.082212-0.107049))+0-137.2-0.0699719999999861</f>
        <v>505.557703</v>
      </c>
      <c r="J160" s="3">
        <f>694+(163.4-197.5)+(0.70788+(0.166668-0.20145))+0-157-0.160140000000025</f>
        <v>503.41295799999995</v>
      </c>
      <c r="K160" s="3">
        <f>690.3+(187.8-224)+(-0.352053+(-0.095778--0.11424))+0-143.5--0.0731849999999854</f>
        <v>510.33959399999992</v>
      </c>
      <c r="L160" s="3">
        <f>687.6+(238.3-278.8)+(-1.75338+(-0.607665--0.71094))+0-145--0.369749999999979</f>
        <v>500.81964499999992</v>
      </c>
      <c r="M160" s="3">
        <f>690+(206.2-237.6)+(-0.7038+(-0.210324--0.242352))+0-132.9--0.135558000000021</f>
        <v>525.16378600000007</v>
      </c>
      <c r="N160" s="3">
        <f>681.9+(192-174)+(-0.695538+(-0.19584--0.17748))+0-144.9--0.147798000000023</f>
        <v>554.43389999999999</v>
      </c>
      <c r="O160" s="3">
        <f>698.1+(198.4-173.4)+(0.712062+(0.202368-0.176868))+0-133.3-0.135966000000021</f>
        <v>590.40159599999993</v>
      </c>
      <c r="P160" s="3">
        <f>637.7+(219.2-109.3)+(0.325227+(0.111792-0.055743))+0-141.5-0.0721649999999856</f>
        <v>606.40911099999994</v>
      </c>
      <c r="Q160" s="3">
        <f>696.3+(240-115.7)+(0.710226+(0.2448-0.118014))+0-154.9-0.157998000000025</f>
        <v>666.37901399999987</v>
      </c>
      <c r="R160" s="3">
        <f>724.8+(206.9-226.6)+(-0.369648+(-0.105519--0.115566))+0-142.3--0.0725729999999856</f>
        <v>562.51297199999988</v>
      </c>
      <c r="S160" s="3">
        <f>734.8+(310.1-343)+(-1.124244+(-0.474453--0.52479))+0-153.8--0.235314000000009</f>
        <v>547.26140699999996</v>
      </c>
      <c r="T160" s="3">
        <f>731.4+(329.4-393.2)+(-0.373014+(-0.167994--0.200532))+0-140.6--0.0717059999999857</f>
        <v>526.73122999999987</v>
      </c>
      <c r="U160" s="3">
        <f>722.9+(311.2-372)+(-0.737358+(-0.317424--0.37944))+0-139--0.141780000000022</f>
        <v>522.56643799999995</v>
      </c>
      <c r="V160" s="3">
        <f>716+(217.4-269.5)+(-2.19096+(-0.665244--0.82467))+0-141.5--0.432990000000016</f>
        <v>520.80145600000003</v>
      </c>
      <c r="W160" s="3">
        <f>720.5+(133.2-159.1)+(-0.73491+(-0.135864--0.162282))+0-161.7--0.164934000000026</f>
        <v>532.35644200000013</v>
      </c>
      <c r="X160" s="3">
        <f>722.2+(153.8-193)+(-1.104966+(-0.235314--0.29529))+0-151.9--0.232407000000009</f>
        <v>530.287417</v>
      </c>
      <c r="Y160" s="3">
        <f>725.9+(125.3-151.8)+(0+(0-0))+0-164.2-0</f>
        <v>535.20000000000005</v>
      </c>
      <c r="Z160" s="3">
        <f>737.1+(133.2-156.8)+(-0.751842+(-0.135864--0.159936))+0-160.5--0.163710000000026</f>
        <v>552.43594000000007</v>
      </c>
      <c r="AA160" s="3">
        <f>758.9+(121.5-173.6)+(-1.935195+(-0.309825--0.44268))+0-151.2--0.385559999999978</f>
        <v>554.18321999999989</v>
      </c>
      <c r="AB160" s="3">
        <f>766.1+(121.1-170.5)+(-1.172133+(-0.185283--0.260865))+0-153.2--0.234396000000009</f>
        <v>562.6378450000002</v>
      </c>
      <c r="AC160" s="3">
        <f>740.4+(121.1-162.9)+(0.377604+(0.061761-0.083079))+0-150.6-0.0768059999999847</f>
        <v>548.27947999999981</v>
      </c>
      <c r="AD160">
        <v>618.29999999999995</v>
      </c>
      <c r="AE160" s="3">
        <f>753+(189.9-159)+(0+(0-0))+0-165.6-0</f>
        <v>618.29999999999995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720+(164.3-152.8)+(-0.7344+(-0.167586--0.155856))+0-145.1--0.148002000000023</f>
        <v>585.801872</v>
      </c>
      <c r="G161" s="3">
        <f>720+(153.1-176.1)+(-0.7344+(-0.156162--0.179622))+0-133.7--0.136374000000021</f>
        <v>562.72543400000006</v>
      </c>
      <c r="H161" s="3">
        <f>723.2+(145.1-179)+(-1.475328+(-0.296004--0.36516))+0-142.8--0.291311999999994</f>
        <v>545.38513999999998</v>
      </c>
      <c r="I161" s="3">
        <f>727.8+(145.8-212.5)+(0.371178+(0.074358-0.108375))+0-130.9-0.0667589999999867</f>
        <v>530.47040200000004</v>
      </c>
      <c r="J161" s="3">
        <f>721.9+(158.1-224.5)+(0.736338+(0.161262-0.22899))+0-126.5-0.12903000000002</f>
        <v>529.53957999999989</v>
      </c>
      <c r="K161" s="3">
        <f>696.2+(163.9-228)+(-1.77531+(-0.417945--0.5814))+0-98.3--0.250664999999986</f>
        <v>532.4388100000001</v>
      </c>
      <c r="L161" s="3">
        <f>696.6+(161.4-259.3)+(-1.421064+(-0.329256--0.528972))+0-90.7--0.185027999999996</f>
        <v>506.96368000000001</v>
      </c>
      <c r="M161" s="3">
        <f>752.1+(164.2-289)+(0.383571+(0.083742-0.14739))+0-96.7-0.0493169999999902</f>
        <v>530.87060599999995</v>
      </c>
      <c r="N161" s="3">
        <f>699.2+(179-200.7)+(0.356592+(0.09129-0.102357))+0-120.4-0.0614039999999878</f>
        <v>557.38412099999994</v>
      </c>
      <c r="O161" s="3">
        <f>696.4+(204-187.2)+(-0.710328+(-0.20808--0.190944))+0-136.4--0.139128000000022</f>
        <v>576.21166400000004</v>
      </c>
      <c r="P161" s="3">
        <f>697.4+(174.3-122.7)+(0.355674+(0.088893-0.062577))+0-131-0.0668099999999867</f>
        <v>618.31517999999994</v>
      </c>
      <c r="Q161" s="3">
        <f>748.2+(160.9-151)+(-0.381582+(-0.082059--0.07701))+0-131--0.0668099999999867</f>
        <v>626.78017900000009</v>
      </c>
      <c r="R161" s="3">
        <f>748.5+(148.8-183.6)+(0.381735+(0.075888-0.093636))+0-102-0.0520199999999897</f>
        <v>612.01196700000003</v>
      </c>
      <c r="S161" s="3">
        <f>740.5+(238.7-267.5)+(-1.51062+(-0.486948--0.5457))+0-146.3--0.298451999999994</f>
        <v>564.24658399999998</v>
      </c>
      <c r="T161" s="3">
        <f>739.3+(292.8-294.8)+(-1.131129+(-0.447984--0.451044))+0-165.6--0.25336800000001</f>
        <v>570.82529899999997</v>
      </c>
      <c r="U161" s="3">
        <f>738.7+(230.5-251.5)+(-0.753474+(-0.23511--0.25653))+0-151.6--0.154632000000024</f>
        <v>565.52257800000007</v>
      </c>
      <c r="V161" s="3">
        <f>746.8+(155.2-181)+(-0.761736+(-0.158304--0.18462))+0-157.3--0.160446000000025</f>
        <v>563.12502600000005</v>
      </c>
      <c r="W161" s="3">
        <f>746.5+(174.2-182.3)+(-1.903575+(-0.44421--0.464865))+0-158.1--0.403154999999977</f>
        <v>578.82023499999991</v>
      </c>
      <c r="X161" s="3">
        <f>751.7+(318.9-342.6)+(-2.300202+(-0.975834--1.048356))+0-153.6--0.470016000000018</f>
        <v>572.642336</v>
      </c>
      <c r="Y161" s="3">
        <f>763.3+(228.2-240.6)+(0+(0-0))+0-162.6-0</f>
        <v>588.29999999999995</v>
      </c>
      <c r="Z161" s="3">
        <f>769.9+(155.3-180.8)+(-1.570596+(-0.316812--0.368832))+0-151.9--0.309875999999993</f>
        <v>591.29129999999998</v>
      </c>
      <c r="AA161" s="3">
        <f>728.7+(171.4-144.9)+(-1.858185+(-0.43707--0.369495))+0-149.3--0.380714999999978</f>
        <v>604.35495500000002</v>
      </c>
      <c r="AB161" s="3">
        <f>720+(166.7-142.5)+(-1.4688+(-0.340068--0.2907))+0-142.2--0.290087999999994</f>
        <v>600.77192000000014</v>
      </c>
      <c r="AC161" s="3">
        <f>727.5+(155.3-161.4)+(-1.113075+(-0.237609--0.246942))+0-145.5--0.222615000000008</f>
        <v>575.01887299999999</v>
      </c>
      <c r="AD161">
        <v>606.29999999999995</v>
      </c>
      <c r="AE161" s="3">
        <f>753+(165.5-159.1)+(0+(0-0))+0-153.1-0</f>
        <v>606.29999999999995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730+(155.4-174.7)+(-0.3723+(-0.079254--0.089097))+0-144--0.0734399999999854</f>
        <v>566.4109830000001</v>
      </c>
      <c r="G162" s="3">
        <f>730.1+(167.9-201.8)+(0+(0-0))+0-150.6-0</f>
        <v>545.6</v>
      </c>
      <c r="H162" s="3">
        <f>747.1+(178.5-249.8)+(0+(0-0))+0-146.1-0</f>
        <v>529.69999999999993</v>
      </c>
      <c r="I162" s="3">
        <f>756.5+(187.4-280.5)+(-1.157445+(-0.286722--0.429165))+0-149--0.227970000000009</f>
        <v>513.61296800000002</v>
      </c>
      <c r="J162" s="3">
        <f>784.3+(180-298.9)+(0.399993+(0.0918-0.152439))+0-158.1-0.080630999999984</f>
        <v>507.55872299999993</v>
      </c>
      <c r="K162" s="3">
        <f>791.8+(184.2-313)+(-0.403818+(-0.093942--0.15963))+0-147.9--0.075428999999985</f>
        <v>514.83729900000003</v>
      </c>
      <c r="L162" s="3">
        <f>792.1+(185.5-343.5)+(-1.615884+(-0.37842--0.70074))+0-138.9--0.283355999999994</f>
        <v>494.18979200000007</v>
      </c>
      <c r="M162" s="3">
        <f>793+(193.2-334.6)+(-1.61772+(-0.394128--0.682584))+0-144.2--0.294167999999994</f>
        <v>506.36490399999997</v>
      </c>
      <c r="N162" s="3">
        <f>800.1+(184.8-315.7)+(0.816102+(0.188496-0.322014))+0-139.1-0.141882000000022</f>
        <v>530.64070200000003</v>
      </c>
      <c r="O162" s="3">
        <f>795.9+(170.5-275.6)+(0.405909+(0.086955-0.140556))+0-127.3-0.0649229999999871</f>
        <v>563.78738499999997</v>
      </c>
      <c r="P162" s="3">
        <f>774.2+(146.6-219.7)+(0+(0-0))+0-133.3-0</f>
        <v>567.79999999999995</v>
      </c>
      <c r="Q162" s="3">
        <f>712.9+(158.6-166.6)+(-0.363579+(-0.080886--0.084966))+0-134.8--0.0687479999999863</f>
        <v>569.80924900000002</v>
      </c>
      <c r="R162" s="3">
        <f>761.2+(142.4-201)+(-1.552848+(-0.290496--0.41004))+0-138--0.281519999999994</f>
        <v>563.448216</v>
      </c>
      <c r="S162" s="3">
        <f>767+(132.2-202.7)+(-2.73819+(-0.471954--0.723639))+0-140.3--0.500871000000002</f>
        <v>554.21436599999993</v>
      </c>
      <c r="T162" s="3">
        <f>768.2+(127.5-207.6)+(-1.95891+(-0.325125--0.52938))+0-137.3--0.35011499999998</f>
        <v>549.39545999999996</v>
      </c>
      <c r="U162" s="3">
        <f>762.6+(134.5-212.8)+(-1.166778+(-0.205785--0.325584))+0-138.6--0.212058000000008</f>
        <v>544.86507899999992</v>
      </c>
      <c r="V162" s="3">
        <f>756.3+(163.7-238.9)+(-1.157139+(-0.250461--0.365517))+0-134.5--0.205785000000008</f>
        <v>545.76370199999985</v>
      </c>
      <c r="W162" s="3">
        <f>755.2+(263.9-325.6)+(-1.155456+(-0.403767--0.498168))+0-143.7--0.219861000000008</f>
        <v>548.9588060000001</v>
      </c>
      <c r="X162" s="3">
        <f>753.7+(292.9-371.7)+(0.384387+(0.149379-0.189567))+0-134.2-0.0684419999999864</f>
        <v>540.97575700000016</v>
      </c>
      <c r="Y162" s="3">
        <f>752.7+(236.1-294.5)+(-0.767754+(-0.240822--0.30039))+0-144--0.146880000000023</f>
        <v>549.73869400000012</v>
      </c>
      <c r="Z162" s="3">
        <f>757.9+(192.4-254.9)+(-2.319174+(-0.588744--0.779994))+0-137.2--0.419832000000016</f>
        <v>556.49190799999997</v>
      </c>
      <c r="AA162" s="3">
        <f>778.1+(196-262.7)+(-1.587324+(-0.39984--0.535908))+0-146.5--0.298859999999994</f>
        <v>563.74760400000014</v>
      </c>
      <c r="AB162" s="3">
        <f>790.4+(180.5-272.5)+(0.403104+(0.092055-0.138975))+0-148.8-0.0758879999999849</f>
        <v>549.88029599999993</v>
      </c>
      <c r="AC162" s="3">
        <f>788.5+(158.2-271.6)+(-0.80427+(-0.161364--0.277032))+0-140--0.142800000000022</f>
        <v>534.55419799999993</v>
      </c>
      <c r="AD162">
        <v>559.79999999999995</v>
      </c>
      <c r="AE162" s="3">
        <f>779+(194-256.7)+(0+(0-0))+0-156.5-0</f>
        <v>559.79999999999995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720.2+(169.9-233.9)+(0+(0-0))+0-137.8-0</f>
        <v>518.40000000000009</v>
      </c>
      <c r="G163" s="3">
        <f>698.7+(189-236.8)+(0+(0-0))+0-143.9-0</f>
        <v>507.00000000000011</v>
      </c>
      <c r="H163" s="3">
        <f>700.6+(206.6-279.6)+(1.071918+(0.316098-0.427788))+0-137.8-0.210834000000008</f>
        <v>490.54939400000001</v>
      </c>
      <c r="I163" s="3">
        <f>699.7+(244.2-327.2)+(0+(0-0))+0-137.7-0</f>
        <v>479.00000000000006</v>
      </c>
      <c r="J163" s="3">
        <f>701.8+(269.1-348.4)+(0+(0-0))+0-143.7-0</f>
        <v>478.8</v>
      </c>
      <c r="K163" s="3">
        <f>698.8+(314.3-392.5)+(-2.494716+(-1.122051--1.401225))+0-138.6--0.494802000000002</f>
        <v>480.27925999999985</v>
      </c>
      <c r="L163" s="3">
        <f>699.8+(284.5-390)+(-2.498286+(-1.015665--1.3923))+0-139.4--0.497658000000002</f>
        <v>453.27600699999994</v>
      </c>
      <c r="M163" s="3">
        <f>725.6+(299.8-422.4)+(0+(0-0))+0-136.2-0</f>
        <v>466.8</v>
      </c>
      <c r="N163" s="3">
        <f>736.1+(283-408.7)+(0.750822+(0.28866-0.416874))+0-127.9-0.13045800000002</f>
        <v>482.99215000000009</v>
      </c>
      <c r="O163" s="3">
        <f>701.8+(284.1-344.1)+(0.715836+(0.289782-0.350982))+0-146-0.148920000000023</f>
        <v>496.3057159999999</v>
      </c>
      <c r="P163" s="3">
        <f>704.7+(246.2-300.9)+(0.359397+(0.125562-0.153459))+0-140.9-0.0718589999999857</f>
        <v>509.35964100000007</v>
      </c>
      <c r="Q163" s="3">
        <f>760.2+(206.8-296.6)+(0.387702+(0.105468-0.151266))+0-147.4-0.075173999999985</f>
        <v>523.26673000000017</v>
      </c>
      <c r="R163" s="3">
        <f>753.4+(163.3-263.5)+(-1.152702+(-0.249849--0.403155))+0-97--0.148410000000006</f>
        <v>555.34901400000001</v>
      </c>
      <c r="S163" s="3">
        <f>748.1+(141.8-218.1)+(-1.526124+(-0.289272--0.444924))+0-158--0.322319999999993</f>
        <v>512.75184800000011</v>
      </c>
      <c r="T163" s="3">
        <f>746.3+(137.7-234.4)+(-0.380613+(-0.070227--0.119544))+0-140.9--0.0718589999999857</f>
        <v>508.44056299999994</v>
      </c>
      <c r="U163" s="3">
        <f>732.9+(144.7-225.3)+(0.373779+(0.073797-0.114903))+0-151-0.0770099999999847</f>
        <v>501.55566299999998</v>
      </c>
      <c r="V163" s="3">
        <f>727.8+(140.7-225)+(-1.113534+(-0.215271--0.34425))+0-149.5--0.228735000000009</f>
        <v>493.24418000000003</v>
      </c>
      <c r="W163" s="3">
        <f>705.8+(239.1-304.9)+(-2.159748+(-0.731646--0.932994))+0-149--0.455940000000017</f>
        <v>489.49754000000001</v>
      </c>
      <c r="X163" s="3">
        <f>704.1+(321.1-375)+(-2.154546+(-0.982566--1.1475))+0-151.9--0.464814000000018</f>
        <v>496.77520200000009</v>
      </c>
      <c r="Y163" s="3">
        <f>712.2+(243.2-284.3)+(-1.089666+(-0.372096--0.434979))+0-150.5--0.230265000000009</f>
        <v>519.80348200000003</v>
      </c>
      <c r="Z163" s="3">
        <f>732.4+(215.8-259.6)+(-1.86762+(-0.55029--0.66198))+0-163--0.415649999999976</f>
        <v>524.2597199999999</v>
      </c>
      <c r="AA163" s="3">
        <f>730.6+(197.6-253)+(-2.980848+(-0.806208--1.03224))+0-162.7--0.663815999999986</f>
        <v>510.40900000000005</v>
      </c>
      <c r="AB163" s="3">
        <f>746.6+(188.9-268.8)+(0+(0-0))+0-168.8-0</f>
        <v>497.90000000000003</v>
      </c>
      <c r="AC163" s="3">
        <f>750.2+(182.4-297.4)+(0.382602+(0.093024-0.151674))+0-144.9-0.0738989999999853</f>
        <v>490.55005300000005</v>
      </c>
      <c r="AD163">
        <v>503.8</v>
      </c>
      <c r="AE163" s="3">
        <f>735+(204-261)+(0+(0-0))+0-174.2-0</f>
        <v>503.8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738.4+(173.3-276.8)+(0+(0-0))+0-158.5-0</f>
        <v>476.4</v>
      </c>
      <c r="G164" s="3">
        <f>629.6+(199.3-215.1)+(-0.321096+(-0.101643--0.109701))+0-158.1--0.080630999999984</f>
        <v>455.46759300000002</v>
      </c>
      <c r="H164" s="3">
        <f>626.6+(255.6-295.1)+(-0.639132+(-0.260712--0.301002))+0-149--0.151980000000024</f>
        <v>437.65313800000007</v>
      </c>
      <c r="I164" s="3">
        <f>631.8+(293.8-342.7)+(0.322218+(0.149838-0.174777))+0-155.9-0.0795089999999842</f>
        <v>427.21777000000003</v>
      </c>
      <c r="J164" s="3">
        <f>632+(323.6-393.7)+(0+(0-0))+0-146.6-0</f>
        <v>415.30000000000007</v>
      </c>
      <c r="K164" s="3">
        <f>631.8+(375.5-459.4)+(0+(0-0))+0-145.8-0</f>
        <v>402.09999999999997</v>
      </c>
      <c r="L164" s="3">
        <f>557.5+(472.6-524.6)+(-1.990275+(-1.687182--1.872822))+0-148--0.528360000000002</f>
        <v>356.223725</v>
      </c>
      <c r="M164" s="3">
        <f>490.3+(426.5-427.2)+(-0.750159+(-0.652545--0.653616))+0-140--0.214200000000008</f>
        <v>349.06511200000006</v>
      </c>
      <c r="N164" s="3">
        <f>488.2+(422.9-414.5)+(0.746946+(0.647037-0.634185))+0-142.9-0.218637000000008</f>
        <v>354.24116099999998</v>
      </c>
      <c r="O164" s="3">
        <f>486.3+(406.8-386.9)+(0.496026+(0.414936-0.394638))+0-142.3-0.145146000000023</f>
        <v>364.27117800000002</v>
      </c>
      <c r="P164" s="3">
        <f>499.9+(391.6-366.1)+(-0.254949+(-0.199716--0.186711))+0-155.1--0.0791009999999843</f>
        <v>370.1111469999999</v>
      </c>
      <c r="Q164" s="3">
        <f>517.3+(319.1-317.4)+(0+(0-0))+0-145.3-0</f>
        <v>373.7</v>
      </c>
      <c r="R164" s="3">
        <f>514+(222-218.2)+(-0.26214+(-0.11322--0.111282))+0-148.8--0.0758879999999849</f>
        <v>368.81180999999987</v>
      </c>
      <c r="S164" s="3">
        <f>512.2+(164.6-156.6)+(0+(0-0))+0-150.8-0</f>
        <v>369.40000000000003</v>
      </c>
      <c r="T164" s="3">
        <f>506.1+(167.6-157.1)+(-1.290555+(-0.42738--0.400605))+0-147.2--0.375359999999979</f>
        <v>368.45803000000006</v>
      </c>
      <c r="U164" s="3">
        <f>503.6+(174.9-158.7)+(-1.28418+(-0.445995--0.404685))+0-149.9--0.382244999999978</f>
        <v>368.9567550000001</v>
      </c>
      <c r="V164" s="3">
        <f>509.9+(174.9-178.6)+(0+(0-0))+0-134.1-0</f>
        <v>372.1</v>
      </c>
      <c r="W164" s="3">
        <f>501.2+(245.4-237.5)+(-1.533672+(-0.750924--0.72675))+0-133.2--0.407592000000015</f>
        <v>374.74974600000007</v>
      </c>
      <c r="X164" s="3">
        <f>506.3+(362.1-348.5)+(-0.774639+(-0.554013--0.533205))+0-144.4--0.220932000000008</f>
        <v>374.92548500000015</v>
      </c>
      <c r="Y164" s="3">
        <f>510.2+(285.5-223.4)+(-0.260202+(-0.145605--0.113934))+0-161.6--0.0824159999999836</f>
        <v>410.49054299999989</v>
      </c>
      <c r="Z164" s="3">
        <f>568.2+(210.3-185.5)+(-1.44891+(-0.536265--0.473025))+0-162.2--0.413609999999976</f>
        <v>429.70145999999994</v>
      </c>
      <c r="AA164" s="3">
        <f>614.2+(183-208.7)+(-1.56621+(-0.46665--0.532185))+0-161--0.410549999999977</f>
        <v>426.409875</v>
      </c>
      <c r="AB164" s="3">
        <f>569.9+(180.5-175.9)+(-1.162596+(-0.36822--0.358836))+0-155.3--0.316811999999993</f>
        <v>418.344832</v>
      </c>
      <c r="AC164" s="3">
        <f>575.8+(181.5-192.7)+(0+(0-0))+0-151-0</f>
        <v>413.59999999999991</v>
      </c>
      <c r="AD164">
        <v>453.50000000000006</v>
      </c>
      <c r="AE164" s="3">
        <f>617+(198.5-208.3)+(0+(0-0))+0-153.7-0</f>
        <v>453.50000000000006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579.3+(169.2-201)+(-0.295443+(-0.086292--0.10251))+0-149.1--0.0760409999999849</f>
        <v>398.19681599999996</v>
      </c>
      <c r="G165" s="3">
        <f>578.6+(186.3-222.4)+(-0.885258+(-0.285039--0.340272))+0-152.9--0.233937000000009</f>
        <v>389.00391200000007</v>
      </c>
      <c r="H165" s="3">
        <f>581.2+(236.9-290.7)+(-0.296412+(-0.120819--0.148257))+0-147.8--0.075377999999985</f>
        <v>379.40640400000012</v>
      </c>
      <c r="I165" s="3">
        <f>581.8+(282.4-339.1)+(-0.593436+(-0.288048--0.345882))+0-149.8--0.152796000000024</f>
        <v>374.91719399999988</v>
      </c>
      <c r="J165" s="3">
        <f>585.1+(316.6-366.9)+(-0.298401+(-0.161466--0.187119))+0-159.6--0.0813959999999838</f>
        <v>375.00864800000005</v>
      </c>
      <c r="K165" s="3">
        <f>586.9+(336.8-396.2)+(-1.197276+(-0.687072--0.808248))+0-149.8--0.305591999999993</f>
        <v>376.92949199999998</v>
      </c>
      <c r="L165" s="3">
        <f>580+(371.7-448.3)+(-2.0706+(-1.326969--1.600431))+0-145--0.517650000000002</f>
        <v>357.12051199999996</v>
      </c>
      <c r="M165" s="3">
        <f>585.5+(365.2-434.6)+(-0.59721+(-0.372504--0.443292))+0-144.2--0.147084000000023</f>
        <v>371.5206619999999</v>
      </c>
      <c r="N165" s="3">
        <f>582.4+(343.9-397.1)+(0+(0-0))+0-134.4-0</f>
        <v>394.79999999999995</v>
      </c>
      <c r="O165" s="3">
        <f>589+(355.5-403.6)+(0.30039+(0.181305-0.205836))+0-131.9-0.0672689999999866</f>
        <v>409.20858999999996</v>
      </c>
      <c r="P165" s="3">
        <f>624.9+(337.9-401.2)+(-0.318699+(-0.172329--0.204612))+0-137.7--0.070226999999986</f>
        <v>423.68381099999988</v>
      </c>
      <c r="Q165" s="3">
        <f>620.2+(303.8-348.5)+(-0.948906+(-0.464814--0.533205))+0-135.4--0.207162000000008</f>
        <v>439.42664700000006</v>
      </c>
      <c r="R165" s="3">
        <f>623.7+(230.8-267.5)+(-0.318087+(-0.117708--0.136425))+0-148.5--0.0757349999999849</f>
        <v>438.27636500000006</v>
      </c>
      <c r="S165" s="3">
        <f>619.8+(161.9-195.4)+(-0.632196+(-0.165138--0.199308))+0-147.5--0.150450000000024</f>
        <v>438.35242399999998</v>
      </c>
      <c r="T165" s="3">
        <f>618.2+(105.7-142.3)+(-0.315282+(-0.053907--0.072573))+0-150.7--0.0768569999999847</f>
        <v>430.68024100000002</v>
      </c>
      <c r="U165" s="3">
        <f>613.8+(87.7-146.7)+(-1.252152+(-0.178908--0.299268))+0-140.5--0.286619999999994</f>
        <v>413.45482799999991</v>
      </c>
      <c r="V165" s="3">
        <f>616.3+(130.3-185.3)+(0.942939+(0.199359-0.283509))+0-143.5-0.219555000000008</f>
        <v>418.43923399999994</v>
      </c>
      <c r="W165" s="3">
        <f>612.2+(237.9-273.6)+(-1.248888+(-0.485316--0.558144))+0-149.6--0.305183999999993</f>
        <v>426.02912399999997</v>
      </c>
      <c r="X165" s="3">
        <f>605.6+(320.8-346.4)+(-0.617712+(-0.327216--0.353328))+0-150.4--0.153408000000024</f>
        <v>429.16180800000006</v>
      </c>
      <c r="Y165" s="3">
        <f>583.5+(266.5-251.8)+(0+(0-0))+0-143.4-0</f>
        <v>454.80000000000007</v>
      </c>
      <c r="Z165" s="3">
        <f>658.7+(245.2-273.7)+(-1.007811+(-0.375156--0.418761))+0-151.8--0.232254000000009</f>
        <v>477.66804800000006</v>
      </c>
      <c r="AA165" s="3">
        <f>661.4+(204.6-257.2)+(-1.68657+(-0.52173--0.65586))+0-146.7--0.374084999999979</f>
        <v>460.9216449999999</v>
      </c>
      <c r="AB165" s="3">
        <f>666.3+(183.1-252.7)+(-1.019439+(-0.280143--0.386631))+0-147--0.224910000000008</f>
        <v>449.01195899999993</v>
      </c>
      <c r="AC165" s="3">
        <f>672.9+(171.1-271)+(0.343179+(0.087261-0.13821))+0-133.7-0.0681869999999864</f>
        <v>439.52404300000006</v>
      </c>
      <c r="AD165">
        <v>462.79999999999995</v>
      </c>
      <c r="AE165" s="3">
        <f>664+(211.9-253)+(0+(0-0))+0-160.1-0</f>
        <v>462.79999999999995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671.3+(172.9-286.4)+(0.684726+(0.176358-0.292128))+0-137-0.139740000000022</f>
        <v>421.22921599999989</v>
      </c>
      <c r="G166" s="3">
        <f>642.2+(186.2-300.2)+(-0.982566+(-0.284886--0.459306))+0-137.7--0.210681000000008</f>
        <v>389.90253500000011</v>
      </c>
      <c r="H166" s="3">
        <f>642+(213.4-318.8)+(-0.65484+(-0.217668--0.325176))+0-160.3--0.163506000000026</f>
        <v>375.91617400000007</v>
      </c>
      <c r="I166" s="3">
        <f>586.3+(224-281.4)+(-1.495065+(-0.5712--0.71757))+0-149.8--0.381989999999978</f>
        <v>378.13329499999992</v>
      </c>
      <c r="J166" s="3">
        <f>522.6+(252-244.1)+(-1.33263+(-0.6426--0.622455))+0-137.7--0.35113499999998</f>
        <v>391.79836000000006</v>
      </c>
      <c r="K166" s="3">
        <f>532.1+(257.2-263.6)+(0.814113+(0.393516-0.403308))+0-134-0.205020000000008</f>
        <v>392.29930100000001</v>
      </c>
      <c r="L166" s="3">
        <f>524.7+(298.1-337.4)+(-1.605582+(-0.912186--1.032444))+0-109.7--0.335682000000013</f>
        <v>374.55035800000013</v>
      </c>
      <c r="M166" s="3">
        <f>508.8+(307-332)+(0.259488+(0.15657-0.16932))+0-106.4-0.0542639999999892</f>
        <v>377.59247400000004</v>
      </c>
      <c r="N166" s="3">
        <f>522.1+(300.2-305.1)+(0.798813+(0.459306-0.466803))+0-128.2-0.196146000000007</f>
        <v>389.59517000000011</v>
      </c>
      <c r="O166" s="3">
        <f>511.8+(298-308)+(0+(0-0))+0-144.6-0</f>
        <v>357.20000000000005</v>
      </c>
      <c r="P166" s="3">
        <f>519.5+(270.3-286)+(0.794835+(0.413559-0.43758))+0-135.7-0.207621000000008</f>
        <v>368.66319299999998</v>
      </c>
      <c r="Q166" s="3">
        <f>513.1+(318.1-307.8)+(0.523362+(0.324462-0.313956))+0-160.4-0.163608000000026</f>
        <v>363.37026000000009</v>
      </c>
      <c r="R166" s="3">
        <f>598+(312.3-304.5)+(-1.21992+(-0.637092--0.62118))+0-160.7--0.327827999999993</f>
        <v>444.19199600000002</v>
      </c>
      <c r="S166" s="3">
        <f>603.7+(229.1-282.5)+(0+(0-0))+0-147.6-0</f>
        <v>402.70000000000005</v>
      </c>
      <c r="T166" s="3">
        <f>629.4+(182.7-263.9)+(0.320994+(0.093177-0.134589))+0-156.6-0.0798659999999841</f>
        <v>391.79971600000005</v>
      </c>
      <c r="U166" s="3">
        <f>623.9+(167.8-231)+(-0.954567+(-0.256734--0.35343))+0-167.4--0.25612200000001</f>
        <v>392.69825100000003</v>
      </c>
      <c r="V166" s="3">
        <f>625.8+(193.9-251.9)+(-1.276632+(-0.395556--0.513876))+0-163.7--0.333947999999993</f>
        <v>403.27563599999996</v>
      </c>
      <c r="W166" s="3">
        <f>622.9+(307.8-358.6)+(-0.953037+(-0.470934--0.548658))+0-167.8--0.25673400000001</f>
        <v>403.68142099999989</v>
      </c>
      <c r="X166" s="3">
        <f>630.6+(387.4-436.4)+(-1.60803+(-0.98787--1.11282))+0-142.8--0.364139999999979</f>
        <v>437.68106</v>
      </c>
      <c r="Y166" s="3">
        <f>637.8+(354.1-393.4)+(0+(0-0))+0-119.6-0</f>
        <v>478.9</v>
      </c>
      <c r="Z166" s="3">
        <f>642.5+(292.5-303.9)+(-0.983025+(-0.447525--0.464967))+0-134.7--0.206091000000008</f>
        <v>495.64050800000001</v>
      </c>
      <c r="AA166" s="3">
        <f>645+(261.1-274.1)+(-0.98685+(-0.399483--0.419373))+0-157.4--0.240822000000009</f>
        <v>473.87386200000009</v>
      </c>
      <c r="AB166" s="3">
        <f>646.1+(208.3-244.2)+(-0.659022+(-0.212466--0.249084))+0-162.3--0.165546000000026</f>
        <v>447.44314200000008</v>
      </c>
      <c r="AC166" s="3">
        <f>644.5+(191.8-251.4)+(-1.643475+(-0.48909--0.64107))+0-150.5--0.383774999999978</f>
        <v>433.29227999999995</v>
      </c>
      <c r="AD166">
        <v>473.09999999999997</v>
      </c>
      <c r="AE166" s="3">
        <f>640+(266.9-288.1)+(0+(0-0))+0-145.7-0</f>
        <v>473.09999999999997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645.1+(197.7-291.6)+(-1.316004+(-0.403308--0.594864))+0-138.2--0.281927999999994</f>
        <v>412.15748000000002</v>
      </c>
      <c r="G167" s="3">
        <f>644.4+(192-300.7)+(-1.64322+(-0.4896--0.766785))+0-133.6--0.340679999999981</f>
        <v>401.07464499999998</v>
      </c>
      <c r="H167" s="3">
        <f>648.2+(195.5-281.8)+(-1.322328+(-0.39882--0.574872))+0-165.6--0.337823999999993</f>
        <v>395.49154800000014</v>
      </c>
      <c r="I167" s="3">
        <f>652.7+(181.9-288.7)+(-0.332877+(-0.092769--0.147237))+0-143.1--0.0729809999999855</f>
        <v>402.59457200000003</v>
      </c>
      <c r="J167" s="3">
        <f>654.5+(199-297.4)+(0+(0-0))+0-144-0</f>
        <v>412.1</v>
      </c>
      <c r="K167" s="3">
        <f>658.5+(222.1-336.5)+(1.007505+(0.339813-0.514845))+0-130.1-0.199053000000008</f>
        <v>414.63342000000006</v>
      </c>
      <c r="L167" s="3">
        <f>649.4+(330.5-420)+(-1.987164+(-1.01133--1.2852))+0-137.1--0.419526000000016</f>
        <v>421.50623199999995</v>
      </c>
      <c r="M167" s="3">
        <f>660.6+(392.4-469.6)+(0.673812+(0.400248-0.478992))+0-118-0.120360000000019</f>
        <v>465.87470799999994</v>
      </c>
      <c r="N167" s="3">
        <f>657.3+(390.4-441.5)+(1.005669+(0.597312-0.675495))+0-105.4-0.161262000000006</f>
        <v>501.56622399999998</v>
      </c>
      <c r="O167" s="3">
        <f>650.1+(394.1-396.9)+(0.331551+(0.200991-0.202419))+0-114.4-0.0583439999999884</f>
        <v>533.17177900000002</v>
      </c>
      <c r="P167" s="3">
        <f>649.5+(374.4-358.8)+(0.331245+(0.190944-0.182988))+0-116.3-0.0593129999999882</f>
        <v>549.07988799999998</v>
      </c>
      <c r="Q167" s="3">
        <f>643.8+(262-222.8)+(0+(0-0))+0-126.3-0</f>
        <v>556.70000000000005</v>
      </c>
      <c r="R167" s="3">
        <f>647.1+(197.2-138.6)+(0+(0-0))+0-131.4-0</f>
        <v>574.30000000000007</v>
      </c>
      <c r="S167" s="3">
        <f>641+(208.1-139.3)+(-0.98073+(-0.318393--0.213129))+0-143.6--0.219708000000008</f>
        <v>565.33371399999987</v>
      </c>
      <c r="T167" s="3">
        <f>640.4+(200.6-153.6)+(0.326604+(0.102306-0.078336))+0-152.1-0.0775709999999846</f>
        <v>535.57300299999997</v>
      </c>
      <c r="U167" s="3">
        <f>633.5+(191.3-163.7)+(-0.969255+(-0.292689--0.250461))+0-152.3--0.233019000000009</f>
        <v>508.02153600000003</v>
      </c>
      <c r="V167" s="3">
        <f>631.5+(191-136)+(-1.28826+(-0.38964--0.27744))+0-154.5--0.315179999999993</f>
        <v>530.91471999999999</v>
      </c>
      <c r="W167" s="3">
        <f>632.1+(229.6-187.1)+(-1.611855+(-0.58548--0.477105))+0-139.1--0.35470499999998</f>
        <v>534.13447499999995</v>
      </c>
      <c r="X167" s="3">
        <f>631.2+(374.5-363.4)+(-2.253384+(-1.336965--1.297338))+0-113--0.403410000000002</f>
        <v>527.4103990000001</v>
      </c>
      <c r="Y167" s="3">
        <f>644.3+(346.8-301.4)+(-0.657186+(-0.353736--0.307428))+0-130.1--0.132702000000021</f>
        <v>559.02920800000004</v>
      </c>
      <c r="Z167" s="3">
        <f>645.6+(221.9-171.1)+(-0.329256+(-0.113169--0.087261))+0-140.4--0.0716039999999858</f>
        <v>555.71644000000015</v>
      </c>
      <c r="AA167" s="3">
        <f>638.3+(179-124.1)+(-2.278731+(-0.63903--0.443037))+0-147.9--0.528003000000002</f>
        <v>543.35327899999993</v>
      </c>
      <c r="AB167" s="3">
        <f>650.7+(190.3-151.2)+(-0.663714+(-0.194106--0.154224))+0-156.9--0.160038000000025</f>
        <v>532.35644200000013</v>
      </c>
      <c r="AC167" s="3">
        <f>647.6+(173.1-165)+(-0.660552+(-0.176562--0.1683))+0-139.3--0.142086000000022</f>
        <v>515.87327200000004</v>
      </c>
      <c r="AD167">
        <v>541.69999999999993</v>
      </c>
      <c r="AE167" s="3">
        <f>646+(194.3-117.6)+(0+(0-0))+0-181-0</f>
        <v>541.70000000000005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628.8+(184.4-155.6)+(-0.641376+(-0.188088--0.158712))+0-150.7--0.153714000000024</f>
        <v>506.38296199999996</v>
      </c>
      <c r="G168" s="3">
        <f>631.9+(163.2-177.9)+(0+(0-0))+0-134.5-0</f>
        <v>482.69999999999993</v>
      </c>
      <c r="H168" s="3">
        <f>633.5+(181.2-196.7)+(-0.323085+(-0.092412--0.100317))+0-144.6--0.0737459999999853</f>
        <v>473.15856599999989</v>
      </c>
      <c r="I168" s="3">
        <f>632.6+(202.4-221.2)+(-0.967878+(-0.309672--0.338436))+0-150.6--0.230418000000009</f>
        <v>462.49130400000001</v>
      </c>
      <c r="J168" s="3">
        <f>633.7+(197.3-238.2)+(-0.646374+(-0.201246--0.242964))+0-133.2--0.135864000000021</f>
        <v>459.13120800000013</v>
      </c>
      <c r="K168" s="3">
        <f>635.3+(237.2-264.3)+(-0.648006+(-0.241944--0.269586))+0-152.2--0.155244000000024</f>
        <v>455.53487999999999</v>
      </c>
      <c r="L168" s="3">
        <f>581.3+(345.9-331.2)+(-1.185852+(-0.705636--0.675648))+0-145.5--0.296819999999994</f>
        <v>449.58098000000001</v>
      </c>
      <c r="M168" s="3">
        <f>551.2+(416.8-344.7)+(0.562224+(0.425136-0.351594))+0-137.7-0.140454000000022</f>
        <v>486.09531200000004</v>
      </c>
      <c r="N168" s="3">
        <f>544.6+(457.4-352)+(0.555492+(0.466548-0.35904))+0-139.4-0.142188000000022</f>
        <v>511.120812</v>
      </c>
      <c r="O168" s="3">
        <f>540.7+(433.9-307.4)+(0+(0-0))+0-142-0</f>
        <v>525.20000000000005</v>
      </c>
      <c r="P168" s="3">
        <f>547.3+(402.3-271.4)+(-0.558246+(-0.410346--0.276828))+0-133.4--0.136068000000021</f>
        <v>544.24430400000006</v>
      </c>
      <c r="Q168" s="3">
        <f>644.1+(268.8-211)+(0.328491+(0.137088-0.10761))+0-139-0.0708899999999859</f>
        <v>563.18707900000015</v>
      </c>
      <c r="R168" s="3">
        <f>638.5+(180-92.2)+(-0.325635+(-0.0918--0.047022))+0-181.2--0.0924119999999816</f>
        <v>544.82199900000001</v>
      </c>
      <c r="S168" s="3">
        <f>634+(187.8-111.4)+(-0.64668+(-0.191556--0.113628))+0-177.3--0.180846000000028</f>
        <v>532.55623799999989</v>
      </c>
      <c r="T168" s="3">
        <f>634.7+(178.9-133.4)+(0.323697+(0.091239-0.068034))+0-182.5-0.0930749999999815</f>
        <v>497.95382700000005</v>
      </c>
      <c r="U168" s="3">
        <f>631.6+(176.4-140.2)+(-0.644232+(-0.179928--0.143004))+0-178.7--0.182274000000028</f>
        <v>488.6011180000001</v>
      </c>
      <c r="V168" s="3">
        <f>632+(176.8-143)+(-0.32232+(-0.090168--0.07293))+0-163.1--0.0831809999999834</f>
        <v>502.44362299999989</v>
      </c>
      <c r="W168" s="3">
        <f>628.4+(225.6-180.1)+(-0.961452+(-0.345168--0.275553))+0-161.3--0.246789000000009</f>
        <v>511.81572199999999</v>
      </c>
      <c r="X168" s="3">
        <f>579.7+(419.1-310.8)+(-0.886941+(-0.641223--0.475524))+0-169.3--0.25902900000001</f>
        <v>517.90638899999999</v>
      </c>
      <c r="Y168" s="3">
        <f>599.9+(314-201.4)+(-0.611898+(-0.32028--0.205428))+0-172.9--0.176358000000028</f>
        <v>539.04960800000003</v>
      </c>
      <c r="Z168" s="3">
        <f>639.2+(239.6-152.5)+(-0.325992+(-0.122196--0.077775))+0-184.1--0.0938909999999813</f>
        <v>541.92347800000005</v>
      </c>
      <c r="AA168" s="3">
        <f>631.6+(186.6-111.3)+(-1.288464+(-0.380664--0.227052))+0-177.4--0.361895999999992</f>
        <v>528.41981999999996</v>
      </c>
      <c r="AB168" s="3">
        <f>618.7+(184.3-122.3)+(-1.893222+(-0.563958--0.374238))+0-176.3--0.53947800000002</f>
        <v>502.85653600000006</v>
      </c>
      <c r="AC168" s="3">
        <f>627.9+(177.3-142.1)+(-0.320229+(-0.090423--0.072471))+0-176--0.0897599999999821</f>
        <v>486.85157900000002</v>
      </c>
      <c r="AD168">
        <v>525.20000000000005</v>
      </c>
      <c r="AE168" s="3">
        <f>634+(201.7-122.8)+(0+(0-0))+0-187.7-0</f>
        <v>525.20000000000005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622.8+(180.1-153.3)+(-0.317628+(-0.091851--0.078183))+0-177.5--0.090524999999982</f>
        <v>471.85922899999991</v>
      </c>
      <c r="G169" s="3">
        <f>527.8+(221.5-140.9)+(-0.807534+(-0.338895--0.215577))+0-142.2--0.217566000000008</f>
        <v>465.48671400000006</v>
      </c>
      <c r="H169" s="3">
        <f>534.6+(292.8-253.5)+(-0.272646+(-0.149328--0.129285))+0-107.7--0.0549269999999891</f>
        <v>465.96223800000007</v>
      </c>
      <c r="I169" s="3">
        <f>533.9+(309.9-276.2)+(-0.544578+(-0.316098--0.281724))+0-100.5--0.102510000000016</f>
        <v>466.62355799999995</v>
      </c>
      <c r="J169" s="3">
        <f>539.1+(284.5-264.9)+(0.824823+(0.435285-0.405297))+0-98.6-0.150858000000006</f>
        <v>460.80395300000004</v>
      </c>
      <c r="K169" s="3">
        <f>538.5+(308.6-278.7)+(0+(0-0))+0-108.8-0</f>
        <v>459.60000000000008</v>
      </c>
      <c r="L169" s="3">
        <f>531.2+(409-391.9)+(-1.625472+(-1.25154--1.199214))+0-82--0.250920000000009</f>
        <v>464.87312200000002</v>
      </c>
      <c r="M169" s="3">
        <f>539.3+(458.7-388.1)+(0.275043+(0.233937-0.197931))+0-120.1-0.0612509999999878</f>
        <v>490.0497979999999</v>
      </c>
      <c r="N169" s="3">
        <f>534.8+(415.4-303.4)+(-0.272748+(-0.211854--0.154734))+0-126.7--0.0646169999999871</f>
        <v>519.83474899999987</v>
      </c>
      <c r="O169" s="3">
        <f>532.2+(388.5-238)+(0.271422+(0.198135-0.12138))+0-139.2-0.0709919999999859</f>
        <v>543.77718500000015</v>
      </c>
      <c r="P169" s="3">
        <f>521.1+(326.9-174.3)+(0.265761+(0.166719-0.088893))+0-129.8-0.0661979999999868</f>
        <v>544.17738899999995</v>
      </c>
      <c r="Q169" s="3">
        <f>539.6+(244.1-74)+(0.825588+(0.373473-0.11322))+0-166.3-0.25443900000001</f>
        <v>544.23140199999989</v>
      </c>
      <c r="R169" s="3">
        <f>628.8+(205.8-110.6)+(-0.962064+(-0.314874--0.169218))+0-173.1--0.26484300000001</f>
        <v>550.05712300000005</v>
      </c>
      <c r="S169" s="3">
        <f>634.1+(207.1-134.8)+(0+(0-0))+0-172.1-0</f>
        <v>534.29999999999995</v>
      </c>
      <c r="T169" s="3">
        <f>632+(213.7-168.6)+(-0.32232+(-0.108987--0.085986))+0-164.2--0.0837419999999833</f>
        <v>512.63842100000011</v>
      </c>
      <c r="U169" s="3">
        <f>630+(208.4-156.3)+(0.6426+(0.212568-0.159426))+0-173.8-0.177276000000028</f>
        <v>508.818466</v>
      </c>
      <c r="V169" s="3">
        <f>628.8+(187.8-141.1)+(0+(0-0))+0-166.8-0</f>
        <v>508.7</v>
      </c>
      <c r="W169" s="3">
        <f>621.5+(188.4-137.5)+(-1.26786+(-0.384336--0.2805))+0-168.9--0.344555999999993</f>
        <v>502.47285999999997</v>
      </c>
      <c r="X169" s="3">
        <f>621+(373.1-322.1)+(-0.95013+(-0.570843--0.492813))+0-170.8--0.26132400000001</f>
        <v>500.43316400000003</v>
      </c>
      <c r="Y169" s="3">
        <f>633+(341.7-265.6)+(0.32283+(0.174267-0.135456))+0-169.9-0.0866489999999828</f>
        <v>539.47499199999993</v>
      </c>
      <c r="Z169" s="3">
        <f>631.7+(258.4-174.2)+(-0.644334+(-0.263568--0.177684))+0-179.4--0.182988000000029</f>
        <v>535.9527700000001</v>
      </c>
      <c r="AA169" s="3">
        <f>631.8+(220.2-151.9)+(-1.61109+(-0.56151--0.387345))+0-185.9--0.474044999999973</f>
        <v>512.88878999999986</v>
      </c>
      <c r="AB169" s="3">
        <f>638.8+(185.3-150.3)+(-0.977364+(-0.283509--0.229959))+0-173.8--0.26591400000001</f>
        <v>499.2349999999999</v>
      </c>
      <c r="AC169" s="3">
        <f>640.4+(192.7-168.7)+(-0.653208+(-0.196554--0.172074))+0-183.6--0.187272000000029</f>
        <v>480.30958399999997</v>
      </c>
      <c r="AD169">
        <v>530.40000000000009</v>
      </c>
      <c r="AE169" s="3">
        <f>631+(230.9-173.2)+(0+(0-0))+0-158.3-0</f>
        <v>530.40000000000009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642+(205.4-198.7)+(-0.98226+(-0.314262--0.304011))+0-171.6--0.26254800000001</f>
        <v>476.37003700000002</v>
      </c>
      <c r="G170" s="3">
        <f>640.6+(262.9-265.6)+(-0.980118+(-0.402237--0.406368))+0-176.7--0.27035100000001</f>
        <v>460.49436399999996</v>
      </c>
      <c r="H170" s="3">
        <f>651.9+(295.5-312.6)+(-0.664938+(-0.30141--0.318852))+0-176.4--0.179928000000028</f>
        <v>457.93243199999995</v>
      </c>
      <c r="I170" s="3">
        <f>653.4+(302.8-331.4)+(-0.999702+(-0.463284--0.507042))+0-178.5--0.27310500000001</f>
        <v>445.6171609999999</v>
      </c>
      <c r="J170" s="3">
        <f>586+(310.6-280.2)+(0.29886+(0.158406-0.142902))+0-181.8-0.0927179999999816</f>
        <v>434.82164600000004</v>
      </c>
      <c r="K170" s="3">
        <f>550.5+(339.7-292.5)+(0.56151+(0.346494-0.29835))+0-161.2-0.164424000000026</f>
        <v>436.94522999999998</v>
      </c>
      <c r="L170" s="3">
        <f>550.4+(423.3-375.1)+(-0.280704+(-0.215883--0.191301))+0-171.1--0.0872609999999826</f>
        <v>427.28197499999982</v>
      </c>
      <c r="M170" s="3">
        <f>546.2+(470.6-416)+(-0.557124+(-0.480012--0.42432))+0-145.7--0.148614000000023</f>
        <v>454.63579800000014</v>
      </c>
      <c r="N170" s="3">
        <f>543.9+(470-373.4)+(-0.554778+(-0.4794--0.380868))+0-157.7--0.160854000000025</f>
        <v>482.30754400000001</v>
      </c>
      <c r="O170" s="3">
        <f>541.2+(404.9-291.8)+(0.276012+(0.206499-0.148818))+0-167-0.0851699999999831</f>
        <v>487.54852299999999</v>
      </c>
      <c r="P170" s="3">
        <f>600.3+(321.3-245.8)+(0.612306+(0.327726-0.250716))+0-164.9-0.168198000000026</f>
        <v>511.42111799999992</v>
      </c>
      <c r="Q170" s="3">
        <f>649.2+(217.8-178.7)+(0+(0-0))+0-155.9-0</f>
        <v>532.40000000000009</v>
      </c>
      <c r="R170" s="3">
        <f>665.6+(184-147)+(0.339456+(0.09384-0.07497))+0-159.1-0.0811409999999839</f>
        <v>543.77718500000003</v>
      </c>
      <c r="S170" s="3">
        <f>667.4+(177.6-169)+(-1.361496+(-0.362304--0.34476))+0-136.5--0.278459999999994</f>
        <v>538.39941999999996</v>
      </c>
      <c r="T170" s="3">
        <f>664.9+(172.4-175)+(0.339099+(0.087924-0.08925))+0-144.4-0.0736439999999854</f>
        <v>518.164129</v>
      </c>
      <c r="U170" s="3">
        <f>662.4+(169-179.2)+(-1.013472+(-0.25857--0.274176))+0-146.9--0.224757000000009</f>
        <v>504.52689100000003</v>
      </c>
      <c r="V170" s="3">
        <f>660.5+(172.2-165.1)+(-0.336855+(-0.087822--0.084201))+0-157.7--0.080426999999984</f>
        <v>509.63995100000005</v>
      </c>
      <c r="W170" s="3">
        <f>653.7+(188.1-156.4)+(-1.000161+(-0.287793--0.239292))+0-164.3--0.25137900000001</f>
        <v>520.30271700000003</v>
      </c>
      <c r="X170" s="3">
        <f>626+(324.5-266.9)+(-0.63852+(-0.33099--0.272238))+0-165.6--0.168912000000026</f>
        <v>517.47163999999998</v>
      </c>
      <c r="Y170" s="3">
        <f>630.6+(236.1-150.1)+(0+(0-0))+0-169.7-0</f>
        <v>546.90000000000009</v>
      </c>
      <c r="Z170" s="3">
        <f>635.3+(195.5-113)+(0+(0-0))+0-174.3-0</f>
        <v>543.5</v>
      </c>
      <c r="AA170" s="3">
        <f>626.9+(190.1-119.4)+(-1.598595+(-0.484755--0.30447))+0-168--0.428399999999976</f>
        <v>528.24951999999996</v>
      </c>
      <c r="AB170" s="3">
        <f>634.5+(176-150.8)+(-1.617975+(-0.4488--0.38454))+0-150.1--0.382754999999978</f>
        <v>508.30052000000001</v>
      </c>
      <c r="AC170" s="3">
        <f>633+(172.3-161.4)+(-0.96849+(-0.263619--0.246942))+0-154.7--0.236691000000009</f>
        <v>488.45152399999995</v>
      </c>
      <c r="AD170">
        <v>519.30000000000007</v>
      </c>
      <c r="AE170" s="3">
        <f>634+(194.2-117.4)+(0+(0-0))+0-191.5-0</f>
        <v>519.29999999999995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531.6+(197.4-112.6)+(-1.084464+(-0.402696--0.229704))+0-145.4--0.296615999999994</f>
        <v>470.03916000000004</v>
      </c>
      <c r="G171" s="3">
        <f>535.9+(193-129.1)+(-0.819927+(-0.29529--0.197523))+0-146.4--0.223992000000008</f>
        <v>452.706298</v>
      </c>
      <c r="H171" s="3">
        <f>492.8+(209.6-99.4)+(-0.251328+(-0.106896--0.050694))+0-160.1--0.0816509999999838</f>
        <v>442.6741209999999</v>
      </c>
      <c r="I171" s="3">
        <f>424.3+(250.1-84.2)+(-0.865572+(-0.510204--0.171768))+0-162.6--0.331703999999993</f>
        <v>426.72769599999998</v>
      </c>
      <c r="J171" s="3">
        <f>424.9+(251.9-91.3)+(-0.433398+(-0.256938--0.093126))+0-163.6--0.166872000000026</f>
        <v>421.46966199999997</v>
      </c>
      <c r="K171" s="3">
        <f>430.6+(261.2-107.3)+(0.219606+(0.133212-0.054723))+0-160.3-0.0817529999999837</f>
        <v>424.41634199999999</v>
      </c>
      <c r="L171" s="3">
        <f>424.2+(325-180.7)+(-1.514394+(-1.16025--0.645099))+0-144.6--0.516222000000002</f>
        <v>422.38667700000002</v>
      </c>
      <c r="M171" s="3">
        <f>450.3+(332.3-186.1)+(0.459306+(0.338946-0.189822))+0-146.6-0.149532000000023</f>
        <v>450.35889799999995</v>
      </c>
      <c r="N171" s="3">
        <f>450.3+(373.7-192.3)+(-0.229653+(-0.190587--0.098073))+0-150.1--0.0765509999999848</f>
        <v>481.35438399999998</v>
      </c>
      <c r="O171" s="3">
        <f>439.5+(299.2-96.8)+(0+(0-0))+0-149.4-0</f>
        <v>492.5</v>
      </c>
      <c r="P171" s="3">
        <f>453.3+(372.6-170.4)+(-0.231183+(-0.190026--0.086904))+0-145.8--0.0743579999999852</f>
        <v>509.44005299999998</v>
      </c>
      <c r="Q171" s="3">
        <f>455.6+(307-64.7)+(-0.232356+(-0.15657--0.032997))+0-169.6--0.0864959999999828</f>
        <v>528.03056700000013</v>
      </c>
      <c r="R171" s="3">
        <f>486.7+(238.9-43.8)+(-0.248217+(-0.121839--0.022338))+0-139.5--0.0711449999999858</f>
        <v>542.02342699999997</v>
      </c>
      <c r="S171" s="3">
        <f>553+(245-105.7)+(-0.84609+(-0.37485--0.161721))+0-154.3--0.236079000000009</f>
        <v>537.17686000000003</v>
      </c>
      <c r="T171" s="3">
        <f>552.4+(218.4-120.8)+(-0.845172+(-0.334152--0.184824))+0-143.9--0.220167000000008</f>
        <v>505.32566700000001</v>
      </c>
      <c r="U171" s="3">
        <f>547.2+(217.1-119.7)+(-1.39536+(-0.553605--0.305235))+0-143.8--0.366689999999979</f>
        <v>499.52296000000001</v>
      </c>
      <c r="V171" s="3">
        <f>548.3+(202.7-87.3)+(-1.118532+(-0.413508--0.178092))+0-151.2--0.308447999999993</f>
        <v>511.4545</v>
      </c>
      <c r="W171" s="3">
        <f>548.8+(266.6-124.6)+(-1.679328+(-0.815796--0.381276))+0-175.5--0.53703000000002</f>
        <v>513.72318200000007</v>
      </c>
      <c r="X171" s="3">
        <f>552+(382-268.1)+(-1.97064+(-1.36374--0.957117))+0-151.2--0.539784000000002</f>
        <v>512.86252100000002</v>
      </c>
      <c r="Y171" s="3">
        <f>602.2+(260.2-172.6)+(-0.307122+(-0.132702--0.088026))+0-146.6--0.0747659999999851</f>
        <v>542.92296799999997</v>
      </c>
      <c r="Z171" s="3">
        <f>657.4+(207-149.7)+(-1.341096+(-0.42228--0.305388))+0-173.8--0.354551999999992</f>
        <v>539.79656399999999</v>
      </c>
      <c r="AA171" s="3">
        <f>677.6+(182.8-182.2)+(-2.073456+(-0.559368--0.557532))+0-158.6--0.485316000000018</f>
        <v>518.01002400000004</v>
      </c>
      <c r="AB171" s="3">
        <f>674.6+(175.9-178.4)+(-1.72023+(-0.448545--0.45492))+0-169.1--0.431204999999975</f>
        <v>501.71735000000001</v>
      </c>
      <c r="AC171" s="3">
        <f>681.5+(174.4-208.9)+(-0.69513+(-0.177888--0.213078))+0-165.3--0.168606000000026</f>
        <v>481.20866599999999</v>
      </c>
      <c r="AD171">
        <v>546.00000000000011</v>
      </c>
      <c r="AE171" s="3">
        <f>669+(205.2-168.3)+(0+(0-0))+0-159.9-0</f>
        <v>546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696.7+(174.1-253)+(-0.710634+(-0.177582--0.25806))+0-144.5--0.147390000000023</f>
        <v>472.81723400000004</v>
      </c>
      <c r="G172" s="3">
        <f>697.7+(200.3-291.5)+(-1.067481+(-0.306459--0.445995))+0-151.2--0.231336000000009</f>
        <v>454.60339099999999</v>
      </c>
      <c r="H172" s="3">
        <f>701.7+(253.9-357.8)+(-0.357867+(-0.129489--0.182478))+0-149.1--0.0760409999999849</f>
        <v>448.47116299999999</v>
      </c>
      <c r="I172" s="3">
        <f>707.5+(277.3-391.3)+(-0.72165+(-0.282846--0.399126))+0-154.2--0.157284000000025</f>
        <v>438.85191400000002</v>
      </c>
      <c r="J172" s="3">
        <f>716.6+(268.2-385)+(0.365466+(0.136782-0.19635))+0-163.8-0.0835379999999834</f>
        <v>436.22235999999992</v>
      </c>
      <c r="K172" s="3">
        <f>711.2+(316.3-438.8)+(-1.81356+(-0.806565--1.11894))+0-151.3--0.385814999999978</f>
        <v>436.28463000000005</v>
      </c>
      <c r="L172" s="3">
        <f>717.3+(370.6-507)+(-1.463292+(-0.756024--1.03428))+0-146.7--0.299267999999994</f>
        <v>433.314232</v>
      </c>
      <c r="M172" s="3">
        <f>724.6+(425.1-548.3)+(-0.369546+(-0.216801--0.279633))+0-146.5--0.0747149999999851</f>
        <v>454.668001</v>
      </c>
      <c r="N172" s="3">
        <f>708.2+(403.8-466.1)+(0.361182+(0.205938-0.237711))+0-163-0.0831299999999835</f>
        <v>483.14627900000016</v>
      </c>
      <c r="O172" s="3">
        <f>578.3+(374.4-297)+(0.589866+(0.381888-0.30294))+0-157.7-0.160854000000025</f>
        <v>498.50795999999991</v>
      </c>
      <c r="P172" s="3">
        <f>604.1+(312.9-248.6)+(0.308091+(0.159579-0.126786))+0-149.3-0.0761429999999849</f>
        <v>519.36474099999987</v>
      </c>
      <c r="Q172" s="3">
        <f>697.7+(237-230.1)+(0.711654+(0.24174-0.234702))+0-166.9-0.170238000000027</f>
        <v>538.24845400000004</v>
      </c>
      <c r="R172" s="3">
        <f>700.2+(133.2-136.1)+(0+(0-0))+0-160.1-0</f>
        <v>537.20000000000005</v>
      </c>
      <c r="S172" s="3">
        <f>689.5+(137.5-134.5)+(-1.758225+(-0.350625--0.342975))+0-166.5--0.424574999999976</f>
        <v>524.65869999999995</v>
      </c>
      <c r="T172" s="3">
        <f>689.3+(135.8-162)+(0.703086+(0.138516-0.16524))+0-163.4-0.166668000000026</f>
        <v>500.20969399999996</v>
      </c>
      <c r="U172" s="3">
        <f>685.7+(141.1-182.1)+(-0.699414+(-0.143922--0.185742))+0-163--0.166260000000026</f>
        <v>481.20866600000005</v>
      </c>
      <c r="V172" s="3">
        <f>682+(133-164.2)+(-2.43474+(-0.47481--0.586194))+0-163.1--0.582267000000002</f>
        <v>485.95891099999994</v>
      </c>
      <c r="W172" s="3">
        <f>686.9+(186.5-214.5)+(-1.751595+(-0.475575--0.546975))+0-174.1--0.443954999999975</f>
        <v>483.56375999999989</v>
      </c>
      <c r="X172" s="3">
        <f>687+(338.3-378.3)+(-1.05111+(-0.517599--0.578799))+0-167.2--0.25581600000001</f>
        <v>479.06590599999998</v>
      </c>
      <c r="Y172" s="3">
        <f>695.8+(270.7-287.7)+(-0.354858+(-0.138057--0.146727))+0-163.5--0.0833849999999834</f>
        <v>515.03719699999999</v>
      </c>
      <c r="Z172" s="3">
        <f>692.5+(179.6-189.5)+(-1.765875+(-0.45798--0.483225))+0-166.8--0.425339999999976</f>
        <v>514.48470999999995</v>
      </c>
      <c r="AA172" s="3">
        <f>695.2+(159.5-172.5)+(-1.063656+(-0.244035--0.263925))+0-186.5--0.285345000000011</f>
        <v>494.94157900000005</v>
      </c>
      <c r="AB172" s="3">
        <f>687.4+(120.5-171.1)+(-1.75287+(-0.307275--0.436305))+0-162.9--0.415394999999976</f>
        <v>472.69155499999999</v>
      </c>
      <c r="AC172" s="3">
        <f>695.2+(121.4-183.2)+(0+(0-0))+0-176.8-0</f>
        <v>456.60000000000008</v>
      </c>
      <c r="AD172">
        <v>507.40000000000009</v>
      </c>
      <c r="AE172" s="3">
        <f>697+(177.2-188.4)+(0+(0-0))+0-178.4-0</f>
        <v>507.4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702+(112.3-194)+(0.35802+(0.057273-0.09894))+0-160.7-0.0819569999999837</f>
        <v>459.83439600000003</v>
      </c>
      <c r="G173" s="3">
        <f>706.2+(122.8-202.7)+(-1.080486+(-0.187884--0.310131))+0-180.3--0.27585900000001</f>
        <v>445.31762000000003</v>
      </c>
      <c r="H173" s="3">
        <f>719.1+(128.7-267.5)+(1.100223+(0.196911-0.409275))+0-150.9-0.230877000000009</f>
        <v>430.056982</v>
      </c>
      <c r="I173" s="3">
        <f>714.3+(152.9-261.6)+(-0.728586+(-0.155958--0.266832))+0-177.9--0.181458000000028</f>
        <v>427.26374599999997</v>
      </c>
      <c r="J173" s="3">
        <f>717.5+(190.2-327.3)+(0.365925+(0.097002-0.166923))+0-155-0.0790499999999843</f>
        <v>425.61695400000002</v>
      </c>
      <c r="K173" s="3">
        <f>714+(231.6-356.2)+(-0.72828+(-0.236232--0.363324))+0-172.6--0.176052000000028</f>
        <v>416.374864</v>
      </c>
      <c r="L173" s="3">
        <f>692.5+(265.2-402.3)+(-0.70635+(-0.270504--0.410346))+0-156.7--0.159834000000025</f>
        <v>398.29332600000004</v>
      </c>
      <c r="M173" s="3">
        <f>556.3+(298.3-311.8)+(-0.567426+(-0.304266--0.318036))+0-158.5--0.161670000000025</f>
        <v>383.90801399999992</v>
      </c>
      <c r="N173" s="3">
        <f>544+(294.6-284.4)+(-1.10976+(-0.600984--0.580176))+0-156.7--0.319667999999993</f>
        <v>396.6891</v>
      </c>
      <c r="O173" s="3">
        <f>542+(268.9-250.1)+(0.82926+(0.411417-0.382653))+0-143.9-0.220167000000008</f>
        <v>417.53785699999997</v>
      </c>
      <c r="P173" s="3">
        <f>571.9+(201-197.2)+(-0.875007+(-0.30753--0.301716))+0-145.3--0.222309000000008</f>
        <v>429.74148800000006</v>
      </c>
      <c r="Q173" s="3">
        <f>669.7+(146.8-216.6)+(-0.341547+(-0.074868--0.110466))+0-154.1--0.0785909999999844</f>
        <v>445.57264199999997</v>
      </c>
      <c r="R173" s="3">
        <f>685+(111.5-185.5)+(-1.3974+(-0.22746--0.37842))+0-161--0.328439999999993</f>
        <v>449.08199999999999</v>
      </c>
      <c r="S173" s="3">
        <f>684.3+(109-188.6)+(0+(0-0))+0-156-0</f>
        <v>448.69999999999993</v>
      </c>
      <c r="T173" s="3">
        <f>675.8+(109.7-194.2)+(-0.689316+(-0.111894--0.198084))+0-144.2--0.147084000000023</f>
        <v>446.643958</v>
      </c>
      <c r="U173" s="3">
        <f>675.8+(113-189.5)+(-0.689316+(-0.11526--0.19329))+0-153.2--0.156264000000024</f>
        <v>445.64497800000004</v>
      </c>
      <c r="V173" s="3">
        <f>674.5+(113.5-186.9)+(-0.68799+(-0.11577--0.190638))+0-159.2--0.162384000000025</f>
        <v>441.44926200000009</v>
      </c>
      <c r="W173" s="3">
        <f>673.3+(155.1-219.9)+(-1.373532+(-0.316404--0.448596))+0-163.6--0.333743999999993</f>
        <v>443.99240399999991</v>
      </c>
      <c r="X173" s="3">
        <f>677.5+(259.5-347.5)+(-1.036575+(-0.397035--0.531675))+0-135.4--0.207162000000008</f>
        <v>453.40522700000002</v>
      </c>
      <c r="Y173" s="3">
        <f>684.7+(222.7-252.9)+(-0.349197+(-0.113577--0.128979))+0-164.9--0.0840989999999833</f>
        <v>489.35030399999999</v>
      </c>
      <c r="Z173" s="3">
        <f>694.4+(128.6-144.9)+(-1.416576+(-0.262344--0.295596))+0-175.2--0.357407999999992</f>
        <v>501.87408399999987</v>
      </c>
      <c r="AA173" s="3">
        <f>691.5+(143.9-181)+(-2.468655+(-0.513723--0.64617))+0-171.2--0.611184000000002</f>
        <v>481.47497599999991</v>
      </c>
      <c r="AB173" s="3">
        <f>704.7+(120.6-195)+(0.718794+(0.123012-0.1989))+0-162.7-0.165954000000026</f>
        <v>468.07695200000012</v>
      </c>
      <c r="AC173" s="3">
        <f>691.6+(134.2-197.1)+(-0.352716+(-0.068442--0.100521))+0-169.5--0.0864449999999828</f>
        <v>458.96580799999998</v>
      </c>
      <c r="AD173">
        <v>510.8</v>
      </c>
      <c r="AE173" s="3">
        <f>696+(126.1-142.6)+(0+(0-0))+0-168.7-0</f>
        <v>510.8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693+(106.9-201.5)+(0+(0-0))+0-150.4-0</f>
        <v>448</v>
      </c>
      <c r="G174" s="3">
        <f>698+(140.2-247.6)+(-0.35598+(-0.071502--0.126276))+0-146.2--0.0745619999999852</f>
        <v>444.17335600000001</v>
      </c>
      <c r="H174" s="3">
        <f>706.8+(163.7-289.3)+(0+(0-0))+0-149.4-0</f>
        <v>431.79999999999995</v>
      </c>
      <c r="I174" s="3">
        <f>701.7+(195.1-321.1)+(-1.431468+(-0.398004--0.655044))+0-149.7--0.305387999999993</f>
        <v>425.13096000000002</v>
      </c>
      <c r="J174" s="3">
        <f>704.8+(208.2-322.2)+(-2.156688+(-0.637092--0.985932))+0-166.9--0.510714000000019</f>
        <v>422.60286599999995</v>
      </c>
      <c r="K174" s="3">
        <f>708.7+(232.8-353.2)+(-0.722874+(-0.237456--0.360264))+0-162--0.165240000000026</f>
        <v>425.86517400000014</v>
      </c>
      <c r="L174" s="3">
        <f>707+(332.4-451.9)+(-1.80285+(-0.84762--1.152345))+0-152.8--0.389639999999978</f>
        <v>433.59151500000002</v>
      </c>
      <c r="M174" s="3">
        <f>709.8+(366.8-445.9)+(-0.361998+(-0.187068--0.227409))+0-162.6--0.0829259999999835</f>
        <v>467.86126900000005</v>
      </c>
      <c r="N174" s="3">
        <f>715.2+(322.3-389.3)+(0+(0-0))+0-151.4-0</f>
        <v>496.80000000000007</v>
      </c>
      <c r="O174" s="3">
        <f>709.8+(331.1-347.6)+(-0.361998+(-0.168861--0.177276))+0-168.1--0.0857309999999829</f>
        <v>524.93214799999998</v>
      </c>
      <c r="P174" s="3">
        <f>648.9+(305.3-253.1)+(1.323756+(0.622812-0.516324))+0-159.7-0.325787999999993</f>
        <v>542.504456</v>
      </c>
      <c r="Q174" s="3">
        <f>598.3+(238.1-119.6)+(0.305133+(0.121431-0.060996))+0-170-0.0866999999999827</f>
        <v>547.07886800000006</v>
      </c>
      <c r="R174" s="3">
        <f>586.6+(210.8-80.7)+(-0.598332+(-0.215016--0.082314))+0-164.3--0.167586000000026</f>
        <v>551.83655199999998</v>
      </c>
      <c r="S174" s="3">
        <f>578.4+(270.7-165.5)+(-1.179936+(-0.552228--0.33762))+0-164.1--0.334763999999993</f>
        <v>518.44021999999984</v>
      </c>
      <c r="T174" s="3">
        <f>580.5+(304.3-186.5)+(-0.296055+(-0.155193--0.095115))+0-158.2--0.0806819999999839</f>
        <v>539.82454899999993</v>
      </c>
      <c r="U174" s="3">
        <f>593.3+(268.7-159)+(-0.302583+(-0.137037--0.08109))+0-159.2--0.0811919999999838</f>
        <v>543.52266199999997</v>
      </c>
      <c r="V174" s="3">
        <f>672.3+(163.8-146.3)+(-1.028619+(-0.250614--0.223839))+0-141.3--0.216189000000008</f>
        <v>547.66079500000001</v>
      </c>
      <c r="W174" s="3">
        <f>716.4+(156.8-174.6)+(-1.82682+(-0.39984--0.44523))+0-149.4--0.380969999999978</f>
        <v>547.79953999999998</v>
      </c>
      <c r="X174" s="3">
        <f>722+(292-320.3)+(-1.10466+(-0.44676--0.490059))+0-145.6--0.222768000000008</f>
        <v>547.26140699999996</v>
      </c>
      <c r="Y174" s="3">
        <f>732.2+(198.5-212.9)+(0+(0-0))+0-146.4-0</f>
        <v>571.40000000000009</v>
      </c>
      <c r="Z174" s="3">
        <f>772.1+(135.6-186.9)+(-1.968855+(-0.34578--0.476595))+0-150.3--0.383264999999978</f>
        <v>569.04522499999985</v>
      </c>
      <c r="AA174" s="3">
        <f>777.8+(127.3-198.1)+(-1.98339+(-0.324615--0.505155))+0-153.3--0.390914999999978</f>
        <v>552.28806499999996</v>
      </c>
      <c r="AB174" s="3">
        <f>784.3+(118.7-212.1)+(-1.599972+(-0.242148--0.432684))+0-159.6--0.325583999999993</f>
        <v>530.21614799999998</v>
      </c>
      <c r="AC174" s="3">
        <f>750.7+(124-215.6)+(0+(0-0))+0-146.4-0</f>
        <v>512.70000000000005</v>
      </c>
      <c r="AD174">
        <v>563.99999999999989</v>
      </c>
      <c r="AE174" s="3">
        <f>768+(127.9-200.3)+(0+(0-0))+0-131.6-0</f>
        <v>564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739.2+(100.2-205.5)+(-1.88496+(-0.25551--0.524025))+0-158.9--0.405194999999977</f>
        <v>473.78875000000011</v>
      </c>
      <c r="G175" s="3">
        <f>748.7+(106.8-241.4)+(-1.527348+(-0.217872--0.492456))+0-156.7--0.319667999999993</f>
        <v>456.46690400000006</v>
      </c>
      <c r="H175" s="3">
        <f>753.9+(128.2-279.7)+(-0.768978+(-0.130764--0.285294))+0-160.2--0.163404000000026</f>
        <v>441.74895599999996</v>
      </c>
      <c r="I175" s="3">
        <f>753.5+(144.1-304.4)+(-1.921425+(-0.367455--0.77622))+0-155.9--0.397544999999977</f>
        <v>436.18488500000007</v>
      </c>
      <c r="J175" s="3">
        <f>761.2+(155.1-328)+(1.164636+(0.237303-0.50184))+0-160-0.244800000000009</f>
        <v>428.95529900000002</v>
      </c>
      <c r="K175" s="3">
        <f>766.9+(159-353.4)+(1.173357+(0.24327-0.540702))+0-147.9-0.226287000000009</f>
        <v>425.24963800000006</v>
      </c>
      <c r="L175" s="3">
        <f>762.1+(251.4-427.6)+(-0.777342+(-0.256428--0.436152))+0-152.1--0.155142000000024</f>
        <v>433.35752399999996</v>
      </c>
      <c r="M175" s="3">
        <f>758.6+(292.8-435.2)+(0.386886+(0.149328-0.221952))+0-155.6-0.0793559999999842</f>
        <v>460.83490600000005</v>
      </c>
      <c r="N175" s="3">
        <f>754.7+(308.7-416.2)+(-0.384897+(-0.157437--0.212262))+0-144.6--0.0737459999999853</f>
        <v>502.34367400000002</v>
      </c>
      <c r="O175" s="3">
        <f>733.1+(310.9-358.8)+(0+(0-0))+0-157.8-0</f>
        <v>527.40000000000009</v>
      </c>
      <c r="P175" s="3">
        <f>728.7+(261.7-287.3)+(0.371637+(0.133467-0.146523))+0-158.4-0.0807839999999839</f>
        <v>544.97779700000001</v>
      </c>
      <c r="Q175" s="3">
        <f>722.8+(178-180.9)+(0.368628+(0.09078-0.092259))+0-156.2-0.0796619999999841</f>
        <v>563.98748699999999</v>
      </c>
      <c r="R175" s="3">
        <f>721.2+(150.8-145.6)+(-0.367812+(-0.076908--0.074256))+0-157.8--0.080477999999984</f>
        <v>568.31001400000002</v>
      </c>
      <c r="S175" s="3">
        <f>711.4+(163.3-161.3)+(-2.176884+(-0.499698--0.493578))+0-154.5--0.472770000000018</f>
        <v>557.18976599999996</v>
      </c>
      <c r="T175" s="3">
        <f>720.8+(160.5-216.7)+(0+(0-0))+0-128.8-0</f>
        <v>535.79999999999995</v>
      </c>
      <c r="U175" s="3">
        <f>715.1+(165.9-205.6)+(-1.458804+(-0.338436--0.419424))+0-154.4--0.314975999999993</f>
        <v>519.93716000000006</v>
      </c>
      <c r="V175" s="3">
        <f>717.6+(135.5-166.8)+(0+(0-0))+0-149.9-0</f>
        <v>536.4</v>
      </c>
      <c r="W175" s="3">
        <f>709.2+(177.7-218.3)+(-1.085076+(-0.271881--0.333999))+0-131.5--0.201195000000008</f>
        <v>536.27823699999999</v>
      </c>
      <c r="X175" s="3">
        <f>712.2+(309.8-354.3)+(0+(0-0))+0-135.4-0</f>
        <v>532.30000000000007</v>
      </c>
      <c r="Y175" s="3">
        <f>717.4+(220.2-226.3)+(-0.365874+(-0.112302--0.115413))+0-152.7--0.0778769999999845</f>
        <v>558.31511399999999</v>
      </c>
      <c r="Z175" s="3">
        <f>723.6+(142.7-154.1)+(-1.84518+(-0.363885--0.392955))+0-158--0.402899999999977</f>
        <v>552.78679</v>
      </c>
      <c r="AA175" s="3">
        <f>733.9+(123-177.8)+(-2.245734+(-0.37638--0.544068))+0-144.6--0.442476000000017</f>
        <v>532.86442999999997</v>
      </c>
      <c r="AB175" s="3">
        <f>752+(117.1-211.1)+(-1.15056+(-0.179163--0.322983))+0-137.9--0.210987000000008</f>
        <v>519.30424700000003</v>
      </c>
      <c r="AC175" s="3">
        <f>751.3+(111.9-216.7)+(-1.149489+(-0.171207--0.331551))+0-139.8--0.213894000000008</f>
        <v>505.92474899999996</v>
      </c>
      <c r="AD175">
        <v>557.5</v>
      </c>
      <c r="AE175" s="3">
        <f>726+(143.8-169.1)+(0+(0-0))+0-143.2-0</f>
        <v>557.5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752.6+(120.3-257.3)+(-1.535304+(-0.245412--0.524892))+0-133.4--0.272135999999994</f>
        <v>481.21631200000007</v>
      </c>
      <c r="G176" s="3">
        <f>760+(134-275.5)+(0+(0-0))+0-150.6-0</f>
        <v>467.9</v>
      </c>
      <c r="H176" s="3">
        <f>730.8+(143.9-275.1)+(0+(0-0))+0-143.9-0</f>
        <v>455.69999999999993</v>
      </c>
      <c r="I176" s="3">
        <f>659.8+(165.6-234.8)+(-0.336498+(-0.084456--0.119748))+0-148.2--0.075581999999985</f>
        <v>442.17437599999994</v>
      </c>
      <c r="J176" s="3">
        <f>656.1+(164.4-235.6)+(-1.338444+(-0.335376--0.480624))+0-153.2--0.312527999999993</f>
        <v>430.81933200000014</v>
      </c>
      <c r="K176" s="3">
        <f>667.9+(183.3-272.5)+(0.340629+(0.093483-0.138975))+0-145-0.0739499999999853</f>
        <v>433.92118700000003</v>
      </c>
      <c r="L176" s="3">
        <f>656.3+(301.8-385)+(-1.673565+(-0.76959--0.98175))+0-140.6--0.35852999999998</f>
        <v>431.39712499999985</v>
      </c>
      <c r="M176" s="3">
        <f>663.7+(379.7-439.4)+(-0.338487+(-0.193647--0.224094))+0-142.2--0.0725219999999856</f>
        <v>461.564482</v>
      </c>
      <c r="N176" s="3">
        <f>668.2+(341.3-369.1)+(0.681564+(0.348126-0.376482))+0-141.7-0.144534000000023</f>
        <v>499.20867400000003</v>
      </c>
      <c r="O176" s="3">
        <f>661.3+(362.6-362.8)+(-1.011789+(-0.554778--0.555084))+0-149.4--0.228582000000009</f>
        <v>510.91709899999995</v>
      </c>
      <c r="P176" s="3">
        <f>669.4+(277.4-296.4)+(-0.341394+(-0.141474--0.151164))+0-143.7--0.0732869999999854</f>
        <v>506.44158300000004</v>
      </c>
      <c r="Q176" s="3">
        <f>726.7+(217.4-238.2)+(0+(0-0))+0-156.1-0</f>
        <v>549.80000000000007</v>
      </c>
      <c r="R176" s="3">
        <f>751.5+(131.8-169)+(0+(0-0))+0-150.4-0</f>
        <v>563.9</v>
      </c>
      <c r="S176" s="3">
        <f>743.5+(136.5-175.9)+(-1.137555+(-0.208845--0.269127))+0-147.8--0.226134000000009</f>
        <v>555.44886100000008</v>
      </c>
      <c r="T176" s="3">
        <f>746.9+(147.8-210.7)+(-0.761838+(-0.150756--0.214914))+0-152.4--0.155448000000024</f>
        <v>531.05776800000001</v>
      </c>
      <c r="U176" s="3">
        <f>775.9+(128.5-242.9)+(-0.395709+(-0.065535--0.123879))+0-140--0.0713999999999858</f>
        <v>521.23403500000006</v>
      </c>
      <c r="V176" s="3">
        <f>705.9+(135.1-165)+(-1.440036+(-0.275604--0.3366))+0-147.8--0.301511999999994</f>
        <v>527.12247200000002</v>
      </c>
      <c r="W176" s="3">
        <f>684.3+(160.1-168.7)+(-2.093958+(-0.489906--0.516222))+0-148.4--0.454104000000017</f>
        <v>525.68646200000001</v>
      </c>
      <c r="X176" s="3">
        <f>689.9+(202.7-236.2)+(-1.407396+(-0.413508--0.481848))+0-129.5--0.264179999999994</f>
        <v>525.82512399999996</v>
      </c>
      <c r="Y176" s="3">
        <f>751.9+(137.3-180.7)+(-0.766938+(-0.140046--0.184314))+0-151.4--0.154428000000024</f>
        <v>556.53175800000008</v>
      </c>
      <c r="Z176" s="3">
        <f>803.4+(109.2-201.9)+(-1.229202+(-0.167076--0.308907))+0-162.8--0.249084000000009</f>
        <v>547.06171300000005</v>
      </c>
      <c r="AA176" s="3">
        <f>797.3+(110.5-213.3)+(-1.219869+(-0.169065--0.326349))+0-156--0.238680000000009</f>
        <v>537.67609500000003</v>
      </c>
      <c r="AB176" s="3">
        <f>775.4+(103-202.4)+(-0.790908+(-0.10506--0.206448))+0-159.5--0.162690000000025</f>
        <v>515.97316999999998</v>
      </c>
      <c r="AC176" s="3">
        <f>769.7+(102.7-206.2)+(-0.392547+(-0.052377--0.105162))+0-162.7--0.0829769999999835</f>
        <v>503.24321500000008</v>
      </c>
      <c r="AD176">
        <v>549.4</v>
      </c>
      <c r="AE176" s="3">
        <f>807+(113.5-199.1)+(0+(0-0))+0-172-0</f>
        <v>549.4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738.9+(108.7-209.5)+(-1.130517+(-0.166311--0.320535))+0-147.8--0.226134000000009</f>
        <v>489.54984099999996</v>
      </c>
      <c r="G177" s="3">
        <f>736.8+(120.5-227.6)+(-1.127304+(-0.184365--0.348228))+0-157--0.240210000000009</f>
        <v>471.97676899999993</v>
      </c>
      <c r="H177" s="3">
        <f>736.9+(139.1-255.1)+(-1.503276+(-0.283764--0.520404))+0-158.1--0.322523999999993</f>
        <v>461.85588799999999</v>
      </c>
      <c r="I177" s="3">
        <f>743.4+(142.6-270.1)+(-0.379134+(-0.072726--0.137751))+0-167--0.0851699999999831</f>
        <v>448.67106099999995</v>
      </c>
      <c r="J177" s="3">
        <f>750.2+(139.2-292.2)+(0.382602+(0.070992-0.149022))+0-153.5-0.0782849999999844</f>
        <v>443.92628700000006</v>
      </c>
      <c r="K177" s="3">
        <f>750.2+(160.6-310.5)+(-0.382602+(-0.081906--0.158355))+0-156.7--0.0799169999999841</f>
        <v>443.37376400000005</v>
      </c>
      <c r="L177" s="3">
        <f>751.9+(225-382.9)+(-0.383469+(-0.11475--0.195279))+0-153.5--0.0782849999999844</f>
        <v>440.27534499999996</v>
      </c>
      <c r="M177" s="3">
        <f>755.7+(309.3-444.8)+(0.385407+(0.157743-0.226848))+0-151.8-0.0774179999999846</f>
        <v>468.63888400000002</v>
      </c>
      <c r="N177" s="3">
        <f>731.3+(313.4-387.8)+(-1.491852+(-0.639336--0.791112))+0-159.2--0.324767999999993</f>
        <v>496.68469199999993</v>
      </c>
      <c r="O177" s="3">
        <f>748+(299.1-368.7)+(0+(0-0))+0-161.1-0</f>
        <v>517.30000000000007</v>
      </c>
      <c r="P177" s="3">
        <f>763.6+(257.6-328.9)+(0.778872+(0.262752-0.335478))+0-147-0.149940000000023</f>
        <v>545.85620600000004</v>
      </c>
      <c r="Q177" s="3">
        <f>759+(163.5-223.6)+(0.77418+(0.16677-0.228072))+0-131-0.133620000000021</f>
        <v>568.47925799999996</v>
      </c>
      <c r="R177" s="3">
        <f>758.2+(99.7-163)+(0+(0-0))+0-145-0</f>
        <v>549.90000000000009</v>
      </c>
      <c r="S177" s="3">
        <f>757.2+(163.5-222)+(0+(0-0))+0-145-0</f>
        <v>553.70000000000005</v>
      </c>
      <c r="T177" s="3">
        <f>756.2+(219.8-296)+(0+(0-0))+0-149-0</f>
        <v>531</v>
      </c>
      <c r="U177" s="3">
        <f>760+(215.8-286)+(0+(0-0))+0-162-0</f>
        <v>527.79999999999995</v>
      </c>
      <c r="V177" s="3">
        <f>755.2+(135-198)+(0+(0-0))+0-143-0</f>
        <v>549.20000000000005</v>
      </c>
      <c r="W177" s="3">
        <f>755.2+(115.6-186)+(0+(0-0))+0-149-0</f>
        <v>535.80000000000007</v>
      </c>
      <c r="X177" s="3">
        <f>753.2+(203.3-292)+(-1.92066+(-0.518415--0.7446))+0-144--0.367199999999979</f>
        <v>519.17272500000001</v>
      </c>
      <c r="Y177" s="3">
        <f>747+(130.1-180)+(-0.76194+(-0.132702--0.1836))+0-155--0.158100000000025</f>
        <v>541.54705799999999</v>
      </c>
      <c r="Z177" s="3">
        <f>746.8+(118.5-170)+(-1.90434+(-0.302175--0.4335))+0-150--0.382499999999978</f>
        <v>543.9094849999999</v>
      </c>
      <c r="AA177" s="3">
        <f>749.2+(117.6-173)+(-2.292552+(-0.359856--0.52938))+0-165--0.504900000000019</f>
        <v>527.18187200000011</v>
      </c>
      <c r="AB177" s="3">
        <f>756+(99.1-199)+(-1.54224+(-0.202164--0.40596))+0-150--0.305999999999993</f>
        <v>505.06755600000002</v>
      </c>
      <c r="AC177" s="3">
        <f>746.4+(95.6-205)+(-0.380664+(-0.048756--0.10455))+0-150--0.0764999999999848</f>
        <v>486.75162999999998</v>
      </c>
      <c r="AD177">
        <v>553.79999999999995</v>
      </c>
      <c r="AE177" s="3">
        <f>748+(142.9-168.4)+(0+(0-0))+0-168.7-0</f>
        <v>553.79999999999995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704+(99.5-214.8)+(0+(0-0))+0-143-0</f>
        <v>445.70000000000005</v>
      </c>
      <c r="G178" s="3">
        <f>707+(108.8-234.2)+(0+(0-0))+0-155.3-0</f>
        <v>426.3</v>
      </c>
      <c r="H178" s="3">
        <f>707+(129-250.5)+(0+(0-0))+0-161.1-0</f>
        <v>424.4</v>
      </c>
      <c r="I178" s="3">
        <f>677+(139.7-272.8)+(0+(0-0))+0-161.1-0</f>
        <v>382.79999999999995</v>
      </c>
      <c r="J178" s="3">
        <f>677+(133.2-291.4)+(0+(0-0))+0-143-0</f>
        <v>375.79999999999995</v>
      </c>
      <c r="K178" s="3">
        <f>678+(146.1-282)+(0+(0-0))+0-173.2-0</f>
        <v>368.90000000000003</v>
      </c>
      <c r="L178" s="3">
        <f>755.9+(273.3-435.1)+(0+(0-0))+0-147.9-0</f>
        <v>446.19999999999993</v>
      </c>
      <c r="M178" s="3">
        <f>758.1+(321.9-451.3)+(0.386631+(0.164169-0.230163))+0-153.3-0.0781829999999845</f>
        <v>475.6424540000001</v>
      </c>
      <c r="N178" s="3">
        <f>752+(248.2-381)+(-0.76704+(-0.253164--0.38862))+0-103.4--0.105468000000016</f>
        <v>515.27388400000007</v>
      </c>
      <c r="O178" s="3">
        <f>746.3+(157.8-278.4)+(0.380613+(0.080478-0.141984))+0-101.6-0.0518159999999897</f>
        <v>524.36729100000002</v>
      </c>
      <c r="P178" s="3">
        <f>746.3+(157.8-254.6)+(1.141839+(0.241434-0.389538))+0-93.1-0.142443000000005</f>
        <v>557.25129200000003</v>
      </c>
      <c r="Q178" s="3">
        <f>738.4+(125.4-191.2)+(0.376584+(0.063954-0.097512))+0-98.5-0.05023499999999</f>
        <v>574.39279099999999</v>
      </c>
      <c r="R178" s="3">
        <f>733.5+(131.5-167.3)+(0.74817+(0.13413-0.170646))+0-124.6-0.12709200000002</f>
        <v>573.68456199999991</v>
      </c>
      <c r="S178" s="3">
        <f>725.1+(250-260.3)+(-0.369801+(-0.1275--0.132753))+0-168.8--0.0860879999999829</f>
        <v>545.72154</v>
      </c>
      <c r="T178" s="3">
        <f>722.6+(277.4-287.4)+(-0.368526+(-0.141474--0.146574))+0-183.7--0.0936869999999814</f>
        <v>528.6302609999999</v>
      </c>
      <c r="U178" s="3">
        <f>710.5+(259.5-277.2)+(-0.362355+(-0.132345--0.141372))+0-165.5--0.0844049999999832</f>
        <v>527.03107699999987</v>
      </c>
      <c r="V178" s="3">
        <f>703.8+(175.4-174)+(-1.79469+(-0.44727--0.4437))+0-178.7--0.455684999999974</f>
        <v>525.15742499999999</v>
      </c>
      <c r="W178" s="3">
        <f>699.7+(156.7-149.9)+(-2.141082+(-0.479502--0.458694))+0-175.6--0.53733600000002</f>
        <v>529.27544599999999</v>
      </c>
      <c r="X178" s="3">
        <f>705.8+(190.2-216.4)+(-1.79979+(-0.48501--0.55182))+0-151.7--0.386834999999978</f>
        <v>526.55385499999988</v>
      </c>
      <c r="Y178" s="3">
        <f>721.4+(142.7-146.7)+(-0.735828+(-0.145554--0.149634))+0-165.2--0.168504000000026</f>
        <v>551.63675599999988</v>
      </c>
      <c r="Z178" s="3">
        <f>737+(148.4-157.2)+(-2.25522+(-0.454104--0.481032))+0-172.9--0.52907400000002</f>
        <v>553.60078200000009</v>
      </c>
      <c r="AA178" s="3">
        <f>743.5+(144.3-169)+(-1.895925+(-0.367965--0.43095))+0-187.7--0.478634999999973</f>
        <v>529.74569499999984</v>
      </c>
      <c r="AB178" s="3">
        <f>744.4+(156.4-208.6)+(-1.138932+(-0.239292--0.319158))+0-183--0.279990000000011</f>
        <v>508.42092400000001</v>
      </c>
      <c r="AC178" s="3">
        <f>763.4+(132.4-226.4)+(-0.389334+(-0.067524--0.115464))+0-173.8--0.0886379999999824</f>
        <v>495.34724399999993</v>
      </c>
      <c r="AD178">
        <v>569.39999999999986</v>
      </c>
      <c r="AE178" s="3">
        <f>745+(153.3-158.2)+(0+(0-0))+0-170.7-0</f>
        <v>569.40000000000009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758.1+(123.4-218.4)+(0+(0-0))+0-179.2-0</f>
        <v>483.90000000000003</v>
      </c>
      <c r="G179" s="3">
        <f>738.4+(118.8-223.8)+(-0.376584+(-0.060588--0.114138))+0-174.6--0.0890459999999823</f>
        <v>458.56601199999994</v>
      </c>
      <c r="H179" s="3">
        <f>603.7+(152.7-132.3)+(0.923661+(0.233631-0.202419))+0-177.7-0.27188100000001</f>
        <v>447.08299200000005</v>
      </c>
      <c r="I179" s="3">
        <f>597.4+(172.1-163)+(-0.609348+(-0.175542--0.16626))+0-168.8--0.172176000000027</f>
        <v>437.25354599999997</v>
      </c>
      <c r="J179" s="3">
        <f>595.9+(209.8-208.8)+(-0.911727+(-0.320994--0.319464))+0-162--0.247860000000009</f>
        <v>434.23460299999994</v>
      </c>
      <c r="K179" s="3">
        <f>600.1+(272.2-284.8)+(-0.306051+(-0.138822--0.145248))+0-154--0.0785399999999844</f>
        <v>433.27891499999998</v>
      </c>
      <c r="L179" s="3">
        <f>597.6+(362.7-376.6)+(-1.52388+(-0.924885--0.96033))+0-148.8--0.379439999999978</f>
        <v>433.79100500000004</v>
      </c>
      <c r="M179" s="3">
        <f>604.3+(383.8-393.3)+(0+(0-0))+0-152.1-0</f>
        <v>442.69999999999993</v>
      </c>
      <c r="N179" s="3">
        <f>601.7+(359.5-310.5)+(0+(0-0))+0-174.5-0</f>
        <v>476.20000000000005</v>
      </c>
      <c r="O179" s="3">
        <f>596.9+(295.9-216.6)+(0+(0-0))+0-170.6-0</f>
        <v>505.59999999999991</v>
      </c>
      <c r="P179" s="3">
        <f>598.8+(281.4-176.9)+(1.221552+(0.574056-0.360876))+0-186.1-0.379643999999992</f>
        <v>518.255088</v>
      </c>
      <c r="Q179" s="3">
        <f>594+(236.5-128.7)+(0+(0-0))+0-174.7-0</f>
        <v>527.09999999999991</v>
      </c>
      <c r="R179" s="3">
        <f>585.1+(165.5-43.8)+(-0.596802+(-0.16881--0.044676))+0-178.5--0.182070000000028</f>
        <v>527.76113400000008</v>
      </c>
      <c r="S179" s="3">
        <f>576.4+(225.4-130.4)+(-1.175856+(-0.459816--0.266016))+0-161.7--0.329867999999993</f>
        <v>508.660212</v>
      </c>
      <c r="T179" s="3">
        <f>577+(342.5-256.7)+(-0.29427+(-0.174675--0.130917))+0-183.2--0.0934319999999814</f>
        <v>479.35540399999996</v>
      </c>
      <c r="U179" s="3">
        <f>569.4+(290.4-220.5)+(-0.871182+(-0.444312--0.337365))+0-168--0.25704000000001</f>
        <v>470.57891100000001</v>
      </c>
      <c r="V179" s="3">
        <f>570.6+(213.8-131.4)+(-0.291006+(-0.109038--0.067014))+0-182.3--0.0929729999999815</f>
        <v>470.45994299999995</v>
      </c>
      <c r="W179" s="3">
        <f>567.2+(160-85.5)+(-1.44636+(-0.408--0.218025))+0-167.4--0.426869999999976</f>
        <v>473.09053499999999</v>
      </c>
      <c r="X179" s="3">
        <f>575.6+(223.5-159.4)+(0+(0-0))+0-176.1-0</f>
        <v>463.6</v>
      </c>
      <c r="Y179" s="3">
        <f>573+(172.7-60.6)+(0+(0-0))+0-177.7-0</f>
        <v>507.40000000000003</v>
      </c>
      <c r="Z179" s="3">
        <f>585+(167.7-81.2)+(-0.89505+(-0.256581--0.124236))+0-162.7--0.248931000000009</f>
        <v>508.02153600000008</v>
      </c>
      <c r="AA179" s="3">
        <f>587.7+(167-90.9)+(-1.498635+(-0.42585--0.231795))+0-173.5--0.442424999999975</f>
        <v>489.04973500000006</v>
      </c>
      <c r="AB179" s="3">
        <f>587.1+(178.2-115.9)+(-1.497105+(-0.45441--0.295545))+0-175.1--0.446504999999975</f>
        <v>473.09053499999993</v>
      </c>
      <c r="AC179" s="3">
        <f>593.4+(176.8-117.8)+(-0.907902+(-0.270504--0.180234))+0-191.3--0.292689000000011</f>
        <v>460.39451700000001</v>
      </c>
      <c r="AD179">
        <v>503.50000000000006</v>
      </c>
      <c r="AE179" s="3">
        <f>589+(162.6-100.9)+(0+(0-0))+0-147.2-0</f>
        <v>503.50000000000006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596.8+(172.3-137.7)+(-0.913104+(-0.263619--0.210681))+0-180.6--0.27631800000001</f>
        <v>450.11027599999994</v>
      </c>
      <c r="G180" s="3">
        <f>601+(158-154.4)+(-0.30651+(-0.08058--0.078744))+0-164.1--0.0836909999999833</f>
        <v>440.27534499999996</v>
      </c>
      <c r="H180" s="3">
        <f>604.3+(153.5-162.8)+(-1.540965+(-0.391425--0.41514))+0-169.7--0.432734999999975</f>
        <v>424.215485</v>
      </c>
      <c r="I180" s="3">
        <f>609+(157.4-161.8)+(0+(0-0))+0-189.5-0</f>
        <v>415.1</v>
      </c>
      <c r="J180" s="3">
        <f>607.2+(146.5-155.7)+(0+(0-0))+0-183.8-0</f>
        <v>414.2</v>
      </c>
      <c r="K180" s="3">
        <f>614.4+(157.9-180.8)+(0.940032+(0.241587-0.276624))+0-185.2-0.283356000000011</f>
        <v>406.92163899999997</v>
      </c>
      <c r="L180" s="3">
        <f>613.3+(193.4-248.9)+(0.938349+(0.295902-0.380817))+0-179.3-0.27432900000001</f>
        <v>379.07910499999991</v>
      </c>
      <c r="M180" s="3">
        <f>612.1+(215.8-293.5)+(-1.560855+(-0.55029--0.748425))+0-164.2--0.418709999999976</f>
        <v>369.25599000000011</v>
      </c>
      <c r="N180" s="3">
        <f>615.5+(194.9-255.4)+(0+(0-0))+0-166.3-0</f>
        <v>388.7</v>
      </c>
      <c r="O180" s="3">
        <f>607.4+(206.9-244.1)+(-0.929322+(-0.316557--0.373473))+0-163.2--0.249696000000009</f>
        <v>406.37729000000013</v>
      </c>
      <c r="P180" s="3">
        <f>605.4+(200.5-199.4)+(-0.617508+(-0.20451--0.203388))+0-178.6--0.182172000000028</f>
        <v>427.46354199999996</v>
      </c>
      <c r="Q180" s="3">
        <f>606.9+(165-152)+(-0.619038+(-0.1683--0.15504))+0-164--0.167280000000026</f>
        <v>455.43498199999999</v>
      </c>
      <c r="R180" s="3">
        <f>593.8+(159.6-132.5)+(-0.605676+(-0.162792--0.13515))+0-167.2--0.170544000000027</f>
        <v>453.23722599999996</v>
      </c>
      <c r="S180" s="3">
        <f>589.1+(196.5-161.9)+(-0.600882+(-0.20043--0.165138))+0-178--0.181560000000028</f>
        <v>445.24538600000011</v>
      </c>
      <c r="T180" s="3">
        <f>579.9+(230.5-194.5)+(0.295749+(0.117555-0.099195))+0-180.8-0.0922079999999817</f>
        <v>435.32190100000003</v>
      </c>
      <c r="U180" s="3">
        <f>573.7+(230.6-216.3)+(0+(0-0))+0-177.3-0</f>
        <v>410.7</v>
      </c>
      <c r="V180" s="3">
        <f>567.6+(185.1-160.8)+(-1.44738+(-0.472005--0.41004))+0-166.5--0.424574999999976</f>
        <v>424.31522999999993</v>
      </c>
      <c r="W180" s="3">
        <f>570.9+(163.5-156.1)+(-0.582318+(-0.16677--0.159222))+0-148.4--0.151368000000024</f>
        <v>429.461502</v>
      </c>
      <c r="X180" s="3">
        <f>573.3+(303.7-254.5)+(-0.877149+(-0.464661--0.389385))+0-179.6--0.27478800000001</f>
        <v>442.22236300000003</v>
      </c>
      <c r="Y180" s="3">
        <f>580.8+(195.8-103.9)+(0+(0-0))+0-189.3-0</f>
        <v>483.39999999999992</v>
      </c>
      <c r="Z180" s="3">
        <f>579.8+(183.9-90.6)+(-0.887094+(-0.281367--0.138618))+0-183.1--0.280143000000011</f>
        <v>489.25029999999987</v>
      </c>
      <c r="AA180" s="3">
        <f>573.6+(176-124.7)+(-1.46268+(-0.4488--0.317985))+0-168.2--0.428909999999976</f>
        <v>455.535415</v>
      </c>
      <c r="AB180" s="3">
        <f>579.6+(167.6-124.7)+(-1.182384+(-0.341904--0.254388))+0-174.9--0.356795999999992</f>
        <v>446.68689599999999</v>
      </c>
      <c r="AC180" s="3">
        <f>588.7+(159.8-150.7)+(-0.600474+(-0.162996--0.153714))+0-164--0.167280000000026</f>
        <v>433.35752400000013</v>
      </c>
      <c r="AD180">
        <v>488</v>
      </c>
      <c r="AE180" s="3">
        <f>577+(182.4-98)+(0+(0-0))+0-173.4-0</f>
        <v>488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581.5+(155.3-161.8)+(-1.18626+(-0.316812--0.330072))+0-162.9--0.332315999999993</f>
        <v>411.25931600000001</v>
      </c>
      <c r="G181" s="3">
        <f>593.2+(159.3-186.3)+(0+(0-0))+0-167-0</f>
        <v>399.20000000000005</v>
      </c>
      <c r="H181" s="3">
        <f>601.1+(173.3-219.1)+(-0.919683+(-0.265149--0.335223))+0-167.3--0.25596900000001</f>
        <v>387.40636000000006</v>
      </c>
      <c r="I181" s="3">
        <f>601.8+(177-227.5)+(-0.613836+(-0.18054--0.23205))+0-167.6--0.170952000000027</f>
        <v>383.30862599999995</v>
      </c>
      <c r="J181" s="3">
        <f>597.3+(172.1-235.4)+(-0.304623+(-0.087771--0.120054))+0-158.7--0.0809369999999839</f>
        <v>375.10859700000003</v>
      </c>
      <c r="K181" s="3">
        <f>592.9+(188.8-237.1)+(-1.511895+(-0.48144--0.604605))+0-168.2--0.428909999999976</f>
        <v>375.44018</v>
      </c>
      <c r="L181" s="3">
        <f>592.8+(292.8-337.4)+(-2.116296+(-1.045296--1.204518))+0-163.2--0.582624000000002</f>
        <v>383.62555000000003</v>
      </c>
      <c r="M181" s="3">
        <f>607.8+(308-336.9)+(0.929934+(0.47124-0.515457))+0-163-0.249390000000009</f>
        <v>416.53632699999997</v>
      </c>
      <c r="N181" s="3">
        <f>598.4+(282-262)+(-0.610368+(-0.28764--0.26724))+0-166.6--0.169932000000027</f>
        <v>451.33916399999998</v>
      </c>
      <c r="O181" s="3">
        <f>596.3+(243.1-202.5)+(-0.304113+(-0.123981--0.103275))+0-159.7--0.0814469999999838</f>
        <v>476.95662799999991</v>
      </c>
      <c r="P181" s="3">
        <f>594.7+(159-98.1)+(0+(0-0))+0-163.1-0</f>
        <v>492.5</v>
      </c>
      <c r="Q181" s="3">
        <f>591.1+(136.7-57.6)+(0.301461+(0.069717-0.029376))+0-171.4-0.0874139999999826</f>
        <v>499.05438800000013</v>
      </c>
      <c r="R181" s="3">
        <f>584.3+(144.4-56.6)+(-0.595986+(-0.147288--0.057732))+0-165.7--0.169014000000026</f>
        <v>505.88347199999987</v>
      </c>
      <c r="S181" s="3">
        <f>587.9+(216.2-142.2)+(0.299829+(0.110262-0.072522))+0-163.4-0.0833339999999834</f>
        <v>498.75423500000005</v>
      </c>
      <c r="T181" s="3">
        <f>584.4+(251.9-176.8)+(0.298044+(0.128469-0.090168))+0-172.1-0.0877709999999825</f>
        <v>487.64857400000005</v>
      </c>
      <c r="U181" s="3">
        <f>583.6+(239.9-175.4)+(-0.297636+(-0.122349--0.089454))+0-162--0.0826199999999836</f>
        <v>485.85208900000003</v>
      </c>
      <c r="V181" s="3">
        <f>582.8+(180.6-101.4)+(-0.891684+(-0.276318--0.155142))+0-167.3--0.25596900000001</f>
        <v>493.94310899999994</v>
      </c>
      <c r="W181" s="3">
        <f>579.7+(150.9-73.4)+(-1.182588+(-0.307836--0.149736))+0-157.5--0.321299999999993</f>
        <v>498.68061200000005</v>
      </c>
      <c r="X181" s="3">
        <f>579.9+(251.4-168.5)+(-0.591498+(-0.256428--0.17187))+0-166.4--0.169728000000027</f>
        <v>495.89367199999998</v>
      </c>
      <c r="Y181" s="3">
        <f>582.2+(196.2-71.5)+(-0.296922+(-0.100062--0.036465))+0-169.2--0.0862919999999828</f>
        <v>537.42577300000016</v>
      </c>
      <c r="Z181" s="3">
        <f>585.7+(193.6-79.6)+(-0.597414+(-0.197472--0.081192))+0-170.2--0.173604000000027</f>
        <v>528.95991000000004</v>
      </c>
      <c r="AA181" s="3">
        <f>583+(202.2-107.1)+(-1.78398+(-0.618732--0.327726))+0-169.4--0.51836400000002</f>
        <v>507.1433780000001</v>
      </c>
      <c r="AB181" s="3">
        <f>594.8+(182.1-122.1)+(0.303348+(0.092871-0.062271))+0-167.3-0.085322999999983</f>
        <v>487.74862499999995</v>
      </c>
      <c r="AC181" s="3">
        <f>597.2+(172.6-131.1)+(0.304572+(0.088026-0.066861))+0-174.3-0.0888929999999823</f>
        <v>464.63684400000005</v>
      </c>
      <c r="AD181">
        <v>533.5</v>
      </c>
      <c r="AE181" s="3">
        <f>595+(201.9-79.8)+(0+(0-0))+0-183.6-0</f>
        <v>533.5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603.1+(169.1-142.5)+(-0.307581+(-0.086241--0.072675))+0-175.5--0.0895049999999822</f>
        <v>453.96835800000002</v>
      </c>
      <c r="G182" s="3">
        <f>608.9+(165.3-169.1)+(0.310539+(0.084303-0.086241))+0-166.6-0.0849659999999831</f>
        <v>438.72363499999994</v>
      </c>
      <c r="H182" s="3">
        <f>612.8+(165-176)+(1.250112+(0.3366-0.35904))+0-176.2-0.359447999999992</f>
        <v>426.46822399999996</v>
      </c>
      <c r="I182" s="3">
        <f>606+(177.2-199.3)+(-0.92718+(-0.271116--0.304929))+0-165.9--0.25382700000001</f>
        <v>417.36045999999999</v>
      </c>
      <c r="J182" s="3">
        <f>617+(183.5-223.8)+(1.25868+(0.37434-0.456552))+0-163.3-0.333131999999993</f>
        <v>414.24333600000006</v>
      </c>
      <c r="K182" s="3">
        <f>614.5+(198.8-232.2)+(0.62679+(0.202776-0.236844))+0-168.9-0.172278000000027</f>
        <v>412.62044400000002</v>
      </c>
      <c r="L182" s="3">
        <f>610.3+(248.6-283.2)+(-0.622506+(-0.253572--0.288864))+0-161.3--0.164526000000026</f>
        <v>413.97731199999993</v>
      </c>
      <c r="M182" s="3">
        <f>615.8+(231.3-236.7)+(0.314058+(0.117963-0.120717))+0-174.9-0.0891989999999823</f>
        <v>435.72210499999994</v>
      </c>
      <c r="N182" s="3">
        <f>612.5+(229.6-200.4)+(-0.312375+(-0.117096--0.102204))+0-175.5--0.0895049999999822</f>
        <v>465.96223800000001</v>
      </c>
      <c r="O182" s="3">
        <f>611.2+(204.9-163.5)+(0.311712+(0.104499-0.083385))+0-172.4-0.0879239999999825</f>
        <v>480.44490200000001</v>
      </c>
      <c r="P182" s="3">
        <f>606.6+(228-161.5)+(0+(0-0))+0-184.2-0</f>
        <v>488.90000000000003</v>
      </c>
      <c r="Q182" s="3">
        <f>600.4+(175.2-99.1)+(0.918612+(0.268056-0.151623))+0-161.1-0.246483000000009</f>
        <v>516.18856199999993</v>
      </c>
      <c r="R182" s="3">
        <f>596.5+(133.1-31.9)+(0.304215+(0.067881-0.016269))+0-169.3-0.0863429999999828</f>
        <v>528.66948400000001</v>
      </c>
      <c r="S182" s="3">
        <f>592.1+(132.8-19)+(-0.301971+(-0.067728--0.00969))+0-182.9--0.0932789999999814</f>
        <v>522.73327000000006</v>
      </c>
      <c r="T182" s="3">
        <f>603.8+(146.5-71.9)+(0.307938+(0.074715-0.036669))+0-180.6-0.0921059999999817</f>
        <v>498.053878</v>
      </c>
      <c r="U182" s="3">
        <f>605.7+(130.1-65.5)+(-0.926721+(-0.199053--0.100215))+0-178.6--0.27325800000001</f>
        <v>490.947699</v>
      </c>
      <c r="V182" s="3">
        <f>591.1+(118.8-27.3)+(-1.205844+(-0.242352--0.055692))+0-187.5--0.382499999999992</f>
        <v>494.08999599999999</v>
      </c>
      <c r="W182" s="3">
        <f>571+(232.7-134.1)+(-1.74726+(-0.712062--0.410346))+0-173.1--0.52968600000002</f>
        <v>494.98070999999999</v>
      </c>
      <c r="X182" s="3">
        <f>580.1+(334.1-231.3)+(0.295851+(0.170391-0.117963))+0-183.3-0.0934829999999814</f>
        <v>499.85479600000014</v>
      </c>
      <c r="Y182" s="3">
        <f>584.7+(294.2-146.3)+(0.298197+(0.150042-0.074613))+0-195.5-0.0997049999999802</f>
        <v>537.373921</v>
      </c>
      <c r="Z182" s="3">
        <f>585.3+(227.2-98.6)+(0+(0-0))+0-191.1-0</f>
        <v>522.79999999999995</v>
      </c>
      <c r="AA182" s="3">
        <f>582.9+(184.3-70)+(-1.486395+(-0.469965--0.1785))+0-192.8--0.491639999999972</f>
        <v>503.11377999999996</v>
      </c>
      <c r="AB182" s="3">
        <f>579.5+(174.3-77.8)+(-1.477725+(-0.444465--0.19839))+0-191.8--0.489089999999972</f>
        <v>482.96528999999998</v>
      </c>
      <c r="AC182" s="3">
        <f>592.3+(158.4-114.3)+(0.604146+(0.161568-0.116586))+0-172.5-0.175950000000028</f>
        <v>464.373178</v>
      </c>
      <c r="AD182">
        <v>520.29999999999995</v>
      </c>
      <c r="AE182" s="3">
        <f>587+(219.3-101.8)+(0+(0-0))+0-184.2-0</f>
        <v>520.29999999999995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589.6+(150.8-109)+(-0.601392+(-0.153816--0.11118))+0-180.2--0.183804000000029</f>
        <v>450.73977600000006</v>
      </c>
      <c r="G183" s="3">
        <f>587.7+(172.1-140.3)+(-1.198908+(-0.351084--0.286212))+0-182.5--0.372299999999992</f>
        <v>436.10852</v>
      </c>
      <c r="H183" s="3">
        <f>592.3+(174.4-163.4)+(-0.302073+(-0.088944--0.083334))+0-179.8--0.0916979999999818</f>
        <v>423.28401499999995</v>
      </c>
      <c r="I183" s="3">
        <f>590.9+(187-180)+(-1.205436+(-0.38148--0.3672))+0-183.4--0.374135999999992</f>
        <v>413.65442000000002</v>
      </c>
      <c r="J183" s="3">
        <f>602.7+(205.8-219.9)+(1.536885+(0.52479-0.560745))+0-175.9-0.448544999999974</f>
        <v>413.75238500000012</v>
      </c>
      <c r="K183" s="3">
        <f>601.7+(247.2-272.3)+(0.920601+(0.378216-0.416619))+0-162.4-0.248472000000009</f>
        <v>414.83372600000007</v>
      </c>
      <c r="L183" s="3">
        <f>591.5+(324.6-334.3)+(-1.20666+(-0.662184--0.681972))+0-159.9--0.326195999999993</f>
        <v>421.03932399999997</v>
      </c>
      <c r="M183" s="3">
        <f>597.4+(322.1-315.1)+(0+(0-0))+0-173.4-0</f>
        <v>431</v>
      </c>
      <c r="N183" s="3">
        <f>603.4+(327.2-297.5)+(0.307734+(0.166872-0.151725))+0-168.4-0.0858839999999829</f>
        <v>464.93699700000002</v>
      </c>
      <c r="O183" s="3">
        <f>603.3+(327.1-290.7)+(0.307683+(0.166821-0.148257))+0-143.8-0.0733379999999854</f>
        <v>496.15290900000002</v>
      </c>
      <c r="P183" s="3">
        <f>603.3+(283.1-246.4)+(0.307683+(0.144381-0.125664))+0-127.2-0.0648719999999871</f>
        <v>513.06152799999995</v>
      </c>
      <c r="Q183" s="3">
        <f>603+(184-131.2)+(0.61506+(0.18768-0.133824))+0-125.1-0.12760200000002</f>
        <v>531.24131399999987</v>
      </c>
      <c r="R183" s="3">
        <f>592.8+(131.9-57.8)+(-0.302328+(-0.067269--0.029478))+0-144--0.0734399999999854</f>
        <v>522.63332100000002</v>
      </c>
      <c r="S183" s="3">
        <f>586.6+(155.6-80.8)+(-0.897498+(-0.238068--0.123624))+0-138.9--0.212517000000008</f>
        <v>521.70057500000007</v>
      </c>
      <c r="T183" s="3">
        <f>588.5+(169.7-115.1)+(0+(0-0))+0-135.9-0</f>
        <v>507.20000000000005</v>
      </c>
      <c r="U183" s="3">
        <f>578.8+(150-95.6)+(-1.180752+(-0.306--0.195024))+0-134.7--0.274787999999994</f>
        <v>497.48305999999991</v>
      </c>
      <c r="V183" s="3">
        <f>578.5+(102.4-34.2)+(-0.59007+(-0.104448--0.034884))+0-147.7--0.150654000000024</f>
        <v>498.49102000000011</v>
      </c>
      <c r="W183" s="3">
        <f>573.4+(215.5-133.3)+(-1.169736+(-0.43962--0.271932))+0-153.6--0.313343999999993</f>
        <v>500.9759199999998</v>
      </c>
      <c r="X183" s="3">
        <f>579.6+(269.2-204.4)+(-0.295596+(-0.137292--0.104244))+0-145.4--0.0741539999999853</f>
        <v>498.74550999999991</v>
      </c>
      <c r="Y183" s="3">
        <f>587.3+(255.8-161.7)+(0.299523+(0.130458-0.082467))+0-149-0.0759899999999849</f>
        <v>532.67152400000009</v>
      </c>
      <c r="Z183" s="3">
        <f>585+(208.8-103.1)+(-1.1934+(-0.425952--0.210324))+0-169.1--0.344963999999993</f>
        <v>520.53593599999999</v>
      </c>
      <c r="AA183" s="3">
        <f>589+(178.1-103.8)+(-1.20156+(-0.363324--0.211752))+0-165.6--0.337823999999993</f>
        <v>496.68469199999998</v>
      </c>
      <c r="AB183" s="3">
        <f>590.1+(166-94.7)+(-1.203804+(-0.33864--0.193188))+0-183.3--0.373931999999992</f>
        <v>477.12467599999997</v>
      </c>
      <c r="AC183" s="3">
        <f>597.8+(156.3-105.9)+(0+(0-0))+0-189.4-0</f>
        <v>458.79999999999995</v>
      </c>
      <c r="AD183">
        <v>508.19999999999993</v>
      </c>
      <c r="AE183" s="3">
        <f>585+(211.9-103.7)+(0+(0-0))+0-185-0</f>
        <v>508.20000000000005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594.4+(127.7-133.7)+(-1.212576+(-0.260508--0.272748))+0-165.6--0.337823999999993</f>
        <v>421.93748799999997</v>
      </c>
      <c r="G184" s="3">
        <f>600.8+(144.2-161)+(-0.919224+(-0.220626--0.24633))+0-178.4--0.27295200000001</f>
        <v>404.97943200000009</v>
      </c>
      <c r="H184" s="3">
        <f>602.6+(152.3-198.6)+(-0.921978+(-0.233019--0.303858))+0-161--0.246330000000009</f>
        <v>394.69519100000008</v>
      </c>
      <c r="I184" s="3">
        <f>610.5+(181.7-228)+(0.62271+(0.185334-0.23256))+0-179.1-0.182682000000029</f>
        <v>385.49280199999993</v>
      </c>
      <c r="J184" s="3">
        <f>614.8+(206.3-267.7)+(1.56774+(0.526065-0.682635))+0-171.2-0.436559999999975</f>
        <v>383.17460999999997</v>
      </c>
      <c r="K184" s="3">
        <f>601.3+(233.2-297.9)+(0+(0-0))+0-162.3-0</f>
        <v>374.2999999999999</v>
      </c>
      <c r="L184" s="3">
        <f>606.1+(327.8-382)+(-0.309111+(-0.167178--0.19482))+0-145.9--0.0744089999999852</f>
        <v>405.7929400000001</v>
      </c>
      <c r="M184" s="3">
        <f>609.5+(332.6-346.3)+(-0.310845+(-0.169626--0.176613))+0-157.8--0.080477999999984</f>
        <v>437.77661999999992</v>
      </c>
      <c r="N184" s="3">
        <f>608.6+(303.5-287.7)+(0+(0-0))+0-160.6-0</f>
        <v>463.80000000000007</v>
      </c>
      <c r="O184" s="3">
        <f>607.5+(301.9-247.2)+(0.929475+(0.461907-0.378216))+0-180.8-0.27662400000001</f>
        <v>482.13654199999996</v>
      </c>
      <c r="P184" s="3">
        <f>603.5+(280-228.1)+(0.61557+(0.2856-0.232662))+0-111-0.113220000000018</f>
        <v>544.95528799999988</v>
      </c>
      <c r="Q184" s="3">
        <f>599.2+(221-132.4)+(0.916776+(0.33813-0.202572))+0-122-0.186660000000007</f>
        <v>566.66567400000008</v>
      </c>
      <c r="R184" s="3">
        <f>595.5+(130.5-40.6)+(0+(0-0))+0-165.4-0</f>
        <v>520</v>
      </c>
      <c r="S184" s="3">
        <f>591.9+(161.4-59.8)+(-0.301869+(-0.082314--0.030498))+0-176.4--0.0899639999999821</f>
        <v>516.83627899999999</v>
      </c>
      <c r="T184" s="3">
        <f>607.8+(175-112.2)+(0.309978+(0.08925-0.057222))+0-168.7-0.0860369999999829</f>
        <v>502.15596899999991</v>
      </c>
      <c r="U184" s="3">
        <f>606.6+(173.3-116)+(0.618732+(0.176766-0.11832))+0-173-0.176460000000028</f>
        <v>491.4007180000001</v>
      </c>
      <c r="V184" s="3">
        <f>574.4+(129.8-38.7)+(-1.46472+(-0.33099--0.098685))+0-173.7--0.442934999999975</f>
        <v>490.54590999999994</v>
      </c>
      <c r="W184" s="3">
        <f>574+(188.8-93)+(-0.58548+(-0.192576--0.09486))+0-175.6--0.179112000000028</f>
        <v>493.69591600000001</v>
      </c>
      <c r="X184" s="3">
        <f>578.8+(287.3-186.6)+(0+(0-0))+0-178.5-0</f>
        <v>501</v>
      </c>
      <c r="Y184" s="3">
        <f>584.4+(236.5-92.6)+(0+(0-0))+0-191.3-0</f>
        <v>537</v>
      </c>
      <c r="Z184" s="3">
        <f>590.6+(176.3-61.1)+(-0.602412+(-0.179826--0.062322))+0-185--0.18870000000003</f>
        <v>520.2687840000001</v>
      </c>
      <c r="AA184" s="3">
        <f>590.9+(162.7-74)+(-1.506795+(-0.414885--0.1887))+0-187.2--0.477359999999973</f>
        <v>491.1443799999999</v>
      </c>
      <c r="AB184" s="3">
        <f>593.5+(147.5-80.2)+(-1.513425+(-0.376125--0.20451))+0-187.2--0.477359999999973</f>
        <v>472.39231999999998</v>
      </c>
      <c r="AC184" s="3">
        <f>600.7+(142.2-117.5)+(-0.306357+(-0.072522--0.059925))+0-169--0.0861899999999829</f>
        <v>456.16723600000012</v>
      </c>
      <c r="AD184">
        <v>510.20000000000005</v>
      </c>
      <c r="AE184" s="3">
        <f>592+(174.7-51.1)+(0+(0-0))+0-205.4-0</f>
        <v>510.20000000000005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596.8+(146.6-122.4)+(-2.130576+(-0.523362--0.436968))+0-167.7--0.598689000000002</f>
        <v>451.68171900000004</v>
      </c>
      <c r="G185" s="3">
        <f>602.7+(156.5-148.7)+(-2.459016+(-0.63852--0.606696))+0-173.8--0.709103999999985</f>
        <v>434.91826399999991</v>
      </c>
      <c r="H185" s="3">
        <f>606.8+(172.3-177)+(-1.856808+(-0.527238--0.54162))+0-177.6--0.54345600000002</f>
        <v>423.20102999999983</v>
      </c>
      <c r="I185" s="3">
        <f>615.1+(202-219.5)+(0.313701+(0.10302-0.111945))+0-172.9-0.0881789999999825</f>
        <v>424.91659700000002</v>
      </c>
      <c r="J185" s="3">
        <f>617.3+(231.5-260.1)+(0.314823+(0.118065-0.132651))+0-175.3-0.0894029999999822</f>
        <v>413.61083399999995</v>
      </c>
      <c r="K185" s="3">
        <f>620.2+(251-284.9)+(0.632604+(0.25602-0.290598))+0-171.4-0.174828000000027</f>
        <v>415.32319800000005</v>
      </c>
      <c r="L185" s="3">
        <f>610.9+(327.8-338.7)+(-1.246236+(-0.668712--0.690948))+0-177.3--0.361691999999992</f>
        <v>421.83769199999995</v>
      </c>
      <c r="M185" s="3">
        <f>620.3+(328.7-340.6)+(0.632706+(0.335274-0.347412))+0-163.9-0.167178000000026</f>
        <v>444.9533899999999</v>
      </c>
      <c r="N185" s="3">
        <f>604.1+(311.2-275.2)+(-1.232364+(-0.634848--0.561408))+0-165.4--0.337415999999993</f>
        <v>473.7316120000001</v>
      </c>
      <c r="O185" s="3">
        <f>603.3+(277.6-219.8)+(-0.307683+(-0.141576--0.112098))+0-170.5--0.0869549999999827</f>
        <v>490.34979399999986</v>
      </c>
      <c r="P185" s="3">
        <f>602.4+(237.5-162)+(-0.614448+(-0.24225--0.16524))+0-173.3--0.176766000000028</f>
        <v>504.085308</v>
      </c>
      <c r="Q185" s="3">
        <f>604.5+(223.7-120.7)+(0.61659+(0.228174-0.123114))+0-177-0.180540000000028</f>
        <v>531.04110999999989</v>
      </c>
      <c r="R185" s="3">
        <f>598+(162.3-53.4)+(-0.60996+(-0.165546--0.054468))+0-173.2--0.176664000000028</f>
        <v>533.15562599999998</v>
      </c>
      <c r="S185" s="3">
        <f>587.6+(204.8-96.9)+(-0.599352+(-0.208896--0.098838))+0-169.4--0.172788000000027</f>
        <v>525.56337800000006</v>
      </c>
      <c r="T185" s="3">
        <f>585.5+(217.7-130.4)+(-0.59721+(-0.222054--0.133008))+0-170.9--0.174318000000027</f>
        <v>501.38806200000005</v>
      </c>
      <c r="U185" s="3">
        <f>580.7+(208.9-120.8)+(-1.184628+(-0.426156--0.246432))+0-170.6--0.348023999999993</f>
        <v>497.183672</v>
      </c>
      <c r="V185" s="3">
        <f>581.3+(182-79.9)+(-1.185852+(-0.37128--0.162996))+0-179.6--0.366383999999992</f>
        <v>502.77224799999993</v>
      </c>
      <c r="W185" s="3">
        <f>576.9+(242.2-131.6)+(-1.471095+(-0.61761--0.33558))+0-175.9--0.448544999999974</f>
        <v>510.29542000000004</v>
      </c>
      <c r="X185" s="3">
        <f>587.9+(339.3-220.3)+(-0.899487+(-0.519129--0.337059))+0-181.2--0.27723600000001</f>
        <v>524.89567900000009</v>
      </c>
      <c r="Y185" s="3">
        <f>617.8+(232.8-103.5)+(-1.260312+(-0.474912--0.21114))+0-188--0.383519999999992</f>
        <v>557.95943599999987</v>
      </c>
      <c r="Z185" s="3">
        <f>622.4+(171.9-72.2)+(-1.269696+(-0.350676--0.147288))+0-182--0.371279999999992</f>
        <v>538.99819600000001</v>
      </c>
      <c r="AA185" s="3">
        <f>614.6+(160.6-52.3)+(-2.507568+(-0.655248--0.213384))+0-192.1--0.783767999999983</f>
        <v>528.63433599999996</v>
      </c>
      <c r="AB185" s="3">
        <f>620+(165.5-90.9)+(-1.581+(-0.422025--0.231795))+0-183.9--0.468944999999973</f>
        <v>509.39771500000006</v>
      </c>
      <c r="AC185" s="3">
        <f>623.6+(158.3-109.7)+(-0.636072+(-0.161466--0.111894))+0-188.5--0.19227000000003</f>
        <v>483.20662600000003</v>
      </c>
      <c r="AD185">
        <v>535.39999999999986</v>
      </c>
      <c r="AE185" s="3">
        <f>624+(172.8-70.2)+(0+(0-0))+0-191.2-0</f>
        <v>535.40000000000009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618.4+(151.9-119.4)+(-0.630768+(-0.154938--0.121788))+0-178.6--0.182172000000028</f>
        <v>471.81825400000002</v>
      </c>
      <c r="G186" s="3">
        <f>625.9+(147.2-158.4)+(0.957627+(0.225216-0.242352))+0-76-0.116280000000004</f>
        <v>539.52421099999992</v>
      </c>
      <c r="H186" s="3">
        <f>628.9+(158-200.3)+(0.962217+(0.24174-0.306459))+0-112.4-0.171972000000007</f>
        <v>474.92552599999999</v>
      </c>
      <c r="I186" s="3">
        <f>626.7+(173.5-227)+(0.639234+(0.17697-0.23154))+0-103.9-0.105978000000017</f>
        <v>469.77868600000005</v>
      </c>
      <c r="J186" s="3">
        <f>632+(193.1-255.8)+(1.6116+(0.492405-0.65229))+0-106.8-0.272339999999984</f>
        <v>463.67937499999999</v>
      </c>
      <c r="K186" s="3">
        <f>617+(283.4-354.4)+(-1.57335+(-0.72267--0.90372))+0-109.1--0.278204999999984</f>
        <v>435.78590499999996</v>
      </c>
      <c r="L186" s="3">
        <f>625.3+(323.6-341.5)+(0.318903+(0.165036-0.174165))+0-161.3-0.0822629999999836</f>
        <v>446.3275109999999</v>
      </c>
      <c r="M186" s="3">
        <f>617.4+(313.4-297.3)+(-0.314874+(-0.159834--0.151623))+0-160.4--0.0818039999999837</f>
        <v>472.85871900000001</v>
      </c>
      <c r="N186" s="3">
        <f>613.8+(335.3-271.9)+(-0.626076+(-0.342006--0.277338))+0-168.3--0.171666000000027</f>
        <v>508.38092200000006</v>
      </c>
      <c r="O186" s="3">
        <f>619.2+(323.1-225.9)+(0+(0-0))+0-186.9-0</f>
        <v>529.50000000000011</v>
      </c>
      <c r="P186" s="3">
        <f>608.4+(243.3-125.8)+(-0.310284+(-0.124083--0.064158))+0-176.8--0.0901679999999821</f>
        <v>548.81995899999993</v>
      </c>
      <c r="Q186" s="3">
        <f>607.6+(174.2-33.8)+(-1.239504+(-0.355368--0.068952))+0-197.1--0.402083999999991</f>
        <v>549.77616399999988</v>
      </c>
      <c r="R186" s="3">
        <f>585.6+(212.8-72.1)+(-1.49328+(-0.54264--0.183855))+0-200--0.509999999999971</f>
        <v>524.95793500000002</v>
      </c>
      <c r="S186" s="3">
        <f>585.8+(219.1-111.9)+(-1.195032+(-0.446964--0.228276))+0-193.6--0.394943999999992</f>
        <v>498.38122399999997</v>
      </c>
      <c r="T186" s="3">
        <f>593.8+(207.9-116.6)+(0+(0-0))+0-194.7-0</f>
        <v>490.39999999999992</v>
      </c>
      <c r="U186" s="3">
        <f>583.7+(157-69.6)+(-1.190748+(-0.32028--0.141984))+0-177.6--0.362303999999992</f>
        <v>492.49325999999996</v>
      </c>
      <c r="V186" s="3">
        <f>577.3+(245.3-148.6)+(-1.472115+(-0.625515--0.37893))+0-190.5--0.485774999999972</f>
        <v>482.26707499999998</v>
      </c>
      <c r="W186" s="3">
        <f>586.2+(312.4-208.4)+(-0.597924+(-0.318648--0.212568))+0-195.8--0.199716000000031</f>
        <v>493.895712</v>
      </c>
      <c r="X186" s="3">
        <f>599.3+(232-114.1)+(-1.222572+(-0.47328--0.232764))+0-202.7--0.413507999999991</f>
        <v>513.45042000000001</v>
      </c>
      <c r="Y186" s="3">
        <f>617.3+(195.2-101.5)+(-1.888938+(-0.597312--0.31059))+0-194.1--0.593946000000022</f>
        <v>515.31828600000006</v>
      </c>
      <c r="Z186" s="3">
        <f>620.8+(185-118.8)+(-1.58304+(-0.47175--0.30294))+0-197.7--0.504134999999971</f>
        <v>488.05228499999998</v>
      </c>
      <c r="AA186" s="3">
        <f>623.1+(166.3-137.9)+(-1.271124+(-0.339252--0.281316))+0-183.6--0.374543999999992</f>
        <v>466.94548399999996</v>
      </c>
      <c r="AB186" s="3">
        <f>627.2+(152-147.3)+(-0.959616+(-0.23256--0.225369))+0-183.7--0.281061000000011</f>
        <v>447.51425400000011</v>
      </c>
      <c r="AC186" s="3">
        <f>633.8+(143.9-158)+(-1.61619+(-0.366945--0.4029))+0-180.8--0.461039999999974</f>
        <v>437.78080499999987</v>
      </c>
      <c r="AD186">
        <v>526.5</v>
      </c>
      <c r="AE186" s="3">
        <f>618+(201.3-109.5)+(0+(0-0))+0-183.3-0</f>
        <v>526.5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643.4+(149.3-166.2)+(-0.656268+(-0.152286--0.169524))+0-191.2--0.19502400000003</f>
        <v>434.85599400000001</v>
      </c>
      <c r="G187" s="3">
        <f>644.8+(138.6-174)+(0.328848+(0.070686-0.08874))+0-183.6-0.0936359999999814</f>
        <v>426.01715799999994</v>
      </c>
      <c r="H187" s="3">
        <f>625.4+(153.6-173.8)+(0.637908+(0.156672-0.177276))+0-185.2-0.18890400000003</f>
        <v>420.4283999999999</v>
      </c>
      <c r="I187" s="3">
        <f>607+(172.3-173.4)+(0+(0-0))+0-190.5-0</f>
        <v>415.4</v>
      </c>
      <c r="J187" s="3">
        <f>612.8+(190.1-213.2)+(-0.937584+(-0.290853--0.326196))+0-175.2--0.26805600000001</f>
        <v>413.86581499999994</v>
      </c>
      <c r="K187" s="3">
        <f>613.7+(217.9-253.7)+(-1.877922+(-0.666774--0.776322))+0-177.3--0.542538000000021</f>
        <v>399.37416400000012</v>
      </c>
      <c r="L187" s="3">
        <f>572.4+(243.7-260.2)+(0.291924+(0.124287-0.132702))+0-174.4-0.0889439999999823</f>
        <v>381.69456500000001</v>
      </c>
      <c r="M187" s="3">
        <f>530.4+(268.4-228.4)+(1.082016+(0.547536-0.465936))+0-181.5-0.370259999999992</f>
        <v>389.69335600000005</v>
      </c>
      <c r="N187" s="3">
        <f>566.5+(236.6-217.6)+(0+(0-0))+0-185.7-0</f>
        <v>399.8</v>
      </c>
      <c r="O187" s="3">
        <f>588.8+(198.7-180.6)+(0.600576+(0.202674-0.184212))+0-186.3-0.19002600000003</f>
        <v>421.02901199999997</v>
      </c>
      <c r="P187" s="3">
        <f>583.8+(195.1-171)+(0+(0-0))+0-176.9-0</f>
        <v>431</v>
      </c>
      <c r="Q187" s="3">
        <f>577.4+(165.1-140)+(-0.588948+(-0.168402--0.1428))+0-173.8--0.177276000000028</f>
        <v>428.26272599999999</v>
      </c>
      <c r="R187" s="3">
        <f>578.4+(117.8-109.7)+(0.294984+(0.060078-0.055947))+0-155.3-0.0792029999999843</f>
        <v>431.41991200000001</v>
      </c>
      <c r="S187" s="3">
        <f>573.1+(151.6-141.6)+(-0.584562+(-0.154632--0.144432))+0-162.6--0.165852000000026</f>
        <v>420.07109000000008</v>
      </c>
      <c r="T187" s="3">
        <f>562.8+(164.4-139.6)+(-0.861084+(-0.251532--0.213588))+0-179.4--0.27448200000001</f>
        <v>407.57545399999992</v>
      </c>
      <c r="U187" s="3">
        <f>557.3+(141.9-113.4)+(-1.136892+(-0.289476--0.231336))+0-178.3--0.363731999999992</f>
        <v>406.66869999999994</v>
      </c>
      <c r="V187" s="3">
        <f>569.6+(172.4-159.1)+(-0.871488+(-0.263772--0.243423))+0-169.6--0.25948800000001</f>
        <v>412.66765100000009</v>
      </c>
      <c r="W187" s="3">
        <f>575.3+(235-236.1)+(0+(0-0))+0-160-0</f>
        <v>414.19999999999993</v>
      </c>
      <c r="X187" s="3">
        <f>583.6+(183.4-112.9)+(0+(0-0))+0-186.7-0</f>
        <v>467.40000000000003</v>
      </c>
      <c r="Y187" s="3">
        <f>582.2+(156.2-91.5)+(-0.296922+(-0.079662--0.046665))+0-189--0.0963899999999808</f>
        <v>457.66647100000006</v>
      </c>
      <c r="Z187" s="3">
        <f>581.4+(139.6-105.1)+(-0.889542+(-0.213588--0.160803))+0-174.2--0.26652600000001</f>
        <v>441.02419900000001</v>
      </c>
      <c r="AA187" s="3">
        <f>582.3+(137.6-125.1)+(-0.593946+(-0.140352--0.127602))+0-166.3--0.169626000000027</f>
        <v>428.06292999999994</v>
      </c>
      <c r="AB187" s="3">
        <f>586.7+(152.4-132.5)+(0.299217+(0.077724-0.067575))+0-188.4-0.0960839999999809</f>
        <v>418.41328200000004</v>
      </c>
      <c r="AC187" s="3">
        <f>584.9+(154-130.1)+(-0.298299+(-0.07854--0.066351))+0-205.1--0.104600999999979</f>
        <v>403.49411299999997</v>
      </c>
      <c r="AD187">
        <v>449.2</v>
      </c>
      <c r="AE187" s="3">
        <f>584+(143.3-103.4)+(0+(0-0))+0-174.7-0</f>
        <v>449.2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595.4+(119.4-135.6)+(0+(0-0))+0-182.3-0</f>
        <v>396.90000000000003</v>
      </c>
      <c r="G188" s="3">
        <f>600+(139.6-159.8)+(0.306+(0.071196-0.081498))+0-187.2-0.095471999999981</f>
        <v>392.80022600000001</v>
      </c>
      <c r="H188" s="3">
        <f>603.6+(154.6-177.6)+(0.615672+(0.157692-0.181152))+0-194-0.197880000000031</f>
        <v>386.99433199999999</v>
      </c>
      <c r="I188" s="3">
        <f>602.1+(156.3-196.5)+(0.307071+(0.079713-0.100215))+0-182.3-0.0929729999999815</f>
        <v>379.79359600000009</v>
      </c>
      <c r="J188" s="3">
        <f>600.6+(175.6-208.1)+(-0.612612+(-0.179112--0.212262))+0-187.2--0.19094400000003</f>
        <v>380.511482</v>
      </c>
      <c r="K188" s="3">
        <f>597.3+(212.6-243)+(-1.523115+(-0.54213--0.61965))+0-192.1--0.489854999999972</f>
        <v>373.84425999999991</v>
      </c>
      <c r="L188" s="3">
        <f>603.1+(220-278)+(0+(0-0))+0-170-0</f>
        <v>375.1</v>
      </c>
      <c r="M188" s="3">
        <f>601+(217.5-271.6)+(0+(0-0))+0-145.5-0</f>
        <v>401.4</v>
      </c>
      <c r="N188" s="3">
        <f>591.6+(197.4-219.2)+(-0.301716+(-0.100674--0.111792))+0-164.1--0.0836909999999833</f>
        <v>405.49309299999999</v>
      </c>
      <c r="O188" s="3">
        <f>593.7+(239.8-217.1)+(0+(0-0))+0-171.8-0</f>
        <v>444.60000000000008</v>
      </c>
      <c r="P188" s="3">
        <f>583.1+(193.1-171.3)+(0.297381+(0.098481-0.087363))+0-164-0.0836399999999834</f>
        <v>441.12485899999996</v>
      </c>
      <c r="Q188" s="3">
        <f>573.9+(154-96.2)+(-0.878067+(-0.23562--0.147186))+0-188.7--0.288711000000011</f>
        <v>442.32220999999998</v>
      </c>
      <c r="R188" s="3">
        <f>594.3+(151.9-124.6)+(0+(0-0))+0-180-0</f>
        <v>441.59999999999991</v>
      </c>
      <c r="S188" s="3">
        <f>613.5+(170.6-167.8)+(0.312885+(0.087006-0.085578))+0-186.2-0.0949619999999811</f>
        <v>430.31935099999998</v>
      </c>
      <c r="T188" s="3">
        <f>685.3+(137.6-193.9)+(0+(0-0))+0-198.7-0</f>
        <v>430.3</v>
      </c>
      <c r="U188" s="3">
        <f>734.5+(96.3-199.8)+(-0.74919+(-0.098226--0.203796))+0-194.7--0.198594000000031</f>
        <v>435.85497399999997</v>
      </c>
      <c r="V188" s="3">
        <f>731.2+(150.7-269.5)+(-1.118736+(-0.230571--0.412335))+0-171.8--0.26285400000001</f>
        <v>439.92588200000012</v>
      </c>
      <c r="W188" s="3">
        <f>739.3+(185.4-286.8)+(-0.754086+(-0.189108--0.292536))+0-195.3--0.199206000000031</f>
        <v>442.14854799999995</v>
      </c>
      <c r="X188" s="3">
        <f>741.3+(153.2-213.8)+(0+(0-0))+0-198-0</f>
        <v>482.69999999999993</v>
      </c>
      <c r="Y188" s="3">
        <f>732.4+(129.8-184.8)+(-0.373524+(-0.066198--0.094248))+0-196.3--0.10011299999998</f>
        <v>480.85463899999996</v>
      </c>
      <c r="Z188" s="3">
        <f>727.6+(127.4-178.7)+(-1.484304+(-0.259896--0.364548))+0-201.4--0.410855999999991</f>
        <v>473.93120400000009</v>
      </c>
      <c r="AA188" s="3">
        <f>734.8+(109.6-186)+(0.374748+(0.055896-0.09486))+0-193.6-0.0987359999999804</f>
        <v>465.03704799999997</v>
      </c>
      <c r="AB188" s="3">
        <f>731.3+(98.9-176.6)+(-1.118889+(-0.151317--0.270198))+0-193.1--0.295443000000011</f>
        <v>459.79543499999994</v>
      </c>
      <c r="AC188" s="3">
        <f>728.3+(98.6-197.1)+(-0.371433+(-0.050286--0.100521))+0-183.9--0.0937889999999813</f>
        <v>445.67259099999995</v>
      </c>
      <c r="AD188">
        <v>454.29999999999995</v>
      </c>
      <c r="AE188" s="3">
        <f>734+(123.6-208.8)+(0+(0-0))+0-194.5-0</f>
        <v>454.29999999999995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692+(123.8-210.2)+(-0.35292+(-0.063138--0.107202))+0-176.1--0.0898109999999821</f>
        <v>429.28095500000001</v>
      </c>
      <c r="G189" s="3">
        <f>703.5+(142.8-265.6)+(-1.076355+(-0.218484--0.406368))+0-162.9--0.249237000000009</f>
        <v>417.16076600000008</v>
      </c>
      <c r="H189" s="3">
        <f>711.6+(157.9-277.1)+(0.362916+(0.080529-0.141321))+0-178-0.0907799999999819</f>
        <v>414.61134400000003</v>
      </c>
      <c r="I189" s="3">
        <f>713.9+(160.4-278.3)+(-0.364089+(-0.081804--0.141933))+0-185.3--0.0945029999999812</f>
        <v>410.490543</v>
      </c>
      <c r="J189" s="3">
        <f>717.2+(170.9-277.8)+(-0.365772+(-0.087159--0.141678))+0-195.9--0.0999089999999801</f>
        <v>414.18865600000009</v>
      </c>
      <c r="K189" s="3">
        <f>718.3+(185.9-307.7)+(-1.465332+(-0.379236--0.627708))+0-184.3--0.375971999999992</f>
        <v>411.35911199999998</v>
      </c>
      <c r="L189" s="3">
        <f>712.9+(240.9-349)+(-0.727158+(-0.245718--0.35598))+0-186.5--0.19023000000003</f>
        <v>417.873334</v>
      </c>
      <c r="M189" s="3">
        <f>715.7+(275.3-336.3)+(0.730014+(0.280806-0.343026))+0-190.2-0.19400400000003</f>
        <v>464.97379000000001</v>
      </c>
      <c r="N189" s="3">
        <f>707.1+(267.2-292.1)+(0+(0-0))+0-186.3-0</f>
        <v>495.90000000000003</v>
      </c>
      <c r="O189" s="3">
        <f>694+(277-253.5)+(0.35394+(0.14127-0.129285))+0-190-0.0968999999999807</f>
        <v>527.76902499999994</v>
      </c>
      <c r="P189" s="3">
        <f>683.9+(220-169.6)+(-0.348789+(-0.1122--0.086496))+0-185--0.0943499999999812</f>
        <v>549.01985699999989</v>
      </c>
      <c r="Q189" s="3">
        <f>684.6+(167.9-105)+(0.349146+(0.085629-0.05355))+0-201.3-0.10266299999998</f>
        <v>546.4785619999999</v>
      </c>
      <c r="R189" s="3">
        <f>749.9+(143.2-138.2)+(-0.764898+(-0.146064--0.140964))+0-193.1--0.196962000000031</f>
        <v>561.22696399999995</v>
      </c>
      <c r="S189" s="3">
        <f>765.5+(165-202.9)+(0.78081+(0.1683-0.206958))+0-179.2-0.182784000000029</f>
        <v>548.95936800000004</v>
      </c>
      <c r="T189" s="3">
        <f>762.8+(168.8-213.7)+(-0.389028+(-0.086088--0.108987))+0-183.3--0.0934829999999814</f>
        <v>534.3273539999999</v>
      </c>
      <c r="U189" s="3">
        <f>757+(129.4-164.1)+(-1.54428+(-0.263976--0.334764))+0-192.8--0.393311999999992</f>
        <v>528.41981999999996</v>
      </c>
      <c r="V189" s="3">
        <f>760.4+(165.7-207.9)+(-0.775608+(-0.169014--0.212058))+0-181.9--0.185538000000029</f>
        <v>535.75297399999999</v>
      </c>
      <c r="W189" s="3">
        <f>765.4+(227.1-273.1)+(0.390354+(0.115821-0.139281))+0-175.1-0.0893009999999822</f>
        <v>544.57759299999998</v>
      </c>
      <c r="X189" s="3">
        <f>768+(175-194.2)+(-0.39168+(-0.08925--0.099042))+0-175.2--0.0893519999999822</f>
        <v>573.30746399999998</v>
      </c>
      <c r="Y189" s="3">
        <f>767.2+(152.2-174.1)+(-1.95636+(-0.38811--0.443955))+0-181.1--0.461804999999974</f>
        <v>562.76129000000003</v>
      </c>
      <c r="Z189" s="3">
        <f>773.4+(153.9-181.2)+(-0.788868+(-0.156978--0.184824))+0-196.8--0.200736000000031</f>
        <v>548.73971400000005</v>
      </c>
      <c r="AA189" s="3">
        <f>765.4+(146.4-180.1)+(-0.390354+(-0.074664--0.091851))+0-195.9--0.0999089999999801</f>
        <v>535.52674200000013</v>
      </c>
      <c r="AB189" s="3">
        <f>761.8+(141.7-207.2)+(-1.165554+(-0.216801--0.317016))+0-189.6--0.290088000000011</f>
        <v>505.92474899999996</v>
      </c>
      <c r="AC189" s="3">
        <f>763.1+(154.5-247.1)+(-1.945905+(-0.393975--0.630105))+0-175.8--0.448289999999975</f>
        <v>493.43851499999994</v>
      </c>
      <c r="AD189">
        <v>586.70000000000005</v>
      </c>
      <c r="AE189" s="3">
        <f>781+(159.7-143.2)+(0+(0-0))+0-210.8-0</f>
        <v>586.70000000000005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775.7+(165.1-300.6)+(-1.978035+(-0.421005--0.76653))+0-168.4--0.429419999999976</f>
        <v>470.59691000000004</v>
      </c>
      <c r="G190" s="3">
        <f>796.3+(176.3-345.4)+(1.624452+(0.359652-0.704616))+0-169.2-0.345167999999993</f>
        <v>458.93432000000007</v>
      </c>
      <c r="H190" s="3">
        <f>788.5+(177.6-347.5)+(-0.80427+(-0.181152--0.35445))+0-169.7--0.173094000000027</f>
        <v>448.44212200000004</v>
      </c>
      <c r="I190" s="3">
        <f>789.2+(213.3-378.7)+(-0.804984+(-0.217566--0.386274))+0-172.2--0.175644000000027</f>
        <v>451.13936800000016</v>
      </c>
      <c r="J190" s="3">
        <f>785.7+(230.6-395.6)+(-0.801414+(-0.235212--0.403512))+0-173.7--0.177174000000028</f>
        <v>446.54406000000012</v>
      </c>
      <c r="K190" s="3">
        <f>737+(315.4-445.3)+(-1.87935+(-0.80427--1.135515))+0-169.2--0.431459999999975</f>
        <v>436.78335499999991</v>
      </c>
      <c r="L190" s="3">
        <f>740.1+(343.5-466.2)+(-1.132353+(-0.525555--0.713286))+0-167.4--0.25612200000001</f>
        <v>449.31150000000014</v>
      </c>
      <c r="M190" s="3">
        <f>744.8+(434.5-548.1)+(0.379848+(0.221595-0.279531))+0-153.8-0.0784379999999844</f>
        <v>477.64347399999991</v>
      </c>
      <c r="N190" s="3">
        <f>736.3+(405.7-466.1)+(0+(0-0))+0-160.5-0</f>
        <v>515.39999999999986</v>
      </c>
      <c r="O190" s="3">
        <f>735.9+(362-396.1)+(0.375309+(0.18462-0.202011))+0-116-0.0591599999999882</f>
        <v>586.09875799999998</v>
      </c>
      <c r="P190" s="3">
        <f>738.5+(293.9-321.9)+(0.75327+(0.299778-0.328338))+0-160-0.163200000000026</f>
        <v>551.06150999999988</v>
      </c>
      <c r="Q190" s="3">
        <f>727.7+(202.7-204.6)+(0+(0-0))+0-165.5-0</f>
        <v>560.30000000000007</v>
      </c>
      <c r="R190" s="3">
        <f>734.7+(115-121.4)+(-1.124091+(-0.17595--0.185742))+0-176--0.26928000000001</f>
        <v>551.45498100000009</v>
      </c>
      <c r="S190" s="3">
        <f>736.3+(144.3-182.2)+(-1.502052+(-0.294372--0.371688))+0-164.2--0.334967999999993</f>
        <v>533.11023199999988</v>
      </c>
      <c r="T190" s="3">
        <f>732.9+(124.3-178.1)+(-1.868895+(-0.316965--0.454155))+0-154.3--0.393464999999978</f>
        <v>523.46176000000003</v>
      </c>
      <c r="U190" s="3">
        <f>724+(115-156.5)+(-2.58468+(-0.41055--0.558705))+0-163.4--0.583338000000002</f>
        <v>517.24681300000009</v>
      </c>
      <c r="V190" s="3">
        <f>724.5+(269.4-299)+(-2.586465+(-0.961758--1.06743))+0-171.1--0.610827000000002</f>
        <v>521.93003399999998</v>
      </c>
      <c r="W190" s="3">
        <f>729.9+(413.2-435.7)+(-1.488996+(-0.842928--0.888828))+0-174.5--0.355979999999992</f>
        <v>531.81288400000005</v>
      </c>
      <c r="X190" s="3">
        <f>732.1+(228.5-226)+(-1.493484+(-0.46614--0.46104))+0-185.2--0.377807999999992</f>
        <v>548.27922399999989</v>
      </c>
      <c r="Y190" s="3">
        <f>768.9+(141.7-180.3)+(-1.568556+(-0.289068--0.367812))+0-181.1--0.369443999999992</f>
        <v>548.07963199999995</v>
      </c>
      <c r="Z190" s="3">
        <f>814.7+(126.6-215.8)+(0+(0-0))+0-183.1-0</f>
        <v>542.4</v>
      </c>
      <c r="AA190" s="3">
        <f>789.2+(114.4-184.4)+(-2.01246+(-0.29172--0.47022))+0-191.9--0.489344999999972</f>
        <v>525.95538499999998</v>
      </c>
      <c r="AB190" s="3">
        <f>750.7+(116.3-199.3)+(-1.914285+(-0.296565--0.508215))+0-174.6--0.445229999999975</f>
        <v>491.84259500000002</v>
      </c>
      <c r="AC190" s="3">
        <f>743+(117-215.7)+(-1.89465+(-0.29835--0.550035))+0-170.7--0.435284999999975</f>
        <v>472.39231999999993</v>
      </c>
      <c r="AD190">
        <v>535.20000000000005</v>
      </c>
      <c r="AE190" s="3">
        <f>799+(134.6-206.2)+(0+(0-0))+0-192.2-0</f>
        <v>535.20000000000005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736.6+(102.9-246.2)+(-1.502664+(-0.209916--0.502248))+0-166.8--0.340271999999993</f>
        <v>425.62994000000003</v>
      </c>
      <c r="G191" s="3">
        <f>746.3+(121.5-283.2)+(0+(0-0))+0-170.7-0</f>
        <v>413.89999999999992</v>
      </c>
      <c r="H191" s="3">
        <f>747.5+(110.4-284.4)+(0+(0-0))+0-155.7-0</f>
        <v>417.8</v>
      </c>
      <c r="I191" s="3">
        <f>746.8+(106.4-283.6)+(0+(0-0))+0-150.7-0</f>
        <v>418.89999999999992</v>
      </c>
      <c r="J191" s="3">
        <f>742.9+(124.1-289.4)+(-0.757758+(-0.126582--0.295188))+0-173.7--0.177174000000028</f>
        <v>403.48802200000006</v>
      </c>
      <c r="K191" s="3">
        <f>745.7+(168.2-353.5)+(-0.380307+(-0.085782--0.180285))+0-164.9--0.0840989999999833</f>
        <v>395.29829500000011</v>
      </c>
      <c r="L191" s="3">
        <f>745.4+(249.6-405.7)+(-0.760308+(-0.254592--0.413814))+0-156.4--0.159528000000025</f>
        <v>432.45844199999999</v>
      </c>
      <c r="M191" s="3">
        <f>752.7+(231.2-353.5)+(1.151631+(0.353736-0.540855))+0-151.7-0.232101000000009</f>
        <v>479.43241100000012</v>
      </c>
      <c r="N191" s="3">
        <f>747+(202.3-275.6)+(0.76194+(0.206346-0.281112))+0-169.6-0.172992000000027</f>
        <v>504.61418200000003</v>
      </c>
      <c r="O191" s="3">
        <f>742.8+(201.5-253)+(0+(0-0))+0-178.1-0</f>
        <v>513.19999999999993</v>
      </c>
      <c r="P191" s="3">
        <f>730.6+(158.6-195.9)+(-1.86303+(-0.40443--0.499545))+0-168.2--0.428909999999976</f>
        <v>523.76099499999998</v>
      </c>
      <c r="Q191" s="3">
        <f>733.6+(127.9-146.6)+(0.374136+(0.065229-0.074766))+0-184.3-0.0939929999999813</f>
        <v>530.87060600000018</v>
      </c>
      <c r="R191" s="3">
        <f>723.2+(120.7-140.9)+(0.737664+(0.123114-0.143718))+0-168.8-0.172176000000027</f>
        <v>534.74488399999996</v>
      </c>
      <c r="S191" s="3">
        <f>725.6+(174.5-219.4)+(1.480224+(0.35598-0.447576))+0-163.1-0.332723999999993</f>
        <v>518.65590400000008</v>
      </c>
      <c r="T191" s="3">
        <f>728+(172.8-218.2)+(-1.11384+(-0.264384--0.333846))+0-176.6--0.27019800000001</f>
        <v>505.22581999999994</v>
      </c>
      <c r="U191" s="3">
        <f>720.3+(106.2-139.1)+(-1.836765+(-0.27081--0.354705))+0-171.7--0.437834999999975</f>
        <v>514.38496499999997</v>
      </c>
      <c r="V191" s="3">
        <f>717.9+(183.1-222.1)+(-1.830645+(-0.466905--0.566355))+0-163.4--0.416669999999976</f>
        <v>514.185475</v>
      </c>
      <c r="W191" s="3">
        <f>729.7+(291.9-321.4)+(-1.116441+(-0.446607--0.491742))+0-177.1--0.27096300000001</f>
        <v>522.29965700000002</v>
      </c>
      <c r="X191" s="3">
        <f>746.5+(172.9-186.5)+(1.142145+(0.264537-0.285345))+0-179.6-0.27478800000001</f>
        <v>554.14654899999994</v>
      </c>
      <c r="Y191" s="3">
        <f>738.2+(140.6-154.2)+(-1.88241+(-0.35853--0.39321))+0-184.9--0.471494999999973</f>
        <v>538.32376500000009</v>
      </c>
      <c r="Z191" s="3">
        <f>750.3+(128.5-173.4)+(-0.765306+(-0.13107--0.176868))+0-182.6--0.186252000000029</f>
        <v>522.26674400000002</v>
      </c>
      <c r="AA191" s="3">
        <f>751.3+(116.6-182.3)+(-1.149489+(-0.178398--0.278919))+0-176.4--0.26989200000001</f>
        <v>508.42092400000001</v>
      </c>
      <c r="AB191" s="3">
        <f>747.9+(105.6-188.5)+(-1.525716+(-0.215424--0.38454))+0-183.1--0.373523999999992</f>
        <v>480.91692399999999</v>
      </c>
      <c r="AC191" s="3">
        <f>747.3+(81.1-201.8)+(-1.905615+(-0.206805--0.51459))+0-173--0.441149999999975</f>
        <v>452.44331999999986</v>
      </c>
      <c r="AD191">
        <v>587.59999999999991</v>
      </c>
      <c r="AE191" s="3">
        <f>747+(147.5-117.6)+(0+(0-0))+0-189.3-0</f>
        <v>587.59999999999991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758.5+(99.4-207.6)+(-1.54734+(-0.202776--0.423504))+0-180.2--0.367607999999992</f>
        <v>469.14099600000003</v>
      </c>
      <c r="G192" s="3">
        <f>763+(108.9-236.3)+(-0.38913+(-0.055539--0.120513))+0-178.6--0.0910859999999819</f>
        <v>456.76692999999995</v>
      </c>
      <c r="H192" s="3">
        <f>759.1+(123.5-255.9)+(-1.548564+(-0.25194--0.522036))+0-175.3--0.357611999999992</f>
        <v>450.47914400000008</v>
      </c>
      <c r="I192" s="3">
        <f>767+(121.7-267.8)+(0.39117+(0.062067-0.136578))+0-171.9-0.0876689999999826</f>
        <v>449.22898999999995</v>
      </c>
      <c r="J192" s="3">
        <f>764.5+(141.4-276.9)+(-0.77979+(-0.144228--0.282438))+0-179.7--0.183294000000029</f>
        <v>448.84171400000008</v>
      </c>
      <c r="K192" s="3">
        <f>761+(160.5-326.1)+(-1.94055+(-0.409275--0.831555))+0-170--0.433499999999975</f>
        <v>424.31522999999993</v>
      </c>
      <c r="L192" s="3">
        <f>764.5+(180.5-339.4)+(-0.389895+(-0.092055--0.173094))+0-167--0.0851699999999831</f>
        <v>438.37631400000004</v>
      </c>
      <c r="M192" s="3">
        <f>769.1+(184.9-313.9)+(0.392241+(0.094299-0.160089))+0-173-0.0882299999999824</f>
        <v>467.33822100000003</v>
      </c>
      <c r="N192" s="3">
        <f>767.3+(201.8-293.3)+(0.782646+(0.205836-0.299166))+0-176.6-0.180132000000028</f>
        <v>499.70918399999988</v>
      </c>
      <c r="O192" s="3">
        <f>763.1+(174.9-251.5)+(1.167543+(0.267597-0.384795))+0-181.7-0.27800100000001</f>
        <v>505.57234399999999</v>
      </c>
      <c r="P192" s="3">
        <f>752.6+(163.4-203.2)+(0+(0-0))+0-179.2-0</f>
        <v>533.60000000000014</v>
      </c>
      <c r="Q192" s="3">
        <f>749.4+(107-133)+(0.382194+(0.05457-0.06783))+0-187.4-0.095573999999981</f>
        <v>536.27336000000003</v>
      </c>
      <c r="R192" s="3">
        <f>742.6+(161.4-205.6)+(-1.136178+(-0.246942--0.314568))+0-145.6--0.222768000000008</f>
        <v>551.95421600000009</v>
      </c>
      <c r="S192" s="3">
        <f>745+(193.5-292.2)+(0.37995+(0.098685-0.149022))+0-102.8-0.0524279999999896</f>
        <v>543.77718500000003</v>
      </c>
      <c r="T192" s="3">
        <f>733.8+(191.6-288.2)+(-1.496952+(-0.390864--0.587928))+0-95.5--0.194819999999996</f>
        <v>540.59493199999997</v>
      </c>
      <c r="U192" s="3">
        <f>727+(96.9-186.5)+(-1.85385+(-0.247095--0.475575))+0-97.3--0.248114999999986</f>
        <v>538.72274500000003</v>
      </c>
      <c r="V192" s="3">
        <f>723.1+(141.6-228.2)+(-0.737562+(-0.144432--0.232764))+0-92.7--0.0945540000000148</f>
        <v>543.24532399999998</v>
      </c>
      <c r="W192" s="3">
        <f>716.9+(196.8-226.6)+(0+(0-0))+0-157.2-0</f>
        <v>529.90000000000009</v>
      </c>
      <c r="X192" s="3">
        <f>738.3+(146.7-133.3)+(-0.753066+(-0.149634--0.135966))+0-190--0.19380000000003</f>
        <v>561.1270659999999</v>
      </c>
      <c r="Y192" s="3">
        <f>748.3+(122.4-144.8)+(-1.144899+(-0.187272--0.221544))+0-178.1--0.27249300000001</f>
        <v>546.96186599999999</v>
      </c>
      <c r="Z192" s="3">
        <f>750.6+(115.4-148.6)+(-1.148418+(-0.176562--0.227358))+0-177.8--0.27203400000001</f>
        <v>538.7744120000001</v>
      </c>
      <c r="AA192" s="3">
        <f>757.9+(106.1-152.1)+(-0.773058+(-0.108222--0.155142))+0-186--0.18972000000003</f>
        <v>525.36358200000006</v>
      </c>
      <c r="AB192" s="3">
        <f>756.9+(101.2-172.8)+(-0.386019+(-0.051612--0.088128))+0-177.2--0.090371999999982</f>
        <v>507.84086899999994</v>
      </c>
      <c r="AC192" s="3">
        <f>759.8+(109.1-210.9)+(-0.387498+(-0.055641--0.107559))+0-169.6--0.0864959999999828</f>
        <v>488.15091599999994</v>
      </c>
      <c r="AD192">
        <v>567</v>
      </c>
      <c r="AE192" s="3">
        <f>752+(125.8-126.6)+(0+(0-0))+0-184.2-0</f>
        <v>567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757.9+(87.9-219)+(-1.546116+(-0.179316--0.44676))+0-162--0.330479999999993</f>
        <v>463.85180799999989</v>
      </c>
      <c r="G193" s="3">
        <f>724.9+(110.5-215.2)+(-1.848495+(-0.281775--0.54876))+0-167.7--0.427634999999976</f>
        <v>451.34612500000003</v>
      </c>
      <c r="H193" s="3">
        <f>698.8+(112.1-210.4)+(-0.712776+(-0.114342--0.214608))+0-158.8--0.161976000000025</f>
        <v>441.24946599999998</v>
      </c>
      <c r="I193" s="3">
        <f>697.2+(105.6-197.8)+(-1.422288+(-0.215424--0.403512))+0-169.2--0.345167999999993</f>
        <v>434.91096800000003</v>
      </c>
      <c r="J193" s="3">
        <f>710.5+(86.3-197.7)+(1.811775+(0.220065-0.504135))+0-165.1-0.421004999999976</f>
        <v>435.10669999999999</v>
      </c>
      <c r="K193" s="3">
        <f>698.5+(93.6-195.8)+(-0.71247+(-0.095472--0.199716))+0-170.5--0.173910000000027</f>
        <v>425.36568400000004</v>
      </c>
      <c r="L193" s="3">
        <f>701.6+(113.4-232.6)+(1.431264+(0.231336-0.474504))+0-151.5-0.309059999999993</f>
        <v>431.77903600000008</v>
      </c>
      <c r="M193" s="3">
        <f>690.9+(125-189.5)+(1.057077+(0.19125-0.289935))+0-164.2-0.25122600000001</f>
        <v>462.90716599999996</v>
      </c>
      <c r="N193" s="3">
        <f>680.2+(141.9-165.9)+(-0.693804+(-0.144738--0.169218))+0-160.9--0.164118000000026</f>
        <v>494.79479400000014</v>
      </c>
      <c r="O193" s="3">
        <f>682+(171-181.6)+(0.34782+(0.08721-0.092616))+0-167.4-0.085373999999983</f>
        <v>504.25703999999996</v>
      </c>
      <c r="P193" s="3">
        <f>678.2+(139.2-139)+(0.691764+(0.141984-0.14178))+0-169.8-0.173196000000027</f>
        <v>509.11877200000004</v>
      </c>
      <c r="Q193" s="3">
        <f>684.8+(118.4-126.8)+(0+(0-0))+0-157.9-0</f>
        <v>518.5</v>
      </c>
      <c r="R193" s="3">
        <f>604.2+(251.8-165)+(-1.54071+(-0.64209--0.42075))+0-167--0.425849999999976</f>
        <v>522.66379999999992</v>
      </c>
      <c r="S193" s="3">
        <f>624.3+(257.4-222.1)+(-1.273572+(-0.525096--0.453084))+0-160.3--0.327011999999993</f>
        <v>498.28142799999983</v>
      </c>
      <c r="T193" s="3">
        <f>709.2+(190.5-249.4)+(-1.80846+(-0.485775--0.63597))+0-164.2--0.418709999999976</f>
        <v>484.86044500000003</v>
      </c>
      <c r="U193" s="3">
        <f>723.4+(111.5-204.7)+(-1.475736+(-0.22746--0.417588))+0-148.9--0.303755999999994</f>
        <v>480.31814800000006</v>
      </c>
      <c r="V193" s="3">
        <f>720.5+(118.1-195)+(-1.46982+(-0.240924--0.3978))+0-154.5--0.315179999999993</f>
        <v>488.102236</v>
      </c>
      <c r="W193" s="3">
        <f>739.1+(144.2-222.8)+(-0.753882+(-0.147084--0.227256))+0-159.3--0.162486000000025</f>
        <v>500.68877599999996</v>
      </c>
      <c r="X193" s="3">
        <f>756.9+(115.9-173.3)+(0.772038+(0.118218-0.176766))+0-169.3-0.172686000000027</f>
        <v>530.74080399999991</v>
      </c>
      <c r="Y193" s="3">
        <f>761.5+(91.5-162.5)+(-1.165095+(-0.139995--0.248625))+0-171.9--0.26300700000001</f>
        <v>517.80654200000004</v>
      </c>
      <c r="Z193" s="3">
        <f>801.7+(83.4-211.1)+(-1.226601+(-0.127602--0.322983))+0-159.9--0.244647000000009</f>
        <v>513.31342700000005</v>
      </c>
      <c r="AA193" s="3">
        <f>811.4+(80.8-220.2)+(-1.241442+(-0.123624--0.336906))+0-158.4--0.242352000000009</f>
        <v>512.81419200000005</v>
      </c>
      <c r="AB193" s="3">
        <f>818.9+(84.1-235.7)+(-0.417639+(-0.042891--0.120207))+0-168.4--0.0858839999999829</f>
        <v>498.64556099999993</v>
      </c>
      <c r="AC193" s="3">
        <f>809.9+(87.5-257.2)+(-0.826098+(-0.08925--0.262344))+0-167--0.170340000000027</f>
        <v>472.71733600000005</v>
      </c>
      <c r="AD193">
        <v>499.8</v>
      </c>
      <c r="AE193" s="3">
        <f>761+(82-158)+(0+(0-0))+0-185.2-0</f>
        <v>499.8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704.1+(116.9-217.7)+(0.718182+(0.119238-0.222054))+0-143.3-0.146166000000023</f>
        <v>460.4692</v>
      </c>
      <c r="G194" s="3">
        <f>616.1+(135.5-171.4)+(0.314211+(0.069105-0.087414))+0-154.5-0.0787949999999843</f>
        <v>425.91710700000004</v>
      </c>
      <c r="H194" s="3">
        <f>545.6+(162.8-125)+(0.556512+(0.166056-0.1275))+0-154.9-0.157998000000025</f>
        <v>428.93707000000006</v>
      </c>
      <c r="I194" s="3">
        <f>435.3+(177.7-30.8)+(-0.222003+(-0.090627--0.015708))+0-163.1--0.0831809999999834</f>
        <v>418.886259</v>
      </c>
      <c r="J194" s="3">
        <f>427.6+(212.6-66)+(0.218076+(0.108426-0.03366))+0-159.2-0.0811919999999838</f>
        <v>415.21165000000002</v>
      </c>
      <c r="K194" s="3">
        <f>422.5+(296.3-166.1)+(-1.077375+(-0.755565--0.423555))+0-148.8--0.379439999999978</f>
        <v>402.87005499999998</v>
      </c>
      <c r="L194" s="3">
        <f>426.9+(315.8-213.8)+(0.435438+(0.322116-0.218076))+0-135.5-0.138210000000022</f>
        <v>393.80126799999999</v>
      </c>
      <c r="M194" s="3">
        <f>422.1+(331.7-199.5)+(0+(0-0))+0-152.1-0</f>
        <v>402.19999999999993</v>
      </c>
      <c r="N194" s="3">
        <f>420.5+(396.1-259.4)+(-0.643365+(-0.606033--0.396882))+0-154.4--0.236232000000009</f>
        <v>402.18371600000006</v>
      </c>
      <c r="O194" s="3">
        <f>413.7+(420.6-257.1)+(0.632961+(0.643518-0.393363))+0-159.3-0.243729000000009</f>
        <v>418.53938699999998</v>
      </c>
      <c r="P194" s="3">
        <f>407.7+(351.8-171.3)+(-0.415854+(-0.358836--0.174726))+0-165.7--0.169014000000026</f>
        <v>422.06905000000006</v>
      </c>
      <c r="Q194" s="3">
        <f>410.4+(256.2-79.5)+(0+(0-0))+0-157.9-0</f>
        <v>429.19999999999993</v>
      </c>
      <c r="R194" s="3">
        <f>407.3+(176.1-22.8)+(0+(0-0))+0-131.6-0</f>
        <v>429</v>
      </c>
      <c r="S194" s="3">
        <f>405.3+(212-48.8)+(-0.413406+(-0.21624--0.049776))+0-143.8--0.146676000000023</f>
        <v>424.26680599999997</v>
      </c>
      <c r="T194" s="3">
        <f>402.9+(213.3-55.9)+(-0.821916+(-0.435132--0.114036))+0-147.2--0.300287999999994</f>
        <v>412.25727599999993</v>
      </c>
      <c r="U194" s="3">
        <f>400.5+(178.9-19.9)+(-1.22553+(-0.547434--0.060894))+0-142.1--0.434826000000016</f>
        <v>416.12275599999998</v>
      </c>
      <c r="V194" s="3">
        <f>403.3+(278.9-134.3)+(-0.822732+(-0.568956--0.273972))+0-136.5--0.278459999999994</f>
        <v>410.560744</v>
      </c>
      <c r="W194" s="3">
        <f>409+(356.6-162.9)+(0.41718+(0.363732-0.166158))+0-158.7-0.161874000000025</f>
        <v>444.45287999999999</v>
      </c>
      <c r="X194" s="3">
        <f>413.5+(252.5-12.9)+(0.210885+(0.128775-0.006579))+0-178.2-0.0908819999999819</f>
        <v>475.14219900000006</v>
      </c>
      <c r="Y194" s="3">
        <f>414.9+(229.7-8.1)+(-0.423198+(-0.234294--0.008262))+0-168.4--0.171768000000027</f>
        <v>467.62253800000008</v>
      </c>
      <c r="Z194" s="3">
        <f>419+(195.3-13.4)+(-0.42738+(-0.199206--0.013668))+0-142.8--0.145656000000023</f>
        <v>457.63273799999996</v>
      </c>
      <c r="AA194" s="3">
        <f>421.4+(204-20.6)+(-0.214914+(-0.10404--0.010506))+0-155.3--0.0792029999999843</f>
        <v>449.27075499999995</v>
      </c>
      <c r="AB194" s="3">
        <f>421+(194.1-20)+(-0.64413+(-0.296973--0.0306))+0-158--0.241740000000009</f>
        <v>436.43123700000007</v>
      </c>
      <c r="AC194" s="3">
        <f>426.2+(191.3-36.4)+(-0.652086+(-0.292689--0.055692))+0-157.9--0.241587000000009</f>
        <v>422.552504</v>
      </c>
      <c r="AD194">
        <v>472.4</v>
      </c>
      <c r="AE194" s="3">
        <f>415+(210.6-9.6)+(0+(0-0))+0-143.6-0</f>
        <v>472.4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419.9+(179.1-26.2)+(-1.927341+(-0.822069--0.120258))+0-163.6--0.750924000000028</f>
        <v>407.32177200000001</v>
      </c>
      <c r="G195" s="3">
        <f>429.1+(161.1-39.6)+(-0.437682+(-0.164322--0.040392))+0-152.6--0.155652000000024</f>
        <v>397.59404000000006</v>
      </c>
      <c r="H195" s="3">
        <f>428+(175-41.9)+(-1.30968+(-0.5355--0.128214))+0-167.1--0.511326000000019</f>
        <v>392.79436000000004</v>
      </c>
      <c r="I195" s="3">
        <f>431+(207.2-91.6)+(-0.65943+(-0.317016--0.140148))+0-160.1--0.244953000000009</f>
        <v>385.90865499999995</v>
      </c>
      <c r="J195" s="3">
        <f>434.2+(250.2-131.9)+(0+(0-0))+0-156.4-0</f>
        <v>396.1</v>
      </c>
      <c r="K195" s="3">
        <f>432.8+(302.2-205.3)+(-0.662184+(-0.462366--0.314109))+0-143.3--0.219249000000008</f>
        <v>385.80880800000006</v>
      </c>
      <c r="L195" s="3">
        <f>437.3+(332.7-216.1)+(0.223023+(0.169677-0.110211))+0-140.1-0.0714509999999858</f>
        <v>414.01103800000004</v>
      </c>
      <c r="M195" s="3">
        <f>437.3+(316.1-149.7)+(0+(0-0))+0-143.7-0</f>
        <v>460.00000000000006</v>
      </c>
      <c r="N195" s="3">
        <f>432.5+(316.2-128.9)+(0.44115+(0.322524-0.131478))+0-138.7-0.141474000000022</f>
        <v>481.59072199999997</v>
      </c>
      <c r="O195" s="3">
        <f>425+(290.5-65.6)+(0.867+(0.59262-0.133824))+0-147.7-0.301307999999994</f>
        <v>503.22448799999995</v>
      </c>
      <c r="P195" s="3">
        <f>411.8+(281.2-12.2)+(0.420036+(0.286824-0.012444))+0-163.6-0.166872000000026</f>
        <v>517.72754399999997</v>
      </c>
      <c r="Q195" s="3">
        <f>404.4+(305.8-0)+(0.206244+(0.155958-0))+0-178.4-0.0909839999999819</f>
        <v>532.07121800000016</v>
      </c>
      <c r="R195" s="3">
        <f>397+(364.7-71.6)+(-0.20247+(-0.185997--0.036516))+0-153.3--0.0781829999999845</f>
        <v>536.52623200000005</v>
      </c>
      <c r="S195" s="3">
        <f>399+(399.7-120.9)+(0.81396+(0.815388-0.246636))+0-152.1-0.310283999999993</f>
        <v>526.77242799999988</v>
      </c>
      <c r="T195" s="3">
        <f>399.1+(384-118.3)+(-0.203541+(-0.19584--0.060333))+0-147.5--0.075224999999985</f>
        <v>517.03617699999984</v>
      </c>
      <c r="U195" s="3">
        <f>397+(342.2-73.5)+(-0.80988+(-0.698088--0.14994))+0-148.2--0.302327999999993</f>
        <v>516.44430000000011</v>
      </c>
      <c r="V195" s="3">
        <f>398.3+(264.8-3.6)+(-0.812532+(-0.540192--0.007344))+0-144.7--0.295187999999994</f>
        <v>513.74980799999992</v>
      </c>
      <c r="W195" s="3">
        <f>400.1+(307.4-15.8)+(-0.612153+(-0.470322--0.024174))+0-155.8--0.238374000000009</f>
        <v>535.08007300000008</v>
      </c>
      <c r="X195" s="3">
        <f>422.8+(307.7-6.9)+(0+(0-0))+0-159.6-0</f>
        <v>564</v>
      </c>
      <c r="Y195" s="3">
        <f>495.6+(290-64.1)+(-1.26378+(-0.7395--0.163455))+0-172.1--0.438854999999975</f>
        <v>547.99902999999995</v>
      </c>
      <c r="Z195" s="3">
        <f>470+(319.8-85.7)+(-0.4794+(-0.326196--0.087414))+0-169--0.172380000000027</f>
        <v>534.55419800000004</v>
      </c>
      <c r="AA195" s="3">
        <f>424.7+(344.9-86.6)+(-0.866388+(-0.703596--0.176664))+0-164.7--0.335987999999993</f>
        <v>517.24266800000009</v>
      </c>
      <c r="AB195" s="3">
        <f>441.7+(306.2-94.4)+(-0.450534+(-0.312324--0.096288))+0-155.3--0.158406000000025</f>
        <v>497.69183600000002</v>
      </c>
      <c r="AC195" s="3">
        <f>509.7+(243.3-97.3)+(-1.559682+(-0.744498--0.297738))+0-180.1--0.551106000000021</f>
        <v>474.14466400000003</v>
      </c>
      <c r="AD195">
        <v>571.6</v>
      </c>
      <c r="AE195" s="3">
        <f>455+(304.2-28.5)+(0+(0-0))+0-159.1-0</f>
        <v>571.6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565.5+(157-110.1)+(-1.442025+(-0.40035--0.280755))+0-148.8--0.379439999999978</f>
        <v>462.41782000000001</v>
      </c>
      <c r="G196" s="3">
        <f>581.3+(128.9-107.6)+(0+(0-0))+0-154.1-0</f>
        <v>448.49999999999989</v>
      </c>
      <c r="H196" s="3">
        <f>580.9+(138.3-115.6)+(-0.888777+(-0.211599--0.176868))+0-158--0.241740000000009</f>
        <v>444.91823200000005</v>
      </c>
      <c r="I196" s="3">
        <f>564.3+(157.9-111.7)+(-0.863379+(-0.241587--0.170901))+0-169.6--0.25948800000001</f>
        <v>440.22542299999998</v>
      </c>
      <c r="J196" s="3">
        <f>551.2+(170.7-118.2)+(-0.843336+(-0.261171--0.180846))+0-161.7--0.247401000000009</f>
        <v>441.32374000000004</v>
      </c>
      <c r="K196" s="3">
        <f>545.9+(268.5-213.3)+(-0.556818+(-0.27387--0.217566))+0-170.1--0.173502000000027</f>
        <v>430.56037999999995</v>
      </c>
      <c r="L196" s="3">
        <f>551+(317-270)+(0+(0-0))+0-149.6-0</f>
        <v>448.4</v>
      </c>
      <c r="M196" s="3">
        <f>552.3+(322.9-243)+(0.845019+(0.494037-0.37179))+0-149.6-0.228888000000009</f>
        <v>483.33837799999992</v>
      </c>
      <c r="N196" s="3">
        <f>544.3+(320.7-207.6)+(0.555186+(0.327114-0.211752))+0-140.9-0.143718000000022</f>
        <v>517.02683000000002</v>
      </c>
      <c r="O196" s="3">
        <f>531.3+(273.7-139.7)+(-0.541926+(-0.279174--0.142494))+0-137.6--0.140352000000022</f>
        <v>527.16174599999999</v>
      </c>
      <c r="P196" s="3">
        <f>525.7+(209-27.6)+(-0.268107+(-0.10659--0.014076))+0-162.1--0.0826709999999835</f>
        <v>544.72204999999997</v>
      </c>
      <c r="Q196" s="3">
        <f>521.5+(221.1-35.5)+(0.53193+(0.225522-0.03621))+0-145.7-0.148614000000023</f>
        <v>561.97262799999987</v>
      </c>
      <c r="R196" s="3">
        <f>516.2+(267-89.3)+(-0.263262+(-0.13617--0.045543))+0-137.8--0.070277999999986</f>
        <v>555.81638900000019</v>
      </c>
      <c r="S196" s="3">
        <f>505.9+(298.2-132)+(0+(0-0))+0-138.8-0</f>
        <v>533.29999999999995</v>
      </c>
      <c r="T196" s="3">
        <f>524.1+(271.3-143.5)+(-1.336455+(-0.691815--0.365925))+0-130.8--0.333539999999981</f>
        <v>519.77119500000015</v>
      </c>
      <c r="U196" s="3">
        <f>530.4+(249.2-98.1)+(-1.082016+(-0.508368--0.200124))+0-154.4--0.314975999999993</f>
        <v>526.02471600000001</v>
      </c>
      <c r="V196" s="3">
        <f>535.7+(168.1-33.4)+(-1.366035+(-0.428655--0.08517))+0-150.1--0.382754999999978</f>
        <v>518.97323500000005</v>
      </c>
      <c r="W196" s="3">
        <f>541.1+(222.1-93.2)+(-0.551922+(-0.226542--0.095064))+0-144.9--0.147798000000023</f>
        <v>524.56439799999998</v>
      </c>
      <c r="X196" s="3">
        <f>543.6+(217.8-28.5)+(-0.831708+(-0.333234--0.043605))+0-170--0.26010000000001</f>
        <v>562.03876300000002</v>
      </c>
      <c r="Y196" s="3">
        <f>560.5+(217.6-68.4)+(-0.857565+(-0.332928--0.104652))+0-159.2--0.243576000000009</f>
        <v>549.65773500000012</v>
      </c>
      <c r="Z196" s="3">
        <f>569+(210.6-73.6)+(-1.16076+(-0.429624--0.150144))+0-164.9--0.336395999999993</f>
        <v>539.99615600000004</v>
      </c>
      <c r="AA196" s="3">
        <f>572.7+(201.9-88.3)+(-0.876231+(-0.308907--0.135099))+0-157.2--0.240516000000009</f>
        <v>528.29047700000012</v>
      </c>
      <c r="AB196" s="3">
        <f>576.7+(194.5-91.6)+(-0.588234+(-0.19839--0.093432))+0-169.5--0.172890000000027</f>
        <v>509.57969800000012</v>
      </c>
      <c r="AC196" s="3">
        <f>581.2+(152.1-107.7)+(-1.48206+(-0.387855--0.274635))+0-143.6--0.366179999999979</f>
        <v>480.77089999999998</v>
      </c>
      <c r="AD196">
        <v>554.6</v>
      </c>
      <c r="AE196" s="3">
        <f>564+(221.6-66.5)+(0+(0-0))+0-164.5-0</f>
        <v>554.6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595.1+(153-118.5)+(0.303501+(0.07803-0.060435))+0-167.5-0.085424999999983</f>
        <v>462.33567100000005</v>
      </c>
      <c r="G197" s="3">
        <f>593.5+(159.2-137.3)+(-1.513425+(-0.40596--0.350115))+0-165.7--0.422534999999976</f>
        <v>448.55326500000001</v>
      </c>
      <c r="H197" s="3">
        <f>606.2+(170.6-174.7)+(-0.309162+(-0.087006--0.089097))+0-162.2--0.0827219999999835</f>
        <v>439.67565100000007</v>
      </c>
      <c r="I197" s="3">
        <f>610.2+(181.2-187.7)+(-0.311202+(-0.092412--0.095727))+0-167.7--0.085526999999983</f>
        <v>435.77763999999996</v>
      </c>
      <c r="J197" s="3">
        <f>607+(192.8-203.9)+(-1.54785+(-0.49164--0.519945))+0-159.5--0.406724999999977</f>
        <v>435.28717999999998</v>
      </c>
      <c r="K197" s="3">
        <f>597.8+(238.8-239.7)+(-1.219512+(-0.487152--0.488988))+0-160.3--0.327011999999993</f>
        <v>435.70933599999995</v>
      </c>
      <c r="L197" s="3">
        <f>559.2+(341.7-311.5)+(-0.285192+(-0.174267--0.158865))+0-142.9--0.0728789999999855</f>
        <v>446.27228500000007</v>
      </c>
      <c r="M197" s="3">
        <f>555.4+(353.6-265)+(0.283254+(0.180336-0.13515))+0-155.4-0.0792539999999842</f>
        <v>488.84918600000003</v>
      </c>
      <c r="N197" s="3">
        <f>550.4+(351.8-242.8)+(0.561408+(0.358836-0.247656))+0-148.7-0.151674000000024</f>
        <v>511.22091399999999</v>
      </c>
      <c r="O197" s="3">
        <f>547+(326.3-206.8)+(0.55794+(0.332826-0.210936))+0-140.6-0.143412000000022</f>
        <v>526.436418</v>
      </c>
      <c r="P197" s="3">
        <f>562.5+(276-155.9)+(-0.286875+(-0.14076--0.079509))+0-134.8--0.0687479999999863</f>
        <v>547.52062200000012</v>
      </c>
      <c r="Q197" s="3">
        <f>595.4+(205.2-97.9)+(-0.910962+(-0.313956--0.149787))+0-141.5--0.216495000000008</f>
        <v>560.34136399999988</v>
      </c>
      <c r="R197" s="3">
        <f>590.6+(178-82.8)+(-1.204824+(-0.36312--0.168912))+0-134.6--0.274583999999994</f>
        <v>550.07555200000002</v>
      </c>
      <c r="S197" s="3">
        <f>586.4+(205.4-115.2)+(-0.598128+(-0.209508--0.117504))+0-143.1--0.145962000000023</f>
        <v>532.95583000000011</v>
      </c>
      <c r="T197" s="3">
        <f>581.6+(205.2-136.3)+(-1.186464+(-0.418608--0.278052))+0-141.2--0.288047999999994</f>
        <v>508.26102800000007</v>
      </c>
      <c r="U197" s="3">
        <f>578.4+(171.7-85.8)+(-1.47492+(-0.437835--0.21879))+0-145.5--0.371024999999979</f>
        <v>517.47705999999994</v>
      </c>
      <c r="V197" s="3">
        <f>578.6+(284.3-185.4)+(-1.180344+(-0.579972--0.378216))+0-152.6--0.311303999999993</f>
        <v>523.82920399999989</v>
      </c>
      <c r="W197" s="3">
        <f>581.8+(372.5-256.5)+(0.593436+(0.37995-0.26163))+0-165.7-0.169014000000026</f>
        <v>532.642742</v>
      </c>
      <c r="X197" s="3">
        <f>588.9+(243.4-118.5)+(-0.901017+(-0.372402--0.181305))+0-140.3--0.214659000000008</f>
        <v>572.62254499999995</v>
      </c>
      <c r="Y197" s="3">
        <f>599.6+(197.5-88.8)+(-0.611592+(-0.20145--0.090576))+0-145.7--0.148614000000023</f>
        <v>562.02614800000003</v>
      </c>
      <c r="Z197" s="3">
        <f>599.7+(182.7-88.5)+(-0.305847+(-0.093177--0.045135))+0-148.3--0.075632999999985</f>
        <v>545.32174400000019</v>
      </c>
      <c r="AA197" s="3">
        <f>602.9+(180.9-105.8)+(0.307479+(0.092259-0.053958))+0-151.5-0.0772649999999846</f>
        <v>526.76851499999998</v>
      </c>
      <c r="AB197" s="3">
        <f>594.3+(184-129.3)+(-0.909279+(-0.28152--0.197829))+0-149.3--0.228429000000009</f>
        <v>498.93545899999998</v>
      </c>
      <c r="AC197" s="3">
        <f>596.7+(175.1-144.1)+(-0.912951+(-0.267903--0.220473))+0-156.6--0.239598000000009</f>
        <v>470.37921700000004</v>
      </c>
      <c r="AD197">
        <v>585.90000000000009</v>
      </c>
      <c r="AE197" s="3">
        <f>590+(233.2-104)+(0+(0-0))+0-133.3-0</f>
        <v>585.90000000000009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563+(200.2-163.5)+(-1.14852+(-0.408408--0.33354))+0-144.6--0.294983999999994</f>
        <v>454.17159600000002</v>
      </c>
      <c r="G198" s="3">
        <f>479.7+(209.1-102.2)+(-0.489294+(-0.213282--0.104244))+0-151--0.154020000000024</f>
        <v>435.155688</v>
      </c>
      <c r="H198" s="3">
        <f>479.8+(208.2-104)+(-0.244698+(-0.106182--0.05304))+0-161.2--0.0822119999999836</f>
        <v>422.58437200000003</v>
      </c>
      <c r="I198" s="3">
        <f>487.1+(249.6-138.4)+(-0.496842+(-0.254592--0.141168))+0-161.3--0.164526000000026</f>
        <v>436.55425999999994</v>
      </c>
      <c r="J198" s="3">
        <f>512.7+(278-216.5)+(0+(0-0))+0-151.1-0</f>
        <v>423.1</v>
      </c>
      <c r="K198" s="3">
        <f>600.6+(340.1-372.8)+(-1.225224+(-0.693804--0.760512))+0-144.1--0.293963999999994</f>
        <v>422.93544800000012</v>
      </c>
      <c r="L198" s="3">
        <f>607.8+(434.4-448.7)+(-0.309978+(-0.221544--0.228837))+0-152.2--0.0776219999999846</f>
        <v>441.07493699999998</v>
      </c>
      <c r="M198" s="3">
        <f>606.8+(441.4-416.5)+(0+(0-0))+0-156.9-0</f>
        <v>474.79999999999995</v>
      </c>
      <c r="N198" s="3">
        <f>603.2+(413.6-331.5)+(0.307632+(0.210936-0.169065))+0-173.9-0.0886889999999824</f>
        <v>511.66081400000013</v>
      </c>
      <c r="O198" s="3">
        <f>598+(376.1-308.7)+(0+(0-0))+0-156.6-0</f>
        <v>508.80000000000007</v>
      </c>
      <c r="P198" s="3">
        <f>594.7+(332.7-249.2)+(-0.606594+(-0.339354--0.254184))+0-147.2--0.150144000000023</f>
        <v>530.45838000000015</v>
      </c>
      <c r="Q198" s="3">
        <f>593.7+(236.5-144.1)+(-0.302787+(-0.120615--0.073491))+0-153.9--0.0784889999999844</f>
        <v>531.92857800000002</v>
      </c>
      <c r="R198" s="3">
        <f>589+(198.9-103.5)+(-0.90117+(-0.304317--0.158355))+0-146--0.223380000000008</f>
        <v>537.57624799999996</v>
      </c>
      <c r="S198" s="3">
        <f>571.4+(215.8-151.7)+(-0.582828+(-0.220116--0.154734))+0-118.4--0.120768000000019</f>
        <v>516.57255800000007</v>
      </c>
      <c r="T198" s="3">
        <f>512.4+(269.4-148.3)+(-0.522648+(-0.274788--0.151266))+0-135.3--0.138006000000022</f>
        <v>497.69183600000002</v>
      </c>
      <c r="U198" s="3">
        <f>470.9+(266.9-88.9)+(0+(0-0))+0-146.8-0</f>
        <v>502.09999999999997</v>
      </c>
      <c r="V198" s="3">
        <f>477.4+(244.2-76.7)+(-0.486948+(-0.249084--0.078234))+0-150.4--0.153408000000024</f>
        <v>493.99561000000006</v>
      </c>
      <c r="W198" s="3">
        <f>581+(313.7-205.8)+(-0.88893+(-0.479961--0.314874))+0-168.4--0.25765200000001</f>
        <v>519.70363499999996</v>
      </c>
      <c r="X198" s="3">
        <f>579.1+(248.6-127.1)+(-0.886023+(-0.380358--0.194463))+0-153--0.234090000000009</f>
        <v>546.76217200000008</v>
      </c>
      <c r="Y198" s="3">
        <f>580.5+(201.1-108.5)+(-1.480275+(-0.512805--0.276675))+0-139.4--0.35546999999998</f>
        <v>532.33906500000001</v>
      </c>
      <c r="Z198" s="3">
        <f>587.8+(196.7-97.6)+(0+(0-0))+0-164.1-0</f>
        <v>522.79999999999995</v>
      </c>
      <c r="AA198" s="3">
        <f>525.3+(217.7-68.2)+(-0.535806+(-0.222054--0.069564))+0-168.3--0.171666000000027</f>
        <v>505.98336999999992</v>
      </c>
      <c r="AB198" s="3">
        <f>476.8+(225.8-70.1)+(-1.21584+(-0.57579--0.178755))+0-150.7--0.384284999999978</f>
        <v>480.57140999999996</v>
      </c>
      <c r="AC198" s="3">
        <f>484.9+(198.2-88.9)+(0+(0-0))+0-137.2-0</f>
        <v>456.99999999999994</v>
      </c>
      <c r="AD198">
        <v>540.20000000000005</v>
      </c>
      <c r="AE198" s="3">
        <f>581+(233.4-131.5)+(0+(0-0))+0-142.7-0</f>
        <v>540.20000000000005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484.8+(189.2-78.2)+(-0.247248+(-0.096492--0.039882))+0-159.8--0.0814979999999838</f>
        <v>435.77763999999996</v>
      </c>
      <c r="G199" s="3">
        <f>485.9+(190.6-103.3)+(-0.247809+(-0.097206--0.052683))+0-145.5--0.0742049999999852</f>
        <v>427.48187299999995</v>
      </c>
      <c r="H199" s="3">
        <f>490.4+(214.6-136.8)+(0.500208+(0.218892-0.139536))+0-150.3-0.153306000000024</f>
        <v>418.32625799999988</v>
      </c>
      <c r="I199" s="3">
        <f>488.9+(237.1-161.2)+(-0.249339+(-0.120921--0.082212))+0-148.7--0.0758369999999849</f>
        <v>415.88778899999994</v>
      </c>
      <c r="J199" s="3">
        <f>487.8+(254.6-185.6)+(-0.746334+(-0.389538--0.283968))+0-136.6--0.208998000000008</f>
        <v>419.55709399999995</v>
      </c>
      <c r="K199" s="3">
        <f>489.2+(339.5-267.4)+(-0.748476+(-0.519435--0.409122))+0-146.4--0.223992000000008</f>
        <v>414.26520299999999</v>
      </c>
      <c r="L199" s="3">
        <f>456.4+(386.6-285.1)+(0+(0-0))+0-131.3-0</f>
        <v>426.59999999999997</v>
      </c>
      <c r="M199" s="3">
        <f>438+(373.7-209.4)+(0+(0-0))+0-144-0</f>
        <v>458.29999999999995</v>
      </c>
      <c r="N199" s="3">
        <f>525.9+(320.4-216.7)+(0.268209+(0.163404-0.110517))+0-147.5-0.075224999999985</f>
        <v>482.34587099999993</v>
      </c>
      <c r="O199" s="3">
        <f>564.3+(338.6-260.1)+(-0.863379+(-0.518058--0.397953))+0-158.5--0.242505000000009</f>
        <v>483.55902099999997</v>
      </c>
      <c r="P199" s="3">
        <f>598.5+(307.1-253.3)+(-0.305235+(-0.156621--0.129183))+0-151--0.0770099999999847</f>
        <v>501.04433699999993</v>
      </c>
      <c r="Q199" s="3">
        <f>592.7+(216.4-141.1)+(-0.604554+(-0.220728--0.143922))+0-160.3--0.163506000000026</f>
        <v>507.18214599999999</v>
      </c>
      <c r="R199" s="3">
        <f>583.1+(173.8-93.7)+(-2.081667+(-0.620466--0.334509))+0-146.7--0.523719000000002</f>
        <v>514.65609500000005</v>
      </c>
      <c r="S199" s="3">
        <f>585.5+(200.9-103.4)+(-0.59721+(-0.204918--0.105468))+0-149.6--0.152592000000024</f>
        <v>532.85593200000005</v>
      </c>
      <c r="T199" s="3">
        <f>576+(200.3-132.7)+(-1.17504+(-0.408612--0.270708))+0-163--0.332519999999993</f>
        <v>479.619576</v>
      </c>
      <c r="U199" s="3">
        <f>427.3+(259.8-59.9)+(-0.217923+(-0.132498--0.030549))+0-156.7--0.0799169999999841</f>
        <v>470.26004499999999</v>
      </c>
      <c r="V199" s="3">
        <f>373.6+(329.7-82.7)+(-0.571608+(-0.504441--0.126531))+0-146.6--0.224298000000008</f>
        <v>473.27478000000002</v>
      </c>
      <c r="W199" s="3">
        <f>379.8+(411.5-126.8)+(0.193698+(0.209865-0.064668))+0-168-0.085679999999983</f>
        <v>496.75321500000001</v>
      </c>
      <c r="X199" s="3">
        <f>434.5+(327.1-72.8)+(-0.44319+(-0.333642--0.074256))+0-162.6--0.165852000000026</f>
        <v>525.66327599999988</v>
      </c>
      <c r="Y199" s="3">
        <f>434.8+(289.2-69.7)+(-0.665244+(-0.442476--0.106641))+0-141.2--0.216036000000008</f>
        <v>512.31495700000005</v>
      </c>
      <c r="Z199" s="3">
        <f>436.6+(284.7-61.5)+(-0.222666+(-0.145197--0.031365))+0-165.6--0.0844559999999832</f>
        <v>493.94795799999991</v>
      </c>
      <c r="AA199" s="3">
        <f>432.7+(265.3-61.6)+(-0.662031+(-0.405909--0.094248))+0-151.7--0.232101000000009</f>
        <v>483.95840899999996</v>
      </c>
      <c r="AB199" s="3">
        <f>434.2+(257-81.6)+(-0.885768+(-0.52428--0.166464))+0-144.4--0.294575999999994</f>
        <v>464.250992</v>
      </c>
      <c r="AC199" s="3">
        <f>436.2+(222.5-79.4)+(-0.444924+(-0.22695--0.080988))+0-147.5--0.150450000000024</f>
        <v>431.35956400000003</v>
      </c>
      <c r="AD199">
        <v>535.1</v>
      </c>
      <c r="AE199" s="3">
        <f>442+(329.1-72.9)+(0+(0-0))+0-163.1-0</f>
        <v>535.1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435.1+(215.6-73.5)+(-0.887604+(-0.439824--0.14994))+0-156.1--0.318443999999993</f>
        <v>420.24095599999998</v>
      </c>
      <c r="G200" s="3">
        <f>435+(227.6-111.1)+(-1.10925+(-0.58038--0.283305))+0-145.3--0.370514999999979</f>
        <v>405.16418999999991</v>
      </c>
      <c r="H200" s="3">
        <f>345.7+(279.5-84.3)+(-0.881535+(-0.712725--0.214965))+0-140.3--0.35776499999998</f>
        <v>399.57846999999998</v>
      </c>
      <c r="I200" s="3">
        <f>318.3+(295.6-79.8)+(-0.649332+(-0.603024--0.162792))+0-140.3--0.286211999999994</f>
        <v>392.99664799999999</v>
      </c>
      <c r="J200" s="3">
        <f>327.4+(309.8-99.4)+(0.500922+(0.473994-0.152082))+0-143.1-0.218943000000008</f>
        <v>395.30389099999985</v>
      </c>
      <c r="K200" s="3">
        <f>316.4+(371.7-138.2)+(-0.80682+(-0.947835--0.35241))+0-157.6--0.401879999999977</f>
        <v>391.29963499999991</v>
      </c>
      <c r="L200" s="3">
        <f>348.6+(443.9-252.4)+(-0.177786+(-0.226389--0.128724))+0-148--0.075479999999985</f>
        <v>391.90002900000002</v>
      </c>
      <c r="M200" s="3">
        <f>370.3+(419.9-215.2)+(0.188853+(0.214149-0.109752))+0-149.6-0.0762959999999848</f>
        <v>425.61695399999996</v>
      </c>
      <c r="N200" s="3">
        <f>416.6+(411.1-229.5)+(0.212466+(0.209661-0.117045))+0-144.3-0.0735929999999854</f>
        <v>454.13148900000004</v>
      </c>
      <c r="O200" s="3">
        <f>439.1+(405.3-235.1)+(0+(0-0))+0-149.2-0</f>
        <v>460.10000000000008</v>
      </c>
      <c r="P200" s="3">
        <f>437.7+(385-198.2)+(0+(0-0))+0-150.8-0</f>
        <v>473.7</v>
      </c>
      <c r="Q200" s="3">
        <f>432.5+(321.6-118.9)+(-0.661725+(-0.492048--0.181917))+0-153.9--0.235467000000009</f>
        <v>480.56361100000009</v>
      </c>
      <c r="R200" s="3">
        <f>434.8+(247.1-68.1)+(-0.221748+(-0.126021--0.034731))+0-140.2--0.0715019999999858</f>
        <v>473.35846399999997</v>
      </c>
      <c r="S200" s="3">
        <f>438.1+(231-58.4)+(0.446862+(0.23562-0.059568))+0-162.3-0.165546000000026</f>
        <v>448.85736800000006</v>
      </c>
      <c r="T200" s="3">
        <f>434.8+(206.3-63)+(-0.443496+(-0.210426--0.06426))+0-153.7--0.156774000000025</f>
        <v>423.9671120000001</v>
      </c>
      <c r="U200" s="3">
        <f>431.9+(235.9-88.5)+(-1.101345+(-0.601545--0.225675))+0-156.9--0.400094999999977</f>
        <v>421.32287999999994</v>
      </c>
      <c r="V200" s="3">
        <f>432.2+(358.2-222)+(-1.10211+(-0.91341--0.5661))+0-142.9--0.364394999999979</f>
        <v>424.41497499999997</v>
      </c>
      <c r="W200" s="3">
        <f>437.8+(414.2-244.9)+(-0.223278+(-0.211242--0.124899))+0-161.5--0.0823649999999836</f>
        <v>445.37274400000001</v>
      </c>
      <c r="X200" s="3">
        <f>437.6+(315.5-122.2)+(-0.223176+(-0.160905--0.062322))+0-155.5--0.0793049999999842</f>
        <v>475.15754600000002</v>
      </c>
      <c r="Y200" s="3">
        <f>434.8+(276-86)+(-1.552236+(-0.98532--0.30702))+0-158.5--0.565845000000002</f>
        <v>464.63530899999995</v>
      </c>
      <c r="Z200" s="3">
        <f>445.2+(252.9-67.4)+(-0.908208+(-0.515916--0.137496))+0-166.4--0.339455999999993</f>
        <v>463.3528280000001</v>
      </c>
      <c r="AA200" s="3">
        <f>444.1+(248-62.6)+(-1.132455+(-0.6324--0.15963))+0-171--0.436049999999975</f>
        <v>457.33082499999995</v>
      </c>
      <c r="AB200" s="3">
        <f>446.8+(237.6-83.7)+(-0.683604+(-0.363528--0.128061))+0-162.9--0.249237000000009</f>
        <v>437.13016600000003</v>
      </c>
      <c r="AC200" s="3">
        <f>449.7+(211-69.8)+(-0.688041+(-0.32283--0.106794))+0-165.5--0.25321500000001</f>
        <v>424.74913799999996</v>
      </c>
      <c r="AD200">
        <v>474.6</v>
      </c>
      <c r="AE200" s="3">
        <f>439+(307.1-113.5)+(0+(0-0))+0-158-0</f>
        <v>474.6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460.3+(172.2-68.1)+(0.469506+(0.175644-0.069462))+0-157.8-0.160956000000025</f>
        <v>407.01473199999998</v>
      </c>
      <c r="G201" s="3">
        <f>460.5+(173.9-80.5)+(0+(0-0))+0-162.7-0</f>
        <v>391.2</v>
      </c>
      <c r="H201" s="3">
        <f>429.1+(205.5-95.7)+(-0.437682+(-0.20961--0.097614))+0-155.5--0.158610000000025</f>
        <v>383.00893200000002</v>
      </c>
      <c r="I201" s="3">
        <f>377.9+(240.8-74.7)+(0.192729+(0.122808-0.038097))+0-168.1-0.0857309999999829</f>
        <v>376.09170899999992</v>
      </c>
      <c r="J201" s="3">
        <f>374+(278.9-137.2)+(0.19074+(0.142239-0.069972))+0-136-0.0693599999999862</f>
        <v>379.8936470000001</v>
      </c>
      <c r="K201" s="3">
        <f>373.3+(359.5-221.2)+(-0.190383+(-0.183345--0.112812))+0-149.6--0.0762959999999848</f>
        <v>361.81538</v>
      </c>
      <c r="L201" s="3">
        <f>354.1+(372.5-239.3)+(0+(0-0))+0-142.2-0</f>
        <v>345.1</v>
      </c>
      <c r="M201" s="3">
        <f>362.3+(332.3-213.4)+(0+(0-0))+0-134.1-0</f>
        <v>347.1</v>
      </c>
      <c r="N201" s="3">
        <f>374.1+(351.3-225.7)+(-1.144746+(-1.074978--0.690642))+0-151--0.462060000000017</f>
        <v>347.63297800000004</v>
      </c>
      <c r="O201" s="3">
        <f>409.7+(324.7-208.9)+(-0.208947+(-0.165597--0.106539))+0-161.7--0.0824669999999836</f>
        <v>363.614462</v>
      </c>
      <c r="P201" s="3">
        <f>408.5+(325.1-190)+(-0.41667+(-0.331602--0.1938))+0-163.9--0.167178000000026</f>
        <v>379.31270600000005</v>
      </c>
      <c r="Q201" s="3">
        <f>416.8+(254.5-128.7)+(-0.425136+(-0.25959--0.131274))+0-154.9--0.157998000000025</f>
        <v>387.30454600000007</v>
      </c>
      <c r="R201" s="3">
        <f>413.6+(225.5-83.3)+(-0.843744+(-0.46002--0.169932))+0-163.9--0.334355999999993</f>
        <v>391.10052400000001</v>
      </c>
      <c r="S201" s="3">
        <f>426+(165.3-67.4)+(-0.43452+(-0.168606--0.068748))+0-140.7--0.143514000000022</f>
        <v>382.80913600000008</v>
      </c>
      <c r="T201" s="3">
        <f>467.1+(164.5-104.8)+(-0.476442+(-0.16779--0.106896))+0-142.5--0.145350000000023</f>
        <v>383.90801400000009</v>
      </c>
      <c r="U201" s="3">
        <f>471.7+(167.6-90.5)+(-1.443402+(-0.512856--0.27693))+0-169.4--0.51836400000002</f>
        <v>378.23903599999994</v>
      </c>
      <c r="V201" s="3">
        <f>403.7+(251.6-100.2)+(-0.823548+(-0.513264--0.204408))+0-170.9--0.348635999999993</f>
        <v>383.41623199999998</v>
      </c>
      <c r="W201" s="3">
        <f>371+(313.9-88.9)+(-0.56763+(-0.480267--0.136017))+0-187--0.286110000000011</f>
        <v>408.37423000000001</v>
      </c>
      <c r="X201" s="3">
        <f>379+(305.3-56.6)+(-1.15974+(-0.934218--0.173196))+0-182.6--0.558756000000021</f>
        <v>443.73799400000007</v>
      </c>
      <c r="Y201" s="3">
        <f>383.5+(288.2-54.2)+(-0.977925+(-0.73491--0.13821))+0-180.3--0.459764999999974</f>
        <v>436.08513999999997</v>
      </c>
      <c r="Z201" s="3">
        <f>384.9+(287.8-52)+(-0.785196+(-0.587112--0.10608))+0-183.2--0.373727999999992</f>
        <v>436.60750000000007</v>
      </c>
      <c r="AA201" s="3">
        <f>386.6+(269-47.7)+(-0.788664+(-0.54876--0.097308))+0-185.8--0.379031999999992</f>
        <v>421.23891600000013</v>
      </c>
      <c r="AB201" s="3">
        <f>394.9+(255-63.2)+(0+(0-0))+0-174.2-0</f>
        <v>412.50000000000006</v>
      </c>
      <c r="AC201" s="3">
        <f>436+(223-81.6)+(-1.1118+(-0.56865--0.20808))+0-177--0.451349999999974</f>
        <v>399.37898000000001</v>
      </c>
      <c r="AD201">
        <v>404.10000000000008</v>
      </c>
      <c r="AE201" s="3">
        <f>384+(290.7-58.8)+(0+(0-0))+0-211.8-0</f>
        <v>404.09999999999997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452.8+(175.3-99.2)+(-0.923712+(-0.357612--0.202368))+0-148.4--0.302735999999994</f>
        <v>379.72378000000003</v>
      </c>
      <c r="G202" s="3">
        <f>478.2+(167.2-127.7)+(-0.975528+(-0.341088--0.260508))+0-146--0.297839999999994</f>
        <v>370.94173199999994</v>
      </c>
      <c r="H202" s="3">
        <f>487.9+(182.7-140.4)+(-0.248829+(-0.093177--0.071604))+0-164.4--0.0838439999999833</f>
        <v>365.61344199999996</v>
      </c>
      <c r="I202" s="3">
        <f>448.7+(244.2-169.6)+(-0.457674+(-0.249084--0.172992))+0-160.6--0.163812000000026</f>
        <v>362.33004599999992</v>
      </c>
      <c r="J202" s="3">
        <f>448.6+(285.3-188.6)+(0+(0-0))+0-180.4-0</f>
        <v>364.90000000000009</v>
      </c>
      <c r="K202" s="3">
        <f>449.2+(379.4-297)+(0.229092+(0.193494-0.15147))+0-164.5-0.0838949999999833</f>
        <v>367.28722099999993</v>
      </c>
      <c r="L202" s="3">
        <f>449.1+(465.5-358.5)+(0.229041+(0.237405-0.182835))+0-166.7-0.0850169999999831</f>
        <v>389.59859399999999</v>
      </c>
      <c r="M202" s="3">
        <f>462.7+(442.4-303.8)+(-0.235977+(-0.225624--0.154938))+0-167.9--0.085628999999983</f>
        <v>433.178966</v>
      </c>
      <c r="N202" s="3">
        <f>497.1+(364.4-242.6)+(-0.253521+(-0.185844--0.123726))+0-158.1--0.080630999999984</f>
        <v>460.5649919999999</v>
      </c>
      <c r="O202" s="3">
        <f>535.9+(314.5-230)+(-0.546618+(-0.32079--0.2346))+0-153.4--0.156468000000024</f>
        <v>466.52366000000006</v>
      </c>
      <c r="P202" s="3">
        <f>571.4+(282.6-218.3)+(0+(0-0))+0-149.4-0</f>
        <v>486.30000000000007</v>
      </c>
      <c r="Q202" s="3">
        <f>584.9+(209.7-165.4)+(-0.894897+(-0.320841--0.253062))+0-127.1--0.194463000000007</f>
        <v>501.33178699999991</v>
      </c>
      <c r="R202" s="3">
        <f>580.2+(157.3-106.2)+(-1.47951+(-0.401115--0.27081))+0-122.7--0.312884999999982</f>
        <v>507.30307000000005</v>
      </c>
      <c r="S202" s="3">
        <f>583.7+(176.4-149.3)+(-0.893061+(-0.269892--0.228429))+0-116.1--0.177633000000007</f>
        <v>493.94310900000005</v>
      </c>
      <c r="T202" s="3">
        <f>587.1+(144.6-162.4)+(0+(0-0))+0-79.4-0</f>
        <v>489.9</v>
      </c>
      <c r="U202" s="3">
        <f>583.8+(138.9-127.5)+(-0.595476+(-0.141678--0.13005))+0-103.5--0.105570000000016</f>
        <v>491.19846599999988</v>
      </c>
      <c r="V202" s="3">
        <f>580.4+(244.5-225)+(-0.888012+(-0.374085--0.34425))+0-128.9--0.197217000000007</f>
        <v>470.27936999999997</v>
      </c>
      <c r="W202" s="3">
        <f>581.7+(309.5-253.3)+(-0.296667+(-0.157845--0.129183))+0-145.8--0.0743579999999852</f>
        <v>491.84902900000003</v>
      </c>
      <c r="X202" s="3">
        <f>579.9+(202.3-100.6)+(-1.478745+(-0.515865--0.25653))+0-166.5--0.424574999999976</f>
        <v>513.78649500000006</v>
      </c>
      <c r="Y202" s="3">
        <f>584.8+(177.9-83.3)+(-1.192992+(-0.362916--0.169932))+0-162.6--0.331703999999993</f>
        <v>515.74572799999987</v>
      </c>
      <c r="Z202" s="3">
        <f>587.8+(194.3-114.5)+(-0.299778+(-0.099093--0.058395))+0-169.7--0.0865469999999828</f>
        <v>497.64607099999995</v>
      </c>
      <c r="AA202" s="3">
        <f>534.5+(226.5-119.5)+(-1.362975+(-0.577575--0.304725))+0-155--0.395249999999978</f>
        <v>485.25942500000002</v>
      </c>
      <c r="AB202" s="3">
        <f>466.3+(251-124.2)+(-0.951252+(-0.51204--0.253368))+0-135.7--0.276827999999994</f>
        <v>456.466904</v>
      </c>
      <c r="AC202" s="3">
        <f>466.3+(223.9-116.8)+(-1.189065+(-0.570945--0.29784))+0-148.6--0.378929999999978</f>
        <v>423.71675999999991</v>
      </c>
      <c r="AD202">
        <v>526.79999999999995</v>
      </c>
      <c r="AE202" s="3">
        <f>588+(212-80.7)+(0+(0-0))+0-192.5-0</f>
        <v>526.79999999999995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470.6+(172.8-101.6)+(-0.240006+(-0.088128--0.051816))+0-140.7--0.0717569999999857</f>
        <v>400.89543900000012</v>
      </c>
      <c r="G203" s="3">
        <f>468.7+(178.7-86.1)+(-1.195185+(-0.455685--0.219555))+0-148.9--0.379694999999978</f>
        <v>411.34837999999991</v>
      </c>
      <c r="H203" s="3">
        <f>384.5+(242.7-65.7)+(-0.196095+(-0.123777--0.033507))+0-160.5--0.0818549999999837</f>
        <v>400.79548999999992</v>
      </c>
      <c r="I203" s="3">
        <f>374.8+(242.8-53.6)+(-0.191148+(-0.123828--0.027336))+0-169.7--0.0865469999999828</f>
        <v>394.098907</v>
      </c>
      <c r="J203" s="3">
        <f>374.9+(242.8-64.9)+(-0.382398+(-0.247656--0.066198))+0-159.9--0.163098000000026</f>
        <v>392.49924200000004</v>
      </c>
      <c r="K203" s="3">
        <f>374.4+(344.1-165.5)+(-0.572832+(-0.526473--0.253215))+0-160.8--0.246024000000009</f>
        <v>391.59993400000002</v>
      </c>
      <c r="L203" s="3">
        <f>375.3+(426.2-239.4)+(-0.191403+(-0.217362--0.122094))+0-147.8--0.075377999999985</f>
        <v>414.08870700000006</v>
      </c>
      <c r="M203" s="3">
        <f>375.4+(393.7-189.3)+(-0.191454+(-0.200787--0.096543))+0-134.7--0.0686969999999863</f>
        <v>444.87299899999994</v>
      </c>
      <c r="N203" s="3">
        <f>378+(395-151.3)+(0.38556+(0.4029-0.154326))+0-159.3-0.162486000000025</f>
        <v>462.87164800000005</v>
      </c>
      <c r="O203" s="3">
        <f>395.6+(392.6-151.4)+(-0.403512+(-0.400452--0.154428))+0-169.8--0.173196000000027</f>
        <v>466.52366000000006</v>
      </c>
      <c r="P203" s="3">
        <f>528.6+(282.8-145.3)+(-0.269586+(-0.144228--0.074103))+0-171.8--0.0876179999999826</f>
        <v>494.04790700000001</v>
      </c>
      <c r="Q203" s="3">
        <f>482.2+(243-68.3)+(-0.491844+(-0.24786--0.069666))+0-162.5--0.165750000000026</f>
        <v>493.895712</v>
      </c>
      <c r="R203" s="3">
        <f>473.5+(252.9-74.2)+(-0.724455+(-0.386937--0.113526))+0-157.4--0.240822000000009</f>
        <v>494.04295600000006</v>
      </c>
      <c r="S203" s="3">
        <f>471.6+(288-117.9)+(-0.962064+(-0.58752--0.240516))+0-165.9--0.338435999999993</f>
        <v>474.82936800000004</v>
      </c>
      <c r="T203" s="3">
        <f>474.3+(260.7-107.6)+(-0.241893+(-0.132957--0.054876))+0-165.1--0.0842009999999832</f>
        <v>462.06422699999996</v>
      </c>
      <c r="U203" s="3">
        <f>468.4+(210.6-62.5)+(-1.19442+(-0.53703--0.159375))+0-156.3--0.398564999999977</f>
        <v>459.02648999999991</v>
      </c>
      <c r="V203" s="3">
        <f>467.4+(308.1-154)+(-0.715122+(-0.471393--0.23562))+0-145.2--0.222156000000008</f>
        <v>475.57126100000005</v>
      </c>
      <c r="W203" s="3">
        <f>436+(336.1-132.6)+(0.22236+(0.171411-0.067626))+0-146-0.0744599999999852</f>
        <v>493.75168500000001</v>
      </c>
      <c r="X203" s="3">
        <f>437.9+(304.3-67.5)+(-0.446658+(-0.310386--0.06885))+0-149.2--0.152184000000024</f>
        <v>524.96399000000019</v>
      </c>
      <c r="Y203" s="3">
        <f>434.5+(296.5-63.2)+(-0.88638+(-0.60486--0.128928))+0-153--0.312119999999993</f>
        <v>513.74980799999992</v>
      </c>
      <c r="Z203" s="3">
        <f>437+(271.3-58.3)+(-0.89148+(-0.553452--0.118932))+0-150.3--0.306611999999993</f>
        <v>498.68061199999994</v>
      </c>
      <c r="AA203" s="3">
        <f>440.8+(270-72.2)+(-0.449616+(-0.2754--0.073644))+0-160.6--0.163812000000026</f>
        <v>477.51243999999997</v>
      </c>
      <c r="AB203" s="3">
        <f>440.6+(236.6-72.9)+(-0.449412+(-0.241332--0.074358))+0-146.8--0.149736000000023</f>
        <v>457.03334999999993</v>
      </c>
      <c r="AC203" s="3">
        <f>437.1+(225.4-67.8)+(-1.114605+(-0.57477--0.17289))+0-159.2--0.405959999999977</f>
        <v>434.38947500000006</v>
      </c>
      <c r="AD203">
        <v>531.1</v>
      </c>
      <c r="AE203" s="3">
        <f>436+(306.1-67)+(0+(0-0))+0-144-0</f>
        <v>531.1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442.5+(172.2-66.7)+(-0.45135+(-0.175644--0.068034))+0-152.1--0.155142000000024</f>
        <v>395.49618200000003</v>
      </c>
      <c r="G204" s="3">
        <f>442.8+(187.7-100.2)+(-0.677484+(-0.287181--0.153306))+0-150.4--0.230112000000009</f>
        <v>379.31875299999996</v>
      </c>
      <c r="H204" s="3">
        <f>447+(214.3-135.5)+(0+(0-0))+0-149.6-0</f>
        <v>376.19999999999993</v>
      </c>
      <c r="I204" s="3">
        <f>446.9+(179.5-95.4)+(0+(0-0))+0-152.7-0</f>
        <v>378.3</v>
      </c>
      <c r="J204" s="3">
        <f>443.5+(192.9-115.4)+(-0.678555+(-0.295137--0.176562))+0-143.7--0.219861000000008</f>
        <v>376.72273099999995</v>
      </c>
      <c r="K204" s="3">
        <f>448.9+(306.4-239.5)+(0.228939+(0.156264-0.122145))+0-144.7-0.0737969999999853</f>
        <v>371.28926099999995</v>
      </c>
      <c r="L204" s="3">
        <f>447.2+(453.5-352.7)+(0+(0-0))+0-131.7-0</f>
        <v>416.3</v>
      </c>
      <c r="M204" s="3">
        <f>431.7+(432-270.2)+(-0.440334+(-0.44064--0.275604))+0-139.9--0.142698000000022</f>
        <v>453.13732800000002</v>
      </c>
      <c r="N204" s="3">
        <f>397.5+(408.2-199.4)+(0.608175+(0.624546-0.305082))+0-137.9-0.210987000000008</f>
        <v>469.11665199999999</v>
      </c>
      <c r="O204" s="3">
        <f>475.1+(374.6-230.6)+(-0.726903+(-0.573138--0.352818))+0-149.6--0.228888000000009</f>
        <v>468.78166499999998</v>
      </c>
      <c r="P204" s="3">
        <f>517.7+(275-177)+(-1.056108+(-0.561--0.36108))+0-84--0.171359999999996</f>
        <v>530.61533200000008</v>
      </c>
      <c r="Q204" s="3">
        <f>493.3+(244.1-128.6)+(-1.006332+(-0.497964--0.262344))+0-126.8--0.258671999999994</f>
        <v>481.01671999999996</v>
      </c>
      <c r="R204" s="3">
        <f>535.3+(167.8-73.8)+(-1.365015+(-0.42789--0.18819))+0-132.4--0.337619999999981</f>
        <v>495.63290499999988</v>
      </c>
      <c r="S204" s="3">
        <f>581.1+(156.3-115.9)+(0.296361+(0.079713-0.059109))+0-134.2-0.0684419999999864</f>
        <v>487.54852299999999</v>
      </c>
      <c r="T204" s="3">
        <f>572.8+(157.6-124)+(-1.168512+(-0.321504--0.25296))+0-135.4--0.276215999999994</f>
        <v>470.03915999999992</v>
      </c>
      <c r="U204" s="3">
        <f>572.2+(214.2-181)+(-1.45911+(-0.54621--0.46155))+0-136.8--0.34883999999998</f>
        <v>467.40507000000008</v>
      </c>
      <c r="V204" s="3">
        <f>547.8+(273-204.8)+(-0.838134+(-0.41769--0.313344))+0-141.9--0.217107000000008</f>
        <v>473.37462699999998</v>
      </c>
      <c r="W204" s="3">
        <f>520.3+(282.9-153.9)+(0.530706+(0.288558-0.156978))+0-145.5-0.148410000000023</f>
        <v>504.31387599999994</v>
      </c>
      <c r="X204" s="3">
        <f>519.2+(259.3-90)+(-1.32396+(-0.661215--0.2295))+0-159.4--0.406469999999977</f>
        <v>527.75079500000004</v>
      </c>
      <c r="Y204" s="3">
        <f>527.4+(220.4-77.3)+(-0.537948+(-0.224808--0.078846))+0-157.4--0.160548000000025</f>
        <v>512.57663800000012</v>
      </c>
      <c r="Z204" s="3">
        <f>585.1+(170.7-92.3)+(-0.895203+(-0.261171--0.141219))+0-157.6--0.241128000000009</f>
        <v>505.12597299999993</v>
      </c>
      <c r="AA204" s="3">
        <f>584.3+(188.7-127)+(-1.191972+(-0.384948--0.25908))+0-162--0.330479999999993</f>
        <v>483.01263999999992</v>
      </c>
      <c r="AB204" s="3">
        <f>552.8+(186.4-130.5)+(0+(0-0))+0-141.2-0</f>
        <v>467.49999999999994</v>
      </c>
      <c r="AC204" s="3">
        <f>506+(224.3-141)+(-1.03224+(-0.457572--0.28764))+0-150.2--0.306407999999993</f>
        <v>438.20423599999992</v>
      </c>
      <c r="AD204">
        <v>512.5</v>
      </c>
      <c r="AE204" s="3">
        <f>518+(250.6-83.8)+(0+(0-0))+0-172.3-0</f>
        <v>512.5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512+(193.2-149.9)+(0+(0-0))+0-145.5-0</f>
        <v>409.79999999999995</v>
      </c>
      <c r="G205" s="3">
        <f>509.1+(184.6-132.3)+(-0.778923+(-0.282438--0.202419))+0-157.8--0.241434000000009</f>
        <v>402.98249200000004</v>
      </c>
      <c r="H205" s="3">
        <f>513.9+(169.3-136.8)+(0.524178+(0.172686-0.139536))+0-146.8-0.149736000000023</f>
        <v>400.00759199999993</v>
      </c>
      <c r="I205" s="3">
        <f>509.4+(170.9-133.8)+(-0.779382+(-0.261477--0.204714))+0-151--0.231030000000009</f>
        <v>394.89488500000004</v>
      </c>
      <c r="J205" s="3">
        <f>513+(175-141.6)+(0+(0-0))+0-145.9-0</f>
        <v>400.5</v>
      </c>
      <c r="K205" s="3">
        <f>475.8+(233.4-172.7)+(-0.727974+(-0.357102--0.264231))+0-148.5--0.227205000000009</f>
        <v>387.40636000000006</v>
      </c>
      <c r="L205" s="3">
        <f>464.6+(300.7-218.8)+(-0.473892+(-0.306714--0.223176))+0-141--0.143820000000022</f>
        <v>405.08639000000005</v>
      </c>
      <c r="M205" s="3">
        <f>469.6+(289.1-171.4)+(0.478992+(0.294882-0.174828))+0-146.2-0.149124000000023</f>
        <v>441.54992200000009</v>
      </c>
      <c r="N205" s="3">
        <f>464.7+(270.3-123.6)+(-0.236997+(-0.137853--0.063036))+0-146.8--0.0748679999999851</f>
        <v>464.36305399999992</v>
      </c>
      <c r="O205" s="3">
        <f>490.2+(263.2-149.1)+(0+(0-0))+0-136.8-0</f>
        <v>467.49999999999994</v>
      </c>
      <c r="P205" s="3">
        <f>536.6+(266.4-186.6)+(-0.273666+(-0.135864--0.095166))+0-133.4--0.0680339999999865</f>
        <v>482.75367000000006</v>
      </c>
      <c r="Q205" s="3">
        <f>569.4+(231.1-166.9)+(-0.871182+(-0.353583--0.255357))+0-137.1--0.209763000000008</f>
        <v>495.74035499999985</v>
      </c>
      <c r="R205" s="3">
        <f>566.3+(171.8-98.3)+(-1.155252+(-0.350472--0.200532))+0-142.6--0.290903999999994</f>
        <v>496.18571199999991</v>
      </c>
      <c r="S205" s="3">
        <f>565.5+(179.9-119.3)+(-0.57681+(-0.183498--0.121686))+0-137.9--0.140658000000022</f>
        <v>487.70203600000002</v>
      </c>
      <c r="T205" s="3">
        <f>566.4+(165.2-130.4)+(-0.577728+(-0.168504--0.133008))+0-131--0.133620000000021</f>
        <v>469.72039599999999</v>
      </c>
      <c r="U205" s="3">
        <f>566.7+(172.3-170)+(-1.156068+(-0.351492--0.3468))+0-130--0.265199999999994</f>
        <v>438.10444000000001</v>
      </c>
      <c r="V205" s="3">
        <f>563.7+(337.3-285.5)+(-0.862461+(-0.516069--0.436815))+0-139.5--0.213435000000008</f>
        <v>475.27171999999996</v>
      </c>
      <c r="W205" s="3">
        <f>565.9+(371-281.1)+(0+(0-0))+0-143.3-0</f>
        <v>512.5</v>
      </c>
      <c r="X205" s="3">
        <f>569.4+(290-180.6)+(-0.871182+(-0.4437--0.276318))+0-152.3--0.233019000000009</f>
        <v>525.69445500000006</v>
      </c>
      <c r="Y205" s="3">
        <f>576.3+(255.3-162.9)+(-0.587826+(-0.260406--0.166158))+0-150.3--0.153306000000024</f>
        <v>517.87123200000008</v>
      </c>
      <c r="Z205" s="3">
        <f>574.4+(242.6-167)+(-1.171776+(-0.494904--0.34068))+0-147.9--0.301715999999994</f>
        <v>501.075716</v>
      </c>
      <c r="AA205" s="3">
        <f>540.5+(311.6-215.4)+(-0.826965+(-0.476748--0.329562))+0-142.6--0.218178000000008</f>
        <v>493.34402700000004</v>
      </c>
      <c r="AB205" s="3">
        <f>532+(355.5-261)+(-1.3566+(-0.906525--0.66555))+0-149.9--0.382244999999978</f>
        <v>475.38466999999997</v>
      </c>
      <c r="AC205" s="3">
        <f>532.3+(339.3-273.3)+(-1.357365+(-0.865215--0.696915))+0-144.8--0.369239999999979</f>
        <v>452.34357499999993</v>
      </c>
      <c r="AD205">
        <v>529.5</v>
      </c>
      <c r="AE205" s="3">
        <f>574+(280.3-175.6)+(0+(0-0))+0-149.2-0</f>
        <v>529.5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555.2+(255-245.7)+(-1.132608+(-0.5202--0.501228))+0-134.2--0.273767999999994</f>
        <v>429.42218800000006</v>
      </c>
      <c r="G206" s="3">
        <f>555.8+(216-217.2)+(-0.850374+(-0.33048--0.332316))+0-141.9--0.217107000000008</f>
        <v>412.06856899999997</v>
      </c>
      <c r="H206" s="3">
        <f>558.5+(188.1-194)+(-0.854505+(-0.287793--0.29682))+0-139.2--0.212976000000008</f>
        <v>412.7674980000001</v>
      </c>
      <c r="I206" s="3">
        <f>555.6+(226.1-230.1)+(-0.850068+(-0.345933--0.352053))+0-143.5--0.219555000000008</f>
        <v>407.47560700000008</v>
      </c>
      <c r="J206" s="3">
        <f>565.1+(246-270.5)+(0.576402+(0.25092-0.27591))+0-135.1-0.137802000000022</f>
        <v>405.91361000000001</v>
      </c>
      <c r="K206" s="3">
        <f>559.3+(314-333.2)+(-0.570486+(-0.32028--0.339864))+0-140.9--0.143718000000022</f>
        <v>398.79281600000002</v>
      </c>
      <c r="L206" s="3">
        <f>471.8+(410.4-331.5)+(-0.481236+(-0.418608--0.33813))+0-141.7--0.144534000000023</f>
        <v>408.58282000000003</v>
      </c>
      <c r="M206" s="3">
        <f>453.3+(406.6-290.8)+(0.231183+(0.207366-0.148308))+0-128-0.065279999999987</f>
        <v>441.32496100000009</v>
      </c>
      <c r="N206" s="3">
        <f>525.5+(364-310.5)+(0+(0-0))+0-125.4-0</f>
        <v>453.6</v>
      </c>
      <c r="O206" s="3">
        <f>587.3+(335.8-332.8)+(-0.299523+(-0.171258--0.169728))+0-138.7--0.0707369999999859</f>
        <v>451.36968399999995</v>
      </c>
      <c r="P206" s="3">
        <f>582+(286.4-261.5)+(-0.59364+(-0.292128--0.26673))+0-135.1--0.137802000000022</f>
        <v>471.31876399999993</v>
      </c>
      <c r="Q206" s="3">
        <f>572.8+(235.6-185)+(-0.584256+(-0.240312--0.1887))+0-130.1--0.132702000000021</f>
        <v>492.79683399999999</v>
      </c>
      <c r="R206" s="3">
        <f>562.2+(231.9-166.8)+(-1.43361+(-0.591345--0.42534))+0-127.8--0.325889999999981</f>
        <v>498.22627500000004</v>
      </c>
      <c r="S206" s="3">
        <f>556.6+(184.7-113)+(-0.283866+(-0.094197--0.05763))+0-142.7--0.0727769999999855</f>
        <v>485.35234399999996</v>
      </c>
      <c r="T206" s="3">
        <f>556+(164-112.1)+(-0.85068+(-0.25092--0.171513))+0-130.8--0.200124000000008</f>
        <v>476.37003700000002</v>
      </c>
      <c r="U206" s="3">
        <f>548.2+(200.8-128.3)+(-1.118328+(-0.409632--0.261732))+0-148.2--0.302327999999993</f>
        <v>471.53610000000009</v>
      </c>
      <c r="V206" s="3">
        <f>550.8+(247.6-182.1)+(-0.842724+(-0.378828--0.278613))+0-143.9--0.220167000000008</f>
        <v>471.67722799999996</v>
      </c>
      <c r="W206" s="3">
        <f>553+(284.2-182.7)+(-0.28203+(-0.144942--0.093177))+0-155.4--0.0792539999999842</f>
        <v>498.84545900000001</v>
      </c>
      <c r="X206" s="3">
        <f>561.7+(219.4-103.6)+(0+(0-0))+0-161.3-0</f>
        <v>516.20000000000005</v>
      </c>
      <c r="Y206" s="3">
        <f>561.7+(198.5-98.6)+(-1.432335+(-0.506175--0.25143))+0-161.9--0.412844999999977</f>
        <v>498.42576500000001</v>
      </c>
      <c r="Z206" s="3">
        <f>567.2+(177.7-98.6)+(-0.289272+(-0.090627--0.050286))+0-160.7--0.0819569999999837</f>
        <v>485.35234400000007</v>
      </c>
      <c r="AA206" s="3">
        <f>563.3+(204.8-121.9)+(-1.149132+(-0.417792--0.248676))+0-167.9--0.342515999999993</f>
        <v>477.3242679999999</v>
      </c>
      <c r="AB206" s="3">
        <f>565.4+(208.8-163.6)+(-0.865062+(-0.319464--0.250308))+0-150--0.229500000000009</f>
        <v>459.89528200000007</v>
      </c>
      <c r="AC206" s="3">
        <f>560.9+(195.9-164.8)+(-1.430295+(-0.499545--0.42024))+0-152.5--0.388874999999978</f>
        <v>438.37927500000001</v>
      </c>
      <c r="AD206">
        <v>531.5</v>
      </c>
      <c r="AE206" s="3">
        <f>570+(231.9-102.2)+(0+(0-0))+0-168.2-0</f>
        <v>531.5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569.5+(144.6-138.7)+(0+(0-0))+0-152-0</f>
        <v>423.4</v>
      </c>
      <c r="G207" s="3">
        <f>570.4+(184.2-177.5)+(0+(0-0))+0-166-0</f>
        <v>411.09999999999991</v>
      </c>
      <c r="H207" s="3">
        <f>572.8+(208.7-214)+(0.292128+(0.106437-0.10914))+0-162.7-0.0829769999999835</f>
        <v>405.00644800000009</v>
      </c>
      <c r="I207" s="3">
        <f>566.7+(188.5-202.6)+(-0.578034+(-0.19227--0.206652))+0-156.1--0.159222000000025</f>
        <v>396.09556999999995</v>
      </c>
      <c r="J207" s="3">
        <f>571.4+(208.4-224)+(0+(0-0))+0-159.3-0</f>
        <v>396.49999999999994</v>
      </c>
      <c r="K207" s="3">
        <f>542.9+(290.6-274.1)+(-1.384395+(-0.74103--0.698955))+0-158.3--0.403664999999977</f>
        <v>400.07719499999996</v>
      </c>
      <c r="L207" s="3">
        <f>494.3+(362.1-302.1)+(-0.504186+(-0.369342--0.308142))+0-148.5--0.151470000000024</f>
        <v>405.38608399999998</v>
      </c>
      <c r="M207" s="3">
        <f>490+(363-253.3)+(0.7497+(0.55539-0.387549))+0-163.1-0.249543000000009</f>
        <v>437.26799800000003</v>
      </c>
      <c r="N207" s="3">
        <f>443.9+(381.6-216)+(0+(0-0))+0-149.3-0</f>
        <v>460.2</v>
      </c>
      <c r="O207" s="3">
        <f>469+(342.1-202.8)+(-0.47838+(-0.348942--0.206856))+0-141.1--0.143922000000023</f>
        <v>466.723456</v>
      </c>
      <c r="P207" s="3">
        <f>519.3+(286.2-175.3)+(0.529686+(0.291924-0.178806))+0-151.7-0.154734000000024</f>
        <v>478.98806999999988</v>
      </c>
      <c r="Q207" s="3">
        <f>515.6+(219-94.2)+(-0.788868+(-0.33507--0.144126))+0-164--0.250920000000009</f>
        <v>475.67110799999995</v>
      </c>
      <c r="R207" s="3">
        <f>515.7+(187.7-63.7)+(-0.263007+(-0.095727--0.032487))+0-159--0.0810899999999839</f>
        <v>480.45484300000004</v>
      </c>
      <c r="S207" s="3">
        <f>523.4+(195.2-88.6)+(0.533868+(0.199104-0.090372))+0-166.7-0.170034000000027</f>
        <v>463.77256599999998</v>
      </c>
      <c r="T207" s="3">
        <f>545.3+(155.3-97.9)+(0.278103+(0.079203-0.049929))+0-162.5-0.0828749999999835</f>
        <v>440.4245019999999</v>
      </c>
      <c r="U207" s="3">
        <f>536.6+(173.2-118.3)+(-1.36833+(-0.44166--0.301665))+0-160.2--0.408509999999977</f>
        <v>430.20018499999998</v>
      </c>
      <c r="V207" s="3">
        <f>537.6+(236.8-181.7)+(-0.274176+(-0.120768--0.092667))+0-162--0.0826199999999836</f>
        <v>430.480343</v>
      </c>
      <c r="W207" s="3">
        <f>542.2+(261.6-174.2)+(0+(0-0))+0-168.5-0</f>
        <v>461.10000000000014</v>
      </c>
      <c r="X207" s="3">
        <f>547.9+(206.3-86.7)+(-0.838287+(-0.315639--0.132651))+0-186.7--0.285651000000011</f>
        <v>480.0643760000001</v>
      </c>
      <c r="Y207" s="3">
        <f>547.1+(183.2-85.5)+(-1.116084+(-0.373728--0.17442))+0-174.3--0.355571999999992</f>
        <v>469.54017999999996</v>
      </c>
      <c r="Z207" s="3">
        <f>545.8+(155.7-70.1)+(-1.39179+(-0.397035--0.178755))+0-186.7--0.476084999999973</f>
        <v>443.56601499999999</v>
      </c>
      <c r="AA207" s="3">
        <f>553+(161.1-93.2)+(-0.56406+(-0.164322--0.095064))+0-179.9--0.183498000000029</f>
        <v>440.55018000000001</v>
      </c>
      <c r="AB207" s="3">
        <f>553.9+(145.1-110.4)+(-0.282489+(-0.074001--0.056304))+0-171.3--0.0873629999999826</f>
        <v>417.08717699999983</v>
      </c>
      <c r="AC207" s="3">
        <f>562.3+(140.4-122.5)+(-0.286773+(-0.071604--0.062475))+0-172.2--0.0878219999999825</f>
        <v>407.79191999999995</v>
      </c>
      <c r="AD207">
        <v>470.8</v>
      </c>
      <c r="AE207" s="3">
        <f>548+(194.9-98.3)+(0+(0-0))+0-173.8-0</f>
        <v>470.8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566.1+(130.4-117.2)+(0+(0-0))+0-189.8-0</f>
        <v>389.50000000000006</v>
      </c>
      <c r="G208" s="3">
        <f>565.7+(120.9-134.2)+(0+(0-0))+0-175.3-0</f>
        <v>377.10000000000008</v>
      </c>
      <c r="H208" s="3">
        <f>565.2+(156.9-163.7)+(0.288252+(0.080019-0.083487))+0-183.8-0.0937379999999814</f>
        <v>374.79104600000005</v>
      </c>
      <c r="I208" s="3">
        <f>564.4+(190.6-205)+(0+(0-0))+0-174.8-0</f>
        <v>375.2</v>
      </c>
      <c r="J208" s="3">
        <f>566.4+(186.4-202.7)+(0.577728+(0.190128-0.206754))+0-181.4-0.185028000000029</f>
        <v>369.07607400000001</v>
      </c>
      <c r="K208" s="3">
        <f>512.6+(246.8-217.4)+(-0.522852+(-0.251736--0.221748))+0-179.2--0.182784000000029</f>
        <v>362.42994400000009</v>
      </c>
      <c r="L208" s="3">
        <f>471.4+(285.5-252.6)+(-0.480828+(-0.29121--0.257652))+0-163--0.166260000000026</f>
        <v>340.95187399999998</v>
      </c>
      <c r="M208" s="3">
        <f>477.1+(244.1-199)+(0.729963+(0.373473-0.30447))+0-172.6-0.26407800000001</f>
        <v>350.13488799999999</v>
      </c>
      <c r="N208" s="3">
        <f>473.2+(215.6-160.7)+(0.241332+(0.109956-0.081957))+0-167-0.0851699999999831</f>
        <v>361.28416099999998</v>
      </c>
      <c r="O208" s="3">
        <f>467.7+(183.8-110.6)+(-0.477054+(-0.187476--0.112812))+0-173.6--0.177072000000028</f>
        <v>366.92535399999991</v>
      </c>
      <c r="P208" s="3">
        <f>535.7+(145.8-122.9)+(0+(0-0))+0-175.8-0</f>
        <v>382.8</v>
      </c>
      <c r="Q208" s="3">
        <f>551.1+(126.8-103.3)+(-1.405305+(-0.32334--0.263415))+0-184.9--0.471494999999973</f>
        <v>388.70626499999997</v>
      </c>
      <c r="R208" s="3">
        <f>549.9+(83.9-114.9)+(-0.841347+(-0.128367--0.175797))+0-160.6--0.245718000000009</f>
        <v>357.751801</v>
      </c>
      <c r="S208" s="3">
        <f>537.5+(119-134.4)+(0.54825+(0.12138-0.137088))+0-178.4-0.181968000000028</f>
        <v>344.05057400000004</v>
      </c>
      <c r="T208" s="3">
        <f>527.2+(118.3-148.4)+(-1.613232+(-0.361998--0.454104))+0-160.5--0.491130000000019</f>
        <v>335.57000400000004</v>
      </c>
      <c r="U208" s="3">
        <f>533.5+(98-116.2)+(0+(0-0))+0-180.1-0</f>
        <v>335.19999999999993</v>
      </c>
      <c r="V208" s="3">
        <f>535.3+(98.7-119)+(0+(0-0))+0-180.1-0</f>
        <v>334.9</v>
      </c>
      <c r="W208" s="3">
        <f>538.5+(111.2-93.5)+(0.274635+(0.056712-0.047685))+0-180.1-0.0918509999999817</f>
        <v>376.29181100000011</v>
      </c>
      <c r="X208" s="3">
        <f>537.9+(119.8-75.3)+(-0.822987+(-0.183294--0.115209))+0-184--0.281520000000011</f>
        <v>397.79044799999997</v>
      </c>
      <c r="Y208" s="3">
        <f>542.2+(124.5-93.8)+(-0.829566+(-0.190485--0.143514))+0-180.8--0.27662400000001</f>
        <v>391.50008700000012</v>
      </c>
      <c r="Z208" s="3">
        <f>556.5+(124.6-109.2)+(0.283815+(0.063546-0.055692))+0-191.9-0.0978689999999805</f>
        <v>380.19379999999995</v>
      </c>
      <c r="AA208" s="3">
        <f>558.7+(113.6-115)+(0+(0-0))+0-179.4-0</f>
        <v>377.90000000000009</v>
      </c>
      <c r="AB208" s="3">
        <f>555.2+(127.7-126.1)+(-0.849456+(-0.195381--0.192933))+0-193.4--0.295902000000011</f>
        <v>362.84399800000011</v>
      </c>
      <c r="AC208" s="3">
        <f>551.9+(118.1-137.5)+(-1.407345+(-0.301155--0.350625))+0-182.8--0.466139999999974</f>
        <v>348.80826499999995</v>
      </c>
      <c r="AD208">
        <v>445.2</v>
      </c>
      <c r="AE208" s="3">
        <f>530+(173.5-96.5)+(0+(0-0))+0-161.8-0</f>
        <v>445.2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555.7+(132.8-133.5)+(-1.417035+(-0.33864--0.340425))+0-185.1--0.472004999999973</f>
        <v>368.95675499999993</v>
      </c>
      <c r="G209" s="3">
        <f>528.5+(142.3-121.8)+(-1.07814+(-0.290292--0.248472))+0-184.4--0.376175999999992</f>
        <v>363.85621600000002</v>
      </c>
      <c r="H209" s="3">
        <f>529.1+(135.4-136.3)+(-0.809523+(-0.207162--0.208539))+0-172.3--0.26361900000001</f>
        <v>355.35547300000007</v>
      </c>
      <c r="I209" s="3">
        <f>532.3+(139.2-133.1)+(0+(0-0))+0-185.6-0</f>
        <v>352.79999999999995</v>
      </c>
      <c r="J209" s="3">
        <f>529+(174.6-171.6)+(-0.80937+(-0.267138--0.262548))+0-175.6--0.26866800000001</f>
        <v>355.85470800000002</v>
      </c>
      <c r="K209" s="3">
        <f>528.5+(288.5-276.1)+(-0.808605+(-0.441405--0.422433))+0-181--0.27693000000001</f>
        <v>359.34935299999995</v>
      </c>
      <c r="L209" s="3">
        <f>533.3+(354.2-335.8)+(0+(0-0))+0-164.6-0</f>
        <v>387.09999999999991</v>
      </c>
      <c r="M209" s="3">
        <f>534.2+(298.6-239.9)+(0.272442+(0.152286-0.122349))+0-157.4-0.080273999999984</f>
        <v>435.72210500000011</v>
      </c>
      <c r="N209" s="3">
        <f>565.4+(225-188.1)+(0.288354+(0.11475-0.095931))+0-90-0.0458999999999909</f>
        <v>512.56127300000003</v>
      </c>
      <c r="O209" s="3">
        <f>557.9+(258.2-196.7)+(0.569058+(0.263364-0.200634))+0-153.4-0.156468000000024</f>
        <v>466.47532000000001</v>
      </c>
      <c r="P209" s="3">
        <f>528.4+(253.2-132.3)+(-0.269484+(-0.129132--0.067473))+0-158.3--0.0807329999999839</f>
        <v>490.74958999999996</v>
      </c>
      <c r="Q209" s="3">
        <f>553.3+(226.6-99.9)+(-0.564366+(-0.231132--0.101898))+0-178.3--0.181866000000028</f>
        <v>501.18826600000006</v>
      </c>
      <c r="R209" s="3">
        <f>551.1+(194.4-58.4)+(0+(0-0))+0-189.3-0</f>
        <v>497.8</v>
      </c>
      <c r="S209" s="3">
        <f>550+(219-92.8)+(-0.2805+(-0.11169--0.047328))+0-187.8--0.0957779999999809</f>
        <v>488.150916</v>
      </c>
      <c r="T209" s="3">
        <f>547.3+(176.9-79.8)+(0+(0-0))+0-177.7-0</f>
        <v>466.7</v>
      </c>
      <c r="U209" s="3">
        <f>546.1+(167.7-87.8)+(-0.835533+(-0.256581--0.134334))+0-154.2--0.235926000000009</f>
        <v>471.07814600000006</v>
      </c>
      <c r="V209" s="3">
        <f>550+(275.1-186.9)+(-0.8415+(-0.420903--0.285957))+0-165.5--0.25321500000001</f>
        <v>471.97676900000005</v>
      </c>
      <c r="W209" s="3">
        <f>553.8+(298.9-182.2)+(0+(0-0))+0-161.9-0</f>
        <v>508.6</v>
      </c>
      <c r="X209" s="3">
        <f>556.2+(223.3-71.1)+(-1.134648+(-0.455532--0.145044))+0-181.9--0.371075999999992</f>
        <v>525.42594000000008</v>
      </c>
      <c r="Y209" s="3">
        <f>563.3+(198.2-65.4)+(0+(0-0))+0-187.3-0</f>
        <v>508.7999999999999</v>
      </c>
      <c r="Z209" s="3">
        <f>555.8+(185.6-61.6)+(-1.133832+(-0.378624--0.125664))+0-188.9--0.385355999999992</f>
        <v>489.89856399999996</v>
      </c>
      <c r="AA209" s="3">
        <f>560.4+(169.7-66.1)+(-0.285804+(-0.086547--0.033711))+0-176.8--0.0901679999999821</f>
        <v>486.95152799999994</v>
      </c>
      <c r="AB209" s="3">
        <f>558.9+(162.1-82.6)+(-1.425195+(-0.413355--0.21063))+0-176--0.448799999999974</f>
        <v>461.22087999999991</v>
      </c>
      <c r="AC209" s="3">
        <f>568+(155.6-113.3)+(-0.28968+(-0.079356--0.057783))+0-172.6--0.0880259999999825</f>
        <v>437.47677299999992</v>
      </c>
      <c r="AD209">
        <v>535.70000000000005</v>
      </c>
      <c r="AE209" s="3">
        <f>558+(217.1-71.4)+(0+(0-0))+0-168-0</f>
        <v>535.70000000000005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561.6+(149.6-133.7)+(-1.43208+(-0.38148--0.340935))+0-163.3--0.416414999999976</f>
        <v>413.14378999999997</v>
      </c>
      <c r="G210" s="3">
        <f>567.3+(152.4-137.3)+(-0.289323+(-0.077724--0.070023))+0-178--0.0907799999999819</f>
        <v>404.19375600000001</v>
      </c>
      <c r="H210" s="3">
        <f>564.5+(196.6-191.9)+(-0.863685+(-0.300798--0.293607))+0-168--0.25704000000001</f>
        <v>400.58616400000011</v>
      </c>
      <c r="I210" s="3">
        <f>572.5+(242-231.8)+(-0.291975+(-0.12342--0.118218))+0-184.7--0.0941969999999813</f>
        <v>397.79702000000003</v>
      </c>
      <c r="J210" s="3">
        <f>574.5+(269.2-267.3)+(0+(0-0))+0-172-0</f>
        <v>404.4</v>
      </c>
      <c r="K210" s="3">
        <f>458.2+(371.6-253.9)+(-0.701046+(-0.568548--0.388467))+0-174.2--0.26652600000001</f>
        <v>401.085399</v>
      </c>
      <c r="L210" s="3">
        <f>457.3+(409-287.9)+(0+(0-0))+0-163.2-0</f>
        <v>415.2000000000001</v>
      </c>
      <c r="M210" s="3">
        <f>455.6+(401.6-238.6)+(0.232356+(0.204816-0.121686))+0-170.5-0.0869549999999827</f>
        <v>448.328531</v>
      </c>
      <c r="N210" s="3">
        <f>435.3+(357.9-156.9)+(0.222003+(0.182529-0.080019))+0-175.8-0.0896579999999822</f>
        <v>460.73485499999998</v>
      </c>
      <c r="O210" s="3">
        <f>412.3+(371.2-147.5)+(0+(0-0))+0-163.4-0</f>
        <v>472.6</v>
      </c>
      <c r="P210" s="3">
        <f>422.3+(316.9-87.9)+(-0.215373+(-0.161619--0.044829))+0-164.4--0.0838439999999833</f>
        <v>486.65168099999994</v>
      </c>
      <c r="Q210" s="3">
        <f>440.8+(290.1-63.6)+(0.449616+(0.295902-0.064872))+0-171.4-0.174828000000027</f>
        <v>496.40581800000007</v>
      </c>
      <c r="R210" s="3">
        <f>430.8+(276.9-48.4)+(-1.09854+(-0.706095--0.12342))+0-164.2--0.418709999999976</f>
        <v>493.83749499999999</v>
      </c>
      <c r="S210" s="3">
        <f>423.7+(310.8-84.9)+(0+(0-0))+0-172.5-0</f>
        <v>477.1</v>
      </c>
      <c r="T210" s="3">
        <f>400.4+(305.6-74.6)+(-0.408408+(-0.311712--0.076092))+0-167.9--0.171258000000027</f>
        <v>463.02722999999997</v>
      </c>
      <c r="U210" s="3">
        <f>473.8+(212.5-61)+(-1.20819+(-0.541875--0.15555))+0-158--0.402899999999977</f>
        <v>466.10838499999994</v>
      </c>
      <c r="V210" s="3">
        <f>473.5+(274.6-134.3)+(-1.207425+(-0.70023--0.342465))+0-143.9--0.366944999999979</f>
        <v>468.70175499999993</v>
      </c>
      <c r="W210" s="3">
        <f>511.6+(296.5-149)+(0.521832+(0.30243-0.15198))+0-157.1-0.160242000000025</f>
        <v>502.51203999999996</v>
      </c>
      <c r="X210" s="3">
        <f>539.7+(225.5-72.6)+(-0.550494+(-0.23001--0.074052))+0-170.8--0.174216000000027</f>
        <v>521.26776400000006</v>
      </c>
      <c r="Y210" s="3">
        <f>552.4+(202.1-66.8)+(0+(0-0))+0-188.9-0</f>
        <v>498.80000000000007</v>
      </c>
      <c r="Z210" s="3">
        <f>553.8+(195.5-76.6)+(-0.282438+(-0.099705--0.039066))+0-179.7--0.0916469999999818</f>
        <v>492.74856999999992</v>
      </c>
      <c r="AA210" s="3">
        <f>549.7+(200.6-85)+(-1.121388+(-0.409224--0.1734))+0-183.9--0.375155999999992</f>
        <v>480.41794400000009</v>
      </c>
      <c r="AB210" s="3">
        <f>551.2+(199-99.2)+(-1.124448+(-0.40596--0.202368))+0-188.5--0.384539999999992</f>
        <v>461.55650000000003</v>
      </c>
      <c r="AC210" s="3">
        <f>560.4+(183.8-135.2)+(-1.714824+(-0.562428--0.413712))+0-177.5--0.543150000000021</f>
        <v>430.17961000000008</v>
      </c>
      <c r="AD210">
        <v>512.79999999999995</v>
      </c>
      <c r="AE210" s="3">
        <f>545+(221.3-72.9)+(0+(0-0))+0-180.6-0</f>
        <v>512.79999999999995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547.7+(157.8-112.1)+(-1.396635+(-0.40239--0.285855))+0-177--0.451349999999974</f>
        <v>415.33818000000014</v>
      </c>
      <c r="G211" s="3">
        <f>554.4+(151.4-120.8)+(0.848232+(0.231642-0.184824))+0-174-0.26622000000001</f>
        <v>411.62882999999994</v>
      </c>
      <c r="H211" s="3">
        <f>549.1+(151.6-117.3)+(-1.400205+(-0.38658--0.299115))+0-175.2--0.446759999999975</f>
        <v>407.15908999999999</v>
      </c>
      <c r="I211" s="3">
        <f>550.3+(140.3-109.4)+(-0.841959+(-0.214659--0.167382))+0-175.8--0.26897400000001</f>
        <v>404.77973799999995</v>
      </c>
      <c r="J211" s="3">
        <f>554.4+(183.6-157.1)+(-0.282744+(-0.093636--0.080121))+0-172.3--0.0878729999999825</f>
        <v>408.391614</v>
      </c>
      <c r="K211" s="3">
        <f>555.3+(262.5-252.1)+(0.283203+(0.133875-0.128571))+0-162.5-0.0828749999999835</f>
        <v>403.40563199999991</v>
      </c>
      <c r="L211" s="3">
        <f>554.8+(289.7-296.5)+(0+(0-0))+0-135.7-0</f>
        <v>412.3</v>
      </c>
      <c r="M211" s="3">
        <f>555+(251.5-218.9)+(0.28305+(0.128265-0.111639))+0-134.8-0.0687479999999863</f>
        <v>453.03092800000002</v>
      </c>
      <c r="N211" s="3">
        <f>554+(279.6-230.9)+(0.28254+(0.142596-0.117759))+0-113.2-0.0577319999999885</f>
        <v>489.74964500000004</v>
      </c>
      <c r="O211" s="3">
        <f>547.5+(231.8-167.6)+(-0.837675+(-0.354654--0.256428))+0-101.5--0.155295000000006</f>
        <v>509.41939400000012</v>
      </c>
      <c r="P211" s="3">
        <f>552.7+(174.7-109.1)+(0.563754+(0.178194-0.111282))+0-98-0.0999600000000156</f>
        <v>520.83070600000008</v>
      </c>
      <c r="Q211" s="3">
        <f>547+(157.5-84.9)+(0+(0-0))+0-93.3-0</f>
        <v>526.30000000000007</v>
      </c>
      <c r="R211" s="3">
        <f>536.7+(193.5-111.8)+(-0.273717+(-0.098685--0.057018))+0-95.8--0.0488579999999903</f>
        <v>522.33347400000014</v>
      </c>
      <c r="S211" s="3">
        <f>535.2+(242-133.9)+(-0.272952+(-0.12342--0.068289))+0-162.7--0.0829769999999835</f>
        <v>480.35489400000006</v>
      </c>
      <c r="T211" s="3">
        <f>537+(225.7-132.9)+(0.27387+(0.115107-0.067779))+0-170-0.0866999999999827</f>
        <v>460.03449799999993</v>
      </c>
      <c r="U211" s="3">
        <f>536.4+(179.1-100.2)+(0+(0-0))+0-161-0</f>
        <v>454.29999999999995</v>
      </c>
      <c r="V211" s="3">
        <f>530.1+(211.7-110.4)+(-1.081404+(-0.431868--0.225216))+0-175.4--0.357815999999992</f>
        <v>455.06976000000003</v>
      </c>
      <c r="W211" s="3">
        <f>543.3+(242.7-125.9)+(0.831249+(0.371331-0.192627))+0-161.9-0.247707000000009</f>
        <v>498.96224599999994</v>
      </c>
      <c r="X211" s="3">
        <f>535.2+(230.8-66)+(-1.637712+(-0.706248--0.20196))+0-181.3--0.554778000000021</f>
        <v>517.11277800000005</v>
      </c>
      <c r="Y211" s="3">
        <f>546.1+(204.7-80)+(0.278511+(0.104397-0.0408))+0-168.9-0.0861389999999829</f>
        <v>502.15596900000003</v>
      </c>
      <c r="Z211" s="3">
        <f>543.4+(211.9-82.4)+(-0.277134+(-0.108069--0.042024))+0-180--0.0917999999999817</f>
        <v>492.64862099999999</v>
      </c>
      <c r="AA211" s="3">
        <f>541.4+(216.4-93.7)+(-0.828342+(-0.331092--0.143361))+0-184--0.281520000000011</f>
        <v>479.36544700000002</v>
      </c>
      <c r="AB211" s="3">
        <f>544.4+(178.8-90)+(-1.110576+(-0.364752--0.1836))+0-170.2--0.347207999999993</f>
        <v>462.05547999999999</v>
      </c>
      <c r="AC211" s="3">
        <f>552.7+(165.4-121.5)+(-0.563754+(-0.168708--0.12393))+0-154.6--0.157692000000025</f>
        <v>441.54916000000003</v>
      </c>
      <c r="AD211">
        <v>482.3</v>
      </c>
      <c r="AE211" s="3">
        <f>532+(204.3-63.3)+(0+(0-0))+0-190.7-0</f>
        <v>482.3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549.3+(201.2-174.2)+(-1.400715+(-0.51306--0.44421))+0-161.5--0.411824999999977</f>
        <v>413.74225999999993</v>
      </c>
      <c r="G212" s="3">
        <f>558.2+(233.8-211.9)+(-0.284682+(-0.119238--0.108069))+0-168.1--0.0857309999999829</f>
        <v>411.78988000000004</v>
      </c>
      <c r="H212" s="3">
        <f>532.5+(256.1-217)+(0.54315+(0.261222-0.22134))+0-166.7-0.170034000000027</f>
        <v>405.31299799999999</v>
      </c>
      <c r="I212" s="3">
        <f>546.7+(281.7-250.7)+(-1.115268+(-0.574668--0.511428))+0-174.4--0.355775999999992</f>
        <v>402.47726800000009</v>
      </c>
      <c r="J212" s="3">
        <f>559.7+(269.5-263.3)+(0.285447+(0.137445-0.134283))+0-163.3-0.0832829999999834</f>
        <v>402.80532600000004</v>
      </c>
      <c r="K212" s="3">
        <f>557.9+(338.5-327.3)+(-0.569058+(-0.34527--0.333846))+0-173.9--0.177378000000028</f>
        <v>394.796896</v>
      </c>
      <c r="L212" s="3">
        <f>506.8+(432.2-370.2)+(-0.775404+(-0.661266--0.566406))+0-163.4--0.250002000000009</f>
        <v>404.77973799999995</v>
      </c>
      <c r="M212" s="3">
        <f>501.5+(392.6-282.5)+(0.51153+(0.400452-0.28815))+0-167.6-0.170952000000027</f>
        <v>444.45287999999999</v>
      </c>
      <c r="N212" s="3">
        <f>497+(367.4-240.1)+(0+(0-0))+0-167.2-0</f>
        <v>457.09999999999997</v>
      </c>
      <c r="O212" s="3">
        <f>559.8+(322.1-250.8)+(-0.285498+(-0.164271--0.127908))+0-111--0.0566099999999887</f>
        <v>519.83474899999987</v>
      </c>
      <c r="P212" s="3">
        <f>568.4+(284.7-188.8)+(0.289884+(0.145197-0.096288))+0-165-0.0841499999999833</f>
        <v>499.554643</v>
      </c>
      <c r="Q212" s="3">
        <f>551.5+(253.5-134.5)+(-1.406325+(-0.646425--0.342975))+0-163.4--0.416669999999976</f>
        <v>505.80689499999994</v>
      </c>
      <c r="R212" s="3">
        <f>551.5+(240-130)+(-0.281265+(-0.1224--0.0663))+0-116--0.0591599999999882</f>
        <v>545.22179500000004</v>
      </c>
      <c r="S212" s="3">
        <f>551.5+(300-185)+(0+(0-0))+0-110-0</f>
        <v>556.5</v>
      </c>
      <c r="T212" s="3">
        <f>537.1+(297.8-187.9)+(-0.821763+(-0.455634--0.287487))+0-173--0.26469000000001</f>
        <v>473.27478000000002</v>
      </c>
      <c r="U212" s="3">
        <f>537.1+(239-148)+(0+(0-0))+0-99-0</f>
        <v>529.1</v>
      </c>
      <c r="V212" s="3">
        <f>530.7+(251.1-137.3)+(-1.623942+(-0.768366--0.420138))+0-171--0.52326000000002</f>
        <v>472.05108999999999</v>
      </c>
      <c r="W212" s="3">
        <f>540.1+(298.4-152.5)+(0.550902+(0.304368-0.15555))+0-177.8-0.181356000000028</f>
        <v>508.71836399999989</v>
      </c>
      <c r="X212" s="3">
        <f>532.4+(303.8-134.3)+(-1.629144+(-0.929628--0.410958))+0-177.6--0.54345600000002</f>
        <v>522.69564199999991</v>
      </c>
      <c r="Y212" s="3">
        <f>535.7+(278-134.3)+(-0.819621+(-0.42534--0.205479))+0-171.1--0.26178300000001</f>
        <v>507.52230100000008</v>
      </c>
      <c r="Z212" s="3">
        <f>532.6+(277.2-134.1)+(-1.35813+(-0.70686--0.341955))+0-186.2--0.474809999999973</f>
        <v>488.25177500000007</v>
      </c>
      <c r="AA212" s="3">
        <f>534+(268.8-146.7)+(-1.08936+(-0.548352--0.299268))+0-178.8--0.364751999999992</f>
        <v>476.32630800000004</v>
      </c>
      <c r="AB212" s="3">
        <f>538.1+(213-129.6)+(-0.274431+(-0.10863--0.066096))+0-167.8--0.085577999999983</f>
        <v>453.468613</v>
      </c>
      <c r="AC212" s="3">
        <f>539.1+(172.7-99.8)+(-0.274941+(-0.088077--0.050898))+0-177.4--0.090473999999982</f>
        <v>434.37835399999994</v>
      </c>
      <c r="AD212">
        <v>436.4</v>
      </c>
      <c r="AE212" s="3">
        <f>443+(306.5-136.5)+(0+(0-0))+0-176.6-0</f>
        <v>436.4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537.9+(198.2-141.2)+(-0.822987+(-0.303246--0.216036))+0-177.5--0.27157500000001</f>
        <v>416.76137799999992</v>
      </c>
      <c r="G213" s="3">
        <f>550.3+(270.6-229.7)+(0.561306+(0.276012-0.234294))+0-181.6-0.185232000000029</f>
        <v>410.01779199999999</v>
      </c>
      <c r="H213" s="3">
        <f>546.9+(292.2-258.5)+(-0.278919+(-0.149022--0.131835))+0-176.4--0.0899639999999821</f>
        <v>403.99385799999993</v>
      </c>
      <c r="I213" s="3">
        <f>520.6+(261.6-211.5)+(0.796518+(0.400248-0.323595))+0-168.3-0.25749900000001</f>
        <v>403.015672</v>
      </c>
      <c r="J213" s="3">
        <f>448.9+(328.1-210.2)+(0.228939+(0.167331-0.107202))+0-179.3-0.0914429999999818</f>
        <v>387.69762500000002</v>
      </c>
      <c r="K213" s="3">
        <f>443.9+(415-308.1)+(-0.905556+(-0.8466--0.628524))+0-155.6--0.317423999999993</f>
        <v>394.39379199999991</v>
      </c>
      <c r="L213" s="3">
        <f>459.7+(527.5-420.9)+(-0.937788+(-1.0761--0.858636))+0-156.8--0.319871999999993</f>
        <v>408.6646199999999</v>
      </c>
      <c r="M213" s="3">
        <f>438.7+(494.3-348.2)+(0.223737+(0.252093-0.177582))+0-137.8-0.070277999999986</f>
        <v>447.22796999999991</v>
      </c>
      <c r="N213" s="3">
        <f>436.4+(523.3-334.4)+(0+(0-0))+0-159-0</f>
        <v>466.29999999999995</v>
      </c>
      <c r="O213" s="3">
        <f>431.3+(535.3-336.6)+(-0.439926+(-0.546006--0.343332))+0-148.9--0.151878000000024</f>
        <v>480.60927800000002</v>
      </c>
      <c r="P213" s="3">
        <f>469.7+(454.7-269.1)+(-0.479094+(-0.463794--0.274482))+0-160.2--0.163404000000026</f>
        <v>494.59499799999998</v>
      </c>
      <c r="Q213" s="3">
        <f>550.4+(284.2-172.8)+(-1.122816+(-0.579768--0.352512))+0-158.1--0.322523999999993</f>
        <v>502.67245199999996</v>
      </c>
      <c r="R213" s="3">
        <f>545.4+(211.9-99.2)+(-0.834462+(-0.324207--0.151776))+0-154.7--0.236691000000009</f>
        <v>502.62979800000005</v>
      </c>
      <c r="S213" s="3">
        <f>546.6+(175-78.3)+(-0.557532+(-0.1785--0.079866))+0-156--0.159120000000025</f>
        <v>486.80295400000011</v>
      </c>
      <c r="T213" s="3">
        <f>546.6+(176.8-86.2)+(0+(0-0))+0-158.7-0</f>
        <v>478.50000000000006</v>
      </c>
      <c r="U213" s="3">
        <f>544.5+(224.7-139)+(-0.55539+(-0.229194--0.14178))+0-154.2--0.157284000000025</f>
        <v>475.51448000000011</v>
      </c>
      <c r="V213" s="3">
        <f>546.1+(381.4-288)+(0+(0-0))+0-156.4-0</f>
        <v>483.1</v>
      </c>
      <c r="W213" s="3">
        <f>548.7+(385.1-260.3)+(-0.279837+(-0.196401--0.132753))+0-159.8--0.0814979999999838</f>
        <v>513.43801299999996</v>
      </c>
      <c r="X213" s="3">
        <f>549.7+(296.3-157.4)+(-1.401735+(-0.755565--0.40137))+0-162.2--0.413609999999976</f>
        <v>525.05768</v>
      </c>
      <c r="Y213" s="3">
        <f>555.2+(264.6-143.5)+(-0.849456+(-0.404838--0.219555))+0-161.2--0.246636000000009</f>
        <v>514.31189700000016</v>
      </c>
      <c r="Z213" s="3">
        <f>553.9+(261.1-149)+(-0.847467+(-0.399483--0.22797))+0-160.8--0.246024000000009</f>
        <v>504.42704399999997</v>
      </c>
      <c r="AA213" s="3">
        <f>554+(227.3-135.9)+(-0.84762+(-0.347769--0.207927))+0-157.1--0.240363000000009</f>
        <v>487.55290099999991</v>
      </c>
      <c r="AB213" s="3">
        <f>560.5+(221.9-160.7)+(0+(0-0))+0-156.8-0</f>
        <v>464.90000000000003</v>
      </c>
      <c r="AC213" s="3">
        <f>552.6+(238.3-188.5)+(-1.127304+(-0.486132--0.38454))+0-160.1--0.326603999999993</f>
        <v>441.39770800000008</v>
      </c>
      <c r="AD213">
        <v>540</v>
      </c>
      <c r="AE213" s="3">
        <f>557+(284.3-132.8)+(0+(0-0))+0-168.5-0</f>
        <v>540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550.8+(215.7-182.3)+(-0.842724+(-0.330021--0.278919))+0-162.4--0.248472000000009</f>
        <v>421.15464599999996</v>
      </c>
      <c r="G214" s="3">
        <f>553.9+(234.5-224.2)+(-0.282489+(-0.119595--0.114342))+0-159.8--0.0814979999999838</f>
        <v>404.19375600000006</v>
      </c>
      <c r="H214" s="3">
        <f>545.3+(294.7-261.9)+(-1.668618+(-0.901782--0.801414))+0-174.5--0.53397000000002</f>
        <v>402.36498399999988</v>
      </c>
      <c r="I214" s="3">
        <f>549.2+(361.4-339.9)+(-0.840276+(-0.552942--0.520047))+0-168.2--0.25734600000001</f>
        <v>401.88417500000008</v>
      </c>
      <c r="J214" s="3">
        <f>550.9+(348.3-337)+(0+(0-0))+0-164.4-0</f>
        <v>397.80000000000007</v>
      </c>
      <c r="K214" s="3">
        <f>553+(406.3-391.7)+(-0.28203+(-0.207213--0.199767))+0-169.6--0.0864959999999828</f>
        <v>397.79701999999997</v>
      </c>
      <c r="L214" s="3">
        <f>553.7+(493.6-470.1)+(-0.847161+(-0.755208--0.719253))+0-170--0.26010000000001</f>
        <v>406.5769840000001</v>
      </c>
      <c r="M214" s="3">
        <f>554.3+(479.7-426.7)+(0.282693+(0.244647-0.217617))+0-165.8-0.0845579999999832</f>
        <v>441.72516499999995</v>
      </c>
      <c r="N214" s="3">
        <f>552.5+(461.9-383.9)+(0.845325+(0.706707-0.587367))+0-166.9-0.25535700000001</f>
        <v>464.30930799999999</v>
      </c>
      <c r="O214" s="3">
        <f>535.6+(459-364.5)+(0+(0-0))+0-155.4-0</f>
        <v>474.70000000000005</v>
      </c>
      <c r="P214" s="3">
        <f>539.3+(406.6-284.3)+(0.550086+(0.414732-0.289986))+0-171.2-0.174624000000027</f>
        <v>490.90020799999991</v>
      </c>
      <c r="Q214" s="3">
        <f>534.9+(339.2-217.8)+(-0.272799+(-0.172992--0.111078))+0-158--0.080579999999984</f>
        <v>498.04586699999999</v>
      </c>
      <c r="R214" s="3">
        <f>530.7+(227.1-128.3)+(-0.811971+(-0.347463--0.196299))+0-141.6--0.216648000000008</f>
        <v>487.15351300000003</v>
      </c>
      <c r="S214" s="3">
        <f>525+(182-73.1)+(-1.6065+(-0.55692--0.223686))+0-166.9--0.510714000000019</f>
        <v>465.57097999999996</v>
      </c>
      <c r="T214" s="3">
        <f>531+(168.1-77.7)+(-0.54162+(-0.171462--0.079254))+0-178.3--0.181866000000028</f>
        <v>442.64803799999999</v>
      </c>
      <c r="U214" s="3">
        <f>532.7+(172.4-108.6)+(-0.815031+(-0.263772--0.166158))+0-156.9--0.240057000000009</f>
        <v>438.92741200000006</v>
      </c>
      <c r="V214" s="3">
        <f>536+(326-260.9)+(-0.82008+(-0.49878--0.399177))+0-156.3--0.239139000000009</f>
        <v>444.11945600000007</v>
      </c>
      <c r="W214" s="3">
        <f>537.1+(374.4-263.5)+(-0.821763+(-0.572832--0.403155))+0-168.3--0.25749900000001</f>
        <v>478.96605899999997</v>
      </c>
      <c r="X214" s="3">
        <f>532.8+(325.4-179.5)+(-1.630368+(-0.995724--0.54927))+0-179.8--0.550188000000021</f>
        <v>497.37336599999998</v>
      </c>
      <c r="Y214" s="3">
        <f>547.6+(289.3-181.8)+(-0.837828+(-0.442629--0.278154))+0-170.7--0.26117100000001</f>
        <v>483.65886800000004</v>
      </c>
      <c r="Z214" s="3">
        <f>552.7+(284.3-193.2)+(-0.281877+(-0.144993--0.098532))+0-171.2--0.0873119999999826</f>
        <v>472.35897400000005</v>
      </c>
      <c r="AA214" s="3">
        <f>555.1+(266.1-179.9)+(-0.566202+(-0.271422--0.183498))+0-178.8--0.182376000000029</f>
        <v>462.02825000000007</v>
      </c>
      <c r="AB214" s="3">
        <f>555.9+(244.9-189.8)+(-0.850527+(-0.374697--0.290394))+0-163.6--0.250308000000009</f>
        <v>446.71547799999996</v>
      </c>
      <c r="AC214" s="3">
        <f>553.1+(223-176.1)+(-1.410405+(-0.56865--0.449055))+0-176.5--0.450074999999974</f>
        <v>422.420075</v>
      </c>
      <c r="AD214">
        <v>501.40000000000009</v>
      </c>
      <c r="AE214" s="3">
        <f>538+(327.2-198.9)+(0+(0-0))+0-164.9-0</f>
        <v>501.4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553.6+(216.7-196)+(-0.847008+(-0.331551--0.29988))+0-167.8--0.25673400000001</f>
        <v>405.8780549999999</v>
      </c>
      <c r="G215" s="3">
        <f>507.2+(157.3-101.5)+(-1.034688+(-0.320892--0.20706))+0-168.7--0.344147999999993</f>
        <v>393.49562800000007</v>
      </c>
      <c r="H215" s="3">
        <f>484.9+(164.7-92.9)+(-1.236495+(-0.419985--0.236895))+0-169.8--0.432989999999975</f>
        <v>385.9134049999999</v>
      </c>
      <c r="I215" s="3">
        <f>489.3+(163.4-103.4)+(-0.998172+(-0.333336--0.210936))+0-168.8--0.344351999999993</f>
        <v>379.72377999999992</v>
      </c>
      <c r="J215" s="3">
        <f>499.3+(169.6-121.2)+(-0.254643+(-0.086496--0.061812))+0-169.1--0.0862409999999828</f>
        <v>378.40691400000003</v>
      </c>
      <c r="K215" s="3">
        <f>497.2+(224.6-187.9)+(-0.253572+(-0.114546--0.095829))+0-170.2--0.0868019999999827</f>
        <v>363.51451299999997</v>
      </c>
      <c r="L215" s="3">
        <f>398.6+(281.7-171.7)+(0+(0-0))+0-164.9-0</f>
        <v>343.70000000000005</v>
      </c>
      <c r="M215" s="3">
        <f>398.1+(245.2-123.4)+(-0.203031+(-0.125052--0.062934))+0-166.4--0.0848639999999831</f>
        <v>353.31971500000003</v>
      </c>
      <c r="N215" s="3">
        <f>394.9+(273.1-134.6)+(-0.402798+(-0.278562--0.137292))+0-167.4--0.170748000000027</f>
        <v>365.62667999999996</v>
      </c>
      <c r="O215" s="3">
        <f>417.8+(359.5-237.5)+(-0.426156+(-0.36669--0.24225))+0-156.9--0.160038000000025</f>
        <v>382.50944199999998</v>
      </c>
      <c r="P215" s="3">
        <f>452+(361-272.1)+(-0.69156+(-0.55233--0.416313))+0-146.5--0.224145000000008</f>
        <v>393.79656799999998</v>
      </c>
      <c r="Q215" s="3">
        <f>456.7+(324.2-211)+(0+(0-0))+0-173-0</f>
        <v>396.9</v>
      </c>
      <c r="R215" s="3">
        <f>453.6+(252.2-140.5)+(-0.925344+(-0.514488--0.28662))+0-175.7--0.358427999999992</f>
        <v>388.80521599999992</v>
      </c>
      <c r="S215" s="3">
        <f>453.9+(181.7-74.6)+(-0.925956+(-0.370668--0.152184))+0-177.2--0.361487999999992</f>
        <v>383.01704799999999</v>
      </c>
      <c r="T215" s="3">
        <f>456.9+(140.1-61.2)+(-0.466038+(-0.142902--0.062424))+0-165--0.168300000000026</f>
        <v>370.421784</v>
      </c>
      <c r="U215" s="3">
        <f>457+(160.3-77.4)+(-0.23307+(-0.081753--0.039474))+0-177.1--0.090320999999982</f>
        <v>362.61497199999991</v>
      </c>
      <c r="V215" s="3">
        <f>458.6+(224.1-137.9)+(0+(0-0))+0-166.3-0</f>
        <v>378.49999999999994</v>
      </c>
      <c r="W215" s="3">
        <f>505.5+(289.5-214.4)+(-0.773415+(-0.442935--0.328032))+0-156.8--0.239904000000009</f>
        <v>423.15158600000001</v>
      </c>
      <c r="X215" s="3">
        <f>557.9+(286.4-226.1)+(-1.138116+(-0.584256--0.461244))+0-178.6--0.364343999999992</f>
        <v>438.70321599999994</v>
      </c>
      <c r="Y215" s="3">
        <f>562.8+(248.8-190.4)+(-0.861084+(-0.380664--0.291312))+0-182.2--0.278766000000011</f>
        <v>438.32832999999999</v>
      </c>
      <c r="Z215" s="3">
        <f>561.3+(185.9-134.7)+(-1.431315+(-0.474045--0.343485))+0-183.6--0.468179999999973</f>
        <v>427.80630499999995</v>
      </c>
      <c r="AA215" s="3">
        <f>565.5+(173.3-152.3)+(-1.15362+(-0.353532--0.310692))+0-172.4--0.351695999999992</f>
        <v>413.25523600000002</v>
      </c>
      <c r="AB215" s="3">
        <f>567.4+(137.1-118.4)+(-1.44687+(-0.349605--0.30192))+0-190.5--0.485774999999972</f>
        <v>394.59121999999991</v>
      </c>
      <c r="AC215" s="3">
        <f>564.8+(119.7-132.6)+(-1.44024+(-0.305235--0.33813))+0-170.5--0.434774999999975</f>
        <v>380.42743000000002</v>
      </c>
      <c r="AD215">
        <v>454</v>
      </c>
      <c r="AE215" s="3">
        <f>565+(264-233)+(0+(0-0))+0-142-0</f>
        <v>454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561.2+(120.1-146.5)+(-0.572424+(-0.122502--0.14943))+0-170--0.173400000000027</f>
        <v>364.42790400000013</v>
      </c>
      <c r="G216" s="3">
        <f>507.4+(116.5-111.6)+(-0.517548+(-0.11883--0.113832))+0-161.2--0.164424000000026</f>
        <v>350.74187800000004</v>
      </c>
      <c r="H216" s="3">
        <f>505.9+(106.5-122)+(-1.032036+(-0.21726--0.24888))+0-142.2--0.290087999999994</f>
        <v>347.48967199999998</v>
      </c>
      <c r="I216" s="3">
        <f>482.3+(126.7-99.6)+(-0.491946+(-0.129234--0.101592))+0-160.4--0.163608000000026</f>
        <v>348.64402000000001</v>
      </c>
      <c r="J216" s="3">
        <f>446.8+(166.7-96)+(0.455736+(0.170034-0.09792))+0-170.8-0.174216000000027</f>
        <v>347.05363399999993</v>
      </c>
      <c r="K216" s="3">
        <f>450.6+(226.3-159.9)+(1.14903+(0.577065-0.407745))+0-173.7-0.442934999999975</f>
        <v>344.17541500000004</v>
      </c>
      <c r="L216" s="3">
        <f>445+(294.7-211.1)+(-0.22695+(-0.150297--0.107661))+0-161.3--0.0822629999999836</f>
        <v>367.11267700000002</v>
      </c>
      <c r="M216" s="3">
        <f>447.2+(279.5-150.1)+(0+(0-0))+0-173.1-0</f>
        <v>403.5</v>
      </c>
      <c r="N216" s="3">
        <f>445.5+(362-198.6)+(-0.227205+(-0.18462--0.101286))+0-172.4--0.0879239999999825</f>
        <v>436.27738500000004</v>
      </c>
      <c r="O216" s="3">
        <f>449.2+(432.7-267.9)+(-0.916368+(-0.882708--0.546516))+0-166.4--0.339455999999993</f>
        <v>446.68689599999999</v>
      </c>
      <c r="P216" s="3">
        <f>572.3+(394.1-334)+(-0.291873+(-0.200991--0.17034))+0-162.1--0.0826709999999835</f>
        <v>470.06014699999992</v>
      </c>
      <c r="Q216" s="3">
        <f>575.1+(363.9-286.8)+(-0.879903+(-0.556767--0.438804))+0-178.6--0.27325800000001</f>
        <v>472.87539199999998</v>
      </c>
      <c r="R216" s="3">
        <f>571.3+(341.3-267.7)+(-1.456815+(-0.870315--0.682635))+0-170.8--0.435539999999975</f>
        <v>472.89104499999996</v>
      </c>
      <c r="S216" s="3">
        <f>558.2+(263.2-188.2)+(-0.284682+(-0.134232--0.095982))+0-175.5--0.0895049999999822</f>
        <v>457.46657299999998</v>
      </c>
      <c r="T216" s="3">
        <f>558.2+(221.1-154.8)+(0+(0-0))+0-185.5-0</f>
        <v>439</v>
      </c>
      <c r="U216" s="3">
        <f>556.7+(224.2-171.4)+(-0.283917+(-0.114342--0.087414))+0-180.5--0.0920549999999817</f>
        <v>428.78120999999999</v>
      </c>
      <c r="V216" s="3">
        <f>561.2+(276.3-237.5)+(0.572424+(0.281826-0.24225))+0-169-0.172380000000027</f>
        <v>431.43961999999993</v>
      </c>
      <c r="W216" s="3">
        <f>561.1+(338.8-238)+(0.572322+(0.345576-0.24276))+0-186.9-0.19063800000003</f>
        <v>475.48450000000003</v>
      </c>
      <c r="X216" s="3">
        <f>554.7+(310.2-188.9)+(-1.131588+(-0.632808--0.385356))+0-181.5--0.370259999999992</f>
        <v>493.49121999999994</v>
      </c>
      <c r="Y216" s="3">
        <f>554.7+(274.2-149.9)+(-1.131588+(-0.559368--0.305796))+0-192.2--0.392087999999992</f>
        <v>485.80692799999997</v>
      </c>
      <c r="Z216" s="3">
        <f>555.2+(229.6-127.3)+(-1.132608+(-0.468384--0.259692))+0-182.4--0.372095999999992</f>
        <v>474.13079599999998</v>
      </c>
      <c r="AA216" s="3">
        <f>558.9+(186.1-106.4)+(-0.570078+(-0.189822--0.108528))+0-186--0.18972000000003</f>
        <v>452.13834799999989</v>
      </c>
      <c r="AB216" s="3">
        <f>552.6+(174.5-129.4)+(-1.40913+(-0.444975--0.32997))+0-175.5--0.447524999999975</f>
        <v>421.12339000000003</v>
      </c>
      <c r="AC216" s="3">
        <f>555+(147.4-125.7)+(-0.28305+(-0.075174--0.064107))+0-174.5--0.0889949999999823</f>
        <v>401.99487799999997</v>
      </c>
      <c r="AD216">
        <v>495.00000000000011</v>
      </c>
      <c r="AE216" s="3">
        <f>554+(329.6-175.7)+(0+(0-0))+0-212.9-0</f>
        <v>495.00000000000011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423.7+(200.9-66.7)+(-0.432174+(-0.204918--0.068034))+0-178.9--0.182478000000029</f>
        <v>378.61341999999996</v>
      </c>
      <c r="G217" s="3">
        <f>410.3+(241.7-125.3)+(-0.418506+(-0.246534--0.127806))+0-161.2--0.164424000000026</f>
        <v>365.1271900000001</v>
      </c>
      <c r="H217" s="3">
        <f>349.1+(278.1-105.8)+(0+(0-0))+0-158.8-0</f>
        <v>362.60000000000008</v>
      </c>
      <c r="I217" s="3">
        <f>367.7+(320.4-165.5)+(0.375054+(0.326808-0.16881))+0-175.6-0.179112000000028</f>
        <v>347.35393999999985</v>
      </c>
      <c r="J217" s="3">
        <f>373+(313.7-177.1)+(0.19023+(0.159987-0.090321))+0-164.3-0.0837929999999833</f>
        <v>345.47610300000008</v>
      </c>
      <c r="K217" s="3">
        <f>371+(330.6-209.2)+(0+(0-0))+0-158.8-0</f>
        <v>333.6</v>
      </c>
      <c r="L217" s="3">
        <f>375.9+(409.2-280.3)+(0.766836+(0.834768-0.571812))+0-163.9-0.334355999999993</f>
        <v>341.59543599999989</v>
      </c>
      <c r="M217" s="3">
        <f>385.1+(434-259.1)+(0.392802+(0.44268-0.264282))+0-182.1-0.185742000000029</f>
        <v>378.28545799999995</v>
      </c>
      <c r="N217" s="3">
        <f>423.2+(392.8-237.8)+(-0.215832+(-0.200328--0.121278))+0-176--0.0897599999999821</f>
        <v>401.99487799999997</v>
      </c>
      <c r="O217" s="3">
        <f>425+(345.6-180.8)+(0.21675+(0.176256-0.092208))+0-182.6-0.0931259999999815</f>
        <v>407.40767199999993</v>
      </c>
      <c r="P217" s="3">
        <f>456.8+(394.7-268.5)+(-0.698904+(-0.603891--0.410805))+0-161.2--0.246636000000009</f>
        <v>421.15464600000007</v>
      </c>
      <c r="Q217" s="3">
        <f>541.7+(393.8-325.5)+(-0.276267+(-0.200838--0.166005))+0-177.3--0.090422999999982</f>
        <v>432.47932299999997</v>
      </c>
      <c r="R217" s="3">
        <f>536.2+(345.1-284.2)+(-1.36731+(-0.880005--0.72471))+0-160.8--0.410039999999977</f>
        <v>435.18743500000011</v>
      </c>
      <c r="S217" s="3">
        <f>497.3+(260.4-157.2)+(-0.253623+(-0.132804--0.080172))+0-180.2--0.0919019999999817</f>
        <v>420.08564700000005</v>
      </c>
      <c r="T217" s="3">
        <f>444.1+(282.9-148.8)+(0+(0-0))+0-180.7-0</f>
        <v>397.50000000000006</v>
      </c>
      <c r="U217" s="3">
        <f>438.1+(327.8-184.1)+(-1.340586+(-1.003068--0.563346))+0-179.5--0.549270000000021</f>
        <v>401.06896200000011</v>
      </c>
      <c r="V217" s="3">
        <f>444.2+(351-222.6)+(-0.226542+(-0.17901--0.113526))+0-166.9--0.0851189999999831</f>
        <v>405.49309300000004</v>
      </c>
      <c r="W217" s="3">
        <f>494.2+(347.4-225.7)+(0+(0-0))+0-164-0</f>
        <v>451.9</v>
      </c>
      <c r="X217" s="3">
        <f>557.4+(330.1-263)+(-1.705644+(-1.010106--0.80478))+0-161.9--0.495414000000019</f>
        <v>461.18444400000004</v>
      </c>
      <c r="Y217" s="3">
        <f>570.4+(300.9-243.3)+(-0.581808+(-0.306918--0.248166))+0-176.4--0.179928000000028</f>
        <v>451.13936799999999</v>
      </c>
      <c r="Z217" s="3">
        <f>575.7+(300.5-243.5)+(-1.174428+(-0.61302--0.49674))+0-186.9--0.381275999999992</f>
        <v>444.89056800000009</v>
      </c>
      <c r="AA217" s="3">
        <f>576.5+(260.5-235.7)+(-0.882045+(-0.398565--0.360621))+0-177.9--0.27218700000001</f>
        <v>422.75219800000002</v>
      </c>
      <c r="AB217" s="3">
        <f>575.7+(247.8-247)+(-1.174428+(-0.505512--0.50388))+0-173--0.352919999999992</f>
        <v>402.67685999999998</v>
      </c>
      <c r="AC217" s="3">
        <f>576.1+(251.7-271.2)+(-1.175244+(-0.513468--0.553248))+0-172--0.350879999999992</f>
        <v>383.81541600000008</v>
      </c>
      <c r="AD217">
        <v>473.49999999999994</v>
      </c>
      <c r="AE217" s="3">
        <f>565+(338.3-282.5)+(0+(0-0))+0-147.3-0</f>
        <v>473.49999999999994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578.8+(257.4-306.3)+(-0.590376+(-0.262548--0.312426))+0-178.4--0.181968000000028</f>
        <v>351.14146999999997</v>
      </c>
      <c r="G218" s="3">
        <f>571.4+(243.6-293.3)+(0+(0-0))+0-179.2-0</f>
        <v>342.49999999999994</v>
      </c>
      <c r="H218" s="3">
        <f>519.4+(272.9-286.1)+(0+(0-0))+0-169.9-0</f>
        <v>336.29999999999995</v>
      </c>
      <c r="I218" s="3">
        <f>515.1+(304.1-308.3)+(0+(0-0))+0-177.6-0</f>
        <v>333.30000000000007</v>
      </c>
      <c r="J218" s="3">
        <f>515.9+(334.9-339.2)+(0.263109+(0.170799-0.172992))+0-178.5-0.0910349999999819</f>
        <v>333.269881</v>
      </c>
      <c r="K218" s="3">
        <f>516.2+(397.3-401.2)+(-0.789786+(-0.607869--0.613836))+0-184.2--0.281826000000011</f>
        <v>327.59800700000011</v>
      </c>
      <c r="L218" s="3">
        <f>516.7+(446-483.7)+(0.263517+(0.22746-0.246687))+0-168.9-0.0861389999999829</f>
        <v>310.258151</v>
      </c>
      <c r="M218" s="3">
        <f>513.8+(470.5-457.7)+(0.262038+(0.239955-0.233427))+0-160.9-0.0820589999999837</f>
        <v>365.88650699999994</v>
      </c>
      <c r="N218" s="3">
        <f>554.5+(476-469.8)+(-0.282795+(-0.24276--0.239598))+0-165.1--0.0842009999999832</f>
        <v>395.39824399999998</v>
      </c>
      <c r="O218" s="3">
        <f>561.3+(468.5-451.1)+(0.286263+(0.238935-0.230061))+0-167.5-0.085424999999983</f>
        <v>411.4097119999999</v>
      </c>
      <c r="P218" s="3">
        <f>535.8+(431.7-376.5)+(0+(0-0))+0-167.6-0</f>
        <v>423.4</v>
      </c>
      <c r="Q218" s="3">
        <f>558.7+(398.4-355.2)+(-0.284937+(-0.203184--0.181152))+0-164.1--0.0836909999999833</f>
        <v>437.57672200000007</v>
      </c>
      <c r="R218" s="3">
        <f>567.8+(363.6-322.9)+(-1.44789+(-0.92718--0.823395))+0-166.7--0.425084999999976</f>
        <v>440.67340999999993</v>
      </c>
      <c r="S218" s="3">
        <f>564.4+(307.8-277.2)+(-1.727064+(-0.941868--0.848232))+0-174.2--0.53305200000002</f>
        <v>419.51235200000002</v>
      </c>
      <c r="T218" s="3">
        <f>564.7+(320.8-315.8)+(0+(0-0))+0-159.5-0</f>
        <v>410.20000000000005</v>
      </c>
      <c r="U218" s="3">
        <f>543.9+(372-350.2)+(-0.832167+(-0.56916--0.535806))+0-173.1--0.26484300000001</f>
        <v>391.99932200000006</v>
      </c>
      <c r="V218" s="3">
        <f>549.1+(432.5-394.3)+(-0.280041+(-0.220575--0.201093))+0-167.2--0.085271999999983</f>
        <v>419.88574899999992</v>
      </c>
      <c r="W218" s="3">
        <f>555.7+(408-330.5)+(0+(0-0))+0-174.7-0</f>
        <v>458.50000000000006</v>
      </c>
      <c r="X218" s="3">
        <f>552.8+(371.2-277.2)+(-0.845784+(-0.567936--0.424116))+0-175.8--0.26897400000001</f>
        <v>470.27936999999997</v>
      </c>
      <c r="Y218" s="3">
        <f>558.4+(374.6-293.7)+(-0.854352+(-0.573138--0.449361))+0-180.8--0.27662400000001</f>
        <v>457.798495</v>
      </c>
      <c r="Z218" s="3">
        <f>558+(393.7-327.4)+(-0.85374+(-0.602361--0.500922))+0-179.6--0.27478800000001</f>
        <v>444.01960899999989</v>
      </c>
      <c r="AA218" s="3">
        <f>559.6+(368.5-305.8)+(-0.570792+(-0.37587--0.311916))+0-185.1--0.18880200000003</f>
        <v>436.75405599999999</v>
      </c>
      <c r="AB218" s="3">
        <f>555.7+(372.6-328.9)+(-1.417035+(-0.95013--0.838695))+0-187.4--0.477869999999973</f>
        <v>410.94940000000014</v>
      </c>
      <c r="AC218" s="3">
        <f>559.3+(358.7-371.2)+(-0.570486+(-0.365874--0.378624))+0-170.1--0.173502000000027</f>
        <v>376.315766</v>
      </c>
      <c r="AD218">
        <v>498.4</v>
      </c>
      <c r="AE218" s="3">
        <f>556+(362.7-263.7)+(0+(0-0))+0-156.6-0</f>
        <v>498.4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542.6+(369.3-391.8)+(-0.276726+(-0.188343--0.199818))+0-165.3--0.0843029999999832</f>
        <v>354.61905199999995</v>
      </c>
      <c r="G219" s="3">
        <f>504.8+(386.5-371.7)+(-1.029792+(-0.78846--0.758268))+0-176.2--0.359447999999992</f>
        <v>342.69946400000003</v>
      </c>
      <c r="H219" s="3">
        <f>503.2+(382.3-370.6)+(-1.28316+(-0.974865--0.94503))+0-181.7--0.463334999999974</f>
        <v>332.35033999999996</v>
      </c>
      <c r="I219" s="3">
        <f>506+(388-376.9)+(-0.51612+(-0.39576--0.384438))+0-174.7--0.178194000000028</f>
        <v>342.0507520000001</v>
      </c>
      <c r="J219" s="3">
        <f>505+(400.1-393.3)+(0.25755+(0.204051-0.200583))+0-166.1-0.0847109999999831</f>
        <v>345.876307</v>
      </c>
      <c r="K219" s="3">
        <f>505+(479.2-464.6)+(0.25755+(0.244392-0.236946))+0-165.3-0.0843029999999832</f>
        <v>354.48069299999992</v>
      </c>
      <c r="L219" s="3">
        <f>507.3+(519.8-496.7)+(0.776169+(0.795294-0.759951))+0-165-0.25245000000001</f>
        <v>365.95906199999996</v>
      </c>
      <c r="M219" s="3">
        <f>502.9+(514.2-462.1)+(-0.256479+(-0.262242--0.235671))+0-156.3--0.0797129999999841</f>
        <v>398.49666299999996</v>
      </c>
      <c r="N219" s="3">
        <f>504.9+(508-432.3)+(0.514998+(0.51816-0.440946))+0-163.3-0.166566000000026</f>
        <v>417.72564599999987</v>
      </c>
      <c r="O219" s="3">
        <f>559.6+(522-504.1)+(-0.570792+(-0.53244--0.514182))+0-169.9--0.173298000000027</f>
        <v>407.18424800000003</v>
      </c>
      <c r="P219" s="3">
        <f>572.8+(474.3-433.7)+(-1.168512+(-0.967572--0.884748))+0-175.7--0.358427999999992</f>
        <v>436.80709199999995</v>
      </c>
      <c r="Q219" s="3">
        <f>568.9+(454.9-401.3)+(-0.580278+(-0.463998--0.409326))+0-177.7--0.181254000000028</f>
        <v>444.34630400000003</v>
      </c>
      <c r="R219" s="3">
        <f>560.6+(408.6-350)+(-1.143624+(-0.833544--0.714))+0-176.7--0.360467999999992</f>
        <v>441.59730000000008</v>
      </c>
      <c r="S219" s="3">
        <f>561+(304.1-281.6)+(-0.28611+(-0.155091--0.143616))+0-163.9--0.0835889999999834</f>
        <v>419.38600399999996</v>
      </c>
      <c r="T219" s="3">
        <f>566.3+(347.8-326.1)+(0.866439+(0.532134-0.498933))+0-180.3-0.27585900000001</f>
        <v>408.32378099999994</v>
      </c>
      <c r="U219" s="3">
        <f>489.7+(410.1-315.3)+(-1.248735+(-1.045755--0.804015))+0-168.3--0.429164999999976</f>
        <v>415.13869</v>
      </c>
      <c r="V219" s="3">
        <f>511.4+(484.3-396.7)+(-0.260814+(-0.246993--0.202317))+0-173.7--0.0885869999999824</f>
        <v>425.08309700000001</v>
      </c>
      <c r="W219" s="3">
        <f>554.4+(466.7-363.4)+(-0.282744+(-0.238017--0.185334))+0-187--0.095369999999981</f>
        <v>470.45994300000007</v>
      </c>
      <c r="X219" s="3">
        <f>570.6+(375.4-303.5)+(-1.45503+(-0.95727--0.773925))+0-172.8--0.440639999999975</f>
        <v>468.50226499999997</v>
      </c>
      <c r="Y219" s="3">
        <f>577.8+(351.2-304.2)+(-0.294678+(-0.179112--0.155142))+0-180.8--0.0922079999999817</f>
        <v>443.77355999999986</v>
      </c>
      <c r="Z219" s="3">
        <f>576.5+(361.2-313.2)+(-0.58803+(-0.368424--0.319464))+0-190.6--0.19441200000003</f>
        <v>433.45742200000007</v>
      </c>
      <c r="AA219" s="3">
        <f>574.9+(364.9-332.4)+(-1.172796+(-0.744396--0.678096))+0-185.1--0.377603999999992</f>
        <v>421.43850799999996</v>
      </c>
      <c r="AB219" s="3">
        <f>539.2+(355.4-303.8)+(-0.824976+(-0.543762--0.464814))+0-185.5--0.283815000000011</f>
        <v>404.679891</v>
      </c>
      <c r="AC219" s="3">
        <f>535.9+(404.7-372.1)+(-1.093236+(-0.825588--0.759084))+0-168.3--0.343331999999993</f>
        <v>399.38359199999991</v>
      </c>
      <c r="AD219">
        <v>460.6</v>
      </c>
      <c r="AE219" s="3">
        <f>565+(400.2-300)+(0+(0-0))+0-204.6-0</f>
        <v>460.6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534+(417.2-382.9)+(-1.3617+(-1.06386--0.976395))+0-185.9--0.474044999999973</f>
        <v>381.42487999999997</v>
      </c>
      <c r="G220" s="3">
        <f>440.1+(473.7-361.5)+(-0.224451+(-0.241587--0.184365))+0-177.5--0.090524999999982</f>
        <v>374.60885199999996</v>
      </c>
      <c r="H220" s="3">
        <f>436.1+(457.3-355.4)+(-0.222411+(-0.233223--0.181254))+0-178.5--0.0910349999999819</f>
        <v>359.31665500000003</v>
      </c>
      <c r="I220" s="3">
        <f>436+(454.2-357.9)+(-0.44472+(-0.463284--0.365058))+0-173.5--0.176970000000028</f>
        <v>358.43402399999997</v>
      </c>
      <c r="J220" s="3">
        <f>399.5+(486.7-342.1)+(-0.203745+(-0.248217--0.174471))+0-179.6--0.0915959999999818</f>
        <v>364.31410499999981</v>
      </c>
      <c r="K220" s="3">
        <f>340.1+(529.8-332.7)+(-0.173451+(-0.270198--0.169677))+0-182.7--0.0931769999999815</f>
        <v>354.31920500000007</v>
      </c>
      <c r="L220" s="3">
        <f>320.2+(576.7-364.6)+(-0.326604+(-0.588234--0.371892))+0-167.5--0.170850000000027</f>
        <v>364.42790399999996</v>
      </c>
      <c r="M220" s="3">
        <f>320.5+(550.2-302.6)+(0+(0-0))+0-171.5-0</f>
        <v>396.6</v>
      </c>
      <c r="N220" s="3">
        <f>379.9+(534.8-349.8)+(-0.387498+(-0.545496--0.356796))+0-121.6--0.124032000000019</f>
        <v>442.84783399999986</v>
      </c>
      <c r="O220" s="3">
        <f>459.6+(499-412.3)+(0.468792+(0.50898-0.420546))+0-87.4-0.0891480000000139</f>
        <v>459.36807799999997</v>
      </c>
      <c r="P220" s="3">
        <f>443.5+(462.5-340.4)+(-0.90474+(-0.9435--0.694416))+0-98.7--0.201347999999996</f>
        <v>465.94752400000004</v>
      </c>
      <c r="Q220" s="3">
        <f>444.2+(428.1-291)+(-0.226542+(-0.218331--0.14841))+0-94.2--0.0480419999999904</f>
        <v>486.85157899999996</v>
      </c>
      <c r="R220" s="3">
        <f>439.6+(398.3-230.3)+(-0.448392+(-0.406266--0.234906))+0-108.4--0.110568000000017</f>
        <v>498.6908160000001</v>
      </c>
      <c r="S220" s="3">
        <f>435.6+(342.8-166.4)+(-0.666468+(-0.524484--0.254592))+0-166.2--0.25428600000001</f>
        <v>445.11792600000001</v>
      </c>
      <c r="T220" s="3">
        <f>440.1+(366.3-205.6)+(0+(0-0))+0-175.1-0</f>
        <v>425.70000000000005</v>
      </c>
      <c r="U220" s="3">
        <f>447.9+(433.7-283.8)+(0.228429+(0.221187-0.144738))+0-165.2-0.0842519999999832</f>
        <v>432.820626</v>
      </c>
      <c r="V220" s="3">
        <f>471.2+(452.4-311.4)+(-0.480624+(-0.461448--0.317628))+0-174.3--0.177786000000028</f>
        <v>437.45334200000002</v>
      </c>
      <c r="W220" s="3">
        <f>534.4+(393-264.9)+(0+(0-0))+0-186-0</f>
        <v>476.5</v>
      </c>
      <c r="X220" s="3">
        <f>556.3+(332.3-221.1)+(-0.851139+(-0.508419--0.338283))+0-175.4--0.26836200000001</f>
        <v>491.3470870000001</v>
      </c>
      <c r="Y220" s="3">
        <f>559.2+(305.5-203.8)+(-0.570384+(-0.31161--0.207876))+0-185.3--0.18900600000003</f>
        <v>475.11488800000006</v>
      </c>
      <c r="Z220" s="3">
        <f>558.9+(314.1-233.2)+(-0.570078+(-0.320382--0.237864))+0-179.1--0.182682000000029</f>
        <v>460.23008599999997</v>
      </c>
      <c r="AA220" s="3">
        <f>558+(280.7-202.4)+(-0.56916+(-0.286314--0.206448))+0-190.7--0.19451400000003</f>
        <v>445.14548799999994</v>
      </c>
      <c r="AB220" s="3">
        <f>462.5+(292.2-156.5)+(0+(0-0))+0-170.1-0</f>
        <v>428.1</v>
      </c>
      <c r="AC220" s="3">
        <f>463.3+(287.7-153.8)+(-0.708849+(-0.440181--0.235314))+0-184.1--0.281673000000011</f>
        <v>412.46795700000001</v>
      </c>
      <c r="AD220">
        <v>492.80000000000007</v>
      </c>
      <c r="AE220" s="3">
        <f>551+(353-210.3)+(0+(0-0))+0-200.9-0</f>
        <v>492.80000000000007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489.2+(288.8-211.8)+(-0.498984+(-0.294576--0.216036))+0-178.8--0.182376000000029</f>
        <v>387.00485200000003</v>
      </c>
      <c r="G221" s="3">
        <f>511.8+(237.4-197.9)+(-0.261018+(-0.121074--0.100929))+0-171.7--0.0875669999999826</f>
        <v>379.40640399999995</v>
      </c>
      <c r="H221" s="3">
        <f>527.6+(307.2-279.6)+(0.807228+(0.470016-0.427788))+0-177.6-0.27172800000001</f>
        <v>378.17772800000006</v>
      </c>
      <c r="I221" s="3">
        <f>498.7+(314.9-260.4)+(-1.017348+(-0.642396--0.531216))+0-176.6--0.360263999999992</f>
        <v>375.83173600000003</v>
      </c>
      <c r="J221" s="3">
        <f>418.2+(349.6-213.1)+(0.426564+(0.356592-0.217362))+0-182-0.185640000000029</f>
        <v>373.08015399999999</v>
      </c>
      <c r="K221" s="3">
        <f>460.6+(392.8-311.5)+(-0.704718+(-0.600984--0.476595))+0-172.5--0.26392500000001</f>
        <v>368.8348180000001</v>
      </c>
      <c r="L221" s="3">
        <f>491.5+(440.2-377.7)+(-0.50133+(-0.449004--0.385254))+0-176.9--0.180438000000028</f>
        <v>376.71535800000009</v>
      </c>
      <c r="M221" s="3">
        <f>496.2+(440-364.6)+(0.253062+(0.2244-0.185946))+0-171.8-0.0876179999999826</f>
        <v>400.00389799999994</v>
      </c>
      <c r="N221" s="3">
        <f>497.7+(447.9-353)+(0.761481+(0.685287-0.54009))+0-165.3-0.25290900000001</f>
        <v>427.95376899999997</v>
      </c>
      <c r="O221" s="3">
        <f>496.3+(385.4-283.5)+(0.253113+(0.196554-0.144585))+0-168.3-0.0858329999999829</f>
        <v>430.11924900000002</v>
      </c>
      <c r="P221" s="3">
        <f>496.3+(330.5-214.1)+(0.253113+(0.168555-0.109191))+0-175.1-0.0893009999999822</f>
        <v>437.82317599999999</v>
      </c>
      <c r="Q221" s="3">
        <f>488+(280.6-160.1)+(-1.2444+(-0.71553--0.408255))+0-172.2--0.439109999999975</f>
        <v>435.18743499999994</v>
      </c>
      <c r="R221" s="3">
        <f>487.8+(250.1-137.9)+(-0.995112+(-0.510204--0.281316))+0-169.1--0.344963999999993</f>
        <v>430.02096399999994</v>
      </c>
      <c r="S221" s="3">
        <f>472.6+(231.5-118.8)+(-1.20513+(-0.590325--0.30294))+0-169--0.430949999999975</f>
        <v>415.23843500000004</v>
      </c>
      <c r="T221" s="3">
        <f>453.1+(247-128.5)+(-0.231081+(-0.12597--0.065535))+0-174.9--0.0891989999999823</f>
        <v>396.49768300000005</v>
      </c>
      <c r="U221" s="3">
        <f>477.1+(281.2-188.8)+(-0.729963+(-0.430236--0.288864))+0-170.9--0.26147700000001</f>
        <v>397.99014199999999</v>
      </c>
      <c r="V221" s="3">
        <f>545.4+(340.3-311.8)+(-0.278154+(-0.173553--0.159018))+0-171.4--0.0874139999999826</f>
        <v>402.29472499999997</v>
      </c>
      <c r="W221" s="3">
        <f>597.9+(316.8-277.4)+(0+(0-0))+0-185.3-0</f>
        <v>451.99999999999994</v>
      </c>
      <c r="X221" s="3">
        <f>610.5+(234.1-210.9)+(-0.311355+(-0.119391--0.107559))+0-178.7--0.0911369999999819</f>
        <v>454.7679500000001</v>
      </c>
      <c r="Y221" s="3">
        <f>615+(228.9-215.4)+(0.31365+(0.116739-0.109854))+0-185.1-0.0944009999999812</f>
        <v>443.62613399999992</v>
      </c>
      <c r="Z221" s="3">
        <f>608.8+(226.6-241)+(-0.931464+(-0.346698--0.36873))+0-168.1--0.25719300000001</f>
        <v>425.64776099999995</v>
      </c>
      <c r="AA221" s="3">
        <f>616.7+(242.8-257.7)+(-0.314517+(-0.123828--0.131427))+0-178.9--0.0912389999999818</f>
        <v>422.68432100000007</v>
      </c>
      <c r="AB221" s="3">
        <f>619.4+(241.9-268.7)+(-0.631788+(-0.246738--0.274074))+0-189.4--0.19318800000003</f>
        <v>402.78873600000003</v>
      </c>
      <c r="AC221" s="3">
        <f>619.3+(269.9-318.1)+(-0.631686+(-0.275298--0.324462))+0-178.5--0.182070000000028</f>
        <v>392.19954799999988</v>
      </c>
      <c r="AD221">
        <v>437.99999999999994</v>
      </c>
      <c r="AE221" s="3">
        <f>611+(231.8-204.1)+(0+(0-0))+0-200.7-0</f>
        <v>438.00000000000006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618.6+(304.5-380)+(-0.630972+(-0.31059--0.3876))+0-163.8--0.167076000000026</f>
        <v>378.91311400000006</v>
      </c>
      <c r="G222" s="3">
        <f>628.2+(334.8-436.6)+(0.640764+(0.341496-0.445332))+0-155-0.158100000000025</f>
        <v>371.77882800000003</v>
      </c>
      <c r="H222" s="3">
        <f>636.1+(314.4-439.2)+(0+(0-0))+0-149.4-0</f>
        <v>361.9</v>
      </c>
      <c r="I222" s="3">
        <f>631.5+(327.7-429.1)+(-0.64413+(-0.334254--0.437682))+0-173.5--0.176970000000028</f>
        <v>356.23626799999994</v>
      </c>
      <c r="J222" s="3">
        <f>641.3+(368.1-469.8)+(1.962378+(1.126386-1.437588))+0-178.8-0.547128000000021</f>
        <v>361.90404799999982</v>
      </c>
      <c r="K222" s="3">
        <f>633.8+(408.8-510.9)+(0+(0-0))+0-178.7-0</f>
        <v>353.00000000000006</v>
      </c>
      <c r="L222" s="3">
        <f>635.6+(423.1-557.9)+(-0.324156+(-0.215781--0.284529))+0-160--0.0815999999999838</f>
        <v>340.62619200000006</v>
      </c>
      <c r="M222" s="3">
        <f>633.7+(329.8-449.1)+(-0.323187+(-0.168198--0.229041))+0-180.1--0.0918509999999817</f>
        <v>334.12950700000005</v>
      </c>
      <c r="N222" s="3">
        <f>640.6+(291.2-424.9)+(0.980118+(0.445536-0.650097))+0-172.8-0.26438400000001</f>
        <v>334.61117300000001</v>
      </c>
      <c r="O222" s="3">
        <f>637.5+(291.9-416.4)+(0.325125+(0.148869-0.212364))+0-168.4-0.0858839999999829</f>
        <v>344.77574600000003</v>
      </c>
      <c r="P222" s="3">
        <f>634.4+(287.7-396.5)+(0+(0-0))+0-167.6-0</f>
        <v>357.99999999999989</v>
      </c>
      <c r="Q222" s="3">
        <f>628+(269.3-373)+(-0.96084+(-0.412029--0.57069))+0-153.2--0.234396000000009</f>
        <v>370.53221699999995</v>
      </c>
      <c r="R222" s="3">
        <f>625.9+(192-291.2)+(-0.638418+(-0.19584--0.297024))+0-162.3--0.165546000000026</f>
        <v>364.02831200000003</v>
      </c>
      <c r="S222" s="3">
        <f>611.5+(134.3-229.9)+(-1.24746+(-0.273972--0.468996))+0-156--0.318239999999993</f>
        <v>359.16580400000004</v>
      </c>
      <c r="T222" s="3">
        <f>586+(129.6-209.4)+(-0.89658+(-0.198288--0.320382))+0-154.3--0.236079000000009</f>
        <v>351.36159299999997</v>
      </c>
      <c r="U222" s="3">
        <f>561.7+(177.6-223.5)+(0+(0-0))+0-160.7-0</f>
        <v>355.10000000000008</v>
      </c>
      <c r="V222" s="3">
        <f>513.5+(251.6-235)+(0.261885+(0.128316-0.11985))+0-177.9-0.0907289999999819</f>
        <v>352.37962200000004</v>
      </c>
      <c r="W222" s="3">
        <f>529.2+(279.1-222.4)+(0+(0-0))+0-183.5-0</f>
        <v>402.40000000000009</v>
      </c>
      <c r="X222" s="3">
        <f>540.9+(247.4-183.2)+(-1.379295+(-0.63087--0.46716))+0-192.2--0.490109999999972</f>
        <v>411.847105</v>
      </c>
      <c r="Y222" s="3">
        <f>617.7+(215-231.9)+(-1.575135+(-0.54825--0.591345))+0-194--0.494699999999972</f>
        <v>405.76265999999998</v>
      </c>
      <c r="Z222" s="3">
        <f>695.5+(185.1-292.8)+(-1.41882+(-0.377604--0.597312))+0-177.8--0.362711999999992</f>
        <v>409.16359999999992</v>
      </c>
      <c r="AA222" s="3">
        <f>700.5+(171.2-282.4)+(0+(0-0))+0-183.2-0</f>
        <v>406.09999999999997</v>
      </c>
      <c r="AB222" s="3">
        <f>696.5+(166.1-294.8)+(-1.42086+(-0.338844--0.601392))+0-172.7--0.352307999999992</f>
        <v>394.29399599999994</v>
      </c>
      <c r="AC222" s="3">
        <f>699.9+(159.7-320.4)+(-1.784745+(-0.407235--0.81702))+0-164.4--0.419219999999976</f>
        <v>373.84426000000008</v>
      </c>
      <c r="AD222">
        <v>414.5</v>
      </c>
      <c r="AE222" s="3">
        <f>539+(260.2-187.7)+(0+(0-0))+0-197-0</f>
        <v>414.5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701.5+(137-307.8)+(-1.43106+(-0.27948--0.627912))+0-176.5--0.360059999999992</f>
        <v>353.47743200000002</v>
      </c>
      <c r="G223" s="3">
        <f>704.9+(142.7-340.3)+(-0.359499+(-0.072777--0.173553))+0-158.1--0.080630999999984</f>
        <v>349.021908</v>
      </c>
      <c r="H223" s="3">
        <f>707.8+(175.7-366.2)+(0.360978+(0.089607-0.186762))+0-176.6-0.0900659999999821</f>
        <v>340.87375699999996</v>
      </c>
      <c r="I223" s="3">
        <f>701.2+(214.5-388.5)+(-1.072836+(-0.328185--0.594405))+0-182.6--0.279378000000011</f>
        <v>344.07276200000007</v>
      </c>
      <c r="J223" s="3">
        <f>702.4+(177.2-355.6)+(-0.358224+(-0.090372--0.181356))+0-172.8--0.0881279999999825</f>
        <v>351.02088799999996</v>
      </c>
      <c r="K223" s="3">
        <f>703.9+(223.5-395.7)+(0+(0-0))+0-188.8-0</f>
        <v>342.90000000000003</v>
      </c>
      <c r="L223" s="3">
        <f>703.7+(258.8-429.2)+(0+(0-0))+0-159.2-0</f>
        <v>374.10000000000008</v>
      </c>
      <c r="M223" s="3">
        <f>705.6+(246.7-368.7)+(1.079568+(0.377451-0.564111))+0-180.9-0.27677700000001</f>
        <v>403.31613100000004</v>
      </c>
      <c r="N223" s="3">
        <f>704.7+(208.1-311)+(0.718794+(0.212262-0.31722))+0-170.2-0.173604000000027</f>
        <v>432.04023200000006</v>
      </c>
      <c r="O223" s="3">
        <f>705.9+(149.8-234.3)+(0.360009+(0.076398-0.119493))+0-186.4-0.0950639999999811</f>
        <v>435.22185000000002</v>
      </c>
      <c r="P223" s="3">
        <f>711.7+(114.5-201.4)+(0.725934+(0.11679-0.205428))+0-175.2-0.178704000000028</f>
        <v>450.05859200000003</v>
      </c>
      <c r="Q223" s="3">
        <f>671.5+(102.7-161.4)+(0.342465+(0.052377-0.082314))+0-166.5-0.0849149999999831</f>
        <v>446.52761300000003</v>
      </c>
      <c r="R223" s="3">
        <f>654.9+(82.6-146.6)+(-1.001997+(-0.126378--0.224298))+0-156.8--0.239904000000009</f>
        <v>433.43582699999996</v>
      </c>
      <c r="S223" s="3">
        <f>656.8+(103.3-182.1)+(-0.334968+(-0.052683--0.092871))+0-155.3--0.0792029999999843</f>
        <v>422.48442300000005</v>
      </c>
      <c r="T223" s="3">
        <f>659.5+(122.9-202.5)+(0+(0-0))+0-173.8-0</f>
        <v>406.09999999999997</v>
      </c>
      <c r="U223" s="3">
        <f>663+(195.3-294)+(-1.01439+(-0.298809--0.44982))+0-145.4--0.222462000000008</f>
        <v>418.25908299999998</v>
      </c>
      <c r="V223" s="3">
        <f>676.9+(288-390.7)+(1.035657+(0.44064-0.597771))+0-140.5-0.214965000000008</f>
        <v>434.363561</v>
      </c>
      <c r="W223" s="3">
        <f>679+(370.4-411.2)+(0.69258+(0.377808-0.419424))+0-153.8-0.156876000000025</f>
        <v>484.89408800000007</v>
      </c>
      <c r="X223" s="3">
        <f>673.8+(374.6-402)+(-1.030914+(-0.573138--0.61506))+0-155.1--0.237303000000009</f>
        <v>490.5483109999999</v>
      </c>
      <c r="Y223" s="3">
        <f>683.8+(349.8-402.9)+(-0.348738+(-0.178398--0.205479))+0-153.2--0.0781319999999845</f>
        <v>477.25647500000008</v>
      </c>
      <c r="Z223" s="3">
        <f>692.4+(333.5-414.7)+(-0.706248+(-0.34017--0.422994))+0-153.1--0.156162000000024</f>
        <v>457.63273800000007</v>
      </c>
      <c r="AA223" s="3">
        <f>704.3+(337.8-438.7)+(-1.077579+(-0.516834--0.671211))+0-151.3--0.231489000000009</f>
        <v>451.40828700000003</v>
      </c>
      <c r="AB223" s="3">
        <f>702.3+(350.6-472)+(-1.432692+(-0.715224--0.96288))+0-145.8--0.297431999999994</f>
        <v>434.21239600000001</v>
      </c>
      <c r="AC223" s="3">
        <f>703.7+(360.6-508.1)+(-1.076661+(-0.551718--0.777393))+0-148.6--0.227358000000009</f>
        <v>406.97637199999997</v>
      </c>
      <c r="AD223">
        <v>477.29999999999995</v>
      </c>
      <c r="AE223" s="3">
        <f>666+(374-402.7)+(0+(0-0))+0-160-0</f>
        <v>477.29999999999995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706.4+(387.1-562.1)+(-0.360264+(-0.197421--0.286671))+0-143--0.0729299999999855</f>
        <v>388.20191599999993</v>
      </c>
      <c r="G224" s="3">
        <f>704.5+(419.7-601.2)+(-1.077885+(-0.642141--0.919836))+0-144.8--0.221544000000008</f>
        <v>377.62135399999994</v>
      </c>
      <c r="H224" s="3">
        <f>693.8+(390.8-567.2)+(0.707676+(0.398616-0.578544))+0-143.8-0.146676000000023</f>
        <v>373.98107199999981</v>
      </c>
      <c r="I224" s="3">
        <f>558.9+(464.6-509.1)+(0.570078+(0.473892-0.519282))+0-140.7-0.143514000000022</f>
        <v>374.08117399999992</v>
      </c>
      <c r="J224" s="3">
        <f>541.3+(477.1-505.2)+(0.276063+(0.243321-0.257652))+0-141.5-0.0721649999999856</f>
        <v>371.88956700000011</v>
      </c>
      <c r="K224" s="3">
        <f>539.2+(509.3-537.2)+(0+(0-0))+0-142.3-0</f>
        <v>369</v>
      </c>
      <c r="L224" s="3">
        <f>540.3+(567.5-586)+(0+(0-0))+0-137.4-0</f>
        <v>384.4</v>
      </c>
      <c r="M224" s="3">
        <f>546.7+(493.3-488.9)+(1.115268+(1.006332-0.997356))+0-141.2-0.288047999999994</f>
        <v>410.73619600000012</v>
      </c>
      <c r="N224" s="3">
        <f>475.3+(441.7-351.8)+(0.242403+(0.225267-0.179418))+0-141.1-0.0719609999999857</f>
        <v>424.31629100000009</v>
      </c>
      <c r="O224" s="3">
        <f>540.8+(418-350.2)+(-0.275808+(-0.21318--0.178602))+0-141.1--0.0719609999999857</f>
        <v>467.26157499999988</v>
      </c>
      <c r="P224" s="3">
        <f>546.3+(375.2-333.5)+(0.557226+(0.382704-0.34017))+0-139.3-0.142086000000022</f>
        <v>449.15767399999993</v>
      </c>
      <c r="Q224" s="3">
        <f>546.3+(310.9-255)+(0+(0-0))+0-135.5-0</f>
        <v>466.69999999999993</v>
      </c>
      <c r="R224" s="3">
        <f>531.5+(260.8-212.9)+(-1.355325+(-0.66504--0.542895))+0-134.6--0.34322999999998</f>
        <v>443.66575999999992</v>
      </c>
      <c r="S224" s="3">
        <f>531.5+(229.2-190)+(0+(0-0))+0-136-0</f>
        <v>434.70000000000005</v>
      </c>
      <c r="T224" s="3">
        <f>530.4+(213.5-197.1)+(0.270504+(0.108885-0.100521))+0-135.4-0.0690539999999863</f>
        <v>411.60981399999997</v>
      </c>
      <c r="U224" s="3">
        <f>525+(246.9-239.6)+(-0.5355+(-0.251838--0.244392))+0-131.3--0.133926000000021</f>
        <v>400.59097999999994</v>
      </c>
      <c r="V224" s="3">
        <f>461.5+(270-175.8)+(0.706095+(0.4131-0.268974))+0-135.3-0.207009000000008</f>
        <v>421.04321200000004</v>
      </c>
      <c r="W224" s="3">
        <f>411.9+(319.2-113.5)+(0.420138+(0.325584-0.11577))+0-150.6-0.153612000000024</f>
        <v>467.47633999999988</v>
      </c>
      <c r="X224" s="3">
        <f>352.6+(353.9-87.1)+(-0.539478+(-0.541467--0.133263))+0-152.1--0.232713000000009</f>
        <v>466.58503099999996</v>
      </c>
      <c r="Y224" s="3">
        <f>389.3+(345.2-132.1)+(-0.794172+(-0.704208--0.269484))+0-150.7--0.307427999999993</f>
        <v>450.77853200000004</v>
      </c>
      <c r="Z224" s="3">
        <f>395.7+(387.9-187)+(-0.605421+(-0.593487--0.28611))+0-150.3--0.229959000000009</f>
        <v>445.61716099999995</v>
      </c>
      <c r="AA224" s="3">
        <f>383.2+(406.9-208.9)+(-0.781728+(-0.830076--0.426156))+0-150.4--0.306815999999993</f>
        <v>429.92116799999991</v>
      </c>
      <c r="AB224" s="3">
        <f>390.6+(399.8-227.9)+(-0.99603+(-1.01949--0.581145))+0-149.5--0.381224999999978</f>
        <v>411.94684999999993</v>
      </c>
      <c r="AC224" s="3">
        <f>466.6+(339.6-278.4)+(-0.713898+(-0.519588--0.425952))+0-147.6--0.225828000000009</f>
        <v>379.61829400000005</v>
      </c>
      <c r="AD224">
        <v>460.49999999999994</v>
      </c>
      <c r="AE224" s="3">
        <f>414+(339-141.2)+(0+(0-0))+0-151.3-0</f>
        <v>460.49999999999994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498.4+(284.9-269.1)+(-1.525104+(-0.871794--0.823446))+0-144--0.440640000000017</f>
        <v>369.06718799999999</v>
      </c>
      <c r="G225" s="3">
        <f>501.1+(215-208.3)+(-0.766683+(-0.32895--0.318699))+0-143.1--0.218943000000008</f>
        <v>364.14200900000009</v>
      </c>
      <c r="H225" s="3">
        <f>490.3+(235.5-224)+(-0.750159+(-0.360315--0.34272))+0-142.6--0.218178000000008</f>
        <v>358.65042399999999</v>
      </c>
      <c r="I225" s="3">
        <f>488.5+(265.2-256.2)+(-0.49827+(-0.270504--0.261324))+0-142.9--0.145758000000023</f>
        <v>354.23830799999996</v>
      </c>
      <c r="J225" s="3">
        <f>495.3+(291.9-290)+(1.263015+(0.744345-0.7395))+0-142.8-0.364139999999979</f>
        <v>355.30372</v>
      </c>
      <c r="K225" s="3">
        <f>491.7+(332.6-330.1)+(0.250767+(0.169626-0.168351))+0-141.8-0.0723179999999856</f>
        <v>352.579724</v>
      </c>
      <c r="L225" s="3">
        <f>489.8+(387.8-368.1)+(-0.249798+(-0.197778--0.187731))+0-137.4--0.0700739999999861</f>
        <v>371.91022899999996</v>
      </c>
      <c r="M225" s="3">
        <f>492.4+(366.5-322.1)+(0.502248+(0.37383-0.328542))+0-138.8-0.141576000000022</f>
        <v>398.40595999999994</v>
      </c>
      <c r="N225" s="3">
        <f>493.7+(414.4-343.1)+(0.251787+(0.211344-0.174981))+0-141.1-0.0719609999999857</f>
        <v>424.11618899999996</v>
      </c>
      <c r="O225" s="3">
        <f>493.3+(385.5-315.6)+(0.754749+(0.589815-0.482868))+0-142.9-0.218637000000008</f>
        <v>420.94305900000012</v>
      </c>
      <c r="P225" s="3">
        <f>522.4+(336.4-290.8)+(0.799272+(0.514692-0.444924))+0-134.1-0.205173000000008</f>
        <v>434.56386700000002</v>
      </c>
      <c r="Q225" s="3">
        <f>525.5+(290.2-243.5)+(-1.340025+(-0.74001--0.620925))+0-126.5--0.322574999999982</f>
        <v>444.56346500000001</v>
      </c>
      <c r="R225" s="3">
        <f>513.7+(261.9-200.6)+(-1.047948+(-0.534276--0.409224))+0-121.6--0.248063999999995</f>
        <v>452.47506399999997</v>
      </c>
      <c r="S225" s="3">
        <f>513+(232.9-187.2)+(-1.04652+(-0.475116--0.381888))+0-121.9--0.248675999999995</f>
        <v>435.908928</v>
      </c>
      <c r="T225" s="3">
        <f>518.2+(249.9-202.1)+(0.264282+(0.127449-0.103071))+0-141.9-0.0723689999999856</f>
        <v>424.31629100000009</v>
      </c>
      <c r="U225" s="3">
        <f>521.9+(250.1-213.4)+(-1.597014+(-0.765306--0.653004))+0-143.1--0.437886000000017</f>
        <v>414.22856999999993</v>
      </c>
      <c r="V225" s="3">
        <f>532.3+(261.3-233.1)+(0.814419+(0.399789-0.356643))+0-140.6-0.215118000000008</f>
        <v>420.54244699999998</v>
      </c>
      <c r="W225" s="3">
        <f>601.7+(245.1-229.2)+(1.227468+(0.500004-0.467568))+0-147.9-0.301715999999994</f>
        <v>470.65818800000005</v>
      </c>
      <c r="X225" s="3">
        <f>668.5+(268.8-311.2)+(-1.704675+(-0.68544--0.79356))+0-147.1--0.375104999999979</f>
        <v>477.77855</v>
      </c>
      <c r="Y225" s="3">
        <f>678.8+(285.9-352.9)+(-1.73094+(-0.729045--0.899895))+0-146.1--0.372554999999979</f>
        <v>464.51246499999996</v>
      </c>
      <c r="Z225" s="3">
        <f>690.5+(286-367.6)+(-1.40862+(-0.58344--0.749904))+0-147.4--0.300695999999994</f>
        <v>460.55853999999999</v>
      </c>
      <c r="AA225" s="3">
        <f>685.5+(288.2-377.1)+(-1.748025+(-0.73491--0.961605))+0-149.5--0.381224999999978</f>
        <v>445.95989499999985</v>
      </c>
      <c r="AB225" s="3">
        <f>701.9+(169.4-298.4)+(0.715938+(0.172788-0.304368))+0-148-0.150960000000024</f>
        <v>425.33339799999993</v>
      </c>
      <c r="AC225" s="3">
        <f>675.8+(109.2-238.3)+(-1.378632+(-0.222768--0.486132))+0-146.7--0.299267999999994</f>
        <v>399.18399999999991</v>
      </c>
      <c r="AD225">
        <v>501.5</v>
      </c>
      <c r="AE225" s="3">
        <f>668+(286.4-305.4)+(0+(0-0))+0-147.5-0</f>
        <v>501.5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628.5+(137.4-240)+(-1.28214+(-0.280296--0.4896))+0-145--0.295799999999994</f>
        <v>380.12296399999991</v>
      </c>
      <c r="G226" s="3">
        <f>628.4+(185.8-304.4)+(-1.281936+(-0.379032--0.620976))+0-142.6--0.290903999999994</f>
        <v>366.45091200000007</v>
      </c>
      <c r="H226" s="3">
        <f>624+(214-336.6)+(0+(0-0))+0-138.3-0</f>
        <v>363.09999999999997</v>
      </c>
      <c r="I226" s="3">
        <f>617.4+(248.2-369.5)+(-1.259496+(-0.506328--0.75378))+0-139.5--0.284579999999994</f>
        <v>355.87253599999997</v>
      </c>
      <c r="J226" s="3">
        <f>628.7+(262.2-394.5)+(0.961911+(0.401166-0.603585))+0-141.2-0.216036000000008</f>
        <v>355.74345600000004</v>
      </c>
      <c r="K226" s="3">
        <f>624.7+(288.2-411.6)+(0.318597+(0.146982-0.209916))+0-143.7-0.0732869999999854</f>
        <v>357.78237600000006</v>
      </c>
      <c r="L226" s="3">
        <f>618.9+(338.4-458.3)+(-0.631278+(-0.345168--0.467466))+0-130.9--0.133518000000021</f>
        <v>367.724538</v>
      </c>
      <c r="M226" s="3">
        <f>630.7+(322.2-411.3)+(0.643314+(0.328644-0.419526))+0-140.2-0.143004000000022</f>
        <v>401.80942799999997</v>
      </c>
      <c r="N226" s="3">
        <f>643.8+(320-403.9)+(0.656676+(0.3264-0.411978))+0-143.7-0.146574000000023</f>
        <v>416.62452399999995</v>
      </c>
      <c r="O226" s="3">
        <f>675.6+(259.6-374.6)+(1.033668+(0.397188-0.573138))+0-83-0.126990000000005</f>
        <v>478.33072800000002</v>
      </c>
      <c r="P226" s="3">
        <f>676.8+(218.4-310.1)+(-1.72584+(-0.55692--0.790755))+0-140--0.35699999999998</f>
        <v>443.96499499999993</v>
      </c>
      <c r="Q226" s="3">
        <f>679+(182.6-272.1)+(-1.03887+(-0.279378--0.416313))+0-141--0.215730000000008</f>
        <v>447.81379500000003</v>
      </c>
      <c r="R226" s="3">
        <f>715.4+(142.4-270)+(-1.459416+(-0.290496--0.5508))+0-139.1--0.283763999999994</f>
        <v>447.78465199999994</v>
      </c>
      <c r="S226" s="3">
        <f>720.3+(128.6-271.1)+(0.734706+(0.131172-0.276522))+0-142.1-0.144942000000023</f>
        <v>436.14441399999987</v>
      </c>
      <c r="T226" s="3">
        <f>697+(145.5-272.9)+(-1.06641+(-0.222615--0.417537))+0-138.8--0.212364000000008</f>
        <v>430.14087600000005</v>
      </c>
      <c r="U226" s="3">
        <f>680.3+(203.4-324.1)+(-1.040859+(-0.311202--0.495873))+0-135.9--0.207927000000008</f>
        <v>423.05173899999994</v>
      </c>
      <c r="V226" s="3">
        <f>682.3+(278.8-383.7)+(0.347973+(0.142188-0.195687))+0-139.3-0.0710429999999859</f>
        <v>438.32343100000003</v>
      </c>
      <c r="W226" s="3">
        <f>689.6+(246.4-306.1)+(0.351696+(0.125664-0.156111))+0-147.1-0.0750209999999851</f>
        <v>483.04622799999993</v>
      </c>
      <c r="X226" s="3">
        <f>741.4+(171.3-281.4)+(-1.134342+(-0.262089--0.430542))+0-144.1--0.220473000000008</f>
        <v>486.45458400000001</v>
      </c>
      <c r="Y226" s="3">
        <f>743.9+(165.7-293.5)+(-1.896945+(-0.422535--0.748425))+0-141.8--0.361589999999979</f>
        <v>473.09053499999987</v>
      </c>
      <c r="Z226" s="3">
        <f>735.7+(163.8-298.5)+(-0.375207+(-0.083538--0.152235))+0-143.4--0.0731339999999855</f>
        <v>457.366624</v>
      </c>
      <c r="AA226" s="3">
        <f>671+(157.9-242.9)+(-1.02663+(-0.241587--0.371637))+0-144.6--0.221238000000008</f>
        <v>440.72465800000003</v>
      </c>
      <c r="AB226" s="3">
        <f>658.7+(160.1-248)+(-1.007811+(-0.244953--0.37944))+0-146.7--0.224451000000008</f>
        <v>423.45112700000004</v>
      </c>
      <c r="AC226" s="3">
        <f>655.3+(157.2-261.4)+(-1.671015+(-0.40086--0.66657))+0-143.2--0.365159999999979</f>
        <v>406.85985499999992</v>
      </c>
      <c r="AD226">
        <v>490.5</v>
      </c>
      <c r="AE226" s="3">
        <f>750+(178.8-298.9)+(0+(0-0))+0-139.4-0</f>
        <v>490.50000000000011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659.8+(159.7-291.5)+(-0.672996+(-0.162894--0.29733))+0-138.7--0.141474000000022</f>
        <v>388.90291400000007</v>
      </c>
      <c r="G227" s="3">
        <f>627.3+(145.1-261.3)+(-0.319923+(-0.074001--0.133263))+0-135.1--0.0689009999999863</f>
        <v>375.80823999999984</v>
      </c>
      <c r="H227" s="3">
        <f>625.4+(154.1-276.6)+(-0.318954+(-0.078591--0.141066))+0-135.5--0.0691049999999863</f>
        <v>367.21262599999994</v>
      </c>
      <c r="I227" s="3">
        <f>623.9+(154.9-282.7)+(-0.318189+(-0.078999--0.144177))+0-134.3--0.0684929999999864</f>
        <v>361.61548199999999</v>
      </c>
      <c r="J227" s="3">
        <f>624.3+(165.7-287.7)+(-0.318393+(-0.084507--0.146727))+0-136.2--0.0694619999999862</f>
        <v>365.91328899999996</v>
      </c>
      <c r="K227" s="3">
        <f>630.3+(181.2-303.1)+(0.642906+(0.184824-0.309162))+0-139.4-0.142188000000022</f>
        <v>369.37637999999993</v>
      </c>
      <c r="L227" s="3">
        <f>626.7+(217.6-332.3)+(0.319617+(0.110976-0.169473))+0-136.5-0.0696149999999861</f>
        <v>375.69150500000001</v>
      </c>
      <c r="M227" s="3">
        <f>630.9+(232-319.7)+(0.965277+(0.35496-0.489141))+0-138.3-0.211599000000008</f>
        <v>405.519497</v>
      </c>
      <c r="N227" s="3">
        <f>646.3+(239.4-322.8)+(0+(0-0))+0-138.7-0</f>
        <v>424.2</v>
      </c>
      <c r="O227" s="3">
        <f>670.4+(126.7-208.4)+(0+(0-0))+0-134.7-0</f>
        <v>453.99999999999994</v>
      </c>
      <c r="P227" s="3">
        <f>717.2+(123.8-274.1)+(0+(0-0))+0-148.2-0</f>
        <v>418.7000000000001</v>
      </c>
      <c r="Q227" s="3">
        <f>742.7+(133.1-294)+(0+(0-0))+0-130.2-0</f>
        <v>451.60000000000008</v>
      </c>
      <c r="R227" s="3">
        <f>755.7+(121.6-291.5)+(-0.770814+(-0.124032--0.29733))+0-127.7--0.13025400000002</f>
        <v>457.63273800000007</v>
      </c>
      <c r="S227" s="3">
        <f>704.9+(98.3-229.4)+(-0.359499+(-0.050133--0.116994))+0-126.7--0.0646169999999871</f>
        <v>446.87197899999995</v>
      </c>
      <c r="T227" s="3">
        <f>672+(108.4-221.4)+(-0.34272+(-0.055284--0.112914))+0-128.8--0.0656879999999869</f>
        <v>429.98059799999999</v>
      </c>
      <c r="U227" s="3">
        <f>669.6+(135.9-245.3)+(-1.024488+(-0.207927--0.375309))+0-131.8--0.201654000000008</f>
        <v>427.74454800000001</v>
      </c>
      <c r="V227" s="3">
        <f>677.6+(157.9-261)+(-0.345576+(-0.080529--0.13311))+0-137.5--0.070124999999986</f>
        <v>436.77712999999994</v>
      </c>
      <c r="W227" s="3">
        <f>715.5+(179.6-266.6)+(0+(0-0))+0-148.1-0</f>
        <v>480.4</v>
      </c>
      <c r="X227" s="3">
        <f>767.2+(178.1-308.3)+(-1.565088+(-0.363324--0.628932))+0-150.7--0.307427999999993</f>
        <v>485.30794800000001</v>
      </c>
      <c r="Y227" s="3">
        <f>751.4+(181-312.7)+(-0.766428+(-0.18462--0.318954))+0-149--0.151980000000024</f>
        <v>470.21988600000003</v>
      </c>
      <c r="Z227" s="3">
        <f>725.5+(170.2-289.3)+(0+(0-0))+0-147.3-0</f>
        <v>459.09999999999997</v>
      </c>
      <c r="AA227" s="3">
        <f>722.8+(156.9-279.4)+(-1.105884+(-0.240057--0.427482))+0-146.6--0.224298000000008</f>
        <v>453.00583899999998</v>
      </c>
      <c r="AB227" s="3">
        <f>722.7+(158.7-303.7)+(-1.105731+(-0.242811--0.464661))+0-145.9--0.223227000000008</f>
        <v>431.1393460000001</v>
      </c>
      <c r="AC227" s="3">
        <f>722.9+(165.2-329.3)+(-1.106037+(-0.252756--0.503829))+0-143.7--0.219861000000008</f>
        <v>414.46489699999995</v>
      </c>
      <c r="AD227">
        <v>470.8</v>
      </c>
      <c r="AE227" s="3">
        <f>744+(183.6-309.1)+(0+(0-0))+0-147.7-0</f>
        <v>470.8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682+(173.2-325.5)+(0+(0-0))+0-141.8-0</f>
        <v>387.90000000000003</v>
      </c>
      <c r="G228" s="3">
        <f>668+(168.6-308.6)+(-0.68136+(-0.171972--0.314772))+0-141.8--0.144636000000023</f>
        <v>385.80607600000008</v>
      </c>
      <c r="H228" s="3">
        <f>661.5+(169.7-318.2)+(-1.686825+(-0.432735--0.81141))+0-141.9--0.361844999999979</f>
        <v>370.15369499999991</v>
      </c>
      <c r="I228" s="3">
        <f>672.5+(160.6-322.5)+(0+(0-0))+0-138.1-0</f>
        <v>372.5</v>
      </c>
      <c r="J228" s="3">
        <f>672.2+(172.6-347.6)+(0+(0-0))+0-140.4-0</f>
        <v>356.80000000000007</v>
      </c>
      <c r="K228" s="3">
        <f>673.9+(175.7-346.7)+(0.343689+(0.089607-0.176817))+0-138.4-0.070583999999986</f>
        <v>364.68589500000002</v>
      </c>
      <c r="L228" s="3">
        <f>668.5+(209.2-374.5)+(-1.022805+(-0.320076--0.572985))+0-136--0.208080000000008</f>
        <v>366.63818399999997</v>
      </c>
      <c r="M228" s="3">
        <f>676.5+(170.4-308.9)+(-0.345015+(-0.086904--0.157539))+0-139.5--0.0711449999999858</f>
        <v>398.29676500000005</v>
      </c>
      <c r="N228" s="3">
        <f>698.5+(170.7-304.5)+(0.356235+(0.087057-0.155295))+0-140.3-0.0715529999999858</f>
        <v>424.61644400000006</v>
      </c>
      <c r="O228" s="3">
        <f>678.7+(190.5-297.7)+(0.346137+(0.097155-0.151827))+0-142.5-0.0726749999999855</f>
        <v>429.21879000000001</v>
      </c>
      <c r="P228" s="3">
        <f>685+(156.7-254.1)+(0.34935+(0.079917-0.129591))+0-143.1-0.0729809999999855</f>
        <v>444.72669500000001</v>
      </c>
      <c r="Q228" s="3">
        <f>690.1+(151.9-247.6)+(0+(0-0))+0-145.8-0</f>
        <v>448.60000000000008</v>
      </c>
      <c r="R228" s="3">
        <f>690.7+(125.6-231.3)+(-0.352257+(-0.064056--0.117963))+0-139.5--0.0711449999999858</f>
        <v>445.27279499999997</v>
      </c>
      <c r="S228" s="3">
        <f>688.4+(119.3-242.1)+(-1.053252+(-0.182529--0.370413))+0-140.1--0.214353000000008</f>
        <v>424.84898500000003</v>
      </c>
      <c r="T228" s="3">
        <f>696.5+(122.5-284)+(0.71043+(0.12495-0.28968))+0-142-0.144840000000023</f>
        <v>393.40085999999997</v>
      </c>
      <c r="U228" s="3">
        <f>689.3+(137.3-288.1)+(-0.703086+(-0.140046--0.293862))+0-132.4--0.135048000000021</f>
        <v>405.68577800000008</v>
      </c>
      <c r="V228" s="3">
        <f>663.6+(155.5-286)+(0+(0-0))+0-129.6-0</f>
        <v>403.5</v>
      </c>
      <c r="W228" s="3">
        <f>695.7+(138.3-240.4)+(0.709614+(0.141066-0.245208))+0-132.6-0.135252000000021</f>
        <v>461.47021999999993</v>
      </c>
      <c r="X228" s="3">
        <f>718.1+(132.6-238.9)+(0+(0-0))+0-151-0</f>
        <v>460.79999999999995</v>
      </c>
      <c r="Y228" s="3">
        <f>688.6+(136.8-230.8)+(-2.107116+(-0.418608--0.706248))+0-152.1--0.465426000000018</f>
        <v>441.14595000000003</v>
      </c>
      <c r="Z228" s="3">
        <f>649+(130.3-202.1)+(-0.66198+(-0.132906--0.206142))+0-149.9--0.152898000000024</f>
        <v>426.8641540000001</v>
      </c>
      <c r="AA228" s="3">
        <f>647.1+(111.1-192.1)+(-0.990063+(-0.169983--0.293913))+0-153.8--0.235314000000009</f>
        <v>411.66918100000004</v>
      </c>
      <c r="AB228" s="3">
        <f>647.1+(118.9-219.4)+(-0.990063+(-0.181917--0.335682))+0-150.8--0.230724000000009</f>
        <v>395.19442599999996</v>
      </c>
      <c r="AC228" s="3">
        <f>644.1+(122.2-233.3)+(-1.642455+(-0.31161--0.594915))+0-149.6--0.381479999999978</f>
        <v>382.42232999999993</v>
      </c>
      <c r="AD228">
        <v>467.6</v>
      </c>
      <c r="AE228" s="3">
        <f>721+(133-235.4)+(0+(0-0))+0-151-0</f>
        <v>467.6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637.9+(149.7-265.5)+(0+(0-0))+0-147.7-0</f>
        <v>374.39999999999992</v>
      </c>
      <c r="G229" s="3">
        <f>627.9+(153.8-276)+(-0.320229+(-0.078438--0.14076))+0-144--0.0734399999999854</f>
        <v>361.515533</v>
      </c>
      <c r="H229" s="3">
        <f>629.2+(169.7-295.9)+(0+(0-0))+0-144.9-0</f>
        <v>358.1</v>
      </c>
      <c r="I229" s="3">
        <f>630.5+(176.5-310.5)+(0+(0-0))+0-144.2-0</f>
        <v>352.3</v>
      </c>
      <c r="J229" s="3">
        <f>626+(199.2-334.2)+(0.31926+(0.101592-0.170442))+0-139.5-0.0711449999999858</f>
        <v>351.67926499999999</v>
      </c>
      <c r="K229" s="3">
        <f>624+(223-360.2)+(-0.63648+(-0.22746--0.367404))+0-138.9--0.141678000000022</f>
        <v>347.545142</v>
      </c>
      <c r="L229" s="3">
        <f>622.6+(209.3-368)+(-0.952578+(-0.320229--0.56304))+0-133.5--0.204255000000008</f>
        <v>329.89448800000002</v>
      </c>
      <c r="M229" s="3">
        <f>623.8+(166.9-320.2)+(-0.318138+(-0.085119--0.163302))+0-132.2--0.0674219999999866</f>
        <v>338.12746699999997</v>
      </c>
      <c r="N229" s="3">
        <f>628.2+(141.1-294.2)+(0.320382+(0.071961-0.150042))+0-133.4-0.0680339999999865</f>
        <v>341.87426700000003</v>
      </c>
      <c r="O229" s="3">
        <f>626.2+(129.2-268.6)+(0+(0-0))+0-135.2-0</f>
        <v>351.6</v>
      </c>
      <c r="P229" s="3">
        <f>622.7+(131.3-260)+(-0.635154+(-0.133926--0.2652))+0-136.4--0.139128000000022</f>
        <v>357.23524800000007</v>
      </c>
      <c r="Q229" s="3">
        <f>571.8+(119.1-223.4)+(-0.874854+(-0.182223--0.341802))+0-91.5--0.139995000000005</f>
        <v>375.42471999999992</v>
      </c>
      <c r="R229" s="3">
        <f>573.3+(105.3-225.5)+(-0.877149+(-0.161109--0.345015))+0-66.1--0.101133000000004</f>
        <v>386.40788999999995</v>
      </c>
      <c r="S229" s="3">
        <f>573.1+(94.6-221.3)+(-0.876843+(-0.144738--0.338589))+0-63.9--0.0977670000000037</f>
        <v>381.91477499999996</v>
      </c>
      <c r="T229" s="3">
        <f>549.2+(86-202.6)+(-0.560184+(-0.08772--0.206652))+0-68.6--0.0699720000000109</f>
        <v>363.62872000000004</v>
      </c>
      <c r="U229" s="3">
        <f>534.8+(95.9-196.7)+(-0.272748+(-0.048909--0.100317))+0-72.8--0.0371279999999926</f>
        <v>361.01578799999999</v>
      </c>
      <c r="V229" s="3">
        <f>535+(108.9-201.7)+(0.81855+(0.166617-0.308601))+0-68.6-0.104958000000004</f>
        <v>374.17160799999999</v>
      </c>
      <c r="W229" s="3">
        <f>620.8+(119.4-215.6)+(0.949824+(0.182682-0.329868))+0-100.3-0.153459000000006</f>
        <v>424.9491789999999</v>
      </c>
      <c r="X229" s="3">
        <f>705.1+(107-262)+(0.359601+(0.05457-0.13362))+0-121.5-0.0619649999999877</f>
        <v>428.81858599999998</v>
      </c>
      <c r="Y229" s="3">
        <f>707.8+(108.3-270)+(0+(0-0))+0-121.7-0</f>
        <v>424.39999999999992</v>
      </c>
      <c r="Z229" s="3">
        <f>710.8+(106.1-273.6)+(0.725016+(0.108222-0.279072))+0-134.4-0.137088000000021</f>
        <v>409.31707799999998</v>
      </c>
      <c r="AA229" s="3">
        <f>709.5+(98.6-283.8)+(0+(0-0))+0-137.6-0</f>
        <v>386.69999999999993</v>
      </c>
      <c r="AB229" s="3">
        <f>679+(109-271.3)+(-0.69258+(-0.11118--0.276726))+0-135.4--0.138108000000022</f>
        <v>380.91107400000016</v>
      </c>
      <c r="AC229" s="3">
        <f>631.4+(134.9-262.5)+(-0.966042+(-0.206397--0.401625))+0-133--0.203490000000008</f>
        <v>370.23267599999997</v>
      </c>
      <c r="AD229">
        <v>431.00000000000006</v>
      </c>
      <c r="AE229" s="3">
        <f>703+(112.4-263.2)+(0+(0-0))+0-121.2-0</f>
        <v>431.00000000000006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630.4+(71.2-218.7)+(0+(0-0))+0-130.4-0</f>
        <v>352.5</v>
      </c>
      <c r="G230" s="3">
        <f>630.1+(71.9-230.8)+(0.642702+(0.073338-0.235416))+0-130.5-0.133110000000021</f>
        <v>341.04751399999998</v>
      </c>
      <c r="H230" s="3">
        <f>626.8+(57.7-215.1)+(0+(0-0))+0-130-0</f>
        <v>339.4</v>
      </c>
      <c r="I230" s="3">
        <f>622.4+(63.6-226.4)+(-0.634848+(-0.064872--0.230928))+0-131.2--0.133824000000021</f>
        <v>328.06503199999997</v>
      </c>
      <c r="J230" s="3">
        <f>622.4+(89.6-244.1)+(0+(0-0))+0-129-0</f>
        <v>338.9</v>
      </c>
      <c r="K230" s="3">
        <f>629.6+(93.9-256.7)+(0.321096+(0.047889-0.130917))+0-127-0.0647699999999871</f>
        <v>339.97329800000006</v>
      </c>
      <c r="L230" s="3">
        <f>627.3+(106.1-249.1)+(-0.639846+(-0.108222--0.254082))+0-123.6--0.12607200000002</f>
        <v>360.332086</v>
      </c>
      <c r="M230" s="3">
        <f>629.7+(99.7-207.6)+(0.321147+(0.050847-0.105876))+0-127.2-0.0648719999999871</f>
        <v>394.80124600000011</v>
      </c>
      <c r="N230" s="3">
        <f>635.3+(92.6-182.1)+(0.972009+(0.141678-0.278613))+0-124.4-0.190332000000007</f>
        <v>422.04474199999993</v>
      </c>
      <c r="O230" s="3">
        <f>633.6+(85.4-163.2)+(-0.323136+(-0.043554--0.083232))+0-126.4--0.0644639999999872</f>
        <v>429.18100600000008</v>
      </c>
      <c r="P230" s="3">
        <f>666.4+(79.3-170.8)+(1.019592+(0.121329-0.261324))+0-126.9-0.194157000000007</f>
        <v>448.68543999999997</v>
      </c>
      <c r="Q230" s="3">
        <f>668.5+(89.1-180.4)+(0+(0-0))+0-126.8-0</f>
        <v>450.40000000000003</v>
      </c>
      <c r="R230" s="3">
        <f>673.8+(105.5-200.6)+(0.343638+(0.053805-0.102306))+0-123.8-0.0631379999999874</f>
        <v>455.13199899999989</v>
      </c>
      <c r="S230" s="3">
        <f>673.1+(117-225.2)+(0.686562+(0.11934-0.229704))+0-122.7-0.12515400000002</f>
        <v>442.65104400000007</v>
      </c>
      <c r="T230" s="3">
        <f>672.5+(83.6-216.2)+(0.68595+(0.085272-0.220524))+0-123.2-0.12566400000002</f>
        <v>417.12503399999997</v>
      </c>
      <c r="U230" s="3">
        <f>669+(69.5-195.2)+(-0.34119+(-0.035445--0.099552))+0-126.8--0.0646679999999871</f>
        <v>416.28758499999998</v>
      </c>
      <c r="V230" s="3">
        <f>678.2+(70.7-206.1)+(0+(0-0))+0-107.6-0</f>
        <v>435.20000000000005</v>
      </c>
      <c r="W230" s="3">
        <f>717.9+(97.6-227.7)+(0.732258+(0.099552-0.232254))+0-106.9-0.109038000000017</f>
        <v>481.39051799999999</v>
      </c>
      <c r="X230" s="3">
        <f>707.3+(137.5-235.5)+(0+(0-0))+0-136.5-0</f>
        <v>472.79999999999995</v>
      </c>
      <c r="Y230" s="3">
        <f>703.4+(130.7-236.2)+(0+(0-0))+0-133.5-0</f>
        <v>464.4</v>
      </c>
      <c r="Z230" s="3">
        <f>707.5+(113-229.7)+(-1.082475+(-0.17289--0.351441))+0-132.3--0.202419000000008</f>
        <v>457.798495</v>
      </c>
      <c r="AA230" s="3">
        <f>707.5+(88.5-215)+(-1.082475+(-0.135405--0.32895))+0-132.5--0.202725000000008</f>
        <v>447.81379500000003</v>
      </c>
      <c r="AB230" s="3">
        <f>706.1+(79-221.7)+(-1.440444+(-0.16116--0.452268))+0-135.8--0.277031999999994</f>
        <v>426.72769600000015</v>
      </c>
      <c r="AC230" s="3">
        <f>698.7+(65-218.3)+(-1.781685+(-0.16575--0.556665))+0-135.7--0.34603499999998</f>
        <v>408.6552650000001</v>
      </c>
      <c r="AD230">
        <v>472.10000000000008</v>
      </c>
      <c r="AE230" s="3">
        <f>710+(140.6-241.7)+(0+(0-0))+0-136.8-0</f>
        <v>472.09999999999997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643.9+(78.9-197.3)+(-0.656778+(-0.080478--0.201246))+0-135.9--0.138618000000022</f>
        <v>389.202608</v>
      </c>
      <c r="G231" s="3">
        <f>540+(109.4-139.2)+(-1.377+(-0.27897--0.35496))+0-136.3--0.34756499999998</f>
        <v>372.94655499999999</v>
      </c>
      <c r="H231" s="3">
        <f>551+(107.9-157.3)+(0.28101+(0.055029-0.080223))+0-133.1-0.0678809999999865</f>
        <v>368.68793499999998</v>
      </c>
      <c r="I231" s="3">
        <f>547.9+(118.2-169.1)+(-0.838287+(-0.180846--0.258723))+0-132.4--0.202572000000008</f>
        <v>364.04216200000008</v>
      </c>
      <c r="J231" s="3">
        <f>557.6+(116-179.6)+(0.853128+(0.17748-0.274788))+0-129.5-0.198135000000007</f>
        <v>365.05768500000005</v>
      </c>
      <c r="K231" s="3">
        <f>546.4+(123.6-171.2)+(-1.114656+(-0.252144--0.349248))+0-132.8--0.270911999999994</f>
        <v>365.25335999999993</v>
      </c>
      <c r="L231" s="3">
        <f>556.8+(160.5-213.3)+(-1.135872+(-0.32742--0.435132))+0-132.7--0.270707999999994</f>
        <v>370.54254799999995</v>
      </c>
      <c r="M231" s="3">
        <f>548.4+(156.8-180.3)+(-1.118736+(-0.319872--0.367812))+0-128.3--0.261731999999994</f>
        <v>395.79093599999999</v>
      </c>
      <c r="N231" s="3">
        <f>583.7+(130.7-179.8)+(-1.190748+(-0.266628--0.366792))+0-141.2--0.288047999999994</f>
        <v>392.597464</v>
      </c>
      <c r="O231" s="3">
        <f>619.4+(155.9-220.1)+(-1.263576+(-0.318036--0.449004))+0-130.5--0.266219999999994</f>
        <v>423.83361200000002</v>
      </c>
      <c r="P231" s="3">
        <f>642.7+(126.8-192.5)+(0+(0-0))+0-140.6-0</f>
        <v>436.4</v>
      </c>
      <c r="Q231" s="3">
        <f>670.5+(101.5-189.3)+(-0.68391+(-0.10353--0.193086))+0-141.8--0.144636000000023</f>
        <v>440.45028200000013</v>
      </c>
      <c r="R231" s="3">
        <f>666.5+(93.4-176.8)+(-0.67983+(-0.095268--0.180336))+0-143--0.145860000000023</f>
        <v>439.6510980000001</v>
      </c>
      <c r="S231" s="3">
        <f>667.3+(88.9-186.8)+(-0.680646+(-0.090678--0.190536))+0-139.2--0.141984000000022</f>
        <v>429.76119600000004</v>
      </c>
      <c r="T231" s="3">
        <f>668.7+(100.5-208.5)+(-0.341037+(-0.051255--0.106335))+0-149--0.0759899999999849</f>
        <v>411.49003299999998</v>
      </c>
      <c r="U231" s="3">
        <f>660.8+(102.9-254.4)+(-0.337008+(-0.052479--0.129744))+0-124.8--0.0636479999999873</f>
        <v>384.30390499999993</v>
      </c>
      <c r="V231" s="3">
        <f>672.5+(123.3-267.6)+(0.68595+(0.125766-0.272952))+0-132.4-0.135048000000021</f>
        <v>396.20371600000004</v>
      </c>
      <c r="W231" s="3">
        <f>669.3+(102.5-178.9)+(-0.682686+(-0.10455--0.182478))+0-142.1--0.144942000000023</f>
        <v>450.34018400000002</v>
      </c>
      <c r="X231" s="3">
        <f>681.7+(80.4-162.5)+(-1.043001+(-0.123012--0.248625))+0-153.3--0.234549000000009</f>
        <v>445.61716100000007</v>
      </c>
      <c r="Y231" s="3">
        <f>680+(95.1-182.3)+(-0.6936+(-0.097002--0.185946))+0-145.3--0.148206000000023</f>
        <v>447.04354999999998</v>
      </c>
      <c r="Z231" s="3">
        <f>678.6+(104-184.5)+(-0.346086+(-0.05304--0.094095))+0-159.2--0.0811919999999838</f>
        <v>438.67616100000004</v>
      </c>
      <c r="AA231" s="3">
        <f>671.8+(100.2-179.9)+(-1.027854+(-0.153306--0.275247))+0-165.6--0.25336800000001</f>
        <v>425.84745499999985</v>
      </c>
      <c r="AB231" s="3">
        <f>673.2+(107.4-222.6)+(-0.686664+(-0.109548--0.227052))+0-153.4--0.156468000000024</f>
        <v>404.18730800000003</v>
      </c>
      <c r="AC231" s="3">
        <f>668.5+(118.8-247)+(-1.36374+(-0.242352--0.50388))+0-155.8--0.317831999999993</f>
        <v>383.71561999999994</v>
      </c>
      <c r="AD231">
        <v>465.50000000000006</v>
      </c>
      <c r="AE231" s="3">
        <f>675+(93.7-161)+(0+(0-0))+0-142.2-0</f>
        <v>465.50000000000006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678.3+(146.6-300.8)+(-0.345933+(-0.074766--0.153408))+0-155--0.0790499999999843</f>
        <v>368.9117589999999</v>
      </c>
      <c r="G232" s="3">
        <f>624.3+(173.3-270.7)+(0.318393+(0.088383-0.138057))+0-172.1-0.0877709999999825</f>
        <v>354.98094800000001</v>
      </c>
      <c r="H232" s="3">
        <f>547.3+(171-207.8)+(0+(0-0))+0-165.7-0</f>
        <v>344.79999999999995</v>
      </c>
      <c r="I232" s="3">
        <f>543.6+(174.6-212.8)+(-0.554472+(-0.178092--0.217056))+0-166.2--0.169524000000026</f>
        <v>338.854016</v>
      </c>
      <c r="J232" s="3">
        <f>544.3+(177.8-221.2)+(0.277593+(0.090678-0.112812))+0-160.1-0.0816509999999838</f>
        <v>340.97380799999996</v>
      </c>
      <c r="K232" s="3">
        <f>543+(169.1-210.3)+(-0.55386+(-0.172482--0.214506))+0-173.7--0.177174000000028</f>
        <v>327.76533799999999</v>
      </c>
      <c r="L232" s="3">
        <f>543+(161-245.8)+(0.27693+(0.08211-0.125358))+0-157.7-0.080426999999984</f>
        <v>300.653255</v>
      </c>
      <c r="M232" s="3">
        <f>543.7+(122.2-205.1)+(-0.277287+(-0.062322--0.104601))+0-163--0.0831299999999835</f>
        <v>297.64812200000006</v>
      </c>
      <c r="N232" s="3">
        <f>547.7+(152.3-225.4)+(0.558654+(0.155346-0.229908))+0-168.9-0.172278000000027</f>
        <v>306.01181399999996</v>
      </c>
      <c r="O232" s="3">
        <f>672.3+(193-365.5)+(-0.342873+(-0.09843--0.186405))+0-174.9--0.0891989999999823</f>
        <v>324.73430099999996</v>
      </c>
      <c r="P232" s="3">
        <f>708.3+(217.8-421.4)+(-1.806165+(-0.55539--1.07457))+0-173.4--0.442169999999975</f>
        <v>330.45518499999997</v>
      </c>
      <c r="Q232" s="3">
        <f>718+(203.2-438.8)+(-0.73236+(-0.207264--0.447576))+0-152.8--0.155856000000024</f>
        <v>329.26380799999998</v>
      </c>
      <c r="R232" s="3">
        <f>712.3+(235-457.1)+(-1.453092+(-0.4794--0.932484))+0-156.5--0.319259999999993</f>
        <v>333.01925199999994</v>
      </c>
      <c r="S232" s="3">
        <f>695.4+(204.6-402.1)+(-1.418616+(-0.417384--0.820284))+0-175.5--0.358019999999992</f>
        <v>321.74230399999999</v>
      </c>
      <c r="T232" s="3">
        <f>675.5+(128.3-320.4)+(-0.344505+(-0.065433--0.163404))+0-164--0.0836399999999834</f>
        <v>319.23710600000004</v>
      </c>
      <c r="U232" s="3">
        <f>675.1+(103.4-304.5)+(0+(0-0))+0-161.2-0</f>
        <v>312.8</v>
      </c>
      <c r="V232" s="3">
        <f>672.5+(105.7-293.7)+(-1.028925+(-0.161721--0.449361))+0-149.6--0.228888000000009</f>
        <v>334.38760300000001</v>
      </c>
      <c r="W232" s="3">
        <f>709+(112.9-280.3)+(-0.36159+(-0.057579--0.142953))+0-171.5--0.0874649999999826</f>
        <v>369.91124900000005</v>
      </c>
      <c r="X232" s="3">
        <f>731.7+(107.7-290.3)+(-1.492668+(-0.219708--0.592212))+0-168.2--0.343127999999993</f>
        <v>380.12296399999997</v>
      </c>
      <c r="Y232" s="3">
        <f>687.9+(103.8-239.7)+(-1.052487+(-0.158814--0.366741))+0-176--0.26928000000001</f>
        <v>375.42472000000004</v>
      </c>
      <c r="Z232" s="3">
        <f>686.1+(111.8-241.3)+(-1.049733+(-0.171054--0.369189))+0-177.9--0.27218700000001</f>
        <v>378.12058900000011</v>
      </c>
      <c r="AA232" s="3">
        <f>684.8+(98.8-215.5)+(-1.74624+(-0.25194--0.549525))+0-194.1--0.494954999999972</f>
        <v>373.0462999999998</v>
      </c>
      <c r="AB232" s="3">
        <f>686+(102-234.6)+(-0.69972+(-0.10404--0.239292))+0-188.2--0.19196400000003</f>
        <v>364.827496</v>
      </c>
      <c r="AC232" s="3">
        <f>685.4+(84.4-235.2)+(-1.74777+(-0.21522--0.59976))+0-187.9--0.479144999999973</f>
        <v>345.81591499999996</v>
      </c>
      <c r="AD232">
        <v>395</v>
      </c>
      <c r="AE232" s="3">
        <f>740+(114.7-297.2)+(0+(0-0))+0-162.5-0</f>
        <v>395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689.1+(88.2-270.4)+(-0.702882+(-0.089964--0.275808))+0-176.4--0.179928000000028</f>
        <v>330.16289000000006</v>
      </c>
      <c r="G233" s="3">
        <f>691.2+(92.3-272.8)+(0+(0-0))+0-184.1-0</f>
        <v>326.60000000000002</v>
      </c>
      <c r="H233" s="3">
        <f>690.5+(97.4-283.8)+(-0.70431+(-0.099348--0.289476))+0-182.8--0.186456000000029</f>
        <v>320.97227400000003</v>
      </c>
      <c r="I233" s="3">
        <f>686.9+(97.4-277.9)+(-1.751595+(-0.24837--0.708645))+0-186.7--0.476084999999973</f>
        <v>318.88476499999996</v>
      </c>
      <c r="J233" s="3">
        <f>696.6+(92.7-284.4)+(0.355266+(0.047277-0.145044))+0-178-0.0907799999999819</f>
        <v>327.06671900000003</v>
      </c>
      <c r="K233" s="3">
        <f>694.3+(103.4-299.2)+(0+(0-0))+0-175.4-0</f>
        <v>323.10000000000002</v>
      </c>
      <c r="L233" s="3">
        <f>696.3+(103.5-282.7)+(0.710226+(0.10557-0.288354))+0-183.2-0.186864000000029</f>
        <v>334.24057799999986</v>
      </c>
      <c r="M233" s="3">
        <f>695.5+(98.8-245.8)+(0.70941+(0.100776-0.250716))+0-178.6-0.182172000000028</f>
        <v>370.27729799999997</v>
      </c>
      <c r="N233" s="3">
        <f>692.1+(191.1-300.8)+(0+(0-0))+0-184.4-0</f>
        <v>398</v>
      </c>
      <c r="O233" s="3">
        <f>695.2+(201.6-304)+(0.709104+(0.205632-0.31008))+0-186.4-0.19012800000003</f>
        <v>406.81452800000005</v>
      </c>
      <c r="P233" s="3">
        <f>672.5+(181.3-259.4)+(0.342975+(0.092463-0.132294))+0-182.7-0.0931769999999815</f>
        <v>411.90996700000011</v>
      </c>
      <c r="Q233" s="3">
        <f>658+(193.4-257.8)+(0.33558+(0.098634-0.131478))+0-166.3-0.0848129999999831</f>
        <v>427.517923</v>
      </c>
      <c r="R233" s="3">
        <f>643.3+(243.6-286.4)+(-1.312332+(-0.496944--0.584256))+0-175--0.356999999999992</f>
        <v>424.63198</v>
      </c>
      <c r="S233" s="3">
        <f>643.2+(331.2-384.4)+(-1.312128+(-0.675648--0.784176))+0-177.7--0.362507999999992</f>
        <v>411.45890799999995</v>
      </c>
      <c r="T233" s="3">
        <f>644.4+(354.1-435.5)+(-0.985932+(-0.541773--0.666315))+0-158.7--0.242811000000009</f>
        <v>403.681421</v>
      </c>
      <c r="U233" s="3">
        <f>646.6+(365.8-471.7)+(-0.329766+(-0.186558--0.240567))+0-157.2--0.080171999999984</f>
        <v>383.30441500000006</v>
      </c>
      <c r="V233" s="3">
        <f>664.6+(196.2-301.7)+(0.338946+(0.100062-0.153867))+0-163.5-0.0833849999999834</f>
        <v>395.80175600000001</v>
      </c>
      <c r="W233" s="3">
        <f>678.3+(181.5-226.9)+(-0.691866+(-0.18513--0.231438))+0-183.3--0.186966000000029</f>
        <v>449.14140799999996</v>
      </c>
      <c r="X233" s="3">
        <f>671.6+(201.9-210.5)+(-2.055096+(-0.617814--0.64413))+0-207.1--0.633726000000024</f>
        <v>454.50494600000002</v>
      </c>
      <c r="Y233" s="3">
        <f>688.5+(135.7-181.3)+(-1.053405+(-0.207621--0.277389))+0-195.7--0.299421000000011</f>
        <v>446.51578399999994</v>
      </c>
      <c r="Z233" s="3">
        <f>697+(123-193.2)+(-0.35547+(-0.06273--0.098532))+0-190.6--0.0972059999999807</f>
        <v>435.97753799999992</v>
      </c>
      <c r="AA233" s="3">
        <f>689.7+(115.5-175.1)+(-1.758735+(-0.294525--0.446505))+0-203.5--0.51892499999997</f>
        <v>425.51216999999997</v>
      </c>
      <c r="AB233" s="3">
        <f>693.6+(115.5-217)+(-1.061208+(-0.176715--0.33201))+0-182.7--0.279531000000011</f>
        <v>408.773618</v>
      </c>
      <c r="AC233" s="3">
        <f>694.6+(120.8-226)+(-0.708492+(-0.123216--0.23052))+0-201.3--0.205326000000032</f>
        <v>387.704138</v>
      </c>
      <c r="AD233">
        <v>447.59999999999997</v>
      </c>
      <c r="AE233" s="3">
        <f>681+(171.9-217.6)+(0+(0-0))+0-187.7-0</f>
        <v>447.59999999999997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698.3+(109.9-263.6)+(-0.356133+(-0.056049--0.134436))+0-191.3--0.0975629999999806</f>
        <v>353.1198169999999</v>
      </c>
      <c r="G234" s="3">
        <f>683+(124.1-274.3)+(-1.74165+(-0.316455--0.699465))+0-192.1--0.489854999999972</f>
        <v>339.83121499999987</v>
      </c>
      <c r="H234" s="3">
        <f>672.5+(150.2-296)+(-0.342975+(-0.076602--0.15096))+0-187.6--0.095675999999981</f>
        <v>338.92705900000004</v>
      </c>
      <c r="I234" s="3">
        <f>663.9+(156.8-306.3)+(-1.354356+(-0.319872--0.624852))+0-182.9--0.373115999999992</f>
        <v>330.82373999999993</v>
      </c>
      <c r="J234" s="3">
        <f>737.1+(165.6-385.2)+(-0.375921+(-0.084456--0.196452))+0-179.7--0.0916469999999818</f>
        <v>337.62772200000001</v>
      </c>
      <c r="K234" s="3">
        <f>738.1+(165.9-391.4)+(-0.376431+(-0.084609--0.199614))+0-176.3--0.0899129999999821</f>
        <v>336.12848699999995</v>
      </c>
      <c r="L234" s="3">
        <f>736.5+(178.2-388.9)+(-0.375615+(-0.090882--0.198339))+0-155.6--0.0793559999999842</f>
        <v>370.01119799999992</v>
      </c>
      <c r="M234" s="3">
        <f>736.4+(154.6-340.4)+(0+(0-0))+0-150.3-0</f>
        <v>400.3</v>
      </c>
      <c r="N234" s="3">
        <f>714.3+(160.6-285.6)+(-0.364293+(-0.081906--0.145656))+0-163.5--0.0833849999999834</f>
        <v>425.58284199999997</v>
      </c>
      <c r="O234" s="3">
        <f>712.8+(147.1-271.6)+(-0.727056+(-0.150042--0.277032))+0-159.9--0.163098000000026</f>
        <v>427.96303200000006</v>
      </c>
      <c r="P234" s="3">
        <f>717.9+(142.3-259.3)+(0+(0-0))+0-163.8-0</f>
        <v>437.09999999999997</v>
      </c>
      <c r="Q234" s="3">
        <f>566.4+(151.6-104.3)+(-0.288864+(-0.077316--0.053193))+0-178.6--0.0910859999999819</f>
        <v>434.87809899999985</v>
      </c>
      <c r="R234" s="3">
        <f>514.5+(152.6-57.9)+(-0.262395+(-0.077826--0.029529))+0-181.2--0.0924119999999816</f>
        <v>427.78172000000001</v>
      </c>
      <c r="S234" s="3">
        <f>513.2+(143.3-65.5)+(-0.785196+(-0.219249--0.100215))+0-170.7--0.26117100000001</f>
        <v>419.65694100000002</v>
      </c>
      <c r="T234" s="3">
        <f>518.6+(142.1-72.2)+(0.264486+(0.072471-0.036822))+0-189-0.0963899999999808</f>
        <v>399.70374499999997</v>
      </c>
      <c r="U234" s="3">
        <f>515.3+(141.7-82.8)+(-0.525606+(-0.144534--0.084456))+0-173.9--0.177378000000028</f>
        <v>399.89169399999997</v>
      </c>
      <c r="V234" s="3">
        <f>565.9+(137-99.2)+(0+(0-0))+0-182.8-0</f>
        <v>420.89999999999992</v>
      </c>
      <c r="W234" s="3">
        <f>703.2+(101.9-165.8)+(-0.717264+(-0.103938--0.169116))+0-165.4--0.168708000000026</f>
        <v>473.41662200000007</v>
      </c>
      <c r="X234" s="3">
        <f>702+(95.8-154.9)+(-1.07406+(-0.146574--0.236997))+0-178.1--0.27249300000001</f>
        <v>464.08885599999991</v>
      </c>
      <c r="Y234" s="3">
        <f>701.1+(112.5-166)+(-1.430244+(-0.2295--0.33864))+0-195.3--0.398411999999992</f>
        <v>451.37730800000003</v>
      </c>
      <c r="Z234" s="3">
        <f>702.8+(109.9-185.7)+(-0.358428+(-0.056049--0.094707))+0-170.1--0.0867509999999827</f>
        <v>456.66698100000002</v>
      </c>
      <c r="AA234" s="3">
        <f>699+(116.1-197.3)+(-1.06947+(-0.177633--0.301869))+0-176.1--0.26943300000001</f>
        <v>441.0241989999999</v>
      </c>
      <c r="AB234" s="3">
        <f>703.6+(126-245.3)+(0+(0-0))+0-161.7-0</f>
        <v>422.59999999999997</v>
      </c>
      <c r="AC234" s="3">
        <f>696.7+(152.8-268.1)+(-1.776585+(-0.38964--0.683655))+0-171.6--0.437579999999975</f>
        <v>408.75501000000003</v>
      </c>
      <c r="AD234">
        <v>475.4</v>
      </c>
      <c r="AE234" s="3">
        <f>708+(94-164)+(0+(0-0))+0-162.6-0</f>
        <v>475.4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705.4+(183.1-314.7)+(0+(0-0))+0-181-0</f>
        <v>392.79999999999995</v>
      </c>
      <c r="G235" s="3">
        <f>677.6+(186.4-302.9)+(0+(0-0))+0-183.4-0</f>
        <v>377.70000000000005</v>
      </c>
      <c r="H235" s="3">
        <f>629.2+(213.3-293.4)+(-0.320892+(-0.108783--0.149634))+0-181.7--0.0926669999999816</f>
        <v>367.21262600000017</v>
      </c>
      <c r="I235" s="3">
        <f>525.4+(248.4-230.9)+(0+(0-0))+0-182.1-0</f>
        <v>360.79999999999995</v>
      </c>
      <c r="J235" s="3">
        <f>485.8+(260.6-210.3)+(0.247758+(0.132906-0.107253))+0-176.9-0.0902189999999821</f>
        <v>359.38319200000007</v>
      </c>
      <c r="K235" s="3">
        <f>501.5+(270.9-239.1)+(1.278825+(0.690795-0.609705))+0-170.8-0.435539999999975</f>
        <v>363.42437499999994</v>
      </c>
      <c r="L235" s="3">
        <f>488.2+(280.1-219.8)+(-0.746946+(-0.428553--0.336294))+0-177.6--0.27172800000001</f>
        <v>370.33252299999998</v>
      </c>
      <c r="M235" s="3">
        <f>500.5+(236.5-162.9)+(0.765765+(0.361845-0.249237))+0-180.7-0.27647100000001</f>
        <v>394.00190200000003</v>
      </c>
      <c r="N235" s="3">
        <f>625.9+(201.3-218.8)+(1.276836+(0.410652-0.446352))+0-184.5-0.376379999999992</f>
        <v>424.76475599999998</v>
      </c>
      <c r="O235" s="3">
        <f>650.9+(159-187.9)+(-0.331959+(-0.08109--0.095829))+0-181.3--0.0924629999999816</f>
        <v>440.47524299999998</v>
      </c>
      <c r="P235" s="3">
        <f>662.5+(139.6-167.7)+(-0.337875+(-0.071196--0.085527))+0-191.2--0.0975119999999806</f>
        <v>442.97396800000001</v>
      </c>
      <c r="Q235" s="3">
        <f>658.7+(132.9-166.4)+(0+(0-0))+0-175.3-0</f>
        <v>449.90000000000003</v>
      </c>
      <c r="R235" s="3">
        <f>670.8+(140.5-187.2)+(-1.71054+(-0.358275--0.47736))+0-172.9--0.440894999999975</f>
        <v>450.04943999999989</v>
      </c>
      <c r="S235" s="3">
        <f>673.6+(143.7-202.1)+(-1.030608+(-0.219861--0.309213))+0-171.4--0.26224200000001</f>
        <v>443.12098600000013</v>
      </c>
      <c r="T235" s="3">
        <f>670.1+(185.2-263.4)+(1.025253+(0.283356-0.403002))+0-174.7-0.26729100000001</f>
        <v>417.83831600000013</v>
      </c>
      <c r="U235" s="3">
        <f>657.6+(175.4-247.6)+(-0.670752+(-0.178908--0.252552))+0-168.4--0.171768000000027</f>
        <v>416.57466000000011</v>
      </c>
      <c r="V235" s="3">
        <f>659.8+(165.4-247.1)+(-0.336498+(-0.084354--0.126021))+0-153.5--0.0782849999999844</f>
        <v>424.38345399999986</v>
      </c>
      <c r="W235" s="3">
        <f>688.2+(132.5-197.1)+(0.701964+(0.13515-0.201042))+0-152.2-0.155244000000024</f>
        <v>471.88082800000001</v>
      </c>
      <c r="X235" s="3">
        <f>699.8+(139.3-185.5)+(-0.356898+(-0.071043--0.094605))+0-190.2--0.0970019999999807</f>
        <v>463.16366599999986</v>
      </c>
      <c r="Y235" s="3">
        <f>697+(147.4-229.2)+(0+(0-0))+0-169.4-0</f>
        <v>445.80000000000007</v>
      </c>
      <c r="Z235" s="3">
        <f>694.1+(187-253.5)+(-1.415964+(-0.38148--0.51714))+0-185.1--0.377603999999992</f>
        <v>441.59730000000002</v>
      </c>
      <c r="AA235" s="3">
        <f>700.9+(177.9-258.8)+(-0.714918+(-0.181458--0.263976))+0-180.7--0.184314000000029</f>
        <v>438.85191400000008</v>
      </c>
      <c r="AB235" s="3">
        <f>702+(203.9-302.1)+(-1.07406+(-0.311967--0.462213))+0-178.7--0.27341100000001</f>
        <v>424.44959699999998</v>
      </c>
      <c r="AC235" s="3">
        <f>703.7+(224.8-364.7)+(-0.358887+(-0.114648--0.185997))+0-162.4--0.0828239999999835</f>
        <v>401.19528600000001</v>
      </c>
      <c r="AD235">
        <v>456.40000000000003</v>
      </c>
      <c r="AE235" s="3">
        <f>692+(127-203.8)+(0+(0-0))+0-158.8-0</f>
        <v>456.40000000000003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696.7+(227.6-360.8)+(-0.710634+(-0.232152--0.368016))+0-166.8--0.170136000000027</f>
        <v>396.29536600000006</v>
      </c>
      <c r="G236" s="3">
        <f>699.5+(253.2-389.3)+(0+(0-0))+0-183.2-0</f>
        <v>380.2</v>
      </c>
      <c r="H236" s="3">
        <f>662.6+(271.7-373.4)+(1.351704+(0.554268-0.761736))+0-195.5-0.398819999999991</f>
        <v>366.14541600000007</v>
      </c>
      <c r="I236" s="3">
        <f>599.3+(300.1-345.3)+(1.222572+(0.612204-0.704412))+0-190.2-0.388007999999992</f>
        <v>364.64235599999989</v>
      </c>
      <c r="J236" s="3">
        <f>596.4+(345.6-385.1)+(0+(0-0))+0-190.8-0</f>
        <v>366.09999999999997</v>
      </c>
      <c r="K236" s="3">
        <f>598+(338.2-387.2)+(0.91494+(0.517446-0.592416))+0-188.7-0.288711000000011</f>
        <v>360.85125899999997</v>
      </c>
      <c r="L236" s="3">
        <f>597+(310.2-387.4)+(0+(0-0))+0-179.2-0</f>
        <v>340.59999999999997</v>
      </c>
      <c r="M236" s="3">
        <f>597.4+(254-325.3)+(0.304674+(0.12954-0.165903))+0-185.1-0.0944009999999812</f>
        <v>341.17390999999992</v>
      </c>
      <c r="N236" s="3">
        <f>610.9+(205.9-290.2)+(0.311559+(0.105009-0.148002))+0-180.5-0.0920549999999817</f>
        <v>346.27651100000003</v>
      </c>
      <c r="O236" s="3">
        <f>660.8+(151.4-266.9)+(1.011024+(0.231642-0.408357))+0-186.2-0.284886000000011</f>
        <v>359.6494229999999</v>
      </c>
      <c r="P236" s="3">
        <f>655.5+(133.5-234.5)+(-0.66861+(-0.13617--0.23919))+0-173.9--0.177378000000028</f>
        <v>380.21178800000001</v>
      </c>
      <c r="Q236" s="3">
        <f>661.9+(124.2-223.5)+(0.675138+(0.126684-0.22797))+0-187.1-0.19084200000003</f>
        <v>375.88300999999996</v>
      </c>
      <c r="R236" s="3">
        <f>652.2+(121.6-230.9)+(-1.330488+(-0.248064--0.471036))+0-187.5--0.382499999999992</f>
        <v>354.67498400000005</v>
      </c>
      <c r="S236" s="3">
        <f>655.2+(122.7-234.5)+(0+(0-0))+0-184.8-0</f>
        <v>358.60000000000008</v>
      </c>
      <c r="T236" s="3">
        <f>648.4+(115-218)+(-1.322736+(-0.2346--0.44472))+0-185.8--0.379031999999992</f>
        <v>358.86641599999996</v>
      </c>
      <c r="U236" s="3">
        <f>652.6+(117.2-242.1)+(-0.332826+(-0.059772--0.123471))+0-174.6--0.0890459999999823</f>
        <v>352.91991899999999</v>
      </c>
      <c r="V236" s="3">
        <f>655.2+(167.7-272.9)+(-0.334152+(-0.085527--0.139179))+0-182--0.0928199999999815</f>
        <v>367.81232</v>
      </c>
      <c r="W236" s="3">
        <f>673.5+(169.3-225.5)+(0.343485+(0.086343-0.115005))+0-196.8-0.10036799999998</f>
        <v>420.71445499999999</v>
      </c>
      <c r="X236" s="3">
        <f>719.2+(183.3-295)+(-0.733584+(-0.186966--0.3009))+0-177.6--0.181152000000028</f>
        <v>429.46150200000005</v>
      </c>
      <c r="Y236" s="3">
        <f>722.4+(223.6-353.4)+(-0.368424+(-0.114036--0.180234))+0-161.7--0.0824669999999836</f>
        <v>430.68024100000002</v>
      </c>
      <c r="Z236" s="3">
        <f>718.9+(239.4-362.4)+(-1.099917+(-0.366282--0.554472))+0-172.2--0.26346600000001</f>
        <v>423.05173899999994</v>
      </c>
      <c r="AA236" s="3">
        <f>721.7+(270.8-407.9)+(-0.368067+(-0.138108--0.208029))+0-169.3--0.0863429999999828</f>
        <v>415.08819700000015</v>
      </c>
      <c r="AB236" s="3">
        <f>680.6+(259.9-341.2)+(-1.041318+(-0.397647--0.522036))+0-193.5--0.296055000000011</f>
        <v>405.179126</v>
      </c>
      <c r="AC236" s="3">
        <f>588.9+(184.9-203.3)+(-0.600678+(-0.188598--0.207366))+0-192.4--0.196248000000031</f>
        <v>377.71433800000005</v>
      </c>
      <c r="AD236">
        <v>418.79999999999995</v>
      </c>
      <c r="AE236" s="3">
        <f>719+(167.4-257)+(0+(0-0))+0-210.6-0</f>
        <v>418.79999999999995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519.7+(203.4-201.8)+(0.530094+(0.207468-0.205836))+0-161.4-0.164628000000026</f>
        <v>360.26709800000009</v>
      </c>
      <c r="G237" s="3">
        <f>513.6+(241-223.8)+(0+(0-0))+0-173.5-0</f>
        <v>357.29999999999995</v>
      </c>
      <c r="H237" s="3">
        <f>509.1+(269.1-241)+(-0.519282+(-0.274482--0.24582))+0-192.3--0.196146000000031</f>
        <v>344.54820200000006</v>
      </c>
      <c r="I237" s="3">
        <f>509.5+(318.4-299.8)+(-0.779535+(-0.487152--0.458694))+0-182.3--0.278919000000011</f>
        <v>345.27092599999992</v>
      </c>
      <c r="J237" s="3">
        <f>507.9+(362.7-332.1)+(-0.518058+(-0.369954--0.338742))+0-192--0.195840000000031</f>
        <v>346.14657000000005</v>
      </c>
      <c r="K237" s="3">
        <f>515.5+(343.4-324.3)+(0.262905+(0.175134-0.165393))+0-182.6-0.0931259999999815</f>
        <v>352.17951999999991</v>
      </c>
      <c r="L237" s="3">
        <f>515.4+(305.6-268.1)+(0.262854+(0.155856-0.136731))+0-188.2-0.0959819999999809</f>
        <v>364.88599699999997</v>
      </c>
      <c r="M237" s="3">
        <f>514.8+(262.2-212.1)+(0+(0-0))+0-173-0</f>
        <v>391.9</v>
      </c>
      <c r="N237" s="3">
        <f>600.6+(285.6-288.7)+(0.918918+(0.436968-0.441711))+0-184.3-0.281979000000011</f>
        <v>413.83219599999995</v>
      </c>
      <c r="O237" s="3">
        <f>608.3+(297.3-296.3)+(0.310233+(0.151623-0.151113))+0-170.8-0.0871079999999827</f>
        <v>438.72363499999994</v>
      </c>
      <c r="P237" s="3">
        <f>643.1+(273.9-291.5)+(-0.655962+(-0.279378--0.29733))+0-171.7--0.175134000000027</f>
        <v>453.33712400000002</v>
      </c>
      <c r="Q237" s="3">
        <f>666.1+(217.6-246.3)+(-1.019133+(-0.332928--0.376839))+0-176--0.26928000000001</f>
        <v>460.69405799999998</v>
      </c>
      <c r="R237" s="3">
        <f>669.5+(180.3-228.5)+(-0.341445+(-0.091953--0.116535))+0-167.1--0.085220999999983</f>
        <v>453.96835799999991</v>
      </c>
      <c r="S237" s="3">
        <f>668+(189.5-227.4)+(-0.68136+(-0.19329--0.231948))+0-184.6--0.188292000000029</f>
        <v>445.04559000000006</v>
      </c>
      <c r="T237" s="3">
        <f>669.6+(213.4-278.5)+(0+(0-0))+0-175.6-0</f>
        <v>428.9</v>
      </c>
      <c r="U237" s="3">
        <f>666+(262.5-318.5)+(0.67932+(0.26775-0.32487))+0-185.3-0.18900600000003</f>
        <v>425.133194</v>
      </c>
      <c r="V237" s="3">
        <f>675+(306.5-369.3)+(0.6885+(0.31263-0.376686))+0-178.6-0.182172000000028</f>
        <v>434.04227200000003</v>
      </c>
      <c r="W237" s="3">
        <f>689+(289.9-307.5)+(0.70278+(0.295698-0.31365))+0-183-0.186660000000029</f>
        <v>488.898168</v>
      </c>
      <c r="X237" s="3">
        <f>679.2+(358-363.4)+(-1.73196+(-0.9129--0.92667))+0-185.7--0.473534999999973</f>
        <v>486.855345</v>
      </c>
      <c r="Y237" s="3">
        <f>688.9+(376.7-415)+(-0.702678+(-0.384234--0.4233))+0-175.3--0.178806000000028</f>
        <v>474.81519399999996</v>
      </c>
      <c r="Z237" s="3">
        <f>678.5+(413.7-430.3)+(-2.07621+(-1.265922--1.316718))+0-191.5--0.585990000000022</f>
        <v>468.96057600000006</v>
      </c>
      <c r="AA237" s="3">
        <f>686.9+(421.8-447.5)+(-0.700638+(-0.430236--0.45645))+0-193.4--0.197268000000031</f>
        <v>467.32284400000003</v>
      </c>
      <c r="AB237" s="3">
        <f>694.2+(411.9-477.1)+(-1.062126+(-0.630207--0.729963))+0-178.8--0.27356400000001</f>
        <v>449.51119400000005</v>
      </c>
      <c r="AC237" s="3">
        <f>694.8+(380.4-464.7)+(-0.708696+(-0.388008--0.473994))+0-192.8--0.196656000000031</f>
        <v>417.27394600000002</v>
      </c>
      <c r="AD237">
        <v>498.5</v>
      </c>
      <c r="AE237" s="3">
        <f>687+(319.4-316)+(0+(0-0))+0-191.9-0</f>
        <v>498.5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699.3+(353.4-512)+(0+(0-0))+0-163.1-0</f>
        <v>377.59999999999991</v>
      </c>
      <c r="G238" s="3">
        <f>664.9+(409.3-527.8)+(-0.678198+(-0.417486--0.538356))+0-172.8--0.176256000000028</f>
        <v>373.21892800000012</v>
      </c>
      <c r="H238" s="3">
        <f>570+(411.7-445.1)+(-0.5814+(-0.419934--0.454002))+0-177.3--0.180846000000028</f>
        <v>358.93351399999995</v>
      </c>
      <c r="I238" s="3">
        <f>573.9+(413.1-473.7)+(0.585378+(0.421362-0.483174))+0-154.4-0.157488000000025</f>
        <v>359.26607799999994</v>
      </c>
      <c r="J238" s="3">
        <f>574.8+(430.5-490.5)+(0.293148+(0.219555-0.250155))+0-155.7-0.0794069999999842</f>
        <v>359.283141</v>
      </c>
      <c r="K238" s="3">
        <f>577.2+(391.3-435.7)+(0.588744+(0.399126-0.444414))+0-172.6-0.176052000000028</f>
        <v>360.56740400000001</v>
      </c>
      <c r="L238" s="3">
        <f>577.5+(324.1-311.6)+(0.883575+(0.495873-0.476748))+0-172.8-0.26438400000001</f>
        <v>417.83831599999996</v>
      </c>
      <c r="M238" s="3">
        <f>578+(276.6-270.4)+(0.58956+(0.282132-0.275808))+0-132.1-0.134742000000021</f>
        <v>452.56114199999996</v>
      </c>
      <c r="N238" s="3">
        <f>576.9+(245.6-254.6)+(0.294219+(0.125256-0.129846))+0-98.4-0.05018399999999</f>
        <v>469.73944499999999</v>
      </c>
      <c r="O238" s="3">
        <f>576+(246.2-255.2)+(0+(0-0))+0-98.4-0</f>
        <v>468.6</v>
      </c>
      <c r="P238" s="3">
        <f>572.7+(243.7-243.8)+(-0.292077+(-0.124287--0.124338))+0-105.5--0.0538049999999893</f>
        <v>466.86177900000007</v>
      </c>
      <c r="Q238" s="3">
        <f>632.2+(233.1-271.6)+(-0.967266+(-0.356643--0.415548))+0-107--0.163710000000006</f>
        <v>485.95534900000001</v>
      </c>
      <c r="R238" s="3">
        <f>654.9+(230.3-276)+(0+(0-0))+0-110.5-0</f>
        <v>498.70000000000005</v>
      </c>
      <c r="S238" s="3">
        <f>659.7+(228.6-271.8)+(0.336447+(0.116586-0.138618))+0-147.6-0.075275999999985</f>
        <v>469.13913900000006</v>
      </c>
      <c r="T238" s="3">
        <f>662.5+(215.3-266.1)+(0.67575+(0.219606-0.271422))+0-158.4-0.161568000000025</f>
        <v>453.76236599999999</v>
      </c>
      <c r="U238" s="3">
        <f>660.4+(243-300)+(0.336804+(0.12393-0.153))+0-152.6-0.0778259999999845</f>
        <v>451.02990799999998</v>
      </c>
      <c r="V238" s="3">
        <f>666.1+(270.3-327.6)+(1.019133+(0.413559-0.501228))+0-137.6-0.210528000000008</f>
        <v>471.92093599999993</v>
      </c>
      <c r="W238" s="3">
        <f>665+(367.5-361.8)+(0+(0-0))+0-157.2-0</f>
        <v>513.5</v>
      </c>
      <c r="X238" s="3">
        <f>661.3+(405.2-390.3)+(-0.674526+(-0.413304--0.398106))+0-168.4--0.171768000000027</f>
        <v>507.28204400000004</v>
      </c>
      <c r="Y238" s="3">
        <f>661.8+(430-436.4)+(-0.337518+(-0.2193--0.222564))+0-166.1--0.0847109999999831</f>
        <v>489.05045699999994</v>
      </c>
      <c r="Z238" s="3">
        <f>662.1+(448.7-463)+(-0.337671+(-0.228837--0.23613))+0-167.8--0.085577999999983</f>
        <v>479.75519999999995</v>
      </c>
      <c r="AA238" s="3">
        <f>661.9+(454.8-470.6)+(-0.675138+(-0.463896--0.480012))+0-177.2--0.180744000000028</f>
        <v>468.42172199999987</v>
      </c>
      <c r="AB238" s="3">
        <f>664.9+(482.6-534.3)+(0+(0-0))+0-163.9-0</f>
        <v>449.30000000000007</v>
      </c>
      <c r="AC238" s="3">
        <f>669.8+(406.8-472.6)+(0.683196+(0.414936-0.482052))+0-175.7-0.179214000000028</f>
        <v>428.73686600000002</v>
      </c>
      <c r="AD238">
        <v>495.40000000000003</v>
      </c>
      <c r="AE238" s="3">
        <f>664+(357.2-350.1)+(0+(0-0))+0-175.7-0</f>
        <v>495.39999999999992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664+(367.5-464.1)+(-0.33864+(-0.187425--0.236691))+0-156.9--0.0800189999999841</f>
        <v>410.29064500000004</v>
      </c>
      <c r="G239" s="3">
        <f>663.9+(304.2-420.2)+(-0.338589+(-0.155142--0.214302))+0-151.3--0.0771629999999847</f>
        <v>396.3977339999999</v>
      </c>
      <c r="H239" s="3">
        <f>655.6+(345.2-468.2)+(-1.337424+(-0.704208--0.955128))+0-154.3--0.314771999999993</f>
        <v>377.52826800000003</v>
      </c>
      <c r="I239" s="3">
        <f>672.7+(386.8-501.8)+(1.715385+(0.98634-1.27959))+0-169.1-0.431204999999975</f>
        <v>389.59093000000007</v>
      </c>
      <c r="J239" s="3">
        <f>662.4+(393.6-505.6)+(0+(0-0))+0-160.2-0</f>
        <v>390.2</v>
      </c>
      <c r="K239" s="3">
        <f>657.1+(368.1-475.4)+(-1.340484+(-0.750924--0.969816))+0-166.2--0.339047999999993</f>
        <v>382.81745600000011</v>
      </c>
      <c r="L239" s="3">
        <f>665.2+(298.3-431.2)+(0.678504+(0.304266-0.439824))+0-141.9-0.144738000000023</f>
        <v>390.7982080000001</v>
      </c>
      <c r="M239" s="3">
        <f>667.6+(249.9-367.9)+(1.021428+(0.382347-0.562887))+0-130.3-0.199359000000008</f>
        <v>419.94152899999995</v>
      </c>
      <c r="N239" s="3">
        <f>660.8+(246.4-318.6)+(0.674016+(0.251328-0.324972))+0-153.6-0.156672000000024</f>
        <v>435.44369999999986</v>
      </c>
      <c r="O239" s="3">
        <f>673.4+(246.6-326.9)+(1.030302+(0.377298-0.500157))+0-149.4-0.228582000000009</f>
        <v>444.37886099999997</v>
      </c>
      <c r="P239" s="3">
        <f>690.5+(293.2-367.7)+(0.352155+(0.149532-0.187527))+0-150-0.0764999999999848</f>
        <v>466.23766000000001</v>
      </c>
      <c r="Q239" s="3">
        <f>690.4+(281.7-359)+(-1.76052+(-0.718335--0.91545))+0-143.7--0.366434999999979</f>
        <v>468.2030299999999</v>
      </c>
      <c r="R239" s="3">
        <f>691.2+(264.9-348)+(-1.76256+(-0.675495--0.8874))+0-146--0.372299999999979</f>
        <v>460.92164500000001</v>
      </c>
      <c r="S239" s="3">
        <f>686.6+(240.9-339)+(-0.350166+(-0.122859--0.17289))+0-141.3--0.0720629999999857</f>
        <v>446.97192799999999</v>
      </c>
      <c r="T239" s="3">
        <f>693.5+(334.9-440.6)+(0.353685+(0.170799-0.224706))+0-156-0.0795599999999842</f>
        <v>432.02021799999994</v>
      </c>
      <c r="U239" s="3">
        <f>696.5+(309.6-434.9)+(0+(0-0))+0-142.6-0</f>
        <v>428.6</v>
      </c>
      <c r="V239" s="3">
        <f>694.4+(315.8-422.6)+(-0.354144+(-0.161058--0.215526))+0-149--0.0759899999999849</f>
        <v>438.37631399999992</v>
      </c>
      <c r="W239" s="3">
        <f>690+(269.7-329.5)+(0+(0-0))+0-158.4-0</f>
        <v>471.80000000000007</v>
      </c>
      <c r="X239" s="3">
        <f>695.7+(273.7-358.3)+(-1.064421+(-0.418761--0.548199))+0-145.8--0.223074000000008</f>
        <v>464.58809100000002</v>
      </c>
      <c r="Y239" s="3">
        <f>698.3+(309.7-400.6)+(-1.068399+(-0.473841--0.612918))+0-150.5--0.230265000000009</f>
        <v>456.20094299999994</v>
      </c>
      <c r="Z239" s="3">
        <f>699.9+(318.9-447.8)+(-1.070847+(-0.487917--0.685134))+0-125.6--0.192168000000007</f>
        <v>444.71853799999991</v>
      </c>
      <c r="AA239" s="3">
        <f>703.9+(328.9-449)+(-0.717978+(-0.335478--0.45798))+0-146--0.148920000000023</f>
        <v>437.35344400000002</v>
      </c>
      <c r="AB239" s="3">
        <f>701.2+(333.3-479.5)+(-1.072836+(-0.509949--0.733635))+0-134.3--0.205479000000008</f>
        <v>420.05632900000001</v>
      </c>
      <c r="AC239" s="3">
        <f>703.9+(262.7-429.7)+(-0.358989+(-0.133977--0.219147))+0-138.8--0.0707879999999859</f>
        <v>397.89696899999996</v>
      </c>
      <c r="AD239">
        <v>475.29999999999995</v>
      </c>
      <c r="AE239" s="3">
        <f>689+(252.4-323.1)+(0+(0-0))+0-143-0</f>
        <v>475.29999999999995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707.4+(263-460)+(0.360774+(0.13413-0.2346))+0-136.9-0.0698189999999861</f>
        <v>373.69048500000002</v>
      </c>
      <c r="G240" s="3">
        <f>707.8+(326.1-523.2)+(0.360978+(0.166311-0.266832))+0-141.7-0.0722669999999856</f>
        <v>369.18818999999991</v>
      </c>
      <c r="H240" s="3">
        <f>707.2+(362.1-575.1)+(0+(0-0))+0-136.2-0</f>
        <v>358.00000000000006</v>
      </c>
      <c r="I240" s="3">
        <f>706.5+(369.6-593.6)+(0+(0-0))+0-129.3-0</f>
        <v>353.2</v>
      </c>
      <c r="J240" s="3">
        <f>604.9+(357.9-474.1)+(0.308499+(0.182529-0.241791))+0-134.6-0.0686459999999863</f>
        <v>354.2805909999999</v>
      </c>
      <c r="K240" s="3">
        <f>573.9+(326.3-436)+(0.585378+(0.332826-0.44472))+0-138-0.140760000000022</f>
        <v>326.53272399999997</v>
      </c>
      <c r="L240" s="3">
        <f>567+(289.8-434.8)+(-0.57834+(-0.295596--0.443496))+0-134.1--0.136782000000021</f>
        <v>287.60634200000004</v>
      </c>
      <c r="M240" s="3">
        <f>570.4+(241.4-414.2)+(-0.290904+(-0.123114--0.211242))+0-123.1--0.0627809999999875</f>
        <v>274.360005</v>
      </c>
      <c r="N240" s="3">
        <f>574.3+(198.9-360.3)+(0+(0-0))+0-137.2-0</f>
        <v>275.7</v>
      </c>
      <c r="O240" s="3">
        <f>574+(180-341.5)+(0.29274+(0.0918-0.174165))+0-132.3-0.0674729999999866</f>
        <v>280.34290199999998</v>
      </c>
      <c r="P240" s="3">
        <f>580.3+(185.2-341.6)+(0.887859+(0.283356-0.522648))+0-134.4-0.205632000000008</f>
        <v>289.94293499999998</v>
      </c>
      <c r="Q240" s="3">
        <f>580.3+(184.2-331.6)+(0.591906+(0.187884-0.338232))+0-144.6-0.147492000000023</f>
        <v>288.59406599999994</v>
      </c>
      <c r="R240" s="3">
        <f>580.3+(145.1-289.4)+(-1.775718+(-0.444006--0.885564))+0-142.2--0.435132000000016</f>
        <v>292.90097200000002</v>
      </c>
      <c r="S240" s="3">
        <f>572+(137.9-277.1)+(-1.16688+(-0.281316--0.565284))+0-151.6--0.309263999999993</f>
        <v>280.626352</v>
      </c>
      <c r="T240" s="3">
        <f>583+(130-295.9)+(0+(0-0))+0-132.9-0</f>
        <v>284.20000000000005</v>
      </c>
      <c r="U240" s="3">
        <f>583+(144.3-299)+(0.29733+(0.073593-0.15249))+0-147.4-0.075173999999985</f>
        <v>281.04325899999998</v>
      </c>
      <c r="V240" s="3">
        <f>605+(168.1-315.1)+(-0.30855+(-0.085731--0.160701))+0-150.9--0.0769589999999847</f>
        <v>306.94337899999994</v>
      </c>
      <c r="W240" s="3">
        <f>682+(114.6-311.3)+(0+(0-0))+0-154.9-0</f>
        <v>330.4</v>
      </c>
      <c r="X240" s="3">
        <f>558+(153.4-183.5)+(-0.85374+(-0.234702--0.280755))+0-159.7--0.244341000000009</f>
        <v>367.63665400000002</v>
      </c>
      <c r="Y240" s="3">
        <f>537+(193-223)+(0+(0-0))+0-147.8-0</f>
        <v>359.2</v>
      </c>
      <c r="Z240" s="3">
        <f>532+(214.4-253.6)+(-0.54264+(-0.218688--0.258672))+0-145.9--0.148818000000023</f>
        <v>346.54616199999998</v>
      </c>
      <c r="AA240" s="3">
        <f>517+(242.5-271.1)+(-0.52734+(-0.24735--0.276522))+0-155.5--0.158610000000025</f>
        <v>332.56044199999997</v>
      </c>
      <c r="AB240" s="3">
        <f>530+(243.6-285.4)+(-0.8109+(-0.372708--0.436662))+0-142.2--0.217566000000008</f>
        <v>345.47062000000011</v>
      </c>
      <c r="AC240" s="3">
        <f>533+(274.5-320.8)+(-0.81549+(-0.419985--0.490824))+0-154.4--0.236232000000009</f>
        <v>331.79158100000001</v>
      </c>
      <c r="AD240">
        <v>408.99999999999994</v>
      </c>
      <c r="AE240" s="3">
        <f>687+(120.6-252.8)+(0+(0-0))+0-145.8-0</f>
        <v>408.99999999999994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600+(313.1-392.6)+(-0.918+(-0.479043--0.600678))+0-149.1--0.228123000000009</f>
        <v>370.83175799999992</v>
      </c>
      <c r="G241" s="3">
        <f>600+(314.8-412)+(-0.612+(-0.321096--0.42024))+0-140.1--0.142902000000022</f>
        <v>362.33004600000004</v>
      </c>
      <c r="H241" s="3">
        <f>600+(297.4-405.6)+(0.612+(0.303348-0.413712))+0-141.2-0.144024000000022</f>
        <v>350.95761199999998</v>
      </c>
      <c r="I241" s="3">
        <f>600+(324.8-423.6)+(0+(0-0))+0-146.3-0</f>
        <v>354.9</v>
      </c>
      <c r="J241" s="3">
        <f>600+(326.5-415.2)+(-0.612+(-0.33303--0.423504))+0-147.9--0.150858000000024</f>
        <v>363.02933200000001</v>
      </c>
      <c r="K241" s="3">
        <f>600+(291-381.3)+(-0.612+(-0.29682--0.388926))+0-149.7--0.152694000000024</f>
        <v>359.63279999999997</v>
      </c>
      <c r="L241" s="3">
        <f>540+(263.1-314.4)+(-0.2754+(-0.134181--0.160344))+0-159.1--0.0811409999999839</f>
        <v>329.43190400000003</v>
      </c>
      <c r="M241" s="3">
        <f>545+(264.1-262)+(0+(0-0))+0-155.8-0</f>
        <v>391.3</v>
      </c>
      <c r="N241" s="3">
        <f>598+(282.1-285.2)+(0+(0-0))+0-146.5-0</f>
        <v>448.40000000000009</v>
      </c>
      <c r="O241" s="3">
        <f>648+(254.4-315.2)+(0.99144+(0.389232-0.482256))+0-151.4-0.231642000000009</f>
        <v>436.46677400000004</v>
      </c>
      <c r="P241" s="3">
        <f>669+(216.9-295.4)+(-1.02357+(-0.331857--0.451962))+0-149.7--0.229041000000009</f>
        <v>440.12557600000002</v>
      </c>
      <c r="Q241" s="3">
        <f>688+(160-236)+(-0.35088+(-0.0816--0.12036))+0-151--0.0770099999999847</f>
        <v>460.76488999999992</v>
      </c>
      <c r="R241" s="3">
        <f>689+(137.2-220.3)+(-1.05417+(-0.209916--0.337059))+0-147--0.224910000000008</f>
        <v>458.19788300000005</v>
      </c>
      <c r="S241" s="3">
        <f>689+(209.5-299.7)+(-1.05417+(-0.320535--0.458541))+0-149.6--0.228888000000009</f>
        <v>448.51272399999993</v>
      </c>
      <c r="T241" s="3">
        <f>617+(236.4-352.9)+(0+(0-0))+0-146.6-0</f>
        <v>353.9</v>
      </c>
      <c r="U241" s="3">
        <f>617+(263.8-378.6)+(-0.31467+(-0.134538--0.193086))+0-145.3--0.0741029999999853</f>
        <v>356.71798099999995</v>
      </c>
      <c r="V241" s="3">
        <f>617+(213.6-305.9)+(-0.31467+(-0.108936--0.156009))+0-153.8--0.0784379999999844</f>
        <v>370.71084100000002</v>
      </c>
      <c r="W241" s="3">
        <f>616.6+(172.8-244.6)+(0+(0-0))+0-144.3-0</f>
        <v>400.50000000000006</v>
      </c>
      <c r="X241" s="3">
        <f>615.5+(168.6-231.8)+(-0.941715+(-0.257958--0.354654))+0-153.9--0.235467000000009</f>
        <v>397.79044800000003</v>
      </c>
      <c r="Y241" s="3">
        <f>623.4+(200.8-285.2)+(-1.58967+(-0.51204--0.72726))+0-145.3--0.370514999999979</f>
        <v>392.69606499999992</v>
      </c>
      <c r="Z241" s="3">
        <f>631.5+(226.4-329.4)+(-1.28826+(-0.461856--0.671976))+0-142.1--0.289883999999994</f>
        <v>385.61174399999999</v>
      </c>
      <c r="AA241" s="3">
        <f>602.3+(247.8-307.3)+(-0.614346+(-0.252756--0.313446))+0-150.1--0.153102000000024</f>
        <v>392.29944599999993</v>
      </c>
      <c r="AB241" s="3">
        <f>557.3+(297.1-333)+(-1.421115+(-0.757605--0.84915))+0-151.5--0.386324999999978</f>
        <v>368.95675499999999</v>
      </c>
      <c r="AC241" s="3">
        <f>561.6+(275.3-315.7)+(-0.286416+(-0.140403--0.161007))+0-168.1--0.0857309999999829</f>
        <v>352.91991900000005</v>
      </c>
      <c r="AD241">
        <v>476.5</v>
      </c>
      <c r="AE241" s="3">
        <f>694.5+(175-255.4)+(0+(0-0))+0-137.6-0</f>
        <v>476.5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556.1+(156.8-218.8)+(-1.134444+(-0.319872--0.446352))+0-167.2--0.341087999999993</f>
        <v>326.23312400000003</v>
      </c>
      <c r="G242" s="3">
        <f>556.6+(174.5-255.3)+(-1.135464+(-0.35598--0.520812))+0-160.7--0.327827999999993</f>
        <v>314.45719600000001</v>
      </c>
      <c r="H242" s="3">
        <f>563.2+(129.2-220.4)+(0+(0-0))+0-163.8-0</f>
        <v>308.2</v>
      </c>
      <c r="I242" s="3">
        <f>539.3+(123.7-205.2)+(-0.825129+(-0.189261--0.313956))+0-148.4--0.227052000000009</f>
        <v>308.92661800000002</v>
      </c>
      <c r="J242" s="3">
        <f>500.3+(153.2-185.6)+(0.255153+(0.078132-0.094656))+0-161.5-0.0823649999999836</f>
        <v>306.556264</v>
      </c>
      <c r="K242" s="3">
        <f>472.5+(175.6-181.2)+(-0.240975+(-0.089556--0.092412))+0-154.1--0.0785909999999844</f>
        <v>312.64047199999993</v>
      </c>
      <c r="L242" s="3">
        <f>473.3+(192.9-210.1)+(-1.206915+(-0.491895--0.535755))+0-146.8--0.374339999999979</f>
        <v>308.51128499999999</v>
      </c>
      <c r="M242" s="3">
        <f>508.5+(150.2-179.1)+(0.259335+(0.076602-0.091341))+0-153.4-0.0782339999999844</f>
        <v>326.36636200000004</v>
      </c>
      <c r="N242" s="3">
        <f>605.7+(128.9-216.2)+(0.308907+(0.065739-0.110262))+0-152-0.0775199999999846</f>
        <v>366.58686400000005</v>
      </c>
      <c r="O242" s="3">
        <f>611+(90.7-172.9)+(-0.62322+(-0.092514--0.176358))+0-161.6--0.164832000000026</f>
        <v>366.82545600000003</v>
      </c>
      <c r="P242" s="3">
        <f>622.2+(74.2-141.2)+(0.317322+(0.037842-0.072012))+0-166.9-0.0851189999999831</f>
        <v>388.49803300000008</v>
      </c>
      <c r="Q242" s="3">
        <f>615.8+(67.7-131.7)+(-1.256232+(-0.138108--0.268668))+0-164.3--0.335171999999993</f>
        <v>386.70949999999993</v>
      </c>
      <c r="R242" s="3">
        <f>609+(68.8-129.4)+(-2.48472+(-0.280704--0.527952))+0-156.1--0.636887999999986</f>
        <v>390.69941599999993</v>
      </c>
      <c r="S242" s="3">
        <f>609.3+(62.4-141)+(-0.310743+(-0.031824--0.07191))+0-167.5--0.085424999999983</f>
        <v>363.01476799999989</v>
      </c>
      <c r="T242" s="3">
        <f>610.2+(81.9-173.5)+(0+(0-0))+0-165.8-0</f>
        <v>352.8</v>
      </c>
      <c r="U242" s="3">
        <f>607.3+(93.1-194.7)+(-1.238892+(-0.189924--0.397188))+0-157.8--0.321911999999993</f>
        <v>347.19028399999991</v>
      </c>
      <c r="V242" s="3">
        <f>619.9+(92.1-192.3)+(0.316149+(0.046971-0.098073))+0-159.2-0.0811919999999838</f>
        <v>360.68385499999994</v>
      </c>
      <c r="W242" s="3">
        <f>625.3+(84.8-133.9)+(0+(0-0))+0-176.3-0</f>
        <v>399.89999999999992</v>
      </c>
      <c r="X242" s="3">
        <f>618.3+(87.9-109.3)+(-1.576665+(-0.224145--0.278715))+0-190.1--0.484754999999972</f>
        <v>405.76265999999987</v>
      </c>
      <c r="Y242" s="3">
        <f>627.2+(100.4-150.5)+(0+(0-0))+0-182.7-0</f>
        <v>394.40000000000003</v>
      </c>
      <c r="Z242" s="3">
        <f>622+(111.9-172.4)+(-1.26888+(-0.228276--0.351696))+0-176.3--0.359651999999992</f>
        <v>384.41419200000001</v>
      </c>
      <c r="AA242" s="3">
        <f>626.6+(126.8-210.5)+(-0.319566+(-0.064668--0.107355))+0-165.9--0.0846089999999832</f>
        <v>376.80772999999999</v>
      </c>
      <c r="AB242" s="3">
        <f>622.3+(121.3-220.2)+(-0.952119+(-0.185589--0.336906))+0-159.3--0.243729000000009</f>
        <v>363.54292700000002</v>
      </c>
      <c r="AC242" s="3">
        <f>617.1+(144-252.6)+(-2.517768+(-0.58752--1.030608))+0-167.6--0.683807999999985</f>
        <v>339.50912800000003</v>
      </c>
      <c r="AD242">
        <v>474.1</v>
      </c>
      <c r="AE242" s="3">
        <f>687+(90.7-118.2)+(0+(0-0))+0-185.4-0</f>
        <v>474.1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623.7+(192.5-321.1)+(-1.590435+(-0.490875--0.818805))+0-167.8--0.427889999999976</f>
        <v>326.46538500000003</v>
      </c>
      <c r="G243" s="3">
        <f>631.8+(187.8-331.4)+(0.322218+(0.095778-0.169014))+0-176.2-0.0898619999999821</f>
        <v>312.15912000000003</v>
      </c>
      <c r="H243" s="3">
        <f>623.9+(203.2-340.1)+(-1.272756+(-0.414528--0.693804))+0-179.4--0.365975999999992</f>
        <v>306.97249599999992</v>
      </c>
      <c r="I243" s="3">
        <f>633.7+(167.1-332)+(0+(0-0))+0-168.7-0</f>
        <v>300.10000000000008</v>
      </c>
      <c r="J243" s="3">
        <f>628.4+(184.8-342.7)+(-0.640968+(-0.188496--0.349554))+0-167.4--0.170748000000027</f>
        <v>302.79083800000001</v>
      </c>
      <c r="K243" s="3">
        <f>636.2+(150.3-317.7)+(0.648924+(0.153306-0.324054))+0-161.5-0.164730000000026</f>
        <v>307.61344600000007</v>
      </c>
      <c r="L243" s="3">
        <f>628.3+(139.4-322.3)+(-0.640866+(-0.142188--0.328746))+0-162.6--0.165852000000026</f>
        <v>282.51154400000001</v>
      </c>
      <c r="M243" s="3">
        <f>624.8+(109.7-298)+(-0.637296+(-0.111894--0.30396))+0-159.6--0.162792000000025</f>
        <v>276.61756199999996</v>
      </c>
      <c r="N243" s="3">
        <f>624.1+(100-274.9)+(-0.318291+(-0.051--0.140199))+0-166.3--0.0848129999999831</f>
        <v>282.75572100000005</v>
      </c>
      <c r="O243" s="3">
        <f>619.8+(87.9-247.3)+(-0.632196+(-0.089658--0.252246))+0-169.3--0.172686000000027</f>
        <v>290.80307799999997</v>
      </c>
      <c r="P243" s="3">
        <f>601.5+(84.9-188.9)+(-0.920295+(-0.129897--0.289017))+0-185.3--0.283509000000011</f>
        <v>311.72233400000005</v>
      </c>
      <c r="Q243" s="3">
        <f>605.1+(70.9-189.4)+(-0.617202+(-0.072318--0.193188))+0-172.5--0.175950000000028</f>
        <v>313.77961800000003</v>
      </c>
      <c r="R243" s="3">
        <f>603.2+(85.6-189.4)+(-0.922896+(-0.130968--0.289782))+0-182.2--0.278766000000011</f>
        <v>316.71468400000009</v>
      </c>
      <c r="S243" s="3">
        <f>604.2+(76.6-195.5)+(-0.924426+(-0.117198--0.299115))+0-176.2--0.26958600000001</f>
        <v>308.6270770000001</v>
      </c>
      <c r="T243" s="3">
        <f>604+(68.3-201.3)+(-1.23216+(-0.139332--0.410652))+0-172.2--0.351287999999992</f>
        <v>298.190448</v>
      </c>
      <c r="U243" s="3">
        <f>611.1+(72.7-206.8)+(0+(0-0))+0-175.9-0</f>
        <v>301.10000000000002</v>
      </c>
      <c r="V243" s="3">
        <f>609.9+(69.7-175.9)+(0+(0-0))+0-185-0</f>
        <v>318.7</v>
      </c>
      <c r="W243" s="3">
        <f>607.8+(80.4-133.6)+(0.309978+(0.041004-0.068136))+0-191.1-0.0974609999999806</f>
        <v>363.68538499999988</v>
      </c>
      <c r="X243" s="3">
        <f>608.4+(78.2-129.9)+(0+(0-0))+0-187.2-0</f>
        <v>369.49999999999994</v>
      </c>
      <c r="Y243" s="3">
        <f>608.6+(88.8-141.7)+(0.310386+(0.045288-0.072267))+0-189.4-0.0965939999999808</f>
        <v>366.4868130000001</v>
      </c>
      <c r="Z243" s="3">
        <f>604+(98.4-145.2)+(-0.61608+(-0.100368--0.148104))+0-193.8--0.197676000000031</f>
        <v>363.02933200000007</v>
      </c>
      <c r="AA243" s="3">
        <f>601.6+(94.2-152.6)+(-0.613632+(-0.096084--0.155652))+0-193.6--0.197472000000031</f>
        <v>349.24340799999999</v>
      </c>
      <c r="AB243" s="3">
        <f>598.2+(109.4-178.3)+(-1.220328+(-0.223176--0.363732))+0-190.9--0.389435999999992</f>
        <v>337.70966400000003</v>
      </c>
      <c r="AC243" s="3">
        <f>599.1+(117.4-222.3)+(-1.222164+(-0.239496--0.453492))+0-179--0.365159999999992</f>
        <v>314.55699200000004</v>
      </c>
      <c r="AD243">
        <v>438.70000000000005</v>
      </c>
      <c r="AE243" s="3">
        <f>674+(80.2-132.9)+(0+(0-0))+0-182.6-0</f>
        <v>438.69999999999993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606.6+(145.9-257.1)+(0+(0-0))+0-186.2-0</f>
        <v>309.2</v>
      </c>
      <c r="G244" s="3">
        <f>599.9+(156.7-273.3)+(-1.529745+(-0.399585--0.696915))+0-178.8--0.455939999999974</f>
        <v>303.72352499999994</v>
      </c>
      <c r="H244" s="3">
        <f>568+(179.9-283.1)+(0.86904+(0.275247-0.433143))+0-173.5-0.26545500000001</f>
        <v>291.74568899999991</v>
      </c>
      <c r="I244" s="3">
        <f>531+(182.7-231.3)+(-0.54162+(-0.186354--0.235926))+0-184.1--0.187782000000029</f>
        <v>297.99573400000003</v>
      </c>
      <c r="J244" s="3">
        <f>545+(209.5-269.3)+(1.38975+(0.534225-0.686715))+0-182.1-0.464354999999974</f>
        <v>303.87290500000006</v>
      </c>
      <c r="K244" s="3">
        <f>536.4+(241.8-287.9)+(0.273564+(0.123318-0.146829))+0-176.7-0.0901169999999821</f>
        <v>313.75993600000004</v>
      </c>
      <c r="L244" s="3">
        <f>528.8+(220.1-237.6)+(-0.809064+(-0.336753--0.363528))+0-178.4--0.27295200000001</f>
        <v>332.39066300000002</v>
      </c>
      <c r="M244" s="3">
        <f>536.5+(150-146.8)+(0.273615+(0.0765-0.074868))+0-171-0.0872099999999826</f>
        <v>368.88803700000011</v>
      </c>
      <c r="N244" s="3">
        <f>535+(148.6-130.6)+(0.27285+(0.075786-0.066606))+0-178.3-0.0909329999999819</f>
        <v>374.89109699999995</v>
      </c>
      <c r="O244" s="3">
        <f>527.6+(128.6-112)+(-1.076304+(-0.262344--0.22848))+0-167.6--0.341903999999993</f>
        <v>375.83173599999998</v>
      </c>
      <c r="P244" s="3">
        <f>531.5+(108.1-78.1)+(-0.271065+(-0.055131--0.039831))+0-148.5--0.0757349999999849</f>
        <v>412.78936999999996</v>
      </c>
      <c r="Q244" s="3">
        <f>535.8+(105.1-70.3)+(0.273258+(0.053601-0.035853))+0-152.8-0.0779279999999845</f>
        <v>418.01307799999995</v>
      </c>
      <c r="R244" s="3">
        <f>523.3+(112.6-66)+(-0.800649+(-0.172278--0.10098))+0-163.2--0.249696000000009</f>
        <v>406.07774900000004</v>
      </c>
      <c r="S244" s="3">
        <f>527.1+(112.5-80.9)+(-0.806463+(-0.172125--0.123777))+0-163.4--0.250002000000009</f>
        <v>394.69519100000002</v>
      </c>
      <c r="T244" s="3">
        <f>547+(155.6-170.3)+(-0.27897+(-0.079356--0.086853))+0-163.7--0.0834869999999834</f>
        <v>368.41201399999994</v>
      </c>
      <c r="U244" s="3">
        <f>630.2+(171.9-277.2)+(-0.964206+(-0.263007--0.424116))+0-164.8--0.25214400000001</f>
        <v>359.54904700000009</v>
      </c>
      <c r="V244" s="3">
        <f>637.1+(185.6-279)+(-0.324921+(-0.094656--0.14229))+0-166.2--0.0847619999999831</f>
        <v>377.30747500000001</v>
      </c>
      <c r="W244" s="3">
        <f>638.9+(123.1-164.9)+(0.325839+(0.062781-0.084099))+0-177.5-0.090524999999982</f>
        <v>419.81399599999997</v>
      </c>
      <c r="X244" s="3">
        <f>630.5+(115.5-137.9)+(-1.28622+(-0.23562--0.281316))+0-189.4--0.386375999999992</f>
        <v>417.84585199999998</v>
      </c>
      <c r="Y244" s="3">
        <f>632.8+(152.3-186)+(0+(0-0))+0-187.8-0</f>
        <v>411.2999999999999</v>
      </c>
      <c r="Z244" s="3">
        <f>629.2+(196.5-243.7)+(-0.320892+(-0.100215--0.124287))+0-182.5--0.0930749999999815</f>
        <v>399.29625499999997</v>
      </c>
      <c r="AA244" s="3">
        <f>618+(210.2-270)+(-1.89108+(-0.643212--0.8262))+0-175.6--0.53733600000002</f>
        <v>381.4292440000001</v>
      </c>
      <c r="AB244" s="3">
        <f>625.7+(243.2-316.2)+(-0.638214+(-0.248064--0.322524))+0-180.2--0.183804000000029</f>
        <v>372.12005000000005</v>
      </c>
      <c r="AC244" s="3">
        <f>614.2+(269.9-350.8)+(-2.192694+(-0.963543--1.252356))+0-177.3--0.632961000000003</f>
        <v>354.72908000000001</v>
      </c>
      <c r="AD244">
        <v>500.20000000000005</v>
      </c>
      <c r="AE244" s="3">
        <f>698+(111.5-131.3)+(0+(0-0))+0-178-0</f>
        <v>500.20000000000005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619+(265.8-380.3)+(-0.94707+(-0.406674--0.581859))+0-171.9--0.26300700000001</f>
        <v>332.09112200000004</v>
      </c>
      <c r="G245" s="3">
        <f>513.1+(280.9-313.2)+(-0.523362+(-0.286518--0.319464))+0-161.8--0.165036000000026</f>
        <v>318.67462000000006</v>
      </c>
      <c r="H245" s="3">
        <f>507.5+(278.9-294.5)+(0+(0-0))+0-182.5-0</f>
        <v>309.39999999999998</v>
      </c>
      <c r="I245" s="3">
        <f>504.5+(280.6-298.2)+(0+(0-0))+0-181-0</f>
        <v>305.90000000000003</v>
      </c>
      <c r="J245" s="3">
        <f>509.6+(319.9-336)+(0.519792+(0.326298-0.34272))+0-182-0.185640000000029</f>
        <v>311.81772999999998</v>
      </c>
      <c r="K245" s="3">
        <f>508.9+(308.8-326.3)+(0.519078+(0.314976-0.332826))+0-176.8-0.180336000000028</f>
        <v>314.92089199999998</v>
      </c>
      <c r="L245" s="3">
        <f>509.7+(309.6-322)+(0.779841+(0.473688-0.49266))+0-172.3-0.26361900000001</f>
        <v>325.49725000000001</v>
      </c>
      <c r="M245" s="3">
        <f>508.2+(373.5-345.3)+(0.777546+(0.571455-0.528309))+0-182.5-0.279225000000011</f>
        <v>354.44146699999999</v>
      </c>
      <c r="N245" s="3">
        <f>501.5+(369.6-332.4)+(-0.255765+(-0.188496--0.169524))+0-165.1--0.0842009999999832</f>
        <v>373.40946400000007</v>
      </c>
      <c r="O245" s="3">
        <f>489.1+(318.8-262)+(-0.249441+(-0.162588--0.13362))+0-171.2--0.0873119999999826</f>
        <v>374.50890300000009</v>
      </c>
      <c r="P245" s="3">
        <f>400.6+(330.2-137.4)+(-0.204306+(-0.168402--0.070074))+0-156.4--0.0797639999999841</f>
        <v>436.77713</v>
      </c>
      <c r="Q245" s="3">
        <f>422.9+(356.2-172.2)+(-0.647037+(-0.544986--0.263466))+0-172.3--0.26361900000001</f>
        <v>433.93506200000002</v>
      </c>
      <c r="R245" s="3">
        <f>500.8+(366.2-271)+(-0.766224+(-0.560286--0.41463))+0-162--0.247860000000009</f>
        <v>433.33598000000001</v>
      </c>
      <c r="S245" s="3">
        <f>510.1+(287-223)+(-1.040604+(-0.58548--0.45492))+0-166.9--0.340475999999993</f>
        <v>406.36931200000004</v>
      </c>
      <c r="T245" s="3">
        <f>514.9+(339.1-299.9)+(-0.262599+(-0.172941--0.152949))+0-155.7--0.0794069999999842</f>
        <v>398.19681600000001</v>
      </c>
      <c r="U245" s="3">
        <f>518.4+(394.9-344.8)+(0.793152+(0.604197-0.527544))+0-169.3-0.25902900000001</f>
        <v>399.81077600000003</v>
      </c>
      <c r="V245" s="3">
        <f>513.1+(423.2-339.8)+(-1.308405+(-1.07916--0.86649))+0-173.4--0.442169999999975</f>
        <v>422.021095</v>
      </c>
      <c r="W245" s="3">
        <f>521.9+(344.8-226.6)+(0.266169+(0.175848-0.115566))+0-174.1-0.0887909999999823</f>
        <v>466.23766000000006</v>
      </c>
      <c r="X245" s="3">
        <f>516.6+(349.7-221.3)+(-1.580796+(-1.070082--0.677178))+0-183.1--0.560286000000021</f>
        <v>460.48658599999999</v>
      </c>
      <c r="Y245" s="3">
        <f>521.6+(344.6-246.1)+(-0.532032+(-0.351492--0.251022))+0-173.3--0.176766000000028</f>
        <v>446.34426400000001</v>
      </c>
      <c r="Z245" s="3">
        <f>520.7+(380.8-267)+(-1.062228+(-0.776832--0.54468))+0-188.3--0.384131999999992</f>
        <v>445.28975199999991</v>
      </c>
      <c r="AA245" s="3">
        <f>518.5+(405.8-304.7)+(-1.322175+(-1.03479--0.776985))+0-185.8--0.473789999999973</f>
        <v>432.69380999999998</v>
      </c>
      <c r="AB245" s="3">
        <f>520.7+(371.8-295)+(-0.796671+(-0.568854--0.45135))+0-191--0.292230000000011</f>
        <v>405.87805500000002</v>
      </c>
      <c r="AC245" s="3">
        <f>521.2+(356.1-321.4)+(-0.531624+(-0.363222--0.327828))+0-156.5--0.159630000000025</f>
        <v>398.99261200000018</v>
      </c>
      <c r="AD245">
        <v>487.6</v>
      </c>
      <c r="AE245" s="3">
        <f>548+(331.1-213.6)+(0+(0-0))+0-177.9-0</f>
        <v>487.6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553+(269.3-257.3)+(0.56406+(0.274686-0.262446))+0-162-0.165240000000026</f>
        <v>403.41105999999991</v>
      </c>
      <c r="G246" s="3">
        <f>555+(286-284.4)+(-0.5661+(-0.29172--0.290088))+0-160.5--0.163710000000026</f>
        <v>395.69597800000008</v>
      </c>
      <c r="H246" s="3">
        <f>533+(300.1-248.9)+(0.27183+(0.153051-0.126939))+0-175.9-0.0897089999999822</f>
        <v>408.50823300000013</v>
      </c>
      <c r="I246" s="3">
        <f>410+(313.1-158.3)+(0.2091+(0.159681-0.080733))+0-189.3-0.0965429999999808</f>
        <v>375.69150499999995</v>
      </c>
      <c r="J246" s="3">
        <f>413+(333.5-180)+(-0.42126+(-0.34017--0.1836))+0-180.4--0.184008000000029</f>
        <v>385.70617800000008</v>
      </c>
      <c r="K246" s="3">
        <f>415+(318.2-180.4)+(0.4233+(0.324564-0.184008))+0-171.5-0.174930000000027</f>
        <v>381.68892599999992</v>
      </c>
      <c r="L246" s="3">
        <f>413+(299.1-153)+(-0.42126+(-0.305082--0.15606))+0-171.4--0.174828000000027</f>
        <v>387.30454600000007</v>
      </c>
      <c r="M246" s="3">
        <f>415+(266.9-87.5)+(-0.21165+(-0.136119--0.044625))+0-180.9--0.0922589999999816</f>
        <v>413.28911499999998</v>
      </c>
      <c r="N246" s="3">
        <f>406+(260.2-51.1)+(0+(0-0))+0-182.5-0</f>
        <v>432.6</v>
      </c>
      <c r="O246" s="3">
        <f>478+(226.6-75.6)+(0.24378+(0.115566-0.038556))+0-170.1-0.0867509999999827</f>
        <v>459.13403899999997</v>
      </c>
      <c r="P246" s="3">
        <f>514+(196.3-71.8)+(-0.52428+(-0.200226--0.073236))+0-180.6--0.184212000000029</f>
        <v>457.43294200000003</v>
      </c>
      <c r="Q246" s="3">
        <f>521+(182.7-69.1)+(-1.32855+(-0.465885--0.176205))+0-163.5--0.416924999999976</f>
        <v>469.89869499999998</v>
      </c>
      <c r="R246" s="3">
        <f>531+(178.1-65.8)+(-0.81243+(-0.272493--0.100674))+0-177.7--0.27188100000001</f>
        <v>464.887632</v>
      </c>
      <c r="S246" s="3">
        <f>536+(156.2-90.8)+(-0.54672+(-0.159324--0.092616))+0-147.6--0.150552000000024</f>
        <v>453.33712399999996</v>
      </c>
      <c r="T246" s="3">
        <f>545+(184.5-110.5)+(0.83385+(0.282285-0.169065))+0-175.1-0.26790300000001</f>
        <v>444.57916700000004</v>
      </c>
      <c r="U246" s="3">
        <f>540+(204-120.5)+(0.2754+(0.10404-0.061455))+0-189.7-0.0967469999999808</f>
        <v>434.02123800000004</v>
      </c>
      <c r="V246" s="3">
        <f>538+(208-110)+(0+(0-0))+0-186.7-0</f>
        <v>449.3</v>
      </c>
      <c r="W246" s="3">
        <f>531+(179.8-48.5)+(0+(0-0))+0-180-0</f>
        <v>482.29999999999995</v>
      </c>
      <c r="X246" s="3">
        <f>540+(176.5-47.9)+(-0.8262+(-0.270045--0.073287))+0-190.6--0.291618000000011</f>
        <v>477.26866000000001</v>
      </c>
      <c r="Y246" s="3">
        <f>536+(169.3-52.6)+(-1.3668+(-0.431715--0.13413))+0-182.6--0.465629999999974</f>
        <v>468.90124499999996</v>
      </c>
      <c r="Z246" s="3">
        <f>545+(185-82.2)+(0+(0-0))+0-175.6-0</f>
        <v>472.19999999999993</v>
      </c>
      <c r="AA246" s="3">
        <f>539+(190.1-86.5)+(-1.37445+(-0.484755--0.220575))+0-189--0.481949999999973</f>
        <v>452.44331999999997</v>
      </c>
      <c r="AB246" s="3">
        <f>536+(212.7-128)+(-1.09344+(-0.433908--0.26112))+0-177.8--0.362711999999992</f>
        <v>441.99648400000007</v>
      </c>
      <c r="AC246" s="3">
        <f>541+(214.6-149.7)+(-1.10364+(-0.437784--0.305388))+0-182--0.371279999999992</f>
        <v>423.03524399999998</v>
      </c>
      <c r="AD246">
        <v>464.49999999999994</v>
      </c>
      <c r="AE246" s="3">
        <f>534+(151.8-54.1)+(0+(0-0))+0-167.2-0</f>
        <v>464.50000000000006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473.5+(222.9-192)+(-0.724455+(-0.341037--0.29376))+0-177.1--0.27096300000001</f>
        <v>326.79923100000002</v>
      </c>
      <c r="G247" s="3">
        <f>478.6+(259.9-236.5)+(0+(0-0))+0-185.6-0</f>
        <v>316.39999999999998</v>
      </c>
      <c r="H247" s="3">
        <f>405.7+(303.1-206)+(0+(0-0))+0-179.8-0</f>
        <v>323</v>
      </c>
      <c r="I247" s="3">
        <f>344.6+(337.3-186.9)+(0+(0-0))+0-187-0</f>
        <v>308</v>
      </c>
      <c r="J247" s="3">
        <f>354.6+(333.2-225.8)+(0.723384+(0.679728-0.460632))+0-188.9-0.385355999999992</f>
        <v>273.65712399999995</v>
      </c>
      <c r="K247" s="3">
        <f>355.5+(347.5-227.7)+(0.72522+(0.7089-0.464508))+0-187.5-0.382499999999992</f>
        <v>288.387112</v>
      </c>
      <c r="L247" s="3">
        <f>354.9+(364.7-240.7)+(0.361998+(0.371994-0.245514))+0-192.1-0.195942000000031</f>
        <v>287.09253599999988</v>
      </c>
      <c r="M247" s="3">
        <f>351+(321.6-189.1)+(0+(0-0))+0-171.3-0</f>
        <v>312.2</v>
      </c>
      <c r="N247" s="3">
        <f>383+(283.2-166.4)+(0.19533+(0.144432-0.084864))+0-141.8-0.0723179999999856</f>
        <v>358.18257999999997</v>
      </c>
      <c r="O247" s="3">
        <f>459.2+(237.7-201.1)+(0.468384+(0.242454-0.205122))+0-114.6-0.116892000000018</f>
        <v>381.58882399999993</v>
      </c>
      <c r="P247" s="3">
        <f>468.8+(201.9-158)+(-0.239088+(-0.102969--0.08058))+0-114.4--0.0583439999999884</f>
        <v>398.09686700000003</v>
      </c>
      <c r="Q247" s="3">
        <f>465.1+(201.7-182.6)+(-1.423206+(-0.617202--0.558756))+0-87.7--0.26836200000001</f>
        <v>395.28671000000008</v>
      </c>
      <c r="R247" s="3">
        <f>496.2+(192.3-184.3)+(-1.012248+(-0.392292--0.375972))+0-78--0.159119999999997</f>
        <v>425.33055199999995</v>
      </c>
      <c r="S247" s="3">
        <f>498.2+(176.2-134.7)+(-0.254082+(-0.089862--0.068697))+0-150.9--0.0769589999999847</f>
        <v>388.60171200000002</v>
      </c>
      <c r="T247" s="3">
        <f>503+(139.9-115.9)+(0+(0-0))+0-154.7-0</f>
        <v>372.3</v>
      </c>
      <c r="U247" s="3">
        <f>505+(154.9-120.8)+(0.25755+(0.078999-0.061608))+0-177.6-0.090575999999982</f>
        <v>361.68436500000001</v>
      </c>
      <c r="V247" s="3">
        <f>503.2+(154.5-119.4)+(0.256632+(0.078795-0.060894))+0-184.4-0.0940439999999813</f>
        <v>354.080489</v>
      </c>
      <c r="W247" s="3">
        <f>492.7+(169.9-109.5)+(-0.251277+(-0.086649--0.055845))+0-190.2--0.0970019999999807</f>
        <v>362.71492100000006</v>
      </c>
      <c r="X247" s="3">
        <f>502.1+(169.9-101.4)+(0+(0-0))+0-191.3-0</f>
        <v>379.3</v>
      </c>
      <c r="Y247" s="3">
        <f>499.7+(185.8-127.6)+(-1.019388+(-0.379032--0.260304))+0-179.8--0.366791999999992</f>
        <v>377.32867599999997</v>
      </c>
      <c r="Z247" s="3">
        <f>503.6+(203.6-155.9)+(-0.256836+(-0.103836--0.079509))+0-179.7--0.0916469999999818</f>
        <v>371.41048399999994</v>
      </c>
      <c r="AA247" s="3">
        <f>493.5+(220.7-163.8)+(-1.00674+(-0.450228--0.334152))+0-182.9--0.373115999999992</f>
        <v>366.75030000000004</v>
      </c>
      <c r="AB247" s="3">
        <f>503.9+(210.4-168.8)+(-0.770967+(-0.321912--0.258264))+0-182.9--0.279837000000011</f>
        <v>362.04522200000002</v>
      </c>
      <c r="AC247" s="3">
        <f>508.4+(162.3-130.4)+(-0.777852+(-0.248319--0.199512))+0-193--0.295290000000011</f>
        <v>346.76863100000003</v>
      </c>
      <c r="AD247">
        <v>389.79999999999995</v>
      </c>
      <c r="AE247" s="3">
        <f>520+(174.3-95.9)+(0+(0-0))+0-208.6-0</f>
        <v>389.79999999999995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498.2+(166.4-173.7)+(-0.508164+(-0.169728--0.177174))+0-171.5--0.174930000000027</f>
        <v>319.07421199999999</v>
      </c>
      <c r="G248" s="3">
        <f>499.8+(194.5-201.9)+(-0.509796+(-0.19839--0.205938))+0-178.3--0.181866000000028</f>
        <v>313.77961799999997</v>
      </c>
      <c r="H248" s="3">
        <f>505.3+(182-184.2)+(-0.515406+(-0.18564--0.187884))+0-191.9--0.195738000000031</f>
        <v>310.88257599999997</v>
      </c>
      <c r="I248" s="3">
        <f>492.8+(163.3-163.6)+(-0.251328+(-0.083283--0.083436))+0-177.9--0.0907289999999819</f>
        <v>314.43955400000004</v>
      </c>
      <c r="J248" s="3">
        <f>303.8+(214.7-43.9)+(0.309876+(0.218994-0.044778))+0-187.7-0.19145400000003</f>
        <v>287.19263799999999</v>
      </c>
      <c r="K248" s="3">
        <f>289.3+(237.6-31.4)+(0.295086+(0.242352-0.032028))+0-191-0.19482000000003</f>
        <v>304.81058999999993</v>
      </c>
      <c r="L248" s="3">
        <f>305+(255.3-50)+(-0.15555+(-0.130203--0.0255))+0-177--0.090269999999982</f>
        <v>333.13001700000001</v>
      </c>
      <c r="M248" s="3">
        <f>360+(260.6-66.8)+(0+(0-0))+0-190.2-0</f>
        <v>363.59999999999997</v>
      </c>
      <c r="N248" s="3">
        <f>427+(263.5-122.8)+(-0.21777+(-0.134385--0.062628))+0-185.5--0.0946049999999812</f>
        <v>382.00507800000003</v>
      </c>
      <c r="O248" s="3">
        <f>429.5+(280.7-154.8)+(0.219045+(0.143157-0.078948))+0-188.3-0.0960329999999809</f>
        <v>367.28722100000005</v>
      </c>
      <c r="P248" s="3">
        <f>473.1+(275.2-170.6)+(-0.241281+(-0.140352--0.087006))+0-187.9--0.0958289999999809</f>
        <v>389.60120200000006</v>
      </c>
      <c r="Q248" s="3">
        <f>470+(317.5-209.3)+(-0.9588+(-0.6477--0.426972))+0-177.5--0.362099999999992</f>
        <v>399.88257200000004</v>
      </c>
      <c r="R248" s="3">
        <f>396.5+(334.8-138.8)+(-1.011075+(-0.85374--0.35394))+0-189.5--0.483224999999972</f>
        <v>401.97234999999989</v>
      </c>
      <c r="S248" s="3">
        <f>414.6+(344.2-187.7)+(-0.845784+(-0.702168--0.382908))+0-184.4--0.376175999999992</f>
        <v>385.91113200000007</v>
      </c>
      <c r="T248" s="3">
        <f>458.4+(326-225.1)+(-0.701352+(-0.49878--0.344403))+0-176.8--0.27050400000001</f>
        <v>381.91477499999996</v>
      </c>
      <c r="U248" s="3">
        <f>502.7+(293.3-215)+(-0.512754+(-0.299166--0.2193))+0-182.6--0.186252000000029</f>
        <v>397.99363199999999</v>
      </c>
      <c r="V248" s="3">
        <f>502.6+(203.5-131.3)+(-0.512652+(-0.20757--0.133926))+0-167.1--0.170442000000027</f>
        <v>407.28414600000002</v>
      </c>
      <c r="W248" s="3">
        <f>496.6+(208.4-92.8)+(0.253266+(0.106284-0.047328))+0-180-0.0917999999999817</f>
        <v>432.42042200000009</v>
      </c>
      <c r="X248" s="3">
        <f>506.3+(254.4-124.1)+(-1.549278+(-0.778464--0.379746))+0-196.1--0.600066000000023</f>
        <v>439.15207000000004</v>
      </c>
      <c r="Y248" s="3">
        <f>511.6+(286.7-176.7)+(-1.826412+(-1.023519--0.630819))+0-189.9--0.677943000000003</f>
        <v>430.15883100000008</v>
      </c>
      <c r="Z248" s="3">
        <f>514.2+(299-207.6)+(-0.786726+(-0.45747--0.317628))+0-188.5--0.288405000000011</f>
        <v>416.46183700000006</v>
      </c>
      <c r="AA248" s="3">
        <f>515.7+(275.7-190)+(-0.526014+(-0.281214--0.1938))+0-181.9--0.185538000000029</f>
        <v>419.07211000000012</v>
      </c>
      <c r="AB248" s="3">
        <f>509.8+(296.1-218.7)+(-0.779994+(-0.453033--0.334611))+0-191.7--0.293301000000011</f>
        <v>394.89488500000004</v>
      </c>
      <c r="AC248" s="3">
        <f>514.8+(290-233.9)+(-0.262548+(-0.1479--0.119289))+0-191.3--0.0975629999999806</f>
        <v>379.40640399999995</v>
      </c>
      <c r="AD248">
        <v>466.3</v>
      </c>
      <c r="AE248" s="3">
        <f>536+(250.4-115.3)+(0+(0-0))+0-204.8-0</f>
        <v>466.3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500.5+(279.6-252.5)+(-0.765765+(-0.427788--0.386325))+0-177.4--0.27142200000001</f>
        <v>349.66419400000007</v>
      </c>
      <c r="G249" s="3">
        <f>498+(287.5-271)+(-0.50796+(-0.29325--0.27642))+0-174.5--0.177990000000028</f>
        <v>339.65319999999997</v>
      </c>
      <c r="H249" s="3">
        <f>495.3+(276.9-266.6)+(-1.010412+(-0.564876--0.543864))+0-171.7--0.350267999999992</f>
        <v>333.21884399999993</v>
      </c>
      <c r="I249" s="3">
        <f>477.1+(274.2-240.4)+(0.486642+(0.279684-0.245208))+0-174-0.177480000000028</f>
        <v>337.24363799999998</v>
      </c>
      <c r="J249" s="3">
        <f>447.4+(287.4-197.4)+(-0.912696+(-0.586296--0.402696))+0-187.2--0.381887999999992</f>
        <v>349.48559199999994</v>
      </c>
      <c r="K249" s="3">
        <f>447.5+(278.5-194.3)+(-0.684675+(-0.426105--0.297279))+0-182--0.278460000000011</f>
        <v>349.16495900000007</v>
      </c>
      <c r="L249" s="3">
        <f>449.4+(245.6-163.1)+(0+(0-0))+0-178.2-0</f>
        <v>353.7</v>
      </c>
      <c r="M249" s="3">
        <f>450.8+(225.3-115.7)+(0+(0-0))+0-189.8-0</f>
        <v>370.59999999999997</v>
      </c>
      <c r="N249" s="3">
        <f>485.3+(177.6-107.9)+(0.495006+(0.181152-0.110058))+0-175.4-0.178908000000028</f>
        <v>379.98719199999999</v>
      </c>
      <c r="O249" s="3">
        <f>484.8+(157.7-69.6)+(-0.247248+(-0.080427--0.035496))+0-181.4--0.0925139999999816</f>
        <v>391.30033499999996</v>
      </c>
      <c r="P249" s="3">
        <f>484.5+(173-66.6)+(-0.247095+(-0.08823--0.033966))+0-190.4--0.0971039999999807</f>
        <v>400.29574499999995</v>
      </c>
      <c r="Q249" s="3">
        <f>485.6+(219.3-116.4)+(-0.742968+(-0.335529--0.178092))+0-187--0.286110000000011</f>
        <v>400.88570500000003</v>
      </c>
      <c r="R249" s="3">
        <f>482.6+(189.6-105.9)+(-0.984504+(-0.386784--0.216036))+0-173.6--0.354143999999992</f>
        <v>391.89889199999993</v>
      </c>
      <c r="S249" s="3">
        <f>488.4+(199.4-134.7)+(0.498168+(0.203388-0.137394))+0-175.6-0.179112000000028</f>
        <v>377.88504999999998</v>
      </c>
      <c r="T249" s="3">
        <f>479.3+(265.2-187.1)+(-0.244443+(-0.135252--0.095421))+0-197.7--0.10082699999998</f>
        <v>359.51655299999999</v>
      </c>
      <c r="U249" s="3">
        <f>469.9+(241.3-187.5)+(-0.239649+(-0.123063--0.095625))+0-182.9--0.0932789999999814</f>
        <v>340.62619200000012</v>
      </c>
      <c r="V249" s="3">
        <f>479.7+(213.2-132.1)+(-0.244647+(-0.108732--0.067371))+0-188.9--0.0963389999999808</f>
        <v>371.71033099999994</v>
      </c>
      <c r="W249" s="3">
        <f>489.5+(165.6-51.4)+(0.249645+(0.084456-0.026214))+0-195.1-0.0995009999999802</f>
        <v>408.8083860000001</v>
      </c>
      <c r="X249" s="3">
        <f>488.5+(155.1-55.1)+(-1.49481+(-0.474606--0.168606))+0-203--0.621180000000023</f>
        <v>384.32037000000008</v>
      </c>
      <c r="Y249" s="3">
        <f>498.2+(166.9-95.4)+(-0.762246+(-0.255357--0.145962))+0-200.9--0.307377000000012</f>
        <v>368.23573600000014</v>
      </c>
      <c r="Z249" s="3">
        <f>501.7+(185.7-133)+(-1.023468+(-0.378828--0.27132))+0-189.3--0.386171999999992</f>
        <v>364.35519599999992</v>
      </c>
      <c r="AA249" s="3">
        <f>503.3+(210.3-155.4)+(-0.513366+(-0.214506--0.158508))+0-199.4--0.203388000000032</f>
        <v>358.43402400000014</v>
      </c>
      <c r="AB249" s="3">
        <f>501.7+(247.9-207.9)+(-0.767601+(-0.379287--0.318087))+0-194.9--0.298197000000011</f>
        <v>346.26939600000009</v>
      </c>
      <c r="AC249" s="3">
        <f>505.6+(265.3-243.2)+(-1.547136+(-0.811818--0.744192))+0-188.9--0.578034000000022</f>
        <v>337.76327200000003</v>
      </c>
      <c r="AD249">
        <v>435.79999999999995</v>
      </c>
      <c r="AE249" s="3">
        <f>528+(156.4-52)+(0+(0-0))+0-196.6-0</f>
        <v>435.79999999999995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475.7+(224-221.7)+(0.485214+(0.22848-0.226134))+0-193.2-0.197064000000031</f>
        <v>285.09049599999997</v>
      </c>
      <c r="G250" s="3">
        <f>469.8+(230-222)+(-0.718794+(-0.3519--0.33966))+0-186.8--0.285804000000011</f>
        <v>290.55476999999996</v>
      </c>
      <c r="H250" s="3">
        <f>468.5+(239.8-234.6)+(-0.716805+(-0.366894--0.358938))+0-190.2--0.291006000000011</f>
        <v>283.06624500000009</v>
      </c>
      <c r="I250" s="3">
        <f>470.5+(255.4-247.1)+(-0.47991+(-0.260508--0.252042))+0-195.7--0.199614000000031</f>
        <v>282.81123800000006</v>
      </c>
      <c r="J250" s="3">
        <f>469.3+(279.6-277.3)+(-0.718029+(-0.427788--0.424269))+0-194.7--0.297891000000011</f>
        <v>276.47634300000004</v>
      </c>
      <c r="K250" s="3">
        <f>469.8+(207.4-228.2)+(-0.479196+(-0.211548--0.232764))+0-187.9--0.19165800000003</f>
        <v>260.83367800000002</v>
      </c>
      <c r="L250" s="3">
        <f>456.7+(136-152.5)+(-1.630419+(-0.48552--0.544425))+0-187.9--0.670803000000003</f>
        <v>251.39928900000001</v>
      </c>
      <c r="M250" s="3">
        <f>450.2+(113.3-135.8)+(-0.459204+(-0.115566--0.138516))+0-186.5--0.19023000000003</f>
        <v>240.95397600000001</v>
      </c>
      <c r="N250" s="3">
        <f>450+(120.6-132.2)+(0.2295+(0.061506-0.067422))+0-189.8-0.0967979999999807</f>
        <v>248.726786</v>
      </c>
      <c r="O250" s="3">
        <f>446.8+(127.3-116.9)+(-1.13934+(-0.324615--0.298095))+0-193.1--0.492404999999972</f>
        <v>263.42654499999992</v>
      </c>
      <c r="P250" s="3">
        <f>451.8+(127.4-106)+(-0.691254+(-0.194922--0.16218))+0-197.2--0.301716000000011</f>
        <v>275.57772000000006</v>
      </c>
      <c r="Q250" s="3">
        <f>458.6+(126-108.2)+(-0.467772+(-0.12852--0.110364))+0-192.6--0.196452000000031</f>
        <v>283.51052400000003</v>
      </c>
      <c r="R250" s="3">
        <f>455.6+(119.6-105.9)+(-0.929424+(-0.243984--0.216036))+0-190.1--0.387803999999992</f>
        <v>278.63043199999998</v>
      </c>
      <c r="S250" s="3">
        <f>456.3+(113.8-114.5)+(-0.698139+(-0.174114--0.175185))+0-184.9--0.282897000000011</f>
        <v>270.28582899999998</v>
      </c>
      <c r="T250" s="3">
        <f>459.5+(108.3-123.5)+(0+(0-0))+0-192.1-0</f>
        <v>252.20000000000002</v>
      </c>
      <c r="U250" s="3">
        <f>456.6+(89.3-113.7)+(-0.232866+(-0.045543--0.057987))+0-179.3--0.0914429999999818</f>
        <v>252.77102100000002</v>
      </c>
      <c r="V250" s="3">
        <f>483.8+(113.1-104.7)+(0.493476+(0.115362-0.106794))+0-195.9-0.199818000000031</f>
        <v>296.60222599999997</v>
      </c>
      <c r="W250" s="3">
        <f>498.6+(170.7-132.6)+(0.762858+(0.261171-0.202878))+0-205.4-0.314262000000012</f>
        <v>331.80688900000007</v>
      </c>
      <c r="X250" s="3">
        <f>494.3+(159.9-107.9)+(-0.504186+(-0.163098--0.110058))+0-201.5--0.205530000000032</f>
        <v>344.44830399999995</v>
      </c>
      <c r="Y250" s="3">
        <f>493.6+(134.1-89.2)+(-0.503472+(-0.136782--0.090984))+0-200.9--0.204918000000032</f>
        <v>337.25564800000006</v>
      </c>
      <c r="Z250" s="3">
        <f>493.5+(126.6-92.7)+(-0.50337+(-0.129132--0.094554))+0-197.5--0.201450000000031</f>
        <v>329.56350199999997</v>
      </c>
      <c r="AA250" s="3">
        <f>493.5+(126.9-92.9)+(-0.755055+(-0.194157--0.142137))+0-199--0.304470000000012</f>
        <v>327.99739499999998</v>
      </c>
      <c r="AB250" s="3">
        <f>494.3+(136.9-146.2)+(-0.252093+(-0.069819--0.074562))+0-171.6--0.0875159999999826</f>
        <v>313.24016599999999</v>
      </c>
      <c r="AC250" s="3">
        <f>493.4+(193.8-205.7)+(-0.754902+(-0.296514--0.314721))+0-180.7--0.27647100000001</f>
        <v>300.33977600000003</v>
      </c>
      <c r="AD250">
        <v>398.6</v>
      </c>
      <c r="AE250" s="3">
        <f>546+(205-130.9)+(0+(0-0))+0-221.5-0</f>
        <v>398.6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504.5+(239.8-257.6)+(-0.257295+(-0.122298--0.131376))+0-194.7--0.0992969999999802</f>
        <v>291.85107999999997</v>
      </c>
      <c r="G251" s="3">
        <f>504.5+(229.7-176.4)+(0+(0-0))+0-197.1-0</f>
        <v>360.69999999999993</v>
      </c>
      <c r="H251" s="3">
        <f>504.5+(247.5-206.5)+(0.51459+(0.25245-0.21063))+0-188.4-0.19216800000003</f>
        <v>357.46424200000001</v>
      </c>
      <c r="I251" s="3">
        <f>504.5+(231.4-195.1)+(1.286475+(0.59007-0.497505))+0-192.3-0.490364999999972</f>
        <v>349.38867499999998</v>
      </c>
      <c r="J251" s="3">
        <f>420.4+(284.9-212.8)+(-0.214404+(-0.145299--0.108528))+0-194.4--0.0991439999999803</f>
        <v>297.94796899999989</v>
      </c>
      <c r="K251" s="3">
        <f>406.1+(249.6-136.6)+(0.828444+(0.509184-0.278664))+0-196.7-0.401267999999991</f>
        <v>323.05769599999996</v>
      </c>
      <c r="L251" s="3">
        <f>405+(235.2-97.8)+(0.61965+(0.359856-0.149634))+0-200.8-0.307224000000012</f>
        <v>342.12264799999997</v>
      </c>
      <c r="M251" s="3">
        <f>430+(191.7-89.8)+(-0.4386+(-0.195534--0.091596))+0-176.2--0.179724000000028</f>
        <v>355.33718599999997</v>
      </c>
      <c r="N251" s="3">
        <f>472.8+(201.6-155.4)+(0.482256+(0.205632-0.158508))+0-180.8-0.184416000000029</f>
        <v>338.54496399999988</v>
      </c>
      <c r="O251" s="3">
        <f>467.6+(256.6-202.4)+(-0.715428+(-0.392598--0.309672))+0-176.7--0.27035100000001</f>
        <v>344.57199700000007</v>
      </c>
      <c r="P251" s="3">
        <f>467.3+(286.7-203.1)+(0.476646+(0.292434-0.207162))+0-186.2-0.18992400000003</f>
        <v>365.07199399999996</v>
      </c>
      <c r="Q251" s="3">
        <f>465.8+(246.9-164.8)+(0+(0-0))+0-183.2-0</f>
        <v>364.7</v>
      </c>
      <c r="R251" s="3">
        <f>511.4+(254.8-172.4)+(-0.782442+(-0.389844--0.263772))+0-197.3--0.301869000000011</f>
        <v>395.89335499999999</v>
      </c>
      <c r="S251" s="3">
        <f>512.6+(292.1-225.6)+(-0.261426+(-0.148971--0.115056))+0-187.9--0.0958289999999809</f>
        <v>391.00048800000002</v>
      </c>
      <c r="T251" s="3">
        <f>512.5+(272.9-217.6)+(-0.261375+(-0.139179--0.110976))+0-195.6--0.0997559999999802</f>
        <v>372.01017799999988</v>
      </c>
      <c r="U251" s="3">
        <f>512+(260.1-218.6)+(-0.78336+(-0.397953--0.334458))+0-195.6--0.299268000000011</f>
        <v>357.35241299999996</v>
      </c>
      <c r="V251" s="3">
        <f>518.6+(254.7-222.1)+(0.528972+(0.259794-0.226542))+0-179.1-0.182682000000029</f>
        <v>372.47954199999998</v>
      </c>
      <c r="W251" s="3">
        <f>535+(178.4-123.6)+(0.27285+(0.090984-0.063036))+0-183.6-0.0936359999999814</f>
        <v>406.40716199999991</v>
      </c>
      <c r="X251" s="3">
        <f>537+(194.8-144.9)+(-0.82161+(-0.298044--0.221697))+0-184.9--0.282897000000011</f>
        <v>401.38493999999997</v>
      </c>
      <c r="Y251" s="3">
        <f>550+(249.5-204)+(-0.2805+(-0.127245--0.10404))+0-178.2--0.0908819999999819</f>
        <v>417.08717699999994</v>
      </c>
      <c r="Z251" s="3">
        <f>550+(262-208.9)+(-0.561+(-0.26724--0.213078))+0-180.1--0.183702000000029</f>
        <v>422.56853999999998</v>
      </c>
      <c r="AA251" s="3">
        <f>550+(293.7-237.2)+(-0.561+(-0.299574--0.241944))+0-187.5--0.19125000000003</f>
        <v>418.57261999999997</v>
      </c>
      <c r="AB251" s="3">
        <f>550+(260.6-218.7)+(-0.2805+(-0.132906--0.111537))+0-193--0.0984299999999804</f>
        <v>398.69656100000009</v>
      </c>
      <c r="AC251" s="3">
        <f>520.5+(276.6-255.1)+(-0.265455+(-0.141066--0.130101))+0-183.4--0.0935339999999814</f>
        <v>358.41711399999997</v>
      </c>
      <c r="AD251">
        <v>482.5</v>
      </c>
      <c r="AE251" s="3">
        <f>594+(176.9-116.5)+(0+(0-0))+0-171.9-0</f>
        <v>482.5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572+(302.3-297.3)+(-0.58344+(-0.308346--0.303246))+0-189.1--0.19288200000003</f>
        <v>387.50434200000007</v>
      </c>
      <c r="G252" s="3">
        <f>504+(342-311.3)+(-0.51408+(-0.34884--0.317526))+0-165.2--0.168504000000026</f>
        <v>369.12311000000011</v>
      </c>
      <c r="H252" s="3">
        <f>482+(377.6-313.1)+(0.49164+(0.385152-0.319362))+0-173.7-0.177174000000028</f>
        <v>373.18025599999993</v>
      </c>
      <c r="I252" s="3">
        <f>487+(342.6-286.4)+(0.74511+(0.524178-0.438192))+0-177.4-0.27142200000001</f>
        <v>366.35967400000004</v>
      </c>
      <c r="J252" s="3">
        <f>488+(338.9-283)+(1.2444+(0.864195-0.72165))+0-179-0.456449999999974</f>
        <v>365.83049499999998</v>
      </c>
      <c r="K252" s="3">
        <f>486+(329.8-268.5)+(0.74358+(0.504594-0.410805))+0-178.5-0.27310500000001</f>
        <v>369.36426399999993</v>
      </c>
      <c r="L252" s="3">
        <f>471+(267.6-199.6)+(-0.96084+(-0.545904--0.407184))+0-169.2--0.345167999999993</f>
        <v>369.04560800000002</v>
      </c>
      <c r="M252" s="3">
        <f>492+(248.8-151)+(-0.25092+(-0.126888--0.07701))+0-174.5--0.0889949999999823</f>
        <v>415.08819699999992</v>
      </c>
      <c r="N252" s="3">
        <f>540+(276.7-183)+(0.5508+(0.282234-0.18666))+0-183.5-0.187170000000029</f>
        <v>450.65920400000005</v>
      </c>
      <c r="O252" s="3">
        <f>569+(204.5-164.2)+(0+(0-0))+0-182.4-0</f>
        <v>426.9</v>
      </c>
      <c r="P252" s="3">
        <f>576+(193.3-153.8)+(0.29376+(0.098583-0.078438))+0-176.6-0.0900659999999821</f>
        <v>439.12383899999998</v>
      </c>
      <c r="Q252" s="3">
        <f>574+(187.4-136.2)+(-0.58548+(-0.191148--0.138924))+0-179.9--0.183498000000029</f>
        <v>444.84579400000013</v>
      </c>
      <c r="R252" s="3">
        <f>572+(221.5-180.4)+(-1.75032+(-0.67779--0.552024))+0-167.8--0.513468000000019</f>
        <v>443.93738200000007</v>
      </c>
      <c r="S252" s="3">
        <f>568+(222.4-182)+(-1.4484+(-0.56712--0.4641))+0-184.8--0.471239999999973</f>
        <v>422.51981999999992</v>
      </c>
      <c r="T252" s="3">
        <f>576+(223.9-214)+(-0.58752+(-0.228378--0.21828))+0-174.8--0.178296000000028</f>
        <v>410.680678</v>
      </c>
      <c r="U252" s="3">
        <f>574+(187.5-179.5)+(0.58548+(0.19125-0.18309))+0-179.7-0.183294000000029</f>
        <v>402.71034600000002</v>
      </c>
      <c r="V252" s="3">
        <f>574+(187.8-161)+(0.58548+(0.191556-0.16422))+0-185.4-0.18910800000003</f>
        <v>415.8237079999999</v>
      </c>
      <c r="W252" s="3">
        <f>576+(133-66.9)+(0.88128+(0.20349-0.102357))+0-174.4-0.26683200000001</f>
        <v>468.41558099999997</v>
      </c>
      <c r="X252" s="3">
        <f>569+(149.9-52.4)+(-0.87057+(-0.229347--0.080172))+0-207.6--0.317628000000012</f>
        <v>458.19788300000005</v>
      </c>
      <c r="Y252" s="3">
        <f>577+(139.6-70.2)+(-0.58854+(-0.142392--0.071604))+0-197.1--0.201042000000031</f>
        <v>448.84171400000002</v>
      </c>
      <c r="Z252" s="3">
        <f>578+(203-129.8)+(-0.29478+(-0.10353--0.066198))+0-206.9--0.105518999999979</f>
        <v>444.07340699999997</v>
      </c>
      <c r="AA252" s="3">
        <f>575+(207.8-161.8)+(-0.5865+(-0.211956--0.165036))+0-199--0.202980000000032</f>
        <v>421.56956000000002</v>
      </c>
      <c r="AB252" s="3">
        <f>572+(165.3-136.9)+(-1.75032+(-0.505818--0.418914))+0-189.7--0.580482000000022</f>
        <v>409.44325800000001</v>
      </c>
      <c r="AC252" s="3">
        <f>573+(187.6-164.1)+(-1.46115+(-0.47838--0.418455))+0-198--0.504899999999971</f>
        <v>397.48382499999997</v>
      </c>
      <c r="AD252">
        <v>472.1</v>
      </c>
      <c r="AE252" s="3">
        <f>573+(154.5-61.8)+(0+(0-0))+0-193.6-0</f>
        <v>472.1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470.2+(189.2-162.1)+(-0.239802+(-0.096492--0.082671))+0-197.9--0.10092899999998</f>
        <v>299.24730599999992</v>
      </c>
      <c r="G253" s="3">
        <f>470+(190-136.4)+(-0.9588+(-0.3876--0.278256))+0-199.3--0.406571999999991</f>
        <v>323.63842800000003</v>
      </c>
      <c r="H253" s="3">
        <f>470+(239-129.8)+(0.7191+(0.36567-0.198594))+0-180.4-0.27601200000001</f>
        <v>399.41016400000001</v>
      </c>
      <c r="I253" s="3">
        <f>470+(233.9-110.8)+(-0.7191+(-0.357867--0.169524))+0-180.9--0.27677700000001</f>
        <v>411.56933400000014</v>
      </c>
      <c r="J253" s="3">
        <f>470+(254.9-137.7)+(0.9588+(0.519996-0.280908))+0-180.2-0.367607999999992</f>
        <v>407.83028000000007</v>
      </c>
      <c r="K253" s="3">
        <f>470+(247.4-123.7)+(0.2397+(0.126174-0.063087))+0-171-0.0872099999999826</f>
        <v>422.91557700000004</v>
      </c>
      <c r="L253" s="3">
        <f>470+(243.1-90.3)+(-0.2397+(-0.123981--0.046053))+0-166.4--0.0848639999999831</f>
        <v>456.16723599999995</v>
      </c>
      <c r="M253" s="3">
        <f>470+(255.3-71.7)+(-0.2397+(-0.130203--0.036567))+0-172.1--0.0877709999999825</f>
        <v>481.25443499999994</v>
      </c>
      <c r="N253" s="3">
        <f>470+(240.9-40)+(-0.2397+(-0.122859--0.0204))+0-173.2--0.0883319999999824</f>
        <v>497.44617299999993</v>
      </c>
      <c r="O253" s="3">
        <f>470+(273.8-61.7)+(-0.2397+(-0.139638--0.031467))+0-181.4--0.0925139999999816</f>
        <v>500.44464299999999</v>
      </c>
      <c r="P253" s="3">
        <f>470+(280.9-60.3)+(-0.2397+(-0.143259--0.030753))+0-172.4--0.0879239999999825</f>
        <v>517.93571799999984</v>
      </c>
      <c r="Q253" s="3">
        <f>470+(274.9-56.6)+(-0.7191+(-0.420597--0.086598))+0-170--0.26010000000001</f>
        <v>517.50700099999995</v>
      </c>
      <c r="R253" s="3">
        <f>445+(285.7-62.7)+(-0.68085+(-0.437121--0.095931))+0-116--0.177480000000007</f>
        <v>551.15544000000011</v>
      </c>
      <c r="S253" s="3">
        <f>446+(281.7-69.3)+(-0.22746+(-0.143667--0.035343))+0-115--0.0586499999999883</f>
        <v>543.12286599999993</v>
      </c>
      <c r="T253" s="3">
        <f>516+(221.6-119.7)+(0.78948+(0.339048-0.183141))+0-103-0.157590000000006</f>
        <v>515.68779699999993</v>
      </c>
      <c r="U253" s="3">
        <f>499.2+(207.7-125.7)+(0+(0-0))+0-161.1-0</f>
        <v>420.09999999999991</v>
      </c>
      <c r="V253" s="3">
        <f>508.2+(211.6-103.9)+(-1.036728+(-0.431664--0.211956))+0-178.5--0.364139999999992</f>
        <v>436.50770399999999</v>
      </c>
      <c r="W253" s="3">
        <f>522+(217.2-78.9)+(0.26622+(0.110772-0.040239))+0-183.8-0.0937379999999814</f>
        <v>476.74301500000001</v>
      </c>
      <c r="X253" s="3">
        <f>538.2+(214-81.8)+(-0.823446+(-0.32742--0.125154))+0-182.4--0.279072000000011</f>
        <v>487.2533600000001</v>
      </c>
      <c r="Y253" s="3">
        <f>535.8+(188.8-75.4)+(0+(0-0))+0-186.7-0</f>
        <v>462.49999999999994</v>
      </c>
      <c r="Z253" s="3">
        <f>541.3+(178.9-90.2)+(0+(0-0))+0-172-0</f>
        <v>458</v>
      </c>
      <c r="AA253" s="3">
        <f>537.2+(203.2-99)+(-1.095888+(-0.414528--0.20196))+0-181.3--0.369851999999992</f>
        <v>459.16139600000008</v>
      </c>
      <c r="AB253" s="3">
        <f>534.3+(222.5-154.7)+(-1.907451+(-0.794325--0.552279))+0-164.9--0.588693000000002</f>
        <v>435.63919599999991</v>
      </c>
      <c r="AC253" s="3">
        <f>537.2+(263.2-204.3)+(-1.36986+(-0.67116--0.520965))+0-173.1--0.441404999999975</f>
        <v>421.92135000000002</v>
      </c>
      <c r="AD253">
        <v>479.90000000000003</v>
      </c>
      <c r="AE253" s="3">
        <f>565+(192.5-84.9)+(0+(0-0))+0-192.7-0</f>
        <v>479.90000000000003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563+(309.9-263.4)+(-2.00991+(-1.106343--0.940338))+0-177.2--0.632604000000003</f>
        <v>430.75668899999999</v>
      </c>
      <c r="G254" s="3">
        <f>570+(310.5-263.6)+(-1.1628+(-0.63342--0.537744))+0-186.6--0.380663999999992</f>
        <v>429.42218799999995</v>
      </c>
      <c r="H254" s="3">
        <f>574+(296.7-269.9)+(0+(0-0))+0-179.2-0</f>
        <v>421.59999999999997</v>
      </c>
      <c r="I254" s="3">
        <f>564+(300-268.5)+(-0.57528+(-0.306--0.27387))+0-189.3--0.19308600000003</f>
        <v>405.78567600000008</v>
      </c>
      <c r="J254" s="3">
        <f>495+(306.5-184.7)+(0+(0-0))+0-197.4-0</f>
        <v>419.4</v>
      </c>
      <c r="K254" s="3">
        <f>467+(310.3-178.5)+(0.71451+(0.474759-0.273105))+0-189.5-0.289935000000011</f>
        <v>409.92622899999992</v>
      </c>
      <c r="L254" s="3">
        <f>466+(280.8-142)+(-0.95064+(-0.572832--0.28968))+0-182.5--0.372299999999992</f>
        <v>421.43850799999996</v>
      </c>
      <c r="M254" s="3">
        <f>538+(244.2-115.2)+(-0.27438+(-0.124542--0.058752))+0-192.5--0.0981749999999805</f>
        <v>474.25800500000003</v>
      </c>
      <c r="N254" s="3">
        <f>572+(219.6-143.1)+(0+(0-0))+0-182.8-0</f>
        <v>465.7</v>
      </c>
      <c r="O254" s="3">
        <f>574+(198.6-124.8)+(-0.29274+(-0.101286--0.063648))+0-180--0.0917999999999817</f>
        <v>467.56142199999994</v>
      </c>
      <c r="P254" s="3">
        <f>572+(198.2-108.2)+(-1.16688+(-0.404328--0.220728))+0-183.8--0.374951999999992</f>
        <v>477.22447200000005</v>
      </c>
      <c r="Q254" s="3">
        <f>563+(194.2-98.9)+(-1.43565+(-0.49521--0.252195))+0-183.2--0.467159999999973</f>
        <v>473.88849499999992</v>
      </c>
      <c r="R254" s="3">
        <f>485.5+(184.2-78.3)+(-1.238025+(-0.46971--0.199665))+0-188.9--0.481694999999973</f>
        <v>401.47362499999997</v>
      </c>
      <c r="S254" s="3">
        <f>487.4+(176.5-93.6)+(-0.745722+(-0.270045--0.143208))+0-184.6--0.282438000000011</f>
        <v>385.10987899999992</v>
      </c>
      <c r="T254" s="3">
        <f>488.6+(170.9-103.8)+(-0.747558+(-0.261477--0.158814))+0-178.1--0.27249300000001</f>
        <v>377.02227199999999</v>
      </c>
      <c r="U254" s="3">
        <f>489.9+(167.2-109.5)+(-0.499698+(-0.170544--0.11169))+0-195.2--0.199104000000031</f>
        <v>352.04055199999999</v>
      </c>
      <c r="V254" s="3">
        <f>491.4+(180.6-98.6)+(0+(0-0))+0-181-0</f>
        <v>392.4</v>
      </c>
      <c r="W254" s="3">
        <f>492.5+(295.8-134.5)+(1.0047+(0.603432-0.27438))+0-211.9-0.432275999999991</f>
        <v>442.80147599999998</v>
      </c>
      <c r="X254" s="3">
        <f>486.6+(326.3-189.4)+(-0.744498+(-0.499239--0.289782))+0-190.6--0.291618000000011</f>
        <v>432.23766300000005</v>
      </c>
      <c r="Y254" s="3">
        <f>485.5+(277.7-158.1)+(-1.48563+(-0.849762--0.483786))+0-194.3--0.594558000000022</f>
        <v>409.54295200000007</v>
      </c>
      <c r="Z254" s="3">
        <f>487.9+(250.1-148.7)+(-0.746487+(-0.382653--0.227511))+0-188.1--0.287793000000011</f>
        <v>400.586164</v>
      </c>
      <c r="AA254" s="3">
        <f>486.8+(215.6-119.8)+(-0.744804+(-0.329868--0.183294))+0-184.8--0.282744000000011</f>
        <v>397.19136600000002</v>
      </c>
      <c r="AB254" s="3">
        <f>489.2+(174.8-101.1)+(-0.249492+(-0.089148--0.051561))+0-173--0.0882299999999824</f>
        <v>389.70115100000004</v>
      </c>
      <c r="AC254" s="3">
        <f>490.9+(173.5-116)+(-1.251795+(-0.442425--0.2958))+0-181--0.461549999999974</f>
        <v>366.46312999999998</v>
      </c>
      <c r="AD254">
        <v>456.9</v>
      </c>
      <c r="AE254" s="3">
        <f>566+(306.9-196.9)+(0+(0-0))+0-219.1-0</f>
        <v>456.9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513+(98-114)+(-1.04652+(-0.19992--0.23256))+0-173.2--0.353327999999992</f>
        <v>323.13944800000002</v>
      </c>
      <c r="G255" s="3">
        <f>473+(126.3-84.3)+(0.24123+(0.064413-0.042993))+0-183.1-0.0933809999999814</f>
        <v>332.06926900000002</v>
      </c>
      <c r="H255" s="3">
        <f>473+(127.3-95.4)+(0.48246+(0.129846-0.097308))+0-178.4-0.181968000000028</f>
        <v>326.83302999999995</v>
      </c>
      <c r="I255" s="3">
        <f>473+(120-98.1)+(-0.72369+(-0.1836--0.150093))+0-175.5--0.26851500000001</f>
        <v>318.91131799999999</v>
      </c>
      <c r="J255" s="3">
        <f>473+(118.3-102.7)+(-0.24123+(-0.060333--0.052377))+0-179.9--0.0917489999999817</f>
        <v>308.54256300000003</v>
      </c>
      <c r="K255" s="3">
        <f>473+(117.9-105.9)+(0.96492+(0.240516-0.216036))+0-179.7-0.366587999999992</f>
        <v>305.92281200000002</v>
      </c>
      <c r="L255" s="3">
        <f>473+(124.9-104.7)+(0+(0-0))+0-159.1-0</f>
        <v>334.1</v>
      </c>
      <c r="M255" s="3">
        <f>473+(145.4-80.8)+(-0.24123+(-0.074154--0.041208))+0-164.8--0.0840479999999833</f>
        <v>372.609872</v>
      </c>
      <c r="N255" s="3">
        <f>473+(131.1-83.7)+(0+(0-0))+0-133-0</f>
        <v>387.4</v>
      </c>
      <c r="O255" s="3">
        <f>483+(67-95.9)+(0+(0-0))+0-89-0</f>
        <v>365.1</v>
      </c>
      <c r="P255" s="3">
        <f>533+(94.6-152.4)+(-0.27183+(-0.048246--0.077724))+0-92.1--0.0469709999999907</f>
        <v>382.90461900000003</v>
      </c>
      <c r="Q255" s="3">
        <f>533+(80.8-142)+(-0.27183+(-0.041208--0.07242))+0-80.3--0.0409529999999919</f>
        <v>391.30033500000002</v>
      </c>
      <c r="R255" s="3">
        <f>533+(74.9-122.3)+(0+(0-0))+0-79.4-0</f>
        <v>406.20000000000005</v>
      </c>
      <c r="S255" s="3">
        <f>533+(90.5-108.4)+(0+(0-0))+0-137.6-0</f>
        <v>377.5</v>
      </c>
      <c r="T255" s="3">
        <f>533+(112.9-117.8)+(0.54366+(0.115158-0.120156))+0-166.5-0.169830000000027</f>
        <v>361.96883200000002</v>
      </c>
      <c r="U255" s="3">
        <f>533+(115.4-116.6)+(-0.54366+(-0.117708--0.118932))+0-164.9--0.168198000000026</f>
        <v>366.52576200000004</v>
      </c>
      <c r="V255" s="3">
        <f>533+(141.3-121.3)+(0+(0-0))+0-171.7-0</f>
        <v>381.3</v>
      </c>
      <c r="W255" s="3">
        <f>533+(249.6-202.3)+(0+(0-0))+0-177.2-0</f>
        <v>403.09999999999997</v>
      </c>
      <c r="X255" s="3">
        <f>533+(170.6-123)+(-0.81549+(-0.261018--0.18819))+0-174.1--0.26637300000001</f>
        <v>405.87805499999996</v>
      </c>
      <c r="Y255" s="3">
        <f>533+(110-85.8)+(-1.08732+(-0.2244--0.175032))+0-166.2--0.339047999999993</f>
        <v>390.20236</v>
      </c>
      <c r="Z255" s="3">
        <f>533+(109.8-94.1)+(-0.54366+(-0.111996--0.095982))+0-172.1--0.175542000000027</f>
        <v>376.21586800000006</v>
      </c>
      <c r="AA255" s="3">
        <f>533+(126.5-121.2)+(-0.81549+(-0.193545--0.185436))+0-180--0.27540000000001</f>
        <v>357.751801</v>
      </c>
      <c r="AB255" s="3">
        <f>533+(139-143)+(-1.08732+(-0.28356--0.29172))+0-180.4--0.368015999999992</f>
        <v>347.88885600000003</v>
      </c>
      <c r="AC255" s="3">
        <f>533+(153.8-179.6)+(-1.08732+(-0.313752--0.366384))+0-177.9--0.362915999999992</f>
        <v>328.62822799999998</v>
      </c>
      <c r="AD255">
        <v>433.99999999999994</v>
      </c>
      <c r="AE255" s="3">
        <f>563+(197.3-167.5)+(0+(0-0))+0-158.8-0</f>
        <v>433.99999999999994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567+(183.5-220.1)+(-0.86751+(-0.280755--0.336753))+0-180.1--0.27555300000001</f>
        <v>349.76404099999996</v>
      </c>
      <c r="G256" s="3">
        <f>565+(199.2-236.7)+(-2.3052+(-0.812736--0.965736))+0-178.6--0.728687999999984</f>
        <v>347.47648799999996</v>
      </c>
      <c r="H256" s="3">
        <f>567+(214.3-250.8)+(-2.02419+(-0.765051--0.895356))+0-178.3--0.636531000000003</f>
        <v>350.94264600000002</v>
      </c>
      <c r="I256" s="3">
        <f>549+(237.9-246.2)+(-1.11996+(-0.485316--0.502248))+0-182.8--0.372911999999992</f>
        <v>357.16988400000002</v>
      </c>
      <c r="J256" s="3">
        <f>480+(215.4-179.7)+(-0.2448+(-0.109854--0.091647))+0-168.4--0.0858839999999829</f>
        <v>347.12287700000002</v>
      </c>
      <c r="K256" s="3">
        <f>482+(167.8-141.8)+(0+(0-0))+0-182.6-0</f>
        <v>325.39999999999998</v>
      </c>
      <c r="L256" s="3">
        <f>481+(188.1-167.6)+(-0.49062+(-0.191862--0.170952))+0-171.2--0.174624000000027</f>
        <v>329.96309400000007</v>
      </c>
      <c r="M256" s="3">
        <f>481+(160.2-108.2)+(0.24531+(0.081702-0.055182))+0-181.3-0.0924629999999816</f>
        <v>351.879367</v>
      </c>
      <c r="N256" s="3">
        <f>491+(151.3-72.6)+(0.50082+(0.154326-0.074052))+0-181.5-0.185130000000029</f>
        <v>388.59596400000004</v>
      </c>
      <c r="O256" s="3">
        <f>488+(148.9-42.9)+(-0.24888+(-0.075939--0.021879))+0-193.3--0.0985829999999804</f>
        <v>400.49564299999992</v>
      </c>
      <c r="P256" s="3">
        <f>483+(145.4-47.1)+(0+(0-0))+0-171.3-0</f>
        <v>409.99999999999994</v>
      </c>
      <c r="Q256" s="3">
        <f>482+(155.9-48.3)+(-0.73746+(-0.238527--0.073899))+0-186.4--0.285192000000011</f>
        <v>402.58310399999999</v>
      </c>
      <c r="R256" s="3">
        <f>477+(131.2-44.6)+(-1.45962+(-0.401472--0.136476))+0-159.7--0.488682000000018</f>
        <v>402.6640660000001</v>
      </c>
      <c r="S256" s="3">
        <f>488+(132.3-40.4)+(-1.2444+(-0.337365--0.10302))+0-183.9--0.468944999999973</f>
        <v>394.99019999999996</v>
      </c>
      <c r="T256" s="3">
        <f>486+(117.4-59.9)+(0.24786+(0.059874-0.030549))+0-168-0.085679999999983</f>
        <v>375.69150500000006</v>
      </c>
      <c r="U256" s="3">
        <f>478+(117.3-60.5)+(-0.73134+(-0.179469--0.092565))+0-173.1--0.26484300000001</f>
        <v>361.14659899999987</v>
      </c>
      <c r="V256" s="3">
        <f>495+(127.3-51.5)+(0+(0-0))+0-187.5-0</f>
        <v>383.29999999999995</v>
      </c>
      <c r="W256" s="3">
        <f>525+(133.1-90.4)+(-0.26775+(-0.067881--0.046104))+0-172.4--0.0879239999999825</f>
        <v>395.09839700000003</v>
      </c>
      <c r="X256" s="3">
        <f>560+(137.1-80)+(0.5712+(0.139842-0.0816))+0-201.2-0.205224000000032</f>
        <v>416.32421800000003</v>
      </c>
      <c r="Y256" s="3">
        <f>559+(128.5-82.6)+(-1.14036+(-0.26214--0.168504))+0-198.5--0.404939999999991</f>
        <v>405.57094399999994</v>
      </c>
      <c r="Z256" s="3">
        <f>566+(114.6-107.3)+(-1.15464+(-0.233784--0.218892))+0-171.4--0.349655999999993</f>
        <v>401.08012399999996</v>
      </c>
      <c r="AA256" s="3">
        <f>562+(124.6-107.2)+(0.28662+(0.063546-0.054672))+0-189.1-0.0964409999999808</f>
        <v>390.49905299999995</v>
      </c>
      <c r="AB256" s="3">
        <f>563+(137.5-118.1)+(-0.28713+(-0.070125--0.060231))+0-196.8--0.10036799999998</f>
        <v>385.403344</v>
      </c>
      <c r="AC256" s="3">
        <f>569+(168.9-161.1)+(-0.87057+(-0.258417--0.246483))+0-196.2--0.300186000000011</f>
        <v>380.01768199999992</v>
      </c>
      <c r="AD256">
        <v>449.2</v>
      </c>
      <c r="AE256" s="3">
        <f>565+(137.6-94.2)+(0+(0-0))+0-159.2-0</f>
        <v>449.2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561+(212.8-234.5)+(-1.43055+(-0.54264--0.597975))+0-178.2--0.454409999999974</f>
        <v>360.17919499999994</v>
      </c>
      <c r="G257" s="3">
        <f>563+(118.9-147.1)+(-0.57426+(-0.121278--0.150042))+0-191.6--0.195432000000031</f>
        <v>342.84993600000001</v>
      </c>
      <c r="H257" s="3">
        <f>567+(61.9-106.3)+(-0.57834+(-0.063138--0.108426))+0-187.2--0.19094400000003</f>
        <v>335.05789200000004</v>
      </c>
      <c r="I257" s="3">
        <f>566+(60.1-103.4)+(-0.28866+(-0.030651--0.052734))+0-194.5--0.0991949999999803</f>
        <v>328.03261800000001</v>
      </c>
      <c r="J257" s="3">
        <f>565+(60.4-108.2)+(-0.28815+(-0.030804--0.055182))+0-186.3--0.0950129999999811</f>
        <v>330.73124100000001</v>
      </c>
      <c r="K257" s="3">
        <f>569+(68.2-121.6)+(1.16076+(0.139128-0.248064))+0-191.2-0.390047999999992</f>
        <v>325.06177600000007</v>
      </c>
      <c r="L257" s="3">
        <f>567+(45.4-112.7)+(-0.57834+(-0.046308--0.114954))+0-185--0.18870000000003</f>
        <v>314.379006</v>
      </c>
      <c r="M257" s="3">
        <f>565+(69.4-142.5)+(0+(0-0))+0-175.8-0</f>
        <v>316.09999999999997</v>
      </c>
      <c r="N257" s="3">
        <f>565+(92.2-157.9)+(0+(0-0))+0-181-0</f>
        <v>318.3</v>
      </c>
      <c r="O257" s="3">
        <f>567+(107.1-203.8)+(-0.28917+(-0.054621--0.103938))+0-156.5--0.0798149999999841</f>
        <v>313.63996199999997</v>
      </c>
      <c r="P257" s="3">
        <f>566+(146.8-226.6)+(-0.86598+(-0.224604--0.346698))+0-153.7--0.235161000000009</f>
        <v>331.99127500000009</v>
      </c>
      <c r="Q257" s="3">
        <f>564+(172.4-234.9)+(-1.15056+(-0.351696--0.479196))+0-152.6--0.311303999999993</f>
        <v>348.188244</v>
      </c>
      <c r="R257" s="3">
        <f>565+(148.1-210.4)+(-1.44075+(-0.377655--0.53652))+0-160.1--0.408254999999977</f>
        <v>341.72637000000003</v>
      </c>
      <c r="S257" s="3">
        <f>559+(107.5-175.4)+(-0.57018+(-0.10965--0.178908))+0-169.3--0.172686000000027</f>
        <v>321.47176400000001</v>
      </c>
      <c r="T257" s="3">
        <f>570+(131.3-203.9)+(0+(0-0))+0-179.4-0</f>
        <v>318</v>
      </c>
      <c r="U257" s="3">
        <f>567+(121.7-217)+(0.86751+(0.186201-0.33201))+0-174.2-0.26652600000001</f>
        <v>297.955175</v>
      </c>
      <c r="V257" s="3">
        <f>562+(154.5-223.2)+(0+(0-0))+0-178.4-0</f>
        <v>314.89999999999998</v>
      </c>
      <c r="W257" s="3">
        <f>565+(235.2-244.9)+(-0.5763+(-0.239904--0.249798))+0-182.3--0.185946000000029</f>
        <v>372.61953999999992</v>
      </c>
      <c r="X257" s="3">
        <f>565+(201.1-218.9)+(-0.28815+(-0.102561--0.111639))+0-171.8--0.0876179999999826</f>
        <v>375.20854599999996</v>
      </c>
      <c r="Y257" s="3">
        <f>565+(196.5-211.9)+(-0.86445+(-0.300645--0.324207))+0-186.5--0.285345000000011</f>
        <v>362.54445700000008</v>
      </c>
      <c r="Z257" s="3">
        <f>570+(129.1-153.8)+(-0.5814+(-0.131682--0.156876))+0-179.4--0.182988000000029</f>
        <v>365.52678200000003</v>
      </c>
      <c r="AA257" s="3">
        <f>571+(89.8-123.5)+(0.29121+(0.045798-0.062985))+0-180.4-0.0920039999999817</f>
        <v>357.08201900000006</v>
      </c>
      <c r="AB257" s="3">
        <f>573+(69.3-105.4)+(0.58446+(0.070686-0.107508))+0-180-0.183600000000029</f>
        <v>357.26403799999997</v>
      </c>
      <c r="AC257" s="3">
        <f>569+(74.1-119)+(0+(0-0))+0-167-0</f>
        <v>357.1</v>
      </c>
      <c r="AD257">
        <v>374.19999999999993</v>
      </c>
      <c r="AE257" s="3">
        <f>576+(225.4-230.8)+(0+(0-0))+0-196.4-0</f>
        <v>374.20000000000005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569+(57.2-125.4)+(-0.58038+(-0.058344--0.127908))+0-157.6--0.160752000000025</f>
        <v>342.84993600000007</v>
      </c>
      <c r="G258" s="3">
        <f>567+(78.9-144.8)+(-0.28917+(-0.040239--0.073848))+0-172.9--0.0881789999999825</f>
        <v>328.03261799999996</v>
      </c>
      <c r="H258" s="3">
        <f>566+(88.2-159.7)+(-0.57732+(-0.089964--0.162894))+0-171.5--0.174930000000027</f>
        <v>322.67054000000002</v>
      </c>
      <c r="I258" s="3">
        <f>571+(110.4-189.2)+(-0.29121+(-0.056304--0.096492))+0-161.1--0.0821609999999837</f>
        <v>330.93113900000009</v>
      </c>
      <c r="J258" s="3">
        <f>574+(114.4-188.8)+(0.29274+(0.058344-0.096288))+0-167-0.0851699999999831</f>
        <v>332.76962600000002</v>
      </c>
      <c r="K258" s="3">
        <f>569+(100.7-170.6)+(-0.29019+(-0.051357--0.087006))+0-162.9--0.0830789999999835</f>
        <v>336.02853800000003</v>
      </c>
      <c r="L258" s="3">
        <f>578+(65.7-122.9)+(-0.29478+(-0.033507--0.062679))+0-163.5--0.0833849999999834</f>
        <v>357.11777699999988</v>
      </c>
      <c r="M258" s="3">
        <f>569+(63.3-113.4)+(-0.87057+(-0.096849--0.173502))+0-146.6--0.224298000000008</f>
        <v>371.73038100000002</v>
      </c>
      <c r="N258" s="3">
        <f>576+(71.5-99.9)+(-0.29376+(-0.036465--0.050949))+0-141.7--0.0722669999999856</f>
        <v>405.69299100000006</v>
      </c>
      <c r="O258" s="3">
        <f>569+(56.8-88.6)+(-0.58038+(-0.057936--0.090372))+0-138.3--0.141066000000022</f>
        <v>398.49312200000003</v>
      </c>
      <c r="P258" s="3">
        <f>565+(118.9-136)+(-0.28815+(-0.060639--0.06936))+0-136.6--0.0696659999999861</f>
        <v>411.09023699999989</v>
      </c>
      <c r="Q258" s="3">
        <f>552+(187.7-152.9)+(-0.28152+(-0.095727--0.077979))+0-160.7--0.0819569999999837</f>
        <v>425.88268899999997</v>
      </c>
      <c r="R258" s="3">
        <f>539+(161.6-123.7)+(-1.09956+(-0.329664--0.252348))+0-154.9--0.315995999999993</f>
        <v>421.13911999999999</v>
      </c>
      <c r="S258" s="3">
        <f>537+(126.3-112.2)+(-0.27387+(-0.064413--0.057222))+0-146.8--0.0748679999999851</f>
        <v>404.09380699999997</v>
      </c>
      <c r="T258" s="3">
        <f>530+(96.7-77.4)+(-1.0812+(-0.197268--0.157896))+0-164.7--0.335987999999993</f>
        <v>383.81541599999991</v>
      </c>
      <c r="U258" s="3">
        <f>538+(79.9-87.9)+(0+(0-0))+0-140.3-0</f>
        <v>389.7</v>
      </c>
      <c r="V258" s="3">
        <f>535+(84.7-72.5)+(-0.27285+(-0.043197--0.036975))+0-149.5--0.0762449999999848</f>
        <v>397.49717299999998</v>
      </c>
      <c r="W258" s="3">
        <f>539+(190.7-117.3)+(-0.54978+(-0.194514--0.119646))+0-166.5--0.169830000000027</f>
        <v>445.44518200000005</v>
      </c>
      <c r="X258" s="3">
        <f>556+(164.4-99.7)+(-1.13424+(-0.335376--0.203388))+0-165.6--0.337823999999993</f>
        <v>454.17159600000008</v>
      </c>
      <c r="Y258" s="3">
        <f>556+(123.9-78.3)+(-1.4178+(-0.315945--0.199665))+0-174.7--0.445484999999975</f>
        <v>425.81140499999998</v>
      </c>
      <c r="Z258" s="3">
        <f>559+(101.9-79)+(-0.85527+(-0.155907--0.12087))+0-171.3--0.26208900000001</f>
        <v>409.97178199999996</v>
      </c>
      <c r="AA258" s="3">
        <f>557+(111.5-97.7)+(-0.56814+(-0.11373--0.099654))+0-170.1--0.173502000000027</f>
        <v>400.29128599999996</v>
      </c>
      <c r="AB258" s="3">
        <f>559+(134.7-132)+(-0.28509+(-0.068697--0.06732))+0-165.2--0.0842519999999832</f>
        <v>396.29778500000003</v>
      </c>
      <c r="AC258" s="3">
        <f>561+(173.7-178)+(0+(0-0))+0-170-0</f>
        <v>386.70000000000005</v>
      </c>
      <c r="AD258">
        <v>431.1</v>
      </c>
      <c r="AE258" s="3">
        <f>539+(197.5-128.4)+(0+(0-0))+0-177-0</f>
        <v>431.1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553+(201.1-216.6)+(-0.56406+(-0.205122--0.220932))+0-175.2--0.178704000000028</f>
        <v>361.930454</v>
      </c>
      <c r="G259" s="3">
        <f>527+(255.4-234.2)+(-1.07508+(-0.521016--0.477768))+0-181.4--0.370055999999992</f>
        <v>366.05172800000003</v>
      </c>
      <c r="H259" s="3">
        <f>521+(246.6-248.6)+(-0.26571+(-0.125766--0.126786))+0-169.9--0.0866489999999828</f>
        <v>348.92195900000002</v>
      </c>
      <c r="I259" s="3">
        <f>523+(246.9-240.2)+(-0.53346+(-0.251838--0.245004))+0-174.4--0.177888000000028</f>
        <v>354.9375940000001</v>
      </c>
      <c r="J259" s="3">
        <f>521+(261.5-256.8)+(-0.53142+(-0.26673--0.261936))+0-173.5--0.176970000000028</f>
        <v>351.84075600000011</v>
      </c>
      <c r="K259" s="3">
        <f>520+(225.4-235.2)+(1.0608+(0.459816-0.479808))+0-164.3-0.335171999999993</f>
        <v>346.60563600000006</v>
      </c>
      <c r="L259" s="3">
        <f>510+(192.3-188.5)+(-1.0404+(-0.392292--0.38454))+0-164.1--0.334763999999993</f>
        <v>348.98661199999998</v>
      </c>
      <c r="M259" s="3">
        <f>529+(150-136.5)+(-0.53958+(-0.153--0.13923))+0-147.7--0.150654000000024</f>
        <v>394.39730400000002</v>
      </c>
      <c r="N259" s="3">
        <f>523+(123.5-80.2)+(-0.26673+(-0.062985--0.040902))+0-165--0.0841499999999833</f>
        <v>401.09533699999992</v>
      </c>
      <c r="O259" s="3">
        <f>531+(109.3-73.2)+(0+(0-0))+0-148-0</f>
        <v>419.1</v>
      </c>
      <c r="P259" s="3">
        <f>515+(128.6-97.9)+(-1.31325+(-0.32793--0.249645))+0-131.7--0.335834999999981</f>
        <v>412.94430000000006</v>
      </c>
      <c r="Q259" s="3">
        <f>517+(189.9-136)+(-0.52734+(-0.193698--0.13872))+0-139.6--0.142392000000022</f>
        <v>430.860074</v>
      </c>
      <c r="R259" s="3">
        <f>529+(211.7-169.4)+(-2.15832+(-0.863736--0.691152))+0-138.7--0.565895999999988</f>
        <v>430.83499199999994</v>
      </c>
      <c r="S259" s="3">
        <f>553+(196.8-198)+(-0.56406+(-0.200736--0.20196))+0-140.7--0.143514000000022</f>
        <v>410.68067800000006</v>
      </c>
      <c r="T259" s="3">
        <f>558+(207.9-252.2)+(-0.85374+(-0.318087--0.385866))+0-145.2--0.222156000000008</f>
        <v>367.936195</v>
      </c>
      <c r="U259" s="3">
        <f>563+(169-241.2)+(-0.86139+(-0.25857--0.369036))+0-129--0.197370000000007</f>
        <v>361.24644600000005</v>
      </c>
      <c r="V259" s="3">
        <f>567+(126.4-184.2)+(0.86751+(0.193392-0.281826))+0-144.9-0.221697000000008</f>
        <v>364.85737899999998</v>
      </c>
      <c r="W259" s="3">
        <f>566+(125.9-143.8)+(-0.28866+(-0.064209--0.073338))+0-166.8--0.0850679999999831</f>
        <v>381.10553699999997</v>
      </c>
      <c r="X259" s="3">
        <f>585+(141.9-159.2)+(-2.08845+(-0.506583--0.568344))+0-176.3--0.629391000000003</f>
        <v>390.002702</v>
      </c>
      <c r="Y259" s="3">
        <f>585+(140.1-195.1)+(-0.5967+(-0.142902--0.199002))+0-161.2--0.164424000000026</f>
        <v>368.42382400000002</v>
      </c>
      <c r="Z259" s="3">
        <f>558+(194-241.1)+(-1.13832+(-0.39576--0.491844))+0-176--0.359039999999992</f>
        <v>334.21680399999997</v>
      </c>
      <c r="AA259" s="3">
        <f>550+(208.7-259.4)+(-0.8415+(-0.319311--0.396882))+0-174.1--0.26637300000001</f>
        <v>324.70244399999996</v>
      </c>
      <c r="AB259" s="3">
        <f>554+(323.9-392.3)+(-0.56508+(-0.330378--0.400146))+0-166.2--0.169524000000026</f>
        <v>319.07421199999999</v>
      </c>
      <c r="AC259" s="3">
        <f>556+(352.8-416.2)+(-0.85068+(-0.539784--0.636786))+0-171.6--0.26254800000001</f>
        <v>320.50887000000012</v>
      </c>
      <c r="AD259">
        <v>399.2</v>
      </c>
      <c r="AE259" s="3">
        <f>587+(122.4-135.5)+(0+(0-0))+0-174.7-0</f>
        <v>399.2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521.6+(291.2-377.5)+(0.266016+(0.148512-0.192525))+0-168.3-0.0858329999999829</f>
        <v>267.13616999999999</v>
      </c>
      <c r="G260" s="3">
        <f>519.9+(234.5-338.9)+(0.530298+(0.23919-0.345678))+0-160-0.163200000000026</f>
        <v>255.76060999999999</v>
      </c>
      <c r="H260" s="3">
        <f>518.2+(249.5-353.4)+(0+(0-0))+0-169.9-0</f>
        <v>244.40000000000006</v>
      </c>
      <c r="I260" s="3">
        <f>524.8+(238.2-356.5)+(1.070592+(0.485928-0.72726))+0-164.5-0.335579999999993</f>
        <v>242.49367999999993</v>
      </c>
      <c r="J260" s="3">
        <f>519.8+(201-320.3)+(-0.530196+(-0.20502--0.326706))+0-163.9--0.167178000000026</f>
        <v>236.35866799999999</v>
      </c>
      <c r="K260" s="3">
        <f>525.2+(145.9-281.7)+(0.535704+(0.148818-0.287334))+0-156.8-0.159936000000025</f>
        <v>232.83725200000009</v>
      </c>
      <c r="L260" s="3">
        <f>520.6+(223.3-370)+(-1.32753+(-0.569415--0.9435))+0-160.6--0.409529999999977</f>
        <v>212.75608500000004</v>
      </c>
      <c r="M260" s="3">
        <f>524.2+(115.4-292.9)+(-0.267342+(-0.058854--0.149379))+0-152--0.0775199999999846</f>
        <v>194.60070300000001</v>
      </c>
      <c r="N260" s="3">
        <f>524.2+(97.8-292.9)+(0.534684+(0.099756-0.298758))+0-139.8-0.142596000000022</f>
        <v>189.49308600000006</v>
      </c>
      <c r="O260" s="3">
        <f>524.6+(111.5-306.6)+(-1.070184+(-0.22746--0.625464))+0-130.8--0.266831999999994</f>
        <v>198.29465199999996</v>
      </c>
      <c r="P260" s="3">
        <f>525.1+(113.8-286.1)+(-0.267801+(-0.058038--0.145911))+0-158.8--0.0809879999999839</f>
        <v>193.90105999999997</v>
      </c>
      <c r="Q260" s="3">
        <f>520.6+(134.2-302.3)+(-1.593036+(-0.410652--0.925038))+0-162.8--0.498168000000019</f>
        <v>189.11951800000003</v>
      </c>
      <c r="R260" s="3">
        <f>526.6+(119.6-299.1)+(0+(0-0))+0-158.2-0</f>
        <v>188.90000000000003</v>
      </c>
      <c r="S260" s="3">
        <f>525+(98.5-291.3)+(0+(0-0))+0-153.8-0</f>
        <v>178.39999999999998</v>
      </c>
      <c r="T260" s="3">
        <f>520.5+(112.8-291.6)+(-1.327275+(-0.28764--0.74358))+0-171.8--0.438089999999975</f>
        <v>169.46675499999998</v>
      </c>
      <c r="U260" s="3">
        <f>526.9+(108-324.8)+(0.806157+(0.16524-0.496944))+0-138.8-0.212364000000008</f>
        <v>171.56208899999993</v>
      </c>
      <c r="V260" s="3">
        <f>525.2+(110.5-290.4)+(-0.267852+(-0.056355--0.148104))+0-158.5--0.0808349999999839</f>
        <v>186.70473200000004</v>
      </c>
      <c r="W260" s="3">
        <f>522.4+(106.5-239.3)+(0+(0-0))+0-162.3-0</f>
        <v>227.29999999999995</v>
      </c>
      <c r="X260" s="3">
        <f>518.1+(111.3-239.8)+(-1.849617+(-0.397341--0.856086))+0-154--0.549780000000002</f>
        <v>234.75890800000002</v>
      </c>
      <c r="Y260" s="3">
        <f>520.8+(166.8-324.4)+(-1.062432+(-0.340272--0.661776))+0-133.4--0.272135999999994</f>
        <v>229.33120799999998</v>
      </c>
      <c r="Z260" s="3">
        <f>519.8+(201.9-342.3)+(-0.795294+(-0.308907--0.523719))+0-155.1--0.237303000000009</f>
        <v>223.95682099999996</v>
      </c>
      <c r="AA260" s="3">
        <f>521.7+(181.2-324.6)+(0+(0-0))+0-158.8-0</f>
        <v>219.5</v>
      </c>
      <c r="AB260" s="3">
        <f>520.4+(169.6-325.7)+(-0.530808+(-0.172992--0.332214))+0-155.3--0.158406000000025</f>
        <v>208.78681999999998</v>
      </c>
      <c r="AC260" s="3">
        <f>517.5+(157.7-318.1)+(-1.58355+(-0.482562--0.973386))+0-152.2--0.465732000000018</f>
        <v>204.27300599999998</v>
      </c>
      <c r="AD260">
        <v>272.00000000000006</v>
      </c>
      <c r="AE260" s="3">
        <f>557+(111.2-228.4)+(0+(0-0))+0-167.8-0</f>
        <v>272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553+(162.8-330.4)+(-0.84609+(-0.249084--0.505512))+0-154.6--0.236538000000009</f>
        <v>230.44687600000006</v>
      </c>
      <c r="G261" s="3">
        <f>484+(192.4-332.6)+(-0.49368+(-0.196248--0.339252))+0-151.8--0.154836000000024</f>
        <v>191.80415999999994</v>
      </c>
      <c r="H261" s="3">
        <f>396+(270.8-310.3)+(-0.80784+(-0.552432--0.633012))+0-136--0.277439999999994</f>
        <v>220.05017999999998</v>
      </c>
      <c r="I261" s="3">
        <f>391+(220.1-279.7)+(0+(0-0))+0-118.2-0</f>
        <v>213.2</v>
      </c>
      <c r="J261" s="3">
        <f>394+(196.2-266.4)+(0.20094+(0.100062-0.135864))+0-116.3-0.0593129999999882</f>
        <v>207.60582500000004</v>
      </c>
      <c r="K261" s="3">
        <f>391+(187-270.5)+(-0.59823+(-0.28611--0.413865))+0-115.7--0.177021000000007</f>
        <v>191.50654599999999</v>
      </c>
      <c r="L261" s="3">
        <f>389+(162.3-271.1)+(-0.39678+(-0.165546--0.276522))+0-113.7--0.115974000000018</f>
        <v>166.33017000000004</v>
      </c>
      <c r="M261" s="3">
        <f>390+(92.6-223.9)+(-0.5967+(-0.141678--0.342567))+0-109.2--0.167076000000006</f>
        <v>149.27126500000003</v>
      </c>
      <c r="N261" s="3">
        <f>391+(79.6-224.9)+(-0.19941+(-0.040596--0.114699))+0-109--0.0555899999999889</f>
        <v>136.63028299999999</v>
      </c>
      <c r="O261" s="3">
        <f>391+(84.5-233.6)+(0+(0-0))+0-108.5-0</f>
        <v>133.4</v>
      </c>
      <c r="P261" s="3">
        <f>392+(83.6-234.3)+(-1.19952+(-0.255816--0.716958))+0-106.3--0.325278000000012</f>
        <v>134.58690000000001</v>
      </c>
      <c r="Q261" s="3">
        <f>397+(63.2-231.5)+(-0.20247+(-0.032232--0.118065))+0-87.3--0.0445229999999911</f>
        <v>141.32788600000001</v>
      </c>
      <c r="R261" s="3">
        <f>397+(46-227)+(0.20247+(0.02346-0.11577))+0-67-0.0341699999999932</f>
        <v>149.07599000000002</v>
      </c>
      <c r="S261" s="3">
        <f>397+(67-217)+(0.60741+(0.10251-0.33201))+0-68-0.104040000000004</f>
        <v>179.27386999999999</v>
      </c>
      <c r="T261" s="3">
        <f>395+(85-229)+(-0.20145+(-0.04335--0.11679))+0-68--0.0346799999999931</f>
        <v>182.90666999999999</v>
      </c>
      <c r="U261" s="3">
        <f>395+(64-240)+(-0.20145+(-0.03264--0.1224))+0-66--0.0336599999999933</f>
        <v>152.92196999999999</v>
      </c>
      <c r="V261" s="3">
        <f>394+(53-199)+(-0.40188+(-0.05406--0.20298))+0-70--0.0714000000000112</f>
        <v>177.81844000000001</v>
      </c>
      <c r="W261" s="3">
        <f>557+(63-265)+(0+(0-0))+0-79-0</f>
        <v>276</v>
      </c>
      <c r="X261" s="3">
        <f>547+(64.1-242.2)+(-1.39485+(-0.163455--0.61761))+0-131.5--0.335324999999981</f>
        <v>236.79462999999996</v>
      </c>
      <c r="Y261" s="3">
        <f>507+(86.3-210.2)+(0+(0-0))+0-130.7-0</f>
        <v>252.40000000000003</v>
      </c>
      <c r="Z261" s="3">
        <f>508+(95-200.3)+(0+(0-0))+0-147.6-0</f>
        <v>255.1</v>
      </c>
      <c r="AA261" s="3">
        <f>507+(94.7-205.4)+(-0.25857+(-0.048297--0.104754))+0-143.2--0.0730319999999855</f>
        <v>252.97091900000001</v>
      </c>
      <c r="AB261" s="3">
        <f>508+(128.2-228.1)+(-0.25908+(-0.065382--0.116331))+0-155.4--0.0792539999999842</f>
        <v>252.57112300000003</v>
      </c>
      <c r="AC261" s="3">
        <f>505+(113.9-230.8)+(0+(0-0))+0-150.1-0</f>
        <v>238.00000000000003</v>
      </c>
      <c r="AD261">
        <v>220.49999999999997</v>
      </c>
      <c r="AE261" s="3">
        <f>586+(55.5-285.1)+(0+(0-0))+0-135.9-0</f>
        <v>220.49999999999997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456.2+(104.3-220.4)+(-1.16331+(-0.265965--0.56202))+0-168.5--0.429674999999976</f>
        <v>171.16241999999994</v>
      </c>
      <c r="G262" s="3">
        <f>461+(114.2-226.1)+(-0.70533+(-0.174726--0.345933))+0-176.5--0.27004500000001</f>
        <v>172.33592200000001</v>
      </c>
      <c r="H262" s="3">
        <f>431.4+(118.2-225.9)+(-0.220014+(-0.060282--0.115209))+0-163.2--0.0832319999999834</f>
        <v>160.41814499999995</v>
      </c>
      <c r="I262" s="3">
        <f>408.6+(131.7-222.5)+(-0.833544+(-0.268668--0.4539))+0-147--0.299879999999994</f>
        <v>170.45156800000004</v>
      </c>
      <c r="J262" s="3">
        <f>436.5+(129.8-232)+(-0.222615+(-0.066198--0.11832))+0-170.3--0.0868529999999827</f>
        <v>163.91635999999997</v>
      </c>
      <c r="K262" s="3">
        <f>481.5+(118.6-235.8)+(0.736695+(0.181458-0.360774))+0-168-0.25704000000001</f>
        <v>196.60033899999996</v>
      </c>
      <c r="L262" s="3">
        <f>511+(107.1-258.4)+(-0.78183+(-0.163863--0.395352))+0-159.4--0.243882000000009</f>
        <v>199.99354100000005</v>
      </c>
      <c r="M262" s="3">
        <f>489.6+(89.4-175.3)+(0.499392+(0.091188-0.178806))+0-165.3-0.168606000000026</f>
        <v>238.64316799999997</v>
      </c>
      <c r="N262" s="3">
        <f>436.8+(73.9-120.4)+(-0.222768+(-0.037689--0.061404))+0-135.8--0.0692579999999862</f>
        <v>254.370205</v>
      </c>
      <c r="O262" s="3">
        <f>436.5+(106.9-54.6)+(0.222615+(0.054519-0.027846))+0-142.1-0.0724709999999856</f>
        <v>346.87681700000002</v>
      </c>
      <c r="P262" s="3">
        <f>365.7+(163.2-34.7)+(0+(0-0))+0-151.5-0</f>
        <v>342.7</v>
      </c>
      <c r="Q262" s="3">
        <f>371.1+(183.5-35.2)+(-0.189261+(-0.093585--0.017952))+0-156.4--0.0797639999999841</f>
        <v>362.8148700000001</v>
      </c>
      <c r="R262" s="3">
        <f>369.3+(189.3-29.8)+(-1.130058+(-0.579258--0.091188))+0-161.7--0.494802000000019</f>
        <v>365.976674</v>
      </c>
      <c r="S262" s="3">
        <f>368.2+(184.3-28.9)+(-0.751128+(-0.375972--0.058956))+0-160.7--0.327827999999993</f>
        <v>362.15968400000008</v>
      </c>
      <c r="T262" s="3">
        <f>373.1+(164-31.5)+(-0.570843+(-0.25092--0.048195))+0-163.2--0.249696000000009</f>
        <v>341.87612800000005</v>
      </c>
      <c r="U262" s="3">
        <f>369.2+(168-34.1)+(-0.564876+(-0.25704--0.052173))+0-160.4--0.245412000000009</f>
        <v>342.17566899999997</v>
      </c>
      <c r="V262" s="3">
        <f>369.2+(205.8-33.5)+(0+(0-0))+0-182.1-0</f>
        <v>359.4</v>
      </c>
      <c r="W262" s="3">
        <f>370.8+(288.1-80.9)+(0.189108+(0.146931-0.041259))+0-158.5-0.0808349999999839</f>
        <v>419.71394499999997</v>
      </c>
      <c r="X262" s="3">
        <f>367.1+(287.9-55.5)+(-1.123326+(-0.880974--0.16983))+0-185.6--0.567936000000021</f>
        <v>412.633466</v>
      </c>
      <c r="Y262" s="3">
        <f>365.3+(249.6-35.1)+(-0.558909+(-0.381888--0.053703))+0-179--0.27387000000001</f>
        <v>400.1867759999999</v>
      </c>
      <c r="Z262" s="3">
        <f>368.4+(260.2-37.1)+(-0.187884+(-0.132702--0.018921))+0-199.3--0.10164299999998</f>
        <v>391.999978</v>
      </c>
      <c r="AA262" s="3">
        <f>368.5+(243.5-41.5)+(0.187935+(0.124185-0.021165))+0-191.9-0.0978689999999805</f>
        <v>378.79308600000007</v>
      </c>
      <c r="AB262" s="3">
        <f>372.7+(251-60.3)+(-0.570231+(-0.38403--0.092259))+0-197.9--0.302787000000011</f>
        <v>364.94078500000006</v>
      </c>
      <c r="AC262" s="3">
        <f>369.8+(249.1-103.3)+(-1.131588+(-0.762246--0.316098))+0-178.9--0.547434000000021</f>
        <v>335.6696980000001</v>
      </c>
      <c r="AD262">
        <v>443.89999999999992</v>
      </c>
      <c r="AE262" s="3">
        <f>370+(308.3-87.2)+(0+(0-0))+0-147.2-0</f>
        <v>443.90000000000003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375.9+(269.3-128.1)+(-0.958545+(-0.686715--0.326655))+0-185.5--0.473024999999973</f>
        <v>330.75441999999993</v>
      </c>
      <c r="G263" s="3">
        <f>375.8+(271.5-139.3)+(-1.149948+(-0.83079--0.426258))+0-178.6--0.546516000000021</f>
        <v>328.39203599999996</v>
      </c>
      <c r="H263" s="3">
        <f>376.9+(209.4-102)+(0.576657+(0.320382-0.15606))+0-176.7-0.27035100000001</f>
        <v>308.07062799999994</v>
      </c>
      <c r="I263" s="3">
        <f>377.1+(213.5-103.4)+(0+(0-0))+0-173.6-0</f>
        <v>313.60000000000002</v>
      </c>
      <c r="J263" s="3">
        <f>376+(212-97.4)+(0.57528+(0.32436-0.149022))+0-183.6-0.280908000000011</f>
        <v>307.46971000000002</v>
      </c>
      <c r="K263" s="3">
        <f>375.7+(222.6-100.8)+(-0.574821+(-0.340578--0.154224))+0-182.7--0.279531000000011</f>
        <v>314.31835600000005</v>
      </c>
      <c r="L263" s="3">
        <f>372.7+(185.6-69.1)+(-0.190077+(-0.094656--0.035241))+0-189.1--0.0964409999999808</f>
        <v>299.94694899999996</v>
      </c>
      <c r="M263" s="3">
        <f>364.3+(179.6-34.8)+(-0.371586+(-0.183192--0.035496))+0-175.7--0.179214000000028</f>
        <v>333.05993200000006</v>
      </c>
      <c r="N263" s="3">
        <f>362.2+(187.9-31.3)+(0.369444+(0.191658-0.031926))+0-169.5-0.172890000000027</f>
        <v>349.65628599999991</v>
      </c>
      <c r="O263" s="3">
        <f>374.6+(186.4-41.9)+(0.191046+(0.095064-0.021369))+0-128.3-0.065432999999987</f>
        <v>390.99930799999998</v>
      </c>
      <c r="P263" s="3">
        <f>372.1+(211.8-48.2)+(0.569313+(0.324054-0.073746))+0-114.5-0.175185000000007</f>
        <v>421.84443600000003</v>
      </c>
      <c r="Q263" s="3">
        <f>375.9+(224.3-55.1)+(-0.191709+(-0.114393--0.028101))+0-114.2--0.0582419999999884</f>
        <v>430.68024100000002</v>
      </c>
      <c r="R263" s="3">
        <f>339.7+(246.7-48.4)+(-0.519741+(-0.377451--0.074052))+0-145.1--0.222003000000008</f>
        <v>392.29886300000004</v>
      </c>
      <c r="S263" s="3">
        <f>340.4+(242.6-42.4)+(-0.86802+(-0.61863--0.10812))+0-182.9--0.466394999999973</f>
        <v>356.78786499999995</v>
      </c>
      <c r="T263" s="3">
        <f>341+(230.4-53.2)+(-0.52173+(-0.352512--0.081396))+0-186.5--0.285345000000011</f>
        <v>331.192499</v>
      </c>
      <c r="U263" s="3">
        <f>342+(209.8-59.1)+(-0.69768+(-0.427992--0.120564))+0-170--0.346799999999993</f>
        <v>322.04169200000001</v>
      </c>
      <c r="V263" s="3">
        <f>341.2+(225.4-33.5)+(-0.522036+(-0.344862--0.051255))+0-192--0.293760000000011</f>
        <v>340.57811700000002</v>
      </c>
      <c r="W263" s="3">
        <f>354.8+(273.4-44)+(0.180948+(0.139434-0.02244))+0-185.7-0.0947069999999812</f>
        <v>398.70323500000012</v>
      </c>
      <c r="X263" s="3">
        <f>351.1+(275.4-46.5)+(0+(0-0))+0-187.1-0</f>
        <v>392.9</v>
      </c>
      <c r="Y263" s="3">
        <f>348.9+(271.2-56.7)+(-0.889695+(-0.69156--0.144585))+0-180.9--0.461294999999974</f>
        <v>381.5246249999999</v>
      </c>
      <c r="Z263" s="3">
        <f>345.7+(291.1-68.9)+(-0.705228+(-0.593844--0.140556))+0-196.9--0.401675999999991</f>
        <v>370.24316000000005</v>
      </c>
      <c r="AA263" s="3">
        <f>350.8+(266.2-52.9)+(-0.536724+(-0.407286--0.080937))+0-199.9--0.305847000000012</f>
        <v>363.64277400000009</v>
      </c>
      <c r="AB263" s="3">
        <f>347.2+(261.1-53.2)+(-0.531216+(-0.399483--0.081396))+0-209.2--0.320076000000012</f>
        <v>345.3707730000001</v>
      </c>
      <c r="AC263" s="3">
        <f>351.6+(231.8-51.9)+(-0.358632+(-0.236436--0.052938))+0-200.2--0.204204000000032</f>
        <v>330.96207399999997</v>
      </c>
      <c r="AD263">
        <v>381.7</v>
      </c>
      <c r="AE263" s="3">
        <f>356+(264.1-47.2)+(0+(0-0))+0-191.2-0</f>
        <v>381.7000000000001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357+(233.4-71.6)+(-0.54621+(-0.357102--0.109548))+0-198.1--0.303093000000011</f>
        <v>320.20932899999991</v>
      </c>
      <c r="G264" s="3">
        <f>357+(232.5-91)+(-0.36414+(-0.23715--0.09282))+0-185.6--0.18931200000003</f>
        <v>312.58084200000002</v>
      </c>
      <c r="H264" s="3">
        <f>359+(245.6-106.4)+(0+(0-0))+0-189.2-0</f>
        <v>309</v>
      </c>
      <c r="I264" s="3">
        <f>361+(222.8-96.9)+(0.18411+(0.113628-0.049419))+0-184.5-0.0940949999999813</f>
        <v>302.55422399999998</v>
      </c>
      <c r="J264" s="3">
        <f>360+(243.6-107.9)+(-0.1836+(-0.124236--0.055029))+0-189--0.0963899999999808</f>
        <v>306.54358299999996</v>
      </c>
      <c r="K264" s="3">
        <f>360+(255.6-119)+(0.918+(0.65178-0.30345))+0-193.9-0.494444999999972</f>
        <v>303.47188499999999</v>
      </c>
      <c r="L264" s="3">
        <f>357+(199.5-86.2)+(-0.91035+(-0.508725--0.21981))+0-184.6--0.470729999999973</f>
        <v>284.97146499999991</v>
      </c>
      <c r="M264" s="3">
        <f>357+(186.3-72.9)+(-0.54621+(-0.285039--0.111537))+0-193.8--0.296514000000011</f>
        <v>276.17680199999995</v>
      </c>
      <c r="N264" s="3">
        <f>362+(159.3-43.9)+(0.36924+(0.162486-0.044778))+0-192-0.195840000000031</f>
        <v>285.69110799999993</v>
      </c>
      <c r="O264" s="3">
        <f>362+(181-49.6)+(0.36924+(0.18462-0.050592))+0-200.2-0.204204000000032</f>
        <v>293.49906399999998</v>
      </c>
      <c r="P264" s="3">
        <f>358+(188.4-64.6)+(-0.36516+(-0.192168--0.065892))+0-188.8--0.19257600000003</f>
        <v>292.70114000000001</v>
      </c>
      <c r="Q264" s="3">
        <f>358+(228.9-78.5)+(-0.36516+(-0.233478--0.08007))+0-193.3--0.197166000000031</f>
        <v>314.77859799999999</v>
      </c>
      <c r="R264" s="3">
        <f>349+(212.1-67.5)+(-0.71196+(-0.432684--0.1377))+0-187.4--0.382295999999992</f>
        <v>305.57535200000007</v>
      </c>
      <c r="S264" s="3">
        <f>349.8+(219.2-70.2)+(-0.713592+(-0.447168--0.143208))+0-202.1--0.412283999999991</f>
        <v>296.09473200000002</v>
      </c>
      <c r="T264" s="3">
        <f>350.4+(197.7-60.9)+(-0.178704+(-0.100827--0.031059))+0-198.7--0.10133699999998</f>
        <v>288.35286499999995</v>
      </c>
      <c r="U264" s="3">
        <f>350.9+(196.7-73.4)+(-0.536877+(-0.300951--0.112302))+0-181.9--0.278307000000011</f>
        <v>291.85278099999988</v>
      </c>
      <c r="V264" s="3">
        <f>347.4+(224.7-92)+(-0.177174+(-0.114597--0.04692))+0-168.8--0.0860879999999829</f>
        <v>311.14123699999993</v>
      </c>
      <c r="W264" s="3">
        <f>350.8+(340.5-128.1)+(-0.536724+(-0.520965--0.195993))+0-201.4--0.308142000000012</f>
        <v>361.24644600000005</v>
      </c>
      <c r="X264" s="3">
        <f>363.3+(289.3-75.3)+(-0.185283+(-0.147543--0.038403))+0-204.3--0.104192999999979</f>
        <v>372.80976999999984</v>
      </c>
      <c r="Y264" s="3">
        <f>368.7+(256.1-57.5)+(-0.188037+(-0.130611--0.029325))+0-201.1--0.10256099999998</f>
        <v>366.01323799999994</v>
      </c>
      <c r="Z264" s="3">
        <f>365.6+(250.1-63.8)+(-0.372912+(-0.255102--0.065076))+0-193.5--0.197370000000031</f>
        <v>358.03443200000009</v>
      </c>
      <c r="AA264" s="3">
        <f>363.4+(232.2-54.3)+(-0.556002+(-0.355266--0.083079))+0-198.4--0.303552000000011</f>
        <v>342.37536300000005</v>
      </c>
      <c r="AB264" s="3">
        <f>365.6+(201.4-41.3)+(-0.559368+(-0.308142--0.063189))+0-186.6--0.285498000000011</f>
        <v>338.58117700000008</v>
      </c>
      <c r="AC264" s="3">
        <f>363+(205.2-52.7)+(-1.11078+(-0.627912--0.161262))+0-196.9--0.602514000000023</f>
        <v>317.62508400000002</v>
      </c>
      <c r="AD264">
        <v>367.40000000000003</v>
      </c>
      <c r="AE264" s="3">
        <f>367+(291.9-72.3)+(0+(0-0))+0-219.2-0</f>
        <v>367.39999999999992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361.7+(196.1-83.1)+(-0.922335+(-0.500055--0.211905))+0-164.6--0.419729999999976</f>
        <v>309.30924499999992</v>
      </c>
      <c r="G265" s="3">
        <f>355+(213.4-78.9)+(-0.7242+(-0.435336--0.160956))+0-191.7--0.391067999999992</f>
        <v>297.19248800000003</v>
      </c>
      <c r="H265" s="3">
        <f>328.6+(217.9-76.5)+(0+(0-0))+0-185.9-0</f>
        <v>284.10000000000002</v>
      </c>
      <c r="I265" s="3">
        <f>328.2+(223.6-69.1)+(-0.167382+(-0.114036--0.035241))+0-199--0.10148999999998</f>
        <v>283.55531299999996</v>
      </c>
      <c r="J265" s="3">
        <f>329.3+(179.9-53.8)+(0.167943+(0.091749-0.027438))+0-172.5-0.0879749999999825</f>
        <v>283.04427900000007</v>
      </c>
      <c r="K265" s="3">
        <f>325.6+(180.3-31.8)+(0.166056+(0.091953-0.016218))+0-182.8-0.0932279999999815</f>
        <v>291.44856300000004</v>
      </c>
      <c r="L265" s="3">
        <f>325+(227.6-76)+(0+(0-0))+0-170-0</f>
        <v>306.60000000000002</v>
      </c>
      <c r="M265" s="3">
        <f>328+(258.9-62.9)+(0.50184+(0.396117-0.096237))+0-178.6-0.27325800000001</f>
        <v>345.92846200000002</v>
      </c>
      <c r="N265" s="3">
        <f>330+(281.5-70.2)+(0.3366+(0.28713-0.071604))+0-175.7-0.179214000000028</f>
        <v>365.97291200000001</v>
      </c>
      <c r="O265" s="3">
        <f>365.3+(235.7-39)+(0+(0-0))+0-174.9-0</f>
        <v>387.1</v>
      </c>
      <c r="P265" s="3">
        <f>356.4+(265.2-39.1)+(-0.545292+(-0.405756--0.059823))+0-187.1--0.286263000000011</f>
        <v>394.79503800000003</v>
      </c>
      <c r="Q265" s="3">
        <f>357.4+(256.6-39.6)+(-0.364548+(-0.261732--0.040392))+0-168.9--0.172278000000027</f>
        <v>405.08639000000005</v>
      </c>
      <c r="R265" s="3">
        <f>354.5+(256-37)+(-0.903975+(-0.6528--0.09435))+0-173.9--0.443444999999975</f>
        <v>398.58101999999997</v>
      </c>
      <c r="S265" s="3">
        <f>355.5+(236.6-35.3)+(0+(0-0))+0-170-0</f>
        <v>386.79999999999995</v>
      </c>
      <c r="T265" s="3">
        <f>351.4+(252.7-36.3)+(-0.358428+(-0.257754--0.037026))+0-189.7--0.19349400000003</f>
        <v>377.714338</v>
      </c>
      <c r="U265" s="3">
        <f>354+(238.2-36.6)+(0+(0-0))+0-177.4-0</f>
        <v>378.20000000000005</v>
      </c>
      <c r="V265" s="3">
        <f>417.4+(210.5-38.8)+(-0.212874+(-0.107355--0.019788))+0-195.6--0.0997559999999802</f>
        <v>393.29931499999986</v>
      </c>
      <c r="W265" s="3">
        <f>490.7+(205.3-58.3)+(0.500514+(0.209406-0.059466))+0-201.5-0.205530000000032</f>
        <v>436.644924</v>
      </c>
      <c r="X265" s="3">
        <f>500.1+(200.8-55.9)+(-0.765153+(-0.307224--0.085527))+0-205.9--0.315027000000012</f>
        <v>438.42817700000001</v>
      </c>
      <c r="Y265" s="3">
        <f>506+(184.4-54)+(-0.25806+(-0.094044--0.02754))+0-202.7--0.103376999999979</f>
        <v>433.47881299999995</v>
      </c>
      <c r="Z265" s="3">
        <f>504+(173.6-55.6)+(-0.25704+(-0.088536--0.028356))+0-202.6--0.103325999999979</f>
        <v>419.18610599999994</v>
      </c>
      <c r="AA265" s="3">
        <f>502.4+(184.4-79.5)+(0+(0-0))+0-185.6-0</f>
        <v>421.69999999999993</v>
      </c>
      <c r="AB265" s="3">
        <f>507.9+(223.1-148.4)+(0+(0-0))+0-176.7-0</f>
        <v>405.89999999999992</v>
      </c>
      <c r="AC265" s="3">
        <f>507.2+(243.3-184.9)+(0+(0-0))+0-180.6-0</f>
        <v>385</v>
      </c>
      <c r="AD265">
        <v>453.89999999999992</v>
      </c>
      <c r="AE265" s="3">
        <f>504+(204.4-59.2)+(0+(0-0))+0-195.3-0</f>
        <v>453.90000000000003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496+(241.4-188.6)+(-0.75888+(-0.369342--0.288558))+0-190.3--0.291159000000011</f>
        <v>357.95149499999997</v>
      </c>
      <c r="G266" s="3">
        <f>495.8+(237.2-192.9)+(-1.26429+(-0.60486--0.491895))+0-201.3--0.513314999999971</f>
        <v>337.93606</v>
      </c>
      <c r="H266" s="3">
        <f>483.9+(266.5-219)+(0+(0-0))+0-197.6-0</f>
        <v>333.79999999999995</v>
      </c>
      <c r="I266" s="3">
        <f>465.9+(276.2-221.6)+(0+(0-0))+0-193.3-0</f>
        <v>327.2</v>
      </c>
      <c r="J266" s="3">
        <f>461.2+(240.3-191.3)+(-0.470424+(-0.245106--0.195126))+0-183.9--0.187578000000029</f>
        <v>325.967174</v>
      </c>
      <c r="K266" s="3">
        <f>464.1+(195.6-148.9)+(0.710073+(0.299268-0.227817))+0-174.8-0.26744400000001</f>
        <v>336.51407999999998</v>
      </c>
      <c r="L266" s="3">
        <f>464+(188-124.9)+(0.47328+(0.19176-0.127398))+0-189.6-0.19339200000003</f>
        <v>337.84424999999999</v>
      </c>
      <c r="M266" s="3">
        <f>465.3+(178.3-90)+(0.949212+(0.363732-0.1836))+0-199.6-0.407183999999991</f>
        <v>354.72215999999997</v>
      </c>
      <c r="N266" s="3">
        <f>459.4+(184.7-66.3)+(-0.468588+(-0.188394--0.067626))+0-198.6--0.202572000000032</f>
        <v>378.81321600000001</v>
      </c>
      <c r="O266" s="3">
        <f>455.9+(177.1-63.3)+(0.232509+(0.090321-0.032283))+0-182.4-0.0930239999999815</f>
        <v>387.49752299999994</v>
      </c>
      <c r="P266" s="3">
        <f>450.6+(183.4-59.4)+(0.229806+(0.093534-0.030294))+0-179.6-0.0915959999999818</f>
        <v>395.20145000000002</v>
      </c>
      <c r="Q266" s="3">
        <f>456.3+(204.9-65.1)+(-0.930852+(-0.417996--0.132804))+0-179.5--0.366179999999992</f>
        <v>415.750136</v>
      </c>
      <c r="R266" s="3">
        <f>460.4+(198.6-91.2)+(-0.704412+(-0.303858--0.139536))+0-169.7--0.25964100000001</f>
        <v>397.49090699999994</v>
      </c>
      <c r="S266" s="3">
        <f>475.1+(175.2-73.8)+(-0.484602+(-0.178704--0.075276))+0-173.7--0.177174000000028</f>
        <v>402.38914400000004</v>
      </c>
      <c r="T266" s="3">
        <f>480+(156.7-68.8)+(0.4896+(0.159834-0.070176))+0-183.9-0.187578000000029</f>
        <v>384.39167999999995</v>
      </c>
      <c r="U266" s="3">
        <f>409+(202-46.8)+(-0.41718+(-0.20604--0.047736))+0-191.8--0.195636000000031</f>
        <v>372.02015200000011</v>
      </c>
      <c r="V266" s="3">
        <f>412.8+(234.4-46.6)+(0.421056+(0.239088-0.047532))+0-195.6-0.199512000000031</f>
        <v>405.41309999999999</v>
      </c>
      <c r="W266" s="3">
        <f>476.5+(230.9-59.4)+(0.48603+(0.235518-0.060588))+0-192.5-0.196350000000031</f>
        <v>455.96460999999999</v>
      </c>
      <c r="X266" s="3">
        <f>487.1+(223.3-59.1)+(-0.993684+(-0.455532--0.120564))+0-203.5--0.415139999999991</f>
        <v>446.88648800000004</v>
      </c>
      <c r="Y266" s="3">
        <f>488.3+(202.4-58.8)+(-1.494198+(-0.619344--0.179928))+0-194.3--0.594558000000022</f>
        <v>436.26094400000005</v>
      </c>
      <c r="Z266" s="3">
        <f>399.2+(268.4-47.8)+(-0.610776+(-0.410652--0.073134))+0-198.2--0.303246000000011</f>
        <v>420.95495199999993</v>
      </c>
      <c r="AA266" s="3">
        <f>361.3+(288.6-41.7)+(-0.368526+(-0.294372--0.042534))+0-196.4--0.200328000000031</f>
        <v>411.37996400000009</v>
      </c>
      <c r="AB266" s="3">
        <f>357.4+(276-46.6)+(-1.093644+(-0.84456--0.142596))+0-197--0.602820000000023</f>
        <v>388.60721199999995</v>
      </c>
      <c r="AC266" s="3">
        <f>376+(245.9-77.7)+(-0.57528+(-0.376227--0.118881))+0-166.9--0.25535700000001</f>
        <v>376.72273100000007</v>
      </c>
      <c r="AD266">
        <v>459.80000000000007</v>
      </c>
      <c r="AE266" s="3">
        <f>499+(208.2-61)+(0+(0-0))+0-186.4-0</f>
        <v>459.80000000000007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403+(262.1-120.3)+(-0.61659+(-0.401013--0.184059))+0-182.2--0.278766000000011</f>
        <v>362.04522200000002</v>
      </c>
      <c r="G267" s="3">
        <f>397.6+(205.7-100.8)+(0.811104+(0.419628-0.205632))+0-175.8-0.358631999999992</f>
        <v>327.366468</v>
      </c>
      <c r="H267" s="3">
        <f>461+(153.6-114.3)+(0.70533+(0.235008-0.174879))+0-180.9-0.27677700000001</f>
        <v>319.88868200000002</v>
      </c>
      <c r="I267" s="3">
        <f>434.5+(171.8-111.5)+(0.221595+(0.087618-0.056865))+0-166-0.0846599999999832</f>
        <v>328.96768800000001</v>
      </c>
      <c r="J267" s="3">
        <f>418.4+(173.6-84.7)+(-1.06692+(-0.44268--0.215985))+0-172.3--0.439364999999975</f>
        <v>334.14574999999991</v>
      </c>
      <c r="K267" s="3">
        <f>420.6+(152-72.4)+(0.214506+(0.07752-0.036924))+0-161.9-0.0825689999999836</f>
        <v>338.47253300000006</v>
      </c>
      <c r="L267" s="3">
        <f>419.4+(134.9-65.6)+(-0.427788+(-0.137598--0.066912))+0-146.6--0.149532000000023</f>
        <v>341.75105800000006</v>
      </c>
      <c r="M267" s="3">
        <f>432+(123.8-56.6)+(0.22032+(0.063138-0.028866))+0-153.6-0.0783359999999844</f>
        <v>345.77625600000005</v>
      </c>
      <c r="N267" s="3">
        <f>502.4+(164.8-87.3)+(0+(0-0))+0-182.4-0</f>
        <v>397.5</v>
      </c>
      <c r="O267" s="3">
        <f>506.5+(202-117.5)+(0.258315+(0.10302-0.059925))+0-178.9-0.0912389999999818</f>
        <v>412.31017100000008</v>
      </c>
      <c r="P267" s="3">
        <f>509+(204.5-117.7)+(-0.25959+(-0.104295--0.060027))+0-182.5--0.0930749999999815</f>
        <v>413.08921699999996</v>
      </c>
      <c r="Q267" s="3">
        <f>510.2+(212.7-118.9)+(-0.780606+(-0.325431--0.181917))+0-196.7--0.300951000000011</f>
        <v>406.67683099999999</v>
      </c>
      <c r="R267" s="3">
        <f>510.1+(126.2-106.8)+(-0.520302+(-0.128724--0.108936))+0-183.1--0.186762000000029</f>
        <v>346.04667200000006</v>
      </c>
      <c r="S267" s="3">
        <f>509.4+(92.9-101.4)+(-1.039176+(-0.189516--0.206856))+0-165.1--0.336803999999993</f>
        <v>335.11496799999992</v>
      </c>
      <c r="T267" s="3">
        <f>533+(95.1-105.8)+(-0.54366+(-0.097002--0.107916))+0-180.2--0.183804000000029</f>
        <v>341.751058</v>
      </c>
      <c r="U267" s="3">
        <f>516+(113.3-119.6)+(-0.78948+(-0.173349--0.182988))+0-163.5--0.250155000000009</f>
        <v>345.67031400000002</v>
      </c>
      <c r="V267" s="3">
        <f>506+(140.6-91.9)+(-0.51612+(-0.143412--0.093738))+0-176.8--0.180336000000028</f>
        <v>377.51454200000006</v>
      </c>
      <c r="W267" s="3">
        <f>518+(152-67.6)+(-0.26418+(-0.07752--0.034476))+0-189.9--0.0968489999999807</f>
        <v>412.28962499999994</v>
      </c>
      <c r="X267" s="3">
        <f>484+(144.4-64.5)+(-1.2342+(-0.36822--0.164475))+0-191.9--0.489344999999972</f>
        <v>371.05139999999994</v>
      </c>
      <c r="Y267" s="3">
        <f>484+(138.6-62.6)+(-0.49368+(-0.141372--0.063852))+0-192.9--0.196758000000031</f>
        <v>366.72555800000009</v>
      </c>
      <c r="Z267" s="3">
        <f>470+(161-58.9)+(-0.9588+(-0.32844--0.120156))+0-206.2--0.420647999999991</f>
        <v>365.15356399999996</v>
      </c>
      <c r="AA267" s="3">
        <f>370+(284.6-37)+(-0.3774+(-0.290292--0.03774))+0-193.2--0.197064000000031</f>
        <v>423.96711200000004</v>
      </c>
      <c r="AB267" s="3">
        <f>368+(268.4-47.3)+(-1.12608+(-0.821304--0.144738))+0-185.9--0.568854000000022</f>
        <v>401.96620799999999</v>
      </c>
      <c r="AC267" s="3">
        <f>382+(291.7-102.2)+(-0.58446+(-0.446301--0.156366))+0-178.3--0.27279900000001</f>
        <v>392.59840399999996</v>
      </c>
      <c r="AD267">
        <v>438</v>
      </c>
      <c r="AE267" s="3">
        <f>551+(141.1-67.2)+(0+(0-0))+0-186.9-0</f>
        <v>438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481+(298.4-202.1)+(-0.24531+(-0.152184--0.103071))+0-181.9--0.0927689999999815</f>
        <v>395.1983459999999</v>
      </c>
      <c r="G268" s="3">
        <f>480+(206-150.7)+(-0.2448+(-0.10506--0.076857))+0-183.8--0.0937379999999814</f>
        <v>351.3207349999999</v>
      </c>
      <c r="H268" s="3">
        <f>490+(177.2-143.7)+(0.2499+(0.090372-0.073287))+0-181.6-0.0926159999999816</f>
        <v>342.07436899999999</v>
      </c>
      <c r="I268" s="3">
        <f>485+(189.7-157)+(0.74205+(0.290241-0.24021))+0-182.6-0.279378000000011</f>
        <v>335.61270300000007</v>
      </c>
      <c r="J268" s="3">
        <f>482+(184.8-147.6)+(-0.24582+(-0.094248--0.075276))+0-180.9--0.0922589999999816</f>
        <v>338.12746699999997</v>
      </c>
      <c r="K268" s="3">
        <f>487+(167.7-144.1)+(0.99348+(0.342108-0.293964))+0-169.2-0.345167999999993</f>
        <v>342.09645600000005</v>
      </c>
      <c r="L268" s="3">
        <f>499+(138.4-104)+(0+(0-0))+0-176-0</f>
        <v>357.4</v>
      </c>
      <c r="M268" s="3">
        <f>496+(131.9-73.5)+(0.25296+(0.067269-0.037485))+0-171.6-0.0875159999999826</f>
        <v>382.99522799999994</v>
      </c>
      <c r="N268" s="3">
        <f>497+(132.9-56.6)+(0.25347+(0.067779-0.028866))+0-174.1-0.0887909999999823</f>
        <v>399.40359199999995</v>
      </c>
      <c r="O268" s="3">
        <f>495+(145-59.5)+(0.5049+(0.1479-0.06069))+0-177.5-0.181050000000028</f>
        <v>403.41106000000002</v>
      </c>
      <c r="P268" s="3">
        <f>496+(154.3-65.6)+(-0.25296+(-0.078693--0.033456))+0-186.3--0.0950129999999811</f>
        <v>398.19681600000007</v>
      </c>
      <c r="Q268" s="3">
        <f>495+(174.9-72.3)+(-0.75735+(-0.267597--0.110619))+0-187--0.286110000000011</f>
        <v>409.97178200000008</v>
      </c>
      <c r="R268" s="3">
        <f>488+(186.1-82.8)+(-0.99552+(-0.379644--0.168912))+0-177.8--0.362711999999992</f>
        <v>412.65645999999998</v>
      </c>
      <c r="S268" s="3">
        <f>494+(154.7-61)+(-0.25194+(-0.078897--0.03111))+0-180.1--0.0918509999999817</f>
        <v>407.39212400000002</v>
      </c>
      <c r="T268" s="3">
        <f>494+(118.1-62.9)+(0.50388+(0.120462-0.064158))+0-174.1-0.177582000000028</f>
        <v>375.48260200000004</v>
      </c>
      <c r="U268" s="3">
        <f>491+(125.7-64.9)+(0+(0-0))+0-178.8-0</f>
        <v>372.99999999999994</v>
      </c>
      <c r="V268" s="3">
        <f>504+(167.7-66.4)+(0.51408+(0.171054-0.067728))+0-191.1-0.19492200000003</f>
        <v>414.62248399999987</v>
      </c>
      <c r="W268" s="3">
        <f>547+(207.9-134)+(0.83691+(0.318087-0.20502))+0-186.2-0.284886000000011</f>
        <v>435.36509099999995</v>
      </c>
      <c r="X268" s="3">
        <f>574+(188.1-119.3)+(0+(0-0))+0-190.2-0</f>
        <v>452.59999999999997</v>
      </c>
      <c r="Y268" s="3">
        <f>578+(143.8-90.4)+(-1.4739+(-0.36669--0.23052))+0-182.5--0.465374999999974</f>
        <v>447.75530500000002</v>
      </c>
      <c r="Z268" s="3">
        <f>583+(119.1-74.6)+(-0.59466+(-0.121482--0.076092))+0-190.1--0.19390200000003</f>
        <v>436.95385200000004</v>
      </c>
      <c r="AA268" s="3">
        <f>582+(118-77.1)+(-0.59364+(-0.12036--0.078642))+0-194--0.197880000000031</f>
        <v>428.46252200000004</v>
      </c>
      <c r="AB268" s="3">
        <f>580+(104.6-81.6)+(0+(0-0))+0-189-0</f>
        <v>414</v>
      </c>
      <c r="AC268" s="3">
        <f>577+(144.9-143)+(-0.88281+(-0.221697--0.21879))+0-184.3--0.281979000000011</f>
        <v>393.996262</v>
      </c>
      <c r="AD268">
        <v>460.4</v>
      </c>
      <c r="AE268" s="3">
        <f>567+(200.8-111.8)+(0+(0-0))+0-195.6-0</f>
        <v>460.4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575+(175.3-189.1)+(-0.5865+(-0.178806--0.192882))+0-190.1--0.19390200000003</f>
        <v>370.7214780000001</v>
      </c>
      <c r="G269" s="3">
        <f>504+(199.9-143.1)+(-0.51408+(-0.203898--0.145962))+0-185.1--0.18880200000003</f>
        <v>375.31678599999998</v>
      </c>
      <c r="H269" s="3">
        <f>485+(168.5-115.9)+(-0.24735+(-0.085935--0.059109))+0-187.8--0.0957779999999809</f>
        <v>349.621602</v>
      </c>
      <c r="I269" s="3">
        <f>484+(127.5-90.1)+(-0.24684+(-0.065025--0.045951))+0-177.7--0.090626999999982</f>
        <v>343.52471300000002</v>
      </c>
      <c r="J269" s="3">
        <f>490+(111.1-93.6)+(1.7493+(0.396627-0.334152))+0-166.4-0.594048000000002</f>
        <v>342.31772700000005</v>
      </c>
      <c r="K269" s="3">
        <f>485+(104-75.7)+(0.4947+(0.10608-0.077214))+0-164.3-0.167586000000026</f>
        <v>349.35597999999987</v>
      </c>
      <c r="L269" s="3">
        <f>485+(121-69)+(-0.24735+(-0.06171--0.03519))+0-172.9--0.0881789999999825</f>
        <v>363.914309</v>
      </c>
      <c r="M269" s="3">
        <f>538+(154.1-89.5)+(-0.54876+(-0.157182--0.09129))+0-160.7--0.163914000000026</f>
        <v>441.44926200000009</v>
      </c>
      <c r="N269" s="3">
        <f>556+(156.9-103.9)+(-0.28356+(-0.080019--0.052989))+0-171.7--0.0875669999999826</f>
        <v>437.07697699999994</v>
      </c>
      <c r="O269" s="3">
        <f>574+(112.6-110.7)+(-0.29274+(-0.057426--0.056457))+0-173--0.0882299999999824</f>
        <v>402.69452099999995</v>
      </c>
      <c r="P269" s="3">
        <f>570+(116.2-94.5)+(0+(0-0))+0-172-0</f>
        <v>419.70000000000005</v>
      </c>
      <c r="Q269" s="3">
        <f>566+(89.9-70)+(-0.57732+(-0.091698--0.0714))+0-167.4--0.170748000000027</f>
        <v>418.07312999999999</v>
      </c>
      <c r="R269" s="3">
        <f>565+(73-83.6)+(-0.86445+(-0.11169--0.127908))+0-112.3--0.171819000000006</f>
        <v>441.42358699999994</v>
      </c>
      <c r="S269" s="3">
        <f>568+(76.9-99.3)+(-0.86904+(-0.117657--0.151929))+0-98.8--0.151164000000006</f>
        <v>446.11639599999995</v>
      </c>
      <c r="T269" s="3">
        <f>562+(73.4-116)+(0.85986+(0.112302-0.17748))+0-103.8-0.158814000000006</f>
        <v>416.23586799999993</v>
      </c>
      <c r="U269" s="3">
        <f>570+(67.3-120.7)+(0+(0-0))+0-89.4-0</f>
        <v>427.20000000000005</v>
      </c>
      <c r="V269" s="3">
        <f>565+(91.3-95.1)+(-0.28815+(-0.046563--0.048501))+0-122.5--0.0624749999999876</f>
        <v>438.47626300000007</v>
      </c>
      <c r="W269" s="3">
        <f>563+(197.1-121.6)+(0.57426+(0.201042-0.124032))+0-183.5-0.187170000000029</f>
        <v>455.46409999999992</v>
      </c>
      <c r="X269" s="3">
        <f>564+(203-112)+(-1.15056+(-0.41412--0.22848))+0-202.8--0.413711999999991</f>
        <v>451.277512</v>
      </c>
      <c r="Y269" s="3">
        <f>564+(132.6-62.3)+(-1.72584+(-0.405756--0.190638))+0-198.4--0.607104000000023</f>
        <v>434.566146</v>
      </c>
      <c r="Z269" s="3">
        <f>584+(111.6-65.3)+(-0.29784+(-0.056916--0.033303))+0-191.2--0.0975119999999806</f>
        <v>438.87605899999994</v>
      </c>
      <c r="AA269" s="3">
        <f>567+(113.3-70)+(-1.15668+(-0.231132--0.1428))+0-198--0.403919999999991</f>
        <v>411.45890799999995</v>
      </c>
      <c r="AB269" s="3">
        <f>572+(99.7-85.9)+(-1.16688+(-0.203388--0.175236))+0-187.2--0.381887999999992</f>
        <v>397.786856</v>
      </c>
      <c r="AC269" s="3">
        <f>498+(124.3-63.4)+(-1.01592+(-0.253572--0.129336))+0-178.5--0.364139999999992</f>
        <v>379.62398399999995</v>
      </c>
      <c r="AD269">
        <v>455.40000000000009</v>
      </c>
      <c r="AE269" s="3">
        <f>557+(227.7-140.4)+(0+(0-0))+0-188.9-0</f>
        <v>455.4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490+(139.1-85.8)+(-1.2495+(-0.354705--0.21879))+0-172.6--0.440129999999975</f>
        <v>369.75471499999992</v>
      </c>
      <c r="G270" s="3">
        <f>487+(155.7-102.2)+(-0.24837+(-0.079407--0.052122))+0-185.6--0.0946559999999812</f>
        <v>354.71900099999993</v>
      </c>
      <c r="H270" s="3">
        <f>491+(191.1-141.1)+(-0.75123+(-0.292383--0.215883))+0-190.9--0.292077000000011</f>
        <v>349.56434700000005</v>
      </c>
      <c r="I270" s="3">
        <f>493+(198.1-168.4)+(0.75429+(0.303093-0.257652))+0-183.2-0.280296000000011</f>
        <v>340.01943499999999</v>
      </c>
      <c r="J270" s="3">
        <f>530+(172.5-167.5)+(0.2703+(0.087975-0.085425))+0-181-0.0923099999999816</f>
        <v>354.18053999999995</v>
      </c>
      <c r="K270" s="3">
        <f>544+(125.8-147)+(0.83232+(0.192474-0.22491))+0-193.2-0.295596000000011</f>
        <v>330.104288</v>
      </c>
      <c r="L270" s="3">
        <f>555+(102.9-116.8)+(0.28305+(0.052479-0.059568))+0-183-0.0933299999999814</f>
        <v>358.28263100000009</v>
      </c>
      <c r="M270" s="3">
        <f>555+(93.2-90.5)+(0.28305+(0.047532-0.046155))+0-175.1-0.0893009999999822</f>
        <v>382.7951260000001</v>
      </c>
      <c r="N270" s="3">
        <f>564+(103-77.2)+(0.28764+(0.05253-0.039372))+0-175.3-0.0894029999999822</f>
        <v>414.71139499999992</v>
      </c>
      <c r="O270" s="3">
        <f>547+(141.8-105.2)+(-0.27897+(-0.072318--0.053652))+0-171--0.0872099999999826</f>
        <v>412.38957399999998</v>
      </c>
      <c r="P270" s="3">
        <f>552+(248.4-193.6)+(-0.56304+(-0.253368--0.197472))+0-179.6--0.183192000000029</f>
        <v>426.76425599999999</v>
      </c>
      <c r="Q270" s="3">
        <f>548+(252.1-188.5)+(-1.11792+(-0.514284--0.38454))+0-182--0.371279999999992</f>
        <v>428.72361600000005</v>
      </c>
      <c r="R270" s="3">
        <f>546+(167.2-112.1)+(-1.67076+(-0.511632--0.343026))+0-195.1--0.597006000000023</f>
        <v>404.75763999999998</v>
      </c>
      <c r="S270" s="3">
        <f>539+(181.4-159.2)+(0+(0-0))+0-182-0</f>
        <v>379.20000000000005</v>
      </c>
      <c r="T270" s="3">
        <f>545+(139.8-151.8)+(-1.1118+(-0.285192--0.309672))+0-171.2--0.349247999999993</f>
        <v>361.06192800000002</v>
      </c>
      <c r="U270" s="3">
        <f>545+(96.6-106.3)+(0+(0-0))+0-181-0</f>
        <v>354.29999999999995</v>
      </c>
      <c r="V270" s="3">
        <f>546+(131.7-117.1)+(0+(0-0))+0-179.5-0</f>
        <v>381.1</v>
      </c>
      <c r="W270" s="3">
        <f>561+(212.4-160.8)+(0+(0-0))+0-196.3-0</f>
        <v>416.3</v>
      </c>
      <c r="X270" s="3">
        <f>581+(175.4-146.9)+(-1.18524+(-0.357816--0.299676))+0-192.8--0.393311999999992</f>
        <v>415.84993199999997</v>
      </c>
      <c r="Y270" s="3">
        <f>579+(144.4-122.7)+(-0.88587+(-0.220932--0.187731))+0-196--0.299880000000011</f>
        <v>404.08080900000004</v>
      </c>
      <c r="Z270" s="3">
        <f>576+(109-95.9)+(-0.29376+(-0.05559--0.048909))+0-196.6--0.10026599999998</f>
        <v>392.299825</v>
      </c>
      <c r="AA270" s="3">
        <f>570+(111.9-93.6)+(-1.1628+(-0.228276--0.190944))+0-205.3--0.418811999999991</f>
        <v>382.21867999999989</v>
      </c>
      <c r="AB270" s="3">
        <f>546+(113.1-79.9)+(-1.3923+(-0.288405--0.203745))+0-194.7--0.496484999999972</f>
        <v>383.51952500000004</v>
      </c>
      <c r="AC270" s="3">
        <f>545+(127.2-104.6)+(-1.38975+(-0.32436--0.26673))+0-199.5--0.508724999999971</f>
        <v>367.16134500000004</v>
      </c>
      <c r="AD270">
        <v>382.90000000000009</v>
      </c>
      <c r="AE270" s="3">
        <f>528+(228.2-164.4)+(0+(0-0))+0-208.9-0</f>
        <v>382.9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543+(168.1-158.4)+(-0.55386+(-0.171462--0.161568))+0-189.3--0.19308600000003</f>
        <v>363.02933200000007</v>
      </c>
      <c r="G271" s="3">
        <f>504+(181.8-153.3)+(-1.02816+(-0.370872--0.312732))+0-191.5--0.390659999999992</f>
        <v>340.30435999999992</v>
      </c>
      <c r="H271" s="3">
        <f>461+(207.2-134.9)+(-0.23511+(-0.105672--0.068799))+0-186.8--0.0952679999999811</f>
        <v>346.32328499999994</v>
      </c>
      <c r="I271" s="3">
        <f>468+(222.4-165.3)+(-0.47736+(-0.226848--0.168606))+0-195.4--0.199308000000031</f>
        <v>329.36370600000004</v>
      </c>
      <c r="J271" s="3">
        <f>455+(220.2-164.8)+(0.23205+(0.112302-0.084048))+0-196-0.0999599999999801</f>
        <v>314.56034400000004</v>
      </c>
      <c r="K271" s="3">
        <f>467+(178.9-125.3)+(0+(0-0))+0-196.7-0</f>
        <v>323.90000000000003</v>
      </c>
      <c r="L271" s="3">
        <f>463+(125.4-97.4)+(-0.23613+(-0.063954--0.049674))+0-175.4--0.0894539999999822</f>
        <v>315.43904400000002</v>
      </c>
      <c r="M271" s="3">
        <f>464+(116.4-80.5)+(-1.65648+(-0.415548--0.287385))+0-168.5--0.601545000000002</f>
        <v>330.21690199999995</v>
      </c>
      <c r="N271" s="3">
        <f>463+(123.1-97.4)+(0.47226+(0.125562-0.099348))+0-172.4-0.175848000000027</f>
        <v>316.62262599999991</v>
      </c>
      <c r="O271" s="3">
        <f>522+(89.8-121.5)+(0+(0-0))+0-181.6-0</f>
        <v>308.70000000000005</v>
      </c>
      <c r="P271" s="3">
        <f>543+(111.4-120.1)+(-1.10772+(-0.227256--0.245004))+0-202.5--0.413099999999991</f>
        <v>331.12312799999995</v>
      </c>
      <c r="Q271" s="3">
        <f>553+(101.9-122.4)+(-0.56406+(-0.103938--0.124848))+0-180.6--0.184212000000029</f>
        <v>351.54106200000001</v>
      </c>
      <c r="R271" s="3">
        <f>557+(102.2-124.4)+(-1.42035+(-0.26061--0.31722))+0-180.1--0.459254999999974</f>
        <v>353.79551499999991</v>
      </c>
      <c r="S271" s="3">
        <f>550+(81.3-130.1)+(-0.8415+(-0.124389--0.199053))+0-161.5--0.247095000000009</f>
        <v>339.18025899999998</v>
      </c>
      <c r="T271" s="3">
        <f>546+(87.1-127)+(-0.55692+(-0.088842--0.12954))+0-180.6--0.184212000000029</f>
        <v>325.16799000000003</v>
      </c>
      <c r="U271" s="3">
        <f>555+(83.8-134.8)+(0.28305+(0.042738-0.068748))+0-175.7-0.0896069999999822</f>
        <v>328.46743300000003</v>
      </c>
      <c r="V271" s="3">
        <f>557+(120.4-150.1)+(0.56814+(0.122808-0.153102))+0-180.6-0.184212000000029</f>
        <v>347.05363399999987</v>
      </c>
      <c r="W271" s="3">
        <f>556+(190.8-168.6)+(0+(0-0))+0-195.2-0</f>
        <v>383.00000000000006</v>
      </c>
      <c r="X271" s="3">
        <f>567+(160.5-137.4)+(-1.44585+(-0.409275--0.35037))+0-189.8--0.483989999999973</f>
        <v>399.27923499999991</v>
      </c>
      <c r="Y271" s="3">
        <f>560+(140.3-132)+(0.2856+(0.071553-0.06732))+0-182.5-0.0930749999999815</f>
        <v>385.996758</v>
      </c>
      <c r="Z271" s="3">
        <f>564+(114.1-97.2)+(-0.57528+(-0.116382--0.099144))+0-184.2--0.187884000000029</f>
        <v>396.295366</v>
      </c>
      <c r="AA271" s="3">
        <f>564+(117.8-99.5)+(-1.4382+(-0.30039--0.253725))+0-184.7--0.470984999999973</f>
        <v>396.58611999999994</v>
      </c>
      <c r="AB271" s="3">
        <f>564+(155.6-163.5)+(-0.86292+(-0.238068--0.250155))+0-183.1--0.280143000000011</f>
        <v>372.42931000000004</v>
      </c>
      <c r="AC271" s="3">
        <f>560+(208.6-238.6)+(-1.428+(-0.53193--0.60843))+0-168.6--0.429929999999976</f>
        <v>360.47842999999995</v>
      </c>
      <c r="AD271">
        <v>371.29999999999995</v>
      </c>
      <c r="AE271" s="3">
        <f>559+(187.3-183.5)+(0+(0-0))+0-191.5-0</f>
        <v>371.29999999999995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559+(195.3-236.3)+(0+(0-0))+0-180.7-0</f>
        <v>337.3</v>
      </c>
      <c r="G272" s="3">
        <f>454+(220.4-177.6)+(-0.92616+(-0.449616--0.362304))+0-174--0.354959999999992</f>
        <v>322.14148800000004</v>
      </c>
      <c r="H272" s="3">
        <f>410+(203.9-142.5)+(-1.0455+(-0.519945--0.363375))+0-173.7--0.442934999999975</f>
        <v>296.94086499999997</v>
      </c>
      <c r="I272" s="3">
        <f>412+(199.2-141.5)+(0.63036+(0.304776-0.216495))+0-176.8-0.27050400000001</f>
        <v>293.34813699999995</v>
      </c>
      <c r="J272" s="3">
        <f>420+(204.4-130.2)+(0+(0-0))+0-186.1-0</f>
        <v>308.10000000000002</v>
      </c>
      <c r="K272" s="3">
        <f>408+(164.8-76)+(0.62424+(0.252144-0.11628))+0-181.4-0.277542000000011</f>
        <v>315.88256200000006</v>
      </c>
      <c r="L272" s="3">
        <f>415+(180.4-58.1)+(-0.21165+(-0.092004--0.029631))+0-178.3--0.0909329999999819</f>
        <v>358.81690999999989</v>
      </c>
      <c r="M272" s="3">
        <f>417+(189.7-39.5)+(0.21267+(0.096747-0.020145))+0-180.9-0.0922589999999816</f>
        <v>386.49701300000009</v>
      </c>
      <c r="N272" s="3">
        <f>413+(228.6-55.9)+(-0.21063+(-0.116586--0.028509))+0-173.8--0.0886379999999824</f>
        <v>411.689931</v>
      </c>
      <c r="O272" s="3">
        <f>410+(328.1-141.8)+(-0.6273+(-0.501993--0.216954))+0-172.2--0.26346600000001</f>
        <v>423.45112699999999</v>
      </c>
      <c r="P272" s="3">
        <f>466+(337-167.2)+(-0.71298+(-0.51561--0.255816))+0-176.6--0.27019800000001</f>
        <v>458.49742399999997</v>
      </c>
      <c r="Q272" s="3">
        <f>557+(324-247.3)+(-0.85221+(-0.49572--0.378369))+0-175--0.26775000000001</f>
        <v>457.99818900000008</v>
      </c>
      <c r="R272" s="3">
        <f>565+(332-266.9)+(-0.86445+(-0.50796--0.408357))+0-174.8--0.26744400000001</f>
        <v>454.60339099999999</v>
      </c>
      <c r="S272" s="3">
        <f>561+(345.4-283.4)+(-0.57222+(-0.352308--0.289068))+0-177.5--0.181050000000028</f>
        <v>445.04559000000006</v>
      </c>
      <c r="T272" s="3">
        <f>562+(316.1-288.6)+(-1.14648+(-0.644844--0.588744))+0-161.9--0.330275999999993</f>
        <v>426.72769599999998</v>
      </c>
      <c r="U272" s="3">
        <f>557+(333.7-303)+(-0.28407+(-0.170187--0.15453))+0-171.8--0.0876179999999826</f>
        <v>415.68789100000004</v>
      </c>
      <c r="V272" s="3">
        <f>564+(308.2-250)+(-0.28764+(-0.157182--0.1275))+0-169.8--0.0865979999999828</f>
        <v>452.16927600000002</v>
      </c>
      <c r="W272" s="3">
        <f>557+(237.8-137.1)+(-0.28407+(-0.121278--0.069921))+0-184.5--0.0940949999999813</f>
        <v>472.95866800000005</v>
      </c>
      <c r="X272" s="3">
        <f>566+(201.6-113.4)+(-1.15464+(-0.411264--0.231336))+0-183.7--0.374747999999992</f>
        <v>469.54018000000008</v>
      </c>
      <c r="Y272" s="3">
        <f>569+(212.2-131.8)+(-1.45095+(-0.54111--0.33609))+0-184.1--0.469454999999973</f>
        <v>464.11348499999991</v>
      </c>
      <c r="Z272" s="3">
        <f>565+(210.2-140.5)+(-1.44075+(-0.53601--0.358275))+0-191.1--0.487304999999972</f>
        <v>442.46882000000005</v>
      </c>
      <c r="AA272" s="3">
        <f>565+(230.3-167.7)+(-0.86445+(-0.352359--0.256581))+0-195--0.298350000000011</f>
        <v>431.93812200000002</v>
      </c>
      <c r="AB272" s="3">
        <f>564+(302.9-237.8)+(-1.4382+(-0.772395--0.60639))+0-210.4--0.536519999999969</f>
        <v>417.63231499999995</v>
      </c>
      <c r="AC272" s="3">
        <f>564+(355.6-337.7)+(-1.4382+(-0.90678--0.861135))+0-188.9--0.481694999999973</f>
        <v>391.99785000000008</v>
      </c>
      <c r="AD272">
        <v>459.29999999999995</v>
      </c>
      <c r="AE272" s="3">
        <f>559+(220.3-127.4)+(0+(0-0))+0-192.6-0</f>
        <v>459.29999999999995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556+(354-354.4)+(0+(0-0))+0-185.7-0</f>
        <v>369.90000000000003</v>
      </c>
      <c r="G273" s="3">
        <f>534+(335.3-313.5)+(0+(0-0))+0-195.8-0</f>
        <v>359.99999999999994</v>
      </c>
      <c r="H273" s="3">
        <f>476+(332.4-259.8)+(0+(0-0))+0-198.1-0</f>
        <v>350.49999999999989</v>
      </c>
      <c r="I273" s="3">
        <f>479+(299.2-228)+(0+(0-0))+0-201.8-0</f>
        <v>348.40000000000003</v>
      </c>
      <c r="J273" s="3">
        <f>472+(351.3-284.4)+(0+(0-0))+0-189.8-0</f>
        <v>349.10000000000008</v>
      </c>
      <c r="K273" s="3">
        <f>472+(344-275.6)+(0+(0-0))+0-195.4-0</f>
        <v>345</v>
      </c>
      <c r="L273" s="3">
        <f>479+(282.8-205.1)+(0+(0-0))+0-190.1-0</f>
        <v>366.6</v>
      </c>
      <c r="M273" s="3">
        <f>474+(289.1-177.8)+(0+(0-0))+0-197-0</f>
        <v>388.29999999999995</v>
      </c>
      <c r="N273" s="3">
        <f>472+(327.2-213.2)+(0+(0-0))+0-187.5-0</f>
        <v>398.5</v>
      </c>
      <c r="O273" s="3">
        <f>474+(340.2-225.5)+(-0.48348+(-0.347004--0.23001))+0-169.1--0.172482000000027</f>
        <v>419.17200800000006</v>
      </c>
      <c r="P273" s="3">
        <f>472+(334.5-204.5)+(-0.72216+(-0.511785--0.312885))+0-175.3--0.26820900000001</f>
        <v>426.04714899999999</v>
      </c>
      <c r="Q273" s="3">
        <f>477+(347.2-201.9)+(-0.72981+(-0.531216--0.308907))+0-186.5--0.285345000000011</f>
        <v>435.13322599999992</v>
      </c>
      <c r="R273" s="3">
        <f>472+(350.3-224.2)+(-0.96288+(-0.714612--0.457368))+0-173.6--0.354143999999992</f>
        <v>423.63401999999996</v>
      </c>
      <c r="S273" s="3">
        <f>473+(367-237)+(-1.20615+(-0.93585--0.60435))+0-182.9--0.466394999999973</f>
        <v>419.02874500000001</v>
      </c>
      <c r="T273" s="3">
        <f>474+(382.6-278.2)+(0+(0-0))+0-189.1-0</f>
        <v>389.30000000000007</v>
      </c>
      <c r="U273" s="3">
        <f>471+(370-302.2)+(-1.20105+(-0.9435--0.77061))+0-165.2--0.421259999999976</f>
        <v>372.64731999999998</v>
      </c>
      <c r="V273" s="3">
        <f>496+(348.2-245.8)+(-0.25296+(-0.177582--0.125358))+0-186.8--0.0952679999999811</f>
        <v>411.39008399999989</v>
      </c>
      <c r="W273" s="3">
        <f>533+(261.3-135)+(0.27183+(0.133263-0.06885))+0-204.4-0.104243999999979</f>
        <v>455.13199899999995</v>
      </c>
      <c r="X273" s="3">
        <f>531+(256.1-135.5)+(-0.54162+(-0.261222--0.13821))+0-206.4--0.210528000000033</f>
        <v>444.74589600000007</v>
      </c>
      <c r="Y273" s="3">
        <f>533+(314.8-213.8)+(-0.54366+(-0.321096--0.218076))+0-194.7--0.198594000000031</f>
        <v>438.85191400000008</v>
      </c>
      <c r="Z273" s="3">
        <f>532+(368.4-258.7)+(-1.08528+(-0.751536--0.527748))+0-214.6--0.437783999999991</f>
        <v>426.22871599999996</v>
      </c>
      <c r="AA273" s="3">
        <f>525+(344.1-245.4)+(-1.071+(-0.701964--0.500616))+0-203.4--0.414935999999991</f>
        <v>419.44258800000011</v>
      </c>
      <c r="AB273" s="3">
        <f>537+(348.8-272.9)+(-0.82161+(-0.533664--0.417537))+0-203.2--0.310896000000012</f>
        <v>409.07315900000015</v>
      </c>
      <c r="AC273" s="3">
        <f>534+(365.7-305.6)+(-1.08936+(-0.746028--0.623424))+0-204.2--0.416567999999991</f>
        <v>389.10460399999994</v>
      </c>
      <c r="AD273">
        <v>445.30000000000007</v>
      </c>
      <c r="AE273" s="3">
        <f>541+(231.7-135.4)+(0+(0-0))+0-192-0</f>
        <v>445.29999999999995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535.7+(377.2-359.6)+(-0.819621+(-0.577116--0.550188))+0-202.3--0.309519000000012</f>
        <v>350.46296999999998</v>
      </c>
      <c r="G274" s="3">
        <f>519.1+(375-329.4)+(-1.323705+(-0.95625--0.83997))+0-196.7--0.501584999999971</f>
        <v>367.06160000000006</v>
      </c>
      <c r="H274" s="3">
        <f>495.9+(347.3-311.4)+(-0.252909+(-0.177123--0.158814))+0-185.1--0.0944009999999812</f>
        <v>346.52318299999996</v>
      </c>
      <c r="I274" s="3">
        <f>491.8+(352.1-299.4)+(0+(0-0))+0-200.9-0</f>
        <v>343.6</v>
      </c>
      <c r="J274" s="3">
        <f>497.1+(345-293.6)+(0.253521+(0.17595-0.149736))+0-201.6-0.10281599999998</f>
        <v>347.07691899999998</v>
      </c>
      <c r="K274" s="3">
        <f>497.9+(310.1-266.6)+(1.015716+(0.632604-0.543864))+0-192.9-0.393515999999992</f>
        <v>349.21094000000005</v>
      </c>
      <c r="L274" s="3">
        <f>569.5+(316.8-289.3)+(0.871335+(0.484704-0.442629))+0-198.2-0.303246000000011</f>
        <v>399.41016400000001</v>
      </c>
      <c r="M274" s="3">
        <f>589.9+(316.9-313.8)+(0+(0-0))+0-194.8-0</f>
        <v>398.2</v>
      </c>
      <c r="N274" s="3">
        <f>578.3+(380.4-348.9)+(-0.294933+(-0.194004--0.177939))+0-187.9--0.0958289999999809</f>
        <v>421.68483099999992</v>
      </c>
      <c r="O274" s="3">
        <f>565.1+(332.8-271.2)+(-0.576402+(-0.339456--0.276624))+0-192.5--0.196350000000031</f>
        <v>433.75711600000011</v>
      </c>
      <c r="P274" s="3">
        <f>564.9+(323.1-253.8)+(-0.576198+(-0.329562--0.258876))+0-194.8--0.198696000000031</f>
        <v>438.95181200000007</v>
      </c>
      <c r="Q274" s="3">
        <f>563.2+(304.6-235)+(-1.148928+(-0.621384--0.4794))+0-196.4--0.400655999999991</f>
        <v>435.50974400000001</v>
      </c>
      <c r="R274" s="3">
        <f>566.5+(314.9-240.2)+(-0.866745+(-0.481797--0.367506))+0-198--0.302940000000011</f>
        <v>442.52190400000006</v>
      </c>
      <c r="S274" s="3">
        <f>567.7+(279.5-226.7)+(-0.579054+(-0.28509--0.231234))+0-186.2--0.18992400000003</f>
        <v>433.85701399999999</v>
      </c>
      <c r="T274" s="3">
        <f>562.1+(289.2-250.3)+(-0.573342+(-0.294984--0.255306))+0-183.1--0.186762000000029</f>
        <v>417.47374200000002</v>
      </c>
      <c r="U274" s="3">
        <f>561.8+(281.3-236.5)+(-0.286518+(-0.143463--0.120615))+0-195--0.0994499999999802</f>
        <v>411.39008399999994</v>
      </c>
      <c r="V274" s="3">
        <f>560.5+(251.8-206)+(-0.285855+(-0.128418--0.10506))+0-177.8--0.090677999999982</f>
        <v>428.28146499999991</v>
      </c>
      <c r="W274" s="3">
        <f>562.6+(198-81.9)+(0.573852+(0.20196-0.083538))+0-200.4-0.204408000000032</f>
        <v>478.78786600000001</v>
      </c>
      <c r="X274" s="3">
        <f>561.7+(211.4-99.6)+(0+(0-0))+0-201.2-0</f>
        <v>472.3</v>
      </c>
      <c r="Y274" s="3">
        <f>555.4+(248.6-131.2)+(-1.699524+(-0.760716--0.401472))+0-213.4--0.653004000000025</f>
        <v>457.994236</v>
      </c>
      <c r="Z274" s="3">
        <f>582.2+(268.9-188.5)+(0+(0-0))+0-214.1-0</f>
        <v>448.5</v>
      </c>
      <c r="AA274" s="3">
        <f>548.2+(299.6-191.8)+(-0.838746+(-0.458388--0.293454))+0-208.6--0.319158000000012</f>
        <v>446.71547799999996</v>
      </c>
      <c r="AB274" s="3">
        <f>485.8+(367.5-231.4)+(-0.991032+(-0.7497--0.472056))+0-198.6--0.405143999999991</f>
        <v>422.43646799999993</v>
      </c>
      <c r="AC274" s="3">
        <f>484.1+(393.6-274.3)+(-1.234455+(-1.00368--0.699465))+0-193--0.492149999999972</f>
        <v>409.35348000000005</v>
      </c>
      <c r="AD274">
        <v>446.2</v>
      </c>
      <c r="AE274" s="3">
        <f>561+(205.3-101.4)+(0+(0-0))+0-218.7-0</f>
        <v>446.2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484.9+(414.8-321.6)+(-0.989196+(-0.846192--0.656064))+0-195.8--0.399431999999991</f>
        <v>381.52010799999994</v>
      </c>
      <c r="G275" s="3">
        <f>486.4+(381.7-304.4)+(-0.496128+(-0.389334--0.310488))+0-195.2--0.199104000000031</f>
        <v>368.12413000000009</v>
      </c>
      <c r="H275" s="3">
        <f>439.5+(297.8-180.8)+(-0.224145+(-0.151878--0.092208))+0-198.5--0.10123499999998</f>
        <v>357.81741999999997</v>
      </c>
      <c r="I275" s="3">
        <f>433.9+(317.2-203.5)+(0.221289+(0.161772-0.103785))+0-194.6-0.0992459999999803</f>
        <v>353.18002999999987</v>
      </c>
      <c r="J275" s="3">
        <f>492.1+(264.6-211.9)+(-1.505826+(-0.809676--0.648414))+0-186--0.569160000000022</f>
        <v>357.70207200000004</v>
      </c>
      <c r="K275" s="3">
        <f>542.7+(201.2-197.4)+(1.107108+(0.410448-0.402696))+0-188.9-0.385355999999992</f>
        <v>358.32950400000004</v>
      </c>
      <c r="L275" s="3">
        <f>547.7+(238.8-234.4)+(0.558654+(0.243576-0.239088))+0-178-0.181560000000028</f>
        <v>374.48158199999995</v>
      </c>
      <c r="M275" s="3">
        <f>542.3+(319.3-292.4)+(-1.382865+(-0.814215--0.74562))+0-170.9--0.435794999999975</f>
        <v>397.28433500000006</v>
      </c>
      <c r="N275" s="3">
        <f>553.8+(318.3-244)+(0.282438+(0.162333-0.12444))+0-201.9-0.10296899999998</f>
        <v>426.41736199999997</v>
      </c>
      <c r="O275" s="3">
        <f>572+(345.5-293.3)+(-0.58344+(-0.35241--0.299166))+0-189.1--0.19288200000003</f>
        <v>434.65619800000013</v>
      </c>
      <c r="P275" s="3">
        <f>572.6+(304.9-244)+(0.292026+(0.155499-0.12444))+0-191-0.0974099999999806</f>
        <v>442.72567500000002</v>
      </c>
      <c r="Q275" s="3">
        <f>564.9+(317.5-238.9)+(-0.288099+(-0.161925--0.121839))+0-191.4--0.0976139999999806</f>
        <v>451.86942900000003</v>
      </c>
      <c r="R275" s="3">
        <f>560.4+(282.1-227.3)+(-1.42902+(-0.719355--0.579615))+0-177--0.451349999999974</f>
        <v>437.08259000000004</v>
      </c>
      <c r="S275" s="3">
        <f>561.4+(253-194.8)+(-0.858942+(-0.38709--0.298044))+0-191.8--0.293454000000011</f>
        <v>427.14546599999989</v>
      </c>
      <c r="T275" s="3">
        <f>561.4+(279.4-237.9)+(-0.286314+(-0.142494--0.121329))+0-192--0.0979199999999805</f>
        <v>410.69044100000002</v>
      </c>
      <c r="U275" s="3">
        <f>566.8+(277.6-252.6)+(1.156272+(0.566304-0.515304))+0-192.9-0.393515999999992</f>
        <v>399.71375599999999</v>
      </c>
      <c r="V275" s="3">
        <f>563.5+(291.3-256.5)+(-0.57477+(-0.297126--0.26163))+0-170--0.173400000000027</f>
        <v>427.86313399999995</v>
      </c>
      <c r="W275" s="3">
        <f>570+(228.7-151.6)+(0.2907+(0.116637-0.077316))+0-177.8-0.090677999999982</f>
        <v>469.53934300000003</v>
      </c>
      <c r="X275" s="3">
        <f>565.3+(247.8-164.3)+(-1.153212+(-0.505512--0.335172))+0-182.7--0.372707999999992</f>
        <v>465.149156</v>
      </c>
      <c r="Y275" s="3">
        <f>565.1+(251.6-176.7)+(-1.152804+(-0.513264--0.360468))+0-188.5--0.384539999999992</f>
        <v>450.57893999999999</v>
      </c>
      <c r="Z275" s="3">
        <f>566.1+(243-158.6)+(-0.866133+(-0.37179--0.242658))+0-205.8--0.314874000000012</f>
        <v>444.019609</v>
      </c>
      <c r="AA275" s="3">
        <f>566.3+(306-244.3)+(-0.866439+(-0.46818--0.373779))+0-194.5--0.297585000000011</f>
        <v>432.83674500000006</v>
      </c>
      <c r="AB275" s="3">
        <f>566.2+(280-225)+(-0.866286+(-0.4284--0.34425))+0-200.8--0.307224000000012</f>
        <v>419.75678800000009</v>
      </c>
      <c r="AC275" s="3">
        <f>562.6+(299-295.6)+(-1.43463+(-0.76245--0.75378))+0-174.4--0.444719999999975</f>
        <v>390.60141999999996</v>
      </c>
      <c r="AD275">
        <v>457.09999999999997</v>
      </c>
      <c r="AE275" s="3">
        <f>573+(228.3-149)+(0+(0-0))+0-195.2-0</f>
        <v>457.09999999999997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568.8+(333.1-344.6)+(-0.870264+(-0.509643--0.527238))+0-182.8--0.279684000000011</f>
        <v>373.92701499999998</v>
      </c>
      <c r="G276" s="3">
        <f>570.6+(370.9-381.6)+(-0.582012+(-0.378318--0.389232))+0-191.6--0.195432000000031</f>
        <v>367.92433399999999</v>
      </c>
      <c r="H276" s="3">
        <f>529.6+(327.3-310.7)+(-0.540192+(-0.333846--0.316914))+0-184.4--0.188088000000029</f>
        <v>361.43096400000007</v>
      </c>
      <c r="I276" s="3">
        <f>483.4+(335.7-278.3)+(0.246534+(0.171207-0.141933))+0-185.6-0.0946559999999812</f>
        <v>355.38115199999993</v>
      </c>
      <c r="J276" s="3">
        <f>482.6+(303.4-245.3)+(0.246126+(0.154734-0.125103))+0-188.6-0.0961859999999809</f>
        <v>352.27957100000003</v>
      </c>
      <c r="K276" s="3">
        <f>487.5+(294.3-243.6)+(0.248625+(0.150093-0.124236))+0-181.4-0.0925139999999816</f>
        <v>356.98196800000011</v>
      </c>
      <c r="L276" s="3">
        <f>483.7+(241.6-162.9)+(0.246687+(0.123216-0.083079))+0-193.4-0.0986339999999804</f>
        <v>369.18819000000002</v>
      </c>
      <c r="M276" s="3">
        <f>480.8+(249.8-166.8)+(-0.490416+(-0.254796--0.170136))+0-171.9--0.175338000000027</f>
        <v>391.50026200000002</v>
      </c>
      <c r="N276" s="3">
        <f>488.8+(260.8-153.5)+(0.747864+(0.399024-0.234855))+0-180.7-0.27647100000001</f>
        <v>416.03556199999997</v>
      </c>
      <c r="O276" s="3">
        <f>481.5+(293.6-164.4)+(-1.227825+(-0.74868--0.41922))+0-193.9--0.494444999999972</f>
        <v>415.73716000000007</v>
      </c>
      <c r="P276" s="3">
        <f>484.6+(323-194.6)+(-0.247146+(-0.16473--0.099246))+0-180.5--0.0920549999999817</f>
        <v>432.27942499999995</v>
      </c>
      <c r="Q276" s="3">
        <f>478.5+(303.7-161)+(-0.732105+(-0.464661--0.24633))+0-184--0.281520000000011</f>
        <v>436.53108400000008</v>
      </c>
      <c r="R276" s="3">
        <f>473.5+(303.2-166.1)+(-0.48297+(-0.309264--0.169422))+0-173.3--0.176766000000028</f>
        <v>436.8539540000001</v>
      </c>
      <c r="S276" s="3">
        <f>472.4+(286.3-151.1)+(-0.481848+(-0.292026--0.154122))+0-184.8--0.188496000000029</f>
        <v>422.36874400000011</v>
      </c>
      <c r="T276" s="3">
        <f>471.3+(280.5-168)+(-0.721089+(-0.429165--0.25704))+0-190--0.290700000000011</f>
        <v>393.19748600000003</v>
      </c>
      <c r="U276" s="3">
        <f>472+(256.5-149.9)+(-1.2036+(-0.654075--0.382245))+0-190--0.484499999999972</f>
        <v>387.60907000000003</v>
      </c>
      <c r="V276" s="3">
        <f>479+(257.8-132.3)+(0.48858+(0.262956-0.134946))+0-191.8-0.195636000000031</f>
        <v>413.12095399999993</v>
      </c>
      <c r="W276" s="3">
        <f>497.3+(255.2-92.8)+(-0.760869+(-0.390456--0.141984))+0-204--0.312120000000012</f>
        <v>455.00277900000009</v>
      </c>
      <c r="X276" s="3">
        <f>540.8+(249-146.1)+(-1.103232+(-0.50796--0.298044))+0-191.8--0.391271999999992</f>
        <v>450.97812399999998</v>
      </c>
      <c r="Y276" s="3">
        <f>547.7+(269.4-203.3)+(0.558654+(0.274788-0.207366))+0-177.2-0.180744000000028</f>
        <v>437.04533199999997</v>
      </c>
      <c r="Z276" s="3">
        <f>540.6+(263.8-183.4)+(-1.102824+(-0.538152--0.374136))+0-203.7--0.415547999999991</f>
        <v>416.44870800000001</v>
      </c>
      <c r="AA276" s="3">
        <f>540.8+(230.5-161.4)+(-1.103232+(-0.47022--0.329256))+0-202.6--0.413303999999991</f>
        <v>406.46910799999995</v>
      </c>
      <c r="AB276" s="3">
        <f>525+(257.9-197.1)+(0.26775+(0.131529-0.100521))+0-190.7-0.0972569999999807</f>
        <v>395.30150100000003</v>
      </c>
      <c r="AC276" s="3">
        <f>478.4+(210.8-141.7)+(-0.243984+(-0.107508--0.072267))+0-171.4--0.0874139999999826</f>
        <v>375.90818899999999</v>
      </c>
      <c r="AD276">
        <v>450</v>
      </c>
      <c r="AE276" s="3">
        <f>541+(232-110.5)+(0+(0-0))+0-212.5-0</f>
        <v>450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477.6+(127.1-62.9)+(-0.243576+(-0.064821--0.032079))+0-189.9--0.0968489999999807</f>
        <v>351.72053099999999</v>
      </c>
      <c r="G277" s="3">
        <f>476.6+(134.2-94.7)+(-0.243066+(-0.068442--0.048297))+0-173--0.0882299999999824</f>
        <v>342.92501900000008</v>
      </c>
      <c r="H277" s="3">
        <f>479.1+(107.6-86.9)+(0+(0-0))+0-169-0</f>
        <v>330.8</v>
      </c>
      <c r="I277" s="3">
        <f>478.7+(108.1-88)+(-0.244137+(-0.055131--0.04488))+0-173.4--0.0884339999999824</f>
        <v>325.23404599999992</v>
      </c>
      <c r="J277" s="3">
        <f>479.3+(119.2-95.3)+(0.244443+(0.060792-0.048603))+0-180.3-0.0919529999999817</f>
        <v>323.06467900000007</v>
      </c>
      <c r="K277" s="3">
        <f>477.8+(107.8-63.7)+(0+(0-0))+0-192.4-0</f>
        <v>329.5</v>
      </c>
      <c r="L277" s="3">
        <f>472.4+(127.3-81.9)+(0.240924+(0.064923-0.041769))+0-183.3-0.0934829999999814</f>
        <v>334.67059499999999</v>
      </c>
      <c r="M277" s="3">
        <f>446.6+(193.7-115.5)+(0+(0-0))+0-166-0</f>
        <v>358.79999999999995</v>
      </c>
      <c r="N277" s="3">
        <f>433.7+(180.7-80.8)+(-0.442374+(-0.184314--0.082416))+0-143.3--0.146166000000023</f>
        <v>389.90189400000008</v>
      </c>
      <c r="O277" s="3">
        <f>439.3+(149.1-73.6)+(0.224043+(0.076041-0.037536))+0-101.9-0.0519689999999897</f>
        <v>413.11057900000003</v>
      </c>
      <c r="P277" s="3">
        <f>431.2+(158.2-62.5)+(0.659736+(0.242046-0.095625))+0-101.3-0.154989000000006</f>
        <v>426.25116799999995</v>
      </c>
      <c r="Q277" s="3">
        <f>326.8+(247.6-48.6)+(-0.166668+(-0.126276--0.024786))+0-104.7--0.0533969999999894</f>
        <v>420.88523899999996</v>
      </c>
      <c r="R277" s="3">
        <f>285.9+(254.7-43.5)+(-0.729045+(-0.649485--0.110925))+0-83.8--0.213689999999988</f>
        <v>412.24608499999994</v>
      </c>
      <c r="S277" s="3">
        <f>334.3+(247.3-46.5)+(-0.681972+(-0.504492--0.09486))+0-170.4--0.347615999999993</f>
        <v>363.9560120000001</v>
      </c>
      <c r="T277" s="3">
        <f>416.6+(165-57.5)+(-0.212466+(-0.08415--0.029325))+0-186.8--0.0952679999999811</f>
        <v>337.12797699999999</v>
      </c>
      <c r="U277" s="3">
        <f>413.8+(171.5-53.5)+(-1.05519+(-0.437325--0.136425))+0-195.2--0.497759999999972</f>
        <v>335.74166999999994</v>
      </c>
      <c r="V277" s="3">
        <f>418.6+(167.8-44)+(0.640458+(0.256734-0.06732))+0-194.4-0.297432000000011</f>
        <v>348.53244000000012</v>
      </c>
      <c r="W277" s="3">
        <f>419.1+(275.3-80.2)+(0+(0-0))+0-205.7-0</f>
        <v>408.50000000000006</v>
      </c>
      <c r="X277" s="3">
        <f>421.3+(249.2-81.4)+(-1.074315+(-0.63546--0.20757))+0-176.8--0.450839999999974</f>
        <v>411.24863499999998</v>
      </c>
      <c r="Y277" s="3">
        <f>419.2+(244.4-79.3)+(-1.06896+(-0.62322--0.202215))+0-183.8--0.468689999999973</f>
        <v>399.47872499999994</v>
      </c>
      <c r="Z277" s="3">
        <f>297.2+(302.3-25)+(-0.454716+(-0.462519--0.03825))+0-188.9--0.289017000000011</f>
        <v>385.01003200000008</v>
      </c>
      <c r="AA277" s="3">
        <f>296.6+(304.3-24)+(-0.151266+(-0.155193--0.01224))+0-193.4--0.0986339999999804</f>
        <v>383.30441500000012</v>
      </c>
      <c r="AB277" s="3">
        <f>294.7+(286.6-30)+(-0.450891+(-0.438498--0.0459))+0-194.9--0.298197000000011</f>
        <v>355.85470800000002</v>
      </c>
      <c r="AC277" s="3">
        <f>295.7+(274.9-38)+(-0.301614+(-0.280398--0.03876))+0-202.6--0.206652000000032</f>
        <v>329.66339999999985</v>
      </c>
      <c r="AD277">
        <v>462.79999999999995</v>
      </c>
      <c r="AE277" s="3">
        <f>418+(362.3-97.6)+(0+(0-0))+0-219.9-0</f>
        <v>462.80000000000007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297.4+(244.7-32)+(0+(0-0))+0-184.6-0</f>
        <v>325.5</v>
      </c>
      <c r="G278" s="3">
        <f>292.8+(246.3-44.7)+(-0.74664+(-0.628065--0.113985))+0-174--0.443699999999975</f>
        <v>319.58298000000002</v>
      </c>
      <c r="H278" s="3">
        <f>294.7+(235.5-28.6)+(-0.601188+(-0.48042--0.058344))+0-186--0.379439999999992</f>
        <v>314.95617600000003</v>
      </c>
      <c r="I278" s="3">
        <f>298.5+(231.7-25)+(0.152235+(0.118167-0.01275))+0-195.2-0.0995519999999802</f>
        <v>310.15810000000005</v>
      </c>
      <c r="J278" s="3">
        <f>298.9+(215.6-26.8)+(0.152439+(0.109956-0.013668))+0-182.6-0.0931259999999815</f>
        <v>305.25560099999996</v>
      </c>
      <c r="K278" s="3">
        <f>297.4+(233.5-42.1)+(0+(0-0))+0-189.8-0</f>
        <v>298.99999999999994</v>
      </c>
      <c r="L278" s="3">
        <f>296.9+(223.3-53)+(-0.151419+(-0.113883--0.02703))+0-175.8--0.0896579999999822</f>
        <v>291.25138599999997</v>
      </c>
      <c r="M278" s="3">
        <f>299.1+(234.4-68.7)+(0.305082+(0.239088-0.070074))+0-173.2-0.176664000000028</f>
        <v>291.89743199999998</v>
      </c>
      <c r="N278" s="3">
        <f>296.5+(220.9-57.9)+(0.30243+(0.225318-0.059058))+0-162.8-0.166056000000026</f>
        <v>297.00263399999994</v>
      </c>
      <c r="O278" s="3">
        <f>295.6+(346.1-171.6)+(0+(0-0))+0-170.9-0</f>
        <v>299.20000000000005</v>
      </c>
      <c r="P278" s="3">
        <f>294+(416.7-223.3)+(-0.29988+(-0.425034--0.227766))+0-174.1--0.177582000000028</f>
        <v>312.98043400000006</v>
      </c>
      <c r="Q278" s="3">
        <f>297.1+(445.2-251.5)+(0.303042+(0.454104-0.25653))+0-180.7-0.184314000000029</f>
        <v>310.41630199999997</v>
      </c>
      <c r="R278" s="3">
        <f>293+(434.2-234.9)+(-0.44829+(-0.664326--0.359397))+0-178--0.27234000000001</f>
        <v>313.81912099999994</v>
      </c>
      <c r="S278" s="3">
        <f>288.6+(406.6-221.9)+(-0.73593+(-1.03683--0.565845))+0-171.9--0.438344999999975</f>
        <v>300.63143000000008</v>
      </c>
      <c r="T278" s="3">
        <f>290.7+(362.1-196.6)+(-0.444771+(-0.554013--0.300798))+0-165.1--0.25260300000001</f>
        <v>290.65461700000003</v>
      </c>
      <c r="U278" s="3">
        <f>288.5+(298-137.1)+(-0.58854+(-0.60792--0.279684))+0-163.7--0.333947999999993</f>
        <v>285.11717199999998</v>
      </c>
      <c r="V278" s="3">
        <f>292.2+(267.9-77)+(-0.149022+(-0.136629--0.03927))+0-167.5--0.085424999999983</f>
        <v>315.43904399999997</v>
      </c>
      <c r="W278" s="3">
        <f>291.2+(357.6-106.8)+(0.148512+(0.182376-0.054468))+0-185.1-0.0944009999999812</f>
        <v>357.082019</v>
      </c>
      <c r="X278" s="3">
        <f>289.7+(310.9-65.1)+(-0.590988+(-0.634236--0.132804))+0-172.2--0.351287999999992</f>
        <v>362.55886800000007</v>
      </c>
      <c r="Y278" s="3">
        <f>294.9+(291.1-51.8)+(0.451197+(0.445383-0.079254))+0-173.5-0.26545500000001</f>
        <v>361.25187099999999</v>
      </c>
      <c r="Z278" s="3">
        <f>292.2+(285.6-39.1)+(-0.149022+(-0.145656--0.019941))+0-174.4--0.0889439999999823</f>
        <v>364.11420700000008</v>
      </c>
      <c r="AA278" s="3">
        <f>290.5+(303-41.8)+(-0.444465+(-0.46359--0.063954))+0-194.7--0.297891000000011</f>
        <v>356.45379000000003</v>
      </c>
      <c r="AB278" s="3">
        <f>290.9+(270.5-30.5)+(-0.296718+(-0.27591--0.03111))+0-185.3--0.18900600000003</f>
        <v>345.24748799999998</v>
      </c>
      <c r="AC278" s="3">
        <f>289.6+(251.6-25)+(-0.443088+(-0.384948--0.03825))+0-191.9--0.293607000000011</f>
        <v>323.80382100000003</v>
      </c>
      <c r="AD278">
        <v>413.3</v>
      </c>
      <c r="AE278" s="3">
        <f>290+(384.9-65.4)+(0+(0-0))+0-196.2-0</f>
        <v>413.3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287.8+(237.3-28)+(-0.73389+(-0.605115--0.0714))+0-193.5--0.493424999999972</f>
        <v>302.82581999999996</v>
      </c>
      <c r="G279" s="3">
        <f>289.6+(214-27)+(-0.443088+(-0.32742--0.04131))+0-175.9--0.26912700000001</f>
        <v>300.23992900000007</v>
      </c>
      <c r="H279" s="3">
        <f>288.1+(222.5-27.5)+(-0.734655+(-0.567375--0.070125))+0-185.6--0.473279999999973</f>
        <v>296.74137500000001</v>
      </c>
      <c r="I279" s="3">
        <f>292.1+(239.9-39.9)+(-0.297942+(-0.244698--0.040698))+0-192.4--0.196248000000031</f>
        <v>299.39430600000009</v>
      </c>
      <c r="J279" s="3">
        <f>243.1+(288.4-43.8)+(0+(0-0))+0-190.9-0</f>
        <v>296.79999999999995</v>
      </c>
      <c r="K279" s="3">
        <f>228+(285.6-18)+(-0.23256+(-0.291312--0.01836))+0-193.7--0.197574000000031</f>
        <v>301.59206200000006</v>
      </c>
      <c r="L279" s="3">
        <f>225.2+(308.5-16)+(0.114852+(0.157335-0.00816))+0-193.5-0.0986849999999804</f>
        <v>324.36534200000011</v>
      </c>
      <c r="M279" s="3">
        <f>231.7+(329.6-18)+(0.236334+(0.336192-0.01836))+0-186.7-0.19043400000003</f>
        <v>356.96373199999994</v>
      </c>
      <c r="N279" s="3">
        <f>231.1+(346.6-24)+(0.117861+(0.176766-0.01224))+0-174.1-0.0887909999999823</f>
        <v>379.79359600000004</v>
      </c>
      <c r="O279" s="3">
        <f>287.5+(331-35.8)+(0.5865+(0.67524-0.073032))+0-188-0.383519999999992</f>
        <v>395.50518800000009</v>
      </c>
      <c r="P279" s="3">
        <f>286.6+(345-33.2)+(0.146166+(0.17595-0.016932))+0-187.8-0.0957779999999809</f>
        <v>410.80940600000014</v>
      </c>
      <c r="Q279" s="3">
        <f>325.3+(322.7-46.7)+(0.165903+(0.164577-0.023817))+0-179.8-0.0916979999999818</f>
        <v>421.71496499999989</v>
      </c>
      <c r="R279" s="3">
        <f>376.2+(277.6-52.2)+(-0.95931+(-0.70788--0.13311))+0-177.9--0.453644999999974</f>
        <v>422.61956500000002</v>
      </c>
      <c r="S279" s="3">
        <f>344+(278.7-41)+(0.17544+(0.142137-0.02091))+0-172.3-0.0878729999999825</f>
        <v>409.60879399999999</v>
      </c>
      <c r="T279" s="3">
        <f>289.2+(309.9-47.8)+(0.294984+(0.316098-0.048756))+0-161.8-0.165036000000026</f>
        <v>389.89728999999988</v>
      </c>
      <c r="U279" s="3">
        <f>289.1+(293.7-29.2)+(0+(0-0))+0-171.7-0</f>
        <v>381.90000000000003</v>
      </c>
      <c r="V279" s="3">
        <f>297.1+(316.1-45.3)+(-0.303042+(-0.322422--0.046206))+0-162.9--0.166158000000026</f>
        <v>404.58690000000018</v>
      </c>
      <c r="W279" s="3">
        <f>351.2+(387.3-112)+(0+(0-0))+0-169.2-0</f>
        <v>457.3</v>
      </c>
      <c r="X279" s="3">
        <f>400+(367.2-127.4)+(-0.408+(-0.374544--0.129948))+0-183.3--0.186966000000029</f>
        <v>456.03436999999997</v>
      </c>
      <c r="Y279" s="3">
        <f>398.4+(369.1-140.4)+(-0.812736+(-0.752964--0.286416))+0-178.1--0.363323999999992</f>
        <v>448.08404000000002</v>
      </c>
      <c r="Z279" s="3">
        <f>299.5+(392.6-66.4)+(-0.152745+(-0.200226--0.033864))+0-191.1--0.0974609999999806</f>
        <v>434.37835399999994</v>
      </c>
      <c r="AA279" s="3">
        <f>294.4+(351.9-46.2)+(-0.300288+(-0.358938--0.047124))+0-181.8--0.185436000000029</f>
        <v>417.87333399999989</v>
      </c>
      <c r="AB279" s="3">
        <f>317+(284.8-29)+(-0.16167+(-0.145248--0.01479))+0-181.3--0.0924629999999816</f>
        <v>391.3003349999999</v>
      </c>
      <c r="AC279" s="3">
        <f>331+(254.1-37)+(-0.16881+(-0.129591--0.01887))+0-174.5--0.0889949999999823</f>
        <v>373.40946399999996</v>
      </c>
      <c r="AD279">
        <v>510.7999999999999</v>
      </c>
      <c r="AE279" s="3">
        <f>399+(439.9-130.8)+(0+(0-0))+0-197.3-0</f>
        <v>510.7999999999999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246.4+(306.1-28)+(-0.251328+(-0.312222--0.02856))+0-176.1--0.179622000000028</f>
        <v>348.04463200000004</v>
      </c>
      <c r="G280" s="3">
        <f>239.8+(298.8-29)+(-0.122298+(-0.152388--0.01479))+0-170.8--0.0871079999999827</f>
        <v>338.62721199999999</v>
      </c>
      <c r="H280" s="3">
        <f>272.5+(275.1-30)+(-0.416925+(-0.420903--0.0459))+0-177.1--0.27096300000001</f>
        <v>339.97903500000001</v>
      </c>
      <c r="I280" s="3">
        <f>273.2+(269.6-29)+(-0.417996+(-0.412488--0.04437))+0-175.5--0.26851500000001</f>
        <v>337.78240099999999</v>
      </c>
      <c r="J280" s="3">
        <f>298.4+(238.9-31)+(0+(0-0))+0-174-0</f>
        <v>332.29999999999995</v>
      </c>
      <c r="K280" s="3">
        <f>322.2+(225.4-35.1)+(0+(0-0))+0-174.3-0</f>
        <v>338.2</v>
      </c>
      <c r="L280" s="3">
        <f>322.9+(253.3-43.1)+(0+(0-0))+0-179-0</f>
        <v>354.1</v>
      </c>
      <c r="M280" s="3">
        <f>327.7+(257.9-40.7)+(0.334254+(0.263058-0.041514))+0-168.2-0.171564000000027</f>
        <v>377.08423399999992</v>
      </c>
      <c r="N280" s="3">
        <f>419.4+(219.1-71.2)+(0.427788+(0.223482-0.072624))+0-171.2-0.174624000000027</f>
        <v>396.50402199999996</v>
      </c>
      <c r="O280" s="3">
        <f>521.8+(196.3-126)+(-0.266118+(-0.100113--0.06426))+0-181.6--0.0926159999999816</f>
        <v>410.29064499999987</v>
      </c>
      <c r="P280" s="3">
        <f>525.7+(143.6-87)+(0+(0-0))+0-161-0</f>
        <v>421.30000000000007</v>
      </c>
      <c r="Q280" s="3">
        <f>513.2+(210.3-135.2)+(-0.785196+(-0.321759--0.206856))+0-165.1--0.25260300000001</f>
        <v>422.55250400000011</v>
      </c>
      <c r="R280" s="3">
        <f>511+(157.8-66.2)+(-0.52122+(-0.160956--0.067524))+0-171.6--0.175032000000027</f>
        <v>430.56038000000007</v>
      </c>
      <c r="S280" s="3">
        <f>509.6+(149.9-91.5)+(-0.779688+(-0.229347--0.139995))+0-164.1--0.251073000000009</f>
        <v>403.28203299999996</v>
      </c>
      <c r="T280" s="3">
        <f>511+(123.3-70.1)+(0+(0-0))+0-178.3-0</f>
        <v>385.90000000000003</v>
      </c>
      <c r="U280" s="3">
        <f>512.5+(130.6-75.6)+(0.784125+(0.199818-0.115668))+0-173.9-0.26606700000001</f>
        <v>394.20220800000004</v>
      </c>
      <c r="V280" s="3">
        <f>515.8+(135.6-61)+(0.526116+(0.138312-0.06222))+0-179.7-0.183294000000029</f>
        <v>411.11891399999996</v>
      </c>
      <c r="W280" s="3">
        <f>529+(201.7-94.9)+(0.80937+(0.308601-0.145197))+0-175.4-0.26836200000001</f>
        <v>461.10441199999991</v>
      </c>
      <c r="X280" s="3">
        <f>532.6+(210.8-100.4)+(-0.543252+(-0.215016--0.102408))+0-180.8--0.184416000000029</f>
        <v>461.72855600000008</v>
      </c>
      <c r="Y280" s="3">
        <f>530.8+(199.5-90.7)+(-1.35354+(-0.508725--0.231285))+0-189.6--0.483479999999972</f>
        <v>448.85249999999985</v>
      </c>
      <c r="Z280" s="3">
        <f>536+(154.5-64.6)+(0.27336+(0.078795-0.032946))+0-184.3-0.0939929999999813</f>
        <v>441.82521600000001</v>
      </c>
      <c r="AA280" s="3">
        <f>532.1+(148.7-67.3)+(-0.814113+(-0.227511--0.102969))+0-183.7--0.281061000000011</f>
        <v>429.14240599999999</v>
      </c>
      <c r="AB280" s="3">
        <f>529.5+(130.2-74.5)+(-1.08018+(-0.265608--0.15198))+0-178.3--0.363731999999992</f>
        <v>406.06992400000001</v>
      </c>
      <c r="AC280" s="3">
        <f>534.8+(118.4-89.4)+(-1.090992+(-0.241536--0.182376))+0-180.1--0.367403999999992</f>
        <v>382.91725199999985</v>
      </c>
      <c r="AD280">
        <v>503.70000000000005</v>
      </c>
      <c r="AE280" s="3">
        <f>526+(265.1-107.4)+(0+(0-0))+0-180-0</f>
        <v>503.70000000000005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535.3+(174.9-165.1)+(-1.092012+(-0.356796--0.336804))+0-175--0.356999999999992</f>
        <v>369.34499599999992</v>
      </c>
      <c r="G281" s="3">
        <f>536.3+(224.3-218.8)+(-0.547026+(-0.228786--0.223176))+0-177.8--0.181356000000028</f>
        <v>363.62871999999999</v>
      </c>
      <c r="H281" s="3">
        <f>537+(226.4-229.3)+(-0.27387+(-0.115464--0.116943))+0-174.6--0.0890459999999823</f>
        <v>359.31665500000003</v>
      </c>
      <c r="I281" s="3">
        <f>539.1+(245.2-247.9)+(0.824823+(0.375156-0.379287))+0-177.4-0.27142200000001</f>
        <v>359.54926999999998</v>
      </c>
      <c r="J281" s="3">
        <f>537.1+(233.4-221)+(0+(0-0))+0-189.4-0</f>
        <v>360.1</v>
      </c>
      <c r="K281" s="3">
        <f>542.7+(186.9-187.1)+(1.660662+(0.571914-0.572526))+0-182.3-0.557838000000021</f>
        <v>361.30221199999994</v>
      </c>
      <c r="L281" s="3">
        <f>536.7+(138.5-120)+(0+(0-0))+0-181.9-0</f>
        <v>373.30000000000007</v>
      </c>
      <c r="M281" s="3">
        <f>540.1+(122.6-92.5)+(0.550902+(0.125052-0.09435))+0-179-0.182580000000029</f>
        <v>391.59902399999999</v>
      </c>
      <c r="N281" s="3">
        <f>538.3+(126.8-98.5)+(0+(0-0))+0-155.6-0</f>
        <v>410.99999999999989</v>
      </c>
      <c r="O281" s="3">
        <f>544.3+(141.3-106.5)+(0.555186+(0.144126-0.10863))+0-158.4-0.161568000000025</f>
        <v>421.1291139999999</v>
      </c>
      <c r="P281" s="3">
        <f>550.5+(124.7-73.9)+(0.842265+(0.190791-0.113067))+0-172.3-0.26361900000001</f>
        <v>429.65636999999992</v>
      </c>
      <c r="Q281" s="3">
        <f>548.7+(156.7-85)+(-0.279837+(-0.079917--0.04335))+0-182--0.0928199999999815</f>
        <v>438.17641600000002</v>
      </c>
      <c r="R281" s="3">
        <f>540.8+(172.9-100.7)+(-1.37904+(-0.440895--0.256785))+0-182.3--0.464864999999974</f>
        <v>429.60171500000001</v>
      </c>
      <c r="S281" s="3">
        <f>546.6+(158-91.8)+(-0.836298+(-0.24174--0.140454))+0-195.6--0.299268000000011</f>
        <v>416.56168400000001</v>
      </c>
      <c r="T281" s="3">
        <f>551.5+(187-162.4)+(0.281265+(0.09537-0.082824))+0-183.7-0.0936869999999814</f>
        <v>392.60012400000005</v>
      </c>
      <c r="U281" s="3">
        <f>549.5+(205.3-166.5)+(-0.280245+(-0.104703--0.084915))+0-193.2--0.0985319999999804</f>
        <v>394.89849899999996</v>
      </c>
      <c r="V281" s="3">
        <f>548.4+(183.9-153.2)+(-0.559368+(-0.187578--0.156264))+0-163.5--0.166770000000026</f>
        <v>415.17608800000005</v>
      </c>
      <c r="W281" s="3">
        <f>552.3+(134.3-40)+(0.563346+(0.136986-0.0408))+0-198.3-0.202266000000032</f>
        <v>448.7572659999999</v>
      </c>
      <c r="X281" s="3">
        <f>548.6+(139.4-42.4)+(-1.39893+(-0.35547--0.10812))+0-199.7--0.509234999999971</f>
        <v>444.76295499999998</v>
      </c>
      <c r="Y281" s="3">
        <f>553.6+(140.5-59.3)+(-0.282336+(-0.071655--0.030243))+0-199.9--0.10194899999998</f>
        <v>434.67820100000006</v>
      </c>
      <c r="Z281" s="3">
        <f>553.6+(185-120.3)+(-0.282336+(-0.09435--0.061353))+0-196.7--0.10031699999998</f>
        <v>421.38498400000003</v>
      </c>
      <c r="AA281" s="3">
        <f>552.6+(210-145.8)+(-0.563652+(-0.2142--0.148716))+0-205.2--0.209304000000033</f>
        <v>411.18016799999998</v>
      </c>
      <c r="AB281" s="3">
        <f>551.3+(283.6-258.9)+(-1.405815+(-0.72318--0.660195))+0-185--0.471749999999973</f>
        <v>390.00295</v>
      </c>
      <c r="AC281" s="3">
        <f>554.3+(254.8-250.5)+(-0.565386+(-0.259896--0.25551))+0-193.5--0.197370000000031</f>
        <v>364.727598</v>
      </c>
      <c r="AD281">
        <v>486.69999999999993</v>
      </c>
      <c r="AE281" s="3">
        <f>550+(192.8-31.7)+(0+(0-0))+0-224.4-0</f>
        <v>486.70000000000005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553.6+(268.6-286.7)+(-1.129344+(-0.547944--0.584868))+0-186.1--0.379643999999992</f>
        <v>348.68722400000001</v>
      </c>
      <c r="G282" s="3">
        <f>553.8+(293.1-308.4)+(-0.564876+(-0.298962--0.314568))+0-200--0.204000000000032</f>
        <v>338.15473000000003</v>
      </c>
      <c r="H282" s="3">
        <f>552.5+(300.8-338.7)+(-1.1271+(-0.613632--0.690948))+0-182.6--0.372503999999992</f>
        <v>331.32271999999995</v>
      </c>
      <c r="I282" s="3">
        <f>552.3+(273-313.6)+(-1.126692+(-0.55692--0.639744))+0-185.5--0.378419999999992</f>
        <v>325.53455199999996</v>
      </c>
      <c r="J282" s="3">
        <f>555.8+(261.2-307.5)+(-0.566916+(-0.266424--0.31365))+0-183.2--0.186864000000029</f>
        <v>325.96717399999994</v>
      </c>
      <c r="K282" s="3">
        <f>557.3+(227-274.6)+(0+(0-0))+0-173.6-0</f>
        <v>336.09999999999991</v>
      </c>
      <c r="L282" s="3">
        <f>556.1+(193.8-222.7)+(-0.283611+(-0.098838--0.113577))+0-174.9--0.0891989999999823</f>
        <v>352.12032700000009</v>
      </c>
      <c r="M282" s="3">
        <f>558.5+(182.3-203.4)+(0.284835+(0.092973-0.103734))+0-158.5-0.0808349999999839</f>
        <v>379.09323900000004</v>
      </c>
      <c r="N282" s="3">
        <f>562.4+(199.4-193.3)+(0.573648+(0.203388-0.197166))+0-168.1-0.171462000000027</f>
        <v>400.80840799999999</v>
      </c>
      <c r="O282" s="3">
        <f>563.8+(194.4-192)+(0.575076+(0.198288-0.19584))+0-166-0.169320000000026</f>
        <v>400.60820399999994</v>
      </c>
      <c r="P282" s="3">
        <f>565.1+(171.9-142.5)+(0.288201+(0.087669-0.072675))+0-180.7-0.0921569999999817</f>
        <v>414.01103799999999</v>
      </c>
      <c r="Q282" s="3">
        <f>564.6+(110.7-88.1)+(0+(0-0))+0-169-0</f>
        <v>418.20000000000005</v>
      </c>
      <c r="R282" s="3">
        <f>545.7+(129.1-105.3)+(-1.391535+(-0.329205--0.268515))+0-169.4--0.431969999999975</f>
        <v>399.079745</v>
      </c>
      <c r="S282" s="3">
        <f>538.1+(133.8-119.2)+(-1.921017+(-0.477666--0.425544))+0-167.6--0.598332000000002</f>
        <v>383.7251930000001</v>
      </c>
      <c r="T282" s="3">
        <f>543+(123.7-89.8)+(0+(0-0))+0-167.5-0</f>
        <v>409.4</v>
      </c>
      <c r="U282" s="3">
        <f>543.5+(127-64)+(0.831555+(0.19431-0.09792))+0-160-0.244800000000009</f>
        <v>447.18314500000002</v>
      </c>
      <c r="V282" s="3">
        <f>538.8+(132.3-42.4)+(-0.549576+(-0.134946--0.043248))+0-167.8--0.171156000000027</f>
        <v>460.42988200000002</v>
      </c>
      <c r="W282" s="3">
        <f>557.6+(205.9-51)+(0.853128+(0.315027-0.07803))+0-199.1-0.304623000000012</f>
        <v>514.18550199999993</v>
      </c>
      <c r="X282" s="3">
        <f>556.2+(197.7-49)+(-1.41831+(-0.504135--0.12495))+0-198.1--0.505154999999971</f>
        <v>505.50765999999999</v>
      </c>
      <c r="Y282" s="3">
        <f>557.9+(161.8-20.3)+(-1.422645+(-0.41259--0.051765))+0-200.7--0.511784999999971</f>
        <v>497.428315</v>
      </c>
      <c r="Z282" s="3">
        <f>561.9+(191.8-81)+(-1.146276+(-0.391272--0.16524))+0-182.6--0.372503999999992</f>
        <v>489.10019600000004</v>
      </c>
      <c r="AA282" s="3">
        <f>565.5+(195-89.7)+(-1.15362+(-0.3978--0.182988))+0-193.1--0.393923999999992</f>
        <v>476.72549199999992</v>
      </c>
      <c r="AB282" s="3">
        <f>527.2+(234.4-133.6)+(-0.537744+(-0.239088--0.136272))+0-162.8--0.166056000000026</f>
        <v>464.72549599999996</v>
      </c>
      <c r="AC282" s="3">
        <f>473.8+(300.5-153.6)+(-1.933104+(-1.22604--0.626688))+0-174.8--0.713183999999985</f>
        <v>444.08072800000002</v>
      </c>
      <c r="AD282">
        <v>497.20000000000005</v>
      </c>
      <c r="AE282" s="3">
        <f>557+(204.7-50)+(0+(0-0))+0-214.5-0</f>
        <v>497.20000000000005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479.5+(297.9-243.4)+(-0.48909+(-0.303858--0.248268))+0-161.3--0.164526000000026</f>
        <v>372.31984600000004</v>
      </c>
      <c r="G283" s="3">
        <f>481.9+(216.9-151.4)+(0.245769+(0.110619-0.077214))+0-171.5-0.0874649999999826</f>
        <v>376.09170899999998</v>
      </c>
      <c r="H283" s="3">
        <f>482.4+(173.7-116.7)+(0.246024+(0.088587-0.059517))+0-183.9-0.0937889999999813</f>
        <v>355.68130500000001</v>
      </c>
      <c r="I283" s="3">
        <f>480.4+(199.8-133.3)+(-0.245004+(-0.101898--0.067983))+0-192.1--0.0979709999999805</f>
        <v>354.61905199999995</v>
      </c>
      <c r="J283" s="3">
        <f>475.5+(203.4-142.8)+(-1.212525+(-0.51867--0.36414))+0-181.2--0.462059999999974</f>
        <v>353.99500499999994</v>
      </c>
      <c r="K283" s="3">
        <f>479.1+(207.1-119.8)+(-0.244341+(-0.105621--0.061098))+0-191.4--0.0976139999999806</f>
        <v>374.80874999999997</v>
      </c>
      <c r="L283" s="3">
        <f>479.5+(142-56.7)+(-0.244545+(-0.07242--0.028917))+0-179.5--0.0915449999999818</f>
        <v>385.10349699999995</v>
      </c>
      <c r="M283" s="3">
        <f>480.7+(155.8-44.3)+(0.245157+(0.079458-0.022593))+0-182.9-0.0932789999999814</f>
        <v>409.50874300000004</v>
      </c>
      <c r="N283" s="3">
        <f>461.4+(195-78.5)+(-0.235314+(-0.09945--0.040035))+0-137.4--0.0700739999999861</f>
        <v>440.27534500000002</v>
      </c>
      <c r="O283" s="3">
        <f>493.5+(127.5-63)+(0.251685+(0.065025-0.03213))+0-93.4-0.0476339999999905</f>
        <v>464.83694600000001</v>
      </c>
      <c r="P283" s="3">
        <f>511.4+(95.1-27)+(-0.260814+(-0.048501--0.01377))+0-92.4--0.0471239999999906</f>
        <v>486.85157900000007</v>
      </c>
      <c r="Q283" s="3">
        <f>526.7+(90.2-38)+(-0.537234+(-0.092004--0.03876))+0-82.6--0.0842520000000132</f>
        <v>495.7937740000001</v>
      </c>
      <c r="R283" s="3">
        <f>538.3+(111.4-35.1)+(-0.823599+(-0.170442--0.053703))+0-129.4--0.197982000000007</f>
        <v>484.45764399999996</v>
      </c>
      <c r="S283" s="3">
        <f>540.8+(123.3-52.5)+(-0.275808+(-0.062883--0.026775))+0-169.9--0.0866489999999828</f>
        <v>441.4747329999999</v>
      </c>
      <c r="T283" s="3">
        <f>540.3+(96-54.6)+(-0.551106+(-0.09792--0.055692))+0-168.9--0.172278000000027</f>
        <v>412.37894399999993</v>
      </c>
      <c r="U283" s="3">
        <f>530.5+(102.8-45.8)+(-0.270555+(-0.052428--0.023358))+0-174.3--0.0888929999999823</f>
        <v>412.98926799999998</v>
      </c>
      <c r="V283" s="3">
        <f>544.6+(110-48.7)+(0+(0-0))+0-178.5-0</f>
        <v>427.4</v>
      </c>
      <c r="W283" s="3">
        <f>545.1+(135.5-50.3)+(0.556002+(0.13821-0.051306))+0-159.2-0.162384000000025</f>
        <v>471.58052200000009</v>
      </c>
      <c r="X283" s="3">
        <f>536.7+(153.8-37.5)+(-1.368585+(-0.39219--0.095625))+0-170.9--0.435794999999975</f>
        <v>480.87064499999997</v>
      </c>
      <c r="Y283" s="3">
        <f>536+(147.3-26.6)+(-1.3668+(-0.375615--0.06783))+0-186.4--0.475319999999973</f>
        <v>469.10073500000004</v>
      </c>
      <c r="Z283" s="3">
        <f>538.7+(170.2-67.9)+(-1.098948+(-0.347208--0.138516))+0-181.6--0.370463999999992</f>
        <v>458.46282399999996</v>
      </c>
      <c r="AA283" s="3">
        <f>538+(186.2-93.7)+(-0.82314+(-0.284886--0.143361))+0-181.2--0.27723600000001</f>
        <v>448.61257100000006</v>
      </c>
      <c r="AB283" s="3">
        <f>539+(209.4-139.1)+(-0.82467+(-0.320382--0.212823))+0-176.5--0.27004500000001</f>
        <v>432.13781599999993</v>
      </c>
      <c r="AC283" s="3">
        <f>534.4+(229.9-189)+(-1.36272+(-0.586245--0.48195))+0-155.1--0.395504999999977</f>
        <v>419.12848999999994</v>
      </c>
      <c r="AD283">
        <v>512.40000000000009</v>
      </c>
      <c r="AE283" s="3">
        <f>540+(183.7-61.9)+(0+(0-0))+0-149.4-0</f>
        <v>512.4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538.2+(192.6-177.6)+(-0.823446+(-0.294678--0.271728))+0-158--0.241740000000009</f>
        <v>394.59534400000001</v>
      </c>
      <c r="G284" s="3">
        <f>519.8+(220-180.4)+(-1.590588+(-0.6732--0.552024))+0-176.9--0.541314000000021</f>
        <v>381.32954999999998</v>
      </c>
      <c r="H284" s="3">
        <f>478+(291.1-227.5)+(-0.48756+(-0.296922--0.23205))+0-163.9--0.167178000000026</f>
        <v>377.31474600000013</v>
      </c>
      <c r="I284" s="3">
        <f>475.5+(275.8-193)+(-0.727515+(-0.421974--0.29529))+0-174.9--0.26759700000001</f>
        <v>382.81339800000001</v>
      </c>
      <c r="J284" s="3">
        <f>480.4+(279.2-192.6)+(0.490008+(0.284784-0.196452))+0-183.3-0.186966000000029</f>
        <v>384.09137399999997</v>
      </c>
      <c r="K284" s="3">
        <f>478.7+(238.9-170.8)+(-0.244137+(-0.121839--0.087108))+0-158.2--0.0806819999999839</f>
        <v>388.40181399999994</v>
      </c>
      <c r="L284" s="3">
        <f>479.9+(200.1-126)+(0.244749+(0.102051-0.06426))+0-158.6-0.0808859999999839</f>
        <v>395.60165400000005</v>
      </c>
      <c r="M284" s="3">
        <f>477.4+(176.1-84.2)+(-0.486948+(-0.179622--0.085884))+0-154--0.157080000000025</f>
        <v>414.87639399999995</v>
      </c>
      <c r="N284" s="3">
        <f>479.3+(174.5-64)+(0+(0-0))+0-159.3-0</f>
        <v>430.49999999999994</v>
      </c>
      <c r="O284" s="3">
        <f>488.9+(196.1-50.9)+(0.249339+(0.100011-0.025959))+0-188-0.0958799999999809</f>
        <v>446.32751099999996</v>
      </c>
      <c r="P284" s="3">
        <f>500.5+(176.5-56)+(-0.255255+(-0.090015--0.02856))+0-171.5--0.0874649999999826</f>
        <v>449.27075500000007</v>
      </c>
      <c r="Q284" s="3">
        <f>553.8+(150-64)+(-1.41219+(-0.3825--0.1632))+0-183.1--0.466904999999973</f>
        <v>455.53541499999994</v>
      </c>
      <c r="R284" s="3">
        <f>562.1+(137.9-78.4)+(-0.573342+(-0.140658--0.079968))+0-176.8--0.180336000000028</f>
        <v>444.34630399999998</v>
      </c>
      <c r="S284" s="3">
        <f>562.8+(158.8-114.9)+(-0.287028+(-0.080988--0.058599))+0-176.5--0.0900149999999821</f>
        <v>429.98059799999987</v>
      </c>
      <c r="T284" s="3">
        <f>561.7+(181.6-151.5)+(-0.572934+(-0.185232--0.15453))+0-185.1--0.18880200000003</f>
        <v>406.285166</v>
      </c>
      <c r="U284" s="3">
        <f>559.8+(167.5-189.3)+(-1.141992+(-0.3417--0.386172))+0-156.8--0.319871999999993</f>
        <v>380.42235199999993</v>
      </c>
      <c r="V284" s="3">
        <f>564.6+(139-154.5)+(0.287946+(0.07089-0.078795))+0-158.4-0.0807839999999839</f>
        <v>390.89925700000003</v>
      </c>
      <c r="W284" s="3">
        <f>568.1+(154.9-101.6)+(0.579462+(0.157998-0.103632))+0-177.6-0.181152000000028</f>
        <v>444.25267600000001</v>
      </c>
      <c r="X284" s="3">
        <f>565.5+(166.6-103.2)+(-1.15362+(-0.339864--0.210528))+0-181.2--0.369647999999992</f>
        <v>446.78669199999996</v>
      </c>
      <c r="Y284" s="3">
        <f>564.6+(135.8-84.3)+(-1.151784+(-0.277032--0.171972))+0-175.8--0.358631999999992</f>
        <v>439.40178800000001</v>
      </c>
      <c r="Z284" s="3">
        <f>568.1+(116.4-117.6)+(0+(0-0))+0-157.4-0</f>
        <v>409.50000000000011</v>
      </c>
      <c r="AA284" s="3">
        <f>563.7+(126.5-105.3)+(-1.149948+(-0.25806--0.214812))+0-168.5--0.343739999999993</f>
        <v>415.55054400000012</v>
      </c>
      <c r="AB284" s="3">
        <f>567.1+(165.1-134.4)+(-0.578442+(-0.168402--0.137088))+0-186--0.18972000000003</f>
        <v>411.37996400000003</v>
      </c>
      <c r="AC284" s="3">
        <f>565.3+(170.3-171.8)+(-0.576606+(-0.173706--0.175236))+0-178.8--0.182376000000029</f>
        <v>384.60730000000001</v>
      </c>
      <c r="AD284">
        <v>521.70000000000005</v>
      </c>
      <c r="AE284" s="3">
        <f>570+(234.3-109.8)+(0+(0-0))+0-172.8-0</f>
        <v>521.70000000000005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563.6+(226.1-243.8)+(-0.862308+(-0.345933--0.373014))+0-172.9--0.26453700000001</f>
        <v>372.42930999999999</v>
      </c>
      <c r="G285" s="3">
        <f>568.2+(251.8-274.7)+(0.289782+(0.128418-0.140097))+0-182-0.0928199999999815</f>
        <v>363.48528300000009</v>
      </c>
      <c r="H285" s="3">
        <f>565.1+(233.6-275.6)+(-0.864603+(-0.357408--0.421668))+0-171.4--0.26224200000001</f>
        <v>351.16189900000006</v>
      </c>
      <c r="I285" s="3">
        <f>562+(222.4-244)+(-1.14648+(-0.453696--0.49776))+0-187.5--0.382499999999992</f>
        <v>352.18008400000002</v>
      </c>
      <c r="J285" s="3">
        <f>562.8+(207.9-235.8)+(-1.148112+(-0.424116--0.481032))+0-188--0.383519999999992</f>
        <v>346.19232399999999</v>
      </c>
      <c r="K285" s="3">
        <f>566.4+(156.6-198.2)+(0.288864+(0.079866-0.101082))+0-178.9-0.0912389999999818</f>
        <v>346.07640900000001</v>
      </c>
      <c r="L285" s="3">
        <f>563.3+(125.4-161.4)+(-0.861849+(-0.191862--0.246942))+0-188.8--0.288864000000011</f>
        <v>337.9820949999999</v>
      </c>
      <c r="M285" s="3">
        <f>558.7+(107.5-166.8)+(-1.994559+(-0.383775--0.595476))+0-179.2--0.639744000000003</f>
        <v>319.05688600000008</v>
      </c>
      <c r="N285" s="3">
        <f>493.8+(120.3-131.9)+(0.251838+(0.061353-0.067269))+0-167.7-0.085526999999983</f>
        <v>314.66039500000005</v>
      </c>
      <c r="O285" s="3">
        <f>488.7+(109.9-109)+(0+(0-0))+0-169.9-0</f>
        <v>319.70000000000005</v>
      </c>
      <c r="P285" s="3">
        <f>498+(109.2-97.4)+(0.50796+(0.111384-0.099348))+0-170.9-0.174318000000027</f>
        <v>339.24567799999994</v>
      </c>
      <c r="Q285" s="3">
        <f>564.4+(99.3-147.1)+(-0.863532+(-0.151929--0.225063))+0-172.3--0.26361900000001</f>
        <v>343.77322100000004</v>
      </c>
      <c r="R285" s="3">
        <f>565.5+(135.9-126.2)+(0+(0-0))+0-163.5-0</f>
        <v>411.70000000000005</v>
      </c>
      <c r="S285" s="3">
        <f>562.7+(132.3-135.6)+(-0.860931+(-0.202419--0.207468))+0-159.6--0.244188000000009</f>
        <v>399.18830600000013</v>
      </c>
      <c r="T285" s="3">
        <f>566.2+(135.6-142.2)+(0+(0-0))+0-175.8-0</f>
        <v>383.8</v>
      </c>
      <c r="U285" s="3">
        <f>568.8+(138.2-150.7)+(0.290088+(0.070482-0.076857))+0-171.8-0.0876179999999826</f>
        <v>384.69609500000001</v>
      </c>
      <c r="V285" s="3">
        <f>566.6+(146-154.8)+(-0.288966+(-0.07446--0.078948))+0-146.1--0.0745109999999852</f>
        <v>411.49003299999987</v>
      </c>
      <c r="W285" s="3">
        <f>568.8+(194.2-139.3)+(0.580176+(0.198084-0.142086))+0-166.6-0.169932000000027</f>
        <v>457.56624199999987</v>
      </c>
      <c r="X285" s="3">
        <f>566.5+(199.3-122.4)+(-0.288915+(-0.101643--0.062424))+0-179.5--0.0915449999999818</f>
        <v>463.663411</v>
      </c>
      <c r="Y285" s="3">
        <f>566.2+(182.8-108.7)+(-0.288762+(-0.093228--0.055437))+0-188.4--0.0960839999999809</f>
        <v>451.66953100000006</v>
      </c>
      <c r="Z285" s="3">
        <f>566.1+(157.6-87.5)+(-0.288711+(-0.080376--0.044625))+0-190.8--0.0973079999999806</f>
        <v>445.17284599999999</v>
      </c>
      <c r="AA285" s="3">
        <f>567.9+(164.6-97.8)+(0+(0-0))+0-187.4-0</f>
        <v>447.29999999999995</v>
      </c>
      <c r="AB285" s="3">
        <f>565+(184.1-128.2)+(-1.1526+(-0.375564--0.261528))+0-198.5--0.404939999999991</f>
        <v>421.53830400000004</v>
      </c>
      <c r="AC285" s="3">
        <f>565.2+(248.5-209.2)+(-0.864756+(-0.380205--0.320076))+0-191.2--0.292536000000011</f>
        <v>412.66765099999998</v>
      </c>
      <c r="AD285">
        <v>444.8</v>
      </c>
      <c r="AE285" s="3">
        <f>565+(199-130.5)+(0+(0-0))+0-188.7-0</f>
        <v>444.8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566.1+(262.1-288.8)+(-0.577422+(-0.267342--0.294576))+0-195.2--0.199104000000031</f>
        <v>343.84891600000009</v>
      </c>
      <c r="G286" s="3">
        <f>543.2+(274.5-278.3)+(-1.108128+(-0.55998--0.567732))+0-201.6--0.411263999999991</f>
        <v>337.1108880000001</v>
      </c>
      <c r="H286" s="3">
        <f>522.2+(305-300.2)+(0+(0-0))+0-190.1-0</f>
        <v>336.9</v>
      </c>
      <c r="I286" s="3">
        <f>519.7+(316.4-315.6)+(0.265047+(0.161364-0.160956))+0-187-0.095369999999981</f>
        <v>333.67008499999997</v>
      </c>
      <c r="J286" s="3">
        <f>518.2+(306.1-291.4)+(-0.264282+(-0.156111--0.148614))+0-202.1--0.103070999999979</f>
        <v>330.63129200000003</v>
      </c>
      <c r="K286" s="3">
        <f>519.2+(177.2-156)+(0+(0-0))+0-199-0</f>
        <v>341.40000000000009</v>
      </c>
      <c r="L286" s="3">
        <f>517.3+(188.7-110.4)+(-0.263823+(-0.096237--0.056304))+0-184.5--0.0940949999999813</f>
        <v>410.89033899999987</v>
      </c>
      <c r="M286" s="3">
        <f>521.5+(213.2-102.3)+(0.797895+(0.326196-0.156519))+0-189.8-0.290394000000011</f>
        <v>443.27717799999999</v>
      </c>
      <c r="N286" s="3">
        <f>518.2+(236.1-87.1)+(-0.264282+(-0.120411--0.044421))+0-197.7--0.10082699999998</f>
        <v>469.26055500000001</v>
      </c>
      <c r="O286" s="3">
        <f>519.7+(225.3-67.5)+(0.530094+(0.229806-0.06885))+0-195-0.198900000000031</f>
        <v>482.99214999999998</v>
      </c>
      <c r="P286" s="3">
        <f>519.5+(185.8-25.8)+(0.264945+(0.094758-0.013158))+0-187.8-0.0957779999999809</f>
        <v>491.95076699999998</v>
      </c>
      <c r="Q286" s="3">
        <f>518+(180.6-21.5)+(-0.52836+(-0.184212--0.02193))+0-181.7--0.185334000000029</f>
        <v>494.89469200000002</v>
      </c>
      <c r="R286" s="3">
        <f>514.6+(222.8-121.1)+(-0.524892+(-0.227256--0.123522))+0-171.5--0.174930000000027</f>
        <v>444.34630400000003</v>
      </c>
      <c r="S286" s="3">
        <f>515.3+(187.2-94.7)+(-0.262803+(-0.095472--0.048297))+0-180.1--0.0918509999999817</f>
        <v>427.48187299999989</v>
      </c>
      <c r="T286" s="3">
        <f>516+(167.2-96.3)+(-0.26316+(-0.085272--0.049113))+0-192.5--0.0981749999999805</f>
        <v>394.19885599999998</v>
      </c>
      <c r="U286" s="3">
        <f>515.4+(149-95.3)+(-0.525708+(-0.15198--0.097206))+0-191.6--0.195432000000031</f>
        <v>377.11495000000008</v>
      </c>
      <c r="V286" s="3">
        <f>516.4+(148.5-72.2)+(-0.263364+(-0.075735--0.036822))+0-194.2--0.0990419999999803</f>
        <v>398.29676499999994</v>
      </c>
      <c r="W286" s="3">
        <f>517.3+(178.2-30.1)+(-0.263823+(-0.090882--0.015351))+0-198.3--0.10113299999998</f>
        <v>466.86177900000001</v>
      </c>
      <c r="X286" s="3">
        <f>513.1+(189-43.6)+(-0.785043+(-0.28917--0.066708))+0-196.6--0.300798000000011</f>
        <v>461.19329299999993</v>
      </c>
      <c r="Y286" s="3">
        <f>517.5+(164.6-27.6)+(-0.263925+(-0.083946--0.014076))+0-199.4--0.10169399999998</f>
        <v>454.86789899999997</v>
      </c>
      <c r="Z286" s="3">
        <f>514.9+(151.3-24.7)+(-0.787797+(-0.231489--0.037791))+0-194--0.296820000000011</f>
        <v>446.81532500000003</v>
      </c>
      <c r="AA286" s="3">
        <f>513.6+(148.2-18.3)+(-1.047744+(-0.302328--0.037332))+0-202.3--0.412691999999991</f>
        <v>440.29995200000002</v>
      </c>
      <c r="AB286" s="3">
        <f>515.4+(172.4-69.7)+(-0.788562+(-0.263772--0.106641))+0-191.4--0.292842000000011</f>
        <v>426.04714900000005</v>
      </c>
      <c r="AC286" s="3">
        <f>515.2+(224.7-155.3)+(-1.051008+(-0.458388--0.316812))+0-179.4--0.365975999999992</f>
        <v>404.37339200000002</v>
      </c>
      <c r="AD286">
        <v>504.4</v>
      </c>
      <c r="AE286" s="3">
        <f>517+(195.3-36.4)+(0+(0-0))+0-171.5-0</f>
        <v>504.4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514.2+(249.6-200.6)+(-1.048968+(-0.509184--0.409224))+0-176.6--0.360263999999992</f>
        <v>385.81133600000004</v>
      </c>
      <c r="G287" s="3">
        <f>520.4+(173.9-145.8)+(0.530808+(0.177378-0.148716))+0-176.3-0.179826000000028</f>
        <v>372.57964399999997</v>
      </c>
      <c r="H287" s="3">
        <f>514.7+(76.8-47.5)+(-1.049988+(-0.156672--0.0969))+0-178.9--0.364955999999992</f>
        <v>364.35519599999998</v>
      </c>
      <c r="I287" s="3">
        <f>518.9+(51-30)+(0+(0-0))+0-179.3-0</f>
        <v>360.59999999999997</v>
      </c>
      <c r="J287" s="3">
        <f>517.6+(56.6-32.5)+(0+(0-0))+0-183.5-0</f>
        <v>358.20000000000005</v>
      </c>
      <c r="K287" s="3">
        <f>518.1+(97-71.6)+(0+(0-0))+0-179.9-0</f>
        <v>363.6</v>
      </c>
      <c r="L287" s="3">
        <f>518.1+(101-52.6)+(0+(0-0))+0-179.9-0</f>
        <v>386.6</v>
      </c>
      <c r="M287" s="3">
        <f>517.9+(85-58.1)+(-0.264129+(-0.04335--0.029631))+0-182.1--0.0928709999999815</f>
        <v>362.51502299999999</v>
      </c>
      <c r="N287" s="3">
        <f>514.4+(134-66.6)+(-1.049376+(-0.27336--0.135864))+0-177.2--0.361487999999992</f>
        <v>403.77461599999998</v>
      </c>
      <c r="O287" s="3">
        <f>563.9+(171-114.5)+(-0.862767+(-0.26163--0.175185))+0-182.9--0.279837000000011</f>
        <v>436.830625</v>
      </c>
      <c r="P287" s="3">
        <f>557.1+(170-101.3)+(-0.284121+(-0.0867--0.051663))+0-164.5--0.0838949999999833</f>
        <v>461.06473700000004</v>
      </c>
      <c r="Q287" s="3">
        <f>557.6+(173.6-114.8)+(-1.137504+(-0.354144--0.234192))+0-143.9--0.293555999999994</f>
        <v>471.53609999999992</v>
      </c>
      <c r="R287" s="3">
        <f>562.4+(165.1-114)+(-1.43412+(-0.421005--0.2907))+0-152.4--0.388619999999978</f>
        <v>459.924195</v>
      </c>
      <c r="S287" s="3">
        <f>561.4+(155.7-123)+(0.286314+(0.079407-0.06273))+0-158.7-0.0809369999999839</f>
        <v>435.62205399999993</v>
      </c>
      <c r="T287" s="3">
        <f>556.9+(152.5-133.8)+(0.284019+(0.077775-0.068238))+0-157.2-0.080171999999984</f>
        <v>418.61338399999988</v>
      </c>
      <c r="U287" s="3">
        <f>552.8+(153.1-116.9)+(0+(0-0))+0-176.6-0</f>
        <v>412.4</v>
      </c>
      <c r="V287" s="3">
        <f>549.3+(159.9-82.1)+(-1.120572+(-0.326196--0.167484))+0-181.4--0.370055999999992</f>
        <v>444.79077199999995</v>
      </c>
      <c r="W287" s="3">
        <f>553.9+(187.5-65.9)+(0+(0-0))+0-201.9-0</f>
        <v>473.6</v>
      </c>
      <c r="X287" s="3">
        <f>550.8+(177.1-57.6)+(-1.123632+(-0.361284--0.117504))+0-203--0.414119999999991</f>
        <v>466.34670799999998</v>
      </c>
      <c r="Y287" s="3">
        <f>547.3+(161.9-51.6)+(-1.116492+(-0.330276--0.105264))+0-200.1--0.408203999999991</f>
        <v>456.56669999999991</v>
      </c>
      <c r="Z287" s="3">
        <f>546.2+(139.7-32.4)+(-1.114248+(-0.284988--0.066096))+0-205.7--0.419627999999991</f>
        <v>446.88648800000004</v>
      </c>
      <c r="AA287" s="3">
        <f>548.3+(125.3-40.6)+(-0.838899+(-0.191709--0.062118))+0-194.8--0.298044000000011</f>
        <v>437.52955400000002</v>
      </c>
      <c r="AB287" s="3">
        <f>545.6+(116.3-46.2)+(-1.113024+(-0.237252--0.094248))+0-192.6--0.392903999999992</f>
        <v>422.236876</v>
      </c>
      <c r="AC287" s="3">
        <f>544+(151.8-116.7)+(-0.83232+(-0.232254--0.178551))+0-173.6--0.26560800000001</f>
        <v>404.87958499999996</v>
      </c>
      <c r="AD287">
        <v>497.3</v>
      </c>
      <c r="AE287" s="3">
        <f>554+(214.6-76)+(0+(0-0))+0-195.3-0</f>
        <v>497.3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543.9+(93.3-54.7)+(-0.554778+(-0.095166--0.055794))+0-191.2--0.19502400000003</f>
        <v>390.90087400000004</v>
      </c>
      <c r="G288" s="3">
        <f>544.3+(118.6-95.1)+(-0.277593+(-0.060486--0.048501))+0-194.8--0.0993479999999802</f>
        <v>372.8097699999999</v>
      </c>
      <c r="H288" s="3">
        <f>473.3+(142.4-51.6)+(-0.241383+(-0.072624--0.026316))+0-204.4--0.104243999999979</f>
        <v>359.51655300000004</v>
      </c>
      <c r="I288" s="3">
        <f>476.4+(170.5-93.9)+(0.242964+(0.086955-0.047889))+0-195.3-0.0996029999999802</f>
        <v>357.88242699999995</v>
      </c>
      <c r="J288" s="3">
        <f>473.6+(155.1-61.5)+(-0.966144+(-0.316404--0.12546))+0-205.2--0.418607999999991</f>
        <v>361.26152000000002</v>
      </c>
      <c r="K288" s="3">
        <f>478.2+(120.3-37.7)+(0.243882+(0.061353-0.019227))+0-201.9-0.10296899999998</f>
        <v>359.08303900000004</v>
      </c>
      <c r="L288" s="3">
        <f>475.1+(121.8-24.8)+(-0.726903+(-0.186354--0.037944))+0-190.4--0.291312000000011</f>
        <v>381.11599900000004</v>
      </c>
      <c r="M288" s="3">
        <f>476.2+(173.1-55.4)+(-0.242862+(-0.088281--0.028254))+0-191.5--0.0976649999999806</f>
        <v>402.19477599999993</v>
      </c>
      <c r="N288" s="3">
        <f>478+(206.5-74.7)+(0+(0-0))+0-181.6-0</f>
        <v>428.19999999999993</v>
      </c>
      <c r="O288" s="3">
        <f>477+(162.6-32.6)+(0+(0-0))+0-178-0</f>
        <v>429</v>
      </c>
      <c r="P288" s="3">
        <f>479.5+(173.1-17.5)+(0.244545+(0.088281-0.008925))+0-190.1-0.0969509999999807</f>
        <v>445.22694999999999</v>
      </c>
      <c r="Q288" s="3">
        <f>522.3+(151.5-29)+(-0.799119+(-0.231795--0.04437))+0-199.4--0.305082000000012</f>
        <v>444.71853800000002</v>
      </c>
      <c r="R288" s="3">
        <f>553.5+(126.4-37.9)+(-1.69371+(-0.386784--0.115974))+0-200.4--0.613224000000023</f>
        <v>440.24870400000003</v>
      </c>
      <c r="S288" s="3">
        <f>547.3+(115.6-42.8)+(-1.116492+(-0.235824--0.087312))+0-203--0.414119999999991</f>
        <v>416.2491159999999</v>
      </c>
      <c r="T288" s="3">
        <f>546.7+(104.3-56.1)+(-0.278817+(-0.053193--0.028611))+0-192.7--0.0982769999999804</f>
        <v>401.99487800000009</v>
      </c>
      <c r="U288" s="3">
        <f>543.9+(138-86.2)+(-0.277389+(-0.07038--0.043962))+0-198.6--0.10128599999998</f>
        <v>396.89747899999986</v>
      </c>
      <c r="V288" s="3">
        <f>545.3+(208.5-144)+(-0.556206+(-0.21267--0.14688))+0-198.3--0.202266000000032</f>
        <v>411.08026999999998</v>
      </c>
      <c r="W288" s="3">
        <f>548.1+(270.3-171.9)+(-0.838593+(-0.413559--0.263007))+0-190.1--0.290853000000011</f>
        <v>455.701708</v>
      </c>
      <c r="X288" s="3">
        <f>550+(248.8-138)+(-1.122+(-0.507552--0.28152))+0-197.7--0.403307999999991</f>
        <v>462.15527599999996</v>
      </c>
      <c r="Y288" s="3">
        <f>549.1+(214.4-106.9)+(-1.400205+(-0.54672--0.272595))+0-200.9--0.512294999999971</f>
        <v>454.53796499999999</v>
      </c>
      <c r="Z288" s="3">
        <f>560.4+(184.3-98.6)+(-0.571608+(-0.187986--0.100572))+0-201.8--0.205836000000032</f>
        <v>443.84681399999999</v>
      </c>
      <c r="AA288" s="3">
        <f>553.3+(181.3-100.1)+(-1.693098+(-0.554778--0.306306))+0-191.8--0.586908000000022</f>
        <v>441.34533800000003</v>
      </c>
      <c r="AB288" s="3">
        <f>555.5+(79.7-32)+(-1.13322+(-0.162588--0.06528))+0-182.3--0.371891999999992</f>
        <v>420.04136399999999</v>
      </c>
      <c r="AC288" s="3">
        <f>556.7+(78.5-38.8)+(-0.567834+(-0.08007--0.039576))+0-195.5--0.199410000000031</f>
        <v>400.49108200000012</v>
      </c>
      <c r="AD288">
        <v>444.19999999999993</v>
      </c>
      <c r="AE288" s="3">
        <f>554+(273.3-153)+(0+(0-0))+0-230.1-0</f>
        <v>444.19999999999993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554.6+(119.5-87.9)+(-1.41423+(-0.304725--0.224145))+0-199.3--0.508214999999971</f>
        <v>385.91340499999995</v>
      </c>
      <c r="G289" s="3">
        <f>484.1+(139.2-52.9)+(0+(0-0))+0-197.7-0</f>
        <v>372.7</v>
      </c>
      <c r="H289" s="3">
        <f>475.5+(149.1-81.9)+(-0.48501+(-0.152082--0.083538))+0-180.1--0.183702000000029</f>
        <v>362.2301480000001</v>
      </c>
      <c r="I289" s="3">
        <f>479.1+(154.6-84.2)+(0.488682+(0.157692-0.085884))+0-196.2-0.200124000000031</f>
        <v>353.66036599999995</v>
      </c>
      <c r="J289" s="3">
        <f>479.3+(151.7-68.2)+(0.244443+(0.077367-0.034782))+0-201.8-0.10291799999998</f>
        <v>361.18410999999992</v>
      </c>
      <c r="K289" s="3">
        <f>479.6+(105.2-30.6)+(0.489192+(0.107304-0.031212))+0-191.6-0.195432000000031</f>
        <v>362.969852</v>
      </c>
      <c r="L289" s="3">
        <f>480.3+(156.2-73.4)+(0.979812+(0.318648-0.149736))+0-181.5-0.370259999999992</f>
        <v>382.37846400000006</v>
      </c>
      <c r="M289" s="3">
        <f>476.8+(159.8-54.5)+(-0.243168+(-0.081498--0.027795))+0-178.7--0.0911369999999819</f>
        <v>403.19426600000003</v>
      </c>
      <c r="N289" s="3">
        <f>546.8+(120.2-57.8)+(0.278868+(0.061302-0.029478))+0-197.1-0.10052099999998</f>
        <v>412.31017099999997</v>
      </c>
      <c r="O289" s="3">
        <f>572.7+(99.5-59.9)+(0+(0-0))+0-191.4-0</f>
        <v>420.90000000000009</v>
      </c>
      <c r="P289" s="3">
        <f>562.1+(110.9-76.7)+(0+(0-0))+0-166.4-0</f>
        <v>429.90000000000009</v>
      </c>
      <c r="Q289" s="3">
        <f>559.8+(118-76.8)+(-1.141992+(-0.24072--0.156672))+0-162.2--0.330887999999993</f>
        <v>437.90484800000002</v>
      </c>
      <c r="R289" s="3">
        <f>556.8+(110.7-56.5)+(-0.851904+(-0.169371--0.086445))+0-182.2--0.278766000000011</f>
        <v>428.143936</v>
      </c>
      <c r="S289" s="3">
        <f>554.8+(100.5-53.9)+(-0.848844+(-0.153765--0.082467))+0-175.9--0.26912700000001</f>
        <v>424.84898499999997</v>
      </c>
      <c r="T289" s="3">
        <f>556.3+(96.2-69.3)+(0.283713+(0.049062-0.035343))+0-181.3-0.0924629999999816</f>
        <v>402.10496899999987</v>
      </c>
      <c r="U289" s="3">
        <f>555.8+(80.3-48.7)+(-0.283458+(-0.040953--0.024837))+0-192.9--0.0983789999999804</f>
        <v>394.29880499999996</v>
      </c>
      <c r="V289" s="3">
        <f>552.8+(74.2-52.3)+(-0.845784+(-0.113526--0.080019))+0-185.6--0.283968000000011</f>
        <v>388.50467699999996</v>
      </c>
      <c r="W289" s="3">
        <f>557.7+(130.3-55.5)+(0+(0-0))+0-195.6-0</f>
        <v>436.9</v>
      </c>
      <c r="X289" s="3">
        <f>558.6+(174.2-78.3)+(-0.854658+(-0.266526--0.119799))+0-194.2--0.297126000000011</f>
        <v>459.59574099999998</v>
      </c>
      <c r="Y289" s="3">
        <f>560.9+(133.2-37.7)+(-0.858177+(-0.203796--0.057681))+0-201.1--0.307683000000012</f>
        <v>454.60339099999999</v>
      </c>
      <c r="Z289" s="3">
        <f>560+(143.7-55.4)+(-1.428+(-0.366435--0.14127))+0-205.3--0.52351499999997</f>
        <v>441.87034999999997</v>
      </c>
      <c r="AA289" s="3">
        <f>565.4+(126.2-48)+(-0.288354+(-0.064362--0.02448))+0-204.1--0.104090999999979</f>
        <v>439.27585500000004</v>
      </c>
      <c r="AB289" s="3">
        <f>562.8+(86.4-30.5)+(-0.861084+(-0.132192--0.046665))+0-198.1--0.303093000000011</f>
        <v>419.95648199999994</v>
      </c>
      <c r="AC289" s="3">
        <f>562.1+(81.7-58.4)+(-1.146684+(-0.166668--0.119136))+0-184.4--0.376175999999992</f>
        <v>400.18196</v>
      </c>
      <c r="AD289">
        <v>547.20000000000005</v>
      </c>
      <c r="AE289" s="3">
        <f>563+(249.6-66.1)+(0+(0-0))+0-199.3-0</f>
        <v>547.20000000000005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560.8+(49.6-48.1)+(-1.144032+(-0.101184--0.098124))+0-197.5--0.402899999999991</f>
        <v>364.0558079999999</v>
      </c>
      <c r="G290" s="3">
        <f>563.6+(32-60.8)+(-0.287436+(-0.01632--0.031008))+0-185--0.0943499999999812</f>
        <v>349.62160200000005</v>
      </c>
      <c r="H290" s="3">
        <f>562.6+(37-55.9)+(-0.573852+(-0.03774--0.057018))+0-199.8--0.203796000000032</f>
        <v>343.54922200000004</v>
      </c>
      <c r="I290" s="3">
        <f>568.1+(35-84.5)+(0.579462+(0.0357-0.08619))+0-177-0.180540000000028</f>
        <v>341.94843199999997</v>
      </c>
      <c r="J290" s="3">
        <f>566.5+(47-76.6)+(0+(0-0))+0-199.8-0</f>
        <v>337.09999999999997</v>
      </c>
      <c r="K290" s="3">
        <f>569.1+(58.4-110.8)+(0.580482+(0.059568-0.113016))+0-181.2-0.184824000000029</f>
        <v>335.84220999999997</v>
      </c>
      <c r="L290" s="3">
        <f>567.5+(143.7-174.2)+(0.57885+(0.146574-0.177684))+0-171.4-0.174828000000027</f>
        <v>365.97291199999995</v>
      </c>
      <c r="M290" s="3">
        <f>566.1+(203.4-216)+(0.577422+(0.207468-0.22032))+0-162.7-0.165954000000026</f>
        <v>391.19861600000002</v>
      </c>
      <c r="N290" s="3">
        <f>564.5+(106-87.3)+(0+(0-0))+0-172.2-0</f>
        <v>411.00000000000006</v>
      </c>
      <c r="O290" s="3">
        <f>561.7+(105.9-90.6)+(0+(0-0))+0-139.3-0</f>
        <v>437.7</v>
      </c>
      <c r="P290" s="3">
        <f>563.6+(78.8-66.7)+(0.287436+(0.040188-0.034017))+0-118.6-0.060485999999988</f>
        <v>457.33312100000001</v>
      </c>
      <c r="Q290" s="3">
        <f>564.3+(91.5-75.3)+(-0.287793+(-0.046665--0.038403))+0-115.9--0.0591089999999882</f>
        <v>464.36305399999998</v>
      </c>
      <c r="R290" s="3">
        <f>560.4+(70.4-75.1)+(-1.143216+(-0.143616--0.153204))+0-91.7--0.187067999999996</f>
        <v>463.05344000000002</v>
      </c>
      <c r="S290" s="3">
        <f>564+(59.3-78.9)+(-0.28764+(-0.030243--0.040239))+0-96.5--0.0492149999999902</f>
        <v>447.67157099999997</v>
      </c>
      <c r="T290" s="3">
        <f>566.4+(60.4-84.3)+(0+(0-0))+0-111.3-0</f>
        <v>431.2</v>
      </c>
      <c r="U290" s="3">
        <f>565.9+(81.2-84)+(-0.577218+(-0.082824--0.08568))+0-157.9--0.161058000000025</f>
        <v>404.78669600000012</v>
      </c>
      <c r="V290" s="3">
        <f>566.6+(291-271.4)+(0.288966+(0.14841-0.138414))+0-193.1-0.0984809999999804</f>
        <v>393.30048099999999</v>
      </c>
      <c r="W290" s="3">
        <f>562.8+(261.2-176.5)+(0.574056+(0.266424-0.18003))+0-204-0.208080000000033</f>
        <v>443.95236999999992</v>
      </c>
      <c r="X290" s="3">
        <f>554.8+(264.9-145.8)+(-0.282948+(-0.135099--0.074358))+0-225.5--0.115004999999977</f>
        <v>448.17131599999982</v>
      </c>
      <c r="Y290" s="3">
        <f>554+(190.5-99.1)+(-1.13016+(-0.38862--0.202164))+0-206.2--0.420647999999991</f>
        <v>438.30403200000001</v>
      </c>
      <c r="Z290" s="3">
        <f>554+(150.7-62.3)+(-0.84762+(-0.230571--0.095319))+0-219.5--0.335835000000013</f>
        <v>422.25296299999997</v>
      </c>
      <c r="AA290" s="3">
        <f>554+(105.9-32.7)+(-0.84762+(-0.162027--0.050031))+0-218.6--0.334458000000013</f>
        <v>407.97484200000008</v>
      </c>
      <c r="AB290" s="3">
        <f>553.8+(71.7-23.7)+(-0.847314+(-0.109701--0.036261))+0-206--0.315180000000012</f>
        <v>395.19442599999996</v>
      </c>
      <c r="AC290" s="3">
        <f>553.3+(67.7-35.5)+(-1.693098+(-0.207162--0.10863))+0-214.6--0.656676000000025</f>
        <v>369.76504599999993</v>
      </c>
      <c r="AD290">
        <v>486.40000000000003</v>
      </c>
      <c r="AE290" s="3">
        <f>561+(341.7-165.1)+(0+(0-0))+0-251.2-0</f>
        <v>486.40000000000003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553+(120.7-48.7)+(-0.56406+(-0.123114--0.049674))+0-209--0.213180000000033</f>
        <v>415.57567999999998</v>
      </c>
      <c r="G291" s="3">
        <f>552.5+(100.1-54.5)+(-0.845325+(-0.153153--0.083385))+0-193.6--0.296208000000011</f>
        <v>403.88111500000008</v>
      </c>
      <c r="H291" s="3">
        <f>553.1+(112.8-65.2)+(-0.282081+(-0.057528--0.033252))+0-203.3--0.103682999999979</f>
        <v>397.19732599999998</v>
      </c>
      <c r="I291" s="3">
        <f>523+(134.9-58.9)+(1.33365+(0.343995-0.150195))+0-206.3-0.52606499999997</f>
        <v>393.70138500000007</v>
      </c>
      <c r="J291" s="3">
        <f>408.1+(216.2-20.5)+(0.832524+(0.441048-0.04182))+0-210.9-0.430235999999991</f>
        <v>393.70151600000003</v>
      </c>
      <c r="K291" s="3">
        <f>421.2+(178.4-3.5)+(0.859248+(0.363936-0.00714))+0-202.8-0.413711999999991</f>
        <v>394.10233200000005</v>
      </c>
      <c r="L291" s="3">
        <f>498.5+(87.9-31.5)+(1.779645+(0.313803-0.112455))+0-206.7-0.737919000000003</f>
        <v>349.44307400000002</v>
      </c>
      <c r="M291" s="3">
        <f>514.3+(92.6-39.8)+(-0.786879+(-0.141678--0.060894))+0-194.8--0.298044000000011</f>
        <v>371.73038099999991</v>
      </c>
      <c r="N291" s="3">
        <f>517+(116.8-48.3)+(0.79101+(0.178704-0.073899))+0-198-0.302940000000011</f>
        <v>388.09287499999994</v>
      </c>
      <c r="O291" s="3">
        <f>515+(135.6-54.5)+(0.5253+(0.138312-0.05559))+0-196-0.199920000000031</f>
        <v>400.50810200000001</v>
      </c>
      <c r="P291" s="3">
        <f>516.5+(148.4-52.3)+(0.52683+(0.151368-0.053346))+0-199-0.202980000000032</f>
        <v>414.02187200000003</v>
      </c>
      <c r="Q291" s="3">
        <f>519.9+(166.4-55.5)+(0+(0-0))+0-212.1-0</f>
        <v>418.69999999999993</v>
      </c>
      <c r="R291" s="3">
        <f>548.2+(196.8-49.1)+(-0.838746+(-0.301104--0.075123))+0-197.2--0.301716000000011</f>
        <v>497.93698900000015</v>
      </c>
      <c r="S291" s="3">
        <f>547.6+(166.6-58.3)+(0+(0-0))+0-182-0</f>
        <v>473.9</v>
      </c>
      <c r="T291" s="3">
        <f>548.2+(165.8-58.3)+(-0.279582+(-0.084558--0.029733))+0-192.3--0.0980729999999805</f>
        <v>463.16366599999998</v>
      </c>
      <c r="U291" s="3">
        <f>548.9+(146.3-74.1)+(0.559878+(0.149226-0.075582))+0-203.2-0.207264000000032</f>
        <v>418.326258</v>
      </c>
      <c r="V291" s="3">
        <f>546.4+(180.7-81.1)+(0.278664+(0.092157-0.041361))+0-210.4-0.107303999999979</f>
        <v>435.82215600000006</v>
      </c>
      <c r="W291" s="3">
        <f>556.5+(287.3-146.2)+(0.851445+(0.439569-0.223686))+0-218.7-0.334611000000013</f>
        <v>479.63271700000001</v>
      </c>
      <c r="X291" s="3">
        <f>557+(264.2-105.6)+(-1.42035+(-0.67371--0.26928))+0-228.4--0.582419999999967</f>
        <v>485.95763999999997</v>
      </c>
      <c r="Y291" s="3">
        <f>556.4+(207.9-87.8)+(-0.567528+(-0.212058--0.089556))+0-212.1--0.216342000000034</f>
        <v>463.92631200000005</v>
      </c>
      <c r="Z291" s="3">
        <f>555.3+(178.3-53)+(-1.982421+(-0.636531--0.18921))+0-218.5--0.780045000000003</f>
        <v>460.45030299999991</v>
      </c>
      <c r="AA291" s="3">
        <f>554.9+(149.9-30.6)+(-1.697994+(-0.458694--0.093636))+0-222.5--0.680850000000026</f>
        <v>450.3177980000001</v>
      </c>
      <c r="AB291" s="3">
        <f>555+(129.2-31.3)+(-0.28305+(-0.065892--0.015963))+0-210.9--0.107558999999979</f>
        <v>441.77457999999996</v>
      </c>
      <c r="AC291" s="3">
        <f>554.9+(108.3-59.1)+(0.282999+(0.055233-0.030141))+0-195.7-0.0998069999999801</f>
        <v>408.60828400000003</v>
      </c>
      <c r="AD291">
        <v>478.19999999999993</v>
      </c>
      <c r="AE291" s="3">
        <f>558+(289.4-132.6)+(0+(0-0))+0-236.6-0</f>
        <v>478.19999999999993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563.7+(124.2-61.8)+(-1.437435+(-0.31671--0.15759))+0-205.9--0.52504499999997</f>
        <v>419.12849000000006</v>
      </c>
      <c r="G292" s="3">
        <f>570.2+(117.9-86.7)+(0+(0-0))+0-201.3-0</f>
        <v>400.10000000000008</v>
      </c>
      <c r="H292" s="3">
        <f>566.6+(122.2-79.3)+(-0.288966+(-0.062322--0.040443))+0-205.4--0.104753999999979</f>
        <v>403.89390900000001</v>
      </c>
      <c r="I292" s="3">
        <f>572.8+(118.1-95.2)+(0.584256+(0.120462-0.097104))+0-197.6-0.201552000000032</f>
        <v>398.50606199999987</v>
      </c>
      <c r="J292" s="3">
        <f>567.6+(122.2-84.1)+(-0.578952+(-0.124644--0.085782))+0-212--0.216240000000034</f>
        <v>393.29842600000012</v>
      </c>
      <c r="K292" s="3">
        <f>573.5+(121.3-98)+(0.877455+(0.185589-0.14994))+0-204.9-0.313497000000012</f>
        <v>392.49960699999997</v>
      </c>
      <c r="L292" s="3">
        <f>567.4+(62-109.3)+(0+(0-0))+0-199.7-0</f>
        <v>320.40000000000003</v>
      </c>
      <c r="M292" s="3">
        <f>509.3+(125.9-123.1)+(-0.259743+(-0.064209--0.062781))+0-194--0.0989399999999803</f>
        <v>317.937769</v>
      </c>
      <c r="N292" s="3">
        <f>491.6+(161.7-128.5)+(0.250716+(0.082467-0.065535))+0-212.8-0.108527999999978</f>
        <v>312.15911999999997</v>
      </c>
      <c r="O292" s="3">
        <f>515.7+(118-128.3)+(0.789021+(0.18054-0.196299))+0-185.7-0.284121000000011</f>
        <v>320.18914100000001</v>
      </c>
      <c r="P292" s="3">
        <f>538.4+(132.9-143.5)+(0+(0-0))+0-179.8-0</f>
        <v>347.99999999999994</v>
      </c>
      <c r="Q292" s="3">
        <f>537+(146.1-135.3)+(-0.82161+(-0.223533--0.207009))+0-180.4--0.27601200000001</f>
        <v>366.83787800000005</v>
      </c>
      <c r="R292" s="3">
        <f>534+(176.9-122.5)+(-1.3617+(-0.451095--0.312375))+0-169.1--0.431204999999975</f>
        <v>418.23078499999997</v>
      </c>
      <c r="S292" s="3">
        <f>539.4+(158.8-137.2)+(-0.825282+(-0.242964--0.209916))+0-149.5--0.228735000000009</f>
        <v>410.87040500000001</v>
      </c>
      <c r="T292" s="3">
        <f>541.5+(125.3-99.5)+(-0.828495+(-0.191709--0.152235))+0-167.8--0.25673400000001</f>
        <v>398.88876499999992</v>
      </c>
      <c r="U292" s="3">
        <f>546.2+(137.7-117.8)+(0.835686+(0.210681-0.180234))+0-174.6-0.26713800000001</f>
        <v>392.098995</v>
      </c>
      <c r="V292" s="3">
        <f>543.7+(171.5-130.8)+(0+(0-0))+0-184.3-0</f>
        <v>400.10000000000008</v>
      </c>
      <c r="W292" s="3">
        <f>551.9+(283.1-176.4)+(-0.562938+(-0.288762--0.179928))+0-204.1--0.208182000000033</f>
        <v>454.03640999999999</v>
      </c>
      <c r="X292" s="3">
        <f>573+(273.8-181.3)+(-0.58446+(-0.279276--0.184926))+0-214.2--0.218484000000034</f>
        <v>450.83967400000006</v>
      </c>
      <c r="Y292" s="3">
        <f>577.7+(243.6-158.7)+(-0.589254+(-0.248472--0.161874))+0-213.2--0.217464000000034</f>
        <v>448.94161200000008</v>
      </c>
      <c r="Z292" s="3">
        <f>573.1+(195.6-101.2)+(-0.584562+(-0.199512--0.103224))+0-222--0.226440000000035</f>
        <v>445.04559000000006</v>
      </c>
      <c r="AA292" s="3">
        <f>572+(161.3-83.4)+(-0.29172+(-0.082263--0.042534))+0-200.2--0.10210199999998</f>
        <v>449.47065299999997</v>
      </c>
      <c r="AB292" s="3">
        <f>571.5+(126.3-70.7)+(-0.58293+(-0.128826--0.072114))+0-191.4--0.195228000000031</f>
        <v>435.25558600000011</v>
      </c>
      <c r="AC292" s="3">
        <f>570.5+(123.7-86.2)+(-1.16382+(-0.252348--0.175848))+0-183.9--0.375155999999992</f>
        <v>423.23483600000003</v>
      </c>
      <c r="AD292">
        <v>479.4</v>
      </c>
      <c r="AE292" s="3">
        <f>576+(282.5-168.7)+(0+(0-0))+0-210.4-0</f>
        <v>479.4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571.9+(107.3-168.8)+(-1.458345+(-0.273615--0.43044))+0-160.7--0.409784999999977</f>
        <v>348.80826500000001</v>
      </c>
      <c r="G293" s="3">
        <f>571.7+(117.2-160.8)+(0+(0-0))+0-189.4-0</f>
        <v>338.70000000000005</v>
      </c>
      <c r="H293" s="3">
        <f>487.2+(136.6-99.4)+(0.496944+(0.139332-0.101388))+0-207.3-0.211446000000033</f>
        <v>317.42344199999997</v>
      </c>
      <c r="I293" s="3">
        <f>481.3+(134.1-86.1)+(-0.245463+(-0.068391--0.043911))+0-208.8--0.106487999999979</f>
        <v>320.33654499999989</v>
      </c>
      <c r="J293" s="3">
        <f>485+(133.5-99.5)+(0.4947+(0.13617-0.10149))+0-202.7-0.206754000000032</f>
        <v>316.62262599999991</v>
      </c>
      <c r="K293" s="3">
        <f>479.3+(147.8-102.3)+(-0.733329+(-0.226134--0.156519))+0-199.1--0.304623000000012</f>
        <v>325.20167900000001</v>
      </c>
      <c r="L293" s="3">
        <f>483.9+(107.5-50.4)+(-0.493578+(-0.10965--0.051408))+0-188.4--0.19216800000003</f>
        <v>352.24034800000004</v>
      </c>
      <c r="M293" s="3">
        <f>482.3+(108.7-6)+(-0.245973+(-0.055437--0.00306))+0-199.4--0.10169399999998</f>
        <v>385.40334399999995</v>
      </c>
      <c r="N293" s="3">
        <f>484.9+(161.7-43.5)+(0.247299+(0.082467-0.022185))+0-186.7-0.0952169999999811</f>
        <v>416.61236399999996</v>
      </c>
      <c r="O293" s="3">
        <f>482.4+(158.6-20.4)+(0+(0-0))+0-190.8-0</f>
        <v>429.7999999999999</v>
      </c>
      <c r="P293" s="3">
        <f>482.4+(165.8-14.3)+(0.246024+(0.084558-0.007293))+0-195.9-0.0999089999999801</f>
        <v>438.22338000000008</v>
      </c>
      <c r="Q293" s="3">
        <f>486.4+(178-14.7)+(-0.744192+(-0.27234--0.022491))+0-192.7--0.294831000000011</f>
        <v>456.30079000000001</v>
      </c>
      <c r="R293" s="3">
        <f>488+(183.1-27.5)+(-0.49776+(-0.186762--0.02805))+0-190.8--0.19461600000003</f>
        <v>452.33814400000006</v>
      </c>
      <c r="S293" s="3">
        <f>508.5+(133-18.2)+(-0.51867+(-0.13566--0.018564))+0-186.8--0.19053600000003</f>
        <v>436.05476999999996</v>
      </c>
      <c r="T293" s="3">
        <f>573.5+(97.9-75.1)+(0.58497+(0.099858-0.076602))+0-184.4-0.188088000000029</f>
        <v>412.32013799999987</v>
      </c>
      <c r="U293" s="3">
        <f>573.8+(102.8-64.6)+(-0.585276+(-0.104856--0.065892))+0-209.4--0.213588000000033</f>
        <v>402.18934800000005</v>
      </c>
      <c r="V293" s="3">
        <f>574.7+(99.6-52.5)+(0+(0-0))+0-198.5-0</f>
        <v>423.30000000000007</v>
      </c>
      <c r="W293" s="3">
        <f>575.6+(127.2-20.6)+(0.587112+(0.129744-0.021012))+0-216.9-0.221238000000035</f>
        <v>465.77460600000001</v>
      </c>
      <c r="X293" s="3">
        <f>575.8+(127.9-23.1)+(-0.880974+(-0.195687--0.035343))+0-208--0.318240000000012</f>
        <v>471.87692199999987</v>
      </c>
      <c r="Y293" s="3">
        <f>566.9+(128.1-16)+(-0.289119+(-0.065331--0.00816))+0-198.7--0.10133699999998</f>
        <v>480.05504700000006</v>
      </c>
      <c r="Z293" s="3">
        <f>567.1+(122.6-11)+(-1.156884+(-0.250104--0.02244))+0-204.9--0.417995999999991</f>
        <v>472.83344800000009</v>
      </c>
      <c r="AA293" s="3">
        <f>567.2+(121.2-19.5)+(-0.578544+(-0.123624--0.01989))+0-208.7--0.212874000000033</f>
        <v>459.73059600000016</v>
      </c>
      <c r="AB293" s="3">
        <f>566.2+(101.8-23.3)+(-0.288762+(-0.051918--0.011883))+0-205.3--0.104702999999979</f>
        <v>439.175906</v>
      </c>
      <c r="AC293" s="3">
        <f>566.8+(95.1-30.4)+(-0.867204+(-0.145503--0.046512))+0-215.6--0.329868000000012</f>
        <v>415.26367300000004</v>
      </c>
      <c r="AD293">
        <v>537.79999999999995</v>
      </c>
      <c r="AE293" s="3">
        <f>581+(186.6-22)+(0+(0-0))+0-207.8-0</f>
        <v>537.79999999999995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552.6+(131.6-121)+(-1.127304+(-0.268464--0.24684))+0-207.5--0.423299999999991</f>
        <v>354.97437200000007</v>
      </c>
      <c r="G294" s="3">
        <f>552+(142.2-129)+(-0.84456+(-0.217566--0.19737))+0-209.3--0.320229000000012</f>
        <v>355.35547300000002</v>
      </c>
      <c r="H294" s="3">
        <f>553.3+(118.3-122.2)+(-0.282183+(-0.060333--0.062322))+0-205.7--0.104906999999979</f>
        <v>343.52471299999991</v>
      </c>
      <c r="I294" s="3">
        <f>553.7+(154.3-155.5)+(-0.847161+(-0.236079--0.237915))+0-210.9--0.322677000000012</f>
        <v>341.07735200000002</v>
      </c>
      <c r="J294" s="3">
        <f>553+(121.2-127.5)+(0+(0-0))+0-218.3-0</f>
        <v>328.40000000000003</v>
      </c>
      <c r="K294" s="3">
        <f>553+(119.1-114.8)+(-0.84609+(-0.182223--0.175644))+0-217.1--0.332163000000013</f>
        <v>339.67949399999998</v>
      </c>
      <c r="L294" s="3">
        <f>553+(109-82)+(0+(0-0))+0-200-0</f>
        <v>380</v>
      </c>
      <c r="M294" s="3">
        <f>551+(97-66)+(0+(0-0))+0-190-0</f>
        <v>392</v>
      </c>
      <c r="N294" s="3">
        <f>556+(109-58)+(0+(0-0))+0-180-0</f>
        <v>427</v>
      </c>
      <c r="O294" s="3">
        <f>556+(119-47)+(0+(0-0))+0-190-0</f>
        <v>438</v>
      </c>
      <c r="P294" s="3">
        <f>550+(137-40)+(0+(0-0))+0-175-0</f>
        <v>472</v>
      </c>
      <c r="Q294" s="3">
        <f>546+(137-44)+(0+(0-0))+0-187-0</f>
        <v>452</v>
      </c>
      <c r="R294" s="3">
        <f>548+(160.3-85)+(0+(0-0))+0-179-0</f>
        <v>444.29999999999995</v>
      </c>
      <c r="S294" s="3">
        <f>551+(108.2-48)+(0+(0-0))+0-195-0</f>
        <v>416.20000000000005</v>
      </c>
      <c r="T294" s="3">
        <f>544+(117-61)+(-0.83232+(-0.17901--0.09333))+0-176--0.26928000000001</f>
        <v>423.35128000000003</v>
      </c>
      <c r="U294" s="3">
        <f>555+(101.3-47)+(0+(0-0))+0-178-0</f>
        <v>431.29999999999995</v>
      </c>
      <c r="V294" s="3">
        <f>551+(108.2-46.5)+(0.56202+(0.110364-0.04743))+0-170-0.173400000000027</f>
        <v>443.15155400000003</v>
      </c>
      <c r="W294" s="3">
        <f>557+(205.5-90.6)+(0.56814+(0.20961-0.092412))+0-198-0.201960000000032</f>
        <v>474.38337799999994</v>
      </c>
      <c r="X294" s="3">
        <f>561+(198.4-93.2)+(-0.57222+(-0.202368--0.095064))+0-165--0.168300000000026</f>
        <v>500.68877600000008</v>
      </c>
      <c r="Y294" s="3">
        <f>559+(193.1-83.8)+(-0.28509+(-0.098481--0.042738))+0-182--0.0928199999999815</f>
        <v>486.05198699999994</v>
      </c>
      <c r="Z294" s="3">
        <f>561+(178.9-66.8)+(-0.28611+(-0.091239--0.034068))+0-179--0.0912899999999818</f>
        <v>493.84800899999993</v>
      </c>
      <c r="AA294" s="3">
        <f>559+(146-48.6)+(0+(0-0))+0-180-0</f>
        <v>476.4</v>
      </c>
      <c r="AB294" s="3">
        <f>559+(129.8-52.1)+(0+(0-0))+0-186-0</f>
        <v>450.70000000000005</v>
      </c>
      <c r="AC294" s="3">
        <f>558+(130.8-79.6)+(-0.85374+(-0.200124--0.121788))+0-189--0.289170000000011</f>
        <v>419.55709400000001</v>
      </c>
      <c r="AD294">
        <v>652.4</v>
      </c>
      <c r="AE294" s="3">
        <f>547+(289-106.6)+(0+(0-0))+0-77-0</f>
        <v>652.4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552+(127-114.9)+(-0.56304+(-0.12954--0.117198))+0-119--0.121380000000019</f>
        <v>444.64599800000008</v>
      </c>
      <c r="G295" s="3">
        <f>553+(145.3-105.9)+(-1.69218+(-0.444618--0.324054))+0-144--0.440640000000017</f>
        <v>447.02789600000006</v>
      </c>
      <c r="H295" s="3">
        <f>553.7+(138.7-111.7)+(0+(0-0))+0-143-0</f>
        <v>437.70000000000005</v>
      </c>
      <c r="I295" s="3">
        <f>544.6+(152.9-126.1)+(-0.555492+(-0.155958--0.128622))+0-147--0.149940000000023</f>
        <v>423.96711200000016</v>
      </c>
      <c r="J295" s="3">
        <f>541.7+(151-131.1)+(-0.276267+(-0.07701--0.066861))+0-145--0.0739499999999853</f>
        <v>416.38753399999996</v>
      </c>
      <c r="K295" s="3">
        <f>542.6+(143.1-124.5)+(0.830178+(0.218943-0.190485))+0-141-0.215730000000008</f>
        <v>420.84290600000008</v>
      </c>
      <c r="L295" s="3">
        <f>543.6+(114-81.7)+(-0.277236+(-0.05814--0.041667))+0-132--0.0673199999999866</f>
        <v>443.67361099999994</v>
      </c>
      <c r="M295" s="3">
        <f>542.6+(109-57.2)+(-0.553452+(-0.11118--0.058344))+0-127--0.12954000000002</f>
        <v>466.92325200000005</v>
      </c>
      <c r="N295" s="3">
        <f>554+(99-55.4)+(-0.84762+(-0.15147--0.084762))+0-89--0.136170000000005</f>
        <v>507.82184200000006</v>
      </c>
      <c r="O295" s="3">
        <f>553+(101-44.6)+(-0.28203+(-0.05151--0.022746))+0-101--0.0515099999999898</f>
        <v>508.140716</v>
      </c>
      <c r="P295" s="3">
        <f>543+(137.2-56)+(-0.55386+(-0.139944--0.05712))+0-116--0.118320000000018</f>
        <v>507.68163600000014</v>
      </c>
      <c r="Q295" s="3">
        <f>547.2+(123.4-45.6)+(-0.558144+(-0.125868--0.046512))+0-107--0.109140000000017</f>
        <v>517.47163999999998</v>
      </c>
      <c r="R295" s="3">
        <f>541.8+(149.8-74.6)+(-1.105272+(-0.305592--0.152184))+0-111--0.226439999999995</f>
        <v>504.96775999999994</v>
      </c>
      <c r="S295" s="3">
        <f>545.3+(127.3-50.8)+(-0.834309+(-0.194769--0.077724))+0-124--0.189720000000007</f>
        <v>497.03836599999994</v>
      </c>
      <c r="T295" s="3">
        <f>546.1+(102.7-57.7)+(-0.278511+(-0.052377--0.029427))+0-122--0.0622199999999876</f>
        <v>468.86075899999997</v>
      </c>
      <c r="U295" s="3">
        <f>546.7+(106.5-71.2)+(-0.278817+(-0.054315--0.036312))+0-115--0.0586499999999883</f>
        <v>466.76182999999997</v>
      </c>
      <c r="V295" s="3">
        <f>545.4+(116.8-49.7)+(0+(0-0))+0-133-0</f>
        <v>479.5</v>
      </c>
      <c r="W295" s="3">
        <f>543.6+(202.5-88)+(-0.277236+(-0.103275--0.04488))+0-123--0.0627299999999875</f>
        <v>534.82709899999998</v>
      </c>
      <c r="X295" s="3">
        <f>541.2+(252.9-126.1)+(-0.828036+(-0.386937--0.192933))+0-130--0.198900000000008</f>
        <v>537.17686000000003</v>
      </c>
      <c r="Y295" s="3">
        <f>542.3+(215-102.5)+(-1.106292+(-0.4386--0.2091))+0-129--0.263159999999994</f>
        <v>524.72736799999996</v>
      </c>
      <c r="Z295" s="3">
        <f>541.3+(173-72.6)+(-0.828189+(-0.26469--0.111078))+0-122--0.186660000000007</f>
        <v>518.90485899999987</v>
      </c>
      <c r="AA295" s="3">
        <f>537.3+(163.9-65.9)+(-1.644138+(-0.501534--0.201654))+0-131--0.400860000000015</f>
        <v>502.75684199999995</v>
      </c>
      <c r="AB295" s="3">
        <f>542.1+(110.9-50.7)+(-0.552942+(-0.113118--0.051714))+0-115--0.117300000000018</f>
        <v>486.80295400000011</v>
      </c>
      <c r="AC295" s="3">
        <f>542.5+(118.2-84.9)+(-0.276675+(-0.060282--0.043299))+0-109--0.0555899999999889</f>
        <v>466.5619319999999</v>
      </c>
      <c r="AD295">
        <v>612.20000000000005</v>
      </c>
      <c r="AE295" s="3">
        <f>538+(279.5-93.3)+(0+(0-0))+0-112-0</f>
        <v>612.20000000000005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542.2+(138.1-67.5)+(-0.276522+(-0.070431--0.034425))+0-105--0.0535499999999893</f>
        <v>507.541022</v>
      </c>
      <c r="G296" s="3">
        <f>538.3+(133.7-68.1)+(-1.372665+(-0.340935--0.173655))+0-109--0.277949999999984</f>
        <v>493.63800499999996</v>
      </c>
      <c r="H296" s="3">
        <f>491.4+(141.5-37.3)+(-0.250614+(-0.072165--0.019023))+0-108--0.055079999999989</f>
        <v>487.35132399999998</v>
      </c>
      <c r="I296" s="3">
        <f>476.4+(140-33.3)+(0+(0-0))+0-110-0</f>
        <v>473.1</v>
      </c>
      <c r="J296" s="3">
        <f>477.3+(151-35.7)+(0.243423+(0.07701-0.018207))+0-114-0.0581399999999884</f>
        <v>478.84408600000006</v>
      </c>
      <c r="K296" s="3">
        <f>479.6+(157.1-46.6)+(0.489192+(0.160242-0.047532))+0-118-0.120360000000019</f>
        <v>472.58154200000001</v>
      </c>
      <c r="L296" s="3">
        <f>486+(251.5-121.6)+(-0.24786+(-0.128265--0.062016))+0-126--0.0642599999999872</f>
        <v>489.65015099999994</v>
      </c>
      <c r="M296" s="3">
        <f>559.2+(196.5-116.7)+(0+(0-0))+0-115-0</f>
        <v>524</v>
      </c>
      <c r="N296" s="3">
        <f>559.3+(205.1-94.3)+(0+(0-0))+0-123-0</f>
        <v>547.09999999999991</v>
      </c>
      <c r="O296" s="3">
        <f>558.7+(186.3-110.1)+(0+(0-0))+0-101-0</f>
        <v>533.90000000000009</v>
      </c>
      <c r="P296" s="3">
        <f>558.3+(208.4-108.1)+(-0.569466+(-0.212568--0.110262))+0-122--0.124440000000019</f>
        <v>536.05266799999993</v>
      </c>
      <c r="Q296" s="3">
        <f>562.4+(211-98.6)+(-0.573648+(-0.21522--0.100572))+0-128--0.13056000000002</f>
        <v>546.24226399999998</v>
      </c>
      <c r="R296" s="3">
        <f>557.4+(135.3-96)+(-1.42137+(-0.345015--0.2448))+0-113--0.288149999999984</f>
        <v>482.46656500000006</v>
      </c>
      <c r="S296" s="3">
        <f>559.6+(144.9-104.5)+(0.285396+(0.073899-0.053295))+0-125-0.0637499999999873</f>
        <v>475.24225000000007</v>
      </c>
      <c r="T296" s="3">
        <f>557.6+(119-90.3)+(0.284376+(0.06069-0.046053))+0-120-0.0611999999999878</f>
        <v>466.53781300000003</v>
      </c>
      <c r="U296" s="3">
        <f>554.2+(87.7-61.7)+(0+(0-0))+0-110-0</f>
        <v>470.20000000000005</v>
      </c>
      <c r="V296" s="3">
        <f>553.7+(77.9-54.3)+(-0.847161+(-0.119187--0.083079))+0-96--0.146880000000006</f>
        <v>480.56361100000004</v>
      </c>
      <c r="W296" s="3">
        <f>556.7+(159.4-89.9)+(-0.567834+(-0.162588--0.091698))+0-94--0.095880000000015</f>
        <v>531.65715599999999</v>
      </c>
      <c r="X296" s="3">
        <f>558.8+(247.7-143.4)+(-0.854964+(-0.378981--0.219402))+0-118--0.180540000000007</f>
        <v>544.26599699999986</v>
      </c>
      <c r="Y296" s="3">
        <f>556+(219.9-124.2)+(-1.4178+(-0.560745--0.31671))+0-123--0.313649999999982</f>
        <v>527.35181499999999</v>
      </c>
      <c r="Z296" s="3">
        <f>558.3+(136.5-53.6)+(-0.284733+(-0.069615--0.027336))+0-117--0.0596699999999881</f>
        <v>523.93265799999995</v>
      </c>
      <c r="AA296" s="3">
        <f>555.8+(147.7-63.6)+(-1.133832+(-0.301308--0.129744))+0-125--0.254999999999995</f>
        <v>513.849604</v>
      </c>
      <c r="AB296" s="3">
        <f>555+(110.3-33)+(-1.41525+(-0.281265--0.08415))+0-122--0.311099999999982</f>
        <v>508.99873500000001</v>
      </c>
      <c r="AC296" s="3">
        <f>553.8+(114-87.3)+(-1.977066+(-0.40698--0.311661))+0-122--0.435540000000002</f>
        <v>456.86315499999995</v>
      </c>
      <c r="AD296">
        <v>633.29999999999995</v>
      </c>
      <c r="AE296" s="3">
        <f>555+(271.4-96.1)+(0+(0-0))+0-97-0</f>
        <v>633.29999999999995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551.5+(145-102.2)+(-0.56253+(-0.1479--0.104244))+0-125--0.12750000000002</f>
        <v>468.82131399999997</v>
      </c>
      <c r="G297" s="3">
        <f>477.5+(183-60.9)+(-0.9741+(-0.37332--0.124236))+0-134--0.273359999999994</f>
        <v>464.65017600000004</v>
      </c>
      <c r="H297" s="3">
        <f>476.1+(176-86.6)+(-0.242811+(-0.08976--0.044166))+0-118--0.060179999999988</f>
        <v>447.27177499999999</v>
      </c>
      <c r="I297" s="3">
        <f>475.1+(168-95.7)+(-0.726903+(-0.25704--0.146421))+0-112--0.171360000000006</f>
        <v>434.73383799999993</v>
      </c>
      <c r="J297" s="3">
        <f>477.2+(172-97.1)+(0+(0-0))+0-110-0</f>
        <v>442.1</v>
      </c>
      <c r="K297" s="3">
        <f>477.3+(172-82.9)+(0+(0-0))+0-91-0</f>
        <v>475.4</v>
      </c>
      <c r="L297" s="3">
        <f>477.1+(126-53)+(0+(0-0))+0-93-0</f>
        <v>457.1</v>
      </c>
      <c r="M297" s="3">
        <f>477.1+(134.9-42.7)+(0.243321+(0.068799-0.021777))+0-88-0.0448799999999911</f>
        <v>481.5454630000001</v>
      </c>
      <c r="N297" s="3">
        <f>519.1+(141.1-42.7)+(0.529482+(0.143922-0.043554))+0-92-0.0938400000000147</f>
        <v>526.03601000000003</v>
      </c>
      <c r="O297" s="3">
        <f>554+(110-57)+(0.84762+(0.1683-0.08721))+0-101-0.154530000000006</f>
        <v>506.77418</v>
      </c>
      <c r="P297" s="3">
        <f>552.4+(145.4-73)+(0.563448+(0.148308-0.07446))+0-110-0.112200000000018</f>
        <v>515.32509599999992</v>
      </c>
      <c r="Q297" s="3">
        <f>555.2+(115.6-57)+(-0.566304+(-0.117912--0.05814))+0-97--0.0989400000000155</f>
        <v>516.27286400000003</v>
      </c>
      <c r="R297" s="3">
        <f>550.1+(135.3-71)+(-1.683306+(-0.414018--0.21726))+0-104--0.318240000000012</f>
        <v>508.83817600000015</v>
      </c>
      <c r="S297" s="3">
        <f>546.6+(132.2-81.7)+(0.278766+(0.067422-0.041667))+0-104-0.0530399999999895</f>
        <v>493.35148100000004</v>
      </c>
      <c r="T297" s="3">
        <f>542.8+(123.9-91.5)+(0.276828+(0.063189-0.046665))+0-101-0.0515099999999898</f>
        <v>474.44184199999995</v>
      </c>
      <c r="U297" s="3">
        <f>543.1+(146.3-117.6)+(0.276981+(0.074613-0.059976))+0-112-0.0571199999999886</f>
        <v>460.03449800000004</v>
      </c>
      <c r="V297" s="3">
        <f>542+(217.6-165.3)+(-0.27642+(-0.110976--0.084303))+0-108--0.055079999999989</f>
        <v>486.05198699999994</v>
      </c>
      <c r="W297" s="3">
        <f>549.5+(247.1-148.2)+(-0.280245+(-0.126021--0.075582))+0-108--0.055079999999989</f>
        <v>540.12439599999993</v>
      </c>
      <c r="X297" s="3">
        <f>551.7+(233.9-127.9)+(-0.562734+(-0.238578--0.130458))+0-105--0.107100000000017</f>
        <v>552.13624600000014</v>
      </c>
      <c r="Y297" s="3">
        <f>554+(156-60.4)+(-0.28254+(-0.07956--0.030804))+0-105--0.0535499999999893</f>
        <v>544.32225400000004</v>
      </c>
      <c r="Z297" s="3">
        <f>553+(129.1-41.2)+(-0.28203+(-0.065841--0.021012))+0-111--0.0566099999999887</f>
        <v>529.62975099999994</v>
      </c>
      <c r="AA297" s="3">
        <f>549.8+(141.2-59)+(-1.121592+(-0.288048--0.12036))+0-107--0.218279999999995</f>
        <v>523.92900000000009</v>
      </c>
      <c r="AB297" s="3">
        <f>555+(131.7-89.5)+(0.28305+(0.067167-0.045645))+0-103-0.0525299999999896</f>
        <v>494.45204200000006</v>
      </c>
      <c r="AC297" s="3">
        <f>540.9+(280.4-242.3)+(-1.379295+(-0.71502--0.617865))+0-105--0.267749999999985</f>
        <v>472.79129999999998</v>
      </c>
      <c r="AD297">
        <v>628</v>
      </c>
      <c r="AE297" s="3">
        <f>553+(301.4-140.4)+(0+(0-0))+0-86-0</f>
        <v>628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415.8+(277-140.1)+(-0.424116+(-0.28254--0.142902))+0-102--0.104040000000016</f>
        <v>450.24028600000003</v>
      </c>
      <c r="G298" s="3">
        <f>168.1+(389.9-24.9)+(0.085731+(0.198849-0.012699))+0-109-0.0555899999999889</f>
        <v>424.31629100000004</v>
      </c>
      <c r="H298" s="3">
        <f>159.7+(374.2-0)+(0+(0-0))+0-119-0</f>
        <v>414.9</v>
      </c>
      <c r="I298" s="3">
        <f>163.6+(360.3-0)+(0.083436+(0.183753-0))+0-116-0.0591599999999882</f>
        <v>408.10802900000004</v>
      </c>
      <c r="J298" s="3">
        <f>158.6+(370.4-0)+(-0.40443+(-0.94452-0))+0-122--0.311099999999982</f>
        <v>405.96215000000007</v>
      </c>
      <c r="K298" s="3">
        <f>164.5+(358.8-0)+(0.16779+(0.365976-0))+0-119-0.121380000000019</f>
        <v>404.71238599999992</v>
      </c>
      <c r="L298" s="3">
        <f>163.2+(414.3-36.4)+(0+(0-0))+0-123-0</f>
        <v>418.1</v>
      </c>
      <c r="M298" s="3">
        <f>163.3+(418.6-43.6)+(-0.083283+(-0.213486--0.022236))+0-85--0.0433499999999914</f>
        <v>453.06881699999991</v>
      </c>
      <c r="N298" s="3">
        <f>163.8+(406.8-29.5)+(0.167076+(0.414936-0.03009))+0-74-0.0754800000000118</f>
        <v>467.57644199999999</v>
      </c>
      <c r="O298" s="3">
        <f>162.5+(371.8-6.1)+(0.248625+(0.568854-0.009333))+0-72-0.110160000000004</f>
        <v>456.897986</v>
      </c>
      <c r="P298" s="3">
        <f>207.4+(322.1-4.9)+(0+(0-0))+0-56-0</f>
        <v>468.6</v>
      </c>
      <c r="Q298" s="3">
        <f>213.7+(335.2-4.9)+(-0.217974+(-0.341904--0.004998))+0-62--0.0632400000000099</f>
        <v>481.50835999999998</v>
      </c>
      <c r="R298" s="3">
        <f>212.2+(348.4-4.9)+(-0.324666+(-0.533052--0.007497))+0-88--0.134640000000005</f>
        <v>466.984419</v>
      </c>
      <c r="S298" s="3">
        <f>211.8+(360.3-4.9)+(-0.54009+(-0.918765--0.012495))+0-110--0.280499999999984</f>
        <v>456.03413999999998</v>
      </c>
      <c r="T298" s="3">
        <f>213+(348.4-5.2)+(-0.65178+(-1.066104--0.015912))+0-119--0.364140000000014</f>
        <v>435.86216800000011</v>
      </c>
      <c r="U298" s="3">
        <f>213.5+(309.5-5.2)+(-0.43554+(-0.63138--0.010608))+0-97--0.197879999999996</f>
        <v>419.9415679999999</v>
      </c>
      <c r="V298" s="3">
        <f>217.4+(320.2-5.2)+(-0.110874+(-0.163302--0.002652))+0-85--0.0433499999999914</f>
        <v>447.17182599999995</v>
      </c>
      <c r="W298" s="3">
        <f>216.2+(361.7-5.3)+(-0.220524+(-0.368934--0.005406))+0-88--0.089760000000014</f>
        <v>484.10570799999988</v>
      </c>
      <c r="X298" s="3">
        <f>216.2+(368.7-5.5)+(-0.330786+(-0.564111--0.008415))+0-87--0.133110000000005</f>
        <v>491.64662799999996</v>
      </c>
      <c r="Y298" s="3">
        <f>219.5+(348-5.5)+(0+(0-0))+0-77-0</f>
        <v>485</v>
      </c>
      <c r="Z298" s="3">
        <f>217.5+(332.1-5.5)+(-0.110925+(-0.169371--0.002805))+0-72--0.0367199999999927</f>
        <v>471.85922899999997</v>
      </c>
      <c r="AA298" s="3">
        <f>215.7+(332.7-5.5)+(-0.220014+(-0.339354--0.00561))+0-82--0.0836400000000131</f>
        <v>460.42988199999996</v>
      </c>
      <c r="AB298" s="3">
        <f>214.6+(320.3-5.5)+(-0.328338+(-0.490059--0.008415))+0-81--0.123930000000005</f>
        <v>447.71394800000002</v>
      </c>
      <c r="AC298" s="3">
        <f>212.2+(323-5.5)+(-0.54111+(-0.82365--0.014025))+0-100--0.254999999999986</f>
        <v>428.60426500000005</v>
      </c>
      <c r="AD298">
        <v>533.5</v>
      </c>
      <c r="AE298" s="3">
        <f>214+(378-5.5)+(0+(0-0))+0-53-0</f>
        <v>533.5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216.9+(322.4-26.6)+(-0.110619+(-0.164424--0.013566))+0-88--0.0448799999999911</f>
        <v>424.4834029999999</v>
      </c>
      <c r="G299" s="3">
        <f>216.7+(319.3-40.9)+(-0.110517+(-0.162843--0.020859))+0-78--0.0397799999999921</f>
        <v>416.88727900000004</v>
      </c>
      <c r="H299" s="3">
        <f>216.2+(346.4-53.6)+(-0.110262+(-0.176664--0.027336))+0-104--0.0530399999999895</f>
        <v>404.79344999999995</v>
      </c>
      <c r="I299" s="3">
        <f>220.1+(357.5-59.5)+(0.224502+(0.36465-0.06069))+0-118-0.120360000000019</f>
        <v>400.50810200000001</v>
      </c>
      <c r="J299" s="3">
        <f>216.4+(364.4-66)+(-0.220728+(-0.371688--0.06732))+0-107--0.109140000000017</f>
        <v>407.38404400000002</v>
      </c>
      <c r="K299" s="3">
        <f>218.1+(329.8-48.3)+(-0.111231+(-0.168198--0.024633))+0-97--0.0494699999999902</f>
        <v>402.39467400000001</v>
      </c>
      <c r="L299" s="3">
        <f>220.4+(294.8-7.9)+(0.112404+(0.150348-0.004029))+0-114-0.0581399999999884</f>
        <v>393.50058300000006</v>
      </c>
      <c r="M299" s="3">
        <f>217.5+(282-0)+(-0.22185+(-0.28764-0))+0-116--0.118320000000018</f>
        <v>383.10883000000001</v>
      </c>
      <c r="N299" s="3">
        <f>222.4+(273.7-0)+(0+(0-0))+0-107-0</f>
        <v>389.1</v>
      </c>
      <c r="O299" s="3">
        <f>223.2+(292.8-15.6)+(-0.227664+(-0.298656--0.015912))+0-116--0.118320000000018</f>
        <v>384.00791200000003</v>
      </c>
      <c r="P299" s="3">
        <f>223.3+(289.7-20.2)+(-0.113883+(-0.147747--0.010302))+0-91--0.0464099999999908</f>
        <v>401.59508199999999</v>
      </c>
      <c r="Q299" s="3">
        <f>221.9+(295.3-21)+(-0.226338+(-0.301206--0.02142))+0-106--0.108120000000017</f>
        <v>389.80199600000009</v>
      </c>
      <c r="R299" s="3">
        <f>224.1+(281.9-10)+(0.114291+(0.143769-0.0051))+0-101-0.0515099999999898</f>
        <v>395.20144999999997</v>
      </c>
      <c r="S299" s="3">
        <f>220.3+(276.1-0)+(-0.449412+(-0.563244-0))+0-110--0.224399999999995</f>
        <v>385.61174400000004</v>
      </c>
      <c r="T299" s="3">
        <f>222.4+(261.8-0)+(-0.113424+(-0.133518-0))+0-113--0.0576299999999885</f>
        <v>371.01068800000002</v>
      </c>
      <c r="U299" s="3">
        <f>222.7+(267.6-0)+(0+(0-0))+0-115-0</f>
        <v>375.3</v>
      </c>
      <c r="V299" s="3">
        <f>222.3+(282.7-0)+(-0.340119+(-0.432531-0))+0-113--0.172890000000007</f>
        <v>391.40024</v>
      </c>
      <c r="W299" s="3">
        <f>220.8+(314.8-0)+(-0.450432+(-0.642192-0))+0-102--0.208079999999996</f>
        <v>432.71545600000002</v>
      </c>
      <c r="X299" s="3">
        <f>219.9+(325-0)+(-0.560745+(-0.82875-0))+0-106--0.270299999999985</f>
        <v>437.78080499999993</v>
      </c>
      <c r="Y299" s="3">
        <f>220.6+(330.3-0)+(-0.112506+(-0.168453-0))+0-121--0.0617099999999877</f>
        <v>429.68075099999993</v>
      </c>
      <c r="Z299" s="3">
        <f>220.6+(322.5-0)+(-0.450024+(-0.6579-0))+0-123--0.250919999999995</f>
        <v>419.24299600000001</v>
      </c>
      <c r="AA299" s="3">
        <f>221.7+(310.7-0)+(-0.339201+(-0.475371-0))+0-123--0.188190000000007</f>
        <v>408.773618</v>
      </c>
      <c r="AB299" s="3">
        <f>221.9+(317.1-11.4)+(-0.226338+(-0.323442--0.011628))+0-123--0.12546000000002</f>
        <v>404.18730800000009</v>
      </c>
      <c r="AC299" s="3">
        <f>221.5+(330.6-44.6)+(-0.338895+(-0.505818--0.068238))+0-104--0.159120000000006</f>
        <v>402.88264500000002</v>
      </c>
      <c r="AD299">
        <v>497.1</v>
      </c>
      <c r="AE299" s="3">
        <f>218+(332.1-0)+(0+(0-0))+0-53-0</f>
        <v>497.1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219.9+(336.9-56.6)+(-0.112149+(-0.171819--0.028866))+0-116--0.0591599999999882</f>
        <v>384.00405799999987</v>
      </c>
      <c r="G300" s="3">
        <f>219.4+(317-57.3)+(-0.111894+(-0.16167--0.029223))+0-112--0.0571199999999886</f>
        <v>366.912779</v>
      </c>
      <c r="H300" s="3">
        <f>219.2+(303.7-58.3)+(-0.223584+(-0.309774--0.059466))+0-111--0.113220000000018</f>
        <v>353.239328</v>
      </c>
      <c r="I300" s="3">
        <f>221.5+(295.7-51.2)+(0+(0-0))+0-118-0</f>
        <v>348</v>
      </c>
      <c r="J300" s="3">
        <f>222.3+(291-48.4)+(-0.340119+(-0.44523--0.074052))+0-119--0.182070000000007</f>
        <v>345.37077299999999</v>
      </c>
      <c r="K300" s="3">
        <f>223.9+(256.8-23.9)+(0+(0-0))+0-110-0</f>
        <v>346.8</v>
      </c>
      <c r="L300" s="3">
        <f>226.1+(222.1-12.2)+(0.230622+(0.226542-0.012444))+0-107-0.109140000000017</f>
        <v>329.33557999999999</v>
      </c>
      <c r="M300" s="3">
        <f>223.2+(206.7-16.5)+(-0.113832+(-0.105417--0.008415))+0-96--0.0489599999999903</f>
        <v>317.23812599999997</v>
      </c>
      <c r="N300" s="3">
        <f>226.7+(214.3-16.8)+(0.346851+(0.327879-0.025704))+0-106-0.162180000000006</f>
        <v>318.686846</v>
      </c>
      <c r="O300" s="3">
        <f>223.9+(263.1-41.9)+(0+(0-0))+0-119-0</f>
        <v>326.10000000000002</v>
      </c>
      <c r="P300" s="3">
        <f>223.5+(248.4-22.2)+(-0.113985+(-0.126684--0.011322))+0-121--0.0617099999999877</f>
        <v>328.53236300000003</v>
      </c>
      <c r="Q300" s="3">
        <f>223.5+(279.3-53.1)+(-0.113985+(-0.142443--0.027081))+0-114--0.0581399999999884</f>
        <v>335.52879300000001</v>
      </c>
      <c r="R300" s="3">
        <f>221.2+(292.2-55.3)+(-0.451248+(-0.596088--0.112812))+0-123--0.250919999999995</f>
        <v>334.41639599999996</v>
      </c>
      <c r="S300" s="3">
        <f>224.3+(268.4-48.6)+(0.114393+(0.136884-0.024786))+0-117-0.0596699999999881</f>
        <v>327.26682100000005</v>
      </c>
      <c r="T300" s="3">
        <f>222+(245.1-28.3)+(-0.33966+(-0.375003--0.043299))+0-116--0.177480000000007</f>
        <v>322.30611599999997</v>
      </c>
      <c r="U300" s="3">
        <f>219.9+(238.2-23.2)+(-0.112149+(-0.121482--0.011832))+0-117--0.0596699999999881</f>
        <v>317.73787099999998</v>
      </c>
      <c r="V300" s="3">
        <f>219.2+(216.1-0)+(-0.223584+(-0.220422-0))+0-114--0.116280000000018</f>
        <v>320.97227399999997</v>
      </c>
      <c r="W300" s="3">
        <f>223.1+(272.2-0)+(0.227562+(0.277644-0))+0-122-0.124440000000019</f>
        <v>373.68076599999995</v>
      </c>
      <c r="X300" s="3">
        <f>220.2+(290.2-0)+(-0.449208+(-0.592008-0))+0-126--0.257039999999995</f>
        <v>383.61582399999998</v>
      </c>
      <c r="Y300" s="3">
        <f>219.6+(291-0)+(-0.447984+(-0.59364-0))+0-123--0.250919999999995</f>
        <v>386.80929600000002</v>
      </c>
      <c r="Z300" s="3">
        <f>222.4+(295.6-0)+(0+(0-0))+0-122-0</f>
        <v>396</v>
      </c>
      <c r="AA300" s="3">
        <f>221.8+(319.8-35.8)+(-0.113118+(-0.163098--0.018258))+0-109--0.0555899999999889</f>
        <v>396.59763200000003</v>
      </c>
      <c r="AB300" s="3">
        <f>221.5+(365.9-95.8)+(-0.112965+(-0.186609--0.048858))+0-104--0.0530399999999895</f>
        <v>387.40232399999996</v>
      </c>
      <c r="AC300" s="3">
        <f>219.6+(416.9-144.6)+(-0.447984+(-0.850476--0.294984))+0-106--0.216239999999995</f>
        <v>385.11276399999997</v>
      </c>
      <c r="AD300">
        <v>404.9</v>
      </c>
      <c r="AE300" s="3">
        <f>223+(290.9-0)+(0+(0-0))+0-109-0</f>
        <v>404.9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222.2+(435.9-184.2)+(-0.453288+(-0.889236--0.375768))+0-113--0.230519999999995</f>
        <v>360.16376400000001</v>
      </c>
      <c r="G301" s="3">
        <f>223.5+(476.2-220)+(-0.341955+(-0.728586--0.3366))+0-112--0.171360000000006</f>
        <v>367.13741899999997</v>
      </c>
      <c r="H301" s="3">
        <f>226+(461.9-212.6)+(-0.11526+(-0.235569--0.108426))+0-119--0.0606899999999879</f>
        <v>356.1182869999999</v>
      </c>
      <c r="I301" s="3">
        <f>224.3+(471.3-224)+(-0.457572+(-0.961452--0.45696))+0-112--0.228479999999995</f>
        <v>358.86641600000002</v>
      </c>
      <c r="J301" s="3">
        <f>223.1+(433.4-186.7)+(-0.341343+(-0.663102--0.285651))+0-102--0.156060000000006</f>
        <v>367.23726599999998</v>
      </c>
      <c r="K301" s="3">
        <f>227+(378.4-143.9)+(0.11577+(0.192984-0.073389))+0-110-0.0560999999999888</f>
        <v>351.67926499999999</v>
      </c>
      <c r="L301" s="3">
        <f>224.5+(365.1-87)+(-0.22899+(-0.372402--0.08874))+0-112--0.114240000000018</f>
        <v>390.20158800000002</v>
      </c>
      <c r="M301" s="3">
        <f>228.4+(397.6-86.5)+(0.116484+(0.202776-0.044115))+0-112-0.0571199999999886</f>
        <v>427.71802499999995</v>
      </c>
      <c r="N301" s="3">
        <f>226.7+(387.6-53.1)+(0+(0-0))+0-108-0</f>
        <v>453.20000000000005</v>
      </c>
      <c r="O301" s="3">
        <f>226.3+(385.6-29.4)+(0.115413+(0.196656-0.014994))+0-118-0.060179999999988</f>
        <v>464.73689499999995</v>
      </c>
      <c r="P301" s="3">
        <f>223.4+(365.5-12.8)+(0+(0-0))+0-173.3-0</f>
        <v>402.8</v>
      </c>
      <c r="Q301" s="3">
        <f>220.2+(378-14)+(-0.449208+(-0.77112--0.02856))+0-169.5--0.345779999999993</f>
        <v>413.85401200000001</v>
      </c>
      <c r="R301" s="3">
        <f>219.9+(376.3-12)+(-0.448596+(-0.767652--0.02448))+0-157.7--0.321707999999993</f>
        <v>425.62994000000003</v>
      </c>
      <c r="S301" s="3">
        <f>219.3+(387.2-34)+(-0.447372+(-0.789888--0.06936))+0-161.3--0.329051999999993</f>
        <v>410.36115199999995</v>
      </c>
      <c r="T301" s="3">
        <f>224.4+(355.9-31.7)+(0.114444+(0.181509-0.016167))+0-154.1-0.0785909999999844</f>
        <v>394.70119499999998</v>
      </c>
      <c r="U301" s="3">
        <f>221.9+(358.6-48.7)+(-0.113169+(-0.182886--0.024837))+0-147.7--0.075326999999985</f>
        <v>383.90410900000006</v>
      </c>
      <c r="V301" s="3">
        <f>222.3+(356.3-17.2)+(-0.113373+(-0.181713--0.008772))+0-157.7--0.080426999999984</f>
        <v>403.49411300000014</v>
      </c>
      <c r="W301" s="3">
        <f>304.6+(298.9-0)+(0.466038+(0.457317-0))+0-156.5-0.239445000000009</f>
        <v>447.68391000000003</v>
      </c>
      <c r="X301" s="3">
        <f>442.9+(189-29.9)+(0+(0-0))+0-155.1-0</f>
        <v>446.9</v>
      </c>
      <c r="Y301" s="3">
        <f>501.3+(202.5-107.3)+(-0.766989+(-0.309825--0.164169))+0-154.9--0.236997000000009</f>
        <v>440.92435200000006</v>
      </c>
      <c r="Z301" s="3">
        <f>501+(234.3-137.7)+(0.25551+(0.119493-0.070227))+0-164-0.0836399999999834</f>
        <v>433.82113599999997</v>
      </c>
      <c r="AA301" s="3">
        <f>504.1+(276.9-185.6)+(-1.028364+(-0.564876--0.378624))+0-163.7--0.333947999999993</f>
        <v>430.81933200000003</v>
      </c>
      <c r="AB301" s="3">
        <f>505.8+(300-239.4)+(-0.257958+(-0.153--0.122094))+0-155.1--0.0791009999999843</f>
        <v>411.09023699999995</v>
      </c>
      <c r="AC301" s="3">
        <f>509.5+(328.6-299.3)+(-1.299225+(-0.83793--0.763215))+0-152.6--0.389129999999978</f>
        <v>385.21518999999995</v>
      </c>
      <c r="AD301">
        <v>497.70000000000005</v>
      </c>
      <c r="AE301" s="3">
        <f>415+(224.5-6.3)+(0+(0-0))+0-135.5-0</f>
        <v>497.70000000000005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473.9+(385.3-317.6)+(0+(0-0))+0-159-0</f>
        <v>382.59999999999991</v>
      </c>
      <c r="G302" s="3">
        <f>388.4+(427.1-292.1)+(-0.396168+(-0.435642--0.297942))+0-145.5--0.148410000000023</f>
        <v>377.51454200000001</v>
      </c>
      <c r="H302" s="3">
        <f>326.6+(420.9-222.9)+(-0.166566+(-0.214659--0.113679))+0-163.8--0.0835379999999834</f>
        <v>360.61599199999995</v>
      </c>
      <c r="I302" s="3">
        <f>325.5+(416.8-213.9)+(0.498015+(0.637704-0.327267))+0-171.6-0.26254800000001</f>
        <v>357.3459039999999</v>
      </c>
      <c r="J302" s="3">
        <f>324.2+(417.4-223.8)+(-0.165342+(-0.212874--0.114138))+0-160.2--0.0817019999999837</f>
        <v>357.41762399999993</v>
      </c>
      <c r="K302" s="3">
        <f>326.5+(414.9-218.6)+(0+(0-0))+0-163.3-0</f>
        <v>359.49999999999994</v>
      </c>
      <c r="L302" s="3">
        <f>357.4+(284.7-110.2)+(0.182274+(0.145197-0.056202))+0-163.3-0.0832829999999834</f>
        <v>368.78798599999993</v>
      </c>
      <c r="M302" s="3">
        <f>441.1+(291.4-165.8)+(-0.224961+(-0.148614--0.084558))+0-168--0.085679999999983</f>
        <v>398.49666300000007</v>
      </c>
      <c r="N302" s="3">
        <f>439.2+(325.2-177.7)+(0+(0-0))+0-162-0</f>
        <v>424.70000000000005</v>
      </c>
      <c r="O302" s="3">
        <f>436.3+(293.8-139.1)+(-0.222513+(-0.149838--0.070941))+0-161.6--0.0824159999999836</f>
        <v>429.18100599999991</v>
      </c>
      <c r="P302" s="3">
        <f>433.7+(303.4-144.1)+(-0.663561+(-0.464202--0.220473))+0-156.6--0.239598000000009</f>
        <v>435.73230799999999</v>
      </c>
      <c r="Q302" s="3">
        <f>430.3+(340-178.9)+(-0.877812+(-0.6936--0.364956))+0-153.1--0.312323999999993</f>
        <v>437.40586799999994</v>
      </c>
      <c r="R302" s="3">
        <f>426.4+(298.9-138.6)+(-0.434928+(-0.304878--0.141372))+0-146.3--0.149226000000023</f>
        <v>439.95079199999992</v>
      </c>
      <c r="S302" s="3">
        <f>423.3+(296.2-134.6)+(0+(0-0))+0-156.4-0</f>
        <v>428.5</v>
      </c>
      <c r="T302" s="3">
        <f>420.4+(340.6-190.4)+(-0.214404+(-0.173706--0.097104))+0-156.5--0.0798149999999841</f>
        <v>413.88880899999998</v>
      </c>
      <c r="U302" s="3">
        <f>420+(376.8-228)+(0.2142+(0.192168-0.11628))+0-156.8-0.0799679999999841</f>
        <v>412.2101199999999</v>
      </c>
      <c r="V302" s="3">
        <f>420.9+(312.2-147.2)+(0.214659+(0.159222-0.075072))+0-170.2-0.0868019999999827</f>
        <v>415.91200700000002</v>
      </c>
      <c r="W302" s="3">
        <f>418.6+(243.4-45.4)+(0.213486+(0.124134-0.023154))+0-153-0.0780299999999845</f>
        <v>463.83643600000005</v>
      </c>
      <c r="X302" s="3">
        <f>414.9+(204.8-11.1)+(-0.846396+(-0.417792--0.022644))+0-143.2--0.292127999999994</f>
        <v>464.45058400000005</v>
      </c>
      <c r="Y302" s="3">
        <f>420.5+(220.7-23)+(-0.214455+(-0.112557--0.01173))+0-154.4--0.0787439999999843</f>
        <v>463.56346200000002</v>
      </c>
      <c r="Z302" s="3">
        <f>421.2+(261.1-74.9)+(-0.644436+(-0.399483--0.114597))+0-157.6--0.241128000000009</f>
        <v>449.111806</v>
      </c>
      <c r="AA302" s="3">
        <f>425.5+(329.1-143.7)+(-0.651015+(-0.503523--0.219861))+0-163--0.249390000000009</f>
        <v>447.21471300000013</v>
      </c>
      <c r="AB302" s="3">
        <f>418.8+(360.1-194.7)+(-0.640764+(-0.550953--0.297891))+0-149.3--0.228429000000009</f>
        <v>434.23460300000005</v>
      </c>
      <c r="AC302" s="3">
        <f>397.8+(383.3-216)+(-0.608634+(-0.586449--0.33048))+0-149.4--0.228582000000009</f>
        <v>415.06397900000007</v>
      </c>
      <c r="AD302">
        <v>468.29999999999995</v>
      </c>
      <c r="AE302" s="3">
        <f>421+(196.4-8.5)+(0+(0-0))+0-140.6-0</f>
        <v>468.29999999999995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267.8+(444.7-99)+(-0.409734+(-0.680391--0.15147))+0-170--0.26010000000001</f>
        <v>442.82144499999998</v>
      </c>
      <c r="G303" s="3">
        <f>261.2+(415.4-96.1)+(-0.266424+(-0.423708--0.098022))+0-163.3--0.166566000000026</f>
        <v>416.77445599999999</v>
      </c>
      <c r="H303" s="3">
        <f>263.5+(403.2-87.9)+(0.134385+(0.205632-0.044829))+0-176.3-0.0899129999999821</f>
        <v>402.70527500000003</v>
      </c>
      <c r="I303" s="3">
        <f>285.6+(378.4-82.5)+(-0.436968+(-0.578952--0.126225))+0-166.9--0.25535700000001</f>
        <v>413.96566200000007</v>
      </c>
      <c r="J303" s="3">
        <f>311.6+(371.6-84.4)+(0.317832+(0.379032-0.086088))+0-182.1-0.185742000000029</f>
        <v>417.12503400000003</v>
      </c>
      <c r="K303" s="3">
        <f>313.8+(359-75.3)+(0.480114+(0.54927-0.115209))+0-181.7-0.27800100000001</f>
        <v>416.43617399999999</v>
      </c>
      <c r="L303" s="3">
        <f>312.3+(366.7-61.6)+(0.318546+(0.374034-0.062832))+0-185.3-0.18900600000003</f>
        <v>432.54074199999991</v>
      </c>
      <c r="M303" s="3">
        <f>306.7+(367.5-37.8)+(0+(0-0))+0-177.6-0</f>
        <v>458.79999999999995</v>
      </c>
      <c r="N303" s="3">
        <f>303+(367.2-27.6)+(0+(0-0))+0-170.8-0</f>
        <v>471.7999999999999</v>
      </c>
      <c r="O303" s="3">
        <f>303.1+(366-0)+(-0.154581+(-0.18666-0))+0-119--0.0606899999999879</f>
        <v>549.81944900000008</v>
      </c>
      <c r="P303" s="3">
        <f>299.4+(364.4-11)+(-0.305388+(-0.371688--0.01122))+0-121--0.123420000000019</f>
        <v>531.257564</v>
      </c>
      <c r="Q303" s="3">
        <f>300.2+(383.8-0)+(-0.153102+(-0.195738-0))+0-137--0.0698699999999861</f>
        <v>546.72103000000004</v>
      </c>
      <c r="R303" s="3">
        <f>318.5+(399.5-7)+(-0.487305+(-0.611235--0.01071))+0-102--0.156060000000006</f>
        <v>608.06822999999997</v>
      </c>
      <c r="S303" s="3">
        <f>318.2+(368.9-0)+(-0.162282+(-0.188139-0))+0-124--0.0632399999999874</f>
        <v>562.81281899999988</v>
      </c>
      <c r="T303" s="3">
        <f>226+(411-15)+(-0.11526+(-0.20961--0.00765))+0-84--0.0428399999999915</f>
        <v>537.72561999999994</v>
      </c>
      <c r="U303" s="3">
        <f>228.1+(418.9-7)+(-0.232662+(-0.427278--0.00714))+0-95--0.0969000000000152</f>
        <v>544.44410000000005</v>
      </c>
      <c r="V303" s="3">
        <f>253.6+(410.9-40)+(0.258672+(0.419118-0.0408))+0-102-0.104040000000016</f>
        <v>523.03294999999991</v>
      </c>
      <c r="W303" s="3">
        <f>399+(297.2-33.8)+(0.20349+(0.151572-0.017238))+0-102-0.0520199999999897</f>
        <v>560.68580399999996</v>
      </c>
      <c r="X303" s="3">
        <f>545.3+(207-48)+(-0.556206+(-0.21114--0.04896))+0-102--0.104040000000016</f>
        <v>601.685654</v>
      </c>
      <c r="Y303" s="3">
        <f>554.6+(220.9-105.4)+(-1.131384+(-0.450636--0.215016))+0-105--0.214199999999995</f>
        <v>563.94719600000008</v>
      </c>
      <c r="Z303" s="3">
        <f>554.8+(243.5-109.9)+(-0.848844+(-0.372555--0.168147))+0-105--0.160650000000006</f>
        <v>582.50739799999997</v>
      </c>
      <c r="AA303" s="3">
        <f>555.5+(252.3-140.8)+(-0.56661+(-0.257346--0.143616))+0-115--0.117300000000018</f>
        <v>551.43696</v>
      </c>
      <c r="AB303" s="3">
        <f>553.4+(287.7-156.3)+(-0.846702+(-0.440181--0.239139))+0-115--0.175950000000007</f>
        <v>568.92820600000005</v>
      </c>
      <c r="AC303" s="3">
        <f>553.9+(335.6-281)+(-1.129956+(-0.684624--0.57324))+0-123--0.250919999999995</f>
        <v>484.50957999999997</v>
      </c>
      <c r="AD303">
        <v>618.30000000000007</v>
      </c>
      <c r="AE303" s="3">
        <f>556+(209.1-44.8)+(0+(0-0))+0-102-0</f>
        <v>618.29999999999995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527.8+(395.5-244.9)+(-0.807534+(-0.605115--0.374697))+0-121--0.185130000000007</f>
        <v>556.54717799999992</v>
      </c>
      <c r="G304" s="3">
        <f>449.3+(404.5-219)+(-0.229143+(-0.206295--0.11169))+0-111--0.0566099999999887</f>
        <v>523.53286199999991</v>
      </c>
      <c r="H304" s="3">
        <f>456.5+(392.1-218.3)+(0.46563+(0.399942-0.222666))+0-114-0.116280000000018</f>
        <v>516.82662599999992</v>
      </c>
      <c r="I304" s="3">
        <f>466.9+(378.6-244.2)+(0.476238+(0.386172-0.249084))+0-84-0.0856800000000134</f>
        <v>517.82764599999996</v>
      </c>
      <c r="J304" s="3">
        <f>463.3+(392-242.6)+(-0.472566+(-0.39984--0.247452))+0-84--0.0856800000000134</f>
        <v>528.16072600000007</v>
      </c>
      <c r="K304" s="3">
        <f>463+(348.4-163.8)+(-0.23613+(-0.177684--0.083538))+0-104--0.0530399999999895</f>
        <v>543.32276399999989</v>
      </c>
      <c r="L304" s="3">
        <f>479.7+(308-192.3)+(-0.733941+(-0.47124--0.294219))+0-89--0.136170000000005</f>
        <v>505.62520799999993</v>
      </c>
      <c r="M304" s="3">
        <f>511.3+(289-126.7)+(-0.782289+(-0.44217--0.193851))+0-123--0.188190000000007</f>
        <v>549.75758199999996</v>
      </c>
      <c r="N304" s="3">
        <f>517.3+(273.1-90)+(0.263823+(0.139281-0.0459))+0-120-0.0611999999999878</f>
        <v>580.69600400000002</v>
      </c>
      <c r="O304" s="3">
        <f>514.2+(261-84.1)+(-0.524484+(-0.26622--0.085782))+0-125--0.12750000000002</f>
        <v>565.52257800000007</v>
      </c>
      <c r="P304" s="3">
        <f>516.9+(255.3-84)+(0.263619+(0.130203-0.04284))+0-103-0.0525299999999896</f>
        <v>585.49845200000016</v>
      </c>
      <c r="Q304" s="3">
        <f>526.1+(238.5-91.3)+(-0.536622+(-0.24327--0.093126))+0-103--0.105060000000016</f>
        <v>569.7182939999999</v>
      </c>
      <c r="R304" s="3">
        <f>538.6+(248.7-92)+(-0.274686+(-0.126837--0.04692))+0-127--0.0647699999999871</f>
        <v>568.01016699999991</v>
      </c>
      <c r="S304" s="3">
        <f>540.3+(238.5-109.5)+(-0.275553+(-0.121635--0.055845))+0-122--0.0622199999999876</f>
        <v>547.02087699999993</v>
      </c>
      <c r="T304" s="3">
        <f>540.9+(251.4-183.8)+(-0.275859+(-0.128214--0.093738))+0-103--0.0525299999999896</f>
        <v>505.24219499999998</v>
      </c>
      <c r="U304" s="3">
        <f>541.6+(248.1-190)+(0+(0-0))+0-81-0</f>
        <v>518.70000000000005</v>
      </c>
      <c r="V304" s="3">
        <f>540.5+(253.5-97.8)+(0+(0-0))+0-122-0</f>
        <v>574.20000000000005</v>
      </c>
      <c r="W304" s="3">
        <f>540.4+(256.8-20.3)+(0.275604+(0.130968-0.010353))+0-123-0.0627299999999875</f>
        <v>654.23348899999996</v>
      </c>
      <c r="X304" s="3">
        <f>537.6+(230.2-76)+(-1.096704+(-0.469608--0.15504))+0-96--0.195839999999996</f>
        <v>594.58456799999988</v>
      </c>
      <c r="Y304" s="3">
        <f>538.7+(240.2-76.3)+(-1.098948+(-0.490008--0.155652))+0-96--0.195839999999996</f>
        <v>605.36253599999998</v>
      </c>
      <c r="Z304" s="3">
        <f>540.9+(223.6-27.1)+(0+(0-0))+0-128-0</f>
        <v>609.4</v>
      </c>
      <c r="AA304" s="3">
        <f>535.6+(179.5-16.7)+(-1.638936+(-0.54927--0.051102))+0-128--0.391680000000015</f>
        <v>568.65457600000013</v>
      </c>
      <c r="AB304" s="3">
        <f>539.3+(162.8-62.7)+(-0.825129+(-0.249084--0.095931))+0-128--0.195840000000007</f>
        <v>510.61755799999997</v>
      </c>
      <c r="AC304" s="3">
        <f>534.1+(146-64)+(-2.179128+(-0.59568--0.26112))+0-128--0.522239999999989</f>
        <v>486.10855200000003</v>
      </c>
      <c r="AD304">
        <v>670</v>
      </c>
      <c r="AE304" s="3">
        <f>539+(248.2-55.2)+(0+(0-0))+0-62-0</f>
        <v>670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537.5+(141.6-65.9)+(-1.0965+(-0.288864--0.134436))+0-117--0.238679999999995</f>
        <v>495.18775199999999</v>
      </c>
      <c r="G305" s="3">
        <f>539+(153.5-95.3)+(-1.09956+(-0.31314--0.194412))+0-130--0.265199999999994</f>
        <v>466.24691200000001</v>
      </c>
      <c r="H305" s="3">
        <f>536+(163.7-85.2)+(-1.64016+(-0.500922--0.260712))+0-130--0.397800000000015</f>
        <v>483.01743000000005</v>
      </c>
      <c r="I305" s="3">
        <f>541.2+(164.7-78)+(0+(0-0))+0-128-0</f>
        <v>499.90000000000009</v>
      </c>
      <c r="J305" s="3">
        <f>543.9+(197.6-49.3)+(0.554778+(0.201552-0.050286))+0-128-0.13056000000002</f>
        <v>564.77548400000001</v>
      </c>
      <c r="K305" s="3">
        <f>541.6+(189.7-50.1)+(0+(0-0))+0-128-0</f>
        <v>553.20000000000005</v>
      </c>
      <c r="L305" s="3">
        <f>539.8+(165.7-79.1)+(-0.275298+(-0.084507--0.040341))+0-72--0.0367199999999927</f>
        <v>554.11725599999988</v>
      </c>
      <c r="M305" s="3">
        <f>540.8+(177-112.1)+(0+(0-0))+0-87-0</f>
        <v>518.69999999999993</v>
      </c>
      <c r="N305" s="3">
        <f>543.8+(242-110.5)+(0.554676+(0.24684-0.11271))+0-122-0.124440000000019</f>
        <v>553.8643659999999</v>
      </c>
      <c r="O305" s="3">
        <f>570.7+(172-118.6)+(0.582114+(0.17544-0.120972))+0-96-0.0979200000000153</f>
        <v>528.63866199999995</v>
      </c>
      <c r="P305" s="3">
        <f>577.8+(230-112.1)+(0.884034+(0.3519-0.171513))+0-103-0.157590000000006</f>
        <v>593.60683099999994</v>
      </c>
      <c r="Q305" s="3">
        <f>573.1+(162-132.7)+(0.292281+(0.08262-0.067677))+0-82-0.0418199999999917</f>
        <v>520.66540400000008</v>
      </c>
      <c r="R305" s="3">
        <f>566.7+(137-68.7)+(-1.156068+(-0.27948--0.140148))+0-65--0.132599999999997</f>
        <v>568.83720000000005</v>
      </c>
      <c r="S305" s="3">
        <f>565.3+(124.3-79.9)+(-0.576606+(-0.126786--0.081498))+0-64--0.0652800000000102</f>
        <v>545.14338599999996</v>
      </c>
      <c r="T305" s="3">
        <f>559.2+(133.3-91.7)+(0+(0-0))+0-69-0</f>
        <v>531.80000000000007</v>
      </c>
      <c r="U305" s="3">
        <f>556.6+(134.4-106.8)+(0+(0-0))+0-59-0</f>
        <v>525.20000000000005</v>
      </c>
      <c r="V305" s="3">
        <f>554.1+(141.5-104.1)+(-0.847773+(-0.216495--0.159273))+0-74--0.113220000000004</f>
        <v>516.70822499999997</v>
      </c>
      <c r="W305" s="3">
        <f>548.6+(191.8-76.8)+(0.839358+(0.293454-0.117504))+0-98-0.149940000000006</f>
        <v>566.46536800000001</v>
      </c>
      <c r="X305" s="3">
        <f>540.8+(201.9-69.2)+(-0.551616+(-0.205938--0.070584))+0-94--0.095880000000015</f>
        <v>578.90890999999999</v>
      </c>
      <c r="Y305" s="3">
        <f>538+(183.6-45.7)+(-1.09752+(-0.374544--0.093228))+0-113--0.230519999999995</f>
        <v>561.75168399999995</v>
      </c>
      <c r="Z305" s="3">
        <f>537.6+(184.5-65)+(-1.37088+(-0.470475--0.16575))+0-99--0.252449999999986</f>
        <v>556.67684499999996</v>
      </c>
      <c r="AA305" s="3">
        <f>538.4+(186.4-69.3)+(-0.823752+(-0.285192--0.106029))+0-103--0.157590000000006</f>
        <v>551.654675</v>
      </c>
      <c r="AB305" s="3">
        <f>541.6+(201.2-127.7)+(-0.276216+(-0.102612--0.065127))+0-97--0.0494699999999902</f>
        <v>517.83576900000003</v>
      </c>
      <c r="AC305" s="3">
        <f>542.3+(190.9-107.6)+(-0.553146+(-0.194718--0.109752))+0-129--0.131580000000021</f>
        <v>496.09346799999997</v>
      </c>
      <c r="AD305">
        <v>612.29999999999995</v>
      </c>
      <c r="AE305" s="3">
        <f>544+(216-71.7)+(0+(0-0))+0-76-0</f>
        <v>612.29999999999995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543.4+(171.8-116.1)+(-0.554268+(-0.175236--0.118422))+0-84--0.0856800000000134</f>
        <v>514.57459800000004</v>
      </c>
      <c r="G306" s="3">
        <f>544.2+(213.1-100.4)+(0+(0-0))+0-132-0</f>
        <v>524.90000000000009</v>
      </c>
      <c r="H306" s="3">
        <f>546.2+(175.2-98.4)+(0.278562+(0.089352-0.050184))+0-114-0.0581399999999884</f>
        <v>509.25959</v>
      </c>
      <c r="I306" s="3">
        <f>545.9+(156.5-128.4)+(0.556818+(0.15963-0.130968))+0-118-0.120360000000019</f>
        <v>456.46511999999996</v>
      </c>
      <c r="J306" s="3">
        <f>544.7+(153.2-130)+(0+(0-0))+0-107-0</f>
        <v>460.90000000000009</v>
      </c>
      <c r="K306" s="3">
        <f>542.8+(167.2-94.8)+(0+(0-0))+0-92-0</f>
        <v>523.19999999999993</v>
      </c>
      <c r="L306" s="3">
        <f>492.6+(173.1-81.2)+(0+(0-0))+0-99-0</f>
        <v>485.5</v>
      </c>
      <c r="M306" s="3">
        <f>480.2+(155.4-110.7)+(-0.734706+(-0.237762--0.169371))+0-99--0.151470000000006</f>
        <v>425.24837300000002</v>
      </c>
      <c r="N306" s="3">
        <f>557.7+(156.2-106.4)+(0.568854+(0.159324-0.108528))+0-99-0.100980000000016</f>
        <v>509.01866999999999</v>
      </c>
      <c r="O306" s="3">
        <f>571.4+(153-179.7)+(-0.291414+(-0.07803--0.091647))+0-99--0.05048999999999</f>
        <v>445.47269300000005</v>
      </c>
      <c r="P306" s="3">
        <f>559.7+(206.3-178.2)+(-0.285447+(-0.105213--0.090882))+0-115--0.0586499999999883</f>
        <v>472.55887200000012</v>
      </c>
      <c r="Q306" s="3">
        <f>554.7+(244.6-174.5)+(-0.282897+(-0.124746--0.088995))+0-115--0.0586499999999883</f>
        <v>509.54000200000002</v>
      </c>
      <c r="R306" s="3">
        <f>549.9+(215.9-172.5)+(-0.841347+(-0.330327--0.263925))+0-111--0.169830000000006</f>
        <v>481.56208099999998</v>
      </c>
      <c r="S306" s="3">
        <f>540.7+(145.4-106.8)+(-1.103028+(-0.296616--0.217872))+0-108--0.220319999999995</f>
        <v>470.33854800000006</v>
      </c>
      <c r="T306" s="3">
        <f>540+(143.8-110.6)+(-0.8262+(-0.220014--0.169218))+0-108--0.165240000000006</f>
        <v>464.48824400000007</v>
      </c>
      <c r="U306" s="3">
        <f>542.7+(148-113)+(0+(0-0))+0-107-0</f>
        <v>470.70000000000005</v>
      </c>
      <c r="V306" s="3">
        <f>544.2+(155.2-107.1)+(0+(0-0))+0-108-0</f>
        <v>484.30000000000007</v>
      </c>
      <c r="W306" s="3">
        <f>543.7+(171.3-71.5)+(-0.277287+(-0.087363--0.036465))+0-111--0.0566099999999887</f>
        <v>532.22842500000002</v>
      </c>
      <c r="X306" s="3">
        <f>549.5+(170.9-75.4)+(0+(0-0))+0-96-0</f>
        <v>549</v>
      </c>
      <c r="Y306" s="3">
        <f>552.6+(158.2-77.3)+(-1.127304+(-0.322728--0.157692))+0-97--0.197879999999996</f>
        <v>535.40553999999997</v>
      </c>
      <c r="Z306" s="3">
        <f>557.4+(158.7-89.7)+(-0.568548+(-0.161874--0.091494))+0-89--0.0907800000000142</f>
        <v>536.85185200000001</v>
      </c>
      <c r="AA306" s="3">
        <f>563.3+(154-109)+(-0.287283+(-0.07854--0.05559))+0-88--0.0448799999999911</f>
        <v>520.03464699999995</v>
      </c>
      <c r="AB306" s="3">
        <f>559.2+(152.8-111.6)+(-1.42596+(-0.38964--0.28458))+0-89--0.226949999999987</f>
        <v>510.09593000000007</v>
      </c>
      <c r="AC306" s="3">
        <f>562.1+(165.3-142.9)+(-1.146684+(-0.337212--0.291516))+0-93--0.189719999999996</f>
        <v>490.49734000000007</v>
      </c>
      <c r="AD306">
        <v>544.1</v>
      </c>
      <c r="AE306" s="3">
        <f>546+(168.9-76.8)+(0+(0-0))+0-94-0</f>
        <v>544.1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566.2+(187.7-175.8)+(-0.577524+(-0.191454--0.179316))+0-85--0.0867000000000136</f>
        <v>492.59703800000005</v>
      </c>
      <c r="G307" s="3">
        <f>569.5+(155.8-174.7)+(-0.290445+(-0.079458--0.089097))+0-96--0.0489599999999903</f>
        <v>454.368154</v>
      </c>
      <c r="H307" s="3">
        <f>567+(161.9-163.9)+(-1.15668+(-0.330276--0.334356))+0-97--0.197879999999996</f>
        <v>467.04527999999999</v>
      </c>
      <c r="I307" s="3">
        <f>572.1+(150.6-172.2)+(0.291771+(0.076806-0.087822))+0-91-0.0464099999999908</f>
        <v>459.73434500000002</v>
      </c>
      <c r="J307" s="3">
        <f>573.2+(137.3-163.5)+(0.584664+(0.140046-0.16677))+0-87-0.0887400000000139</f>
        <v>460.4692</v>
      </c>
      <c r="K307" s="3">
        <f>573.4+(155.9-170.8)+(0.584868+(0.159018-0.174216))+0-97-0.0989400000000155</f>
        <v>461.97072999999995</v>
      </c>
      <c r="L307" s="3">
        <f>574.7+(125.8-134.9)+(0.586194+(0.128316-0.137598))+0-78-0.0795600000000124</f>
        <v>488.097352</v>
      </c>
      <c r="M307" s="3">
        <f>572.4+(131.9-103.7)+(-0.583848+(-0.134538--0.105774))+0-91--0.0928200000000145</f>
        <v>509.08020800000003</v>
      </c>
      <c r="N307" s="3">
        <f>570.3+(135.6-94)+(1.163412+(0.276624-0.19176))+0-82-0.167279999999996</f>
        <v>530.980996</v>
      </c>
      <c r="O307" s="3">
        <f>567.9+(93.7-78.2)+(0.579258+(0.095574-0.079764))+0-79-0.0805800000000126</f>
        <v>504.91448799999995</v>
      </c>
      <c r="P307" s="3">
        <f>560.5+(127-61.8)+(-0.857565+(-0.19431--0.094554))+0-91--0.139230000000005</f>
        <v>533.88190900000006</v>
      </c>
      <c r="Q307" s="3">
        <f>556.6+(129.4-47.6)+(-0.567732+(-0.131988--0.048552))+0-83--0.0846600000000132</f>
        <v>554.83349200000009</v>
      </c>
      <c r="R307" s="3">
        <f>558.8+(161.6-80.9)+(-0.854964+(-0.247248--0.123777))+0-98--0.149940000000006</f>
        <v>540.67150500000002</v>
      </c>
      <c r="S307" s="3">
        <f>567.4+(169.8-66.2)+(0.289374+(0.086598-0.033762))+0-100-0.0509999999999899</f>
        <v>571.29120999999998</v>
      </c>
      <c r="T307" s="3">
        <f>563.7+(145.6-66.4)+(-0.862461+(-0.222768--0.101592))+0-98--0.149940000000006</f>
        <v>544.06630300000006</v>
      </c>
      <c r="U307" s="3">
        <f>568.9+(179.5-109.2)+(-0.290139+(-0.091545--0.055692))+0-71--0.0362099999999928</f>
        <v>567.91021799999987</v>
      </c>
      <c r="V307" s="3">
        <f>567.4+(162.2-111.1)+(-0.578748+(-0.165444--0.113322))+0-75--0.076500000000012</f>
        <v>542.94563000000005</v>
      </c>
      <c r="W307" s="3">
        <f>591.6+(162.6-66)+(0.905148+(0.248778-0.10098))+0-101-0.154530000000006</f>
        <v>588.09841600000004</v>
      </c>
      <c r="X307" s="3">
        <f>600+(163.5-72.4)+(0+(0-0))+0-98-0</f>
        <v>593.1</v>
      </c>
      <c r="Y307" s="3">
        <f>590.2+(149.9-96)+(-0.903006+(-0.229347--0.14688))+0-73--0.111690000000004</f>
        <v>570.22621700000002</v>
      </c>
      <c r="Z307" s="3">
        <f>581.7+(193.6-120.4)+(-0.890001+(-0.296208--0.184212))+0-73--0.111690000000004</f>
        <v>581.00969300000008</v>
      </c>
      <c r="AA307" s="3">
        <f>579.5+(202.2-172)+(-1.477725+(-0.51561--0.4386))+0-97--0.247349999999986</f>
        <v>511.39261499999998</v>
      </c>
      <c r="AB307" s="3">
        <f>580.1+(234.1-253.5)+(-1.479255+(-0.596955--0.646425))+0-106--0.270299999999985</f>
        <v>453.54051499999997</v>
      </c>
      <c r="AC307" s="3">
        <f>584+(284.5-263.2)+(-0.29784+(-0.145095--0.134232))+0-58--0.0295799999999941</f>
        <v>547.02087699999993</v>
      </c>
      <c r="AD307">
        <v>583.1</v>
      </c>
      <c r="AE307" s="3">
        <f>597+(177.4-84.3)+(0+(0-0))+0-107-0</f>
        <v>583.1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579.5+(293.2-296.4)+(0+(0-0))+0-77-0</f>
        <v>499.29999999999995</v>
      </c>
      <c r="G308" s="3">
        <f>577.1+(273.6-294.1)+(-0.294321+(-0.139536--0.149991))+0-77--0.0392699999999922</f>
        <v>479.35540400000002</v>
      </c>
      <c r="H308" s="3">
        <f>579.6+(137.4-192.5)+(0+(0-0))+0-93-0</f>
        <v>431.5</v>
      </c>
      <c r="I308" s="3">
        <f>580.1+(117.4-165.1)+(0+(0-0))+0-96-0</f>
        <v>436.40000000000009</v>
      </c>
      <c r="J308" s="3">
        <f>550.8+(160-142.5)+(0.561816+(0.1632-0.14535))+0-102-0.104040000000016</f>
        <v>466.77562599999993</v>
      </c>
      <c r="K308" s="3">
        <f>484.8+(160.6-122.4)+(0.247248+(0.081906-0.062424))+0-72-0.0367199999999927</f>
        <v>451.23001000000005</v>
      </c>
      <c r="L308" s="3">
        <f>484.8+(134.7-86.3)+(0+(0-0))+0-72-0</f>
        <v>461.20000000000005</v>
      </c>
      <c r="M308" s="3">
        <f>484+(117.8-94.5)+(-0.49368+(-0.120156--0.09639))+0-75--0.076500000000012</f>
        <v>431.85905400000001</v>
      </c>
      <c r="N308" s="3">
        <f>516.7+(102.8-119.7)+(0.527034+(0.104856-0.122094))+0-110-0.112200000000018</f>
        <v>390.19759600000003</v>
      </c>
      <c r="O308" s="3">
        <f>562.3+(109.9-131.4)+(-0.860319+(-0.168147--0.201042))+0-100--0.153000000000006</f>
        <v>440.12557600000002</v>
      </c>
      <c r="P308" s="3">
        <f>569+(110.2-126.5)+(-0.87057+(-0.168606--0.193545))+0-84--0.128520000000005</f>
        <v>467.982889</v>
      </c>
      <c r="Q308" s="3">
        <f>567.9+(120.7-128.3)+(-1.448145+(-0.307785--0.327165))+0-118--0.300899999999983</f>
        <v>441.17213499999991</v>
      </c>
      <c r="R308" s="3">
        <f>570.8+(120.4-138.5)+(-0.582216+(-0.122808--0.14127))+0-117--0.119340000000019</f>
        <v>435.25558599999994</v>
      </c>
      <c r="S308" s="3">
        <f>536.8+(135.5-125.1)+(-0.273768+(-0.069105--0.063801))+0-112--0.0571199999999886</f>
        <v>434.97804799999989</v>
      </c>
      <c r="T308" s="3">
        <f>494.1+(132.9-125)+(-0.251991+(-0.067779--0.06375))+0-116--0.0591599999999882</f>
        <v>385.80313999999998</v>
      </c>
      <c r="U308" s="3">
        <f>489.1+(154.3-113.5)+(-0.997764+(-0.314772--0.23154))+0-115--0.234599999999995</f>
        <v>414.05360400000006</v>
      </c>
      <c r="V308" s="3">
        <f>502.2+(156.7-116.9)+(-0.256122+(-0.079917--0.059619))+0-110--0.0560999999999888</f>
        <v>431.77967999999998</v>
      </c>
      <c r="W308" s="3">
        <f>562.7+(164.7-131.4)+(0+(0-0))+0-112-0</f>
        <v>484</v>
      </c>
      <c r="X308" s="3">
        <f>546.5+(234.3-169.1)+(0.278715+(0.119493-0.086241))+0-110-0.0560999999999888</f>
        <v>501.95586700000001</v>
      </c>
      <c r="Y308" s="3">
        <f>551.6+(182.9-126.7)+(-0.562632+(-0.186558--0.129234))+0-108--0.110160000000017</f>
        <v>499.29020400000007</v>
      </c>
      <c r="Z308" s="3">
        <f>558.1+(159.6-112.1)+(-0.569262+(-0.162792--0.114342))+0-99--0.100980000000016</f>
        <v>506.08326800000003</v>
      </c>
      <c r="AA308" s="3">
        <f>560.6+(152.9-105.8)+(-0.857718+(-0.233937--0.161874))+0-101--0.154530000000006</f>
        <v>505.92474900000002</v>
      </c>
      <c r="AB308" s="3">
        <f>560.3+(145.3-128)+(-0.857259+(-0.222309--0.19584))+0-102--0.156060000000006</f>
        <v>474.87233199999991</v>
      </c>
      <c r="AC308" s="3">
        <f>475.1+(179.7-78.7)+(-1.211505+(-0.458235--0.200685))+0-100--0.254999999999986</f>
        <v>474.88594499999999</v>
      </c>
      <c r="AD308">
        <v>561.59999999999991</v>
      </c>
      <c r="AE308" s="3">
        <f>553+(234.4-138.8)+(0+(0-0))+0-87-0</f>
        <v>561.6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472+(210.6-53.2)+(-1.2036+(-0.53703--0.13566))+0-77--0.196349999999989</f>
        <v>550.99137999999994</v>
      </c>
      <c r="G309" s="3">
        <f>434.8+(231.8-44.6)+(-0.886992+(-0.472872--0.090984))+0-103--0.210119999999996</f>
        <v>517.94123999999999</v>
      </c>
      <c r="H309" s="3">
        <f>426.3+(248.8-44.1)+(0.217413+(0.126888-0.022491))+0-111-0.0566099999999887</f>
        <v>520.26520000000005</v>
      </c>
      <c r="I309" s="3">
        <f>426.7+(256-41.8)+(0.435234+(0.26112-0.042636))+0-103-0.105060000000016</f>
        <v>538.44865800000002</v>
      </c>
      <c r="J309" s="3">
        <f>426.6+(276.5-43.5)+(0.217566+(0.141015-0.022185))+0-94-0.0479399999999905</f>
        <v>565.88845600000002</v>
      </c>
      <c r="K309" s="3">
        <f>427+(251.2-40)+(0.21777+(0.128112-0.0204))+0-111-0.0566099999999887</f>
        <v>527.46887200000003</v>
      </c>
      <c r="L309" s="3">
        <f>506.7+(176.1-138.1)+(0.258417+(0.089811-0.070431))+0-99-0.05048999999999</f>
        <v>445.92730700000004</v>
      </c>
      <c r="M309" s="3">
        <f>569.5+(153.1-145.1)+(0.290445+(0.078081-0.074001))+0-101-0.0515099999999898</f>
        <v>476.74301500000001</v>
      </c>
      <c r="N309" s="3">
        <f>563.5+(166.6-120.1)+(-0.287385+(-0.084966--0.061251))+0-105--0.0535499999999893</f>
        <v>504.74244999999996</v>
      </c>
      <c r="O309" s="3">
        <f>566.1+(156.7-127.7)+(0.866133+(0.239751-0.195381))+0-98-0.149940000000006</f>
        <v>497.86056299999996</v>
      </c>
      <c r="P309" s="3">
        <f>566.6+(140.7-100.4)+(0.577932+(0.143514-0.102408))+0-100-0.102000000000016</f>
        <v>507.41703799999999</v>
      </c>
      <c r="Q309" s="3">
        <f>566.2+(163.5-91.5)+(0.577524+(0.16677-0.09333))+0-107-0.109140000000017</f>
        <v>531.74182400000007</v>
      </c>
      <c r="R309" s="3">
        <f>562.1+(102.9-106.7)+(-0.860013+(-0.157437--0.163251))+0-119--0.182070000000007</f>
        <v>438.62787100000008</v>
      </c>
      <c r="S309" s="3">
        <f>561.4+(108.5-119.8)+(-1.145256+(-0.22134--0.244392))+0-117--0.238679999999995</f>
        <v>432.216476</v>
      </c>
      <c r="T309" s="3">
        <f>564.1+(111.9-126.7)+(-0.287691+(-0.057069--0.064617))+0-100--0.0509999999999899</f>
        <v>449.0708570000001</v>
      </c>
      <c r="U309" s="3">
        <f>563.2+(109.9-139.8)+(-0.861696+(-0.168147--0.213894))+0-96--0.146880000000006</f>
        <v>436.63093100000003</v>
      </c>
      <c r="V309" s="3">
        <f>563.4+(93.8-154.5)+(-0.574668+(-0.095676--0.15759))+0-111--0.113220000000018</f>
        <v>391.30046600000003</v>
      </c>
      <c r="W309" s="3">
        <f>566.4+(87-194.5)+(0+(0-0))+0-106-0</f>
        <v>352.9</v>
      </c>
      <c r="X309" s="3">
        <f>563.1+(87-176.4)+(-1.148724+(-0.17748--0.359856))+0-88--0.179519999999996</f>
        <v>384.91317200000003</v>
      </c>
      <c r="Y309" s="3">
        <f>561.7+(76.7-156.8)+(-1.432335+(-0.195585--0.39984))+0-94--0.239699999999986</f>
        <v>386.61162000000002</v>
      </c>
      <c r="Z309" s="3">
        <f>566.3+(79-154.5)+(-0.577626+(-0.08058--0.15759))+0-97--0.0989400000000155</f>
        <v>393.398324</v>
      </c>
      <c r="AA309" s="3">
        <f>569+(84.8-162.7)+(-0.29019+(-0.043248--0.082977))+0-110--0.0560999999999888</f>
        <v>380.90563900000006</v>
      </c>
      <c r="AB309" s="3">
        <f>563.5+(66.7-163.3)+(-1.436925+(-0.170085--0.416415))+0-113--0.288149999999984</f>
        <v>352.99755499999998</v>
      </c>
      <c r="AC309" s="3">
        <f>545.6+(134.9-104.2)+(-0.556512+(-0.137598--0.106284))+0-106--0.108120000000017</f>
        <v>469.82029400000016</v>
      </c>
      <c r="AD309">
        <v>530.9</v>
      </c>
      <c r="AE309" s="3">
        <f>565+(177-114.1)+(0+(0-0))+0-97-0</f>
        <v>530.9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500.9+(140-88.3)+(-1.277295+(-0.357--0.225165))+0-88--0.224399999999987</f>
        <v>463.41527000000002</v>
      </c>
      <c r="G310" s="3">
        <f>426.3+(193.3-69.9)+(-0.434826+(-0.197166--0.071298))+0-97--0.0989400000000155</f>
        <v>452.23824600000006</v>
      </c>
      <c r="H310" s="3">
        <f>358.9+(229.9-48.1)+(-0.915195+(-0.586245--0.122655))+0-97--0.247349999999986</f>
        <v>442.56856500000004</v>
      </c>
      <c r="I310" s="3">
        <f>365.8+(196.5-33.3)+(0+(0-0))+0-102-0</f>
        <v>427</v>
      </c>
      <c r="J310" s="3">
        <f>365.9+(206.3-35.5)+(0.186609+(0.105213-0.018105))+0-107-0.0545699999999891</f>
        <v>429.91914700000007</v>
      </c>
      <c r="K310" s="3">
        <f>365.5+(221.2-47.1)+(-0.186405+(-0.112812--0.024021))+0-105--0.0535499999999893</f>
        <v>434.37835399999994</v>
      </c>
      <c r="L310" s="3">
        <f>362.6+(213.6-59.6)+(-0.554778+(-0.326808--0.091188))+0-95--0.145350000000006</f>
        <v>420.95495200000005</v>
      </c>
      <c r="M310" s="3">
        <f>364.2+(217-77.1)+(-0.371484+(-0.22134--0.078642))+0-95--0.0969000000000152</f>
        <v>408.68271800000002</v>
      </c>
      <c r="N310" s="3">
        <f>364.9+(283-114.3)+(-0.186099+(-0.14433--0.058293))+0-115--0.0586499999999883</f>
        <v>418.38651399999986</v>
      </c>
      <c r="O310" s="3">
        <f>365.9+(327-159.6)+(-0.186609+(-0.16677--0.081396))+0-105--0.0535499999999893</f>
        <v>428.08156699999995</v>
      </c>
      <c r="P310" s="3">
        <f>331+(340-125.8)+(0+(0-0))+0-105-0</f>
        <v>440.20000000000005</v>
      </c>
      <c r="Q310" s="3">
        <f>290+(345-85.7)+(-0.1479+(-0.17595--0.043707))+0-112--0.0571199999999886</f>
        <v>437.076977</v>
      </c>
      <c r="R310" s="3">
        <f>288.6+(370-112.1)+(-0.294372+(-0.3774--0.114342))+0-112--0.114240000000018</f>
        <v>434.05681000000004</v>
      </c>
      <c r="S310" s="3">
        <f>286.8+(348-102.1)+(-0.585072+(-0.70992--0.208284))+0-114--0.232559999999995</f>
        <v>417.84585199999998</v>
      </c>
      <c r="T310" s="3">
        <f>289.7+(359-121.9)+(-0.295494+(-0.36618--0.124338))+0-109--0.111180000000017</f>
        <v>417.37384399999996</v>
      </c>
      <c r="U310" s="3">
        <f>291.6+(361-145.3)+(0.148716+(0.18411-0.074103))+0-112-0.0571199999999886</f>
        <v>395.50160299999999</v>
      </c>
      <c r="V310" s="3">
        <f>214.4+(482-161)+(0+(0-0))+0-114-0</f>
        <v>421.4</v>
      </c>
      <c r="W310" s="3">
        <f>230.1+(608-266.3)+(0.586755+(1.5504-0.679065))+0-106-0.270299999999985</f>
        <v>466.98778999999996</v>
      </c>
      <c r="X310" s="3">
        <f>290.7+(548-242.2)+(-0.444771+(-0.83844--0.370566))+0-108--0.165240000000006</f>
        <v>487.75259499999999</v>
      </c>
      <c r="Y310" s="3">
        <f>309.6+(470-199.4)+(-0.631584+(-0.9588--0.406776))+0-108--0.220319999999995</f>
        <v>471.23671200000001</v>
      </c>
      <c r="Z310" s="3">
        <f>354.9+(385-143.9)+(-0.180999+(-0.19635--0.073389))+0-123--0.0627299999999875</f>
        <v>472.75877000000003</v>
      </c>
      <c r="AA310" s="3">
        <f>366.3+(362-131.6)+(0.186813+(0.18462-0.067116))+0-117-0.0596699999999881</f>
        <v>479.94464700000003</v>
      </c>
      <c r="AB310" s="3">
        <f>366.6+(341-134)+(-0.373932+(-0.34782--0.13668))+0-105--0.107100000000017</f>
        <v>468.12202800000006</v>
      </c>
      <c r="AC310" s="3">
        <f>365.6+(272-102.9)+(-0.745824+(-0.55488--0.209916))+0-101--0.206039999999996</f>
        <v>432.81525200000004</v>
      </c>
      <c r="AD310">
        <v>458.6</v>
      </c>
      <c r="AE310" s="3">
        <f>292+(495-245.4)+(0+(0-0))+0-83-0</f>
        <v>458.6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368.1+(208.9-56.6)+(0+(0-0))+0-111-0</f>
        <v>409.40000000000009</v>
      </c>
      <c r="G311" s="3">
        <f>368.8+(183.1-37.7)+(-0.376176+(-0.186762--0.038454))+0-112--0.114240000000018</f>
        <v>401.78975600000001</v>
      </c>
      <c r="H311" s="3">
        <f>359.8+(199.2-39.8)+(-0.183498+(-0.101592--0.020298))+0-114--0.0581399999999884</f>
        <v>404.99334799999997</v>
      </c>
      <c r="I311" s="3">
        <f>317.9+(220.9-31.2)+(0.162129+(0.112659-0.015912))+0-117-0.0596699999999881</f>
        <v>390.79920600000003</v>
      </c>
      <c r="J311" s="3">
        <f>317.2+(222.8-28.8)+(0.161772+(0.113628-0.014688))+0-112-0.0571199999999886</f>
        <v>399.403592</v>
      </c>
      <c r="K311" s="3">
        <f>317.1+(254.4-33.7)+(0.323442+(0.259488-0.034374))+0-121-0.123420000000019</f>
        <v>417.22513599999991</v>
      </c>
      <c r="L311" s="3">
        <f>317+(302-53)+(0.16167+(0.15402-0.02703))+0-114-0.0581399999999884</f>
        <v>452.23052000000007</v>
      </c>
      <c r="M311" s="3">
        <f>338+(321-60.3)+(0+(0-0))+0-117-0</f>
        <v>481.70000000000005</v>
      </c>
      <c r="N311" s="3">
        <f>368.7+(327-84.7)+(0.376074+(0.33354-0.086394))+0-94-0.095880000000015</f>
        <v>517.52733999999998</v>
      </c>
      <c r="O311" s="3">
        <f>365.1+(356-100.5)+(0.372402+(0.36312-0.10251))+0-97-0.0989400000000155</f>
        <v>524.13407200000006</v>
      </c>
      <c r="P311" s="3">
        <f>363.2+(382-104.7)+(0+(0-0))+0-102-0</f>
        <v>538.5</v>
      </c>
      <c r="Q311" s="3">
        <f>361.4+(390-97.7)+(0.184314+(0.1989-0.049827))+0-111-0.0566099999999887</f>
        <v>542.97677700000008</v>
      </c>
      <c r="R311" s="3">
        <f>357.8+(389-93.4)+(-0.547434+(-0.59517--0.142902))+0-110--0.168300000000006</f>
        <v>542.56859800000018</v>
      </c>
      <c r="S311" s="3">
        <f>361.4+(379-89.2)+(0+(0-0))+0-110-0</f>
        <v>541.20000000000005</v>
      </c>
      <c r="T311" s="3">
        <f>361.5+(337-86.1)+(0.36873+(0.34374-0.087822))+0-109-0.111180000000017</f>
        <v>503.91346799999997</v>
      </c>
      <c r="U311" s="3">
        <f>356.5+(364-110.9)+(-0.181815+(-0.18564--0.056559))+0-105--0.0535499999999893</f>
        <v>504.34265400000004</v>
      </c>
      <c r="V311" s="3">
        <f>357.7+(405-140.4)+(0+(0-0))+0-101-0</f>
        <v>521.29999999999995</v>
      </c>
      <c r="W311" s="3">
        <f>359.8+(482-170.4)+(0.183498+(0.24582-0.086904))+0-98-0.0499799999999901</f>
        <v>573.69243400000005</v>
      </c>
      <c r="X311" s="3">
        <f>358.2+(517-181.2)+(-0.365364+(-0.52734--0.184824))+0-109--0.111180000000017</f>
        <v>584.40329999999994</v>
      </c>
      <c r="Y311" s="3">
        <f>358+(451-139.1)+(-0.36516+(-0.46002--0.141882))+0-115--0.117300000000018</f>
        <v>554.33400199999994</v>
      </c>
      <c r="Z311" s="3">
        <f>358.7+(404-92.8)+(-0.365874+(-0.41208--0.094656))+0-118--0.120360000000019</f>
        <v>551.33706199999995</v>
      </c>
      <c r="AA311" s="3">
        <f>358.6+(375-83.2)+(-0.365772+(-0.3825--0.084864))+0-104--0.106080000000017</f>
        <v>545.84267200000011</v>
      </c>
      <c r="AB311" s="3">
        <f>359.3+(291.2-51.7)+(-0.183243+(-0.148512--0.026367))+0-78--0.0397799999999921</f>
        <v>520.53439199999991</v>
      </c>
      <c r="AC311" s="3">
        <f>355+(268-63.9)+(-0.7242+(-0.54672--0.130356))+0-77--0.157079999999997</f>
        <v>481.11651599999999</v>
      </c>
      <c r="AD311">
        <v>546.70000000000005</v>
      </c>
      <c r="AE311" s="3">
        <f>356+(464.4-173.7)+(0+(0-0))+0-100-0</f>
        <v>546.70000000000005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359.5+(270.3-44.6)+(0+(0-0))+0-104-0</f>
        <v>481.20000000000005</v>
      </c>
      <c r="G312" s="3">
        <f>358.4+(260.7-36.3)+(-0.182784+(-0.132957--0.018513))+0-107--0.0545699999999891</f>
        <v>475.55734199999995</v>
      </c>
      <c r="H312" s="3">
        <f>356.2+(256.9-27.6)+(0+(0-0))+0-114-0</f>
        <v>471.5</v>
      </c>
      <c r="I312" s="3">
        <f>357.9+(241.7-28.2)+(0.547587+(0.369801-0.043146))+0-107-0.163710000000006</f>
        <v>465.11053199999998</v>
      </c>
      <c r="J312" s="3">
        <f>355.8+(248.9-28.5)+(0+(0-0))+0-105-0</f>
        <v>471.20000000000005</v>
      </c>
      <c r="K312" s="3">
        <f>362.9+(256.7-31.2)+(1.110474+(0.785502-0.095472))+0-113-0.345780000000013</f>
        <v>476.85472400000003</v>
      </c>
      <c r="L312" s="3">
        <f>357+(318-84)+(0.18207+(0.16218-0.04284))+0-108-0.055079999999989</f>
        <v>483.24633000000006</v>
      </c>
      <c r="M312" s="3">
        <f>358.3+(383-127.4)+(0.365466+(0.39066-0.129948))+0-109-0.111180000000017</f>
        <v>505.41499799999997</v>
      </c>
      <c r="N312" s="3">
        <f>360.8+(441-170.9)+(0.736032+(0.89964-0.348636))+0-80-0.163199999999997</f>
        <v>552.02383600000007</v>
      </c>
      <c r="O312" s="3">
        <f>363+(546-301)+(0.74052+(1.11384-0.61404))+0-58-0.118319999999997</f>
        <v>551.12199999999996</v>
      </c>
      <c r="P312" s="3">
        <f>361.3+(598.8-368.8)+(0.184263+(0.305388-0.188088))+0-54-0.0275399999999945</f>
        <v>537.5740229999999</v>
      </c>
      <c r="Q312" s="3">
        <f>360+(599.9-361.6)+(0+(0-0))+0-77-0</f>
        <v>521.29999999999995</v>
      </c>
      <c r="R312" s="3">
        <f>356.6+(612.9-365.5)+(-0.90933+(-1.562895--0.932025))+0-78--0.198899999999989</f>
        <v>524.65869999999995</v>
      </c>
      <c r="S312" s="3">
        <f>358.2+(598.5-365.6)+(-0.365364+(-0.61047--0.372912))+0-83--0.0846600000000132</f>
        <v>507.58173799999986</v>
      </c>
      <c r="T312" s="3">
        <f>361.9+(581.6-334.5)+(0.369138+(0.593232-0.34119))+0-97-0.0989400000000155</f>
        <v>512.52224000000001</v>
      </c>
      <c r="U312" s="3">
        <f>357.2+(569.1-331.5)+(0+(0-0))+0-104-0</f>
        <v>490.79999999999995</v>
      </c>
      <c r="V312" s="3">
        <f>370.2+(579.5-343.8)+(0.377604+(0.59109-0.350676))+0-130-0.132600000000021</f>
        <v>476.38541799999996</v>
      </c>
      <c r="W312" s="3">
        <f>413.9+(668.7-415.1)+(0.633267+(1.023111-0.635103))+0-101-0.154530000000006</f>
        <v>567.36674499999992</v>
      </c>
      <c r="X312" s="3">
        <f>518.1+(639.6-482.2)+(-0.264231+(-0.326196--0.245922))+0-106--0.0540599999999892</f>
        <v>569.20955499999991</v>
      </c>
      <c r="Y312" s="3">
        <f>542.2+(590.2-444.2)+(-0.553044+(-0.602004--0.453084))+0-91--0.0928200000000145</f>
        <v>596.59085600000003</v>
      </c>
      <c r="Z312" s="3">
        <f>554+(533.8-424.2)+(-0.56508+(-0.544476--0.432684))+0-98--0.0999600000000156</f>
        <v>565.02308799999992</v>
      </c>
      <c r="AA312" s="3">
        <f>562.9+(521.8-419.9)+(-0.287079+(-0.266118--0.214149))+0-113--0.0576299999999885</f>
        <v>551.51858199999992</v>
      </c>
      <c r="AB312" s="3">
        <f>555.5+(460.3-367.7)+(-2.26644+(-1.878024--1.500216))+0-105--0.428399999999991</f>
        <v>540.88415200000009</v>
      </c>
      <c r="AC312" s="3">
        <f>561.4+(413-346.4)+(-0.858942+(-0.63189--0.529992))+0-105--0.160650000000006</f>
        <v>522.19981000000007</v>
      </c>
      <c r="AD312">
        <v>543.6</v>
      </c>
      <c r="AE312" s="3">
        <f>526+(634-488.4)+(0+(0-0))+0-128-0</f>
        <v>543.6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566.6+(373-355.9)+(0.288966+(0.19023-0.181509))+0-80-0.0407999999999919</f>
        <v>503.95688700000005</v>
      </c>
      <c r="G313" s="3">
        <f>564.8+(354-336.9)+(-0.288048+(-0.18054--0.171819))+0-91--0.0464099999999908</f>
        <v>490.64964099999992</v>
      </c>
      <c r="H313" s="3">
        <f>565.4+(355-327.3)+(0+(0-0))+0-108-0</f>
        <v>485.09999999999991</v>
      </c>
      <c r="I313" s="3">
        <f>566.7+(326-306.7)+(0.578034+(0.33252-0.312834))+0-112-0.114240000000018</f>
        <v>474.48347999999999</v>
      </c>
      <c r="J313" s="3">
        <f>561.3+(320-298.1)+(-1.145052+(-0.6528--0.608124))+0-110--0.224399999999995</f>
        <v>472.23467199999999</v>
      </c>
      <c r="K313" s="3">
        <f>561.9+(342-317)+(-0.859707+(-0.52326--0.48501))+0-117--0.179010000000007</f>
        <v>469.18105299999996</v>
      </c>
      <c r="L313" s="3">
        <f>557+(370-366.6)+(-2.27256+(-1.5096--1.495728))+0-98--0.399839999999991</f>
        <v>460.51340799999997</v>
      </c>
      <c r="M313" s="3">
        <f>564.2+(429-426.2)+(-0.287742+(-0.21879--0.217362))+0-110--0.0560999999999888</f>
        <v>456.76693</v>
      </c>
      <c r="N313" s="3">
        <f>565.2+(467-463.2)+(0+(0-0))+0-106-0</f>
        <v>463</v>
      </c>
      <c r="O313" s="3">
        <f>564.3+(512-488.8)+(-0.575586+(-0.52224--0.498576))+0-112--0.114240000000018</f>
        <v>475.01499000000001</v>
      </c>
      <c r="P313" s="3">
        <f>564.7+(531-519.8)+(0+(0-0))+0-86-0</f>
        <v>489.90000000000009</v>
      </c>
      <c r="Q313" s="3">
        <f>557+(536-496.5)+(-0.56814+(-0.54672--0.50643))+0-101--0.103020000000016</f>
        <v>494.99459000000002</v>
      </c>
      <c r="R313" s="3">
        <f>549.1+(517-465.1)+(-1.120164+(-1.05468--0.948804))+0-106--0.216239999999995</f>
        <v>493.99019999999996</v>
      </c>
      <c r="S313" s="3">
        <f>548.9+(505-450.9)+(-0.559878+(-0.5151--0.459918))+0-115--0.117300000000018</f>
        <v>487.50224000000003</v>
      </c>
      <c r="T313" s="3">
        <f>547.7+(478-461.1)+(-1.117308+(-0.97512--0.940644))+0-106--0.216239999999995</f>
        <v>457.66445599999997</v>
      </c>
      <c r="U313" s="3">
        <f>551.7+(459-455.2)+(-0.281367+(-0.23409--0.232152))+0-100--0.0509999999999899</f>
        <v>455.26769499999995</v>
      </c>
      <c r="V313" s="3">
        <f>553.4+(483-472.7)+(-0.846702+(-0.73899--0.723231))+0-103--0.157590000000006</f>
        <v>459.99512900000002</v>
      </c>
      <c r="W313" s="3">
        <f>554.6+(585-488.5)+(0.282846+(0.29835-0.249135))+0-106-0.0540599999999892</f>
        <v>545.37800100000004</v>
      </c>
      <c r="X313" s="3">
        <f>557+(595-512.2)+(-0.56814+(-0.6069--0.522444))+0-83--0.0846600000000132</f>
        <v>556.23206399999992</v>
      </c>
      <c r="Y313" s="3">
        <f>567.3+(573-493.7)+(0+(0-0))+0-105-0</f>
        <v>541.59999999999991</v>
      </c>
      <c r="Z313" s="3">
        <f>568+(557-490.9)+(-0.57936+(-0.56814--0.500718))+0-108--0.110160000000017</f>
        <v>525.56337800000006</v>
      </c>
      <c r="AA313" s="3">
        <f>567.9+(501-452)+(-0.579258+(-0.51102--0.46104))+0-111--0.113220000000018</f>
        <v>505.383982</v>
      </c>
      <c r="AB313" s="3">
        <f>569.5+(443-407.3)+(-0.290445+(-0.22593--0.207723))+0-115--0.0586499999999883</f>
        <v>489.94999799999999</v>
      </c>
      <c r="AC313" s="3">
        <f>566.4+(399-396.8)+(-1.155456+(-0.81396--0.809472))+0-100--0.203999999999996</f>
        <v>467.64405599999992</v>
      </c>
      <c r="AD313">
        <v>606.1</v>
      </c>
      <c r="AE313" s="3">
        <f>555+(645-508.9)+(0+(0-0))+0-85-0</f>
        <v>606.1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563.2+(306-328.4)+(-1.43616+(-0.7803--0.83742))+0-112--0.285599999999984</f>
        <v>427.70656000000002</v>
      </c>
      <c r="G314" s="3">
        <f>566.4+(276-295.4)+(-0.577728+(-0.28152--0.301308))+0-56--0.0571200000000089</f>
        <v>490.49917999999997</v>
      </c>
      <c r="H314" s="3">
        <f>565.2+(254-298.2)+(-1.153008+(-0.51816--0.608328))+0-35--0.0713999999999985</f>
        <v>485.00855999999993</v>
      </c>
      <c r="I314" s="3">
        <f>567.3+(249-293.1)+(-0.867969+(-0.38097--0.448443))+0-88--0.134640000000005</f>
        <v>434.53414399999997</v>
      </c>
      <c r="J314" s="3">
        <f>571.3+(280-309.3)+(0.582726+(0.2856-0.315486))+0-112-0.114240000000018</f>
        <v>430.43859999999995</v>
      </c>
      <c r="K314" s="3">
        <f>567.8+(293-308.9)+(-0.579156+(-0.29886--0.315078))+0-107--0.109140000000017</f>
        <v>444.44620199999997</v>
      </c>
      <c r="L314" s="3">
        <f>570.4+(417-405.6)+(0.290904+(0.21267-0.206856))+0-105-0.0535499999999893</f>
        <v>477.04316800000004</v>
      </c>
      <c r="M314" s="3">
        <f>569.9+(476.2-431.8)+(0.290649+(0.242862-0.220218))+0-110-0.0560999999999888</f>
        <v>504.55719299999998</v>
      </c>
      <c r="N314" s="3">
        <f>584.5+(438.7-380.4)+(0.59619+(0.447474-0.388008))+0-109-0.111180000000017</f>
        <v>534.34447599999999</v>
      </c>
      <c r="O314" s="3">
        <f>577.2+(440.9-369.2)+(-0.294372+(-0.224859--0.188292))+0-99--0.05048999999999</f>
        <v>549.61955100000011</v>
      </c>
      <c r="P314" s="3">
        <f>569.1+(450.6-358.6)+(-0.580482+(-0.459612--0.365772))+0-106--0.108120000000017</f>
        <v>554.53379800000005</v>
      </c>
      <c r="Q314" s="3">
        <f>559.3+(382-286)+(-0.570486+(-0.38964--0.29172))+0-104--0.106080000000017</f>
        <v>550.73767399999997</v>
      </c>
      <c r="R314" s="3">
        <f>549+(375-268.8)+(-1.67994+(-1.1475--0.822528))+0-108--0.330480000000012</f>
        <v>545.52556800000002</v>
      </c>
      <c r="S314" s="3">
        <f>527+(355.2-264.5)+(-0.80631+(-0.543456--0.404685))+0-87--0.133110000000005</f>
        <v>529.88802900000007</v>
      </c>
      <c r="T314" s="3">
        <f>528.7+(376.6-291)+(-0.269637+(-0.192066--0.14841))+0-101--0.0515099999999898</f>
        <v>513.03821700000003</v>
      </c>
      <c r="U314" s="3">
        <f>524+(359.5-262.9)+(-0.80172+(-0.550035--0.402237))+0-107--0.163710000000006</f>
        <v>512.81419200000005</v>
      </c>
      <c r="V314" s="3">
        <f>530.5+(296.6-247.7)+(0.270555+(0.151266-0.126327))+0-84-0.0428399999999915</f>
        <v>495.65265400000004</v>
      </c>
      <c r="W314" s="3">
        <f>527.1+(408.6-265.7)+(-0.268821+(-0.208386--0.135507))+0-104--0.0530399999999895</f>
        <v>565.71134000000006</v>
      </c>
      <c r="X314" s="3">
        <f>533+(456.7-288.9)+(0.54366+(0.465834-0.294678))+0-116-0.118320000000018</f>
        <v>585.39649599999996</v>
      </c>
      <c r="Y314" s="3">
        <f>534.2+(407.5-266.8)+(-1.36221+(-1.039125--0.68034))+0-104--0.265199999999985</f>
        <v>569.44420500000001</v>
      </c>
      <c r="Z314" s="3">
        <f>541.3+(376.4-249.9)+(-0.828189+(-0.575892--0.382347))+0-108--0.165240000000006</f>
        <v>558.94350599999996</v>
      </c>
      <c r="AA314" s="3">
        <f>537.8+(312.9-188.2)+(-1.919946+(-1.117053--0.671874))+0-113--0.403410000000002</f>
        <v>547.53828499999997</v>
      </c>
      <c r="AB314" s="3">
        <f>539.9+(242.1-141.4)+(-1.101396+(-0.493884--0.288456))+0-112--0.228479999999995</f>
        <v>527.52165599999989</v>
      </c>
      <c r="AC314" s="3">
        <f>539.4+(146.5-86.9)+(-1.37547+(-0.373575--0.221595))+0-96--0.244799999999986</f>
        <v>501.71734999999995</v>
      </c>
      <c r="AD314">
        <v>643.1</v>
      </c>
      <c r="AE314" s="3">
        <f>529+(454-274.9)+(0+(0-0))+0-65-0</f>
        <v>643.1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545.9+(139-101.2)+(0+(0-0))+0-94-0</f>
        <v>489.69999999999993</v>
      </c>
      <c r="G315" s="3">
        <f>525.5+(161-124.6)+(-1.340025+(-0.41055--0.31773))+0-81--0.206549999999988</f>
        <v>479.67370499999993</v>
      </c>
      <c r="H315" s="3">
        <f>503.9+(161.6-111.3)+(-0.770967+(-0.247248--0.170289))+0-88--0.134640000000005</f>
        <v>465.48671399999989</v>
      </c>
      <c r="I315" s="3">
        <f>493.7+(150.2-96.5)+(-1.007148+(-0.306408--0.19686))+0-82--0.167279999999996</f>
        <v>464.45058399999994</v>
      </c>
      <c r="J315" s="3">
        <f>484+(173-99.9)+(0.74052+(0.26469-0.152847))+0-83-0.126990000000005</f>
        <v>474.82537300000001</v>
      </c>
      <c r="K315" s="3">
        <f>564.1+(158-153.5)+(-0.287691+(-0.08058--0.078285))+0-85--0.0433499999999914</f>
        <v>483.353364</v>
      </c>
      <c r="L315" s="3">
        <f>566+(215-196.3)+(0+(0-0))+0-87-0</f>
        <v>497.70000000000005</v>
      </c>
      <c r="M315" s="3">
        <f>568.7+(254-214.1)+(0.290037+(0.12954-0.109191))+0-77-0.0392699999999922</f>
        <v>531.87111600000003</v>
      </c>
      <c r="N315" s="3">
        <f>584.9+(274.1-209.3)+(-0.894897+(-0.419373--0.320229))+0-84--0.128520000000005</f>
        <v>564.83447899999999</v>
      </c>
      <c r="O315" s="3">
        <f>585.8+(288-214.6)+(-0.298758+(-0.14688--0.109446))+0-91--0.0464099999999908</f>
        <v>567.91021799999999</v>
      </c>
      <c r="P315" s="3">
        <f>601.9+(273-189.8)+(-1.227876+(-0.55692--0.387192))+0-89--0.181559999999996</f>
        <v>594.8839559999999</v>
      </c>
      <c r="Q315" s="3">
        <f>594.2+(276-184)+(-0.909126+(-0.42228--0.28152))+0-106--0.162180000000006</f>
        <v>579.31229400000007</v>
      </c>
      <c r="R315" s="3">
        <f>582.8+(266.3-165.7)+(-2.080596+(-0.950691--0.591549))+0-100--0.357000000000001</f>
        <v>581.31726199999991</v>
      </c>
      <c r="S315" s="3">
        <f>570.7+(267.1-176.5)+(-0.873171+(-0.408663--0.270045))+0-97--0.148410000000006</f>
        <v>563.43662100000006</v>
      </c>
      <c r="T315" s="3">
        <f>570.2+(265.5-198.1)+(-0.290802+(-0.135405--0.101031))+0-89--0.045389999999991</f>
        <v>548.32021399999996</v>
      </c>
      <c r="U315" s="3">
        <f>572.5+(248.3-186)+(0.291975+(0.126633-0.09486))+0-105-0.0535499999999893</f>
        <v>530.070198</v>
      </c>
      <c r="V315" s="3">
        <f>569.8+(258-174.7)+(-0.581196+(-0.26316--0.178194))+0-116--0.118320000000018</f>
        <v>536.55215799999996</v>
      </c>
      <c r="W315" s="3">
        <f>572.8+(352.7-238.1)+(0+(0-0))+0-96-0</f>
        <v>591.4</v>
      </c>
      <c r="X315" s="3">
        <f>577.9+(433.4-302)+(-0.294729+(-0.221034--0.15402))+0-119--0.0606899999999879</f>
        <v>589.99894699999993</v>
      </c>
      <c r="Y315" s="3">
        <f>574.5+(388-264.1)+(-0.878985+(-0.59364--0.404073))+0-103--0.157590000000006</f>
        <v>594.48903800000005</v>
      </c>
      <c r="Z315" s="3">
        <f>575.7+(345.6-221.3)+(-1.468035+(-0.88128--0.564315))+0-114--0.290699999999983</f>
        <v>584.50570000000005</v>
      </c>
      <c r="AA315" s="3">
        <f>576.7+(303-192.6)+(-1.176468+(-0.61812--0.392904))+0-110--0.224399999999995</f>
        <v>575.92271599999992</v>
      </c>
      <c r="AB315" s="3">
        <f>578.2+(191.3-129.4)+(-1.47441+(-0.487815--0.32997))+0-91--0.232049999999987</f>
        <v>547.69979499999999</v>
      </c>
      <c r="AC315" s="3">
        <f>579.9+(128.4-93.4)+(-1.182996+(-0.261936--0.190536))+0-94--0.191759999999996</f>
        <v>519.83736399999998</v>
      </c>
      <c r="AD315">
        <v>592.79999999999995</v>
      </c>
      <c r="AE315" s="3">
        <f>578+(433-323.2)+(0+(0-0))+0-95-0</f>
        <v>592.79999999999995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519.1+(116.6-57.7)+(-1.058964+(-0.237864--0.117708))+0-89--0.181559999999996</f>
        <v>488.00243999999998</v>
      </c>
      <c r="G316" s="3">
        <f>480.7+(144-63.6)+(-1.225785+(-0.3672--0.16218))+0-94--0.239699999999986</f>
        <v>465.90889500000003</v>
      </c>
      <c r="H316" s="3">
        <f>482.8+(212-126.3)+(-0.738684+(-0.32436--0.193239))+0-95--0.145350000000006</f>
        <v>472.77554499999997</v>
      </c>
      <c r="I316" s="3">
        <f>485+(198-117.9)+(-0.24735+(-0.10098--0.060129))+0-92--0.0469199999999907</f>
        <v>472.85871900000006</v>
      </c>
      <c r="J316" s="3">
        <f>482.4+(214-133.2)+(-0.984096+(-0.43656--0.271728))+0-90--0.183599999999996</f>
        <v>472.2346720000001</v>
      </c>
      <c r="K316" s="3">
        <f>485.8+(207.8-132.5)+(0+(0-0))+0-89-0</f>
        <v>472.1</v>
      </c>
      <c r="L316" s="3">
        <f>506.1+(280.8-197.9)+(-0.516222+(-0.286416--0.201858))+0-72--0.0734400000000115</f>
        <v>516.47266000000002</v>
      </c>
      <c r="M316" s="3">
        <f>582.8+(216.3-191)+(0.891684+(0.330939-0.29223))+0-89-0.136170000000005</f>
        <v>519.8942229999999</v>
      </c>
      <c r="N316" s="3">
        <f>581+(240-174.8)+(0+(0-0))+0-74-0</f>
        <v>572.20000000000005</v>
      </c>
      <c r="O316" s="3">
        <f>582+(286-215.8)+(0+(0-0))+0-96-0</f>
        <v>556.20000000000005</v>
      </c>
      <c r="P316" s="3">
        <f>577.9+(275-193.5)+(-0.884187+(-0.42075--0.296055))+0-97--0.148410000000006</f>
        <v>561.53952800000002</v>
      </c>
      <c r="Q316" s="3">
        <f>576.1+(300-202.5)+(-0.587622+(-0.306--0.20655))+0-95--0.0969000000000152</f>
        <v>578.00982800000008</v>
      </c>
      <c r="R316" s="3">
        <f>569.6+(288.2-195.2)+(-1.161984+(-0.587928--0.398208))+0-88--0.179519999999996</f>
        <v>573.42781600000001</v>
      </c>
      <c r="S316" s="3">
        <f>562.5+(308.7-216.4)+(-1.434375+(-0.787185--0.55182))+0-88--0.224399999999987</f>
        <v>565.35465999999985</v>
      </c>
      <c r="T316" s="3">
        <f>564.5+(244-179.7)+(0.57579+(0.24888-0.183294))+0-84-0.0856800000000134</f>
        <v>545.35569599999997</v>
      </c>
      <c r="U316" s="3">
        <f>562.8+(240.1-160.4)+(0+(0-0))+0-90-0</f>
        <v>552.5</v>
      </c>
      <c r="V316" s="3">
        <f>560.1+(251.7-173.1)+(-0.571302+(-0.256734--0.176562))+0-84--0.0856800000000134</f>
        <v>554.13420600000006</v>
      </c>
      <c r="W316" s="3">
        <f>562.1+(359.8-218.9)+(0.573342+(0.366996-0.223278))+0-92-0.0938400000000147</f>
        <v>611.62321999999995</v>
      </c>
      <c r="X316" s="3">
        <f>565.7+(421.6-286.1)+(-1.154028+(-0.860064--0.583644))+0-87--0.177479999999996</f>
        <v>612.94703200000004</v>
      </c>
      <c r="Y316" s="3">
        <f>567.8+(397.2-264.1)+(-1.158312+(-0.810288--0.538764))+0-91--0.185639999999996</f>
        <v>608.65580399999988</v>
      </c>
      <c r="Z316" s="3">
        <f>571.8+(338.8-230.1)+(-0.583236+(-0.345576--0.234702))+0-95--0.0969000000000152</f>
        <v>584.90278999999998</v>
      </c>
      <c r="AA316" s="3">
        <f>573.8+(326.2-215.3)+(-0.585276+(-0.332724--0.219606))+0-99--0.100980000000016</f>
        <v>585.10258599999997</v>
      </c>
      <c r="AB316" s="3">
        <f>571.8+(240.5-148.5)+(-0.874854+(-0.367965--0.227205))+0-103--0.157590000000006</f>
        <v>559.94197599999995</v>
      </c>
      <c r="AC316" s="3">
        <f>570.4+(173.3-98.8)+(-1.45452+(-0.441915--0.25194))+0-105--0.267749999999985</f>
        <v>538.52325499999995</v>
      </c>
      <c r="AD316">
        <v>611</v>
      </c>
      <c r="AE316" s="3">
        <f>562+(429.8-282.8)+(0+(0-0))+0-98-0</f>
        <v>611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574.9+(126-93.7)+(-1.172796+(-0.25704--0.191148))+0-95--0.193799999999996</f>
        <v>511.15511199999992</v>
      </c>
      <c r="G317" s="3">
        <f>580.5+(127-101)+(-0.888165+(-0.19431--0.15453))+0-102--0.156060000000006</f>
        <v>503.728115</v>
      </c>
      <c r="H317" s="3">
        <f>577.2+(126.3-89.4)+(-1.47186+(-0.322065--0.22797))+0-119--0.303449999999983</f>
        <v>493.83749499999999</v>
      </c>
      <c r="I317" s="3">
        <f>519.1+(152.1-62.6)+(-0.264741+(-0.077571--0.031926))+0-111--0.0566099999999887</f>
        <v>497.34622400000001</v>
      </c>
      <c r="J317" s="3">
        <f>518.3+(171-93.8)+(0+(0-0))+0-104-0</f>
        <v>491.5</v>
      </c>
      <c r="K317" s="3">
        <f>509.6+(242-144.8)+(-0.259896+(-0.12342--0.073848))+0-105--0.0535499999999893</f>
        <v>501.54408199999989</v>
      </c>
      <c r="L317" s="3">
        <f>507.5+(313-207.9)+(-0.51765+(-0.31926--0.212058))+0-104--0.106080000000017</f>
        <v>508.08122800000001</v>
      </c>
      <c r="M317" s="3">
        <f>509.6+(302-197.3)+(0.519792+(0.30804-0.201246))+0-91-0.0928200000000145</f>
        <v>523.83376599999997</v>
      </c>
      <c r="N317" s="3">
        <f>519.2+(314.5-191.3)+(0.529584+(0.32079-0.195126))+0-95-0.0969000000000152</f>
        <v>547.95834800000011</v>
      </c>
      <c r="O317" s="3">
        <f>571.7+(332-231.2)+(0.583134+(0.33864-0.235824))+0-97-0.0989400000000155</f>
        <v>576.08701000000008</v>
      </c>
      <c r="P317" s="3">
        <f>566.2+(233.9-219.3)+(0+(0-0))+0-107-0</f>
        <v>473.80000000000007</v>
      </c>
      <c r="Q317" s="3">
        <f>559.3+(225.3-203.4)+(0.285243+(0.114903-0.103734))+0-99-0.05048999999999</f>
        <v>482.445922</v>
      </c>
      <c r="R317" s="3">
        <f>557.5+(226.7-193.2)+(-0.852975+(-0.346851--0.295596))+0-76--0.116280000000004</f>
        <v>514.21204999999998</v>
      </c>
      <c r="S317" s="3">
        <f>557+(312-192.5)+(-0.56814+(-0.31824--0.19635))+0-85--0.0867000000000136</f>
        <v>590.89667000000009</v>
      </c>
      <c r="T317" s="3">
        <f>555.6+(285-193.8)+(0.283356+(0.14535-0.098838))+0-91-0.0464099999999908</f>
        <v>556.08345799999995</v>
      </c>
      <c r="U317" s="3">
        <f>549+(339.1-208.8)+(-1.39995+(-0.864705--0.53244))+0-92--0.234599999999987</f>
        <v>585.80238499999996</v>
      </c>
      <c r="V317" s="3">
        <f>553.5+(353.5-222.9)+(0+(0-0))+0-95-0</f>
        <v>589.1</v>
      </c>
      <c r="W317" s="3">
        <f>552.7+(475.8-291.2)+(-0.563754+(-0.485316--0.297024))+0-94--0.095880000000015</f>
        <v>642.64383400000008</v>
      </c>
      <c r="X317" s="3">
        <f>556.6+(451.8-259.9)+(-0.283866+(-0.230418--0.132549))+0-135.1--0.0689009999999863</f>
        <v>613.08716599999991</v>
      </c>
      <c r="Y317" s="3">
        <f>565.3+(419.9-254)+(-0.864909+(-0.642447--0.38862))+0-132.2--0.202266000000008</f>
        <v>598.08352999999988</v>
      </c>
      <c r="Z317" s="3">
        <f>569.8+(398.8-249.7)+(-1.162392+(-0.813552--0.509388))+0-129.3--0.263771999999994</f>
        <v>588.39721600000007</v>
      </c>
      <c r="AA317" s="3">
        <f>570.2+(326.2-191.6)+(-1.163208+(-0.665448--0.390864))+0-134.3--0.273971999999994</f>
        <v>569.33618000000001</v>
      </c>
      <c r="AB317" s="3">
        <f>567.2+(251-139.1)+(-0.867816+(-0.38403--0.212823))+0-125.2--0.191556000000007</f>
        <v>553.05253299999993</v>
      </c>
      <c r="AC317" s="3">
        <f>566.8+(176.8-106.9)+(-0.867204+(-0.270504--0.163557))+0-107.3--0.164169000000006</f>
        <v>528.59001799999999</v>
      </c>
      <c r="AD317">
        <v>624.49999999999989</v>
      </c>
      <c r="AE317" s="3">
        <f>555+(483.8-266.7)+(0+(0-0))+0-147.6-0</f>
        <v>624.5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564.5+(131.5-63)+(0+(0-0))+0-121.7-0</f>
        <v>511.3</v>
      </c>
      <c r="G318" s="3">
        <f>509.9+(146.8-65.1)+(0+(0-0))+0-99.1-0</f>
        <v>492.5</v>
      </c>
      <c r="H318" s="3">
        <f>492.6+(216.1-125.2)+(0.251226+(0.110211-0.063852))+0-94.1-0.0479909999999905</f>
        <v>489.64959400000004</v>
      </c>
      <c r="I318" s="3">
        <f>491.8+(173.7-78.4)+(0+(0-0))+0-112.8-0</f>
        <v>474.3</v>
      </c>
      <c r="J318" s="3">
        <f>489+(175.6-85.1)+(0+(0-0))+0-120-0</f>
        <v>459.5</v>
      </c>
      <c r="K318" s="3">
        <f>483.6+(225.3-129.5)+(0.493272+(0.229806-0.13209))+0-113.3-0.115566000000018</f>
        <v>466.57542200000012</v>
      </c>
      <c r="L318" s="3">
        <f>479.9+(262.8-158)+(-0.489498+(-0.268056--0.16116))+0-106.2--0.108324000000017</f>
        <v>478.01193000000006</v>
      </c>
      <c r="M318" s="3">
        <f>502.3+(257.8-135.3)+(0+(0-0))+0-103.7-0</f>
        <v>521.09999999999991</v>
      </c>
      <c r="N318" s="3">
        <f>564.7+(221.5-155.4)+(0.863991+(0.338895-0.237762))+0-105.1-0.160803000000006</f>
        <v>526.504321</v>
      </c>
      <c r="O318" s="3">
        <f>565+(201.2-133.2)+(-0.28815+(-0.102612--0.067932))+0-103.2--0.0526319999999895</f>
        <v>529.52980200000002</v>
      </c>
      <c r="P318" s="3">
        <f>567.4+(224-139.7)+(0.578748+(0.22848-0.142494))+0-96.8-0.0987360000000154</f>
        <v>555.46599800000001</v>
      </c>
      <c r="Q318" s="3">
        <f>560.4+(229.2-120.9)+(-1.143216+(-0.467568--0.246636))+0-108.6--0.221543999999995</f>
        <v>558.9573959999999</v>
      </c>
      <c r="R318" s="3">
        <f>549.7+(227.9-116.2)+(-1.121388+(-0.464916--0.237048))+0-103.7--0.211547999999995</f>
        <v>556.56229200000007</v>
      </c>
      <c r="S318" s="3">
        <f>544+(214.2-118)+(-0.55488+(-0.218484--0.12036))+0-89.8--0.0915960000000143</f>
        <v>549.83859200000006</v>
      </c>
      <c r="T318" s="3">
        <f>544.9+(246.9-141.6)+(-0.555798+(-0.251838--0.144432))+0-112.1--0.114342000000018</f>
        <v>537.55113800000004</v>
      </c>
      <c r="U318" s="3">
        <f>546+(204.7-122.2)+(0+(0-0))+0-113-0</f>
        <v>515.5</v>
      </c>
      <c r="V318" s="3">
        <f>545+(183.1-109.1)+(-0.5559+(-0.186762--0.111282))+0-100.2--0.102204000000016</f>
        <v>518.27082399999995</v>
      </c>
      <c r="W318" s="3">
        <f>546.3+(263.9-165)+(0+(0-0))+0-90.3-0</f>
        <v>554.9</v>
      </c>
      <c r="X318" s="3">
        <f>541.2+(334.1-195.4)+(-0.828036+(-0.511173--0.298962))+0-106.6--0.163098000000006</f>
        <v>572.42285100000004</v>
      </c>
      <c r="Y318" s="3">
        <f>543.2+(305.9-174)+(-0.277032+(-0.156009--0.08874))+0-111--0.0566099999999887</f>
        <v>563.81230900000003</v>
      </c>
      <c r="Z318" s="3">
        <f>544.7+(238.9-133.2)+(-0.555594+(-0.243678--0.135864))+0-95.9--0.0978180000000153</f>
        <v>553.93441000000007</v>
      </c>
      <c r="AA318" s="3">
        <f>541.1+(215.7-102.5)+(-0.551922+(-0.220014--0.10455))+0-117.1--0.119442000000019</f>
        <v>536.65205600000002</v>
      </c>
      <c r="AB318" s="3">
        <f>541.2+(175.3-72.4)+(-0.552024+(-0.178806--0.073848))+0-122--0.124440000000019</f>
        <v>521.5674580000001</v>
      </c>
      <c r="AC318" s="3">
        <f>540.4+(125.8-63)+(-0.826812+(-0.192474--0.09639))+0-108.9--0.166617000000006</f>
        <v>493.54372099999995</v>
      </c>
      <c r="AD318">
        <v>565.69999999999993</v>
      </c>
      <c r="AE318" s="3">
        <f>538+(340.8-211.5)+(0+(0-0))+0-101.6-0</f>
        <v>565.69999999999993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540.6+(113.4-78.2)+(-1.102824+(-0.231336--0.159528))+0-97.8--0.199511999999996</f>
        <v>477.02488000000005</v>
      </c>
      <c r="G319" s="3">
        <f>537.5+(128.8-88.4)+(-1.370625+(-0.32844--0.22542))+0-111.8--0.285089999999984</f>
        <v>464.9114449999999</v>
      </c>
      <c r="H319" s="3">
        <f>544.3+(124.1-99.5)+(-0.277593+(-0.063291--0.050745))+0-111.4--0.0568139999999887</f>
        <v>457.26667500000002</v>
      </c>
      <c r="I319" s="3">
        <f>533.6+(129.1-110.3)+(0+(0-0))+0-96.3-0</f>
        <v>456.09999999999997</v>
      </c>
      <c r="J319" s="3">
        <f>465.5+(153.8-56.1)+(0+(0-0))+0-114-0</f>
        <v>449.20000000000005</v>
      </c>
      <c r="K319" s="3">
        <f>463.7+(146.3-41.5)+(-0.236487+(-0.074613--0.021165))+0-117.9--0.060128999999988</f>
        <v>450.37019399999997</v>
      </c>
      <c r="L319" s="3">
        <f>461.7+(157.6-46.6)+(-0.470934+(-0.160752--0.047532))+0-112.9--0.115158000000018</f>
        <v>459.33100400000006</v>
      </c>
      <c r="M319" s="3">
        <f>464.4+(171.7-50.3)+(-0.473688+(-0.175134--0.051306))+0-105.1--0.107202000000017</f>
        <v>480.20968599999992</v>
      </c>
      <c r="N319" s="3">
        <f>390.3+(266.2-46.1)+(0+(0-0))+0-106-0</f>
        <v>504.4</v>
      </c>
      <c r="O319" s="3">
        <f>339.8+(308.3-30.6)+(0+(0-0))+0-107.9-0</f>
        <v>509.6</v>
      </c>
      <c r="P319" s="3">
        <f>343.6+(303.4-22.2)+(0.175236+(0.154734-0.011322))+0-112.9-0.0575789999999885</f>
        <v>512.161069</v>
      </c>
      <c r="Q319" s="3">
        <f>336.9+(303.5-1)+(-0.859095+(-0.773925--0.00255))+0-121.9--0.310844999999982</f>
        <v>516.18037500000003</v>
      </c>
      <c r="R319" s="3">
        <f>337.7+(310.5-25)+(-0.861135+(-0.791775--0.06375))+0-105.4--0.268769999999985</f>
        <v>516.47961000000009</v>
      </c>
      <c r="S319" s="3">
        <f>338.4+(282.5-0)+(-0.690336+(-0.5763-0))+0-113.9--0.232355999999995</f>
        <v>505.96572000000003</v>
      </c>
      <c r="T319" s="3">
        <f>340.6+(261.3-9)+(-0.347412+(-0.266526--0.00918))+0-94.4--0.0962880000000151</f>
        <v>497.99153000000018</v>
      </c>
      <c r="U319" s="3">
        <f>339.5+(241.6-0)+(-0.519435+(-0.369648-0))+0-89.1--0.136323000000005</f>
        <v>491.24723999999998</v>
      </c>
      <c r="V319" s="3">
        <f>343+(274.8-16)+(0.17493+(0.140148-0.00816))+0-102.7-0.0523769999999896</f>
        <v>499.35454099999998</v>
      </c>
      <c r="W319" s="3">
        <f>346.9+(309.1-17.8)+(0.176919+(0.157641-0.009078))+0-116.9-0.0596189999999881</f>
        <v>521.56586300000004</v>
      </c>
      <c r="X319" s="3">
        <f>344.9+(355.3-33.5)+(-0.351798+(-0.362406--0.03417))+0-112.4--0.114648000000018</f>
        <v>553.73461400000008</v>
      </c>
      <c r="Y319" s="3">
        <f>342.4+(331.7-34.2)+(-0.523872+(-0.507501--0.052326))+0-93--0.142290000000005</f>
        <v>546.06324299999994</v>
      </c>
      <c r="Z319" s="3">
        <f>344.4+(355.6-69.2)+(0+(0-0))+0-95.9-0</f>
        <v>534.9</v>
      </c>
      <c r="AA319" s="3">
        <f>342.9+(330.8-48.6)+(-0.174879+(-0.168708--0.024786))+0-97.7--0.0498269999999901</f>
        <v>527.13102599999979</v>
      </c>
      <c r="AB319" s="3">
        <f>344.6+(351.2-70.5)+(0.175746+(0.179112-0.035955))+0-107.9-0.0550289999999891</f>
        <v>517.66387399999996</v>
      </c>
      <c r="AC319" s="3">
        <f>339.5+(296.7-25.3)+(-0.865725+(-0.756585--0.064515))+0-107.9--0.275144999999984</f>
        <v>501.71734999999995</v>
      </c>
      <c r="AD319">
        <v>548</v>
      </c>
      <c r="AE319" s="3">
        <f>340+(358.2-36.2)+(0+(0-0))+0-114-0</f>
        <v>548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343.2+(261.9-21.1)+(0+(0-0))+0-98.6-0</f>
        <v>485.4</v>
      </c>
      <c r="G320" s="3">
        <f>344.7+(231.7-7.5)+(0.351594+(0.236334-0.00765))+0-98-0.0999600000000156</f>
        <v>471.38031799999999</v>
      </c>
      <c r="H320" s="3">
        <f>342.3+(245.2-53.7)+(-0.174573+(-0.125052--0.027387))+0-71.1--0.0362609999999928</f>
        <v>462.46402299999988</v>
      </c>
      <c r="I320" s="3">
        <f>341.3+(242.4-28.2)+(-0.348126+(-0.247248--0.028764))+0-98.4--0.100368000000016</f>
        <v>456.63375800000006</v>
      </c>
      <c r="J320" s="3">
        <f>343.9+(255.7-32.7)+(0.350778+(0.260814-0.033354))+0-106.9-0.109038000000017</f>
        <v>460.46920000000006</v>
      </c>
      <c r="K320" s="3">
        <f>343.5+(248.9-14.1)+(0.175185+(0.126939-0.007191))+0-120.6-0.0615059999999878</f>
        <v>457.93342699999994</v>
      </c>
      <c r="L320" s="3">
        <f>336.5+(252.4-46.5)+(-1.37292+(-1.029792--0.18972))+0-110.4--0.45043199999999</f>
        <v>430.23743999999999</v>
      </c>
      <c r="M320" s="3">
        <f>343.2+(289.4-90.4)+(0+(0-0))+0-117.3-0</f>
        <v>424.89999999999992</v>
      </c>
      <c r="N320" s="3">
        <f>342.7+(307.6-97.3)+(-0.174777+(-0.156876--0.049623))+0-109.5--0.0558449999999889</f>
        <v>443.27381500000001</v>
      </c>
      <c r="O320" s="3">
        <f>346.2+(360.4-158.8)+(0.176562+(0.183804-0.080988))+0-96.9-0.0494189999999902</f>
        <v>451.12995899999993</v>
      </c>
      <c r="P320" s="3">
        <f>343.8+(365.7-187.4)+(0+(0-0))+0-55.1-0</f>
        <v>467</v>
      </c>
      <c r="Q320" s="3">
        <f>344.3+(324.4-160.6)+(0+(0-0))+0-57.6-0</f>
        <v>450.5</v>
      </c>
      <c r="R320" s="3">
        <f>342.9+(256.5-123.8)+(-0.349758+(-0.26163--0.126276))+0-72.3--0.0737460000000115</f>
        <v>402.88863399999997</v>
      </c>
      <c r="S320" s="3">
        <f>340.6+(329-103.1)+(-0.347412+(-0.33558--0.105162))+0-103.3--0.105366000000016</f>
        <v>462.72753600000004</v>
      </c>
      <c r="T320" s="3">
        <f>336.9+(275.5-85.7)+(-0.687276+(-0.56202--0.174828))+0-101.1--0.206243999999996</f>
        <v>424.73177599999997</v>
      </c>
      <c r="U320" s="3">
        <f>343.3+(288.5-84.7)+(-0.175083+(-0.147135--0.043197))+0-97.6--0.0497759999999901</f>
        <v>449.27075500000007</v>
      </c>
      <c r="V320" s="3">
        <f>346.6+(307.7-83.1)+(0.353532+(0.313854-0.084762))+0-117.5-0.119850000000019</f>
        <v>454.16277400000001</v>
      </c>
      <c r="W320" s="3">
        <f>347+(366.1-124.3)+(0+(0-0))+0-108-0</f>
        <v>480.79999999999995</v>
      </c>
      <c r="X320" s="3">
        <f>365.2+(440.9-193.2)+(-0.186252+(-0.224859--0.098532))+0-106.4--0.0542639999999892</f>
        <v>506.24168499999996</v>
      </c>
      <c r="Y320" s="3">
        <f>364.7+(408.2-168.5)+(-0.185997+(-0.208182--0.085935))+0-76.2--0.0388619999999923</f>
        <v>527.93061799999998</v>
      </c>
      <c r="Z320" s="3">
        <f>366.1+(377.6-130.6)+(0+(0-0))+0-89-0</f>
        <v>524.1</v>
      </c>
      <c r="AA320" s="3">
        <f>364+(321-76.7)+(-0.37128+(-0.32742--0.078234))+0-92.2--0.0940440000000147</f>
        <v>515.573578</v>
      </c>
      <c r="AB320" s="3">
        <f>363.8+(286.5-47.5)+(-0.185538+(-0.146115--0.024225))+0-101.7--0.0518669999999897</f>
        <v>500.84443900000002</v>
      </c>
      <c r="AC320" s="3">
        <f>364.1+(236.7-14.6)+(-0.185691+(-0.120717--0.007446))+0-102.5--0.0522749999999896</f>
        <v>483.45331300000009</v>
      </c>
      <c r="AD320">
        <v>514.1</v>
      </c>
      <c r="AE320" s="3">
        <f>365+(458.5-200.6)+(0+(0-0))+0-108.8-0</f>
        <v>514.1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362.8+(219-13.9)+(-0.555084+(-0.33507--0.021267))+0-104.3--0.159579000000006</f>
        <v>462.890692</v>
      </c>
      <c r="G321" s="3">
        <f>365.7+(212.6-22.4)+(0.559521+(0.325278-0.034272))+0-98.9-0.151317000000006</f>
        <v>457.69921000000005</v>
      </c>
      <c r="H321" s="3">
        <f>340.1+(246.4-34.9)+(-0.520353+(-0.376992--0.053397))+0-96.3--0.147339000000006</f>
        <v>454.60339100000004</v>
      </c>
      <c r="I321" s="3">
        <f>320.1+(256.7-27.5)+(0.653004+(0.523668-0.0561))+0-100.1-0.204203999999996</f>
        <v>450.11636799999997</v>
      </c>
      <c r="J321" s="3">
        <f>316.1+(240.8-4.3)+(-0.161211+(-0.122808--0.002193))+0-101.2--0.0516119999999897</f>
        <v>451.16978599999999</v>
      </c>
      <c r="K321" s="3">
        <f>315.9+(243.6-9.8)+(-0.483327+(-0.372708--0.014994))+0-99.6--0.152388000000006</f>
        <v>449.41134699999992</v>
      </c>
      <c r="L321" s="3">
        <f>317.3+(343.1-83.4)+(-0.161823+(-0.174981--0.042534))+0-105--0.0535499999999893</f>
        <v>471.75927999999999</v>
      </c>
      <c r="M321" s="3">
        <f>317.1+(392.5-102.8)+(-0.161721+(-0.200175--0.052428))+0-94.8--0.0483479999999904</f>
        <v>511.73887999999988</v>
      </c>
      <c r="N321" s="3">
        <f>319.3+(360-36.8)+(0+(0-0))+0-107.3-0</f>
        <v>535.20000000000005</v>
      </c>
      <c r="O321" s="3">
        <f>360.7+(305-42.7)+(0.367914+(0.3111-0.043554))+0-77.3-0.0788460000000123</f>
        <v>546.25661400000001</v>
      </c>
      <c r="P321" s="3">
        <f>348+(406.9-99.8)+(0+(0-0))+0-93.8-0</f>
        <v>561.29999999999995</v>
      </c>
      <c r="Q321" s="3">
        <f>354.9+(396.1-86.6)+(0+(0-0))+0-100.2-0</f>
        <v>564.19999999999993</v>
      </c>
      <c r="R321" s="3">
        <f>373.8+(423.3-133.6)+(0+(0-0))+0-111.8-0</f>
        <v>551.70000000000005</v>
      </c>
      <c r="S321" s="3">
        <f>361.3+(455.9-177.9)+(-0.368526+(-0.465018--0.181458))+0-111.5--0.113730000000018</f>
        <v>527.26164399999993</v>
      </c>
      <c r="T321" s="3">
        <f>364.1+(404.1-157.5)+(-0.371382+(-0.412182--0.16065))+0-97.1--0.0990420000000155</f>
        <v>513.07612800000004</v>
      </c>
      <c r="U321" s="3">
        <f>369.3+(414.6-158.6)+(0.188343+(0.211446-0.080886))+0-120.2-0.0613019999999878</f>
        <v>505.35760099999993</v>
      </c>
      <c r="V321" s="3">
        <f>371.2+(444.3-202.7)+(-0.189312+(-0.226593--0.103377))+0-101.4--0.0517139999999897</f>
        <v>511.13918599999994</v>
      </c>
      <c r="W321" s="3">
        <f>430.7+(495.6-267.1)+(0+(0-0))+0-112.4-0</f>
        <v>546.80000000000007</v>
      </c>
      <c r="X321" s="3">
        <f>548.3+(419.1-252)+(-0.838899+(-0.641223--0.38556))+0-123.2--0.188496000000007</f>
        <v>591.29393399999992</v>
      </c>
      <c r="Y321" s="3">
        <f>557.8+(389.7-249.2)+(-0.568956+(-0.397494--0.254184))+0-118.6--0.120972000000019</f>
        <v>579.10870599999998</v>
      </c>
      <c r="Z321" s="3">
        <f>571.8+(374.3-253.5)+(-1.166472+(-0.763572--0.51714))+0-119.9--0.244595999999995</f>
        <v>571.53169199999991</v>
      </c>
      <c r="AA321" s="3">
        <f>583+(316.1-224.3)+(0.29733+(0.161211-0.114393))+0-113.5-0.0578849999999885</f>
        <v>561.58626300000003</v>
      </c>
      <c r="AB321" s="3">
        <f>586.4+(226-166.6)+(0.299064+(0.11526-0.084966))+0-99.6-0.0507959999999899</f>
        <v>546.4785619999999</v>
      </c>
      <c r="AC321" s="3">
        <f>585+(178.1-141.2)+(-0.89505+(-0.272493--0.216036))+0-96.3--0.147339000000006</f>
        <v>524.79583200000002</v>
      </c>
      <c r="AD321">
        <v>593.29999999999995</v>
      </c>
      <c r="AE321" s="3">
        <f>555+(417.1-243.1)+(0+(0-0))+0-135.7-0</f>
        <v>593.29999999999995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585.5+(147.2-133.7)+(-0.59721+(-0.150144--0.136374))+0-88.8--0.0905760000000142</f>
        <v>509.67959599999995</v>
      </c>
      <c r="G322" s="3">
        <f>582.7+(135.8-128.7)+(-0.891531+(-0.207774--0.196911))+0-89.4--0.136782000000005</f>
        <v>499.63438800000011</v>
      </c>
      <c r="H322" s="3">
        <f>479.7+(185.8-80.9)+(0+(0-0))+0-94.5-0</f>
        <v>490.1</v>
      </c>
      <c r="I322" s="3">
        <f>472.1+(199.3-67.7)+(0+(0-0))+0-116.1-0</f>
        <v>487.6</v>
      </c>
      <c r="J322" s="3">
        <f>474.5+(185.8-69.2)+(-0.241995+(-0.094758--0.035292))+0-102.9--0.0524789999999896</f>
        <v>487.95101800000003</v>
      </c>
      <c r="K322" s="3">
        <f>558.7+(153.7-118.5)+(0.284937+(0.078387-0.060435))+0-108.3-0.055232999999989</f>
        <v>485.84765600000014</v>
      </c>
      <c r="L322" s="3">
        <f>576.9+(176.8-161.3)+(0+(0-0))+0-94.8-0</f>
        <v>497.59999999999997</v>
      </c>
      <c r="M322" s="3">
        <f>587.8+(202.5-189.5)+(-0.599556+(-0.20655--0.19329))+0-70.8--0.0722160000000113</f>
        <v>529.45940000000007</v>
      </c>
      <c r="N322" s="3">
        <f>591.1+(235-173.6)+(0.602922+(0.2397-0.177072))+0-99.2-0.101184000000016</f>
        <v>553.86436600000002</v>
      </c>
      <c r="O322" s="3">
        <f>588.3+(277.4-196.4)+(-0.300033+(-0.141474--0.100164))+0-105.6--0.0538559999999893</f>
        <v>563.41251299999988</v>
      </c>
      <c r="P322" s="3">
        <f>583+(267.7-170.3)+(-0.29733+(-0.136527--0.086853))+0-114.5--0.0583949999999884</f>
        <v>565.61139100000003</v>
      </c>
      <c r="Q322" s="3">
        <f>579.2+(299.9-197.8)+(-1.181568+(-0.611796--0.403512))+0-103--0.210119999999996</f>
        <v>577.1202679999999</v>
      </c>
      <c r="R322" s="3">
        <f>578.1+(316.3-178.1)+(-1.474155+(-0.806565--0.454155))+0-114--0.290699999999983</f>
        <v>600.76413500000012</v>
      </c>
      <c r="S322" s="3">
        <f>583.6+(278-203.6)+(0+(0-0))+0-90-0</f>
        <v>568</v>
      </c>
      <c r="T322" s="3">
        <f>583.2+(264-231.3)+(0+(0-0))+0-88-0</f>
        <v>527.90000000000009</v>
      </c>
      <c r="U322" s="3">
        <f>582+(260.6-232.6)+(0.29682+(0.132906-0.118626))+0-84-0.0428399999999915</f>
        <v>526.26826000000005</v>
      </c>
      <c r="V322" s="3">
        <f>581.3+(343.6-284.7)+(-1.185852+(-0.700944--0.580788))+0-90--0.183599999999996</f>
        <v>549.07759199999998</v>
      </c>
      <c r="W322" s="3">
        <f>584.3+(478.5-375.3)+(0+(0-0))+0-90-0</f>
        <v>597.5</v>
      </c>
      <c r="X322" s="3">
        <f>582.8+(545-434.7)+(-0.594456+(-0.5559--0.443394))+0-109.2--0.111384000000017</f>
        <v>583.30442199999993</v>
      </c>
      <c r="Y322" s="3">
        <f>579.1+(549-418.2)+(-1.476705+(-1.39995--1.06641))+0-117.1--0.298604999999983</f>
        <v>591.28836000000001</v>
      </c>
      <c r="Z322" s="3">
        <f>583.3+(527.4-416.8)+(-0.892449+(-0.806922--0.637704))+0-113.3--0.173349000000007</f>
        <v>579.711682</v>
      </c>
      <c r="AA322" s="3">
        <f>585.3+(512.3-403.1)+(-0.298503+(-0.261273--0.205581))+0-121.3--0.0618629999999877</f>
        <v>572.90766799999994</v>
      </c>
      <c r="AB322" s="3">
        <f>583.7+(409.2-337.6)+(-0.595374+(-0.417384--0.344352))+0-98.9--0.100878000000016</f>
        <v>555.83247199999994</v>
      </c>
      <c r="AC322" s="3">
        <f>586.1+(331-301.3)+(-0.597822+(-0.33762--0.307326))+0-102.7--0.104754000000016</f>
        <v>512.576638</v>
      </c>
      <c r="AD322">
        <v>596</v>
      </c>
      <c r="AE322" s="3">
        <f>581+(575.3-436.8)+(0+(0-0))+0-123.5-0</f>
        <v>596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587+(306.6-270.3)+(-1.49685+(-0.78183--0.689265))+0-120.3--0.306764999999983</f>
        <v>501.7173499999999</v>
      </c>
      <c r="G323" s="3">
        <f>509.7+(279.9-199.8)+(-0.519894+(-0.285498--0.203796))+0-97.9--0.0998580000000156</f>
        <v>491.39826200000005</v>
      </c>
      <c r="H323" s="3">
        <f>474.4+(281-155.9)+(-0.725832+(-0.42993--0.238527))+0-122.6--0.187578000000007</f>
        <v>476.170343</v>
      </c>
      <c r="I323" s="3">
        <f>468.6+(226.6-137.1)+(0.477972+(0.231132-0.139842))+0-92.4-0.0942480000000147</f>
        <v>466.17501400000003</v>
      </c>
      <c r="J323" s="3">
        <f>456+(246.7-141.9)+(-0.69768+(-0.377451--0.217107))+0-95.7--0.146421000000006</f>
        <v>464.388397</v>
      </c>
      <c r="K323" s="3">
        <f>458.3+(360.5-250.6)+(0.233733+(0.183855-0.127806))+0-93-0.0474299999999906</f>
        <v>475.44235200000003</v>
      </c>
      <c r="L323" s="3">
        <f>485.2+(432.1-361)+(-0.494904+(-0.440742--0.36822))+0-69.6--0.0709920000000111</f>
        <v>486.20356599999997</v>
      </c>
      <c r="M323" s="3">
        <f>545.3+(448.8-392.5)+(-0.834309+(-0.686664--0.600525))+0-79--0.120870000000005</f>
        <v>521.80042199999991</v>
      </c>
      <c r="N323" s="3">
        <f>554.7+(432-367.4)+(0.848691+(0.66096-0.562122))+0-80-0.122400000000005</f>
        <v>540.12512900000013</v>
      </c>
      <c r="O323" s="3">
        <f>557.1+(429.5-356.8)+(0.284121+(0.219045-0.181968))+0-83.5-0.0425849999999915</f>
        <v>546.5786129999999</v>
      </c>
      <c r="P323" s="3">
        <f>564.3+(437.4-350.5)+(0.287793+(0.223074-0.178755))+0-91.3-0.0465629999999907</f>
        <v>560.18554900000004</v>
      </c>
      <c r="Q323" s="3">
        <f>567.8+(454.1-359.4)+(-0.289578+(-0.231591--0.183294))+0-90--0.0458999999999909</f>
        <v>572.20802499999991</v>
      </c>
      <c r="R323" s="3">
        <f>567.9+(445.3-335.6)+(0+(0-0))+0-77-0</f>
        <v>600.59999999999991</v>
      </c>
      <c r="S323" s="3">
        <f>555.8+(412.7-346.7)+(-0.850374+(-0.631431--0.530451))+0-75--0.114750000000004</f>
        <v>545.96339599999988</v>
      </c>
      <c r="T323" s="3">
        <f>538.9+(385.8-349.2)+(-0.274839+(-0.196758--0.178092))+0-62--0.0316199999999937</f>
        <v>513.23811499999999</v>
      </c>
      <c r="U323" s="3">
        <f>534.6+(376.9-329.7)+(-0.545292+(-0.384438--0.336294))+0-71.8--0.0732360000000114</f>
        <v>509.47979999999995</v>
      </c>
      <c r="V323" s="3">
        <f>540+(398.5-338.8)+(0.5508+(0.40647-0.345576))+0-74-0.0754800000000118</f>
        <v>526.23621400000002</v>
      </c>
      <c r="W323" s="3">
        <f>545.8+(457.1-358.2)+(0.835074+(0.699363-0.548046))+0-75-0.114750000000004</f>
        <v>570.57164100000011</v>
      </c>
      <c r="X323" s="3">
        <f>546+(526.8-387.8)+(0+(0-0))+0-76-0</f>
        <v>609</v>
      </c>
      <c r="Y323" s="3">
        <f>547.2+(517.7-379.2)+(-0.837216+(-0.792081--0.580176))+0-85--0.130050000000005</f>
        <v>599.78092900000001</v>
      </c>
      <c r="Z323" s="3">
        <f>568.3+(457.9-354)+(-0.289833+(-0.233529--0.18054))+0-95.5--0.0487049999999903</f>
        <v>576.40588300000002</v>
      </c>
      <c r="AA323" s="3">
        <f>568.4+(451.5-354.5)+(-0.289884+(-0.230265--0.180795))+0-96.7--0.0493169999999902</f>
        <v>568.40996299999995</v>
      </c>
      <c r="AB323" s="3">
        <f>568.2+(364.5-295.5)+(-0.869346+(-0.557685--0.452115))+0-95.4--0.145962000000006</f>
        <v>540.97104600000011</v>
      </c>
      <c r="AC323" s="3">
        <f>568.9+(318.5-275.6)+(-0.870417+(-0.487305--0.421668))+0-98.1--0.150093000000006</f>
        <v>512.91403899999989</v>
      </c>
      <c r="AD323">
        <v>630.40000000000009</v>
      </c>
      <c r="AE323" s="3">
        <f>543+(528.2-388.8)+(0+(0-0))+0-52-0</f>
        <v>630.40000000000009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568.8+(225.5-240.5)+(0+(0-0))+0-87-0</f>
        <v>466.79999999999995</v>
      </c>
      <c r="G324" s="3">
        <f>568.2+(202.7-200.1)+(-0.289782+(-0.103377--0.102051))+0-103.1--0.0525809999999895</f>
        <v>467.46147300000001</v>
      </c>
      <c r="H324" s="3">
        <f>569.3+(214.3-218.4)+(0.871029+(0.327879-0.334152))+0-94.1-0.143973000000005</f>
        <v>471.82078299999995</v>
      </c>
      <c r="I324" s="3">
        <f>568+(200.8-199.9)+(-0.86904+(-0.307224--0.305847))+0-103--0.157590000000006</f>
        <v>465.18717300000003</v>
      </c>
      <c r="J324" s="3">
        <f>569.3+(258-251.8)+(0.290343+(0.13158-0.128418))+0-110.8-0.0565079999999888</f>
        <v>464.93699699999996</v>
      </c>
      <c r="K324" s="3">
        <f>569.1+(303.5-301.4)+(0.290241+(0.154785-0.153714))+0-102.9-0.0524789999999896</f>
        <v>468.53883300000001</v>
      </c>
      <c r="L324" s="3">
        <f>562.2+(445.9-401.4)+(-0.860166+(-0.682227--0.614142))+0-102.3--0.156519000000006</f>
        <v>503.62826799999999</v>
      </c>
      <c r="M324" s="3">
        <f>566.8+(421.5-351.7)+(0.289068+(0.214965-0.179367))+0-104.7-0.0533969999999894</f>
        <v>532.17126899999982</v>
      </c>
      <c r="N324" s="3">
        <f>582.7+(348.8-296)+(0.594354+(0.355776-0.30192))+0-86-0.0877200000000137</f>
        <v>550.06048999999996</v>
      </c>
      <c r="O324" s="3">
        <f>578.3+(318.4-242.9)+(0.589866+(0.324768-0.247758))+0-95.9-0.0978180000000153</f>
        <v>558.46905800000002</v>
      </c>
      <c r="P324" s="3">
        <f>571.5+(326.8-229.3)+(-0.291465+(-0.166668--0.116943))+0-101.8--0.0519179999999897</f>
        <v>566.91072800000006</v>
      </c>
      <c r="Q324" s="3">
        <f>559.6+(320.3-211.9)+(-0.570792+(-0.326706--0.216138))+0-101.9--0.103938000000016</f>
        <v>565.52257799999995</v>
      </c>
      <c r="R324" s="3">
        <f>549.1+(325-213.3)+(-1.400205+(-0.82875--0.543915))+0-104.9--0.267494999999985</f>
        <v>554.48245499999996</v>
      </c>
      <c r="S324" s="3">
        <f>546+(301.3-217.9)+(0+(0-0))+0-87.2-0</f>
        <v>542.19999999999993</v>
      </c>
      <c r="T324" s="3">
        <f>538.7+(262.7-206.7)+(0.274737+(0.133977-0.105417))+0-69.4-0.035393999999993</f>
        <v>525.56790300000011</v>
      </c>
      <c r="U324" s="3">
        <f>540.6+(265.8-214.4)+(-0.275706+(-0.135558--0.109344))+0-72--0.0367199999999927</f>
        <v>519.73479999999995</v>
      </c>
      <c r="V324" s="3">
        <f>540.8+(288.4-228.8)+(0.551616+(0.294168-0.233376))+0-79.7-0.0812940000000127</f>
        <v>521.23111399999982</v>
      </c>
      <c r="W324" s="3">
        <f>541.6+(360.9-247.5)+(0.552432+(0.368118-0.25245))+0-91-0.0928200000000145</f>
        <v>564.57528000000002</v>
      </c>
      <c r="X324" s="3">
        <f>548.5+(455.4-305.2)+(0.279735+(0.232254-0.155652))+0-93.4-0.0476339999999905</f>
        <v>605.60870300000011</v>
      </c>
      <c r="Y324" s="3">
        <f>549.1+(416.1-270.6)+(-1.120164+(-0.848844--0.552024))+0-96.2--0.196247999999996</f>
        <v>597.17926399999999</v>
      </c>
      <c r="Z324" s="3">
        <f>551.7+(390.7-262.4)+(-1.406835+(-0.996285--0.66912))+0-95.2--0.242759999999986</f>
        <v>583.30875999999989</v>
      </c>
      <c r="AA324" s="3">
        <f>558.4+(432.2-331)+(-0.284784+(-0.220422--0.16881))+0-84.3--0.0429929999999914</f>
        <v>575.00659699999994</v>
      </c>
      <c r="AB324" s="3">
        <f>559.1+(413.9-326.6)+(0+(0-0))+0-90.9-0</f>
        <v>555.5</v>
      </c>
      <c r="AC324" s="3">
        <f>559.3+(348-270.5)+(-0.570486+(-0.35496--0.27591))+0-104.7--0.106794000000017</f>
        <v>531.55725799999993</v>
      </c>
      <c r="AD324">
        <v>604.6</v>
      </c>
      <c r="AE324" s="3">
        <f>548+(461.8-328.9)+(0+(0-0))+0-76.3-0</f>
        <v>604.60000000000014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560.2+(310.8-255.9)+(0+(0-0))+0-98-0</f>
        <v>517.1</v>
      </c>
      <c r="G325" s="3">
        <f>560.1+(260.6-214.6)+(0+(0-0))+0-99-0</f>
        <v>507.1</v>
      </c>
      <c r="H325" s="3">
        <f>560.1+(256.6-231.9)+(0+(0-0))+0-89-0</f>
        <v>495.80000000000007</v>
      </c>
      <c r="I325" s="3">
        <f>558.5+(255.8-213.3)+(-0.854505+(-0.391374--0.326349))+0-104--0.159120000000006</f>
        <v>496.23959000000002</v>
      </c>
      <c r="J325" s="3">
        <f>560.4+(210.7-190.5)+(0.571608+(0.214914-0.19431))+0-82-0.0836400000000131</f>
        <v>499.10857199999992</v>
      </c>
      <c r="K325" s="3">
        <f>559.5+(247.9-212.6)+(0.57069+(0.252858-0.216852))+0-93-0.0948600000000148</f>
        <v>502.31183599999997</v>
      </c>
      <c r="L325" s="3">
        <f>559.7+(320.9-275.5)+(0+(0-0))+0-95-0</f>
        <v>510.1</v>
      </c>
      <c r="M325" s="3">
        <f>560.2+(371.5-293.4)+(0+(0-0))+0-85-0</f>
        <v>553.30000000000007</v>
      </c>
      <c r="N325" s="3">
        <f>565.8+(361.1-255.6)+(-0.288558+(-0.184161--0.130356))+0-108.1--0.055130999999989</f>
        <v>562.91276799999991</v>
      </c>
      <c r="O325" s="3">
        <f>562.5+(372.7-262.8)+(-0.286875+(-0.190077--0.134028))+0-94.7--0.0482969999999904</f>
        <v>577.40537299999983</v>
      </c>
      <c r="P325" s="3">
        <f>552.9+(354.5-254)+(-0.281979+(-0.180795--0.12954))+0-74.1--0.0377909999999925</f>
        <v>579.00455699999998</v>
      </c>
      <c r="Q325" s="3">
        <f>549.8+(361.9-257.1)+(-0.560796+(-0.369138--0.262242))+0-77.5--0.0790500000000124</f>
        <v>576.51135799999997</v>
      </c>
      <c r="R325" s="3">
        <f>539.7+(369.5-242)+(-0.825741+(-0.565335--0.37026))+0-96.8--0.148104000000006</f>
        <v>569.52728800000011</v>
      </c>
      <c r="S325" s="3">
        <f>529+(338.1-210.8)+(-0.80937+(-0.517293--0.322524))+0-103.1--0.157743000000006</f>
        <v>552.3536039999999</v>
      </c>
      <c r="T325" s="3">
        <f>529.1+(251.8-166)+(0+(0-0))+0-76.6-0</f>
        <v>538.30000000000007</v>
      </c>
      <c r="U325" s="3">
        <f>527.4+(263.9-183.1)+(0.537948+(0.269178-0.186762))+0-73.2-0.0746640000000117</f>
        <v>535.5456999999999</v>
      </c>
      <c r="V325" s="3">
        <f>524.8+(300.6-197)+(0.267648+(0.153306-0.10047))+0-79-0.040289999999992</f>
        <v>549.68019399999991</v>
      </c>
      <c r="W325" s="3">
        <f>529.6+(411.6-267.9)+(0.540192+(0.419832-0.273258))+0-93.9-0.095778000000015</f>
        <v>579.99098800000013</v>
      </c>
      <c r="X325" s="3">
        <f>539.8+(476.8-312.3)+(-1.37649+(-1.21584--0.796365))+0-112.1--0.285854999999984</f>
        <v>590.68988999999988</v>
      </c>
      <c r="Y325" s="3">
        <f>540.1+(426.9-273.4)+(-0.826353+(-0.653157--0.418302))+0-112.7--0.172431000000007</f>
        <v>580.01122299999997</v>
      </c>
      <c r="Z325" s="3">
        <f>542.4+(353.9-225.8)+(-0.276624+(-0.180489--0.115158))+0-96--0.0489599999999903</f>
        <v>574.20700499999998</v>
      </c>
      <c r="AA325" s="3">
        <f>543.1+(310-208.9)+(0.276981+(0.1581-0.106539))+0-72-0.0367199999999927</f>
        <v>572.49182200000007</v>
      </c>
      <c r="AB325" s="3">
        <f>543.5+(344.8-247.6)+(0.277185+(0.175848-0.126276))+0-84-0.0428399999999915</f>
        <v>556.98391700000013</v>
      </c>
      <c r="AC325" s="3">
        <f>545.2+(334.4-249)+(0+(0-0))+0-93-0</f>
        <v>537.6</v>
      </c>
      <c r="AD325">
        <v>595.79999999999995</v>
      </c>
      <c r="AE325" s="3">
        <f>541+(478.9-318)+(0+(0-0))+0-106.1-0</f>
        <v>595.79999999999995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538.1+(315.4-229.1)+(-1.372155+(-0.80427--0.584205))+0-105--0.267749999999985</f>
        <v>518.07552999999996</v>
      </c>
      <c r="G326" s="3">
        <f>497.6+(327.4-228.9)+(-0.507552+(-0.333948--0.233478))+0-102.6--0.104652000000016</f>
        <v>492.99663000000004</v>
      </c>
      <c r="H326" s="3">
        <f>500.7+(301-206.3)+(-1.532142+(-0.92106--0.631278))+0-111.3--0.340578000000013</f>
        <v>482.61865399999999</v>
      </c>
      <c r="I326" s="3">
        <f>460.7+(346.7-220.3)+(0.469914+(0.353634-0.224706))+0-110.4-0.112608000000018</f>
        <v>477.1862339999999</v>
      </c>
      <c r="J326" s="3">
        <f>561.6+(252-232)+(-0.286416+(-0.12852--0.11832))+0-105.4--0.0537539999999893</f>
        <v>475.95713800000004</v>
      </c>
      <c r="K326" s="3">
        <f>562.5+(321-308)+(0.860625+(0.49113-0.47124))+0-93.8-0.143514000000005</f>
        <v>482.43700099999995</v>
      </c>
      <c r="L326" s="3">
        <f>565.9+(361.6-329.8)+(0.577218+(0.368832-0.336396))+0-104.6-0.106692000000017</f>
        <v>493.60296199999999</v>
      </c>
      <c r="M326" s="3">
        <f>567.6+(367.9-336.1)+(0.578952+(0.375258-0.342822))+0-90.2-0.0920040000000144</f>
        <v>509.71938399999999</v>
      </c>
      <c r="N326" s="3">
        <f>565.8+(381.1-310.2)+(0.288558+(0.194361-0.158202))+0-100.9-0.0514589999999898</f>
        <v>536.07325800000001</v>
      </c>
      <c r="O326" s="3">
        <f>555.4+(385.2-294.9)+(0.283254+(0.196452-0.150399))+0-110.3-0.0562529999999888</f>
        <v>535.67305400000009</v>
      </c>
      <c r="P326" s="3">
        <f>544.1+(364-240.7)+(0.277491+(0.18564-0.122757))+0-102.3-0.0521729999999896</f>
        <v>565.38820100000009</v>
      </c>
      <c r="Q326" s="3">
        <f>535.5+(368.4-255.7)+(0+(0-0))+0-102.1-0</f>
        <v>546.1</v>
      </c>
      <c r="R326" s="3">
        <f>529.5+(328.7-223.6)+(-0.810135+(-0.502911--0.342108))+0-86.1--0.131733000000005</f>
        <v>547.66079500000001</v>
      </c>
      <c r="S326" s="3">
        <f>524.7+(296.4-214.1)+(0+(0-0))+0-75.9-0</f>
        <v>531.1</v>
      </c>
      <c r="T326" s="3">
        <f>515.4+(282.4-186.8)+(0+(0-0))+0-102.4-0</f>
        <v>508.6</v>
      </c>
      <c r="U326" s="3">
        <f>518.6+(272-195)+(-0.528972+(-0.27744--0.1989))+0-92--0.0938400000000147</f>
        <v>503.08632799999998</v>
      </c>
      <c r="V326" s="3">
        <f>519+(259.7-172.3)+(-0.52938+(-0.264894--0.175746))+0-94.6--0.0964920000000151</f>
        <v>511.277964</v>
      </c>
      <c r="W326" s="3">
        <f>517.4+(377.5-237.9)+(-0.263874+(-0.192525--0.121329))+0-112.9--0.0575789999999885</f>
        <v>543.82250900000008</v>
      </c>
      <c r="X326" s="3">
        <f>517.6+(440.5-266.3)+(-0.527952+(-0.44931--0.271626))+0-125.8--0.12831600000002</f>
        <v>565.42268000000001</v>
      </c>
      <c r="Y326" s="3">
        <f>528.5+(390.8-239.8)+(-1.07814+(-0.797232--0.489192))+0-123.4--0.251735999999995</f>
        <v>554.96555600000011</v>
      </c>
      <c r="Z326" s="3">
        <f>524.9+(279.1-157.5)+(-1.338495+(-0.711705--0.401625))+0-95--0.242249999999986</f>
        <v>550.09367499999996</v>
      </c>
      <c r="AA326" s="3">
        <f>529.1+(287.2-153.6)+(-0.269841+(-0.146472--0.078336))+0-113--0.0576299999999885</f>
        <v>549.41965300000004</v>
      </c>
      <c r="AB326" s="3">
        <f>531.4+(340.6-230.1)+(0.271014+(0.173706-0.117351))+0-94-0.0479399999999905</f>
        <v>548.17942899999991</v>
      </c>
      <c r="AC326" s="3">
        <f>530.4+(316.1-227.3)+(-0.270504+(-0.161211--0.115923))+0-99--0.05048999999999</f>
        <v>519.93469800000003</v>
      </c>
      <c r="AD326">
        <v>534.70000000000005</v>
      </c>
      <c r="AE326" s="3">
        <f>515+(423.6-257.7)+(0+(0-0))+0-146.2-0</f>
        <v>534.70000000000005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530.6+(259.3-167.9)+(-0.811818+(-0.396729--0.256887))+0-118--0.180540000000007</f>
        <v>503.22888000000006</v>
      </c>
      <c r="G327" s="3">
        <f>546.1+(229.5-177.4)+(0.278511+(0.117045-0.090474))+0-107-0.0545699999999891</f>
        <v>491.450512</v>
      </c>
      <c r="H327" s="3">
        <f>532.1+(221.8-154)+(-0.542742+(-0.226236--0.15708))+0-112--0.114240000000018</f>
        <v>487.40234200000009</v>
      </c>
      <c r="I327" s="3">
        <f>462.8+(282.2-156.9)+(0.236028+(0.143922-0.080019))+0-114-0.0581399999999884</f>
        <v>474.34179100000006</v>
      </c>
      <c r="J327" s="3">
        <f>455.1+(297.1-181.9)+(-0.464202+(-0.303042--0.185538))+0-105--0.107100000000017</f>
        <v>464.82539400000002</v>
      </c>
      <c r="K327" s="3">
        <f>454.8+(329-204.9)+(0.463896+(0.33558-0.208998))+0-107-0.109140000000017</f>
        <v>472.38133799999991</v>
      </c>
      <c r="L327" s="3">
        <f>453.9+(356.2-249.7)+(-0.231489+(-0.181662--0.127347))+0-107.4--0.0547739999999891</f>
        <v>452.76897000000002</v>
      </c>
      <c r="M327" s="3">
        <f>454.9+(382.1-272.6)+(0+(0-0))+0-110-0</f>
        <v>454.4</v>
      </c>
      <c r="N327" s="3">
        <f>471.7+(386.6-286.6)+(0.481134+(0.394332-0.292332))+0-106-0.108120000000017</f>
        <v>466.17501399999998</v>
      </c>
      <c r="O327" s="3">
        <f>520.4+(442.5-377.7)+(0+(0-0))+0-124.9-0</f>
        <v>460.30000000000007</v>
      </c>
      <c r="P327" s="3">
        <f>527.1+(437.4-387.1)+(0+(0-0))+0-106.1-0</f>
        <v>471.29999999999995</v>
      </c>
      <c r="Q327" s="3">
        <f>518.3+(445.7-369.1)+(0.792999+(0.681921-0.564723))+0-102-0.156060000000006</f>
        <v>493.65413699999988</v>
      </c>
      <c r="R327" s="3">
        <f>516+(416.2-357.7)+(-1.05264+(-0.849048--0.729708))+0-86--0.175439999999996</f>
        <v>487.50346000000002</v>
      </c>
      <c r="S327" s="3">
        <f>516.1+(419.2-361.8)+(-0.263211+(-0.213792--0.184518))+0-95--0.0484499999999904</f>
        <v>478.25596499999995</v>
      </c>
      <c r="T327" s="3">
        <f>512.2+(370.8-317.4)+(0+(0-0))+0-92-0</f>
        <v>473.60000000000014</v>
      </c>
      <c r="U327" s="3">
        <f>510.4+(328-278.3)+(-0.780912+(-0.50184--0.425799))+0-92--0.140760000000005</f>
        <v>467.38380699999993</v>
      </c>
      <c r="V327" s="3">
        <f>513.4+(305.6-247.3)+(-0.261834+(-0.155856--0.126123))+0-106.3--0.0542129999999892</f>
        <v>465.16264600000005</v>
      </c>
      <c r="W327" s="3">
        <f>522.1+(281-218)+(-0.532542+(-0.28662--0.22236))+0-99.8--0.101796000000016</f>
        <v>484.80499400000002</v>
      </c>
      <c r="X327" s="3">
        <f>528.3+(350.4-248.8)+(-0.269433+(-0.178704--0.126888))+0-106.6--0.0543659999999892</f>
        <v>523.03311699999983</v>
      </c>
      <c r="Y327" s="3">
        <f>525.6+(307.9-214.8)+(-0.804168+(-0.471087--0.328644))+0-110.8--0.169524000000006</f>
        <v>507.1229130000001</v>
      </c>
      <c r="Z327" s="3">
        <f>526.7+(277.8-180.2)+(-0.537234+(-0.283356--0.183804))+0-110.1--0.112302000000018</f>
        <v>513.67551600000002</v>
      </c>
      <c r="AA327" s="3">
        <f>525.1+(263.6-146.6)+(-1.071204+(-0.537744--0.299064))+0-132.5--0.270299999999994</f>
        <v>508.56041600000003</v>
      </c>
      <c r="AB327" s="3">
        <f>526.8+(143.5-93.7)+(-0.268668+(-0.073185--0.047787))+0-92.3--0.0470729999999906</f>
        <v>484.05300699999987</v>
      </c>
      <c r="AC327" s="3">
        <f>492.7+(205-80.1)+(0.502554+(0.2091-0.081702))+0-138.4-0.141168000000022</f>
        <v>479.688784</v>
      </c>
      <c r="AD327">
        <v>501.79999999999995</v>
      </c>
      <c r="AE327" s="3">
        <f>527+(314-239.1)+(0+(0-0))+0-100.1-0</f>
        <v>501.79999999999995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459.1+(196.4-74.6)+(-0.936564+(-0.400656--0.152184))+0-117.9--0.240515999999995</f>
        <v>462.05548000000016</v>
      </c>
      <c r="G328" s="3">
        <f>460.5+(180.3-72.3)+(-0.46971+(-0.183906--0.073746))+0-122.5--0.12495000000002</f>
        <v>445.54507999999998</v>
      </c>
      <c r="H328" s="3">
        <f>460.2+(216.6-102.1)+(-0.938808+(-0.441864--0.208284))+0-132.3--0.269891999999994</f>
        <v>441.49750400000005</v>
      </c>
      <c r="I328" s="3">
        <f>461+(230.3-124.1)+(0.23511+(0.117453-0.063291))+0-127.2-0.0648719999999871</f>
        <v>440.22440000000006</v>
      </c>
      <c r="J328" s="3">
        <f>457.4+(235.7-152.3)+(-0.699822+(-0.360621--0.233019))+0-102.6--0.156978000000006</f>
        <v>437.52955399999996</v>
      </c>
      <c r="K328" s="3">
        <f>461.2+(275.8-189)+(0.235212+(0.140658-0.09639))+0-103.2-0.0526319999999895</f>
        <v>445.02684800000003</v>
      </c>
      <c r="L328" s="3">
        <f>466.9+(265.6-202.3)+(0.238119+(0.135456-0.103173))+0-104.6-0.0533459999999894</f>
        <v>425.81705600000004</v>
      </c>
      <c r="M328" s="3">
        <f>467.8+(342.7-260.5)+(-0.715734+(-0.524331--0.398565))+0-117.4--0.179622000000007</f>
        <v>431.93812200000002</v>
      </c>
      <c r="N328" s="3">
        <f>548+(326.1-315.5)+(-0.27948+(-0.166311--0.160905))+0-104.9--0.0534989999999894</f>
        <v>453.468613</v>
      </c>
      <c r="O328" s="3">
        <f>551.4+(354.3-319.5)+(0+(0-0))+0-116.6-0</f>
        <v>469.6</v>
      </c>
      <c r="P328" s="3">
        <f>546.4+(284.7-245)+(-0.557328+(-0.290394--0.2499))+0-110.4--0.112608000000018</f>
        <v>475.214786</v>
      </c>
      <c r="Q328" s="3">
        <f>545.9+(292.5-226.1)+(-0.835227+(-0.447525--0.345933))+0-128.5--0.196605000000007</f>
        <v>483.05978599999997</v>
      </c>
      <c r="R328" s="3">
        <f>489.1+(327-213.3)+(-0.748323+(-0.50031--0.326349))+0-123.6--0.189108000000007</f>
        <v>478.46682399999997</v>
      </c>
      <c r="S328" s="3">
        <f>470+(340.6-217.1)+(-0.9588+(-0.694824--0.442884))+0-127.5--0.260099999999994</f>
        <v>465.04935999999998</v>
      </c>
      <c r="T328" s="3">
        <f>471.2+(320.7-231.2)+(-0.240312+(-0.163557--0.117912))+0-103--0.0525299999999896</f>
        <v>457.46657299999998</v>
      </c>
      <c r="U328" s="3">
        <f>470.8+(316.4-208.7)+(0+(0-0))+0-125.6-0</f>
        <v>452.9</v>
      </c>
      <c r="V328" s="3">
        <f>469.8+(298.7-193.3)+(-0.239598+(-0.152337--0.098583))+0-114.4--0.0583439999999884</f>
        <v>460.56499200000002</v>
      </c>
      <c r="W328" s="3">
        <f>470.4+(341.6-235.3)+(0+(0-0))+0-94.4-0</f>
        <v>482.30000000000007</v>
      </c>
      <c r="X328" s="3">
        <f>519.6+(375.4-273.4)+(-0.529992+(-0.382908--0.278868))+0-96.8--0.0987360000000154</f>
        <v>524.26470400000005</v>
      </c>
      <c r="Y328" s="3">
        <f>533.3+(352.3-270.7)+(-0.271983+(-0.179673--0.138057))+0-90.7--0.0462569999999908</f>
        <v>523.93265799999995</v>
      </c>
      <c r="Z328" s="3">
        <f>538.2+(307.9-221.2)+(-0.548964+(-0.314058--0.225624))+0-106.1--0.108222000000017</f>
        <v>518.27082400000018</v>
      </c>
      <c r="AA328" s="3">
        <f>509+(301.5-177.5)+(0+(0-0))+0-116.4-0</f>
        <v>516.6</v>
      </c>
      <c r="AB328" s="3">
        <f>460.8+(273.4-132.2)+(-0.235008+(-0.139434--0.067422))+0-95.8--0.0488579999999903</f>
        <v>505.94183800000002</v>
      </c>
      <c r="AC328" s="3">
        <f>461.8+(197.3-73.4)+(-1.17759+(-0.503115--0.18717))+0-100.7--0.256784999999985</f>
        <v>483.76325000000008</v>
      </c>
      <c r="AD328">
        <v>527.09999999999991</v>
      </c>
      <c r="AE328" s="3">
        <f>522+(373.9-274.6)+(0+(0-0))+0-94.2-0</f>
        <v>527.09999999999991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380.4+(228.9-28.2)+(-0.582012+(-0.350217--0.043146))+0-114.3--0.174879000000007</f>
        <v>466.08579600000002</v>
      </c>
      <c r="G329" s="3">
        <f>317.1+(274.3-30.9)+(-0.485163+(-0.419679--0.047277))+0-108--0.165240000000006</f>
        <v>451.80767499999996</v>
      </c>
      <c r="H329" s="3">
        <f>273.2+(302.7-24.5)+(-0.557328+(-0.617508--0.04998))+0-106.4--0.217055999999995</f>
        <v>444.09219999999999</v>
      </c>
      <c r="I329" s="3">
        <f>263.5+(326.3-23.9)+(-0.134385+(-0.166413--0.012189))+0-127.1--0.0648209999999871</f>
        <v>438.57621200000011</v>
      </c>
      <c r="J329" s="3">
        <f>265.2+(320.5-21.7)+(0.405756+(0.490365-0.033201))+0-119.5-0.182835000000007</f>
        <v>445.18008500000002</v>
      </c>
      <c r="K329" s="3">
        <f>265.2+(333.7-21.2)+(0.135252+(0.170187-0.010812))+0-130.4-0.0665039999999868</f>
        <v>447.52812300000005</v>
      </c>
      <c r="L329" s="3">
        <f>264.9+(351.3-30.7)+(0.135099+(0.179163-0.015657))+0-109.6-0.0558959999999889</f>
        <v>476.14270899999997</v>
      </c>
      <c r="M329" s="3">
        <f>315.5+(402.5-88.8)+(0+(0-0))+0-113-0</f>
        <v>516.20000000000005</v>
      </c>
      <c r="N329" s="3">
        <f>416+(337.5-115.2)+(0.42432+(0.34425-0.117504))+0-92.7-0.0945540000000148</f>
        <v>546.15651199999991</v>
      </c>
      <c r="O329" s="3">
        <f>415.5+(324.5-129.1)+(0.211905+(0.165495-0.065841))+0-55.6-0.0283559999999944</f>
        <v>555.58320299999991</v>
      </c>
      <c r="P329" s="3">
        <f>360+(372.9-84.7)+(0.1836+(0.190179-0.043197))+0-79.1-0.040340999999992</f>
        <v>569.39024100000006</v>
      </c>
      <c r="Q329" s="3">
        <f>314.1+(369-49.4)+(-0.320382+(-0.37638--0.050388))+0-70.6--0.0720120000000112</f>
        <v>562.52563799999996</v>
      </c>
      <c r="R329" s="3">
        <f>402.2+(291.9-52.7)+(-1.02561+(-0.744345--0.134385))+0-71.7--0.18283499999999</f>
        <v>568.24726499999986</v>
      </c>
      <c r="S329" s="3">
        <f>403.6+(291.3-38)+(-0.411672+(-0.297126--0.03876))+0-100.2--0.102204000000016</f>
        <v>556.1321660000001</v>
      </c>
      <c r="T329" s="3">
        <f>402.9+(276.4-42.2)+(-0.616437+(-0.422892--0.064566))+0-114--0.174420000000007</f>
        <v>522.29965699999991</v>
      </c>
      <c r="U329" s="3">
        <f>403.4+(279.6-48.5)+(-0.205734+(-0.142596--0.024735))+0-107.8--0.0549779999999891</f>
        <v>526.4313830000001</v>
      </c>
      <c r="V329" s="3">
        <f>404.9+(275-38.8)+(0.206499+(0.14025-0.019788))+0-115-0.0586499999999883</f>
        <v>526.36831099999995</v>
      </c>
      <c r="W329" s="3">
        <f>405.9+(318.2-62.5)+(0+(0-0))+0-109.7-0</f>
        <v>551.89999999999986</v>
      </c>
      <c r="X329" s="3">
        <f>406.2+(401.2-103.4)+(-0.207162+(-0.204612--0.052734))+0-118--0.060179999999988</f>
        <v>585.7011399999999</v>
      </c>
      <c r="Y329" s="3">
        <f>405.5+(374.6-82.9)+(0+(0-0))+0-118.5-0</f>
        <v>578.70000000000005</v>
      </c>
      <c r="Z329" s="3">
        <f>403.6+(332.6-45.8)+(-1.02918+(-0.84813--0.11679))+0-117.7--0.300134999999983</f>
        <v>571.23961499999996</v>
      </c>
      <c r="AA329" s="3">
        <f>404.3+(323.1-38.8)+(0+(0-0))+0-126.8-0</f>
        <v>561.80000000000007</v>
      </c>
      <c r="AB329" s="3">
        <f>400.5+(300.7-43.4)+(-1.021275+(-0.766785--0.11067))+0-115.8--0.295289999999983</f>
        <v>540.61790000000008</v>
      </c>
      <c r="AC329" s="3">
        <f>301.3+(362.5-33.7)+(-0.768315+(-0.924375--0.085935))+0-112.3--0.286364999999984</f>
        <v>516.47960999999998</v>
      </c>
      <c r="AD329">
        <v>596.69999999999993</v>
      </c>
      <c r="AE329" s="3">
        <f>406+(396-94.1)+(0+(0-0))+0-111.2-0</f>
        <v>596.69999999999993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299.3+(342.6-37.8)+(-0.305286+(-0.349452--0.038556))+0-109.3--0.111486000000017</f>
        <v>494.29530400000004</v>
      </c>
      <c r="G330" s="3">
        <f>301.2+(339.2-38.3)+(0.614448+(0.691968-0.078132))+0-121.3-0.247451999999995</f>
        <v>481.78083199999992</v>
      </c>
      <c r="H330" s="3">
        <f>300.5+(357.5-58.2)+(0.459765+(0.546975-0.089046))+0-122.5-0.187425000000007</f>
        <v>478.03026899999992</v>
      </c>
      <c r="I330" s="3">
        <f>299.2+(352.6-68)+(-0.610368+(-0.719304--0.13872))+0-107.5--0.219299999999995</f>
        <v>475.32834799999989</v>
      </c>
      <c r="J330" s="3">
        <f>300+(338.8-36)+(0.306+(0.345576-0.03672))+0-127.9-0.13045800000002</f>
        <v>475.38439799999998</v>
      </c>
      <c r="K330" s="3">
        <f>299.6+(336.8-39.2)+(0+(0-0))+0-117.9-0</f>
        <v>479.30000000000007</v>
      </c>
      <c r="L330" s="3">
        <f>299.6+(325.8-35.2)+(0.152796+(0.166158-0.017952))+0-99.2-0.0505919999999899</f>
        <v>491.2504100000001</v>
      </c>
      <c r="M330" s="3">
        <f>299.4+(351.3-31.3)+(-0.305388+(-0.358326--0.031926))+0-99.8--0.101796000000016</f>
        <v>519.07000800000003</v>
      </c>
      <c r="N330" s="3">
        <f>331+(374-36.4)+(-0.16881+(-0.19074--0.018564))+0-122.3--0.0623729999999876</f>
        <v>546.021387</v>
      </c>
      <c r="O330" s="3">
        <f>417.8+(297.7-47.1)+(-0.213078+(-0.151827--0.024021))+0-120.1--0.0612509999999878</f>
        <v>548.02036699999996</v>
      </c>
      <c r="P330" s="3">
        <f>417.2+(309.4-40.5)+(-0.638316+(-0.473382--0.061965))+0-115.4--0.176562000000007</f>
        <v>569.82682899999998</v>
      </c>
      <c r="Q330" s="3">
        <f>416.8+(311.6-34.8)+(-0.212568+(-0.158916--0.017748))+0-120.8--0.0616079999999877</f>
        <v>572.50787200000002</v>
      </c>
      <c r="R330" s="3">
        <f>409.9+(310.4-27)+(-0.627147+(-0.474912--0.04131))+0-121.2--0.185436000000007</f>
        <v>571.2246869999999</v>
      </c>
      <c r="S330" s="3">
        <f>407.1+(297.7-27.4)+(0+(0-0))+0-116.1-0</f>
        <v>561.30000000000007</v>
      </c>
      <c r="T330" s="3">
        <f>403+(287.5-36.6)+(-0.20553+(-0.146625--0.018666))+0-109.5--0.0558449999999889</f>
        <v>544.12235599999997</v>
      </c>
      <c r="U330" s="3">
        <f>403.8+(288.2-45.1)+(-0.205938+(-0.146982--0.023001))+0-108.7--0.055436999999989</f>
        <v>537.9255179999999</v>
      </c>
      <c r="V330" s="3">
        <f>404.7+(286.7-38.6)+(0.412794+(0.292434-0.039372))+0-115.1-0.117402000000018</f>
        <v>538.24845399999992</v>
      </c>
      <c r="W330" s="3">
        <f>403.9+(318.6-38)+(-0.205989+(-0.162486--0.01938))+0-121.5--0.0619649999999877</f>
        <v>562.71286999999995</v>
      </c>
      <c r="X330" s="3">
        <f>405.4+(376.4-58.2)+(-0.206754+(-0.191964--0.029682))+0-129.6--0.0660959999999868</f>
        <v>593.69705999999985</v>
      </c>
      <c r="Y330" s="3">
        <f>409.3+(321.7-52.1)+(-0.834972+(-0.656268--0.106284))+0-99.4--0.202775999999996</f>
        <v>578.31781999999998</v>
      </c>
      <c r="Z330" s="3">
        <f>413.3+(326.1-39.8)+(-0.210783+(-0.166311--0.020298))+0-131.7--0.0671669999999866</f>
        <v>567.6103710000001</v>
      </c>
      <c r="AA330" s="3">
        <f>415+(315.1-39.5)+(0.8466+(0.642804-0.08058))+0-132-0.269279999999994</f>
        <v>559.73954400000002</v>
      </c>
      <c r="AB330" s="3">
        <f>416+(301.5-47.3)+(-0.42432+(-0.30753--0.048246))+0-124.5--0.12699000000002</f>
        <v>545.14338600000008</v>
      </c>
      <c r="AC330" s="3">
        <f>415+(302.8-57.5)+(-0.8466+(-0.617712--0.1173))+0-137.6--0.280703999999994</f>
        <v>521.633692</v>
      </c>
      <c r="AD330">
        <v>597.20000000000005</v>
      </c>
      <c r="AE330" s="3">
        <f>402+(378.5-59.3)+(0+(0-0))+0-124-0</f>
        <v>597.20000000000005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423.8+(316.5-105.1)+(-0.648414+(-0.484245--0.160803))+0-130.5--0.199665000000008</f>
        <v>503.92780900000002</v>
      </c>
      <c r="G331" s="3">
        <f>424.1+(320.1-122.5)+(-0.432582+(-0.326502--0.12495))+0-119.6--0.121992000000019</f>
        <v>501.58785800000004</v>
      </c>
      <c r="H331" s="3">
        <f>424.6+(333.9-144)+(0.216546+(0.170289-0.07344))+0-119.6-0.0609959999999879</f>
        <v>495.152399</v>
      </c>
      <c r="I331" s="3">
        <f>424.2+(316.3-148.6)+(0+(0-0))+0-106.1-0</f>
        <v>485.79999999999995</v>
      </c>
      <c r="J331" s="3">
        <f>425.1+(299-124.5)+(0.216801+(0.15249-0.063495))+0-114.2-0.0582419999999884</f>
        <v>485.64755400000001</v>
      </c>
      <c r="K331" s="3">
        <f>428.2+(279.3-112)+(1.09191+(0.712215-0.2856))+0-110.6-0.282029999999984</f>
        <v>486.13649499999997</v>
      </c>
      <c r="L331" s="3">
        <f>426.6+(242.7-69.6)+(-0.217566+(-0.123777--0.035496))+0-107.6--0.0548759999999891</f>
        <v>491.84902900000003</v>
      </c>
      <c r="M331" s="3">
        <f>424+(269.8-39.8)+(0+(0-0))+0-117.8-0</f>
        <v>536.20000000000005</v>
      </c>
      <c r="N331" s="3">
        <f>422.3+(295.2-45.1)+(0+(0-0))+0-101.3-0</f>
        <v>571.1</v>
      </c>
      <c r="O331" s="3">
        <f>414.4+(300.9-40.8)+(0.211344+(0.153459-0.020808))+0-106.6-0.0543659999999892</f>
        <v>568.18962899999997</v>
      </c>
      <c r="P331" s="3">
        <f>411.4+(328.8-37.2)+(-0.419628+(-0.335376--0.037944))+0-123.4--0.12586800000002</f>
        <v>579.00880800000004</v>
      </c>
      <c r="Q331" s="3">
        <f>407.4+(330.4-37.4)+(-0.623322+(-0.505512--0.057222))+0-117.8--0.180234000000007</f>
        <v>581.7086220000001</v>
      </c>
      <c r="R331" s="3">
        <f>403.9+(307.4-33.4)+(-0.411978+(-0.313548--0.034068))+0-96.1--0.0980220000000153</f>
        <v>581.20656399999996</v>
      </c>
      <c r="S331" s="3">
        <f>400.7+(317.8-30.8)+(0.613071+(0.486234-0.047124))+0-120.7-0.184671000000007</f>
        <v>567.86751000000004</v>
      </c>
      <c r="T331" s="3">
        <f>396.8+(301.6-37.2)+(-0.404736+(-0.307632--0.037944))+0-116.3--0.118626000000019</f>
        <v>544.34420200000011</v>
      </c>
      <c r="U331" s="3">
        <f>397.9+(300.1-45.6)+(0.202929+(0.153051-0.023256))+0-106.3-0.0542129999999892</f>
        <v>546.378511</v>
      </c>
      <c r="V331" s="3">
        <f>395+(317.8-45.6)+(0.20145+(0.162078-0.023256))+0-121-0.0617099999999877</f>
        <v>546.47856200000012</v>
      </c>
      <c r="W331" s="3">
        <f>396.5+(334.7-45.6)+(0.202215+(0.170697-0.023256))+0-114-0.0581399999999884</f>
        <v>571.89151599999991</v>
      </c>
      <c r="X331" s="3">
        <f>404.5+(388.7-46.2)+(0+(0-0))+0-133.5-0</f>
        <v>613.5</v>
      </c>
      <c r="Y331" s="3">
        <f>407.9+(371.9-46.5)+(-1.040145+(-0.948345--0.118575))+0-134.1--0.341954999999981</f>
        <v>597.67203999999992</v>
      </c>
      <c r="Z331" s="3">
        <f>409.5+(351.7-48.8)+(-0.208845+(-0.179367--0.024888))+0-125.3--0.0639029999999873</f>
        <v>586.80057899999997</v>
      </c>
      <c r="AA331" s="3">
        <f>407.9+(347.7-47.2)+(-0.624087+(-0.531981--0.072216))+0-136.6--0.208998000000008</f>
        <v>570.92514599999993</v>
      </c>
      <c r="AB331" s="3">
        <f>409.1+(319.8-52.3)+(-0.208641+(-0.163098--0.026673))+0-125.4--0.0639539999999873</f>
        <v>550.91888800000004</v>
      </c>
      <c r="AC331" s="3">
        <f>406.9+(316.4-66.3)+(-1.037595+(-0.80682--0.169065))+0-126.8--0.323339999999982</f>
        <v>528.8479900000001</v>
      </c>
      <c r="AD331">
        <v>612.4</v>
      </c>
      <c r="AE331" s="3">
        <f>407+(365.8-45.4)+(0+(0-0))+0-115-0</f>
        <v>612.40000000000009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407.1+(312.6-88)+(-0.830484+(-0.637704--0.17952))+0-122.7--0.250307999999995</f>
        <v>507.96164000000005</v>
      </c>
      <c r="G332" s="3">
        <f>407.8+(299-88.4)+(0+(0-0))+0-120.6-0</f>
        <v>497.79999999999995</v>
      </c>
      <c r="H332" s="3">
        <f>407.5+(293.7-101.4)+(-0.207825+(-0.149787--0.051714))+0-107.4--0.0547739999999891</f>
        <v>492.14887600000003</v>
      </c>
      <c r="I332" s="3">
        <f>407.9+(312.6-127.6)+(0.416058+(0.318852-0.130152))+0-101.4-0.103428000000016</f>
        <v>492.00132999999994</v>
      </c>
      <c r="J332" s="3">
        <f>406.5+(309.2-111.9)+(-0.41463+(-0.315384--0.114138))+0-111.5--0.113730000000018</f>
        <v>491.79785400000003</v>
      </c>
      <c r="K332" s="3">
        <f>406.8+(312.8-100.6)+(0.207468+(0.159528-0.051306))+0-129.6-0.0660959999999868</f>
        <v>489.64959400000004</v>
      </c>
      <c r="L332" s="3">
        <f>406.2+(278.5-76.9)+(0+(0-0))+0-110.6-0</f>
        <v>497.19999999999993</v>
      </c>
      <c r="M332" s="3">
        <f>406.9+(301.1-49.2)+(0.207519+(0.153561-0.025092))+0-117.6-0.0599759999999881</f>
        <v>541.47601199999997</v>
      </c>
      <c r="N332" s="3">
        <f>408.8+(315.4-57.4)+(0.625464+(0.482562-0.087822))+0-106.5-0.162945000000006</f>
        <v>561.15725899999995</v>
      </c>
      <c r="O332" s="3">
        <f>408.1+(323.8-53.9)+(0.624393+(0.495414-0.082467))+0-107.8-0.164934000000006</f>
        <v>571.072406</v>
      </c>
      <c r="P332" s="3">
        <f>404.8+(333.4-55.5)+(0.825792+(0.680136-0.11322))+0-103.7-0.211547999999995</f>
        <v>580.18115999999998</v>
      </c>
      <c r="Q332" s="3">
        <f>400.1+(346.7-55.3)+(-0.408102+(-0.353634--0.056406))+0-103.6--0.105672000000017</f>
        <v>587.300342</v>
      </c>
      <c r="R332" s="3">
        <f>396.6+(329.2-52.7)+(-1.01133+(-0.83946--0.134385))+0-104.8--0.267239999999985</f>
        <v>566.85083500000007</v>
      </c>
      <c r="S332" s="3">
        <f>393.2+(307.8-50.5)+(0.200532+(0.156978-0.025755))+0-102.9-0.0524789999999896</f>
        <v>547.87927600000012</v>
      </c>
      <c r="T332" s="3">
        <f>391.6+(299.3-56.3)+(0+(0-0))+0-102.2-0</f>
        <v>532.4</v>
      </c>
      <c r="U332" s="3">
        <f>389+(312.4-55.2)+(0.39678+(0.318648-0.056304))+0-115.2-0.117504000000018</f>
        <v>531.54161999999997</v>
      </c>
      <c r="V332" s="3">
        <f>388.3+(303.7-56.9)+(-0.396066+(-0.309774--0.058038))+0-105.9--0.108018000000017</f>
        <v>528.6602160000001</v>
      </c>
      <c r="W332" s="3">
        <f>388.5+(349.7-45.6)+(-0.39627+(-0.356694--0.046512))+0-127.6--0.13015200000002</f>
        <v>564.42369999999994</v>
      </c>
      <c r="X332" s="3">
        <f>395.9+(388.4-47.2)+(-0.605727+(-0.594252--0.072216))+0-124.1--0.189873000000007</f>
        <v>612.06210999999996</v>
      </c>
      <c r="Y332" s="3">
        <f>397.7+(366.1-51.5)+(-0.811308+(-0.746844--0.10506))+0-117.1--0.238883999999995</f>
        <v>593.98579199999995</v>
      </c>
      <c r="Z332" s="3">
        <f>397.1+(366.4-53.6)+(-0.607563+(-0.560592--0.082008))+0-125--0.191250000000007</f>
        <v>584.00510299999996</v>
      </c>
      <c r="AA332" s="3">
        <f>398.5+(359.4-53.4)+(-0.609705+(-0.549882--0.081702))+0-129.1--0.197523000000007</f>
        <v>574.51963799999999</v>
      </c>
      <c r="AB332" s="3">
        <f>398.1+(336.2-54.9)+(-0.406062+(-0.342924--0.055998))+0-128.5--0.13107000000002</f>
        <v>550.3380820000001</v>
      </c>
      <c r="AC332" s="3">
        <f>398.1+(334.7-78.1)+(-0.406062+(-0.341394--0.079662))+0-121.1--0.123522000000019</f>
        <v>533.05572800000004</v>
      </c>
      <c r="AD332">
        <v>598.00000000000011</v>
      </c>
      <c r="AE332" s="3">
        <f>394+(376.7-48.4)+(0+(0-0))+0-124.3-0</f>
        <v>598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397.1+(353.4-116.5)+(-1.012605+(-0.90117--0.297075))+0-120.6--0.307529999999982</f>
        <v>512.09082999999987</v>
      </c>
      <c r="G333" s="3">
        <f>274.4+(420.6-76.7)+(-0.419832+(-0.643518--0.117351))+0-119.5--0.182835000000007</f>
        <v>498.03683599999994</v>
      </c>
      <c r="H333" s="3">
        <f>257.7+(409.7-58.9)+(-0.394281+(-0.626841--0.090117))+0-117.5--0.179775000000007</f>
        <v>490.24876999999998</v>
      </c>
      <c r="I333" s="3">
        <f>258.2+(392.2-48.9)+(-0.526728+(-0.800088--0.099756))+0-112.6--0.229703999999995</f>
        <v>487.9026439999999</v>
      </c>
      <c r="J333" s="3">
        <f>259.5+(384.3-37.9)+(0.26469+(0.391986-0.038658))+0-117.8-0.120156000000019</f>
        <v>488.59786200000008</v>
      </c>
      <c r="K333" s="3">
        <f>259+(380.2-37.1)+(0.13209+(0.193902-0.018921))+0-117.6-0.0599759999999881</f>
        <v>484.74709499999983</v>
      </c>
      <c r="L333" s="3">
        <f>259.8+(377.5-37.3)+(-0.132498+(-0.192525--0.019023))+0-106.8--0.0544679999999892</f>
        <v>492.94846799999993</v>
      </c>
      <c r="M333" s="3">
        <f>258.7+(417.5-38.2)+(0+(0-0))+0-118.4-0</f>
        <v>519.6</v>
      </c>
      <c r="N333" s="3">
        <f>264.7+(410.7-33.8)+(0.134997+(0.209457-0.017238))+0-104.9-0.0534989999999894</f>
        <v>536.97371699999997</v>
      </c>
      <c r="O333" s="3">
        <f>394.8+(336.9-49.9)+(-0.201348+(-0.171819--0.025449))+0-120.9--0.0616589999999877</f>
        <v>560.61394099999995</v>
      </c>
      <c r="P333" s="3">
        <f>393.8+(357.3-52.2)+(0+(0-0))+0-122.6-0</f>
        <v>576.30000000000007</v>
      </c>
      <c r="Q333" s="3">
        <f>390.5+(346.7-55.7)+(-0.39831+(-0.353634--0.056814))+0-111.9--0.114138000000018</f>
        <v>569.0190080000001</v>
      </c>
      <c r="R333" s="3">
        <f>388.5+(335.9-44.7)+(-0.79254+(-0.685236--0.091188))+0-109.3--0.222971999999995</f>
        <v>569.23638400000016</v>
      </c>
      <c r="S333" s="3">
        <f>388.2+(325.5-41.8)+(-0.791928+(-0.66402--0.085272))+0-106.4--0.217055999999995</f>
        <v>564.34637999999995</v>
      </c>
      <c r="T333" s="3">
        <f>386.7+(298.4-41.4)+(-0.394434+(-0.304368--0.042228))+0-112.8--0.115056000000018</f>
        <v>530.35848200000009</v>
      </c>
      <c r="U333" s="3">
        <f>384.1+(263.4-44.4)+(-0.783564+(-0.537336--0.090576))+0-92.5--0.188699999999996</f>
        <v>509.55837600000001</v>
      </c>
      <c r="V333" s="3">
        <f>385.4+(267.7-42.8)+(-0.196554+(-0.136527--0.021828))+0-105.4--0.0537539999999893</f>
        <v>504.64250099999998</v>
      </c>
      <c r="W333" s="3">
        <f>385.6+(305.4-39.4)+(-0.589968+(-0.467262--0.060282))+0-123.5--0.188955000000007</f>
        <v>527.29200700000001</v>
      </c>
      <c r="X333" s="3">
        <f>389.1+(320.5-39.9)+(-0.396882+(-0.32691--0.040698))+0-115.6--0.117912000000018</f>
        <v>553.53481800000009</v>
      </c>
      <c r="Y333" s="3">
        <f>398.5+(315.2-39.1)+(-0.40647+(-0.321504--0.039882))+0-126.3--0.12882600000002</f>
        <v>547.74073399999997</v>
      </c>
      <c r="Z333" s="3">
        <f>402.2+(315.4-39.7)+(-0.615366+(-0.482562--0.060741))+0-122.5--0.187425000000007</f>
        <v>554.55023799999992</v>
      </c>
      <c r="AA333" s="3">
        <f>402.5+(312.2-39.4)+(-0.41055+(-0.318444--0.040188))+0-121.5--0.123930000000019</f>
        <v>553.23512399999993</v>
      </c>
      <c r="AB333" s="3">
        <f>401.8+(297.5-40.1)+(-0.614754+(-0.455175--0.061353))+0-124.9--0.191097000000007</f>
        <v>533.48252100000013</v>
      </c>
      <c r="AC333" s="3">
        <f>403.6+(287.9-70.9)+(0+(0-0))+0-109.5-0</f>
        <v>511.1</v>
      </c>
      <c r="AD333">
        <v>561.19999999999993</v>
      </c>
      <c r="AE333" s="3">
        <f>390+(329-39.7)+(0+(0-0))+0-118.1-0</f>
        <v>561.19999999999993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403.6+(315-124.3)+(-0.411672+(-0.3213--0.126786))+0-115--0.117300000000018</f>
        <v>478.81111399999998</v>
      </c>
      <c r="G334" s="3">
        <f>349+(364-112.3)+(-0.17799+(-0.18564--0.057273))+0-121.8--0.0621179999999876</f>
        <v>478.65576099999998</v>
      </c>
      <c r="H334" s="3">
        <f>299.5+(360.3-77.6)+(0+(0-0))+0-113.7-0</f>
        <v>468.50000000000006</v>
      </c>
      <c r="I334" s="3">
        <f>298.6+(314.1-40.9)+(-0.304572+(-0.320382--0.041718))+0-109.5--0.111690000000017</f>
        <v>461.82845400000002</v>
      </c>
      <c r="J334" s="3">
        <f>301.5+(309.7-44.6)+(0.768825+(0.789735-0.11373))+0-105-0.267749999999985</f>
        <v>462.77707999999996</v>
      </c>
      <c r="K334" s="3">
        <f>300.7+(301.4-33.6)+(0.153357+(0.153714-0.017136))+0-108.2-0.055181999999989</f>
        <v>460.53475300000002</v>
      </c>
      <c r="L334" s="3">
        <f>299.4+(279.2-52.8)+(-0.305388+(-0.284784--0.053856))+0-77.1--0.0786420000000123</f>
        <v>448.24232599999988</v>
      </c>
      <c r="M334" s="3">
        <f>299.8+(269.2-25)+(0.152898+(0.137292-0.01275))+0-93.1-0.0474809999999906</f>
        <v>451.12995899999993</v>
      </c>
      <c r="N334" s="3">
        <f>294.1+(293.2-18.5)+(0+(0-0))+0-119.6-0</f>
        <v>449.19999999999993</v>
      </c>
      <c r="O334" s="3">
        <f>285+(290.2-10.6)+(-0.14535+(-0.148002--0.005406))+0-103.5--0.0527849999999895</f>
        <v>460.86483899999985</v>
      </c>
      <c r="P334" s="3">
        <f>285+(319.5-12.8)+(-0.14535+(-0.162945--0.006528))+0-117.7--0.0600269999999881</f>
        <v>473.75826000000001</v>
      </c>
      <c r="Q334" s="3">
        <f>285.1+(335.5-15.9)+(-0.581604+(-0.68442--0.032436))+0-122.9--0.250715999999995</f>
        <v>480.81712800000003</v>
      </c>
      <c r="R334" s="3">
        <f>285.2+(333.5-25.8)+(-0.436356+(-0.510255--0.039474))+0-112--0.171360000000006</f>
        <v>480.16422299999994</v>
      </c>
      <c r="S334" s="3">
        <f>285.1+(330.8-24.4)+(-0.436203+(-0.506124--0.037332))+0-124.3--0.190179000000007</f>
        <v>466.485184</v>
      </c>
      <c r="T334" s="3">
        <f>285.1+(315.9-26.1)+(-0.581604+(-0.644436--0.053244))+0-122.5--0.249899999999995</f>
        <v>451.477104</v>
      </c>
      <c r="U334" s="3">
        <f>286+(292.5-27)+(-0.14586+(-0.149175--0.01377))+0-116--0.0591599999999882</f>
        <v>435.277895</v>
      </c>
      <c r="V334" s="3">
        <f>285.9+(294.9-25.3)+(-0.145809+(-0.150399--0.012903))+0-120.1--0.0612509999999878</f>
        <v>435.17794599999991</v>
      </c>
      <c r="W334" s="3">
        <f>308.6+(324.2-24)+(-0.314772+(-0.330684--0.02448))+0-119.4--0.121788000000019</f>
        <v>488.90081199999997</v>
      </c>
      <c r="X334" s="3">
        <f>380.2+(326.5-35.6)+(0+(0-0))+0-136.7-0</f>
        <v>534.39999999999986</v>
      </c>
      <c r="Y334" s="3">
        <f>384.8+(301.7-41.1)+(0.196248+(0.153867-0.020961))+0-117.5-0.0599249999999881</f>
        <v>528.16922899999997</v>
      </c>
      <c r="Z334" s="3">
        <f>396+(301.1-42.3)+(-0.40392+(-0.307122--0.043146))+0-123.2--0.12566400000002</f>
        <v>531.0577679999999</v>
      </c>
      <c r="AA334" s="3">
        <f>395.2+(295.1-44.9)+(-1.00776+(-0.752505--0.114495))+0-118.7--0.302684999999983</f>
        <v>525.35691499999996</v>
      </c>
      <c r="AB334" s="3">
        <f>394.2+(266.6-45.6)+(-0.402084+(-0.271932--0.046512))+0-104.4--0.106488000000017</f>
        <v>510.27898400000004</v>
      </c>
      <c r="AC334" s="3">
        <f>295.4+(334.2-35.1)+(-0.602616+(-0.681768--0.071604))+0-108--0.220319999999995</f>
        <v>485.50754000000006</v>
      </c>
      <c r="AD334">
        <v>510.9</v>
      </c>
      <c r="AE334" s="3">
        <f>380+(298.5-41.5)+(0+(0-0))+0-126.1-0</f>
        <v>510.9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289.6+(331.3-33.9)+(-0.73848+(-0.844815--0.086445))+0-121.2--0.309059999999982</f>
        <v>464.61221</v>
      </c>
      <c r="G335" s="3">
        <f>289.1+(312.4-30.9)+(-0.737205+(-0.79662--0.078795))+0-114.7--0.292484999999983</f>
        <v>454.73745500000007</v>
      </c>
      <c r="H335" s="3">
        <f>290.7+(344.8-56.9)+(-0.593028+(-0.703392--0.116076))+0-128.5--0.262139999999994</f>
        <v>449.18179600000002</v>
      </c>
      <c r="I335" s="3">
        <f>288.5+(347.1-68.6)+(-0.58854+(-0.708084--0.139944))+0-117.3--0.239291999999995</f>
        <v>448.78261199999992</v>
      </c>
      <c r="J335" s="3">
        <f>280.8+(355.4-70.5)+(0.143208+(0.181254-0.035955))+0-118.7-0.060536999999988</f>
        <v>447.22797000000003</v>
      </c>
      <c r="K335" s="3">
        <f>280.4+(368.7-67.7)+(0.572016+(0.752148-0.138108))+0-124.8-0.254591999999995</f>
        <v>457.53146399999997</v>
      </c>
      <c r="L335" s="3">
        <f>280.7+(346.8-43.6)+(-0.715785+(-0.88434--0.11118))+0-103.2--0.263159999999985</f>
        <v>479.47421500000002</v>
      </c>
      <c r="M335" s="3">
        <f>281+(388-35.4)+(0.28662+(0.39576-0.036108))+0-112-0.114240000000018</f>
        <v>522.13203199999998</v>
      </c>
      <c r="N335" s="3">
        <f>280.7+(376.7-21)+(0+(0-0))+0-94-0</f>
        <v>542.4</v>
      </c>
      <c r="O335" s="3">
        <f>308.7+(353.7-0)+(-0.157437+(-0.180387-0))+0-104.2--0.0531419999999894</f>
        <v>557.91531799999996</v>
      </c>
      <c r="P335" s="3">
        <f>380.9+(298.6-2.5)+(-0.971295+(-0.76143--0.006375))+0-108.3--0.276164999999984</f>
        <v>567.24981500000001</v>
      </c>
      <c r="Q335" s="3">
        <f>389.3+(301.3-0)+(0.397086+(0.307326-0))+0-118.4-0.120768000000019</f>
        <v>572.78364400000009</v>
      </c>
      <c r="R335" s="3">
        <f>382+(309.3-0)+(-0.9741+(-0.788715-0))+0-123--0.313649999999982</f>
        <v>566.85083499999985</v>
      </c>
      <c r="S335" s="3">
        <f>381.4+(292.8-18)+(-0.97257+(-0.74664--0.0459))+0-116.6--0.297329999999983</f>
        <v>538.22402</v>
      </c>
      <c r="T335" s="3">
        <f>381+(312.1-50.8)+(-0.19431+(-0.159171--0.025908))+0-118.7--0.060536999999988</f>
        <v>523.33296399999983</v>
      </c>
      <c r="U335" s="3">
        <f>380.1+(346.2-88.2)+(0+(0-0))+0-113.4-0</f>
        <v>524.70000000000005</v>
      </c>
      <c r="V335" s="3">
        <f>380.3+(327.9-65.4)+(-0.387906+(-0.334458--0.066708))+0-114.5--0.116790000000018</f>
        <v>527.76113399999997</v>
      </c>
      <c r="W335" s="3">
        <f>382.5+(340.8-34)+(0.195075+(0.173808-0.01734))+0-124.9-0.0636989999999873</f>
        <v>564.68784399999993</v>
      </c>
      <c r="X335" s="3">
        <f>380.6+(342.4-4.5)+(-0.194106+(-0.174624--0.002295))+0-127.8--0.065177999999987</f>
        <v>590.39874299999997</v>
      </c>
      <c r="Y335" s="3">
        <f>377+(336.2-0)+(-0.19227+(-0.171462-0))+0-130.9--0.0667589999999867</f>
        <v>582.00302699999997</v>
      </c>
      <c r="Z335" s="3">
        <f>321.7+(364-2.8)+(-0.656268+(-0.74256--0.005712))+0-120--0.244799999999995</f>
        <v>561.75168399999995</v>
      </c>
      <c r="AA335" s="3">
        <f>318.8+(389.8-21.2)+(0.162588+(0.198798-0.010812))+0-126.1-0.0643109999999872</f>
        <v>561.58626300000014</v>
      </c>
      <c r="AB335" s="3">
        <f>317.7+(380.2-21.5)+(-0.648108+(-0.775608--0.04386))+0-132.2--0.269687999999994</f>
        <v>543.089832</v>
      </c>
      <c r="AC335" s="3">
        <f>317+(373.4-42.2)+(-0.80835+(-0.95217--0.10761))+0-118.3--0.301664999999983</f>
        <v>528.54875500000003</v>
      </c>
      <c r="AD335">
        <v>594.9</v>
      </c>
      <c r="AE335" s="3">
        <f>380+(348.9-6.6)+(0+(0-0))+0-127.4-0</f>
        <v>594.9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317.8+(354.9-85.2)+(-0.486234+(-0.542997--0.130356))+0-106.6--0.163098000000006</f>
        <v>480.16422299999999</v>
      </c>
      <c r="G336" s="3">
        <f>317.1+(351-100.6)+(-0.646884+(-0.71604--0.205224))+0-104.2--0.212567999999995</f>
        <v>462.35486800000001</v>
      </c>
      <c r="H336" s="3">
        <f>318.9+(361.8-115.1)+(0.325278+(0.369036-0.117402))+0-113-0.115260000000018</f>
        <v>453.06165199999998</v>
      </c>
      <c r="I336" s="3">
        <f>286.7+(363.6-74.8)+(-0.438651+(-0.556308--0.114444))+0-114.4--0.175032000000007</f>
        <v>460.39451700000006</v>
      </c>
      <c r="J336" s="3">
        <f>271.3+(350.4-41.7)+(-0.138363+(-0.178704--0.021267))+0-121.1--0.0617609999999877</f>
        <v>458.66596099999998</v>
      </c>
      <c r="K336" s="3">
        <f>273.7+(335.8-22.1)+(0.279174+(0.342516-0.022542))+0-123.1-0.12556200000002</f>
        <v>464.77358599999997</v>
      </c>
      <c r="L336" s="3">
        <f>298.8+(326.4-19.6)+(0.152388+(0.166464-0.009996))+0-107.9-0.0550289999999891</f>
        <v>497.95382699999993</v>
      </c>
      <c r="M336" s="3">
        <f>386.7+(303.2-20.4)+(0.197217+(0.154632-0.010404))+0-127.7-0.065126999999987</f>
        <v>542.07631800000001</v>
      </c>
      <c r="N336" s="3">
        <f>387.9+(314.2-27.8)+(-0.197829+(-0.160242--0.014178))+0-112.2--0.0572219999999886</f>
        <v>561.81332899999995</v>
      </c>
      <c r="O336" s="3">
        <f>389.5+(314.3-14.4)+(-0.198645+(-0.160293--0.007344))+0-120.7--0.0615569999999878</f>
        <v>568.40996300000006</v>
      </c>
      <c r="P336" s="3">
        <f>389.3+(298.2-5.9)+(0.198543+(0.152082-0.003009))+0-109.7-0.0559469999999889</f>
        <v>572.19166900000005</v>
      </c>
      <c r="Q336" s="3">
        <f>388.7+(298.2-1.5)+(-0.396474+(-0.304164--0.00153))+0-115.2--0.117504000000018</f>
        <v>569.61839599999996</v>
      </c>
      <c r="R336" s="3">
        <f>386.4+(281.5-0)+(-0.788256+(-0.57426-0))+0-115--0.234599999999995</f>
        <v>551.77208399999995</v>
      </c>
      <c r="S336" s="3">
        <f>384.4+(303.7-22.5)+(-0.588132+(-0.464661--0.034425))+0-121.7--0.186201000000007</f>
        <v>543.06783299999984</v>
      </c>
      <c r="T336" s="3">
        <f>382.1+(301.9-31.4)+(0.194871+(0.153969-0.016014))+0-121-0.0617099999999877</f>
        <v>531.87111600000003</v>
      </c>
      <c r="U336" s="3">
        <f>383.8+(284.3-31.1)+(-0.782952+(-0.579972--0.063444))+0-107.4--0.219095999999995</f>
        <v>528.51961600000004</v>
      </c>
      <c r="V336" s="3">
        <f>385+(305.5-23.9)+(0+(0-0))+0-121.7-0</f>
        <v>544.9</v>
      </c>
      <c r="W336" s="3">
        <f>388.2+(304-22.6)+(-0.197982+(-0.15504--0.011526))+0-96.7--0.0493169999999902</f>
        <v>572.60782099999983</v>
      </c>
      <c r="X336" s="3">
        <f>392.1+(336.2-16.2)+(-0.199971+(-0.171462--0.008262))+0-108.9--0.055538999999989</f>
        <v>602.89236800000003</v>
      </c>
      <c r="Y336" s="3">
        <f>361.7+(359.6-10.3)+(-0.553401+(-0.550188--0.015759))+0-109.1--0.166923000000006</f>
        <v>600.97909299999992</v>
      </c>
      <c r="Z336" s="3">
        <f>327.4+(388-15.7)+(-0.83487+(-0.9894--0.040035))+0-108.7--0.277184999999984</f>
        <v>589.49295000000006</v>
      </c>
      <c r="AA336" s="3">
        <f>327.5+(368-17.5)+(0.167025+(0.18768-0.008925))+0-95-0.0484499999999904</f>
        <v>583.29732999999999</v>
      </c>
      <c r="AB336" s="3">
        <f>327+(340.7-21.3)+(-0.66708+(-0.695028--0.043452))+0-92.5--0.188699999999996</f>
        <v>552.77004399999998</v>
      </c>
      <c r="AC336" s="3">
        <f>327+(331.1-22.1)+(-0.66708+(-0.675444--0.045084))+0-91.4--0.186455999999996</f>
        <v>543.48901599999999</v>
      </c>
      <c r="AD336">
        <v>594.4</v>
      </c>
      <c r="AE336" s="3">
        <f>391+(348.3-23.3)+(0+(0-0))+0-121.6-0</f>
        <v>594.4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325.1+(327.1-25.3)+(-0.663204+(-0.667284--0.051612))+0-111.9--0.228275999999995</f>
        <v>513.9494000000002</v>
      </c>
      <c r="G337" s="3">
        <f>307.5+(332.4-37.3)+(-0.470475+(-0.508572--0.057069))+0-103.2--0.157896000000006</f>
        <v>498.63591799999995</v>
      </c>
      <c r="H337" s="3">
        <f>269.8+(345.1-23.7)+(-0.275196+(-0.352002--0.024174))+0-98.1--0.100062000000016</f>
        <v>492.59703800000005</v>
      </c>
      <c r="I337" s="3">
        <f>273.9+(333.5-12.6)+(-0.279378+(-0.34017--0.012852))+0-106.5--0.108630000000017</f>
        <v>487.8019339999999</v>
      </c>
      <c r="J337" s="3">
        <f>280.7+(328.1-13.8)+(0.286314+(0.334662-0.014076))+0-104.3-0.106386000000017</f>
        <v>491.20051399999994</v>
      </c>
      <c r="K337" s="3">
        <f>280.9+(328.3-14.4)+(0.429777+(0.502299-0.022032))+0-102.8-0.157284000000006</f>
        <v>492.75275999999991</v>
      </c>
      <c r="L337" s="3">
        <f>281.1+(339.8-15.3)+(0.286722+(0.346596-0.015606))+0-95-0.0969000000000152</f>
        <v>511.120812</v>
      </c>
      <c r="M337" s="3">
        <f>311.7+(332.3-11)+(-0.158967+(-0.169473--0.00561))+0-93.3--0.0475829999999905</f>
        <v>539.42475300000012</v>
      </c>
      <c r="N337" s="3">
        <f>413.1+(269.1-17.6)+(0.632043+(0.411723-0.026928))+0-99.8-0.152694000000006</f>
        <v>565.66414400000008</v>
      </c>
      <c r="O337" s="3">
        <f>414.9+(265.5-27.4)+(0.423198+(0.27081-0.027948))+0-105.1-0.107202000000017</f>
        <v>548.45885799999996</v>
      </c>
      <c r="P337" s="3">
        <f>413.5+(253-0)+(0.42177+(0.25806-0))+0-109.1-0.111282000000017</f>
        <v>557.96854800000006</v>
      </c>
      <c r="Q337" s="3">
        <f>411.5+(258.5-3.3)+(-0.209865+(-0.131835--0.001683))+0-99.8--0.0508979999999899</f>
        <v>566.61088100000006</v>
      </c>
      <c r="R337" s="3">
        <f>409+(268.3-10.8)+(-0.62577+(-0.410499--0.016524))+0-103.2--0.157896000000006</f>
        <v>562.43815100000006</v>
      </c>
      <c r="S337" s="3">
        <f>407.6+(308-55)+(0.207876+(0.15708-0.02805))+0-107.7-0.0549269999999891</f>
        <v>553.18197899999996</v>
      </c>
      <c r="T337" s="3">
        <f>407.6+(293.4-48.1)+(-0.207876+(-0.149634--0.024531))+0-110--0.0560999999999888</f>
        <v>542.62312099999997</v>
      </c>
      <c r="U337" s="3">
        <f>400.9+(276.2-43.2)+(-0.817836+(-0.563448--0.088128))+0-100.2--0.204407999999996</f>
        <v>532.61125199999992</v>
      </c>
      <c r="V337" s="3">
        <f>400+(260.9-28.2)+(0.204+(0.133059-0.014382))+0-101-0.0515099999999898</f>
        <v>531.97116700000004</v>
      </c>
      <c r="W337" s="3">
        <f>398.2+(293.7-30.8)+(0+(0-0))+0-106-0</f>
        <v>555.09999999999991</v>
      </c>
      <c r="X337" s="3">
        <f>404.3+(352.2-37.1)+(-0.412386+(-0.359244--0.037842))+0-115--0.117300000000018</f>
        <v>603.78351199999997</v>
      </c>
      <c r="Y337" s="3">
        <f>405.3+(355.4-51.9)+(-1.446921+(-1.268778--0.185283))+0-106--0.378420000000001</f>
        <v>600.64800400000001</v>
      </c>
      <c r="Z337" s="3">
        <f>406+(340.8-49.2)+(-0.82824+(-0.695232--0.100368))+0-109.7--0.223787999999995</f>
        <v>586.70068400000002</v>
      </c>
      <c r="AA337" s="3">
        <f>404.1+(337.7-45.1)+(-1.236546+(-1.033362--0.138006))+0-119.7--0.366282000000014</f>
        <v>575.2343800000001</v>
      </c>
      <c r="AB337" s="3">
        <f>405.7+(321.2-50.3)+(-0.413814+(-0.327624--0.051306))+0-119.2--0.121584000000019</f>
        <v>556.8314519999999</v>
      </c>
      <c r="AC337" s="3">
        <f>404.5+(291.6-50.1)+(-0.82518+(-0.594864--0.102204))+0-104.6--0.213383999999995</f>
        <v>540.29554399999995</v>
      </c>
      <c r="AD337">
        <v>614.4</v>
      </c>
      <c r="AE337" s="3">
        <f>407+(352.2-33.2)+(0+(0-0))+0-111.6-0</f>
        <v>614.4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329.1+(315.3-37.1)+(-0.503523+(-0.482409--0.056763))+0-111.3--0.170289000000006</f>
        <v>495.24111999999997</v>
      </c>
      <c r="G338" s="3">
        <f>325.8+(298.8-36.1)+(-0.166158+(-0.152388--0.018411))+0-119.5--0.0609449999999879</f>
        <v>468.76081000000005</v>
      </c>
      <c r="H338" s="3">
        <f>324+(314.1-69.2)+(-0.8262+(-0.800955--0.17646))+0-103.5--0.263924999999985</f>
        <v>464.21323000000007</v>
      </c>
      <c r="I338" s="3">
        <f>291+(327-37.7)+(-0.29682+(-0.33354--0.038454))+0-114.6--0.116892000000018</f>
        <v>465.22498599999994</v>
      </c>
      <c r="J338" s="3">
        <f>285.6+(331.4-34.4)+(-0.582624+(-0.676056--0.070176))+0-121.2--0.247247999999995</f>
        <v>460.45874400000008</v>
      </c>
      <c r="K338" s="3">
        <f>287+(328.3-28.8)+(0+(0-0))+0-120.2-0</f>
        <v>466.3</v>
      </c>
      <c r="L338" s="3">
        <f>387+(267.4-46.8)+(-0.78948+(-0.545496--0.095472))+0-119.3--0.243371999999995</f>
        <v>487.30386799999991</v>
      </c>
      <c r="M338" s="3">
        <f>420.7+(280.7-55.8)+(-0.214557+(-0.143157--0.028458))+0-128.7--0.0656369999999869</f>
        <v>516.63638099999991</v>
      </c>
      <c r="N338" s="3">
        <f>421.7+(322.7-93.2)+(0.860268+(0.658308-0.190128))+0-100.6-0.205223999999996</f>
        <v>551.72322399999996</v>
      </c>
      <c r="O338" s="3">
        <f>421.7+(306.3-62.8)+(0.215067+(0.156213-0.032028))+0-109.3-0.0557429999999889</f>
        <v>556.18350900000007</v>
      </c>
      <c r="P338" s="3">
        <f>420.6+(294.3-29.6)+(0+(0-0))+0-116.9-0</f>
        <v>568.4</v>
      </c>
      <c r="Q338" s="3">
        <f>418.6+(301.5-9.5)+(-0.853944+(-0.61506--0.01938))+0-131.3--0.267851999999994</f>
        <v>578.11822800000004</v>
      </c>
      <c r="R338" s="3">
        <f>414.7+(334.2-49.3)+(-1.057485+(-0.85221--0.125715))+0-123.8--0.315689999999982</f>
        <v>574.33170999999993</v>
      </c>
      <c r="S338" s="3">
        <f>410.9+(324.4-46.2)+(-0.628677+(-0.496332--0.070686))+0-128.8--0.197064000000007</f>
        <v>559.44274099999984</v>
      </c>
      <c r="T338" s="3">
        <f>348.9+(357.1-45.1)+(-0.533817+(-0.546363--0.069003))+0-123.1--0.188343000000007</f>
        <v>536.97716600000001</v>
      </c>
      <c r="U338" s="3">
        <f>288.6+(395.9-40.8)+(-0.441558+(-0.605727--0.062424))+0-109.1--0.166923000000006</f>
        <v>533.782062</v>
      </c>
      <c r="V338" s="3">
        <f>288.1+(386.3-35.7)+(0.293862+(0.394026-0.036414))+0-112.5-0.114750000000018</f>
        <v>526.73672399999998</v>
      </c>
      <c r="W338" s="3">
        <f>288.5+(406.5-29.7)+(0.147135+(0.207315-0.015147))+0-109.3-0.0557429999999889</f>
        <v>556.28355999999997</v>
      </c>
      <c r="X338" s="3">
        <f>288.1+(454.5-34.4)+(0+(0-0))+0-112.3-0</f>
        <v>595.90000000000009</v>
      </c>
      <c r="Y338" s="3">
        <f>287.6+(459-32.3)+(-0.73338+(-1.17045--0.082365))+0-126.5--0.322574999999982</f>
        <v>586.30110999999999</v>
      </c>
      <c r="Z338" s="3">
        <f>288.3+(431.7-30.7)+(0+(0-0))+0-111.7-0</f>
        <v>577.59999999999991</v>
      </c>
      <c r="AA338" s="3">
        <f>330.2+(393.3-31.7)+(-0.505206+(-0.601749--0.048501))+0-126.7--0.193851000000007</f>
        <v>564.23539699999992</v>
      </c>
      <c r="AB338" s="3">
        <f>277.5+(409.1-31.3)+(-0.424575+(-0.625923--0.047889))+0-111.2--0.170136000000006</f>
        <v>543.26752699999986</v>
      </c>
      <c r="AC338" s="3">
        <f>251.8+(414.8-24.8)+(-0.256836+(-0.423096--0.025296))+0-116.9--0.119238000000019</f>
        <v>524.36460199999999</v>
      </c>
      <c r="AD338">
        <v>607.6</v>
      </c>
      <c r="AE338" s="3">
        <f>287+(473.1-33.2)+(0+(0-0))+0-119.3-0</f>
        <v>607.60000000000014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228.8+(403.6-24.8)+(-0.350064+(-0.617508--0.037944))+0-110.8--0.169524000000006</f>
        <v>496.03989600000006</v>
      </c>
      <c r="G339" s="3">
        <f>208.5+(411-28.6)+(0+(0-0))+0-113.5-0</f>
        <v>477.4</v>
      </c>
      <c r="H339" s="3">
        <f>207.4+(425.1-29.8)+(-0.317322+(-0.650403--0.045594))+0-116.5--0.178245000000007</f>
        <v>485.45611400000001</v>
      </c>
      <c r="I339" s="3">
        <f>207.2+(421.2-33.9)+(0.105672+(0.214812-0.017289))+0-111.3-0.0567629999999887</f>
        <v>483.44643199999996</v>
      </c>
      <c r="J339" s="3">
        <f>207.4+(415.9-57.6)+(-0.105774+(-0.212109--0.029376))+0-93.5--0.0476849999999905</f>
        <v>471.95917799999995</v>
      </c>
      <c r="K339" s="3">
        <f>206.8+(396.4-37.9)+(0.316404+(0.606492-0.057987))+0-84.5-0.129285000000005</f>
        <v>481.53562399999998</v>
      </c>
      <c r="L339" s="3">
        <f>207.2+(405.1-32.5)+(-0.105672+(-0.206601--0.016575))+0-99.3--0.0506429999999899</f>
        <v>480.25494499999991</v>
      </c>
      <c r="M339" s="3">
        <f>210.8+(442-29.9)+(0.107508+(0.22542-0.015249))+0-112.8-0.0575279999999886</f>
        <v>510.36015100000009</v>
      </c>
      <c r="N339" s="3">
        <f>342.1+(311.4-12.5)+(-0.174471+(-0.158814--0.006375))+0-100--0.0509999999999899</f>
        <v>540.72409000000005</v>
      </c>
      <c r="O339" s="3">
        <f>355.1+(307.1-0)+(-0.181101+(-0.156621-0))+0-106.5--0.0543149999999892</f>
        <v>555.41659300000003</v>
      </c>
      <c r="P339" s="3">
        <f>374.3+(303.4-0)+(0+(0-0))+0-107.7-0</f>
        <v>570</v>
      </c>
      <c r="Q339" s="3">
        <f>377.2+(318.7-0)+(-0.384744+(-0.325074-0))+0-111.6--0.113832000000018</f>
        <v>583.70401399999992</v>
      </c>
      <c r="R339" s="3">
        <f>376.6+(294.9-0)+(-0.768264+(-0.601596-0))+0-101.9--0.207875999999996</f>
        <v>568.43801599999995</v>
      </c>
      <c r="S339" s="3">
        <f>377.2+(276.9-0)+(-0.577116+(-0.423657-0))+0-112.6--0.172278000000007</f>
        <v>540.67150499999991</v>
      </c>
      <c r="T339" s="3">
        <f>376.8+(262.1-0)+(-0.768672+(-0.534684-0))+0-117.3--0.239291999999995</f>
        <v>520.53593600000011</v>
      </c>
      <c r="U339" s="3">
        <f>377.1+(250.4-0)+(-0.576963+(-0.383112-0))+0-113.5--0.173655000000007</f>
        <v>513.21358000000009</v>
      </c>
      <c r="V339" s="3">
        <f>378.3+(262.6-0)+(-0.385866+(-0.267852-0))+0-104.6--0.106692000000017</f>
        <v>535.75297400000011</v>
      </c>
      <c r="W339" s="3">
        <f>377.3+(265-0)+(-0.384846+(-0.2703-0))+0-86--0.0877200000000137</f>
        <v>555.732574</v>
      </c>
      <c r="X339" s="3">
        <f>377.4+(342.1-3.8)+(-0.577422+(-0.523413--0.005814))+0-114--0.174420000000007</f>
        <v>600.77939900000013</v>
      </c>
      <c r="Y339" s="3">
        <f>377.5+(334.8-10.6)+(-0.38505+(-0.341496--0.010812))+0-109.6--0.111792000000017</f>
        <v>591.49605800000006</v>
      </c>
      <c r="Z339" s="3">
        <f>376.4+(307.8-1.3)+(-1.151784+(-0.941868--0.003978))+0-108.2--0.331092000000012</f>
        <v>572.941418</v>
      </c>
      <c r="AA339" s="3">
        <f>377.5+(313.7-0)+(-0.38505+(-0.319974-0))+0-123.7--0.12617400000002</f>
        <v>566.92115000000001</v>
      </c>
      <c r="AB339" s="3">
        <f>376.4+(254.8-0)+(-0.95982+(-0.64974-0))+0-85.7--0.218534999999988</f>
        <v>544.10897499999999</v>
      </c>
      <c r="AC339" s="3">
        <f>366.8+(233.3-7.7)+(-0.748272+(-0.475932--0.015708))+0-81.9--0.167075999999996</f>
        <v>509.45858000000015</v>
      </c>
      <c r="AD339">
        <v>577.70000000000005</v>
      </c>
      <c r="AE339" s="3">
        <f>375+(332.9-0)+(0+(0-0))+0-130.2-0</f>
        <v>577.70000000000005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323+(303.4-18.4)+(-0.32946+(-0.309468--0.018768))+0-112.2--0.114444000000018</f>
        <v>495.29428399999995</v>
      </c>
      <c r="G340" s="3">
        <f>321.9+(317.1-35.7)+(0+(0-0))+0-114.1-0</f>
        <v>489.19999999999993</v>
      </c>
      <c r="H340" s="3">
        <f>322.1+(324.8-61.7)+(-0.164271+(-0.165648--0.031467))+0-109.1--0.0556409999999889</f>
        <v>475.85718900000001</v>
      </c>
      <c r="I340" s="3">
        <f>321.6+(322.3-54.7)+(0.656064+(0.657492-0.111588))+0-120.4-0.245615999999995</f>
        <v>469.75635200000005</v>
      </c>
      <c r="J340" s="3">
        <f>321.6+(313.6-68.1)+(0.492048+(0.479808-0.104193))+0-97.6-0.149328000000006</f>
        <v>470.21833499999997</v>
      </c>
      <c r="K340" s="3">
        <f>321.2+(302.6-42.9)+(0.81906+(0.77163-0.109395))+0-106.9-0.272594999999984</f>
        <v>475.20870000000019</v>
      </c>
      <c r="L340" s="3">
        <f>321.4+(253.1-12.1)+(-0.163914+(-0.129081--0.006171))+0-103.7--0.0528869999999895</f>
        <v>458.46606299999996</v>
      </c>
      <c r="M340" s="3">
        <f>386.3+(239.1-17.1)+(0+(0-0))+0-115.9-0</f>
        <v>492.4</v>
      </c>
      <c r="N340" s="3">
        <f>422.2+(237.4-31.8)+(0.861288+(0.484296-0.064872))+0-103.4-0.210935999999995</f>
        <v>525.46977600000002</v>
      </c>
      <c r="O340" s="3">
        <f>419.8+(223.7-6)+(0.428196+(0.228174-0.00612))+0-97.7-0.0996540000000156</f>
        <v>540.350596</v>
      </c>
      <c r="P340" s="3">
        <f>418.3+(254.2-4.6)+(0+(0-0))+0-108.4-0</f>
        <v>559.5</v>
      </c>
      <c r="Q340" s="3">
        <f>417.6+(228.3-8)+(0.638928+(0.349299-0.01224))+0-76.3-0.116739000000004</f>
        <v>562.45924800000012</v>
      </c>
      <c r="R340" s="3">
        <f>413.7+(203.7-5.1)+(-1.265922+(-0.623322--0.015606))+0-62.4--0.190944000000007</f>
        <v>548.21730600000001</v>
      </c>
      <c r="S340" s="3">
        <f>411.2+(190.7-3.2)+(-1.258272+(-0.583542--0.009792))+0-61.3--0.187578000000007</f>
        <v>535.75555600000007</v>
      </c>
      <c r="T340" s="3">
        <f>409.7+(160.5-5.4)+(-0.417894+(-0.16371--0.005508))+0-51.2--0.0522240000000082</f>
        <v>513.07612799999993</v>
      </c>
      <c r="U340" s="3">
        <f>409.7+(162.5-4.6)+(-1.044735+(-0.414375--0.01173))+0-66.4--0.16931999999999</f>
        <v>499.92194000000006</v>
      </c>
      <c r="V340" s="3">
        <f>409.3+(212.1-27.9)+(-0.417486+(-0.216342--0.028458))+0-94.8--0.0966960000000151</f>
        <v>498.191326</v>
      </c>
      <c r="W340" s="3">
        <f>409.2+(250-17.5)+(0+(0-0))+0-102.1-0</f>
        <v>539.6</v>
      </c>
      <c r="X340" s="3">
        <f>408.9+(310.7-21)+(0+(0-0))+0-128.5-0</f>
        <v>570.09999999999991</v>
      </c>
      <c r="Y340" s="3">
        <f>348+(331.8-0)+(-0.35496+(-0.338436-0))+0-114.4--0.116688000000018</f>
        <v>564.82329200000004</v>
      </c>
      <c r="Z340" s="3">
        <f>322.9+(349.7-0)+(-0.658716+(-0.713388-0))+0-119.8--0.244391999999995</f>
        <v>551.67228799999987</v>
      </c>
      <c r="AA340" s="3">
        <f>321.9+(348.7-0)+(0+(0-0))+0-128.4-0</f>
        <v>542.19999999999993</v>
      </c>
      <c r="AB340" s="3">
        <f>322.2+(344.9-0)+(-0.657288+(-0.703596-0))+0-134.1--0.273563999999994</f>
        <v>531.9126799999998</v>
      </c>
      <c r="AC340" s="3">
        <f>322.5+(317.9-0)+(-0.32895+(-0.324258-0))+0-128.4--0.13096800000002</f>
        <v>511.47776000000005</v>
      </c>
      <c r="AD340">
        <v>572.99999999999989</v>
      </c>
      <c r="AE340" s="3">
        <f>408+(298.3-18.1)+(0+(0-0))+0-115.2-0</f>
        <v>573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322.4+(311.6-14.8)+(-0.328848+(-0.317832--0.015096))+0-131.8--0.134436000000021</f>
        <v>486.90285200000005</v>
      </c>
      <c r="G341" s="3">
        <f>321.4+(339.3-48)+(-0.163914+(-0.173043--0.02448))+0-132.5--0.0675749999999866</f>
        <v>479.95509800000008</v>
      </c>
      <c r="H341" s="3">
        <f>322.8+(337.5-72.4)+(0.493884+(0.516375-0.110772))+0-113.6-0.173808000000007</f>
        <v>475.02567900000008</v>
      </c>
      <c r="I341" s="3">
        <f>322.5+(330.2-75.7)+(-0.493425+(-0.505206--0.115821))+0-108.4--0.165852000000006</f>
        <v>467.8830420000001</v>
      </c>
      <c r="J341" s="3">
        <f>322.2+(337.1-57.3)+(-0.164322+(-0.171921--0.029223))+0-133.6--0.0681359999999864</f>
        <v>468.16111599999999</v>
      </c>
      <c r="K341" s="3">
        <f>322.3+(313.5-57.5)+(0+(0-0))+0-120.2-0</f>
        <v>458.09999999999997</v>
      </c>
      <c r="L341" s="3">
        <f>322.2+(290.9-40.4)+(-0.657288+(-0.593436--0.082416))+0-130.6--0.266423999999994</f>
        <v>441.19811599999986</v>
      </c>
      <c r="M341" s="3">
        <f>323.1+(258.3-21.6)+(-0.164781+(-0.131733--0.011016))+0-114.5--0.0583949999999884</f>
        <v>445.07289700000007</v>
      </c>
      <c r="N341" s="3">
        <f>322.3+(227-1.9)+(-0.164373+(-0.11577--0.000969))+0-102.6--0.0523259999999896</f>
        <v>444.57315199999994</v>
      </c>
      <c r="O341" s="3">
        <f>322.8+(248.2-0)+(0+(0-0))+0-107.7-0</f>
        <v>463.3</v>
      </c>
      <c r="P341" s="3">
        <f>323.4+(266.9-0)+(0.164934+(0.136119-0))+0-114.3-0.0582929999999884</f>
        <v>476.24275999999998</v>
      </c>
      <c r="Q341" s="3">
        <f>322.6+(284.1-11.1)+(-0.658104+(-0.579564--0.022644))+0-116.4--0.237455999999995</f>
        <v>478.22243200000008</v>
      </c>
      <c r="R341" s="3">
        <f>321.8+(288.6-25.3)+(-0.492354+(-0.441558--0.038709))+0-106.6--0.163098000000006</f>
        <v>477.76789499999995</v>
      </c>
      <c r="S341" s="3">
        <f>321.5+(265.7-16.4)+(-0.491895+(-0.406521--0.025092))+0-106.1--0.162333000000006</f>
        <v>463.9890089999999</v>
      </c>
      <c r="T341" s="3">
        <f>321.2+(275.7-29.2)+(-0.491436+(-0.421821--0.044676))+0-115.7--0.177021000000007</f>
        <v>451.30844000000013</v>
      </c>
      <c r="U341" s="3">
        <f>321.6+(263-13)+(-0.328032+(-0.26826--0.01326))+0-124.9--0.12739800000002</f>
        <v>446.24436600000007</v>
      </c>
      <c r="V341" s="3">
        <f>322.2+(279.3-34.4)+(0+(0-0))+0-116.5-0</f>
        <v>450.6</v>
      </c>
      <c r="W341" s="3">
        <f>347.7+(313.3-65)+(-0.354654+(-0.319566--0.0663))+0-117.7--0.120054000000019</f>
        <v>477.81213400000001</v>
      </c>
      <c r="X341" s="3">
        <f>397+(348.4-88.4)+(0+(0-0))+0-135.5-0</f>
        <v>521.5</v>
      </c>
      <c r="Y341" s="3">
        <f>398.6+(314.9-84.1)+(0+(0-0))+0-124.6-0</f>
        <v>504.79999999999995</v>
      </c>
      <c r="Z341" s="3">
        <f>398+(290-53.5)+(-0.20298+(-0.1479--0.027285))+0-137--0.0698699999999861</f>
        <v>497.24627500000003</v>
      </c>
      <c r="AA341" s="3">
        <f>397.7+(263-43.8)+(0+(0-0))+0-132.9-0</f>
        <v>484</v>
      </c>
      <c r="AB341" s="3">
        <f>398.3+(247.3-44.3)+(-1.015665+(-0.630615--0.112965))+0-129.2--0.329459999999981</f>
        <v>470.89614499999993</v>
      </c>
      <c r="AC341" s="3">
        <f>398.7+(228.2-42.2)+(-0.813348+(-0.465528--0.086088))+0-121.4--0.247655999999995</f>
        <v>462.35486800000012</v>
      </c>
      <c r="AD341">
        <v>501.9</v>
      </c>
      <c r="AE341" s="3">
        <f>396+(297.3-99.4)+(0+(0-0))+0-92-0</f>
        <v>501.9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399.1+(249-72.7)+(0+(0-0))+0-133.8-0</f>
        <v>441.60000000000008</v>
      </c>
      <c r="G342" s="3">
        <f>399+(249.6-102.6)+(0.20349+(0.127296-0.052326))+0-112.1-0.0571709999999886</f>
        <v>434.12128899999999</v>
      </c>
      <c r="H342" s="3">
        <f>398.9+(252.6-101.4)+(0+(0-0))+0-122.6-0</f>
        <v>427.49999999999989</v>
      </c>
      <c r="I342" s="3">
        <f>398.8+(235.5-107)+(-0.203388+(-0.120105--0.05457))+0-103.6--0.0528359999999895</f>
        <v>423.48391299999997</v>
      </c>
      <c r="J342" s="3">
        <f>398.1+(238.9-104.6)+(-0.203031+(-0.121839--0.053346))+0-109.1--0.0556409999999889</f>
        <v>423.08411700000005</v>
      </c>
      <c r="K342" s="3">
        <f>399.5+(235.8-85.9)+(0.81498+(0.481032-0.175236))+0-122.1-0.249083999999995</f>
        <v>428.17169199999995</v>
      </c>
      <c r="L342" s="3">
        <f>399.5+(221-46.8)+(0.40749+(0.22542-0.047736))+0-125.5-0.12801000000002</f>
        <v>448.65716400000008</v>
      </c>
      <c r="M342" s="3">
        <f>400.7+(241-42.1)+(0.204357+(0.12291-0.021471))+0-112.9-0.0575789999999885</f>
        <v>486.94821700000006</v>
      </c>
      <c r="N342" s="3">
        <f>404+(245.7-18.2)+(0+(0-0))+0-112.1-0</f>
        <v>519.4</v>
      </c>
      <c r="O342" s="3">
        <f>396.6+(233-0)+(0+(0-0))+0-100.3-0</f>
        <v>529.30000000000007</v>
      </c>
      <c r="P342" s="3">
        <f>397.8+(254.5-0)+(0.202878+(0.129795-0))+0-107.7-0.0549269999999891</f>
        <v>544.87774599999989</v>
      </c>
      <c r="Q342" s="3">
        <f>393.3+(271.9-0)+(-0.601749+(-0.416007-0))+0-103.7--0.158661000000006</f>
        <v>560.64090500000009</v>
      </c>
      <c r="R342" s="3">
        <f>389.4+(282.7-0)+(-0.595782+(-0.432531-0))+0-104.9--0.160497000000006</f>
        <v>566.33218399999987</v>
      </c>
      <c r="S342" s="3">
        <f>385.2+(278-4.3)+(-0.392904+(-0.28356--0.004386))+0-107.6--0.109752000000017</f>
        <v>550.73767399999997</v>
      </c>
      <c r="T342" s="3">
        <f>390.9+(252.1-8.3)+(0.199359+(0.128571-0.004233))+0-105.9-0.0540089999999893</f>
        <v>529.06968800000004</v>
      </c>
      <c r="U342" s="3">
        <f>402.3+(261.8-33.9)+(0+(0-0))+0-104.8-0</f>
        <v>525.40000000000009</v>
      </c>
      <c r="V342" s="3">
        <f>401.4+(238.3-6.4)+(-0.204714+(-0.121533--0.003264))+0-110.5--0.0563549999999888</f>
        <v>522.53337199999987</v>
      </c>
      <c r="W342" s="3">
        <f>403.7+(267.5-8.4)+(0+(0-0))+0-118.8-0</f>
        <v>544</v>
      </c>
      <c r="X342" s="3">
        <f>404.3+(299.1-23.1)+(0+(0-0))+0-108.3-0</f>
        <v>572</v>
      </c>
      <c r="Y342" s="3">
        <f>408.2+(268.4-0)+(-0.832728+(-0.547536-0))+0-110.4--0.225215999999995</f>
        <v>565.04495199999997</v>
      </c>
      <c r="Z342" s="3">
        <f>346.6+(332.9-1)+(0.176766+(0.169779-0.00051))+0-118.1-0.060230999999988</f>
        <v>560.68580399999996</v>
      </c>
      <c r="AA342" s="3">
        <f>266.7+(404.8-0)+(-0.408051+(-0.619344-0))+0-121--0.185130000000007</f>
        <v>549.657735</v>
      </c>
      <c r="AB342" s="3">
        <f>315.4+(359.7-0)+(-1.125978+(-1.284129-0))+0-115--0.410550000000002</f>
        <v>558.10044299999993</v>
      </c>
      <c r="AC342" s="3">
        <f>326.2+(310.4-1.5)+(-0.998172+(-0.949824--0.00459))+0-108.3--0.331398000000013</f>
        <v>525.18799200000001</v>
      </c>
      <c r="AD342">
        <v>565.9</v>
      </c>
      <c r="AE342" s="3">
        <f>402+(302.9-15.5)+(0+(0-0))+0-123.5-0</f>
        <v>565.9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326.3+(325.8-32.4)+(0+(0-0))+0-118.4-0</f>
        <v>501.30000000000007</v>
      </c>
      <c r="G343" s="3">
        <f>326.1+(313.3-43.2)+(-0.665244+(-0.639132--0.088128))+0-104--0.212159999999995</f>
        <v>491.19591200000008</v>
      </c>
      <c r="H343" s="3">
        <f>325.7+(333-61.8)+(0.166107+(0.16983-0.031518))+0-118.9-0.0606389999999879</f>
        <v>478.24378000000007</v>
      </c>
      <c r="I343" s="3">
        <f>325.2+(310.9-48.5)+(-0.497556+(-0.475677--0.074205))+0-101.8--0.155754000000006</f>
        <v>485.05672599999986</v>
      </c>
      <c r="J343" s="3">
        <f>324.7+(320.7-56.2)+(0.496791+(0.490671-0.085986))+0-104.2-0.159426000000006</f>
        <v>485.74205000000006</v>
      </c>
      <c r="K343" s="3">
        <f>324.5+(319.7-49.2)+(0.66198+(0.652188-0.100368))+0-104-0.212159999999995</f>
        <v>492.00164000000001</v>
      </c>
      <c r="L343" s="3">
        <f>324.6+(299-32.1)+(0+(0-0))+0-101.7-0</f>
        <v>489.8</v>
      </c>
      <c r="M343" s="3">
        <f>324.4+(290.1-4.2)+(-0.165444+(-0.147951--0.002142))+0-90--0.0458999999999909</f>
        <v>520.03464699999995</v>
      </c>
      <c r="N343" s="3">
        <f>324.5+(296.6-2.4)+(-0.33099+(-0.302532--0.002448))+0-75.7--0.0772140000000121</f>
        <v>542.44614000000001</v>
      </c>
      <c r="O343" s="3">
        <f>379.2+(271.8-15.1)+(-0.386784+(-0.277236--0.015402))+0-88.4--0.0901680000000141</f>
        <v>546.94155000000001</v>
      </c>
      <c r="P343" s="3">
        <f>402.5+(274.4-12.6)+(-1.026375+(-0.69972--0.03213))+0-96.5--0.246074999999986</f>
        <v>566.35210999999993</v>
      </c>
      <c r="Q343" s="3">
        <f>391.6+(286.5-2)+(0+(0-0))+0-100.3-0</f>
        <v>575.80000000000007</v>
      </c>
      <c r="R343" s="3">
        <f>408.4+(255-0)+(-0.208284+(-0.13005-0))+0-98--0.0499799999999901</f>
        <v>565.11164599999995</v>
      </c>
      <c r="S343" s="3">
        <f>407.3+(272.1-29.2)+(-0.415446+(-0.277542--0.029784))+0-97.6--0.0995520000000156</f>
        <v>552.03634800000009</v>
      </c>
      <c r="T343" s="3">
        <f>407.9+(313.9-74)+(0+(0-0))+0-101.7-0</f>
        <v>546.09999999999991</v>
      </c>
      <c r="U343" s="3">
        <f>411.5+(300.5-81)+(-0.209865+(-0.153255--0.04131))+0-96.5--0.0492149999999902</f>
        <v>534.22740499999998</v>
      </c>
      <c r="V343" s="3">
        <f>419+(278.4-60.9)+(-0.64107+(-0.425952--0.093177))+0-104.2--0.159426000000006</f>
        <v>531.48558100000002</v>
      </c>
      <c r="W343" s="3">
        <f>418.7+(259.3-14.9)+(-0.427074+(-0.264486--0.015198))+0-111--0.113220000000018</f>
        <v>551.53685800000005</v>
      </c>
      <c r="X343" s="3">
        <f>419.8+(282-0)+(-0.642294+(-0.43146-0))+0-109.5--0.167535000000006</f>
        <v>591.39378099999999</v>
      </c>
      <c r="Y343" s="3">
        <f>420.2+(264.2-0)+(-0.428604+(-0.269484-0))+0-105.8--0.107916000000017</f>
        <v>578.00982800000008</v>
      </c>
      <c r="Z343" s="3">
        <f>413.9+(279.8-0)+(0+(0-0))+0-117.9-0</f>
        <v>575.80000000000007</v>
      </c>
      <c r="AA343" s="3">
        <f>412.4+(254.7-0)+(-0.420648+(-0.259794-0))+0-109.2--0.111384000000017</f>
        <v>557.33094199999994</v>
      </c>
      <c r="AB343" s="3">
        <f>353.9+(300.1-8.5)+(-0.902445+(-0.765255--0.021675))+0-102.5--0.261374999999985</f>
        <v>541.61534999999992</v>
      </c>
      <c r="AC343" s="3">
        <f>321.9+(313.1-21.8)+(-0.328338+(-0.319362--0.022236))+0-98.6--0.100572000000016</f>
        <v>514.07510800000011</v>
      </c>
      <c r="AD343">
        <v>565.59999999999991</v>
      </c>
      <c r="AE343" s="3">
        <f>419+(281.8-0)+(0+(0-0))+0-135.2-0</f>
        <v>565.59999999999991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319.9+(311.5-58.1)+(-0.489447+(-0.476595--0.088893))+0-104.2--0.159426000000006</f>
        <v>468.38227699999993</v>
      </c>
      <c r="G344" s="3">
        <f>320+(326.3-72.3)+(-0.1632+(-0.166413--0.036873))+0-112.9--0.0575789999999885</f>
        <v>460.86483900000002</v>
      </c>
      <c r="H344" s="3">
        <f>321.4+(351.8-105.2)+(0.327828+(0.358836-0.107304))+0-106.9-0.109038000000017</f>
        <v>461.57032199999998</v>
      </c>
      <c r="I344" s="3">
        <f>321+(331.5-86.2)+(0+(0-0))+0-109.3-0</f>
        <v>456.99999999999994</v>
      </c>
      <c r="J344" s="3">
        <f>320.6+(318.7-72.5)+(-0.327012+(-0.325074--0.07395))+0-111.4--0.113628000000018</f>
        <v>454.93549200000001</v>
      </c>
      <c r="K344" s="3">
        <f>320.9+(306.8-59.6)+(-0.163659+(-0.156468--0.030396))+0-108--0.055079999999989</f>
        <v>459.86534900000004</v>
      </c>
      <c r="L344" s="3">
        <f>319.4+(310.1-47.8)+(-0.81447+(-0.790755--0.12189))+0-93.7--0.238934999999986</f>
        <v>486.75560000000002</v>
      </c>
      <c r="M344" s="3">
        <f>323.2+(319.7-17.4)+(0.329664+(0.326094-0.017748))+0-106.7-0.108834000000017</f>
        <v>519.32917599999996</v>
      </c>
      <c r="N344" s="3">
        <f>404.2+(258.8-14)+(0.618426+(0.395964-0.02142))+0-99.2-0.151776000000006</f>
        <v>550.64119399999993</v>
      </c>
      <c r="O344" s="3">
        <f>409.6+(259.9-1.8)+(-1.04448+(-0.662745--0.00459))+0-113.9--0.290444999999983</f>
        <v>552.38781000000006</v>
      </c>
      <c r="P344" s="3">
        <f>412.4+(276.9-8.8)+(0.420648+(0.282438-0.008976))+0-113.2-0.115464000000018</f>
        <v>567.878646</v>
      </c>
      <c r="Q344" s="3">
        <f>411.8+(273-10.2)+(-0.420036+(-0.27846--0.010404))+0-105.8--0.107916000000017</f>
        <v>568.21982400000013</v>
      </c>
      <c r="R344" s="3">
        <f>410.4+(253.2-1.7)+(-0.209304+(-0.129132--0.000867))+0-105.5--0.0538049999999893</f>
        <v>556.11623599999996</v>
      </c>
      <c r="S344" s="3">
        <f>407.7+(252.5-7)+(-0.415854+(-0.25755--0.00714))+0-106.6--0.108732000000017</f>
        <v>546.0424680000001</v>
      </c>
      <c r="T344" s="3">
        <f>405.5+(243.8-27.4)+(-0.206805+(-0.124338--0.013974))+0-95--0.0484499999999904</f>
        <v>526.63128099999994</v>
      </c>
      <c r="U344" s="3">
        <f>404.2+(242.7-18.7)+(-0.824568+(-0.495108--0.038148))+0-102.7--0.209507999999996</f>
        <v>524.42798000000005</v>
      </c>
      <c r="V344" s="3">
        <f>401.5+(225.6-12.5)+(-0.204765+(-0.115056--0.006375))+0-84.8--0.0432479999999914</f>
        <v>529.52980200000002</v>
      </c>
      <c r="W344" s="3">
        <f>399.4+(252.8-8.8)+(-0.814776+(-0.515712--0.017952))+0-105.8--0.215831999999995</f>
        <v>536.50329599999998</v>
      </c>
      <c r="X344" s="3">
        <f>403.7+(296.1-8.1)+(-0.205887+(-0.151011--0.004131))+0-111.2--0.0567119999999887</f>
        <v>580.20394499999998</v>
      </c>
      <c r="Y344" s="3">
        <f>408.7+(300.4-6.9)+(-1.042185+(-0.76602--0.017595))+0-118.6--0.302429999999983</f>
        <v>582.11181999999997</v>
      </c>
      <c r="Z344" s="3">
        <f>406.3+(287.8-3.5)+(-0.621639+(-0.440334--0.005355))+0-120.6--0.184518000000007</f>
        <v>569.12790000000007</v>
      </c>
      <c r="AA344" s="3">
        <f>406+(281.6-0)+(-0.20706+(-0.143616-0))+0-120.6--0.0615059999999878</f>
        <v>566.71082999999999</v>
      </c>
      <c r="AB344" s="3">
        <f>408.5+(262.4-0)+(-0.208335+(-0.133824-0))+0-121.7--0.0620669999999877</f>
        <v>548.91990799999985</v>
      </c>
      <c r="AC344" s="3">
        <f>410.3+(257.5-23.5)+(0+(0-0))+0-117.8-0</f>
        <v>526.5</v>
      </c>
      <c r="AD344">
        <v>582.79999999999995</v>
      </c>
      <c r="AE344" s="3">
        <f>411+(304.8-9.9)+(0+(0-0))+0-123.1-0</f>
        <v>582.80000000000007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371.4+(299.6-46.3)+(-0.94707+(-0.76398--0.118065))+0-120.6--0.307529999999982</f>
        <v>502.81454500000001</v>
      </c>
      <c r="G345" s="3">
        <f>352.9+(306.2-51.3)+(-0.539937+(-0.468486--0.078489))+0-118.7--0.181611000000007</f>
        <v>488.351677</v>
      </c>
      <c r="H345" s="3">
        <f>353.6+(312.3-74.6)+(-0.360672+(-0.318546--0.076092))+0-108.8--0.110976000000017</f>
        <v>482.00785000000008</v>
      </c>
      <c r="I345" s="3">
        <f>353.4+(324-87.9)+(-0.540702+(-0.49572--0.134487))+0-101.3--0.154989000000006</f>
        <v>487.45305400000001</v>
      </c>
      <c r="J345" s="3">
        <f>353+(320.1-87.7)+(0.36006+(0.326502-0.089454))+0-97.3-0.0992460000000155</f>
        <v>488.59786200000013</v>
      </c>
      <c r="K345" s="3">
        <f>352.6+(308.8-78.1)+(0.179826+(0.157488-0.039831))+0-97.5-0.0497249999999901</f>
        <v>486.04775800000016</v>
      </c>
      <c r="L345" s="3">
        <f>352.9+(283.2-47.1)+(0.179979+(0.144432-0.024021))+0-97.8-0.0498779999999901</f>
        <v>491.450512</v>
      </c>
      <c r="M345" s="3">
        <f>353.4+(287.7-25.4)+(0.180234+(0.146727-0.012954))+0-97.3-0.0496229999999901</f>
        <v>518.66438400000004</v>
      </c>
      <c r="N345" s="3">
        <f>375.3+(282.7-17.5)+(0.382806+(0.288354-0.01785))+0-107.7-0.109854000000017</f>
        <v>533.34345599999995</v>
      </c>
      <c r="O345" s="3">
        <f>408.3+(256.9-0)+(0.416466+(0.262038-0))+0-115.5-0.117810000000018</f>
        <v>550.26069400000006</v>
      </c>
      <c r="P345" s="3">
        <f>402.9+(276.5-0)+(-0.616437+(-0.423045-0))+0-117.8--0.180234000000007</f>
        <v>560.74075200000004</v>
      </c>
      <c r="Q345" s="3">
        <f>400+(289-0)+(-0.408+(-0.29478-0))+0-110.1--0.112302000000018</f>
        <v>578.30952200000002</v>
      </c>
      <c r="R345" s="3">
        <f>395.6+(273.4-0)+(-1.00878+(-0.69717-0))+0-102.7--0.261884999999985</f>
        <v>564.85593499999993</v>
      </c>
      <c r="S345" s="3">
        <f>395+(301-25.6)+(0.4029+(0.30702-0.026112))+0-117.5-0.119850000000019</f>
        <v>553.46395799999993</v>
      </c>
      <c r="T345" s="3">
        <f>385.6+(288.5-30.2)+(-0.393312+(-0.29427--0.030804))+0-115.2--0.117504000000018</f>
        <v>528.16072600000007</v>
      </c>
      <c r="U345" s="3">
        <f>390+(301.9-28.8)+(0.7956+(0.615876-0.058752))+0-124.7-0.254387999999995</f>
        <v>539.49833599999988</v>
      </c>
      <c r="V345" s="3">
        <f>384.7+(267.4-5.9)+(-0.392394+(-0.272748--0.006018))+0-107.1--0.109242000000017</f>
        <v>538.550118</v>
      </c>
      <c r="W345" s="3">
        <f>394.7+(230.5-0)+(0.201297+(0.117555-0))+0-78.1-0.0398309999999921</f>
        <v>547.37902100000008</v>
      </c>
      <c r="X345" s="3">
        <f>399.1+(279.6-5.4)+(0.407082+(0.285192-0.005508))+0-79.5-0.0810900000000127</f>
        <v>594.40567600000008</v>
      </c>
      <c r="Y345" s="3">
        <f>398.2+(282.3-8.1)+(0.203082+(0.143973-0.004131))+0-84.8-0.0432479999999914</f>
        <v>587.89967600000011</v>
      </c>
      <c r="Z345" s="3">
        <f>402.6+(282.3-20.5)+(-0.410652+(-0.287946--0.02091))+0-80.6--0.0822120000000128</f>
        <v>583.20452400000011</v>
      </c>
      <c r="AA345" s="3">
        <f>400.8+(318.5-35.4)+(-0.408816+(-0.32487--0.036108))+0-109.6--0.111792000000017</f>
        <v>573.71421400000008</v>
      </c>
      <c r="AB345" s="3">
        <f>396.4+(312.2-38.8)+(-0.606492+(-0.477666--0.059364))+0-115.4--0.176562000000007</f>
        <v>553.55176799999992</v>
      </c>
      <c r="AC345" s="3">
        <f>399.4+(320.3-78.2)+(-0.611082+(-0.490059--0.119646))+0-103.1--0.157743000000006</f>
        <v>537.57624799999996</v>
      </c>
      <c r="AD345">
        <v>604.40000000000009</v>
      </c>
      <c r="AE345" s="3">
        <f>401+(280.1-8.4)+(0+(0-0))+0-68.3-0</f>
        <v>604.40000000000009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396.9+(311.7-93.3)+(0+(0-0))+0-107.1-0</f>
        <v>508.19999999999993</v>
      </c>
      <c r="G346" s="3">
        <f>397.5+(304-77.2)+(-0.8109+(-0.62016--0.157488))+0-129.6--0.264383999999994</f>
        <v>493.69081199999999</v>
      </c>
      <c r="H346" s="3">
        <f>405.4+(300.3-85)+(-0.620262+(-0.459459--0.13005))+0-127.3--0.194769000000007</f>
        <v>492.64509800000008</v>
      </c>
      <c r="I346" s="3">
        <f>411.7+(279.7-87.5)+(-0.419934+(-0.285294--0.08925))+0-121.1--0.123522000000019</f>
        <v>482.30754399999995</v>
      </c>
      <c r="J346" s="3">
        <f>412+(286-85.2)+(0.21012+(0.14586-0.043452))+0-125.3-0.0639029999999873</f>
        <v>487.748625</v>
      </c>
      <c r="K346" s="3">
        <f>411.7+(278.2-79.1)+(0.209967+(0.141882-0.040341))+0-117.9-0.060128999999988</f>
        <v>493.15137900000002</v>
      </c>
      <c r="L346" s="3">
        <f>412.8+(249-57.2)+(0.210528+(0.12699-0.029172))+0-105.8-0.0539579999999893</f>
        <v>499.05438800000007</v>
      </c>
      <c r="M346" s="3">
        <f>417.5+(251-9.2)+(0+(0-0))+0-125.9-0</f>
        <v>533.4</v>
      </c>
      <c r="N346" s="3">
        <f>416.5+(258.1-7.6)+(0.212415+(0.131631-0.003876))+0-105.7-0.0539069999999893</f>
        <v>561.58626299999992</v>
      </c>
      <c r="O346" s="3">
        <f>409+(281.8-10.4)+(0+(0-0))+0-118.7-0</f>
        <v>561.70000000000005</v>
      </c>
      <c r="P346" s="3">
        <f>402.2+(286.8-9.4)+(-0.820488+(-0.585072--0.019176))+0-103.4--0.210935999999995</f>
        <v>575.02455199999997</v>
      </c>
      <c r="Q346" s="3">
        <f>398.9+(291-12)+(0+(0-0))+0-98.6-0</f>
        <v>579.29999999999995</v>
      </c>
      <c r="R346" s="3">
        <f>395.4+(295.5-2.2)+(-0.403308+(-0.30141--0.002244))+0-117--0.119340000000019</f>
        <v>571.11686599999996</v>
      </c>
      <c r="S346" s="3">
        <f>394.3+(260.1-0)+(-0.201093+(-0.132651-0))+0-97.2--0.0495719999999901</f>
        <v>556.91582800000003</v>
      </c>
      <c r="T346" s="3">
        <f>389.3+(265.9-3)+(0.198543+(0.135609-0.00153))+0-114.8-0.0585479999999884</f>
        <v>537.67407400000013</v>
      </c>
      <c r="U346" s="3">
        <f>389.1+(271.4-5.9)+(-0.992205+(-0.69207--0.015045))+0-113.4--0.289169999999984</f>
        <v>539.81994000000009</v>
      </c>
      <c r="V346" s="3">
        <f>387.6+(271-1.9)+(0+(0-0))+0-108-0</f>
        <v>548.70000000000005</v>
      </c>
      <c r="W346" s="3">
        <f>388+(291.1-1.6)+(-0.79152+(-0.593844--0.003264))+0-120.4--0.245615999999995</f>
        <v>555.96351600000003</v>
      </c>
      <c r="X346" s="3">
        <f>396.4+(325-1.3)+(-0.404328+(-0.3315--0.001326))+0-122--0.124440000000019</f>
        <v>597.48993799999994</v>
      </c>
      <c r="Y346" s="3">
        <f>400+(306.5-0)+(-1.224+(-0.93789-0))+0-123.8--0.378828000000014</f>
        <v>580.91693800000007</v>
      </c>
      <c r="Z346" s="3">
        <f>402.3+(295.1-2.6)+(-0.615519+(-0.451503--0.003978))+0-129.8--0.198594000000008</f>
        <v>564.13554999999997</v>
      </c>
      <c r="AA346" s="3">
        <f>404+(274.1-2.2)+(-0.41208+(-0.279582--0.002244))+0-113.5--0.115770000000018</f>
        <v>561.82635200000004</v>
      </c>
      <c r="AB346" s="3">
        <f>403.3+(286.2-34.1)+(-0.617049+(-0.437886--0.052173))+0-117.1--0.179163000000007</f>
        <v>537.47640100000001</v>
      </c>
      <c r="AC346" s="3">
        <f>403.6+(279.6-50.5)+(-1.02918+(-0.71298--0.128775))+0-108.7--0.277184999999984</f>
        <v>522.66380000000004</v>
      </c>
      <c r="AD346">
        <v>602.6</v>
      </c>
      <c r="AE346" s="3">
        <f>398+(321.1-0)+(0+(0-0))+0-116.5-0</f>
        <v>602.6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343.2+(299.2-53.6)+(-0.700128+(-0.610368--0.109344))+0-99.3--0.202571999999996</f>
        <v>488.50141999999994</v>
      </c>
      <c r="G347" s="3">
        <f>324.1+(303.7-33.6)+(0.495873+(0.464661-0.051408))+0-120-0.183600000000007</f>
        <v>474.92552600000005</v>
      </c>
      <c r="H347" s="3">
        <f>323.1+(298.3-30.9)+(-0.823905+(-0.760665--0.078795))+0-113.8--0.290189999999983</f>
        <v>475.48441500000001</v>
      </c>
      <c r="I347" s="3">
        <f>323.6+(311.5-45.1)+(0.330072+(0.31773-0.046002))+0-112.1-0.114342000000018</f>
        <v>478.38745799999998</v>
      </c>
      <c r="J347" s="3">
        <f>321.7+(334.6-43.3)+(-0.656268+(-0.682584--0.088332))+0-129.5--0.264179999999994</f>
        <v>482.51365999999996</v>
      </c>
      <c r="K347" s="3">
        <f>323.9+(321-31.7)+(-0.330378+(-0.32742--0.032334))+0-131.6--0.134232000000021</f>
        <v>481.10876800000005</v>
      </c>
      <c r="L347" s="3">
        <f>322.2+(279.5-7.8)+(-0.657288+(-0.57018--0.015912))+0-115--0.234599999999995</f>
        <v>477.923044</v>
      </c>
      <c r="M347" s="3">
        <f>331.5+(291.4-3.9)+(1.01439+(0.891684-0.011934))+0-109.7-0.335682000000013</f>
        <v>510.85845799999998</v>
      </c>
      <c r="N347" s="3">
        <f>386.2+(264.4-0)+(0.787848+(0.539376-0))+0-110.8-0.226031999999995</f>
        <v>540.90119199999992</v>
      </c>
      <c r="O347" s="3">
        <f>387+(282.2-1.1)+(-0.19737+(-0.143922--0.000561))+0-119.3--0.0608429999999879</f>
        <v>548.52011199999993</v>
      </c>
      <c r="P347" s="3">
        <f>389.2+(290-7.1)+(0.396984+(0.2958-0.007242))+0-106.5-0.108630000000017</f>
        <v>566.1769119999999</v>
      </c>
      <c r="Q347" s="3">
        <f>386.7+(274.8-10.8)+(0+(0-0))+0-100.4-0</f>
        <v>550.30000000000007</v>
      </c>
      <c r="R347" s="3">
        <f>386.4+(245.4-5.2)+(-1.182384+(-0.750924--0.015912))+0-85.5--0.26163000000001</f>
        <v>539.44423399999994</v>
      </c>
      <c r="S347" s="3">
        <f>385.3+(256.7-3.3)+(-1.179018+(-0.785502--0.010098))+0-115.7--0.354042000000013</f>
        <v>521.39962000000003</v>
      </c>
      <c r="T347" s="3">
        <f>386.4+(258.8-17.4)+(0.788256+(0.527952-0.035496))+0-124.3-0.253571999999995</f>
        <v>504.52713999999992</v>
      </c>
      <c r="U347" s="3">
        <f>386+(258.9-22.5)+(0.19686+(0.132039-0.011475))+0-123.6-0.0630359999999875</f>
        <v>499.0543879999999</v>
      </c>
      <c r="V347" s="3">
        <f>384.5+(250.7-18.4)+(-0.196095+(-0.127857--0.009384))+0-116.7--0.0595169999999882</f>
        <v>499.84494899999993</v>
      </c>
      <c r="W347" s="3">
        <f>384+(266.1-20.4)+(-0.39168+(-0.271422--0.020808))+0-128.7--0.131274000000021</f>
        <v>500.48898000000008</v>
      </c>
      <c r="X347" s="3">
        <f>387.8+(318.9-12.8)+(-0.197778+(-0.162639--0.006528))+0-129.9--0.0662489999999868</f>
        <v>563.71235999999999</v>
      </c>
      <c r="Y347" s="3">
        <f>390.1+(305.2-10.4)+(-0.596853+(-0.466956--0.015912))+0-122.7--0.187731000000007</f>
        <v>561.339834</v>
      </c>
      <c r="Z347" s="3">
        <f>390+(307.5-35.8)+(-0.7956+(-0.6273--0.073032))+0-118.4--0.241535999999995</f>
        <v>542.19166800000005</v>
      </c>
      <c r="AA347" s="3">
        <f>391.7+(304-35)+(0+(0-0))+0-123.9-0</f>
        <v>536.80000000000007</v>
      </c>
      <c r="AB347" s="3">
        <f>388.3+(292.6-2.1)+(-0.990165+(-0.74613--0.005355))+0-125.8--0.320789999999982</f>
        <v>551.58984999999996</v>
      </c>
      <c r="AC347" s="3">
        <f>388.2+(284-29.8)+(0+(0-0))+0-128.5-0</f>
        <v>513.9</v>
      </c>
      <c r="AD347">
        <v>530.29999999999995</v>
      </c>
      <c r="AE347" s="3">
        <f>386+(303.4-15)+(0+(0-0))+0-144.1-0</f>
        <v>530.29999999999995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387.8+(308.2-85.8)+(-0.791112+(-0.628728--0.175032))+0-120.7--0.246227999999995</f>
        <v>488.50142</v>
      </c>
      <c r="G348" s="3">
        <f>385.7+(309.8-92.9)+(0+(0-0))+0-121.1-0</f>
        <v>481.5</v>
      </c>
      <c r="H348" s="3">
        <f>385.8+(318.1-98.5)+(0.196758+(0.162231-0.050235))+0-131.6-0.0671159999999866</f>
        <v>474.04163800000009</v>
      </c>
      <c r="I348" s="3">
        <f>389.6+(301.5-108.7)+(-0.397392+(-0.30753--0.110874))+0-111.1--0.113322000000018</f>
        <v>470.81927400000006</v>
      </c>
      <c r="J348" s="3">
        <f>373+(311.3-92.5)+(-0.95115+(-0.793815--0.235875))+0-122.4--0.312119999999982</f>
        <v>468.20302999999996</v>
      </c>
      <c r="K348" s="3">
        <f>322.2+(311.3-52.9)+(0.328644+(0.317526-0.053958))+0-120.2-0.122604000000019</f>
        <v>460.86960800000003</v>
      </c>
      <c r="L348" s="3">
        <f>318.7+(307.9-66.4)+(0.162537+(0.157029-0.033864))+0-115.5-0.0589049999999883</f>
        <v>444.92679699999997</v>
      </c>
      <c r="M348" s="3">
        <f>319.7+(280.9-51.2)+(0+(0-0))+0-106.6-0</f>
        <v>442.79999999999995</v>
      </c>
      <c r="N348" s="3">
        <f>346.2+(261.9-40.5)+(0.176562+(0.133569-0.020655))+0-113.8-0.0580379999999885</f>
        <v>454.03143799999992</v>
      </c>
      <c r="O348" s="3">
        <f>395.4+(243.4-45.6)+(0.403308+(0.248268-0.046512))+0-120.1-0.122502000000019</f>
        <v>473.582562</v>
      </c>
      <c r="P348" s="3">
        <f>397.9+(249.2-47.4)+(-0.202929+(-0.127092--0.024174))+0-122.8--0.0626279999999875</f>
        <v>476.65678099999991</v>
      </c>
      <c r="Q348" s="3">
        <f>395.7+(250.7-46.6)+(-0.201807+(-0.127857--0.023766))+0-115.6--0.0589559999999883</f>
        <v>483.95305799999994</v>
      </c>
      <c r="R348" s="3">
        <f>394.3+(254.2-50)+(0+(0-0))+0-120-0</f>
        <v>478.5</v>
      </c>
      <c r="S348" s="3">
        <f>393.4+(243.4-40.8)+(0+(0-0))+0-128.3-0</f>
        <v>467.7</v>
      </c>
      <c r="T348" s="3">
        <f>390.4+(242.7-39)+(0+(0-0))+0-131.8-0</f>
        <v>462.2999999999999</v>
      </c>
      <c r="U348" s="3">
        <f>388.7+(221.4-40)+(0+(0-0))+0-110.7-0</f>
        <v>459.40000000000003</v>
      </c>
      <c r="V348" s="3">
        <f>389.6+(237.8-34.6)+(0+(0-0))+0-130.4-0</f>
        <v>462.40000000000009</v>
      </c>
      <c r="W348" s="3">
        <f>391.3+(262.6-51.8)+(0+(0-0))+0-125.5-0</f>
        <v>476.6</v>
      </c>
      <c r="X348" s="3">
        <f>395.8+(313.9-71.2)+(0+(0-0))+0-107.4-0</f>
        <v>531.1</v>
      </c>
      <c r="Y348" s="3">
        <f>397.7+(318.5-55)+(0+(0-0))+0-124.4-0</f>
        <v>536.80000000000007</v>
      </c>
      <c r="Z348" s="3">
        <f>399.3+(328.5-60.5)+(0+(0-0))+0-133.2-0</f>
        <v>534.09999999999991</v>
      </c>
      <c r="AA348" s="3">
        <f>399.6+(296.2-36)+(0+(0-0))+0-137.1-0</f>
        <v>522.69999999999993</v>
      </c>
      <c r="AB348" s="3">
        <f>398.8+(266.1-39.7)+(0+(0-0))+0-112.7-0</f>
        <v>512.5</v>
      </c>
      <c r="AC348" s="3">
        <f>399.3+(250.7-46.6)+(0+(0-0))+0-109.7-0</f>
        <v>493.7</v>
      </c>
      <c r="AD348">
        <v>529.50000000000011</v>
      </c>
      <c r="AE348" s="3">
        <f>396+(333.7-48.3)+(0+(0-0))+0-151.9-0</f>
        <v>529.5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390+(275.8-60.3)+(0+(0-0))+0-131.8-0</f>
        <v>473.7</v>
      </c>
      <c r="G349" s="3">
        <f>268.2+(335.1-19.5)+(0+(0-0))+0-119.3-0</f>
        <v>464.49999999999994</v>
      </c>
      <c r="H349" s="3">
        <f>246.2+(350.3-17.1)+(0+(0-0))+0-126-0</f>
        <v>453.4</v>
      </c>
      <c r="I349" s="3">
        <f>245.2+(348.9-19.8)+(0+(0-0))+0-123.9-0</f>
        <v>450.4</v>
      </c>
      <c r="J349" s="3">
        <f>244.8+(339.8-23.2)+(0+(0-0))+0-118.5-0</f>
        <v>442.90000000000009</v>
      </c>
      <c r="K349" s="3">
        <f>244.7+(347-27.8)+(0+(0-0))+0-112.7-0</f>
        <v>451.2</v>
      </c>
      <c r="L349" s="3">
        <f>244.4+(363.6-22.4)+(0.62322+(0.92718-0.05712))+0-119.3-0.304214999999983</f>
        <v>467.48906500000004</v>
      </c>
      <c r="M349" s="3">
        <f>244.9+(415.1-23.9)+(0.499596+(0.846804-0.048756))+0-125.8-0.256631999999994</f>
        <v>511.34101200000003</v>
      </c>
      <c r="N349" s="3">
        <f>376.4+(327.4-47.9)+(0+(0-0))+0-110.9-0</f>
        <v>545</v>
      </c>
      <c r="O349" s="3">
        <f>400.4+(316-54.7)+(0.204204+(0.16116-0.027897))+0-112-0.0571199999999886</f>
        <v>549.98034700000005</v>
      </c>
      <c r="P349" s="3">
        <f>401.5+(346.9-53.7)+(0.204765+(0.176919-0.027387))+0-138.2-0.070481999999986</f>
        <v>556.78381500000012</v>
      </c>
      <c r="Q349" s="3">
        <f>393.5+(357-55.7)+(-0.602055+(-0.54621--0.085221))+0-136.1--0.208233000000008</f>
        <v>557.845189</v>
      </c>
      <c r="R349" s="3">
        <f>394.8+(334.8-52.8)+(0+(0-0))+0-110-0</f>
        <v>566.79999999999995</v>
      </c>
      <c r="S349" s="3">
        <f>397.5+(320.2-49.8)+(-0.40545+(-0.326604--0.050796))+0-120.6--0.123012000000019</f>
        <v>546.74175400000001</v>
      </c>
      <c r="T349" s="3">
        <f>396.6+(304.3-52.7)+(0+(0-0))+0-113.2-0</f>
        <v>535</v>
      </c>
      <c r="U349" s="3">
        <f>396.3+(288.2-51.2)+(-0.606339+(-0.440946--0.078336))+0-103.8--0.158814000000006</f>
        <v>528.68986500000005</v>
      </c>
      <c r="V349" s="3">
        <f>394.6+(283.5-47.3)+(0.201246+(0.144585-0.024123))+0-103.9-0.0529889999999895</f>
        <v>527.1687189999999</v>
      </c>
      <c r="W349" s="3">
        <f>390.1+(318.8-43.1)+(-0.397902+(-0.325176--0.043962))+0-122.3--0.124746000000019</f>
        <v>542.94563000000005</v>
      </c>
      <c r="X349" s="3">
        <f>409.9+(361.4-48.6)+(0+(0-0))+0-122.4-0</f>
        <v>600.29999999999995</v>
      </c>
      <c r="Y349" s="3">
        <f>413.8+(370.7-48.6)+(-0.633114+(-0.567171--0.074358))+0-137.9--0.210987000000008</f>
        <v>597.08506</v>
      </c>
      <c r="Z349" s="3">
        <f>411.6+(353-48.4)+(-0.629748+(-0.54009--0.074052))+0-122.9--0.188037000000007</f>
        <v>592.3922510000001</v>
      </c>
      <c r="AA349" s="3">
        <f>412.5+(336-46.9)+(-0.210375+(-0.17136--0.023919))+0-129.8--0.0661979999999868</f>
        <v>571.50838199999998</v>
      </c>
      <c r="AB349" s="3">
        <f>411+(324.1-48.2)+(-0.83844+(-0.661164--0.098328))+0-126.1--0.257243999999994</f>
        <v>559.65596800000003</v>
      </c>
      <c r="AC349" s="3">
        <f>411.1+(298.3-50.3)+(-1.048305+(-0.760665--0.128265))+0-126.6--0.322829999999982</f>
        <v>531.14212499999996</v>
      </c>
      <c r="AD349">
        <v>574.60000000000014</v>
      </c>
      <c r="AE349" s="3">
        <f>412+(358.7-49.3)+(0+(0-0))+0-146.8-0</f>
        <v>574.59999999999991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410.7+(294.8-80.9)+(-1.047285+(-0.75174--0.206295))+0-121.4--0.309569999999982</f>
        <v>501.91684000000009</v>
      </c>
      <c r="G350" s="3">
        <f>364.9+(330.9-70.8)+(-0.930495+(-0.843795--0.18054))+0-126.6--0.322829999999982</f>
        <v>497.12907999999999</v>
      </c>
      <c r="H350" s="3">
        <f>263+(374.8-37.4)+(-0.67065+(-0.95574--0.09537))+0-116.4--0.296819999999983</f>
        <v>482.76580000000007</v>
      </c>
      <c r="I350" s="3">
        <f>259.4+(385.7-31.2)+(-0.132294+(-0.196707--0.015912))+0-125.2--0.0638519999999873</f>
        <v>488.45076299999999</v>
      </c>
      <c r="J350" s="3">
        <f>259.5+(406.6-47.8)+(-0.661725+(-1.03683--0.12189))+0-129.1--0.329204999999981</f>
        <v>487.95253999999989</v>
      </c>
      <c r="K350" s="3">
        <f>262.3+(393.2-42.4)+(0.133773+(0.200532-0.021624))+0-120.2-0.0613019999999878</f>
        <v>493.15137900000002</v>
      </c>
      <c r="L350" s="3">
        <f>262.4+(374.2-25.5)+(-0.401472+(-0.572526--0.039015))+0-116.3--0.177939000000007</f>
        <v>494.04295599999989</v>
      </c>
      <c r="M350" s="3">
        <f>384.3+(297.5-43.6)+(-0.391986+(-0.30345--0.044472))+0-125.7--0.12821400000002</f>
        <v>511.97725000000003</v>
      </c>
      <c r="N350" s="3">
        <f>426.5+(291.8-54.9)+(0.217515+(0.148818-0.027999))+0-100.8-0.0514079999999898</f>
        <v>562.88692600000002</v>
      </c>
      <c r="O350" s="3">
        <f>419+(321.3-59.1)+(0.42738+(0.327726-0.060282))+0-113.8-0.116076000000018</f>
        <v>567.97874800000011</v>
      </c>
      <c r="P350" s="3">
        <f>412.2+(333.8-60.4)+(-0.210222+(-0.170238--0.030804))+0-100.4--0.0512039999999898</f>
        <v>584.90154800000005</v>
      </c>
      <c r="Q350" s="3">
        <f>409.9+(347.6-62.6)+(-0.418098+(-0.354552--0.063852))+0-109.2--0.111384000000017</f>
        <v>585.10258599999997</v>
      </c>
      <c r="R350" s="3">
        <f>409.7+(320-56.2)+(-0.208947+(-0.1632--0.028662))+0-106.8--0.0544679999999892</f>
        <v>566.4109830000001</v>
      </c>
      <c r="S350" s="3">
        <f>407.5+(303.4-51.7)+(0.41565+(0.309468-0.052734))+0-105.7-0.107814000000017</f>
        <v>554.06457</v>
      </c>
      <c r="T350" s="3">
        <f>406.8+(296.9-59)+(0.207468+(0.151419-0.03009))+0-103.7-0.0528869999999895</f>
        <v>541.27591000000007</v>
      </c>
      <c r="U350" s="3">
        <f>403.8+(308.7-55.3)+(0.205938+(0.157437-0.028203))+0-120.5-0.0614549999999878</f>
        <v>536.97371700000008</v>
      </c>
      <c r="V350" s="3">
        <f>401.9+(310.1-51.6)+(-0.204969+(-0.158151--0.026316))+0-123.5--0.0629849999999875</f>
        <v>536.62618099999997</v>
      </c>
      <c r="W350" s="3">
        <f>403.3+(317.6-49.8)+(0.617049+(0.485928-0.076194))+0-123.3-0.188649000000007</f>
        <v>548.63813400000004</v>
      </c>
      <c r="X350" s="3">
        <f>408+(367-48.8)+(0+(0-0))+0-128-0</f>
        <v>598.20000000000005</v>
      </c>
      <c r="Y350" s="3">
        <f>409.5+(352.1-52)+(-0.626535+(-0.538713--0.07956))+0-106--0.162180000000006</f>
        <v>602.67649200000005</v>
      </c>
      <c r="Z350" s="3">
        <f>408.6+(334.4-52.1)+(-0.416772+(-0.341088--0.053142))+0-95.7--0.0976140000000153</f>
        <v>594.592896</v>
      </c>
      <c r="AA350" s="3">
        <f>417.6+(324.4-51.7)+(-1.06488+(-0.82722--0.131835))+0-111.5--0.284324999999984</f>
        <v>577.32405999999992</v>
      </c>
      <c r="AB350" s="3">
        <f>411.6+(314.1-52.6)+(-0.629748+(-0.480573--0.080478))+0-116.9--0.178857000000007</f>
        <v>555.34901400000001</v>
      </c>
      <c r="AC350" s="3">
        <f>409.5+(290-48.5)+(-0.83538+(-0.5916--0.09894))+0-121.2--0.247247999999995</f>
        <v>528.71920799999998</v>
      </c>
      <c r="AD350">
        <v>594.20000000000005</v>
      </c>
      <c r="AE350" s="3">
        <f>410+(360.7-49.9)+(0+(0-0))+0-126.6-0</f>
        <v>594.19999999999993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386.5+(321.7-73.1)+(0.197115+(0.164067-0.037281))+0-130.5-0.0665549999999868</f>
        <v>504.85734600000001</v>
      </c>
      <c r="G351" s="3">
        <f>385.4+(317.6-104.5)+(-0.393108+(-0.323952--0.10659))+0-107.4--0.109548000000017</f>
        <v>490.59907800000008</v>
      </c>
      <c r="H351" s="3">
        <f>419.2+(302.7-138.7)+(-0.213792+(-0.154377--0.070737))+0-94.8--0.0483479999999904</f>
        <v>488.15091600000005</v>
      </c>
      <c r="I351" s="3">
        <f>420.7+(305.7-131.6)+(0.214557+(0.155907-0.067116))+0-114-0.0581399999999884</f>
        <v>481.045208</v>
      </c>
      <c r="J351" s="3">
        <f>419.8+(314.8-145.9)+(-0.428196+(-0.321096--0.148818))+0-111.1--0.113322000000018</f>
        <v>477.1128480000001</v>
      </c>
      <c r="K351" s="3">
        <f>418.7+(282.8-112.6)+(0+(0-0))+0-111.9-0</f>
        <v>477</v>
      </c>
      <c r="L351" s="3">
        <f>383+(294.3-97.4)+(-0.39066+(-0.300186--0.099348))+0-95.5--0.0974100000000152</f>
        <v>483.905912</v>
      </c>
      <c r="M351" s="3">
        <f>322.1+(317.7-27.9)+(0.164271+(0.162027-0.014229))+0-99.5-0.0507449999999899</f>
        <v>512.66132400000004</v>
      </c>
      <c r="N351" s="3">
        <f>345.8+(282.5-6.4)+(0.352716+(0.28815-0.006528))+0-91.4-0.0932280000000146</f>
        <v>531.04111</v>
      </c>
      <c r="O351" s="3">
        <f>405.9+(253.2-23.9)+(0.207009+(0.129132-0.012189))+0-93.3-0.0475829999999905</f>
        <v>542.17636899999991</v>
      </c>
      <c r="P351" s="3">
        <f>403.9+(307.3-49.2)+(-0.617967+(-0.470169--0.075276))+0-109.7--0.167841000000006</f>
        <v>551.45498099999986</v>
      </c>
      <c r="Q351" s="3">
        <f>400.4+(311.7-46.6)+(-0.816816+(-0.635868--0.095064))+0-108.3--0.220931999999995</f>
        <v>556.063312</v>
      </c>
      <c r="R351" s="3">
        <f>390+(322-50.4)+(-0.5967+(-0.49266--0.077112))+0-108--0.165240000000006</f>
        <v>552.75299200000006</v>
      </c>
      <c r="S351" s="3">
        <f>386.7+(267.9-8.4)+(-0.986085+(-0.683145--0.02142))+0-106.9--0.272594999999984</f>
        <v>537.92478500000004</v>
      </c>
      <c r="T351" s="3">
        <f>358+(261.8-5.7)+(0.18258+(0.133518-0.002907))+0-87.5-0.0446249999999911</f>
        <v>526.86856599999999</v>
      </c>
      <c r="U351" s="3">
        <f>378.7+(260.8-5.6)+(-0.772548+(-0.532032--0.011424))+0-108.1--0.220523999999995</f>
        <v>524.72736799999996</v>
      </c>
      <c r="V351" s="3">
        <f>381.2+(244.6-3.5)+(0+(0-0))+0-101.4-0</f>
        <v>520.9</v>
      </c>
      <c r="W351" s="3">
        <f>382.9+(273.3-22.6)+(0.195279+(0.139383-0.011526))+0-105.3-0.0537029999999893</f>
        <v>528.569433</v>
      </c>
      <c r="X351" s="3">
        <f>401.6+(289.7-11.1)+(0.409632+(0.295494-0.011322))+0-106.3-0.108426000000017</f>
        <v>574.48537800000008</v>
      </c>
      <c r="Y351" s="3">
        <f>402.5+(294.8-13.4)+(0+(0-0))+0-108.6-0</f>
        <v>575.30000000000007</v>
      </c>
      <c r="Z351" s="3">
        <f>405.1+(279.7-9.7)+(0.206601+(0.142647-0.004947))+0-109.9-0.0560489999999889</f>
        <v>565.48825199999999</v>
      </c>
      <c r="AA351" s="3">
        <f>405.9+(278.7-3.3)+(-0.414018+(-0.284274--0.003366))+0-118.2--0.120564000000019</f>
        <v>562.52563799999996</v>
      </c>
      <c r="AB351" s="3">
        <f>406.3+(246.6-2.9)+(-0.207213+(-0.125766--0.001479))+0-106.4--0.0542639999999892</f>
        <v>543.32276400000001</v>
      </c>
      <c r="AC351" s="3">
        <f>405.5+(230.3-13.6)+(-0.82722+(-0.469812--0.027744))+0-106.8--0.217871999999995</f>
        <v>514.34858400000007</v>
      </c>
      <c r="AD351">
        <v>576.5</v>
      </c>
      <c r="AE351" s="3">
        <f>401+(304.4-9.9)+(0+(0-0))+0-119-0</f>
        <v>576.5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405.8+(269.6-76.6)+(-0.206958+(-0.137496--0.039066))+0-106.3--0.0542129999999892</f>
        <v>492.24882500000007</v>
      </c>
      <c r="G352" s="3">
        <f>405.3+(300.2-110)+(0+(0-0))+0-115.3-0</f>
        <v>480.2</v>
      </c>
      <c r="H352" s="3">
        <f>404.9+(337.7-160.7)+(-0.206499+(-0.172227--0.081957))+0-100.2--0.0511019999999898</f>
        <v>481.45433299999996</v>
      </c>
      <c r="I352" s="3">
        <f>354.1+(366.5-129.6)+(0+(0-0))+0-114.9-0</f>
        <v>476.1</v>
      </c>
      <c r="J352" s="3">
        <f>317.2+(384.1-106.7)+(0.323544+(0.391782-0.108834))+0-125-0.12750000000002</f>
        <v>470.07899200000003</v>
      </c>
      <c r="K352" s="3">
        <f>316.4+(374.6-100.7)+(-0.161364+(-0.191046--0.051357))+0-124.4--0.0634439999999874</f>
        <v>465.66239099999996</v>
      </c>
      <c r="L352" s="3">
        <f>316.9+(351.3-57.8)+(-0.161619+(-0.179163--0.029478))+0-133.4--0.0680339999999865</f>
        <v>476.75673000000006</v>
      </c>
      <c r="M352" s="3">
        <f>317.5+(362.6-42.2)+(0.32385+(0.369852-0.043044))+0-125-0.12750000000002</f>
        <v>513.42315800000006</v>
      </c>
      <c r="N352" s="3">
        <f>346.8+(335.4-20.7)+(0.353736+(0.342108-0.021114))+0-124.1-0.12658200000002</f>
        <v>537.94814799999995</v>
      </c>
      <c r="O352" s="3">
        <f>377.8+(316.3-10.1)+(0.385356+(0.322626-0.010302))+0-140.1-0.142902000000022</f>
        <v>544.45477799999992</v>
      </c>
      <c r="P352" s="3">
        <f>378.2+(314.9-9.9)+(0.578646+(0.481797-0.015147))+0-129.2-0.197676000000007</f>
        <v>554.84762000000001</v>
      </c>
      <c r="Q352" s="3">
        <f>377.1+(308.3-11.2)+(-0.576963+(-0.471699--0.017136))+0-113.7--0.173961000000007</f>
        <v>559.64243499999998</v>
      </c>
      <c r="R352" s="3">
        <f>376.7+(328.1-1.7)+(-0.768468+(-0.669324--0.003468))+0-131.1--0.267443999999994</f>
        <v>570.83312000000001</v>
      </c>
      <c r="S352" s="3">
        <f>377.2+(304.3-2.9)+(-0.96186+(-0.775965--0.007395))+0-116.9--0.298094999999983</f>
        <v>560.26766500000008</v>
      </c>
      <c r="T352" s="3">
        <f>379.5+(293.8-0)+(0.580635+(0.449514-0))+0-130.9-0.200277000000008</f>
        <v>543.229872</v>
      </c>
      <c r="U352" s="3">
        <f>380.7+(275.9-0)+(0.582471+(0.422127-0))+0-116.7-0.178551000000007</f>
        <v>540.72604699999988</v>
      </c>
      <c r="V352" s="3">
        <f>380.3+(270.7-0)+(-0.193953+(-0.138057-0))+0-112.5--0.0573749999999886</f>
        <v>538.22536500000001</v>
      </c>
      <c r="W352" s="3">
        <f>380.4+(293.5-0)+(-0.194004+(-0.149685-0))+0-123.5--0.0629849999999875</f>
        <v>550.11929599999996</v>
      </c>
      <c r="X352" s="3">
        <f>400.9+(332.3-2.5)+(0+(0-0))+0-125.3-0</f>
        <v>605.40000000000009</v>
      </c>
      <c r="Y352" s="3">
        <f>403.6+(342.3-2.6)+(-0.617508+(-0.523719--0.003978))+0-134.7--0.206091000000008</f>
        <v>607.66884200000004</v>
      </c>
      <c r="Z352" s="3">
        <f>405+(335.1-5.4)+(-0.4131+(-0.341802--0.005508))+0-128.7--0.131274000000021</f>
        <v>605.38188000000014</v>
      </c>
      <c r="AA352" s="3">
        <f>406.4+(309.2-5.3)+(-0.414528+(-0.315384--0.005406))+0-127.4--0.12994800000002</f>
        <v>582.30544199999997</v>
      </c>
      <c r="AB352" s="3">
        <f>405.7+(297.6-1)+(-0.827628+(-0.607104--0.00204))+0-132.5--0.270299999999994</f>
        <v>568.637608</v>
      </c>
      <c r="AC352" s="3">
        <f>405.7+(265.4-0)+(-0.620721+(-0.406062-0))+0-126.1--0.192933000000007</f>
        <v>544.1661499999999</v>
      </c>
      <c r="AD352">
        <v>615.70000000000005</v>
      </c>
      <c r="AE352" s="3">
        <f>404+(365.9-0)+(0+(0-0))+0-154.2-0</f>
        <v>615.70000000000005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404.1+(255.7-32.5)+(-1.442637+(-0.912849--0.116025))+0-102.1--0.364497000000001</f>
        <v>523.32503599999995</v>
      </c>
      <c r="G353" s="3">
        <f>373.7+(297.7-36.2)+(-0.381174+(-0.303654--0.036924))+0-122.1--0.124542000000019</f>
        <v>512.576638</v>
      </c>
      <c r="H353" s="3">
        <f>261.3+(391-29.8)+(-0.533052+(-0.79764--0.060792))+0-116.4--0.237455999999995</f>
        <v>505.06755600000002</v>
      </c>
      <c r="I353" s="3">
        <f>256.6+(405.5-39.6)+(0.130866+(0.206805-0.020196))+0-125.8-0.0641579999999872</f>
        <v>496.95331699999997</v>
      </c>
      <c r="J353" s="3">
        <f>257+(411.3-38.4)+(0+(0-0))+0-126.8-0</f>
        <v>503.10000000000008</v>
      </c>
      <c r="K353" s="3">
        <f>257.3+(404.9-37.9)+(-0.262446+(-0.412998--0.038658))+0-127.1--0.12964200000002</f>
        <v>496.69285599999995</v>
      </c>
      <c r="L353" s="3">
        <f>257.9+(377.2-0)+(0.131529+(0.192372-0))+0-123.1-0.0627809999999875</f>
        <v>512.26111999999989</v>
      </c>
      <c r="M353" s="3">
        <f>282.6+(381.8-0)+(0.288252+(0.389436-0))+0-120.4-0.122808000000019</f>
        <v>544.55488000000014</v>
      </c>
      <c r="N353" s="3">
        <f>409.5+(256.7-0)+(0.41769+(0.261834-0))+0-113-0.115260000000018</f>
        <v>553.76426400000003</v>
      </c>
      <c r="O353" s="3">
        <f>407.2+(248.6-6.6)+(0+(0-0))+0-87.3-0</f>
        <v>561.90000000000009</v>
      </c>
      <c r="P353" s="3">
        <f>401.9+(258.4-9.8)+(-0.409938+(-0.263568--0.009996))+0-68--0.0693600000000108</f>
        <v>581.90584999999999</v>
      </c>
      <c r="Q353" s="3">
        <f>392+(279.7-3.4)+(-0.9996+(-0.713235--0.00867))+0-75--0.191249999999989</f>
        <v>591.78708499999993</v>
      </c>
      <c r="R353" s="3">
        <f>390.8+(277.6-4.4)+(-0.597924+(-0.424728--0.006732))+0-69.6--0.106488000000004</f>
        <v>593.49056799999994</v>
      </c>
      <c r="S353" s="3">
        <f>389.9+(328.4-62)+(-0.795396+(-0.669936--0.12648))+0-79.3--0.161771999999997</f>
        <v>575.82292000000007</v>
      </c>
      <c r="T353" s="3">
        <f>390.3+(285.5-30.8)+(-0.199053+(-0.145605--0.015708))+0-93.1--0.0474809999999906</f>
        <v>551.61853099999996</v>
      </c>
      <c r="U353" s="3">
        <f>391.1+(305.5-18.5)+(0+(0-0))+0-119.6-0</f>
        <v>558.5</v>
      </c>
      <c r="V353" s="3">
        <f>391.1+(318.8-37.9)+(0.598383+(0.487764-0.057987))+0-112.5-0.172125000000006</f>
        <v>560.35603499999991</v>
      </c>
      <c r="W353" s="3">
        <f>391.5+(321.8-20.4)+(-0.598995+(-0.492354--0.031212))+0-126--0.192780000000007</f>
        <v>566.03264300000001</v>
      </c>
      <c r="X353" s="3">
        <f>395.4+(370.4-25.9)+(0.403308+(0.377808-0.026418))+0-129.1-0.131682000000021</f>
        <v>611.42301599999985</v>
      </c>
      <c r="Y353" s="3">
        <f>401.9+(363.7-35.6)+(-0.614907+(-0.556461--0.054468))+0-124.5--0.190485000000007</f>
        <v>604.57358499999998</v>
      </c>
      <c r="Z353" s="3">
        <f>403.3+(342.4-23.6)+(-0.822732+(-0.698496--0.048144))+0-120.2--0.245207999999995</f>
        <v>600.67212399999994</v>
      </c>
      <c r="AA353" s="3">
        <f>405.3+(315.9-6.8)+(-0.620109+(-0.483327--0.010404))+0-129.7--0.198441000000007</f>
        <v>583.80540900000005</v>
      </c>
      <c r="AB353" s="3">
        <f>402.6+(304.1-0)+(-1.02663+(-0.775455-0))+0-136.5--0.34807499999998</f>
        <v>568.74599000000001</v>
      </c>
      <c r="AC353" s="3">
        <f>405+(297.5-17.6)+(-0.20655+(-0.151725--0.008976))+0-130.2--0.0664019999999868</f>
        <v>554.41710300000011</v>
      </c>
      <c r="AD353">
        <v>605.1</v>
      </c>
      <c r="AE353" s="3">
        <f>400+(379.7-28.5)+(0+(0-0))+0-146.1-0</f>
        <v>605.1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404.2+(279.2-49.6)+(-1.03071+(-0.71196--0.12648))+0-110.7--0.282284999999984</f>
        <v>521.76609499999995</v>
      </c>
      <c r="G354" s="3">
        <f>404+(291.4-64.5)+(-1.0302+(-0.74307--0.164475))+0-122.5--0.312374999999982</f>
        <v>507.10357999999997</v>
      </c>
      <c r="H354" s="3">
        <f>408.8+(275.7-64.9)+(-0.625464+(-0.421821--0.099297))+0-116--0.177480000000007</f>
        <v>502.82949200000002</v>
      </c>
      <c r="I354" s="3">
        <f>411.5+(313.9-92.8)+(0.629595+(0.480267-0.141984))+0-125.7-0.192321000000007</f>
        <v>507.67555699999997</v>
      </c>
      <c r="J354" s="3">
        <f>411.8+(321.9-98.9)+(0.840072+(0.656676-0.201756))+0-132.7-0.270707999999994</f>
        <v>503.12428399999993</v>
      </c>
      <c r="K354" s="3">
        <f>411.4+(301.3-80.1)+(1.04907+(0.768315-0.204255))+0-130.8-0.333539999999981</f>
        <v>503.07959</v>
      </c>
      <c r="L354" s="3">
        <f>409.2+(303.9-92.7)+(-0.417384+(-0.309978--0.094554))+0-118.5--0.120870000000019</f>
        <v>501.38806200000005</v>
      </c>
      <c r="M354" s="3">
        <f>412.2+(278.8-30.7)+(0.420444+(0.284376-0.031314))+0-130.4-0.133008000000021</f>
        <v>530.44049799999993</v>
      </c>
      <c r="N354" s="3">
        <f>391.3+(294.3-0)+(0.199563+(0.150093-0))+0-134.1-0.0683909999999864</f>
        <v>551.78126499999996</v>
      </c>
      <c r="O354" s="3">
        <f>411.4+(259.7-0)+(0.419628+(0.264894-0))+0-125-0.12750000000002</f>
        <v>546.65702199999987</v>
      </c>
      <c r="P354" s="3">
        <f>408.9+(272.6-0)+(-0.417078+(-0.278052-0))+0-113.1--0.115362000000018</f>
        <v>567.82023200000003</v>
      </c>
      <c r="Q354" s="3">
        <f>399.8+(303.7-0)+(-0.611694+(-0.464661-0))+0-128.6--0.196758000000007</f>
        <v>574.02040299999999</v>
      </c>
      <c r="R354" s="3">
        <f>398.7+(299.6-9.8)+(-0.813348+(-0.611184--0.019992))+0-118--0.240719999999995</f>
        <v>569.33618000000001</v>
      </c>
      <c r="S354" s="3">
        <f>398.6+(292.7-12.8)+(0.406572+(0.298554-0.013056))+0-123.8-0.12627600000002</f>
        <v>555.26579399999991</v>
      </c>
      <c r="T354" s="3">
        <f>398.7+(276.1-17.3)+(0.406674+(0.281622-0.017646))+0-124.6-0.12709200000002</f>
        <v>533.44355799999994</v>
      </c>
      <c r="U354" s="3">
        <f>397.5+(273.2-13)+(-0.40545+(-0.278664--0.01326))+0-128.9--0.131478000000021</f>
        <v>528.26062400000012</v>
      </c>
      <c r="V354" s="3">
        <f>397.5+(297.3-39.9)+(-0.608175+(-0.454869--0.061047))+0-127.7--0.195381000000007</f>
        <v>526.39338400000008</v>
      </c>
      <c r="W354" s="3">
        <f>397.5+(282.8-37.3)+(-1.013625+(-0.72114--0.095115))+0-121.5--0.309824999999982</f>
        <v>520.17017499999997</v>
      </c>
      <c r="X354" s="3">
        <f>399.8+(335-35.7)+(0.203898+(0.17085-0.018207))+0-112.2-0.0572219999999886</f>
        <v>587.19931899999995</v>
      </c>
      <c r="Y354" s="3">
        <f>404.4+(320.7-1.8)+(-1.237464+(-0.981342--0.005508))+0-138.4--0.423504000000016</f>
        <v>583.11020599999995</v>
      </c>
      <c r="Z354" s="3">
        <f>413+(273.1-0)+(0+(0-0))+0-113.5-0</f>
        <v>572.6</v>
      </c>
      <c r="AA354" s="3">
        <f>414+(258.7-0)+(-0.63342+(-0.395811-0))+0-104.4--0.159732000000006</f>
        <v>567.43050100000005</v>
      </c>
      <c r="AB354" s="3">
        <f>413.4+(270.5-0)+(-0.843336+(-0.55182-0))+0-133.7--0.272747999999994</f>
        <v>549.07759199999998</v>
      </c>
      <c r="AC354" s="3">
        <f>414.9+(226.6-0)+(-0.211599+(-0.115566-0))+0-109.4--0.0557939999999889</f>
        <v>531.82862899999998</v>
      </c>
      <c r="AD354">
        <v>599</v>
      </c>
      <c r="AE354" s="3">
        <f>400+(330-15.5)+(0+(0-0))+0-115.5-0</f>
        <v>599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416.8+(222.2-4.6)+(-0.637704+(-0.339966--0.007038))+0-125.9--0.192627000000007</f>
        <v>507.72199499999999</v>
      </c>
      <c r="G355" s="3">
        <f>416.2+(250.8-40.2)+(-0.849048+(-0.511632--0.082008))+0-128.2--0.261527999999994</f>
        <v>497.58285599999994</v>
      </c>
      <c r="H355" s="3">
        <f>414.9+(229.6-35)+(-0.211599+(-0.117096--0.01785))+0-122.1--0.0622709999999876</f>
        <v>487.15142600000001</v>
      </c>
      <c r="I355" s="3">
        <f>417.1+(230.5-44.2)+(-0.638163+(-0.352665--0.067626))+0-119.3--0.182529000000007</f>
        <v>483.35932700000012</v>
      </c>
      <c r="J355" s="3">
        <f>421.3+(227.3-48.6)+(0.214863+(0.115923-0.024786))+0-113.8-0.0580379999999885</f>
        <v>486.44796200000002</v>
      </c>
      <c r="K355" s="3">
        <f>420.8+(209.4-25.8)+(0+(0-0))+0-125.6-0</f>
        <v>478.79999999999995</v>
      </c>
      <c r="L355" s="3">
        <f>422.4+(174.6-24.2)+(-0.861696+(-0.356184--0.049368))+0-107.3--0.218891999999995</f>
        <v>464.55037999999996</v>
      </c>
      <c r="M355" s="3">
        <f>421.3+(193.9-29.7)+(0.214863+(0.098889-0.015147))+0-114.4-0.0583439999999884</f>
        <v>471.340261</v>
      </c>
      <c r="N355" s="3">
        <f>418+(210.8-43.3)+(0.42636+(0.215016-0.044166))+0-108.9-0.111078000000017</f>
        <v>477.08613200000002</v>
      </c>
      <c r="O355" s="3">
        <f>414.6+(230.9-62.1)+(-0.211446+(-0.117759--0.031671))+0-109.9--0.0560489999999889</f>
        <v>473.25851500000005</v>
      </c>
      <c r="P355" s="3">
        <f>410.9+(244.6-46.9)+(0.209559+(0.124746-0.023919))+0-116-0.0591599999999882</f>
        <v>492.85122599999994</v>
      </c>
      <c r="Q355" s="3">
        <f>408.9+(214.3-23.7)+(-0.625617+(-0.327879--0.036261))+0-111.2--0.170136000000006</f>
        <v>487.55290100000002</v>
      </c>
      <c r="R355" s="3">
        <f>405.9+(197.5-10)+(-1.242054+(-0.60435--0.0306))+0-105.3--0.322218000000012</f>
        <v>486.60641400000003</v>
      </c>
      <c r="S355" s="3">
        <f>403+(207-3.3)+(-0.20553+(-0.10557--0.001683))+0-125.4--0.0639539999999873</f>
        <v>481.05453699999998</v>
      </c>
      <c r="T355" s="3">
        <f>399.5+(202.2-6.1)+(0+(0-0))+0-126.1-0</f>
        <v>469.5</v>
      </c>
      <c r="U355" s="3">
        <f>398.5+(180.1-3.1)+(-0.203235+(-0.091851--0.001581))+0-118--0.060179999999988</f>
        <v>457.26667500000002</v>
      </c>
      <c r="V355" s="3">
        <f>401.5+(197-0)+(-0.40953+(-0.20094-0))+0-128--0.13056000000002</f>
        <v>470.02009000000004</v>
      </c>
      <c r="W355" s="3">
        <f>403.5+(219.2-0)+(-0.82314+(-0.447168-0))+0-133.1--0.271523999999994</f>
        <v>488.60121600000002</v>
      </c>
      <c r="X355" s="3">
        <f>404.7+(284.1-0)+(0.206397+(0.144891-0))+0-137.8-0.070277999999986</f>
        <v>551.28100999999981</v>
      </c>
      <c r="Y355" s="3">
        <f>406.6+(283.2-0)+(-0.622098+(-0.433296-0))+0-130--0.198900000000008</f>
        <v>558.94350599999996</v>
      </c>
      <c r="Z355" s="3">
        <f>409+(282.9-0)+(0.41718+(0.288558-0))+0-133.1-0.135762000000021</f>
        <v>559.36997599999995</v>
      </c>
      <c r="AA355" s="3">
        <f>408.5+(278.9-0)+(-0.83334+(-0.568956-0))+0-136.7--0.278867999999994</f>
        <v>549.57657200000006</v>
      </c>
      <c r="AB355" s="3">
        <f>409.3+(266.6-0)+(-0.208743+(-0.135966-0))+0-139.1--0.0709409999999859</f>
        <v>536.52623200000005</v>
      </c>
      <c r="AC355" s="3">
        <f>409.9+(236.8-12.5)+(-0.627147+(-0.362304--0.019125))+0-121.5--0.185895000000007</f>
        <v>511.91556900000006</v>
      </c>
      <c r="AD355">
        <v>564.79999999999995</v>
      </c>
      <c r="AE355" s="3">
        <f>405+(313.6-0)+(0+(0-0))+0-153.8-0</f>
        <v>564.79999999999995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410.6+(235-32.3)+(-0.418812+(-0.2397--0.032946))+0-117.5--0.119850000000019</f>
        <v>495.29428399999995</v>
      </c>
      <c r="G356" s="3">
        <f>409.6+(222.5-26.9)+(-0.417792+(-0.22695--0.027438))+0-125.3--0.12780600000002</f>
        <v>479.41050200000006</v>
      </c>
      <c r="H356" s="3">
        <f>411.9+(218.6-30)+(0.420138+(0.222972-0.0306))+0-126.7-0.12923400000002</f>
        <v>474.28327600000006</v>
      </c>
      <c r="I356" s="3">
        <f>413.5+(227.1-32.3)+(-0.632655+(-0.347463--0.049419))+0-132.2--0.202266000000008</f>
        <v>475.37156699999997</v>
      </c>
      <c r="J356" s="3">
        <f>413.1+(221.5-36.5)+(-0.421362+(-0.22593--0.03723))+0-116.5--0.118830000000019</f>
        <v>481.10876800000005</v>
      </c>
      <c r="K356" s="3">
        <f>413.3+(208.4-18.2)+(0+(0-0))+0-123-0</f>
        <v>480.5</v>
      </c>
      <c r="L356" s="3">
        <f>413.7+(224-19.6)+(0+(0-0))+0-122.6-0</f>
        <v>495.5</v>
      </c>
      <c r="M356" s="3">
        <f>413.6+(250.9-11.4)+(0.421872+(0.255918-0.011628))+0-122.4-0.12484800000002</f>
        <v>531.24131399999999</v>
      </c>
      <c r="N356" s="3">
        <f>412.6+(265.8-0)+(0+(0-0))+0-122.1-0</f>
        <v>556.30000000000007</v>
      </c>
      <c r="O356" s="3">
        <f>412.4+(283.7-2.1)+(0.210324+(0.144687-0.001071))+0-131.2-0.0669119999999867</f>
        <v>563.08702799999992</v>
      </c>
      <c r="P356" s="3">
        <f>411.5+(293.2-4.4)+(0+(0-0))+0-115.8-0</f>
        <v>584.5</v>
      </c>
      <c r="Q356" s="3">
        <f>410.3+(310-1.2)+(0+(0-0))+0-124.1-0</f>
        <v>595</v>
      </c>
      <c r="R356" s="3">
        <f>407.4+(300.7-3.5)+(-1.03887+(-0.766785--0.008925))+0-112.3--0.286364999999984</f>
        <v>590.78963499999986</v>
      </c>
      <c r="S356" s="3">
        <f>403.8+(302.7-4.9)+(-0.205938+(-0.154377--0.002499))+0-124.8--0.0636479999999873</f>
        <v>576.50583200000005</v>
      </c>
      <c r="T356" s="3">
        <f>402.2+(298-10.3)+(0+(0-0))+0-126.5-0</f>
        <v>563.4</v>
      </c>
      <c r="U356" s="3">
        <f>404.9+(286.7-13.3)+(-0.206499+(-0.146217--0.006783))+0-116.4--0.0593639999999882</f>
        <v>561.61343099999999</v>
      </c>
      <c r="V356" s="3">
        <f>407.6+(292.5-13.9)+(-0.415752+(-0.29835--0.014178))+0-123.4--0.12586800000002</f>
        <v>562.22594400000003</v>
      </c>
      <c r="W356" s="3">
        <f>408.7+(299.2-11.2)+(-0.625311+(-0.457776--0.017136))+0-128.6--0.196758000000007</f>
        <v>567.23080700000003</v>
      </c>
      <c r="X356" s="3">
        <f>410.8+(334.5-1.2)+(0+(0-0))+0-128.2-0</f>
        <v>615.90000000000009</v>
      </c>
      <c r="Y356" s="3">
        <f>411.8+(326.8-5.7)+(-0.630054+(-0.500004--0.008721))+0-124.7--0.190791000000007</f>
        <v>607.269454</v>
      </c>
      <c r="Z356" s="3">
        <f>412.1+(329.3-11.6)+(-1.050855+(-0.839715--0.02958))+0-129.4--0.329969999999981</f>
        <v>598.86897999999997</v>
      </c>
      <c r="AA356" s="3">
        <f>412.7+(324-12.3)+(-0.841908+(-0.66096--0.025092))+0-130.9--0.267035999999994</f>
        <v>592.28926000000001</v>
      </c>
      <c r="AB356" s="3">
        <f>414.2+(351.3-58.7)+(-0.211242+(-0.179163--0.029937))+0-128.2--0.065381999999987</f>
        <v>578.30491400000005</v>
      </c>
      <c r="AC356" s="3">
        <f>413.8+(335.3-61.3)+(-0.844152+(-0.684012--0.125052))+0-136--0.277439999999994</f>
        <v>550.67432799999995</v>
      </c>
      <c r="AD356">
        <v>616.20000000000005</v>
      </c>
      <c r="AE356" s="3">
        <f>411+(354.2-0)+(0+(0-0))+0-149-0</f>
        <v>616.20000000000005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414.5+(339.3-90.5)+(-0.42279+(-0.346086--0.09231))+0-127.1--0.12964200000002</f>
        <v>535.65307599999994</v>
      </c>
      <c r="G357" s="3">
        <f>414.7+(307.7-91.8)+(-0.422994+(-0.313854--0.093636))+0-118.4--0.120768000000019</f>
        <v>511.67755599999998</v>
      </c>
      <c r="H357" s="3">
        <f>367.7+(332.3-73.2)+(-0.750108+(-0.677892--0.149328))+0-117.5--0.239699999999995</f>
        <v>508.2610279999999</v>
      </c>
      <c r="I357" s="3">
        <f>356.2+(329.6-68.4)+(0+(0-0))+0-111.1-0</f>
        <v>506.30000000000007</v>
      </c>
      <c r="J357" s="3">
        <f>356.5+(330.9-50.1)+(-0.36363+(-0.337518--0.051102))+0-129.4--0.131988000000021</f>
        <v>507.38194200000004</v>
      </c>
      <c r="K357" s="3">
        <f>356.9+(308.5-49.8)+(0.182019+(0.157335-0.025398))+0-115.1-0.0587009999999883</f>
        <v>500.75525499999986</v>
      </c>
      <c r="L357" s="3">
        <f>356.6+(302-27.8)+(-0.181866+(-0.15402--0.014178))+0-123.7--0.0630869999999875</f>
        <v>506.84137900000002</v>
      </c>
      <c r="M357" s="3">
        <f>357.9+(310.2-0)+(0+(0-0))+0-121.3-0</f>
        <v>546.79999999999995</v>
      </c>
      <c r="N357" s="3">
        <f>409.8+(286-10.4)+(0.208998+(0.14586-0.005304))+0-116.3-0.0593129999999882</f>
        <v>569.39024100000017</v>
      </c>
      <c r="O357" s="3">
        <f>409.9+(292-10.5)+(-0.209049+(-0.14892--0.005355))+0-118.5--0.060434999999988</f>
        <v>572.60782099999994</v>
      </c>
      <c r="P357" s="3">
        <f>410.6+(305-18.9)+(-0.209406+(-0.15555--0.009639))+0-113.3--0.0577829999999885</f>
        <v>583.10246600000005</v>
      </c>
      <c r="Q357" s="3">
        <f>412.4+(322.8-10.4)+(0.210324+(0.164628-0.005304))+0-132.7-0.0676769999999865</f>
        <v>592.401971</v>
      </c>
      <c r="R357" s="3">
        <f>410+(317.9-8)+(-1.0455+(-0.810645--0.0204))+0-128.6--0.327929999999981</f>
        <v>589.79218500000002</v>
      </c>
      <c r="S357" s="3">
        <f>409.4+(286.6-6)+(-0.835176+(-0.584664--0.01224))+0-119.2--0.243167999999995</f>
        <v>569.63556799999992</v>
      </c>
      <c r="T357" s="3">
        <f>410.7+(278-2.9)+(0.209457+(0.14178-0.001479))+0-122.1-0.0622709999999876</f>
        <v>563.98748699999987</v>
      </c>
      <c r="U357" s="3">
        <f>411.8+(285.4-2.4)+(-0.420036+(-0.291108--0.002448))+0-127--0.12954000000002</f>
        <v>567.22084399999994</v>
      </c>
      <c r="V357" s="3">
        <f>411.7+(272.8-1.6)+(-1.049835+(-0.69564--0.00408))+0-112.8--0.287639999999984</f>
        <v>568.64624500000002</v>
      </c>
      <c r="W357" s="3">
        <f>413.4+(293.6-0)+(-0.843336+(-0.598944-0))+0-131.5--0.268259999999994</f>
        <v>574.32597999999996</v>
      </c>
      <c r="X357" s="3">
        <f>415.6+(334.7-0)+(-0.211956+(-0.170697-0))+0-123.3--0.0628829999999875</f>
        <v>626.68022999999994</v>
      </c>
      <c r="Y357" s="3">
        <f>416.7+(336.7-0)+(-0.637551+(-0.515151-0))+0-128.3--0.196299000000007</f>
        <v>624.143597</v>
      </c>
      <c r="Z357" s="3">
        <f>420.5+(344.1-6.6)+(-0.643365+(-0.526473--0.010098))+0-140.4--0.214812000000008</f>
        <v>616.65507200000002</v>
      </c>
      <c r="AA357" s="3">
        <f>426.3+(348.3-41.3)+(-0.434826+(-0.355266--0.042126))+0-124.2--0.12668400000002</f>
        <v>608.47871799999996</v>
      </c>
      <c r="AB357" s="3">
        <f>427.7+(326-38.2)+(-0.654381+(-0.49878--0.058446))+0-132.1--0.202113000000008</f>
        <v>582.50739800000008</v>
      </c>
      <c r="AC357" s="3">
        <f>425.8+(324.1-56.8)+(-0.217158+(-0.165291--0.028968))+0-127.9--0.065228999999987</f>
        <v>564.91174799999999</v>
      </c>
      <c r="AD357">
        <v>644.30000000000007</v>
      </c>
      <c r="AE357" s="3">
        <f>413+(355.6-0)+(0+(0-0))+0-124.3-0</f>
        <v>644.30000000000007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413.8+(324.3-93.8)+(-0.633114+(-0.496179--0.143514))+0-125.9--0.192627000000007</f>
        <v>517.60684800000001</v>
      </c>
      <c r="G358" s="3">
        <f>383.8+(318.1-66.8)+(-0.391476+(-0.324462--0.068136))+0-136.9--0.139638000000022</f>
        <v>497.69183600000014</v>
      </c>
      <c r="H358" s="3">
        <f>382.8+(328.6-99)+(-0.585684+(-0.502758--0.15147))+0-116.7--0.178551000000007</f>
        <v>494.94157900000016</v>
      </c>
      <c r="I358" s="3">
        <f>382.1+(315.3-75.3)+(-0.389742+(-0.321606--0.076806))+0-133.5--0.136170000000021</f>
        <v>488.10162800000001</v>
      </c>
      <c r="J358" s="3">
        <f>382.9+(263.9-46.8)+(0.390558+(0.269178-0.047736))+0-111.6-0.113832000000018</f>
        <v>488.89816799999994</v>
      </c>
      <c r="K358" s="3">
        <f>377.7+(277.5-53.8)+(0+(0-0))+0-117-0</f>
        <v>484.4</v>
      </c>
      <c r="L358" s="3">
        <f>366.7+(269.4-10.5)+(0.187017+(0.137394-0.005355))+0-122.3-0.0623729999999876</f>
        <v>503.55668299999996</v>
      </c>
      <c r="M358" s="3">
        <f>324.4+(346.5-0)+(0.330888+(0.35343-0))+0-131.1-0.133722000000021</f>
        <v>540.35059599999988</v>
      </c>
      <c r="N358" s="3">
        <f>321.3+(376-0)+(0.327726+(0.38352-0))+0-123.6-0.12607200000002</f>
        <v>574.28517399999987</v>
      </c>
      <c r="O358" s="3">
        <f>339.9+(350-2.7)+(0.173349+(0.1785-0.001377))+0-124.8-0.0636479999999873</f>
        <v>562.68682400000012</v>
      </c>
      <c r="P358" s="3">
        <f>340.1+(348.4-2.9)+(0+(0-0))+0-111-0</f>
        <v>574.6</v>
      </c>
      <c r="Q358" s="3">
        <f>378.8+(322-9.8)+(0+(0-0))+0-113.6-0</f>
        <v>577.4</v>
      </c>
      <c r="R358" s="3">
        <f>406.4+(302-11.6)+(-0.829056+(-0.61608--0.023664))+0-117.5--0.239699999999995</f>
        <v>578.11822799999993</v>
      </c>
      <c r="S358" s="3">
        <f>407.5+(281.3-7.5)+(-0.207825+(-0.143463--0.003825))+0-121.8--0.0621179999999876</f>
        <v>559.21465499999999</v>
      </c>
      <c r="T358" s="3">
        <f>405.8+(297.2-38.3)+(0+(0-0))+0-125.4-0</f>
        <v>539.30000000000007</v>
      </c>
      <c r="U358" s="3">
        <f>402.4+(367.3-121.5)+(-0.410448+(-0.374646--0.12393))+0-112--0.114240000000018</f>
        <v>535.65307600000006</v>
      </c>
      <c r="V358" s="3">
        <f>400.9+(374.8-116.4)+(0.204459+(0.191148-0.059364))+0-126.6-0.0645659999999871</f>
        <v>532.97167699999989</v>
      </c>
      <c r="W358" s="3">
        <f>401.9+(380.4-104.7)+(0.204969+(0.194004-0.053397))+0-132.6-0.0676259999999865</f>
        <v>545.27794999999992</v>
      </c>
      <c r="X358" s="3">
        <f>402.2+(334.5-12.6)+(0.205122+(0.170595-0.006426))+0-135.4-0.0690539999999863</f>
        <v>589.00023699999997</v>
      </c>
      <c r="Y358" s="3">
        <f>397.5+(334.6-12)+(-0.202725+(-0.170646--0.00612))+0-137.3--0.0700229999999861</f>
        <v>582.50277200000005</v>
      </c>
      <c r="Z358" s="3">
        <f>384.4+(361.6-34.1)+(0.196044+(0.184416-0.017391))+0-134.7-0.0686969999999863</f>
        <v>577.494372</v>
      </c>
      <c r="AA358" s="3">
        <f>382.3+(370-54.5)+(-0.194973+(-0.1887--0.027795))+0-134.5--0.0685949999999864</f>
        <v>563.01271699999995</v>
      </c>
      <c r="AB358" s="3">
        <f>380+(398.7-102.7)+(-1.5504+(-1.626696--0.419016))+0-135.1--0.551207999999988</f>
        <v>538.693128</v>
      </c>
      <c r="AC358" s="3">
        <f>370+(332.5-46.8)+(-1.1322+(-1.01745--0.143208))+0-135.1--0.413406000000016</f>
        <v>519.00696400000004</v>
      </c>
      <c r="AD358">
        <v>592.5</v>
      </c>
      <c r="AE358" s="3">
        <f>400+(354.3-8.1)+(0+(0-0))+0-153.7-0</f>
        <v>592.5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339+(361.1-85.3)+(-0.51867+(-0.552483--0.130509))+0-118.2--0.180846000000007</f>
        <v>495.84020199999998</v>
      </c>
      <c r="G359" s="3">
        <f>399.5+(325-102.2)+(-0.203745+(-0.16575--0.052122))+0-139--0.0708899999999859</f>
        <v>483.05351699999994</v>
      </c>
      <c r="H359" s="3">
        <f>400.2+(337-124.3)+(0+(0-0))+0-131.2-0</f>
        <v>481.7</v>
      </c>
      <c r="I359" s="3">
        <f>400.5+(301.1-97.7)+(0.204255+(0.153561-0.049827))+0-128.2-0.065381999999987</f>
        <v>475.94260700000012</v>
      </c>
      <c r="J359" s="3">
        <f>324.6+(349.1-40.4)+(0+(0-0))+0-144.5-0</f>
        <v>488.80000000000007</v>
      </c>
      <c r="K359" s="3">
        <f>291.2+(331.3-23.8)+(0.148512+(0.168963-0.012138))+0-113.1-0.0576809999999885</f>
        <v>485.84765600000003</v>
      </c>
      <c r="L359" s="3">
        <f>290.8+(327.9-0)+(-0.593232+(-0.668916-0))+0-123.6--0.252143999999995</f>
        <v>494.08999599999999</v>
      </c>
      <c r="M359" s="3">
        <f>337.2+(313.4-0)+(0.515916+(0.479502-0))+0-122.1-0.186813000000007</f>
        <v>529.30860499999983</v>
      </c>
      <c r="N359" s="3">
        <f>393.6+(292.3-8.3)+(0.401472+(0.298146-0.008466))+0-125.3-0.12780600000002</f>
        <v>552.86334600000009</v>
      </c>
      <c r="O359" s="3">
        <f>393.7+(300.2-13.7)+(0.803148+(0.612408-0.027948))+0-124.8-0.254591999999995</f>
        <v>556.53301600000009</v>
      </c>
      <c r="P359" s="3">
        <f>393.4+(312.8-5.8)+(0+(0-0))+0-129.6-0</f>
        <v>570.79999999999995</v>
      </c>
      <c r="Q359" s="3">
        <f>390.9+(298.8-7.8)+(-0.199359+(-0.152388--0.003978))+0-118--0.060179999999988</f>
        <v>563.61241099999995</v>
      </c>
      <c r="R359" s="3">
        <f>383.4+(294.1-1.9)+(0+(0-0))+0-117.4-0</f>
        <v>558.20000000000005</v>
      </c>
      <c r="S359" s="3">
        <f>377.7+(288.8-0)+(0+(0-0))+0-127.7-0</f>
        <v>538.79999999999995</v>
      </c>
      <c r="T359" s="3">
        <f>387.1+(249.6-0)+(0+(0-0))+0-114.5-0</f>
        <v>522.20000000000005</v>
      </c>
      <c r="U359" s="3">
        <f>378.3+(287.8-6.5)+(-0.578799+(-0.440334--0.009945))+0-130.6--0.199818000000008</f>
        <v>528.19063000000006</v>
      </c>
      <c r="V359" s="3">
        <f>388.2+(274.2-4.6)+(0.791928+(0.559368-0.009384))+0-122.5-0.249899999999995</f>
        <v>536.39201199999991</v>
      </c>
      <c r="W359" s="3">
        <f>330.6+(345.4-0)+(-0.168606+(-0.176154-0))+0-133.2--0.0679319999999865</f>
        <v>542.52317200000005</v>
      </c>
      <c r="X359" s="3">
        <f>421.9+(307.6-0)+(0+(0-0))+0-135.4-0</f>
        <v>594.1</v>
      </c>
      <c r="Y359" s="3">
        <f>452+(271.4-6.1)+(-0.69156+(-0.415242--0.009333))+0-130.6--0.199818000000008</f>
        <v>585.80234899999994</v>
      </c>
      <c r="Z359" s="3">
        <f>419.1+(296-8.2)+(-0.213741+(-0.15096--0.004182))+0-122.7--0.0625769999999876</f>
        <v>583.90205800000012</v>
      </c>
      <c r="AA359" s="3">
        <f>376.1+(330.3-2.3)+(-0.191811+(-0.168453--0.001173))+0-128.2--0.065381999999987</f>
        <v>575.60629100000006</v>
      </c>
      <c r="AB359" s="3">
        <f>375.9+(304.8-5.6)+(-0.958545+(-0.77724--0.01428))+0-134.4--0.342719999999981</f>
        <v>539.32121499999994</v>
      </c>
      <c r="AC359" s="3">
        <f>375.3+(285.2-14.5)+(-0.957015+(-0.72726--0.036975))+0-114.4--0.291719999999983</f>
        <v>530.24441999999999</v>
      </c>
      <c r="AD359">
        <v>609.70000000000005</v>
      </c>
      <c r="AE359" s="3">
        <f>452+(300.6-0)+(0+(0-0))+0-142.9-0</f>
        <v>609.70000000000005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376.9+(278.9-14.8)+(-0.384438+(-0.284478--0.015096))+0-122.5--0.12495000000002</f>
        <v>517.97113000000002</v>
      </c>
      <c r="G360" s="3">
        <f>376.9+(317.4-65.6)+(-0.192219+(-0.161874--0.033456))+0-121.6--0.0620159999999877</f>
        <v>506.84137899999985</v>
      </c>
      <c r="H360" s="3">
        <f>375.9+(350.5-109.5)+(0+(0-0))+0-117.4-0</f>
        <v>499.5</v>
      </c>
      <c r="I360" s="3">
        <f>389+(356.6-120.3)+(0.39678+(0.363732-0.122706))+0-127.6-0.13015200000002</f>
        <v>498.20765399999988</v>
      </c>
      <c r="J360" s="3">
        <f>391.8+(320.3-96.1)+(0.99909+(0.816765-0.245055))+0-123.6-0.315179999999982</f>
        <v>493.65561999999994</v>
      </c>
      <c r="K360" s="3">
        <f>392.4+(283.3-75.7)+(1.00062+(0.722415-0.193035))+0-105.5-0.269024999999985</f>
        <v>495.76097499999997</v>
      </c>
      <c r="L360" s="3">
        <f>390.7+(250-21.7)+(0.199257+(0.1275-0.011067))+0-127.7-0.065126999999987</f>
        <v>491.55056300000007</v>
      </c>
      <c r="M360" s="3">
        <f>391.3+(250.5-0)+(0+(0-0))+0-112.9-0</f>
        <v>528.9</v>
      </c>
      <c r="N360" s="3">
        <f>387.8+(277.4-0)+(0+(0-0))+0-117.6-0</f>
        <v>547.6</v>
      </c>
      <c r="O360" s="3">
        <f>385.7+(281.3-0)+(0.393414+(0.286926-0))+0-117.4-0.119748000000019</f>
        <v>550.16059199999995</v>
      </c>
      <c r="P360" s="3">
        <f>383.2+(303.9-0)+(-0.195432+(-0.154989-0))+0-121.7--0.0620669999999877</f>
        <v>565.11164599999984</v>
      </c>
      <c r="Q360" s="3">
        <f>379.8+(296.7-0)+(-0.387396+(-0.302634-0))+0-108--0.110160000000017</f>
        <v>567.92013000000009</v>
      </c>
      <c r="R360" s="3">
        <f>376.4+(309-0)+(-0.383928+(-0.31518-0))+0-114.6--0.116892000000018</f>
        <v>570.21778399999994</v>
      </c>
      <c r="S360" s="3">
        <f>374.6+(304.5-0)+(-0.191046+(-0.155295-0))+0-124.5--0.0634949999999874</f>
        <v>554.31715399999996</v>
      </c>
      <c r="T360" s="3">
        <f>373.4+(300.2-0)+(-0.761736+(-0.612408-0))+0-131.7--0.268667999999994</f>
        <v>540.79452400000002</v>
      </c>
      <c r="U360" s="3">
        <f>370.9+(290.9-0)+(0+(0-0))+0-122.4-0</f>
        <v>539.4</v>
      </c>
      <c r="V360" s="3">
        <f>371.9+(295.5-0)+(-0.379338+(-0.30141-0))+0-129.2--0.131784000000021</f>
        <v>537.65103600000009</v>
      </c>
      <c r="W360" s="3">
        <f>392+(293.3-0)+(-0.19992+(-0.149583-0))+0-135.5--0.0691049999999863</f>
        <v>549.51960199999996</v>
      </c>
      <c r="X360" s="3">
        <f>381.3+(336.9-6.5)+(-0.194463+(-0.171819--0.003315))+0-136.1--0.0694109999999862</f>
        <v>575.30644399999994</v>
      </c>
      <c r="Y360" s="3">
        <f>347.8+(367.7-0)+(-0.354756+(-0.375054-0))+0-130.8--0.133416000000021</f>
        <v>584.10360600000001</v>
      </c>
      <c r="Z360" s="3">
        <f>368.7+(338.7-0)+(-0.940185+(-0.863685-0))+0-136.2--0.34730999999998</f>
        <v>569.74344000000008</v>
      </c>
      <c r="AA360" s="3">
        <f>378.2+(311.5-0)+(-0.385764+(-0.31773-0))+0-129.5--0.132090000000021</f>
        <v>559.62859600000013</v>
      </c>
      <c r="AB360" s="3">
        <f>378.2+(304.8-0)+(-0.578646+(-0.466344-0))+0-134.6--0.205938000000008</f>
        <v>547.56094800000005</v>
      </c>
      <c r="AC360" s="3">
        <f>377.3+(267-0)+(-0.577269+(-0.40851-0))+0-115.2--0.176256000000007</f>
        <v>528.2904769999999</v>
      </c>
      <c r="AD360">
        <v>593.09999999999991</v>
      </c>
      <c r="AE360" s="3">
        <f>348+(357.3-0)+(0+(0-0))+0-112.2-0</f>
        <v>593.09999999999991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377+(257.8-0)+(-0.38454+(-0.262956-0))+0-125.2--0.12770400000002</f>
        <v>509.08020799999991</v>
      </c>
      <c r="G361" s="3">
        <f>376+(237.5-11.9)+(0.19176+(0.121125-0.006069))+0-107.3-0.0547229999999891</f>
        <v>494.55209300000007</v>
      </c>
      <c r="H361" s="3">
        <f>376.2+(224.2-16.4)+(-0.575586+(-0.343026--0.025092))+0-98.8--0.151164000000006</f>
        <v>484.45764400000002</v>
      </c>
      <c r="I361" s="3">
        <f>376.4+(225.4-43.7)+(-0.383928+(-0.229908--0.044574))+0-72.6--0.0740520000000116</f>
        <v>485.0047899999999</v>
      </c>
      <c r="J361" s="3">
        <f>377.5+(223.9-47.4)+(-0.577575+(-0.342567--0.072522))+0-66.8--0.102204000000004</f>
        <v>486.45458400000001</v>
      </c>
      <c r="K361" s="3">
        <f>377.8+(198.2-22.7)+(0.578034+(0.303246-0.034731))+0-71.8-0.109854000000004</f>
        <v>482.23669499999994</v>
      </c>
      <c r="L361" s="3">
        <f>376.6+(182.2-3.7)+(-0.384132+(-0.185844--0.003774))+0-69.2--0.070584000000011</f>
        <v>485.40438200000006</v>
      </c>
      <c r="M361" s="3">
        <f>377.6+(225.5-0)+(0+(0-0))+0-87.1-0</f>
        <v>516</v>
      </c>
      <c r="N361" s="3">
        <f>366.9+(249.4-0)+(0.374238+(0.254388-0))+0-71.1-0.0725220000000113</f>
        <v>545.75610399999994</v>
      </c>
      <c r="O361" s="3">
        <f>363.1+(251.1-0)+(0.555543+(0.384183-0))+0-69.9-0.106947000000004</f>
        <v>545.13277900000003</v>
      </c>
      <c r="P361" s="3">
        <f>345.2+(316.7-0)+(0+(0-0))+0-92.4-0</f>
        <v>569.5</v>
      </c>
      <c r="Q361" s="3">
        <f>314.1+(351.9-0)+(-0.160191+(-0.179469-0))+0-95.8--0.0488579999999903</f>
        <v>569.90919800000006</v>
      </c>
      <c r="R361" s="3">
        <f>335.9+(331.2-0)+(-1.370472+(-1.351296-0))+0-98.3--0.401063999999991</f>
        <v>566.47929599999998</v>
      </c>
      <c r="S361" s="3">
        <f>304.7+(324.5-0)+(-0.621588+(-0.66198-0))+0-89.9--0.183395999999996</f>
        <v>538.19982800000014</v>
      </c>
      <c r="T361" s="3">
        <f>304.1+(313.1-0)+(0.155091+(0.159681-0))+0-95.6-0.0487559999999903</f>
        <v>521.86601599999995</v>
      </c>
      <c r="U361" s="3">
        <f>306.3+(297.5-0)+(-0.937278+(-0.91035-0))+0-107--0.327420000000012</f>
        <v>495.27979199999999</v>
      </c>
      <c r="V361" s="3">
        <f>340.6+(271.9-0)+(-1.042236+(-0.832014-0))+0-109.5--0.335070000000013</f>
        <v>501.46082000000007</v>
      </c>
      <c r="W361" s="3">
        <f>384.8+(242.7-0)+(-0.588744+(-0.371331-0))+0-117.9--0.180387000000007</f>
        <v>508.82031200000006</v>
      </c>
      <c r="X361" s="3">
        <f>346.9+(331.2-0)+(-0.176919+(-0.168912-0))+0-113.3--0.0577829999999885</f>
        <v>564.51195199999995</v>
      </c>
      <c r="Y361" s="3">
        <f>367.4+(313.3-0)+(-0.749496+(-0.639132-0))+0-107.5--0.219299999999995</f>
        <v>572.03067199999998</v>
      </c>
      <c r="Z361" s="3">
        <f>369.8+(309.1-0)+(0.188598+(0.157641-0))+0-117.6-0.0599759999999881</f>
        <v>561.58626300000003</v>
      </c>
      <c r="AA361" s="3">
        <f>354+(312.6-0)+(-0.54162+(-0.478278-0))+0-106.2--0.162486000000006</f>
        <v>559.54258800000002</v>
      </c>
      <c r="AB361" s="3">
        <f>341.7+(293-0)+(-0.174267+(-0.14943-0))+0-97.9--0.0499289999999901</f>
        <v>536.52623200000005</v>
      </c>
      <c r="AC361" s="3">
        <f>335+(289.7-0)+(-1.19595+(-1.034229-0))+0-105.2--0.375564000000002</f>
        <v>517.64538500000003</v>
      </c>
      <c r="AD361">
        <v>586.9</v>
      </c>
      <c r="AE361" s="3">
        <f>359+(346.3-0)+(0+(0-0))+0-118.4-0</f>
        <v>586.9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335+(275.3-0)+(-0.3417+(-0.280806-0))+0-114.8--0.117096000000018</f>
        <v>494.9945899999999</v>
      </c>
      <c r="G362" s="3">
        <f>310.1+(284.9-9.5)+(-0.632604+(-0.581196--0.01938))+0-101--0.206039999999996</f>
        <v>483.51161999999994</v>
      </c>
      <c r="H362" s="3">
        <f>244.6+(338.3-0)+(-0.374238+(-0.517599-0))+0-112.1--0.171513000000006</f>
        <v>470.07967599999995</v>
      </c>
      <c r="I362" s="3">
        <f>273+(306.7-11.7)+(-0.55692+(-0.625668--0.023868))+0-98.2--0.200327999999996</f>
        <v>468.84160800000001</v>
      </c>
      <c r="J362" s="3">
        <f>287.4+(287.2-0)+(0.439722+(0.439416-0))+0-114-0.174420000000007</f>
        <v>461.30471799999992</v>
      </c>
      <c r="K362" s="3">
        <f>287.2+(273.5-0)+(0.585888+(0.55794-0))+0-105.8-0.215831999999995</f>
        <v>455.82799600000004</v>
      </c>
      <c r="L362" s="3">
        <f>287.8+(247-0)+(-0.146778+(-0.12597-0))+0-99.9--0.0509489999999899</f>
        <v>434.678201</v>
      </c>
      <c r="M362" s="3">
        <f>287.4+(284.5-0)+(-0.146574+(-0.145095-0))+0-120.4--0.0614039999999878</f>
        <v>451.26973500000003</v>
      </c>
      <c r="N362" s="3">
        <f>322.8+(261-0)+(-0.493884+(-0.39933-0))+0-118.2--0.180846000000007</f>
        <v>464.88763200000005</v>
      </c>
      <c r="O362" s="3">
        <f>387.5+(207.9-0)+(0+(0-0))+0-113.3-0</f>
        <v>482.09999999999997</v>
      </c>
      <c r="P362" s="3">
        <f>383.6+(231.3-0)+(0.782544+(0.471852-0))+0-125.3-0.255611999999995</f>
        <v>490.59878400000014</v>
      </c>
      <c r="Q362" s="3">
        <f>367.8+(246.4-0)+(-0.187578+(-0.125664-0))+0-114.7--0.0584969999999884</f>
        <v>499.2452550000001</v>
      </c>
      <c r="R362" s="3">
        <f>392.7+(191.2-0)+(-1.001385+(-0.48756-0))+0-92.9--0.236894999999987</f>
        <v>489.74795000000006</v>
      </c>
      <c r="S362" s="3">
        <f>388.2+(179.1-0)+(-0.197982+(-0.091341-0))+0-84.1--0.0428909999999915</f>
        <v>482.95356799999996</v>
      </c>
      <c r="T362" s="3">
        <f>385.8+(160.1-0)+(-0.98379+(-0.408255-0))+0-74.1--0.188954999999989</f>
        <v>470.59690999999987</v>
      </c>
      <c r="U362" s="3">
        <f>379.6+(159-0)+(-0.193596+(-0.08109-0))+0-78.9--0.040238999999992</f>
        <v>459.46555300000006</v>
      </c>
      <c r="V362" s="3">
        <f>374.7+(154.3-0)+(-0.191097+(-0.078693-0))+0-83.9--0.0427889999999915</f>
        <v>444.87299900000005</v>
      </c>
      <c r="W362" s="3">
        <f>376.2+(148.9-0)+(0.191862+(0.075939-0))+0-63.7-0.0324869999999935</f>
        <v>461.63531399999999</v>
      </c>
      <c r="X362" s="3">
        <f>373.8+(223.9-0)+(0+(0-0))+0-81.5-0</f>
        <v>516.20000000000005</v>
      </c>
      <c r="Y362" s="3">
        <f>354.4+(247.1-0)+(-0.90372+(-0.630105-0))+0-75.7--0.193034999999989</f>
        <v>524.45920999999998</v>
      </c>
      <c r="Z362" s="3">
        <f>332.2+(283.5-0)+(0+(0-0))+0-80.9-0</f>
        <v>534.80000000000007</v>
      </c>
      <c r="AA362" s="3">
        <f>332.4+(280.8-0)+(-1.017144+(-0.859248-0))+0-82.2--0.25153200000001</f>
        <v>529.37513999999999</v>
      </c>
      <c r="AB362" s="3">
        <f>333.8+(272-3)+(-0.170238+(-0.13872--0.00153))+0-74.7--0.0380969999999924</f>
        <v>527.83066899999994</v>
      </c>
      <c r="AC362" s="3">
        <f>332.2+(244-3.7)+(-0.677688+(-0.49776--0.007548))+0-67.2--0.137087999999997</f>
        <v>504.26918799999999</v>
      </c>
      <c r="AD362">
        <v>543.80000000000007</v>
      </c>
      <c r="AE362" s="3">
        <f>382+(217.1-0)+(0+(0-0))+0-55.3-0</f>
        <v>543.80000000000007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332.1+(218.5-27.7)+(-0.338742+(-0.22287--0.028254))+0-44.8--0.0456960000000071</f>
        <v>477.61233800000008</v>
      </c>
      <c r="G363" s="3">
        <f>325+(225.3-22.9)+(-0.3315+(-0.229806--0.023358))+0-62--0.0632400000000099</f>
        <v>464.92529199999996</v>
      </c>
      <c r="H363" s="3">
        <f>300+(244.4-23.9)+(0+(0-0))+0-63.9-0</f>
        <v>456.6</v>
      </c>
      <c r="I363" s="3">
        <f>313.7+(237.7-24.2)+(-0.479961+(-0.363681--0.037026))+0-70.1--0.107253000000004</f>
        <v>456.40063700000007</v>
      </c>
      <c r="J363" s="3">
        <f>314.8+(238.8-16.4)+(0.160548+(0.121788-0.008364))+0-81.9-0.0417689999999917</f>
        <v>455.53220300000004</v>
      </c>
      <c r="K363" s="3">
        <f>304.3+(225.1-13.7)+(0.465579+(0.344403-0.020961))+0-64.2-0.0982260000000037</f>
        <v>452.19079500000009</v>
      </c>
      <c r="L363" s="3">
        <f>298.7+(234.3-1.3)+(-0.761685+(-0.597465--0.003315))+0-72.8--0.185639999999989</f>
        <v>457.72980500000006</v>
      </c>
      <c r="M363" s="3">
        <f>346.8+(208.1-0)+(-0.707472+(-0.424524-0))+0-65--0.132599999999997</f>
        <v>488.90060400000004</v>
      </c>
      <c r="N363" s="3">
        <f>391.9+(203.7-0)+(0+(0-0))+0-78-0</f>
        <v>517.59999999999991</v>
      </c>
      <c r="O363" s="3">
        <f>399.9+(195.2-0)+(0.203949+(0.099552-0))+0-63.5-0.0323849999999936</f>
        <v>531.87111599999992</v>
      </c>
      <c r="P363" s="3">
        <f>397.8+(199.2-0)+(0+(0-0))+0-63-0</f>
        <v>534</v>
      </c>
      <c r="Q363" s="3">
        <f>393.5+(191.7-0)+(0+(0-0))+0-61.4-0</f>
        <v>523.80000000000007</v>
      </c>
      <c r="R363" s="3">
        <f>382.3+(189.2-0)+(-0.779892+(-0.385968-0))+0-71.3--0.145451999999997</f>
        <v>499.17959200000001</v>
      </c>
      <c r="S363" s="3">
        <f>378.1+(178.4-0)+(-0.578493+(-0.272952-0))+0-70.2--0.107406000000004</f>
        <v>485.55596100000002</v>
      </c>
      <c r="T363" s="3">
        <f>372+(187.1-0)+(-0.18972+(-0.095421-0))+0-76.2--0.0388619999999923</f>
        <v>482.65372100000008</v>
      </c>
      <c r="U363" s="3">
        <f>371+(177.6-0)+(0+(0-0))+0-67.7-0</f>
        <v>480.90000000000003</v>
      </c>
      <c r="V363" s="3">
        <f>372.2+(164.2-0)+(-0.569466+(-0.251226-0))+0-51.1--0.078183000000003</f>
        <v>484.55749099999997</v>
      </c>
      <c r="W363" s="3">
        <f>377.1+(161.8-0)+(0+(0-0))+0-47.5-0</f>
        <v>491.40000000000009</v>
      </c>
      <c r="X363" s="3">
        <f>379.4+(236.8-0)+(-0.193494+(-0.120768-0))+0-74.9--0.0381989999999924</f>
        <v>541.02393700000005</v>
      </c>
      <c r="Y363" s="3">
        <f>359.5+(265.4-0)+(-0.550035+(-0.406062-0))+0-83--0.126990000000005</f>
        <v>541.07089299999996</v>
      </c>
      <c r="Z363" s="3">
        <f>355.6+(346.4-102.9)+(-0.544068+(-0.529992--0.157437))+0-71.6--0.109548000000004</f>
        <v>526.69292500000006</v>
      </c>
      <c r="AA363" s="3">
        <f>355+(348.3-124.4)+(-0.3621+(-0.355266--0.126888))+0-55.8--0.0569160000000089</f>
        <v>522.56643800000006</v>
      </c>
      <c r="AB363" s="3">
        <f>356.6+(310.5-78.1)+(-0.90933+(-0.791775--0.199155))+0-73.7--0.187934999999989</f>
        <v>513.98598500000003</v>
      </c>
      <c r="AC363" s="3">
        <f>358+(279-81.2)+(-0.54774+(-0.42687--0.124236))+0-59.9--0.0916470000000035</f>
        <v>495.14127300000001</v>
      </c>
      <c r="AD363">
        <v>535.5</v>
      </c>
      <c r="AE363" s="3">
        <f>371+(259.1-0)+(0+(0-0))+0-94.6-0</f>
        <v>535.5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358+(242-82.1)+(-0.9129+(-0.6171--0.209355))+0-47.4--0.120869999999993</f>
        <v>469.30022499999995</v>
      </c>
      <c r="G364" s="3">
        <f>355+(213.9-78.4)+(-0.90525+(-0.545445--0.19992))+0-39.9--0.101744999999994</f>
        <v>449.45097000000004</v>
      </c>
      <c r="H364" s="3">
        <f>358+(213.1-89.3)+(-0.18258+(-0.108681--0.045543))+0-47.7--0.0243269999999952</f>
        <v>433.87860899999998</v>
      </c>
      <c r="I364" s="3">
        <f>357+(215.1-83.4)+(-0.54621+(-0.329103--0.127602))+0-56.6--0.0865980000000033</f>
        <v>431.43888699999997</v>
      </c>
      <c r="J364" s="3">
        <f>357.1+(213-71.1)+(-0.546363+(-0.32589--0.108783))+0-70.2--0.107406000000004</f>
        <v>428.14393600000005</v>
      </c>
      <c r="K364" s="3">
        <f>356.6+(195-49.6)+(-0.545598+(-0.29835--0.075888))+0-76.2--0.116586000000004</f>
        <v>425.148526</v>
      </c>
      <c r="L364" s="3">
        <f>355.4+(196.5-61.2)+(-0.362508+(-0.20043--0.062424))+0-64.8--0.0660960000000103</f>
        <v>425.46558199999998</v>
      </c>
      <c r="M364" s="3">
        <f>355.7+(204.3-51.9)+(0.181407+(0.104193-0.026469))+0-58.8-0.029987999999994</f>
        <v>449.52914300000003</v>
      </c>
      <c r="N364" s="3">
        <f>356.2+(237.8-63.1)+(0.181662+(0.121278-0.032181))+0-66.2-0.0337619999999933</f>
        <v>464.93699700000002</v>
      </c>
      <c r="O364" s="3">
        <f>403.2+(200.9-93)+(0+(0-0))+0-47.2-0</f>
        <v>463.90000000000003</v>
      </c>
      <c r="P364" s="3">
        <f>417.2+(199.4-80.1)+(-0.638316+(-0.305082--0.122553))+0-68.6--0.104958000000004</f>
        <v>467.18411300000002</v>
      </c>
      <c r="Q364" s="3">
        <f>418.2+(201.1-97.3)+(0+(0-0))+0-51.2-0</f>
        <v>470.8</v>
      </c>
      <c r="R364" s="3">
        <f>417.7+(221-122.8)+(-0.426054+(-0.22542--0.125256))+0-56.8--0.0579360000000091</f>
        <v>458.63171799999998</v>
      </c>
      <c r="S364" s="3">
        <f>417.6+(215.9-139)+(-0.425952+(-0.220218--0.14178))+0-50.5--0.051510000000008</f>
        <v>443.54712000000001</v>
      </c>
      <c r="T364" s="3">
        <f>418+(200.4-138.3)+(0+(0-0))+0-48.3-0</f>
        <v>431.8</v>
      </c>
      <c r="U364" s="3">
        <f>418.4+(165.7-102.9)+(-0.213384+(-0.084507--0.052479))+0-47.9--0.0244289999999951</f>
        <v>433.07901699999996</v>
      </c>
      <c r="V364" s="3">
        <f>417+(180.9-94.6)+(-0.21267+(-0.092259--0.048246))+0-71.1--0.0362609999999928</f>
        <v>431.97957799999995</v>
      </c>
      <c r="W364" s="3">
        <f>416+(198.8-98)+(-0.42432+(-0.202776--0.09996))+0-78.4--0.0799680000000125</f>
        <v>437.95283199999994</v>
      </c>
      <c r="X364" s="3">
        <f>415.7+(244.4-83.9)+(-0.212007+(-0.124644--0.042789))+0-88.9--0.045338999999991</f>
        <v>487.05147700000009</v>
      </c>
      <c r="Y364" s="3">
        <f>376+(229.1-43.3)+(-0.9588+(-0.584205--0.110415))+0-74.8--0.190739999999989</f>
        <v>485.75814999999994</v>
      </c>
      <c r="Z364" s="3">
        <f>355.2+(248-37.9)+(-1.086912+(-0.75888--0.115974))+0-84.3--0.25795800000001</f>
        <v>479.52813999999995</v>
      </c>
      <c r="AA364" s="3">
        <f>356.4+(235.9-49.9)+(-0.363528+(-0.240618--0.050898))+0-78.5--0.0800700000000125</f>
        <v>463.42682199999996</v>
      </c>
      <c r="AB364" s="3">
        <f>355.8+(229-75.5)+(-0.725832+(-0.46716--0.15402))+0-62.4--0.127295999999997</f>
        <v>445.98832400000003</v>
      </c>
      <c r="AC364" s="3">
        <f>331+(232.7-66.5)+(-0.33762+(-0.237354--0.06783))+0-65.4--0.0667080000000104</f>
        <v>431.35956400000003</v>
      </c>
      <c r="AD364">
        <v>491.1</v>
      </c>
      <c r="AE364" s="3">
        <f>358+(229.7-33.1)+(0+(0-0))+0-63.5-0</f>
        <v>491.1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325.6+(228.6-72.4)+(0.166056+(0.116586-0.036924))+0-77.4-0.0394739999999922</f>
        <v>404.606244</v>
      </c>
      <c r="G365" s="3">
        <f>323.6+(235.3-93.2)+(-0.82518+(-0.600015--0.23766))+0-70.9--0.18079499999999</f>
        <v>393.79326000000003</v>
      </c>
      <c r="H365" s="3">
        <f>323.5+(224.2-100.3)+(-0.164985+(-0.114342--0.051153))+0-65.4--0.0333539999999934</f>
        <v>381.80517999999989</v>
      </c>
      <c r="I365" s="3">
        <f>324.2+(209.7-101.6)+(-0.330684+(-0.213894--0.103632))+0-56.3--0.057426000000009</f>
        <v>375.61647999999997</v>
      </c>
      <c r="J365" s="3">
        <f>324.2+(209.5-109.2)+(0.496026+(0.320535-0.167076))+0-57.6-0.0881280000000033</f>
        <v>367.46135700000002</v>
      </c>
      <c r="K365" s="3">
        <f>323.8+(200.1-88.9)+(0.165138+(0.102051-0.045339))+0-80.9-0.0412589999999918</f>
        <v>354.28059100000007</v>
      </c>
      <c r="L365" s="3">
        <f>324+(198.8-114.7)+(-0.66096+(-0.405552--0.233988))+0-66.8--0.136271999999997</f>
        <v>340.60374800000005</v>
      </c>
      <c r="M365" s="3">
        <f>324+(195.1-102.4)+(0.16524+(0.099501-0.052224))+0-64.2-0.0327419999999935</f>
        <v>352.67977500000001</v>
      </c>
      <c r="N365" s="3">
        <f>324.6+(203.3-95.8)+(0.331092+(0.207366-0.097716))+0-68.9-0.070278000000011</f>
        <v>363.57046400000002</v>
      </c>
      <c r="O365" s="3">
        <f>324.1+(214-94.9)+(-0.165291+(-0.10914--0.048399))+0-72.4--0.0369239999999927</f>
        <v>370.61089200000004</v>
      </c>
      <c r="P365" s="3">
        <f>324.3+(213.9-95.5)+(-0.661572+(-0.436356--0.19482))+0-56.4--0.115055999999998</f>
        <v>385.51194800000007</v>
      </c>
      <c r="Q365" s="3">
        <f>388.3+(200.1-125)+(-0.198033+(-0.102051--0.06375))+0-73.3--0.0373829999999926</f>
        <v>389.90104899999994</v>
      </c>
      <c r="R365" s="3">
        <f>426.2+(184.2-164.1)+(-1.304172+(-0.563652--0.502146))+0-54--0.165240000000006</f>
        <v>391.09956199999993</v>
      </c>
      <c r="S365" s="3">
        <f>390.2+(200-136)+(0.199002+(0.102-0.06936))+0-76.5-0.0390149999999922</f>
        <v>377.892627</v>
      </c>
      <c r="T365" s="3">
        <f>351.6+(209.5-123)+(-0.179316+(-0.106845--0.06273))+0-71.5--0.0364649999999927</f>
        <v>366.41303400000004</v>
      </c>
      <c r="U365" s="3">
        <f>352.1+(190.9-132.4)+(-0.179571+(-0.097359--0.067524))+0-43--0.0219299999999956</f>
        <v>367.41252400000002</v>
      </c>
      <c r="V365" s="3">
        <f>352.2+(201.9-127)+(0+(0-0))+0-57.9-0</f>
        <v>369.20000000000005</v>
      </c>
      <c r="W365" s="3">
        <f>351.9+(223.1-120)+(-0.717876+(-0.455124--0.2448))+0-76.7--0.156467999999997</f>
        <v>377.52826800000003</v>
      </c>
      <c r="X365" s="3">
        <f>385.4+(252-132.4)+(-0.589662+(-0.38556--0.202572))+0-73.7--0.112761000000004</f>
        <v>430.64011099999999</v>
      </c>
      <c r="Y365" s="3">
        <f>410.3+(227.1-142.7)+(-0.627759+(-0.347463--0.218331))+0-50.8--0.0777240000000029</f>
        <v>443.22083300000003</v>
      </c>
      <c r="Z365" s="3">
        <f>409.7+(202.7-128.1)+(-1.044735+(-0.516885--0.326655))+0-51.7--0.131834999999993</f>
        <v>431.49686999999994</v>
      </c>
      <c r="AA365" s="3">
        <f>408.9+(193.2-128.2)+(-0.834156+(-0.394128--0.261528))+0-50--0.101999999999998</f>
        <v>423.03524399999998</v>
      </c>
      <c r="AB365" s="3">
        <f>408.3+(195.7-132)+(-0.832932+(-0.399228--0.26928))+0-62.7--0.127907999999997</f>
        <v>408.46502800000002</v>
      </c>
      <c r="AC365" s="3">
        <f>408.2+(186.2-129.5)+(-0.624546+(-0.284886--0.198135))+0-70--0.107100000000004</f>
        <v>394.29580299999998</v>
      </c>
      <c r="AD365">
        <v>448.7</v>
      </c>
      <c r="AE365" s="3">
        <f>409+(210.9-123)+(0+(0-0))+0-48.2-0</f>
        <v>448.7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1172.5+(146.6-418.4)+(-2.989875+(-0.37383--1.06692))+0-153--0.390149999999978</f>
        <v>745.79336499999999</v>
      </c>
      <c r="G1" s="3">
        <f>1177.7+(107.4-411.6)+(-1.801881+(-0.164322--0.629748))+0-146.3--0.223839000000008</f>
        <v>726.08738399999993</v>
      </c>
      <c r="H1" s="3">
        <f>1175.7+(101.9-415.8)+(-0.599607+(-0.051969--0.212058))+0-146--0.0744599999999852</f>
        <v>715.43494199999998</v>
      </c>
      <c r="I1" s="3">
        <f>1184.6+(82-416.5)+(-3.02073+(-0.2091--1.062075))+0-150.7--0.384284999999978</f>
        <v>697.6165299999999</v>
      </c>
      <c r="J1" s="3">
        <f>1157.2+(86-404.7)+(-0.590172+(-0.04386--0.206397))+0-152.3--0.0776729999999846</f>
        <v>685.85003800000004</v>
      </c>
      <c r="K1" s="3">
        <f>1146.7+(81.4-401.7)+(-2.924085+(-0.20757--1.024335))+0-152.5--0.388874999999978</f>
        <v>672.18155500000012</v>
      </c>
      <c r="L1" s="3">
        <f>1134+(75.3-383.8)+(0+(0-0))+0-149.6-0</f>
        <v>675.9</v>
      </c>
      <c r="M1" s="3">
        <f>1057.3+(143.8-356.2)+(0+(0-0))+0-154.2-0</f>
        <v>690.7</v>
      </c>
      <c r="N1" s="3">
        <f>1044.3+(176.3-356.5)+(-1.597779+(-0.269739--0.545445))+0-155.4--0.237762000000009</f>
        <v>707.61568899999986</v>
      </c>
      <c r="O1" s="3">
        <f>1051.9+(199.8-376.6)+(-0.536469+(-0.101898--0.192066))+0-153.7--0.0783869999999844</f>
        <v>721.03208600000016</v>
      </c>
      <c r="P1" s="3">
        <f>1116.2+(179.8-414.6)+(-1.707786+(-0.275094--0.634338))+0-155.9--0.238527000000009</f>
        <v>724.38998500000014</v>
      </c>
      <c r="Q1" s="3">
        <f>1121.4+(186.1-430)+(-1.715742+(-0.284733--0.6579))+0-155.1--0.237303000000009</f>
        <v>721.29472800000008</v>
      </c>
      <c r="R1" s="3">
        <f>1117.4+(273.3-442.8)+(-0.569874+(-0.139383--0.225828))+0-154--0.0785399999999844</f>
        <v>793.49511100000007</v>
      </c>
      <c r="S1" s="3">
        <f>1109.6+(285-447.9)+(1.131792+(0.2907-0.456858))+0-158.1-0.161262000000025</f>
        <v>789.40437199999985</v>
      </c>
      <c r="T1" s="3">
        <f>1117.2+(280.8-449.6)+(-1.709316+(-0.429624--0.687888))+0-161.3--0.246789000000009</f>
        <v>785.89573700000005</v>
      </c>
      <c r="U1" s="3">
        <f>1114.5+(280.6-447.7)+(-1.13679+(-0.286212--0.456654))+0-160.9--0.164118000000026</f>
        <v>785.69777000000011</v>
      </c>
      <c r="V1" s="3">
        <f>1110.9+(260-429.7)+(-0.566559+(-0.1326--0.219147))+0-161--0.0821099999999837</f>
        <v>779.802098</v>
      </c>
      <c r="W1" s="3">
        <f>1119.8+(263.8-420.6)+(0+(0-0))+0-162.1-0</f>
        <v>800.9</v>
      </c>
      <c r="X1" s="3">
        <f>1133.4+(342.4-442.2)+(0+(0-0))+0-163.3-0</f>
        <v>870.30000000000018</v>
      </c>
      <c r="Y1" s="3">
        <f>1142.1+(280.2-393.2)+(-0.582471+(-0.142902--0.200532))+0-156.6--0.0798659999999841</f>
        <v>872.055025</v>
      </c>
      <c r="Z1" s="3">
        <f>1140.3+(242.6-383)+(0.581553+(0.123726-0.19533))+0-157.5-0.080324999999984</f>
        <v>842.82962399999997</v>
      </c>
      <c r="AA1" s="3">
        <f>1150.5+(254.6-425.4)+(0+(0-0))+0-158.2-0</f>
        <v>821.5</v>
      </c>
      <c r="AB1" s="3">
        <f>1164.7+(256.5-465.3)+(0+(0-0))+0-156.8-0</f>
        <v>799.10000000000014</v>
      </c>
      <c r="AC1" s="3">
        <f>1175.6+(227.2-480.8)+(-0.599556+(-0.115872--0.245208))+0-153.1--0.0780809999999845</f>
        <v>768.50786099999982</v>
      </c>
      <c r="AD1">
        <v>868.60000000000014</v>
      </c>
      <c r="AE1" s="3">
        <f>1140+(312.4-415.8)+(0+(0-0))+0-152-0</f>
        <v>884.59999999999991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765.75393049999991</v>
      </c>
      <c r="G2" s="3">
        <f>1210+(162-427)+(0+(0-0))+0-182-0</f>
        <v>763</v>
      </c>
      <c r="H2" s="3">
        <f>1209.4+(157-428)+(-2.467176+(-0.32028--0.87312))+0-176--0.359039999999992</f>
        <v>760.84470399999998</v>
      </c>
      <c r="I2" s="3">
        <f>1209.1+(154.3-444.4)+(-1.233282+(-0.157386--0.453288))+0-154.1--0.157182000000025</f>
        <v>764.11980200000005</v>
      </c>
      <c r="J2" s="3">
        <f>1208.5+(131.6-431.8)+(0+(0-0))+0-154.7-0</f>
        <v>753.59999999999991</v>
      </c>
      <c r="K2" s="3">
        <f>1202.8+(138.9-436)+(-1.840284+(-0.212517--0.66708))+0-158.2--0.242046000000009</f>
        <v>746.35632499999986</v>
      </c>
      <c r="L2" s="3">
        <f>1183.1+(127.3-427.5)+(-1.206762+(-0.129846--0.43605))+0-157.9--0.161058000000025</f>
        <v>724.26049999999987</v>
      </c>
      <c r="M2" s="3">
        <f>1188.5+(139.5-418)+(-4.242945+(-0.498015--1.49226))+0-156--0.556920000000002</f>
        <v>751.30822000000001</v>
      </c>
      <c r="N2" s="3">
        <f>1125.2+(211.7-400.7)+(1.721556+(0.323901-0.613071))+0-157-0.240210000000009</f>
        <v>780.39217599999995</v>
      </c>
      <c r="O2" s="3">
        <f>1103.6+(260.8-398.1)+(1.688508+(0.399024-0.609093))+0-154.5-0.236385000000009</f>
        <v>813.04205399999989</v>
      </c>
      <c r="P2" s="3">
        <f>1092.8+(269.8-367.8)+(1.114656+(0.275196-0.375156))+0-157.6-0.160752000000025</f>
        <v>838.05394399999989</v>
      </c>
      <c r="Q2" s="3">
        <f>1078.8+(227.2-305.3)+(-3.301128+(-0.695232--0.934218))+0-156.6--0.479196000000018</f>
        <v>841.51705399999992</v>
      </c>
      <c r="R2" s="3">
        <f>1079.4+(242.7-312.7)+(-0.550494+(-0.123777--0.159477))+0-154.3--0.0786929999999844</f>
        <v>854.6638989999999</v>
      </c>
      <c r="S2" s="3">
        <f>1077.2+(322-375.2)+(1.098744+(0.32844-0.382704))+0-152.9-0.155958000000024</f>
        <v>871.98852199999999</v>
      </c>
      <c r="T2" s="3">
        <f>1079.5+(349.7-400.6)+(-1.651635+(-0.535041--0.612918))+0-154.8--0.236844000000009</f>
        <v>872.46308599999998</v>
      </c>
      <c r="U2" s="3">
        <f>1077.1+(338.8-398.5)+(0+(0-0))+0-147.9-0</f>
        <v>869.49999999999989</v>
      </c>
      <c r="V2" s="3">
        <f>1078.2+(320.4-380.5)+(-1.649646+(-0.490212--0.582165))+0-147.6--0.225828000000009</f>
        <v>869.16813500000001</v>
      </c>
      <c r="W2" s="3">
        <f>1077.7+(299.5-366.1)+(-2.198508+(-0.61098--0.746844))+0-148.6--0.303143999999993</f>
        <v>860.7405</v>
      </c>
      <c r="X2" s="3">
        <f>1079.8+(279.7-347.6)+(-2.202792+(-0.570588--0.709104))+0-148.4--0.302735999999994</f>
        <v>861.73845999999992</v>
      </c>
      <c r="Y2" s="3">
        <f>1128.1+(325.9-380)+(-1.725993+(-0.498627--0.5814))+0-146.6--0.224298000000008</f>
        <v>925.98107800000002</v>
      </c>
      <c r="Z2" s="3">
        <f>1124.6+(345.5-414.2)+(-2.86773+(-0.881025--1.05621))+0-144.6--0.368729999999979</f>
        <v>908.97618499999976</v>
      </c>
      <c r="AA2" s="3">
        <f>1104+(342.2-417.2)+(-0.56304+(-0.174522--0.212772))+0-138.5--0.0706349999999859</f>
        <v>890.0458450000001</v>
      </c>
      <c r="AB2" s="3">
        <f>1094.6+(328-421.4)+(-3.349476+(-1.00368--1.289484))+0-138.9--0.425034000000016</f>
        <v>859.66136199999994</v>
      </c>
      <c r="AC2" s="3">
        <f>1094.2+(296.6-414.5)+(-1.116084+(-0.302532--0.42279))+0-138.2--0.140964000000022</f>
        <v>837.24513800000011</v>
      </c>
      <c r="AD2">
        <v>899.40000000000009</v>
      </c>
      <c r="AE2" s="3">
        <f>1122+(350.8-412.4)+(0+(0-0))+0-145-0</f>
        <v>915.40000000000009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1102.1+(286.4-415.5)+(-1.124142+(-0.292128--0.42381))+0-135.3--0.138006000000022</f>
        <v>836.8455459999999</v>
      </c>
      <c r="G3" s="3">
        <f>1098.3+(239.5-397.8)+(0+(0-0))+0-131.4-0</f>
        <v>808.6</v>
      </c>
      <c r="H3" s="3">
        <f>1109.7+(203.5-397.7)+(-2.263788+(-0.41514--0.811308))+0-128.1--0.261323999999994</f>
        <v>785.79370399999993</v>
      </c>
      <c r="I3" s="3">
        <f>1113+(184.5-393.3)+(0+(0-0))+0-130.6-0</f>
        <v>773.6</v>
      </c>
      <c r="J3" s="3">
        <f>1117.9+(174.9-399.7)+(-2.850645+(-0.445995--1.019235))+0-123.4--0.314669999999982</f>
        <v>767.73726500000009</v>
      </c>
      <c r="K3" s="3">
        <f>1115.3+(165.3-397.3)+(2.275212+(0.337212-0.810492))+0-125.8-0.256631999999994</f>
        <v>759.0453</v>
      </c>
      <c r="L3" s="3">
        <f>1128+(160.4-406.2)+(-1.72584+(-0.245412--0.621486))+0-125.2--0.191556000000007</f>
        <v>755.84178999999995</v>
      </c>
      <c r="M3" s="3">
        <f>1124.3+(152-371.3)+(-0.573393+(-0.07752--0.189363))+0-129.9--0.0662489999999868</f>
        <v>774.70469900000001</v>
      </c>
      <c r="N3" s="3">
        <f>1117.7+(193.6-364.3)+(0+(0-0))+0-136.8-0</f>
        <v>810.2</v>
      </c>
      <c r="O3" s="3">
        <f>1099.4+(250.4-364.1)+(-0.560694+(-0.127704--0.185691))+0-132.9--0.0677789999999865</f>
        <v>852.36507200000005</v>
      </c>
      <c r="P3" s="3">
        <f>1083.7+(277.1-360.8)+(0+(0-0))+0-136-0</f>
        <v>864</v>
      </c>
      <c r="Q3" s="3">
        <f>1068.7+(298.8-356.4)+(0+(0-0))+0-136.5-0</f>
        <v>874.60000000000014</v>
      </c>
      <c r="R3" s="3">
        <f>1060.2+(343.5-381.8)+(-1.081404+(-0.35037--0.389436))+0-134--0.136680000000021</f>
        <v>886.99434200000019</v>
      </c>
      <c r="S3" s="3">
        <f>1057.3+(374.4-408.9)+(0+(0-0))+0-131.5-0</f>
        <v>891.3</v>
      </c>
      <c r="T3" s="3">
        <f>1051.1+(390.4-423.9)+(0.536061+(0.199104-0.216189))+0-135.6-0.0691559999999862</f>
        <v>882.44981999999982</v>
      </c>
      <c r="U3" s="3">
        <f>1049.2+(383.4-426)+(-1.070184+(-0.391068--0.43452))+0-133.2--0.135864000000021</f>
        <v>872.50913200000002</v>
      </c>
      <c r="V3" s="3">
        <f>1057.7+(365.6-425.4)+(0.539427+(0.186456-0.216954))+0-132.4-0.0675239999999866</f>
        <v>865.94140500000015</v>
      </c>
      <c r="W3" s="3">
        <f>1061.6+(326.5-404.5)+(-0.541416+(-0.166515--0.206295))+0-133.7--0.0681869999999864</f>
        <v>849.46655099999987</v>
      </c>
      <c r="X3" s="3">
        <f>1077.9+(297-383.2)+(0.549729+(0.15147-0.195432))+0-127.2-0.0648719999999871</f>
        <v>864.94089499999995</v>
      </c>
      <c r="Y3" s="3">
        <f>1091+(372.9-404.6)+(0.55641+(0.190179-0.206346))+0-134.9-0.0687989999999863</f>
        <v>924.87144399999988</v>
      </c>
      <c r="Z3" s="3">
        <f>1094+(358.3-407.2)+(-0.55794+(-0.182733--0.207672))+0-135.5--0.0691049999999863</f>
        <v>909.13610399999993</v>
      </c>
      <c r="AA3" s="3">
        <f>1096.6+(348.6-411.1)+(0+(0-0))+0-136.3-0</f>
        <v>897.8</v>
      </c>
      <c r="AB3" s="3">
        <f>1108.3+(331.7-424.1)+(0.565233+(0.169167-0.216291))+0-131.7-0.0671669999999866</f>
        <v>884.65094199999987</v>
      </c>
      <c r="AC3" s="3">
        <f>1113.7+(300.1-420.1)+(-0.567987+(-0.153051--0.214251))+0-125.9--0.0642089999999872</f>
        <v>867.35742200000004</v>
      </c>
      <c r="AD3">
        <v>900.79999999999984</v>
      </c>
      <c r="AE3" s="3">
        <f>1097+(363.1-405.7)+(0+(0-0))+0-137.6-0</f>
        <v>916.80000000000007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1115.4+(289-434.6)+(-0.568854+(-0.14739--0.221646))+0-133.3--0.0679829999999865</f>
        <v>836.07338500000003</v>
      </c>
      <c r="G4" s="3">
        <f>1113.2+(288.1-454.1)+(-1.703196+(-0.440793--0.694773))+0-129.3--0.197829000000007</f>
        <v>816.64861300000007</v>
      </c>
      <c r="H4" s="3">
        <f>1120.5+(265.7-457.4)+(-1.14291+(-0.271014--0.466548))+0-129.4--0.131988000000021</f>
        <v>798.58461199999999</v>
      </c>
      <c r="I4" s="3">
        <f>1117+(242.8-440.4)+(1.13934+(0.247656-0.449208))+0-132.5-0.135150000000021</f>
        <v>787.70263799999998</v>
      </c>
      <c r="J4" s="3">
        <f>1112.7+(220.4-421.6)+(-1.134954+(-0.224808--0.430032))+0-132.7--0.135354000000021</f>
        <v>778.00562400000013</v>
      </c>
      <c r="K4" s="3">
        <f>1119.9+(202.6-425.7)+(1.713447+(0.309978-0.651321))+0-122.2-0.186966000000007</f>
        <v>775.78513800000007</v>
      </c>
      <c r="L4" s="3">
        <f>1118.9+(156.9-429.6)+(-2.853195+(-0.400095--1.09548))+0-118.8--0.302939999999983</f>
        <v>725.54513000000009</v>
      </c>
      <c r="M4" s="3">
        <f>1119.7+(181-420)+(1.142094+(0.18462-0.4284))+0-128.4-0.13096800000002</f>
        <v>753.06734600000004</v>
      </c>
      <c r="N4" s="3">
        <f>1117.8+(227.3-430.9)+(0+(0-0))+0-131.7-0</f>
        <v>782.5</v>
      </c>
      <c r="O4" s="3">
        <f>1102.2+(251.5-375.8)+(0.562122+(0.128265-0.191658))+0-136.1-0.0694109999999862</f>
        <v>842.22931800000015</v>
      </c>
      <c r="P4" s="3">
        <f>1088.7+(327.8-395.7)+(-0.555237+(-0.167178--0.201807))+0-138.3--0.070532999999986</f>
        <v>882.04992499999992</v>
      </c>
      <c r="Q4" s="3">
        <f>1076.8+(418.5-474)+(-1.098336+(-0.42687--0.48348))+0-153--0.156060000000024</f>
        <v>867.41433399999994</v>
      </c>
      <c r="R4" s="3">
        <f>1069.7+(420.9-453)+(-0.545547+(-0.214659--0.23103))+0-135.8--0.0692579999999862</f>
        <v>901.34008199999994</v>
      </c>
      <c r="S4" s="3">
        <f>1067.1+(418.8-452.8)+(-1.632663+(-0.640764--0.692784))+0-134.5--0.205785000000008</f>
        <v>897.22514199999989</v>
      </c>
      <c r="T4" s="3">
        <f>1066.6+(443.5-484.9)+(-2.71983+(-1.130925--1.236495))+0-133.2--0.339659999999981</f>
        <v>889.72539999999992</v>
      </c>
      <c r="U4" s="3">
        <f>1063.7+(446.6-500.4)+(2.169948+(0.911064-1.020816))+0-127.1-0.259283999999994</f>
        <v>884.60091200000011</v>
      </c>
      <c r="V4" s="3">
        <f>1066.6+(420.7-474.8)+(0.543966+(0.214557-0.242148))+0-131.9-0.0672689999999866</f>
        <v>881.04910599999994</v>
      </c>
      <c r="W4" s="3">
        <f>1071.9+(374-443.1)+(-1.093338+(-0.38148--0.451962))+0-134.7--0.137394000000021</f>
        <v>867.21453800000006</v>
      </c>
      <c r="X4" s="3">
        <f>1092.8+(344.5-433.3)+(-1.114656+(-0.35139--0.441966))+0-138.3--0.141066000000022</f>
        <v>864.81698599999993</v>
      </c>
      <c r="Y4" s="3">
        <f>1121.5+(404.2-467)+(0.571965+(0.206142-0.23817))+0-133.6-0.0681359999999864</f>
        <v>925.57180100000005</v>
      </c>
      <c r="Z4" s="3">
        <f>1132.8+(400.9-486.5)+(0+(0-0))+0-136.2-0</f>
        <v>910.99999999999977</v>
      </c>
      <c r="AA4" s="3">
        <f>1143.3+(384.8-490.7)+(-1.166166+(-0.392496--0.500514))+0-139.4--0.142188000000022</f>
        <v>897.08404000000007</v>
      </c>
      <c r="AB4" s="3">
        <f>1154.4+(362.6-499.5)+(0.588744+(0.184926-0.254745))+0-135.3-0.0690029999999863</f>
        <v>882.64992200000017</v>
      </c>
      <c r="AC4" s="3">
        <f>1151.9+(341.9-494.8)+(0.587469+(0.174369-0.252348))+0-136.2-0.0694619999999862</f>
        <v>863.24002800000017</v>
      </c>
      <c r="AD4">
        <v>893.70000000000016</v>
      </c>
      <c r="AE4" s="3">
        <f>1136+(400.7-492.4)+(0+(0-0))+0-136.6-0</f>
        <v>907.69999999999993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1156.3+(326.5-498.3)+(-1.769139+(-0.499545--0.762399))+0-137.1--0.209763000000008</f>
        <v>846.10347799999988</v>
      </c>
      <c r="G5" s="3">
        <f>1160.7+(290.6-505.1)+(-1.183914+(-0.296412--0.515202))+0-130.8--0.133416000000021</f>
        <v>814.56829200000004</v>
      </c>
      <c r="H5" s="3">
        <f>1169.2+(245-490.5)+(0+(0-0))+0-129.1-0</f>
        <v>794.6</v>
      </c>
      <c r="I5" s="3">
        <f>1173.3+(200.4-466)+(0+(0-0))+0-128.7-0</f>
        <v>779</v>
      </c>
      <c r="J5" s="3">
        <f>1162.5+(192-449.8)+(0.592875+(0.09792-0.229398))+0-130-0.0662999999999868</f>
        <v>775.09509700000012</v>
      </c>
      <c r="K5" s="3">
        <f>1161.2+(184.6-440.2)+(0+(0-0))+0-129.6-0</f>
        <v>776</v>
      </c>
      <c r="L5" s="3">
        <f>1170.3+(152.2-424.3)+(1.790559+(0.232866-0.649179))+0-127.3-0.194769000000007</f>
        <v>772.079477</v>
      </c>
      <c r="M5" s="3">
        <f>1175.4+(143.1-400)+(-2.397816+(-0.291924--0.816))+0-131.9--0.269075999999994</f>
        <v>784.99533600000018</v>
      </c>
      <c r="N5" s="3">
        <f>1169.1+(191.7-409.3)+(0.596241+(0.097767-0.208743))+0-132-0.0673199999999866</f>
        <v>819.91794499999992</v>
      </c>
      <c r="O5" s="3">
        <f>1162.7+(219.8-402)+(-1.778931+(-0.336294--0.61506))+0-133.8--0.204714000000008</f>
        <v>845.40454899999986</v>
      </c>
      <c r="P5" s="3">
        <f>1149.9+(191.5-339.8)+(0+(0-0))+0-134.7-0</f>
        <v>866.90000000000009</v>
      </c>
      <c r="Q5" s="3">
        <f>1138.8+(192-321.1)+(0.580788+(0.09792-0.163761))+0-131.1-0.0668609999999867</f>
        <v>879.0480859999999</v>
      </c>
      <c r="R5" s="3">
        <f>1127.2+(233.2-328.5)+(-1.724616+(-0.356796--0.502605))+0-132.1--0.202113000000008</f>
        <v>898.42330600000003</v>
      </c>
      <c r="S5" s="3">
        <f>1122.3+(312.3-387.3)+(-1.144746+(-0.318546--0.395046))+0-137.7--0.140454000000022</f>
        <v>908.67220799999984</v>
      </c>
      <c r="T5" s="3">
        <f>1117.1+(318.3-387)+(-2.848605+(-0.811665--0.98685))+0-146.3--0.373064999999979</f>
        <v>899.79964499999983</v>
      </c>
      <c r="U5" s="3">
        <f>1109.3+(321.7-390.7)+(-1.697229+(-0.492201--0.597771))+0-147.7--0.225981000000009</f>
        <v>891.23432200000002</v>
      </c>
      <c r="V5" s="3">
        <f>1110.1+(306.4-385.5)+(0+(0-0))+0-151.3-0</f>
        <v>879.7</v>
      </c>
      <c r="W5" s="3">
        <f>1111.1+(275.8-365.1)+(-0.566661+(-0.140658--0.186201))+0-150.1--0.0765509999999848</f>
        <v>871.25543299999993</v>
      </c>
      <c r="X5" s="3">
        <f>1123.2+(256.5-354)+(0+(0-0))+0-151.7-0</f>
        <v>874</v>
      </c>
      <c r="Y5" s="3">
        <f>1133.8+(350.3-394.6)+(0+(0-0))+0-145.4-0</f>
        <v>944.1</v>
      </c>
      <c r="Z5" s="3">
        <f>1141+(320.9-361.6)+(-1.16382+(-0.327318--0.368832))+0-153.1--0.156162000000024</f>
        <v>946.23385599999995</v>
      </c>
      <c r="AA5" s="3">
        <f>1146+(338.3-396.5)+(-0.58446+(-0.172533--0.202215))+0-154.9--0.0789989999999843</f>
        <v>932.42422099999999</v>
      </c>
      <c r="AB5" s="3">
        <f>1148+(344.5-423.3)+(0+(0-0))+0-151.3-0</f>
        <v>917.90000000000009</v>
      </c>
      <c r="AC5" s="3">
        <f>1157.6+(343.2-455.6)+(-1.180752+(-0.350064--0.464712))+0-148.4--0.151368000000024</f>
        <v>895.88526399999989</v>
      </c>
      <c r="AD5">
        <v>915.8</v>
      </c>
      <c r="AE5" s="3">
        <f>1144+(356.6-414.1)+(0+(0-0))+0-155.7-0</f>
        <v>930.8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1162.6+(313.2-470.3)+(-1.185852+(-0.319464--0.479706))+0-151--0.154020000000024</f>
        <v>853.62840999999992</v>
      </c>
      <c r="G6" s="3">
        <f>1159.7+(240.9-432.1)+(-1.182894+(-0.245718--0.440742))+0-147.9--0.150858000000024</f>
        <v>819.76298799999995</v>
      </c>
      <c r="H6" s="3">
        <f>1155.9+(231.9-444.1)+(0+(0-0))+0-143.9-0</f>
        <v>799.80000000000007</v>
      </c>
      <c r="I6" s="3">
        <f>1160.6+(200.3-427.1)+(0+(0-0))+0-142.1-0</f>
        <v>791.69999999999993</v>
      </c>
      <c r="J6" s="3">
        <f>1154.6+(193.6-410.6)+(1.177692+(0.197472-0.418812))+0-149-0.151980000000024</f>
        <v>789.40437199999997</v>
      </c>
      <c r="K6" s="3">
        <f>1163.4+(196.1-414.2)+(-2.373336+(-0.400044--0.844968))+0-149.4--0.304775999999994</f>
        <v>794.27636400000006</v>
      </c>
      <c r="L6" s="3">
        <f>1163.1+(179.9-397.9)+(-0.593181+(-0.091749--0.202929))+0-147.8--0.075377999999985</f>
        <v>796.89337699999987</v>
      </c>
      <c r="M6" s="3">
        <f>1163.8+(188.3-383.2)+(-1.187076+(-0.192066--0.390864))+0-147--0.149940000000023</f>
        <v>821.06166199999996</v>
      </c>
      <c r="N6" s="3">
        <f>1157.9+(219.8-378)+(1.771587+(0.336294-0.57834))+0-144.1-0.220473000000008</f>
        <v>856.90906800000005</v>
      </c>
      <c r="O6" s="3">
        <f>1124.9+(235.5-337.2)+(-0.573699+(-0.120105--0.171972))+0-142.7--0.0727769999999855</f>
        <v>880.05094500000007</v>
      </c>
      <c r="P6" s="3">
        <f>1112+(245.6-305.2)+(-1.13424+(-0.250512--0.311304))+0-146.9--0.149838000000023</f>
        <v>904.57639000000006</v>
      </c>
      <c r="Q6" s="3">
        <f>1113.7+(273.9-318.8)+(-0.567987+(-0.139689--0.162588))+0-140.5--0.0716549999999857</f>
        <v>927.82656699999984</v>
      </c>
      <c r="R6" s="3">
        <f>1115.7+(288.7-336)+(-0.569007+(-0.147237--0.17136))+0-137.4--0.0700739999999861</f>
        <v>930.52519000000018</v>
      </c>
      <c r="S6" s="3">
        <f>1117.3+(334.2-395.5)+(-1.709469+(-0.511326--0.605115))+0-132.7--0.203031000000008</f>
        <v>921.88735099999985</v>
      </c>
      <c r="T6" s="3">
        <f>1119.9+(352.5-443.7)+(-2.284596+(-0.7191--0.905148))+0-126.9--0.258875999999995</f>
        <v>899.96032800000012</v>
      </c>
      <c r="U6" s="3">
        <f>1111.8+(362.9-444)+(-2.268072+(-0.740316--0.90576))+0-135.6--0.276623999999994</f>
        <v>893.27399599999967</v>
      </c>
      <c r="V6" s="3">
        <f>1110.8+(336-417.8)+(-1.699524+(-0.51408--0.639234))+0-139.1--0.212823000000008</f>
        <v>888.53845299999989</v>
      </c>
      <c r="W6" s="3">
        <f>1113.4+(294.2-392)+(-1.703502+(-0.450126--0.59976))+0-141.4--0.216342000000008</f>
        <v>872.86247400000025</v>
      </c>
      <c r="X6" s="3">
        <f>1117.9+(274.8-368.9)+(-1.710387+(-0.420444--0.564417))+0-140.2--0.214506000000008</f>
        <v>882.24809200000027</v>
      </c>
      <c r="Y6" s="3">
        <f>1125.9+(341.6-383.5)+(0+(0-0))+0-138.7-0</f>
        <v>945.3</v>
      </c>
      <c r="Z6" s="3">
        <f>1134.4+(343.6-392.9)+(-1.735632+(-0.525708--0.601137))+0-141.6--0.216648000000008</f>
        <v>942.05644500000017</v>
      </c>
      <c r="AA6" s="3">
        <f>1135.2+(403.7-470.8)+(-1.736856+(-0.617661--0.720324))+0-142.6--0.218178000000008</f>
        <v>924.08398499999976</v>
      </c>
      <c r="AB6" s="3">
        <f>1118.6+(397.8-463.7)+(-0.570486+(-0.202878--0.236487))+0-143.6--0.0732359999999854</f>
        <v>908.63635899999974</v>
      </c>
      <c r="AC6" s="3">
        <f>1085.9+(386.9-432.8)+(-1.107618+(-0.394638--0.441456))+0-155.4--0.158508000000025</f>
        <v>883.69770800000003</v>
      </c>
      <c r="AD6">
        <v>937.30000000000007</v>
      </c>
      <c r="AE6" s="3">
        <f>1137+(339.3-382.9)+(0+(0-0))+0-141.1-0</f>
        <v>952.30000000000007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1109.3+(340.1-434.2)+(0+(0-0))+0-155-0</f>
        <v>860.2</v>
      </c>
      <c r="G7" s="3">
        <f>1122.8+(290.8-426.7)+(0+(0-0))+0-155.2-0</f>
        <v>831.7</v>
      </c>
      <c r="H7" s="3">
        <f>1135.3+(239.4-414)+(-1.737009+(-0.366282--0.63342))+0-154.1--0.235773000000009</f>
        <v>805.36590199999989</v>
      </c>
      <c r="I7" s="3">
        <f>1139.6+(208.3-408)+(0.581196+(0.106233-0.20808))+0-146.8-0.0748679999999851</f>
        <v>793.50448099999983</v>
      </c>
      <c r="J7" s="3">
        <f>1142.3+(198.1-403.8)+(0+(0-0))+0-149.7-0</f>
        <v>786.89999999999986</v>
      </c>
      <c r="K7" s="3">
        <f>1140.3+(187.3-390.9)+(1.163106+(0.191046-0.398718))+0-150.3-0.153306000000024</f>
        <v>787.20212800000002</v>
      </c>
      <c r="L7" s="3">
        <f>1139.2+(177.9-378.6)+(-1.161984+(-0.181458--0.386172))+0-152.8--0.155856000000024</f>
        <v>784.89858599999991</v>
      </c>
      <c r="M7" s="3">
        <f>1143.5+(179.1-350.1)+(0+(0-0))+0-156.8-0</f>
        <v>815.7</v>
      </c>
      <c r="N7" s="3">
        <f>1145.5+(215.7-345.4)+(0+(0-0))+0-158.2-0</f>
        <v>857.59999999999991</v>
      </c>
      <c r="O7" s="3">
        <f>1147.8+(225.9-332.7)+(0+(0-0))+0-158-0</f>
        <v>883</v>
      </c>
      <c r="P7" s="3">
        <f>1144.3+(233.5-322.1)+(1.167186+(0.23817-0.328542))+0-147.3-0.150246000000024</f>
        <v>909.32656799999984</v>
      </c>
      <c r="Q7" s="3">
        <f>1136.9+(270-330)+(-2.319276+(-0.5508--0.6732))+0-140.7--0.287027999999994</f>
        <v>934.29015200000003</v>
      </c>
      <c r="R7" s="3">
        <f>1133.4+(312.3-340.4)+(-2.312136+(-0.637092--0.694416))+0-143--0.291719999999994</f>
        <v>960.33690800000022</v>
      </c>
      <c r="S7" s="3">
        <f>1158.1+(311.3-366.4)+(-0.590631+(-0.158763--0.186864))+0-145.6--0.0742559999999852</f>
        <v>956.91172600000004</v>
      </c>
      <c r="T7" s="3">
        <f>1157.7+(285.6-343.4)+(1.180854+(0.291312-0.350268))+0-150.6-0.153612000000024</f>
        <v>950.2682860000001</v>
      </c>
      <c r="U7" s="3">
        <f>1186.8+(268.4-372.4)+(-1.210536+(-0.273768--0.379848))+0-144.8--0.147696000000023</f>
        <v>937.04323999999997</v>
      </c>
      <c r="V7" s="3">
        <f>1198.7+(307.3-421.4)+(-1.834011+(-0.470169--0.644742))+0-149.5--0.228735000000009</f>
        <v>933.66929700000026</v>
      </c>
      <c r="W7" s="3">
        <f>1221.1+(247.2-395.5)+(1.245522+(0.252144-0.40341))+0-150.4-0.153408000000024</f>
        <v>923.34084800000005</v>
      </c>
      <c r="X7" s="3">
        <f>1324+(183.8-436.1)+(-0.67524+(-0.093738--0.222411))+0-149.4--0.0761939999999848</f>
        <v>921.82962699999996</v>
      </c>
      <c r="Y7" s="3">
        <f>1345.8+(232.1-448.2)+(2.059074+(0.355113-0.685746))+0-148.8-0.227664000000009</f>
        <v>982.40077700000006</v>
      </c>
      <c r="Z7" s="3">
        <f>1356.7+(230.1-464.4)+(0.691917+(0.117351-0.236844))+0-152.2-0.0776219999999846</f>
        <v>970.69480199999998</v>
      </c>
      <c r="AA7" s="3">
        <f>1361.4+(226.5-484.8)+(0+(0-0))+0-153.2-0</f>
        <v>949.90000000000009</v>
      </c>
      <c r="AB7" s="3">
        <f>1368.6+(202.5-490.3)+(0+(0-0))+0-152.6-0</f>
        <v>928.19999999999993</v>
      </c>
      <c r="AC7" s="3">
        <f>1297.9+(229.6-470.5)+(0.661929+(0.117096-0.239955))+0-150.8-0.0769079999999847</f>
        <v>906.66216200000008</v>
      </c>
      <c r="AD7">
        <v>953.9</v>
      </c>
      <c r="AE7" s="3">
        <f>1371+(234.5-483.2)+(0+(0-0))+0-152.4-0</f>
        <v>969.9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1231.5+(241.6-446.7)+(-3.76839+(-0.739296--1.366902))+0-153--0.468180000000018</f>
        <v>870.727396</v>
      </c>
      <c r="G8" s="3">
        <f>1092.9+(279.5-379.3)+(-1.672137+(-0.427635--0.580329))+0-150--0.229500000000009</f>
        <v>841.81005700000014</v>
      </c>
      <c r="H8" s="3">
        <f>1003.2+(292.5-325.8)+(-0.511632+(-0.149175--0.166158))+0-146.4--0.0746639999999851</f>
        <v>823.08001500000012</v>
      </c>
      <c r="I8" s="3">
        <f>1011.5+(284.5-332.9)+(-2.579325+(-0.725475--0.848895))+0-148.1--0.377654999999978</f>
        <v>812.92174999999997</v>
      </c>
      <c r="J8" s="3">
        <f>1015.9+(324.4-381.3)+(0+(0-0))+0-152.2-0</f>
        <v>806.8</v>
      </c>
      <c r="K8" s="3">
        <f>1015+(326.5-380.5)+(1.55295+(0.499545-0.582165))+0-153.2-0.234396000000009</f>
        <v>809.035934</v>
      </c>
      <c r="L8" s="3">
        <f>1006+(302.7-352.2)+(1.02612+(0.308754-0.359244))+0-150.6-0.153612000000024</f>
        <v>806.72201799999993</v>
      </c>
      <c r="M8" s="3">
        <f>1006.9+(328.6-347.6)+(-1.540557+(-0.502758--0.531828))+0-153.1--0.234243000000009</f>
        <v>833.52275599999996</v>
      </c>
      <c r="N8" s="3">
        <f>996.7+(366.2-329.7)+(-0.508317+(-0.186762--0.168147))+0-152.8--0.0779279999999845</f>
        <v>879.95099600000003</v>
      </c>
      <c r="O8" s="3">
        <f>989.1+(363.2-285)+(-1.008882+(-0.370464--0.2907))+0-152.7--0.155754000000024</f>
        <v>913.66710799999998</v>
      </c>
      <c r="P8" s="3">
        <f>981+(355.6-245.9)+(-1.00062+(-0.362712--0.250818))+0-155.6--0.158712000000025</f>
        <v>934.14619800000014</v>
      </c>
      <c r="Q8" s="3">
        <f>969.8+(360.4-227.6)+(-0.494598+(-0.183804--0.116076))+0-156.3--0.0797129999999841</f>
        <v>945.81738699999994</v>
      </c>
      <c r="R8" s="3">
        <f>960.1+(362.1-223.1)+(-0.979302+(-0.369342--0.227562))+0-156.7--0.159834000000025</f>
        <v>941.43875200000025</v>
      </c>
      <c r="S8" s="3">
        <f>955.3+(363.9-227.6)+(-0.974406+(-0.371178--0.232152))+0-159.1--0.162282000000025</f>
        <v>931.54884999999979</v>
      </c>
      <c r="T8" s="3">
        <f>953.6+(403-266)+(-1.945344+(-0.82212--0.54264))+0-161.6--0.329663999999993</f>
        <v>927.10483999999997</v>
      </c>
      <c r="U8" s="3">
        <f>945.7+(427.7-287)+(-0.482307+(-0.218127--0.14637))+0-158.3--0.0807329999999839</f>
        <v>927.62666900000022</v>
      </c>
      <c r="V8" s="3">
        <f>946.1+(403.4-269.1)+(-1.930044+(-0.822936--0.548964))+0-162.1--0.330683999999993</f>
        <v>916.42666800000018</v>
      </c>
      <c r="W8" s="3">
        <f>939.5+(368.3-238.4)+(-1.91658+(-0.751332--0.486336))+0-161.3--0.329051999999993</f>
        <v>906.24747600000023</v>
      </c>
      <c r="X8" s="3">
        <f>945.2+(344.4-236.5)+(0.482052+(0.175644-0.120615))+0-157.6-0.080375999999984</f>
        <v>895.95670499999983</v>
      </c>
      <c r="Y8" s="3">
        <f>954.7+(425.8-260)+(0.486897+(0.217158-0.1326))+0-160.6-0.0819059999999837</f>
        <v>960.38954899999999</v>
      </c>
      <c r="Z8" s="3">
        <f>964.9+(417.2-278.8)+(-0.492099+(-0.212772--0.142188))+0-162.1--0.0826709999999835</f>
        <v>940.71998799999983</v>
      </c>
      <c r="AA8" s="3">
        <f>980.1+(400.5-302.5)+(-1.999404+(-0.81702--0.6171))+0-161.8--0.330071999999993</f>
        <v>914.43074799999999</v>
      </c>
      <c r="AB8" s="3">
        <f>978.4+(402.4-309.7)+(-0.997968+(-0.410448--0.315894))+0-160.7--0.163914000000026</f>
        <v>909.47139199999992</v>
      </c>
      <c r="AC8" s="3">
        <f>983.3+(407.8-337.9)+(-0.501483+(-0.207978--0.172329))+0-160.6--0.0819059999999837</f>
        <v>892.1447740000001</v>
      </c>
      <c r="AD8">
        <v>957</v>
      </c>
      <c r="AE8" s="3">
        <f>964+(421.2-253.4)+(0+(0-0))+0-158.8-0</f>
        <v>973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995.2+(372.1-323.8)+(-1.015104+(-0.379542--0.330276))+0-160--0.163200000000026</f>
        <v>882.59883000000002</v>
      </c>
      <c r="G9" s="3">
        <f>1002.9+(294.9-293.1)+(-2.557395+(-0.751995--0.747405))+0-154.9--0.394994999999978</f>
        <v>847.6330099999999</v>
      </c>
      <c r="H9" s="3">
        <f>995.7+(262.8-285.3)+(0+(0-0))+0-157.1-0</f>
        <v>816.1</v>
      </c>
      <c r="I9" s="3">
        <f>995.9+(249.8-285)+(-2.031636+(-0.509592--0.5814))+0-159.5--0.325379999999993</f>
        <v>799.56555200000003</v>
      </c>
      <c r="J9" s="3">
        <f>1001.6+(249.3-306)+(-1.021632+(-0.254286--0.31212))+0-155.6--0.158712000000025</f>
        <v>788.49491400000011</v>
      </c>
      <c r="K9" s="3">
        <f>1010+(239.3-300.5)+(-0.5151+(-0.122043--0.153255))+0-157.3--0.080222999999984</f>
        <v>791.09633499999995</v>
      </c>
      <c r="L9" s="3">
        <f>1002.4+(257.6-318.1)+(0+(0-0))+0-155.5-0</f>
        <v>786.4</v>
      </c>
      <c r="M9" s="3">
        <f>1006.8+(291.9-317.3)+(-2.053872+(-0.595476--0.647292))+0-160--0.326399999999993</f>
        <v>819.72434399999986</v>
      </c>
      <c r="N9" s="3">
        <f>999.7+(311.4-289.6)+(0.509847+(0.158814-0.147696))+0-159.2-0.0811919999999838</f>
        <v>862.73977300000013</v>
      </c>
      <c r="O9" s="3">
        <f>992.6+(295.1-247.7)+(0+(0-0))+0-150.1-0</f>
        <v>889.9</v>
      </c>
      <c r="P9" s="3">
        <f>981.4+(362.6-272.9)+(-1.001028+(-0.369852--0.278358))+0-155.5--0.158610000000025</f>
        <v>914.66608800000006</v>
      </c>
      <c r="Q9" s="3">
        <f>972.5+(405.5-288.1)+(-0.495975+(-0.206805--0.146931))+0-157.9--0.080528999999984</f>
        <v>931.52467999999999</v>
      </c>
      <c r="R9" s="3">
        <f>962.2+(395.8-259.8)+(-2.944332+(-1.211148--0.794988))+0-156.5--0.478890000000018</f>
        <v>938.818398</v>
      </c>
      <c r="S9" s="3">
        <f>959.9+(407.5-255.4)+(-1.468647+(-0.623475--0.390762))+0-157.9--0.241587000000009</f>
        <v>952.64022699999998</v>
      </c>
      <c r="T9" s="3">
        <f>952.5+(430-270.6)+(-1.457325+(-0.6579--0.414018))+0-156.4--0.239292000000009</f>
        <v>954.03808500000002</v>
      </c>
      <c r="U9" s="3">
        <f>946.9+(430.3-270.9)+(-1.448757+(-0.658359--0.414477))+0-159--0.243270000000009</f>
        <v>945.85063099999991</v>
      </c>
      <c r="V9" s="3">
        <f>947.3+(418.8-255.8)+(-0.966246+(-0.427176--0.260916))+0-166.1--0.169422000000026</f>
        <v>943.23691600000006</v>
      </c>
      <c r="W9" s="3">
        <f>942.3+(393.1-235.6)+(-1.441719+(-0.601443--0.360468))+0-163.5--0.250155000000009</f>
        <v>934.86746099999993</v>
      </c>
      <c r="X9" s="3">
        <f>946.2+(363.2-227.1)+(-1.930248+(-0.740928--0.463284))+0-159.1--0.324563999999993</f>
        <v>921.31667200000004</v>
      </c>
      <c r="Y9" s="3">
        <f>947.3+(439.6-253)+(0.483123+(0.224196-0.12903))+0-158.4-0.0807839999999839</f>
        <v>975.99750500000016</v>
      </c>
      <c r="Z9" s="3">
        <f>959.8+(416.2-268.1)+(0+(0-0))+0-160.9-0</f>
        <v>946.99999999999989</v>
      </c>
      <c r="AA9" s="3">
        <f>968.9+(446-326.3)+(-2.470695+(-1.1373--0.832065))+0-161--0.410549999999977</f>
        <v>925.23461999999984</v>
      </c>
      <c r="AB9" s="3">
        <f>969.4+(434.7-334.6)+(-1.977576+(-0.886788--0.682584))+0-163.1--0.332723999999993</f>
        <v>904.55094400000007</v>
      </c>
      <c r="AC9" s="3">
        <f>968+(421.9-341.7)+(-1.48104+(-0.645507--0.522801))+0-162.4--0.248472000000009</f>
        <v>884.44472600000006</v>
      </c>
      <c r="AD9">
        <v>961.19999999999993</v>
      </c>
      <c r="AE9" s="3">
        <f>960+(434.6-258.8)+(0+(0-0))+0-158.6-0</f>
        <v>977.19999999999993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973.4+(379.5-315.7)+(-0.992868+(-0.38709--0.322014))+0-163.4--0.166668000000026</f>
        <v>872.90872400000023</v>
      </c>
      <c r="G10" s="3">
        <f>979.6+(309.5-273.8)+(-2.49798+(-0.789225--0.69819))+0-161.5--0.411824999999977</f>
        <v>851.62280999999996</v>
      </c>
      <c r="H10" s="3">
        <f>985.5+(293.3-287.5)+(-0.502605+(-0.149583--0.146625))+0-161.9--0.0825689999999836</f>
        <v>828.97700599999996</v>
      </c>
      <c r="I10" s="3">
        <f>980.9+(263.4-274.3)+(-2.001036+(-0.537336--0.559572))+0-161.4--0.329255999999993</f>
        <v>806.95045600000003</v>
      </c>
      <c r="J10" s="3">
        <f>989.5+(254.1-281)+(0+(0-0))+0-161.5-0</f>
        <v>801.1</v>
      </c>
      <c r="K10" s="3">
        <f>990.4+(248.4-276.5)+(-0.505104+(-0.126684--0.141015))+0-162.2--0.0827219999999835</f>
        <v>799.69194899999991</v>
      </c>
      <c r="L10" s="3">
        <f>995.7+(251.7-283.1)+(-1.015614+(-0.256734--0.288762))+0-159.9--0.163098000000026</f>
        <v>803.57951200000002</v>
      </c>
      <c r="M10" s="3">
        <f>1000.4+(278.7-280)+(0.510204+(0.142137-0.1428))+0-164.6-0.0839459999999833</f>
        <v>834.92559499999993</v>
      </c>
      <c r="N10" s="3">
        <f>987.1+(315.6-263.2)+(0+(0-0))+0-165.4-0</f>
        <v>874.1</v>
      </c>
      <c r="O10" s="3">
        <f>984.9+(340.6-263.6)+(0+(0-0))+0-164.2-0</f>
        <v>897.7</v>
      </c>
      <c r="P10" s="3">
        <f>976.7+(406.7-289.9)+(0.498117+(0.207417-0.147849))+0-166.6-0.0849659999999831</f>
        <v>927.37271899999996</v>
      </c>
      <c r="Q10" s="3">
        <f>966.5+(394.6-264.9)+(-1.478745+(-0.603738--0.405297))+0-161--0.246330000000009</f>
        <v>933.76914400000021</v>
      </c>
      <c r="R10" s="3">
        <f>967.2+(345.8-209.3)+(-1.973088+(-0.705432--0.426972))+0-154.6--0.315383999999993</f>
        <v>947.16383600000006</v>
      </c>
      <c r="S10" s="3">
        <f>959.9+(360.1-223.3)+(0+(0-0))+0-161.1-0</f>
        <v>935.6</v>
      </c>
      <c r="T10" s="3">
        <f>961.9+(364.8-228.8)+(-0.490569+(-0.186048--0.116688))+0-160.2--0.0817019999999837</f>
        <v>937.22177299999998</v>
      </c>
      <c r="U10" s="3">
        <f>958.5+(358.8-230.6)+(-0.97767+(-0.365976--0.235212))+0-158.3--0.161466000000025</f>
        <v>927.45303200000012</v>
      </c>
      <c r="V10" s="3">
        <f>956.2+(342.3-222)+(0+(0-0))+0-150.8-0</f>
        <v>925.7</v>
      </c>
      <c r="W10" s="3">
        <f>962.4+(319.4-214.7)+(-0.981648+(-0.325788--0.218994))+0-153.9--0.156978000000025</f>
        <v>912.26853599999993</v>
      </c>
      <c r="X10" s="3">
        <f>966.1+(321.9-231.6)+(-2.463555+(-0.820845--0.59058))+0-154.2--0.393209999999978</f>
        <v>899.89939000000004</v>
      </c>
      <c r="Y10" s="3">
        <f>969.8+(435.4-288.5)+(0.989196+(0.444108-0.29427))+0-155.9-0.159018000000025</f>
        <v>961.78001599999982</v>
      </c>
      <c r="Z10" s="3">
        <f>969.9+(458.6-304.5)+(-1.978596+(-0.935544--0.62118))+0-162.2--0.330887999999993</f>
        <v>959.83792799999992</v>
      </c>
      <c r="AA10" s="3">
        <f>972.6+(439.9-311.9)+(0.496026+(0.224349-0.159069))+0-160.8-0.0820079999999837</f>
        <v>940.27929800000004</v>
      </c>
      <c r="AB10" s="3">
        <f>990.7+(362-275.7)+(-2.021028+(-0.73848--0.562428))+0-160.3--0.327011999999993</f>
        <v>914.8299320000001</v>
      </c>
      <c r="AC10" s="3">
        <f>999.2+(306.5-250.5)+(-0.509592+(-0.156315--0.127755))+0-162.2--0.0827219999999835</f>
        <v>892.54456999999991</v>
      </c>
      <c r="AD10">
        <v>959.00000000000011</v>
      </c>
      <c r="AE10" s="3">
        <f>965+(471.9-309.8)+(0+(0-0))+0-153.1-0</f>
        <v>973.99999999999989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1003.7+(296.2-256.3)+(-0.511887+(-0.151062--0.130713))+0-161.6--0.0824159999999836</f>
        <v>881.55017999999984</v>
      </c>
      <c r="G11" s="3">
        <f>1007.2+(245.6-251)+(-1.541016+(-0.375768--0.38403))+0-159.4--0.243882000000009</f>
        <v>841.11112800000012</v>
      </c>
      <c r="H11" s="3">
        <f>1007.4+(252.9-280.4)+(-0.513774+(-0.128979--0.143004))+0-157.9--0.080528999999984</f>
        <v>821.58078</v>
      </c>
      <c r="I11" s="3">
        <f>1012.5+(236.2-276.1)+(-2.0655+(-0.481848--0.563244))+0-160.7--0.327827999999993</f>
        <v>810.24372399999993</v>
      </c>
      <c r="J11" s="3">
        <f>1016.5+(225.7-269.7)+(-3.11049+(-0.690642--0.825282))+0-159.4--0.487764000000018</f>
        <v>810.61191399999996</v>
      </c>
      <c r="K11" s="3">
        <f>1019.8+(215.3-270.4)+(-0.520098+(-0.109803--0.137904))+0-154.4--0.0787439999999843</f>
        <v>809.88674700000013</v>
      </c>
      <c r="L11" s="3">
        <f>1012.8+(211.5-269)+(-1.549584+(-0.323595--0.41157))+0-157.7--0.241281000000009</f>
        <v>796.37967199999991</v>
      </c>
      <c r="M11" s="3">
        <f>1009.4+(237.8-265.4)+(-0.514794+(-0.121278--0.135354))+0-156--0.0795599999999842</f>
        <v>825.37884199999996</v>
      </c>
      <c r="N11" s="3">
        <f>1005.9+(283.4-270.1)+(0.513009+(0.144534-0.137751))+0-156.8-0.0799679999999841</f>
        <v>862.83982399999991</v>
      </c>
      <c r="O11" s="3">
        <f>993.1+(303.8-250.4)+(1.519443+(0.464814-0.383112))+0-152.4-0.233172000000009</f>
        <v>895.46797300000014</v>
      </c>
      <c r="P11" s="3">
        <f>981.6+(299.1-220.7)+(-0.500616+(-0.152541--0.112557))+0-149.9--0.0764489999999848</f>
        <v>909.63584900000001</v>
      </c>
      <c r="Q11" s="3">
        <f>974.7+(324.5-220.1)+(1.491291+(0.496485-0.336753))+0-151.2-0.231336000000009</f>
        <v>929.31968699999993</v>
      </c>
      <c r="R11" s="3">
        <f>974.7+(342.6-218.3)+(0+(0-0))+0-154.5-0</f>
        <v>944.5</v>
      </c>
      <c r="S11" s="3">
        <f>976.2+(355.3-224.7)+(-0.995724+(-0.362406--0.229194))+0-162.1--0.165342000000026</f>
        <v>943.7364060000001</v>
      </c>
      <c r="T11" s="3">
        <f>969.9+(368.9-231.7)+(-1.978596+(-0.752556--0.472668))+0-163.2--0.332927999999993</f>
        <v>941.97444399999995</v>
      </c>
      <c r="U11" s="3">
        <f>960.5+(359.6-223.9)+(0.489855+(0.183396-0.114189))+0-160.5-0.0818549999999837</f>
        <v>936.17720700000007</v>
      </c>
      <c r="V11" s="3">
        <f>959.3+(347.1-215.1)+(-2.446215+(-0.885105--0.548505))+0-161.8--0.412589999999977</f>
        <v>927.129775</v>
      </c>
      <c r="W11" s="3">
        <f>957+(326.6-206.4)+(-1.46421+(-0.499698--0.315792))+0-164.5--0.251685000000009</f>
        <v>911.30356899999992</v>
      </c>
      <c r="X11" s="3">
        <f>958.6+(285.5-185.9)+(-1.955544+(-0.58242--0.379236))+0-157--0.320279999999993</f>
        <v>899.36155199999996</v>
      </c>
      <c r="Y11" s="3">
        <f>968+(359.1-211.1)+(0.98736+(0.366282-0.215322))+0-150.6-0.153612000000024</f>
        <v>966.38470799999993</v>
      </c>
      <c r="Z11" s="3">
        <f>974.5+(371.7-231.3)+(-1.98798+(-0.758268--0.471852))+0-151.8--0.309671999999993</f>
        <v>961.13527600000009</v>
      </c>
      <c r="AA11" s="3">
        <f>978.6+(375.6-242.5)+(-1.996344+(-0.766224--0.4947))+0-164--0.334559999999993</f>
        <v>945.76669200000015</v>
      </c>
      <c r="AB11" s="3">
        <f>979.1+(390.7-268.3)+(-2.496705+(-0.996285--0.684165))+0-163--0.415649999999976</f>
        <v>936.10682499999996</v>
      </c>
      <c r="AC11" s="3">
        <f>978.4+(396.9-286.8)+(0.498984+(0.202419-0.146268))+0-165.8-0.0845579999999832</f>
        <v>923.17057700000009</v>
      </c>
      <c r="AD11">
        <v>954.40000000000009</v>
      </c>
      <c r="AE11" s="3">
        <f>968+(374.5-222.1)+(0+(0-0))+0-151-0</f>
        <v>969.40000000000009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970.2+(370.3-277.3)+(0+(0-0))+0-163.4-0</f>
        <v>899.80000000000007</v>
      </c>
      <c r="G12" s="3">
        <f>979.2+(310.6-268.7)+(-1.498176+(-0.475218--0.411111))+0-161.9--0.247707000000009</f>
        <v>857.88542400000017</v>
      </c>
      <c r="H12" s="3">
        <f>987.1+(261.1-259.7)+(-3.020526+(-0.798966--0.794682))+0-160.3--0.490518000000019</f>
        <v>825.665708</v>
      </c>
      <c r="I12" s="3">
        <f>985.5+(239.8-250)+(-2.01042+(-0.489192--0.51))+0-160.1--0.326603999999993</f>
        <v>813.53699199999994</v>
      </c>
      <c r="J12" s="3">
        <f>986.5+(219.4-242.8)+(-0.503115+(-0.111894--0.123828))+0-158.5--0.0808349999999839</f>
        <v>804.18965400000002</v>
      </c>
      <c r="K12" s="3">
        <f>999.1+(201.9-244)+(-0.509541+(-0.102969--0.12444))+0-152--0.0775199999999846</f>
        <v>804.58944999999994</v>
      </c>
      <c r="L12" s="3">
        <f>1001.2+(191.5-242.2)+(-3.063672+(-0.58599--0.741132))+0-156.2--0.477972000000018</f>
        <v>791.86944200000005</v>
      </c>
      <c r="M12" s="3">
        <f>997.9+(210-224.4)+(-1.017858+(-0.2142--0.228888))+0-162.3--0.165546000000026</f>
        <v>820.36237600000015</v>
      </c>
      <c r="N12" s="3">
        <f>987.7+(249.4-218.7)+(0.503727+(0.127194-0.111537))+0-164.8-0.0840479999999833</f>
        <v>854.03533600000014</v>
      </c>
      <c r="O12" s="3">
        <f>981.2+(278.4-214.3)+(-1.501236+(-0.425952--0.327879))+0-167.2--0.25581600000001</f>
        <v>876.75650699999994</v>
      </c>
      <c r="P12" s="3">
        <f>973+(285.2-197.3)+(-1.48869+(-0.436356--0.301869))+0-167.8--0.25673400000001</f>
        <v>891.73355700000025</v>
      </c>
      <c r="Q12" s="3">
        <f>963.6+(300-189.8)+(-1.965744+(-0.612--0.387192))+0-166.8--0.340271999999993</f>
        <v>905.14972</v>
      </c>
      <c r="R12" s="3">
        <f>956.8+(319.8-199)+(-1.463904+(-0.489294--0.30447))+0-159.7--0.244341000000009</f>
        <v>916.49561299999993</v>
      </c>
      <c r="S12" s="3">
        <f>950.1+(336.7-209.7)+(-0.484551+(-0.171717--0.106947))+0-160.2--0.0817019999999837</f>
        <v>916.43238099999985</v>
      </c>
      <c r="T12" s="3">
        <f>946.3+(344-217.1)+(0+(0-0))+0-162.6-0</f>
        <v>910.6</v>
      </c>
      <c r="U12" s="3">
        <f>946.4+(328.9-205.6)+(-1.447992+(-0.503217--0.314568))+0-161.8--0.247554000000009</f>
        <v>906.51091300000007</v>
      </c>
      <c r="V12" s="3">
        <f>943.7+(344.6-231.7)+(-1.925148+(-0.702984--0.472668))+0-153.6--0.313343999999993</f>
        <v>901.1578800000002</v>
      </c>
      <c r="W12" s="3">
        <f>941.9+(313.2-216.7)+(0.960738+(0.319464-0.221034))+0-154.3-0.157386000000025</f>
        <v>885.00178200000016</v>
      </c>
      <c r="X12" s="3">
        <f>941.8+(292.9-210.9)+(-2.40159+(-0.746895--0.537795))+0-147.9--0.377144999999979</f>
        <v>873.66645499999993</v>
      </c>
      <c r="Y12" s="3">
        <f>955.1+(360.9-239.4)+(0+(0-0))+0-143.9-0</f>
        <v>932.69999999999993</v>
      </c>
      <c r="Z12" s="3">
        <f>962.6+(361.8-234.3)+(0+(0-0))+0-151.4-0</f>
        <v>938.69999999999993</v>
      </c>
      <c r="AA12" s="3">
        <f>963.2+(351.2-240)+(-2.45616+(-0.89556--0.612))+0-151.3--0.385814999999978</f>
        <v>920.74609500000008</v>
      </c>
      <c r="AB12" s="3">
        <f>968.1+(339-243.4)+(-1.974924+(-0.69156--0.496536))+0-146.8--0.299471999999994</f>
        <v>915.02952400000015</v>
      </c>
      <c r="AC12" s="3">
        <f>971+(308.4-234.2)+(-1.48563+(-0.471852--0.358326))+0-146.7--0.224451000000008</f>
        <v>897.12529500000005</v>
      </c>
      <c r="AD12">
        <v>946.5</v>
      </c>
      <c r="AE12" s="3">
        <f>968+(378.5-236.3)+(0+(0-0))+0-148.7-0</f>
        <v>961.5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971.6+(313.5-255.2)+(-0.991032+(-0.31977--0.260304))+0-145.6--0.148512000000023</f>
        <v>883.39801399999999</v>
      </c>
      <c r="G13" s="3">
        <f>976+(304.8-284.1)+(-1.99104+(-0.621792--0.579564))+0-148.6--0.303143999999993</f>
        <v>846.36987599999998</v>
      </c>
      <c r="H13" s="3">
        <f>987.2+(250.5-288.9)+(-2.51736+(-0.638775--0.736695))+0-148.7--0.379184999999978</f>
        <v>798.05974500000002</v>
      </c>
      <c r="I13" s="3">
        <f>990.5+(229.8-273.6)+(1.01031+(0.234396-0.279072))+0-147.3-0.150246000000024</f>
        <v>800.21538799999996</v>
      </c>
      <c r="J13" s="3">
        <f>995.9+(204.9-267.1)+(-1.015818+(-0.208998--0.272442))+0-148.9--0.151878000000024</f>
        <v>783.999504</v>
      </c>
      <c r="K13" s="3">
        <f>998.2+(198.9-265.9)+(0.509082+(0.101439-0.135609))+0-149-0.0759899999999849</f>
        <v>782.59892200000013</v>
      </c>
      <c r="L13" s="3">
        <f>1007.8+(173-263.6)+(-3.597846+(-0.61761--0.941052))+0-147.6--0.526932000000002</f>
        <v>766.85252799999989</v>
      </c>
      <c r="M13" s="3">
        <f>1007.8+(180.1-258.8)+(-0.513978+(-0.091851--0.131988))+0-150.1--0.0765509999999848</f>
        <v>778.60270999999989</v>
      </c>
      <c r="N13" s="3">
        <f>984.4+(198.5-258.3)+(0.502044+(0.101235-0.131733))+0-150-0.0764999999999848</f>
        <v>774.99504599999989</v>
      </c>
      <c r="O13" s="3">
        <f>963.8+(210-260.3)+(-1.474614+(-0.3213--0.398259))+0-154.5--0.236385000000009</f>
        <v>757.83873000000006</v>
      </c>
      <c r="P13" s="3">
        <f>956.1+(211-259.6)+(0.975222+(0.21522-0.264792))+0-152.2-0.155244000000024</f>
        <v>756.07040600000005</v>
      </c>
      <c r="Q13" s="3">
        <f>956.3+(217.8-272.2)+(-0.975426+(-0.222156--0.277644))+0-152.7--0.155754000000024</f>
        <v>748.43581600000005</v>
      </c>
      <c r="R13" s="3">
        <f>948.5+(227.9-275.6)+(-0.96747+(-0.232458--0.281112))+0-151.7--0.154734000000024</f>
        <v>748.33591800000011</v>
      </c>
      <c r="S13" s="3">
        <f>939.5+(238.9-275.7)+(0+(0-0))+0-151.4-0</f>
        <v>751.30000000000007</v>
      </c>
      <c r="T13" s="3">
        <f>919.8+(261.5-270.6)+(-0.469098+(-0.133365--0.138006))+0-150.7--0.0768569999999847</f>
        <v>759.61239999999998</v>
      </c>
      <c r="U13" s="3">
        <f>919.5+(270-278)+(-0.93789+(-0.2754--0.28356))+0-146.2--0.149124000000023</f>
        <v>764.51939400000015</v>
      </c>
      <c r="V13" s="3">
        <f>921.9+(276.3-279.4)+(-0.940338+(-0.281826--0.284988))+0-144--0.146880000000023</f>
        <v>774.00970399999994</v>
      </c>
      <c r="W13" s="3">
        <f>929.3+(262.4-269.3)+(-0.473943+(-0.133824--0.137343))+0-146--0.0744599999999852</f>
        <v>776.00403599999981</v>
      </c>
      <c r="X13" s="3">
        <f>924.8+(259.1-247.8)+(-2.35824+(-0.660705--0.63189))+0-146.2--0.372809999999979</f>
        <v>787.8857549999999</v>
      </c>
      <c r="Y13" s="3">
        <f>948.3+(358.1-279.9)+(-0.967266+(-0.365262--0.285498))+0-146.3--0.149226000000023</f>
        <v>879.30219600000009</v>
      </c>
      <c r="Z13" s="3">
        <f>956.7+(369.2-256.4)+(-0.487917+(-0.188292--0.130764))+0-148.3--0.075632999999985</f>
        <v>920.73018800000011</v>
      </c>
      <c r="AA13" s="3">
        <f>958.5+(384.3-280.3)+(-0.488835+(-0.195993--0.142953))+0-148--0.075479999999985</f>
        <v>914.03360500000008</v>
      </c>
      <c r="AB13" s="3">
        <f>963.8+(372.4-299.6)+(-1.474614+(-0.569772--0.458388))+0-143.2--0.219096000000008</f>
        <v>892.03309799999988</v>
      </c>
      <c r="AC13" s="3">
        <f>962.5+(375-331.5)+(-0.98175+(-0.3825--0.33813))+0-144.1--0.146982000000023</f>
        <v>861.02086199999997</v>
      </c>
      <c r="AD13">
        <v>917.10000000000014</v>
      </c>
      <c r="AE13" s="3">
        <f>960+(389.7-277.8)+(0+(0-0))+0-139.8-0</f>
        <v>932.10000000000014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973.1+(390-370.3)+(-1.985124+(-0.7956--0.755412))+0-145.4--0.296615999999994</f>
        <v>845.67130399999996</v>
      </c>
      <c r="G14" s="3">
        <f>975.9+(324.9-342.7)+(0.497709+(0.165699-0.174777))+0-143.2-0.0730319999999855</f>
        <v>815.31559900000002</v>
      </c>
      <c r="H14" s="3">
        <f>990.3+(280.4-334.6)+(-1.010106+(-0.286008--0.341292))+0-142.3--0.145146000000023</f>
        <v>792.99032399999987</v>
      </c>
      <c r="I14" s="3">
        <f>980+(263.9-317.6)+(-0.9996+(-0.269178--0.323952))+0-144.3--0.147186000000023</f>
        <v>781.20235999999989</v>
      </c>
      <c r="J14" s="3">
        <f>983.6+(244.2-309.3)+(0+(0-0))+0-145.7-0</f>
        <v>772.8</v>
      </c>
      <c r="K14" s="3">
        <f>989.3+(215-286.5)+(0+(0-0))+0-143.9-0</f>
        <v>773.9</v>
      </c>
      <c r="L14" s="3">
        <f>1007.6+(216.7-292.5)+(-2.055504+(-0.442068--0.5967))+0-140.6--0.286823999999994</f>
        <v>789.58595199999991</v>
      </c>
      <c r="M14" s="3">
        <f>984.7+(254.3-267.1)+(-0.502197+(-0.129693--0.136221))+0-143.3--0.0730829999999855</f>
        <v>828.177414</v>
      </c>
      <c r="N14" s="3">
        <f>982.2+(322.5-267.7)+(0+(0-0))+0-145.4-0</f>
        <v>891.6</v>
      </c>
      <c r="O14" s="3">
        <f>984+(368.3-270.3)+(0+(0-0))+0-145-0</f>
        <v>937</v>
      </c>
      <c r="P14" s="3">
        <f>984.9+(404.9-298.3)+(-0.502299+(-0.206499--0.152133))+0-143.3--0.0730829999999855</f>
        <v>947.71641799999998</v>
      </c>
      <c r="Q14" s="3">
        <f>995.9+(442.5-307.3)+(-1.523727+(-0.677025--0.470169))+0-144.8--0.221544000000008</f>
        <v>984.79096099999992</v>
      </c>
      <c r="R14" s="3">
        <f>1030.9+(448.2-336.5)+(-1.577277+(-0.685746--0.514845))+0-148.7--0.227511000000009</f>
        <v>992.37933300000009</v>
      </c>
      <c r="S14" s="3">
        <f>1094.4+(434-387.2)+(-2.232576+(-0.88536--0.789888))+0-152.2--0.310487999999993</f>
        <v>986.98243999999988</v>
      </c>
      <c r="T14" s="3">
        <f>1151.6+(398.2-414.2)+(-1.761948+(-0.609246--0.633726))+0-148.4--0.227052000000009</f>
        <v>985.68958399999985</v>
      </c>
      <c r="U14" s="3">
        <f>1161.3+(378.7-413.7)+(-2.369052+(-0.772548--0.843948))+0-143.7--0.293147999999994</f>
        <v>980.59549599999991</v>
      </c>
      <c r="V14" s="3">
        <f>1214.3+(330.5-419.3)+(-3.715758+(-1.01133--1.283058))+0-147.7--0.451962000000017</f>
        <v>974.80793199999982</v>
      </c>
      <c r="W14" s="3">
        <f>1270.3+(263.8-419.5)+(-3.239265+(-0.67269--1.069725))+0-148.5--0.378674999999978</f>
        <v>963.63644499999987</v>
      </c>
      <c r="X14" s="3">
        <f>1294+(211.7-412)+(-1.97982+(-0.323901--0.63036))+0-141.5--0.216495000000008</f>
        <v>950.74313400000017</v>
      </c>
      <c r="Y14" s="3">
        <f>1296.6+(267.4-408)+(0+(0-0))+0-142.8-0</f>
        <v>1013.2</v>
      </c>
      <c r="Z14" s="3">
        <f>1301.5+(308.1-442)+(-2.65506+(-0.628524--0.90168))+0-147.2--0.300287999999994</f>
        <v>1018.3183839999998</v>
      </c>
      <c r="AA14" s="3">
        <f>1312.3+(311.7-471.8)+(-2.677092+(-0.635868--0.962472))+0-147.9--0.301715999999994</f>
        <v>1002.2512279999997</v>
      </c>
      <c r="AB14" s="3">
        <f>1316.7+(326.6-512)+(-2.014551+(-0.499698--0.78336))+0-147.9--0.226287000000009</f>
        <v>981.89539800000023</v>
      </c>
      <c r="AC14" s="3">
        <f>1328.5+(281.3-518.9)+(-2.71014+(-0.573852--1.058556))+0-145.7--0.297227999999994</f>
        <v>943.27179200000012</v>
      </c>
      <c r="AD14">
        <v>1029.5999999999999</v>
      </c>
      <c r="AE14" s="3">
        <f>1309+(306.5-417)+(0+(0-0))+0-153.9-0</f>
        <v>1044.5999999999999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1339.6+(219.3-506.3)+(-3.41598+(-0.559215--1.291065))+0-136.3--0.34756499999998</f>
        <v>913.96343499999989</v>
      </c>
      <c r="G15" s="3">
        <f>1353.6+(161.9-493.9)+(-3.45168+(-0.412845--1.259445))+0-134.6--0.34322999999998</f>
        <v>884.73814999999979</v>
      </c>
      <c r="H15" s="3">
        <f>1349.6+(133.3-485.8)+(-2.064888+(-0.203949--0.743274))+0-132.5--0.202725000000008</f>
        <v>863.27716199999986</v>
      </c>
      <c r="I15" s="3">
        <f>1356.5+(128.7-507.7)+(-2.075445+(-0.196911--0.776781))+0-130.4--0.199512000000008</f>
        <v>845.80393700000002</v>
      </c>
      <c r="J15" s="3">
        <f>1359.3+(120.3-503.3)+(-1.386486+(-0.122706--0.513366))+0-129.8--0.132396000000021</f>
        <v>845.63656999999989</v>
      </c>
      <c r="K15" s="3">
        <f>1359.3+(124-510.1)+(1.386486+(0.12648-0.520302))+0-128.9-0.131478000000021</f>
        <v>845.16118599999993</v>
      </c>
      <c r="L15" s="3">
        <f>1362+(138.3-517.9)+(-1.38924+(-0.141066--0.528258))+0-128.7--0.131274000000021</f>
        <v>852.82922600000029</v>
      </c>
      <c r="M15" s="3">
        <f>1358.8+(153.4-498.9)+(0+(0-0))+0-131.8-0</f>
        <v>881.5</v>
      </c>
      <c r="N15" s="3">
        <f>1348.9+(152.9-442.4)+(-0.687939+(-0.077979--0.225624))+0-133.1--0.0678809999999865</f>
        <v>925.82758700000011</v>
      </c>
      <c r="O15" s="3">
        <f>1323.5+(195-428.1)+(1.34997+(0.1989-0.436662))+0-136.5-0.139230000000022</f>
        <v>954.8729780000001</v>
      </c>
      <c r="P15" s="3">
        <f>1317.4+(226-430)+(-0.671874+(-0.11526--0.2193))+0-133.7--0.0681869999999864</f>
        <v>979.20035300000006</v>
      </c>
      <c r="Q15" s="3">
        <f>1259.8+(265.7-396.4)+(-0.642498+(-0.135507--0.202164))+0-135.2--0.0689519999999863</f>
        <v>993.39311099999975</v>
      </c>
      <c r="R15" s="3">
        <f>1160.7+(331.3-355.6)+(-0.591957+(-0.168963--0.181356))+0-136.6--0.0696659999999861</f>
        <v>999.29010200000016</v>
      </c>
      <c r="S15" s="3">
        <f>1144.4+(380.1-371.3)+(-2.91822+(-0.969255--0.946815))+0-136.6--0.34832999999998</f>
        <v>1014.0076700000001</v>
      </c>
      <c r="T15" s="3">
        <f>1126.6+(392.3-363.8)+(-2.298264+(-0.800292--0.742152))+0-133.1--0.271523999999994</f>
        <v>1019.9151199999998</v>
      </c>
      <c r="U15" s="3">
        <f>1133.4+(376.2-369.8)+(-1.156068+(-0.383724--0.377196))+0-131.2--0.133824000000021</f>
        <v>1007.5712280000002</v>
      </c>
      <c r="V15" s="3">
        <f>1204.2+(309.8-382.3)+(-1.842426+(-0.473994--0.584919))+0-129.6--0.198288000000007</f>
        <v>1000.5667870000001</v>
      </c>
      <c r="W15" s="3">
        <f>1269.7+(235.9-389.5)+(0.647547+(0.120309-0.198645))+0-131.7-0.0671669999999866</f>
        <v>984.90204400000005</v>
      </c>
      <c r="X15" s="3">
        <f>1271.4+(257.5-404)+(-1.945242+(-0.393975--0.61812))+0-132.8--0.203184000000008</f>
        <v>990.582087</v>
      </c>
      <c r="Y15" s="3">
        <f>1279.7+(351.8-453)+(-1.305294+(-0.358836--0.46206))+0-139.8--0.142596000000022</f>
        <v>1037.6405259999999</v>
      </c>
      <c r="Z15" s="3">
        <f>1306.4+(345.2-480.7)+(-2.665056+(-0.704208--0.980628))+0-138--0.281519999999994</f>
        <v>1030.7928840000002</v>
      </c>
      <c r="AA15" s="3">
        <f>1311+(389.3-551.4)+(-0.66861+(-0.198543--0.281214))+0-135--0.0688499999999863</f>
        <v>1013.382911</v>
      </c>
      <c r="AB15" s="3">
        <f>1303.9+(384.8-563)+(-3.324945+(-0.98124--1.43565))+0-132--0.336599999999981</f>
        <v>991.166065</v>
      </c>
      <c r="AC15" s="3">
        <f>1312.7+(357.5-570.9)+(-0.669477+(-0.182325--0.291159))+0-138.8--0.0707879999999859</f>
        <v>960.01014500000019</v>
      </c>
      <c r="AD15">
        <v>1060.1999999999998</v>
      </c>
      <c r="AE15" s="3">
        <f>1305+(368.3-449.7)+(0+(0-0))+0-148.4-0</f>
        <v>1075.1999999999998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1186.5+(371.9-499.5)+(-1.815345+(-0.569007--0.764235))+0-137.2--0.209916000000008</f>
        <v>920.28979900000013</v>
      </c>
      <c r="G16" s="3">
        <f>1136.3+(347.7-465.4)+(0+(0-0))+0-138.3-0</f>
        <v>880.3</v>
      </c>
      <c r="H16" s="3">
        <f>1136.7+(315.6-439)+(0.579717+(0.160956-0.22389))+0-137.6-0.070175999999986</f>
        <v>876.14660700000013</v>
      </c>
      <c r="I16" s="3">
        <f>1141.5+(286.6-416.6)+(0+(0-0))+0-141.1-0</f>
        <v>870.4</v>
      </c>
      <c r="J16" s="3">
        <f>1146.4+(271.8-416)+(-3.507984+(-0.831708--1.27296))+0-142.2--0.435132000000016</f>
        <v>857.36840000000007</v>
      </c>
      <c r="K16" s="3">
        <f>1152+(254.7-407.3)+(1.17504+(0.259794-0.415446))+0-140.4-0.143208000000022</f>
        <v>859.87617999999998</v>
      </c>
      <c r="L16" s="3">
        <f>1176.4+(236.5-406.7)+(-0.599964+(-0.120615--0.207417))+0-145.2--0.0740519999999853</f>
        <v>860.56088999999997</v>
      </c>
      <c r="M16" s="3">
        <f>1202.3+(270.8-424.4)+(-1.226346+(-0.276216--0.432888))+0-151.4--0.154428000000024</f>
        <v>896.38475400000004</v>
      </c>
      <c r="N16" s="3">
        <f>1190.9+(288.8-406.7)+(-0.607359+(-0.147288--0.207417))+0-148.9--0.0759389999999849</f>
        <v>923.62870900000007</v>
      </c>
      <c r="O16" s="3">
        <f>1186.8+(301.4-401.2)+(0.605268+(0.153714-0.204612))+0-138.5-0.0706349999999859</f>
        <v>948.98373500000002</v>
      </c>
      <c r="P16" s="3">
        <f>1176.3+(316.4-399)+(0.599913+(0.161364-0.20349))+0-133.9-0.0682889999999864</f>
        <v>960.28949799999987</v>
      </c>
      <c r="Q16" s="3">
        <f>1170.2+(346.5-398.4)+(0+(0-0))+0-134.7-0</f>
        <v>983.60000000000014</v>
      </c>
      <c r="R16" s="3">
        <f>1164.1+(372.7-408.7)+(-1.187382+(-0.380154--0.416874))+0-136.4--0.139128000000022</f>
        <v>990.68846599999995</v>
      </c>
      <c r="S16" s="3">
        <f>1166.5+(383-416.7)+(-1.18983+(-0.39066--0.425034))+0-134.5--0.137190000000021</f>
        <v>997.28173400000003</v>
      </c>
      <c r="T16" s="3">
        <f>1140.7+(435.5-441)+(-1.163514+(-0.44421--0.44982))+0-135.4--0.138108000000022</f>
        <v>998.78020400000014</v>
      </c>
      <c r="U16" s="3">
        <f>1129.8+(458.8-464.9)+(0.576198+(0.233988-0.237099))+0-136.6-0.0696659999999861</f>
        <v>987.60342100000003</v>
      </c>
      <c r="V16" s="3">
        <f>1131.1+(409.7-432.7)+(-0.576861+(-0.208947--0.220677))+0-138.8--0.0707879999999859</f>
        <v>968.80565699999988</v>
      </c>
      <c r="W16" s="3">
        <f>1129.7+(367.2-398.9)+(-1.728441+(-0.561816--0.610317))+0-139.2--0.212976000000008</f>
        <v>957.33303599999999</v>
      </c>
      <c r="X16" s="3">
        <f>1151.9+(344.6-399.4)+(-1.174938+(-0.351492--0.407388))+0-142.2--0.145044000000023</f>
        <v>953.92600200000004</v>
      </c>
      <c r="Y16" s="3">
        <f>1166+(387.7-398.2)+(-0.59466+(-0.197727--0.203082))+0-139.2--0.0709919999999859</f>
        <v>1015.7816869999999</v>
      </c>
      <c r="Z16" s="3">
        <f>1160.6+(431.8-415.6)+(-2.95953+(-1.10109--1.05978))+0-143.6--0.366179999999979</f>
        <v>1030.5653400000001</v>
      </c>
      <c r="AA16" s="3">
        <f>1159.1+(477.7-467)+(-1.773423+(-0.730881--0.71451))+0-147.4--0.225522000000009</f>
        <v>1020.8357279999999</v>
      </c>
      <c r="AB16" s="3">
        <f>1155.7+(516.6-511.9)+(-1.768221+(-0.790398--0.783207))+0-153.5--0.234855000000009</f>
        <v>1005.3594430000002</v>
      </c>
      <c r="AC16" s="3">
        <f>1089.9+(546.4-511)+(-2.779245+(-1.39332--1.30305))+0-155.9--0.397544999999977</f>
        <v>966.92803000000004</v>
      </c>
      <c r="AD16">
        <v>1031.5</v>
      </c>
      <c r="AE16" s="3">
        <f>1163+(427.8-406.3)+(0+(0-0))+0-137-0</f>
        <v>1047.5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963.6+(634-490)+(-0.982872+(-0.64668--0.4998))+0-158--0.161160000000025</f>
        <v>948.63140799999985</v>
      </c>
      <c r="G17" s="3">
        <f>936.1+(608.4-466.5)+(-3.819288+(-2.482272--1.90332))+0-154.4--0.629951999999987</f>
        <v>919.83171200000004</v>
      </c>
      <c r="H17" s="3">
        <f>948.2+(536.6-425.1)+(-1.450746+(-0.820998--0.650403))+0-153.9--0.235467000000009</f>
        <v>904.41412600000001</v>
      </c>
      <c r="I17" s="3">
        <f>946.2+(505.7-412.5)+(-0.965124+(-0.515814--0.42075))+0-150.7--0.153714000000024</f>
        <v>887.79352600000016</v>
      </c>
      <c r="J17" s="3">
        <f>939.4+(477.9-387.1)+(-2.39547+(-1.218645--0.987105))+0-151.7--0.386834999999978</f>
        <v>876.25982499999986</v>
      </c>
      <c r="K17" s="3">
        <f>944.6+(446.1-363.3)+(0.481746+(0.227511-0.185283))+0-147.1-0.0750209999999851</f>
        <v>880.74895300000003</v>
      </c>
      <c r="L17" s="3">
        <f>940.8+(414.9-325.2)+(-0.959616+(-0.423198--0.331704))+0-144.3--0.147186000000023</f>
        <v>885.29607599999997</v>
      </c>
      <c r="M17" s="3">
        <f>941+(376.9-266.7)+(-0.95982+(-0.384438--0.272034))+0-145.1--0.148002000000023</f>
        <v>905.17577800000004</v>
      </c>
      <c r="N17" s="3">
        <f>936.2+(382.2-246.3)+(-0.954924+(-0.389844--0.251226))+0-140.5--0.143310000000022</f>
        <v>930.64976799999988</v>
      </c>
      <c r="O17" s="3">
        <f>934.7+(438.4-278.4)+(-0.476697+(-0.223584--0.141984))+0-135.6--0.0691559999999862</f>
        <v>958.610859</v>
      </c>
      <c r="P17" s="3">
        <f>932.1+(408.3-221.8)+(0+(0-0))+0-137.5-0</f>
        <v>981.09999999999991</v>
      </c>
      <c r="Q17" s="3">
        <f>921.2+(433.4-205.6)+(-0.469812+(-0.221034--0.104856))+0-140.2--0.0715019999999858</f>
        <v>1008.2855119999999</v>
      </c>
      <c r="R17" s="3">
        <f>904.1+(490.9-239.3)+(-0.461091+(-0.250359--0.122043))+0-141.1--0.0719609999999857</f>
        <v>1014.0825540000001</v>
      </c>
      <c r="S17" s="3">
        <f>901.2+(625.2-360.1)+(-1.378836+(-0.956556--0.550953))+0-140.6--0.215118000000008</f>
        <v>1024.1306790000001</v>
      </c>
      <c r="T17" s="3">
        <f>900.9+(626.9-372.9)+(-0.459459+(-0.319719--0.190179))+0-143.4--0.0731339999999855</f>
        <v>1010.984135</v>
      </c>
      <c r="U17" s="3">
        <f>902.4+(606.2-378.6)+(-3.221568+(-2.164134--1.351602))+0-143.8--0.513366000000002</f>
        <v>982.67926599999998</v>
      </c>
      <c r="V17" s="3">
        <f>925.8+(549.1-373.8)+(-1.416474+(-0.840123--0.571914))+0-149.8--0.229194000000009</f>
        <v>949.84451100000001</v>
      </c>
      <c r="W17" s="3">
        <f>963.6+(444.8-330.1)+(-2.948616+(-1.361088--1.010106))+0-142.8--0.436968000000017</f>
        <v>932.63736999999992</v>
      </c>
      <c r="X17" s="3">
        <f>963+(421.1-291.9)+(-1.47339+(-0.644283--0.446607))+0-144.1--0.220473000000008</f>
        <v>946.64940699999988</v>
      </c>
      <c r="Y17" s="3">
        <f>972.2+(545.9-366.9)+(-0.991644+(-0.556818--0.374238))+0-143.2--0.146064000000023</f>
        <v>1006.9718399999999</v>
      </c>
      <c r="Z17" s="3">
        <f>981.4+(599.9-408.3)+(-2.002056+(-1.223796--0.832932))+0-144.8--0.295391999999994</f>
        <v>1026.102472</v>
      </c>
      <c r="AA17" s="3">
        <f>980.4+(637.7-453.4)+(-2.000016+(-1.300908--0.924936))+0-150.3--0.306611999999993</f>
        <v>1012.3306240000001</v>
      </c>
      <c r="AB17" s="3">
        <f>981.1+(668.3-502.1)+(-1.000722+(-0.681666--0.512142))+0-154.2--0.157284000000025</f>
        <v>992.08703800000001</v>
      </c>
      <c r="AC17" s="3">
        <f>978.3+(750.5-609.9)+(-0.997866+(-0.76551--0.622098))+0-156.9--0.160038000000025</f>
        <v>961.01876000000004</v>
      </c>
      <c r="AD17">
        <v>1029.7</v>
      </c>
      <c r="AE17" s="3">
        <f>987+(591.1-394.3)+(0+(0-0))+0-144.1-0</f>
        <v>1039.7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980.3+(720.5-599.7)+(-2.499765+(-1.837275--1.529235))+0-155.9--0.397544999999977</f>
        <v>942.78973999999994</v>
      </c>
      <c r="G18" s="3">
        <f>981.1+(648.5-568.8)+(-1.501083+(-0.992205--0.870264))+0-154.2--0.235926000000009</f>
        <v>905.21290200000021</v>
      </c>
      <c r="H18" s="3">
        <f>980.9+(581-529.4)+(0+(0-0))+0-152.1-0</f>
        <v>880.4</v>
      </c>
      <c r="I18" s="3">
        <f>984.3+(522.1-490.5)+(-1.505979+(-0.798813--0.750465))+0-154--0.235620000000009</f>
        <v>860.58129300000007</v>
      </c>
      <c r="J18" s="3">
        <f>984.7+(491.1-466.5)+(-3.013182+(-1.502766--1.42749))+0-154.2--0.471852000000018</f>
        <v>852.4833940000002</v>
      </c>
      <c r="K18" s="3">
        <f>983.2+(471.7-443.9)+(-1.002864+(-0.481134--0.452778))+0-158--0.161160000000025</f>
        <v>852.12994000000003</v>
      </c>
      <c r="L18" s="3">
        <f>980.7+(420.8-389.5)+(-2.000628+(-0.858432--0.79458))+0-156.7--0.319667999999993</f>
        <v>853.55518799999993</v>
      </c>
      <c r="M18" s="3">
        <f>982.3+(393.5-342.8)+(0+(0-0))+0-155.1-0</f>
        <v>877.9</v>
      </c>
      <c r="N18" s="3">
        <f>984.5+(379.1-284.9)+(-1.00419+(-0.386682--0.290598))+0-162.4--0.165648000000026</f>
        <v>915.3653740000002</v>
      </c>
      <c r="O18" s="3">
        <f>985.1+(355.2-233.4)+(0+(0-0))+0-162-0</f>
        <v>944.90000000000009</v>
      </c>
      <c r="P18" s="3">
        <f>986.1+(369.8-229.7)+(0.502911+(0.188598-0.117147))+0-161.8-0.0825179999999836</f>
        <v>964.89184400000022</v>
      </c>
      <c r="Q18" s="3">
        <f>996.2+(409.7-260.8)+(-1.524186+(-0.626841--0.399024))+0-165--0.25245000000001</f>
        <v>978.6004469999998</v>
      </c>
      <c r="R18" s="3">
        <f>995+(480.1-314.4)+(-1.0149+(-0.489702--0.320688))+0-163.8--0.167076000000026</f>
        <v>995.8831620000002</v>
      </c>
      <c r="S18" s="3">
        <f>983.3+(553.2-366.6)+(-1.002966+(-0.564264--0.373932))+0-166.9--0.170238000000027</f>
        <v>1001.9769400000002</v>
      </c>
      <c r="T18" s="3">
        <f>978.5+(571.3-381.4)+(0+(0-0))+0-170.1-0</f>
        <v>998.30000000000007</v>
      </c>
      <c r="U18" s="3">
        <f>980.7+(527-368.9)+(-2.000628+(-1.07508--0.752556))+0-161.3--0.329051999999993</f>
        <v>975.50590000000034</v>
      </c>
      <c r="V18" s="3">
        <f>974.1+(459.8-318.5)+(-0.993582+(-0.468996--0.32487))+0-159.8--0.162996000000025</f>
        <v>954.62528800000018</v>
      </c>
      <c r="W18" s="3">
        <f>972+(399.1-265.5)+(-1.48716+(-0.610623--0.406215))+0-169.5--0.25933500000001</f>
        <v>934.66776699999991</v>
      </c>
      <c r="X18" s="3">
        <f>974.9+(331.2-208.2)+(-1.988796+(-0.675648--0.424728))+0-175.7--0.358427999999992</f>
        <v>920.318712</v>
      </c>
      <c r="Y18" s="3">
        <f>975.5+(450.1-262.4)+(-0.497505+(-0.229551--0.133824))+0-174.6--0.0890459999999823</f>
        <v>988.09581400000002</v>
      </c>
      <c r="Z18" s="3">
        <f>978.8+(510.2-307.5)+(0.499188+(0.260202-0.156825))+0-176.7-0.0901169999999821</f>
        <v>1005.3124479999999</v>
      </c>
      <c r="AA18" s="3">
        <f>979.1+(558.3-374.8)+(-1.997364+(-1.138932--0.764592))+0-174.4--0.355775999999992</f>
        <v>986.18407200000001</v>
      </c>
      <c r="AB18" s="3">
        <f>979.1+(590.7-427)+(-1.997364+(-1.205028--0.87108))+0-173.3--0.353531999999992</f>
        <v>967.52222000000017</v>
      </c>
      <c r="AC18" s="3">
        <f>976.9+(580.9-441.3)+(-0.996438+(-0.592518--0.450126))+0-174.1--0.177582000000028</f>
        <v>941.43875199999991</v>
      </c>
      <c r="AD18">
        <v>1005</v>
      </c>
      <c r="AE18" s="3">
        <f>977+(514.5-301)+(0+(0-0))+0-175.5-0</f>
        <v>1015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975+(531.3-407.2)+(-0.9945+(-0.541926--0.415344))+0-169.9--0.173298000000027</f>
        <v>928.25221600000009</v>
      </c>
      <c r="G19" s="3">
        <f>980.4+(454.4-370.9)+(-0.500004+(-0.231744--0.189159))+0-160.3--0.0817529999999837</f>
        <v>903.13916400000016</v>
      </c>
      <c r="H19" s="3">
        <f>980.9+(401.5-345.9)+(-1.500777+(-0.614295--0.529227))+0-157--0.240210000000009</f>
        <v>878.15436499999998</v>
      </c>
      <c r="I19" s="3">
        <f>979.3+(372.2-338.5)+(0+(0-0))+0-157.6-0</f>
        <v>855.4</v>
      </c>
      <c r="J19" s="3">
        <f>982.9+(353.1-327.8)+(-1.503837+(-0.540243--0.501534))+0-161.3--0.246789000000009</f>
        <v>845.604243</v>
      </c>
      <c r="K19" s="3">
        <f>982+(335.6-314.5)+(0.50082+(0.171156-0.160395))+0-157.9-0.080528999999984</f>
        <v>845.63105200000007</v>
      </c>
      <c r="L19" s="3">
        <f>979.3+(286.8-277.5)+(-1.498329+(-0.438804--0.424575))+0-159.9--0.244647000000009</f>
        <v>827.43208899999991</v>
      </c>
      <c r="M19" s="3">
        <f>952.2+(259.2-207.9)+(-1.942488+(-0.528768--0.424116))+0-163--0.332519999999993</f>
        <v>838.78538000000003</v>
      </c>
      <c r="N19" s="3">
        <f>792.6+(447-207.9)+(-2.02113+(-1.13985--0.530145))+0-166.9--0.425594999999976</f>
        <v>862.59476000000006</v>
      </c>
      <c r="O19" s="3">
        <f>782.8+(485.7-202.3)+(-0.399228+(-0.247707--0.103173))+0-162.8--0.0830279999999835</f>
        <v>902.93926599999986</v>
      </c>
      <c r="P19" s="3">
        <f>777.7+(471.8-154.2)+(-0.793254+(-0.481236--0.157284))+0-162.1--0.165342000000026</f>
        <v>932.24813600000027</v>
      </c>
      <c r="Q19" s="3">
        <f>781.9+(535.5-191.1)+(-0.398769+(-0.273105--0.097461))+0-163--0.0831299999999835</f>
        <v>962.80871699999989</v>
      </c>
      <c r="R19" s="3">
        <f>817.2+(562.1-235.9)+(-1.250316+(-0.860013--0.360927))+0-164.7--0.25199100000001</f>
        <v>977.2025890000001</v>
      </c>
      <c r="S19" s="3">
        <f>869.5+(574.1-286.6)+(-2.66067+(-1.756746--0.876996))+0-165.4--0.506124000000019</f>
        <v>988.56570399999998</v>
      </c>
      <c r="T19" s="3">
        <f>1022.3+(417.1-293.9)+(-1.042746+(-0.425442--0.299778))+0-164.6--0.167892000000026</f>
        <v>979.89948200000003</v>
      </c>
      <c r="U19" s="3">
        <f>1120+(313.4-309.4)+(-3.4272+(-0.959004--0.946764))+0-163.8--0.501228000000019</f>
        <v>957.26178799999991</v>
      </c>
      <c r="V19" s="3">
        <f>1127.5+(261.5-286.8)+(-1.725075+(-0.400095--0.438804))+0-166.2--0.25428600000001</f>
        <v>934.56792000000007</v>
      </c>
      <c r="W19" s="3">
        <f>1125.4+(266.9-315.8)+(-0.573954+(-0.136119--0.161058))+0-170--0.0866999999999827</f>
        <v>906.0376849999999</v>
      </c>
      <c r="X19" s="3">
        <f>1131.1+(292.8-349.6)+(0+(0-0))+0-170-0</f>
        <v>904.3</v>
      </c>
      <c r="Y19" s="3">
        <f>1132.6+(353.6-350.5)+(-0.577626+(-0.180336--0.178755))+0-168.8--0.0860879999999829</f>
        <v>966.40688099999988</v>
      </c>
      <c r="Z19" s="3">
        <f>1143.6+(349.4-327.5)+(-1.749708+(-0.534582--0.501075))+0-164.2--0.25122600000001</f>
        <v>999.768011</v>
      </c>
      <c r="AA19" s="3">
        <f>1142.3+(350-324.1)+(-0.582573+(-0.1785--0.165291))+0-167.1--0.085220999999983</f>
        <v>1000.5894389999996</v>
      </c>
      <c r="AB19" s="3">
        <f>1148+(341.8-328)+(-2.34192+(-0.697272--0.66912))+0-168.1--0.342923999999993</f>
        <v>991.67285200000003</v>
      </c>
      <c r="AC19" s="3">
        <f>1148.6+(321-343.1)+(-0.585786+(-0.16371--0.174981))+0-166.6--0.0849659999999831</f>
        <v>959.41045099999997</v>
      </c>
      <c r="AD19">
        <v>999.4</v>
      </c>
      <c r="AE19" s="3">
        <f>1151+(354.4-338.4)+(0+(0-0))+0-157.6-0</f>
        <v>1009.4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1142.9+(289.1-329.5)+(-2.914395+(-0.737205--0.840225))+0-167.1--0.426104999999976</f>
        <v>933.01472999999999</v>
      </c>
      <c r="G20" s="3">
        <f>1150.9+(266.7-345.9)+(-1.760877+(-0.408051--0.529227))+0-164.2--0.25122600000001</f>
        <v>906.11152499999992</v>
      </c>
      <c r="H20" s="3">
        <f>1149.6+(234.3-339.5)+(1.172592+(0.238986-0.34629))+0-163.5-0.166770000000026</f>
        <v>881.79851799999983</v>
      </c>
      <c r="I20" s="3">
        <f>1151.9+(205.8-332.7)+(0+(0-0))+0-168.5-0</f>
        <v>856.5</v>
      </c>
      <c r="J20" s="3">
        <f>1152.7+(218-352.9)+(-1.175754+(-0.22236--0.359958))+0-173.7--0.177174000000028</f>
        <v>843.2390180000001</v>
      </c>
      <c r="K20" s="3">
        <f>1154.1+(221.2-351.9)+(-1.765773+(-0.338436--0.538407))+0-174.4--0.26683200000001</f>
        <v>847.70102999999995</v>
      </c>
      <c r="L20" s="3">
        <f>1152.1+(209.1-353.7)+(-2.350284+(-0.426564--0.721548))+0-173--0.352919999999992</f>
        <v>832.79761999999994</v>
      </c>
      <c r="M20" s="3">
        <f>1150.9+(253.5-386.6)+(0+(0-0))+0-175.2-0</f>
        <v>842.60000000000014</v>
      </c>
      <c r="N20" s="3">
        <f>1151.2+(323.7-417.8)+(0+(0-0))+0-171.1-0</f>
        <v>885.99999999999989</v>
      </c>
      <c r="O20" s="3">
        <f>1137.6+(352.7-404.7)+(0+(0-0))+0-160.7-0</f>
        <v>924.89999999999986</v>
      </c>
      <c r="P20" s="3">
        <f>1131.2+(337.7-365.3)+(0+(0-0))+0-155.2-0</f>
        <v>948.39999999999986</v>
      </c>
      <c r="Q20" s="3">
        <f>1102.8+(363-332.8)+(-2.249712+(-0.74052--0.678912))+0-161.5--0.329459999999993</f>
        <v>969.51814000000002</v>
      </c>
      <c r="R20" s="3">
        <f>1108.4+(377.2-323.8)+(-0.565284+(-0.192372--0.165138))+0-170.4--0.0869039999999827</f>
        <v>990.89438600000028</v>
      </c>
      <c r="S20" s="3">
        <f>1106+(375.9-293.9)+(-1.12812+(-0.383418--0.299778))+0-173.7--0.177174000000028</f>
        <v>1013.2654140000001</v>
      </c>
      <c r="T20" s="3">
        <f>1103.5+(383.4-284)+(-1.12557+(-0.391068--0.28968))+0-176.3--0.179826000000028</f>
        <v>1025.5528680000002</v>
      </c>
      <c r="U20" s="3">
        <f>1100.5+(371.1-293.8)+(0+(0-0))+0-173.9-0</f>
        <v>1003.9</v>
      </c>
      <c r="V20" s="3">
        <f>1101.5+(382-333.7)+(-0.561765+(-0.19482--0.170187))+0-177.4--0.090473999999982</f>
        <v>971.90407600000003</v>
      </c>
      <c r="W20" s="3">
        <f>1111.2+(339.3-333.1)+(-3.400272+(-1.038258--1.019286))+0-177.2--0.54223200000002</f>
        <v>937.32298800000012</v>
      </c>
      <c r="X20" s="3">
        <f>1122.4+(344.3-352.2)+(-2.289696+(-0.702372--0.718488))+0-177.6--0.362303999999992</f>
        <v>934.98872399999993</v>
      </c>
      <c r="Y20" s="3">
        <f>1119.1+(417.6-357.8)+(1.141482+(0.425952-0.364956))+0-175.7-0.179214000000028</f>
        <v>1004.2232639999997</v>
      </c>
      <c r="Z20" s="3">
        <f>1123.4+(451.5-377)+(0+(0-0))+0-172.6-0</f>
        <v>1025.3000000000002</v>
      </c>
      <c r="AA20" s="3">
        <f>1133.8+(412.4-352.8)+(-2.89119+(-1.05162--0.89964))+0-171.8--0.438089999999975</f>
        <v>1018.99492</v>
      </c>
      <c r="AB20" s="3">
        <f>1141.4+(392.8-349)+(-0.582114+(-0.200328--0.17799))+0-171--0.0872099999999826</f>
        <v>1013.682758</v>
      </c>
      <c r="AC20" s="3">
        <f>1149.3+(390.5-394.3)+(-1.172286+(-0.39831--0.402186))+0-173--0.176460000000028</f>
        <v>971.50805000000003</v>
      </c>
      <c r="AD20">
        <v>1024.3999999999999</v>
      </c>
      <c r="AE20" s="3">
        <f>1135+(442.7-369.6)+(0+(0-0))+0-173.7-0</f>
        <v>1034.3999999999999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1149.5+(349.7-385.2)+(-1.17249+(-0.356694--0.392904))+0-162.1--0.165342000000026</f>
        <v>950.92906200000004</v>
      </c>
      <c r="G21" s="3">
        <f>1149.7+(303.1-371.8)+(0+(0-0))+0-156.3-0</f>
        <v>924.7</v>
      </c>
      <c r="H21" s="3">
        <f>1150.6+(264.7-353.5)+(-2.347224+(-0.539988--0.72114))+0-154.8--0.315791999999993</f>
        <v>905.14972</v>
      </c>
      <c r="I21" s="3">
        <f>1153.9+(236.4-341.8)+(-2.353956+(-0.482256--0.697272))+0-153.2--0.312527999999993</f>
        <v>893.47358799999995</v>
      </c>
      <c r="J21" s="3">
        <f>1156.5+(240.4-360.6)+(-1.769445+(-0.367812--0.551718))+0-150.9--0.230877000000009</f>
        <v>884.04533800000002</v>
      </c>
      <c r="K21" s="3">
        <f>1156.1+(236.1-360)+(-1.768833+(-0.361233--0.5508))+0-157.1--0.240363000000009</f>
        <v>873.76109699999984</v>
      </c>
      <c r="L21" s="3">
        <f>1158.7+(202-349.2)+(-0.590937+(-0.10302--0.178092))+0-149.9--0.0764489999999848</f>
        <v>861.16058400000009</v>
      </c>
      <c r="M21" s="3">
        <f>1165.5+(168.2-315.4)+(0+(0-0))+0-149.3-0</f>
        <v>869</v>
      </c>
      <c r="N21" s="3">
        <f>1164+(186-290)+(-0.59364+(-0.09486--0.1479))+0-157--0.0800699999999841</f>
        <v>902.53946999999994</v>
      </c>
      <c r="O21" s="3">
        <f>1160.5+(225.6-301)+(-1.18371+(-0.230112--0.30702))+0-150.9--0.153918000000024</f>
        <v>933.24711599999989</v>
      </c>
      <c r="P21" s="3">
        <f>1155.9+(260.6-298)+(-0.589509+(-0.132906--0.15198))+0-164.6--0.0839459999999833</f>
        <v>953.41351099999986</v>
      </c>
      <c r="Q21" s="3">
        <f>1148+(292-287.5)+(0+(0-0))+0-170.6-0</f>
        <v>981.9</v>
      </c>
      <c r="R21" s="3">
        <f>1139.5+(340.4-302.3)+(0+(0-0))+0-170.5-0</f>
        <v>1007.0999999999999</v>
      </c>
      <c r="S21" s="3">
        <f>1138.1+(388.3-332.3)+(-1.160862+(-0.396066--0.338946))+0-173.1--0.176562000000028</f>
        <v>1019.95858</v>
      </c>
      <c r="T21" s="3">
        <f>1131.2+(400.1-339.6)+(0+(0-0))+0-176.7-0</f>
        <v>1015</v>
      </c>
      <c r="U21" s="3">
        <f>1131+(354.8-317.7)+(0+(0-0))+0-178.4-0</f>
        <v>989.69999999999993</v>
      </c>
      <c r="V21" s="3">
        <f>1134+(308.5-311.4)+(-1.73502+(-0.472005--0.476442))+0-178.5--0.27310500000001</f>
        <v>951.14252199999987</v>
      </c>
      <c r="W21" s="3">
        <f>1134.3+(272.4-307.7)+(-1.735479+(-0.416772--0.470781))+0-174.5--0.26698500000001</f>
        <v>923.08551499999999</v>
      </c>
      <c r="X21" s="3">
        <f>1140.9+(276.7-311.2)+(-2.327436+(-0.564468--0.634848))+0-177--0.361079999999992</f>
        <v>927.50402400000019</v>
      </c>
      <c r="Y21" s="3">
        <f>1142.2+(359.9-329.6)+(0+(0-0))+0-174.9-0</f>
        <v>997.6</v>
      </c>
      <c r="Z21" s="3">
        <f>1142.6+(397-326.2)+(-2.330904+(-0.80988--0.665448))+0-182.6--0.372503999999992</f>
        <v>1028.6971679999999</v>
      </c>
      <c r="AA21" s="3">
        <f>1153.4+(408.5-360.1)+(-1.764702+(-0.625005--0.550953))+0-181.5--0.27769500000001</f>
        <v>1018.7389410000001</v>
      </c>
      <c r="AB21" s="3">
        <f>1153.9+(424-399.1)+(-1.765467+(-0.64872--0.610623))+0-176.7--0.27035100000001</f>
        <v>1000.5667870000001</v>
      </c>
      <c r="AC21" s="3">
        <f>1156.8+(410-425.8)+(-1.769904+(-0.6273--0.651474))+0-174.3--0.26667900000001</f>
        <v>965.22094899999991</v>
      </c>
      <c r="AD21">
        <v>1041.3</v>
      </c>
      <c r="AE21" s="3">
        <f>1153+(404.5-329.8)+(0+(0-0))+0-177.4-0</f>
        <v>1050.3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1162.7+(367.7-420.1)+(-1.185954+(-0.375054--0.428502))+0-170.9--0.174318000000027</f>
        <v>938.44181200000003</v>
      </c>
      <c r="G22" s="3">
        <f>1163.7+(368-457.8)+(0+(0-0))+0-166.1-0</f>
        <v>907.80000000000007</v>
      </c>
      <c r="H22" s="3">
        <f>1161+(304.3-428.1)+(-1.77633+(-0.465579--0.654993))+0-149.1--0.228123000000009</f>
        <v>886.74120700000003</v>
      </c>
      <c r="I22" s="3">
        <f>1162.1+(276.1-408.5)+(-1.185342+(-0.281622--0.41667))+0-152.2--0.155244000000024</f>
        <v>876.60494999999992</v>
      </c>
      <c r="J22" s="3">
        <f>1163.3+(253.4-384.1)+(0.593283+(0.129234-0.195891))+0-165.6-0.0844559999999832</f>
        <v>867.44217000000003</v>
      </c>
      <c r="K22" s="3">
        <f>1169.3+(233.4-370.5)+(-1.192686+(-0.238068--0.37791))+0-165.1--0.168402000000026</f>
        <v>866.21555799999999</v>
      </c>
      <c r="L22" s="3">
        <f>1172.2+(212.3-361.5)+(-1.793466+(-0.324819--0.553095))+0-164.2--0.25122600000001</f>
        <v>857.4860359999999</v>
      </c>
      <c r="M22" s="3">
        <f>1169.5+(220-336.8)+(0+(0-0))+0-167.6-0</f>
        <v>885.1</v>
      </c>
      <c r="N22" s="3">
        <f>1162.5+(239-320.1)+(2.3715+(0.48756-0.653004))+0-161.6-0.329663999999993</f>
        <v>921.67639200000008</v>
      </c>
      <c r="O22" s="3">
        <f>1159.4+(269.1-330.9)+(0.591294+(0.137241-0.168759))+0-160.5-0.0818549999999837</f>
        <v>937.57792100000017</v>
      </c>
      <c r="P22" s="3">
        <f>1149.7+(267.7-286.2)+(0+(0-0))+0-159.9-0</f>
        <v>971.30000000000007</v>
      </c>
      <c r="Q22" s="3">
        <f>1143.5+(284.6-258.5)+(0+(0-0))+0-171-0</f>
        <v>998.59999999999991</v>
      </c>
      <c r="R22" s="3">
        <f>1135.3+(334.2-284.6)+(-2.316012+(-0.681768--0.580584))+0-170.7--0.348227999999993</f>
        <v>1012.1310319999997</v>
      </c>
      <c r="S22" s="3">
        <f>1121.7+(382.5-317.4)+(-1.144134+(-0.39015--0.323748))+0-171--0.174420000000027</f>
        <v>1014.7638840000002</v>
      </c>
      <c r="T22" s="3">
        <f>1115.4+(328.7-314.9)+(0+(0-0))+0-164.6-0</f>
        <v>964.6</v>
      </c>
      <c r="U22" s="3">
        <f>1112+(350.3-324.3)+(-1.13424+(-0.357306--0.330786))+0-164.4--0.167688000000026</f>
        <v>972.60692800000004</v>
      </c>
      <c r="V22" s="3">
        <f>1108+(307.2-281.5)+(-1.13016+(-0.313344--0.28713))+0-165.9--0.169218000000026</f>
        <v>966.81284400000015</v>
      </c>
      <c r="W22" s="3">
        <f>1106.7+(224.2-220.5)+(0+(0-0))+0-168-0</f>
        <v>942.40000000000009</v>
      </c>
      <c r="X22" s="3">
        <f>1111.9+(278.6-294.3)+(-0.567069+(-0.142086--0.150093))+0-163.4--0.0833339999999834</f>
        <v>932.32427200000006</v>
      </c>
      <c r="Y22" s="3">
        <f>1127.2+(335.5-310.4)+(-0.574872+(-0.171105--0.158304))+0-157.5--0.080324999999984</f>
        <v>994.2926520000002</v>
      </c>
      <c r="Z22" s="3">
        <f>1133.4+(356.2-300.5)+(-2.312136+(-0.726648--0.61302))+0-164.9--0.336395999999993</f>
        <v>1022.1106320000001</v>
      </c>
      <c r="AA22" s="3">
        <f>1137+(324.6-277.4)+(-2.31948+(-0.662184--0.565896))+0-164.9--0.336395999999993</f>
        <v>1017.220628</v>
      </c>
      <c r="AB22" s="3">
        <f>1139.6+(318.8-293.4)+(-1.743588+(-0.487764--0.448902))+0-165.8--0.25367400000001</f>
        <v>997.67122400000017</v>
      </c>
      <c r="AC22" s="3">
        <f>1107.1+(345.5-313.1)+(-2.258484+(-0.70482--0.638724))+0-172.2--0.351287999999992</f>
        <v>965.32670799999994</v>
      </c>
      <c r="AD22">
        <v>1028.5999999999999</v>
      </c>
      <c r="AE22" s="3">
        <f>1142+(378.8-316.2)+(0+(0-0))+0-166-0</f>
        <v>1038.5999999999999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974.1+(520-374.8)+(-1.490373+(-0.7956--0.573444))+0-173.2--0.26499600000001</f>
        <v>944.652467</v>
      </c>
      <c r="G23" s="3">
        <f>974.9+(516.6-402.4)+(-2.485995+(-1.31733--1.02612))+0-170.4--0.434519999999975</f>
        <v>916.35731499999986</v>
      </c>
      <c r="H23" s="3">
        <f>975.2+(455.9-372.4)+(-0.497352+(-0.232509--0.189924))+0-166.2--0.0847619999999831</f>
        <v>892.04482499999995</v>
      </c>
      <c r="I23" s="3">
        <f>978.5+(453.7-386.4)+(-1.99614+(-0.925548--0.788256))+0-166.9--0.340475999999993</f>
        <v>877.10704399999986</v>
      </c>
      <c r="J23" s="3">
        <f>982.5+(419.5-367.4)+(-2.0043+(-0.85578--0.749496))+0-162.7--0.331907999999993</f>
        <v>870.12132399999985</v>
      </c>
      <c r="K23" s="3">
        <f>985.6+(397.9-360.4)+(0.502656+(0.202929-0.183804))+0-160.5-0.0818549999999837</f>
        <v>863.03992600000004</v>
      </c>
      <c r="L23" s="3">
        <f>994+(336.1-318.5)+(-2.02776+(-0.685644--0.64974))+0-159.1--0.324563999999993</f>
        <v>850.76089999999999</v>
      </c>
      <c r="M23" s="3">
        <f>993.6+(335.4-280.8)+(-1.013472+(-0.342108--0.286416))+0-161.9--0.165138000000026</f>
        <v>885.39597400000014</v>
      </c>
      <c r="N23" s="3">
        <f>983.9+(347.3-243)+(0+(0-0))+0-164.8-0</f>
        <v>923.40000000000009</v>
      </c>
      <c r="O23" s="3">
        <f>976.9+(372.4-232.5)+(0.498219+(0.189924-0.118575))+0-163.8-0.0835379999999834</f>
        <v>953.48602999999991</v>
      </c>
      <c r="P23" s="3">
        <f>967.6+(428.2-242)+(0.493476+(0.218382-0.12342))+0-165.8-0.0845579999999832</f>
        <v>988.50387999999998</v>
      </c>
      <c r="Q23" s="3">
        <f>960.5+(518.7-279.3)+(-0.489855+(-0.264537--0.142443))+0-167.1--0.085220999999983</f>
        <v>1032.2732720000001</v>
      </c>
      <c r="R23" s="3">
        <f>954.7+(599.8-345.4)+(-0.486897+(-0.305898--0.176154))+0-163.8--0.0835379999999834</f>
        <v>1044.766897</v>
      </c>
      <c r="S23" s="3">
        <f>943.5+(620-356)+(-2.405925+(-1.581--0.9078))+0-165.8--0.422789999999976</f>
        <v>1039.0436650000001</v>
      </c>
      <c r="T23" s="3">
        <f>937+(618.1-356.9)+(-0.95574+(-0.630462--0.364038))+0-164.5--0.167790000000026</f>
        <v>1032.645626</v>
      </c>
      <c r="U23" s="3">
        <f>974.3+(541.9-328.6)+(-0.993786+(-0.552738--0.335172))+0-162.9--0.166158000000026</f>
        <v>1023.6548059999999</v>
      </c>
      <c r="V23" s="3">
        <f>978.8+(461.6-263.2)+(0+(0-0))+0-168.9-0</f>
        <v>1008.3000000000001</v>
      </c>
      <c r="W23" s="3">
        <f>994.3+(377-212.7)+(-2.535465+(-0.96135--0.542385))+0-171--0.436049999999975</f>
        <v>985.08161999999993</v>
      </c>
      <c r="X23" s="3">
        <f>1026.8+(334.7-225.8)+(-2.094672+(-0.682788--0.460632))+0-174.5--0.355979999999992</f>
        <v>959.23915199999988</v>
      </c>
      <c r="Y23" s="3">
        <f>1052.7+(404.1-261.7)+(0.536877+(0.206091-0.133467))+0-170.3-0.0868529999999827</f>
        <v>1025.3226480000001</v>
      </c>
      <c r="Z23" s="3">
        <f>1067.3+(494.9-320.5)+(-1.632969+(-0.757197--0.490365))+0-172.2--0.26346600000001</f>
        <v>1067.8636649999999</v>
      </c>
      <c r="AA23" s="3">
        <f>1021.7+(543.9-330.8)+(-2.605335+(-1.386945--0.84354))+0-173.3--0.441914999999975</f>
        <v>1058.7931749999998</v>
      </c>
      <c r="AB23" s="3">
        <f>1019.4+(550.6-358.8)+(-2.59947+(-1.40403--0.91494))+0-168.7--0.430184999999976</f>
        <v>1039.841625</v>
      </c>
      <c r="AC23" s="3">
        <f>973.4+(614.9-410)+(-0.992868+(-0.627198--0.4182))+0-173.5--0.176970000000028</f>
        <v>1003.7751039999998</v>
      </c>
      <c r="AD23">
        <v>1065.5</v>
      </c>
      <c r="AE23" s="3">
        <f>1072+(504-329.9)+(0+(0-0))+0-170.6-0</f>
        <v>1075.5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951.9+(654.9-455.1)+(0+(0-0))+0-164.5-0</f>
        <v>987.19999999999982</v>
      </c>
      <c r="G24" s="3">
        <f>963.3+(587.7-430.9)+(0.982566+(0.599454-0.439518))+0-166.7-0.170034000000027</f>
        <v>954.3724679999998</v>
      </c>
      <c r="H24" s="3">
        <f>968.8+(491.3-362.4)+(-1.482264+(-0.751689--0.554472))+0-171.6--0.26254800000001</f>
        <v>924.68306700000016</v>
      </c>
      <c r="I24" s="3">
        <f>974.7+(428.7-328.3)+(-0.994194+(-0.437274--0.334866))+0-173.8--0.177276000000028</f>
        <v>900.38067399999989</v>
      </c>
      <c r="J24" s="3">
        <f>976.4+(404.3-316.2)+(-1.991856+(-0.824772--0.645048))+0-170.8--0.348431999999993</f>
        <v>891.8768520000001</v>
      </c>
      <c r="K24" s="3">
        <f>977.2+(379.8-300.8)+(0+(0-0))+0-171-0</f>
        <v>885.2</v>
      </c>
      <c r="L24" s="3">
        <f>976.3+(325.1-263.1)+(-0.497913+(-0.165801--0.134181))+0-172.5--0.0879749999999825</f>
        <v>865.35844200000008</v>
      </c>
      <c r="M24" s="3">
        <f>980.3+(348.2-260.6)+(0+(0-0))+0-177.2-0</f>
        <v>890.69999999999982</v>
      </c>
      <c r="N24" s="3">
        <f>974+(391.3-262.8)+(-0.49674+(-0.199563--0.134028))+0-166.2--0.0847619999999831</f>
        <v>935.82248699999991</v>
      </c>
      <c r="O24" s="3">
        <f>964+(439.9-288.8)+(-0.49164+(-0.224349--0.147288))+0-162.5--0.0828749999999835</f>
        <v>952.11417399999993</v>
      </c>
      <c r="P24" s="3">
        <f>944.1+(456.8-267.9)+(-0.962982+(-0.465936--0.273258))+0-164.7--0.167994000000026</f>
        <v>967.31233400000008</v>
      </c>
      <c r="Q24" s="3">
        <f>949.5+(484.9-256.3)+(-0.96849+(-0.494598--0.261426))+0-166.7--0.170034000000027</f>
        <v>1010.3683719999999</v>
      </c>
      <c r="R24" s="3">
        <f>957.1+(497-252.8)+(-0.976242+(-0.50694--0.257856))+0-157.4--0.160548000000025</f>
        <v>1042.8352219999999</v>
      </c>
      <c r="S24" s="3">
        <f>947.9+(538.3-277.4)+(-0.966858+(-0.549066--0.282948))+0-166.6--0.169932000000027</f>
        <v>1041.1369560000001</v>
      </c>
      <c r="T24" s="3">
        <f>943.5+(585.7-311.7)+(0+(0-0))+0-172.1-0</f>
        <v>1045.4000000000001</v>
      </c>
      <c r="U24" s="3">
        <f>953.2+(645.2-389.2)+(-0.972264+(-0.658104--0.396984))+0-164.6--0.167892000000026</f>
        <v>1043.5345080000002</v>
      </c>
      <c r="V24" s="3">
        <f>959+(591.2-351.2)+(1.46727+(0.904536-0.537336))+0-166.1-0.25413300000001</f>
        <v>1034.4803370000002</v>
      </c>
      <c r="W24" s="3">
        <f>958.1+(484.2-290.1)+(-1.954524+(-0.987768--0.591804))+0-169.1--0.344963999999993</f>
        <v>981.09447599999999</v>
      </c>
      <c r="X24" s="3">
        <f>960.4+(423.2-247.4)+(0.489804+(0.215832-0.126174))+0-169.1-0.0862409999999828</f>
        <v>967.59322099999997</v>
      </c>
      <c r="Y24" s="3">
        <f>987.3+(477.9-270.9)+(0.503523+(0.243729-0.138159))+0-166.2-0.0847619999999831</f>
        <v>1028.624331</v>
      </c>
      <c r="Z24" s="3">
        <f>996.8+(518.8-288.9)+(-2.033472+(-1.058352--0.589356))+0-166.5--0.339659999999993</f>
        <v>1058.037192</v>
      </c>
      <c r="AA24" s="3">
        <f>996.2+(539.6-328.4)+(-3.048372+(-1.651176--1.004904))+0-164.1--0.502146000000019</f>
        <v>1040.1075020000003</v>
      </c>
      <c r="AB24" s="3">
        <f>999.9+(590.8-419.3)+(-2.039796+(-1.205232--0.855372))+0-159.2--0.324767999999993</f>
        <v>1010.1351119999997</v>
      </c>
      <c r="AC24" s="3">
        <f>991.3+(654.9-504)+(-2.022252+(-1.335996--1.02816))+0-153.6--0.313343999999993</f>
        <v>986.58325599999989</v>
      </c>
      <c r="AD24">
        <v>1052</v>
      </c>
      <c r="AE24" s="3">
        <f>999+(517.9-287)+(0+(0-0))+0-169.9-0</f>
        <v>1060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990.8+(620-509.4)+(-0.505308+(-0.3162--0.259794))+0-160--0.0815999999999838</f>
        <v>940.91988600000013</v>
      </c>
      <c r="G25" s="3">
        <f>1006.9+(577.3-513.1)+(-2.054076+(-1.177692--1.046724))+0-162.3--0.331091999999993</f>
        <v>906.94604799999991</v>
      </c>
      <c r="H25" s="3">
        <f>1000.4+(570.3-519.7)+(-1.020408+(-0.581706--0.530094))+0-154.4--0.157488000000025</f>
        <v>895.68546800000001</v>
      </c>
      <c r="I25" s="3">
        <f>954.4+(551.3-469.4)+(0.486744+(0.281163-0.239394))+0-153.5-0.0782849999999844</f>
        <v>883.25022799999999</v>
      </c>
      <c r="J25" s="3">
        <f>925.5+(535.2-438.2)+(0.94401+(0.545904-0.446964))+0-153-0.156060000000024</f>
        <v>870.38688999999999</v>
      </c>
      <c r="K25" s="3">
        <f>916.9+(449.9-344.1)+(-0.467619+(-0.229449--0.175491))+0-156.5--0.0798149999999841</f>
        <v>865.75823799999989</v>
      </c>
      <c r="L25" s="3">
        <f>924.6+(339.6-254.7)+(-1.414638+(-0.519588--0.389691))+0-157.5--0.240975000000009</f>
        <v>850.69644000000005</v>
      </c>
      <c r="M25" s="3">
        <f>929.7+(336.2-246.5)+(0+(0-0))+0-158.9-0</f>
        <v>860.50000000000011</v>
      </c>
      <c r="N25" s="3">
        <f>925+(371.2-229.2)+(0+(0-0))+0-163.4-0</f>
        <v>903.6</v>
      </c>
      <c r="O25" s="3">
        <f>915.3+(391-200.5)+(-0.466803+(-0.19941--0.102255))+0-163.6--0.0834359999999834</f>
        <v>941.71947799999998</v>
      </c>
      <c r="P25" s="3">
        <f>972.8+(393-217.1)+(1.488384+(0.60129-0.332163))+0-165.7-0.25352100000001</f>
        <v>984.50399000000004</v>
      </c>
      <c r="Q25" s="3">
        <f>985.7+(408.8-217.6)+(-3.016242+(-1.250928--0.665856))+0-168.2--0.514692000000019</f>
        <v>1005.613378</v>
      </c>
      <c r="R25" s="3">
        <f>963.8+(503-285.9)+(-2.45769+(-1.28265--0.729045))+0-165.2--0.421259999999976</f>
        <v>1013.109965</v>
      </c>
      <c r="S25" s="3">
        <f>964.8+(561.2-350.2)+(-0.492048+(-0.286212--0.178602))+0-174.5--0.0889949999999823</f>
        <v>1000.7893369999998</v>
      </c>
      <c r="T25" s="3">
        <f>972.7+(571.1-397.3)+(0.496077+(0.291261-0.202623))+11.2-158.9-0.0810389999999839</f>
        <v>999.303676</v>
      </c>
      <c r="U25" s="3">
        <f>975.4+(534.4-377.3)+(-0.497454+(-0.272544--0.192423))+0-158--0.080579999999984</f>
        <v>974.00300499999992</v>
      </c>
      <c r="V25" s="3">
        <f>968.6+(436.9-295.5)+(-1.975944+(-0.891276--0.60282))+0-146.7--0.299267999999994</f>
        <v>961.33486799999991</v>
      </c>
      <c r="W25" s="3">
        <f>964.2+(367.7-241.1)+(-1.475226+(-0.562581--0.368883))+0-148.1--0.226593000000009</f>
        <v>941.25766899999985</v>
      </c>
      <c r="X25" s="3">
        <f>967.9+(334.9-222.1)+(-0.987258+(-0.341598--0.226542))+0-152.4--0.155448000000024</f>
        <v>927.35313400000007</v>
      </c>
      <c r="Y25" s="3">
        <f>977.3+(402.2-231.6)+(-1.993692+(-0.820488--0.472464))+0-154.2--0.314567999999993</f>
        <v>991.67285199999992</v>
      </c>
      <c r="Z25" s="3">
        <f>982.7+(473.4-268.9)+(-2.505885+(-1.20717--0.685695))+0-164.4--0.419219999999976</f>
        <v>1020.19186</v>
      </c>
      <c r="AA25" s="3">
        <f>985.4+(487.3-290.6)+(-1.507662+(-0.745569--0.444618))+0-172.2--0.26346600000001</f>
        <v>1008.3548529999999</v>
      </c>
      <c r="AB25" s="3">
        <f>991.9+(495.7-320.7)+(-1.011738+(-0.505614--0.327114))+0-171.8--0.175236000000027</f>
        <v>994.08499800000027</v>
      </c>
      <c r="AC25" s="3">
        <f>994.6+(485.6-342.5)+(-0.507246+(-0.247656--0.174675))+0-167.2--0.085271999999983</f>
        <v>970.00504500000011</v>
      </c>
      <c r="AD25">
        <v>1014</v>
      </c>
      <c r="AE25" s="3">
        <f>979+(483.6-274.3)+(0+(0-0))+0-166.3-0</f>
        <v>1022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996.4+(481.4-359.6)+(-0.508164+(-0.245514--0.183396))+0-163.5--0.0833849999999834</f>
        <v>954.21310299999993</v>
      </c>
      <c r="G26" s="3">
        <f>994.2+(476.4-374.2)+(-1.014084+(-0.485928--0.381684))+0-168.6--0.171972000000027</f>
        <v>926.85364400000003</v>
      </c>
      <c r="H26" s="3">
        <f>994+(431-348.2)+(-1.52082+(-0.65943--0.532746))+0-175.9--0.26912700000001</f>
        <v>899.52162299999998</v>
      </c>
      <c r="I26" s="3">
        <f>999+(389.7-328.2)+(0+(0-0))+0-177.2-0</f>
        <v>883.3</v>
      </c>
      <c r="J26" s="3">
        <f>1000.5+(363.2-316.7)+(0+(0-0))+0-177.3-0</f>
        <v>869.7</v>
      </c>
      <c r="K26" s="3">
        <f>1004+(336.1-300.7)+(-1.02408+(-0.342822--0.306714))+0-178.3--0.181866000000028</f>
        <v>860.22167800000022</v>
      </c>
      <c r="L26" s="3">
        <f>1011.4+(260.9-259.1)+(-4.126512+(-1.064472--1.057128))+0-174.3--0.711143999999985</f>
        <v>835.47728799999993</v>
      </c>
      <c r="M26" s="3">
        <f>1007.4+(228.9-225.8)+(-1.027548+(-0.233478--0.230316))+0-171.4--0.174828000000027</f>
        <v>838.24411800000007</v>
      </c>
      <c r="N26" s="3">
        <f>992.8+(256.8-208.9)+(2.025312+(0.523872-0.426156))+0-174.9-0.356795999999992</f>
        <v>867.56623200000001</v>
      </c>
      <c r="O26" s="3">
        <f>985.2+(312.6-219.9)+(-1.507356+(-0.478278--0.336447))+0-176.5--0.27004500000001</f>
        <v>900.02085800000009</v>
      </c>
      <c r="P26" s="3">
        <f>976.9+(404.7-267.7)+(0.996438+(0.412794-0.273054))+0-174.6-0.178092000000028</f>
        <v>940.25808600000005</v>
      </c>
      <c r="Q26" s="3">
        <f>971.2+(461.6-279.9)+(-1.485936+(-0.706248--0.428247))+0-176.1--0.26943300000001</f>
        <v>975.30549600000018</v>
      </c>
      <c r="R26" s="3">
        <f>966.5+(504.5-309.7)+(-3.450405+(-1.801065--1.105629))+0-175.7--0.627249000000002</f>
        <v>982.0814079999999</v>
      </c>
      <c r="S26" s="3">
        <f>961.1+(549.1-359)+(0+(0-0))+0-177.7-0</f>
        <v>973.5</v>
      </c>
      <c r="T26" s="3">
        <f>961.4+(529.1-356.7)+(-0.980628+(-0.539682--0.363834))+0-181.3--0.184926000000029</f>
        <v>951.52844999999991</v>
      </c>
      <c r="U26" s="3">
        <f>954.9+(476.6-325.4)+(-0.486999+(-0.243066--0.165954))+0-179.3--0.0914429999999818</f>
        <v>926.32733200000007</v>
      </c>
      <c r="V26" s="3">
        <f>957.4+(407.2-273.3)+(-1.953096+(-0.830688--0.557532))+0-182.5--0.372299999999992</f>
        <v>906.94604800000002</v>
      </c>
      <c r="W26" s="3">
        <f>941.7+(373.2-226.7)+(-0.480267+(-0.190332--0.115617))+0-174.7--0.0890969999999823</f>
        <v>913.03411499999993</v>
      </c>
      <c r="X26" s="3">
        <f>780.9+(477.6-189.2)+(0.398259+(0.243576-0.096492))+0-164.1-0.0836909999999833</f>
        <v>905.661652</v>
      </c>
      <c r="Y26" s="3">
        <f>785.5+(599.5-247.8)+(-1.60242+(-1.22298--0.505512))+0-167.4--0.341495999999993</f>
        <v>967.82160800000008</v>
      </c>
      <c r="Z26" s="3">
        <f>834.4+(619.2-284.4)+(-0.425544+(-0.315792--0.145044))+0-172.1--0.0877709999999825</f>
        <v>996.59147900000005</v>
      </c>
      <c r="AA26" s="3">
        <f>901.4+(563.3-307.4)+(-1.838856+(-1.149132--0.627096))+0-177.8--0.362711999999992</f>
        <v>977.50182000000007</v>
      </c>
      <c r="AB26" s="3">
        <f>893.3+(588.6-332.2)+(-0.911166+(-0.600372--0.338844))+0-177.1--0.180642000000028</f>
        <v>971.60794799999996</v>
      </c>
      <c r="AC26" s="3">
        <f>792.8+(660.9-342.2)+(-1.617312+(-1.348236--0.698088))+0-175.9--0.358835999999992</f>
        <v>933.69137599999999</v>
      </c>
      <c r="AD26">
        <v>981.1</v>
      </c>
      <c r="AE26" s="3">
        <f>900+(574.9-307.4)+(0+(0-0))+0-176.4-0</f>
        <v>991.1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664.9+(728.5-321.1)+(0+(0-0))+0-173.7-0</f>
        <v>898.59999999999991</v>
      </c>
      <c r="G27" s="3">
        <f>614.3+(716.9-289.1)+(-1.566465+(-1.828095--0.737205))+0-174.2--0.444209999999975</f>
        <v>865.68685499999981</v>
      </c>
      <c r="H27" s="3">
        <f>614.8+(655.8-252.8)+(-0.313548+(-0.334458--0.128928))+0-173.7--0.0885869999999824</f>
        <v>843.66950899999983</v>
      </c>
      <c r="I27" s="3">
        <f>617.9+(602.3-215.6)+(0.315129+(0.307173-0.109956))+0-175.3-0.0894029999999822</f>
        <v>829.72294299999999</v>
      </c>
      <c r="J27" s="3">
        <f>621+(536-164.7)+(-0.31671+(-0.27336--0.083997))+0-174.7--0.0890969999999823</f>
        <v>817.18302399999993</v>
      </c>
      <c r="K27" s="3">
        <f>623+(513.7-150.9)+(0.31773+(0.261987-0.076959))+0-175.2-0.0893519999999822</f>
        <v>811.01340600000003</v>
      </c>
      <c r="L27" s="3">
        <f>625.8+(506-143.6)+(-1.59579+(-1.2903--0.36618))+0-173.6--0.442679999999975</f>
        <v>812.52276999999992</v>
      </c>
      <c r="M27" s="3">
        <f>623.5+(549.5-141.7)+(0.63597+(0.56049-0.144534))+0-177-0.180540000000028</f>
        <v>855.17138599999998</v>
      </c>
      <c r="N27" s="3">
        <f>612.5+(626.1-154.7)+(0+(0-0))+0-180.1-0</f>
        <v>903.80000000000007</v>
      </c>
      <c r="O27" s="3">
        <f>604.8+(681.2-179.1)+(0+(0-0))+0-176.7-0</f>
        <v>930.2</v>
      </c>
      <c r="P27" s="3">
        <f>560.8+(770.6-200.4)+(0.572016+(0.786012-0.204408))+0-178.3-0.181866000000028</f>
        <v>953.67175400000008</v>
      </c>
      <c r="Q27" s="3">
        <f>581.8+(747.8-175.5)+(-0.593436+(-0.762756--0.17901))+0-173.8--0.177276000000028</f>
        <v>979.30009400000006</v>
      </c>
      <c r="R27" s="3">
        <f>589.2+(808.5-229.1)+(-0.300492+(-0.412335--0.116841))+0-168.8--0.0860879999999829</f>
        <v>999.29010199999993</v>
      </c>
      <c r="S27" s="3">
        <f>625.4+(859.9-306.3)+(0+(0-0))+0-175.4-0</f>
        <v>1003.6</v>
      </c>
      <c r="T27" s="3">
        <f>634.3+(874.3-333.1)+(-0.323493+(-0.445893--0.169881))+0-166.2--0.0847619999999831</f>
        <v>1008.785257</v>
      </c>
      <c r="U27" s="3">
        <f>640.9+(838.1-323.2)+(-0.980577+(-1.282293--0.494496))+0-160.1--0.244953000000009</f>
        <v>994.17657900000017</v>
      </c>
      <c r="V27" s="3">
        <f>683.7+(738.8-263.1)+(-0.348687+(-0.376788--0.134181))+0-174.3--0.0888929999999823</f>
        <v>984.59759900000006</v>
      </c>
      <c r="W27" s="3">
        <f>701.9+(663.5-218.2)+(-1.431876+(-1.35354--0.445128))+0-179.7--0.366587999999992</f>
        <v>965.52629999999988</v>
      </c>
      <c r="X27" s="3">
        <f>733.5+(612.5-223.3)+(-1.870425+(-1.561875--0.569415))+0-180--0.458999999999974</f>
        <v>940.29611499999999</v>
      </c>
      <c r="Y27" s="3">
        <f>775.2+(690.7-279)+(-0.395352+(-0.352257--0.14229))+0-181.3--0.0924629999999816</f>
        <v>1005.0871440000001</v>
      </c>
      <c r="Z27" s="3">
        <f>779.6+(727.3-279.7)+(-1.590384+(-1.483692--0.570588))+0-182.8--0.372911999999992</f>
        <v>1042.2694240000001</v>
      </c>
      <c r="AA27" s="3">
        <f>786.3+(761.1-334.6)+(-1.203039+(-1.164483--0.511938))+0-176.3--0.26973900000001</f>
        <v>1034.9141550000002</v>
      </c>
      <c r="AB27" s="3">
        <f>786.4+(778.1-380.1)+(-2.00532+(-1.984155--0.969255))+0-175.5--0.447524999999975</f>
        <v>1006.3273049999999</v>
      </c>
      <c r="AC27" s="3">
        <f>791.4+(779.5-427.9)+(-1.614456+(-1.59018--0.872916))+0-173.6--0.354143999999992</f>
        <v>967.42242400000009</v>
      </c>
      <c r="AD27">
        <v>1030.8999999999999</v>
      </c>
      <c r="AE27" s="3">
        <f>777+(730.6-281.9)+(0+(0-0))+0-184.8-0</f>
        <v>1040.9000000000001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795.3+(777.3-447.7)+(-1.216809+(-1.189269--0.684981))+0-171.5--0.26239500000001</f>
        <v>951.94129799999973</v>
      </c>
      <c r="G28" s="3">
        <f>797.3+(681.8-388.4)+(-0.813246+(-0.695436--0.396168))+0-169.6--0.172992000000027</f>
        <v>920.1604779999999</v>
      </c>
      <c r="H28" s="3">
        <f>795.8+(557.4-297.3)+(-1.623432+(-1.137096--0.606492))+0-168.9--0.344555999999993</f>
        <v>885.19051999999999</v>
      </c>
      <c r="I28" s="3">
        <f>802+(482.9-246.4)+(-0.81804+(-0.492558--0.251328))+0-169.6--0.172992000000027</f>
        <v>868.01372200000003</v>
      </c>
      <c r="J28" s="3">
        <f>803.6+(422.6-197)+(-1.639344+(-0.862104--0.40188))+0-169.2--0.345167999999993</f>
        <v>858.24559999999985</v>
      </c>
      <c r="K28" s="3">
        <f>806.9+(387.1-173)+(0+(0-0))+0-167.3-0</f>
        <v>853.7</v>
      </c>
      <c r="L28" s="3">
        <f>779.9+(307.5-124.1)+(-2.784243+(-1.097775--0.443037))+0-163.7--0.584409000000002</f>
        <v>796.74542799999995</v>
      </c>
      <c r="M28" s="3">
        <f>789.3+(362.6-141.4)+(0+(0-0))+0-169.6-0</f>
        <v>840.9</v>
      </c>
      <c r="N28" s="3">
        <f>791.2+(411.8-132.8)+(0.807024+(0.420036-0.135456))+0-170.7-0.174114000000027</f>
        <v>900.41748999999993</v>
      </c>
      <c r="O28" s="3">
        <f>799.5+(434.9-127.6)+(-0.81549+(-0.443598--0.130152))+0-169.3--0.172686000000027</f>
        <v>936.54374999999993</v>
      </c>
      <c r="P28" s="3">
        <f>803.9+(462.9-115.6)+(0.409989+(0.236079-0.058956))+0-168.2-0.0857819999999829</f>
        <v>983.50132999999971</v>
      </c>
      <c r="Q28" s="3">
        <f>805.5+(517.2-118.9)+(0+(0-0))+0-169.7-0</f>
        <v>1034.1000000000001</v>
      </c>
      <c r="R28" s="3">
        <f>775.7+(593.5-162.4)+(-1.978035+(-1.513425--0.41412))+0-166.6--0.424829999999976</f>
        <v>1037.5474900000002</v>
      </c>
      <c r="S28" s="3">
        <f>773.9+(699.6-253.2)+(-1.578756+(-1.427184--0.516528))+0-168.1--0.342923999999993</f>
        <v>1050.0535120000002</v>
      </c>
      <c r="T28" s="3">
        <f>772.2+(747.6-311.2)+(0.787644+(0.762552-0.317424))+0-166.7-0.170034000000027</f>
        <v>1042.9627380000002</v>
      </c>
      <c r="U28" s="3">
        <f>772.1+(701.3-282.9)+(-1.575084+(-1.430652--0.577116))+0-163.1--0.332723999999993</f>
        <v>1025.3041040000003</v>
      </c>
      <c r="V28" s="3">
        <f>764.7+(591.1-183.3)+(-1.559988+(-1.205844--0.373932))+0-163.9--0.334355999999993</f>
        <v>1006.5424559999999</v>
      </c>
      <c r="W28" s="3">
        <f>765.4+(527.5-148.1)+(-2.342124+(-1.61415--0.453186))+0-167--0.511020000000019</f>
        <v>974.80793200000005</v>
      </c>
      <c r="X28" s="3">
        <f>766+(532.1-172.4)+(-1.56264+(-1.085484--0.351696))+0-169.4--0.345575999999993</f>
        <v>954.3491479999999</v>
      </c>
      <c r="Y28" s="3">
        <f>775.4+(624.3-216)+(0.395454+(0.318393-0.11016))+0-168.1-0.0857309999999829</f>
        <v>1016.1179559999998</v>
      </c>
      <c r="Z28" s="3">
        <f>785.9+(605.8-173.3)+(-2.004045+(-1.54479--0.441915))+0-171.3--0.436814999999975</f>
        <v>1044.429895</v>
      </c>
      <c r="AA28" s="3">
        <f>793.5+(654.9-224.8)+(-2.023425+(-1.669995--0.57324))+0-172.7--0.440384999999975</f>
        <v>1048.2202049999999</v>
      </c>
      <c r="AB28" s="3">
        <f>796.7+(733.4-321.3)+(-2.844219+(-2.618238--1.147041))+0-170.6--0.609042000000002</f>
        <v>1034.4936260000002</v>
      </c>
      <c r="AC28" s="3">
        <f>776.3+(742-350)+(-1.979565+(-1.8921--0.8925))+0-170.2--0.434009999999975</f>
        <v>995.55484499999989</v>
      </c>
      <c r="AD28">
        <v>984.09999999999991</v>
      </c>
      <c r="AE28" s="3">
        <f>785+(591-211.9)+(0+(0-0))+0-170-0</f>
        <v>994.09999999999991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732+(723.5-312.9)+(-1.11996+(-1.106955--0.478737))+0-169.6--0.25948800000001</f>
        <v>971.51130999999987</v>
      </c>
      <c r="G29" s="3">
        <f>734.5+(718.1-340.2)+(-2.622165+(-2.563617--1.214514))+0-168.6--0.601902000000002</f>
        <v>940.43063400000005</v>
      </c>
      <c r="H29" s="3">
        <f>737.8+(694.1-347.9)+(-1.128834+(-1.061973--0.532287))+0-165.9--0.25382700000001</f>
        <v>916.69530700000007</v>
      </c>
      <c r="I29" s="3">
        <f>736.8+(632.2-312.2)+(0+(0-0))+0-162.8-0</f>
        <v>894</v>
      </c>
      <c r="J29" s="3">
        <f>736.6+(591-280.3)+(-1.502664+(-1.20564--0.571812))+0-162.2--0.330887999999993</f>
        <v>883.29439599999978</v>
      </c>
      <c r="K29" s="3">
        <f>743.1+(539-240.1)+(-0.757962+(-0.54978--0.244902))+0-162.8--0.166056000000026</f>
        <v>878.30321600000002</v>
      </c>
      <c r="L29" s="3">
        <f>735.9+(473.8-193.3)+(-1.501236+(-0.966552--0.394332))+0-161.9--0.330275999999993</f>
        <v>852.75682000000006</v>
      </c>
      <c r="M29" s="3">
        <f>733+(472.1-168.6)+(0.37383+(0.240771-0.085986))+0-164.2-0.0837419999999833</f>
        <v>872.74487299999987</v>
      </c>
      <c r="N29" s="3">
        <f>727.9+(471-132.5)+(0.371229+(0.24021-0.067575))+0-163-0.0831299999999835</f>
        <v>903.86073400000009</v>
      </c>
      <c r="O29" s="3">
        <f>719.1+(501.7-129.4)+(-1.100223+(-0.767601--0.197982))+0-162.1--0.248013000000009</f>
        <v>927.87817100000007</v>
      </c>
      <c r="P29" s="3">
        <f>715.3+(540.5-130.9)+(-1.459212+(-1.10262--0.267036))+0-154.7--0.315587999999993</f>
        <v>968.22079200000019</v>
      </c>
      <c r="Q29" s="3">
        <f>711.4+(616.6-148.9)+(-0.362814+(-0.314466--0.075939))+0-158.7--0.0809369999999839</f>
        <v>1019.8795959999998</v>
      </c>
      <c r="R29" s="3">
        <f>706+(753.9-248)+(0.36006+(0.384489-0.12648))+0-162-0.0826199999999836</f>
        <v>1050.4354490000003</v>
      </c>
      <c r="S29" s="3">
        <f>706.4+(820.8-294.8)+(-0.360264+(-0.418608--0.150348))+0-157.9--0.080528999999984</f>
        <v>1073.9520050000001</v>
      </c>
      <c r="T29" s="3">
        <f>703.8+(843.1-317)+(-0.717876+(-0.859962--0.32334))+0-163--0.166260000000026</f>
        <v>1065.811762</v>
      </c>
      <c r="U29" s="3">
        <f>703.4+(797.9-291.2)+(-1.076202+(-1.220787--0.445536))+0-161.1--0.246483000000009</f>
        <v>1047.3950299999999</v>
      </c>
      <c r="V29" s="3">
        <f>705.1+(706.7-214.7)+(-1.438404+(-1.441668--0.437988))+0-164.2--0.334967999999993</f>
        <v>1030.792884</v>
      </c>
      <c r="W29" s="3">
        <f>707.1+(666.3-199.4)+(-0.721242+(-0.679626--0.203388))+0-174.5--0.177990000000028</f>
        <v>998.48050999999998</v>
      </c>
      <c r="X29" s="3">
        <f>709.9+(589.9-163.9)+(-1.810245+(-1.504245--0.417945))+0-178.3--0.454664999999974</f>
        <v>955.15812000000005</v>
      </c>
      <c r="Y29" s="3">
        <f>709.6+(705.6-221.2)+(-0.723792+(-0.719712--0.225624))+0-180--0.183600000000029</f>
        <v>1012.9657200000001</v>
      </c>
      <c r="Z29" s="3">
        <f>715.3+(752.7-221.2)+(-0.729606+(-0.767754--0.225624))+0-183.3--0.186966000000029</f>
        <v>1062.4152300000001</v>
      </c>
      <c r="AA29" s="3">
        <f>717.4+(780.6-248.1)+(-1.097622+(-1.194318--0.379593))+0-182.2--0.278766000000011</f>
        <v>1066.066419</v>
      </c>
      <c r="AB29" s="3">
        <f>718.9+(793.7-297.5)+(-1.833195+(-2.023935--0.758625))+0-172.7--0.440384999999975</f>
        <v>1039.7418799999998</v>
      </c>
      <c r="AC29" s="3">
        <f>729.3+(779.2-329.8)+(-0.743886+(-0.794784--0.336396))+0-177.4--0.180948000000028</f>
        <v>1000.2786740000001</v>
      </c>
      <c r="AD29">
        <v>1063.9000000000001</v>
      </c>
      <c r="AE29" s="3">
        <f>715+(765.9-224.4)+(0+(0-0))+0-183.6-0</f>
        <v>1072.9000000000001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730.1+(734.2-310.4)+(-1.861755+(-1.87221--0.79152))+0-178.3--0.454664999999974</f>
        <v>973.11222000000021</v>
      </c>
      <c r="G30" s="3">
        <f>733.9+(722-352)+(-0.748578+(-0.73644--0.35904))+0-169.4--0.172788000000027</f>
        <v>933.54681000000016</v>
      </c>
      <c r="H30" s="3">
        <f>736.4+(643.8-307.7)+(-0.751128+(-0.656676--0.313854))+0-166.5--0.169830000000027</f>
        <v>905.0758800000001</v>
      </c>
      <c r="I30" s="3">
        <f>739.4+(547.8-231)+(-1.508376+(-1.117512--0.47124))+0-171--0.348839999999993</f>
        <v>883.39419199999986</v>
      </c>
      <c r="J30" s="3">
        <f>737.1+(558.1-251.4)+(-1.879605+(-1.423155--0.64107))+0-171.1--0.436304999999975</f>
        <v>870.4746150000002</v>
      </c>
      <c r="K30" s="3">
        <f>744.9+(523-230)+(-0.379899+(-0.26673--0.1173))+0-171.7--0.0875669999999826</f>
        <v>865.75823800000012</v>
      </c>
      <c r="L30" s="3">
        <f>747.7+(452.4-195)+(0+(0-0))+0-170.7-0</f>
        <v>834.40000000000009</v>
      </c>
      <c r="M30" s="3">
        <f>743.4+(490.6-201.1)+(0+(0-0))+0-174.3-0</f>
        <v>858.60000000000014</v>
      </c>
      <c r="N30" s="3">
        <f>737.7+(558.2-215.7)+(-1.128681+(-0.854046--0.330021))+0-168.1--0.25719300000001</f>
        <v>910.70448699999997</v>
      </c>
      <c r="O30" s="3">
        <f>726.6+(623.4-229)+(-0.741132+(-0.635868--0.23358))+0-167.8--0.171156000000027</f>
        <v>952.22773599999994</v>
      </c>
      <c r="P30" s="3">
        <f>718.8+(652.4-221.2)+(-0.366588+(-0.332724--0.112812))+0-158.1--0.080630999999984</f>
        <v>991.39413100000013</v>
      </c>
      <c r="Q30" s="3">
        <f>712.6+(675-199.8)+(-1.090278+(-1.03275--0.305694))+0-155.7--0.238221000000009</f>
        <v>1030.5208869999999</v>
      </c>
      <c r="R30" s="3">
        <f>706.5+(727.7-211.1)+(0.360315+(0.371127-0.107661))+0-159.8-0.0814979999999838</f>
        <v>1063.842283</v>
      </c>
      <c r="S30" s="3">
        <f>712.6+(853.4-320.5)+(-1.81713+(-2.17617--0.817275))+0-160.1--0.408254999999977</f>
        <v>1082.6322300000002</v>
      </c>
      <c r="T30" s="3">
        <f>727.5+(783.1-271.2)+(-0.371025+(-0.399381--0.138312))+0-162.9--0.0830789999999835</f>
        <v>1075.9509849999999</v>
      </c>
      <c r="U30" s="3">
        <f>721+(707.9-228.8)+(0+(0-0))+0-158-0</f>
        <v>1042.0999999999999</v>
      </c>
      <c r="V30" s="3">
        <f>722.2+(616.2-152.1)+(-1.473288+(-1.257048--0.310284))+0-162.7--0.331907999999993</f>
        <v>1021.5118560000002</v>
      </c>
      <c r="W30" s="3">
        <f>721+(534.8-113.6)+(0+(0-0))+0-166.2-0</f>
        <v>975.99999999999977</v>
      </c>
      <c r="X30" s="3">
        <f>723.4+(487.3-105.9)+(-1.84467+(-1.242615--0.270045))+0-161.2--0.411059999999977</f>
        <v>941.19381999999985</v>
      </c>
      <c r="Y30" s="3">
        <f>721.5+(576.5-144.5)+(-0.367965+(-0.294015--0.073695))+0-160.2--0.0817019999999837</f>
        <v>992.79341699999986</v>
      </c>
      <c r="Z30" s="3">
        <f>720.6+(630.8-142.1)+(-0.735012+(-0.643416--0.144942))+0-167.1--0.170442000000027</f>
        <v>1041.1369560000001</v>
      </c>
      <c r="AA30" s="3">
        <f>726.7+(643.8-154.4)+(-0.741234+(-0.656676--0.157488))+0-170.4--0.173808000000027</f>
        <v>1044.6333859999997</v>
      </c>
      <c r="AB30" s="3">
        <f>732.1+(704.2-233.6)+(-1.866855+(-1.79571--0.59568))+0-165.2--0.421259999999976</f>
        <v>1034.8543750000001</v>
      </c>
      <c r="AC30" s="3">
        <f>766.2+(692.3-294.7)+(0+(0-0))+0-165.3-0</f>
        <v>998.5</v>
      </c>
      <c r="AD30">
        <v>1047.9000000000001</v>
      </c>
      <c r="AE30" s="3">
        <f>729+(635.5-137.6)+(0+(0-0))+0-170-0</f>
        <v>1056.9000000000001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760.4+(673.7-291.5)+(-0.387804+(-0.343587--0.148665))+0-166.5--0.0849149999999831</f>
        <v>975.60218899999984</v>
      </c>
      <c r="G31" s="3">
        <f>781.5+(599.4-279.6)+(-1.992825+(-1.52847--0.71298))+0-163--0.415649999999976</f>
        <v>935.90733499999999</v>
      </c>
      <c r="H31" s="3">
        <f>857.3+(519.6-307.2)+(-0.437223+(-0.264996--0.156672))+0-163.2--0.0832319999999834</f>
        <v>906.03768500000001</v>
      </c>
      <c r="I31" s="3">
        <f>950.4+(412.5-314.5)+(-0.484704+(-0.210375--0.160395))+0-163.1--0.0831809999999834</f>
        <v>884.84849700000007</v>
      </c>
      <c r="J31" s="3">
        <f>962.7+(371.5-293.4)+(-0.981954+(-0.37893--0.299268))+0-161.3--0.164526000000026</f>
        <v>878.60291000000029</v>
      </c>
      <c r="K31" s="3">
        <f>956.6+(350.4-279.5)+(0+(0-0))+0-161.9-0</f>
        <v>865.6</v>
      </c>
      <c r="L31" s="3">
        <f>958.1+(386.5-345.4)+(-2.443155+(-0.985575--0.88077))+0-160.5--0.409274999999977</f>
        <v>836.56131500000004</v>
      </c>
      <c r="M31" s="3">
        <f>956.7+(427.4-360.2)+(-0.975834+(-0.435948--0.367404))+0-163.7--0.166974000000026</f>
        <v>859.32259599999998</v>
      </c>
      <c r="N31" s="3">
        <f>941.4+(440.7-312.1)+(0.960228+(0.449514-0.318342))+0-164.7-0.167994000000026</f>
        <v>906.22340599999995</v>
      </c>
      <c r="O31" s="3">
        <f>942.5+(459.9-292.7)+(-0.96135+(-0.469098--0.298554))+0-167.3--0.170646000000027</f>
        <v>941.43875200000002</v>
      </c>
      <c r="P31" s="3">
        <f>975.5+(464.4-296.8)+(-0.497505+(-0.236844--0.151368))+0-167.4--0.085373999999983</f>
        <v>975.20239299999992</v>
      </c>
      <c r="Q31" s="3">
        <f>1019.3+(436.7-283.6)+(-0.519843+(-0.222717--0.144636))+0-169.4--0.0863939999999828</f>
        <v>1002.4884699999999</v>
      </c>
      <c r="R31" s="3">
        <f>1041.5+(394.3-219.6)+(-1.593495+(-0.603279--0.335988))+0-171.6--0.26254800000001</f>
        <v>1043.0017620000001</v>
      </c>
      <c r="S31" s="3">
        <f>1055.6+(507.1-306.4)+(0+(0-0))+0-174.1-0</f>
        <v>1082.2</v>
      </c>
      <c r="T31" s="3">
        <f>1052.1+(555.6-348.7)+(0+(0-0))+0-176-0</f>
        <v>1083</v>
      </c>
      <c r="U31" s="3">
        <f>1040+(510.6-311.4)+(-1.0608+(-0.520812--0.317628))+0-172--0.175440000000027</f>
        <v>1066.1114560000001</v>
      </c>
      <c r="V31" s="3">
        <f>1041.9+(402.6-232)+(0+(0-0))+0-167.1-0</f>
        <v>1045.4000000000001</v>
      </c>
      <c r="W31" s="3">
        <f>1045+(326.3-190.4)+(-3.1977+(-0.998478--0.582624))+0-170.9--0.52295400000002</f>
        <v>1006.9094000000001</v>
      </c>
      <c r="X31" s="3">
        <f>1049+(261.3-174.7)+(-4.27992+(-1.066104--0.712776))+0-171.2--0.698495999999985</f>
        <v>960.46524799999975</v>
      </c>
      <c r="Y31" s="3">
        <f>1064+(324.1-208.6)+(-2.17056+(-0.661164--0.425544))+0-168.1--0.342923999999993</f>
        <v>1009.3367440000001</v>
      </c>
      <c r="Z31" s="3">
        <f>1072+(420-247.6)+(-3.82704+(-1.4994--0.883932))+0-172.3--0.615111000000003</f>
        <v>1068.2726030000001</v>
      </c>
      <c r="AA31" s="3">
        <f>1035+(513.3-297.3)+(-1.0557+(-0.523566--0.303246))+0-171.8--0.175236000000027</f>
        <v>1078.0992160000001</v>
      </c>
      <c r="AB31" s="3">
        <f>1008+(534.6-320.7)+(-2.5704+(-1.36323--0.817785))+0-169.9--0.433244999999975</f>
        <v>1049.3173999999999</v>
      </c>
      <c r="AC31" s="3">
        <f>1008+(535.3-353.7)+(0+(0-0))+0-170.9-0</f>
        <v>1018.6999999999999</v>
      </c>
      <c r="AD31">
        <v>1085.3000000000002</v>
      </c>
      <c r="AE31" s="3">
        <f>1085+(435.2-256.3)+(0+(0-0))+0-169.6-0</f>
        <v>1094.3000000000002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990.4+(525.1-347.1)+(0+(0-0))+0-173.6-0</f>
        <v>994.80000000000007</v>
      </c>
      <c r="G32" s="3">
        <f>1000.2+(448.2-321.4)+(1.020204+(0.457164-0.327828))+0-171.3-0.174726000000027</f>
        <v>956.67481399999986</v>
      </c>
      <c r="H32" s="3">
        <f>1039+(383.6-319.8)+(-1.05978+(-0.391272--0.326196))+0-167.9--0.171258000000027</f>
        <v>933.94640200000015</v>
      </c>
      <c r="I32" s="3">
        <f>1147.2+(339.4-390.1)+(-2.340288+(-0.692376--0.795804))+0-166--0.338639999999993</f>
        <v>928.60177999999996</v>
      </c>
      <c r="J32" s="3">
        <f>1149.2+(300.1-373.3)+(1.758276+(0.459153-0.571149))+0-162.4-0.248472000000009</f>
        <v>914.99780799999996</v>
      </c>
      <c r="K32" s="3">
        <f>1160.2+(288-379.8)+(0.591702+(0.14688-0.193698))+0-164.7-0.0839969999999833</f>
        <v>904.160887</v>
      </c>
      <c r="L32" s="3">
        <f>1164.6+(290.3-417)+(-1.187892+(-0.296106--0.42534))+0-166.3--0.169626000000027</f>
        <v>870.71096799999998</v>
      </c>
      <c r="M32" s="3">
        <f>1122.3+(380.5-429.4)+(1.144746+(0.38811-0.437988))+0-171.1-0.174522000000027</f>
        <v>903.22034599999995</v>
      </c>
      <c r="N32" s="3">
        <f>970.5+(515.1-364.1)+(0.494955+(0.262701-0.185691))+0-174.9-0.0891989999999823</f>
        <v>947.08276600000011</v>
      </c>
      <c r="O32" s="3">
        <f>946.4+(554.5-347.1)+(0.965328+(0.56559-0.354042))+0-170.1-0.173502000000027</f>
        <v>984.70337399999994</v>
      </c>
      <c r="P32" s="3">
        <f>937.8+(563.2-326.2)+(0+(0-0))+0-166.6-0</f>
        <v>1008.1999999999999</v>
      </c>
      <c r="Q32" s="3">
        <f>928.1+(549.1-262.1)+(1.893324+(1.120164-0.534684))+0-159.6-0.325583999999993</f>
        <v>1057.6532200000001</v>
      </c>
      <c r="R32" s="3">
        <f>922.7+(565-235.3)+(0+(0-0))+0-152.4-0</f>
        <v>1100</v>
      </c>
      <c r="S32" s="3">
        <f>918.1+(703-335)+(-0.936462+(-0.71706--0.3417))+0-158.3--0.161466000000025</f>
        <v>1126.6496440000001</v>
      </c>
      <c r="T32" s="3">
        <f>910.5+(783.9-399.1)+(1.393065+(1.199367-0.610623))+0-164.7-0.25199100000001</f>
        <v>1132.3298179999999</v>
      </c>
      <c r="U32" s="3">
        <f>915.8+(742.7-381.9)+(-2.33529+(-1.893885--0.973845))+0-164.4--0.419219999999976</f>
        <v>1109.3638899999999</v>
      </c>
      <c r="V32" s="3">
        <f>916.2+(668.7-332.7)+(0+(0-0))+0-166.1-0</f>
        <v>1086.1000000000001</v>
      </c>
      <c r="W32" s="3">
        <f>920.1+(548.8-260.1)+(-3.284757+(-1.959216--0.928557))+0-165.4--0.590478000000002</f>
        <v>1039.675062</v>
      </c>
      <c r="X32" s="3">
        <f>950.6+(430.1-235.5)+(-1.939224+(-0.877404--0.48042))+0-168.2--0.343127999999993</f>
        <v>975.00692000000004</v>
      </c>
      <c r="Y32" s="3">
        <f>1009.5+(460.4-270.5)+(-1.02969+(-0.469608--0.27591))+0-169.8--0.173196000000027</f>
        <v>1028.5498080000002</v>
      </c>
      <c r="Z32" s="3">
        <f>1123.8+(521.9-374.9)+(-2.86569+(-1.330845--0.955995))+0-172--0.438599999999975</f>
        <v>1095.9980599999999</v>
      </c>
      <c r="AA32" s="3">
        <f>1131.2+(528.2-394.9)+(-4.038384+(-1.885674--1.409793))+0-170.2--0.607614000000002</f>
        <v>1090.3933489999999</v>
      </c>
      <c r="AB32" s="3">
        <f>1136.5+(539-432.6)+(-2.31846+(-1.09956--0.882504))+0-169.8--0.346391999999993</f>
        <v>1070.9108760000001</v>
      </c>
      <c r="AC32" s="3">
        <f>1140.8+(538.4-467.5)+(-1.163616+(-0.549168--0.47685))+0-168.8--0.172176000000027</f>
        <v>1041.8362419999999</v>
      </c>
      <c r="AD32">
        <v>1094</v>
      </c>
      <c r="AE32" s="3">
        <f>1138+(529-391.5)+(0+(0-0))+0-172.5-0</f>
        <v>1103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1159.8+(487.8-454.1)+(-2.95749+(-1.24389--1.157955))+0-160.3--0.408764999999977</f>
        <v>1030.5653399999999</v>
      </c>
      <c r="G33" s="3">
        <f>1165.7+(409.6-422.1)+(-2.972535+(-1.04448--1.076355))+0-159.2--0.405959999999977</f>
        <v>991.46529999999996</v>
      </c>
      <c r="H33" s="3">
        <f>1167.4+(352.3-402.2)+(-1.786122+(-0.539019--0.615366))+0-156.2--0.238986000000009</f>
        <v>959.82921099999987</v>
      </c>
      <c r="I33" s="3">
        <f>1169.3+(345.1-415.4)+(-0.596343+(-0.176001--0.211854))+0-159.4--0.0812939999999838</f>
        <v>939.12080399999991</v>
      </c>
      <c r="J33" s="3">
        <f>1166.4+(298-383.6)+(-1.189728+(-0.30396--0.391272))+0-157.4--0.160548000000025</f>
        <v>922.45813200000032</v>
      </c>
      <c r="K33" s="3">
        <f>1158.3+(257.4-346.9)+(-1.181466+(-0.262548--0.353838))+0-158.4--0.161568000000025</f>
        <v>909.47139200000004</v>
      </c>
      <c r="L33" s="3">
        <f>1151.9+(196.8-320.2)+(-2.937345+(-0.50184--0.81651))+0-163.4--0.416669999999976</f>
        <v>862.8939949999999</v>
      </c>
      <c r="M33" s="3">
        <f>1150.5+(210-320.7)+(0+(0-0))+0-165.7-0</f>
        <v>874.09999999999991</v>
      </c>
      <c r="N33" s="3">
        <f>1140.8+(255.8-313.2)+(-1.745424+(-0.391374--0.479196))+0-168--0.25704000000001</f>
        <v>913.99943800000005</v>
      </c>
      <c r="O33" s="3">
        <f>1130.7+(336.9-353.1)+(-0.576657+(-0.171819--0.180081))+0-168--0.085679999999983</f>
        <v>946.01728500000002</v>
      </c>
      <c r="P33" s="3">
        <f>1112.5+(418.3-371.7)+(-1.13475+(-0.426666--0.379134))+0-166.4--0.169728000000027</f>
        <v>991.68744600000002</v>
      </c>
      <c r="Q33" s="3">
        <f>1096.1+(513.5-410.5)+(0+(0-0))+0-166.9-0</f>
        <v>1032.1999999999998</v>
      </c>
      <c r="R33" s="3">
        <f>1102+(574-439.6)+(-0.56202+(-0.29274--0.224196))+0-166.4--0.0848639999999831</f>
        <v>1069.4542999999999</v>
      </c>
      <c r="S33" s="3">
        <f>1090.6+(635.4-478.9)+(-2.224824+(-1.296216--0.976956))+0-169.9--0.346595999999993</f>
        <v>1075.0025119999998</v>
      </c>
      <c r="T33" s="3">
        <f>1084.5+(692.2-521.8)+(-0.553095+(-0.353022--0.266118))+0-167.3--0.085322999999983</f>
        <v>1087.0453240000002</v>
      </c>
      <c r="U33" s="3">
        <f>1078.3+(682.5-510.8)+(-1.649799+(-1.044225--0.781524))+0-168.3--0.25749900000001</f>
        <v>1080.0449990000002</v>
      </c>
      <c r="V33" s="3">
        <f>1079.7+(608.7-461.7)+(-2.753235+(-1.552185--1.177335))+0-162.2--0.413609999999976</f>
        <v>1061.785525</v>
      </c>
      <c r="W33" s="3">
        <f>1084.2+(432.3-332.9)+(-1.658826+(-0.661419--0.509337))+0-155.8--0.238374000000009</f>
        <v>1026.2274660000003</v>
      </c>
      <c r="X33" s="3">
        <f>1085.3+(297.3-246)+(-2.214012+(-0.606492--0.50184))+0-153.1--0.312323999999993</f>
        <v>981.49365999999998</v>
      </c>
      <c r="Y33" s="3">
        <f>1095.5+(363.1-272)+(0+(0-0))+0-155.4-0</f>
        <v>1031.1999999999998</v>
      </c>
      <c r="Z33" s="3">
        <f>1105.9+(548.8-377.4)+(-2.256036+(-1.119552--0.769896))+0-161.5--0.329459999999993</f>
        <v>1113.523768</v>
      </c>
      <c r="AA33" s="3">
        <f>1116.7+(611-440.3)+(0+(0-0))+0-162-0</f>
        <v>1125.4000000000001</v>
      </c>
      <c r="AB33" s="3">
        <f>1129.4+(651.6-495.9)+(-0.575994+(-0.332316--0.252909))+0-165.2--0.0842519999999832</f>
        <v>1119.328851</v>
      </c>
      <c r="AC33" s="3">
        <f>1144.8+(614.1-501.6)+(-2.91924+(-1.565955--1.27908))+0-171.1--0.436304999999975</f>
        <v>1083.43019</v>
      </c>
      <c r="AD33">
        <v>1120.5</v>
      </c>
      <c r="AE33" s="3">
        <f>1105+(570.9-384.7)+(0+(0-0))+0-160.7-0</f>
        <v>1130.5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1153.1+(544.3-482.9)+(-0.588081+(-0.277593--0.246279))+0-166.8--0.0850679999999831</f>
        <v>1047.1656730000002</v>
      </c>
      <c r="G34" s="3">
        <f>1158.6+(444.1-430.6)+(-1.772658+(-0.679473--0.658818))+0-167.9--0.25688700000001</f>
        <v>1002.663574</v>
      </c>
      <c r="H34" s="3">
        <f>1161.6+(361.2-383.1)+(-0.592416+(-0.184212--0.195381))+0-167.9--0.085628999999983</f>
        <v>971.30438199999969</v>
      </c>
      <c r="I34" s="3">
        <f>1166.7+(315.8-366.5)+(-1.190034+(-0.322116--0.37383))+0-166.8--0.170136000000027</f>
        <v>948.23181600000009</v>
      </c>
      <c r="J34" s="3">
        <f>1169.4+(277.6-349.2)+(-1.789182+(-0.424728--0.534276))+0-166.6--0.25489800000001</f>
        <v>929.77526400000011</v>
      </c>
      <c r="K34" s="3">
        <f>1169.5+(241-324.7)+(-0.596445+(-0.12291--0.165597))+0-166.3--0.0848129999999831</f>
        <v>919.03105499999992</v>
      </c>
      <c r="L34" s="3">
        <f>1160.1+(215.9-335.3)+(-1.774953+(-0.330327--0.513009))+0-163.8--0.25061400000001</f>
        <v>875.55834299999992</v>
      </c>
      <c r="M34" s="3">
        <f>1149.6+(253-338.2)+(1.758888+(0.38709-0.517446))+0-164.9-0.25229700000001</f>
        <v>900.87623499999984</v>
      </c>
      <c r="N34" s="3">
        <f>1142.6+(274.8-307.8)+(0.582726+(0.140148-0.156978))+0-160.4-0.0818039999999837</f>
        <v>949.68409199999996</v>
      </c>
      <c r="O34" s="3">
        <f>1131.6+(312.3-308.5)+(0+(0-0))+0-157.7-0</f>
        <v>977.69999999999982</v>
      </c>
      <c r="P34" s="3">
        <f>1119.2+(359.3-308.7)+(-0.570792+(-0.183243--0.157437))+0-151.8--0.0774179999999846</f>
        <v>1017.4808200000001</v>
      </c>
      <c r="Q34" s="3">
        <f>1105.8+(427-314.6)+(0.563958+(0.21777-0.160446))+0-151.7-0.0773669999999846</f>
        <v>1067.0439149999997</v>
      </c>
      <c r="R34" s="3">
        <f>1092+(517.4-368.5)+(-0.55692+(-0.263874--0.187935))+0-150.1--0.0765509999999848</f>
        <v>1090.243692</v>
      </c>
      <c r="S34" s="3">
        <f>1085.6+(648.6-467.8)+(0+(0-0))+0-147.2-0</f>
        <v>1119.1999999999998</v>
      </c>
      <c r="T34" s="3">
        <f>1085.6+(688.8-499.2)+(0+(0-0))+0-147.5-0</f>
        <v>1127.6999999999998</v>
      </c>
      <c r="U34" s="3">
        <f>1100.2+(591.2-434.7)+(-2.244408+(-1.206048--0.886788))+0-139.8--0.285191999999994</f>
        <v>1114.6215240000001</v>
      </c>
      <c r="V34" s="3">
        <f>1118.3+(402-276)+(-2.281332+(-0.82008--0.56304))+0-136.4--0.278255999999994</f>
        <v>1105.6398839999999</v>
      </c>
      <c r="W34" s="3">
        <f>1118.7+(339.8-262.1)+(-2.282148+(-0.693192--0.534684))+0-141--0.287639999999994</f>
        <v>1053.2469840000001</v>
      </c>
      <c r="X34" s="3">
        <f>1121+(282.3-265.2)+(-1.71513+(-0.431919--0.405756))+0-142.3--0.217719000000008</f>
        <v>994.2764259999999</v>
      </c>
      <c r="Y34" s="3">
        <f>1127.6+(350.2-286.8)+(0+(0-0))+0-145.1-0</f>
        <v>1045.9000000000001</v>
      </c>
      <c r="Z34" s="3">
        <f>1134.7+(451.8-323.1)+(-2.893485+(-1.15209--0.823905))+0-148.6--0.378929999999978</f>
        <v>1111.9572600000004</v>
      </c>
      <c r="AA34" s="3">
        <f>1137.6+(516.5-383.8)+(-2.90088+(-1.317075--0.97869))+0-156.2--0.398309999999977</f>
        <v>1111.259045</v>
      </c>
      <c r="AB34" s="3">
        <f>1142+(555.5-448.2)+(-1.16484+(-0.56661--0.457164))+0-154.7--0.157794000000025</f>
        <v>1093.4835079999998</v>
      </c>
      <c r="AC34" s="3">
        <f>1128.8+(576-488.1)+(-1.151376+(-0.58752--0.497862))+0-153.9--0.156978000000025</f>
        <v>1061.7159439999998</v>
      </c>
      <c r="AD34">
        <v>1113.3999999999999</v>
      </c>
      <c r="AE34" s="3">
        <f>1138+(477.6-345.5)+(0+(0-0))+0-149.7-0</f>
        <v>1120.3999999999999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1153.1+(510.3-464)+(-1.176162+(-0.520506--0.47328))+0-157.1--0.160242000000025</f>
        <v>1041.2368539999998</v>
      </c>
      <c r="G35" s="3">
        <f>1163.3+(396.8-400)+(-1.186566+(-0.404736--0.408))+0-156--0.159120000000025</f>
        <v>1003.075818</v>
      </c>
      <c r="H35" s="3">
        <f>1171.1+(311.7-355.1)+(-1.194522+(-0.317934--0.362202))+0-155.8--0.158916000000025</f>
        <v>970.90866199999994</v>
      </c>
      <c r="I35" s="3">
        <f>1168.6+(259.7-324.3)+(-1.787958+(-0.397341--0.496179))+0-154.7--0.236691000000009</f>
        <v>947.84757100000002</v>
      </c>
      <c r="J35" s="3">
        <f>1170.8+(222.2-308.3)+(-2.98554+(-0.56661--0.786165))+0-151.2--0.385559999999978</f>
        <v>931.11957499999971</v>
      </c>
      <c r="K35" s="3">
        <f>1179.4+(200.1-301.4)+(-3.00747+(-0.510255--0.76857))+0-151.7--0.386834999999978</f>
        <v>924.03768000000014</v>
      </c>
      <c r="L35" s="3">
        <f>1164.7+(165.9-296.5)+(-3.563982+(-0.507654--0.90729))+0-150.3--0.459918000000017</f>
        <v>881.09557200000017</v>
      </c>
      <c r="M35" s="3">
        <f>1163.2+(222.6-329.4)+(0+(0-0))+0-152.9-0</f>
        <v>903.50000000000011</v>
      </c>
      <c r="N35" s="3">
        <f>1151.2+(246.8-299.2)+(0+(0-0))+0-152.2-0</f>
        <v>946.60000000000014</v>
      </c>
      <c r="O35" s="3">
        <f>1140.4+(312.4-324.6)+(0+(0-0))+0-153.3-0</f>
        <v>974.90000000000009</v>
      </c>
      <c r="P35" s="3">
        <f>1124.5+(288.4-268.2)+(0+(0-0))+0-132.1-0</f>
        <v>1012.6</v>
      </c>
      <c r="Q35" s="3">
        <f>1112.1+(326.7-223.8)+(-1.701513+(-0.499851--0.342414))+0-127.7--0.195381000000007</f>
        <v>1085.6364309999999</v>
      </c>
      <c r="R35" s="3">
        <f>1084.5+(424.7-231.2)+(-2.765475+(-1.082985--0.58956))+0-144.7--0.368984999999979</f>
        <v>1130.410085</v>
      </c>
      <c r="S35" s="3">
        <f>1068.8+(472.4-242.2)+(0.545088+(0.240924-0.123522))+0-144.3-0.0735929999999854</f>
        <v>1155.2888969999999</v>
      </c>
      <c r="T35" s="3">
        <f>1067.5+(453.6-206)+(-1.633275+(-0.694008--0.31518))+0-154.2--0.235926000000009</f>
        <v>1159.1238229999999</v>
      </c>
      <c r="U35" s="3">
        <f>1067+(441.9-215.3)+(-2.17668+(-0.901476--0.439212))+0-153.8--0.313751999999993</f>
        <v>1137.4748079999999</v>
      </c>
      <c r="V35" s="3">
        <f>1065.9+(423.5-217.6)+(-2.718045+(-1.079925--0.55488))+0-161.6--0.412079999999977</f>
        <v>1107.3689900000004</v>
      </c>
      <c r="W35" s="3">
        <f>1099.4+(343-238.5)+(-2.242776+(-0.69972--0.48654))+0-161.6--0.329663999999993</f>
        <v>1040.1737080000003</v>
      </c>
      <c r="X35" s="3">
        <f>1107.3+(343-290.3)+(-2.258892+(-0.69972--0.592212))+0-157.3--0.320891999999993</f>
        <v>1000.6544919999999</v>
      </c>
      <c r="Y35" s="3">
        <f>1152.9+(343.7-282.9)+(-2.351916+(-0.701148--0.577116))+0-163.4--0.333335999999993</f>
        <v>1048.1573879999999</v>
      </c>
      <c r="Z35" s="3">
        <f>1298.2+(320.8-330.2)+(-1.986246+(-0.490824--0.505206))+0-166.4--0.25459200000001</f>
        <v>1120.682728</v>
      </c>
      <c r="AA35" s="3">
        <f>1309.1+(335.7-348)+(-3.338205+(-0.856035--0.8874))+0-159.7--0.407234999999977</f>
        <v>1134.2003949999998</v>
      </c>
      <c r="AB35" s="3">
        <f>1311.8+(328.8-362.7)+(-4.683126+(-1.173816--1.294839))+0-156.3--0.557991000000002</f>
        <v>1117.5958880000001</v>
      </c>
      <c r="AC35" s="3">
        <f>1310.4+(319.7-391.6)+(-1.336608+(-0.326094--0.399432))+0-157.5--0.160650000000025</f>
        <v>1079.8973800000001</v>
      </c>
      <c r="AD35">
        <v>1137.0999999999999</v>
      </c>
      <c r="AE35" s="3">
        <f>1316+(320.8-326.3)+(0+(0-0))+0-165.4-0</f>
        <v>1145.0999999999999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1318.9+(259.7-376)+(-0.672639+(-0.132447--0.19176))+0-159.2--0.0811919999999838</f>
        <v>1042.867866</v>
      </c>
      <c r="G36" s="3">
        <f>1323.1+(222.2-380.3)+(-2.024343+(-0.339966--0.581859))+0-158.6--0.242658000000009</f>
        <v>1004.8602080000001</v>
      </c>
      <c r="H36" s="3">
        <f>1332.6+(184.5-372.5)+(-2.718504+(-0.37638--0.7599))+0-164.8--0.336191999999993</f>
        <v>977.80120799999986</v>
      </c>
      <c r="I36" s="3">
        <f>1336.4+(173.7-388.5)+(2.044692+(0.265761-0.594405))+0-164.8-0.25214400000001</f>
        <v>958.26390400000014</v>
      </c>
      <c r="J36" s="3">
        <f>1331.8+(185.3-414)+(-1.358436+(-0.189006--0.42228))+0-165.6--0.168912000000026</f>
        <v>936.54374999999982</v>
      </c>
      <c r="K36" s="3">
        <f>1347.6+(219.4-489.4)+(-2.061828+(-0.335682--0.748782))+0-164.4--0.25153200000001</f>
        <v>911.80280400000004</v>
      </c>
      <c r="L36" s="3">
        <f>1355.1+(332.9-641.5)+(-2.073303+(-0.509337--0.981495))+0-163.6--0.250308000000009</f>
        <v>881.54916299999991</v>
      </c>
      <c r="M36" s="3">
        <f>1352.6+(378.7-658.3)+(-0.689826+(-0.193137--0.335733))+0-167.5--0.085424999999983</f>
        <v>905.03819500000009</v>
      </c>
      <c r="N36" s="3">
        <f>1333.5+(362.4-593.6)+(-0.680085+(-0.184824--0.302736))+0-165.9--0.0846089999999832</f>
        <v>935.92243599999995</v>
      </c>
      <c r="O36" s="3">
        <f>1308.2+(346.9-531.4)+(-1.334364+(-0.353838--0.542028))+0-153.5--0.156570000000024</f>
        <v>969.21039600000006</v>
      </c>
      <c r="P36" s="3">
        <f>1291.2+(339.8-477.5)+(-1.317024+(-0.346596--0.48705))+0-147.4--0.150348000000024</f>
        <v>1005.0737779999999</v>
      </c>
      <c r="Q36" s="3">
        <f>1276.6+(312.3-387.7)+(-1.953198+(-0.477819--0.593181))+0-149.6--0.228888000000009</f>
        <v>1049.9910520000001</v>
      </c>
      <c r="R36" s="3">
        <f>1270.6+(260.8-296.1)+(-3.24003+(-0.66504--0.755055))+0-146.7--0.374084999999979</f>
        <v>1085.8240699999999</v>
      </c>
      <c r="S36" s="3">
        <f>1270.8+(325.3-328.8)+(-1.296216+(-0.331806--0.335376))+0-149.2--0.152184000000024</f>
        <v>1116.9595379999998</v>
      </c>
      <c r="T36" s="3">
        <f>1259.1+(381.7-348.6)+(-1.284282+(-0.389334--0.355572))+0-149.6--0.152592000000024</f>
        <v>1141.4345479999997</v>
      </c>
      <c r="U36" s="3">
        <f>1258.4+(386-365.2)+(-2.567136+(-0.78744--0.745008))+0-148.2--0.302327999999993</f>
        <v>1128.6927599999999</v>
      </c>
      <c r="V36" s="3">
        <f>1258.9+(434-434)+(-1.926117+(-0.66402--0.66402))+0-154.2--0.235926000000009</f>
        <v>1103.0098090000001</v>
      </c>
      <c r="W36" s="3">
        <f>1258.8+(321.5-367.3)+(-1.283976+(-0.32793--0.374646))+0-157--0.160140000000025</f>
        <v>1054.9228799999999</v>
      </c>
      <c r="X36" s="3">
        <f>1262.6+(290.2-409.9)+(-2.575704+(-0.592008--0.836196))+0-155.5--0.317219999999993</f>
        <v>985.38570399999992</v>
      </c>
      <c r="Y36" s="3">
        <f>1280.6+(312.8-411.5)+(-1.306212+(-0.319056--0.41973))+0-151.5--0.154530000000024</f>
        <v>1029.348992</v>
      </c>
      <c r="Z36" s="3">
        <f>1295.2+(348.6-369.4)+(-1.321104+(-0.355572--0.376788))+0-155.6--0.158712000000025</f>
        <v>1117.6588240000001</v>
      </c>
      <c r="AA36" s="3">
        <f>1311.4+(387.9-416.2)+(-3.34407+(-0.989145--1.06131))+0-157.5--0.401624999999977</f>
        <v>1122.72972</v>
      </c>
      <c r="AB36" s="3">
        <f>1325.8+(402.8-465.6)+(-2.028474+(-0.616284--0.712368))+0-154.4--0.236232000000009</f>
        <v>1106.9038419999999</v>
      </c>
      <c r="AC36" s="3">
        <f>1333.6+(419.7-527.2)+(-0.680136+(-0.214047--0.268872))+0-151.8--0.0774179999999846</f>
        <v>1073.752107</v>
      </c>
      <c r="AD36">
        <v>1116.5999999999999</v>
      </c>
      <c r="AE36" s="3">
        <f>1299+(361.4-381.4)+(0+(0-0))+0-155.4-0</f>
        <v>1123.5999999999999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1326.5+(396.3-526.6)+(-1.35303+(-0.404226--0.537132))+0-155.1--0.158202000000025</f>
        <v>1040.0380780000003</v>
      </c>
      <c r="G37" s="3">
        <f>1311.2+(334.7-484.8)+(-2.674848+(-0.682788--0.988992))+0-154.1--0.314363999999993</f>
        <v>1004.9457199999999</v>
      </c>
      <c r="H37" s="3">
        <f>1259.2+(315.8-452.4)+(0+(0-0))+0-152.4-0</f>
        <v>970.20000000000016</v>
      </c>
      <c r="I37" s="3">
        <f>1265.7+(274.1-437.6)+(-2.582028+(-0.559164--0.892704))+0-152.5--0.311099999999993</f>
        <v>947.7626120000001</v>
      </c>
      <c r="J37" s="3">
        <f>1268.1+(246.3-423.1)+(0.646731+(0.125613-0.215781))+0-151.9-0.0774689999999846</f>
        <v>939.87909400000012</v>
      </c>
      <c r="K37" s="3">
        <f>1274.5+(196.7-403.1)+(0+(0-0))+0-152.6-0</f>
        <v>915.49999999999989</v>
      </c>
      <c r="L37" s="3">
        <f>1278.1+(280.4-527.5)+(-1.955493+(-0.429012--0.807075))+0-150.8--0.230724000000009</f>
        <v>878.85329400000001</v>
      </c>
      <c r="M37" s="3">
        <f>1279.8+(342.1-564)+(0+(0-0))+0-152.8-0</f>
        <v>905.10000000000014</v>
      </c>
      <c r="N37" s="3">
        <f>1271.5+(336.9-512.9)+(-1.29693+(-0.343638--0.523158))+0-154.1--0.157182000000025</f>
        <v>940.43977199999995</v>
      </c>
      <c r="O37" s="3">
        <f>1246.7+(324.3-455)+(1.271634+(0.330786-0.4641))+0-144-0.146880000000023</f>
        <v>972.99144000000001</v>
      </c>
      <c r="P37" s="3">
        <f>1238.6+(338.7-399.4)+(-1.263372+(-0.345474--0.407388))+0-150--0.153000000000024</f>
        <v>1026.8515419999999</v>
      </c>
      <c r="Q37" s="3">
        <f>1220.5+(322.3-321.5)+(-0.622455+(-0.164373--0.163965))+0-149.8--0.0763979999999848</f>
        <v>1070.9535349999999</v>
      </c>
      <c r="R37" s="3">
        <f>1210.7+(345-282.9)+(-0.617457+(-0.17595--0.144279))+0-146.1--0.0745109999999852</f>
        <v>1126.1253830000003</v>
      </c>
      <c r="S37" s="3">
        <f>1226.2+(443.4-355.4)+(-0.625362+(-0.226134--0.181254))+0-151.8--0.0774179999999846</f>
        <v>1161.8071760000003</v>
      </c>
      <c r="T37" s="3">
        <f>1229+(495.2-399.4)+(1.25358+(0.505104-0.407388))+0-152.5-0.155550000000024</f>
        <v>1173.4957460000001</v>
      </c>
      <c r="U37" s="3">
        <f>1241.2+(445.6-381.2)+(1.266024+(0.454512-0.388824))+0-157-0.160140000000025</f>
        <v>1149.7715720000001</v>
      </c>
      <c r="V37" s="3">
        <f>1242.9+(358.2-325.2)+(-2.535516+(-0.730728--0.663408))+0-153.5--0.313139999999993</f>
        <v>1120.110304</v>
      </c>
      <c r="W37" s="3">
        <f>1248.9+(297.3-333.6)+(-1.910817+(-0.454869--0.510408))+0-159.3--0.243729000000009</f>
        <v>1051.6884510000002</v>
      </c>
      <c r="X37" s="3">
        <f>1255.7+(308.6-404.7)+(-3.202035+(-0.78693--1.031985))+0-160.7--0.409784999999977</f>
        <v>996.3528050000001</v>
      </c>
      <c r="Y37" s="3">
        <f>1266.4+(324.4-395.2)+(-0.645864+(-0.165444--0.201552))+0-155--0.0790499999999843</f>
        <v>1040.0692940000001</v>
      </c>
      <c r="Z37" s="3">
        <f>1290.9+(334.3-347.7)+(-0.658359+(-0.170493--0.177327))+0-155.1--0.0791009999999843</f>
        <v>1121.8275760000001</v>
      </c>
      <c r="AA37" s="3">
        <f>1306.5+(351-366)+(-3.331575+(-0.89505--0.9333))+0-155.8--0.397289999999977</f>
        <v>1132.8039649999998</v>
      </c>
      <c r="AB37" s="3">
        <f>1310.1+(385-414.8)+(-1.336302+(-0.3927--0.423096))+0-155.6--0.158712000000025</f>
        <v>1123.5528059999999</v>
      </c>
      <c r="AC37" s="3">
        <f>1318.7+(405.6-480.4)+(-2.690148+(-0.827424--0.980016))+0-157.4--0.321095999999993</f>
        <v>1084.2835399999999</v>
      </c>
      <c r="AD37">
        <v>1142.0999999999999</v>
      </c>
      <c r="AE37" s="3">
        <f>1299+(338.5-339.4)+(0+(0-0))+0-149-0</f>
        <v>1149.0999999999999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1329.8+(320.8-436.4)+(-1.356396+(-0.327216--0.445128))+0-161.1--0.164322000000026</f>
        <v>1052.0258380000002</v>
      </c>
      <c r="G38" s="3">
        <f>1338.2+(263.5-423)+(-3.41241+(-0.671925--1.07865))+0-165.4--0.421769999999976</f>
        <v>1010.7160849999999</v>
      </c>
      <c r="H38" s="3">
        <f>1335.2+(233-420.3)+(-2.042856+(-0.35649--0.643059))+0-165--0.25245000000001</f>
        <v>981.39616300000012</v>
      </c>
      <c r="I38" s="3">
        <f>1332+(207.8-419.7)+(-1.35864+(-0.211956--0.428094))+0-160.3--0.163506000000026</f>
        <v>958.82100400000002</v>
      </c>
      <c r="J38" s="3">
        <f>1334.8+(180-408.1)+(-0.680748+(-0.0918--0.208131))+0-160.6--0.0819059999999837</f>
        <v>945.61748899999975</v>
      </c>
      <c r="K38" s="3">
        <f>1334.3+(198.5-446.2)+(-1.360986+(-0.20247--0.455124))+0-163.1--0.166362000000026</f>
        <v>922.55802999999992</v>
      </c>
      <c r="L38" s="3">
        <f>1342.3+(327.1-616.9)+(-3.422865+(-0.834105--1.573095))+0-164.1--0.418454999999976</f>
        <v>886.13458000000003</v>
      </c>
      <c r="M38" s="3">
        <f>1332.1+(362.4-614.2)+(-0.679371+(-0.184824--0.313242))+0-164.2--0.0837419999999833</f>
        <v>915.63278899999978</v>
      </c>
      <c r="N38" s="3">
        <f>1302.2+(363.6-560.8)+(-1.992366+(-0.556308--0.858024))+0-155.9--0.238527000000009</f>
        <v>947.64787699999999</v>
      </c>
      <c r="O38" s="3">
        <f>1300.1+(393.1-537.3)+(-0.663051+(-0.200481--0.274023))+0-168.3--0.0858329999999829</f>
        <v>987.09632400000021</v>
      </c>
      <c r="P38" s="3">
        <f>1305.4+(329.5-445.2)+(-0.665754+(-0.168045--0.227052))+0-168.6--0.0859859999999829</f>
        <v>1020.5792389999999</v>
      </c>
      <c r="Q38" s="3">
        <f>1298.9+(322.7-376.6)+(-3.312195+(-0.822885--0.96033))+0-170.1--0.433754999999975</f>
        <v>1072.1590050000002</v>
      </c>
      <c r="R38" s="3">
        <f>1292.8+(313.9-308.4)+(-1.318656+(-0.320178--0.314568))+0-171.7--0.175134000000027</f>
        <v>1125.4508679999999</v>
      </c>
      <c r="S38" s="3">
        <f>1286.8+(402.6-371.2)+(-0.656268+(-0.205326--0.189312))+0-173.8--0.0886379999999824</f>
        <v>1143.816356</v>
      </c>
      <c r="T38" s="3">
        <f>1303.1+(382-366.9)+(-0.664581+(-0.19482--0.187119))+0-177.6--0.090575999999982</f>
        <v>1140.018294</v>
      </c>
      <c r="U38" s="3">
        <f>1308.4+(354.4-371.1)+(-3.33642+(-0.90372--0.946305))+0-174.7--0.445484999999975</f>
        <v>1114.15165</v>
      </c>
      <c r="V38" s="3">
        <f>1318.6+(299.3-358.3)+(-0.672486+(-0.152643--0.182733))+0-180.2--0.0919019999999817</f>
        <v>1078.8495059999998</v>
      </c>
      <c r="W38" s="3">
        <f>1318.1+(252.4-366.5)+(-3.361155+(-0.64362--0.934575))+0-181.3--0.462314999999974</f>
        <v>1020.0921149999999</v>
      </c>
      <c r="X38" s="3">
        <f>1313+(286.7-441.7)+(-2.00889+(-0.438651--0.675801))+0-173.3--0.26514900000001</f>
        <v>983.1934090000002</v>
      </c>
      <c r="Y38" s="3">
        <f>1318.5+(299.2-425.5)+(-2.68974+(-0.610368--0.86802))+0-164.9--0.336395999999993</f>
        <v>1025.2043079999999</v>
      </c>
      <c r="Z38" s="3">
        <f>1317.7+(320.6-342.6)+(-1.344054+(-0.327012--0.349452))+0-170.5--0.173910000000027</f>
        <v>1124.0522960000001</v>
      </c>
      <c r="AA38" s="3">
        <f>1326.7+(354.7-372.2)+(-2.706468+(-0.723588--0.759288))+0-173.2--0.353327999999992</f>
        <v>1133.68256</v>
      </c>
      <c r="AB38" s="3">
        <f>1332.5+(386.1-420.3)+(-3.397875+(-0.984555--1.071765))+0-175--0.446249999999975</f>
        <v>1120.4355849999999</v>
      </c>
      <c r="AC38" s="3">
        <f>1337.9+(374-449.1)+(-2.046987+(-0.57222--0.687123))+0-175.2--0.26805600000001</f>
        <v>1085.9359720000002</v>
      </c>
      <c r="AD38">
        <v>1146.1999999999998</v>
      </c>
      <c r="AE38" s="3">
        <f>1322+(346.3-343.7)+(0+(0-0))+0-170.4-0</f>
        <v>1154.1999999999998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1338.5+(355.2-459.4)+(-2.73054+(-0.724608--0.937176))+0-168.1--0.342923999999993</f>
        <v>1064.024952</v>
      </c>
      <c r="G39" s="3">
        <f>1342.9+(314.9-467.9)+(-4.794153+(-1.124193--1.670403))+0-165.6--0.591192000000002</f>
        <v>1020.643249</v>
      </c>
      <c r="H39" s="3">
        <f>1348.5+(274.8-474.4)+(-5.50188+(-1.121184--1.935552))+0-160.7--0.655655999999986</f>
        <v>984.1681440000001</v>
      </c>
      <c r="I39" s="3">
        <f>1354.2+(222.1-458.1)+(0.690642+(0.113271-0.233631))+0-160-0.0815999999999838</f>
        <v>958.68868199999997</v>
      </c>
      <c r="J39" s="3">
        <f>1360.6+(194.1-446.3)+(-2.775624+(-0.395964--0.910452))+0-159.1--0.324563999999993</f>
        <v>947.36342799999977</v>
      </c>
      <c r="K39" s="3">
        <f>1361+(196.6-482.7)+(-1.38822+(-0.200532--0.492354))+0-165.1--0.168402000000026</f>
        <v>908.87200400000017</v>
      </c>
      <c r="L39" s="3">
        <f>1312+(246.5-534.4)+(-1.33824+(-0.25143--0.545088))+0-162.2--0.165444000000026</f>
        <v>861.02086199999985</v>
      </c>
      <c r="M39" s="3">
        <f>1286.9+(203-434)+(-0.656319+(-0.10353--0.22134))+0-152.9--0.0779789999999845</f>
        <v>902.53947000000016</v>
      </c>
      <c r="N39" s="3">
        <f>1273.7+(351.4-529.5)+(-1.299174+(-0.358428--0.54009))+0-148.6--0.151572000000024</f>
        <v>946.03405999999984</v>
      </c>
      <c r="O39" s="3">
        <f>1264.7+(349.9-478.7)+(-0.644997+(-0.178449--0.244137))+0-160.2--0.0817019999999837</f>
        <v>975.20239300000003</v>
      </c>
      <c r="P39" s="3">
        <f>1260.7+(342.6-400.7)+(-1.928871+(-0.524178--0.613071))+0-163.6--0.250308000000009</f>
        <v>1037.4103300000002</v>
      </c>
      <c r="Q39" s="3">
        <f>1181.9+(324.2-257.6)+(0+(0-0))+0-163.2-0</f>
        <v>1085.3</v>
      </c>
      <c r="R39" s="3">
        <f>1169.2+(317-196.8)+(-3.577752+(-0.97002--0.602208))+0-160.7--0.491742000000019</f>
        <v>1125.2461779999999</v>
      </c>
      <c r="S39" s="3">
        <f>1279+(329.2-300.4)+(0.65229+(0.167892-0.153204))+0-162.8-0.0830279999999835</f>
        <v>1145.58395</v>
      </c>
      <c r="T39" s="3">
        <f>1278.2+(362.8-332.9)+(0+(0-0))+0-162.8-0</f>
        <v>1145.3000000000002</v>
      </c>
      <c r="U39" s="3">
        <f>1270.7+(328-329.5)+(-1.944171+(-0.50184--0.504135))+0-158--0.241740000000009</f>
        <v>1109.4998639999999</v>
      </c>
      <c r="V39" s="3">
        <f>1265.5+(293-311.4)+(-1.936215+(-0.44829--0.476442))+0-160.4--0.245412000000009</f>
        <v>1085.0373489999997</v>
      </c>
      <c r="W39" s="3">
        <f>1259.3+(241.6-318.8)+(-1.926729+(-0.369648--0.487764))+0-160.6--0.245718000000009</f>
        <v>1019.937105</v>
      </c>
      <c r="X39" s="3">
        <f>1219.1+(299.2-405.3)+(-3.730446+(-0.915552--1.240218))+0-157--0.480420000000018</f>
        <v>953.07463999999993</v>
      </c>
      <c r="Y39" s="3">
        <f>1240.8+(328.1-417.9)+(-2.531232+(-0.669324--0.852516))+0-157.9--0.322115999999993</f>
        <v>991.07407599999988</v>
      </c>
      <c r="Z39" s="3">
        <f>1311.5+(265.7-381.8)+(-2.67546+(-0.542028--0.778872))+0-156--0.318239999999993</f>
        <v>1037.2796240000002</v>
      </c>
      <c r="AA39" s="3">
        <f>1321+(229.6-381.5)+(-2.02113+(-0.351288--0.583695))+0-157.3--0.240669000000009</f>
        <v>1010.2519460000001</v>
      </c>
      <c r="AB39" s="3">
        <f>1321.6+(243.9-392.4)+(-2.696064+(-0.497556--0.800496))+0-155.8--0.317831999999993</f>
        <v>1015.224708</v>
      </c>
      <c r="AC39" s="3">
        <f>1322.4+(218.1-376.1)+(-2.023272+(-0.333693--0.575433))+0-156.3--0.239139000000009</f>
        <v>1006.5576070000002</v>
      </c>
      <c r="AD39">
        <v>1023.1</v>
      </c>
      <c r="AE39" s="3">
        <f>1318+(253.2-384.5)+(0+(0-0))+0-155.6-0</f>
        <v>1031.1000000000001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1319.6+(186.7-352.2)+(-1.345992+(-0.190434--0.359244))+0-154--0.157080000000025</f>
        <v>999.07989800000007</v>
      </c>
      <c r="G40" s="3">
        <f>1321.4+(193.5-388.7)+(-3.36957+(-0.493425--0.991185))+0-157.1--0.400604999999977</f>
        <v>966.62879499999985</v>
      </c>
      <c r="H40" s="3">
        <f>1325.2+(172.8-401.6)+(-2.027556+(-0.264384--0.614448))+0-156.4--0.239292000000009</f>
        <v>938.56180000000006</v>
      </c>
      <c r="I40" s="3">
        <f>1331+(140.7-403.6)+(-0.67881+(-0.071757--0.205836))+0-155.8--0.0794579999999842</f>
        <v>911.83472699999993</v>
      </c>
      <c r="J40" s="3">
        <f>1332.2+(141.2-408.6)+(-4.076532+(-0.432072--1.250316))+0-155.9--0.477054000000018</f>
        <v>906.11876600000005</v>
      </c>
      <c r="K40" s="3">
        <f>1308.5+(142.2-399)+(-2.66934+(-0.290088--0.81396))+0-156.1--0.318443999999993</f>
        <v>893.77297600000009</v>
      </c>
      <c r="L40" s="3">
        <f>1280.4+(142.7-415.1)+(-1.959012+(-0.218331--0.635103))+0-153.9--0.235467000000009</f>
        <v>852.793227</v>
      </c>
      <c r="M40" s="3">
        <f>1274.9+(143.2-387)+(-0.650199+(-0.073032--0.19737))+0-155--0.0790499999999843</f>
        <v>875.653189</v>
      </c>
      <c r="N40" s="3">
        <f>1270.8+(151.8-362.2)+(-1.296216+(-0.154836--0.369444))+0-152.1--0.155142000000024</f>
        <v>907.37353400000018</v>
      </c>
      <c r="O40" s="3">
        <f>1258.8+(193.4-356.5)+(0+(0-0))+0-150.5-0</f>
        <v>945.2</v>
      </c>
      <c r="P40" s="3">
        <f>1246.8+(218-347.3)+(-1.907604+(-0.33354--0.531369))+0-144.8--0.221544000000008</f>
        <v>971.211769</v>
      </c>
      <c r="Q40" s="3">
        <f>1236+(247.7-318.7)+(-1.89108+(-0.378981--0.487611))+0-147.7--0.225981000000009</f>
        <v>1015.7435310000001</v>
      </c>
      <c r="R40" s="3">
        <f>1229.9+(294.9-322.4)+(-1.254498+(-0.300798--0.328848))+0-148.9--0.151878000000024</f>
        <v>1052.4254300000002</v>
      </c>
      <c r="S40" s="3">
        <f>1223.9+(329.7-319.1)+(-2.496756+(-0.672588--0.650964))+0-152.9--0.311915999999993</f>
        <v>1079.3935359999998</v>
      </c>
      <c r="T40" s="3">
        <f>1217+(415.3-386.4)+(-1.24134+(-0.423606--0.394128))+0-155.2--0.158304000000025</f>
        <v>1089.5874860000001</v>
      </c>
      <c r="U40" s="3">
        <f>1211.6+(408.1-385.5)+(-1.853748+(-0.624393--0.589815))+0-153.1--0.234243000000009</f>
        <v>1079.445917</v>
      </c>
      <c r="V40" s="3">
        <f>1213.1+(363.4-358)+(-1.237362+(-0.370668--0.36516))+0-155.4--0.158508000000025</f>
        <v>1062.0156379999999</v>
      </c>
      <c r="W40" s="3">
        <f>1229.4+(275.4-329.4)+(-3.13497+(-0.70227--0.83997))+0-156.5--0.399074999999977</f>
        <v>1016.3018049999999</v>
      </c>
      <c r="X40" s="3">
        <f>1239+(221.6-337)+(-2.52756+(-0.452064--0.68748))+0-158.6--0.323543999999993</f>
        <v>963.03139999999985</v>
      </c>
      <c r="Y40" s="3">
        <f>1278.5+(250.9-368)+(-1.956105+(-0.383877--0.56304))+0-161.7--0.247401000000009</f>
        <v>998.17045900000005</v>
      </c>
      <c r="Z40" s="3">
        <f>1324.2+(296.1-354.1)+(-2.701368+(-0.604044--0.722364))+0-161.1--0.328643999999993</f>
        <v>1102.8455960000001</v>
      </c>
      <c r="AA40" s="3">
        <f>1326.9+(318-380.8)+(-1.353438+(-0.32436--0.388416))+0-156.4--0.159528000000025</f>
        <v>1106.5701460000002</v>
      </c>
      <c r="AB40" s="3">
        <f>1326.1+(365.3-437.3)+(-2.028933+(-0.558909--0.669069))+0-150.1--0.229653000000009</f>
        <v>1102.31088</v>
      </c>
      <c r="AC40" s="3">
        <f>1322.5+(368.5-470.6)+(-0.674475+(-0.187935--0.240006))+0-152--0.0775199999999846</f>
        <v>1067.8551160000002</v>
      </c>
      <c r="AD40">
        <v>1115</v>
      </c>
      <c r="AE40" s="3">
        <f>1330+(295.2-343.8)+(0+(0-0))+0-159.4-0</f>
        <v>1122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1331.7+(397.6-527.7)+(-1.358334+(-0.405552--0.538254))+0-156.9--0.160038000000025</f>
        <v>1043.6344059999999</v>
      </c>
      <c r="G41" s="3">
        <f>1333.8+(383.9-544)+(-2.720952+(-0.783156--1.10976))+0-159.6--0.325583999999993</f>
        <v>1012.0312359999998</v>
      </c>
      <c r="H41" s="3">
        <f>1335.7+(326-513)+(-2.043621+(-0.49878--0.78489))+0-158.9--0.243117000000009</f>
        <v>988.28560600000003</v>
      </c>
      <c r="I41" s="3">
        <f>1340.6+(284.8-508.7)+(-0.683706+(-0.145248--0.259437))+0-155.6--0.0793559999999842</f>
        <v>960.60983899999985</v>
      </c>
      <c r="J41" s="3">
        <f>1346+(254.2-493)+(-4.80522+(-0.907494--1.76001))+0-154.6--0.551922000000002</f>
        <v>949.19921799999997</v>
      </c>
      <c r="K41" s="3">
        <f>1347.7+(210.5-477.4)+(-4.123962+(-0.64413--1.460844))+0-151.1--0.462366000000017</f>
        <v>926.85511800000006</v>
      </c>
      <c r="L41" s="3">
        <f>1343+(158.5-450.7)+(-2.73972+(-0.32334--0.919428))+0-150.2--0.306407999999993</f>
        <v>898.76277599999992</v>
      </c>
      <c r="M41" s="3">
        <f>1339.5+(173-432.8)+(-0.683145+(-0.08823--0.220728))+0-139.6--0.0711959999999858</f>
        <v>939.62054899999998</v>
      </c>
      <c r="N41" s="3">
        <f>1321.1+(217.6-422.5)+(-1.347522+(-0.221952--0.43095))+0-132.2--0.134844000000021</f>
        <v>982.99631999999986</v>
      </c>
      <c r="O41" s="3">
        <f>1308.4+(198.9-357.8)+(-2.001852+(-0.304317--0.547434))+0-136--0.208080000000008</f>
        <v>1011.9493450000001</v>
      </c>
      <c r="P41" s="3">
        <f>1292.3+(237.2-321.3)+(-0.659073+(-0.120972--0.163863))+0-136.4--0.0695639999999862</f>
        <v>1071.2533819999996</v>
      </c>
      <c r="Q41" s="3">
        <f>1259+(273.8-302.4)+(0+(0-0))+0-133.6-0</f>
        <v>1096.8000000000002</v>
      </c>
      <c r="R41" s="3">
        <f>1285.2+(329.9-329.4)+(-0.655452+(-0.168249--0.167994))+0-131.8--0.0672179999999866</f>
        <v>1153.3115110000001</v>
      </c>
      <c r="S41" s="3">
        <f>1277.7+(438.3-400.4)+(-0.651627+(-0.223533--0.204204))+0-133.5--0.0680849999999865</f>
        <v>1181.4971290000001</v>
      </c>
      <c r="T41" s="3">
        <f>1272.8+(516.2-467.6)+(-1.947384+(-0.789786--0.715428))+0-135.2--0.206856000000008</f>
        <v>1184.3851140000002</v>
      </c>
      <c r="U41" s="3">
        <f>1281+(498.7-475.7)+(-1.95993+(-0.763011--0.727821))+0-128.9--0.197217000000007</f>
        <v>1173.3020969999998</v>
      </c>
      <c r="V41" s="3">
        <f>1278.8+(431.3-428.7)+(-1.304376+(-0.439926--0.437274))+0-131.9--0.134538000000021</f>
        <v>1148.3275100000001</v>
      </c>
      <c r="W41" s="3">
        <f>1287.5+(295.1-349.4)+(-1.969875+(-0.451503--0.534582))+0-135--0.206550000000008</f>
        <v>1096.5197540000001</v>
      </c>
      <c r="X41" s="3">
        <f>1295+(210.7-332)+(-2.6418+(-0.429828--0.67728))+0-134.1--0.273563999999994</f>
        <v>1037.4792160000002</v>
      </c>
      <c r="Y41" s="3">
        <f>1305.4+(199.8-313.9)+(-0.665754+(-0.101898--0.160089))+0-133.9--0.0682889999999864</f>
        <v>1056.8607260000001</v>
      </c>
      <c r="Z41" s="3">
        <f>1326.7+(313.1-409.4)+(-4.059702+(-0.958086--1.252764))+0-135.1--0.413406000000016</f>
        <v>1091.9483820000003</v>
      </c>
      <c r="AA41" s="3">
        <f>1324.3+(356.3-425.5)+(-2.701572+(-0.726852--0.86802))+0-135.3--0.276011999999994</f>
        <v>1117.5156079999999</v>
      </c>
      <c r="AB41" s="3">
        <f>1331.4+(449.4-508.1)+(-3.39507+(-1.14597--1.295655))+0-130.1--0.331754999999981</f>
        <v>1139.6863700000001</v>
      </c>
      <c r="AC41" s="3">
        <f>1335.1+(479.2-573.7)+(-2.723604+(-0.977568--1.170348))+0-131.3--0.267851999999994</f>
        <v>1107.037028</v>
      </c>
      <c r="AD41">
        <v>1146.2</v>
      </c>
      <c r="AE41" s="3">
        <f>1325+(338.9-374.4)+(0+(0-0))+0-136.3-0</f>
        <v>1153.2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1350.1+(437.1-564.2)+(-2.065653+(-0.668763--0.863226))+0-136.2--0.208386000000008</f>
        <v>1085.1371959999999</v>
      </c>
      <c r="G42" s="3">
        <f>1355.9+(374.8-546.6)+(-4.149054+(-1.146888--1.672596))+0-136.7--0.418302000000016</f>
        <v>1044.194956</v>
      </c>
      <c r="H42" s="3">
        <f>1362.1+(324.4-534.8)+(-2.778684+(-0.661776--1.090992))+0-135.7--0.276827999999994</f>
        <v>1013.9273599999999</v>
      </c>
      <c r="I42" s="3">
        <f>1336.4+(370.8-577.9)+(0.681564+(0.189108-0.294729))+0-134.8-0.0687479999999863</f>
        <v>995.00719500000025</v>
      </c>
      <c r="J42" s="3">
        <f>1287.5+(307-478.1)+(0.656625+(0.15657-0.243831))+0-135.2-0.0689519999999863</f>
        <v>981.70041200000003</v>
      </c>
      <c r="K42" s="3">
        <f>1284.4+(189.9-388.5)+(0+(0-0))+0-126.4-0</f>
        <v>959.4000000000002</v>
      </c>
      <c r="L42" s="3">
        <f>1278.1+(156.8-392.2)+(-3.259155+(-0.39984--1.00011))+0-128.4--0.327419999999981</f>
        <v>911.96853499999975</v>
      </c>
      <c r="M42" s="3">
        <f>1277.3+(176.2-390.6)+(-1.954269+(-0.269586--0.597618))+0-130.2--0.199206000000008</f>
        <v>931.27296899999988</v>
      </c>
      <c r="N42" s="3">
        <f>1270.5+(186.7-362.8)+(-2.59182+(-0.380868--0.740112))+0-133.9--0.273155999999994</f>
        <v>958.54057999999998</v>
      </c>
      <c r="O42" s="3">
        <f>1261.2+(222.1-327.2)+(0+(0-0))+0-132.3-0</f>
        <v>1023.8000000000002</v>
      </c>
      <c r="P42" s="3">
        <f>1247.7+(282.2-303.2)+(-1.272654+(-0.287844--0.309264))+0-133.6--0.136272000000021</f>
        <v>1091.985038</v>
      </c>
      <c r="Q42" s="3">
        <f>1239.2+(359.5-318.5)+(-1.895976+(-0.550035--0.487305))+0-136.7--0.209151000000008</f>
        <v>1141.7504450000001</v>
      </c>
      <c r="R42" s="3">
        <f>1233.4+(449-370.6)+(-3.774204+(-1.37394--1.134036))+0-136.8--0.418608000000016</f>
        <v>1171.4045000000001</v>
      </c>
      <c r="S42" s="3">
        <f>1231.4+(608.4-496.9)+(-2.512056+(-1.241136--1.013676))+0-137.3--0.280091999999994</f>
        <v>1203.140576</v>
      </c>
      <c r="T42" s="3">
        <f>1226.2+(672.4-562.8)+(-3.752172+(-2.057544--1.722168))+0-137.1--0.419526000000016</f>
        <v>1195.0319780000002</v>
      </c>
      <c r="U42" s="3">
        <f>1222.2+(638.1-539.2)+(-2.493288+(-1.301724--1.099968))+0-133.2--0.271727999999994</f>
        <v>1185.4766839999998</v>
      </c>
      <c r="V42" s="3">
        <f>1223.7+(502.8-424.9)+(-3.120435+(-1.28214--1.083495))+0-137.6--0.35087999999998</f>
        <v>1161.0318000000002</v>
      </c>
      <c r="W42" s="3">
        <f>1222.7+(295.2-279.3)+(-2.494308+(-0.602208--0.569772))+0-141.5--0.288659999999994</f>
        <v>1094.8619159999998</v>
      </c>
      <c r="X42" s="3">
        <f>1232.6+(237.5-291.7)+(-4.400382+(-0.847875--1.041369))+0-142.6--0.509082000000002</f>
        <v>1032.1021940000001</v>
      </c>
      <c r="Y42" s="3">
        <f>1240.2+(292.4-326.2)+(0+(0-0))+0-138.8-0</f>
        <v>1067.6000000000001</v>
      </c>
      <c r="Z42" s="3">
        <f>1247.2+(432.3-379)+(-3.18036+(-1.102365--0.96645))+0-142.2--0.362609999999979</f>
        <v>1155.346335</v>
      </c>
      <c r="AA42" s="3">
        <f>1255+(540.6-484.3)+(-2.5602+(-1.102824--0.987972))+0-143.4--0.292535999999994</f>
        <v>1165.5174839999997</v>
      </c>
      <c r="AB42" s="3">
        <f>1260.7+(605.8-566.8)+(-1.285914+(-0.617916--0.578136))+0-141--0.143820000000022</f>
        <v>1157.5181259999999</v>
      </c>
      <c r="AC42" s="3">
        <f>1269+(607.9-610.8)+(-1.29438+(-0.620058--0.623016))+0-141.8--0.144636000000023</f>
        <v>1123.1532139999999</v>
      </c>
      <c r="AD42">
        <v>1187</v>
      </c>
      <c r="AE42" s="3">
        <f>1253+(479.5-397.7)+(0+(0-0))+0-140.8-0</f>
        <v>1194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1276.1+(587.3-642.1)+(-3.904866+(-1.797138--1.964826))+0-141.2--0.432072000000016</f>
        <v>1076.7948939999997</v>
      </c>
      <c r="G43" s="3">
        <f>1282.8+(551.1-645.7)+(-2.616912+(-1.124244--1.317228))+0-145.8--0.297431999999994</f>
        <v>1040.273504</v>
      </c>
      <c r="H43" s="3">
        <f>1272.9+(479.6-593.4)+(-1.298358+(-0.489192--0.605268))+0-140.5--0.143310000000022</f>
        <v>1017.5610280000002</v>
      </c>
      <c r="I43" s="3">
        <f>1290.2+(395.5-555.9)+(-1.974006+(-0.605115--0.850527))+0-137.3--0.210069000000008</f>
        <v>990.98147500000027</v>
      </c>
      <c r="J43" s="3">
        <f>1297.2+(277.8-460.2)+(-0.661572+(-0.141678--0.234702))+0-137.8--0.070277999999986</f>
        <v>976.50173000000029</v>
      </c>
      <c r="K43" s="3">
        <f>1303.3+(205.1-416.2)+(-2.658732+(-0.418404--0.849048))+0-137.4--0.280295999999994</f>
        <v>952.85220800000002</v>
      </c>
      <c r="L43" s="3">
        <f>1303.5+(159.5-403.3)+(-3.98871+(-0.48807--1.234098))+0-137--0.419220000000016</f>
        <v>919.87653799999998</v>
      </c>
      <c r="M43" s="3">
        <f>1301.1+(180.5-398.6)+(-1.327122+(-0.18411--0.406572))+0-138.9--0.141678000000022</f>
        <v>943.13701800000013</v>
      </c>
      <c r="N43" s="3">
        <f>1292.1+(181.6-335.7)+(-1.976913+(-0.277848--0.513621))+0-143.6--0.219708000000008</f>
        <v>992.87856799999986</v>
      </c>
      <c r="O43" s="3">
        <f>1279+(191.7-294.5)+(-1.95687+(-0.293301--0.450585))+0-142.2--0.217566000000008</f>
        <v>1032.4179799999999</v>
      </c>
      <c r="P43" s="3">
        <f>1267.1+(226.9-268.9)+(-2.584884+(-0.462876--0.548556))+0-152--0.310079999999993</f>
        <v>1070.9108759999999</v>
      </c>
      <c r="Q43" s="3">
        <f>1256+(289.7-265.2)+(-1.92168+(-0.443241--0.405756))+0-147.6--0.225828000000009</f>
        <v>1131.1666630000002</v>
      </c>
      <c r="R43" s="3">
        <f>1259.4+(379-307.3)+(-3.21147+(-0.96645--0.783615))+0-143.9--0.366944999999979</f>
        <v>1184.17264</v>
      </c>
      <c r="S43" s="3">
        <f>1236.9+(556.9-426.5)+(-0.630819+(-0.284019--0.217515))+0-147--0.0749699999999851</f>
        <v>1219.677647</v>
      </c>
      <c r="T43" s="3">
        <f>1233.5+(572.4-434.9)+(-1.887255+(-0.875772--0.665397))+0-147.7--0.225981000000009</f>
        <v>1221.428351</v>
      </c>
      <c r="U43" s="3">
        <f>1228.9+(517.9-435.4)+(-3.133695+(-1.320645--1.11027))+0-146.6--0.373829999999979</f>
        <v>1161.8297600000001</v>
      </c>
      <c r="V43" s="3">
        <f>1223.6+(438-383.5)+(-3.12018+(-1.1169--0.977925))+0-146.6--0.373829999999979</f>
        <v>1128.614675</v>
      </c>
      <c r="W43" s="3">
        <f>1230.8+(293.6-282.2)+(-2.510832+(-0.598944--0.575688))+0-144.4--0.294575999999994</f>
        <v>1095.5604879999999</v>
      </c>
      <c r="X43" s="3">
        <f>1232.1+(268-321.5)+(-3.141855+(-0.6834--0.819825))+0-140.3--0.35776499999998</f>
        <v>1035.652335</v>
      </c>
      <c r="Y43" s="3">
        <f>1242.2+(309.8-339.2)+(0.633522+(0.157998-0.172992))+0-145.1-0.0740009999999853</f>
        <v>1068.2445270000003</v>
      </c>
      <c r="Z43" s="3">
        <f>1301.9+(337.5-312.1)+(-1.327938+(-0.34425--0.318342))+0-145.7--0.148614000000023</f>
        <v>1180.3947680000001</v>
      </c>
      <c r="AA43" s="3">
        <f>1326.9+(395.5-371.5)+(-4.060314+(-1.21023--1.13679))+0-154.6--0.473076000000018</f>
        <v>1192.6393220000002</v>
      </c>
      <c r="AB43" s="3">
        <f>1343.9+(443-455.5)+(-4.797723+(-1.58151--1.626135))+0-151.7--0.541569000000002</f>
        <v>1175.4884710000001</v>
      </c>
      <c r="AC43" s="3">
        <f>1337.6+(463.2-500.6)+(-2.046528+(-0.708696--0.765918))+0-151.9--0.232407000000009</f>
        <v>1146.5431009999998</v>
      </c>
      <c r="AD43">
        <v>1190.3</v>
      </c>
      <c r="AE43" s="3">
        <f>1317+(360.1-334)+(0+(0-0))+0-145.8-0</f>
        <v>1197.3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1321.2+(465.9-538.7)+(0+(0-0))+0-145.6-0</f>
        <v>1102.8000000000002</v>
      </c>
      <c r="G44" s="3">
        <f>1325.5+(391.6-510.1)+(0+(0-0))+0-142.2-0</f>
        <v>1064.8</v>
      </c>
      <c r="H44" s="3">
        <f>1321.9+(328.2-482.5)+(0+(0-0))+0-140.5-0</f>
        <v>1027.1000000000001</v>
      </c>
      <c r="I44" s="3">
        <f>1325+(290-465.9)+(0+(0-0))+0-142.6-0</f>
        <v>1006.4999999999999</v>
      </c>
      <c r="J44" s="3">
        <f>1332.7+(285-469.9)+(-2.039031+(-0.43605--0.718947))+0-141.1--0.215883000000008</f>
        <v>1005.1597490000001</v>
      </c>
      <c r="K44" s="3">
        <f>1343.8+(225.8-443.8)+(-1.370676+(-0.230316--0.452676))+0-142.3--0.145146000000023</f>
        <v>982.49683000000005</v>
      </c>
      <c r="L44" s="3">
        <f>1339.3+(182.3-444.4)+(1.366086+(0.185946-0.453288))+0-141.7-0.144534000000023</f>
        <v>936.45420999999988</v>
      </c>
      <c r="M44" s="3">
        <f>1334.7+(229.9-461.7)+(1.361394+(0.234498-0.470934))+0-145.4-0.148308000000023</f>
        <v>958.47665000000018</v>
      </c>
      <c r="N44" s="3">
        <f>1324.7+(260.8-438.6)+(-0.675597+(-0.133008--0.223686))+0-149.9--0.0764489999999848</f>
        <v>996.49153000000024</v>
      </c>
      <c r="O44" s="3">
        <f>1314.1+(253.6-368.7)+(0+(0-0))+0-146-0</f>
        <v>1053</v>
      </c>
      <c r="P44" s="3">
        <f>1305.7+(243-296.1)+(0+(0-0))+0-147.9-0</f>
        <v>1104.6999999999998</v>
      </c>
      <c r="Q44" s="3">
        <f>1297.9+(304.5-292.2)+(-2.647716+(-0.62118--0.596088))+0-143.3--0.292331999999994</f>
        <v>1164.519524</v>
      </c>
      <c r="R44" s="3">
        <f>1280.5+(413.4-346)+(-0.653055+(-0.210834--0.17646))+0-141.7--0.0722669999999856</f>
        <v>1205.584838</v>
      </c>
      <c r="S44" s="3">
        <f>1271+(561.9-460.1)+(0+(0-0))+0-143-0</f>
        <v>1229.8</v>
      </c>
      <c r="T44" s="3">
        <f>1274.6+(541.6-458.5)+(-0.650046+(-0.276216--0.233835))+0-140.9--0.0718589999999857</f>
        <v>1216.1794319999997</v>
      </c>
      <c r="U44" s="3">
        <f>1281.6+(433-390.2)+(-4.575312+(-1.54581--1.393014))+0-129.1--0.460887000000002</f>
        <v>1191.0327789999999</v>
      </c>
      <c r="V44" s="3">
        <f>1284.3+(314.6-305.2)+(-3.929958+(-0.962676--0.933912))+0-136.1--0.416466000000016</f>
        <v>1154.0577440000002</v>
      </c>
      <c r="W44" s="3">
        <f>1258.3+(267.6-299.9)+(-4.492131+(-0.955332--1.070643))+0-141.8--0.506226000000002</f>
        <v>1080.3294060000001</v>
      </c>
      <c r="X44" s="3">
        <f>1264.9+(262.3-360.6)+(-3.225495+(-0.668865--0.91953))+0-144.1--0.367454999999979</f>
        <v>1019.892625</v>
      </c>
      <c r="Y44" s="3">
        <f>1278.5+(283.7-354)+(-3.260175+(-0.723435--0.9027))+0-155.4--0.396269999999977</f>
        <v>1050.11536</v>
      </c>
      <c r="Z44" s="3">
        <f>1292.7+(305.6-296.3)+(-2.637108+(-0.623424--0.604452))+0-162.9--0.332315999999993</f>
        <v>1136.7762359999999</v>
      </c>
      <c r="AA44" s="3">
        <f>1296.6+(316.5-306.6)+(-2.645064+(-0.64566--0.625464))+0-161.6--0.329663999999993</f>
        <v>1142.5644040000002</v>
      </c>
      <c r="AB44" s="3">
        <f>1308.4+(338.3-361.8)+(0.667284+(0.172533-0.184518))+0-162.2-0.0827219999999835</f>
        <v>1123.2725770000002</v>
      </c>
      <c r="AC44" s="3">
        <f>1316.4+(334.6-396.6)+(-1.342728+(-0.341292--0.404532))+0-161.8--0.165036000000026</f>
        <v>1091.4855480000003</v>
      </c>
      <c r="AD44">
        <v>1135</v>
      </c>
      <c r="AE44" s="3">
        <f>1288+(312.5-298.9)+(0+(0-0))+0-159.6-0</f>
        <v>1142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1315.5+(296.7-383.5)+(0+(0-0))+0-162.7-0</f>
        <v>1066</v>
      </c>
      <c r="G45" s="3">
        <f>1331.9+(245.7-384.4)+(-1.358538+(-0.250614--0.392088))+0-162.7--0.165954000000026</f>
        <v>1029.4488900000001</v>
      </c>
      <c r="H45" s="3">
        <f>1338.8+(183.6-355.3)+(0+(0-0))+0-165.8-0</f>
        <v>1001.3</v>
      </c>
      <c r="I45" s="3">
        <f>1342.7+(156-349.4)+(-2.054331+(-0.23868--0.534582))+0-166.4--0.25459200000001</f>
        <v>981.39616300000023</v>
      </c>
      <c r="J45" s="3">
        <f>1346.4+(197.5-399.6)+(1.373328+(0.20145-0.407592))+0-166.6-0.169932000000027</f>
        <v>978.69725400000004</v>
      </c>
      <c r="K45" s="3">
        <f>1354.5+(161.1-395.5)+(-2.76318+(-0.328644--0.80682))+0-163--0.332519999999993</f>
        <v>955.14751599999988</v>
      </c>
      <c r="L45" s="3">
        <f>1322.2+(159.1-403.9)+(-0.674322+(-0.081141--0.205989))+0-159.6--0.0813959999999838</f>
        <v>917.33192200000008</v>
      </c>
      <c r="M45" s="3">
        <f>1319+(217.4-429.6)+(-0.67269+(-0.110874--0.219096))+0-160.6--0.0819059999999837</f>
        <v>945.7174379999999</v>
      </c>
      <c r="N45" s="3">
        <f>1309.8+(259.2-420.2)+(-0.667998+(-0.132192--0.214302))+0-159.9--0.0815489999999838</f>
        <v>988.3956609999999</v>
      </c>
      <c r="O45" s="3">
        <f>1290.9+(277.4-391.3)+(-1.316718+(-0.282948--0.399126))+0-150.1--0.153102000000024</f>
        <v>1025.852562</v>
      </c>
      <c r="P45" s="3">
        <f>1282.3+(289.4-348.4)+(-1.961919+(-0.442782--0.533052))+0-160--0.244800000000009</f>
        <v>1061.673151</v>
      </c>
      <c r="Q45" s="3">
        <f>1277.3+(340.8-356.4)+(0+(0-0))+0-157.3-0</f>
        <v>1104.4000000000001</v>
      </c>
      <c r="R45" s="3">
        <f>1269.9+(360.2-327.9)+(-3.238245+(-0.91851--0.836145))+0-153.1--0.390404999999978</f>
        <v>1146.169795</v>
      </c>
      <c r="S45" s="3">
        <f>1261.8+(420.2-346.4)+(0+(0-0))+0-156.5-0</f>
        <v>1179.0999999999999</v>
      </c>
      <c r="T45" s="3">
        <f>1259.7+(467.1-380.7)+(-2.569788+(-0.952884--0.776628))+0-167.5--0.341699999999993</f>
        <v>1176.1956560000001</v>
      </c>
      <c r="U45" s="3">
        <f>1247.2+(482.1-407.3)+(-3.18036+(-1.229355--1.038615))+0-164.4--0.419219999999976</f>
        <v>1154.6481199999998</v>
      </c>
      <c r="V45" s="3">
        <f>1249.7+(378-337.8)+(-1.912041+(-0.57834--0.516834))+0-167.6--0.25642800000001</f>
        <v>1120.582881</v>
      </c>
      <c r="W45" s="3">
        <f>1254.8+(309.1-337.8)+(-1.919844+(-0.472923--0.516834))+0-168.7--0.25811100000001</f>
        <v>1055.7821779999999</v>
      </c>
      <c r="X45" s="3">
        <f>1264.6+(333.2-419.8)+(-3.22473+(-0.84966--1.07049))+0-167.7--0.427634999999976</f>
        <v>1007.723735</v>
      </c>
      <c r="Y45" s="3">
        <f>1270+(349.5-420.5)+(-1.9431+(-0.534735--0.643365))+0-166.2--0.25428600000001</f>
        <v>1031.219816</v>
      </c>
      <c r="Z45" s="3">
        <f>1315.9+(327.3-372.4)+(-0.671109+(-0.166923--0.189924))+0-171.3--0.0873629999999826</f>
        <v>1098.9392550000002</v>
      </c>
      <c r="AA45" s="3">
        <f>1328.2+(292.6-332.8)+(-2.709528+(-0.596904--0.678912))+0-171.8--0.350471999999993</f>
        <v>1113.9229520000001</v>
      </c>
      <c r="AB45" s="3">
        <f>1331.4+(319.4-359.9)+(-3.39507+(-0.81447--0.917745))+0-168.2--0.428909999999976</f>
        <v>1119.837115</v>
      </c>
      <c r="AC45" s="3">
        <f>1330.5+(337.1-404.5)+(-2.035665+(-0.515763--0.618885))+0-168.8--0.25826400000001</f>
        <v>1092.6257210000001</v>
      </c>
      <c r="AD45">
        <v>1101.3000000000002</v>
      </c>
      <c r="AE45" s="3">
        <f>1317+(302.9-344.3)+(0+(0-0))+0-167.3-0</f>
        <v>1108.3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1271+(341.2-402.3)+(-2.59284+(-0.696048--0.820692))+0-170.7--0.348227999999993</f>
        <v>1037.0800320000001</v>
      </c>
      <c r="G46" s="3">
        <f>1187.3+(347.4-342.4)+(-0.605523+(-0.177174--0.174624))+0-167.6--0.085475999999983</f>
        <v>1024.1774029999999</v>
      </c>
      <c r="H46" s="3">
        <f>1149.5+(306.7-289.2)+(-0.586245+(-0.156417--0.147492))+0-169.9--0.0866489999999828</f>
        <v>996.59147899999994</v>
      </c>
      <c r="I46" s="3">
        <f>1155.5+(241.2-254)+(-0.589305+(-0.123012--0.12954))+0-170.8--0.0871079999999827</f>
        <v>971.40433099999996</v>
      </c>
      <c r="J46" s="3">
        <f>1163.8+(233.5-268.7)+(-2.374152+(-0.47634--0.548148))+0-171.5--0.349859999999993</f>
        <v>955.147516</v>
      </c>
      <c r="K46" s="3">
        <f>1167.6+(194.2-252.3)+(-4.763808+(-0.792336--1.029384))+0-171--0.697679999999985</f>
        <v>934.67092000000002</v>
      </c>
      <c r="L46" s="3">
        <f>1170.6+(230.6-335)+(-1.791018+(-0.352818--0.51255))+0-170.3--0.26055900000001</f>
        <v>894.52927299999988</v>
      </c>
      <c r="M46" s="3">
        <f>1169.3+(286.3-350.9)+(0+(0-0))+0-170.9-0</f>
        <v>933.80000000000007</v>
      </c>
      <c r="N46" s="3">
        <f>1153.3+(304.5-300.9)+(0+(0-0))+0-174.4-0</f>
        <v>982.50000000000011</v>
      </c>
      <c r="O46" s="3">
        <f>1142.4+(303.2-252.4)+(0.582624+(0.154632-0.128724))+0-172.2-0.0878219999999825</f>
        <v>1021.52071</v>
      </c>
      <c r="P46" s="3">
        <f>1137.5+(330.2-236.9)+(-1.740375+(-0.505206--0.362457))+0-169.3--0.25902900000001</f>
        <v>1059.8759050000001</v>
      </c>
      <c r="Q46" s="3">
        <f>1131+(357.4-225.3)+(-1.73043+(-0.546822--0.344709))+0-166.5--0.25474500000001</f>
        <v>1094.922202</v>
      </c>
      <c r="R46" s="3">
        <f>1132.4+(421.3-239.1)+(-1.732572+(-0.644589--0.365823))+0-164.1--0.251073000000009</f>
        <v>1148.7397350000001</v>
      </c>
      <c r="S46" s="3">
        <f>1111.2+(707-486.4)+(-1.133424+(-0.72114--0.496128))+0-172.9--0.176358000000028</f>
        <v>1157.717922</v>
      </c>
      <c r="T46" s="3">
        <f>1099.5+(789.6-552.1)+(0.560745+(0.402696-0.281571))+0-173.7-0.0885869999999824</f>
        <v>1163.8932829999999</v>
      </c>
      <c r="U46" s="3">
        <f>1096.7+(753-538.6)+(-1.677951+(-1.15209--0.824058))+0-170.1--0.26025300000001</f>
        <v>1139.2542699999999</v>
      </c>
      <c r="V46" s="3">
        <f>1101.5+(637.5-460.7)+(-2.24706+(-1.3005--0.939828))+0-166.9--0.340475999999993</f>
        <v>1109.132744</v>
      </c>
      <c r="W46" s="3">
        <f>1099.7+(434.4-319.1)+(-1.682541+(-0.664632--0.488223))+0-169.5--0.25933500000001</f>
        <v>1043.9003849999999</v>
      </c>
      <c r="X46" s="3">
        <f>1100+(273.4-215.8)+(-2.244+(-0.557736--0.440232))+0-173--0.352919999999992</f>
        <v>982.59141599999998</v>
      </c>
      <c r="Y46" s="3">
        <f>1109.9+(315.3-234.8)+(-0.566049+(-0.160803--0.119748))+0-169.3--0.0863429999999828</f>
        <v>1020.5792390000001</v>
      </c>
      <c r="Z46" s="3">
        <f>1122.7+(419.9-258.1)+(-2.862885+(-1.070745--0.658155))+0-175.2--0.446759999999975</f>
        <v>1106.4712850000001</v>
      </c>
      <c r="AA46" s="3">
        <f>1134.8+(457.9-306.9)+(-1.736244+(-0.700587--0.469557))+0-176.9--0.27065700000001</f>
        <v>1107.2033829999998</v>
      </c>
      <c r="AB46" s="3">
        <f>1151.4+(505.7-380.7)+(-1.761642+(-0.773721--0.582471))+0-173.6--0.26560800000001</f>
        <v>1101.1127160000001</v>
      </c>
      <c r="AC46" s="3">
        <f>1157.8+(537.7-435.9)+(-1.180956+(-0.548454--0.444618))+0-174.6--0.178092000000028</f>
        <v>1083.8933000000002</v>
      </c>
      <c r="AD46">
        <v>1101.3</v>
      </c>
      <c r="AE46" s="3">
        <f>1119+(457-294.5)+(0+(0-0))+0-171.2-0</f>
        <v>1110.3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1160.1+(534-453.1)+(-1.774953+(-0.81702--0.693243))+0-173.2--0.26499600000001</f>
        <v>1066.1662660000002</v>
      </c>
      <c r="G47" s="3">
        <f>1161.3+(511.7-466.8)+(-1.776789+(-0.782901--0.714204))+0-172.4--0.26377200000001</f>
        <v>1032.2182859999998</v>
      </c>
      <c r="H47" s="3">
        <f>1157.4+(503.2-479)+(0+(0-0))+0-174.9-0</f>
        <v>1006.7000000000002</v>
      </c>
      <c r="I47" s="3">
        <f>1162.4+(425.6-431.1)+(-2.96412+(-1.08528--1.099305))+0-171.8--0.438089999999975</f>
        <v>982.58799500000021</v>
      </c>
      <c r="J47" s="3">
        <f>1163.3+(373.9-399.7)+(1.186566+(0.381378-0.407694))+0-173.1-0.176562000000028</f>
        <v>965.38368799999989</v>
      </c>
      <c r="K47" s="3">
        <f>1172+(297.6-354.6)+(-2.39088+(-0.607104--0.723384))+0-172.3--0.351491999999992</f>
        <v>940.77689200000009</v>
      </c>
      <c r="L47" s="3">
        <f>1170+(224.1-320.4)+(0.5967+(0.114291-0.163404))+0-171.2-0.0873119999999826</f>
        <v>902.96027500000002</v>
      </c>
      <c r="M47" s="3">
        <f>1161.2+(268-334.8)+(0+(0-0))+0-174.9-0</f>
        <v>919.50000000000011</v>
      </c>
      <c r="N47" s="3">
        <f>1149.2+(298.7-318.1)+(-0.586092+(-0.152337--0.162231))+0-176.6--0.0900659999999821</f>
        <v>952.71386799999993</v>
      </c>
      <c r="O47" s="3">
        <f>1140.2+(363-335.7)+(0+(0-0))+0-176.7-0</f>
        <v>990.8</v>
      </c>
      <c r="P47" s="3">
        <f>1132+(409.6-335.8)+(-0.57732+(-0.208896--0.171258))+0-176.1--0.0898109999999821</f>
        <v>1029.1748530000002</v>
      </c>
      <c r="Q47" s="3">
        <f>1060.2+(587.3-387.6)+(0.540702+(0.299523-0.197676))+0-173.6-0.0885359999999824</f>
        <v>1086.8540130000001</v>
      </c>
      <c r="R47" s="3">
        <f>1049.1+(728.2-493.2)+(-1.070082+(-0.742764--0.503064))+0-171.2--0.174624000000027</f>
        <v>1111.7648419999998</v>
      </c>
      <c r="S47" s="3">
        <f>1096.9+(833-616.9)+(-1.118838+(-0.84966--0.629238))+0-171.7--0.175134000000027</f>
        <v>1140.1358740000001</v>
      </c>
      <c r="T47" s="3">
        <f>1102.4+(899.7-681.8)+(-1.686672+(-1.376541--1.043154))+0-173.9--0.26606700000001</f>
        <v>1144.6460080000002</v>
      </c>
      <c r="U47" s="3">
        <f>1100.5+(859.5-654.3)+(-2.24502+(-1.75338--1.334772))+0-174.7--0.356387999999992</f>
        <v>1128.6927599999999</v>
      </c>
      <c r="V47" s="3">
        <f>1100.2+(725.1-546.9)+(-2.80551+(-1.849005--1.394595))+0-176.2--0.449309999999974</f>
        <v>1099.38939</v>
      </c>
      <c r="W47" s="3">
        <f>1095.4+(505.1-387.5)+(-2.234616+(-1.030404--0.7905))+0-168.1--0.342923999999993</f>
        <v>1042.7684040000001</v>
      </c>
      <c r="X47" s="3">
        <f>1096.3+(332.9-276.9)+(-2.795565+(-0.848895--0.706095))+0-164.3--0.418964999999976</f>
        <v>985.48059999999998</v>
      </c>
      <c r="Y47" s="3">
        <f>1096.6+(420-332)+(-2.237064+(-0.8568--0.67728))+0-168.9--0.344555999999993</f>
        <v>1013.6279719999999</v>
      </c>
      <c r="Z47" s="3">
        <f>1110.2+(508.2-322.9)+(-2.83101+(-1.29591--0.823395))+0-175.2--0.446759999999975</f>
        <v>1117.443235</v>
      </c>
      <c r="AA47" s="3">
        <f>1123+(563.8-377.8)+(-2.86365+(-1.43769--0.96339))+0-174.9--0.445994999999975</f>
        <v>1131.2080449999999</v>
      </c>
      <c r="AB47" s="3">
        <f>1136.9+(619-459.5)+(-1.159638+(-0.63138--0.46869))+0-171.1--0.174522000000027</f>
        <v>1124.1521940000002</v>
      </c>
      <c r="AC47" s="3">
        <f>1147.9+(641.3-502.2)+(-1.756287+(-0.981189--0.768366))+0-171.2--0.26193600000001</f>
        <v>1114.0928260000001</v>
      </c>
      <c r="AD47">
        <v>1114.9000000000001</v>
      </c>
      <c r="AE47" s="3">
        <f>1111+(535.9-347)+(0+(0-0))+0-175-0</f>
        <v>1124.9000000000001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1086.6+(662.6-490)+(-2.216664+(-1.351704--0.9996))+0-169.1--0.344963999999993</f>
        <v>1087.8761959999997</v>
      </c>
      <c r="G48" s="3">
        <f>1133.6+(651.7-556.9)+(-2.89068+(-1.661835--1.420095))+0-173.3--0.441914999999975</f>
        <v>1052.4094950000001</v>
      </c>
      <c r="H48" s="3">
        <f>1144+(568.2-511.7)+(-2.33376+(-1.159128--1.043868))+0-172.7--0.352307999999992</f>
        <v>1025.7032879999999</v>
      </c>
      <c r="I48" s="3">
        <f>1144.1+(488.1-468.1)+(-1.750473+(-0.746793--0.716193))+0-168--0.25704000000001</f>
        <v>994.57596699999976</v>
      </c>
      <c r="J48" s="3">
        <f>1145.2+(439.4-433.7)+(-2.336208+(-0.896376--0.884748))+0-168.1--0.342923999999993</f>
        <v>980.79508800000019</v>
      </c>
      <c r="K48" s="3">
        <f>1145.1+(338.9-363.6)+(-1.752003+(-0.518517--0.556308))+0-170.2--0.26040600000001</f>
        <v>948.74619399999972</v>
      </c>
      <c r="L48" s="3">
        <f>1147+(244.6-311.7)+(-2.92485+(-0.62373--0.794835))+0-170--0.433499999999975</f>
        <v>907.57975500000009</v>
      </c>
      <c r="M48" s="3">
        <f>1148.6+(279.2-328.1)+(1.171572+(0.284784-0.334662))+0-171.7-0.175134000000027</f>
        <v>928.94655999999964</v>
      </c>
      <c r="N48" s="3">
        <f>1139.1+(317.5-326.4)+(-0.580941+(-0.161925--0.166464))+0-172--0.0877199999999825</f>
        <v>957.71131799999989</v>
      </c>
      <c r="O48" s="3">
        <f>1075.3+(409.9-307.2)+(-1.096806+(-0.418098--0.313344))+0-170--0.173400000000027</f>
        <v>1006.97184</v>
      </c>
      <c r="P48" s="3">
        <f>1042.4+(546.2-366.5)+(-2.126496+(-1.114248--0.74766))+0-167.5--0.341699999999993</f>
        <v>1052.4486160000001</v>
      </c>
      <c r="Q48" s="3">
        <f>1092.8+(610.9-420.1)+(-1.671984+(-0.934677--0.642753))+0-172.2--0.26346600000001</f>
        <v>1109.699558</v>
      </c>
      <c r="R48" s="3">
        <f>1093.5+(759.1-524.6)+(-2.23074+(-1.548564--1.070184))+0-175.3--0.357611999999992</f>
        <v>1150.3484920000001</v>
      </c>
      <c r="S48" s="3">
        <f>1089+(944.4-673.8)+(-2.77695+(-2.40822--1.71819))+0-175--0.446249999999975</f>
        <v>1181.57927</v>
      </c>
      <c r="T48" s="3">
        <f>1104.4+(1020.3-755.5)+(-1.126488+(-1.040706--0.77061))+0-180.5--0.184110000000029</f>
        <v>1187.4875259999999</v>
      </c>
      <c r="U48" s="3">
        <f>1106.5+(932.3-691.7)+(-2.25726+(-1.901892--1.411068))+0-176.2--0.359447999999992</f>
        <v>1168.5113639999997</v>
      </c>
      <c r="V48" s="3">
        <f>1088.3+(770.6-553.8)+(0+(0-0))+0-179.3-0</f>
        <v>1125.8</v>
      </c>
      <c r="W48" s="3">
        <f>1078.2+(540.3-379.5)+(-1.649646+(-0.826659--0.580635))+0-176.7--0.27035100000001</f>
        <v>1060.674681</v>
      </c>
      <c r="X48" s="3">
        <f>1081.7+(308.2-206.7)+(-2.206668+(-0.628728--0.421668))+0-174.5--0.355979999999992</f>
        <v>1006.6422520000001</v>
      </c>
      <c r="Y48" s="3">
        <f>1097.8+(348.7-231.1)+(-2.239512+(-0.711348--0.471444))+0-175.2--0.357407999999992</f>
        <v>1038.077992</v>
      </c>
      <c r="Z48" s="3">
        <f>1109.9+(609.4-396.3)+(-1.698147+(-0.932382--0.606339))+0-181.1--0.27708300000001</f>
        <v>1140.1528929999999</v>
      </c>
      <c r="AA48" s="3">
        <f>1109.8+(724.1-477.6)+(-2.263992+(-1.477164--0.974304))+0-180.6--0.368423999999992</f>
        <v>1173.3015720000001</v>
      </c>
      <c r="AB48" s="3">
        <f>1118.4+(725.8-497.7)+(-1.140768+(-0.740316--0.507654))+0-180.3--0.183906000000029</f>
        <v>1165.0104759999999</v>
      </c>
      <c r="AC48" s="3">
        <f>1119+(708.4-513.9)+(-2.28276+(-1.445136--1.048356))+0-177.6--0.362303999999992</f>
        <v>1133.582764</v>
      </c>
      <c r="AD48">
        <v>1164.2</v>
      </c>
      <c r="AE48" s="3">
        <f>1117+(676.4-441.9)+(0+(0-0))+0-177.3-0</f>
        <v>1174.2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1140.5+(617.2-475.3)+(0+(0-0))+0-177.4-0</f>
        <v>1105</v>
      </c>
      <c r="G49" s="3">
        <f>1190.4+(434.3-380.9)+(-0.607104+(-0.221493--0.194259))+0-174.9--0.0891989999999823</f>
        <v>1068.354861</v>
      </c>
      <c r="H49" s="3">
        <f>1255.2+(289.9-328.6)+(-4.481064+(-1.034943--1.173102))+0-173.5--0.619395000000002</f>
        <v>1039.27649</v>
      </c>
      <c r="I49" s="3">
        <f>1324.1+(228.9-360.1)+(-2.025873+(-0.350217--0.550953))+0-172.1--0.26331300000001</f>
        <v>1019.2381759999998</v>
      </c>
      <c r="J49" s="3">
        <f>1333.9+(178-338.1)+(0+(0-0))+0-169.1-0</f>
        <v>1004.7000000000002</v>
      </c>
      <c r="K49" s="3">
        <f>1344.7+(160.4-368.2)+(-0.685797+(-0.081804--0.187782))+0-163.6--0.0834359999999834</f>
        <v>972.80361700000003</v>
      </c>
      <c r="L49" s="3">
        <f>1345.4+(191.3-440.2)+(-0.686154+(-0.097563--0.224502))+0-164.3--0.0837929999999833</f>
        <v>931.72457800000007</v>
      </c>
      <c r="M49" s="3">
        <f>1344.3+(219.7-433)+(0.685593+(0.112047-0.22083))+0-170.3-0.0868529999999827</f>
        <v>961.18995700000005</v>
      </c>
      <c r="N49" s="3">
        <f>1330.9+(234.3-375.3)+(1.357518+(0.238986-0.382806))+0-166.4-0.169728000000027</f>
        <v>1024.5439699999999</v>
      </c>
      <c r="O49" s="3">
        <f>1317.3+(241.4-333.9)+(0+(0-0))+0-160.4-0</f>
        <v>1064.3999999999999</v>
      </c>
      <c r="P49" s="3">
        <f>1304.7+(234.4-274.2)+(0+(0-0))+0-158.1-0</f>
        <v>1106.8000000000002</v>
      </c>
      <c r="Q49" s="3">
        <f>1292.2+(340.4-300)+(0.659022+(0.173604-0.153))+0-157.3-0.080222999999984</f>
        <v>1175.8994030000001</v>
      </c>
      <c r="R49" s="3">
        <f>1294.4+(416.9-332.8)+(1.320288+(0.425238-0.339456))+0-158-0.161160000000025</f>
        <v>1221.7449099999999</v>
      </c>
      <c r="S49" s="3">
        <f>1291.7+(502-385.6)+(-0.658767+(-0.25602--0.196656))+0-157.5--0.080324999999984</f>
        <v>1249.9621939999997</v>
      </c>
      <c r="T49" s="3">
        <f>1287.1+(549.1-440.9)+(0+(0-0))+0-148.1-0</f>
        <v>1247.2</v>
      </c>
      <c r="U49" s="3">
        <f>1280.9+(487.4-398.4)+(0+(0-0))+0-139.6-0</f>
        <v>1230.3000000000002</v>
      </c>
      <c r="V49" s="3">
        <f>1278.7+(351.6-303.9)+(-2.608548+(-0.717264--0.619956))+0-129.8--0.264791999999994</f>
        <v>1194.158936</v>
      </c>
      <c r="W49" s="3">
        <f>1244.6+(266.2-301.3)+(-2.538984+(-0.543048--0.614652))+0-124.9--0.254795999999995</f>
        <v>1082.3874159999998</v>
      </c>
      <c r="X49" s="3">
        <f>1219.6+(362.8-443.3)+(-4.975968+(-1.480224--1.808664))+0-122.7--0.500615999999989</f>
        <v>1012.2530879999999</v>
      </c>
      <c r="Y49" s="3">
        <f>1260+(368.9-458.8)+(-3.213+(-0.940695--1.16994))+0-122.5--0.312374999999982</f>
        <v>1044.9286199999999</v>
      </c>
      <c r="Z49" s="3">
        <f>1299.5+(303.6-310.9)+(-1.988235+(-0.464508--0.475677))+0-124.6--0.190638000000007</f>
        <v>1165.8135720000002</v>
      </c>
      <c r="AA49" s="3">
        <f>1321.5+(320.1-312.2)+(-4.04379+(-0.979506--0.955332))+0-133.7--0.409122000000015</f>
        <v>1192.041158</v>
      </c>
      <c r="AB49" s="3">
        <f>1315.8+(345.1-353.3)+(-1.342116+(-0.352002--0.360366))+0-139--0.141780000000022</f>
        <v>1167.4080279999998</v>
      </c>
      <c r="AC49" s="3">
        <f>1322.9+(347.7-395.5)+(-1.349358+(-0.354654--0.40341))+0-137.7--0.140454000000022</f>
        <v>1136.2398520000002</v>
      </c>
      <c r="AD49">
        <v>1187.4000000000001</v>
      </c>
      <c r="AE49" s="3">
        <f>1312+(312.1-296.6)+(0+(0-0))+0-130.1-0</f>
        <v>1197.4000000000001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1339.3+(334.5-413)+(-3.415215+(-0.852975--1.05315))+0-139.5--0.35572499999998</f>
        <v>1118.4406849999998</v>
      </c>
      <c r="G50" s="3">
        <f>1345.8+(309.2-434.6)+(-1.372716+(-0.315384--0.443292))+0-141.6--0.144432000000023</f>
        <v>1077.6996240000001</v>
      </c>
      <c r="H50" s="3">
        <f>1345.9+(270-423.8)+(-1.372818+(-0.2754--0.432276))+0-146.2--0.149124000000023</f>
        <v>1044.8331820000001</v>
      </c>
      <c r="I50" s="3">
        <f>1352.3+(218.9-409.3)+(0+(0-0))+0-145.5-0</f>
        <v>1016.3999999999999</v>
      </c>
      <c r="J50" s="3">
        <f>1354.3+(180.6-384)+(1.381386+(0.184212-0.39168))+0-146.8-0.149736000000023</f>
        <v>1005.1241819999998</v>
      </c>
      <c r="K50" s="3">
        <f>1359.5+(203.5-447)+(-3.466725+(-0.518925--1.13985))+0-147.9--0.377144999999979</f>
        <v>965.6313449999999</v>
      </c>
      <c r="L50" s="3">
        <f>1358.5+(301-584.5)+(-3.464175+(-0.76755--1.490475))+0-145.5--0.371024999999979</f>
        <v>927.129775</v>
      </c>
      <c r="M50" s="3">
        <f>1348.9+(353.8-590.4)+(0+(0-0))+0-151.8-0</f>
        <v>960.50000000000023</v>
      </c>
      <c r="N50" s="3">
        <f>1337.4+(363.2-526)+(-1.364148+(-0.370464--0.53652))+0-161--0.164220000000026</f>
        <v>1012.566128</v>
      </c>
      <c r="O50" s="3">
        <f>1321+(408.6-503.3)+(-2.69484+(-0.833544--1.026732))+0-161--0.328439999999993</f>
        <v>1063.126788</v>
      </c>
      <c r="P50" s="3">
        <f>1302.5+(422.9-459.4)+(-0.664275+(-0.215679--0.234294))+0-162.7--0.0829769999999835</f>
        <v>1102.7373170000001</v>
      </c>
      <c r="Q50" s="3">
        <f>1288+(399.5-353.6)+(0+(0-0))+0-172.4-0</f>
        <v>1161.5</v>
      </c>
      <c r="R50" s="3">
        <f>1281.7+(449.1-327)+(-2.614668+(-0.916164--0.66708))+0-178.9--0.364955999999992</f>
        <v>1222.401204</v>
      </c>
      <c r="S50" s="3">
        <f>1300.5+(557.7-420.9)+(-3.97953+(-1.706562--1.287954))+0-179.2--0.548352000000021</f>
        <v>1254.2502140000001</v>
      </c>
      <c r="T50" s="3">
        <f>1302+(545.5-413.3)+(-2.65608+(-1.11282--0.843132))+0-181--0.369239999999992</f>
        <v>1250.643472</v>
      </c>
      <c r="U50" s="3">
        <f>1297.6+(455.1-344.7)+(0+(0-0))+0-176.6-0</f>
        <v>1231.4000000000001</v>
      </c>
      <c r="V50" s="3">
        <f>1291+(340.6-239.5)+(-3.29205+(-0.86853--0.610725))+0-181.7--0.463334999999974</f>
        <v>1207.3134799999998</v>
      </c>
      <c r="W50" s="3">
        <f>1301.2+(312.2-300)+(-3.31806+(-0.79611--0.765))+0-184--0.469199999999973</f>
        <v>1126.5200300000001</v>
      </c>
      <c r="X50" s="3">
        <f>1319.4+(334-302)+(-2.691576+(-0.68136--0.61608))+0-183.6--0.374543999999992</f>
        <v>1165.4176880000002</v>
      </c>
      <c r="Y50" s="3">
        <f>1348.5+(401.9-506.3)+(-0.687735+(-0.204969--0.258213))+0-183.6--0.0936359999999814</f>
        <v>1059.959145</v>
      </c>
      <c r="Z50" s="3">
        <f>1374.5+(356.5-382.3)+(-0.700995+(-0.181815--0.194973))+0-176.4--0.0899639999999821</f>
        <v>1171.702127</v>
      </c>
      <c r="AA50" s="3">
        <f>1384.8+(334.6-353)+(-0.706248+(-0.170646--0.18003))+0-176.8--0.0901679999999821</f>
        <v>1188.9933040000001</v>
      </c>
      <c r="AB50" s="3">
        <f>1382.9+(336.4-355.6)+(-0.705279+(-0.171564--0.181356))+0-177--0.090269999999982</f>
        <v>1186.094783</v>
      </c>
      <c r="AC50" s="3">
        <f>1385.2+(328.1-371.9)+(-3.53226+(-0.836655--0.948345))+0-177--0.451349999999974</f>
        <v>1161.4307800000001</v>
      </c>
      <c r="AD50">
        <v>1156.0000000000002</v>
      </c>
      <c r="AE50" s="3">
        <f>1375+(370.4-391.1)+(0+(0-0))+0-188.3-0</f>
        <v>1166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1226.6+(376.5-305.3)+(-1.251132+(-0.38403--0.311406))+0-178.8--0.182376000000029</f>
        <v>1117.85862</v>
      </c>
      <c r="G51" s="3">
        <f>1170.4+(349-256.4)+(-2.387616+(-0.71196--0.523056))+0-175.6--0.358223999999992</f>
        <v>1085.1817040000001</v>
      </c>
      <c r="H51" s="3">
        <f>1172.4+(354.8-293.3)+(0+(0-0))+0-169.1-0</f>
        <v>1064.8000000000002</v>
      </c>
      <c r="I51" s="3">
        <f>1173.9+(341-299.6)+(-2.993445+(-0.86955--0.76398))+0-169.9--0.433244999999975</f>
        <v>1042.73423</v>
      </c>
      <c r="J51" s="3">
        <f>1180+(311-291.2)+(-3.009+(-0.79305--0.74256))+0-174.7--0.445484999999975</f>
        <v>1022.4859949999998</v>
      </c>
      <c r="K51" s="3">
        <f>1179.1+(296.4-317.1)+(-1.202682+(-0.302328--0.323442))+0-174.6--0.178092000000028</f>
        <v>982.79652399999986</v>
      </c>
      <c r="L51" s="3">
        <f>1190.2+(383.2-461.3)+(-4.249014+(-1.368024--1.646841))+0-172.3--0.615111000000003</f>
        <v>936.44491399999981</v>
      </c>
      <c r="M51" s="3">
        <f>1176.6+(445.8-483.9)+(1.800198+(0.682074-0.740367))+0-171.8-0.26285400000001</f>
        <v>968.17905100000007</v>
      </c>
      <c r="N51" s="3">
        <f>1157.8+(525.8-490.5)+(1.180956+(0.536316-0.50031))+0-171.8-0.175236000000027</f>
        <v>1022.3417259999999</v>
      </c>
      <c r="O51" s="3">
        <f>1143.6+(601.6-503.9)+(-1.166472+(-0.613632--0.513978))+0-169.2--0.172584000000027</f>
        <v>1071.0064579999998</v>
      </c>
      <c r="P51" s="3">
        <f>1124+(639-471.5)+(-1.71972+(-0.97767--0.721395))+0-172.7--0.26423100000001</f>
        <v>1117.0882360000001</v>
      </c>
      <c r="Q51" s="3">
        <f>1115.6+(582.8-349.7)+(0.568956+(0.297228-0.178347))+0-176.1-0.0898109999999821</f>
        <v>1173.1980259999998</v>
      </c>
      <c r="R51" s="3">
        <f>1123+(521.5-264.6)+(-1.14546+(-0.53193--0.269892))+0-173.8--0.177276000000028</f>
        <v>1204.8697780000002</v>
      </c>
      <c r="S51" s="3">
        <f>1122.7+(582-281.2)+(-1.145154+(-0.59364--0.286824))+0-176.4--0.179928000000028</f>
        <v>1245.8279579999999</v>
      </c>
      <c r="T51" s="3">
        <f>1142.2+(583.3-308.1)+(-1.165044+(-0.594966--0.314262))+0-176.7--0.180234000000028</f>
        <v>1239.4344859999999</v>
      </c>
      <c r="U51" s="3">
        <f>1148.9+(517.4-250.6)+(-2.929695+(-1.31937--0.63903))+0-173--0.441149999999975</f>
        <v>1239.531115</v>
      </c>
      <c r="V51" s="3">
        <f>1150.7+(402.9-173)+(-1.173714+(-0.410958--0.17646))+0-174.4--0.177888000000028</f>
        <v>1204.9696759999997</v>
      </c>
      <c r="W51" s="3">
        <f>1149+(453.2-287.6)+(-4.10193+(-1.617924--1.026732))+0-172.2--0.614754000000002</f>
        <v>1138.3216319999999</v>
      </c>
      <c r="X51" s="3">
        <f>1154.8+(545.7-466.3)+(-4.122636+(-1.948149--1.664691))+0-166.1--0.592977000000002</f>
        <v>1064.2868830000002</v>
      </c>
      <c r="Y51" s="3">
        <f>1155.5+(534-438.1)+(-1.17861+(-0.54468--0.446862))+0-175.3--0.178806000000028</f>
        <v>1075.0023780000004</v>
      </c>
      <c r="Z51" s="3">
        <f>1154.1+(556.8-331.5)+(-1.765773+(-0.851904--0.507195))+0-180.1--0.27555300000001</f>
        <v>1197.4650709999999</v>
      </c>
      <c r="AA51" s="3">
        <f>1162.7+(508-280.6)+(-2.964885+(-1.2954--0.71553))+0-182.5--0.465374999999974</f>
        <v>1204.52062</v>
      </c>
      <c r="AB51" s="3">
        <f>1175.2+(485-283.9)+(0+(0-0))+0-179.8-0</f>
        <v>1196.5000000000002</v>
      </c>
      <c r="AC51" s="3">
        <f>1175.5+(447.2-270.5)+(-3.59703+(-1.368432--0.82773))+0-180.1--0.551106000000021</f>
        <v>1168.5133740000003</v>
      </c>
      <c r="AD51">
        <v>1193.0999999999999</v>
      </c>
      <c r="AE51" s="3">
        <f>1154+(516.2-289.6)+(0+(0-0))+0-177.5-0</f>
        <v>1203.0999999999999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1144.4+(433.1-263.2)+(0+(0-0))+0-176-0</f>
        <v>1138.3000000000002</v>
      </c>
      <c r="G52" s="3">
        <f>1147.4+(428.5-299.9)+(-2.340696+(-0.87414--0.611796))+0-175.2--0.357407999999992</f>
        <v>1098.5543680000001</v>
      </c>
      <c r="H52" s="3">
        <f>1153.7+(391.4-305)+(-1.765161+(-0.598842--0.46665))+0-175.4--0.26836200000001</f>
        <v>1063.0710089999998</v>
      </c>
      <c r="I52" s="3">
        <f>1157.6+(349.5-299.2)+(-1.180752+(-0.35649--0.305184))+0-174.9--0.178398000000028</f>
        <v>1031.9463399999997</v>
      </c>
      <c r="J52" s="3">
        <f>1161.5+(386.4-356.6)+(-2.36946+(-0.788256--0.727464))+0-175.8--0.358631999999992</f>
        <v>1013.4283799999998</v>
      </c>
      <c r="K52" s="3">
        <f>1166.9+(419.1-425)+(-2.975595+(-1.068705--1.08375))+0-176.9--0.451094999999974</f>
        <v>981.59054500000002</v>
      </c>
      <c r="L52" s="3">
        <f>1169.5+(513.1-572.3)+(-1.19289+(-0.523362--0.583746))+0-173.2--0.176664000000028</f>
        <v>936.14415800000029</v>
      </c>
      <c r="M52" s="3">
        <f>1170.4+(563.2-595)+(-3.581424+(-1.723392--1.8207))+0-174.6--0.53427600000002</f>
        <v>961.05016000000001</v>
      </c>
      <c r="N52" s="3">
        <f>1156.4+(563.7-523.2)+(1.179528+(0.574974-0.533664))+0-175.7-0.179214000000028</f>
        <v>1022.241624</v>
      </c>
      <c r="O52" s="3">
        <f>1143.4+(542.3-427.5)+(0+(0-0))+0-181.3-0</f>
        <v>1076.9000000000001</v>
      </c>
      <c r="P52" s="3">
        <f>1126.6+(582.7-393.6)+(-1.149132+(-0.594354--0.401472))+0-181.3--0.184926000000029</f>
        <v>1133.2429119999999</v>
      </c>
      <c r="Q52" s="3">
        <f>1114.6+(579.3-313.1)+(-1.136892+(-0.590886--0.319362))+0-177.4--0.180948000000028</f>
        <v>1202.1725319999996</v>
      </c>
      <c r="R52" s="3">
        <f>1099.5+(509.6-261.3)+(-1.12149+(-0.519792--0.266526))+8.7-169.2--0.172584000000027</f>
        <v>1186.0978279999999</v>
      </c>
      <c r="S52" s="3">
        <f>1095.9+(589.1-290.1)+(0+(0-0))+10-170.3-0</f>
        <v>1234.6000000000001</v>
      </c>
      <c r="T52" s="3">
        <f>1098+(695.9-367.1)+(0.55998+(0.354909-0.187221))+0-182.3-0.0929729999999815</f>
        <v>1245.134695</v>
      </c>
      <c r="U52" s="3">
        <f>1104.9+(681.8-360.5)+(-0.563499+(-0.347718--0.183855))+0-178.7--0.0911369999999819</f>
        <v>1246.8637749999998</v>
      </c>
      <c r="V52" s="3">
        <f>1109.8+(520.1-225.5)+(-2.82999+(-1.326255--0.575025))+0-178.2--0.454409999999974</f>
        <v>1223.0731900000001</v>
      </c>
      <c r="W52" s="3">
        <f>1098.1+(438.5-206)+(-3.920217+(-1.565445--0.73542))+0-180.3--0.643671000000003</f>
        <v>1146.1934289999999</v>
      </c>
      <c r="X52" s="3">
        <f>1097.5+(469.6-312.6)+(-2.2389+(-0.957984--0.637704))+0-180.1--0.367403999999992</f>
        <v>1072.2082240000002</v>
      </c>
      <c r="Y52" s="3">
        <f>1101.3+(486.2-317.2)+(-2.808315+(-1.23981--0.80886))+0-178.3--0.454664999999974</f>
        <v>1089.2154</v>
      </c>
      <c r="Z52" s="3">
        <f>1103.2+(542.3-251.5)+(-1.687896+(-0.829719--0.384795))+0-184.3--0.281979000000011</f>
        <v>1207.8491590000001</v>
      </c>
      <c r="AA52" s="3">
        <f>1106.6+(525.9-230.2)+(0+(0-0))+0-184.2-0</f>
        <v>1218.0999999999999</v>
      </c>
      <c r="AB52" s="3">
        <f>1118.7+(552.4-264.8)+(-0.570537+(-0.281724--0.135048))+0-183.4--0.0935339999999814</f>
        <v>1222.2763210000001</v>
      </c>
      <c r="AC52" s="3">
        <f>1128.7+(550.7-303.1)+(-0.575637+(-0.280857--0.154581))+0-181.4--0.0925139999999816</f>
        <v>1194.2906009999999</v>
      </c>
      <c r="AD52">
        <v>1204</v>
      </c>
      <c r="AE52" s="3">
        <f>1104+(536.6-240.8)+(0+(0-0))+0-185.8-0</f>
        <v>1214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1138.2+(486.1-278)+(-0.580482+(-0.247911--0.14178))+0-183.1--0.0933809999999814</f>
        <v>1162.6067680000001</v>
      </c>
      <c r="G53" s="3">
        <f>1143.1+(390.9-238.3)+(-1.748943+(-0.598077--0.364599))+0-178.1--0.27249300000001</f>
        <v>1115.8900719999999</v>
      </c>
      <c r="H53" s="3">
        <f>1147+(336-216.7)+(-2.92485+(-0.8568--0.552585))+0-177.5--0.452624999999974</f>
        <v>1086.0235599999999</v>
      </c>
      <c r="I53" s="3">
        <f>1152.9+(353.1-261.6)+(-2.939895+(-0.900405--0.66708))+0-177--0.451349999999974</f>
        <v>1064.6781300000002</v>
      </c>
      <c r="J53" s="3">
        <f>1153.6+(307.2-241.7)+(0.588336+(0.156672-0.123267))+0-170.2-0.0868019999999827</f>
        <v>1049.4349389999998</v>
      </c>
      <c r="K53" s="3">
        <f>1164.9+(311-324.1)+(-0.594099+(-0.15861--0.165291))+0-161.8--0.0825179999999836</f>
        <v>989.49510000000009</v>
      </c>
      <c r="L53" s="3">
        <f>1155.9+(376.8-422.3)+(-2.358036+(-0.768672--0.861492))+0-162--0.330479999999993</f>
        <v>946.46526400000005</v>
      </c>
      <c r="M53" s="3">
        <f>1149.6+(412.9-413.6)+(1.172592+(0.421158-0.421872))+0-163.8-0.167076000000026</f>
        <v>986.10480199999995</v>
      </c>
      <c r="N53" s="3">
        <f>1141.5+(505.6-436.1)+(1.16433+(0.515712-0.444822))+0-167.3-0.170646000000027</f>
        <v>1044.764574</v>
      </c>
      <c r="O53" s="3">
        <f>1130.3+(658.9-512.1)+(0.576453+(0.336039-0.261171))+0-166.9-0.0851189999999831</f>
        <v>1110.7662019999998</v>
      </c>
      <c r="P53" s="3">
        <f>1116.7+(699.3-474.5)+(-0.569517+(-0.356643--0.241995))+0-167.6--0.085475999999983</f>
        <v>1173.3013110000002</v>
      </c>
      <c r="Q53" s="3">
        <f>1109.8+(694.5-396.5)+(-1.697994+(-1.062585--0.606645))+0-163.8--0.25061400000001</f>
        <v>1242.0966800000001</v>
      </c>
      <c r="R53" s="3">
        <f>1122.1+(598.8-278.9)+(-1.144542+(-0.610776--0.284478))+0-162.2--0.165444000000026</f>
        <v>1278.494604</v>
      </c>
      <c r="S53" s="3">
        <f>1123.6+(657.8-321)+(-1.146072+(-0.670956--0.32742))+0-164.3--0.167586000000026</f>
        <v>1294.7779779999998</v>
      </c>
      <c r="T53" s="3">
        <f>1118.5+(740.5-403.2)+(-0.570435+(-0.377655--0.205632))+0-171.3--0.0873629999999826</f>
        <v>1283.8449050000002</v>
      </c>
      <c r="U53" s="3">
        <f>1117.9+(692-377.8)+(-2.850645+(-1.7646--0.96339))+0-169.7--0.432734999999975</f>
        <v>1259.1808799999999</v>
      </c>
      <c r="V53" s="3">
        <f>1096.5+(538.2-247.6)+(-0.559215+(-0.274482--0.126276))+0-166.2--0.0847619999999831</f>
        <v>1220.2773409999998</v>
      </c>
      <c r="W53" s="3">
        <f>1090.8+(496.5-278.7)+(-3.894156+(-1.772505--0.994959))+0-167.3--0.597261000000002</f>
        <v>1137.2255589999997</v>
      </c>
      <c r="X53" s="3">
        <f>1095+(529.2-393.5)+(-2.2338+(-1.079568--0.80274))+0-167.2--0.341087999999993</f>
        <v>1061.3304599999999</v>
      </c>
      <c r="Y53" s="3">
        <f>1100.5+(525.9-379.3)+(-2.24502+(-1.072836--0.773772))+0-169.1--0.344963999999993</f>
        <v>1075.8008799999998</v>
      </c>
      <c r="Z53" s="3">
        <f>1114.2+(639.1-392.6)+(-1.704726+(-0.977823--0.600678))+0-170.9--0.26147700000001</f>
        <v>1187.9796059999999</v>
      </c>
      <c r="AA53" s="3">
        <f>1123.4+(609.2-363.2)+(-2.291736+(-1.242768--0.740928))+0-168.5--0.343739999999993</f>
        <v>1198.4501640000001</v>
      </c>
      <c r="AB53" s="3">
        <f>1112+(557.4-320)+(-1.13424+(-0.568548--0.3264))+0-169.4--0.172788000000027</f>
        <v>1178.7964000000002</v>
      </c>
      <c r="AC53" s="3">
        <f>1113+(533.9-315.8)+(-2.27052+(-1.089156--0.644232))+0-169--0.344759999999993</f>
        <v>1159.7293159999999</v>
      </c>
      <c r="AD53">
        <v>1194.0000000000002</v>
      </c>
      <c r="AE53" s="3">
        <f>1112+(630.9-371.1)+(0+(0-0))+0-167.8-0</f>
        <v>1204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1149+(566-367.8)+(-1.75797+(-0.86598--0.562734))+0-169.3--0.25902900000001</f>
        <v>1176.0978130000001</v>
      </c>
      <c r="G54" s="3">
        <f>1144.9+(529.1-378.3)+(-1.751697+(-0.809523--0.578799))+0-167.8--0.25673400000001</f>
        <v>1126.1743130000002</v>
      </c>
      <c r="H54" s="3">
        <f>1143.7+(474.9-362.3)+(-2.333148+(-0.968796--0.739092))+0-165.2--0.337007999999993</f>
        <v>1088.8741559999999</v>
      </c>
      <c r="I54" s="3">
        <f>1153.7+(466-388.8)+(0+(0-0))+0-163.1-0</f>
        <v>1067.8000000000002</v>
      </c>
      <c r="J54" s="3">
        <f>1157.8+(412.7-356.4)+(-1.180956+(-0.420954--0.363528))+0-166.9--0.170238000000027</f>
        <v>1046.1318559999997</v>
      </c>
      <c r="K54" s="3">
        <f>1162.3+(383-372.7)+(0+(0-0))+0-165.4-0</f>
        <v>1007.1999999999999</v>
      </c>
      <c r="L54" s="3">
        <f>1166.3+(412.5-462.1)+(-2.974065+(-1.051875--1.178355))+0-164.6--0.419729999999976</f>
        <v>949.67214499999977</v>
      </c>
      <c r="M54" s="3">
        <f>1157.2+(420.4-440.4)+(1.180344+(0.428808-0.449208))+0-168.5-0.171870000000027</f>
        <v>969.68807400000003</v>
      </c>
      <c r="N54" s="3">
        <f>1139.4+(443.1-413.4)+(0.581094+(0.225981-0.210834))+0-162.6-0.0829259999999835</f>
        <v>1007.0133150000001</v>
      </c>
      <c r="O54" s="3">
        <f>1068.5+(517.1-380.1)+(-1.08987+(-0.527442--0.387702))+0-155.5--0.158610000000025</f>
        <v>1048.9289999999999</v>
      </c>
      <c r="P54" s="3">
        <f>1028+(558.1-302.7)+(-0.52428+(-0.284631--0.154377))+0-154.2--0.0786419999999843</f>
        <v>1128.624108</v>
      </c>
      <c r="Q54" s="3">
        <f>1014.9+(665.6-329.6)+(1.035198+(0.678912-0.336192))+0-153-0.156060000000024</f>
        <v>1199.121858</v>
      </c>
      <c r="R54" s="3">
        <f>1070.4+(768.8-460.5)+(2.183616+(1.568352-0.93942))+0-152.6-0.311303999999993</f>
        <v>1228.6012440000002</v>
      </c>
      <c r="S54" s="3">
        <f>1078.3+(837.6-529.2)+(-0.549933+(-0.427176--0.269892))+0-154.4--0.0787439999999843</f>
        <v>1231.6715269999997</v>
      </c>
      <c r="T54" s="3">
        <f>1083.4+(883.6-571.5)+(-2.76267+(-2.25318--1.457325))+0-156.6--0.399329999999977</f>
        <v>1235.7408050000001</v>
      </c>
      <c r="U54" s="3">
        <f>1081+(851.6-561.4)+(-2.20524+(-1.737264--1.145256))+0-154.4--0.314975999999993</f>
        <v>1214.3177279999998</v>
      </c>
      <c r="V54" s="3">
        <f>1077.8+(732.3-453.3)+(-1.649034+(-1.120419--0.693549))+0-158.1--0.241893000000009</f>
        <v>1196.8659890000001</v>
      </c>
      <c r="W54" s="3">
        <f>1085.5+(474.8-274.1)+(-3.32163+(-1.452888--0.838746))+0-159.2--0.487152000000018</f>
        <v>1123.5513799999999</v>
      </c>
      <c r="X54" s="3">
        <f>1089.1+(364.9-254.6)+(-2.777205+(-0.930495--0.64923))+0-155.9--0.397544999999977</f>
        <v>1040.8390749999999</v>
      </c>
      <c r="Y54" s="3">
        <f>1100+(418.9-303)+(0+(0-0))+0-147.1-0</f>
        <v>1068.8000000000002</v>
      </c>
      <c r="Z54" s="3">
        <f>1114+(548.1-312.7)+(-2.27256+(-1.118124--0.637908))+0-147.4--0.300695999999994</f>
        <v>1199.54792</v>
      </c>
      <c r="AA54" s="3">
        <f>1148.2+(590.2-339.5)+(-1.756746+(-0.903006--0.519435))+0-149.6--0.228888000000009</f>
        <v>1247.3885710000002</v>
      </c>
      <c r="AB54" s="3">
        <f>1156.9+(625.4-391.8)+(0+(0-0))+0-145.4-0</f>
        <v>1245.0999999999999</v>
      </c>
      <c r="AC54" s="3">
        <f>1180.2+(568.1-390.6)+(-1.203804+(-0.579462--0.398412))+0-144.4--0.147288000000023</f>
        <v>1212.0624340000002</v>
      </c>
      <c r="AD54">
        <v>1247.8000000000002</v>
      </c>
      <c r="AE54" s="3">
        <f>1144+(575.9-318.3)+(0+(0-0))+0-143.8-0</f>
        <v>1257.8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1196.6+(497.5-384.3)+(-1.830798+(-0.761175--0.587979))+0-143.4--0.219402000000008</f>
        <v>1164.6154079999999</v>
      </c>
      <c r="G55" s="3">
        <f>1217.5+(436.9-384.3)+(-3.104625+(-1.114095--0.979965))+0-141.4--0.36056999999998</f>
        <v>1125.8218149999998</v>
      </c>
      <c r="H55" s="3">
        <f>1231.3+(372.2-368.3)+(0.627963+(0.189822-0.187833))+0-139.3-0.0710429999999859</f>
        <v>1096.4589089999999</v>
      </c>
      <c r="I55" s="3">
        <f>1242+(327.6-357.5)+(-2.53368+(-0.668304--0.7293))+0-139.8--0.285191999999994</f>
        <v>1070.1125079999999</v>
      </c>
      <c r="J55" s="3">
        <f>1278.4+(338.3-417.8)+(-1.955952+(-0.517599--0.639234))+0-138.6--0.212058000000008</f>
        <v>1058.6777410000002</v>
      </c>
      <c r="K55" s="3">
        <f>1341.1+(314.8-489)+(-2.735844+(-0.642192--0.99756))+0-139.2--0.283967999999994</f>
        <v>1025.6034919999997</v>
      </c>
      <c r="L55" s="3">
        <f>1350.9+(424.8-648.4)+(-3.444795+(-1.08324--1.65342))+0-138.3--0.35266499999998</f>
        <v>986.47805000000028</v>
      </c>
      <c r="M55" s="3">
        <f>1338.6+(508.5-679.3)+(0+(0-0))+0-143.1-0</f>
        <v>1024.7</v>
      </c>
      <c r="N55" s="3">
        <f>1294.5+(558.9-625.7)+(-3.300975+(-1.425195--1.595535))+0-143.9--0.366944999999979</f>
        <v>1081.0363099999997</v>
      </c>
      <c r="O55" s="3">
        <f>1205.4+(670-607.1)+(-1.844262+(-1.0251--0.928863))+0-141--0.215730000000008</f>
        <v>1125.5752310000003</v>
      </c>
      <c r="P55" s="3">
        <f>1187+(802-595)+(-1.21074+(-0.81804--0.6069))+0-147--0.149940000000023</f>
        <v>1245.7280599999999</v>
      </c>
      <c r="Q55" s="3">
        <f>1232+(715.3-580.3)+(0+(0-0))+0-135.1-0</f>
        <v>1231.9000000000001</v>
      </c>
      <c r="R55" s="3">
        <f>1265.3+(624.1-445.4)+(-1.935909+(-0.954873--0.681462))+0-133.7--0.204561000000008</f>
        <v>1308.295241</v>
      </c>
      <c r="S55" s="3">
        <f>1259.4+(655.8-451.3)+(-2.569176+(-1.337832--0.920652))+0-139.9--0.285395999999994</f>
        <v>1321.2990400000001</v>
      </c>
      <c r="T55" s="3">
        <f>1258+(702.5-483.9)+(-2.56632+(-1.4331--0.987156))+0-148.2--0.302327999999993</f>
        <v>1325.6900639999999</v>
      </c>
      <c r="U55" s="3">
        <f>1254+(660.1-455.7)+(-0.63954+(-0.336651--0.232407))+0-144.3--0.0735929999999854</f>
        <v>1313.4298090000002</v>
      </c>
      <c r="V55" s="3">
        <f>1253.8+(550.9-383.3)+(0+(0-0))+0-144-0</f>
        <v>1277.3999999999999</v>
      </c>
      <c r="W55" s="3">
        <f>1260.4+(565.7-477.5)+(-3.856824+(-1.731042--1.46115))+0-144.9--0.443394000000017</f>
        <v>1200.0166780000002</v>
      </c>
      <c r="X55" s="3">
        <f>1263.8+(568.7-578.9)+(-5.800842+(-2.610333--2.657151))+0-142.4--0.653616000000025</f>
        <v>1106.0995919999998</v>
      </c>
      <c r="Y55" s="3">
        <f>1269.4+(539-556.9)+(-1.294788+(-0.54978--0.568038))+0-138.9--0.141678000000022</f>
        <v>1111.4651479999998</v>
      </c>
      <c r="Z55" s="3">
        <f>1288.9+(574.7-501.3)+(-1.972017+(-0.879291--0.766989))+0-137--0.209610000000008</f>
        <v>1223.4252910000002</v>
      </c>
      <c r="AA55" s="3">
        <f>1300.2+(583.7-498.2)+(-1.989306+(-0.893061--0.762246))+0-138.5--0.211905000000008</f>
        <v>1245.2917840000002</v>
      </c>
      <c r="AB55" s="3">
        <f>1301.3+(478.9-402.1)+(-0.663663+(-0.244239--0.205071))+0-141.9--0.0723689999999856</f>
        <v>1235.5695379999997</v>
      </c>
      <c r="AC55" s="3">
        <f>1304.8+(418.1-372)+(-1.330896+(-0.426462--0.37944))+0-140.4--0.143208000000022</f>
        <v>1209.26529</v>
      </c>
      <c r="AD55">
        <v>1235.4999999999998</v>
      </c>
      <c r="AE55" s="3">
        <f>1295+(622.8-533.1)+(0+(0-0))+0-139.2-0</f>
        <v>1245.4999999999998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1308.6+(364-342.1)+(-1.334772+(-0.37128--0.348942))+0-145.1--0.148002000000023</f>
        <v>1184.1908920000003</v>
      </c>
      <c r="G56" s="3">
        <f>1293+(348.2-383.6)+(-3.95658+(-1.065492--1.173816))+0-143.9--0.440334000000017</f>
        <v>1110.2920779999999</v>
      </c>
      <c r="H56" s="3">
        <f>1294+(318.6-392.2)+(-1.97982+(-0.487458--0.600066))+0-143.4--0.219402000000008</f>
        <v>1075.3521899999998</v>
      </c>
      <c r="I56" s="3">
        <f>1322.7+(324.9-416.7)+(-1.349154+(-0.331398--0.425034))+0-147.1--0.150042000000023</f>
        <v>1082.6945240000002</v>
      </c>
      <c r="J56" s="3">
        <f>1323+(316.1-425.3)+(-2.69892+(-0.644844--0.867612))+0-152.2--0.310487999999993</f>
        <v>1059.434336</v>
      </c>
      <c r="K56" s="3">
        <f>1327.1+(314.4-475.4)+(-4.737747+(-1.122408--1.697178))+0-151.8--0.541926000000002</f>
        <v>1010.678949</v>
      </c>
      <c r="L56" s="3">
        <f>1330.5+(421.3-635.1)+(-1.35711+(-0.429726--0.647802))+0-152.8--0.155856000000024</f>
        <v>962.91682200000002</v>
      </c>
      <c r="M56" s="3">
        <f>1336.1+(489.8-675.9)+(0.681411+(0.249798-0.344709))+0-151.2-0.0771119999999847</f>
        <v>999.3093879999999</v>
      </c>
      <c r="N56" s="3">
        <f>1336.8+(506.8-624.3)+(1.363536+(0.516936-0.636786))+0-148-0.150960000000024</f>
        <v>1072.392726</v>
      </c>
      <c r="O56" s="3">
        <f>1328.4+(502-558.3)+(2.032452+(0.76806-0.854199))+0-148.7-0.227511000000009</f>
        <v>1125.118802</v>
      </c>
      <c r="P56" s="3">
        <f>1290.7+(480.5-447)+(0.658257+(0.245055-0.22797))+0-146.6-0.0747659999999851</f>
        <v>1178.2005760000002</v>
      </c>
      <c r="Q56" s="3">
        <f>1296+(448.4-343.4)+(-1.98288+(-0.686052--0.525402))+0-153.8--0.235314000000009</f>
        <v>1245.291784</v>
      </c>
      <c r="R56" s="3">
        <f>1128.7+(603.3-278.7)+(1.726911+(0.923049-0.426411))+0-155.7-0.238221000000009</f>
        <v>1299.5853279999999</v>
      </c>
      <c r="S56" s="3">
        <f>1110.5+(784.6-403.9)+(-1.13271+(-0.800292--0.411978))+0-160.9--0.164118000000026</f>
        <v>1328.943094</v>
      </c>
      <c r="T56" s="3">
        <f>1115.9+(848-478.9)+(-0.569109+(-0.43248--0.244239))+0-158.2--0.0806819999999839</f>
        <v>1326.1233319999999</v>
      </c>
      <c r="U56" s="3">
        <f>1109.7+(812.6-456.2)+(-2.263788+(-1.657704--0.930648))+0-154.7--0.315587999999993</f>
        <v>1308.7247440000001</v>
      </c>
      <c r="V56" s="3">
        <f>1151.4+(615-324.4)+(-1.174428+(-0.6273--0.330888))+0-155.6--0.158712000000025</f>
        <v>1285.0878720000001</v>
      </c>
      <c r="W56" s="3">
        <f>1205.3+(451.6-301.9)+(-3.688218+(-1.381896--0.923814))+0-147.3--0.450738000000017</f>
        <v>1204.0044379999999</v>
      </c>
      <c r="X56" s="3">
        <f>1239.8+(491.3-437.3)+(-2.529192+(-1.002252--0.892092))+0-161.1--0.328643999999993</f>
        <v>1130.3892920000001</v>
      </c>
      <c r="Y56" s="3">
        <f>1191.9+(500.3-395)+(-0.607869+(-0.255153--0.20145))+0-160.9--0.0820589999999837</f>
        <v>1135.720487</v>
      </c>
      <c r="Z56" s="3">
        <f>1228.9+(517.2-342.5)+(-1.253478+(-0.527544--0.34935))+0-168.6--0.171972000000027</f>
        <v>1233.7403000000004</v>
      </c>
      <c r="AA56" s="3">
        <f>1316.3+(462.7-338.8)+(-2.013939+(-0.707931--0.518364))+0-174.2--0.26652600000001</f>
        <v>1264.0630199999998</v>
      </c>
      <c r="AB56" s="3">
        <f>1308.4+(500.7-385.2)+(0+(0-0))+0-175.6-0</f>
        <v>1248.3000000000002</v>
      </c>
      <c r="AC56" s="3">
        <f>1316.6+(542.6-463.2)+(-2.014398+(-0.830178--0.708696))+0-177.9--0.27218700000001</f>
        <v>1216.2363069999999</v>
      </c>
      <c r="AD56">
        <v>1233.3</v>
      </c>
      <c r="AE56" s="3">
        <f>1292+(465.6-345.5)+(0+(0-0))+0-168.8-0</f>
        <v>1243.3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1319.8+(494.7-453.9)+(-3.36549+(-1.261485--1.157445))+0-178.8--0.455939999999974</f>
        <v>1178.7864099999999</v>
      </c>
      <c r="G57" s="3">
        <f>1328.2+(447.2-453.9)+(-3.38691+(-1.14036--1.157445))+0-176.3--0.449564999999974</f>
        <v>1142.2797399999999</v>
      </c>
      <c r="H57" s="3">
        <f>1327.8+(440.9-478.5)+(-3.38589+(-1.124295--1.220175))+0-175.2--0.446759999999975</f>
        <v>1112.1567499999999</v>
      </c>
      <c r="I57" s="3">
        <f>1274+(419.3-431.3)+(-1.29948+(-0.427686--0.439926))+0-178--0.181560000000028</f>
        <v>1082.8943199999999</v>
      </c>
      <c r="J57" s="3">
        <f>1281.3+(406.1-445.4)+(-0.653463+(-0.207111--0.227154))+0-178.3--0.0909329999999819</f>
        <v>1063.1575130000001</v>
      </c>
      <c r="K57" s="3">
        <f>1291+(335.3-425.6)+(-1.97523+(-0.513009--0.651168))+0-177.2--0.27111600000001</f>
        <v>1021.9340450000001</v>
      </c>
      <c r="L57" s="3">
        <f>1282.8+(395.1-538)+(-1.308456+(-0.403002--0.54876))+0-175.6--0.179112000000028</f>
        <v>963.31641400000001</v>
      </c>
      <c r="M57" s="3">
        <f>1279.9+(468.6-580.6)+(0+(0-0))+0-178.3-0</f>
        <v>989.60000000000014</v>
      </c>
      <c r="N57" s="3">
        <f>1264.9+(500-528.7)+(1.290198+(0.51-0.539274))+0-180.1-0.183702000000029</f>
        <v>1057.177222</v>
      </c>
      <c r="O57" s="3">
        <f>1246.4+(538.8-492.3)+(0+(0-0))+0-178.6-0</f>
        <v>1114.3000000000002</v>
      </c>
      <c r="P57" s="3">
        <f>1244.8+(583.1-461.2)+(0+(0-0))+0-176.9-0</f>
        <v>1189.8</v>
      </c>
      <c r="Q57" s="3">
        <f>1232.4+(582.5-401.3)+(0.628524+(0.297075-0.204663))+0-170.2-0.0868019999999827</f>
        <v>1244.034134</v>
      </c>
      <c r="R57" s="3">
        <f>1222.9+(579.5-333.6)+(-1.871037+(-0.886635--0.510408))+0-168.5--0.25780500000001</f>
        <v>1298.3105410000001</v>
      </c>
      <c r="S57" s="3">
        <f>1215.9+(703.4-421.4)+(-0.620109+(-0.358734--0.214914))+0-170.1--0.0867509999999827</f>
        <v>1327.1228220000003</v>
      </c>
      <c r="T57" s="3">
        <f>1229+(700.6-431.8)+(-3.76074+(-2.143836--1.321308))+0-170.7--0.52234200000002</f>
        <v>1323.0390739999998</v>
      </c>
      <c r="U57" s="3">
        <f>1224+(650.1-397.5)+(-3.74544+(-1.989306--1.21635))+0-168.4--0.51530400000002</f>
        <v>1304.1969079999999</v>
      </c>
      <c r="V57" s="3">
        <f>1218.1+(515.1-281.9)+(-4.348617+(-1.838907--1.006383))+0-169.9--0.606543000000002</f>
        <v>1276.8254019999999</v>
      </c>
      <c r="W57" s="3">
        <f>1218+(432.1-274.6)+(-4.96944+(-1.762968--1.120368))+0-169.7--0.692375999999985</f>
        <v>1200.8803359999999</v>
      </c>
      <c r="X57" s="3">
        <f>1217.6+(484.1-423.1)+(-4.346832+(-1.728237--1.510467))+0-171.2--0.611184000000002</f>
        <v>1103.446582</v>
      </c>
      <c r="Y57" s="3">
        <f>1212.5+(500.1-432.1)+(-2.4735+(-1.020204--0.881484))+0-171.4--0.349655999999993</f>
        <v>1106.837436</v>
      </c>
      <c r="Z57" s="3">
        <f>1224.1+(488.3-304)+(-3.745746+(-1.494198--0.93024))+0-175.2--0.53611200000002</f>
        <v>1229.4264079999998</v>
      </c>
      <c r="AA57" s="3">
        <f>1236.3+(489.9-296.7)+(-2.522052+(-0.999396--0.605268))+0-176--0.359039999999992</f>
        <v>1250.9428600000001</v>
      </c>
      <c r="AB57" s="3">
        <f>1234.6+(499.5-311.4)+(-2.518584+(-1.01898--0.635256))+0-172.6--0.352103999999992</f>
        <v>1247.549796</v>
      </c>
      <c r="AC57" s="3">
        <f>1244.7+(551-392.4)+(-1.904391+(-0.84303--0.600372))+0-172--0.26316000000001</f>
        <v>1229.4161110000002</v>
      </c>
      <c r="AD57">
        <v>1233.2</v>
      </c>
      <c r="AE57" s="3">
        <f>1230+(497.1-307.3)+(0+(0-0))+0-176.6-0</f>
        <v>1243.2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1245.9+(533.2-414.2)+(-1.270818+(-0.543864--0.422484))+0-170.6--0.174012000000027</f>
        <v>1193.0818140000001</v>
      </c>
      <c r="G58" s="3">
        <f>1254.5+(534.3-458.6)+(-2.55918+(-1.089972--0.935544))+0-171.1--0.349043999999993</f>
        <v>1156.7354359999999</v>
      </c>
      <c r="H58" s="3">
        <f>1257.1+(458.9-418.5)+(-1.282242+(-0.468078--0.42687))+0-171.5--0.174930000000027</f>
        <v>1124.85148</v>
      </c>
      <c r="I58" s="3">
        <f>1267.1+(418-406.7)+(-2.584884+(-0.85272--0.829668))+0-176.6--0.360263999999992</f>
        <v>1099.5523279999998</v>
      </c>
      <c r="J58" s="3">
        <f>1274.3+(383.9-397.3)+(-1.949679+(-0.587367--0.607869))+0-177.7--0.27188100000001</f>
        <v>1081.542704</v>
      </c>
      <c r="K58" s="3">
        <f>1281.1+(345.5-410.4)+(-3.920166+(-1.05723--1.255824))+0-179--0.547740000000021</f>
        <v>1034.0261679999999</v>
      </c>
      <c r="L58" s="3">
        <f>1263.7+(423.4-525)+(-3.222435+(-1.07967--1.33875))+0-179.9--0.458744999999974</f>
        <v>979.69538999999986</v>
      </c>
      <c r="M58" s="3">
        <f>1227+(475.9-502)+(-0.62577+(-0.242709--0.25602))+0-185--0.0943499999999812</f>
        <v>1015.3818910000001</v>
      </c>
      <c r="N58" s="3">
        <f>1212.8+(496.1-450.5)+(0+(0-0))+0-186.8-0</f>
        <v>1071.6000000000001</v>
      </c>
      <c r="O58" s="3">
        <f>1123.2+(545.2-344.4)+(-0.572832+(-0.278052--0.175644))+0-180--0.0917999999999817</f>
        <v>1143.4165599999999</v>
      </c>
      <c r="P58" s="3">
        <f>1112.2+(567.2-297.2)+(0.567222+(0.289272-0.151572))+0-177.4-0.090473999999982</f>
        <v>1205.4144479999998</v>
      </c>
      <c r="Q58" s="3">
        <f>1098.9+(615-265.9)+(1.120878+(0.6273-0.271218))+0-177.6-0.181152000000028</f>
        <v>1271.6958079999999</v>
      </c>
      <c r="R58" s="3">
        <f>1101+(740.6-334.2)+(-1.12302+(-0.755412--0.340884))+0-172.5--0.175950000000028</f>
        <v>1333.5384020000001</v>
      </c>
      <c r="S58" s="3">
        <f>1187.3+(802.5-464.8)+(-3.027615+(-2.046375--1.18524))+0-166.4--0.424319999999976</f>
        <v>1355.1355699999999</v>
      </c>
      <c r="T58" s="3">
        <f>1185.7+(839.3-505.8)+(0+(0-0))+0-168.4-0</f>
        <v>1350.8</v>
      </c>
      <c r="U58" s="3">
        <f>1181.3+(820.4-497.2)+(-1.807389+(-1.255212--0.760716))+0-166.9--0.25535700000001</f>
        <v>1335.5534719999998</v>
      </c>
      <c r="V58" s="3">
        <f>1192.4+(677.3-392)+(-1.216248+(-0.690846--0.39984))+0-172.6--0.176052000000028</f>
        <v>1303.7687980000001</v>
      </c>
      <c r="W58" s="3">
        <f>1197.7+(460.1-246.7)+(-3.664962+(-1.407906--0.754902))+0-174.6--0.53427600000002</f>
        <v>1232.7163100000002</v>
      </c>
      <c r="X58" s="3">
        <f>1201.6+(467-343.5)+(-3.676896+(-1.42902--1.05111))+0-176.9--0.541314000000021</f>
        <v>1144.6865079999998</v>
      </c>
      <c r="Y58" s="3">
        <f>1202+(494.5-378)+(-1.83906+(-0.756585--0.57834))+0-182.1--0.27861300000001</f>
        <v>1134.661308</v>
      </c>
      <c r="Z58" s="3">
        <f>1189.7+(518.7-286.2)+(-2.426988+(-1.058148--0.583848))+0-180.2--0.367607999999992</f>
        <v>1239.46632</v>
      </c>
      <c r="AA58" s="3">
        <f>1084.2+(676.8-312.2)+(-2.76471+(-1.72584--0.79611))+0-184.3--0.469964999999973</f>
        <v>1261.275525</v>
      </c>
      <c r="AB58" s="3">
        <f>1106.3+(761.9-410.5)+(0+(0-0))+0-185.1-0</f>
        <v>1272.5999999999999</v>
      </c>
      <c r="AC58" s="3">
        <f>1114.3+(778.5-467.9)+(-2.273172+(-1.58814--0.954516))+0-184.6--0.376583999999992</f>
        <v>1237.7697880000003</v>
      </c>
      <c r="AD58">
        <v>1274.2</v>
      </c>
      <c r="AE58" s="3">
        <f>1074+(678.6-300.8)+(0+(0-0))+0-169.6-0</f>
        <v>1282.2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1055.6+(806.3-462.6)+(-2.153424+(-1.644852--0.943704))+0-187--0.381479999999992</f>
        <v>1209.8269079999998</v>
      </c>
      <c r="G59" s="3">
        <f>1005.9+(771.2-421.7)+(-1.026018+(-0.786624--0.430134))+0-184.7--0.188394000000029</f>
        <v>1169.5058860000001</v>
      </c>
      <c r="H59" s="3">
        <f>993.1+(715-384.4)+(-0.506481+(-0.36465--0.196044))+0-183.3--0.0934829999999814</f>
        <v>1139.8183959999999</v>
      </c>
      <c r="I59" s="3">
        <f>995.7+(650.2-347.2)+(-1.015614+(-0.663204--0.354144))+0-180.8--0.184416000000029</f>
        <v>1116.7597420000002</v>
      </c>
      <c r="J59" s="3">
        <f>1010.9+(596.3-338.9)+(0+(0-0))+0-165.5-0</f>
        <v>1102.8</v>
      </c>
      <c r="K59" s="3">
        <f>1015.1+(503.3-277.5)+(-2.070804+(-1.026732--0.5661))+0-169.3--0.345371999999993</f>
        <v>1069.4139360000001</v>
      </c>
      <c r="L59" s="3">
        <f>1031.9+(436.8-273.9)+(-2.631345+(-1.11384--0.698445))+0-169.9--0.433244999999975</f>
        <v>1022.2865050000001</v>
      </c>
      <c r="M59" s="3">
        <f>1028.8+(469.7-281.3)+(0+(0-0))+0-173.8-0</f>
        <v>1043.3999999999999</v>
      </c>
      <c r="N59" s="3">
        <f>1022.6+(522-266.8)+(-0.521526+(-0.26622--0.136068))+0-175.4--0.0894539999999822</f>
        <v>1101.8377759999998</v>
      </c>
      <c r="O59" s="3">
        <f>1005.9+(536.1-234.4)+(-0.513009+(-0.273411--0.119544))+0-150.4--0.0767039999999847</f>
        <v>1156.6098279999999</v>
      </c>
      <c r="P59" s="3">
        <f>998.2+(618.6-241.3)+(-1.018164+(-0.630972--0.246126))+0-151.4--0.154428000000024</f>
        <v>1222.851418</v>
      </c>
      <c r="Q59" s="3">
        <f>984.1+(729.7-288.8)+(0.501891+(0.372147-0.147288))+0-148.1-0.075530999999985</f>
        <v>1277.5512190000002</v>
      </c>
      <c r="R59" s="3">
        <f>987.1+(951-461.7)+(-0.503421+(-0.48501--0.235467))+0-143.2--0.0730319999999855</f>
        <v>1332.520068</v>
      </c>
      <c r="S59" s="3">
        <f>974.6+(1088-552)+(0.497046+(0.55488-0.28152))+0-150.1-0.0765509999999848</f>
        <v>1361.1938550000002</v>
      </c>
      <c r="T59" s="3">
        <f>945.1+(1120-561.1)+(-0.482001+(-0.5712--0.286161))+0-151.7--0.0773669999999846</f>
        <v>1351.6103270000001</v>
      </c>
      <c r="U59" s="3">
        <f>910+(1127.1-537.2)+(-2.3205+(-2.874105--1.36986))+0-151--0.385049999999978</f>
        <v>1345.4603049999998</v>
      </c>
      <c r="V59" s="3">
        <f>914.3+(997.2-427)+(-1.865172+(-2.034288--0.87108))+0-152.3--0.310691999999993</f>
        <v>1329.4823120000001</v>
      </c>
      <c r="W59" s="3">
        <f>918+(699.9-200.2)+(-2.3409+(-1.784745--0.51051))+0-150.7--0.384284999999978</f>
        <v>1263.7691500000001</v>
      </c>
      <c r="X59" s="3">
        <f>943.9+(500.7-132.4)+(-3.369723+(-1.787499--0.472668))+0-148.8--0.531216000000002</f>
        <v>1159.246662</v>
      </c>
      <c r="Y59" s="3">
        <f>948.3+(571.7-221.3)+(-0.967266+(-0.583134--0.225726))+0-152.1--0.155142000000024</f>
        <v>1145.4304680000002</v>
      </c>
      <c r="Z59" s="3">
        <f>970.4+(741.9-271.3)+(-0.989808+(-0.756738--0.276726))+0-155.8--0.158916000000025</f>
        <v>1283.8890960000001</v>
      </c>
      <c r="AA59" s="3">
        <f>1092.9+(715.3-349.1)+(-2.229516+(-1.459212--0.712164))+0-149.3--0.304571999999994</f>
        <v>1307.1280079999999</v>
      </c>
      <c r="AB59" s="3">
        <f>1117.1+(743.8-412.3)+(-2.848605+(-1.89669--1.051365))+0-152.4--0.388619999999978</f>
        <v>1292.8946899999999</v>
      </c>
      <c r="AC59" s="3">
        <f>1126.7+(775.6-481.8)+(-0.574617+(-0.395556--0.245718))+0-149.3--0.0761429999999849</f>
        <v>1270.551688</v>
      </c>
      <c r="AD59">
        <v>1311.2000000000003</v>
      </c>
      <c r="AE59" s="3">
        <f>1036+(750.7-312.4)+(0+(0-0))+0-154.1-0</f>
        <v>1320.2000000000003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1134.8+(739-481.4)+(-2.89374+(-1.88445--1.22757))+0-148.6--0.378929999999978</f>
        <v>1240.6283100000003</v>
      </c>
      <c r="G60" s="3">
        <f>1138.3+(631.8-437.7)+(-0.580533+(-0.322218--0.223227))+0-143.3--0.0730829999999855</f>
        <v>1188.493559</v>
      </c>
      <c r="H60" s="3">
        <f>1148.7+(563.6-412)+(-2.343348+(-1.149744--0.84048))+0-141.6--0.288863999999994</f>
        <v>1156.3362520000003</v>
      </c>
      <c r="I60" s="3">
        <f>1156.3+(532.2-399.5)+(-2.948565+(-1.35711--1.018725))+0-143.6--0.366179999999979</f>
        <v>1142.4792300000001</v>
      </c>
      <c r="J60" s="3">
        <f>1150.8+(512.6-390.8)+(-1.760724+(-0.784278--0.597924))+0-143--0.218790000000008</f>
        <v>1127.8717119999999</v>
      </c>
      <c r="K60" s="3">
        <f>1145.9+(453.6-359)+(-1.753227+(-0.694008--0.54927))+0-149.1--0.228123000000009</f>
        <v>1089.7301580000001</v>
      </c>
      <c r="L60" s="3">
        <f>1150.4+(394.3-337.8)+(-0.586704+(-0.201093--0.172278))+0-153.1--0.0780809999999845</f>
        <v>1053.2625620000001</v>
      </c>
      <c r="M60" s="3">
        <f>1161+(399.8-314.4)+(-0.59211+(-0.203898--0.160344))+0-154.3--0.0786929999999844</f>
        <v>1091.5430290000002</v>
      </c>
      <c r="N60" s="3">
        <f>1145.4+(436.8-279.8)+(0.584154+(0.222768-0.142698))+0-160.6-0.0819059999999837</f>
        <v>1142.3823180000004</v>
      </c>
      <c r="O60" s="3">
        <f>1106.1+(545.9-295.9)+(-1.692333+(-0.835227--0.452727))+0-164.3--0.25137900000001</f>
        <v>1189.9765460000001</v>
      </c>
      <c r="P60" s="3">
        <f>1116.7+(679.9-360.5)+(-1.139034+(-0.693498--0.36771))+0-164.5--0.167790000000026</f>
        <v>1270.302968</v>
      </c>
      <c r="Q60" s="3">
        <f>1122.1+(846.4-466.9)+(-1.144542+(-0.863328--0.476238))+0-162.1--0.165342000000026</f>
        <v>1338.1337100000001</v>
      </c>
      <c r="R60" s="3">
        <f>1121.8+(1026.9-593.5)+(0.572118+(0.523719-0.302685))+0-159.3-0.0812429999999838</f>
        <v>1396.611909</v>
      </c>
      <c r="S60" s="3">
        <f>1125.1+(1104.9-695)+(-0.573801+(-0.563499--0.35445))+0-161.6--0.0824159999999836</f>
        <v>1372.699566</v>
      </c>
      <c r="T60" s="3">
        <f>1108.8+(1097.7-689.2)+(0.565488+(0.559827-0.351492))+0-167-0.0851699999999831</f>
        <v>1350.9886529999999</v>
      </c>
      <c r="U60" s="3">
        <f>1096.1+(1017.7-655.6)+(-1.677033+(-1.557081--1.003068))+0-165.2--0.25275600000001</f>
        <v>1291.0217099999998</v>
      </c>
      <c r="V60" s="3">
        <f>1089.2+(917.2-537.1)+(-0.555492+(-0.467772--0.273921))+0-169.6--0.0864959999999828</f>
        <v>1299.0371530000002</v>
      </c>
      <c r="W60" s="3">
        <f>1091.4+(667.3-352.1)+(-2.78307+(-1.701615--0.897855))+0-169.4--0.431969999999975</f>
        <v>1234.0451399999997</v>
      </c>
      <c r="X60" s="3">
        <f>1093.4+(406.5-186.3)+(-2.78817+(-1.036575--0.475065))+0-172.7--0.440384999999975</f>
        <v>1137.9907049999999</v>
      </c>
      <c r="Y60" s="3">
        <f>1092+(466.5-253.7)+(-1.67076+(-0.713745--0.388161))+0-174.7--0.26729100000001</f>
        <v>1128.3709470000001</v>
      </c>
      <c r="Z60" s="3">
        <f>1142+(723.9-415.1)+(-1.74726+(-1.107567--0.635103))+0-175.7--0.26882100000001</f>
        <v>1273.149097</v>
      </c>
      <c r="AA60" s="3">
        <f>1171.6+(797.3-505.6)+(-2.98758+(-2.033115--1.28928))+0-174.7--0.445484999999975</f>
        <v>1285.3140699999997</v>
      </c>
      <c r="AB60" s="3">
        <f>1208.8+(812.7-565.3)+(-1.232976+(-0.828954--0.576606))+0-176.5--0.180030000000028</f>
        <v>1278.394706</v>
      </c>
      <c r="AC60" s="3">
        <f>1213.6+(805.2-590.1)+(0+(0-0))+0-176.4-0</f>
        <v>1252.2999999999997</v>
      </c>
      <c r="AD60">
        <v>1285.9000000000001</v>
      </c>
      <c r="AE60" s="3">
        <f>1150+(772.9-452.8)+(0+(0-0))+0-175.2-0</f>
        <v>1294.8999999999999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1118.3+(852.1-573.8)+(0+(0-0))+0-165.6-0</f>
        <v>1231</v>
      </c>
      <c r="G61" s="3">
        <f>1071.4+(845.9-561.4)+(-2.185656+(-1.725636--1.145256))+0-162--0.330479999999993</f>
        <v>1191.4644440000002</v>
      </c>
      <c r="H61" s="3">
        <f>1114.5+(780.5-572.8)+(0+(0-0))+0-162.8-0</f>
        <v>1159.4000000000001</v>
      </c>
      <c r="I61" s="3">
        <f>1124.3+(706.4-531.5)+(-0.573393+(-0.360264--0.271065))+0-164.6--0.0839459999999833</f>
        <v>1134.021354</v>
      </c>
      <c r="J61" s="3">
        <f>1132.7+(622.6-481.7)+(0+(0-0))+0-163.2-0</f>
        <v>1110.4000000000001</v>
      </c>
      <c r="K61" s="3">
        <f>1243.7+(388.9-438.6)+(-2.537148+(-0.793356--0.894744))+72-165.2--0.337007999999993</f>
        <v>1098.7012479999999</v>
      </c>
      <c r="L61" s="3">
        <f>1269.8+(353.6-554.9)+(-5.828382+(-1.623024--2.546991))+120-168.5--0.773415000000029</f>
        <v>1015.869</v>
      </c>
      <c r="M61" s="3">
        <f>1249.8+(390.8-520.4)+(0.637398+(0.199308-0.265404))+120-170.2-0.0868019999999827</f>
        <v>1070.4845</v>
      </c>
      <c r="N61" s="3">
        <f>1235.6+(403.1-418.9)+(-1.260312+(-0.411162--0.427278))+4-174.1--0.177582000000028</f>
        <v>1048.633386</v>
      </c>
      <c r="O61" s="3">
        <f>1219.5+(413.5-345.5)+(0+(0-0))+0-175.4-0</f>
        <v>1112.0999999999999</v>
      </c>
      <c r="P61" s="3">
        <f>1208+(496.8-323.2)+(-0.61608+(-0.253368--0.164832))+0-175.7--0.0896069999999822</f>
        <v>1205.2849909999998</v>
      </c>
      <c r="Q61" s="3">
        <f>1197+(655.4-420.8)+(1.22094+(0.668508-0.429216))+0-175.5-0.179010000000028</f>
        <v>1257.3812219999998</v>
      </c>
      <c r="R61" s="3">
        <f>1187.9+(810.1-526.5)+(-1.817487+(-1.239453--0.805545))+0-172.1--0.26331300000001</f>
        <v>1297.411918</v>
      </c>
      <c r="S61" s="3">
        <f>1176.9+(907.8-608.3)+(0+(0-0))+0-177.1-0</f>
        <v>1299.3000000000002</v>
      </c>
      <c r="T61" s="3">
        <f>1166.4+(663.7-484.3)+(-1.784592+(-1.015461--0.740979))+0-176.4--0.26989200000001</f>
        <v>1167.6108180000001</v>
      </c>
      <c r="U61" s="3">
        <f>1156+(839.5-582.8)+(-0.58956+(-0.428145--0.297228))+0-177.7--0.090626999999982</f>
        <v>1234.37015</v>
      </c>
      <c r="V61" s="3">
        <f>1153.3+(747.4-481.4)+(0.588183+(0.381174-0.245514))+0-175.8-0.0896579999999822</f>
        <v>1244.1341850000001</v>
      </c>
      <c r="W61" s="3">
        <f>1155.5+(554.7-326.5)+(-2.946525+(-1.414485--0.832575))+0-180.3--0.459764999999974</f>
        <v>1200.3313300000002</v>
      </c>
      <c r="X61" s="3">
        <f>1148.4+(391.4-241.9)+(-3.514104+(-1.197684--0.740214))+0-181.7--0.556002000000021</f>
        <v>1112.7844280000002</v>
      </c>
      <c r="Y61" s="3">
        <f>1158.3+(410.7-294)+(-1.772199+(-0.628371--0.44982))+0-181.7--0.27800100000001</f>
        <v>1091.6272509999999</v>
      </c>
      <c r="Z61" s="3">
        <f>1185.5+(687.8-428.7)+(0.604605+(0.350778-0.218637))+0-184.7-0.0941969999999813</f>
        <v>1260.542549</v>
      </c>
      <c r="AA61" s="3">
        <f>1198.6+(790.3-506.7)+(0+(0-0))+0-180-0</f>
        <v>1302.1999999999998</v>
      </c>
      <c r="AB61" s="3">
        <f>1206+(852.4-570.6)+(0+(0-0))+0-185.6-0</f>
        <v>1302.2</v>
      </c>
      <c r="AC61" s="3">
        <f>1214+(821.7-575.9)+(-1.85742+(-1.257201--0.881127))+0-187.1--0.286263000000011</f>
        <v>1270.7527690000002</v>
      </c>
      <c r="AD61">
        <v>1303.2999999999997</v>
      </c>
      <c r="AE61" s="3">
        <f>1192+(806.1-512.4)+(0+(0-0))+0-173.4-0</f>
        <v>1312.3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1217+(795.9-599.2)+(-0.62067+(-0.405909--0.305592))+0-186.9--0.095318999999981</f>
        <v>1226.1743319999998</v>
      </c>
      <c r="G62" s="3">
        <f>1225+(713.8-571.4)+(-1.2495+(-0.728076--0.582828))+0-185.2--0.18890400000003</f>
        <v>1180.9941560000002</v>
      </c>
      <c r="H62" s="3">
        <f>1231.6+(651.3-553.7)+(-1.884348+(-0.996489--0.847161))+0-184.1--0.281673000000011</f>
        <v>1143.3479969999999</v>
      </c>
      <c r="I62" s="3">
        <f>1237.5+(577.2-503.8)+(-1.26225+(-0.588744--0.513876))+0-182.8--0.186456000000029</f>
        <v>1126.9493380000004</v>
      </c>
      <c r="J62" s="3">
        <f>1243.4+(496.3-451.1)+(-1.902402+(-0.759339--0.690183))+0-175.5--0.26851500000001</f>
        <v>1111.3969570000002</v>
      </c>
      <c r="K62" s="3">
        <f>1246.8+(387.2-391.5)+(-3.17934+(-0.98736--0.998325))+0-173.2--0.441659999999975</f>
        <v>1066.5732849999999</v>
      </c>
      <c r="L62" s="3">
        <f>1249.2+(307-358.4)+(-0.637092+(-0.15657--0.182784))+0-173.4--0.0884339999999824</f>
        <v>1023.8775560000003</v>
      </c>
      <c r="M62" s="3">
        <f>1234.1+(339.2-333.5)+(-0.629391+(-0.172992--0.170085))+0-182.1--0.0928709999999815</f>
        <v>1057.1605730000001</v>
      </c>
      <c r="N62" s="3">
        <f>1215.9+(422-317.3)+(-0.620109+(-0.21522--0.161823))+0-179.8--0.0916979999999818</f>
        <v>1140.218192</v>
      </c>
      <c r="O62" s="3">
        <f>1193.9+(520-321.7)+(0+(0-0))+0-175.2-0</f>
        <v>1217</v>
      </c>
      <c r="P62" s="3">
        <f>1179.3+(524.5-246.7)+(-0.601443+(-0.267495--0.125817))+0-177.9--0.0907289999999819</f>
        <v>1278.5476079999999</v>
      </c>
      <c r="Q62" s="3">
        <f>1170.3+(640.8-272.5)+(0+(0-0))+0-179-0</f>
        <v>1359.6</v>
      </c>
      <c r="R62" s="3">
        <f>1175.8+(824.1-435)+(0.599658+(0.420291-0.22185))+0-178-0.0907799999999819</f>
        <v>1387.6073190000002</v>
      </c>
      <c r="S62" s="3">
        <f>1178.6+(966.5-570.5)+(-1.202172+(-0.98583--0.58191))+0-179.3--0.182886000000029</f>
        <v>1393.876794</v>
      </c>
      <c r="T62" s="3">
        <f>1183.8+(1025-643.6)+(0.603738+(0.52275-0.328236))+0-184.3-0.0939929999999813</f>
        <v>1381.604259</v>
      </c>
      <c r="U62" s="3">
        <f>1186.2+(994-628.8)+(-0.604962+(-0.50694--0.320688))+0-173.8--0.0886379999999824</f>
        <v>1376.897424</v>
      </c>
      <c r="V62" s="3">
        <f>1181+(861.2-502.8)+(-2.40924+(-1.756848--1.025712))+0-174--0.354959999999992</f>
        <v>1362.6145839999999</v>
      </c>
      <c r="W62" s="3">
        <f>1169.6+(518.5-242)+(-3.578976+(-1.58661--0.74052))+0-172.6--0.52815600000002</f>
        <v>1269.6030900000001</v>
      </c>
      <c r="X62" s="3">
        <f>1141.2+(401.2-196.7)+(-1.746036+(-0.613836--0.300951))+0-170--0.26010000000001</f>
        <v>1173.901179</v>
      </c>
      <c r="Y62" s="3">
        <f>1144+(457.5-273.2)+(-0.58344+(-0.233325--0.139332))+0-166--0.0846599999999832</f>
        <v>1161.7072269999999</v>
      </c>
      <c r="Z62" s="3">
        <f>1176.7+(562.4-258)+(-0.600117+(-0.286824--0.13158))+0-174.6--0.0890459999999823</f>
        <v>1305.8336850000001</v>
      </c>
      <c r="AA62" s="3">
        <f>1178.2+(653.1-322.9)+(-1.802646+(-0.999243--0.494037))+0-174.6--0.26713800000001</f>
        <v>1331.7592860000002</v>
      </c>
      <c r="AB62" s="3">
        <f>1189.3+(699.7-391)+(-1.819629+(-1.070541--0.59823))+0-177.6--0.27172800000001</f>
        <v>1318.379788</v>
      </c>
      <c r="AC62" s="3">
        <f>1195.4+(698.6-427.1)+(-2.438616+(-1.425144--0.871284))+0-181.8--0.370871999999992</f>
        <v>1282.4783960000002</v>
      </c>
      <c r="AD62">
        <v>1335</v>
      </c>
      <c r="AE62" s="3">
        <f>1183+(652-318)+(0+(0-0))+0-173-0</f>
        <v>1344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1204.1+(587.4-365.1)+(-2.456364+(-1.198296--0.744804))+0-182.8--0.372911999999992</f>
        <v>1241.063056</v>
      </c>
      <c r="G63" s="3">
        <f>1211.3+(563-385.3)+(-3.088815+(-1.43565--0.982515))+0-180.3--0.459764999999974</f>
        <v>1205.6178150000001</v>
      </c>
      <c r="H63" s="3">
        <f>1218.3+(485.2-357)+(-1.242666+(-0.494904--0.36414))+0-181.1--0.184722000000029</f>
        <v>1164.211292</v>
      </c>
      <c r="I63" s="3">
        <f>1222.4+(451.9-354.4)+(-2.493696+(-0.921876--0.722976))+0-179.8--0.366791999999992</f>
        <v>1137.7741960000001</v>
      </c>
      <c r="J63" s="3">
        <f>1224.3+(397-328.7)+(-4.370751+(-1.41729--1.173459))+0-179--0.639030000000003</f>
        <v>1109.624448</v>
      </c>
      <c r="K63" s="3">
        <f>1230.8+(365.5-339.2)+(-4.393956+(-1.304835--1.210944))+0-175.8--0.627606000000003</f>
        <v>1077.4397589999999</v>
      </c>
      <c r="L63" s="3">
        <f>1224.8+(363.8-379.9)+(-1.873944+(-0.556614--0.581247))+0-176.1--0.26943300000001</f>
        <v>1031.0201220000001</v>
      </c>
      <c r="M63" s="3">
        <f>1225.2+(453.2-426)+(1.249704+(0.462264-0.43452))+0-174-0.177480000000028</f>
        <v>1079.4999680000001</v>
      </c>
      <c r="N63" s="3">
        <f>1208.7+(515.6-397.8)+(0.616437+(0.262956-0.202878))+0-170.9-0.0871589999999827</f>
        <v>1156.1893560000001</v>
      </c>
      <c r="O63" s="3">
        <f>1186.3+(610.5-403.3)+(-0.605013+(-0.311355--0.205683))+0-175.5--0.0895049999999822</f>
        <v>1217.3788199999999</v>
      </c>
      <c r="P63" s="3">
        <f>1174+(635.5-333.8)+(-0.59874+(-0.324105--0.170238))+0-179.3--0.0914429999999818</f>
        <v>1295.7388360000002</v>
      </c>
      <c r="Q63" s="3">
        <f>1181.3+(691.1-320.5)+(-1.807389+(-1.057383--0.490365))+0-178.2--0.27264600000001</f>
        <v>1371.5982390000001</v>
      </c>
      <c r="R63" s="3">
        <f>1190.8+(817.8-426.6)+(0+(0-0))+0-173.8-0</f>
        <v>1408.2</v>
      </c>
      <c r="S63" s="3">
        <f>1172.8+(908.8-512.2)+(-0.598128+(-0.463488--0.261222))+0-175.5--0.0895049999999822</f>
        <v>1393.1891109999997</v>
      </c>
      <c r="T63" s="3">
        <f>1166.8+(936.1-551.3)+(0+(0-0))+0-172.3-0</f>
        <v>1379.3</v>
      </c>
      <c r="U63" s="3">
        <f>1153+(925.6-551.9)+(-2.35212+(-1.888224--1.125876))+0-173.9--0.354755999999992</f>
        <v>1350.0402879999999</v>
      </c>
      <c r="V63" s="3">
        <f>1128+(837-444.7)+(-1.72584+(-1.28061--0.680391))+0-170.4--0.26071200000001</f>
        <v>1347.8346529999999</v>
      </c>
      <c r="W63" s="3">
        <f>1140.1+(555.8-230.1)+(-1.744353+(-0.850374--0.352053))+0-169--0.25857000000001</f>
        <v>1294.8158959999996</v>
      </c>
      <c r="X63" s="3">
        <f>1161.3+(451.7-248.1)+(-5.330367+(-2.073303--1.138779))+0-171.1--0.78534900000003</f>
        <v>1188.3204579999999</v>
      </c>
      <c r="Y63" s="3">
        <f>1172+(472.5-307.1)+(-2.39088+(-0.9639--0.626484))+0-171--0.348839999999993</f>
        <v>1164.020544</v>
      </c>
      <c r="Z63" s="3">
        <f>1182.2+(526-237.4)+(-1.808766+(-0.80478--0.363222))+0-170.7--0.26117100000001</f>
        <v>1298.1108470000001</v>
      </c>
      <c r="AA63" s="3">
        <f>1206.1+(594.7-292.6)+(-3.690666+(-1.819782--0.895356))+0-171.1--0.52356600000002</f>
        <v>1333.008474</v>
      </c>
      <c r="AB63" s="3">
        <f>1213.4+(594.3-320.1)+(-2.475336+(-1.212372--0.653004))+0-168.6--0.343943999999993</f>
        <v>1316.30924</v>
      </c>
      <c r="AC63" s="3">
        <f>1207.1+(618.6-368.9)+(-0.615621+(-0.315486--0.188139))+0-172.7--0.0880769999999825</f>
        <v>1283.4451089999998</v>
      </c>
      <c r="AD63">
        <v>1312.3</v>
      </c>
      <c r="AE63" s="3">
        <f>1193+(593.1-293.7)+(0+(0-0))+0-171.1-0</f>
        <v>1321.3000000000002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1217.4+(591.1-382.5)+(-3.10437+(-1.507305--0.975375))+0-167.8--0.427889999999976</f>
        <v>1254.9915900000001</v>
      </c>
      <c r="G64" s="3">
        <f>1223.9+(487.2-339.7)+(-0.624189+(-0.248472--0.173247))+0-164.5--0.0838949999999833</f>
        <v>1206.2844810000001</v>
      </c>
      <c r="H64" s="3">
        <f>1235.7+(442.3-347.1)+(1.260414+(0.451146-0.354042))+0-166-0.169320000000026</f>
        <v>1166.0881980000001</v>
      </c>
      <c r="I64" s="3">
        <f>1248.8+(416.6-357.3)+(-1.910664+(-0.637398--0.546669))+0-171.6--0.26254800000001</f>
        <v>1134.7611549999999</v>
      </c>
      <c r="J64" s="3">
        <f>1248.5+(399.4-362)+(-2.54694+(-0.814776--0.73848))+0-170.4--0.347615999999993</f>
        <v>1113.2243800000001</v>
      </c>
      <c r="K64" s="3">
        <f>1249.8+(395-411.9)+(-5.099184+(-1.6116--1.680552))+0-168.7--0.688295999999985</f>
        <v>1059.858064</v>
      </c>
      <c r="L64" s="3">
        <f>1252.9+(493-555.3)+(-4.472853+(-1.76001--1.982421))+0-165.5--0.590835000000002</f>
        <v>1021.4403930000001</v>
      </c>
      <c r="M64" s="3">
        <f>1249.8+(563.5-576)+(0+(0-0))+0-167.2-0</f>
        <v>1070.0999999999999</v>
      </c>
      <c r="N64" s="3">
        <f>1270.4+(602.1-539.1)+(-2.591616+(-1.228284--1.099764))+0-172.2--0.351287999999992</f>
        <v>1158.8311520000002</v>
      </c>
      <c r="O64" s="3">
        <f>1236.7+(619.7-490.1)+(1.261434+(0.632094-0.499902))+0-174.6-0.178092000000028</f>
        <v>1192.9155340000002</v>
      </c>
      <c r="P64" s="3">
        <f>1236.3+(618.5-419.3)+(0.630513+(0.315435-0.213843))+0-184.9-0.0942989999999812</f>
        <v>1251.2378059999999</v>
      </c>
      <c r="Q64" s="3">
        <f>1210.7+(659-307)+(-0.617457+(-0.33609--0.15657))+0-195--0.0994499999999802</f>
        <v>1367.002473</v>
      </c>
      <c r="R64" s="3">
        <f>1198+(683.8-363.9)+(0+(0-0))+0-188.1-0</f>
        <v>1329.8000000000002</v>
      </c>
      <c r="S64" s="3">
        <f>1216.2+(755.1-415.6)+(-1.860786+(-1.155303--0.635868))+0-189.2--0.289476000000011</f>
        <v>1364.409255</v>
      </c>
      <c r="T64" s="3">
        <f>1209+(775.4-431)+(-0.61659+(-0.395454--0.21981))+0-182.7--0.0931769999999815</f>
        <v>1370.000943</v>
      </c>
      <c r="U64" s="3">
        <f>1203.9+(733.8-405)+(0.613989+(0.374238-0.20655))+0-178.7-0.0911369999999819</f>
        <v>1354.6905400000001</v>
      </c>
      <c r="V64" s="3">
        <f>1205.4+(604-298.2)+(-1.844262+(-0.92412--0.456246))+0-180.9--0.27677700000001</f>
        <v>1328.264641</v>
      </c>
      <c r="W64" s="3">
        <f>1179.7+(467.9-220.9)+(-2.406588+(-0.954516--0.450636))+0-185.5--0.378419999999992</f>
        <v>1238.667952</v>
      </c>
      <c r="X64" s="3">
        <f>1121.8+(554.3-349.7)+(-3.432708+(-1.696158--1.070082))+0-186.2--0.569772000000021</f>
        <v>1136.7109879999998</v>
      </c>
      <c r="Y64" s="3">
        <f>1131.5+(549.4-368.9)+(0+(0-0))+0-187.6-0</f>
        <v>1124.4000000000001</v>
      </c>
      <c r="Z64" s="3">
        <f>1187.2+(549.2-298.8)+(-1.210944+(-0.560184--0.304776))+0-188.9--0.19267800000003</f>
        <v>1247.4263260000002</v>
      </c>
      <c r="AA64" s="3">
        <f>1201.1+(545.2-278.5)+(-1.225122+(-0.556104--0.28407))+0-190.7--0.19451400000003</f>
        <v>1275.797358</v>
      </c>
      <c r="AB64" s="3">
        <f>1218.9+(533-297.4)+(-1.864917+(-0.81549--0.455022))+0-188--0.287640000000011</f>
        <v>1264.5622550000001</v>
      </c>
      <c r="AC64" s="3">
        <f>1222.7+(521.5-323)+(-3.117885+(-1.329825--0.82365))+0-188--0.479399999999973</f>
        <v>1230.0553399999999</v>
      </c>
      <c r="AD64">
        <v>1266.5</v>
      </c>
      <c r="AE64" s="3">
        <f>1193+(552.2-283.2)+(0+(0-0))+0-185.5-0</f>
        <v>1276.5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1215.2+(502.2-323.4)+(-3.09876+(-1.28061--0.82467))+0-190.5--0.485774999999972</f>
        <v>1200.431075</v>
      </c>
      <c r="G65" s="3">
        <f>1233+(450.9-330.7)+(-3.14415+(-1.149795--0.843285))+0-188.8--0.481439999999973</f>
        <v>1161.4307800000001</v>
      </c>
      <c r="H65" s="3">
        <f>1231.6+(422.6-333.4)+(-1.256232+(-0.431052--0.340068))+0-187.3--0.19104600000003</f>
        <v>1132.3438300000003</v>
      </c>
      <c r="I65" s="3">
        <f>1297.3+(408.8-407.1)+(-2.646492+(-0.833952--0.830484))+0-187.5--0.382499999999992</f>
        <v>1109.23254</v>
      </c>
      <c r="J65" s="3">
        <f>1325.9+(374.4-411.5)+(-3.381045+(-0.95472--1.049325))+0-186.8--0.476339999999973</f>
        <v>1099.1899000000001</v>
      </c>
      <c r="K65" s="3">
        <f>1331.4+(333.5-431.9)+(-2.037042+(-0.510255--0.660807))+0-182.4--0.279072000000011</f>
        <v>1048.9925819999999</v>
      </c>
      <c r="L65" s="3">
        <f>1336.3+(336.8-487.8)+(-2.044539+(-0.515304--0.746334))+0-182.4--0.279072000000011</f>
        <v>1001.365563</v>
      </c>
      <c r="M65" s="3">
        <f>1329.9+(315.2-423.2)+(2.034747+(0.482256-0.647496))+0-186.3-0.285039000000011</f>
        <v>1037.1844680000002</v>
      </c>
      <c r="N65" s="3">
        <f>1318.9+(459.3-491.2)+(-2.690556+(-0.936972--1.002048))+0-182.9--0.373115999999992</f>
        <v>1101.847636</v>
      </c>
      <c r="O65" s="3">
        <f>1309.1+(497.4-468.2)+(-2.002923+(-0.761022--0.716346))+0-175.5--0.26851500000001</f>
        <v>1161.0209159999999</v>
      </c>
      <c r="P65" s="3">
        <f>1297.6+(526.3-431.5)+(-0.661776+(-0.268413--0.220065))+0-169.2--0.0862919999999828</f>
        <v>1222.5761679999998</v>
      </c>
      <c r="Q65" s="3">
        <f>1287.7+(545.4-378.1)+(0+(0-0))+0-166.7-0</f>
        <v>1288.3</v>
      </c>
      <c r="R65" s="3">
        <f>1305+(544-334.1)+(-1.99665+(-0.83232--0.511173))+0-169.2--0.25887600000001</f>
        <v>1343.6410790000002</v>
      </c>
      <c r="S65" s="3">
        <f>1291.9+(645.8-404.6)+(-1.317738+(-0.658716--0.412692))+0-163.2--0.166464000000026</f>
        <v>1368.502702</v>
      </c>
      <c r="T65" s="3">
        <f>1285.7+(695.1-462.1)+(-0.655707+(-0.354501--0.235671))+0-149--0.0759899999999849</f>
        <v>1369.0014530000001</v>
      </c>
      <c r="U65" s="3">
        <f>1284.5+(641.6-420.4)+(-3.275475+(-1.63608--1.07202))+0-145.7--0.371534999999979</f>
        <v>1356.5319999999999</v>
      </c>
      <c r="V65" s="3">
        <f>1284+(515.7-312.5)+(-4.58388+(-1.841049--1.115625))+0-148.9--0.531573000000002</f>
        <v>1333.5222689999998</v>
      </c>
      <c r="W65" s="3">
        <f>1276+(423.6-297.8)+(-4.55532+(-1.512252--1.063146))+0-147.1--0.525147000000002</f>
        <v>1250.2207210000001</v>
      </c>
      <c r="X65" s="3">
        <f>1262.1+(535.5-487.5)+(-5.149368+(-2.18484--1.989))+0-149.8--0.611183999999987</f>
        <v>1155.5659760000001</v>
      </c>
      <c r="Y65" s="3">
        <f>1263.1+(525.3-510.9)+(-3.220905+(-1.339515--1.302795))+0-150.9--0.384794999999978</f>
        <v>1123.7271699999999</v>
      </c>
      <c r="Z65" s="3">
        <f>1269.5+(466.4-329.8)+(-0.647445+(-0.237864--0.168198))+0-157.8--0.080477999999984</f>
        <v>1247.6633670000001</v>
      </c>
      <c r="AA65" s="3">
        <f>1280+(473.8-311.6)+(-3.264+(-1.20819--0.79458))+0-163.2--0.416159999999976</f>
        <v>1275.73855</v>
      </c>
      <c r="AB65" s="3">
        <f>1283+(489-335.1)+(-2.61732+(-0.99756--0.683604))+0-164.1--0.334763999999993</f>
        <v>1270.2034880000001</v>
      </c>
      <c r="AC65" s="3">
        <f>1294+(495.5-355.9)+(-2.63976+(-1.01082--0.726036))+0-179.5--0.366179999999992</f>
        <v>1251.5416359999999</v>
      </c>
      <c r="AD65">
        <v>1268.4000000000001</v>
      </c>
      <c r="AE65" s="3">
        <f>1274+(476.4-314.2)+(0+(0-0))+0-157.8-0</f>
        <v>1278.4000000000001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1295.4+(472.6-393.6)+(0+(0-0))+0-174.9-0</f>
        <v>1199.5</v>
      </c>
      <c r="G66" s="3">
        <f>1303.4+(447.3-421.9)+(-1.994202+(-0.684369--0.645507))+0-172.4--0.26377200000001</f>
        <v>1154.6307080000001</v>
      </c>
      <c r="H66" s="3">
        <f>1301.1+(473.2-455.6)+(-1.327122+(-0.482664--0.464712))+0-177.5--0.181050000000028</f>
        <v>1140.0359759999999</v>
      </c>
      <c r="I66" s="3">
        <f>1308.8+(472.2-482.5)+(-0.667488+(-0.240822--0.246075))+0-177.6--0.090575999999982</f>
        <v>1120.3283410000001</v>
      </c>
      <c r="J66" s="3">
        <f>1329.2+(423.6-465.9)+(-3.38946+(-1.08018--1.188045))+0-177.6--0.452879999999974</f>
        <v>1106.4712850000003</v>
      </c>
      <c r="K66" s="3">
        <f>1333.6+(367.6-457.4)+(-3.40068+(-0.93738--1.16637))+0-177.5--0.452624999999974</f>
        <v>1063.580935</v>
      </c>
      <c r="L66" s="3">
        <f>1293.3+(320.5-415.6)+(-0.659583+(-0.163455--0.211956))+0-174.7--0.0890969999999823</f>
        <v>1022.9780149999999</v>
      </c>
      <c r="M66" s="3">
        <f>1274.6+(369.3-420.9)+(0.650046+(0.188343-0.214659))+0-175.9-0.0897089999999822</f>
        <v>1047.6340209999998</v>
      </c>
      <c r="N66" s="3">
        <f>1266+(500.8-497.4)+(0.64566+(0.255408-0.253674))+0-172.4-0.0879239999999825</f>
        <v>1097.5594700000001</v>
      </c>
      <c r="O66" s="3">
        <f>1260.9+(554.4-493.3)+(-0.643059+(-0.282744--0.251583))+0-172.4--0.0879239999999825</f>
        <v>1149.0137039999997</v>
      </c>
      <c r="P66" s="3">
        <f>1252.3+(524.4-388.9)+(0.638673+(0.267444-0.198339))+0-173.5-0.0884849999999824</f>
        <v>1214.9192929999999</v>
      </c>
      <c r="Q66" s="3">
        <f>1246+(528.3-317.7)+(-0.63546+(-0.269433--0.162027))+0-172.8--0.0881279999999825</f>
        <v>1283.1452619999998</v>
      </c>
      <c r="R66" s="3">
        <f>1248.1+(660.3-389.6)+(-0.636531+(-0.336753--0.198696))+0-175.1--0.0893009999999822</f>
        <v>1343.0147129999998</v>
      </c>
      <c r="S66" s="3">
        <f>1288.7+(743-494.5)+(-1.314474+(-0.75786--0.50439))+0-176.1--0.179622000000028</f>
        <v>1359.7116780000003</v>
      </c>
      <c r="T66" s="3">
        <f>1282.5+(761.5-514.7)+(0+(0-0))+0-178.1-0</f>
        <v>1351.2</v>
      </c>
      <c r="U66" s="3">
        <f>1282.3+(707.8-469.6)+(-3.923838+(-2.165868--1.436976))+0-178--0.544680000000021</f>
        <v>1338.39195</v>
      </c>
      <c r="V66" s="3">
        <f>1279.2+(535.5-358.7)+(-3.26196+(-1.365525--0.914685))+0-183--0.466649999999973</f>
        <v>1269.7538500000001</v>
      </c>
      <c r="W66" s="3">
        <f>1304.3+(374.4-323.3)+(-3.991158+(-1.145664--0.989298))+0-184.1--0.563346000000021</f>
        <v>1167.7158219999999</v>
      </c>
      <c r="X66" s="3">
        <f>1321.6+(433.4-486.2)+(-3.37008+(-1.10517--1.23981))+0-177.8--0.453389999999974</f>
        <v>1088.21795</v>
      </c>
      <c r="Y66" s="3">
        <f>1311.1+(468.4-516.3)+(-0.668661+(-0.238884--0.263313))+0-173.3--0.0883829999999824</f>
        <v>1089.3441509999998</v>
      </c>
      <c r="Z66" s="3">
        <f>1312.5+(438.5-362.7)+(-1.33875+(-0.44727--0.369954))+0-164.4--0.167688000000026</f>
        <v>1222.6516219999999</v>
      </c>
      <c r="AA66" s="3">
        <f>1320.8+(425-328.9)+(-2.694432+(-0.867--0.670956))+0-164.8--0.336191999999993</f>
        <v>1249.5457160000001</v>
      </c>
      <c r="AB66" s="3">
        <f>1321.8+(457.2-372.1)+(-3.37059+(-1.16586--0.948855))+0-164.2--0.418709999999976</f>
        <v>1239.5311149999998</v>
      </c>
      <c r="AC66" s="3">
        <f>1322.5+(514.9-454.4)+(-2.023425+(-0.787797--0.695232))+0-158.4--0.242352000000009</f>
        <v>1222.7263619999999</v>
      </c>
      <c r="AD66">
        <v>1230.0999999999999</v>
      </c>
      <c r="AE66" s="3">
        <f>1304+(427.6-331.3)+(0+(0-0))+0-157.2-0</f>
        <v>1243.0999999999999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1305.5+(604.3-558.3)+(-3.329025+(-1.540965--1.423665))+0-160--0.407999999999977</f>
        <v>1188.461675</v>
      </c>
      <c r="G67" s="3">
        <f>1301.9+(563.6-551.2)+(-2.655876+(-1.149744--1.124448))+0-163.7--0.333947999999993</f>
        <v>1148.252776</v>
      </c>
      <c r="H67" s="3">
        <f>1325.8+(541.2-591.1)+(-2.028474+(-0.828036--0.904383))+0-155.6--0.238068000000009</f>
        <v>1118.5859410000003</v>
      </c>
      <c r="I67" s="3">
        <f>1336.8+(494.2-569.5)+(-2.727072+(-1.008168--1.16178))+0-162--0.330479999999993</f>
        <v>1097.25702</v>
      </c>
      <c r="J67" s="3">
        <f>1342.7+(450.3-549.2)+(0.684777+(0.229653-0.280092))+0-163.9-0.0835889999999834</f>
        <v>1080.4507489999999</v>
      </c>
      <c r="K67" s="3">
        <f>1352.9+(368.9-522.6)+(-3.449895+(-0.940695--1.33263))+0-162.9--0.415394999999976</f>
        <v>1033.6574349999999</v>
      </c>
      <c r="L67" s="3">
        <f>1316.5+(365.5-521.7)+(-2.014245+(-0.559215--0.798201))+0-164.3--0.25137900000001</f>
        <v>994.47612000000004</v>
      </c>
      <c r="M67" s="3">
        <f>1295.8+(412.5-512.9)+(3.30429+(1.051875-1.307895))+0-169.3-0.431714999999975</f>
        <v>1028.7165550000002</v>
      </c>
      <c r="N67" s="3">
        <f>1279+(454.4-473.6)+(-0.65229+(-0.231744--0.241536))+0-181--0.0923099999999816</f>
        <v>1078.249812</v>
      </c>
      <c r="O67" s="3">
        <f>1261.3+(492.9-435.6)+(1.286526+(0.502758-0.444312))+0-181.9-0.185538000000029</f>
        <v>1137.859434</v>
      </c>
      <c r="P67" s="3">
        <f>1251.1+(516.3-384.5)+(-0.638061+(-0.263313--0.196095))+0-183.7--0.0936869999999814</f>
        <v>1198.5884079999998</v>
      </c>
      <c r="Q67" s="3">
        <f>1233.8+(615.8-378)+(1.258476+(0.628116-0.38556))+0-181.8-0.185436000000029</f>
        <v>1291.1155959999999</v>
      </c>
      <c r="R67" s="3">
        <f>1264.7+(767.2-527.5)+(-1.289994+(-0.782544--0.53805))+0-180.7--0.184314000000029</f>
        <v>1322.3498260000001</v>
      </c>
      <c r="S67" s="3">
        <f>1255.7+(849.6-599.4)+(-3.202035+(-2.16648--1.52847))+0-170.4--0.434519999999975</f>
        <v>1332.0944750000001</v>
      </c>
      <c r="T67" s="3">
        <f>1267.8+(865.2-629.5)+(-3.23289+(-2.20626--1.605225))+0-171.9--0.438344999999975</f>
        <v>1328.20442</v>
      </c>
      <c r="U67" s="3">
        <f>1274.2+(762.9-605.3)+(-1.949526+(-1.167237--0.926109))+0-169.1--0.25872300000001</f>
        <v>1260.7680690000002</v>
      </c>
      <c r="V67" s="3">
        <f>1273.4+(665.4-538)+(-1.298868+(-0.678708--0.54876))+0-173.1--0.176562000000028</f>
        <v>1226.4477460000003</v>
      </c>
      <c r="W67" s="3">
        <f>1263.8+(385.8-411.2)+(-1.289076+(-0.393516--0.419424))+0-176--0.179520000000028</f>
        <v>1061.3163520000003</v>
      </c>
      <c r="X67" s="3">
        <f>1290.3+(357.7-490.9)+(-3.948318+(-1.094562--1.502154))+0-171.2--0.52387200000002</f>
        <v>982.8831459999999</v>
      </c>
      <c r="Y67" s="3">
        <f>1307.7+(412.3-552.4)+(-1.333854+(-0.420546--0.563448))+0-164--0.167280000000026</f>
        <v>1002.5763280000002</v>
      </c>
      <c r="Z67" s="3">
        <f>1324.7+(397.8-428.7)+(-1.351194+(-0.405756--0.437274))+0-166.9--0.170238000000027</f>
        <v>1125.7505619999999</v>
      </c>
      <c r="AA67" s="3">
        <f>1327.1+(442.7-431)+(-2.707284+(-0.903108--0.87924))+0-165.2--0.337007999999993</f>
        <v>1171.2058559999998</v>
      </c>
      <c r="AB67" s="3">
        <f>1316.9+(562.7-551.2)+(-3.358095+(-1.434885--1.40556))+0-153.7--0.391934999999978</f>
        <v>1171.7045149999999</v>
      </c>
      <c r="AC67" s="3">
        <f>1318.5+(615.3-619.6)+(0+(0-0))+0-150.1-0</f>
        <v>1164.0999999999999</v>
      </c>
      <c r="AD67">
        <v>1166.4000000000001</v>
      </c>
      <c r="AE67" s="3">
        <f>1321+(444.3-426.3)+(0+(0-0))+0-159.6-0</f>
        <v>1179.4000000000001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1321+(642.8-650.5)+(-2.69484+(-1.311312--1.32702))+0-152.3--0.310691999999993</f>
        <v>1158.63156</v>
      </c>
      <c r="G68" s="3">
        <f>1318.6+(601-636)+(-1.344972+(-0.61302--0.64872))+0-148.1--0.151062000000024</f>
        <v>1134.3417899999999</v>
      </c>
      <c r="H68" s="3">
        <f>1322.8+(542.9-631.6)+(-2.023884+(-0.830637--0.966348))+0-142.1--0.217413000000008</f>
        <v>1090.32924</v>
      </c>
      <c r="I68" s="3">
        <f>1322.4+(473.7-579.4)+(0+(0-0))+0-148.4-0</f>
        <v>1068.3</v>
      </c>
      <c r="J68" s="3">
        <f>1331.7+(398.8-523.4)+(0.679167+(0.203388-0.266934))+0-151.5-0.0772649999999846</f>
        <v>1056.1383560000002</v>
      </c>
      <c r="K68" s="3">
        <f>1338+(343-511.2)+(-2.72952+(-0.69972--1.042848))+0-149.6--0.305183999999993</f>
        <v>1018.118792</v>
      </c>
      <c r="L68" s="3">
        <f>1284+(307.7-466.1)+(-1.30968+(-0.313854--0.475422))+0-156--0.159120000000025</f>
        <v>968.61100799999986</v>
      </c>
      <c r="M68" s="3">
        <f>1102.9+(380.8-332.8)+(-1.124958+(-0.388416--0.339456))+0-161.4--0.164628000000026</f>
        <v>988.49071000000015</v>
      </c>
      <c r="N68" s="3">
        <f>1094.4+(384.4-290.7)+(-1.674432+(-0.588132--0.444771))+0-164.3--0.25137900000001</f>
        <v>1022.2335860000003</v>
      </c>
      <c r="O68" s="3">
        <f>1088+(406.4-254)+(-1.10976+(-0.414528--0.25908))+0-160.6--0.163812000000026</f>
        <v>1078.6986040000002</v>
      </c>
      <c r="P68" s="3">
        <f>1075.9+(478.4-244.2)+(-1.646127+(-0.731952--0.373626))+0-159.7--0.244341000000009</f>
        <v>1148.6398880000002</v>
      </c>
      <c r="Q68" s="3">
        <f>1065.8+(646.3-338.3)+(-1.630674+(-0.988839--0.517599))+0-162.4--0.248472000000009</f>
        <v>1209.5465579999998</v>
      </c>
      <c r="R68" s="3">
        <f>1052.1+(759.7-411.8)+(-0.536571+(-0.387447--0.210018))+0-151.9--0.0774689999999846</f>
        <v>1247.463469</v>
      </c>
      <c r="S68" s="3">
        <f>1085.8+(806.3-495)+(-0.553758+(-0.411213--0.25245))+0-145.9--0.0744089999999852</f>
        <v>1250.561888</v>
      </c>
      <c r="T68" s="3">
        <f>1096.9+(807.2-524.9)+(-2.237676+(-1.646688--1.070796))+0-152.7--0.311507999999993</f>
        <v>1223.9979400000002</v>
      </c>
      <c r="U68" s="3">
        <f>1153.9+(759.5-549.1)+(-0.588489+(-0.387345--0.280041))+0-159.1--0.0811409999999839</f>
        <v>1204.5853480000001</v>
      </c>
      <c r="V68" s="3">
        <f>1147.4+(630.5-464.1)+(-0.585174+(-0.321555--0.236691))+0-165.4--0.0843539999999832</f>
        <v>1147.8143160000002</v>
      </c>
      <c r="W68" s="3">
        <f>1054.5+(434.9-328)+(-2.15118+(-0.887196--0.66912))+0-166.8--0.340271999999993</f>
        <v>992.57101600000021</v>
      </c>
      <c r="X68" s="3">
        <f>1056.8+(450.1-413.4)+(-2.69484+(-1.147755--1.05417))+0-164.6--0.419729999999976</f>
        <v>926.53130499999997</v>
      </c>
      <c r="Y68" s="3">
        <f>1059.8+(485.8-426)+(-1.621494+(-0.743274--0.65178))+0-169.5--0.25933500000001</f>
        <v>948.64634699999988</v>
      </c>
      <c r="Z68" s="3">
        <f>1116.5+(490.2-336.4)+(-1.708245+(-0.750006--0.514692))+0-175.5--0.26851500000001</f>
        <v>1093.1249559999999</v>
      </c>
      <c r="AA68" s="3">
        <f>1125.2+(460.7-264.6)+(-1.721556+(-0.704871--0.404838))+0-177.9--0.27218700000001</f>
        <v>1141.6505979999999</v>
      </c>
      <c r="AB68" s="3">
        <f>1130+(513.7-287.3)+(-2.3052+(-1.047948--0.586092))+0-176.1--0.359243999999992</f>
        <v>1177.8921880000003</v>
      </c>
      <c r="AC68" s="3">
        <f>1136+(577.4-385.1)+(-1.73808+(-0.883422--0.589203))+0-177.6--0.27172800000001</f>
        <v>1148.939429</v>
      </c>
      <c r="AD68">
        <v>1151.8</v>
      </c>
      <c r="AE68" s="3">
        <f>1120+(463.8-249.4)+(0+(0-0))+0-168.6-0</f>
        <v>1165.8000000000002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1136.7+(577.4-415.3)+(-2.318868+(-1.177896--0.847212))+0-174.4--0.355775999999992</f>
        <v>1122.1062239999999</v>
      </c>
      <c r="G69" s="3">
        <f>1139.4+(535.3-414)+(-2.324376+(-1.092012--0.84456))+0-174.9--0.356795999999992</f>
        <v>1083.5849679999999</v>
      </c>
      <c r="H69" s="3">
        <f>1141.4+(445.1-354.2)+(-1.164228+(-0.454002--0.361284))+0-175.9--0.179418000000028</f>
        <v>1055.3224720000001</v>
      </c>
      <c r="I69" s="3">
        <f>1142.8+(376.3-311.1)+(-0.582828+(-0.191913--0.158661))+0-172.4--0.0879239999999825</f>
        <v>1035.0718439999998</v>
      </c>
      <c r="J69" s="3">
        <f>1156.8+(331.8-300.5)+(-1.179936+(-0.338436--0.30651))+0-170.2--0.173604000000027</f>
        <v>1016.8617419999998</v>
      </c>
      <c r="K69" s="3">
        <f>1157.3+(321.5-345.8)+(-2.951115+(-0.819825--0.88179))+0-164.1--0.418454999999976</f>
        <v>966.429305</v>
      </c>
      <c r="L69" s="3">
        <f>1156.1+(382.3-435.4)+(0+(0-0))+0-161.4-0</f>
        <v>941.6</v>
      </c>
      <c r="M69" s="3">
        <f>1114.9+(456.2-413.6)+(-1.137198+(-0.465324--0.421872))+0-167.8--0.171156000000027</f>
        <v>988.69050600000003</v>
      </c>
      <c r="N69" s="3">
        <f>1099.2+(543.4-412.1)+(-2.242368+(-1.108536--0.840684))+0-173.7--0.354347999999992</f>
        <v>1054.6441280000001</v>
      </c>
      <c r="O69" s="3">
        <f>1071.6+(601.6-384.1)+(-0.546516+(-0.306816--0.195891))+0-188.7--0.0962369999999809</f>
        <v>1099.8387959999998</v>
      </c>
      <c r="P69" s="3">
        <f>1111.9+(581.5-326.6)+(0+(0-0))+0-175.6-0</f>
        <v>1191.2000000000003</v>
      </c>
      <c r="Q69" s="3">
        <f>1084.7+(589-236.1)+(1.106394+(0.60078-0.240822))+0-182.2-0.185844000000029</f>
        <v>1256.6805079999997</v>
      </c>
      <c r="R69" s="3">
        <f>1092.5+(643.9-236)+(-0.557175+(-0.328389--0.12036))+0-179.6--0.0915959999999818</f>
        <v>1320.1263920000001</v>
      </c>
      <c r="S69" s="3">
        <f>1086.3+(788.3-345)+(0+(0-0))+0-180.8-0</f>
        <v>1348.8</v>
      </c>
      <c r="T69" s="3">
        <f>1080.5+(777-345.4)+(-0.551055+(-0.39627--0.176154))+0-172.1--0.0877709999999825</f>
        <v>1339.3165999999999</v>
      </c>
      <c r="U69" s="3">
        <f>1089.4+(714-313.9)+(-2.77797+(-1.8207--0.800445))+0-170.5--0.434774999999975</f>
        <v>1315.6365499999999</v>
      </c>
      <c r="V69" s="3">
        <f>1089+(574.7-221.5)+(-1.66617+(-0.879291--0.338895))+0-162.8--0.249084000000009</f>
        <v>1277.4425180000001</v>
      </c>
      <c r="W69" s="3">
        <f>1133.8+(435.4-257)+(-4.047666+(-1.554378--0.91749))+0-164--0.585480000000002</f>
        <v>1144.1009259999998</v>
      </c>
      <c r="X69" s="3">
        <f>1173.6+(507.7-506.9)+(-4.189752+(-1.812489--1.809633))+0-165.3--0.590121000000002</f>
        <v>1005.4975129999998</v>
      </c>
      <c r="Y69" s="3">
        <f>1203.8+(542.4-528.3)+(-0.613938+(-0.276624--0.269433))+0-163.7--0.0834869999999834</f>
        <v>1053.6623579999998</v>
      </c>
      <c r="Z69" s="3">
        <f>1115.6+(510.5-260.2)+(-1.137912+(-0.52071--0.265404))+0-172.3--0.175746000000027</f>
        <v>1192.3825280000001</v>
      </c>
      <c r="AA69" s="3">
        <f>1121.6+(483.8-226.5)+(-3.432096+(-1.480428--0.69309))+0-168.8--0.51652800000002</f>
        <v>1206.3970939999999</v>
      </c>
      <c r="AB69" s="3">
        <f>1127.8+(487.7-223.7)+(-2.300712+(-0.994908--0.456348))+0-165--0.336599999999993</f>
        <v>1224.2973280000001</v>
      </c>
      <c r="AC69" s="3">
        <f>1135+(497.9-271.8)+(-3.4731+(-1.523574--0.831708))+0-165.5--0.506430000000019</f>
        <v>1191.9414639999998</v>
      </c>
      <c r="AD69">
        <v>1193.3</v>
      </c>
      <c r="AE69" s="3">
        <f>1111+(485-226.2)+(0+(0-0))+0-162.5-0</f>
        <v>1207.3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1139.2+(456.1-272.9)+(-1.161984+(-0.465222--0.278358))+0-167.7--0.171054000000027</f>
        <v>1153.5222060000001</v>
      </c>
      <c r="G70" s="3">
        <f>1149+(395.8-265.3)+(-2.92995+(-1.00929--0.676515))+0-163.8--0.417689999999976</f>
        <v>1112.854965</v>
      </c>
      <c r="H70" s="3">
        <f>1149.2+(326.9-237.9)+(-2.344368+(-0.666876--0.485316))+0-157.1--0.320483999999993</f>
        <v>1078.8945560000002</v>
      </c>
      <c r="I70" s="3">
        <f>1157.3+(345.1-273.5)+(-1.770669+(-0.528003--0.418455))+0-155.2--0.237456000000009</f>
        <v>1072.0572390000002</v>
      </c>
      <c r="J70" s="3">
        <f>1168.7+(338-289)+(-1.788111+(-0.51714--0.44217))+0-161.6--0.247248000000009</f>
        <v>1054.4841670000001</v>
      </c>
      <c r="K70" s="3">
        <f>1158.1+(329.1-323.6)+(-2.362524+(-0.671364--0.660144))+0-167.6--0.341903999999993</f>
        <v>993.9681599999999</v>
      </c>
      <c r="L70" s="3">
        <f>1138.4+(366.3-385.4)+(-1.741752+(-0.560439--0.589662))+0-163.5--0.250155000000009</f>
        <v>954.33762600000034</v>
      </c>
      <c r="M70" s="3">
        <f>1125+(412-365.7)+(-0.57375+(-0.21012--0.186507))+0-168.3--0.0858329999999829</f>
        <v>1002.4884699999999</v>
      </c>
      <c r="N70" s="3">
        <f>1109.1+(460.4-319.6)+(0+(0-0))+0-172.4-0</f>
        <v>1077.4999999999998</v>
      </c>
      <c r="O70" s="3">
        <f>1100.2+(527.2-317.5)+(0.561102+(0.268872-0.161925))+0-167-0.0851699999999831</f>
        <v>1143.4828790000001</v>
      </c>
      <c r="P70" s="3">
        <f>1113.6+(595.9-349.3)+(0.567936+(0.303909-0.178143))+0-159.8-0.0814979999999838</f>
        <v>1201.0122039999999</v>
      </c>
      <c r="Q70" s="3">
        <f>1119.3+(594.6-284.3)+(0.570843+(0.303246-0.144993))+0-168.5-0.0859349999999829</f>
        <v>1261.7431609999999</v>
      </c>
      <c r="R70" s="3">
        <f>1058.2+(658.6-225.3)+(0+(0-0))+0-166.3-0</f>
        <v>1325.2</v>
      </c>
      <c r="S70" s="3">
        <f>996.7+(690.1-227.3)+(0+(0-0))+0-167.3-0</f>
        <v>1292.2</v>
      </c>
      <c r="T70" s="3">
        <f>991+(730.3-238.5)+(-1.51623+(-1.117359--0.364905))+0-168.3--0.25749900000001</f>
        <v>1312.4888150000002</v>
      </c>
      <c r="U70" s="3">
        <f>1016.5+(709.3-255.6)+(1.03683+(0.723486-0.260712))+0-160-0.163200000000026</f>
        <v>1311.5364039999999</v>
      </c>
      <c r="V70" s="3">
        <f>1074.1+(575.1-182.3)+(-1.095582+(-0.586602--0.185946))+0-164.8--0.168096000000026</f>
        <v>1300.7718580000001</v>
      </c>
      <c r="W70" s="3">
        <f>1147.4+(492.5-228.2)+(-4.096218+(-1.758225--0.814674))+0-168.2--0.600474000000002</f>
        <v>1239.0607050000001</v>
      </c>
      <c r="X70" s="3">
        <f>1160.3+(598.9-421.2)+(-2.958765+(-1.527195--1.07406))+0-175.1--0.446504999999975</f>
        <v>1159.9346049999999</v>
      </c>
      <c r="Y70" s="3">
        <f>1168.2+(579.9-441.3)+(-1.787346+(-0.887247--0.675189))+0-173.2--0.26499600000001</f>
        <v>1131.8655920000001</v>
      </c>
      <c r="Z70" s="3">
        <f>1194.2+(522.2-286.9)+(-1.218084+(-0.532644--0.292638))+0-171.2--0.174624000000027</f>
        <v>1257.0165339999999</v>
      </c>
      <c r="AA70" s="3">
        <f>1217.3+(531.2-282.8)+(-3.104115+(-1.35456--0.72114))+0-171.3--0.436814999999975</f>
        <v>1291.0992800000001</v>
      </c>
      <c r="AB70" s="3">
        <f>1216+(498-267.8)+(-2.48064+(-1.01592--0.546312))+0-170.2--0.347207999999993</f>
        <v>1273.3969599999998</v>
      </c>
      <c r="AC70" s="3">
        <f>1227+(450.8-253.8)+(-2.50308+(-0.919632--0.517752))+0-167.8--0.342311999999993</f>
        <v>1253.637352</v>
      </c>
      <c r="AD70">
        <v>1268.3999999999999</v>
      </c>
      <c r="AE70" s="3">
        <f>1210+(535.5-280.4)+(0+(0-0))+0-182.7-0</f>
        <v>1282.3999999999999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1246.6+(406.5-259.1)+(-1.271532+(-0.41463--0.264282))+0-166--0.169320000000026</f>
        <v>1226.7474399999999</v>
      </c>
      <c r="G71" s="3">
        <f>1249.1+(366-258.7)+(-2.548164+(-0.74664--0.527748))+0-167.4--0.341495999999993</f>
        <v>1186.5744399999999</v>
      </c>
      <c r="H71" s="3">
        <f>1247.1+(334-258)+(-2.544084+(-0.68136--0.52632))+0-165.5--0.337619999999993</f>
        <v>1155.2384959999999</v>
      </c>
      <c r="I71" s="3">
        <f>1263.2+(313.4-286.2)+(-1.932696+(-0.479502--0.437886))+0-159--0.243270000000009</f>
        <v>1129.668958</v>
      </c>
      <c r="J71" s="3">
        <f>1267.8+(287.6-313.7)+(-0.646578+(-0.146676--0.159987))+0-149.5--0.0762449999999848</f>
        <v>1091.6429780000001</v>
      </c>
      <c r="K71" s="3">
        <f>1253.6+(313.2-364.3)+(-1.918008+(-0.479196--0.557379))+0-153--0.234090000000009</f>
        <v>1047.8942649999999</v>
      </c>
      <c r="L71" s="3">
        <f>1259.1+(410.7-489.3)+(-1.284282+(-0.418914--0.499086))+0-151.1--0.154122000000024</f>
        <v>1028.3500120000001</v>
      </c>
      <c r="M71" s="3">
        <f>1254.4+(484.4-526.7)+(0+(0-0))+0-144.3-0</f>
        <v>1067.8</v>
      </c>
      <c r="N71" s="3">
        <f>1240.2+(527.5-495.5)+(1.265004+(0.53805-0.50541))+0-132.9-0.135558000000021</f>
        <v>1140.462086</v>
      </c>
      <c r="O71" s="3">
        <f>1225.4+(572.3-458.9)+(0.624954+(0.291873-0.234039))+0-135.6-0.0691559999999862</f>
        <v>1203.8136320000003</v>
      </c>
      <c r="P71" s="3">
        <f>1204.8+(599.6-382.6)+(0.614448+(0.305796-0.195126))+0-141.4-0.0721139999999857</f>
        <v>1281.0530039999999</v>
      </c>
      <c r="Q71" s="3">
        <f>1245.4+(514.2-279)+(1.270308+(0.524484-0.28458))+0-143.1-0.145962000000023</f>
        <v>1338.8642500000001</v>
      </c>
      <c r="R71" s="3">
        <f>1260.2+(529.3-251)+(0.642702+(0.269943-0.12801))+0-141.8-0.0723179999999856</f>
        <v>1397.412317</v>
      </c>
      <c r="S71" s="3">
        <f>1263+(696.6-392.1)+(-0.64413+(-0.355266--0.199971))+0-144--0.0734399999999854</f>
        <v>1422.774015</v>
      </c>
      <c r="T71" s="3">
        <f>1249.5+(742.3-430.6)+(-0.637245+(-0.378573--0.219606))+0-144.1--0.0734909999999854</f>
        <v>1416.3772789999998</v>
      </c>
      <c r="U71" s="3">
        <f>1320.7+(614-404.5)+(-2.020671+(-0.93942--0.618885))+0-140.4--0.214812000000008</f>
        <v>1387.6736059999998</v>
      </c>
      <c r="V71" s="3">
        <f>1362.1+(466.4-321.9)+(-1.389342+(-0.475728--0.328338))+0-145.2--0.148104000000023</f>
        <v>1360.0113719999999</v>
      </c>
      <c r="W71" s="3">
        <f>1404.2+(376.8-363.9)+(-4.296852+(-1.153008--1.113534))+0-144.6--0.442476000000017</f>
        <v>1268.6061500000001</v>
      </c>
      <c r="X71" s="3">
        <f>1436.9+(470.6-589.9)+(-4.396914+(-1.440036--1.805094))+0-143.5--0.439110000000017</f>
        <v>1170.5072540000001</v>
      </c>
      <c r="Y71" s="3">
        <f>1455.3+(456.8-646.3)+(-2.968812+(-0.931872--1.318452))+0-135.9--0.277235999999994</f>
        <v>1127.5950039999998</v>
      </c>
      <c r="Z71" s="3">
        <f>1469.9+(412.9-484.8)+(-1.499298+(-0.421158--0.494496))+0-145.3--0.148206000000023</f>
        <v>1251.4222460000001</v>
      </c>
      <c r="AA71" s="3">
        <f>1465.3+(382.6-383.2)+(-4.483818+(-1.170756--1.172592))+0-159.5--0.488070000000018</f>
        <v>1301.2060880000001</v>
      </c>
      <c r="AB71" s="3">
        <f>1489.8+(396.8-412.3)+(-3.039192+(-0.809472--0.841092))+0-159.5--0.325379999999993</f>
        <v>1312.117808</v>
      </c>
      <c r="AC71" s="3">
        <f>1487.5+(405.5-443.2)+(-0.758625+(-0.206805--0.226032))+0-162.1--0.0826709999999835</f>
        <v>1287.043273</v>
      </c>
      <c r="AD71">
        <v>1280.3</v>
      </c>
      <c r="AE71" s="3">
        <f>1401+(394-347.5)+(0+(0-0))+0-152.2-0</f>
        <v>1295.3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1466.7+(425.1-470.9)+(-1.496034+(-0.433602--0.480318))+0-162.8--0.166056000000026</f>
        <v>1256.8167380000002</v>
      </c>
      <c r="G72" s="3">
        <f>1488+(380.2-476.6)+(-3.03552+(-0.775608--0.972264))+0-160.6--0.327623999999993</f>
        <v>1228.48876</v>
      </c>
      <c r="H72" s="3">
        <f>1489.4+(332.8-461.3)+(-3.038376+(-0.678912--0.941052))+0-159.7--0.325787999999993</f>
        <v>1198.7495520000002</v>
      </c>
      <c r="I72" s="3">
        <f>1519.6+(298.3-481.8)+(-3.099984+(-0.608532--0.982872))+0-160.3--0.327011999999993</f>
        <v>1173.4013679999998</v>
      </c>
      <c r="J72" s="3">
        <f>1514.7+(294.5-490.5)+(-0.772497+(-0.150195--0.250155))+0-160.2--0.0817019999999837</f>
        <v>1157.909165</v>
      </c>
      <c r="K72" s="3">
        <f>1504+(293-521.5)+(-6.13632+(-1.19544--2.12772))+0-161.2--0.657695999999986</f>
        <v>1109.7536559999999</v>
      </c>
      <c r="L72" s="3">
        <f>1506.9+(359.9-642.2)+(-1.537038+(-0.367098--0.655044))+0-157.7--0.160854000000025</f>
        <v>1065.8117619999998</v>
      </c>
      <c r="M72" s="3">
        <f>1481+(443.5-667.8)+(-1.51062+(-0.45237--0.681156))+5.3-159.5--0.162690000000025</f>
        <v>1101.3808560000002</v>
      </c>
      <c r="N72" s="3">
        <f>1408.9+(510.6-653.4)+(0+(0-0))+32-159.3-0</f>
        <v>1138.8000000000002</v>
      </c>
      <c r="O72" s="3">
        <f>1422.6+(520.6-568.8)+(-1.451052+(-0.531012--0.580176))+0.6-167.6--0.170952000000027</f>
        <v>1206.1690639999999</v>
      </c>
      <c r="P72" s="3">
        <f>1400.2+(484.1-498.5)+(-2.142306+(-0.740673--0.762705))+1.2-157.5--0.240975000000009</f>
        <v>1227.6207010000001</v>
      </c>
      <c r="Q72" s="3">
        <f>1361.8+(419.9-345.8)+(-2.778072+(-0.856596--0.705432))+0-160.3--0.327011999999993</f>
        <v>1272.9977759999999</v>
      </c>
      <c r="R72" s="3">
        <f>1352.2+(470.7-316.3)+(-1.379244+(-0.480114--0.322626))+0-165.2--0.168504000000026</f>
        <v>1340.0317719999998</v>
      </c>
      <c r="S72" s="3">
        <f>1368.1+(535.5-398.1)+(-1.395462+(-0.54621--0.406062))+0-168.9--0.172278000000027</f>
        <v>1335.236668</v>
      </c>
      <c r="T72" s="3">
        <f>1370.2+(554.8-409.3)+(0.698802+(0.282948-0.208743))+0-169.1-0.0862409999999828</f>
        <v>1347.2867660000002</v>
      </c>
      <c r="U72" s="3">
        <f>1381.6+(544.3-419.6)+(-1.409232+(-0.555186--0.427992))+0-160.6--0.163812000000026</f>
        <v>1344.3273859999999</v>
      </c>
      <c r="V72" s="3">
        <f>1416+(438.5-366.3)+(-5.05512+(-1.565445--1.307691))+0-164.3--0.586551000000002</f>
        <v>1319.1736770000002</v>
      </c>
      <c r="W72" s="3">
        <f>1421.4+(301.5-308.2)+(-1.449828+(-0.30753--0.314364))+0-162--0.165240000000026</f>
        <v>1251.4222460000001</v>
      </c>
      <c r="X72" s="3">
        <f>1428.5+(367.2-473.2)+(-3.642675+(-0.93636--1.20666))+0-159.4--0.406469999999977</f>
        <v>1160.1340949999999</v>
      </c>
      <c r="Y72" s="3">
        <f>1438.1+(404.1-551.8)+(0+(0-0))+0-150.9-0</f>
        <v>1139.5</v>
      </c>
      <c r="Z72" s="3">
        <f>1452.5+(377.8-406.4)+(0+(0-0))+0-145.1-0</f>
        <v>1278.8000000000002</v>
      </c>
      <c r="AA72" s="3">
        <f>1310.3+(364.9-220.1)+(-2.673012+(-0.744396--0.449004))+0-144.9--0.295595999999994</f>
        <v>1307.5271919999998</v>
      </c>
      <c r="AB72" s="3">
        <f>1322.3+(386-256.8)+(0+(0-0))+0-142.3-0</f>
        <v>1309.2</v>
      </c>
      <c r="AC72" s="3">
        <f>1470.6+(347.4-384.6)+(-3.000024+(-0.708696--0.784584))+0-143.9--0.293555999999994</f>
        <v>1286.8694199999998</v>
      </c>
      <c r="AD72">
        <v>1283.1000000000001</v>
      </c>
      <c r="AE72" s="3">
        <f>1281+(373-205.8)+(0+(0-0))+0-149.1-0</f>
        <v>1299.1000000000001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1483.8+(346.3-422.8)+(-3.026952+(-0.706452--0.862512))+0-146.4--0.298655999999994</f>
        <v>1258.3277639999999</v>
      </c>
      <c r="G73" s="3">
        <f>1496.6+(349.6-471.3)+(-3.81633+(-0.89148--1.201815))+0-151.6--0.386579999999978</f>
        <v>1220.1805849999998</v>
      </c>
      <c r="H73" s="3">
        <f>1512.2+(334.8-513.8)+(-0.771222+(-0.170748--0.262038))+0-140.9--0.0718589999999857</f>
        <v>1191.6919269999999</v>
      </c>
      <c r="I73" s="3">
        <f>1519+(281-489.2)+(0+(0-0))+0-138.3-0</f>
        <v>1172.5</v>
      </c>
      <c r="J73" s="3">
        <f>1526.3+(257.6-480.4)+(-1.556826+(-0.262752--0.490008))+0-147--0.149940000000023</f>
        <v>1155.3203699999999</v>
      </c>
      <c r="K73" s="3">
        <f>1538+(285.1-543.5)+(-3.9219+(-0.727005--1.385925))+0-148.3--0.378164999999978</f>
        <v>1128.4151850000001</v>
      </c>
      <c r="L73" s="3">
        <f>1536.6+(338.4-659.9)+(1.567332+(0.345168-0.673098))+0-150.4-0.153408000000024</f>
        <v>1065.7859939999996</v>
      </c>
      <c r="M73" s="3">
        <f>1531.1+(411.1-697)+(-0.780861+(-0.209661--0.35547))+0-157.5--0.080324999999984</f>
        <v>1087.1452729999996</v>
      </c>
      <c r="N73" s="3">
        <f>1460.3+(475.6-592.8)+(2.234259+(0.727668-0.906984))+0-157.3-0.240669000000009</f>
        <v>1187.614274</v>
      </c>
      <c r="O73" s="3">
        <f>1133.8+(658.6-384.1)+(-0.578238+(-0.335886--0.195891))+0-153.1--0.0780809999999845</f>
        <v>1254.5598479999999</v>
      </c>
      <c r="P73" s="3">
        <f>871.7+(795.2-200)+(0+(0-0))+0-152.5-0</f>
        <v>1314.4</v>
      </c>
      <c r="Q73" s="3">
        <f>834.1+(789.3-100.6)+(0+(0-0))+0-156-0</f>
        <v>1366.8</v>
      </c>
      <c r="R73" s="3">
        <f>940.8+(738.2-128.4)+(0.479808+(0.376482-0.065484))+0-149.6-0.0762959999999848</f>
        <v>1401.71451</v>
      </c>
      <c r="S73" s="3">
        <f>1040.5+(738-225.9)+(-2.12262+(-1.50552--0.460836))+0-155.2--0.316607999999993</f>
        <v>1394.5493039999999</v>
      </c>
      <c r="T73" s="3">
        <f>1284+(498.6-274.9)+(-2.61936+(-1.017144--0.560796))+0-158.3--0.322931999999993</f>
        <v>1346.6472240000001</v>
      </c>
      <c r="U73" s="3">
        <f>1407.7+(395.3-291.5)+(-1.435854+(-0.403206--0.29733))+0-156.5--0.159630000000025</f>
        <v>1353.6179000000002</v>
      </c>
      <c r="V73" s="3">
        <f>1432.6+(343.8-271.2)+(-2.922504+(-0.701352--0.553248))+0-164--0.334559999999993</f>
        <v>1338.4639519999998</v>
      </c>
      <c r="W73" s="3">
        <f>1442.9+(336.3-345.6)+(-3.679395+(-0.857565--0.88128))+0-163.4--0.416669999999976</f>
        <v>1266.96099</v>
      </c>
      <c r="X73" s="3">
        <f>1454.5+(458.9-586.5)+(-7.41795+(-2.34039--2.99115))+0-161.9--0.825690000000012</f>
        <v>1159.0585000000001</v>
      </c>
      <c r="Y73" s="3">
        <f>1473+(469.3-666)+(-2.25369+(-0.718029--1.01898))+0-155.8--0.238374000000009</f>
        <v>1118.785635</v>
      </c>
      <c r="Z73" s="3">
        <f>1482.1+(392.7-456.6)+(0.755871+(0.200277-0.232866))+0-166.6-0.0849659999999831</f>
        <v>1252.2383159999999</v>
      </c>
      <c r="AA73" s="3">
        <f>1482.2+(357.7-379.1)+(-3.023688+(-0.729708--0.773364))+0-165.6--0.337823999999993</f>
        <v>1292.5577920000001</v>
      </c>
      <c r="AB73" s="3">
        <f>1487.7+(314.8-347.8)+(-1.517454+(-0.321096--0.354756))+0-160.9--0.164118000000026</f>
        <v>1292.4803239999999</v>
      </c>
      <c r="AC73" s="3">
        <f>1504.7+(295.1-362.9)+(-3.836985+(-0.752505--0.925395))+0-161.8--0.412589999999977</f>
        <v>1271.848495</v>
      </c>
      <c r="AD73">
        <v>1275.1000000000001</v>
      </c>
      <c r="AE73" s="3">
        <f>1478+(370.4-386.7)+(0+(0-0))+0-170.6-0</f>
        <v>1291.1000000000001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1482.3+(287.7-359.7)+(-3.779865+(-0.733635--0.917235))+0-160.4--0.409019999999977</f>
        <v>1246.712755</v>
      </c>
      <c r="G74" s="3">
        <f>1473.6+(282.2-381.9)+(-3.75768+(-0.71961--0.973845))+0-158--0.402899999999977</f>
        <v>1212.7994549999999</v>
      </c>
      <c r="H74" s="3">
        <f>1474.1+(268.7-400.6)+(0.751791+(0.137037-0.204306))+0-153.1-0.0780809999999845</f>
        <v>1189.706441</v>
      </c>
      <c r="I74" s="3">
        <f>1493.6+(265.7-449.3)+(-0.761736+(-0.135507--0.229143))+0-156--0.0795599999999842</f>
        <v>1153.4114599999998</v>
      </c>
      <c r="J74" s="3">
        <f>1509.2+(275.7-499.9)+(-5.387844+(-0.984249--1.784643))+0-156.1--0.557277000000002</f>
        <v>1124.8698270000002</v>
      </c>
      <c r="K74" s="3">
        <f>1515.3+(311.4-591.3)+(-6.955227+(-1.429326--2.714067))+0-155.5--0.713745000000027</f>
        <v>1074.9432590000001</v>
      </c>
      <c r="L74" s="3">
        <f>1515.5+(399-728.8)+(-3.864525+(-1.01745--1.85844))+0-154.6--0.394229999999978</f>
        <v>1028.470695</v>
      </c>
      <c r="M74" s="3">
        <f>1520.4+(450-742.6)+(2.326212+(0.6885-1.136178))+0-158.7-0.242811000000009</f>
        <v>1070.735723</v>
      </c>
      <c r="N74" s="3">
        <f>1482.6+(470.6-664.8)+(2.268378+(0.720018-1.017144))+0-164.4-0.25153200000001</f>
        <v>1125.7197200000001</v>
      </c>
      <c r="O74" s="3">
        <f>1341.8+(521.3-518.6)+(2.737272+(1.063452-1.057944))+0-164.9-0.336395999999993</f>
        <v>1182.006384</v>
      </c>
      <c r="P74" s="3">
        <f>1390.5+(521.1-499.2)+(2.127465+(0.797283-0.763776))+0-167-0.25551000000001</f>
        <v>1247.305462</v>
      </c>
      <c r="Q74" s="3">
        <f>1443.4+(458.5-424.4)+(0+(0-0))+0-164.9-0</f>
        <v>1312.6</v>
      </c>
      <c r="R74" s="3">
        <f>1432.6+(348-263)+(-0.730626+(-0.17748--0.13413))+0-160.4--0.0818039999999837</f>
        <v>1356.5078279999998</v>
      </c>
      <c r="S74" s="3">
        <f>1425.2+(417.3-304.6)+(-3.63426+(-1.064115--0.77673))+0-164.1--0.418454999999976</f>
        <v>1370.2968100000003</v>
      </c>
      <c r="T74" s="3">
        <f>1414+(449-325.3)+(-4.32684+(-1.37394--0.995418))+0-163.3--0.499698000000019</f>
        <v>1370.1943360000002</v>
      </c>
      <c r="U74" s="3">
        <f>1282+(546.7-338.1)+(-1.96146+(-0.836451--0.517293))+0-158.6--0.242658000000009</f>
        <v>1329.9620400000001</v>
      </c>
      <c r="V74" s="3">
        <f>1216.3+(497.2-242)+(0+(0-0))+0-163.5-0</f>
        <v>1308</v>
      </c>
      <c r="W74" s="3">
        <f>1139.9+(387.2-146)+(1.162698+(0.394944-0.14892))+0-165.6-0.168912000000026</f>
        <v>1216.73981</v>
      </c>
      <c r="X74" s="3">
        <f>1113.5+(516.3-354)+(-1.703655+(-0.789939--0.54162))+0-163.7--0.250461000000009</f>
        <v>1110.3984869999999</v>
      </c>
      <c r="Y74" s="3">
        <f>1145.4+(573.7-459.6)+(0.584154+(0.292587-0.234396))+0-161.2-0.0822119999999836</f>
        <v>1098.8601329999999</v>
      </c>
      <c r="Z74" s="3">
        <f>1190.6+(530.5-341.6)+(-1.821618+(-0.811665--0.522648))+0-166.1--0.25413300000001</f>
        <v>1211.543498</v>
      </c>
      <c r="AA74" s="3">
        <f>1382.3+(423.3-388.4)+(-1.409946+(-0.431766--0.396168))+0-166.2--0.169524000000026</f>
        <v>1249.7239800000002</v>
      </c>
      <c r="AB74" s="3">
        <f>1425+(356.2-374.3)+(-2.18025+(-0.544986--0.572679))+0-165.9--0.25382700000001</f>
        <v>1239.1012700000001</v>
      </c>
      <c r="AC74" s="3">
        <f>1379.6+(296.6-281.2)+(0+(0-0))+0-165.7-0</f>
        <v>1229.3</v>
      </c>
      <c r="AD74">
        <v>1254</v>
      </c>
      <c r="AE74" s="3">
        <f>1424+(410.3-404.9)+(0+(0-0))+0-159.4-0</f>
        <v>1270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1365+(293.4-298.6)+(-1.3923+(-0.299268--0.304572))+0-166.1--0.169422000000026</f>
        <v>1192.482426</v>
      </c>
      <c r="G75" s="3">
        <f>1379.8+(304.2-355.5)+(-2.814792+(-0.620568--0.72522))+0-168.6--0.343943999999993</f>
        <v>1157.5338040000001</v>
      </c>
      <c r="H75" s="3">
        <f>1386.6+(287.9-375.8)+(-2.828664+(-0.587316--0.766632))+0-167.4--0.341495999999993</f>
        <v>1128.9921479999998</v>
      </c>
      <c r="I75" s="3">
        <f>1359.1+(262.6-347.9)+(0.693141+(0.133926-0.177429))+0-166.8-0.0850679999999831</f>
        <v>1107.56457</v>
      </c>
      <c r="J75" s="3">
        <f>1321.4+(261.7-349.5)+(-1.347828+(-0.266934--0.35649))+0-166.3--0.169626000000027</f>
        <v>1066.2113540000003</v>
      </c>
      <c r="K75" s="3">
        <f>1328.2+(257.4-435.7)+(-1.354764+(-0.262548--0.444414))+0-164.7--0.167994000000026</f>
        <v>984.19509600000004</v>
      </c>
      <c r="L75" s="3">
        <f>1269.1+(340.9-498.1)+(-3.236205+(-0.869295--1.270155))+0-162.8--0.415139999999976</f>
        <v>946.6797949999999</v>
      </c>
      <c r="M75" s="3">
        <f>1240+(372.1-477.4)+(0+(0-0))+0-166.7-0</f>
        <v>968</v>
      </c>
      <c r="N75" s="3">
        <f>1220.6+(434.8-477.8)+(1.867518+(0.665244-0.731034))+0-157.2-0.240516000000009</f>
        <v>1021.9612119999998</v>
      </c>
      <c r="O75" s="3">
        <f>1244.8+(488.7-509.2)+(1.904544+(0.747711-0.779076))+0-151.6-0.231948000000009</f>
        <v>1074.3412309999999</v>
      </c>
      <c r="P75" s="3">
        <f>1284.8+(510.8-505.2)+(3.27624+(1.30254-1.28826))+0-147.7-0.376634999999979</f>
        <v>1145.613885</v>
      </c>
      <c r="Q75" s="3">
        <f>1274.3+(492.6-436.2)+(1.949679+(0.753678-0.667386))+0-139.3-0.213129000000008</f>
        <v>1193.2228420000001</v>
      </c>
      <c r="R75" s="3">
        <f>1266.4+(418.8-293.7)+(-1.291728+(-0.427176--0.299574))+0-136--0.138720000000022</f>
        <v>1254.21939</v>
      </c>
      <c r="S75" s="3">
        <f>1256.9+(450.1-286)+(-0.641019+(-0.229551--0.14586))+0-133.8--0.0682379999999864</f>
        <v>1286.5435280000002</v>
      </c>
      <c r="T75" s="3">
        <f>1248.6+(526.4-339)+(0+(0-0))+0-140.3-0</f>
        <v>1295.7</v>
      </c>
      <c r="U75" s="3">
        <f>1240.1+(529.2-336.7)+(0+(0-0))+0-137.2-0</f>
        <v>1295.3999999999999</v>
      </c>
      <c r="V75" s="3">
        <f>1238.4+(474.6-294.4)+(-1.894752+(-0.726138--0.450432))+0-143.4--0.219402000000008</f>
        <v>1273.2489439999999</v>
      </c>
      <c r="W75" s="3">
        <f>1246+(365.7-267.7)+(-3.1773+(-0.932535--0.682635))+0-144.8--0.369239999999979</f>
        <v>1196.14204</v>
      </c>
      <c r="X75" s="3">
        <f>1250.8+(450.7-444.8)+(-3.18954+(-1.149285--1.13424))+0-151.8--0.387089999999978</f>
        <v>1102.0825049999999</v>
      </c>
      <c r="Y75" s="3">
        <f>1253.7+(498.7-529.6)+(-1.278774+(-0.508674--0.540192))+0-152--0.155040000000024</f>
        <v>1069.7077839999999</v>
      </c>
      <c r="Z75" s="3">
        <f>1253.4+(393.4-277.5)+(-1.278468+(-0.401268--0.28305))+0-162.3--0.165546000000026</f>
        <v>1205.7688600000001</v>
      </c>
      <c r="AA75" s="3">
        <f>1255.6+(428.9-271.5)+(-2.561424+(-0.874956--0.55386))+0-164.5--0.335579999999993</f>
        <v>1245.9530599999998</v>
      </c>
      <c r="AB75" s="3">
        <f>1270.2+(461.8-311)+(-2.591208+(-0.942072--0.63444))+0-164.4--0.335375999999993</f>
        <v>1254.0365359999998</v>
      </c>
      <c r="AC75" s="3">
        <f>1276.9+(433.9-322.8)+(-1.302438+(-0.442578--0.329256))+0-164.1--0.167382000000026</f>
        <v>1222.6516220000001</v>
      </c>
      <c r="AD75">
        <v>1237.1000000000001</v>
      </c>
      <c r="AE75" s="3">
        <f>1261+(447.7-296)+(0+(0-0))+0-159.6-0</f>
        <v>1253.1000000000001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1288.8+(424.2-328.6)+(-2.629152+(-0.865368--0.670344))+0-171.3--0.349451999999993</f>
        <v>1210.6252759999998</v>
      </c>
      <c r="G76" s="3">
        <f>1278.5+(427.8-362)+(0+(0-0))+0-165.3-0</f>
        <v>1179</v>
      </c>
      <c r="H76" s="3">
        <f>1134.2+(515.7-345.7)+(-1.735326+(-0.789021--0.528921))+0-165.1--0.25260300000001</f>
        <v>1137.3571770000001</v>
      </c>
      <c r="I76" s="3">
        <f>1132.8+(468-315.2)+(-1.155456+(-0.47736--0.321504))+0-164.8--0.168096000000026</f>
        <v>1119.656784</v>
      </c>
      <c r="J76" s="3">
        <f>1138.6+(364.3-247)+(0.580686+(0.185793-0.12597))+0-165.6-0.0844559999999832</f>
        <v>1090.856053</v>
      </c>
      <c r="K76" s="3">
        <f>1147.4+(242.5-184.3)+(-3.511044+(-0.74205--0.563958))+0-162.4--0.496944000000019</f>
        <v>1040.0078080000001</v>
      </c>
      <c r="L76" s="3">
        <f>1151.1+(236.2-227.8)+(-1.761183+(-0.361386--0.348534))+0-158.1--0.241893000000009</f>
        <v>999.86785800000007</v>
      </c>
      <c r="M76" s="3">
        <f>1148.8+(268.6-243.2)+(1.171776+(0.273972-0.248064))+0-168.1-0.171462000000027</f>
        <v>1007.126222</v>
      </c>
      <c r="N76" s="3">
        <f>1139.7+(310.9-244.1)+(-2.906235+(-0.792795--0.622455))+0-169.2--0.431459999999975</f>
        <v>1034.6548849999999</v>
      </c>
      <c r="O76" s="3">
        <f>1039.7+(422.2-215.7)+(-0.530247+(-0.215322--0.110007))+0-169--0.0861899999999829</f>
        <v>1076.6506280000001</v>
      </c>
      <c r="P76" s="3">
        <f>995.2+(479.5-167.3)+(0+(0-0))+0-166.2-0</f>
        <v>1141.2</v>
      </c>
      <c r="Q76" s="3">
        <f>983.5+(507.6-133.9)+(0.501585+(0.258876-0.068289))+0-154.2-0.0786419999999843</f>
        <v>1203.6135300000001</v>
      </c>
      <c r="R76" s="3">
        <f>961.5+(716.5-278.7)+(0+(0-0))+0-150.9-0</f>
        <v>1248.3999999999999</v>
      </c>
      <c r="S76" s="3">
        <f>961.3+(900.7-434.5)+(-0.490263+(-0.459357--0.221595))+0-156--0.0795599999999842</f>
        <v>1270.851535</v>
      </c>
      <c r="T76" s="3">
        <f>956.1+(949.8-490.2)+(-2.438055+(-2.42199--1.25001))+0-157.3--0.401114999999977</f>
        <v>1255.1910800000001</v>
      </c>
      <c r="U76" s="3">
        <f>981.2+(913.6-477.1)+(-1.000824+(-0.931872--0.486642))+0-153.4--0.156468000000024</f>
        <v>1263.0104140000001</v>
      </c>
      <c r="V76" s="3">
        <f>1017.2+(767.6-390.9)+(-2.59386+(-1.95738--0.996795))+0-152.5--0.388874999999978</f>
        <v>1238.23443</v>
      </c>
      <c r="W76" s="3">
        <f>1015+(536.8-211.6)+(-2.0706+(-1.095072--0.431664))+0-145.1--0.296003999999994</f>
        <v>1192.661996</v>
      </c>
      <c r="X76" s="3">
        <f>1018.7+(380.2-149.6)+(-3.117222+(-1.163412--0.457776))+0-149.6--0.457776000000017</f>
        <v>1096.334918</v>
      </c>
      <c r="Y76" s="3">
        <f>1074.2+(363.9-236.4)+(-1.643526+(-0.556767--0.361692))+0-149.4--0.228582000000009</f>
        <v>1050.689981</v>
      </c>
      <c r="Z76" s="3">
        <f>1091.7+(483.8-207.4)+(-1.113534+(-0.493476--0.211548))+0-161.5--0.164730000000026</f>
        <v>1205.3692679999999</v>
      </c>
      <c r="AA76" s="3">
        <f>1109.4+(600.9-300.7)+(-2.263176+(-1.225836--0.613428))+0-164.7--0.335987999999993</f>
        <v>1242.3604040000002</v>
      </c>
      <c r="AB76" s="3">
        <f>1159.5+(590.4-360.5)+(-1.774035+(-0.903312--0.551565))+0-161.2--0.246636000000009</f>
        <v>1226.3208540000001</v>
      </c>
      <c r="AC76" s="3">
        <f>1172.6+(632.6-423.8)+(-1.794078+(-0.967878--0.648414))+0-162.5--0.248625000000009</f>
        <v>1217.0350829999998</v>
      </c>
      <c r="AD76">
        <v>1245.9999999999998</v>
      </c>
      <c r="AE76" s="3">
        <f>1128+(614.1-320.7)+(0+(0-0))+0-158.4-0</f>
        <v>1263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1167.5+(613.2-413.3)+(-2.3817+(-1.250928--0.843132))+0-166.5--0.339659999999993</f>
        <v>1198.4501640000001</v>
      </c>
      <c r="G77" s="3">
        <f>1167.3+(576.1-405.1)+(0.595323+(0.293811-0.206601))+0-167.7-0.085526999999983</f>
        <v>1171.1970059999999</v>
      </c>
      <c r="H77" s="3">
        <f>1179.4+(484.6-362.8)+(-1.202988+(-0.494292--0.370056))+0-161--0.164220000000026</f>
        <v>1139.0369960000003</v>
      </c>
      <c r="I77" s="3">
        <f>1179.5+(424.5-324.8)+(0+(0-0))+0-163.3-0</f>
        <v>1115.9000000000001</v>
      </c>
      <c r="J77" s="3">
        <f>1181.5+(375.8-292.8)+(1.807695+(0.574974-0.447984))+0-165.8-0.25367400000001</f>
        <v>1100.3810109999999</v>
      </c>
      <c r="K77" s="3">
        <f>1176.3+(304.1-252.6)+(-3.599478+(-0.930546--0.772956))+0-163--0.498780000000019</f>
        <v>1061.5417120000002</v>
      </c>
      <c r="L77" s="3">
        <f>1197.9+(282.3-304.3)+(-1.221858+(-0.287946--0.310386))+0-161--0.164220000000026</f>
        <v>1013.8648020000002</v>
      </c>
      <c r="M77" s="3">
        <f>1194.9+(260.1-254.2)+(0.609399+(0.132651-0.129642))+0-163.7-0.0834869999999834</f>
        <v>1037.6289210000002</v>
      </c>
      <c r="N77" s="3">
        <f>1181.5+(288.1-240.1)+(0+(0-0))+0-161.7-0</f>
        <v>1067.8</v>
      </c>
      <c r="O77" s="3">
        <f>1170.1+(344.7-245.6)+(-1.193502+(-0.351594--0.250512))+0-152.2--0.155244000000024</f>
        <v>1115.8606599999998</v>
      </c>
      <c r="P77" s="3">
        <f>1167.9+(383.8-222.8)+(0+(0-0))+0-147.9-0</f>
        <v>1181</v>
      </c>
      <c r="Q77" s="3">
        <f>1164.2+(471.5-232.1)+(0.593742+(0.240465-0.118371))+0-143.3-0.0730829999999855</f>
        <v>1260.9427530000003</v>
      </c>
      <c r="R77" s="3">
        <f>1149.1+(633.2-355.8)+(1.172082+(0.645864-0.362916))+0-142-0.144840000000023</f>
        <v>1285.8101900000001</v>
      </c>
      <c r="S77" s="3">
        <f>1143.6+(765.6-460.4)+(-0.583236+(-0.390456--0.234804))+0-143.7--0.0732869999999854</f>
        <v>1304.4343989999998</v>
      </c>
      <c r="T77" s="3">
        <f>1135.5+(846.6-538.4)+(0.579105+(0.431766-0.274584))+0-143-0.0729299999999855</f>
        <v>1301.363357</v>
      </c>
      <c r="U77" s="3">
        <f>1131.3+(851.9-522.5)+(-1.153926+(-0.868938--0.53295))+0-146.3--0.149226000000023</f>
        <v>1313.0593119999999</v>
      </c>
      <c r="V77" s="3">
        <f>1138.8+(756.2-427.3)+(-1.161576+(-0.771324--0.435846))+0-157.4--0.160548000000025</f>
        <v>1308.9634940000001</v>
      </c>
      <c r="W77" s="3">
        <f>1145.4+(497.3-227.1)+(-2.92077+(-1.268115--0.579105))+0-164.3--0.418964999999976</f>
        <v>1248.1091850000003</v>
      </c>
      <c r="X77" s="3">
        <f>1149.5+(380.8-220.7)+(-4.103715+(-1.359456--0.787899))+0-167.5--0.597975000000002</f>
        <v>1138.0227029999999</v>
      </c>
      <c r="Y77" s="3">
        <f>1149.5+(387.1-274)+(-1.17249+(-0.394842--0.27948))+0-166.8--0.170136000000027</f>
        <v>1094.682284</v>
      </c>
      <c r="Z77" s="3">
        <f>1152.8+(442.9-190.5)+(0.587928+(0.225879-0.097155))+0-169.5-0.0864449999999828</f>
        <v>1236.330207</v>
      </c>
      <c r="AA77" s="3">
        <f>1167.9+(524.4-226.1)+(-1.786887+(-0.802332--0.345933))+0-171.8--0.26285400000001</f>
        <v>1292.4195680000003</v>
      </c>
      <c r="AB77" s="3">
        <f>1174.8+(606.3-323.2)+(-2.396592+(-1.236852--0.659328))+0-170.2--0.347207999999993</f>
        <v>1285.0730919999996</v>
      </c>
      <c r="AC77" s="3">
        <f>1177.7+(631.7-371.9)+(-3.003135+(-1.610835--0.948345))+0-171.9--0.438344999999975</f>
        <v>1262.3727199999998</v>
      </c>
      <c r="AD77">
        <v>1272.6000000000001</v>
      </c>
      <c r="AE77" s="3">
        <f>1162+(544.9-246.1)+(0+(0-0))+0-171.2-0</f>
        <v>1289.5999999999999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1195.4+(607.1-394.8)+(-1.828962+(-0.928863--0.604044))+0-170.6--0.26101800000001</f>
        <v>1235.2072370000001</v>
      </c>
      <c r="G78" s="3">
        <f>1206.5+(533.7-372.2)+(-1.23063+(-0.544374--0.379644))+0-168.6--0.171972000000027</f>
        <v>1198.1766120000002</v>
      </c>
      <c r="H78" s="3">
        <f>1209.2+(407.6-280)+(-1.233384+(-0.415752--0.2856))+0-165.4--0.168708000000026</f>
        <v>1170.2051719999999</v>
      </c>
      <c r="I78" s="3">
        <f>1207.3+(361.4-260.1)+(0.615723+(0.184314-0.132651))+0-165-0.0841499999999833</f>
        <v>1144.1832360000001</v>
      </c>
      <c r="J78" s="3">
        <f>1220+(339.4-254.8)+(-3.111+(-0.86547--0.64974))+0-165.8--0.422789999999976</f>
        <v>1135.89606</v>
      </c>
      <c r="K78" s="3">
        <f>1218.7+(296.9-260.9)+(-4.350759+(-1.059933--0.931413))+0-165.1--0.589407000000002</f>
        <v>1085.7101280000002</v>
      </c>
      <c r="L78" s="3">
        <f>1216.6+(356.2-363.6)+(1.240932+(0.363324-0.370872))+0-162-0.165240000000026</f>
        <v>1048.2681439999997</v>
      </c>
      <c r="M78" s="3">
        <f>1209.5+(429.2-377.8)+(0+(0-0))+0-169.7-0</f>
        <v>1091.2</v>
      </c>
      <c r="N78" s="3">
        <f>1170.8+(472.4-323.2)+(0+(0-0))+0-167.1-0</f>
        <v>1152.9000000000001</v>
      </c>
      <c r="O78" s="3">
        <f>1096.9+(580.4-312.9)+(0.559419+(0.296004-0.159579))+0-141.6-0.0722159999999856</f>
        <v>1223.4236280000002</v>
      </c>
      <c r="P78" s="3">
        <f>1106.9+(633.8-297)+(1.129038+(0.646476-0.30294))+0-146.4-0.149328000000023</f>
        <v>1298.6232459999999</v>
      </c>
      <c r="Q78" s="3">
        <f>1197.6+(567.5-245)+(0.610776+(0.289425-0.12495))+0-148.6-0.0757859999999849</f>
        <v>1372.1994650000001</v>
      </c>
      <c r="R78" s="3">
        <f>1236+(594.4-272.1)+(0.63036+(0.303144-0.138771))+0-148.1-0.075530999999985</f>
        <v>1410.919202</v>
      </c>
      <c r="S78" s="3">
        <f>1321.3+(601.2-371.1)+(-1.347726+(-0.613224--0.378522))+0-145.1--0.148002000000023</f>
        <v>1404.8655740000004</v>
      </c>
      <c r="T78" s="3">
        <f>1313.9+(645.1-410.9)+(-0.670089+(-0.329001--0.209559))+0-138.1--0.070430999999986</f>
        <v>1409.2809000000004</v>
      </c>
      <c r="U78" s="3">
        <f>1363.7+(602.7-403.8)+(-2.781948+(-1.229508--0.823752))+0-134.6--0.274583999999994</f>
        <v>1425.0868800000003</v>
      </c>
      <c r="V78" s="3">
        <f>1368.7+(481.5-313.9)+(-4.886259+(-1.718955--1.120623))+0-138.4--0.494088000000002</f>
        <v>1392.9094970000001</v>
      </c>
      <c r="W78" s="3">
        <f>1369.7+(342.4-254.3)+(-2.095641+(-0.523872--0.389079))+0-137.2--0.209916000000008</f>
        <v>1318.5794819999999</v>
      </c>
      <c r="X78" s="3">
        <f>1371.9+(478-497.4)+(-3.498345+(-1.2189--1.26837))+0-135.9--0.34654499999998</f>
        <v>1213.4976699999997</v>
      </c>
      <c r="Y78" s="3">
        <f>1355.9+(505.4-572)+(-2.074527+(-0.773262--0.87516))+0-135.3--0.207009000000008</f>
        <v>1152.2343800000001</v>
      </c>
      <c r="Z78" s="3">
        <f>1373.6+(476.4-422.6)+(-1.401072+(-0.485928--0.431052))+0-139.2--0.141984000000022</f>
        <v>1286.8860359999999</v>
      </c>
      <c r="AA78" s="3">
        <f>1398+(427.7-354.7)+(-2.85192+(-0.872508--0.723588))+0-144.3--0.294371999999994</f>
        <v>1323.9935320000002</v>
      </c>
      <c r="AB78" s="3">
        <f>1398.5+(411.6-328.9)+(-2.85294+(-0.839664--0.670956))+0-158.3--0.322931999999993</f>
        <v>1320.2012840000002</v>
      </c>
      <c r="AC78" s="3">
        <f>1391.6+(427.7-347.9)+(-2.129148+(-0.654381--0.532287))+0-165.8--0.25367400000001</f>
        <v>1303.6024319999999</v>
      </c>
      <c r="AD78">
        <v>1314.5</v>
      </c>
      <c r="AE78" s="3">
        <f>1400+(441.5-367.8)+(0+(0-0))+0-143.2-0</f>
        <v>1330.5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1404.6+(384-348.5)+(-3.58173+(-0.9792--0.888675))+0-167.7--0.427634999999976</f>
        <v>1269.1553799999999</v>
      </c>
      <c r="G79" s="3">
        <f>1418.6+(363.8-386.8)+(-2.893944+(-0.742152--0.789072))+0-165.7--0.338027999999993</f>
        <v>1227.3910039999998</v>
      </c>
      <c r="H79" s="3">
        <f>1437.5+(334.1-407.5)+(-1.46625+(-0.340782--0.41565))+0-163.4--0.166668000000026</f>
        <v>1199.4752859999999</v>
      </c>
      <c r="I79" s="3">
        <f>1435.9+(303-397.3)+(-3.661545+(-0.77265--1.013115))+0-163.8--0.417689999999976</f>
        <v>1174.7966100000001</v>
      </c>
      <c r="J79" s="3">
        <f>1441.6+(294.3-405.4)+(-3.67608+(-0.750465--1.03377))+0-164--0.418199999999976</f>
        <v>1163.525425</v>
      </c>
      <c r="K79" s="3">
        <f>1457.9+(278.3-445.9)+(-3.717645+(-0.709665--1.137045))+0-163.8--0.417689999999976</f>
        <v>1123.6274250000001</v>
      </c>
      <c r="L79" s="3">
        <f>1444+(314.2-523.5)+(0.73644+(0.160242-0.266985))+0-165.3-0.0843029999999832</f>
        <v>1069.9453940000001</v>
      </c>
      <c r="M79" s="3">
        <f>1447.3+(371.4-536.1)+(0+(0-0))+0-171.6-0</f>
        <v>1111</v>
      </c>
      <c r="N79" s="3">
        <f>1433.2+(431.7-513.7)+(-1.461864+(-0.440334--0.523974))+0-169.2--0.172584000000027</f>
        <v>1180.7943599999999</v>
      </c>
      <c r="O79" s="3">
        <f>1414.8+(475.1-481.3)+(-1.443096+(-0.484602--0.490926))+0-167.1--0.170442000000027</f>
        <v>1240.2336700000001</v>
      </c>
      <c r="P79" s="3">
        <f>1408.6+(476.9-407.9)+(-2.155158+(-0.729657--0.624087))+0-162.7--0.248931000000009</f>
        <v>1312.888203</v>
      </c>
      <c r="Q79" s="3">
        <f>1389+(513.8-366.6)+(0.70839+(0.262038-0.186966))+3.3-160.8-0.0820079999999837</f>
        <v>1379.4014539999998</v>
      </c>
      <c r="R79" s="3">
        <f>1396.5+(650.7-445.6)+(1.42443+(0.663714-0.454512))+0.2-162.1-0.165342000000026</f>
        <v>1441.1682900000001</v>
      </c>
      <c r="S79" s="3">
        <f>1391+(719.7-508.3)+(-1.41882+(-0.734094--0.518466))+0-163.4--0.166668000000026</f>
        <v>1437.5322200000001</v>
      </c>
      <c r="T79" s="3">
        <f>1391.8+(721.4-500.2)+(-0.709818+(-0.367914--0.255102))+0-164.1--0.0836909999999833</f>
        <v>1448.1610610000002</v>
      </c>
      <c r="U79" s="3">
        <f>1384.4+(630.7-413.3)+(-0.706044+(-0.321657--0.210783))+0-162--0.0826199999999836</f>
        <v>1439.0657020000001</v>
      </c>
      <c r="V79" s="3">
        <f>1372.9+(537.7-321.6)+(-1.400358+(-0.548454--0.328032))+0-165.1--0.168402000000026</f>
        <v>1422.4476220000001</v>
      </c>
      <c r="W79" s="3">
        <f>1342.8+(395.4-216.5)+(-2.054484+(-0.604962--0.331245))+0-165.3--0.25290900000001</f>
        <v>1354.3247079999999</v>
      </c>
      <c r="X79" s="3">
        <f>1219.1+(489.4-306.4)+(-3.108705+(-1.24797--0.78132))+0-165.7--0.422534999999976</f>
        <v>1233.2471799999998</v>
      </c>
      <c r="Y79" s="3">
        <f>1304.2+(471.8-415.9)+(-2.660568+(-0.962472--0.848436))+0-162.4--0.331295999999993</f>
        <v>1195.2566920000002</v>
      </c>
      <c r="Z79" s="3">
        <f>1370.7+(396.1-272.2)+(0+(0-0))+0-156.4-0</f>
        <v>1338.2</v>
      </c>
      <c r="AA79" s="3">
        <f>1408.6+(407.3-290.1)+(-1.436772+(-0.415446--0.295902))+0-154.1--0.157182000000025</f>
        <v>1370.300866</v>
      </c>
      <c r="AB79" s="3">
        <f>1378.4+(454.2-316.8)+(-2.108952+(-0.694926--0.484704))+0-154.7--0.236691000000009</f>
        <v>1359.0175170000002</v>
      </c>
      <c r="AC79" s="3">
        <f>1237.4+(538.4-292.3)+(-0.631074+(-0.274584--0.149073))+0-160.4--0.0818039999999837</f>
        <v>1322.4252189999997</v>
      </c>
      <c r="AD79">
        <v>1369.2</v>
      </c>
      <c r="AE79" s="3">
        <f>1405+(424.4-291)+(0+(0-0))+0-152.2-0</f>
        <v>1386.2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1227.2+(509.4-303.5)+(-0.625872+(-0.259794--0.154785))+0-166.5--0.0849149999999831</f>
        <v>1265.9540339999999</v>
      </c>
      <c r="G80" s="3">
        <f>1240.3+(450.9-298.4)+(-1.265106+(-0.459918--0.304368))+0-162.2--0.165444000000026</f>
        <v>1229.3447879999999</v>
      </c>
      <c r="H80" s="3">
        <f>1248.2+(394-276.5)+(-1.273164+(-0.40188--0.28203))+0-162--0.165240000000026</f>
        <v>1202.4722260000001</v>
      </c>
      <c r="I80" s="3">
        <f>1245.9+(394.4-291.8)+(-3.812454+(-1.206864--0.892908))+0-161.7--0.494802000000019</f>
        <v>1183.1683919999998</v>
      </c>
      <c r="J80" s="3">
        <f>1258.9+(413.7-338.5)+(0.642039+(0.210987-0.172635))+0-160.3-0.0817529999999837</f>
        <v>1174.3986380000003</v>
      </c>
      <c r="K80" s="3">
        <f>1266.5+(338.8-332.1)+(-1.29183+(-0.345576--0.338742))+0-159.6--0.162792000000025</f>
        <v>1112.4641280000003</v>
      </c>
      <c r="L80" s="3">
        <f>1293.1+(342.9-404.5)+(-1.318962+(-0.349758--0.41259))+0-156.8--0.159936000000025</f>
        <v>1073.6038060000001</v>
      </c>
      <c r="M80" s="3">
        <f>1290.8+(409.6-430.5)+(1.316616+(0.417792-0.43911))+0-161.7-0.164934000000026</f>
        <v>1109.3303639999999</v>
      </c>
      <c r="N80" s="3">
        <f>1273+(491.7-425.9)+(1.94769+(0.752301-0.651627))+0-165.6-0.25336800000001</f>
        <v>1174.9949960000001</v>
      </c>
      <c r="O80" s="3">
        <f>1249.9+(588.8-437.4)+(0.637449+(0.300288-0.223074))+0-165.6-0.0844559999999832</f>
        <v>1236.3302070000002</v>
      </c>
      <c r="P80" s="3">
        <f>1234.4+(601.9-349.9)+(0.629544+(0.306969-0.178449))+0-165.3-0.0843029999999832</f>
        <v>1321.7737610000001</v>
      </c>
      <c r="Q80" s="3">
        <f>1216.6+(637.5-297)+(0+(0-0))+0-164.1-0</f>
        <v>1393</v>
      </c>
      <c r="R80" s="3">
        <f>1222.1+(620-244)+(0.623271+(0.3162-0.12444))+0-165-0.0841499999999833</f>
        <v>1433.8308810000001</v>
      </c>
      <c r="S80" s="3">
        <f>1273.7+(577-294)+(-1.948761+(-0.88281--0.44982))+0-165--0.25245000000001</f>
        <v>1389.5706990000001</v>
      </c>
      <c r="T80" s="3">
        <f>1308.5+(649.7-349.4)+(1.33467+(0.662694-0.356388))+0-175.3-0.178806000000028</f>
        <v>1434.96217</v>
      </c>
      <c r="U80" s="3">
        <f>1357+(642-407.4)+(-2.76828+(-1.30968--0.831096))+0-165.8--0.338231999999993</f>
        <v>1422.8913680000001</v>
      </c>
      <c r="V80" s="3">
        <f>1364.7+(536.8-339.5)+(-2.087991+(-0.821304--0.519435))+0-156.5--0.239445000000009</f>
        <v>1403.3495849999999</v>
      </c>
      <c r="W80" s="3">
        <f>1367.6+(376.8-245.8)+(-1.394952+(-0.384336--0.250716))+0-155.7--0.158814000000025</f>
        <v>1341.530242</v>
      </c>
      <c r="X80" s="3">
        <f>1373.2+(405.5-393.7)+(-5.602656+(-1.65444--1.606296))+0-157.7--0.643415999999986</f>
        <v>1222.292616</v>
      </c>
      <c r="Y80" s="3">
        <f>1285+(459.6-397.4)+(-1.3107+(-0.468792--0.405348))+0-158.5--0.161670000000025</f>
        <v>1187.4875260000001</v>
      </c>
      <c r="Z80" s="3">
        <f>1227.4+(498.7-253.2)+(-2.503896+(-1.017348--0.516528))+0-160.5--0.327419999999993</f>
        <v>1309.7227040000002</v>
      </c>
      <c r="AA80" s="3">
        <f>1385.8+(390.5-261)+(-3.53379+(-0.995775--0.66555))+0-160.3--0.408764999999977</f>
        <v>1351.5447499999998</v>
      </c>
      <c r="AB80" s="3">
        <f>1400.9+(387.5-276)+(-2.857836+(-0.7905--0.56304))+0-158.5--0.323339999999993</f>
        <v>1351.138044</v>
      </c>
      <c r="AC80" s="3">
        <f>1398.5+(448.8-361.4)+(-2.85294+(-0.915552--0.737256))+0-158.8--0.323951999999993</f>
        <v>1324.3927160000001</v>
      </c>
      <c r="AD80">
        <v>1321.3</v>
      </c>
      <c r="AE80" s="3">
        <f>1385+(384.1-271.7)+(0+(0-0))+0-162.1-0</f>
        <v>1335.3000000000002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1348.3+(439.8-357.7)+(0+(0-0))+0-159.4-0</f>
        <v>1271</v>
      </c>
      <c r="G81" s="3">
        <f>1219.7+(505.6-306.8)+(-0.622047+(-0.257856--0.156468))+0-160.7--0.0819569999999837</f>
        <v>1257.1585219999997</v>
      </c>
      <c r="H81" s="3">
        <f>1217.2+(497.6-334.1)+(0.620772+(0.253776-0.170391))+0-155.1-0.0791009999999843</f>
        <v>1226.225056</v>
      </c>
      <c r="I81" s="3">
        <f>1222.9+(475.7-338)+(-0.623679+(-0.242607--0.17238))+0-156.1--0.0796109999999842</f>
        <v>1203.8857050000001</v>
      </c>
      <c r="J81" s="3">
        <f>1236.7+(420.7-311.3)+(-0.630717+(-0.214557--0.158763))+0-156.9--0.0800189999999841</f>
        <v>1188.5935079999997</v>
      </c>
      <c r="K81" s="3">
        <f>1241.4+(313.8-250.9)+(-3.16557+(-0.80019--0.639795))+0-162.1--0.413354999999976</f>
        <v>1139.2873900000002</v>
      </c>
      <c r="L81" s="3">
        <f>1251.7+(267.5-264.8)+(-1.276734+(-0.27285--0.270096))+0-164.1--0.167382000000026</f>
        <v>1089.1878940000004</v>
      </c>
      <c r="M81" s="3">
        <f>1251.5+(287.2-263.2)+(1.27653+(0.292944-0.268464))+0-167.7-0.171054000000027</f>
        <v>1108.9299559999997</v>
      </c>
      <c r="N81" s="3">
        <f>1215.2+(375.2-259.4)+(1.859256+(0.574056-0.396882))+0-171.1-0.26178300000001</f>
        <v>1161.6746470000003</v>
      </c>
      <c r="O81" s="3">
        <f>1204.4+(460.1-272.7)+(0+(0-0))+0-171-0</f>
        <v>1220.8000000000002</v>
      </c>
      <c r="P81" s="3">
        <f>1182.1+(478-192.3)+(0+(0-0))+0-170-0</f>
        <v>1297.8</v>
      </c>
      <c r="Q81" s="3">
        <f>1197.8+(534.2-182.9)+(1.221756+(0.544884-0.186558))+0-166-0.169320000000026</f>
        <v>1384.5107619999999</v>
      </c>
      <c r="R81" s="3">
        <f>1265.2+(677.8-345.9)+(-0.645252+(-0.345678--0.176409))+0-162.6--0.0829259999999835</f>
        <v>1433.768405</v>
      </c>
      <c r="S81" s="3">
        <f>1336.6+(705.9-457.1)+(-2.726664+(-1.440036--0.932484))+0-165.2--0.337007999999993</f>
        <v>1417.3027919999997</v>
      </c>
      <c r="T81" s="3">
        <f>1359.6+(786.1-543.7)+(-2.773584+(-1.603644--1.109148))+0-169--0.344759999999993</f>
        <v>1430.0766799999999</v>
      </c>
      <c r="U81" s="3">
        <f>1357.7+(809.5-573.2)+(-0.692427+(-0.412845--0.292332))+0-164.3--0.0837929999999833</f>
        <v>1428.970853</v>
      </c>
      <c r="V81" s="3">
        <f>1368.2+(656.4-458.2)+(-3.48891+(-1.67382--1.16841))+0-168.8--0.430439999999976</f>
        <v>1394.0361200000002</v>
      </c>
      <c r="W81" s="3">
        <f>1366.7+(431-309.8)+(-1.394034+(-0.43962--0.315996))+0-170.2--0.173604000000027</f>
        <v>1316.3559460000001</v>
      </c>
      <c r="X81" s="3">
        <f>1376.7+(308-307.8)+(-4.212702+(-0.94248--0.941868))+0-165.7--0.507042000000019</f>
        <v>1207.4937279999999</v>
      </c>
      <c r="Y81" s="3">
        <f>1386.1+(321.2-365.7)+(-0.706911+(-0.163812--0.186507))+0-159.4--0.0812939999999838</f>
        <v>1181.5970779999998</v>
      </c>
      <c r="Z81" s="3">
        <f>1412.8+(380.1-319)+(-2.161584+(-0.581553--0.48807))+0-159--0.243270000000009</f>
        <v>1312.888203</v>
      </c>
      <c r="AA81" s="3">
        <f>1455.2+(415.8-361.2)+(-2.226456+(-0.636174--0.552636))+0-156.8--0.239904000000009</f>
        <v>1350.9299100000003</v>
      </c>
      <c r="AB81" s="3">
        <f>1467.4+(451.6-413.7)+(-4.490244+(-1.381896--1.265922))+0-156.1--0.477666000000018</f>
        <v>1345.0714480000004</v>
      </c>
      <c r="AC81" s="3">
        <f>1453.4+(461.9-420.5)+(-1.482468+(-0.471138--0.42891))+0-157.4--0.160548000000025</f>
        <v>1336.0358520000002</v>
      </c>
      <c r="AD81">
        <v>1329.3999999999999</v>
      </c>
      <c r="AE81" s="3">
        <f>1450+(422.8-374.1)+(0+(0-0))+0-153.3-0</f>
        <v>1345.4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1270.8+(563-372.7)+(-2.592432+(-1.14852--0.760308))+0-154.4--0.314975999999993</f>
        <v>1304.0343319999997</v>
      </c>
      <c r="G82" s="3">
        <f>1249.1+(561.1-378.5)+(-3.185205+(-1.430805--0.965175))+0-154.6--0.394229999999978</f>
        <v>1273.8433949999999</v>
      </c>
      <c r="H82" s="3">
        <f>1241.9+(509.9-358.5)+(-1.266738+(-0.520098--0.36567))+0-152.6--0.155652000000024</f>
        <v>1239.4344860000001</v>
      </c>
      <c r="I82" s="3">
        <f>1236.2+(468.4-336.5)+(-0.630462+(-0.238884--0.171615))+0-152.6--0.0778259999999845</f>
        <v>1214.880095</v>
      </c>
      <c r="J82" s="3">
        <f>1242.3+(423.7-317.6)+(-1.267146+(-0.432174--0.323952))+0-152.9--0.155958000000024</f>
        <v>1194.2805899999998</v>
      </c>
      <c r="K82" s="3">
        <f>1263.7+(302.3-259.5)+(-3.222435+(-0.770865--0.661725))+0-152.7--0.389384999999978</f>
        <v>1150.85781</v>
      </c>
      <c r="L82" s="3">
        <f>1254.7+(309.6-312.1)+(0+(0-0))+0-150.4-0</f>
        <v>1101.8</v>
      </c>
      <c r="M82" s="3">
        <f>1263.3+(307.8-285.9)+(0.644283+(0.156978-0.145809))+0-155.7-0.0794069999999842</f>
        <v>1130.076045</v>
      </c>
      <c r="N82" s="3">
        <f>1253.9+(351.2-284.3)+(-0.639489+(-0.179112--0.144993))+0-159--0.0810899999999839</f>
        <v>1161.207482</v>
      </c>
      <c r="O82" s="3">
        <f>1241.6+(437.9-291.6)+(-0.633216+(-0.223329--0.148716))+0-160.2--0.0817019999999837</f>
        <v>1227.0738729999998</v>
      </c>
      <c r="P82" s="3">
        <f>1230.5+(492.2-262.8)+(-0.627555+(-0.251022--0.134028))+0-166.5--0.0849149999999831</f>
        <v>1292.740366</v>
      </c>
      <c r="Q82" s="3">
        <f>1216.5+(589.7-286.7)+(0.620415+(0.300747-0.146217))+0-168.4-0.0858839999999829</f>
        <v>1351.7890609999997</v>
      </c>
      <c r="R82" s="3">
        <f>1199.7+(691.8-378.6)+(-0.611847+(-0.352818--0.193086))+0-163.4--0.0833339999999834</f>
        <v>1348.8117549999999</v>
      </c>
      <c r="S82" s="3">
        <f>1208.4+(752.8-461.4)+(-1.232568+(-0.767856--0.470628))+0-164.3--0.167586000000026</f>
        <v>1334.1377900000002</v>
      </c>
      <c r="T82" s="3">
        <f>1197.2+(732.8-435.4)+(-2.442288+(-1.494912--0.888216))+0-167.6--0.341903999999993</f>
        <v>1324.2929199999999</v>
      </c>
      <c r="U82" s="3">
        <f>1202.4+(706.4-424)+(-1.839672+(-1.080792--0.64872))+0-157.2--0.240516000000009</f>
        <v>1325.5687720000003</v>
      </c>
      <c r="V82" s="3">
        <f>1198+(654.9-389.3)+(-1.83294+(-1.001997--0.595629))+0-163.5--0.250155000000009</f>
        <v>1298.1108469999999</v>
      </c>
      <c r="W82" s="3">
        <f>1197.3+(461.8-245.3)+(-3.053115+(-1.17759--0.625515))+0-161.5--0.411824999999977</f>
        <v>1249.1066349999999</v>
      </c>
      <c r="X82" s="3">
        <f>1205.6+(338.3-202.7)+(-3.07428+(-0.862665--0.516885))+0-160.3--0.408764999999977</f>
        <v>1177.8887049999998</v>
      </c>
      <c r="Y82" s="3">
        <f>1211+(350.1-299.6)+(-1.23522+(-0.357102--0.305592))+0-159.2--0.162384000000025</f>
        <v>1101.1756539999999</v>
      </c>
      <c r="Z82" s="3">
        <f>1235.9+(448.6-272.8)+(0.630309+(0.228786-0.139128))+0-160.9-0.0820589999999837</f>
        <v>1251.4379079999999</v>
      </c>
      <c r="AA82" s="3">
        <f>1257.6+(521.4-309.1)+(-2.565504+(-1.063656--0.630564))+0-162--0.330479999999993</f>
        <v>1305.231884</v>
      </c>
      <c r="AB82" s="3">
        <f>1260.1+(545.2-337.2)+(-1.285302+(-0.556104--0.343944))+0-159.7--0.162894000000025</f>
        <v>1307.0654319999999</v>
      </c>
      <c r="AC82" s="3">
        <f>1255+(522.2-339.6)+(-1.2801+(-0.532644--0.346392))+0-156.1--0.159222000000025</f>
        <v>1280.1928700000001</v>
      </c>
      <c r="AD82">
        <v>1302.9000000000001</v>
      </c>
      <c r="AE82" s="3">
        <f>1267+(530.3-317.8)+(0+(0-0))+0-160.6-0</f>
        <v>1318.9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1254.7+(493.2-348.9)+(-1.279794+(-0.503064--0.355878))+0-156.5--0.159630000000025</f>
        <v>1241.2326500000001</v>
      </c>
      <c r="G83" s="3">
        <f>1244.4+(494-367.7)+(-3.17322+(-1.2597--0.937635))+0-157.7--0.402134999999977</f>
        <v>1209.9068500000001</v>
      </c>
      <c r="H83" s="3">
        <f>1259.2+(442.5-360.9)+(-3.21096+(-1.128375--0.920295))+0-157.4--0.401369999999977</f>
        <v>1180.3823300000001</v>
      </c>
      <c r="I83" s="3">
        <f>1261.7+(406.8-352.4)+(0.643467+(0.207468-0.179724))+0-155.3-0.0792029999999843</f>
        <v>1161.3920080000003</v>
      </c>
      <c r="J83" s="3">
        <f>1269+(373.5-344.5)+(0+(0-0))+0-153.6-0</f>
        <v>1144.4000000000001</v>
      </c>
      <c r="K83" s="3">
        <f>1276.4+(302.9-307.6)+(-3.905784+(-0.926874--0.941256))+0-155.4--0.475524000000018</f>
        <v>1112.8841219999999</v>
      </c>
      <c r="L83" s="3">
        <f>1284.3+(291.5-335.2)+(1.964979+(0.445995-0.512856))+0-155.4-0.237762000000009</f>
        <v>1086.8603559999999</v>
      </c>
      <c r="M83" s="3">
        <f>1282.8+(412.6-423)+(-1.962684+(-0.631278--0.64719))+0-160.5--0.245565000000009</f>
        <v>1110.198793</v>
      </c>
      <c r="N83" s="3">
        <f>1272.3+(516.5-468.1)+(1.297746+(0.52683-0.477462))+0-155-0.158100000000025</f>
        <v>1166.8890139999996</v>
      </c>
      <c r="O83" s="3">
        <f>1265.3+(552.6-442.6)+(1.290606+(0.563652-0.451452))+0-144.5-0.147390000000023</f>
        <v>1232.0554159999999</v>
      </c>
      <c r="P83" s="3">
        <f>1253.8+(538.4-351.4)+(1.918314+(0.823752-0.537642))+0-145.6-0.222768000000008</f>
        <v>1297.181656</v>
      </c>
      <c r="Q83" s="3">
        <f>1236.5+(543-260.4)+(0+(0-0))+0-146.9-0</f>
        <v>1372.1999999999998</v>
      </c>
      <c r="R83" s="3">
        <f>1250.9+(586.4-270)+(0.637959+(0.299064-0.1377))+0-148.7-0.0758369999999849</f>
        <v>1419.323486</v>
      </c>
      <c r="S83" s="3">
        <f>1248.1+(677.5-345.4)+(-0.636531+(-0.345525--0.176154))+0-149.4--0.0761939999999848</f>
        <v>1430.0702919999997</v>
      </c>
      <c r="T83" s="3">
        <f>1309.3+(617.8-367.8)+(-0.667743+(-0.315078--0.187578))+0-150.6--0.0768059999999847</f>
        <v>1407.9815630000001</v>
      </c>
      <c r="U83" s="3">
        <f>1294.2+(608.7-348.6)+(-1.320084+(-0.620874--0.355572))+0-150--0.153000000000024</f>
        <v>1402.8676140000002</v>
      </c>
      <c r="V83" s="3">
        <f>1297.9+(514.7-274.5)+(-1.323858+(-0.524994--0.27999))+0-153.4--0.156468000000024</f>
        <v>1383.2876060000001</v>
      </c>
      <c r="W83" s="3">
        <f>1332.6+(398.2-273.5)+(-2.718504+(-0.812328--0.55794))+0-155.8--0.317831999999993</f>
        <v>1298.84494</v>
      </c>
      <c r="X83" s="3">
        <f>1328.2+(525.3-495.2)+(-3.38691+(-1.339515--1.26276))+0-149.9--0.382244999999978</f>
        <v>1205.3185799999999</v>
      </c>
      <c r="Y83" s="3">
        <f>1408.2+(513.4-607.7)+(-2.154546+(-0.785502--0.929781))+0-147.3--0.225369000000009</f>
        <v>1164.815102</v>
      </c>
      <c r="Z83" s="3">
        <f>1456+(444.7-468)+(-2.22768+(-0.680391--0.71604))+0-153.7--0.235161000000009</f>
        <v>1277.04313</v>
      </c>
      <c r="AA83" s="3">
        <f>1466.7+(467-456.7)+(-2.244051+(-0.71451--0.698751))+0-153--0.234090000000009</f>
        <v>1321.9742799999999</v>
      </c>
      <c r="AB83" s="3">
        <f>1469.6+(433.4-428.6)+(-0.749496+(-0.221034--0.218586))+0-150.4--0.0767039999999847</f>
        <v>1323.3247599999997</v>
      </c>
      <c r="AC83" s="3">
        <f>1456.6+(411-415.1)+(-1.485732+(-0.41922--0.423402))+0-146.9--0.149838000000023</f>
        <v>1304.268288</v>
      </c>
      <c r="AD83">
        <v>1300.3000000000002</v>
      </c>
      <c r="AE83" s="3">
        <f>1461+(453-447.1)+(0+(0-0))+0-150.6-0</f>
        <v>1316.3000000000002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1467.1+(379.5-427.4)+(-0.748221+(-0.193545--0.217974))+0-147.4--0.075173999999985</f>
        <v>1271.1513819999998</v>
      </c>
      <c r="G84" s="3">
        <f>1492.7+(353-464.7)+(-2.283831+(-0.54009--0.710991))+0-149.8--0.229194000000009</f>
        <v>1229.316264</v>
      </c>
      <c r="H84" s="3">
        <f>1503.4+(349.4-501.8)+(-0.766734+(-0.178194--0.255918))+0-149.7--0.0763469999999848</f>
        <v>1200.6873369999998</v>
      </c>
      <c r="I84" s="3">
        <f>1513.2+(299.6-487.3)+(-2.315196+(-0.458388--0.745569))+0-148.8--0.227664000000009</f>
        <v>1174.899649</v>
      </c>
      <c r="J84" s="3">
        <f>1528.5+(276.2-510.6)+(-3.11814+(-0.563448--1.041624))+0-147.4--0.300695999999994</f>
        <v>1144.3607319999999</v>
      </c>
      <c r="K84" s="3">
        <f>1531+(298.6-586.4)+(-7.02729+(-1.370574--2.691576))+0-147.2--0.675648000000026</f>
        <v>1090.9693600000001</v>
      </c>
      <c r="L84" s="3">
        <f>1524.2+(347.7-676.1)+(-6.218736+(-1.418616--2.758488))+0-146.3--0.596903999999987</f>
        <v>1045.21804</v>
      </c>
      <c r="M84" s="3">
        <f>1508.3+(389.6-652.7)+(-1.538466+(-0.397392--0.665754))+0-151.1--0.154122000000024</f>
        <v>1092.9840179999999</v>
      </c>
      <c r="N84" s="3">
        <f>1489.4+(483.6-647.3)+(-3.038376+(-0.986544--1.320492))+0-152.5--0.311099999999993</f>
        <v>1170.8066720000002</v>
      </c>
      <c r="O84" s="3">
        <f>1443.7+(533.6-572.3)+(-2.208861+(-0.816408--0.875619))+0-152.5--0.233325000000009</f>
        <v>1250.5836749999999</v>
      </c>
      <c r="P84" s="3">
        <f>1468.7+(570.5-571)+(-1.498074+(-0.58191--0.58242))+0-156.2--0.159324000000025</f>
        <v>1310.66176</v>
      </c>
      <c r="Q84" s="3">
        <f>1450.9+(574.9-482.9)+(-0.739959+(-0.293199--0.246279))+0-166.1--0.0847109999999831</f>
        <v>1376.0978320000002</v>
      </c>
      <c r="R84" s="3">
        <f>1439.5+(499.6-349.6)+(-2.202435+(-0.764388--0.534888))+0-165.3--0.25290900000001</f>
        <v>1422.020974</v>
      </c>
      <c r="S84" s="3">
        <f>1427.3+(524.3-361.5)+(-2.183769+(-0.802179--0.553095))+0-162.2--0.248166000000009</f>
        <v>1425.7153129999999</v>
      </c>
      <c r="T84" s="3">
        <f>1411.6+(547.8-368.8)+(0.719916+(0.279378-0.188088))+0-155.7-0.0794069999999842</f>
        <v>1435.631799</v>
      </c>
      <c r="U84" s="3">
        <f>1416.8+(497.2-357.7)+(-3.61284+(-1.26786--0.912135))+0-150.1--0.382754999999978</f>
        <v>1402.6141900000002</v>
      </c>
      <c r="V84" s="3">
        <f>1410.2+(440.2-304.3)+(0+(0-0))+0-155.4-0</f>
        <v>1390.6999999999998</v>
      </c>
      <c r="W84" s="3">
        <f>1403.6+(407.3-345.7)+(-1.431672+(-0.415446--0.352614))+0-149.5--0.152490000000024</f>
        <v>1314.3579859999998</v>
      </c>
      <c r="X84" s="3">
        <f>1408.1+(529.6-563.1)+(-2.154393+(-0.810288--0.861543))+0-149.8--0.229194000000009</f>
        <v>1222.926056</v>
      </c>
      <c r="Y84" s="3">
        <f>1412.8+(540.5-650.3)+(-0.720528+(-0.275655--0.331653))+0-138.5--0.0706349999999859</f>
        <v>1163.906105</v>
      </c>
      <c r="Z84" s="3">
        <f>1431.1+(530-537.8)+(-0.729861+(-0.2703--0.274278))+0-144.6--0.0737459999999853</f>
        <v>1278.047863</v>
      </c>
      <c r="AA84" s="3">
        <f>1465.7+(475.5-475.8)+(-2.990028+(-0.97002--0.970632))+0-139.2--0.283967999999994</f>
        <v>1323.4945520000001</v>
      </c>
      <c r="AB84" s="3">
        <f>1503+(410.8-452.8)+(-0.76653+(-0.209508--0.230928))+0-133.5--0.0680849999999865</f>
        <v>1326.8229749999998</v>
      </c>
      <c r="AC84" s="3">
        <f>1462.8+(392.7-426.2)+(0.746028+(0.200277-0.217362))+0-132.3-0.0674729999999866</f>
        <v>1297.66147</v>
      </c>
      <c r="AD84">
        <v>1277.1000000000001</v>
      </c>
      <c r="AE84" s="3">
        <f>1453+(444.2-471.5)+(0+(0-0))+0-137.6-0</f>
        <v>1288.1000000000001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1467.2+(363.6-420.4)+(-2.993088+(-0.741744--0.857616))+0-133--0.271319999999994</f>
        <v>1274.7941040000001</v>
      </c>
      <c r="G85" s="3">
        <f>1470.2+(340.2-444)+(-1.499604+(-0.347004--0.45288))+0-133.3--0.135966000000021</f>
        <v>1231.8422380000002</v>
      </c>
      <c r="H85" s="3">
        <f>1478.5+(312.3-465.2)+(-3.01614+(-0.637092--0.949008))+0-125.7--0.256427999999994</f>
        <v>1197.4522039999997</v>
      </c>
      <c r="I85" s="3">
        <f>1482.3+(305.1-481.8)+(-3.779865+(-0.778005--1.22859))+0-132.4--0.337619999999981</f>
        <v>1170.2083399999999</v>
      </c>
      <c r="J85" s="3">
        <f>1485.8+(293-486.5)+(1.515516+(0.29886-0.49623))+0-133.7-0.136374000000021</f>
        <v>1159.781772</v>
      </c>
      <c r="K85" s="3">
        <f>1497.3+(306.3-556.3)+(-3.818115+(-0.781065--1.418565))+0-133.5--0.340424999999981</f>
        <v>1110.9598099999998</v>
      </c>
      <c r="L85" s="3">
        <f>1500.9+(341.4-639.7)+(-3.827295+(-0.87057--1.631235))+0-131.7--0.335834999999981</f>
        <v>1068.1692049999999</v>
      </c>
      <c r="M85" s="3">
        <f>1490.2+(406-662)+(1.520004+(0.41412-0.67524))+0-134.4-0.137088000000021</f>
        <v>1100.9217960000001</v>
      </c>
      <c r="N85" s="3">
        <f>1470.1+(468.8-636.7)+(0+(0-0))+0-136.5-0</f>
        <v>1165.6999999999998</v>
      </c>
      <c r="O85" s="3">
        <f>1438.3+(495.6-576.7)+(0.733533+(0.252756-0.294117))+0-134.7-0.0686969999999863</f>
        <v>1223.1234749999999</v>
      </c>
      <c r="P85" s="3">
        <f>1432.3+(615.3-596)+(-1.460946+(-0.627606--0.60792))+0-144.9--0.147798000000023</f>
        <v>1305.3671659999998</v>
      </c>
      <c r="Q85" s="3">
        <f>1413.8+(585.3-500)+(0.721038+(0.298503-0.255))+0-129.4-0.0659939999999869</f>
        <v>1370.3985469999998</v>
      </c>
      <c r="R85" s="3">
        <f>1415.5+(516.7-383.7)+(-1.44381+(-0.527034--0.391374))+0-126.6--0.12913200000002</f>
        <v>1420.4496620000002</v>
      </c>
      <c r="S85" s="3">
        <f>1430.4+(491.3-358.1)+(-0.729504+(-0.250563--0.182631))+0-130.8--0.0667079999999867</f>
        <v>1432.0692720000002</v>
      </c>
      <c r="T85" s="3">
        <f>1441.2+(487.6-364.4)+(0+(0-0))+0-138.2-0</f>
        <v>1426.2</v>
      </c>
      <c r="U85" s="3">
        <f>1444.3+(451.5-351.3)+(-2.209779+(-0.690795--0.537489))+0-135.4--0.207162000000008</f>
        <v>1406.9440769999999</v>
      </c>
      <c r="V85" s="3">
        <f>1407.1+(417-278.9)+(0+(0-0))+0-136.2-0</f>
        <v>1408.9999999999998</v>
      </c>
      <c r="W85" s="3">
        <f>1412.3+(443.6-383.8)+(-1.440546+(-0.452472--0.391476))+0-136.9--0.139638000000022</f>
        <v>1333.838096</v>
      </c>
      <c r="X85" s="3">
        <f>1415.4+(530.4-588)+(-2.887416+(-1.082016--1.19952))+0-139.5--0.284579999999994</f>
        <v>1215.8146680000002</v>
      </c>
      <c r="Y85" s="3">
        <f>1423.8+(524.5-642.9)+(-1.452276+(-0.53499--0.655758))+0-140--0.142800000000022</f>
        <v>1164.2112920000002</v>
      </c>
      <c r="Z85" s="3">
        <f>1421.1+(503.7-507.8)+(-0.724761+(-0.256887--0.258978))+0-145.3--0.0741029999999853</f>
        <v>1271.0514329999999</v>
      </c>
      <c r="AA85" s="3">
        <f>1437+(534.4-506.8)+(-2.19861+(-0.817632--0.775404))+0-147.7--0.225981000000009</f>
        <v>1314.885143</v>
      </c>
      <c r="AB85" s="3">
        <f>1469.5+(476.9-482.1)+(-3.747225+(-1.216095--1.229355))+0-144.5--0.368474999999979</f>
        <v>1316.43451</v>
      </c>
      <c r="AC85" s="3">
        <f>1470.2+(472-503.1)+(-1.499604+(-0.48144--0.513162))+0-143.9--0.146778000000023</f>
        <v>1293.8788959999999</v>
      </c>
      <c r="AD85">
        <v>1289.3000000000002</v>
      </c>
      <c r="AE85" s="3">
        <f>1428+(520.7-496.4)+(0+(0-0))+0-147-0</f>
        <v>1305.3000000000002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1490.3+(461.4-535)+(-2.280159+(-0.705942--0.81855))+0-143.8--0.220014000000008</f>
        <v>1270.9524629999999</v>
      </c>
      <c r="G86" s="3">
        <f>1503+(426.8-559.9)+(-3.83265+(-1.08834--1.427745))+0-139.8--0.35648999999998</f>
        <v>1226.9632450000001</v>
      </c>
      <c r="H86" s="3">
        <f>1510.7+(417.3-599.8)+(-0.770457+(-0.212823--0.305898))+0-137.4--0.0700739999999861</f>
        <v>1190.1926919999999</v>
      </c>
      <c r="I86" s="3">
        <f>1510.9+(306-499.9)+(-3.082236+(-0.62424--1.019796))+0-138--0.281519999999994</f>
        <v>1176.59484</v>
      </c>
      <c r="J86" s="3">
        <f>1520.5+(306.4-522)+(-3.877275+(-0.78132--1.3311))+0-140--0.35699999999998</f>
        <v>1161.9295050000001</v>
      </c>
      <c r="K86" s="3">
        <f>1521.3+(269.3-554.2)+(-6.206904+(-1.098744--2.261136))+0-138.9--0.566711999999988</f>
        <v>1093.0221999999999</v>
      </c>
      <c r="L86" s="3">
        <f>1492+(293-597.1)+(-2.28276+(-0.44829--0.913563))+0-135.3--0.207009000000008</f>
        <v>1050.9895220000001</v>
      </c>
      <c r="M86" s="3">
        <f>1469.2+(377.6-604.4)+(0.749292+(0.192576-0.308244))+0-141.1-0.0719609999999857</f>
        <v>1101.8616630000004</v>
      </c>
      <c r="N86" s="3">
        <f>1456.2+(480.9-617.7)+(0.742662+(0.245259-0.315027))+0-144.6-0.0737459999999853</f>
        <v>1175.3991480000002</v>
      </c>
      <c r="O86" s="3">
        <f>1433.5+(580.4-640.9)+(0.731085+(0.296004-0.326859))+0-145.1-0.0740009999999853</f>
        <v>1228.5262290000001</v>
      </c>
      <c r="P86" s="3">
        <f>1411.6+(636-623.3)+(0.719916+(0.32436-0.317883))+0-138.3-0.070532999999986</f>
        <v>1286.6558599999998</v>
      </c>
      <c r="Q86" s="3">
        <f>1400.1+(610.9-519.7)+(0.714051+(0.311559-0.265047))+0-134.5-0.0685949999999864</f>
        <v>1357.4919679999998</v>
      </c>
      <c r="R86" s="3">
        <f>1398+(558.7-400)+(0.71298+(0.284937-0.204))+0-137.1-0.0699209999999861</f>
        <v>1420.3239960000001</v>
      </c>
      <c r="S86" s="3">
        <f>1367.3+(596.8-406.6)+(-1.394646+(-0.608736--0.414732))+0-145.1--0.148002000000023</f>
        <v>1410.9593520000003</v>
      </c>
      <c r="T86" s="3">
        <f>1376.4+(590.3-403.5)+(-0.701964+(-0.301053--0.205785))+0-151--0.0770099999999847</f>
        <v>1411.4797780000001</v>
      </c>
      <c r="U86" s="3">
        <f>1387+(539.1-370.3)+(-2.82948+(-1.099764--0.755412))+0-149.9--0.305795999999993</f>
        <v>1403.031964</v>
      </c>
      <c r="V86" s="3">
        <f>1375+(467.2-297.7)+(0+(0-0))+0-153.1-0</f>
        <v>1391.4</v>
      </c>
      <c r="W86" s="3">
        <f>1371+(461.6-382.3)+(-4.19526+(-1.412496--1.169838))+0-151--0.462060000000017</f>
        <v>1295.3241419999999</v>
      </c>
      <c r="X86" s="3">
        <f>1372.1+(550.9-578.3)+(-4.898397+(-1.966713--2.064531))+0-148.1--0.528717000000002</f>
        <v>1192.3281379999999</v>
      </c>
      <c r="Y86" s="3">
        <f>1380.5+(551-635.8)+(-3.520275+(-1.40505--1.62129))+0-146.6--0.373829999999979</f>
        <v>1146.169795</v>
      </c>
      <c r="Z86" s="3">
        <f>1451.9+(481.6-514.6)+(0+(0-0))+0-149.1-0</f>
        <v>1269.8000000000002</v>
      </c>
      <c r="AA86" s="3">
        <f>1490.9+(509.3-532.9)+(-4.562154+(-1.558458--1.630674))+0-150.9--0.461754000000017</f>
        <v>1312.3718160000001</v>
      </c>
      <c r="AB86" s="3">
        <f>1482.6+(464.5-492.2)+(-1.512252+(-0.47379--0.502044))+0-150--0.153000000000024</f>
        <v>1303.569002</v>
      </c>
      <c r="AC86" s="3">
        <f>1448.3+(427.5-439.7)+(0.738633+(0.218025-0.224247))+0-150-0.0764999999999848</f>
        <v>1286.755911</v>
      </c>
      <c r="AD86">
        <v>1297.8999999999999</v>
      </c>
      <c r="AE86" s="3">
        <f>1485+(494.8-515.7)+(0+(0-0))+0-150.2-0</f>
        <v>1313.8999999999999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1442+(367.7-431.5)+(-3.6771+(-0.937635--1.100325))+0-150.9--0.384794999999978</f>
        <v>1224.1703849999999</v>
      </c>
      <c r="G87" s="3">
        <f>1466.2+(340.4-442.9)+(-2.243286+(-0.520812--0.677637))+0-148.1--0.226593000000009</f>
        <v>1213.7401320000001</v>
      </c>
      <c r="H87" s="3">
        <f>1466+(330.8-467.5)+(-1.49532+(-0.337416--0.47685))+0-148--0.150960000000024</f>
        <v>1180.0950739999998</v>
      </c>
      <c r="I87" s="3">
        <f>1477.4+(305.6-476.3)+(-3.013896+(-0.623424--0.971652))+0-146.8--0.299471999999994</f>
        <v>1157.5338039999999</v>
      </c>
      <c r="J87" s="3">
        <f>1489+(306.8-507.6)+(0.75939+(0.156468-0.258876))+0-145.6-0.0742559999999852</f>
        <v>1143.1827260000002</v>
      </c>
      <c r="K87" s="3">
        <f>1499.3+(257.9-505.8)+(-0.764643+(-0.131529--0.257958))+0-145.7--0.0743069999999852</f>
        <v>1105.1360929999998</v>
      </c>
      <c r="L87" s="3">
        <f>1458.8+(256.2-519)+(0.743988+(0.130662-0.26469))+0-143.2-0.0730319999999855</f>
        <v>1053.3369279999999</v>
      </c>
      <c r="M87" s="3">
        <f>1453.8+(307.1-524.6)+(0.741438+(0.156621-0.267546))+0-150.5-0.0767549999999847</f>
        <v>1086.353758</v>
      </c>
      <c r="N87" s="3">
        <f>1455+(372.6-544.1)+(-0.74205+(-0.190026--0.277491))+0-139.1--0.0709409999999859</f>
        <v>1143.816356</v>
      </c>
      <c r="O87" s="3">
        <f>1442.9+(441-539)+(-0.735879+(-0.22491--0.27489))+0-129--0.0657899999999869</f>
        <v>1215.2798909999999</v>
      </c>
      <c r="P87" s="3">
        <f>1407+(505.1-502.3)+(-0.71757+(-0.257601--0.256173))+0-129.9--0.0662489999999868</f>
        <v>1279.2472509999998</v>
      </c>
      <c r="Q87" s="3">
        <f>1385.2+(524.5-433.1)+(-2.119356+(-0.802485--0.662643))+0-127.7--0.195381000000007</f>
        <v>1346.8361829999999</v>
      </c>
      <c r="R87" s="3">
        <f>1384.6+(522.5-371.2)+(-0.706146+(-0.266475--0.189312))+0-128--0.065279999999987</f>
        <v>1407.181971</v>
      </c>
      <c r="S87" s="3">
        <f>1385.7+(582.1-406)+(-1.413414+(-0.593742--0.41412))+0-129.5--0.132090000000021</f>
        <v>1430.8390540000003</v>
      </c>
      <c r="T87" s="3">
        <f>1380.3+(590.5-402)+(-2.111859+(-0.903465--0.61506))+0-131.6--0.201348000000008</f>
        <v>1435.001084</v>
      </c>
      <c r="U87" s="3">
        <f>1385.5+(547.6-386.1)+(-3.533025+(-1.39638--0.984555))+0-130.4--0.332519999999981</f>
        <v>1412.9876699999998</v>
      </c>
      <c r="V87" s="3">
        <f>1408.6+(429.7-326.8)+(-2.873544+(-0.876588--0.666672))+0-132--0.269279999999994</f>
        <v>1376.6858199999999</v>
      </c>
      <c r="W87" s="3">
        <f>1380.1+(395.1-328.5)+(-2.111553+(-0.604503--0.502605))+0-131.5--0.201195000000008</f>
        <v>1313.1877439999998</v>
      </c>
      <c r="X87" s="3">
        <f>1377.4+(443.9-466.2)+(-4.214844+(-1.358334--1.426572))+0-132.7--0.406062000000015</f>
        <v>1218.6594560000001</v>
      </c>
      <c r="Y87" s="3">
        <f>1371.1+(428.8-499.7)+(-2.097783+(-0.656064--0.764541))+0-131.9--0.201807000000008</f>
        <v>1166.5125009999997</v>
      </c>
      <c r="Z87" s="3">
        <f>1417.6+(435.6-423.4)+(-0.722976+(-0.222156--0.215934))+0-134.7--0.0686969999999863</f>
        <v>1294.4394989999998</v>
      </c>
      <c r="AA87" s="3">
        <f>1434.6+(500.7-460.2)+(-2.194938+(-0.766071--0.704106))+0-135.2--0.206856000000008</f>
        <v>1337.8499529999999</v>
      </c>
      <c r="AB87" s="3">
        <f>1441.2+(505.9-490.4)+(-1.470024+(-0.516018--0.500208))+0-133.2--0.135864000000021</f>
        <v>1322.15003</v>
      </c>
      <c r="AC87" s="3">
        <f>1449.6+(519.4-519.4)+(-1.478592+(-0.529788--0.529788))+0-132.6--0.135252000000021</f>
        <v>1315.6566600000001</v>
      </c>
      <c r="AD87">
        <v>1311.8</v>
      </c>
      <c r="AE87" s="3">
        <f>1431+(505.2-471.6)+(0+(0-0))+0-135.8-0</f>
        <v>1328.8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1474.2+(481.1-528)+(-2.255526+(-0.736083--0.80784))+0-132.7--0.203031000000008</f>
        <v>1292.6192620000002</v>
      </c>
      <c r="G88" s="3">
        <f>1477.5+(421.6-519.3)+(-1.50705+(-0.430032--0.529686))+0-130.8--0.133416000000021</f>
        <v>1247.7260200000003</v>
      </c>
      <c r="H88" s="3">
        <f>1492.2+(395.3-542.8)+(-3.80511+(-1.008015--1.38414))+0-129.6--0.330479999999981</f>
        <v>1212.0014950000002</v>
      </c>
      <c r="I88" s="3">
        <f>1502.7+(355.5-533.7)+(0+(0-0))+0-127.1-0</f>
        <v>1197.4000000000001</v>
      </c>
      <c r="J88" s="3">
        <f>1433.6+(360.7-486.8)+(-4.386816+(-1.103742--1.489608))+0-127.7--0.390762000000015</f>
        <v>1176.1898119999998</v>
      </c>
      <c r="K88" s="3">
        <f>1450.7+(269.1-452)+(-3.699285+(-0.686205--1.1526))+0-126.4--0.322319999999982</f>
        <v>1138.4894300000001</v>
      </c>
      <c r="L88" s="3">
        <f>1445.8+(246.1-477.8)+(-2.212074+(-0.376533--0.731034))+0-123--0.188190000000007</f>
        <v>1089.430617</v>
      </c>
      <c r="M88" s="3">
        <f>1433.6+(239.5-438.5)+(-2.193408+(-0.366435--0.670905))+0-127.8--0.195534000000007</f>
        <v>1105.1065959999999</v>
      </c>
      <c r="N88" s="3">
        <f>1408.9+(263.8-395.4)+(-1.437078+(-0.269076--0.403308))+0-127.6--0.13015200000002</f>
        <v>1148.5273060000002</v>
      </c>
      <c r="O88" s="3">
        <f>1387.4+(288.6-317.4)+(-2.830296+(-0.588744--0.647496))+0-130.8--0.266831999999994</f>
        <v>1225.2952880000003</v>
      </c>
      <c r="P88" s="3">
        <f>1386.8+(312.8-272.6)+(0.707268+(0.159528-0.139026))+0-132.7-0.0676769999999865</f>
        <v>1294.9600929999999</v>
      </c>
      <c r="Q88" s="3">
        <f>1374.7+(423.4-317.2)+(-1.402194+(-0.431868--0.323544))+0-133.1--0.135762000000021</f>
        <v>1346.4252440000002</v>
      </c>
      <c r="R88" s="3">
        <f>1360.9+(595.1-454.1)+(-0.694059+(-0.303501--0.231591))+0-130.1--0.0663509999999868</f>
        <v>1371.1003820000001</v>
      </c>
      <c r="S88" s="3">
        <f>1360.5+(716.9-568.3)+(-2.081565+(-1.096857--0.869499))+0-131.4--0.201042000000008</f>
        <v>1375.5921189999997</v>
      </c>
      <c r="T88" s="3">
        <f>1357.9+(793.7-630.2)+(-1.385058+(-0.809574--0.642804))+0-132.3--0.134946000000021</f>
        <v>1387.6831180000004</v>
      </c>
      <c r="U88" s="3">
        <f>1339.4+(796.7-628.6)+(-2.049282+(-1.218951--0.961758))+0-128.3--0.196299000000007</f>
        <v>1377.0898239999999</v>
      </c>
      <c r="V88" s="3">
        <f>1325.8+(717.2-538.3)+(-2.028474+(-1.097316--0.823599))+0-136.5--0.208845000000008</f>
        <v>1366.1066540000002</v>
      </c>
      <c r="W88" s="3">
        <f>1299.8+(511.6-365.5)+(-1.988694+(-0.782748--0.559215))+0-135.1--0.206703000000008</f>
        <v>1308.7944760000003</v>
      </c>
      <c r="X88" s="3">
        <f>1297+(306.2-271.9)+(-3.96882+(-0.936972--0.832014))+0-130.2--0.398412000000015</f>
        <v>1197.424634</v>
      </c>
      <c r="Y88" s="3">
        <f>1303.7+(267-304)+(-1.994661+(-0.40851--0.46512))+0-129.8--0.198594000000008</f>
        <v>1135.160543</v>
      </c>
      <c r="Z88" s="3">
        <f>1332.2+(386.9-320.8)+(1.358844+(0.394638-0.327216))+0-132.4-0.135048000000021</f>
        <v>1267.1912179999997</v>
      </c>
      <c r="AA88" s="3">
        <f>1378+(443.1-381.1)+(-4.21668+(-1.355886--1.166166))+0-133.7--0.409122000000015</f>
        <v>1302.3027219999999</v>
      </c>
      <c r="AB88" s="3">
        <f>1385.6+(467.2-422.2)+(-1.413312+(-0.476544--0.430644))+0-129.3--0.131886000000021</f>
        <v>1299.9726740000001</v>
      </c>
      <c r="AC88" s="3">
        <f>1384.5+(503.8-462.6)+(-1.41219+(-0.513876--0.471852))+0-131--0.133620000000021</f>
        <v>1293.379406</v>
      </c>
      <c r="AD88">
        <v>1293.3</v>
      </c>
      <c r="AE88" s="3">
        <f>1382+(448.8-383.5)+(0+(0-0))+0-138-0</f>
        <v>1309.3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1374.9+(516.8-482.1)+(1.402398+(0.527136-0.491742))+0-128.4-0.13096800000002</f>
        <v>1282.5068239999998</v>
      </c>
      <c r="G89" s="3">
        <f>1378.8+(468.8-475.5)+(-2.812752+(-0.956352--0.97002))+0-127.8--0.260711999999994</f>
        <v>1241.761628</v>
      </c>
      <c r="H89" s="3">
        <f>1401.5+(408-461.2)+(0+(0-0))+0-126.2-0</f>
        <v>1222.0999999999999</v>
      </c>
      <c r="I89" s="3">
        <f>1418.9+(358.3-460)+(-1.447278+(-0.365466--0.4692))+0-124.8--0.12729600000002</f>
        <v>1191.1837520000001</v>
      </c>
      <c r="J89" s="3">
        <f>1424.4+(366-484)+(0+(0-0))+0-126.9-0</f>
        <v>1179.5</v>
      </c>
      <c r="K89" s="3">
        <f>1417.1+(351.7-498.7)+(-4.336326+(-1.076202--1.526022))+0-126.5--0.387090000000015</f>
        <v>1140.1005839999998</v>
      </c>
      <c r="L89" s="3">
        <f>1414.8+(339.5-535.2)+(-3.60774+(-0.865725--1.36476))+0-122.1--0.311354999999982</f>
        <v>1094.2026499999999</v>
      </c>
      <c r="M89" s="3">
        <f>1414.5+(312.6-486.5)+(-1.44279+(-0.318852--0.49623))+0-127.9--0.13045800000002</f>
        <v>1111.5650459999999</v>
      </c>
      <c r="N89" s="3">
        <f>1404.5+(289.5-403.2)+(0.716295+(0.147645-0.205632))+0-130.2-0.0664019999999868</f>
        <v>1161.191906</v>
      </c>
      <c r="O89" s="3">
        <f>1383.6+(280.8-327.7)+(-2.822544+(-0.572832--0.668508))+0-122.8--0.250511999999995</f>
        <v>1211.423644</v>
      </c>
      <c r="P89" s="3">
        <f>1343.7+(346-322.5)+(0.685287+(0.17646-0.164475))+0-114-0.0581399999999884</f>
        <v>1253.8391320000001</v>
      </c>
      <c r="Q89" s="3">
        <f>1348.7+(416.7-331.1)+(0+(0-0))+0-116-0</f>
        <v>1318.3</v>
      </c>
      <c r="R89" s="3">
        <f>1332.2+(566.6-430.4)+(0+(0-0))+0-127.8-0</f>
        <v>1340.6000000000001</v>
      </c>
      <c r="S89" s="3">
        <f>1329.4+(669.9-515.5)+(-0.677994+(-0.341649--0.262905))+0-129--0.0657899999999869</f>
        <v>1354.109052</v>
      </c>
      <c r="T89" s="3">
        <f>1313.4+(760.4-585)+(0.669834+(0.387804-0.29835))+0-131.6-0.0671159999999866</f>
        <v>1357.8921720000003</v>
      </c>
      <c r="U89" s="3">
        <f>1309.8+(750.8-592.8)+(-0.667998+(-0.382908--0.302328))+0-126.3--0.0644129999999872</f>
        <v>1340.8158350000001</v>
      </c>
      <c r="V89" s="3">
        <f>1298.7+(700.3-535.5)+(-2.649348+(-1.428612--1.09242))+0-130.3--0.265811999999994</f>
        <v>1330.4802720000002</v>
      </c>
      <c r="W89" s="3">
        <f>1298.1+(464-352.8)+(-0.662031+(-0.23664--0.179928))+0-131.4--0.0670139999999867</f>
        <v>1277.2482709999999</v>
      </c>
      <c r="X89" s="3">
        <f>1308.7+(243.1-228.2)+(-4.004622+(-0.743886--0.698292))+0-132.5--0.405450000000015</f>
        <v>1187.455234</v>
      </c>
      <c r="Y89" s="3">
        <f>1272.4+(266.6-276)+(-1.946772+(-0.407898--0.42228))+0-128.8--0.197064000000007</f>
        <v>1132.4646740000001</v>
      </c>
      <c r="Z89" s="3">
        <f>1363.3+(443.4-398.3)+(4.171698+(1.356804-1.218798))+0-132.8-0.406368000000015</f>
        <v>1279.503336</v>
      </c>
      <c r="AA89" s="3">
        <f>1399.3+(488.3-415.6)+(-0.713643+(-0.249033--0.211956))+0-132.4--0.0675239999999866</f>
        <v>1338.916804</v>
      </c>
      <c r="AB89" s="3">
        <f>1409.7+(512-447.7)+(-1.437894+(-0.52224--0.456654))+0-127.9--0.13045800000002</f>
        <v>1344.7269779999999</v>
      </c>
      <c r="AC89" s="3">
        <f>1430.1+(502.7-486.6)+(-1.458702+(-0.512754--0.496332))+0-128.6--0.13117200000002</f>
        <v>1316.256048</v>
      </c>
      <c r="AD89">
        <v>1310.1000000000001</v>
      </c>
      <c r="AE89" s="3">
        <f>1390+(493.2-422.3)+(0+(0-0))+0-134.8-0</f>
        <v>1326.1000000000001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1420.1+(479.7-484.1)+(-3.621255+(-1.223235--1.234455))+0-130.6--0.333029999999981</f>
        <v>1281.822995</v>
      </c>
      <c r="G90" s="3">
        <f>1400.5+(449.7-476.3)+(-4.28553+(-1.376082--1.457478))+0-128.2--0.392292000000015</f>
        <v>1241.888158</v>
      </c>
      <c r="H90" s="3">
        <f>1503.4+(344.6-504.3)+(-3.066936+(-0.702984--1.028772))+0-128.5--0.262139999999994</f>
        <v>1212.720992</v>
      </c>
      <c r="I90" s="3">
        <f>1522.8+(300.2-489.8)+(-1.553256+(-0.306204--0.499596))+0-129.3--0.131886000000021</f>
        <v>1202.672022</v>
      </c>
      <c r="J90" s="3">
        <f>1530.4+(274.3-479.9)+(-3.90252+(-0.699465--1.223745))+0-129.5--0.330224999999981</f>
        <v>1192.2519850000001</v>
      </c>
      <c r="K90" s="3">
        <f>1539.1+(280.3-535.6)+(-1.569882+(-0.285906--0.546312))+0-126.4--0.12892800000002</f>
        <v>1156.219452</v>
      </c>
      <c r="L90" s="3">
        <f>1535.7+(227.9-519.3)+(-0.783207+(-0.116229--0.264843))+0-123.7--0.0630869999999875</f>
        <v>1120.0284940000001</v>
      </c>
      <c r="M90" s="3">
        <f>1524.9+(246.8-471.7)+(0.777699+(0.125868-0.240567))+0-129.1-0.0658409999999869</f>
        <v>1171.497159</v>
      </c>
      <c r="N90" s="3">
        <f>1516.9+(287.7-452.3)+(1.547238+(0.293454-0.461346))+0-134.7-0.137394000000021</f>
        <v>1218.841952</v>
      </c>
      <c r="O90" s="3">
        <f>1506.9+(324.5-424.8)+(1.537038+(0.33099-0.433296))+0-132.2-0.134844000000021</f>
        <v>1275.6998880000001</v>
      </c>
      <c r="P90" s="3">
        <f>1482.5+(363.9-371.4)+(-1.51215+(-0.371178--0.378828))+0-132.1--0.134742000000021</f>
        <v>1341.530242</v>
      </c>
      <c r="Q90" s="3">
        <f>1355.6+(432.1-259.3)+(1.382712+(0.440742-0.264486))+0-127.3-0.12984600000002</f>
        <v>1402.5291219999999</v>
      </c>
      <c r="R90" s="3">
        <f>1325.8+(518.6-274.7)+(0+(0-0))+0-133.2-0</f>
        <v>1436.5</v>
      </c>
      <c r="S90" s="3">
        <f>1315.3+(735.6-479)+(1.341606+(0.750312-0.48858))+0-135.2-0.137904000000022</f>
        <v>1438.165434</v>
      </c>
      <c r="T90" s="3">
        <f>1306.5+(797.3-525)+(-1.33263+(-0.813246--0.5355))+0-134.6--0.137292000000021</f>
        <v>1442.7269160000001</v>
      </c>
      <c r="U90" s="3">
        <f>1301+(729.6-481)+(-1.32702+(-0.744192--0.49062))+0-130.3--0.132906000000021</f>
        <v>1417.852314</v>
      </c>
      <c r="V90" s="3">
        <f>1292.2+(616.6-375.5)+(-2.636088+(-1.257864--0.76602))+0-135--0.275399999999994</f>
        <v>1395.4474680000001</v>
      </c>
      <c r="W90" s="3">
        <f>1311.7+(385.3-215.7)+(-4.013802+(-1.179018--0.660042))+0-133.6--0.408816000000015</f>
        <v>1343.5760380000004</v>
      </c>
      <c r="X90" s="3">
        <f>1319.5+(362-306.5)+(-4.03767+(-1.10772--0.93789))+0-132.2--0.404532000000015</f>
        <v>1238.997032</v>
      </c>
      <c r="Y90" s="3">
        <f>1363.9+(395.2-459.9)+(-2.086767+(-0.604656--0.703647))+0-129.5--0.198135000000007</f>
        <v>1167.9103590000002</v>
      </c>
      <c r="Z90" s="3">
        <f>1448.7+(353.2-359.4)+(0+(0-0))+0-134-0</f>
        <v>1308.5</v>
      </c>
      <c r="AA90" s="3">
        <f>1492+(380.2-383.2)+(-2.28276+(-0.581706--0.586296))+0-136.2--0.208386000000008</f>
        <v>1350.7302159999999</v>
      </c>
      <c r="AB90" s="3">
        <f>1491.3+(400.5-407.3)+(-3.802815+(-1.021275--1.038615))+0-133.3--0.339914999999981</f>
        <v>1347.7544400000002</v>
      </c>
      <c r="AC90" s="3">
        <f>1477.2+(420.2-440)+(0+(0-0))+0-129.3-0</f>
        <v>1328.1000000000001</v>
      </c>
      <c r="AD90">
        <v>1336</v>
      </c>
      <c r="AE90" s="3">
        <f>1489+(378.2-381.2)+(0+(0-0))+0-135-0</f>
        <v>1351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1518.9+(355.5-449.4)+(-0.774639+(-0.181305--0.229194))+0-130.1--0.0663509999999868</f>
        <v>1294.239601</v>
      </c>
      <c r="G91" s="3">
        <f>1516.8+(314-443.7)+(-1.547136+(-0.32028--0.452574))+0-130.9--0.133518000000021</f>
        <v>1254.918676</v>
      </c>
      <c r="H91" s="3">
        <f>1516.8+(296.6-453.3)+(-3.094272+(-0.605064--0.924732))+0-131.5--0.268259999999994</f>
        <v>1226.093656</v>
      </c>
      <c r="I91" s="3">
        <f>1528.5+(283.9-474.9)+(0+(0-0))+0-131.4-0</f>
        <v>1206.0999999999999</v>
      </c>
      <c r="J91" s="3">
        <f>1523.1+(288.3-493.8)+(-3.107124+(-0.588132--1.007352))+0-129.9--0.264995999999994</f>
        <v>1185.2770919999998</v>
      </c>
      <c r="K91" s="3">
        <f>1516+(277-524.4)+(-4.63896+(-0.84762--1.604664))+0-130.1--0.398106000000015</f>
        <v>1135.0161900000001</v>
      </c>
      <c r="L91" s="3">
        <f>1534.2+(273.5-577.8)+(-5.477094+(-0.976395--2.062746))+0-127.2--0.454104000000002</f>
        <v>1098.763361</v>
      </c>
      <c r="M91" s="3">
        <f>1512.4+(304.3-556.9)+(0.771324+(0.155193-0.284019))+0-133.9-0.0682889999999864</f>
        <v>1126.474209</v>
      </c>
      <c r="N91" s="3">
        <f>1506.7+(350.2-528.9)+(2.305251+(0.535806-0.809217))+0-137.1-0.209763000000008</f>
        <v>1192.7220770000001</v>
      </c>
      <c r="O91" s="3">
        <f>1488.7+(383.7-479.9)+(0.759237+(0.195687-0.244749))+0-137.4-0.0700739999999861</f>
        <v>1255.7401009999999</v>
      </c>
      <c r="P91" s="3">
        <f>1473.9+(408.2-434.6)+(0+(0-0))+0-133.9-0</f>
        <v>1313.6</v>
      </c>
      <c r="Q91" s="3">
        <f>1466.3+(387.1-328.2)+(1.495626+(0.394842-0.334764))+0-132.4-0.135048000000021</f>
        <v>1394.220656</v>
      </c>
      <c r="R91" s="3">
        <f>1472.7+(468.5-391.2)+(0+(0-0))+0-130.4-0</f>
        <v>1419.6</v>
      </c>
      <c r="S91" s="3">
        <f>1469.6+(601.8-502.4)+(0+(0-0))+0-132.5-0</f>
        <v>1436.5</v>
      </c>
      <c r="T91" s="3">
        <f>1439.5+(676.6-544.2)+(0+(0-0))+0-137.6-0</f>
        <v>1434.3000000000002</v>
      </c>
      <c r="U91" s="3">
        <f>1429.3+(610-505.3)+(-1.457886+(-0.6222--0.515406))+0-132.4--0.135048000000021</f>
        <v>1400.1703680000001</v>
      </c>
      <c r="V91" s="3">
        <f>1403.5+(543.8-411.3)+(-0.715785+(-0.277338--0.209763))+0-137.1--0.0699209999999861</f>
        <v>1398.1865610000002</v>
      </c>
      <c r="W91" s="3">
        <f>1406.1+(363.8-287.6)+(0+(0-0))+0-136.4-0</f>
        <v>1345.8999999999999</v>
      </c>
      <c r="X91" s="3">
        <f>1413.3+(358.1-400.9)+(-0.720783+(-0.182631--0.204459))+0-134.3--0.0684929999999864</f>
        <v>1235.569538</v>
      </c>
      <c r="Y91" s="3">
        <f>1425.1+(410.3-552.5)+(0+(0-0))+0-130.7-0</f>
        <v>1152.1999999999998</v>
      </c>
      <c r="Z91" s="3">
        <f>1462.9+(333.8-375.1)+(-1.492158+(-0.340476--0.382602))+0-133.8--0.136476000000021</f>
        <v>1286.4864440000003</v>
      </c>
      <c r="AA91" s="3">
        <f>1482.1+(349.4-347.9)+(-2.267613+(-0.534582--0.532287))+0-136.5--0.208845000000008</f>
        <v>1345.038937</v>
      </c>
      <c r="AB91" s="3">
        <f>1505.5+(369-409.3)+(-1.53561+(-0.37638--0.417486))+0-131.6--0.134232000000021</f>
        <v>1332.2397280000002</v>
      </c>
      <c r="AC91" s="3">
        <f>1529+(360.9-446.3)+(-1.55958+(-0.368118--0.455226))+0-132--0.134640000000021</f>
        <v>1310.262168</v>
      </c>
      <c r="AD91">
        <v>1326</v>
      </c>
      <c r="AE91" s="3">
        <f>1477+(358.3-354.3)+(0+(0-0))+0-139-0</f>
        <v>1342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1508.1+(386.3-480)+(-4.614786+(-1.182078--1.4688))+0-134.4--0.411264000000016</f>
        <v>1276.0831999999998</v>
      </c>
      <c r="G92" s="3">
        <f>1519.4+(348-505.1)+(-3.099576+(-0.70992--1.030404))+0-129.6--0.264383999999994</f>
        <v>1230.1852920000003</v>
      </c>
      <c r="H92" s="3">
        <f>1524.1+(288.4-488.3)+(-2.331873+(-0.441252--0.747099))+0-126.7--0.193851000000007</f>
        <v>1195.6678249999998</v>
      </c>
      <c r="I92" s="3">
        <f>1525.3+(239.5-466.4)+(1.555806+(0.24429-0.475728))+0-128.3-0.13086600000002</f>
        <v>1171.2935020000002</v>
      </c>
      <c r="J92" s="3">
        <f>1535.9+(235.2-484)+(-3.133236+(-0.479808--0.98736))+0-125.5--0.256019999999995</f>
        <v>1159.2303360000001</v>
      </c>
      <c r="K92" s="3">
        <f>1440.5+(268.7-460.3)+(-3.673275+(-0.685185--1.173765))+0-127.1--0.324104999999982</f>
        <v>1118.9394100000002</v>
      </c>
      <c r="L92" s="3">
        <f>1499.4+(274.8-564.4)+(-1.529388+(-0.280296--0.575688))+0-127.4--0.12994800000002</f>
        <v>1081.2959520000002</v>
      </c>
      <c r="M92" s="3">
        <f>1525.3+(323.6-609.8)+(3.889515+(0.82518-1.55499))+0-132.1-0.336854999999981</f>
        <v>1109.82285</v>
      </c>
      <c r="N92" s="3">
        <f>1485.3+(346.6-511.1)+(0.757503+(0.176766-0.260661))+0-135-0.0688499999999863</f>
        <v>1186.4047580000001</v>
      </c>
      <c r="O92" s="3">
        <f>1453.4+(404.1-462.9)+(-0.741234+(-0.206091--0.236079))+0-133.1--0.0678809999999865</f>
        <v>1260.8566350000001</v>
      </c>
      <c r="P92" s="3">
        <f>1442.2+(408.5-390.9)+(2.206566+(0.625005-0.598077))+0-128.3-0.196299000000007</f>
        <v>1333.5371950000003</v>
      </c>
      <c r="Q92" s="3">
        <f>1448.5+(375.7-300.3)+(2.95494+(0.766428-0.612612))+0-128.8-0.262751999999994</f>
        <v>1397.9460040000001</v>
      </c>
      <c r="R92" s="3">
        <f>1449.8+(476.3-369.1)+(0.739398+(0.242913-0.188241))+0-127.1-0.0648209999999871</f>
        <v>1430.6292490000001</v>
      </c>
      <c r="S92" s="3">
        <f>1446.6+(600.4-459.5)+(0.737766+(0.306204-0.234345))+0-126.2-0.0643619999999872</f>
        <v>1462.045263</v>
      </c>
      <c r="T92" s="3">
        <f>1464.4+(616.1-490.7)+(1.493688+(0.628422-0.500514))+0-127.5-0.13005000000002</f>
        <v>1463.7915460000002</v>
      </c>
      <c r="U92" s="3">
        <f>1463.6+(585.3-469.3)+(0+(0-0))+0-127.5-0</f>
        <v>1452.1</v>
      </c>
      <c r="V92" s="3">
        <f>1453.3+(500.8-378.1)+(0.741183+(0.255408-0.192831))+0-131.1-0.0668609999999867</f>
        <v>1445.6368990000001</v>
      </c>
      <c r="W92" s="3">
        <f>1440.9+(330.6-279.2)+(-2.204577+(-0.505818--0.427176))+0-127.6--0.195228000000007</f>
        <v>1362.6120090000004</v>
      </c>
      <c r="X92" s="3">
        <f>1425.1+(431.8-488.1)+(-2.907204+(-0.880872--0.995724))+0-126.6--0.258263999999994</f>
        <v>1239.6659120000002</v>
      </c>
      <c r="Y92" s="3">
        <f>1439.4+(467.3-624.5)+(-3.67047+(-1.191615--1.592475))+0-126.1--0.321554999999982</f>
        <v>1153.1519450000001</v>
      </c>
      <c r="Z92" s="3">
        <f>1462.4+(437.7-495)+(0+(0-0))+0-127.2-0</f>
        <v>1277.9000000000001</v>
      </c>
      <c r="AA92" s="3">
        <f>1500.4+(378.1-418.4)+(-0.765204+(-0.192831--0.213384))+0-131.3--0.0669629999999867</f>
        <v>1328.1223120000002</v>
      </c>
      <c r="AB92" s="3">
        <f>1506+(363-422.4)+(-1.53612+(-0.37026--0.430848))+0-129.4--0.131988000000021</f>
        <v>1315.856456</v>
      </c>
      <c r="AC92" s="3">
        <f>1504.9+(364.4-435.8)+(-1.534998+(-0.371688--0.444516))+0-128.8--0.131376000000021</f>
        <v>1303.3692060000001</v>
      </c>
      <c r="AD92">
        <v>1307.3000000000002</v>
      </c>
      <c r="AE92" s="3">
        <f>1511+(367.7-427.8)+(0+(0-0))+0-127.6-0</f>
        <v>1323.3000000000002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1523+(316.6-438.1)+(-1.55346+(-0.322932--0.446862))+0-128.4--0.13096800000002</f>
        <v>1271.8014379999997</v>
      </c>
      <c r="G93" s="3">
        <f>1518.4+(287.5-445.7)+(0+(0-0))+0-124.5-0</f>
        <v>1235.7</v>
      </c>
      <c r="H93" s="3">
        <f>1530.3+(286.3-493.4)+(-2.341359+(-0.438039--0.754902))+0-123.1--0.188343000000007</f>
        <v>1198.2638470000002</v>
      </c>
      <c r="I93" s="3">
        <f>1541.2+(280.8-527.2)+(-1.572024+(-0.286416--0.537744))+0-122.9--0.12535800000002</f>
        <v>1170.7046619999999</v>
      </c>
      <c r="J93" s="3">
        <f>1547.3+(275.8-540.5)+(-3.945615+(-0.70329--1.378275))+0-121.7--0.310334999999982</f>
        <v>1157.9397049999998</v>
      </c>
      <c r="K93" s="3">
        <f>1537.4+(266.1-572)+(-3.92037+(-0.678555--1.4586))+0-121.1--0.308804999999982</f>
        <v>1107.5684799999999</v>
      </c>
      <c r="L93" s="3">
        <f>1528+(319.8-676.3)+(0+(0-0))+0-118.6-0</f>
        <v>1052.9000000000001</v>
      </c>
      <c r="M93" s="3">
        <f>1522.6+(363.6-671)+(0.776526+(0.185436-0.34221))+0-122.9-0.0626789999999875</f>
        <v>1092.8570729999999</v>
      </c>
      <c r="N93" s="3">
        <f>1507.8+(407.5-625.5)+(-1.537956+(-0.41565--0.63801))+0-128.1--0.13066200000002</f>
        <v>1160.5150660000002</v>
      </c>
      <c r="O93" s="3">
        <f>1467.1+(452.6-553.4)+(-1.496442+(-0.461652--0.564468))+0-127.6--0.13015200000002</f>
        <v>1237.436526</v>
      </c>
      <c r="P93" s="3">
        <f>1425.7+(449.9-428.7)+(0.727107+(0.229449-0.218637))+0-130.2-0.0664019999999868</f>
        <v>1317.371517</v>
      </c>
      <c r="Q93" s="3">
        <f>1414.4+(395.8-308)+(0+(0-0))+0-130.8-0</f>
        <v>1371.4</v>
      </c>
      <c r="R93" s="3">
        <f>1420.5+(436.8-343.9)+(-1.44891+(-0.445536--0.350778))+0-127.8--0.13035600000002</f>
        <v>1384.1866880000002</v>
      </c>
      <c r="S93" s="3">
        <f>1431+(565.1-443.2)+(-0.72981+(-0.288201--0.226032))+0-125.1--0.0638009999999873</f>
        <v>1427.0718220000001</v>
      </c>
      <c r="T93" s="3">
        <f>1427.9+(632.4-495.6)+(0+(0-0))+0-126.9-0</f>
        <v>1437.8</v>
      </c>
      <c r="U93" s="3">
        <f>1424.2+(552.3-463.6)+(-0.726342+(-0.281673--0.236436))+0-121.6--0.0620159999999877</f>
        <v>1390.5904370000003</v>
      </c>
      <c r="V93" s="3">
        <f>1416.3+(520.2-389.2)+(-0.722313+(-0.265302--0.198492))+0-126.3--0.0644129999999872</f>
        <v>1420.27529</v>
      </c>
      <c r="W93" s="3">
        <f>1403.7+(350.9-261.6)+(-1.431774+(-0.357918--0.266832))+0-125.1--0.12760200000002</f>
        <v>1366.5047420000001</v>
      </c>
      <c r="X93" s="3">
        <f>1398.5+(423-438.8)+(-2.139705+(-0.64719--0.671364))+0-124.7--0.190791000000007</f>
        <v>1256.0752600000001</v>
      </c>
      <c r="Y93" s="3">
        <f>1404.5+(440.1-528.9)+(-5.73036+(-1.795608--2.157912))+0-125.5--0.512039999999989</f>
        <v>1185.3439840000001</v>
      </c>
      <c r="Z93" s="3">
        <f>1443.6+(359.8-367.2)+(1.472472+(0.366996-0.374544))+0-126.7-0.12923400000002</f>
        <v>1310.8356899999999</v>
      </c>
      <c r="AA93" s="3">
        <f>1490.9+(392.3-400.4)+(-0.760359+(-0.200073--0.204204))+0-125.3--0.0639029999999873</f>
        <v>1356.8076750000002</v>
      </c>
      <c r="AB93" s="3">
        <f>1458.9+(430.7-415.9)+(-0.744039+(-0.219657--0.212109))+0-128.5--0.065534999999987</f>
        <v>1344.513948</v>
      </c>
      <c r="AC93" s="3">
        <f>1462.7+(434.3-440.5)+(-2.983908+(-0.885972--0.89862))+0-132.1--0.269483999999994</f>
        <v>1321.698224</v>
      </c>
      <c r="AD93">
        <v>1337</v>
      </c>
      <c r="AE93" s="3">
        <f>1497+(389.6-406.6)+(0+(0-0))+0-127-0</f>
        <v>1353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1478.3+(394.7-451.7)+(-3.769665+(-1.006485--1.151835))+0-131--0.334049999999981</f>
        <v>1287.0097349999999</v>
      </c>
      <c r="G94" s="3">
        <f>1490.9+(327.7-447.7)+(-3.041436+(-0.668508--0.913308))+0-122.5--0.249899999999995</f>
        <v>1245.8532640000001</v>
      </c>
      <c r="H94" s="3">
        <f>1501.6+(300.9-465.5)+(-3.82908+(-0.767295--1.187025))+0-121--0.308549999999982</f>
        <v>1212.8992000000001</v>
      </c>
      <c r="I94" s="3">
        <f>1504.6+(264.5-458.4)+(-3.069384+(-0.53958--0.935136))+0-117.8--0.240311999999995</f>
        <v>1190.4664839999998</v>
      </c>
      <c r="J94" s="3">
        <f>1521.2+(260.1-487.3)+(-0.775812+(-0.132651--0.248523))+0-116.2--0.0592619999999882</f>
        <v>1177.1993219999999</v>
      </c>
      <c r="K94" s="3">
        <f>1534.4+(259.8-542.6)+(-3.130176+(-0.529992--1.106904))+0-116.3--0.237251999999995</f>
        <v>1132.9839880000002</v>
      </c>
      <c r="L94" s="3">
        <f>1532.5+(263.3-596.7)+(-1.56315+(-0.268566--0.608634))+0-108--0.110160000000017</f>
        <v>1089.9870779999999</v>
      </c>
      <c r="M94" s="3">
        <f>1520.4+(294.8-578)+(0.775404+(0.150348-0.29478))+0-112.7-0.0574769999999886</f>
        <v>1125.0734949999999</v>
      </c>
      <c r="N94" s="3">
        <f>1501.9+(332.3-530)+(-0.765969+(-0.169473--0.2703))+0-116.5--0.0594149999999882</f>
        <v>1187.0942729999999</v>
      </c>
      <c r="O94" s="3">
        <f>1474.9+(371.7-485.1)+(0+(0-0))+0-111-0</f>
        <v>1250.5</v>
      </c>
      <c r="P94" s="3">
        <f>1464.3+(371.4-408.2)+(0+(0-0))+0-103.9-0</f>
        <v>1323.6</v>
      </c>
      <c r="Q94" s="3">
        <f>1465.3+(382.4-364.8)+(0+(0-0))+0-109.3-0</f>
        <v>1373.6</v>
      </c>
      <c r="R94" s="3">
        <f>1440.3+(481.8-373.6)+(0+(0-0))+0-114.4-0</f>
        <v>1434.1</v>
      </c>
      <c r="S94" s="3">
        <f>1422.7+(568.8-443.5)+(-1.451154+(-0.580176--0.45237))+0-110.9--0.113118000000018</f>
        <v>1435.6341579999998</v>
      </c>
      <c r="T94" s="3">
        <f>1404.7+(698-536.8)+(0.716397+(0.35598-0.273768))+0-106-0.0540599999999892</f>
        <v>1460.6445490000001</v>
      </c>
      <c r="U94" s="3">
        <f>1405.8+(739.1-584.6)+(-0.716958+(-0.376941--0.298146))+0-103--0.0525299999999896</f>
        <v>1456.5567769999998</v>
      </c>
      <c r="V94" s="3">
        <f>1395.2+(650-492.1)+(-1.423104+(-0.663--0.501942))+0-111.9--0.114138000000018</f>
        <v>1439.7299759999996</v>
      </c>
      <c r="W94" s="3">
        <f>1389.7+(436.5-341.6)+(-1.417494+(-0.44523--0.348432))+0-112.8--0.115056000000018</f>
        <v>1370.400764</v>
      </c>
      <c r="X94" s="3">
        <f>1391.9+(284.1-305.9)+(-4.969083+(-1.014237--1.092063))+0-111.2--0.396984000000002</f>
        <v>1254.4057270000001</v>
      </c>
      <c r="Y94" s="3">
        <f>1401.3+(326-432.4)+(-1.429326+(-0.33252--0.441048))+0-106--0.108120000000017</f>
        <v>1187.6873220000002</v>
      </c>
      <c r="Z94" s="3">
        <f>1446.8+(369.8-393.3)+(-1.475736+(-0.377196--0.401166))+0-115.4--0.117708000000018</f>
        <v>1306.5659419999999</v>
      </c>
      <c r="AA94" s="3">
        <f>1491+(442.1-462.5)+(-4.56246+(-1.352826--1.41525))+0-114.3--0.349758000000013</f>
        <v>1352.1497220000001</v>
      </c>
      <c r="AB94" s="3">
        <f>1486.8+(467.3-496.8)+(-1.516536+(-0.476646--0.506736))+0-114.5--0.116790000000018</f>
        <v>1341.4303440000001</v>
      </c>
      <c r="AC94" s="3">
        <f>1481.4+(457.7-493.1)+(0+(0-0))+0-117.7-0</f>
        <v>1328.3</v>
      </c>
      <c r="AD94">
        <v>1325.3</v>
      </c>
      <c r="AE94" s="3">
        <f>1482+(436.8-462.8)+(0+(0-0))+0-114.7-0</f>
        <v>1341.3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1452.2+(442.3-470.6)+(-0.740622+(-0.225573--0.240006))+0-121.5--0.0619649999999877</f>
        <v>1301.7357760000002</v>
      </c>
      <c r="G95" s="3">
        <f>1467.3+(393.6-483)+(-0.748323+(-0.200736--0.24633))+0-120--0.0611999999999878</f>
        <v>1257.2584710000001</v>
      </c>
      <c r="H95" s="3">
        <f>1484.6+(381.8-510.4)+(-0.757146+(-0.194718--0.260304))+0-123--0.0627299999999875</f>
        <v>1232.3711699999999</v>
      </c>
      <c r="I95" s="3">
        <f>1499.2+(330.8-498.9)+(-1.529184+(-0.337416--0.508878))+0-123--0.12546000000002</f>
        <v>1206.8677380000001</v>
      </c>
      <c r="J95" s="3">
        <f>1504.5+(312.7-499.9)+(1.53459+(0.318954-0.509898))+0-121-0.123420000000019</f>
        <v>1197.5202259999999</v>
      </c>
      <c r="K95" s="3">
        <f>1468.2+(320.4-506.7)+(-4.492692+(-0.980424--1.550502))+0-118.9--0.363834000000014</f>
        <v>1159.4412199999999</v>
      </c>
      <c r="L95" s="3">
        <f>1354.2+(278.6-404.4)+(-2.071926+(-0.426258--0.618732))+0-118.4--0.181152000000007</f>
        <v>1108.3017000000002</v>
      </c>
      <c r="M95" s="3">
        <f>1344.6+(249.6-322.4)+(1.371492+(0.254592-0.328848))+0-121.9-0.124338000000019</f>
        <v>1151.0728979999999</v>
      </c>
      <c r="N95" s="3">
        <f>1412.6+(270.2-354.7)+(2.161278+(0.413406-0.542691))+0-119.3-0.182529000000007</f>
        <v>1210.6494640000001</v>
      </c>
      <c r="O95" s="3">
        <f>1451.6+(329.6-380.9)+(2.220948+(0.504288-0.582777))+0-124-0.189720000000007</f>
        <v>1278.2527389999998</v>
      </c>
      <c r="P95" s="3">
        <f>1443.1+(403.1-368.7)+(0+(0-0))+0-123.5-0</f>
        <v>1354</v>
      </c>
      <c r="Q95" s="3">
        <f>1445.8+(464-368)+(-0.737358+(-0.23664--0.18768))+0-123.9--0.0631889999999874</f>
        <v>1417.1768709999999</v>
      </c>
      <c r="R95" s="3">
        <f>1442+(509.5-386.3)+(0+(0-0))+0-117.6-0</f>
        <v>1447.6000000000001</v>
      </c>
      <c r="S95" s="3">
        <f>1452+(580-461.4)+(-5.18364+(-2.0706--1.647198))+0-119.2--0.425544000000002</f>
        <v>1446.2185019999997</v>
      </c>
      <c r="T95" s="3">
        <f>1443.5+(639.2-497.7)+(-1.47237+(-0.651984--0.507654))+0-121.9--0.124338000000019</f>
        <v>1461.607638</v>
      </c>
      <c r="U95" s="3">
        <f>1432.5+(617.4-491.4)+(-2.191725+(-0.944622--0.751842))+0-115.7--0.177021000000007</f>
        <v>1440.5925159999999</v>
      </c>
      <c r="V95" s="3">
        <f>1443.1+(513.4-426.3)+(-1.471962+(-0.523668--0.434826))+0-122--0.124440000000019</f>
        <v>1406.7636359999999</v>
      </c>
      <c r="W95" s="3">
        <f>1425.6+(366.8-327.9)+(-2.908224+(-0.748272--0.668916))+0-123.7--0.252347999999995</f>
        <v>1338.064768</v>
      </c>
      <c r="X95" s="3">
        <f>1404.5+(281.5-335.7)+(-4.29777+(-0.86139--1.027242))+0-124.1--0.379746000000014</f>
        <v>1222.4478280000001</v>
      </c>
      <c r="Y95" s="3">
        <f>1388.4+(290.6-392.4)+(-4.248504+(-0.889236--1.200744))+0-122.7--0.375462000000014</f>
        <v>1160.3384660000002</v>
      </c>
      <c r="Z95" s="3">
        <f>1420.2+(430-440.8)+(0+(0-0))+0-118.4-0</f>
        <v>1291</v>
      </c>
      <c r="AA95" s="3">
        <f>1439.7+(402.5-400.5)+(-5.139729+(-1.436925--1.429785))+0-119.8--0.427686000000002</f>
        <v>1317.1808170000002</v>
      </c>
      <c r="AB95" s="3">
        <f>1456.9+(402.8-416.6)+(-2.229057+(-0.616284--0.637398))+0-122.6--0.187578000000007</f>
        <v>1318.4796350000001</v>
      </c>
      <c r="AC95" s="3">
        <f>1388.5+(453.3-402.8)+(-0.708135+(-0.231183--0.205428))+0-124.5--0.0634949999999874</f>
        <v>1313.8296049999999</v>
      </c>
      <c r="AD95">
        <v>1300.7</v>
      </c>
      <c r="AE95" s="3">
        <f>1434+(390-386.3)+(0+(0-0))+0-121-0</f>
        <v>1316.7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1259.2+(487.2-360.8)+(0+(0-0))+0-123-0</f>
        <v>1262.5999999999999</v>
      </c>
      <c r="G96" s="3">
        <f>1235.5+(462.5-340.5)+(-1.26021+(-0.47175--0.34731))+0-123.9--0.12637800000002</f>
        <v>1232.3417279999999</v>
      </c>
      <c r="H96" s="3">
        <f>1241.7+(412.4-329)+(-0.633267+(-0.210324--0.16779))+0-119.9--0.0611489999999878</f>
        <v>1204.5853479999996</v>
      </c>
      <c r="I96" s="3">
        <f>1245+(369-314)+(-2.5398+(-0.75276--0.64056))+0-120.3--0.245411999999995</f>
        <v>1177.293412</v>
      </c>
      <c r="J96" s="3">
        <f>1257.6+(345-315.6)+(1.282752+(0.3519-0.321912))+0-120.5-0.122910000000019</f>
        <v>1167.68983</v>
      </c>
      <c r="K96" s="3">
        <f>1269.4+(270.1-284.1)+(-1.942182+(-0.413253--0.434673))+0-119.4--0.182682000000007</f>
        <v>1134.2619200000001</v>
      </c>
      <c r="L96" s="3">
        <f>1277.8+(273.4-312.6)+(-1.303356+(-0.278868--0.318852))+0-118.1--0.120462000000019</f>
        <v>1119.3570900000002</v>
      </c>
      <c r="M96" s="3">
        <f>1269.8+(265.9-285.9)+(1.942794+(0.406827-0.437427))+0-121.7-0.186201000000007</f>
        <v>1129.8259929999999</v>
      </c>
      <c r="N96" s="3">
        <f>1264.6+(278-257.9)+(0+(0-0))+0-126.1-0</f>
        <v>1158.5999999999999</v>
      </c>
      <c r="O96" s="3">
        <f>1261.9+(293.1-218.7)+(-1.287138+(-0.298962--0.223074))+0-122.8--0.12525600000002</f>
        <v>1212.2622300000003</v>
      </c>
      <c r="P96" s="3">
        <f>1258.5+(353.4-206.2)+(1.28367+(0.360468-0.210324))+0-125-0.12750000000002</f>
        <v>1282.006314</v>
      </c>
      <c r="Q96" s="3">
        <f>1270+(419.6-224.4)+(0.6477+(0.213996-0.114444))+0-124.6-0.0635459999999874</f>
        <v>1341.2837059999999</v>
      </c>
      <c r="R96" s="3">
        <f>1269.7+(532.4-321.8)+(0.647547+(0.271524-0.164118))+0-124.9-0.0636989999999873</f>
        <v>1356.0912539999997</v>
      </c>
      <c r="S96" s="3">
        <f>1331.2+(585.6-409.3)+(-0.678912+(-0.298656--0.208743))+0-123.5--0.0629849999999875</f>
        <v>1383.2941599999999</v>
      </c>
      <c r="T96" s="3">
        <f>1372.7+(569.8-435)+(0+(0-0))+0-119.3-0</f>
        <v>1388.2</v>
      </c>
      <c r="U96" s="3">
        <f>1409.5+(521.6-431.9)+(-1.43769+(-0.532032--0.440538))+0-116.3--0.118626000000019</f>
        <v>1381.4894420000001</v>
      </c>
      <c r="V96" s="3">
        <f>1451.1+(424.9-385.1)+(1.480122+(0.433398-0.392802))+0-124-0.12648000000002</f>
        <v>1368.2942379999997</v>
      </c>
      <c r="W96" s="3">
        <f>1426.8+(322.1-321.5)+(-0.727668+(-0.164271--0.163965))+0-125.1--0.0638009999999873</f>
        <v>1301.6358270000003</v>
      </c>
      <c r="X96" s="3">
        <f>1424.2+(261.2-353.3)+(-1.452684+(-0.266424--0.360366))+0-123.7--0.12617400000002</f>
        <v>1207.167432</v>
      </c>
      <c r="Y96" s="3">
        <f>1413.4+(316.1-457.3)+(-1.441668+(-0.322422--0.466446))+0-121.2--0.123624000000019</f>
        <v>1149.8259800000001</v>
      </c>
      <c r="Z96" s="3">
        <f>1450.2+(379.9-417.9)+(-1.479204+(-0.387498--0.426258))+0-124.3--0.12678600000002</f>
        <v>1286.5863420000001</v>
      </c>
      <c r="AA96" s="3">
        <f>1469.5+(491.9-486.4)+(-4.49667+(-1.505214--1.488384))+0-127.4--0.389844000000015</f>
        <v>1343.4763439999999</v>
      </c>
      <c r="AB96" s="3">
        <f>1479.4+(515.8-522.2)+(-1.508988+(-0.526116--0.532644))+0-124.7--0.12719400000002</f>
        <v>1346.9247339999999</v>
      </c>
      <c r="AC96" s="3">
        <f>1489.7+(521.2-551)+(-0.759747+(-0.265812--0.28101))+0-124.8--0.0636479999999873</f>
        <v>1334.4190990000002</v>
      </c>
      <c r="AD96">
        <v>1302.1999999999998</v>
      </c>
      <c r="AE96" s="3">
        <f>1456+(512.3-524.7)+(0+(0-0))+0-126.4-0</f>
        <v>1317.1999999999998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1458.3+(503-537.2)+(-3.718665+(-1.28265--1.36986))+0-123.8--0.315689999999982</f>
        <v>1296.9842349999999</v>
      </c>
      <c r="G97" s="3">
        <f>1468.6+(461.3-552.4)+(-2.995944+(-0.941052--1.126896))+0-121--0.246839999999995</f>
        <v>1253.9367400000001</v>
      </c>
      <c r="H97" s="3">
        <f>1473.4+(418.8-544.9)+(-0.751434+(-0.213588--0.277899))+0-118.3--0.060332999999988</f>
        <v>1228.3732100000002</v>
      </c>
      <c r="I97" s="3">
        <f>1487.9+(410.6-568.7)+(-2.276487+(-0.628218--0.870111))+0-120--0.183600000000007</f>
        <v>1207.9490060000003</v>
      </c>
      <c r="J97" s="3">
        <f>1504.8+(382.3-571.1)+(-1.534896+(-0.389946--0.582522))+0-118.7--0.121074000000019</f>
        <v>1196.0787539999999</v>
      </c>
      <c r="K97" s="3">
        <f>1508.4+(286.3-520.1)+(-4.615704+(-0.876078--1.591506))+0-117.9--0.360774000000014</f>
        <v>1153.160498</v>
      </c>
      <c r="L97" s="3">
        <f>1508.6+(239.9-495.9)+(-3.077544+(-0.489396--1.011636))+0-116.9--0.238475999999995</f>
        <v>1133.3831719999998</v>
      </c>
      <c r="M97" s="3">
        <f>1514+(245-454.7)+(0+(0-0))+0-121.4-0</f>
        <v>1182.8999999999999</v>
      </c>
      <c r="N97" s="3">
        <f>1509.4+(254.4-405.3)+(-2.309382+(-0.389232--0.620109))+0-119.9--0.183447000000007</f>
        <v>1236.7049420000001</v>
      </c>
      <c r="O97" s="3">
        <f>1474.3+(338.8-389.1)+(1.503786+(0.345576-0.396882))+0-117.8-0.120156000000019</f>
        <v>1307.532324</v>
      </c>
      <c r="P97" s="3">
        <f>1430.3+(387.5-328.9)+(-0.729453+(-0.197625--0.167739))+0-118.4--0.060383999999988</f>
        <v>1369.8010449999999</v>
      </c>
      <c r="Q97" s="3">
        <f>1491.6+(409.6-345.9)+(-0.760716+(-0.208896--0.176409))+0-119--0.0606899999999879</f>
        <v>1435.567487</v>
      </c>
      <c r="R97" s="3">
        <f>1480.4+(519.9-417.7)+(0.755004+(0.265149-0.213027))+0-120.5-0.0614549999999878</f>
        <v>1462.845671</v>
      </c>
      <c r="S97" s="3">
        <f>1466.3+(631.2-513.6)+(-0.747813+(-0.321912--0.261936))+0-121.9--0.0621689999999876</f>
        <v>1461.2543800000001</v>
      </c>
      <c r="T97" s="3">
        <f>1453.2+(710.2-581.3)+(-1.482264+(-0.724404--0.592926))+0-118.4--0.120768000000019</f>
        <v>1462.207026</v>
      </c>
      <c r="U97" s="3">
        <f>1448+(728.2-593.6)+(-2.21544+(-1.114146--0.908208))+0-119.6--0.182988000000007</f>
        <v>1460.76161</v>
      </c>
      <c r="V97" s="3">
        <f>1439.9+(613.3-501.4)+(-3.671745+(-1.563915--1.27857))+0-125.1--0.319004999999982</f>
        <v>1423.0619150000002</v>
      </c>
      <c r="W97" s="3">
        <f>1426.4+(376.1-323.1)+(-5.092248+(-1.342677--1.153467))+0-124.6--0.444822000000002</f>
        <v>1349.9633640000002</v>
      </c>
      <c r="X97" s="3">
        <f>1446.4+(238.7-299.1)+(-4.425984+(-0.730422--0.915246))+0-125.2--0.383112000000015</f>
        <v>1256.9419519999999</v>
      </c>
      <c r="Y97" s="3">
        <f>1464.2+(257.6-388.6)+(-2.986968+(-0.525504--0.792744))+0-123.4--0.251735999999995</f>
        <v>1207.3320079999999</v>
      </c>
      <c r="Z97" s="3">
        <f>1471.3+(394.7-411.7)+(0+(0-0))+0-125.1-0</f>
        <v>1329.2</v>
      </c>
      <c r="AA97" s="3">
        <f>1489.1+(433.1-424)+(-1.518882+(-0.441762--0.43248))+0-125.9--0.12841800000002</f>
        <v>1370.9002539999997</v>
      </c>
      <c r="AB97" s="3">
        <f>1497.1+(458.4-461.8)+(-2.290563+(-0.701352--0.706554))+0-122.6--0.187578000000007</f>
        <v>1369.002217</v>
      </c>
      <c r="AC97" s="3">
        <f>1496.3+(495.3-515.3)+(-0.763113+(-0.252603--0.262803))+0-124.7--0.0635969999999874</f>
        <v>1350.9106839999999</v>
      </c>
      <c r="AD97">
        <v>1353.5</v>
      </c>
      <c r="AE97" s="3">
        <f>1478+(444.5-428.6)+(0+(0-0))+0-124.4-0</f>
        <v>1369.5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1485.4+(471.9-502.8)+(-2.272662+(-0.722007--0.769284))+0-123.3--0.188649000000007</f>
        <v>1329.163264</v>
      </c>
      <c r="G98" s="3">
        <f>1465+(465-511.3)+(-2.24145+(-0.71145--0.782289))+0-123.4--0.188802000000007</f>
        <v>1293.3181909999998</v>
      </c>
      <c r="H98" s="3">
        <f>1473.7+(413.5-500.6)+(-1.503174+(-0.42177--0.510612))+0-121.7--0.124134000000019</f>
        <v>1263.6098019999997</v>
      </c>
      <c r="I98" s="3">
        <f>1478+(373.4-488.9)+(2.26134+(0.571302-0.748017))+0-122.5-0.187425000000007</f>
        <v>1241.8971999999999</v>
      </c>
      <c r="J98" s="3">
        <f>1485.8+(448.1-582.1)+(0+(0-0))+0-121-0</f>
        <v>1230.8</v>
      </c>
      <c r="K98" s="3">
        <f>1496.2+(355.8-541.9)+(-1.526124+(-0.362916--0.552738))+0-121.5--0.123930000000019</f>
        <v>1187.3876280000002</v>
      </c>
      <c r="L98" s="3">
        <f>1517.9+(287.1-536.6)+(-3.096516+(-0.585684--1.094664))+0-119.1--0.242963999999995</f>
        <v>1146.9554280000002</v>
      </c>
      <c r="M98" s="3">
        <f>1505.4+(288.7-483.6)+(4.606524+(0.883422-1.479816))+0-123.5-0.377910000000014</f>
        <v>1190.63222</v>
      </c>
      <c r="N98" s="3">
        <f>1492.2+(344.7-460.7)+(-3.044088+(-0.703188--0.939828))+0-124.3--0.253571999999995</f>
        <v>1249.3461240000001</v>
      </c>
      <c r="O98" s="3">
        <f>1467+(346.9-375.6)+(-0.74817+(-0.176919--0.191556))+0-123--0.0627299999999875</f>
        <v>1314.6291969999997</v>
      </c>
      <c r="P98" s="3">
        <f>1455.1+(405.6-352.1)+(-0.742101+(-0.206856--0.179571))+0-124.5--0.0634949999999874</f>
        <v>1383.3941089999998</v>
      </c>
      <c r="Q98" s="3">
        <f>1457.7+(496.9-385.5)+(-0.743427+(-0.253419--0.196605))+0-122.4--0.0624239999999876</f>
        <v>1445.9621829999999</v>
      </c>
      <c r="R98" s="3">
        <f>1451+(625.9-474.9)+(0+(0-0))+0-119.1-0</f>
        <v>1482.9</v>
      </c>
      <c r="S98" s="3">
        <f>1447.3+(713.7-556.8)+(-1.476246+(-0.727974--0.567936))+0-122.1--0.124542000000019</f>
        <v>1480.5882580000002</v>
      </c>
      <c r="T98" s="3">
        <f>1446.4+(706.1-538.5)+(-2.950656+(-1.440444--1.09854))+0-123.5--0.251939999999995</f>
        <v>1487.45938</v>
      </c>
      <c r="U98" s="3">
        <f>1442.8+(636-492.9)+(-2.207484+(-0.97308--0.754137))+0-120--0.183600000000007</f>
        <v>1463.6571730000001</v>
      </c>
      <c r="V98" s="3">
        <f>1438.3+(509.7-391.5)+(-0.733533+(-0.259947--0.199665))+0-123.5--0.0629849999999875</f>
        <v>1432.26917</v>
      </c>
      <c r="W98" s="3">
        <f>1418+(361.3-299.5)+(-0.72318+(-0.184263--0.152745))+0-125.4--0.0639539999999873</f>
        <v>1353.7092559999999</v>
      </c>
      <c r="X98" s="3">
        <f>1429.1+(372.1-411.5)+(-4.373046+(-1.138626--1.25919))+0-126.6--0.387396000000015</f>
        <v>1259.2349139999999</v>
      </c>
      <c r="Y98" s="3">
        <f>1444.4+(399.9-504.6)+(-2.209932+(-0.611847--0.772038))+0-127--0.194310000000007</f>
        <v>1210.8445690000001</v>
      </c>
      <c r="Z98" s="3">
        <f>1471.9+(342.4-349.8)+(-2.252007+(-0.523872--0.535194))+0-131.4--0.201042000000008</f>
        <v>1331.0603569999998</v>
      </c>
      <c r="AA98" s="3">
        <f>1487.9+(416.3-386.6)+(-0.758829+(-0.212313--0.197166))+0-131.6--0.0671159999999866</f>
        <v>1385.2931400000002</v>
      </c>
      <c r="AB98" s="3">
        <f>1478.9+(482.2-447.2)+(-3.016956+(-0.983688--0.912288))+0-130.6--0.266423999999994</f>
        <v>1380.4780680000001</v>
      </c>
      <c r="AC98" s="3">
        <f>1460.2+(505.4-469.6)+(-1.489404+(-0.515508--0.478992))+0-130--0.132600000000021</f>
        <v>1364.6066799999999</v>
      </c>
      <c r="AD98">
        <v>1373.2</v>
      </c>
      <c r="AE98" s="3">
        <f>1480+(430.3-398.5)+(0+(0-0))+0-127.6-0</f>
        <v>1384.2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1468.6+(465.3-467)+(-2.246958+(-0.711909--0.71451))+0-125.8--0.192474000000007</f>
        <v>1339.0481169999998</v>
      </c>
      <c r="G99" s="3">
        <f>1465.3+(419.3-458.1)+(-2.989212+(-0.855372--0.934524))+0-125.7--0.256427999999994</f>
        <v>1298.1463679999999</v>
      </c>
      <c r="H99" s="3">
        <f>1471+(401-477.9)+(-3.00084+(-0.81804--0.974916))+0-121--0.246839999999995</f>
        <v>1270.502876</v>
      </c>
      <c r="I99" s="3">
        <f>1479.6+(359.3-460.9)+(-3.77298+(-0.916215--1.175295))+0-122.3--0.311864999999982</f>
        <v>1252.497965</v>
      </c>
      <c r="J99" s="3">
        <f>1475.4+(338.3-457.2)+(-4.514724+(-1.035198--1.399032))+0-124.2--0.380052000000014</f>
        <v>1228.529162</v>
      </c>
      <c r="K99" s="3">
        <f>1479.8+(256.5-423)+(-3.77349+(-0.654075--1.07865))+0-126.3--0.322064999999982</f>
        <v>1183.97315</v>
      </c>
      <c r="L99" s="3">
        <f>1480.3+(269.2-460)+(-0.754953+(-0.137292--0.2346))+0-124.1--0.0632909999999874</f>
        <v>1164.805646</v>
      </c>
      <c r="M99" s="3">
        <f>1485.5+(281.7-445.1)+(-0.757605+(-0.143667--0.227001))+0-127.1--0.0648209999999871</f>
        <v>1194.3905499999998</v>
      </c>
      <c r="N99" s="3">
        <f>1485.4+(337.5-471.7)+(0.757554+(0.172125-0.240567))+0-125.4-0.0639539999999873</f>
        <v>1226.425158</v>
      </c>
      <c r="O99" s="3">
        <f>1470.7+(425.9-485.2)+(-0.750057+(-0.217209--0.247452))+0-113--0.0576299999999885</f>
        <v>1297.7378160000001</v>
      </c>
      <c r="P99" s="3">
        <f>1458.9+(409-384.6)+(-0.744039+(-0.20859--0.196146))+0-114.9--0.0585989999999883</f>
        <v>1367.7021160000002</v>
      </c>
      <c r="Q99" s="3">
        <f>1447.2+(451.3-339.9)+(0+(0-0))+0-114.4-0</f>
        <v>1444.2</v>
      </c>
      <c r="R99" s="3">
        <f>1443.6+(533-380.5)+(0+(0-0))+0-112.1-0</f>
        <v>1484</v>
      </c>
      <c r="S99" s="3">
        <f>1438.5+(613.2-450.1)+(-1.46727+(-0.625464--0.459102))+0-113.1--0.115362000000018</f>
        <v>1486.98173</v>
      </c>
      <c r="T99" s="3">
        <f>1436.5+(639.5-468.9)+(-0.732615+(-0.326145--0.239139))+0-120--0.0611999999999878</f>
        <v>1486.3415789999999</v>
      </c>
      <c r="U99" s="3">
        <f>1429.8+(655.2-484.7)+(0.729198+(0.334152-0.247197))+0-117.4-0.0598739999999881</f>
        <v>1483.6562789999998</v>
      </c>
      <c r="V99" s="3">
        <f>1431.6+(531.2-393.3)+(-0.730116+(-0.270912--0.200583))+0-119.3--0.0608429999999879</f>
        <v>1449.4603979999999</v>
      </c>
      <c r="W99" s="3">
        <f>1422.6+(349.2-268.6)+(-5.078682+(-1.246644--0.958902))+0-115.7--0.413049000000002</f>
        <v>1382.5466249999997</v>
      </c>
      <c r="X99" s="3">
        <f>1415.8+(340.6-355.9)+(-4.332348+(-1.042236--1.089054))+0-120.9--0.369954000000014</f>
        <v>1275.6844239999998</v>
      </c>
      <c r="Y99" s="3">
        <f>1416.6+(351.6-424.5)+(-0.722466+(-0.179316--0.216495))+0-127.8--0.065177999999987</f>
        <v>1215.2798909999999</v>
      </c>
      <c r="Z99" s="3">
        <f>1436.4+(425.5-382)+(0.732564+(0.217005-0.19482))+0-134.3-0.0684929999999864</f>
        <v>1346.2862560000001</v>
      </c>
      <c r="AA99" s="3">
        <f>1443.4+(483.6-401.2)+(-2.944536+(-0.986544--0.818448))+0-136.6--0.278663999999994</f>
        <v>1386.3660320000001</v>
      </c>
      <c r="AB99" s="3">
        <f>1451.4+(509.4-446.8)+(-0.740214+(-0.259794--0.227868))+0-133.6--0.0681359999999864</f>
        <v>1379.6959960000002</v>
      </c>
      <c r="AC99" s="3">
        <f>1460.9+(518.9-478.6)+(0+(0-0))+0-139.3-0</f>
        <v>1361.9</v>
      </c>
      <c r="AD99">
        <v>1377.2</v>
      </c>
      <c r="AE99" s="3">
        <f>1437+(493.6-401.6)+(0+(0-0))+0-136.8-0</f>
        <v>1392.2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1456+(498.2-474.1)+(-3.7128+(-1.27041--1.208955))+0-140.5--0.35827499999998</f>
        <v>1336.1840199999999</v>
      </c>
      <c r="G100" s="3">
        <f>1458.7+(443-464.9)+(-2.975748+(-0.90372--0.948396))+0-138.2--0.281927999999994</f>
        <v>1295.9508560000002</v>
      </c>
      <c r="H100" s="3">
        <f>1468.8+(388.7-462.7)+(-1.498176+(-0.396474--0.471954))+0-130.6--0.133212000000021</f>
        <v>1262.9105159999999</v>
      </c>
      <c r="I100" s="3">
        <f>1484+(354.1-462)+(-2.27052+(-0.541773--0.70686))+0-134.8--0.206244000000008</f>
        <v>1239.400811</v>
      </c>
      <c r="J100" s="3">
        <f>1495.1+(318.9-453.9)+(-3.812505+(-0.813195--1.157445))+0-135.7--0.34603499999998</f>
        <v>1221.2777799999999</v>
      </c>
      <c r="K100" s="3">
        <f>1496.9+(256.8-431.3)+(-3.817095+(-0.65484--1.099815))+0-136.4--0.34781999999998</f>
        <v>1182.9757</v>
      </c>
      <c r="L100" s="3">
        <f>1496.5+(270-494.9)+(0.763215+(0.1377-0.252399))+0-131.6-0.0671159999999866</f>
        <v>1140.5814</v>
      </c>
      <c r="M100" s="3">
        <f>1492.1+(282.2-452.2)+(-2.282913+(-0.431766--0.691866))+0-138.3--0.211599000000008</f>
        <v>1181.9887859999999</v>
      </c>
      <c r="N100" s="3">
        <f>1481+(300.9-395.8)+(0.75531+(0.153459-0.201858))+0-140.5-0.0716549999999857</f>
        <v>1246.2352559999999</v>
      </c>
      <c r="O100" s="3">
        <f>1462.2+(363.1-406)+(0+(0-0))+0-129.8-0</f>
        <v>1289.5000000000002</v>
      </c>
      <c r="P100" s="3">
        <f>1442.2+(398.5-356)+(-0.735522+(-0.203235--0.18156))+0-126.8--0.0646679999999871</f>
        <v>1357.2074710000002</v>
      </c>
      <c r="Q100" s="3">
        <f>1444.2+(467.8-320.6)+(1.473084+(0.477156-0.327012))+0-127.9-0.13045800000002</f>
        <v>1464.9927699999998</v>
      </c>
      <c r="R100" s="3">
        <f>1434.8+(589.5-433.4)+(1.463496+(0.60129-0.442068))+0-121.9-0.124338000000019</f>
        <v>1470.49838</v>
      </c>
      <c r="S100" s="3">
        <f>1422+(616-499.4)+(0+(0-0))+0-123.2-0</f>
        <v>1415.3999999999999</v>
      </c>
      <c r="T100" s="3">
        <f>1423.9+(585.3-481.7)+(-0.726189+(-0.298503--0.245667))+0-124.2--0.0633419999999874</f>
        <v>1402.5843169999998</v>
      </c>
      <c r="U100" s="3">
        <f>1412.6+(662.3-494.3)+(-0.720426+(-0.337773--0.252093))+0-118.9--0.0606389999999879</f>
        <v>1460.9545329999999</v>
      </c>
      <c r="V100" s="3">
        <f>1423.5+(519.9-390.5)+(-2.177955+(-0.795447--0.597465))+0-122.5--0.187425000000007</f>
        <v>1428.2114880000001</v>
      </c>
      <c r="W100" s="3">
        <f>1403.9+(307.3-278.1)+(1.431978+(0.313446-0.283662))+0-127.1-0.12964200000002</f>
        <v>1307.33212</v>
      </c>
      <c r="X100" s="3">
        <f>1397.2+(304.1-310.6)+(-2.850288+(-0.620364--0.633624))+0-126.6--0.258263999999994</f>
        <v>1261.5212360000003</v>
      </c>
      <c r="Y100" s="3">
        <f>1398.4+(390.3-453.2)+(-1.426368+(-0.398106--0.462264))+0-131--0.133620000000021</f>
        <v>1203.2714100000001</v>
      </c>
      <c r="Z100" s="3">
        <f>1406.4+(401.9-346.6)+(0+(0-0))+0-132.5-0</f>
        <v>1329.2</v>
      </c>
      <c r="AA100" s="3">
        <f>1460.2+(409.2-341.4)+(-0.744702+(-0.208692--0.174114))+0-136.9--0.0698189999999861</f>
        <v>1390.390539</v>
      </c>
      <c r="AB100" s="3">
        <f>1463+(432.1-388.1)+(-2.23839+(-0.661113--0.593793))+0-133.5--0.204255000000008</f>
        <v>1371.398545</v>
      </c>
      <c r="AC100" s="3">
        <f>1452.5+(366.4-412.4)+(0+(0-0))+0-133.3-0</f>
        <v>1273.2</v>
      </c>
      <c r="AD100">
        <v>1372.1999999999998</v>
      </c>
      <c r="AE100" s="3">
        <f>1452+(415.8-347.2)+(0+(0-0))+0-132.4-0</f>
        <v>1388.1999999999998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1424.5+(421.6-410.2)+(-2.179485+(-0.645048--0.627606))+0-133.8--0.204714000000008</f>
        <v>1300.1077870000001</v>
      </c>
      <c r="G101" s="3">
        <f>1420.9+(377.3-406)+(0+(0-0))+0-130-0</f>
        <v>1262.2</v>
      </c>
      <c r="H101" s="3">
        <f>1427.1+(336-395.9)+(-3.639105+(-0.8568--1.009545))+0-127.7--0.325634999999981</f>
        <v>1236.3392749999996</v>
      </c>
      <c r="I101" s="3">
        <f>1433.9+(281.9-365.4)+(-2.193867+(-0.431307--0.559062))+0-127.5--0.195075000000007</f>
        <v>1221.0289630000002</v>
      </c>
      <c r="J101" s="3">
        <f>1440.4+(292.2-392)+(-2.203812+(-0.447066--0.59976))+0-128.7--0.196911000000007</f>
        <v>1210.045793</v>
      </c>
      <c r="K101" s="3">
        <f>1453.6+(274.2-424.6)+(-4.448016+(-0.839052--1.299276))+0-127.8--0.391068000000015</f>
        <v>1171.8032759999999</v>
      </c>
      <c r="L101" s="3">
        <f>1467.8+(296.6-493.7)+(-1.497156+(-0.302532--0.503574))+0-124.9--0.12739800000002</f>
        <v>1144.6312840000001</v>
      </c>
      <c r="M101" s="3">
        <f>1454.3+(349.1-486.3)+(0.741693+(0.178041-0.248013))+0-133-0.0678299999999865</f>
        <v>1184.7038909999999</v>
      </c>
      <c r="N101" s="3">
        <f>1434.8+(448.6-524.2)+(1.463496+(0.457572-0.534684))+0-134.1-0.136782000000021</f>
        <v>1226.3496019999998</v>
      </c>
      <c r="O101" s="3">
        <f>1418.9+(490.7-472.9)+(-2.170917+(-0.750771--0.723537))+0-128.5--0.196605000000007</f>
        <v>1306.1984540000001</v>
      </c>
      <c r="P101" s="3">
        <f>1420.7+(466.4-383.7)+(0+(0-0))+0-131.1-0</f>
        <v>1372.3000000000002</v>
      </c>
      <c r="Q101" s="3">
        <f>1431.2+(425.5-289.7)+(0.729912+(0.217005-0.147747))+0-127.7-0.065126999999987</f>
        <v>1440.0340429999999</v>
      </c>
      <c r="R101" s="3">
        <f>1432.9+(499.9-323.2)+(-0.730779+(-0.254949--0.164832))+0-128.9--0.0657389999999869</f>
        <v>1479.944843</v>
      </c>
      <c r="S101" s="3">
        <f>1409.6+(575.1-370.7)+(-2.875584+(-1.173204--0.756228))+0-138.5--0.282539999999994</f>
        <v>1472.4899799999998</v>
      </c>
      <c r="T101" s="3">
        <f>1379.5+(595.7-387.5)+(0.703545+(0.303807-0.197625))+0-147-0.0749699999999851</f>
        <v>1441.4347570000002</v>
      </c>
      <c r="U101" s="3">
        <f>1385.8+(605.9-393.2)+(-3.53379+(-1.545045--1.00266))+0-139.5--0.35572499999998</f>
        <v>1455.27955</v>
      </c>
      <c r="V101" s="3">
        <f>1375.5+(526.5-323)+(0+(0-0))+0-136.3-0</f>
        <v>1442.7</v>
      </c>
      <c r="W101" s="3">
        <f>1364.7+(384.7-242.5)+(-2.087991+(-0.588591--0.371025))+0-136.6--0.208998000000008</f>
        <v>1368.2034410000003</v>
      </c>
      <c r="X101" s="3">
        <f>1348.1+(470.3-424.1)+(-2.750124+(-0.959412--0.865164))+0-136--0.277439999999994</f>
        <v>1255.733068</v>
      </c>
      <c r="Y101" s="3">
        <f>1362.2+(505.7-529.3)+(-1.389444+(-0.515814--0.539886))+0-133.8--0.136476000000021</f>
        <v>1203.5711040000003</v>
      </c>
      <c r="Z101" s="3">
        <f>1411.9+(418.2-355)+(-2.880276+(-0.853128--0.7242))+0-144.7--0.295187999999994</f>
        <v>1327.6859840000002</v>
      </c>
      <c r="AA101" s="3">
        <f>1440.7+(400-317.8)+(-2.204271+(-0.612--0.486234))+0-146.6--0.224298000000008</f>
        <v>1374.1942610000003</v>
      </c>
      <c r="AB101" s="3">
        <f>1451.1+(397.2-335.2)+(-2.220183+(-0.607716--0.512856))+0-143.3--0.219249000000008</f>
        <v>1367.7042059999999</v>
      </c>
      <c r="AC101" s="3">
        <f>1443.9+(413.1-353.2)+(1.472778+(0.421362-0.360264))+0-143.6-0.146472000000023</f>
        <v>1361.5874040000001</v>
      </c>
      <c r="AD101">
        <v>1346.1999999999998</v>
      </c>
      <c r="AE101" s="3">
        <f>1432+(398.3-323.7)+(0+(0-0))+0-145.4-0</f>
        <v>1361.1999999999998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1446.9+(391.3-356.6)+(-0.737919+(-0.199563--0.181866))+0-142.7--0.0727769999999855</f>
        <v>1338.2171610000003</v>
      </c>
      <c r="G102" s="3">
        <f>1434.7+(355.4-348.8)+(-1.463394+(-0.362508--0.355776))+0-141.6--0.144432000000023</f>
        <v>1298.3743060000002</v>
      </c>
      <c r="H102" s="3">
        <f>1439.8+(328.6-359.9)+(-1.468596+(-0.335172--0.367098))+0-136.9--0.139638000000022</f>
        <v>1270.302968</v>
      </c>
      <c r="I102" s="3">
        <f>1445.1+(303.9-365.4)+(0.737001+(0.154989-0.186354))+0-137.1-0.0699209999999861</f>
        <v>1247.1357149999999</v>
      </c>
      <c r="J102" s="3">
        <f>1451.6+(290.3-376.1)+(-2.220948+(-0.444159--0.575433))+0-137.3--0.210069000000008</f>
        <v>1226.6203949999999</v>
      </c>
      <c r="K102" s="3">
        <f>1466.2+(277-418)+(-3.73881+(-0.70635--1.0659))+0-134.7--0.34348499999998</f>
        <v>1187.4642249999999</v>
      </c>
      <c r="L102" s="3">
        <f>1483.8+(292.3-498.6)+(-4.540428+(-0.894438--1.525716))+0-130.8--0.400248000000015</f>
        <v>1143.191098</v>
      </c>
      <c r="M102" s="3">
        <f>1469.6+(343.9-532.1)+(-0.749496+(-0.175389--0.271371))+0-136.2--0.0694619999999862</f>
        <v>1144.6159479999997</v>
      </c>
      <c r="N102" s="3">
        <f>1459+(414.5-555)+(-0.74409+(-0.211395--0.28305))+0-140.9--0.0718589999999857</f>
        <v>1176.9994239999999</v>
      </c>
      <c r="O102" s="3">
        <f>1440.3+(462.4-514.7)+(0+(0-0))+0-141-0</f>
        <v>1247</v>
      </c>
      <c r="P102" s="3">
        <f>1420+(482.7-444.3)+(0+(0-0))+0-147.5-0</f>
        <v>1310.9</v>
      </c>
      <c r="Q102" s="3">
        <f>1415.4+(457.6-352.9)+(-2.165562+(-0.700128--0.539937))+0-146.1--0.223533000000008</f>
        <v>1371.8977800000002</v>
      </c>
      <c r="R102" s="3">
        <f>1400.3+(489.6-338.5)+(-0.714153+(-0.249696--0.172635))+0-139.7--0.0712469999999858</f>
        <v>1410.980033</v>
      </c>
      <c r="S102" s="3">
        <f>1392.2+(541.7-369.3)+(-3.55011+(-1.381335--0.941715))+0-142--0.362099999999979</f>
        <v>1418.9723700000002</v>
      </c>
      <c r="T102" s="3">
        <f>1408.7+(504.2-369.6)+(0.718437+(0.257142-0.188496))+0-141.9-0.0723689999999856</f>
        <v>1402.1147139999998</v>
      </c>
      <c r="U102" s="3">
        <f>1397.5+(517.4-391.2)+(0.712725+(0.263874-0.199512))+0-133.3-0.0679829999999865</f>
        <v>1391.1091040000001</v>
      </c>
      <c r="V102" s="3">
        <f>1365.2+(468.1-301.7)+(-1.392504+(-0.477462--0.307734))+0-140.4--0.143208000000022</f>
        <v>1389.780976</v>
      </c>
      <c r="W102" s="3">
        <f>1365+(358.3-257.6)+(-2.08845+(-0.548199--0.394128))+0-141.9--0.217107000000008</f>
        <v>1321.774586</v>
      </c>
      <c r="X102" s="3">
        <f>1356.5+(477.9-486.9)+(-2.76726+(-0.974916--0.993276))+0-142.4--0.290495999999994</f>
        <v>1202.6415959999999</v>
      </c>
      <c r="Y102" s="3">
        <f>1374.7+(474.6-559.6)+(-2.103291+(-0.726138--0.856188))+0-141.2--0.216036000000008</f>
        <v>1146.7427950000001</v>
      </c>
      <c r="Z102" s="3">
        <f>1422.3+(373.2-391.2)+(0.725373+(0.190332-0.199512))+0-146.3-0.0746129999999852</f>
        <v>1258.64158</v>
      </c>
      <c r="AA102" s="3">
        <f>1451.5+(362.5-365.4)+(-2.220795+(-0.554625--0.559062))+0-150.8--0.230724000000009</f>
        <v>1295.8143660000001</v>
      </c>
      <c r="AB102" s="3">
        <f>1454.9+(342.1-345.2)+(-1.483998+(-0.348942--0.352104))+0-149.8--0.152796000000024</f>
        <v>1300.6719600000004</v>
      </c>
      <c r="AC102" s="3">
        <f>1453.3+(347.1-359.2)+(1.482366+(0.354042-0.366384))+0-140.9-0.143718000000022</f>
        <v>1301.6263059999999</v>
      </c>
      <c r="AD102">
        <v>1278.8</v>
      </c>
      <c r="AE102" s="3">
        <f>1455+(360.6-371.3)+(0+(0-0))+0-150.5-0</f>
        <v>1293.8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1448.3+(346.6-362.9)+(-1.477266+(-0.353532--0.370158))+0-136.1--0.138822000000022</f>
        <v>1294.5781820000002</v>
      </c>
      <c r="G103" s="3">
        <f>1433.2+(330.6-363.6)+(-0.730932+(-0.168606--0.185436))+0-135.1--0.0689009999999863</f>
        <v>1264.4547990000003</v>
      </c>
      <c r="H103" s="3">
        <f>1446.5+(302.8-370.6)+(-2.95086+(-0.617712--0.756024))+0-145--0.295799999999994</f>
        <v>1231.183252</v>
      </c>
      <c r="I103" s="3">
        <f>1457.4+(292.9-394.5)+(-3.71637+(-0.746895--1.005975))+0-143.4--0.365669999999979</f>
        <v>1209.3083799999999</v>
      </c>
      <c r="J103" s="3">
        <f>1459.2+(286.4-410.5)+(1.488384+(0.292128-0.41871))+0-144.3-0.147186000000023</f>
        <v>1192.0146159999999</v>
      </c>
      <c r="K103" s="3">
        <f>1469.2+(286.7-466.9)+(-3.74646+(-0.731085--1.190595))+0-145.4--0.370769999999979</f>
        <v>1140.68382</v>
      </c>
      <c r="L103" s="3">
        <f>1473.2+(285.3-514.6)+(-0.751332+(-0.145503--0.262446))+0-144.4--0.0736439999999854</f>
        <v>1098.939255</v>
      </c>
      <c r="M103" s="3">
        <f>1468.5+(315.8-528.6)+(-1.49787+(-0.322116--0.539172))+0-151.6--0.154632000000024</f>
        <v>1102.9738180000002</v>
      </c>
      <c r="N103" s="3">
        <f>1457.9+(411.7-573.7)+(-1.487058+(-0.419934--0.585174))+0-156.8--0.159936000000025</f>
        <v>1137.9381180000003</v>
      </c>
      <c r="O103" s="3">
        <f>1436.4+(467.9-561.7)+(0.732564+(0.238629-0.286467))+0-145.6-0.0742559999999852</f>
        <v>1197.6104700000001</v>
      </c>
      <c r="P103" s="3">
        <f>1428.1+(468.9-478.1)+(-1.456662+(-0.478278--0.487662))+0-150.8--0.153816000000024</f>
        <v>1266.8065379999998</v>
      </c>
      <c r="Q103" s="3">
        <f>1431.6+(434.9-392)+(0+(0-0))+0-155.4-0</f>
        <v>1319.1</v>
      </c>
      <c r="R103" s="3">
        <f>1425.4+(394.4-315.9)+(2.180862+(0.603432-0.483327))+0-154.8-0.236844000000009</f>
        <v>1351.164123</v>
      </c>
      <c r="S103" s="3">
        <f>1413.5+(425.9-314.7)+(0+(0-0))+0-158.5-0</f>
        <v>1366.2</v>
      </c>
      <c r="T103" s="3">
        <f>1394+(470.8-334.6)+(0.71094+(0.240108-0.170646))+0-160.1-0.0816509999999838</f>
        <v>1370.7987510000003</v>
      </c>
      <c r="U103" s="3">
        <f>1390.7+(455.9-330.6)+(-4.255542+(-1.395054--1.011636))+0-155.2--0.474912000000018</f>
        <v>1356.6359520000001</v>
      </c>
      <c r="V103" s="3">
        <f>1390.7+(401.6-301)+(2.127771+(0.614448-0.46053))+0-156.4-0.239292000000009</f>
        <v>1336.942397</v>
      </c>
      <c r="W103" s="3">
        <f>1373.5+(381-312.4)+(-3.502425+(-0.97155--0.79662))+0-159.4--0.406469999999977</f>
        <v>1279.4291149999997</v>
      </c>
      <c r="X103" s="3">
        <f>1368+(519.1-560.4)+(-3.4884+(-1.323705--1.42902))+0-156.4--0.398819999999977</f>
        <v>1167.3157349999999</v>
      </c>
      <c r="Y103" s="3">
        <f>1379.4+(522.1-621.7)+(-1.406988+(-0.532542--0.634134))+0-152.8--0.155856000000024</f>
        <v>1125.8504600000003</v>
      </c>
      <c r="Z103" s="3">
        <f>1420.7+(405-393.6)+(-1.449114+(-0.4131--0.401472))+0-164--0.167280000000026</f>
        <v>1266.806538</v>
      </c>
      <c r="AA103" s="3">
        <f>1441.2+(419.6-381.8)+(-2.940048+(-0.855984--0.778872))+0-163.6--0.333743999999993</f>
        <v>1312.716584</v>
      </c>
      <c r="AB103" s="3">
        <f>1453.8+(411.7-371.3)+(-1.482876+(-0.419934--0.378726))+0-164.1--0.167382000000026</f>
        <v>1328.7432980000001</v>
      </c>
      <c r="AC103" s="3">
        <f>1459+(364.4-342.8)+(-2.23227+(-0.557532--0.524484))+0-159.9--0.244647000000009</f>
        <v>1318.6793289999998</v>
      </c>
      <c r="AD103">
        <v>1293.9000000000001</v>
      </c>
      <c r="AE103" s="3">
        <f>1441+(406.2-365.5)+(0+(0-0))+0-172.8-0</f>
        <v>1308.9000000000001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1454.4+(346.8-353.8)+(-0.741744+(-0.176868--0.180438))+0-154.2--0.0786419999999843</f>
        <v>1292.5404679999999</v>
      </c>
      <c r="G104" s="3">
        <f>1458.7+(317.2-356.4)+(-1.487874+(-0.323544--0.363528))+0-157.6--0.160752000000025</f>
        <v>1260.6128620000002</v>
      </c>
      <c r="H104" s="3">
        <f>1460.8+(314.1-396.5)+(1.490016+(0.320382-0.40443))+0-151-0.154020000000024</f>
        <v>1228.6519480000002</v>
      </c>
      <c r="I104" s="3">
        <f>1469.1+(309.6-417.5)+(-0.749241+(-0.157896--0.212925))+0-151.9--0.0774689999999846</f>
        <v>1208.6832569999997</v>
      </c>
      <c r="J104" s="3">
        <f>1472+(301.4-422.6)+(-2.25216+(-0.461142--0.646578))+0-154.4--0.236232000000009</f>
        <v>1194.5695079999998</v>
      </c>
      <c r="K104" s="3">
        <f>1468+(277.8-433)+(-5.98944+(-1.133424--1.76664))+0-156.9--0.640151999999986</f>
        <v>1151.1839279999997</v>
      </c>
      <c r="L104" s="3">
        <f>1474.9+(289-498.3)+(-3.008796+(-0.58956--1.016532))+0-155.4--0.317015999999993</f>
        <v>1107.9351919999999</v>
      </c>
      <c r="M104" s="3">
        <f>1484.3+(369.9-548.4)+(2.270979+(0.565947-0.839052))+0-159.9-0.244647000000009</f>
        <v>1147.6532269999998</v>
      </c>
      <c r="N104" s="3">
        <f>1471.9+(428.7-542.1)+(0.750669+(0.218637-0.276471))+0-162.4-0.0828239999999835</f>
        <v>1196.7100109999999</v>
      </c>
      <c r="O104" s="3">
        <f>1449.4+(505-519.9)+(0.739194+(0.25755-0.265149))+0-165.2-0.0842519999999832</f>
        <v>1269.947343</v>
      </c>
      <c r="P104" s="3">
        <f>1437.2+(522.7-443.7)+(-1.465944+(-0.533154--0.452574))+0-168.5--0.171870000000027</f>
        <v>1346.3253460000001</v>
      </c>
      <c r="Q104" s="3">
        <f>1445.9+(492.4-357.5)+(-0.737409+(-0.251124--0.182325))+0-165.3--0.0843029999999832</f>
        <v>1414.7780950000003</v>
      </c>
      <c r="R104" s="3">
        <f>1439.3+(464.3-276.1)+(-1.468086+(-0.473586--0.281622))+0-159.6--0.162792000000025</f>
        <v>1466.4027420000002</v>
      </c>
      <c r="S104" s="3">
        <f>1444.9+(529.4-360)+(-0.736899+(-0.269994--0.1836))+0-143.8--0.0733379999999854</f>
        <v>1469.7500450000002</v>
      </c>
      <c r="T104" s="3">
        <f>1437.5+(545-370.3)+(-2.199375+(-0.83385--0.566559))+0-147.8--0.226134000000009</f>
        <v>1462.1594680000001</v>
      </c>
      <c r="U104" s="3">
        <f>1433.4+(538.2-368.1)+(0+(0-0))+0-151.5-0</f>
        <v>1452</v>
      </c>
      <c r="V104" s="3">
        <f>1425.6+(460-294.9)+(-1.454112+(-0.4692--0.300798))+0-152.2--0.155244000000024</f>
        <v>1437.0327299999999</v>
      </c>
      <c r="W104" s="3">
        <f>1390.9+(380-235)+(-3.546795+(-0.969--0.59925))+0-153.9--0.392444999999978</f>
        <v>1378.4758999999999</v>
      </c>
      <c r="X104" s="3">
        <f>1382.6+(496.3-458.8)+(-3.52563+(-1.265565--1.16994))+0-150.3--0.383264999999978</f>
        <v>1266.5620099999999</v>
      </c>
      <c r="Y104" s="3">
        <f>1392.9+(507.4-538)+(-4.262274+(-1.552644--1.64628))+0-153.4--0.469404000000018</f>
        <v>1205.2007659999999</v>
      </c>
      <c r="Z104" s="3">
        <f>1426.7+(442.3-383)+(1.455234+(0.451146-0.39066))+0-161.9-0.165138000000026</f>
        <v>1325.4505819999999</v>
      </c>
      <c r="AA104" s="3">
        <f>1443.8+(402.3-313.1)+(-2.209014+(-0.615519--0.479043))+0-163--0.249390000000009</f>
        <v>1367.9039</v>
      </c>
      <c r="AB104" s="3">
        <f>1467.1+(406.7-350.9)+(-1.496442+(-0.414834--0.357918))+0-159.8--0.162996000000025</f>
        <v>1361.709638</v>
      </c>
      <c r="AC104" s="3">
        <f>1481.5+(423.4-402.4)+(0.755565+(0.215934-0.205224))+0-150.9-0.0769589999999847</f>
        <v>1352.2893159999999</v>
      </c>
      <c r="AD104">
        <v>1332.9</v>
      </c>
      <c r="AE104" s="3">
        <f>1441+(401.3-329.8)+(0+(0-0))+0-166.6-0</f>
        <v>1345.9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1470.4+(433.7-430.8)+(0+(0-0))+0-154.2-0</f>
        <v>1319.1000000000001</v>
      </c>
      <c r="G105" s="3">
        <f>1472.6+(394.6-425.8)+(-0.751026+(-0.201246--0.217158))+0-160.1--0.0816509999999838</f>
        <v>1280.6465369999999</v>
      </c>
      <c r="H105" s="3">
        <f>1483.7+(352.6-432)+(-2.270061+(-0.539478--0.66096))+0-153.1--0.234243000000009</f>
        <v>1249.2856640000005</v>
      </c>
      <c r="I105" s="3">
        <f>1488.8+(327.7-431.1)+(-2.277864+(-0.501381--0.659583))+0-150.1--0.229653000000009</f>
        <v>1233.409991</v>
      </c>
      <c r="J105" s="3">
        <f>1464.6+(317.8-414.5)+(-3.73473+(-0.81039--1.056975))+0-151.5--0.386324999999978</f>
        <v>1213.2981799999998</v>
      </c>
      <c r="K105" s="3">
        <f>1463.2+(322.8-450.3)+(-3.73116+(-0.82314--1.148265))+0-151.1--0.385304999999978</f>
        <v>1181.5792700000002</v>
      </c>
      <c r="L105" s="3">
        <f>1469+(320.2-510.5)+(-1.49838+(-0.326604--0.52071))+0-147.5--0.150450000000024</f>
        <v>1130.0461760000001</v>
      </c>
      <c r="M105" s="3">
        <f>1469.4+(376-527.5)+(-0.749394+(-0.19176--0.269025))+0-152.5--0.0777749999999845</f>
        <v>1164.805646</v>
      </c>
      <c r="N105" s="3">
        <f>1462.7+(417.4-503)+(0.745977+(0.212874-0.25653))+0-155-0.0790499999999843</f>
        <v>1222.7232709999998</v>
      </c>
      <c r="O105" s="3">
        <f>1437.5+(424.5-426)+(0+(0-0))+0-152.9-0</f>
        <v>1283.0999999999999</v>
      </c>
      <c r="P105" s="3">
        <f>1425.2+(432.7-348.1)+(1.453704+(0.441354-0.355062))+0-152.2-0.155244000000024</f>
        <v>1358.9847519999998</v>
      </c>
      <c r="Q105" s="3">
        <f>1418.9+(469-296.8)+(-0.723639+(-0.23919--0.151368))+0-153.7--0.0783869999999844</f>
        <v>1436.6669260000001</v>
      </c>
      <c r="R105" s="3">
        <f>1438.5+(540.4-345.1)+(-1.46727+(-0.551208--0.352002))+0-150.4--0.153408000000024</f>
        <v>1481.8869319999999</v>
      </c>
      <c r="S105" s="3">
        <f>1448.2+(569.1-412.1)+(-1.477164+(-0.580482--0.420342))+0-156.6--0.159732000000025</f>
        <v>1447.1224280000001</v>
      </c>
      <c r="T105" s="3">
        <f>1430.9+(640.9-448.6)+(0+(0-0))+0-163.8-0</f>
        <v>1459.4</v>
      </c>
      <c r="U105" s="3">
        <f>1412.3+(619.6-428)+(0+(0-0))+0-150.1-0</f>
        <v>1453.8000000000002</v>
      </c>
      <c r="V105" s="3">
        <f>1422.6+(519.2-340.1)+(0.725526+(0.264792-0.173451))+0-158.1-0.080630999999984</f>
        <v>1444.3362359999999</v>
      </c>
      <c r="W105" s="3">
        <f>1414.9+(396.3-292.7)+(-2.886396+(-0.808452--0.597108))+0-153.7--0.313547999999993</f>
        <v>1362.0158080000001</v>
      </c>
      <c r="X105" s="3">
        <f>1412.1+(507.4-507.7)+(-5.041197+(-1.811418--1.812489))+0-164--0.585480000000002</f>
        <v>1243.3453539999998</v>
      </c>
      <c r="Y105" s="3">
        <f>1421.6+(520.6-600.1)+(-3.62508+(-1.32753--1.530255))+0-158.7--0.404684999999977</f>
        <v>1180.3823299999999</v>
      </c>
      <c r="Z105" s="3">
        <f>1444+(383.8-365.9)+(-0.73644+(-0.195738--0.186609))+0-163.6--0.0834359999999834</f>
        <v>1297.6378670000001</v>
      </c>
      <c r="AA105" s="3">
        <f>1469.8+(391.9-360.8)+(-2.998392+(-0.799476--0.736032))+0-161.9--0.330275999999993</f>
        <v>1336.2684399999996</v>
      </c>
      <c r="AB105" s="3">
        <f>1475.3+(388.5-364.2)+(-2.257209+(-0.594405--0.557226))+0-157.6--0.241128000000009</f>
        <v>1339.9467400000001</v>
      </c>
      <c r="AC105" s="3">
        <f>1464.2+(412.4-401)+(0.746742+(0.210324-0.20451))+0-158.7-0.0809369999999839</f>
        <v>1317.5716189999998</v>
      </c>
      <c r="AD105">
        <v>1311.4</v>
      </c>
      <c r="AE105" s="3">
        <f>1474+(385.8-376.8)+(0+(0-0))+0-156.6-0</f>
        <v>1326.4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1458.1+(401.5-402.1)+(0+(0-0))+0-161.7-0</f>
        <v>1295.8</v>
      </c>
      <c r="G106" s="3">
        <f>1458+(351.7-392.4)+(-2.97432+(-0.717468--0.800496))+0-157.7--0.321707999999993</f>
        <v>1257.0304159999998</v>
      </c>
      <c r="H106" s="3">
        <f>1454.9+(348.4-421)+(0.741999+(0.177684-0.21471))+0-156.2-0.0796619999999841</f>
        <v>1226.7253110000004</v>
      </c>
      <c r="I106" s="3">
        <f>1453.5+(341.5-428.1)+(-2.96514+(-0.69666--0.873324))+0-163.9--0.334355999999993</f>
        <v>1200.5458800000001</v>
      </c>
      <c r="J106" s="3">
        <f>1453+(305.8-422.7)+(0+(0-0))+0-164.6-0</f>
        <v>1171.5</v>
      </c>
      <c r="K106" s="3">
        <f>1492.2+(283.2-546.4)+(-3.80511+(-0.72216--1.39332))+0-113.1--0.288404999999984</f>
        <v>1113.0544550000002</v>
      </c>
      <c r="L106" s="3">
        <f>1495.2+(303.9-584.2)+(-3.81276+(-0.774945--1.48971))+0-96.8--0.246839999999986</f>
        <v>1115.2488450000001</v>
      </c>
      <c r="M106" s="3">
        <f>1480.3+(358.7-618.5)+(0+(0-0))+0-98.7-0</f>
        <v>1121.8</v>
      </c>
      <c r="N106" s="3">
        <f>1451.1+(467.4-605.5)+(2.220183+(0.715122-0.926415))+0-117.5-0.179775000000007</f>
        <v>1197.329115</v>
      </c>
      <c r="O106" s="3">
        <f>1387.7+(526.9-497.5)+(1.415454+(0.537438-0.50745))+0-152.5-0.155550000000024</f>
        <v>1265.8898919999999</v>
      </c>
      <c r="P106" s="3">
        <f>1357.1+(564.4-426.3)+(2.076363+(0.863532-0.652239))+0-167.4-0.25612200000001</f>
        <v>1329.8315339999997</v>
      </c>
      <c r="Q106" s="3">
        <f>1443.6+(519.9-392.3)+(2.208708+(0.795447-0.600219))+0-170-0.26010000000001</f>
        <v>1403.3438359999998</v>
      </c>
      <c r="R106" s="3">
        <f>1432.8+(468.1-286.1)+(-0.730728+(-0.238731--0.145911))+0-168.8--0.0860879999999829</f>
        <v>1445.2625399999999</v>
      </c>
      <c r="S106" s="3">
        <f>1410.2+(523.9-327.4)+(-2.876808+(-1.068756--0.667896))+0-172.1--0.351083999999992</f>
        <v>1431.6734160000001</v>
      </c>
      <c r="T106" s="3">
        <f>1391+(531-308.3)+(2.12823+(0.81243-0.471699))+0-173.6-0.26560800000001</f>
        <v>1442.3033530000002</v>
      </c>
      <c r="U106" s="3">
        <f>1385.7+(489.4-272.7)+(-1.413414+(-0.499188--0.278154))+0-163.9--0.167178000000026</f>
        <v>1437.0327299999999</v>
      </c>
      <c r="V106" s="3">
        <f>1391.4+(417.1-225.9)+(-2.838456+(-0.850884--0.460836))+0-168.5--0.343739999999993</f>
        <v>1411.2152360000002</v>
      </c>
      <c r="W106" s="3">
        <f>1397.9+(429.7-313.7)+(-2.851716+(-0.876588--0.639948))+0-174.8--0.356591999999992</f>
        <v>1336.3682360000003</v>
      </c>
      <c r="X106" s="3">
        <f>1387.9+(565.2-550)+(-2.831316+(-1.153008--1.122))+0-173.8--0.354551999999992</f>
        <v>1226.7922280000003</v>
      </c>
      <c r="Y106" s="3">
        <f>1380.9+(581.4-620.2)+(-2.817036+(-1.186056--1.265208))+0-170.2--0.347207999999993</f>
        <v>1169.5093239999999</v>
      </c>
      <c r="Z106" s="3">
        <f>1413.2+(481.8-441.1)+(-0.720732+(-0.245718--0.224961))+0-174.7--0.0890969999999823</f>
        <v>1278.5476080000001</v>
      </c>
      <c r="AA106" s="3">
        <f>1461.1+(418.4-385.1)+(-2.235483+(-0.640152--0.589203))+0-174.8--0.26744400000001</f>
        <v>1317.5810119999999</v>
      </c>
      <c r="AB106" s="3">
        <f>1466.6+(379.5-356.6)+(-2.991864+(-0.77418--0.727464))+0-171.1--0.349043999999993</f>
        <v>1315.7104640000002</v>
      </c>
      <c r="AC106" s="3">
        <f>1457.3+(410.7-393.1)+(0+(0-0))+0-170.5-0</f>
        <v>1304.3999999999999</v>
      </c>
      <c r="AD106">
        <v>1270.5</v>
      </c>
      <c r="AE106" s="3">
        <f>1452+(391.3-385.2)+(0+(0-0))+0-172.6-0</f>
        <v>1285.5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1454.6+(383.8-381.9)+(-2.225538+(-0.587214--0.584307))+0-172.9--0.26453700000001</f>
        <v>1281.636092</v>
      </c>
      <c r="G107" s="3">
        <f>1462.9+(328-371)+(-5.222553+(-1.17096--1.32447))+0-171.3--0.611541000000002</f>
        <v>1244.1424980000002</v>
      </c>
      <c r="H107" s="3">
        <f>1469.3+(303.9-390.7)+(-4.496058+(-0.929934--1.195542))+0-166.8--0.510408000000019</f>
        <v>1211.9799580000001</v>
      </c>
      <c r="I107" s="3">
        <f>1485.8+(300.9-426.9)+(-3.78879+(-0.767295--1.088595))+0-163.1--0.415904999999976</f>
        <v>1193.6484150000001</v>
      </c>
      <c r="J107" s="3">
        <f>1480.5+(293.3-441.4)+(2.265165+(0.448749-0.675342))+0-161.6-0.247248000000009</f>
        <v>1172.5913240000002</v>
      </c>
      <c r="K107" s="3">
        <f>1487.5+(296.8-484.8)+(-2.275875+(-0.454104--0.741744))+0-167.6--0.25642800000001</f>
        <v>1130.168193</v>
      </c>
      <c r="L107" s="3">
        <f>1499.4+(293.8-546.5)+(-3.058776+(-0.599352--1.11486))+0-161.3--0.329051999999993</f>
        <v>1083.1857840000002</v>
      </c>
      <c r="M107" s="3">
        <f>1473.2+(336-531.5)+(0+(0-0))+0-169.6-0</f>
        <v>1108.1000000000001</v>
      </c>
      <c r="N107" s="3">
        <f>1462.9+(388.9-498.5)+(-2.238237+(-0.595017--0.762705))+0-169.8--0.25979400000001</f>
        <v>1181.6892450000003</v>
      </c>
      <c r="O107" s="3">
        <f>1467.2+(458.5-496.6)+(0.748272+(0.233835-0.253266))+0-170.4-0.0869039999999827</f>
        <v>1259.3419369999999</v>
      </c>
      <c r="P107" s="3">
        <f>1446.7+(494.9-457.7)+(0+(0-0))+21.3-169.4-0</f>
        <v>1335.8</v>
      </c>
      <c r="Q107" s="3">
        <f>1404.6+(451.8-453.8)+(-1.432692+(-0.460836--0.462876))+160-169.1--0.172482000000027</f>
        <v>1392.2418299999999</v>
      </c>
      <c r="R107" s="3">
        <f>1397.3+(412.5-256.2)+(0+(0-0))+2.7-165-0</f>
        <v>1391.3</v>
      </c>
      <c r="S107" s="3">
        <f>1388.4+(500.3-304.6)+(-1.416168+(-0.510306--0.310692))+0-167.8--0.171156000000027</f>
        <v>1414.8553740000002</v>
      </c>
      <c r="T107" s="3">
        <f>1375.4+(519.9-317.8)+(-1.402908+(-0.530298--0.324156))+0-162.6--0.165852000000026</f>
        <v>1413.4568020000002</v>
      </c>
      <c r="U107" s="3">
        <f>1375.9+(513.7-294)+(-2.105127+(-0.785961--0.44982))+0-160.4--0.245412000000009</f>
        <v>1433.004144</v>
      </c>
      <c r="V107" s="3">
        <f>1365.9+(430.2-222.9)+(-0.696609+(-0.219402--0.113679))+0-159.2--0.0811919999999838</f>
        <v>1413.2788599999999</v>
      </c>
      <c r="W107" s="3">
        <f>1343.4+(413.4-256.2)+(-2.055402+(-0.632502--0.391986))+0-161--0.246330000000009</f>
        <v>1337.5504120000001</v>
      </c>
      <c r="X107" s="3">
        <f>1352.8+(544.6-487)+(-3.44964+(-1.38873--1.24185))+0-166--0.423299999999976</f>
        <v>1241.22678</v>
      </c>
      <c r="Y107" s="3">
        <f>1376.5+(566.3-597.1)+(-2.106045+(-0.866439--0.913563))+0-161.2--0.246636000000009</f>
        <v>1182.6877149999998</v>
      </c>
      <c r="Z107" s="3">
        <f>1420.8+(437.2-398)+(-1.449216+(-0.445944--0.40596))+0-164.4--0.167688000000026</f>
        <v>1294.2784879999999</v>
      </c>
      <c r="AA107" s="3">
        <f>1450.7+(409.1-376.7)+(-1.479714+(-0.417282--0.384234))+0-158.1--0.161262000000025</f>
        <v>1323.6485000000002</v>
      </c>
      <c r="AB107" s="3">
        <f>1478.8+(362.6-346.1)+(-3.016752+(-0.739704--0.706044))+0-162.3--0.331091999999993</f>
        <v>1330.2806799999998</v>
      </c>
      <c r="AC107" s="3">
        <f>1485.9+(357.9-361.7)+(-1.515618+(-0.365058--0.368934))+0-161.4--0.164628000000026</f>
        <v>1319.3528860000001</v>
      </c>
      <c r="AD107">
        <v>1317.1</v>
      </c>
      <c r="AE107" s="3">
        <f>1470+(377.9-356.9)+(0+(0-0))+0-158.9-0</f>
        <v>1332.1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1484.2+(358.2-376.5)+(-2.270826+(-0.548046--0.576045))+0-159.3--0.243729000000009</f>
        <v>1304.6009020000001</v>
      </c>
      <c r="G108" s="3">
        <f>1488.3+(331.3-399.2)+(-2.277099+(-0.506889--0.610776))+0-150.4--0.230112000000009</f>
        <v>1268.0569</v>
      </c>
      <c r="H108" s="3">
        <f>1486.1+(319.7-426.9)+(0+(0-0))+0-142.9-0</f>
        <v>1235.9999999999998</v>
      </c>
      <c r="I108" s="3">
        <f>1487+(321.2-451.4)+(-3.03348+(-0.655248--0.920856))+0-143.5--0.292739999999994</f>
        <v>1210.8248680000002</v>
      </c>
      <c r="J108" s="3">
        <f>1483.8+(318.7-466.1)+(-3.026952+(-0.650148--0.950844))+0-137.9--0.281315999999994</f>
        <v>1196.0550599999999</v>
      </c>
      <c r="K108" s="3">
        <f>1498.7+(320.3-516.3)+(-3.057348+(-0.653412--1.053252))+0-143.6--0.292943999999994</f>
        <v>1156.7354360000002</v>
      </c>
      <c r="L108" s="3">
        <f>1490.2+(331.6-565.5)+(-3.040008+(-0.676464--1.15362))+0-147.6--0.301103999999994</f>
        <v>1106.4382520000001</v>
      </c>
      <c r="M108" s="3">
        <f>1467.9+(393.8-554.6)+(2.245887+(0.602514-0.848538))+0-157.9-0.241587000000009</f>
        <v>1150.9582760000001</v>
      </c>
      <c r="N108" s="3">
        <f>1454.9+(475.9-550.2)+(1.483998+(0.485418-0.561204))+0-160.5-0.163710000000026</f>
        <v>1221.3445019999999</v>
      </c>
      <c r="O108" s="3">
        <f>1442.1+(565.1-565.9)+(0+(0-0))+0-162.2-0</f>
        <v>1279.0999999999999</v>
      </c>
      <c r="P108" s="3">
        <f>1438.9+(554.9-488.1)+(0.733839+(0.282999-0.248931))+0-164.2-0.0837419999999833</f>
        <v>1342.1841649999999</v>
      </c>
      <c r="Q108" s="3">
        <f>1421.9+(588.3-438.3)+(0+(0-0))+0-164.6-0</f>
        <v>1407.3000000000002</v>
      </c>
      <c r="R108" s="3">
        <f>1419.5+(457-268.5)+(0.723945+(0.23307-0.136935))+0-166.6-0.0849659999999831</f>
        <v>1442.1351140000002</v>
      </c>
      <c r="S108" s="3">
        <f>1412.5+(537.1-329.3)+(1.44075+(0.547842-0.335886))+0-167.9-0.171258000000027</f>
        <v>1453.8814479999999</v>
      </c>
      <c r="T108" s="3">
        <f>1403.2+(530.2-334.2)+(-1.431264+(-0.540804--0.340884))+0-162--0.165240000000026</f>
        <v>1435.734056</v>
      </c>
      <c r="U108" s="3">
        <f>1384.5+(492.9-297.4)+(1.41219+(0.502758-0.303348))+0-153.4-0.156468000000024</f>
        <v>1428.0551319999997</v>
      </c>
      <c r="V108" s="3">
        <f>1385.6+(434.2-248.7)+(-3.53328+(-1.10721--0.634185))+0-157.6--0.401879999999977</f>
        <v>1409.8955749999998</v>
      </c>
      <c r="W108" s="3">
        <f>1398.3+(456.2-376)+(-4.278798+(-1.395972--1.15056))+0-157.3--0.481338000000018</f>
        <v>1317.1571280000001</v>
      </c>
      <c r="X108" s="3">
        <f>1396.1+(581.2-597.2)+(-4.272066+(-1.778472--1.827432))+0-154--0.471240000000018</f>
        <v>1222.3481340000001</v>
      </c>
      <c r="Y108" s="3">
        <f>1399.9+(600.7-677)+(-1.427898+(-0.612714--0.69054))+0-148.5--0.151470000000024</f>
        <v>1173.9013980000002</v>
      </c>
      <c r="Z108" s="3">
        <f>1425.8+(480.8-469.2)+(-2.181474+(-0.735624--0.717876))+0-158.6--0.242658000000009</f>
        <v>1276.8434360000003</v>
      </c>
      <c r="AA108" s="3">
        <f>1442+(409.2-389.3)+(-3.6771+(-1.04346--0.992715))+0-170.7--0.435284999999975</f>
        <v>1287.9074400000002</v>
      </c>
      <c r="AB108" s="3">
        <f>1459.8+(368.3-346.1)+(-1.488996+(-0.375666--0.353022))+0-168.1--0.171462000000027</f>
        <v>1312.5598220000002</v>
      </c>
      <c r="AC108" s="3">
        <f>1474.2+(338.6-340)+(3.007368+(0.690744-0.6936))+0-168.6-0.343943999999993</f>
        <v>1306.8605680000003</v>
      </c>
      <c r="AD108">
        <v>1243.9000000000001</v>
      </c>
      <c r="AE108" s="3">
        <f>1430+(387.9-387)+(0+(0-0))+0-173-0</f>
        <v>1257.9000000000001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1457.6+(360.6-356.8)+(-1.486752+(-0.367812--0.363936))+0-169.1--0.172482000000027</f>
        <v>1290.9818539999999</v>
      </c>
      <c r="G109" s="3">
        <f>1432.7+(353-360.4)+(0+(0-0))+0-167-0</f>
        <v>1258.3000000000002</v>
      </c>
      <c r="H109" s="3">
        <f>1442.7+(332.3-377.9)+(-1.471554+(-0.338946--0.385458))+0-164.9--0.168198000000026</f>
        <v>1230.943156</v>
      </c>
      <c r="I109" s="3">
        <f>1460.5+(318.9-409.1)+(0+(0-0))+0-163.6-0</f>
        <v>1206.7</v>
      </c>
      <c r="J109" s="3">
        <f>1471.9+(305.1-414.3)+(0+(0-0))+0-160.5-0</f>
        <v>1202.2</v>
      </c>
      <c r="K109" s="3">
        <f>1481.4+(295.1-448)+(-3.77757+(-0.752505--1.1424))+0-153.8--0.392189999999978</f>
        <v>1171.7045150000001</v>
      </c>
      <c r="L109" s="3">
        <f>1484.6+(281.4-483)+(-1.514292+(-0.287028--0.49266))+0-150.6--0.153612000000024</f>
        <v>1131.2449520000002</v>
      </c>
      <c r="M109" s="3">
        <f>1484+(297.2-457.9)+(1.51368+(0.303144-0.467058))+0-154.8-0.157896000000025</f>
        <v>1169.6918700000001</v>
      </c>
      <c r="N109" s="3">
        <f>1464.7+(347.4-435.3)+(0.746997+(0.177174-0.222003))+0-160.2-0.0817019999999837</f>
        <v>1217.220466</v>
      </c>
      <c r="O109" s="3">
        <f>1439+(399.8-411.6)+(1.46778+(0.407796-0.419832))+0-156.8-0.159936000000025</f>
        <v>1271.6958080000002</v>
      </c>
      <c r="P109" s="3">
        <f>1421.5+(431.9-351)+(0.724965+(0.220269-0.17901))+0-155.9-0.0795089999999842</f>
        <v>1347.186715</v>
      </c>
      <c r="Q109" s="3">
        <f>1401.4+(484.5-316)+(1.429428+(0.49419-0.32232))+0-155.2-0.158304000000025</f>
        <v>1416.142994</v>
      </c>
      <c r="R109" s="3">
        <f>1400.8+(563-380.8)+(0+(0-0))+0-150.4-0</f>
        <v>1432.6</v>
      </c>
      <c r="S109" s="3">
        <f>1402.1+(639.1-462.3)+(0+(0-0))+0-155-0</f>
        <v>1423.8999999999999</v>
      </c>
      <c r="T109" s="3">
        <f>1393.2+(681.8-496.8)+(-0.710532+(-0.347718--0.253368))+0-158.8--0.0809879999999839</f>
        <v>1418.6761060000001</v>
      </c>
      <c r="U109" s="3">
        <f>1392.7+(648.3-466.1)+(-1.420554+(-0.661266--0.475422))+0-156.9--0.160038000000025</f>
        <v>1416.5536400000001</v>
      </c>
      <c r="V109" s="3">
        <f>1393.5+(546.4-372.7)+(0+(0-0))+0-157.5-0</f>
        <v>1409.7</v>
      </c>
      <c r="W109" s="3">
        <f>1364.8+(384.8-253.1)+(-1.392096+(-0.392496--0.258162))+0-153.9--0.156978000000025</f>
        <v>1341.230548</v>
      </c>
      <c r="X109" s="3">
        <f>1361.7+(433.3-419.9)+(0+(0-0))+0-150.3-0</f>
        <v>1224.8000000000002</v>
      </c>
      <c r="Y109" s="3">
        <f>1372+(491.4-550.8)+(-3.4986+(-1.25307--1.40454))+0-144.5--0.368474999999979</f>
        <v>1165.1213449999998</v>
      </c>
      <c r="Z109" s="3">
        <f>1396.9+(408.9-377.2)+(0.712419+(0.208539-0.192372))+0-142.4-0.0726239999999856</f>
        <v>1286.8559620000001</v>
      </c>
      <c r="AA109" s="3">
        <f>1434.2+(394.1-344)+(-1.462884+(-0.401982--0.35088))+0-148.9--0.151878000000024</f>
        <v>1334.0378920000003</v>
      </c>
      <c r="AB109" s="3">
        <f>1445.3+(401.3-370.8)+(0+(0-0))+0-151-0</f>
        <v>1324.8</v>
      </c>
      <c r="AC109" s="3">
        <f>1441.1+(415-405.4)+(-1.469922+(-0.4233--0.413508))+0-148.9--0.151878000000024</f>
        <v>1300.4721639999998</v>
      </c>
      <c r="AD109">
        <v>1312.3000000000002</v>
      </c>
      <c r="AE109" s="3">
        <f>1444+(386.7-348.8)+(0+(0-0))+0-153.6-0</f>
        <v>1328.3000000000002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1440.5+(450-423.1)+(-2.93862+(-0.918--0.863124))+0-154.7--0.315587999999993</f>
        <v>1310.0220919999999</v>
      </c>
      <c r="G110" s="3">
        <f>1417.2+(455.6-432.6)+(-2.168316+(-0.697068--0.661878))+0-165.7--0.25352100000001</f>
        <v>1272.550015</v>
      </c>
      <c r="H110" s="3">
        <f>1423.5+(440.8-458.2)+(-2.177955+(-0.674424--0.701046))+0-165.9--0.25382700000001</f>
        <v>1238.3024939999998</v>
      </c>
      <c r="I110" s="3">
        <f>1315.7+(466.8-404.8)+(-3.355035+(-1.19034--1.03224))+0-162.2--0.413609999999976</f>
        <v>1212.4004750000001</v>
      </c>
      <c r="J110" s="3">
        <f>1267.3+(466.9-379.4)+(-0.646323+(-0.238119--0.193494))+0-154.4--0.0787439999999843</f>
        <v>1199.7877959999998</v>
      </c>
      <c r="K110" s="3">
        <f>1294.3+(362.9-356.7)+(-1.980279+(-0.555237--0.545751))+0-146.5--0.224145000000008</f>
        <v>1152.2343799999999</v>
      </c>
      <c r="L110" s="3">
        <f>1294.8+(283.1-348.7)+(-2.641392+(-0.577524--0.711348))+0-145--0.295799999999994</f>
        <v>1081.9882320000002</v>
      </c>
      <c r="M110" s="3">
        <f>1288.2+(294.9-329.3)+(-1.313964+(-0.300798--0.335886))+0-147.5--0.150450000000024</f>
        <v>1105.171574</v>
      </c>
      <c r="N110" s="3">
        <f>1276.7+(340.8-322)+(0.651117+(0.173808-0.16422))+0-145.4-0.0741539999999853</f>
        <v>1150.686551</v>
      </c>
      <c r="O110" s="3">
        <f>1252.1+(379.2-270.4)+(0+(0-0))+0-157.7-0</f>
        <v>1203.1999999999998</v>
      </c>
      <c r="P110" s="3">
        <f>1233.1+(448-262.4)+(1.257762+(0.45696-0.267648))+0-157.9-0.161058000000025</f>
        <v>1262.0860159999997</v>
      </c>
      <c r="Q110" s="3">
        <f>1235.5+(486.4-246.3)+(1.26021+(0.496128-0.251226))+0-158.8-0.161976000000025</f>
        <v>1318.1431359999999</v>
      </c>
      <c r="R110" s="3">
        <f>1221.7+(627-343.3)+(0.623067+(0.31977-0.175083))+0-157.8-0.080477999999984</f>
        <v>1348.287276</v>
      </c>
      <c r="S110" s="3">
        <f>1236.5+(752.7-460.8)+(0+(0-0))+0-171.1-0</f>
        <v>1357.3000000000002</v>
      </c>
      <c r="T110" s="3">
        <f>1232.5+(807.9-517.9)+(-1.25715+(-0.824058--0.528258))+0-172.7--0.176154000000028</f>
        <v>1348.4232039999999</v>
      </c>
      <c r="U110" s="3">
        <f>1222+(832.8-524.4)+(-1.86966+(-1.274184--0.802332))+0-169.3--0.25902900000001</f>
        <v>1359.0175170000002</v>
      </c>
      <c r="V110" s="3">
        <f>1218.5+(733.6-428.9)+(0+(0-0))+0-167.9-0</f>
        <v>1355.3</v>
      </c>
      <c r="W110" s="3">
        <f>1249.8+(443.1-253)+(-0.637398+(-0.225981--0.12903))+0-157.4--0.080273999999984</f>
        <v>1281.8459249999999</v>
      </c>
      <c r="X110" s="3">
        <f>1298.4+(400.9-351)+(-3.31092+(-1.022295--0.89505))+0-155.8--0.397289999999977</f>
        <v>1189.4591250000001</v>
      </c>
      <c r="Y110" s="3">
        <f>1305+(415.2-436.1)+(-2.6622+(-0.847008--0.889644))+0-157--0.320279999999993</f>
        <v>1124.8007159999997</v>
      </c>
      <c r="Z110" s="3">
        <f>1343.7+(431-332.2)+(0.685287+(0.21981-0.169422))+0-162.4-0.0828239999999835</f>
        <v>1280.7528509999997</v>
      </c>
      <c r="AA110" s="3">
        <f>1411.9+(513.1-422.2)+(-3.600345+(-1.308405--1.07661))+0-161.8--0.412589999999977</f>
        <v>1337.5804500000002</v>
      </c>
      <c r="AB110" s="3">
        <f>1409.4+(540.7-456)+(-2.875176+(-1.103028--0.93024))+0-151.2--0.308447999999993</f>
        <v>1340.160484</v>
      </c>
      <c r="AC110" s="3">
        <f>1414+(506.5-448.1)+(-0.72114+(-0.258315--0.228531))+0-150.6--0.0768059999999847</f>
        <v>1321.1258820000003</v>
      </c>
      <c r="AD110">
        <v>1339</v>
      </c>
      <c r="AE110" s="3">
        <f>1409+(537.6-433.8)+(0+(0-0))+0-158.8-0</f>
        <v>1354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1410.6+(441.4-398.5)+(0+(0-0))+0-163.7-0</f>
        <v>1289.8</v>
      </c>
      <c r="G111" s="3">
        <f>1415.5+(406.6-405.2)+(-2.88762+(-0.829464--0.826608))+0-161.9--0.330275999999993</f>
        <v>1252.4397999999999</v>
      </c>
      <c r="H111" s="3">
        <f>1429.6+(363-410.2)+(1.458192+(0.37026-0.418404))+0-159.9-0.163098000000026</f>
        <v>1223.7469499999997</v>
      </c>
      <c r="I111" s="3">
        <f>1457.6+(329.4-425.7)+(-0.743376+(-0.167994--0.217107))+0-158.8--0.0809879999999839</f>
        <v>1201.8867249999998</v>
      </c>
      <c r="J111" s="3">
        <f>1457.8+(304.6-409.4)+(-2.230434+(-0.466038--0.626382))+0-167.2--0.25581600000001</f>
        <v>1183.9857260000001</v>
      </c>
      <c r="K111" s="3">
        <f>1464.9+(280-433.9)+(-2.988396+(-0.5712--0.885156))+0-166.2--0.339047999999993</f>
        <v>1142.464608</v>
      </c>
      <c r="L111" s="3">
        <f>1466.7+(288-481.5)+(-1.496034+(-0.29376--0.49113))+0-165--0.168300000000026</f>
        <v>1107.0696360000002</v>
      </c>
      <c r="M111" s="3">
        <f>1482.9+(292.7-438.8)+(-2.268837+(-0.447831--0.671364))+0-170.7--0.26117100000001</f>
        <v>1164.3158670000003</v>
      </c>
      <c r="N111" s="3">
        <f>1467.6+(313.4-402.8)+(0+(0-0))+0-172.6-0</f>
        <v>1205.5999999999999</v>
      </c>
      <c r="O111" s="3">
        <f>1328.6+(355.3-253.4)+(0.677586+(0.181203-0.129234))+0-167.1-0.085220999999983</f>
        <v>1264.0443339999999</v>
      </c>
      <c r="P111" s="3">
        <f>1363.3+(355-241.6)+(1.390566+(0.3621-0.246432))+0-158.8-0.161976000000025</f>
        <v>1319.2442579999999</v>
      </c>
      <c r="Q111" s="3">
        <f>1468.7+(349.5-278.9)+(0+(0-0))+0-156.4-0</f>
        <v>1382.9</v>
      </c>
      <c r="R111" s="3">
        <f>1467.1+(425.7-345.4)+(-0.748221+(-0.217107--0.176154))+0-148.6--0.0757859999999849</f>
        <v>1398.0866119999998</v>
      </c>
      <c r="S111" s="3">
        <f>1463.2+(498.7-428.6)+(-0.746232+(-0.254337--0.218586))+0-145.5--0.0742049999999852</f>
        <v>1387.0922219999998</v>
      </c>
      <c r="T111" s="3">
        <f>1459.5+(534.2-452.6)+(-0.744345+(-0.272442--0.230826))+0-148.6--0.0757859999999849</f>
        <v>1391.7898249999998</v>
      </c>
      <c r="U111" s="3">
        <f>1460+(533.6-435.8)+(-2.2338+(-0.816408--0.666774))+0-146.2--0.223686000000008</f>
        <v>1409.4402519999999</v>
      </c>
      <c r="V111" s="3">
        <f>1457.1+(473.3-375.2)+(0+(0-0))+0-150.1-0</f>
        <v>1405.1</v>
      </c>
      <c r="W111" s="3">
        <f>1456.5+(343.2-300.6)+(-2.228445+(-0.525096--0.459918))+0-150.7--0.230571000000009</f>
        <v>1346.3369479999999</v>
      </c>
      <c r="X111" s="3">
        <f>1445.2+(350.8-424.2)+(-4.422312+(-1.073448--1.298052))+0-147.9--0.452574000000017</f>
        <v>1220.1548660000001</v>
      </c>
      <c r="Y111" s="3">
        <f>1451.4+(400.6-538.5)+(-1.480428+(-0.408612--0.54927))+0-147.3--0.150246000000024</f>
        <v>1165.0104759999999</v>
      </c>
      <c r="Z111" s="3">
        <f>1490+(318.3-355.2)+(0.7599+(0.162333-0.181152))+0-153.3-0.0781829999999845</f>
        <v>1300.4628979999998</v>
      </c>
      <c r="AA111" s="3">
        <f>1511.7+(335.3-353.1)+(-0.770967+(-0.171003--0.180081))+0-150.8--0.0769079999999847</f>
        <v>1342.415019</v>
      </c>
      <c r="AB111" s="3">
        <f>1518+(346.9-388.9)+(-0.77418+(-0.176919--0.198339))+0-153.1--0.0780809999999845</f>
        <v>1322.2253209999999</v>
      </c>
      <c r="AC111" s="3">
        <f>1516.6+(376.6-421.8)+(0.773466+(0.192066-0.215118))+0-161.7-0.0824669999999836</f>
        <v>1310.367947</v>
      </c>
      <c r="AD111">
        <v>1298.6999999999998</v>
      </c>
      <c r="AE111" s="3">
        <f>1499+(329.6-361.9)+(0+(0-0))+0-152-0</f>
        <v>1314.7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1509+(363.4-426.4)+(0.76959+(0.185334-0.217464))+0-170.6-0.0870059999999827</f>
        <v>1276.0504540000002</v>
      </c>
      <c r="G112" s="3">
        <f>1493.3+(334.3-423.8)+(0+(0-0))+0-171.6-0</f>
        <v>1232.2</v>
      </c>
      <c r="H112" s="3">
        <f>1498.7+(295.1-423.7)+(0.764337+(0.150501-0.216087))+0-167.5-0.085424999999983</f>
        <v>1203.2133260000001</v>
      </c>
      <c r="I112" s="3">
        <f>1514.8+(260.8-421.8)+(-1.545096+(-0.266016--0.430236))+0-167.6--0.170952000000027</f>
        <v>1184.990076</v>
      </c>
      <c r="J112" s="3">
        <f>1531.7+(254.1-441.5)+(-1.562334+(-0.259182--0.45033))+0-168.6--0.171972000000027</f>
        <v>1174.5007860000001</v>
      </c>
      <c r="K112" s="3">
        <f>1545.6+(245.4-481.1)+(-3.94128+(-0.62577--1.226805))+0-166.1--0.423554999999976</f>
        <v>1140.8833099999999</v>
      </c>
      <c r="L112" s="3">
        <f>1551.3+(249.6-533.9)+(-2.373489+(-0.381888--0.816867))+0-165.7--0.25352100000001</f>
        <v>1099.6150110000001</v>
      </c>
      <c r="M112" s="3">
        <f>1550.9+(278.8-527.2)+(0.790959+(0.142188-0.268872))+0-170.9-0.0871589999999827</f>
        <v>1132.1771160000001</v>
      </c>
      <c r="N112" s="3">
        <f>1527.6+(355.6-523.2)+(0+(0-0))+0-174.3-0</f>
        <v>1185.7</v>
      </c>
      <c r="O112" s="3">
        <f>1512.2+(388.3-475.7)+(-1.542444+(-0.396066--0.485214))+0-171.3--0.174726000000027</f>
        <v>1252.2214300000003</v>
      </c>
      <c r="P112" s="3">
        <f>1492.9+(371-372)+(0+(0-0))+0-186-0</f>
        <v>1305.9000000000001</v>
      </c>
      <c r="Q112" s="3">
        <f>1497+(354.4-306.6)+(-1.52694+(-0.361488--0.312732))+0-171.8--0.175236000000027</f>
        <v>1371.5995399999999</v>
      </c>
      <c r="R112" s="3">
        <f>1488+(415.5-319.7)+(-0.75888+(-0.211905--0.163047))+0-174.5--0.0889949999999823</f>
        <v>1408.5812570000001</v>
      </c>
      <c r="S112" s="3">
        <f>1481.8+(428.4-378.2)+(-0.755718+(-0.218484--0.192882))+0-175.9--0.0897089999999822</f>
        <v>1355.4083889999999</v>
      </c>
      <c r="T112" s="3">
        <f>1472.9+(476.9-367.9)+(-2.253537+(-0.729657--0.562887))+0-169.6--0.25948800000001</f>
        <v>1410.139181</v>
      </c>
      <c r="U112" s="3">
        <f>1468.6+(441.6-359.6)+(0+(0-0))+0-158-0</f>
        <v>1392.6</v>
      </c>
      <c r="V112" s="3">
        <f>1458.8+(438.5-337.8)+(-0.743988+(-0.223635--0.172278))+0-164.4--0.0838439999999833</f>
        <v>1394.3884989999999</v>
      </c>
      <c r="W112" s="3">
        <f>1444.4+(357.1-311.8)+(-3.68322+(-0.910605--0.79509))+0-158.8--0.404939999999977</f>
        <v>1327.5062049999999</v>
      </c>
      <c r="X112" s="3">
        <f>1443+(445.8-511.1)+(-5.15151+(-1.591506--1.824627))+0-163.3--0.582981000000002</f>
        <v>1210.0645920000002</v>
      </c>
      <c r="Y112" s="3">
        <f>1441.9+(473.5-609.9)+(0.735369+(0.241485-0.311049))+0-157.3-0.080222999999984</f>
        <v>1148.7855820000002</v>
      </c>
      <c r="Z112" s="3">
        <f>1452.7+(366-369.1)+(1.481754+(0.37332-0.376482))+0-161.5-0.164730000000026</f>
        <v>1289.4138619999999</v>
      </c>
      <c r="AA112" s="3">
        <f>1479.3+(364.1-341.1)+(-3.772215+(-0.928455--0.869805))+0-168.1--0.428654999999976</f>
        <v>1330.7977900000001</v>
      </c>
      <c r="AB112" s="3">
        <f>1494.7+(381.3-383.4)+(-2.286891+(-0.583389--0.586602))+0-171--0.26163000000001</f>
        <v>1319.5779520000001</v>
      </c>
      <c r="AC112" s="3">
        <f>1514.9+(387-417)+(-0.772599+(-0.19737--0.21267))+0-172.8--0.0881279999999825</f>
        <v>1311.4308289999999</v>
      </c>
      <c r="AD112">
        <v>1327.4</v>
      </c>
      <c r="AE112" s="3">
        <f>1491+(364.4-338.4)+(0+(0-0))+0-174.6-0</f>
        <v>1342.4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1525.6+(392.5-452.2)+(-2.334168+(-0.600525--0.691866))+0-173--0.26469000000001</f>
        <v>1290.9218629999998</v>
      </c>
      <c r="G113" s="3">
        <f>1528.4+(377.1-480)+(-3.89742+(-0.961605--1.224))+0-172.4--0.439619999999975</f>
        <v>1249.9045949999997</v>
      </c>
      <c r="H113" s="3">
        <f>1531.2+(339.4-481)+(-0.780912+(-0.173094--0.24531))+0-170--0.0866999999999827</f>
        <v>1218.9780040000001</v>
      </c>
      <c r="I113" s="3">
        <f>1537.2+(288.4-454.8)+(-2.351916+(-0.441252--0.695844))+0-171.1--0.26178300000001</f>
        <v>1197.8644589999999</v>
      </c>
      <c r="J113" s="3">
        <f>1551+(281.2-476.4)+(-0.79101+(-0.143412--0.242964))+0-169.2--0.0862919999999828</f>
        <v>1185.9948339999999</v>
      </c>
      <c r="K113" s="3">
        <f>1566.8+(263.6-510.9)+(-7.99068+(-1.34436--2.60559))+0-168.9--0.861390000000012</f>
        <v>1144.7319399999999</v>
      </c>
      <c r="L113" s="3">
        <f>1554.1+(272.4-556.5)+(-4.755546+(-0.833544--1.70289))+0-166.1--0.508266000000019</f>
        <v>1100.5220660000002</v>
      </c>
      <c r="M113" s="3">
        <f>1548.2+(320.4-577.7)+(1.579164+(0.326808-0.589254))+0-165.8-0.169116000000026</f>
        <v>1126.2476020000001</v>
      </c>
      <c r="N113" s="3">
        <f>1529.4+(415.7-607.5)+(1.559988+(0.424014-0.61965))+0-159.4-0.162588000000025</f>
        <v>1179.4017640000002</v>
      </c>
      <c r="O113" s="3">
        <f>1508+(452.5-564.3)+(-1.53816+(-0.46155--0.575586))+0-154.2--0.157284000000025</f>
        <v>1240.7331600000002</v>
      </c>
      <c r="P113" s="3">
        <f>1458+(473-493)+(0.74358+(0.24123-0.25143))+0-151-0.0770099999999847</f>
        <v>1287.6563699999999</v>
      </c>
      <c r="Q113" s="3">
        <f>1459+(378-364)+(0.74409+(0.19278-0.18564))+0-151-0.0770099999999847</f>
        <v>1322.6742200000001</v>
      </c>
      <c r="R113" s="3">
        <f>1488.8+(407.4-312.9)+(0+(0-0))+0-154.6-0</f>
        <v>1428.7</v>
      </c>
      <c r="S113" s="3">
        <f>1480.5+(458.6-367.9)+(0.755055+(0.233886-0.187629))+0-136.8-0.0697679999999861</f>
        <v>1435.1315440000001</v>
      </c>
      <c r="T113" s="3">
        <f>1472.9+(468.9-373.9)+(1.502358+(0.478278-0.381378))+0-129.1-0.131682000000021</f>
        <v>1440.2675760000002</v>
      </c>
      <c r="U113" s="3">
        <f>1470.1+(448-366.2)+(-2.249253+(-0.68544--0.560286))+0-126.1--0.192933000000007</f>
        <v>1423.618526</v>
      </c>
      <c r="V113" s="3">
        <f>1460.5+(396.9-355.9)+(-0.744855+(-0.202419--0.181509))+0-132--0.0673199999999866</f>
        <v>1368.8015549999998</v>
      </c>
      <c r="W113" s="3">
        <f>1457.5+(331.2-342.5)+(-2.9733+(-0.675648--0.6987))+0-145.8--0.297431999999994</f>
        <v>1297.7471840000001</v>
      </c>
      <c r="X113" s="3">
        <f>1459.6+(359.7-486.4)+(-2.977584+(-0.733788--0.992256))+3.7-146.2--0.298247999999994</f>
        <v>1187.9791319999999</v>
      </c>
      <c r="Y113" s="3">
        <f>1451+(385-545.7)+(-2.22003+(-0.58905--0.834921))+0-147--0.224910000000008</f>
        <v>1141.5507509999998</v>
      </c>
      <c r="Z113" s="3">
        <f>1470.5+(317.7-357.9)+(0.749955+(0.162027-0.182529))+0-156.9-0.0800189999999841</f>
        <v>1274.0494339999998</v>
      </c>
      <c r="AA113" s="3">
        <f>1487.1+(346.7-365.1)+(-2.275263+(-0.530451--0.558603))+0-162--0.247860000000009</f>
        <v>1304.7007489999999</v>
      </c>
      <c r="AB113" s="3">
        <f>1482.6+(363.1-386.8)+(-0.756126+(-0.185181--0.197268))+0-161.9--0.0825689999999836</f>
        <v>1296.3385299999998</v>
      </c>
      <c r="AC113" s="3">
        <f>1475.1+(383.8-410.6)+(-1.504602+(-0.391476--0.418812))+0-162.9--0.166158000000026</f>
        <v>1284.0888919999998</v>
      </c>
      <c r="AD113">
        <v>1295.8000000000002</v>
      </c>
      <c r="AE113" s="3">
        <f>1492+(356-372.6)+(0+(0-0))+0-166.6-0</f>
        <v>1308.8000000000002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1492.6+(377.2-444.4)+(-1.522452+(-0.384744--0.453288))+0-165.6--0.168912000000026</f>
        <v>1258.5150040000001</v>
      </c>
      <c r="G114" s="3">
        <f>1509.4+(361.7-485.6)+(-4.618764+(-1.106802--1.485936))+0-163.8--0.501228000000019</f>
        <v>1217.9615980000001</v>
      </c>
      <c r="H114" s="3">
        <f>1502.4+(322.3-474.9)+(-0.766224+(-0.164373--0.242199))+0-162.5--0.0828749999999835</f>
        <v>1186.6944770000002</v>
      </c>
      <c r="I114" s="3">
        <f>1511.4+(303.9-484)+(-3.083256+(-0.619956--0.98736))+0-164.7--0.335987999999993</f>
        <v>1164.2201360000001</v>
      </c>
      <c r="J114" s="3">
        <f>1516+(286.1-496.6)+(0.77316+(0.145911-0.253266))+0-166-0.0846599999999832</f>
        <v>1140.0811450000001</v>
      </c>
      <c r="K114" s="3">
        <f>1532.7+(284.6-537.1)+(-0.781677+(-0.145146--0.273921))+0-164.8--0.0840479999999833</f>
        <v>1114.831146</v>
      </c>
      <c r="L114" s="3">
        <f>1542.1+(268.4-584.7)+(-3.932355+(-0.68442--1.490985))+0-164.1--0.418454999999976</f>
        <v>1058.9926649999998</v>
      </c>
      <c r="M114" s="3">
        <f>1509.4+(327.2-588.6)+(0+(0-0))+0-165.4-0</f>
        <v>1082.5999999999999</v>
      </c>
      <c r="N114" s="3">
        <f>1481.9+(382.3-564)+(0+(0-0))+0-162.7-0</f>
        <v>1137.5</v>
      </c>
      <c r="O114" s="3">
        <f>1471.2+(408.2-521.3)+(0.750312+(0.208182-0.265863))+0-166.3-0.0848129999999831</f>
        <v>1192.4078180000001</v>
      </c>
      <c r="P114" s="3">
        <f>1453.1+(400.4-411.6)+(-0.741081+(-0.204204--0.209916))+0-172.4--0.0879239999999825</f>
        <v>1268.8525549999997</v>
      </c>
      <c r="Q114" s="3">
        <f>1457.4+(373.5-317.3)+(1.486548+(0.38097-0.323646))+0-164.8-0.168096000000026</f>
        <v>1350.175776</v>
      </c>
      <c r="R114" s="3">
        <f>1465.3+(416.4-319.7)+(2.989212+(0.849456-0.652188))+0-157.9-0.322115999999993</f>
        <v>1406.9643639999999</v>
      </c>
      <c r="S114" s="3">
        <f>1467.1+(454.2-339.6)+(-0.748221+(-0.231642--0.173196))+0-166.6--0.0849659999999831</f>
        <v>1414.3782989999997</v>
      </c>
      <c r="T114" s="3">
        <f>1471.9+(475.4-347.6)+(-0.750669+(-0.242454--0.177276))+0-177--0.090269999999982</f>
        <v>1421.9744229999999</v>
      </c>
      <c r="U114" s="3">
        <f>1469.2+(445.5-341.4)+(-1.498584+(-0.45441--0.348228))+0-179.3--0.182886000000029</f>
        <v>1392.5781200000004</v>
      </c>
      <c r="V114" s="3">
        <f>1461+(371.5-327.7)+(-1.49022+(-0.37893--0.334254))+0-181.3--0.184926000000029</f>
        <v>1322.1500300000002</v>
      </c>
      <c r="W114" s="3">
        <f>1442.3+(347.1-322.7)+(-2.206719+(-0.531063--0.493731))+0-177.9--0.27218700000001</f>
        <v>1286.8281360000001</v>
      </c>
      <c r="X114" s="3">
        <f>1423.5+(447.9-496.8)+(-4.35591+(-1.370574--1.520208))+0-178.6--0.546516000000021</f>
        <v>1192.3402400000002</v>
      </c>
      <c r="Y114" s="3">
        <f>1419.2+(495.1-590)+(-1.447584+(-0.505002--0.6018))+0-167.3--0.170646000000027</f>
        <v>1155.8198600000003</v>
      </c>
      <c r="Z114" s="3">
        <f>1450.4+(377.3-366.4)+(2.219112+(0.577269-0.560592))+0-173.6-0.26560800000001</f>
        <v>1289.6701810000004</v>
      </c>
      <c r="AA114" s="3">
        <f>1466.5+(340.3-299.8)+(-2.243745+(-0.520659--0.458694))+0-173.5--0.26545500000001</f>
        <v>1331.4597449999999</v>
      </c>
      <c r="AB114" s="3">
        <f>1470.7+(357.7-339)+(1.500114+(0.364854-0.34578))+0-168.5-0.171870000000027</f>
        <v>1322.247318</v>
      </c>
      <c r="AC114" s="3">
        <f>1484.1+(377.2-374.7)+(-3.027564+(-0.769488--0.764388))+0-175.3--0.357611999999992</f>
        <v>1308.6249479999999</v>
      </c>
      <c r="AD114">
        <v>1287.9999999999998</v>
      </c>
      <c r="AE114" s="3">
        <f>1459+(337.3-321.1)+(0+(0-0))+0-171.2-0</f>
        <v>1304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1492+(367-409.3)+(0+(0-0))+0-175.1-0</f>
        <v>1274.6000000000001</v>
      </c>
      <c r="G115" s="3">
        <f>1487.8+(357.9-437.9)+(0+(0-0))+0-173.3-0</f>
        <v>1234.5</v>
      </c>
      <c r="H115" s="3">
        <f>1496.9+(336.8-459.7)+(-2.290257+(-0.515304--0.703341))+0-170.9--0.26147700000001</f>
        <v>1201.2592569999999</v>
      </c>
      <c r="I115" s="3">
        <f>1507.3+(319.5-471.3)+(-3.074892+(-0.65178--0.961452))+0-170.9--0.348635999999993</f>
        <v>1182.1834159999999</v>
      </c>
      <c r="J115" s="3">
        <f>1511.5+(298-469.5)+(-2.312595+(-0.45594--0.718335))+0-169.6--0.25948800000001</f>
        <v>1168.6092880000001</v>
      </c>
      <c r="K115" s="3">
        <f>1518.8+(257.4-469)+(-5.422116+(-0.918918--1.67433))+0-170.9--0.610113000000002</f>
        <v>1132.2434089999997</v>
      </c>
      <c r="L115" s="3">
        <f>1532.4+(240.6-521.5)+(-5.470668+(-0.858942--1.861755))+0-165--0.589050000000002</f>
        <v>1082.6211949999999</v>
      </c>
      <c r="M115" s="3">
        <f>1524.6+(280.8-509.3)+(1.555092+(0.286416-0.519486))+0-166.2-0.169524000000026</f>
        <v>1131.0524979999998</v>
      </c>
      <c r="N115" s="3">
        <f>1514.5+(354.6-523.3)+(2.317185+(0.542538-0.800649))+0-167.8-0.25673400000001</f>
        <v>1179.8023400000002</v>
      </c>
      <c r="O115" s="3">
        <f>1470.4+(339-389.7)+(0+(0-0))+0-156.1-0</f>
        <v>1263.6000000000001</v>
      </c>
      <c r="P115" s="3">
        <f>1453.1+(345.2-307.5)+(0+(0-0))+0-151.1-0</f>
        <v>1339.7</v>
      </c>
      <c r="Q115" s="3">
        <f>1484.4+(398.3-311.1)+(-2.271132+(-0.609399--0.475983))+0-154.1--0.235773000000009</f>
        <v>1415.3312250000004</v>
      </c>
      <c r="R115" s="3">
        <f>1472.7+(484.3-357.2)+(-2.253231+(-0.740979--0.546516))+0-162--0.247860000000009</f>
        <v>1435.6001660000002</v>
      </c>
      <c r="S115" s="3">
        <f>1469+(550-413.4)+(-1.49838+(-0.561--0.421668))+0-162.6--0.165852000000026</f>
        <v>1441.5281400000001</v>
      </c>
      <c r="T115" s="3">
        <f>1464.7+(579.7-425.3)+(-2.987988+(-1.182588--0.867612))+0-168--0.342719999999993</f>
        <v>1448.1397560000003</v>
      </c>
      <c r="U115" s="3">
        <f>1454.8+(538.3-384.8)+(-3.70974+(-1.372665--0.98124))+0-160.9--0.410294999999977</f>
        <v>1443.7091299999997</v>
      </c>
      <c r="V115" s="3">
        <f>1395.3+(504.5-301.9)+(-4.269618+(-1.54377--0.923814))+0-162.7--0.497862000000019</f>
        <v>1430.8082879999999</v>
      </c>
      <c r="W115" s="3">
        <f>1386.2+(351-210.6)+(-4.241772+(-1.07406--0.644436))+0-163.6--0.500616000000019</f>
        <v>1358.8292200000003</v>
      </c>
      <c r="X115" s="3">
        <f>1385.5+(452.1-432.9)+(-4.23963+(-1.383426--1.324674))+0-159.4--0.487764000000018</f>
        <v>1241.489382</v>
      </c>
      <c r="Y115" s="3">
        <f>1383.3+(489.8-526.5)+(-3.527415+(-1.24899--1.342575))+0-157.4--0.401369999999977</f>
        <v>1186.1675399999999</v>
      </c>
      <c r="Z115" s="3">
        <f>1400+(374.3-285.4)+(0+(0-0))+0-163.2-0</f>
        <v>1325.7</v>
      </c>
      <c r="AA115" s="3">
        <f>1438.5+(352-267.3)+(-3.668175+(-0.8976--0.681615))+0-163.7--0.417434999999976</f>
        <v>1356.033275</v>
      </c>
      <c r="AB115" s="3">
        <f>1451.7+(362.8-310.4)+(-5.922936+(-1.480224--1.266432))+0-159.3--0.649943999999986</f>
        <v>1339.3132160000002</v>
      </c>
      <c r="AC115" s="3">
        <f>1465.5+(384.4-365.1)+(-0.747405+(-0.196044--0.186201))+0-153.5--0.0782849999999844</f>
        <v>1330.6210370000001</v>
      </c>
      <c r="AD115">
        <v>1357.4</v>
      </c>
      <c r="AE115" s="3">
        <f>1445+(369.8-279.4)+(0+(0-0))+0-162-0</f>
        <v>1373.4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1471.9+(364.6-379.2)+(0+(0-0))+0-162.2-0</f>
        <v>1295.1000000000001</v>
      </c>
      <c r="G116" s="3">
        <f>1475.1+(321.4-389.1)+(0.752301+(0.163914-0.198441))+0-159.9-0.0815489999999838</f>
        <v>1248.1362249999997</v>
      </c>
      <c r="H116" s="3">
        <f>1482+(277.2-373.7)+(-0.75582+(-0.141372--0.190587))+0-158.3--0.0807329999999839</f>
        <v>1226.574128</v>
      </c>
      <c r="I116" s="3">
        <f>1498.9+(265.3-401.7)+(-0.764439+(-0.135303--0.204867))+0-159.4--0.0812939999999838</f>
        <v>1202.4864190000001</v>
      </c>
      <c r="J116" s="3">
        <f>1505.9+(258.9-413.7)+(-2.304027+(-0.396117--0.632961))+0-159--0.243270000000009</f>
        <v>1190.2760870000002</v>
      </c>
      <c r="K116" s="3">
        <f>1505.4+(256.3-441.1)+(-3.83877+(-0.653565--1.124805))+0-158--0.402899999999977</f>
        <v>1159.6353700000002</v>
      </c>
      <c r="L116" s="3">
        <f>1513.8+(263.5-488.6)+(-1.544076+(-0.26877--0.498372))+0-153--0.156060000000024</f>
        <v>1134.5415859999998</v>
      </c>
      <c r="M116" s="3">
        <f>1507+(278.2-457)+(0.76857+(0.141882-0.23307))+0-156.2-0.0796619999999841</f>
        <v>1172.5977200000002</v>
      </c>
      <c r="N116" s="3">
        <f>1479.7+(299.7-410.2)+(0.754647+(0.152847-0.209202))+0-160.4-0.0818039999999837</f>
        <v>1209.4164880000001</v>
      </c>
      <c r="O116" s="3">
        <f>1435.4+(328.3-370.6)+(-1.464108+(-0.334866--0.378012))+0-161--0.164220000000026</f>
        <v>1230.8432580000003</v>
      </c>
      <c r="P116" s="3">
        <f>1443.3+(347.3-274.3)+(0+(0-0))+0-159.8-0</f>
        <v>1356.5</v>
      </c>
      <c r="Q116" s="3">
        <f>1422.2+(406.6-263.5)+(1.450644+(0.414732-0.26877))+0-161.6-0.164832000000026</f>
        <v>1405.1317740000004</v>
      </c>
      <c r="R116" s="3">
        <f>1437.1+(507.2-365)+(0+(0-0))+0-169.2-0</f>
        <v>1410.1</v>
      </c>
      <c r="S116" s="3">
        <f>1436+(580.7-434.8)+(-2.92944+(-1.184628--0.886992))+0-172.4--0.351695999999992</f>
        <v>1406.62462</v>
      </c>
      <c r="T116" s="3">
        <f>1426.4+(642.9-479.1)+(-2.909856+(-1.311516--0.977364))+0-174.9--0.356795999999992</f>
        <v>1412.4127880000001</v>
      </c>
      <c r="U116" s="3">
        <f>1429.6+(619.8-466.9)+(-3.64548+(-1.58049--1.190595))+0-172.4--0.439619999999975</f>
        <v>1406.5042449999999</v>
      </c>
      <c r="V116" s="3">
        <f>1436.5+(498.3-385.4)+(-2.93046+(-1.016532--0.786216))+0-174.2--0.355367999999992</f>
        <v>1372.3945920000001</v>
      </c>
      <c r="W116" s="3">
        <f>1436.4+(351.4-291.7)+(-3.66282+(-0.89607--0.743835))+0-177.5--0.452624999999974</f>
        <v>1315.23757</v>
      </c>
      <c r="X116" s="3">
        <f>1421.2+(318.6-358.8)+(-5.798496+(-1.299888--1.463904))+0-176.4--0.719711999999985</f>
        <v>1199.685232</v>
      </c>
      <c r="Y116" s="3">
        <f>1420.7+(376.5-458.3)+(-4.347342+(-1.15209--1.402398))+0-171.4--0.52448400000002</f>
        <v>1163.9274500000001</v>
      </c>
      <c r="Z116" s="3">
        <f>1444+(323.1-279.9)+(-0.73644+(-0.164781--0.142749))+0-178.6--0.0910859999999819</f>
        <v>1307.9326140000001</v>
      </c>
      <c r="AA116" s="3">
        <f>1462.2+(302-263.5)+(-4.474332+(-0.92412--0.80631))+0-174--0.53244000000002</f>
        <v>1322.640298</v>
      </c>
      <c r="AB116" s="3">
        <f>1474+(338.7-326.6)+(-3.00696+(-0.690948--0.666264))+0-170.9--0.348635999999993</f>
        <v>1312.5169919999998</v>
      </c>
      <c r="AC116" s="3">
        <f>1483.5+(382.9-388.1)+(0.756585+(0.195279-0.197931))+0-166.1-0.0847109999999831</f>
        <v>1312.869222</v>
      </c>
      <c r="AD116">
        <v>1331.8</v>
      </c>
      <c r="AE116" s="3">
        <f>1455+(334.3-270.3)+(0+(0-0))+0-173.2-0</f>
        <v>1345.8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1481.2+(421.1-422)+(0.755412+(0.214761-0.21522))+0-172.3-0.0878729999999825</f>
        <v>1308.6670800000002</v>
      </c>
      <c r="G117" s="3">
        <f>1473.6+(432.7-459.3)+(-1.503072+(-0.441354--0.468486))+0-173.4--0.176868000000028</f>
        <v>1272.3009279999999</v>
      </c>
      <c r="H117" s="3">
        <f>1485.2+(425.4-497.5)+(-2.272356+(-0.650862--0.761175))+0-169.3--0.25902900000001</f>
        <v>1241.896986</v>
      </c>
      <c r="I117" s="3">
        <f>1494.1+(382-483.7)+(-0.761991+(-0.19482--0.246687))+0-172--0.0877199999999825</f>
        <v>1219.7775959999999</v>
      </c>
      <c r="J117" s="3">
        <f>1510.1+(332.2-476.3)+(0.770151+(0.169422-0.242913))+0-173.9-0.0886889999999824</f>
        <v>1192.707971</v>
      </c>
      <c r="K117" s="3">
        <f>1524.2+(261.1-464.1)+(-5.441394+(-0.932127--1.656837))+0-173.9--0.620823000000002</f>
        <v>1143.2041389999999</v>
      </c>
      <c r="L117" s="3">
        <f>1529.5+(214.3-476.4)+(-2.340135+(-0.327879--0.728892))+0-172.3--0.26361900000001</f>
        <v>1093.4244970000002</v>
      </c>
      <c r="M117" s="3">
        <f>1520.1+(192-434.8)+(-3.101004+(-0.39168--0.886992))+0-174.8--0.356591999999992</f>
        <v>1100.2509</v>
      </c>
      <c r="N117" s="3">
        <f>1494+(208.5-381.1)+(-1.52388+(-0.21267--0.388722))+0-176.1--0.179622000000028</f>
        <v>1144.1317940000004</v>
      </c>
      <c r="O117" s="3">
        <f>1479.6+(225.2-344.6)+(0+(0-0))+0-173.9-0</f>
        <v>1186.2999999999997</v>
      </c>
      <c r="P117" s="3">
        <f>1457.1+(243.5-285.9)+(2.229363+(0.372555-0.437427))+0-174.8-0.26744400000001</f>
        <v>1241.7970469999998</v>
      </c>
      <c r="Q117" s="3">
        <f>1433.9+(312.2-283.6)+(1.462578+(0.318444-0.289272))+0-171.5-0.174930000000027</f>
        <v>1292.3168199999998</v>
      </c>
      <c r="R117" s="3">
        <f>1437.3+(381.8-341.9)+(-0.733023+(-0.194718--0.174369))+0-165.6--0.0844559999999832</f>
        <v>1310.9310840000003</v>
      </c>
      <c r="S117" s="3">
        <f>1433.8+(459.3-403.3)+(1.462476+(0.468486-0.411366))+0-169.3-0.172686000000027</f>
        <v>1321.84691</v>
      </c>
      <c r="T117" s="3">
        <f>1430.9+(481.4-436.8)+(0+(0-0))+0-173.3-0</f>
        <v>1302.2</v>
      </c>
      <c r="U117" s="3">
        <f>1432.1+(494.2-458.9)+(-1.460742+(-0.504084--0.468078))+0-165.3--0.168606000000026</f>
        <v>1300.7718579999998</v>
      </c>
      <c r="V117" s="3">
        <f>1430.9+(451.3-421.4)+(-2.919036+(-0.920652--0.859656))+0-164.6--0.335783999999993</f>
        <v>1293.5557520000004</v>
      </c>
      <c r="W117" s="3">
        <f>1416.6+(311-309.5)+(-0.722466+(-0.15861--0.157845))+0-164.7--0.0839969999999833</f>
        <v>1252.7607659999999</v>
      </c>
      <c r="X117" s="3">
        <f>1421.9+(224.1-301.2)+(-0.725169+(-0.114291--0.153612))+0-163.8--0.0835379999999834</f>
        <v>1180.3976900000002</v>
      </c>
      <c r="Y117" s="3">
        <f>1441.4+(214.7-346.6)+(-2.940456+(-0.437988--0.707064))+0-160.9--0.328235999999993</f>
        <v>1146.256856</v>
      </c>
      <c r="Z117" s="3">
        <f>1473.2+(270.6-298.6)+(-1.502664+(-0.276012--0.304572))+0-169--0.172380000000027</f>
        <v>1274.8982760000001</v>
      </c>
      <c r="AA117" s="3">
        <f>1495.9+(357.6-366)+(-2.288727+(-0.547128--0.55998))+0-172.8--0.26438400000001</f>
        <v>1312.6885090000001</v>
      </c>
      <c r="AB117" s="3">
        <f>1511.5+(357.7-399.7)+(-4.62519+(-1.094562--1.223082))+0-162.3--0.496638000000019</f>
        <v>1303.1999680000001</v>
      </c>
      <c r="AC117" s="3">
        <f>1483.3+(397.4-425.5)+(2.269449+(0.608022-0.651015))+0-164.1-0.251073000000009</f>
        <v>1293.0753830000001</v>
      </c>
      <c r="AD117">
        <v>1298</v>
      </c>
      <c r="AE117" s="3">
        <f>1494+(371.4-378.4)+(0+(0-0))+0-174-0</f>
        <v>1313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1477+(393.6-444.9)+(-1.50654+(-0.401472--0.453798))+0-166.5--0.169830000000027</f>
        <v>1257.915616</v>
      </c>
      <c r="G118" s="3">
        <f>1461.1+(367.2-440.2)+(-5.216127+(-1.310904--1.571514))+0-172.6--0.616182000000002</f>
        <v>1211.1606649999999</v>
      </c>
      <c r="H118" s="3">
        <f>1479.2+(328.3-453.6)+(0+(0-0))+0-168.3-0</f>
        <v>1185.6000000000001</v>
      </c>
      <c r="I118" s="3">
        <f>1486.8+(284.9-436.3)+(-0.758268+(-0.145299--0.222513))+0-168.7--0.0860369999999829</f>
        <v>1166.1049829999999</v>
      </c>
      <c r="J118" s="3">
        <f>1500.8+(250.6-425.3)+(0+(0-0))+0-171.2-0</f>
        <v>1154.8999999999999</v>
      </c>
      <c r="K118" s="3">
        <f>1509.2+(203.1-426.4)+(0.769692+(0.103581-0.217464))+0-168.8-0.0860879999999829</f>
        <v>1117.6697210000002</v>
      </c>
      <c r="L118" s="3">
        <f>1517.2+(186.7-463.1)+(-3.095088+(-0.380868--0.944724))+0-167.6--0.341903999999993</f>
        <v>1071.0106719999999</v>
      </c>
      <c r="M118" s="3">
        <f>1530.9+(200.9-455.6)+(0+(0-0))+0-174.8-0</f>
        <v>1101.4000000000001</v>
      </c>
      <c r="N118" s="3">
        <f>1491.5+(217.2-393.1)+(-0.760665+(-0.110772--0.200481))+0-163.1--0.0831809999999834</f>
        <v>1151.912225</v>
      </c>
      <c r="O118" s="3">
        <f>1504.4+(230-365.6)+(0+(0-0))+0-162-0</f>
        <v>1206.8000000000002</v>
      </c>
      <c r="P118" s="3">
        <f>1488+(250.2-305.1)+(0+(0-0))+0-161.8-0</f>
        <v>1271.3</v>
      </c>
      <c r="Q118" s="3">
        <f>1493.5+(313.7-310.9)+(0.761685+(0.159987-0.158559))+0-161.3-0.0822629999999836</f>
        <v>1335.68085</v>
      </c>
      <c r="R118" s="3">
        <f>1478.6+(456.5-393.5)+(0+(0-0))+0-175.1-0</f>
        <v>1366.5</v>
      </c>
      <c r="S118" s="3">
        <f>1470.5+(584.6-515)+(0+(0-0))+0-159.9-0</f>
        <v>1380.1999999999998</v>
      </c>
      <c r="T118" s="3">
        <f>1464.5+(633.3-540.3)+(-1.49379+(-0.645966--0.551106))+0-170.4--0.173808000000027</f>
        <v>1385.685158</v>
      </c>
      <c r="U118" s="3">
        <f>1456.8+(585.5-504.2)+(-1.485936+(-0.59721--0.514284))+0-172.1--0.175542000000027</f>
        <v>1364.6066799999999</v>
      </c>
      <c r="V118" s="3">
        <f>1451.5+(512.5-429.5)+(0+(0-0))+0-175.2-0</f>
        <v>1359.3</v>
      </c>
      <c r="W118" s="3">
        <f>1453.4+(348.2-336.3)+(-0.741234+(-0.177582--0.171513))+0-174.7--0.0890969999999823</f>
        <v>1289.9417940000001</v>
      </c>
      <c r="X118" s="3">
        <f>1439.3+(215.2-294)+(-1.468086+(-0.219504--0.29988))+0-174.7--0.178194000000028</f>
        <v>1184.5904840000001</v>
      </c>
      <c r="Y118" s="3">
        <f>1438.4+(223.4-369.8)+(-0.733584+(-0.113934--0.188598))+0-175--0.0892499999999822</f>
        <v>1116.4303299999999</v>
      </c>
      <c r="Z118" s="3">
        <f>1476.5+(255.2-310.9)+(0.753015+(0.130152-0.158559))+0-179-0.0912899999999818</f>
        <v>1242.4333179999999</v>
      </c>
      <c r="AA118" s="3">
        <f>1509.3+(326.9-390.1)+(-4.618458+(-1.000314--1.193706))+0-179.6--0.549576000000021</f>
        <v>1262.6245100000001</v>
      </c>
      <c r="AB118" s="3">
        <f>1537.9+(333.7-431.7)+(-2.352987+(-0.510561--0.660501))+0-178.8--0.27356400000001</f>
        <v>1259.1705170000002</v>
      </c>
      <c r="AC118" s="3">
        <f>1544.8+(345-453)+(-1.575696+(-0.3519--0.46206))+0-179.8--0.183396000000029</f>
        <v>1255.7178600000002</v>
      </c>
      <c r="AD118">
        <v>1248.8</v>
      </c>
      <c r="AE118" s="3">
        <f>1512+(337.6-406.7)+(0+(0-0))+0-179.1-0</f>
        <v>1263.8000000000002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1541.3+(343.5-463.7)+(-1.572126+(-0.35037--0.472974))+0-177.9--0.181458000000028</f>
        <v>1241.931936</v>
      </c>
      <c r="G119" s="3">
        <f>1549.1+(309.5-469.7)+(-3.160164+(-0.63138--0.958188))+0-177.5--0.362099999999992</f>
        <v>1208.9287439999998</v>
      </c>
      <c r="H119" s="3">
        <f>1553.9+(250.2-450.4)+(-2.377467+(-0.382806--0.689112))+0-177.3--0.27126900000001</f>
        <v>1174.6001080000001</v>
      </c>
      <c r="I119" s="3">
        <f>1560.4+(201.9-439.2)+(-1.591608+(-0.205938--0.447984))+0-176.5--0.180030000000028</f>
        <v>1145.430468</v>
      </c>
      <c r="J119" s="3">
        <f>1566.6+(163.7-425.7)+(-3.99483+(-0.417435--1.085535))+0-175.8--0.448289999999975</f>
        <v>1125.92156</v>
      </c>
      <c r="K119" s="3">
        <f>1585.5+(151-487.4)+(-4.043025+(-0.38505--1.24287))+0-176.2--0.449309999999974</f>
        <v>1070.1641049999998</v>
      </c>
      <c r="L119" s="3">
        <f>1585.3+(125.7-532.6)+(-4.851018+(-0.384642--1.629756))+0-173.6--0.53121600000002</f>
        <v>1001.7253119999998</v>
      </c>
      <c r="M119" s="3">
        <f>1573.3+(129.8-503)+(-0.802383+(-0.066198--0.25653))+0-177.4--0.090473999999982</f>
        <v>1022.1784229999998</v>
      </c>
      <c r="N119" s="3">
        <f>1559.3+(156.7-462.7)+(-0.795243+(-0.079917--0.235977))+0-183.3--0.0934829999999814</f>
        <v>1069.4542999999999</v>
      </c>
      <c r="O119" s="3">
        <f>1538+(190-418.5)+(-0.78438+(-0.0969--0.213435))+0-183--0.0933299999999814</f>
        <v>1125.925485</v>
      </c>
      <c r="P119" s="3">
        <f>1518.8+(216.6-374.4)+(0+(0-0))+0-181.9-0</f>
        <v>1179.0999999999999</v>
      </c>
      <c r="Q119" s="3">
        <f>1508.7+(232.4-328.2)+(-0.769437+(-0.118524--0.167382))+0-186--0.0948599999999811</f>
        <v>1226.274281</v>
      </c>
      <c r="R119" s="3">
        <f>1512.4+(348.2-415.4)+(-2.313972+(-0.532746--0.635562))+0-178.9--0.27371700000001</f>
        <v>1264.3625609999999</v>
      </c>
      <c r="S119" s="3">
        <f>1503.1+(450.7-479.1)+(-1.533162+(-0.459714--0.488682))+0-180.5--0.184110000000029</f>
        <v>1292.8799159999996</v>
      </c>
      <c r="T119" s="3">
        <f>1490+(467.7-499.9)+(-1.5198+(-0.477054--0.509898))+0-185.8--0.18951600000003</f>
        <v>1270.7025600000002</v>
      </c>
      <c r="U119" s="3">
        <f>1478.8+(438.7-478.5)+(-0.754188+(-0.223737--0.244035))+0-169.6--0.0864959999999828</f>
        <v>1268.752606</v>
      </c>
      <c r="V119" s="3">
        <f>1472.7+(431.6-438.7)+(-3.004308+(-0.880464--0.894948))+0-161.2--0.328847999999993</f>
        <v>1301.739024</v>
      </c>
      <c r="W119" s="3">
        <f>1449.6+(293.2-329.1)+(-4.435776+(-0.897192--1.007046))+0-173.8--0.53182800000002</f>
        <v>1236.105906</v>
      </c>
      <c r="X119" s="3">
        <f>1451.3+(248.6-377.3)+(-2.960652+(-0.507144--0.769692))+0-179.2--0.365567999999992</f>
        <v>1141.0674639999997</v>
      </c>
      <c r="Y119" s="3">
        <f>1455.3+(299.6-492.8)+(-0.742203+(-0.152796--0.251328))+0-174.5--0.0889949999999823</f>
        <v>1087.0453239999999</v>
      </c>
      <c r="Z119" s="3">
        <f>1486.2+(278.5-358.7)+(-0.757962+(-0.142035--0.182937))+0-179--0.0912899999999818</f>
        <v>1226.3742300000001</v>
      </c>
      <c r="AA119" s="3">
        <f>1510.4+(267.7-346.9)+(-3.081216+(-0.546108--0.707676))+0-177.8--0.362711999999992</f>
        <v>1250.8430640000001</v>
      </c>
      <c r="AB119" s="3">
        <f>1533.5+(283.7-376)+(-3.12834+(-0.578748--0.76704))+0-180--0.367199999999992</f>
        <v>1258.627152</v>
      </c>
      <c r="AC119" s="3">
        <f>1551+(297.5-410.3)+(-2.37303+(-0.455175--0.627759))+0-179.2--0.27417600000001</f>
        <v>1257.0737299999998</v>
      </c>
      <c r="AD119">
        <v>1271.3000000000002</v>
      </c>
      <c r="AE119" s="3">
        <f>1531+(267.7-332.8)+(0+(0-0))+0-179.6-0</f>
        <v>1286.3000000000002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1514.8+(324.3-421.7)+(-3.86274+(-0.826965--1.075335))+0-178.3--0.454664999999974</f>
        <v>1235.9402950000001</v>
      </c>
      <c r="G120" s="3">
        <f>1500.4+(274.1-400.3)+(-5.356428+(-0.978537--1.429071))+0-179.2--0.639744000000003</f>
        <v>1190.7338500000001</v>
      </c>
      <c r="H120" s="3">
        <f>1504.1+(243.4-404.7)+(0+(0-0))+0-177.4-0</f>
        <v>1165.3999999999999</v>
      </c>
      <c r="I120" s="3">
        <f>1497.9+(234.5-412.1)+(-6.875361+(-1.076355--1.891539))+0-172.5--0.79177500000003</f>
        <v>1142.5315980000003</v>
      </c>
      <c r="J120" s="3">
        <f>1510.2+(226-435.1)+(-1.540404+(-0.23052--0.443802))+0-170.6--0.174012000000027</f>
        <v>1129.34689</v>
      </c>
      <c r="K120" s="3">
        <f>1490.4+(224.3-438.6)+(-6.840936+(-1.029537--2.013174))+0-176--0.807840000000031</f>
        <v>1095.0505410000001</v>
      </c>
      <c r="L120" s="3">
        <f>1501+(212.4-477.6)+(-6.12408+(-0.866592--1.948608))+0-173.4--0.707471999999985</f>
        <v>1058.0654079999999</v>
      </c>
      <c r="M120" s="3">
        <f>1514.8+(233.9-474.7)+(0.772548+(0.119289-0.242097))+0-177.4-0.090473999999982</f>
        <v>1097.1592659999999</v>
      </c>
      <c r="N120" s="3">
        <f>1522.1+(277-485.6)+(0+(0-0))+0-180.4-0</f>
        <v>1133.0999999999999</v>
      </c>
      <c r="O120" s="3">
        <f>1517.2+(334.3-479.2)+(0+(0-0))+0-179.4-0</f>
        <v>1192.9000000000001</v>
      </c>
      <c r="P120" s="3">
        <f>1499.3+(329-388.5)+(0.764643+(0.16779-0.198135))+0-179.6-0.0915959999999818</f>
        <v>1260.8427020000001</v>
      </c>
      <c r="Q120" s="3">
        <f>1494.9+(319-293.1)+(0.762399+(0.16269-0.149481))+0-181.7-0.0926669999999816</f>
        <v>1339.7829410000002</v>
      </c>
      <c r="R120" s="3">
        <f>1526.1+(386.3-314.8)+(0+(0-0))+0-176.1-0</f>
        <v>1421.5</v>
      </c>
      <c r="S120" s="3">
        <f>1487.3+(482.8-406.6)+(-0.758523+(-0.246228--0.207366))+0-179.1--0.0913409999999818</f>
        <v>1383.6939560000001</v>
      </c>
      <c r="T120" s="3">
        <f>1467.6+(505.9-417.8)+(-0.748476+(-0.258009--0.213078))+0-193.6--0.0987359999999804</f>
        <v>1361.4053289999999</v>
      </c>
      <c r="U120" s="3">
        <f>1457.4+(554.2-436.1)+(-1.486548+(-0.565284--0.444822))+0-192.9--0.196758000000031</f>
        <v>1381.189748</v>
      </c>
      <c r="V120" s="3">
        <f>1457.8+(485.5-385.9)+(0.743478+(0.247605-0.196809))+0-195-0.0994499999999802</f>
        <v>1363.0948240000002</v>
      </c>
      <c r="W120" s="3">
        <f>1441.5+(326.9-281.9)+(-0.735165+(-0.166719--0.143769))+0-190.5--0.0971549999999807</f>
        <v>1295.3390399999998</v>
      </c>
      <c r="X120" s="3">
        <f>1437.8+(362.3-425.4)+(-3.66639+(-0.923865--1.08477))+0-196--0.499799999999972</f>
        <v>1175.6943150000002</v>
      </c>
      <c r="Y120" s="3">
        <f>1438.8+(418.1-516.8)+(-3.66894+(-1.066155--1.31784))+0-193.2--0.492659999999972</f>
        <v>1143.9754049999997</v>
      </c>
      <c r="Z120" s="3">
        <f>1467+(334.1-325)+(1.49634+(0.340782-0.3315))+0-193.1-0.196962000000031</f>
        <v>1284.3086599999999</v>
      </c>
      <c r="AA120" s="3">
        <f>1477.9+(333.5-302.4)+(-1.507458+(-0.34017--0.308448))+0-187.7--0.19145400000003</f>
        <v>1319.952274</v>
      </c>
      <c r="AB120" s="3">
        <f>1483.6+(360.7-347)+(-0.756636+(-0.183957--0.17697))+0-193.1--0.0984809999999804</f>
        <v>1303.534858</v>
      </c>
      <c r="AC120" s="3">
        <f>1488.1+(388.9-400.9)+(0+(0-0))+0-191.7-0</f>
        <v>1284.3999999999999</v>
      </c>
      <c r="AD120">
        <v>1322.1</v>
      </c>
      <c r="AE120" s="3">
        <f>1480+(342.3-314.2)+(0+(0-0))+0-172-0</f>
        <v>1336.1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1483+(373.9-411.2)+(-4.53798+(-1.144134--1.258272))+0-194.3--0.594558000000022</f>
        <v>1247.5707160000002</v>
      </c>
      <c r="G121" s="3">
        <f>1485.6+(389.1-454)+(-0.757656+(-0.198441--0.23154))+0-176.2--0.0898619999999821</f>
        <v>1243.8653049999998</v>
      </c>
      <c r="H121" s="3">
        <f>1492.9+(347.3-461.4)+(-1.522758+(-0.354246--0.470628))+0-189.2--0.19298400000003</f>
        <v>1188.3866080000003</v>
      </c>
      <c r="I121" s="3">
        <f>1521.2+(279.9-436.3)+(-2.327436+(-0.428247--0.667539))+0-197.1--0.301563000000011</f>
        <v>1165.913419</v>
      </c>
      <c r="J121" s="3">
        <f>1535.9+(252.6-440.2)+(-3.916545+(-0.64413--1.12251))+0-193.7--0.493934999999972</f>
        <v>1151.6557700000001</v>
      </c>
      <c r="K121" s="3">
        <f>1526.9+(245.3-456.3)+(-3.114876+(-0.500412--0.930852))+0-197.4--0.402695999999991</f>
        <v>1116.2182599999999</v>
      </c>
      <c r="L121" s="3">
        <f>1529.2+(252.2-516)+(-2.339676+(-0.385866--0.78948))+0-191--0.292230000000011</f>
        <v>1072.7561680000001</v>
      </c>
      <c r="M121" s="3">
        <f>1532.4+(280.7-516.5)+(-0.781524+(-0.143157--0.263415))+0-192--0.0979199999999805</f>
        <v>1104.036654</v>
      </c>
      <c r="N121" s="3">
        <f>1498.5+(341.8-484.5)+(1.52847+(0.348636-0.49419))+0-190.9-0.19471800000003</f>
        <v>1166.0881979999999</v>
      </c>
      <c r="O121" s="3">
        <f>1487.2+(376.8-465.2)+(0+(0-0))+0-196.2-0</f>
        <v>1202.6000000000001</v>
      </c>
      <c r="P121" s="3">
        <f>1469.9+(373.8-370.9)+(1.499298+(0.381276-0.378318))+0-197-0.200940000000031</f>
        <v>1277.1013160000002</v>
      </c>
      <c r="Q121" s="3">
        <f>1472.3+(336.2-261.8)+(1.501746+(0.342924-0.267036))+0-202.8-0.206856000000032</f>
        <v>1345.2707779999998</v>
      </c>
      <c r="R121" s="3">
        <f>1460.3+(442.8-314.9)+(0+(0-0))+0-194-0</f>
        <v>1394.2</v>
      </c>
      <c r="S121" s="3">
        <f>1454.2+(553.6-432.3)+(-1.483284+(-0.564672--0.440946))+0-199.2--0.203184000000032</f>
        <v>1374.896174</v>
      </c>
      <c r="T121" s="3">
        <f>1444.8+(608.7-450.2)+(0.736848+(0.310437-0.229602))+0-199.5-0.10174499999998</f>
        <v>1404.515938</v>
      </c>
      <c r="U121" s="3">
        <f>1431.8+(592-435.9)+(-2.190654+(-0.90576--0.666927))+0-198.4--0.303552000000011</f>
        <v>1387.374065</v>
      </c>
      <c r="V121" s="3">
        <f>1422.1+(517.6-378.9)+(-2.901084+(-1.055904--0.772956))+0-199.4--0.406775999999991</f>
        <v>1358.622744</v>
      </c>
      <c r="W121" s="3">
        <f>1423.5+(317.7-275.3)+(0+(0-0))+0-203.5-0</f>
        <v>1262.4000000000001</v>
      </c>
      <c r="X121" s="3">
        <f>1427.3+(340.9-424.8)+(-1.455846+(-0.347718--0.433296))+0-182.5--0.186150000000029</f>
        <v>1159.715882</v>
      </c>
      <c r="Y121" s="3">
        <f>1438.7+(381.4-483.8)+(-2.201211+(-0.583542--0.740214))+0-185.3--0.283509000000011</f>
        <v>1149.2389700000001</v>
      </c>
      <c r="Z121" s="3">
        <f>1459.4+(331-300.2)+(0+(0-0))+0-193.5-0</f>
        <v>1296.7</v>
      </c>
      <c r="AA121" s="3">
        <f>1475.3+(340.8-289.5)+(0+(0-0))+0-197.6-0</f>
        <v>1329</v>
      </c>
      <c r="AB121" s="3">
        <f>1484.4+(360-331)+(-3.028176+(-0.7344--0.67524))+0-193.5--0.394739999999992</f>
        <v>1317.207404</v>
      </c>
      <c r="AC121" s="3">
        <f>1484.5+(386.9-388.2)+(0+(0-0))+0-183.9-0</f>
        <v>1299.3</v>
      </c>
      <c r="AD121">
        <v>1317</v>
      </c>
      <c r="AE121" s="3">
        <f>1470+(362.1-315.5)+(0+(0-0))+0-183.6-0</f>
        <v>1333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1480.9+(358.5-391.7)+(-2.265777+(-0.548505--0.599301))+0-182.5--0.279225000000011</f>
        <v>1263.264244</v>
      </c>
      <c r="G122" s="3">
        <f>1494+(309-396.4)+(-1.52388+(-0.31518--0.404328))+0-185--0.18870000000003</f>
        <v>1220.3539679999999</v>
      </c>
      <c r="H122" s="3">
        <f>1485.4+(265.2-372.6)+(-3.030216+(-0.541008--0.760104))+0-179.9--0.366995999999992</f>
        <v>1195.6558759999998</v>
      </c>
      <c r="I122" s="3">
        <f>1493+(255.4-389.2)+(-2.28429+(-0.390762--0.595476))+0-180.4--0.27601200000001</f>
        <v>1176.9964359999999</v>
      </c>
      <c r="J122" s="3">
        <f>1503+(254.8-400.2)+(-3.06612+(-0.519792--0.816408))+0-183.7--0.374747999999992</f>
        <v>1171.5052439999997</v>
      </c>
      <c r="K122" s="3">
        <f>1502.2+(271.8-459.1)+(-3.064488+(-0.554472--0.936564))+0-179.5--0.366179999999992</f>
        <v>1133.0837840000002</v>
      </c>
      <c r="L122" s="3">
        <f>1513.8+(262-503.5)+(-5.404266+(-0.93534--1.797495))+0-166--0.592620000000002</f>
        <v>1102.3505089999999</v>
      </c>
      <c r="M122" s="3">
        <f>1496.2+(270.7-457)+(0+(0-0))+0-174.4-0</f>
        <v>1135.5</v>
      </c>
      <c r="N122" s="3">
        <f>1480.3+(301.4-415.3)+(0+(0-0))+0-174.1-0</f>
        <v>1192.3</v>
      </c>
      <c r="O122" s="3">
        <f>1465.1+(333.5-374.2)+(0+(0-0))+0-182.8-0</f>
        <v>1241.5999999999999</v>
      </c>
      <c r="P122" s="3">
        <f>1450.4+(337.9-304.5)+(1.479408+(0.344658-0.31059))+0-178.9-0.182478000000029</f>
        <v>1306.2309980000002</v>
      </c>
      <c r="Q122" s="3">
        <f>1435+(346.7-232.5)+(0.73185+(0.176817-0.118575))+0-167.4-0.085373999999983</f>
        <v>1382.5047179999999</v>
      </c>
      <c r="R122" s="3">
        <f>1439.2+(433-198.1)+(1.467984+(0.44166-0.202062))+0-181-0.184620000000029</f>
        <v>1494.6229620000001</v>
      </c>
      <c r="S122" s="3">
        <f>1437.4+(538.2-381.5)+(-0.733074+(-0.274482--0.194565))+0-168.6--0.0859859999999829</f>
        <v>1424.7729950000003</v>
      </c>
      <c r="T122" s="3">
        <f>1436.7+(553.9-413.1)+(0.732717+(0.282489-0.210681))+0-161.1-0.0821609999999837</f>
        <v>1417.1223640000001</v>
      </c>
      <c r="U122" s="3">
        <f>1423.9+(532.6-399.9)+(-3.630945+(-1.35813--1.019745))+0-155.4--0.396269999999977</f>
        <v>1397.6269400000001</v>
      </c>
      <c r="V122" s="3">
        <f>1429.7+(448.3-335.6)+(-2.916588+(-0.914532--0.684624))+0-164.2--0.334967999999993</f>
        <v>1375.3884719999999</v>
      </c>
      <c r="W122" s="3">
        <f>1414.2+(336.8-281.8)+(-5.769936+(-1.374144--1.149744))+0-163.1--0.665447999999986</f>
        <v>1300.7711120000001</v>
      </c>
      <c r="X122" s="3">
        <f>1407.7+(389-438.8)+(-5.025489+(-1.38873--1.566516))+0-160.6--0.573342000000002</f>
        <v>1193.0256390000002</v>
      </c>
      <c r="Y122" s="3">
        <f>1408.6+(416.2-506.5)+(-1.436772+(-0.424524--0.51663))+0-165.9--0.169218000000026</f>
        <v>1151.2245519999999</v>
      </c>
      <c r="Z122" s="3">
        <f>1441+(348.2-329.5)+(-0.73491+(-0.177582--0.168045))+0-175.4--0.0894539999999822</f>
        <v>1283.6450069999999</v>
      </c>
      <c r="AA122" s="3">
        <f>1461.4+(365.9-320.1)+(-2.981256+(-0.746436--0.653004))+0-176.3--0.359651999999992</f>
        <v>1328.1849640000003</v>
      </c>
      <c r="AB122" s="3">
        <f>1477.7+(381.2-361.8)+(-3.768135+(-0.97206--0.92259))+0-176.4--0.449819999999974</f>
        <v>1317.3322149999999</v>
      </c>
      <c r="AC122" s="3">
        <f>1447.3+(443.6-409.7)+(0.738123+(0.226236-0.208947))+0-180.6-0.0921059999999817</f>
        <v>1301.2633060000001</v>
      </c>
      <c r="AD122">
        <v>1307.3</v>
      </c>
      <c r="AE122" s="3">
        <f>1462+(371.6-333.8)+(0+(0-0))+0-176.5-0</f>
        <v>1323.3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1452.4+(410.2-414.7)+(-0.740724+(-0.209202--0.211497))+0-182.1--0.0928709999999815</f>
        <v>1265.1544420000002</v>
      </c>
      <c r="G123" s="3">
        <f>1457+(373.1-421.2)+(-1.48614+(-0.380562--0.429624))+0-176.4--0.179928000000028</f>
        <v>1231.2428500000001</v>
      </c>
      <c r="H123" s="3">
        <f>1482.2+(328.9-437.6)+(-0.755922+(-0.167739--0.223176))+0-173.3--0.0883829999999824</f>
        <v>1199.587898</v>
      </c>
      <c r="I123" s="3">
        <f>1474.3+(296.7-416.5)+(-4.511358+(-0.907902--1.27449))+0-173.6--0.53121600000002</f>
        <v>1177.2864460000001</v>
      </c>
      <c r="J123" s="3">
        <f>1473.8+(314.1-443)+(-3.75819+(-0.800955--1.12965))+0-179.2--0.456959999999974</f>
        <v>1162.7274649999999</v>
      </c>
      <c r="K123" s="3">
        <f>1494+(293.5-486.3)+(-5.33358+(-1.047795--1.736091))+0-179.8--0.641886000000003</f>
        <v>1117.3966020000003</v>
      </c>
      <c r="L123" s="3">
        <f>1510+(209.9-466.6)+(-5.3907+(-0.749343--1.665762))+0-165.3--0.590121000000002</f>
        <v>1084.1158399999999</v>
      </c>
      <c r="M123" s="3">
        <f>1497.6+(227.6-450.8)+(-0.763776+(-0.116076--0.229908))+0-167.2--0.085271999999983</f>
        <v>1106.6353279999998</v>
      </c>
      <c r="N123" s="3">
        <f>1461.7+(248-365.2)+(1.490934+(0.25296-0.372504))+0-170.5-0.173910000000027</f>
        <v>1175.19748</v>
      </c>
      <c r="O123" s="3">
        <f>1454.8+(294.2-345.3)+(1.483896+(0.300084-0.352206))+0-169.4-0.172788000000027</f>
        <v>1235.5589859999995</v>
      </c>
      <c r="P123" s="3">
        <f>1445.2+(294.3-249.5)+(1.474104+(0.300186-0.25449))+0-195-0.198900000000031</f>
        <v>1296.3208999999999</v>
      </c>
      <c r="Q123" s="3">
        <f>1447.2+(337.4-225.8)+(0+(0-0))+0-177.6-0</f>
        <v>1381.2</v>
      </c>
      <c r="R123" s="3">
        <f>1445.1+(454.4-337.2)+(-2.211003+(-0.695232--0.515916))+0-152.3--0.233019000000009</f>
        <v>1407.8426999999999</v>
      </c>
      <c r="S123" s="3">
        <f>1438.8+(575.4-446.3)+(-3.66894+(-1.46727--1.138065))+0-156.4--0.398819999999977</f>
        <v>1407.9006749999996</v>
      </c>
      <c r="T123" s="3">
        <f>1435.6+(614.9-501.3)+(0+(0-0))+0-155.8-0</f>
        <v>1393.3999999999999</v>
      </c>
      <c r="U123" s="3">
        <f>1444.9+(561.2-486)+(-2.947596+(-1.144848--0.99144))+0-142.9--0.291515999999994</f>
        <v>1374.3905119999999</v>
      </c>
      <c r="V123" s="3">
        <f>1449.4+(493.7-426.2)+(-1.478388+(-0.503574--0.434724))+0-148.7--0.151674000000024</f>
        <v>1366.8044359999999</v>
      </c>
      <c r="W123" s="3">
        <f>1447.4+(359.7-353.5)+(-2.214522+(-0.550341--0.540855))+0-148.2--0.226746000000009</f>
        <v>1303.4027380000002</v>
      </c>
      <c r="X123" s="3">
        <f>1436.7+(272.4-368)+(-3.663585+(-0.69462--0.9384))+0-147.9--0.377144999999979</f>
        <v>1190.1573399999997</v>
      </c>
      <c r="Y123" s="3">
        <f>1453.2+(299.5-460.4)+(-1.482264+(-0.30549--0.469608))+0-149--0.151980000000024</f>
        <v>1142.1338340000002</v>
      </c>
      <c r="Z123" s="3">
        <f>1472.8+(331.4-374.8)+(0+(0-0))+0-149.2-0</f>
        <v>1280.1999999999998</v>
      </c>
      <c r="AA123" s="3">
        <f>1489.4+(361.2-394.2)+(-3.79797+(-0.92106--1.00521))+0-147.8--0.376889999999979</f>
        <v>1305.2630700000002</v>
      </c>
      <c r="AB123" s="3">
        <f>1498.8+(366-417.3)+(-0.764388+(-0.18666--0.212823))+0-153.6--0.0783359999999844</f>
        <v>1293.2401110000001</v>
      </c>
      <c r="AC123" s="3">
        <f>1478.4+(392.6-426.4)+(-0.753984+(-0.200226--0.217464))+0-155.9--0.0795089999999842</f>
        <v>1288.0427629999999</v>
      </c>
      <c r="AD123">
        <v>1290</v>
      </c>
      <c r="AE123" s="3">
        <f>1496+(360.8-400.2)+(0+(0-0))+0-150.6-0</f>
        <v>1306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1485.4+(380.6-443.2)+(-0.757554+(-0.194106--0.226032))+0-156.4--0.0797639999999841</f>
        <v>1265.7541360000002</v>
      </c>
      <c r="G124" s="3">
        <f>1496.3+(340.1-455.9)+(1.526226+(0.346902-0.465018))+0-153.2-0.156264000000024</f>
        <v>1228.5518460000001</v>
      </c>
      <c r="H124" s="3">
        <f>1497.3+(302-448)+(1.527246+(0.30804-0.45696))+0-154-0.157080000000025</f>
        <v>1198.521246</v>
      </c>
      <c r="I124" s="3">
        <f>1501.9+(280.8-447.9)+(0.765969+(0.143208-0.228429))+0-157.1-0.0801209999999841</f>
        <v>1178.3006270000003</v>
      </c>
      <c r="J124" s="3">
        <f>1515.2+(288.8-478.8)+(2.318256+(0.441864-0.732564))+0-160.4-0.245412000000009</f>
        <v>1166.582144</v>
      </c>
      <c r="K124" s="3">
        <f>1510.8+(282.7-505.9)+(-1.541016+(-0.288354--0.516018))+0-161.6--0.164832000000026</f>
        <v>1124.85148</v>
      </c>
      <c r="L124" s="3">
        <f>1500.4+(213.1-527.5)+(1.530408+(0.217362-0.53805))+0-158.4-0.161568000000025</f>
        <v>1028.648152</v>
      </c>
      <c r="M124" s="3">
        <f>1515.2+(231-508.6)+(-0.772752+(-0.11781--0.259386))+0-162.7--0.0829769999999835</f>
        <v>1074.3518009999998</v>
      </c>
      <c r="N124" s="3">
        <f>1482.6+(242.1-446)+(2.268378+(0.370413-0.68238))+0-169.7-0.25964100000001</f>
        <v>1110.6967699999996</v>
      </c>
      <c r="O124" s="3">
        <f>1469.4+(259.1-402.9)+(0.749394+(0.132141-0.205479))+0-163.5-0.0833849999999834</f>
        <v>1162.6926710000002</v>
      </c>
      <c r="P124" s="3">
        <f>1457.4+(299.2-355.2)+(2.229822+(0.457776-0.543456))+0-160.9-0.246177000000009</f>
        <v>1242.3979650000001</v>
      </c>
      <c r="Q124" s="3">
        <f>1462+(357.8-343.9)+(1.49124+(0.364956-0.350778))+0-170.8-0.174216000000027</f>
        <v>1306.431202</v>
      </c>
      <c r="R124" s="3">
        <f>1451.9+(441.6-386.5)+(-0.740469+(-0.225216--0.197115))+0-172.2--0.0878219999999825</f>
        <v>1334.119252</v>
      </c>
      <c r="S124" s="3">
        <f>1444.7+(493.5-422.3)+(-0.736797+(-0.251685--0.215373))+0-171.1--0.0872609999999826</f>
        <v>1344.1141520000001</v>
      </c>
      <c r="T124" s="3">
        <f>1453.5+(547.3-473.7)+(-2.223855+(-0.837369--0.724761))+0-177.2--0.27111600000001</f>
        <v>1347.8346529999999</v>
      </c>
      <c r="U124" s="3">
        <f>1443.7+(550.5-481.5)+(0.736287+(0.280755-0.245565))+0-173.9-0.0886889999999824</f>
        <v>1339.482788</v>
      </c>
      <c r="V124" s="3">
        <f>1443+(500.6-439)+(-0.73593+(-0.255306--0.22389))+0-179--0.0912899999999818</f>
        <v>1324.9239439999999</v>
      </c>
      <c r="W124" s="3">
        <f>1433+(370.2-371.2)+(-3.65415+(-0.94401--0.94656))+0-175.8--0.448289999999975</f>
        <v>1252.9966900000002</v>
      </c>
      <c r="X124" s="3">
        <f>1439.3+(257.2-367.7)+(-2.202129+(-0.393516--0.562581))+0-175.9--0.26912700000001</f>
        <v>1151.1360629999999</v>
      </c>
      <c r="Y124" s="3">
        <f>1442+(276-426.1)+(-5.14794+(-0.98532--1.521177))+0-171.4--0.611898000000003</f>
        <v>1116.4998150000001</v>
      </c>
      <c r="Z124" s="3">
        <f>1470+(376.3-389.8)+(2.2491+(0.575739-0.596394))+0-177.6-0.27172800000001</f>
        <v>1280.8567170000001</v>
      </c>
      <c r="AA124" s="3">
        <f>1480.6+(423.7-407.3)+(-2.265318+(-0.648261--0.623169))+0-175.5--0.26851500000001</f>
        <v>1319.4781049999999</v>
      </c>
      <c r="AB124" s="3">
        <f>1479.6+(431-440.7)+(-1.509192+(-0.43962--0.449514))+0-162.2--0.165444000000026</f>
        <v>1306.3661459999998</v>
      </c>
      <c r="AC124" s="3">
        <f>1475.7+(425.2-441)+(0.752607+(0.216852-0.22491))+0-166.4-0.0848639999999831</f>
        <v>1294.1596850000001</v>
      </c>
      <c r="AD124">
        <v>1296.8</v>
      </c>
      <c r="AE124" s="3">
        <f>1472+(428.1-410.2)+(0+(0-0))+0-177.1-0</f>
        <v>1312.8000000000002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1476.5+(390.6-446.9)+(-1.50603+(-0.398412--0.455838))+0-164--0.167280000000026</f>
        <v>1254.9186760000002</v>
      </c>
      <c r="G125" s="3">
        <f>1487.6+(350.4-460.2)+(-1.517352+(-0.357408--0.469404))+0-161.8--0.165036000000026</f>
        <v>1214.7596800000001</v>
      </c>
      <c r="H125" s="3">
        <f>1503.9+(316.6-460.1)+(-2.300967+(-0.484398--0.703953))+0-165.5--0.25321500000001</f>
        <v>1193.071803</v>
      </c>
      <c r="I125" s="3">
        <f>1495.5+(332-474.5)+(-2.288115+(-0.50796--0.725985))+0-166.8--0.25520400000001</f>
        <v>1184.3851140000002</v>
      </c>
      <c r="J125" s="3">
        <f>1500.4+(326.3-486)+(-3.060816+(-0.665652--0.99144))+0-166.4--0.339455999999993</f>
        <v>1171.9044279999998</v>
      </c>
      <c r="K125" s="3">
        <f>1503.9+(289.7-491.2)+(-3.067956+(-0.590988--1.002048))+0-157.9--0.322115999999993</f>
        <v>1142.1652200000001</v>
      </c>
      <c r="L125" s="3">
        <f>1518.8+(239.7-517.6)+(-0.774588+(-0.122247--0.263976))+0-158.4--0.0807839999999839</f>
        <v>1081.9479249999997</v>
      </c>
      <c r="M125" s="3">
        <f>1496.1+(288.4-503.2)+(0+(0-0))+0-158.5-0</f>
        <v>1122.8</v>
      </c>
      <c r="N125" s="3">
        <f>1447.7+(357.4-465.1)+(1.476654+(0.364548-0.474402))+0-160.6-0.163812000000026</f>
        <v>1180.6029880000001</v>
      </c>
      <c r="O125" s="3">
        <f>1455.6+(405.9-448.4)+(-0.742356+(-0.207009--0.228684))+0-161.4--0.0823139999999836</f>
        <v>1251.0616329999998</v>
      </c>
      <c r="P125" s="3">
        <f>1449+(406.6-376.9)+(-0.73899+(-0.207366--0.192219))+0-165.7--0.0845069999999832</f>
        <v>1312.3303700000001</v>
      </c>
      <c r="Q125" s="3">
        <f>1461.8+(386.6-333.8)+(2.236554+(0.591498-0.510714))+0-166.4-0.25459200000001</f>
        <v>1350.2627459999999</v>
      </c>
      <c r="R125" s="3">
        <f>1443.5+(457-316.9)+(0.736185+(0.23307-0.161619))+0-168.5-0.0859349999999829</f>
        <v>1415.8217009999998</v>
      </c>
      <c r="S125" s="3">
        <f>1441.2+(553.2-397.5)+(0+(0-0))+0-166-0</f>
        <v>1430.9</v>
      </c>
      <c r="T125" s="3">
        <f>1454.9+(567.7-420)+(-1.483998+(-0.579054--0.4284))+0-163.4--0.166668000000026</f>
        <v>1437.7320160000002</v>
      </c>
      <c r="U125" s="3">
        <f>1453+(513-387.3)+(-2.22309+(-0.78489--0.592569))+0-158.7--0.242811000000009</f>
        <v>1417.8274000000001</v>
      </c>
      <c r="V125" s="3">
        <f>1447+(458.7-335.4)+(-2.95188+(-0.935748--0.684216))+0-163.9--0.334355999999993</f>
        <v>1403.5309439999999</v>
      </c>
      <c r="W125" s="3">
        <f>1422.7+(368.9-287.4)+(-2.176731+(-0.564417--0.439722))+0-168.8--0.25826400000001</f>
        <v>1333.3568380000002</v>
      </c>
      <c r="X125" s="3">
        <f>1432+(423.3-463)+(-4.38192+(-1.295298--1.41678))+0-170.3--0.52111800000002</f>
        <v>1218.2606800000001</v>
      </c>
      <c r="Y125" s="3">
        <f>1438.8+(439.9-536)+(-0.733788+(-0.224349--0.27336))+0-169.6--0.0864959999999828</f>
        <v>1172.5017189999999</v>
      </c>
      <c r="Z125" s="3">
        <f>1459.7+(373.5-348.2)+(-1.488894+(-0.38097--0.355164))+0-175.2--0.178704000000028</f>
        <v>1308.4640039999999</v>
      </c>
      <c r="AA125" s="3">
        <f>1481.2+(396.8-350)+(0+(0-0))+0-174.3-0</f>
        <v>1353.7</v>
      </c>
      <c r="AB125" s="3">
        <f>1481.1+(411.1-380.2)+(-2.266083+(-0.628983--0.581706))+0-171.2--0.26193600000001</f>
        <v>1338.748576</v>
      </c>
      <c r="AC125" s="3">
        <f>1497.5+(412-415.5)+(0+(0-0))+0-171.7-0</f>
        <v>1322.3</v>
      </c>
      <c r="AD125">
        <v>1322.3</v>
      </c>
      <c r="AE125" s="3">
        <f>1466+(393.1-343.6)+(0+(0-0))+0-177.2-0</f>
        <v>1338.3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1483.7+(405.2-424.5)+(-1.513374+(-0.413304--0.43299))+0-174.3--0.177786000000028</f>
        <v>1288.7840980000001</v>
      </c>
      <c r="G126" s="3">
        <f>1475.5+(367.9-433.9)+(-3.762525+(-0.938145--1.106445))+0-170.7--0.435284999999975</f>
        <v>1235.6410599999999</v>
      </c>
      <c r="H126" s="3">
        <f>1485.4+(324.5-436.9)+(-1.515108+(-0.33099--0.445638))+0-162--0.165240000000026</f>
        <v>1209.76478</v>
      </c>
      <c r="I126" s="3">
        <f>1504.4+(285.5-430.2)+(-3.068976+(-0.58242--0.877608))+0-161.6--0.329663999999993</f>
        <v>1195.6558760000003</v>
      </c>
      <c r="J126" s="3">
        <f>1501.5+(330.7-486.6)+(-2.297295+(-0.505971--0.744498))+0-161.2--0.246636000000009</f>
        <v>1182.5878679999998</v>
      </c>
      <c r="K126" s="3">
        <f>1516.4+(320.7-520.8)+(-1.546728+(-0.327114--0.531216))+0-158.5--0.161670000000025</f>
        <v>1156.619044</v>
      </c>
      <c r="L126" s="3">
        <f>1496.5+(255.5-477.1)+(-3.816075+(-0.651525--1.216605))+0-155.4--0.396269999999977</f>
        <v>1116.6452749999999</v>
      </c>
      <c r="M126" s="3">
        <f>1514.2+(269.5-485.3)+(2.316726+(0.412335-0.742509))+0-156.5-0.239445000000009</f>
        <v>1143.6471070000002</v>
      </c>
      <c r="N126" s="3">
        <f>1491.4+(337.3-464.4)+(0+(0-0))+0-159.6-0</f>
        <v>1204.7000000000003</v>
      </c>
      <c r="O126" s="3">
        <f>1467.6+(415.2-456.4)+(0.748476+(0.211752-0.232764))+0-159.5-0.0813449999999838</f>
        <v>1267.5461189999999</v>
      </c>
      <c r="P126" s="3">
        <f>1441.4+(408.3-367.8)+(0.735114+(0.208233-0.187578))+0-157.7-0.080426999999984</f>
        <v>1324.8753420000003</v>
      </c>
      <c r="Q126" s="3">
        <f>1451.2+(410.7-314)+(2.220336+(0.628371-0.48042))+0-151.7-0.232101000000009</f>
        <v>1398.336186</v>
      </c>
      <c r="R126" s="3">
        <f>1448.5+(492.1-361.5)+(0+(0-0))+0-146.5-0</f>
        <v>1432.6</v>
      </c>
      <c r="S126" s="3">
        <f>1429.4+(608.4-459.6)+(0+(0-0))+0-141-0</f>
        <v>1437.2</v>
      </c>
      <c r="T126" s="3">
        <f>1404.1+(606.3-457.3)+(2.148273+(0.927639-0.699669))+0-144.3-0.220779000000008</f>
        <v>1410.9554639999999</v>
      </c>
      <c r="U126" s="3">
        <f>1401.7+(569.2-440)+(-1.429734+(-0.580584--0.4488))+0-144.7--0.147594000000023</f>
        <v>1384.7860760000001</v>
      </c>
      <c r="V126" s="3">
        <f>1412.6+(513.8-369.5)+(-2.881704+(-1.048152--0.75378))+0-148.2--0.302327999999993</f>
        <v>1405.8262519999998</v>
      </c>
      <c r="W126" s="3">
        <f>1400.1+(399.1-285.4)+(-4.284306+(-1.221246--0.873324))+0-145.2--0.444312000000017</f>
        <v>1364.412084</v>
      </c>
      <c r="X126" s="3">
        <f>1405.3+(348.6-356.7)+(-4.300218+(-1.066716--1.091502))+0-145.4--0.444924000000017</f>
        <v>1247.9694920000002</v>
      </c>
      <c r="Y126" s="3">
        <f>1407.9+(402.7-485.2)+(-1.436058+(-0.410754--0.494904))+0-143.7--0.146574000000023</f>
        <v>1180.4946660000001</v>
      </c>
      <c r="Z126" s="3">
        <f>1458.9+(362.7-363.5)+(0+(0-0))+0-145.9-0</f>
        <v>1312.2</v>
      </c>
      <c r="AA126" s="3">
        <f>1467.8+(400.8-355.2)+(-4.491468+(-1.226448--1.086912))+0-155.2--0.474912000000018</f>
        <v>1354.0439080000001</v>
      </c>
      <c r="AB126" s="3">
        <f>1472+(413.9-382.1)+(-0.75072+(-0.211089--0.194871))+0-153.6--0.0783359999999844</f>
        <v>1349.5113980000001</v>
      </c>
      <c r="AC126" s="3">
        <f>1479.9+(420.9-408.8)+(-0.754749+(-0.214659--0.208488))+0-154.8--0.0789479999999843</f>
        <v>1336.5180280000002</v>
      </c>
      <c r="AD126">
        <v>1325.6999999999998</v>
      </c>
      <c r="AE126" s="3">
        <f>1456+(425.2-388.6)+(0+(0-0))+0-155.9-0</f>
        <v>1336.6999999999998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1486.2+(403.7-436.5)+(-2.273886+(-0.617661--0.667845))+0-153.9--0.235467000000009</f>
        <v>1297.511765</v>
      </c>
      <c r="G127" s="3">
        <f>1509.8+(366.3-460.3)+(-2.309994+(-0.560439--0.704259))+0-158.1--0.241893000000009</f>
        <v>1255.7757190000002</v>
      </c>
      <c r="H127" s="3">
        <f>1523.6+(332.1-473.2)+(-1.554072+(-0.338742--0.482664))+0-154.7--0.157794000000025</f>
        <v>1226.547644</v>
      </c>
      <c r="I127" s="3">
        <f>1516.3+(313.2-474)+(-1.546626+(-0.319464--0.48348))+0-155.1--0.158202000000025</f>
        <v>1199.1755920000001</v>
      </c>
      <c r="J127" s="3">
        <f>1514.2+(316.2-491.8)+(1.544484+(0.322524-0.501636))+0-154.5-0.157590000000025</f>
        <v>1185.3077819999999</v>
      </c>
      <c r="K127" s="3">
        <f>1500.6+(274.5-475)+(0.765306+(0.139995-0.24225))+0-155.1-0.0791009999999843</f>
        <v>1145.58395</v>
      </c>
      <c r="L127" s="3">
        <f>1447.7+(263.3-471.9)+(-0.738327+(-0.134283--0.240669))+0-152.3--0.0776729999999846</f>
        <v>1086.2457320000001</v>
      </c>
      <c r="M127" s="3">
        <f>1417.5+(297.1-427.7)+(-0.722925+(-0.151521--0.218127))+0-159.7--0.0814469999999838</f>
        <v>1126.6251280000001</v>
      </c>
      <c r="N127" s="3">
        <f>1288.8+(387.7-347.5)+(0+(0-0))+0-157.1-0</f>
        <v>1171.9000000000001</v>
      </c>
      <c r="O127" s="3">
        <f>1276.9+(435.1-304.1)+(-1.302438+(-0.443802--0.310182))+0-152.6--0.155652000000024</f>
        <v>1254.0195940000001</v>
      </c>
      <c r="P127" s="3">
        <f>1404.2+(424.9-369.9)+(-0.716142+(-0.216699--0.188649))+0-152--0.0775199999999846</f>
        <v>1306.533328</v>
      </c>
      <c r="Q127" s="3">
        <f>1416.9+(398.8-265.9)+(0+(0-0))+0-147.7-0</f>
        <v>1402.1000000000001</v>
      </c>
      <c r="R127" s="3">
        <f>1422.7+(491.6-334.6)+(-2.902308+(-1.002864--0.682584))+0-149.3--0.304571999999994</f>
        <v>1427.481984</v>
      </c>
      <c r="S127" s="3">
        <f>1423.9+(553.2-420.9)+(-2.178567+(-0.846396--0.643977))+0-151.2--0.231336000000009</f>
        <v>1402.8503500000004</v>
      </c>
      <c r="T127" s="3">
        <f>1424+(586.1-463.4)+(0.72624+(0.298911-0.236334))+0-150-0.0764999999999848</f>
        <v>1397.4123170000003</v>
      </c>
      <c r="U127" s="3">
        <f>1416.1+(607.3-464.7)+(-1.444422+(-0.619446--0.473994))+0-150.4--0.153408000000024</f>
        <v>1406.8635339999998</v>
      </c>
      <c r="V127" s="3">
        <f>1395+(542.7-385.7)+(1.4229+(0.553554-0.393414))+0-147.2-0.150144000000023</f>
        <v>1406.232896</v>
      </c>
      <c r="W127" s="3">
        <f>1389.4+(404.2-275.8)+(-2.834376+(-0.824568--0.562632))+0-144.6--0.294983999999994</f>
        <v>1370.3986720000003</v>
      </c>
      <c r="X127" s="3">
        <f>1388.6+(409.1-391.9)+(-2.124558+(-0.625923--0.599607))+0-140.5--0.214965000000008</f>
        <v>1263.3640910000001</v>
      </c>
      <c r="Y127" s="3">
        <f>1397.7+(462.9-525.6)+(-1.425654+(-0.472158--0.536112))+0-136.9--0.139638000000022</f>
        <v>1196.8779380000001</v>
      </c>
      <c r="Z127" s="3">
        <f>1436.8+(357.9-317.4)+(0+(0-0))+0-132.5-0</f>
        <v>1344.8</v>
      </c>
      <c r="AA127" s="3">
        <f>1455.4+(418.6-360)+(-1.484508+(-0.426972--0.3672))+0-132.9--0.135558000000021</f>
        <v>1379.6912779999998</v>
      </c>
      <c r="AB127" s="3">
        <f>1462.2+(432.4-388.6)+(-1.491444+(-0.441048--0.396372))+0-130.4--0.133008000000021</f>
        <v>1374.1968879999999</v>
      </c>
      <c r="AC127" s="3">
        <f>1477.3+(436.5-424.3)+(-0.753423+(-0.222615--0.216393))+0-119.3--0.0608429999999879</f>
        <v>1369.5011979999999</v>
      </c>
      <c r="AD127">
        <v>1369.1</v>
      </c>
      <c r="AE127" s="3">
        <f>1457+(428.6-371.9)+(0+(0-0))+0-130.6-0</f>
        <v>1383.1000000000001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1486.3+(422.3-456.9)+(0+(0-0))+0-118-0</f>
        <v>1333.7</v>
      </c>
      <c r="G128" s="3">
        <f>1491.6+(388.4-487.6)+(0.760716+(0.198084-0.248676))+0-109.1-0.0556409999999889</f>
        <v>1283.954483</v>
      </c>
      <c r="H128" s="3">
        <f>1499.2+(339.1-486.8)+(-3.058368+(-0.691764--0.993072))+0-99.7--0.203387999999996</f>
        <v>1249.2463279999999</v>
      </c>
      <c r="I128" s="3">
        <f>1511.2+(299.9-494.2)+(1.541424+(0.305898-0.504084))+0-94.5-0.0963900000000151</f>
        <v>1223.6468480000001</v>
      </c>
      <c r="J128" s="3">
        <f>1515.3+(289.8-504.6)+(-3.091212+(-0.591192--1.029384))+0-95.6--0.195023999999996</f>
        <v>1202.4420040000002</v>
      </c>
      <c r="K128" s="3">
        <f>1522.2+(280.3-535.7)+(-2.328966+(-0.428859--0.819621))+0-95.2--0.145656000000006</f>
        <v>1169.8074519999998</v>
      </c>
      <c r="L128" s="3">
        <f>1531+(254.7-580.5)+(-3.90405+(-0.649485--1.480275))+0-92.4--0.235619999999987</f>
        <v>1109.96236</v>
      </c>
      <c r="M128" s="3">
        <f>1524.9+(277.3-557.4)+(0+(0-0))+0-97.4-0</f>
        <v>1147.4000000000001</v>
      </c>
      <c r="N128" s="3">
        <f>1509.5+(340.9-559.2)+(3.849225+(0.869295-1.42596))+0-93-0.237149999999987</f>
        <v>1201.25541</v>
      </c>
      <c r="O128" s="3">
        <f>1486+(357.7-491.2)+(0+(0-0))+0-90.2-0</f>
        <v>1262.3</v>
      </c>
      <c r="P128" s="3">
        <f>1472.9+(383.5-432.2)+(2.253537+(0.586755-0.661266))+0-90.6-0.138618000000005</f>
        <v>1335.6404080000002</v>
      </c>
      <c r="Q128" s="3">
        <f>1476.7+(360.9-328.1)+(2.259351+(0.552177-0.501993))+0-91.5-0.139995000000005</f>
        <v>1420.1695400000001</v>
      </c>
      <c r="R128" s="3">
        <f>1447+(425.8-355.6)+(1.47594+(0.434316-0.362712))+0-88.2-0.0899640000000141</f>
        <v>1430.45758</v>
      </c>
      <c r="S128" s="3">
        <f>1430.5+(476.7-427.3)+(-0.729555+(-0.243117--0.217923))+0-90.6--0.0462059999999908</f>
        <v>1388.5914570000002</v>
      </c>
      <c r="T128" s="3">
        <f>1424.3+(511.5-442.4)+(0.726393+(0.260865-0.225624))+0-101.7-0.0518669999999897</f>
        <v>1392.4097670000001</v>
      </c>
      <c r="U128" s="3">
        <f>1420.2+(512.9-430.8)+(0+(0-0))+0-99.7-0</f>
        <v>1402.6</v>
      </c>
      <c r="V128" s="3">
        <f>1419.2+(406-361.6)+(-3.61896+(-1.0353--0.92208))+0-105.7--0.269534999999985</f>
        <v>1354.4373549999998</v>
      </c>
      <c r="W128" s="3">
        <f>1420+(349.5-315.1)+(-3.621+(-0.891225--0.803505))+0-105.3--0.268514999999985</f>
        <v>1345.659795</v>
      </c>
      <c r="X128" s="3">
        <f>1403.6+(382.3-437.4)+(-2.147508+(-0.584919--0.669222))+0-104.8--0.160344000000006</f>
        <v>1241.797139</v>
      </c>
      <c r="Y128" s="3">
        <f>1409.2+(404.8-529.5)+(0.718692+(0.206448-0.270045))+0-104.8-0.0534479999999894</f>
        <v>1180.3016470000002</v>
      </c>
      <c r="Z128" s="3">
        <f>1457.1+(328.5-350.7)+(0+(0-0))+0-103.5-0</f>
        <v>1331.3999999999999</v>
      </c>
      <c r="AA128" s="3">
        <f>1486.5+(369.6-391.4)+(-1.51623+(-0.376992--0.399228))+0-102.2--0.104244000000016</f>
        <v>1361.1102500000002</v>
      </c>
      <c r="AB128" s="3">
        <f>1497.1+(397.4-431.8)+(-2.290563+(-0.608022--0.660654))+0-102.7--0.157131000000006</f>
        <v>1357.9191999999998</v>
      </c>
      <c r="AC128" s="3">
        <f>1496.3+(414.1-452.7)+(-0.763113+(-0.211191--0.230877))+0-106.1--0.0541109999999892</f>
        <v>1350.9106839999999</v>
      </c>
      <c r="AD128">
        <v>1332.1000000000001</v>
      </c>
      <c r="AE128" s="3">
        <f>1479+(375.8-406.4)+(0+(0-0))+0-102.3-0</f>
        <v>1346.1000000000001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1480.4+(401.8-456.8)+(-2.265012+(-0.614754--0.698904))+0-107.7--0.164781000000006</f>
        <v>1315.6839190000001</v>
      </c>
      <c r="G129" s="3">
        <f>1486.5+(369.8-478.5)+(0+(0-0))+0-112.5-0</f>
        <v>1265.3</v>
      </c>
      <c r="H129" s="3">
        <f>1505+(356.9-519)+(-1.5351+(-0.364038--0.52938))+0-111.1--0.113322000000018</f>
        <v>1230.5435640000001</v>
      </c>
      <c r="I129" s="3">
        <f>1507+(331.8-516.2)+(1.53714+(0.338436-0.526524))+0-113.3-0.115566000000018</f>
        <v>1210.533486</v>
      </c>
      <c r="J129" s="3">
        <f>1521.3+(309.6-524.5)+(0+(0-0))+0-111.3-0</f>
        <v>1195.1000000000001</v>
      </c>
      <c r="K129" s="3">
        <f>1529.5+(268.2-525.3)+(-2.340135+(-0.410346--0.803709))+0-112--0.171360000000006</f>
        <v>1158.6245880000001</v>
      </c>
      <c r="L129" s="3">
        <f>1531+(255-569)+(-2.34243+(-0.39015--0.87057))+0-108.8--0.166464000000006</f>
        <v>1106.5044539999999</v>
      </c>
      <c r="M129" s="3">
        <f>1521.6+(272.2-549.7)+(2.328048+(0.416466-0.841041))+0-112.3-0.171819000000006</f>
        <v>1133.5316540000001</v>
      </c>
      <c r="N129" s="3">
        <f>1508.8+(320.9-539.7)+(0.769488+(0.163659-0.275247))+0-111.9-0.0570689999999887</f>
        <v>1178.7008309999999</v>
      </c>
      <c r="O129" s="3">
        <f>1498.7+(355.2-502.2)+(-0.764337+(-0.181152--0.256122))+0-111.4--0.0568139999999887</f>
        <v>1239.667447</v>
      </c>
      <c r="P129" s="3">
        <f>1474.5+(348-410)+(1.50399+(0.35496-0.4182))+0-110-0.112200000000018</f>
        <v>1303.82855</v>
      </c>
      <c r="Q129" s="3">
        <f>1463.9+(354.2-338.3)+(3.732945+(0.90321-0.862665))+0-109.5-0.279224999999984</f>
        <v>1373.7942650000002</v>
      </c>
      <c r="R129" s="3">
        <f>1471.1+(419.4-378.3)+(-0.750261+(-0.213894--0.192933))+0-109.1--0.0556409999999889</f>
        <v>1402.3844189999998</v>
      </c>
      <c r="S129" s="3">
        <f>1461.8+(469.8-435.4)+(0.745518+(0.239598-0.222054))+0-111.8-0.0570179999999887</f>
        <v>1385.1060440000001</v>
      </c>
      <c r="T129" s="3">
        <f>1452.8+(478.3-447.5)+(0+(0-0))+0-110.8-0</f>
        <v>1372.8</v>
      </c>
      <c r="U129" s="3">
        <f>1445.1+(466.1-431.5)+(-0.737001+(-0.237711--0.220065))+0-103.1--0.0525809999999895</f>
        <v>1375.8979339999999</v>
      </c>
      <c r="V129" s="3">
        <f>1441.6+(435.4-389.4)+(-1.470432+(-0.444108--0.397188))+0-105.3--0.107406000000017</f>
        <v>1380.890054</v>
      </c>
      <c r="W129" s="3">
        <f>1409.9+(353.9-324)+(-2.157147+(-0.541467--0.49572))+0-107.7--0.164781000000006</f>
        <v>1330.0618870000001</v>
      </c>
      <c r="X129" s="3">
        <f>1415.5+(383.5-469)+(-5.053335+(-1.369095--1.67433))+0-105--0.374850000000001</f>
        <v>1220.6267499999999</v>
      </c>
      <c r="Y129" s="3">
        <f>1430.8+(398-555.1)+(-0.729708+(-0.20298--0.283101))+0-105.1--0.0536009999999893</f>
        <v>1168.0040139999999</v>
      </c>
      <c r="Z129" s="3">
        <f>1469+(344.9-381.8)+(-2.24757+(-0.527697--0.584154))+0-112.9--0.172737000000007</f>
        <v>1317.1816239999998</v>
      </c>
      <c r="AA129" s="3">
        <f>1485.2+(355.7-382.3)+(-5.302164+(-1.269849--1.364811))+0-114.3--0.408051000000002</f>
        <v>1339.500849</v>
      </c>
      <c r="AB129" s="3">
        <f>1488.3+(365.3-417.1)+(-2.277099+(-0.558909--0.638163))+0-107.8--0.164934000000006</f>
        <v>1326.667089</v>
      </c>
      <c r="AC129" s="3">
        <f>1495.1+(364.3-436.4)+(-1.525002+(-0.371586--0.445128))+0-111.7--0.113934000000018</f>
        <v>1309.9624739999999</v>
      </c>
      <c r="AD129">
        <v>1316.2</v>
      </c>
      <c r="AE129" s="3">
        <f>1479+(345.5-372.3)+(0+(0-0))+0-122-0</f>
        <v>1330.2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1505+(368.3-482.6)+(-0.76755+(-0.187833--0.246126))+0-111.4--0.0568139999999887</f>
        <v>1278.647557</v>
      </c>
      <c r="G130" s="3">
        <f>1511.3+(356.3-513.3)+(-2.312289+(-0.545139--0.785349))+0-111.8--0.171054000000006</f>
        <v>1240.5989749999999</v>
      </c>
      <c r="H130" s="3">
        <f>1512.1+(317.7-511.3)+(-1.542342+(-0.324054--0.521526))+0-108.6--0.110772000000017</f>
        <v>1208.6659020000002</v>
      </c>
      <c r="I130" s="3">
        <f>1469.1+(294.6-470.1)+(1.498482+(0.300492-0.479502))+0-104-0.106080000000017</f>
        <v>1190.8133919999998</v>
      </c>
      <c r="J130" s="3">
        <f>1462.2+(275.5-453.1)+(-1.491444+(-0.28101--0.462162))+0-108.9--0.111078000000017</f>
        <v>1174.5007859999998</v>
      </c>
      <c r="K130" s="3">
        <f>1461.9+(246.2-453.5)+(0.745569+(0.125562-0.231285))+0-108.4-0.055283999999989</f>
        <v>1146.7845620000001</v>
      </c>
      <c r="L130" s="3">
        <f>1448.1+(222.6-491.3)+(-4.431186+(-0.681156--1.503378))+0-106.5--0.325890000000012</f>
        <v>1069.6169259999999</v>
      </c>
      <c r="M130" s="3">
        <f>1452.7+(228.1-469.3)+(0+(0-0))+0-103.9-0</f>
        <v>1107.5999999999999</v>
      </c>
      <c r="N130" s="3">
        <f>1448.2+(246.3-425)+(0+(0-0))+0-112.5-0</f>
        <v>1157</v>
      </c>
      <c r="O130" s="3">
        <f>1430.4+(281.7-379.2)+(-0.729504+(-0.143667--0.193392))+0-103.4--0.0527339999999895</f>
        <v>1228.872955</v>
      </c>
      <c r="P130" s="3">
        <f>1416+(340.9-354.1)+(-0.72216+(-0.173859--0.180591))+0-97.9--0.0499289999999901</f>
        <v>1304.2345009999999</v>
      </c>
      <c r="Q130" s="3">
        <f>1412.3+(407.1-382.6)+(-1.440546+(-0.415242--0.390252))+0-90.1--0.0919020000000144</f>
        <v>1345.3263660000002</v>
      </c>
      <c r="R130" s="3">
        <f>1410.9+(452.3-400.5)+(-2.878236+(-0.922692--0.81702))+0-94--0.191759999999996</f>
        <v>1365.907852</v>
      </c>
      <c r="S130" s="3">
        <f>1403.4+(542.8-481)+(-3.57867+(-1.38414--1.22655))+0-96.8--0.246839999999986</f>
        <v>1364.9105800000002</v>
      </c>
      <c r="T130" s="3">
        <f>1395.1+(589.5-524.7)+(-2.134503+(-0.901935--0.802791))+0-102.5--0.156825000000006</f>
        <v>1355.3231779999999</v>
      </c>
      <c r="U130" s="3">
        <f>1367.9+(624.6-527.1)+(0+(0-0))+0-99.2-0</f>
        <v>1366.2</v>
      </c>
      <c r="V130" s="3">
        <f>1326.4+(555.2-436)+(-0.676464+(-0.283152--0.22236))+0-103.7--0.0528869999999895</f>
        <v>1341.2156310000003</v>
      </c>
      <c r="W130" s="3">
        <f>1330.9+(370.3-309.1)+(-5.430072+(-1.510824--1.261128))+0-104.9--0.427991999999991</f>
        <v>1281.948224</v>
      </c>
      <c r="X130" s="3">
        <f>1336.3+(250.4-301.4)+(-4.089078+(-0.766224--0.922284))+0-102.9--0.314874000000012</f>
        <v>1178.7818559999998</v>
      </c>
      <c r="Y130" s="3">
        <f>1350.6+(247.8-363.1)+(-3.44403+(-0.63189--0.925905))+0-98.8--0.251939999999986</f>
        <v>1133.6019249999999</v>
      </c>
      <c r="Z130" s="3">
        <f>1372.4+(367.7-356)+(0.699924+(0.187527-0.18156))+0-101.5-0.0517649999999897</f>
        <v>1283.2541260000003</v>
      </c>
      <c r="AA130" s="3">
        <f>1416.2+(373.6-386.9)+(-3.61131+(-0.95268--0.986595))+0-102.2--0.260609999999985</f>
        <v>1297.3832150000001</v>
      </c>
      <c r="AB130" s="3">
        <f>1432+(404.3-438.7)+(-3.6516+(-1.030965--1.118685))+0-99.7--0.254234999999986</f>
        <v>1294.5903549999998</v>
      </c>
      <c r="AC130" s="3">
        <f>1436.4+(411.2-457.1)+(-0.732564+(-0.209712--0.233121))+0-99.8--0.0508979999999899</f>
        <v>1290.041743</v>
      </c>
      <c r="AD130">
        <v>1250.8</v>
      </c>
      <c r="AE130" s="3">
        <f>1409+(361.7-387.5)+(0+(0-0))+0-118.4-0</f>
        <v>1264.8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1428.4+(404.7-479.7)+(-0.728484+(-0.206397--0.244647))+0-97.5--0.0497249999999901</f>
        <v>1255.2594910000003</v>
      </c>
      <c r="G131" s="3">
        <f>1428.8+(376.1-484.8)+(-1.457376+(-0.383622--0.494496))+0-98.8--0.100776000000016</f>
        <v>1220.0542739999999</v>
      </c>
      <c r="H131" s="3">
        <f>1435+(372.9-513.5)+(0+(0-0))+0-102.5-0</f>
        <v>1191.9000000000001</v>
      </c>
      <c r="I131" s="3">
        <f>1432+(343.8-498.8)+(-2.92128+(-0.701352--1.017552))+0-105.1--0.214403999999995</f>
        <v>1169.5093240000001</v>
      </c>
      <c r="J131" s="3">
        <f>1439.4+(329.8-504.1)+(-3.67047+(-0.84099--1.285455))+0-107--0.272849999999984</f>
        <v>1155.1468450000002</v>
      </c>
      <c r="K131" s="3">
        <f>1436.7+(293.1-494)+(-3.663585+(-0.747405--1.2597))+0-107.4--0.273869999999984</f>
        <v>1125.5225800000001</v>
      </c>
      <c r="L131" s="3">
        <f>1435.6+(253.1-518.9)+(-3.66078+(-0.645405--1.323195))+0-104.4--0.266219999999985</f>
        <v>1062.6832299999999</v>
      </c>
      <c r="M131" s="3">
        <f>1445.4+(272.6-558.6)+(-2.211462+(-0.417078--0.854658))+0-106.2--0.162486000000006</f>
        <v>1051.588604</v>
      </c>
      <c r="N131" s="3">
        <f>1437.7+(316.6-560.3)+(-1.466454+(-0.322932--0.571506))+0-105.5--0.107610000000017</f>
        <v>1087.3897300000001</v>
      </c>
      <c r="O131" s="3">
        <f>1424.9+(342.4-530.2)+(-0.726699+(-0.174624--0.270402))+0-105--0.0535499999999893</f>
        <v>1131.5226290000001</v>
      </c>
      <c r="P131" s="3">
        <f>1408.5+(345.9-456.9)+(0.718335+(0.176409-0.233019))+0-104.5-0.0532949999999894</f>
        <v>1193.60843</v>
      </c>
      <c r="Q131" s="3">
        <f>1396.5+(350.8-383.2)+(0+(0-0))+0-105.3-0</f>
        <v>1258.8</v>
      </c>
      <c r="R131" s="3">
        <f>1405.6+(425-422.2)+(0.716856+(0.21675-0.215322))+0-107.1-0.0546209999999891</f>
        <v>1301.963663</v>
      </c>
      <c r="S131" s="3">
        <f>1398.3+(467.9-448.5)+(2.139399+(0.715887-0.686205))+0-108.4-0.165852000000006</f>
        <v>1311.3032289999996</v>
      </c>
      <c r="T131" s="3">
        <f>1387.5+(575.5-537.4)+(-0.707625+(-0.293505--0.274074))+0-110.7--0.0564569999999888</f>
        <v>1314.2294009999998</v>
      </c>
      <c r="U131" s="3">
        <f>1372.1+(633.5-599.5)+(-2.799084+(-1.29234--1.22298))+0-105--0.214199999999995</f>
        <v>1298.4457559999998</v>
      </c>
      <c r="V131" s="3">
        <f>1372.5+(569.5-533.9)+(-0.699975+(-0.290445--0.272289))+0-109.3--0.0557429999999889</f>
        <v>1298.1376119999998</v>
      </c>
      <c r="W131" s="3">
        <f>1360.2+(402.3-413.3)+(-3.46851+(-1.025865--1.053915))+0-104.3--0.265964999999985</f>
        <v>1241.7255050000001</v>
      </c>
      <c r="X131" s="3">
        <f>1358.7+(323.4-446.7)+(-1.385874+(-0.329868--0.455634))+0-99.7--0.101694000000016</f>
        <v>1134.5415860000001</v>
      </c>
      <c r="Y131" s="3">
        <f>1366.6+(347-515.6)+(-2.787864+(-0.70788--1.051824))+0-95.9--0.195635999999996</f>
        <v>1099.8517159999999</v>
      </c>
      <c r="Z131" s="3">
        <f>1391.2+(394.4-415.1)+(-2.838048+(-0.804576--0.846804))+0-95.2--0.194207999999996</f>
        <v>1272.6983879999998</v>
      </c>
      <c r="AA131" s="3">
        <f>1407.1+(440.7-438.4)+(-2.152863+(-0.674271--0.670752))+0-100.3--0.153459000000006</f>
        <v>1307.0970770000001</v>
      </c>
      <c r="AB131" s="3">
        <f>1409.1+(472.1-468.3)+(-2.155923+(-0.722313--0.716499))+0-101.5--0.155295000000006</f>
        <v>1309.393558</v>
      </c>
      <c r="AC131" s="3">
        <f>1367+(509.2-479.4)+(0+(0-0))+0-100.9-0</f>
        <v>1295.8999999999999</v>
      </c>
      <c r="AD131">
        <v>1297</v>
      </c>
      <c r="AE131" s="3">
        <f>1408+(462.8-449.7)+(0+(0-0))+0-110.1-0</f>
        <v>1311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1353.1+(479-477.1)+(-2.760324+(-0.97716--0.973284))+0-101.6--0.207263999999996</f>
        <v>1250.8430639999999</v>
      </c>
      <c r="G132" s="3">
        <f>1363.9+(419-465.2)+(-2.086767+(-0.64107--0.711756))+0-99.6--0.152388000000006</f>
        <v>1216.2363070000001</v>
      </c>
      <c r="H132" s="3">
        <f>1450+(363.7-526.3)+(0+(0-0))+0-98.6-0</f>
        <v>1188.8000000000002</v>
      </c>
      <c r="I132" s="3">
        <f>1514.4+(332.5-576.9)+(-3.089376+(-0.6783--1.176876))+0-98.9--0.201755999999996</f>
        <v>1168.7109559999999</v>
      </c>
      <c r="J132" s="3">
        <f>1531.5+(293.6-570.2)+(-3.12426+(-0.598944--1.163208))+0-100--0.203999999999996</f>
        <v>1152.5440040000001</v>
      </c>
      <c r="K132" s="3">
        <f>1533.4+(276.3-582.4)+(-3.91017+(-0.704565--1.48512))+0-98.7--0.251684999999986</f>
        <v>1125.72207</v>
      </c>
      <c r="L132" s="3">
        <f>1532.3+(233.9-585.6)+(-3.907365+(-0.596445--1.49328))+0-93.2--0.237659999999986</f>
        <v>1084.6271299999999</v>
      </c>
      <c r="M132" s="3">
        <f>1536.7+(243.2-554.9)+(2.351151+(0.372096-0.848997))+0-98.4-0.150552000000006</f>
        <v>1128.3236979999999</v>
      </c>
      <c r="N132" s="3">
        <f>1528.1+(274.3-510.2)+(-0.779331+(-0.139893--0.260202))+0-97.9--0.0499289999999901</f>
        <v>1193.6909069999997</v>
      </c>
      <c r="O132" s="3">
        <f>1515.2+(303.9-475.3)+(0+(0-0))+0-84-0</f>
        <v>1259.8</v>
      </c>
      <c r="P132" s="3">
        <f>1495.6+(309.1-413.1)+(1.525512+(0.315282-0.421362))+0-71.4-0.0728280000000114</f>
        <v>1321.5466039999997</v>
      </c>
      <c r="Q132" s="3">
        <f>1505.5+(340.4-402.1)+(1.53561+(0.347208-0.410142))+0-70.8-0.0722160000000113</f>
        <v>1374.4004600000001</v>
      </c>
      <c r="R132" s="3">
        <f>1495.9+(436.2-467.2)+(1.525818+(0.444924-0.476544))+0-72.7-0.0741540000000116</f>
        <v>1393.6200440000002</v>
      </c>
      <c r="S132" s="3">
        <f>1488.8+(542.5-562.4)+(-0.759288+(-0.276675--0.286824))+0-74.7--0.0380969999999924</f>
        <v>1393.4889579999999</v>
      </c>
      <c r="T132" s="3">
        <f>1481.8+(582.6-597.3)+(-1.511436+(-0.594252--0.609246))+0-74.8--0.0762960000000119</f>
        <v>1390.879854</v>
      </c>
      <c r="U132" s="3">
        <f>1476.2+(549.1-580.9)+(2.258586+(0.840123-0.888777))+0-71.1-0.108783000000004</f>
        <v>1375.4011490000003</v>
      </c>
      <c r="V132" s="3">
        <f>1477.4+(486.8-513.3)+(0+(0-0))+0-71.7-0</f>
        <v>1379.2</v>
      </c>
      <c r="W132" s="3">
        <f>1451.5+(390.2-443.7)+(0.740265+(0.199002-0.226287))+0-70.9-0.0361589999999928</f>
        <v>1327.7768209999999</v>
      </c>
      <c r="X132" s="3">
        <f>1439+(272.7-416.4)+(-2.20167+(-0.417231--0.637092))+0-67.8--0.103734000000004</f>
        <v>1225.6219249999999</v>
      </c>
      <c r="Y132" s="3">
        <f>1434.3+(267.3-467.4)+(-1.462986+(-0.272646--0.476748))+0-66.7--0.0680340000000106</f>
        <v>1166.3091499999998</v>
      </c>
      <c r="Z132" s="3">
        <f>1473.8+(375.5-449.6)+(0.751638+(0.191505-0.229296))+0-69.2-0.035291999999993</f>
        <v>1331.1785549999997</v>
      </c>
      <c r="AA132" s="3">
        <f>1486.5+(412.5-477.7)+(-1.51623+(-0.42075--0.487254))+0-72.4--0.0738480000000115</f>
        <v>1347.5241219999998</v>
      </c>
      <c r="AB132" s="3">
        <f>1490.4+(434.4-513.6)+(-1.520208+(-0.443088--0.523872))+0-73.2--0.0746640000000117</f>
        <v>1336.6352400000001</v>
      </c>
      <c r="AC132" s="3">
        <f>1496+(434.1-533.1)+(1.52592+(0.442782-0.543762))+0-72.3-0.0737460000000115</f>
        <v>1326.0511940000001</v>
      </c>
      <c r="AD132">
        <v>1334.5000000000002</v>
      </c>
      <c r="AE132" s="3">
        <f>1483+(406.4-473.1)+(0+(0-0))+0-67.8-0</f>
        <v>1348.5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1514.6+(401-548.8)+(-3.86223+(-1.02255--1.39944))+0-71--0.18104999999999</f>
        <v>1292.4957099999999</v>
      </c>
      <c r="G133" s="3">
        <f>1517.4+(361.6-556.6)+(-2.321622+(-0.553248--0.851598))+0-84.4--0.129132000000005</f>
        <v>1236.1058600000001</v>
      </c>
      <c r="H133" s="3">
        <f>1529.2+(319-555.2)+(-3.89946+(-0.81345--1.41576))+0-85.4--0.217769999999988</f>
        <v>1204.5206199999998</v>
      </c>
      <c r="I133" s="3">
        <f>1533.8+(280-542.1)+(-3.128952+(-0.5712--1.105884))+0-84.9--0.173195999999996</f>
        <v>1184.3789279999996</v>
      </c>
      <c r="J133" s="3">
        <f>1537.7+(258.6-532.7)+(-2.352681+(-0.395658--0.815031))+0-87--0.133110000000005</f>
        <v>1174.799802</v>
      </c>
      <c r="K133" s="3">
        <f>1533.6+(226.4-528.9)+(-2.346408+(-0.346392--0.809217))+0-84.6--0.129438000000005</f>
        <v>1144.7458549999999</v>
      </c>
      <c r="L133" s="3">
        <f>1537.1+(208.9-564.7)+(-1.567842+(-0.213078--0.575994))+0-84--0.0856800000000134</f>
        <v>1096.1807539999998</v>
      </c>
      <c r="M133" s="3">
        <f>1527.7+(195.5-499.1)+(1.558254+(0.19941-0.509082))+0-93.4-0.0952680000000149</f>
        <v>1131.8533139999997</v>
      </c>
      <c r="N133" s="3">
        <f>1503.6+(231.9-435.8)+(-3.067344+(-0.473076--0.889032))+0-98.2--0.200327999999996</f>
        <v>1199.0489399999997</v>
      </c>
      <c r="O133" s="3">
        <f>1501.3+(254.8-388.9)+(0.765663+(0.129948-0.198339))+0-96.1-0.0490109999999903</f>
        <v>1271.7482610000002</v>
      </c>
      <c r="P133" s="3">
        <f>1482.4+(317.2-364.8)+(1.512048+(0.323544-0.372096))+0-101-0.103020000000016</f>
        <v>1335.1604760000002</v>
      </c>
      <c r="Q133" s="3">
        <f>1478.6+(388.1-384.2)+(2.262258+(0.593793-0.587826))+0-99.1-0.151623000000006</f>
        <v>1385.5166020000001</v>
      </c>
      <c r="R133" s="3">
        <f>1478.4+(494-456.5)+(0.753984+(0.25194-0.232815))+0-97.2-0.0495719999999901</f>
        <v>1419.4235370000001</v>
      </c>
      <c r="S133" s="3">
        <f>1476.8+(560.3-560.8)+(-0.753168+(-0.285753--0.286008))+0-96.9--0.0494189999999902</f>
        <v>1378.6965059999998</v>
      </c>
      <c r="T133" s="3">
        <f>1467.4+(592.3-580.5)+(0+(0-0))+0-99.6-0</f>
        <v>1379.6000000000001</v>
      </c>
      <c r="U133" s="3">
        <f>1459.7+(582.5-573)+(-2.233341+(-0.891225--0.87669))+0-96.4--0.147492000000006</f>
        <v>1370.6996160000001</v>
      </c>
      <c r="V133" s="3">
        <f>1454+(515-499.5)+(-1.48308+(-0.5253--0.50949))+0-98.8--0.100776000000016</f>
        <v>1369.301886</v>
      </c>
      <c r="W133" s="3">
        <f>1444.6+(387.2-390.7)+(-0.736746+(-0.197472--0.199257))+0-102.5--0.0522749999999896</f>
        <v>1337.9173139999998</v>
      </c>
      <c r="X133" s="3">
        <f>1445.1+(276.3-379)+(-1.474002+(-0.281826--0.38658))+0-96.1--0.0980220000000153</f>
        <v>1245.0287740000001</v>
      </c>
      <c r="Y133" s="3">
        <f>1450.7+(303.9-469.7)+(1.479714+(0.309978-0.479094))+0-90.9-0.0927180000000145</f>
        <v>1195.2178799999999</v>
      </c>
      <c r="Z133" s="3">
        <f>1467.1+(425.8-448.4)+(-0.748221+(-0.217158--0.228684))+0-95.6--0.0487559999999903</f>
        <v>1348.2120609999999</v>
      </c>
      <c r="AA133" s="3">
        <f>1480.5+(470.6-483.3)+(-3.775275+(-1.20003--1.232415))+0-93.8--0.239189999999986</f>
        <v>1370.4963</v>
      </c>
      <c r="AB133" s="3">
        <f>1482.3+(478.9-510.6)+(0.755973+(0.244239-0.260406))+0-91.4-0.0466139999999907</f>
        <v>1359.8931919999998</v>
      </c>
      <c r="AC133" s="3">
        <f>1471+(483.9-533.4)+(-0.75021+(-0.246789--0.272034))+0-90.2--0.0460019999999908</f>
        <v>1330.6210369999999</v>
      </c>
      <c r="AD133">
        <v>1372.8</v>
      </c>
      <c r="AE133" s="3">
        <f>1478.5+(465-466.9)+(0+(0-0))+0-92.8-0</f>
        <v>1383.8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1493.7+(437.4-544.6)+(-3.808935+(-1.11537--1.38873))+0-95.9--0.244544999999986</f>
        <v>1287.3089699999998</v>
      </c>
      <c r="G134" s="3">
        <f>1517.8+(351.6-534)+(-3.096312+(-0.717264--1.08936))+0-96.2--0.196247999999996</f>
        <v>1236.6720319999999</v>
      </c>
      <c r="H134" s="3">
        <f>1528.7+(306-524.3)+(-5.457459+(-1.09242--1.871751))+0-90.9--0.324513000000001</f>
        <v>1215.146385</v>
      </c>
      <c r="I134" s="3">
        <f>1526.6+(279.9-509.8)+(-0.778566+(-0.142749--0.259998))+0-94.2--0.0480419999999904</f>
        <v>1201.8867249999996</v>
      </c>
      <c r="J134" s="3">
        <f>1530.9+(256.1-488.6)+(-0.780759+(-0.130611--0.249186))+0-96.1--0.0490109999999903</f>
        <v>1201.6868270000002</v>
      </c>
      <c r="K134" s="3">
        <f>1546.2+(245-534.9)+(-0.788562+(-0.12495--0.272799))+0-95.3--0.0486029999999903</f>
        <v>1160.4078900000002</v>
      </c>
      <c r="L134" s="3">
        <f>1553.8+(223.9-575.8)+(-1.584876+(-0.228378--0.587316))+0-92.3--0.0941460000000147</f>
        <v>1108.468208</v>
      </c>
      <c r="M134" s="3">
        <f>1536.7+(248.2-544.3)+(2.351151+(0.379746-0.832779))+0-95.9-0.146727000000006</f>
        <v>1146.4513910000001</v>
      </c>
      <c r="N134" s="3">
        <f>1520.1+(279.4-492.3)+(-0.775251+(-0.142494--0.251073))+0-95.8--0.0488579999999903</f>
        <v>1210.7821859999997</v>
      </c>
      <c r="O134" s="3">
        <f>1493.3+(292.8-403.4)+(2.284749+(0.447984-0.617202))+0-94.5-0.144585000000005</f>
        <v>1290.170946</v>
      </c>
      <c r="P134" s="3">
        <f>1469.2+(322.6-351.2)+(1.498584+(0.329052-0.358224))+0-94.4-0.0962880000000151</f>
        <v>1347.573124</v>
      </c>
      <c r="Q134" s="3">
        <f>1486.1+(423.3-425.3)+(1.515822+(0.431766-0.433806))+0-88.1-0.089862000000014</f>
        <v>1397.42392</v>
      </c>
      <c r="R134" s="3">
        <f>1476.1+(515.2-496.3)+(0+(0-0))+0-91.3-0</f>
        <v>1403.7</v>
      </c>
      <c r="S134" s="3">
        <f>1471.1+(638.9-601.9)+(-0.750261+(-0.325839--0.306969))+0-94.4--0.0481439999999904</f>
        <v>1412.9790129999999</v>
      </c>
      <c r="T134" s="3">
        <f>1463.5+(636.6-609.9)+(-1.49277+(-0.649332--0.622098))+0-99.2--0.101184000000016</f>
        <v>1389.5811800000001</v>
      </c>
      <c r="U134" s="3">
        <f>1465.1+(616.5-593.9)+(-2.988804+(-1.25766--1.211556))+0-96.6--0.197063999999996</f>
        <v>1388.2621559999998</v>
      </c>
      <c r="V134" s="3">
        <f>1459.4+(564.8-534.7)+(-0.744294+(-0.288048--0.272697))+0-95.8--0.0488579999999903</f>
        <v>1392.9892129999998</v>
      </c>
      <c r="W134" s="3">
        <f>1426.7+(410.4-375.2)+(-1.455234+(-0.418608--0.382704))+0-98.4--0.100368000000016</f>
        <v>1362.10923</v>
      </c>
      <c r="X134" s="3">
        <f>1430.9+(281.7-333.1)+(-2.189277+(-0.431001--0.509643))+0-97.2--0.148716000000006</f>
        <v>1280.3380809999999</v>
      </c>
      <c r="Y134" s="3">
        <f>1443.7+(299.7-405.6)+(1.472574+(0.305694-0.413712))+0-86.1-0.0878220000000137</f>
        <v>1252.9767340000001</v>
      </c>
      <c r="Z134" s="3">
        <f>1478.4+(471.1-478)+(0.753984+(0.240261-0.24378))+0-89-0.045389999999991</f>
        <v>1383.2050750000001</v>
      </c>
      <c r="AA134" s="3">
        <f>1491.2+(512-509.9)+(-0.760512+(-0.26112--0.260049))+0-93.4--0.0476339999999905</f>
        <v>1399.1860510000001</v>
      </c>
      <c r="AB134" s="3">
        <f>1488.7+(526.9-528.8)+(-1.518474+(-0.537438--0.539376))+0-96.8--0.0987360000000154</f>
        <v>1388.5822000000001</v>
      </c>
      <c r="AC134" s="3">
        <f>1491.9+(507-531)+(0.760869+(0.25857-0.27081))+0-99.7-0.0508469999999899</f>
        <v>1368.897782</v>
      </c>
      <c r="AD134">
        <v>1387.6</v>
      </c>
      <c r="AE134" s="3">
        <f>1489+(518.5-515.2)+(0+(0-0))+0-89.7-0</f>
        <v>1402.6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1517.4+(430.2-533.3)+(0.773874+(0.219402-0.271983))+0-106.8-0.0544679999999892</f>
        <v>1308.1668250000002</v>
      </c>
      <c r="G135" s="3">
        <f>1534.7+(365.3-526.8)+(-3.130788+(-0.745212--1.074672))+0-106--0.216239999999995</f>
        <v>1264.614912</v>
      </c>
      <c r="H135" s="3">
        <f>1538.7+(322.9-519.2)+(-0.784737+(-0.164679--0.264792))+0-105.1--0.0536009999999893</f>
        <v>1236.6689770000003</v>
      </c>
      <c r="I135" s="3">
        <f>1535.8+(305.3-517.3)+(2.349774+(0.467109-0.791469))+0-100.2-0.153306000000006</f>
        <v>1225.4721079999999</v>
      </c>
      <c r="J135" s="3">
        <f>1543.9+(281.6-500.3)+(-0.787389+(-0.143616--0.255153))+0-93.8--0.0478379999999905</f>
        <v>1230.771986</v>
      </c>
      <c r="K135" s="3">
        <f>1539.1+(250.4-514.6)+(0+(0-0))+0-92.9-0</f>
        <v>1181.9999999999998</v>
      </c>
      <c r="L135" s="3">
        <f>1540+(234.6-556.3)+(-1.5708+(-0.239292--0.567426))+0-91.9--0.0937380000000147</f>
        <v>1125.251072</v>
      </c>
      <c r="M135" s="3">
        <f>1538+(246.7-517.2)+(0+(0-0))+0-101.5-0</f>
        <v>1166</v>
      </c>
      <c r="N135" s="3">
        <f>1499.6+(286.3-438.2)+(0.764796+(0.146013-0.223482))+0-107.4-0.0547739999999891</f>
        <v>1240.9325529999999</v>
      </c>
      <c r="O135" s="3">
        <f>1499.6+(304-397.1)+(3.059184+(0.62016-0.810084))+0-102.7-0.209507999999996</f>
        <v>1306.459752</v>
      </c>
      <c r="P135" s="3">
        <f>1477.6+(355.2-365.6)+(1.507152+(0.362304-0.372912))+0-100.3-0.102306000000016</f>
        <v>1368.294238</v>
      </c>
      <c r="Q135" s="3">
        <f>1485.1+(459.3-428.5)+(1.514802+(0.468486-0.43707))+0-100.7-0.102714000000016</f>
        <v>1416.6435039999997</v>
      </c>
      <c r="R135" s="3">
        <f>1487.2+(545.5-495.7)+(-2.275416+(-0.834615--0.758421))+0-104.5--0.159885000000006</f>
        <v>1430.3082750000001</v>
      </c>
      <c r="S135" s="3">
        <f>1483.7+(607.9-603.5)+(-1.513374+(-0.620058--0.61557))+0-100.3--0.102306000000016</f>
        <v>1386.384444</v>
      </c>
      <c r="T135" s="3">
        <f>1473.6+(661.3-637)+(0+(0-0))+0-104.9-0</f>
        <v>1392.9999999999998</v>
      </c>
      <c r="U135" s="3">
        <f>1460.5+(632.7-610.3)+(-1.48971+(-0.645354--0.622506))+0-98.2--0.100164000000016</f>
        <v>1383.2876060000001</v>
      </c>
      <c r="V135" s="3">
        <f>1452.4+(587.6-563.2)+(2.222172+(0.899028-0.861696))+0-100.2-0.153306000000006</f>
        <v>1378.7061980000003</v>
      </c>
      <c r="W135" s="3">
        <f>1436+(474.3-444.7)+(-2.19708+(-0.725679--0.680391))+0-103.6--0.158508000000006</f>
        <v>1359.91614</v>
      </c>
      <c r="X135" s="3">
        <f>1418.4+(328-368.9)+(-2.893536+(-0.66912--0.752556))+0-104.8--0.213791999999995</f>
        <v>1270.1036920000001</v>
      </c>
      <c r="Y135" s="3">
        <f>1412.9+(325-384.7)+(0.720579+(0.16575-0.196197))+0-104.7-0.0533969999999894</f>
        <v>1249.136735</v>
      </c>
      <c r="Z135" s="3">
        <f>1458.1+(535.5-498.7)+(0.743631+(0.273105-0.254337))+0-104.7-0.0533969999999894</f>
        <v>1390.9090019999999</v>
      </c>
      <c r="AA135" s="3">
        <f>1475.9+(555.6-513.5)+(-3.763545+(-1.41678--1.309425))+0-109.4--0.278969999999984</f>
        <v>1405.0080700000001</v>
      </c>
      <c r="AB135" s="3">
        <f>1481.1+(555.4-529.5)+(-1.510722+(-0.566508--0.54009))+0-107.6--0.109752000000017</f>
        <v>1397.9726120000003</v>
      </c>
      <c r="AC135" s="3">
        <f>1519.7+(525.6-563.7)+(-0.775047+(-0.268056--0.287487))+0-106.4--0.0542639999999892</f>
        <v>1374.4986479999998</v>
      </c>
      <c r="AD135">
        <v>1408.3999999999999</v>
      </c>
      <c r="AE135" s="3">
        <f>1483+(566.8-522.7)+(0+(0-0))+0-103.7-0</f>
        <v>1423.3999999999999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1527.3+(468.9-561.6)+(-0.778923+(-0.239139--0.286416))+0-108.8--0.055487999999989</f>
        <v>1325.123842</v>
      </c>
      <c r="G136" s="3">
        <f>1533.4+(405-551.1)+(-3.91017+(-1.03275--1.405305))+0-106.9--0.272594999999984</f>
        <v>1277.13498</v>
      </c>
      <c r="H136" s="3">
        <f>1519.9+(410.6-574.6)+(-1.550298+(-0.418812--0.586092))+0-106.8--0.108936000000017</f>
        <v>1247.8259180000002</v>
      </c>
      <c r="I136" s="3">
        <f>1526.7+(367.5-554)+(0.778617+(0.187425-0.28254))+0-110.5-0.0563549999999888</f>
        <v>1230.3271470000002</v>
      </c>
      <c r="J136" s="3">
        <f>1358.4+(442.2-461.7)+(-0.692784+(-0.225522--0.235467))+0-111.6--0.0569159999999887</f>
        <v>1226.6740770000001</v>
      </c>
      <c r="K136" s="3">
        <f>1325.1+(383.6-416.8)+(-0.675801+(-0.195636--0.212568))+0-110.2--0.0562019999999888</f>
        <v>1181.0973329999997</v>
      </c>
      <c r="L136" s="3">
        <f>1135.3+(383.1-276.3)+(-1.737009+(-0.586143--0.422739))+0-112--0.171360000000006</f>
        <v>1128.3709469999999</v>
      </c>
      <c r="M136" s="3">
        <f>1146.4+(361.5-243.9)+(0.584664+(0.184365-0.124389))+0-114.9-0.0585989999999883</f>
        <v>1149.6860409999999</v>
      </c>
      <c r="N136" s="3">
        <f>1207.2+(397.1-275.3)+(0+(0-0))+0-123.1-0</f>
        <v>1205.9000000000001</v>
      </c>
      <c r="O136" s="3">
        <f>1266.8+(437.4-309.2)+(1.938204+(0.669222-0.473076))+0-120.8-0.184824000000007</f>
        <v>1276.1495260000002</v>
      </c>
      <c r="P136" s="3">
        <f>1284+(510.5-324.7)+(1.30968+(0.52071-0.331194))+0-123.3-0.12576600000002</f>
        <v>1347.8734299999999</v>
      </c>
      <c r="Q136" s="3">
        <f>1293+(627.4-383.6)+(1.97829+(0.959922-0.586908))+0-126.5-0.193545000000007</f>
        <v>1412.4577589999999</v>
      </c>
      <c r="R136" s="3">
        <f>1292.3+(810.9-526.2)+(-0.659073+(-0.413559--0.268362))+0-129.8--0.0661979999999868</f>
        <v>1446.4619279999999</v>
      </c>
      <c r="S136" s="3">
        <f>1285.4+(858.1-595.9)+(-0.655554+(-0.437631--0.303909))+0-128.1--0.065330999999987</f>
        <v>1418.7760550000003</v>
      </c>
      <c r="T136" s="3">
        <f>1272.3+(855.4-605)+(0.648873+(0.436254-0.30855))+0-128.5-0.065534999999987</f>
        <v>1394.911042</v>
      </c>
      <c r="U136" s="3">
        <f>1269.4+(748.6-529.8)+(0.647394+(0.381786-0.270198))+0-131.3-0.0669629999999867</f>
        <v>1357.5920190000004</v>
      </c>
      <c r="V136" s="3">
        <f>1273.2+(768-522)+(-0.649332+(-0.39168--0.26622))+0-140.9--0.0718589999999857</f>
        <v>1377.5970669999999</v>
      </c>
      <c r="W136" s="3">
        <f>1257.5+(622.3-384.6)+(-1.923975+(-0.952119--0.588438))+0-141.5--0.216495000000008</f>
        <v>1351.6288389999997</v>
      </c>
      <c r="X136" s="3">
        <f>1249.8+(386.6-222.7)+(-0.637398+(-0.197166--0.113577))+0-141.7--0.0722669999999856</f>
        <v>1271.3512800000001</v>
      </c>
      <c r="Y136" s="3">
        <f>1247.1+(402.7-243.2)+(-1.272042+(-0.410754--0.248064))+0-152.1--0.155142000000024</f>
        <v>1253.2204100000001</v>
      </c>
      <c r="Z136" s="3">
        <f>1272.3+(637.3-366.4)+(-1.297746+(-0.650046--0.373728))+0-157.3--0.160446000000025</f>
        <v>1384.486382</v>
      </c>
      <c r="AA136" s="3">
        <f>1286.5+(640.2-365.4)+(-1.968345+(-0.979506--0.559062))+0-159.1--0.243423000000009</f>
        <v>1400.0546340000003</v>
      </c>
      <c r="AB136" s="3">
        <f>1290.1+(640.5-387.6)+(0.657951+(0.326655-0.197676))+0-155.9-0.0795089999999842</f>
        <v>1387.807421</v>
      </c>
      <c r="AC136" s="3">
        <f>1296+(646.9-417.8)+(-0.66096+(-0.329919--0.213078))+0-150.6--0.0768059999999847</f>
        <v>1373.7990050000001</v>
      </c>
      <c r="AD136">
        <v>1388.7</v>
      </c>
      <c r="AE136" s="3">
        <f>1277+(670.4-386.3)+(0+(0-0))+0-160.4-0</f>
        <v>1400.6999999999998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1310.2+(556.3-400.2)+(0+(0-0))+0-153.6-0</f>
        <v>1312.7</v>
      </c>
      <c r="G137" s="3">
        <f>1321.3+(475.8-378.6)+(-0.673863+(-0.242658--0.193086))+0-153.3--0.0781829999999845</f>
        <v>1264.554748</v>
      </c>
      <c r="H137" s="3">
        <f>1311.8+(426-350.4)+(-1.338036+(-0.43452--0.357408))+0-154.4--0.157488000000025</f>
        <v>1231.74234</v>
      </c>
      <c r="I137" s="3">
        <f>1322.7+(404.5-356.8)+(-1.349154+(-0.41259--0.363936))+0-154.2--0.157284000000025</f>
        <v>1214.9594760000002</v>
      </c>
      <c r="J137" s="3">
        <f>1331.5+(372.8-329.4)+(-2.71626+(-0.760512--0.671976))+0-151.4--0.308855999999993</f>
        <v>1221.0040600000002</v>
      </c>
      <c r="K137" s="3">
        <f>1344.8+(316.7-337.2)+(-2.743392+(-0.646068--0.687888))+0-155.4--0.317015999999993</f>
        <v>1166.5154439999999</v>
      </c>
      <c r="L137" s="3">
        <f>1346.2+(276.4-367.1)+(-2.746248+(-0.563856--0.748884))+0-151.6--0.309263999999993</f>
        <v>1101.648044</v>
      </c>
      <c r="M137" s="3">
        <f>1345.5+(300.7-350.2)+(3.431025+(0.766785-0.89301))+0-158.2-0.403409999999977</f>
        <v>1140.7013899999999</v>
      </c>
      <c r="N137" s="3">
        <f>1331.8+(344.6-318.8)+(1.358436+(0.351492-0.325176))+0-155.5-0.158610000000025</f>
        <v>1203.3261419999999</v>
      </c>
      <c r="O137" s="3">
        <f>1166.9+(455.7-201.2)+(1.190238+(0.464814-0.205224))+0-150.8-0.153816000000024</f>
        <v>1271.8960120000002</v>
      </c>
      <c r="P137" s="3">
        <f>1063.2+(579.5-155.4)+(1.626696+(0.886635-0.237762))+0-152.1-0.232713000000009</f>
        <v>1337.2428560000001</v>
      </c>
      <c r="Q137" s="3">
        <f>1124.1+(662-226.4)+(2.293164+(1.35048-0.461856))+0-159.3-0.324971999999993</f>
        <v>1403.2568160000001</v>
      </c>
      <c r="R137" s="3">
        <f>1224.9+(721.1-364.3)+(1.249398+(0.735522-0.371586))+0-156.9-0.160038000000025</f>
        <v>1426.2532959999999</v>
      </c>
      <c r="S137" s="3">
        <f>1239+(771.9-439.6)+(-0.63189+(-0.393669--0.224196))+0-158.6--0.0808859999999839</f>
        <v>1411.979523</v>
      </c>
      <c r="T137" s="3">
        <f>1229.1+(784.6-468.1)+(-0.626841+(-0.400146--0.238731))+0-155.5--0.0793049999999842</f>
        <v>1389.3910489999998</v>
      </c>
      <c r="U137" s="3">
        <f>1221.5+(761.1-450.3)+(-2.49186+(-1.552644--0.918612))+0-151--0.308039999999993</f>
        <v>1378.4821479999998</v>
      </c>
      <c r="V137" s="3">
        <f>1215.1+(733.4-410.8)+(0.619701+(0.374034-0.209508))+0-151.8-0.0774179999999846</f>
        <v>1386.6068089999999</v>
      </c>
      <c r="W137" s="3">
        <f>1186.4+(558.7-230.2)+(-1.815192+(-0.854811--0.352206))+0-152.2--0.232866000000009</f>
        <v>1360.6150690000002</v>
      </c>
      <c r="X137" s="3">
        <f>1183.2+(414.2-191.6)+(-1.206864+(-0.422484--0.195432))+0-150.1--0.153102000000024</f>
        <v>1254.4191860000001</v>
      </c>
      <c r="Y137" s="3">
        <f>1201.5+(441.8-253)+(0+(0-0))+0-156.4-0</f>
        <v>1233.8999999999999</v>
      </c>
      <c r="Z137" s="3">
        <f>1233.5+(592.8-297.8)+(-1.25817+(-0.604656--0.303756))+0-153.9--0.156978000000025</f>
        <v>1373.1979079999999</v>
      </c>
      <c r="AA137" s="3">
        <f>1234.9+(623.2-317.5)+(-3.148995+(-1.58916--0.809625))+0-158.4--0.403919999999977</f>
        <v>1378.6753900000001</v>
      </c>
      <c r="AB137" s="3">
        <f>1231.6+(669.7-356.2)+(-1.256232+(-0.683094--0.363324))+0-157.7--0.160854000000025</f>
        <v>1385.9848519999998</v>
      </c>
      <c r="AC137" s="3">
        <f>1238.3+(673.5-387.9)+(-1.263066+(-0.68697--0.395658))+0-160--0.163200000000026</f>
        <v>1362.508822</v>
      </c>
      <c r="AD137">
        <v>1368.1999999999998</v>
      </c>
      <c r="AE137" s="3">
        <f>1226+(627.8-316.6)+(0+(0-0))+0-157-0</f>
        <v>1380.1999999999998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1233+(629.3-371.8)+(-0.62883+(-0.320943--0.189618))+0-163.6--0.0834359999999834</f>
        <v>1326.223281</v>
      </c>
      <c r="G138" s="3">
        <f>1238.6+(577.3-369.9)+(-1.263372+(-0.588846--0.377298))+0-165.7--0.169014000000026</f>
        <v>1278.9940939999999</v>
      </c>
      <c r="H138" s="3">
        <f>1254.2+(518.4-357.8)+(-3.837852+(-1.586304--1.094868))+0-170.3--0.52111800000002</f>
        <v>1240.6918300000002</v>
      </c>
      <c r="I138" s="3">
        <f>1258.2+(485.2-349.9)+(1.283364+(0.494904-0.356898))+0-168.1-0.171462000000027</f>
        <v>1226.6499080000001</v>
      </c>
      <c r="J138" s="3">
        <f>1270.3+(447.3-323.7)+(-0.647853+(-0.228123--0.165087))+0-168--0.085679999999983</f>
        <v>1225.2747910000001</v>
      </c>
      <c r="K138" s="3">
        <f>1270.9+(353-271.7)+(-0.648159+(-0.18003--0.138567))+0-170.5--0.0869549999999827</f>
        <v>1181.0973329999999</v>
      </c>
      <c r="L138" s="3">
        <f>1268.1+(325.9-283.9)+(-2.586924+(-0.664836--0.579156))+0-168.7--0.344147999999993</f>
        <v>1139.0715439999997</v>
      </c>
      <c r="M138" s="3">
        <f>1275.9+(347.9-311.7)+(-2.602836+(-0.709716--0.635868))+0-174.1--0.355163999999992</f>
        <v>1135.6784800000003</v>
      </c>
      <c r="N138" s="3">
        <f>1265.1+(364.6-288.7)+(0+(0-0))+0-174.2-0</f>
        <v>1166.8</v>
      </c>
      <c r="O138" s="3">
        <f>1248.8+(409-259.5)+(0+(0-0))+0-172.5-0</f>
        <v>1225.8</v>
      </c>
      <c r="P138" s="3">
        <f>1235.2+(427.6-208)+(-1.259904+(-0.436152--0.21216))+0-174--0.177480000000028</f>
        <v>1279.4935840000003</v>
      </c>
      <c r="Q138" s="3">
        <f>1241.5+(499.9-237.6)+(1.26633+(0.509898-0.242352))+0-171.7-0.175134000000027</f>
        <v>1333.4587419999998</v>
      </c>
      <c r="R138" s="3">
        <f>1237.2+(641.5-349.5)+(-1.261944+(-0.65433--0.35649))+0-170.8--0.174216000000027</f>
        <v>1357.0144320000002</v>
      </c>
      <c r="S138" s="3">
        <f>1235.5+(743.8-433.6)+(0.630105+(0.379338-0.221136))+0-173.2-0.0883319999999824</f>
        <v>1373.1999749999998</v>
      </c>
      <c r="T138" s="3">
        <f>1260.5+(734.1-459.5)+(-0.642855+(-0.374391--0.234345))+0-172.8--0.0881279999999825</f>
        <v>1361.6052269999998</v>
      </c>
      <c r="U138" s="3">
        <f>1288.4+(705.6-466.9)+(-0.657084+(-0.359856--0.238119))+0-164--0.0836399999999834</f>
        <v>1362.4048190000001</v>
      </c>
      <c r="V138" s="3">
        <f>1276.5+(664.4-416.8)+(0+(0-0))+0-168.3-0</f>
        <v>1355.8</v>
      </c>
      <c r="W138" s="3">
        <f>1249.9+(496.7-256.8)+(-2.549796+(-1.013268--0.523872))+0-171.8--0.350471999999993</f>
        <v>1315.3112800000004</v>
      </c>
      <c r="X138" s="3">
        <f>1253.3+(390.2-256.2)+(-1.278366+(-0.398004--0.261324))+0-170.2--0.173604000000027</f>
        <v>1215.8585579999999</v>
      </c>
      <c r="Y138" s="3">
        <f>1316.3+(381-306.7)+(-1.342626+(-0.38862--0.312834))+0-169.6--0.172992000000027</f>
        <v>1219.75458</v>
      </c>
      <c r="Z138" s="3">
        <f>1395.9+(500.8-361.4)+(-1.423818+(-0.510816--0.368628))+0-171.1--0.174522000000027</f>
        <v>1362.8085160000003</v>
      </c>
      <c r="AA138" s="3">
        <f>1430.8+(491.3-370.1)+(-2.189124+(-0.751689--0.566253))+0-173.2--0.26499600000001</f>
        <v>1376.6904360000001</v>
      </c>
      <c r="AB138" s="3">
        <f>1433.9+(510-393.2)+(-1.462578+(-0.5202--0.401064))+0-170.1--0.173502000000027</f>
        <v>1379.1917880000003</v>
      </c>
      <c r="AC138" s="3">
        <f>1440.2+(526.4-432.2)+(0.734502+(0.268464-0.220422))+0-169-0.0861899999999829</f>
        <v>1366.096354</v>
      </c>
      <c r="AD138">
        <v>1362.1</v>
      </c>
      <c r="AE138" s="3">
        <f>1425+(505.3-381.8)+(0+(0-0))+0-172.4-0</f>
        <v>1376.1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1434.1+(502.8-455.8)+(0+(0-0))+0-169.2-0</f>
        <v>1311.8999999999999</v>
      </c>
      <c r="G139" s="3">
        <f>1451.4+(432.6-440.9)+(-0.740214+(-0.220626--0.224859))+0-163.1--0.0831809999999834</f>
        <v>1279.3472000000002</v>
      </c>
      <c r="H139" s="3">
        <f>1468.4+(393.7-449.9)+(-0.748884+(-0.200787--0.229449))+0-161.3--0.0822629999999836</f>
        <v>1250.2620410000002</v>
      </c>
      <c r="I139" s="3">
        <f>1464.7+(381.7-449)+(-1.493994+(-0.389334--0.45798))+0-162.1--0.165342000000026</f>
        <v>1234.0399940000002</v>
      </c>
      <c r="J139" s="3">
        <f>1473.7+(359.2-430.3)+(-2.254761+(-0.549576--0.658359))+0-163.1--0.249543000000009</f>
        <v>1237.6035649999999</v>
      </c>
      <c r="K139" s="3">
        <f>1474.1+(305.7-426)+(-2.255373+(-0.467721--0.65178))+0-163.3--0.249849000000009</f>
        <v>1188.678535</v>
      </c>
      <c r="L139" s="3">
        <f>1476.8+(273.3-445.5)+(-0.753168+(-0.139383--0.227205))+0-160.7--0.0819569999999837</f>
        <v>1143.3166109999997</v>
      </c>
      <c r="M139" s="3">
        <f>1479.7+(288.3-433.5)+(1.509294+(0.294066-0.44217))+0-162.4-0.165648000000026</f>
        <v>1173.2955420000001</v>
      </c>
      <c r="N139" s="3">
        <f>1469.2+(319.3-404.5)+(2.247876+(0.488529-0.618885))+0-157.4-0.240822000000009</f>
        <v>1228.4766979999999</v>
      </c>
      <c r="O139" s="3">
        <f>1448.4+(342.4-344.7)+(0.738684+(0.174624-0.175797))+0-151.7-0.0773669999999846</f>
        <v>1295.060144</v>
      </c>
      <c r="P139" s="3">
        <f>1443+(360.5-296.5)+(0+(0-0))+0-142.1-0</f>
        <v>1364.9</v>
      </c>
      <c r="Q139" s="3">
        <f>1455.8+(443.4-344.8)+(0.742458+(0.226134-0.175848))+0-136.5-0.0696149999999861</f>
        <v>1418.6231290000001</v>
      </c>
      <c r="R139" s="3">
        <f>1444.5+(580.6-430.4)+(0.736695+(0.296106-0.219504))+0-143.7-0.0732869999999854</f>
        <v>1451.74001</v>
      </c>
      <c r="S139" s="3">
        <f>1438.2+(654.7-513.2)+(-0.733482+(-0.333897--0.261732))+0-144.7--0.0737969999999853</f>
        <v>1434.2681500000001</v>
      </c>
      <c r="T139" s="3">
        <f>1409.7+(671.4-538.2)+(0.718947+(0.342414-0.274482))+0-151-0.0770099999999847</f>
        <v>1392.6098690000001</v>
      </c>
      <c r="U139" s="3">
        <f>1420.3+(678.9-521)+(-2.173059+(-1.038717--0.79713))+0-158--0.241740000000009</f>
        <v>1418.0270939999998</v>
      </c>
      <c r="V139" s="3">
        <f>1412.8+(607.5-435.8)+(-0.720528+(-0.309825--0.222258))+0-164.1--0.0836909999999833</f>
        <v>1419.675596</v>
      </c>
      <c r="W139" s="3">
        <f>1359+(471.8-280.3)+(-2.77236+(-0.962472--0.571812))+0-170.1--0.347003999999993</f>
        <v>1377.5839840000001</v>
      </c>
      <c r="X139" s="3">
        <f>1345.3+(377.4-279.3)+(0+(0-0))+0-169.8-0</f>
        <v>1273.5999999999999</v>
      </c>
      <c r="Y139" s="3">
        <f>1360.7+(375.7-296)+(2.081871+(0.574821-0.45288))+0-171.2-0.26193600000001</f>
        <v>1271.1418759999999</v>
      </c>
      <c r="Z139" s="3">
        <f>1398.4+(536.9-367.3)+(0.713184+(0.273819-0.187323))+0-170.5-0.0869549999999827</f>
        <v>1398.2127250000001</v>
      </c>
      <c r="AA139" s="3">
        <f>1415.1+(518-408.2)+(-2.165103+(-0.79254--0.624546))+0-166.7--0.25505100000001</f>
        <v>1356.121954</v>
      </c>
      <c r="AB139" s="3">
        <f>1428.3+(493.2-429.8)+(2.185299+(0.754596-0.657594))+0-170.1-0.26025300000001</f>
        <v>1323.6220479999999</v>
      </c>
      <c r="AC139" s="3">
        <f>1435.5+(501.4-452.8)+(-0.732105+(-0.255714--0.230928))+0-172.7--0.0880769999999825</f>
        <v>1310.7311859999998</v>
      </c>
      <c r="AD139">
        <v>1388.3000000000002</v>
      </c>
      <c r="AE139" s="3">
        <f>1398.5+(559.7-394.9)+(0+(0-0))+0-161-0</f>
        <v>1402.3000000000002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1434.1+(533.2-460.3)+(0.731391+(0.271932-0.234753))+0-171-0.0872099999999826</f>
        <v>1336.68136</v>
      </c>
      <c r="G140" s="3">
        <f>1421.2+(478.5-451.6)+(0+(0-0))+0-165.4-0</f>
        <v>1282.6999999999998</v>
      </c>
      <c r="H140" s="3">
        <f>1406.2+(452.5-446)+(2.151486+(0.692325-0.68238))+0-163.4-0.250002000000009</f>
        <v>1251.211429</v>
      </c>
      <c r="I140" s="3">
        <f>1403.5+(439.6-434.9)+(0+(0-0))+0-173.8-0</f>
        <v>1234.4000000000001</v>
      </c>
      <c r="J140" s="3">
        <f>1411+(421.3-412.4)+(0.71961+(0.214863-0.210324))+0-177-0.090269999999982</f>
        <v>1243.5338790000001</v>
      </c>
      <c r="K140" s="3">
        <f>1407.9+(375.1-412.5)+(-0.718029+(-0.191301--0.210375))+0-179.1--0.0913409999999818</f>
        <v>1190.7923860000001</v>
      </c>
      <c r="L140" s="3">
        <f>1407.2+(352.4-453)+(-5.023704+(-1.258068--1.61721))+0-177.1--0.632247000000002</f>
        <v>1125.4676850000001</v>
      </c>
      <c r="M140" s="3">
        <f>1415.5+(325.3-416.4)+(0.721905+(0.165903-0.212364))+0-179.9-0.0917489999999817</f>
        <v>1145.083695</v>
      </c>
      <c r="N140" s="3">
        <f>1411.7+(322.7-344.6)+(1.439934+(0.329154-0.351492))+0-180.4-0.184008000000029</f>
        <v>1210.6335879999999</v>
      </c>
      <c r="O140" s="3">
        <f>1411.6+(374.2-322.3)+(0.719916+(0.190842-0.164373))+0-178.1-0.0908309999999819</f>
        <v>1286.055554</v>
      </c>
      <c r="P140" s="3">
        <f>1403+(449.6-303)+(1.43106+(0.458592-0.30906))+0-177.9-0.181458000000028</f>
        <v>1373.0991339999998</v>
      </c>
      <c r="Q140" s="3">
        <f>1402.5+(534-345.9)+(-0.715275+(-0.27234--0.176409))+0-167.9--0.085628999999983</f>
        <v>1421.9744229999997</v>
      </c>
      <c r="R140" s="3">
        <f>1393.7+(721.1-473.7)+(0+(0-0))+0-176.3-0</f>
        <v>1464.8000000000002</v>
      </c>
      <c r="S140" s="3">
        <f>1403.5+(742.8-547.4)+(-3.578925+(-1.89414--1.39587))+0-177.4--0.452369999999974</f>
        <v>1417.8751749999999</v>
      </c>
      <c r="T140" s="3">
        <f>1399.7+(754.3-563.4)+(-1.427694+(-0.769386--0.574668))+0-178.8--0.182376000000029</f>
        <v>1410.359964</v>
      </c>
      <c r="U140" s="3">
        <f>1364.7+(669.3-536.1)+(-0.695997+(-0.341343--0.273411))+0-168.3--0.0858329999999829</f>
        <v>1328.9219040000003</v>
      </c>
      <c r="V140" s="3">
        <f>1347.3+(695.5-494.5)+(2.061369+(1.064115-0.756585))+0-163.4-0.250002000000009</f>
        <v>1387.0188969999999</v>
      </c>
      <c r="W140" s="3">
        <f>1332.3+(555.3-343.1)+(-0.679473+(-0.283203--0.174981))+0-167.3--0.085322999999983</f>
        <v>1376.4976280000001</v>
      </c>
      <c r="X140" s="3">
        <f>1338.6+(385-264.2)+(-2.730744+(-0.7854--0.538968))+4-169.9--0.346595999999993</f>
        <v>1290.8694199999998</v>
      </c>
      <c r="Y140" s="3">
        <f>1346.8+(396.5-287.8)+(-2.060604+(-0.606645--0.440334))+0-168.4--0.25765200000001</f>
        <v>1285.130737</v>
      </c>
      <c r="Z140" s="3">
        <f>1380.4+(602-391.8)+(-0.704004+(-0.30702--0.199818))+0-173.7--0.0885869999999824</f>
        <v>1416.177381</v>
      </c>
      <c r="AA140" s="3">
        <f>1386.4+(659.8-440.5)+(-2.828256+(-1.345992--0.89862))+0-180.3--0.367811999999992</f>
        <v>1422.492184</v>
      </c>
      <c r="AB140" s="3">
        <f>1386.2+(688.8-473)+(-1.413924+(-0.702576--0.48246))+0-180--0.183600000000029</f>
        <v>1420.5495600000002</v>
      </c>
      <c r="AC140" s="3">
        <f>1395.8+(670.9-486.3)+(0+(0-0))+0-180.7-0</f>
        <v>1399.6999999999998</v>
      </c>
      <c r="AD140">
        <v>1407.1999999999998</v>
      </c>
      <c r="AE140" s="3">
        <f>1389+(645.6-435.9)+(0+(0-0))+0-177.5-0</f>
        <v>1421.2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1424.7+(592.7-477.1)+(-4.359582+(-1.813662--1.459926))+0-182.6--0.558756000000021</f>
        <v>1353.5454380000003</v>
      </c>
      <c r="G141" s="3">
        <f>1436.2+(488.2-436.2)+(-3.66231+(-1.24491--1.11231))+0-182.8--0.466139999999974</f>
        <v>1302.07123</v>
      </c>
      <c r="H141" s="3">
        <f>1438.9+(459.2-451.6)+(-0.733839+(-0.234192--0.230316))+0-181.7--0.0926669999999816</f>
        <v>1264.1549519999999</v>
      </c>
      <c r="I141" s="3">
        <f>1437.7+(475.7-486.2)+(0.733227+(0.242607-0.247962))+0-179.2-0.0913919999999818</f>
        <v>1248.6364799999999</v>
      </c>
      <c r="J141" s="3">
        <f>1432.9+(465.2-457.5)+(-1.461558+(-0.474504--0.46665))+0-180.5--0.184110000000029</f>
        <v>1258.8146980000001</v>
      </c>
      <c r="K141" s="3">
        <f>1449.7+(393.8-448)+(-2.218041+(-0.602514--0.68544))+0-178--0.27234000000001</f>
        <v>1215.6372249999999</v>
      </c>
      <c r="L141" s="3">
        <f>1452.6+(336.8-452.3)+(-4.444956+(-1.030608--1.384038))+0-174.5--0.53397000000002</f>
        <v>1159.0424439999999</v>
      </c>
      <c r="M141" s="3">
        <f>1452.4+(341.2-440.7)+(-1.481448+(-0.348024--0.449514))+0-182.1--0.185742000000029</f>
        <v>1169.6057840000003</v>
      </c>
      <c r="N141" s="3">
        <f>1444.8+(365.2-376)+(1.473696+(0.372504-0.38352))+0-181.6-0.185232000000029</f>
        <v>1253.6774480000001</v>
      </c>
      <c r="O141" s="3">
        <f>1433.5+(408.1-326.1)+(-2.193255+(-0.624393--0.498933))+0-187.6--0.287028000000011</f>
        <v>1325.8683129999999</v>
      </c>
      <c r="P141" s="3">
        <f>1401.6+(463-306.5)+(0.714816+(0.23613-0.156315))+0-189.8-0.0967979999999807</f>
        <v>1368.9978329999999</v>
      </c>
      <c r="Q141" s="3">
        <f>1413.3+(530.2-322.3)+(0+(0-0))+0-189.1-0</f>
        <v>1432.1000000000001</v>
      </c>
      <c r="R141" s="3">
        <f>1405.6+(779.2-529)+(-0.716856+(-0.397392--0.26979))+0-181.7--0.0926669999999816</f>
        <v>1473.3482089999998</v>
      </c>
      <c r="S141" s="3">
        <f>1387.6+(825.9-609.4)+(-1.415352+(-0.842418--0.621588))+0-179.1--0.182682000000029</f>
        <v>1423.5465000000002</v>
      </c>
      <c r="T141" s="3">
        <f>1380.6+(860.8-638.8)+(0.704106+(0.439008-0.325788))+0-172.1-0.0877709999999825</f>
        <v>1431.2295550000001</v>
      </c>
      <c r="U141" s="3">
        <f>1372.6+(919.9-657.9)+(-2.100078+(-1.407447--1.006587))+0-180--0.27540000000001</f>
        <v>1452.374462</v>
      </c>
      <c r="V141" s="3">
        <f>1371.3+(860.7-620.4)+(-3.496815+(-2.194785--1.58202))+0-178.2--0.454409999999974</f>
        <v>1429.7448299999999</v>
      </c>
      <c r="W141" s="3">
        <f>1352.7+(668.6-437.7)+(-2.759508+(-1.363944--0.892908))+0-168.9--0.344555999999993</f>
        <v>1411.814012</v>
      </c>
      <c r="X141" s="3">
        <f>1346.9+(389.9-250.1)+(-4.121514+(-1.193094--0.765306))+0-166.1--0.508266000000019</f>
        <v>1316.5589640000003</v>
      </c>
      <c r="Y141" s="3">
        <f>1358.6+(454-327.7)+(-1.385772+(-0.46308--0.334254))+0-166.4--0.169728000000027</f>
        <v>1317.1551299999999</v>
      </c>
      <c r="Z141" s="3">
        <f>1386.1+(731.5-507.7)+(0+(0-0))+0-170.8-0</f>
        <v>1439.1</v>
      </c>
      <c r="AA141" s="3">
        <f>1394.6+(784.2-553.7)+(-4.978722+(-2.799594--1.976709))+0-174.6--0.623322000000002</f>
        <v>1445.3217149999998</v>
      </c>
      <c r="AB141" s="3">
        <f>1399.4+(768.2-554.7)+(-2.141082+(-1.175346--0.848691))+0-167--0.25551000000001</f>
        <v>1443.6877730000001</v>
      </c>
      <c r="AC141" s="3">
        <f>1418.5+(756.1-574.3)+(-1.44687+(-0.771222--0.585786))+0-169.7--0.173094000000027</f>
        <v>1429.1407880000002</v>
      </c>
      <c r="AD141">
        <v>1441.3999999999999</v>
      </c>
      <c r="AE141" s="3">
        <f>1386+(789-551.7)+(0+(0-0))+0-168.9-0</f>
        <v>1454.3999999999999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1429+(670.3-549.1)+(-1.45758+(-0.683706--0.560082))+0-169.9--0.173298000000027</f>
        <v>1378.8920939999996</v>
      </c>
      <c r="G142" s="3">
        <f>1435.7+(570-504.2)+(-0.732207+(-0.2907--0.257142))+0-173.3--0.0883829999999824</f>
        <v>1327.522618</v>
      </c>
      <c r="H142" s="3">
        <f>1437.7+(515.1-481)+(0+(0-0))+0-178.5-0</f>
        <v>1293.3000000000002</v>
      </c>
      <c r="I142" s="3">
        <f>1448.3+(507-500.4)+(-2.215899+(-0.77571--0.765612))+0-178.6--0.27325800000001</f>
        <v>1274.3472610000001</v>
      </c>
      <c r="J142" s="3">
        <f>1457.8+(490.5-495.3)+(2.230434+(0.750465-0.757809))+0-179.8-0.27509400000001</f>
        <v>1275.1479959999999</v>
      </c>
      <c r="K142" s="3">
        <f>1457.3+(381.5-427.7)+(-2.972892+(-0.77826--0.872508))+0-180.4--0.368015999999992</f>
        <v>1228.1893719999998</v>
      </c>
      <c r="L142" s="3">
        <f>1460.3+(361-471)+(-2.234259+(-0.55233--0.72063))+0-175.6--0.26866800000001</f>
        <v>1172.902709</v>
      </c>
      <c r="M142" s="3">
        <f>1461.7+(373.9-459)+(0.745467+(0.190689-0.23409))+0-179.1-0.0913409999999818</f>
        <v>1198.110725</v>
      </c>
      <c r="N142" s="3">
        <f>1447.6+(405.7-419.6)+(0.738276+(0.206907-0.213996))+0-177.9-0.0907289999999819</f>
        <v>1256.4404579999998</v>
      </c>
      <c r="O142" s="3">
        <f>1433+(452-388.8)+(1.46166+(0.46104-0.396576))+0-168.3-0.171666000000027</f>
        <v>1329.2544580000001</v>
      </c>
      <c r="P142" s="3">
        <f>1427.8+(558.4-419.9)+(0+(0-0))+0-164.5-0</f>
        <v>1401.8</v>
      </c>
      <c r="Q142" s="3">
        <f>1434.3+(712.3-515.8)+(1.462986+(0.726546-0.526116))+0-163.1-0.166362000000026</f>
        <v>1469.1970540000002</v>
      </c>
      <c r="R142" s="3">
        <f>1424.9+(833.1-631.5)+(0.726699+(0.424881-0.322065))+0-144.4-0.0736439999999854</f>
        <v>1482.8558709999998</v>
      </c>
      <c r="S142" s="3">
        <f>1412+(835.2-673.4)+(-2.16036+(-1.277856--1.030302))+0-141.4--0.216342000000008</f>
        <v>1430.2084280000001</v>
      </c>
      <c r="T142" s="3">
        <f>1402.4+(865.9-686.8)+(0+(0-0))+0-143.5-0</f>
        <v>1438</v>
      </c>
      <c r="U142" s="3">
        <f>1401.1+(878.1-687.6)+(-2.143683+(-1.343493--1.052028))+0-143.7--0.219861000000008</f>
        <v>1445.6847129999999</v>
      </c>
      <c r="V142" s="3">
        <f>1391.2+(799.7-603.8)+(-3.54756+(-2.039235--1.53969))+0-149.7--0.381734999999978</f>
        <v>1433.7346299999999</v>
      </c>
      <c r="W142" s="3">
        <f>1375.8+(545.5-396)+(-2.104974+(-0.834615--0.60588))+0-145.1--0.222003000000008</f>
        <v>1378.0882940000001</v>
      </c>
      <c r="X142" s="3">
        <f>1381.2+(357.5-288.8)+(-1.408824+(-0.36465--0.294576))+0-152.1--0.155142000000024</f>
        <v>1296.4762440000002</v>
      </c>
      <c r="Y142" s="3">
        <f>1398.1+(402.5-332.9)+(1.426062+(0.41055-0.339558))+0-158.7-0.161874000000025</f>
        <v>1310.3351799999996</v>
      </c>
      <c r="Z142" s="3">
        <f>1429.7+(630.8-474)+(-2.916588+(-1.286832--0.96696))+0-158.3--0.322931999999993</f>
        <v>1425.286472</v>
      </c>
      <c r="AA142" s="3">
        <f>1431.6+(662-492.1)+(-3.65058+(-1.6881--1.254855))+0-161.2--0.411059999999977</f>
        <v>1436.6272349999999</v>
      </c>
      <c r="AB142" s="3">
        <f>1437.7+(705.1-545.7)+(-1.466454+(-0.719202--0.556614))+0-159--0.162180000000025</f>
        <v>1436.6331379999999</v>
      </c>
      <c r="AC142" s="3">
        <f>1444+(712.8-588.8)+(-1.47288+(-0.727056--0.600576))+0-152.5--0.155550000000024</f>
        <v>1414.05619</v>
      </c>
      <c r="AD142">
        <v>1429.4</v>
      </c>
      <c r="AE142" s="3">
        <f>1429+(671.9-493.3)+(0+(0-0))+0-164.2-0</f>
        <v>1443.3999999999999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1417.7+(676.8-604.6)+(-3.615135+(-1.72584--1.54173))+0-146.3--0.373064999999979</f>
        <v>1340.1738200000002</v>
      </c>
      <c r="G143" s="3">
        <f>1454.5+(584.1-571.7)+(-3.708975+(-1.489455--1.457835))+0-145.6--0.371279999999979</f>
        <v>1317.9306850000003</v>
      </c>
      <c r="H143" s="3">
        <f>1458.8+(522.6-542)+(-3.71994+(-1.33263--1.3821))+0-144.9--0.369494999999979</f>
        <v>1291.1990249999999</v>
      </c>
      <c r="I143" s="3">
        <f>1466.6+(496-542.8)+(-1.495932+(-0.50592--0.553656))+0-148.1--0.151062000000024</f>
        <v>1270.4028659999999</v>
      </c>
      <c r="J143" s="3">
        <f>1473.8+(475.4-522.2)+(-2.254914+(-0.727362--0.798966))+0-154.1--0.235773000000009</f>
        <v>1270.9524630000003</v>
      </c>
      <c r="K143" s="3">
        <f>1476.5+(393.9-489.8)+(-0.753015+(-0.200889--0.249798))+0-155.7--0.0794069999999842</f>
        <v>1224.2753009999999</v>
      </c>
      <c r="L143" s="3">
        <f>1481.1+(341.7-499.5)+(-4.532166+(-1.045602--1.52847))+0-153.4--0.469404000000018</f>
        <v>1166.3201059999999</v>
      </c>
      <c r="M143" s="3">
        <f>1464.8+(396.3-502.3)+(0+(0-0))+0-159.1-0</f>
        <v>1199.7</v>
      </c>
      <c r="N143" s="3">
        <f>1450.2+(441.4-452.9)+(0+(0-0))+0-162.7-0</f>
        <v>1276</v>
      </c>
      <c r="O143" s="3">
        <f>1451.1+(462.1-418.6)+(0+(0-0))+0-163.9-0</f>
        <v>1330.6999999999998</v>
      </c>
      <c r="P143" s="3">
        <f>1446.5+(543.1-417)+(-0.737715+(-0.276981--0.21267))+0-163.2--0.0832319999999834</f>
        <v>1408.6812059999997</v>
      </c>
      <c r="Q143" s="3">
        <f>1445.7+(641.3-452.2)+(2.949228+(1.308252-0.922488))+0-166.1-0.338843999999993</f>
        <v>1471.6961480000002</v>
      </c>
      <c r="R143" s="3">
        <f>1435.1+(798.5-569.5)+(-2.927604+(-1.62894--1.16178))+0-157.3--0.320891999999993</f>
        <v>1503.726128</v>
      </c>
      <c r="S143" s="3">
        <f>1427.8+(840.5-634.8)+(-3.64089+(-2.143275--1.61874))+0-168.6--0.429929999999976</f>
        <v>1461.1645050000002</v>
      </c>
      <c r="T143" s="3">
        <f>1412.4+(914-696.8)+(-0.720324+(-0.46614--0.355368))+0-180--0.0917999999999817</f>
        <v>1448.8607040000002</v>
      </c>
      <c r="U143" s="3">
        <f>1406.2+(882-660.7)+(-1.434324+(-0.89964--0.673914))+0-184--0.187680000000029</f>
        <v>1442.02763</v>
      </c>
      <c r="V143" s="3">
        <f>1401.9+(764-560.3)+(-0.714969+(-0.38964--0.285753))+0-189.6--0.0966959999999808</f>
        <v>1415.2778400000002</v>
      </c>
      <c r="W143" s="3">
        <f>1384.9+(549.5-377.3)+(-1.412598+(-0.56049--0.384846))+0-183.6--0.187272000000029</f>
        <v>1372.0990300000003</v>
      </c>
      <c r="X143" s="3">
        <f>1383.6+(319.1-252.7)+(-2.116908+(-0.488223--0.386631))+0-184.6--0.282438000000011</f>
        <v>1263.4639380000001</v>
      </c>
      <c r="Y143" s="3">
        <f>1387.5+(380.2-307.8)+(-1.41525+(-0.387804--0.313956))+0-183.5--0.187170000000029</f>
        <v>1275.098072</v>
      </c>
      <c r="Z143" s="3">
        <f>1426.7+(613.8-436.6)+(-2.910468+(-1.252152--0.890664))+0-177.3--0.361691999999992</f>
        <v>1423.689736</v>
      </c>
      <c r="AA143" s="3">
        <f>1444.6+(667-489.7)+(-3.68373+(-1.70085--1.248735))+0-179.3--0.457214999999974</f>
        <v>1438.9213699999998</v>
      </c>
      <c r="AB143" s="3">
        <f>1443.5+(692.7-525.4)+(-2.208555+(-1.059831--0.803862))+0-165.9--0.25382700000001</f>
        <v>1442.6893030000001</v>
      </c>
      <c r="AC143" s="3">
        <f>1437.7+(716.3-550.4)+(-1.466454+(-0.730626--0.561408))+0-173.6--0.177072000000028</f>
        <v>1428.5413999999998</v>
      </c>
      <c r="AD143">
        <v>1422.8000000000002</v>
      </c>
      <c r="AE143" s="3">
        <f>1424+(669.8-476)+(0+(0-0))+0-183-0</f>
        <v>1434.8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1448.6+(662-567.8)+(-3.69393+(-1.6881--1.44789))+0-162--0.413099999999976</f>
        <v>1377.2789599999999</v>
      </c>
      <c r="G144" s="3">
        <f>1459.3+(587.4-558.9)+(-1.488486+(-0.599148--0.570078))+0-152.7--0.155754000000024</f>
        <v>1333.738198</v>
      </c>
      <c r="H144" s="3">
        <f>1459.8+(525.4-528.5)+(-0.744498+(-0.267954--0.269535))+0-151.2--0.0771119999999847</f>
        <v>1304.8341949999997</v>
      </c>
      <c r="I144" s="3">
        <f>1452.3+(507.8-519.5)+(0+(0-0))+0-148.9-0</f>
        <v>1291.6999999999998</v>
      </c>
      <c r="J144" s="3">
        <f>1453.1+(482.7-489.9)+(2.223243+(0.738531-0.749547))+0-146.2-0.223686000000008</f>
        <v>1301.6885409999998</v>
      </c>
      <c r="K144" s="3">
        <f>1428.8+(402.4-443.1)+(-5.100816+(-1.436568--1.581867))+0-156.4--0.558348000000002</f>
        <v>1227.3028309999997</v>
      </c>
      <c r="L144" s="3">
        <f>1401.2+(350-411.6)+(-4.287672+(-1.071--1.259496))+0-153.9--0.470934000000018</f>
        <v>1182.0717579999998</v>
      </c>
      <c r="M144" s="3">
        <f>1392+(336.3-383.2)+(-0.70992+(-0.171513--0.195432))+0-162.8--0.0830279999999835</f>
        <v>1181.6970269999999</v>
      </c>
      <c r="N144" s="3">
        <f>1372.7+(335.6-299.3)+(2.100231+(0.513468-0.457929))+0-169-0.25857000000001</f>
        <v>1241.8972000000001</v>
      </c>
      <c r="O144" s="3">
        <f>1391+(399.3-324)+(-1.41882+(-0.407286--0.33048))+0-168.8--0.172176000000027</f>
        <v>1296.1765500000001</v>
      </c>
      <c r="P144" s="3">
        <f>1391+(488.8-349)+(0.70941+(0.249288-0.17799))+0-160.9-0.0820589999999837</f>
        <v>1370.5986489999998</v>
      </c>
      <c r="Q144" s="3">
        <f>1401.1+(628-461.6)+(-1.429122+(-0.64056--0.470832))+0-153.5--0.156570000000024</f>
        <v>1412.55772</v>
      </c>
      <c r="R144" s="3">
        <f>1393.3+(798-580.5)+(-0.710583+(-0.40698--0.296055))+0-160.9--0.0820589999999837</f>
        <v>1449.1605509999999</v>
      </c>
      <c r="S144" s="3">
        <f>1382.9+(848-642.2)+(-1.410558+(-0.86496--0.655044))+0-160.3--0.163506000000026</f>
        <v>1426.9430320000001</v>
      </c>
      <c r="T144" s="3">
        <f>1377.5+(864.5-650.7)+(0.702525+(0.440895-0.331857))+0-160.5-0.0818549999999837</f>
        <v>1431.529708</v>
      </c>
      <c r="U144" s="3">
        <f>1372.7+(799.6-605.1)+(-1.400154+(-0.815592--0.617202))+0-155.3--0.158406000000025</f>
        <v>1410.4598620000002</v>
      </c>
      <c r="V144" s="3">
        <f>1385.2+(750.4-548)+(0+(0-0))+0-160.3-0</f>
        <v>1427.3</v>
      </c>
      <c r="W144" s="3">
        <f>1369.8+(578.9-405.7)+(-0.698598+(-0.295239--0.206907))+0-160.9--0.0820589999999837</f>
        <v>1381.395129</v>
      </c>
      <c r="X144" s="3">
        <f>1363.4+(358.6-269)+(-4.867338+(-1.280202--0.96033))+0-161.3--0.575841000000002</f>
        <v>1287.0886310000001</v>
      </c>
      <c r="Y144" s="3">
        <f>1372.3+(428-329.2)+(-1.399746+(-0.43656--0.335784))+0-164.1--0.167382000000026</f>
        <v>1305.66686</v>
      </c>
      <c r="Z144" s="3">
        <f>1412.2+(579.1-408.2)+(-4.321332+(-1.772046--1.249092))+0-169.8--0.51958800000002</f>
        <v>1408.9753020000003</v>
      </c>
      <c r="AA144" s="3">
        <f>1447.7+(571.2-413.7)+(-0.738327+(-0.291312--0.210987))+0-176.7--0.0901169999999821</f>
        <v>1427.771465</v>
      </c>
      <c r="AB144" s="3">
        <f>1445+(588.1-440.5)+(0+(0-0))+0-180.2-0</f>
        <v>1412.3999999999999</v>
      </c>
      <c r="AC144" s="3">
        <f>1434.8+(586.9-438.1)+(0+(0-0))+0-179.2-0</f>
        <v>1404.3999999999999</v>
      </c>
      <c r="AD144">
        <v>1401.3000000000002</v>
      </c>
      <c r="AE144" s="3">
        <f>1432+(569-416.6)+(0+(0-0))+0-171.1-0</f>
        <v>1413.3000000000002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1432.8+(552.7-447.2)+(0.730728+(0.281877-0.228072))+0-176.3-0.0899129999999821</f>
        <v>1362.69462</v>
      </c>
      <c r="G145" s="3">
        <f>1435.5+(656.7-583.1)+(-0.732105+(-0.334917--0.297381))+0-172--0.0877199999999825</f>
        <v>1336.4180789999998</v>
      </c>
      <c r="H145" s="3">
        <f>1435.7+(655.6-615.8)+(0.732207+(0.334356-0.314058))+0-170.8-0.0871079999999827</f>
        <v>1305.365397</v>
      </c>
      <c r="I145" s="3">
        <f>1442.4+(618.7-593.5)+(-0.735624+(-0.315537--0.302685))+0-175.1--0.0893009999999822</f>
        <v>1291.8408250000002</v>
      </c>
      <c r="J145" s="3">
        <f>1452.1+(580.9-566.8)+(1.481142+(0.592518-0.578136))+0-175.3-0.178806000000028</f>
        <v>1292.2167179999997</v>
      </c>
      <c r="K145" s="3">
        <f>1462.9+(441.8-495.2)+(-3.730395+(-1.12659--1.26276))+0-172.4--0.439619999999975</f>
        <v>1233.9453949999997</v>
      </c>
      <c r="L145" s="3">
        <f>1461.8+(359.4-478.7)+(-1.491036+(-0.366588--0.488274))+0-169.4--0.172788000000027</f>
        <v>1171.9034380000001</v>
      </c>
      <c r="M145" s="3">
        <f>1459.5+(360.4-476.4)+(0.744345+(0.183804-0.242964))+0-171.2-0.0873119999999826</f>
        <v>1172.8978730000001</v>
      </c>
      <c r="N145" s="3">
        <f>1453.8+(349.3-420.8)+(-0.741438+(-0.178143--0.214608))+0-172.9--0.0881789999999825</f>
        <v>1208.7832059999998</v>
      </c>
      <c r="O145" s="3">
        <f>1439.2+(387.4-395.1)+(0.733992+(0.197574-0.201501))+0-174.7-0.0890969999999823</f>
        <v>1257.4409679999999</v>
      </c>
      <c r="P145" s="3">
        <f>1418.9+(428.4-354.8)+(2.894556+(0.873936-0.723792))+0-177.1-0.361283999999992</f>
        <v>1318.0834159999999</v>
      </c>
      <c r="Q145" s="3">
        <f>1421.4+(539.2-405.2)+(2.174742+(0.824976-0.619956))+0-179.2-0.27417600000001</f>
        <v>1378.3055860000002</v>
      </c>
      <c r="R145" s="3">
        <f>1423.9+(691.2-518.4)+(-1.452378+(-0.705024--0.528768))+0-177.5--0.181050000000028</f>
        <v>1417.7524160000005</v>
      </c>
      <c r="S145" s="3">
        <f>1415.6+(751.7-560.8)+(-0.721956+(-0.383367--0.286008))+0-179.6--0.0915959999999818</f>
        <v>1426.1722810000001</v>
      </c>
      <c r="T145" s="3">
        <f>1405.2+(741.2-553.6)+(1.433304+(0.756024-0.564672))+0-179.4-0.182988000000029</f>
        <v>1414.841668</v>
      </c>
      <c r="U145" s="3">
        <f>1394.9+(759.8-568.5)+(-1.422798+(-0.774996--0.57987))+0-176.9--0.180438000000028</f>
        <v>1407.8625140000001</v>
      </c>
      <c r="V145" s="3">
        <f>1349.7+(726.5-504.9)+(-1.376694+(-0.74103--0.514998))+0-180.6--0.184212000000029</f>
        <v>1389.2814860000003</v>
      </c>
      <c r="W145" s="3">
        <f>1355.3+(419.5-310.8)+(-1.382406+(-0.42789--0.317016))+0-195.4--0.199308000000031</f>
        <v>1267.306028</v>
      </c>
      <c r="X145" s="3">
        <f>1348.6+(304.4-250)+(-3.43893+(-0.77622--0.6375))+0-193.2--0.492659999999972</f>
        <v>1206.7150099999999</v>
      </c>
      <c r="Y145" s="3">
        <f>1362.4+(372.2-307.6)+(0+(0-0))+0-189.7-0</f>
        <v>1237.3</v>
      </c>
      <c r="Z145" s="3">
        <f>1428.3+(550.3-432.1)+(0.728433+(0.280653-0.220371))+0-184.4-0.0940439999999813</f>
        <v>1362.7946709999999</v>
      </c>
      <c r="AA145" s="3">
        <f>1446.3+(563-432.7)+(-2.950452+(-1.14852--0.882708))+0-186.9--0.381275999999992</f>
        <v>1386.865012</v>
      </c>
      <c r="AB145" s="3">
        <f>1456.1+(583.8-461.6)+(-2.227833+(-0.893214--0.706248))+0-185.2--0.283356000000011</f>
        <v>1390.9685569999997</v>
      </c>
      <c r="AC145" s="3">
        <f>1444.4+(603.9-482.3)+(1.473288+(0.615978-0.491946))+0-179-0.182580000000029</f>
        <v>1388.4147400000002</v>
      </c>
      <c r="AD145">
        <v>1401.2999999999997</v>
      </c>
      <c r="AE145" s="3">
        <f>1467+(554.3-431.6)+(0+(0-0))+0-175.4-0</f>
        <v>1414.2999999999997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1434.1+(589.5-490.4)+(0.731391+(0.300645-0.250104))+0-184.8-0.0942479999999813</f>
        <v>1349.0876840000001</v>
      </c>
      <c r="G146" s="3">
        <f>1426.1+(523.6-462)+(-1.454622+(-0.534072--0.47124))+0-191.6--0.195432000000031</f>
        <v>1294.7779779999998</v>
      </c>
      <c r="H146" s="3">
        <f>1441.3+(465.5-455.9)+(-1.470126+(-0.47481--0.465018))+0-184--0.187680000000029</f>
        <v>1265.6077620000001</v>
      </c>
      <c r="I146" s="3">
        <f>1440.6+(468.3-475.6)+(0.734706+(0.238833-0.242556))+0-178.3-0.0909329999999819</f>
        <v>1255.64005</v>
      </c>
      <c r="J146" s="3">
        <f>1441.3+(479.1-465.7)+(-0.735063+(-0.244341--0.237507))+0-185.2--0.0944519999999812</f>
        <v>1268.8525549999999</v>
      </c>
      <c r="K146" s="3">
        <f>1447.5+(398.5-432.5)+(-3.691125+(-1.016175--1.102875))+0-183.8--0.468689999999973</f>
        <v>1226.564265</v>
      </c>
      <c r="L146" s="3">
        <f>1452.9+(318-413.8)+(-1.481958+(-0.32436--0.422076))+0-177.6--0.181152000000028</f>
        <v>1178.2969100000003</v>
      </c>
      <c r="M146" s="3">
        <f>1448.1+(313.2-369.4)+(1.477062+(0.319464-0.376788))+0-187.3-0.19104600000003</f>
        <v>1205.8286919999998</v>
      </c>
      <c r="N146" s="3">
        <f>1434.9+(409.9-384.7)+(3.658995+(1.045245-0.980985))+0-178.5-0.455174999999974</f>
        <v>1284.8680800000002</v>
      </c>
      <c r="O146" s="3">
        <f>1422.1+(478.7-376.3)+(0.725271+(0.244137-0.191913))+0-174.5-0.0889949999999823</f>
        <v>1350.6885</v>
      </c>
      <c r="P146" s="3">
        <f>1416.3+(591.4-397.4)+(0.722313+(0.301614-0.202674))+0-180.1-0.0918509999999817</f>
        <v>1430.9294020000002</v>
      </c>
      <c r="Q146" s="3">
        <f>1428.2+(676.8-450.4)+(0+(0-0))+0-169.7-0</f>
        <v>1484.8999999999999</v>
      </c>
      <c r="R146" s="3">
        <f>1423+(878.1-636.6)+(2.17719+(1.343493-0.973998))+0-167.4-0.25612200000001</f>
        <v>1499.3905629999999</v>
      </c>
      <c r="S146" s="3">
        <f>1410.5+(965.3-699.9)+(-0.719355+(-0.492303--0.356949))+7-169.4--0.0863939999999828</f>
        <v>1512.731685</v>
      </c>
      <c r="T146" s="3">
        <f>1403.5+(897.2-648.4)+(0+(0-0))+15-176.3-0</f>
        <v>1491.0000000000002</v>
      </c>
      <c r="U146" s="3">
        <f>1399.2+(845.7-627.2)+(-2.854368+(-1.725228--1.279488))+10-169--0.344759999999993</f>
        <v>1455.7446520000001</v>
      </c>
      <c r="V146" s="3">
        <f>1374.6+(793.9-552.4)+(-1.402092+(-0.809778--0.563448))+0-163.8--0.167076000000026</f>
        <v>1450.8186539999999</v>
      </c>
      <c r="W146" s="3">
        <f>1382.9+(521-357.5)+(-3.526395+(-1.32855--0.911625))+0-161.3--0.411314999999977</f>
        <v>1381.5679950000001</v>
      </c>
      <c r="X146" s="3">
        <f>1381+(353.7-265.3)+(-5.63448+(-1.443096--1.082424))+0-162.1--0.661367999999986</f>
        <v>1301.9662160000003</v>
      </c>
      <c r="Y146" s="3">
        <f>1392.3+(432.6-324.2)+(-0.710073+(-0.220626--0.165342))+0-162.5--0.0828749999999835</f>
        <v>1337.5175180000001</v>
      </c>
      <c r="Z146" s="3">
        <f>1428.8+(650.5-457.1)+(1.457376+(0.66351-0.466242))+0-161.3-0.164526000000026</f>
        <v>1462.3901179999998</v>
      </c>
      <c r="AA146" s="3">
        <f>1446.1+(658.1-474.7)+(-1.475022+(-0.671262--0.484194))+0-168.1--0.171462000000027</f>
        <v>1459.9093720000001</v>
      </c>
      <c r="AB146" s="3">
        <f>1450.6+(669.7-492.3)+(-1.479612+(-0.683094--0.502146))+0-174.6--0.178092000000028</f>
        <v>1451.9175320000002</v>
      </c>
      <c r="AC146" s="3">
        <f>1444.6+(686-514.9)+(-1.473492+(-0.69972--0.525198))+0-174.5--0.177990000000028</f>
        <v>1439.7299759999999</v>
      </c>
      <c r="AD146">
        <v>1448</v>
      </c>
      <c r="AE146" s="3">
        <f>1430+(672-473.9)+(0+(0-0))+0-166.1-0</f>
        <v>1462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1397.5+(674-507)+(-0.712725+(-0.34374--0.25857))+0-170.9--0.0871589999999827</f>
        <v>1392.8892639999999</v>
      </c>
      <c r="G147" s="3">
        <f>1379.7+(640-497)+(-2.110941+(-0.9792--0.76041))+0-174--0.26622000000001</f>
        <v>1346.636489</v>
      </c>
      <c r="H147" s="3">
        <f>1378.6+(569.2-461.2)+(0.703086+(0.290292-0.235212))+0-175.6-0.0895559999999822</f>
        <v>1311.6686100000002</v>
      </c>
      <c r="I147" s="3">
        <f>1386+(552-467.8)+(-1.41372+(-0.56304--0.477156))+0-172.4--0.175848000000027</f>
        <v>1296.476244</v>
      </c>
      <c r="J147" s="3">
        <f>1378+(560.3-460.2)+(-2.81112+(-1.143012--0.938808))+0-175.1--0.357203999999992</f>
        <v>1300.3418799999999</v>
      </c>
      <c r="K147" s="3">
        <f>1387.1+(488-438.7)+(-2.829684+(-0.99552--0.894948))+0-179.4--0.365975999999992</f>
        <v>1254.4357199999997</v>
      </c>
      <c r="L147" s="3">
        <f>1394.5+(382.5-407)+(-2.133585+(-0.585225--0.62271))+0-179.1--0.27402300000001</f>
        <v>1189.0779230000001</v>
      </c>
      <c r="M147" s="3">
        <f>1393.1+(365.8-370.6)+(0.710481+(0.186558-0.189006))+0-186.3-0.0950129999999811</f>
        <v>1202.61302</v>
      </c>
      <c r="N147" s="3">
        <f>1336.8+(464.5-336.1)+(0+(0-0))+0-189.9-0</f>
        <v>1275.2999999999997</v>
      </c>
      <c r="O147" s="3">
        <f>1331+(500-302.3)+(1.35762+(0.51-0.308346))+0-184.4-0.188088000000029</f>
        <v>1345.6711859999998</v>
      </c>
      <c r="P147" s="3">
        <f>1361.9+(482-259.5)+(2.083707+(0.73746-0.397035))+0-175-0.26775000000001</f>
        <v>1411.5563820000002</v>
      </c>
      <c r="Q147" s="3">
        <f>1360.6+(664.4-364.5)+(1.387812+(0.677688-0.37179))+0-177.4-0.180948000000028</f>
        <v>1484.612762</v>
      </c>
      <c r="R147" s="3">
        <f>1350.5+(818.1-477.9)+(2.75502+(1.668924-0.974916))+0-176.9-0.360875999999992</f>
        <v>1516.888152</v>
      </c>
      <c r="S147" s="3">
        <f>1351.2+(831.2-521)+(0+(0-0))+0-181.6-0</f>
        <v>1479.8000000000002</v>
      </c>
      <c r="T147" s="3">
        <f>1342.1+(876.8-541.5)+(-1.368942+(-0.894336--0.55233))+0-182.6--0.186252000000029</f>
        <v>1493.275304</v>
      </c>
      <c r="U147" s="3">
        <f>1341.6+(779.3-510.8)+(0.684216+(0.397443-0.260508))+0-180-0.0917999999999817</f>
        <v>1430.8293510000001</v>
      </c>
      <c r="V147" s="3">
        <f>1351.9+(684.9-451.6)+(-0.689469+(-0.349299--0.230316))+0-178.1--0.0908309999999819</f>
        <v>1406.3823790000001</v>
      </c>
      <c r="W147" s="3">
        <f>1334.3+(447.4-272.8)+(-1.360986+(-0.456348--0.278256))+0-179.8--0.183396000000029</f>
        <v>1327.744318</v>
      </c>
      <c r="X147" s="3">
        <f>1331.6+(313-214.8)+(-4.074696+(-0.95778--0.657288))+0-179.6--0.549576000000021</f>
        <v>1246.3743880000002</v>
      </c>
      <c r="Y147" s="3">
        <f>1333.6+(368.4-237.3)+(0+(0-0))+0-179.1-0</f>
        <v>1285.5999999999999</v>
      </c>
      <c r="Z147" s="3">
        <f>1365.9+(585.4-357.6)+(-1.393218+(-0.597108--0.364752))+0-175.8--0.179316000000028</f>
        <v>1416.4537420000001</v>
      </c>
      <c r="AA147" s="3">
        <f>1395+(622.5-404.2)+(-3.55725+(-1.587375--1.03071))+0-178.3--0.454664999999974</f>
        <v>1431.3407500000001</v>
      </c>
      <c r="AB147" s="3">
        <f>1398.6+(642.9-428.8)+(0.713286+(0.327879-0.218688))+0-175.6-0.0895559999999822</f>
        <v>1437.8329209999999</v>
      </c>
      <c r="AC147" s="3">
        <f>1397+(647.7-441.5)+(-2.84988+(-1.321308--0.90066))+0-174.7--0.356387999999992</f>
        <v>1425.5858599999999</v>
      </c>
      <c r="AD147">
        <v>1398.8999999999999</v>
      </c>
      <c r="AE147" s="3">
        <f>1368+(625.1-409)+(0+(0-0))+0-173.2-0</f>
        <v>1410.8999999999999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1385.5+(587.4-414.9)+(-2.119815+(-0.898722--0.634797))+0-173.3--0.26514900000001</f>
        <v>1382.5814090000001</v>
      </c>
      <c r="G148" s="3">
        <f>1390.3+(513-385.2)+(-2.836212+(-1.04652--0.785808))+0-178--0.363119999999992</f>
        <v>1337.3661959999999</v>
      </c>
      <c r="H148" s="3">
        <f>1397.5+(486.4-401.5)+(-2.138175+(-0.744192--0.614295))+0-173.1--0.26484300000001</f>
        <v>1307.296771</v>
      </c>
      <c r="I148" s="3">
        <f>1402.8+(465-406.5)+(-0.715428+(-0.23715--0.207315))+0-172.3--0.0878729999999825</f>
        <v>1288.3426099999999</v>
      </c>
      <c r="J148" s="3">
        <f>1407.6+(461.5-386.4)+(-2.871504+(-0.94146--0.788256))+0-176.8--0.360671999999992</f>
        <v>1303.235964</v>
      </c>
      <c r="K148" s="3">
        <f>1411.2+(387.4-355.1)+(-2.878848+(-0.790296--0.724404))+0-174.9--0.356795999999992</f>
        <v>1266.012056</v>
      </c>
      <c r="L148" s="3">
        <f>1417+(341.3-368)+(-4.33602+(-1.044378--1.12608))+0-172--0.52632000000002</f>
        <v>1214.5720019999999</v>
      </c>
      <c r="M148" s="3">
        <f>1408.9+(319.9-319.3)+(-1.437078+(-0.326298--0.325686))+0-176.9--0.180438000000028</f>
        <v>1231.342748</v>
      </c>
      <c r="N148" s="3">
        <f>1353.3+(363.9-261.1)+(2.760732+(0.742356-0.532644))+0-175.4-0.357815999999992</f>
        <v>1283.3126279999999</v>
      </c>
      <c r="O148" s="3">
        <f>1316.8+(424.5-230.4)+(0+(0-0))+0-170-0</f>
        <v>1340.8999999999999</v>
      </c>
      <c r="P148" s="3">
        <f>1297+(470.2-207.1)+(-1.32294+(-0.479604--0.211242))+0-160--0.163200000000026</f>
        <v>1398.6718979999998</v>
      </c>
      <c r="Q148" s="3">
        <f>1308.6+(551.3-226.9)+(0+(0-0))+0-157.4-0</f>
        <v>1475.6</v>
      </c>
      <c r="R148" s="3">
        <f>1334.5+(662.3-331.2)+(0.680595+(0.337773-0.168912))+0-156.4-0.0797639999999841</f>
        <v>1509.9696919999997</v>
      </c>
      <c r="S148" s="3">
        <f>1338.1+(715.4-406.9)+(-1.364862+(-0.729708--0.415038))+0-160--0.163200000000026</f>
        <v>1485.0836679999998</v>
      </c>
      <c r="T148" s="3">
        <f>1383.4+(689.3-433.8)+(-2.116602+(-1.054629--0.663714))+0-165.1--0.25260300000001</f>
        <v>1471.5450860000001</v>
      </c>
      <c r="U148" s="3">
        <f>1398+(667.6-422.2)+(-2.85192+(-1.361904--0.861288))+0-164.1--0.334763999999993</f>
        <v>1476.282228</v>
      </c>
      <c r="V148" s="3">
        <f>1397+(548.5-332.1)+(-2.84988+(-1.11894--0.677484))+0-171.3--0.349451999999993</f>
        <v>1439.1581160000001</v>
      </c>
      <c r="W148" s="3">
        <f>1374.1+(361.8-199.9)+(-0.700791+(-0.184518--0.101949))+0-173.4--0.0884339999999824</f>
        <v>1361.905074</v>
      </c>
      <c r="X148" s="3">
        <f>1374.5+(392.1-318.8)+(-1.40199+(-0.399942--0.325176))+0-176.9--0.180438000000028</f>
        <v>1269.6036819999999</v>
      </c>
      <c r="Y148" s="3">
        <f>1391+(394.3-288.7)+(1.41882+(0.402186-0.294474))+0-177-0.180540000000028</f>
        <v>1320.9459919999999</v>
      </c>
      <c r="Z148" s="3">
        <f>1429.7+(499.5-302)+(0+(0-0))+0-178.4-0</f>
        <v>1448.8</v>
      </c>
      <c r="AA148" s="3">
        <f>1448.5+(508.4-322.8)+(-1.47747+(-0.518568--0.329256))+0-181.7--0.185334000000029</f>
        <v>1450.9185519999999</v>
      </c>
      <c r="AB148" s="3">
        <f>1450.2+(534.9-355.2)+(-2.958408+(-1.091196--0.724608))+0-177.4--0.361895999999992</f>
        <v>1449.5368999999998</v>
      </c>
      <c r="AC148" s="3">
        <f>1446.2+(539.1-370.2)+(-1.475124+(-0.549882--0.377604))+0-177.7--0.181254000000028</f>
        <v>1435.9338520000001</v>
      </c>
      <c r="AD148">
        <v>1448.3999999999999</v>
      </c>
      <c r="AE148" s="3">
        <f>1456+(521.6-334.2)+(0+(0-0))+0-182-0</f>
        <v>1461.4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1433.9+(506.4-374.3)+(-1.462578+(-0.516528--0.381786))+0-173--0.176460000000028</f>
        <v>1391.5791400000001</v>
      </c>
      <c r="G149" s="3">
        <f>1456.5+(456.6-393.7)+(-2.228445+(-0.698598--0.602361))+0-177--0.27081000000001</f>
        <v>1340.3461280000001</v>
      </c>
      <c r="H149" s="3">
        <f>1466.3+(406.6-392)+(-2.991252+(-0.829464--0.79968))+0-173.3--0.353531999999992</f>
        <v>1304.9324960000001</v>
      </c>
      <c r="I149" s="3">
        <f>1478.3+(361.9-383.2)+(-1.507866+(-0.369138--0.390864))+0-170--0.173400000000027</f>
        <v>1285.6872600000002</v>
      </c>
      <c r="J149" s="3">
        <f>1467.3+(345.5-358.6)+(0+(0-0))+0-164.8-0</f>
        <v>1289.3999999999999</v>
      </c>
      <c r="K149" s="3">
        <f>1470.5+(301.3-350.7)+(-3.749775+(-0.768315--0.894285))+0-166.6--0.424829999999976</f>
        <v>1251.301025</v>
      </c>
      <c r="L149" s="3">
        <f>1480+(292.6-407.4)+(-1.5096+(-0.298452--0.415548))+0-168.8--0.172176000000027</f>
        <v>1195.1796720000002</v>
      </c>
      <c r="M149" s="3">
        <f>1481+(301.8-407.1)+(1.51062+(0.307836-0.415242))+0-169.9-0.173298000000027</f>
        <v>1207.029916</v>
      </c>
      <c r="N149" s="3">
        <f>1465.9+(333.1-351.5)+(0.747609+(0.169881-0.179265))+0-172.4-0.0879239999999825</f>
        <v>1275.750301</v>
      </c>
      <c r="O149" s="3">
        <f>1451.6+(367.7-317.1)+(1.480632+(0.375054-0.323442))+0-159.6-0.162792000000025</f>
        <v>1343.9694519999998</v>
      </c>
      <c r="P149" s="3">
        <f>1429.8+(414.3-276.7)+(-1.458396+(-0.422586--0.282234))+0-157.7--0.160854000000025</f>
        <v>1408.2621060000001</v>
      </c>
      <c r="Q149" s="3">
        <f>1421.7+(499.5-293.1)+(0.725067+(0.254745-0.149481))+0-159.7-0.0814469999999838</f>
        <v>1469.1488839999997</v>
      </c>
      <c r="R149" s="3">
        <f>1420.2+(638.2-376.9)+(-1.448604+(-0.650964--0.384438))+0-172.3--0.175746000000027</f>
        <v>1507.6606160000001</v>
      </c>
      <c r="S149" s="3">
        <f>1417.1+(658.3-444.5)+(-1.445442+(-0.671466--0.45339))+0-178.6--0.182172000000028</f>
        <v>1450.8186539999999</v>
      </c>
      <c r="T149" s="3">
        <f>1403.9+(748.6-501.9)+(0.715989+(0.381786-0.255969))+0-184.5-0.0940949999999813</f>
        <v>1466.8477110000001</v>
      </c>
      <c r="U149" s="3">
        <f>1380.2+(716.6-478.3)+(0+(0-0))+0-179-0</f>
        <v>1439.5</v>
      </c>
      <c r="V149" s="3">
        <f>1380.2+(644.8-397.2)+(-1.407804+(-0.657696--0.405144))+0-182.3--0.185946000000029</f>
        <v>1444.02559</v>
      </c>
      <c r="W149" s="3">
        <f>1349.3+(423.5-219.9)+(-1.376286+(-0.43197--0.224298))+0-180.6--0.184212000000029</f>
        <v>1370.9002540000001</v>
      </c>
      <c r="X149" s="3">
        <f>1350.6+(403.3-292.3)+(-2.066418+(-0.617049--0.447219))+0-178.1--0.27249300000001</f>
        <v>1281.536245</v>
      </c>
      <c r="Y149" s="3">
        <f>1379.3+(428.7-316.2)+(-1.406886+(-0.437274--0.322524))+0-178.7--0.182274000000028</f>
        <v>1311.760638</v>
      </c>
      <c r="Z149" s="3">
        <f>1435.5+(520.3-342.7)+(-0.732105+(-0.265353--0.174777))+0-182.2--0.0929219999999815</f>
        <v>1430.1702409999998</v>
      </c>
      <c r="AA149" s="3">
        <f>1455.1+(533.7-377.6)+(-3.710505+(-1.360935--0.96288))+0-180--0.458999999999974</f>
        <v>1427.55044</v>
      </c>
      <c r="AB149" s="3">
        <f>1443.6+(554.4-401)+(-1.472472+(-0.565488--0.40902))+0-171--0.174420000000027</f>
        <v>1424.54548</v>
      </c>
      <c r="AC149" s="3">
        <f>1460.1+(544.8-424.3)+(0+(0-0))+0-165.4-0</f>
        <v>1415.1999999999998</v>
      </c>
      <c r="AD149">
        <v>1423.8999999999999</v>
      </c>
      <c r="AE149" s="3">
        <f>1437+(531.6-350.8)+(0+(0-0))+0-180.9-0</f>
        <v>1436.8999999999999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1449.6+(479-415.8)+(-3.69648+(-1.22145--1.06029))+0-163.9--0.417944999999976</f>
        <v>1345.4603049999998</v>
      </c>
      <c r="G150" s="3">
        <f>1455+(426.9-401.9)+(-2.9682+(-0.870876--0.819876))+0-161.8--0.330071999999993</f>
        <v>1315.5108720000001</v>
      </c>
      <c r="H150" s="3">
        <f>1437.7+(380.4-396.7)+(-2.199681+(-0.582012--0.606951))+0-159.6--0.244188000000009</f>
        <v>1259.8694460000004</v>
      </c>
      <c r="I150" s="3">
        <f>1453.1+(340-388.9)+(-0.741081+(-0.1734--0.198339))+0-159.7--0.0814469999999838</f>
        <v>1243.8653049999998</v>
      </c>
      <c r="J150" s="3">
        <f>1458.7+(315.7-359.2)+(0+(0-0))+0-169.8-0</f>
        <v>1245.4000000000001</v>
      </c>
      <c r="K150" s="3">
        <f>1458.1+(286.4-357.5)+(-4.461786+(-0.876384--1.09395))+0-179.4--0.548964000000021</f>
        <v>1203.9047439999999</v>
      </c>
      <c r="L150" s="3">
        <f>1456.8+(281.9-422.7)+(-1.485936+(-0.287538--0.431154))+0-176.2--0.179724000000028</f>
        <v>1138.6374040000001</v>
      </c>
      <c r="M150" s="3">
        <f>1461.1+(288.6-407.1)+(2.235483+(0.441558-0.622863))+0-177.9-0.27218700000001</f>
        <v>1166.4819909999999</v>
      </c>
      <c r="N150" s="3">
        <f>1454.2+(313.9-357.1)+(0.741642+(0.160089-0.182121))+0-177.6-0.090575999999982</f>
        <v>1234.0290340000001</v>
      </c>
      <c r="O150" s="3">
        <f>1444.6+(356.2-329.8)+(-0.736746+(-0.181662--0.168198))+0-174.2--0.0888419999999823</f>
        <v>1296.1386319999999</v>
      </c>
      <c r="P150" s="3">
        <f>1434.1+(357.2-253.3)+(-0.731391+(-0.182172--0.129183))+0-177.9--0.0907289999999819</f>
        <v>1359.4063489999999</v>
      </c>
      <c r="Q150" s="3">
        <f>1405.6+(473.6-277.6)+(-1.433712+(-0.483072--0.283152))+0-175.4--0.178908000000028</f>
        <v>1424.7452759999999</v>
      </c>
      <c r="R150" s="3">
        <f>1390.3+(585.8-344.9)+(0.709053+(0.298758-0.175899))+0-177.6-0.090575999999982</f>
        <v>1454.341336</v>
      </c>
      <c r="S150" s="3">
        <f>1397.8+(648-426.7)+(-2.138634+(-0.99144--0.652851))+0-181--0.27693000000001</f>
        <v>1435.8997069999998</v>
      </c>
      <c r="T150" s="3">
        <f>1389.7+(723.5-475.3)+(0+(0-0))+0-186.8-0</f>
        <v>1451.1000000000001</v>
      </c>
      <c r="U150" s="3">
        <f>1381+(702.2-453.5)+(1.40862+(0.716244-0.46257))+0-190.1-0.19390200000003</f>
        <v>1441.0683920000001</v>
      </c>
      <c r="V150" s="3">
        <f>1377.4+(593.8-362.8)+(0+(0-0))+0-194.2-0</f>
        <v>1414.2</v>
      </c>
      <c r="W150" s="3">
        <f>1367.9+(414.8-227.8)+(-2.092887+(-0.634644--0.348534))+0-193.9--0.296667000000011</f>
        <v>1358.91767</v>
      </c>
      <c r="X150" s="3">
        <f>1370.5+(399.8-320.6)+(-2.79582+(-0.815592--0.654024))+0-191.9--0.391475999999992</f>
        <v>1255.2340879999999</v>
      </c>
      <c r="Y150" s="3">
        <f>1373.2+(397.8-302.7)+(0.700332+(0.202878-0.154377))+0-193.6-0.0987359999999804</f>
        <v>1275.3500970000005</v>
      </c>
      <c r="Z150" s="3">
        <f>1421+(481.1-306.6)+(2.17413+(0.736083-0.469098))+0-194.8-0.298044000000011</f>
        <v>1402.843071</v>
      </c>
      <c r="AA150" s="3">
        <f>1449.2+(497.1-341.3)+(-2.217276+(-0.760563--0.522189))+0-198.4--0.303552000000011</f>
        <v>1404.4479019999999</v>
      </c>
      <c r="AB150" s="3">
        <f>1453.7+(510-373.1)+(-0.741387+(-0.2601--0.190281))+0-194.3--0.0990929999999803</f>
        <v>1395.5878869999999</v>
      </c>
      <c r="AC150" s="3">
        <f>1466.5+(509.4-396.6)+(0+(0-0))+0-191.9-0</f>
        <v>1387.3999999999999</v>
      </c>
      <c r="AD150">
        <v>1424.6999999999998</v>
      </c>
      <c r="AE150" s="3">
        <f>1450+(513.8-340.7)+(0+(0-0))+0-186.4-0</f>
        <v>1436.6999999999998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1422+(467.8-417.4)+(-1.45044+(-0.477156--0.425748))+0-184.6--0.188292000000029</f>
        <v>1286.4864440000001</v>
      </c>
      <c r="G151" s="3">
        <f>1420.8+(505.7-489.3)+(0+(0-0))+0-183.1-0</f>
        <v>1254.0999999999999</v>
      </c>
      <c r="H151" s="3">
        <f>1412.5+(454.3-469.9)+(0.720375+(0.231693-0.239649))+0-181.1-0.0923609999999816</f>
        <v>1216.4200580000002</v>
      </c>
      <c r="I151" s="3">
        <f>1419.7+(388.8-450.5)+(-0.724047+(-0.198288--0.229755))+0-170--0.0866999999999827</f>
        <v>1187.3941200000002</v>
      </c>
      <c r="J151" s="3">
        <f>1429.5+(357.5-445.6)+(2.187135+(0.546975-0.681768))+0-162.6-0.248778000000009</f>
        <v>1180.6035640000002</v>
      </c>
      <c r="K151" s="3">
        <f>1427.9+(293.7-412.5)+(-4.369374+(-0.898722--1.26225))+0-160.8--0.492048000000019</f>
        <v>1144.7862020000002</v>
      </c>
      <c r="L151" s="3">
        <f>1456.8+(251.3-420.2)+(-3.71484+(-0.640815--1.07151))+0-158.2--0.403409999999977</f>
        <v>1126.8192649999999</v>
      </c>
      <c r="M151" s="3">
        <f>1449.6+(254.5-403.7)+(0.739296+(0.129795-0.205887))+0-161.3-0.0822629999999836</f>
        <v>1139.6809409999998</v>
      </c>
      <c r="N151" s="3">
        <f>1447.2+(271.8-355.9)+(0.738072+(0.138618-0.181509))+0-162-0.0826199999999836</f>
        <v>1201.7125610000003</v>
      </c>
      <c r="O151" s="3">
        <f>1423.8+(298.3-300.8)+(1.452276+(0.304266-0.306816))+0-154.3-0.157386000000025</f>
        <v>1268.29234</v>
      </c>
      <c r="P151" s="3">
        <f>1411.8+(364.2-295.1)+(1.440036+(0.371484-0.301002))+0-151-0.154020000000024</f>
        <v>1331.256498</v>
      </c>
      <c r="Q151" s="3">
        <f>1418.7+(439.7-319)+(2.170611+(0.672741-0.48807))+0-153.6-0.235008000000009</f>
        <v>1387.9202740000001</v>
      </c>
      <c r="R151" s="3">
        <f>1409.4+(531.5-364)+(-0.718794+(-0.271065--0.18564))+0-152--0.0775199999999846</f>
        <v>1424.173301</v>
      </c>
      <c r="S151" s="3">
        <f>1391.9+(583.4-400)+(-2.839476+(-1.190136--0.816))+0-155.3--0.316811999999993</f>
        <v>1417.1032000000002</v>
      </c>
      <c r="T151" s="3">
        <f>1387.5+(622.3-430.9)+(-1.41525+(-0.634746--0.439518))+0-156.4--0.159528000000025</f>
        <v>1421.0490500000001</v>
      </c>
      <c r="U151" s="3">
        <f>1391.2+(574.9-407)+(-2.128536+(-0.879597--0.62271))+0-151.5--0.231795000000009</f>
        <v>1405.4463719999999</v>
      </c>
      <c r="V151" s="3">
        <f>1391.8+(434.6-321.7)+(-2.129454+(-0.664938--0.492201))+0-153.9--0.235467000000009</f>
        <v>1348.7332759999999</v>
      </c>
      <c r="W151" s="3">
        <f>1395.3+(331.9-290.8)+(-2.846412+(-0.677076--0.593232))+0-159.5--0.325379999999993</f>
        <v>1274.2951239999998</v>
      </c>
      <c r="X151" s="3">
        <f>1378.8+(419.1-453.7)+(-2.109564+(-0.641223--0.694161))+0-152.3--0.233019000000009</f>
        <v>1190.0763930000001</v>
      </c>
      <c r="Y151" s="3">
        <f>1382.9+(399.1-401.7)+(-0.705279+(-0.203541--0.204867))+0-150.5--0.0767549999999847</f>
        <v>1229.1728020000003</v>
      </c>
      <c r="Z151" s="3">
        <f>1420.2+(381.2-311)+(-1.448604+(-0.388824--0.31722))+0-149.1--0.152082000000024</f>
        <v>1339.9318740000003</v>
      </c>
      <c r="AA151" s="3">
        <f>1441.1+(412.1-346)+(-2.204883+(-0.630513--0.52938))+0-149--0.227970000000009</f>
        <v>1356.1219539999997</v>
      </c>
      <c r="AB151" s="3">
        <f>1460.4+(415.7-371)+(-0.744804+(-0.212007--0.18921))+0-158.1--0.080630999999984</f>
        <v>1346.3130300000003</v>
      </c>
      <c r="AC151" s="3">
        <f>1452.2+(443.6-387.3)+(-0.740622+(-0.226236--0.197523))+0-166.7--0.0850169999999831</f>
        <v>1341.1156819999999</v>
      </c>
      <c r="AD151">
        <v>1368.1</v>
      </c>
      <c r="AE151" s="3">
        <f>1449+(423.3-345.2)+(0+(0-0))+0-147-0</f>
        <v>1380.1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1434.4+(425.6-392)+(-1.463088+(-0.434112--0.39984))+0-169.6--0.172992000000027</f>
        <v>1297.075632</v>
      </c>
      <c r="G152" s="3">
        <f>1430+(388.5-382.1)+(-1.4586+(-0.39627--0.389742))+0-172.3--0.175746000000027</f>
        <v>1262.8106180000002</v>
      </c>
      <c r="H152" s="3">
        <f>1430.3+(348.4-370.7)+(-2.917812+(-0.710736--0.756228))+0-176.4--0.359855999999992</f>
        <v>1229.087536</v>
      </c>
      <c r="I152" s="3">
        <f>1437.8+(330.7-385.2)+(-0.733278+(-0.168657--0.196452))+0-173.2--0.0883319999999824</f>
        <v>1209.482849</v>
      </c>
      <c r="J152" s="3">
        <f>1441.9+(328.8-378.9)+(-2.206107+(-0.503064--0.579717))+0-173.8--0.26591400000001</f>
        <v>1216.1364600000004</v>
      </c>
      <c r="K152" s="3">
        <f>1454.9+(287-369.3)+(-1.483998+(-0.29274--0.376686))+0-177.6--0.181152000000028</f>
        <v>1193.7811000000004</v>
      </c>
      <c r="L152" s="3">
        <f>1458.5+(264.5-451.7)+(-5.95068+(-1.07916--1.842936))+0-174.9--0.713591999999985</f>
        <v>1091.926688</v>
      </c>
      <c r="M152" s="3">
        <f>1464+(273-461.4)+(0+(0-0))+0-178.7-0</f>
        <v>1096.8999999999999</v>
      </c>
      <c r="N152" s="3">
        <f>1442.9+(309.1-447.5)+(1.471758+(0.315282-0.45645))+0-179.2-0.182784000000029</f>
        <v>1126.4478059999999</v>
      </c>
      <c r="O152" s="3">
        <f>1414.4+(350-417.8)+(-1.442688+(-0.357--0.426156))+0-177.1--0.180642000000028</f>
        <v>1168.3071100000002</v>
      </c>
      <c r="P152" s="3">
        <f>1402.3+(391-384.4)+(0+(0-0))+0-180.5-0</f>
        <v>1228.4000000000001</v>
      </c>
      <c r="Q152" s="3">
        <f>1413.2+(384.9-313.2)+(0.720732+(0.196299-0.159732))+0-178.4-0.0909839999999819</f>
        <v>1307.1663150000002</v>
      </c>
      <c r="R152" s="3">
        <f>1404.5+(416-305.4)+(2.86518+(0.84864-0.623016))+0-174.6-0.356183999999992</f>
        <v>1343.2346199999999</v>
      </c>
      <c r="S152" s="3">
        <f>1399.8+(481.2-349.1)+(0+(0-0))+0-181.9-0</f>
        <v>1349.9999999999998</v>
      </c>
      <c r="T152" s="3">
        <f>1392.8+(510.4-364.1)+(-0.710328+(-0.260304--0.185691))+0-188.4--0.0960839999999809</f>
        <v>1350.0111429999999</v>
      </c>
      <c r="U152" s="3">
        <f>1387.2+(493.2-359.1)+(-0.707472+(-0.251532--0.183141))+0-177.2--0.090371999999982</f>
        <v>1343.4145089999997</v>
      </c>
      <c r="V152" s="3">
        <f>1384.2+(454.6-313.2)+(-2.823768+(-0.927384--0.638928))+0-182.3--0.371891999999992</f>
        <v>1340.5596680000001</v>
      </c>
      <c r="W152" s="3">
        <f>1375.4+(372.6-282.1)+(-1.402908+(-0.380052--0.287742))+0-183.9--0.187578000000029</f>
        <v>1280.69236</v>
      </c>
      <c r="X152" s="3">
        <f>1361.1+(468.6-462.1)+(-2.082483+(-0.716958--0.707013))+0-186.9--0.285957000000011</f>
        <v>1178.8935289999999</v>
      </c>
      <c r="Y152" s="3">
        <f>1371+(449.9-421.7)+(0.69921+(0.229449-0.215067))+0-180-0.0917999999999817</f>
        <v>1219.8217920000002</v>
      </c>
      <c r="Z152" s="3">
        <f>1415.4+(393.4-304.7)+(-1.443708+(-0.401268--0.310794))+0-182.1--0.185742000000029</f>
        <v>1320.6515600000002</v>
      </c>
      <c r="AA152" s="3">
        <f>1431.6+(425.5-323.3)+(-2.920464+(-0.86802--0.659532))+0-185.8--0.379031999999992</f>
        <v>1345.25008</v>
      </c>
      <c r="AB152" s="3">
        <f>1441.7+(416.4-342.5)+(0+(0-0))+0-170.2-0</f>
        <v>1345.3999999999999</v>
      </c>
      <c r="AC152" s="3">
        <f>1437.6+(398.7-344.5)+(0.733176+(0.203337-0.175695))+0-165-0.0841499999999833</f>
        <v>1327.476668</v>
      </c>
      <c r="AD152">
        <v>1343.9</v>
      </c>
      <c r="AE152" s="3">
        <f>1433+(427.4-321.2)+(0+(0-0))+0-183.3-0</f>
        <v>1355.9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1433.3+(384.8-356)+(2.192949+(0.588744-0.54468))+0-163.4-0.250002000000009</f>
        <v>1300.6870109999998</v>
      </c>
      <c r="G153" s="3">
        <f>1433.7+(362.5-368.2)+(-2.193561+(-0.554625--0.563346))+0-165.1--0.25260300000001</f>
        <v>1260.9677630000001</v>
      </c>
      <c r="H153" s="3">
        <f>1445.5+(330.2-376.1)+(-0.737205+(-0.168402--0.191811))+0-163.3--0.0832829999999834</f>
        <v>1235.6694869999999</v>
      </c>
      <c r="I153" s="3">
        <f>1442.8+(318.2-376.5)+(2.943312+(0.649128-0.76806))+0-164.4-0.335375999999993</f>
        <v>1222.5890039999999</v>
      </c>
      <c r="J153" s="3">
        <f>1456.3+(303.2-368.9)+(0+(0-0))+0-165.7-0</f>
        <v>1224.8999999999999</v>
      </c>
      <c r="K153" s="3">
        <f>1463.1+(288.3-394.2)+(-2.984724+(-0.588132--0.804168))+0-171.6--0.350063999999992</f>
        <v>1183.1813759999998</v>
      </c>
      <c r="L153" s="3">
        <f>1460.7+(308.8-465.3)+(-2.979828+(-0.629952--0.949212))+0-175.3--0.357611999999992</f>
        <v>1126.5970440000001</v>
      </c>
      <c r="M153" s="3">
        <f>1456.6+(330.7-475.1)+(-0.742866+(-0.168657--0.242301))+0-175.6--0.0895559999999822</f>
        <v>1136.0203339999998</v>
      </c>
      <c r="N153" s="3">
        <f>1443.5+(358.7-434)+(-1.47237+(-0.365874--0.44268))+0-178.6--0.182172000000028</f>
        <v>1188.3866080000003</v>
      </c>
      <c r="O153" s="3">
        <f>1428.5+(410.1-391.1)+(0.728535+(0.209151-0.199461))+0-184.7-0.0941969999999813</f>
        <v>1263.4440280000001</v>
      </c>
      <c r="P153" s="3">
        <f>1413+(419.8-322.5)+(1.44126+(0.428196-0.32895))+0-179.4-0.182988000000029</f>
        <v>1332.2575179999999</v>
      </c>
      <c r="Q153" s="3">
        <f>1421.7+(404.2-263.8)+(-0.725067+(-0.206142--0.134538))+0-178.4--0.0909839999999819</f>
        <v>1382.9943129999997</v>
      </c>
      <c r="R153" s="3">
        <f>1395.9+(464.3-251.3)+(0+(0-0))+0-177.9-0</f>
        <v>1431</v>
      </c>
      <c r="S153" s="3">
        <f>1370+(568.1-322.1)+(-2.0961+(-0.869193--0.492813))+0-181.1--0.27708300000001</f>
        <v>1432.7046030000001</v>
      </c>
      <c r="T153" s="3">
        <f>1366.6+(570.9-345.1)+(0.696966+(0.291159-0.176001))+0-183.8-0.0937379999999814</f>
        <v>1409.3183859999999</v>
      </c>
      <c r="U153" s="3">
        <f>1364.9+(572.7-351.4)+(1.392198+(0.584154-0.358428))+0-175.8-0.179316000000028</f>
        <v>1411.8386080000002</v>
      </c>
      <c r="V153" s="3">
        <f>1380+(474.1-286.7)+(-2.8152+(-0.967164--0.584868))+0-183.1--0.373523999999992</f>
        <v>1381.4760280000003</v>
      </c>
      <c r="W153" s="3">
        <f>1355.6+(390.1-245.2)+(-1.382712+(-0.397902--0.250104))+0-182.7--0.186354000000029</f>
        <v>1316.4558439999998</v>
      </c>
      <c r="X153" s="3">
        <f>1367.2+(462.9-414)+(-4.880904+(-1.652553--1.47798))+0-178.2--0.636174000000002</f>
        <v>1233.4806969999997</v>
      </c>
      <c r="Y153" s="3">
        <f>1398.5+(427.4-384.2)+(-0.713235+(-0.217974--0.195942))+0-170.4--0.0869039999999827</f>
        <v>1270.6516369999999</v>
      </c>
      <c r="Z153" s="3">
        <f>1443.1+(403.9-299.7)+(0+(0-0))+0-169.8-0</f>
        <v>1377.5</v>
      </c>
      <c r="AA153" s="3">
        <f>1454.3+(430.2-336.6)+(-2.966772+(-0.877608--0.686664))+0-175.7--0.358427999999992</f>
        <v>1369.4007119999999</v>
      </c>
      <c r="AB153" s="3">
        <f>1475.5+(423.8-366.5)+(0+(0-0))+0-178.1-0</f>
        <v>1354.7</v>
      </c>
      <c r="AC153" s="3">
        <f>1470.4+(420.6-370)+(-2.249712+(-0.643518--0.5661))+0-184.9--0.282897000000011</f>
        <v>1334.0557670000001</v>
      </c>
      <c r="AD153">
        <v>1383.8000000000002</v>
      </c>
      <c r="AE153" s="3">
        <f>1462+(429.8-322.4)+(0+(0-0))+0-173.6-0</f>
        <v>1395.8000000000002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1468.2+(390.8-378.6)+(2.246346+(0.597924-0.579258))+0-184.1-0.281673000000011</f>
        <v>1298.2833390000003</v>
      </c>
      <c r="G154" s="3">
        <f>1471+(347.8-388.6)+(0.75021+(0.177378-0.198186))+0-176.4-0.0899639999999821</f>
        <v>1254.4394379999999</v>
      </c>
      <c r="H154" s="3">
        <f>1472+(309.4-379.5)+(-2.25216+(-0.473382--0.580635))+0-179.7--0.27494100000001</f>
        <v>1220.3300339999998</v>
      </c>
      <c r="I154" s="3">
        <f>1473.4+(299-393.2)+(0.751434+(0.15249-0.200532))+0-179.6-0.0915959999999818</f>
        <v>1200.211796</v>
      </c>
      <c r="J154" s="3">
        <f>1485.1+(291.9-391.9)+(0+(0-0))+0-181.2-0</f>
        <v>1203.8999999999999</v>
      </c>
      <c r="K154" s="3">
        <f>1493+(286-436)+(-3.04572+(-0.58344--0.88944))+0-180.7--0.368627999999992</f>
        <v>1159.9289079999999</v>
      </c>
      <c r="L154" s="3">
        <f>1494+(307.3-511.7)+(-4.57164+(-0.940338--1.565802))+0-179.5--0.549270000000021</f>
        <v>1106.703094</v>
      </c>
      <c r="M154" s="3">
        <f>1481.5+(334.2-518.7)+(0.755565+(0.170442-0.264537))+0-183-0.0933299999999814</f>
        <v>1114.5681400000001</v>
      </c>
      <c r="N154" s="3">
        <f>1467.9+(310.2-408.9)+(0.748629+(0.158202-0.208539))+0-187.4-0.095573999999981</f>
        <v>1182.402718</v>
      </c>
      <c r="O154" s="3">
        <f>1446.1+(347.8-354.6)+(0.737511+(0.177378-0.180846))+0-187.5-0.095624999999981</f>
        <v>1252.438418</v>
      </c>
      <c r="P154" s="3">
        <f>1429.4+(367.2-293.6)+(2.915976+(0.749088-0.598944))+0-185.7-0.378827999999992</f>
        <v>1319.987292</v>
      </c>
      <c r="Q154" s="3">
        <f>1422.8+(437.8-292.1)+(0.725628+(0.223278-0.148971))+0-188.7-0.0962369999999809</f>
        <v>1380.503698</v>
      </c>
      <c r="R154" s="3">
        <f>1417.6+(546.6-360.1)+(1.445952+(0.557532-0.367302))+0-182.6-0.186252000000029</f>
        <v>1422.94993</v>
      </c>
      <c r="S154" s="3">
        <f>1414.8+(598.4-434.7)+(-1.443096+(-0.610368--0.443394))+0-166.5--0.169830000000027</f>
        <v>1410.5597600000001</v>
      </c>
      <c r="T154" s="3">
        <f>1413.8+(649.3-469.3)+(-1.442076+(-0.662286--0.478686))+0-177.9--0.181458000000028</f>
        <v>1414.4557819999998</v>
      </c>
      <c r="U154" s="3">
        <f>1408+(598.8-432.3)+(-2.87232+(-1.221552--0.881892))+0-188.4--0.384335999999992</f>
        <v>1383.2723559999999</v>
      </c>
      <c r="V154" s="3">
        <f>1395.1+(485-324.1)+(-2.846004+(-0.9894--0.661164))+0-188.5--0.384539999999992</f>
        <v>1364.7103</v>
      </c>
      <c r="W154" s="3">
        <f>1381.9+(344.6-232.5)+(-4.933383+(-1.230222--0.830025))+0-182.8--0.652596000000003</f>
        <v>1306.519016</v>
      </c>
      <c r="X154" s="3">
        <f>1375.9+(418.5-427.9)+(-4.210254+(-1.28061--1.309374))+0-179.3--0.548658000000021</f>
        <v>1183.567168</v>
      </c>
      <c r="Y154" s="3">
        <f>1380.4+(440.7-392.2)+(0.704004+(0.224757-0.200022))+0-178.3-0.0909329999999819</f>
        <v>1251.2378060000001</v>
      </c>
      <c r="Z154" s="3">
        <f>1428.7+(385.4-290.9)+(-0.728637+(-0.196554--0.148359))+0-177.2--0.090371999999982</f>
        <v>1345.3135399999999</v>
      </c>
      <c r="AA154" s="3">
        <f>1449.6+(402.2-318.1)+(-5.175072+(-1.435854--1.135617))+0-178.4--0.636888000000003</f>
        <v>1350.4615789999998</v>
      </c>
      <c r="AB154" s="3">
        <f>1463+(388.1-337.3)+(-3.73065+(-0.989655--0.860115))+0-178.8--0.455939999999974</f>
        <v>1331.59575</v>
      </c>
      <c r="AC154" s="3">
        <f>1454.4+(382.1-349.9)+(0.741744+(0.194871-0.178449))+0-178.3-0.0909329999999819</f>
        <v>1308.9672330000003</v>
      </c>
      <c r="AD154">
        <v>1349.6</v>
      </c>
      <c r="AE154" s="3">
        <f>1446+(395.5-302.2)+(0+(0-0))+0-176.7-0</f>
        <v>1362.6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1444.2+(380-359.8)+(-0.736542+(-0.1938--0.183498))+0-180.3--0.0919529999999817</f>
        <v>1283.445109</v>
      </c>
      <c r="G155" s="3">
        <f>1456.3+(358-369.1)+(-2.228139+(-0.54774--0.564723))+0-178.2--0.27264600000001</f>
        <v>1265.0614899999998</v>
      </c>
      <c r="H155" s="3">
        <f>1463.2+(367.3-412.9)+(-1.492464+(-0.374646--0.421158))+0-174.6--0.178092000000028</f>
        <v>1241.7321400000003</v>
      </c>
      <c r="I155" s="3">
        <f>1470.9+(387-460)+(2.250477+(0.59211-0.7038))+0-174.8-0.26744400000001</f>
        <v>1224.9713430000002</v>
      </c>
      <c r="J155" s="3">
        <f>1472.8+(371.5-442.2)+(0.751128+(0.189465-0.225522))+0-177-0.090269999999982</f>
        <v>1225.7248010000001</v>
      </c>
      <c r="K155" s="3">
        <f>1472.9+(315.1-434.8)+(-2.253537+(-0.482103--0.665244))+0-174.9--0.26759700000001</f>
        <v>1176.4972009999999</v>
      </c>
      <c r="L155" s="3">
        <f>1436.6+(264.7-402.4)+(-5.861328+(-1.079976--1.641792))+0-179.3--0.731543999999984</f>
        <v>1115.0320319999998</v>
      </c>
      <c r="M155" s="3">
        <f>1413.3+(257.6-387.2)+(0+(0-0))+0-179.1-0</f>
        <v>1104.6000000000001</v>
      </c>
      <c r="N155" s="3">
        <f>1403.4+(268.3-371.5)+(2.862936+(0.547332-0.75786))+0-179.2-0.365567999999992</f>
        <v>1123.28684</v>
      </c>
      <c r="O155" s="3">
        <f>1430.8+(276.6-362.7)+(2.918832+(0.564264-0.739908))+0-179.9-0.366995999999992</f>
        <v>1167.1761919999999</v>
      </c>
      <c r="P155" s="3">
        <f>1442.1+(318.9-347.1)+(0+(0-0))+0-178.1-0</f>
        <v>1235.8</v>
      </c>
      <c r="Q155" s="3">
        <f>1441.7+(359.5-325.3)+(0.735267+(0.183345-0.165903))+0-177.6-0.090575999999982</f>
        <v>1298.9621330000002</v>
      </c>
      <c r="R155" s="3">
        <f>1429.8+(416.7-335.8)+(0+(0-0))+0-175.1-0</f>
        <v>1335.6</v>
      </c>
      <c r="S155" s="3">
        <f>1422.6+(479.7-383.5)+(-2.176578+(-0.733941--0.586755))+0-170.2--0.26040600000001</f>
        <v>1346.536642</v>
      </c>
      <c r="T155" s="3">
        <f>1418.5+(606.1-494.6)+(0.723435+(0.309111-0.252246))+0-175.9-0.0897089999999822</f>
        <v>1354.7905909999997</v>
      </c>
      <c r="U155" s="3">
        <f>1413.5+(580.6-472)+(-1.44177+(-0.592212--0.48144))+0-167.5--0.170850000000027</f>
        <v>1353.218308</v>
      </c>
      <c r="V155" s="3">
        <f>1401.4+(478.2-390.3)+(0.714714+(0.243882-0.199053))+0-174.4-0.0889439999999823</f>
        <v>1315.5705989999999</v>
      </c>
      <c r="W155" s="3">
        <f>1388.6+(352.5-320.9)+(-2.832744+(-0.7191--0.654636))+0-171.9--0.350675999999992</f>
        <v>1245.7534679999997</v>
      </c>
      <c r="X155" s="3">
        <f>1385.3+(305-339.3)+(-0.706503+(-0.15555--0.173043))+0-185.6--0.0946559999999812</f>
        <v>1164.805646</v>
      </c>
      <c r="Y155" s="3">
        <f>1391.3+(347-309.9)+(-0.709563+(-0.17697--0.158049))+0-185--0.0943499999999812</f>
        <v>1242.7658660000002</v>
      </c>
      <c r="Z155" s="3">
        <f>1402.8+(443-322.9)+(-2.861712+(-0.90372--0.658716))+0-174.9--0.356795999999992</f>
        <v>1345.25008</v>
      </c>
      <c r="AA155" s="3">
        <f>1403.6+(478.9-354.8)+(-1.431672+(-0.488478--0.361896))+0-174--0.177480000000028</f>
        <v>1352.3192259999998</v>
      </c>
      <c r="AB155" s="3">
        <f>1389.4+(488.7-353.1)+(0+(0-0))+0-168.6-0</f>
        <v>1356.4</v>
      </c>
      <c r="AC155" s="3">
        <f>1393.1+(487.8-351.7)+(-2.841924+(-0.995112--0.717468))+0-173.5--0.353939999999992</f>
        <v>1352.9343719999997</v>
      </c>
      <c r="AD155">
        <v>1343.6</v>
      </c>
      <c r="AE155" s="3">
        <f>1430+(452.8-356.8)+(0+(0-0))+0-169.4-0</f>
        <v>1356.6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1395.7+(464.2-377)+(-2.847228+(-0.946968--0.76908))+0-183--0.373319999999992</f>
        <v>1297.248204</v>
      </c>
      <c r="G156" s="3">
        <f>1393.2+(419.3-374.5)+(-2.842128+(-0.855372--0.76398))+0-179.2--0.365567999999992</f>
        <v>1256.2320479999998</v>
      </c>
      <c r="H156" s="3">
        <f>1404.5+(365.9-369.4)+(-0.716295+(-0.186609--0.188394))+0-169.9--0.0866489999999828</f>
        <v>1230.472139</v>
      </c>
      <c r="I156" s="3">
        <f>1405.8+(341.9-370.6)+(1.433916+(0.348738-0.378012))+0-163.1-0.166362000000026</f>
        <v>1215.23828</v>
      </c>
      <c r="J156" s="3">
        <f>1409.2+(322.6-348.9)+(1.437384+(0.329052-0.355878))+0-165.9-0.169218000000026</f>
        <v>1218.24134</v>
      </c>
      <c r="K156" s="3">
        <f>1413.9+(303.4-367.8)+(-2.163267+(-0.464202--0.562734))+0-163.5--0.250155000000009</f>
        <v>1184.18542</v>
      </c>
      <c r="L156" s="3">
        <f>1419.9+(286.3-401.1)+(0+(0-0))+0-161.2-0</f>
        <v>1143.9000000000001</v>
      </c>
      <c r="M156" s="3">
        <f>1424.5+(253-369.6)+(0+(0-0))+0-161.5-0</f>
        <v>1146.4000000000001</v>
      </c>
      <c r="N156" s="3">
        <f>1326.8+(281.6-242.2)+(2.030004+(0.430848-0.370566))+0-156.5-0.239445000000009</f>
        <v>1211.5508410000002</v>
      </c>
      <c r="O156" s="3">
        <f>1302+(314.4-171.3)+(1.32804+(0.320688-0.174726))+0-149.8-0.152796000000024</f>
        <v>1296.6212059999998</v>
      </c>
      <c r="P156" s="3">
        <f>1398.8+(347.4-232.7)+(2.853552+(0.708696-0.474708))+0-154.7-0.315587999999993</f>
        <v>1361.571952</v>
      </c>
      <c r="Q156" s="3">
        <f>1414.3+(422.1-284.8)+(1.442586+(0.430542-0.290496))+0-152.4-0.155448000000024</f>
        <v>1400.6271839999999</v>
      </c>
      <c r="R156" s="3">
        <f>1414.3+(499-338.2)+(2.163879+(0.76347-0.517446))+0-157.2-0.240516000000009</f>
        <v>1420.0693869999998</v>
      </c>
      <c r="S156" s="3">
        <f>1407.6+(653-478.8)+(0+(0-0))+0-152.7-0</f>
        <v>1429.1</v>
      </c>
      <c r="T156" s="3">
        <f>1402.2+(680.1-517.5)+(0+(0-0))+0-154.7-0</f>
        <v>1410.1000000000001</v>
      </c>
      <c r="U156" s="3">
        <f>1388.7+(686.8-500.1)+(-4.249422+(-2.101608--1.530306))+0-154.4--0.472464000000018</f>
        <v>1416.65174</v>
      </c>
      <c r="V156" s="3">
        <f>1396.7+(573.3-426)+(-2.136951+(-0.877149--0.65178))+0-158.8--0.242964000000009</f>
        <v>1383.0806440000001</v>
      </c>
      <c r="W156" s="3">
        <f>1383.8+(407.2-322.6)+(-1.411476+(-0.415344--0.329052))+0-164.3--0.167586000000026</f>
        <v>1302.769818</v>
      </c>
      <c r="X156" s="3">
        <f>1369.6+(339.9-331)+(-2.095488+(-0.520047--0.50643))+0-154.7--0.236691000000009</f>
        <v>1221.927586</v>
      </c>
      <c r="Y156" s="3">
        <f>1375.5+(372-293.2)+(1.40301+(0.37944-0.299064))+0-161.6-0.164832000000026</f>
        <v>1294.0185540000002</v>
      </c>
      <c r="Z156" s="3">
        <f>1417.5+(480.6-354.9)+(-1.44585+(-0.490212--0.361998))+0-155.6--0.158712000000025</f>
        <v>1386.1846480000002</v>
      </c>
      <c r="AA156" s="3">
        <f>1427.2+(507.6-381.8)+(-2.183616+(-0.776628--0.584154))+0-157.9--0.241587000000009</f>
        <v>1392.9654969999999</v>
      </c>
      <c r="AB156" s="3">
        <f>1452.6+(494.8-409.6)+(-2.222478+(-0.757044--0.626688))+0-155.3--0.237609000000009</f>
        <v>1380.384775</v>
      </c>
      <c r="AC156" s="3">
        <f>1450.4+(488.8-414.1)+(-1.479408+(-0.498576--0.422382))+0-163--0.166260000000026</f>
        <v>1360.7106580000002</v>
      </c>
      <c r="AD156">
        <v>1385.5</v>
      </c>
      <c r="AE156" s="3">
        <f>1421+(488.5-358.8)+(0+(0-0))+0-152.2-0</f>
        <v>1398.5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1420.4+(476.9-415.9)+(-0.724404+(-0.243219--0.212109))+0-165.1--0.0842009999999832</f>
        <v>1315.6286870000001</v>
      </c>
      <c r="G157" s="3">
        <f>1429.3+(429.6-418.5)+(-2.186829+(-0.657288--0.640305))+0-156.7--0.239751000000009</f>
        <v>1281.7359390000001</v>
      </c>
      <c r="H157" s="3">
        <f>1438.9+(379.6-420.3)+(-1.467678+(-0.387192--0.428706))+0-153.9--0.156978000000025</f>
        <v>1243.030814</v>
      </c>
      <c r="I157" s="3">
        <f>1444.6+(368.9-416.2)+(-3.68373+(-0.940695--1.06131))+0-158.3--0.403664999999977</f>
        <v>1235.8405500000001</v>
      </c>
      <c r="J157" s="3">
        <f>1445.2+(377.2-416.2)+(0.737052+(0.192372-0.212262))+0-164.4-0.0838439999999833</f>
        <v>1242.4333179999999</v>
      </c>
      <c r="K157" s="3">
        <f>1450.7+(338.2-426.4)+(-3.699285+(-0.86241--1.08732))+0-164.7--0.419984999999976</f>
        <v>1194.7456099999999</v>
      </c>
      <c r="L157" s="3">
        <f>1463.7+(299.5-466.4)+(-2.239461+(-0.458235--0.713592))+0-164.6--0.25183800000001</f>
        <v>1130.4677340000003</v>
      </c>
      <c r="M157" s="3">
        <f>1450.4+(305.4-454.4)+(-1.479408+(-0.311508--0.463488))+0-167--0.170340000000027</f>
        <v>1133.2429120000002</v>
      </c>
      <c r="N157" s="3">
        <f>1441.1+(310.6-401.6)+(1.469922+(0.316812-0.409632))+0-163.2-0.166464000000026</f>
        <v>1188.1106379999997</v>
      </c>
      <c r="O157" s="3">
        <f>1427.8+(332.5-295.2)+(1.456356+(0.33915-0.301104))+0-162.6-0.165852000000026</f>
        <v>1303.82855</v>
      </c>
      <c r="P157" s="3">
        <f>1407.6+(401.3-286.4)+(0.717876+(0.204663-0.146064))+0-161.2-0.0822119999999836</f>
        <v>1361.9942629999998</v>
      </c>
      <c r="Q157" s="3">
        <f>1406.8+(486.8-321)+(-1.434936+(-0.496536--0.32742))+0-152--0.155040000000024</f>
        <v>1419.1509880000001</v>
      </c>
      <c r="R157" s="3">
        <f>1394.7+(589.9-390.8)+(-0.711297+(-0.300849--0.199308))+0-148--0.075479999999985</f>
        <v>1445.0626419999999</v>
      </c>
      <c r="S157" s="3">
        <f>1392.6+(642-440.6)+(-3.55113+(-1.6371--1.12353))+0-149.7--0.381734999999978</f>
        <v>1440.617035</v>
      </c>
      <c r="T157" s="3">
        <f>1386.8+(650-453.2)+(-3.53634+(-1.6575--1.15566))+0-147.1--0.375104999999979</f>
        <v>1432.8369250000001</v>
      </c>
      <c r="U157" s="3">
        <f>1370.1+(648.6-440.7)+(-2.096253+(-0.992358--0.674271))+0-146.9--0.224757000000009</f>
        <v>1428.9104169999998</v>
      </c>
      <c r="V157" s="3">
        <f>1365.6+(527.1-339.4)+(-2.089368+(-0.806463--0.519282))+0-152.2--0.232866000000009</f>
        <v>1398.9563169999999</v>
      </c>
      <c r="W157" s="3">
        <f>1361.3+(394.9-294.4)+(-1.388526+(-0.402798--0.300288))+0-149.4--0.152388000000024</f>
        <v>1311.0613519999999</v>
      </c>
      <c r="X157" s="3">
        <f>1343.6+(442.7-403.8)+(-3.42618+(-1.128885--1.02969))+0-148--0.377399999999979</f>
        <v>1231.3520250000001</v>
      </c>
      <c r="Y157" s="3">
        <f>1373.1+(436.6-362)+(-0.700281+(-0.222666--0.18462))+0-147.9--0.075428999999985</f>
        <v>1299.1371019999997</v>
      </c>
      <c r="Z157" s="3">
        <f>1421.6+(442.8-305.2)+(0+(0-0))+0-149.7-0</f>
        <v>1409.4999999999998</v>
      </c>
      <c r="AA157" s="3">
        <f>1433.5+(435.8-311.7)+(-2.92434+(-0.889032--0.635868))+0-153.3--0.312731999999993</f>
        <v>1401.4352280000001</v>
      </c>
      <c r="AB157" s="3">
        <f>1441.1+(444.2-338.8)+(0.734961+(0.226542-0.172788))+0-149.1-0.0760409999999849</f>
        <v>1398.112674</v>
      </c>
      <c r="AC157" s="3">
        <f>1436.7+(468.7-370.9)+(-2.930868+(-0.956148--0.756636))+0-150.6--0.307223999999993</f>
        <v>1381.0768439999999</v>
      </c>
      <c r="AD157">
        <v>1407.5</v>
      </c>
      <c r="AE157" s="3">
        <f>1426+(455-310.3)+(0+(0-0))+0-151.2-0</f>
        <v>1419.5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1403.2+(445-395)+(-0.715632+(-0.22695--0.20145))+0-150.7--0.0768569999999847</f>
        <v>1301.8357249999999</v>
      </c>
      <c r="G158" s="3">
        <f>1459.9+(393.8-396.1)+(0+(0-0))+0-146.9-0</f>
        <v>1310.7</v>
      </c>
      <c r="H158" s="3">
        <f>1457.9+(355.9-398.4)+(0+(0-0))+0-145.7-0</f>
        <v>1269.7</v>
      </c>
      <c r="I158" s="3">
        <f>1462.1+(369-431.9)+(2.237013+(0.56457-0.660807))+0-147.6-0.225828000000009</f>
        <v>1253.5149479999998</v>
      </c>
      <c r="J158" s="3">
        <f>1463.4+(353.5-411.7)+(-0.746334+(-0.180285--0.209967))+0-145.8--0.0743579999999852</f>
        <v>1258.7577060000001</v>
      </c>
      <c r="K158" s="3">
        <f>1426.7+(328.4-433)+(-3.638085+(-0.83742--1.10415))+0-143--0.364649999999979</f>
        <v>1176.0932949999999</v>
      </c>
      <c r="L158" s="3">
        <f>1459.5+(295.5-466.6)+(-2.97738+(-0.60282--0.951864))+0-137.4--0.280295999999994</f>
        <v>1148.6519599999999</v>
      </c>
      <c r="M158" s="3">
        <f>1448.4+(280.4-428)+(1.477368+(0.286008-0.43656))+0-144.4-0.147288000000023</f>
        <v>1157.579528</v>
      </c>
      <c r="N158" s="3">
        <f>1430+(302.8-365.7)+(0+(0-0))+0-145.7-0</f>
        <v>1221.3999999999999</v>
      </c>
      <c r="O158" s="3">
        <f>1397.1+(361.7-326.9)+(0.712521+(0.184467-0.166719))+0-142-0.0724199999999856</f>
        <v>1290.5578489999998</v>
      </c>
      <c r="P158" s="3">
        <f>1329.3+(411.1-251.1)+(2.711772+(0.838644-0.512244))+0-134-0.273359999999994</f>
        <v>1358.0648120000001</v>
      </c>
      <c r="Q158" s="3">
        <f>1332.2+(503.9-271.2)+(-3.39711+(-1.284945--0.69156))+0-144.7--0.368984999999979</f>
        <v>1416.5784900000001</v>
      </c>
      <c r="R158" s="3">
        <f>1326.6+(639.6-379.6)+(1.353132+(0.652392-0.387192))+0-147.3-0.150246000000024</f>
        <v>1440.768086</v>
      </c>
      <c r="S158" s="3">
        <f>1333.7+(724.1-482)+(-2.040561+(-1.107873--0.73746))+0-147--0.224910000000008</f>
        <v>1426.6139360000002</v>
      </c>
      <c r="T158" s="3">
        <f>1334.6+(775.1-517)+(0.680646+(0.395301-0.26367))+0-148.6-0.0757859999999849</f>
        <v>1444.836491</v>
      </c>
      <c r="U158" s="3">
        <f>1328.6+(731.5-488)+(0+(0-0))+0-147.6-0</f>
        <v>1424.5</v>
      </c>
      <c r="V158" s="3">
        <f>1325+(580.2-373.3)+(-3.37875+(-1.47951--0.951915))+0-146.7--0.374084999999979</f>
        <v>1381.6677399999999</v>
      </c>
      <c r="W158" s="3">
        <f>1327.4+(410.4-255.7)+(-2.030922+(-0.627912--0.391221))+0-148.7--0.227511000000009</f>
        <v>1331.3598980000002</v>
      </c>
      <c r="X158" s="3">
        <f>1309.1+(340.8-266.4)+(-2.002923+(-0.521424--0.407592))+0-148.9--0.227817000000009</f>
        <v>1232.7110619999999</v>
      </c>
      <c r="Y158" s="3">
        <f>1318.9+(407.4-289.8)+(1.345278+(0.415548-0.295596))+0-148.8-0.151776000000024</f>
        <v>1289.0134540000001</v>
      </c>
      <c r="Z158" s="3">
        <f>1369.5+(504.4-351.6)+(-4.889115+(-1.800708--1.255212))+0-151.5--0.540855000000002</f>
        <v>1365.906244</v>
      </c>
      <c r="AA158" s="3">
        <f>1384.9+(536.9-397.9)+(-2.118897+(-0.821457--0.608787))+0-157.4--0.240822000000009</f>
        <v>1364.409255</v>
      </c>
      <c r="AB158" s="3">
        <f>1367.3+(576.1-419.6)+(0.697323+(0.293811-0.213996))+0-156.4-0.0797639999999841</f>
        <v>1368.0973739999997</v>
      </c>
      <c r="AC158" s="3">
        <f>1362.1+(585.1-424.5)+(-3.473355+(-1.492005--1.082475))+0-158.3--0.403664999999977</f>
        <v>1360.9207799999999</v>
      </c>
      <c r="AD158">
        <v>1359.6999999999998</v>
      </c>
      <c r="AE158" s="3">
        <f>1390+(529.8-390.7)+(0+(0-0))+0-156.4-0</f>
        <v>1372.6999999999998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1357+(541.1-424.8)+(-3.46035+(-1.379805--1.08324))+0-151.1--0.385304999999978</f>
        <v>1318.8283900000001</v>
      </c>
      <c r="G159" s="3">
        <f>1357.9+(478.1-403.2)+(-3.462645+(-1.219155--1.02816))+0-157.6--0.401879999999977</f>
        <v>1271.9482400000002</v>
      </c>
      <c r="H159" s="3">
        <f>1360.1+(429.4-390.1)+(1.387302+(0.437988-0.397902))+0-157.5-0.160650000000025</f>
        <v>1243.1667379999999</v>
      </c>
      <c r="I159" s="3">
        <f>1367.4+(387.7-380.5)+(-2.092122+(-0.593181--0.582165))+0-158.5--0.242505000000009</f>
        <v>1214.2393670000001</v>
      </c>
      <c r="J159" s="3">
        <f>1370.9+(354.4-352.5)+(0+(0-0))+0-153.1-0</f>
        <v>1219.7000000000003</v>
      </c>
      <c r="K159" s="3">
        <f>1371.6+(329.4-353.3)+(-3.49758+(-0.83997--0.900915))+0-154.3--0.393464999999978</f>
        <v>1190.3568299999997</v>
      </c>
      <c r="L159" s="3">
        <f>1375.6+(314.7-387.9)+(-4.910892+(-1.123479--1.384803))+0-157.2--0.561204000000002</f>
        <v>1141.1116359999999</v>
      </c>
      <c r="M159" s="3">
        <f>1365+(317.7-402.6)+(0.69615+(0.162027-0.205326))+0-158.9-0.0810389999999839</f>
        <v>1121.771812</v>
      </c>
      <c r="N159" s="3">
        <f>1361.9+(280.4-343.9)+(0.694569+(0.143004-0.175389))+0-161.5-0.0823649999999836</f>
        <v>1137.4798190000001</v>
      </c>
      <c r="O159" s="3">
        <f>1354.2+(305.8-301.7)+(-1.381284+(-0.311916--0.307734))+0-159.3--0.162486000000025</f>
        <v>1197.7770200000002</v>
      </c>
      <c r="P159" s="3">
        <f>1337.8+(344.4-268.6)+(1.364556+(0.351288-0.273972))+0-152.7-0.155754000000024</f>
        <v>1262.1861179999999</v>
      </c>
      <c r="Q159" s="3">
        <f>1326.3+(406.2-252.8)+(2.705652+(0.828648-0.515712))+0-154.2-0.314567999999993</f>
        <v>1328.2040199999997</v>
      </c>
      <c r="R159" s="3">
        <f>1304.7+(494.6-281.7)+(-1.996191+(-0.756738--0.431001))+0-153.2--0.234396000000009</f>
        <v>1362.3124680000001</v>
      </c>
      <c r="S159" s="3">
        <f>1252.3+(648.8-366)+(-1.277346+(-0.661776--0.37332))+0-157.7--0.160854000000025</f>
        <v>1375.9950519999998</v>
      </c>
      <c r="T159" s="3">
        <f>1255.1+(725.5-424.1)+(0.640101+(0.370005-0.216291))+0-168.9-0.0861389999999829</f>
        <v>1388.3076759999999</v>
      </c>
      <c r="U159" s="3">
        <f>1374.9+(606-445.8)+(0+(0-0))+0-159.8-0</f>
        <v>1375.3000000000002</v>
      </c>
      <c r="V159" s="3">
        <f>1397+(487.5-378.8)+(0+(0-0))+0-163.5-0</f>
        <v>1342.2</v>
      </c>
      <c r="W159" s="3">
        <f>1402.7+(368.1-336.6)+(0+(0-0))+0-167.6-0</f>
        <v>1266.6000000000001</v>
      </c>
      <c r="X159" s="3">
        <f>1405.2+(347.3-399)+(-2.149956+(-0.531369--0.61047))+0-171.4--0.26224200000001</f>
        <v>1180.291387</v>
      </c>
      <c r="Y159" s="3">
        <f>1419.7+(343.5-326.4)+(2.172141+(0.525555-0.499392))+0-172.1-0.26331300000001</f>
        <v>1266.6349910000004</v>
      </c>
      <c r="Z159" s="3">
        <f>1448+(474.2-397.8)+(-1.47696+(-0.483684--0.405756))+0-165--0.168300000000026</f>
        <v>1358.0134120000002</v>
      </c>
      <c r="AA159" s="3">
        <f>1447.4+(503.5-423.1)+(-0.738174+(-0.256785--0.215781))+0-169.3--0.0863429999999828</f>
        <v>1357.8071650000002</v>
      </c>
      <c r="AB159" s="3">
        <f>1445.7+(541.4-439.5)+(-1.474614+(-0.552228--0.44829))+0-172.7--0.176154000000028</f>
        <v>1373.4976019999999</v>
      </c>
      <c r="AC159" s="3">
        <f>1430.6+(545.5-449.1)+(0.729606+(0.278205-0.229041))+0-168.1-0.0857309999999829</f>
        <v>1359.5930390000001</v>
      </c>
      <c r="AD159">
        <v>1375.5</v>
      </c>
      <c r="AE159" s="3">
        <f>1467+(485-398.5)+(0+(0-0))+0-164-0</f>
        <v>1389.5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1440.2+(506.6-457.8)+(-0.734502+(-0.258366--0.233478))+0-168.3--0.0858329999999829</f>
        <v>1320.0264430000002</v>
      </c>
      <c r="G160" s="3">
        <f>1443.5+(463.9-455)+(-4.41711+(-1.419534--1.3923))+0-168--0.514080000000019</f>
        <v>1280.469736</v>
      </c>
      <c r="H160" s="3">
        <f>1441.4+(412.1-435.4)+(-2.940456+(-0.840684--0.888216))+0-168--0.342719999999993</f>
        <v>1247.5497960000002</v>
      </c>
      <c r="I160" s="3">
        <f>1445.8+(374.8-425.4)+(0.737358+(0.191148-0.216954))+0-164.4-0.0838439999999833</f>
        <v>1231.4277079999999</v>
      </c>
      <c r="J160" s="3">
        <f>1467.3+(335.3-401.1)+(1.496646+(0.342006-0.409122))+0-166.7-0.170034000000027</f>
        <v>1236.0594960000001</v>
      </c>
      <c r="K160" s="3">
        <f>1474.8+(288.7-387.1)+(-0.752148+(-0.147237--0.197421))+0-169.3--0.0863429999999828</f>
        <v>1206.4843789999998</v>
      </c>
      <c r="L160" s="3">
        <f>1479.4+(271.3-416)+(-3.77247+(-0.691815--1.0608))+0-168.7--0.430184999999976</f>
        <v>1163.0266999999999</v>
      </c>
      <c r="M160" s="3">
        <f>1482+(258.6-406.5)+(-1.51164+(-0.263772--0.41463))+6-171--0.174420000000027</f>
        <v>1167.913638</v>
      </c>
      <c r="N160" s="3">
        <f>1471+(287.7-369)+(-1.50042+(-0.293454--0.37638))+0-175.8--0.179316000000028</f>
        <v>1212.661822</v>
      </c>
      <c r="O160" s="3">
        <f>1469.8+(311.5-321.2)+(1.499196+(0.31773-0.327624))+0-174.6-0.178092000000028</f>
        <v>1286.8112099999998</v>
      </c>
      <c r="P160" s="3">
        <f>1459.3+(378.3-310.6)+(0.744243+(0.192933-0.158406))+0-174.9-0.0891989999999823</f>
        <v>1352.7895709999998</v>
      </c>
      <c r="Q160" s="3">
        <f>1462.9+(461.7-342)+(1.492158+(0.470934-0.34884))+0-171.4-0.174828000000027</f>
        <v>1412.6394240000002</v>
      </c>
      <c r="R160" s="3">
        <f>1447.9+(598.1-393.7)+(-0.738429+(-0.305031--0.200787))+0-171.7--0.0875669999999826</f>
        <v>1479.8448940000001</v>
      </c>
      <c r="S160" s="3">
        <f>1433.2+(746.9-517.1)+(-2.192796+(-1.142757--0.791163))+0-174.5--0.26698500000001</f>
        <v>1486.222595</v>
      </c>
      <c r="T160" s="3">
        <f>1419.8+(770.7-547)+(-0.724098+(-0.393057--0.27897))+0-180.4--0.0920039999999817</f>
        <v>1462.3538189999999</v>
      </c>
      <c r="U160" s="3">
        <f>1416.2+(720.4-514)+(-1.444524+(-0.734808--0.52428))+1.7-174.8--0.178296000000028</f>
        <v>1448.023244</v>
      </c>
      <c r="V160" s="3">
        <f>1417.4+(541.1-399.8)+(-4.337244+(-1.655766--1.223388))+13.9-175.4--0.53672400000002</f>
        <v>1392.9671020000001</v>
      </c>
      <c r="W160" s="3">
        <f>1414.6+(392.8-311.3)+(-1.442892+(-0.400656--0.317526))+0-168.8--0.172176000000027</f>
        <v>1325.946154</v>
      </c>
      <c r="X160" s="3">
        <f>1426.9+(292.1-318.4)+(-2.183157+(-0.446913--0.487152))+0-166.7--0.25505100000001</f>
        <v>1232.0121330000002</v>
      </c>
      <c r="Y160" s="3">
        <f>1449.7+(312.1-318.7)+(0+(0-0))+0-159.8-0</f>
        <v>1283.3000000000002</v>
      </c>
      <c r="Z160" s="3">
        <f>1475.2+(387.1-376)+(-1.504704+(-0.394842--0.38352))+0-157.8--0.160956000000025</f>
        <v>1327.1449300000002</v>
      </c>
      <c r="AA160" s="3">
        <f>1489+(451.9-406.2)+(-3.79695+(-1.152345--1.03581))+0-169.7--0.432734999999975</f>
        <v>1361.5192499999998</v>
      </c>
      <c r="AB160" s="3">
        <f>1484.7+(496.5-427.5)+(-2.271591+(-0.759645--0.654075))+0-173--0.26469000000001</f>
        <v>1378.5875290000001</v>
      </c>
      <c r="AC160" s="3">
        <f>1458.6+(515.8-433)+(0.743886+(0.263058-0.22083))+0-173-0.0882299999999824</f>
        <v>1369.0978839999998</v>
      </c>
      <c r="AD160">
        <v>1310.4000000000001</v>
      </c>
      <c r="AE160" s="3">
        <f>1483+(408.5-411.3)+(0+(0-0))+0-157.8-0</f>
        <v>1322.4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1468+(475.2-473.8)+(-1.49736+(-0.484704--0.483276))+0-171.8--0.175236000000027</f>
        <v>1296.2764480000001</v>
      </c>
      <c r="G161" s="3">
        <f>1469.6+(428.5-469.6)+(-1.498992+(-0.43707--0.478992))+0-171.6--0.175032000000027</f>
        <v>1255.6179620000003</v>
      </c>
      <c r="H161" s="3">
        <f>1467.8+(378.7-454.3)+(-2.994312+(-0.772548--0.926772))+0-171.5--0.349859999999993</f>
        <v>1218.2097719999999</v>
      </c>
      <c r="I161" s="3">
        <f>1477+(364.4-457.4)+(0.75327+(0.185844-0.233274))+0-170.6-0.0870059999999827</f>
        <v>1214.0188340000002</v>
      </c>
      <c r="J161" s="3">
        <f>1489.1+(339.8-439.3)+(1.518882+(0.346596-0.448086))+0-167.1-0.170442000000027</f>
        <v>1223.74695</v>
      </c>
      <c r="K161" s="3">
        <f>1492+(332.7-457.7)+(-3.8046+(-0.848385--1.167135))+0-165.9--0.423044999999976</f>
        <v>1198.0371949999999</v>
      </c>
      <c r="L161" s="3">
        <f>1491.3+(325.3-499.2)+(-3.042252+(-0.663612--1.018368))+0-166.8--0.340271999999993</f>
        <v>1148.252776</v>
      </c>
      <c r="M161" s="3">
        <f>1489.3+(327.8-498.8)+(0.759543+(0.167178-0.254388))+0-168.9-0.0861389999999829</f>
        <v>1149.9861939999998</v>
      </c>
      <c r="N161" s="3">
        <f>1480.3+(314.9-413.3)+(0.754953+(0.160599-0.210783))+0-172.6-0.0880259999999825</f>
        <v>1209.916743</v>
      </c>
      <c r="O161" s="3">
        <f>1472+(309.1-347.7)+(-1.50144+(-0.315282--0.354654))+0-166.7--0.170034000000027</f>
        <v>1265.407966</v>
      </c>
      <c r="P161" s="3">
        <f>1455.3+(353.3-313.7)+(0.742203+(0.180183-0.159987))+0-166.7-0.0850169999999831</f>
        <v>1328.8773820000001</v>
      </c>
      <c r="Q161" s="3">
        <f>1440.5+(446.3-325.6)+(-0.734655+(-0.227613--0.166056))+0-168.6--0.0859859999999829</f>
        <v>1391.8897740000002</v>
      </c>
      <c r="R161" s="3">
        <f>1439+(569.7-409.5)+(0.73389+(0.290547-0.208845))+0-166.7-0.0850169999999831</f>
        <v>1433.230575</v>
      </c>
      <c r="S161" s="3">
        <f>1419.8+(676.8-496.8)+(-2.896392+(-1.380672--1.013472))+0-170.1--0.347003999999993</f>
        <v>1426.783412</v>
      </c>
      <c r="T161" s="3">
        <f>1417.2+(710.1-527.2)+(-2.168316+(-1.086453--0.806616))+0-166.8--0.25520400000001</f>
        <v>1431.107051</v>
      </c>
      <c r="U161" s="3">
        <f>1428.2+(588.7-490.3)+(-1.456764+(-0.600474--0.500106))+0-159.5--0.162690000000025</f>
        <v>1365.7055580000003</v>
      </c>
      <c r="V161" s="3">
        <f>1428.5+(418.5-390.2)+(-1.45707+(-0.42687--0.398004))+0-153.6--0.156672000000024</f>
        <v>1301.8707360000001</v>
      </c>
      <c r="W161" s="3">
        <f>1461.3+(295.4-358.2)+(-3.726315+(-0.75327--0.91341))+0-159.6--0.406979999999977</f>
        <v>1235.7408050000001</v>
      </c>
      <c r="X161" s="3">
        <f>1492.8+(334.9-476.9)+(-4.567968+(-1.024794--1.459314))+0-172.3--0.52723800000002</f>
        <v>1174.8937900000001</v>
      </c>
      <c r="Y161" s="3">
        <f>1490+(320.8-376.8)+(0+(0-0))+0-181.2-0</f>
        <v>1252.8</v>
      </c>
      <c r="Z161" s="3">
        <f>1502.6+(402.5-373.2)+(-3.065304+(-0.8211--0.761328))+0-181--0.369239999999992</f>
        <v>1348.1441639999998</v>
      </c>
      <c r="AA161" s="3">
        <f>1509.6+(401.2-373.7)+(-3.84948+(-1.02306--0.952935))+0-184.9--0.471494999999973</f>
        <v>1348.7518899999998</v>
      </c>
      <c r="AB161" s="3">
        <f>1513.9+(398.1-381.3)+(-3.088356+(-0.812124--0.777852))+0-182.2--0.371687999999992</f>
        <v>1345.7490599999999</v>
      </c>
      <c r="AC161" s="3">
        <f>1512.2+(392.2-400.3)+(-2.313666+(-0.600066--0.612459))+0-181.9--0.278307000000011</f>
        <v>1320.1770339999998</v>
      </c>
      <c r="AD161">
        <v>1357.2</v>
      </c>
      <c r="AE161" s="3">
        <f>1513+(406.9-370.9)+(0+(0-0))+0-180.8-0</f>
        <v>1368.2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1502.4+(382.8-429.9)+(-0.766224+(-0.195228--0.219249))+0-179--0.0912899999999818</f>
        <v>1275.6490870000002</v>
      </c>
      <c r="G162" s="3">
        <f>1501.6+(353.1-451.6)+(0+(0-0))+0-166.8-0</f>
        <v>1236.3</v>
      </c>
      <c r="H162" s="3">
        <f>1505.3+(328.8-452.9)+(0+(0-0))+0-170-0</f>
        <v>1211.2</v>
      </c>
      <c r="I162" s="3">
        <f>1510+(314.3-453.8)+(-2.3103+(-0.480879--0.694314))+0-173.7--0.26576100000001</f>
        <v>1194.9688960000001</v>
      </c>
      <c r="J162" s="3">
        <f>1511.6+(336.6-472.9)+(0.770916+(0.171666-0.241179))+0-173.7-0.0885869999999824</f>
        <v>1202.212816</v>
      </c>
      <c r="K162" s="3">
        <f>1517.5+(321.2-483.2)+(-0.773925+(-0.163812--0.246432))+0-177--0.090269999999982</f>
        <v>1177.8989649999999</v>
      </c>
      <c r="L162" s="3">
        <f>1519.1+(302.2-518.5)+(-3.098964+(-0.616488--1.05774))+0-176.5--0.360059999999992</f>
        <v>1124.002348</v>
      </c>
      <c r="M162" s="3">
        <f>1515.4+(300.2-508)+(-3.091416+(-0.612408--1.03632))+0-181.7--0.370667999999992</f>
        <v>1123.6031640000001</v>
      </c>
      <c r="N162" s="3">
        <f>1521.9+(323.6-494.7)+(1.552338+(0.330072-0.504594))+0-180.8-0.184416000000029</f>
        <v>1171.1934000000001</v>
      </c>
      <c r="O162" s="3">
        <f>1506.3+(356.8-456.5)+(0.768213+(0.181968-0.232815))+0-173.2-0.0883319999999824</f>
        <v>1234.0290339999999</v>
      </c>
      <c r="P162" s="3">
        <f>1474.2+(404.1-418.4)+(0+(0-0))+0-158.3-0</f>
        <v>1301.6000000000001</v>
      </c>
      <c r="Q162" s="3">
        <f>1455.8+(443.9-377.8)+(-0.742458+(-0.226389--0.192678))+0-148.6--0.0757859999999849</f>
        <v>1372.5996169999999</v>
      </c>
      <c r="R162" s="3">
        <f>1447.9+(508.5-395.3)+(-2.953716+(-1.03734--0.806412))+0-159.9--0.326195999999993</f>
        <v>1398.3415520000001</v>
      </c>
      <c r="S162" s="3">
        <f>1437.1+(444.7-422)+(-5.130447+(-1.587579--1.50654))+0-148--0.528360000000002</f>
        <v>1307.1168740000001</v>
      </c>
      <c r="T162" s="3">
        <f>1429+(369.7-457.4)+(-3.64395+(-0.942735--1.16637))+0-147.8--0.376889999999979</f>
        <v>1190.4565749999999</v>
      </c>
      <c r="U162" s="3">
        <f>1415.2+(258.6-472.7)+(-2.165256+(-0.395658--0.723231))+0-143.4--0.219402000000008</f>
        <v>1056.081719</v>
      </c>
      <c r="V162" s="3">
        <f>1398.5+(217.3-422.3)+(-2.139705+(-0.332469--0.646119))+0-146.6--0.224298000000008</f>
        <v>1045.2982430000002</v>
      </c>
      <c r="W162" s="3">
        <f>1474.2+(248.2-533.6)+(-2.255526+(-0.379746--0.816408))+0-155.6--0.238068000000009</f>
        <v>1031.6192040000001</v>
      </c>
      <c r="X162" s="3">
        <f>1488.1+(296.5-604.2)+(0.758931+(0.151215-0.308142))+0-169.7-0.0865469999999828</f>
        <v>1011.2154569999999</v>
      </c>
      <c r="Y162" s="3">
        <f>1509.6+(285.6-525.3)+(-1.539792+(-0.291312--0.535806))+0-172--0.175440000000027</f>
        <v>1096.7801420000001</v>
      </c>
      <c r="Z162" s="3">
        <f>1528.8+(304.6-476.6)+(-4.678128+(-0.932076--1.458396))+0-168--0.514080000000019</f>
        <v>1185.1622719999998</v>
      </c>
      <c r="AA162" s="3">
        <f>1541.7+(297.6-504.7)+(-3.145068+(-0.607104--1.029588))+0-153.6--0.313343999999993</f>
        <v>1178.59076</v>
      </c>
      <c r="AB162" s="3">
        <f>1536.9+(335.8-528.7)+(0.783819+(0.171258-0.269637))+0-156.2-0.0796619999999841</f>
        <v>1188.4057780000001</v>
      </c>
      <c r="AC162" s="3">
        <f>1496.8+(361.8-528.9)+(-1.526736+(-0.369036--0.539478))+0-162.3--0.165546000000026</f>
        <v>1166.2092520000001</v>
      </c>
      <c r="AD162">
        <v>1197.5999999999999</v>
      </c>
      <c r="AE162" s="3">
        <f>1556+(303.3-506.7)+(0+(0-0))+0-142-0</f>
        <v>1210.5999999999999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1515.6+(334-560.7)+(0+(0-0))+0-168.3-0</f>
        <v>1120.5999999999999</v>
      </c>
      <c r="G163" s="3">
        <f>1529.9+(295.8-577.2)+(0+(0-0))+0-169.2-0</f>
        <v>1079.3</v>
      </c>
      <c r="H163" s="3">
        <f>1536.3+(274.9-587.9)+(2.350539+(0.420597-0.899487))+0-173.2-0.26499600000001</f>
        <v>1051.7066529999997</v>
      </c>
      <c r="I163" s="3">
        <f>1546.3+(262.6-600.8)+(0+(0-0))+0-172.8-0</f>
        <v>1035.3</v>
      </c>
      <c r="J163" s="3">
        <f>1558.9+(264.6-612.7)+(0+(0-0))+0-174-0</f>
        <v>1036.8000000000002</v>
      </c>
      <c r="K163" s="3">
        <f>1566.2+(248.5-638.7)+(-5.591334+(-0.887145--2.280159))+0-172.9--0.617253000000002</f>
        <v>999.51893300000006</v>
      </c>
      <c r="L163" s="3">
        <f>1570.4+(220-677.4)+(-5.606328+(-0.7854--2.418318))+0-168--0.599760000000002</f>
        <v>941.62634999999989</v>
      </c>
      <c r="M163" s="3">
        <f>1549+(231.5-655.2)+(0+(0-0))+0-172.7-0</f>
        <v>952.59999999999991</v>
      </c>
      <c r="N163" s="3">
        <f>1552.1+(243-636.9)+(1.583142+(0.24786-0.649638))+0-177.9-0.181458000000028</f>
        <v>981.29990599999985</v>
      </c>
      <c r="O163" s="3">
        <f>1531.3+(258.7-598.6)+(1.561926+(0.263874-0.610572))+0-172.3-0.175746000000027</f>
        <v>1020.1394819999999</v>
      </c>
      <c r="P163" s="3">
        <f>1518.1+(263-549.3)+(0.774231+(0.13413-0.280143))+0-146.6-0.0747659999999851</f>
        <v>1085.7534520000002</v>
      </c>
      <c r="Q163" s="3">
        <f>1521+(284.7-501.1)+(0.77571+(0.145197-0.255561))+0-151.3-0.0771629999999847</f>
        <v>1153.888183</v>
      </c>
      <c r="R163" s="3">
        <f>1511.5+(340.8-490.2)+(-2.312595+(-0.521424--0.750006))+0-160.7--0.245871000000009</f>
        <v>1199.561858</v>
      </c>
      <c r="S163" s="3">
        <f>1503.9+(401.2-517.2)+(-3.067956+(-0.818448--1.055088))+0-172--0.350879999999992</f>
        <v>1213.419564</v>
      </c>
      <c r="T163" s="3">
        <f>1494.1+(430.4-528)+(-0.761991+(-0.219504--0.26928))+0-174.7--0.0890969999999823</f>
        <v>1221.176882</v>
      </c>
      <c r="U163" s="3">
        <f>1485.4+(414.3-512.5)+(0.757554+(0.211293-0.261375))+0-166.4-0.0848639999999831</f>
        <v>1221.4226080000001</v>
      </c>
      <c r="V163" s="3">
        <f>1476.9+(352.1-469.9)+(-2.259657+(-0.538713--0.718947))+0-185.6--0.283968000000011</f>
        <v>1171.7045450000003</v>
      </c>
      <c r="W163" s="3">
        <f>1478.1+(253.5-470.7)+(-4.522986+(-0.77571--1.440342))+0-184.7--0.565182000000021</f>
        <v>1072.9068279999999</v>
      </c>
      <c r="X163" s="3">
        <f>1486.4+(297-589.9)+(-4.548384+(-0.90882--1.805094))+0-180.8--0.553248000000021</f>
        <v>1009.6011380000001</v>
      </c>
      <c r="Y163" s="3">
        <f>1486.5+(296.2-490.7)+(-2.274345+(-0.453186--0.750771))+0-174.5--0.26698500000001</f>
        <v>1115.790225</v>
      </c>
      <c r="Z163" s="3">
        <f>1525.4+(301.2-445.3)+(-3.88977+(-0.76806--1.135515))+0-172.6--0.440129999999975</f>
        <v>1205.6178150000003</v>
      </c>
      <c r="AA163" s="3">
        <f>1539.3+(302.6-464.5)+(-6.280344+(-1.234608--1.89516))+0-169.3--0.690743999999985</f>
        <v>1203.1709520000002</v>
      </c>
      <c r="AB163" s="3">
        <f>1514.7+(326.1-480.6)+(0+(0-0))+0-177.3-0</f>
        <v>1182.9000000000001</v>
      </c>
      <c r="AC163" s="3">
        <f>1532.8+(338.3-523)+(0.781728+(0.172533-0.26673))+0-184.7-0.0941969999999813</f>
        <v>1163.993334</v>
      </c>
      <c r="AD163">
        <v>1216.9000000000001</v>
      </c>
      <c r="AE163" s="3">
        <f>1546+(304.4-457.5)+(0+(0-0))+0-163-0</f>
        <v>1229.9000000000001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1525.5+(340.5-550.2)+(0+(0-0))+0-181.7-0</f>
        <v>1134.0999999999999</v>
      </c>
      <c r="G164" s="3">
        <f>1541.6+(290.4-558.2)+(-0.786216+(-0.148104--0.284682))+0-184.4--0.0940439999999813</f>
        <v>1088.8444059999995</v>
      </c>
      <c r="H164" s="3">
        <f>1555.4+(265.2-582.2)+(-1.586508+(-0.270504--0.593844))+0-187.1--0.19084200000003</f>
        <v>1050.2276740000002</v>
      </c>
      <c r="I164" s="3">
        <f>1560.7+(248-597.9)+(0.795957+(0.12648-0.304929))+0-186.8-0.0952679999999811</f>
        <v>1024.5222400000002</v>
      </c>
      <c r="J164" s="3">
        <f>1565.1+(238.5-612.2)+(0+(0-0))+0-185.3-0</f>
        <v>1006.0999999999999</v>
      </c>
      <c r="K164" s="3">
        <f>1569.7+(232.2-631.8)+(0+(0-0))+0-182.1-0</f>
        <v>988.00000000000011</v>
      </c>
      <c r="L164" s="3">
        <f>1558.4+(275.8-732.4)+(-5.563488+(-0.984606--2.614668))+0-178.5--0.637245000000003</f>
        <v>920.00381900000014</v>
      </c>
      <c r="M164" s="3">
        <f>1508.8+(280.4-720.6)+(-2.308464+(-0.429012--1.102518))+0-186.1--0.284733000000011</f>
        <v>881.14977499999975</v>
      </c>
      <c r="N164" s="3">
        <f>1483.8+(297.5-698.7)+(2.270214+(0.455175-1.069011))+0-190.5-0.291465000000011</f>
        <v>893.4649129999998</v>
      </c>
      <c r="O164" s="3">
        <f>1430.6+(337.4-637.4)+(1.459212+(0.344148-0.650148))+0-193.3-0.197166000000031</f>
        <v>938.25604599999986</v>
      </c>
      <c r="P164" s="3">
        <f>1461.9+(349.1-632.4)+(-0.745569+(-0.178041--0.322524))+0-188.9--0.0963389999999808</f>
        <v>989.19525300000021</v>
      </c>
      <c r="Q164" s="3">
        <f>1456.5+(324.4-557.1)+(0+(0-0))+0-178.8-0</f>
        <v>1045</v>
      </c>
      <c r="R164" s="3">
        <f>1449+(311.2-477.1)+(-0.73899+(-0.158712--0.243321))+0-193.4--0.0986339999999804</f>
        <v>1089.1442529999997</v>
      </c>
      <c r="S164" s="3">
        <f>1446.3+(339.4-493.1)+(0+(0-0))+0-199.6-0</f>
        <v>1093</v>
      </c>
      <c r="T164" s="3">
        <f>1438.7+(366.8-496.7)+(-3.668685+(-0.93534--1.266585))+0-200.9--0.512294999999971</f>
        <v>1105.0748550000001</v>
      </c>
      <c r="U164" s="3">
        <f>1434.1+(350.5-483.9)+(-3.656955+(-0.893775--1.233945))+0-196--0.499799999999972</f>
        <v>1101.8830149999999</v>
      </c>
      <c r="V164" s="3">
        <f>1428.3+(305.3-470.1)+(0+(0-0))+0-198.7-0</f>
        <v>1064.8</v>
      </c>
      <c r="W164" s="3">
        <f>1420.5+(269.4-486.9)+(-4.34673+(-0.824364--1.489914))+0-199.2--0.609552000000023</f>
        <v>1000.7283719999999</v>
      </c>
      <c r="X164" s="3">
        <f>1419.7+(352.1-632.9)+(-2.172141+(-0.538713--0.968337))+0-195.4--0.298962000000011</f>
        <v>942.05644500000017</v>
      </c>
      <c r="Y164" s="3">
        <f>1432.9+(342.9-554.8)+(-0.730779+(-0.174879--0.282948))+0-187.4--0.095573999999981</f>
        <v>1033.0728639999998</v>
      </c>
      <c r="Z164" s="3">
        <f>1434.5+(321.9-433.4)+(-3.657975+(-0.820845--1.10517))+0-188.8--0.481439999999973</f>
        <v>1131.3077900000001</v>
      </c>
      <c r="AA164" s="3">
        <f>1445+(317.8-426.8)+(-3.68475+(-0.81039--1.08834))+0-196.4--0.500819999999972</f>
        <v>1136.6940199999999</v>
      </c>
      <c r="AB164" s="3">
        <f>1453.3+(316.7-446.8)+(-2.964732+(-0.646068--0.911472))+0-194--0.395759999999992</f>
        <v>1126.8964319999998</v>
      </c>
      <c r="AC164" s="3">
        <f>1468.2+(309.6-475)+(0+(0-0))+0-187.8-0</f>
        <v>1115.0000000000002</v>
      </c>
      <c r="AD164">
        <v>1160.5999999999999</v>
      </c>
      <c r="AE164" s="3">
        <f>1454+(322.8-423)+(0+(0-0))+0-181.2-0</f>
        <v>1172.5999999999999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1472.5+(321.4-521.4)+(-0.750975+(-0.163914--0.265914))+0-183.7--0.0936869999999814</f>
        <v>1088.2447119999999</v>
      </c>
      <c r="G165" s="3">
        <f>1485.5+(288.3-549.3)+(-2.272815+(-0.441099--0.840429))+0-178.5--0.27310500000001</f>
        <v>1044.3996199999999</v>
      </c>
      <c r="H165" s="3">
        <f>1500.7+(263.4-565.9)+(-0.765357+(-0.134334--0.288609))+0-184.1--0.0938909999999813</f>
        <v>1013.5828090000001</v>
      </c>
      <c r="I165" s="3">
        <f>1504.4+(252-580.2)+(-1.534488+(-0.25704--0.591804))+0-184.7--0.188394000000029</f>
        <v>990.48866999999996</v>
      </c>
      <c r="J165" s="3">
        <f>1511.2+(243.5-596.4)+(-0.770712+(-0.124185--0.304164))+0-184.7--0.0941969999999813</f>
        <v>973.10346400000014</v>
      </c>
      <c r="K165" s="3">
        <f>1510.6+(244.1-620.7)+(-3.081624+(-0.497964--1.266228))+0-185.9--0.379235999999992</f>
        <v>946.16587599999991</v>
      </c>
      <c r="L165" s="3">
        <f>1522.9+(232.3-735.1)+(-5.436753+(-0.829311--2.624307))+0-182.7--0.652239000000003</f>
        <v>834.41048200000023</v>
      </c>
      <c r="M165" s="3">
        <f>1518+(263.3-757.4)+(-1.54836+(-0.268566--0.772548))+0-187.1--0.19084200000003</f>
        <v>835.94646399999999</v>
      </c>
      <c r="N165" s="3">
        <f>1498.5+(295.6-730.6)+(0+(0-0))+0-190-0</f>
        <v>873.5</v>
      </c>
      <c r="O165" s="3">
        <f>1544+(315.9-758.2)+(0.78744+(0.161109-0.386682))+0-190.1-0.0969509999999807</f>
        <v>912.0649159999997</v>
      </c>
      <c r="P165" s="3">
        <f>1528.3+(345.2-731.3)+(-0.779433+(-0.176052--0.372963))+0-189.1--0.0964409999999808</f>
        <v>952.61391900000012</v>
      </c>
      <c r="Q165" s="3">
        <f>1512+(353.7-656.2)+(-2.31336+(-0.541161--1.003986))+0-187.7--0.287181000000011</f>
        <v>1020.236646</v>
      </c>
      <c r="R165" s="3">
        <f>1498.4+(328.8-525.3)+(-0.764184+(-0.167688--0.267903))+0-190.2--0.0970019999999807</f>
        <v>1111.1330330000001</v>
      </c>
      <c r="S165" s="3">
        <f>1470.2+(311.6-464.1)+(-1.499604+(-0.317832--0.473382))+0-199.5--0.203490000000032</f>
        <v>1117.0594360000002</v>
      </c>
      <c r="T165" s="3">
        <f>1457.2+(310.1-429.5)+(-0.743172+(-0.158151--0.219045))+0-201.2--0.10261199999998</f>
        <v>1136.020334</v>
      </c>
      <c r="U165" s="3">
        <f>1455+(302.1-429.3)+(-2.9682+(-0.616284--0.875772))+0-183.7--0.374747999999992</f>
        <v>1141.7660359999998</v>
      </c>
      <c r="V165" s="3">
        <f>1454.9+(288.9-447.8)+(2.225997+(0.442017-0.685134))+0-183-0.279990000000011</f>
        <v>1114.70289</v>
      </c>
      <c r="W165" s="3">
        <f>1455.1+(290.8-521.7)+(-2.968404+(-0.593232--1.064268))+0-181.9--0.371075999999992</f>
        <v>1040.1737079999996</v>
      </c>
      <c r="X165" s="3">
        <f>1462+(348.3-654.7)+(-1.49124+(-0.355266--0.667794))+0-183.1--0.186762000000029</f>
        <v>971.50805000000003</v>
      </c>
      <c r="Y165" s="3">
        <f>1483.6+(374.8-628.5)+(0+(0-0))+0-185.5-0</f>
        <v>1044.3999999999999</v>
      </c>
      <c r="Z165" s="3">
        <f>1515.5+(350.3-549.3)+(-2.318715+(-0.535959--0.840429))+0-185.8--0.284274000000011</f>
        <v>1128.9700290000001</v>
      </c>
      <c r="AA165" s="3">
        <f>1533.3+(318.8-518.8)+(-3.909915+(-0.81294--1.32294))+0-189.4--0.482969999999973</f>
        <v>1140.9830549999999</v>
      </c>
      <c r="AB165" s="3">
        <f>1523.1+(329-515.7)+(-2.330343+(-0.50337--0.789021))+0-188.1--0.287793000000011</f>
        <v>1146.543101</v>
      </c>
      <c r="AC165" s="3">
        <f>1508.8+(335.8-527.7)+(0.769488+(0.171258-0.269127))+0-192.2-0.0980219999999805</f>
        <v>1125.2735969999999</v>
      </c>
      <c r="AD165">
        <v>1138.5999999999999</v>
      </c>
      <c r="AE165" s="3">
        <f>1535+(320-526.7)+(0+(0-0))+0-177.7-0</f>
        <v>1150.5999999999999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1490.1+(310.7-533.4)+(1.519902+(0.316914-0.544068))+0-183.5-0.187170000000029</f>
        <v>1085.005578</v>
      </c>
      <c r="G166" s="3">
        <f>1492.7+(275.3-546.3)+(-2.283831+(-0.421209--0.835839))+0-179.7--0.27494100000001</f>
        <v>1040.4057399999999</v>
      </c>
      <c r="H166" s="3">
        <f>1493.2+(249.5-554.7)+(-1.523064+(-0.25449--0.565794))+0-180.3--0.183906000000029</f>
        <v>1006.6721460000001</v>
      </c>
      <c r="I166" s="3">
        <f>1503.7+(249.5-575.7)+(-3.834435+(-0.636225--1.468035))+0-187.2--0.477359999999973</f>
        <v>987.77473499999985</v>
      </c>
      <c r="J166" s="3">
        <f>1509.1+(238.2-586.4)+(-3.848205+(-0.60741--1.49532))+0-187.7--0.478634999999973</f>
        <v>970.71833999999967</v>
      </c>
      <c r="K166" s="3">
        <f>1517+(224.1-603.9)+(2.32101+(0.342873-0.923967))+0-189.3-0.289629000000011</f>
        <v>949.35028700000009</v>
      </c>
      <c r="L166" s="3">
        <f>1491.2+(210.3-664.9)+(-4.563072+(-0.643518--2.034594))+0-226.3--0.692478000000026</f>
        <v>807.8204820000002</v>
      </c>
      <c r="M166" s="3">
        <f>1513.6+(204-681.9)+(0.771936+(0.10404-0.347769))+0-223.9-0.114188999999977</f>
        <v>812.2140179999999</v>
      </c>
      <c r="N166" s="3">
        <f>1502.9+(208.6-659)+(2.299437+(0.319158-1.00827))+0-216.6-0.331398000000013</f>
        <v>837.17892700000004</v>
      </c>
      <c r="O166" s="3">
        <f>1494.4+(236.6-643.5)+(0+(0-0))+0-203.3-0</f>
        <v>884.2</v>
      </c>
      <c r="P166" s="3">
        <f>1473.2+(257.9-598.7)+(2.253996+(0.394587-0.916011))+0-204-0.312120000000012</f>
        <v>929.82045199999993</v>
      </c>
      <c r="Q166" s="3">
        <f>1497+(274.7-580.6)+(1.52694+(0.280194-0.592212))+0-202.6-0.206652000000032</f>
        <v>989.5082699999997</v>
      </c>
      <c r="R166" s="3">
        <f>1489+(312.6-565.8)+(-3.03756+(-0.637704--1.154232))+0-140.9--0.287435999999994</f>
        <v>1092.6664040000001</v>
      </c>
      <c r="S166" s="3">
        <f>1481.4+(302.1-484.7)+(0+(0-0))+0-162.3-0</f>
        <v>1136.5000000000002</v>
      </c>
      <c r="T166" s="3">
        <f>1475.1+(290.3-445.2)+(0.752301+(0.148053-0.227052))+0-168.6-0.0859859999999829</f>
        <v>1152.1873159999998</v>
      </c>
      <c r="U166" s="3">
        <f>1476.8+(286-431.4)+(-2.259504+(-0.43758--0.660042))+0-180.8--0.27662400000001</f>
        <v>1148.8395820000003</v>
      </c>
      <c r="V166" s="3">
        <f>1470.7+(273.9-431.5)+(-3.000228+(-0.558756--0.88026))+0-186.6--0.380663999999992</f>
        <v>1124.2019399999999</v>
      </c>
      <c r="W166" s="3">
        <f>1452.2+(327.2-524.8)+(-2.221866+(-0.500616--0.802944))+0-189.5--0.289935000000011</f>
        <v>1063.470397</v>
      </c>
      <c r="X166" s="3">
        <f>1453.6+(392.1-657.6)+(-3.70668+(-0.999855--1.67688))+0-188.7--0.481184999999973</f>
        <v>996.8515299999998</v>
      </c>
      <c r="Y166" s="3">
        <f>1461.5+(403-622.7)+(0+(0-0))+0-187.9-0</f>
        <v>1053.8999999999999</v>
      </c>
      <c r="Z166" s="3">
        <f>1497.7+(339.3-498.9)+(-2.291481+(-0.519129--0.763317))+0-190.9--0.292077000000011</f>
        <v>1145.444784</v>
      </c>
      <c r="AA166" s="3">
        <f>1515.2+(304.4-468.8)+(-2.318256+(-0.465732--0.717264))+0-192--0.293760000000011</f>
        <v>1157.027036</v>
      </c>
      <c r="AB166" s="3">
        <f>1517.5+(296.9-467.1)+(-1.54785+(-0.302838--0.476442))+0-188.2--0.19196400000003</f>
        <v>1157.9177179999999</v>
      </c>
      <c r="AC166" s="3">
        <f>1516.7+(285.7-486)+(-3.867585+(-0.728535--1.2393))+0-186.3--0.475064999999973</f>
        <v>1127.2182450000003</v>
      </c>
      <c r="AD166">
        <v>1175.6999999999998</v>
      </c>
      <c r="AE166" s="3">
        <f>1520+(307.8-460.6)+(0+(0-0))+0-179.5-0</f>
        <v>1187.7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1512.5+(270.3-500.3)+(-3.0855+(-0.551412--1.020612))+0-182.5--0.372299999999992</f>
        <v>1097.7560000000001</v>
      </c>
      <c r="G167" s="3">
        <f>1524.3+(275.8-561.1)+(-3.886965+(-0.70329--1.430805))+0-183.8--0.468689999999973</f>
        <v>1052.5092399999999</v>
      </c>
      <c r="H167" s="3">
        <f>1577.7+(255.1-574.5)+(-3.218508+(-0.520404--1.17198))+0-183.3--0.373931999999992</f>
        <v>1072.8070000000002</v>
      </c>
      <c r="I167" s="3">
        <f>1577.7+(266.9-609.7)+(-0.804627+(-0.136119--0.310947))+0-184.6--0.0941459999999813</f>
        <v>1049.764347</v>
      </c>
      <c r="J167" s="3">
        <f>1534.8+(232.7-593.9)+(0+(0-0))+0-191.3-0</f>
        <v>982.3</v>
      </c>
      <c r="K167" s="3">
        <f>1544.2+(212.1-586.6)+(2.362626+(0.324513-0.897498))+0-190.5-0.291465000000011</f>
        <v>980.6981760000001</v>
      </c>
      <c r="L167" s="3">
        <f>1595.6+(218.4-639.8)+(-4.882536+(-0.668304--1.957788))+0-189.5--0.579870000000022</f>
        <v>981.6868179999999</v>
      </c>
      <c r="M167" s="3">
        <f>1594.4+(284.2-678.2)+(1.626288+(0.289884-0.691764))+0-195.5-0.199410000000031</f>
        <v>1005.9249980000001</v>
      </c>
      <c r="N167" s="3">
        <f>1528.5+(325.7-652.7)+(2.338605+(0.498321-0.998631))+0-199.7-0.305541000000012</f>
        <v>1003.3327539999999</v>
      </c>
      <c r="O167" s="3">
        <f>1557.3+(360.9-621.8)+(0.794223+(0.184059-0.317118))+0-189.8-0.0967979999999807</f>
        <v>1107.1643660000002</v>
      </c>
      <c r="P167" s="3">
        <f>1550.2+(380.4-568.4)+(0.790602+(0.194004-0.289884))+0-175.2-0.0893519999999822</f>
        <v>1187.60537</v>
      </c>
      <c r="Q167" s="3">
        <f>1507+(333.9-454.7)+(0+(0-0))+0-177-0</f>
        <v>1209.2</v>
      </c>
      <c r="R167" s="3">
        <f>1481.5+(338.8-402.2)+(0+(0-0))+0-171.8-0</f>
        <v>1246.3</v>
      </c>
      <c r="S167" s="3">
        <f>1475+(416.9-454.4)+(-2.25675+(-0.637857--0.695232))+0-170.2--0.26040600000001</f>
        <v>1265.3610310000001</v>
      </c>
      <c r="T167" s="3">
        <f>1476.3+(431.8-488.4)+(0.752913+(0.220218-0.249084))+0-166.7-0.0850169999999831</f>
        <v>1253.63903</v>
      </c>
      <c r="U167" s="3">
        <f>1472.1+(425.5-474.2)+(-2.252313+(-0.651015--0.725526))+0-166.1--0.25413300000001</f>
        <v>1255.3763309999999</v>
      </c>
      <c r="V167" s="3">
        <f>1459.5+(363.5-419.6)+(-2.97738+(-0.74154--0.855984))+0-165--0.336599999999993</f>
        <v>1235.8736640000002</v>
      </c>
      <c r="W167" s="3">
        <f>1451.2+(306-410.3)+(-3.70056+(-0.7803--1.046265))+0-170.4--0.434519999999975</f>
        <v>1173.4999250000001</v>
      </c>
      <c r="X167" s="3">
        <f>1443.9+(408.7-587.5)+(-5.154723+(-1.459059--2.097375))+0-172.7--0.616539000000002</f>
        <v>1088.5001320000001</v>
      </c>
      <c r="Y167" s="3">
        <f>1471.5+(400.4-540.1)+(-1.50093+(-0.408408--0.550902))+0-173.8--0.177276000000028</f>
        <v>1156.8188400000001</v>
      </c>
      <c r="Z167" s="3">
        <f>1504.3+(325.2-410.8)+(-0.767193+(-0.165852--0.209508))+0-173.2--0.0883319999999824</f>
        <v>1244.8647949999997</v>
      </c>
      <c r="AA167" s="3">
        <f>1515.5+(335.1-424)+(-5.410335+(-1.196307--1.51368))+0-175.5--0.626535000000003</f>
        <v>1246.6335730000001</v>
      </c>
      <c r="AB167" s="3">
        <f>1522.3+(334.9-454.5)+(-1.552746+(-0.341598--0.46359))+0-173--0.176460000000028</f>
        <v>1228.445706</v>
      </c>
      <c r="AC167" s="3">
        <f>1494.2+(356.8-470.2)+(-1.524084+(-0.363936--0.479604))+0-172--0.175440000000027</f>
        <v>1207.5670240000002</v>
      </c>
      <c r="AD167">
        <v>1257.7</v>
      </c>
      <c r="AE167" s="3">
        <f>1525+(328.3-409.5)+(0+(0-0))+0-172.1-0</f>
        <v>1271.7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1484.7+(371-510.5)+(-1.514394+(-0.37842--0.52071))+0-171.7--0.175134000000027</f>
        <v>1172.30303</v>
      </c>
      <c r="G168" s="3">
        <f>1478.2+(334.6-515.6)+(0+(0-0))+0-170.7-0</f>
        <v>1126.5</v>
      </c>
      <c r="H168" s="3">
        <f>1479.3+(282.7-495.1)+(-0.754443+(-0.144177--0.252501))+0-169.1--0.0862409999999828</f>
        <v>1097.2401219999999</v>
      </c>
      <c r="I168" s="3">
        <f>1466.1+(267.7-487.3)+(-2.243133+(-0.409581--0.745569))+0-169.9--0.25994700000001</f>
        <v>1074.952802</v>
      </c>
      <c r="J168" s="3">
        <f>1480.9+(257.4-511.3)+(-1.510518+(-0.262548--0.521526))+0-169.8--0.173196000000027</f>
        <v>1056.121656</v>
      </c>
      <c r="K168" s="3">
        <f>1490.3+(246.7-519.7)+(-1.520106+(-0.251634--0.530094))+0-169.9--0.173298000000027</f>
        <v>1046.3316519999998</v>
      </c>
      <c r="L168" s="3">
        <f>1497.3+(247.3-595.1)+(-3.054492+(-0.504492--1.214004))+0-168.8--0.344351999999993</f>
        <v>978.69937199999993</v>
      </c>
      <c r="M168" s="3">
        <f>1524.4+(316.5-669.2)+(1.554888+(0.32283-0.682584))+0-175-0.178500000000028</f>
        <v>997.71663400000011</v>
      </c>
      <c r="N168" s="3">
        <f>1520.3+(367.7-671.6)+(1.550706+(0.375054-0.685032))+0-172.7-0.176154000000028</f>
        <v>1044.7645739999998</v>
      </c>
      <c r="O168" s="3">
        <f>1508.2+(371.5-613)+(0+(0-0))+0-168-0</f>
        <v>1098.7</v>
      </c>
      <c r="P168" s="3">
        <f>1488.8+(385.5-567)+(-1.518576+(-0.39321--0.57834))+0-148.4--0.151368000000024</f>
        <v>1157.7179219999998</v>
      </c>
      <c r="Q168" s="3">
        <f>1476.1+(313-412.1)+(0.752811+(0.15963-0.210171))+0-146-0.0744599999999852</f>
        <v>1231.62781</v>
      </c>
      <c r="R168" s="3">
        <f>1475.1+(348.3-395.6)+(-0.752301+(-0.177633--0.201756))+0-154.7--0.0788969999999843</f>
        <v>1272.4507189999999</v>
      </c>
      <c r="S168" s="3">
        <f>1468+(412.1-440.1)+(-1.49736+(-0.420342--0.448902))+0-153.3--0.156366000000024</f>
        <v>1285.3875659999999</v>
      </c>
      <c r="T168" s="3">
        <f>1462.3+(444.2-453.1)+(0.745773+(0.226542-0.231081))+0-162.6-0.0829259999999835</f>
        <v>1291.458308</v>
      </c>
      <c r="U168" s="3">
        <f>1458.6+(436.6-449.6)+(-1.487772+(-0.445332--0.458592))+0-161.6--0.164832000000026</f>
        <v>1282.6903199999999</v>
      </c>
      <c r="V168" s="3">
        <f>1446.1+(389.4-414.7)+(-0.737511+(-0.198594--0.211497))+0-165.9--0.0846089999999832</f>
        <v>1254.2600009999999</v>
      </c>
      <c r="W168" s="3">
        <f>1430.5+(317-396)+(-2.188665+(-0.48501--0.60588))+0-166.6--0.25489800000001</f>
        <v>1183.0871030000001</v>
      </c>
      <c r="X168" s="3">
        <f>1434.6+(433.7-605.3)+(-2.194938+(-0.663561--0.926109))+0-170.3--0.26055900000001</f>
        <v>1091.0281690000002</v>
      </c>
      <c r="Y168" s="3">
        <f>1448.1+(399.3-515.1)+(-1.477062+(-0.407286--0.525402))+0-174.8--0.178296000000028</f>
        <v>1156.31935</v>
      </c>
      <c r="Z168" s="3">
        <f>1496.5+(346-412.8)+(-0.763215+(-0.17646--0.210528))+0-181.9--0.0927689999999815</f>
        <v>1247.163622</v>
      </c>
      <c r="AA168" s="3">
        <f>1509.2+(333.9-407.6)+(-3.078768+(-0.681156--0.831504))+0-188.4--0.384335999999992</f>
        <v>1244.555916</v>
      </c>
      <c r="AB168" s="3">
        <f>1499.4+(350.9-435.4)+(-4.588164+(-1.073754--1.332324))+0-186.5--0.570690000000022</f>
        <v>1224.6410960000001</v>
      </c>
      <c r="AC168" s="3">
        <f>1519.1+(334.3-465.9)+(-0.774741+(-0.170493--0.237609))+0-184.7--0.0941969999999813</f>
        <v>1202.1865719999998</v>
      </c>
      <c r="AD168">
        <v>1255.7</v>
      </c>
      <c r="AE168" s="3">
        <f>1522+(336-402.1)+(0+(0-0))+0-188.2-0</f>
        <v>1267.7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1528.9+(310.4-495)+(-0.779739+(-0.158304--0.25245))+0-185.1--0.0944009999999812</f>
        <v>1158.6088080000004</v>
      </c>
      <c r="G169" s="3">
        <f>1538.1+(263.8-496.2)+(-2.353293+(-0.403614--0.759186))+0-182.9--0.279837000000011</f>
        <v>1121.0821159999998</v>
      </c>
      <c r="H169" s="3">
        <f>1546.8+(252.7-535.3)+(-0.788868+(-0.128877--0.273003))+0-173.1--0.0882809999999824</f>
        <v>1090.5435390000002</v>
      </c>
      <c r="I169" s="3">
        <f>1552+(254.5-564)+(-1.58304+(-0.25959--0.57528))+0-172.8--0.176256000000028</f>
        <v>1068.6089059999999</v>
      </c>
      <c r="J169" s="3">
        <f>1552.9+(256.9-582.2)+(2.375937+(0.393057-0.890766))+0-172.8-0.26438400000001</f>
        <v>1056.4138439999999</v>
      </c>
      <c r="K169" s="3">
        <f>1554.4+(247.6-581)+(0+(0-0))+0-173.7-0</f>
        <v>1047.3</v>
      </c>
      <c r="L169" s="3">
        <f>1557.6+(269.1-668.5)+(-4.766256+(-0.823446--2.04561))+0-171.6--0.52509600000002</f>
        <v>983.58100399999978</v>
      </c>
      <c r="M169" s="3">
        <f>1563+(321.2-712.8)+(0.79713+(0.163812-0.363528))+0-176.3-0.0899129999999821</f>
        <v>995.60750100000018</v>
      </c>
      <c r="N169" s="3">
        <f>1558.1+(324-651.9)+(-0.794631+(-0.16524--0.332469))+0-177.9--0.0907289999999819</f>
        <v>1051.7633269999997</v>
      </c>
      <c r="O169" s="3">
        <f>1535.7+(359.6-613.5)+(0.783207+(0.183396-0.312885))+0-184.8-0.0942479999999813</f>
        <v>1097.5594700000004</v>
      </c>
      <c r="P169" s="3">
        <f>1506.7+(359.5-536.3)+(0.768417+(0.183345-0.273513))+0-183-0.0933299999999814</f>
        <v>1147.4849190000002</v>
      </c>
      <c r="Q169" s="3">
        <f>1484.3+(339.3-408.7)+(2.270979+(0.519129-0.625311))+0-183.2-0.280296000000011</f>
        <v>1233.584501</v>
      </c>
      <c r="R169" s="3">
        <f>1471.8+(404.5-419.2)+(-2.251854+(-0.618885--0.641376))+0-185.9--0.284427000000011</f>
        <v>1269.2550639999999</v>
      </c>
      <c r="S169" s="3">
        <f>1459.2+(463-453.8)+(0+(0-0))+0-183.6-0</f>
        <v>1284.8000000000002</v>
      </c>
      <c r="T169" s="3">
        <f>1454.7+(482.7-468.9)+(-0.741897+(-0.246177--0.239139))+0-184.1--0.0938909999999813</f>
        <v>1283.744956</v>
      </c>
      <c r="U169" s="3">
        <f>1447.9+(471-461.6)+(1.476858+(0.48042-0.470832))+0-177.4-0.180948000000028</f>
        <v>1281.205498</v>
      </c>
      <c r="V169" s="3">
        <f>1445.8+(424.1-426.2)+(0+(0-0))+0-182.6-0</f>
        <v>1261.1000000000001</v>
      </c>
      <c r="W169" s="3">
        <f>1440.5+(309.9-374.8)+(-2.93862+(-0.632196--0.764592))+0-183.7--0.374747999999992</f>
        <v>1189.4685239999999</v>
      </c>
      <c r="X169" s="3">
        <f>1459+(394.4-584.2)+(-2.23227+(-0.603432--0.893826))+0-174.4--0.26683200000001</f>
        <v>1093.1249559999997</v>
      </c>
      <c r="Y169" s="3">
        <f>1483.5+(403-544.5)+(0.756585+(0.20553-0.277695))+0-178.7-0.0911369999999819</f>
        <v>1163.8932830000001</v>
      </c>
      <c r="Z169" s="3">
        <f>1529.8+(335.4-428.7)+(-1.560396+(-0.342108--0.437274))+0-178.8--0.182376000000029</f>
        <v>1256.417146</v>
      </c>
      <c r="AA169" s="3">
        <f>1528.5+(326.4-419.4)+(-3.897675+(-0.83232--1.06947))+0-180--0.458999999999974</f>
        <v>1252.2984750000001</v>
      </c>
      <c r="AB169" s="3">
        <f>1504.4+(332.3-414.7)+(-2.301732+(-0.508419--0.634491))+0-176.7--0.27035100000001</f>
        <v>1243.394691</v>
      </c>
      <c r="AC169" s="3">
        <f>1534.4+(314.4-451.8)+(-1.565088+(-0.320688--0.460836))+0-183.7--0.187374000000029</f>
        <v>1212.0624339999999</v>
      </c>
      <c r="AD169">
        <v>1270.2000000000003</v>
      </c>
      <c r="AE169" s="3">
        <f>1550+(330.2-420.4)+(0+(0-0))+0-177.6-0</f>
        <v>1282.2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1535.8+(288.8-456.7)+(-2.349774+(-0.441864--0.698751))+0-186.6--0.285498000000011</f>
        <v>1179.4926110000001</v>
      </c>
      <c r="G170" s="3">
        <f>1551.3+(265.7-494.2)+(-2.373489+(-0.406521--0.756126))+0-185.1--0.283203000000011</f>
        <v>1135.9593190000001</v>
      </c>
      <c r="H170" s="3">
        <f>1558.6+(250.5-524.6)+(-1.589772+(-0.25551--0.535092))+0-184.8--0.188496000000029</f>
        <v>1098.5783060000001</v>
      </c>
      <c r="I170" s="3">
        <f>1562+(249.8-550.6)+(-2.38986+(-0.382194--0.842418))+0-181.8--0.278154000000011</f>
        <v>1077.7485180000001</v>
      </c>
      <c r="J170" s="3">
        <f>1562.2+(242.1-565.1)+(0.796722+(0.123471-0.288201))+0-176.8-0.0901679999999821</f>
        <v>1062.9418240000002</v>
      </c>
      <c r="K170" s="3">
        <f>1568.3+(232.2-576.8)+(1.599666+(0.236844-0.588336))+0-178.1-0.181662000000028</f>
        <v>1046.6665120000002</v>
      </c>
      <c r="L170" s="3">
        <f>1575+(250.7-668)+(-0.80325+(-0.127857--0.34068))+0-173.8--0.0886379999999824</f>
        <v>983.39821099999995</v>
      </c>
      <c r="M170" s="3">
        <f>1566.1+(340-737.3)+(-1.597422+(-0.3468--0.752046))+0-179.1--0.182682000000029</f>
        <v>988.69050599999991</v>
      </c>
      <c r="N170" s="3">
        <f>1531.6+(378.6-703.8)+(-1.562232+(-0.386172--0.717876))+0-178.1--0.181662000000028</f>
        <v>1027.2511340000001</v>
      </c>
      <c r="O170" s="3">
        <f>1530.5+(398.6-649.9)+(0.780555+(0.203286-0.331449))+0-179-0.0912899999999818</f>
        <v>1100.7611019999999</v>
      </c>
      <c r="P170" s="3">
        <f>1512+(400.3-575.9)+(1.54224+(0.408306-0.587418))+0-179.6-0.183192000000029</f>
        <v>1157.9799360000002</v>
      </c>
      <c r="Q170" s="3">
        <f>1497.4+(327.6-408.8)+(0+(0-0))+0-183.1-0</f>
        <v>1233.1000000000001</v>
      </c>
      <c r="R170" s="3">
        <f>1486.3+(387.2-395.8)+(0.758013+(0.197472-0.201858))+0-184.3-0.0939929999999813</f>
        <v>1294.059634</v>
      </c>
      <c r="S170" s="3">
        <f>1476.4+(450-446.9)+(-3.011856+(-0.918--0.911676))+0-184.9--0.377195999999992</f>
        <v>1291.9590159999998</v>
      </c>
      <c r="T170" s="3">
        <f>1467.6+(470.6-462.9)+(0.748476+(0.240006-0.236079))+0-180.4-0.0920039999999817</f>
        <v>1295.5603989999997</v>
      </c>
      <c r="U170" s="3">
        <f>1464.9+(453.6-463.2)+(-2.241297+(-0.694008--0.708696))+0-167.9--0.25688700000001</f>
        <v>1285.430278</v>
      </c>
      <c r="V170" s="3">
        <f>1455.1+(401.8-430.2)+(-0.742101+(-0.204918--0.219402))+0-176.7--0.0901169999999821</f>
        <v>1249.3624999999997</v>
      </c>
      <c r="W170" s="3">
        <f>1453.5+(279.6-361.3)+(-2.223855+(-0.427788--0.552789))+0-189--0.289170000000011</f>
        <v>1180.9903159999999</v>
      </c>
      <c r="X170" s="3">
        <f>1455+(348.2-528.2)+(-1.4841+(-0.355164--0.538764))+0-188.4--0.19216800000003</f>
        <v>1085.4916679999999</v>
      </c>
      <c r="Y170" s="3">
        <f>1469.7+(324.6-433.1)+(0+(0-0))+0-184.4-0</f>
        <v>1176.8</v>
      </c>
      <c r="Z170" s="3">
        <f>1514.6+(333.2-385.5)+(0+(0-0))+0-191.8-0</f>
        <v>1270.5</v>
      </c>
      <c r="AA170" s="3">
        <f>1524.7+(347.1-408.6)+(-3.887985+(-0.885105--1.04193))+0-185.4--0.472769999999973</f>
        <v>1274.54161</v>
      </c>
      <c r="AB170" s="3">
        <f>1499.1+(380.6-450.5)+(-3.822705+(-0.97053--1.148775))+0-183--0.466649999999973</f>
        <v>1243.0221899999999</v>
      </c>
      <c r="AC170" s="3">
        <f>1530.7+(349.4-483.9)+(-2.341971+(-0.534582--0.740367))+0-181.9--0.278307000000011</f>
        <v>1212.442121</v>
      </c>
      <c r="AD170">
        <v>1299.8</v>
      </c>
      <c r="AE170" s="3">
        <f>1543+(345.1-393.6)+(0+(0-0))+0-184.7-0</f>
        <v>1309.8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1528.4+(319.2-496.6)+(-3.117936+(-0.651168--1.013064))+0-179.2--0.365567999999992</f>
        <v>1169.4095279999999</v>
      </c>
      <c r="G171" s="3">
        <f>1531.3+(283-512)+(-2.342889+(-0.43299--0.78336))+0-173.2--0.26499600000001</f>
        <v>1127.3724770000001</v>
      </c>
      <c r="H171" s="3">
        <f>1581.4+(260.4-531.8)+(-0.806514+(-0.132804--0.271218))+0-172--0.0877199999999825</f>
        <v>1137.4196199999999</v>
      </c>
      <c r="I171" s="3">
        <f>1527.3+(249.7-541.3)+(-3.115692+(-0.509388--1.104252))+0-181.6--0.370463999999992</f>
        <v>1051.9496360000003</v>
      </c>
      <c r="J171" s="3">
        <f>1535.2+(237.9-562.1)+(-1.565904+(-0.242658--0.573342))+0-181.7--0.185334000000029</f>
        <v>1028.2501139999999</v>
      </c>
      <c r="K171" s="3">
        <f>1542+(220.3-575.6)+(0.78642+(0.112353-0.293556))+0-180.4-0.0920039999999817</f>
        <v>1006.8132130000001</v>
      </c>
      <c r="L171" s="3">
        <f>1557.6+(210.8-630.9)+(-5.560632+(-0.752556--2.252313))+0-176--0.628320000000002</f>
        <v>958.06744500000013</v>
      </c>
      <c r="M171" s="3">
        <f>1479+(232.1-582.8)+(1.50858+(0.236742-0.594456))+0-165.8-0.169116000000026</f>
        <v>963.48175000000015</v>
      </c>
      <c r="N171" s="3">
        <f>1465.9+(261.6-538)+(-0.747609+(-0.133416--0.27438))+0-161.6--0.0824159999999836</f>
        <v>1027.375771</v>
      </c>
      <c r="O171" s="3">
        <f>1452.2+(278.4-465)+(0+(0-0))+0-160.1-0</f>
        <v>1105.5</v>
      </c>
      <c r="P171" s="3">
        <f>1440.9+(402.1-514.4)+(-0.734859+(-0.205071--0.262344))+0-159.9--0.0815489999999838</f>
        <v>1168.103963</v>
      </c>
      <c r="Q171" s="3">
        <f>1453.3+(344.6-399.8)+(-0.741183+(-0.175746--0.203898))+0-150.7--0.0768569999999847</f>
        <v>1246.7638259999999</v>
      </c>
      <c r="R171" s="3">
        <f>1467.9+(363.2-389.4)+(-0.748629+(-0.185232--0.198594))+0-153.2--0.0781319999999845</f>
        <v>1287.8428650000001</v>
      </c>
      <c r="S171" s="3">
        <f>1455.7+(435.6-451.9)+(-2.227221+(-0.666468--0.691407))+0-155.5--0.237915000000009</f>
        <v>1281.9356330000001</v>
      </c>
      <c r="T171" s="3">
        <f>1439.4+(451.8-448.3)+(-2.202282+(-0.691254--0.685899))+0-158.3--0.242199000000009</f>
        <v>1282.6345620000002</v>
      </c>
      <c r="U171" s="3">
        <f>1432.6+(435.7-430.5)+(-3.65313+(-1.111035--1.097775))+0-154.7--0.394484999999978</f>
        <v>1279.8280949999998</v>
      </c>
      <c r="V171" s="3">
        <f>1429.9+(380.2-389.3)+(-2.916996+(-0.775608--0.794172))+0-157.4--0.321095999999993</f>
        <v>1260.822664</v>
      </c>
      <c r="W171" s="3">
        <f>1427.9+(320.8-421.5)+(-4.369374+(-0.981648--1.28979))+0-154.7--0.473382000000018</f>
        <v>1168.9121500000001</v>
      </c>
      <c r="X171" s="3">
        <f>1429.9+(410.6-603.7)+(-5.104743+(-1.465842--2.155209))+0-157--0.560490000000002</f>
        <v>1075.9451140000003</v>
      </c>
      <c r="Y171" s="3">
        <f>1444+(369-480.9)+(-0.73644+(-0.18819--0.245259))+0-158.6--0.0808859999999839</f>
        <v>1172.901515</v>
      </c>
      <c r="Z171" s="3">
        <f>1482.8+(340.6-397.7)+(-3.024912+(-0.694824--0.811308))+0-165.1--0.336803999999993</f>
        <v>1258.0283760000002</v>
      </c>
      <c r="AA171" s="3">
        <f>1499.6+(338.3-414.9)+(-4.588776+(-1.035198--1.269594))+0-166.5--0.509490000000019</f>
        <v>1252.6551099999999</v>
      </c>
      <c r="AB171" s="3">
        <f>1504.1+(343.9-439.3)+(-3.835455+(-0.876945--1.120215))+0-168.7--0.430184999999976</f>
        <v>1236.8379999999997</v>
      </c>
      <c r="AC171" s="3">
        <f>1509.4+(338-461)+(-1.539588+(-0.34476--0.47022))+0-176.3--0.179826000000028</f>
        <v>1208.8656980000003</v>
      </c>
      <c r="AD171">
        <v>1265.6999999999998</v>
      </c>
      <c r="AE171" s="3">
        <f>1503+(336.8-396.1)+(0+(0-0))+0-166-0</f>
        <v>1277.7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1517.4+(319.3-483.2)+(-1.547748+(-0.325686--0.492864))+0-179.2--0.182784000000029</f>
        <v>1173.102214</v>
      </c>
      <c r="G172" s="3">
        <f>1534.2+(274.4-506)+(-2.347326+(-0.419832--0.77418))+0-179--0.27387000000001</f>
        <v>1121.8808919999999</v>
      </c>
      <c r="H172" s="3">
        <f>1530.8+(256.2-519.6)+(-0.780708+(-0.130662--0.264996))+0-183.6--0.0936359999999814</f>
        <v>1083.2472620000001</v>
      </c>
      <c r="I172" s="3">
        <f>1520.7+(251.5-530.3)+(-1.551114+(-0.25653--0.540906))+0-179.2--0.182784000000029</f>
        <v>1061.6160460000001</v>
      </c>
      <c r="J172" s="3">
        <f>1521.1+(246.3-543.4)+(0.775761+(0.125613-0.277134))+0-178.7-0.0911369999999819</f>
        <v>1045.8331030000002</v>
      </c>
      <c r="K172" s="3">
        <f>1552.2+(232.1-583.3)+(-3.95811+(-0.591855--1.487415))+0-179.6--0.457979999999974</f>
        <v>1018.7954299999999</v>
      </c>
      <c r="L172" s="3">
        <f>1547.2+(247.8-661.5)+(-3.156288+(-0.505512--1.34946))+0-179.4--0.365975999999992</f>
        <v>952.15363600000012</v>
      </c>
      <c r="M172" s="3">
        <f>1533.8+(315.1-708.1)+(-0.782238+(-0.160701--0.361131))+0-177.7--0.090626999999982</f>
        <v>962.60881899999993</v>
      </c>
      <c r="N172" s="3">
        <f>1439+(371.1-611.1)+(0.73389+(0.189261-0.311661))+0-175.3-0.0894029999999822</f>
        <v>1024.2220870000001</v>
      </c>
      <c r="O172" s="3">
        <f>1314.4+(415.9-469.8)+(1.340688+(0.424218-0.479196))+0-168.7-0.172074000000027</f>
        <v>1092.913636</v>
      </c>
      <c r="P172" s="3">
        <f>1291.2+(423.2-385.7)+(0.658512+(0.215832-0.196707))+0-168.2-0.0857819999999829</f>
        <v>1161.0918550000001</v>
      </c>
      <c r="Q172" s="3">
        <f>1276.1+(417.6-306.7)+(1.301622+(0.425952-0.312834))+0-172.5-0.175950000000028</f>
        <v>1215.7387899999999</v>
      </c>
      <c r="R172" s="3">
        <f>1271+(439.6-268.1)+(0+(0-0))+0-172.1-0</f>
        <v>1270.4000000000001</v>
      </c>
      <c r="S172" s="3">
        <f>1273.8+(503.6-326.2)+(-3.24819+(-1.28418--0.83181))+0-171.4--0.437069999999975</f>
        <v>1276.5365099999999</v>
      </c>
      <c r="T172" s="3">
        <f>1250.4+(560.2-359)+(1.275408+(0.571404-0.36618))+0-164.7-0.167994000000026</f>
        <v>1288.212638</v>
      </c>
      <c r="U172" s="3">
        <f>1248.2+(543.5-350.5)+(-1.273164+(-0.55437--0.35751))+0-161--0.164220000000026</f>
        <v>1278.8941960000002</v>
      </c>
      <c r="V172" s="3">
        <f>1250.6+(412.2-260.9)+(-4.464642+(-1.471554--0.931413))+0-162--0.578340000000002</f>
        <v>1235.4735569999998</v>
      </c>
      <c r="W172" s="3">
        <f>1244.6+(353.5-278.3)+(-3.17373+(-0.901425--0.709665))+0-158.9--0.405194999999977</f>
        <v>1157.939705</v>
      </c>
      <c r="X172" s="3">
        <f>1254.6+(453.2-478.4)+(-1.919538+(-0.693396--0.731952))+0-158.1--0.241893000000009</f>
        <v>1069.6609110000002</v>
      </c>
      <c r="Y172" s="3">
        <f>1279.3+(441.1-414.2)+(-0.652443+(-0.224961--0.211242))+0-157.6--0.080375999999984</f>
        <v>1148.014214</v>
      </c>
      <c r="Z172" s="3">
        <f>1314.4+(377-285.4)+(-3.35172+(-0.96135--0.72777))+0-159.9--0.407744999999977</f>
        <v>1242.9224449999999</v>
      </c>
      <c r="AA172" s="3">
        <f>1310+(370-284.1)+(-2.0043+(-0.5661--0.434673))+0-159.3--0.243729000000009</f>
        <v>1234.7080020000001</v>
      </c>
      <c r="AB172" s="3">
        <f>1278.2+(426.5-325.1)+(-3.25941+(-1.087575--0.829005))+0-158.8--0.404939999999977</f>
        <v>1217.6869599999998</v>
      </c>
      <c r="AC172" s="3">
        <f>1281.4+(449.8-373)+(0+(0-0))+0-158.1-0</f>
        <v>1200.1000000000001</v>
      </c>
      <c r="AD172">
        <v>1236.8999999999999</v>
      </c>
      <c r="AE172" s="3">
        <f>1316+(378.8-286)+(0+(0-0))+0-159.9-0</f>
        <v>1248.8999999999999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1285.7+(396.4-354.8)+(0.655707+(0.202164-0.180948))+0-157.6-0.080375999999984</f>
        <v>1170.2965470000001</v>
      </c>
      <c r="G173" s="3">
        <f>1303+(368.4-380.2)+(-1.99359+(-0.563652--0.581706))+0-159.6--0.244188000000009</f>
        <v>1129.8686520000003</v>
      </c>
      <c r="H173" s="3">
        <f>1306.9+(363.1-417.4)+(1.999557+(0.555543-0.638622))+0-158.9-0.243117000000009</f>
        <v>1095.3733610000002</v>
      </c>
      <c r="I173" s="3">
        <f>1306.4+(321.6-396.1)+(-1.332528+(-0.328032--0.404022))+0-159.8--0.162996000000025</f>
        <v>1071.0064580000001</v>
      </c>
      <c r="J173" s="3">
        <f>1314+(302.4-411.4)+(0.67014+(0.154224-0.209814))+0-158.7-0.0809369999999839</f>
        <v>1046.833613</v>
      </c>
      <c r="K173" s="3">
        <f>1322.8+(284.6-471.1)+(-1.349256+(-0.290292--0.480522))+0-159.8--0.162996000000025</f>
        <v>975.50396999999998</v>
      </c>
      <c r="L173" s="3">
        <f>1309.1+(287-542.4)+(-1.335282+(-0.29274--0.553248))+0-158.7--0.161874000000025</f>
        <v>894.08709999999985</v>
      </c>
      <c r="M173" s="3">
        <f>1284.2+(339.8-567.2)+(-1.309884+(-0.346596--0.578544))+0-170.9--0.174318000000027</f>
        <v>884.99638200000004</v>
      </c>
      <c r="N173" s="3">
        <f>1272.3+(354.4-531.8)+(-2.595492+(-0.722976--1.084872))+0-174.8--0.356591999999992</f>
        <v>918.22299600000008</v>
      </c>
      <c r="O173" s="3">
        <f>1246.6+(372.4-475.3)+(1.907298+(0.569772-0.727209))+0-173.6-0.26560800000001</f>
        <v>971.58425299999976</v>
      </c>
      <c r="P173" s="3">
        <f>1229.5+(360-334.9)+(-1.881135+(-0.5508--0.512397))+0-171.9--0.26300700000001</f>
        <v>1081.0434689999997</v>
      </c>
      <c r="Q173" s="3">
        <f>1217+(385-272)+(-0.62067+(-0.19635--0.13872))+0-173.4--0.0884339999999824</f>
        <v>1156.0101339999999</v>
      </c>
      <c r="R173" s="3">
        <f>1235.5+(407.3-271)+(-2.52042+(-0.830892--0.55284))+0-173.6--0.354143999999992</f>
        <v>1195.755672</v>
      </c>
      <c r="S173" s="3">
        <f>1238+(432.5-283.2)+(0+(0-0))+0-172-0</f>
        <v>1215.3</v>
      </c>
      <c r="T173" s="3">
        <f>1237.7+(434.2-271.7)+(-1.262454+(-0.442884--0.277134))+0-169--0.172380000000027</f>
        <v>1229.944176</v>
      </c>
      <c r="U173" s="3">
        <f>1236.5+(437.2-284.8)+(-1.26123+(-0.445944--0.290496))+0-165.3--0.168606000000026</f>
        <v>1222.351928</v>
      </c>
      <c r="V173" s="3">
        <f>1233.8+(399.6-274.3)+(-1.258476+(-0.407592--0.279786))+0-166.2--0.169524000000026</f>
        <v>1191.6832420000001</v>
      </c>
      <c r="W173" s="3">
        <f>1241.5+(350.4-299.5)+(-2.53266+(-0.714816--0.61098))+0-171.1--0.349043999999993</f>
        <v>1119.0125480000002</v>
      </c>
      <c r="X173" s="3">
        <f>1251.7+(432.4-466.4)+(-1.915101+(-0.661572--0.713592))+0-172.1--0.26331300000001</f>
        <v>1044.0002320000001</v>
      </c>
      <c r="Y173" s="3">
        <f>1314.8+(415.2-411)+(-0.670548+(-0.211752--0.20961))+0-171.8--0.0876179999999826</f>
        <v>1146.614928</v>
      </c>
      <c r="Z173" s="3">
        <f>1210.7+(412-209.3)+(-2.469828+(-0.84048--0.426972))+0-174.4--0.355775999999992</f>
        <v>1236.47244</v>
      </c>
      <c r="AA173" s="3">
        <f>1345.9+(357.7-294)+(-4.804863+(-1.276989--1.04958))+0-175.9--0.627963000000002</f>
        <v>1229.295691</v>
      </c>
      <c r="AB173" s="3">
        <f>1328.6+(391.8-313.6)+(1.355172+(0.399636-0.319872))+0-171.1-0.174522000000027</f>
        <v>1236.9604140000001</v>
      </c>
      <c r="AC173" s="3">
        <f>1315.8+(352.2-286.6)+(-0.671058+(-0.179622--0.146166))+0-170.2--0.0868019999999827</f>
        <v>1210.5822879999998</v>
      </c>
      <c r="AD173">
        <v>1314.8</v>
      </c>
      <c r="AE173" s="3">
        <f>1302+(408.5-215.3)+(0+(0-0))+0-168.4-0</f>
        <v>1326.8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1220.3+(371.5-258.5)+(0+(0-0))+0-167.8-0</f>
        <v>1165.5</v>
      </c>
      <c r="G174" s="3">
        <f>1318.8+(335.9-364.8)+(-0.672588+(-0.171309--0.186048))+0-168.8--0.0860879999999829</f>
        <v>1120.528239</v>
      </c>
      <c r="H174" s="3">
        <f>1328.7+(293.6-375.8)+(0+(0-0))+0-166.9-0</f>
        <v>1079.5999999999999</v>
      </c>
      <c r="I174" s="3">
        <f>1347.5+(277.6-407.9)+(-2.7489+(-0.566304--0.832116))+0-166--0.338639999999993</f>
        <v>1049.055552</v>
      </c>
      <c r="J174" s="3">
        <f>1359.6+(273.7-424.1)+(-4.160376+(-0.837522--1.297746))+0-168.4--0.51530400000002</f>
        <v>1037.6151519999999</v>
      </c>
      <c r="K174" s="3">
        <f>1355.2+(272-447.3)+(-1.382304+(-0.27744--0.456246))+0-168.3--0.171666000000027</f>
        <v>1010.5681680000001</v>
      </c>
      <c r="L174" s="3">
        <f>1365.3+(330.8-568.5)+(-3.481515+(-0.84354--1.449675))+0-164.3--0.418964999999976</f>
        <v>960.84358499999996</v>
      </c>
      <c r="M174" s="3">
        <f>1352.8+(401.6-605.8)+(-0.689928+(-0.204816--0.308958))+0-169.8--0.0865979999999828</f>
        <v>978.30081199999984</v>
      </c>
      <c r="N174" s="3">
        <f>1338.2+(412-550.8)+(0+(0-0))+0-171-0</f>
        <v>1028.4000000000001</v>
      </c>
      <c r="O174" s="3">
        <f>1315.7+(433.2-498.3)+(-0.671007+(-0.220932--0.254133))+0-163.6--0.0834359999999834</f>
        <v>1086.4456299999999</v>
      </c>
      <c r="P174" s="3">
        <f>1292.3+(443.2-415.5)+(2.636292+(0.904128-0.84762))+0-163-0.332519999999993</f>
        <v>1159.3602800000001</v>
      </c>
      <c r="Q174" s="3">
        <f>1288.9+(393.7-282.7)+(0.657339+(0.200787-0.144177))+0-170.1-0.0867509999999827</f>
        <v>1230.4271980000001</v>
      </c>
      <c r="R174" s="3">
        <f>1290.6+(367.2-204.2)+(-1.316412+(-0.374544--0.208284))+0-166.3--0.169626000000027</f>
        <v>1285.986954</v>
      </c>
      <c r="S174" s="3">
        <f>1288.7+(485.9-298.5)+(-2.628948+(-0.991236--0.60894))+0-170.7--0.348227999999993</f>
        <v>1302.7369839999999</v>
      </c>
      <c r="T174" s="3">
        <f>1280.2+(557-360.9)+(-0.652902+(-0.28407--0.184059))+0-173.2--0.0883319999999824</f>
        <v>1302.4354190000001</v>
      </c>
      <c r="U174" s="3">
        <f>1277.3+(493.9-305.2)+(-0.651423+(-0.251889--0.155652))+0-169.8--0.0865979999999828</f>
        <v>1295.5389380000001</v>
      </c>
      <c r="V174" s="3">
        <f>1279.3+(417.9-260.5)+(-1.957329+(-0.639387--0.398565))+0-172.3--0.26361900000001</f>
        <v>1262.4654679999999</v>
      </c>
      <c r="W174" s="3">
        <f>1272.9+(360.5-279.5)+(-3.245895+(-0.919275--0.712725))+0-176.6--0.450329999999974</f>
        <v>1174.2978850000002</v>
      </c>
      <c r="X174" s="3">
        <f>1276.7+(454.2-455.1)+(-1.953351+(-0.694926--0.696303))+0-177.8--0.27203400000001</f>
        <v>1096.32006</v>
      </c>
      <c r="Y174" s="3">
        <f>1274.4+(432.8-348.7)+(0+(0-0))+0-175.5-0</f>
        <v>1183</v>
      </c>
      <c r="Z174" s="3">
        <f>1316.6+(402.4-277.4)+(-3.35733+(-1.02612--0.70737))+0-178.3--0.454664999999974</f>
        <v>1260.078585</v>
      </c>
      <c r="AA174" s="3">
        <f>1324.6+(403.3-294.7)+(-3.37773+(-1.028415--0.751485))+0-168.8--0.430439999999976</f>
        <v>1261.17578</v>
      </c>
      <c r="AB174" s="3">
        <f>1335.7+(411.7-340.3)+(-2.724828+(-0.839868--0.694212))+0-158.6--0.323543999999993</f>
        <v>1245.9530600000001</v>
      </c>
      <c r="AC174" s="3">
        <f>1348+(401.9-354.6)+(0+(0-0))+0-165.2-0</f>
        <v>1230.0999999999999</v>
      </c>
      <c r="AD174">
        <v>1267.3</v>
      </c>
      <c r="AE174" s="3">
        <f>1333+(408.5-287.8)+(0+(0-0))+0-174.4-0</f>
        <v>1279.3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1342.4+(374.4-362.7)+(-3.42312+(-0.95472--0.924885))+0-167.2--0.426359999999976</f>
        <v>1183.873405</v>
      </c>
      <c r="G175" s="3">
        <f>1350.8+(358.4-403.9)+(-2.755632+(-0.731136--0.823956))+0-166.2--0.339047999999993</f>
        <v>1136.7762359999999</v>
      </c>
      <c r="H175" s="3">
        <f>1362.2+(308.9-412.8)+(-1.389444+(-0.315078--0.421056))+0-162.7--0.165954000000026</f>
        <v>1094.4824879999999</v>
      </c>
      <c r="I175" s="3">
        <f>1370.7+(276.4-417.4)+(-3.495285+(-0.70482--1.06437))+0-160.1--0.408254999999977</f>
        <v>1066.8725200000001</v>
      </c>
      <c r="J175" s="3">
        <f>1377.8+(252.1-421.1)+(2.108034+(0.385713-0.644283))+0-162.4-0.248472000000009</f>
        <v>1048.0009919999998</v>
      </c>
      <c r="K175" s="3">
        <f>1379.5+(246.3-425)+(2.110635+(0.376839-0.65025))+0-171-0.26163000000001</f>
        <v>1031.3755940000001</v>
      </c>
      <c r="L175" s="3">
        <f>1379.6+(250.8-495.9)+(-1.407192+(-0.255816--0.505818))+0-172.7--0.176154000000028</f>
        <v>960.81896400000005</v>
      </c>
      <c r="M175" s="3">
        <f>1375.7+(313.7-547.5)+(0.701607+(0.159987-0.279225))+0-172.5-0.0879749999999825</f>
        <v>969.89439400000003</v>
      </c>
      <c r="N175" s="3">
        <f>1360.8+(378.2-530.4)+(-0.694008+(-0.192882--0.270504))+0-176.1--0.0898109999999821</f>
        <v>1031.9734250000001</v>
      </c>
      <c r="O175" s="3">
        <f>1322.6+(411.5-470)+(0+(0-0))+0-161.1-0</f>
        <v>1103</v>
      </c>
      <c r="P175" s="3">
        <f>1317.3+(420.7-408.9)+(0.671823+(0.214557-0.208539))+0-173.7-0.0885869999999824</f>
        <v>1155.9892539999998</v>
      </c>
      <c r="Q175" s="3">
        <f>1309.7+(387.9-300.5)+(0.667947+(0.197829-0.153255))+0-174.4-0.0889439999999823</f>
        <v>1223.3235769999997</v>
      </c>
      <c r="R175" s="3">
        <f>1301.9+(401.9-255.8)+(-0.663969+(-0.204969--0.130458))+0-176.8--0.0901679999999821</f>
        <v>1270.551688</v>
      </c>
      <c r="S175" s="3">
        <f>1298+(470.9-317.9)+(-3.97188+(-1.440954--0.972774))+0-182--0.556920000000021</f>
        <v>1265.1168600000001</v>
      </c>
      <c r="T175" s="3">
        <f>1282.3+(528.5-343.8)+(0+(0-0))+0-182.3-0</f>
        <v>1284.7</v>
      </c>
      <c r="U175" s="3">
        <f>1272.7+(508.8-316.8)+(-2.596308+(-1.037952--0.646272))+0-183.4--0.374135999999992</f>
        <v>1278.6861479999998</v>
      </c>
      <c r="V175" s="3">
        <f>1269.5+(419-258.8)+(0+(0-0))+0-185.7-0</f>
        <v>1244</v>
      </c>
      <c r="W175" s="3">
        <f>1271.4+(387.1-307.7)+(-1.945242+(-0.592263--0.470781))+0-186.5--0.285345000000011</f>
        <v>1162.5186210000002</v>
      </c>
      <c r="X175" s="3">
        <f>1274.2+(477.4-485.6)+(0+(0-0))+0-173.5-0</f>
        <v>1092.5</v>
      </c>
      <c r="Y175" s="3">
        <f>1272.7+(462.6-367.8)+(-0.649077+(-0.235926--0.187578))+0-174--0.0887399999999823</f>
        <v>1192.8913149999998</v>
      </c>
      <c r="Z175" s="3">
        <f>1303.7+(410.4-274.4)+(-3.324435+(-1.04652--0.69972))+0-174.3--0.444464999999975</f>
        <v>1262.1732300000001</v>
      </c>
      <c r="AA175" s="3">
        <f>1314+(412.6-291.1)+(-4.02084+(-1.262556--0.890766))+0-172.8--0.52876800000002</f>
        <v>1258.8361380000001</v>
      </c>
      <c r="AB175" s="3">
        <f>1326.7+(415.2-331.1)+(-2.029851+(-0.635256--0.506583))+0-160.1--0.244953000000009</f>
        <v>1248.786429</v>
      </c>
      <c r="AC175" s="3">
        <f>1332.3+(413.1-365.7)+(-2.038419+(-0.632043--0.559521))+0-158.7--0.242811000000009</f>
        <v>1219.1318700000002</v>
      </c>
      <c r="AD175">
        <v>1279.8</v>
      </c>
      <c r="AE175" s="3">
        <f>1318+(406.5-270.2)+(0+(0-0))+0-164.5-0</f>
        <v>1289.8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1332.8+(382.7-386.1)+(-2.718912+(-0.780708--0.787644))+0-162.2--0.330887999999993</f>
        <v>1164.8189119999997</v>
      </c>
      <c r="G176" s="3">
        <f>1335.3+(351.2-411.7)+(0+(0-0))+0-158.3-0</f>
        <v>1116.5</v>
      </c>
      <c r="H176" s="3">
        <f>1324+(329.3-412.5)+(0+(0-0))+0-159.2-0</f>
        <v>1081.5999999999999</v>
      </c>
      <c r="I176" s="3">
        <f>1329.6+(288.5-399.2)+(-0.678096+(-0.147135--0.203592))+0-162.5--0.0828749999999835</f>
        <v>1055.861236</v>
      </c>
      <c r="J176" s="3">
        <f>1337.2+(280.9-420.3)+(-2.727888+(-0.573036--0.857412))+0-161.3--0.329051999999993</f>
        <v>1034.38554</v>
      </c>
      <c r="K176" s="3">
        <f>1343.3+(238-410.9)+(0.685083+(0.12138-0.209559))+0-160.6-0.0819059999999837</f>
        <v>1010.3149980000001</v>
      </c>
      <c r="L176" s="3">
        <f>1351.2+(282.2-526.5)+(-3.44556+(-0.71961--1.342575))+0-160--0.407999999999977</f>
        <v>944.48540500000001</v>
      </c>
      <c r="M176" s="3">
        <f>1368.2+(345.7-617.6)+(-0.697782+(-0.176307--0.314976))+0-163.3--0.0832829999999834</f>
        <v>932.52416999999991</v>
      </c>
      <c r="N176" s="3">
        <f>1368.3+(340.1-551.5)+(1.395666+(0.346902-0.56253))+0-162.8-0.166056000000026</f>
        <v>995.11398200000008</v>
      </c>
      <c r="O176" s="3">
        <f>1351.9+(400.9-523.6)+(-2.068407+(-0.613377--0.801108))+0-159.8--0.244494000000009</f>
        <v>1067.7638180000001</v>
      </c>
      <c r="P176" s="3">
        <f>1333.9+(403.1-443.9)+(-0.680289+(-0.205581--0.226389))+0-154.2--0.0786419999999843</f>
        <v>1138.3191610000001</v>
      </c>
      <c r="Q176" s="3">
        <f>1309.2+(382.6-335.9)+(0+(0-0))+0-156-0</f>
        <v>1199.9000000000001</v>
      </c>
      <c r="R176" s="3">
        <f>1292.7+(377.4-262.8)+(0+(0-0))+0-157.5-0</f>
        <v>1249.8</v>
      </c>
      <c r="S176" s="3">
        <f>1280.1+(453.3-300.9)+(-1.958553+(-0.693549--0.460377))+0-159--0.243270000000009</f>
        <v>1271.551545</v>
      </c>
      <c r="T176" s="3">
        <f>1273+(508.4-342.9)+(-1.29846+(-0.518568--0.349758))+0-158.8--0.161976000000025</f>
        <v>1278.394706</v>
      </c>
      <c r="U176" s="3">
        <f>1268+(502.2-350.8)+(-0.64668+(-0.256122--0.178908))+0-154.1--0.0785909999999844</f>
        <v>1264.6546970000002</v>
      </c>
      <c r="V176" s="3">
        <f>1259.6+(400.1-262.7)+(-2.569584+(-0.816204--0.535908))+0-160.8--0.328031999999993</f>
        <v>1233.678152</v>
      </c>
      <c r="W176" s="3">
        <f>1262.4+(330.8-268.1)+(-3.862944+(-1.012248--0.820386))+0-161.7--0.494802000000019</f>
        <v>1159.8399959999999</v>
      </c>
      <c r="X176" s="3">
        <f>1258.2+(383.5-382.8)+(-2.566728+(-0.78234--0.780912))+0-160--0.326399999999993</f>
        <v>1096.658244</v>
      </c>
      <c r="Y176" s="3">
        <f>1276.2+(393.7-281.9)+(-1.301724+(-0.401574--0.287538))+0-163--0.166260000000026</f>
        <v>1223.7504999999999</v>
      </c>
      <c r="Z176" s="3">
        <f>1322.6+(422.9-288.8)+(-2.023578+(-0.647037--0.441864))+0-162.3--0.248319000000009</f>
        <v>1292.4195679999998</v>
      </c>
      <c r="AA176" s="3">
        <f>1315.4+(444.8-319.5)+(-2.012562+(-0.680544--0.488835))+0-163.9--0.250767000000009</f>
        <v>1274.8464959999999</v>
      </c>
      <c r="AB176" s="3">
        <f>1303.7+(463.2-353.1)+(-1.329774+(-0.472464--0.360162))+0-162.2--0.165444000000026</f>
        <v>1250.3233679999998</v>
      </c>
      <c r="AC176" s="3">
        <f>1307.5+(443.6-372.9)+(-0.666825+(-0.226236--0.190179))+0-158.6--0.0808859999999839</f>
        <v>1218.9780040000001</v>
      </c>
      <c r="AD176">
        <v>1301.3</v>
      </c>
      <c r="AE176" s="3">
        <f>1331+(428-296.2)+(0+(0-0))+0-149.5-0</f>
        <v>1313.3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1308.2+(413.4-391.9)+(-2.001546+(-0.632502--0.599607))+0-157.5--0.240975000000009</f>
        <v>1170.406534</v>
      </c>
      <c r="G177" s="3">
        <f>1327.9+(370-412.5)+(-2.031687+(-0.5661--0.631125))+0-157.9--0.241587000000009</f>
        <v>1125.7749249999999</v>
      </c>
      <c r="H177" s="3">
        <f>1339.8+(334.4-422.2)+(-2.733192+(-0.682176--0.861288))+0-157.3--0.320891999999993</f>
        <v>1092.4668119999999</v>
      </c>
      <c r="I177" s="3">
        <f>1345.1+(322.5-437.5)+(-0.686001+(-0.164475--0.223125))+0-156.7--0.0799169999999841</f>
        <v>1072.8525659999998</v>
      </c>
      <c r="J177" s="3">
        <f>1348+(320.9-460.7)+(0.68748+(0.163659-0.234957))+0-158.6-0.0808859999999839</f>
        <v>1050.1352960000002</v>
      </c>
      <c r="K177" s="3">
        <f>1362.7+(292.3-468.6)+(-0.694977+(-0.149073--0.238986))+0-155.8--0.0794579999999842</f>
        <v>1030.074394</v>
      </c>
      <c r="L177" s="3">
        <f>1366+(239.2-490)+(-0.69666+(-0.121992--0.2499))+0-151.2--0.0771119999999847</f>
        <v>963.50836000000004</v>
      </c>
      <c r="M177" s="3">
        <f>1365.6+(310.2-550.8)+(0.696456+(0.158202-0.280908))+0-153.8-0.0784379999999844</f>
        <v>971.69531200000006</v>
      </c>
      <c r="N177" s="3">
        <f>1327.7+(369.1-498)+(-2.708508+(-0.752964--1.01592))+0-160.6--0.327623999999993</f>
        <v>1036.0820720000004</v>
      </c>
      <c r="O177" s="3">
        <f>1321+(391.9-458.3)+(0+(0-0))+0-159.4-0</f>
        <v>1095.1999999999998</v>
      </c>
      <c r="P177" s="3">
        <f>1310.2+(394.2-389.2)+(1.336404+(0.402084-0.396984))+0-160.2-0.163404000000026</f>
        <v>1156.1780999999999</v>
      </c>
      <c r="Q177" s="3">
        <f>1298.1+(368.3-267.2)+(1.324062+(0.375666-0.272544))+0-160.8-0.164016000000026</f>
        <v>1239.6631679999998</v>
      </c>
      <c r="R177" s="3">
        <f>1281+(431-238.6)+(0+(0-0))+0-157-0</f>
        <v>1316.4</v>
      </c>
      <c r="S177" s="3">
        <f>1264+(517.2-329)+(0+(0-0))+0-158-0</f>
        <v>1294.2</v>
      </c>
      <c r="T177" s="3">
        <f>1257+(609.2-394)+(0+(0-0))+0-159-0</f>
        <v>1313.2</v>
      </c>
      <c r="U177" s="3">
        <f>1249+(596.5-370)+(0+(0-0))+0-157-0</f>
        <v>1318.5</v>
      </c>
      <c r="V177" s="3">
        <f>1241+(377-291.3)+(0+(0-0))+0-159-0</f>
        <v>1167.7</v>
      </c>
      <c r="W177" s="3">
        <f>1235+(340-228.6)+(0+(0-0))+0-163-0</f>
        <v>1183.4000000000001</v>
      </c>
      <c r="X177" s="3">
        <f>1242+(400-344.6)+(-3.1671+(-1.02--0.87873))+0-163--0.415649999999976</f>
        <v>1131.50728</v>
      </c>
      <c r="Y177" s="3">
        <f>1286.2+(371-272.9)+(-1.311924+(-0.37842--0.278358))+0-167--0.170340000000027</f>
        <v>1216.0583540000002</v>
      </c>
      <c r="Z177" s="3">
        <f>1322.7+(398-254.7)+(-3.372885+(-1.0149--0.649485))+0-171--0.436049999999975</f>
        <v>1291.69775</v>
      </c>
      <c r="AA177" s="3">
        <f>1310.9+(417-262.1)+(-4.011354+(-1.27602--0.802026))+0-171--0.52326000000002</f>
        <v>1290.8379120000002</v>
      </c>
      <c r="AB177" s="3">
        <f>1302.6+(446.4-305)+(-2.657304+(-0.910656--0.6222))+0-173--0.352919999999992</f>
        <v>1268.40716</v>
      </c>
      <c r="AC177" s="3">
        <f>1309.8+(447.4-328)+(-0.667998+(-0.228174--0.16728))+0-170--0.0866999999999827</f>
        <v>1258.5578079999998</v>
      </c>
      <c r="AD177">
        <v>1291.5</v>
      </c>
      <c r="AE177" s="3">
        <f>1326+(402.5-272.4)+(0+(0-0))+0-152.6-0</f>
        <v>1303.5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1306+(418.3-369.2)+(0+(0-0))+0-167.5-0</f>
        <v>1187.5999999999999</v>
      </c>
      <c r="G178" s="3">
        <f>1319+(380.2-394.9)+(0+(0-0))+0-166.8-0</f>
        <v>1137.5</v>
      </c>
      <c r="H178" s="3">
        <f>1347+(351.9-427.9)+(0+(0-0))+0-168.9-0</f>
        <v>1102.0999999999999</v>
      </c>
      <c r="I178" s="3">
        <f>1348+(338.2-433.2)+(0+(0-0))+0-173.4-0</f>
        <v>1079.5999999999999</v>
      </c>
      <c r="J178" s="3">
        <f>1336+(340.5-447.9)+(0+(0-0))+0-169.7-0</f>
        <v>1058.8999999999999</v>
      </c>
      <c r="K178" s="3">
        <f>1301+(305.5-392.4)+(0+(0-0))+0-166.6-0</f>
        <v>1047.5</v>
      </c>
      <c r="L178" s="3">
        <f>1309.2+(298-474.5)+(0+(0-0))+0-164.2-0</f>
        <v>968.5</v>
      </c>
      <c r="M178" s="3">
        <f>1302.6+(356.5-521.3)+(0.664326+(0.181815-0.265863))+0-173.3-0.0883829999999824</f>
        <v>964.99189499999989</v>
      </c>
      <c r="N178" s="3">
        <f>1285.7+(365.8-425.5)+(-1.311414+(-0.373116--0.43401))+0-171.3--0.174726000000027</f>
        <v>1053.624206</v>
      </c>
      <c r="O178" s="3">
        <f>1230.1+(360.9-302.8)+(0.627351+(0.184059-0.154428))+0-166.4-0.0848639999999831</f>
        <v>1122.3721179999998</v>
      </c>
      <c r="P178" s="3">
        <f>1282.8+(364.1-290.2)+(1.962684+(0.557073-0.444006))+0-166.6-0.25489800000001</f>
        <v>1191.9208530000003</v>
      </c>
      <c r="Q178" s="3">
        <f>1274.7+(393.7-225)+(0.650097+(0.200787-0.11475))+0-170.9-0.0871589999999827</f>
        <v>1273.1489750000001</v>
      </c>
      <c r="R178" s="3">
        <f>1269.2+(454.2-239.4)+(1.294584+(0.463284-0.244188))+0-170.1-0.173502000000027</f>
        <v>1315.240178</v>
      </c>
      <c r="S178" s="3">
        <f>1262.7+(593-367.2)+(-0.643977+(-0.30243--0.187272))+0-173.1--0.0882809999999824</f>
        <v>1314.7291460000001</v>
      </c>
      <c r="T178" s="3">
        <f>1258+(626.9-395.9)+(-0.64158+(-0.319719--0.201909))+0-171.4--0.0874139999999826</f>
        <v>1316.9280240000001</v>
      </c>
      <c r="U178" s="3">
        <f>1254.8+(592.5-376.9)+(-0.639948+(-0.302175--0.192219))+0-168.3--0.0858329999999829</f>
        <v>1301.4359290000002</v>
      </c>
      <c r="V178" s="3">
        <f>1253.9+(445.3-275.2)+(-3.197445+(-1.135515--0.70176))+0-171.9--0.438344999999975</f>
        <v>1248.9071449999999</v>
      </c>
      <c r="W178" s="3">
        <f>1244.5+(337.4-231.2)+(-3.80817+(-1.032444--0.707472))+0-175.7--0.53764200000002</f>
        <v>1171.4045000000001</v>
      </c>
      <c r="X178" s="3">
        <f>1242.5+(382.7-347.4)+(-3.168375+(-0.975885--0.88587))+0-175.4--0.447269999999975</f>
        <v>1099.5888799999998</v>
      </c>
      <c r="Y178" s="3">
        <f>1261.6+(395.9-244.9)+(-1.286832+(-0.403818--0.249798))+0-175.8--0.179316000000028</f>
        <v>1235.538464</v>
      </c>
      <c r="Z178" s="3">
        <f>1306.2+(406.8-234.7)+(-3.996972+(-1.244808--0.718182))+0-179.5--0.549270000000021</f>
        <v>1294.8256720000002</v>
      </c>
      <c r="AA178" s="3">
        <f>1311.7+(487.6-319.2)+(-3.344835+(-1.24338--0.81396))+0-186.8--0.476339999999973</f>
        <v>1290.0020850000001</v>
      </c>
      <c r="AB178" s="3">
        <f>1303.9+(531.6-387.3)+(-1.994967+(-0.813348--0.592569))+0-182.9--0.279837000000011</f>
        <v>1263.3640909999999</v>
      </c>
      <c r="AC178" s="3">
        <f>1308.2+(483.6-377.5)+(-0.667182+(-0.246636--0.192525))+0-184--0.0938399999999813</f>
        <v>1229.6725470000001</v>
      </c>
      <c r="AD178">
        <v>1308.2</v>
      </c>
      <c r="AE178" s="3">
        <f>1311+(396.5-228.6)+(0+(0-0))+0-159.7-0</f>
        <v>1319.2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1311.5+(410.9-354.4)+(0+(0-0))+0-162.9-0</f>
        <v>1205.0999999999999</v>
      </c>
      <c r="G179" s="3">
        <f>1322.9+(362.9-359.1)+(-0.674679+(-0.185079--0.183141))+0-167--0.0851699999999831</f>
        <v>1159.108553</v>
      </c>
      <c r="H179" s="3">
        <f>1321.7+(302.1-327.1)+(2.022201+(0.462213-0.500463))+0-164.2-0.25122600000001</f>
        <v>1134.2327249999998</v>
      </c>
      <c r="I179" s="3">
        <f>1336.7+(266.5-328)+(-1.363434+(-0.27183--0.33456))+0-164.6--0.167892000000026</f>
        <v>1109.4671880000001</v>
      </c>
      <c r="J179" s="3">
        <f>1339.3+(255.7-332)+(-2.049129+(-0.391221--0.50796))+0-167.5--0.25627500000001</f>
        <v>1093.823885</v>
      </c>
      <c r="K179" s="3">
        <f>1343.4+(254-365.6)+(-0.685134+(-0.12954--0.186456))+0-166--0.0846599999999832</f>
        <v>1065.2564420000001</v>
      </c>
      <c r="L179" s="3">
        <f>1343.9+(286.9-464.5)+(-3.426945+(-0.731595--1.184475))+0-164.3--0.418964999999976</f>
        <v>999.44490000000008</v>
      </c>
      <c r="M179" s="3">
        <f>1342.2+(342-508.7)+(0+(0-0))+0-166.2-0</f>
        <v>1009.3</v>
      </c>
      <c r="N179" s="3">
        <f>1331.9+(349.2-461.7)+(0+(0-0))+0-166.3-0</f>
        <v>1053.1000000000001</v>
      </c>
      <c r="O179" s="3">
        <f>1318.1+(354.8-379.7)+(0+(0-0))+0-171.1-0</f>
        <v>1122.0999999999999</v>
      </c>
      <c r="P179" s="3">
        <f>1288.6+(399.7-332.4)+(2.628744+(0.815388-0.678096))+0-172.8-0.352511999999993</f>
        <v>1185.513524</v>
      </c>
      <c r="Q179" s="3">
        <f>1279.9+(413-273.8)+(0+(0-0))+0-168.2-0</f>
        <v>1250.9000000000001</v>
      </c>
      <c r="R179" s="3">
        <f>1266.9+(437.8-246.7)+(-1.292238+(-0.446556--0.251634))+0-169.2--0.172584000000027</f>
        <v>1287.485424</v>
      </c>
      <c r="S179" s="3">
        <f>1255.1+(572.1-353.5)+(-2.560404+(-1.167084--0.72114))+0-173.3--0.353531999999992</f>
        <v>1297.7471840000001</v>
      </c>
      <c r="T179" s="3">
        <f>1225.9+(746.7-476.6)+(-0.625209+(-0.380817--0.243066))+0-179.6--0.0915959999999818</f>
        <v>1315.7286360000001</v>
      </c>
      <c r="U179" s="3">
        <f>1235.4+(665.6-421.8)+(-1.890162+(-1.018368--0.645354))+0-175.5--0.26851500000001</f>
        <v>1301.7053390000001</v>
      </c>
      <c r="V179" s="3">
        <f>1238.9+(507.8-313.2)+(-0.631839+(-0.258978--0.159732))+0-176.9--0.0902189999999821</f>
        <v>1255.9591339999999</v>
      </c>
      <c r="W179" s="3">
        <f>1250.7+(299.6-198.5)+(-3.189285+(-0.76398--0.506175))+0-173.6--0.442679999999975</f>
        <v>1175.1955900000003</v>
      </c>
      <c r="X179" s="3">
        <f>1272.9+(260.6-245.9)+(0+(0-0))+0-174-0</f>
        <v>1113.6000000000001</v>
      </c>
      <c r="Y179" s="3">
        <f>1313.6+(386.7-297.9)+(0+(0-0))+0-173.8-0</f>
        <v>1228.5999999999999</v>
      </c>
      <c r="Z179" s="3">
        <f>1367.8+(426.7-346.8)+(-2.092734+(-0.652851--0.530604))+0-171.6--0.26254800000001</f>
        <v>1274.1475669999998</v>
      </c>
      <c r="AA179" s="3">
        <f>1420+(416.3-392.2)+(-3.621+(-1.061565--1.00011))+0-174.7--0.445484999999975</f>
        <v>1266.1630299999999</v>
      </c>
      <c r="AB179" s="3">
        <f>1443.3+(467.3-470.8)+(-3.680415+(-1.191615--1.20054))+0-173.1--0.441404999999975</f>
        <v>1263.4699150000001</v>
      </c>
      <c r="AC179" s="3">
        <f>1451.9+(437-479.7)+(-2.221407+(-0.66861--0.733941))+0-170.2--0.26040600000001</f>
        <v>1237.1043300000001</v>
      </c>
      <c r="AD179">
        <v>1284.5</v>
      </c>
      <c r="AE179" s="3">
        <f>1406+(418.2-356.8)+(0+(0-0))+0-170.9-0</f>
        <v>1296.5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1461.2+(390.8-488.1)+(-2.235636+(-0.597924--0.746793))+0-167.2--0.25581600000001</f>
        <v>1194.8690490000001</v>
      </c>
      <c r="G180" s="3">
        <f>1472.2+(339.2-492.8)+(-0.750822+(-0.172992--0.251328))+0-160.5--0.0818549999999837</f>
        <v>1157.5093689999999</v>
      </c>
      <c r="H180" s="3">
        <f>1471.2+(312-499)+(-3.75156+(-0.7956--1.27245))+0-162.7--0.414884999999976</f>
        <v>1118.640175</v>
      </c>
      <c r="I180" s="3">
        <f>1482.9+(279-508.7)+(0+(0-0))+0-162-0</f>
        <v>1091.2</v>
      </c>
      <c r="J180" s="3">
        <f>1471.7+(265.4-504.6)+(0+(0-0))+0-162.6-0</f>
        <v>1069.9000000000001</v>
      </c>
      <c r="K180" s="3">
        <f>1442.7+(255.8-490.4)+(2.207331+(0.391374-0.750312))+0-159.6-0.244188000000009</f>
        <v>1050.1042050000001</v>
      </c>
      <c r="L180" s="3">
        <f>1431.3+(198-480.7)+(2.189889+(0.30294-0.735471))+0-159.7-0.244341000000009</f>
        <v>990.41301699999997</v>
      </c>
      <c r="M180" s="3">
        <f>1391.8+(203.2-448.1)+(-3.54909+(-0.51816--1.142655))+0-163--0.415649999999976</f>
        <v>981.39105499999994</v>
      </c>
      <c r="N180" s="3">
        <f>1406.5+(218.9-449.5)+(0+(0-0))+0-163.8-0</f>
        <v>1012.1000000000001</v>
      </c>
      <c r="O180" s="3">
        <f>1416.8+(238.7-435.6)+(-2.167704+(-0.365211--0.666468))+0-161.3--0.246789000000009</f>
        <v>1056.9803419999998</v>
      </c>
      <c r="P180" s="3">
        <f>1421+(260.9-406.6)+(-1.44942+(-0.266118--0.414732))+0-159--0.162180000000025</f>
        <v>1115.161374</v>
      </c>
      <c r="Q180" s="3">
        <f>1414.4+(319.5-377.2)+(-1.442688+(-0.32589--0.384744))+0-161.2--0.164424000000026</f>
        <v>1194.2805900000001</v>
      </c>
      <c r="R180" s="3">
        <f>1410.2+(416.9-434.8)+(-1.438404+(-0.425238--0.443496))+0-157.1--0.160242000000025</f>
        <v>1233.940096</v>
      </c>
      <c r="S180" s="3">
        <f>1425.2+(494.2-509.9)+(-1.453704+(-0.504084--0.520098))+0-155.6--0.158712000000025</f>
        <v>1252.621022</v>
      </c>
      <c r="T180" s="3">
        <f>1412.8+(553.9-541.4)+(0.720528+(0.282489-0.276114))+0-155.2-0.0791519999999842</f>
        <v>1270.7477509999999</v>
      </c>
      <c r="U180" s="3">
        <f>1390.8+(555-524.2)+(0+(0-0))+0-156.1-0</f>
        <v>1265.5</v>
      </c>
      <c r="V180" s="3">
        <f>1387.9+(446.4-447.6)+(-3.539145+(-1.13832--1.14138))+0-163.7--0.417434999999976</f>
        <v>1219.8813500000001</v>
      </c>
      <c r="W180" s="3">
        <f>1401+(257.8-335.5)+(-1.42902+(-0.262956--0.34221))+0-171.9--0.175338000000027</f>
        <v>1150.2255719999998</v>
      </c>
      <c r="X180" s="3">
        <f>1406.5+(224-355.8)+(-2.151945+(-0.34272--0.544374))+0-169.5--0.25933500000001</f>
        <v>1103.5090439999999</v>
      </c>
      <c r="Y180" s="3">
        <f>1448.2+(341.1-384.6)+(0+(0-0))+0-173.9-0</f>
        <v>1230.8</v>
      </c>
      <c r="Z180" s="3">
        <f>1496.6+(380.3-432.2)+(-2.289798+(-0.581859--0.661266))+0-173.5--0.26545500000001</f>
        <v>1269.2550639999997</v>
      </c>
      <c r="AA180" s="3">
        <f>1509.2+(390-463)+(-3.84846+(-0.9945--1.18065))+0-177.1--0.451604999999974</f>
        <v>1255.8892950000002</v>
      </c>
      <c r="AB180" s="3">
        <f>1509.7+(399.1-493.5)+(-3.079788+(-0.814164--1.00674))+0-176.1--0.359243999999992</f>
        <v>1236.6720320000002</v>
      </c>
      <c r="AC180" s="3">
        <f>1515.9+(374.3-505.2)+(-1.546218+(-0.381786--0.515304))+0-175.1--0.178602000000028</f>
        <v>1208.665902</v>
      </c>
      <c r="AD180">
        <v>1275.9000000000001</v>
      </c>
      <c r="AE180" s="3">
        <f>1517+(381.5-433.6)+(0+(0-0))+0-177-0</f>
        <v>1287.9000000000001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1510.4+(321.6-502.4)+(-3.081216+(-0.656064--1.024896))+0-173.5--0.353939999999992</f>
        <v>1153.7415560000002</v>
      </c>
      <c r="G181" s="3">
        <f>1508+(250.1-484.1)+(0+(0-0))+0-164.8-0</f>
        <v>1109.2</v>
      </c>
      <c r="H181" s="3">
        <f>1514.1+(218.3-481)+(-2.316573+(-0.333999--0.73593))+0-168.3--0.25749900000001</f>
        <v>1081.442857</v>
      </c>
      <c r="I181" s="3">
        <f>1515+(219.5-503.6)+(-1.5453+(-0.22389--0.513672))+0-168.8--0.172176000000027</f>
        <v>1061.0166580000002</v>
      </c>
      <c r="J181" s="3">
        <f>1515.1+(218.8-526.3)+(-0.772701+(-0.111588--0.268413))+0-166.3--0.0848129999999831</f>
        <v>1040.7689369999998</v>
      </c>
      <c r="K181" s="3">
        <f>1521.2+(191.1-519.9)+(-3.87906+(-0.487305--1.325745))+0-161.5--0.411824999999977</f>
        <v>1028.271205</v>
      </c>
      <c r="L181" s="3">
        <f>1531.4+(155.8-535.5)+(-5.467098+(-0.556206--1.911735))+0-162.6--0.580482000000002</f>
        <v>985.56891300000007</v>
      </c>
      <c r="M181" s="3">
        <f>1517.8+(159.5-512.5)+(2.322234+(0.244035-0.784125))+0-171.1-0.26178300000001</f>
        <v>995.22036099999991</v>
      </c>
      <c r="N181" s="3">
        <f>1501.9+(173.7-440.4)+(-1.531938+(-0.177174--0.449208))+0-172.6--0.176052000000028</f>
        <v>1061.5161480000002</v>
      </c>
      <c r="O181" s="3">
        <f>1457.1+(204.3-381.2)+(-0.743121+(-0.104193--0.194412))+0-171.2--0.0873119999999826</f>
        <v>1108.4344099999996</v>
      </c>
      <c r="P181" s="3">
        <f>1311.5+(287.5-238.9)+(0+(0-0))+0-167.5-0</f>
        <v>1192.5999999999999</v>
      </c>
      <c r="Q181" s="3">
        <f>1435.7+(314.5-313.3)+(0.732207+(0.160395-0.159783))+0-171.8-0.0876179999999826</f>
        <v>1265.7452010000002</v>
      </c>
      <c r="R181" s="3">
        <f>1429.3+(384.9-356.6)+(-1.457886+(-0.392598--0.363732))+0-177.1--0.180642000000028</f>
        <v>1279.19389</v>
      </c>
      <c r="S181" s="3">
        <f>1420.3+(579.8-515)+(0.724353+(0.295698-0.26265))+0-178-0.0907799999999819</f>
        <v>1307.766621</v>
      </c>
      <c r="T181" s="3">
        <f>1414.6+(582.3-529.9)+(0.721446+(0.296973-0.270249))+0-178-0.0907799999999819</f>
        <v>1289.6573900000001</v>
      </c>
      <c r="U181" s="3">
        <f>1413.1+(543.5-502.9)+(-0.720681+(-0.277185--0.256479))+0-172.2--0.0878219999999825</f>
        <v>1280.8464349999997</v>
      </c>
      <c r="V181" s="3">
        <f>1412+(391.6-378.8)+(-2.16036+(-0.599148--0.579564))+0-171.6--0.26254800000001</f>
        <v>1251.282604</v>
      </c>
      <c r="W181" s="3">
        <f>1416.3+(210.2-283.4)+(-2.889252+(-0.428808--0.578136))+0-164--0.334559999999993</f>
        <v>1176.6946359999999</v>
      </c>
      <c r="X181" s="3">
        <f>1425.9+(211.5-343)+(-1.454418+(-0.21573--0.34986))+0-162.1--0.165342000000026</f>
        <v>1131.1450540000003</v>
      </c>
      <c r="Y181" s="3">
        <f>1473.8+(315.9-387.1)+(-0.751638+(-0.161109--0.197421))+0-157.1--0.0801209999999841</f>
        <v>1244.864795</v>
      </c>
      <c r="Z181" s="3">
        <f>1505+(385.5-440)+(-1.5351+(-0.39321--0.4488))+0-159.4--0.162588000000025</f>
        <v>1289.7830779999999</v>
      </c>
      <c r="AA181" s="3">
        <f>1491.8+(419.6-465.9)+(-4.564908+(-1.283976--1.425654))+0-159.9--0.489294000000018</f>
        <v>1281.6660639999998</v>
      </c>
      <c r="AB181" s="3">
        <f>1481.2+(436.1-494)+(0.755412+(0.222411-0.25194))+0-162.9-0.0830789999999835</f>
        <v>1261.0428040000002</v>
      </c>
      <c r="AC181" s="3">
        <f>1489.5+(422.1-515.5)+(0.759645+(0.215271-0.262905))+0-169.2-0.0862919999999828</f>
        <v>1227.525719</v>
      </c>
      <c r="AD181">
        <v>1272.0999999999999</v>
      </c>
      <c r="AE181" s="3">
        <f>1513+(381.2-439.7)+(0+(0-0))+0-169.4-0</f>
        <v>1285.0999999999999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1491.7+(368.2-506.3)+(-0.760767+(-0.187782--0.258213))+0-172.8--0.0881279999999825</f>
        <v>1180.1977919999999</v>
      </c>
      <c r="G182" s="3">
        <f>1524.7+(288.6-502)+(0.777597+(0.147186-0.25602))+0-169-0.0861899999999829</f>
        <v>1142.8825730000001</v>
      </c>
      <c r="H182" s="3">
        <f>1527.5+(292.6-542.6)+(3.1161+(0.596904-1.106904))+0-161.6-0.329663999999993</f>
        <v>1118.176436</v>
      </c>
      <c r="I182" s="3">
        <f>1540.2+(241.7-522)+(-2.356506+(-0.369801--0.79866))+0-161.8--0.247554000000009</f>
        <v>1096.4199070000002</v>
      </c>
      <c r="J182" s="3">
        <f>1545.3+(214.6-510.1)+(3.152412+(0.437784-1.040604))+0-161.7-0.329867999999993</f>
        <v>1090.319724</v>
      </c>
      <c r="K182" s="3">
        <f>1550.1+(190.1-502.2)+(1.581102+(0.193902-0.512244))+0-157.6-0.160752000000025</f>
        <v>1081.5020080000002</v>
      </c>
      <c r="L182" s="3">
        <f>1560.3+(158.3-538.9)+(-1.591506+(-0.161466--0.549678))+0-157.7--0.160854000000025</f>
        <v>1020.9575600000001</v>
      </c>
      <c r="M182" s="3">
        <f>1555.1+(156.7-513.2)+(0.793101+(0.079917-0.261732))+0-162.7-0.0829769999999835</f>
        <v>1036.4283089999999</v>
      </c>
      <c r="N182" s="3">
        <f>1545+(183-476.3)+(-0.78795+(-0.09333--0.242913))+0-161.7--0.0824669999999836</f>
        <v>1089.4440999999999</v>
      </c>
      <c r="O182" s="3">
        <f>1518.4+(203.4-417.5)+(0.774384+(0.103734-0.212925))+0-162.6-0.0829259999999835</f>
        <v>1142.2822670000003</v>
      </c>
      <c r="P182" s="3">
        <f>1506.9+(234.5-365.5)+(0+(0-0))+0-163.8-0</f>
        <v>1212.1000000000001</v>
      </c>
      <c r="Q182" s="3">
        <f>1491.3+(260.6-312.2)+(2.281689+(0.398718-0.477666))+0-161.8-0.247554000000009</f>
        <v>1279.8551870000001</v>
      </c>
      <c r="R182" s="3">
        <f>1473.8+(357.6-352.8)+(0.751638+(0.182376-0.179928))+0-162.2-0.0827219999999835</f>
        <v>1317.0713639999999</v>
      </c>
      <c r="S182" s="3">
        <f>1458.4+(377.7-360.3)+(-0.743784+(-0.192627--0.183753))+0-163.9--0.0835889999999834</f>
        <v>1311.2309310000001</v>
      </c>
      <c r="T182" s="3">
        <f>1443.4+(428.2-393.7)+(0.736134+(0.218382-0.200787))+0-168.6-0.0859859999999829</f>
        <v>1309.9677430000002</v>
      </c>
      <c r="U182" s="3">
        <f>1443.7+(375-363.6)+(-2.208861+(-0.57375--0.556308))+0-161.6--0.247248000000009</f>
        <v>1291.520945</v>
      </c>
      <c r="V182" s="3">
        <f>1446.4+(273.2-296.1)+(-2.950656+(-0.557328--0.604044))+0-166.8--0.340271999999993</f>
        <v>1254.136332</v>
      </c>
      <c r="W182" s="3">
        <f>1449.8+(261.9-378.7)+(-4.436388+(-0.801414--1.158822))+0-167.8--0.513468000000019</f>
        <v>1161.6344880000001</v>
      </c>
      <c r="X182" s="3">
        <f>1456.7+(318.9-518.2)+(0.742917+(0.162639-0.264282))+0-164.9-0.0840989999999833</f>
        <v>1093.0571750000001</v>
      </c>
      <c r="Y182" s="3">
        <f>1497.1+(305.7-408.2)+(0.763521+(0.155907-0.208182))+0-168-0.085679999999983</f>
        <v>1227.2255660000001</v>
      </c>
      <c r="Z182" s="3">
        <f>1513+(295.2-365)+(0+(0-0))+0-168.3-0</f>
        <v>1274.9000000000001</v>
      </c>
      <c r="AA182" s="3">
        <f>1508.1+(333.8-405)+(-3.845655+(-0.85119--1.03275))+0-174.5--0.444974999999975</f>
        <v>1259.1808799999997</v>
      </c>
      <c r="AB182" s="3">
        <f>1495.1+(373.2-457)+(-3.812505+(-0.95166--1.16535))+0-170.3--0.434264999999975</f>
        <v>1237.8354499999998</v>
      </c>
      <c r="AC182" s="3">
        <f>1491.9+(357-467.3)+(1.521738+(0.36414-0.476646))+0-173.3-0.176766000000028</f>
        <v>1209.5324660000001</v>
      </c>
      <c r="AD182">
        <v>1268.8</v>
      </c>
      <c r="AE182" s="3">
        <f>1527+(291.5-367.9)+(0+(0-0))+0-169.8-0</f>
        <v>1280.8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1459.6+(330.5-440.4)+(-1.488792+(-0.33711--0.449208))+0-170.2--0.173604000000027</f>
        <v>1178.2969099999998</v>
      </c>
      <c r="G183" s="3">
        <f>1525.3+(302.9-523.7)+(-3.111612+(-0.617916--1.068348))+0-167.4--0.341495999999993</f>
        <v>1134.7803159999999</v>
      </c>
      <c r="H183" s="3">
        <f>1536.6+(289-560.6)+(-0.783666+(-0.14739--0.285906))+0-162.9--0.0830789999999835</f>
        <v>1101.5379289999998</v>
      </c>
      <c r="I183" s="3">
        <f>1543.7+(261.9-577.4)+(-3.149148+(-0.534276--1.177896))+0-158.7--0.323747999999993</f>
        <v>1067.3182200000001</v>
      </c>
      <c r="J183" s="3">
        <f>1550.8+(230.1-580.8)+(3.95454+(0.586755-1.48104))+0-158-0.402899999999977</f>
        <v>1044.757355</v>
      </c>
      <c r="K183" s="3">
        <f>1558.3+(223.5-592)+(2.384199+(0.341955-0.90576))+0-157.7-0.241281000000009</f>
        <v>1033.6791129999999</v>
      </c>
      <c r="L183" s="3">
        <f>1569.7+(204.6-630.4)+(-3.202188+(-0.417384--1.286016))+0-163.1--0.332723999999993</f>
        <v>978.79916800000001</v>
      </c>
      <c r="M183" s="3">
        <f>1582+(223.2-651.3)+(0+(0-0))+0-169.6-0</f>
        <v>984.30000000000007</v>
      </c>
      <c r="N183" s="3">
        <f>1564.7+(245.7-597.1)+(0.797997+(0.125307-0.304521))+0-164.7-0.0839969999999833</f>
        <v>1049.1347859999998</v>
      </c>
      <c r="O183" s="3">
        <f>1541.6+(294.4-551)+(0.786216+(0.150144-0.28101))+0-167.5-0.085424999999983</f>
        <v>1118.069925</v>
      </c>
      <c r="P183" s="3">
        <f>1519+(310.7-478.9)+(0.77469+(0.158457-0.244239))+0-167.7-0.085526999999983</f>
        <v>1183.703381</v>
      </c>
      <c r="Q183" s="3">
        <f>1383.5+(342.6-284.7)+(1.41117+(0.349452-0.290394))+0-164.9-0.168198000000026</f>
        <v>1277.8020299999998</v>
      </c>
      <c r="R183" s="3">
        <f>1499.2+(339.8-350.8)+(-0.764592+(-0.173298--0.178908))+0-168.9--0.0861389999999829</f>
        <v>1318.6271569999999</v>
      </c>
      <c r="S183" s="3">
        <f>1492.4+(474.4-476.5)+(-2.283372+(-0.725832--0.729045))+0-173.6--0.26560800000001</f>
        <v>1314.6854490000003</v>
      </c>
      <c r="T183" s="3">
        <f>1475.2+(453.7-447.1)+(0+(0-0))+0-172.3-0</f>
        <v>1309.5</v>
      </c>
      <c r="U183" s="3">
        <f>1472.3+(364.6-386.3)+(-3.003492+(-0.743784--0.788052))+0-169.1--0.344963999999993</f>
        <v>1278.8857399999999</v>
      </c>
      <c r="V183" s="3">
        <f>1473.4+(258.6-313.9)+(-1.502868+(-0.263772--0.320178))+0-172.3--0.175746000000027</f>
        <v>1244.5292840000002</v>
      </c>
      <c r="W183" s="3">
        <f>1472.2+(253.4-378.1)+(-3.003288+(-0.516936--0.771324))+0-180--0.367199999999992</f>
        <v>1165.1182999999999</v>
      </c>
      <c r="X183" s="3">
        <f>1472.9+(307.8-499.9)+(-0.751179+(-0.156978--0.254949))+0-179.5--0.0915449999999818</f>
        <v>1100.7383370000002</v>
      </c>
      <c r="Y183" s="3">
        <f>1516.9+(302.9-390.9)+(0.773619+(0.154479-0.199359))+0-176.8-0.0901679999999821</f>
        <v>1252.7385710000001</v>
      </c>
      <c r="Z183" s="3">
        <f>1541.2+(316.4-378.4)+(-3.144048+(-0.645456--0.771936))+0-177.1--0.361283999999992</f>
        <v>1299.4437160000002</v>
      </c>
      <c r="AA183" s="3">
        <f>1539.8+(326.2-406)+(-3.141192+(-0.665448--0.82824))+0-174.1--0.355163999999992</f>
        <v>1283.2767640000002</v>
      </c>
      <c r="AB183" s="3">
        <f>1521.4+(343.3-430.9)+(-3.103656+(-0.700332--0.879036))+0-159.3--0.324971999999993</f>
        <v>1271.90002</v>
      </c>
      <c r="AC183" s="3">
        <f>1494.2+(324.1-424.4)+(0+(0-0))+0-155.9-0</f>
        <v>1238</v>
      </c>
      <c r="AD183">
        <v>1284.9000000000001</v>
      </c>
      <c r="AE183" s="3">
        <f>1535+(323.5-384.1)+(0+(0-0))+0-176.5-0</f>
        <v>1297.9000000000001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1489+(306.9-443.7)+(-3.03756+(-0.626076--0.905148))+0-161.1--0.328643999999993</f>
        <v>1188.6701560000001</v>
      </c>
      <c r="G184" s="3">
        <f>1501.5+(271.7-477.2)+(-2.297295+(-0.415701--0.730116))+0-160.6--0.245718000000009</f>
        <v>1133.662838</v>
      </c>
      <c r="H184" s="3">
        <f>1469+(238.2-445.1)+(-2.24757+(-0.364446--0.681003))+0-158.3--0.242199000000009</f>
        <v>1102.1111860000001</v>
      </c>
      <c r="I184" s="3">
        <f>1455.8+(219.8-441.9)+(1.484916+(0.224196-0.450738))+0-153.1-0.156162000000024</f>
        <v>1081.7022120000001</v>
      </c>
      <c r="J184" s="3">
        <f>1465.9+(207.4-466.7)+(3.738045+(0.52887-1.190085))+0-146.2-0.372809999999979</f>
        <v>1063.10402</v>
      </c>
      <c r="K184" s="3">
        <f>1483.2+(198.1-491.2)+(0+(0-0))+0-142.9-0</f>
        <v>1047.1999999999998</v>
      </c>
      <c r="L184" s="3">
        <f>1492.6+(192.9-565.9)+(-0.761226+(-0.098379--0.288609))+0-139.7--0.0712469999999858</f>
        <v>979.40025099999991</v>
      </c>
      <c r="M184" s="3">
        <f>1487.7+(231.9-602.5)+(-0.758727+(-0.118269--0.307275))+0-137.4--0.0700739999999861</f>
        <v>979.20035299999984</v>
      </c>
      <c r="N184" s="3">
        <f>1483.2+(258.9-565.3)+(0+(0-0))+0-130.4-0</f>
        <v>1046.4000000000001</v>
      </c>
      <c r="O184" s="3">
        <f>1464.7+(287.3-514.5)+(2.240991+(0.439569-0.787185))+0-142.2-0.217566000000008</f>
        <v>1096.975809</v>
      </c>
      <c r="P184" s="3">
        <f>1440.2+(372-459.6)+(1.469004+(0.37944-0.468792))+0-143-0.145860000000023</f>
        <v>1210.8337919999999</v>
      </c>
      <c r="Q184" s="3">
        <f>1421.3+(373-330.2)+(2.174589+(0.57069-0.505206))+0-146-0.223380000000008</f>
        <v>1320.1166929999999</v>
      </c>
      <c r="R184" s="3">
        <f>1408+(321.6-292)+(0+(0-0))+0-129.1-0</f>
        <v>1308.5</v>
      </c>
      <c r="S184" s="3">
        <f>1403.2+(422-384.3)+(-0.715632+(-0.21522--0.195993))+0-129.4--0.0659939999999869</f>
        <v>1310.8311350000001</v>
      </c>
      <c r="T184" s="3">
        <f>1398.6+(469.2-424.1)+(0.713286+(0.239292-0.216291))+0-133.9-0.0682889999999864</f>
        <v>1310.4679979999996</v>
      </c>
      <c r="U184" s="3">
        <f>1379.9+(450.5-399)+(1.407498+(0.45951-0.40698))+0-131.6-0.134232000000021</f>
        <v>1301.125796</v>
      </c>
      <c r="V184" s="3">
        <f>1364.8+(305.4-273.4)+(-3.48024+(-0.77877--0.69717))+0-137.6--0.35087999999998</f>
        <v>1255.9890399999999</v>
      </c>
      <c r="W184" s="3">
        <f>1362.3+(272-328.3)+(-1.389546+(-0.27744--0.334866))+0-139.3--0.142086000000022</f>
        <v>1165.5099660000001</v>
      </c>
      <c r="X184" s="3">
        <f>1373+(333.6-469.5)+(0+(0-0))+0-137.8-0</f>
        <v>1099.3</v>
      </c>
      <c r="Y184" s="3">
        <f>1419.3+(308.5-345)+(0+(0-0))+0-136.6-0</f>
        <v>1246.2</v>
      </c>
      <c r="Z184" s="3">
        <f>1462.2+(317.6-355.1)+(-1.491444+(-0.323952--0.362202))+0-144.4--0.147288000000023</f>
        <v>1278.9940940000001</v>
      </c>
      <c r="AA184" s="3">
        <f>1467.5+(355-393.2)+(-3.742125+(-0.90525--1.00266))+0-155.2--0.395759999999977</f>
        <v>1270.8510449999999</v>
      </c>
      <c r="AB184" s="3">
        <f>1449.1+(395.2-423.5)+(-3.695205+(-1.00776--1.079925))+0-156.9--0.400094999999977</f>
        <v>1260.6770549999999</v>
      </c>
      <c r="AC184" s="3">
        <f>1450.2+(370-439.6)+(-0.739602+(-0.1887--0.224196))+0-154.5--0.0787949999999843</f>
        <v>1225.4746889999999</v>
      </c>
      <c r="AD184">
        <v>1261.5</v>
      </c>
      <c r="AE184" s="3">
        <f>1462+(330.7-376.2)+(0+(0-0))+0-145-0</f>
        <v>1271.5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1449.8+(322.2-426.6)+(-5.175786+(-1.150254--1.522962))+0-154.7--0.552279000000002</f>
        <v>1186.4492009999999</v>
      </c>
      <c r="G185" s="3">
        <f>1456.6+(293.8-446.1)+(-5.942928+(-1.198704--1.820088))+0-156.4--0.638111999999986</f>
        <v>1143.2165680000001</v>
      </c>
      <c r="H185" s="3">
        <f>1460.7+(265.7-457.1)+(-4.469742+(-0.813042--1.398726))+0-154.5--0.472770000000018</f>
        <v>1111.3887119999999</v>
      </c>
      <c r="I185" s="3">
        <f>1479.9+(230.8-472.6)+(0.754749+(0.117708-0.241026))+0-154.5-0.0787949999999843</f>
        <v>1084.1526360000003</v>
      </c>
      <c r="J185" s="3">
        <f>1474.5+(225.7-483.5)+(0.751995+(0.115107-0.246585))+0-153.8-0.0784379999999844</f>
        <v>1063.4420790000001</v>
      </c>
      <c r="K185" s="3">
        <f>1472.8+(218.1-490.1)+(1.502256+(0.222462-0.499902))+0-153.8-0.156876000000025</f>
        <v>1048.0679399999999</v>
      </c>
      <c r="L185" s="3">
        <f>1490.9+(214.6-580)+(-3.041436+(-0.437784--1.1832))+0-148.3--0.302531999999994</f>
        <v>975.20651200000009</v>
      </c>
      <c r="M185" s="3">
        <f>1480.3+(264.2-618.7)+(1.509906+(0.269484-0.631074))+0-151.6-0.154632000000024</f>
        <v>975.19368399999996</v>
      </c>
      <c r="N185" s="3">
        <f>1463.9+(292.8-579.8)+(-2.986356+(-0.597312--1.182792))+0-146--0.297839999999994</f>
        <v>1028.7969640000001</v>
      </c>
      <c r="O185" s="3">
        <f>1456.4+(293.3-526.5)+(-0.742764+(-0.149583--0.268515))+0-142.6--0.0727259999999855</f>
        <v>1080.048894</v>
      </c>
      <c r="P185" s="3">
        <f>1440+(282.3-423.5)+(-1.4688+(-0.287946--0.43197))+0-146.2--0.149124000000023</f>
        <v>1151.424348</v>
      </c>
      <c r="Q185" s="3">
        <f>1422.3+(299-339.9)+(1.450746+(0.30498-0.346698))+0-144.6-0.147492000000023</f>
        <v>1238.0615360000002</v>
      </c>
      <c r="R185" s="3">
        <f>1415+(335-318.4)+(-1.4433+(-0.3417--0.324768))+0-147.9--0.150858000000024</f>
        <v>1282.3906259999999</v>
      </c>
      <c r="S185" s="3">
        <f>1405+(468.7-434.5)+(-1.4331+(-0.478074--0.44319))+0-134--0.136680000000021</f>
        <v>1303.8686960000002</v>
      </c>
      <c r="T185" s="3">
        <f>1403.1+(535.5-497.2)+(-1.431162+(-0.54621--0.507144))+0-127.4--0.12994800000002</f>
        <v>1312.6597199999999</v>
      </c>
      <c r="U185" s="3">
        <f>1398.5+(487.9-460.6)+(-2.85294+(-0.995316--0.939624))+0-126--0.257039999999995</f>
        <v>1297.148408</v>
      </c>
      <c r="V185" s="3">
        <f>1391.5+(363.1-376.7)+(-2.83866+(-0.740724--0.768468))+3.7-124.3--0.253571999999995</f>
        <v>1254.7426560000004</v>
      </c>
      <c r="W185" s="3">
        <f>1399.8+(262.1-380.6)+(-3.56949+(-0.668355--0.97053))+3.8-122.6--0.312629999999982</f>
        <v>1159.5453149999998</v>
      </c>
      <c r="X185" s="3">
        <f>1406.1+(323.2-495.4)+(-2.151333+(-0.494496--0.757962))+0-137.9--0.210987000000008</f>
        <v>1094.3231199999998</v>
      </c>
      <c r="Y185" s="3">
        <f>1437.7+(306.8-366.1)+(-2.932908+(-0.625872--0.746844))+0-138.7--0.282947999999994</f>
        <v>1237.171012</v>
      </c>
      <c r="Z185" s="3">
        <f>1463.8+(332.9-382.6)+(-2.986152+(-0.679116--0.780504))+0-145.1--0.296003999999994</f>
        <v>1266.4112400000001</v>
      </c>
      <c r="AA185" s="3">
        <f>1456.1+(368.6-413.4)+(-5.940888+(-1.503888--1.686672))+0-149.9--0.611591999999987</f>
        <v>1256.2534879999998</v>
      </c>
      <c r="AB185" s="3">
        <f>1441.2+(394.2-440.5)+(-3.67506+(-1.00521--1.123275))+0-144.7--0.368984999999979</f>
        <v>1247.0119900000002</v>
      </c>
      <c r="AC185" s="3">
        <f>1453.7+(385.1-468.9)+(-1.482774+(-0.392802--0.478278))+0-145.7--0.148614000000023</f>
        <v>1222.9513159999999</v>
      </c>
      <c r="AD185">
        <v>1285.7</v>
      </c>
      <c r="AE185" s="3">
        <f>1459+(365.5-382.8)+(0+(0-0))+0-146-0</f>
        <v>1295.7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1451.7+(295.4-449.5)+(-1.480734+(-0.301308--0.45849))+0-147.8--0.150756000000024</f>
        <v>1148.6272039999999</v>
      </c>
      <c r="G186" s="3">
        <f>1454.8+(286.6-482.6)+(2.225844+(0.438498-0.738378))+0-162-0.247860000000009</f>
        <v>1098.478104</v>
      </c>
      <c r="H186" s="3">
        <f>1455.2+(269.9-500.5)+(2.226456+(0.412947-0.765765))+0-145.8-0.223074000000008</f>
        <v>1080.450564</v>
      </c>
      <c r="I186" s="3">
        <f>1462.2+(245.1-506.5)+(1.491444+(0.250002-0.51663))+0-143.5-0.146370000000023</f>
        <v>1058.3784460000002</v>
      </c>
      <c r="J186" s="3">
        <f>1451.6+(224.2-494.4)+(3.70158+(0.57171-1.26072))+0-145.5-0.371024999999979</f>
        <v>1038.541545</v>
      </c>
      <c r="K186" s="3">
        <f>1459.2+(212.3-553.4)+(-3.72096+(-0.541365--1.41117))+0-143.2--0.365159999999979</f>
        <v>972.41400499999997</v>
      </c>
      <c r="L186" s="3">
        <f>1455.2+(242.6-608.3)+(0.742152+(0.123726-0.310233))+0-140-0.0713999999999858</f>
        <v>949.98424499999987</v>
      </c>
      <c r="M186" s="3">
        <f>1438.8+(263.1-547.7)+(-0.733788+(-0.134181--0.279327))+0-146--0.0744599999999852</f>
        <v>1007.6858179999998</v>
      </c>
      <c r="N186" s="3">
        <f>1426.8+(295.3-503.5)+(-1.455336+(-0.301206--0.51357))+0-149.3--0.152286000000024</f>
        <v>1068.2093139999999</v>
      </c>
      <c r="O186" s="3">
        <f>1424+(320.5-456.9)+(0+(0-0))+0-150.5-0</f>
        <v>1137.0999999999999</v>
      </c>
      <c r="P186" s="3">
        <f>1414.2+(308.1-339.9)+(-0.721242+(-0.157131--0.173349))+0-151.3--0.0771629999999847</f>
        <v>1230.472139</v>
      </c>
      <c r="Q186" s="3">
        <f>1400.9+(383.3-346.3)+(-2.857836+(-0.781932--0.706452))+0-151.2--0.308447999999993</f>
        <v>1284.0751319999999</v>
      </c>
      <c r="R186" s="3">
        <f>1397.4+(490.9-436.5)+(-3.56337+(-1.251795--1.113075))+0-147--0.374849999999979</f>
        <v>1301.4727600000001</v>
      </c>
      <c r="S186" s="3">
        <f>1395.5+(523.5-471.9)+(-2.84682+(-1.06794--0.962676))+0-151.2--0.308447999999993</f>
        <v>1293.2563639999998</v>
      </c>
      <c r="T186" s="3">
        <f>1388.1+(490.8-449.9)+(0+(0-0))+0-152-0</f>
        <v>1277</v>
      </c>
      <c r="U186" s="3">
        <f>1389.7+(339.4-355.9)+(-2.834988+(-0.692376--0.726036))+0-147.7--0.301307999999994</f>
        <v>1222.9999800000001</v>
      </c>
      <c r="V186" s="3">
        <f>1391.6+(259.2-379.9)+(-3.54858+(-0.66096--0.968745))+0-152.1--0.387854999999978</f>
        <v>1115.94706</v>
      </c>
      <c r="W186" s="3">
        <f>1351.4+(324.2-431.8)+(-1.378428+(-0.330684--0.440436))+0-152.1--0.155142000000024</f>
        <v>1090.5864660000004</v>
      </c>
      <c r="X186" s="3">
        <f>1379.3+(327.1-333.7)+(-2.813772+(-0.667284--0.680748))+0-155.3--0.316811999999993</f>
        <v>1214.916504</v>
      </c>
      <c r="Y186" s="3">
        <f>1490.1+(310.9-391.2)+(-4.559706+(-0.951354--1.197072))+0-153.3--0.469098000000018</f>
        <v>1252.6551099999999</v>
      </c>
      <c r="Z186" s="3">
        <f>1530.3+(304.1-441.8)+(-3.902265+(-0.775455--1.12659))+0-150.8--0.384539999999978</f>
        <v>1238.6334099999999</v>
      </c>
      <c r="AA186" s="3">
        <f>1509.5+(322.8-460.1)+(-3.07938+(-0.658512--0.938604))+0-151--0.308039999999993</f>
        <v>1218.708752</v>
      </c>
      <c r="AB186" s="3">
        <f>1509.6+(339.8-487)+(-2.309688+(-0.519894--0.74511))+0-156.1--0.238833000000009</f>
        <v>1204.4543610000001</v>
      </c>
      <c r="AC186" s="3">
        <f>1469+(335.4-469.2)+(-3.74595+(-0.85527--1.19646))+0-160.6--0.409529999999977</f>
        <v>1171.6047700000001</v>
      </c>
      <c r="AD186">
        <v>1258.4000000000001</v>
      </c>
      <c r="AE186" s="3">
        <f>1521+(306.7-403.5)+(0+(0-0))+0-152.8-0</f>
        <v>1271.4000000000001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1480.6+(315.1-500.3)+(-1.510212+(-0.321402--0.510306))+0-158.2--0.161364000000025</f>
        <v>1136.0400559999998</v>
      </c>
      <c r="G187" s="3">
        <f>1497.7+(302-540.1)+(0.763827+(0.15402-0.275451))+0-153.2-0.0781319999999845</f>
        <v>1106.9642639999997</v>
      </c>
      <c r="H187" s="3">
        <f>1505.6+(261.8-538.6)+(1.535712+(0.267036-0.549372))+0-150.9-0.153918000000024</f>
        <v>1078.9994579999998</v>
      </c>
      <c r="I187" s="3">
        <f>1514.6+(230.1-539.1)+(0+(0-0))+0-151.5-0</f>
        <v>1054.0999999999999</v>
      </c>
      <c r="J187" s="3">
        <f>1525.8+(203.9-550.2)+(-2.334474+(-0.311967--0.841806))+0-148.5--0.227205000000009</f>
        <v>1029.42257</v>
      </c>
      <c r="K187" s="3">
        <f>1527+(165.4-569.2)+(-4.67262+(-0.506124--1.741752))+0-148.7--0.455022000000017</f>
        <v>971.51802999999984</v>
      </c>
      <c r="L187" s="3">
        <f>1532.7+(158.5-606.2)+(0.781677+(0.080835-0.309162))+0-141-0.0719099999999857</f>
        <v>944.48143999999991</v>
      </c>
      <c r="M187" s="3">
        <f>1530.7+(167.3-579.7)+(3.122628+(0.341292-1.182588))+0-144.3-0.294371999999994</f>
        <v>975.98696000000007</v>
      </c>
      <c r="N187" s="3">
        <f>1515.8+(181.2-535.8)+(0+(0-0))+0-144.5-0</f>
        <v>1016.7</v>
      </c>
      <c r="O187" s="3">
        <f>1509.2+(207.2-498.9)+(1.539384+(0.211344-0.508878))+0-145.9-0.148818000000023</f>
        <v>1072.6930319999999</v>
      </c>
      <c r="P187" s="3">
        <f>1481.4+(244.6-435.2)+(0+(0-0))+0-147.1-0</f>
        <v>1143.7000000000003</v>
      </c>
      <c r="Q187" s="3">
        <f>1473.7+(291.4-421.7)+(-1.503174+(-0.297228--0.430134))+0-147.4--0.150348000000024</f>
        <v>1194.7800800000002</v>
      </c>
      <c r="R187" s="3">
        <f>1437.7+(424.3-487.5)+(0.733227+(0.216393-0.248625))+0-145.3-0.0741029999999853</f>
        <v>1229.826892</v>
      </c>
      <c r="S187" s="3">
        <f>1462.6+(460.8-537.3)+(-1.491852+(-0.470016--0.548046))+0-147.1--0.150042000000023</f>
        <v>1237.73622</v>
      </c>
      <c r="T187" s="3">
        <f>1464.3+(429.7-513.1)+(-2.240379+(-0.657441--0.785043))+0-147.6--0.225828000000009</f>
        <v>1231.413051</v>
      </c>
      <c r="U187" s="3">
        <f>1460.8+(326.5-449.7)+(-2.980032+(-0.66606--0.917388))+0-144.9--0.295595999999994</f>
        <v>1190.2668919999996</v>
      </c>
      <c r="V187" s="3">
        <f>1461.6+(226.1-430.2)+(-2.236248+(-0.345933--0.658206))+0-147--0.224910000000008</f>
        <v>1108.800935</v>
      </c>
      <c r="W187" s="3">
        <f>1468.2+(201.8-447.6)+(0+(0-0))+0-148.1-0</f>
        <v>1074.3000000000002</v>
      </c>
      <c r="X187" s="3">
        <f>1512.3+(266.2-416.2)+(0+(0-0))+0-148.4-0</f>
        <v>1213.8999999999999</v>
      </c>
      <c r="Y187" s="3">
        <f>1529.4+(344.1-484.7)+(-0.779994+(-0.175491--0.247197))+0-148.5--0.0757349999999849</f>
        <v>1239.667447</v>
      </c>
      <c r="Z187" s="3">
        <f>1523.3+(387.3-526.9)+(-2.330649+(-0.592569--0.806157))+0-148.2--0.226746000000009</f>
        <v>1233.6096850000001</v>
      </c>
      <c r="AA187" s="3">
        <f>1509.1+(406.7-540)+(-1.539282+(-0.414834--0.5508))+0-156.7--0.159834000000025</f>
        <v>1217.8565180000001</v>
      </c>
      <c r="AB187" s="3">
        <f>1513.5+(410.9-564.4)+(0.771885+(0.209559-0.287844))+0-156.1-0.0796109999999842</f>
        <v>1204.5139890000003</v>
      </c>
      <c r="AC187" s="3">
        <f>1529.2+(361.1-573.4)+(-0.779892+(-0.184161--0.292434))+0-154.5--0.0787949999999843</f>
        <v>1161.807176</v>
      </c>
      <c r="AD187">
        <v>1212.9000000000001</v>
      </c>
      <c r="AE187" s="3">
        <f>1526+(348.8-500.3)+(0+(0-0))+0-148.6-0</f>
        <v>1225.9000000000001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1550.4+(330.6-601)+(0+(0-0))+0-158.4-0</f>
        <v>1121.5999999999999</v>
      </c>
      <c r="G188" s="3">
        <f>1554+(284.9-593.8)+(0.79254+(0.145299-0.302838))+0-156-0.0795599999999842</f>
        <v>1089.6554410000001</v>
      </c>
      <c r="H188" s="3">
        <f>1554.4+(258.9-594.9)+(1.585488+(0.264078-0.606798))+0-159.2-0.162384000000025</f>
        <v>1060.2803840000001</v>
      </c>
      <c r="I188" s="3">
        <f>1565.6+(247.5-612.5)+(0.798456+(0.126225-0.312375))+0-159.2-0.0811919999999838</f>
        <v>1041.931114</v>
      </c>
      <c r="J188" s="3">
        <f>1574.3+(215.7-601.3)+(-1.605786+(-0.220014--0.613326))+0-162.8--0.166056000000026</f>
        <v>1024.8535820000002</v>
      </c>
      <c r="K188" s="3">
        <f>1573.7+(152.2-598.1)+(-4.012935+(-0.38811--1.525155))+0-166.4--0.424319999999976</f>
        <v>958.94842999999992</v>
      </c>
      <c r="L188" s="3">
        <f>1570.9+(144.1-612.1)+(0+(0-0))+0-169.8-0</f>
        <v>933.10000000000014</v>
      </c>
      <c r="M188" s="3">
        <f>1556.9+(157.6-570.9)+(0+(0-0))+0-171.9-0</f>
        <v>971.70000000000016</v>
      </c>
      <c r="N188" s="3">
        <f>1537.2+(213.5-542.8)+(-0.783972+(-0.108885--0.276828))+0-177.2--0.090371999999982</f>
        <v>1030.1743429999999</v>
      </c>
      <c r="O188" s="3">
        <f>1512.3+(271.8-518.2)+(0+(0-0))+0-171.4-0</f>
        <v>1094.4999999999998</v>
      </c>
      <c r="P188" s="3">
        <f>1505+(258.6-421.1)+(0.76755+(0.131886-0.214761))+0-176.3-0.0899129999999821</f>
        <v>1166.794762</v>
      </c>
      <c r="Q188" s="3">
        <f>1495.3+(321.7-407.2)+(-2.287809+(-0.492201--0.623016))+0-177.5--0.27157500000001</f>
        <v>1230.414581</v>
      </c>
      <c r="R188" s="3">
        <f>1476.5+(443.5-493.2)+(0+(0-0))+0-174.1-0</f>
        <v>1252.7</v>
      </c>
      <c r="S188" s="3">
        <f>1470.3+(509.6-541.2)+(0.749853+(0.259896-0.276012))+0-175.1-0.0893009999999822</f>
        <v>1264.244436</v>
      </c>
      <c r="T188" s="3">
        <f>1458.5+(492.9-524.4)+(0+(0-0))+0-174.6-0</f>
        <v>1252.4000000000001</v>
      </c>
      <c r="U188" s="3">
        <f>1465.8+(380.9-471.6)+(-1.495116+(-0.388518--0.481032))+0-174.5--0.177990000000028</f>
        <v>1199.3753880000002</v>
      </c>
      <c r="V188" s="3">
        <f>1470.7+(271.5-445.9)+(-2.250171+(-0.415395--0.682227))+0-178.9--0.27371700000001</f>
        <v>1115.6903780000002</v>
      </c>
      <c r="W188" s="3">
        <f>1481.7+(204.5-404.2)+(-1.511334+(-0.20859--0.412284))+0-188.2--0.19196400000003</f>
        <v>1092.6843240000001</v>
      </c>
      <c r="X188" s="3">
        <f>1502.6+(312.3-399.4)+(0+(0-0))+0-182.5-0</f>
        <v>1233</v>
      </c>
      <c r="Y188" s="3">
        <f>1528+(399.3-474.6)+(-0.77928+(-0.203643--0.242046))+0-178.2--0.0908819999999819</f>
        <v>1273.850005</v>
      </c>
      <c r="Z188" s="3">
        <f>1543.3+(407.9-506.8)+(-3.148332+(-0.832116--1.033872))+0-177.6--0.362303999999992</f>
        <v>1264.2157279999999</v>
      </c>
      <c r="AA188" s="3">
        <f>1529.5+(432.5-524.5)+(0.780045+(0.220575-0.267495))+0-174.3-0.0888929999999823</f>
        <v>1263.8442320000001</v>
      </c>
      <c r="AB188" s="3">
        <f>1527.5+(418.6-537.5)+(-2.337075+(-0.640458--0.822375))+0-175.1--0.26790300000001</f>
        <v>1231.6127449999999</v>
      </c>
      <c r="AC188" s="3">
        <f>1534.6+(361.2-536.7)+(-0.782646+(-0.184212--0.273717))+0-176.7--0.0901169999999821</f>
        <v>1181.7969759999999</v>
      </c>
      <c r="AD188">
        <v>1231.8999999999999</v>
      </c>
      <c r="AE188" s="3">
        <f>1507+(404.1-489.2)+(0+(0-0))+0-178-0</f>
        <v>1243.9000000000001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1537.9+(297.3-519.4)+(-0.784329+(-0.151623--0.264894))+0-175.5--0.0895049999999822</f>
        <v>1139.7184470000002</v>
      </c>
      <c r="G189" s="3">
        <f>1544.3+(259.8-521.1)+(-2.362779+(-0.397494--0.797283))+0-175.2--0.26805600000001</f>
        <v>1106.1050660000001</v>
      </c>
      <c r="H189" s="3">
        <f>1546.3+(226.5-518.4)+(0.788613+(0.115515-0.264384))+0-178.4-0.0909839999999819</f>
        <v>1076.5487600000001</v>
      </c>
      <c r="I189" s="3">
        <f>1557+(213.4-535.3)+(-0.79407+(-0.108834--0.273003))+0-178.4--0.0909839999999819</f>
        <v>1056.1610829999997</v>
      </c>
      <c r="J189" s="3">
        <f>1565.4+(204.1-551)+(-0.798354+(-0.104091--0.28101))+0-173.2--0.0883319999999824</f>
        <v>1044.766897</v>
      </c>
      <c r="K189" s="3">
        <f>1560.7+(178.6-582.7)+(-3.183828+(-0.364344--1.188708))+0-162--0.330479999999993</f>
        <v>992.57101599999999</v>
      </c>
      <c r="L189" s="3">
        <f>1558.6+(149.2-577.4)+(-1.589772+(-0.152184--0.588948))+0-159.1--0.162282000000025</f>
        <v>970.30927399999985</v>
      </c>
      <c r="M189" s="3">
        <f>1573.7+(165-565.9)+(1.605174+(0.1683-0.577218))+0-164.7-0.167994000000026</f>
        <v>1009.1282620000001</v>
      </c>
      <c r="N189" s="3">
        <f>1540.5+(201.3-489.6)+(0+(0-0))+0-166.3-0</f>
        <v>1085.9000000000001</v>
      </c>
      <c r="O189" s="3">
        <f>1514+(253-409)+(0.77214+(0.12903-0.20859))+0-178.1-0.0908309999999819</f>
        <v>1180.501749</v>
      </c>
      <c r="P189" s="3">
        <f>1497.3+(264-327)+(-0.763623+(-0.13464--0.16677))+0-177.1--0.090320999999982</f>
        <v>1256.5588279999999</v>
      </c>
      <c r="Q189" s="3">
        <f>1489.6+(298.8-337.9)+(0.759696+(0.152388-0.172329))+0-165.9-0.0846089999999832</f>
        <v>1285.255146</v>
      </c>
      <c r="R189" s="3">
        <f>1482.1+(395.9-402.4)+(-1.511742+(-0.403818--0.410448))+0-168.8--0.172176000000027</f>
        <v>1305.4670639999999</v>
      </c>
      <c r="S189" s="3">
        <f>1477.5+(484.1-463.1)+(1.50705+(0.493782-0.472362))+0-170.8-0.174216000000027</f>
        <v>1329.0542539999999</v>
      </c>
      <c r="T189" s="3">
        <f>1474.1+(458.9-444.6)+(-0.751791+(-0.234039--0.226746))+0-173.2--0.0883319999999824</f>
        <v>1314.5292479999998</v>
      </c>
      <c r="U189" s="3">
        <f>1475.9+(364.8-398.2)+(-3.010836+(-0.744192--0.812328))+0-170.9--0.348635999999993</f>
        <v>1269.0059359999998</v>
      </c>
      <c r="V189" s="3">
        <f>1474.2+(250.1-372.9)+(-1.503684+(-0.255102--0.380358))+0-174.5--0.177990000000028</f>
        <v>1175.6995620000002</v>
      </c>
      <c r="W189" s="3">
        <f>1482.4+(235.5-409.8)+(0.756024+(0.120105-0.208998))+0-179.6-0.0915959999999818</f>
        <v>1129.0755350000002</v>
      </c>
      <c r="X189" s="3">
        <f>1518.5+(295.8-360.8)+(-0.774435+(-0.150858--0.184008))+0-180.5--0.0920549999999817</f>
        <v>1272.35077</v>
      </c>
      <c r="Y189" s="3">
        <f>1536.8+(339.2-390.3)+(-3.91884+(-0.86496--0.995265))+0-174.8--0.445739999999975</f>
        <v>1307.5572049999998</v>
      </c>
      <c r="Z189" s="3">
        <f>1543.2+(335.2-412.7)+(-1.574064+(-0.341904--0.420954))+0-169.1--0.172482000000027</f>
        <v>1295.277468</v>
      </c>
      <c r="AA189" s="3">
        <f>1529.6+(337.1-408.3)+(-0.780096+(-0.171921--0.208233))+0-167.2--0.085271999999983</f>
        <v>1290.5414879999998</v>
      </c>
      <c r="AB189" s="3">
        <f>1529.3+(336.5-440.6)+(-2.339829+(-0.514845--0.674118))+0-167.8--0.25673400000001</f>
        <v>1255.4761779999999</v>
      </c>
      <c r="AC189" s="3">
        <f>1551.1+(307.3-488.1)+(-3.955305+(-0.783615--1.244655))+0-164.6--0.419729999999976</f>
        <v>1202.6254650000001</v>
      </c>
      <c r="AD189">
        <v>1306.5</v>
      </c>
      <c r="AE189" s="3">
        <f>1537+(327.9-372.4)+(0+(0-0))+0-174-0</f>
        <v>1318.5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1542.3+(278.9-497.4)+(-3.932865+(-0.711195--1.26837))+0-164.6--0.419729999999976</f>
        <v>1156.24404</v>
      </c>
      <c r="G190" s="3">
        <f>1497.2+(249.7-456.3)+(3.054288+(0.509388-0.930852))+0-168.7-0.344147999999993</f>
        <v>1124.188676</v>
      </c>
      <c r="H190" s="3">
        <f>1379.1+(243.8-359.2)+(-1.406682+(-0.248676--0.366384))+0-171.6--0.175032000000027</f>
        <v>1090.986058</v>
      </c>
      <c r="I190" s="3">
        <f>1381.5+(240.5-378.4)+(-1.40913+(-0.24531--0.385968))+0-174--0.177480000000028</f>
        <v>1068.509008</v>
      </c>
      <c r="J190" s="3">
        <f>1387.6+(243-402.4)+(-1.415352+(-0.24786--0.410448))+0-173.2--0.176664000000028</f>
        <v>1053.9238999999998</v>
      </c>
      <c r="K190" s="3">
        <f>1391.5+(311.4-531.9)+(-3.548325+(-0.79407--1.356345))+0-172.2--0.439109999999975</f>
        <v>996.25306</v>
      </c>
      <c r="L190" s="3">
        <f>1408.1+(353.5-647.3)+(-2.154393+(-0.540855--0.990369))+0-164.4--0.25153200000001</f>
        <v>948.44665300000008</v>
      </c>
      <c r="M190" s="3">
        <f>1395.3+(239.7-433.9)+(0.711603+(0.122247-0.221289))+0-161.8-0.0825179999999836</f>
        <v>1039.8300429999999</v>
      </c>
      <c r="N190" s="3">
        <f>1374.1+(301.5-413.1)+(0+(0-0))+0-162.5-0</f>
        <v>1100</v>
      </c>
      <c r="O190" s="3">
        <f>1354+(447-419)+(0.69054+(0.22797-0.21369))+0-179-0.0912899999999818</f>
        <v>1203.6135299999999</v>
      </c>
      <c r="P190" s="3">
        <f>1341+(369.3-325.9)+(1.36782+(0.376686-0.332418))+0-170.3-0.173706000000027</f>
        <v>1215.3383820000001</v>
      </c>
      <c r="Q190" s="3">
        <f>1333.9+(329.8-228.8)+(0+(0-0))+0-169.7-0</f>
        <v>1265.2</v>
      </c>
      <c r="R190" s="3">
        <f>1326.1+(390-261)+(-2.028933+(-0.5967--0.39933))+0-157.6--0.241128000000009</f>
        <v>1295.5148250000002</v>
      </c>
      <c r="S190" s="3">
        <f>1318.6+(464.7-306)+(-2.689944+(-0.947988--0.62424))+0-159.2--0.324767999999993</f>
        <v>1315.4110759999999</v>
      </c>
      <c r="T190" s="3">
        <f>1311.7+(447-287.7)+(-3.344835+(-1.13985--0.733635))+0-177.3--0.452114999999974</f>
        <v>1290.401065</v>
      </c>
      <c r="U190" s="3">
        <f>1312.2+(355.3-241)+(-4.684554+(-1.268421--0.86037))+0-179.8--0.641886000000003</f>
        <v>1242.2492810000001</v>
      </c>
      <c r="V190" s="3">
        <f>1314.9+(288.4-252)+(-4.694193+(-1.029588--0.89964))+0-187.1--0.667947000000003</f>
        <v>1160.0438060000001</v>
      </c>
      <c r="W190" s="3">
        <f>1321.5+(373.7-377)+(-2.69586+(-0.762348--0.76908))+0-188.2--0.383927999999992</f>
        <v>1127.6948</v>
      </c>
      <c r="X190" s="3">
        <f>1328.7+(385.3-270.5)+(-2.710548+(-0.786012--0.55182))+0-189.8--0.387191999999992</f>
        <v>1251.142452</v>
      </c>
      <c r="Y190" s="3">
        <f>1350.3+(369-241)+(-2.754612+(-0.75276--0.49164))+0-187.2--0.381887999999992</f>
        <v>1288.4661559999997</v>
      </c>
      <c r="Z190" s="3">
        <f>1364.2+(383.1-273)+(0+(0-0))+0-195.4-0</f>
        <v>1278.9000000000001</v>
      </c>
      <c r="AA190" s="3">
        <f>1361.2+(391.4-295.9)+(-3.47106+(-0.99807--0.754545))+0-193.8--0.494189999999972</f>
        <v>1259.679605</v>
      </c>
      <c r="AB190" s="3">
        <f>1360.7+(378.3-310.3)+(-3.469785+(-0.964665--0.791265))+0-188.9--0.481694999999973</f>
        <v>1236.63851</v>
      </c>
      <c r="AC190" s="3">
        <f>1360.9+(359.8-341.4)+(-3.470295+(-0.91749--0.87057))+0-185.4--0.472769999999973</f>
        <v>1190.8555550000001</v>
      </c>
      <c r="AD190">
        <v>1274.8</v>
      </c>
      <c r="AE190" s="3">
        <f>1342+(374.5-237.3)+(0+(0-0))+0-192.4-0</f>
        <v>1286.8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1367.7+(332.3-386.2)+(-2.790108+(-0.677892--0.787848))+0-180.8--0.368831999999992</f>
        <v>1130.6886800000002</v>
      </c>
      <c r="G191" s="3">
        <f>1355.7+(297.4-379)+(0+(0-0))+0-177.6-0</f>
        <v>1096.5</v>
      </c>
      <c r="H191" s="3">
        <f>1356.4+(276.2-379.5)+(0+(0-0))+0-174.9-0</f>
        <v>1078.2</v>
      </c>
      <c r="I191" s="3">
        <f>1356+(264.3-382.8)+(0+(0-0))+0-176.6-0</f>
        <v>1060.9000000000001</v>
      </c>
      <c r="J191" s="3">
        <f>1361.8+(234.6-378.5)+(-1.389036+(-0.239292--0.38607))+0-171.4--0.174828000000027</f>
        <v>1045.4325699999997</v>
      </c>
      <c r="K191" s="3">
        <f>1366.7+(195.3-413.5)+(-0.697017+(-0.099603--0.210885))+0-166.4--0.0848639999999831</f>
        <v>981.59912899999995</v>
      </c>
      <c r="L191" s="3">
        <f>1367.8+(204.7-455.2)+(-1.395156+(-0.208794--0.464304))+0-171.7--0.175134000000027</f>
        <v>944.6354879999999</v>
      </c>
      <c r="M191" s="3">
        <f>1372.6+(227.9-422)+(2.100078+(0.348687-0.64566))+0-184-0.281520000000011</f>
        <v>996.02158499999996</v>
      </c>
      <c r="N191" s="3">
        <f>1360.2+(276.7-386.9)+(1.387404+(0.282234-0.394638))+0-186.6-0.19033200000003</f>
        <v>1064.4846680000001</v>
      </c>
      <c r="O191" s="3">
        <f>1348.2+(299.9-351.3)+(0+(0-0))+0-178.2-0</f>
        <v>1118.5999999999999</v>
      </c>
      <c r="P191" s="3">
        <f>1328.5+(335.2-283.7)+(-3.387675+(-0.85476--0.723435))+0-180.6--0.460529999999974</f>
        <v>1196.3415300000001</v>
      </c>
      <c r="Q191" s="3">
        <f>1321.5+(385.2-247.4)+(0.673965+(0.196452-0.126174))+0-185.3-0.0945029999999812</f>
        <v>1274.6497400000001</v>
      </c>
      <c r="R191" s="3">
        <f>1262+(472.4-305.5)+(1.28724+(0.481848-0.31161))+0-175.6-0.179112000000028</f>
        <v>1254.5783660000002</v>
      </c>
      <c r="S191" s="3">
        <f>1304.5+(579.1-391.4)+(2.66118+(1.181364-0.798456))+0-182-0.371279999999992</f>
        <v>1312.8728080000001</v>
      </c>
      <c r="T191" s="3">
        <f>1253.3+(550.8-374.6)+(-1.917549+(-0.842724--0.573138))+0-170--0.26010000000001</f>
        <v>1257.5729650000001</v>
      </c>
      <c r="U191" s="3">
        <f>1293.9+(400.7-282.5)+(-3.299445+(-1.021785--0.720375))+0-157.9--0.402644999999977</f>
        <v>1251.00179</v>
      </c>
      <c r="V191" s="3">
        <f>1292.3+(347.4-354.7)+(-3.295365+(-0.88587--0.904485))+0-172.1--0.438854999999975</f>
        <v>1110.062105</v>
      </c>
      <c r="W191" s="3">
        <f>1300.8+(419.4-440.2)+(-1.990224+(-0.641682--0.673506))+0-181.8--0.278154000000011</f>
        <v>1096.5197540000001</v>
      </c>
      <c r="X191" s="3">
        <f>1321.4+(365.3-251.2)+(2.021742+(0.558909-0.384336))+0-182.1-0.27861300000001</f>
        <v>1255.3177020000001</v>
      </c>
      <c r="Y191" s="3">
        <f>1358.2+(381.1-272.2)+(-3.46341+(-0.971805--0.69411))+0-181.1--0.461804999999974</f>
        <v>1282.7207000000001</v>
      </c>
      <c r="Z191" s="3">
        <f>1360.5+(399-300.6)+(-1.38771+(-0.40698--0.306612))+0-184.8--0.188496000000029</f>
        <v>1272.800418</v>
      </c>
      <c r="AA191" s="3">
        <f>1362+(389.8-323.3)+(-2.08386+(-0.596394--0.494649))+0-182.1--0.27861300000001</f>
        <v>1244.4930080000001</v>
      </c>
      <c r="AB191" s="3">
        <f>1372.5+(384.1-368)+(-2.7999+(-0.783564--0.75072))+0-172.9--0.352715999999992</f>
        <v>1213.2199719999999</v>
      </c>
      <c r="AC191" s="3">
        <f>1375.9+(389.4-406.2)+(-3.508545+(-0.99297--1.03581))+0-176.1--0.449054999999974</f>
        <v>1179.9833500000002</v>
      </c>
      <c r="AD191">
        <v>1262.7</v>
      </c>
      <c r="AE191" s="3">
        <f>1342+(361-243.2)+(0+(0-0))+0-183.1-0</f>
        <v>1276.7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1379.9+(346.5-409.2)+(-2.814996+(-0.70686--0.834768))+0-175.5--0.358019999999992</f>
        <v>1139.370932</v>
      </c>
      <c r="G192" s="3">
        <f>1386.4+(327.8-441.9)+(-0.707064+(-0.167178--0.225369))+0-176.6--0.0900659999999821</f>
        <v>1095.1411930000002</v>
      </c>
      <c r="H192" s="3">
        <f>1388.1+(298.6-449.8)+(-2.831724+(-0.609144--0.917592))+0-176--0.359039999999992</f>
        <v>1058.735764</v>
      </c>
      <c r="I192" s="3">
        <f>1398.5+(292.6-462.9)+(0.713235+(0.149226-0.236079))+0-173.1-0.0882809999999824</f>
        <v>1055.638101</v>
      </c>
      <c r="J192" s="3">
        <f>1412.5+(260.3-462.7)+(-1.44075+(-0.265506--0.471954))+0-171.7--0.175134000000027</f>
        <v>1037.3408319999999</v>
      </c>
      <c r="K192" s="3">
        <f>1411.6+(227.3-479.4)+(-3.59958+(-0.579615--1.22247))+0-171.8--0.438089999999975</f>
        <v>985.18136500000003</v>
      </c>
      <c r="L192" s="3">
        <f>1402.1+(191.5-457.6)+(-0.715071+(-0.097665--0.233376))+0-164.9--0.0840989999999833</f>
        <v>970.60473900000011</v>
      </c>
      <c r="M192" s="3">
        <f>1408.5+(184.3-405.8)+(0.718335+(0.093993-0.206958))+0-175.3-0.0894029999999822</f>
        <v>1012.2159670000001</v>
      </c>
      <c r="N192" s="3">
        <f>1384.7+(228.7-360.5)+(1.412394+(0.233274-0.36771))+0-174.7-0.178194000000028</f>
        <v>1079.2997639999999</v>
      </c>
      <c r="O192" s="3">
        <f>1365.6+(287.8-337.2)+(2.089368+(0.440334-0.515916))+0-176.5-0.27004500000001</f>
        <v>1141.4437409999998</v>
      </c>
      <c r="P192" s="3">
        <f>1353.5+(316.5-295)+(0+(0-0))+0-177-0</f>
        <v>1198</v>
      </c>
      <c r="Q192" s="3">
        <f>1325.1+(389.7-277.6)+(0.675801+(0.198747-0.141576))+0-173.4-0.0884339999999824</f>
        <v>1264.4445379999997</v>
      </c>
      <c r="R192" s="3">
        <f>1319.2+(517.6-373.5)+(-2.018376+(-0.791928--0.571455))+0-168.5--0.25780500000001</f>
        <v>1292.8189560000001</v>
      </c>
      <c r="S192" s="3">
        <f>1313.3+(599.2-433.9)+(0.669783+(0.305592-0.221289))+0-171.6-0.0875159999999826</f>
        <v>1307.6665699999999</v>
      </c>
      <c r="T192" s="3">
        <f>1308.9+(600.3-435.3)+(-2.670156+(-1.224612--0.888012))+0-172.9--0.352715999999992</f>
        <v>1298.3459600000001</v>
      </c>
      <c r="U192" s="3">
        <f>1316+(407.9-294.5)+(-3.3558+(-1.040145--0.750975))+0-175.8--0.448289999999975</f>
        <v>1250.4033200000001</v>
      </c>
      <c r="V192" s="3">
        <f>1304.9+(275.2-236.7)+(-1.330998+(-0.280704--0.241434))+0-177--0.180540000000028</f>
        <v>1165.2102720000003</v>
      </c>
      <c r="W192" s="3">
        <f>1313.1+(267.1-265.1)+(0+(0-0))+0-180.4-0</f>
        <v>1134.6999999999998</v>
      </c>
      <c r="X192" s="3">
        <f>1337.9+(371.5-252)+(-1.364658+(-0.37893--0.25704))+0-176.3--0.179826000000028</f>
        <v>1279.7932780000001</v>
      </c>
      <c r="Y192" s="3">
        <f>1358.7+(421.6-305)+(-2.078811+(-0.645048--0.46665))+0-177.4--0.27142200000001</f>
        <v>1295.914213</v>
      </c>
      <c r="Z192" s="3">
        <f>1354.8+(435.7-335.6)+(-2.072844+(-0.666621--0.513468))+0-174.7--0.26729100000001</f>
        <v>1278.2412939999999</v>
      </c>
      <c r="AA192" s="3">
        <f>1374.3+(434.5-347.1)+(-1.401786+(-0.44319--0.354042))+0-168.1--0.171462000000027</f>
        <v>1292.280528</v>
      </c>
      <c r="AB192" s="3">
        <f>1353.7+(413.1-363.2)+(-0.690387+(-0.210681--0.185232))+0-165.5--0.0844049999999832</f>
        <v>1237.4685690000001</v>
      </c>
      <c r="AC192" s="3">
        <f>1365.2+(363.5-366.4)+(-0.696252+(-0.185385--0.186864))+0-162.6--0.0829259999999835</f>
        <v>1199.0881530000004</v>
      </c>
      <c r="AD192">
        <v>1278.5</v>
      </c>
      <c r="AE192" s="3">
        <f>1350+(412.5-292.8)+(0+(0-0))+0-178.2-0</f>
        <v>1291.5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1351.9+(320.9-354.2)+(-2.757876+(-0.654636--0.722568))+0-162.7--0.331907999999993</f>
        <v>1153.541964</v>
      </c>
      <c r="G193" s="3">
        <f>1353.9+(282.4-344.1)+(-3.452445+(-0.72012--0.877455))+0-164.2--0.418709999999976</f>
        <v>1125.1235999999999</v>
      </c>
      <c r="H193" s="3">
        <f>1358.6+(251.5-350.9)+(-1.385772+(-0.25653--0.357918))+0-165.4--0.168708000000026</f>
        <v>1092.6843239999996</v>
      </c>
      <c r="I193" s="3">
        <f>1382.7+(266.9-397.5)+(-2.820708+(-0.544476--0.8109))+0-170.2--0.347207999999993</f>
        <v>1079.6929239999997</v>
      </c>
      <c r="J193" s="3">
        <f>1382.8+(312.1-442.1)+(3.52614+(0.795855-1.127355))+0-173.7-0.442934999999975</f>
        <v>1081.8517049999998</v>
      </c>
      <c r="K193" s="3">
        <f>1384.4+(284-448)+(-1.412088+(-0.28968--0.45696))+0-176--0.179520000000028</f>
        <v>1043.3347120000003</v>
      </c>
      <c r="L193" s="3">
        <f>1387.9+(254.6-448.4)+(2.831316+(0.519384-0.914736))+0-174.5-0.355979999999992</f>
        <v>1021.6799840000001</v>
      </c>
      <c r="M193" s="3">
        <f>1380.2+(300.3-415.6)+(2.111706+(0.459459-0.635868))+0-178.3-0.27279900000001</f>
        <v>1088.2624980000001</v>
      </c>
      <c r="N193" s="3">
        <f>1358.3+(325.3-354.8)+(-1.385466+(-0.331806--0.361896))+0-180.7--0.184314000000029</f>
        <v>1146.928938</v>
      </c>
      <c r="O193" s="3">
        <f>1339.5+(280.4-246.3)+(0.683145+(0.143004-0.125613))+0-181.2-0.0924119999999816</f>
        <v>1193.008124</v>
      </c>
      <c r="P193" s="3">
        <f>1326.7+(358.1-249.1)+(1.353234+(0.365262-0.254082))+0-182.8-0.186456000000029</f>
        <v>1254.177958</v>
      </c>
      <c r="Q193" s="3">
        <f>1317.6+(488-318.4)+(0+(0-0))+0-183.1-0</f>
        <v>1304.0999999999999</v>
      </c>
      <c r="R193" s="3">
        <f>1310.8+(635.9-439.8)+(-3.34254+(-1.621545--1.12149))+0-173.2--0.441659999999975</f>
        <v>1330.2990649999997</v>
      </c>
      <c r="S193" s="3">
        <f>1303.2+(678.6-483.2)+(-2.658528+(-1.384344--0.985728))+0-175.5--0.358019999999992</f>
        <v>1320.4008759999999</v>
      </c>
      <c r="T193" s="3">
        <f>1297.1+(633.2-447.4)+(-3.307605+(-1.61466--1.14087))+0-185.9--0.474044999999973</f>
        <v>1293.69265</v>
      </c>
      <c r="U193" s="3">
        <f>1295.9+(475.3-352.6)+(-2.643636+(-0.969612--0.719304))+0-182.5--0.372299999999992</f>
        <v>1233.5783560000002</v>
      </c>
      <c r="V193" s="3">
        <f>1303+(256.4-241.2)+(-2.65812+(-0.523056--0.492048))+0-181.1--0.369443999999992</f>
        <v>1134.7803160000001</v>
      </c>
      <c r="W193" s="3">
        <f>1289.8+(223.5-240.1)+(-1.315596+(-0.22797--0.244902))+0-181.2--0.184824000000029</f>
        <v>1090.88616</v>
      </c>
      <c r="X193" s="3">
        <f>1332.6+(363.7-269.5)+(1.359252+(0.370974-0.27489))+0-182.7-0.186354000000029</f>
        <v>1245.368982</v>
      </c>
      <c r="Y193" s="3">
        <f>1343.7+(437.7-338.6)+(-2.055861+(-0.669681--0.518058))+0-180.9--0.27677700000001</f>
        <v>1259.9692929999999</v>
      </c>
      <c r="Z193" s="3">
        <f>1349.8+(436.3-364.2)+(-2.065194+(-0.667539--0.557226))+0-182.5--0.279225000000011</f>
        <v>1237.5037180000002</v>
      </c>
      <c r="AA193" s="3">
        <f>1355.2+(428-375.7)+(-2.073456+(-0.65484--0.574821))+0-177.7--0.27188100000001</f>
        <v>1227.918406</v>
      </c>
      <c r="AB193" s="3">
        <f>1372.7+(406.3-402.1)+(-0.700077+(-0.207213--0.205071))+0-166.3--0.0848129999999831</f>
        <v>1209.9825940000001</v>
      </c>
      <c r="AC193" s="3">
        <f>1368.1+(347.7-380.4)+(-1.395462+(-0.354654--0.388008))+0-165.4--0.168708000000026</f>
        <v>1168.8065999999997</v>
      </c>
      <c r="AD193">
        <v>1240</v>
      </c>
      <c r="AE193" s="3">
        <f>1330+(459.1-355.5)+(0+(0-0))+0-180.6-0</f>
        <v>1253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1380.4+(275.8-356.7)+(1.408008+(0.281316-0.363834))+0-165.8-0.169116000000026</f>
        <v>1134.856374</v>
      </c>
      <c r="G194" s="3">
        <f>1385.7+(247.6-365.7)+(0.706707+(0.126276-0.186507))+0-165.3-0.0843029999999832</f>
        <v>1102.862173</v>
      </c>
      <c r="H194" s="3">
        <f>1377.4+(195.2-332.7)+(1.404948+(0.199104-0.339354))+0-164.9-0.168198000000026</f>
        <v>1076.0964999999999</v>
      </c>
      <c r="I194" s="3">
        <f>1382.4+(171.8-329.2)+(-0.705024+(-0.087618--0.167892))+0-170.3--0.0868529999999827</f>
        <v>1054.1621030000001</v>
      </c>
      <c r="J194" s="3">
        <f>1368.9+(177.1-342)+(0.698139+(0.090321-0.17442))+0-170.3-0.0868529999999827</f>
        <v>1034.227187</v>
      </c>
      <c r="K194" s="3">
        <f>1374.1+(185.7-402.8)+(-3.503955+(-0.473535--1.02714))+0-169.4--0.431969999999975</f>
        <v>985.08161999999993</v>
      </c>
      <c r="L194" s="3">
        <f>1371.1+(202-468.4)+(1.398522+(0.20604-0.477768))+0-166.4-0.169728000000027</f>
        <v>939.25706599999978</v>
      </c>
      <c r="M194" s="3">
        <f>1370.3+(229.9-473)+(0+(0-0))+0-166.3-0</f>
        <v>960.90000000000009</v>
      </c>
      <c r="N194" s="3">
        <f>1350.2+(393.2-574.8)+(-2.065806+(-0.601596--0.879444))+0-171--0.26163000000001</f>
        <v>996.07367200000022</v>
      </c>
      <c r="O194" s="3">
        <f>1342.8+(488.4-581.1)+(2.054484+(0.747252-0.889083))+0-174.8-0.26744400000001</f>
        <v>1076.945209</v>
      </c>
      <c r="P194" s="3">
        <f>1332+(471.6-486.6)+(-1.35864+(-0.481032--0.496332))+0-175.2--0.178704000000028</f>
        <v>1140.635364</v>
      </c>
      <c r="Q194" s="3">
        <f>1316.9+(412.2-361.4)+(0+(0-0))+0-169.9-0</f>
        <v>1197.8</v>
      </c>
      <c r="R194" s="3">
        <f>1306.8+(347.9-263.5)+(0+(0-0))+0-167.6-0</f>
        <v>1223.5999999999999</v>
      </c>
      <c r="S194" s="3">
        <f>1304.4+(374.4-269.4)+(-1.330488+(-0.381888--0.274788))+0-170.4--0.173808000000027</f>
        <v>1237.73622</v>
      </c>
      <c r="T194" s="3">
        <f>1306.6+(368.5-273.5)+(-2.665464+(-0.75174--0.55794))+0-177.6--0.362303999999992</f>
        <v>1221.5030400000001</v>
      </c>
      <c r="U194" s="3">
        <f>1305.4+(316.7-284.3)+(-3.994524+(-0.969102--0.869958))+0-172.9--0.52907400000002</f>
        <v>1161.3354060000001</v>
      </c>
      <c r="V194" s="3">
        <f>1298.6+(402.9-450.1)+(-2.649144+(-0.821916--0.918204))+0-175.8--0.358631999999992</f>
        <v>1073.4057759999998</v>
      </c>
      <c r="W194" s="3">
        <f>1295.7+(464.8-521.9)+(1.321614+(0.474096-0.532338))+0-176.1-0.179622000000028</f>
        <v>1063.58375</v>
      </c>
      <c r="X194" s="3">
        <f>1308.5+(423.4-334.1)+(0.667335+(0.215934-0.170391))+0-177.9-0.0907289999999819</f>
        <v>1220.5221489999999</v>
      </c>
      <c r="Y194" s="3">
        <f>1341.8+(372.6-292.7)+(-1.368636+(-0.380052--0.298554))+0-175.3--0.178806000000028</f>
        <v>1245.1286720000003</v>
      </c>
      <c r="Z194" s="3">
        <f>1350.7+(347.4-283.1)+(-1.377714+(-0.354348--0.288762))+0-177.5--0.181050000000028</f>
        <v>1236.2377500000002</v>
      </c>
      <c r="AA194" s="3">
        <f>1357.3+(344.5-284.8)+(-0.692223+(-0.175695--0.145248))+0-178.5--0.0910349999999819</f>
        <v>1237.8683649999998</v>
      </c>
      <c r="AB194" s="3">
        <f>1364.1+(334.5-305.3)+(-2.087073+(-0.511785--0.467109))+0-181.5--0.27769500000001</f>
        <v>1209.945946</v>
      </c>
      <c r="AC194" s="3">
        <f>1348.4+(318.5-320.1)+(-2.063052+(-0.487305--0.489753))+0-182.1--0.27861300000001</f>
        <v>1162.9180090000002</v>
      </c>
      <c r="AD194">
        <v>1220.6999999999998</v>
      </c>
      <c r="AE194" s="3">
        <f>1340+(349.1-280.7)+(0+(0-0))+0-175.7-0</f>
        <v>1232.7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1359.1+(289.1-342.5)+(-6.238269+(-1.326969--1.572075))+0-178.4--0.818856000000031</f>
        <v>1122.1256929999997</v>
      </c>
      <c r="G195" s="3">
        <f>1374.4+(264.4-375.3)+(-1.401888+(-0.269688--0.382806))+0-173.8--0.177276000000028</f>
        <v>1088.5885060000001</v>
      </c>
      <c r="H195" s="3">
        <f>1364.2+(234.5-366.1)+(-4.174452+(-0.71757--1.120266))+0-166.5--0.509490000000019</f>
        <v>1062.8377339999997</v>
      </c>
      <c r="I195" s="3">
        <f>1370.9+(221.6-381.6)+(-2.097477+(-0.339048--0.583848))+0-167.6--0.25642800000001</f>
        <v>1041.703751</v>
      </c>
      <c r="J195" s="3">
        <f>1377.1+(217.7-390.5)+(0+(0-0))+0-173.1-0</f>
        <v>1031.2</v>
      </c>
      <c r="K195" s="3">
        <f>1385.6+(222.7-466.1)+(-2.119968+(-0.340731--0.713133))+0-172.4--0.26377200000001</f>
        <v>968.31620599999985</v>
      </c>
      <c r="L195" s="3">
        <f>1396.1+(263.1-544.9)+(0.712011+(0.134181-0.277899))+0-174.8-0.0891479999999823</f>
        <v>939.97914500000002</v>
      </c>
      <c r="M195" s="3">
        <f>1372.9+(300.4-481.4)+(0+(0-0))+0-184.1-0</f>
        <v>1007.8000000000001</v>
      </c>
      <c r="N195" s="3">
        <f>1346+(336.7-424.6)+(1.37292+(0.343434-0.433092))+0-191.8-0.195636000000031</f>
        <v>1067.387626</v>
      </c>
      <c r="O195" s="3">
        <f>1338.6+(328.8-330.9)+(2.730744+(0.670752-0.675036))+0-183.2-0.373727999999992</f>
        <v>1155.652732</v>
      </c>
      <c r="P195" s="3">
        <f>1325.2+(379.1-294.8)+(1.351704+(0.386682-0.300696))+0-183.6-0.187272000000029</f>
        <v>1227.1504179999999</v>
      </c>
      <c r="Q195" s="3">
        <f>1323.5+(452.8-295.2)+(0.674985+(0.230928-0.150552))+0-185.3-0.0945029999999812</f>
        <v>1296.4608579999999</v>
      </c>
      <c r="R195" s="3">
        <f>1326+(571.7-398.2)+(-0.67626+(-0.291567--0.203082))+0-183.9--0.0937889999999813</f>
        <v>1314.929044</v>
      </c>
      <c r="S195" s="3">
        <f>1317.9+(651.3-443.1)+(2.688516+(1.328652-0.903924))+0-184.1-0.375563999999992</f>
        <v>1344.73768</v>
      </c>
      <c r="T195" s="3">
        <f>1316.8+(625-422.9)+(-0.671568+(-0.31875--0.215679))+0-187.8--0.0957779999999809</f>
        <v>1330.421139</v>
      </c>
      <c r="U195" s="3">
        <f>1312.8+(504.8-356.1)+(-2.678112+(-1.029792--0.726444))+0-184--0.375359999999992</f>
        <v>1274.8939</v>
      </c>
      <c r="V195" s="3">
        <f>1316.7+(309.9-251.1)+(-2.686068+(-0.632196--0.512244))+0-185.3--0.378011999999992</f>
        <v>1187.771992</v>
      </c>
      <c r="W195" s="3">
        <f>1304.6+(370.7-346.4)+(-1.996038+(-0.567171--0.529992))+0-183.7--0.281061000000011</f>
        <v>1143.4478439999998</v>
      </c>
      <c r="X195" s="3">
        <f>1317.3+(463.2-308.5)+(0+(0-0))+0-185.4-0</f>
        <v>1286.5999999999999</v>
      </c>
      <c r="Y195" s="3">
        <f>1358.4+(536.8-399.7)+(-3.46392+(-1.36884--1.019235))+0-179.7--0.458234999999974</f>
        <v>1312.44471</v>
      </c>
      <c r="Z195" s="3">
        <f>1347.1+(575.4-444.6)+(-1.374042+(-0.586908--0.453492))+0-177.6--0.181152000000028</f>
        <v>1298.973694</v>
      </c>
      <c r="AA195" s="3">
        <f>1356.7+(575.2-453.8)+(-2.767668+(-1.173408--0.925752))+0-179--0.365159999999992</f>
        <v>1296.4498360000002</v>
      </c>
      <c r="AB195" s="3">
        <f>1365.1+(532.3-463.8)+(-1.392402+(-0.542946--0.473076))+0-176.7--0.180234000000028</f>
        <v>1255.6179619999998</v>
      </c>
      <c r="AC195" s="3">
        <f>1373.9+(456.6-457.3)+(-4.204134+(-1.397196--1.399338))+0-169.8--0.51958800000002</f>
        <v>1199.7175960000002</v>
      </c>
      <c r="AD195">
        <v>1302.4000000000001</v>
      </c>
      <c r="AE195" s="3">
        <f>1346+(503.1-348.6)+(0+(0-0))+0-186.1-0</f>
        <v>1314.4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1379.4+(374.3-430.5)+(-3.51747+(-0.954465--1.097775))+0-169.3--0.431714999999975</f>
        <v>1150.957555</v>
      </c>
      <c r="G196" s="3">
        <f>1391.1+(335.1-440)+(0+(0-0))+0-169.5-0</f>
        <v>1116.6999999999998</v>
      </c>
      <c r="H196" s="3">
        <f>1388.2+(321.1-448.5)+(-2.123946+(-0.491283--0.686205))+0-166--0.25398000000001</f>
        <v>1093.1249560000001</v>
      </c>
      <c r="I196" s="3">
        <f>1386.2+(285.6-427.7)+(-2.120886+(-0.436968--0.654381))+0-168.3--0.25749900000001</f>
        <v>1074.1540260000002</v>
      </c>
      <c r="J196" s="3">
        <f>1398.1+(272.4-440.2)+(-2.139093+(-0.416772--0.673506))+0-170.3--0.26055900000001</f>
        <v>1058.3782000000001</v>
      </c>
      <c r="K196" s="3">
        <f>1408.6+(228.2-468.5)+(-1.436772+(-0.232764--0.47787))+0-171.4--0.174828000000027</f>
        <v>995.88316200000008</v>
      </c>
      <c r="L196" s="3">
        <f>1408.7+(226.6-515.3)+(0+(0-0))+0-164.8-0</f>
        <v>955.2</v>
      </c>
      <c r="M196" s="3">
        <f>1398.9+(266-495.5)+(2.140317+(0.40698-0.758115))+0-163.5-0.250155000000009</f>
        <v>1007.439027</v>
      </c>
      <c r="N196" s="3">
        <f>1371.9+(323.2-437.3)+(1.399338+(0.329664-0.446046))+0-165.8-0.169116000000026</f>
        <v>1093.1138400000002</v>
      </c>
      <c r="O196" s="3">
        <f>1357.1+(325.8-367.2)+(-1.384242+(-0.332316--0.374544))+0-154.9--0.157998000000025</f>
        <v>1159.6159839999998</v>
      </c>
      <c r="P196" s="3">
        <f>1340.2+(354.4-298.9)+(-0.683502+(-0.180744--0.152439))+0-159--0.0810899999999839</f>
        <v>1236.069283</v>
      </c>
      <c r="Q196" s="3">
        <f>1329.3+(422.2-291)+(1.355886+(0.430644-0.29682))+0-161.2-0.164424000000026</f>
        <v>1300.625286</v>
      </c>
      <c r="R196" s="3">
        <f>1357.9+(550.3-412.7)+(-0.692529+(-0.280653--0.210477))+0-161.6--0.0824159999999836</f>
        <v>1333.219711</v>
      </c>
      <c r="S196" s="3">
        <f>1403.2+(577.9-476.9)+(0+(0-0))+0-160.2-0</f>
        <v>1344</v>
      </c>
      <c r="T196" s="3">
        <f>1398.6+(546.3-454.9)+(-3.56643+(-1.393065--1.159995))+0-162.3--0.413864999999977</f>
        <v>1324.314365</v>
      </c>
      <c r="U196" s="3">
        <f>1380.3+(430.8-373.8)+(-2.815812+(-0.878832--0.762552))+0-160.9--0.328235999999993</f>
        <v>1273.7961439999999</v>
      </c>
      <c r="V196" s="3">
        <f>1358.9+(294.4-308.5)+(-3.465195+(-0.75072--0.786675))+0-162.9--0.415394999999976</f>
        <v>1178.8861550000001</v>
      </c>
      <c r="W196" s="3">
        <f>1433.7+(307-421.5)+(-1.462374+(-0.31314--0.42993))+0-165.5--0.168810000000026</f>
        <v>1152.5232260000002</v>
      </c>
      <c r="X196" s="3">
        <f>1492.7+(349.3-374.7)+(-2.283831+(-0.534429--0.573291))+0-166.4--0.25459200000001</f>
        <v>1298.909623</v>
      </c>
      <c r="Y196" s="3">
        <f>1516+(408.7-453.9)+(-2.31948+(-0.625311--0.694467))+0-163.7--0.250461000000009</f>
        <v>1305.1001369999999</v>
      </c>
      <c r="Z196" s="3">
        <f>1522.9+(424.3-499.4)+(-3.106716+(-0.865572--1.018776))+0-165--0.336599999999993</f>
        <v>1280.1830880000002</v>
      </c>
      <c r="AA196" s="3">
        <f>1518.5+(426.2-518)+(-2.323305+(-0.652086--0.79254))+0-164.4--0.25153200000001</f>
        <v>1260.3686809999999</v>
      </c>
      <c r="AB196" s="3">
        <f>1527+(395-525.8)+(-1.55754+(-0.4029--0.536316))+0-162.6--0.165852000000026</f>
        <v>1232.3417280000003</v>
      </c>
      <c r="AC196" s="3">
        <f>1548.7+(359.4-550.2)+(-3.949185+(-0.91647--1.40301))+0-162.7--0.414884999999976</f>
        <v>1192.1522399999999</v>
      </c>
      <c r="AD196">
        <v>1285.2000000000003</v>
      </c>
      <c r="AE196" s="3">
        <f>1514+(402.4-446.1)+(0+(0-0))+0-163.1-0</f>
        <v>1307.2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1516.5+(326-576.7)+(0.773415+(0.16626-0.294117))+0-161.9-0.0825689999999836</f>
        <v>1104.4629889999999</v>
      </c>
      <c r="G197" s="3">
        <f>1517.2+(312.5-593.8)+(-3.86886+(-0.796875--1.51419))+0-161.8--0.412589999999977</f>
        <v>1071.3610450000001</v>
      </c>
      <c r="H197" s="3">
        <f>1511.2+(292.8-585.4)+(-0.770712+(-0.149328--0.298554))+0-159.4--0.0812939999999838</f>
        <v>1058.6598080000001</v>
      </c>
      <c r="I197" s="3">
        <f>1521.5+(280.9-582.5)+(-0.775965+(-0.143259--0.297075))+0-157.9--0.080528999999984</f>
        <v>1061.45838</v>
      </c>
      <c r="J197" s="3">
        <f>1532.7+(261.8-580.5)+(-3.908385+(-0.66759--1.480275))+0-161.8--0.412589999999977</f>
        <v>1049.5168899999999</v>
      </c>
      <c r="K197" s="3">
        <f>1550.9+(228-617.4)+(-3.163836+(-0.46512--1.259496))+0-161.7--0.329867999999993</f>
        <v>997.7604080000001</v>
      </c>
      <c r="L197" s="3">
        <f>1554.1+(230.7-669.6)+(-0.792591+(-0.117657--0.341496))+0-161.3--0.0822629999999836</f>
        <v>953.41351099999997</v>
      </c>
      <c r="M197" s="3">
        <f>1531.8+(263.2-624)+(0.781218+(0.134232-0.31824))+0-164.1-0.0836909999999833</f>
        <v>1007.413519</v>
      </c>
      <c r="N197" s="3">
        <f>1509.2+(308.8-566.2)+(1.539384+(0.314976-0.577524))+0-164.9-0.168198000000026</f>
        <v>1088.0086379999998</v>
      </c>
      <c r="O197" s="3">
        <f>1491.2+(343.3-519.9)+(1.521024+(0.350166-0.530298))+0-165.9-0.169218000000026</f>
        <v>1149.871674</v>
      </c>
      <c r="P197" s="3">
        <f>1476+(350.5-440.3)+(-0.75276+(-0.178755--0.224553))+0-165.2--0.0842519999999832</f>
        <v>1220.3772899999999</v>
      </c>
      <c r="Q197" s="3">
        <f>1465.3+(396.6-422.3)+(-2.241909+(-0.606798--0.646119))+0-160.9--0.246177000000009</f>
        <v>1276.7435889999997</v>
      </c>
      <c r="R197" s="3">
        <f>1446.4+(526.5-504.8)+(-2.950656+(-1.07406--1.029792))+0-158.7--0.323747999999993</f>
        <v>1306.728824</v>
      </c>
      <c r="S197" s="3">
        <f>1437.2+(567.4-511.6)+(-1.465944+(-0.578748--0.521832))+0-158.9--0.162078000000025</f>
        <v>1332.7392179999999</v>
      </c>
      <c r="T197" s="3">
        <f>1435.3+(550.7-504)+(-2.928012+(-1.123428--1.02816))+0-161.4--0.329255999999993</f>
        <v>1317.905976</v>
      </c>
      <c r="U197" s="3">
        <f>1436.4+(416.7-428.5)+(-3.66282+(-1.062585--1.092675))+0-161.3--0.411314999999977</f>
        <v>1260.0785850000002</v>
      </c>
      <c r="V197" s="3">
        <f>1439.5+(294.2-390.8)+(-2.93658+(-0.600168--0.797232))+0-162.2--0.330887999999993</f>
        <v>1178.2913719999999</v>
      </c>
      <c r="W197" s="3">
        <f>1441.1+(336.4-464.5)+(1.469922+(0.343128-0.47379))+0-162.7-0.165954000000026</f>
        <v>1151.4733059999999</v>
      </c>
      <c r="X197" s="3">
        <f>1471.8+(404.6-415.6)+(-2.251854+(-0.619038--0.635868))+0-171.8--0.26285400000001</f>
        <v>1287.02783</v>
      </c>
      <c r="Y197" s="3">
        <f>1506.8+(451.5-482.2)+(-1.536936+(-0.46053--0.491844))+0-165.3--0.168606000000026</f>
        <v>1309.462984</v>
      </c>
      <c r="Z197" s="3">
        <f>1501.6+(465.8-502.6)+(-0.765816+(-0.237558--0.256326))+0-165.6--0.0844559999999832</f>
        <v>1298.5374080000001</v>
      </c>
      <c r="AA197" s="3">
        <f>1499.9+(474.2-519.4)+(0.764949+(0.241842-0.264894))+0-165.6-0.0844559999999832</f>
        <v>1289.7574410000002</v>
      </c>
      <c r="AB197" s="3">
        <f>1516.5+(418.6-538.4)+(-2.320245+(-0.640458--0.823752))+0-162.4--0.248472000000009</f>
        <v>1232.411521</v>
      </c>
      <c r="AC197" s="3">
        <f>1528.4+(353.6-533.2)+(-2.338452+(-0.541008--0.815796))+0-163.9--0.250767000000009</f>
        <v>1183.0871030000001</v>
      </c>
      <c r="AD197">
        <v>1283</v>
      </c>
      <c r="AE197" s="3">
        <f>1473+(414.1-420.1)+(0+(0-0))+0-171-0</f>
        <v>1296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1539.2+(271.8-514.2)+(-3.139968+(-0.554472--1.048968))+0-162.7--0.331907999999993</f>
        <v>1131.7864359999999</v>
      </c>
      <c r="G198" s="3">
        <f>1547.7+(285.1-558.3)+(-1.578654+(-0.290802--0.569466))+0-166.8--0.170136000000027</f>
        <v>1106.570146</v>
      </c>
      <c r="H198" s="3">
        <f>1550+(266-562.9)+(-0.7905+(-0.13566--0.287079))+0-167.1--0.085220999999983</f>
        <v>1085.44614</v>
      </c>
      <c r="I198" s="3">
        <f>1548.4+(257.5-579.6)+(-1.579368+(-0.26265--0.591192))+0-158.5--0.161670000000025</f>
        <v>1066.7108440000002</v>
      </c>
      <c r="J198" s="3">
        <f>1549.8+(250.5-590.8)+(0+(0-0))+0-151.5-0</f>
        <v>1058</v>
      </c>
      <c r="K198" s="3">
        <f>1556.2+(234.7-635)+(-3.174648+(-0.478788--1.2954))+0-150.4--0.306815999999993</f>
        <v>1003.4487800000001</v>
      </c>
      <c r="L198" s="3">
        <f>1554.9+(228.9-655)+(-0.792999+(-0.116739--0.33405))+0-154.8--0.0789479999999843</f>
        <v>973.5032600000003</v>
      </c>
      <c r="M198" s="3">
        <f>1545.8+(265.4-628.2)+(0+(0-0))+0-162.4-0</f>
        <v>1020.6</v>
      </c>
      <c r="N198" s="3">
        <f>1522.7+(292.7-552.1)+(0.776577+(0.149277-0.281571))+0-168.3-0.0858329999999829</f>
        <v>1095.55845</v>
      </c>
      <c r="O198" s="3">
        <f>1500.4+(309.9-476.3)+(0+(0-0))+0-169.4-0</f>
        <v>1164.5999999999999</v>
      </c>
      <c r="P198" s="3">
        <f>1486.1+(330.5-418.5)+(-1.515822+(-0.33711--0.42687))+0-176.2--0.179724000000028</f>
        <v>1220.6536619999999</v>
      </c>
      <c r="Q198" s="3">
        <f>1475+(391-407.6)+(-0.75225+(-0.19941--0.207876))+0-177.9--0.0907289999999819</f>
        <v>1279.846945</v>
      </c>
      <c r="R198" s="3">
        <f>1464.1+(486.2-466.6)+(-2.240073+(-0.743886--0.713898))+0-173.9--0.26606700000001</f>
        <v>1307.7960059999998</v>
      </c>
      <c r="S198" s="3">
        <f>1450.7+(552.8-502.1)+(-1.479714+(-0.563856--0.512142))+0-172.4--0.175848000000027</f>
        <v>1327.6444200000001</v>
      </c>
      <c r="T198" s="3">
        <f>1445.1+(520.5-487)+(-1.474002+(-0.53091--0.49674))+0-177.1--0.180642000000028</f>
        <v>1300.17247</v>
      </c>
      <c r="U198" s="3">
        <f>1445+(391.7-414.4)+(0+(0-0))+0-174.3-0</f>
        <v>1248</v>
      </c>
      <c r="V198" s="3">
        <f>1450.8+(280.2-386.5)+(-1.479816+(-0.285804--0.39423))+0-177.4--0.180948000000028</f>
        <v>1165.9095579999998</v>
      </c>
      <c r="W198" s="3">
        <f>1466+(306.7-462)+(-2.24298+(-0.469251--0.70686))+0-176.4--0.26989200000001</f>
        <v>1132.564521</v>
      </c>
      <c r="X198" s="3">
        <f>1477.6+(411-431.8)+(-2.260728+(-0.62883--0.660654))+0-179.1--0.27402300000001</f>
        <v>1275.7451189999999</v>
      </c>
      <c r="Y198" s="3">
        <f>1510.6+(419.7-463.4)+(-3.85203+(-1.070235--1.18167))+0-179.2--0.456959999999974</f>
        <v>1284.4163649999998</v>
      </c>
      <c r="Z198" s="3">
        <f>1510.6+(429.3-497.9)+(0+(0-0))+0-177.7-0</f>
        <v>1264.3</v>
      </c>
      <c r="AA198" s="3">
        <f>1534.3+(433-539.3)+(-1.564986+(-0.44166--0.550086))+0-176.7--0.180234000000028</f>
        <v>1250.0236739999998</v>
      </c>
      <c r="AB198" s="3">
        <f>1547.5+(406-560.3)+(-3.946125+(-1.0353--1.428765))+0-176--0.448799999999974</f>
        <v>1214.0961399999999</v>
      </c>
      <c r="AC198" s="3">
        <f>1360.3+(479.1-486.7)+(0+(0-0))+0-176.5-0</f>
        <v>1176.2</v>
      </c>
      <c r="AD198">
        <v>1270.7</v>
      </c>
      <c r="AE198" s="3">
        <f>1488+(404.7-423.5)+(0+(0-0))+0-186.5-0</f>
        <v>1282.7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1354+(455.4-504.9)+(-0.69054+(-0.232254--0.257499))+0-176.6--0.0900659999999821</f>
        <v>1127.3247710000001</v>
      </c>
      <c r="G199" s="3">
        <f>1362.2+(389.5-481.2)+(-0.694722+(-0.198645--0.245412))+0-178.2--0.0908819999999819</f>
        <v>1091.742927</v>
      </c>
      <c r="H199" s="3">
        <f>1362.7+(349.6-471.5)+(1.389954+(0.356592-0.48093))+0-180.7-0.184314000000029</f>
        <v>1061.181302</v>
      </c>
      <c r="I199" s="3">
        <f>1369.2+(313.4-463.9)+(-0.698292+(-0.159834--0.236589))+0-181--0.0923099999999816</f>
        <v>1037.1707730000001</v>
      </c>
      <c r="J199" s="3">
        <f>1379.9+(279-454.4)+(-2.111247+(-0.42687--0.695232))+0-181.5--0.27769500000001</f>
        <v>1021.43481</v>
      </c>
      <c r="K199" s="3">
        <f>1383.3+(250.7-460.5)+(-2.116449+(-0.383571--0.704565))+0-178.9--0.27371700000001</f>
        <v>993.07826200000011</v>
      </c>
      <c r="L199" s="3">
        <f>1352.3+(265.9-485.7)+(0+(0-0))+0-173-0</f>
        <v>959.5</v>
      </c>
      <c r="M199" s="3">
        <f>1319.5+(308.5-438.9)+(0+(0-0))+0-172.2-0</f>
        <v>1016.8999999999999</v>
      </c>
      <c r="N199" s="3">
        <f>1299.1+(324.5-381.5)+(0.662541+(0.165495-0.194565))+0-167.4-0.085373999999983</f>
        <v>1075.2480969999999</v>
      </c>
      <c r="O199" s="3">
        <f>1286.2+(382.8-372.7)+(-1.967886+(-0.585684--0.570231))+0-170.8--0.26132400000001</f>
        <v>1123.7779850000004</v>
      </c>
      <c r="P199" s="3">
        <f>1271.9+(437.6-360.1)+(-0.648669+(-0.223176--0.183651))+0-171.1--0.0872609999999826</f>
        <v>1177.699067</v>
      </c>
      <c r="Q199" s="3">
        <f>1277.4+(450.2-311.3)+(-1.302948+(-0.459204--0.317526))+0-172.9--0.176358000000028</f>
        <v>1242.1317320000001</v>
      </c>
      <c r="R199" s="3">
        <f>1297.6+(514.3-371.2)+(-4.632432+(-1.836051--1.325184))+0-166.4--0.594048000000002</f>
        <v>1269.7507489999996</v>
      </c>
      <c r="S199" s="3">
        <f>1282.9+(529.4-408.3)+(-1.308558+(-0.539988--0.416466))+0-161.8--0.165036000000026</f>
        <v>1240.9329560000001</v>
      </c>
      <c r="T199" s="3">
        <f>1265.3+(522.7-372.7)+(-2.581212+(-1.066308--0.760308))+0-156.1--0.318443999999993</f>
        <v>1256.631232</v>
      </c>
      <c r="U199" s="3">
        <f>1267.5+(412.8-302.3)+(-0.646425+(-0.210528--0.154173))+0-158.7--0.0809369999999839</f>
        <v>1218.6781569999998</v>
      </c>
      <c r="V199" s="3">
        <f>1269+(383.4-351.8)+(-1.94157+(-0.586602--0.538254))+0-164.2--0.25122600000001</f>
        <v>1134.661308</v>
      </c>
      <c r="W199" s="3">
        <f>1274.9+(455.3-441.4)+(0.650199+(0.232203-0.225114))+0-169.1-0.0862409999999828</f>
        <v>1120.2710470000004</v>
      </c>
      <c r="X199" s="3">
        <f>1298+(457.7-364.4)+(-1.32396+(-0.466854--0.371688))+0-170.9--0.174318000000027</f>
        <v>1219.1551919999999</v>
      </c>
      <c r="Y199" s="3">
        <f>1311.7+(478.4-374.5)+(-2.006901+(-0.731952--0.572985))+0-175.7--0.26882100000001</f>
        <v>1238.0029529999999</v>
      </c>
      <c r="Z199" s="3">
        <f>1309.7+(486.4-391.3)+(-0.667947+(-0.248064--0.199563))+0-176.1--0.0898109999999821</f>
        <v>1228.0733630000002</v>
      </c>
      <c r="AA199" s="3">
        <f>1329.4+(477.1-402)+(-2.033982+(-0.729963--0.61506))+0-176.8--0.27050400000001</f>
        <v>1225.8216190000001</v>
      </c>
      <c r="AB199" s="3">
        <f>1335.6+(456.3-417.9)+(-2.724624+(-0.930852--0.852516))+0-172.8--0.352511999999993</f>
        <v>1198.749552</v>
      </c>
      <c r="AC199" s="3">
        <f>1338.2+(408.1-414.4)+(-1.364964+(-0.416262--0.422688))+0-173--0.176460000000028</f>
        <v>1157.7179220000003</v>
      </c>
      <c r="AD199">
        <v>1219.5</v>
      </c>
      <c r="AE199" s="3">
        <f>1310+(462.9-373.7)+(0+(0-0))+0-166.7-0</f>
        <v>1232.5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1339+(367.7-415.9)+(-2.73156+(-0.750108--0.848436))+0-170.4--0.347615999999993</f>
        <v>1118.114384</v>
      </c>
      <c r="G200" s="3">
        <f>1336.6+(333-413.2)+(-3.40833+(-0.84915--1.05366))+0-168.7--0.430184999999976</f>
        <v>1084.9263649999998</v>
      </c>
      <c r="H200" s="3">
        <f>1340.8+(312-418.4)+(-3.41904+(-0.7956--1.06692))+0-167.8--0.427889999999976</f>
        <v>1063.8801700000001</v>
      </c>
      <c r="I200" s="3">
        <f>1345.9+(298.2-431.8)+(-2.745636+(-0.608328--0.880872))+0-166.9--0.340475999999993</f>
        <v>1043.2673840000002</v>
      </c>
      <c r="J200" s="3">
        <f>1347.6+(298.8-448.1)+(2.061828+(0.457164-0.685593))+0-164.7-0.25199100000001</f>
        <v>1035.1814079999999</v>
      </c>
      <c r="K200" s="3">
        <f>1364.2+(247.3-455.5)+(-3.47871+(-0.630615--1.161525))+0-162.8--0.415139999999976</f>
        <v>990.66734000000008</v>
      </c>
      <c r="L200" s="3">
        <f>1362.1+(296.8-546.5)+(-0.694671+(-0.151368--0.278715))+0-159.2--0.0811919999999838</f>
        <v>952.71386799999971</v>
      </c>
      <c r="M200" s="3">
        <f>1348.5+(324.3-519)+(0.687735+(0.165393-0.26469))+0-163.5-0.0833849999999834</f>
        <v>990.80505299999993</v>
      </c>
      <c r="N200" s="3">
        <f>1328.8+(361.6-477.5)+(0.677688+(0.184416-0.243525))+0-165-0.0841499999999833</f>
        <v>1048.4344290000001</v>
      </c>
      <c r="O200" s="3">
        <f>1319.5+(404.8-445.8)+(0+(0-0))+0-172.7-0</f>
        <v>1105.8</v>
      </c>
      <c r="P200" s="3">
        <f>1307.6+(458.1-437.2)+(0+(0-0))+0-169.8-0</f>
        <v>1158.7</v>
      </c>
      <c r="Q200" s="3">
        <f>1299.8+(475.8-396.2)+(-1.988694+(-0.727974--0.606186))+0-170.5--0.26086500000001</f>
        <v>1207.050383</v>
      </c>
      <c r="R200" s="3">
        <f>1288+(481.7-366.1)+(-0.65688+(-0.245667--0.186711))+0-174.8--0.0891479999999823</f>
        <v>1228.1733119999999</v>
      </c>
      <c r="S200" s="3">
        <f>1260.7+(485.5-348.3)+(1.285914+(0.49521-0.355266))+0-177.9-0.181458000000028</f>
        <v>1221.2444</v>
      </c>
      <c r="T200" s="3">
        <f>1247.5+(461.2-341.4)+(-1.27245+(-0.470424--0.348228))+0-178--0.181560000000028</f>
        <v>1188.086914</v>
      </c>
      <c r="U200" s="3">
        <f>1249.2+(371.8-323.1)+(-3.18546+(-0.94809--0.823905))+0-169.7--0.432734999999975</f>
        <v>1125.3230899999999</v>
      </c>
      <c r="V200" s="3">
        <f>1261.3+(362.9-392.4)+(-3.216315+(-0.925395--1.00062))+0-172.7--0.440384999999975</f>
        <v>1056.3992949999997</v>
      </c>
      <c r="W200" s="3">
        <f>1262.1+(420.1-444.4)+(-0.643671+(-0.214251--0.226644))+0-176.4--0.0899639999999821</f>
        <v>1060.8586859999998</v>
      </c>
      <c r="X200" s="3">
        <f>1280.2+(461.2-396)+(-0.652902+(-0.235212--0.20196))+0-177.8--0.090677999999982</f>
        <v>1167.0045240000002</v>
      </c>
      <c r="Y200" s="3">
        <f>1304.4+(442.2-391.8)+(-4.656708+(-1.578654--1.398726))+0-177.4--0.633318000000002</f>
        <v>1173.196682</v>
      </c>
      <c r="Z200" s="3">
        <f>1310.4+(482.4-445.7)+(-2.673216+(-0.984096--0.909228))+0-178.1--0.363323999999992</f>
        <v>1166.6152400000001</v>
      </c>
      <c r="AA200" s="3">
        <f>1307+(476.1-422.3)+(-3.33285+(-1.214055--1.076865))+0-176.3--0.449564999999974</f>
        <v>1181.479525</v>
      </c>
      <c r="AB200" s="3">
        <f>1308.8+(462.4-437.5)+(-2.002464+(-0.707472--0.669375))+0-174.2--0.26652600000001</f>
        <v>1157.7259649999999</v>
      </c>
      <c r="AC200" s="3">
        <f>1309.9+(408.1-421.6)+(-2.004147+(-0.624393--0.645048))+0-175--0.26775000000001</f>
        <v>1119.684258</v>
      </c>
      <c r="AD200">
        <v>1169.3</v>
      </c>
      <c r="AE200" s="3">
        <f>1301+(456.6-398.7)+(0+(0-0))+0-176.6-0</f>
        <v>1182.3000000000002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1315+(369.9-441.5)+(1.3413+(0.377298-0.45033))+0-161.9-0.165138000000026</f>
        <v>1082.60313</v>
      </c>
      <c r="G201" s="3">
        <f>1316.9+(352.1-442)+(0+(0-0))+0-172.5-0</f>
        <v>1054.5</v>
      </c>
      <c r="H201" s="3">
        <f>1326.5+(323.9-446.4)+(-1.35303+(-0.330378--0.455328))+0-172.5--0.175950000000028</f>
        <v>1030.44787</v>
      </c>
      <c r="I201" s="3">
        <f>1334.1+(309-452.6)+(0.680391+(0.15759-0.230826))+0-172.1-0.0877709999999825</f>
        <v>1018.9193839999999</v>
      </c>
      <c r="J201" s="3">
        <f>1336.3+(284.1-445.5)+(0.681513+(0.144891-0.227205))+0-170.9-0.0871589999999827</f>
        <v>1004.5120400000002</v>
      </c>
      <c r="K201" s="3">
        <f>1343.3+(230.7-430.2)+(-0.685083+(-0.117657--0.219402))+0-172--0.0877199999999825</f>
        <v>971.30438200000003</v>
      </c>
      <c r="L201" s="3">
        <f>1336.1+(202.7-434.9)+(0+(0-0))+0-168.9-0</f>
        <v>934.99999999999989</v>
      </c>
      <c r="M201" s="3">
        <f>1330.6+(211.5-424.5)+(0+(0-0))+0-170.5-0</f>
        <v>947.09999999999991</v>
      </c>
      <c r="N201" s="3">
        <f>1323.2+(242.2-399.2)+(-4.048992+(-0.741132--1.221552))+0-173.8--0.53182800000002</f>
        <v>989.36325600000021</v>
      </c>
      <c r="O201" s="3">
        <f>1305.2+(285.1-382.7)+(-0.665652+(-0.145401--0.195177))+0-174.9--0.0891989999999823</f>
        <v>1032.173323</v>
      </c>
      <c r="P201" s="3">
        <f>1292+(309.3-336.1)+(-1.31784+(-0.315486--0.342822))+0-177.7--0.181254000000028</f>
        <v>1086.39075</v>
      </c>
      <c r="Q201" s="3">
        <f>1281.4+(342.7-304.5)+(-1.307028+(-0.349554--0.31059))+0-179.1--0.182682000000029</f>
        <v>1139.3366900000003</v>
      </c>
      <c r="R201" s="3">
        <f>1273.5+(386.9-327.8)+(-2.59794+(-0.789276--0.668712))+0-173.9--0.354755999999992</f>
        <v>1156.3362519999998</v>
      </c>
      <c r="S201" s="3">
        <f>1261.7+(395.3-327.9)+(-1.286934+(-0.403206--0.334458))+0-175.1--0.178602000000028</f>
        <v>1152.8229200000003</v>
      </c>
      <c r="T201" s="3">
        <f>1250.1+(419.6-354.2)+(-1.275102+(-0.427992--0.361284))+0-178.2--0.181764000000028</f>
        <v>1136.139954</v>
      </c>
      <c r="U201" s="3">
        <f>1250.4+(325.7-307)+(-3.826224+(-0.996642--0.93942))+0-181.5--0.555390000000021</f>
        <v>1084.2719440000001</v>
      </c>
      <c r="V201" s="3">
        <f>1254.1+(256.4-306.6)+(-2.558364+(-0.523056--0.625464))+0-185--0.377399999999992</f>
        <v>1016.8214439999998</v>
      </c>
      <c r="W201" s="3">
        <f>1286.7+(315.8-372.4)+(-1.968651+(-0.483174--0.569772))+0-186.2--0.284886000000011</f>
        <v>1042.302833</v>
      </c>
      <c r="X201" s="3">
        <f>1304.4+(409.4-364.7)+(-3.991464+(-1.252764--1.115982))+0-184.7--0.565182000000021</f>
        <v>1160.8369360000002</v>
      </c>
      <c r="Y201" s="3">
        <f>1327.4+(487.9-439.6)+(-3.38487+(-1.244145--1.12098))+0-179.9--0.458744999999974</f>
        <v>1192.7507099999998</v>
      </c>
      <c r="Z201" s="3">
        <f>1338+(499.9-467.8)+(-2.72952+(-1.019796--0.954312))+0-181.8--0.370871999999992</f>
        <v>1185.8758679999999</v>
      </c>
      <c r="AA201" s="3">
        <f>1335.8+(470.4-463)+(-2.725032+(-0.959616--0.94452))+0-183.1--0.373523999999992</f>
        <v>1157.7333960000001</v>
      </c>
      <c r="AB201" s="3">
        <f>1328.6+(453-464.2)+(0+(0-0))+0-184.9-0</f>
        <v>1132.4999999999998</v>
      </c>
      <c r="AC201" s="3">
        <f>1337.6+(419.8-485.4)+(-3.41088+(-1.07049--1.23777))+0-185.8--0.473789999999973</f>
        <v>1083.43019</v>
      </c>
      <c r="AD201">
        <v>1167.4000000000001</v>
      </c>
      <c r="AE201" s="3">
        <f>1306+(479.4-424.9)+(0+(0-0))+0-183.1-0</f>
        <v>1177.4000000000001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1343.7+(381.7-492.2)+(-2.741148+(-0.778668--1.004088))+0-180.9--0.369035999999992</f>
        <v>1050.1533079999999</v>
      </c>
      <c r="G202" s="3">
        <f>1357.8+(317.2-470.2)+(-2.769912+(-0.647088--0.959208))+0-186--0.379439999999992</f>
        <v>1016.7216480000001</v>
      </c>
      <c r="H202" s="3">
        <f>1355.6+(275.3-448.7)+(-0.691356+(-0.140403--0.228837))+0-182.5--0.0930749999999815</f>
        <v>999.19015299999978</v>
      </c>
      <c r="I202" s="3">
        <f>1350.4+(271.4-454.1)+(-1.377408+(-0.276828--0.463182))+0-179.6--0.183192000000029</f>
        <v>987.0921380000002</v>
      </c>
      <c r="J202" s="3">
        <f>1355.3+(257.4-454.5)+(0+(0-0))+0-180.3-0</f>
        <v>977.89999999999986</v>
      </c>
      <c r="K202" s="3">
        <f>1360.7+(200-441)+(0.693957+(0.102-0.22491))+0-181.4-0.0925139999999816</f>
        <v>938.77853300000004</v>
      </c>
      <c r="L202" s="3">
        <f>1355.2+(209.4-469.7)+(0.691152+(0.106794-0.239547))+0-176.7-0.0901169999999821</f>
        <v>918.66828200000009</v>
      </c>
      <c r="M202" s="3">
        <f>1341.7+(227.4-428.8)+(-0.684267+(-0.115974--0.218688))+0-178.6--0.0910859999999819</f>
        <v>961.20953299999996</v>
      </c>
      <c r="N202" s="3">
        <f>1331.7+(221.1-360.3)+(-0.679167+(-0.112761--0.183753))+0-174--0.0887399999999823</f>
        <v>1017.980565</v>
      </c>
      <c r="O202" s="3">
        <f>1300.9+(265.2-334.5)+(-1.326918+(-0.270504--0.34119))+0-179.6--0.183192000000029</f>
        <v>1050.9269600000002</v>
      </c>
      <c r="P202" s="3">
        <f>1282.8+(341.3-335.9)+(0+(0-0))+0-178.9-0</f>
        <v>1109.3</v>
      </c>
      <c r="Q202" s="3">
        <f>1296.4+(391.3-364.2)+(-1.983492+(-0.598689--0.557226))+0-170.8--0.26132400000001</f>
        <v>1150.936369</v>
      </c>
      <c r="R202" s="3">
        <f>1299.5+(480.4-415.3)+(-3.313725+(-1.22502--1.059015))+0-162.4--0.414119999999976</f>
        <v>1199.1343899999997</v>
      </c>
      <c r="S202" s="3">
        <f>1289.9+(526.4-453.8)+(-1.973547+(-0.805392--0.694314))+0-166.4--0.25459200000001</f>
        <v>1194.269967</v>
      </c>
      <c r="T202" s="3">
        <f>1293.4+(490.2-431.7)+(0+(0-0))+0-171.2-0</f>
        <v>1180.7</v>
      </c>
      <c r="U202" s="3">
        <f>1300.2+(378.5-361.3)+(-1.326204+(-0.38607--0.368526))+0-177.2--0.180744000000028</f>
        <v>1139.036996</v>
      </c>
      <c r="V202" s="3">
        <f>1299.7+(281.9-315.5)+(-1.988541+(-0.431307--0.482715))+0-182.8--0.279684000000011</f>
        <v>1081.6425510000001</v>
      </c>
      <c r="W202" s="3">
        <f>1297.3+(313.3-332.1)+(-0.661623+(-0.159783--0.169371))+0-184.3--0.0939929999999813</f>
        <v>1093.6419579999999</v>
      </c>
      <c r="X202" s="3">
        <f>1321.6+(424.2-358.7)+(-3.37008+(-1.08171--0.914685))+0-184.8--0.471239999999973</f>
        <v>1199.2341349999999</v>
      </c>
      <c r="Y202" s="3">
        <f>1326.7+(466.3-400)+(-2.706468+(-0.951252--0.816))+0-177.9--0.362915999999992</f>
        <v>1212.6211960000001</v>
      </c>
      <c r="Z202" s="3">
        <f>1325.1+(495.6-443.2)+(-0.675801+(-0.252756--0.226032))+0-177.3--0.090422999999982</f>
        <v>1199.587898</v>
      </c>
      <c r="AA202" s="3">
        <f>1331.9+(494.2-462.6)+(-3.396345+(-1.26021--1.17963))+0-175.5--0.447524999999975</f>
        <v>1184.9706000000001</v>
      </c>
      <c r="AB202" s="3">
        <f>1330.1+(487.1-484.2)+(-2.713404+(-0.993684--0.987768))+0-175.7--0.358427999999992</f>
        <v>1154.939108</v>
      </c>
      <c r="AC202" s="3">
        <f>1338.7+(417.8-475.1)+(-3.413685+(-1.06539--1.211505))+0-175.4--0.447269999999975</f>
        <v>1103.1796999999999</v>
      </c>
      <c r="AD202">
        <v>1197.3</v>
      </c>
      <c r="AE202" s="3">
        <f>1328+(424.1-361.1)+(0+(0-0))+0-185.7-0</f>
        <v>1205.3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1360.4+(375.7-477)+(-0.693804+(-0.191607--0.24327))+0-175--0.0892499999999822</f>
        <v>1083.5471090000001</v>
      </c>
      <c r="G203" s="3">
        <f>1360.9+(364.3-511)+(-3.470295+(-0.928965--1.30305))+0-180.7--0.460784999999974</f>
        <v>1030.8645750000001</v>
      </c>
      <c r="H203" s="3">
        <f>1375.5+(337.8-526)+(-0.701505+(-0.172278--0.26826))+0-177.1--0.090320999999982</f>
        <v>1009.684798</v>
      </c>
      <c r="I203" s="3">
        <f>1375.3+(298.5-504.4)+(-0.701403+(-0.152235--0.257244))+0-178.6--0.0910859999999819</f>
        <v>990.29469200000017</v>
      </c>
      <c r="J203" s="3">
        <f>1375.4+(264.7-484.1)+(-1.402908+(-0.269994--0.493782))+0-178.3--0.181866000000028</f>
        <v>976.70274600000005</v>
      </c>
      <c r="K203" s="3">
        <f>1379.8+(209.3-472.9)+(-2.111094+(-0.320229--0.723537))+0-178.1--0.27249300000001</f>
        <v>936.66470700000013</v>
      </c>
      <c r="L203" s="3">
        <f>1381.5+(193.5-481.8)+(-0.704565+(-0.098685--0.245718))+0-171.9--0.0876689999999826</f>
        <v>920.83013700000004</v>
      </c>
      <c r="M203" s="3">
        <f>1384+(219.4-463.5)+(-0.70584+(-0.111894--0.236385))+0-172.6--0.0880259999999825</f>
        <v>966.80667700000004</v>
      </c>
      <c r="N203" s="3">
        <f>1369.2+(298.6-461.8)+(1.396584+(0.304572-0.471036))+0-178.4-0.181968000000028</f>
        <v>1028.6481519999998</v>
      </c>
      <c r="O203" s="3">
        <f>1351.7+(377.6-478.3)+(-1.378734+(-0.385152--0.487866))+0-169.2--0.172584000000027</f>
        <v>1080.6965639999999</v>
      </c>
      <c r="P203" s="3">
        <f>1338.4+(390.6-435.3)+(-0.682584+(-0.199206--0.222003))+0-171.4--0.0874139999999826</f>
        <v>1121.727627</v>
      </c>
      <c r="Q203" s="3">
        <f>1335.8+(435.3-438.9)+(-1.362516+(-0.444006--0.447678))+0-170.4--0.173808000000027</f>
        <v>1160.6149639999999</v>
      </c>
      <c r="R203" s="3">
        <f>1326.4+(499-481.1)+(-2.029392+(-0.76347--0.736083))+0-174--0.26622000000001</f>
        <v>1168.5094410000002</v>
      </c>
      <c r="S203" s="3">
        <f>1317.3+(545.5-526.2)+(-2.687292+(-1.11282--1.073448))+0-167.4--0.341495999999993</f>
        <v>1166.8148319999998</v>
      </c>
      <c r="T203" s="3">
        <f>1315.7+(473.1-499.3)+(-0.671007+(-0.241281--0.254643))+0-165.2--0.0842519999999832</f>
        <v>1123.7266069999998</v>
      </c>
      <c r="U203" s="3">
        <f>1311.5+(335.9-441.4)+(-3.344325+(-0.856545--1.12557))+0-157.4--0.401369999999977</f>
        <v>1045.92607</v>
      </c>
      <c r="V203" s="3">
        <f>1315.5+(256.5-403.5)+(-2.012715+(-0.392445--0.617355))+0-164--0.250920000000009</f>
        <v>1002.9631150000001</v>
      </c>
      <c r="W203" s="3">
        <f>1317.8+(319.6-433)+(0.672078+(0.162996-0.22083))+0-168.8-0.0860879999999829</f>
        <v>1036.1281560000002</v>
      </c>
      <c r="X203" s="3">
        <f>1314.9+(439.3-459.3)+(-1.341198+(-0.448086--0.468486))+0-169.6--0.172992000000027</f>
        <v>1124.1521940000002</v>
      </c>
      <c r="Y203" s="3">
        <f>1340.5+(458.8-493.1)+(-2.73462+(-0.935952--1.005924))+0-168.4--0.343535999999993</f>
        <v>1135.4788880000001</v>
      </c>
      <c r="Z203" s="3">
        <f>1341+(470.7-523.4)+(-2.73564+(-0.960228--1.067736))+0-168.1--0.342923999999993</f>
        <v>1117.914792</v>
      </c>
      <c r="AA203" s="3">
        <f>1348+(478.3-545.4)+(-1.37496+(-0.487866--0.556308))+0-169.5--0.172890000000027</f>
        <v>1110.266372</v>
      </c>
      <c r="AB203" s="3">
        <f>1356.5+(448.3-557.8)+(-1.38363+(-0.457266--0.568956))+0-166.1--0.169422000000026</f>
        <v>1079.7974819999999</v>
      </c>
      <c r="AC203" s="3">
        <f>1365+(395.5-556.3)+(-3.48075+(-1.008525--1.418565))+0-168.4--0.429419999999976</f>
        <v>1033.1587099999999</v>
      </c>
      <c r="AD203">
        <v>1116.1999999999998</v>
      </c>
      <c r="AE203" s="3">
        <f>1320+(449.6-466)+(0+(0-0))+0-176.4-0</f>
        <v>1127.1999999999998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1358.4+(334.1-540.9)+(-1.385568+(-0.340782--0.551718))+0-164--0.167280000000026</f>
        <v>986.59264800000017</v>
      </c>
      <c r="G204" s="3">
        <f>1362.7+(335.6-587)+(-2.084931+(-0.513468--0.89811))+0-158.2--0.242046000000009</f>
        <v>951.64175699999998</v>
      </c>
      <c r="H204" s="3">
        <f>1369.6+(308.1-592)+(0+(0-0))+0-156.8-0</f>
        <v>928.89999999999986</v>
      </c>
      <c r="I204" s="3">
        <f>1372.4+(248.2-557)+(0+(0-0))+0-155.9-0</f>
        <v>907.70000000000016</v>
      </c>
      <c r="J204" s="3">
        <f>1373.6+(194.3-530.2)+(-2.101608+(-0.297279--0.811206))+0-143.8--0.220014000000008</f>
        <v>892.53233299999988</v>
      </c>
      <c r="K204" s="3">
        <f>1377.7+(170.8-533.5)+(0.702627+(0.087108-0.272085))+0-139.4-0.0710939999999859</f>
        <v>876.04655600000001</v>
      </c>
      <c r="L204" s="3">
        <f>1383.1+(192.1-581.8)+(0+(0-0))+0-136.1-0</f>
        <v>857.3</v>
      </c>
      <c r="M204" s="3">
        <f>1383.9+(210.8-546.4)+(-1.411578+(-0.215016--0.557328))+0-144.6--0.147492000000023</f>
        <v>902.77822600000025</v>
      </c>
      <c r="N204" s="3">
        <f>1368.9+(261.6-517)+(2.094417+(0.400248-0.79101))+0-143.3-0.219249000000008</f>
        <v>971.68440600000008</v>
      </c>
      <c r="O204" s="3">
        <f>1354.8+(299.1-503.8)+(-2.072844+(-0.457623--0.770814))+0-141.1--0.215883000000008</f>
        <v>1007.4562299999998</v>
      </c>
      <c r="P204" s="3">
        <f>1348.3+(360-471)+(-2.750532+(-0.7344--0.96084))+0-145--0.295799999999994</f>
        <v>1090.0717079999999</v>
      </c>
      <c r="Q204" s="3">
        <f>1341.6+(403.7-512.8)+(-2.736864+(-0.823548--1.046112))+0-125.1--0.255203999999995</f>
        <v>1105.1409040000001</v>
      </c>
      <c r="R204" s="3">
        <f>1335.5+(392.9-518.1)+(-3.405525+(-1.001895--1.321155))+0-121.5--0.309824999999982</f>
        <v>1086.0235600000001</v>
      </c>
      <c r="S204" s="3">
        <f>1327.2+(327.9-520)+(0.676872+(0.167229-0.2652))+0-123.8-0.0631379999999874</f>
        <v>1011.8157630000001</v>
      </c>
      <c r="T204" s="3">
        <f>1341.5+(350.2-611.4)+(-2.73666+(-0.714408--1.247256))+0-126.8--0.258671999999994</f>
        <v>951.55486000000008</v>
      </c>
      <c r="U204" s="3">
        <f>1358.9+(296-614.6)+(-3.465195+(-0.7548--1.56723))+0-127.8--0.325889999999981</f>
        <v>910.17312500000014</v>
      </c>
      <c r="V204" s="3">
        <f>1377.2+(183.8-545)+(-2.107116+(-0.281214--0.83385))+0-140.4--0.214812000000008</f>
        <v>874.26033200000006</v>
      </c>
      <c r="W204" s="3">
        <f>1371.1+(197.3-505.3)+(1.398522+(0.201246-0.515406))+0-151.5-0.154530000000024</f>
        <v>912.52983199999994</v>
      </c>
      <c r="X204" s="3">
        <f>1374.5+(281-515.6)+(-3.504975+(-0.71655--1.31478))+0-154.3--0.393464999999978</f>
        <v>983.08672000000013</v>
      </c>
      <c r="Y204" s="3">
        <f>1381.6+(306.7-545.9)+(-1.409232+(-0.312834--0.556818))+0-154.2--0.157284000000025</f>
        <v>987.1920359999998</v>
      </c>
      <c r="Z204" s="3">
        <f>1379+(289.7-544.7)+(-2.10987+(-0.443241--0.833391))+0-154.8--0.236844000000009</f>
        <v>967.71712400000001</v>
      </c>
      <c r="AA204" s="3">
        <f>1388.3+(308.8-570.4)+(-2.832132+(-0.629952--1.163616))+0-159.7--0.325787999999993</f>
        <v>965.02732000000003</v>
      </c>
      <c r="AB204" s="3">
        <f>1393.4+(307.1-601.9)+(0+(0-0))+0-158.9-0</f>
        <v>939.70000000000016</v>
      </c>
      <c r="AC204" s="3">
        <f>1402.1+(305.9-643.7)+(-2.860284+(-0.624036--1.313148))+0-162.2--0.330887999999993</f>
        <v>900.25971599999957</v>
      </c>
      <c r="AD204">
        <v>986.00000000000023</v>
      </c>
      <c r="AE204" s="3">
        <f>1370+(309.4-535.6)+(0+(0-0))+0-146.8-0</f>
        <v>997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1401.4+(244.6-628)+(0+(0-0))+0-164.4-0</f>
        <v>853.60000000000014</v>
      </c>
      <c r="G205" s="3">
        <f>1393+(182.8-596)+(-2.13129+(-0.279684--0.91188))+0-162.6--0.248778000000009</f>
        <v>815.94968399999993</v>
      </c>
      <c r="H205" s="3">
        <f>1397.2+(144.1-584.9)+(1.425144+(0.146982-0.596598))+0-163.6-0.166872000000026</f>
        <v>793.60865600000011</v>
      </c>
      <c r="I205" s="3">
        <f>1395.4+(132.2-578.1)+(-2.134962+(-0.202266--0.884493))+0-163.1--0.249543000000009</f>
        <v>785.19680800000003</v>
      </c>
      <c r="J205" s="3">
        <f>1394.7+(150-588.9)+(0+(0-0))+0-169.8-0</f>
        <v>786</v>
      </c>
      <c r="K205" s="3">
        <f>1400.5+(134.5-595.8)+(-2.142765+(-0.205785--0.911574))+0-166.4--0.25459200000001</f>
        <v>771.61761600000011</v>
      </c>
      <c r="L205" s="3">
        <f>1395.8+(150.7-600.1)+(-1.423716+(-0.153714--0.612102))+0-162.8--0.166056000000026</f>
        <v>782.80072799999994</v>
      </c>
      <c r="M205" s="3">
        <f>1384.6+(170.1-552.7)+(1.412292+(0.173502-0.563754))+0-170-0.173400000000027</f>
        <v>832.84863999999982</v>
      </c>
      <c r="N205" s="3">
        <f>1374.4+(197.1-512)+(-0.700944+(-0.100521--0.26112))+0-156.1--0.0796109999999842</f>
        <v>902.93926600000009</v>
      </c>
      <c r="O205" s="3">
        <f>1367.1+(245.9-504.1)+(0+(0-0))+0-155.1-0</f>
        <v>953.79999999999984</v>
      </c>
      <c r="P205" s="3">
        <f>1360.5+(216.7-453.2)+(-0.693855+(-0.110517--0.231132))+0-146--0.0744599999999852</f>
        <v>977.50121999999999</v>
      </c>
      <c r="Q205" s="3">
        <f>1375.5+(189-416)+(-2.104515+(-0.28917--0.63648))+0-142.1--0.217413000000008</f>
        <v>1004.8602079999998</v>
      </c>
      <c r="R205" s="3">
        <f>1380.8+(225.5-442.6)+(-2.816832+(-0.46002--0.902904))+0-144.1--0.293963999999994</f>
        <v>1017.5200159999998</v>
      </c>
      <c r="S205" s="3">
        <f>1387.5+(274.8-475.3)+(-1.41525+(-0.280296--0.484806))+0-161--0.164220000000026</f>
        <v>1024.9534800000001</v>
      </c>
      <c r="T205" s="3">
        <f>1439.4+(213.5-475.7)+(-1.468188+(-0.21777--0.485214))+0-165.1--0.168402000000026</f>
        <v>1011.0676580000001</v>
      </c>
      <c r="U205" s="3">
        <f>1503.4+(157.9-557.9)+(-3.066936+(-0.322116--1.138116))+0-175.7--0.358427999999992</f>
        <v>925.80749200000014</v>
      </c>
      <c r="V205" s="3">
        <f>1511.7+(131.6-515.5)+(-2.312901+(-0.201348--0.788715))+0-168.2--0.25734600000001</f>
        <v>958.1318120000002</v>
      </c>
      <c r="W205" s="3">
        <f>1513.4+(159.6-511.9)+(0+(0-0))+0-169.4-0</f>
        <v>991.70000000000016</v>
      </c>
      <c r="X205" s="3">
        <f>1530.4+(175.8-490.9)+(-2.341512+(-0.268974--0.751077))+0-164.6--0.25183800000001</f>
        <v>1049.0924290000003</v>
      </c>
      <c r="Y205" s="3">
        <f>1534.6+(177.3-522.2)+(-1.565292+(-0.180846--0.532644))+0-144.4--0.147288000000023</f>
        <v>1044.2337939999998</v>
      </c>
      <c r="Z205" s="3">
        <f>1540.3+(220.2-588.7)+(-3.142212+(-0.449208--1.200948))+0-136.3--0.278051999999994</f>
        <v>1033.3875799999998</v>
      </c>
      <c r="AA205" s="3">
        <f>1539.4+(253.3-630.5)+(-2.355282+(-0.387549--0.964665))+0-138.5--0.211905000000008</f>
        <v>1022.133739</v>
      </c>
      <c r="AB205" s="3">
        <f>1553.4+(171-599.2)+(-3.96117+(-0.43605--1.52796))+0-150.4--0.383519999999978</f>
        <v>972.3142600000001</v>
      </c>
      <c r="AC205" s="3">
        <f>1557.7+(125.3-592.5)+(-3.972135+(-0.319515--1.510875))+0-158.6--0.404429999999977</f>
        <v>929.52365499999996</v>
      </c>
      <c r="AD205">
        <v>1032.5999999999999</v>
      </c>
      <c r="AE205" s="3">
        <f>1521+(177.1-505.3)+(0+(0-0))+0-152.2-0</f>
        <v>1040.5999999999999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1412.5+(106.6-470.3)+(-2.8815+(-0.217464--0.959412))+0-157--0.320279999999993</f>
        <v>889.98072799999989</v>
      </c>
      <c r="G206" s="3">
        <f>1400.9+(116.2-489)+(-2.143377+(-0.177786--0.74817))+0-158.7--0.242811000000009</f>
        <v>868.06981800000005</v>
      </c>
      <c r="H206" s="3">
        <f>1309.1+(111.2-421.7)+(-2.002923+(-0.170136--0.645201))+0-156.6--0.239598000000009</f>
        <v>840.71173999999985</v>
      </c>
      <c r="I206" s="3">
        <f>1320.8+(102.5-446.6)+(-2.020824+(-0.156825--0.683298))+0-157.2--0.240516000000009</f>
        <v>818.24616499999991</v>
      </c>
      <c r="J206" s="3">
        <f>1319.9+(99.7-468.4)+(1.346298+(0.101694-0.477768))+0-156.2-0.159324000000025</f>
        <v>795.81090000000017</v>
      </c>
      <c r="K206" s="3">
        <f>1321.6+(106.9-486.1)+(-1.348032+(-0.109038--0.495822))+0-151.6--0.154632000000024</f>
        <v>789.99338399999988</v>
      </c>
      <c r="L206" s="3">
        <f>1328.5+(124.8-512.9)+(-1.35507+(-0.127296--0.523158))+0-145.8--0.148716000000023</f>
        <v>793.78950800000018</v>
      </c>
      <c r="M206" s="3">
        <f>1318.6+(144.3-478.4)+(0.672486+(0.073593-0.243984))+0-143.3-0.0730829999999855</f>
        <v>841.6290120000001</v>
      </c>
      <c r="N206" s="3">
        <f>1301.4+(156.9-432.9)+(0+(0-0))+0-141.4-0</f>
        <v>884.00000000000011</v>
      </c>
      <c r="O206" s="3">
        <f>1285.2+(166.2-390.6)+(-0.655452+(-0.084762--0.199206))+0-138.7--0.0707369999999859</f>
        <v>921.629729</v>
      </c>
      <c r="P206" s="3">
        <f>1274.8+(167.4-332.3)+(-1.300296+(-0.170748--0.338946))+0-137--0.139740000000022</f>
        <v>971.9076419999999</v>
      </c>
      <c r="Q206" s="3">
        <f>1260.9+(226.9-331.8)+(-1.286118+(-0.231438--0.338436))+0-142--0.144840000000023</f>
        <v>1012.96572</v>
      </c>
      <c r="R206" s="3">
        <f>1256.7+(241.9-335.2)+(-3.204585+(-0.616845--0.85476))+0-142.1--0.362354999999979</f>
        <v>1018.695685</v>
      </c>
      <c r="S206" s="3">
        <f>1253.4+(246-325.9)+(-0.639234+(-0.12546--0.166209))+0-141.3--0.0720629999999857</f>
        <v>1031.6735780000001</v>
      </c>
      <c r="T206" s="3">
        <f>1256.2+(269.9-376.3)+(-1.921986+(-0.412947--0.575739))+0-146.6--0.224298000000008</f>
        <v>1001.6651039999999</v>
      </c>
      <c r="U206" s="3">
        <f>1252.8+(202.1-360.3)+(-2.555712+(-0.412284--0.735012))+0-140.6--0.286823999999994</f>
        <v>952.05383999999992</v>
      </c>
      <c r="V206" s="3">
        <f>1255.3+(169.4-357.4)+(-1.920609+(-0.259182--0.546822))+0-146.7--0.224451000000008</f>
        <v>919.19148199999995</v>
      </c>
      <c r="W206" s="3">
        <f>1259.3+(187.6-354.5)+(-0.642243+(-0.095676--0.180795))+0-148--0.075479999999985</f>
        <v>943.9183559999999</v>
      </c>
      <c r="X206" s="3">
        <f>1266.3+(245-346.1)+(0+(0-0))+0-146.2-0</f>
        <v>1018.9999999999998</v>
      </c>
      <c r="Y206" s="3">
        <f>1276.7+(263.9-373.5)+(-3.255585+(-0.672945--0.952425))+0-144.8--0.369239999999979</f>
        <v>1019.693135</v>
      </c>
      <c r="Z206" s="3">
        <f>1287+(310.4-431)+(-0.65637+(-0.158304--0.21981))+0-150.1--0.0765509999999848</f>
        <v>1015.7816870000001</v>
      </c>
      <c r="AA206" s="3">
        <f>1298.2+(280-415.4)+(-2.648328+(-0.5712--0.847416))+0-151.3--0.308651999999993</f>
        <v>1009.4365400000002</v>
      </c>
      <c r="AB206" s="3">
        <f>1311.6+(243.5-422.8)+(-2.006748+(-0.372555--0.646884))+0-146.5--0.224145000000008</f>
        <v>984.29172600000004</v>
      </c>
      <c r="AC206" s="3">
        <f>1289.6+(208.5-409)+(-3.28848+(-0.531675--1.04295))+0-145.7--0.371534999999979</f>
        <v>940.99432999999976</v>
      </c>
      <c r="AD206">
        <v>1017.4</v>
      </c>
      <c r="AE206" s="3">
        <f>1270+(246.4-343.9)+(0+(0-0))+0-143.1-0</f>
        <v>1029.4000000000001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1127.8+(241.2-320.4)+(0+(0-0))+0-144.9-0</f>
        <v>903.69999999999993</v>
      </c>
      <c r="G207" s="3">
        <f>1125.3+(209.9-318)+(0+(0-0))+0-147.6-0</f>
        <v>869.59999999999991</v>
      </c>
      <c r="H207" s="3">
        <f>1125+(187.5-320.5)+(0.57375+(0.095625-0.163455))+0-146.6-0.0747659999999851</f>
        <v>845.83115399999997</v>
      </c>
      <c r="I207" s="3">
        <f>1131.2+(150.7-305)+(-1.153824+(-0.153714--0.3111))+0-146.2--0.149124000000023</f>
        <v>829.85268600000018</v>
      </c>
      <c r="J207" s="3">
        <f>1133.9+(149.4-313.7)+(0+(0-0))+0-146.4-0</f>
        <v>823.20000000000016</v>
      </c>
      <c r="K207" s="3">
        <f>1136.1+(170.4-370.6)+(-2.897055+(-0.43452--0.94503))+0-145--0.369749999999979</f>
        <v>788.88320499999986</v>
      </c>
      <c r="L207" s="3">
        <f>1128.9+(241.2-449.1)+(-1.151478+(-0.246024--0.458082))+0-139--0.141780000000022</f>
        <v>781.20236</v>
      </c>
      <c r="M207" s="3">
        <f>1107.5+(290.6-412.6)+(1.694475+(0.444618-0.631278))+0-144.3-0.220779000000008</f>
        <v>842.48703599999999</v>
      </c>
      <c r="N207" s="3">
        <f>1095.5+(362.5-414.4)+(0+(0-0))+0-145.1-0</f>
        <v>898.49999999999989</v>
      </c>
      <c r="O207" s="3">
        <f>1085+(361.4-367.4)+(-1.1067+(-0.368628--0.374748))+0-139.2--0.141984000000022</f>
        <v>938.8414039999999</v>
      </c>
      <c r="P207" s="3">
        <f>1077.3+(330.2-298.5)+(1.098846+(0.336804-0.30447))+0-137.9-0.140658000000022</f>
        <v>972.09052200000008</v>
      </c>
      <c r="Q207" s="3">
        <f>1066.4+(325.9-235.2)+(-1.631592+(-0.498627--0.359856))+0-144.9--0.221697000000008</f>
        <v>1010.6513340000001</v>
      </c>
      <c r="R207" s="3">
        <f>1059.6+(330-210.5)+(-0.540396+(-0.1683--0.107355))+0-147.8--0.075377999999985</f>
        <v>1030.7740369999999</v>
      </c>
      <c r="S207" s="3">
        <f>1054.8+(360-238)+(1.075896+(0.3672-0.24276))+0-152.7-0.155754000000024</f>
        <v>1025.1445819999999</v>
      </c>
      <c r="T207" s="3">
        <f>1051.9+(329.3-220.4)+(0.536469+(0.167943-0.112404))+0-153.7-0.0783869999999844</f>
        <v>1007.6136210000002</v>
      </c>
      <c r="U207" s="3">
        <f>1051.5+(270.3-199.6)+(-2.681325+(-0.689265--0.50898))+0-147.3--0.375614999999979</f>
        <v>972.41400500000009</v>
      </c>
      <c r="V207" s="3">
        <f>1052.3+(302.5-261.8)+(-0.536673+(-0.154275--0.133518))+0-152.9--0.0779789999999845</f>
        <v>939.62054899999998</v>
      </c>
      <c r="W207" s="3">
        <f>1062.8+(379.5-303)+(0+(0-0))+0-152.5-0</f>
        <v>986.8</v>
      </c>
      <c r="X207" s="3">
        <f>1072.1+(402.1-255)+(-1.640313+(-0.615213--0.39015))+0-150.5--0.230265000000009</f>
        <v>1067.0648889999998</v>
      </c>
      <c r="Y207" s="3">
        <f>1074.6+(407.4-259.7)+(-2.192184+(-0.831096--0.529788))+0-147.8--0.301511999999994</f>
        <v>1072.3080199999999</v>
      </c>
      <c r="Z207" s="3">
        <f>1089.1+(423.9-300.6)+(-2.777205+(-1.080945--0.76653))+0-150.5--0.383774999999978</f>
        <v>1059.192155</v>
      </c>
      <c r="AA207" s="3">
        <f>1094.4+(434.8-325.8)+(-1.116288+(-0.443496--0.332316))+0-147.4--0.150348000000024</f>
        <v>1054.9228800000001</v>
      </c>
      <c r="AB207" s="3">
        <f>1100.2+(420.1-338.6)+(-0.561102+(-0.214251--0.172686))+0-145.6--0.0742559999999852</f>
        <v>1035.5715889999999</v>
      </c>
      <c r="AC207" s="3">
        <f>1104.4+(376.3-336.2)+(-0.563244+(-0.191913--0.171462))+0-146.6--0.0747659999999851</f>
        <v>997.3910709999999</v>
      </c>
      <c r="AD207">
        <v>1054.7</v>
      </c>
      <c r="AE207" s="3">
        <f>1065+(401.4-250.8)+(0+(0-0))+0-148.9-0</f>
        <v>1066.6999999999998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1100.4+(329.9-329.8)+(0+(0-0))+0-147.7-0</f>
        <v>952.8</v>
      </c>
      <c r="G208" s="3">
        <f>1101.8+(289-323.8)+(0+(0-0))+0-143.4-0</f>
        <v>923.6</v>
      </c>
      <c r="H208" s="3">
        <f>1108.9+(249.8-318.1)+(0.565539+(0.127398-0.162231))+0-141.4-0.0721139999999857</f>
        <v>899.65859200000023</v>
      </c>
      <c r="I208" s="3">
        <f>1112.9+(220.7-316.4)+(0+(0-0))+0-141.1-0</f>
        <v>876.1</v>
      </c>
      <c r="J208" s="3">
        <f>1066.2+(214.9-271)+(1.087524+(0.219198-0.27642))+0-144.2-0.147084000000023</f>
        <v>866.78321799999992</v>
      </c>
      <c r="K208" s="3">
        <f>1060.9+(205.4-285.9)+(-1.082118+(-0.209508--0.291618))+0-144.4--0.147288000000023</f>
        <v>835.14728000000014</v>
      </c>
      <c r="L208" s="3">
        <f>1058.7+(237.6-331.6)+(-1.079874+(-0.242352--0.338232))+0-147.3--0.150246000000024</f>
        <v>816.56625199999996</v>
      </c>
      <c r="M208" s="3">
        <f>1044+(253-288)+(1.59732+(0.38709-0.44064))+0-153.9-0.235467000000009</f>
        <v>856.40830300000005</v>
      </c>
      <c r="N208" s="3">
        <f>1027.5+(271.7-242.8)+(0.524025+(0.138567-0.123828))+0-155.8-0.0794579999999842</f>
        <v>901.05930600000011</v>
      </c>
      <c r="O208" s="3">
        <f>1019.4+(308.7-220)+(-1.039788+(-0.314874--0.2244))+0-162.2--0.165444000000026</f>
        <v>944.93518199999994</v>
      </c>
      <c r="P208" s="3">
        <f>1008.7+(363.7-214.5)+(0+(0-0))+0-164.5-0</f>
        <v>993.40000000000009</v>
      </c>
      <c r="Q208" s="3">
        <f>1029.3+(379.4-204.5)+(-2.624715+(-0.96747--0.521475))+0-162.8--0.415139999999976</f>
        <v>1038.74443</v>
      </c>
      <c r="R208" s="3">
        <f>1041.8+(438.3-236)+(-1.593954+(-0.670599--0.36108))+0-164.1--0.251073000000009</f>
        <v>1078.3475999999998</v>
      </c>
      <c r="S208" s="3">
        <f>1039.3+(473.5-267.7)+(1.060086+(0.48297-0.273054))+0-167.8-0.171156000000027</f>
        <v>1078.3988459999998</v>
      </c>
      <c r="T208" s="3">
        <f>1039.9+(457.5-270)+(-3.182094+(-1.39995--0.8262))+0-171.3--0.52417800000002</f>
        <v>1052.8683340000002</v>
      </c>
      <c r="U208" s="3">
        <f>1039.2+(372.1-214.8)+(0+(0-0))+0-173.3-0</f>
        <v>1023.2</v>
      </c>
      <c r="V208" s="3">
        <f>1044.3+(387-175)+(0+(0-0))+0-173.3-0</f>
        <v>1083</v>
      </c>
      <c r="W208" s="3">
        <f>1047.7+(387-163)+(0.534327+(0.19737-0.08313))+0-173.3-0.0883829999999824</f>
        <v>1098.960184</v>
      </c>
      <c r="X208" s="3">
        <f>1065.6+(402.2-179.7)+(-1.630368+(-0.615366--0.274941))+0-182.5--0.279225000000011</f>
        <v>1103.9084319999999</v>
      </c>
      <c r="Y208" s="3">
        <f>1072.4+(439.4-217.8)+(-1.640772+(-0.672282--0.333234))+0-172.8--0.26438400000001</f>
        <v>1119.4845640000001</v>
      </c>
      <c r="Z208" s="3">
        <f>1081.8+(460.5-259.5)+(0.551718+(0.234855-0.132345))+0-172.5-0.0879749999999825</f>
        <v>1110.8662530000001</v>
      </c>
      <c r="AA208" s="3">
        <f>1093+(439.8-279.4)+(0+(0-0))+0-166.7-0</f>
        <v>1086.7</v>
      </c>
      <c r="AB208" s="3">
        <f>1099.8+(431.6-301.5)+(-1.682694+(-0.660348--0.461295))+0-166--0.25398000000001</f>
        <v>1062.2722330000001</v>
      </c>
      <c r="AC208" s="3">
        <f>1098+(397.7-312.9)+(-2.7999+(-1.014135--0.797895))+0-168.4--0.429419999999976</f>
        <v>1011.81328</v>
      </c>
      <c r="AD208">
        <v>1101.8999999999999</v>
      </c>
      <c r="AE208" s="3">
        <f>1072+(443-235.7)+(0+(0-0))+0-165.4-0</f>
        <v>1113.8999999999999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1101.8+(333.9-312.6)+(-2.80959+(-0.851445--0.79713))+0-169.8--0.432989999999975</f>
        <v>950.86908500000004</v>
      </c>
      <c r="G209" s="3">
        <f>1101.1+(329.3-335.1)+(-2.246244+(-0.671772--0.683604))+0-170.7--0.348227999999993</f>
        <v>922.71381599999984</v>
      </c>
      <c r="H209" s="3">
        <f>1099+(286.2-314.2)+(-1.68147+(-0.437886--0.480726))+0-168--0.25704000000001</f>
        <v>901.61841000000004</v>
      </c>
      <c r="I209" s="3">
        <f>1065.9+(251.4-265)+(0+(0-0))+0-168.1-0</f>
        <v>884.20000000000016</v>
      </c>
      <c r="J209" s="3">
        <f>1074.8+(227.5-263.1)+(-1.644444+(-0.348075--0.402543))+0-164.3--0.25137900000001</f>
        <v>873.56140299999993</v>
      </c>
      <c r="K209" s="3">
        <f>1079.8+(292-365.8)+(-1.652094+(-0.44676--0.559674))+0-164.4--0.25153200000001</f>
        <v>840.31235200000003</v>
      </c>
      <c r="L209" s="3">
        <f>1073.5+(385.5-463.9)+(0+(0-0))+0-160.3-0</f>
        <v>834.8</v>
      </c>
      <c r="M209" s="3">
        <f>1054.2+(378.8-382.2)+(0.537642+(0.193188-0.194922))+0-160.6-0.0819059999999837</f>
        <v>890.65400200000022</v>
      </c>
      <c r="N209" s="3">
        <f>1020.8+(437-284)+(0.520608+(0.22287-0.14484))+0-178-0.0907799999999819</f>
        <v>996.3078579999999</v>
      </c>
      <c r="O209" s="3">
        <f>1047.9+(439.1-339.5)+(1.068858+(0.447882-0.34629))+0-161.7-0.164934000000026</f>
        <v>986.80551600000001</v>
      </c>
      <c r="P209" s="3">
        <f>1080.3+(411.2-297.4)+(-0.550953+(-0.209712--0.151674))+0-156.2--0.0796619999999841</f>
        <v>1037.3706709999997</v>
      </c>
      <c r="Q209" s="3">
        <f>1129.6+(356.4-276.8)+(-1.152192+(-0.363528--0.282336))+0-153.6--0.156672000000024</f>
        <v>1054.5232880000001</v>
      </c>
      <c r="R209" s="3">
        <f>1152+(278.4-211.2)+(0+(0-0))+0-151.9-0</f>
        <v>1067.3</v>
      </c>
      <c r="S209" s="3">
        <f>1148.9+(343.7-241.6)+(-0.585939+(-0.175287--0.123216))+0-152.3--0.0776729999999846</f>
        <v>1098.1396630000002</v>
      </c>
      <c r="T209" s="3">
        <f>1149.4+(366.1-267.1)+(0+(0-0))+0-150.7-0</f>
        <v>1097.7</v>
      </c>
      <c r="U209" s="3">
        <f>1150.4+(293.3-236.1)+(-1.760112+(-0.448749--0.361233))+0-151.1--0.231183000000009</f>
        <v>1054.8835550000003</v>
      </c>
      <c r="V209" s="3">
        <f>1155+(311.9-308)+(-1.76715+(-0.477207--0.47124))+0-155.4--0.237762000000009</f>
        <v>1001.9646450000001</v>
      </c>
      <c r="W209" s="3">
        <f>1164.6+(380.6-353.9)+(0+(0-0))+0-154.2-0</f>
        <v>1037.0999999999999</v>
      </c>
      <c r="X209" s="3">
        <f>1172.9+(390.7-296.7)+(-2.392716+(-0.797028--0.605268))+0-154.2--0.314567999999993</f>
        <v>1110.4300920000001</v>
      </c>
      <c r="Y209" s="3">
        <f>1181.1+(390.8-300.1)+(0+(0-0))+0-155.9-0</f>
        <v>1115.8999999999999</v>
      </c>
      <c r="Z209" s="3">
        <f>1202.5+(381.2-320.4)+(-2.4531+(-0.777648--0.653616))+0-160.5--0.327419999999993</f>
        <v>1100.5502880000001</v>
      </c>
      <c r="AA209" s="3">
        <f>1193.2+(375.6-316.1)+(-0.608532+(-0.191556--0.161211))+0-156--0.0795599999999842</f>
        <v>1096.1406829999999</v>
      </c>
      <c r="AB209" s="3">
        <f>1198.3+(355-332.2)+(-3.055665+(-0.90525--0.84711))+0-157.7--0.402134999999977</f>
        <v>1060.68833</v>
      </c>
      <c r="AC209" s="3">
        <f>1212+(303.6-352.3)+(-0.61812+(-0.154836--0.179673))+0-157.6--0.080375999999984</f>
        <v>1005.187093</v>
      </c>
      <c r="AD209">
        <v>1095.3999999999999</v>
      </c>
      <c r="AE209" s="3">
        <f>1166+(388.1-297.7)+(0+(0-0))+0-149-0</f>
        <v>1107.4000000000001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1221.9+(234.2-339.6)+(-3.115845+(-0.59721--0.86598))+0-157.6--0.401879999999977</f>
        <v>956.45480500000008</v>
      </c>
      <c r="G210" s="3">
        <f>1224.5+(198.3-338.2)+(-0.624495+(-0.101133--0.172482))+0-156.4--0.0797639999999841</f>
        <v>927.72661799999992</v>
      </c>
      <c r="H210" s="3">
        <f>1228.2+(193.8-363.7)+(-1.879146+(-0.296514--0.556461))+0-156.2--0.238986000000009</f>
        <v>900.71978700000011</v>
      </c>
      <c r="I210" s="3">
        <f>1236.7+(184-377.3)+(-0.630717+(-0.09384--0.192423))+0-155.3--0.0792029999999843</f>
        <v>887.6470690000001</v>
      </c>
      <c r="J210" s="3">
        <f>1225.4+(195.4-400.9)+(0+(0-0))+0-150-0</f>
        <v>869.90000000000009</v>
      </c>
      <c r="K210" s="3">
        <f>1225+(260.9-486.1)+(-1.87425+(-0.399177--0.743733))+0-151.1--0.231183000000009</f>
        <v>847.40148899999997</v>
      </c>
      <c r="L210" s="3">
        <f>1229.8+(322.1-569.1)+(0+(0-0))+0-150-0</f>
        <v>832.8</v>
      </c>
      <c r="M210" s="3">
        <f>1220.1+(375.5-559.4)+(0.622251+(0.191505-0.285294))+0-158.1-0.080630999999984</f>
        <v>878.54783099999975</v>
      </c>
      <c r="N210" s="3">
        <f>1204+(377-465.4)+(0.61404+(0.19227-0.237354))+0-158.2-0.0806819999999839</f>
        <v>957.88827399999991</v>
      </c>
      <c r="O210" s="3">
        <f>1193.6+(404.3-448.9)+(0+(0-0))+0-147.6-0</f>
        <v>1001.4</v>
      </c>
      <c r="P210" s="3">
        <f>1180.9+(372.8-368.7)+(-0.602259+(-0.190128--0.188037))+0-152.4--0.0777239999999845</f>
        <v>1032.0733739999998</v>
      </c>
      <c r="Q210" s="3">
        <f>1171.2+(348.5-307.6)+(1.194624+(0.35547-0.313752))+0-151.2-0.154224000000024</f>
        <v>1061.9821179999997</v>
      </c>
      <c r="R210" s="3">
        <f>1166.4+(342.3-266.5)+(-2.97432+(-0.872865--0.679575))+0-158.1--0.403154999999977</f>
        <v>1081.3355450000001</v>
      </c>
      <c r="S210" s="3">
        <f>1153.7+(390-298.3)+(0+(0-0))+0-155.2-0</f>
        <v>1090.2</v>
      </c>
      <c r="T210" s="3">
        <f>1154+(353.5-280.4)+(-1.17708+(-0.36057--0.286008))+0-151.8--0.154836000000024</f>
        <v>1074.2031939999999</v>
      </c>
      <c r="U210" s="3">
        <f>1154.4+(261.9-237.7)+(-2.94372+(-0.667845--0.606135))+0-152.2--0.388109999999978</f>
        <v>1023.7826800000001</v>
      </c>
      <c r="V210" s="3">
        <f>1155.2+(326-337)+(-2.94576+(-0.8313--0.85935))+0-150.3--0.383264999999978</f>
        <v>991.36555500000009</v>
      </c>
      <c r="W210" s="3">
        <f>1159.4+(374.5-350.8)+(1.182588+(0.38199-0.357816))+0-153.8-0.156876000000025</f>
        <v>1030.3498860000002</v>
      </c>
      <c r="X210" s="3">
        <f>1168.3+(368.5-289.2)+(-1.191666+(-0.37587--0.294984))+0-155.2--0.158304000000025</f>
        <v>1091.285752</v>
      </c>
      <c r="Y210" s="3">
        <f>1169.8+(364.4-270.4)+(0+(0-0))+0-154.5-0</f>
        <v>1109.3</v>
      </c>
      <c r="Z210" s="3">
        <f>1175.2+(376.3-299.2)+(-0.599352+(-0.191913--0.152592))+0-156.8--0.0799679999999841</f>
        <v>1094.9412950000003</v>
      </c>
      <c r="AA210" s="3">
        <f>1187.8+(362.9-315.3)+(-2.423112+(-0.740316--0.643212))+0-158.3--0.322931999999993</f>
        <v>1074.9027160000001</v>
      </c>
      <c r="AB210" s="3">
        <f>1192+(378.5-357.4)+(-2.43168+(-0.77214--0.729096))+0-159.4--0.325175999999993</f>
        <v>1051.550452</v>
      </c>
      <c r="AC210" s="3">
        <f>1144.5+(410.7-384.5)+(-3.50217+(-1.256742--1.17657))+0-161.8--0.495108000000019</f>
        <v>1005.8127660000002</v>
      </c>
      <c r="AD210">
        <v>1072.9000000000001</v>
      </c>
      <c r="AE210" s="3">
        <f>1161+(364.2-288.9)+(0+(0-0))+0-155.4-0</f>
        <v>1080.8999999999999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1127.7+(325.1-348.6)+(-2.875635+(-0.829005--0.88893))+0-163.5--0.416924999999976</f>
        <v>938.30121499999996</v>
      </c>
      <c r="G211" s="3">
        <f>1081.2+(292.3-290.3)+(1.654236+(0.447219-0.444159))+0-161.8-0.247554000000009</f>
        <v>922.80974200000014</v>
      </c>
      <c r="H211" s="3">
        <f>1067.9+(269.1-276)+(-2.723145+(-0.686205--0.7038))+0-160.5--0.409274999999977</f>
        <v>898.20372500000008</v>
      </c>
      <c r="I211" s="3">
        <f>1077.6+(223.6-260.4)+(-1.648728+(-0.342108--0.398412))+0-159.4--0.243882000000009</f>
        <v>880.05145800000003</v>
      </c>
      <c r="J211" s="3">
        <f>1076.2+(196-238.3)+(-0.548862+(-0.09996--0.121533))+0-160.7--0.0819569999999837</f>
        <v>872.75466799999992</v>
      </c>
      <c r="K211" s="3">
        <f>1081.5+(172-261.5)+(0.551565+(0.08772-0.133365))+0-160.9-0.0820589999999837</f>
        <v>831.52386100000001</v>
      </c>
      <c r="L211" s="3">
        <f>1080.9+(215.9-314.2)+(0+(0-0))+0-164-0</f>
        <v>818.60000000000014</v>
      </c>
      <c r="M211" s="3">
        <f>1073.4+(224.6-246)+(0.547434+(0.114546-0.12546))+0-168.8-0.0860879999999829</f>
        <v>883.65043200000014</v>
      </c>
      <c r="N211" s="3">
        <f>1072+(336.4-286)+(0.54672+(0.171564-0.14586))+0-169.9-0.0866489999999828</f>
        <v>952.9857750000001</v>
      </c>
      <c r="O211" s="3">
        <f>1061.7+(356-250)+(-1.624401+(-0.54468--0.3825))+0-171--0.26163000000001</f>
        <v>995.17504899999994</v>
      </c>
      <c r="P211" s="3">
        <f>1048.2+(377.4-204.9)+(1.069164+(0.384948-0.208998))+0-171.4-0.174828000000027</f>
        <v>1050.3702860000001</v>
      </c>
      <c r="Q211" s="3">
        <f>1138.2+(381.4-236.8)+(0+(0-0))+0-174.6-0</f>
        <v>1108.2</v>
      </c>
      <c r="R211" s="3">
        <f>1218.6+(407.6-342.7)+(-0.621486+(-0.207876--0.174777))+0-170--0.0866999999999827</f>
        <v>1112.9321150000001</v>
      </c>
      <c r="S211" s="3">
        <f>1259.9+(439-400.5)+(-0.642549+(-0.22389--0.204255))+0-171.9--0.0876689999999826</f>
        <v>1125.925485</v>
      </c>
      <c r="T211" s="3">
        <f>1261.6+(403.4-386.8)+(0.643416+(0.205734-0.197268))+0-182.1-0.0928709999999815</f>
        <v>1096.6590109999997</v>
      </c>
      <c r="U211" s="3">
        <f>1263.6+(312.3-348.3)+(0+(0-0))+0-169.2-0</f>
        <v>1058.3999999999999</v>
      </c>
      <c r="V211" s="3">
        <f>1269.1+(232.7-305.1)+(-2.588964+(-0.474708--0.622404))+0-185.2--0.377807999999992</f>
        <v>1009.4365399999997</v>
      </c>
      <c r="W211" s="3">
        <f>1272.9+(283-322.5)+(1.947537+(0.43299-0.493425))+0-182.4-0.279072000000011</f>
        <v>1052.6080299999999</v>
      </c>
      <c r="X211" s="3">
        <f>1283.5+(383.4-364.6)+(-3.92751+(-1.173204--1.115676))+0-180.8--0.553248000000021</f>
        <v>1118.0682099999999</v>
      </c>
      <c r="Y211" s="3">
        <f>1289.6+(415.4-401.9)+(0.657696+(0.211854-0.204969))+0-190-0.0968999999999807</f>
        <v>1113.6676809999999</v>
      </c>
      <c r="Z211" s="3">
        <f>1309.3+(421.1-442.9)+(-0.667743+(-0.214761--0.225879))+0-191.4--0.0976139999999806</f>
        <v>1095.5409889999999</v>
      </c>
      <c r="AA211" s="3">
        <f>1320.9+(419.5-457.8)+(-2.020977+(-0.641835--0.700434))+0-188.7--0.288711000000011</f>
        <v>1092.2263330000001</v>
      </c>
      <c r="AB211" s="3">
        <f>1329.7+(360.2-457.9)+(-2.712588+(-0.734808--0.934116))+0-180.8--0.368831999999992</f>
        <v>1049.055552</v>
      </c>
      <c r="AC211" s="3">
        <f>1328.8+(270.7-417.7)+(-1.355376+(-0.276114--0.426054))+0-187.5--0.19125000000003</f>
        <v>993.28581400000007</v>
      </c>
      <c r="AD211">
        <v>1100.3000000000002</v>
      </c>
      <c r="AE211" s="3">
        <f>1281+(382.2-371.8)+(0+(0-0))+0-182.1-0</f>
        <v>1109.3000000000002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1336.3+(216.6-416.4)+(-3.407565+(-0.55233--1.06182))+0-186.2--0.474809999999973</f>
        <v>947.87673499999983</v>
      </c>
      <c r="G212" s="3">
        <f>1327.9+(176.8-404.3)+(-0.677229+(-0.090168--0.206193))+0-187.6--0.095675999999981</f>
        <v>912.33447200000001</v>
      </c>
      <c r="H212" s="3">
        <f>1325.3+(147.7-400.7)+(1.351806+(0.150654-0.408714))+0-185.8-0.18951600000003</f>
        <v>887.40422999999998</v>
      </c>
      <c r="I212" s="3">
        <f>1325.1+(144.4-413.5)+(-2.703204+(-0.294576--0.84354))+0-183.9--0.375155999999992</f>
        <v>870.3209159999999</v>
      </c>
      <c r="J212" s="3">
        <f>1329.5+(131.1-414.4)+(0.678045+(0.066861-0.211344))+0-174.9-0.0891989999999823</f>
        <v>871.74436300000013</v>
      </c>
      <c r="K212" s="3">
        <f>1346.1+(140.7-462.2)+(-1.373022+(-0.143514--0.471444))+0-175.9--0.179418000000028</f>
        <v>847.83432600000003</v>
      </c>
      <c r="L212" s="3">
        <f>1334.3+(199-541.9)+(-2.041479+(-0.30447--0.829107))+0-179.7--0.27494100000001</f>
        <v>810.45809900000006</v>
      </c>
      <c r="M212" s="3">
        <f>1306.4+(210.8-479.6)+(1.332528+(0.215016-0.489192))+0-180.7-0.184314000000029</f>
        <v>857.77403800000002</v>
      </c>
      <c r="N212" s="3">
        <f>1294.4+(209.2-424)+(0+(0-0))+0-167.8-0</f>
        <v>911.80000000000018</v>
      </c>
      <c r="O212" s="3">
        <f>1299.9+(284-390)+(-0.662949+(-0.14484--0.1989))+0-173--0.0882299999999824</f>
        <v>1020.379341</v>
      </c>
      <c r="P212" s="3">
        <f>1286.5+(257.7-371.3)+(0.656115+(0.131427-0.189363))+0-164.4-0.0838439999999833</f>
        <v>1009.0143350000002</v>
      </c>
      <c r="Q212" s="3">
        <f>1276+(274.1-346)+(-3.2538+(-0.698955--0.8823))+0-157--0.400349999999977</f>
        <v>1044.4298949999998</v>
      </c>
      <c r="R212" s="3">
        <f>1251+(346.7-445)+(-0.63801+(-0.176817--0.22695))+0-161.9--0.0825689999999836</f>
        <v>990.29469200000017</v>
      </c>
      <c r="S212" s="3">
        <f>1225+(427.7-605)+(0+(0-0))+0-164.9-0</f>
        <v>882.80000000000007</v>
      </c>
      <c r="T212" s="3">
        <f>1242.8+(368.1-548.3)+(-1.901484+(-0.563193--0.838899))+0-157.8--0.241434000000009</f>
        <v>903.4156559999999</v>
      </c>
      <c r="U212" s="3">
        <f>1240+(314.7-476)+(0+(0-0))+0-165.9-0</f>
        <v>912.80000000000007</v>
      </c>
      <c r="V212" s="3">
        <f>1266.8+(205.5-316)+(-3.876408+(-0.62883--0.96696))+0-169.9--0.51989400000002</f>
        <v>983.38161600000001</v>
      </c>
      <c r="W212" s="3">
        <f>1270.5+(278.6-359)+(1.29591+(0.284172-0.36618))+0-154.4-0.157488000000025</f>
        <v>1036.7564139999997</v>
      </c>
      <c r="X212" s="3">
        <f>1280.8+(354.8-368.7)+(-3.919248+(-1.085688--1.128222))+0-160.7--0.491742000000019</f>
        <v>1102.815028</v>
      </c>
      <c r="Y212" s="3">
        <f>1292.6+(373.8-399.3)+(-1.977678+(-0.571914--0.610929))+0-163.8--0.25061400000001</f>
        <v>1101.6119510000001</v>
      </c>
      <c r="Z212" s="3">
        <f>1305.8+(374.3-432.4)+(-3.32979+(-0.954465--1.10262))+0-163.7--0.417434999999976</f>
        <v>1081.2358000000002</v>
      </c>
      <c r="AA212" s="3">
        <f>1325.2+(337.2-432.3)+(-2.703408+(-0.687888--0.881892))+0-164.7--0.335987999999993</f>
        <v>1063.226584</v>
      </c>
      <c r="AB212" s="3">
        <f>1324.6+(300.8-432.5)+(-0.675546+(-0.153408--0.220575))+0-164--0.0836399999999834</f>
        <v>1028.3752609999999</v>
      </c>
      <c r="AC212" s="3">
        <f>1321.5+(260.3-439.9)+(-0.673965+(-0.132753--0.224349))+0-164.5--0.0838949999999833</f>
        <v>976.9015260000001</v>
      </c>
      <c r="AD212">
        <v>1080.7999999999997</v>
      </c>
      <c r="AE212" s="3">
        <f>1274+(344.3-365.1)+(0+(0-0))+0-163.4-0</f>
        <v>1089.8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1337.9+(210.5-426.6)+(-2.046987+(-0.322065--0.652698))+0-165.2--0.25275600000001</f>
        <v>955.1364020000002</v>
      </c>
      <c r="G213" s="3">
        <f>1340.8+(180.9-445.1)+(1.367616+(0.184518-0.454002))+0-166.5-0.169830000000027</f>
        <v>911.02830199999994</v>
      </c>
      <c r="H213" s="3">
        <f>1364+(174.2-472.3)+(-0.69564+(-0.088842--0.240873))+0-165.3--0.0843029999999832</f>
        <v>900.14069400000005</v>
      </c>
      <c r="I213" s="3">
        <f>1344.5+(180.7-482)+(2.057085+(0.276471-0.73746))+0-161.2-0.246636000000009</f>
        <v>883.34946000000002</v>
      </c>
      <c r="J213" s="3">
        <f>1373.3+(176.1-514.3)+(0.700383+(0.089811-0.262293))+0-160.9-0.0820589999999837</f>
        <v>874.6458419999999</v>
      </c>
      <c r="K213" s="3">
        <f>1442.9+(174.6-614.5)+(-2.943516+(-0.356184--1.25358))+0-158--0.322319999999993</f>
        <v>843.27620000000013</v>
      </c>
      <c r="L213" s="3">
        <f>1468.3+(248.5-748.7)+(-2.995332+(-0.50694--1.527348))+0-155.5--0.317219999999993</f>
        <v>810.94229599999994</v>
      </c>
      <c r="M213" s="3">
        <f>1471.2+(246.2-700.8)+(0.750312+(0.125562-0.357408))+0-159.3-0.0812429999999838</f>
        <v>857.7372230000002</v>
      </c>
      <c r="N213" s="3">
        <f>1461.5+(257.4-628.5)+(0+(0-0))+0-159.8-0</f>
        <v>930.60000000000014</v>
      </c>
      <c r="O213" s="3">
        <f>1451.1+(283.6-580.9)+(-1.480122+(-0.289272--0.592518))+0-159.2--0.162384000000025</f>
        <v>993.58550799999989</v>
      </c>
      <c r="P213" s="3">
        <f>1426.8+(267-494.5)+(-1.455336+(-0.27234--0.50439))+0-157.9--0.161058000000025</f>
        <v>1040.3377719999999</v>
      </c>
      <c r="Q213" s="3">
        <f>1253.7+(325.8-337.1)+(-2.557548+(-0.664632--0.687684))+0-160.5--0.327419999999993</f>
        <v>1079.6929240000002</v>
      </c>
      <c r="R213" s="3">
        <f>1247.9+(364.3-342)+(-1.909287+(-0.557379--0.52326))+0-161.9--0.247707000000009</f>
        <v>1106.6043009999999</v>
      </c>
      <c r="S213" s="3">
        <f>1247.7+(367.1-338.3)+(-1.272654+(-0.374442--0.345066))+0-165.9--0.169218000000026</f>
        <v>1109.4671879999999</v>
      </c>
      <c r="T213" s="3">
        <f>1286.5+(312.5-341.3)+(0+(0-0))+0-168.3-0</f>
        <v>1089.4000000000001</v>
      </c>
      <c r="U213" s="3">
        <f>1346+(238.6-354)+(-1.37292+(-0.243372--0.36108))+0-168--0.171360000000027</f>
        <v>1061.5161479999999</v>
      </c>
      <c r="V213" s="3">
        <f>1403.3+(248.9-470.2)+(0+(0-0))+0-171.4-0</f>
        <v>1010.6</v>
      </c>
      <c r="W213" s="3">
        <f>1420.6+(269.2-458.7)+(-0.724506+(-0.137292--0.233937))+0-176.6--0.0900659999999821</f>
        <v>1053.962205</v>
      </c>
      <c r="X213" s="3">
        <f>1449.6+(291.6-439.7)+(-3.69648+(-0.74358--1.121235))+0-177--0.451349999999974</f>
        <v>1121.632525</v>
      </c>
      <c r="Y213" s="3">
        <f>1461+(293.7-460.6)+(-2.23533+(-0.449361--0.704718))+0-172.3--0.26361900000001</f>
        <v>1120.083646</v>
      </c>
      <c r="Z213" s="3">
        <f>1472.5+(279.1-475)+(-2.252925+(-0.427023--0.72675))+0-174.2--0.26652600000001</f>
        <v>1100.713328</v>
      </c>
      <c r="AA213" s="3">
        <f>1475.5+(274.5-481.1)+(-2.257515+(-0.419985--0.736083))+0-171.9--0.26300700000001</f>
        <v>1095.32159</v>
      </c>
      <c r="AB213" s="3">
        <f>1479.9+(244.7-487.6)+(0+(0-0))+0-168.6-0</f>
        <v>1068.4000000000001</v>
      </c>
      <c r="AC213" s="3">
        <f>1474.6+(213.9-486.1)+(-3.008184+(-0.436356--0.991644))+0-170.3--0.347411999999993</f>
        <v>1029.994516</v>
      </c>
      <c r="AD213">
        <v>1120.3</v>
      </c>
      <c r="AE213" s="3">
        <f>1454+(305.6-450.5)+(0+(0-0))+0-179.8-0</f>
        <v>1129.3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1481.6+(228.3-547.6)+(-2.266848+(-0.349299--0.837828))+0-169.3--0.25902900000001</f>
        <v>991.48071000000004</v>
      </c>
      <c r="G214" s="3">
        <f>1490.4+(222.8-578.9)+(-0.760104+(-0.113628--0.295239))+0-168.7--0.0860369999999829</f>
        <v>965.10754400000019</v>
      </c>
      <c r="H214" s="3">
        <f>1502.4+(206.9-602.6)+(-4.597344+(-0.633114--1.843956))+0-167--0.511020000000019</f>
        <v>936.82451800000001</v>
      </c>
      <c r="I214" s="3">
        <f>1500.7+(194-613.9)+(-2.296071+(-0.29682--0.939267))+0-167.9--0.25688700000001</f>
        <v>911.50326300000017</v>
      </c>
      <c r="J214" s="3">
        <f>1505.5+(185.9-630)+(0+(0-0))+0-164.7-0</f>
        <v>896.7</v>
      </c>
      <c r="K214" s="3">
        <f>1512+(186.8-666.5)+(-0.77112+(-0.095268--0.339915))+0-161.7--0.0824669999999836</f>
        <v>870.15599399999996</v>
      </c>
      <c r="L214" s="3">
        <f>1508.3+(211.7-740)+(-2.307699+(-0.323901--1.1322))+0-155.6--0.238068000000009</f>
        <v>823.13866799999994</v>
      </c>
      <c r="M214" s="3">
        <f>1492.3+(240.3-688.2)+(0.761073+(0.122553-0.350982))+0-163.9-0.0835889999999834</f>
        <v>880.94905499999982</v>
      </c>
      <c r="N214" s="3">
        <f>1482.7+(280.7-652.3)+(2.268531+(0.429471-0.998019))+0-166.6-0.25489800000001</f>
        <v>945.94508500000006</v>
      </c>
      <c r="O214" s="3">
        <f>1466.2+(316.5-611.7)+(0+(0-0))+0-166.6-0</f>
        <v>1004.4</v>
      </c>
      <c r="P214" s="3">
        <f>1446.4+(315.2-562.3)+(1.475328+(0.321504-0.573546))+0-157.4-0.160548000000025</f>
        <v>1042.9627379999999</v>
      </c>
      <c r="Q214" s="3">
        <f>1438.4+(294.7-474.9)+(-0.733584+(-0.150297--0.242199))+0-156.5--0.0798149999999841</f>
        <v>1101.1381330000002</v>
      </c>
      <c r="R214" s="3">
        <f>1426.9+(321.8-468.6)+(-2.183157+(-0.492354--0.716958))+0-158.8--0.242964000000009</f>
        <v>1119.5844110000003</v>
      </c>
      <c r="S214" s="3">
        <f>1299+(361.4-388.3)+(-3.97494+(-1.105884--1.188198))+0-160.6--0.491436000000019</f>
        <v>1108.09881</v>
      </c>
      <c r="T214" s="3">
        <f>1238.6+(387.2-373.8)+(-1.263372+(-0.394944--0.381276))+0-162.7--0.165954000000026</f>
        <v>1088.1889140000001</v>
      </c>
      <c r="U214" s="3">
        <f>1233.4+(327.5-347.8)+(-1.887102+(-0.501075--0.532134))+0-166.2--0.25428600000001</f>
        <v>1045.2982430000002</v>
      </c>
      <c r="V214" s="3">
        <f>1319+(266.8-419)+(-2.01807+(-0.408204--0.64107))+0-168.9--0.25841700000001</f>
        <v>996.37321299999996</v>
      </c>
      <c r="W214" s="3">
        <f>1402.9+(283.3-473.8)+(-2.146437+(-0.433449--0.724914))+0-171.9--0.26300700000001</f>
        <v>1038.9080349999999</v>
      </c>
      <c r="X214" s="3">
        <f>1448.7+(286.4-459.9)+(-4.433022+(-0.876384--1.407294))+0-169.5--0.51867000000002</f>
        <v>1102.316558</v>
      </c>
      <c r="Y214" s="3">
        <f>1458.2+(293.5-481.9)+(-2.231046+(-0.449055--0.737307))+0-164.6--0.25183800000001</f>
        <v>1103.5090440000001</v>
      </c>
      <c r="Z214" s="3">
        <f>1473.9+(293-507.9)+(-0.751689+(-0.14943--0.259029))+0-168.1--0.0857309999999829</f>
        <v>1090.3436409999999</v>
      </c>
      <c r="AA214" s="3">
        <f>1493.9+(318.2-546.4)+(-1.523778+(-0.324564--0.557328))+0-171.9--0.175338000000027</f>
        <v>1092.6843240000001</v>
      </c>
      <c r="AB214" s="3">
        <f>1501.3+(304.4-566.1)+(-2.296989+(-0.465732--0.866133))+0-168.4--0.25765200000001</f>
        <v>1069.5610639999998</v>
      </c>
      <c r="AC214" s="3">
        <f>1503.5+(253.7-554)+(-3.833925+(-0.646935--1.4127))+0-167.1--0.426104999999976</f>
        <v>1033.4579450000001</v>
      </c>
      <c r="AD214">
        <v>1101.3999999999999</v>
      </c>
      <c r="AE214" s="3">
        <f>1455+(294-466.9)+(0+(0-0))+0-172.7-0</f>
        <v>1109.3999999999999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1463.9+(224.6-526.8)+(-2.239767+(-0.343638--0.806004))+0-164.6--0.25183800000001</f>
        <v>995.57443700000022</v>
      </c>
      <c r="G215" s="3">
        <f>1271.1+(309.8-443.7)+(-2.593044+(-0.631992--0.905148))+0-161.7--0.329867999999993</f>
        <v>973.50997999999981</v>
      </c>
      <c r="H215" s="3">
        <f>1219.3+(312.7-422.3)+(-3.109215+(-0.797385--1.076865))+0-161.8--0.412589999999977</f>
        <v>945.48285499999986</v>
      </c>
      <c r="I215" s="3">
        <f>1223+(267.8-392.5)+(-2.49492+(-0.546312--0.8007))+0-170.8--0.348431999999993</f>
        <v>925.60789999999997</v>
      </c>
      <c r="J215" s="3">
        <f>1232.5+(219.3-365.7)+(-0.628575+(-0.111843--0.186507))+0-172.1--0.0877709999999825</f>
        <v>913.53385999999989</v>
      </c>
      <c r="K215" s="3">
        <f>1228.5+(177.6-345.1)+(-0.626535+(-0.090576--0.176001))+0-170.4--0.0869039999999827</f>
        <v>890.14579400000014</v>
      </c>
      <c r="L215" s="3">
        <f>1228.2+(175.7-367.5)+(0+(0-0))+0-168.3-0</f>
        <v>868.10000000000014</v>
      </c>
      <c r="M215" s="3">
        <f>1232+(189.4-359.1)+(-0.62832+(-0.096594--0.183141))+0-171--0.0872099999999826</f>
        <v>890.84543700000006</v>
      </c>
      <c r="N215" s="3">
        <f>1253.3+(251.8-417.7)+(-1.278366+(-0.256836--0.426054))+0-176.7--0.180234000000028</f>
        <v>909.77108600000008</v>
      </c>
      <c r="O215" s="3">
        <f>1273.8+(392.5-546.9)+(-1.299276+(-0.40035--0.557838))+0-170.9--0.174318000000027</f>
        <v>947.53253000000018</v>
      </c>
      <c r="P215" s="3">
        <f>1256.2+(451.6-541.9)+(-1.921986+(-0.690948--0.829107))+0-170.5--0.26086500000001</f>
        <v>993.87703800000008</v>
      </c>
      <c r="Q215" s="3">
        <f>1245+(440.2-465.7)+(0+(0-0))+0-174.3-0</f>
        <v>1045.2</v>
      </c>
      <c r="R215" s="3">
        <f>1174.8+(443.5-357.8)+(-2.396592+(-0.90474--0.729912))+0-175.7--0.358427999999992</f>
        <v>1082.587008</v>
      </c>
      <c r="S215" s="3">
        <f>987+(525.4-262.5)+(-2.01348+(-1.071816--0.5355))+0-169.9--0.346595999999993</f>
        <v>1077.7968000000001</v>
      </c>
      <c r="T215" s="3">
        <f>931.9+(494.1-195.9)+(-0.950538+(-0.503982--0.199818))+0-171.3--0.174726000000027</f>
        <v>1057.720024</v>
      </c>
      <c r="U215" s="3">
        <f>933.1+(472.4-222.2)+(-0.475881+(-0.240924--0.113322))+0-168.3--0.0858329999999829</f>
        <v>1014.4823499999999</v>
      </c>
      <c r="V215" s="3">
        <f>954+(468.8-294.5)+(0+(0-0))+0-174.5-0</f>
        <v>953.8</v>
      </c>
      <c r="W215" s="3">
        <f>1095.5+(485.9-394.2)+(-1.676115+(-0.743427--0.603126))+0-181.2--0.27723600000001</f>
        <v>1004.4608200000001</v>
      </c>
      <c r="X215" s="3">
        <f>1128.7+(518.3-395.1)+(-2.302548+(-1.057332--0.806004))+0-178--0.363119999999992</f>
        <v>1071.7092440000001</v>
      </c>
      <c r="Y215" s="3">
        <f>1130.8+(512.3-392.5)+(-1.730124+(-0.783819--0.600525))+0-170.1--0.26025300000001</f>
        <v>1078.8468349999998</v>
      </c>
      <c r="Z215" s="3">
        <f>1135.5+(484.3-376.6)+(-2.895525+(-1.234965--0.96033))+0-174.1--0.443954999999975</f>
        <v>1066.3737950000002</v>
      </c>
      <c r="AA215" s="3">
        <f>1132.3+(452.2-359.9)+(-2.309892+(-0.922488--0.734196))+0-174.1--0.355163999999992</f>
        <v>1048.35698</v>
      </c>
      <c r="AB215" s="3">
        <f>1120.8+(429-350.1)+(-2.85804+(-1.09395--0.892755))+0-167.3--0.426614999999976</f>
        <v>1029.76738</v>
      </c>
      <c r="AC215" s="3">
        <f>1123.4+(401.2-380)+(-2.86467+(-1.02306--0.969))+0-158.1--0.403154999999977</f>
        <v>983.98442499999999</v>
      </c>
      <c r="AD215">
        <v>1074</v>
      </c>
      <c r="AE215" s="3">
        <f>1133+(513-391)+(0+(0-0))+0-169-0</f>
        <v>1086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1155.4+(387.8-422.5)+(-1.178508+(-0.395556--0.43095))+0-162.3--0.165546000000026</f>
        <v>957.42243200000019</v>
      </c>
      <c r="G216" s="3">
        <f>1124.5+(417.6-445.4)+(-1.14699+(-0.425952--0.454308))+0-159.1--0.162282000000025</f>
        <v>936.6436480000001</v>
      </c>
      <c r="H216" s="3">
        <f>1124.4+(357.8-422.8)+(-2.293776+(-0.729912--0.862512))+0-149.8--0.305591999999993</f>
        <v>907.74441600000011</v>
      </c>
      <c r="I216" s="3">
        <f>1125.1+(315.6-392.5)+(-1.147602+(-0.321912--0.40035))+0-154--0.157080000000025</f>
        <v>893.28791599999988</v>
      </c>
      <c r="J216" s="3">
        <f>1140.6+(283.7-380.9)+(1.163412+(0.289374-0.388518))+0-157.4-0.160548000000025</f>
        <v>886.90371999999991</v>
      </c>
      <c r="K216" s="3">
        <f>1146.8+(228.2-352.7)+(2.92434+(0.58191-0.899385))+0-159.4-0.406469999999977</f>
        <v>865.10039499999993</v>
      </c>
      <c r="L216" s="3">
        <f>1147.2+(195.5-333.9)+(-0.585072+(-0.099705--0.170289))+0-157.9--0.080528999999984</f>
        <v>850.46604100000002</v>
      </c>
      <c r="M216" s="3">
        <f>1123.6+(250.4-316.3)+(0+(0-0))+0-162.3-0</f>
        <v>895.39999999999986</v>
      </c>
      <c r="N216" s="3">
        <f>1132+(372-407.5)+(-0.57732+(-0.18972--0.207825))+0-164.2--0.0837419999999833</f>
        <v>931.82452699999999</v>
      </c>
      <c r="O216" s="3">
        <f>1140.3+(497.1-495)+(-2.326212+(-1.014084--1.0098))+0-161.7--0.329867999999993</f>
        <v>978.69937200000004</v>
      </c>
      <c r="P216" s="3">
        <f>1191.6+(412.3-446.5)+(-0.607716+(-0.210273--0.227715))+0-165.2--0.0842519999999832</f>
        <v>991.6939779999999</v>
      </c>
      <c r="Q216" s="3">
        <f>1222.1+(375.8-411.8)+(-1.869813+(-0.574974--0.630054))+0-166.2--0.25428600000001</f>
        <v>1018.3395529999999</v>
      </c>
      <c r="R216" s="3">
        <f>1260.7+(375.4-430.8)+(-3.214785+(-0.95727--1.09854))+0-171.3--0.436814999999975</f>
        <v>1031.3633</v>
      </c>
      <c r="S216" s="3">
        <f>1251.6+(390.8-435.3)+(-0.638316+(-0.199308--0.222003))+0-174.9--0.0891989999999823</f>
        <v>1031.6735779999999</v>
      </c>
      <c r="T216" s="3">
        <f>1244.8+(366.2-424)+(0+(0-0))+0-176.2-0</f>
        <v>1010.8</v>
      </c>
      <c r="U216" s="3">
        <f>1240.7+(275.6-368.3)+(-0.632757+(-0.140556--0.187833))+0-174.1--0.0887909999999823</f>
        <v>973.40331100000003</v>
      </c>
      <c r="V216" s="3">
        <f>1243.9+(237.8-350.6)+(1.268778+(0.242556-0.357612))+0-176.2-0.179724000000028</f>
        <v>955.87399800000003</v>
      </c>
      <c r="W216" s="3">
        <f>1316.7+(295.2-426.1)+(1.343034+(0.301104-0.434622))+0-184.6-0.188292000000029</f>
        <v>1002.2212239999998</v>
      </c>
      <c r="X216" s="3">
        <f>1341.3+(303.9-418.8)+(-2.736252+(-0.619956--0.854352))+0-183.7--0.374747999999992</f>
        <v>1040.5728919999997</v>
      </c>
      <c r="Y216" s="3">
        <f>1348.9+(343.9-474.8)+(-2.751756+(-0.701556--0.968592))+0-179.9--0.366995999999992</f>
        <v>1035.982276</v>
      </c>
      <c r="Z216" s="3">
        <f>1369+(331.4-504.2)+(-2.79276+(-0.676056--1.028568))+0-183.3--0.373931999999992</f>
        <v>1010.8336839999999</v>
      </c>
      <c r="AA216" s="3">
        <f>1373.2+(316-506.8)+(-1.400664+(-0.32232--0.516936))+0-179.6--0.183192000000029</f>
        <v>1001.7771440000001</v>
      </c>
      <c r="AB216" s="3">
        <f>1376.8+(277.9-515.2)+(-3.51084+(-0.708645--1.31376))+0-169.9--0.433244999999975</f>
        <v>967.12751999999989</v>
      </c>
      <c r="AC216" s="3">
        <f>1363.8+(319-573.1)+(-0.695538+(-0.16269--0.292281))+0-170.7--0.0870569999999827</f>
        <v>938.52110999999968</v>
      </c>
      <c r="AD216">
        <v>1036</v>
      </c>
      <c r="AE216" s="3">
        <f>1333+(304.7-419.3)+(0+(0-0))+0-171.4-0</f>
        <v>1047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1313.5+(287.8-535.5)+(-1.33977+(-0.293556--0.54621))+0-176.5--0.180030000000028</f>
        <v>888.39291400000002</v>
      </c>
      <c r="G217" s="3">
        <f>1319.7+(238.9-523.1)+(-1.346094+(-0.243678--0.533562))+0-180.1--0.183702000000029</f>
        <v>854.52749200000005</v>
      </c>
      <c r="H217" s="3">
        <f>1322.1+(203.8-515.7)+(0+(0-0))+0-177.1-0</f>
        <v>833.0999999999998</v>
      </c>
      <c r="I217" s="3">
        <f>1323.1+(172.8-502)+(1.349562+(0.176256-0.51204))+0-175.4-0.178908000000028</f>
        <v>819.33486999999991</v>
      </c>
      <c r="J217" s="3">
        <f>1323.8+(147.9-499.1)+(0.675138+(0.075429-0.254541))+0-164.7-0.0839969999999833</f>
        <v>808.31202899999994</v>
      </c>
      <c r="K217" s="3">
        <f>1327.5+(148.7-519.4)+(0+(0-0))+0-171.7-0</f>
        <v>785.09999999999991</v>
      </c>
      <c r="L217" s="3">
        <f>1340.7+(194.5-592.3)+(2.735028+(0.39678-1.208292))+0-171.6-0.350063999999992</f>
        <v>772.87345200000004</v>
      </c>
      <c r="M217" s="3">
        <f>1328.9+(255.9-577.1)+(1.355478+(0.261018-0.588642))+0-176.1-0.179622000000028</f>
        <v>832.44823200000008</v>
      </c>
      <c r="N217" s="3">
        <f>1161+(436.4-519.3)+(-0.59211+(-0.222564--0.264843))+0-177.8--0.090677999999982</f>
        <v>899.84084699999994</v>
      </c>
      <c r="O217" s="3">
        <f>1129.8+(460.2-486.5)+(0.576198+(0.234702-0.248115))+0-173.5-0.0884849999999824</f>
        <v>930.47430000000008</v>
      </c>
      <c r="P217" s="3">
        <f>1268.7+(405.1-512.4)+(-1.941111+(-0.619803--0.783972))+0-170.6--0.26101800000001</f>
        <v>989.28407600000014</v>
      </c>
      <c r="Q217" s="3">
        <f>1325.4+(371.5-521.1)+(-0.675954+(-0.189465--0.265761))+0-170.8--0.0871079999999827</f>
        <v>1004.4874500000001</v>
      </c>
      <c r="R217" s="3">
        <f>1318+(348.5-482.3)+(-3.3609+(-0.888675--1.229865))+0-174.8--0.445739999999975</f>
        <v>1006.8260300000001</v>
      </c>
      <c r="S217" s="3">
        <f>1313.2+(278.3-402.9)+(-0.669732+(-0.141933--0.205479))+0-176--0.0897599999999821</f>
        <v>1012.0835740000001</v>
      </c>
      <c r="T217" s="3">
        <f>1313+(259.2-386.9)+(0+(0-0))+0-171.5-0</f>
        <v>1013.8</v>
      </c>
      <c r="U217" s="3">
        <f>1312.1+(273.2-425.9)+(-4.015026+(-0.835992--1.303254))+0-168.8--0.51652800000002</f>
        <v>987.56876399999999</v>
      </c>
      <c r="V217" s="3">
        <f>1314.1+(293.6-456.7)+(-0.670191+(-0.149736--0.232917))+0-172.3--0.0878729999999825</f>
        <v>978.20086300000003</v>
      </c>
      <c r="W217" s="3">
        <f>1319.3+(353.9-456)+(0+(0-0))+0-173.3-0</f>
        <v>1043.8999999999999</v>
      </c>
      <c r="X217" s="3">
        <f>1331.1+(392.6-476.2)+(-4.073166+(-1.201356--1.457172))+0-181--0.553860000000021</f>
        <v>1063.23651</v>
      </c>
      <c r="Y217" s="3">
        <f>1348.5+(336.4-463)+(-1.37547+(-0.343128--0.47226))+0-175.6--0.179112000000028</f>
        <v>1045.2327740000003</v>
      </c>
      <c r="Z217" s="3">
        <f>1358.9+(299-456)+(-2.772156+(-0.60996--0.93024))+0-175.1--0.357203999999992</f>
        <v>1024.705328</v>
      </c>
      <c r="AA217" s="3">
        <f>1356.2+(277.2-435.4)+(-2.074986+(-0.424116--0.666162))+0-176.8--0.27050400000001</f>
        <v>1019.637564</v>
      </c>
      <c r="AB217" s="3">
        <f>1330.6+(267.1-432.3)+(-2.714424+(-0.544884--0.881892))+0-172.4--0.351695999999992</f>
        <v>990.97427999999979</v>
      </c>
      <c r="AC217" s="3">
        <f>1280.6+(238.5-398.5)+(-2.612424+(-0.48654--0.81294))+0-172.6--0.352103999999992</f>
        <v>946.06607999999983</v>
      </c>
      <c r="AD217">
        <v>1051.6000000000001</v>
      </c>
      <c r="AE217" s="3">
        <f>1329+(386.9-475.5)+(0+(0-0))+0-179.8-0</f>
        <v>1060.6000000000001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1278.9+(201.5-391.9)+(-1.304478+(-0.20553--0.399738))+0-178.5--0.182070000000028</f>
        <v>909.07180000000017</v>
      </c>
      <c r="G218" s="3">
        <f>1286.8+(156.7-388.2)+(0+(0-0))+0-170-0</f>
        <v>885.3</v>
      </c>
      <c r="H218" s="3">
        <f>1289.7+(140.9-390.4)+(0+(0-0))+0-170.5-0</f>
        <v>869.7</v>
      </c>
      <c r="I218" s="3">
        <f>1288.5+(133.8-385.6)+(0+(0-0))+0-176.8-0</f>
        <v>859.90000000000009</v>
      </c>
      <c r="J218" s="3">
        <f>1286+(142.2-402.1)+(0.65586+(0.072522-0.205071))+0-173.7-0.0885869999999824</f>
        <v>852.83472399999982</v>
      </c>
      <c r="K218" s="3">
        <f>1286.2+(186.3-471.1)+(-1.967886+(-0.285039--0.720783))+0-167.5--0.25627500000001</f>
        <v>832.62413300000003</v>
      </c>
      <c r="L218" s="3">
        <f>1288.3+(273.7-561.3)+(0.657033+(0.139587-0.286263))+0-162-0.0826199999999836</f>
        <v>839.12773700000002</v>
      </c>
      <c r="M218" s="3">
        <f>1293.9+(349.9-588)+(0.659889+(0.178449-0.29988))+0-164.9-0.0840989999999833</f>
        <v>891.35435900000016</v>
      </c>
      <c r="N218" s="3">
        <f>1291.2+(383.6-574.2)+(-0.658512+(-0.195636--0.292842))+0-152.3--0.0776729999999846</f>
        <v>947.8163669999999</v>
      </c>
      <c r="O218" s="3">
        <f>1281.8+(408.8-563.3)+(0.653718+(0.208488-0.287283))+0-147.5-0.075224999999985</f>
        <v>980.29969799999992</v>
      </c>
      <c r="P218" s="3">
        <f>1275.4+(403.9-538.8)+(0+(0-0))+0-146.2-0</f>
        <v>994.3</v>
      </c>
      <c r="Q218" s="3">
        <f>1296+(383.2-519.2)+(-0.66096+(-0.195432--0.264792))+0-149.1--0.0760409999999849</f>
        <v>1010.384441</v>
      </c>
      <c r="R218" s="3">
        <f>1279.3+(356.9-486)+(-3.262215+(-0.910095--1.2393))+0-140.9--0.35929499999998</f>
        <v>1006.7262849999998</v>
      </c>
      <c r="S218" s="3">
        <f>1271.7+(316.1-450.8)+(-3.891402+(-0.967266--1.379448))+0-139.3--0.426258000000016</f>
        <v>994.64703800000007</v>
      </c>
      <c r="T218" s="3">
        <f>1262+(328.4-449.4)+(0+(0-0))+0-144.3-0</f>
        <v>996.7</v>
      </c>
      <c r="U218" s="3">
        <f>1252.5+(326.9-445.8)+(-1.916325+(-0.500157--0.682074))+0-138--0.211140000000008</f>
        <v>994.07673199999988</v>
      </c>
      <c r="V218" s="3">
        <f>1263+(374.7-514.8)+(-0.64413+(-0.191097--0.262548))+0-143.8--0.0733379999999854</f>
        <v>978.60065900000006</v>
      </c>
      <c r="W218" s="3">
        <f>1295.4+(399.7-518.9)+(0+(0-0))+0-148.1-0</f>
        <v>1028.1000000000001</v>
      </c>
      <c r="X218" s="3">
        <f>1307.9+(388.2-514.5)+(-2.001087+(-0.593946--0.787185))+0-150.4--0.230112000000009</f>
        <v>1029.6222640000001</v>
      </c>
      <c r="Y218" s="3">
        <f>1322.6+(381.7-533.6)+(-2.023578+(-0.584001--0.816408))+0-149--0.227970000000009</f>
        <v>1020.1367989999998</v>
      </c>
      <c r="Z218" s="3">
        <f>1347.8+(323.5-551)+(-2.062134+(-0.494955--0.84303))+0-150.7--0.230571000000009</f>
        <v>968.11651200000006</v>
      </c>
      <c r="AA218" s="3">
        <f>1340.8+(274.6-512.7)+(-1.367616+(-0.280092--0.522954))+0-156.6--0.159732000000025</f>
        <v>945.13497799999993</v>
      </c>
      <c r="AB218" s="3">
        <f>1349.6+(245-507.7)+(-3.44148+(-0.62475--1.294635))+0-162.1--0.413354999999976</f>
        <v>922.44175999999993</v>
      </c>
      <c r="AC218" s="3">
        <f>1357+(210.8-520.9)+(-1.38414+(-0.215016--0.531318))+0-163.9--0.167178000000026</f>
        <v>882.09934000000021</v>
      </c>
      <c r="AD218">
        <v>1055.0999999999999</v>
      </c>
      <c r="AE218" s="3">
        <f>1328+(392.7-500.6)+(0+(0-0))+0-154-0</f>
        <v>1066.0999999999999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1365.1+(182.8-535.4)+(-0.696201+(-0.093228--0.273054))+0-164.7--0.0839969999999833</f>
        <v>847.36762199999998</v>
      </c>
      <c r="G219" s="3">
        <f>1350+(169.1-554.3)+(-2.754+(-0.344964--1.130772))+0-163.6--0.333743999999993</f>
        <v>799.56555200000003</v>
      </c>
      <c r="H219" s="3">
        <f>1351.7+(160.7-546.8)+(-3.446835+(-0.409785--1.39434))+0-166.2--0.423809999999976</f>
        <v>797.36153000000013</v>
      </c>
      <c r="I219" s="3">
        <f>1331.6+(152.2-531)+(-1.358232+(-0.155244--0.54162))+0-168--0.171360000000027</f>
        <v>783.999504</v>
      </c>
      <c r="J219" s="3">
        <f>1336+(152.8-542.8)+(0.68136+(0.077928-0.276828))+0-165.1-0.0842009999999832</f>
        <v>781.29825899999992</v>
      </c>
      <c r="K219" s="3">
        <f>1340+(215.5-620.7)+(0.6834+(0.109905-0.316557))+0-165.8-0.0845579999999832</f>
        <v>769.39219000000003</v>
      </c>
      <c r="L219" s="3">
        <f>1338+(288.7-706.9)+(2.04714+(0.441711-1.081557))+0-158.2-0.242046000000009</f>
        <v>762.76524800000004</v>
      </c>
      <c r="M219" s="3">
        <f>1327.5+(351-707.1)+(-0.677025+(-0.17901--0.360621))+0-158.7--0.0809369999999839</f>
        <v>812.28552300000001</v>
      </c>
      <c r="N219" s="3">
        <f>1310+(367.9-665.8)+(1.3362+(0.375258-0.679116))+0-158.5-0.161670000000025</f>
        <v>854.47067199999992</v>
      </c>
      <c r="O219" s="3">
        <f>1332.2+(369.7-606.4)+(-1.358844+(-0.377094--0.618528))+0-156.5--0.159630000000025</f>
        <v>938.04221999999993</v>
      </c>
      <c r="P219" s="3">
        <f>1324.5+(334.4-570.2)+(-2.70198+(-0.682176--1.163208))+0-150.5--0.307019999999993</f>
        <v>936.28607199999988</v>
      </c>
      <c r="Q219" s="3">
        <f>1311.2+(323.7-532.4)+(-1.337424+(-0.330174--0.543048))+0-148.3--0.151266000000024</f>
        <v>953.22671600000012</v>
      </c>
      <c r="R219" s="3">
        <f>1302.9+(297.7-489.3)+(-2.657916+(-0.607308--0.998172))+0-150.4--0.306815999999993</f>
        <v>958.93976400000031</v>
      </c>
      <c r="S219" s="3">
        <f>1298.7+(263.5-429.8)+(-0.662337+(-0.134385--0.219198))+0-155.5--0.0793049999999842</f>
        <v>976.40178100000003</v>
      </c>
      <c r="T219" s="3">
        <f>1294+(235.1-407.9)+(1.97982+(0.359703-0.624087))+0-155.4-0.237762000000009</f>
        <v>967.27767400000005</v>
      </c>
      <c r="U219" s="3">
        <f>1290.7+(268.8-460.1)+(-3.291285+(-0.68544--1.173255))+0-150.7--0.384284999999978</f>
        <v>946.28081499999996</v>
      </c>
      <c r="V219" s="3">
        <f>1296.1+(337.1-538.3)+(-0.661011+(-0.171921--0.274533))+0-158.2--0.0806819999999839</f>
        <v>936.22228300000006</v>
      </c>
      <c r="W219" s="3">
        <f>1302.2+(391.2-533.7)+(-0.664122+(-0.199512--0.272187))+0-167.6--0.085475999999983</f>
        <v>991.59402899999998</v>
      </c>
      <c r="X219" s="3">
        <f>1309.3+(338.9-474.3)+(-3.338715+(-0.864195--1.209465))+0-165.7--0.422534999999976</f>
        <v>1005.6290899999997</v>
      </c>
      <c r="Y219" s="3">
        <f>1319.6+(299.7-457.1)+(-0.672996+(-0.152847--0.233121))+0-160.8--0.0820079999999837</f>
        <v>1000.8892859999997</v>
      </c>
      <c r="Z219" s="3">
        <f>1337.8+(276.6-470.4)+(-1.364556+(-0.282132--0.479808))+0-160.8--0.164016000000026</f>
        <v>982.19713600000011</v>
      </c>
      <c r="AA219" s="3">
        <f>1336.2+(251.9-469.2)+(-2.725848+(-0.513876--0.957168))+0-165.4--0.337415999999993</f>
        <v>951.55485999999996</v>
      </c>
      <c r="AB219" s="3">
        <f>1337.7+(215.4-460.3)+(-2.046681+(-0.329562--0.704259))+0-159.2--0.243576000000009</f>
        <v>932.17159199999981</v>
      </c>
      <c r="AC219" s="3">
        <f>1346.7+(181.7-478.1)+(-2.747268+(-0.370668--0.975324))+0-160.2--0.326807999999993</f>
        <v>888.28419599999984</v>
      </c>
      <c r="AD219">
        <v>1033.9000000000001</v>
      </c>
      <c r="AE219" s="3">
        <f>1325+(381.4-479.5)+(0+(0-0))+0-181-0</f>
        <v>1045.9000000000001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1343.1+(177.4-494.9)+(-3.424905+(-0.45237--1.261995))+0-163.5--0.416924999999976</f>
        <v>859.90164499999992</v>
      </c>
      <c r="G220" s="3">
        <f>1353.5+(195.1-550.3)+(-0.690285+(-0.099501--0.280653))+0-161.3--0.0822629999999836</f>
        <v>836.57312999999999</v>
      </c>
      <c r="H220" s="3">
        <f>1364+(165.9-556.4)+(-0.69564+(-0.084609--0.283764))+0-163.7--0.0834869999999834</f>
        <v>809.38700200000005</v>
      </c>
      <c r="I220" s="3">
        <f>1358.9+(172.5-575.3)+(-1.386078+(-0.17595--0.586806))+0-161.3--0.164526000000026</f>
        <v>793.98930400000017</v>
      </c>
      <c r="J220" s="3">
        <f>1336.2+(209-594.4)+(-0.681462+(-0.10659--0.303144))+0-158.3--0.0807329999999839</f>
        <v>792.0958250000001</v>
      </c>
      <c r="K220" s="3">
        <f>1301.7+(287.1-640.8)+(-0.663867+(-0.146421--0.326808))+0-158--0.080579999999984</f>
        <v>789.59710000000007</v>
      </c>
      <c r="L220" s="3">
        <f>1304.2+(335.4-695.4)+(-1.330284+(-0.342108--0.709308))+0-157--0.160140000000025</f>
        <v>786.39705600000013</v>
      </c>
      <c r="M220" s="3">
        <f>1303.4+(345.6-654.2)+(0+(0-0))+0-163.1-0</f>
        <v>831.7</v>
      </c>
      <c r="N220" s="3">
        <f>1282.3+(370.1-601.8)+(-1.307946+(-0.377502--0.613836))+0-164.8--0.168096000000026</f>
        <v>884.89648399999999</v>
      </c>
      <c r="O220" s="3">
        <f>1306+(318.9-536.7)+(1.33212+(0.325278-0.547434))+0-164.3-0.167586000000026</f>
        <v>924.84237799999983</v>
      </c>
      <c r="P220" s="3">
        <f>1292.3+(327.3-503.2)+(-2.636292+(-0.667692--1.026528))+0-166.2--0.339047999999993</f>
        <v>948.26159200000006</v>
      </c>
      <c r="Q220" s="3">
        <f>1284.9+(330.6-473.8)+(-0.655299+(-0.168606--0.241638))+0-162.8--0.0830279999999835</f>
        <v>978.4007610000001</v>
      </c>
      <c r="R220" s="3">
        <f>1260+(296.9-453.6)+(-1.2852+(-0.302838--0.462672))+0-161.9--0.165138000000026</f>
        <v>940.43977200000006</v>
      </c>
      <c r="S220" s="3">
        <f>1274.2+(277.2-409.7)+(-1.949526+(-0.424116--0.626841))+0-161.4--0.246942000000009</f>
        <v>978.80014100000005</v>
      </c>
      <c r="T220" s="3">
        <f>1253.6+(310.9-432.3)+(0+(0-0))+0-165.1-0</f>
        <v>967.0999999999998</v>
      </c>
      <c r="U220" s="3">
        <f>1252.7+(312.2-457)+(0.638877+(0.159222-0.23307))+0-164.9-0.0840989999999833</f>
        <v>943.48093000000017</v>
      </c>
      <c r="V220" s="3">
        <f>1256.4+(356.3-508.2)+(-1.281528+(-0.363426--0.518364))+0-168.1--0.171462000000027</f>
        <v>935.44487199999992</v>
      </c>
      <c r="W220" s="3">
        <f>1290+(364.9-490.7)+(0+(0-0))+0-168.3-0</f>
        <v>995.90000000000009</v>
      </c>
      <c r="X220" s="3">
        <f>1306.9+(323.7-459)+(-1.999557+(-0.495261--0.70227))+0-166.2--0.25428600000001</f>
        <v>1003.8617380000002</v>
      </c>
      <c r="Y220" s="3">
        <f>1316.3+(302.3-449.9)+(-1.342626+(-0.308346--0.458898))+0-165.5--0.168810000000026</f>
        <v>1002.176736</v>
      </c>
      <c r="Z220" s="3">
        <f>1317.5+(290-457.1)+(-1.34385+(-0.2958--0.466242))+0-165.8--0.169116000000026</f>
        <v>983.59570800000006</v>
      </c>
      <c r="AA220" s="3">
        <f>1319.6+(275.5-428.9)+(-1.345992+(-0.28101--0.437478))+0-169.2--0.172584000000027</f>
        <v>995.98305999999991</v>
      </c>
      <c r="AB220" s="3">
        <f>1327.1+(234.5-430.3)+(0+(0-0))+0-162.6-0</f>
        <v>968.69999999999993</v>
      </c>
      <c r="AC220" s="3">
        <f>1332.4+(198.5-428.7)+(-2.038572+(-0.303705--0.655911))+0-162.1--0.248013000000009</f>
        <v>938.66164700000013</v>
      </c>
      <c r="AD220">
        <v>1000.1999999999998</v>
      </c>
      <c r="AE220" s="3">
        <f>1290+(359.3-466.1)+(0+(0-0))+0-171-0</f>
        <v>1012.2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1301.1+(181.4-421.1)+(-1.327122+(-0.185028--0.429522))+0-158.5--0.161670000000025</f>
        <v>901.97904199999982</v>
      </c>
      <c r="G221" s="3">
        <f>1147.3+(180.5-297.2)+(-0.585123+(-0.092055--0.151572))+0-163.4--0.0833339999999834</f>
        <v>866.75772800000004</v>
      </c>
      <c r="H221" s="3">
        <f>1154.1+(203.7-367.8)+(1.765773+(0.311661-0.562734))+0-158-0.241740000000009</f>
        <v>833.27295999999978</v>
      </c>
      <c r="I221" s="3">
        <f>1157.3+(198.6-378.3)+(-2.360892+(-0.405144--0.771732))+0-157.3--0.320891999999993</f>
        <v>818.62658799999986</v>
      </c>
      <c r="J221" s="3">
        <f>1154.1+(229.1-409.3)+(1.177182+(0.233682-0.417486))+0-160.4-0.163608000000026</f>
        <v>814.32976999999983</v>
      </c>
      <c r="K221" s="3">
        <f>1159+(295.2-494.4)+(-1.77327+(-0.451656--0.756432))+0-159.7--0.244341000000009</f>
        <v>798.87584699999991</v>
      </c>
      <c r="L221" s="3">
        <f>1164.1+(353.4-557.5)+(-1.187382+(-0.360468--0.56865))+0-155.8--0.158916000000025</f>
        <v>803.3797159999998</v>
      </c>
      <c r="M221" s="3">
        <f>1161.9+(388.2-526.6)+(0.592569+(0.197982-0.268566))+0-154.4-0.0787439999999843</f>
        <v>869.54324100000008</v>
      </c>
      <c r="N221" s="3">
        <f>1151+(438.9-500.4)+(1.76103+(0.671517-0.765612))+0-158.8-0.242964000000009</f>
        <v>932.12397099999998</v>
      </c>
      <c r="O221" s="3">
        <f>1137.2+(438.7-452.2)+(0.579972+(0.223737-0.230622))+0-164.6-0.0839459999999833</f>
        <v>959.58914100000004</v>
      </c>
      <c r="P221" s="3">
        <f>1126.5+(428.5-406.2)+(0.574515+(0.218535-0.207162))+0-164-0.0836399999999834</f>
        <v>985.30224800000008</v>
      </c>
      <c r="Q221" s="3">
        <f>1119.5+(413.9-365.3)+(-2.854725+(-1.055445--0.931515))+0-163.6--0.417179999999976</f>
        <v>1001.938525</v>
      </c>
      <c r="R221" s="3">
        <f>1118.6+(408.9-352.3)+(-2.281944+(-0.834156--0.718692))+0-161.6--0.329663999999993</f>
        <v>1011.5322559999997</v>
      </c>
      <c r="S221" s="3">
        <f>1116.7+(394.9-337.1)+(-2.847585+(-1.006995--0.859605))+0-167.7--0.427634999999976</f>
        <v>1004.2326599999999</v>
      </c>
      <c r="T221" s="3">
        <f>1105.8+(389.8-341.8)+(-0.563958+(-0.198798--0.174318))+0-171--0.0872099999999826</f>
        <v>982.29877199999999</v>
      </c>
      <c r="U221" s="3">
        <f>1103.2+(374.1-363.7)+(-1.687896+(-0.572373--0.556461))+0-163.4--0.250002000000009</f>
        <v>948.74619400000017</v>
      </c>
      <c r="V221" s="3">
        <f>1106.8+(403-405.9)+(-0.564468+(-0.20553--0.207009))+0-168.4--0.0858839999999829</f>
        <v>935.02289500000006</v>
      </c>
      <c r="W221" s="3">
        <f>1113.9+(432.2-396)+(0+(0-0))+0-170.6-0</f>
        <v>979.50000000000011</v>
      </c>
      <c r="X221" s="3">
        <f>1129.7+(359.2-325.3)+(-0.576147+(-0.183192--0.165903))+0-166.6--0.0849659999999831</f>
        <v>996.49152999999978</v>
      </c>
      <c r="Y221" s="3">
        <f>1131.6+(353.3-330.2)+(0.577116+(0.180183-0.168402))+0-166-0.0846599999999832</f>
        <v>989.20423699999992</v>
      </c>
      <c r="Z221" s="3">
        <f>1139+(321.2-321.8)+(-1.74267+(-0.491436--0.492354))+0-168.3--0.25749900000001</f>
        <v>968.61574700000028</v>
      </c>
      <c r="AA221" s="3">
        <f>1146.2+(324.3-333.6)+(-0.584562+(-0.165393--0.170136))+0-168.5--0.0859349999999829</f>
        <v>967.906116</v>
      </c>
      <c r="AB221" s="3">
        <f>1156.4+(272.9-314.2)+(-1.179528+(-0.278358--0.320484))+0-166.1--0.169422000000026</f>
        <v>948.0320200000001</v>
      </c>
      <c r="AC221" s="3">
        <f>1167.2+(230-319.1)+(-1.190544+(-0.2346--0.325482))+0-166--0.169320000000026</f>
        <v>911.1696579999998</v>
      </c>
      <c r="AD221">
        <v>983.7</v>
      </c>
      <c r="AE221" s="3">
        <f>1116+(368-321.6)+(0+(0-0))+0-165.7-0</f>
        <v>996.7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1177.6+(210.1-346.1)+(-1.201152+(-0.214302--0.353022))+0-166.5--0.169830000000027</f>
        <v>874.20739800000001</v>
      </c>
      <c r="G222" s="3">
        <f>1179.7+(226.6-395.4)+(1.203294+(0.231132-0.403308))+0-167.7-0.171054000000027</f>
        <v>844.06006400000012</v>
      </c>
      <c r="H222" s="3">
        <f>1182.5+(226.1-420.7)+(0+(0-0))+0-164.7-0</f>
        <v>823.2</v>
      </c>
      <c r="I222" s="3">
        <f>1186.5+(244.9-468.3)+(-1.21023+(-0.249798--0.477666))+0-163.9--0.167178000000026</f>
        <v>798.38481600000011</v>
      </c>
      <c r="J222" s="3">
        <f>1196+(276.2-516.9)+(3.65976+(0.845172-1.581714))+0-162.9-0.498474000000019</f>
        <v>794.82474400000001</v>
      </c>
      <c r="K222" s="3">
        <f>1206.3+(319.5-581.5)+(0+(0-0))+0-162.9-0</f>
        <v>781.4</v>
      </c>
      <c r="L222" s="3">
        <f>1209.4+(352.6-626)+(-0.616794+(-0.179826--0.31926))+0-161.7--0.0824669999999836</f>
        <v>773.90510700000004</v>
      </c>
      <c r="M222" s="3">
        <f>1206.8+(339.8-575.4)+(-0.615468+(-0.173298--0.293454))+0-163.3--0.0832829999999834</f>
        <v>807.48797100000002</v>
      </c>
      <c r="N222" s="3">
        <f>1193.4+(349-533.6)+(1.825902+(0.53397-0.816408))+0-166-0.25398000000001</f>
        <v>844.08948400000008</v>
      </c>
      <c r="O222" s="3">
        <f>1174.9+(382.8-509.2)+(0.599199+(0.195228-0.259692))+0-164.1-0.0836909999999833</f>
        <v>884.851044</v>
      </c>
      <c r="P222" s="3">
        <f>1168.8+(385.2-466.9)+(0+(0-0))+0-162.7-0</f>
        <v>924.39999999999986</v>
      </c>
      <c r="Q222" s="3">
        <f>1162.4+(357.5-412.4)+(-1.778472+(-0.546975--0.630972))+0-162.3--0.248319000000009</f>
        <v>943.75384400000007</v>
      </c>
      <c r="R222" s="3">
        <f>1153.8+(310.3-348.7)+(-1.176876+(-0.316506--0.355674))+0-165.1--0.168402000000026</f>
        <v>949.33069400000011</v>
      </c>
      <c r="S222" s="3">
        <f>1147.2+(276.7-318.9)+(-2.340288+(-0.564468--0.650556))+0-163--0.332519999999993</f>
        <v>940.07831999999996</v>
      </c>
      <c r="T222" s="3">
        <f>1140.6+(269.7-315.9)+(-1.745118+(-0.412641--0.483327))+0-164.5--0.251685000000009</f>
        <v>928.47725299999979</v>
      </c>
      <c r="U222" s="3">
        <f>1140.4+(288.1-356.4)+(0+(0-0))+0-165.3-0</f>
        <v>906.80000000000018</v>
      </c>
      <c r="V222" s="3">
        <f>1141.2+(353.1-424.8)+(0.582012+(0.180081-0.216648))+0-171.9-0.0876689999999826</f>
        <v>898.05777599999999</v>
      </c>
      <c r="W222" s="3">
        <f>1144.8+(397-395.6)+(0+(0-0))+0-174.4-0</f>
        <v>971.79999999999984</v>
      </c>
      <c r="X222" s="3">
        <f>1154.2+(370.9-351.4)+(-2.94321+(-0.945795--0.89607))+0-177.3--0.452114999999974</f>
        <v>993.85918000000004</v>
      </c>
      <c r="Y222" s="3">
        <f>1154.1+(336.1-332.5)+(-2.942955+(-0.857055--0.847875))+0-175.7--0.448034999999974</f>
        <v>979.49589999999978</v>
      </c>
      <c r="Z222" s="3">
        <f>1163.1+(288.9-301.6)+(-2.372724+(-0.589356--0.615264))+0-178.1--0.363323999999992</f>
        <v>970.31650799999989</v>
      </c>
      <c r="AA222" s="3">
        <f>1168+(254.6-286.6)+(0+(0-0))+0-177.9-0</f>
        <v>958.1</v>
      </c>
      <c r="AB222" s="3">
        <f>1168.6+(227.6-283.3)+(-2.383944+(-0.464304--0.577932))+0-172.9--0.352715999999992</f>
        <v>938.08239999999978</v>
      </c>
      <c r="AC222" s="3">
        <f>1173.2+(195.4-301.8)+(-2.99166+(-0.49827--0.76959))+0-169.5--0.432224999999975</f>
        <v>895.01188499999989</v>
      </c>
      <c r="AD222">
        <v>976.89999999999986</v>
      </c>
      <c r="AE222" s="3">
        <f>1147+(376.6-353.7)+(0+(0-0))+0-181-0</f>
        <v>988.90000000000009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1173.3+(186.4-321.3)+(-2.393532+(-0.380256--0.655452))+0-174.1--0.355163999999992</f>
        <v>862.53682799999979</v>
      </c>
      <c r="G223" s="3">
        <f>1168.6+(175-334.1)+(-0.595986+(-0.08925--0.170391))+0-174.5--0.0889949999999823</f>
        <v>834.5741499999998</v>
      </c>
      <c r="H223" s="3">
        <f>1170.3+(172.5-354.1)+(0.596853+(0.087975-0.180591))+0-170.5-0.0869549999999827</f>
        <v>818.61728199999993</v>
      </c>
      <c r="I223" s="3">
        <f>1178+(171-372.9)+(-1.80234+(-0.26163--0.570537))+0-169--0.25857000000001</f>
        <v>805.865137</v>
      </c>
      <c r="J223" s="3">
        <f>1181.3+(167.8-378.4)+(-0.602463+(-0.085578--0.192984))+0-171.3--0.0873629999999826</f>
        <v>798.99230599999999</v>
      </c>
      <c r="K223" s="3">
        <f>1187.4+(179.1-406.9)+(0+(0-0))+0-172.4-0</f>
        <v>787.20000000000016</v>
      </c>
      <c r="L223" s="3">
        <f>1189.3+(215.3-452.3)+(0+(0-0))+0-165.6-0</f>
        <v>786.69999999999993</v>
      </c>
      <c r="M223" s="3">
        <f>1178.7+(247.5-426.9)+(1.803411+(0.378675-0.653157))+0-170-0.26010000000001</f>
        <v>830.56882900000005</v>
      </c>
      <c r="N223" s="3">
        <f>1157.2+(257.7-349.1)+(1.180344+(0.262854-0.356082))+0-172.6-0.176052000000028</f>
        <v>894.11106399999983</v>
      </c>
      <c r="O223" s="3">
        <f>1029.4+(306.4-232.4)+(0.524994+(0.156264-0.118524))+0-173.7-0.0885869999999824</f>
        <v>930.17414700000018</v>
      </c>
      <c r="P223" s="3">
        <f>1035.7+(310.8-201.9)+(1.056414+(0.317016-0.205938))+0-170.1-0.173502000000027</f>
        <v>975.49399000000017</v>
      </c>
      <c r="Q223" s="3">
        <f>1040.7+(320.7-203)+(0.530757+(0.163557-0.10353))+0-160.4-0.0818039999999837</f>
        <v>998.50898000000007</v>
      </c>
      <c r="R223" s="3">
        <f>1080.7+(347.9-256.5)+(-1.653471+(-0.532287--0.392445))+0-160--0.244800000000009</f>
        <v>1010.5514870000001</v>
      </c>
      <c r="S223" s="3">
        <f>1166.1+(273.9-279.7)+(-0.594711+(-0.139689--0.142647))+0-161.2--0.0822119999999836</f>
        <v>998.59045900000001</v>
      </c>
      <c r="T223" s="3">
        <f>1204.9+(221.4-281.7)+(0+(0-0))+0-165.8-0</f>
        <v>978.80000000000018</v>
      </c>
      <c r="U223" s="3">
        <f>1314.9+(198.4-381.7)+(-2.011797+(-0.303552--0.584001))+0-162--0.247860000000009</f>
        <v>968.11651200000017</v>
      </c>
      <c r="V223" s="3">
        <f>1421.1+(188-487.5)+(2.174283+(0.28764-0.745875))+0-168.5-0.25780500000001</f>
        <v>954.55824299999995</v>
      </c>
      <c r="W223" s="3">
        <f>1482.8+(217.3-525.3)+(1.512456+(0.221646-0.535806))+0-172.1-0.175542000000027</f>
        <v>1003.7227539999999</v>
      </c>
      <c r="X223" s="3">
        <f>1508+(211.4-524.7)+(-2.30724+(-0.323442--0.802791))+0-171.7--0.26270100000001</f>
        <v>1021.4348099999999</v>
      </c>
      <c r="Y223" s="3">
        <f>1523.4+(201.1-542.7)+(-0.776934+(-0.102561--0.276777))+0-170.1--0.0867509999999827</f>
        <v>1011.184033</v>
      </c>
      <c r="Z223" s="3">
        <f>1525+(188.4-544.4)+(-1.5555+(-0.192168--0.555288))+0-174--0.177480000000028</f>
        <v>993.9851000000001</v>
      </c>
      <c r="AA223" s="3">
        <f>1544.4+(177.7-557.3)+(-2.362932+(-0.271881--0.852669))+0-174.2--0.26652600000001</f>
        <v>989.08438200000012</v>
      </c>
      <c r="AB223" s="3">
        <f>1551.3+(159.6-577.4)+(-3.164652+(-0.325584--1.177896))+0-171.1--0.349043999999993</f>
        <v>960.43670400000008</v>
      </c>
      <c r="AC223" s="3">
        <f>1555.2+(140.8-599.3)+(-2.379456+(-0.215424--0.916929))+0-172--0.26316000000001</f>
        <v>923.28520900000012</v>
      </c>
      <c r="AD223">
        <v>998.5</v>
      </c>
      <c r="AE223" s="3">
        <f>1491+(215.6-515.3)+(0+(0-0))+0-178.8-0</f>
        <v>1012.5000000000002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1556+(137.6-641.4)+(-0.79356+(-0.070176--0.327114))+0-170--0.0866999999999827</f>
        <v>881.75007799999992</v>
      </c>
      <c r="G224" s="3">
        <f>1564.7+(138-673)+(-2.393991+(-0.21114--1.02969))+0-169.8--0.25979400000001</f>
        <v>858.58435300000019</v>
      </c>
      <c r="H224" s="3">
        <f>1562.8+(145.1-693.4)+(1.594056+(0.148002-0.707268))+0-175.3-0.178806000000028</f>
        <v>840.05598399999997</v>
      </c>
      <c r="I224" s="3">
        <f>1571.2+(144-707.8)+(1.602624+(0.14688-0.721956))+0-174.6-0.178092000000028</f>
        <v>833.6494560000001</v>
      </c>
      <c r="J224" s="3">
        <f>1571.1+(147.6-716.5)+(0.801261+(0.075276-0.365415))+0-173.8-0.0886379999999824</f>
        <v>828.82248400000003</v>
      </c>
      <c r="K224" s="3">
        <f>1576.7+(176.4-757.1)+(0+(0-0))+0-173.4-0</f>
        <v>822.6</v>
      </c>
      <c r="L224" s="3">
        <f>1576+(234.2-815.6)+(0+(0-0))+0-169.2-0</f>
        <v>825.39999999999986</v>
      </c>
      <c r="M224" s="3">
        <f>1565.9+(233.1-767.7)+(3.194436+(0.475524-1.566108))+0-173-0.352919999999992</f>
        <v>860.0509320000001</v>
      </c>
      <c r="N224" s="3">
        <f>1552.4+(220.5-685.4)+(0.791724+(0.112455-0.349554))+0-174.5-0.0889949999999823</f>
        <v>913.46563000000003</v>
      </c>
      <c r="O224" s="3">
        <f>1542.5+(202.2-644.4)+(-0.786675+(-0.103122--0.328644))+0-167.7--0.085526999999983</f>
        <v>932.12437399999976</v>
      </c>
      <c r="P224" s="3">
        <f>1532.6+(184.1-578.1)+(1.563252+(0.187782-0.589662))+0-169.5-0.172890000000027</f>
        <v>970.08848199999989</v>
      </c>
      <c r="Q224" s="3">
        <f>1523.6+(172.4-519.7)+(0+(0-0))+0-175.5-0</f>
        <v>1000.7999999999997</v>
      </c>
      <c r="R224" s="3">
        <f>1510.1+(176.8-511.9)+(-3.850755+(-0.45084--1.305345))+0-173.6--0.442679999999975</f>
        <v>998.84643000000005</v>
      </c>
      <c r="S224" s="3">
        <f>1503.4+(171.7-502.2)+(0+(0-0))+0-175.3-0</f>
        <v>997.60000000000014</v>
      </c>
      <c r="T224" s="3">
        <f>1451+(164.9-456.9)+(0.74001+(0.084099-0.233019))+0-176.6-0.0900659999999821</f>
        <v>982.90102399999989</v>
      </c>
      <c r="U224" s="3">
        <f>1430.5+(162.4-450)+(-1.45911+(-0.165648--0.459))+0-173.5--0.176970000000028</f>
        <v>968.41121199999998</v>
      </c>
      <c r="V224" s="3">
        <f>1393.1+(158.3-404.6)+(2.131443+(0.242199-0.619038))+0-176.8-0.27050400000001</f>
        <v>971.48410000000001</v>
      </c>
      <c r="W224" s="3">
        <f>1439.6+(266.3-514.7)+(1.468392+(0.271626-0.524994))+0-177.2-0.180744000000028</f>
        <v>1015.0342799999999</v>
      </c>
      <c r="X224" s="3">
        <f>1478.2+(266.4-543.3)+(-2.261646+(-0.407592--0.831249))+0-173.6--0.26560800000001</f>
        <v>1026.1276190000001</v>
      </c>
      <c r="Y224" s="3">
        <f>1494.5+(233-544.1)+(-3.04878+(-0.47532--1.109964))+0-172.9--0.352715999999992</f>
        <v>1008.43858</v>
      </c>
      <c r="Z224" s="3">
        <f>1495.3+(188.8-522.3)+(-2.287809+(-0.288864--0.799119))+0-175.7--0.26882100000001</f>
        <v>984.5912669999999</v>
      </c>
      <c r="AA224" s="3">
        <f>1504.8+(171.9-518.9)+(-3.069792+(-0.350676--1.058556))+0-176.2--0.359447999999992</f>
        <v>979.59753599999988</v>
      </c>
      <c r="AB224" s="3">
        <f>1508.6+(147.3-530.3)+(-3.84693+(-0.375615--1.352265))+0-174.5--0.444974999999975</f>
        <v>948.67469499999982</v>
      </c>
      <c r="AC224" s="3">
        <f>1506+(118.6-553.6)+(-2.30418+(-0.181458--0.847008))+0-171.1--0.26178300000001</f>
        <v>898.52315300000009</v>
      </c>
      <c r="AD224">
        <v>994.2</v>
      </c>
      <c r="AE224" s="3">
        <f>1456+(255.4-523.4)+(0+(0-0))+0-179.8-0</f>
        <v>1008.2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1479.2+(97.6-545.1)+(-4.526352+(-0.298656--1.668006))+0-171.2--0.52387200000002</f>
        <v>857.86687000000006</v>
      </c>
      <c r="G225" s="3">
        <f>1452.5+(94-544.2)+(-2.222325+(-0.14382--0.832626))+0-172--0.26316000000001</f>
        <v>829.02964099999997</v>
      </c>
      <c r="H225" s="3">
        <f>1456.9+(88.7-556.4)+(-2.229057+(-0.135711--0.851292))+0-171.9--0.26300700000001</f>
        <v>816.04953100000012</v>
      </c>
      <c r="I225" s="3">
        <f>1457.2+(86.2-561.8)+(-1.486344+(-0.087924--0.573036))+0-172.3--0.175746000000027</f>
        <v>808.47451400000011</v>
      </c>
      <c r="J225" s="3">
        <f>1467.6+(89.9-570.8)+(3.74238+(0.229245-1.45554))+0-177.7-0.453134999999974</f>
        <v>811.06295</v>
      </c>
      <c r="K225" s="3">
        <f>1466.3+(106.9-585.7)+(0.747813+(0.054519-0.298707))+0-177.5-0.090524999999982</f>
        <v>810.41309999999999</v>
      </c>
      <c r="L225" s="3">
        <f>1463.9+(127.2-589.2)+(-0.746589+(-0.064872--0.300492))+0-176.3--0.0899129999999821</f>
        <v>825.178944</v>
      </c>
      <c r="M225" s="3">
        <f>1487.4+(143.2-576.4)+(1.517148+(0.146064-0.587928))+0-176.9-0.180438000000028</f>
        <v>878.1948460000001</v>
      </c>
      <c r="N225" s="3">
        <f>1516.3+(145-567.1)+(0.773313+(0.07395-0.289221))+0-173.7-0.0885869999999824</f>
        <v>920.9694549999997</v>
      </c>
      <c r="O225" s="3">
        <f>1494+(148.7-528.2)+(2.28582+(0.227511-0.808146))+0-169.5-0.25933500000001</f>
        <v>946.44585000000006</v>
      </c>
      <c r="P225" s="3">
        <f>1491.1+(152.8-510.4)+(2.281383+(0.233784-0.780912))+0-170.3-0.26055900000001</f>
        <v>964.67369600000006</v>
      </c>
      <c r="Q225" s="3">
        <f>1489.6+(154.8-487.5)+(-3.79848+(-0.39474--1.243125))+0-178--0.453899999999974</f>
        <v>976.40380499999992</v>
      </c>
      <c r="R225" s="3">
        <f>1484.2+(157.8-491.9)+(-3.027768+(-0.321912--1.003476))+0-177--0.361079999999992</f>
        <v>971.11487600000021</v>
      </c>
      <c r="S225" s="3">
        <f>1480.6+(159.3-486.1)+(-3.020424+(-0.324972--0.991644))+0-178--0.363119999999992</f>
        <v>973.80936799999995</v>
      </c>
      <c r="T225" s="3">
        <f>1478.7+(149.1-482.8)+(0.754137+(0.076041-0.246228))+0-178.7-0.0911369999999819</f>
        <v>966.79281299999991</v>
      </c>
      <c r="U225" s="3">
        <f>1479.1+(131.8-475.9)+(-4.526046+(-0.403308--1.456254))+0-178.2--0.545292000000021</f>
        <v>953.87219200000004</v>
      </c>
      <c r="V225" s="3">
        <f>1479.2+(130.5-467.9)+(2.263176+(0.199665-0.715887))+0-182.1-0.27861300000001</f>
        <v>961.16834100000005</v>
      </c>
      <c r="W225" s="3">
        <f>1485.4+(155.9-443.6)+(3.030216+(0.318036-0.904944))+0-179.4-0.365975999999992</f>
        <v>1020.3773319999999</v>
      </c>
      <c r="X225" s="3">
        <f>1501.9+(185.9-490.6)+(-3.829845+(-0.474045--1.25103))+0-172.8--0.440639999999975</f>
        <v>1021.7877800000001</v>
      </c>
      <c r="Y225" s="3">
        <f>1502.6+(181.9-515.2)+(-3.83163+(-0.463845--1.31376))+0-164.5--0.419474999999976</f>
        <v>1002.2377599999998</v>
      </c>
      <c r="Z225" s="3">
        <f>1512+(170.8-540.8)+(-3.08448+(-0.348432--1.103232))+0-164.4--0.335375999999993</f>
        <v>975.60569599999997</v>
      </c>
      <c r="AA225" s="3">
        <f>1514+(163.6-545.6)+(-3.8607+(-0.41718--1.39128))+0-165.7--0.422534999999976</f>
        <v>963.83593499999984</v>
      </c>
      <c r="AB225" s="3">
        <f>1249.9+(174.6-306.2)+(1.274898+(0.178092-0.312324))+0-171.5-0.174930000000027</f>
        <v>947.76573600000017</v>
      </c>
      <c r="AC225" s="3">
        <f>1075.1+(189.8-190.6)+(-2.193204+(-0.387192--0.388824))+0-176.2--0.359447999999992</f>
        <v>896.267876</v>
      </c>
      <c r="AD225">
        <v>1016.5999999999999</v>
      </c>
      <c r="AE225" s="3">
        <f>1487+(187.2-468.6)+(0+(0-0))+0-175-0</f>
        <v>1030.5999999999999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1108.4+(155.9-220.7)+(-2.261136+(-0.318036--0.450228))+0-175.9--0.358835999999992</f>
        <v>865.92989200000011</v>
      </c>
      <c r="G226" s="3">
        <f>1187.9+(136-300.9)+(-2.423316+(-0.27744--0.613836))+0-182.9--0.373115999999992</f>
        <v>838.38619600000015</v>
      </c>
      <c r="H226" s="3">
        <f>1199.4+(125.2-315.4)+(0+(0-0))+0-186.6-0</f>
        <v>822.6</v>
      </c>
      <c r="I226" s="3">
        <f>1239.3+(123-362.8)+(-2.528172+(-0.25092--0.740112))+0-185.9--0.379235999999992</f>
        <v>811.94025599999998</v>
      </c>
      <c r="J226" s="3">
        <f>1254.1+(126.9-390.6)+(1.918773+(0.194157-0.597618))+0-185.3-0.283509000000011</f>
        <v>806.33180299999992</v>
      </c>
      <c r="K226" s="3">
        <f>1272.8+(146.5-436.6)+(0.649128+(0.074715-0.222666))+0-187.3-0.095522999999981</f>
        <v>795.805654</v>
      </c>
      <c r="L226" s="3">
        <f>1313+(188.1-515.2)+(-1.33926+(-0.191862--0.525504))+0-183.4--0.187068000000029</f>
        <v>801.68145000000004</v>
      </c>
      <c r="M226" s="3">
        <f>1302.1+(196.1-482)+(1.328142+(0.200022-0.49164))+0-179.1-0.182682000000029</f>
        <v>837.9538419999999</v>
      </c>
      <c r="N226" s="3">
        <f>1293.8+(231.7-448.9)+(1.319676+(0.236334-0.457878))+0-181.1-0.184722000000029</f>
        <v>896.41340999999989</v>
      </c>
      <c r="O226" s="3">
        <f>1276.6+(198-371)+(1.953198+(0.30294-0.56763))+0-194-0.296820000000011</f>
        <v>910.99168799999984</v>
      </c>
      <c r="P226" s="3">
        <f>1277.8+(196.2-334.3)+(-3.25839+(-0.50031--0.852465))+0-181.4--0.462569999999974</f>
        <v>955.85633499999994</v>
      </c>
      <c r="Q226" s="3">
        <f>1273+(199.2-281.9)+(-1.94769+(-0.304776--0.431307))+0-182.1--0.27861300000001</f>
        <v>1006.6574539999999</v>
      </c>
      <c r="R226" s="3">
        <f>1267.6+(199.4-297.5)+(-2.585904+(-0.406776--0.6069))+0-179.4--0.365975999999992</f>
        <v>988.080196</v>
      </c>
      <c r="S226" s="3">
        <f>1286+(249-376.6)+(1.31172+(0.25398-0.384132))+0-190-0.19380000000003</f>
        <v>969.38776800000005</v>
      </c>
      <c r="T226" s="3">
        <f>1311.2+(199-333.8)+(-2.006136+(-0.30447--0.510714))+0-187--0.286110000000011</f>
        <v>987.8862180000001</v>
      </c>
      <c r="U226" s="3">
        <f>1333.3+(175.1-344.5)+(-2.039949+(-0.267903--0.527085))+0-184.2--0.281826000000011</f>
        <v>978.20105899999987</v>
      </c>
      <c r="V226" s="3">
        <f>1356.8+(193.1-388)+(0.691968+(0.098481-0.19788))+0-187.4-0.095573999999981</f>
        <v>974.99699499999986</v>
      </c>
      <c r="W226" s="3">
        <f>1363.2+(212.8-361.2)+(0.695232+(0.108528-0.184212))+0-191.7-0.0977669999999806</f>
        <v>1023.6217810000001</v>
      </c>
      <c r="X226" s="3">
        <f>1380.9+(205-366.1)+(-2.112777+(-0.31365--0.560133))+0-190.2--0.291006000000011</f>
        <v>1028.0247120000001</v>
      </c>
      <c r="Y226" s="3">
        <f>1392.2+(201.6-394.7)+(-3.55011+(-0.51408--1.006485))+0-187--0.476849999999973</f>
        <v>1009.5191450000002</v>
      </c>
      <c r="Z226" s="3">
        <f>1389.4+(192.3-406.8)+(-0.708594+(-0.098073--0.207468))+0-189.2--0.0964919999999808</f>
        <v>985.19729300000006</v>
      </c>
      <c r="AA226" s="3">
        <f>1395.5+(189.2-415.9)+(-2.135115+(-0.289476--0.636327))+0-187.3--0.286569000000011</f>
        <v>979.99830499999996</v>
      </c>
      <c r="AB226" s="3">
        <f>1403.9+(171.6-435.8)+(-2.147967+(-0.262548--0.666774))+0-187.7--0.287181000000011</f>
        <v>950.54344000000003</v>
      </c>
      <c r="AC226" s="3">
        <f>1402.4+(152.9-461.7)+(-3.57612+(-0.389895--1.177335))+0-185.4--0.472769999999973</f>
        <v>905.88409000000001</v>
      </c>
      <c r="AD226">
        <v>1016.2999999999998</v>
      </c>
      <c r="AE226" s="3">
        <f>1381+(206.1-370.9)+(0+(0-0))+0-185.9-0</f>
        <v>1030.3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1389.5+(128-462.5)+(-1.41729+(-0.13056--0.47175))+0-183.2--0.186864000000029</f>
        <v>870.91076399999997</v>
      </c>
      <c r="G227" s="3">
        <f>1392.3+(134.5-499.2)+(-0.710073+(-0.068595--0.254592))+0-177.9--0.0907289999999819</f>
        <v>849.26665300000002</v>
      </c>
      <c r="H227" s="3">
        <f>1392.8+(122.1-501.3)+(-0.710328+(-0.062271--0.255663))+0-177.9--0.0907289999999819</f>
        <v>835.27379299999996</v>
      </c>
      <c r="I227" s="3">
        <f>1395.7+(125.8-515.3)+(-0.711807+(-0.064158--0.262803))+0-180.5--0.0920549999999817</f>
        <v>825.27889300000004</v>
      </c>
      <c r="J227" s="3">
        <f>1391.5+(111.6-498.1)+(-0.709665+(-0.056916--0.254031))+0-179.5--0.0915449999999818</f>
        <v>825.07899499999996</v>
      </c>
      <c r="K227" s="3">
        <f>1397.6+(109.6-502)+(1.425552+(0.111792-0.51204))+0-178.3-0.181866000000028</f>
        <v>827.74343799999986</v>
      </c>
      <c r="L227" s="3">
        <f>1396.9+(128-506.8)+(0.712419+(0.06528-0.258468))+0-181.2-0.0924119999999816</f>
        <v>837.32681900000011</v>
      </c>
      <c r="M227" s="3">
        <f>1387.5+(150.4-471.5)+(2.122875+(0.230112-0.721395))+0-184.4-0.282132000000011</f>
        <v>883.34946000000002</v>
      </c>
      <c r="N227" s="3">
        <f>1379.1+(173.9-443.2)+(0+(0-0))+0-184.8-0</f>
        <v>925</v>
      </c>
      <c r="O227" s="3">
        <f>1129.1+(216.1-242.5)+(0+(0-0))+0-172.8-0</f>
        <v>929.89999999999986</v>
      </c>
      <c r="P227" s="3">
        <f>1192.9+(235.7-224.7)+(0+(0-0))+0-183.2-0</f>
        <v>1020.7</v>
      </c>
      <c r="Q227" s="3">
        <f>1292+(213.2-321.5)+(0+(0-0))+0-177.8-0</f>
        <v>1005.9000000000001</v>
      </c>
      <c r="R227" s="3">
        <f>1327.3+(245.8-404.6)+(-1.353846+(-0.250716--0.412692))+0-176.2--0.179724000000028</f>
        <v>991.28785399999992</v>
      </c>
      <c r="S227" s="3">
        <f>1322.8+(270.7-428.8)+(-0.674628+(-0.138057--0.218688))+0-178.8--0.0911879999999819</f>
        <v>985.39719099999991</v>
      </c>
      <c r="T227" s="3">
        <f>1325.1+(245.2-418.4)+(-0.675801+(-0.125052--0.213384))+0-178.2--0.0908819999999819</f>
        <v>973.20341299999973</v>
      </c>
      <c r="U227" s="3">
        <f>1346.9+(206.7-399.1)+(-2.060757+(-0.316251--0.610623))+0-178.5--0.27310500000001</f>
        <v>974.50672000000009</v>
      </c>
      <c r="V227" s="3">
        <f>1341.8+(196.6-384.9)+(-0.684318+(-0.100266--0.196299))+0-175.8--0.0896579999999822</f>
        <v>977.20137299999999</v>
      </c>
      <c r="W227" s="3">
        <f>1351.9+(207.5-363.5)+(0+(0-0))+0-167.8-0</f>
        <v>1028.1000000000001</v>
      </c>
      <c r="X227" s="3">
        <f>1364.4+(199.3-369.8)+(-2.783376+(-0.406572--0.754392))+0-161.4--0.329255999999993</f>
        <v>1030.3937000000001</v>
      </c>
      <c r="Y227" s="3">
        <f>1364.2+(193.7-386.3)+(-1.391484+(-0.197574--0.394026))+0-158.7--0.161874000000025</f>
        <v>1011.8668419999998</v>
      </c>
      <c r="Z227" s="3">
        <f>1367.6+(182.8-399.9)+(0+(0-0))+0-165.9-0</f>
        <v>984.6</v>
      </c>
      <c r="AA227" s="3">
        <f>1389.6+(188.4-418.3)+(-2.126088+(-0.288252--0.639999))+0-178.7--0.27341100000001</f>
        <v>979.49906999999973</v>
      </c>
      <c r="AB227" s="3">
        <f>1391.3+(171.5-435.5)+(-2.128689+(-0.262395--0.666315))+0-175.6--0.26866800000001</f>
        <v>950.24389900000006</v>
      </c>
      <c r="AC227" s="3">
        <f>1410.3+(147.3-468.3)+(-2.157759+(-0.225369--0.716499))+0-174.6--0.26713800000001</f>
        <v>913.30050899999992</v>
      </c>
      <c r="AD227">
        <v>1028.8999999999999</v>
      </c>
      <c r="AE227" s="3">
        <f>1351+(207.5-355.2)+(0+(0-0))+0-161.4-0</f>
        <v>1041.8999999999999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1403.3+(123.5-474.8)+(0+(0-0))+0-172.8-0</f>
        <v>879.2</v>
      </c>
      <c r="G228" s="3">
        <f>1407.3+(110.9-491.7)+(-1.435446+(-0.113118--0.501534))+0-177.4--0.180948000000028</f>
        <v>848.23391800000013</v>
      </c>
      <c r="H228" s="3">
        <f>1411.4+(102.8-508.6)+(-3.59907+(-0.26214--1.29693))+0-175.7--0.448034999999974</f>
        <v>827.78375500000004</v>
      </c>
      <c r="I228" s="3">
        <f>1416.9+(108.6-533.8)+(0+(0-0))+0-173.6-0</f>
        <v>818.10000000000014</v>
      </c>
      <c r="J228" s="3">
        <f>1423.4+(105.1-540.5)+(0+(0-0))+0-174.6-0</f>
        <v>813.40000000000009</v>
      </c>
      <c r="K228" s="3">
        <f>1426.7+(118-552.2)+(0.727617+(0.06018-0.281622))+0-177.6-0.090575999999982</f>
        <v>815.31559900000002</v>
      </c>
      <c r="L228" s="3">
        <f>1426.6+(126.3-564.4)+(-2.182698+(-0.193239--0.863532))+0-175.4--0.26836200000001</f>
        <v>811.8559570000001</v>
      </c>
      <c r="M228" s="3">
        <f>1374.3+(154.7-486.7)+(-0.700893+(-0.078897--0.248217))+0-186.6--0.0951659999999811</f>
        <v>855.2635929999999</v>
      </c>
      <c r="N228" s="3">
        <f>1364.5+(151.1-418.4)+(0.695895+(0.077061-0.213384))+0-181.9-0.0927689999999815</f>
        <v>915.76680299999998</v>
      </c>
      <c r="O228" s="3">
        <f>1400.3+(162.3-426.8)+(0.714153+(0.082773-0.217668))+0-181.6-0.0926159999999816</f>
        <v>954.68664199999989</v>
      </c>
      <c r="P228" s="3">
        <f>1362.6+(182.1-380.3)+(0.694926+(0.092871-0.193953))+0-185.6-0.0946559999999812</f>
        <v>979.29918799999984</v>
      </c>
      <c r="Q228" s="3">
        <f>1345.4+(191.6-350.2)+(0+(0-0))+0-187.9-0</f>
        <v>998.9000000000002</v>
      </c>
      <c r="R228" s="3">
        <f>1324.3+(226-385.8)+(-0.675393+(-0.11526--0.196758))+0-179--0.0912899999999818</f>
        <v>984.99739499999998</v>
      </c>
      <c r="S228" s="3">
        <f>1340.9+(225.4-421.4)+(-2.051577+(-0.344862--0.644742))+0-182.2--0.278766000000011</f>
        <v>961.22706900000014</v>
      </c>
      <c r="T228" s="3">
        <f>1331.3+(208.3-426.4)+(1.357926+(0.212466-0.434928))+0-180.9-0.184518000000029</f>
        <v>933.250946</v>
      </c>
      <c r="U228" s="3">
        <f>1331.2+(181.2-416.1)+(-1.357824+(-0.184824--0.424422))+0-175.6--0.179112000000028</f>
        <v>919.76088599999991</v>
      </c>
      <c r="V228" s="3">
        <f>1340.8+(159.4-387.8)+(0+(0-0))+0-180-0</f>
        <v>932.39999999999986</v>
      </c>
      <c r="W228" s="3">
        <f>1356.5+(201.4-390.6)+(1.38363+(0.205428-0.398412))+0-174.8-0.178296000000028</f>
        <v>993.51234999999997</v>
      </c>
      <c r="X228" s="3">
        <f>1374.9+(211.4-426)+(0+(0-0))+0-168.2-0</f>
        <v>992.10000000000014</v>
      </c>
      <c r="Y228" s="3">
        <f>1386.4+(202.7-446.4)+(-4.242384+(-0.620262--1.365984))+0-164.3--0.502758000000019</f>
        <v>975.40609600000005</v>
      </c>
      <c r="Z228" s="3">
        <f>1360.2+(197-440.5)+(-1.387404+(-0.20094--0.44931))+0-164.7--0.167994000000026</f>
        <v>951.02895999999998</v>
      </c>
      <c r="AA228" s="3">
        <f>1383.1+(208.2-470.8)+(-2.116143+(-0.318546--0.720324))+0-172.9--0.26453700000001</f>
        <v>946.150172</v>
      </c>
      <c r="AB228" s="3">
        <f>1396+(189.9-496.5)+(-2.13588+(-0.290547--0.759645))+0-169--0.25857000000001</f>
        <v>918.99178800000004</v>
      </c>
      <c r="AC228" s="3">
        <f>1400.9+(166.1-504.4)+(-3.572295+(-0.423555--1.28622))+0-173.8--0.443189999999975</f>
        <v>886.53356000000008</v>
      </c>
      <c r="AD228">
        <v>970.89999999999986</v>
      </c>
      <c r="AE228" s="3">
        <f>1362+(212.7-419.6)+(0+(0-0))+0-171.2-0</f>
        <v>983.89999999999986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1406.3+(126.1-500)+(0+(0-0))+0-173.6-0</f>
        <v>858.80000000000007</v>
      </c>
      <c r="G229" s="3">
        <f>1406.9+(115.8-520.1)+(-0.717519+(-0.059058--0.265251))+0-170.2--0.0868019999999827</f>
        <v>831.97547600000007</v>
      </c>
      <c r="H229" s="3">
        <f>1404.6+(100.9-522.2)+(0+(0-0))+0-168.8-0</f>
        <v>814.49999999999977</v>
      </c>
      <c r="I229" s="3">
        <f>1405.7+(94.7-525.2)+(0+(0-0))+0-168.7-0</f>
        <v>806.5</v>
      </c>
      <c r="J229" s="3">
        <f>1411.1+(97-531)+(0.719661+(0.04947-0.27081))+0-169.5-0.0864449999999828</f>
        <v>808.01187599999992</v>
      </c>
      <c r="K229" s="3">
        <f>1415.5+(105.9-551.6)+(-1.44381+(-0.108018--0.562632))+0-167.5--0.170850000000027</f>
        <v>801.48165399999993</v>
      </c>
      <c r="L229" s="3">
        <f>1404.7+(112.3-552.4)+(-2.149191+(-0.171819--0.845172))+0-168--0.25704000000001</f>
        <v>795.38120200000014</v>
      </c>
      <c r="M229" s="3">
        <f>1379.4+(142.4-510.7)+(-0.703494+(-0.072624--0.260457))+0-172.7--0.0880769999999825</f>
        <v>837.97241600000018</v>
      </c>
      <c r="N229" s="3">
        <f>1358.8+(185.2-496.5)+(0.692988+(0.094452-0.253215))+0-177-0.090269999999982</f>
        <v>870.94395500000007</v>
      </c>
      <c r="O229" s="3">
        <f>1342.4+(203.4-461.6)+(0+(0-0))+0-171.4-0</f>
        <v>912.80000000000007</v>
      </c>
      <c r="P229" s="3">
        <f>1327.9+(198.2-420.9)+(-1.354458+(-0.202164--0.429318))+0-173.1--0.176562000000028</f>
        <v>931.14925799999992</v>
      </c>
      <c r="Q229" s="3">
        <f>1318+(215.4-412)+(-2.01654+(-0.329562--0.63036))+0-173.5--0.26545500000001</f>
        <v>946.44971299999997</v>
      </c>
      <c r="R229" s="3">
        <f>1303.6+(232.7-425.9)+(-1.994508+(-0.356031--0.651627))+0-169--0.25857000000001</f>
        <v>939.95965799999976</v>
      </c>
      <c r="S229" s="3">
        <f>1254.8+(242.2-390.8)+(-1.919844+(-0.370566--0.597924))+0-175.9--0.26912700000001</f>
        <v>928.87664099999995</v>
      </c>
      <c r="T229" s="3">
        <f>1195.3+(248-351.3)+(-1.219206+(-0.25296--0.358326))+0-172.7--0.176154000000028</f>
        <v>918.36231399999997</v>
      </c>
      <c r="U229" s="3">
        <f>1192.9+(225.8-344.9)+(-0.608379+(-0.115158--0.175899))+0-168.8--0.0860879999999829</f>
        <v>904.53845000000024</v>
      </c>
      <c r="V229" s="3">
        <f>1218.3+(210.2-336)+(1.863999+(0.321606-0.51408))+0-179.3-0.27432900000001</f>
        <v>914.59719600000005</v>
      </c>
      <c r="W229" s="3">
        <f>1301.2+(225.4-359.3)+(1.990836+(0.344862-0.549729))+0-182.2-0.278766000000011</f>
        <v>986.60720299999991</v>
      </c>
      <c r="X229" s="3">
        <f>1308.8+(242-381.1)+(0.667488+(0.12342-0.194361))+0-175.9-0.0897089999999822</f>
        <v>994.30683799999997</v>
      </c>
      <c r="Y229" s="3">
        <f>1312.5+(241.7-391.7)+(0+(0-0))+0-182.5-0</f>
        <v>980</v>
      </c>
      <c r="Z229" s="3">
        <f>1279.6+(230.5-369.6)+(1.305192+(0.23511-0.376992))+0-184.8-0.188496000000029</f>
        <v>956.67481399999997</v>
      </c>
      <c r="AA229" s="3">
        <f>1250.1+(219.5-363.1)+(0+(0-0))+0-190.5-0</f>
        <v>916</v>
      </c>
      <c r="AB229" s="3">
        <f>1258+(190.4-379.8)+(-1.28316+(-0.194208--0.387396))+0-188.7--0.19247400000003</f>
        <v>879.00250199999994</v>
      </c>
      <c r="AC229" s="3">
        <f>1258.7+(143.4-380.7)+(-1.925811+(-0.219402--0.582471))+0-178.7--0.27341100000001</f>
        <v>841.41066900000021</v>
      </c>
      <c r="AD229">
        <v>978.90000000000009</v>
      </c>
      <c r="AE229" s="3">
        <f>1302+(241.4-387.3)+(0+(0-0))+0-164.2-0</f>
        <v>991.89999999999986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1040.4+(196.9-247.9)+(0+(0-0))+0-169.6-0</f>
        <v>819.80000000000007</v>
      </c>
      <c r="G230" s="3">
        <f>967+(189.7-190.6)+(0.98634+(0.193494-0.194412))+0-169-0.172380000000027</f>
        <v>797.91304200000002</v>
      </c>
      <c r="H230" s="3">
        <f>967.5+(218.2-230)+(0+(0-0))+0-174.7-0</f>
        <v>781</v>
      </c>
      <c r="I230" s="3">
        <f>966.9+(198.9-220.9)+(-0.986238+(-0.202878--0.225318))+0-173.4--0.176868000000028</f>
        <v>770.71307000000002</v>
      </c>
      <c r="J230" s="3">
        <f>966.3+(177.2-188.9)+(0+(0-0))+0-177.7-0</f>
        <v>776.89999999999986</v>
      </c>
      <c r="K230" s="3">
        <f>959.7+(173.3-173.8)+(0.489447+(0.088383-0.088638))+0-177.4-0.090473999999982</f>
        <v>782.1987180000001</v>
      </c>
      <c r="L230" s="3">
        <f>941.1+(181.7-160.3)+(-0.959922+(-0.185334--0.163506))+0-172.9--0.176358000000028</f>
        <v>788.79460800000004</v>
      </c>
      <c r="M230" s="3">
        <f>953.2+(198.2-144.7)+(0.486132+(0.101082-0.073797))+0-178-0.0907799999999819</f>
        <v>829.12263700000005</v>
      </c>
      <c r="N230" s="3">
        <f>1003.1+(207.2-143.4)+(1.534743+(0.317016-0.219402))+0-175.5-0.26851500000001</f>
        <v>892.76384200000007</v>
      </c>
      <c r="O230" s="3">
        <f>1030.7+(222-141.9)+(-0.525657+(-0.11322--0.072369))+0-167.9--0.085628999999983</f>
        <v>942.41912099999979</v>
      </c>
      <c r="P230" s="3">
        <f>1023.3+(245.9-148)+(1.565649+(0.376227-0.22644))+0-164.1-0.251073000000009</f>
        <v>958.56436299999996</v>
      </c>
      <c r="Q230" s="3">
        <f>1017.5+(277.2-178)+(0+(0-0))+0-156.9-0</f>
        <v>959.80000000000007</v>
      </c>
      <c r="R230" s="3">
        <f>1025.4+(299.8-203.9)+(0.522954+(0.152898-0.103989))+0-156.7-0.0799169999999841</f>
        <v>965.09194600000001</v>
      </c>
      <c r="S230" s="3">
        <f>1030.7+(313.8-229.3)+(1.051314+(0.320076-0.233886))+0-152.6-0.155652000000024</f>
        <v>963.58185200000003</v>
      </c>
      <c r="T230" s="3">
        <f>1032.8+(297.8-217.3)+(1.053456+(0.303756-0.221646))+0-157.7-0.160854000000025</f>
        <v>956.57471199999986</v>
      </c>
      <c r="U230" s="3">
        <f>1032.5+(270.3-196.8)+(-0.526575+(-0.137853--0.100368))+0-154.9--0.0789989999999843</f>
        <v>950.61493900000005</v>
      </c>
      <c r="V230" s="3">
        <f>1037+(244.9-157.1)+(0+(0-0))+0-162.4-0</f>
        <v>962.4</v>
      </c>
      <c r="W230" s="3">
        <f>1046+(351.9-204.2)+(1.06692+(0.358938-0.208284))+0-168.6-0.171972000000027</f>
        <v>1026.1456020000001</v>
      </c>
      <c r="X230" s="3">
        <f>1054.1+(360.9-226.7)+(0+(0-0))+0-169.4-0</f>
        <v>1018.9</v>
      </c>
      <c r="Y230" s="3">
        <f>1054.5+(370.8-264.6)+(0+(0-0))+0-163-0</f>
        <v>997.7</v>
      </c>
      <c r="Z230" s="3">
        <f>1059+(359.5-274.1)+(-1.62027+(-0.550035--0.419373))+0-170.4--0.26071200000001</f>
        <v>972.50978000000021</v>
      </c>
      <c r="AA230" s="3">
        <f>1065+(328.3-258.2)+(-1.62945+(-0.502299--0.395046))+0-172.3--0.26361900000001</f>
        <v>961.32691599999998</v>
      </c>
      <c r="AB230" s="3">
        <f>1068.9+(289.2-254.2)+(-2.180556+(-0.589968--0.518568))+0-175.9--0.358835999999992</f>
        <v>926.10688000000005</v>
      </c>
      <c r="AC230" s="3">
        <f>1076.3+(221.4-236.1)+(-2.744565+(-0.56457--0.602055))+0-177.5--0.452624999999974</f>
        <v>881.84554500000002</v>
      </c>
      <c r="AD230">
        <v>1008.0000000000001</v>
      </c>
      <c r="AE230" s="3">
        <f>1047+(380.2-237.3)+(0+(0-0))+0-168.9-0</f>
        <v>1021.0000000000001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1074.5+(188.5-233.5)+(-1.09599+(-0.19227--0.23817))+0-179.8--0.183396000000029</f>
        <v>848.83330600000011</v>
      </c>
      <c r="G231" s="3">
        <f>1074.2+(164.4-237.1)+(-2.73921+(-0.41922--0.604605))+0-173.2--0.441659999999975</f>
        <v>826.18783499999995</v>
      </c>
      <c r="H231" s="3">
        <f>1073.5+(141.9-230.9)+(0.547485+(0.072369-0.117759))+0-173.2-0.0883319999999824</f>
        <v>811.71376299999997</v>
      </c>
      <c r="I231" s="3">
        <f>1073.9+(132-236.2)+(-1.643067+(-0.20196--0.361386))+0-160.7--0.245871000000009</f>
        <v>807.76222999999993</v>
      </c>
      <c r="J231" s="3">
        <f>1077+(134.3-238.6)+(1.64781+(0.205479-0.365058))+0-163.7-0.250461000000009</f>
        <v>810.23777000000007</v>
      </c>
      <c r="K231" s="3">
        <f>1079.9+(139.2-243.1)+(-2.202996+(-0.283968--0.495924))+0-158--0.322319999999993</f>
        <v>816.33128000000011</v>
      </c>
      <c r="L231" s="3">
        <f>1067.2+(155.2-255.9)+(-2.177088+(-0.316608--0.522036))+0-146.7--0.299267999999994</f>
        <v>818.12760800000001</v>
      </c>
      <c r="M231" s="3">
        <f>1063.7+(185.1-227.6)+(-2.169948+(-0.377604--0.464304))+0-150.8--0.307631999999993</f>
        <v>868.62438399999996</v>
      </c>
      <c r="N231" s="3">
        <f>1048.5+(202.4-172.4)+(-2.13894+(-0.412896--0.351696))+0-151.4--0.308855999999993</f>
        <v>925.20871600000009</v>
      </c>
      <c r="O231" s="3">
        <f>1039.3+(262.3-186.1)+(-2.120172+(-0.535092--0.379644))+0-163.1--0.332723999999993</f>
        <v>950.45710400000007</v>
      </c>
      <c r="P231" s="3">
        <f>1034.2+(250.1-152.8)+(0+(0-0))+0-163.1-0</f>
        <v>968.4</v>
      </c>
      <c r="Q231" s="3">
        <f>1028.8+(276.7-152.6)+(-1.049376+(-0.282234--0.155652))+0-163.4--0.166668000000026</f>
        <v>988.49070999999992</v>
      </c>
      <c r="R231" s="3">
        <f>1022.6+(304-181.6)+(-1.043052+(-0.31008--0.185232))+0-161.4--0.164628000000026</f>
        <v>982.5967280000001</v>
      </c>
      <c r="S231" s="3">
        <f>1028+(300.4-190.1)+(-1.04856+(-0.306408--0.193902))+0-165.8--0.169116000000026</f>
        <v>971.50805000000014</v>
      </c>
      <c r="T231" s="3">
        <f>1024.5+(271.3-175.5)+(-0.522495+(-0.138363--0.089505))+0-170.4--0.0869039999999827</f>
        <v>949.41555099999994</v>
      </c>
      <c r="U231" s="3">
        <f>1013.5+(261.4-170.7)+(-0.516885+(-0.133314--0.087057))+0-164.9--0.0840989999999833</f>
        <v>938.82095700000013</v>
      </c>
      <c r="V231" s="3">
        <f>1018+(273.6-180.3)+(1.03836+(0.279072-0.183906))+0-168.6-0.171972000000027</f>
        <v>943.66155400000002</v>
      </c>
      <c r="W231" s="3">
        <f>1030.4+(320.6-173.1)+(-1.051008+(-0.327012--0.176562))+0-173--0.176460000000028</f>
        <v>1003.8750020000001</v>
      </c>
      <c r="X231" s="3">
        <f>1038.9+(344.1-202.3)+(-1.589517+(-0.526473--0.309519))+0-173.4--0.26530200000001</f>
        <v>1005.758831</v>
      </c>
      <c r="Y231" s="3">
        <f>1046.8+(318.1-207.8)+(-1.067736+(-0.324462--0.211956))+0-171.3--0.174726000000027</f>
        <v>984.79448400000012</v>
      </c>
      <c r="Z231" s="3">
        <f>1048.1+(317.2-235)+(-0.534531+(-0.161772--0.11985))+0-170.5--0.0869549999999827</f>
        <v>959.31050200000004</v>
      </c>
      <c r="AA231" s="3">
        <f>1057.7+(345.8-275.1)+(-1.618281+(-0.529074--0.420903))+0-169.8--0.25979400000001</f>
        <v>957.13334200000008</v>
      </c>
      <c r="AB231" s="3">
        <f>1061.9+(307.1-265.1)+(-1.083138+(-0.313242--0.270402))+0-171.6--0.175032000000027</f>
        <v>931.34905400000002</v>
      </c>
      <c r="AC231" s="3">
        <f>1070.1+(269.5-267.5)+(-2.183004+(-0.54978--0.5457))+0-172.3--0.351491999999992</f>
        <v>897.96440800000005</v>
      </c>
      <c r="AD231">
        <v>1004.5999999999999</v>
      </c>
      <c r="AE231" s="3">
        <f>1026+(337.3-174.5)+(0+(0-0))+0-171.2-0</f>
        <v>1017.5999999999999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1067.3+(233.1-267.8)+(-0.544323+(-0.118881--0.136578))+0-172.3--0.0878729999999825</f>
        <v>859.86124699999982</v>
      </c>
      <c r="G232" s="3">
        <f>1065+(223.7-275.1)+(0.54315+(0.114087-0.140301))+0-195.9-0.0999089999999801</f>
        <v>818.11702699999989</v>
      </c>
      <c r="H232" s="3">
        <f>986.8+(222.1-212.3)+(0+(0-0))+0-180-0</f>
        <v>816.59999999999991</v>
      </c>
      <c r="I232" s="3">
        <f>981.9+(195.2-194.7)+(-1.001538+(-0.199104--0.198594))+0-196.6--0.200532000000031</f>
        <v>784.99848400000008</v>
      </c>
      <c r="J232" s="3">
        <f>975.9+(198.6-197.7)+(0.497709+(0.101286-0.100827))+0-189.6-0.0966959999999808</f>
        <v>787.60147199999994</v>
      </c>
      <c r="K232" s="3">
        <f>976.9+(208.2-209.6)+(-0.996438+(-0.212364--0.213792))+0-188.1--0.19186200000003</f>
        <v>786.59685200000001</v>
      </c>
      <c r="L232" s="3">
        <f>981.5+(182.7-215.4)+(0.500565+(0.093177-0.109854))+0-184.1-0.0938909999999813</f>
        <v>765.08999699999993</v>
      </c>
      <c r="M232" s="3">
        <f>978.3+(158.3-168.1)+(-0.498933+(-0.080733--0.085731))+0-187.6--0.095675999999981</f>
        <v>780.50174100000004</v>
      </c>
      <c r="N232" s="3">
        <f>977.1+(174-173.5)+(0.996642+(0.17748-0.17697))+0-191.3-0.195126000000031</f>
        <v>787.10202600000002</v>
      </c>
      <c r="O232" s="3">
        <f>1029.8+(184.1-226.9)+(-0.525198+(-0.093891--0.115719))+0-173.7--0.0885869999999824</f>
        <v>812.88521700000001</v>
      </c>
      <c r="P232" s="3">
        <f>1032.2+(185.9-228.3)+(-2.63211+(-0.474045--0.582165))+0-181--0.461549999999974</f>
        <v>806.73756000000003</v>
      </c>
      <c r="Q232" s="3">
        <f>1022.9+(183.3-214)+(-1.043358+(-0.186966--0.21828))+0-178.8--0.182376000000029</f>
        <v>812.57033200000001</v>
      </c>
      <c r="R232" s="3">
        <f>1014.1+(232.3-263.8)+(-2.068764+(-0.473892--0.538152))+0-174.5--0.355979999999992</f>
        <v>806.45147600000007</v>
      </c>
      <c r="S232" s="3">
        <f>985.5+(247.1-271.4)+(-2.01042+(-0.504084--0.553656))+0-179.1--0.365363999999992</f>
        <v>780.50451599999997</v>
      </c>
      <c r="T232" s="3">
        <f>896.6+(234-184.4)+(-0.457266+(-0.11934--0.094044))+0-181.1--0.0923609999999816</f>
        <v>764.70979899999998</v>
      </c>
      <c r="U232" s="3">
        <f>894.7+(221.1-162.9)+(0+(0-0))+0-181.5-0</f>
        <v>771.40000000000009</v>
      </c>
      <c r="V232" s="3">
        <f>896.9+(225.9-139.4)+(-1.372257+(-0.345627--0.213282))+0-185.8--0.284274000000011</f>
        <v>796.37967199999991</v>
      </c>
      <c r="W232" s="3">
        <f>922+(288.4-170.7)+(-0.47022+(-0.147084--0.087057))+0-177.9--0.0907289999999819</f>
        <v>861.36048200000016</v>
      </c>
      <c r="X232" s="3">
        <f>943.8+(273.3-182.2)+(-1.925352+(-0.557532--0.371688))+0-165.9--0.338435999999993</f>
        <v>867.22724000000005</v>
      </c>
      <c r="Y232" s="3">
        <f>951.3+(261.7-186)+(-1.455489+(-0.400401--0.28458))+0-163.4--0.250002000000009</f>
        <v>862.27869199999998</v>
      </c>
      <c r="Z232" s="3">
        <f>955.5+(250.5-197.1)+(-1.461915+(-0.383265--0.301563))+0-165.3--0.25290900000001</f>
        <v>842.30929199999991</v>
      </c>
      <c r="AA232" s="3">
        <f>950.6+(262.1-194.9)+(-2.42403+(-0.668355--0.496995))+0-166.8--0.425339999999976</f>
        <v>848.82995000000005</v>
      </c>
      <c r="AB232" s="3">
        <f>948.9+(251-208.3)+(-0.967878+(-0.25602--0.212466))+0-164.9--0.168198000000026</f>
        <v>825.85676599999999</v>
      </c>
      <c r="AC232" s="3">
        <f>943.3+(256.3-243.2)+(-2.405415+(-0.653565--0.62016))+0-165.6--0.422279999999976</f>
        <v>788.78345999999999</v>
      </c>
      <c r="AD232">
        <v>845.90000000000009</v>
      </c>
      <c r="AE232" s="3">
        <f>935+(276.9-184.2)+(0+(0-0))+0-167.8-0</f>
        <v>859.90000000000009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948.4+(198.7-235)+(-0.967368+(-0.202674--0.2397))+0-155.4--0.158508000000025</f>
        <v>755.92816599999992</v>
      </c>
      <c r="G233" s="3">
        <f>953.2+(160.3-224.5)+(0+(0-0))+0-149.6-0</f>
        <v>739.4</v>
      </c>
      <c r="H233" s="3">
        <f>956.8+(152.4-231)+(-0.975936+(-0.155448--0.23562))+0-150--0.153000000000024</f>
        <v>727.45723599999997</v>
      </c>
      <c r="I233" s="3">
        <f>958.4+(137-226)+(-2.44392+(-0.34935--0.5763))+0-146.5--0.373574999999979</f>
        <v>721.05660499999999</v>
      </c>
      <c r="J233" s="3">
        <f>931.1+(140.9-206.4)+(0.474861+(0.071859-0.105264))+0-143.4-0.0731339999999855</f>
        <v>722.56832200000008</v>
      </c>
      <c r="K233" s="3">
        <f>932.7+(136.6-191.5)+(0+(0-0))+0-143.1-0</f>
        <v>734.7</v>
      </c>
      <c r="L233" s="3">
        <f>938.4+(151.6-185.9)+(0.957168+(0.154632-0.189618))+0-142-0.144840000000023</f>
        <v>762.87734199999989</v>
      </c>
      <c r="M233" s="3">
        <f>947.6+(179.1-169.7)+(0.966552+(0.182682-0.173094))+0-152.4-0.155448000000024</f>
        <v>805.42069200000003</v>
      </c>
      <c r="N233" s="3">
        <f>941.7+(288.8-227.6)+(0+(0-0))+0-152.1-0</f>
        <v>850.80000000000007</v>
      </c>
      <c r="O233" s="3">
        <f>956.1+(298-226.8)+(0.975222+(0.30396-0.231336))+0-153.2-0.156264000000024</f>
        <v>874.99158199999977</v>
      </c>
      <c r="P233" s="3">
        <f>972.6+(286.5-214.5)+(0.496026+(0.146115-0.109395))+0-154-0.0785399999999844</f>
        <v>891.05420600000002</v>
      </c>
      <c r="Q233" s="3">
        <f>957.2+(330.8-233.8)+(0.488172+(0.168708-0.119238))+0-152.5-0.0777749999999845</f>
        <v>902.15986700000008</v>
      </c>
      <c r="R233" s="3">
        <f>1010.9+(332.4-298.3)+(-2.062236+(-0.678096--0.608532))+0-147.7--0.301307999999994</f>
        <v>895.46950799999979</v>
      </c>
      <c r="S233" s="3">
        <f>1048.2+(418.3-424.5)+(-2.138328+(-0.853332--0.86598))+0-149.8--0.305591999999993</f>
        <v>890.37991199999999</v>
      </c>
      <c r="T233" s="3">
        <f>1082.9+(417.6-458.8)+(-1.656837+(-0.638928--0.701964))+0-155.6--0.238068000000009</f>
        <v>884.74426700000004</v>
      </c>
      <c r="U233" s="3">
        <f>1120.4+(401.6-488.9)+(-0.571404+(-0.204816--0.249339))+0-145.4--0.0741539999999853</f>
        <v>887.24727300000018</v>
      </c>
      <c r="V233" s="3">
        <f>1124+(213.1-287.7)+(0.57324+(0.108681-0.146727))+0-147.1-0.0750209999999851</f>
        <v>902.76017300000012</v>
      </c>
      <c r="W233" s="3">
        <f>1141.2+(239.9-260.3)+(-1.164024+(-0.244698--0.265506))+0-148.1--0.151062000000024</f>
        <v>971.70784600000002</v>
      </c>
      <c r="X233" s="3">
        <f>1162.3+(236.5-283.7)+(-3.556638+(-0.72369--0.868122))+0-146.6--0.448596000000017</f>
        <v>965.53638999999998</v>
      </c>
      <c r="Y233" s="3">
        <f>1168.3+(204.9-268.9)+(-1.787499+(-0.313497--0.411417))+0-146.2--0.223686000000008</f>
        <v>956.63410699999986</v>
      </c>
      <c r="Z233" s="3">
        <f>1170.6+(219-315.4)+(-0.597006+(-0.11169--0.160854))+0-150.7--0.0768569999999847</f>
        <v>923.02901499999984</v>
      </c>
      <c r="AA233" s="3">
        <f>1173.7+(230.6-350.8)+(-2.992935+(-0.58803--0.89454))+0-151.8--0.387089999999978</f>
        <v>899.40066499999989</v>
      </c>
      <c r="AB233" s="3">
        <f>1167.9+(215.4-376.2)+(-1.786887+(-0.329562--0.575586))+0-152.6--0.233478000000009</f>
        <v>853.19261500000016</v>
      </c>
      <c r="AC233" s="3">
        <f>1186.4+(192.2-397.8)+(-1.210128+(-0.196044--0.405756))+0-154.6--0.157692000000025</f>
        <v>825.35727600000007</v>
      </c>
      <c r="AD233">
        <v>972.39999999999986</v>
      </c>
      <c r="AE233" s="3">
        <f>1151+(240.6-258.2)+(0+(0-0))+0-149-0</f>
        <v>984.40000000000009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1163.4+(170.4-386.4)+(-0.593334+(-0.086904--0.197064))+0-156.8--0.0799679999999841</f>
        <v>790.19679400000018</v>
      </c>
      <c r="G234" s="3">
        <f>1170.7+(145-387.8)+(-2.985285+(-0.36975--0.98889))+0-153--0.390149999999978</f>
        <v>772.92400500000008</v>
      </c>
      <c r="H234" s="3">
        <f>1170+(133-382.1)+(-0.5967+(-0.06783--0.194871))+0-158.9--0.0810389999999839</f>
        <v>761.61138000000005</v>
      </c>
      <c r="I234" s="3">
        <f>1171.5+(128.8-381)+(-2.38986+(-0.262752--0.77724))+0-158.5--0.323339999999993</f>
        <v>759.24796800000001</v>
      </c>
      <c r="J234" s="3">
        <f>1176+(126.7-388.5)+(-0.59976+(-0.064617--0.198135))+0-157.2--0.080171999999984</f>
        <v>756.61392999999998</v>
      </c>
      <c r="K234" s="3">
        <f>1177.4+(137-401.2)+(-0.600474+(-0.06987--0.204612))+0-152.5--0.0777749999999845</f>
        <v>760.31204300000002</v>
      </c>
      <c r="L234" s="3">
        <f>1176+(160.9-397.7)+(-0.59976+(-0.082059--0.202827))+0-153--0.0780299999999845</f>
        <v>785.79903800000011</v>
      </c>
      <c r="M234" s="3">
        <f>1166.6+(179.3-359.1)+(0+(0-0))+0-159.2-0</f>
        <v>827.59999999999991</v>
      </c>
      <c r="N234" s="3">
        <f>1178.7+(187.9-337.6)+(-0.601137+(-0.095829--0.172176))+0-162.7--0.0829769999999835</f>
        <v>865.85818700000004</v>
      </c>
      <c r="O234" s="3">
        <f>1173.7+(179.9-302.6)+(-1.197174+(-0.183498--0.308652))+0-162.4--0.165648000000026</f>
        <v>887.69362799999999</v>
      </c>
      <c r="P234" s="3">
        <f>1171.2+(190.6-292.2)+(0+(0-0))+0-162-0</f>
        <v>907.60000000000014</v>
      </c>
      <c r="Q234" s="3">
        <f>1156.6+(183.3-257.9)+(-0.589866+(-0.093483--0.131529))+0-180.6--0.0921059999999817</f>
        <v>900.94028600000001</v>
      </c>
      <c r="R234" s="3">
        <f>1144.6+(180.9-254.9)+(-0.583746+(-0.092259--0.129999))+0-171.6--0.0875159999999826</f>
        <v>898.54150999999979</v>
      </c>
      <c r="S234" s="3">
        <f>1138.4+(191.3-255.5)+(-1.741752+(-0.292689--0.390915))+0-167.7--0.25658100000001</f>
        <v>905.11305499999992</v>
      </c>
      <c r="T234" s="3">
        <f>1130.3+(183.6-247.5)+(0.576453+(0.093636-0.126225))+0-166.8-0.0850679999999831</f>
        <v>900.05879599999992</v>
      </c>
      <c r="U234" s="3">
        <f>1127.2+(175.6-233.1)+(-1.149744+(-0.179112--0.237762))+0-163.7--0.166974000000026</f>
        <v>905.07587999999987</v>
      </c>
      <c r="V234" s="3">
        <f>1125.7+(194.2-215.2)+(0+(0-0))+0-171-0</f>
        <v>933.7</v>
      </c>
      <c r="W234" s="3">
        <f>1135.4+(269.6-227.5)+(-1.158108+(-0.274992--0.23205))+0-178.9--0.182478000000029</f>
        <v>997.58142800000019</v>
      </c>
      <c r="X234" s="3">
        <f>1141.7+(273.4-242.8)+(-1.746801+(-0.418302--0.371484))+0-180.7--0.27647100000001</f>
        <v>990.08285199999989</v>
      </c>
      <c r="Y234" s="3">
        <f>1153+(253.4-264.3)+(-2.35212+(-0.516936--0.539172))+0-175.4--0.357815999999992</f>
        <v>964.7279319999999</v>
      </c>
      <c r="Z234" s="3">
        <f>1161.1+(239.6-299.8)+(-0.592161+(-0.122196--0.152898))+0-178.6--0.0910859999999819</f>
        <v>921.82962699999985</v>
      </c>
      <c r="AA234" s="3">
        <f>1168.1+(222.6-308.9)+(-1.787193+(-0.340578--0.472617))+0-177.3--0.27126900000001</f>
        <v>903.11611499999992</v>
      </c>
      <c r="AB234" s="3">
        <f>1167.8+(196.4-316.7)+(0+(0-0))+0-170.6-0</f>
        <v>876.9</v>
      </c>
      <c r="AC234" s="3">
        <f>1168.9+(151.5-304.7)+(-2.980695+(-0.386325--0.776985))+0-175--0.446249999999975</f>
        <v>838.55621500000007</v>
      </c>
      <c r="AD234">
        <v>987.5</v>
      </c>
      <c r="AE234" s="3">
        <f>1128+(274.2-219.9)+(0+(0-0))+0-182.8-0</f>
        <v>999.5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1169.6+(148.7-345.1)+(0+(0-0))+0-173.5-0</f>
        <v>799.69999999999982</v>
      </c>
      <c r="G235" s="3">
        <f>1164.8+(150.3-365.4)+(0+(0-0))+0-174.9-0</f>
        <v>774.80000000000007</v>
      </c>
      <c r="H235" s="3">
        <f>1136.5+(157.3-364.9)+(-0.579615+(-0.080223--0.186099))+0-174.7--0.0890969999999823</f>
        <v>753.81535800000006</v>
      </c>
      <c r="I235" s="3">
        <f>1135.6+(178.8-388.6)+(0+(0-0))+0-172.6-0</f>
        <v>753.19999999999993</v>
      </c>
      <c r="J235" s="3">
        <f>1135.1+(197.1-404.4)+(0.578901+(0.100521-0.206244))+0-171.4-0.0874139999999826</f>
        <v>756.78576399999997</v>
      </c>
      <c r="K235" s="3">
        <f>1126.1+(234-420.3)+(2.871555+(0.5967-1.071765))+0-171.5-0.437324999999975</f>
        <v>770.25916499999994</v>
      </c>
      <c r="L235" s="3">
        <f>1121.7+(259.6-435.3)+(-1.716201+(-0.397188--0.666009))+0-166.2--0.25428600000001</f>
        <v>778.60690600000009</v>
      </c>
      <c r="M235" s="3">
        <f>1124.5+(259.7-383.7)+(1.720485+(0.397341-0.587061))+0-171.1-0.26178300000001</f>
        <v>830.66898199999991</v>
      </c>
      <c r="N235" s="3">
        <f>1156.7+(229.8-332.1)+(2.359668+(0.468792-0.677484))+0-174-0.354959999999992</f>
        <v>882.19601599999999</v>
      </c>
      <c r="O235" s="3">
        <f>1165.6+(201-275.5)+(-0.594456+(-0.10251--0.140505))+0-176.7--0.0901169999999821</f>
        <v>913.93365599999993</v>
      </c>
      <c r="P235" s="3">
        <f>1149.4+(221.7-273.7)+(-0.586194+(-0.113067--0.139587))+0-176.9--0.0902189999999821</f>
        <v>920.03054499999996</v>
      </c>
      <c r="Q235" s="3">
        <f>1139.2+(216.6-240)+(0+(0-0))+0-176.8-0</f>
        <v>939</v>
      </c>
      <c r="R235" s="3">
        <f>1128.4+(207.3-238)+(-2.87742+(-0.528615--0.6069))+0-177.4--0.452369999999974</f>
        <v>917.95323500000006</v>
      </c>
      <c r="S235" s="3">
        <f>1126+(223.3-255.4)+(-1.72278+(-0.341649--0.390762))+0-178.5--0.27310500000001</f>
        <v>913.99943800000005</v>
      </c>
      <c r="T235" s="3">
        <f>1119.8+(213.7-254.5)+(1.713294+(0.326961-0.389385))+0-177.9-0.27218700000001</f>
        <v>902.47868299999993</v>
      </c>
      <c r="U235" s="3">
        <f>1119.8+(218.2-270.8)+(-1.142196+(-0.222564--0.276216))+0-172.9--0.176358000000028</f>
        <v>893.38781399999993</v>
      </c>
      <c r="V235" s="3">
        <f>1124.2+(245.1-279.6)+(-0.573342+(-0.125001--0.142596))+0-173.2--0.0883319999999824</f>
        <v>916.03258499999993</v>
      </c>
      <c r="W235" s="3">
        <f>1130.3+(265.4-243.9)+(1.152906+(0.270708-0.248778))+0-175.6-0.179112000000028</f>
        <v>977.19572399999981</v>
      </c>
      <c r="X235" s="3">
        <f>1138.7+(250.3-268.9)+(-0.580737+(-0.127653--0.137139))+0-175.6--0.0895559999999822</f>
        <v>944.01830500000005</v>
      </c>
      <c r="Y235" s="3">
        <f>1141.7+(239.1-295.5)+(0+(0-0))+0-173.2-0</f>
        <v>912.09999999999991</v>
      </c>
      <c r="Z235" s="3">
        <f>1146.8+(270.1-359.2)+(-2.339472+(-0.551004--0.732768))+0-174.8--0.356591999999992</f>
        <v>881.09888400000011</v>
      </c>
      <c r="AA235" s="3">
        <f>1153.7+(268.1-369.1)+(-1.176774+(-0.273462--0.376482))+0-174.6--0.178092000000028</f>
        <v>877.20433800000001</v>
      </c>
      <c r="AB235" s="3">
        <f>1161.8+(270.2-404.6)+(-1.777554+(-0.413406--0.619038))+0-173.2--0.26499600000001</f>
        <v>852.89307399999973</v>
      </c>
      <c r="AC235" s="3">
        <f>1161.8+(269-443.7)+(-0.592518+(-0.13719--0.226287))+0-173.6--0.0885359999999824</f>
        <v>813.08511499999986</v>
      </c>
      <c r="AD235">
        <v>970.1</v>
      </c>
      <c r="AE235" s="3">
        <f>1129+(266.6-235.1)+(0+(0-0))+0-176.4-0</f>
        <v>984.1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1162.6+(244.3-453)+(-1.185852+(-0.249186--0.46206))+0-173.9--0.177378000000028</f>
        <v>779.20439999999985</v>
      </c>
      <c r="G236" s="3">
        <f>1159.3+(236-461.9)+(0+(0-0))+0-173.2-0</f>
        <v>760.2</v>
      </c>
      <c r="H236" s="3">
        <f>1163.6+(222-473.1)+(2.373744+(0.45288-0.965124))+0-171.9-0.350675999999992</f>
        <v>742.11082399999987</v>
      </c>
      <c r="I236" s="3">
        <f>1165+(245-501.1)+(2.3766+(0.4998-1.022244))+0-173.1-0.353123999999992</f>
        <v>737.30103199999996</v>
      </c>
      <c r="J236" s="3">
        <f>1167.3+(305.1-561.7)+(0+(0-0))+0-173.9-0</f>
        <v>736.8</v>
      </c>
      <c r="K236" s="3">
        <f>1167.5+(313.7-565)+(1.786275+(0.479961-0.86445))+0-172.3-0.26361900000001</f>
        <v>745.03816699999993</v>
      </c>
      <c r="L236" s="3">
        <f>1167.3+(282.4-533.1)+(0+(0-0))+0-168.7-0</f>
        <v>747.89999999999986</v>
      </c>
      <c r="M236" s="3">
        <f>1160.4+(266.9-467.6)+(0.591804+(0.136119-0.238476))+0-176.5-0.0900149999999821</f>
        <v>783.59943200000009</v>
      </c>
      <c r="N236" s="3">
        <f>1154.4+(276.2-422.6)+(0.588744+(0.140862-0.215526))+0-181.1-0.0923609999999816</f>
        <v>827.32171900000003</v>
      </c>
      <c r="O236" s="3">
        <f>1139.9+(249.1-357.1)+(1.744047+(0.381123-0.546363))+0-185.1-0.283203000000011</f>
        <v>848.09560400000021</v>
      </c>
      <c r="P236" s="3">
        <f>1127.6+(238.4-328.8)+(-1.150152+(-0.243168--0.335376))+0-170.5--0.173910000000027</f>
        <v>865.81596599999989</v>
      </c>
      <c r="Q236" s="3">
        <f>1112+(252.2-292.3)+(1.13424+(0.257244-0.298146))+0-165.3-0.168606000000026</f>
        <v>907.52473199999997</v>
      </c>
      <c r="R236" s="3">
        <f>1110.2+(253.2-285)+(-2.264808+(-0.516528--0.5814))+0-170--0.346799999999993</f>
        <v>906.54686400000014</v>
      </c>
      <c r="S236" s="3">
        <f>1102.4+(251.8-287.9)+(0+(0-0))+0-172.7-0</f>
        <v>893.60000000000014</v>
      </c>
      <c r="T236" s="3">
        <f>1103.2+(275.8-310.5)+(-2.250528+(-0.562632--0.63342))+0-176.2--0.359447999999992</f>
        <v>890.47970799999996</v>
      </c>
      <c r="U236" s="3">
        <f>1103.3+(271.9-323.3)+(-0.562683+(-0.138669--0.164883))+0-163.1--0.0831809999999834</f>
        <v>888.34671199999991</v>
      </c>
      <c r="V236" s="3">
        <f>1108.1+(328.4-374.6)+(-0.565131+(-0.167484--0.191046))+0-160--0.0815999999999838</f>
        <v>901.44003099999986</v>
      </c>
      <c r="W236" s="3">
        <f>1153.8+(376.3-401.4)+(0.588438+(0.191913-0.204714))+0-167.8-0.085577999999983</f>
        <v>961.39005900000006</v>
      </c>
      <c r="X236" s="3">
        <f>1169.7+(425.8-465)+(-1.193094+(-0.434316--0.4743))+0-176.1--0.179622000000028</f>
        <v>953.426512</v>
      </c>
      <c r="Y236" s="3">
        <f>1181.3+(446.6-527.8)+(-0.602463+(-0.227766--0.269178))+0-170.7--0.0870569999999827</f>
        <v>928.92600599999992</v>
      </c>
      <c r="Z236" s="3">
        <f>1189.3+(440.4-553.9)+(-1.819629+(-0.673812--0.847467))+0-177.4--0.27142200000001</f>
        <v>897.02544799999998</v>
      </c>
      <c r="AA236" s="3">
        <f>1202.4+(447.6-575.7)+(-0.613224+(-0.228276--0.293607))+0-187.5--0.095624999999981</f>
        <v>886.34773200000018</v>
      </c>
      <c r="AB236" s="3">
        <f>1186.7+(404.8-545.6)+(-1.815651+(-0.619344--0.834768))+0-185.3--0.283509000000011</f>
        <v>859.28328200000021</v>
      </c>
      <c r="AC236" s="3">
        <f>1155.7+(244-399.4)+(-1.178814+(-0.24888--0.407388))+0-185.7--0.18941400000003</f>
        <v>813.76910800000007</v>
      </c>
      <c r="AD236">
        <v>940</v>
      </c>
      <c r="AE236" s="3">
        <f>1157+(381.1-411.8)+(0+(0-0))+0-174.3-0</f>
        <v>952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1154+(239.5-446.5)+(1.17708+(0.24429-0.45543))+0-178-0.181560000000028</f>
        <v>769.78438000000006</v>
      </c>
      <c r="G237" s="3">
        <f>1157.8+(251.4-487.6)+(0+(0-0))+0-174.4-0</f>
        <v>747.19999999999993</v>
      </c>
      <c r="H237" s="3">
        <f>1160.2+(296.6-543.7)+(-1.183404+(-0.302532--0.554574))+0-169--0.172380000000027</f>
        <v>743.34101799999996</v>
      </c>
      <c r="I237" s="3">
        <f>1163.9+(364.3-616.8)+(-1.780767+(-0.557379--0.943704))+0-169.9--0.25994700000001</f>
        <v>740.3655050000001</v>
      </c>
      <c r="J237" s="3">
        <f>1162.9+(430-671)+(-1.186158+(-0.4386--0.68442))+0-174.7--0.178194000000028</f>
        <v>746.43785600000024</v>
      </c>
      <c r="K237" s="3">
        <f>1163.7+(442-669.2)+(0.593487+(0.22542-0.341292))+0-173.8-0.0886379999999824</f>
        <v>763.08897700000011</v>
      </c>
      <c r="L237" s="3">
        <f>1135.2+(461.1-616.4)+(0.578952+(0.235161-0.314364))+0-175.9-0.0897089999999822</f>
        <v>804.41004000000009</v>
      </c>
      <c r="M237" s="3">
        <f>1101.6+(487.5-554.7)+(0+(0-0))+0-184.6-0</f>
        <v>849.79999999999984</v>
      </c>
      <c r="N237" s="3">
        <f>1102.2+(529.8-560.2)+(1.686366+(0.810594-0.857106))+0-183.9-0.281367000000011</f>
        <v>889.25848699999995</v>
      </c>
      <c r="O237" s="3">
        <f>1127.1+(520-563.5)+(0.574821+(0.2652-0.287385))+0-179.5-0.0915449999999818</f>
        <v>904.56109099999981</v>
      </c>
      <c r="P237" s="3">
        <f>1139.3+(488.5-538.5)+(-1.162086+(-0.49827--0.54927))+0-179.9--0.183498000000029</f>
        <v>908.47241200000008</v>
      </c>
      <c r="Q237" s="3">
        <f>1066+(483.1-449.4)+(-1.63098+(-0.739143--0.687582))+0-180.6--0.27631800000001</f>
        <v>917.69377700000018</v>
      </c>
      <c r="R237" s="3">
        <f>997.3+(485.9-393.6)+(-0.508623+(-0.247809--0.200736))+0-180.4--0.0920039999999817</f>
        <v>908.73630800000001</v>
      </c>
      <c r="S237" s="3">
        <f>984.8+(483.4-383.4)+(-1.004496+(-0.493068--0.391068))+0-184.2--0.187884000000029</f>
        <v>899.68138799999986</v>
      </c>
      <c r="T237" s="3">
        <f>1030.8+(472.8-419)+(0+(0-0))+0-186.8-0</f>
        <v>897.8</v>
      </c>
      <c r="U237" s="3">
        <f>1127.3+(474.2-513.5)+(1.149846+(0.483684-0.52377))+0-184.2-0.187884000000029</f>
        <v>904.72187599999995</v>
      </c>
      <c r="V237" s="3">
        <f>1194.3+(499.5-580.2)+(1.218186+(0.50949-0.591804))+0-186.4-0.19012800000003</f>
        <v>928.14574399999992</v>
      </c>
      <c r="W237" s="3">
        <f>1233+(500.2-553.8)+(1.25766+(0.510204-0.564876))+0-192.2-0.196044000000031</f>
        <v>988.20694400000002</v>
      </c>
      <c r="X237" s="3">
        <f>1405.8+(465.7-702.1)+(-3.58479+(-1.187535--1.790355))+0-188.4--0.480419999999973</f>
        <v>978.49844999999982</v>
      </c>
      <c r="Y237" s="3">
        <f>1424.5+(459.6-746.4)+(-1.45299+(-0.468792--0.761328))+0-184--0.187680000000029</f>
        <v>952.72722599999997</v>
      </c>
      <c r="Z237" s="3">
        <f>1445.5+(455-784.9)+(-4.42323+(-1.3923--2.401794))+0-187.9--0.574974000000022</f>
        <v>924.86123799999996</v>
      </c>
      <c r="AA237" s="3">
        <f>1441.5+(442.6-789)+(-1.47033+(-0.451452--0.80478))+0-181.9--0.185538000000029</f>
        <v>912.26853600000004</v>
      </c>
      <c r="AB237" s="3">
        <f>1420.8+(404.4-766.5)+(-2.173824+(-0.618732--1.172745))+0-181.5--0.27769500000001</f>
        <v>875.85788399999979</v>
      </c>
      <c r="AC237" s="3">
        <f>1315.6+(420.5-707.1)+(-1.341912+(-0.42891--0.721242))+0-188.5--0.19227000000003</f>
        <v>839.6426899999999</v>
      </c>
      <c r="AD237">
        <v>970.9000000000002</v>
      </c>
      <c r="AE237" s="3">
        <f>1307+(479.7-608.4)+(0+(0-0))+0-194.4-0</f>
        <v>983.9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1239.9+(425.3-681.6)+(0+(0-0))+0-183.9-0</f>
        <v>799.70000000000016</v>
      </c>
      <c r="G238" s="3">
        <f>1243.3+(438.3-723.7)+(-1.268166+(-0.447066--0.738174))+0-179.4--0.182988000000029</f>
        <v>777.70592999999985</v>
      </c>
      <c r="H238" s="3">
        <f>1246.9+(407.2-707.8)+(-1.271838+(-0.415344--0.721956))+0-180.3--0.183906000000029</f>
        <v>765.21868000000018</v>
      </c>
      <c r="I238" s="3">
        <f>1246.3+(416.4-727.3)+(1.271226+(0.424728-0.741846))+0-178-0.181560000000028</f>
        <v>758.17254800000001</v>
      </c>
      <c r="J238" s="3">
        <f>1241.7+(434.9-741.3)+(0.633267+(0.221799-0.378063))+0-181.9-0.0927689999999815</f>
        <v>753.78423400000008</v>
      </c>
      <c r="K238" s="3">
        <f>1242+(438.8-728.9)+(1.26684+(0.447576-0.743478))+0-181.6-0.185232000000029</f>
        <v>771.08570600000007</v>
      </c>
      <c r="L238" s="3">
        <f>1233.1+(493.5-683.6)+(1.886643+(0.755055-1.045908))+0-186.4-0.285192000000011</f>
        <v>857.91059800000005</v>
      </c>
      <c r="M238" s="3">
        <f>1215.3+(476.1-609)+(1.239606+(0.485622-0.62118))+0-187.5-0.19125000000003</f>
        <v>895.81279799999993</v>
      </c>
      <c r="N238" s="3">
        <f>1200.7+(454.9-567)+(0.612357+(0.231999-0.28917))+0-185.4-0.0945539999999812</f>
        <v>903.66063199999996</v>
      </c>
      <c r="O238" s="3">
        <f>1199+(454.9-559.7)+(0+(0-0))+0-185.4-0</f>
        <v>908.79999999999984</v>
      </c>
      <c r="P238" s="3">
        <f>1185.3+(456.3-549.2)+(-0.604503+(-0.232713--0.280092))+0-174.9--0.0891989999999823</f>
        <v>917.03207499999996</v>
      </c>
      <c r="Q238" s="3">
        <f>1187+(434.9-537.2)+(-1.81611+(-0.665397--0.821916))+0-162.1--0.248013000000009</f>
        <v>921.18842199999972</v>
      </c>
      <c r="R238" s="3">
        <f>1183.1+(427.6-531.5)+(0+(0-0))+0-170.2-0</f>
        <v>908.99999999999977</v>
      </c>
      <c r="S238" s="3">
        <f>1217.8+(416.2-564.5)+(0.621078+(0.212262-0.287895))+0-174.6-0.0890459999999823</f>
        <v>895.35639900000001</v>
      </c>
      <c r="T238" s="3">
        <f>1225+(395.5-541.6)+(1.2495+(0.40341-0.552432))+0-174.3-0.177786000000028</f>
        <v>905.52269200000012</v>
      </c>
      <c r="U238" s="3">
        <f>1268.1+(417.3-601.9)+(0.646731+(0.212823-0.306969))+0-176.4-0.0899639999999821</f>
        <v>907.56262099999992</v>
      </c>
      <c r="V238" s="3">
        <f>1307.6+(418.2-610.5)+(2.000628+(0.639846-0.934065))+0-179.2-0.27417600000001</f>
        <v>937.53223299999979</v>
      </c>
      <c r="W238" s="3">
        <f>1396.1+(393.1-604.4)+(0+(0-0))+0-187-0</f>
        <v>997.8</v>
      </c>
      <c r="X238" s="3">
        <f>1407.8+(420.2-658.5)+(-1.435956+(-0.428604--0.67167))+0-186.4--0.19012800000003</f>
        <v>982.09723800000006</v>
      </c>
      <c r="Y238" s="3">
        <f>1414.9+(431-704.7)+(-0.721599+(-0.21981--0.359397))+0-183.5--0.0935849999999814</f>
        <v>957.21157299999993</v>
      </c>
      <c r="Z238" s="3">
        <f>1422.7+(416.4-730.4)+(-0.725577+(-0.212364--0.372504))+0-184.8--0.0942479999999813</f>
        <v>923.42881100000011</v>
      </c>
      <c r="AA238" s="3">
        <f>1430.3+(404.5-736)+(-1.458906+(-0.41259--0.75072))+0-188--0.19176000000003</f>
        <v>909.87098400000002</v>
      </c>
      <c r="AB238" s="3">
        <f>1427.7+(398-771)+(0+(0-0))+0-187.1-0</f>
        <v>867.6</v>
      </c>
      <c r="AC238" s="3">
        <f>1360.7+(371.2-723.6)+(1.387914+(0.378624-0.738072))+0-186.5-0.19023000000003</f>
        <v>822.63823599999989</v>
      </c>
      <c r="AD238">
        <v>998.49999999999989</v>
      </c>
      <c r="AE238" s="3">
        <f>1391+(363-566.4)+(0+(0-0))+0-176.1-0</f>
        <v>1011.4999999999999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1279.5+(398.3-698.2)+(-0.652545+(-0.203133--0.356082))+0-188.1--0.0959309999999809</f>
        <v>791.09633499999984</v>
      </c>
      <c r="G239" s="3">
        <f>1099.7+(434.7-575.8)+(-0.560847+(-0.221697--0.293658))+0-187.5--0.095624999999981</f>
        <v>770.70673900000008</v>
      </c>
      <c r="H239" s="3">
        <f>1098.6+(468.8-623.3)+(-2.241144+(-0.956352--1.271532))+0-185.2--0.377807999999992</f>
        <v>757.3518439999998</v>
      </c>
      <c r="I239" s="3">
        <f>1101.3+(498.3-659.3)+(2.808315+(1.270665-1.681215))+0-184.1-0.469454999999973</f>
        <v>758.12831000000006</v>
      </c>
      <c r="J239" s="3">
        <f>1100.1+(509-666)+(0+(0-0))+0-184.3-0</f>
        <v>758.8</v>
      </c>
      <c r="K239" s="3">
        <f>1101.2+(510.8-656.3)+(-2.246448+(-1.042032--1.338852))+0-181.1--0.369443999999992</f>
        <v>773.01981600000011</v>
      </c>
      <c r="L239" s="3">
        <f>1100.1+(489.1-607.8)+(1.122102+(0.498882-0.619956))+0-178.9-0.182478000000029</f>
        <v>803.31854999999996</v>
      </c>
      <c r="M239" s="3">
        <f>1098.9+(490.6-565)+(1.681317+(0.750618-0.86445))+0-175.8-0.26897400000001</f>
        <v>849.99851100000012</v>
      </c>
      <c r="N239" s="3">
        <f>1092.9+(495-534.4)+(1.114758+(0.5049-0.545088))+0-172.5-0.175950000000028</f>
        <v>881.89861999999994</v>
      </c>
      <c r="O239" s="3">
        <f>1086.3+(477-502.7)+(1.662039+(0.72981-0.769131))+0-160.5-0.245565000000009</f>
        <v>901.47715299999993</v>
      </c>
      <c r="P239" s="3">
        <f>1062.2+(492.3-479.8)+(0.541722+(0.251073-0.244698))+0-158.1-0.080630999999984</f>
        <v>917.06746600000008</v>
      </c>
      <c r="Q239" s="3">
        <f>1055.5+(448.9-428.1)+(-2.691525+(-1.144695--1.091655))+0-156.2--0.398309999999977</f>
        <v>917.75374499999987</v>
      </c>
      <c r="R239" s="3">
        <f>1067.6+(424.6-408)+(-2.72238+(-1.08273--1.0404))+0-156.7--0.399584999999977</f>
        <v>925.13487499999985</v>
      </c>
      <c r="S239" s="3">
        <f>1063.7+(392.6-391.9)+(-0.542487+(-0.200226--0.199869))+0-153.3--0.0781829999999845</f>
        <v>910.63533900000004</v>
      </c>
      <c r="T239" s="3">
        <f>1063.9+(538.4-537.1)+(0.542589+(0.274584-0.273921))+0-156.9-0.0800189999999841</f>
        <v>908.76323300000001</v>
      </c>
      <c r="U239" s="3">
        <f>1069.1+(472.1-486.8)+(0+(0-0))+0-154.5-0</f>
        <v>899.89999999999986</v>
      </c>
      <c r="V239" s="3">
        <f>1074.8+(497.3-485)+(-0.548148+(-0.253623--0.24735))+0-159.7--0.0814469999999838</f>
        <v>926.92702599999984</v>
      </c>
      <c r="W239" s="3">
        <f>1079.5+(470.4-402.7)+(0+(0-0))+0-156-0</f>
        <v>991.2</v>
      </c>
      <c r="X239" s="3">
        <f>1092.3+(479.7-446.9)+(-1.671219+(-0.733941--0.683757))+0-156.9--0.240057000000009</f>
        <v>966.7186539999999</v>
      </c>
      <c r="Y239" s="3">
        <f>1096.9+(495.9-504.5)+(-1.678257+(-0.758727--0.771885))+0-153.5--0.234855000000009</f>
        <v>933.36975600000017</v>
      </c>
      <c r="Z239" s="3">
        <f>1100.8+(483.2-525.4)+(-1.684224+(-0.739296--0.803862))+0-154.3--0.236079000000009</f>
        <v>902.9164209999999</v>
      </c>
      <c r="AA239" s="3">
        <f>1108.5+(467.6-526.7)+(-1.13067+(-0.476952--0.537234))+0-163.4--0.166668000000026</f>
        <v>885.09628000000009</v>
      </c>
      <c r="AB239" s="3">
        <f>1114.7+(479.2-573.3)+(-1.705491+(-0.733176--0.877149))+0-169.7--0.25964100000001</f>
        <v>849.5981230000001</v>
      </c>
      <c r="AC239" s="3">
        <f>1116.5+(430.6-568.6)+(-0.569415+(-0.219606--0.289986))+0-170.3--0.0868529999999827</f>
        <v>807.78781800000002</v>
      </c>
      <c r="AD239">
        <v>976.9</v>
      </c>
      <c r="AE239" s="3">
        <f>1092+(454.1-399.3)+(0+(0-0))+0-155.9-0</f>
        <v>990.9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1117+(388.8-558.6)+(0.56967+(0.198288-0.284886))+0-172.6-0.0880259999999825</f>
        <v>774.995046</v>
      </c>
      <c r="G240" s="3">
        <f>1118.3+(440.1-638.3)+(0.570333+(0.224451-0.325533))+0-172.6-0.0880259999999825</f>
        <v>747.88122499999997</v>
      </c>
      <c r="H240" s="3">
        <f>1118.6+(463.7-673.3)+(0+(0-0))+0-176.2-0</f>
        <v>732.8</v>
      </c>
      <c r="I240" s="3">
        <f>1124.2+(453.6-676.8)+(0+(0-0))+0-171.4-0</f>
        <v>729.60000000000014</v>
      </c>
      <c r="J240" s="3">
        <f>1067.8+(471.5-638.1)+(0.544578+(0.240465-0.325431))+0-167.4-0.085373999999983</f>
        <v>734.17423799999995</v>
      </c>
      <c r="K240" s="3">
        <f>1047.6+(473.9-617.6)+(1.068552+(0.483378-0.629952))+0-166.2-0.169524000000026</f>
        <v>738.45245399999988</v>
      </c>
      <c r="L240" s="3">
        <f>1046+(461.3-599.8)+(-1.06692+(-0.470526--0.611796))+0-164.6--0.167892000000026</f>
        <v>742.14224200000001</v>
      </c>
      <c r="M240" s="3">
        <f>1044.9+(453-555.5)+(-0.532899+(-0.23103--0.283305))+0-164.6--0.0839459999999833</f>
        <v>777.403322</v>
      </c>
      <c r="N240" s="3">
        <f>1045.5+(447-506.8)+(0+(0-0))+0-169.2-0</f>
        <v>816.5</v>
      </c>
      <c r="O240" s="3">
        <f>1040.8+(429.4-466.1)+(0.530808+(0.218994-0.237711))+0-167.3-0.085322999999983</f>
        <v>837.22676799999999</v>
      </c>
      <c r="P240" s="3">
        <f>1042.5+(446.5-470.2)+(1.595025+(0.683145-0.719406))+0-167.7-0.25658100000001</f>
        <v>852.40218300000004</v>
      </c>
      <c r="Q240" s="3">
        <f>1032.4+(453.3-464.5)+(1.053048+(0.462366-0.47379))+0-168.4-0.171768000000027</f>
        <v>853.66985599999998</v>
      </c>
      <c r="R240" s="3">
        <f>1022+(397-401.6)+(-3.12732+(-1.21482--1.228896))+0-172.4--0.52754400000002</f>
        <v>842.41430000000003</v>
      </c>
      <c r="S240" s="3">
        <f>1021.9+(367.1-389.7)+(-2.084676+(-0.748884--0.794988))+0-176--0.359039999999992</f>
        <v>821.62046799999985</v>
      </c>
      <c r="T240" s="3">
        <f>1017.9+(360.9-382.4)+(0+(0-0))+0-178.4-0</f>
        <v>818</v>
      </c>
      <c r="U240" s="3">
        <f>1017.6+(384.3-399.4)+(0.518976+(0.195993-0.203694))+0-176.2-0.0898619999999821</f>
        <v>826.7214130000001</v>
      </c>
      <c r="V240" s="3">
        <f>1025.9+(406.8-400.5)+(-0.523209+(-0.207468--0.204255))+0-180.8--0.0922079999999817</f>
        <v>850.96578600000021</v>
      </c>
      <c r="W240" s="3">
        <f>1026.3+(428.1-347.2)+(0+(0-0))+0-191.1-0</f>
        <v>916.1</v>
      </c>
      <c r="X240" s="3">
        <f>1069+(406.6-380.8)+(-1.63557+(-0.622098--0.582624))+0-183.2--0.280296000000011</f>
        <v>910.20525199999986</v>
      </c>
      <c r="Y240" s="3">
        <f>1069.5+(425.8-430.8)+(0+(0-0))+0-181-0</f>
        <v>883.5</v>
      </c>
      <c r="Z240" s="3">
        <f>1074.5+(414.9-452.4)+(-1.09599+(-0.423198--0.461448))+0-179.6--0.183192000000029</f>
        <v>856.52545200000009</v>
      </c>
      <c r="AA240" s="3">
        <f>1077.7+(437.9-482)+(-1.099254+(-0.446658--0.49164))+0-180.7--0.184314000000029</f>
        <v>852.03004199999987</v>
      </c>
      <c r="AB240" s="3">
        <f>1072.9+(436.6-499.8)+(-1.641537+(-0.667998--0.764694))+0-183.1--0.280143000000011</f>
        <v>825.33530200000007</v>
      </c>
      <c r="AC240" s="3">
        <f>1055.9+(457.5-541.6)+(-1.615527+(-0.699975--0.828648))+0-179.5--0.27463500000001</f>
        <v>791.08778100000006</v>
      </c>
      <c r="AD240">
        <v>883.1</v>
      </c>
      <c r="AE240" s="3">
        <f>1058+(395.7-357)+(0+(0-0))+0-200.6-0</f>
        <v>896.1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1053.9+(462.2-583.7)+(-1.612467+(-0.707166--0.893061))+0-177--0.27081000000001</f>
        <v>754.24423800000011</v>
      </c>
      <c r="G241" s="3">
        <f>1058.5+(427.1-569.8)+(-1.07967+(-0.435642--0.581196))+0-181.4--0.185028000000029</f>
        <v>733.65091200000006</v>
      </c>
      <c r="H241" s="3">
        <f>1059.6+(381.8-540.8)+(1.080792+(0.389436-0.551616))+0-179.8-0.183396000000029</f>
        <v>721.53521599999988</v>
      </c>
      <c r="I241" s="3">
        <f>1061.4+(421.3-581.9)+(0+(0-0))+0-181.4-0</f>
        <v>719.4000000000002</v>
      </c>
      <c r="J241" s="3">
        <f>1052.8+(432.8-577.5)+(-1.073856+(-0.441456--0.58905))+0-182.8--0.186456000000029</f>
        <v>724.56019400000002</v>
      </c>
      <c r="K241" s="3">
        <f>981.7+(472.8-528.4)+(-1.001334+(-0.482256--0.538968))+0-181.4--0.185028000000029</f>
        <v>743.94040600000017</v>
      </c>
      <c r="L241" s="3">
        <f>975.9+(465.4-485.1)+(-0.497709+(-0.237354--0.247401))+0-175.2--0.0893519999999822</f>
        <v>780.60168999999996</v>
      </c>
      <c r="M241" s="3">
        <f>973.8+(509.6-474.2)+(0+(0-0))+0-170.8-0</f>
        <v>838.40000000000009</v>
      </c>
      <c r="N241" s="3">
        <f>961.5+(546.7-451.4)+(0+(0-0))+0-171.8-0</f>
        <v>885.00000000000023</v>
      </c>
      <c r="O241" s="3">
        <f>963+(508.9-395.3)+(1.47339+(0.778617-0.604809))+0-169.8-0.25979400000001</f>
        <v>908.18740399999979</v>
      </c>
      <c r="P241" s="3">
        <f>968.6+(443.9-323.2)+(-1.481958+(-0.679167--0.494496))+0-166--0.25398000000001</f>
        <v>921.88735099999985</v>
      </c>
      <c r="Q241" s="3">
        <f>850.1+(474.9-244.7)+(-0.433551+(-0.242199--0.124797))+0-152--0.0775199999999846</f>
        <v>927.82656699999995</v>
      </c>
      <c r="R241" s="3">
        <f>831.7+(462.4-229.5)+(-1.272501+(-0.707472--0.351135))+0-151.5--0.231795000000009</f>
        <v>911.70295699999986</v>
      </c>
      <c r="S241" s="3">
        <f>974.6+(422.7-332.5)+(-1.491138+(-0.646731--0.508725))+0-154.3--0.236079000000009</f>
        <v>909.10693500000002</v>
      </c>
      <c r="T241" s="3">
        <f>992.1+(422-361)+(0+(0-0))+0-152.8-0</f>
        <v>900.3</v>
      </c>
      <c r="U241" s="3">
        <f>989.5+(444.4-384)+(-0.504645+(-0.226644--0.19584))+0-148--0.075479999999985</f>
        <v>901.44003100000009</v>
      </c>
      <c r="V241" s="3">
        <f>971.9+(454.1-359.7)+(-0.495669+(-0.231591--0.183447))+0-148.3--0.075632999999985</f>
        <v>917.53182000000004</v>
      </c>
      <c r="W241" s="3">
        <f>1027.6+(424.4-323.2)+(0+(0-0))+0-154-0</f>
        <v>974.8</v>
      </c>
      <c r="X241" s="3">
        <f>1080.5+(358.9-327.4)+(-1.653165+(-0.549117--0.500922))+0-156.3--0.239139000000009</f>
        <v>954.23777900000005</v>
      </c>
      <c r="Y241" s="3">
        <f>1087.4+(391.7-382)+(-2.77287+(-0.998835--0.9741))+0-165.9--0.423044999999976</f>
        <v>928.82544000000019</v>
      </c>
      <c r="Z241" s="3">
        <f>1091+(386.5-410.9)+(-2.22564+(-0.78846--0.838236))+0-169.9--0.346595999999993</f>
        <v>894.87073199999986</v>
      </c>
      <c r="AA241" s="3">
        <f>1094.3+(410.4-449.8)+(-1.116186+(-0.418608--0.458796))+0-167--0.170340000000027</f>
        <v>886.99434199999985</v>
      </c>
      <c r="AB241" s="3">
        <f>1092.2+(408-480.9)+(-2.78511+(-1.0404--1.226295))+0-162.9--0.415394999999976</f>
        <v>854.21618000000012</v>
      </c>
      <c r="AC241" s="3">
        <f>1074.4+(328.7-422.4)+(-0.547944+(-0.167637--0.215424))+0-165.3--0.0843029999999832</f>
        <v>814.98414600000012</v>
      </c>
      <c r="AD241">
        <v>940.8</v>
      </c>
      <c r="AE241" s="3">
        <f>1049+(419.1-345.3)+(0+(0-0))+0-169-0</f>
        <v>953.8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920.3+(280.8-254.5)+(-1.877412+(-0.572832--0.51918))+0-165.4--0.337415999999993</f>
        <v>779.6063519999999</v>
      </c>
      <c r="G242" s="3">
        <f>925+(294.8-293.6)+(-1.887+(-0.601392--0.598944))+0-168.4--0.343535999999993</f>
        <v>756.25408800000002</v>
      </c>
      <c r="H242" s="3">
        <f>928.8+(245-261.6)+(0+(0-0))+0-167-0</f>
        <v>745.19999999999993</v>
      </c>
      <c r="I242" s="3">
        <f>921.9+(247.6-253.4)+(-1.410507+(-0.378828--0.387702))+0-174.4--0.26683200000001</f>
        <v>740.56519900000001</v>
      </c>
      <c r="J242" s="3">
        <f>901.1+(261-247.2)+(0.459561+(0.13311-0.126072))+0-171.6-0.0875159999999826</f>
        <v>743.67908300000011</v>
      </c>
      <c r="K242" s="3">
        <f>902+(276.2-256)+(-0.46002+(-0.140862--0.13056))+0-172.9--0.0881789999999825</f>
        <v>748.91785700000003</v>
      </c>
      <c r="L242" s="3">
        <f>902.6+(307.3-257)+(-2.30163+(-0.783615--0.65535))+0-171.9--0.438344999999975</f>
        <v>779.00845000000015</v>
      </c>
      <c r="M242" s="3">
        <f>898.8+(322.3-216.6)+(0.458388+(0.164373-0.110466))+0-169.5-0.0864449999999828</f>
        <v>835.42584999999997</v>
      </c>
      <c r="N242" s="3">
        <f>894.6+(337.5-175.6)+(0.456246+(0.172125-0.089556))+0-171.4-0.0874139999999826</f>
        <v>885.55140100000017</v>
      </c>
      <c r="O242" s="3">
        <f>886.1+(332.4-159.9)+(-0.903822+(-0.339048--0.163098))+0-172.2--0.175644000000027</f>
        <v>885.49587199999985</v>
      </c>
      <c r="P242" s="3">
        <f>880.3+(342.9-152.8)+(0.448953+(0.174879-0.077928))+0-174.5-0.0889949999999823</f>
        <v>896.35690899999997</v>
      </c>
      <c r="Q242" s="3">
        <f>872.4+(374.6-153.7)+(-1.779696+(-0.764184--0.313548))+0-175.6--0.358223999999992</f>
        <v>915.82789199999979</v>
      </c>
      <c r="R242" s="3">
        <f>874.5+(380.2-167.3)+(-3.56796+(-1.551216--0.682584))+0-175.5--0.716039999999985</f>
        <v>908.17944800000009</v>
      </c>
      <c r="S242" s="3">
        <f>875.2+(353.4-157.7)+(-0.446352+(-0.180234--0.080427))+0-181.8--0.0927179999999816</f>
        <v>888.64655900000014</v>
      </c>
      <c r="T242" s="3">
        <f>889.8+(345.6-168.4)+(0+(0-0))+0-182-0</f>
        <v>885</v>
      </c>
      <c r="U242" s="3">
        <f>903.9+(333.7-177.8)+(-1.843956+(-0.680748--0.362712))+0-177.8--0.362711999999992</f>
        <v>880.20071999999993</v>
      </c>
      <c r="V242" s="3">
        <f>902.4+(367.8-182.8)+(0.460224+(0.187578-0.093228))+0-181.7-0.0926669999999816</f>
        <v>906.16190700000004</v>
      </c>
      <c r="W242" s="3">
        <f>933.3+(406.8-201.8)+(0+(0-0))+0-183.9-0</f>
        <v>954.4</v>
      </c>
      <c r="X242" s="3">
        <f>940.3+(385.6-206.1)+(-2.397765+(-0.98328--0.525555))+0-185.2--0.472259999999973</f>
        <v>932.21677</v>
      </c>
      <c r="Y242" s="3">
        <f>942+(351.6-212.7)+(0+(0-0))+0-175.7-0</f>
        <v>905.2</v>
      </c>
      <c r="Z242" s="3">
        <f>945.8+(328.7-208.2)+(-1.929432+(-0.670548--0.424728))+0-188--0.383519999999992</f>
        <v>876.50826799999993</v>
      </c>
      <c r="AA242" s="3">
        <f>944.1+(326-213.8)+(-0.481491+(-0.16626--0.109038))+0-191.1--0.0974609999999806</f>
        <v>864.75874799999997</v>
      </c>
      <c r="AB242" s="3">
        <f>928.3+(300-201)+(-1.420299+(-0.459--0.30753))+0-184--0.281520000000011</f>
        <v>842.00975100000005</v>
      </c>
      <c r="AC242" s="3">
        <f>926.8+(275.1-211)+(-3.781344+(-1.122408--0.86088))+0-172.9--0.705431999999985</f>
        <v>814.66255999999998</v>
      </c>
      <c r="AD242">
        <v>934.59999999999991</v>
      </c>
      <c r="AE242" s="3">
        <f>931+(408.3-203.9)+(0+(0-0))+0-187.8-0</f>
        <v>947.60000000000014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922.3+(344.5-260)+(-2.351865+(-0.878475--0.663))+0-177.6--0.452879999999974</f>
        <v>827.08553999999992</v>
      </c>
      <c r="G243" s="3">
        <f>924.5+(302.3-247.2)+(0.471495+(0.154173-0.126072))+0-180.7-0.0921569999999817</f>
        <v>799.30743900000004</v>
      </c>
      <c r="H243" s="3">
        <f>928.6+(288.9-262.2)+(-1.894344+(-0.589356--0.534888))+0-177.5--0.362099999999992</f>
        <v>776.21328799999992</v>
      </c>
      <c r="I243" s="3">
        <f>928+(270.2-250.1)+(0+(0-0))+0-180.1-0</f>
        <v>768</v>
      </c>
      <c r="J243" s="3">
        <f>929+(313-285.9)+(-0.94758+(-0.31926--0.291618))+0-181.6--0.185232000000029</f>
        <v>773.71001000000001</v>
      </c>
      <c r="K243" s="3">
        <f>927.5+(287.8-247.1)+(0.94605+(0.293556-0.252042))+0-180.7-0.184314000000029</f>
        <v>788.30324999999993</v>
      </c>
      <c r="L243" s="3">
        <f>929.5+(276-235.3)+(-0.94809+(-0.28152--0.240006))+0-171.7--0.175134000000027</f>
        <v>797.6855300000002</v>
      </c>
      <c r="M243" s="3">
        <f>932.9+(333.9-256)+(-0.951558+(-0.340578--0.26112))+0-176--0.179520000000028</f>
        <v>833.94850399999996</v>
      </c>
      <c r="N243" s="3">
        <f>924.4+(363.7-240.1)+(-0.471444+(-0.185487--0.122451))+0-175.1--0.0893009999999822</f>
        <v>872.45482099999992</v>
      </c>
      <c r="O243" s="3">
        <f>920.2+(373.9-222.8)+(-0.938604+(-0.381378--0.227256))+0-170.1--0.173502000000027</f>
        <v>900.28077599999983</v>
      </c>
      <c r="P243" s="3">
        <f>909.2+(394-208.9)+(-1.391076+(-0.60282--0.319617))+0-167.8--0.25673400000001</f>
        <v>925.08245499999998</v>
      </c>
      <c r="Q243" s="3">
        <f>891.8+(418.2-207.7)+(-0.909636+(-0.426564--0.211854))+0-161.5--0.164730000000026</f>
        <v>939.84038399999997</v>
      </c>
      <c r="R243" s="3">
        <f>889+(370.4-172.7)+(-1.36017+(-0.566712--0.264231))+0-167.5--0.25627500000001</f>
        <v>917.79362399999991</v>
      </c>
      <c r="S243" s="3">
        <f>887.2+(368.7-178)+(-1.357416+(-0.564111--0.27234))+0-171--0.26163000000001</f>
        <v>905.51244300000008</v>
      </c>
      <c r="T243" s="3">
        <f>889.2+(351.9-164.8)+(-1.813968+(-0.717876--0.336192))+0-173--0.352919999999992</f>
        <v>901.45726799999989</v>
      </c>
      <c r="U243" s="3">
        <f>892.1+(356.4-173)+(0+(0-0))+0-165.2-0</f>
        <v>910.3</v>
      </c>
      <c r="V243" s="3">
        <f>893+(419.5-199.7)+(0+(0-0))+0-174.7-0</f>
        <v>938.09999999999991</v>
      </c>
      <c r="W243" s="3">
        <f>911.5+(465.8-192.9)+(0.464865+(0.237558-0.098379))+0-181.5-0.0925649999999816</f>
        <v>1003.411479</v>
      </c>
      <c r="X243" s="3">
        <f>919.3+(453.6-201.5)+(0+(0-0))+0-180.1-0</f>
        <v>991.30000000000007</v>
      </c>
      <c r="Y243" s="3">
        <f>920+(426.7-207.4)+(0.4692+(0.217617-0.105774))+0-172.8-0.0881279999999825</f>
        <v>966.99291499999993</v>
      </c>
      <c r="Z243" s="3">
        <f>919.9+(398.4-207.8)+(-0.938298+(-0.406368--0.211956))+0-181.4--0.185028000000029</f>
        <v>928.15231799999992</v>
      </c>
      <c r="AA243" s="3">
        <f>921.3+(370-194.4)+(-0.939726+(-0.3774--0.198288))+0-185.6--0.18931200000003</f>
        <v>910.37047399999983</v>
      </c>
      <c r="AB243" s="3">
        <f>920.1+(340.3-192.3)+(-1.877004+(-0.694212--0.392292))+0-186.7--0.380867999999992</f>
        <v>879.60194399999978</v>
      </c>
      <c r="AC243" s="3">
        <f>918.6+(296.3-189.4)+(-1.873944+(-0.604452--0.386376))+0-186.1--0.379643999999992</f>
        <v>837.68762399999991</v>
      </c>
      <c r="AD243">
        <v>918.80000000000018</v>
      </c>
      <c r="AE243" s="3">
        <f>920+(401.4-207.8)+(0+(0-0))+0-181.8-0</f>
        <v>931.8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917.4+(261.4-230)+(0+(0-0))+0-184.1-0</f>
        <v>764.69999999999993</v>
      </c>
      <c r="G244" s="3">
        <f>910+(242-228.1)+(-2.3205+(-0.6171--0.581655))+0-181.7--0.463334999999974</f>
        <v>740.30739000000005</v>
      </c>
      <c r="H244" s="3">
        <f>896+(254.6-242.4)+(1.37088+(0.389538-0.370872))+0-181.6-0.27784800000001</f>
        <v>727.71169799999996</v>
      </c>
      <c r="I244" s="3">
        <f>902.9+(254.1-250.1)+(-0.920958+(-0.259182--0.255102))+0-180.5--0.184110000000029</f>
        <v>725.65907200000004</v>
      </c>
      <c r="J244" s="3">
        <f>900.8+(287.2-278.8)+(2.29704+(0.73236-0.71094))+0-179.6-0.457979999999974</f>
        <v>731.46047999999985</v>
      </c>
      <c r="K244" s="3">
        <f>907.1+(341.2-328.3)+(0.462621+(0.174012-0.167433))+0-180.4-0.0920039999999817</f>
        <v>739.97719600000005</v>
      </c>
      <c r="L244" s="3">
        <f>912.8+(373-325.6)+(-1.396584+(-0.57069--0.498168))+0-179.8--0.27509400000001</f>
        <v>779.20598799999982</v>
      </c>
      <c r="M244" s="3">
        <f>904.9+(349.5-239.8)+(0.461499+(0.178245-0.122298))+0-183.9-0.0937889999999813</f>
        <v>831.12365699999987</v>
      </c>
      <c r="N244" s="3">
        <f>894.7+(386-225)+(0.456297+(0.19686-0.11475))+0-180.4-0.0920039999999817</f>
        <v>875.7464030000001</v>
      </c>
      <c r="O244" s="3">
        <f>884.9+(395.2-206.2)+(-1.805196+(-0.806208--0.420648))+0-175--0.356999999999992</f>
        <v>897.0662440000001</v>
      </c>
      <c r="P244" s="3">
        <f>878+(381.9-184.1)+(-0.44778+(-0.194769--0.093891))+0-168.2--0.0857819999999829</f>
        <v>907.13712399999997</v>
      </c>
      <c r="Q244" s="3">
        <f>880.7+(390-174.1)+(0.449157+(0.1989-0.088791))+0-171.9-0.0876689999999826</f>
        <v>925.17159700000013</v>
      </c>
      <c r="R244" s="3">
        <f>878.2+(383.5-183.2)+(-1.343646+(-0.586755--0.280296))+0-170.7--0.26117100000001</f>
        <v>906.41106600000001</v>
      </c>
      <c r="S244" s="3">
        <f>884+(370.6-190.8)+(-1.35252+(-0.567018--0.291924))+0-167.3--0.25596900000001</f>
        <v>895.12835500000006</v>
      </c>
      <c r="T244" s="3">
        <f>885.4+(396.8-225.5)+(-0.451554+(-0.202368--0.115005))+0-165.6--0.0844559999999832</f>
        <v>890.64553899999987</v>
      </c>
      <c r="U244" s="3">
        <f>884.1+(413.2-236.7)+(-1.352673+(-0.632196--0.362151))+0-162.6--0.248778000000009</f>
        <v>896.62605999999982</v>
      </c>
      <c r="V244" s="3">
        <f>886.5+(467.1-259.6)+(-0.452115+(-0.238221--0.132396))+0-169.8--0.0865979999999828</f>
        <v>923.72865800000011</v>
      </c>
      <c r="W244" s="3">
        <f>893.7+(474.8-218.5)+(0.455787+(0.242148-0.111435))+0-170.6-0.0870059999999827</f>
        <v>979.89949399999989</v>
      </c>
      <c r="X244" s="3">
        <f>913.1+(429-202.4)+(-1.862724+(-0.87516--0.412896))+0-174.3--0.355571999999992</f>
        <v>963.43058399999995</v>
      </c>
      <c r="Y244" s="3">
        <f>916+(409.8-213.4)+(0+(0-0))+0-173.5-0</f>
        <v>938.90000000000009</v>
      </c>
      <c r="Z244" s="3">
        <f>962.2+(379.3-247.4)+(-0.490722+(-0.193443--0.126174))+0-184.6--0.0941459999999813</f>
        <v>909.03615500000024</v>
      </c>
      <c r="AA244" s="3">
        <f>965.3+(396.5-282.3)+(-2.953818+(-1.21329--0.863838))+0-186.8--0.571608000000022</f>
        <v>889.9683379999999</v>
      </c>
      <c r="AB244" s="3">
        <f>982.9+(395.9-318.7)+(-1.002558+(-0.403818--0.325074))+0-184--0.187680000000029</f>
        <v>875.20637799999986</v>
      </c>
      <c r="AC244" s="3">
        <f>990.6+(377.3-350.1)+(-3.536442+(-1.346961--1.249857))+0-179.6--0.641172000000003</f>
        <v>835.20762599999989</v>
      </c>
      <c r="AD244">
        <v>960.89999999999986</v>
      </c>
      <c r="AE244" s="3">
        <f>904+(448.6-205.2)+(0+(0-0))+0-172.5-0</f>
        <v>974.90000000000009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994.7+(361.5-362.8)+(-1.521891+(-0.553095--0.555084))+0-176.2--0.26958600000001</f>
        <v>815.94968400000005</v>
      </c>
      <c r="G245" s="3">
        <f>962.2+(376-363.2)+(-0.981444+(-0.38352--0.370464))+0-173.3--0.176766000000028</f>
        <v>800.88226600000007</v>
      </c>
      <c r="H245" s="3">
        <f>990.7+(352.9-390.8)+(0+(0-0))+0-173.8-0</f>
        <v>779</v>
      </c>
      <c r="I245" s="3">
        <f>1048.2+(341.4-450)+(0+(0-0))+0-172.6-0</f>
        <v>767</v>
      </c>
      <c r="J245" s="3">
        <f>1068.6+(363.1-486.5)+(1.089972+(0.370362-0.49623))+0-172-0.175440000000027</f>
        <v>773.98866399999997</v>
      </c>
      <c r="K245" s="3">
        <f>1071.1+(376.5-490.4)+(1.092522+(0.38403-0.500208))+0-169.7-0.173094000000027</f>
        <v>788.30324999999993</v>
      </c>
      <c r="L245" s="3">
        <f>1071.6+(398.8-477.2)+(1.639548+(0.610164-0.730116))+0-168.7-0.25811100000001</f>
        <v>825.76148499999988</v>
      </c>
      <c r="M245" s="3">
        <f>1090.5+(487.4-515.8)+(1.668465+(0.745722-0.789174))+0-172.8-0.26438400000001</f>
        <v>890.66062899999997</v>
      </c>
      <c r="N245" s="3">
        <f>1071+(515.2-478.8)+(-0.54621+(-0.262752--0.244188))+0-180.8--0.0922079999999817</f>
        <v>926.12743400000022</v>
      </c>
      <c r="O245" s="3">
        <f>1036.9+(482.9-417.2)+(-0.528819+(-0.246279--0.212772))+0-177.2--0.090371999999982</f>
        <v>924.92804600000011</v>
      </c>
      <c r="P245" s="3">
        <f>1065.8+(448-416.9)+(-0.543558+(-0.22848--0.212619))+0-165.7--0.0845069999999832</f>
        <v>930.72508800000014</v>
      </c>
      <c r="Q245" s="3">
        <f>1090.4+(434-417.9)+(-1.668312+(-0.66402--0.639387))+0-155.8--0.238374000000009</f>
        <v>949.24542900000006</v>
      </c>
      <c r="R245" s="3">
        <f>1140.1+(433.5-492.5)+(-1.744353+(-0.663255--0.753525))+0-153.9--0.235467000000009</f>
        <v>925.781384</v>
      </c>
      <c r="S245" s="3">
        <f>1198.8+(292.1-418.7)+(-2.445552+(-0.595884--0.854148))+0-162.3--0.331091999999993</f>
        <v>908.04380400000002</v>
      </c>
      <c r="T245" s="3">
        <f>1216.7+(330.4-482.6)+(-0.620517+(-0.168504--0.246126))+0-173.2--0.0883319999999824</f>
        <v>890.84543699999995</v>
      </c>
      <c r="U245" s="3">
        <f>1238.7+(367.5-549.8)+(1.895211+(0.562275-0.841194))+0-171.9-0.26300700000001</f>
        <v>885.85328500000003</v>
      </c>
      <c r="V245" s="3">
        <f>1245.6+(413.8-559.3)+(-3.17628+(-1.05519--1.426215))+0-178.5--0.455174999999974</f>
        <v>919.24991999999986</v>
      </c>
      <c r="W245" s="3">
        <f>1262.5+(396.2-494.6)+(0.643875+(0.202062-0.252246))+0-179.6-0.0915959999999818</f>
        <v>985.00209499999994</v>
      </c>
      <c r="X245" s="3">
        <f>1281+(381.1-521.3)+(-3.91986+(-1.166166--1.595178))+0-172.9--0.52907400000002</f>
        <v>964.93822600000033</v>
      </c>
      <c r="Y245" s="3">
        <f>1263.9+(356-510.5)+(-1.289178+(-0.36312--0.52071))+0-166--0.169320000000026</f>
        <v>942.4377320000001</v>
      </c>
      <c r="Z245" s="3">
        <f>1272.4+(370.1-547.5)+(-2.595696+(-0.755004--1.1169))+0-175.1--0.357203999999992</f>
        <v>918.02340400000003</v>
      </c>
      <c r="AA245" s="3">
        <f>1269.8+(382.5-569.5)+(-3.23799+(-0.975375--1.452225))+0-182.1--0.464354999999974</f>
        <v>898.40321499999982</v>
      </c>
      <c r="AB245" s="3">
        <f>1273.7+(339.1-566.8)+(-1.948761+(-0.518823--0.867204))+0-179.7--0.27494100000001</f>
        <v>864.97456099999988</v>
      </c>
      <c r="AC245" s="3">
        <f>1192.9+(326.8-519.6)+(-1.216758+(-0.333336--0.529992))+0-177.5--0.181050000000028</f>
        <v>821.76094800000021</v>
      </c>
      <c r="AD245">
        <v>1015.0999999999999</v>
      </c>
      <c r="AE245" s="3">
        <f>1268+(422.5-483.7)+(0+(0-0))+0-178.7-0</f>
        <v>1028.0999999999999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963.6+(355-354.7)+(0.982872+(0.3621-0.361794))+0-170.3-0.173706000000027</f>
        <v>794.40947200000005</v>
      </c>
      <c r="G246" s="3">
        <f>908.5+(398.5-365.6)+(-0.92667+(-0.40647--0.372912))+0-171--0.174420000000027</f>
        <v>769.614192</v>
      </c>
      <c r="H246" s="3">
        <f>913+(388.5-374.8)+(0.46563+(0.198135-0.191148))+0-170.7-0.0870569999999827</f>
        <v>756.38556000000017</v>
      </c>
      <c r="I246" s="3">
        <f>913+(381.2-380.1)+(0.46563+(0.194412-0.193851))+0-166.2-0.0847619999999831</f>
        <v>748.28142899999989</v>
      </c>
      <c r="J246" s="3">
        <f>916.2+(428.1-422.6)+(-0.934524+(-0.436662--0.431052))+0-172.4--0.175848000000027</f>
        <v>748.5357140000001</v>
      </c>
      <c r="K246" s="3">
        <f>914.8+(449.6-426.2)+(0.933096+(0.458592-0.434724))+0-170.4-0.173808000000027</f>
        <v>768.58315600000003</v>
      </c>
      <c r="L246" s="3">
        <f>915.7+(494.5-433.8)+(-0.934014+(-0.50439--0.442476))+0-170.2--0.173604000000027</f>
        <v>805.37767600000006</v>
      </c>
      <c r="M246" s="3">
        <f>911.4+(501.7-390.6)+(-0.464814+(-0.255867--0.199206))+0-172.9--0.0881789999999825</f>
        <v>849.16670399999998</v>
      </c>
      <c r="N246" s="3">
        <f>896.9+(511.8-341.7)+(0+(0-0))+0-178.8-0</f>
        <v>888.2</v>
      </c>
      <c r="O246" s="3">
        <f>892.9+(538.6-344.2)+(0.455379+(0.274686-0.175542))+0-181.1-0.0923609999999816</f>
        <v>906.66216199999997</v>
      </c>
      <c r="P246" s="3">
        <f>888.1+(516.7-308.8)+(-0.905862+(-0.527034--0.314976))+0-183.2--0.186864000000029</f>
        <v>911.86894400000006</v>
      </c>
      <c r="Q246" s="3">
        <f>887.6+(521-304.4)+(-2.26338+(-1.32855--0.77622))+0-181--0.461549999999974</f>
        <v>920.84583999999995</v>
      </c>
      <c r="R246" s="3">
        <f>882.2+(530.3-307.9)+(-1.349766+(-0.811359--0.471087))+0-180.5--0.27616500000001</f>
        <v>922.68612699999994</v>
      </c>
      <c r="S246" s="3">
        <f>876.8+(504-296.9)+(-0.894336+(-0.51408--0.302838))+0-172.9--0.176358000000028</f>
        <v>910.07078000000024</v>
      </c>
      <c r="T246" s="3">
        <f>880.8+(497.2-307.3)+(1.347624+(0.760716-0.470169))+0-160.1-0.244953000000009</f>
        <v>911.99321799999984</v>
      </c>
      <c r="U246" s="3">
        <f>881.8+(505.5-313.9)+(0.449718+(0.257805-0.160089))+0-161.9-0.0825689999999836</f>
        <v>911.96486500000015</v>
      </c>
      <c r="V246" s="3">
        <f>891.6+(541.8-331.8)+(0+(0-0))+0-163.6-0</f>
        <v>937.99999999999989</v>
      </c>
      <c r="W246" s="3">
        <f>897.4+(551.6-298.4)+(0+(0-0))+0-169.1-0</f>
        <v>981.49999999999989</v>
      </c>
      <c r="X246" s="3">
        <f>900.9+(538-293.5)+(-1.378377+(-0.82314--0.449055))+0-177.2--0.27111600000001</f>
        <v>966.71865400000013</v>
      </c>
      <c r="Y246" s="3">
        <f>901.8+(533.7-307.5)+(-2.29959+(-1.360935--0.784125))+0-183.8--0.468689999999973</f>
        <v>941.79228999999987</v>
      </c>
      <c r="Z246" s="3">
        <f>903+(519.9-318.2)+(0+(0-0))+0-187.6-0</f>
        <v>917.1</v>
      </c>
      <c r="AA246" s="3">
        <f>899.3+(495.4-310.9)+(-2.293215+(-1.26327--0.792795))+0-186.4--0.475319999999973</f>
        <v>895.11162999999999</v>
      </c>
      <c r="AB246" s="3">
        <f>900+(474.6-324.2)+(-1.836+(-0.968184--0.661368))+0-184.5--0.376379999999992</f>
        <v>864.13356400000009</v>
      </c>
      <c r="AC246" s="3">
        <f>905.9+(401.5-303.5)+(-1.848036+(-0.81906--0.61914))+0-181--0.369239999999992</f>
        <v>821.22128399999997</v>
      </c>
      <c r="AD246">
        <v>972.00000000000023</v>
      </c>
      <c r="AE246" s="3">
        <f>894+(540.9-279.1)+(0+(0-0))+0-171.8-0</f>
        <v>984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894.4+(368.9-299.7)+(-1.368432+(-0.564417--0.458541))+0-181.1--0.27708300000001</f>
        <v>781.302775</v>
      </c>
      <c r="G247" s="3">
        <f>898.2+(398-363.4)+(0+(0-0))+0-172.1-0</f>
        <v>760.7</v>
      </c>
      <c r="H247" s="3">
        <f>901.6+(425-398.8)+(0+(0-0))+0-181.3-0</f>
        <v>746.5</v>
      </c>
      <c r="I247" s="3">
        <f>902.4+(462.3-450.3)+(0+(0-0))+0-176.2-0</f>
        <v>738.2</v>
      </c>
      <c r="J247" s="3">
        <f>902.5+(492.2-474.8)+(1.8411+(1.004088-0.968592))+0-179.1-0.365363999999992</f>
        <v>742.3112319999999</v>
      </c>
      <c r="K247" s="3">
        <f>911.2+(517.3-496.9)+(1.858848+(1.055292-1.013676))+0-177.2-0.361487999999992</f>
        <v>755.93897600000014</v>
      </c>
      <c r="L247" s="3">
        <f>909+(561.4-506.1)+(0.92718+(0.572628-0.516222))+0-177.9-0.181458000000028</f>
        <v>787.2021279999999</v>
      </c>
      <c r="M247" s="3">
        <f>909.2+(556.4-456.8)+(0+(0-0))+0-174.7-0</f>
        <v>834.09999999999991</v>
      </c>
      <c r="N247" s="3">
        <f>891.8+(524.3-371.4)+(0.454818+(0.267393-0.189414))+0-172.8-0.0881279999999825</f>
        <v>872.34466899999995</v>
      </c>
      <c r="O247" s="3">
        <f>886.2+(501.3-317.1)+(0.903924+(0.511326-0.323442))+0-173.2-0.176664000000028</f>
        <v>898.11514399999987</v>
      </c>
      <c r="P247" s="3">
        <f>881.1+(488.6-280.8)+(-0.449361+(-0.249186--0.143208))+0-184.6--0.0941459999999813</f>
        <v>903.83880700000009</v>
      </c>
      <c r="Q247" s="3">
        <f>881.7+(507.4-287.6)+(-2.698002+(-1.552644--0.880056))+0-181.5--0.555390000000021</f>
        <v>917.1848</v>
      </c>
      <c r="R247" s="3">
        <f>879.1+(485.8-282.4)+(-1.793364+(-0.991032--0.576096))+0-177.8--0.362711999999992</f>
        <v>902.85441200000002</v>
      </c>
      <c r="S247" s="3">
        <f>877.9+(476.5-269.7)+(-0.447729+(-0.243015--0.137547))+0-182.4--0.0930239999999815</f>
        <v>901.83982700000013</v>
      </c>
      <c r="T247" s="3">
        <f>877.4+(436.8-229.7)+(0+(0-0))+0-186.8-0</f>
        <v>897.7</v>
      </c>
      <c r="U247" s="3">
        <f>878.9+(446.7-241.3)+(0.448239+(0.227817-0.123063))+0-177.6-0.090575999999982</f>
        <v>907.162417</v>
      </c>
      <c r="V247" s="3">
        <f>881+(479.7-248.2)+(0.44931+(0.244647-0.126582))+0-183.1-0.0933809999999814</f>
        <v>929.87399400000004</v>
      </c>
      <c r="W247" s="3">
        <f>888.3+(576.2-299.3)+(-0.453033+(-0.293862--0.152643))+0-181.9--0.0927689999999815</f>
        <v>982.79851699999995</v>
      </c>
      <c r="X247" s="3">
        <f>900.3+(545.7-301.3)+(0+(0-0))+0-182.3-0</f>
        <v>962.40000000000009</v>
      </c>
      <c r="Y247" s="3">
        <f>896.4+(538.8-314)+(-1.828656+(-1.099152--0.64056))+0-183.6--0.374543999999992</f>
        <v>935.68729599999972</v>
      </c>
      <c r="Z247" s="3">
        <f>900.1+(514.8-319)+(-0.459051+(-0.262548--0.16269))+0-181--0.0923099999999816</f>
        <v>914.433401</v>
      </c>
      <c r="AA247" s="3">
        <f>905.6+(487.2-321)+(-1.847424+(-0.993888--0.65484))+0-179.7--0.366587999999992</f>
        <v>890.28011599999979</v>
      </c>
      <c r="AB247" s="3">
        <f>909.2+(421.1-291.3)+(-1.391076+(-0.644283--0.445689))+0-174.1--0.26637300000001</f>
        <v>863.57670299999995</v>
      </c>
      <c r="AC247" s="3">
        <f>907.4+(306.2-225.5)+(-1.388322+(-0.468486--0.345015))+0-163--0.249390000000009</f>
        <v>823.83759699999996</v>
      </c>
      <c r="AD247">
        <v>952.29999999999984</v>
      </c>
      <c r="AE247" s="3">
        <f>899+(551.8-303.1)+(0+(0-0))+0-182.4-0</f>
        <v>965.29999999999984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904.9+(303.1-252.2)+(-0.922998+(-0.309162--0.257244))+0-161.6--0.164832000000026</f>
        <v>793.38991599999997</v>
      </c>
      <c r="G248" s="3">
        <f>906.6+(351.1-323.2)+(-0.924732+(-0.358122--0.329664))+0-162.2--0.165444000000026</f>
        <v>771.51225399999998</v>
      </c>
      <c r="H248" s="3">
        <f>915.1+(319.4-322.6)+(-0.933402+(-0.325788--0.329052))+0-162.4--0.165648000000026</f>
        <v>748.73550999999998</v>
      </c>
      <c r="I248" s="3">
        <f>912.2+(302.8-310.1)+(-0.465222+(-0.154428--0.158151))+0-162--0.0826199999999836</f>
        <v>742.52112100000011</v>
      </c>
      <c r="J248" s="3">
        <f>898.3+(341.2-324.9)+(0.916266+(0.348024-0.331398))+0-161.4-0.164628000000026</f>
        <v>753.96826399999998</v>
      </c>
      <c r="K248" s="3">
        <f>901.4+(376.2-350)+(0.919428+(0.383724-0.357))+0-155-0.158100000000025</f>
        <v>773.3880519999999</v>
      </c>
      <c r="L248" s="3">
        <f>901.3+(432.1-376.7)+(-0.459663+(-0.220371--0.192117))+0-153.4--0.0782339999999844</f>
        <v>802.89031699999998</v>
      </c>
      <c r="M248" s="3">
        <f>909.3+(472.5-388.7)+(0+(0-0))+0-157.2-0</f>
        <v>835.89999999999986</v>
      </c>
      <c r="N248" s="3">
        <f>909.4+(520.7-416)+(-0.463794+(-0.265557--0.21216))+0-157.1--0.0801209999999841</f>
        <v>856.56292999999994</v>
      </c>
      <c r="O248" s="3">
        <f>904.5+(549.2-455.6)+(0.461295+(0.280092-0.232356))+0-153.6-0.0783359999999844</f>
        <v>844.93069500000001</v>
      </c>
      <c r="P248" s="3">
        <f>902.9+(556.6-450.4)+(-0.460479+(-0.283866--0.229704))+0-161--0.0821099999999837</f>
        <v>847.66746899999998</v>
      </c>
      <c r="Q248" s="3">
        <f>898.5+(573.4-459)+(-1.83294+(-1.169736--0.93636))+0-157.8--0.321911999999993</f>
        <v>853.35559599999999</v>
      </c>
      <c r="R248" s="3">
        <f>890+(572.1-465.8)+(-2.2695+(-1.458855--1.18779))+0-160.3--0.408764999999977</f>
        <v>833.8682</v>
      </c>
      <c r="S248" s="3">
        <f>908.3+(543.1-471.2)+(-1.852932+(-1.107924--0.961248))+0-168.9--0.344555999999993</f>
        <v>809.64494800000011</v>
      </c>
      <c r="T248" s="3">
        <f>934.9+(505.5-479.1)+(-1.430397+(-0.773415--0.733023))+0-167.8--0.25673400000001</f>
        <v>792.28594500000008</v>
      </c>
      <c r="U248" s="3">
        <f>935.3+(507.6-482.5)+(-0.954006+(-0.517752--0.49215))+0-160.8--0.164016000000026</f>
        <v>798.7844080000001</v>
      </c>
      <c r="V248" s="3">
        <f>939+(469.6-406.4)+(-0.95778+(-0.478992--0.414528))+0-166.4--0.169728000000027</f>
        <v>834.94748400000014</v>
      </c>
      <c r="W248" s="3">
        <f>1013.2+(452.2-396.6)+(0.516732+(0.230622-0.202266))+0-171-0.0872099999999826</f>
        <v>898.25787800000001</v>
      </c>
      <c r="X248" s="3">
        <f>1118.5+(427.6-486.3)+(-3.42261+(-1.308456--1.488078))+0-171.4--0.52448400000002</f>
        <v>885.68149600000004</v>
      </c>
      <c r="Y248" s="3">
        <f>1106.9+(477.4-549.1)+(-3.951633+(-1.704318--1.960287))+0-168--0.599760000000002</f>
        <v>864.10409599999991</v>
      </c>
      <c r="Z248" s="3">
        <f>1112.3+(448.9-553.4)+(-1.701819+(-0.686817--0.846702))+0-174.4--0.26683200000001</f>
        <v>832.12489800000003</v>
      </c>
      <c r="AA248" s="3">
        <f>1101.8+(424.8-542)+(-1.123836+(-0.433296--0.55284))+0-172.6--0.176052000000028</f>
        <v>811.17175999999995</v>
      </c>
      <c r="AB248" s="3">
        <f>1100.3+(412.1-561.5)+(-1.683459+(-0.630513--0.859095))+0-169.7--0.25964100000001</f>
        <v>780.00476399999991</v>
      </c>
      <c r="AC248" s="3">
        <f>1104.5+(342.8-540)+(-0.563295+(-0.174828--0.2754))+0-163.8--0.0835379999999834</f>
        <v>743.12081499999988</v>
      </c>
      <c r="AD248">
        <v>872.50000000000023</v>
      </c>
      <c r="AE248" s="3">
        <f>1114+(420.4-478.1)+(0+(0-0))+0-169.8-0</f>
        <v>886.5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1102.2+(280.9-500.8)+(-1.686366+(-0.429777--0.766224))+0-165--0.25245000000001</f>
        <v>716.20253099999991</v>
      </c>
      <c r="G249" s="3">
        <f>1102.3+(266.9-512.5)+(-1.124346+(-0.272238--0.52275))+0-164.1--0.167382000000026</f>
        <v>691.8935479999999</v>
      </c>
      <c r="H249" s="3">
        <f>1099.5+(262.4-520.6)+(-2.24298+(-0.535296--1.062024))+0-169.8--0.346391999999993</f>
        <v>670.13013999999987</v>
      </c>
      <c r="I249" s="3">
        <f>1071.1+(260.9-496)+(1.092522+(0.266118-0.50592))+0-167.6-0.170952000000027</f>
        <v>669.08176799999978</v>
      </c>
      <c r="J249" s="3">
        <f>1053.5+(263.2-490.8)+(-2.14914+(-0.536928--1.001232))+0-164.3--0.335171999999993</f>
        <v>660.25033599999995</v>
      </c>
      <c r="K249" s="3">
        <f>1054.8+(289.3-522)+(-1.613844+(-0.442629--0.79866))+0-169--0.25857000000001</f>
        <v>652.10075699999982</v>
      </c>
      <c r="L249" s="3">
        <f>1026.5+(308.9-478.3)+(0+(0-0))+0-172.4-0</f>
        <v>684.69999999999993</v>
      </c>
      <c r="M249" s="3">
        <f>1021.1+(314.4-413.8)+(0+(0-0))+0-174.6-0</f>
        <v>747.1</v>
      </c>
      <c r="N249" s="3">
        <f>887.4+(374.3-297.8)+(0.905148+(0.381786-0.303756))+0-176.9-0.180438000000028</f>
        <v>787.80273999999997</v>
      </c>
      <c r="O249" s="3">
        <f>878.2+(370.4-254.1)+(-0.447882+(-0.188904--0.129591))+0-176.5--0.0900149999999821</f>
        <v>817.58281999999997</v>
      </c>
      <c r="P249" s="3">
        <f>906+(379.2-273.6)+(-0.46206+(-0.193392--0.139536))+0-188.4--0.0960839999999809</f>
        <v>822.780168</v>
      </c>
      <c r="Q249" s="3">
        <f>1026+(353.3-353.3)+(-1.56978+(-0.540549--0.540549))+0-191.2--0.292536000000011</f>
        <v>833.52275599999996</v>
      </c>
      <c r="R249" s="3">
        <f>1063.6+(281.6-317.4)+(-2.169744+(-0.574464--0.647496))+0-194.9--0.397595999999992</f>
        <v>831.20088399999997</v>
      </c>
      <c r="S249" s="3">
        <f>1076.3+(262.3-328.6)+(1.097826+(0.267546-0.335172))+0-196.4-0.200328000000031</f>
        <v>814.42987200000005</v>
      </c>
      <c r="T249" s="3">
        <f>1078+(327.3-407.4)+(-0.54978+(-0.166923--0.207774))+0-193.8--0.0988379999999803</f>
        <v>803.68990900000006</v>
      </c>
      <c r="U249" s="3">
        <f>1072.9+(309-379)+(-0.547179+(-0.15759--0.19329))+0-188.8--0.0962879999999808</f>
        <v>813.68480900000009</v>
      </c>
      <c r="V249" s="3">
        <f>1076.5+(325.7-356.6)+(-0.549015+(-0.166107--0.181866))+0-198.3--0.10113299999998</f>
        <v>846.86787700000002</v>
      </c>
      <c r="W249" s="3">
        <f>1075.1+(325.2-276.9)+(0.548301+(0.165852-0.141219))+0-205.5-0.104804999999979</f>
        <v>918.36812899999995</v>
      </c>
      <c r="X249" s="3">
        <f>1081.9+(307.9-288)+(-3.310614+(-0.942174--0.88128))+0-200.9--0.614754000000023</f>
        <v>898.14324600000032</v>
      </c>
      <c r="Y249" s="3">
        <f>1087.3+(300.9-319.2)+(-1.663569+(-0.460377--0.488376))+0-195.5--0.299115000000011</f>
        <v>872.16354500000011</v>
      </c>
      <c r="Z249" s="3">
        <f>1092+(290.6-345.3)+(-2.22768+(-0.592824--0.704412))+0-196.1--0.400043999999991</f>
        <v>839.48395199999993</v>
      </c>
      <c r="AA249" s="3">
        <f>1092.4+(308.7-368.3)+(-1.114248+(-0.314874--0.375666))+0-199.4--0.203388000000032</f>
        <v>832.54993200000013</v>
      </c>
      <c r="AB249" s="3">
        <f>1096.3+(326.5-422.8)+(-1.677339+(-0.499545--0.646884))+0-196.9--0.301257000000011</f>
        <v>801.87125700000001</v>
      </c>
      <c r="AC249" s="3">
        <f>1104.2+(291.5-431.9)+(-3.378852+(-0.89199--1.321614))+0-178.4--0.545904000000021</f>
        <v>782.99667600000021</v>
      </c>
      <c r="AD249">
        <v>928.59999999999991</v>
      </c>
      <c r="AE249" s="3">
        <f>1079+(307.7-271.1)+(0+(0-0))+0-173-0</f>
        <v>942.59999999999991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1101.8+(206-373.4)+(1.123836+(0.21012-0.380868))+0-178.6-0.182172000000028</f>
        <v>756.5709159999999</v>
      </c>
      <c r="G250" s="3">
        <f>1103.6+(225.3-417)+(-1.688508+(-0.344709--0.63801))+0-178.1--0.27249300000001</f>
        <v>732.67728599999987</v>
      </c>
      <c r="H250" s="3">
        <f>1104.9+(202.2-407.1)+(-1.690497+(-0.309366--0.622863))+0-176.5--0.27004500000001</f>
        <v>722.39304500000003</v>
      </c>
      <c r="I250" s="3">
        <f>1106+(208.9-413.3)+(-1.12812+(-0.213078--0.421566))+0-180--0.183600000000029</f>
        <v>720.86396800000011</v>
      </c>
      <c r="J250" s="3">
        <f>1107.9+(254.8-460.3)+(-1.695087+(-0.389844--0.704259))+0-179.6--0.27478800000001</f>
        <v>721.69411600000012</v>
      </c>
      <c r="K250" s="3">
        <f>1107.3+(186.1-399.3)+(-1.129446+(-0.189822--0.407286))+0-170.9--0.174318000000027</f>
        <v>722.46233599999994</v>
      </c>
      <c r="L250" s="3">
        <f>1087.6+(180.5-350)+(-3.882732+(-0.644385--1.2495))+0-175.9--0.627963000000002</f>
        <v>739.55034599999999</v>
      </c>
      <c r="M250" s="3">
        <f>1047.2+(213.6-305.5)+(-1.068144+(-0.217872--0.31161))+0-177.8--0.181356000000028</f>
        <v>776.70695000000001</v>
      </c>
      <c r="N250" s="3">
        <f>1053.2+(197-251.8)+(0.537132+(0.10047-0.128418))+0-181.8-0.0927179999999816</f>
        <v>817.01646600000015</v>
      </c>
      <c r="O250" s="3">
        <f>1091.4+(199.8-264.4)+(-2.78307+(-0.50949--0.67422))+0-174.5--0.444974999999975</f>
        <v>850.12663500000019</v>
      </c>
      <c r="P250" s="3">
        <f>1094.4+(213.2-268)+(-1.674432+(-0.326196--0.41004))+0-171.8--0.26285400000001</f>
        <v>866.47226600000022</v>
      </c>
      <c r="Q250" s="3">
        <f>1086.5+(210.2-255)+(-1.10823+(-0.214404--0.2601))+0-168.3--0.171666000000027</f>
        <v>872.50913200000025</v>
      </c>
      <c r="R250" s="3">
        <f>1081.5+(210.9-252.3)+(-2.20626+(-0.430236--0.514692))+0-173.2--0.353327999999992</f>
        <v>865.13152399999979</v>
      </c>
      <c r="S250" s="3">
        <f>1069.4+(218.5-248.7)+(-1.636182+(-0.334305--0.380511))+0-180--0.27540000000001</f>
        <v>857.88542400000006</v>
      </c>
      <c r="T250" s="3">
        <f>1067.5+(212-240.5)+(0+(0-0))+0-181.9-0</f>
        <v>857.1</v>
      </c>
      <c r="U250" s="3">
        <f>1065.2+(205.7-233.8)+(-0.543252+(-0.104907--0.119238))+0-179.2--0.0913919999999818</f>
        <v>857.46247099999971</v>
      </c>
      <c r="V250" s="3">
        <f>1070.5+(241.5-238.9)+(1.09191+(0.24633-0.243678))+0-182.1-0.185742000000029</f>
        <v>891.90881999999988</v>
      </c>
      <c r="W250" s="3">
        <f>964.3+(343.2-174.8)+(1.475379+(0.525096-0.267444))+0-183.6-0.280908000000011</f>
        <v>950.55212299999971</v>
      </c>
      <c r="X250" s="3">
        <f>1036.4+(280.8-197.8)+(-1.057128+(-0.286416--0.201756))+0-184.5--0.188190000000029</f>
        <v>933.94640200000026</v>
      </c>
      <c r="Y250" s="3">
        <f>1083.5+(231.3-215.4)+(-1.10517+(-0.235926--0.219708))+0-183.5--0.187170000000029</f>
        <v>914.9657820000001</v>
      </c>
      <c r="Z250" s="3">
        <f>1086.1+(204.9-216.7)+(-1.107822+(-0.208998--0.221034))+0-186--0.18972000000003</f>
        <v>887.39393399999994</v>
      </c>
      <c r="AA250" s="3">
        <f>1077.2+(191.1-216)+(-1.648116+(-0.292383--0.33048))+0-186.4--0.285192000000011</f>
        <v>864.57517300000006</v>
      </c>
      <c r="AB250" s="3">
        <f>1073.2+(180.4-253.3)+(-0.547332+(-0.092004--0.129183))+0-180.6--0.0921059999999817</f>
        <v>819.28195300000004</v>
      </c>
      <c r="AC250" s="3">
        <f>1083.7+(191.3-310.8)+(-1.658061+(-0.292689--0.475524))+0-178.7--0.27341100000001</f>
        <v>784.29818499999999</v>
      </c>
      <c r="AD250">
        <v>923.69999999999993</v>
      </c>
      <c r="AE250" s="3">
        <f>943+(358.2-184.9)+(0+(0-0))+0-180.6-0</f>
        <v>935.69999999999993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1092.5+(202.4-362.5)+(-0.557175+(-0.103224--0.184875))+0-179.2--0.0913919999999818</f>
        <v>752.81586800000002</v>
      </c>
      <c r="G251" s="3">
        <f>1051.8+(194.7-329.4)+(0+(0-0))+0-176.7-0</f>
        <v>740.39999999999986</v>
      </c>
      <c r="H251" s="3">
        <f>1046.4+(212.1-355)+(1.067328+(0.216342-0.3621))+0-178.5-0.182070000000028</f>
        <v>725.73950000000002</v>
      </c>
      <c r="I251" s="3">
        <f>1045.9+(181.8-334.2)+(2.667045+(0.46359-0.85221))+0-180.3-0.459764999999974</f>
        <v>715.01866000000007</v>
      </c>
      <c r="J251" s="3">
        <f>1043.2+(247.4-382.8)+(-0.532032+(-0.126174--0.195228))+0-182.4--0.0930239999999815</f>
        <v>725.03004600000008</v>
      </c>
      <c r="K251" s="3">
        <f>1004.9+(255.7-332.5)+(2.049996+(0.521628-0.6783))+0-181.6-0.370463999999992</f>
        <v>748.02285999999992</v>
      </c>
      <c r="L251" s="3">
        <f>1032.6+(281.3-351.9)+(1.579878+(0.430389-0.538407))+0-180.6-0.27631800000001</f>
        <v>782.59554199999991</v>
      </c>
      <c r="M251" s="3">
        <f>1057.3+(261.1-304.4)+(-1.078446+(-0.266322--0.310488))+0-184.9--0.188598000000029</f>
        <v>828.25431800000013</v>
      </c>
      <c r="N251" s="3">
        <f>1088.4+(310-340.4)+(1.110168+(0.3162-0.347208))+0-183.4-0.187068000000029</f>
        <v>875.49209199999996</v>
      </c>
      <c r="O251" s="3">
        <f>1101.1+(380.7-411.4)+(-1.684683+(-0.582471--0.629442))+0-180.6--0.27631800000001</f>
        <v>888.43860599999994</v>
      </c>
      <c r="P251" s="3">
        <f>1097.5+(415.2-436.9)+(1.11945+(0.423504-0.445638))+0-183.7-0.187374000000029</f>
        <v>893.00994200000002</v>
      </c>
      <c r="Q251" s="3">
        <f>1104+(348.7-371.8)+(0+(0-0))+0-181.2-0</f>
        <v>899.7</v>
      </c>
      <c r="R251" s="3">
        <f>1109.3+(356.7-389)+(-1.697229+(-0.545751--0.59517))+0-179--0.27387000000001</f>
        <v>896.62606000000005</v>
      </c>
      <c r="S251" s="3">
        <f>1099.2+(407.4-442.5)+(-0.560592+(-0.207774--0.225675))+0-182.4--0.0930239999999815</f>
        <v>881.25033299999984</v>
      </c>
      <c r="T251" s="3">
        <f>1097.3+(375.8-404)+(-0.559623+(-0.191658--0.20604))+0-187.2--0.095471999999981</f>
        <v>881.4502309999998</v>
      </c>
      <c r="U251" s="3">
        <f>1095.9+(372.1-394.6)+(-1.676727+(-0.569313--0.603738))+0-186.2--0.284886000000011</f>
        <v>885.8425840000001</v>
      </c>
      <c r="V251" s="3">
        <f>1102.8+(408.4-404.2)+(1.124856+(0.416568-0.412284))+0-185.7-0.18941400000003</f>
        <v>922.23972599999991</v>
      </c>
      <c r="W251" s="3">
        <f>1108.9+(370.9-309.4)+(0.565539+(0.189159-0.157794))+0-183.8-0.0937379999999814</f>
        <v>987.1031660000001</v>
      </c>
      <c r="X251" s="3">
        <f>1116.4+(338-308.7)+(-1.708092+(-0.51714--0.472311))+0-177.4--0.27142200000001</f>
        <v>966.81850100000008</v>
      </c>
      <c r="Y251" s="3">
        <f>1125+(396.9-396.8)+(-0.57375+(-0.202419--0.202368))+0-177.5--0.090524999999982</f>
        <v>947.11672399999986</v>
      </c>
      <c r="Z251" s="3">
        <f>1132.1+(385.4-421.1)+(-1.154742+(-0.393108--0.429522))+0-179.1--0.182682000000029</f>
        <v>916.36435399999982</v>
      </c>
      <c r="AA251" s="3">
        <f>1136.5+(410.5-466.1)+(-1.15923+(-0.41871--0.475422))+0-188.7--0.19247400000003</f>
        <v>891.28995600000019</v>
      </c>
      <c r="AB251" s="3">
        <f>972.1+(442.2-376.4)+(-0.495771+(-0.225522--0.191964))+0-186.2--0.0949619999999811</f>
        <v>851.26563300000009</v>
      </c>
      <c r="AC251" s="3">
        <f>986.2+(425.4-415.4)+(-0.502962+(-0.216954--0.211854))+0-186.8--0.0952679999999811</f>
        <v>808.98720600000001</v>
      </c>
      <c r="AD251">
        <v>945.8</v>
      </c>
      <c r="AE251" s="3">
        <f>1111+(331.5-292.9)+(0+(0-0))+0-189.8-0</f>
        <v>959.8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988.9+(432.5-453)+(-1.008678+(-0.44115--0.46206))+0-187.6--0.19135200000003</f>
        <v>780.00358400000005</v>
      </c>
      <c r="G252" s="3">
        <f>1069.1+(416.4-544.1)+(-1.090482+(-0.424728--0.554982))+0-186.1--0.18982200000003</f>
        <v>754.52959399999986</v>
      </c>
      <c r="H252" s="3">
        <f>1109+(441.8-620.7)+(1.13118+(0.450636-0.633114))+0-179.8-0.183396000000029</f>
        <v>751.06530599999985</v>
      </c>
      <c r="I252" s="3">
        <f>1108+(374.5-562.3)+(1.69524+(0.572985-0.860319))+0-178.7-0.27341100000001</f>
        <v>742.63449500000013</v>
      </c>
      <c r="J252" s="3">
        <f>1109.8+(387.1-577)+(2.82999+(0.987105-1.47135))+0-184.1-0.469454999999973</f>
        <v>737.67628999999999</v>
      </c>
      <c r="K252" s="3">
        <f>1114.8+(410.5-572.4)+(1.705644+(0.628065-0.875772))+0-179.2-0.27417600000001</f>
        <v>774.88376099999994</v>
      </c>
      <c r="L252" s="3">
        <f>1114.5+(418.5-531.3)+(-2.27358+(-0.85374--1.083852))+0-180.1--0.367403999999992</f>
        <v>819.92393600000003</v>
      </c>
      <c r="M252" s="3">
        <f>1115+(443.7-514.8)+(-0.56865+(-0.226287--0.262548))+0-187.4--0.095573999999981</f>
        <v>856.06318500000009</v>
      </c>
      <c r="N252" s="3">
        <f>1113.8+(446.8-472.7)+(1.136076+(0.455736-0.482154))+0-189.2-0.19298400000003</f>
        <v>899.6166740000001</v>
      </c>
      <c r="O252" s="3">
        <f>1045.3+(423.4-366.7)+(0+(0-0))+0-185.7-0</f>
        <v>916.3</v>
      </c>
      <c r="P252" s="3">
        <f>1024.5+(430.3-344.4)+(0.522495+(0.219453-0.175644))+0-188.9-0.0963389999999808</f>
        <v>921.96996500000012</v>
      </c>
      <c r="Q252" s="3">
        <f>1045.4+(414.4-329.8)+(-1.066308+(-0.422688--0.336396))+0-189.3--0.19308600000003</f>
        <v>939.74048600000015</v>
      </c>
      <c r="R252" s="3">
        <f>1076+(411.4-383.6)+(-3.29256+(-1.258884--1.173816))+0-182.9--0.559674000000021</f>
        <v>918.08204599999999</v>
      </c>
      <c r="S252" s="3">
        <f>1085.3+(406.4-405.7)+(-2.767515+(-1.03632--1.034535))+0-188.6--0.480929999999973</f>
        <v>895.11162999999999</v>
      </c>
      <c r="T252" s="3">
        <f>1088.8+(403.2-401.6)+(-1.110576+(-0.411264--0.409632))+0-189.7--0.19349400000003</f>
        <v>899.7812859999998</v>
      </c>
      <c r="U252" s="3">
        <f>1077.8+(351.7-348.2)+(1.099356+(0.358734-0.355164))+0-182.9-0.186558000000029</f>
        <v>899.31636800000001</v>
      </c>
      <c r="V252" s="3">
        <f>1086.5+(371.7-332)+(1.10823+(0.379134-0.33864))+0-183.8-0.187476000000029</f>
        <v>943.36124799999993</v>
      </c>
      <c r="W252" s="3">
        <f>1107+(348.4-275.2)+(1.69371+(0.533052-0.421056))+0-180.5-0.27616500000001</f>
        <v>1001.2295410000002</v>
      </c>
      <c r="X252" s="3">
        <f>1120.3+(333.9-293.5)+(-1.714059+(-0.510867--0.449055))+0-173.9--0.26606700000001</f>
        <v>985.29019599999981</v>
      </c>
      <c r="Y252" s="3">
        <f>1124.8+(324.6-306)+(-1.147296+(-0.331092--0.31212))+0-178.5--0.182070000000028</f>
        <v>963.91580200000021</v>
      </c>
      <c r="Z252" s="3">
        <f>1136.7+(338.4-377.8)+(-0.579717+(-0.172584--0.192678))+0-185.6--0.0946559999999812</f>
        <v>911.23503299999982</v>
      </c>
      <c r="AA252" s="3">
        <f>1139.6+(333.2-390.7)+(-1.162392+(-0.339864--0.398514))+0-192.5--0.196350000000031</f>
        <v>888.69260799999995</v>
      </c>
      <c r="AB252" s="3">
        <f>1140.6+(202.2-302.5)+(-3.490236+(-0.618732--0.92565))+0-183.3--0.560898000000021</f>
        <v>854.37757999999997</v>
      </c>
      <c r="AC252" s="3">
        <f>1147.1+(205.2-355.3)+(-2.925105+(-0.52326--0.906015))+0-184.4--0.470219999999973</f>
        <v>810.52786999999978</v>
      </c>
      <c r="AD252">
        <v>994.69999999999982</v>
      </c>
      <c r="AE252" s="3">
        <f>1112+(346.1-271.4)+(0+(0-0))+0-178-0</f>
        <v>1008.7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1118.7+(200.7-370.4)+(-0.570537+(-0.102357--0.188904))+0-184.9--0.0942989999999812</f>
        <v>763.71030900000005</v>
      </c>
      <c r="G253" s="3">
        <f>1109.5+(153.6-331.8)+(-2.26338+(-0.313344--0.676872))+0-186.1--0.379643999999992</f>
        <v>743.67979199999991</v>
      </c>
      <c r="H253" s="3">
        <f>1118+(188.8-392.8)+(1.71054+(0.288864-0.600984))+0-184.1-0.281673000000011</f>
        <v>731.01674700000001</v>
      </c>
      <c r="I253" s="3">
        <f>1106.6+(190.8-379.6)+(-1.693098+(-0.291924--0.580788))+0-184.3--0.281979000000011</f>
        <v>732.37774499999989</v>
      </c>
      <c r="J253" s="3">
        <f>1122.3+(254.4-449.5)+(2.289492+(0.518976-0.91698))+0-183.7-0.374747999999992</f>
        <v>745.01674000000003</v>
      </c>
      <c r="K253" s="3">
        <f>1115.2+(269.2-429.5)+(0.568752+(0.137292-0.219045))+0-182.1-0.0928709999999815</f>
        <v>773.19412800000009</v>
      </c>
      <c r="L253" s="3">
        <f>1108.9+(243.9-350.5)+(-0.565539+(-0.124389--0.178755))+0-180.3--0.0919529999999817</f>
        <v>821.58078000000012</v>
      </c>
      <c r="M253" s="3">
        <f>1110.9+(248.8-308.7)+(-0.566559+(-0.126888--0.157437))+0-187.1--0.095420999999981</f>
        <v>863.45941099999993</v>
      </c>
      <c r="N253" s="3">
        <f>1112.2+(236.1-271.7)+(-0.567222+(-0.120411--0.138567))+0-188.4--0.0960839999999809</f>
        <v>887.74701800000014</v>
      </c>
      <c r="O253" s="3">
        <f>1109.4+(332.2-347.8)+(-0.565794+(-0.169422--0.177378))+0-186--0.0948599999999811</f>
        <v>907.33702200000016</v>
      </c>
      <c r="P253" s="3">
        <f>1107.9+(348-369.9)+(-0.565029+(-0.17748--0.188649))+0-172.7--0.0880769999999825</f>
        <v>912.83421699999997</v>
      </c>
      <c r="Q253" s="3">
        <f>1095.8+(351.3-366.5)+(-1.676574+(-0.537489--0.560745))+0-162.6--0.248778000000009</f>
        <v>916.59546</v>
      </c>
      <c r="R253" s="3">
        <f>1087.3+(313.1-349.5)+(-1.663569+(-0.479043--0.534735))+0-156--0.238680000000009</f>
        <v>893.53080300000022</v>
      </c>
      <c r="S253" s="3">
        <f>1086.2+(330.7-390.2)+(-0.553962+(-0.168657--0.199002))+0-154--0.0785399999999844</f>
        <v>872.25492299999996</v>
      </c>
      <c r="T253" s="3">
        <f>1091.3+(294.9-365)+(1.669689+(0.451197-0.55845))+0-151.6-0.231948000000009</f>
        <v>870.93048799999997</v>
      </c>
      <c r="U253" s="3">
        <f>1072+(321.3-376.1)+(0+(0-0))+0-149.8-0</f>
        <v>867.40000000000009</v>
      </c>
      <c r="V253" s="3">
        <f>1076.1+(336.5-348.1)+(-2.195244+(-0.68646--0.710124))+0-159.5--0.325379999999993</f>
        <v>903.15380000000005</v>
      </c>
      <c r="W253" s="3">
        <f>1092+(307.8-255.6)+(0.55692+(0.156978-0.130356))+0-166.3-0.0848129999999831</f>
        <v>978.39872900000023</v>
      </c>
      <c r="X253" s="3">
        <f>1104+(300-275.9)+(-1.68912+(-0.459--0.422127))+0-166.6--0.25489800000001</f>
        <v>960.0289049999999</v>
      </c>
      <c r="Y253" s="3">
        <f>1111.5+(290.4-308.5)+(0+(0-0))+0-162.6-0</f>
        <v>930.80000000000007</v>
      </c>
      <c r="Z253" s="3">
        <f>1115.3+(275.5-333)+(0+(0-0))+0-161.4-0</f>
        <v>896.4</v>
      </c>
      <c r="AA253" s="3">
        <f>1119.8+(273.8-361.3)+(-2.284392+(-0.558552--0.737052))+0-160.3--0.327011999999993</f>
        <v>870.22111999999993</v>
      </c>
      <c r="AB253" s="3">
        <f>1130.4+(319.7-458.2)+(-4.035528+(-1.141329--1.635774))+0-154.3--0.550851000000002</f>
        <v>834.60976800000003</v>
      </c>
      <c r="AC253" s="3">
        <f>1130.5+(336.5-518)+(-2.882775+(-0.858075--1.3209))+0-159.8--0.407489999999977</f>
        <v>787.18754000000001</v>
      </c>
      <c r="AD253">
        <v>961.5999999999998</v>
      </c>
      <c r="AE253" s="3">
        <f>1091+(301.6-245.9)+(0+(0-0))+0-173.1-0</f>
        <v>973.6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1128.3+(337.3-560.4)+(-4.028031+(-1.204161--2.000628))+0-153.5--0.547995000000002</f>
        <v>749.01643100000001</v>
      </c>
      <c r="G254" s="3">
        <f>1127.4+(306-550.6)+(-2.299896+(-0.62424--1.123224))+0-156--0.318239999999993</f>
        <v>725.31732799999997</v>
      </c>
      <c r="H254" s="3">
        <f>1130.9+(287.7-550.4)+(0+(0-0))+0-155.9-0</f>
        <v>712.30000000000007</v>
      </c>
      <c r="I254" s="3">
        <f>1134.2+(280.3-546.9)+(-1.156884+(-0.285906--0.557838))+0-155.2--0.158304000000025</f>
        <v>711.67335200000025</v>
      </c>
      <c r="J254" s="3">
        <f>1133.9+(307.8-561.8)+(0+(0-0))+0-157.1-0</f>
        <v>722.80000000000007</v>
      </c>
      <c r="K254" s="3">
        <f>1130.4+(357.3-578.1)+(1.729512+(0.546669-0.884493))+0-158.2-0.242046000000009</f>
        <v>752.54964200000029</v>
      </c>
      <c r="L254" s="3">
        <f>1133.9+(326.1-501.4)+(-2.313156+(-0.665244--1.022856))+0-161.5--0.329459999999993</f>
        <v>795.47391600000014</v>
      </c>
      <c r="M254" s="3">
        <f>1135.1+(319.9-463)+(-0.578901+(-0.163149--0.23613))+0-167.4--0.085373999999983</f>
        <v>824.17945399999996</v>
      </c>
      <c r="N254" s="3">
        <f>1114.6+(326.5-420.2)+(0+(0-0))+1.9-168.8-0</f>
        <v>853.99999999999977</v>
      </c>
      <c r="O254" s="3">
        <f>1104.1+(390-389.5)+(-0.563091+(-0.1989--0.198645))+0-160--0.0815999999999838</f>
        <v>944.11825399999998</v>
      </c>
      <c r="P254" s="3">
        <f>1096.8+(324.8-365.5)+(-2.237472+(-0.662592--0.74562))+0-156.1--0.318443999999993</f>
        <v>898.16399999999987</v>
      </c>
      <c r="Q254" s="3">
        <f>1092.3+(292.9-329.9)+(-2.785365+(-0.746895--0.841245))+0-153.5--0.391424999999978</f>
        <v>899.50040999999987</v>
      </c>
      <c r="R254" s="3">
        <f>1076+(235.8-267.7)+(-2.7438+(-0.60129--0.682635))+0-151.8--0.387089999999978</f>
        <v>890.02463499999999</v>
      </c>
      <c r="S254" s="3">
        <f>1073.6+(240.1-270.2)+(-1.642608+(-0.367353--0.413406))+0-153.2--0.234396000000009</f>
        <v>888.93784099999993</v>
      </c>
      <c r="T254" s="3">
        <f>1064.1+(240.7-265.9)+(-1.628073+(-0.368271--0.406827))+0-149--0.227970000000009</f>
        <v>888.538453</v>
      </c>
      <c r="U254" s="3">
        <f>1063.3+(253.2-272.7)+(-1.084566+(-0.258264--0.278154))+0-151.9--0.154938000000024</f>
        <v>890.99026200000003</v>
      </c>
      <c r="V254" s="3">
        <f>1067.7+(304.1-297.3)+(0+(0-0))+0-154-0</f>
        <v>920.5</v>
      </c>
      <c r="W254" s="3">
        <f>963.7+(385.2-189.1)+(1.965948+(0.785808-0.385764))+0-165.9-0.338435999999993</f>
        <v>995.92755599999998</v>
      </c>
      <c r="X254" s="3">
        <f>928.7+(426.1-199)+(-1.420911+(-0.651933--0.30447))+0-180--0.27540000000001</f>
        <v>974.30702600000018</v>
      </c>
      <c r="Y254" s="3">
        <f>935.7+(354.8-176.1)+(-2.863242+(-1.085688--0.538866))+0-178.4--0.545904000000021</f>
        <v>933.13584000000026</v>
      </c>
      <c r="Z254" s="3">
        <f>940+(324-170.3)+(-1.4382+(-0.49572--0.260559))+0-188.3--0.288099000000011</f>
        <v>904.01473800000019</v>
      </c>
      <c r="AA254" s="3">
        <f>946.5+(272.7-144.9)+(-1.448145+(-0.417231--0.221697))+0-186.8--0.285804000000011</f>
        <v>886.14212499999996</v>
      </c>
      <c r="AB254" s="3">
        <f>947.5+(246.7-157.8)+(-0.483225+(-0.125817--0.080478))+0-186.4--0.0950639999999811</f>
        <v>849.56650000000013</v>
      </c>
      <c r="AC254" s="3">
        <f>953.1+(233.8-199.1)+(-2.430405+(-0.59619--0.507705))+0-183.6--0.468179999999973</f>
        <v>802.14928999999995</v>
      </c>
      <c r="AD254">
        <v>982.8</v>
      </c>
      <c r="AE254" s="3">
        <f>901+(465.5-201)+(0+(0-0))+0-170.7-0</f>
        <v>994.8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944.4+(206.9-195.3)+(-1.926576+(-0.422076--0.398412))+0-184.1--0.375563999999992</f>
        <v>770.32532399999991</v>
      </c>
      <c r="G255" s="3">
        <f>942.2+(193.6-200.2)+(0.480522+(0.098736-0.102102))+0-186-0.0948599999999811</f>
        <v>749.98229600000013</v>
      </c>
      <c r="H255" s="3">
        <f>928.8+(188.8-196.5)+(0.947376+(0.192576-0.20043))+0-182.3-0.185946000000029</f>
        <v>739.55357599999979</v>
      </c>
      <c r="I255" s="3">
        <f>938.9+(197.4-217.1)+(-1.436517+(-0.302022--0.332163))+0-186.3--0.285039000000011</f>
        <v>731.77866299999994</v>
      </c>
      <c r="J255" s="3">
        <f>935.2+(204.9-213.3)+(-0.476952+(-0.104499--0.108783))+0-185--0.0943499999999812</f>
        <v>741.42168200000003</v>
      </c>
      <c r="K255" s="3">
        <f>940+(233.9-224.8)+(1.9176+(0.477156-0.458592))+0-183.5-0.374339999999992</f>
        <v>767.16182400000002</v>
      </c>
      <c r="L255" s="3">
        <f>941+(288.4-239.6)+(0+(0-0))+0-181.9-0</f>
        <v>807.9</v>
      </c>
      <c r="M255" s="3">
        <f>945+(284.6-199)+(-0.48195+(-0.145146--0.10149))+0-188.2--0.0959819999999809</f>
        <v>841.97037599999987</v>
      </c>
      <c r="N255" s="3">
        <f>938.3+(299.9-176.5)+(0+(0-0))+0-191.2-0</f>
        <v>870.49999999999977</v>
      </c>
      <c r="O255" s="3">
        <f>934.9+(301-108)+(0+(0-0))+0-196-0</f>
        <v>931.90000000000009</v>
      </c>
      <c r="P255" s="3">
        <f>931+(311.2-122.2)+(-0.47481+(-0.158712--0.062322))+0-189.7--0.0967469999999808</f>
        <v>929.8255469999998</v>
      </c>
      <c r="Q255" s="3">
        <f>926.7+(302.2-105)+(-0.472617+(-0.154122--0.05355))+0-187.8--0.0957779999999809</f>
        <v>935.62258900000018</v>
      </c>
      <c r="R255" s="3">
        <f>922.3+(286.9-103.7)+(0+(0-0))+0-186.5-0</f>
        <v>919</v>
      </c>
      <c r="S255" s="3">
        <f>920.6+(279.7-103.5)+(0+(0-0))+0-182.5-0</f>
        <v>914.3</v>
      </c>
      <c r="T255" s="3">
        <f>922.9+(307.4-133.2)+(0.941358+(0.313548-0.135864))+0-183.9-0.187578000000029</f>
        <v>914.13146399999994</v>
      </c>
      <c r="U255" s="3">
        <f>920.9+(311.4-132.1)+(-0.939318+(-0.317628--0.134742))+0-180.7--0.184314000000029</f>
        <v>918.56211000000008</v>
      </c>
      <c r="V255" s="3">
        <f>925.1+(358.6-159.2)+(0+(0-0))+0-179.1-0</f>
        <v>945.4</v>
      </c>
      <c r="W255" s="3">
        <f>933.3+(497.6-247.1)+(0+(0-0))+0-183.9-0</f>
        <v>999.9</v>
      </c>
      <c r="X255" s="3">
        <f>948.6+(382.3-180.9)+(-1.451358+(-0.584919--0.276777))+0-184.5--0.282285000000011</f>
        <v>964.02278500000011</v>
      </c>
      <c r="Y255" s="3">
        <f>948.5+(380.9-208.9)+(-1.93494+(-0.777036--0.426156))+0-183.9--0.375155999999992</f>
        <v>934.68933599999991</v>
      </c>
      <c r="Z255" s="3">
        <f>950.7+(358.2-231.5)+(-0.969714+(-0.365364--0.23613))+0-184.8--0.188496000000029</f>
        <v>891.68954800000006</v>
      </c>
      <c r="AA255" s="3">
        <f>955.7+(374.7-265.4)+(-1.462221+(-0.573291--0.406062))+0-185.7--0.284121000000011</f>
        <v>877.95467100000008</v>
      </c>
      <c r="AB255" s="3">
        <f>951.3+(359.7-273.3)+(-1.940652+(-0.733788--0.557532))+0-184.9--0.377195999999992</f>
        <v>851.0602879999999</v>
      </c>
      <c r="AC255" s="3">
        <f>954.7+(312.2-280.4)+(-1.947588+(-0.636888--0.572016))+0-185.8--0.379031999999992</f>
        <v>799.06657199999984</v>
      </c>
      <c r="AD255">
        <v>981</v>
      </c>
      <c r="AE255" s="3">
        <f>941+(437.7-202.4)+(0+(0-0))+0-179.3-0</f>
        <v>997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956.4+(350.4-356)+(-1.463292+(-0.536112--0.54468))+0-181.6--0.27784800000001</f>
        <v>768.02312399999994</v>
      </c>
      <c r="G256" s="3">
        <f>977.2+(327.3-383.5)+(-3.986976+(-1.335384--1.56468))+0-174.5--0.711959999999985</f>
        <v>743.45427999999993</v>
      </c>
      <c r="H256" s="3">
        <f>985.1+(327.3-403.6)+(-3.516807+(-1.168461--1.440852))+0-173.5--0.619395000000002</f>
        <v>732.67497900000001</v>
      </c>
      <c r="I256" s="3">
        <f>989.4+(358.2-438.9)+(-2.018376+(-0.730728--0.895356))+0-174.6--0.356183999999992</f>
        <v>732.60243600000001</v>
      </c>
      <c r="J256" s="3">
        <f>989.3+(325.2-407.9)+(-0.504543+(-0.165852--0.208029))+0-172.4--0.0879239999999825</f>
        <v>733.82555799999989</v>
      </c>
      <c r="K256" s="3">
        <f>993+(304-369.5)+(0+(0-0))+0-170.1-0</f>
        <v>757.4</v>
      </c>
      <c r="L256" s="3">
        <f>993.8+(380.1-420.7)+(-1.013676+(-0.387702--0.429114))+0-166.8--0.170136000000027</f>
        <v>785.59787200000017</v>
      </c>
      <c r="M256" s="3">
        <f>991.4+(398.9-374.1)+(0.505614+(0.203439-0.190791))+0-169-0.0861899999999829</f>
        <v>847.63207199999999</v>
      </c>
      <c r="N256" s="3">
        <f>982.5+(394.8-312)+(1.00215+(0.402696-0.31824))+0-174.9-0.178398000000028</f>
        <v>891.30820800000004</v>
      </c>
      <c r="O256" s="3">
        <f>964.4+(403.6-277.7)+(-0.491844+(-0.205836--0.141627))+0-170.2--0.0868019999999827</f>
        <v>919.63074899999992</v>
      </c>
      <c r="P256" s="3">
        <f>951+(387.9-247.2)+(0+(0-0))+0-163.2-0</f>
        <v>928.5</v>
      </c>
      <c r="Q256" s="3">
        <f>939.8+(382.2-237.8)+(-1.437894+(-0.584766--0.363834))+0-160.9--0.246177000000009</f>
        <v>921.88735099999974</v>
      </c>
      <c r="R256" s="3">
        <f>927.1+(357.2-215.3)+(-2.836926+(-1.093032--0.658818))+0-157.5--0.481950000000018</f>
        <v>908.71080999999992</v>
      </c>
      <c r="S256" s="3">
        <f>908+(321.3-188.2)+(-2.3154+(-0.819315--0.47991))+0-159.8--0.407489999999977</f>
        <v>879.052685</v>
      </c>
      <c r="T256" s="3">
        <f>904.3+(313.9-182.9)+(0.461193+(0.160089-0.093279))+0-157.9-0.080528999999984</f>
        <v>877.84747399999992</v>
      </c>
      <c r="U256" s="3">
        <f>911.4+(307.6-183.8)+(-1.394442+(-0.470628--0.281214))+0-156.9--0.240057000000009</f>
        <v>876.95620100000008</v>
      </c>
      <c r="V256" s="3">
        <f>917.2+(345-199)+(0+(0-0))+0-159.1-0</f>
        <v>904.1</v>
      </c>
      <c r="W256" s="3">
        <f>927.4+(390.2-186.6)+(-0.472974+(-0.199002--0.095166))+0-158.6--0.0808859999999839</f>
        <v>971.90407599999992</v>
      </c>
      <c r="X256" s="3">
        <f>932.6+(360.1-191.3)+(0.951252+(0.367302-0.195126))+0-158.8-0.161976000000025</f>
        <v>943.56145200000026</v>
      </c>
      <c r="Y256" s="3">
        <f>939.2+(359.7-228.7)+(-1.915968+(-0.733788--0.466548))+0-164.1--0.334763999999993</f>
        <v>904.25155600000005</v>
      </c>
      <c r="Z256" s="3">
        <f>944.3+(348.6-250.2)+(-1.926372+(-0.711144--0.510408))+0-166.7--0.340067999999993</f>
        <v>874.21296000000007</v>
      </c>
      <c r="AA256" s="3">
        <f>942.7+(367.1-269.1)+(0.480777+(0.187221-0.137241))+0-169.9-0.0866489999999828</f>
        <v>871.2441080000001</v>
      </c>
      <c r="AB256" s="3">
        <f>947.6+(345.2-271)+(-0.483276+(-0.176052--0.13821))+0-173.9--0.0886889999999824</f>
        <v>847.46757099999991</v>
      </c>
      <c r="AC256" s="3">
        <f>948.5+(350.4-308.2)+(-1.451205+(-0.536112--0.471546))+0-172.6--0.26407800000001</f>
        <v>816.84830700000009</v>
      </c>
      <c r="AD256">
        <v>947.9</v>
      </c>
      <c r="AE256" s="3">
        <f>925+(382.5-185.7)+(0+(0-0))+0-159.9-0</f>
        <v>961.9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948.1+(391.8-382.1)+(-2.417655+(-0.99909--0.974355))+0-174.8--0.445739999999975</f>
        <v>781.00334999999984</v>
      </c>
      <c r="G257" s="3">
        <f>704.5+(444.9-212.3)+(-0.71859+(-0.453798--0.216546))+0-171.3--0.174726000000027</f>
        <v>765.01888399999996</v>
      </c>
      <c r="H257" s="3">
        <f>594.3+(444.2-119.1)+(-0.606186+(-0.453084--0.121482))+0-168.9--0.172278000000027</f>
        <v>749.73449000000005</v>
      </c>
      <c r="I257" s="3">
        <f>599.6+(410.6-102.9)+(-0.305796+(-0.209406--0.052479))+0-167.4--0.085373999999983</f>
        <v>739.52265100000011</v>
      </c>
      <c r="J257" s="3">
        <f>600.8+(427.3-113.6)+(-0.306408+(-0.217923--0.057936))+0-168.2--0.0857819999999829</f>
        <v>745.91938700000003</v>
      </c>
      <c r="K257" s="3">
        <f>602.6+(463.8-132.3)+(1.229304+(0.946152-0.269892))+0-174.7-0.356387999999992</f>
        <v>760.94917599999997</v>
      </c>
      <c r="L257" s="3">
        <f>603.6+(497.9-142.8)+(-0.615672+(-0.507858--0.145656))+0-173--0.176460000000028</f>
        <v>784.89858600000002</v>
      </c>
      <c r="M257" s="3">
        <f>599.8+(552.4-155.6)+(0+(0-0))+0-176.2-0</f>
        <v>820.39999999999986</v>
      </c>
      <c r="N257" s="3">
        <f>586.7+(599.1-161.6)+(0+(0-0))+0-172.9-0</f>
        <v>851.30000000000007</v>
      </c>
      <c r="O257" s="3">
        <f>573.9+(647.2-165.6)+(-0.292689+(-0.330072--0.084456))+0-175--0.0892499999999822</f>
        <v>880.05094499999996</v>
      </c>
      <c r="P257" s="3">
        <f>564.5+(686.7-179.8)+(-0.863685+(-1.050651--0.275094))+0-173.2--0.26499600000001</f>
        <v>896.82575400000007</v>
      </c>
      <c r="Q257" s="3">
        <f>549.6+(705.1-184.9)+(-1.121184+(-1.438404--0.377196))+0-172.7--0.352307999999992</f>
        <v>895.26991600000019</v>
      </c>
      <c r="R257" s="3">
        <f>553.1+(685.2-181.7)+(-1.410405+(-1.74726--0.463335))+0-167.7--0.427634999999976</f>
        <v>886.63330500000006</v>
      </c>
      <c r="S257" s="3">
        <f>552.1+(670.8-167)+(-0.563142+(-0.684216--0.17034))+0-175.4--0.178908000000028</f>
        <v>879.60189000000014</v>
      </c>
      <c r="T257" s="3">
        <f>553.7+(653.1-160.8)+(0+(0-0))+0-173.9-0</f>
        <v>872.1</v>
      </c>
      <c r="U257" s="3">
        <f>553.2+(653.1-162.1)+(0.846396+(0.999243-0.248013))+0-172.5-0.26392500000001</f>
        <v>873.03370100000006</v>
      </c>
      <c r="V257" s="3">
        <f>559.4+(718.7-187.6)+(0+(0-0))+0-181.1-0</f>
        <v>909.4</v>
      </c>
      <c r="W257" s="3">
        <f>633.3+(742.3-222.6)+(-0.645966+(-0.757146--0.227052))+0-184.3--0.187986000000029</f>
        <v>967.71192600000006</v>
      </c>
      <c r="X257" s="3">
        <f>689.2+(661.6-222.9)+(-0.351492+(-0.337416--0.113679))+0-178.4--0.0909839999999819</f>
        <v>949.01575500000001</v>
      </c>
      <c r="Y257" s="3">
        <f>700.1+(605.7-211.9)+(-1.071153+(-0.926721--0.324207))+0-175.6--0.26866800000001</f>
        <v>916.89500100000009</v>
      </c>
      <c r="Z257" s="3">
        <f>722+(534.4-193.6)+(-0.73644+(-0.545088--0.197472))+0-178.7--0.182274000000028</f>
        <v>883.198218</v>
      </c>
      <c r="AA257" s="3">
        <f>724.3+(510-180.1)+(0.369393+(0.2601-0.091851))+0-183.3-0.0934829999999814</f>
        <v>871.34415899999988</v>
      </c>
      <c r="AB257" s="3">
        <f>729+(465.8-161.3)+(0.74358+(0.475116-0.164526))+0-185.6-0.18931200000003</f>
        <v>848.764858</v>
      </c>
      <c r="AC257" s="3">
        <f>679.2+(452.7-140.4)+(0+(0-0))+0-185.7-0</f>
        <v>805.8</v>
      </c>
      <c r="AD257">
        <v>949.50000000000023</v>
      </c>
      <c r="AE257" s="3">
        <f>686+(687.4-227.1)+(0+(0-0))+0-182.8-0</f>
        <v>963.5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639.4+(437.9-124.8)+(-0.652188+(-0.446658--0.127296))+0-186.9--0.19063800000003</f>
        <v>764.81908800000008</v>
      </c>
      <c r="G258" s="3">
        <f>643.2+(431.2-146)+(-0.328032+(-0.219912--0.07446))+0-182.9--0.0932789999999814</f>
        <v>745.11979500000007</v>
      </c>
      <c r="H258" s="3">
        <f>642.4+(410.7-143.3)+(-0.655248+(-0.418914--0.146166))+0-181.4--0.185028000000029</f>
        <v>727.65703199999996</v>
      </c>
      <c r="I258" s="3">
        <f>664.8+(409.3-164)+(-0.339048+(-0.208743--0.08364))+0-179.3--0.0914429999999818</f>
        <v>730.42729199999985</v>
      </c>
      <c r="J258" s="3">
        <f>675.5+(422.6-179.1)+(0.344505+(0.215526-0.091341))+0-180.7-0.0921569999999817</f>
        <v>738.67653300000018</v>
      </c>
      <c r="K258" s="3">
        <f>675+(447.8-184.2)+(-0.34425+(-0.228378--0.093942))+0-181.2--0.0924119999999816</f>
        <v>757.01372599999991</v>
      </c>
      <c r="L258" s="3">
        <f>717.8+(453.5-182.3)+(-0.366078+(-0.231285--0.092973))+0-182.4--0.0930239999999815</f>
        <v>806.18863400000009</v>
      </c>
      <c r="M258" s="3">
        <f>719+(502.7-177.8)+(-1.10007+(-0.769131--0.272034))+0-189.5--0.289935000000011</f>
        <v>853.09276800000021</v>
      </c>
      <c r="N258" s="3">
        <f>729.4+(529-167.7)+(-0.371994+(-0.26979--0.085527))+0-194.6--0.0992459999999803</f>
        <v>895.64298900000006</v>
      </c>
      <c r="O258" s="3">
        <f>796.7+(474.4-169)+(-0.812634+(-0.483888--0.17238))+0-187.9--0.19165800000003</f>
        <v>913.26751600000011</v>
      </c>
      <c r="P258" s="3">
        <f>727+(544.7-171.8)+(-0.37077+(-0.277797--0.087618))+0-183.9--0.0937889999999813</f>
        <v>915.53284000000019</v>
      </c>
      <c r="Q258" s="3">
        <f>633.4+(623.4-168.2)+(-0.323034+(-0.317934--0.085782))+0-184.7--0.0941969999999813</f>
        <v>903.43901099999982</v>
      </c>
      <c r="R258" s="3">
        <f>661.7+(581.7-172.1)+(-1.349868+(-1.186668--0.351084))+0-182.5--0.372299999999992</f>
        <v>886.98684800000024</v>
      </c>
      <c r="S258" s="3">
        <f>748.8+(482.4-168.7)+(-0.381888+(-0.246024--0.086037))+0-184.3--0.0939929999999813</f>
        <v>877.75211800000011</v>
      </c>
      <c r="T258" s="3">
        <f>826.4+(412.7-173.2)+(-1.685856+(-0.841908--0.353328))+0-184.1--0.375563999999992</f>
        <v>880.00112799999999</v>
      </c>
      <c r="U258" s="3">
        <f>869.2+(375.5-184.9)+(0+(0-0))+0-182-0</f>
        <v>877.8</v>
      </c>
      <c r="V258" s="3">
        <f>868.6+(426.8-210.2)+(-0.442986+(-0.217668--0.107202))+0-185.7--0.0947069999999812</f>
        <v>899.04125499999986</v>
      </c>
      <c r="W258" s="3">
        <f>933.6+(453.7-227.4)+(-0.952272+(-0.462774--0.231948))+0-188.8--0.19257600000003</f>
        <v>970.10947800000019</v>
      </c>
      <c r="X258" s="3">
        <f>961.2+(401.5-232.2)+(-1.960848+(-0.81906--0.473688))+0-186--0.379439999999992</f>
        <v>942.57322000000011</v>
      </c>
      <c r="Y258" s="3">
        <f>967.2+(375.4-239.7)+(-2.46636+(-0.95727--0.611235))+0-182.2--0.464609999999974</f>
        <v>918.35221500000011</v>
      </c>
      <c r="Z258" s="3">
        <f>974.1+(363.6-270.2)+(-1.490373+(-0.556308--0.413406))+0-181.6--0.27784800000001</f>
        <v>884.54457300000013</v>
      </c>
      <c r="AA258" s="3">
        <f>978.1+(368.8-284.2)+(-0.997662+(-0.376176--0.289884))+0-183--0.186660000000029</f>
        <v>878.80270600000017</v>
      </c>
      <c r="AB258" s="3">
        <f>979.1+(376.7-319.3)+(-0.499341+(-0.192117--0.162843))+0-177.9--0.0907289999999819</f>
        <v>858.16211400000009</v>
      </c>
      <c r="AC258" s="3">
        <f>981.5+(367-352.6)+(0+(0-0))+0-178.2-0</f>
        <v>817.7</v>
      </c>
      <c r="AD258">
        <v>961.6</v>
      </c>
      <c r="AE258" s="3">
        <f>949+(435-223.8)+(0+(0-0))+0-183.6-0</f>
        <v>976.6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967.8+(362.2-380.1)+(-0.987156+(-0.369444--0.387702))+0-184.5--0.188190000000029</f>
        <v>764.61929199999997</v>
      </c>
      <c r="G259" s="3">
        <f>968.7+(427-455.8)+(-1.976148+(-0.87108--0.929832))+0-187.2--0.381887999999992</f>
        <v>751.164492</v>
      </c>
      <c r="H259" s="3">
        <f>972.9+(382.5-432.9)+(-0.496179+(-0.195075--0.220779))+0-187.3--0.095522999999981</f>
        <v>734.82504799999992</v>
      </c>
      <c r="I259" s="3">
        <f>977+(365.6-420.7)+(-0.99654+(-0.372912--0.429114))+0-186.1--0.18982200000003</f>
        <v>735.04948400000012</v>
      </c>
      <c r="J259" s="3">
        <f>979.8+(389.2-450.3)+(-0.999396+(-0.396984--0.459306))+0-184.8--0.188496000000029</f>
        <v>733.15142199999991</v>
      </c>
      <c r="K259" s="3">
        <f>983.4+(366.6-424.8)+(2.006136+(0.747864-0.866592))+0-180.4-0.368015999999992</f>
        <v>746.31939200000011</v>
      </c>
      <c r="L259" s="3">
        <f>979.1+(378.7-384.5)+(-1.997364+(-0.772548--0.78438))+0-178.4--0.363935999999992</f>
        <v>793.27840399999991</v>
      </c>
      <c r="M259" s="3">
        <f>978.1+(385.7-339.4)+(-0.997662+(-0.393414--0.346188))+0-176.1--0.179622000000028</f>
        <v>847.43473400000005</v>
      </c>
      <c r="N259" s="3">
        <f>970.4+(362.2-275.6)+(-0.494904+(-0.184722--0.140556))+0-169.5--0.0864449999999828</f>
        <v>887.04737499999999</v>
      </c>
      <c r="O259" s="3">
        <f>962.8+(377.2-276.1)+(0+(0-0))+0-163.6-0</f>
        <v>900.29999999999984</v>
      </c>
      <c r="P259" s="3">
        <f>950.9+(413.7-290.9)+(-2.424795+(-1.054935--0.741795))+0-157.1--0.400604999999977</f>
        <v>914.26266999999984</v>
      </c>
      <c r="Q259" s="3">
        <f>944.3+(473.3-344.8)+(-0.963186+(-0.482766--0.351696))+0-158.6--0.161772000000025</f>
        <v>913.26751599999989</v>
      </c>
      <c r="R259" s="3">
        <f>943.8+(490.9-379.6)+(-3.850704+(-2.002872--1.548768))+0-158.7--0.647495999999986</f>
        <v>892.7426879999997</v>
      </c>
      <c r="S259" s="3">
        <f>942.3+(456.9-369.4)+(-0.961146+(-0.466038--0.376788))+0-156.6--0.159732000000025</f>
        <v>872.30933599999992</v>
      </c>
      <c r="T259" s="3">
        <f>945.7+(465.7-389.8)+(-1.446921+(-0.712521--0.596394))+0-157.2--0.240516000000009</f>
        <v>863.07746800000007</v>
      </c>
      <c r="U259" s="3">
        <f>945.9+(444.5-376)+(-1.447227+(-0.680085--0.57528))+0-160.7--0.245871000000009</f>
        <v>852.39383899999996</v>
      </c>
      <c r="V259" s="3">
        <f>955.4+(445.2-343.6)+(1.461762+(0.681156-0.525708))+0-166.4-0.25459200000001</f>
        <v>891.96261799999991</v>
      </c>
      <c r="W259" s="3">
        <f>972+(464.5-312.3)+(-0.49572+(-0.236895--0.159273))+0-169.5--0.0864449999999828</f>
        <v>954.21310300000016</v>
      </c>
      <c r="X259" s="3">
        <f>986.5+(444.2-348.3)+(-3.521805+(-1.585794--1.243431))+0-160.6--0.573342000000002</f>
        <v>918.50917400000003</v>
      </c>
      <c r="Y259" s="3">
        <f>991.7+(368.2-329.8)+(-1.011534+(-0.375564--0.336396))+0-150.6--0.153612000000024</f>
        <v>878.60290999999995</v>
      </c>
      <c r="Z259" s="3">
        <f>999.5+(404.7-397.4)+(-2.03898+(-0.825588--0.810696))+0-158--0.322319999999993</f>
        <v>847.06844799999999</v>
      </c>
      <c r="AA259" s="3">
        <f>1000.6+(401.4-403.9)+(-1.530918+(-0.614142--0.617967))+0-166.5--0.25474500000001</f>
        <v>830.32765199999994</v>
      </c>
      <c r="AB259" s="3">
        <f>1001+(571.6-581.9)+(-1.02102+(-0.583032--0.593538))+0-165.8--0.169116000000026</f>
        <v>824.05860200000006</v>
      </c>
      <c r="AC259" s="3">
        <f>1007.9+(586.7-631.6)+(-1.542087+(-0.897651--0.966348))+0-165.4--0.25306200000001</f>
        <v>796.37967200000003</v>
      </c>
      <c r="AD259">
        <v>938.0999999999998</v>
      </c>
      <c r="AE259" s="3">
        <f>972+(438.1-294.4)+(0+(0-0))+0-164.6-0</f>
        <v>951.1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999.2+(449.7-520.4)+(0.509592+(0.229347-0.265404))+0-171-0.0872099999999826</f>
        <v>757.88632499999994</v>
      </c>
      <c r="G260" s="3">
        <f>1001.3+(319.6-418.7)+(1.021326+(0.325992-0.427074))+0-171.6-0.175032000000027</f>
        <v>731.34521200000006</v>
      </c>
      <c r="H260" s="3">
        <f>996.1+(319.2-420.4)+(0+(0-0))+0-184.7-0</f>
        <v>710.2</v>
      </c>
      <c r="I260" s="3">
        <f>996.4+(287.7-393.4)+(2.032656+(0.586908-0.802536))+0-187-0.381479999999992</f>
        <v>705.13554800000009</v>
      </c>
      <c r="J260" s="3">
        <f>1001.7+(252.6-354.4)+(-1.021734+(-0.257652--0.361488))+0-187.2--0.19094400000003</f>
        <v>711.97304600000018</v>
      </c>
      <c r="K260" s="3">
        <f>1000.6+(235.3-329.8)+(1.020612+(0.240006-0.336396))+0-186.8-0.19053600000003</f>
        <v>720.03368599999999</v>
      </c>
      <c r="L260" s="3">
        <f>1004.1+(365.5-451)+(-2.560455+(-0.932025--1.15005))+0-183.8--0.468689999999973</f>
        <v>732.92625999999996</v>
      </c>
      <c r="M260" s="3">
        <f>1001.2+(288-348.3)+(-0.510612+(-0.14688--0.177633))+0-186.2--0.0949619999999811</f>
        <v>754.31510300000002</v>
      </c>
      <c r="N260" s="3">
        <f>998.5+(289.1-315.6)+(1.01847+(0.294882-0.321912))+0-190.4-0.19420800000003</f>
        <v>782.39723200000003</v>
      </c>
      <c r="O260" s="3">
        <f>994.8+(294.3-317.6)+(-2.029392+(-0.600372--0.647904))+0-193.1--0.393923999999992</f>
        <v>776.81206399999996</v>
      </c>
      <c r="P260" s="3">
        <f>988.7+(289.1-322.6)+(-0.504237+(-0.147441--0.164526))+0-190.1--0.0969509999999807</f>
        <v>764.70979899999998</v>
      </c>
      <c r="Q260" s="3">
        <f>968.6+(318-343.6)+(-2.963916+(-0.97308--1.051416))+0-185.7--0.568242000000021</f>
        <v>754.98266200000012</v>
      </c>
      <c r="R260" s="3">
        <f>955.1+(301.2-332.5)+(0+(0-0))+0-183.2-0</f>
        <v>740.59999999999991</v>
      </c>
      <c r="S260" s="3">
        <f>957.9+(284.8-316.5)+(0+(0-0))+0-187.8-0</f>
        <v>738.40000000000009</v>
      </c>
      <c r="T260" s="3">
        <f>951.5+(338-355.4)+(-2.426325+(-0.8619--0.90627))+0-191.1--0.487304999999972</f>
        <v>741.10535000000004</v>
      </c>
      <c r="U260" s="3">
        <f>958.3+(332.4-369.1)+(1.466199+(0.508572-0.564723))+0-185-0.283050000000011</f>
        <v>737.72699799999987</v>
      </c>
      <c r="V260" s="3">
        <f>957.8+(346.1-359.1)+(-0.488478+(-0.176511--0.183141))+0-182.5--0.0930749999999815</f>
        <v>761.91122699999994</v>
      </c>
      <c r="W260" s="3">
        <f>966+(390.7-340.7)+(0+(0-0))+0-189.2-0</f>
        <v>826.8</v>
      </c>
      <c r="X260" s="3">
        <f>982+(380.7-364.2)+(-3.50574+(-1.359099--1.300194))+0-192.5--0.687225000000003</f>
        <v>803.12257999999997</v>
      </c>
      <c r="Y260" s="3">
        <f>991.4+(411.1-438.2)+(-2.022456+(-0.838644--0.893928))+0-189.2--0.385967999999992</f>
        <v>773.51879600000007</v>
      </c>
      <c r="Z260" s="3">
        <f>986.7+(422-470)+(-1.509651+(-0.64566--0.7191))+0-189.5--0.289935000000011</f>
        <v>748.0537240000001</v>
      </c>
      <c r="AA260" s="3">
        <f>962+(415.7-442.8)+(0+(0-0))+0-193.1-0</f>
        <v>741.8</v>
      </c>
      <c r="AB260" s="3">
        <f>960.1+(413.8-461.1)+(-0.979302+(-0.422076--0.470322))+0-188.8--0.19257600000003</f>
        <v>723.2615199999999</v>
      </c>
      <c r="AC260" s="3">
        <f>968.2+(402.4-478.3)+(-2.962692+(-1.231344--1.463598))+0-189--0.578340000000022</f>
        <v>701.14790199999993</v>
      </c>
      <c r="AD260">
        <v>820.40000000000009</v>
      </c>
      <c r="AE260" s="3">
        <f>971+(405.9-352.1)+(0+(0-0))+0-191.4-0</f>
        <v>833.4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968.6+(359.6-481.7)+(-1.481958+(-0.550188--0.737001))+0-183.4--0.280602000000011</f>
        <v>662.08545700000002</v>
      </c>
      <c r="G261" s="3">
        <f>971.5+(348.4-498.7)+(-0.99093+(-0.355368--0.508674))+0-180.5--0.184110000000029</f>
        <v>640.04648600000007</v>
      </c>
      <c r="H261" s="3">
        <f>974.3+(404.6-567.3)+(-1.987572+(-0.825384--1.157292))+0-178.5--0.364139999999992</f>
        <v>631.80847600000004</v>
      </c>
      <c r="I261" s="3">
        <f>970.5+(369.2-545.4)+(0+(0-0))+0-178.2-0</f>
        <v>616.09999999999991</v>
      </c>
      <c r="J261" s="3">
        <f>974.2+(351.6-531.5)+(0.496842+(0.179316-0.271065))+0-181.6-0.0926159999999816</f>
        <v>613.01247699999999</v>
      </c>
      <c r="K261" s="3">
        <f>972.4+(343.1-522.8)+(-1.487772+(-0.524943--0.799884))+0-179.9--0.27524700000001</f>
        <v>611.86241600000005</v>
      </c>
      <c r="L261" s="3">
        <f>965.7+(329.5-513)+(-0.985014+(-0.33609--0.52326))+0-176.8--0.180336000000028</f>
        <v>604.78249199999993</v>
      </c>
      <c r="M261" s="3">
        <f>957.6+(226.8-392.4)+(-1.465128+(-0.347004--0.600372))+0-175.5--0.26851500000001</f>
        <v>615.55675499999995</v>
      </c>
      <c r="N261" s="3">
        <f>946.5+(225.4-361.4)+(-0.482715+(-0.114954--0.184314))+0-182.9--0.0932789999999814</f>
        <v>627.27992399999994</v>
      </c>
      <c r="O261" s="3">
        <f>944.2+(190.3-344.5)+(0+(0-0))+0-179.5-0</f>
        <v>610.5</v>
      </c>
      <c r="P261" s="3">
        <f>936.5+(171.5-355.1)+(-2.86569+(-0.52479--1.086606))+0-179.2--0.548352000000021</f>
        <v>571.94447800000012</v>
      </c>
      <c r="Q261" s="3">
        <f>934.3+(186.2-372.1)+(-0.476493+(-0.094962--0.189771))+0-179.6--0.0915959999999818</f>
        <v>568.50991199999987</v>
      </c>
      <c r="R261" s="3">
        <f>918+(239-372)+(0.46818+(0.12189-0.18972))+0-191-0.0974099999999806</f>
        <v>594.30294000000004</v>
      </c>
      <c r="S261" s="3">
        <f>913+(241-357)+(1.39689+(0.36873-0.54621))+0-193-0.295290000000011</f>
        <v>604.92412000000002</v>
      </c>
      <c r="T261" s="3">
        <f>911+(221-320)+(-0.46461+(-0.11271--0.1632))+0-198--0.10097999999998</f>
        <v>613.68685999999991</v>
      </c>
      <c r="U261" s="3">
        <f>907+(318-338)+(-0.46257+(-0.16218--0.17238))+0-189--0.0963899999999808</f>
        <v>697.64401999999995</v>
      </c>
      <c r="V261" s="3">
        <f>905+(341-307)+(-0.9231+(-0.34782--0.31314))+0-189--0.19278000000003</f>
        <v>749.23500000000013</v>
      </c>
      <c r="W261" s="3">
        <f>938+(380-318)+(0+(0-0))+0-196-0</f>
        <v>804</v>
      </c>
      <c r="X261" s="3">
        <f>950.7+(332.3-343.4)+(-2.424285+(-0.847365--0.87567))+0-179.5--0.457724999999974</f>
        <v>758.16174500000011</v>
      </c>
      <c r="Y261" s="3">
        <f>949.9+(333.1-358.9)+(0+(0-0))+0-181.1-0</f>
        <v>743</v>
      </c>
      <c r="Z261" s="3">
        <f>951.7+(295.9-352.2)+(0+(0-0))+0-182.4-0</f>
        <v>713.00000000000011</v>
      </c>
      <c r="AA261" s="3">
        <f>948.7+(290.2-346.7)+(-0.483837+(-0.148002--0.176817))+0-181.4--0.0925139999999816</f>
        <v>710.43749200000002</v>
      </c>
      <c r="AB261" s="3">
        <f>966.6+(313.3-402)+(-0.492966+(-0.159783--0.20502))+0-176.9--0.0902189999999821</f>
        <v>700.64249000000007</v>
      </c>
      <c r="AC261" s="3">
        <f>980.2+(239.7-358.7)+(0+(0-0))+0-180.9-0</f>
        <v>680.30000000000007</v>
      </c>
      <c r="AD261">
        <v>753.8</v>
      </c>
      <c r="AE261" s="3">
        <f>957+(323.1-331.5)+(0+(0-0))+0-181.8-0</f>
        <v>766.8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987.3+(200-347.6)+(-2.517615+(-0.51--0.88638))+0-182.6--0.465629999999974</f>
        <v>655.42439499999978</v>
      </c>
      <c r="G262" s="3">
        <f>990.4+(194.1-372.1)+(-1.515312+(-0.296973--0.569313))+0-178.6--0.27325800000001</f>
        <v>632.830286</v>
      </c>
      <c r="H262" s="3">
        <f>992.4+(189-381.3)+(-0.506124+(-0.09639--0.194463))+0-177.6--0.090575999999982</f>
        <v>622.18252499999983</v>
      </c>
      <c r="I262" s="3">
        <f>994+(194.9-392.2)+(-2.02776+(-0.397596--0.800088))+0-173.8--0.354551999999992</f>
        <v>621.6292840000001</v>
      </c>
      <c r="J262" s="3">
        <f>995.8+(193-388.7)+(-0.507858+(-0.09843--0.198237))+0-178.5--0.0910349999999819</f>
        <v>621.28298399999994</v>
      </c>
      <c r="K262" s="3">
        <f>997.4+(196.8-384)+(1.526022+(0.301104-0.58752))+0-168.9-0.25841700000001</f>
        <v>642.28118900000004</v>
      </c>
      <c r="L262" s="3">
        <f>988.8+(237.7-387.7)+(-1.512864+(-0.363681--0.593181))+0-167.2--0.25581600000001</f>
        <v>670.572452</v>
      </c>
      <c r="M262" s="3">
        <f>984.8+(258.5-314.6)+(1.004496+(0.26367-0.320892))+0-170.7-0.174114000000027</f>
        <v>758.77315999999985</v>
      </c>
      <c r="N262" s="3">
        <f>980.2+(279.4-253)+(-0.499902+(-0.142494--0.12903))+0-183.4--0.0935339999999814</f>
        <v>822.780168</v>
      </c>
      <c r="O262" s="3">
        <f>969.4+(303.7-251.2)+(0.494394+(0.154887-0.128112))+0-175.6-0.0895559999999822</f>
        <v>846.73161299999992</v>
      </c>
      <c r="P262" s="3">
        <f>963.8+(360.1-261.5)+(0+(0-0))+0-182.1-0</f>
        <v>880.30000000000007</v>
      </c>
      <c r="Q262" s="3">
        <f>951.4+(369.6-253.4)+(-0.485214+(-0.188496--0.129234))+0-175.2--0.0893519999999822</f>
        <v>891.94487599999979</v>
      </c>
      <c r="R262" s="3">
        <f>944.5+(366.9-256.7)+(-2.89017+(-1.122714--0.785502))+0-175.1--0.53580600000002</f>
        <v>876.90842399999997</v>
      </c>
      <c r="S262" s="3">
        <f>937+(353.8-243.7)+(-1.91148+(-0.721752--0.497148))+0-183.3--0.373931999999992</f>
        <v>862.03784799999994</v>
      </c>
      <c r="T262" s="3">
        <f>935.8+(336.9-247.3)+(-1.431774+(-0.515457--0.378369))+0-179.2--0.27417600000001</f>
        <v>844.90531399999998</v>
      </c>
      <c r="U262" s="3">
        <f>925.6+(355.3-254.9)+(-1.416168+(-0.543609--0.389997))+0-172.2--0.26346600000001</f>
        <v>852.49368599999991</v>
      </c>
      <c r="V262" s="3">
        <f>936+(403-260.9)+(0+(0-0))+0-177.1-0</f>
        <v>900.99999999999989</v>
      </c>
      <c r="W262" s="3">
        <f>965.6+(484.4-283)+(0.492456+(0.247044-0.14433))+0-176.2-0.0898619999999821</f>
        <v>991.30530800000008</v>
      </c>
      <c r="X262" s="3">
        <f>974.6+(458.6-282.5)+(-2.982276+(-1.403316--0.86445))+0-172.3--0.52723800000002</f>
        <v>975.40609600000005</v>
      </c>
      <c r="Y262" s="3">
        <f>956.9+(439.5-279)+(-1.464057+(-0.672435--0.42687))+0-175--0.26775000000001</f>
        <v>940.95812799999999</v>
      </c>
      <c r="Z262" s="3">
        <f>956.1+(424.7-298.5)+(-0.487611+(-0.216597--0.152235))+0-181.7--0.0926669999999816</f>
        <v>900.14069399999983</v>
      </c>
      <c r="AA262" s="3">
        <f>971.6+(402.1-309.7)+(0.495516+(0.205071-0.157947))+0-180.1-0.0918509999999817</f>
        <v>884.35078899999985</v>
      </c>
      <c r="AB262" s="3">
        <f>971.5+(384-327.8)+(-1.486395+(-0.58752--0.501534))+0-173.2--0.26499600000001</f>
        <v>853.19261500000005</v>
      </c>
      <c r="AC262" s="3">
        <f>973.9+(359.8-334.1)+(-2.980134+(-1.100988--1.022346))+0-178.6--0.546516000000021</f>
        <v>818.48773999999992</v>
      </c>
      <c r="AD262">
        <v>978.4</v>
      </c>
      <c r="AE262" s="3">
        <f>972+(485.8-293)+(0+(0-0))+0-175.4-0</f>
        <v>989.4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976.2+(335.3-343.3)+(-2.48931+(-0.855015--0.875415))+0-181.8--0.463589999999974</f>
        <v>784.39467999999999</v>
      </c>
      <c r="G263" s="3">
        <f>979.4+(304-337.5)+(-2.996964+(-0.93024--1.03275))+0-186.5--0.570690000000022</f>
        <v>757.07623599999999</v>
      </c>
      <c r="H263" s="3">
        <f>977.5+(234.2-286.3)+(1.495575+(0.358326-0.438039))+0-183.6-0.280908000000011</f>
        <v>742.93495399999983</v>
      </c>
      <c r="I263" s="3">
        <f>974.9+(228.9-282.1)+(0+(0-0))+0-183.1-0</f>
        <v>738.59999999999991</v>
      </c>
      <c r="J263" s="3">
        <f>974.6+(232.2-281.1)+(1.491138+(0.355266-0.430083))+0-182.7-0.279531000000011</f>
        <v>744.13679000000013</v>
      </c>
      <c r="K263" s="3">
        <f>973.6+(263.1-300.2)+(-1.489608+(-0.402543--0.459306))+0-181--0.27693000000001</f>
        <v>754.34408499999995</v>
      </c>
      <c r="L263" s="3">
        <f>977.6+(265-274.6)+(-0.498576+(-0.13515--0.140046))+0-179.2--0.0913919999999818</f>
        <v>788.39771199999984</v>
      </c>
      <c r="M263" s="3">
        <f>980.7+(322.2-267.8)+(-1.000314+(-0.328644--0.273156))+0-185.2--0.18890400000003</f>
        <v>849.03310199999976</v>
      </c>
      <c r="N263" s="3">
        <f>953.7+(371.2-239.4)+(0.972774+(0.378624-0.244188))+0-190.6-0.19441200000003</f>
        <v>895.81279799999982</v>
      </c>
      <c r="O263" s="3">
        <f>935.4+(467.4-293.3)+(0.477054+(0.238374-0.149583))+0-187-0.095369999999981</f>
        <v>922.97047500000008</v>
      </c>
      <c r="P263" s="3">
        <f>935+(515.7-337.8)+(1.43055+(0.789021-0.516834))+0-172.5-0.26392500000001</f>
        <v>941.83881200000019</v>
      </c>
      <c r="Q263" s="3">
        <f>923.3+(560.1-368.1)+(-0.470883+(-0.285651--0.187731))+0-173.3--0.0883829999999824</f>
        <v>941.51958000000013</v>
      </c>
      <c r="R263" s="3">
        <f>923.9+(543.9-363.1)+(-1.413567+(-0.832167--0.555543))+0-179.4--0.27448200000001</f>
        <v>923.88429099999996</v>
      </c>
      <c r="S263" s="3">
        <f>927.2+(521.7-357)+(-2.36436+(-1.330335--0.91035))+0-181.6--0.463079999999974</f>
        <v>907.97873500000003</v>
      </c>
      <c r="T263" s="3">
        <f>929.9+(483.8-340.6)+(-1.422747+(-0.740214--0.521118))+0-181.3--0.27738900000001</f>
        <v>890.43554599999982</v>
      </c>
      <c r="U263" s="3">
        <f>925.4+(476.8-335.2)+(-1.887816+(-0.972672--0.683808))+0-175.7--0.358427999999992</f>
        <v>889.48174799999993</v>
      </c>
      <c r="V263" s="3">
        <f>928.4+(531-351.5)+(-1.420452+(-0.81243--0.537795))+0-179.9--0.27524700000001</f>
        <v>926.58016000000009</v>
      </c>
      <c r="W263" s="3">
        <f>936.6+(613.6-361.2)+(0.477666+(0.312936-0.184212))+0-185.3-0.0945029999999812</f>
        <v>1004.2118869999999</v>
      </c>
      <c r="X263" s="3">
        <f>958.7+(625.7-409.3)+(0+(0-0))+0-188.7-0</f>
        <v>986.40000000000009</v>
      </c>
      <c r="Y263" s="3">
        <f>967.6+(615.7-435.1)+(-2.46738+(-1.570035--1.109505))+0-187.5--0.478124999999973</f>
        <v>958.25021499999991</v>
      </c>
      <c r="Z263" s="3">
        <f>971.3+(601.9-451.6)+(-1.981452+(-1.227876--0.921264))+0-192.3--0.392291999999992</f>
        <v>927.40422799999988</v>
      </c>
      <c r="AA263" s="3">
        <f>952.4+(557.7-397.7)+(-1.457172+(-0.853281--0.608481))+0-192.9--0.295137000000011</f>
        <v>918.093165</v>
      </c>
      <c r="AB263" s="3">
        <f>944.8+(494.1-365.4)+(-1.445544+(-0.755973--0.559062))+0-185.2--0.283356000000011</f>
        <v>886.94090100000005</v>
      </c>
      <c r="AC263" s="3">
        <f>961.5+(384.5-315.9)+(-0.98073+(-0.39219--0.322218))+0-181.7--0.185334000000029</f>
        <v>847.53463199999987</v>
      </c>
      <c r="AD263">
        <v>977.89999999999986</v>
      </c>
      <c r="AE263" s="3">
        <f>947+(609.1-377.4)+(0+(0-0))+0-186.8-0</f>
        <v>991.90000000000009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978.7+(349.1-324.2)+(-1.497411+(-0.534123--0.496026))+0-182.3--0.278919000000011</f>
        <v>820.04341099999999</v>
      </c>
      <c r="G264" s="3">
        <f>979+(319.1-321)+(-0.99858+(-0.325482--0.32742))+0-180--0.183600000000029</f>
        <v>796.28695800000014</v>
      </c>
      <c r="H264" s="3">
        <f>980.6+(320-336.1)+(0+(0-0))+0-181.1-0</f>
        <v>783.4</v>
      </c>
      <c r="I264" s="3">
        <f>977.9+(297.6-324.5)+(0.498729+(0.151776-0.165495))+0-177.5-0.090524999999982</f>
        <v>773.89448500000003</v>
      </c>
      <c r="J264" s="3">
        <f>975.3+(319.5-354.2)+(-0.497403+(-0.162945--0.180642))+0-167.4--0.085373999999983</f>
        <v>772.80566799999997</v>
      </c>
      <c r="K264" s="3">
        <f>972.8+(360.1-381.2)+(2.48064+(0.918255-0.97206))+0-167.2-0.426359999999976</f>
        <v>786.50047500000005</v>
      </c>
      <c r="L264" s="3">
        <f>969.1+(335-346.6)+(-2.471205+(-0.85425--0.88383))+0-158.8--0.404939999999977</f>
        <v>796.6633149999999</v>
      </c>
      <c r="M264" s="3">
        <f>972.1+(341.6-335.8)+(-1.487313+(-0.522648--0.513774))+0-153.3--0.234549000000009</f>
        <v>823.33836200000019</v>
      </c>
      <c r="N264" s="3">
        <f>954.9+(363.5-299.4)+(0.973998+(0.37077-0.305388))+0-151.7-0.154734000000024</f>
        <v>868.18464600000004</v>
      </c>
      <c r="O264" s="3">
        <f>940+(415.8-294.3)+(0.9588+(0.424116-0.300186))+0-147.4-0.150348000000024</f>
        <v>915.0323820000001</v>
      </c>
      <c r="P264" s="3">
        <f>927.5+(440.4-298)+(-0.94605+(-0.449208--0.30396))+0-144.3--0.147186000000023</f>
        <v>924.65588800000012</v>
      </c>
      <c r="Q264" s="3">
        <f>916+(482.6-321.7)+(-0.93432+(-0.492252--0.328134))+0-146.5--0.149430000000023</f>
        <v>929.45099200000016</v>
      </c>
      <c r="R264" s="3">
        <f>900.1+(473.6-305.2)+(-1.836204+(-0.966144--0.622608))+0-145.6--0.297023999999994</f>
        <v>921.0172839999999</v>
      </c>
      <c r="S264" s="3">
        <f>901.7+(454.8-298.6)+(-1.839468+(-0.927792--0.609144))+0-147.4--0.300695999999994</f>
        <v>908.64258000000007</v>
      </c>
      <c r="T264" s="3">
        <f>901.9+(410.1-263.3)+(-0.459969+(-0.209151--0.134283))+0-147.1--0.0750209999999851</f>
        <v>901.14018400000009</v>
      </c>
      <c r="U264" s="3">
        <f>900.7+(436.8-289)+(-1.378071+(-0.668304--0.44217))+0-141.3--0.216189000000008</f>
        <v>905.81198399999994</v>
      </c>
      <c r="V264" s="3">
        <f>904.7+(507.9-324.1)+(-0.461397+(-0.259029--0.165291))+0-141--0.0719099999999857</f>
        <v>947.01677499999994</v>
      </c>
      <c r="W264" s="3">
        <f>927.7+(620.1-381.6)+(-1.419381+(-0.948753--0.583848))+0-152.6--0.233478000000009</f>
        <v>1012.0491919999999</v>
      </c>
      <c r="X264" s="3">
        <f>933.2+(523-303.8)+(-0.475932+(-0.26673--0.154938))+0-155.5--0.0793049999999842</f>
        <v>996.39158100000009</v>
      </c>
      <c r="Y264" s="3">
        <f>943.9+(466.8-285)+(-0.481389+(-0.238068--0.14535))+0-154.8--0.0789479999999843</f>
        <v>970.40484100000015</v>
      </c>
      <c r="Z264" s="3">
        <f>948.8+(490.8-341.9)+(-0.967776+(-0.500616--0.348738))+0-160.2--0.163404000000026</f>
        <v>936.54374999999993</v>
      </c>
      <c r="AA264" s="3">
        <f>950.5+(477-340.7)+(-1.454265+(-0.72981--0.521271))+0-160.6--0.245718000000009</f>
        <v>924.78291399999989</v>
      </c>
      <c r="AB264" s="3">
        <f>949+(409.6-323.6)+(-1.45197+(-0.626688--0.495108))+0-159.3--0.243729000000009</f>
        <v>874.36017900000002</v>
      </c>
      <c r="AC264" s="3">
        <f>949.3+(361.4-333.2)+(-2.904858+(-1.105884--1.019592))+0-157.1--0.480726000000018</f>
        <v>817.88957600000003</v>
      </c>
      <c r="AD264">
        <v>989.4</v>
      </c>
      <c r="AE264" s="3">
        <f>937+(524-298.2)+(0+(0-0))+0-160.4-0</f>
        <v>1002.4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962+(315-323.9)+(-2.4531+(-0.80325--0.825945))+0-156.5--0.399074999999977</f>
        <v>794.56867</v>
      </c>
      <c r="G265" s="3">
        <f>963.9+(290.5-327.1)+(-1.966356+(-0.59262--0.667284))+0-155.6--0.317423999999993</f>
        <v>770.12573199999986</v>
      </c>
      <c r="H265" s="3">
        <f>980.5+(251.9-318.2)+(0+(0-0))+0-152-0</f>
        <v>762.2</v>
      </c>
      <c r="I265" s="3">
        <f>979.2+(249.2-318.6)+(-0.499392+(-0.127092--0.162486))+0-147.1--0.0750209999999851</f>
        <v>762.31102299999998</v>
      </c>
      <c r="J265" s="3">
        <f>956.7+(260.1-299.6)+(0.487917+(0.132651-0.152796))+0-147-0.0749699999999851</f>
        <v>770.59280200000001</v>
      </c>
      <c r="K265" s="3">
        <f>954.5+(320.3-334.3)+(0.486795+(0.163353-0.170493))+0-145.2-0.0740519999999853</f>
        <v>795.70560300000011</v>
      </c>
      <c r="L265" s="3">
        <f>947.3+(438.7-398.5)+(0+(0-0))+0-148.7-0</f>
        <v>838.8</v>
      </c>
      <c r="M265" s="3">
        <f>944.9+(429.4-329.9)+(1.445697+(0.656982-0.504747))+0-157.8-0.241434000000009</f>
        <v>887.95649800000001</v>
      </c>
      <c r="N265" s="3">
        <f>754.9+(553.9-225.6)+(0.769998+(0.564978-0.230112))+0-166.1-0.169422000000026</f>
        <v>918.03544199999965</v>
      </c>
      <c r="O265" s="3">
        <f>749.4+(562.9-234.9)+(0+(0-0))+0-157-0</f>
        <v>920.40000000000009</v>
      </c>
      <c r="P265" s="3">
        <f>739.6+(598.4-252.3)+(-1.131588+(-0.915552--0.386019))+0-152.9--0.233937000000009</f>
        <v>931.37281599999994</v>
      </c>
      <c r="Q265" s="3">
        <f>721.1+(614.2-245.9)+(-0.735522+(-0.626484--0.250818))+0-151.9--0.154938000000024</f>
        <v>936.54375000000005</v>
      </c>
      <c r="R265" s="3">
        <f>717.1+(687.7-319.6)+(-1.828605+(-1.753635--0.81498))+0-152.4--0.388619999999978</f>
        <v>930.42135999999994</v>
      </c>
      <c r="S265" s="3">
        <f>727.3+(640.6-290.2)+(0+(0-0))+0-161.7-0</f>
        <v>916</v>
      </c>
      <c r="T265" s="3">
        <f>718.6+(651.2-289.9)+(-0.732972+(-0.664224--0.295698))+0-166.9--0.170238000000027</f>
        <v>912.06874000000016</v>
      </c>
      <c r="U265" s="3">
        <f>715.1+(655.1-276.8)+(0+(0-0))+0-173.5-0</f>
        <v>919.90000000000009</v>
      </c>
      <c r="V265" s="3">
        <f>723.3+(663.2-244.1)+(-0.368883+(-0.338232--0.124491))+0-180.3--0.0919529999999817</f>
        <v>961.60932900000023</v>
      </c>
      <c r="W265" s="3">
        <f>864+(637.9-267.9)+(0.88128+(0.650658-0.273258))+0-182.8-0.186456000000029</f>
        <v>1052.2722239999998</v>
      </c>
      <c r="X265" s="3">
        <f>930.1+(593.8-299.7)+(-1.423053+(-0.908514--0.458541))+0-186.7--0.285651000000011</f>
        <v>1035.9126249999999</v>
      </c>
      <c r="Y265" s="3">
        <f>927.4+(551.4-284.2)+(-0.472974+(-0.281214--0.144942))+0-185.1--0.0944009999999812</f>
        <v>1008.9851549999998</v>
      </c>
      <c r="Z265" s="3">
        <f>939.1+(524.9-303.1)+(-0.478941+(-0.267699--0.154581))+0-185.3--0.0945029999999812</f>
        <v>975.10244400000011</v>
      </c>
      <c r="AA265" s="3">
        <f>945.3+(512.2-323.7)+(0+(0-0))+0-184.8-0</f>
        <v>949</v>
      </c>
      <c r="AB265" s="3">
        <f>950+(496.8-348.9)+(0+(0-0))+0-183.3-0</f>
        <v>914.60000000000014</v>
      </c>
      <c r="AC265" s="3">
        <f>956.4+(445.4-351.9)+(0+(0-0))+0-183.9-0</f>
        <v>866.00000000000011</v>
      </c>
      <c r="AD265">
        <v>1025.1000000000001</v>
      </c>
      <c r="AE265" s="3">
        <f>931+(596.9-299.3)+(0+(0-0))+0-190.5-0</f>
        <v>1038.0999999999999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957.1+(386.7-331.1)+(-1.464363+(-0.591651--0.506583))+0-186.3--0.285039000000011</f>
        <v>825.13560799999993</v>
      </c>
      <c r="G266" s="3">
        <f>965.3+(337-318.6)+(-2.461515+(-0.85935--0.81243))+0-182.3--0.464864999999974</f>
        <v>799.35642999999982</v>
      </c>
      <c r="H266" s="3">
        <f>965.6+(342-339)+(0+(0-0))+0-183.4-0</f>
        <v>785.2</v>
      </c>
      <c r="I266" s="3">
        <f>968.4+(345.7-346.2)+(0+(0-0))+0-184.7-0</f>
        <v>783.2</v>
      </c>
      <c r="J266" s="3">
        <f>971.1+(316.4-321.1)+(-0.990522+(-0.322728--0.327522))+0-183.6--0.187272000000029</f>
        <v>782.00154399999997</v>
      </c>
      <c r="K266" s="3">
        <f>971.5+(339.8-324.1)+(1.486395+(0.519894-0.495873))+0-179.9-0.27524700000001</f>
        <v>808.535169</v>
      </c>
      <c r="L266" s="3">
        <f>969.5+(413.8-351.6)+(0.98889+(0.422076-0.358632))+0-177-0.180540000000028</f>
        <v>855.57179399999995</v>
      </c>
      <c r="M266" s="3">
        <f>963.2+(450.8-330)+(1.964928+(0.919632-0.6732))+0-183.9-0.375155999999992</f>
        <v>901.93620400000009</v>
      </c>
      <c r="N266" s="3">
        <f>937.5+(519-333.5)+(-0.95625+(-0.52938--0.34017))+0-189.3--0.19308600000003</f>
        <v>932.74762600000008</v>
      </c>
      <c r="O266" s="3">
        <f>921.7+(519.2-310.1)+(0.470067+(0.264792-0.158151))+0-190.5-0.0971549999999807</f>
        <v>940.77955300000031</v>
      </c>
      <c r="P266" s="3">
        <f>907.2+(506.7-282.3)+(0.462672+(0.258417-0.143973))+0-181.6-0.0926159999999816</f>
        <v>950.4844999999998</v>
      </c>
      <c r="Q266" s="3">
        <f>900+(549.6-324.7)+(-1.836+(-1.121184--0.662388))+0-176.8--0.360671999999992</f>
        <v>946.16587600000025</v>
      </c>
      <c r="R266" s="3">
        <f>890+(553.1-317.5)+(-1.3617+(-0.846243--0.485775))+0-177.4--0.27142200000001</f>
        <v>946.74925399999995</v>
      </c>
      <c r="S266" s="3">
        <f>880.9+(508.8-284.4)+(-0.898518+(-0.518976--0.290088))+0-179.6--0.183192000000029</f>
        <v>924.75578599999994</v>
      </c>
      <c r="T266" s="3">
        <f>877.6+(467-250.8)+(0.895152+(0.47634-0.255816))+0-180.4-0.184008000000029</f>
        <v>914.33166799999981</v>
      </c>
      <c r="U266" s="3">
        <f>884.9+(418.4-212.3)+(-0.902598+(-0.426768--0.216546))+0-180.4--0.184008000000029</f>
        <v>909.67118800000003</v>
      </c>
      <c r="V266" s="3">
        <f>894.1+(481.1-236.5)+(0.911982+(0.490722-0.24123))+0-183.2-0.186864000000029</f>
        <v>956.47460999999998</v>
      </c>
      <c r="W266" s="3">
        <f>905.3+(574.3-242)+(0.923406+(0.585786-0.24684))+0-191-0.19482000000003</f>
        <v>1047.6675319999999</v>
      </c>
      <c r="X266" s="3">
        <f>908.7+(564.3-250.4)+(-1.853748+(-1.151172--0.510816))+0-191.9--0.391475999999992</f>
        <v>1028.5973719999997</v>
      </c>
      <c r="Y266" s="3">
        <f>913.2+(539.4-263.4)+(-2.794392+(-1.650564--0.806004))+0-188.1--0.575586000000022</f>
        <v>998.03663400000005</v>
      </c>
      <c r="Z266" s="3">
        <f>912.7+(513.4-269.7)+(-1.396431+(-0.785502--0.412641))+0-192.7--0.294831000000011</f>
        <v>962.22553900000014</v>
      </c>
      <c r="AA266" s="3">
        <f>915.6+(481.3-267.5)+(-0.933912+(-0.490926--0.27285))+0-190.5--0.19431000000003</f>
        <v>937.9423220000001</v>
      </c>
      <c r="AB266" s="3">
        <f>921.3+(487.5-318.4)+(-2.819178+(-1.49175--0.974304))+0-190.2--0.582012000000022</f>
        <v>897.44538800000009</v>
      </c>
      <c r="AC266" s="3">
        <f>923.2+(433.3-323.1)+(-1.412496+(-0.662949--0.494343))+0-188.8--0.288864000000011</f>
        <v>843.30776200000003</v>
      </c>
      <c r="AD266">
        <v>1049.3000000000002</v>
      </c>
      <c r="AE266" s="3">
        <f>910+(568.4-228.6)+(0+(0-0))+0-187.5-0</f>
        <v>1062.3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862.7+(475.6-340.5)+(-1.319931+(-0.727668--0.520965))+0-186--0.284580000000011</f>
        <v>810.55794600000013</v>
      </c>
      <c r="G267" s="3">
        <f>792.2+(449.1-266.5)+(1.616088+(0.916164-0.54366))+0-185.2-0.377807999999992</f>
        <v>791.2107840000001</v>
      </c>
      <c r="H267" s="3">
        <f>774.3+(430.2-239.8)+(1.184679+(0.658206-0.366894))+0-188.3-0.288099000000011</f>
        <v>777.5878919999999</v>
      </c>
      <c r="I267" s="3">
        <f>778.1+(440.4-259.1)+(0.396831+(0.224604-0.132141))+0-186.4-0.0950639999999811</f>
        <v>773.39422999999999</v>
      </c>
      <c r="J267" s="3">
        <f>784.9+(428.4-253.1)+(-2.001495+(-1.09242--0.645405))+0-186.4--0.475319999999973</f>
        <v>771.82680999999991</v>
      </c>
      <c r="K267" s="3">
        <f>793.5+(441.8-256.5)+(0.404685+(0.225318-0.130815))+0-182.3-0.0929729999999815</f>
        <v>796.90621499999997</v>
      </c>
      <c r="L267" s="3">
        <f>790.4+(484.1-242.6)+(-0.806208+(-0.493782--0.247452))+0-176.8--0.180336000000028</f>
        <v>854.22779800000023</v>
      </c>
      <c r="M267" s="3">
        <f>812.1+(497.3-236.5)+(0.414171+(0.253623-0.120615))+0-181.6-0.0926159999999816</f>
        <v>891.75456299999996</v>
      </c>
      <c r="N267" s="3">
        <f>877.4+(538.5-309.8)+(0+(0-0))+0-185.2-0</f>
        <v>920.89999999999986</v>
      </c>
      <c r="O267" s="3">
        <f>875.4+(563.2-322.8)+(0.446454+(0.287232-0.164628))+0-182.8-0.0932279999999815</f>
        <v>933.47583000000009</v>
      </c>
      <c r="P267" s="3">
        <f>864.5+(583.8-320.5)+(-0.440895+(-0.297738--0.163455))+0-180.4--0.0920039999999817</f>
        <v>946.9168259999999</v>
      </c>
      <c r="Q267" s="3">
        <f>858.5+(596.5-327.3)+(-1.313505+(-0.912645--0.500769))+0-176--0.26928000000001</f>
        <v>950.24389900000006</v>
      </c>
      <c r="R267" s="3">
        <f>854+(498.7-243.8)+(-0.87108+(-0.508674--0.248676))+0-175.7--0.179214000000028</f>
        <v>932.24813600000016</v>
      </c>
      <c r="S267" s="3">
        <f>851.7+(442.8-205.8)+(-1.737468+(-0.903312--0.419832))+0-177.2--0.361487999999992</f>
        <v>909.6405400000001</v>
      </c>
      <c r="T267" s="3">
        <f>849.9+(435.5-204.1)+(-0.866898+(-0.44421--0.208182))+0-183.4--0.187068000000029</f>
        <v>896.98414200000002</v>
      </c>
      <c r="U267" s="3">
        <f>848.8+(478.4-234.6)+(-1.298664+(-0.731952--0.358938))+0-177.9--0.27218700000001</f>
        <v>913.30050900000003</v>
      </c>
      <c r="V267" s="3">
        <f>852.6+(573.8-283.4)+(-0.869652+(-0.585276--0.289068))+0-181.9--0.185538000000029</f>
        <v>960.11967800000002</v>
      </c>
      <c r="W267" s="3">
        <f>854.3+(644.6-277.3)+(-0.435693+(-0.328746--0.141423))+0-183.8--0.0937379999999814</f>
        <v>1037.270722</v>
      </c>
      <c r="X267" s="3">
        <f>880.2+(592.4-258.3)+(-2.24451+(-1.51062--0.658665))+0-186.2--0.474809999999973</f>
        <v>1025.4783449999998</v>
      </c>
      <c r="Y267" s="3">
        <f>891.2+(565.5-279.5)+(-0.909024+(-0.57681--0.28509))+0-183--0.186660000000029</f>
        <v>993.18591600000013</v>
      </c>
      <c r="Z267" s="3">
        <f>897.8+(534.8-293.8)+(-1.831512+(-1.090992--0.599352))+0-186.6--0.380663999999992</f>
        <v>950.25751200000002</v>
      </c>
      <c r="AA267" s="3">
        <f>902.2+(551.7-329.4)+(-0.920244+(-0.562734--0.335988))+0-186--0.18972000000003</f>
        <v>937.54273000000012</v>
      </c>
      <c r="AB267" s="3">
        <f>910.6+(533.5-350.9)+(-2.786436+(-1.63251--1.073754))+0-185.4--0.567324000000021</f>
        <v>905.02213200000006</v>
      </c>
      <c r="AC267" s="3">
        <f>916.6+(494.3-367.3)+(-1.402398+(-0.756279--0.561969))+0-183--0.279990000000011</f>
        <v>859.28328199999987</v>
      </c>
      <c r="AD267">
        <v>1033.5</v>
      </c>
      <c r="AE267" s="3">
        <f>864+(629.3-267.4)+(0+(0-0))+0-180.4-0</f>
        <v>1045.5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893.6+(482.5-368.2)+(-0.455736+(-0.246075--0.187782))+0-183.4--0.0935339999999814</f>
        <v>824.07950500000004</v>
      </c>
      <c r="G268" s="3">
        <f>818+(482.6-316.1)+(-0.41718+(-0.246126--0.161211))+0-183.6--0.0936359999999814</f>
        <v>800.49154099999987</v>
      </c>
      <c r="H268" s="3">
        <f>807.6+(437-277.5)+(0.411876+(0.22287-0.141525))+0-183.8-0.0937379999999814</f>
        <v>783.69948299999987</v>
      </c>
      <c r="I268" s="3">
        <f>810+(438.9-286.5)+(1.2393+(0.671517-0.438345))+0-182.9-0.279837000000011</f>
        <v>780.692635</v>
      </c>
      <c r="J268" s="3">
        <f>813.6+(436.9-290.9)+(-0.414936+(-0.222819--0.148359))+0-180.3--0.0919529999999817</f>
        <v>778.902557</v>
      </c>
      <c r="K268" s="3">
        <f>819.1+(479.5-318.7)+(1.670964+(0.97818-0.650148))+0-174.3-0.355571999999992</f>
        <v>807.24342400000023</v>
      </c>
      <c r="L268" s="3">
        <f>822.1+(510.4-297.2)+(0+(0-0))+0-175.3-0</f>
        <v>860</v>
      </c>
      <c r="M268" s="3">
        <f>821.3+(536.5-267.4)+(0.418863+(0.273615-0.136374))+0-183.5-0.0935849999999814</f>
        <v>907.36251900000013</v>
      </c>
      <c r="N268" s="3">
        <f>714+(663.3-247.6)+(0.36414+(0.338283-0.126276))+0-185.4-0.0945539999999812</f>
        <v>944.78159299999982</v>
      </c>
      <c r="O268" s="3">
        <f>691.8+(653.6-220.9)+(0.705636+(0.666672-0.225318))+0-182.7-0.186354000000029</f>
        <v>942.76063599999986</v>
      </c>
      <c r="P268" s="3">
        <f>721.2+(640.2-245.7)+(-0.367812+(-0.326502--0.125307))+0-182.5--0.0930749999999815</f>
        <v>932.72406799999999</v>
      </c>
      <c r="Q268" s="3">
        <f>847.5+(576.4-290.4)+(-1.296675+(-0.881892--0.444312))+0-184.5--0.282285000000011</f>
        <v>947.54802999999993</v>
      </c>
      <c r="R268" s="3">
        <f>866.6+(550.2-307.6)+(-1.767864+(-1.122408--0.627504))+0-179.5--0.366179999999992</f>
        <v>927.80341199999998</v>
      </c>
      <c r="S268" s="3">
        <f>811.5+(521.7-231.1)+(-0.413865+(-0.266067--0.117861))+0-182.4--0.0930239999999815</f>
        <v>919.23095299999989</v>
      </c>
      <c r="T268" s="3">
        <f>737.6+(535.7-180.6)+(0.752352+(0.546414-0.184212))+0-186.2-0.18992400000003</f>
        <v>907.42462999999998</v>
      </c>
      <c r="U268" s="3">
        <f>737.1+(541.4-182.5)+(0+(0-0))+0-182.4-0</f>
        <v>913.6</v>
      </c>
      <c r="V268" s="3">
        <f>743.2+(609.1-210.1)+(0.758064+(0.621282-0.214302))+0-184.3-0.187986000000029</f>
        <v>958.87705800000015</v>
      </c>
      <c r="W268" s="3">
        <f>748.8+(729.6-246.4)+(1.145664+(1.116288-0.376992))+0-185.6-0.283968000000011</f>
        <v>1048.0009920000002</v>
      </c>
      <c r="X268" s="3">
        <f>755.4+(694.9-237.1)+(0+(0-0))+0-181.3-0</f>
        <v>1031.8999999999999</v>
      </c>
      <c r="Y268" s="3">
        <f>761.2+(642.8-220.8)+(-1.94106+(-1.63914--0.56304))+0-181.4--0.462569999999974</f>
        <v>999.24540999999999</v>
      </c>
      <c r="Z268" s="3">
        <f>763.8+(586.3-203.6)+(-0.779076+(-0.598026--0.207672))+0-187.3--0.19104600000003</f>
        <v>958.22161600000015</v>
      </c>
      <c r="AA268" s="3">
        <f>749.6+(548-178)+(-0.764592+(-0.55896--0.18156))+0-191.7--0.195534000000031</f>
        <v>926.95354199999986</v>
      </c>
      <c r="AB268" s="3">
        <f>753.2+(527.3-193.8)+(0+(0-0))+0-189-0</f>
        <v>897.7</v>
      </c>
      <c r="AC268" s="3">
        <f>761.8+(492.6-210.2)+(-1.165554+(-0.753678--0.321606))+0-192.6--0.294678000000011</f>
        <v>850.29705200000001</v>
      </c>
      <c r="AD268">
        <v>1006.6</v>
      </c>
      <c r="AE268" s="3">
        <f>755+(685-232.8)+(0+(0-0))+0-188.6-0</f>
        <v>1018.6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770.1+(468.8-230.9)+(-0.785502+(-0.478176--0.235518))+0-192.4--0.196248000000031</f>
        <v>814.76808800000015</v>
      </c>
      <c r="G269" s="3">
        <f>773.5+(477.4-268)+(-0.78897+(-0.486948--0.27336))+0-192.6--0.196452000000031</f>
        <v>789.49389399999995</v>
      </c>
      <c r="H269" s="3">
        <f>649.7+(558.4-229)+(-0.331347+(-0.284784--0.11679))+0-189.6--0.0966959999999808</f>
        <v>789.09735499999999</v>
      </c>
      <c r="I269" s="3">
        <f>573.3+(581.8-183.1)+(-0.292383+(-0.296718--0.093381))+0-187.4--0.095573999999981</f>
        <v>784.19985399999985</v>
      </c>
      <c r="J269" s="3">
        <f>585.8+(545.9-163.8)+(2.091306+(1.948863-0.584766))+0-185.5-0.662235000000003</f>
        <v>785.1931679999999</v>
      </c>
      <c r="K269" s="3">
        <f>581.8+(598.9-189.7)+(0.593436+(0.610878-0.193494))+0-178.6-0.182172000000028</f>
        <v>813.22864799999991</v>
      </c>
      <c r="L269" s="3">
        <f>578.8+(667.5-206.7)+(-0.295188+(-0.340425--0.105417))+0-179.9--0.0917489999999817</f>
        <v>859.26155299999994</v>
      </c>
      <c r="M269" s="3">
        <f>584.9+(716.5-213.1)+(-0.596598+(-0.73083--0.217362))+0-186.8--0.19053600000003</f>
        <v>900.5804700000001</v>
      </c>
      <c r="N269" s="3">
        <f>578.7+(738-198.3)+(-0.295137+(-0.37638--0.101133))+0-191.3--0.0975629999999806</f>
        <v>926.62717900000007</v>
      </c>
      <c r="O269" s="3">
        <f>587.1+(698-156.2)+(-0.299421+(-0.35598--0.079662))+0-189.5--0.0966449999999808</f>
        <v>938.92090599999995</v>
      </c>
      <c r="P269" s="3">
        <f>651.9+(635.6-153.7)+(0+(0-0))+0-189.2-0</f>
        <v>944.59999999999991</v>
      </c>
      <c r="Q269" s="3">
        <f>683.1+(616.8-163.6)+(-0.696762+(-0.629136--0.166872))+0-185.2--0.18890400000003</f>
        <v>950.12987799999985</v>
      </c>
      <c r="R269" s="3">
        <f>736.3+(563.8-182.4)+(-1.126539+(-0.862614--0.279072))+0-194.5--0.297585000000011</f>
        <v>921.7875039999999</v>
      </c>
      <c r="S269" s="3">
        <f>732.9+(552.6-164.8)+(-1.121337+(-0.845478--0.252144))+0-202.3--0.309519000000012</f>
        <v>916.99484800000016</v>
      </c>
      <c r="T269" s="3">
        <f>728.6+(550.4-162.5)+(1.114758+(0.842112-0.248625))+0-200.5-0.306765000000012</f>
        <v>917.40147999999999</v>
      </c>
      <c r="U269" s="3">
        <f>734.5+(545.8-170.4)+(0+(0-0))+0-190.4-0</f>
        <v>919.50000000000011</v>
      </c>
      <c r="V269" s="3">
        <f>759+(607.5-206.2)+(-0.38709+(-0.309825--0.105162))+0-198.2--0.10108199999998</f>
        <v>961.609329</v>
      </c>
      <c r="W269" s="3">
        <f>792.2+(678.1-234.3)+(0.808044+(0.691662-0.238986))+0-204.4-0.208488000000033</f>
        <v>1032.6522319999999</v>
      </c>
      <c r="X269" s="3">
        <f>811.3+(623.9-226.3)+(-1.655052+(-1.272756--0.461652))+0-199.7--0.407387999999991</f>
        <v>1007.1412319999998</v>
      </c>
      <c r="Y269" s="3">
        <f>846.4+(569.9-239.5)+(-2.589984+(-1.743894--0.73287))+0-197.7--0.604962000000023</f>
        <v>976.10395399999982</v>
      </c>
      <c r="Z269" s="3">
        <f>866.1+(496.7-224.1)+(-0.441711+(-0.253317--0.114291))+0-196.8--0.10036799999998</f>
        <v>941.41963100000009</v>
      </c>
      <c r="AA269" s="3">
        <f>853.1+(445.8-179.9)+(-1.740324+(-0.909432--0.366996))+0-197.7--0.403307999999991</f>
        <v>919.42054799999994</v>
      </c>
      <c r="AB269" s="3">
        <f>851.7+(386.5-169)+(-1.737468+(-0.78846--0.34476))+0-188.3--0.384131999999992</f>
        <v>879.10296400000004</v>
      </c>
      <c r="AC269" s="3">
        <f>855.6+(364.2-187.3)+(-1.745424+(-0.742968--0.382092))+0-190.6--0.388823999999992</f>
        <v>840.18252400000006</v>
      </c>
      <c r="AD269">
        <v>1036.8</v>
      </c>
      <c r="AE269" s="3">
        <f>801+(665.8-232.8)+(0+(0-0))+0-186.2-0</f>
        <v>1047.8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858.5+(345.1-214.7)+(-2.189175+(-0.880005--0.547485))+0-185.6--0.473279999999973</f>
        <v>801.25158499999998</v>
      </c>
      <c r="G270" s="3">
        <f>864.3+(333.2-232)+(-0.440793+(-0.169932--0.11832))+0-187.9--0.0958289999999809</f>
        <v>777.20342400000004</v>
      </c>
      <c r="H270" s="3">
        <f>877.8+(333.2-262.3)+(-1.343034+(-0.509796--0.401319))+0-177.2--0.27111600000001</f>
        <v>770.31960500000002</v>
      </c>
      <c r="I270" s="3">
        <f>877+(340.1-267.5)+(1.34181+(0.520353-0.409275))+0-192.8-0.294984000000011</f>
        <v>757.95790399999998</v>
      </c>
      <c r="J270" s="3">
        <f>881.4+(326.8-254.2)+(0.449514+(0.166668-0.129642))+0-194-0.0989399999999803</f>
        <v>760.38760000000002</v>
      </c>
      <c r="K270" s="3">
        <f>877.2+(341.9-251.7)+(1.342116+(0.523107-0.385101))+0-192.3-0.294219000000011</f>
        <v>776.28590300000008</v>
      </c>
      <c r="L270" s="3">
        <f>876.9+(364.7-258.7)+(0.447219+(0.185997-0.131937))+0-182.4-0.0930239999999815</f>
        <v>800.90825499999994</v>
      </c>
      <c r="M270" s="3">
        <f>881+(399.2-252.3)+(0.44931+(0.203592-0.128673))+0-187.6-0.095675999999981</f>
        <v>840.72855300000015</v>
      </c>
      <c r="N270" s="3">
        <f>867.8+(453-231.5)+(0.442578+(0.23103-0.118065))+0-199.3-0.10164299999998</f>
        <v>890.45389999999998</v>
      </c>
      <c r="O270" s="3">
        <f>863.8+(475.8-219.9)+(-0.440538+(-0.242658--0.112149))+0-196.2--0.10006199999998</f>
        <v>923.02901500000007</v>
      </c>
      <c r="P270" s="3">
        <f>855.7+(610.8-342.7)+(-0.872814+(-0.623016--0.349554))+0-189.7--0.19349400000003</f>
        <v>933.14721799999995</v>
      </c>
      <c r="Q270" s="3">
        <f>903+(594.1-355.3)+(-1.84212+(-1.211964--0.724812))+0-190.6--0.388823999999992</f>
        <v>949.25955199999999</v>
      </c>
      <c r="R270" s="3">
        <f>898.3+(493.7-265.8)+(-2.748798+(-1.510722--0.813348))+0-185.6--0.567936000000021</f>
        <v>937.72176399999989</v>
      </c>
      <c r="S270" s="3">
        <f>840.6+(550-286.3)+(0+(0-0))+0-184.4-0</f>
        <v>919.9</v>
      </c>
      <c r="T270" s="3">
        <f>831.8+(510.3-241.8)+(-1.696872+(-1.041012--0.493272))+0-192.6--0.392903999999992</f>
        <v>905.84829200000001</v>
      </c>
      <c r="U270" s="3">
        <f>911.7+(433.1-240)+(0+(0-0))+0-191.6-0</f>
        <v>913.20000000000016</v>
      </c>
      <c r="V270" s="3">
        <f>989.2+(483.7-318)+(0+(0-0))+0-202.2-0</f>
        <v>952.7</v>
      </c>
      <c r="W270" s="3">
        <f>1079.8+(576.8-421.4)+(0+(0-0))+0-198.5-0</f>
        <v>1036.6999999999998</v>
      </c>
      <c r="X270" s="3">
        <f>1092.8+(518.3-394.8)+(-2.229312+(-1.057332--0.805392))+0-199--0.405959999999991</f>
        <v>1015.2247079999999</v>
      </c>
      <c r="Y270" s="3">
        <f>1098.6+(457.4-376.4)+(-1.680858+(-0.699822--0.575892))+0-201--0.307530000000012</f>
        <v>977.10274200000003</v>
      </c>
      <c r="Z270" s="3">
        <f>1110.4+(384-349.4)+(-0.566304+(-0.19584--0.178194))+0-206.1--0.105110999999979</f>
        <v>938.42116099999998</v>
      </c>
      <c r="AA270" s="3">
        <f>1116.8+(337.6-318.1)+(-2.278272+(-0.688704--0.648924))+0-211.1--0.430643999999991</f>
        <v>923.31259199999988</v>
      </c>
      <c r="AB270" s="3">
        <f>1119.7+(280.7-297.3)+(-2.855235+(-0.715785--0.758115))+0-205.1--0.52300499999997</f>
        <v>895.7100999999999</v>
      </c>
      <c r="AC270" s="3">
        <f>1116.8+(247.1-296.4)+(-2.84784+(-0.630105--0.75582))+0-210.2--0.536009999999969</f>
        <v>855.11388499999987</v>
      </c>
      <c r="AD270">
        <v>1027.9000000000001</v>
      </c>
      <c r="AE270" s="3">
        <f>1077+(581.2-422.9)+(0+(0-0))+0-196.4-0</f>
        <v>1038.9000000000001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1088.7+(217.6-285.2)+(-1.110474+(-0.221952--0.290904))+0-198.6--0.202572000000032</f>
        <v>821.66105000000005</v>
      </c>
      <c r="G271" s="3">
        <f>1085.5+(207.7-295)+(-2.21442+(-0.423708--0.6018))+0-208.8--0.425951999999991</f>
        <v>787.78962399999989</v>
      </c>
      <c r="H271" s="3">
        <f>1100.8+(177.2-289.5)+(-0.561408+(-0.090372--0.147645))+0-207.1--0.105620999999979</f>
        <v>781.00148599999989</v>
      </c>
      <c r="I271" s="3">
        <f>1105.1+(169.2-295.2)+(-1.127202+(-0.172584--0.301104))+0-204--0.208080000000033</f>
        <v>774.30939799999987</v>
      </c>
      <c r="J271" s="3">
        <f>1107.2+(176.1-306.9)+(0.564672+(0.089811-0.156519))+0-199.3-0.10164299999998</f>
        <v>777.49632100000008</v>
      </c>
      <c r="K271" s="3">
        <f>1114+(203.6-313.8)+(0+(0-0))+0-200.6-0</f>
        <v>803.19999999999993</v>
      </c>
      <c r="L271" s="3">
        <f>1120.8+(247.9-346.8)+(-0.571608+(-0.126429--0.176868))+0-195.2--0.0995519999999802</f>
        <v>826.27838299999996</v>
      </c>
      <c r="M271" s="3">
        <f>1113.5+(326-369.4)+(-3.975195+(-1.16382--1.318758))+0-200.6--0.716142000000003</f>
        <v>866.39588499999979</v>
      </c>
      <c r="N271" s="3">
        <f>1112.1+(369.9-380.9)+(1.134342+(0.377298-0.388518))+0-204.1-0.208182000000033</f>
        <v>897.91493999999977</v>
      </c>
      <c r="O271" s="3">
        <f>1109.5+(395.4-391.2)+(0+(0-0))+0-205.2-0</f>
        <v>908.5</v>
      </c>
      <c r="P271" s="3">
        <f>1108.9+(406.6-392.7)+(-2.262156+(-0.829464--0.801108))+0-199.4--0.406775999999991</f>
        <v>921.51626400000021</v>
      </c>
      <c r="Q271" s="3">
        <f>1097.9+(406-376.6)+(-1.119858+(-0.41412--0.384132))+0-195.7--0.199614000000031</f>
        <v>930.64976800000011</v>
      </c>
      <c r="R271" s="3">
        <f>1084.1+(409.4-377.4)+(-2.764455+(-1.04397--0.96237))+0-194.4--0.495719999999972</f>
        <v>919.34966499999996</v>
      </c>
      <c r="S271" s="3">
        <f>1072.7+(403.4-376.1)+(-1.641231+(-0.617202--0.575433))+0-192.4--0.294372000000011</f>
        <v>906.2113720000001</v>
      </c>
      <c r="T271" s="3">
        <f>1065.2+(415.9-383.4)+(-1.086504+(-0.424218--0.391068))+0-195.5--0.199410000000031</f>
        <v>901.27975600000002</v>
      </c>
      <c r="U271" s="3">
        <f>1057.7+(417.3-381)+(0.539427+(0.212823-0.19431))+0-194.8-0.0993479999999802</f>
        <v>899.658592</v>
      </c>
      <c r="V271" s="3">
        <f>1065.1+(486.5-421.5)+(1.086402+(0.49623-0.42993))+0-194.3-0.198186000000031</f>
        <v>936.75451599999997</v>
      </c>
      <c r="W271" s="3">
        <f>1090.3+(556.5-427.7)+(0+(0-0))+0-192.6-0</f>
        <v>1026.5</v>
      </c>
      <c r="X271" s="3">
        <f>1108.5+(497.1-399.5)+(-2.826675+(-1.267605--1.018725))+0-200.7--0.511784999999971</f>
        <v>1002.8362299999999</v>
      </c>
      <c r="Y271" s="3">
        <f>1114.2+(467.1-406.1)+(0.568242+(0.238221-0.207111))+0-193.3-0.0985829999999804</f>
        <v>982.40076900000008</v>
      </c>
      <c r="Z271" s="3">
        <f>1157.4+(372.1-389.9)+(-1.180548+(-0.379542--0.397698))+0-195.5--0.199410000000031</f>
        <v>943.13701800000024</v>
      </c>
      <c r="AA271" s="3">
        <f>1183.2+(301.9-366.6)+(-3.01716+(-0.769845--0.93483))+0-203.6--0.51917999999997</f>
        <v>912.56700499999999</v>
      </c>
      <c r="AB271" s="3">
        <f>1188.5+(232.1-339.8)+(-1.818405+(-0.355113--0.519894))+0-193.7--0.296361000000011</f>
        <v>885.74273699999992</v>
      </c>
      <c r="AC271" s="3">
        <f>1193.7+(178.8-335.6)+(-3.043935+(-0.45594--0.85578))+0-208.2--0.53090999999997</f>
        <v>826.58681499999989</v>
      </c>
      <c r="AD271">
        <v>1026</v>
      </c>
      <c r="AE271" s="3">
        <f>1095+(583.3-456.4)+(0+(0-0))+0-181.9-0</f>
        <v>1040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1172.6+(150-326.1)+(0+(0-0))+0-206.5-0</f>
        <v>789.99999999999989</v>
      </c>
      <c r="G272" s="3">
        <f>1161+(142.5-326.5)+(-2.36844+(-0.2907--0.66606))+0-201.8--0.411671999999991</f>
        <v>773.61859200000004</v>
      </c>
      <c r="H272" s="3">
        <f>1160.7+(136.8-332.8)+(-2.959785+(-0.34884--0.84864))+0-201--0.512549999999971</f>
        <v>761.752565</v>
      </c>
      <c r="I272" s="3">
        <f>1179.3+(135.7-351.3)+(1.804329+(0.207621-0.537489))+0-203-0.310590000000012</f>
        <v>761.8638709999999</v>
      </c>
      <c r="J272" s="3">
        <f>1178.1+(151.7-354.3)+(0+(0-0))+0-204.8-0</f>
        <v>770.69999999999982</v>
      </c>
      <c r="K272" s="3">
        <f>1172.8+(220-400.9)+(1.794384+(0.3366-0.613377))+0-205.3-0.314109000000012</f>
        <v>787.80349799999988</v>
      </c>
      <c r="L272" s="3">
        <f>1169.7+(287.3-397.4)+(-0.596547+(-0.146523--0.202674))+0-198.8--0.10138799999998</f>
        <v>860.36099200000001</v>
      </c>
      <c r="M272" s="3">
        <f>1148.4+(368.1-396.5)+(0.585684+(0.187731-0.202215))+0-200.7-0.10235699999998</f>
        <v>919.76884300000006</v>
      </c>
      <c r="N272" s="3">
        <f>1187.7+(392.1-415.5)+(-0.605727+(-0.199971--0.211905))+0-208.7--0.106436999999979</f>
        <v>955.11264400000016</v>
      </c>
      <c r="O272" s="3">
        <f>1284.5+(368.4-496.2)+(-1.965285+(-0.563652--0.759186))+0-197.4--0.302022000000011</f>
        <v>957.83227099999999</v>
      </c>
      <c r="P272" s="3">
        <f>1261.1+(385.9-492.6)+(-1.929483+(-0.590427--0.753678))+0-195.2--0.298656000000011</f>
        <v>957.73242399999992</v>
      </c>
      <c r="Q272" s="3">
        <f>1250.4+(363.7-461.6)+(-1.913112+(-0.556461--0.706248))+0-195.4--0.298962000000011</f>
        <v>955.63563700000009</v>
      </c>
      <c r="R272" s="3">
        <f>1234.7+(339.9-443.1)+(-1.889091+(-0.520047--0.677943))+0-195--0.298350000000011</f>
        <v>935.06715499999996</v>
      </c>
      <c r="S272" s="3">
        <f>1252.4+(319.5-452.1)+(-1.277448+(-0.32589--0.461142))+0-192.7--0.196554000000031</f>
        <v>926.15435800000012</v>
      </c>
      <c r="T272" s="3">
        <f>1269.8+(304.2-461.6)+(-2.590392+(-0.620568--0.941664))+0-186.6--0.380663999999992</f>
        <v>923.91136799999992</v>
      </c>
      <c r="U272" s="3">
        <f>1283+(283.6-465.4)+(-0.65433+(-0.144636--0.237354))+0-182.6--0.0931259999999815</f>
        <v>918.13151400000004</v>
      </c>
      <c r="V272" s="3">
        <f>1301.4+(314.6-472.2)+(-0.663714+(-0.160446--0.240822))+0-183.1--0.0933809999999814</f>
        <v>960.21004300000027</v>
      </c>
      <c r="W272" s="3">
        <f>1309.4+(396.3-469)+(-0.667794+(-0.202113--0.23919))+0-178.8--0.0911879999999819</f>
        <v>1057.360471</v>
      </c>
      <c r="X272" s="3">
        <f>1323.9+(353-467.1)+(-2.700756+(-0.72012--0.952884))+0-181.1--0.369443999999992</f>
        <v>1026.6014520000001</v>
      </c>
      <c r="Y272" s="3">
        <f>1332.8+(309.3-465.9)+(-3.39864+(-0.788715--1.188045))+0-182.2--0.464609999999974</f>
        <v>991.46530000000007</v>
      </c>
      <c r="Z272" s="3">
        <f>1331.1+(264.4-454.6)+(-3.394305+(-0.67422--1.15923))+0-180.1--0.459254999999974</f>
        <v>958.3499599999999</v>
      </c>
      <c r="AA272" s="3">
        <f>1339+(213.4-422.5)+(-2.04867+(-0.326502--0.646425))+0-187.2--0.286416000000011</f>
        <v>941.25766899999996</v>
      </c>
      <c r="AB272" s="3">
        <f>1343.5+(167.5-422.3)+(-3.425925+(-0.427125--1.076865))+0-184.5--0.470474999999973</f>
        <v>901.89429000000007</v>
      </c>
      <c r="AC272" s="3">
        <f>1349.4+(130.5-434.3)+(-3.44097+(-0.332775--1.107465))+0-184.1--0.469454999999973</f>
        <v>859.30317500000012</v>
      </c>
      <c r="AD272">
        <v>1046.8999999999999</v>
      </c>
      <c r="AE272" s="3">
        <f>1305+(394.7-469.1)+(0+(0-0))+0-169.7-0</f>
        <v>1060.8999999999999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1301+(122.9-445.9)+(0+(0-0))+0-183.4-0</f>
        <v>794.6</v>
      </c>
      <c r="G273" s="3">
        <f>1326.2+(120.7-456.1)+(0+(0-0))+0-184.9-0</f>
        <v>805.9</v>
      </c>
      <c r="H273" s="3">
        <f>1326.7+(118.3-467.9)+(0+(0-0))+0-185-0</f>
        <v>792.10000000000014</v>
      </c>
      <c r="I273" s="3">
        <f>1329.1+(112-466.9)+(0+(0-0))+0-195.2-0</f>
        <v>779</v>
      </c>
      <c r="J273" s="3">
        <f>1334.6+(132.2-488.7)+(0+(0-0))+0-193.7-0</f>
        <v>784.39999999999986</v>
      </c>
      <c r="K273" s="3">
        <f>1336.8+(171.3-516.7)+(0+(0-0))+0-188.8-0</f>
        <v>802.59999999999991</v>
      </c>
      <c r="L273" s="3">
        <f>1339.6+(238.5-538.2)+(0+(0-0))+0-184.5-0</f>
        <v>855.39999999999986</v>
      </c>
      <c r="M273" s="3">
        <f>1324.3+(308.3-536.4)+(0+(0-0))+0-180.7-0</f>
        <v>915.5</v>
      </c>
      <c r="N273" s="3">
        <f>1318.5+(355-544.2)+(0+(0-0))+0-182.4-0</f>
        <v>946.9</v>
      </c>
      <c r="O273" s="3">
        <f>1329.6+(293.9-501.9)+(-1.356192+(-0.299778--0.511938))+0-177--0.180540000000028</f>
        <v>943.63650800000005</v>
      </c>
      <c r="P273" s="3">
        <f>1303.1+(288.7-474)+(-1.993743+(-0.441711--0.72522))+0-177.7--0.27188100000001</f>
        <v>938.66164700000002</v>
      </c>
      <c r="Q273" s="3">
        <f>1293.5+(288.9-463.9)+(-1.979055+(-0.442017--0.709767))+0-174.6--0.26713800000001</f>
        <v>942.45583299999998</v>
      </c>
      <c r="R273" s="3">
        <f>1296+(274.4-472)+(-2.64384+(-0.559776--0.96288))+0-171.4--0.349655999999993</f>
        <v>925.10892000000013</v>
      </c>
      <c r="S273" s="3">
        <f>1294.5+(256.1-467.2)+(-3.300975+(-0.653055--1.19136))+0-168.2--0.428909999999976</f>
        <v>912.86623999999995</v>
      </c>
      <c r="T273" s="3">
        <f>1297.8+(279-495.2)+(0+(0-0))+0-172.5-0</f>
        <v>909.09999999999991</v>
      </c>
      <c r="U273" s="3">
        <f>1297.9+(300.4-511.7)+(-3.309645+(-0.76602--1.304835))+0-169.3--0.431714999999975</f>
        <v>914.96088500000019</v>
      </c>
      <c r="V273" s="3">
        <f>1303.6+(334.8-510.6)+(-0.664836+(-0.170748--0.260406))+0-158.4--0.0807839999999839</f>
        <v>968.90560599999992</v>
      </c>
      <c r="W273" s="3">
        <f>1316.9+(408.1-507.6)+(0.671619+(0.208131-0.258876))+0-163-0.0831299999999835</f>
        <v>1054.9377440000001</v>
      </c>
      <c r="X273" s="3">
        <f>1340.2+(380.3-522.2)+(-1.367004+(-0.387906--0.532644))+0-158.9--0.162078000000025</f>
        <v>1038.3398119999999</v>
      </c>
      <c r="Y273" s="3">
        <f>1354.2+(336.7-527.5)+(-1.381284+(-0.343434--0.53805))+0-152.7--0.155754000000024</f>
        <v>1009.669086</v>
      </c>
      <c r="Z273" s="3">
        <f>1360.9+(304.5-525.2)+(-2.776236+(-0.62118--1.071408))+0-158.7--0.323747999999993</f>
        <v>979.49774000000002</v>
      </c>
      <c r="AA273" s="3">
        <f>1333.4+(257-472.3)+(-2.720136+(-0.52428--0.963492))+0-161.3--0.329051999999993</f>
        <v>954.84812800000032</v>
      </c>
      <c r="AB273" s="3">
        <f>1330.3+(208.3-456.5)+(-2.035359+(-0.318699--0.698445))+0-168.9--0.25841700000001</f>
        <v>911.80280400000004</v>
      </c>
      <c r="AC273" s="3">
        <f>1340.6+(195.8-496.5)+(-2.734824+(-0.399432--1.01286))+0-170.3--0.347411999999993</f>
        <v>867.82601599999987</v>
      </c>
      <c r="AD273">
        <v>1038.5</v>
      </c>
      <c r="AE273" s="3">
        <f>1311+(414.9-510.2)+(0+(0-0))+0-164.2-0</f>
        <v>1051.5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1346.6+(153.1-504.5)+(-2.060298+(-0.234243--0.771885))+0-172.2--0.26346600000001</f>
        <v>821.7408099999999</v>
      </c>
      <c r="G274" s="3">
        <f>1357.6+(133.1-514.7)+(-3.46188+(-0.339405--1.312485))+0-167.9--0.428144999999976</f>
        <v>806.03934499999991</v>
      </c>
      <c r="H274" s="3">
        <f>1360.3+(124.3-518.5)+(-0.693753+(-0.063393--0.264435))+0-166.7--0.0850169999999831</f>
        <v>798.99230599999999</v>
      </c>
      <c r="I274" s="3">
        <f>1356.1+(122.9-518.1)+(0+(0-0))+0-166.2-0</f>
        <v>794.69999999999982</v>
      </c>
      <c r="J274" s="3">
        <f>1350.2+(134.2-520.3)+(0.688602+(0.068442-0.265353))+0-165.7-0.0845069999999832</f>
        <v>798.80718400000001</v>
      </c>
      <c r="K274" s="3">
        <f>1358+(178.9-551.5)+(2.77032+(0.364956-1.12506))+0-164.7-0.335987999999993</f>
        <v>822.3742279999999</v>
      </c>
      <c r="L274" s="3">
        <f>1356+(243.9-569.8)+(2.07468+(0.373167-0.871794))+0-161.7-0.247401000000009</f>
        <v>869.7286519999999</v>
      </c>
      <c r="M274" s="3">
        <f>1361.8+(266-543.5)+(0+(0-0))+0-167.8-0</f>
        <v>916.5</v>
      </c>
      <c r="N274" s="3">
        <f>1350.1+(294.2-528.1)+(-0.688551+(-0.150042--0.269331))+0-168.2--0.0857819999999829</f>
        <v>947.51651999999979</v>
      </c>
      <c r="O274" s="3">
        <f>1310.9+(281.1-464.6)+(-1.337118+(-0.286722--0.473892))+0-166.6--0.169932000000027</f>
        <v>959.81998400000009</v>
      </c>
      <c r="P274" s="3">
        <f>1339.1+(241.2-440)+(-1.365882+(-0.246024--0.4488))+0-163.8--0.167076000000026</f>
        <v>975.50397000000009</v>
      </c>
      <c r="Q274" s="3">
        <f>1289.9+(272.4-419.9)+(-2.631396+(-0.555696--0.856596))+0-172.4--0.351695999999992</f>
        <v>968.02120000000002</v>
      </c>
      <c r="R274" s="3">
        <f>1323.8+(247.9-437.3)+(-2.025414+(-0.379287--0.669069))+0-174--0.26622000000001</f>
        <v>958.93058799999994</v>
      </c>
      <c r="S274" s="3">
        <f>1320.5+(216.9-403)+(-1.34691+(-0.221238--0.41106))+0-170.3--0.173706000000027</f>
        <v>963.11661800000024</v>
      </c>
      <c r="T274" s="3">
        <f>1318.7+(227.1-407.9)+(-1.345074+(-0.231642--0.416058))+0-176.2--0.179724000000028</f>
        <v>960.71906600000011</v>
      </c>
      <c r="U274" s="3">
        <f>1325.9+(234.4-429.5)+(-0.676209+(-0.119544--0.219045))+0-174.1--0.0887909999999823</f>
        <v>956.21208300000012</v>
      </c>
      <c r="V274" s="3">
        <f>1335.8+(263-431.6)+(-0.681258+(-0.13413--0.220116))+0-174--0.0887399999999823</f>
        <v>992.69346799999983</v>
      </c>
      <c r="W274" s="3">
        <f>1346.7+(357.4-470.4)+(1.373634+(0.364548-0.479808))+0-175-0.178500000000028</f>
        <v>1059.7798740000001</v>
      </c>
      <c r="X274" s="3">
        <f>1360+(324.6-467.7)+(0+(0-0))+0-175.6-0</f>
        <v>1041.3000000000002</v>
      </c>
      <c r="Y274" s="3">
        <f>1361.8+(287.5-459.4)+(-4.167108+(-0.87975--1.405764))+0-174.8--0.53488800000002</f>
        <v>1011.9937940000001</v>
      </c>
      <c r="Z274" s="3">
        <f>1364.2+(243.5-459.6)+(0+(0-0))+0-177-0</f>
        <v>971.09999999999991</v>
      </c>
      <c r="AA274" s="3">
        <f>1363.9+(211.8-455.1)+(-2.086767+(-0.324054--0.696303))+0-173.1--0.26484300000001</f>
        <v>946.05032500000016</v>
      </c>
      <c r="AB274" s="3">
        <f>1375.4+(180.6-464.3)+(-2.805816+(-0.368424--0.947172))+0-178.3--0.363731999999992</f>
        <v>911.5366640000002</v>
      </c>
      <c r="AC274" s="3">
        <f>1394.5+(134.7-473.7)+(-3.555975+(-0.343485--1.207935))+0-177.5--0.452624999999974</f>
        <v>875.76110000000006</v>
      </c>
      <c r="AD274">
        <v>1026.3000000000002</v>
      </c>
      <c r="AE274" s="3">
        <f>1356+(327.3-470.4)+(0+(0-0))+0-173.6-0</f>
        <v>1039.3000000000002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1402+(108.5-500.8)+(-2.86008+(-0.22134--1.021632))+0-174.9--0.356795999999992</f>
        <v>833.09700800000007</v>
      </c>
      <c r="G275" s="3">
        <f>1408.1+(106.9-523.9)+(-1.436262+(-0.109038--0.534378))+0-175.8--0.179316000000028</f>
        <v>814.46839399999976</v>
      </c>
      <c r="H275" s="3">
        <f>1268.9+(146.3-444.4)+(-0.647139+(-0.074613--0.226644))+0-171.2--0.0873119999999826</f>
        <v>799.19220400000029</v>
      </c>
      <c r="I275" s="3">
        <f>1222.4+(158.1-419.8)+(0.623424+(0.080631-0.214098))+0-168.9-0.0861389999999829</f>
        <v>792.20381800000007</v>
      </c>
      <c r="J275" s="3">
        <f>1214.5+(147.1-392)+(-3.71637+(-0.450126--1.19952))+0-169.5--0.51867000000002</f>
        <v>797.65169400000002</v>
      </c>
      <c r="K275" s="3">
        <f>1210.3+(173.1-395.9)+(2.469012+(0.353124-0.807636))+0-169.3-0.345371999999993</f>
        <v>819.86912800000005</v>
      </c>
      <c r="L275" s="3">
        <f>1298.1+(226.2-479.4)+(1.324062+(0.230724-0.488988))+0-166.6-0.169932000000027</f>
        <v>879.19586599999991</v>
      </c>
      <c r="M275" s="3">
        <f>1421.2+(238.3-556.7)+(-3.62406+(-0.607665--1.419585))+0-170.1--0.433754999999975</f>
        <v>930.32161499999995</v>
      </c>
      <c r="N275" s="3">
        <f>1413.1+(270.2-565.8)+(0.720681+(0.137802-0.288558))+0-166.9-0.0851189999999831</f>
        <v>951.08480600000007</v>
      </c>
      <c r="O275" s="3">
        <f>1406.8+(238.9-520.6)+(-1.434936+(-0.243678--0.531012))+0-160.2--0.163404000000026</f>
        <v>963.91580199999987</v>
      </c>
      <c r="P275" s="3">
        <f>1392.3+(207-461.3)+(0.710073+(0.10557-0.235263))+0-169.6-0.0864959999999828</f>
        <v>968.89388400000007</v>
      </c>
      <c r="Q275" s="3">
        <f>1390.5+(214.7-459.7)+(-0.709155+(-0.109497--0.234447))+0-171--0.0872099999999826</f>
        <v>974.00300499999992</v>
      </c>
      <c r="R275" s="3">
        <f>1386.7+(192.2-455.1)+(-3.536085+(-0.49011--1.160505))+0-171.7--0.437834999999975</f>
        <v>949.67214499999977</v>
      </c>
      <c r="S275" s="3">
        <f>1350+(180-447.6)+(-2.0655+(-0.2754--0.684828))+0-172.8--0.26438400000001</f>
        <v>908.20831200000021</v>
      </c>
      <c r="T275" s="3">
        <f>1373.6+(175.2-454)+(-0.700536+(-0.089352--0.23154))+0-173.3--0.0883829999999824</f>
        <v>921.030035</v>
      </c>
      <c r="U275" s="3">
        <f>1365.8+(196.7-479)+(2.786232+(0.401268-0.97716))+0-168.7-0.344147999999993</f>
        <v>916.66619200000002</v>
      </c>
      <c r="V275" s="3">
        <f>1360.9+(258.2-497.2)+(-1.388118+(-0.263364--0.507144))+0-169.1--0.172482000000027</f>
        <v>951.82814400000007</v>
      </c>
      <c r="W275" s="3">
        <f>1368.7+(368.7-529.2)+(0.698037+(0.188037-0.269892))+0-173.5-0.0884849999999824</f>
        <v>1035.227697</v>
      </c>
      <c r="X275" s="3">
        <f>1380.1+(328.1-543)+(-2.815404+(-0.669324--1.10772))+0-173--0.352919999999992</f>
        <v>990.17591199999993</v>
      </c>
      <c r="Y275" s="3">
        <f>1384.6+(301.1-542.6)+(-2.824584+(-0.614244--1.106904))+0-171.4--0.349655999999993</f>
        <v>969.71773199999984</v>
      </c>
      <c r="Z275" s="3">
        <f>1381.7+(266.8-531.4)+(-2.114001+(-0.408204--0.813042))+0-177.7--0.27188100000001</f>
        <v>937.96271800000011</v>
      </c>
      <c r="AA275" s="3">
        <f>1382.9+(221.1-503.7)+(-2.115837+(-0.338283--0.770661))+0-178.6--0.27325800000001</f>
        <v>920.28979900000013</v>
      </c>
      <c r="AB275" s="3">
        <f>1382.1+(155.4-478.4)+(-2.114613+(-0.237762--0.731952))+0-179.6--0.27478800000001</f>
        <v>878.15436499999987</v>
      </c>
      <c r="AC275" s="3">
        <f>1389+(114.5-486.7)+(-3.54195+(-0.291975--1.241085))+0-179.8--0.458489999999974</f>
        <v>834.86564999999996</v>
      </c>
      <c r="AD275">
        <v>998.19999999999982</v>
      </c>
      <c r="AE275" s="3">
        <f>1370+(347.6-532.7)+(0+(0-0))+0-171.7-0</f>
        <v>1013.2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1351.5+(127.3-491.9)+(-2.067795+(-0.194769--0.752607))+0-178.3--0.27279900000001</f>
        <v>807.36284200000011</v>
      </c>
      <c r="G276" s="3">
        <f>1344.3+(148.4-530.8)+(-1.371186+(-0.151368--0.541416))+0-178.7--0.182274000000028</f>
        <v>782.40113599999995</v>
      </c>
      <c r="H276" s="3">
        <f>1345.9+(136-532.7)+(-1.372818+(-0.13872--0.543354))+0-179.1--0.182682000000029</f>
        <v>769.31449800000007</v>
      </c>
      <c r="I276" s="3">
        <f>1350.2+(139.3-536)+(0.688602+(0.071043-0.27336))+0-183.7-0.0936869999999814</f>
        <v>770.19259799999998</v>
      </c>
      <c r="J276" s="3">
        <f>1353.3+(136.7-526.3)+(0.690183+(0.069717-0.268413))+0-188-0.0958799999999809</f>
        <v>776.09560700000009</v>
      </c>
      <c r="K276" s="3">
        <f>1356.7+(157.2-532.1)+(0.691917+(0.080172-0.271371))+0-180-0.0917999999999817</f>
        <v>802.20891799999993</v>
      </c>
      <c r="L276" s="3">
        <f>1361.4+(226.7-549.2)+(0.694314+(0.115617-0.280092))+0-183.9-0.0937889999999813</f>
        <v>855.43605000000014</v>
      </c>
      <c r="M276" s="3">
        <f>1374.6+(246.1-545.4)+(-1.402092+(-0.251022--0.556308))+0-177.2--0.180744000000028</f>
        <v>897.1839379999999</v>
      </c>
      <c r="N276" s="3">
        <f>1388.4+(297.9-576.8)+(2.124252+(0.455787-0.882504))+0-180.5-0.27616500000001</f>
        <v>930.42137000000002</v>
      </c>
      <c r="O276" s="3">
        <f>1384.7+(300.5-552.1)+(-3.530985+(-0.766275--1.407855))+0-183.4--0.467669999999973</f>
        <v>947.27826500000003</v>
      </c>
      <c r="P276" s="3">
        <f>1372.8+(288.5-510.8)+(-0.700128+(-0.147135--0.260508))+0-191.1--0.0974609999999806</f>
        <v>958.91070599999989</v>
      </c>
      <c r="Q276" s="3">
        <f>1361.7+(289.6-493.4)+(-2.083401+(-0.443088--0.754902))+0-191.7--0.293301000000011</f>
        <v>964.72171400000013</v>
      </c>
      <c r="R276" s="3">
        <f>1352+(277.4-511.8)+(-1.37904+(-0.282948--0.522036))+0-165.5--0.168810000000026</f>
        <v>951.12885799999992</v>
      </c>
      <c r="S276" s="3">
        <f>1343.8+(277.8-502.2)+(-1.370676+(-0.283356--0.512244))+0-172.2--0.175644000000027</f>
        <v>946.23385600000017</v>
      </c>
      <c r="T276" s="3">
        <f>1340.1+(261.3-491.4)+(-2.050353+(-0.399789--0.751842))+0-174.3--0.26667900000001</f>
        <v>934.26837899999998</v>
      </c>
      <c r="U276" s="3">
        <f>1335+(281.7-506.9)+(-3.40425+(-0.718335--1.292595))+0-169.7--0.432734999999975</f>
        <v>937.70274499999994</v>
      </c>
      <c r="V276" s="3">
        <f>1334.6+(323.1-518.2)+(1.361292+(0.329562-0.528564))+0-169.6-0.172992000000027</f>
        <v>970.88929799999994</v>
      </c>
      <c r="W276" s="3">
        <f>1344+(439.4-554.2)+(-2.05632+(-0.672282--0.847926))+0-170.1--0.26025300000001</f>
        <v>1057.4795769999998</v>
      </c>
      <c r="X276" s="3">
        <f>1360.2+(397.8-549.8)+(-2.774808+(-0.811512--1.121592))+0-173--0.352919999999992</f>
        <v>1033.0881920000002</v>
      </c>
      <c r="Y276" s="3">
        <f>1362.5+(325.2-531.1)+(1.38975+(0.331704-0.541722))+0-165.6-0.168912000000026</f>
        <v>992.01081999999997</v>
      </c>
      <c r="Z276" s="3">
        <f>1371.8+(271.3-523.9)+(-2.798472+(-0.553452--1.068756))+0-169.9--0.346595999999993</f>
        <v>947.36342800000011</v>
      </c>
      <c r="AA276" s="3">
        <f>1379.7+(226.6-485.1)+(-2.814588+(-0.462264--0.989604))+0-183.8--0.374951999999992</f>
        <v>935.48770400000001</v>
      </c>
      <c r="AB276" s="3">
        <f>1381.5+(179.2-466.4)+(0.704565+(0.091392-0.237864))+0-183.2-0.0934319999999814</f>
        <v>911.564661</v>
      </c>
      <c r="AC276" s="3">
        <f>1234.7+(205.2-387)+(-0.629697+(-0.104652--0.19737))+0-180.9--0.0922589999999816</f>
        <v>871.55528000000015</v>
      </c>
      <c r="AD276">
        <v>1034.5</v>
      </c>
      <c r="AE276" s="3">
        <f>1353+(413.7-554.2)+(0+(0-0))+0-170-0</f>
        <v>1042.5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978.7+(282.6-235.5)+(-0.499137+(-0.144126--0.120105))+0-183.4--0.0935339999999814</f>
        <v>841.97037600000021</v>
      </c>
      <c r="G277" s="3">
        <f>870.4+(352.2-227.2)+(-0.443904+(-0.179622--0.115872))+0-182.2--0.0929219999999815</f>
        <v>812.78526799999997</v>
      </c>
      <c r="H277" s="3">
        <f>779.2+(384.2-185.2)+(0+(0-0))+0-181.9-0</f>
        <v>796.30000000000007</v>
      </c>
      <c r="I277" s="3">
        <f>787.7+(374.2-183.2)+(-0.401727+(-0.190842--0.093432))+0-183--0.0933299999999814</f>
        <v>795.29419300000006</v>
      </c>
      <c r="J277" s="3">
        <f>782.8+(403.3-210.4)+(0.399228+(0.205683-0.107304))+0-186.9-0.095318999999981</f>
        <v>789.20228799999995</v>
      </c>
      <c r="K277" s="3">
        <f>780.3+(431.5-215.2)+(0+(0-0))+0-186.1-0</f>
        <v>810.49999999999989</v>
      </c>
      <c r="L277" s="3">
        <f>788.6+(507.9-262.4)+(0.402186+(0.259029-0.133824))+0-183.7-0.0936869999999814</f>
        <v>850.83370400000001</v>
      </c>
      <c r="M277" s="3">
        <f>781.2+(591.2-277.9)+(0+(0-0))+0-187.4-0</f>
        <v>907.1</v>
      </c>
      <c r="N277" s="3">
        <f>797.8+(537.9-213.1)+(-0.813756+(-0.548658--0.217362))+0-184.3--0.187986000000029</f>
        <v>937.3429339999999</v>
      </c>
      <c r="O277" s="3">
        <f>822.5+(521.5-192.3)+(0.419475+(0.265965-0.098073))+0-187.4-0.095573999999981</f>
        <v>964.79179300000021</v>
      </c>
      <c r="P277" s="3">
        <f>936.8+(476.6-242.1)+(1.433304+(0.729198-0.370413))+0-188.2-0.287946000000011</f>
        <v>984.60414299999991</v>
      </c>
      <c r="Q277" s="3">
        <f>940.6+(512.9-270.8)+(-0.479706+(-0.261579--0.138108))+0-187.3--0.095522999999981</f>
        <v>994.89234600000009</v>
      </c>
      <c r="R277" s="3">
        <f>932.8+(498.2-269.9)+(-2.37864+(-1.27041--0.688245))+0-190.5--0.485774999999972</f>
        <v>968.12496999999996</v>
      </c>
      <c r="S277" s="3">
        <f>930.1+(466.4-269.8)+(-1.897404+(-0.951456--0.550392))+0-185--0.377399999999992</f>
        <v>939.77893200000005</v>
      </c>
      <c r="T277" s="3">
        <f>925.7+(423.1-224.4)+(-0.472107+(-0.215781--0.114444))+0-185.8--0.0947579999999812</f>
        <v>938.12131399999998</v>
      </c>
      <c r="U277" s="3">
        <f>925.2+(439.1-245)+(-2.35926+(-1.119705--0.62475))+0-185.4--0.472769999999973</f>
        <v>931.51855500000011</v>
      </c>
      <c r="V277" s="3">
        <f>928+(478.4-260.9)+(1.41984+(0.731952-0.399177))+0-187.7-0.287181000000011</f>
        <v>959.26543400000003</v>
      </c>
      <c r="W277" s="3">
        <f>939.2+(618.8-317.4)+(0+(0-0))+0-189-0</f>
        <v>1051.5999999999999</v>
      </c>
      <c r="X277" s="3">
        <f>955+(593.2-327.4)+(-2.43525+(-1.51266--0.83487))+0-185.8--0.473789999999973</f>
        <v>1032.3607500000003</v>
      </c>
      <c r="Y277" s="3">
        <f>964+(527.6-315.1)+(-2.4582+(-1.34538--0.803505))+0-184.1--0.469454999999973</f>
        <v>989.86937999999998</v>
      </c>
      <c r="Z277" s="3">
        <f>966.6+(493.7-312.1)+(-1.478898+(-0.755361--0.477513))+0-184.8--0.282744000000011</f>
        <v>961.92599800000005</v>
      </c>
      <c r="AA277" s="3">
        <f>977.9+(471.7-312.6)+(-0.498729+(-0.240567--0.159426))+0-189.3--0.0965429999999808</f>
        <v>947.21667300000001</v>
      </c>
      <c r="AB277" s="3">
        <f>985.2+(427.8-312.8)+(-1.507356+(-0.654534--0.478584))+0-187.1--0.286263000000011</f>
        <v>911.70295700000008</v>
      </c>
      <c r="AC277" s="3">
        <f>984.8+(377.7-304.3)+(-1.004496+(-0.385254--0.310386))+0-186.8--0.19053600000003</f>
        <v>870.51117199999999</v>
      </c>
      <c r="AD277">
        <v>1065.5</v>
      </c>
      <c r="AE277" s="3">
        <f>953+(656-341.5)+(0+(0-0))+0-190-0</f>
        <v>1077.5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982+(348.6-316.2)+(0+(0-0))+0-184.7-0</f>
        <v>829.7</v>
      </c>
      <c r="G278" s="3">
        <f>983.2+(344.9-348.2)+(-2.50716+(-0.879495--0.88791))+0-174.6--0.445229999999975</f>
        <v>803.24648500000001</v>
      </c>
      <c r="H278" s="3">
        <f>983+(328.9-344.2)+(-2.00532+(-0.670956--0.702168))+0-171.8--0.350471999999993</f>
        <v>794.27636399999994</v>
      </c>
      <c r="I278" s="3">
        <f>947.3+(329-307)+(0.483123+(0.16779-0.15657))+0-174.6-0.0890459999999823</f>
        <v>795.10529699999995</v>
      </c>
      <c r="J278" s="3">
        <f>948.3+(321.2-294.9)+(0.483633+(0.163812-0.150399))+0-182.6-0.0931259999999815</f>
        <v>792.40391999999986</v>
      </c>
      <c r="K278" s="3">
        <f>950.6+(375.8-330.4)+(0+(0-0))+0-185.8-0</f>
        <v>810.2</v>
      </c>
      <c r="L278" s="3">
        <f>952.6+(412.6-341.6)+(-0.485826+(-0.210426--0.174216))+0-184.3--0.0939929999999813</f>
        <v>838.87195700000007</v>
      </c>
      <c r="M278" s="3">
        <f>947.8+(451.2-341.7)+(0.966756+(0.460224-0.348534))+0-188.4-0.19216800000003</f>
        <v>869.78627799999992</v>
      </c>
      <c r="N278" s="3">
        <f>938.2+(483.6-334.3)+(0.956964+(0.493272-0.340986))+0-184.8-0.188496000000029</f>
        <v>903.62075400000003</v>
      </c>
      <c r="O278" s="3">
        <f>719.8+(730.2-317.2)+(0+(0-0))+0-185.1-0</f>
        <v>947.69999999999993</v>
      </c>
      <c r="P278" s="3">
        <f>686.6+(812.4-339.8)+(-0.700332+(-0.828648--0.346596))+0-187--0.19074000000003</f>
        <v>971.20835600000009</v>
      </c>
      <c r="Q278" s="3">
        <f>674.3+(857.4-371.3)+(0.687786+(0.874548-0.378726))+0-182.6-0.186252000000029</f>
        <v>978.79735599999981</v>
      </c>
      <c r="R278" s="3">
        <f>706.4+(827.2-399)+(-1.080792+(-1.265616--0.61047))+0-179.9--0.27524700000001</f>
        <v>953.23930899999993</v>
      </c>
      <c r="S278" s="3">
        <f>709.1+(796.3-379.1)+(-1.808205+(-2.030565--0.966705))+0-182.3--0.464864999999974</f>
        <v>941.5927999999999</v>
      </c>
      <c r="T278" s="3">
        <f>707.2+(743.1-332.5)+(-1.082016+(-1.136943--0.508725))+0-181.8--0.278154000000011</f>
        <v>934.5679200000003</v>
      </c>
      <c r="U278" s="3">
        <f>767.5+(662.4-297.6)+(-1.5657+(-1.351296--0.607104))+0-184--0.375359999999992</f>
        <v>946.36546799999996</v>
      </c>
      <c r="V278" s="3">
        <f>860.5+(604.8-295.5)+(-0.438855+(-0.308448--0.150705))+0-187.3--0.095522999999981</f>
        <v>981.99892499999987</v>
      </c>
      <c r="W278" s="3">
        <f>910.5+(683.9-350.9)+(0.464355+(0.348789-0.178959))+0-191.3-0.0975629999999806</f>
        <v>1052.7366219999999</v>
      </c>
      <c r="X278" s="3">
        <f>923.2+(608.8-321.8)+(-1.883328+(-1.241952--0.656472))+0-193.1--0.393923999999992</f>
        <v>1015.0251159999999</v>
      </c>
      <c r="Y278" s="3">
        <f>926.9+(564.9-309.7)+(1.418157+(0.864297-0.473841))+0-191.9-0.293607000000011</f>
        <v>991.71500599999979</v>
      </c>
      <c r="Z278" s="3">
        <f>926.2+(515-298)+(-0.472362+(-0.26265--0.15198))+0-193.3--0.0985829999999804</f>
        <v>949.41555100000005</v>
      </c>
      <c r="AA278" s="3">
        <f>930.7+(475.4-270.5)+(-1.423971+(-0.727362--0.413865))+0-198.4--0.303552000000011</f>
        <v>935.76608399999986</v>
      </c>
      <c r="AB278" s="3">
        <f>935.1+(400.9-250.8)+(-0.953802+(-0.408918--0.255816))+0-195.1--0.199002000000031</f>
        <v>889.1920980000001</v>
      </c>
      <c r="AC278" s="3">
        <f>944+(339.7-245.6)+(-1.44432+(-0.519741--0.375768))+0-191.5--0.292995000000011</f>
        <v>845.30470199999991</v>
      </c>
      <c r="AD278">
        <v>1006.3999999999999</v>
      </c>
      <c r="AE278" s="3">
        <f>910+(638.3-340.7)+(0+(0-0))+0-188.2-0</f>
        <v>1019.3999999999999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943.6+(334.5-277.8)+(-2.40618+(-0.852975--0.70839))+0-193--0.492149999999972</f>
        <v>805.24138499999992</v>
      </c>
      <c r="G279" s="3">
        <f>946.2+(301.9-274.6)+(-1.447686+(-0.461907--0.420138))+0-187.6--0.287028000000011</f>
        <v>784.69757299999992</v>
      </c>
      <c r="H279" s="3">
        <f>948.7+(287.1-278.6)+(-2.419185+(-0.732105--0.71043))+0-181--0.461549999999974</f>
        <v>774.22068999999999</v>
      </c>
      <c r="I279" s="3">
        <f>951.1+(301-299.4)+(-0.970122+(-0.30702--0.305388))+0-179.5--0.183090000000029</f>
        <v>772.41133600000001</v>
      </c>
      <c r="J279" s="3">
        <f>951.1+(369.7-357.3)+(0+(0-0))+0-183.4-0</f>
        <v>780.1</v>
      </c>
      <c r="K279" s="3">
        <f>951.2+(366.8-333.6)+(-0.970224+(-0.374136--0.340272))+0-183.1--0.186762000000029</f>
        <v>800.48267400000009</v>
      </c>
      <c r="L279" s="3">
        <f>952.4+(410.4-312.7)+(0.485724+(0.209304-0.159477))+0-180.8-0.0922079999999817</f>
        <v>869.74334299999987</v>
      </c>
      <c r="M279" s="3">
        <f>947+(444.8-301.2)+(0.96594+(0.453696-0.307224))+0-177.3-0.180846000000028</f>
        <v>914.23156599999993</v>
      </c>
      <c r="N279" s="3">
        <f>937+(491.2-296.9)+(0.47787+(0.250512-0.151419))+0-162.5-0.0828749999999835</f>
        <v>969.29408799999999</v>
      </c>
      <c r="O279" s="3">
        <f>924.5+(494.8-288.9)+(1.88598+(1.009392-0.589356))+0-154.6-0.315383999999993</f>
        <v>977.79063200000007</v>
      </c>
      <c r="P279" s="3">
        <f>919.4+(480.8-279)+(0.468894+(0.245208-0.14229))+0-149.6-0.0762959999999848</f>
        <v>972.09551599999998</v>
      </c>
      <c r="Q279" s="3">
        <f>907.3+(489.2-271.4)+(0.462723+(0.249492-0.138414))+0-146.3-0.0746129999999852</f>
        <v>979.29918799999996</v>
      </c>
      <c r="R279" s="3">
        <f>904.5+(475.9-275.6)+(-2.306475+(-1.213545--0.70278))+0-143.6--0.366179999999979</f>
        <v>958.74893999999983</v>
      </c>
      <c r="S279" s="3">
        <f>898.2+(457.5-263.9)+(0.458082+(0.233325-0.134589))+0-148.1-0.075530999999985</f>
        <v>944.18128700000022</v>
      </c>
      <c r="T279" s="3">
        <f>899.3+(449.6-252.4)+(0.917286+(0.458592-0.257448))+0-163.3-0.166566000000026</f>
        <v>934.15186400000005</v>
      </c>
      <c r="U279" s="3">
        <f>898.5+(458.7-263.4)+(0+(0-0))+0-161.3-0</f>
        <v>932.5</v>
      </c>
      <c r="V279" s="3">
        <f>905.5+(513.8-287)+(-0.92361+(-0.524076--0.29274))+0-161.8--0.165036000000026</f>
        <v>969.51008999999988</v>
      </c>
      <c r="W279" s="3">
        <f>920+(613.8-306.3)+(0+(0-0))+0-167.4-0</f>
        <v>1060.0999999999999</v>
      </c>
      <c r="X279" s="3">
        <f>930.4+(594.7-316.1)+(-0.949008+(-0.606594--0.322422))+0-165.4--0.168708000000026</f>
        <v>1042.5355279999999</v>
      </c>
      <c r="Y279" s="3">
        <f>934+(575.7-332.3)+(-1.90536+(-1.174428--0.677892))+0-174.6--0.356183999999992</f>
        <v>1000.754288</v>
      </c>
      <c r="Z279" s="3">
        <f>940.9+(509.8-287.4)+(-0.479859+(-0.259998--0.146574))+0-188.8--0.0962879999999808</f>
        <v>974.00300500000003</v>
      </c>
      <c r="AA279" s="3">
        <f>951.1+(450.1-251.7)+(-0.970122+(-0.459102--0.256734))+0-187.9--0.19165800000003</f>
        <v>960.61916800000017</v>
      </c>
      <c r="AB279" s="3">
        <f>952.5+(382.7-238.1)+(-0.485775+(-0.195177--0.121431))+0-184.8--0.0942479999999813</f>
        <v>911.83472700000004</v>
      </c>
      <c r="AC279" s="3">
        <f>957.8+(346.4-265.5)+(-0.488478+(-0.176664--0.135405))+0-174.6--0.0890459999999823</f>
        <v>863.65930899999967</v>
      </c>
      <c r="AD279">
        <v>1043.7</v>
      </c>
      <c r="AE279" s="3">
        <f>921+(608.5-307)+(0+(0-0))+0-162.8-0</f>
        <v>1059.7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957+(338.9-292.8)+(-0.97614+(-0.345678--0.298656))+0-171.4--0.174828000000027</f>
        <v>830.85166600000002</v>
      </c>
      <c r="G280" s="3">
        <f>956.2+(345-322.4)+(-0.487662+(-0.17595--0.164424))+0-174.1--0.0887909999999823</f>
        <v>804.28960300000006</v>
      </c>
      <c r="H280" s="3">
        <f>963.5+(294.2-287.9)+(-1.474155+(-0.450126--0.440487))+0-173.9--0.26606700000001</f>
        <v>794.68227300000001</v>
      </c>
      <c r="I280" s="3">
        <f>963.3+(267-279.4)+(-1.473849+(-0.40851--0.427482))+0-169.1--0.25872300000001</f>
        <v>780.60384599999998</v>
      </c>
      <c r="J280" s="3">
        <f>968.7+(272.7-284.7)+(0+(0-0))+0-162.4-0</f>
        <v>794.30000000000007</v>
      </c>
      <c r="K280" s="3">
        <f>967.6+(323.5-319.7)+(0+(0-0))+0-152.4-0</f>
        <v>819.00000000000011</v>
      </c>
      <c r="L280" s="3">
        <f>970.2+(406.6-347.4)+(0+(0-0))+0-151.7-0</f>
        <v>877.7</v>
      </c>
      <c r="M280" s="3">
        <f>961.6+(426.3-305.5)+(0.980832+(0.434826-0.31161))+0-153.5-0.156570000000024</f>
        <v>929.84747800000002</v>
      </c>
      <c r="N280" s="3">
        <f>902.1+(440.9-224.2)+(0.920142+(0.449718-0.228684))+0-148.8-0.151776000000024</f>
        <v>970.98940000000005</v>
      </c>
      <c r="O280" s="3">
        <f>845.6+(475.2-191.7)+(-0.431256+(-0.242352--0.097767))+0-144.4--0.0736439999999854</f>
        <v>984.19780299999979</v>
      </c>
      <c r="P280" s="3">
        <f>850.4+(447.7-185.3)+(0+(0-0))+0-137.9-0</f>
        <v>974.9</v>
      </c>
      <c r="Q280" s="3">
        <f>816.7+(485.7-174.8)+(-1.249551+(-0.743121--0.267444))+0-146.8--0.224604000000008</f>
        <v>979.29937599999994</v>
      </c>
      <c r="R280" s="3">
        <f>863.2+(422.2-189.8)+(-0.880464+(-0.430644--0.193596))+0-139.4--0.142188000000022</f>
        <v>955.22467599999993</v>
      </c>
      <c r="S280" s="3">
        <f>938.1+(372-208.5)+(-1.435293+(-0.56916--0.319005))+0-141.6--0.216648000000008</f>
        <v>958.5311999999999</v>
      </c>
      <c r="T280" s="3">
        <f>973.9+(321.1-208.9)+(0+(0-0))+0-147.1-0</f>
        <v>938.99999999999989</v>
      </c>
      <c r="U280" s="3">
        <f>938.3+(358.4-210.6)+(1.435599+(0.548352-0.322218))+0-143.3-0.219249000000008</f>
        <v>944.24248399999988</v>
      </c>
      <c r="V280" s="3">
        <f>965.7+(393.7-236.3)+(0.985014+(0.401574-0.241026))+0-149.8-0.152796000000024</f>
        <v>974.2927659999998</v>
      </c>
      <c r="W280" s="3">
        <f>1012.9+(487.3-280.7)+(1.549737+(0.745569-0.429471))+0-152.5-0.233325000000009</f>
        <v>1068.6325100000001</v>
      </c>
      <c r="X280" s="3">
        <f>1027.7+(475.5-292.1)+(-1.048254+(-0.48501--0.297942))+0-152.6--0.155652000000024</f>
        <v>1057.4203299999999</v>
      </c>
      <c r="Y280" s="3">
        <f>1033.9+(442.8-296.9)+(-2.636445+(-1.12914--0.757095))+0-150.3--0.383264999999978</f>
        <v>1026.8747750000002</v>
      </c>
      <c r="Z280" s="3">
        <f>1032+(367.3-266.3)+(0.52632+(0.187323-0.135813))+0-151.2-0.0771119999999847</f>
        <v>982.30071799999996</v>
      </c>
      <c r="AA280" s="3">
        <f>1037.3+(339.3-266.2)+(-1.587069+(-0.519129--0.407286))+0-150.4--0.230112000000009</f>
        <v>958.53120000000001</v>
      </c>
      <c r="AB280" s="3">
        <f>1039.4+(266.3-255.2)+(-2.120376+(-0.543252--0.520608))+0-145.3--0.296411999999994</f>
        <v>903.3533920000001</v>
      </c>
      <c r="AC280" s="3">
        <f>1039.8+(187.4-226.1)+(-2.121192+(-0.382296--0.461244))+0-146.3--0.298451999999994</f>
        <v>853.05620799999997</v>
      </c>
      <c r="AD280">
        <v>1056.0999999999999</v>
      </c>
      <c r="AE280" s="3">
        <f>1025+(492.1-296.8)+(0+(0-0))+0-150.2-0</f>
        <v>1070.0999999999999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1043.2+(185.1-275.2)+(-2.128128+(-0.377604--0.561408))+0-141.7--0.289067999999994</f>
        <v>809.74474400000008</v>
      </c>
      <c r="G281" s="3">
        <f>1043.4+(209.1-332.2)+(-1.064268+(-0.213282--0.338844))+0-139.2--0.141984000000022</f>
        <v>780.30327799999998</v>
      </c>
      <c r="H281" s="3">
        <f>1045.1+(206.3-329.9)+(-0.533001+(-0.105213--0.168249))+0-140.7--0.0717569999999857</f>
        <v>780.40179199999989</v>
      </c>
      <c r="I281" s="3">
        <f>1046.6+(217-344.4)+(1.601298+(0.33201-0.526932))+0-140.8-0.215424000000008</f>
        <v>779.59095200000002</v>
      </c>
      <c r="J281" s="3">
        <f>1045.9+(215.8-340.7)+(0+(0-0))+0-139.4-0</f>
        <v>781.60000000000014</v>
      </c>
      <c r="K281" s="3">
        <f>1058.5+(189.2-300.6)+(3.23901+(0.578952-0.919836))+0-137.9-0.421974000000016</f>
        <v>811.676152</v>
      </c>
      <c r="L281" s="3">
        <f>1060+(246.4-303.2)+(0+(0-0))+0-139.3-0</f>
        <v>863.90000000000009</v>
      </c>
      <c r="M281" s="3">
        <f>1061.9+(289.4-286.5)+(1.083138+(0.295188-0.29223))+0-143.8-0.146676000000023</f>
        <v>921.93942000000015</v>
      </c>
      <c r="N281" s="3">
        <f>1053.8+(335.9-289.4)+(0+(0-0))+0-145.9-0</f>
        <v>954.4</v>
      </c>
      <c r="O281" s="3">
        <f>1046.7+(343.2-270.4)+(1.067634+(0.350064-0.275808))+0-141.8-0.144636000000023</f>
        <v>978.69725400000016</v>
      </c>
      <c r="P281" s="3">
        <f>1036.6+(312.9-228)+(1.585998+(0.478737-0.34884))+0-141.9-0.217107000000008</f>
        <v>981.09878800000001</v>
      </c>
      <c r="Q281" s="3">
        <f>1032.3+(347.9-261.6)+(-0.526473+(-0.177429--0.133416))+0-143.2--0.0730319999999855</f>
        <v>974.9025459999998</v>
      </c>
      <c r="R281" s="3">
        <f>1029.2+(368.8-299.6)+(-2.62446+(-0.94044--0.76398))+0-140.5--0.35827499999998</f>
        <v>955.45735500000012</v>
      </c>
      <c r="S281" s="3">
        <f>1026.5+(335.8-273.3)+(-1.570545+(-0.513774--0.418149))+0-146.5--0.224145000000008</f>
        <v>941.05797500000006</v>
      </c>
      <c r="T281" s="3">
        <f>1026.1+(338.5-293.9)+(0.523311+(0.172635-0.149889))+0-145.3-0.0741029999999853</f>
        <v>925.87195399999985</v>
      </c>
      <c r="U281" s="3">
        <f>1029.2+(345.8-318.1)+(-0.524892+(-0.176358--0.162231))+0-139.6--0.0711959999999858</f>
        <v>916.832177</v>
      </c>
      <c r="V281" s="3">
        <f>1033.7+(371.1-321.7)+(-1.054374+(-0.378522--0.328134))+0-145--0.147900000000023</f>
        <v>937.14313800000025</v>
      </c>
      <c r="W281" s="3">
        <f>1055.4+(416.1-287.8)+(1.076508+(0.424422-0.293556))+0-150.8-0.153816000000024</f>
        <v>1033.9535580000002</v>
      </c>
      <c r="X281" s="3">
        <f>1111.4+(378.6-314)+(-2.83407+(-0.96543--0.8007))+0-150.9--0.384794999999978</f>
        <v>1022.4859949999999</v>
      </c>
      <c r="Y281" s="3">
        <f>1120.4+(313.9-301)+(-0.571404+(-0.160089--0.15351))+0-145.9--0.0744089999999852</f>
        <v>986.89642600000025</v>
      </c>
      <c r="Z281" s="3">
        <f>1124.1+(283.8-312.6)+(-0.573291+(-0.144738--0.159426))+0-151.1--0.0770609999999847</f>
        <v>943.71845799999994</v>
      </c>
      <c r="AA281" s="3">
        <f>1124.6+(258.9-315)+(-1.147092+(-0.264078--0.3213))+0-150.2--0.153204000000024</f>
        <v>917.36333400000001</v>
      </c>
      <c r="AB281" s="3">
        <f>1134.9+(257.3-365.8)+(-2.893995+(-0.656115--0.93279))+0-153.9--0.392444999999978</f>
        <v>870.27512500000012</v>
      </c>
      <c r="AC281" s="3">
        <f>1143.4+(202.4-354.7)+(-1.166268+(-0.206448--0.361794))+0-155.5--0.158610000000025</f>
        <v>834.74768800000015</v>
      </c>
      <c r="AD281">
        <v>1080.1999999999998</v>
      </c>
      <c r="AE281" s="3">
        <f>1089+(437-275.4)+(0+(0-0))+0-155.4-0</f>
        <v>1095.1999999999998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1138.6+(206.9-393.2)+(-2.322744+(-0.422076--0.802128))+0-153.1--0.312323999999993</f>
        <v>797.56963199999996</v>
      </c>
      <c r="G282" s="3">
        <f>1153.2+(196.4-422.8)+(-1.176264+(-0.200328--0.431256))+0-151.4--0.154428000000024</f>
        <v>774.60909200000015</v>
      </c>
      <c r="H282" s="3">
        <f>1153.6+(212.4-455.1)+(-2.353344+(-0.433296--0.928404))+0-151.7--0.309467999999993</f>
        <v>757.65123199999982</v>
      </c>
      <c r="I282" s="3">
        <f>1159.7+(182.7-444.3)+(-2.365788+(-0.372708--0.906372))+0-150.3--0.306611999999993</f>
        <v>746.27448799999991</v>
      </c>
      <c r="J282" s="3">
        <f>1160.1+(181.5-431.8)+(-1.183302+(-0.18513--0.440436))+0-149.9--0.152898000000024</f>
        <v>759.12490200000002</v>
      </c>
      <c r="K282" s="3">
        <f>1165.4+(187.2-405.5)+(0+(0-0))+0-149.1-0</f>
        <v>798.00000000000011</v>
      </c>
      <c r="L282" s="3">
        <f>1170.6+(233.8-384.2)+(-0.597006+(-0.119238--0.195942))+0-148.7--0.0758369999999849</f>
        <v>871.05553499999985</v>
      </c>
      <c r="M282" s="3">
        <f>1176.8+(259.2-361.6)+(0.600168+(0.132192-0.184416))+0-152-0.0775199999999846</f>
        <v>922.87042399999984</v>
      </c>
      <c r="N282" s="3">
        <f>1163.4+(255.8-328.8)+(1.186668+(0.260916-0.335376))+0-148.6-0.151572000000024</f>
        <v>942.76063600000009</v>
      </c>
      <c r="O282" s="3">
        <f>1155.3+(233.3-281.2)+(1.178406+(0.237966-0.286824))+0-161.1-0.164322000000026</f>
        <v>947.26522600000021</v>
      </c>
      <c r="P282" s="3">
        <f>1077.9+(275.1-253.1)+(0.549729+(0.140301-0.129081))+0-158.5-0.0808349999999839</f>
        <v>941.88011400000005</v>
      </c>
      <c r="Q282" s="3">
        <f>957.8+(334.5-181.8)+(0+(0-0))+0-158.7-0</f>
        <v>951.8</v>
      </c>
      <c r="R282" s="3">
        <f>956.8+(316.7-203.2)+(-2.43984+(-0.807585--0.51816))+0-150.6--0.384029999999978</f>
        <v>917.35476499999993</v>
      </c>
      <c r="S282" s="3">
        <f>993.1+(318.7-212)+(-3.545367+(-1.137759--0.75684))+0-155.9--0.556563000000002</f>
        <v>940.53027700000007</v>
      </c>
      <c r="T282" s="3">
        <f>979.1+(315.1-201.3)+(0+(0-0))+0-158.7-0</f>
        <v>934.2</v>
      </c>
      <c r="U282" s="3">
        <f>908+(399.6-201)+(1.38924+(0.611388-0.30753))+0-160.4-0.245412000000009</f>
        <v>947.64768599999991</v>
      </c>
      <c r="V282" s="3">
        <f>953.3+(376.6-218.8)+(-0.972366+(-0.384132--0.223176))+0-161.3--0.164526000000026</f>
        <v>948.83120400000007</v>
      </c>
      <c r="W282" s="3">
        <f>983.4+(428.3-222.1)+(1.504602+(0.655299-0.339813))+0-151-0.231030000000009</f>
        <v>1040.1890579999999</v>
      </c>
      <c r="X282" s="3">
        <f>1000.8+(398.1-203.6)+(-2.55204+(-1.015155--0.51918))+0-152.7--0.389384999999978</f>
        <v>1039.9413699999998</v>
      </c>
      <c r="Y282" s="3">
        <f>1115.7+(277.8-234.5)+(-2.845035+(-0.70839--0.597975))+0-151.9--0.387344999999978</f>
        <v>1004.5318950000001</v>
      </c>
      <c r="Z282" s="3">
        <f>1141.4+(267-286.4)+(-2.328456+(-0.54468--0.584256))+0-148.6--0.303143999999993</f>
        <v>971.41426399999989</v>
      </c>
      <c r="AA282" s="3">
        <f>1149+(234.5-275.9)+(-2.34396+(-0.47838--0.562836))+0-165.4--0.337415999999993</f>
        <v>940.27791199999979</v>
      </c>
      <c r="AB282" s="3">
        <f>1140.1+(248.6-311.1)+(-1.162902+(-0.253572--0.317322))+0-164.8--0.168096000000026</f>
        <v>911.86894399999994</v>
      </c>
      <c r="AC282" s="3">
        <f>1140.3+(259.4-383.9)+(-4.652424+(-1.058352--1.566312))+0-161.5--0.658919999999986</f>
        <v>850.81445599999995</v>
      </c>
      <c r="AD282">
        <v>1036.3000000000002</v>
      </c>
      <c r="AE282" s="3">
        <f>988+(424.7-218.6)+(0+(0-0))+0-143.8-0</f>
        <v>1050.3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1138.9+(259.5-421.9)+(-1.161678+(-0.26469--0.430338))+0-168.7--0.172074000000027</f>
        <v>806.97604400000023</v>
      </c>
      <c r="G283" s="3">
        <f>1143.4+(211.4-389.8)+(0.583134+(0.107814-0.198798))+0-166.1-0.0847109999999831</f>
        <v>799.30743900000016</v>
      </c>
      <c r="H283" s="3">
        <f>1149.5+(187.1-381.2)+(0.586245+(0.095421-0.194412))+0-167-0.0851699999999831</f>
        <v>788.80208400000004</v>
      </c>
      <c r="I283" s="3">
        <f>1149+(195.8-397.5)+(-0.58599+(-0.099858--0.202725))+0-173--0.0882299999999824</f>
        <v>773.90510699999993</v>
      </c>
      <c r="J283" s="3">
        <f>1150.8+(204.5-395.3)+(-2.93454+(-0.521475--1.008015))+0-174.2--0.444209999999975</f>
        <v>783.79621000000009</v>
      </c>
      <c r="K283" s="3">
        <f>1151.5+(231.3-391.8)+(-0.587265+(-0.117963--0.199818))+0-174.1--0.0887909999999823</f>
        <v>816.48338100000001</v>
      </c>
      <c r="L283" s="3">
        <f>1148.7+(234.9-336.9)+(-0.585837+(-0.119799--0.171819))+0-175.8--0.0896579999999822</f>
        <v>870.45584100000008</v>
      </c>
      <c r="M283" s="3">
        <f>1169.8+(239.6-310.7)+(0.596598+(0.122196-0.158457))+0-184.2-0.0939419999999813</f>
        <v>914.96639499999992</v>
      </c>
      <c r="N283" s="3">
        <f>1163.7+(256.2-316.4)+(-0.593487+(-0.130662--0.161364))+0-172.9--0.0881789999999825</f>
        <v>930.12539399999991</v>
      </c>
      <c r="O283" s="3">
        <f>1079.1+(274.5-230.5)+(0.550341+(0.139995-0.117555))+0-177.4-0.090473999999982</f>
        <v>946.18230700000004</v>
      </c>
      <c r="P283" s="3">
        <f>1008.1+(303.5-175.5)+(-0.514131+(-0.154785--0.089505))+0-185.6--0.0946559999999812</f>
        <v>950.01524499999994</v>
      </c>
      <c r="Q283" s="3">
        <f>1008.7+(311.9-173.2)+(-1.028874+(-0.318138--0.176664))+0-189.1--0.19288200000003</f>
        <v>957.32253400000002</v>
      </c>
      <c r="R283" s="3">
        <f>1005.8+(297.9-181)+(-1.538874+(-0.455787--0.27693))+0-167.9--0.25688700000001</f>
        <v>953.33915599999989</v>
      </c>
      <c r="S283" s="3">
        <f>973.9+(314-172.3)+(-0.496689+(-0.16014--0.087873))+0-170.6--0.0870059999999827</f>
        <v>944.51804999999979</v>
      </c>
      <c r="T283" s="3">
        <f>968.9+(311.7-158.3)+(-0.988278+(-0.317934--0.161466))+0-191.6--0.195432000000031</f>
        <v>929.75068599999997</v>
      </c>
      <c r="U283" s="3">
        <f>964.8+(315.9-166.6)+(-0.492048+(-0.161109--0.084966))+0-183--0.0933299999999814</f>
        <v>930.62513899999988</v>
      </c>
      <c r="V283" s="3">
        <f>1040.8+(321.9-209.1)+(0+(0-0))+0-190.6-0</f>
        <v>962.99999999999989</v>
      </c>
      <c r="W283" s="3">
        <f>1129.8+(371.1-261.8)+(1.152396+(0.378522-0.267036))+0-190.3-0.19410600000003</f>
        <v>1049.869776</v>
      </c>
      <c r="X283" s="3">
        <f>1155.5+(331.9-262.3)+(-2.946525+(-0.846345--0.668865))+0-190.4--0.485519999999972</f>
        <v>1032.0615149999999</v>
      </c>
      <c r="Y283" s="3">
        <f>1164.3+(272.8-250.9)+(-2.968965+(-0.69564--0.639795))+0-190.6--0.486029999999972</f>
        <v>993.06122000000016</v>
      </c>
      <c r="Z283" s="3">
        <f>1166.2+(238.9-256.1)+(-2.379048+(-0.487356--0.522444))+0-196.1--0.400043999999991</f>
        <v>950.95608400000003</v>
      </c>
      <c r="AA283" s="3">
        <f>1148+(250.8-265)+(-1.75644+(-0.383724--0.40545))+0-195.4--0.298962000000011</f>
        <v>936.964248</v>
      </c>
      <c r="AB283" s="3">
        <f>1149.4+(249.8-302.6)+(-1.758582+(-0.382194--0.462978))+0-193.8--0.296514000000011</f>
        <v>901.41871600000025</v>
      </c>
      <c r="AC283" s="3">
        <f>1170.3+(262-372.9)+(-2.984265+(-0.6681--0.950895))+0-192.6--0.491129999999972</f>
        <v>864.58966000000009</v>
      </c>
      <c r="AD283">
        <v>1053.8000000000002</v>
      </c>
      <c r="AE283" s="3">
        <f>1146+(373.4-279)+(0+(0-0))+0-175.6-0</f>
        <v>1064.8000000000002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1008.7+(298.5-296.9)+(-1.543311+(-0.456705--0.454257))+0-187.1--0.286263000000011</f>
        <v>821.94050400000003</v>
      </c>
      <c r="G284" s="3">
        <f>971.7+(324-310.5)+(-2.973402+(-0.99144--0.95013))+0-189.1--0.578646000000022</f>
        <v>793.66393400000004</v>
      </c>
      <c r="H284" s="3">
        <f>1069.3+(312.1-402.9)+(-1.090686+(-0.318342--0.410958))+0-192.6--0.196452000000031</f>
        <v>785.09838200000002</v>
      </c>
      <c r="I284" s="3">
        <f>1107+(290.2-417.8)+(-1.69371+(-0.444006--0.639234))+0-192.5--0.294525000000011</f>
        <v>785.69604300000003</v>
      </c>
      <c r="J284" s="3">
        <f>1105.4+(298.9-417.8)+(1.127508+(0.304878-0.426156))+0-197.9-0.201858000000032</f>
        <v>789.40437199999997</v>
      </c>
      <c r="K284" s="3">
        <f>1108.8+(300.1-403.7)+(-0.565488+(-0.153051--0.205887))+0-195.9--0.0999089999999801</f>
        <v>808.88725700000009</v>
      </c>
      <c r="L284" s="3">
        <f>1109.3+(334.8-391.1)+(0.565743+(0.170748-0.199461))+0-198.4-0.10118399999998</f>
        <v>855.03584599999999</v>
      </c>
      <c r="M284" s="3">
        <f>1132.7+(346.7-371.8)+(-1.155354+(-0.353634--0.379236))+0-201.9--0.205938000000032</f>
        <v>904.77618599999994</v>
      </c>
      <c r="N284" s="3">
        <f>1134.6+(346.4-332.4)+(0+(0-0))+0-190.4-0</f>
        <v>958.19999999999993</v>
      </c>
      <c r="O284" s="3">
        <f>1145.8+(348.2-329.2)+(0.584358+(0.177582-0.167892))+0-185.7-0.0947069999999812</f>
        <v>979.59934099999987</v>
      </c>
      <c r="P284" s="3">
        <f>1152.4+(328.7-299.2)+(-0.587724+(-0.167637--0.152592))+0-189.7--0.0967469999999808</f>
        <v>991.6939779999999</v>
      </c>
      <c r="Q284" s="3">
        <f>1146.4+(311.9-273.2)+(-2.92332+(-0.795345--0.69666))+0-189.4--0.482969999999973</f>
        <v>993.16096500000015</v>
      </c>
      <c r="R284" s="3">
        <f>1141.5+(310.9-279.5)+(-1.16433+(-0.317118--0.28509))+0-188.2--0.19196400000003</f>
        <v>983.69560600000011</v>
      </c>
      <c r="S284" s="3">
        <f>1138.9+(302-288.2)+(-0.580839+(-0.15402--0.146982))+0-191.3--0.0975629999999806</f>
        <v>960.90968600000019</v>
      </c>
      <c r="T284" s="3">
        <f>1132.8+(289.7-304.7)+(-1.155456+(-0.295494--0.310794))+0-182.5--0.186150000000029</f>
        <v>934.34599400000002</v>
      </c>
      <c r="U284" s="3">
        <f>1128+(292.4-301.5)+(-2.30112+(-0.596496--0.61506))+0-177.7--0.362507999999992</f>
        <v>939.27995199999998</v>
      </c>
      <c r="V284" s="3">
        <f>1134.2+(311.8-295.8)+(0.578442+(0.159018-0.150858))+0-182.5-0.0930749999999815</f>
        <v>968.19352700000013</v>
      </c>
      <c r="W284" s="3">
        <f>1139.4+(419.6-318.2)+(1.162188+(0.427992-0.324564))+0-193.7-0.197574000000031</f>
        <v>1048.168042</v>
      </c>
      <c r="X284" s="3">
        <f>1153+(405.2-319.7)+(-2.35212+(-0.826608--0.652188))+0-201.7--0.411467999999991</f>
        <v>1034.6849279999999</v>
      </c>
      <c r="Y284" s="3">
        <f>1156.5+(351.3-309.5)+(-2.35926+(-0.716652--0.63138))+0-196.1--0.400043999999991</f>
        <v>1000.1555119999999</v>
      </c>
      <c r="Z284" s="3">
        <f>1160.6+(308.8-306.5)+(0+(0-0))+0-199.5-0</f>
        <v>963.39999999999986</v>
      </c>
      <c r="AA284" s="3">
        <f>1164.6+(272.7-283)+(-2.375784+(-0.556308--0.57732))+0-199.7--0.407387999999991</f>
        <v>952.65261599999997</v>
      </c>
      <c r="AB284" s="3">
        <f>1167.3+(235.8-293.6)+(-1.190646+(-0.240516--0.299472))+0-195.8--0.199716000000031</f>
        <v>912.76802600000019</v>
      </c>
      <c r="AC284" s="3">
        <f>1169.6+(213.1-308)+(-1.192992+(-0.217362--0.31416))+0-196.5--0.200430000000031</f>
        <v>877.30423599999983</v>
      </c>
      <c r="AD284">
        <v>1013.1999999999999</v>
      </c>
      <c r="AE284" s="3">
        <f>1142+(411.8-323.7)+(0+(0-0))+0-202.9-0</f>
        <v>1027.1999999999998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1173.2+(208.6-352.5)+(-1.794996+(-0.319158--0.539325))+0-192.9--0.295137000000011</f>
        <v>835.12030800000002</v>
      </c>
      <c r="G285" s="3">
        <f>1178.3+(227.2-407.4)+(0.600933+(0.115872-0.207774))+0-190.1-0.0969509999999807</f>
        <v>808.41207999999995</v>
      </c>
      <c r="H285" s="3">
        <f>1176.7+(232.3-420.3)+(-1.800351+(-0.355419--0.643059))+0-190.2--0.291006000000011</f>
        <v>797.27829500000018</v>
      </c>
      <c r="I285" s="3">
        <f>1173.8+(227-415.8)+(-2.394552+(-0.46308--0.848232))+0-190.8--0.389231999999992</f>
        <v>792.5798319999999</v>
      </c>
      <c r="J285" s="3">
        <f>1174.4+(214.5-400.9)+(-2.395776+(-0.43758--0.817836))+0-194.1--0.395963999999991</f>
        <v>792.28044399999999</v>
      </c>
      <c r="K285" s="3">
        <f>1178.5+(206.3-367.8)+(0.601035+(0.105213-0.187578))+0-191.4-0.0976139999999806</f>
        <v>826.02105600000004</v>
      </c>
      <c r="L285" s="3">
        <f>1180.3+(249.1-378.6)+(-1.805859+(-0.381123--0.579258))+0-191.5--0.292995000000011</f>
        <v>857.98527100000001</v>
      </c>
      <c r="M285" s="3">
        <f>1182.9+(294.6-385.4)+(-4.222953+(-1.051722--1.375878))+0-190.8--0.681156000000003</f>
        <v>898.08235900000011</v>
      </c>
      <c r="N285" s="3">
        <f>1188.4+(304.9-372.4)+(0.606084+(0.155499-0.189924))+0-192.4-0.0981239999999805</f>
        <v>928.97353500000008</v>
      </c>
      <c r="O285" s="3">
        <f>1183.4+(298.7-339.9)+(0+(0-0))+0-188.8-0</f>
        <v>953.40000000000009</v>
      </c>
      <c r="P285" s="3">
        <f>1175.1+(341.5-353.5)+(1.198602+(0.34833-0.36057))+0-190.8-0.19461600000003</f>
        <v>973.29174599999988</v>
      </c>
      <c r="Q285" s="3">
        <f>1168+(366.1-364.9)+(-1.78704+(-0.560133--0.558297))+0-188.9--0.289017000000011</f>
        <v>978.80014100000005</v>
      </c>
      <c r="R285" s="3">
        <f>1157.1+(354.7-354.3)+(0+(0-0))+0-191.3-0</f>
        <v>966.2</v>
      </c>
      <c r="S285" s="3">
        <f>1155.1+(325.3-332.2)+(-1.767303+(-0.497709--0.508266))+0-196--0.299880000000011</f>
        <v>950.74313399999983</v>
      </c>
      <c r="T285" s="3">
        <f>1148.1+(297.5-303.6)+(0+(0-0))+0-197.7-0</f>
        <v>944.3</v>
      </c>
      <c r="U285" s="3">
        <f>1143.9+(293.4-305.1)+(0.583389+(0.149634-0.155601))+0-191-0.0974099999999806</f>
        <v>941.68001200000015</v>
      </c>
      <c r="V285" s="3">
        <f>1140.6+(352-335.3)+(-0.581706+(-0.17952--0.171003))+0-196.2--0.10006199999998</f>
        <v>960.60983899999997</v>
      </c>
      <c r="W285" s="3">
        <f>1149.2+(484.2-390.7)+(1.172184+(0.493884-0.398514))+0-198.6-0.202572000000032</f>
        <v>1045.1649820000002</v>
      </c>
      <c r="X285" s="3">
        <f>1158.7+(466.7-387.6)+(-0.590937+(-0.238017--0.197676))+0-202.1--0.103070999999979</f>
        <v>1035.171793</v>
      </c>
      <c r="Y285" s="3">
        <f>1167.2+(416.5-379.2)+(-0.595272+(-0.212415--0.193392))+0-199.8--0.10189799999998</f>
        <v>1004.187603</v>
      </c>
      <c r="Z285" s="3">
        <f>1165.5+(360.4-354.6)+(-0.594405+(-0.183804--0.180846))+0-200.2--0.10210199999998</f>
        <v>970.60473899999977</v>
      </c>
      <c r="AA285" s="3">
        <f>1171.5+(310.9-327.1)+(0+(0-0))+0-201.4-0</f>
        <v>953.9</v>
      </c>
      <c r="AB285" s="3">
        <f>1173.4+(261.5-335.3)+(-2.393736+(-0.53346--0.684012))+0-195--0.397799999999991</f>
        <v>902.75461600000017</v>
      </c>
      <c r="AC285" s="3">
        <f>1181.1+(235.2-372.4)+(-1.807083+(-0.359856--0.569772))+0-193.1--0.295443000000011</f>
        <v>849.49827599999992</v>
      </c>
      <c r="AD285">
        <v>1023.6000000000001</v>
      </c>
      <c r="AE285" s="3">
        <f>1149+(478.3-390.9)+(0+(0-0))+0-198.8-0</f>
        <v>1037.6000000000001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1189.7+(215.6-399.2)+(-1.213494+(-0.219912--0.407184))+0-192.1--0.195942000000031</f>
        <v>813.1697200000001</v>
      </c>
      <c r="G286" s="3">
        <f>1184.5+(210-411.5)+(-2.41638+(-0.4284--0.83946))+0-188.3--0.384131999999992</f>
        <v>793.07881200000008</v>
      </c>
      <c r="H286" s="3">
        <f>1187.7+(185.8-414.6)+(0+(0-0))+0-179.8-0</f>
        <v>779.10000000000014</v>
      </c>
      <c r="I286" s="3">
        <f>1188.7+(197.2-423.8)+(0.606237+(0.100572-0.216138))+0-184.9-0.0942989999999812</f>
        <v>777.59637200000009</v>
      </c>
      <c r="J286" s="3">
        <f>1190.5+(209.3-421.9)+(-0.607155+(-0.106743--0.215169))+0-179.1--0.0913409999999818</f>
        <v>798.39261199999999</v>
      </c>
      <c r="K286" s="3">
        <f>1195.4+(240.3-418.2)+(0+(0-0))+0-179.1-0</f>
        <v>838.40000000000009</v>
      </c>
      <c r="L286" s="3">
        <f>1194.4+(293-407.3)+(-0.609144+(-0.14943--0.207723))+0-179--0.0912899999999818</f>
        <v>900.64043900000013</v>
      </c>
      <c r="M286" s="3">
        <f>1185.4+(351.2-399.4)+(1.813662+(0.537336-0.611082))+0-181.9-0.278307000000011</f>
        <v>956.76160900000002</v>
      </c>
      <c r="N286" s="3">
        <f>1181.4+(370.9-380.6)+(-0.602514+(-0.189159--0.194106))+0-180.8--0.0922079999999817</f>
        <v>990.39464100000009</v>
      </c>
      <c r="O286" s="3">
        <f>1174+(357.3-363.6)+(1.19748+(0.364446-0.370872))+0-177.1-0.180642000000028</f>
        <v>991.61041199999988</v>
      </c>
      <c r="P286" s="3">
        <f>1166.8+(345.9-340.3)+(0.595068+(0.176409-0.173553))+0-168.4-0.0858839999999829</f>
        <v>1004.5120399999998</v>
      </c>
      <c r="Q286" s="3">
        <f>1154.1+(347-322.4)+(-1.177182+(-0.35394--0.328848))+0-166.7--0.170034000000027</f>
        <v>1010.9677599999998</v>
      </c>
      <c r="R286" s="3">
        <f>1139.5+(377.6-358.2)+(-1.16229+(-0.385152--0.365364))+0-166.6--0.169932000000027</f>
        <v>991.28785400000004</v>
      </c>
      <c r="S286" s="3">
        <f>1133+(334.8-312.4)+(-0.57783+(-0.170748--0.159324))+0-173.3--0.0883829999999824</f>
        <v>981.59912900000018</v>
      </c>
      <c r="T286" s="3">
        <f>1126.4+(316.8-311.1)+(-0.574464+(-0.161568--0.158661))+0-175.6--0.0895559999999822</f>
        <v>956.01218500000004</v>
      </c>
      <c r="U286" s="3">
        <f>1089.5+(328.6-287.4)+(-1.11129+(-0.335172--0.293148))+0-168.7--0.172074000000027</f>
        <v>961.01876000000016</v>
      </c>
      <c r="V286" s="3">
        <f>1087.3+(379.5-298.1)+(-0.554523+(-0.193545--0.152031))+0-172.3--0.0878729999999825</f>
        <v>995.89183599999978</v>
      </c>
      <c r="W286" s="3">
        <f>1098.4+(487-316.3)+(-0.560184+(-0.24837--0.161313))+0-174.8--0.0891479999999823</f>
        <v>1093.7419070000003</v>
      </c>
      <c r="X286" s="3">
        <f>1113.5+(479.5-326.3)+(-1.703655+(-0.733635--0.499239))+0-173.9--0.26606700000001</f>
        <v>1091.1280159999999</v>
      </c>
      <c r="Y286" s="3">
        <f>1116.4+(406.7-312.3)+(-0.569364+(-0.207417--0.159273))+0-162.8--0.0830279999999835</f>
        <v>1047.4655200000002</v>
      </c>
      <c r="Z286" s="3">
        <f>1123.1+(363.9-307.5)+(-1.718343+(-0.556767--0.470475))+0-170.1--0.26025300000001</f>
        <v>1007.855618</v>
      </c>
      <c r="AA286" s="3">
        <f>1132.5+(340.9-312.1)+(-2.3103+(-0.695436--0.636684))+0-173.8--0.354551999999992</f>
        <v>985.4855</v>
      </c>
      <c r="AB286" s="3">
        <f>1134+(299.2-325.2)+(-1.73502+(-0.457776--0.497556))+0-171--0.26163000000001</f>
        <v>935.56638999999996</v>
      </c>
      <c r="AC286" s="3">
        <f>1135.6+(267-351)+(-2.316624+(-0.54468--0.71604))+0-172.8--0.352511999999993</f>
        <v>877.007248</v>
      </c>
      <c r="AD286">
        <v>1097.4000000000001</v>
      </c>
      <c r="AE286" s="3">
        <f>1095+(508.7-317.9)+(0+(0-0))+0-174.4-0</f>
        <v>1111.3999999999999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1122+(246.2-362.3)+(-2.28888+(-0.502248--0.739092))+0-172.1--0.351083999999992</f>
        <v>832.09904799999993</v>
      </c>
      <c r="G287" s="3">
        <f>958.5+(303.3-270.3)+(0.97767+(0.309366-0.275706))+0-174.3-0.177786000000028</f>
        <v>818.03354400000001</v>
      </c>
      <c r="H287" s="3">
        <f>754.7+(396.6-174.2)+(-1.539588+(-0.809064--0.355368))+0-172.2--0.351287999999992</f>
        <v>803.25800400000014</v>
      </c>
      <c r="I287" s="3">
        <f>752.6+(408.8-179.7)+(0+(0-0))+0-171.9-0</f>
        <v>809.80000000000007</v>
      </c>
      <c r="J287" s="3">
        <f>772+(409.1-195.5)+(0+(0-0))+0-165-0</f>
        <v>820.6</v>
      </c>
      <c r="K287" s="3">
        <f>884.6+(394.7-271.7)+(0+(0-0))+0-169.2-0</f>
        <v>838.40000000000009</v>
      </c>
      <c r="L287" s="3">
        <f>886.6+(394.7-272.7)+(0+(0-0))+0-169.2-0</f>
        <v>839.40000000000009</v>
      </c>
      <c r="M287" s="3">
        <f>983.9+(412.2-324.1)+(-0.501789+(-0.210222--0.165291))+0-171.1--0.0872609999999826</f>
        <v>900.44054099999994</v>
      </c>
      <c r="N287" s="3">
        <f>1039.6+(417.9-329.1)+(-2.120784+(-0.852516--0.671364))+0-173.3--0.353531999999992</f>
        <v>953.15159599999981</v>
      </c>
      <c r="O287" s="3">
        <f>1093.1+(420.5-339.7)+(-1.672443+(-0.643365--0.519741))+0-174.1--0.26637300000001</f>
        <v>998.27030599999989</v>
      </c>
      <c r="P287" s="3">
        <f>1087.9+(410.9-312.5)+(-0.554829+(-0.209559--0.159375))+0-179--0.0912899999999818</f>
        <v>1006.786277</v>
      </c>
      <c r="Q287" s="3">
        <f>1088.9+(404.5-310.3)+(-2.221356+(-0.82518--0.633012))+0-174.1--0.355163999999992</f>
        <v>1006.94164</v>
      </c>
      <c r="R287" s="3">
        <f>1079.6+(412.9-314.2)+(-2.75298+(-1.052895--0.80121))+0-178.5--0.455174999999974</f>
        <v>997.25050999999996</v>
      </c>
      <c r="S287" s="3">
        <f>1069.4+(407-320.5)+(0.545394+(0.20757-0.163455))+0-181.8-0.0927179999999816</f>
        <v>974.59679100000005</v>
      </c>
      <c r="T287" s="3">
        <f>1069.1+(399.6-320.2)+(0.545241+(0.203796-0.163302))+0-180.6-0.0921059999999817</f>
        <v>968.39362900000015</v>
      </c>
      <c r="U287" s="3">
        <f>1073.1+(405.8-330.4)+(0+(0-0))+0-172.9-0</f>
        <v>975.6</v>
      </c>
      <c r="V287" s="3">
        <f>1082+(449.4-343.9)+(-2.20728+(-0.916776--0.701556))+0-180.6--0.368423999999992</f>
        <v>1004.8459240000001</v>
      </c>
      <c r="W287" s="3">
        <f>1096.7+(529.5-353.3)+(0+(0-0))+0-180.2-0</f>
        <v>1092.7</v>
      </c>
      <c r="X287" s="3">
        <f>1102.5+(496.7-341.5)+(-2.2491+(-1.013268--0.69666))+0-177.5--0.362099999999992</f>
        <v>1077.996392</v>
      </c>
      <c r="Y287" s="3">
        <f>1101.9+(461.5-335.3)+(-2.247876+(-0.94146--0.684012))+0-180.5--0.368219999999992</f>
        <v>1045.4628960000002</v>
      </c>
      <c r="Z287" s="3">
        <f>1105.4+(398.3-312.6)+(-2.255016+(-0.812532--0.637704))+0-182.9--0.373115999999992</f>
        <v>1006.1432720000001</v>
      </c>
      <c r="AA287" s="3">
        <f>1108.4+(354.2-297.8)+(-1.695852+(-0.541926--0.455634))+0-184.6--0.282438000000011</f>
        <v>978.7002940000001</v>
      </c>
      <c r="AB287" s="3">
        <f>1115.7+(282.7-274.3)+(-2.276028+(-0.576708--0.559572))+0-177.1--0.361283999999992</f>
        <v>945.06811999999991</v>
      </c>
      <c r="AC287" s="3">
        <f>1110.5+(223.2-255.2)+(-1.699065+(-0.341496--0.390456))+0-183.8--0.281214000000011</f>
        <v>893.33110900000008</v>
      </c>
      <c r="AD287">
        <v>1077.2</v>
      </c>
      <c r="AE287" s="3">
        <f>1090+(539.8-358.4)+(0+(0-0))+0-180.2-0</f>
        <v>1091.2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974.5+(276.2-216.7)+(-0.99399+(-0.281724--0.221034))+0-185.2--0.18890400000003</f>
        <v>847.93422399999997</v>
      </c>
      <c r="G288" s="3">
        <f>972+(254.9-221.2)+(-0.49572+(-0.129999--0.112812))+0-186.7--0.0952169999999811</f>
        <v>818.58230999999989</v>
      </c>
      <c r="H288" s="3">
        <f>971.5+(254.6-238.4)+(-0.495465+(-0.129846--0.121584))+0-186.8--0.0952679999999811</f>
        <v>800.4915410000001</v>
      </c>
      <c r="I288" s="3">
        <f>972.1+(274.6-265.6)+(0.495771+(0.140046-0.135456))+0-184.2-0.0939419999999813</f>
        <v>797.30641900000001</v>
      </c>
      <c r="J288" s="3">
        <f>976.1+(285.3-273.9)+(-1.991244+(-0.582012--0.558756))+0-182.2--0.371687999999992</f>
        <v>803.65718799999991</v>
      </c>
      <c r="K288" s="3">
        <f>979.1+(347.2-299.5)+(0.499341+(0.177072-0.152745))+0-182.3-0.0929729999999815</f>
        <v>844.93069500000001</v>
      </c>
      <c r="L288" s="3">
        <f>986.3+(415.8-310.5)+(-1.509039+(-0.636174--0.475065))+0-183.4--0.280602000000011</f>
        <v>906.81045400000005</v>
      </c>
      <c r="M288" s="3">
        <f>990.3+(477.1-323)+(-0.505053+(-0.243321--0.16473))+0-186.6--0.0951659999999811</f>
        <v>957.31152199999997</v>
      </c>
      <c r="N288" s="3">
        <f>976.6+(513-320.5)+(0+(0-0))+0-185.5-0</f>
        <v>983.59999999999991</v>
      </c>
      <c r="O288" s="3">
        <f>967.2+(484.2-297.9)+(0+(0-0))+0-173.1-0</f>
        <v>980.4</v>
      </c>
      <c r="P288" s="3">
        <f>958.6+(496.7-282.8)+(0.488886+(0.253317-0.144228))+0-174.1-0.0887909999999823</f>
        <v>998.90918399999987</v>
      </c>
      <c r="Q288" s="3">
        <f>952.7+(495.5-257.4)+(-1.457631+(-0.758115--0.393822))+0-175.2--0.26805600000001</f>
        <v>1014.0461320000001</v>
      </c>
      <c r="R288" s="3">
        <f>948.2+(474.2-248.8)+(-2.901492+(-1.451052--0.761328))+0-172.8--0.52876800000002</f>
        <v>997.73755199999994</v>
      </c>
      <c r="S288" s="3">
        <f>945.5+(453.7-241.4)+(-1.92882+(-0.925548--0.492456))+0-170.1--0.347003999999993</f>
        <v>985.68509199999983</v>
      </c>
      <c r="T288" s="3">
        <f>944+(454.3-237.5)+(-0.48144+(-0.231693--0.121125))+0-175.2--0.0893519999999822</f>
        <v>985.09734399999979</v>
      </c>
      <c r="U288" s="3">
        <f>848+(517.6-196.6)+(-0.43248+(-0.263976--0.100266))+0-183.6--0.0936359999999814</f>
        <v>984.89744599999995</v>
      </c>
      <c r="V288" s="3">
        <f>841.5+(607.3-240.6)+(-0.85833+(-0.619446--0.245412))+0-190--0.19380000000003</f>
        <v>1017.1614359999999</v>
      </c>
      <c r="W288" s="3">
        <f>844.4+(798.9-329.3)+(-1.291932+(-1.222317--0.503829))+0-193.6--0.296208000000011</f>
        <v>1118.685788</v>
      </c>
      <c r="X288" s="3">
        <f>850.8+(785.1-350.4)+(-1.735632+(-1.601604--0.714816))+0-190.8--0.389231999999992</f>
        <v>1092.4668120000001</v>
      </c>
      <c r="Y288" s="3">
        <f>859+(652.5-269.1)+(-2.19045+(-1.663875--0.686205))+0-187.8--0.478889999999973</f>
        <v>1051.91077</v>
      </c>
      <c r="Z288" s="3">
        <f>856.8+(595.3-247.9)+(-0.873936+(-0.607206--0.252858))+0-188.6--0.19237200000003</f>
        <v>1014.5640879999997</v>
      </c>
      <c r="AA288" s="3">
        <f>858.2+(547.4-224.3)+(-2.626092+(-1.675044--0.686358))+0-190.5--0.582930000000022</f>
        <v>987.7681520000001</v>
      </c>
      <c r="AB288" s="3">
        <f>859.6+(437.2-175.8)+(-1.753584+(-0.891888--0.358632))+0-186.7--0.380867999999992</f>
        <v>932.39402799999993</v>
      </c>
      <c r="AC288" s="3">
        <f>860.8+(399.2-192)+(-0.878016+(-0.407184--0.19584))+0-184.4--0.188088000000029</f>
        <v>882.69872800000007</v>
      </c>
      <c r="AD288">
        <v>1054.5999999999999</v>
      </c>
      <c r="AE288" s="3">
        <f>844+(755.3-338.7)+(0+(0-0))+0-191-0</f>
        <v>1069.5999999999999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861+(393.7-236.9)+(-2.19555+(-1.003935--0.604095))+0-182.8--0.466139999999974</f>
        <v>832.87075000000004</v>
      </c>
      <c r="G289" s="3">
        <f>867.1+(366.5-247.8)+(0+(0-0))+0-178.5-0</f>
        <v>807.3</v>
      </c>
      <c r="H289" s="3">
        <f>873.5+(353.6-256.1)+(-0.89097+(-0.360672--0.261222))+0-175.6--0.179112000000028</f>
        <v>794.58869200000004</v>
      </c>
      <c r="I289" s="3">
        <f>872+(354.6-254.9)+(0.88944+(0.361692-0.259998))+0-183.8-0.187476000000029</f>
        <v>788.7036579999999</v>
      </c>
      <c r="J289" s="3">
        <f>872.2+(367.3-259.2)+(0.444822+(0.187323-0.132192))+0-187.2-0.095471999999981</f>
        <v>793.50448100000017</v>
      </c>
      <c r="K289" s="3">
        <f>874+(378.2-236.6)+(0.89148+(0.385764-0.241332))+0-187.9-0.19165800000003</f>
        <v>828.54425400000002</v>
      </c>
      <c r="L289" s="3">
        <f>876.7+(512.9-303.8)+(1.788468+(1.046316-0.619752))+0-182.5-0.372299999999992</f>
        <v>905.14273200000002</v>
      </c>
      <c r="M289" s="3">
        <f>880.3+(526.1-256.6)+(-0.448953+(-0.268311--0.130866))+0-187.7--0.095726999999981</f>
        <v>961.609329</v>
      </c>
      <c r="N289" s="3">
        <f>876.2+(554.3-248.9)+(0.446862+(0.282693-0.126939))+0-189.9-0.0968489999999807</f>
        <v>992.20576699999981</v>
      </c>
      <c r="O289" s="3">
        <f>868.5+(529.1-223.7)+(0+(0-0))+0-190.5-0</f>
        <v>983.40000000000009</v>
      </c>
      <c r="P289" s="3">
        <f>864+(516.3-201.9)+(0+(0-0))+0-183.1-0</f>
        <v>995.30000000000007</v>
      </c>
      <c r="Q289" s="3">
        <f>857.8+(521.2-198.3)+(-1.749912+(-1.063248--0.404532))+0-180.3--0.367811999999992</f>
        <v>998.35918400000014</v>
      </c>
      <c r="R289" s="3">
        <f>852.5+(516.1-213.2)+(-1.304325+(-0.789633--0.326196))+0-168.5--0.25780500000001</f>
        <v>985.39004300000011</v>
      </c>
      <c r="S289" s="3">
        <f>848.6+(478.9-188.3)+(-1.298358+(-0.732717--0.288099))+0-168.6--0.25795800000001</f>
        <v>969.11498200000005</v>
      </c>
      <c r="T289" s="3">
        <f>848.7+(459.5-179.9)+(0.432837+(0.234345-0.091749))+0-172.3-0.0878729999999825</f>
        <v>956.48756000000026</v>
      </c>
      <c r="U289" s="3">
        <f>848.8+(434.6-162.1)+(-0.432888+(-0.221646--0.082671))+0-164.1--0.0836909999999833</f>
        <v>956.71182799999997</v>
      </c>
      <c r="V289" s="3">
        <f>852.9+(477.8-179.7)+(-1.304937+(-0.731034--0.274941))+0-169.6--0.25948800000001</f>
        <v>979.89845800000012</v>
      </c>
      <c r="W289" s="3">
        <f>857.2+(589.5-204.5)+(0+(0-0))+0-168.9-0</f>
        <v>1073.3</v>
      </c>
      <c r="X289" s="3">
        <f>864.6+(602.7-235.3)+(-1.322838+(-0.922131--0.360009))+0-168.1--0.25719300000001</f>
        <v>1062.2722329999999</v>
      </c>
      <c r="Y289" s="3">
        <f>867.5+(540.4-203.6)+(-1.327275+(-0.826812--0.311508))+0-173.5--0.26545500000001</f>
        <v>1029.222876</v>
      </c>
      <c r="Z289" s="3">
        <f>869.8+(527.8-211.5)+(-2.21799+(-1.34589--0.539325))+0-186--0.474299999999973</f>
        <v>997.54974499999992</v>
      </c>
      <c r="AA289" s="3">
        <f>867.6+(472.7-186.2)+(-0.442476+(-0.241077--0.094962))+0-188.9--0.0963389999999808</f>
        <v>964.70774799999992</v>
      </c>
      <c r="AB289" s="3">
        <f>870.9+(425.6-187.4)+(-1.332477+(-0.651168--0.286722))+0-186.8--0.285804000000011</f>
        <v>920.88888099999997</v>
      </c>
      <c r="AC289" s="3">
        <f>814.7+(411.9-165.6)+(-1.661988+(-0.840276--0.337824))+0-187--0.381479999999992</f>
        <v>872.21704</v>
      </c>
      <c r="AD289">
        <v>1082.2</v>
      </c>
      <c r="AE289" s="3">
        <f>866+(608.9-216.9)+(0+(0-0))+0-160.8-0</f>
        <v>1097.2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705+(437-131.8)+(-1.4382+(-0.89148--0.268872))+0-187.6--0.382703999999992</f>
        <v>820.92189600000006</v>
      </c>
      <c r="G290" s="3">
        <f>646.6+(447.7-100.5)+(-0.329766+(-0.228327--0.051255))+0-189.2--0.0964919999999808</f>
        <v>804.1896539999999</v>
      </c>
      <c r="H290" s="3">
        <f>642.6+(437.7-99.9)+(-0.655452+(-0.446454--0.101898))+0-189.8--0.19359600000003</f>
        <v>789.793588</v>
      </c>
      <c r="I290" s="3">
        <f>637.1+(426.8-95)+(0.649842+(0.435336-0.0969))+0-188.9-0.19267800000003</f>
        <v>780.79560000000015</v>
      </c>
      <c r="J290" s="3">
        <f>637.9+(444.1-103.2)+(0+(0-0))+0-189.1-0</f>
        <v>789.69999999999993</v>
      </c>
      <c r="K290" s="3">
        <f>634.8+(513.3-139.2)+(0.647496+(0.523566-0.141984))+0-187.5-0.19125000000003</f>
        <v>822.23782799999981</v>
      </c>
      <c r="L290" s="3">
        <f>621.6+(638.1-193)+(0.634032+(0.650862-0.19686))+0-181.6-0.185232000000029</f>
        <v>886.00280200000009</v>
      </c>
      <c r="M290" s="3">
        <f>633.4+(716.6-205.6)+(0.646068+(0.730932-0.209712))+0-186.6-0.19033200000003</f>
        <v>958.77695600000015</v>
      </c>
      <c r="N290" s="3">
        <f>702.3+(643.6-179.3)+(0+(0-0))+0-184.9-0</f>
        <v>981.69999999999993</v>
      </c>
      <c r="O290" s="3">
        <f>759.2+(561.5-162.7)+(0+(0-0))+0-176.2-0</f>
        <v>981.8</v>
      </c>
      <c r="P290" s="3">
        <f>772.7+(544.4-142.4)+(0.394077+(0.277644-0.072624))+0-179.9-0.0917489999999817</f>
        <v>995.30734800000016</v>
      </c>
      <c r="Q290" s="3">
        <f>761+(571.6-144.9)+(-0.38811+(-0.291516--0.073899))+0-182.5--0.0930749999999815</f>
        <v>1004.6873480000002</v>
      </c>
      <c r="R290" s="3">
        <f>758.5+(570.1-150.5)+(-1.54734+(-1.163004--0.30702))+0-183.5--0.374339999999992</f>
        <v>992.57101599999976</v>
      </c>
      <c r="S290" s="3">
        <f>759.6+(543.1-142.3)+(-0.387396+(-0.276981--0.072573))+0-184.8--0.0942479999999813</f>
        <v>975.10244400000022</v>
      </c>
      <c r="T290" s="3">
        <f>751.4+(527.2-123.3)+(0+(0-0))+0-187.3-0</f>
        <v>968</v>
      </c>
      <c r="U290" s="3">
        <f>751+(533.5-131.3)+(-0.76602+(-0.54417--0.133926))+0-185--0.18870000000003</f>
        <v>967.21243600000014</v>
      </c>
      <c r="V290" s="3">
        <f>754.1+(600.1-171.6)+(0.384591+(0.306051-0.087516))+0-192-0.0979199999999805</f>
        <v>991.10520599999995</v>
      </c>
      <c r="W290" s="3">
        <f>766.7+(754.4-252.3)+(0.782034+(0.769488-0.257346))+0-196.7-0.200634000000031</f>
        <v>1073.193542</v>
      </c>
      <c r="X290" s="3">
        <f>781+(736.4-263.7)+(-0.39831+(-0.375564--0.134487))+0-189--0.0963899999999808</f>
        <v>1064.157003</v>
      </c>
      <c r="Y290" s="3">
        <f>785.3+(648.6-218.6)+(-1.602012+(-1.323144--0.445944))+0-181.5--0.370259999999992</f>
        <v>1031.6910479999999</v>
      </c>
      <c r="Z290" s="3">
        <f>788.3+(584.8-191.2)+(-1.206099+(-0.894744--0.292536))+0-188.8--0.288864000000011</f>
        <v>991.58055699999989</v>
      </c>
      <c r="AA290" s="3">
        <f>788.9+(531.9-168.6)+(-1.207017+(-0.813807--0.257958))+0-190.4--0.291312000000011</f>
        <v>960.32844599999987</v>
      </c>
      <c r="AB290" s="3">
        <f>793.1+(475-160)+(-1.213443+(-0.72675--0.2448))+0-195.2--0.298656000000011</f>
        <v>911.50326299999995</v>
      </c>
      <c r="AC290" s="3">
        <f>780.1+(434.9-155.2)+(-2.387106+(-1.330794--0.474912))+0-193.5--0.592110000000022</f>
        <v>863.64912200000003</v>
      </c>
      <c r="AD290">
        <v>1057.5</v>
      </c>
      <c r="AE290" s="3">
        <f>778+(764.5-271.9)+(0+(0-0))+0-198.1-0</f>
        <v>1072.5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802.7+(403.1-188.8)+(-0.818754+(-0.411162--0.192576))+0-192.3--0.196146000000031</f>
        <v>823.85880599999996</v>
      </c>
      <c r="G291" s="3">
        <f>817.2+(327.6-152)+(-1.250316+(-0.501228--0.23256))+0-191.8--0.293454000000011</f>
        <v>799.77446999999995</v>
      </c>
      <c r="H291" s="3">
        <f>822.5+(307.6-142.7)+(-0.419475+(-0.156876--0.072777))+0-193.9--0.0988889999999803</f>
        <v>793.09531500000014</v>
      </c>
      <c r="I291" s="3">
        <f>824.7+(300.7-146.1)+(2.102985+(0.766785-0.372555))+0-192.5-0.490874999999972</f>
        <v>788.80634000000009</v>
      </c>
      <c r="J291" s="3">
        <f>822.5+(356.1-191.3)+(1.6779+(0.726444-0.390252))+0-190.6-0.388823999999992</f>
        <v>798.32526799999994</v>
      </c>
      <c r="K291" s="3">
        <f>828.6+(375.9-195.5)+(1.690344+(0.766836-0.39882))+0-189.8-0.387191999999992</f>
        <v>820.87116800000001</v>
      </c>
      <c r="L291" s="3">
        <f>825.4+(424.5-188)+(2.946678+(1.515465-0.67116))+0-183.6-0.655452000000003</f>
        <v>881.4355310000002</v>
      </c>
      <c r="M291" s="3">
        <f>816.3+(513.2-200.1)+(-1.248939+(-0.785196--0.306153))+0-187.6--0.287028000000011</f>
        <v>940.35904599999992</v>
      </c>
      <c r="N291" s="3">
        <f>811.7+(564.7-203.5)+(1.241901+(0.863991-0.311355))+0-190.3-0.291159000000011</f>
        <v>984.10337800000013</v>
      </c>
      <c r="O291" s="3">
        <f>799+(590.2-187)+(0.81498+(0.602004-0.19074))+0-193.2-0.197064000000031</f>
        <v>1010.0291799999999</v>
      </c>
      <c r="P291" s="3">
        <f>820.6+(583.9-187.3)+(0.837012+(0.595578-0.191046))+0-193.9-0.197778000000031</f>
        <v>1024.343766</v>
      </c>
      <c r="Q291" s="3">
        <f>823.6+(606.4-191)+(0+(0-0))+0-193-0</f>
        <v>1046</v>
      </c>
      <c r="R291" s="3">
        <f>835.6+(581.8-221.3)+(-1.278468+(-0.890154--0.338589))+0-191.2--0.292536000000011</f>
        <v>1003.3625029999999</v>
      </c>
      <c r="S291" s="3">
        <f>822.2+(577.5-201.4)+(0+(0-0))+0-192.4-0</f>
        <v>1005.9000000000002</v>
      </c>
      <c r="T291" s="3">
        <f>816.3+(558.7-199.7)+(-0.416313+(-0.284937--0.101847))+0-192.9--0.0983789999999804</f>
        <v>981.89897600000006</v>
      </c>
      <c r="U291" s="3">
        <f>837.9+(559.3-223.6)+(0.854658+(0.570486-0.228072))+0-190.1-0.19390200000003</f>
        <v>984.50316999999984</v>
      </c>
      <c r="V291" s="3">
        <f>843+(608.1-246.9)+(0.42993+(0.310131-0.125919))+0-193.4-0.0986339999999804</f>
        <v>1011.315508</v>
      </c>
      <c r="W291" s="3">
        <f>841.8+(743.6-311)+(1.287954+(1.137708-0.47583))+0-209.2-0.320076000000012</f>
        <v>1066.8297560000001</v>
      </c>
      <c r="X291" s="3">
        <f>905.9+(656.5-297.1)+(-2.310045+(-1.674075--0.757605))+0-210.4--0.536519999999969</f>
        <v>1052.2100049999997</v>
      </c>
      <c r="Y291" s="3">
        <f>901+(594.3-265.8)+(-0.91902+(-0.606186--0.271116))+0-208.1--0.212262000000033</f>
        <v>1020.3581720000001</v>
      </c>
      <c r="Z291" s="3">
        <f>895.2+(523.9-238.6)+(-3.195864+(-1.870323--0.851802))+0-206.9--0.738633000000003</f>
        <v>970.12424800000008</v>
      </c>
      <c r="AA291" s="3">
        <f>935.2+(460-225.4)+(-2.861712+(-1.4076--0.689724))+0-208.6--0.638316000000024</f>
        <v>958.25872799999991</v>
      </c>
      <c r="AB291" s="3">
        <f>989.4+(368.1-224.5)+(-0.504594+(-0.187731--0.114495))+0-207.7--0.105926999999979</f>
        <v>924.82809699999996</v>
      </c>
      <c r="AC291" s="3">
        <f>988.1+(296.8-205.5)+(0.503931+(0.151368-0.104805))+0-205.5-0.104804999999979</f>
        <v>874.34568900000022</v>
      </c>
      <c r="AD291">
        <v>1052.3</v>
      </c>
      <c r="AE291" s="3">
        <f>899+(704.5-326.4)+(0+(0-0))+0-209.8-0</f>
        <v>1067.3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984.7+(258.4-197.6)+(-2.510985+(-0.65892--0.50388))+0-201.5--0.513824999999971</f>
        <v>841.84780000000001</v>
      </c>
      <c r="G292" s="3">
        <f>985.3+(230.1-204)+(0+(0-0))+0-194.4-0</f>
        <v>817</v>
      </c>
      <c r="H292" s="3">
        <f>982.4+(201.1-191.7)+(-0.501024+(-0.102561--0.097767))+0-199.3--0.10164299999998</f>
        <v>792.09582499999988</v>
      </c>
      <c r="I292" s="3">
        <f>978.9+(208.4-196.2)+(0.998478+(0.212568-0.200124))+0-204.2-0.208284000000033</f>
        <v>787.70263799999998</v>
      </c>
      <c r="J292" s="3">
        <f>982.2+(202.9-192.8)+(-1.001844+(-0.206958--0.196656))+0-207.1--0.211242000000033</f>
        <v>784.3990960000001</v>
      </c>
      <c r="K292" s="3">
        <f>978.6+(269.7-237.5)+(1.497258+(0.412641-0.363375))+0-204.2-0.312426000000012</f>
        <v>807.83409800000004</v>
      </c>
      <c r="L292" s="3">
        <f>976.6+(344.3-277.9)+(0+(0-0))+0-200.3-0</f>
        <v>842.7</v>
      </c>
      <c r="M292" s="3">
        <f>981.6+(423.6-311.6)+(-0.500616+(-0.216036--0.158916))+0-200.8--0.10240799999998</f>
        <v>892.34467199999995</v>
      </c>
      <c r="N292" s="3">
        <f>968.6+(477.6-322.9)+(0.493986+(0.243576-0.164679))+0-204.2-0.104141999999979</f>
        <v>919.56874100000016</v>
      </c>
      <c r="O292" s="3">
        <f>959.6+(512.8-310.1)+(1.468188+(0.784584-0.474453))+0-209.1-0.319923000000012</f>
        <v>954.65839599999993</v>
      </c>
      <c r="P292" s="3">
        <f>952.3+(561-324.9)+(0+(0-0))+0-249.5-0</f>
        <v>938.90000000000009</v>
      </c>
      <c r="Q292" s="3">
        <f>938.5+(576.6-323.3)+(-1.435905+(-0.882198--0.494649))+0-202.4--0.309672000000012</f>
        <v>987.88621799999987</v>
      </c>
      <c r="R292" s="3">
        <f>928.9+(550.6-309.9)+(-2.368695+(-1.40403--0.790245))+0-199.5--0.508724999999971</f>
        <v>967.62624500000004</v>
      </c>
      <c r="S292" s="3">
        <f>922.5+(548-310.8)+(-1.411425+(-0.83844--0.475524))+0-204.8--0.313344000000012</f>
        <v>953.43900300000007</v>
      </c>
      <c r="T292" s="3">
        <f>924.8+(501.1-262.9)+(-1.414944+(-0.766683--0.402237))+0-209.9--0.321147000000012</f>
        <v>951.6417570000001</v>
      </c>
      <c r="U292" s="3">
        <f>921.4+(519-291.1)+(1.409742+(0.79407-0.445383))+0-204-0.312120000000012</f>
        <v>946.74630899999988</v>
      </c>
      <c r="V292" s="3">
        <f>928.6+(565.9-315)+(0+(0-0))+0-198.1-0</f>
        <v>981.4</v>
      </c>
      <c r="W292" s="3">
        <f>938.9+(678.4-348)+(-0.957678+(-0.691968--0.35496))+0-198.8--0.202776000000032</f>
        <v>1069.4080900000001</v>
      </c>
      <c r="X292" s="3">
        <f>956.3+(648.8-340.4)+(-0.975426+(-0.661776--0.347208))+0-203--0.207060000000032</f>
        <v>1060.6170659999998</v>
      </c>
      <c r="Y292" s="3">
        <f>963.6+(605.3-333)+(-0.982872+(-0.617406--0.33966))+0-204--0.208080000000033</f>
        <v>1030.8474620000002</v>
      </c>
      <c r="Z292" s="3">
        <f>967.8+(502.1-279.3)+(-0.987156+(-0.512142--0.284886))+0-198.1--0.202062000000032</f>
        <v>991.48764999999992</v>
      </c>
      <c r="AA292" s="3">
        <f>969.7+(454.4-259.5)+(-0.494547+(-0.231744--0.132345))+0-201.3--0.10266299999998</f>
        <v>962.808717</v>
      </c>
      <c r="AB292" s="3">
        <f>971.7+(367.4-215)+(-0.991134+(-0.374748--0.2193))+0-203.7--0.207774000000032</f>
        <v>919.46119199999987</v>
      </c>
      <c r="AC292" s="3">
        <f>978.9+(293.4-194.9)+(-1.996956+(-0.598536--0.397596))+0-206.5--0.421259999999991</f>
        <v>869.12336399999992</v>
      </c>
      <c r="AD292">
        <v>1068.3</v>
      </c>
      <c r="AE292" s="3">
        <f>949+(642.6-327.3)+(0+(0-0))+0-184-0</f>
        <v>1080.3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976.8+(227.5-180)+(-2.49084+(-0.580125--0.459))+0-201.8--0.514589999999971</f>
        <v>820.40262499999994</v>
      </c>
      <c r="G293" s="3">
        <f>978+(193.4-175)+(0+(0-0))+0-201.7-0</f>
        <v>794.7</v>
      </c>
      <c r="H293" s="3">
        <f>970+(212-194)+(0.9894+(0.21624-0.19788))+0-204.7-0.208794000000033</f>
        <v>784.0989659999999</v>
      </c>
      <c r="I293" s="3">
        <f>966+(210.6-189.4)+(-0.49266+(-0.107406--0.096594))+0-210--0.107099999999979</f>
        <v>776.803628</v>
      </c>
      <c r="J293" s="3">
        <f>971.5+(213.6-195.9)+(0.99093+(0.217872-0.199818))+0-203-0.207060000000032</f>
        <v>787.00192400000003</v>
      </c>
      <c r="K293" s="3">
        <f>972.4+(287.8-250.2)+(-1.487772+(-0.440334--0.382806))+0-192.4--0.294372000000011</f>
        <v>816.34907200000009</v>
      </c>
      <c r="L293" s="3">
        <f>977.8+(387.7-288.5)+(-0.997356+(-0.395454--0.29427))+0-180.9--0.184518000000029</f>
        <v>895.18597800000009</v>
      </c>
      <c r="M293" s="3">
        <f>970.8+(446.1-267.2)+(-0.495108+(-0.227511--0.136272))+0-183.3--0.0934829999999814</f>
        <v>965.90713600000015</v>
      </c>
      <c r="N293" s="3">
        <f>954.1+(603-363.1)+(0.486591+(0.30753-0.185181))+0-175.2-0.0893519999999822</f>
        <v>1019.3195880000001</v>
      </c>
      <c r="O293" s="3">
        <f>952.3+(567.7-322.5)+(0+(0-0))+0-172.1-0</f>
        <v>1025.4000000000001</v>
      </c>
      <c r="P293" s="3">
        <f>1004.6+(507.2-309.1)+(0.512346+(0.258672-0.157641))+0-176-0.0897599999999821</f>
        <v>1027.2236169999999</v>
      </c>
      <c r="Q293" s="3">
        <f>1031.4+(490.4-319.3)+(-1.578042+(-0.750312--0.488529))+0-175.1--0.26790300000001</f>
        <v>1025.828078</v>
      </c>
      <c r="R293" s="3">
        <f>1001.2+(511.7-334)+(-1.021224+(-0.521934--0.34068))+0-174.8--0.178296000000028</f>
        <v>1003.0758180000003</v>
      </c>
      <c r="S293" s="3">
        <f>1022.3+(419.4-271.2)+(-1.042746+(-0.427788--0.276624))+0-182.2--0.185844000000029</f>
        <v>987.29193399999997</v>
      </c>
      <c r="T293" s="3">
        <f>1017.7+(377.8-233.4)+(1.038054+(0.385356-0.238068))+0-188.8-0.19257600000003</f>
        <v>974.29276600000014</v>
      </c>
      <c r="U293" s="3">
        <f>1032.8+(369.7-230.5)+(-1.053456+(-0.377094--0.23511))+0-187.5--0.19125000000003</f>
        <v>983.49581000000012</v>
      </c>
      <c r="V293" s="3">
        <f>1038.2+(411.6-244.1)+(0+(0-0))+0-192.1-0</f>
        <v>1013.6</v>
      </c>
      <c r="W293" s="3">
        <f>1046.6+(475-231.6)+(1.067532+(0.4845-0.236232))+0-196.4-0.200328000000031</f>
        <v>1094.7154719999999</v>
      </c>
      <c r="X293" s="3">
        <f>1046.8+(475.1-227.1)+(-1.601604+(-0.726903--0.347463))+0-198.5--0.303705000000011</f>
        <v>1094.6226609999999</v>
      </c>
      <c r="Y293" s="3">
        <f>1050.1+(422.4-208.7)+(-0.535551+(-0.215424--0.106437))+0-199.1--0.10154099999998</f>
        <v>1064.157003</v>
      </c>
      <c r="Z293" s="3">
        <f>1011.7+(406.4-195.1)+(-2.063868+(-0.829056--0.398004))+0-191--0.389639999999992</f>
        <v>1029.89472</v>
      </c>
      <c r="AA293" s="3">
        <f>991.4+(393.7-183.7)+(-1.011228+(-0.401574--0.187374))+0-196.6--0.200532000000031</f>
        <v>1003.7751040000002</v>
      </c>
      <c r="AB293" s="3">
        <f>999.7+(372.6-210.6)+(-0.509847+(-0.190026--0.107406))+0-193.8--0.0988379999999803</f>
        <v>967.40637100000015</v>
      </c>
      <c r="AC293" s="3">
        <f>1017+(339.3-245.2)+(-1.55601+(-0.519129--0.375156))+0-191.7--0.293301000000011</f>
        <v>917.99331799999993</v>
      </c>
      <c r="AD293">
        <v>1091.3</v>
      </c>
      <c r="AE293" s="3">
        <f>1044+(505.7-248.4)+(0+(0-0))+0-196-0</f>
        <v>1105.3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1128.1+(239.1-298)+(-2.301324+(-0.487764--0.60792))+0-193.3--0.394331999999992</f>
        <v>874.11316399999976</v>
      </c>
      <c r="G294" s="3">
        <f>1155.4+(174-290.8)+(-1.767762+(-0.26622--0.444924))+0-190.2--0.291006000000011</f>
        <v>847.10194800000011</v>
      </c>
      <c r="H294" s="3">
        <f>1167.5+(154.9-304)+(-0.595425+(-0.078999--0.15504))+0-190.4--0.0971039999999807</f>
        <v>827.57772</v>
      </c>
      <c r="I294" s="3">
        <f>1168.2+(162.3-313)+(-1.787346+(-0.248319--0.47889))+0-191.1--0.292383000000011</f>
        <v>825.13560799999993</v>
      </c>
      <c r="J294" s="3">
        <f>1163.3+(162.6-307.8)+(0+(0-0))+0-192-0</f>
        <v>826.09999999999991</v>
      </c>
      <c r="K294" s="3">
        <f>1175.4+(212.7-341.8)+(-1.798362+(-0.325431--0.522954))+0-192.5--0.294525000000011</f>
        <v>852.49368600000025</v>
      </c>
      <c r="L294" s="3">
        <f>1158+(341-396)+(0+(0-0))+0-203-0</f>
        <v>900</v>
      </c>
      <c r="M294" s="3">
        <f>1161+(404-416)+(0+(0-0))+0-205-0</f>
        <v>944</v>
      </c>
      <c r="N294" s="3">
        <f>1148+(442-351)+(0+(0-0))+0-200-0</f>
        <v>1039</v>
      </c>
      <c r="O294" s="3">
        <f>1135+(436-329)+(0+(0-0))+0-198-0</f>
        <v>1044</v>
      </c>
      <c r="P294" s="3">
        <f>1122+(372-301)+(0+(0-0))+0-199-0</f>
        <v>994</v>
      </c>
      <c r="Q294" s="3">
        <f>1113+(399-311)+(0+(0-0))+0-200-0</f>
        <v>1001</v>
      </c>
      <c r="R294" s="3">
        <f>1104+(387.1-338)+(0+(0-0))+0-200-0</f>
        <v>953.09999999999991</v>
      </c>
      <c r="S294" s="3">
        <f>1098+(422.9-366)+(0+(0-0))+0-201-0</f>
        <v>953.90000000000009</v>
      </c>
      <c r="T294" s="3">
        <f>1094+(365.2-307)+(-1.67382+(-0.558756--0.46971))+0-202--0.309060000000012</f>
        <v>948.74619400000006</v>
      </c>
      <c r="U294" s="3">
        <f>1107.6+(393.7-338)+(0+(0-0))+0-196-0</f>
        <v>967.3</v>
      </c>
      <c r="V294" s="3">
        <f>1112.3+(359.6-263.5)+(1.134546+(0.366792-0.26877))+0-191.1-0.19492200000003</f>
        <v>1018.3376459999999</v>
      </c>
      <c r="W294" s="3">
        <f>1121.1+(493.3-338)+(1.143522+(0.503166-0.34476))+0-189.6-0.19339200000003</f>
        <v>1087.9085359999999</v>
      </c>
      <c r="X294" s="3">
        <f>1127.6+(477.1-331.1)+(-1.150152+(-0.486642--0.337722))+0-187.4--0.19114800000003</f>
        <v>1085.0920759999999</v>
      </c>
      <c r="Y294" s="3">
        <f>1132.2+(429-319.2)+(-0.577422+(-0.21879--0.162792))+0-187.2--0.095471999999981</f>
        <v>1054.262052</v>
      </c>
      <c r="Z294" s="3">
        <f>1136.8+(378.8-309.2)+(-0.579768+(-0.193188--0.157692))+0-188.2--0.0959819999999809</f>
        <v>1017.680718</v>
      </c>
      <c r="AA294" s="3">
        <f>1135.4+(331.7-281.1)+(0+(0-0))+0-189-0</f>
        <v>997</v>
      </c>
      <c r="AB294" s="3">
        <f>1141.7+(242.6-242.1)+(0+(0-0))+0-190-0</f>
        <v>952.2</v>
      </c>
      <c r="AC294" s="3">
        <f>1146+(227.9-273.7)+(-1.75338+(-0.348687--0.418761))+0-187.4--0.286722000000011</f>
        <v>911.40341600000022</v>
      </c>
      <c r="AD294">
        <v>1077.3</v>
      </c>
      <c r="AE294" s="3">
        <f>1118+(521.7-361.2)+(0+(0-0))+0-187.2-0</f>
        <v>1091.3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1123.6+(213-273.7)+(-1.146072+(-0.21726--0.279174))+0-187.3--0.19104600000003</f>
        <v>874.70688800000005</v>
      </c>
      <c r="G295" s="3">
        <f>1123.4+(201.1-287.8)+(-3.437604+(-0.615366--0.880668))+0-186.1--0.569466000000021</f>
        <v>847.99716400000011</v>
      </c>
      <c r="H295" s="3">
        <f>1134.6+(206.8-311.3)+(0+(0-0))+0-187.6-0</f>
        <v>842.49999999999989</v>
      </c>
      <c r="I295" s="3">
        <f>1121.2+(208.6-308.5)+(-1.143624+(-0.212772--0.31467))+0-185.9--0.18961800000003</f>
        <v>834.54789200000005</v>
      </c>
      <c r="J295" s="3">
        <f>1125.3+(221.1-318.2)+(-0.573903+(-0.112761--0.162282))+0-185.5--0.0946049999999812</f>
        <v>842.27022299999999</v>
      </c>
      <c r="K295" s="3">
        <f>1133.8+(273.5-355.4)+(1.734714+(0.418455-0.543762))+0-183.5-0.280755000000011</f>
        <v>869.72865200000001</v>
      </c>
      <c r="L295" s="3">
        <f>1141.2+(347.6-372.3)+(-0.582012+(-0.177276--0.189873))+0-181.3--0.0924629999999816</f>
        <v>934.72304800000006</v>
      </c>
      <c r="M295" s="3">
        <f>1140.3+(413.9-371.3)+(-1.163106+(-0.422178--0.378726))+0-185.7--0.18941400000003</f>
        <v>996.18285599999979</v>
      </c>
      <c r="N295" s="3">
        <f>1129.4+(431.5-349.5)+(-1.727982+(-0.660195--0.534735))+0-186.9--0.285957000000011</f>
        <v>1022.9325150000001</v>
      </c>
      <c r="O295" s="3">
        <f>1125.2+(392.2-321.9)+(-0.573852+(-0.200022--0.164169))+0-172.5--0.0879749999999825</f>
        <v>1022.47827</v>
      </c>
      <c r="P295" s="3">
        <f>1114+(438.8-354.3)+(-1.13628+(-0.447576--0.361386))+0-169.2--0.172584000000027</f>
        <v>1028.2501139999999</v>
      </c>
      <c r="Q295" s="3">
        <f>1100.4+(422.7-320.8)+(-1.122408+(-0.431154--0.327216))+0-174.8--0.178296000000028</f>
        <v>1026.4519500000004</v>
      </c>
      <c r="R295" s="3">
        <f>1087.5+(472.5-363)+(-2.2185+(-0.9639--0.74052))+0-182.4--0.372095999999992</f>
        <v>1012.5302159999999</v>
      </c>
      <c r="S295" s="3">
        <f>1087.9+(424.2-337.8)+(-1.664487+(-0.649026--0.516834))+0-182.5--0.279225000000011</f>
        <v>990.28254600000014</v>
      </c>
      <c r="T295" s="3">
        <f>1090.8+(374.7-301.7)+(-0.556308+(-0.191097--0.153867))+0-182.4--0.0930239999999815</f>
        <v>980.89948599999991</v>
      </c>
      <c r="U295" s="3">
        <f>1098.7+(377.8-314.7)+(-0.560337+(-0.192678--0.160497))+0-176.6--0.0900659999999821</f>
        <v>984.69754800000021</v>
      </c>
      <c r="V295" s="3">
        <f>1109.4+(363.6-287.5)+(0+(0-0))+0-185.3-0</f>
        <v>1000.2</v>
      </c>
      <c r="W295" s="3">
        <f>1119.3+(467.3-329.9)+(-0.570843+(-0.238323--0.168249))+0-191.2--0.0975119999999806</f>
        <v>1064.9565950000001</v>
      </c>
      <c r="X295" s="3">
        <f>1121.2+(501.4-369.3)+(-1.715436+(-0.767142--0.565029))+0-193.4--0.295902000000011</f>
        <v>1058.2783529999999</v>
      </c>
      <c r="Y295" s="3">
        <f>1092.5+(445-319.2)+(-2.2287+(-0.9078--0.651168))+0-189.2--0.385967999999992</f>
        <v>1027.000636</v>
      </c>
      <c r="Z295" s="3">
        <f>1119+(365.4-298)+(-1.71207+(-0.559062--0.45594))+0-189.7--0.290241000000011</f>
        <v>995.17504900000006</v>
      </c>
      <c r="AA295" s="3">
        <f>1116.4+(319.9-272.3)+(-3.416184+(-0.978894--0.833238))+0-191.4--0.585684000000022</f>
        <v>969.62384399999996</v>
      </c>
      <c r="AB295" s="3">
        <f>1045.5+(302.9-215.3)+(-1.06641+(-0.308958--0.219606))+0-192.3--0.196146000000031</f>
        <v>939.84038399999986</v>
      </c>
      <c r="AC295" s="3">
        <f>952.6+(354.1-229.1)+(-0.485826+(-0.180591--0.116841))+0-190.3--0.0970529999999807</f>
        <v>886.84747700000025</v>
      </c>
      <c r="AD295">
        <v>1057.5999999999999</v>
      </c>
      <c r="AE295" s="3">
        <f>1129+(475.4-336.4)+(0+(0-0))+0-186.4-0</f>
        <v>1081.5999999999999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954.3+(313.8-227.2)+(-0.486693+(-0.160038--0.115872))+0-192.8--0.0983279999999804</f>
        <v>847.6674690000001</v>
      </c>
      <c r="G296" s="3">
        <f>962+(281.9-227)+(-2.4531+(-0.718845--0.57885))+0-193.9--0.494444999999972</f>
        <v>820.90134999999998</v>
      </c>
      <c r="H296" s="3">
        <f>944.6+(283.8-223.5)+(-0.481746+(-0.144738--0.113985))+0-192.8--0.0983279999999804</f>
        <v>811.6858289999999</v>
      </c>
      <c r="I296" s="3">
        <f>920.6+(285.3-201.1)+(0+(0-0))+0-196.1-0</f>
        <v>808.7</v>
      </c>
      <c r="J296" s="3">
        <f>931.6+(294.8-215.6)+(0.475116+(0.150348-0.109956))+0-196.2-0.10006199999998</f>
        <v>815.01544600000011</v>
      </c>
      <c r="K296" s="3">
        <f>927.7+(367.4-258.2)+(0.946254+(0.374748-0.263364))+0-194.6-0.198492000000031</f>
        <v>843.15914600000008</v>
      </c>
      <c r="L296" s="3">
        <f>929.4+(503.1-337.4)+(-0.473994+(-0.256581--0.172074))+0-191.7--0.0977669999999806</f>
        <v>902.93926599999986</v>
      </c>
      <c r="M296" s="3">
        <f>964.6+(488.2-295)+(0+(0-0))+0-193.6-0</f>
        <v>964.19999999999993</v>
      </c>
      <c r="N296" s="3">
        <f>952.4+(486.8-253.1)+(0+(0-0))+0-190.8-0</f>
        <v>995.3</v>
      </c>
      <c r="O296" s="3">
        <f>938.1+(511.7-269.6)+(0+(0-0))+0-178-0</f>
        <v>1002.2</v>
      </c>
      <c r="P296" s="3">
        <f>944.7+(516.2-279.9)+(-0.963594+(-0.526524--0.285498))+0-175.9--0.179418000000028</f>
        <v>1004.0747980000001</v>
      </c>
      <c r="Q296" s="3">
        <f>962.3+(501.4-278.8)+(-0.981546+(-0.511428--0.284376))+0-172.9--0.176358000000028</f>
        <v>1010.96776</v>
      </c>
      <c r="R296" s="3">
        <f>952+(453.6-248.7)+(-2.4276+(-1.15668--0.634185))+0-172.9--0.440894999999975</f>
        <v>981.49080000000015</v>
      </c>
      <c r="S296" s="3">
        <f>929.5+(448.8-234.2)+(0.474045+(0.228888-0.119442))+0-172.7-0.0880769999999825</f>
        <v>971.89541399999996</v>
      </c>
      <c r="T296" s="3">
        <f>930.5+(435.4-211.6)+(0.474555+(0.222054-0.107916))+0-171.6-0.0875159999999826</f>
        <v>983.20117699999992</v>
      </c>
      <c r="U296" s="3">
        <f>946.6+(385.5-209.4)+(0+(0-0))+0-162.3-0</f>
        <v>960.40000000000009</v>
      </c>
      <c r="V296" s="3">
        <f>982.8+(405.5-230.1)+(-1.503684+(-0.620415--0.352053))+0-176.5--0.27004500000001</f>
        <v>980.19799899999998</v>
      </c>
      <c r="W296" s="3">
        <f>1091.5+(517-385.4)+(-1.11333+(-0.52734--0.393108))+0-181--0.184620000000029</f>
        <v>1041.0370579999999</v>
      </c>
      <c r="X296" s="3">
        <f>1076+(571-421.8)+(-1.64628+(-0.87363--0.645354))+0-183.8--0.281214000000011</f>
        <v>1039.8066580000002</v>
      </c>
      <c r="Y296" s="3">
        <f>1054+(513.8-368.4)+(-2.6877+(-1.31019--0.93942))+0-186.5--0.475574999999973</f>
        <v>1010.3171050000001</v>
      </c>
      <c r="Z296" s="3">
        <f>1134.8+(321.9-279.6)+(-0.578748+(-0.164169--0.142596))+0-194.5--0.0991949999999803</f>
        <v>982.09887400000002</v>
      </c>
      <c r="AA296" s="3">
        <f>1006.5+(365.7-203)+(-2.05326+(-0.746028--0.41412))+0-195.7--0.399227999999991</f>
        <v>971.51405999999997</v>
      </c>
      <c r="AB296" s="3">
        <f>1004.1+(304.3-186.3)+(-2.560455+(-0.775965--0.475065))+0-191.8--0.489089999999972</f>
        <v>927.92773499999987</v>
      </c>
      <c r="AC296" s="3">
        <f>1106.2+(216.3-233)+(-3.949134+(-0.772191--0.83181))+0-203.2--0.725424000000003</f>
        <v>883.13590899999986</v>
      </c>
      <c r="AD296">
        <v>1055.1000000000001</v>
      </c>
      <c r="AE296" s="3">
        <f>1131+(526.7-402)+(0+(0-0))+0-180.6-0</f>
        <v>1075.1000000000001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1136.6+(180.6-249.7)+(-1.159332+(-0.184212--0.254694))+0-208.7--0.212874000000033</f>
        <v>857.92402399999992</v>
      </c>
      <c r="G297" s="3">
        <f>1124.7+(221.1-299.2)+(-2.294388+(-0.451044--0.610368))+0-208.4--0.425135999999991</f>
        <v>836.49007200000005</v>
      </c>
      <c r="H297" s="3">
        <f>1126.2+(212.6-295.3)+(-0.574362+(-0.108426--0.150603))+0-206.9--0.105518999999979</f>
        <v>836.17333399999995</v>
      </c>
      <c r="I297" s="3">
        <f>1144.7+(206.2-300.9)+(-1.751391+(-0.315486--0.460377))+0-206.7--0.316251000000012</f>
        <v>842.00975099999982</v>
      </c>
      <c r="J297" s="3">
        <f>1148.8+(217.9-320.6)+(0+(0-0))+0-205-0</f>
        <v>841.09999999999991</v>
      </c>
      <c r="K297" s="3">
        <f>1150.3+(264.1-373.5)+(0+(0-0))+0-205.7-0</f>
        <v>835.2</v>
      </c>
      <c r="L297" s="3">
        <f>1143.9+(324.5-401)+(0+(0-0))+0-203.1-0</f>
        <v>864.30000000000007</v>
      </c>
      <c r="M297" s="3">
        <f>1141.2+(353.1-375.7)+(0.582012+(0.180081-0.191607))+0-203.8-0.103937999999979</f>
        <v>915.26654800000028</v>
      </c>
      <c r="N297" s="3">
        <f>1134.4+(348.3-379.6)+(1.157088+(0.355266-0.387192))+0-203-0.207060000000032</f>
        <v>901.01810200000011</v>
      </c>
      <c r="O297" s="3">
        <f>1121.6+(366.8-337.5)+(1.716048+(0.561204-0.516375))+0-204.2-0.312426000000012</f>
        <v>948.1484509999998</v>
      </c>
      <c r="P297" s="3">
        <f>1139.6+(403.6-373.6)+(1.162392+(0.411672-0.381072))+0-206.4-0.210528000000033</f>
        <v>964.18246399999987</v>
      </c>
      <c r="Q297" s="3">
        <f>1146.6+(383-347.6)+(-1.169532+(-0.39066--0.354552))+0-205.8--0.209916000000033</f>
        <v>975.20427600000016</v>
      </c>
      <c r="R297" s="3">
        <f>1135.8+(403.2-380.3)+(-3.475548+(-1.233792--1.163718))+0-203.2--0.621792000000023</f>
        <v>952.57616999999971</v>
      </c>
      <c r="S297" s="3">
        <f>1003.8+(441.2-294.6)+(0.511938+(0.225012-0.150246))+0-200.9-0.10245899999998</f>
        <v>949.98424499999999</v>
      </c>
      <c r="T297" s="3">
        <f>985.1+(437.8-292)+(0.502401+(0.223278-0.14892))+0-183.5-0.0935849999999814</f>
        <v>947.88317400000017</v>
      </c>
      <c r="U297" s="3">
        <f>984.4+(451.4-311.7)+(0.502044+(0.230214-0.158967))+0-182.7-0.0931769999999815</f>
        <v>941.88011399999982</v>
      </c>
      <c r="V297" s="3">
        <f>985.9+(528.6-352.2)+(-0.502809+(-0.269586--0.179622))+0-191.9--0.0978689999999805</f>
        <v>969.90509599999984</v>
      </c>
      <c r="W297" s="3">
        <f>993.1+(562.7-321)+(-0.506481+(-0.286977--0.16371))+0-201.9--0.10296899999998</f>
        <v>1032.3732210000001</v>
      </c>
      <c r="X297" s="3">
        <f>998.5+(549.7-313)+(-1.01847+(-0.560694--0.31926))+0-198.9--0.202878000000032</f>
        <v>1035.242974</v>
      </c>
      <c r="Y297" s="3">
        <f>1109+(395.4-307.5)+(-0.56559+(-0.201654--0.156825))+0-197.8--0.10087799999998</f>
        <v>998.59045900000001</v>
      </c>
      <c r="Z297" s="3">
        <f>1114.9+(338.2-282.7)+(-0.568599+(-0.172482--0.144177))+0-201.4--0.10271399999998</f>
        <v>968.50581000000011</v>
      </c>
      <c r="AA297" s="3">
        <f>972.7+(390.6-201.9)+(-1.984308+(-0.796824--0.411876))+0-202.2--0.412487999999991</f>
        <v>957.24323200000003</v>
      </c>
      <c r="AB297" s="3">
        <f>952.4+(421-252.4)+(0.485724+(0.21471-0.128724))+0-197.9-0.10092899999998</f>
        <v>923.57078100000001</v>
      </c>
      <c r="AC297" s="3">
        <f>764.7+(658.8-353.6)+(-1.949985+(-1.67994--0.90168))+0-196.8--0.501839999999971</f>
        <v>870.87359500000014</v>
      </c>
      <c r="AD297">
        <v>1034.1999999999998</v>
      </c>
      <c r="AE297" s="3">
        <f>999+(567.1-308.7)+(0+(0-0))+0-198.2-0</f>
        <v>1059.2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807.1+(521.6-305.1)+(-0.823242+(-0.532032--0.311202))+0-194.7--0.198594000000031</f>
        <v>828.05452200000002</v>
      </c>
      <c r="G298" s="3">
        <f>876.4+(399.6-278.6)+(0.446964+(0.203796-0.142086))+0-191.9-0.0978689999999805</f>
        <v>805.9108050000001</v>
      </c>
      <c r="H298" s="3">
        <f>943.7+(334.4-300)+(0+(0-0))+0-192.3-0</f>
        <v>785.8</v>
      </c>
      <c r="I298" s="3">
        <f>950.6+(337.3-311.2)+(0.484806+(0.172023-0.158712))+0-188.7-0.0962369999999809</f>
        <v>788.40188000000012</v>
      </c>
      <c r="J298" s="3">
        <f>953.2+(348.6-317.7)+(-2.43066+(-0.88893--0.810135))+0-189.4--0.482969999999973</f>
        <v>792.67351500000018</v>
      </c>
      <c r="K298" s="3">
        <f>956.1+(386.7-345)+(0.975222+(0.394434-0.3519))+0-187.5-0.19125000000003</f>
        <v>811.12650599999984</v>
      </c>
      <c r="L298" s="3">
        <f>959.6+(473.6-397.5)+(0+(0-0))+0-185.2-0</f>
        <v>850.5</v>
      </c>
      <c r="M298" s="3">
        <f>1001.8+(510.6-413.7)+(-0.510918+(-0.260406--0.210987))+0-183.7--0.0936869999999814</f>
        <v>914.53335000000004</v>
      </c>
      <c r="N298" s="3">
        <f>999+(477.6-328.5)+(1.01898+(0.487152-0.33507))+0-189.7-0.19349400000003</f>
        <v>959.37756799999977</v>
      </c>
      <c r="O298" s="3">
        <f>1047+(460.7-336.2)+(1.60191+(0.704871-0.514386))+0-185.8-0.284274000000011</f>
        <v>987.20812100000001</v>
      </c>
      <c r="P298" s="3">
        <f>1147.5+(402.7-370.7)+(0+(0-0))+0-188-0</f>
        <v>991.5</v>
      </c>
      <c r="Q298" s="3">
        <f>1232.5+(359.9-406.2)+(-1.25715+(-0.367098--0.414324))+0-185.4--0.18910800000003</f>
        <v>999.7791840000001</v>
      </c>
      <c r="R298" s="3">
        <f>1285+(321.6-452.1)+(-1.96605+(-0.492048--0.691713))+0-179.2--0.27417600000001</f>
        <v>973.80779100000007</v>
      </c>
      <c r="S298" s="3">
        <f>1298+(294-456.7)+(-3.3099+(-0.7497--1.164585))+0-174.5--0.444974999999975</f>
        <v>958.3499599999999</v>
      </c>
      <c r="T298" s="3">
        <f>1298.6+(275.3-450.3)+(-3.973716+(-0.842418--1.377918))+0-177.7--0.543762000000021</f>
        <v>943.00554599999987</v>
      </c>
      <c r="U298" s="3">
        <f>1303.7+(238.6-422.8)+(-2.659548+(-0.486744--0.862512))+0-176.2--0.359447999999992</f>
        <v>941.37566800000002</v>
      </c>
      <c r="V298" s="3">
        <f>1304.7+(261.7-425.9)+(-0.665397+(-0.133467--0.217209))+0-181.7--0.0926669999999816</f>
        <v>958.31101200000001</v>
      </c>
      <c r="W298" s="3">
        <f>1308.1+(328.5-453.7)+(-1.334262+(-0.33507--0.462774))+0-180.5--0.184110000000029</f>
        <v>1001.3775519999998</v>
      </c>
      <c r="X298" s="3">
        <f>1314.7+(318.5-459.7)+(-2.011491+(-0.487305--0.703341))+0-196.1--0.300033000000011</f>
        <v>975.90457800000001</v>
      </c>
      <c r="Y298" s="3">
        <f>1322.8+(261.7-443.3)+(0+(0-0))+0-199.1-0</f>
        <v>942.0999999999998</v>
      </c>
      <c r="Z298" s="3">
        <f>1326.7+(226.9-439.2)+(-0.676617+(-0.115719--0.223992))+0-204.6--0.104345999999979</f>
        <v>909.33600200000001</v>
      </c>
      <c r="AA298" s="3">
        <f>1323.6+(223.5-447.1)+(-1.350072+(-0.22797--0.456042))+0-203.7--0.207774000000032</f>
        <v>895.38577399999997</v>
      </c>
      <c r="AB298" s="3">
        <f>1325.8+(234.8-479.7)+(-2.028474+(-0.359244--0.733941))+0-205.8--0.314874000000012</f>
        <v>873.76109700000018</v>
      </c>
      <c r="AC298" s="3">
        <f>1325.4+(216.3-502.9)+(-3.37977+(-0.551565--1.282395))+0-211--0.538049999999969</f>
        <v>825.68911000000014</v>
      </c>
      <c r="AD298">
        <v>982.4</v>
      </c>
      <c r="AE298" s="3">
        <f>1319+(326.9-462.9)+(0+(0-0))+0-175.6-0</f>
        <v>1007.4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1338+(168.5-501.1)+(-0.68238+(-0.085935--0.255561))+0-208.6--0.106385999999979</f>
        <v>796.39363199999991</v>
      </c>
      <c r="G299" s="3">
        <f>1339.9+(148.8-509.9)+(-0.683349+(-0.075888--0.260049))+0-206.9--0.105518999999979</f>
        <v>771.50633100000016</v>
      </c>
      <c r="H299" s="3">
        <f>1339.6+(128.8-511.4)+(-0.683196+(-0.065688--0.260814))+0-205--0.104549999999979</f>
        <v>751.61648000000002</v>
      </c>
      <c r="I299" s="3">
        <f>1339.6+(131.5-523.6)+(1.366392+(0.13413-0.534072))+0-202.3-0.206346000000032</f>
        <v>745.96010399999989</v>
      </c>
      <c r="J299" s="3">
        <f>1343.6+(136-528.5)+(-1.370472+(-0.13872--0.53907))+0-201.6--0.205632000000032</f>
        <v>748.73550999999998</v>
      </c>
      <c r="K299" s="3">
        <f>1342.3+(176-548.3)+(-0.684573+(-0.08976--0.279633))+0-203.8--0.103937999999979</f>
        <v>765.80923800000005</v>
      </c>
      <c r="L299" s="3">
        <f>1339.2+(225.4-555.6)+(0.682992+(0.114954-0.283356))+0-201.9-0.10296899999998</f>
        <v>807.51162099999999</v>
      </c>
      <c r="M299" s="3">
        <f>1342.4+(259-542.6)+(-1.369248+(-0.26418--0.553452))+0-201.8--0.205836000000032</f>
        <v>856.12586000000022</v>
      </c>
      <c r="N299" s="3">
        <f>1339.1+(277.7-522.6)+(0+(0-0))+0-202.4-0</f>
        <v>891.79999999999984</v>
      </c>
      <c r="O299" s="3">
        <f>1341.4+(310.2-542)+(-1.368228+(-0.316404--0.55284))+0-206.7--0.210834000000033</f>
        <v>901.97904200000016</v>
      </c>
      <c r="P299" s="3">
        <f>1332.5+(332.4-540.1)+(-0.679575+(-0.169524--0.275451))+0-205.3--0.104702999999979</f>
        <v>919.03105499999992</v>
      </c>
      <c r="Q299" s="3">
        <f>1328.1+(336.2-524.8)+(-1.354662+(-0.342924--0.535296))+0-206.3--0.210426000000033</f>
        <v>932.24813600000004</v>
      </c>
      <c r="R299" s="3">
        <f>1327.4+(291.5-514.2)+(0.676974+(0.148665-0.262242))+0-193.5-0.0986849999999804</f>
        <v>911.66471200000001</v>
      </c>
      <c r="S299" s="3">
        <f>1335.4+(233.5-488.3)+(-2.724216+(-0.47634--0.996132))+0-187.6--0.382703999999992</f>
        <v>891.17828000000009</v>
      </c>
      <c r="T299" s="3">
        <f>1335.9+(202.3-464.9)+(-0.681309+(-0.103173--0.237099))+0-186.3--0.0950129999999811</f>
        <v>886.54763000000014</v>
      </c>
      <c r="U299" s="3">
        <f>1335.7+(192-452)+(0+(0-0))+0-197.6-0</f>
        <v>878.1</v>
      </c>
      <c r="V299" s="3">
        <f>1335.5+(208.2-452.3)+(-2.043315+(-0.318546--0.692019))+0-208--0.318240000000012</f>
        <v>882.04839800000013</v>
      </c>
      <c r="W299" s="3">
        <f>1332.5+(267.7-454.4)+(-2.7183+(-0.546108--0.926976))+0-204--0.416159999999991</f>
        <v>939.87872799999991</v>
      </c>
      <c r="X299" s="3">
        <f>1326.5+(263-449.9)+(-3.382575+(-0.67065--1.147245))+0-204--0.52019999999997</f>
        <v>933.21421999999984</v>
      </c>
      <c r="Y299" s="3">
        <f>1330.7+(229.5-453.8)+(-0.678657+(-0.117045--0.231438))+0-199--0.10148999999998</f>
        <v>906.93722600000001</v>
      </c>
      <c r="Z299" s="3">
        <f>1328.5+(192.9-455.1)+(-2.71014+(-0.393516--0.928404))+0-181--0.369239999999992</f>
        <v>883.49398799999994</v>
      </c>
      <c r="AA299" s="3">
        <f>1318.2+(185.6-438.1)+(-2.016846+(-0.283968--0.670293))+0-201--0.307530000000012</f>
        <v>863.37700900000004</v>
      </c>
      <c r="AB299" s="3">
        <f>1307.6+(159.8-433.3)+(-1.333752+(-0.162996--0.441966))+0-200--0.204000000000032</f>
        <v>833.24921800000004</v>
      </c>
      <c r="AC299" s="3">
        <f>1307.6+(119.8-431.1)+(-2.000628+(-0.183294--0.659583))+0-200--0.306000000000012</f>
        <v>795.08166099999994</v>
      </c>
      <c r="AD299">
        <v>937.40000000000009</v>
      </c>
      <c r="AE299" s="3">
        <f>1334+(264.9-445.5)+(0+(0-0))+0-192-0</f>
        <v>961.40000000000009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1270.2+(133.9-439.7)+(-0.647802+(-0.068289--0.224247))+0-197--0.10046999999998</f>
        <v>767.00862600000005</v>
      </c>
      <c r="G300" s="3">
        <f>1263.2+(127.5-464.6)+(-0.644232+(-0.065025--0.236946))+0-187--0.095369999999981</f>
        <v>738.72305900000003</v>
      </c>
      <c r="H300" s="3">
        <f>1265.3+(128.8-483)+(-1.290606+(-0.131376--0.49266))+0-191--0.19482000000003</f>
        <v>719.365498</v>
      </c>
      <c r="I300" s="3">
        <f>1269.6+(118.2-483)+(0+(0-0))+0-192-0</f>
        <v>712.8</v>
      </c>
      <c r="J300" s="3">
        <f>1264.1+(120.8-481.6)+(-1.934073+(-0.184824--0.736848))+0-191--0.292230000000011</f>
        <v>711.21018099999992</v>
      </c>
      <c r="K300" s="3">
        <f>1266.7+(136.9-478.7)+(0+(0-0))+0-192-0</f>
        <v>732.90000000000009</v>
      </c>
      <c r="L300" s="3">
        <f>1266+(163.9-470.2)+(1.29132+(0.167178-0.479604))+0-190-0.19380000000003</f>
        <v>770.485094</v>
      </c>
      <c r="M300" s="3">
        <f>1278.1+(182.8-465)+(-0.651831+(-0.093228--0.23715))+0-193--0.0984299999999804</f>
        <v>802.49052099999983</v>
      </c>
      <c r="N300" s="3">
        <f>1278+(193.2-444.5)+(1.95534+(0.295596-0.680085))+0-197-0.301410000000011</f>
        <v>830.96944099999996</v>
      </c>
      <c r="O300" s="3">
        <f>1275.7+(210.1-446.6)+(0+(0-0))+0-201-0</f>
        <v>838.2</v>
      </c>
      <c r="P300" s="3">
        <f>1277.3+(223.7-477.4)+(-0.651423+(-0.114087--0.243474))+0-197--0.10046999999998</f>
        <v>826.17843399999992</v>
      </c>
      <c r="Q300" s="3">
        <f>1282.4+(206.2-473.8)+(-0.654024+(-0.105162--0.241638))+0-194--0.0989399999999803</f>
        <v>820.38139200000001</v>
      </c>
      <c r="R300" s="3">
        <f>1264+(209.7-509.8)+(-2.57856+(-0.427788--1.039992))+0-205--0.418199999999991</f>
        <v>757.35184399999991</v>
      </c>
      <c r="S300" s="3">
        <f>1262.4+(179.6-489.6)+(0.643824+(0.091596-0.249696))+0-198-0.10097999999998</f>
        <v>754.78474400000016</v>
      </c>
      <c r="T300" s="3">
        <f>1261+(168.7-478.6)+(-1.92933+(-0.258111--0.732258))+0-209--0.319770000000012</f>
        <v>740.96458699999994</v>
      </c>
      <c r="U300" s="3">
        <f>1264.3+(226-503.3)+(-0.644793+(-0.11526--0.256683))+0-202--0.10301999999998</f>
        <v>784.59965</v>
      </c>
      <c r="V300" s="3">
        <f>1265.6+(275.8-538.6)+(-1.290912+(-0.281316--0.549372))+0-204--0.208080000000033</f>
        <v>797.9852239999999</v>
      </c>
      <c r="W300" s="3">
        <f>1308.3+(261.8-510.4)+(1.334466+(0.267036-0.520608))+0-204-0.208080000000033</f>
        <v>856.57281399999999</v>
      </c>
      <c r="X300" s="3">
        <f>1337.9+(271.4-550.7)+(-2.729316+(-0.553656--1.123428))+0-208--0.424319999999991</f>
        <v>848.86477599999978</v>
      </c>
      <c r="Y300" s="3">
        <f>1343.5+(225.7-512.6)+(-2.74074+(-0.460428--1.045704))+0-206--0.420239999999991</f>
        <v>848.86477600000001</v>
      </c>
      <c r="Z300" s="3">
        <f>1350.6+(200.6-542.2)+(0+(0-0))+0-207-0</f>
        <v>801.99999999999989</v>
      </c>
      <c r="AA300" s="3">
        <f>1359+(169.7-512.3)+(-0.69309+(-0.086547--0.261273))+0-206--0.105059999999979</f>
        <v>809.98669600000005</v>
      </c>
      <c r="AB300" s="3">
        <f>1367.3+(134-522.7)+(-0.697323+(-0.06834--0.266577))+0-193--0.0984299999999804</f>
        <v>785.19934399999988</v>
      </c>
      <c r="AC300" s="3">
        <f>1370.8+(118.9-544.5)+(-2.796432+(-0.242556--1.11078))+0-194--0.395759999999992</f>
        <v>749.66755199999989</v>
      </c>
      <c r="AD300">
        <v>910.8</v>
      </c>
      <c r="AE300" s="3">
        <f>1327+(271.3-484.5)+(0+(0-0))+0-192-0</f>
        <v>921.8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1370.9+(98.8-561.5)+(-2.796636+(-0.201552--1.14546))+0-195--0.397799999999991</f>
        <v>711.74507200000005</v>
      </c>
      <c r="G301" s="3">
        <f>1372.2+(118.7-623.5)+(-2.099466+(-0.181611--0.953955))+0-190--0.290700000000011</f>
        <v>676.36357800000008</v>
      </c>
      <c r="H301" s="3">
        <f>1373.1+(77.5-586.1)+(-0.700281+(-0.039525--0.298911))+0-195--0.0994499999999802</f>
        <v>669.15855499999986</v>
      </c>
      <c r="I301" s="3">
        <f>1377.7+(86.1-607.5)+(-2.810508+(-0.175644--1.2393))+0-199--0.405959999999991</f>
        <v>655.95910800000001</v>
      </c>
      <c r="J301" s="3">
        <f>1384.7+(88.8-598.1)+(-2.118591+(-0.135864--0.915093))+0-204--0.312120000000012</f>
        <v>670.37275800000009</v>
      </c>
      <c r="K301" s="3">
        <f>1388.3+(114.9-588.3)+(0.708033+(0.058599-0.300033))+0-205-0.104549999999979</f>
        <v>710.26204899999993</v>
      </c>
      <c r="L301" s="3">
        <f>1388.1+(172.3-585.1)+(-1.415862+(-0.175746--0.596802))+0-200--0.204000000000032</f>
        <v>774.50919399999998</v>
      </c>
      <c r="M301" s="3">
        <f>1393.3+(210.3-563.6)+(0.710583+(0.107253-0.287436))+0-137-0.0698699999999861</f>
        <v>903.46053000000006</v>
      </c>
      <c r="N301" s="3">
        <f>1394.1+(230.2-544.2)+(0+(0-0))+0-203-0</f>
        <v>877.09999999999991</v>
      </c>
      <c r="O301" s="3">
        <f>1394.3+(266.1-550.1)+(0.711093+(0.135711-0.280551))+0-202-0.10301999999998</f>
        <v>908.7632329999999</v>
      </c>
      <c r="P301" s="3">
        <f>1395.6+(277.1-561.8)+(0+(0-0))+0-181.5-0</f>
        <v>929.40000000000009</v>
      </c>
      <c r="Q301" s="3">
        <f>1386.4+(305.5-561.1)+(-2.828256+(-0.62322--1.144644))+0-184.1--0.375563999999992</f>
        <v>944.76873200000011</v>
      </c>
      <c r="R301" s="3">
        <f>1381+(304.3-567.7)+(-2.81724+(-0.620772--1.158108))+0-185.2--0.377807999999992</f>
        <v>930.49790399999983</v>
      </c>
      <c r="S301" s="3">
        <f>1375.2+(276.8-547.5)+(-2.805408+(-0.564672--1.1169))+0-188.4--0.384335999999992</f>
        <v>914.23115600000006</v>
      </c>
      <c r="T301" s="3">
        <f>1362.6+(264-529.5)+(0.694926+(0.13464-0.270045))+0-189.4-0.0965939999999808</f>
        <v>908.16292699999985</v>
      </c>
      <c r="U301" s="3">
        <f>1362.7+(262.1-521.1)+(-0.694977+(-0.133671--0.265761))+0-189.6--0.0966959999999808</f>
        <v>913.63380899999993</v>
      </c>
      <c r="V301" s="3">
        <f>1364.4+(286.7-521.1)+(-0.695844+(-0.146217--0.265761))+0-190.1--0.0969509999999807</f>
        <v>939.42065100000002</v>
      </c>
      <c r="W301" s="3">
        <f>1365.8+(361.5-528.5)+(2.089674+(0.553095-0.808605))+0-196-0.299880000000011</f>
        <v>1004.334284</v>
      </c>
      <c r="X301" s="3">
        <f>1376.5+(328.6-505.4)+(0+(0-0))+0-207.4-0</f>
        <v>992.30000000000007</v>
      </c>
      <c r="Y301" s="3">
        <f>1378.3+(285.4-498.1)+(-2.108799+(-0.436662--0.762093))+0-205.2--0.313956000000012</f>
        <v>958.93058799999972</v>
      </c>
      <c r="Z301" s="3">
        <f>1391.2+(235.7-497.1)+(0.709512+(0.120207-0.253521))+0-205.9-0.105008999999979</f>
        <v>924.37118899999996</v>
      </c>
      <c r="AA301" s="3">
        <f>1402.5+(192.8-464.3)+(-2.8611+(-0.393312--0.947172))+0-207.3--0.422891999999991</f>
        <v>921.815652</v>
      </c>
      <c r="AB301" s="3">
        <f>1398.5+(158.1-473.1)+(-0.713235+(-0.080631--0.241281))+0-72.1--0.0367709999999927</f>
        <v>1010.8841860000001</v>
      </c>
      <c r="AC301" s="3">
        <f>1398.4+(142.8-508.2)+(-3.56592+(-0.36414--1.29591))+0-73.1--0.186404999999989</f>
        <v>957.45225499999992</v>
      </c>
      <c r="AD301">
        <v>982.90000000000009</v>
      </c>
      <c r="AE301" s="3">
        <f>1367+(345.3-523.4)+(0+(0-0))+0-194-0</f>
        <v>994.90000000000009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1396.1+(131-539.7)+(0+(0-0))+0-201.1-0</f>
        <v>786.29999999999984</v>
      </c>
      <c r="G302" s="3">
        <f>1383+(138.3-557.4)+(-1.41066+(-0.141066--0.568548))+0-200.4--0.204408000000032</f>
        <v>762.72123000000022</v>
      </c>
      <c r="H302" s="3">
        <f>1384.8+(147.9-575.3)+(-0.706248+(-0.075429--0.293403))+0-200.1--0.10205099999998</f>
        <v>756.91377699999987</v>
      </c>
      <c r="I302" s="3">
        <f>1384.4+(145.6-572.9)+(2.118132+(0.222768-0.876537))+0-202.8-0.310284000000012</f>
        <v>755.45407900000021</v>
      </c>
      <c r="J302" s="3">
        <f>1387.1+(150.4-574.8)+(-0.707421+(-0.076704--0.293148))+0-202.5--0.103274999999979</f>
        <v>759.81229799999983</v>
      </c>
      <c r="K302" s="3">
        <f>1396+(166-579.5)+(0+(0-0))+0-200.5-0</f>
        <v>782</v>
      </c>
      <c r="L302" s="3">
        <f>1395.1+(215.9-576.3)+(0.711501+(0.110109-0.293913))+0-196.3-0.10011299999998</f>
        <v>838.82758399999989</v>
      </c>
      <c r="M302" s="3">
        <f>1400.2+(263.2-571.5)+(-0.714102+(-0.134232--0.291465))+0-200.5--0.10225499999998</f>
        <v>890.9453860000001</v>
      </c>
      <c r="N302" s="3">
        <f>1397.3+(228.6-497.2)+(0+(0-0))+0-203-0</f>
        <v>925.69999999999982</v>
      </c>
      <c r="O302" s="3">
        <f>1388+(193.9-440.5)+(-0.70788+(-0.098889--0.224655))+0-202.6--0.103325999999979</f>
        <v>938.32121199999995</v>
      </c>
      <c r="P302" s="3">
        <f>1380.1+(189.4-419.1)+(-2.111553+(-0.289782--0.641223))+0-202.8--0.310284000000012</f>
        <v>946.150172</v>
      </c>
      <c r="Q302" s="3">
        <f>1374.2+(192.6-418.2)+(-2.803368+(-0.392904--0.853128))+0-205.1--0.418403999999991</f>
        <v>941.57526000000018</v>
      </c>
      <c r="R302" s="3">
        <f>1362.2+(175.7-402.3)+(-1.389444+(-0.179214--0.410346))+0-199.5--0.203490000000032</f>
        <v>935.14517799999987</v>
      </c>
      <c r="S302" s="3">
        <f>1360+(165.3-404.4)+(0+(0-0))+0-194.6-0</f>
        <v>926.30000000000007</v>
      </c>
      <c r="T302" s="3">
        <f>1357+(171.4-407.3)+(-0.69207+(-0.087414--0.207723))+0-197.3--0.10062299999998</f>
        <v>923.32886199999996</v>
      </c>
      <c r="U302" s="3">
        <f>1355.9+(198.4-439.5)+(0.691509+(0.101184-0.224145))+0-194.3-0.0990929999999803</f>
        <v>920.96945500000027</v>
      </c>
      <c r="V302" s="3">
        <f>1351.7+(256.7-457.1)+(0.689367+(0.130917-0.233121))+0-204.3-0.104192999999979</f>
        <v>947.48296999999991</v>
      </c>
      <c r="W302" s="3">
        <f>1357.6+(343.1-477.4)+(0.692376+(0.174981-0.243474))+0-195.4-0.0996539999999802</f>
        <v>1028.424229</v>
      </c>
      <c r="X302" s="3">
        <f>1366.7+(349.7-471.4)+(-2.788068+(-0.713388--0.961656))+0-211.4--0.431255999999991</f>
        <v>1031.491456</v>
      </c>
      <c r="Y302" s="3">
        <f>1372.2+(317.1-480.5)+(-0.699822+(-0.161721--0.245055))+0-203.8--0.103937999999979</f>
        <v>1004.4874500000003</v>
      </c>
      <c r="Z302" s="3">
        <f>1378.6+(282.6-475.5)+(-2.109258+(-0.432378--0.727515))+0-212.8--0.325584000000012</f>
        <v>971.41146300000003</v>
      </c>
      <c r="AA302" s="3">
        <f>1385.5+(241.1-468.1)+(-2.119815+(-0.368883--0.716193))+0-212.1--0.324513000000012</f>
        <v>944.95200800000009</v>
      </c>
      <c r="AB302" s="3">
        <f>1382+(195.8-469.3)+(-2.11446+(-0.299574--0.718029))+0-208--0.318240000000012</f>
        <v>899.12223500000005</v>
      </c>
      <c r="AC302" s="3">
        <f>1389.3+(171.9-498.8)+(-2.125629+(-0.263007--0.763164))+0-207.5--0.317475000000012</f>
        <v>853.5920030000002</v>
      </c>
      <c r="AD302">
        <v>1021.6</v>
      </c>
      <c r="AE302" s="3">
        <f>1367+(346.8-483.8)+(0+(0-0))+0-195.4-0</f>
        <v>1034.5999999999999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1396.1+(167-549.4)+(-2.136033+(-0.25551--0.840582))+0-210.5--0.322065000000012</f>
        <v>801.97110399999997</v>
      </c>
      <c r="G303" s="3">
        <f>1366.7+(167.2-540.7)+(-1.394034+(-0.170544--0.551514))+0-206.2--0.210324000000033</f>
        <v>786.19726000000003</v>
      </c>
      <c r="H303" s="3">
        <f>1344.3+(165.1-531.9)+(0.685593+(0.084201-0.271269))+0-203.8-0.103937999999979</f>
        <v>774.09458700000005</v>
      </c>
      <c r="I303" s="3">
        <f>1343.6+(158.7-530.6)+(-2.055708+(-0.242811--0.811818))+0-206.8--0.316404000000012</f>
        <v>763.72970299999986</v>
      </c>
      <c r="J303" s="3">
        <f>1340.8+(156.3-518.6)+(1.367616+(0.159426-0.528972))+0-206.5-0.210630000000033</f>
        <v>772.78743999999995</v>
      </c>
      <c r="K303" s="3">
        <f>1342.7+(171.1-507.4)+(2.054331+(0.261783-0.776322))+0-205.1-0.313803000000012</f>
        <v>802.5259890000001</v>
      </c>
      <c r="L303" s="3">
        <f>1343.9+(214.3-495.2)+(1.370778+(0.218586-0.505104))+0-202.2-0.206244000000032</f>
        <v>861.67801599999996</v>
      </c>
      <c r="M303" s="3">
        <f>1341.2+(278.4-496.6)+(0+(0-0))+0-208.2-0</f>
        <v>914.8</v>
      </c>
      <c r="N303" s="3">
        <f>1331.4+(275-448.7)+(0+(0-0))+0-195.5-0</f>
        <v>962.2</v>
      </c>
      <c r="O303" s="3">
        <f>1324.7+(291-429)+(-0.675597+(-0.14841--0.21879))+0-204--0.104039999999979</f>
        <v>982.19882299999995</v>
      </c>
      <c r="P303" s="3">
        <f>1372+(267-432)+(-1.39944+(-0.27234--0.44064))+0-198--0.201960000000032</f>
        <v>1007.9708199999999</v>
      </c>
      <c r="Q303" s="3">
        <f>1361+(224.5-439.1)+(-0.69411+(-0.114495--0.223941))+0-174.1--0.0887909999999823</f>
        <v>971.80412700000011</v>
      </c>
      <c r="R303" s="3">
        <f>1358.4+(238.3-479.7)+(-2.078352+(-0.364599--0.733941))+0-184.5--0.282285000000011</f>
        <v>931.07327499999997</v>
      </c>
      <c r="S303" s="3">
        <f>1346.8+(208.2-421.2)+(-0.686868+(-0.106182--0.214812))+0-170.2--0.0868019999999827</f>
        <v>963.10856399999989</v>
      </c>
      <c r="T303" s="3">
        <f>1342.5+(202.5-420.7)+(-0.684675+(-0.103275--0.214557))+0-173.3--0.0883829999999824</f>
        <v>950.51499000000013</v>
      </c>
      <c r="U303" s="3">
        <f>1328.6+(238.9-434.2)+(-1.355172+(-0.243678--0.442884))+0-172.9--0.176358000000028</f>
        <v>959.42039199999999</v>
      </c>
      <c r="V303" s="3">
        <f>1340.8+(267.1-450)+(1.367616+(0.272442-0.459))+0-178.6-0.182172000000028</f>
        <v>980.29888599999992</v>
      </c>
      <c r="W303" s="3">
        <f>1354.2+(310-444.7)+(0.690642+(0.1581-0.226797))+0-175.4-0.0894539999999822</f>
        <v>1044.6324910000001</v>
      </c>
      <c r="X303" s="3">
        <f>1364.9+(284-426.3)+(-1.392198+(-0.28968--0.434826))+0-169.1--0.172482000000027</f>
        <v>1052.4254300000002</v>
      </c>
      <c r="Y303" s="3">
        <f>1369.4+(253.8-425.6)+(-2.793576+(-0.517752--0.868224))+0-173.3--0.353531999999992</f>
        <v>1022.2104280000002</v>
      </c>
      <c r="Z303" s="3">
        <f>1375.3+(218.9-431.2)+(-2.104209+(-0.334917--0.659736))+0-175--0.26775000000001</f>
        <v>986.48836000000006</v>
      </c>
      <c r="AA303" s="3">
        <f>1379.2+(185.5-407.5)+(-1.406784+(-0.18921--0.41565))+0-179.1--0.182682000000029</f>
        <v>977.10233799999992</v>
      </c>
      <c r="AB303" s="3">
        <f>1387.7+(180-449.9)+(-2.123181+(-0.2754--0.688347))+0-179.6--0.27478800000001</f>
        <v>936.76455400000032</v>
      </c>
      <c r="AC303" s="3">
        <f>1392.1+(176.7-490.5)+(-2.839884+(-0.360468--1.00062))+0-186.9--0.381275999999992</f>
        <v>889.58154399999989</v>
      </c>
      <c r="AD303">
        <v>1022.7</v>
      </c>
      <c r="AE303" s="3">
        <f>1361+(277.4-430.7)+(0+(0-0))+0-170-0</f>
        <v>1037.7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1390+(179.8-538.6)+(-2.1267+(-0.275094--0.824058))+0-192.5--0.294525000000011</f>
        <v>837.41678900000011</v>
      </c>
      <c r="G304" s="3">
        <f>1360.1+(178.9-534.8)+(-0.693651+(-0.091239--0.272748))+0-192.2--0.0980219999999805</f>
        <v>811.58587999999997</v>
      </c>
      <c r="H304" s="3">
        <f>1364.3+(160.6-533.4)+(1.391586+(0.163812-0.544068))+0-187.5-0.19125000000003</f>
        <v>804.82007999999996</v>
      </c>
      <c r="I304" s="3">
        <f>1362.3+(161.4-526.1)+(1.389546+(0.164628-0.536622))+0-191-0.19482000000003</f>
        <v>807.42273199999988</v>
      </c>
      <c r="J304" s="3">
        <f>1368.5+(170-545.7)+(-1.39587+(-0.1734--0.556614))+0-193.3--0.197166000000031</f>
        <v>798.68450999999993</v>
      </c>
      <c r="K304" s="3">
        <f>1367.2+(185.3-524.1)+(-0.697272+(-0.094503--0.267291))+0-190.1--0.0969509999999807</f>
        <v>837.87246700000003</v>
      </c>
      <c r="L304" s="3">
        <f>1367.2+(248.3-528.1)+(-2.091816+(-0.379899--0.807993))+0-187.8--0.287334000000011</f>
        <v>898.22361200000012</v>
      </c>
      <c r="M304" s="3">
        <f>1373.6+(272.4-502.1)+(-2.101608+(-0.416772--0.768213))+0-192.3--0.294219000000011</f>
        <v>950.14405199999999</v>
      </c>
      <c r="N304" s="3">
        <f>1368.6+(288.1-476.8)+(0.697986+(0.146931-0.243168))+0-193.2-0.0985319999999804</f>
        <v>987.20321699999977</v>
      </c>
      <c r="O304" s="3">
        <f>1368.5+(275.1-459.9)+(-1.39587+(-0.280602--0.469098))+0-191.4--0.195228000000031</f>
        <v>991.28785400000004</v>
      </c>
      <c r="P304" s="3">
        <f>1359.2+(273.1-446.5)+(0.693192+(0.139281-0.227715))+0-192.1-0.0979709999999805</f>
        <v>994.20678700000008</v>
      </c>
      <c r="Q304" s="3">
        <f>1348.5+(281.6-441.1)+(-1.37547+(-0.287232--0.449922))+0-190.2--0.19400400000003</f>
        <v>997.78122399999995</v>
      </c>
      <c r="R304" s="3">
        <f>1338.3+(285.8-455.8)+(-0.682533+(-0.145758--0.232458))+0-182.3--0.0929729999999815</f>
        <v>985.49713999999994</v>
      </c>
      <c r="S304" s="3">
        <f>1310.7+(251.2-433.8)+(-0.668457+(-0.128112--0.221238))+0-176.5--0.0900149999999821</f>
        <v>951.1146839999999</v>
      </c>
      <c r="T304" s="3">
        <f>1332.8+(239.1-424.3)+(-0.679728+(-0.121941--0.216393))+0-181.2--0.0924119999999816</f>
        <v>965.90713599999981</v>
      </c>
      <c r="U304" s="3">
        <f>1330.3+(244.4-427.8)+(0+(0-0))+0-186.4-0</f>
        <v>960.49999999999989</v>
      </c>
      <c r="V304" s="3">
        <f>1329.9+(288.2-461)+(0+(0-0))+0-187.3-0</f>
        <v>969.80000000000018</v>
      </c>
      <c r="W304" s="3">
        <f>1351.8+(331.6-461)+(0.689418+(0.169116-0.23511))+0-190.8-0.0973079999999806</f>
        <v>1032.1261160000001</v>
      </c>
      <c r="X304" s="3">
        <f>1377.7+(321-461.3)+(-2.810508+(-0.65484--0.941052))+0-194.2--0.396167999999991</f>
        <v>1041.071872</v>
      </c>
      <c r="Y304" s="3">
        <f>1378.7+(267.6-443.5)+(-2.812548+(-0.545904--0.90474))+0-191.3--0.390251999999992</f>
        <v>1009.4365400000003</v>
      </c>
      <c r="Z304" s="3">
        <f>1286.5+(268.1-378.6)+(0+(0-0))+0-197.3-0</f>
        <v>978.7</v>
      </c>
      <c r="AA304" s="3">
        <f>1134.1+(316.8-294.3)+(-3.470346+(-0.969408--0.900558))+0-197.3--0.603738000000023</f>
        <v>956.36454200000003</v>
      </c>
      <c r="AB304" s="3">
        <f>1019.3+(358.1-264.7)+(-1.559529+(-0.547893--0.404991))+0-192.2--0.294066000000011</f>
        <v>919.09163500000011</v>
      </c>
      <c r="AC304" s="3">
        <f>949+(378.5-263.9)+(-3.87192+(-1.54428--1.076712))+0-196.7--0.802535999999983</f>
        <v>863.36304799999982</v>
      </c>
      <c r="AD304">
        <v>1056.2</v>
      </c>
      <c r="AE304" s="3">
        <f>1377+(334.1-469.1)+(0+(0-0))+0-170.8-0</f>
        <v>1071.2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979.9+(341.5-295.9)+(-1.998996+(-0.69666--0.603636))+0-192--0.391679999999992</f>
        <v>831.7996599999999</v>
      </c>
      <c r="G305" s="3">
        <f>988.4+(311.1-296.2)+(-2.016336+(-0.634644--0.604248))+0-192.3--0.392291999999992</f>
        <v>809.34555999999998</v>
      </c>
      <c r="H305" s="3">
        <f>1048.3+(254.4-317.3)+(-3.207798+(-0.778464--0.970938))+0-192--0.587520000000022</f>
        <v>790.97219600000005</v>
      </c>
      <c r="I305" s="3">
        <f>1040.9+(243.6-307.9)+(0+(0-0))+0-191.2-0</f>
        <v>785.40000000000009</v>
      </c>
      <c r="J305" s="3">
        <f>1042.4+(232.8-298.4)+(1.063248+(0.237456-0.304368))+0-193.4-0.197268000000031</f>
        <v>784.19906800000024</v>
      </c>
      <c r="K305" s="3">
        <f>1046.1+(289.9-341.2)+(0+(0-0))+0-189.9-0</f>
        <v>804.9</v>
      </c>
      <c r="L305" s="3">
        <f>985.4+(398.7-353.5)+(-0.502554+(-0.203337--0.180285))+0-188.3--0.0960329999999809</f>
        <v>841.87042700000006</v>
      </c>
      <c r="M305" s="3">
        <f>940.2+(502.9-349.2)+(0+(0-0))+0-193.3-0</f>
        <v>900.60000000000014</v>
      </c>
      <c r="N305" s="3">
        <f>905.8+(577.3-339.7)+(0.923916+(0.588846-0.346494))+0-196.7-0.200634000000031</f>
        <v>947.66563399999973</v>
      </c>
      <c r="O305" s="3">
        <f>882.7+(569.4-282.1)+(0.900354+(0.580788-0.287742))+0-195.5-0.199410000000031</f>
        <v>975.49399000000005</v>
      </c>
      <c r="P305" s="3">
        <f>875.7+(558.6-242.2)+(1.339821+(0.854658-0.370566))+0-196.5-0.300645000000011</f>
        <v>997.12326800000005</v>
      </c>
      <c r="Q305" s="3">
        <f>878+(586.7-270.3)+(0.44778+(0.299217-0.137853))+0-194-0.0989399999999803</f>
        <v>1000.9102040000001</v>
      </c>
      <c r="R305" s="3">
        <f>946.6+(485.1-266.4)+(-1.931064+(-0.989604--0.543456))+0-189.4--0.386375999999992</f>
        <v>973.90916400000015</v>
      </c>
      <c r="S305" s="3">
        <f>1035+(397.6-297.7)+(-1.0557+(-0.405552--0.303654))+0-188.8--0.19257600000003</f>
        <v>945.13497800000016</v>
      </c>
      <c r="T305" s="3">
        <f>1074.7+(355.5-305.3)+(0+(0-0))+0-184.6-0</f>
        <v>940.30000000000007</v>
      </c>
      <c r="U305" s="3">
        <f>1071.5+(391.8-340.9)+(0+(0-0))+0-185.3-0</f>
        <v>937.10000000000014</v>
      </c>
      <c r="V305" s="3">
        <f>1093.5+(447.6-402.5)+(-1.673055+(-0.684828--0.615825))+0-190--0.290700000000011</f>
        <v>947.14864199999988</v>
      </c>
      <c r="W305" s="3">
        <f>1172.2+(470.3-442.6)+(1.793466+(0.719559-0.677178))+0-195.5-0.299115000000011</f>
        <v>1005.9367320000001</v>
      </c>
      <c r="X305" s="3">
        <f>1266+(429.5-482.4)+(-1.29132+(-0.43809--0.492048))+0-191.9--0.195738000000031</f>
        <v>1020.1583759999999</v>
      </c>
      <c r="Y305" s="3">
        <f>1271.9+(368.2-469.8)+(-2.594676+(-0.751128--0.958392))+0-178.6--0.364343999999992</f>
        <v>989.67693200000008</v>
      </c>
      <c r="Z305" s="3">
        <f>1281.4+(313.1-459.1)+(-3.26757+(-0.798405--1.170705))+0-172.3--0.439364999999975</f>
        <v>960.64409500000011</v>
      </c>
      <c r="AA305" s="3">
        <f>1285.2+(270.9-439.7)+(-1.966356+(-0.414477--0.672741))+0-172.2--0.26346600000001</f>
        <v>942.75537399999996</v>
      </c>
      <c r="AB305" s="3">
        <f>1295.1+(230.3-442.1)+(-0.660501+(-0.117453--0.225471))+0-167.1--0.085220999999983</f>
        <v>915.73273799999993</v>
      </c>
      <c r="AC305" s="3">
        <f>1218.2+(252.1-419.5)+(-1.242564+(-0.257142--0.42789))+0-165.8--0.169116000000026</f>
        <v>884.09730000000013</v>
      </c>
      <c r="AD305">
        <v>1006.8000000000001</v>
      </c>
      <c r="AE305" s="3">
        <f>1261+(425.2-476)+(0+(0-0))+0-190.4-0</f>
        <v>1019.8000000000001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1127.9+(245.5-359.8)+(-1.150458+(-0.25041--0.366996))+0-172.7--0.176154000000028</f>
        <v>840.04228200000011</v>
      </c>
      <c r="G306" s="3">
        <f>1129.6+(224.3-365.5)+(0+(0-0))+0-176.6-0</f>
        <v>811.79999999999984</v>
      </c>
      <c r="H306" s="3">
        <f>1128.5+(190.8-350.9)+(0.575535+(0.097308-0.178959))+0-178.9-0.0912389999999818</f>
        <v>789.90264500000012</v>
      </c>
      <c r="I306" s="3">
        <f>1134.7+(173.2-348.5)+(1.157394+(0.176664-0.35547))+0-178.1-0.181662000000028</f>
        <v>782.09692599999994</v>
      </c>
      <c r="J306" s="3">
        <f>1131+(191.1-365.8)+(0+(0-0))+0-174.7-0</f>
        <v>781.59999999999991</v>
      </c>
      <c r="K306" s="3">
        <f>1132.8+(234.7-390.6)+(0+(0-0))+0-178.8-0</f>
        <v>798.09999999999991</v>
      </c>
      <c r="L306" s="3">
        <f>1116.7+(279.8-403.7)+(0+(0-0))+0-177.2-0</f>
        <v>815.60000000000014</v>
      </c>
      <c r="M306" s="3">
        <f>1118.7+(350.2-420.4)+(-1.711611+(-0.535806--0.643212))+0-186.6--0.285498000000011</f>
        <v>860.58129299999985</v>
      </c>
      <c r="N306" s="3">
        <f>1126.2+(430.4-470.9)+(1.148724+(0.439008-0.480318))+0-193.6-0.197472000000031</f>
        <v>893.00994200000002</v>
      </c>
      <c r="O306" s="3">
        <f>1119.3+(560.2-565.9)+(-0.570843+(-0.285702--0.288609))+0-191.8--0.0978179999999805</f>
        <v>921.329882</v>
      </c>
      <c r="P306" s="3">
        <f>1108.4+(563.8-537.6)+(-0.565284+(-0.287538--0.274176))+0-207.8--0.105977999999979</f>
        <v>926.32733199999996</v>
      </c>
      <c r="Q306" s="3">
        <f>1122.1+(582.5-557.7)+(-0.572271+(-0.297075--0.284427))+0-190.7--0.0972569999999807</f>
        <v>955.71233799999993</v>
      </c>
      <c r="R306" s="3">
        <f>1145.7+(565.5-569.4)+(-1.752921+(-0.865215--0.871182))+0-189.7--0.290241000000011</f>
        <v>950.64328700000021</v>
      </c>
      <c r="S306" s="3">
        <f>1197+(427.6-497.2)+(-2.44188+(-0.872304--1.014288))+0-191.8--0.391271999999992</f>
        <v>933.6913760000001</v>
      </c>
      <c r="T306" s="3">
        <f>1270.4+(333.6-495.3)+(-1.943712+(-0.510408--0.757809))+0-186.2--0.284886000000011</f>
        <v>921.08857500000011</v>
      </c>
      <c r="U306" s="3">
        <f>1273.8+(293.3-466.4)+(0+(0-0))+0-175.7-0</f>
        <v>925</v>
      </c>
      <c r="V306" s="3">
        <f>1282.4+(342.9-513.8)+(0+(0-0))+0-176.7-0</f>
        <v>934.8</v>
      </c>
      <c r="W306" s="3">
        <f>1308.1+(414.3-541.3)+(-0.667131+(-0.211293--0.276063))+0-177.8--0.090677999999982</f>
        <v>1002.788317</v>
      </c>
      <c r="X306" s="3">
        <f>1335.8+(397.4-534.4)+(0+(0-0))+0-190.4-0</f>
        <v>1008.4</v>
      </c>
      <c r="Y306" s="3">
        <f>1327.4+(342.4-493.3)+(-2.707896+(-0.698496--1.006332))+0-192.6--0.392903999999992</f>
        <v>981.89284400000008</v>
      </c>
      <c r="Z306" s="3">
        <f>1327.2+(290.1-473.1)+(-1.353744+(-0.295902--0.482562))+0-194.2--0.198084000000031</f>
        <v>949.03100000000006</v>
      </c>
      <c r="AA306" s="3">
        <f>1328.5+(281.9-482.7)+(-0.677535+(-0.143769--0.246177))+0-195.1--0.0995009999999802</f>
        <v>932.12437399999999</v>
      </c>
      <c r="AB306" s="3">
        <f>1331.8+(192.1-436.2)+(-3.39609+(-0.489855--1.11231))+0-194.6--0.496229999999972</f>
        <v>890.82259499999998</v>
      </c>
      <c r="AC306" s="3">
        <f>1326.6+(129-414)+(-2.706264+(-0.26316--0.84456))+0-193.4--0.394535999999992</f>
        <v>846.46967200000006</v>
      </c>
      <c r="AD306">
        <v>1000.8999999999999</v>
      </c>
      <c r="AE306" s="3">
        <f>1329+(385.7-517.6)+(0+(0-0))+0-182.2-0</f>
        <v>1014.8999999999999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1266.2+(110.6-370.1)+(-1.291524+(-0.112812--0.377502))+0-187.4--0.19114800000003</f>
        <v>818.46431400000006</v>
      </c>
      <c r="G307" s="3">
        <f>1139.1+(134.2-296.8)+(-0.580941+(-0.068442--0.151368))+0-188.9--0.0963389999999808</f>
        <v>787.19832399999984</v>
      </c>
      <c r="H307" s="3">
        <f>1136.5+(131.3-314.8)+(-2.31846+(-0.267852--0.642192))+0-185.6--0.378623999999992</f>
        <v>765.83450399999992</v>
      </c>
      <c r="I307" s="3">
        <f>1137.9+(129.5-322)+(0.580329+(0.066045-0.16422))+0-184.9-0.0942989999999812</f>
        <v>760.88785500000017</v>
      </c>
      <c r="J307" s="3">
        <f>1138.4+(137.9-319.9)+(1.161168+(0.140658-0.326298))+0-194-0.197880000000031</f>
        <v>763.17764800000009</v>
      </c>
      <c r="K307" s="3">
        <f>1136.9+(176.1-332.8)+(1.159638+(0.179622-0.339456))+0-187.3-0.19104600000003</f>
        <v>793.7087580000001</v>
      </c>
      <c r="L307" s="3">
        <f>1137.5+(269.1-362.4)+(1.16025+(0.274482-0.369648))+0-183.6-0.187272000000029</f>
        <v>861.47781200000009</v>
      </c>
      <c r="M307" s="3">
        <f>1140.4+(340.6-375.4)+(-1.163208+(-0.347412--0.382908))+0-183.3--0.186966000000029</f>
        <v>921.35925400000019</v>
      </c>
      <c r="N307" s="3">
        <f>1138.5+(405.3-399.6)+(2.32254+(0.826812-0.815184))+0-185.7-0.378827999999992</f>
        <v>960.45534000000009</v>
      </c>
      <c r="O307" s="3">
        <f>1139.3+(416.4-406.9)+(1.162086+(0.424728-0.415038))+0-180.1-0.183702000000029</f>
        <v>969.6880739999998</v>
      </c>
      <c r="P307" s="3">
        <f>1163.5+(405.4-385.2)+(-1.780155+(-0.620262--0.589356))+0-173.3--0.26514900000001</f>
        <v>1008.854088</v>
      </c>
      <c r="Q307" s="3">
        <f>1167.7+(397.4-395.8)+(-1.191054+(-0.405348--0.403716))+0-173.2--0.176664000000028</f>
        <v>995.08397799999989</v>
      </c>
      <c r="R307" s="3">
        <f>1203.7+(345.6-420.8)+(-1.841661+(-0.528768--0.643824))+0-167.8--0.25673400000001</f>
        <v>959.23012900000003</v>
      </c>
      <c r="S307" s="3">
        <f>1282.8+(304.5-483.5)+(0.654228+(0.155295-0.246585))+0-161-0.0821099999999837</f>
        <v>943.28082800000004</v>
      </c>
      <c r="T307" s="3">
        <f>1287.6+(306.3-496.2)+(-1.970028+(-0.468639--0.759186))+0-161.4--0.246942000000009</f>
        <v>934.86746099999993</v>
      </c>
      <c r="U307" s="3">
        <f>1295.7+(303.5-500.4)+(-0.660807+(-0.154785--0.255204))+0-161.4--0.0823139999999836</f>
        <v>936.9219260000001</v>
      </c>
      <c r="V307" s="3">
        <f>1308.8+(324.4-509.8)+(-1.334976+(-0.330888--0.519996))+0-168.8--0.172176000000027</f>
        <v>953.62630799999988</v>
      </c>
      <c r="W307" s="3">
        <f>1323+(407.1-549)+(2.02419+(0.622863-0.83997))+0-166.9-0.25535700000001</f>
        <v>1015.7517259999998</v>
      </c>
      <c r="X307" s="3">
        <f>1334.2+(391.4-542.9)+(0+(0-0))+0-168.3-0</f>
        <v>1014.4000000000001</v>
      </c>
      <c r="Y307" s="3">
        <f>1335.7+(346.8-529.7)+(-2.043621+(-0.530604--0.810441))+0-169.5--0.25933500000001</f>
        <v>981.79555099999993</v>
      </c>
      <c r="Z307" s="3">
        <f>1348+(299.7-525.3)+(-2.06244+(-0.458541--0.803709))+0-175.2--0.26805600000001</f>
        <v>945.75078399999995</v>
      </c>
      <c r="AA307" s="3">
        <f>1355.4+(269.7-505)+(-3.45627+(-0.687735--1.28775))+0-179.8--0.458489999999974</f>
        <v>937.90223500000025</v>
      </c>
      <c r="AB307" s="3">
        <f>1365.9+(242.2-519.9)+(-3.483045+(-0.61761--1.325745))+0-178.8--0.455939999999974</f>
        <v>907.08102999999994</v>
      </c>
      <c r="AC307" s="3">
        <f>1372.3+(202.6-538.2)+(-0.699873+(-0.103326--0.274482))+0-176.7--0.0901169999999821</f>
        <v>859.56139999999982</v>
      </c>
      <c r="AD307">
        <v>995.90000000000009</v>
      </c>
      <c r="AE307" s="3">
        <f>1328+(398.7-547.5)+(0+(0-0))+0-168.3-0</f>
        <v>1010.9000000000001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1229.7+(244.3-477.4)+(0+(0-0))+0-169.5-0</f>
        <v>827.10000000000014</v>
      </c>
      <c r="G308" s="3">
        <f>1191.9+(240.7-450.1)+(-0.607869+(-0.122757--0.229551))+0-179.4--0.0914939999999818</f>
        <v>802.69041900000002</v>
      </c>
      <c r="H308" s="3">
        <f>989+(327.4-343.7)+(0+(0-0))+0-182.4-0</f>
        <v>790.30000000000007</v>
      </c>
      <c r="I308" s="3">
        <f>968.2+(320.5-328.8)+(0+(0-0))+0-181.4-0</f>
        <v>778.50000000000011</v>
      </c>
      <c r="J308" s="3">
        <f>974.8+(308.9-336.6)+(0.994296+(0.315078-0.343332))+0-180.1-0.183702000000029</f>
        <v>767.78233999999986</v>
      </c>
      <c r="K308" s="3">
        <f>1015.7+(345.2-415.1)+(0.518007+(0.176052-0.211701))+0-181.7-0.0926669999999816</f>
        <v>764.48969099999988</v>
      </c>
      <c r="L308" s="3">
        <f>986.6+(405.8-407)+(0+(0-0))+0-176.8-0</f>
        <v>808.60000000000014</v>
      </c>
      <c r="M308" s="3">
        <f>990.5+(449.9-413.2)+(-1.01031+(-0.458898--0.421464))+0-181.1--0.184722000000029</f>
        <v>845.23697800000014</v>
      </c>
      <c r="N308" s="3">
        <f>979.3+(486.6-401.9)+(0.998886+(0.496332-0.409938))+0-181.4-0.185028000000029</f>
        <v>883.50025200000005</v>
      </c>
      <c r="O308" s="3">
        <f>968.9+(458.6-328.2)+(-1.482417+(-0.701658--0.502146))+0-187.5--0.286875000000011</f>
        <v>910.40494599999988</v>
      </c>
      <c r="P308" s="3">
        <f>992.7+(450.2-333.2)+(-1.518831+(-0.688806--0.509796))+0-185.7--0.284121000000011</f>
        <v>922.5862800000001</v>
      </c>
      <c r="Q308" s="3">
        <f>1031.7+(440.5-361.3)+(-2.630835+(-1.123275--0.921315))+0-181.9--0.463844999999974</f>
        <v>926.63105000000007</v>
      </c>
      <c r="R308" s="3">
        <f>1048.2+(413.2-360.7)+(-1.069164+(-0.421464--0.367914))+0-178.3--0.181866000000028</f>
        <v>921.45915200000002</v>
      </c>
      <c r="S308" s="3">
        <f>1101.8+(380.5-386.9)+(-0.561918+(-0.194055--0.197319))+0-184.6--0.0941459999999813</f>
        <v>910.33549200000016</v>
      </c>
      <c r="T308" s="3">
        <f>1118.4+(350.9-393)+(-0.570384+(-0.178959--0.20043))+0-175--0.0892499999999822</f>
        <v>900.84033700000009</v>
      </c>
      <c r="U308" s="3">
        <f>1140+(367.2-428.9)+(-2.3256+(-0.749088--0.874956))+0-176.1--0.359243999999992</f>
        <v>900.35951199999988</v>
      </c>
      <c r="V308" s="3">
        <f>1141.9+(422.2-469.5)+(-0.582369+(-0.215322--0.239445))+0-179.2--0.0913919999999818</f>
        <v>914.93314599999997</v>
      </c>
      <c r="W308" s="3">
        <f>1142.8+(563.1-533.2)+(0+(0-0))+0-181.8-0</f>
        <v>990.89999999999986</v>
      </c>
      <c r="X308" s="3">
        <f>1146.9+(601.2-569)+(0.584919+(0.306612-0.29019))+0-179.7-0.0916469999999818</f>
        <v>999.90969400000017</v>
      </c>
      <c r="Y308" s="3">
        <f>1148.9+(518.8-515.8)+(-1.171878+(-0.529176--0.526116))+0-178.3--0.181866000000028</f>
        <v>972.60692800000004</v>
      </c>
      <c r="Z308" s="3">
        <f>1158.7+(477.6-503.5)+(-1.181874+(-0.487152--0.51357))+0-185--0.18870000000003</f>
        <v>946.83324400000026</v>
      </c>
      <c r="AA308" s="3">
        <f>1152.6+(416.6-443.4)+(-1.763478+(-0.637398--0.678402))+0-191.3--0.292689000000011</f>
        <v>933.07021500000008</v>
      </c>
      <c r="AB308" s="3">
        <f>1153.7+(356.6-432.7)+(-1.765161+(-0.545598--0.662031))+0-181.6--0.27784800000001</f>
        <v>894.62912000000028</v>
      </c>
      <c r="AC308" s="3">
        <f>1152.8+(331.3-449.9)+(-2.93964+(-0.844815--1.147245))+0-178.7--0.455684999999974</f>
        <v>853.31847499999992</v>
      </c>
      <c r="AD308">
        <v>959.00000000000011</v>
      </c>
      <c r="AE308" s="3">
        <f>1134+(556.9-536.8)+(0+(0-0))+0-180.1-0</f>
        <v>973.99999999999989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1047+(342.8-395.2)+(-2.66985+(-0.87414--1.00776))+0-173.6--0.442679999999975</f>
        <v>818.90644999999995</v>
      </c>
      <c r="G309" s="3">
        <f>1135.3+(277-439.9)+(-2.316012+(-0.56508--0.897396))+0-175.3--0.357611999999992</f>
        <v>795.47391599999992</v>
      </c>
      <c r="H309" s="3">
        <f>1147.5+(265.9-454.5)+(0.585225+(0.135609-0.231795))+0-176-0.0897599999999821</f>
        <v>783.29927900000007</v>
      </c>
      <c r="I309" s="3">
        <f>1149+(262.5-452.6)+(1.17198+(0.26775-0.461652))+0-184.6-0.188292000000029</f>
        <v>775.08978599999989</v>
      </c>
      <c r="J309" s="3">
        <f>1159.2+(263.3-457.4)+(0.591192+(0.134283-0.233274))+0-185-0.0943499999999812</f>
        <v>780.4978510000002</v>
      </c>
      <c r="K309" s="3">
        <f>1163.8+(301.7-483.2)+(0.593538+(0.153867-0.246432))+0-186.8-0.0952679999999811</f>
        <v>795.9057049999999</v>
      </c>
      <c r="L309" s="3">
        <f>1163.6+(376.5-507.2)+(0.593436+(0.192015-0.258672))+0-184.3-0.0939929999999813</f>
        <v>849.03278599999999</v>
      </c>
      <c r="M309" s="3">
        <f>1164.2+(429.2-501.6)+(0.593742+(0.218892-0.255816))+0-188.4-0.0960839999999809</f>
        <v>903.86073399999998</v>
      </c>
      <c r="N309" s="3">
        <f>1155.8+(488.6-509.6)+(-0.589458+(-0.249186--0.259896))+0-187.4--0.095573999999981</f>
        <v>946.91682600000001</v>
      </c>
      <c r="O309" s="3">
        <f>1145.5+(516.7-507.8)+(1.752615+(0.790551-0.776934))+0-186.5-0.285345000000011</f>
        <v>969.38088700000003</v>
      </c>
      <c r="P309" s="3">
        <f>1129.4+(480.3-450.8)+(1.151988+(0.489906-0.459816))+0-183.1-0.186762000000029</f>
        <v>976.79531600000007</v>
      </c>
      <c r="Q309" s="3">
        <f>1118.5+(487.1-439)+(1.14087+(0.496842-0.44778))+0-182.3-0.185946000000029</f>
        <v>985.3039859999999</v>
      </c>
      <c r="R309" s="3">
        <f>1107.7+(466.5-415.4)+(-1.694781+(-0.713745--0.635562))+0-179.2--0.27417600000001</f>
        <v>978.10121200000015</v>
      </c>
      <c r="S309" s="3">
        <f>1101+(454.5-399.8)+(-2.24604+(-0.92718--0.815592))+0-182.8--0.372911999999992</f>
        <v>970.91528400000016</v>
      </c>
      <c r="T309" s="3">
        <f>1100.8+(425.4-381.1)+(-0.561408+(-0.216954--0.194361))+0-183.9--0.0937889999999813</f>
        <v>960.709788</v>
      </c>
      <c r="U309" s="3">
        <f>1106.3+(429.1-386.5)+(-1.692639+(-0.656523--0.591345))+0-182.6--0.279378000000011</f>
        <v>964.8215610000002</v>
      </c>
      <c r="V309" s="3">
        <f>1112.9+(473.4-417.8)+(-1.135158+(-0.482868--0.426156))+0-184.9--0.188598000000029</f>
        <v>982.59672799999998</v>
      </c>
      <c r="W309" s="3">
        <f>1119.3+(572-488.9)+(0+(0-0))+0-191.2-0</f>
        <v>1011.2</v>
      </c>
      <c r="X309" s="3">
        <f>1133.5+(543-487)+(-2.31234+(-1.10772--0.99348))+0-187.5--0.382499999999992</f>
        <v>999.95591999999988</v>
      </c>
      <c r="Y309" s="3">
        <f>1142.1+(491-475.7)+(-2.912355+(-1.25205--1.213035))+0-188.1--0.479654999999973</f>
        <v>966.82828499999982</v>
      </c>
      <c r="Z309" s="3">
        <f>1151.9+(411.4-449.6)+(-1.174938+(-0.419628--0.458592))+0-189.2--0.19298400000003</f>
        <v>923.55700999999999</v>
      </c>
      <c r="AA309" s="3">
        <f>1154.8+(370-424.6)+(-0.588948+(-0.1887--0.216546))+0-194--0.0989399999999803</f>
        <v>905.7378379999999</v>
      </c>
      <c r="AB309" s="3">
        <f>1064.4+(387.4-377)+(-2.71422+(-0.98787--0.96135))+0-192.2--0.490109999999972</f>
        <v>880.34937000000014</v>
      </c>
      <c r="AC309" s="3">
        <f>767.5+(511.2-251.8)+(-0.78285+(-0.521424--0.256836))+0-191--0.19482000000003</f>
        <v>835.04738200000008</v>
      </c>
      <c r="AD309">
        <v>985.60000000000014</v>
      </c>
      <c r="AE309" s="3">
        <f>1118+(578.7-508.4)+(0+(0-0))+0-190.7-0</f>
        <v>997.60000000000014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770+(454.9-237.8)+(-1.9635+(-1.159995--0.60639))+0-187.8--0.478889999999973</f>
        <v>797.2617849999998</v>
      </c>
      <c r="G310" s="3">
        <f>771.8+(407-217.4)+(-0.787236+(-0.41514--0.221748))+0-187.9--0.19165800000003</f>
        <v>772.71103000000005</v>
      </c>
      <c r="H310" s="3">
        <f>770.4+(386.7-209.5)+(-1.96452+(-0.986085--0.534225))+0-186--0.474299999999973</f>
        <v>759.65791999999988</v>
      </c>
      <c r="I310" s="3">
        <f>762.2+(366.8-191.8)+(0+(0-0))+0-186.6-0</f>
        <v>750.6</v>
      </c>
      <c r="J310" s="3">
        <f>761.5+(370.9-199.2)+(0.388365+(0.189159-0.101592))+0-188.9-0.0963389999999808</f>
        <v>744.67959300000007</v>
      </c>
      <c r="K310" s="3">
        <f>762.2+(408.3-222.6)+(-0.388722+(-0.208233--0.113526))+0-187.9--0.0958289999999809</f>
        <v>759.61240000000009</v>
      </c>
      <c r="L310" s="3">
        <f>763.6+(451.7-232.9)+(-1.168308+(-0.691101--0.356337))+0-184.3--0.281979000000011</f>
        <v>796.87890699999991</v>
      </c>
      <c r="M310" s="3">
        <f>773.8+(506.6-250.5)+(-0.789276+(-0.516732--0.25551))+0-190.1--0.19390200000003</f>
        <v>838.94340399999999</v>
      </c>
      <c r="N310" s="3">
        <f>781.6+(593.5-280.6)+(-0.398616+(-0.302685--0.143106))+0-193.6--0.0987359999999804</f>
        <v>900.44054099999994</v>
      </c>
      <c r="O310" s="3">
        <f>777.4+(636.1-297.5)+(-0.396474+(-0.324411--0.151725))+0-193.2--0.0985319999999804</f>
        <v>922.32937199999992</v>
      </c>
      <c r="P310" s="3">
        <f>769.7+(608-268.3)+(0+(0-0))+0-183.8-0</f>
        <v>925.60000000000014</v>
      </c>
      <c r="Q310" s="3">
        <f>760.5+(585.5-228.7)+(-0.387855+(-0.298605--0.116637))+0-185.6--0.0946559999999812</f>
        <v>931.22483299999988</v>
      </c>
      <c r="R310" s="3">
        <f>760.1+(628.2-281.5)+(-0.775302+(-0.640764--0.28713))+0-188.6--0.19237200000003</f>
        <v>917.26343600000007</v>
      </c>
      <c r="S310" s="3">
        <f>758.3+(623.3-282.7)+(-1.546932+(-1.271532--0.576708))+0-187.2--0.381887999999992</f>
        <v>909.84013199999993</v>
      </c>
      <c r="T310" s="3">
        <f>756.9+(623.6-293.3)+(-0.772038+(-0.636072--0.299166))+0-189.4--0.19318800000003</f>
        <v>896.88424400000008</v>
      </c>
      <c r="U310" s="3">
        <f>752.2+(639.7-309.9)+(0.383622+(0.326247-0.158049))+0-186.1-0.0949109999999811</f>
        <v>896.35690899999986</v>
      </c>
      <c r="V310" s="3">
        <f>562.7+(809.6-260.1)+(0+(0-0))+0-189.3-0</f>
        <v>922.90000000000009</v>
      </c>
      <c r="W310" s="3">
        <f>562.6+(1003-373.3)+(1.43463+(2.55765-0.951915))+0-192.9-0.491894999999972</f>
        <v>1001.9484700000003</v>
      </c>
      <c r="X310" s="3">
        <f>704.5+(888.1-384.8)+(-1.077885+(-1.358793--0.588744))+0-192.5--0.294525000000011</f>
        <v>1013.7465910000001</v>
      </c>
      <c r="Y310" s="3">
        <f>765.8+(780.5-371.8)+(-1.562232+(-1.59222--0.758472))+0-188.2--0.383927999999992</f>
        <v>984.28794799999991</v>
      </c>
      <c r="Z310" s="3">
        <f>773.7+(674.6-301.8)+(-0.394587+(-0.344046--0.153918))+0-190--0.0968999999999807</f>
        <v>956.01218500000004</v>
      </c>
      <c r="AA310" s="3">
        <f>775.1+(641.9-295.6)+(0.395301+(0.327369-0.150756))+0-188.4-0.0960839999999809</f>
        <v>933.4758300000002</v>
      </c>
      <c r="AB310" s="3">
        <f>775.8+(607.7-307.3)+(-0.791316+(-0.619854--0.313446))+0-189.2--0.19298400000003</f>
        <v>886.09526000000005</v>
      </c>
      <c r="AC310" s="3">
        <f>772.8+(525.4-265.8)+(-1.576512+(-1.071816--0.542232))+0-186.5--0.380459999999992</f>
        <v>844.17436399999985</v>
      </c>
      <c r="AD310">
        <v>1004.3</v>
      </c>
      <c r="AE310" s="3">
        <f>701+(901.7-395.2)+(0+(0-0))+0-190.2-0</f>
        <v>1017.3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775.6+(450.2-226.7)+(0+(0-0))+0-182.5-0</f>
        <v>816.6</v>
      </c>
      <c r="G311" s="3">
        <f>778+(413.9-218.7)+(-0.79356+(-0.422178--0.223074))+0-180.8--0.184416000000029</f>
        <v>791.59175200000004</v>
      </c>
      <c r="H311" s="3">
        <f>779.1+(401.6-234.5)+(-0.397341+(-0.204816--0.119595))+0-174.8--0.0891479999999823</f>
        <v>771.00658599999997</v>
      </c>
      <c r="I311" s="3">
        <f>781.2+(406.7-256.9)+(0.398412+(0.207417-0.131019))+0-172.9-0.0881789999999825</f>
        <v>758.4866310000001</v>
      </c>
      <c r="J311" s="3">
        <f>779.8+(424.4-258.6)+(0.397698+(0.216444-0.131886))+0-174.9-0.0891989999999823</f>
        <v>771.09305699999993</v>
      </c>
      <c r="K311" s="3">
        <f>784.3+(492.9-304.9)+(0.799986+(0.502758-0.310998))+0-175.5-0.179010000000028</f>
        <v>797.61273599999993</v>
      </c>
      <c r="L311" s="3">
        <f>786.9+(544.8-307.2)+(0.401319+(0.277848-0.156672))+0-175.6-0.0895559999999822</f>
        <v>849.3329389999999</v>
      </c>
      <c r="M311" s="3">
        <f>793.4+(563-260.4)+(0+(0-0))+0-181.9-0</f>
        <v>914.1</v>
      </c>
      <c r="N311" s="3">
        <f>776.8+(606.3-244.7)+(0.792336+(0.618426-0.249594))+0-178.9-0.182478000000029</f>
        <v>960.47868999999992</v>
      </c>
      <c r="O311" s="3">
        <f>773.5+(614.7-242.7)+(0.78897+(0.626994-0.247554))+0-174.4-0.177888000000028</f>
        <v>972.09052199999996</v>
      </c>
      <c r="P311" s="3">
        <f>766.2+(607.1-239.4)+(0+(0-0))+0-167.2-0</f>
        <v>966.7</v>
      </c>
      <c r="Q311" s="3">
        <f>759.2+(623.3-239.7)+(0.387192+(0.317883-0.122247))+0-168-0.085679999999983</f>
        <v>975.29714799999999</v>
      </c>
      <c r="R311" s="3">
        <f>758.4+(630.9-243)+(-1.160352+(-0.965277--0.37179))+0-168.2--0.25734600000001</f>
        <v>976.60350699999992</v>
      </c>
      <c r="S311" s="3">
        <f>756.9+(611.9-235.1)+(0+(0-0))+0-159.7-0</f>
        <v>973.99999999999977</v>
      </c>
      <c r="T311" s="3">
        <f>749.6+(584.1-223.3)+(0.764592+(0.595782-0.227766))+0-154.3-0.157386000000025</f>
        <v>957.07522200000005</v>
      </c>
      <c r="U311" s="3">
        <f>742.9+(604.3-230.2)+(-0.378879+(-0.308193--0.117402))+0-159--0.0810899999999839</f>
        <v>957.51141999999993</v>
      </c>
      <c r="V311" s="3">
        <f>749+(653.1-247.2)+(0+(0-0))+0-170.3-0</f>
        <v>984.60000000000014</v>
      </c>
      <c r="W311" s="3">
        <f>827.9+(724.1-356.3)+(0.422229+(0.369291-0.181713))+0-164.5-0.0838949999999833</f>
        <v>1031.7259120000001</v>
      </c>
      <c r="X311" s="3">
        <f>873.1+(702.3-372.4)+(-0.890562+(-0.716346--0.379848))+0-160.7--0.163914000000026</f>
        <v>1041.236854</v>
      </c>
      <c r="Y311" s="3">
        <f>874.4+(610.8-317.6)+(-0.891888+(-0.623016--0.323952))+0-154.5--0.157590000000025</f>
        <v>1012.066638</v>
      </c>
      <c r="Z311" s="3">
        <f>868.7+(519.3-261.8)+(-0.886074+(-0.529686--0.267036))+0-149.2--0.152184000000024</f>
        <v>976.00346000000013</v>
      </c>
      <c r="AA311" s="3">
        <f>856.5+(492-243.9)+(-0.87363+(-0.50184--0.248778))+0-151.2--0.154224000000024</f>
        <v>952.42753199999981</v>
      </c>
      <c r="AB311" s="3">
        <f>859.4+(423.6-221.3)+(-0.438294+(-0.216036--0.112863))+0-146.2--0.0745619999999852</f>
        <v>915.033095</v>
      </c>
      <c r="AC311" s="3">
        <f>775.5+(434.6-197)+(-1.58202+(-0.886584--0.40188))+0-145.1--0.296003999999994</f>
        <v>866.22928000000002</v>
      </c>
      <c r="AD311">
        <v>1026.7999999999997</v>
      </c>
      <c r="AE311" s="3">
        <f>878+(688.8-368.1)+(0+(0-0))+0-157.9-0</f>
        <v>1040.7999999999997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739.2+(404.7-162)+(0+(0-0))+0-148.4-0</f>
        <v>833.50000000000011</v>
      </c>
      <c r="G312" s="3">
        <f>741.4+(374.7-148.4)+(-0.378114+(-0.191097--0.075684))+0-155.5--0.0793049999999842</f>
        <v>811.78577799999994</v>
      </c>
      <c r="H312" s="3">
        <f>744.2+(354.6-147)+(0+(0-0))+0-157.9-0</f>
        <v>793.90000000000009</v>
      </c>
      <c r="I312" s="3">
        <f>741.7+(346.5-150.3)+(1.134801+(0.530145-0.229959))+0-151.7-0.232101000000009</f>
        <v>787.40288600000008</v>
      </c>
      <c r="J312" s="3">
        <f>741.4+(358.3-154.1)+(0+(0-0))+0-153-0</f>
        <v>792.6</v>
      </c>
      <c r="K312" s="3">
        <f>744.2+(408.2-192)+(2.277252+(1.249092-0.58752))+0-148-0.452880000000017</f>
        <v>814.88594399999999</v>
      </c>
      <c r="L312" s="3">
        <f>745.4+(525.2-254.6)+(0.380154+(0.267852-0.129846))+0-162.7-0.0829769999999835</f>
        <v>853.73518300000001</v>
      </c>
      <c r="M312" s="3">
        <f>744.6+(638.2-295.3)+(0.759492+(0.650964-0.301206))+0-165.9-0.169218000000026</f>
        <v>922.540032</v>
      </c>
      <c r="N312" s="3">
        <f>717.9+(717.5-283.5)+(1.464516+(1.4637-0.57834))+0-175-0.356999999999992</f>
        <v>978.89287600000011</v>
      </c>
      <c r="O312" s="3">
        <f>520.8+(937-274.1)+(1.062432+(1.91148-0.559164))+0-181.8-0.370871999999992</f>
        <v>1003.9438759999998</v>
      </c>
      <c r="P312" s="3">
        <f>373.8+(1084.6-268.7)+(0.190638+(0.553146-0.137037))+0-181.2-0.0924119999999816</f>
        <v>1009.0143349999998</v>
      </c>
      <c r="Q312" s="3">
        <f>372.1+(1079.4-249.7)+(0+(0-0))+0-181.6-0</f>
        <v>1020.2000000000002</v>
      </c>
      <c r="R312" s="3">
        <f>372.9+(1085.1-278.3)+(-0.950895+(-2.767005--0.709665))+0-182.5--0.465374999999974</f>
        <v>994.6571399999998</v>
      </c>
      <c r="S312" s="3">
        <f>357.3+(1076.8-252.9)+(-0.364446+(-1.098336--0.257958))+0-182.9--0.186558000000029</f>
        <v>997.28173400000014</v>
      </c>
      <c r="T312" s="3">
        <f>371.4+(1033.9-233.8)+(0.378828+(1.054578-0.238476))+0-191.1-0.19492200000003</f>
        <v>981.40000800000007</v>
      </c>
      <c r="U312" s="3">
        <f>353.3+(1025.6-217.1)+(0+(0-0))+0-184.9-0</f>
        <v>976.9</v>
      </c>
      <c r="V312" s="3">
        <f>362.7+(1038.6-228.8)+(0.369954+(1.059372-0.233376))+0-189.1-0.19288200000003</f>
        <v>984.40306799999996</v>
      </c>
      <c r="W312" s="3">
        <f>377.7+(1166.2-313.7)+(0.577881+(1.784286-0.479961))+0-190.8-0.291924000000011</f>
        <v>1040.990282</v>
      </c>
      <c r="X312" s="3">
        <f>383.2+(1225.4-359.9)+(-0.195432+(-0.624954--0.183549))+0-192.8--0.0983279999999804</f>
        <v>1055.3614910000001</v>
      </c>
      <c r="Y312" s="3">
        <f>382.7+(1132.9-320.1)+(-0.390354+(-1.155558--0.326502))+0-186.3--0.19002600000003</f>
        <v>1008.1706160000001</v>
      </c>
      <c r="Z312" s="3">
        <f>380.5+(1079.9-295.6)+(-0.38811+(-1.101498--0.301512))+0-188.5--0.19227000000003</f>
        <v>975.3041740000001</v>
      </c>
      <c r="AA312" s="3">
        <f>378+(1067.3-276.8)+(-0.19278+(-0.544323--0.141168))+0-190.8--0.0973079999999806</f>
        <v>977.20137299999999</v>
      </c>
      <c r="AB312" s="3">
        <f>377.1+(981.2-218)+(-1.538568+(-4.003296--0.88944))+0-189.8--0.774383999999984</f>
        <v>946.62196000000006</v>
      </c>
      <c r="AC312" s="3">
        <f>383.4+(916.4-193.8)+(-0.586602+(-1.402092--0.296514))+0-191.4--0.292842000000011</f>
        <v>913.20066200000008</v>
      </c>
      <c r="AD312">
        <v>1039.8</v>
      </c>
      <c r="AE312" s="3">
        <f>379+(1237.3-369.5)+(0+(0-0))+0-193-0</f>
        <v>1053.8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388.9+(844.1-171.9)+(0.198339+(0.430491-0.087669))+0-183.5-0.0935849999999814</f>
        <v>878.04757600000005</v>
      </c>
      <c r="G313" s="3">
        <f>390+(795.9-157.2)+(-0.1989+(-0.405909--0.080172))+0-182.7--0.0931769999999815</f>
        <v>845.56853999999998</v>
      </c>
      <c r="H313" s="3">
        <f>389.8+(779.1-155.5)+(0+(0-0))+0-184.7-0</f>
        <v>828.7</v>
      </c>
      <c r="I313" s="3">
        <f>387.6+(754.4-140.6)+(0.395352+(0.769488-0.143412))+0-185.4-0.18910800000003</f>
        <v>816.83231999999998</v>
      </c>
      <c r="J313" s="3">
        <f>387.9+(737.8-123.5)+(-0.791316+(-1.505112--0.25194))+0-185.5--0.378419999999992</f>
        <v>815.03393199999994</v>
      </c>
      <c r="K313" s="3">
        <f>389+(797.8-165.5)+(-0.59517+(-1.220634--0.253215))+0-187.4--0.286722000000011</f>
        <v>832.62413300000003</v>
      </c>
      <c r="L313" s="3">
        <f>386.2+(885.6-223.9)+(-1.575696+(-3.613248--0.913512))+0-184.6--0.753167999999984</f>
        <v>859.77773600000012</v>
      </c>
      <c r="M313" s="3">
        <f>387.5+(970.5-277.7)+(-0.197625+(-0.494955--0.141627))+0-188.4--0.0960839999999809</f>
        <v>891.44513100000006</v>
      </c>
      <c r="N313" s="3">
        <f>379.7+(1014.6-266.4)+(0+(0-0))+0-191.8-0</f>
        <v>936.10000000000014</v>
      </c>
      <c r="O313" s="3">
        <f>374.4+(1101.8-326.9)+(-0.381888+(-1.123836--0.333438))+0-181.9--0.185538000000029</f>
        <v>966.41325200000006</v>
      </c>
      <c r="P313" s="3">
        <f>373.1+(1183.6-382.3)+(0+(0-0))+0-185-0</f>
        <v>989.40000000000009</v>
      </c>
      <c r="Q313" s="3">
        <f>370.7+(1191.3-380.2)+(-0.378114+(-1.215126--0.387804))+0-182.1--0.185742000000029</f>
        <v>998.68030599999997</v>
      </c>
      <c r="R313" s="3">
        <f>373+(1146.9-358.9)+(-0.76092+(-2.339676--0.732156))+0-178.9--0.364955999999992</f>
        <v>980.09651600000007</v>
      </c>
      <c r="S313" s="3">
        <f>378.9+(1092.3-337.5)+(-0.386478+(-1.114146--0.34425))+0-181.9--0.185538000000029</f>
        <v>950.82916399999999</v>
      </c>
      <c r="T313" s="3">
        <f>377+(1050.5-307.3)+(-0.76908+(-2.14302--0.626892))+0-185.8--0.379031999999992</f>
        <v>932.49382400000002</v>
      </c>
      <c r="U313" s="3">
        <f>377.3+(1007.6-275.2)+(-0.192423+(-0.513876--0.140352))+0-180.3--0.0919529999999817</f>
        <v>928.92600600000003</v>
      </c>
      <c r="V313" s="3">
        <f>381.8+(1048.6-301.2)+(-0.584154+(-1.604358--0.460836))+0-186.9--0.285957000000011</f>
        <v>940.85828099999992</v>
      </c>
      <c r="W313" s="3">
        <f>384.1+(1161.5-347.8)+(0.195891+(0.592365-0.177378))+0-186.7-0.0952169999999811</f>
        <v>1011.6156610000002</v>
      </c>
      <c r="X313" s="3">
        <f>384.4+(1210.9-368.5)+(-0.392088+(-1.235118--0.37587))+0-190.8--0.19461600000003</f>
        <v>1034.9432800000002</v>
      </c>
      <c r="Y313" s="3">
        <f>385.9+(1167.7-350.2)+(0+(0-0))+0-193.4-0</f>
        <v>1010.0000000000001</v>
      </c>
      <c r="Z313" s="3">
        <f>389.8+(1143-361.3)+(-0.397596+(-1.16586--0.368526))+0-194.7--0.198594000000031</f>
        <v>975.80366399999991</v>
      </c>
      <c r="AA313" s="3">
        <f>387.6+(1062.2-305.4)+(-0.395352+(-1.083444--0.311508))+0-190.6--0.19441200000003</f>
        <v>952.82712400000003</v>
      </c>
      <c r="AB313" s="3">
        <f>387.5+(971.1-259.3)+(-0.197625+(-0.495261--0.132243))+0-187.4--0.095573999999981</f>
        <v>911.43493099999989</v>
      </c>
      <c r="AC313" s="3">
        <f>388.6+(906.5-242.1)+(-0.792744+(-1.84926--0.493884))+0-187.5--0.382499999999992</f>
        <v>863.73437999999987</v>
      </c>
      <c r="AD313">
        <v>1035.3</v>
      </c>
      <c r="AE313" s="3">
        <f>386+(1218.3-364.7)+(0+(0-0))+0-188.3-0</f>
        <v>1051.3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388.2+(788.9-163.9)+(-0.98991+(-2.011695--0.417945))+0-188.2--0.479909999999973</f>
        <v>822.89625000000001</v>
      </c>
      <c r="G314" s="3">
        <f>390+(729.3-125.7)+(-0.3978+(-0.743886--0.128214))+0-189.5--0.19329000000003</f>
        <v>803.27981799999998</v>
      </c>
      <c r="H314" s="3">
        <f>388.3+(721.5-133.8)+(-0.792132+(-1.47186--0.272952))+0-189.7--0.386987999999992</f>
        <v>784.69594800000004</v>
      </c>
      <c r="I314" s="3">
        <f>389+(699.6-120.3)+(-0.59517+(-1.070388--0.184059))+0-185.9--0.284427000000011</f>
        <v>781.20292800000016</v>
      </c>
      <c r="J314" s="3">
        <f>387.7+(722.2-139.7)+(0.395454+(0.736644-0.142494))+0-186.2-0.18992400000003</f>
        <v>784.79968000000008</v>
      </c>
      <c r="K314" s="3">
        <f>391.1+(778.5-178.2)+(-0.398922+(-0.79407--0.181764))+0-173.9--0.177378000000028</f>
        <v>816.66615000000002</v>
      </c>
      <c r="L314" s="3">
        <f>354.3+(991.9-300)+(0.180693+(0.505869-0.153))+0-169.1-0.0862409999999828</f>
        <v>877.54732100000012</v>
      </c>
      <c r="M314" s="3">
        <f>335.7+(1076.9-310.9)+(0.171207+(0.549219-0.158559))+0-168.9-0.0861389999999829</f>
        <v>933.27572799999996</v>
      </c>
      <c r="N314" s="3">
        <f>424.7+(996.6-290.1)+(0.433194+(1.016532-0.295902))+0-160.9-0.164118000000026</f>
        <v>971.28970600000002</v>
      </c>
      <c r="O314" s="3">
        <f>442.5+(1011.3-285.2)+(-0.225675+(-0.515763--0.145452))+0-159.7--0.0814469999999838</f>
        <v>1008.3854609999999</v>
      </c>
      <c r="P314" s="3">
        <f>441+(976.9-268.8)+(-0.44982+(-0.996438--0.274176))+0-162.6--0.165852000000026</f>
        <v>985.49376999999981</v>
      </c>
      <c r="Q314" s="3">
        <f>458.1+(892.5-255.8)+(-0.467262+(-0.91035--0.260916))+0-164.6--0.167892000000026</f>
        <v>929.25119600000016</v>
      </c>
      <c r="R314" s="3">
        <f>560.5+(853-273.7)+(-1.71513+(-2.61018--0.837522))+0-162.5--0.497250000000019</f>
        <v>974.30946200000005</v>
      </c>
      <c r="S314" s="3">
        <f>564.4+(815.6-250.1)+(-0.863532+(-1.247868--0.382653))+0-164.7--0.25199100000001</f>
        <v>963.72324399999991</v>
      </c>
      <c r="T314" s="3">
        <f>569.2+(801.5-252.9)+(-0.290292+(-0.408765--0.128979))+0-161.8--0.0825179999999836</f>
        <v>955.5124400000002</v>
      </c>
      <c r="U314" s="3">
        <f>597.9+(768.3-254.5)+(-0.914787+(-1.175499--0.389385))+0-157.9--0.241587000000009</f>
        <v>952.34068599999989</v>
      </c>
      <c r="V314" s="3">
        <f>623.6+(749.9-224.7)+(0.318036+(0.382449-0.114597))+0-166.2-0.0847619999999831</f>
        <v>983.10112600000025</v>
      </c>
      <c r="W314" s="3">
        <f>659.6+(860-330.8)+(-0.336396+(-0.4386--0.168708))+0-168.3--0.0858329999999829</f>
        <v>1019.9795450000003</v>
      </c>
      <c r="X314" s="3">
        <f>711.9+(887.5-382.7)+(0.726138+(0.90525-0.390354))+0-169.5-0.172890000000027</f>
        <v>1048.2681439999999</v>
      </c>
      <c r="Y314" s="3">
        <f>718.5+(832.7-359.7)+(-1.832175+(-2.123385--0.917235))+0-167.2--0.426359999999976</f>
        <v>1021.6880349999999</v>
      </c>
      <c r="Z314" s="3">
        <f>727.3+(791.6-345.2)+(-1.112769+(-1.211148--0.528156))+0-183.8--0.281214000000011</f>
        <v>988.38545299999998</v>
      </c>
      <c r="AA314" s="3">
        <f>726.6+(715.2-282)+(-2.593962+(-2.553264--1.00674))+0-181.5--0.647955000000003</f>
        <v>974.8074690000002</v>
      </c>
      <c r="AB314" s="3">
        <f>727.5+(625.7-241.5)+(-1.4841+(-1.276428--0.49266))+0-175.6--0.358223999999992</f>
        <v>934.19035600000007</v>
      </c>
      <c r="AC314" s="3">
        <f>729.9+(517.4-181.4)+(-1.861245+(-1.31937--0.46257))+0-177.1--0.451604999999974</f>
        <v>886.53355999999997</v>
      </c>
      <c r="AD314">
        <v>1043.4000000000001</v>
      </c>
      <c r="AE314" s="3">
        <f>711+(880.1-372.1)+(0+(0-0))+0-161.6-0</f>
        <v>1057.4000000000001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728.8+(487.4-190.1)+(0+(0-0))+0-178.5-0</f>
        <v>847.59999999999991</v>
      </c>
      <c r="G315" s="3">
        <f>731.8+(526.2-252.1)+(-1.86609+(-1.34181--0.642855))+0-183.5--0.467924999999973</f>
        <v>820.30287999999985</v>
      </c>
      <c r="H315" s="3">
        <f>733.1+(503.2-244)+(-1.121643+(-0.769896--0.37332))+0-181.2--0.27723600000001</f>
        <v>809.85901699999988</v>
      </c>
      <c r="I315" s="3">
        <f>732.3+(468.2-223.5)+(-1.493892+(-0.955128--0.45594))+0-174.2--0.355367999999992</f>
        <v>801.16228799999999</v>
      </c>
      <c r="J315" s="3">
        <f>732.7+(472.3-227.1)+(1.121031+(0.722619-0.347463))+0-172.7-0.26423100000001</f>
        <v>806.43195600000001</v>
      </c>
      <c r="K315" s="3">
        <f>728.9+(543.7-271.9)+(-0.371739+(-0.277287--0.138669))+0-173--0.0882299999999824</f>
        <v>827.277873</v>
      </c>
      <c r="L315" s="3">
        <f>728.1+(662.3-326.9)+(0+(0-0))+0-172.2-0</f>
        <v>891.3</v>
      </c>
      <c r="M315" s="3">
        <f>730.7+(744.8-346.2)+(0.372657+(0.379848-0.176562))+0-176.6-0.0900659999999821</f>
        <v>953.185877</v>
      </c>
      <c r="N315" s="3">
        <f>727.7+(767.7-330)+(-1.113381+(-1.174581--0.5049))+0-180--0.27540000000001</f>
        <v>983.89233800000011</v>
      </c>
      <c r="O315" s="3">
        <f>718.5+(777.5-320.1)+(-0.366435+(-0.396525--0.163251))+0-180.2--0.0919019999999817</f>
        <v>995.19219299999997</v>
      </c>
      <c r="P315" s="3">
        <f>716.9+(738.8-270.3)+(-1.462476+(-1.507152--0.551412))+0-178.7--0.364547999999992</f>
        <v>1004.6463319999998</v>
      </c>
      <c r="Q315" s="3">
        <f>713.3+(742.5-272.8)+(-1.091349+(-1.136025--0.417384))+0-178--0.27234000000001</f>
        <v>1003.46235</v>
      </c>
      <c r="R315" s="3">
        <f>711.1+(721.4-263.5)+(-2.538627+(-2.575398--0.940695))+0-174--0.621180000000003</f>
        <v>991.4478499999999</v>
      </c>
      <c r="S315" s="3">
        <f>707.3+(708.7-268.1)+(-1.082169+(-1.084311--0.410193))+0-174.6--0.26713800000001</f>
        <v>971.81085100000018</v>
      </c>
      <c r="T315" s="3">
        <f>707.8+(684.9-256.1)+(-0.360978+(-0.349299--0.130611))+0-174.4--0.0889439999999823</f>
        <v>961.70927799999981</v>
      </c>
      <c r="U315" s="3">
        <f>706.9+(665.8-233.5)+(0.360519+(0.339558-0.119085))+0-172.3-0.0878729999999825</f>
        <v>967.39311899999984</v>
      </c>
      <c r="V315" s="3">
        <f>720.6+(678.3-227.6)+(-0.735012+(-0.691866--0.232152))+0-176.5--0.180030000000028</f>
        <v>993.785304</v>
      </c>
      <c r="W315" s="3">
        <f>735.1+(811.4-320.3)+(0+(0-0))+0-177-0</f>
        <v>1049.2</v>
      </c>
      <c r="X315" s="3">
        <f>744.1+(880.9-387.3)+(-0.379491+(-0.449259--0.197523))+0-170--0.0866999999999827</f>
        <v>1067.155473</v>
      </c>
      <c r="Y315" s="3">
        <f>749+(805.6-337.4)+(-1.14597+(-1.232568--0.516222))+0-165.6--0.25336800000001</f>
        <v>1049.9910520000001</v>
      </c>
      <c r="Z315" s="3">
        <f>752.4+(727.9-298.4)+(-1.91862+(-1.856145--0.76092))+0-169.6--0.432479999999975</f>
        <v>1009.7186350000001</v>
      </c>
      <c r="AA315" s="3">
        <f>755.5+(657.9-272.7)+(-1.54122+(-1.342116--0.556308))+0-167.9--0.342515999999993</f>
        <v>970.81548800000019</v>
      </c>
      <c r="AB315" s="3">
        <f>754+(551.4-222.6)+(-1.9227+(-1.40607--0.56763))+0-154.7--0.394484999999978</f>
        <v>925.73334499999987</v>
      </c>
      <c r="AC315" s="3">
        <f>755.6+(446.9-171.3)+(-1.541424+(-0.911676--0.349452))+0-156.3--0.318851999999993</f>
        <v>873.11520400000006</v>
      </c>
      <c r="AD315">
        <v>1050.3</v>
      </c>
      <c r="AE315" s="3">
        <f>736+(914.6-418.6)+(0+(0-0))+0-166.7-0</f>
        <v>1065.3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755+(373.6-125.3)+(-1.5402+(-0.762144--0.255612))+0-169.6--0.345983999999993</f>
        <v>831.99925199999996</v>
      </c>
      <c r="G316" s="3">
        <f>762.1+(338.1-123)+(-1.943355+(-0.862155--0.31365))+0-167.8--0.427889999999976</f>
        <v>807.33602999999994</v>
      </c>
      <c r="H316" s="3">
        <f>763.1+(393.1-199.3)+(-1.167543+(-0.601443--0.304929))+0-166.7--0.25505100000001</f>
        <v>788.99099400000011</v>
      </c>
      <c r="I316" s="3">
        <f>763.6+(402.4-212)+(-0.389436+(-0.205224--0.10812))+0-169.2--0.0862919999999828</f>
        <v>784.39975200000003</v>
      </c>
      <c r="J316" s="3">
        <f>752.3+(444.8-235.9)+(-1.534692+(-0.907392--0.481236))+0-168.5--0.343739999999993</f>
        <v>791.0828919999999</v>
      </c>
      <c r="K316" s="3">
        <f>756.7+(476.4-241.3)+(0+(0-0))+0-175.6-0</f>
        <v>816.19999999999993</v>
      </c>
      <c r="L316" s="3">
        <f>742.9+(585-295.1)+(-0.757758+(-0.5967--0.301002))+0-169.1--0.172482000000027</f>
        <v>862.81902599999989</v>
      </c>
      <c r="M316" s="3">
        <f>737.6+(640.3-283.9)+(1.128528+(0.979659-0.434367))+0-167.7-0.25658100000001</f>
        <v>927.71723899999995</v>
      </c>
      <c r="N316" s="3">
        <f>735+(653.3-258.6)+(0+(0-0))+0-166.5-0</f>
        <v>963.19999999999982</v>
      </c>
      <c r="O316" s="3">
        <f>727.2+(699.3-310.1)+(0+(0-0))+0-153.2-0</f>
        <v>963.2</v>
      </c>
      <c r="P316" s="3">
        <f>721.7+(675-278.7)+(-1.104201+(-1.03275--0.426411))+0-141.2--0.216036000000008</f>
        <v>975.30549599999995</v>
      </c>
      <c r="Q316" s="3">
        <f>720.6+(703-287.5)+(-0.735012+(-0.71706--0.29325))+0-137.3--0.140046000000022</f>
        <v>997.78122399999984</v>
      </c>
      <c r="R316" s="3">
        <f>736.8+(693.6-292.1)+(-1.503072+(-1.414944--0.595884))+0-134.7--0.274787999999994</f>
        <v>1001.5526559999998</v>
      </c>
      <c r="S316" s="3">
        <f>739.2+(688.1-298.1)+(-1.88496+(-1.754655--0.760155))+0-137.4--0.35036999999998</f>
        <v>989.27090999999996</v>
      </c>
      <c r="T316" s="3">
        <f>743.6+(638.3-258.6)+(0.758472+(0.651066-0.263772))+0-140-0.142800000000022</f>
        <v>984.30296600000008</v>
      </c>
      <c r="U316" s="3">
        <f>747.9+(628.6-258.8)+(0+(0-0))+0-135.7-0</f>
        <v>982</v>
      </c>
      <c r="V316" s="3">
        <f>750.1+(670.6-280.9)+(-0.765102+(-0.684012--0.286518))+0-140.2--0.143004000000022</f>
        <v>998.58040800000026</v>
      </c>
      <c r="W316" s="3">
        <f>754.4+(756.3-328.5)+(0.769488+(0.771426-0.33507))+0-138.2-0.140964000000022</f>
        <v>1045.0648799999999</v>
      </c>
      <c r="X316" s="3">
        <f>762.4+(840.8-388)+(-1.555296+(-1.715232--0.79152))+0-148.4--0.302735999999994</f>
        <v>1064.6237279999998</v>
      </c>
      <c r="Y316" s="3">
        <f>768.6+(786.1-360.8)+(-1.567944+(-1.603644--0.736032))+0-158--0.322319999999993</f>
        <v>1033.7867640000002</v>
      </c>
      <c r="Z316" s="3">
        <f>768.9+(706.7-309.4)+(-0.784278+(-0.720834--0.315588))+0-168.8--0.172176000000027</f>
        <v>996.38265200000023</v>
      </c>
      <c r="AA316" s="3">
        <f>773.3+(669.9-285.7)+(-0.788766+(-0.683298--0.291414))+0-172.8--0.176256000000028</f>
        <v>983.69560600000011</v>
      </c>
      <c r="AB316" s="3">
        <f>774.3+(557.2-213.9)+(-1.184679+(-0.852516--0.327267))+0-175--0.26775000000001</f>
        <v>941.1578219999999</v>
      </c>
      <c r="AC316" s="3">
        <f>782.3+(468.1-177.4)+(-1.994865+(-1.193655--0.45237))+0-178.9--0.456194999999974</f>
        <v>891.82004500000005</v>
      </c>
      <c r="AD316">
        <v>1064.4000000000001</v>
      </c>
      <c r="AE316" s="3">
        <f>757+(833.7-376.9)+(0+(0-0))+0-135.4-0</f>
        <v>1078.4000000000001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781.3+(443.8-188.8)+(-1.593852+(-0.905352--0.385152))+0-179.2--0.365567999999992</f>
        <v>855.35151599999995</v>
      </c>
      <c r="G317" s="3">
        <f>781.1+(424-194.5)+(-1.195083+(-0.64872--0.297585))+0-180--0.27540000000001</f>
        <v>829.32918200000006</v>
      </c>
      <c r="H317" s="3">
        <f>785.5+(356.5-143.6)+(-2.003025+(-0.909075--0.36618))+0-179--0.456449999999974</f>
        <v>817.31052999999997</v>
      </c>
      <c r="I317" s="3">
        <f>784+(340.8-138.2)+(-0.39984+(-0.173808--0.070482))+0-175.9--0.0897089999999822</f>
        <v>810.28654300000005</v>
      </c>
      <c r="J317" s="3">
        <f>785.6+(375.5-178.6)+(0+(0-0))+0-174.3-0</f>
        <v>808.2</v>
      </c>
      <c r="K317" s="3">
        <f>784.9+(491.2-278.1)+(-0.400299+(-0.250512--0.141831))+0-175.3--0.0894029999999822</f>
        <v>822.28042299999993</v>
      </c>
      <c r="L317" s="3">
        <f>789.1+(643.6-373.7)+(-0.804882+(-0.656472--0.381174))+0-173.5--0.176970000000028</f>
        <v>884.59679000000006</v>
      </c>
      <c r="M317" s="3">
        <f>781.6+(677.6-337.1)+(0.797232+(0.691152-0.343842))+0-178.7-0.182274000000028</f>
        <v>944.36226799999986</v>
      </c>
      <c r="N317" s="3">
        <f>771.5+(714.4-337.7)+(0.78693+(0.728688-0.344454))+0-176-0.179520000000028</f>
        <v>973.19164400000011</v>
      </c>
      <c r="O317" s="3">
        <f>762.2+(773.8-383.3)+(0.777444+(0.789276-0.390966))+0-177.5-0.181050000000028</f>
        <v>976.19470400000012</v>
      </c>
      <c r="P317" s="3">
        <f>747.5+(768-353.1)+(0+(0-0))+0-171.7-0</f>
        <v>990.7</v>
      </c>
      <c r="Q317" s="3">
        <f>740.6+(764.3-351.5)+(0.377706+(0.389793-0.179265))+0-167.8-0.085577999999983</f>
        <v>986.10265600000025</v>
      </c>
      <c r="R317" s="3">
        <f>744.2+(756.8-353.4)+(-1.138626+(-1.157904--0.540702))+0-162.7--0.248931000000009</f>
        <v>983.39310299999977</v>
      </c>
      <c r="S317" s="3">
        <f>739.4+(733.7-344.6)+(-0.754188+(-0.748374--0.351492))+0-154.9--0.157998000000025</f>
        <v>972.60692800000015</v>
      </c>
      <c r="T317" s="3">
        <f>737.1+(724.8-331.4)+(0.375921+(0.369648-0.169014))+0-160.7-0.0819569999999837</f>
        <v>970.29459800000006</v>
      </c>
      <c r="U317" s="3">
        <f>741+(746.7-340.8)+(-1.88955+(-1.904085--0.86904))+0-162.4--0.414119999999976</f>
        <v>981.98952500000019</v>
      </c>
      <c r="V317" s="3">
        <f>747.9+(767.7-334.9)+(0+(0-0))+0-170.2-0</f>
        <v>1010.5</v>
      </c>
      <c r="W317" s="3">
        <f>762.6+(892.9-418.4)+(-0.777852+(-0.910758--0.426768))+0-177.4--0.180948000000028</f>
        <v>1058.6191059999999</v>
      </c>
      <c r="X317" s="3">
        <f>762.2+(864.3-367.9)+(-0.388722+(-0.440793--0.187629))+0-182.6--0.0931259999999815</f>
        <v>1075.4512399999999</v>
      </c>
      <c r="Y317" s="3">
        <f>767.3+(822.2-364.4)+(-1.173969+(-1.257966--0.557532))+0-180.8--0.27662400000001</f>
        <v>1042.702221</v>
      </c>
      <c r="Z317" s="3">
        <f>766.1+(773.5-352.1)+(-1.562844+(-1.57794--0.718284))+0-181.9--0.371075999999992</f>
        <v>1003.5485760000001</v>
      </c>
      <c r="AA317" s="3">
        <f>767+(658.1-264.1)+(-1.56468+(-1.342524--0.538764))+0-181.6--0.370463999999992</f>
        <v>977.40202399999998</v>
      </c>
      <c r="AB317" s="3">
        <f>768.4+(550.3-204.2)+(-1.175652+(-0.841959--0.312426))+0-180.2--0.27570600000001</f>
        <v>932.87052099999994</v>
      </c>
      <c r="AC317" s="3">
        <f>768.1+(481.1-183.4)+(-1.175193+(-0.736083--0.280602))+0-179.8--0.27509400000001</f>
        <v>884.6444200000002</v>
      </c>
      <c r="AD317">
        <v>1076.4000000000001</v>
      </c>
      <c r="AE317" s="3">
        <f>743+(889.5-359)+(0+(0-0))+0-183.1-0</f>
        <v>1090.4000000000001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766.1+(388.4-137.2)+(0+(0-0))+0-173.2-0</f>
        <v>844.09999999999991</v>
      </c>
      <c r="G318" s="3">
        <f>767.6+(385.6-163.7)+(0+(0-0))+0-162.4-0</f>
        <v>827.1</v>
      </c>
      <c r="H318" s="3">
        <f>766.5+(425.1-201.6)+(0.390915+(0.216801-0.102816))+0-170.5-0.0869549999999827</f>
        <v>819.91794500000003</v>
      </c>
      <c r="I318" s="3">
        <f>766.5+(411.7-182.9)+(0+(0-0))+0-179.8-0</f>
        <v>815.5</v>
      </c>
      <c r="J318" s="3">
        <f>766.2+(434.1-200.5)+(0+(0-0))+0-178.9-0</f>
        <v>820.90000000000009</v>
      </c>
      <c r="K318" s="3">
        <f>770.9+(507.7-262.6)+(0.786318+(0.517854-0.267852))+0-179.6-0.183192000000029</f>
        <v>837.25312799999995</v>
      </c>
      <c r="L318" s="3">
        <f>771.8+(647.7-347.1)+(-0.787236+(-0.660654--0.354042))+0-179.2--0.182784000000029</f>
        <v>892.28893600000015</v>
      </c>
      <c r="M318" s="3">
        <f>772.2+(649.2-289.5)+(0+(0-0))+0-177.8-0</f>
        <v>954.10000000000014</v>
      </c>
      <c r="N318" s="3">
        <f>769.9+(694.1-296.3)+(1.177947+(1.061973-0.453339))+0-184.2-0.281826000000011</f>
        <v>985.00475500000005</v>
      </c>
      <c r="O318" s="3">
        <f>768.4+(647.8-242.4)+(-0.391884+(-0.330378--0.123624))+0-183.4--0.0935339999999814</f>
        <v>989.89489600000002</v>
      </c>
      <c r="P318" s="3">
        <f>765.6+(668.5-254.2)+(0.780912+(0.68187-0.259284))+0-180-0.183600000000029</f>
        <v>1000.9198980000001</v>
      </c>
      <c r="Q318" s="3">
        <f>763.2+(659-237.8)+(-1.556928+(-1.34436--0.485112))+0-176--0.359039999999992</f>
        <v>1006.3428640000001</v>
      </c>
      <c r="R318" s="3">
        <f>759.6+(633.9-244.4)+(-1.549584+(-1.293156--0.498576))+0-177.1--0.361283999999992</f>
        <v>970.01711999999975</v>
      </c>
      <c r="S318" s="3">
        <f>757.3+(597.7-227.8)+(-0.772446+(-0.609654--0.232356))+0-179.7--0.183294000000029</f>
        <v>946.53354999999999</v>
      </c>
      <c r="T318" s="3">
        <f>749.7+(595.4-212.4)+(-0.764694+(-0.607308--0.216648))+0-182.1--0.185742000000029</f>
        <v>949.63038800000004</v>
      </c>
      <c r="U318" s="3">
        <f>764+(552.3-175.1)+(0+(0-0))+0-180.5-0</f>
        <v>960.69999999999982</v>
      </c>
      <c r="V318" s="3">
        <f>763.8+(554.1-161.1)+(-0.779076+(-0.565182--0.164322))+0-180.5--0.184110000000029</f>
        <v>975.30417399999999</v>
      </c>
      <c r="W318" s="3">
        <f>780.3+(647.6-232.8)+(0+(0-0))+0-179.9-0</f>
        <v>1015.1999999999999</v>
      </c>
      <c r="X318" s="3">
        <f>783.9+(676-270.3)+(-1.199367+(-1.03428--0.413559))+0-181.2--0.27723600000001</f>
        <v>1006.8571479999999</v>
      </c>
      <c r="Y318" s="3">
        <f>778.1+(634.3-251.2)+(-0.396831+(-0.323493--0.128112))+0-183.3--0.0934829999999814</f>
        <v>977.40127100000007</v>
      </c>
      <c r="Z318" s="3">
        <f>788.3+(571.3-225.5)+(-0.804066+(-0.582726--0.23001))+0-181.4--0.185028000000029</f>
        <v>951.7282459999999</v>
      </c>
      <c r="AA318" s="3">
        <f>787.4+(499.3-164.2)+(-0.803148+(-0.509286--0.167484))+0-184.2--0.187884000000029</f>
        <v>937.3429339999999</v>
      </c>
      <c r="AB318" s="3">
        <f>793.8+(414-144.6)+(-0.809676+(-0.42228--0.147492))+0-183.7--0.187374000000029</f>
        <v>878.60290999999972</v>
      </c>
      <c r="AC318" s="3">
        <f>788.4+(351-135)+(-1.206252+(-0.53703--0.20655))+0-183.2--0.280296000000011</f>
        <v>819.94356400000004</v>
      </c>
      <c r="AD318">
        <v>995.5</v>
      </c>
      <c r="AE318" s="3">
        <f>775+(698.8-285.5)+(0+(0-0))+0-178.8-0</f>
        <v>1009.5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793.3+(301.6-130)+(-1.618332+(-0.615264--0.2652))+0-181--0.369239999999992</f>
        <v>782.30084399999998</v>
      </c>
      <c r="G319" s="3">
        <f>795.1+(256.4-124.2)+(-2.027505+(-0.65382--0.31671))+0-177.3--0.452114999999974</f>
        <v>748.08749999999998</v>
      </c>
      <c r="H319" s="3">
        <f>793.1+(242.6-123.5)+(-0.404481+(-0.123726--0.062985))+0-177.1--0.090320999999982</f>
        <v>734.725099</v>
      </c>
      <c r="I319" s="3">
        <f>791.5+(246.2-134.1)+(0+(0-0))+0-175.9-0</f>
        <v>727.7</v>
      </c>
      <c r="J319" s="3">
        <f>789.3+(289.8-169.9)+(0+(0-0))+0-178.1-0</f>
        <v>731.09999999999991</v>
      </c>
      <c r="K319" s="3">
        <f>788.6+(331.8-190.9)+(-0.402186+(-0.169218--0.097359))+0-173.5--0.0884849999999824</f>
        <v>755.61443999999995</v>
      </c>
      <c r="L319" s="3">
        <f>843.4+(381.5-250.1)+(-0.860268+(-0.38913--0.255102))+0-173.5--0.176970000000028</f>
        <v>800.48267399999997</v>
      </c>
      <c r="M319" s="3">
        <f>892.2+(398.8-255)+(-0.910044+(-0.406776--0.2601))+0-180.4--0.184008000000029</f>
        <v>854.72728800000004</v>
      </c>
      <c r="N319" s="3">
        <f>890.4+(433.5-239.8)+(0+(0-0))+0-180.8-0</f>
        <v>903.3</v>
      </c>
      <c r="O319" s="3">
        <f>886.5+(458.7-256)+(0+(0-0))+0-173.3-0</f>
        <v>915.90000000000009</v>
      </c>
      <c r="P319" s="3">
        <f>882.5+(480.4-278.7)+(0.450075+(0.245004-0.142137))+0-174.6-0.0890459999999823</f>
        <v>910.06389600000011</v>
      </c>
      <c r="Q319" s="3">
        <f>868.9+(493-263.1)+(-2.215695+(-1.25715--0.670905))+0-175.8--0.448289999999975</f>
        <v>920.64634999999987</v>
      </c>
      <c r="R319" s="3">
        <f>859.4+(474.5-272.2)+(-2.19147+(-1.209975--0.69411))+0-168.7--0.430184999999976</f>
        <v>890.72284999999988</v>
      </c>
      <c r="S319" s="3">
        <f>858.3+(414.9-223.5)+(-1.750932+(-0.846396--0.45594))+0-173.8--0.354551999999992</f>
        <v>874.11316399999987</v>
      </c>
      <c r="T319" s="3">
        <f>861.2+(398.6-220.5)+(-0.878424+(-0.406572--0.22491))+0-174.2--0.177684000000028</f>
        <v>864.21759800000018</v>
      </c>
      <c r="U319" s="3">
        <f>873.3+(368.2-205.6)+(-1.336149+(-0.563346--0.314568))+0-170.7--0.26117100000001</f>
        <v>863.8762439999997</v>
      </c>
      <c r="V319" s="3">
        <f>885.6+(394.7-220.8)+(0.451656+(0.201297-0.112608))+0-174.8-0.0891479999999823</f>
        <v>885.15119699999991</v>
      </c>
      <c r="W319" s="3">
        <f>888.9+(445.7-240.3)+(0.453339+(0.227307-0.122553))+0-178.4-0.0909839999999819</f>
        <v>916.36710900000014</v>
      </c>
      <c r="X319" s="3">
        <f>888.8+(464.9-247.7)+(-0.906576+(-0.474198--0.252654))+0-179.1--0.182682000000029</f>
        <v>925.9545619999999</v>
      </c>
      <c r="Y319" s="3">
        <f>894+(417.4-242)+(-1.36782+(-0.638622--0.37026))+0-175.8--0.26897400000001</f>
        <v>892.23279200000013</v>
      </c>
      <c r="Z319" s="3">
        <f>893+(391.2-267.2)+(0+(0-0))+0-170.2-0</f>
        <v>846.8</v>
      </c>
      <c r="AA319" s="3">
        <f>891.6+(343.1-215.2)+(-0.454716+(-0.174981--0.109752))+0-171.7--0.0875669999999826</f>
        <v>847.36762199999998</v>
      </c>
      <c r="AB319" s="3">
        <f>800.2+(378.8-181.7)+(0.408102+(0.193188-0.092667))+0-171.4-0.0874139999999826</f>
        <v>826.32120900000018</v>
      </c>
      <c r="AC319" s="3">
        <f>785+(306.9-131.4)+(-2.00175+(-0.782595--0.33507))+0-180--0.458999999999974</f>
        <v>778.509725</v>
      </c>
      <c r="AD319">
        <v>909.2</v>
      </c>
      <c r="AE319" s="3">
        <f>887+(462-242)+(0+(0-0))+0-183.8-0</f>
        <v>923.2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794.5+(257.3-130.2)+(0+(0-0))+0-179.1-0</f>
        <v>742.5</v>
      </c>
      <c r="G320" s="3">
        <f>801.5+(209.1-138.6)+(0.81753+(0.213282-0.141372))+0-175.5-0.179010000000028</f>
        <v>697.21042999999997</v>
      </c>
      <c r="H320" s="3">
        <f>803.2+(213.4-158.2)+(-0.409632+(-0.108834--0.080682))+0-179--0.0912899999999818</f>
        <v>679.05350600000008</v>
      </c>
      <c r="I320" s="3">
        <f>807.4+(208-161.2)+(-0.823548+(-0.21216--0.164424))+0-180.5--0.184110000000029</f>
        <v>673.01282600000013</v>
      </c>
      <c r="J320" s="3">
        <f>808+(235.8-191.2)+(0.82416+(0.240516-0.195024))+0-179.9-0.183498000000029</f>
        <v>673.38615400000003</v>
      </c>
      <c r="K320" s="3">
        <f>809.9+(220.4-158.5)+(0.413049+(0.112404-0.080835))+0-177.1-0.090320999999982</f>
        <v>695.05429699999991</v>
      </c>
      <c r="L320" s="3">
        <f>808.7+(277.1-180.6)+(-3.299496+(-1.130568--0.736848))+0-177.6--0.724607999999984</f>
        <v>724.63139200000001</v>
      </c>
      <c r="M320" s="3">
        <f>813.2+(381.3-233.5)+(0+(0-0))+0-180.8-0</f>
        <v>780.2</v>
      </c>
      <c r="N320" s="3">
        <f>815.7+(375.8-185.8)+(-0.416007+(-0.191658--0.094758))+0-176--0.0897599999999821</f>
        <v>829.27685299999996</v>
      </c>
      <c r="O320" s="3">
        <f>807.1+(522.3-289.4)+(0.411621+(0.266373-0.147594))+0-173.6-0.0885359999999824</f>
        <v>866.8418640000001</v>
      </c>
      <c r="P320" s="3">
        <f>803.4+(585.5-323.2)+(0+(0-0))+0-177.1-0</f>
        <v>888.6</v>
      </c>
      <c r="Q320" s="3">
        <f>798.3+(583.2-307.8)+(0+(0-0))+0-169.5-0</f>
        <v>904.2</v>
      </c>
      <c r="R320" s="3">
        <f>798.9+(523.9-257.5)+(-0.814878+(-0.534378--0.26265))+0-168.7--0.172074000000027</f>
        <v>895.6854679999999</v>
      </c>
      <c r="S320" s="3">
        <f>800.8+(473.8-223.6)+(-0.816816+(-0.483276--0.228072))+1.7-168.4--0.171768000000027</f>
        <v>883.39974800000005</v>
      </c>
      <c r="T320" s="3">
        <f>801.6+(440.1-189.2)+(-1.635264+(-0.897804--0.385968))+0-174--0.354959999999992</f>
        <v>876.7078600000001</v>
      </c>
      <c r="U320" s="3">
        <f>800.8+(427.1-184.4)+(-0.408408+(-0.217821--0.094044))+0-163.9--0.0835889999999834</f>
        <v>879.15140399999996</v>
      </c>
      <c r="V320" s="3">
        <f>796.9+(436.8-178.9)+(0.812838+(0.445536-0.182478))+0-172.3-0.175746000000027</f>
        <v>883.40015000000005</v>
      </c>
      <c r="W320" s="3">
        <f>800.3+(547.9-245.4)+(0+(0-0))+0-171.6-0</f>
        <v>931.19999999999993</v>
      </c>
      <c r="X320" s="3">
        <f>809.5+(637.5-317.4)+(-0.412845+(-0.325125--0.161874))+0-172.1--0.0877709999999825</f>
        <v>957.01167499999985</v>
      </c>
      <c r="Y320" s="3">
        <f>816.4+(584.5-294.6)+(-0.416364+(-0.298095--0.150246))+0-174.5--0.0889949999999823</f>
        <v>931.3247819999998</v>
      </c>
      <c r="Z320" s="3">
        <f>816.2+(517.2-254)+(0+(0-0))+0-176.2-0</f>
        <v>903.2</v>
      </c>
      <c r="AA320" s="3">
        <f>820.9+(421.9-177.5)+(-0.837318+(-0.430338--0.18105))+0-176.6--0.180132000000028</f>
        <v>887.79352599999993</v>
      </c>
      <c r="AB320" s="3">
        <f>822.2+(357.3-152.6)+(-0.419322+(-0.182223--0.077826))+0-173.6--0.0885359999999824</f>
        <v>852.86481700000002</v>
      </c>
      <c r="AC320" s="3">
        <f>822.1+(283.7-134.7)+(-0.419271+(-0.144687--0.068697))+0-175.3--0.0894029999999822</f>
        <v>795.39414199999987</v>
      </c>
      <c r="AD320">
        <v>921.4</v>
      </c>
      <c r="AE320" s="3">
        <f>813+(646.1-335.1)+(0+(0-0))+0-188.6-0</f>
        <v>935.4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823.6+(239.7-133.5)+(-1.260108+(-0.366741--0.204255))+0-174.9--0.26759700000001</f>
        <v>753.745003</v>
      </c>
      <c r="G321" s="3">
        <f>823.4+(242.4-161.7)+(1.259802+(0.370872-0.247401))+0-171.5-0.26239500000001</f>
        <v>733.72087800000008</v>
      </c>
      <c r="H321" s="3">
        <f>827+(265.8-197.6)+(-1.26531+(-0.406674--0.302328))+0-171.8--0.26285400000001</f>
        <v>722.29319800000007</v>
      </c>
      <c r="I321" s="3">
        <f>825.2+(244.2-190.8)+(1.683408+(0.498168-0.389232))+0-162.8-0.332111999999993</f>
        <v>717.26023199999997</v>
      </c>
      <c r="J321" s="3">
        <f>826.9+(234.2-172.8)+(-0.421719+(-0.119442--0.088128))+0-166.3--0.0848129999999831</f>
        <v>721.63177999999994</v>
      </c>
      <c r="K321" s="3">
        <f>825.8+(239.7-150.9)+(-1.263474+(-0.366741--0.230877))+0-168.7--0.25811100000001</f>
        <v>744.75877299999991</v>
      </c>
      <c r="L321" s="3">
        <f>825.8+(379.6-224.4)+(-0.421158+(-0.193596--0.114444))+0-165.6--0.0844559999999832</f>
        <v>814.9841459999999</v>
      </c>
      <c r="M321" s="3">
        <f>829.4+(462.7-249.4)+(-0.422994+(-0.235977--0.127194))+0-173.5--0.0884849999999824</f>
        <v>868.75670800000012</v>
      </c>
      <c r="N321" s="3">
        <f>829.7+(443.6-193.6)+(0+(0-0))+0-171.1-0</f>
        <v>908.6</v>
      </c>
      <c r="O321" s="3">
        <f>823.7+(425.6-167.9)+(0.840174+(0.434112-0.171258))+0-169.6-0.172992000000027</f>
        <v>912.73003600000004</v>
      </c>
      <c r="P321" s="3">
        <f>816.4+(500.2-205.2)+(0+(0-0))+0-171.8-0</f>
        <v>939.60000000000014</v>
      </c>
      <c r="Q321" s="3">
        <f>817.3+(514.4-213.5)+(0+(0-0))+0-168.3-0</f>
        <v>949.89999999999986</v>
      </c>
      <c r="R321" s="3">
        <f>819.3+(576.5-292.3)+(0+(0-0))+0-166-0</f>
        <v>937.5</v>
      </c>
      <c r="S321" s="3">
        <f>805+(611.5-326.9)+(-0.8211+(-0.62373--0.333438))+0-170.1--0.173502000000027</f>
        <v>918.56210999999985</v>
      </c>
      <c r="T321" s="3">
        <f>810+(584.2-305.8)+(-0.8262+(-0.595884--0.311916))+0-170.4--0.173808000000027</f>
        <v>917.06364000000019</v>
      </c>
      <c r="U321" s="3">
        <f>808.4+(571.3-293.3)+(0.412284+(0.291363-0.149583))+0-167.1-0.085220999999983</f>
        <v>919.76884299999983</v>
      </c>
      <c r="V321" s="3">
        <f>807.7+(628.1-317.3)+(-0.411927+(-0.320331--0.161823))+0-183.7--0.0936869999999814</f>
        <v>934.3232519999998</v>
      </c>
      <c r="W321" s="3">
        <f>810.8+(734.8-383.9)+(0+(0-0))+0-167.9-0</f>
        <v>993.79999999999984</v>
      </c>
      <c r="X321" s="3">
        <f>814+(761.3-375.6)+(-1.24542+(-1.164789--0.574668))+0-168.8--0.25826400000001</f>
        <v>1029.322723</v>
      </c>
      <c r="Y321" s="3">
        <f>818.9+(721.2-369.2)+(-0.835278+(-0.735624--0.376584))+0-168.7--0.172074000000027</f>
        <v>1001.177756</v>
      </c>
      <c r="Z321" s="3">
        <f>822+(657.8-350.7)+(-1.67688+(-1.341912--0.715428))+0-165.5--0.337619999999993</f>
        <v>961.63425599999982</v>
      </c>
      <c r="AA321" s="3">
        <f>822.3+(591.3-309.5)+(0.419373+(0.301563-0.157845))+0-158.7-0.0809369999999839</f>
        <v>945.8821539999999</v>
      </c>
      <c r="AB321" s="3">
        <f>822.4+(466.7-236.4)+(0.419424+(0.238017-0.120564))+0-152.8-0.0779279999999845</f>
        <v>900.35894900000017</v>
      </c>
      <c r="AC321" s="3">
        <f>825.3+(360.4-199.1)+(-1.262709+(-0.551412--0.304623))+0-142.4--0.217872000000008</f>
        <v>842.90837399999998</v>
      </c>
      <c r="AD321">
        <v>1014.6999999999999</v>
      </c>
      <c r="AE321" s="3">
        <f>812+(756.2-370.1)+(0+(0-0))+0-168.4-0</f>
        <v>1029.6999999999998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828.2+(286.6-174.9)+(-0.844764+(-0.292332--0.178398))+0-140.7--0.143514000000022</f>
        <v>798.38481600000011</v>
      </c>
      <c r="G322" s="3">
        <f>834.9+(261.2-184.2)+(-1.277397+(-0.399636--0.281826))+0-137.7--0.210681000000008</f>
        <v>773.01547400000004</v>
      </c>
      <c r="H322" s="3">
        <f>836.1+(243.2-179.8)+(0+(0-0))+0-132.1-0</f>
        <v>767.4</v>
      </c>
      <c r="I322" s="3">
        <f>836.4+(239.7-181.3)+(0+(0-0))+0-130.5-0</f>
        <v>764.3</v>
      </c>
      <c r="J322" s="3">
        <f>835.8+(262.9-201.4)+(-0.426258+(-0.134079--0.102714))+0-129.8--0.0661979999999868</f>
        <v>767.10857499999997</v>
      </c>
      <c r="K322" s="3">
        <f>838.2+(358.7-276.8)+(0.427482+(0.182937-0.141168))+0-134.1-0.0683909999999864</f>
        <v>786.40085999999997</v>
      </c>
      <c r="L322" s="3">
        <f>842.5+(495.1-366.9)+(0+(0-0))+0-132.7-0</f>
        <v>838</v>
      </c>
      <c r="M322" s="3">
        <f>844.1+(575.4-381.7)+(-0.860982+(-0.586908--0.389334))+0-144.7--0.147594000000023</f>
        <v>892.18903799999998</v>
      </c>
      <c r="N322" s="3">
        <f>809.8+(635-343.4)+(0.825996+(0.6477-0.350268))+0-152.8-0.155856000000024</f>
        <v>949.56757200000027</v>
      </c>
      <c r="O322" s="3">
        <f>803+(665.1-290.4)+(-0.40953+(-0.339201--0.148104))+0-149.8--0.0763979999999848</f>
        <v>1027.375771</v>
      </c>
      <c r="P322" s="3">
        <f>750+(662-256.4)+(-0.3825+(-0.33762--0.130764))+0-147.5--0.075224999999985</f>
        <v>1007.5858689999999</v>
      </c>
      <c r="Q322" s="3">
        <f>706+(735.8-259.1)+(-1.44024+(-1.501032--0.528564))+0-152.2--0.310487999999993</f>
        <v>1028.3977799999998</v>
      </c>
      <c r="R322" s="3">
        <f>709+(708.8-259.3)+(-1.80795+(-1.80744--0.661215))+0-146.2--0.372809999999979</f>
        <v>1009.7186349999998</v>
      </c>
      <c r="S322" s="3">
        <f>710+(684.8-246)+(0+(0-0))+0-147.3-0</f>
        <v>1001.5</v>
      </c>
      <c r="T322" s="3">
        <f>704+(681.3-236.6)+(0+(0-0))+0-159.7-0</f>
        <v>988.99999999999977</v>
      </c>
      <c r="U322" s="3">
        <f>724+(669.4-256)+(0.36924+(0.341394-0.13056))+0-156.8-0.0799679999999841</f>
        <v>981.1001060000001</v>
      </c>
      <c r="V322" s="3">
        <f>704.4+(757.8-313.8)+(-1.436976+(-1.545912--0.640152))+0-161.4--0.329255999999993</f>
        <v>984.98651999999981</v>
      </c>
      <c r="W322" s="3">
        <f>637.4+(949.6-397.7)+(0+(0-0))+0-160-0</f>
        <v>1029.3000000000002</v>
      </c>
      <c r="X322" s="3">
        <f>600.5+(1042.5-419.1)+(-0.61251+(-1.06335--0.427482))+0-163.2--0.166464000000026</f>
        <v>1059.6180860000002</v>
      </c>
      <c r="Y322" s="3">
        <f>606.5+(1020.5-428.7)+(-1.546575+(-2.602275--1.093185))+0-164.5--0.419474999999976</f>
        <v>1031.1638099999998</v>
      </c>
      <c r="Z322" s="3">
        <f>610.9+(986-437.1)+(-0.934677+(-1.50858--0.668763))+0-165.9--0.25382700000001</f>
        <v>992.37933299999997</v>
      </c>
      <c r="AA322" s="3">
        <f>611.4+(898.3-377)+(-0.311814+(-0.458133--0.19227))+0-169.1--0.0862409999999828</f>
        <v>963.10856399999977</v>
      </c>
      <c r="AB322" s="3">
        <f>613.1+(775.9-292.9)+(-0.625362+(-0.791418--0.298758))+0-177.1--0.180642000000028</f>
        <v>918.06261999999981</v>
      </c>
      <c r="AC322" s="3">
        <f>614.3+(698-268.5)+(-0.626586+(-0.71196--0.27387))+0-179.2--0.182784000000029</f>
        <v>863.71810800000003</v>
      </c>
      <c r="AD322">
        <v>1056.2</v>
      </c>
      <c r="AE322" s="3">
        <f>609+(1041.5-426.7)+(0+(0-0))+0-153.6-0</f>
        <v>1070.2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615.1+(655.5-272.2)+(-1.568505+(-1.671525--0.69411))+0-174.3--0.444464999999975</f>
        <v>821.99854500000004</v>
      </c>
      <c r="G323" s="3">
        <f>614.9+(571.5-207.3)+(-0.627198+(-0.58293--0.211446))+0-172.3--0.175746000000027</f>
        <v>805.97706399999981</v>
      </c>
      <c r="H323" s="3">
        <f>617.2+(512-160.3)+(-0.944316+(-0.78336--0.245259))+0-173--0.26469000000001</f>
        <v>794.68227300000001</v>
      </c>
      <c r="I323" s="3">
        <f>622.7+(485.5-141.8)+(0.635154+(0.49521-0.144636))+0-171.5-0.174930000000027</f>
        <v>795.71079800000007</v>
      </c>
      <c r="J323" s="3">
        <f>622+(495.7-156.7)+(-0.95166+(-0.758421--0.239751))+0-164.5--0.251685000000009</f>
        <v>795.28135499999996</v>
      </c>
      <c r="K323" s="3">
        <f>622.5+(651.7-300.8)+(0.317475+(0.332367-0.153408))+0-161.5-0.0823649999999836</f>
        <v>812.31406900000013</v>
      </c>
      <c r="L323" s="3">
        <f>624.1+(799.3-400.5)+(-0.636582+(-0.815286--0.40851))+0-157--0.160140000000025</f>
        <v>865.01678200000003</v>
      </c>
      <c r="M323" s="3">
        <f>621.5+(866.3-404.4)+(-0.950895+(-1.325439--0.618732))+0-162.9--0.249237000000009</f>
        <v>919.09163500000011</v>
      </c>
      <c r="N323" s="3">
        <f>607.6+(872.8-354)+(0.929628+(1.335384-0.54162))+0-163.2-0.249696000000009</f>
        <v>964.67369600000018</v>
      </c>
      <c r="O323" s="3">
        <f>600+(873-322.9)+(0.306+(0.44523-0.164679))+0-162.2-0.0827219999999835</f>
        <v>988.40382899999997</v>
      </c>
      <c r="P323" s="3">
        <f>580+(877.7-307.1)+(0.2958+(0.447627-0.156621))+0-161.4-0.0823139999999836</f>
        <v>989.70449199999996</v>
      </c>
      <c r="Q323" s="3">
        <f>579+(912.7-319.4)+(-0.29529+(-0.465477--0.162894))+0-166--0.0846599999999832</f>
        <v>1005.7867870000002</v>
      </c>
      <c r="R323" s="3">
        <f>594+(881.6-327.2)+(0+(0-0))+0-163.7-0</f>
        <v>984.7</v>
      </c>
      <c r="S323" s="3">
        <f>601+(864.3-336.1)+(-0.91953+(-1.322379--0.514233))+0-156.9--0.240057000000009</f>
        <v>970.81238099999985</v>
      </c>
      <c r="T323" s="3">
        <f>619+(833.1-352.4)+(-0.31569+(-0.424881--0.179724))+0-167.4--0.085373999999983</f>
        <v>931.8245270000001</v>
      </c>
      <c r="U323" s="3">
        <f>674+(789.8-338.7)+(-0.68748+(-0.805596--0.345474))+0-171.6--0.175032000000027</f>
        <v>952.52742999999987</v>
      </c>
      <c r="V323" s="3">
        <f>695.9+(828.9-376.2)+(0.709818+(0.845478-0.383724))+0-176-0.179520000000028</f>
        <v>973.59205199999985</v>
      </c>
      <c r="W323" s="3">
        <f>748.2+(895.6-431.9)+(1.144746+(1.370268-0.660807))+0-179.4-0.27448200000001</f>
        <v>1034.0797250000001</v>
      </c>
      <c r="X323" s="3">
        <f>755.5+(955-451.7)+(0+(0-0))+0-181.1-0</f>
        <v>1077.7</v>
      </c>
      <c r="Y323" s="3">
        <f>760.7+(916.1-445.9)+(-1.163871+(-1.401633--0.682227))+0-182--0.278460000000011</f>
        <v>1047.2951830000002</v>
      </c>
      <c r="Z323" s="3">
        <f>765.4+(836.1-412.6)+(-0.390354+(-0.426411--0.210426))+0-181.8--0.0927179999999816</f>
        <v>1006.5863790000002</v>
      </c>
      <c r="AA323" s="3">
        <f>762.3+(779.8-393.8)+(-0.388773+(-0.397698--0.200838))+0-183.8--0.0937379999999814</f>
        <v>964.00810500000011</v>
      </c>
      <c r="AB323" s="3">
        <f>763.6+(662.3-322.4)+(-1.168308+(-1.013319--0.493272))+0-180.4--0.27601200000001</f>
        <v>921.68765700000006</v>
      </c>
      <c r="AC323" s="3">
        <f>769.7+(607.1-315.7)+(-1.177641+(-0.928863--0.483021))+0-184.3--0.281979000000011</f>
        <v>875.45849600000008</v>
      </c>
      <c r="AD323">
        <v>1076.5999999999999</v>
      </c>
      <c r="AE323" s="3">
        <f>760+(957.6-449.2)+(0+(0-0))+0-177.8-0</f>
        <v>1090.6000000000001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766.4+(529.5-277.7)+(0+(0-0))+0-185.8-0</f>
        <v>832.40000000000009</v>
      </c>
      <c r="G324" s="3">
        <f>730.5+(488.8-226.2)+(-0.372555+(-0.249288--0.115362))+0-185.3--0.0945029999999812</f>
        <v>807.38802200000009</v>
      </c>
      <c r="H324" s="3">
        <f>675.9+(526.4-225.7)+(1.034127+(0.805392-0.345321))+0-188.9-0.289017000000011</f>
        <v>788.90518099999986</v>
      </c>
      <c r="I324" s="3">
        <f>754+(484.7-263)+(-1.15362+(-0.741591--0.40239))+0-190.4--0.291312000000011</f>
        <v>784.09849100000008</v>
      </c>
      <c r="J324" s="3">
        <f>757.4+(511.1-299.2)+(0.386274+(0.260661-0.152592))+0-183.3-0.0934829999999814</f>
        <v>786.40085999999985</v>
      </c>
      <c r="K324" s="3">
        <f>758.6+(598.8-368.5)+(0.386886+(0.305388-0.187935))+0-179.3-0.0914429999999818</f>
        <v>810.01289599999996</v>
      </c>
      <c r="L324" s="3">
        <f>766.7+(769.9-489.6)+(-1.173051+(-1.177947--0.749088))+0-178.7--0.27341100000001</f>
        <v>866.97150099999988</v>
      </c>
      <c r="M324" s="3">
        <f>764.8+(776.5-438.6)+(0.390048+(0.396015-0.223686))+0-183.4-0.0935339999999814</f>
        <v>919.76884299999983</v>
      </c>
      <c r="N324" s="3">
        <f>757.7+(714.4-347)+(0.772854+(0.728688-0.35394))+0-175.7-0.179214000000028</f>
        <v>950.36838799999987</v>
      </c>
      <c r="O324" s="3">
        <f>750.4+(678.3-284.6)+(0.765408+(0.691866-0.290292))+0-174.4-0.177888000000028</f>
        <v>970.68909399999984</v>
      </c>
      <c r="P324" s="3">
        <f>735+(709.4-273.8)+(-0.37485+(-0.361794--0.139638))+0-184.6--0.0941459999999813</f>
        <v>985.49713999999994</v>
      </c>
      <c r="Q324" s="3">
        <f>729.9+(750.9-302.5)+(-0.744498+(-0.765918--0.30855))+0-181.3--0.184926000000029</f>
        <v>995.98305999999991</v>
      </c>
      <c r="R324" s="3">
        <f>744+(780-339)+(-1.8972+(-1.989--0.86445))+0-173.4--0.442169999999975</f>
        <v>1009.0204199999998</v>
      </c>
      <c r="S324" s="3">
        <f>737+(771.6-325.5)+(0+(0-0))+0-174.3-0</f>
        <v>1008.8</v>
      </c>
      <c r="T324" s="3">
        <f>734+(737.7-300.1)+(0.37434+(0.376227-0.153051))+0-177.6-0.090575999999982</f>
        <v>994.50693999999999</v>
      </c>
      <c r="U324" s="3">
        <f>729.3+(704.6-287.5)+(-0.371943+(-0.359346--0.146625))+0-175.1--0.0893009999999822</f>
        <v>970.80463700000007</v>
      </c>
      <c r="V324" s="3">
        <f>743.1+(743.3-322.9)+(0.757962+(0.758166-0.329358))+0-177.4-0.180948000000028</f>
        <v>987.10582199999999</v>
      </c>
      <c r="W324" s="3">
        <f>747.4+(847-374.2)+(0.762348+(0.86394-0.381684))+0-172.8-0.176256000000028</f>
        <v>1048.4683480000001</v>
      </c>
      <c r="X324" s="3">
        <f>757.4+(925.5-424.5)+(0.386274+(0.472005-0.216495))+0-177.5-0.090524999999982</f>
        <v>1081.4512589999999</v>
      </c>
      <c r="Y324" s="3">
        <f>764.9+(851-391.9)+(-1.560396+(-1.73604--0.799476))+0-175.5--0.358019999999992</f>
        <v>1046.36106</v>
      </c>
      <c r="Z324" s="3">
        <f>767.8+(792.5-369.4)+(-1.95789+(-2.020875--0.94197))+0-179.9--0.458744999999974</f>
        <v>1008.4219500000002</v>
      </c>
      <c r="AA324" s="3">
        <f>697.9+(847.8-383.6)+(-0.355929+(-0.432378--0.195636))+0-179.8--0.0916979999999818</f>
        <v>981.7990269999998</v>
      </c>
      <c r="AB324" s="3">
        <f>587.1+(831.4-291.5)+(0+(0-0))+0-180.3-0</f>
        <v>946.7</v>
      </c>
      <c r="AC324" s="3">
        <f>588.9+(710.2-223.4)+(-0.600678+(-0.724404--0.227868))+0-180.4--0.184008000000029</f>
        <v>894.38679400000024</v>
      </c>
      <c r="AD324">
        <v>1078.5999999999999</v>
      </c>
      <c r="AE324" s="3">
        <f>771+(956.2-456.2)+(0+(0-0))+0-179.4-0</f>
        <v>1091.5999999999999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588.5+(673.6-224.4)+(0+(0-0))+0-178.7-0</f>
        <v>859</v>
      </c>
      <c r="G325" s="3">
        <f>590.9+(604.6-179.5)+(0+(0-0))+0-176.8-0</f>
        <v>839.2</v>
      </c>
      <c r="H325" s="3">
        <f>588.1+(621.1-193.6)+(0+(0-0))+0-176.6-0</f>
        <v>839</v>
      </c>
      <c r="I325" s="3">
        <f>626.7+(595.8-229.4)+(-0.958851+(-0.911574--0.350982))+0-176.7--0.27035100000001</f>
        <v>815.15090799999996</v>
      </c>
      <c r="J325" s="3">
        <f>638.3+(563.4-202.8)+(0.651066+(0.574668-0.206856))+0-174.1-0.177582000000028</f>
        <v>825.64129599999978</v>
      </c>
      <c r="K325" s="3">
        <f>642.6+(646-275.1)+(0.655452+(0.65892-0.280602))+0-172.6-0.176052000000028</f>
        <v>841.75771799999995</v>
      </c>
      <c r="L325" s="3">
        <f>648.6+(765.5-347.4)+(0+(0-0))+0-169.5-0</f>
        <v>897.2</v>
      </c>
      <c r="M325" s="3">
        <f>648.1+(848.3-368.9)+(0+(0-0))+0-172.5-0</f>
        <v>955</v>
      </c>
      <c r="N325" s="3">
        <f>658.9+(811.9-307.1)+(-0.336039+(-0.414069--0.156621))+0-177.7--0.090626999999982</f>
        <v>985.4971399999996</v>
      </c>
      <c r="O325" s="3">
        <f>646.3+(842.1-303.9)+(-0.329613+(-0.429471--0.154989))+0-175.4--0.0894539999999822</f>
        <v>1008.585359</v>
      </c>
      <c r="P325" s="3">
        <f>638.7+(828.4-276.4)+(-0.325737+(-0.422484--0.140964))+0-179--0.0912899999999818</f>
        <v>1011.1840330000001</v>
      </c>
      <c r="Q325" s="3">
        <f>641.5+(833.7-283.7)+(-0.65433+(-0.850374--0.289374))+0-179.7--0.183294000000029</f>
        <v>1010.767964</v>
      </c>
      <c r="R325" s="3">
        <f>645.6+(826.7-294.3)+(-0.987768+(-1.264851--0.450279))+0-172.4--0.26377200000001</f>
        <v>1004.0614320000001</v>
      </c>
      <c r="S325" s="3">
        <f>718.9+(769.3-321.8)+(-1.099917+(-1.177029--0.492354))+0-174--0.26622000000001</f>
        <v>990.88162799999986</v>
      </c>
      <c r="T325" s="3">
        <f>725.7+(700.3-276.2)+(0+(0-0))+0-177-0</f>
        <v>972.8</v>
      </c>
      <c r="U325" s="3">
        <f>667.4+(730.5-260.2)+(0.680748+(0.74511-0.265404))+0-170.1-0.173502000000027</f>
        <v>968.58695200000011</v>
      </c>
      <c r="V325" s="3">
        <f>656.7+(766.9-268.3)+(0.334917+(0.391119-0.136833))+0-189.2-0.0964919999999808</f>
        <v>966.59271099999989</v>
      </c>
      <c r="W325" s="3">
        <f>665.4+(909-373.5)+(0.678708+(0.92718-0.38097))+0-191.3-0.195126000000031</f>
        <v>1010.629792</v>
      </c>
      <c r="X325" s="3">
        <f>710.6+(949.4-424.8)+(-1.81203+(-2.42097--1.08324))+0-191.6--0.488579999999972</f>
        <v>1040.9388199999999</v>
      </c>
      <c r="Y325" s="3">
        <f>722.2+(871.2-386.5)+(-1.104966+(-1.332936--0.591345))+0-195.1--0.298503000000011</f>
        <v>1010.251946</v>
      </c>
      <c r="Z325" s="3">
        <f>732.8+(763-327.1)+(-0.373728+(-0.38913--0.166821))+0-199--0.10148999999998</f>
        <v>969.20545299999981</v>
      </c>
      <c r="AA325" s="3">
        <f>695.4+(695.6-261.2)+(0.354654+(0.354756-0.133212))+0-192.4-0.0981239999999805</f>
        <v>937.87807399999997</v>
      </c>
      <c r="AB325" s="3">
        <f>674.3+(696.9-284.3)+(0.343893+(0.355419-0.144993))+0-193.1-0.0984809999999804</f>
        <v>894.25583799999993</v>
      </c>
      <c r="AC325" s="3">
        <f>578.5+(684-208.3)+(0+(0-0))+0-196.1-0</f>
        <v>858.1</v>
      </c>
      <c r="AD325">
        <v>1049.3</v>
      </c>
      <c r="AE325" s="3">
        <f>723+(952-435.7)+(0+(0-0))+0-177-0</f>
        <v>1062.3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576.7+(638-203.3)+(-1.470585+(-1.6269--0.518415))+0-191--0.487049999999972</f>
        <v>818.30798000000004</v>
      </c>
      <c r="G326" s="3">
        <f>576+(621.4-218.4)+(-0.58752+(-0.633828--0.222768))+0-192--0.195840000000031</f>
        <v>786.19726000000003</v>
      </c>
      <c r="H326" s="3">
        <f>574.2+(585.3-194.8)+(-1.757052+(-1.791018--0.596088))+0-188.8--0.577728000000022</f>
        <v>773.52574600000003</v>
      </c>
      <c r="I326" s="3">
        <f>574.4+(650.9-269.2)+(0.585888+(0.663918-0.274584))+0-190.4-0.19420800000003</f>
        <v>766.48101399999996</v>
      </c>
      <c r="J326" s="3">
        <f>573.7+(626.2-241.2)+(-0.292587+(-0.319362--0.123012))+0-190.4--0.0971039999999807</f>
        <v>767.90816700000005</v>
      </c>
      <c r="K326" s="3">
        <f>578.6+(749.1-353.2)+(0.885258+(1.146123-0.540396))+0-187.5-0.286875000000011</f>
        <v>788.20411000000001</v>
      </c>
      <c r="L326" s="3">
        <f>586.7+(792.6-365.7)+(0.598434+(0.808452-0.373014))+0-185.5-0.18921000000003</f>
        <v>828.94466200000011</v>
      </c>
      <c r="M326" s="3">
        <f>614.7+(857.9-387.7)+(0.626994+(0.875058-0.395454))+0-188.8-0.19257600000003</f>
        <v>897.01402200000018</v>
      </c>
      <c r="N326" s="3">
        <f>601.4+(869.4-325.8)+(0.306714+(0.443394-0.166158))+0-194.2-0.0990419999999803</f>
        <v>951.28490799999997</v>
      </c>
      <c r="O326" s="3">
        <f>596.8+(883-294)+(0.304368+(0.45033-0.14994))+0-194.7-0.0992969999999802</f>
        <v>991.60546099999988</v>
      </c>
      <c r="P326" s="3">
        <f>594+(859-266.1)+(0.30294+(0.43809-0.135711))+0-185.2-0.0944519999999812</f>
        <v>1002.2108670000001</v>
      </c>
      <c r="Q326" s="3">
        <f>628.8+(862.3-307.9)+(0+(0-0))+0-183.4-0</f>
        <v>999.79999999999984</v>
      </c>
      <c r="R326" s="3">
        <f>655.6+(802-301.9)+(-1.003068+(-1.22706--0.461907))+0-178--0.27234000000001</f>
        <v>976.20411899999999</v>
      </c>
      <c r="S326" s="3">
        <f>657.3+(754.6-274.3)+(0+(0-0))+0-175.9-0</f>
        <v>961.69999999999993</v>
      </c>
      <c r="T326" s="3">
        <f>686.6+(687.4-243.8)+(0+(0-0))+0-182.1-0</f>
        <v>948.1</v>
      </c>
      <c r="U326" s="3">
        <f>667.9+(676.7-236)+(-0.681258+(-0.690234--0.24072))+0-173.2--0.176664000000028</f>
        <v>934.44589199999996</v>
      </c>
      <c r="V326" s="3">
        <f>715.7+(638.9-236.7)+(-0.730014+(-0.651678--0.241434))+0-178.7--0.182274000000028</f>
        <v>938.24201600000015</v>
      </c>
      <c r="W326" s="3">
        <f>734+(787.7-354.8)+(-0.37434+(-0.401727--0.180948))+0-163.5--0.0833849999999834</f>
        <v>1002.888266</v>
      </c>
      <c r="X326" s="3">
        <f>749.5+(847.7-381.5)+(-0.76449+(-0.864654--0.38913))+0-172.6--0.176052000000028</f>
        <v>1042.0360380000002</v>
      </c>
      <c r="Y326" s="3">
        <f>755.9+(783.3-350)+(-1.542036+(-1.597932--0.714))+0-173--0.352919999999992</f>
        <v>1014.1269519999998</v>
      </c>
      <c r="Z326" s="3">
        <f>757.2+(627.9-243.4)+(-1.93086+(-1.601145--0.62067))+0-176.7--0.450584999999974</f>
        <v>962.53924999999992</v>
      </c>
      <c r="AA326" s="3">
        <f>764.4+(562.7-209.6)+(-0.389844+(-0.286977--0.106896))+0-178.9--0.0912389999999818</f>
        <v>938.12131399999998</v>
      </c>
      <c r="AB326" s="3">
        <f>600.5+(663-181.6)+(0.306255+(0.33813-0.092616))+0-174.6-0.0890459999999823</f>
        <v>907.76272300000005</v>
      </c>
      <c r="AC326" s="3">
        <f>578.8+(630.7-166.4)+(-0.295188+(-0.321657--0.084864))+0-171.2--0.0873119999999826</f>
        <v>871.45533099999977</v>
      </c>
      <c r="AD326">
        <v>1027.2000000000003</v>
      </c>
      <c r="AE326" s="3">
        <f>753+(840.2-366.4)+(0+(0-0))+0-161.6-0</f>
        <v>1065.2000000000003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577+(554.8-120.7)+(-0.88281+(-0.848844--0.184671))+0-169.6--0.25948800000001</f>
        <v>840.21250499999996</v>
      </c>
      <c r="G327" s="3">
        <f>577+(524.9-118.3)+(0.29427+(0.267699-0.060333))+0-172.2-0.0878219999999825</f>
        <v>811.81381399999987</v>
      </c>
      <c r="H327" s="3">
        <f>581.2+(501.9-115.6)+(-0.592824+(-0.511938--0.117912))+0-171.1--0.174522000000027</f>
        <v>795.587672</v>
      </c>
      <c r="I327" s="3">
        <f>582.2+(492.2-112.3)+(0.296922+(0.251022-0.057273))+0-175.4-0.0894539999999822</f>
        <v>787.10121700000013</v>
      </c>
      <c r="J327" s="3">
        <f>580+(507.2-121)+(-0.5916+(-0.517344--0.12342))+0-176.4--0.179928000000028</f>
        <v>788.99440400000003</v>
      </c>
      <c r="K327" s="3">
        <f>583.8+(571.6-169.2)+(0.595476+(0.583032-0.172584))+0-180.7-0.184314000000029</f>
        <v>806.32160999999996</v>
      </c>
      <c r="L327" s="3">
        <f>585+(651.9-227.9)+(-0.29835+(-0.332469--0.116229))+0-176.4--0.0899639999999821</f>
        <v>832.17537400000003</v>
      </c>
      <c r="M327" s="3">
        <f>584+(713.4-236.1)+(0+(0-0))+0-175.5-0</f>
        <v>885.8</v>
      </c>
      <c r="N327" s="3">
        <f>580.1+(696-176.1)+(0.591702+(0.70992-0.179622))+0-178.3-0.181866000000028</f>
        <v>922.6401340000001</v>
      </c>
      <c r="O327" s="3">
        <f>594.2+(863.9-336.8)+(0+(0-0))+0-178.7-0</f>
        <v>942.59999999999991</v>
      </c>
      <c r="P327" s="3">
        <f>602+(911.3-372.9)+(0+(0-0))+0-180.9-0</f>
        <v>959.50000000000011</v>
      </c>
      <c r="Q327" s="3">
        <f>606.5+(914.2-362.4)+(0.927945+(1.398726-0.554472))+0-180.3-0.27585900000001</f>
        <v>979.49634000000026</v>
      </c>
      <c r="R327" s="3">
        <f>609.8+(892.3-344.1)+(-1.243992+(-1.820292--0.701964))+0-177.7--0.362507999999992</f>
        <v>978.30018800000005</v>
      </c>
      <c r="S327" s="3">
        <f>613+(848.9-319)+(-0.31263+(-0.432939--0.16269))+0-174.6--0.0890459999999823</f>
        <v>967.80616699999996</v>
      </c>
      <c r="T327" s="3">
        <f>611.8+(779.3-270)+(0+(0-0))+0-171.4-0</f>
        <v>949.69999999999993</v>
      </c>
      <c r="U327" s="3">
        <f>605.7+(748.6-246.4)+(-0.926721+(-1.145358--0.376992))+0-169.8--0.25979400000001</f>
        <v>936.66470700000013</v>
      </c>
      <c r="V327" s="3">
        <f>608+(701-182.2)+(-0.31008+(-0.35751--0.092922))+0-175.1--0.0893009999999822</f>
        <v>951.21463299999994</v>
      </c>
      <c r="W327" s="3">
        <f>613.3+(707-162.2)+(-0.625566+(-0.72114--0.165444))+0-169.3--0.172686000000027</f>
        <v>987.79142399999989</v>
      </c>
      <c r="X327" s="3">
        <f>614+(759.9-179.2)+(-0.31314+(-0.387549--0.091392))+0-171.3--0.0873629999999826</f>
        <v>1022.8780660000001</v>
      </c>
      <c r="Y327" s="3">
        <f>612.6+(711.4-165.3)+(-0.937278+(-1.088442--0.252909))+0-173.1--0.26484300000001</f>
        <v>984.09203199999979</v>
      </c>
      <c r="Z327" s="3">
        <f>614+(641.7-147)+(-0.62628+(-0.654534--0.14994))+0-163.9--0.167178000000026</f>
        <v>943.83630400000015</v>
      </c>
      <c r="AA327" s="3">
        <f>615.9+(595.3-124.2)+(-1.256436+(-1.214412--0.253368))+0-164--0.334559999999993</f>
        <v>921.11707999999999</v>
      </c>
      <c r="AB327" s="3">
        <f>614.8+(542.7-109.1)+(-0.313548+(-0.276777--0.055641))+0-159.3--0.0812429999999838</f>
        <v>888.64655900000014</v>
      </c>
      <c r="AC327" s="3">
        <f>612.7+(538.1-139.9)+(0.624954+(0.548862-0.142698))+0-158.5-0.161670000000025</f>
        <v>853.26944800000001</v>
      </c>
      <c r="AD327">
        <v>979.09999999999991</v>
      </c>
      <c r="AE327" s="3">
        <f>605+(737.5-174.7)+(0+(0-0))+0-175.7-0</f>
        <v>992.09999999999991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614+(492.1-127.6)+(-1.25256+(-1.003884--0.260304))+0-159.5--0.325379999999993</f>
        <v>817.32924000000003</v>
      </c>
      <c r="G328" s="3">
        <f>610.2+(447.5-110.4)+(-0.622404+(-0.45645--0.112608))+0-151.1--0.154122000000024</f>
        <v>795.38787600000012</v>
      </c>
      <c r="H328" s="3">
        <f>614.9+(427.7-118.2)+(-1.254396+(-0.872508--0.241128))+0-146.1--0.298043999999994</f>
        <v>776.71226799999999</v>
      </c>
      <c r="I328" s="3">
        <f>610.6+(442.5-133.2)+(0.311406+(0.225675-0.067932))+0-146.5-0.0747149999999851</f>
        <v>773.79443400000014</v>
      </c>
      <c r="J328" s="3">
        <f>610.3+(457.6-141.6)+(-0.933759+(-0.700128--0.216648))+0-146.6--0.224298000000008</f>
        <v>778.50705899999991</v>
      </c>
      <c r="K328" s="3">
        <f>608.2+(535.4-191.3)+(0.310182+(0.273054-0.097563))+0-146.9-0.0749189999999851</f>
        <v>805.81075399999997</v>
      </c>
      <c r="L328" s="3">
        <f>610.3+(584.9-213.7)+(0.311253+(0.298299-0.108987))+0-143.8-0.0733379999999854</f>
        <v>838.12722700000006</v>
      </c>
      <c r="M328" s="3">
        <f>615.1+(699-273.5)+(-0.941103+(-1.06947--0.418455))+0-148--0.226440000000009</f>
        <v>891.23432199999991</v>
      </c>
      <c r="N328" s="3">
        <f>610.8+(741.7-265.6)+(-0.311508+(-0.378267--0.135456))+0-152.3--0.0776729999999846</f>
        <v>934.12335400000006</v>
      </c>
      <c r="O328" s="3">
        <f>607.9+(766.8-259.6)+(0+(0-0))+0-150.7-0</f>
        <v>964.39999999999986</v>
      </c>
      <c r="P328" s="3">
        <f>606.4+(675.7-168.7)+(-0.618528+(-0.689214--0.172074))+0-150.4--0.153408000000024</f>
        <v>962.01774000000023</v>
      </c>
      <c r="Q328" s="3">
        <f>603.9+(696.2-174.9)+(-0.923967+(-1.065186--0.267597))+0-152.5--0.233325000000009</f>
        <v>971.21176900000012</v>
      </c>
      <c r="R328" s="3">
        <f>598.3+(721-208.2)+(-0.915399+(-1.10313--0.318546))+0-148.1--0.226593000000009</f>
        <v>961.52660999999989</v>
      </c>
      <c r="S328" s="3">
        <f>599.1+(715.1-215.7)+(-1.222164+(-1.458804--0.440028))+0-154.9--0.315995999999993</f>
        <v>941.67505600000015</v>
      </c>
      <c r="T328" s="3">
        <f>589.7+(689.3-205)+(-0.300747+(-0.351543--0.10455))+0-154.4--0.0787439999999843</f>
        <v>919.13100400000008</v>
      </c>
      <c r="U328" s="3">
        <f>593+(683.5-199.7)+(0+(0-0))+0-148.3-0</f>
        <v>928.5</v>
      </c>
      <c r="V328" s="3">
        <f>590+(714-209.2)+(-0.3009+(-0.36414--0.106692))+0-152.3--0.0776729999999846</f>
        <v>942.01932499999998</v>
      </c>
      <c r="W328" s="3">
        <f>587.6+(783.7-232.2)+(0+(0-0))+0-151.4-0</f>
        <v>987.69999999999993</v>
      </c>
      <c r="X328" s="3">
        <f>595+(826.5-235.8)+(-0.6069+(-0.84303--0.240516))+0-150.4--0.153408000000024</f>
        <v>1034.2439940000002</v>
      </c>
      <c r="Y328" s="3">
        <f>601.9+(781-228.6)+(-0.306969+(-0.39831--0.116586))+0-150.2--0.0766019999999848</f>
        <v>1003.587909</v>
      </c>
      <c r="Z328" s="3">
        <f>611.8+(724-210.1)+(-0.624036+(-0.73848--0.214302))+0-152.2--0.155244000000024</f>
        <v>972.50702999999976</v>
      </c>
      <c r="AA328" s="3">
        <f>615.8+(694.9-195.8)+(0+(0-0))+0-151.1-0</f>
        <v>963.79999999999984</v>
      </c>
      <c r="AB328" s="3">
        <f>618.3+(646.5-182.8)+(-0.315333+(-0.329715--0.093228))+0-156.8--0.0799679999999841</f>
        <v>924.72814800000015</v>
      </c>
      <c r="AC328" s="3">
        <f>622.7+(576-161.9)+(-1.587885+(-1.4688--0.412845))+0-163.3--0.416414999999976</f>
        <v>871.2725750000003</v>
      </c>
      <c r="AD328">
        <v>1000.5000000000001</v>
      </c>
      <c r="AE328" s="3">
        <f>590+(813.7-236.3)+(0+(0-0))+0-151.9-0</f>
        <v>1015.5000000000001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621.5+(519.8-142.5)+(-0.950895+(-0.795294--0.218025))+0-165.7--0.25352100000001</f>
        <v>831.82535700000005</v>
      </c>
      <c r="G329" s="3">
        <f>624.5+(540.6-195.1)+(-0.955485+(-0.827118--0.298503))+0-171.5--0.26239500000001</f>
        <v>797.27829499999996</v>
      </c>
      <c r="H329" s="3">
        <f>625.5+(500.6-169.4)+(-1.27602+(-1.021224--0.345576))+0-172--0.350879999999992</f>
        <v>783.09921199999997</v>
      </c>
      <c r="I329" s="3">
        <f>629.5+(517.8-193.4)+(-0.321045+(-0.264078--0.098634))+0-174.6--0.0890459999999823</f>
        <v>778.90255699999989</v>
      </c>
      <c r="J329" s="3">
        <f>622.7+(505.4-163.4)+(0.952731+(0.773262-0.250002))+0-185.6-0.283968000000011</f>
        <v>780.29202300000009</v>
      </c>
      <c r="K329" s="3">
        <f>622.8+(554.3-190.4)+(0.317628+(0.282693-0.097104))+0-183.7-0.0936869999999814</f>
        <v>803.40953000000002</v>
      </c>
      <c r="L329" s="3">
        <f>622.7+(595.6-176.4)+(0.317577+(0.303756-0.089964))+0-186.6-0.0951659999999811</f>
        <v>855.73620300000016</v>
      </c>
      <c r="M329" s="3">
        <f>625.7+(668.3-191.1)+(0+(0-0))+0-190.5-0</f>
        <v>912.40000000000009</v>
      </c>
      <c r="N329" s="3">
        <f>628.1+(680.4-168.6)+(0.640662+(0.694008-0.171972))+0-191.9-0.195738000000031</f>
        <v>948.9669600000002</v>
      </c>
      <c r="O329" s="3">
        <f>641+(667.4-152.6)+(0.32691+(0.340374-0.077826))+0-189-0.0963899999999808</f>
        <v>967.29306799999995</v>
      </c>
      <c r="P329" s="3">
        <f>664.2+(640.3-140.5)+(0.338742+(0.326553-0.071655))+0-189-0.0963899999999808</f>
        <v>975.49725000000012</v>
      </c>
      <c r="Q329" s="3">
        <f>662.1+(652.3-132.8)+(-0.675342+(-0.665346--0.135456))+0-190.2--0.19400400000003</f>
        <v>990.3887719999999</v>
      </c>
      <c r="R329" s="3">
        <f>669.3+(647.1-139.5)+(-1.706715+(-1.650105--0.355725))+0-189.2--0.482459999999973</f>
        <v>985.18136499999991</v>
      </c>
      <c r="S329" s="3">
        <f>731.3+(602.2-162.5)+(-0.745926+(-0.614244--0.16575))+0-189.9--0.19369800000003</f>
        <v>980.09927800000003</v>
      </c>
      <c r="T329" s="3">
        <f>789.1+(535.4-166.9)+(-1.207323+(-0.819162--0.255357))+0-187.9--0.287487000000011</f>
        <v>968.2163589999999</v>
      </c>
      <c r="U329" s="3">
        <f>795.1+(514.8-161)+(-0.405501+(-0.262548--0.08211))+0-184.1--0.0938909999999813</f>
        <v>964.307952</v>
      </c>
      <c r="V329" s="3">
        <f>803.7+(548-179.7)+(0.409887+(0.27948-0.091647))+0-190.4-0.0971039999999807</f>
        <v>982.10061600000006</v>
      </c>
      <c r="W329" s="3">
        <f>804.6+(617.4-202.2)+(0+(0-0))+0-193.7-0</f>
        <v>1026.0999999999999</v>
      </c>
      <c r="X329" s="3">
        <f>808.2+(683.8-237.4)+(-0.412182+(-0.348738--0.121074))+0-196.2--0.10006199999998</f>
        <v>1057.8602159999998</v>
      </c>
      <c r="Y329" s="3">
        <f>812.1+(632.1-225.5)+(0+(0-0))+0-191.2-0</f>
        <v>1027.5</v>
      </c>
      <c r="Z329" s="3">
        <f>816.9+(578.4-213)+(-2.083095+(-1.47492--0.54315))+0-193.4--0.493169999999972</f>
        <v>986.37830499999984</v>
      </c>
      <c r="AA329" s="3">
        <f>821.6+(540-194.8)+(0+(0-0))+0-191.7-0</f>
        <v>975.09999999999991</v>
      </c>
      <c r="AB329" s="3">
        <f>825.5+(545.5-239.3)+(-2.105025+(-1.391025--0.610215))+0-192.6--0.491129999999972</f>
        <v>936.70529499999998</v>
      </c>
      <c r="AC329" s="3">
        <f>823.3+(508-250.9)+(-2.099415+(-1.2954--0.639795))+0-192.5--0.490874999999972</f>
        <v>885.63585499999999</v>
      </c>
      <c r="AD329">
        <v>1035.5999999999999</v>
      </c>
      <c r="AE329" s="3">
        <f>805+(677.6-238.4)+(0+(0-0))+0-193.6-0</f>
        <v>1050.6000000000001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817+(489.2-280)+(-0.83334+(-0.498984--0.2856))+0-194--0.197880000000031</f>
        <v>831.35115600000006</v>
      </c>
      <c r="G330" s="3">
        <f>819.5+(470.4-288.8)+(1.67178+(0.959616-0.589152))+0-193.2-0.394127999999992</f>
        <v>809.54811599999982</v>
      </c>
      <c r="H330" s="3">
        <f>819.1+(482.7-317.9)+(1.253223+(0.738531-0.486387))+0-192.5-0.294525000000011</f>
        <v>792.61084200000005</v>
      </c>
      <c r="I330" s="3">
        <f>821.3+(475.5-321.5)+(-1.675452+(-0.97002--0.65586))+0-191.7--0.391067999999992</f>
        <v>782.00145600000008</v>
      </c>
      <c r="J330" s="3">
        <f>821.7+(462-309.8)+(0.838134+(0.47124-0.315996))+0-186.4-0.19012800000003</f>
        <v>788.30325000000005</v>
      </c>
      <c r="K330" s="3">
        <f>823.9+(527.9-357)+(0+(0-0))+0-184.6-0</f>
        <v>810.19999999999993</v>
      </c>
      <c r="L330" s="3">
        <f>822.1+(553.8-329.3)+(0.419271+(0.282438-0.167943))+0-175.8-0.0896579999999822</f>
        <v>871.24410799999998</v>
      </c>
      <c r="M330" s="3">
        <f>824.7+(584.5-296.8)+(-0.841194+(-0.59619--0.302736))+0-184.8--0.188496000000029</f>
        <v>926.65384800000015</v>
      </c>
      <c r="N330" s="3">
        <f>825.2+(570.5-223.7)+(-0.420852+(-0.290955--0.114087))+0-185.4--0.0945539999999812</f>
        <v>986.09683400000006</v>
      </c>
      <c r="O330" s="3">
        <f>831.2+(559.5-209.3)+(-0.423912+(-0.285345--0.106743))+0-183.6--0.0936359999999814</f>
        <v>997.29112200000009</v>
      </c>
      <c r="P330" s="3">
        <f>862.7+(561.1-232.4)+(-1.319931+(-0.858483--0.355572))+0-177.9--0.27218700000001</f>
        <v>1011.9493450000001</v>
      </c>
      <c r="Q330" s="3">
        <f>861.5+(587.3-257.8)+(-0.439365+(-0.299523--0.131478))+0-172.5--0.0879749999999825</f>
        <v>1017.980565</v>
      </c>
      <c r="R330" s="3">
        <f>855.5+(594.9-276.2)+(-1.308915+(-0.910197--0.422586))+0-170.6--0.26101800000001</f>
        <v>1002.064492</v>
      </c>
      <c r="S330" s="3">
        <f>866.7+(570.4-271)+(0+(0-0))+0-166.6-0</f>
        <v>999.49999999999989</v>
      </c>
      <c r="T330" s="3">
        <f>888.9+(546.8-267.3)+(-0.453339+(-0.278868--0.136323))+0-169.1--0.0862409999999828</f>
        <v>998.79035699999974</v>
      </c>
      <c r="U330" s="3">
        <f>904.2+(506.5-232.3)+(-0.461142+(-0.258315--0.118473))+0-175.1--0.0893009999999822</f>
        <v>1002.7883170000001</v>
      </c>
      <c r="V330" s="3">
        <f>905.3+(503.7-206.6)+(0.923406+(0.513774-0.210732))+0-180.3-0.183906000000029</f>
        <v>1023.142542</v>
      </c>
      <c r="W330" s="3">
        <f>916.5+(547.9-218.9)+(-0.467415+(-0.279429--0.111639))+0-183.8--0.0937379999999814</f>
        <v>1061.158533</v>
      </c>
      <c r="X330" s="3">
        <f>943.2+(579.9-232)+(-0.481032+(-0.295749--0.11832))+0-185.9--0.0948089999999811</f>
        <v>1104.6363479999998</v>
      </c>
      <c r="Y330" s="3">
        <f>946.4+(520.6-213.3)+(-1.930656+(-1.062024--0.435132))+0-186.9--0.381275999999992</f>
        <v>1064.623728</v>
      </c>
      <c r="Z330" s="3">
        <f>948.2+(478.8-224.9)+(-0.483582+(-0.244188--0.114699))+0-187.5--0.095624999999981</f>
        <v>1014.0825540000001</v>
      </c>
      <c r="AA330" s="3">
        <f>945.4+(435.2-195.2)+(1.928616+(0.887808-0.398208))+0-187.9-0.383315999999992</f>
        <v>999.53490000000011</v>
      </c>
      <c r="AB330" s="3">
        <f>945.6+(463.2-274.4)+(-0.964512+(-0.472464--0.279888))+0-184.5--0.188190000000029</f>
        <v>948.93110200000024</v>
      </c>
      <c r="AC330" s="3">
        <f>951+(446.2-304.6)+(-1.94004+(-0.910248--0.621384))+0-189.2--0.385967999999992</f>
        <v>901.55706399999985</v>
      </c>
      <c r="AD330">
        <v>1072.5999999999999</v>
      </c>
      <c r="AE330" s="3">
        <f>949+(580-239)+(0+(0-0))+0-203.4-0</f>
        <v>1086.5999999999999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960.4+(444.5-338.5)+(-1.469412+(-0.680085--0.517905))+0-207--0.316710000000012</f>
        <v>858.08511800000019</v>
      </c>
      <c r="G331" s="3">
        <f>961.9+(431.9-353.4)+(-0.981138+(-0.440538--0.360468))+0-211.1--0.215322000000034</f>
        <v>828.454114</v>
      </c>
      <c r="H331" s="3">
        <f>965.2+(447.2-388.3)+(0.492252+(0.228072-0.198033))+0-209.2-0.106691999999979</f>
        <v>815.31559899999991</v>
      </c>
      <c r="I331" s="3">
        <f>965.6+(433.4-379.7)+(0+(0-0))+0-208.4-0</f>
        <v>810.9</v>
      </c>
      <c r="J331" s="3">
        <f>969.2+(396.8-347.3)+(0.494292+(0.202368-0.177123))+0-206.2-0.105161999999979</f>
        <v>812.91437500000018</v>
      </c>
      <c r="K331" s="3">
        <f>968.8+(420.9-346.5)+(2.47044+(1.073295-0.883575))+0-204.4-0.52121999999997</f>
        <v>840.93893999999977</v>
      </c>
      <c r="L331" s="3">
        <f>953.2+(458.8-315.3)+(-0.486132+(-0.233988--0.160803))+0-202.4--0.103223999999979</f>
        <v>893.84390700000006</v>
      </c>
      <c r="M331" s="3">
        <f>952.1+(513.6-311.5)+(0+(0-0))+0-205.9-0</f>
        <v>948.30000000000007</v>
      </c>
      <c r="N331" s="3">
        <f>932.4+(524-277.5)+(0+(0-0))+0-203.8-0</f>
        <v>975.10000000000014</v>
      </c>
      <c r="O331" s="3">
        <f>921.1+(576.8-290.6)+(0.469761+(0.294168-0.148206))+0-202.7-0.103376999999979</f>
        <v>1005.1123459999998</v>
      </c>
      <c r="P331" s="3">
        <f>922.1+(559-282.8)+(-0.940542+(-0.57018--0.288456))+0-188.2--0.19196400000003</f>
        <v>1009.0696979999999</v>
      </c>
      <c r="Q331" s="3">
        <f>894.6+(598.1-273.4)+(-1.368738+(-0.915093--0.418302))+0-188.1--0.287793000000011</f>
        <v>1029.6222640000003</v>
      </c>
      <c r="R331" s="3">
        <f>850.1+(617.9-258.1)+(-0.867102+(-0.630258--0.263262))+0-189--0.19278000000003</f>
        <v>1019.8586820000003</v>
      </c>
      <c r="S331" s="3">
        <f>873.8+(596.1-270.1)+(1.336914+(0.912033-0.413253))+0-192.5-0.294525000000011</f>
        <v>1008.841169</v>
      </c>
      <c r="T331" s="3">
        <f>892.4+(560.5-260.3)+(-0.910248+(-0.57171--0.265506))+0-194--0.197880000000031</f>
        <v>997.58142800000007</v>
      </c>
      <c r="U331" s="3">
        <f>930.1+(514.8-251.8)+(0.474351+(0.262548-0.128418))+0-190.3-0.0970529999999807</f>
        <v>1003.311428</v>
      </c>
      <c r="V331" s="3">
        <f>964.2+(492.1-246.9)+(0.491742+(0.250971-0.125919))+0-187.2-0.095471999999981</f>
        <v>1022.7213220000001</v>
      </c>
      <c r="W331" s="3">
        <f>975.2+(534.1-253.9)+(0.497352+(0.272391-0.129489))+0-194.3-0.0990929999999803</f>
        <v>1061.641161</v>
      </c>
      <c r="X331" s="3">
        <f>981.4+(566.1-230.6)+(0+(0-0))+0-197.3-0</f>
        <v>1119.6000000000001</v>
      </c>
      <c r="Y331" s="3">
        <f>990.4+(534.6-242.5)+(-2.52552+(-1.36323--0.618375))+0-197.7--0.504134999999971</f>
        <v>1082.0337599999998</v>
      </c>
      <c r="Z331" s="3">
        <f>992.5+(511.1-254.1)+(-0.506175+(-0.260661--0.129591))+0-197.7--0.10082699999998</f>
        <v>1051.263582</v>
      </c>
      <c r="AA331" s="3">
        <f>992.7+(502.6-265.9)+(-1.518831+(-0.768978--0.406827))+0-197.4--0.302022000000011</f>
        <v>1030.4210400000002</v>
      </c>
      <c r="AB331" s="3">
        <f>993.4+(495.7-310.7)+(-0.506634+(-0.252807--0.158457))+0-193.6--0.0987359999999804</f>
        <v>984.29775200000017</v>
      </c>
      <c r="AC331" s="3">
        <f>995.4+(479.7-359.1)+(-2.53827+(-1.223235--0.915705))+0-190.6--0.486029999999972</f>
        <v>923.04022999999995</v>
      </c>
      <c r="AD331">
        <v>1096.7</v>
      </c>
      <c r="AE331" s="3">
        <f>988+(555.7-237.9)+(0+(0-0))+0-196.1-0</f>
        <v>1109.7000000000003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1001.2+(408.5-340)+(-2.042448+(-0.83334--0.6936))+0-188.2--0.383927999999992</f>
        <v>879.70173999999997</v>
      </c>
      <c r="G332" s="3">
        <f>1004.5+(336.6-308.9)+(0+(0-0))+0-188.1-0</f>
        <v>844.1</v>
      </c>
      <c r="H332" s="3">
        <f>1004.9+(311.1-303.2)+(-0.512499+(-0.158661--0.154632))+0-186.2--0.0949619999999811</f>
        <v>826.17843400000004</v>
      </c>
      <c r="I332" s="3">
        <f>1011.6+(329.7-329.6)+(1.031832+(0.336294-0.336192))+0-180.4-0.184008000000029</f>
        <v>832.14792599999998</v>
      </c>
      <c r="J332" s="3">
        <f>1012.8+(321.3-322.3)+(-1.033056+(-0.327726--0.328746))+0-177.3--0.180846000000028</f>
        <v>833.64880999999991</v>
      </c>
      <c r="K332" s="3">
        <f>1009.4+(363.3-345.1)+(0.514794+(0.185283-0.176001))+0-177.1-0.090320999999982</f>
        <v>850.93375499999979</v>
      </c>
      <c r="L332" s="3">
        <f>1016.2+(416.2-404.7)+(0+(0-0))+0-176.2-0</f>
        <v>851.5</v>
      </c>
      <c r="M332" s="3">
        <f>1014.2+(478.3-405.8)+(0.517242+(0.243933-0.206958))+0-178.2-0.0908819999999819</f>
        <v>908.96333500000014</v>
      </c>
      <c r="N332" s="3">
        <f>1003.2+(521-398.3)+(1.534896+(0.79713-0.609399))+0-177-0.27081000000001</f>
        <v>950.35181700000021</v>
      </c>
      <c r="O332" s="3">
        <f>996.5+(562.8-412.9)+(1.524645+(0.861084-0.631737))+0-181.3-0.27738900000001</f>
        <v>966.57660300000009</v>
      </c>
      <c r="P332" s="3">
        <f>981.7+(580.5-404.5)+(2.002668+(1.18422-0.82518))+0-180.8-0.368831999999992</f>
        <v>978.892876</v>
      </c>
      <c r="Q332" s="3">
        <f>977+(578.7-393.5)+(-0.99654+(-0.590274--0.40137))+0-179--0.182580000000029</f>
        <v>982.19713600000011</v>
      </c>
      <c r="R332" s="3">
        <f>982.3+(557.5-399.9)+(-2.504865+(-1.421625--1.019745))+0-167.2--0.426359999999976</f>
        <v>970.21961499999998</v>
      </c>
      <c r="S332" s="3">
        <f>974.9+(532.9-377.7)+(0.497199+(0.271779-0.192627))+0-165.4-0.0843539999999832</f>
        <v>965.1919969999999</v>
      </c>
      <c r="T332" s="3">
        <f>975.7+(531.4-382.6)+(0+(0-0))+0-168.2-0</f>
        <v>956.3</v>
      </c>
      <c r="U332" s="3">
        <f>974.6+(556.3-399.2)+(0.994092+(0.567426-0.407184))+0-163.9-0.167178000000026</f>
        <v>968.7871560000001</v>
      </c>
      <c r="V332" s="3">
        <f>975.8+(545.2-383.5)+(-0.995316+(-0.556104--0.39117))+0-169.2--0.172584000000027</f>
        <v>967.31233400000008</v>
      </c>
      <c r="W332" s="3">
        <f>978.5+(571.8-369.4)+(-0.99807+(-0.583236--0.376788))+0-173.9--0.177378000000028</f>
        <v>1005.9728600000001</v>
      </c>
      <c r="X332" s="3">
        <f>980.5+(573.5-334.7)+(-1.500165+(-0.877455--0.512091))+0-172.8--0.26438400000001</f>
        <v>1044.8988550000001</v>
      </c>
      <c r="Y332" s="3">
        <f>988.4+(552.8-354.4)+(-2.016336+(-1.127712--0.722976))+0-172.8--0.352511999999993</f>
        <v>1011.93144</v>
      </c>
      <c r="Z332" s="3">
        <f>991.1+(546.7-376.1)+(-1.516383+(-0.836451--0.575433))+0-175.6--0.26866800000001</f>
        <v>984.59126700000002</v>
      </c>
      <c r="AA332" s="3">
        <f>995.7+(536-374.1)+(-1.523421+(-0.82008--0.572373))+0-184.9--0.282897000000011</f>
        <v>971.21176899999989</v>
      </c>
      <c r="AB332" s="3">
        <f>992.3+(525.4-393.1)+(-1.012146+(-0.535908--0.400962))+0-189--0.19278000000003</f>
        <v>934.64568800000006</v>
      </c>
      <c r="AC332" s="3">
        <f>988.4+(521.4-431.5)+(-1.008168+(-0.531828--0.44013))+0-192.1--0.195942000000031</f>
        <v>885.29607599999997</v>
      </c>
      <c r="AD332">
        <v>1097.8</v>
      </c>
      <c r="AE332" s="3">
        <f>980+(575-275)+(0+(0-0))+0-169.2-0</f>
        <v>1110.8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974.8+(495.1-397.6)+(-2.48574+(-1.262505--1.01388))+0-191.4--0.488069999999972</f>
        <v>878.65370499999995</v>
      </c>
      <c r="G333" s="3">
        <f>951.1+(518.8-418.1)+(-1.455183+(-0.793764--0.639693))+0-191.2--0.292536000000011</f>
        <v>859.28328199999999</v>
      </c>
      <c r="H333" s="3">
        <f>946.8+(471.2-391)+(-1.448604+(-0.720936--0.59823))+0-187.7--0.287181000000011</f>
        <v>838.01587099999995</v>
      </c>
      <c r="I333" s="3">
        <f>944.7+(430-353.4)+(-1.927188+(-0.8772--0.720936))+0-188.3--0.384131999999992</f>
        <v>831.30068000000017</v>
      </c>
      <c r="J333" s="3">
        <f>943.7+(387.7-314.4)+(0.962574+(0.395454-0.320688))+0-188.8-0.19257600000003</f>
        <v>829.04476399999987</v>
      </c>
      <c r="K333" s="3">
        <f>945.5+(403.1-312.2)+(0.482205+(0.205581-0.159222))+0-183.2-0.0934319999999814</f>
        <v>853.635132</v>
      </c>
      <c r="L333" s="3">
        <f>948.6+(445-301.4)+(-0.483786+(-0.22695--0.153714))+0-179.9--0.0917489999999817</f>
        <v>911.83472700000004</v>
      </c>
      <c r="M333" s="3">
        <f>949.6+(533.7-311.2)+(0+(0-0))+0-180.9-0</f>
        <v>991.20000000000016</v>
      </c>
      <c r="N333" s="3">
        <f>943.9+(635.7-358.9)+(0.481389+(0.324207-0.183039))+0-170.6-0.0870059999999827</f>
        <v>1050.6355510000001</v>
      </c>
      <c r="O333" s="3">
        <f>951+(580.7-289.9)+(-0.48501+(-0.296157--0.147849))+0-177.5--0.090524999999982</f>
        <v>1063.7572070000003</v>
      </c>
      <c r="P333" s="3">
        <f>972.9+(583-308.3)+(0+(0-0))+0-183.1-0</f>
        <v>1064.5</v>
      </c>
      <c r="Q333" s="3">
        <f>972.1+(605.4-316.4)+(-0.991542+(-0.617508--0.322728))+0-185.3--0.18900600000003</f>
        <v>1074.7026840000001</v>
      </c>
      <c r="R333" s="3">
        <f>982+(580.2-320.3)+(-2.00328+(-1.183608--0.653412))+0-176.6--0.360263999999992</f>
        <v>1063.126788</v>
      </c>
      <c r="S333" s="3">
        <f>980.5+(545.5-321.3)+(-2.00022+(-1.11282--0.655452))+0-182--0.371279999999992</f>
        <v>1020.613692</v>
      </c>
      <c r="T333" s="3">
        <f>981.5+(517.3-304.6)+(-1.00113+(-0.527646--0.310692))+0-179.5--0.183090000000029</f>
        <v>1013.6650059999997</v>
      </c>
      <c r="U333" s="3">
        <f>981.3+(492.7-290.9)+(-2.001852+(-1.005108--0.593436))+0-177.4--0.361895999999992</f>
        <v>1003.6483719999999</v>
      </c>
      <c r="V333" s="3">
        <f>985.9+(489.4-273.7)+(-0.502809+(-0.249594--0.139587))+0-182.2--0.0929219999999815</f>
        <v>1018.8801059999997</v>
      </c>
      <c r="W333" s="3">
        <f>984.6+(531.9-292)+(-1.506438+(-0.813807--0.44676))+0-180.6--0.27631800000001</f>
        <v>1042.302833</v>
      </c>
      <c r="X333" s="3">
        <f>983.4+(519.8-283.9)+(-1.003068+(-0.530196--0.289578))+0-154.1--0.157182000000025</f>
        <v>1064.1134959999999</v>
      </c>
      <c r="Y333" s="3">
        <f>977.7+(520.4-325.5)+(-0.997254+(-0.530808--0.33201))+0-147.8--0.150756000000024</f>
        <v>1023.7547039999999</v>
      </c>
      <c r="Z333" s="3">
        <f>981.2+(509.2-330.5)+(-1.501236+(-0.779076--0.505665))+0-165.7--0.25352100000001</f>
        <v>992.67887400000006</v>
      </c>
      <c r="AA333" s="3">
        <f>979.6+(528.2-352.9)+(-0.999192+(-0.538764--0.359958))+0-185.8--0.18951600000003</f>
        <v>968.11151800000027</v>
      </c>
      <c r="AB333" s="3">
        <f>979+(507-368.3)+(-1.49787+(-0.77571--0.563499))+0-188.3--0.288099000000011</f>
        <v>927.97801800000013</v>
      </c>
      <c r="AC333" s="3">
        <f>976.1+(488.5-411.6)+(0+(0-0))+0-187.9-0</f>
        <v>865.1</v>
      </c>
      <c r="AD333">
        <v>1037.8</v>
      </c>
      <c r="AE333" s="3">
        <f>982+(500-284.7)+(0+(0-0))+0-146.5-0</f>
        <v>1050.8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972.8+(486.7-440)+(-0.992256+(-0.496434--0.4488))+0-189--0.19278000000003</f>
        <v>829.65289000000007</v>
      </c>
      <c r="G334" s="3">
        <f>972.8+(465.8-455)+(-0.496128+(-0.237558--0.23205))+0-189.4--0.0965939999999808</f>
        <v>793.79495799999995</v>
      </c>
      <c r="H334" s="3">
        <f>975.4+(382.7-396.7)+(0+(0-0))+0-187.5-0</f>
        <v>773.9</v>
      </c>
      <c r="I334" s="3">
        <f>977.2+(297.1-321)+(-0.996744+(-0.303042--0.32742))+0-187.9--0.19165800000003</f>
        <v>764.6192920000002</v>
      </c>
      <c r="J334" s="3">
        <f>972.1+(296.2-315.8)+(2.478855+(0.75531-0.80529))+0-187.2-0.477359999999973</f>
        <v>767.25151500000004</v>
      </c>
      <c r="K334" s="3">
        <f>973.5+(360-358.4)+(0.496485+(0.1836-0.182784))+0-188.6-0.0961859999999809</f>
        <v>786.901115</v>
      </c>
      <c r="L334" s="3">
        <f>975.6+(408.6-373.6)+(-0.995112+(-0.416772--0.381072))+0-188.2--0.19196400000003</f>
        <v>821.56115200000011</v>
      </c>
      <c r="M334" s="3">
        <f>974.7+(425.5-335.5)+(0.497097+(0.217005-0.171105))+0-190.1-0.0969509999999807</f>
        <v>875.04604600000005</v>
      </c>
      <c r="N334" s="3">
        <f>976.9+(489.5-360.6)+(0+(0-0))+0-190.3-0</f>
        <v>915.5</v>
      </c>
      <c r="O334" s="3">
        <f>975.6+(546.7-387.6)+(-0.497556+(-0.278817--0.197676))+0-200.7--0.10235699999998</f>
        <v>933.52366000000006</v>
      </c>
      <c r="P334" s="3">
        <f>977.5+(574.2-400.1)+(-0.498525+(-0.292842--0.204051))+0-180.5--0.0920549999999817</f>
        <v>970.60473899999977</v>
      </c>
      <c r="Q334" s="3">
        <f>978.6+(591.6-415.1)+(-1.996344+(-1.206864--0.846804))+0-181.9--0.371075999999992</f>
        <v>971.21467199999984</v>
      </c>
      <c r="R334" s="3">
        <f>976+(578-405.7)+(-1.49328+(-0.88434--0.620721))+0-185.2--0.283356000000011</f>
        <v>961.62645699999996</v>
      </c>
      <c r="S334" s="3">
        <f>972+(565.9-410.4)+(-1.48716+(-0.865827--0.627912))+0-188.5--0.288405000000011</f>
        <v>937.56332999999995</v>
      </c>
      <c r="T334" s="3">
        <f>974.5+(547.8-409.1)+(-1.98798+(-1.117512--0.834564))+0-190.2--0.388007999999992</f>
        <v>921.11707999999987</v>
      </c>
      <c r="U334" s="3">
        <f>971.5+(515.1-390.4)+(-0.495465+(-0.262701--0.199104))+0-186--0.0948599999999811</f>
        <v>909.73579799999993</v>
      </c>
      <c r="V334" s="3">
        <f>972.1+(501.8-369.9)+(-0.495771+(-0.255918--0.188649))+0-188.2--0.0959819999999809</f>
        <v>915.33294199999989</v>
      </c>
      <c r="W334" s="3">
        <f>956+(530.3-352)+(-0.97512+(-0.540906--0.35904))+0-192.2--0.196044000000031</f>
        <v>941.13905799999998</v>
      </c>
      <c r="X334" s="3">
        <f>959.5+(529.8-315.3)+(0+(0-0))+0-190.7-0</f>
        <v>983.3</v>
      </c>
      <c r="Y334" s="3">
        <f>955.9+(488.9-304.2)+(0.487509+(0.249339-0.155142))+0-191.4-0.0976139999999806</f>
        <v>949.68409199999985</v>
      </c>
      <c r="Z334" s="3">
        <f>955.1+(463.2-313.3)+(-0.974202+(-0.472464--0.319566))+0-193.1--0.196962000000031</f>
        <v>910.96986200000003</v>
      </c>
      <c r="AA334" s="3">
        <f>962.9+(456.8-341.6)+(-2.455395+(-1.16484--0.87108))+0-190.3--0.485264999999972</f>
        <v>885.53611000000001</v>
      </c>
      <c r="AB334" s="3">
        <f>957+(416-334.2)+(-0.97614+(-0.42432--0.340884))+0-190.9--0.19471800000003</f>
        <v>847.03514199999995</v>
      </c>
      <c r="AC334" s="3">
        <f>962.4+(427.6-392.6)+(-1.963296+(-0.872304--0.800904))+0-192--0.391679999999992</f>
        <v>803.75698399999987</v>
      </c>
      <c r="AD334">
        <v>961.40000000000009</v>
      </c>
      <c r="AE334" s="3">
        <f>960+(510.7-309)+(0+(0-0))+0-186.3-0</f>
        <v>975.40000000000009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960+(344.7-350.1)+(-2.448+(-0.878985--0.892755))+0-190.2--0.485009999999972</f>
        <v>762.45078000000001</v>
      </c>
      <c r="G335" s="3">
        <f>944+(284.8-303.7)+(-2.4072+(-0.72624--0.774435))+0-191.4--0.488069999999972</f>
        <v>731.82906500000001</v>
      </c>
      <c r="H335" s="3">
        <f>928.5+(322.9-342.1)+(-1.89414+(-0.658716--0.697884))+0-187.2--0.381887999999992</f>
        <v>720.62691600000005</v>
      </c>
      <c r="I335" s="3">
        <f>926.9+(349.6-375.7)+(-1.890876+(-0.713184--0.766428))+0-187--0.381479999999992</f>
        <v>712.34384799999998</v>
      </c>
      <c r="J335" s="3">
        <f>929.8+(378.9-403.1)+(0.474198+(0.193239-0.205581))+0-187.8-0.0957779999999809</f>
        <v>718.16607799999986</v>
      </c>
      <c r="K335" s="3">
        <f>929.8+(446.9-449.6)+(1.896792+(0.911676-0.917184))+0-186.4-0.380255999999992</f>
        <v>742.21102799999994</v>
      </c>
      <c r="L335" s="3">
        <f>932.5+(490.6-440.2)+(-2.377875+(-1.25103--1.12251))+0-178.8--0.455939999999974</f>
        <v>802.04954499999997</v>
      </c>
      <c r="M335" s="3">
        <f>927.3+(561.1-445)+(0.945846+(0.572322-0.4539))+0-183.7-0.187374000000029</f>
        <v>860.57689400000015</v>
      </c>
      <c r="N335" s="3">
        <f>926.7+(548.5-403.4)+(0+(0-0))+0-187.3-0</f>
        <v>884.50000000000023</v>
      </c>
      <c r="O335" s="3">
        <f>935.3+(530.6-385.7)+(-0.477003+(-0.270606--0.196707))+0-184.6--0.0941459999999813</f>
        <v>895.1432440000001</v>
      </c>
      <c r="P335" s="3">
        <f>963.9+(477.6-335.2)+(-2.457945+(-1.21788--0.85476))+0-186.8--0.476339999999973</f>
        <v>917.15527499999985</v>
      </c>
      <c r="Q335" s="3">
        <f>969+(502.5-352.2)+(0.98838+(0.51255-0.359244))+0-181.6-0.185232000000029</f>
        <v>938.65645399999983</v>
      </c>
      <c r="R335" s="3">
        <f>991.2+(486.3-380.9)+(-2.52756+(-1.240065--0.971295))+0-176.6--0.450329999999974</f>
        <v>917.65400000000022</v>
      </c>
      <c r="S335" s="3">
        <f>1028.8+(454.6-389.8)+(-2.62344+(-1.15923--0.99399))+0-175.3--0.447014999999975</f>
        <v>915.95833499999981</v>
      </c>
      <c r="T335" s="3">
        <f>1052.1+(423.8-400.4)+(-0.536571+(-0.216138--0.204204))+0-165--0.0841499999999833</f>
        <v>910.03564500000005</v>
      </c>
      <c r="U335" s="3">
        <f>1119.5+(395.9-450.8)+(0+(0-0))+0-164.5-0</f>
        <v>900.09999999999991</v>
      </c>
      <c r="V335" s="3">
        <f>1126.1+(398.5-450.9)+(-1.148622+(-0.40647--0.459918))+0-160.1--0.163302000000026</f>
        <v>912.6681279999998</v>
      </c>
      <c r="W335" s="3">
        <f>1133+(423.5-458.7)+(0.57783+(0.215985-0.233937))+0-154.8-0.0789479999999843</f>
        <v>943.48093000000006</v>
      </c>
      <c r="X335" s="3">
        <f>1139.4+(401.7-388.8)+(-0.581094+(-0.204867--0.198288))+0-166.5--0.0849149999999831</f>
        <v>985.29724200000021</v>
      </c>
      <c r="Y335" s="3">
        <f>1138.4+(362.7-372)+(-0.580584+(-0.184977--0.18972))+0-173.5--0.0884849999999824</f>
        <v>955.11264400000005</v>
      </c>
      <c r="Z335" s="3">
        <f>1146.1+(342.9-386.2)+(-2.338044+(-0.699516--0.787848))+0-179.8--0.366791999999992</f>
        <v>921.11707999999999</v>
      </c>
      <c r="AA335" s="3">
        <f>1139.5+(357.3-417.8)+(0.581145+(0.182223-0.213078))+0-178.9-0.0912389999999818</f>
        <v>900.55905099999995</v>
      </c>
      <c r="AB335" s="3">
        <f>1134.6+(311.9-409)+(-2.314584+(-0.636276--0.83436))+0-178.6--0.364343999999992</f>
        <v>857.14784399999985</v>
      </c>
      <c r="AC335" s="3">
        <f>1114.7+(304.5-426.5)+(-2.842485+(-0.776475--1.087575))+0-179.1--0.456704999999974</f>
        <v>811.52531999999997</v>
      </c>
      <c r="AD335">
        <v>971.5999999999998</v>
      </c>
      <c r="AE335" s="3">
        <f>1133+(403.6-385.4)+(0+(0-0))+0-164.6-0</f>
        <v>986.6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1115.2+(247.9-423.5)+(-1.706256+(-0.379287--0.647955))+0-176.1--0.26943300000001</f>
        <v>762.33184500000004</v>
      </c>
      <c r="G336" s="3">
        <f>1095.1+(231.9-416.1)+(-2.234004+(-0.473076--0.848844))+0-176.6--0.360263999999992</f>
        <v>732.80202799999984</v>
      </c>
      <c r="H336" s="3">
        <f>1082.5+(225.4-416.3)+(1.10415+(0.229908-0.424626))+0-174.6-0.178092000000028</f>
        <v>717.73134000000005</v>
      </c>
      <c r="I336" s="3">
        <f>1083.5+(218.3-409.4)+(-1.657755+(-0.333999--0.626382))+0-180.5--0.27616500000001</f>
        <v>710.8107930000001</v>
      </c>
      <c r="J336" s="3">
        <f>1088.7+(207.9-393.3)+(-0.555237+(-0.106029--0.200583))+0-178.3--0.0909329999999819</f>
        <v>724.63024999999993</v>
      </c>
      <c r="K336" s="3">
        <f>1105.3+(252.2-423.5)+(1.127406+(0.257244-0.43197))+0-178.5-0.182070000000028</f>
        <v>756.27060999999992</v>
      </c>
      <c r="L336" s="3">
        <f>1109.8+(309.7-426)+(0.565998+(0.157947-0.21726))+0-175.3-0.0894029999999822</f>
        <v>818.61728199999993</v>
      </c>
      <c r="M336" s="3">
        <f>1109+(328.8-385)+(0.56559+(0.167688-0.19635))+0-182.7-0.0931769999999815</f>
        <v>870.54375099999993</v>
      </c>
      <c r="N336" s="3">
        <f>1113.6+(361.8-375.7)+(-0.567936+(-0.184518--0.191607))+0-184.3--0.0939929999999813</f>
        <v>914.93314599999985</v>
      </c>
      <c r="O336" s="3">
        <f>1100.7+(409.7-379.1)+(-0.561357+(-0.208947--0.193341))+0-183.4--0.0935339999999814</f>
        <v>947.41657099999998</v>
      </c>
      <c r="P336" s="3">
        <f>1093.8+(400.1-362.9)+(0.557838+(0.204051-0.185079))+0-172.1-0.0877709999999825</f>
        <v>959.38903900000003</v>
      </c>
      <c r="Q336" s="3">
        <f>1077.7+(433.7-382.8)+(-1.099254+(-0.442374--0.390456))+0-170.3--0.173706000000027</f>
        <v>957.32253399999991</v>
      </c>
      <c r="R336" s="3">
        <f>1072.2+(450.3-397.9)+(-2.187288+(-0.918612--0.811716))+0-180.4--0.368015999999992</f>
        <v>942.27383200000008</v>
      </c>
      <c r="S336" s="3">
        <f>1062.8+(442.8-400)+(-1.626084+(-0.677484--0.612))+0-177.8--0.27203400000001</f>
        <v>926.38046599999996</v>
      </c>
      <c r="T336" s="3">
        <f>1061.3+(418-383.9)+(0.541263+(0.21318-0.195789))+0-183.1-0.0933809999999814</f>
        <v>912.76527299999998</v>
      </c>
      <c r="U336" s="3">
        <f>1073.8+(387.4-369.9)+(-2.190552+(-0.790296--0.754596))+0-183.3--0.373931999999992</f>
        <v>906.14768000000004</v>
      </c>
      <c r="V336" s="3">
        <f>1092.1+(384.6-375.1)+(0+(0-0))+0-187.3-0</f>
        <v>914.3</v>
      </c>
      <c r="W336" s="3">
        <f>1100.5+(383.9-356.8)+(-0.561255+(-0.195789--0.181968))+0-191.1--0.0974609999999806</f>
        <v>936.02238499999976</v>
      </c>
      <c r="X336" s="3">
        <f>1117.7+(412.8-363.2)+(-0.570027+(-0.210528--0.185232))+0-191.6--0.0977159999999806</f>
        <v>975.20239300000014</v>
      </c>
      <c r="Y336" s="3">
        <f>1106.5+(396.1-357.7)+(-1.692945+(-0.606033--0.547281))+0-188.7--0.288711000000011</f>
        <v>954.73701400000016</v>
      </c>
      <c r="Z336" s="3">
        <f>1078+(396-369.3)+(-2.7489+(-1.0098--0.941715))+0-179.9--0.458744999999974</f>
        <v>922.44176000000016</v>
      </c>
      <c r="AA336" s="3">
        <f>1079.6+(366-346.4)+(0.550596+(0.18666-0.176664))+0-188.8-0.0962879999999808</f>
        <v>910.86430399999995</v>
      </c>
      <c r="AB336" s="3">
        <f>1089.4+(321.6-352.4)+(-2.222376+(-0.656064--0.718896))+0-187.9--0.383315999999992</f>
        <v>868.9237720000001</v>
      </c>
      <c r="AC336" s="3">
        <f>1100.1+(267.1-352.4)+(-2.244204+(-0.544884--0.718896))+0-191.3--0.390251999999992</f>
        <v>821.8200599999999</v>
      </c>
      <c r="AD336">
        <v>950.8</v>
      </c>
      <c r="AE336" s="3">
        <f>1115+(416.3-376)+(0+(0-0))+0-189.5-0</f>
        <v>965.8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1097.8+(217.5-340.4)+(-2.239512+(-0.4437--0.694416))+0-188.3--0.384131999999992</f>
        <v>784.99533600000007</v>
      </c>
      <c r="G337" s="3">
        <f>1104+(220.9-362.8)+(-1.68912+(-0.337977--0.555084))+0-186--0.284580000000011</f>
        <v>774.91256700000008</v>
      </c>
      <c r="H337" s="3">
        <f>1105.9+(201.5-375.8)+(-1.128018+(-0.20553--0.383316))+0-184.1--0.187782000000029</f>
        <v>746.73755000000017</v>
      </c>
      <c r="I337" s="3">
        <f>1103.2+(196.7-362.2)+(-1.125264+(-0.200634--0.369444))+0-187--0.19074000000003</f>
        <v>749.93428600000004</v>
      </c>
      <c r="J337" s="3">
        <f>1108.1+(206.1-376.8)+(1.130262+(0.210222-0.384336))+0-185.1-0.18880200000003</f>
        <v>753.06734599999982</v>
      </c>
      <c r="K337" s="3">
        <f>1122.2+(229.6-397.5)+(1.716966+(0.351288-0.608175))+0-183.9-0.281367000000011</f>
        <v>771.578712</v>
      </c>
      <c r="L337" s="3">
        <f>1124.3+(320.5-435.4)+(1.146786+(0.32691-0.444108))+0-181.9-0.185538000000029</f>
        <v>828.34404999999992</v>
      </c>
      <c r="M337" s="3">
        <f>1127.6+(338.1-389.2)+(-0.575076+(-0.172431--0.198492))+0-185.5--0.0946049999999812</f>
        <v>890.54558999999995</v>
      </c>
      <c r="N337" s="3">
        <f>1127.5+(337.3-353.2)+(1.725075+(0.516069-0.540396))+0-188-0.287640000000011</f>
        <v>925.01310799999987</v>
      </c>
      <c r="O337" s="3">
        <f>1120.8+(354.1-338.4)+(1.143216+(0.361182-0.345168))+0-188.5-0.19227000000003</f>
        <v>948.96695999999997</v>
      </c>
      <c r="P337" s="3">
        <f>1109.5+(356.1-326.1)+(1.13169+(0.363222-0.332622))+0-191.6-0.195432000000031</f>
        <v>948.86685799999998</v>
      </c>
      <c r="Q337" s="3">
        <f>1112.8+(353.5-324.8)+(-0.567528+(-0.180285--0.165648))+0-187.5--0.095624999999981</f>
        <v>953.5134599999999</v>
      </c>
      <c r="R337" s="3">
        <f>1162.6+(316.6-349.5)+(-1.778778+(-0.484398--0.534735))+0-185.5--0.283815000000011</f>
        <v>942.75537399999985</v>
      </c>
      <c r="S337" s="3">
        <f>1255.1+(277.2-410.3)+(0.640101+(0.141372-0.209253))+0-186-0.0948599999999811</f>
        <v>936.47736000000009</v>
      </c>
      <c r="T337" s="3">
        <f>1188.1+(301-372.6)+(-0.605931+(-0.15351--0.190026))+0-185--0.0943499999999812</f>
        <v>931.02493500000003</v>
      </c>
      <c r="U337" s="3">
        <f>1174+(259.2-324.8)+(-2.39496+(-0.528768--0.662592))+0-182.8--0.372911999999992</f>
        <v>923.7117760000001</v>
      </c>
      <c r="V337" s="3">
        <f>1177.5+(255.8-348.3)+(0.600525+(0.130458-0.177633))+0-174.5-0.0889949999999823</f>
        <v>910.96435499999995</v>
      </c>
      <c r="W337" s="3">
        <f>1179+(283.6-359.7)+(0+(0-0))+0-164.4-0</f>
        <v>938.50000000000011</v>
      </c>
      <c r="X337" s="3">
        <f>1189.6+(334.5-352.2)+(-1.213392+(-0.34119--0.359244))+0-168.7--0.172074000000027</f>
        <v>1002.1767359999999</v>
      </c>
      <c r="Y337" s="3">
        <f>1196+(323.6-357.1)+(-4.26972+(-1.155252--1.274847))+0-177.7--0.634389000000002</f>
        <v>981.28426400000012</v>
      </c>
      <c r="Z337" s="3">
        <f>1200.4+(266.3-340.2)+(-2.448816+(-0.543252--0.694008))+0-181.3--0.369851999999992</f>
        <v>943.271792</v>
      </c>
      <c r="AA337" s="3">
        <f>1201.8+(250.2-329.1)+(-3.677508+(-0.765612--1.007046))+0-181.9--0.556614000000021</f>
        <v>938.12053999999989</v>
      </c>
      <c r="AB337" s="3">
        <f>1207.5+(207.8-341.1)+(-1.23165+(-0.211956--0.347922))+0-177.2--0.180744000000028</f>
        <v>896.08506000000011</v>
      </c>
      <c r="AC337" s="3">
        <f>1137.3+(210.9-318.1)+(-2.320092+(-0.430236--0.648924))+0-179.2--0.365567999999992</f>
        <v>849.1641639999998</v>
      </c>
      <c r="AD337">
        <v>988.1</v>
      </c>
      <c r="AE337" s="3">
        <f>1182+(342.5-353)+(0+(0-0))+0-169.4-0</f>
        <v>1002.1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993+(256.8-261.7)+(-1.51929+(-0.392904--0.400401))+0-180--0.27540000000001</f>
        <v>806.863607</v>
      </c>
      <c r="G338" s="3">
        <f>991.6+(233.6-269.1)+(-0.505716+(-0.119136--0.137241))+0-177.3--0.090422999999982</f>
        <v>778.40281199999993</v>
      </c>
      <c r="H338" s="3">
        <f>992.4+(270.6-326.5)+(-2.53062+(-0.69003--0.832575))+0-178.2--0.454409999999974</f>
        <v>756.36633500000005</v>
      </c>
      <c r="I338" s="3">
        <f>994.1+(268.4-330.1)+(-1.013982+(-0.273768--0.336702))+0-179.8--0.183396000000029</f>
        <v>751.83234800000002</v>
      </c>
      <c r="J338" s="3">
        <f>993.7+(281.2-335.4)+(-2.027148+(-0.573648--0.684216))+0-179.8--0.366791999999992</f>
        <v>758.15021200000001</v>
      </c>
      <c r="K338" s="3">
        <f>989.8+(298.7-322.3)+(0+(0-0))+0-174.6-0</f>
        <v>791.59999999999991</v>
      </c>
      <c r="L338" s="3">
        <f>997+(344.4-309.8)+(-2.03388+(-0.702576--0.631992))+0-173.1--0.353123999999992</f>
        <v>856.74865999999986</v>
      </c>
      <c r="M338" s="3">
        <f>998.5+(386.6-306.3)+(-0.509235+(-0.197166--0.156213))+0-173.5--0.0884849999999824</f>
        <v>904.83829700000001</v>
      </c>
      <c r="N338" s="3">
        <f>990.9+(414.2-316.1)+(2.021436+(0.844968-0.644844))+0-157.1-0.320483999999993</f>
        <v>933.80107599999997</v>
      </c>
      <c r="O338" s="3">
        <f>984.9+(429-309.6)+(0.502299+(0.21879-0.157896))+0-149.7-0.0763469999999848</f>
        <v>955.08684599999992</v>
      </c>
      <c r="P338" s="3">
        <f>946.3+(438.9-274.2)+(0+(0-0))+0-137-0</f>
        <v>974</v>
      </c>
      <c r="Q338" s="3">
        <f>989.4+(432-299.5)+(-2.018376+(-0.88128--0.61098))+0-134.4--0.274175999999994</f>
        <v>985.48550000000023</v>
      </c>
      <c r="R338" s="3">
        <f>1009.1+(448.7-335.9)+(-2.573205+(-1.144185--0.856545))+0-133.5--0.340424999999981</f>
        <v>985.87958000000015</v>
      </c>
      <c r="S338" s="3">
        <f>1009.9+(431.2-323)+(-1.545147+(-0.659736--0.49419))+0-135.6--0.207468000000008</f>
        <v>980.99677499999996</v>
      </c>
      <c r="T338" s="3">
        <f>1013.8+(426.1-325.7)+(-1.551114+(-0.651933--0.498321))+0-145.8--0.223074000000008</f>
        <v>966.91834800000015</v>
      </c>
      <c r="U338" s="3">
        <f>1019.6+(422.8-327.1)+(-1.559988+(-0.646884--0.500463))+0-151.2--0.231336000000009</f>
        <v>962.62492700000007</v>
      </c>
      <c r="V338" s="3">
        <f>1016.5+(437.5-311.8)+(1.03683+(0.44625-0.318036))+0-156.8-0.159936000000025</f>
        <v>986.40510800000015</v>
      </c>
      <c r="W338" s="3">
        <f>1027.2+(458.6-305.8)+(0.523872+(0.233886-0.155958))+0-160.5-0.0818549999999837</f>
        <v>1020.0199449999999</v>
      </c>
      <c r="X338" s="3">
        <f>1025.2+(504.8-310.5)+(0+(0-0))+0-154.6-0</f>
        <v>1064.9000000000001</v>
      </c>
      <c r="Y338" s="3">
        <f>1026.1+(488.9-324.7)+(-2.616555+(-1.246695--0.827985))+0-146.3--0.373064999999979</f>
        <v>1041.3378</v>
      </c>
      <c r="Z338" s="3">
        <f>1000.3+(466-313)+(0+(0-0))+0-147.3-0</f>
        <v>1006</v>
      </c>
      <c r="AA338" s="3">
        <f>1006.2+(447.1-308.4)+(-1.539486+(-0.684063--0.471852))+0-156.2--0.238986000000009</f>
        <v>987.18728900000008</v>
      </c>
      <c r="AB338" s="3">
        <f>1013.8+(416.2-344.9)+(-1.551114+(-0.636786--0.527697))+0-165.5--0.25321500000001</f>
        <v>918.19301199999995</v>
      </c>
      <c r="AC338" s="3">
        <f>1027+(400.5-381)+(-1.04754+(-0.40851--0.38862))+0-174--0.177480000000028</f>
        <v>871.61005</v>
      </c>
      <c r="AD338">
        <v>1035.5</v>
      </c>
      <c r="AE338" s="3">
        <f>1014+(504.2-320.1)+(0+(0-0))+0-148.6-0</f>
        <v>1049.5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987.4+(418-406.4)+(-1.510722+(-0.63954--0.621792))+0-179.3--0.27432900000001</f>
        <v>818.44585900000004</v>
      </c>
      <c r="G339" s="3">
        <f>970.3+(441.1-432.9)+(0+(0-0))+0-179.9-0</f>
        <v>798.6</v>
      </c>
      <c r="H339" s="3">
        <f>969.3+(441.9-444.7)+(-1.483029+(-0.676107--0.680391))+0-180.7--0.27647100000001</f>
        <v>784.59772600000008</v>
      </c>
      <c r="I339" s="3">
        <f>972.3+(437.9-449)+(0.495873+(0.223329-0.22899))+0-180.3-0.0919529999999817</f>
        <v>781.29825900000003</v>
      </c>
      <c r="J339" s="3">
        <f>972.9+(471-475.3)+(-0.496179+(-0.24021--0.242403))+0-179.8--0.0916979999999818</f>
        <v>788.39771199999996</v>
      </c>
      <c r="K339" s="3">
        <f>993.9+(462.6-466)+(1.520667+(0.707778-0.71298))+0-185.9-0.284427000000011</f>
        <v>805.83103799999992</v>
      </c>
      <c r="L339" s="3">
        <f>981.1+(458.3-396.6)+(-0.500361+(-0.233733--0.202266))+0-186.7--0.0952169999999811</f>
        <v>855.66338899999994</v>
      </c>
      <c r="M339" s="3">
        <f>935.9+(526.1-364.6)+(0.477309+(0.268311-0.185946))+0-183.7-0.0936869999999814</f>
        <v>914.1659870000002</v>
      </c>
      <c r="N339" s="3">
        <f>939.4+(518.6-334.9)+(-0.479094+(-0.264486--0.170799))+0-176.5--0.0900149999999821</f>
        <v>946.11723399999983</v>
      </c>
      <c r="O339" s="3">
        <f>952.6+(493-317.4)+(-0.485826+(-0.25143--0.161874))+0-163--0.0831299999999835</f>
        <v>964.70774800000004</v>
      </c>
      <c r="P339" s="3">
        <f>1003.7+(471.1-329.2)+(0+(0-0))+0-160.2-0</f>
        <v>985.40000000000009</v>
      </c>
      <c r="Q339" s="3">
        <f>1018+(439.8-314.8)+(-1.03836+(-0.448596--0.321096))+0-156.7--0.159834000000025</f>
        <v>985.29397399999993</v>
      </c>
      <c r="R339" s="3">
        <f>1012.9+(444.4-298.4)+(-2.066316+(-0.906576--0.608736))+0-159.4--0.325175999999993</f>
        <v>997.46101999999996</v>
      </c>
      <c r="S339" s="3">
        <f>1001.1+(429.6-270.9)+(-1.531683+(-0.657288--0.414477))+0-157.4--0.240822000000009</f>
        <v>1000.8663280000002</v>
      </c>
      <c r="T339" s="3">
        <f>1004+(419.4-278)+(-2.04816+(-0.855576--0.56712))+0-157.2--0.320687999999993</f>
        <v>986.18407200000001</v>
      </c>
      <c r="U339" s="3">
        <f>1009.1+(398.9-270.1)+(-1.543923+(-0.610317--0.413253))+0-152.2--0.232866000000009</f>
        <v>984.1918790000002</v>
      </c>
      <c r="V339" s="3">
        <f>1012.5+(389.7-270.5)+(-1.03275+(-0.397494--0.27591))+0-154.1--0.157182000000025</f>
        <v>976.60284799999999</v>
      </c>
      <c r="W339" s="3">
        <f>1008.6+(432.7-275.8)+(-1.028772+(-0.441354--0.281316))+0-159.2--0.162384000000025</f>
        <v>1005.2735739999998</v>
      </c>
      <c r="X339" s="3">
        <f>1015.9+(519.5-307.5)+(-1.554327+(-0.794835--0.470475))+0-164.1--0.251073000000009</f>
        <v>1062.1723860000002</v>
      </c>
      <c r="Y339" s="3">
        <f>1018+(475.1-296.3)+(-1.03836+(-0.484602--0.302226))+0-168--0.171360000000027</f>
        <v>1027.750624</v>
      </c>
      <c r="Z339" s="3">
        <f>1024.9+(414-283.3)+(-3.136194+(-1.26684--0.866898))+0-163.4--0.500004000000019</f>
        <v>989.16386800000021</v>
      </c>
      <c r="AA339" s="3">
        <f>1030.8+(375.9-273.3)+(-1.051416+(-0.383418--0.278766))+0-158.2--0.161364000000025</f>
        <v>974.20529599999986</v>
      </c>
      <c r="AB339" s="3">
        <f>1028.3+(351.5-290.3)+(-2.622165+(-0.896325--0.740265))+0-163.6--0.417179999999976</f>
        <v>923.53895499999999</v>
      </c>
      <c r="AC339" s="3">
        <f>1021.5+(327.1-307.7)+(-2.08386+(-0.667284--0.627708))+0-166.5--0.339659999999993</f>
        <v>872.61622399999999</v>
      </c>
      <c r="AD339">
        <v>1041.5999999999999</v>
      </c>
      <c r="AE339" s="3">
        <f>1011+(512.2-300.6)+(0+(0-0))+0-166-0</f>
        <v>1056.5999999999999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1006.4+(367.8-373.7)+(-1.026528+(-0.375156--0.381174))+0-168.8--0.172176000000027</f>
        <v>830.85166600000002</v>
      </c>
      <c r="G340" s="3">
        <f>1012.2+(336.7-373.2)+(0+(0-0))+0-173.9-0</f>
        <v>801.80000000000007</v>
      </c>
      <c r="H340" s="3">
        <f>1008+(299.5-338.2)+(-0.51408+(-0.152745--0.172482))+0-181.4--0.0925139999999816</f>
        <v>787.49817099999996</v>
      </c>
      <c r="I340" s="3">
        <f>980.7+(325.9-337.4)+(2.000628+(0.664836-0.688296))+0-183.5-0.374339999999992</f>
        <v>787.30282800000009</v>
      </c>
      <c r="J340" s="3">
        <f>979.4+(335.7-340.7)+(1.498482+(0.513621-0.521271))+0-183.6-0.280908000000011</f>
        <v>792.00992399999984</v>
      </c>
      <c r="K340" s="3">
        <f>982.7+(347.1-340.9)+(2.505885+(0.885105-0.869295))+0-182.1-0.464354999999974</f>
        <v>808.85734000000014</v>
      </c>
      <c r="L340" s="3">
        <f>977.6+(351.7-297)+(-0.498576+(-0.179367--0.15147))+0-181.1--0.0923609999999816</f>
        <v>850.76588800000002</v>
      </c>
      <c r="M340" s="3">
        <f>987.2+(395.5-276.8)+(0+(0-0))+0-187.7-0</f>
        <v>918.2</v>
      </c>
      <c r="N340" s="3">
        <f>1020.3+(440.6-314.2)+(2.081412+(0.898824-0.640968))+0-185.6-0.378623999999992</f>
        <v>963.06064400000002</v>
      </c>
      <c r="O340" s="3">
        <f>1021.6+(441.4-288.1)+(1.042032+(0.450228-0.293862))+0-183.6-0.187272000000029</f>
        <v>992.31112600000006</v>
      </c>
      <c r="P340" s="3">
        <f>1114.2+(400.2-337.4)+(0+(0-0))+0-189-0</f>
        <v>988</v>
      </c>
      <c r="Q340" s="3">
        <f>1034.3+(432-277.7)+(1.582479+(0.66096-0.424881))+0-181.6-0.27784800000001</f>
        <v>1008.5407099999998</v>
      </c>
      <c r="R340" s="3">
        <f>988.1+(446.4-252.2)+(-3.023586+(-1.365984--0.771732))+0-177.1--0.54192600000002</f>
        <v>1002.124088</v>
      </c>
      <c r="S340" s="3">
        <f>983.5+(430.2-250.3)+(-3.00951+(-1.316412--0.765918))+0-179.2--0.548352000000021</f>
        <v>981.18834800000013</v>
      </c>
      <c r="T340" s="3">
        <f>978.5+(407.3-234.2)+(-0.99807+(-0.415446--0.238884))+0-186.2--0.18992400000003</f>
        <v>964.41529199999991</v>
      </c>
      <c r="U340" s="3">
        <f>977.5+(400.4-234.2)+(-2.492625+(-1.02102--0.59721))+0-188.6--0.480929999999973</f>
        <v>952.66449499999987</v>
      </c>
      <c r="V340" s="3">
        <f>975.8+(426.9-248.3)+(-0.995316+(-0.435438--0.253266))+0-191.2--0.19502400000003</f>
        <v>962.21753599999977</v>
      </c>
      <c r="W340" s="3">
        <f>979.6+(444.1-243.3)+(0+(0-0))+0-192.8-0</f>
        <v>987.60000000000014</v>
      </c>
      <c r="X340" s="3">
        <f>1006.9+(487.5-255.6)+(0+(0-0))+0-191.4-0</f>
        <v>1047.3999999999999</v>
      </c>
      <c r="Y340" s="3">
        <f>1015.5+(443.3-254.5)+(-1.03581+(-0.452166--0.25959))+0-191.8--0.195636000000031</f>
        <v>1011.46725</v>
      </c>
      <c r="Z340" s="3">
        <f>1008.2+(416.6-263.6)+(-2.056728+(-0.849864--0.537744))+0-185.7--0.378827999999992</f>
        <v>973.50997999999993</v>
      </c>
      <c r="AA340" s="3">
        <f>1009.5+(399.4-265.3)+(0+(0-0))+0-185-0</f>
        <v>958.59999999999991</v>
      </c>
      <c r="AB340" s="3">
        <f>1016.7+(410.9-319.5)+(-2.074068+(-0.838236--0.65178))+0-182.1--0.371483999999992</f>
        <v>924.11095999999986</v>
      </c>
      <c r="AC340" s="3">
        <f>1019.4+(397.5-337.6)+(-1.039788+(-0.40545--0.344352))+0-193.5--0.197370000000031</f>
        <v>884.89648399999999</v>
      </c>
      <c r="AD340">
        <v>1014.9000000000001</v>
      </c>
      <c r="AE340" s="3">
        <f>1006+(470.2-256.5)+(0+(0-0))+0-190.8-0</f>
        <v>1028.9000000000001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1023+(362.1-352.1)+(-1.04346+(-0.369342--0.359142))+0-187.6--0.19135200000003</f>
        <v>844.53769199999999</v>
      </c>
      <c r="G341" s="3">
        <f>1027.7+(355.4-377.9)+(-0.524127+(-0.181254--0.192729))+0-189.6--0.0966959999999808</f>
        <v>815.18404399999997</v>
      </c>
      <c r="H341" s="3">
        <f>1023.7+(332-369.3)+(1.566261+(0.50796-0.565029))+0-190-0.290700000000011</f>
        <v>797.61849200000006</v>
      </c>
      <c r="I341" s="3">
        <f>1025.9+(325.6-371.3)+(-1.569627+(-0.498168--0.568089))+0-187.9--0.287487000000011</f>
        <v>791.08778100000018</v>
      </c>
      <c r="J341" s="3">
        <f>1029.3+(309.4-362.3)+(-0.524943+(-0.157794--0.184773))+0-183.7--0.0936869999999814</f>
        <v>792.29572299999984</v>
      </c>
      <c r="K341" s="3">
        <f>1030.7+(309.1-351.6)+(0+(0-0))+0-182.5-0</f>
        <v>805.7</v>
      </c>
      <c r="L341" s="3">
        <f>1024.4+(321.2-341.3)+(-2.089776+(-0.655248--0.696252))+0-182.1--0.371483999999992</f>
        <v>820.52271200000007</v>
      </c>
      <c r="M341" s="3">
        <f>1019.5+(351.3-308.7)+(-0.519945+(-0.179163--0.157437))+0-185.9--0.0948089999999811</f>
        <v>875.75313799999992</v>
      </c>
      <c r="N341" s="3">
        <f>1010.4+(390.7-295.5)+(-0.515304+(-0.199257--0.150705))+0-187.5--0.095624999999981</f>
        <v>917.63176899999985</v>
      </c>
      <c r="O341" s="3">
        <f>997.9+(425.9-287.5)+(0+(0-0))+0-184.3-0</f>
        <v>952</v>
      </c>
      <c r="P341" s="3">
        <f>989.8+(450.6-288.4)+(0.504798+(0.229806-0.147084))+0-175.9-0.0897089999999822</f>
        <v>976.59781100000009</v>
      </c>
      <c r="Q341" s="3">
        <f>982.5+(471.7-289.8)+(-2.0043+(-0.962268--0.591192))+0-172.6--0.352103999999992</f>
        <v>989.77672800000005</v>
      </c>
      <c r="R341" s="3">
        <f>971.2+(466.4-289.2)+(-1.485936+(-0.713592--0.442476))+0-171.3--0.26208900000001</f>
        <v>975.60503700000027</v>
      </c>
      <c r="S341" s="3">
        <f>968.2+(419.3-250.8)+(-1.481346+(-0.641529--0.383724))+0-175.8--0.26897400000001</f>
        <v>959.42982300000006</v>
      </c>
      <c r="T341" s="3">
        <f>963.3+(417.1-260.5)+(-1.473849+(-0.638163--0.398565))+0-170.5--0.26086500000001</f>
        <v>947.94741799999997</v>
      </c>
      <c r="U341" s="3">
        <f>965.4+(400-239)+(-0.984708+(-0.408--0.24378))+0-183.6--0.187272000000029</f>
        <v>941.83834400000001</v>
      </c>
      <c r="V341" s="3">
        <f>967+(415-242.9)+(0+(0-0))+0-190-0</f>
        <v>949.09999999999991</v>
      </c>
      <c r="W341" s="3">
        <f>968.6+(477.8-271.1)+(-0.987972+(-0.487356--0.276522))+0-195.2--0.199104000000031</f>
        <v>979.10029799999984</v>
      </c>
      <c r="X341" s="3">
        <f>975.2+(548.4-284.9)+(0+(0-0))+0-193.9-0</f>
        <v>1044.8</v>
      </c>
      <c r="Y341" s="3">
        <f>985.8+(498-273.5)+(0+(0-0))+0-190.9-0</f>
        <v>1019.4</v>
      </c>
      <c r="Z341" s="3">
        <f>990.9+(413.6-227.5)+(-0.505359+(-0.210936--0.116025))+0-193.2--0.0985319999999804</f>
        <v>983.29826200000002</v>
      </c>
      <c r="AA341" s="3">
        <f>971.8+(390.1-213.3)+(0+(0-0))+0-196.5-0</f>
        <v>952.09999999999991</v>
      </c>
      <c r="AB341" s="3">
        <f>945.2+(376.2-220.3)+(-2.41026+(-0.95931--0.561765))+0-195.5--0.498524999999972</f>
        <v>903.29071999999996</v>
      </c>
      <c r="AC341" s="3">
        <f>991.8+(326.3-270.9)+(-2.023272+(-0.665652--0.552636))+0-194--0.395759999999992</f>
        <v>851.45947200000012</v>
      </c>
      <c r="AD341">
        <v>998.90000000000009</v>
      </c>
      <c r="AE341" s="3">
        <f>972+(529-295.6)+(0+(0-0))+0-191.5-0</f>
        <v>1013.9000000000001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988.8+(301.5-283.9)+(0+(0-0))+0-191.5-0</f>
        <v>814.9</v>
      </c>
      <c r="G342" s="3">
        <f>991.2+(287.4-294.2)+(0.505512+(0.146574-0.150042))+0-191-0.0974099999999806</f>
        <v>793.80463400000008</v>
      </c>
      <c r="H342" s="3">
        <f>989.9+(266.7-284.3)+(0+(0-0))+0-190.9-0</f>
        <v>781.4</v>
      </c>
      <c r="I342" s="3">
        <f>988+(255.8-273.7)+(-0.50388+(-0.130458--0.139587))+0-192.3--0.0980729999999805</f>
        <v>777.403322</v>
      </c>
      <c r="J342" s="3">
        <f>992+(269.5-287.5)+(-0.50592+(-0.137445--0.146625))+0-191--0.0974099999999806</f>
        <v>782.60066999999992</v>
      </c>
      <c r="K342" s="3">
        <f>993.3+(316.6-312.6)+(2.026332+(0.645864-0.637704))+0-191-0.389639999999992</f>
        <v>807.94485199999997</v>
      </c>
      <c r="L342" s="3">
        <f>989.2+(357.1-281)+(1.008984+(0.364242-0.28662))+0-190.9-0.19471800000003</f>
        <v>875.2918880000002</v>
      </c>
      <c r="M342" s="3">
        <f>992.8+(401.4-264.9)+(0.506328+(0.204714-0.135099))+0-198.3-0.10113299999998</f>
        <v>931.47481000000005</v>
      </c>
      <c r="N342" s="3">
        <f>980.3+(413.9-240.3)+(0+(0-0))+0-192.4-0</f>
        <v>961.49999999999989</v>
      </c>
      <c r="O342" s="3">
        <f>974.3+(420-238.1)+(0+(0-0))+0-191.5-0</f>
        <v>964.7</v>
      </c>
      <c r="P342" s="3">
        <f>965+(422.8-229.5)+(0.49215+(0.215628-0.117045))+0-189.8-0.0967979999999807</f>
        <v>968.99393499999996</v>
      </c>
      <c r="Q342" s="3">
        <f>965.1+(441-233)+(-1.476603+(-0.67473--0.35649))+0-188.3--0.288099000000011</f>
        <v>983.29325600000004</v>
      </c>
      <c r="R342" s="3">
        <f>1052.2+(408-297.5)+(-1.609866+(-0.62424--0.455175))+0-185.4--0.283662000000011</f>
        <v>975.80473100000006</v>
      </c>
      <c r="S342" s="3">
        <f>1070.5+(370.9-282.6)+(-1.09191+(-0.378318--0.288252))+0-190.3--0.19410600000003</f>
        <v>967.51212999999996</v>
      </c>
      <c r="T342" s="3">
        <f>1065.5+(352.2-260.1)+(0.543405+(0.179622-0.132651))+0-191.2-0.0975119999999806</f>
        <v>966.89286400000003</v>
      </c>
      <c r="U342" s="3">
        <f>1084.8+(365.2-288.6)+(0+(0-0))+0-189.7-0</f>
        <v>971.69999999999982</v>
      </c>
      <c r="V342" s="3">
        <f>1092.2+(349.1-248.4)+(-0.557022+(-0.178041--0.126684))+0-189.9--0.0968489999999807</f>
        <v>1002.4884700000001</v>
      </c>
      <c r="W342" s="3">
        <f>1107.1+(357.9-238.8)+(0+(0-0))+0-191.4-0</f>
        <v>1034.7999999999997</v>
      </c>
      <c r="X342" s="3">
        <f>1114.8+(391.3-258.4)+(0+(0-0))+0-188.9-0</f>
        <v>1058.8</v>
      </c>
      <c r="Y342" s="3">
        <f>1113.2+(358.5-252.5)+(-2.270928+(-0.73134--0.5151))+0-186.5--0.380459999999992</f>
        <v>1030.593292</v>
      </c>
      <c r="Z342" s="3">
        <f>1017.8+(383.8-212.8)+(0.519078+(0.195738-0.108528))+0-186.7-0.0952169999999811</f>
        <v>1002.6110709999999</v>
      </c>
      <c r="AA342" s="3">
        <f>978.9+(387.4-217.5)+(-1.497717+(-0.592722--0.332775))+0-181.9--0.278307000000011</f>
        <v>965.42064300000004</v>
      </c>
      <c r="AB342" s="3">
        <f>973.8+(344.7-240.3)+(-3.476466+(-1.230579--0.857871))+0-155.9--0.556563000000002</f>
        <v>919.00738899999988</v>
      </c>
      <c r="AC342" s="3">
        <f>970.4+(318-254)+(-2.969424+(-0.97308--0.77724))+0-159.9--0.489294000000018</f>
        <v>871.82403000000011</v>
      </c>
      <c r="AD342">
        <v>1040.3</v>
      </c>
      <c r="AE342" s="3">
        <f>1118+(384.6-262.5)+(0+(0-0))+0-184.8-0</f>
        <v>1055.3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971.2+(298.4-287.9)+(0+(0-0))+0-160.8-0</f>
        <v>820.90000000000009</v>
      </c>
      <c r="G343" s="3">
        <f>970.7+(263.9-274.3)+(-1.980228+(-0.538356--0.559572))+0-164.9--0.336395999999993</f>
        <v>793.77738399999998</v>
      </c>
      <c r="H343" s="3">
        <f>975+(300.1-326.5)+(0.49725+(0.153051-0.166515))+0-167.1-0.085220999999983</f>
        <v>781.89856500000008</v>
      </c>
      <c r="I343" s="3">
        <f>969.8+(289.8-313.6)+(-1.483794+(-0.443394--0.479808))+0-175.5--0.26851500000001</f>
        <v>769.32113500000003</v>
      </c>
      <c r="J343" s="3">
        <f>972.3+(303.9-325.7)+(1.487619+(0.464967-0.498321))+0-175.7-0.26882100000001</f>
        <v>775.98544400000003</v>
      </c>
      <c r="K343" s="3">
        <f>974.1+(362.3-368.9)+(1.987164+(0.739092-0.752556))+0-170.8-0.348431999999993</f>
        <v>798.32526800000005</v>
      </c>
      <c r="L343" s="3">
        <f>980.1+(401.2-375.1)+(0+(0-0))+0-164.7-0</f>
        <v>841.5</v>
      </c>
      <c r="M343" s="3">
        <f>982.8+(399.2-377.4)+(-0.501228+(-0.203592--0.192474))+0-159.7--0.0814469999999838</f>
        <v>844.46910099999991</v>
      </c>
      <c r="N343" s="3">
        <f>980.2+(403-388.7)+(-0.999804+(-0.41106--0.396474))+0-151.9--0.154938000000024</f>
        <v>841.74054799999999</v>
      </c>
      <c r="O343" s="3">
        <f>981.7+(377.7-384.7)+(-1.001334+(-0.385254--0.392394))+0-149.4--0.152388000000024</f>
        <v>824.45819400000005</v>
      </c>
      <c r="P343" s="3">
        <f>978.7+(380.8-392.9)+(-2.495685+(-0.97104--1.001895))+0-152.8--0.389639999999978</f>
        <v>811.72481000000005</v>
      </c>
      <c r="Q343" s="3">
        <f>963.8+(385.9-389.4)+(0+(0-0))+0-157.6-0</f>
        <v>802.69999999999993</v>
      </c>
      <c r="R343" s="3">
        <f>960.4+(341.2-359.1)+(-0.489804+(-0.174012--0.183141))+0-165.1--0.0842009999999832</f>
        <v>777.00352599999997</v>
      </c>
      <c r="S343" s="3">
        <f>953.9+(343.2-363.4)+(-0.972978+(-0.350064--0.370668))+0-171.4--0.174828000000027</f>
        <v>761.52245400000015</v>
      </c>
      <c r="T343" s="3">
        <f>943+(396.7-417.4)+(0+(0-0))+0-173.1-0</f>
        <v>749.19999999999993</v>
      </c>
      <c r="U343" s="3">
        <f>936.6+(392.9-408.7)+(-0.477666+(-0.200379--0.208437))+0-172.2--0.0878219999999825</f>
        <v>748.21821399999999</v>
      </c>
      <c r="V343" s="3">
        <f>941.2+(385.4-387.8)+(-1.440036+(-0.589662--0.593334))+0-171.9--0.26300700000001</f>
        <v>765.72664299999997</v>
      </c>
      <c r="W343" s="3">
        <f>948.5+(392.1-366.2)+(-0.96747+(-0.399942--0.373524))+0-169.4--0.172788000000027</f>
        <v>804.17890000000023</v>
      </c>
      <c r="X343" s="3">
        <f>970.7+(394.7-312.1)+(-1.485171+(-0.603891--0.477513))+0-168--0.25704000000001</f>
        <v>883.94549099999995</v>
      </c>
      <c r="Y343" s="3">
        <f>980+(363.2-303.9)+(-0.9996+(-0.370464--0.309978))+0-165.1--0.168402000000026</f>
        <v>873.30831599999999</v>
      </c>
      <c r="Z343" s="3">
        <f>981.9+(336.5-308.6)+(0+(0-0))+0-166.9-0</f>
        <v>842.9</v>
      </c>
      <c r="AA343" s="3">
        <f>981.8+(344.7-312.2)+(-1.001436+(-0.351594--0.318444))+0-177.4--0.180948000000028</f>
        <v>836.04636200000004</v>
      </c>
      <c r="AB343" s="3">
        <f>980.2+(359.1-360.8)+(-2.49951+(-0.915705--0.92004))+0-182.1--0.464354999999974</f>
        <v>794.36917999999991</v>
      </c>
      <c r="AC343" s="3">
        <f>975.7+(314.5-358)+(-0.995214+(-0.32079--0.36516))+0-184.4--0.188088000000029</f>
        <v>747.0372440000001</v>
      </c>
      <c r="AD343">
        <v>857.5999999999998</v>
      </c>
      <c r="AE343" s="3">
        <f>967+(392.6-308.9)+(0+(0-0))+0-177.1-0</f>
        <v>873.6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948.4+(314.5-373.4)+(-1.451052+(-0.481185--0.571302))+0-181.9--0.278307000000011</f>
        <v>706.51737200000002</v>
      </c>
      <c r="G344" s="3">
        <f>954.4+(311.8-393.6)+(-0.486744+(-0.159018--0.200736))+0-183.3--0.0934829999999814</f>
        <v>688.94845699999985</v>
      </c>
      <c r="H344" s="3">
        <f>960.3+(347.5-445.1)+(0.979506+(0.35445-0.454002))+0-184.5-0.188190000000029</f>
        <v>678.89176399999985</v>
      </c>
      <c r="I344" s="3">
        <f>959.9+(325.8-427.6)+(0+(0-0))+0-183-0</f>
        <v>675.09999999999991</v>
      </c>
      <c r="J344" s="3">
        <f>978.2+(287.8-406.3)+(-0.997764+(-0.293556--0.414426))+0-182.6--0.186252000000029</f>
        <v>676.40935800000011</v>
      </c>
      <c r="K344" s="3">
        <f>984.6+(314-428.6)+(-0.502146+(-0.16014--0.218586))+0-183.1--0.0933809999999814</f>
        <v>686.54968099999996</v>
      </c>
      <c r="L344" s="3">
        <f>991.9+(309-388.5)+(-2.529345+(-0.78795--0.990675))+0-177.1--0.451604999999974</f>
        <v>733.42498499999988</v>
      </c>
      <c r="M344" s="3">
        <f>991.7+(330.5-365.9)+(1.011534+(0.33711-0.373218))+0-181.6-0.185232000000029</f>
        <v>775.49019399999997</v>
      </c>
      <c r="N344" s="3">
        <f>985.9+(327-310.2)+(1.508427+(0.50031-0.474606))+0-185.7-0.284121000000011</f>
        <v>818.25001000000009</v>
      </c>
      <c r="O344" s="3">
        <f>992.6+(322.8-290.6)+(-2.53113+(-0.82314--0.74103))+0-175.9--0.448544999999974</f>
        <v>846.73530499999993</v>
      </c>
      <c r="P344" s="3">
        <f>986.2+(331.1-298.3)+(1.005924+(0.337722-0.304266))+0-168.3-0.171666000000027</f>
        <v>851.56771399999991</v>
      </c>
      <c r="Q344" s="3">
        <f>971.3+(343.7-289)+(-0.990726+(-0.350574--0.29478))+0-169.9--0.173298000000027</f>
        <v>855.22677799999997</v>
      </c>
      <c r="R344" s="3">
        <f>945.9+(352.5-273.8)+(-0.482409+(-0.179775--0.139638))+0-171.6--0.0875159999999826</f>
        <v>852.5649699999999</v>
      </c>
      <c r="S344" s="3">
        <f>966.6+(324.2-276.5)+(-0.985932+(-0.330684--0.28203))+0-174.7--0.178194000000028</f>
        <v>838.74360799999999</v>
      </c>
      <c r="T344" s="3">
        <f>966.9+(315.8-277.5)+(-0.493119+(-0.161058--0.141525))+0-168.7--0.0860369999999829</f>
        <v>836.07338500000014</v>
      </c>
      <c r="U344" s="3">
        <f>959.9+(351.4-301.9)+(-1.958196+(-0.716856--0.615876))+0-170--0.346799999999993</f>
        <v>837.68762400000003</v>
      </c>
      <c r="V344" s="3">
        <f>958.3+(342.8-283.5)+(-0.488733+(-0.174828--0.144585))+0-176.3--0.0899129999999821</f>
        <v>840.87093699999991</v>
      </c>
      <c r="W344" s="3">
        <f>964.9+(370.3-286.8)+(-1.968396+(-0.755412--0.585072))+0-173.9--0.354755999999992</f>
        <v>872.71601999999996</v>
      </c>
      <c r="X344" s="3">
        <f>968+(454.8-280.5)+(-0.49368+(-0.231948--0.143055))+0-179.7--0.0916469999999818</f>
        <v>962.10907399999996</v>
      </c>
      <c r="Y344" s="3">
        <f>974.4+(452.2-295.5)+(-2.48472+(-1.15311--0.753525))+0-179.7--0.458234999999974</f>
        <v>948.97392999999977</v>
      </c>
      <c r="Z344" s="3">
        <f>981.3+(382.4-258.2)+(-1.501389+(-0.585072--0.395046))+0-183.8--0.281214000000011</f>
        <v>920.28979900000002</v>
      </c>
      <c r="AA344" s="3">
        <f>980.8+(363-258.6)+(-0.500208+(-0.18513--0.131886))+0-186.1--0.0949109999999811</f>
        <v>898.64145899999971</v>
      </c>
      <c r="AB344" s="3">
        <f>987.8+(323.8-267.4)+(-0.503778+(-0.165138--0.136374))+0-181.3--0.0924629999999816</f>
        <v>862.45992100000012</v>
      </c>
      <c r="AC344" s="3">
        <f>996.6+(280.3-293.2)+(0+(0-0))+0-170.1-0</f>
        <v>813.6</v>
      </c>
      <c r="AD344">
        <v>952.60000000000014</v>
      </c>
      <c r="AE344" s="3">
        <f>971+(477.8-302.9)+(0+(0-0))+0-179.3-0</f>
        <v>966.60000000000014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998.9+(306.1-360.7)+(-2.547195+(-0.780555--0.919785))+0-175.1--0.446504999999975</f>
        <v>767.23853999999994</v>
      </c>
      <c r="G345" s="3">
        <f>996.2+(292.8-369)+(-1.524186+(-0.447984--0.56457))+0-178--0.27234000000001</f>
        <v>740.86473999999998</v>
      </c>
      <c r="H345" s="3">
        <f>996.8+(267.4-368.1)+(-1.016736+(-0.272748--0.375462))+0-176.4--0.179928000000028</f>
        <v>718.9659059999999</v>
      </c>
      <c r="I345" s="3">
        <f>999.5+(271.3-379.7)+(-1.529235+(-0.415089--0.580941))+0-175.7--0.26882100000001</f>
        <v>714.30543799999998</v>
      </c>
      <c r="J345" s="3">
        <f>997.2+(288.4-394)+(1.017144+(0.294168-0.40188))+0-176.1-0.179622000000028</f>
        <v>716.22981000000004</v>
      </c>
      <c r="K345" s="3">
        <f>999+(294.4-388.1)+(0.50949+(0.150144-0.197931))+0-175.8-0.0896579999999822</f>
        <v>729.87204499999996</v>
      </c>
      <c r="L345" s="3">
        <f>997.2+(307.6-352)+(0.508572+(0.156876-0.17952))+0-175.3-0.0894029999999822</f>
        <v>777.89652500000011</v>
      </c>
      <c r="M345" s="3">
        <f>999+(371.5-358.1)+(0.50949+(0.189465-0.182631))+0-179.3-0.0914429999999818</f>
        <v>833.52488100000005</v>
      </c>
      <c r="N345" s="3">
        <f>992.5+(410.5-347.5)+(1.01235+(0.41871-0.35445))+0-181.1-0.184722000000029</f>
        <v>875.29188799999997</v>
      </c>
      <c r="O345" s="3">
        <f>979.6+(400.7-309.2)+(0.999192+(0.408714-0.315384))+0-179.4-0.182988000000029</f>
        <v>892.60953399999983</v>
      </c>
      <c r="P345" s="3">
        <f>973.7+(418.9-300.9)+(-1.489761+(-0.640917--0.460377))+0-183.7--0.281061000000011</f>
        <v>906.61075999999991</v>
      </c>
      <c r="Q345" s="3">
        <f>962.6+(436.5-306.1)+(-0.981852+(-0.44523--0.312222))+0-185.3--0.18900600000003</f>
        <v>906.7741460000002</v>
      </c>
      <c r="R345" s="3">
        <f>953.6+(423.7-293.7)+(-2.43168+(-1.080435--0.748935))+0-183.4--0.467669999999973</f>
        <v>897.90449000000001</v>
      </c>
      <c r="S345" s="3">
        <f>945+(440.7-310)+(0.9639+(0.449514-0.3162))+0-187.6-0.19135200000003</f>
        <v>889.00586199999987</v>
      </c>
      <c r="T345" s="3">
        <f>937.9+(432.4-310.1)+(-0.956658+(-0.441048--0.316302))+0-179.4--0.182988000000029</f>
        <v>879.90158399999984</v>
      </c>
      <c r="U345" s="3">
        <f>932.7+(440.7-319.3)+(1.902708+(0.899028-0.651372))+0-171-0.348839999999993</f>
        <v>884.90152399999999</v>
      </c>
      <c r="V345" s="3">
        <f>933.4+(430.4-315.6)+(-0.952068+(-0.439008--0.321912))+0-174.5--0.177990000000028</f>
        <v>872.80882599999984</v>
      </c>
      <c r="W345" s="3">
        <f>939.6+(405.7-271.1)+(0.479196+(0.206907-0.138261))+0-175-0.0892499999999822</f>
        <v>899.658592</v>
      </c>
      <c r="X345" s="3">
        <f>950.8+(527.6-302.5)+(0.969816+(0.538152-0.30855))+0-183.6-0.187272000000029</f>
        <v>993.31214599999998</v>
      </c>
      <c r="Y345" s="3">
        <f>954.7+(522.7-314.9)+(0.486897+(0.266577-0.160599))+0-185.8-0.0947579999999812</f>
        <v>977.19811700000014</v>
      </c>
      <c r="Z345" s="3">
        <f>969.2+(512-340.7)+(-0.988584+(-0.52224--0.347514))+0-187.9--0.19165800000003</f>
        <v>951.62834800000019</v>
      </c>
      <c r="AA345" s="3">
        <f>976.5+(510.4-366.9)+(-0.99603+(-0.520608--0.374238))+0-189.5--0.19329000000003</f>
        <v>929.55089000000009</v>
      </c>
      <c r="AB345" s="3">
        <f>975.5+(502.8-404.6)+(-1.492515+(-0.769284--0.619038))+0-184.3--0.281979000000011</f>
        <v>888.03921800000001</v>
      </c>
      <c r="AC345" s="3">
        <f>978.3+(457.1-408.3)+(-1.496799+(-0.699363--0.624699))+0-185.5--0.283815000000011</f>
        <v>840.31235199999992</v>
      </c>
      <c r="AD345">
        <v>979</v>
      </c>
      <c r="AE345" s="3">
        <f>951+(529.8-304)+(0+(0-0))+0-184.8-0</f>
        <v>992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977.4+(371.9-384.1)+(0+(0-0))+0-186.7-0</f>
        <v>778.5</v>
      </c>
      <c r="G346" s="3">
        <f>979.7+(314.7-354.3)+(-1.998588+(-0.641988--0.722772))+0-189.9--0.387395999999992</f>
        <v>748.66959199999997</v>
      </c>
      <c r="H346" s="3">
        <f>982.2+(293.7-348.8)+(-1.502766+(-0.449361--0.533664))+0-189.1--0.289323000000011</f>
        <v>736.87085999999999</v>
      </c>
      <c r="I346" s="3">
        <f>984.4+(300.2-358.1)+(-1.004088+(-0.306204--0.365262))+0-188.9--0.19267800000003</f>
        <v>736.84764800000005</v>
      </c>
      <c r="J346" s="3">
        <f>985.1+(327.9-380.8)+(0.502401+(0.167229-0.194208))+0-187.4-0.095573999999981</f>
        <v>745.17984800000011</v>
      </c>
      <c r="K346" s="3">
        <f>989.8+(364.6-398.7)+(0.504798+(0.185946-0.203337))+0-187.7-0.095726999999981</f>
        <v>768.39168000000006</v>
      </c>
      <c r="L346" s="3">
        <f>990.7+(360.3-363.1)+(0.505257+(0.183753-0.185181))+0-176.2-0.0898619999999821</f>
        <v>812.11396700000012</v>
      </c>
      <c r="M346" s="3">
        <f>985.2+(409.9-346.8)+(0+(0-0))+0-182.8-0</f>
        <v>865.5</v>
      </c>
      <c r="N346" s="3">
        <f>980.6+(429-322.4)+(0.500106+(0.21879-0.164424))+0-182.4-0.0930239999999815</f>
        <v>905.26144800000009</v>
      </c>
      <c r="O346" s="3">
        <f>963.7+(422.4-290.8)+(0+(0-0))+0-175.2-0</f>
        <v>920.09999999999991</v>
      </c>
      <c r="P346" s="3">
        <f>943.7+(423.7-257.2)+(-1.925148+(-0.864348--0.524688))+0-176.4--0.359855999999992</f>
        <v>931.8950480000002</v>
      </c>
      <c r="Q346" s="3">
        <f>946.5+(420.7-260.5)+(0+(0-0))+0-167.7-0</f>
        <v>939</v>
      </c>
      <c r="R346" s="3">
        <f>937.4+(413.4-258.8)+(-0.956148+(-0.421668--0.263976))+0-170.2--0.173604000000027</f>
        <v>920.85976400000004</v>
      </c>
      <c r="S346" s="3">
        <f>951.2+(397.2-252)+(-0.485112+(-0.202572--0.12852))+0-180.5--0.0920549999999817</f>
        <v>915.43289100000004</v>
      </c>
      <c r="T346" s="3">
        <f>973.3+(397.8-283.5)+(0.496383+(0.202878-0.144585))+0-175.9-0.0897089999999822</f>
        <v>912.16496699999993</v>
      </c>
      <c r="U346" s="3">
        <f>976.2+(419.3-325)+(-2.48931+(-1.069215--0.82875))+0-170.4--0.434519999999975</f>
        <v>897.80474500000003</v>
      </c>
      <c r="V346" s="3">
        <f>982.1+(416.3-324.7)+(0+(0-0))+0-179.9-0</f>
        <v>893.80000000000007</v>
      </c>
      <c r="W346" s="3">
        <f>1007+(438.5-348)+(-2.05428+(-0.89454--0.70992))+0-183.3--0.373931999999992</f>
        <v>912.33503199999996</v>
      </c>
      <c r="X346" s="3">
        <f>1050.3+(470.1-337.8)+(-1.071306+(-0.479502--0.344556))+0-189.7--0.19349400000003</f>
        <v>991.8872419999999</v>
      </c>
      <c r="Y346" s="3">
        <f>1060.8+(448.1-348.1)+(-3.246048+(-1.371186--1.065186))+0-187.7--0.574362000000022</f>
        <v>970.12231399999996</v>
      </c>
      <c r="Z346" s="3">
        <f>1067.4+(427.9-363.3)+(-1.633122+(-0.654687--0.555849))+0-186.1--0.284733000000011</f>
        <v>944.45277299999987</v>
      </c>
      <c r="AA346" s="3">
        <f>1070.1+(417.9-364.5)+(-1.091502+(-0.426258--0.37179))+0-185.9--0.18961800000003</f>
        <v>936.64364799999998</v>
      </c>
      <c r="AB346" s="3">
        <f>1063.3+(402-382.4)+(-1.626849+(-0.61506--0.585072))+0-184.8--0.282744000000011</f>
        <v>896.72590700000012</v>
      </c>
      <c r="AC346" s="3">
        <f>1013.3+(390.5-369.9)+(-2.583915+(-0.995775--0.943245))+0-186.5--0.475574999999973</f>
        <v>845.23912999999993</v>
      </c>
      <c r="AD346">
        <v>983.5</v>
      </c>
      <c r="AE346" s="3">
        <f>1047+(474.7-340.5)+(0+(0-0))+0-189.7-0</f>
        <v>991.5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992.7+(383.1-393.4)+(-2.025108+(-0.781524--0.802536))+0-184.7--0.376787999999992</f>
        <v>796.07269200000019</v>
      </c>
      <c r="G347" s="3">
        <f>972.5+(334-354.6)+(1.487925+(0.51102-0.542538))+0-183.8-0.281214000000011</f>
        <v>769.27519300000006</v>
      </c>
      <c r="H347" s="3">
        <f>976.3+(302.2-337.8)+(-2.489565+(-0.77061--0.86139))+0-183.2--0.467159999999973</f>
        <v>755.56837499999983</v>
      </c>
      <c r="I347" s="3">
        <f>974.6+(302.6-341.2)+(0.994092+(0.308652-0.348024))+0-181.9-0.185538000000029</f>
        <v>754.86918199999991</v>
      </c>
      <c r="J347" s="3">
        <f>981.2+(343.6-383)+(-2.001648+(-0.700944--0.78132))+0-181.1--0.369443999999992</f>
        <v>759.14817200000005</v>
      </c>
      <c r="K347" s="3">
        <f>975.9+(391-404.6)+(-0.995418+(-0.39882--0.412692))+0-179.2--0.182784000000029</f>
        <v>782.30123800000001</v>
      </c>
      <c r="L347" s="3">
        <f>797.2+(526.4-323.8)+(-1.626288+(-1.073856--0.660552))+0-176.9--0.360875999999992</f>
        <v>821.22128399999997</v>
      </c>
      <c r="M347" s="3">
        <f>797.8+(572.7-299.5)+(2.441268+(1.752462-0.91647))+0-181.5-0.555390000000021</f>
        <v>892.22187000000008</v>
      </c>
      <c r="N347" s="3">
        <f>836.4+(538.2-251.1)+(1.706256+(1.097928-0.512244))+0-184.2-0.375767999999992</f>
        <v>941.21617200000003</v>
      </c>
      <c r="O347" s="3">
        <f>955.9+(473.7-290.7)+(-0.487509+(-0.241587--0.148257))+0-187.6--0.095675999999981</f>
        <v>950.81483700000013</v>
      </c>
      <c r="P347" s="3">
        <f>1031.1+(431.3-320.4)+(1.051722+(0.439926-0.326808))+0-185.4-0.18910800000003</f>
        <v>957.5757319999999</v>
      </c>
      <c r="Q347" s="3">
        <f>1098+(385.8-344)+(0+(0-0))+0-183.7-0</f>
        <v>956.09999999999991</v>
      </c>
      <c r="R347" s="3">
        <f>1116.2+(363.3-348.4)+(-3.415572+(-1.111698--1.066104))+0-181.1--0.554166000000021</f>
        <v>947.09300000000007</v>
      </c>
      <c r="S347" s="3">
        <f>1108.9+(352.4-350)+(-3.393234+(-1.078344--1.071))+0-182.4--0.558144000000021</f>
        <v>926.05756600000018</v>
      </c>
      <c r="T347" s="3">
        <f>1101.4+(342.1-339.2)+(2.246856+(0.697884-0.691968))+0-183.2-0.373727999999992</f>
        <v>922.97904400000016</v>
      </c>
      <c r="U347" s="3">
        <f>1107.3+(330.4-339.1)+(0.564723+(0.168504-0.172941))+0-183-0.0933299999999814</f>
        <v>916.06695599999978</v>
      </c>
      <c r="V347" s="3">
        <f>1108.9+(334.3-337.5)+(-0.565539+(-0.170493--0.172125))+0-185.7--0.0947069999999812</f>
        <v>919.5308</v>
      </c>
      <c r="W347" s="3">
        <f>1109.3+(350.3-327.7)+(-1.131486+(-0.357306--0.334254))+0-186.5--0.19023000000003</f>
        <v>944.43569200000013</v>
      </c>
      <c r="X347" s="3">
        <f>1120.9+(397.7-329.7)+(-0.571659+(-0.202827--0.168147))+0-187.4--0.095573999999981</f>
        <v>1000.9892350000001</v>
      </c>
      <c r="Y347" s="3">
        <f>1126.8+(357.1-318.5)+(-1.724004+(-0.546363--0.487305))+0-186.1--0.284733000000011</f>
        <v>977.80167100000006</v>
      </c>
      <c r="Z347" s="3">
        <f>1131.7+(327.2-330.7)+(-2.308668+(-0.667488--0.674628))+0-183--0.373319999999992</f>
        <v>943.27179200000012</v>
      </c>
      <c r="AA347" s="3">
        <f>1131.4+(306-323.1)+(0+(0-0))+0-186-0</f>
        <v>928.30000000000018</v>
      </c>
      <c r="AB347" s="3">
        <f>1135.8+(260.8-313.3)+(-2.89629+(-0.66504--0.798915))+0-183.4--0.467669999999973</f>
        <v>897.60525500000006</v>
      </c>
      <c r="AC347" s="3">
        <f>1138+(244.8-346.5)+(0+(0-0))+0-183.2-0</f>
        <v>853.09999999999991</v>
      </c>
      <c r="AD347">
        <v>971.2</v>
      </c>
      <c r="AE347" s="3">
        <f>1117+(386.5-332.3)+(0+(0-0))+0-185-0</f>
        <v>986.2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1140.6+(244.9-398.7)+(-2.326824+(-0.499596--0.813348))+0-181.2--0.369647999999992</f>
        <v>803.95657599999993</v>
      </c>
      <c r="G348" s="3">
        <f>1150.4+(211.9-404.8)+(0+(0-0))+0-182-0</f>
        <v>775.50000000000011</v>
      </c>
      <c r="H348" s="3">
        <f>1158.7+(180.8-408.6)+(0.590937+(0.092208-0.208386))+0-181.4-0.0925139999999816</f>
        <v>749.88224500000013</v>
      </c>
      <c r="I348" s="3">
        <f>1161.3+(153.7-388.8)+(-1.184526+(-0.156774--0.396576))+0-179.5--0.183090000000029</f>
        <v>745.93836599999997</v>
      </c>
      <c r="J348" s="3">
        <f>1167.3+(176.9-415.4)+(-2.976615+(-0.451095--1.05927))+0-180.9--0.461294999999974</f>
        <v>745.99285499999996</v>
      </c>
      <c r="K348" s="3">
        <f>1166.4+(205.9-422.5)+(1.189728+(0.210018-0.43095))+0-181.8-0.185436000000029</f>
        <v>768.78336000000013</v>
      </c>
      <c r="L348" s="3">
        <f>1172.9+(226.6-431)+(0.598179+(0.115566-0.21981))+0-179.9-0.0917489999999817</f>
        <v>789.00218600000017</v>
      </c>
      <c r="M348" s="3">
        <f>1164.7+(269.5-416.5)+(0+(0-0))+0-181.6-0</f>
        <v>836.1</v>
      </c>
      <c r="N348" s="3">
        <f>1157.9+(291.3-388.3)+(0.590529+(0.148563-0.198033))+0-184.6-0.0941459999999813</f>
        <v>876.74691299999995</v>
      </c>
      <c r="O348" s="3">
        <f>1151.8+(297.4-359.4)+(1.174836+(0.303348-0.366588))+0-184.4-0.188088000000029</f>
        <v>906.32350799999995</v>
      </c>
      <c r="P348" s="3">
        <f>1137+(337.5-374.3)+(-0.57987+(-0.172125--0.190893))+0-179.8--0.0916979999999818</f>
        <v>919.93059600000015</v>
      </c>
      <c r="Q348" s="3">
        <f>1129.9+(347.8-375.8)+(-0.576249+(-0.177378--0.191658))+0-196.7--0.10031699999998</f>
        <v>904.73834799999997</v>
      </c>
      <c r="R348" s="3">
        <f>1105.7+(357.5-375.7)+(0+(0-0))+0-192.5-0</f>
        <v>895</v>
      </c>
      <c r="S348" s="3">
        <f>1104.9+(321.1-360.2)+(0+(0-0))+0-195.1-0</f>
        <v>870.70000000000016</v>
      </c>
      <c r="T348" s="3">
        <f>1102.5+(309.2-359.3)+(0+(0-0))+0-194.5-0</f>
        <v>857.90000000000009</v>
      </c>
      <c r="U348" s="3">
        <f>1088.2+(276.5-325.8)+(0+(0-0))+0-180.7-0</f>
        <v>858.2</v>
      </c>
      <c r="V348" s="3">
        <f>1100+(283-326.5)+(0+(0-0))+0-195.7-0</f>
        <v>860.8</v>
      </c>
      <c r="W348" s="3">
        <f>1116.8+(333.1-363.6)+(0+(0-0))+0-197.1-0</f>
        <v>889.19999999999993</v>
      </c>
      <c r="X348" s="3">
        <f>1122.1+(414.4-370.3)+(0+(0-0))+0-196.3-0</f>
        <v>969.89999999999986</v>
      </c>
      <c r="Y348" s="3">
        <f>1131.9+(393.3-369.6)+(0+(0-0))+0-191.3-0</f>
        <v>964.30000000000018</v>
      </c>
      <c r="Z348" s="3">
        <f>1132.8+(353.1-356.1)+(0+(0-0))+0-191.5-0</f>
        <v>938.3</v>
      </c>
      <c r="AA348" s="3">
        <f>1141.9+(316.3-327.5)+(0+(0-0))+0-195.9-0</f>
        <v>934.80000000000007</v>
      </c>
      <c r="AB348" s="3">
        <f>1141.6+(293-340.5)+(0+(0-0))+0-195-0</f>
        <v>899.09999999999991</v>
      </c>
      <c r="AC348" s="3">
        <f>1141.4+(249.6-354.4)+(0+(0-0))+0-193.1-0</f>
        <v>843.50000000000011</v>
      </c>
      <c r="AD348">
        <v>948.80000000000007</v>
      </c>
      <c r="AE348" s="3">
        <f>1121+(407.2-382)+(0+(0-0))+0-183.4-0</f>
        <v>962.80000000000007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1105.6+(232.3-346.2)+(0+(0-0))+0-190.3-0</f>
        <v>801.39999999999986</v>
      </c>
      <c r="G349" s="3">
        <f>1077.7+(210.4-326.1)+(0+(0-0))+0-190.3-0</f>
        <v>771.7</v>
      </c>
      <c r="H349" s="3">
        <f>1079.6+(189.8-333)+(0+(0-0))+0-184.7-0</f>
        <v>751.69999999999982</v>
      </c>
      <c r="I349" s="3">
        <f>1079.6+(196.9-339.5)+(0+(0-0))+0-188.4-0</f>
        <v>748.59999999999991</v>
      </c>
      <c r="J349" s="3">
        <f>1082.6+(189.4-334.7)+(0+(0-0))+0-188.8-0</f>
        <v>748.5</v>
      </c>
      <c r="K349" s="3">
        <f>1089+(230.2-356.2)+(0+(0-0))+0-188.7-0</f>
        <v>774.3</v>
      </c>
      <c r="L349" s="3">
        <f>1094.4+(312.9-392.4)+(2.79072+(0.797895-1.00062))+0-188-0.479399999999973</f>
        <v>829.00859500000013</v>
      </c>
      <c r="M349" s="3">
        <f>1098.2+(365.7-387.4)+(2.240328+(0.746028-0.790296))+0-191.4-0.390455999999992</f>
        <v>886.90560400000004</v>
      </c>
      <c r="N349" s="3">
        <f>1089.3+(412.6-378.5)+(0+(0-0))+0-180.4-0</f>
        <v>943.00000000000011</v>
      </c>
      <c r="O349" s="3">
        <f>1086+(464-418)+(0.55386+(0.23664-0.21318))+0-197-0.10046999999998</f>
        <v>935.47685000000013</v>
      </c>
      <c r="P349" s="3">
        <f>1058+(476.5-390.6)+(0.53958+(0.243015-0.199206))+0-180.6-0.0921059999999817</f>
        <v>963.79128300000002</v>
      </c>
      <c r="Q349" s="3">
        <f>1049.9+(467.4-399.7)+(-1.606347+(-0.715122--0.611541))+0-188--0.287640000000011</f>
        <v>928.17771200000016</v>
      </c>
      <c r="R349" s="3">
        <f>1022.8+(449.6-387.4)+(0+(0-0))+0-186.8-0</f>
        <v>898.2</v>
      </c>
      <c r="S349" s="3">
        <f>1033.7+(431.7-387.4)+(-1.054374+(-0.440334--0.395148))+0-188.6--0.19237200000003</f>
        <v>888.49281199999984</v>
      </c>
      <c r="T349" s="3">
        <f>1034.7+(399.8-358)+(0+(0-0))+0-188.3-0</f>
        <v>888.2</v>
      </c>
      <c r="U349" s="3">
        <f>1044.4+(398.9-366.4)+(-1.597932+(-0.610317--0.560592))+0-183.6--0.280908000000011</f>
        <v>891.93325100000015</v>
      </c>
      <c r="V349" s="3">
        <f>1049.4+(392.7-352.2)+(0.535194+(0.200277-0.179622))+0-185.6-0.0946559999999812</f>
        <v>904.76119300000016</v>
      </c>
      <c r="W349" s="3">
        <f>1062.4+(434-375.2)+(-1.083648+(-0.44268--0.382704))+0-188.3--0.19206600000003</f>
        <v>931.94844200000011</v>
      </c>
      <c r="X349" s="3">
        <f>1073.6+(500.8-383)+(0+(0-0))+0-187.1-0</f>
        <v>1004.2999999999998</v>
      </c>
      <c r="Y349" s="3">
        <f>1080.2+(493.6-400.2)+(-1.652706+(-0.755208--0.612306))+0-186.1--0.284733000000011</f>
        <v>985.98912500000017</v>
      </c>
      <c r="Z349" s="3">
        <f>1086.3+(440.5-381.6)+(-1.662039+(-0.673965--0.583848))+0-186.7--0.285651000000011</f>
        <v>957.03349499999979</v>
      </c>
      <c r="AA349" s="3">
        <f>1090.9+(411-371.5)+(-0.556359+(-0.20961--0.189465))+0-186--0.0948599999999811</f>
        <v>943.9183559999999</v>
      </c>
      <c r="AB349" s="3">
        <f>1107+(357.7-368.5)+(-2.25828+(-0.729708--0.75174))+0-183.4--0.374135999999992</f>
        <v>910.93788800000016</v>
      </c>
      <c r="AC349" s="3">
        <f>1110.6+(308.5-368.6)+(-2.83203+(-0.786675--0.93993))+0-184.4--0.470219999999973</f>
        <v>863.89144499999986</v>
      </c>
      <c r="AD349">
        <v>984.69999999999993</v>
      </c>
      <c r="AE349" s="3">
        <f>1073+(503.5-387.9)+(0+(0-0))+0-188.9-0</f>
        <v>999.69999999999993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1016.3+(324.3-334.3)+(-2.591565+(-0.826965--0.852465))+0-188--0.479399999999973</f>
        <v>816.21333499999992</v>
      </c>
      <c r="G350" s="3">
        <f>986+(342.4-360)+(-2.5143+(-0.87312--0.918))+0-178.4--0.454919999999974</f>
        <v>787.9855</v>
      </c>
      <c r="H350" s="3">
        <f>950.7+(369-368.5)+(-2.424285+(-0.94095--0.939675))+0-181.6--0.463079999999974</f>
        <v>767.63751999999999</v>
      </c>
      <c r="I350" s="3">
        <f>964.3+(354.1-372.6)+(-0.491793+(-0.180591--0.190026))+0-179.3--0.0914429999999818</f>
        <v>766.10908500000005</v>
      </c>
      <c r="J350" s="3">
        <f>973.7+(397.8-420.8)+(-2.482935+(-1.01439--1.07304))+0-179.7--0.458234999999974</f>
        <v>769.03394999999989</v>
      </c>
      <c r="K350" s="3">
        <f>971.6+(438-442.8)+(0.495516+(0.22338-0.225828))+0-176.4-0.0899639999999821</f>
        <v>790.80310399999996</v>
      </c>
      <c r="L350" s="3">
        <f>971.3+(461.9-399.6)+(-1.486089+(-0.706707--0.611388))+0-175.7--0.26882100000001</f>
        <v>856.58741299999986</v>
      </c>
      <c r="M350" s="3">
        <f>961.8+(479.2-336)+(-0.981036+(-0.488784--0.34272))+0-181.7--0.185334000000029</f>
        <v>922.35823400000004</v>
      </c>
      <c r="N350" s="3">
        <f>965+(535.4-346.9)+(0.49215+(0.273054-0.176919))+0-180.9-0.0922589999999816</f>
        <v>973.09602600000005</v>
      </c>
      <c r="O350" s="3">
        <f>985.9+(576.7-401.9)+(1.005618+(0.588234-0.409938))+0-173-0.176460000000028</f>
        <v>988.70745399999998</v>
      </c>
      <c r="P350" s="3">
        <f>991.6+(598.2-412.6)+(-0.505716+(-0.305082--0.210426))+0-175.9--0.0897089999999822</f>
        <v>1000.7893369999999</v>
      </c>
      <c r="Q350" s="3">
        <f>981.6+(616.8-414.2)+(-1.001232+(-0.629136--0.422484))+0-178.5--0.182070000000028</f>
        <v>1004.6741860000002</v>
      </c>
      <c r="R350" s="3">
        <f>976.1+(605.3-414.5)+(-0.497811+(-0.308703--0.211395))+0-173.5--0.0884849999999824</f>
        <v>992.89336600000001</v>
      </c>
      <c r="S350" s="3">
        <f>970.7+(552.1-369.6)+(0.990114+(0.563142-0.376992))+0-174.3-0.177786000000028</f>
        <v>979.89847799999995</v>
      </c>
      <c r="T350" s="3">
        <f>973.4+(533.1-373.2)+(0.496434+(0.271881-0.190332))+0-167-0.0851699999999831</f>
        <v>966.79281299999991</v>
      </c>
      <c r="U350" s="3">
        <f>974+(517-368.7)+(0.49674+(0.26367-0.188037))+0-146.3-0.0746129999999852</f>
        <v>976.49775999999997</v>
      </c>
      <c r="V350" s="3">
        <f>974.4+(536.5-375.7)+(-0.496944+(-0.273615--0.191607))+0-165.3--0.0843029999999832</f>
        <v>969.405351</v>
      </c>
      <c r="W350" s="3">
        <f>976.7+(587.1-398.9)+(1.494351+(0.898263-0.610317))+0-177.9-0.27218700000001</f>
        <v>988.51011000000005</v>
      </c>
      <c r="X350" s="3">
        <f>980.3+(655.6-403.9)+(0+(0-0))+0-181.1-0</f>
        <v>1050.9000000000001</v>
      </c>
      <c r="Y350" s="3">
        <f>985.3+(621.9-393.8)+(-1.507509+(-0.951507--0.602514))+0-183.4--0.280602000000011</f>
        <v>1028.4240999999997</v>
      </c>
      <c r="Z350" s="3">
        <f>990.9+(579.8-380.2)+(-1.010718+(-0.591396--0.387804))+0-186.3--0.19002600000003</f>
        <v>1003.175716</v>
      </c>
      <c r="AA350" s="3">
        <f>997.7+(551.2-372.2)+(-2.544135+(-1.40556--0.94911))+0-189.8--0.483989999999973</f>
        <v>984.38340500000004</v>
      </c>
      <c r="AB350" s="3">
        <f>1000.1+(495.8-379.9)+(-1.530153+(-0.758574--0.581247))+0-180.2--0.27570600000001</f>
        <v>934.36822599999994</v>
      </c>
      <c r="AC350" s="3">
        <f>998.3+(427.4-357.7)+(-2.036532+(-0.871896--0.729708))+0-177.1--0.361283999999992</f>
        <v>889.08256399999982</v>
      </c>
      <c r="AD350">
        <v>1041.7</v>
      </c>
      <c r="AE350" s="3">
        <f>975+(663.5-400.8)+(0+(0-0))+0-182-0</f>
        <v>1055.7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999.9+(401.6-388.7)+(0.509949+(0.204816-0.198237))+0-174.8-0.0891479999999823</f>
        <v>838.42737999999986</v>
      </c>
      <c r="G351" s="3">
        <f>1003.3+(390.4-408.5)+(-1.023366+(-0.398208--0.41667))+0-178.1--0.181662000000028</f>
        <v>806.27675799999997</v>
      </c>
      <c r="H351" s="3">
        <f>1010+(362.2-401.7)+(-0.5151+(-0.184722--0.204867))+0-177.5--0.090524999999982</f>
        <v>792.59556999999995</v>
      </c>
      <c r="I351" s="3">
        <f>1012.2+(353.9-400.7)+(0.516222+(0.180489-0.204357))+0-177.7-0.090626999999982</f>
        <v>788.1017270000001</v>
      </c>
      <c r="J351" s="3">
        <f>1013.9+(369.5-422.9)+(-1.034178+(-0.37689--0.431358))+0-174.1--0.177582000000028</f>
        <v>785.59787200000005</v>
      </c>
      <c r="K351" s="3">
        <f>1018.2+(372-406.6)+(0+(0-0))+0-176.9-0</f>
        <v>806.7</v>
      </c>
      <c r="L351" s="3">
        <f>1015.7+(452.8-423.1)+(-1.036014+(-0.461856--0.431562))+0-176.5--0.180030000000028</f>
        <v>868.01372200000014</v>
      </c>
      <c r="M351" s="3">
        <f>1002.1+(539.7-442.9)+(0.511071+(0.275247-0.225879))+0-183.3-0.0934829999999814</f>
        <v>916.06695600000023</v>
      </c>
      <c r="N351" s="3">
        <f>988.5+(571.9-420.6)+(1.00827+(0.583338-0.429012))+0-189-0.19278000000003</f>
        <v>951.76981599999976</v>
      </c>
      <c r="O351" s="3">
        <f>964.9+(590.6-399.2)+(0.492099+(0.301206-0.203592))+0-190.6-0.0972059999999807</f>
        <v>966.19250699999998</v>
      </c>
      <c r="P351" s="3">
        <f>958.4+(662.7-454.1)+(-1.466352+(-1.013931--0.694773))+0-201.7--0.308601000000012</f>
        <v>963.82309100000009</v>
      </c>
      <c r="Q351" s="3">
        <f>950.2+(691.7-459.6)+(-1.938408+(-1.411068--0.937584))+0-201--0.410039999999991</f>
        <v>979.29814800000008</v>
      </c>
      <c r="R351" s="3">
        <f>943.6+(687.3-471.6)+(-1.443708+(-1.051569--0.721548))+0-192.6--0.294678000000011</f>
        <v>965.22094899999991</v>
      </c>
      <c r="S351" s="3">
        <f>941.7+(591.3-395.6)+(-2.401335+(-1.507815--1.00878))+0-184.1--0.469454999999973</f>
        <v>950.86908499999993</v>
      </c>
      <c r="T351" s="3">
        <f>943.9+(534.5-343.8)+(0.481389+(0.272595-0.175338))+0-186.8-0.0952679999999811</f>
        <v>948.28337799999986</v>
      </c>
      <c r="U351" s="3">
        <f>951.1+(524.3-353.7)+(-1.940244+(-1.069572--0.721548))+0-186.3--0.380051999999992</f>
        <v>933.49178400000005</v>
      </c>
      <c r="V351" s="3">
        <f>951.8+(489.2-313.4)+(0+(0-0))+0-184.3-0</f>
        <v>943.3</v>
      </c>
      <c r="W351" s="3">
        <f>954.7+(602.2-406.6)+(0.486897+(0.307122-0.207366))+0-181.4-0.0925139999999816</f>
        <v>969.39413900000034</v>
      </c>
      <c r="X351" s="3">
        <f>963.2+(637.9-378.2)+(0.982464+(0.650658-0.385764))+0-187.4-0.19114800000003</f>
        <v>1036.55621</v>
      </c>
      <c r="Y351" s="3">
        <f>966.1+(643.8-411)+(0+(0-0))+0-186-0</f>
        <v>1012.9000000000001</v>
      </c>
      <c r="Z351" s="3">
        <f>970.1+(587-388.9)+(0.494751+(0.29937-0.198339))+0-186-0.0948599999999811</f>
        <v>982.70092200000022</v>
      </c>
      <c r="AA351" s="3">
        <f>976.1+(542-362)+(-0.995622+(-0.55284--0.36924))+0-191.2--0.19502400000003</f>
        <v>963.91580199999987</v>
      </c>
      <c r="AB351" s="3">
        <f>978.4+(483.3-340)+(-0.498984+(-0.246483--0.1734))+0-193.5--0.0986849999999804</f>
        <v>927.72661799999992</v>
      </c>
      <c r="AC351" s="3">
        <f>980.7+(396.2-308.8)+(-2.000628+(-0.808248--0.629952))+0-195--0.397799999999991</f>
        <v>871.31887599999982</v>
      </c>
      <c r="AD351">
        <v>987</v>
      </c>
      <c r="AE351" s="3">
        <f>960+(634.8-391)+(0+(0-0))+0-203.8-0</f>
        <v>1000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987.5+(385.8-348.9)+(-0.503625+(-0.196758--0.177939))+0-195.2--0.0995519999999802</f>
        <v>828.77710800000011</v>
      </c>
      <c r="G352" s="3">
        <f>997.6+(372-375.2)+(0+(0-0))+0-192.5-0</f>
        <v>801.90000000000009</v>
      </c>
      <c r="H352" s="3">
        <f>1005.7+(368.8-403.7)+(-0.512907+(-0.188088--0.205887))+0-190.9--0.0973589999999806</f>
        <v>779.50225100000011</v>
      </c>
      <c r="I352" s="3">
        <f>1009.9+(387.4-429.5)+(0+(0-0))+0-190.8-0</f>
        <v>777</v>
      </c>
      <c r="J352" s="3">
        <f>1014.9+(408.1-456.5)+(1.035198+(0.416262-0.46563))+0-187.1-0.19084200000003</f>
        <v>780.19498799999997</v>
      </c>
      <c r="K352" s="3">
        <f>1021.1+(462.4-485.9)+(-0.520761+(-0.235824--0.247809))+0-189--0.0963899999999808</f>
        <v>808.18761399999994</v>
      </c>
      <c r="L352" s="3">
        <f>1019.6+(486.5-453.5)+(-0.519996+(-0.248115--0.231285))+0-184.5--0.0940949999999813</f>
        <v>867.65726899999981</v>
      </c>
      <c r="M352" s="3">
        <f>1019.6+(542.4-459.8)+(1.039992+(0.553248-0.468996))+0-181.2-0.184824000000029</f>
        <v>921.93942000000004</v>
      </c>
      <c r="N352" s="3">
        <f>1012.3+(546.8-466.9)+(1.032546+(0.557736-0.476238))+0-144.5-0.147390000000023</f>
        <v>948.66665399999977</v>
      </c>
      <c r="O352" s="3">
        <f>1005.6+(544.1-454.4)+(1.025712+(0.554982-0.463488))+0-133-0.135660000000021</f>
        <v>963.28154600000005</v>
      </c>
      <c r="P352" s="3">
        <f>996.1+(570-449)+(1.524033+(0.8721-0.68697))+0-130.2-0.199206000000008</f>
        <v>988.40995699999985</v>
      </c>
      <c r="Q352" s="3">
        <f>987.4+(592.5-447.6)+(-1.510722+(-0.906525--0.684828))+0-130.7--0.199971000000008</f>
        <v>1000.067552</v>
      </c>
      <c r="R352" s="3">
        <f>974+(569.4-434.8)+(-1.98696+(-1.161576--0.886992))+0-127.7--0.260507999999994</f>
        <v>978.89896399999986</v>
      </c>
      <c r="S352" s="3">
        <f>972.9+(513.1-378.2)+(-2.480895+(-1.308405--0.96441))+0-137.6--0.35087999999998</f>
        <v>967.7259899999998</v>
      </c>
      <c r="T352" s="3">
        <f>969.8+(480.8-320.2)+(1.483794+(0.735624-0.489906))+0-162.5-0.248625000000009</f>
        <v>969.38088700000014</v>
      </c>
      <c r="U352" s="3">
        <f>965.2+(480.4-313.3)+(1.476756+(0.735012-0.479349))+0-165.8-0.25367400000001</f>
        <v>967.97874499999989</v>
      </c>
      <c r="V352" s="3">
        <f>989.9+(491.4-313.6)+(-0.504849+(-0.250614--0.159936))+0-182.9--0.0932789999999814</f>
        <v>984.29775199999983</v>
      </c>
      <c r="W352" s="3">
        <f>1042.5+(478.7-340.5)+(-0.531675+(-0.244137--0.173655))+0-189.2--0.0964919999999808</f>
        <v>990.99433499999998</v>
      </c>
      <c r="X352" s="3">
        <f>1092.5+(513.3-359.9)+(0+(0-0))+0-189.5-0</f>
        <v>1056.4000000000001</v>
      </c>
      <c r="Y352" s="3">
        <f>1106.1+(499.7-369.1)+(-1.692333+(-0.764541--0.564723))+0-190.8--0.291924000000011</f>
        <v>1044.299773</v>
      </c>
      <c r="Z352" s="3">
        <f>1111.9+(455.1-366.7)+(-1.134138+(-0.464202--0.374034))+0-193.6--0.197472000000031</f>
        <v>1005.6731660000002</v>
      </c>
      <c r="AA352" s="3">
        <f>1122.7+(428.2-355.1)+(-1.145154+(-0.436764--0.362202))+0-193.3--0.197166000000031</f>
        <v>1001.47745</v>
      </c>
      <c r="AB352" s="3">
        <f>1123.3+(343.1-322.9)+(-2.291532+(-0.699924--0.658716))+0-192.5--0.392699999999992</f>
        <v>949.05995999999993</v>
      </c>
      <c r="AC352" s="3">
        <f>1125+(247.1-296)+(-1.72125+(-0.378063--0.45288))+0-192--0.293760000000011</f>
        <v>882.74732700000004</v>
      </c>
      <c r="AD352">
        <v>1022.9000000000001</v>
      </c>
      <c r="AE352" s="3">
        <f>1108+(496.5-380.6)+(0+(0-0))+0-188-0</f>
        <v>1035.9000000000001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1125.1+(220.2-318.5)+(-4.016607+(-0.786114--1.137045))+0-192.5--0.687225000000003</f>
        <v>831.321549</v>
      </c>
      <c r="G353" s="3">
        <f>1129.1+(214-338.4)+(-1.151682+(-0.21828--0.345168))+0-191.4--0.195228000000031</f>
        <v>812.47043399999995</v>
      </c>
      <c r="H353" s="3">
        <f>1125.2+(251.8-390.1)+(-2.295408+(-0.513672--0.795804))+0-190.6--0.388823999999992</f>
        <v>794.67554800000005</v>
      </c>
      <c r="I353" s="3">
        <f>1133.7+(249.2-407.2)+(0.578187+(0.127092-0.207672))+0-187.6-0.095675999999981</f>
        <v>788.50193100000001</v>
      </c>
      <c r="J353" s="3">
        <f>1141.1+(261.5-417.7)+(0+(0-0))+0-187.6-0</f>
        <v>797.29999999999984</v>
      </c>
      <c r="K353" s="3">
        <f>1139+(322.6-463.7)+(-1.16178+(-0.329052--0.472974))+0-185.5--0.18921000000003</f>
        <v>811.57135200000005</v>
      </c>
      <c r="L353" s="3">
        <f>1138.2+(296.3-379)+(0.580482+(0.151113-0.19329))+0-183.4-0.0935339999999814</f>
        <v>872.54477100000008</v>
      </c>
      <c r="M353" s="3">
        <f>1125.5+(329.9-350.7)+(1.14801+(0.336498-0.357714))+0-187.2-0.19094400000003</f>
        <v>918.43584999999996</v>
      </c>
      <c r="N353" s="3">
        <f>1114.8+(353.6-346.1)+(1.137096+(0.360672-0.353022))+0-188-0.19176000000003</f>
        <v>935.25298599999985</v>
      </c>
      <c r="O353" s="3">
        <f>1100.3+(376.6-322.9)+(0+(0-0))+0-187.6-0</f>
        <v>966.4</v>
      </c>
      <c r="P353" s="3">
        <f>1088+(381.7-300.6)+(-1.10976+(-0.389334--0.306612))+0-186.6--0.19033200000003</f>
        <v>981.49784999999997</v>
      </c>
      <c r="Q353" s="3">
        <f>1078.8+(378-297.3)+(-2.75094+(-0.9639--0.758115))+0-183.6--0.468179999999973</f>
        <v>973.41145499999993</v>
      </c>
      <c r="R353" s="3">
        <f>1072+(369.2-275.6)+(-1.64016+(-0.564876--0.421668))+0-179.6--0.27478800000001</f>
        <v>984.49141999999983</v>
      </c>
      <c r="S353" s="3">
        <f>1074+(395.1-301.9)+(-2.19096+(-0.806004--0.615876))+0-181.1--0.369443999999992</f>
        <v>984.08835599999998</v>
      </c>
      <c r="T353" s="3">
        <f>1070.3+(336.5-239.3)+(-0.545853+(-0.171615--0.122043))+0-185.6--0.0946559999999812</f>
        <v>981.39923099999999</v>
      </c>
      <c r="U353" s="3">
        <f>1070.5+(330.9-236.6)+(0+(0-0))+0-186.6-0</f>
        <v>978.19999999999993</v>
      </c>
      <c r="V353" s="3">
        <f>1059.1+(383.9-279)+(1.620423+(0.587367-0.42687))+0-188.8-0.288864000000011</f>
        <v>976.69205599999998</v>
      </c>
      <c r="W353" s="3">
        <f>1015+(463.9-292.7)+(-1.55295+(-0.709767--0.447831))+0-189.9--0.290547000000011</f>
        <v>994.77566100000024</v>
      </c>
      <c r="X353" s="3">
        <f>1041.9+(542.5-325.8)+(1.062738+(0.55335-0.332316))+0-192-0.195840000000031</f>
        <v>1067.687932</v>
      </c>
      <c r="Y353" s="3">
        <f>1082+(505.7-346.2)+(-1.65546+(-0.773721--0.529686))+0-187.5--0.286875000000011</f>
        <v>1052.3873800000001</v>
      </c>
      <c r="Z353" s="3">
        <f>1078+(460.5-327.9)+(-2.19912+(-0.93942--0.668916))+0-186.5--0.380459999999992</f>
        <v>1022.0108359999998</v>
      </c>
      <c r="AA353" s="3">
        <f>1072.2+(419.1-302.5)+(-1.640466+(-0.641223--0.462825))+0-187.7--0.287181000000011</f>
        <v>999.56831700000009</v>
      </c>
      <c r="AB353" s="3">
        <f>1133.9+(341.1-318.2)+(-2.891445+(-0.869805--0.81141))+0-192.4--0.490619999999972</f>
        <v>961.94078000000013</v>
      </c>
      <c r="AC353" s="3">
        <f>1170.3+(248.3-320.4)+(-0.596853+(-0.126633--0.163404))+0-194.2--0.0990419999999803</f>
        <v>903.53895999999997</v>
      </c>
      <c r="AD353">
        <v>1051.9000000000001</v>
      </c>
      <c r="AE353" s="3">
        <f>1076+(520.7-343.4)+(0+(0-0))+0-188.4-0</f>
        <v>1064.9000000000001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1155.9+(204.8-303.3)+(-2.947545+(-0.52224--0.773415))+0-191.7--0.488834999999972</f>
        <v>863.49246500000015</v>
      </c>
      <c r="G354" s="3">
        <f>1163.5+(176.1-307.8)+(-2.966925+(-0.449055--0.78489))+0-192.2--0.490109999999972</f>
        <v>837.45901999999978</v>
      </c>
      <c r="H354" s="3">
        <f>1185.7+(149.3-310.9)+(-1.814121+(-0.228429--0.475677))+0-191.7--0.293301000000011</f>
        <v>831.12642800000015</v>
      </c>
      <c r="I354" s="3">
        <f>1188.2+(168.9-345.1)+(1.817946+(0.258417-0.528003))+0-192.9-0.295137000000011</f>
        <v>820.35322300000007</v>
      </c>
      <c r="J354" s="3">
        <f>1192.3+(168.7-343.5)+(2.432292+(0.344148-0.70074))+0-190.4-0.388415999999992</f>
        <v>828.787284</v>
      </c>
      <c r="K354" s="3">
        <f>1196+(190.5-351.4)+(3.0498+(0.485775-0.89607))+0-191.2-0.487559999999972</f>
        <v>846.05194500000005</v>
      </c>
      <c r="L354" s="3">
        <f>1197.2+(250.8-374)+(-1.221144+(-0.255816--0.38148))+0-190.9--0.19471800000003</f>
        <v>882.19923800000015</v>
      </c>
      <c r="M354" s="3">
        <f>1185+(284.5-325.7)+(1.2087+(0.29019-0.332214))+0-192-0.195840000000031</f>
        <v>952.77083600000003</v>
      </c>
      <c r="N354" s="3">
        <f>1159.9+(334.7-301.2)+(0.591549+(0.170697-0.153612))+0-197.1-0.10052099999998</f>
        <v>996.80811300000005</v>
      </c>
      <c r="O354" s="3">
        <f>1144.4+(389.2-331.7)+(1.167288+(0.396984-0.338334))+0-191.5-0.195330000000031</f>
        <v>1011.4306080000001</v>
      </c>
      <c r="P354" s="3">
        <f>1146.3+(418-349.8)+(-1.169226+(-0.42636--0.356796))+0-186--0.18972000000003</f>
        <v>1027.45093</v>
      </c>
      <c r="Q354" s="3">
        <f>1129.8+(445.6-354.5)+(-1.728594+(-0.681768--0.542385))+0-185.9--0.284427000000011</f>
        <v>1033.4164499999999</v>
      </c>
      <c r="R354" s="3">
        <f>1127.5+(433.6-367.3)+(-2.3001+(-0.884544--0.749292))+0-180.4--0.368015999999992</f>
        <v>1011.332664</v>
      </c>
      <c r="S354" s="3">
        <f>1119.7+(402.8-364.4)+(1.142094+(0.410856-0.371688))+0-177.9-0.181458000000028</f>
        <v>981.1998040000002</v>
      </c>
      <c r="T354" s="3">
        <f>1111.6+(396-355.1)+(1.133832+(0.40392-0.362202))+0-179.7-0.183294000000029</f>
        <v>973.79225599999984</v>
      </c>
      <c r="U354" s="3">
        <f>1105.8+(386-339.6)+(-1.127916+(-0.39372--0.346392))+0-176.2--0.179724000000028</f>
        <v>975.00447999999983</v>
      </c>
      <c r="V354" s="3">
        <f>1107.2+(388.8-340.7)+(-1.694016+(-0.594864--0.521271))+0-182.2--0.278766000000011</f>
        <v>971.61115700000016</v>
      </c>
      <c r="W354" s="3">
        <f>1108.9+(409.2-349.6)+(-2.827695+(-1.04346--0.89148))+0-189.3--0.482714999999973</f>
        <v>976.70303999999999</v>
      </c>
      <c r="X354" s="3">
        <f>1121.2+(493.8-377.5)+(0.571812+(0.251838-0.192525))+0-190.2-0.0970019999999807</f>
        <v>1047.8341230000001</v>
      </c>
      <c r="Y354" s="3">
        <f>1129.6+(452.3-352)+(-3.456576+(-1.384038--1.07712))+0-189.4--0.579564000000022</f>
        <v>1037.3160699999999</v>
      </c>
      <c r="Z354" s="3">
        <f>1132.8+(387.1-326.5)+(0+(0-0))+0-186.6-0</f>
        <v>1006.8000000000001</v>
      </c>
      <c r="AA354" s="3">
        <f>1134.7+(337.2-305.1)+(-1.736091+(-0.515916--0.466803))+0-184.7--0.282591000000011</f>
        <v>980.59738699999991</v>
      </c>
      <c r="AB354" s="3">
        <f>1143.7+(304.7-303.5)+(-2.333148+(-0.621588--0.61914))+0-185.1--0.377603999999992</f>
        <v>957.84200800000019</v>
      </c>
      <c r="AC354" s="3">
        <f>1144.9+(233.4-272.9)+(-0.583899+(-0.119034--0.139179))+0-191.1--0.0974609999999806</f>
        <v>913.833707</v>
      </c>
      <c r="AD354">
        <v>1045.5999999999999</v>
      </c>
      <c r="AE354" s="3">
        <f>1121+(493.6-375.6)+(0+(0-0))+0-180.4-0</f>
        <v>1058.5999999999999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1155.3+(210.4-292.7)+(-1.767609+(-0.321912--0.447831))+0-189.9--0.290547000000011</f>
        <v>881.74885700000016</v>
      </c>
      <c r="G355" s="3">
        <f>1170.9+(193.1-331.6)+(-2.388636+(-0.393924--0.676464))+0-179.1--0.365363999999992</f>
        <v>851.55926800000009</v>
      </c>
      <c r="H355" s="3">
        <f>1171.7+(167.9-319.7)+(-0.597567+(-0.085629--0.163047))+0-182--0.0928199999999815</f>
        <v>837.4726710000001</v>
      </c>
      <c r="I355" s="3">
        <f>1175.7+(166.1-334.9)+(-1.798821+(-0.254133--0.512397))+0-182.3--0.278919000000011</f>
        <v>823.33836200000007</v>
      </c>
      <c r="J355" s="3">
        <f>1170.6+(171.1-332.3)+(0.597006+(0.087261-0.169473))+0-181-0.0923099999999816</f>
        <v>828.82248399999992</v>
      </c>
      <c r="K355" s="3">
        <f>1183.1+(190.6-351.2)+(0+(0-0))+0-182.4-0</f>
        <v>840.09999999999991</v>
      </c>
      <c r="L355" s="3">
        <f>1189.2+(205.9-347.5)+(-2.425968+(-0.420036--0.7089))+0-178.1--0.363323999999992</f>
        <v>867.72622000000024</v>
      </c>
      <c r="M355" s="3">
        <f>1181.5+(244.5-324.6)+(0.602565+(0.124695-0.165546))+0-180.8-0.0922079999999817</f>
        <v>921.06950600000005</v>
      </c>
      <c r="N355" s="3">
        <f>1169.5+(303.8-340)+(1.19289+(0.309876-0.3468))+0-182.9-0.186558000000029</f>
        <v>951.36940800000002</v>
      </c>
      <c r="O355" s="3">
        <f>1155.5+(371.5-370.3)+(-0.589305+(-0.189465--0.188853))+0-179.8--0.0916979999999818</f>
        <v>976.40178100000003</v>
      </c>
      <c r="P355" s="3">
        <f>1143.9+(367.5-328)+(0.583389+(0.187425-0.16728))+0-183-0.0933299999999814</f>
        <v>1000.9102040000001</v>
      </c>
      <c r="Q355" s="3">
        <f>1134.7+(351.5-294.7)+(-1.736091+(-0.537795--0.450891))+0-182.3--0.278919000000011</f>
        <v>1007.655924</v>
      </c>
      <c r="R355" s="3">
        <f>1126.8+(374-310.8)+(-3.448008+(-1.14444--0.951048))+0-180.4--0.552024000000021</f>
        <v>1006.5106240000001</v>
      </c>
      <c r="S355" s="3">
        <f>1119.3+(321.1-275)+(-0.570843+(-0.163761--0.14025))+0-181.8--0.0927179999999816</f>
        <v>983.09836400000006</v>
      </c>
      <c r="T355" s="3">
        <f>1119.8+(311.3-270.1)+(0+(0-0))+0-185.7-0</f>
        <v>975.3</v>
      </c>
      <c r="U355" s="3">
        <f>1121.8+(282.5-264.3)+(-0.572118+(-0.144075--0.134793))+0-180.1--0.0918509999999817</f>
        <v>959.41045099999997</v>
      </c>
      <c r="V355" s="3">
        <f>1125.7+(284.3-264.9)+(-1.148214+(-0.289986--0.270198))+0-181.9--0.185538000000029</f>
        <v>962.21753600000034</v>
      </c>
      <c r="W355" s="3">
        <f>1142.6+(316.5-289.6)+(-2.330904+(-0.64566--0.590784))+0-180.2--0.367607999999992</f>
        <v>987.2818279999999</v>
      </c>
      <c r="X355" s="3">
        <f>1148.7+(409.2-308.9)+(0.585837+(0.208692-0.157539))+0-180.2-0.0919019999999817</f>
        <v>1069.345088</v>
      </c>
      <c r="Y355" s="3">
        <f>1157.8+(389.5-304.5)+(-1.771434+(-0.595935--0.465885))+0-180--0.27540000000001</f>
        <v>1061.173916</v>
      </c>
      <c r="Z355" s="3">
        <f>1156.1+(380.7-318.9)+(1.179222+(0.388314-0.325278))+0-188.7-0.19247400000003</f>
        <v>1030.2497839999999</v>
      </c>
      <c r="AA355" s="3">
        <f>1163.9+(330.7-291.9)+(-2.374356+(-0.674628--0.595476))+0-195.1--0.398003999999991</f>
        <v>1005.544496</v>
      </c>
      <c r="AB355" s="3">
        <f>1177.2+(295.2-316.6)+(-0.600372+(-0.150552--0.161466))+0-187.1--0.095420999999981</f>
        <v>968.205963</v>
      </c>
      <c r="AC355" s="3">
        <f>1159.5+(294.7-352.3)+(-1.774035+(-0.450891--0.539019))+0-181.2--0.27723600000001</f>
        <v>919.29132900000002</v>
      </c>
      <c r="AD355">
        <v>1060</v>
      </c>
      <c r="AE355" s="3">
        <f>1150+(415.1-304.8)+(0+(0-0))+0-185.3-0</f>
        <v>1075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1134.7+(282.2-367.6)+(-1.157394+(-0.287844--0.374952))+0-176.5--0.180030000000028</f>
        <v>871.90974400000005</v>
      </c>
      <c r="G356" s="3">
        <f>1140.5+(234.4-357.8)+(-1.16331+(-0.239088--0.364956))+0-171.9--0.175338000000027</f>
        <v>844.337896</v>
      </c>
      <c r="H356" s="3">
        <f>1138.5+(209.9-344.1)+(1.16127+(0.214098-0.350982))+0-173.1-0.176562000000028</f>
        <v>832.04782399999999</v>
      </c>
      <c r="I356" s="3">
        <f>1142.1+(204.4-340.2)+(-1.747413+(-0.312732--0.520506))+0-175.3--0.26820900000001</f>
        <v>829.72856999999988</v>
      </c>
      <c r="J356" s="3">
        <f>1143.7+(209.7-342.7)+(-1.166574+(-0.213894--0.349554))+0-175.8--0.179316000000028</f>
        <v>834.0484019999999</v>
      </c>
      <c r="K356" s="3">
        <f>1148.4+(266-379.9)+(0+(0-0))+0-175.5-0</f>
        <v>859</v>
      </c>
      <c r="L356" s="3">
        <f>1158.5+(336.1-403.1)+(0+(0-0))+0-173.7-0</f>
        <v>917.8</v>
      </c>
      <c r="M356" s="3">
        <f>1178+(329.7-369.3)+(1.20156+(0.336294-0.376686))+0-172.6-0.176052000000028</f>
        <v>966.78511600000013</v>
      </c>
      <c r="N356" s="3">
        <f>1169.1+(352.8-366.1)+(0+(0-0))+0-168.4-0</f>
        <v>987.4</v>
      </c>
      <c r="O356" s="3">
        <f>1144.9+(412.4-369.6)+(0.583899+(0.210324-0.188496))+0-159.4-0.0812939999999838</f>
        <v>1028.8244329999998</v>
      </c>
      <c r="P356" s="3">
        <f>1138+(426.2-364.4)+(0+(0-0))+0-159-0</f>
        <v>1040.8</v>
      </c>
      <c r="Q356" s="3">
        <f>1136.9+(476.2-406.4)+(0+(0-0))+0-161.9-0</f>
        <v>1044.8</v>
      </c>
      <c r="R356" s="3">
        <f>1139.6+(465.3-412.2)+(-2.90598+(-1.186515--1.05111))+0-162.8--0.415139999999976</f>
        <v>1027.2737549999999</v>
      </c>
      <c r="S356" s="3">
        <f>1144.1+(447-411)+(-0.583491+(-0.22797--0.20961))+0-160--0.0815999999999838</f>
        <v>1019.579749</v>
      </c>
      <c r="T356" s="3">
        <f>1142.4+(406.4-387.9)+(0+(0-0))+0-158.6-0</f>
        <v>1002.3000000000001</v>
      </c>
      <c r="U356" s="3">
        <f>1140.4+(414.1-392.1)+(-0.581604+(-0.211191--0.199971))+0-157.5--0.080324999999984</f>
        <v>1004.387501</v>
      </c>
      <c r="V356" s="3">
        <f>1144.7+(400.1-378.3)+(-1.167594+(-0.408102--0.385866))+0-154.3--0.157386000000025</f>
        <v>1011.167556</v>
      </c>
      <c r="W356" s="3">
        <f>1147.4+(423.6-393.4)+(-1.755522+(-0.648108--0.601902))+0-158.1--0.241893000000009</f>
        <v>1017.9401650000002</v>
      </c>
      <c r="X356" s="3">
        <f>1150.9+(529.9-429.7)+(0+(0-0))+0-156.8-0</f>
        <v>1094.3000000000002</v>
      </c>
      <c r="Y356" s="3">
        <f>1163.9+(508.4-436)+(-1.780767+(-0.777852--0.66708))+0-155.4--0.237762000000009</f>
        <v>1079.2462230000001</v>
      </c>
      <c r="Z356" s="3">
        <f>1175.8+(459.5-430.9)+(-2.99829+(-1.171725--1.098795))+0-155.1--0.395504999999977</f>
        <v>1046.6242850000001</v>
      </c>
      <c r="AA356" s="3">
        <f>1184.6+(424.1-434)+(-2.416584+(-0.865164--0.88536))+0-157.6--0.321503999999993</f>
        <v>1015.0251159999999</v>
      </c>
      <c r="AB356" s="3">
        <f>1189.1+(363.6-423.1)+(-0.606441+(-0.185436--0.215781))+0-156.2--0.0796619999999841</f>
        <v>972.90356599999984</v>
      </c>
      <c r="AC356" s="3">
        <f>1167.4+(354.4-429)+(-2.381496+(-0.722976--0.87516))+0-158.4--0.323135999999993</f>
        <v>932.49382400000025</v>
      </c>
      <c r="AD356">
        <v>1082.0999999999999</v>
      </c>
      <c r="AE356" s="3">
        <f>1138+(553-444.4)+(0+(0-0))+0-151.5-0</f>
        <v>1095.0999999999999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1031.9+(432-422.1)+(-1.052538+(-0.44064--0.430542))+0-158.4--0.161568000000025</f>
        <v>882.49893200000008</v>
      </c>
      <c r="G357" s="3">
        <f>1023.1+(368.2-377.7)+(-1.043562+(-0.375564--0.385254))+0-159.2--0.162384000000025</f>
        <v>853.52851200000009</v>
      </c>
      <c r="H357" s="3">
        <f>1027.5+(367.7-396)+(-2.0961+(-0.750108--0.80784))+0-155--0.316199999999993</f>
        <v>842.47783200000003</v>
      </c>
      <c r="I357" s="3">
        <f>1030+(353.9-392.2)+(0+(0-0))+0-156.8-0</f>
        <v>834.90000000000009</v>
      </c>
      <c r="J357" s="3">
        <f>1027.2+(373-400.5)+(-1.047744+(-0.38046--0.40851))+0-159.3--0.162486000000025</f>
        <v>839.54279200000008</v>
      </c>
      <c r="K357" s="3">
        <f>1035+(403.2-412.5)+(0.52785+(0.205632-0.210375))+0-155.7-0.0794069999999842</f>
        <v>870.44370000000004</v>
      </c>
      <c r="L357" s="3">
        <f>1035.6+(476.6-422.8)+(-0.528156+(-0.243066--0.215628))+0-157--0.0800699999999841</f>
        <v>931.92447599999991</v>
      </c>
      <c r="M357" s="3">
        <f>1034.9+(538.7-422.4)+(0+(0-0))+0-160.5-0</f>
        <v>990.70000000000027</v>
      </c>
      <c r="N357" s="3">
        <f>1022.2+(559.6-404.2)+(0.521322+(0.285396-0.206142))+0-157.6-0.080375999999984</f>
        <v>1020.5202000000002</v>
      </c>
      <c r="O357" s="3">
        <f>1009.8+(531.6-378)+(-0.514998+(-0.271116--0.19278))+0-149.3--0.0761429999999849</f>
        <v>1013.5828090000002</v>
      </c>
      <c r="P357" s="3">
        <f>997.4+(589.8-416.7)+(-0.508674+(-0.300798--0.212517))+0-144.4--0.0736439999999854</f>
        <v>1025.576689</v>
      </c>
      <c r="Q357" s="3">
        <f>983.4+(578.2-399.7)+(0.501534+(0.294882-0.203847))+0-138.5-0.0706349999999859</f>
        <v>1023.921934</v>
      </c>
      <c r="R357" s="3">
        <f>981.4+(585.7-411.3)+(-2.50257+(-1.493535--1.048815))+0-140.9--0.35929499999998</f>
        <v>1012.3120049999999</v>
      </c>
      <c r="S357" s="3">
        <f>979+(540-368)+(-1.99716+(-1.1016--0.75072))+0-146--0.297839999999994</f>
        <v>1002.9497999999999</v>
      </c>
      <c r="T357" s="3">
        <f>973.2+(537.3-358.4)+(0.496332+(0.274023-0.182784))+0-149.3-0.0761429999999849</f>
        <v>1003.311428</v>
      </c>
      <c r="U357" s="3">
        <f>972.9+(545.9-367.6)+(-0.992358+(-0.556818--0.374952))+0-148.1--0.151062000000024</f>
        <v>1002.0768379999997</v>
      </c>
      <c r="V357" s="3">
        <f>975.6+(524.4-349.8)+(-2.48778+(-1.33722--0.89199))+0-148.3--0.378164999999978</f>
        <v>999.34515500000009</v>
      </c>
      <c r="W357" s="3">
        <f>983+(569.5-389.6)+(-2.00532+(-1.16178--0.794784))+0-149.7--0.305387999999993</f>
        <v>1011.1330720000001</v>
      </c>
      <c r="X357" s="3">
        <f>983.5+(661.4-405.7)+(-0.501585+(-0.337314--0.206907))+0-150.6--0.0768059999999847</f>
        <v>1088.0448140000001</v>
      </c>
      <c r="Y357" s="3">
        <f>992.1+(641.3-407.1)+(-1.517913+(-0.981189--0.622863))+0-155--0.237150000000009</f>
        <v>1069.6609109999999</v>
      </c>
      <c r="Z357" s="3">
        <f>1002.1+(644.6-452.2)+(-1.533213+(-0.986238--0.691866))+0-156.5--0.239445000000009</f>
        <v>1036.4118599999999</v>
      </c>
      <c r="AA357" s="3">
        <f>1019+(610.8-447.1)+(-1.03938+(-0.623016--0.456042))+0-157.7--0.160854000000025</f>
        <v>1023.9544999999998</v>
      </c>
      <c r="AB357" s="3">
        <f>1030.4+(509.2-406.4)+(-1.576512+(-0.779076--0.621792))+0-157.2--0.240516000000009</f>
        <v>974.50671999999997</v>
      </c>
      <c r="AC357" s="3">
        <f>1034.3+(436.4-396.1)+(-0.527493+(-0.222564--0.202011))+0-156.9--0.0800189999999841</f>
        <v>917.23197299999981</v>
      </c>
      <c r="AD357">
        <v>1064.5999999999999</v>
      </c>
      <c r="AE357" s="3">
        <f>983+(642.4-402.9)+(0+(0-0))+0-143.9-0</f>
        <v>1078.5999999999999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1036.6+(401.2-405.2)+(-1.585998+(-0.613836--0.619956))+0-160.1--0.244953000000009</f>
        <v>871.16507499999989</v>
      </c>
      <c r="G358" s="3">
        <f>1041.4+(391.2-418.8)+(-1.062228+(-0.399024--0.427176))+0-157.4--0.160548000000025</f>
        <v>855.52647200000013</v>
      </c>
      <c r="H358" s="3">
        <f>1044.9+(369.9-425.1)+(-1.598697+(-0.565947--0.650403))+0-157.9--0.241587000000009</f>
        <v>830.52734600000008</v>
      </c>
      <c r="I358" s="3">
        <f>1047.8+(346-410.7)+(-1.068756+(-0.35292--0.418914))+0-160.1--0.163302000000026</f>
        <v>822.16053999999997</v>
      </c>
      <c r="J358" s="3">
        <f>1051.5+(307.6-369.1)+(1.07253+(0.313752-0.376482))+0-159.8-0.162996000000025</f>
        <v>831.04680400000007</v>
      </c>
      <c r="K358" s="3">
        <f>1052.1+(372.6-414.5)+(0+(0-0))+0-157-0</f>
        <v>853.19999999999993</v>
      </c>
      <c r="L358" s="3">
        <f>1056.1+(411.4-403.4)+(0.538611+(0.209814-0.205734))+0-154.7-0.0788969999999843</f>
        <v>909.86379399999998</v>
      </c>
      <c r="M358" s="3">
        <f>1051.8+(517.6-457.1)+(1.072836+(0.527952-0.466242))+0-157.9-0.161058000000025</f>
        <v>955.37348799999995</v>
      </c>
      <c r="N358" s="3">
        <f>1040.4+(558-460.6)+(1.061208+(0.56916-0.469812))+0-157.5-0.160650000000025</f>
        <v>981.29990600000019</v>
      </c>
      <c r="O358" s="3">
        <f>1032.6+(562.3-447.6)+(0.526626+(0.286773-0.228276))+0-151.7-0.0773669999999846</f>
        <v>996.10775599999977</v>
      </c>
      <c r="P358" s="3">
        <f>1022.7+(568.5-435.6)+(0+(0-0))+0-151.6-0</f>
        <v>1003.9999999999999</v>
      </c>
      <c r="Q358" s="3">
        <f>1011.3+(553.2-419.1)+(0+(0-0))+0-150.7-0</f>
        <v>994.7</v>
      </c>
      <c r="R358" s="3">
        <f>998.1+(564.4-413.9)+(-2.036124+(-1.151376--0.844356))+0-150.1--0.306203999999993</f>
        <v>996.46305999999993</v>
      </c>
      <c r="S358" s="3">
        <f>984.6+(549.8-396.4)+(-0.502146+(-0.280398--0.202164))+0-149.9--0.0764489999999848</f>
        <v>987.59606899999994</v>
      </c>
      <c r="T358" s="3">
        <f>983.3+(565.6-407)+(0+(0-0))+0-167.2-0</f>
        <v>974.7</v>
      </c>
      <c r="U358" s="3">
        <f>979.9+(646.4-474.6)+(-0.999498+(-0.659328--0.484092))+0-162.5--0.165750000000026</f>
        <v>988.19101599999988</v>
      </c>
      <c r="V358" s="3">
        <f>978.3+(656.1-482.9)+(0.498933+(0.334611-0.246279))+0-166.1-0.0847109999999831</f>
        <v>985.9025539999999</v>
      </c>
      <c r="W358" s="3">
        <f>980.3+(686.1-505.8)+(0.499953+(0.349911-0.257958))+0-168.7-0.0860369999999829</f>
        <v>992.40586899999994</v>
      </c>
      <c r="X358" s="3">
        <f>987.6+(715.6-462.7)+(0.503676+(0.364956-0.235977))+0-172.3-0.0878729999999825</f>
        <v>1068.7447820000002</v>
      </c>
      <c r="Y358" s="3">
        <f>999.2+(681.1-462.3)+(-0.509592+(-0.347361--0.235773))+0-166--0.0846599999999832</f>
        <v>1051.4634799999999</v>
      </c>
      <c r="Z358" s="3">
        <f>999.1+(671.6-482.4)+(0.509541+(0.342516-0.246024))+0-162.6-0.0829259999999835</f>
        <v>1026.2231070000003</v>
      </c>
      <c r="AA358" s="3">
        <f>1005.7+(647.9-475.1)+(-0.512907+(-0.330429--0.242301))+0-168.8--0.0860879999999829</f>
        <v>1009.1850530000002</v>
      </c>
      <c r="AB358" s="3">
        <f>1003.7+(621.5-487.7)+(-4.095096+(-2.53572--1.989816))+0-167.7--0.684215999999985</f>
        <v>965.84321599999987</v>
      </c>
      <c r="AC358" s="3">
        <f>1010.8+(520.8-448.3)+(-3.093048+(-1.593648--1.371798))+0-168.2--0.514692000000019</f>
        <v>912.29979399999979</v>
      </c>
      <c r="AD358">
        <v>1068.7999999999997</v>
      </c>
      <c r="AE358" s="3">
        <f>987+(711.3-460.6)+(0+(0-0))+0-154.9-0</f>
        <v>1082.7999999999997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1008.7+(494.9-466.5)+(-1.543311+(-0.757197--0.713745))+0-167.6--0.25642800000001</f>
        <v>868.1696649999999</v>
      </c>
      <c r="G359" s="3">
        <f>1002.4+(421.5-415.4)+(-0.511224+(-0.214965--0.211854))+0-171.5--0.0874649999999826</f>
        <v>836.57312999999999</v>
      </c>
      <c r="H359" s="3">
        <f>1003.6+(410.9-417.3)+(0+(0-0))+0-176-0</f>
        <v>821.2</v>
      </c>
      <c r="I359" s="3">
        <f>1007.4+(375.4-382.6)+(0.513774+(0.191454-0.195126))+0-189.8-0.0967979999999807</f>
        <v>810.81330399999979</v>
      </c>
      <c r="J359" s="3">
        <f>1007.2+(441.4-436.2)+(0+(0-0))+0-193.8-0</f>
        <v>818.60000000000014</v>
      </c>
      <c r="K359" s="3">
        <f>1001.7+(496.6-469.7)+(0.510867+(0.253266-0.239547))+0-189.9-0.0968489999999807</f>
        <v>839.12773700000014</v>
      </c>
      <c r="L359" s="3">
        <f>1007.1+(508.2-453.4)+(-2.054484+(-1.036728--0.924936))+0-177--0.361079999999992</f>
        <v>883.09480400000018</v>
      </c>
      <c r="M359" s="3">
        <f>988.3+(561.1-426.1)+(1.512099+(0.858483-0.651933))+0-182.7-0.279531000000011</f>
        <v>942.0391179999998</v>
      </c>
      <c r="N359" s="3">
        <f>969.3+(567-397.2)+(0.988686+(0.57834-0.405144))+0-173.1-0.176562000000028</f>
        <v>966.98532</v>
      </c>
      <c r="O359" s="3">
        <f>963.1+(571.8-399.8)+(1.964724+(1.166472-0.815592))+0-161.5-0.329459999999993</f>
        <v>975.58614399999976</v>
      </c>
      <c r="P359" s="3">
        <f>948+(577.8-379)+(0+(0-0))+0-169.1-0</f>
        <v>977.69999999999993</v>
      </c>
      <c r="Q359" s="3">
        <f>934.4+(582.5-358.5)+(-0.476544+(-0.297075--0.182835))+0-168.4--0.0858839999999829</f>
        <v>989.49510000000009</v>
      </c>
      <c r="R359" s="3">
        <f>956.9+(567-380.6)+(0+(0-0))+0-168.5-0</f>
        <v>974.8</v>
      </c>
      <c r="S359" s="3">
        <f>942.6+(630.8-424.7)+(0+(0-0))+0-179-0</f>
        <v>969.7</v>
      </c>
      <c r="T359" s="3">
        <f>937.9+(587.4-385.6)+(0+(0-0))+0-183.1-0</f>
        <v>956.5999999999998</v>
      </c>
      <c r="U359" s="3">
        <f>935.8+(539.8-341.9)+(-1.431774+(-0.825894--0.523107))+0-180.5--0.27616500000001</f>
        <v>951.74160399999982</v>
      </c>
      <c r="V359" s="3">
        <f>942.8+(516.5-333.8)+(1.923312+(1.05366-0.680952))+0-182.1-0.371483999999992</f>
        <v>945.32453599999997</v>
      </c>
      <c r="W359" s="3">
        <f>944.5+(565.2-357.3)+(-0.481695+(-0.288252--0.182223))+0-184.4--0.0940439999999813</f>
        <v>967.50632000000007</v>
      </c>
      <c r="X359" s="3">
        <f>954.7+(597-320.7)+(0+(0-0))+0-187.4-0</f>
        <v>1043.5999999999999</v>
      </c>
      <c r="Y359" s="3">
        <f>969.3+(556.9-303.6)+(-1.483029+(-0.852057--0.464508))+0-190.7--0.291771000000011</f>
        <v>1030.3211929999998</v>
      </c>
      <c r="Z359" s="3">
        <f>962.7+(572-346)+(-0.490977+(-0.29172--0.17646))+0-187--0.095369999999981</f>
        <v>1001.1891330000001</v>
      </c>
      <c r="AA359" s="3">
        <f>967.8+(561-356.2)+(-0.493578+(-0.28611--0.181662))+0-192.2--0.0980219999999805</f>
        <v>979.89999599999999</v>
      </c>
      <c r="AB359" s="3">
        <f>975.8+(501.5-344.7)+(-2.48829+(-1.278825--0.878985))+0-188.5--0.480674999999973</f>
        <v>941.69254499999988</v>
      </c>
      <c r="AC359" s="3">
        <f>983.3+(477.7-372.9)+(-2.507415+(-1.218135--0.950895))+0-192.5--0.490874999999972</f>
        <v>893.31621999999993</v>
      </c>
      <c r="AD359">
        <v>1046.9000000000001</v>
      </c>
      <c r="AE359" s="3">
        <f>960+(582.1-304.1)+(0+(0-0))+0-176.1-0</f>
        <v>1061.9000000000001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982.9+(426.9-370.4)+(-1.002558+(-0.435438--0.377808))+0-184.4--0.188088000000029</f>
        <v>854.12790000000018</v>
      </c>
      <c r="G360" s="3">
        <f>972.2+(432.2-399.1)+(-0.495822+(-0.220422--0.203541))+0-179.2--0.0913919999999818</f>
        <v>825.67868899999996</v>
      </c>
      <c r="H360" s="3">
        <f>980.4+(434.7-425.8)+(0+(0-0))+0-180-0</f>
        <v>809.3</v>
      </c>
      <c r="I360" s="3">
        <f>988.6+(420.1-429.1)+(1.008372+(0.428502-0.437682))+0-180.8-0.184416000000029</f>
        <v>799.61477599999989</v>
      </c>
      <c r="J360" s="3">
        <f>994.1+(388-404.3)+(2.534955+(0.9894-1.030965))+0-176.8-0.450839999999974</f>
        <v>803.04254999999989</v>
      </c>
      <c r="K360" s="3">
        <f>1001+(400.8-406.3)+(2.55255+(1.02204-1.036065))+0-175.5-0.447524999999975</f>
        <v>822.09100000000012</v>
      </c>
      <c r="L360" s="3">
        <f>998.2+(435.1-388.2)+(0.509082+(0.221901-0.197982))+0-173.3-0.0883829999999824</f>
        <v>872.24461800000017</v>
      </c>
      <c r="M360" s="3">
        <f>987.3+(498-380)+(0+(0-0))+0-177.5-0</f>
        <v>927.8</v>
      </c>
      <c r="N360" s="3">
        <f>974.3+(504.8-367.7)+(0+(0-0))+0-171.6-0</f>
        <v>939.80000000000007</v>
      </c>
      <c r="O360" s="3">
        <f>827.6+(627.5-322.1)+(0.844152+(0.64005-0.328542))+0-168.8-0.172176000000027</f>
        <v>965.18348399999991</v>
      </c>
      <c r="P360" s="3">
        <f>770.1+(676.2-299)+(-0.392751+(-0.344862--0.15249))+0-165.5--0.0844049999999832</f>
        <v>981.29928200000006</v>
      </c>
      <c r="Q360" s="3">
        <f>761.3+(680.5-275.7)+(-0.776526+(-0.69411--0.281214))+0-164.9--0.168198000000026</f>
        <v>1000.1787760000001</v>
      </c>
      <c r="R360" s="3">
        <f>751.7+(656.2-247.9)+(-0.766734+(-0.669324--0.252858))+0-160.7--0.163914000000026</f>
        <v>998.28071399999999</v>
      </c>
      <c r="S360" s="3">
        <f>760.1+(641.6-248.1)+(-0.387651+(-0.327216--0.126531))+0-164.5--0.0838949999999833</f>
        <v>988.59555899999987</v>
      </c>
      <c r="T360" s="3">
        <f>809.5+(588-252.7)+(-1.65138+(-1.19952--0.515508))+0-155.1--0.316403999999993</f>
        <v>987.68101200000001</v>
      </c>
      <c r="U360" s="3">
        <f>910.8+(513.3-288.1)+(0+(0-0))+0-155.6-0</f>
        <v>980.4</v>
      </c>
      <c r="V360" s="3">
        <f>921.5+(528.2-316.6)+(-0.93993+(-0.538764--0.322932))+0-149.8--0.152796000000024</f>
        <v>982.29703399999994</v>
      </c>
      <c r="W360" s="3">
        <f>940.3+(511.5-323.2)+(-0.479553+(-0.260865--0.164832))+0-151--0.0770099999999847</f>
        <v>977.10142399999995</v>
      </c>
      <c r="X360" s="3">
        <f>949.3+(564.5-400.5)+(-0.484143+(-0.287895--0.204255))+0-141.4--0.0721139999999857</f>
        <v>971.40433099999996</v>
      </c>
      <c r="Y360" s="3">
        <f>961+(500.1-267.4)+(-0.98022+(-0.510102--0.272748))+0-141--0.143820000000022</f>
        <v>1051.626246</v>
      </c>
      <c r="Z360" s="3">
        <f>962.1+(472.9-254.2)+(-2.453355+(-1.205895--0.64821))+0-155.8--0.397289999999977</f>
        <v>1022.3862499999999</v>
      </c>
      <c r="AA360" s="3">
        <f>966.7+(461.5-251.8)+(-0.986034+(-0.47073--0.256836))+0-174.4--0.177888000000028</f>
        <v>1000.9779600000002</v>
      </c>
      <c r="AB360" s="3">
        <f>970.8+(421.3-246.6)+(-1.485324+(-0.644589--0.377298))+0-184.5--0.282285000000011</f>
        <v>959.5296699999999</v>
      </c>
      <c r="AC360" s="3">
        <f>971.9+(377.5-257.8)+(-1.487007+(-0.577575--0.394434))+0-181.2--0.27723600000001</f>
        <v>909.00708799999995</v>
      </c>
      <c r="AD360">
        <v>1038.3999999999999</v>
      </c>
      <c r="AE360" s="3">
        <f>957+(497.6-264)+(0+(0-0))+0-137.2-0</f>
        <v>1053.3999999999999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965.4+(363.5-296.7)+(-0.984708+(-0.37077--0.302634))+0-182.9--0.186558000000029</f>
        <v>848.43371400000001</v>
      </c>
      <c r="G361" s="3">
        <f>980+(317.1-285)+(0.4998+(0.161721-0.14535))+0-177.5-0.090524999999982</f>
        <v>835.02564600000005</v>
      </c>
      <c r="H361" s="3">
        <f>982.5+(303.5-295.9)+(-1.503225+(-0.464355--0.452727))+0-176.2--0.26958600000001</f>
        <v>812.65473299999996</v>
      </c>
      <c r="I361" s="3">
        <f>971.4+(311.8-292.3)+(-0.990828+(-0.318036--0.298146))+0-178.5--0.182070000000028</f>
        <v>811.57135200000005</v>
      </c>
      <c r="J361" s="3">
        <f>976+(321.3-305.7)+(-1.49328+(-0.491589--0.467721))+0-178--0.27234000000001</f>
        <v>812.35519199999999</v>
      </c>
      <c r="K361" s="3">
        <f>978.9+(315.1-286)+(1.497717+(0.482103-0.43758))+0-180.9-0.27677700000001</f>
        <v>828.36546299999998</v>
      </c>
      <c r="L361" s="3">
        <f>974.7+(331.1-264.2)+(-0.994194+(-0.337722--0.269484))+0-172.2--0.175644000000027</f>
        <v>868.51321200000018</v>
      </c>
      <c r="M361" s="3">
        <f>964.4+(450.7-314.4)+(0+(0-0))+0-179-0</f>
        <v>921.7</v>
      </c>
      <c r="N361" s="3">
        <f>954.3+(567.3-365.3)+(0.973386+(0.578646-0.372606))+0-177.7-0.181254000000028</f>
        <v>979.59817199999975</v>
      </c>
      <c r="O361" s="3">
        <f>939.3+(613-362.9)+(1.437129+(0.93789-0.555237))+0-194.4-0.297432000000011</f>
        <v>996.52235000000019</v>
      </c>
      <c r="P361" s="3">
        <f>914.9+(691.6-409.7)+(0+(0-0))+0-200-0</f>
        <v>996.8</v>
      </c>
      <c r="Q361" s="3">
        <f>899.6+(737.5-427.2)+(-0.458796+(-0.376125--0.217872))+0-186.2--0.0949619999999811</f>
        <v>1023.1779130000001</v>
      </c>
      <c r="R361" s="3">
        <f>879.5+(709.6-407.5)+(-3.58836+(-2.895168--1.6626))+0-185.1--0.755207999999984</f>
        <v>992.43427999999983</v>
      </c>
      <c r="S361" s="3">
        <f>880.5+(690.2-383.1)+(-1.79622+(-1.408008--0.781524))+0-183.7--0.374747999999992</f>
        <v>1001.8520439999998</v>
      </c>
      <c r="T361" s="3">
        <f>880.6+(651.7-359.3)+(0.449106+(0.332367-0.183243))+0-186.4-0.0950639999999811</f>
        <v>987.1031660000001</v>
      </c>
      <c r="U361" s="3">
        <f>885.6+(626.8-335.4)+(-2.709936+(-1.918008--1.026324))+0-183.7--0.562122000000021</f>
        <v>990.26050200000009</v>
      </c>
      <c r="V361" s="3">
        <f>905.1+(586.5-315.3)+(-2.769606+(-1.79469--0.964818))+0-192--0.587520000000022</f>
        <v>981.2880419999999</v>
      </c>
      <c r="W361" s="3">
        <f>917.3+(543.6-290.3)+(-1.403469+(-0.831708--0.444159))+0-192.1--0.293913000000011</f>
        <v>977.00289499999997</v>
      </c>
      <c r="X361" s="3">
        <f>936.5+(693.9-371.9)+(-0.477615+(-0.353889--0.189669))+0-189.8--0.0967979999999807</f>
        <v>1068.1549630000002</v>
      </c>
      <c r="Y361" s="3">
        <f>946+(659.5-365.9)+(-1.92984+(-1.34538--0.746436))+0-187.4--0.382295999999992</f>
        <v>1050.0535119999997</v>
      </c>
      <c r="Z361" s="3">
        <f>952.3+(618.6-355.4)+(0.485673+(0.315486-0.181254))+0-190.6-0.0972059999999807</f>
        <v>1025.4226990000002</v>
      </c>
      <c r="AA361" s="3">
        <f>960.6+(588.7-354.7)+(-1.469718+(-0.900711--0.542691))+0-192--0.293760000000011</f>
        <v>1001.0660220000002</v>
      </c>
      <c r="AB361" s="3">
        <f>966.5+(556.3-364.9)+(-0.492915+(-0.283713--0.186099))+0-189.3--0.0965429999999808</f>
        <v>968.10601400000007</v>
      </c>
      <c r="AC361" s="3">
        <f>970.7+(509.3-361.3)+(-3.465399+(-1.818201--1.289841))+0-188.6--0.673302000000003</f>
        <v>926.7795430000001</v>
      </c>
      <c r="AD361">
        <v>1073.4999999999998</v>
      </c>
      <c r="AE361" s="3">
        <f>944+(729.6-398.2)+(0+(0-0))+0-185.9-0</f>
        <v>1089.5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943.5+(499.2-386.2)+(-0.96237+(-0.509184--0.393924))+0-187.7--0.19145400000003</f>
        <v>867.91382399999998</v>
      </c>
      <c r="G362" s="3">
        <f>964.1+(448.4-392.4)+(-1.966764+(-0.914736--0.800496))+0-184.6--0.376583999999992</f>
        <v>833.79557999999997</v>
      </c>
      <c r="H362" s="3">
        <f>976.8+(461.6-433.4)+(-1.494504+(-0.706248--0.663102))+0-187.3--0.286569000000011</f>
        <v>816.44891900000005</v>
      </c>
      <c r="I362" s="3">
        <f>976.9+(408.7-394.4)+(-1.992876+(-0.833748--0.804576))+0-186.8--0.381071999999992</f>
        <v>802.75902400000007</v>
      </c>
      <c r="J362" s="3">
        <f>982.6+(383.7-372.5)+(1.503378+(0.587061-0.569925))+0-188.2-0.287946000000011</f>
        <v>806.83256799999992</v>
      </c>
      <c r="K362" s="3">
        <f>990.3+(397-385.8)+(2.020212+(0.80988-0.787032))+0-189.2-0.385967999999992</f>
        <v>813.95709199999988</v>
      </c>
      <c r="L362" s="3">
        <f>994.6+(404.8-369.1)+(-0.507246+(-0.206448--0.188241))+0-187--0.095369999999981</f>
        <v>842.86991699999999</v>
      </c>
      <c r="M362" s="3">
        <f>984.4+(454.5-360.2)+(-0.502044+(-0.231795--0.183702))+0-191.4--0.0976139999999806</f>
        <v>886.84747700000014</v>
      </c>
      <c r="N362" s="3">
        <f>969.8+(487-340.6)+(-1.483794+(-0.74511--0.521118))+0-192.7--0.294831000000011</f>
        <v>922.08704499999988</v>
      </c>
      <c r="O362" s="3">
        <f>959+(489-299.1)+(0+(0-0))+0-191.2-0</f>
        <v>957.7</v>
      </c>
      <c r="P362" s="3">
        <f>953.3+(560.3-331.8)+(1.944732+(1.143012-0.676872))+0-190.8-0.389231999999992</f>
        <v>993.02163999999993</v>
      </c>
      <c r="Q362" s="3">
        <f>945.2+(625.2-368.1)+(-0.482052+(-0.318852--0.187731))+0-190.8--0.0973079999999806</f>
        <v>1010.9841350000003</v>
      </c>
      <c r="R362" s="3">
        <f>941.2+(579.5-337)+(-2.40006+(-1.477725--0.85935))+0-189.2--0.482459999999973</f>
        <v>991.96402499999999</v>
      </c>
      <c r="S362" s="3">
        <f>933.7+(582.7-347.8)+(-0.476187+(-0.297177--0.177378))+0-192.2--0.0980219999999805</f>
        <v>975.90203600000007</v>
      </c>
      <c r="T362" s="3">
        <f>931.4+(526.6-292.3)+(-2.37507+(-1.34283--0.745365))+0-195.7--0.499034999999972</f>
        <v>967.52649999999983</v>
      </c>
      <c r="U362" s="3">
        <f>932.1+(489.5-278.8)+(-0.475371+(-0.249645--0.142188))+0-190.8--0.0973079999999806</f>
        <v>951.51447999999993</v>
      </c>
      <c r="V362" s="3">
        <f>935.2+(476-266.9)+(-0.476952+(-0.24276--0.136119))+0-194.5--0.0991949999999803</f>
        <v>949.31560200000013</v>
      </c>
      <c r="W362" s="3">
        <f>939.9+(498.7-277.9)+(0.479349+(0.254337-0.141729))+0-190.6-0.0972059999999807</f>
        <v>970.59475100000009</v>
      </c>
      <c r="X362" s="3">
        <f>947.5+(614.8-347.4)+(0+(0-0))+0-179.3-0</f>
        <v>1035.6000000000001</v>
      </c>
      <c r="Y362" s="3">
        <f>943.6+(649-361)+(-2.40618+(-1.65495--0.92055))+0-188.5--0.480674999999973</f>
        <v>1040.4400949999999</v>
      </c>
      <c r="Z362" s="3">
        <f>948.9+(671.4-396.4)+(0+(0-0))+0-194.7-0</f>
        <v>1029.2</v>
      </c>
      <c r="AA362" s="3">
        <f>948.6+(643.6-379.8)+(-2.902716+(-1.969416--1.162188))+0-198.4--0.607104000000023</f>
        <v>1010.8971600000002</v>
      </c>
      <c r="AB362" s="3">
        <f>962.6+(568.3-366.3)+(-0.490926+(-0.289833--0.186813))+0-193.6--0.0987359999999804</f>
        <v>970.50478999999996</v>
      </c>
      <c r="AC362" s="3">
        <f>963.9+(481.2-324.9)+(-1.966356+(-0.981648--0.662796))+0-194--0.395759999999992</f>
        <v>924.31055200000003</v>
      </c>
      <c r="AD362">
        <v>1027.8</v>
      </c>
      <c r="AE362" s="3">
        <f>938+(632.5-364.9)+(0+(0-0))+0-165.8-0</f>
        <v>1039.8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973.3+(384.8-295.8)+(-0.992766+(-0.392496--0.301716))+0-189.8--0.19359600000003</f>
        <v>871.61005</v>
      </c>
      <c r="G363" s="3">
        <f>973+(365.2-311)+(-0.99246+(-0.372504--0.31722))+0-186.2--0.18992400000003</f>
        <v>840.14218000000005</v>
      </c>
      <c r="H363" s="3">
        <f>973.4+(331.8-311.8)+(0+(0-0))+0-181.6-0</f>
        <v>811.8</v>
      </c>
      <c r="I363" s="3">
        <f>975.9+(305.3-300.9)+(-1.493127+(-0.467109--0.460377))+0-177.4--0.27142200000001</f>
        <v>801.67156299999999</v>
      </c>
      <c r="J363" s="3">
        <f>959.9+(336.8-311)+(0.489549+(0.171768-0.15861))+0-176.1-0.0898109999999821</f>
        <v>810.01289600000007</v>
      </c>
      <c r="K363" s="3">
        <f>963.2+(361.8-327.8)+(1.473696+(0.553554-0.501534))+0-176.5-0.27004500000001</f>
        <v>821.95567100000005</v>
      </c>
      <c r="L363" s="3">
        <f>960.8+(426.4-350)+(-2.45004+(-1.08732--0.8925))+0-175.5--0.447524999999975</f>
        <v>859.50266499999964</v>
      </c>
      <c r="M363" s="3">
        <f>971.4+(470-332.5)+(-1.981656+(-0.9588--0.6783))+0-186--0.379439999999992</f>
        <v>921.01728400000013</v>
      </c>
      <c r="N363" s="3">
        <f>962.6+(485.2-302.1)+(0+(0-0))+0-181.2-0</f>
        <v>964.5</v>
      </c>
      <c r="O363" s="3">
        <f>951.1+(520-292.3)+(0.485061+(0.2652-0.149073))+0-183.4-0.0935339999999814</f>
        <v>995.90765400000009</v>
      </c>
      <c r="P363" s="3">
        <f>943.8+(569.1-314.3)+(0+(0-0))+0-181.9-0</f>
        <v>1016.6999999999999</v>
      </c>
      <c r="Q363" s="3">
        <f>936.7+(595.1-338.8)+(0+(0-0))+0-179.3-0</f>
        <v>1013.7</v>
      </c>
      <c r="R363" s="3">
        <f>922.6+(646.8-390.8)+(-1.882104+(-1.319472--0.797232))+0-182--0.371279999999992</f>
        <v>994.56693599999983</v>
      </c>
      <c r="S363" s="3">
        <f>915.8+(633.2-376.1)+(-1.401174+(-0.968796--0.575433))+0-184.1--0.281673000000011</f>
        <v>987.28713600000003</v>
      </c>
      <c r="T363" s="3">
        <f>917.6+(624.3-381.6)+(-0.467976+(-0.318393--0.194616))+0-180.9--0.0922589999999816</f>
        <v>978.90050600000006</v>
      </c>
      <c r="U363" s="3">
        <f>916+(613-371)+(0+(0-0))+0-181-0</f>
        <v>977</v>
      </c>
      <c r="V363" s="3">
        <f>918.7+(611.2-370)+(-1.405611+(-0.935136--0.5661))+0-183.8--0.281214000000011</f>
        <v>974.60656700000015</v>
      </c>
      <c r="W363" s="3">
        <f>919.7+(596.5-350.3)+(0+(0-0))+0-180.8-0</f>
        <v>985.10000000000014</v>
      </c>
      <c r="X363" s="3">
        <f>960.2+(728.2-432.7)+(-0.489702+(-0.371382--0.220677))+0-186.2--0.0949619999999811</f>
        <v>1068.9545549999998</v>
      </c>
      <c r="Y363" s="3">
        <f>962.5+(715.4-432.1)+(-1.472625+(-1.094562--0.661113))+0-185.2--0.283356000000011</f>
        <v>1058.9772819999998</v>
      </c>
      <c r="Z363" s="3">
        <f>978.9+(594-357.1)+(-1.497717+(-0.90882--0.546363))+0-187.7--0.287181000000011</f>
        <v>1026.5270069999999</v>
      </c>
      <c r="AA363" s="3">
        <f>971.5+(613.7-373.6)+(-0.99093+(-0.625974--0.381072))+0-185.2--0.18890400000003</f>
        <v>1025.3530719999999</v>
      </c>
      <c r="AB363" s="3">
        <f>976.2+(522.8-324.8)+(-2.48931+(-1.33314--0.82824))+0-185.3--0.472514999999973</f>
        <v>986.37830499999995</v>
      </c>
      <c r="AC363" s="3">
        <f>975.9+(462.4-319.4)+(-1.493127+(-0.707472--0.488682))+0-184.9--0.282897000000011</f>
        <v>932.57098000000008</v>
      </c>
      <c r="AD363">
        <v>1080.1999999999998</v>
      </c>
      <c r="AE363" s="3">
        <f>972+(746.6-442)+(0+(0-0))+0-183.4-0</f>
        <v>1093.1999999999998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964.7+(415.2-313.4)+(-2.459985+(-1.05876--0.79917))+0-188.3--0.480164999999973</f>
        <v>875.96058999999991</v>
      </c>
      <c r="G364" s="3">
        <f>983.3+(391.6-334.6)+(-2.507415+(-0.99858--0.85323))+0-181.8--0.463589999999974</f>
        <v>856.31082499999991</v>
      </c>
      <c r="H364" s="3">
        <f>984+(360.3-335.3)+(-0.50184+(-0.183753--0.171003))+0-178.8--0.0911879999999819</f>
        <v>829.77659800000004</v>
      </c>
      <c r="I364" s="3">
        <f>991.1+(338.1-321.5)+(-1.516383+(-0.517293--0.491895))+0-181.5--0.27769500000001</f>
        <v>824.93591400000003</v>
      </c>
      <c r="J364" s="3">
        <f>994.5+(323.1-307.5)+(-1.521585+(-0.494343--0.470475))+0-185.7--0.284121000000011</f>
        <v>823.13866800000017</v>
      </c>
      <c r="K364" s="3">
        <f>994.9+(289.7-269.3)+(-1.522197+(-0.443241--0.412029))+0-184.7--0.282591000000011</f>
        <v>829.32918200000006</v>
      </c>
      <c r="L364" s="3">
        <f>1000+(301.3-267.8)+(-1.02+(-0.307326--0.273156))+0-180.9--0.184518000000029</f>
        <v>851.73034799999994</v>
      </c>
      <c r="M364" s="3">
        <f>995.5+(348.2-243)+(0.507705+(0.177582-0.12393))+0-182.9-0.0932789999999814</f>
        <v>918.26807800000017</v>
      </c>
      <c r="N364" s="3">
        <f>987.8+(439.5-280.4)+(0.503778+(0.224145-0.143004))+0-184.1-0.0938909999999813</f>
        <v>963.29102799999998</v>
      </c>
      <c r="O364" s="3">
        <f>981.8+(503.9-340.1)+(0+(0-0))+0-175.8-0</f>
        <v>969.8</v>
      </c>
      <c r="P364" s="3">
        <f>961.1+(499.2-327.7)+(-1.470483+(-0.763776--0.501381))+0-167--0.25551000000001</f>
        <v>964.12263199999984</v>
      </c>
      <c r="Q364" s="3">
        <f>946.9+(490.8-361.4)+(0+(0-0))+0-158-0</f>
        <v>918.3</v>
      </c>
      <c r="R364" s="3">
        <f>942.7+(487.6-398.5)+(-0.961554+(-0.497352--0.40647))+0-157.3--0.160446000000025</f>
        <v>873.60801000000026</v>
      </c>
      <c r="S364" s="3">
        <f>938+(467-380.2)+(-0.95676+(-0.47634--0.387804))+0-171.1--0.174522000000027</f>
        <v>852.82922599999995</v>
      </c>
      <c r="T364" s="3">
        <f>1002.9+(414.8-395.7)+(0+(0-0))+0-179.5-0</f>
        <v>842.5</v>
      </c>
      <c r="U364" s="3">
        <f>1051+(290.4-319.1)+(-0.53601+(-0.148104--0.162741))+0-175.3--0.0894029999999822</f>
        <v>846.56802999999991</v>
      </c>
      <c r="V364" s="3">
        <f>994+(332.3-290.2)+(-0.50694+(-0.169473--0.148002))+0-179.1--0.0913409999999818</f>
        <v>856.56292999999982</v>
      </c>
      <c r="W364" s="3">
        <f>1005+(340.6-291.4)+(-1.0251+(-0.347412--0.297228))+0-182.1--0.185742000000029</f>
        <v>871.21045800000002</v>
      </c>
      <c r="X364" s="3">
        <f>1059.1+(365.9-293)+(-0.540141+(-0.186609--0.14943))+0-188.1--0.0959309999999809</f>
        <v>943.41861099999983</v>
      </c>
      <c r="Y364" s="3">
        <f>1126.1+(312.8-304.7)+(-2.871555+(-0.79764--0.776985))+0-187.4--0.477869999999973</f>
        <v>944.3856599999998</v>
      </c>
      <c r="Z364" s="3">
        <f>1120+(311.1-322.1)+(-3.4272+(-0.951966--0.985626))+0-186.6--0.570996000000022</f>
        <v>919.57745599999998</v>
      </c>
      <c r="AA364" s="3">
        <f>1111.2+(274.2-291.4)+(-1.133424+(-0.279684--0.297228))+0-190.9--0.19471800000003</f>
        <v>902.17883800000004</v>
      </c>
      <c r="AB364" s="3">
        <f>1107.3+(277.9-325.7)+(-2.258892+(-0.566916--0.664428))+0-190.5--0.388619999999992</f>
        <v>867.22723999999994</v>
      </c>
      <c r="AC364" s="3">
        <f>1083.9+(239.7-306)+(-1.105578+(-0.244494--0.31212))+0-190.6--0.19441200000003</f>
        <v>826.15646000000015</v>
      </c>
      <c r="AD364">
        <v>956.40000000000009</v>
      </c>
      <c r="AE364" s="3">
        <f>1141+(304-290.8)+(0+(0-0))+0-185.8-0</f>
        <v>968.40000000000009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1065.5+(228.6-325.3)+(0.543405+(0.116586-0.165903))+0-188.6-0.0961859999999809</f>
        <v>780.59790199999998</v>
      </c>
      <c r="G365" s="3">
        <f>1010.1+(214.2-292.6)+(-2.575755+(-0.54621--0.74613))+0-191.9--0.489344999999972</f>
        <v>737.91350999999997</v>
      </c>
      <c r="H365" s="3">
        <f>953.1+(216.2-250.7)+(-0.486081+(-0.110262--0.127857))+0-189.1--0.0964409999999808</f>
        <v>729.12795500000004</v>
      </c>
      <c r="I365" s="3">
        <f>888+(222.5-207.1)+(-0.90576+(-0.22695--0.211242))+0-182.2--0.185844000000029</f>
        <v>720.46437600000002</v>
      </c>
      <c r="J365" s="3">
        <f>890.6+(209.1-205.7)+(1.362618+(0.319923-0.314721))+0-174.6-0.26713800000001</f>
        <v>720.50068199999998</v>
      </c>
      <c r="K365" s="3">
        <f>893.1+(221.6-204.4)+(0.455481+(0.113016-0.104244))+0-176.4-0.0899639999999821</f>
        <v>734.27428899999995</v>
      </c>
      <c r="L365" s="3">
        <f>892.3+(227.6-199.8)+(-1.820292+(-0.464304--0.407592))+0-170.6--0.348023999999993</f>
        <v>747.97101999999984</v>
      </c>
      <c r="M365" s="3">
        <f>887.7+(264.5-194.4)+(0.452727+(0.134895-0.099144))+0-160.3-0.0817529999999837</f>
        <v>797.90672500000005</v>
      </c>
      <c r="N365" s="3">
        <f>1028+(223.1-244.3)+(1.04856+(0.227562-0.249186))+0-163.7-0.166974000000026</f>
        <v>843.9599619999999</v>
      </c>
      <c r="O365" s="3">
        <f>1009.2+(264.1-231.1)+(-0.514692+(-0.134691--0.117861))+0-166.7--0.0850169999999831</f>
        <v>875.053495</v>
      </c>
      <c r="P365" s="3">
        <f>996.4+(288.9-220.7)+(-2.032656+(-0.589356--0.450228))+0-175.5--0.358019999999992</f>
        <v>887.28623600000003</v>
      </c>
      <c r="Q365" s="3">
        <f>972.3+(318.6-223.8)+(-0.495873+(-0.162486--0.114138))+0-177.2--0.090371999999982</f>
        <v>889.44615099999976</v>
      </c>
      <c r="R365" s="3">
        <f>1031.1+(279-248.3)+(-3.155166+(-0.85374--0.759798))+0-177.7--0.543762000000021</f>
        <v>881.39465399999995</v>
      </c>
      <c r="S365" s="3">
        <f>1033.9+(265.7-234.5)+(0.527289+(0.135507-0.119595))+0-177.7-0.090626999999982</f>
        <v>887.85257400000012</v>
      </c>
      <c r="T365" s="3">
        <f>1027.9+(287.3-251)+(-0.524229+(-0.146523--0.12801))+0-182.8--0.0932279999999815</f>
        <v>880.95048599999996</v>
      </c>
      <c r="U365" s="3">
        <f>1022.7+(314.7-273.4)+(-0.521577+(-0.160497--0.139434))+0-178.1--0.0908309999999819</f>
        <v>885.44819100000007</v>
      </c>
      <c r="V365" s="3">
        <f>1021.9+(337.7-275.6)+(0+(0-0))+0-185.8-0</f>
        <v>898.2</v>
      </c>
      <c r="W365" s="3">
        <f>1023.2+(370.4-294.2)+(-2.087328+(-0.755616--0.600168))+0-186.7--0.380867999999992</f>
        <v>910.83809199999996</v>
      </c>
      <c r="X365" s="3">
        <f>1031.3+(419.2-275.9)+(-1.577889+(-0.641376--0.422127))+0-186.8--0.285804000000011</f>
        <v>986.28866600000003</v>
      </c>
      <c r="Y365" s="3">
        <f>1035.2+(411.5-274.3)+(-1.583856+(-0.629595--0.419679))+0-188.3--0.288099000000011</f>
        <v>982.59432700000013</v>
      </c>
      <c r="Z365" s="3">
        <f>1045.5+(377.7-253.3)+(-2.666025+(-0.963135--0.645915))+0-190--0.484499999999972</f>
        <v>977.40125500000022</v>
      </c>
      <c r="AA365" s="3">
        <f>1055.8+(343-235.6)+(-2.153832+(-0.69972--0.480624))+0-192.8--0.393311999999992</f>
        <v>968.42038400000013</v>
      </c>
      <c r="AB365" s="3">
        <f>1059.1+(300.5-232.9)+(-2.160564+(-0.61302--0.475116))+0-187.8--0.383111999999992</f>
        <v>936.98464399999989</v>
      </c>
      <c r="AC365" s="3">
        <f>1058.8+(256.9-232)+(-1.619964+(-0.393057--0.35496))+0-187.7--0.287181000000011</f>
        <v>894.62911999999972</v>
      </c>
      <c r="AD365">
        <v>971.5</v>
      </c>
      <c r="AE365" s="3">
        <f>1033+(375.2-247.9)+(0+(0-0))+0-175.8-0</f>
        <v>984.5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863.6+(261.1-127.7)+(-2.20218+(-0.665805--0.325635))+0-306.3--0.781064999999956</f>
        <v>688.93871499999989</v>
      </c>
      <c r="G1" s="3">
        <f>862.6+(230.7-116.4)+(-1.319778+(-0.352971--0.178092))+0-308.1--0.471393000000018</f>
        <v>667.77673600000003</v>
      </c>
      <c r="H1" s="3">
        <f>864.2+(203.2-105.5)+(-0.440742+(-0.103632--0.053805))+0-307.4--0.156773999999969</f>
        <v>654.16620499999999</v>
      </c>
      <c r="I1" s="3">
        <f>844.1+(190.5-95.6)+(-2.152455+(-0.485775--0.24378))+0-307.5--0.784124999999955</f>
        <v>629.8896749999999</v>
      </c>
      <c r="J1" s="3">
        <f>779.5+(215.6-86)+(-0.397545+(-0.109956--0.04386))+0-306.9--0.156518999999969</f>
        <v>601.892878</v>
      </c>
      <c r="K1" s="3">
        <f>778.2+(207.1-85.8)+(-1.98441+(-0.528105--0.21879))+0-307--0.782849999999955</f>
        <v>590.98912499999994</v>
      </c>
      <c r="L1" s="3">
        <f>780.2+(205.8-100.4)+(0+(0-0))+0-305.6-0</f>
        <v>580</v>
      </c>
      <c r="M1" s="3">
        <f>780.4+(246-115.3)+(0+(0-0))+0-305.8-0</f>
        <v>605.29999999999995</v>
      </c>
      <c r="N1" s="3">
        <f>777.2+(264.2-126)+(-1.189116+(-0.404226--0.19278))+0-291.9--0.446607000000017</f>
        <v>622.54604500000005</v>
      </c>
      <c r="O1" s="3">
        <f>776.1+(295-131)+(-0.395811+(-0.15045--0.06681))+0-298.1--0.15203099999997</f>
        <v>641.67257999999993</v>
      </c>
      <c r="P1" s="3">
        <f>775.7+(311.7-133.6)+(-1.186821+(-0.476901--0.204408))+0-305.3--0.467109000000018</f>
        <v>647.5077950000001</v>
      </c>
      <c r="Q1" s="3">
        <f>777.5+(327.2-124.6)+(-1.189575+(-0.500616--0.190638))+0-307.1--0.469863000000018</f>
        <v>671.97031000000004</v>
      </c>
      <c r="R1" s="3">
        <f>778.4+(346.8-209.1)+(-0.396984+(-0.176868--0.106641))+0-307.9--0.157028999999969</f>
        <v>607.88981799999999</v>
      </c>
      <c r="S1" s="3">
        <f>776.5+(369.3-212.1)+(0.79203+(0.376686-0.216342))+0-308.4-0.314568000000049</f>
        <v>625.93780600000002</v>
      </c>
      <c r="T1" s="3">
        <f>774.8+(362-207.4)+(-1.185444+(-0.55386--0.317322))+0-308.2--0.471546000000018</f>
        <v>620.24956399999996</v>
      </c>
      <c r="U1" s="3">
        <f>774.7+(348-199.3)+(-0.790194+(-0.35496--0.203286))+0-307.8--0.313956000000049</f>
        <v>614.9720880000001</v>
      </c>
      <c r="V1" s="3">
        <f>772.4+(320.9-190.4)+(-0.393924+(-0.163659--0.097104))+0-307.8--0.156977999999969</f>
        <v>594.79649900000004</v>
      </c>
      <c r="W1" s="3">
        <f>772.1+(297-213.6)+(0+(0-0))+0-308-0</f>
        <v>547.5</v>
      </c>
      <c r="X1" s="3">
        <f>770.8+(347.9-239.7)+(0+(0-0))+0-309-0</f>
        <v>570</v>
      </c>
      <c r="Y1" s="3">
        <f>772.5+(361.4-223.8)+(-0.393975+(-0.184314--0.114138))+0-307.5--0.156824999999969</f>
        <v>602.29267399999981</v>
      </c>
      <c r="Z1" s="3">
        <f>772.7+(341-214.2)+(0.394077+(0.17391-0.109242))+0-307-0.156569999999969</f>
        <v>592.80217500000003</v>
      </c>
      <c r="AA1" s="3">
        <f>771.9+(365.7-239.1)+(0+(0-0))+0-307-0</f>
        <v>591.5</v>
      </c>
      <c r="AB1" s="3">
        <f>771.8+(385.4-222.1)+(0+(0-0))+0-307-0</f>
        <v>628.09999999999991</v>
      </c>
      <c r="AC1" s="3">
        <f>771.7+(367.8-202.2)+(-0.393567+(-0.187578--0.103122))+0-308--0.157079999999969</f>
        <v>628.97905700000001</v>
      </c>
      <c r="AD1">
        <v>594.29999999999995</v>
      </c>
      <c r="AE1" s="3">
        <f>770+(381.6-251.5)+(0+(0-0))+0-305.8-0</f>
        <v>594.29999999999995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601.48952850000001</v>
      </c>
      <c r="G2" s="3">
        <f>770+(279-166)+(0+(0-0))+0-309-0</f>
        <v>574</v>
      </c>
      <c r="H2" s="3">
        <f>770.3+(276-155)+(-1.571412+(-0.56304--0.3162))+0-309--0.630359999999986</f>
        <v>581.11210799999992</v>
      </c>
      <c r="I2" s="3">
        <f>761.4+(259.7-153.5)+(-0.776628+(-0.264894--0.15657))+0-308.9--0.315078000000049</f>
        <v>558.13012600000002</v>
      </c>
      <c r="J2" s="3">
        <f>751.4+(244.4-147.9)+(0+(0-0))+0-308.7-0</f>
        <v>539.20000000000005</v>
      </c>
      <c r="K2" s="3">
        <f>750.7+(239-152.8)+(-1.148571+(-0.36567--0.233784))+0-307.9--0.471087000000018</f>
        <v>528.19063000000017</v>
      </c>
      <c r="L2" s="3">
        <f>762.7+(218.8-132.3)+(-0.777954+(-0.223176--0.134946))+0-308.5--0.314670000000049</f>
        <v>540.14848600000016</v>
      </c>
      <c r="M2" s="3">
        <f>771.4+(202.7-151.8)+(-2.753898+(-0.723639--0.541926))+0-307.7--1.098489</f>
        <v>512.762878</v>
      </c>
      <c r="N2" s="3">
        <f>768.1+(247.4-170.4)+(1.175193+(0.378522-0.260712))+0-307.6-0.470628000000018</f>
        <v>538.32237499999997</v>
      </c>
      <c r="O2" s="3">
        <f>782.2+(289.5-180.9)+(1.196766+(0.442935-0.276777))+0-307.6-0.470628000000018</f>
        <v>584.09229600000003</v>
      </c>
      <c r="P2" s="3">
        <f>813+(312.9-219.2)+(0.82926+(0.319158-0.223584))+0-307.3-0.313446000000049</f>
        <v>600.01138800000001</v>
      </c>
      <c r="Q2" s="3">
        <f>896.2+(225.6-220.9)+(-2.742372+(-0.690336--0.675954))+0-302--0.924120000000035</f>
        <v>597.06736600000011</v>
      </c>
      <c r="R2" s="3">
        <f>893+(259.6-232.5)+(-0.45543+(-0.132396--0.118575))+0-308.8--0.157487999999969</f>
        <v>610.98823699999991</v>
      </c>
      <c r="S2" s="3">
        <f>893.3+(325.2-271.9)+(0.911166+(0.331704-0.277338))+0-307.8-0.313956000000049</f>
        <v>639.45157599999982</v>
      </c>
      <c r="T2" s="3">
        <f>891.8+(332.7-249.2)+(-1.364454+(-0.509031--0.381276))+0-308.4--0.471852000000018</f>
        <v>665.87964299999999</v>
      </c>
      <c r="U2" s="3">
        <f>890.9+(335.6-244.3)+(0+(0-0))+0-307.4-0</f>
        <v>674.80000000000007</v>
      </c>
      <c r="V2" s="3">
        <f>886.6+(310.7-232.1)+(-1.356498+(-0.475371--0.355113))+0-308.2--0.471546000000018</f>
        <v>655.99478999999997</v>
      </c>
      <c r="W2" s="3">
        <f>865+(294.2-217.8)+(-1.7646+(-0.600168--0.444312))+0-308.7--0.629747999999987</f>
        <v>631.40929199999994</v>
      </c>
      <c r="X2" s="3">
        <f>866.3+(262-222.7)+(-1.767252+(-0.53448--0.454308))+0-308.5--0.629339999999987</f>
        <v>595.88191599999982</v>
      </c>
      <c r="Y2" s="3">
        <f>889.1+(291-240.3)+(-1.360323+(-0.44523--0.367659))+0-307.7--0.470781000000018</f>
        <v>631.13288699999998</v>
      </c>
      <c r="Z2" s="3">
        <f>893.7+(318.4-277.1)+(-2.278935+(-0.81192--0.706605))+0-308.2--0.785909999999955</f>
        <v>625.20166000000006</v>
      </c>
      <c r="AA2" s="3">
        <f>894.4+(313.5-260.5)+(-0.456144+(-0.159885--0.132855))+0-309.1--0.157640999999969</f>
        <v>637.974467</v>
      </c>
      <c r="AB2" s="3">
        <f>891.6+(307.8-270.3)+(-2.728296+(-0.941868--0.827118))+0-309.3--0.946458000000036</f>
        <v>617.903412</v>
      </c>
      <c r="AC2" s="3">
        <f>890.3+(298.2-200.5)+(-0.908106+(-0.304164--0.20451))+0-308.8--0.314976000000049</f>
        <v>678.50721600000008</v>
      </c>
      <c r="AD2">
        <v>645.30000000000007</v>
      </c>
      <c r="AE2" s="3">
        <f>907+(310.4-265.1)+(0+(0-0))+0-307-0</f>
        <v>645.29999999999995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816.4+(336.8-208.2)+(-0.832728+(-0.343536--0.212364))+0-308.8--0.314976000000049</f>
        <v>635.55107600000008</v>
      </c>
      <c r="G3" s="3">
        <f>810.3+(312.4-187)+(0+(0-0))+0-310.2-0</f>
        <v>625.5</v>
      </c>
      <c r="H3" s="3">
        <f>811.8+(278.3-173.9)+(-1.656072+(-0.567732--0.354756))+0-309.6--0.631583999999986</f>
        <v>605.36253599999986</v>
      </c>
      <c r="I3" s="3">
        <f>817.4+(241.1-165.9)+(0+(0-0))+0-310.2-0</f>
        <v>582.39999999999986</v>
      </c>
      <c r="J3" s="3">
        <f>817.4+(220.5-162.5)+(-2.08437+(-0.562275--0.414375))+0-310.2--0.791009999999955</f>
        <v>563.75873999999999</v>
      </c>
      <c r="K3" s="3">
        <f>815.8+(203.3-159.1)+(1.664232+(0.414732-0.324564))+0-309.3-0.630971999999987</f>
        <v>551.82342800000004</v>
      </c>
      <c r="L3" s="3">
        <f>816.5+(191.5-170.5)+(-1.249245+(-0.292995--0.260865))+0-309.6--0.473688000000018</f>
        <v>527.09231299999999</v>
      </c>
      <c r="M3" s="3">
        <f>817.3+(182.8-194.8)+(-0.416823+(-0.093228--0.099348))+0-307.6--0.156875999999969</f>
        <v>497.44617299999987</v>
      </c>
      <c r="N3" s="3">
        <f>816.1+(221.1-203.3)+(0+(0-0))+0-307.9-0</f>
        <v>526</v>
      </c>
      <c r="O3" s="3">
        <f>831+(261.3-239.1)+(-0.42381+(-0.133263--0.121941))+0-308.6--0.157385999999969</f>
        <v>544.32225400000004</v>
      </c>
      <c r="P3" s="3">
        <f>892+(257.3-277.2)+(0+(0-0))+0-309.7-0</f>
        <v>562.40000000000009</v>
      </c>
      <c r="Q3" s="3">
        <f>881.5+(290.9-266.1)+(0+(0-0))+0-311.5-0</f>
        <v>594.79999999999995</v>
      </c>
      <c r="R3" s="3">
        <f>840.3+(357.1-270.4)+(-0.857106+(-0.364242--0.275808))+0-310.8--0.31701600000005</f>
        <v>615.57147599999996</v>
      </c>
      <c r="S3" s="3">
        <f>840.8+(387.6-267.6)+(0+(0-0))+0-310.6-0</f>
        <v>650.19999999999993</v>
      </c>
      <c r="T3" s="3">
        <f>838.8+(411.2-268.2)+(0.427788+(0.209712-0.136782))+0-309.3-0.157742999999969</f>
        <v>672.84297500000002</v>
      </c>
      <c r="U3" s="3">
        <f>839.5+(403.3-259.5)+(-0.85629+(-0.411366--0.26469))+0-309.4--0.315588000000049</f>
        <v>673.21262200000001</v>
      </c>
      <c r="V3" s="3">
        <f>838.5+(369.8-244.4)+(0.427635+(0.188598-0.124644))+0-310-0.158099999999969</f>
        <v>654.23348899999996</v>
      </c>
      <c r="W3" s="3">
        <f>836.6+(327.3-229.7)+(-0.426666+(-0.166923--0.117147))+0-309.9--0.158048999999969</f>
        <v>623.98160700000005</v>
      </c>
      <c r="X3" s="3">
        <f>840.3+(289.6-246)+(0.428553+(0.147696-0.12546))+0-310.5-0.158354999999968</f>
        <v>573.69243400000005</v>
      </c>
      <c r="Y3" s="3">
        <f>843.6+(344.9-267.2)+(0.430236+(0.175899-0.136272))+0-311.3-0.158762999999968</f>
        <v>610.31110000000001</v>
      </c>
      <c r="Z3" s="3">
        <f>846.4+(384.8-284.4)+(-0.431664+(-0.196248--0.145044))+0-310.5--0.158354999999968</f>
        <v>635.97548699999982</v>
      </c>
      <c r="AA3" s="3">
        <f>847.1+(382.7-284.6)+(0+(0-0))+0-309.8-0</f>
        <v>635.40000000000009</v>
      </c>
      <c r="AB3" s="3">
        <f>848+(384.1-274.6)+(0.43248+(0.195891-0.140046))+0-309.5-0.157844999999969</f>
        <v>648.33048000000008</v>
      </c>
      <c r="AC3" s="3">
        <f>849.4+(372.3-264.9)+(-0.433194+(-0.189873--0.135099))+0-309.5--0.157844999999969</f>
        <v>646.96987699999988</v>
      </c>
      <c r="AD3">
        <v>598.69999999999982</v>
      </c>
      <c r="AE3" s="3">
        <f>845+(356.6-288.2)+(0+(0-0))+0-314.7-0</f>
        <v>598.70000000000005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782+(386-218.9)+(-0.39882+(-0.19686--0.111639))+0-309.1--0.157640999999969</f>
        <v>639.67359999999996</v>
      </c>
      <c r="G4" s="3">
        <f>691.4+(430.6-189.1)+(-1.057842+(-0.658818--0.289323))+0-309.7--0.473841000000018</f>
        <v>622.24650399999996</v>
      </c>
      <c r="H4" s="3">
        <f>652.1+(421.6-171.9)+(-0.665142+(-0.430032--0.175338))+0-309.8--0.315996000000049</f>
        <v>591.39616000000001</v>
      </c>
      <c r="I4" s="3">
        <f>648.1+(395.1-167.1)+(0.661062+(0.403002-0.170442))+0-310.1-0.316302000000049</f>
        <v>566.57731999999999</v>
      </c>
      <c r="J4" s="3">
        <f>649.5+(368.7-162.3)+(-0.66249+(-0.376074--0.165546))+0-309.9--0.316098000000049</f>
        <v>545.44308000000001</v>
      </c>
      <c r="K4" s="3">
        <f>648.6+(354.5-159)+(0.992358+(0.542385-0.24327))+0-310.1-0.474453000000018</f>
        <v>534.81701999999996</v>
      </c>
      <c r="L4" s="3">
        <f>649.8+(348.2-116.7)+(-1.65699+(-0.88791--0.297585))+0-309--0.787949999999955</f>
        <v>570.84063499999991</v>
      </c>
      <c r="M4" s="3">
        <f>648.1+(328.6-125.6)+(0.661062+(0.335172-0.128112))+0-308.1-0.314262000000049</f>
        <v>543.55385999999987</v>
      </c>
      <c r="N4" s="3">
        <f>643.2+(369.4-141.1)+(0+(0-0))+0-309.9-0</f>
        <v>561.6</v>
      </c>
      <c r="O4" s="3">
        <f>640.6+(362.6-156)+(0.326706+(0.184926-0.07956))+0-311.1-0.158660999999968</f>
        <v>536.37341100000003</v>
      </c>
      <c r="P4" s="3">
        <f>639.3+(420.3-172.7)+(-0.326043+(-0.214353--0.088077))+0-311.2--0.158711999999968</f>
        <v>575.40639299999998</v>
      </c>
      <c r="Q4" s="3">
        <f>638+(548.5-244)+(-0.65076+(-0.55947--0.24888))+0-311--0.31722000000005</f>
        <v>630.85586999999998</v>
      </c>
      <c r="R4" s="3">
        <f>637.9+(471.3-207)+(-0.325329+(-0.240363--0.10557))+0-310.2--0.158201999999969</f>
        <v>591.69808</v>
      </c>
      <c r="S4" s="3">
        <f>637.8+(501.3-211.4)+(-0.975834+(-0.766989--0.323442))+0-309.9--0.474147000000018</f>
        <v>616.85476599999993</v>
      </c>
      <c r="T4" s="3">
        <f>635.8+(521.9-214.9)+(-1.62129+(-1.330845--0.547995))+0-310.3--0.791264999999955</f>
        <v>630.88712499999986</v>
      </c>
      <c r="U4" s="3">
        <f>634.8+(522.3-202.7)+(1.294992+(1.065492-0.413508))+0-309.7-0.631787999999986</f>
        <v>646.01518799999974</v>
      </c>
      <c r="V4" s="3">
        <f>632.8+(503.5-195)+(0.322728+(0.256785-0.09945))+0-309-0.157589999999969</f>
        <v>632.62247300000001</v>
      </c>
      <c r="W4" s="3">
        <f>632.2+(463.5-183.5)+(-0.644844+(-0.47277--0.18717))+0-309.6--0.315792000000049</f>
        <v>601.98534800000016</v>
      </c>
      <c r="X4" s="3">
        <f>634.3+(430.8-183.4)+(-0.646986+(-0.439416--0.187068))+0-310.3--0.316506000000049</f>
        <v>570.81717199999991</v>
      </c>
      <c r="Y4" s="3">
        <f>638+(492.6-213)+(0.32538+(0.251226-0.10863))+0-309.9-0.158048999999969</f>
        <v>608.00992700000006</v>
      </c>
      <c r="Z4" s="3">
        <f>639.5+(526-230.4)+(0+(0-0))+0-311-0</f>
        <v>624.1</v>
      </c>
      <c r="AA4" s="3">
        <f>640.3+(524-227.1)+(-0.653106+(-0.53448--0.231642))+0-309.8--0.315996000000049</f>
        <v>626.76005199999986</v>
      </c>
      <c r="AB4" s="3">
        <f>643.6+(519.1-225.2)+(0.328236+(0.264741-0.114852))+0-309.3-0.157742999999969</f>
        <v>628.52038199999993</v>
      </c>
      <c r="AC4" s="3">
        <f>642.3+(511.1-206.9)+(0.327573+(0.260661-0.105519))+0-308.3-0.157232999999969</f>
        <v>638.5254819999999</v>
      </c>
      <c r="AD4">
        <v>619.5</v>
      </c>
      <c r="AE4" s="3">
        <f>644+(528.3-230.9)+(0+(0-0))+0-321.9-0</f>
        <v>619.5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644.5+(494.8-195.9)+(-0.986085+(-0.757044--0.299727))+0-308.9--0.472617000000018</f>
        <v>633.52921500000002</v>
      </c>
      <c r="G5" s="3">
        <f>645.6+(466.9-162.6)+(-0.658512+(-0.476238--0.165852))+0-309.3--0.315486000000049</f>
        <v>639.94658800000013</v>
      </c>
      <c r="H5" s="3">
        <f>646.7+(435.2-162.2)+(0+(0-0))+0-309.7-0</f>
        <v>610</v>
      </c>
      <c r="I5" s="3">
        <f>647.4+(401.7-125.3)+(0+(0-0))+0-310.3-0</f>
        <v>613.5</v>
      </c>
      <c r="J5" s="3">
        <f>647.4+(368.5-109.4)+(0.330174+(0.187935-0.055794))+0-309.9-0.158048999999969</f>
        <v>596.90426600000001</v>
      </c>
      <c r="K5" s="3">
        <f>647.3+(353.1-143.5)+(0+(0-0))+0-309.3-0</f>
        <v>547.59999999999991</v>
      </c>
      <c r="L5" s="3">
        <f>647.4+(333.2-129.4)+(0.990522+(0.509796-0.197982))+0-308.1-0.471393000000018</f>
        <v>543.93094299999984</v>
      </c>
      <c r="M5" s="3">
        <f>647.1+(307.4-135.1)+(-1.320084+(-0.627096--0.275604))+0-307.1--0.626483999999987</f>
        <v>511.254908</v>
      </c>
      <c r="N5" s="3">
        <f>644.7+(346-161.5)+(0.328797+(0.17646-0.082365))+1.4-307.1-0.156620999999969</f>
        <v>523.76627100000007</v>
      </c>
      <c r="O5" s="3">
        <f>643.1+(400.6-182.7)+(-0.983943+(-0.612918--0.279531))+0-308.4--0.471852000000018</f>
        <v>551.75452200000007</v>
      </c>
      <c r="P5" s="3">
        <f>739.5+(331.1-192.9)+(0+(0-0))+0-310.3-0</f>
        <v>567.40000000000009</v>
      </c>
      <c r="Q5" s="3">
        <f>785.9+(313.8-192.7)+(0.400809+(0.160038-0.098277))+0-310.4-0.158303999999968</f>
        <v>596.90426600000012</v>
      </c>
      <c r="R5" s="3">
        <f>786.8+(377.1-210.1)+(-1.203804+(-0.576963--0.321453))+0-309.4--0.473382000000018</f>
        <v>643.41406800000004</v>
      </c>
      <c r="S5" s="3">
        <f>783.8+(433.4-244.6)+(-0.799476+(-0.442068--0.249492))+0-309.8--0.315996000000049</f>
        <v>662.12394399999994</v>
      </c>
      <c r="T5" s="3">
        <f>782.9+(443.4-236.9)+(-1.996395+(-1.13067--0.604095))+0-308.7--0.787184999999955</f>
        <v>678.96421499999997</v>
      </c>
      <c r="U5" s="3">
        <f>781.6+(422.4-222)+(-1.195848+(-0.646272--0.33966))+0-309.1--0.472923000000018</f>
        <v>671.87046299999997</v>
      </c>
      <c r="V5" s="3">
        <f>786.5+(384.1-203.5)+(0+(0-0))+0-307.9-0</f>
        <v>659.2</v>
      </c>
      <c r="W5" s="3">
        <f>788.2+(346.2-200.6)+(-0.401982+(-0.176562--0.102306))+0-310.2--0.158201999999969</f>
        <v>623.28196400000013</v>
      </c>
      <c r="X5" s="3">
        <f>791.3+(316.4-198.7)+(0+(0-0))+0-310.3-0</f>
        <v>598.70000000000005</v>
      </c>
      <c r="Y5" s="3">
        <f>794+(381.2-243.3)+(0+(0-0))+0-309.9-0</f>
        <v>622</v>
      </c>
      <c r="Z5" s="3">
        <f>798.1+(404.4-243.2)+(-0.814062+(-0.412488--0.248064))+0-309.5--0.315690000000049</f>
        <v>649.137204</v>
      </c>
      <c r="AA5" s="3">
        <f>800.1+(430.2-254.5)+(-0.408051+(-0.219402--0.129795))+0-309.4--0.157793999999969</f>
        <v>666.06013599999994</v>
      </c>
      <c r="AB5" s="3">
        <f>797.5+(452.5-263.2)+(0+(0-0))+0-308.7-0</f>
        <v>678.09999999999991</v>
      </c>
      <c r="AC5" s="3">
        <f>705.2+(525.1-213.8)+(-0.719304+(-0.535602--0.218076))+0-309.5--0.315690000000049</f>
        <v>706.27886000000001</v>
      </c>
      <c r="AD5">
        <v>646.6</v>
      </c>
      <c r="AE5" s="3">
        <f>799+(404.8-247.8)+(0+(0-0))+0-309.4-0</f>
        <v>646.6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725.4+(462.9-207.2)+(-0.739908+(-0.472158--0.211344))+0-309.3--0.315486000000049</f>
        <v>671.11476400000004</v>
      </c>
      <c r="G6" s="3">
        <f>809.6+(366.8-184.4)+(-0.825792+(-0.374136--0.188088))+0-310--0.316200000000049</f>
        <v>681.30436000000009</v>
      </c>
      <c r="H6" s="3">
        <f>856.1+(280.1-173.8)+(0+(0-0))+0-309.5-0</f>
        <v>652.90000000000009</v>
      </c>
      <c r="I6" s="3">
        <f>858.4+(258.7-174.7)+(0+(0-0))+0-308.9-0</f>
        <v>633.5</v>
      </c>
      <c r="J6" s="3">
        <f>861.5+(231.7-176.7)+(0.87873+(0.236334-0.180234))+0-308.1-0.314262000000049</f>
        <v>609.02056799999991</v>
      </c>
      <c r="K6" s="3">
        <f>862+(219.7-172.6)+(-1.75848+(-0.448188--0.352104))+0-308.5--0.629339999999987</f>
        <v>599.374776</v>
      </c>
      <c r="L6" s="3">
        <f>860.7+(196.6-186.4)+(-0.438957+(-0.100266--0.095064))+0-308.1--0.157130999999969</f>
        <v>562.51297199999999</v>
      </c>
      <c r="M6" s="3">
        <f>859.1+(181.8-199.5)+(-0.876282+(-0.185436--0.20349))+0-307.4--0.313548000000049</f>
        <v>533.45532000000014</v>
      </c>
      <c r="N6" s="3">
        <f>853.1+(234.7-225.4)+(1.305243+(0.359091-0.344862))+0-308.6-0.472158000000018</f>
        <v>554.64731399999994</v>
      </c>
      <c r="O6" s="3">
        <f>877.2+(250.7-225)+(-0.447372+(-0.127857--0.11475))+0-308.3--0.157232999999969</f>
        <v>594.29675400000008</v>
      </c>
      <c r="P6" s="3">
        <f>895.2+(265.3-232.9)+(-0.913104+(-0.270606--0.237558))+0-309.8--0.315996000000049</f>
        <v>617.16984400000001</v>
      </c>
      <c r="Q6" s="3">
        <f>896.2+(286.5-237.1)+(-0.457062+(-0.146115--0.120921))+0-309.6--0.157895999999969</f>
        <v>635.67563999999993</v>
      </c>
      <c r="R6" s="3">
        <f>896.7+(317.9-240.9)+(-0.457317+(-0.162129--0.122859))+0-307.9--0.157028999999969</f>
        <v>665.46044200000006</v>
      </c>
      <c r="S6" s="3">
        <f>895.1+(379.8-276.5)+(-1.369503+(-0.581094--0.423045))+0-307.6--0.470628000000018</f>
        <v>689.74307600000009</v>
      </c>
      <c r="T6" s="3">
        <f>893.6+(390.3-259)+(-1.822944+(-0.796212--0.52836))+0-308--0.628319999999987</f>
        <v>715.43752400000017</v>
      </c>
      <c r="U6" s="3">
        <f>895.4+(370.1-240.3)+(-1.826616+(-0.755004--0.490212))+0-306.6--0.625463999999987</f>
        <v>717.13405599999999</v>
      </c>
      <c r="V6" s="3">
        <f>896.6+(335-236.2)+(-1.371798+(-0.51255--0.361386))+0-306.7--0.469251000000018</f>
        <v>687.64628900000002</v>
      </c>
      <c r="W6" s="3">
        <f>897.6+(287.1-233)+(-1.373328+(-0.439263--0.35649))+0-307.1--0.469863000000018</f>
        <v>643.61376200000007</v>
      </c>
      <c r="X6" s="3">
        <f>901.4+(245.2-245.3)+(-1.379142+(-0.375156--0.375309))+0-307.3--0.470169000000018</f>
        <v>593.09118000000001</v>
      </c>
      <c r="Y6" s="3">
        <f>898.7+(303-243.9)+(0+(0-0))+0-308.5-0</f>
        <v>649.30000000000007</v>
      </c>
      <c r="Z6" s="3">
        <f>872.9+(349.1-284.5)+(-1.335537+(-0.534123--0.435285))+0-309.2--0.473076000000018</f>
        <v>627.3387009999999</v>
      </c>
      <c r="AA6" s="3">
        <f>874.8+(370.4-271.8)+(-1.338444+(-0.566712--0.415854))+0-307.8--0.470934000000018</f>
        <v>664.58163200000001</v>
      </c>
      <c r="AB6" s="3">
        <f>877.9+(370.3-264.9)+(-0.447729+(-0.188853--0.135099))+0-308.7--0.157436999999969</f>
        <v>674.25595399999986</v>
      </c>
      <c r="AC6" s="3">
        <f>880.4+(366-257)+(-0.898008+(-0.37332--0.26214))+0-306.5--0.312630000000049</f>
        <v>682.203442</v>
      </c>
      <c r="AD6">
        <v>643.6</v>
      </c>
      <c r="AE6" s="3">
        <f>867+(336.5-252.3)+(0+(0-0))+0-307.6-0</f>
        <v>643.6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856.1+(373.1-219)+(0+(0-0))+0-307-0</f>
        <v>703.2</v>
      </c>
      <c r="G7" s="3">
        <f>847.4+(351.1-197.2)+(0+(0-0))+0-308.9-0</f>
        <v>692.4</v>
      </c>
      <c r="H7" s="3">
        <f>852.2+(313.4-183)+(-1.303866+(-0.479502--0.27999))+0-308.4--0.471852000000018</f>
        <v>673.16847400000006</v>
      </c>
      <c r="I7" s="3">
        <f>852.5+(279.2-172.3)+(0.434775+(0.142392-0.087873))+0-309-0.157589999999969</f>
        <v>650.73170400000004</v>
      </c>
      <c r="J7" s="3">
        <f>851.6+(251.2-166.4)+(0+(0-0))+0-307.4-0</f>
        <v>629</v>
      </c>
      <c r="K7" s="3">
        <f>850.6+(229.9-167.2)+(0.867612+(0.234498-0.170544))+0-308-0.314160000000049</f>
        <v>605.91740600000003</v>
      </c>
      <c r="L7" s="3">
        <f>850.5+(191.1-160.4)+(-0.86751+(-0.194922--0.163608))+0-307.8--0.313956000000049</f>
        <v>572.81513200000006</v>
      </c>
      <c r="M7" s="3">
        <f>851.7+(174.3-182.5)+(0+(0-0))+0-307.3-0</f>
        <v>536.20000000000005</v>
      </c>
      <c r="N7" s="3">
        <f>849.8+(215-203)+(0+(0-0))+0-307.8-0</f>
        <v>554</v>
      </c>
      <c r="O7" s="3">
        <f>845.7+(248.3-211.5)+(0+(0-0))+0-309.3-0</f>
        <v>573.20000000000005</v>
      </c>
      <c r="P7" s="3">
        <f>843.5+(265.3-231.5)+(0.86037+(0.270606-0.23613))+0-310.6-0.31681200000005</f>
        <v>567.27803399999993</v>
      </c>
      <c r="Q7" s="3">
        <f>846.5+(297.2-267.4)+(-1.72686+(-0.606288--0.545496))+0-310.2--0.632807999999986</f>
        <v>564.94515599999988</v>
      </c>
      <c r="R7" s="3">
        <f>847.7+(366.3-279.3)+(-1.729308+(-0.747252--0.569772))+0-309.8--0.631991999999986</f>
        <v>623.62520400000005</v>
      </c>
      <c r="S7" s="3">
        <f>845.7+(371.4-220.3)+(-0.431307+(-0.189414--0.112353))+0-309.3--0.157742999999969</f>
        <v>687.14937499999996</v>
      </c>
      <c r="T7" s="3">
        <f>847.1+(349.1-216.6)+(0.864042+(0.356082-0.220932))+0-308.6-0.314772000000049</f>
        <v>671.68441999999993</v>
      </c>
      <c r="U7" s="3">
        <f>846.8+(344.5-209.1)+(-0.863736+(-0.35139--0.213282))+0-308.2--0.314364000000049</f>
        <v>673.31251999999995</v>
      </c>
      <c r="V7" s="3">
        <f>807.7+(367.1-248.8)+(-1.235781+(-0.561663--0.380664))+0-308.1--0.471393000000018</f>
        <v>616.95461299999999</v>
      </c>
      <c r="W7" s="3">
        <f>761+(370.6-209.9)+(0.77622+(0.378012-0.214098))+0-309.6-0.315792000000049</f>
        <v>612.72434199999987</v>
      </c>
      <c r="X7" s="3">
        <f>759.5+(339.1-211.6)+(-0.387345+(-0.172941--0.107916))+0-308.2--0.157181999999969</f>
        <v>578.5048119999999</v>
      </c>
      <c r="Y7" s="3">
        <f>760.7+(375-227.5)+(1.163871+(0.57375-0.348075))+0-308.8-0.472464000000018</f>
        <v>600.31708199999991</v>
      </c>
      <c r="Z7" s="3">
        <f>761.2+(375.7-224.2)+(0.388212+(0.191607-0.114342))+0-307.9-0.157028999999969</f>
        <v>605.10844800000007</v>
      </c>
      <c r="AA7" s="3">
        <f>762.2+(377.4-221.1)+(0+(0-0))+0-308.1-0</f>
        <v>610.4</v>
      </c>
      <c r="AB7" s="3">
        <f>748.3+(384-206.7)+(0+(0-0))+0-307.7-0</f>
        <v>617.89999999999986</v>
      </c>
      <c r="AC7" s="3">
        <f>585.5+(511.2-162.6)+(0.298605+(0.260712-0.082926))+0-306.5-0.156314999999969</f>
        <v>627.92007600000011</v>
      </c>
      <c r="AD7">
        <v>573.60000000000014</v>
      </c>
      <c r="AE7" s="3">
        <f>760+(346.9-226.3)+(0+(0-0))+0-307-0</f>
        <v>573.59999999999991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557+(511.2-138.3)+(-1.70442+(-1.564272--0.423198))+0-307--0.939420000000035</f>
        <v>620.99392599999999</v>
      </c>
      <c r="G8" s="3">
        <f>556+(500.1-134.9)+(-0.85068+(-0.765153--0.206397))+0-308.3--0.471699000000018</f>
        <v>611.96226300000001</v>
      </c>
      <c r="H8" s="3">
        <f>555.1+(477.2-130.8)+(-0.283101+(-0.243372--0.066708))+0-309--0.157589999999969</f>
        <v>592.19782499999997</v>
      </c>
      <c r="I8" s="3">
        <f>558.3+(458.5-132.1)+(-1.423665+(-1.169175--0.336855))+0-309--0.787949999999955</f>
        <v>574.23196499999983</v>
      </c>
      <c r="J8" s="3">
        <f>559.2+(464.5-151.3)+(0+(0-0))+0-309.3-0</f>
        <v>563.10000000000014</v>
      </c>
      <c r="K8" s="3">
        <f>561.1+(442.5-151)+(0.858483+(0.677025-0.23103))+0-308.1-0.471393000000018</f>
        <v>545.33308499999998</v>
      </c>
      <c r="L8" s="3">
        <f>559.3+(433-151.4)+(0.570486+(0.44166-0.154428))+0-308.3-0.314466000000049</f>
        <v>533.14325199999985</v>
      </c>
      <c r="M8" s="3">
        <f>557.6+(437.2-171.3)+(-0.853128+(-0.668916--0.262089))+0-307.7--0.470781000000018</f>
        <v>515.01082599999995</v>
      </c>
      <c r="N8" s="3">
        <f>593.7+(434.9-195.1)+(-0.302787+(-0.221799--0.099501))+0-308--0.157079999999969</f>
        <v>525.23199499999998</v>
      </c>
      <c r="O8" s="3">
        <f>705.4+(389.5-234.3)+(-0.719508+(-0.39729--0.238986))+0-309.3--0.315486000000049</f>
        <v>550.73767400000008</v>
      </c>
      <c r="P8" s="3">
        <f>703.7+(400.4-217.4)+(-0.717774+(-0.408408--0.221748))+0-309.8--0.315996000000049</f>
        <v>576.31156200000009</v>
      </c>
      <c r="Q8" s="3">
        <f>739.6+(386.3-228.3)+(-0.377196+(-0.197013--0.116433))+0-309.3--0.157742999999969</f>
        <v>587.99996699999997</v>
      </c>
      <c r="R8" s="3">
        <f>831.6+(341.9-259.2)+(-0.848232+(-0.348738--0.264384))+0-308.1--0.314262000000049</f>
        <v>605.58167600000002</v>
      </c>
      <c r="S8" s="3">
        <f>909.8+(302.3-274.2)+(-0.927996+(-0.308346--0.279684))+0-308.2--0.314364000000049</f>
        <v>629.05770600000005</v>
      </c>
      <c r="T8" s="3">
        <f>914.6+(302.7-271)+(-1.865784+(-0.617508--0.55284))+0-308.6--0.629543999999987</f>
        <v>636.399092</v>
      </c>
      <c r="U8" s="3">
        <f>946+(291.6-287.2)+(-0.48246+(-0.148716--0.146472))+0-307.9--0.157028999999969</f>
        <v>642.17232500000011</v>
      </c>
      <c r="V8" s="3">
        <f>947.6+(259.7-277.8)+(-1.933104+(-0.529788--0.566712))+0-308.3--0.628931999999987</f>
        <v>619.93275200000005</v>
      </c>
      <c r="W8" s="3">
        <f>950.2+(217.1-265.8)+(-1.938408+(-0.442884--0.542232))+0-309.9--0.632195999999986</f>
        <v>590.39313600000003</v>
      </c>
      <c r="X8" s="3">
        <f>947.2+(188.1-270.7)+(0.483072+(0.095931-0.138057))+0-309.4-0.157793999999969</f>
        <v>555.48315200000013</v>
      </c>
      <c r="Y8" s="3">
        <f>961.6+(253.3-307.8)+(0.490416+(0.129183-0.156978))+0-309-0.157589999999969</f>
        <v>598.40503100000012</v>
      </c>
      <c r="Z8" s="3">
        <f>966.8+(308.2-358.2)+(-0.493068+(-0.157182--0.182682))+0-308.7--0.157436999999969</f>
        <v>607.78986899999984</v>
      </c>
      <c r="AA8" s="3">
        <f>969.6+(300.9-350.3)+(-1.977984+(-0.613836--0.714612))+0-308.3--0.628931999999987</f>
        <v>610.65172399999994</v>
      </c>
      <c r="AB8" s="3">
        <f>882.9+(324-294.5)+(-0.900558+(-0.33048--0.30039))+0-307.6--0.313752000000049</f>
        <v>604.18310399999996</v>
      </c>
      <c r="AC8" s="3">
        <f>810.3+(368.6-249.8)+(-0.413253+(-0.187986--0.127398))+0-307.2--0.156671999999969</f>
        <v>621.58283099999983</v>
      </c>
      <c r="AD8">
        <v>550.49999999999989</v>
      </c>
      <c r="AE8" s="3">
        <f>967+(278.6-387.5)+(0+(0-0))+0-307.6-0</f>
        <v>550.5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808.8+(340-252.9)+(-0.824976+(-0.3468--0.257958))+0-307.5--0.313650000000049</f>
        <v>587.79983200000004</v>
      </c>
      <c r="G9" s="3">
        <f>880.5+(259.6-249.6)+(-2.245275+(-0.66198--0.63648))+0-307.7--0.784634999999955</f>
        <v>581.31385999999998</v>
      </c>
      <c r="H9" s="3">
        <f>968.5+(178.9-253.3)+(0+(0-0))+0-308.2-0</f>
        <v>585.90000000000009</v>
      </c>
      <c r="I9" s="3">
        <f>972.1+(146.2-239.5)+(-1.983084+(-0.298248--0.48858))+0-309.4--0.631175999999986</f>
        <v>568.23842400000001</v>
      </c>
      <c r="J9" s="3">
        <f>972.6+(134-240.3)+(-0.992052+(-0.13668--0.245106))+0-308.7--0.314874000000049</f>
        <v>557.03124799999989</v>
      </c>
      <c r="K9" s="3">
        <f>973.2+(125.2-243.3)+(-0.496332+(-0.063852--0.124083))+0-307.6--0.156875999999969</f>
        <v>547.220775</v>
      </c>
      <c r="L9" s="3">
        <f>972.9+(140.4-281.3)+(0+(0-0))+0-307.7-0</f>
        <v>524.29999999999995</v>
      </c>
      <c r="M9" s="3">
        <f>970.2+(161.2-320.9)+(-1.979208+(-0.328848--0.654636))+0-306.5--0.625259999999987</f>
        <v>502.97183999999999</v>
      </c>
      <c r="N9" s="3">
        <f>964+(199.5-336.3)+(0.49164+(0.101745-0.171513))+0-308-0.157079999999969</f>
        <v>519.4647920000001</v>
      </c>
      <c r="O9" s="3">
        <f>959.5+(212.1-317.2)+(0+(0-0))+0-307.9-0</f>
        <v>546.5</v>
      </c>
      <c r="P9" s="3">
        <f>958.2+(256.2-339)+(-0.977364+(-0.261324--0.34578))+0-301.3--0.307326000000048</f>
        <v>573.51441800000021</v>
      </c>
      <c r="Q9" s="3">
        <f>954.9+(288-343)+(-0.486999+(-0.14688--0.17493))+0-307.6--0.156875999999969</f>
        <v>591.997927</v>
      </c>
      <c r="R9" s="3">
        <f>949.4+(314.4-325)+(-2.905164+(-0.962064--0.9945))+0-308.4--0.943704000000036</f>
        <v>628.47097599999995</v>
      </c>
      <c r="S9" s="3">
        <f>945.4+(330.2-291.6)+(-1.446462+(-0.505206--0.446148))+0-307.8--0.470934000000018</f>
        <v>675.16541399999994</v>
      </c>
      <c r="T9" s="3">
        <f>940.7+(332.9-274.5)+(-1.439271+(-0.509337--0.419985))+0-307.5--0.470475000000018</f>
        <v>690.54185199999995</v>
      </c>
      <c r="U9" s="3">
        <f>938.9+(322.9-265.1)+(-1.436517+(-0.494037--0.405603))+0-307.3--0.470169000000018</f>
        <v>688.34521800000005</v>
      </c>
      <c r="V9" s="3">
        <f>939.3+(304.5-262.7)+(-0.958086+(-0.31059--0.267954))+0-307.3--0.313446000000049</f>
        <v>673.11272399999996</v>
      </c>
      <c r="W9" s="3">
        <f>940.2+(269.4-287.5)+(-1.438506+(-0.412182--0.439875))+0-307.8--0.470934000000018</f>
        <v>613.36012100000005</v>
      </c>
      <c r="X9" s="3">
        <f>944.9+(237.1-297.6)+(-1.927596+(-0.483684--0.607104))+0-309.4--0.631175999999986</f>
        <v>573.827</v>
      </c>
      <c r="Y9" s="3">
        <f>951.5+(289.6-306.8)+(0.485265+(0.147696-0.156468))+0-309.7-0.157946999999969</f>
        <v>624.91854600000011</v>
      </c>
      <c r="Z9" s="3">
        <f>979.2+(297.7-360.7)+(0+(0-0))+0-309.2-0</f>
        <v>607</v>
      </c>
      <c r="AA9" s="3">
        <f>1098.1+(261.4-434.7)+(-2.800155+(-0.66657--1.108485))+0-309--0.787949999999955</f>
        <v>614.22970999999984</v>
      </c>
      <c r="AB9" s="3">
        <f>1176+(212-452.2)+(-2.39904+(-0.43248--0.922488))+0-308.7--0.629747999999987</f>
        <v>625.82071599999983</v>
      </c>
      <c r="AC9" s="3">
        <f>1220.1+(180.8-457.9)+(-1.866753+(-0.276624--0.700587))+0-307.4--0.470322000000018</f>
        <v>634.62753200000009</v>
      </c>
      <c r="AD9">
        <v>562.20000000000005</v>
      </c>
      <c r="AE9" s="3">
        <f>952+(286.4-367.4)+(0+(0-0))+0-308.8-0</f>
        <v>562.20000000000005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1126.1+(204.4-385)+(-1.148622+(-0.208488--0.3927))+0-307.1--0.313242000000049</f>
        <v>637.74883199999988</v>
      </c>
      <c r="G10" s="3">
        <f>896+(269.9-234.3)+(-2.2848+(-0.688245--0.597465))+0-307.6--0.784379999999955</f>
        <v>622.40879999999981</v>
      </c>
      <c r="H10" s="3">
        <f>820.2+(288.6-200.5)+(-0.418302+(-0.147186--0.102255))+0-308.3--0.157232999999969</f>
        <v>599.69400000000007</v>
      </c>
      <c r="I10" s="3">
        <f>904.4+(217-225.4)+(-1.844976+(-0.44268--0.459816))+0-308.6--0.629543999999987</f>
        <v>586.20170399999995</v>
      </c>
      <c r="J10" s="3">
        <f>904.4+(175.2-201.5)+(0+(0-0))+0-309.9-0</f>
        <v>568.19999999999993</v>
      </c>
      <c r="K10" s="3">
        <f>905.8+(155.6-194.4)+(-0.461958+(-0.079356--0.099144))+0-309--0.157589999999969</f>
        <v>557.71541999999988</v>
      </c>
      <c r="L10" s="3">
        <f>908.8+(142.8-210)+(-0.926976+(-0.145656--0.2142))+0-308--0.314160000000049</f>
        <v>533.05572799999993</v>
      </c>
      <c r="M10" s="3">
        <f>906.3+(148.3-232.6)+(0.462213+(0.075633-0.118626))+0-307.9-0.157028999999969</f>
        <v>514.36219100000005</v>
      </c>
      <c r="N10" s="3">
        <f>901.6+(200.2-263.4)+(0+(0-0))+0-307.2-0</f>
        <v>531.20000000000005</v>
      </c>
      <c r="O10" s="3">
        <f>896.9+(256.8-285.4)+(0+(0-0))+0-308.6-0</f>
        <v>559.69999999999993</v>
      </c>
      <c r="P10" s="3">
        <f>903.7+(293.6-307.5)+(0.460887+(0.149736-0.156825))+0-308.8-0.157487999999969</f>
        <v>581.29631000000006</v>
      </c>
      <c r="Q10" s="3">
        <f>906.1+(300.4-295.2)+(-1.386333+(-0.459612--0.451656))+0-309.6--0.473688000000018</f>
        <v>600.77939900000001</v>
      </c>
      <c r="R10" s="3">
        <f>902.6+(307.7-268.5)+(-1.841304+(-0.627708--0.54774))+0-310.1--0.632603999999987</f>
        <v>630.4113319999999</v>
      </c>
      <c r="S10" s="3">
        <f>900.1+(321.9-257.6)+(0+(0-0))+0-310.4-0</f>
        <v>654</v>
      </c>
      <c r="T10" s="3">
        <f>899.2+(335.3-252.5)+(-0.458592+(-0.171003--0.128775))+0-310.3--0.158252999999969</f>
        <v>671.35743300000001</v>
      </c>
      <c r="U10" s="3">
        <f>895.9+(336.1-249.7)+(-0.913818+(-0.342822--0.254694))+0-309.7--0.315894000000049</f>
        <v>671.91394800000012</v>
      </c>
      <c r="V10" s="3">
        <f>861.1+(334.3-236)+(0+(0-0))+0-309.5-0</f>
        <v>649.90000000000009</v>
      </c>
      <c r="W10" s="3">
        <f>874.3+(306.5-241.2)+(-0.891786+(-0.31263--0.246024))+0-308.8--0.314976000000049</f>
        <v>630.15658399999995</v>
      </c>
      <c r="X10" s="3">
        <f>898.9+(281.1-270.5)+(-2.292195+(-0.716805--0.689775))+0-308.6--0.786929999999955</f>
        <v>599.367705</v>
      </c>
      <c r="Y10" s="3">
        <f>903.7+(343.4-311.6)+(0.921774+(0.350268-0.317832))+0-310-0.316200000000049</f>
        <v>626.13800999999989</v>
      </c>
      <c r="Z10" s="3">
        <f>899.1+(358.4-310.2)+(-1.834164+(-0.731136--0.632808))+0-309.8--0.631991999999986</f>
        <v>636.19949999999983</v>
      </c>
      <c r="AA10" s="3">
        <f>912.7+(346.6-298.8)+(0.465477+(0.176766-0.152388))+0-309.8-0.157997999999969</f>
        <v>651.03185700000006</v>
      </c>
      <c r="AB10" s="3">
        <f>913.2+(309.4-258.2)+(-1.862928+(-0.631176--0.526728))+0-308--0.628319999999987</f>
        <v>655.06094400000018</v>
      </c>
      <c r="AC10" s="3">
        <f>914.7+(285.9-230.7)+(-0.466497+(-0.145809--0.117657))+0-308.4--0.157283999999969</f>
        <v>661.16263500000014</v>
      </c>
      <c r="AD10">
        <v>603.5</v>
      </c>
      <c r="AE10" s="3">
        <f>906+(333-326.7)+(0+(0-0))+0-308.8-0</f>
        <v>603.5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914.7+(270.1-224.5)+(-0.466497+(-0.137751--0.114495))+0-307.9--0.157028999999969</f>
        <v>652.06727600000011</v>
      </c>
      <c r="G11" s="3">
        <f>914.3+(260.4-220.2)+(-1.398879+(-0.398412--0.336906))+0-309--0.472770000000018</f>
        <v>644.51238499999999</v>
      </c>
      <c r="H11" s="3">
        <f>911.5+(264.3-222.7)+(-0.464865+(-0.134793--0.113577))+0-309--0.157589999999969</f>
        <v>643.77150899999992</v>
      </c>
      <c r="I11" s="3">
        <f>913.1+(223.2-214.6)+(-1.862724+(-0.455328--0.437784))+0-309.9--0.632195999999986</f>
        <v>610.55192800000009</v>
      </c>
      <c r="J11" s="3">
        <f>915+(178.3-204.3)+(-2.7999+(-0.545598--0.625158))+0-308.6--0.944316000000036</f>
        <v>578.62397600000008</v>
      </c>
      <c r="K11" s="3">
        <f>915.6+(158.1-191.3)+(-0.466956+(-0.080631--0.097563))+0-308.5--0.157334999999969</f>
        <v>573.60731099999998</v>
      </c>
      <c r="L11" s="3">
        <f>916.7+(157.7-210.9)+(-1.402551+(-0.241281--0.322677))+0-308.4--0.471852000000018</f>
        <v>554.25069700000006</v>
      </c>
      <c r="M11" s="3">
        <f>916.8+(169.5-249.3)+(-0.467568+(-0.086445--0.127143))+0-308.5--0.157334999999969</f>
        <v>528.23046499999998</v>
      </c>
      <c r="N11" s="3">
        <f>915.4+(245.1-292.4)+(0.466854+(0.125001-0.149124))+0-307.4-0.156773999999969</f>
        <v>560.9859570000001</v>
      </c>
      <c r="O11" s="3">
        <f>911.9+(284.2-289.1)+(1.395207+(0.434826-0.442323))+0-309.9-0.474147000000018</f>
        <v>598.01356299999998</v>
      </c>
      <c r="P11" s="3">
        <f>908.3+(288.4-301)+(-0.463233+(-0.147084--0.15351))+0-309.9--0.158048999999969</f>
        <v>585.50124199999993</v>
      </c>
      <c r="Q11" s="3">
        <f>905.3+(302.1-269.1)+(1.385109+(0.462213-0.411723))+0-310.9-0.475677000000018</f>
        <v>628.35992199999998</v>
      </c>
      <c r="R11" s="3">
        <f>903.8+(318.5-278)+(0+(0-0))+0-309.3-0</f>
        <v>635</v>
      </c>
      <c r="S11" s="3">
        <f>901.4+(335.7-268.3)+(-0.919428+(-0.342414--0.273666))+0-308--0.314160000000049</f>
        <v>660.12598400000002</v>
      </c>
      <c r="T11" s="3">
        <f>899.3+(350.1-266.4)+(-1.834572+(-0.714204--0.543456))+0-308.1--0.628523999999987</f>
        <v>673.52320399999996</v>
      </c>
      <c r="U11" s="3">
        <f>899+(340.9-260)+(0.45849+(0.173859-0.1326))+0-307.6-0.156875999999969</f>
        <v>672.6428729999999</v>
      </c>
      <c r="V11" s="3">
        <f>897.9+(314.7-249.1)+(-2.289645+(-0.802485--0.635205))+0-307.6--0.784379999999955</f>
        <v>654.22745499999996</v>
      </c>
      <c r="W11" s="3">
        <f>897+(267.4-222)+(-1.37241+(-0.409122--0.33966))+0-307.6--0.470628000000018</f>
        <v>633.828756</v>
      </c>
      <c r="X11" s="3">
        <f>902.1+(234.9-235.5)+(-1.840284+(-0.479196--0.48042))+0-308.4--0.629135999999986</f>
        <v>591.89007600000002</v>
      </c>
      <c r="Y11" s="3">
        <f>905.5+(292-262.3)+(0.92361+(0.29784-0.267546))+0-308.9-0.315078000000049</f>
        <v>626.93882599999995</v>
      </c>
      <c r="Z11" s="3">
        <f>905.1+(325-282.9)+(-1.846404+(-0.663--0.577116))+0-310--0.632399999999986</f>
        <v>635.90011200000004</v>
      </c>
      <c r="AA11" s="3">
        <f>907.5+(325.9-282.5)+(-1.8513+(-0.664836--0.5763))+0-309--0.630359999999986</f>
        <v>640.59052399999996</v>
      </c>
      <c r="AB11" s="3">
        <f>911.4+(337.4-304.5)+(-2.32407+(-0.86037--0.776475))+0-309.2--0.788459999999955</f>
        <v>633.48049500000002</v>
      </c>
      <c r="AC11" s="3">
        <f>912.5+(348.4-296.8)+(0.465375+(0.177684-0.151368))+0-307.4-0.156773999999969</f>
        <v>657.03491699999995</v>
      </c>
      <c r="AD11">
        <v>612.59999999999991</v>
      </c>
      <c r="AE11" s="3">
        <f>901+(298.5-278.7)+(0+(0-0))+0-308.2-0</f>
        <v>612.59999999999991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911.4+(323.8-292.1)+(0+(0-0))+0-308.2-0</f>
        <v>634.89999999999986</v>
      </c>
      <c r="G12" s="3">
        <f>912.5+(293.3-242.6)+(-1.396125+(-0.448749--0.371178))+0-308.6--0.472158000000018</f>
        <v>653.59846200000004</v>
      </c>
      <c r="H12" s="3">
        <f>910.7+(264.5-249.1)+(-2.786742+(-0.80937--0.762246))+0-308.2--0.943092000000036</f>
        <v>616.00922600000024</v>
      </c>
      <c r="I12" s="3">
        <f>911.3+(222.6-215.2)+(-1.859052+(-0.454104--0.439008))+0-308.6--0.629543999999987</f>
        <v>608.85539599999993</v>
      </c>
      <c r="J12" s="3">
        <f>912.5+(197.7-239.3)+(-0.465375+(-0.100827--0.122043))+0-307.1--0.156620999999969</f>
        <v>563.51246199999991</v>
      </c>
      <c r="K12" s="3">
        <f>913.8+(170.2-218.6)+(-0.466038+(-0.086802--0.111486))+0-307.6--0.156875999999969</f>
        <v>557.51552199999992</v>
      </c>
      <c r="L12" s="3">
        <f>914.3+(162.8-225.9)+(-2.797758+(-0.498168--0.691254))+0-308--0.942480000000036</f>
        <v>541.53780799999993</v>
      </c>
      <c r="M12" s="3">
        <f>915.9+(132.6-229.8)+(-0.934218+(-0.135252--0.234396))+0-306.6--0.312732000000049</f>
        <v>511.57765799999999</v>
      </c>
      <c r="N12" s="3">
        <f>914.7+(170.2-243.6)+(0.466497+(0.086802-0.124236))+0-306.8-0.156467999999969</f>
        <v>534.77259500000002</v>
      </c>
      <c r="O12" s="3">
        <f>908+(221.5-277.2)+(-1.38924+(-0.338895--0.424116))+0-307.7--0.470781000000018</f>
        <v>543.76676199999997</v>
      </c>
      <c r="P12" s="3">
        <f>904.1+(237.3-273.4)+(-1.383273+(-0.363069--0.418302))+0-307.7--0.470781000000018</f>
        <v>559.44274100000007</v>
      </c>
      <c r="Q12" s="3">
        <f>901.7+(248.7-251.9)+(-1.839468+(-0.507348--0.513876))+0-307.8--0.627911999999987</f>
        <v>589.49497200000008</v>
      </c>
      <c r="R12" s="3">
        <f>900.3+(270.5-257.1)+(-1.377459+(-0.413865--0.393363))+0-308.1--0.471393000000018</f>
        <v>604.67343199999993</v>
      </c>
      <c r="S12" s="3">
        <f>896.4+(283.4-258.4)+(-0.457164+(-0.144534--0.131784))+0-306.9--0.156518999999969</f>
        <v>614.18660499999999</v>
      </c>
      <c r="T12" s="3">
        <f>893.7+(296.9-251.7)+(0+(0-0))+0-306.9-0</f>
        <v>632.00000000000011</v>
      </c>
      <c r="U12" s="3">
        <f>896.2+(289.8-262.3)+(-1.371186+(-0.443394--0.401319))+0-306.8--0.469404000000018</f>
        <v>615.956143</v>
      </c>
      <c r="V12" s="3">
        <f>897.6+(297.1-276)+(-1.831104+(-0.606084--0.56304))+0-308.2--0.628727999999987</f>
        <v>609.25458000000015</v>
      </c>
      <c r="W12" s="3">
        <f>894.8+(265-272.2)+(0.912696+(0.2703-0.277644))+0-308.8-0.314976000000049</f>
        <v>579.39037599999995</v>
      </c>
      <c r="X12" s="3">
        <f>896.8+(245.3-289.3)+(-2.28684+(-0.625515--0.737715))+0-309.2--0.788459999999955</f>
        <v>542.21381999999994</v>
      </c>
      <c r="Y12" s="3">
        <f>901.3+(285.1-292.7)+(0+(0-0))+0-308.5-0</f>
        <v>585.20000000000005</v>
      </c>
      <c r="Z12" s="3">
        <f>905+(290.2-299.1)+(0+(0-0))+0-308.1-0</f>
        <v>587.99999999999989</v>
      </c>
      <c r="AA12" s="3">
        <f>910.1+(287.8-295.1)+(-2.320755+(-0.73389--0.752505))+0-307.6--0.784379999999955</f>
        <v>593.68223999999987</v>
      </c>
      <c r="AB12" s="3">
        <f>910.6+(290.8-281.1)+(-1.857624+(-0.593232--0.573444))+0-306.5--0.625259999999987</f>
        <v>612.54784799999993</v>
      </c>
      <c r="AC12" s="3">
        <f>910.6+(287.2-253.5)+(-1.393218+(-0.439416--0.387855))+0-305.8--0.467874000000018</f>
        <v>637.5230949999999</v>
      </c>
      <c r="AD12">
        <v>574.69999999999993</v>
      </c>
      <c r="AE12" s="3">
        <f>904+(290.6-312.9)+(0+(0-0))+0-307-0</f>
        <v>574.70000000000005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911.2+(293.7-266.5)+(-0.929424+(-0.299574--0.27183))+0-306.4--0.312528000000049</f>
        <v>631.35536000000013</v>
      </c>
      <c r="G13" s="3">
        <f>910.8+(281.4-227.9)+(-1.858032+(-0.574056--0.464916))+0-307--0.626279999999987</f>
        <v>655.9591079999999</v>
      </c>
      <c r="H13" s="3">
        <f>909.3+(239.2-207.3)+(-2.318715+(-0.60996--0.528615))+0-308.2--0.785909999999955</f>
        <v>631.38584999999978</v>
      </c>
      <c r="I13" s="3">
        <f>907.2+(211.4-199.7)+(0.925344+(0.215628-0.203694))+0-307.8-0.313956000000049</f>
        <v>611.72332199999994</v>
      </c>
      <c r="J13" s="3">
        <f>906.5+(187.8-200.5)+(-0.92463+(-0.191556--0.20451))+0-308.6--0.314772000000049</f>
        <v>584.60309600000005</v>
      </c>
      <c r="K13" s="3">
        <f>909.7+(173.1-207.7)+(0.463947+(0.088281-0.105927))+0-307.1-0.156620999999969</f>
        <v>568.28967999999998</v>
      </c>
      <c r="L13" s="3">
        <f>911.8+(149.8-209.1)+(-3.255126+(-0.534786--0.746487))+0-307.7--1.098489</f>
        <v>542.85506400000008</v>
      </c>
      <c r="M13" s="3">
        <f>912.1+(121.3-225.2)+(-0.465171+(-0.061863--0.114852))+0-305.6--0.155855999999969</f>
        <v>502.34367399999996</v>
      </c>
      <c r="N13" s="3">
        <f>911.4+(170.5-264.2)+(0.464814+(0.086955-0.134742))+0-306.1-0.156110999999969</f>
        <v>511.86091600000003</v>
      </c>
      <c r="O13" s="3">
        <f>907.1+(192.8-264.3)+(-1.387863+(-0.294984--0.404379))+0-307.1--0.469863000000018</f>
        <v>527.69139500000006</v>
      </c>
      <c r="P13" s="3">
        <f>903.4+(194.5-260.6)+(0.921468+(0.19839-0.265812))+0-307.5-0.313650000000049</f>
        <v>530.34039599999994</v>
      </c>
      <c r="Q13" s="3">
        <f>901.2+(213.5-266.4)+(-0.919224+(-0.21777--0.271728))+0-306.2--0.312324000000049</f>
        <v>541.54705800000022</v>
      </c>
      <c r="R13" s="3">
        <f>899.4+(234.5-276.9)+(-0.917388+(-0.23919--0.282438))+0-305.7--0.311814000000049</f>
        <v>550.73767400000008</v>
      </c>
      <c r="S13" s="3">
        <f>897.1+(246.3-268.7)+(0+(0-0))+0-306.4-0</f>
        <v>568.30000000000007</v>
      </c>
      <c r="T13" s="3">
        <f>895.3+(259.1-269.4)+(-0.456603+(-0.132141--0.137394))+0-307--0.156569999999969</f>
        <v>577.70521999999994</v>
      </c>
      <c r="U13" s="3">
        <f>894.4+(254.4-260.8)+(-0.912288+(-0.259488--0.266016))+0-306.8--0.312936000000049</f>
        <v>580.60717599999998</v>
      </c>
      <c r="V13" s="3">
        <f>895+(242.8-251.6)+(-0.9129+(-0.247656--0.256632))+0-307.4--0.313548000000049</f>
        <v>578.20962400000019</v>
      </c>
      <c r="W13" s="3">
        <f>895.3+(228-251.3)+(-0.456603+(-0.11628--0.128163))+0-308.7--0.157436999999969</f>
        <v>563.01271699999995</v>
      </c>
      <c r="X13" s="3">
        <f>898+(212.2-263.8)+(-2.2899+(-0.54111--0.67269))+0-308.8--0.787439999999955</f>
        <v>536.22911999999985</v>
      </c>
      <c r="Y13" s="3">
        <f>900.9+(284.6-267.5)+(-0.918918+(-0.290292--0.27285))+0-309--0.315180000000049</f>
        <v>608.37882000000002</v>
      </c>
      <c r="Z13" s="3">
        <f>904.1+(322.7-276.1)+(-0.461091+(-0.164577--0.140811))+0-309--0.157589999999969</f>
        <v>641.37273299999993</v>
      </c>
      <c r="AA13" s="3">
        <f>907.8+(356-269.1)+(-0.462978+(-0.18156--0.137241))+0-308--0.157079999999969</f>
        <v>686.34978299999989</v>
      </c>
      <c r="AB13" s="3">
        <f>909.4+(376-255.2)+(-1.391382+(-0.57528--0.390456))+0-307--0.469710000000018</f>
        <v>722.09350400000005</v>
      </c>
      <c r="AC13" s="3">
        <f>909.7+(386.2-257.7)+(-0.927894+(-0.393924--0.262854))+0-307--0.313140000000049</f>
        <v>730.45417600000007</v>
      </c>
      <c r="AD13">
        <v>651.9</v>
      </c>
      <c r="AE13" s="3">
        <f>903+(328-270.1)+(0+(0-0))+0-309-0</f>
        <v>651.9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911.6+(364.3-234.7)+(-1.859664+(-0.743172--0.478788))+0-308--0.628319999999987</f>
        <v>731.70427200000017</v>
      </c>
      <c r="G14" s="3">
        <f>911.7+(326.2-212.2)+(0.464967+(0.166362-0.108222))+0-309-0.157589999999969</f>
        <v>717.06551700000011</v>
      </c>
      <c r="H14" s="3">
        <f>908.9+(290.8-199.5)+(-0.927078+(-0.296616--0.20349))+0-310--0.316200000000049</f>
        <v>689.4959960000001</v>
      </c>
      <c r="I14" s="3">
        <f>907.8+(246-191.3)+(-0.925956+(-0.25092--0.195126))+0-308--0.314160000000049</f>
        <v>653.83240999999998</v>
      </c>
      <c r="J14" s="3">
        <f>906.1+(217.6-186.9)+(0+(0-0))+0-308-0</f>
        <v>628.79999999999995</v>
      </c>
      <c r="K14" s="3">
        <f>904.9+(208.4-209.2)+(0+(0-0))+0-307-0</f>
        <v>597.1</v>
      </c>
      <c r="L14" s="3">
        <f>907.9+(218.4-258.6)+(-1.852116+(-0.445536--0.527544))+0-307--0.626279999999987</f>
        <v>559.55617199999983</v>
      </c>
      <c r="M14" s="3">
        <f>908.9+(177.5-248.6)+(-0.463539+(-0.090525--0.126786))+0-307--0.156569999999969</f>
        <v>530.52929199999994</v>
      </c>
      <c r="N14" s="3">
        <f>906.2+(222.9-263.7)+(0+(0-0))+0-307-0</f>
        <v>558.40000000000009</v>
      </c>
      <c r="O14" s="3">
        <f>901.3+(271.9-277.7)+(0+(0-0))+0-308-0</f>
        <v>587.5</v>
      </c>
      <c r="P14" s="3">
        <f>894.3+(298.2-267.3)+(-0.456093+(-0.152082--0.136323))+0-309--0.157589999999969</f>
        <v>615.88573799999983</v>
      </c>
      <c r="Q14" s="3">
        <f>892.5+(326.2-263.9)+(-1.365525+(-0.499086--0.403767))+0-309.2--0.473076000000018</f>
        <v>644.61223199999995</v>
      </c>
      <c r="R14" s="3">
        <f>895.2+(377.8-268.1)+(-1.369656+(-0.578034--0.410193))+0-309.3--0.473229000000018</f>
        <v>694.53573200000017</v>
      </c>
      <c r="S14" s="3">
        <f>898.4+(412.3-253.6)+(-1.832736+(-0.841092--0.517344))+0-308.3--0.628931999999987</f>
        <v>747.27244799999983</v>
      </c>
      <c r="T14" s="3">
        <f>897.9+(419.2-252.9)+(-1.373787+(-0.641376--0.386937))+0-307.5--0.470475000000018</f>
        <v>755.54224899999997</v>
      </c>
      <c r="U14" s="3">
        <f>894.7+(409.8-247.5)+(-1.825188+(-0.835992--0.5049))+0-307.4--0.627095999999987</f>
        <v>748.07081600000004</v>
      </c>
      <c r="V14" s="3">
        <f>893.7+(376.9-233)+(-2.734722+(-1.153314--0.71298))+0-307.8--0.941868000000036</f>
        <v>727.56681199999991</v>
      </c>
      <c r="W14" s="3">
        <f>894.5+(327-233)+(-2.280975+(-0.83385--0.59415))+0-307.2--0.783359999999955</f>
        <v>679.56268499999987</v>
      </c>
      <c r="X14" s="3">
        <f>896.8+(276.3-227.1)+(-1.372104+(-0.422739--0.347463))+0-307.6--0.470628000000018</f>
        <v>637.42324800000006</v>
      </c>
      <c r="Y14" s="3">
        <f>899.2+(302-235.7)+(0+(0-0))+0-300-0</f>
        <v>665.5</v>
      </c>
      <c r="Z14" s="3">
        <f>905.1+(329.4-237.5)+(-1.846404+(-0.671976--0.4845))+0-300--0.611999999999987</f>
        <v>695.57812000000001</v>
      </c>
      <c r="AA14" s="3">
        <f>906.9+(356.3-236.4)+(-1.850076+(-0.726852--0.482256))+0-297--0.605879999999987</f>
        <v>728.31120799999997</v>
      </c>
      <c r="AB14" s="3">
        <f>909.7+(408.3-253.4)+(-1.391841+(-0.624699--0.387702))+0-310--0.474300000000018</f>
        <v>753.44546200000002</v>
      </c>
      <c r="AC14" s="3">
        <f>909.4+(423.5-217.3)+(-1.855176+(-0.86394--0.443292))+0-310--0.632399999999986</f>
        <v>803.95657599999981</v>
      </c>
      <c r="AD14">
        <v>655.1</v>
      </c>
      <c r="AE14" s="3">
        <f>900+(290-224.9)+(0+(0-0))+0-310-0</f>
        <v>655.1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911+(384.9-225.1)+(-2.32305+(-0.981495--0.574005))+0-310--0.790499999999955</f>
        <v>758.85995999999989</v>
      </c>
      <c r="G15" s="3">
        <f>914.2+(341.4-192.3)+(-2.33121+(-0.87057--0.490365))+0-311--0.793049999999955</f>
        <v>750.38163499999996</v>
      </c>
      <c r="H15" s="3">
        <f>915.9+(294.4-170.7)+(-1.401327+(-0.450432--0.261171))+0-311--0.475830000000018</f>
        <v>727.48524199999986</v>
      </c>
      <c r="I15" s="3">
        <f>916.4+(258.1-168.4)+(-1.402092+(-0.394893--0.257652))+0-310--0.474300000000018</f>
        <v>695.03496699999994</v>
      </c>
      <c r="J15" s="3">
        <f>916.7+(224.4-161.3)+(-0.935034+(-0.228888--0.164526))+0-310--0.316200000000049</f>
        <v>669.11680400000012</v>
      </c>
      <c r="K15" s="3">
        <f>917.1+(196.5-165)+(0.935442+(0.20043-0.1683))+0-310-0.316200000000049</f>
        <v>639.25137199999995</v>
      </c>
      <c r="L15" s="3">
        <f>919+(158.3-179.9)+(-0.93738+(-0.161466--0.183498))+0-310--0.316200000000049</f>
        <v>586.80085200000008</v>
      </c>
      <c r="M15" s="3">
        <f>920.2+(131.8-190)+(0+(0-0))+0-309-0</f>
        <v>553</v>
      </c>
      <c r="N15" s="3">
        <f>915.8+(144.5-170.5)+(-0.467058+(-0.073695--0.086955))+0-310--0.158099999999969</f>
        <v>579.50430199999994</v>
      </c>
      <c r="O15" s="3">
        <f>890.2+(205.6-180.7)+(0.908004+(0.209712-0.184314))+0-311-0.31722000000005</f>
        <v>604.716182</v>
      </c>
      <c r="P15" s="3">
        <f>885.4+(248.8-193.7)+(-0.451554+(-0.126888--0.098787))+0-311--0.158609999999968</f>
        <v>629.17895499999997</v>
      </c>
      <c r="Q15" s="3">
        <f>879.6+(291.8-205.5)+(-0.448596+(-0.148818--0.104805))+0-312--0.159119999999968</f>
        <v>653.56651099999999</v>
      </c>
      <c r="R15" s="3">
        <f>876+(355.9-211.5)+(-0.44676+(-0.181509--0.107865))+0-311--0.158609999999968</f>
        <v>709.03820599999995</v>
      </c>
      <c r="S15" s="3">
        <f>878.8+(403.4-218.8)+(-2.24094+(-1.02867--0.55794))+0-312--0.795599999999955</f>
        <v>749.48392999999987</v>
      </c>
      <c r="T15" s="3">
        <f>880.3+(421.1-222.7)+(-1.795812+(-0.859044--0.454308))+0-311--0.634439999999986</f>
        <v>766.13389200000006</v>
      </c>
      <c r="U15" s="3">
        <f>879.1+(409.9-217.8)+(-0.896682+(-0.418098--0.222156))+0-311--0.31722000000005</f>
        <v>759.42459600000018</v>
      </c>
      <c r="V15" s="3">
        <f>877.1+(360.8-201.5)+(-1.341963+(-0.552024--0.308295))+0-311--0.475830000000018</f>
        <v>724.29013799999996</v>
      </c>
      <c r="W15" s="3">
        <f>876.9+(296.6-184.2)+(0.447219+(0.151266-0.093942))+0-311-0.158609999999968</f>
        <v>678.64593300000001</v>
      </c>
      <c r="X15" s="3">
        <f>880+(280.3-209.3)+(-1.3464+(-0.428859--0.320229))+0-312--0.477360000000018</f>
        <v>638.02233000000001</v>
      </c>
      <c r="Y15" s="3">
        <f>879.5+(354.8-243.5)+(-0.89709+(-0.361896--0.24837))+0-312--0.31824000000005</f>
        <v>678.10762399999999</v>
      </c>
      <c r="Z15" s="3">
        <f>882.8+(382.4-242.9)+(-1.800912+(-0.780096--0.495516))+0-312--0.636479999999986</f>
        <v>708.85098799999992</v>
      </c>
      <c r="AA15" s="3">
        <f>885.7+(442.2-253.8)+(-0.451707+(-0.225522--0.129438))+0-311--0.158609999999968</f>
        <v>762.7108189999999</v>
      </c>
      <c r="AB15" s="3">
        <f>885.1+(470.8-251.4)+(-2.257005+(-1.20054--0.64107))+0-311--0.793049999999955</f>
        <v>791.47657499999991</v>
      </c>
      <c r="AC15" s="3">
        <f>885.1+(497.9-215.7)+(-0.451401+(-0.253929--0.110007))+0-311--0.158609999999968</f>
        <v>855.8632869999999</v>
      </c>
      <c r="AD15">
        <v>657.7</v>
      </c>
      <c r="AE15" s="3">
        <f>875+(348.2-254.5)+(0+(0-0))+0-311-0</f>
        <v>657.7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886.1+(474.1-219)+(-1.355733+(-0.725373--0.33507))+0-311--0.475830000000018</f>
        <v>828.92979400000002</v>
      </c>
      <c r="G16" s="3">
        <f>887.9+(442.3-193.8)+(0+(0-0))+0-312-0</f>
        <v>824.40000000000009</v>
      </c>
      <c r="H16" s="3">
        <f>888+(405.9-185.2)+(0.45288+(0.207009-0.094452))+0-312-0.159119999999968</f>
        <v>797.1063170000001</v>
      </c>
      <c r="I16" s="3">
        <f>886.3+(370.5-178.8)+(0+(0-0))+0-312-0</f>
        <v>766</v>
      </c>
      <c r="J16" s="3">
        <f>884.6+(341.5-172.4)+(-2.706876+(-1.04499--0.527544))+0-312--0.954720000000036</f>
        <v>739.43039800000008</v>
      </c>
      <c r="K16" s="3">
        <f>884.7+(304.8-171.4)+(0.902394+(0.310896-0.174828))+0-312-0.31824000000005</f>
        <v>706.82022199999994</v>
      </c>
      <c r="L16" s="3">
        <f>885.6+(229.6-177.8)+(-0.451656+(-0.117096--0.090678))+0-311--0.158609999999968</f>
        <v>626.08053599999994</v>
      </c>
      <c r="M16" s="3">
        <f>883.4+(196.4-187.9)+(-0.901068+(-0.200328--0.191658))+0-311--0.31722000000005</f>
        <v>580.30748200000005</v>
      </c>
      <c r="N16" s="3">
        <f>880.4+(213.4-168)+(-0.449004+(-0.108834--0.08568))+0-312--0.159119999999968</f>
        <v>613.48696199999983</v>
      </c>
      <c r="O16" s="3">
        <f>880.2+(242.5-177.2)+(0.448902+(0.123675-0.090372))+0-312-0.159119999999968</f>
        <v>633.82308500000011</v>
      </c>
      <c r="P16" s="3">
        <f>878.3+(280.7-186.1)+(0.447933+(0.143157-0.094911))+0-312-0.159119999999968</f>
        <v>661.23705900000004</v>
      </c>
      <c r="Q16" s="3">
        <f>877.1+(320.4-190.6)+(0+(0-0))+0-312-0</f>
        <v>694.9</v>
      </c>
      <c r="R16" s="3">
        <f>874.8+(401.1-172.3)+(-0.892296+(-0.409122--0.175746))+0-307--0.313140000000049</f>
        <v>795.7874680000001</v>
      </c>
      <c r="S16" s="3">
        <f>875.8+(435.5-172.9)+(-0.893316+(-0.44421--0.176358))+0-314--0.32028000000005</f>
        <v>823.55911200000003</v>
      </c>
      <c r="T16" s="3">
        <f>875.5+(487-189.7)+(-0.89301+(-0.49674--0.193494))+0-314--0.32028000000005</f>
        <v>857.92402400000003</v>
      </c>
      <c r="U16" s="3">
        <f>874.4+(503.2-198.3)+(0.445944+(0.256632-0.101133))+0-314-0.160139999999968</f>
        <v>865.74130300000002</v>
      </c>
      <c r="V16" s="3">
        <f>876.4+(427.5-194.4)+(-0.446964+(-0.218025--0.099144))+0-314--0.160139999999968</f>
        <v>795.09429499999987</v>
      </c>
      <c r="W16" s="3">
        <f>879.7+(351.6-192.3)+(-1.345941+(-0.537948--0.294219))+0-314--0.480420000000018</f>
        <v>723.89074999999991</v>
      </c>
      <c r="X16" s="3">
        <f>883.6+(316.4-185)+(-0.901272+(-0.322728--0.1887))+0-314--0.32028000000005</f>
        <v>700.28498000000002</v>
      </c>
      <c r="Y16" s="3">
        <f>883.3+(366.4-192.9)+(-0.450483+(-0.186864--0.098379))+0-314--0.160139999999968</f>
        <v>742.42117199999984</v>
      </c>
      <c r="Z16" s="3">
        <f>884.6+(420.5-199.7)+(-2.25573+(-1.072275--0.509235))+0-314--0.800699999999954</f>
        <v>789.38193000000001</v>
      </c>
      <c r="AA16" s="3">
        <f>885.7+(485.9-207.2)+(-1.355121+(-0.743427--0.317016))+0-314--0.480420000000018</f>
        <v>849.0988880000001</v>
      </c>
      <c r="AB16" s="3">
        <f>884.6+(551.6-208.5)+(-1.353438+(-0.843948--0.319005))+0-314--0.480420000000018</f>
        <v>912.30203900000004</v>
      </c>
      <c r="AC16" s="3">
        <f>884.2+(583.1-191.7)+(-2.25471+(-1.486905--0.488835))+0-313--0.798149999999955</f>
        <v>960.14537000000007</v>
      </c>
      <c r="AD16">
        <v>738.09999999999991</v>
      </c>
      <c r="AE16" s="3">
        <f>884+(405.5-238.4)+(0+(0-0))+0-313-0</f>
        <v>738.09999999999991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885.6+(585.7-261.2)+(-0.903312+(-0.597414--0.266424))+0-313--0.31926000000005</f>
        <v>896.18495800000017</v>
      </c>
      <c r="G17" s="3">
        <f>883.2+(558.4-241.2)+(-3.603456+(-2.278272--0.984096))+0-314--1.28111999999997</f>
        <v>882.78348800000015</v>
      </c>
      <c r="H17" s="3">
        <f>881.7+(512.7-226)+(-1.349001+(-0.784431--0.34578))+0-314--0.480420000000018</f>
        <v>853.09276800000009</v>
      </c>
      <c r="I17" s="3">
        <f>880.9+(475.1-209.7)+(-0.898518+(-0.484602--0.213894))+0-314--0.32028000000005</f>
        <v>831.451054</v>
      </c>
      <c r="J17" s="3">
        <f>877.6+(446.7-206.3)+(-2.23788+(-1.139085--0.526065))+0-314--0.800699999999954</f>
        <v>801.9498000000001</v>
      </c>
      <c r="K17" s="3">
        <f>880.1+(407.6-208.3)+(0.448851+(0.207876-0.106233))+0-313-0.159629999999968</f>
        <v>766.79086400000017</v>
      </c>
      <c r="L17" s="3">
        <f>881.7+(333.6-225.5)+(-0.899334+(-0.340272--0.23001))+0-313--0.31926000000005</f>
        <v>676.10966400000018</v>
      </c>
      <c r="M17" s="3">
        <f>881.2+(262.8-203.5)+(-0.898824+(-0.268056--0.20757))+0-313--0.31926000000005</f>
        <v>626.85995000000014</v>
      </c>
      <c r="N17" s="3">
        <f>881.5+(267.7-196.6)+(-0.89913+(-0.273054--0.200532))+0-313--0.31926000000005</f>
        <v>638.94760800000017</v>
      </c>
      <c r="O17" s="3">
        <f>762.9+(378.2-176.2)+(-0.389079+(-0.192882--0.089862))+0-315--0.160649999999968</f>
        <v>649.56855099999984</v>
      </c>
      <c r="P17" s="3">
        <f>877.3+(308.8-193)+(0+(0-0))+0-314-0</f>
        <v>679.09999999999991</v>
      </c>
      <c r="Q17" s="3">
        <f>872.1+(351.5-204.9)+(-0.444771+(-0.179265--0.104499))+0-314--0.160139999999968</f>
        <v>704.34060299999999</v>
      </c>
      <c r="R17" s="3">
        <f>871.7+(459.1-264.5)+(-0.444567+(-0.234141--0.134895))+0-314--0.160139999999968</f>
        <v>751.91632700000014</v>
      </c>
      <c r="S17" s="3">
        <f>871.4+(563-267.2)+(-1.333242+(-0.86139--0.408816))+0-314--0.480420000000018</f>
        <v>851.89460399999996</v>
      </c>
      <c r="T17" s="3">
        <f>873.1+(579.6-267.3)+(-0.445281+(-0.295596--0.136323))+0-314--0.160139999999968</f>
        <v>870.95558600000004</v>
      </c>
      <c r="U17" s="3">
        <f>877.6+(549.8-254)+(-3.133032+(-1.962786--0.90678))+0-314--1.12098</f>
        <v>856.33194200000014</v>
      </c>
      <c r="V17" s="3">
        <f>876.4+(488.6-229.9)+(-1.340892+(-0.747558--0.351747))+0-313--0.478890000000018</f>
        <v>820.84218699999985</v>
      </c>
      <c r="W17" s="3">
        <f>878+(409.2-228)+(-2.68668+(-1.252152--0.69768))+0-313--0.957780000000036</f>
        <v>743.91662800000006</v>
      </c>
      <c r="X17" s="3">
        <f>879+(359.3-243.2)+(-1.34487+(-0.549729--0.372096))+0-313--0.478890000000018</f>
        <v>681.05638699999997</v>
      </c>
      <c r="Y17" s="3">
        <f>878.5+(418.1-281.4)+(-0.89607+(-0.426462--0.287028))+0-314--0.32028000000005</f>
        <v>700.48477600000012</v>
      </c>
      <c r="Z17" s="3">
        <f>878.5+(499-300.3)+(-1.79214+(-1.01796--0.612612))+0-314--0.640559999999986</f>
        <v>761.64307199999996</v>
      </c>
      <c r="AA17" s="3">
        <f>882.2+(538-295.7)+(-1.799688+(-1.09752--0.603228))+0-313--0.638519999999986</f>
        <v>809.84454000000005</v>
      </c>
      <c r="AB17" s="3">
        <f>849+(597-277.4)+(-0.86598+(-0.60894--0.282948))+0-314--0.32028000000005</f>
        <v>853.72830799999986</v>
      </c>
      <c r="AC17" s="3">
        <f>675.5+(785.6-228.8)+(-0.68901+(-0.801312--0.233376))+0-312--0.31824000000005</f>
        <v>919.36129400000004</v>
      </c>
      <c r="AD17">
        <v>731.3</v>
      </c>
      <c r="AE17" s="3">
        <f>877+(464.1-295.8)+(0+(0-0))+0-314-0</f>
        <v>731.3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619.5+(789.5-209.5)+(-1.579725+(-2.013225--0.534225))+0-313--0.798149999999955</f>
        <v>884.23942499999987</v>
      </c>
      <c r="G18" s="3">
        <f>621.3+(750.8-178.7)+(-0.950589+(-1.148724--0.273411))+0-313--0.478890000000018</f>
        <v>879.0529879999998</v>
      </c>
      <c r="H18" s="3">
        <f>622.6+(702.8-166.5)+(0+(0-0))+0-313-0</f>
        <v>845.90000000000009</v>
      </c>
      <c r="I18" s="3">
        <f>620.5+(658.9-151.5)+(-0.949365+(-1.008117--0.231795))+0-314--0.480420000000018</f>
        <v>812.65473299999996</v>
      </c>
      <c r="J18" s="3">
        <f>620.8+(621-148.7)+(-1.899648+(-1.90026--0.455022))+0-313--0.957780000000036</f>
        <v>777.71289399999989</v>
      </c>
      <c r="K18" s="3">
        <f>620.3+(581.9-146.9)+(-0.632706+(-0.593538--0.149838))+0-313--0.31926000000005</f>
        <v>741.54285400000015</v>
      </c>
      <c r="L18" s="3">
        <f>620.4+(503-157.9)+(-1.265616+(-1.02612--0.322116))+0-313--0.638519999999986</f>
        <v>651.16890000000001</v>
      </c>
      <c r="M18" s="3">
        <f>622.5+(455.5-164.2)+(0+(0-0))+0-312-0</f>
        <v>601.79999999999995</v>
      </c>
      <c r="N18" s="3">
        <f>698+(400.5-175)+(-0.71196+(-0.40851--0.1785))+0-312--0.31824000000005</f>
        <v>610.87627000000009</v>
      </c>
      <c r="O18" s="3">
        <f>806.4+(332.6-188.1)+(0+(0-0))+0-314-0</f>
        <v>636.9</v>
      </c>
      <c r="P18" s="3">
        <f>904.7+(305.4-222.1)+(0.461397+(0.155754-0.113271))+0-314-0.160139999999968</f>
        <v>674.34374000000003</v>
      </c>
      <c r="Q18" s="3">
        <f>900.5+(354.9-233.9)+(-1.377765+(-0.542997--0.357867))+0-314--0.480420000000018</f>
        <v>706.41752499999996</v>
      </c>
      <c r="R18" s="3">
        <f>896.3+(410.4-243)+(-0.914226+(-0.418608--0.24786))+0-314--0.32028000000005</f>
        <v>748.93530599999974</v>
      </c>
      <c r="S18" s="3">
        <f>894.4+(470.7-243.3)+(-0.912288+(-0.480114--0.248166))+0-313--0.31926000000005</f>
        <v>807.97502399999996</v>
      </c>
      <c r="T18" s="3">
        <f>894.5+(498.9-232.7)+(0+(0-0))+0-313-0</f>
        <v>847.7</v>
      </c>
      <c r="U18" s="3">
        <f>896.1+(486.3-223.2)+(-1.828044+(-0.992052--0.455328))+0-313--0.638519999999986</f>
        <v>844.4737520000001</v>
      </c>
      <c r="V18" s="3">
        <f>897.3+(421.9-210.9)+(-0.915246+(-0.430338--0.215118))+0-313--0.31926000000005</f>
        <v>794.48879399999998</v>
      </c>
      <c r="W18" s="3">
        <f>900.2+(348.6-219.3)+(-1.377306+(-0.533358--0.335529))+0-313--0.478890000000018</f>
        <v>715.40375499999993</v>
      </c>
      <c r="X18" s="3">
        <f>903.2+(268.2-225.7)+(-1.842528+(-0.547128--0.460428))+0-313--0.638519999999986</f>
        <v>631.40929200000005</v>
      </c>
      <c r="Y18" s="3">
        <f>910+(319.3-260.4)+(-0.4641+(-0.162843--0.132804))+0-314--0.160139999999968</f>
        <v>654.56600100000003</v>
      </c>
      <c r="Z18" s="3">
        <f>912.4+(383.4-269.9)+(0.465324+(0.195534-0.137649))+0-314-0.160139999999968</f>
        <v>712.26306900000009</v>
      </c>
      <c r="AA18" s="3">
        <f>916.6+(431.5-303.4)+(-1.869864+(-0.88026--0.618936))+0-313--0.638519999999986</f>
        <v>730.20733199999995</v>
      </c>
      <c r="AB18" s="3">
        <f>918.9+(482.3-304.6)+(-1.874556+(-0.983892--0.621384))+0-313--0.638519999999986</f>
        <v>782.00145599999996</v>
      </c>
      <c r="AC18" s="3">
        <f>925.9+(516.6-283.4)+(-0.944418+(-0.526932--0.289068))+0-313--0.31926000000005</f>
        <v>845.23697800000002</v>
      </c>
      <c r="AD18">
        <v>701</v>
      </c>
      <c r="AE18" s="3">
        <f>909+(372.3-266.3)+(0+(0-0))+0-314-0</f>
        <v>701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931.3+(508.2-273.3)+(-0.949926+(-0.518364--0.278766))+0-314--0.32028000000005</f>
        <v>851.33075599999995</v>
      </c>
      <c r="G19" s="3">
        <f>928.8+(488.6-240.3)+(-0.473688+(-0.249186--0.122553))+0-314--0.160139999999968</f>
        <v>862.65981899999997</v>
      </c>
      <c r="H19" s="3">
        <f>930.7+(453.1-222.6)+(-1.423971+(-0.693243--0.340578))+0-314--0.480420000000018</f>
        <v>845.90378399999997</v>
      </c>
      <c r="I19" s="3">
        <f>926.5+(416.1-206.5)+(0+(0-0))+0-314-0</f>
        <v>822.09999999999991</v>
      </c>
      <c r="J19" s="3">
        <f>927.4+(379.8-198.4)+(-1.418922+(-0.581094--0.303552))+0-313--0.478890000000018</f>
        <v>794.58242599999983</v>
      </c>
      <c r="K19" s="3">
        <f>929.5+(337.2-195.1)+(0.474045+(0.171972-0.099501))+0-313-0.159629999999968</f>
        <v>758.98688600000003</v>
      </c>
      <c r="L19" s="3">
        <f>929.3+(262.8-194.5)+(-1.421829+(-0.402084--0.297585))+0-313--0.478890000000018</f>
        <v>683.55256199999985</v>
      </c>
      <c r="M19" s="3">
        <f>926.6+(215.9-205.4)+(-1.890264+(-0.440436--0.419016))+0-312--0.636479999999986</f>
        <v>623.82479599999999</v>
      </c>
      <c r="N19" s="3">
        <f>924.2+(240-229.7)+(-2.35671+(-0.612--0.585735))+0-313--0.798149999999955</f>
        <v>619.91517499999998</v>
      </c>
      <c r="O19" s="3">
        <f>927.3+(285.8-260.1)+(-0.472923+(-0.145758--0.132651))+0-313--0.159629999999968</f>
        <v>639.67359999999996</v>
      </c>
      <c r="P19" s="3">
        <f>929.8+(278.6-252.7)+(-0.948396+(-0.284172--0.257754))+0-314--0.32028000000005</f>
        <v>641.04546600000003</v>
      </c>
      <c r="Q19" s="3">
        <f>925.3+(320.2-252.2)+(-0.471903+(-0.163302--0.128622))+0-314--0.160139999999968</f>
        <v>678.95355699999993</v>
      </c>
      <c r="R19" s="3">
        <f>921+(390.3-255.4)+(-1.40913+(-0.597159--0.390762))+0-314--0.480420000000018</f>
        <v>740.76489300000014</v>
      </c>
      <c r="S19" s="3">
        <f>942.7+(444.4-287.5)+(-2.884662+(-1.359864--0.87975))+0-314--0.960840000000036</f>
        <v>783.19606400000009</v>
      </c>
      <c r="T19" s="3">
        <f>1111.2+(355.4-298.4)+(-1.133424+(-0.362508--0.304368))+0-313--0.31926000000005</f>
        <v>854.32769600000017</v>
      </c>
      <c r="U19" s="3">
        <f>1129.3+(319-280.5)+(-3.455658+(-0.97614--0.85833))+0-313--0.957780000000036</f>
        <v>852.18431199999998</v>
      </c>
      <c r="V19" s="3">
        <f>1181.1+(218.4-277.5)+(-1.807083+(-0.334152--0.424575))+0-313--0.478890000000018</f>
        <v>807.76222999999993</v>
      </c>
      <c r="W19" s="3">
        <f>1181+(171.4-298.8)+(-0.60231+(-0.087414--0.152388))+0-313--0.159629999999968</f>
        <v>740.22229399999981</v>
      </c>
      <c r="X19" s="3">
        <f>1186+(147.6-353.7)+(0+(0-0))+0-314-0</f>
        <v>665.9</v>
      </c>
      <c r="Y19" s="3">
        <f>1190.7+(180.3-377.3)+(-0.607257+(-0.091953--0.192423))+0-314--0.160139999999968</f>
        <v>679.35335299999997</v>
      </c>
      <c r="Z19" s="3">
        <f>1197.4+(214.3-347.9)+(-1.832022+(-0.327879--0.532287))+0-314--0.480420000000018</f>
        <v>748.65280600000017</v>
      </c>
      <c r="AA19" s="3">
        <f>1199.9+(235.8-331)+(-0.611949+(-0.120258--0.16881))+0-314--0.160139999999968</f>
        <v>790.29674300000011</v>
      </c>
      <c r="AB19" s="3">
        <f>1199.7+(286.6-309.8)+(-2.447388+(-0.584664--0.631992))+0-313--0.638519999999986</f>
        <v>861.73846000000003</v>
      </c>
      <c r="AC19" s="3">
        <f>1201.9+(325.5-273.5)+(-0.612969+(-0.166005--0.139485))+0-313--0.159629999999968</f>
        <v>940.42014100000017</v>
      </c>
      <c r="AD19">
        <v>743.2</v>
      </c>
      <c r="AE19" s="3">
        <f>1199+(199.4-342.2)+(0+(0-0))+0-313-0</f>
        <v>743.2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1205.2+(300.2-236.9)+(-3.07326+(-0.76551--0.604095))+0-313--0.798149999999955</f>
        <v>953.06347500000004</v>
      </c>
      <c r="G20" s="3">
        <f>1206.5+(263.5-212.3)+(-1.845945+(-0.403155--0.324819))+0-313--0.478890000000018</f>
        <v>943.25460899999996</v>
      </c>
      <c r="H20" s="3">
        <f>1207+(210.1-208)+(1.23114+(0.214302-0.21216))+0-314-0.32028000000005</f>
        <v>896.0130019999998</v>
      </c>
      <c r="I20" s="3">
        <f>1209.9+(163.3-208)+(0+(0-0))+0-314-0</f>
        <v>851.2</v>
      </c>
      <c r="J20" s="3">
        <f>1209.5+(151.7-227.3)+(-1.23369+(-0.154734--0.231846))+0-314--0.32028000000005</f>
        <v>819.06370200000003</v>
      </c>
      <c r="K20" s="3">
        <f>1210.3+(128.7-228.7)+(-1.851759+(-0.196911--0.349911))+0-314--0.480420000000018</f>
        <v>795.08166099999983</v>
      </c>
      <c r="L20" s="3">
        <f>1208.8+(66.5-256.9)+(-2.465952+(-0.13566--0.524076))+0-313--0.638519999999986</f>
        <v>703.96098399999994</v>
      </c>
      <c r="M20" s="3">
        <f>1208.1+(68.7-314.3)+(0+(0-0))+0-313-0</f>
        <v>649.49999999999989</v>
      </c>
      <c r="N20" s="3">
        <f>1228.7+(122.1-341.5)+(0+(0-0))+0-313-0</f>
        <v>696.30000000000007</v>
      </c>
      <c r="O20" s="3">
        <f>1235.1+(128.9-305.7)+(0+(0-0))+0-314-0</f>
        <v>744.3</v>
      </c>
      <c r="P20" s="3">
        <f>1215.3+(130.2-300)+(0+(0-0))+0-314-0</f>
        <v>731.5</v>
      </c>
      <c r="Q20" s="3">
        <f>1213.4+(175.4-306.6)+(-2.475336+(-0.357816--0.625464))+0-315--0.642599999999986</f>
        <v>765.6349120000001</v>
      </c>
      <c r="R20" s="3">
        <f>1212.2+(231.6-286)+(-0.618222+(-0.118116--0.14586))+0-314--0.160139999999968</f>
        <v>843.36966199999983</v>
      </c>
      <c r="S20" s="3">
        <f>1210.5+(273.1-254.5)+(-1.23471+(-0.278562--0.25959))+0-314--0.32028000000005</f>
        <v>914.16659799999991</v>
      </c>
      <c r="T20" s="3">
        <f>1205.7+(301.2-251.1)+(-1.229814+(-0.307224--0.256122))+0-314--0.32028000000005</f>
        <v>940.83936400000005</v>
      </c>
      <c r="U20" s="3">
        <f>1203.5+(288-251.6)+(0+(0-0))+0-314-0</f>
        <v>925.90000000000009</v>
      </c>
      <c r="V20" s="3">
        <f>1202.1+(241-264.8)+(-0.613071+(-0.12291--0.135048))+0-314--0.160139999999968</f>
        <v>863.85920699999997</v>
      </c>
      <c r="W20" s="3">
        <f>1207.6+(150.1-272.8)+(-3.695256+(-0.459306--0.834768))+0-314--0.960840000000036</f>
        <v>768.54104599999994</v>
      </c>
      <c r="X20" s="3">
        <f>1214+(101.1-305.5)+(-2.47656+(-0.206244--0.62322))+0-314--0.640559999999986</f>
        <v>694.18097599999999</v>
      </c>
      <c r="Y20" s="3">
        <f>1215.8+(178.8-331.3)+(1.240116+(0.182376-0.337926))+0-314-0.32028000000005</f>
        <v>750.06428599999992</v>
      </c>
      <c r="Z20" s="3">
        <f>1219+(252.6-331.7)+(0+(0-0))+0-314-0</f>
        <v>825.90000000000009</v>
      </c>
      <c r="AA20" s="3">
        <f>1217.7+(274.8-291.9)+(-3.105135+(-0.70074--0.744345))+0-314--0.800699999999954</f>
        <v>884.33917000000019</v>
      </c>
      <c r="AB20" s="3">
        <f>1164.6+(355.9-264)+(-0.593946+(-0.181509--0.13464))+0-314--0.160139999999968</f>
        <v>942.01932499999998</v>
      </c>
      <c r="AC20" s="3">
        <f>1009.6+(537.3-204.2)+(-1.029792+(-0.548046--0.208284))+0-313--0.31926000000005</f>
        <v>1028.6497059999999</v>
      </c>
      <c r="AD20">
        <v>817.59999999999991</v>
      </c>
      <c r="AE20" s="3">
        <f>1220+(233-321.4)+(0+(0-0))+0-314-0</f>
        <v>817.59999999999991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979.5+(518.9-183.7)+(-0.99909+(-0.529278--0.187374))+0-313--0.31926000000005</f>
        <v>1000.6782660000002</v>
      </c>
      <c r="G21" s="3">
        <f>979.3+(484.8-179.2)+(0+(0-0))+0-314-0</f>
        <v>970.90000000000009</v>
      </c>
      <c r="H21" s="3">
        <f>981.7+(438.9-178.2)+(-2.002668+(-0.895356--0.363528))+0-314--0.640559999999986</f>
        <v>926.50606400000004</v>
      </c>
      <c r="I21" s="3">
        <f>982.7+(392.2-153.7)+(-2.004708+(-0.800088--0.313548))+0-314--0.640559999999986</f>
        <v>905.34931199999994</v>
      </c>
      <c r="J21" s="3">
        <f>983.7+(383.7-156.9)+(-1.505061+(-0.587061--0.240057))+0-314--0.480420000000018</f>
        <v>895.12835499999994</v>
      </c>
      <c r="K21" s="3">
        <f>985+(346.5-167.9)+(-1.50705+(-0.530145--0.256887))+0-313--0.478890000000018</f>
        <v>849.29858199999978</v>
      </c>
      <c r="L21" s="3">
        <f>987.3+(236-182.6)+(-0.503523+(-0.12036--0.093126))+0-312--0.159119999999968</f>
        <v>728.32836299999997</v>
      </c>
      <c r="M21" s="3">
        <f>987.9+(146.2-171.5)+(0+(0-0))+0-312-0</f>
        <v>650.59999999999991</v>
      </c>
      <c r="N21" s="3">
        <f>987.5+(176-180)+(-0.503625+(-0.08976--0.0918))+0-313--0.159629999999968</f>
        <v>670.15804500000002</v>
      </c>
      <c r="O21" s="3">
        <f>986.7+(203.4-192.6)+(-1.006434+(-0.207468--0.196452))+0-308--0.314160000000049</f>
        <v>688.79670999999996</v>
      </c>
      <c r="P21" s="3">
        <f>983.7+(251.2-200.1)+(-0.501687+(-0.128112--0.102051))+0-309--0.157589999999969</f>
        <v>725.42984199999989</v>
      </c>
      <c r="Q21" s="3">
        <f>979+(307-207.4)+(0+(0-0))+0-310-0</f>
        <v>768.59999999999991</v>
      </c>
      <c r="R21" s="3">
        <f>974.7+(416.1-233.4)+(0+(0-0))+0-311-0</f>
        <v>846.40000000000009</v>
      </c>
      <c r="S21" s="3">
        <f>969.9+(504.4-231.9)+(-0.989298+(-0.514488--0.236538))+0-311--0.31722000000005</f>
        <v>930.449972</v>
      </c>
      <c r="T21" s="3">
        <f>966.9+(532.9-208.6)+(0+(0-0))+0-310-0</f>
        <v>981.19999999999982</v>
      </c>
      <c r="U21" s="3">
        <f>966.2+(496-208.2)+(0+(0-0))+0-313-0</f>
        <v>941</v>
      </c>
      <c r="V21" s="3">
        <f>967.7+(381.7-208.7)+(-1.480581+(-0.584001--0.319311))+0-311--0.475830000000018</f>
        <v>828.43055900000002</v>
      </c>
      <c r="W21" s="3">
        <f>975.8+(284.4-213)+(-1.492974+(-0.435132--0.32589))+0-312--0.477360000000018</f>
        <v>734.0751439999998</v>
      </c>
      <c r="X21" s="3">
        <f>979.7+(269.6-220.8)+(-1.998588+(-0.549984--0.450432))+0-215--0.438599999999991</f>
        <v>811.84045999999989</v>
      </c>
      <c r="Y21" s="3">
        <f>981.3+(330.4-264.3)+(0+(0-0))+0-156-0</f>
        <v>891.39999999999986</v>
      </c>
      <c r="Z21" s="3">
        <f>987.1+(381.6-264.5)+(-2.013684+(-0.778464--0.53958))+0-156--0.318239999999993</f>
        <v>946.26567199999988</v>
      </c>
      <c r="AA21" s="3">
        <f>986+(431.9-250.5)+(-1.50858+(-0.660807--0.383265))+0-156--0.238680000000009</f>
        <v>1009.8525580000002</v>
      </c>
      <c r="AB21" s="3">
        <f>985.5+(496.3-249.3)+(-1.507815+(-0.759339--0.381429))+0-156--0.238680000000009</f>
        <v>1074.8529549999998</v>
      </c>
      <c r="AC21" s="3">
        <f>982+(558-215.6)+(-1.50246+(-0.85374--0.329868))+0-155--0.237150000000009</f>
        <v>1167.6108180000001</v>
      </c>
      <c r="AD21">
        <v>930.59999999999991</v>
      </c>
      <c r="AE21" s="3">
        <f>991+(359.3-263.7)+(0+(0-0))+0-156-0</f>
        <v>930.59999999999991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985.5+(535.3-232.4)+(-1.00521+(-0.546006--0.237048))+0-156--0.159120000000025</f>
        <v>1131.244952</v>
      </c>
      <c r="G22" s="3">
        <f>987.9+(538.9-219.2)+(0+(0-0))+0-157-0</f>
        <v>1150.5999999999999</v>
      </c>
      <c r="H22" s="3">
        <f>990.6+(471.1-202.2)+(-1.515618+(-0.720783--0.309366))+0-157--0.240210000000009</f>
        <v>1100.813175</v>
      </c>
      <c r="I22" s="3">
        <f>993.2+(420.6-189.3)+(-1.013064+(-0.429012--0.193086))+0-156--0.159120000000025</f>
        <v>1067.41013</v>
      </c>
      <c r="J22" s="3">
        <f>993.1+(382.9-187.4)+(0.506481+(0.195279-0.095574))+0-156-0.0795599999999842</f>
        <v>1033.126626</v>
      </c>
      <c r="K22" s="3">
        <f>995.6+(333-188.3)+(-1.015512+(-0.33966--0.192066))+0-156--0.159120000000025</f>
        <v>983.29601400000001</v>
      </c>
      <c r="L22" s="3">
        <f>996.6+(229.7-197.8)+(-1.524798+(-0.351441--0.302634))+0-156--0.238680000000009</f>
        <v>871.165075</v>
      </c>
      <c r="M22" s="3">
        <f>994.6+(171-199.5)+(0+(0-0))+0-158-0</f>
        <v>808.1</v>
      </c>
      <c r="N22" s="3">
        <f>990.7+(203.1-208.7)+(2.021028+(0.414324-0.425748))+0-158-0.322319999999993</f>
        <v>828.787284</v>
      </c>
      <c r="O22" s="3">
        <f>991.3+(217.5-194.9)+(0.505563+(0.110925-0.099399))+0-158-0.080579999999984</f>
        <v>856.33650900000009</v>
      </c>
      <c r="P22" s="3">
        <f>990+(240.4-192.2)+(0+(0-0))+0-156-0</f>
        <v>882.2</v>
      </c>
      <c r="Q22" s="3">
        <f>987.3+(286.3-205.2)+(0+(0-0))+0-157-0</f>
        <v>911.40000000000009</v>
      </c>
      <c r="R22" s="3">
        <f>986.8+(376.3-198.8)+(-2.013072+(-0.767652--0.405552))+0-100--0.203999999999996</f>
        <v>1062.1288279999999</v>
      </c>
      <c r="S22" s="3">
        <f>986.6+(440.9-199.1)+(-1.006332+(-0.449718--0.203082))+0-120--0.122400000000019</f>
        <v>1107.2694320000001</v>
      </c>
      <c r="T22" s="3">
        <f>987.8+(373.2-189.7)+(0+(0-0))+0-300-0</f>
        <v>871.3</v>
      </c>
      <c r="U22" s="3">
        <f>988+(429.4-181.4)+(-1.00776+(-0.437988--0.185028))+0-300--0.306000000000048</f>
        <v>935.04528000000005</v>
      </c>
      <c r="V22" s="3">
        <f>990.5+(350.1-178.4)+(-1.01031+(-0.357102--0.181968))+0-300--0.306000000000048</f>
        <v>861.32055600000012</v>
      </c>
      <c r="W22" s="3">
        <f>1112.6+(178.5-197.8)+(0+(0-0))+0-300-0</f>
        <v>793.3</v>
      </c>
      <c r="X22" s="3">
        <f>1206.2+(120.7-294.3)+(-0.615162+(-0.061557--0.150093))+0-300--0.15299999999997</f>
        <v>732.22637399999985</v>
      </c>
      <c r="Y22" s="3">
        <f>1236.6+(166.8-312.4)+(-0.630666+(-0.085068--0.159324))+0-300--0.15299999999997</f>
        <v>790.59659000000011</v>
      </c>
      <c r="Z22" s="3">
        <f>1240.7+(217.8-285.3)+(-2.531028+(-0.444312--0.582012))+0-300--0.611999999999987</f>
        <v>871.4186719999999</v>
      </c>
      <c r="AA22" s="3">
        <f>1244.2+(231.4-238.5)+(-2.538168+(-0.472056--0.48654))+0-300--0.611999999999987</f>
        <v>935.1883160000001</v>
      </c>
      <c r="AB22" s="3">
        <f>1240.1+(273.9-211.9)+(-1.897353+(-0.419067--0.324207))+0-300--0.459000000000017</f>
        <v>1000.566787</v>
      </c>
      <c r="AC22" s="3">
        <f>1239+(341.7-206)+(-2.52756+(-0.697068--0.42024))+0-300--0.611999999999987</f>
        <v>1072.5076120000001</v>
      </c>
      <c r="AD22">
        <v>807.5</v>
      </c>
      <c r="AE22" s="3">
        <f>1239+(205-331.5)+(0+(0-0))+0-305-0</f>
        <v>807.5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1030.1+(543.9-187.8)+(-1.576053+(-0.832167--0.287334))+0-300--0.459000000000017</f>
        <v>1084.538114</v>
      </c>
      <c r="G23" s="3">
        <f>901.4+(596.5-157.3)+(-2.29857+(-1.521075--0.401115))+0-295--0.752249999999957</f>
        <v>1042.93372</v>
      </c>
      <c r="H23" s="3">
        <f>878.3+(563.1-148.7)+(-0.447933+(-0.287181--0.075837))+0-295--0.15044999999997</f>
        <v>997.19117300000005</v>
      </c>
      <c r="I23" s="3">
        <f>877.7+(572.4-156.7)+(-1.790508+(-1.167696--0.319668))+0-295--0.601799999999987</f>
        <v>996.36326400000019</v>
      </c>
      <c r="J23" s="3">
        <f>876.4+(518.5-160.8)+(-1.787856+(-1.05774--0.328032))+0-300--0.611999999999987</f>
        <v>932.19443599999988</v>
      </c>
      <c r="K23" s="3">
        <f>877.8+(479.2-158.7)+(0.447678+(0.244392-0.080937))+0-300-0.15299999999997</f>
        <v>898.75813300000004</v>
      </c>
      <c r="L23" s="3">
        <f>879.5+(333.9-209.7)+(-1.79418+(-0.681156--0.427788))+0-300--0.611999999999987</f>
        <v>702.26445200000001</v>
      </c>
      <c r="M23" s="3">
        <f>879.1+(293.6-228.5)+(-0.896682+(-0.299472--0.23307))+0-300--0.306000000000048</f>
        <v>643.5429160000001</v>
      </c>
      <c r="N23" s="3">
        <f>873.6+(303.5-213)+(0+(0-0))+0-300-0</f>
        <v>664.1</v>
      </c>
      <c r="O23" s="3">
        <f>867.1+(328.1-219.5)+(0.442221+(0.167331-0.111945))+0-300-0.15299999999997</f>
        <v>676.04460700000004</v>
      </c>
      <c r="P23" s="3">
        <f>861.3+(373.5-236.1)+(0.439263+(0.190485-0.120411))+0-300-0.15299999999997</f>
        <v>699.05633699999987</v>
      </c>
      <c r="Q23" s="3">
        <f>853.4+(431.7-252.5)+(-0.435234+(-0.220167--0.128775))+0-300--0.15299999999997</f>
        <v>732.22637399999985</v>
      </c>
      <c r="R23" s="3">
        <f>860.6+(533.4-266)+(-0.438906+(-0.272034--0.13566))+0-300--0.15299999999997</f>
        <v>827.57772</v>
      </c>
      <c r="S23" s="3">
        <f>952.3+(538.9-270.2)+(-2.428365+(-1.374195--0.68901))+0-300--0.764999999999956</f>
        <v>918.65144999999995</v>
      </c>
      <c r="T23" s="3">
        <f>970.7+(542.6-250.1)+(-0.990114+(-0.553452--0.255102))+0-300--0.306000000000048</f>
        <v>962.21753600000011</v>
      </c>
      <c r="U23" s="3">
        <f>976.6+(509.4-239)+(-0.996132+(-0.519588--0.24378))+0-300--0.306000000000048</f>
        <v>946.03405999999995</v>
      </c>
      <c r="V23" s="3">
        <f>977.8+(432.5-227.3)+(0+(0-0))+0-300-0</f>
        <v>883</v>
      </c>
      <c r="W23" s="3">
        <f>980+(326-217.5)+(-2.499+(-0.8313--0.554625))+0-300--0.764999999999956</f>
        <v>786.48932499999989</v>
      </c>
      <c r="X23" s="3">
        <f>983.3+(266.6-242.3)+(-2.005932+(-0.543864--0.494292))+0-300--0.611999999999987</f>
        <v>706.15649599999983</v>
      </c>
      <c r="Y23" s="3">
        <f>985.2+(328.4-276.3)+(0.502452+(0.167484-0.140913))+0-300-0.15299999999997</f>
        <v>737.67602299999999</v>
      </c>
      <c r="Z23" s="3">
        <f>987.1+(430.6-304.9)+(-1.510263+(-0.658818--0.466497))+0-300--0.459000000000017</f>
        <v>811.55641600000035</v>
      </c>
      <c r="AA23" s="3">
        <f>990.1+(501.5-302.9)+(-2.524755+(-1.278825--0.772395))+0-300--0.764999999999956</f>
        <v>886.43381499999998</v>
      </c>
      <c r="AB23" s="3">
        <f>993.9+(551.8-283.8)+(-2.534445+(-1.40709--0.72369))+0-300--0.764999999999956</f>
        <v>959.44715499999995</v>
      </c>
      <c r="AC23" s="3">
        <f>994.6+(616.6-263.9)+(-1.014492+(-0.628932--0.269178))+0-300--0.306000000000048</f>
        <v>1046.2317540000001</v>
      </c>
      <c r="AD23">
        <v>813.09999999999991</v>
      </c>
      <c r="AE23" s="3">
        <f>988+(421.3-296.2)+(0+(0-0))+0-300-0</f>
        <v>813.09999999999991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995+(599-281.3)+(0+(0-0))+0-300-0</f>
        <v>1012.7</v>
      </c>
      <c r="G24" s="3">
        <f>997.7+(563.9-267.7)+(1.017654+(0.575178-0.273054))+0-300-0.306000000000048</f>
        <v>994.91377800000009</v>
      </c>
      <c r="H24" s="3">
        <f>999.4+(486.8-256.7)+(-1.529082+(-0.744804--0.392751))+0-300--0.459000000000017</f>
        <v>928.07786499999997</v>
      </c>
      <c r="I24" s="3">
        <f>1003.3+(414.3-248.4)+(-1.023366+(-0.422586--0.253368))+0-300--0.306000000000048</f>
        <v>868.31341600000019</v>
      </c>
      <c r="J24" s="3">
        <f>1008.5+(377.3-247.2)+(-2.05734+(-0.769692--0.504288))+0-300--0.611999999999987</f>
        <v>836.88925599999982</v>
      </c>
      <c r="K24" s="3">
        <f>1007.9+(329.6-244.2)+(0+(0-0))+0-300-0</f>
        <v>793.3</v>
      </c>
      <c r="L24" s="3">
        <f>1007+(229.7-239.9)+(-0.51357+(-0.117147--0.122349))+0-306--0.156059999999969</f>
        <v>690.44769199999996</v>
      </c>
      <c r="M24" s="3">
        <f>1005.9+(191-260.9)+(0+(0-0))+0-305-0</f>
        <v>631</v>
      </c>
      <c r="N24" s="3">
        <f>1002.6+(214.6-263.8)+(-0.511326+(-0.109446--0.134538))+0-311--0.158609999999968</f>
        <v>642.07237599999996</v>
      </c>
      <c r="O24" s="3">
        <f>1001.9+(236.1-292.1)+(-0.510969+(-0.120411--0.148971))+0-311--0.158609999999968</f>
        <v>634.57620099999997</v>
      </c>
      <c r="P24" s="3">
        <f>995.4+(260.1-282.1)+(-1.015308+(-0.265302--0.287742))+0-312--0.31824000000005</f>
        <v>660.72537199999999</v>
      </c>
      <c r="Q24" s="3">
        <f>991+(283-285.9)+(-1.01082+(-0.28866--0.291618))+0-310--0.316200000000049</f>
        <v>677.40833800000007</v>
      </c>
      <c r="R24" s="3">
        <f>987.3+(320-280.6)+(-1.007046+(-0.3264--0.286212))+0-295--0.300900000000047</f>
        <v>730.953666</v>
      </c>
      <c r="S24" s="3">
        <f>980.6+(385.1-267.8)+(-1.000212+(-0.392802--0.273156))+0-295--0.300900000000047</f>
        <v>802.08104200000014</v>
      </c>
      <c r="T24" s="3">
        <f>975+(440.2-283.2)+(0+(0-0))+0-295-0</f>
        <v>837</v>
      </c>
      <c r="U24" s="3">
        <f>972+(493.7-288.1)+(-0.99144+(-0.503574--0.293862))+0-300--0.306000000000048</f>
        <v>876.70484799999986</v>
      </c>
      <c r="V24" s="3">
        <f>969.3+(431.8-281)+(1.483029+(0.660654-0.42993))+0-300-0.459000000000017</f>
        <v>821.35475299999985</v>
      </c>
      <c r="W24" s="3">
        <f>968.8+(327.9-269.7)+(-1.976352+(-0.668916--0.550188))+0-300--0.611999999999987</f>
        <v>725.51691999999991</v>
      </c>
      <c r="X24" s="3">
        <f>972.5+(264.3-269.3)+(0.495975+(0.134793-0.137343))+0-300-0.15299999999997</f>
        <v>667.84042499999998</v>
      </c>
      <c r="Y24" s="3">
        <f>980.3+(312.1-280.3)+(0.499953+(0.159171-0.142953))+0-295-0.15044999999997</f>
        <v>717.46572099999992</v>
      </c>
      <c r="Z24" s="3">
        <f>983+(378.2-296.1)+(-2.00532+(-0.771528--0.604044))+0-295--0.601799999999987</f>
        <v>768.52899599999989</v>
      </c>
      <c r="AA24" s="3">
        <f>988+(436.8-293.1)+(-3.02328+(-1.336608--0.896886))+0-295--0.902700000000034</f>
        <v>834.13969800000007</v>
      </c>
      <c r="AB24" s="3">
        <f>992.1+(506.9-314.7)+(-2.023884+(-1.034076--0.641988))+0-295--0.601799999999987</f>
        <v>887.48582799999997</v>
      </c>
      <c r="AC24" s="3">
        <f>995.3+(578-292)+(-2.030412+(-1.17912--0.59568))+0-295--0.601799999999987</f>
        <v>984.28794800000003</v>
      </c>
      <c r="AD24">
        <v>776.90000000000009</v>
      </c>
      <c r="AE24" s="3">
        <f>990+(368-286.1)+(0+(0-0))+0-295-0</f>
        <v>776.90000000000009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993.2+(582-207.2)+(-0.506532+(-0.29682--0.105672))+0-297--0.15146999999997</f>
        <v>1070.45379</v>
      </c>
      <c r="G25" s="3">
        <f>890.9+(633.8-180.2)+(-1.817436+(-1.292952--0.367608))+0-295--0.601799999999987</f>
        <v>1047.3590199999999</v>
      </c>
      <c r="H25" s="3">
        <f>782.5+(679.2-162.8)+(-0.79815+(-0.692784--0.166056))+0-295--0.300900000000047</f>
        <v>1002.8760220000003</v>
      </c>
      <c r="I25" s="3">
        <f>790.4+(629.1-162.9)+(0.403104+(0.320841-0.083079))+0-295-0.15044999999997</f>
        <v>962.09041599999989</v>
      </c>
      <c r="J25" s="3">
        <f>788.7+(588.6-161.5)+(0.804474+(0.600372-0.16473))+0-296-0.301920000000047</f>
        <v>920.73819600000013</v>
      </c>
      <c r="K25" s="3">
        <f>882.3+(455.6-179.8)+(-0.449973+(-0.232356--0.091698))+0-300--0.15299999999997</f>
        <v>857.6623689999999</v>
      </c>
      <c r="L25" s="3">
        <f>994+(249.4-227.8)+(-1.52082+(-0.381582--0.348534))+0-300--0.459000000000017</f>
        <v>714.50513200000012</v>
      </c>
      <c r="M25" s="3">
        <f>993.8+(201.1-241.6)+(0+(0-0))+0-310-0</f>
        <v>643.29999999999995</v>
      </c>
      <c r="N25" s="3">
        <f>987.4+(228.4-238.1)+(0+(0-0))+0-311-0</f>
        <v>666.7</v>
      </c>
      <c r="O25" s="3">
        <f>981.6+(241.9-232.3)+(-0.500616+(-0.123369--0.118473))+0-308--0.157079999999969</f>
        <v>682.85156800000004</v>
      </c>
      <c r="P25" s="3">
        <f>979.2+(254-234.4)+(1.498176+(0.38862-0.358632))+0-310-0.474300000000018</f>
        <v>689.85386400000004</v>
      </c>
      <c r="Q25" s="3">
        <f>980.1+(277.4-237.7)+(-2.999106+(-0.848844--0.727362))+0-310--0.948600000000036</f>
        <v>707.62801200000001</v>
      </c>
      <c r="R25" s="3">
        <f>982.5+(349.9-277.4)+(-2.505375+(-0.892245--0.70737))+0-300--0.764999999999956</f>
        <v>753.07474999999988</v>
      </c>
      <c r="S25" s="3">
        <f>968.2+(415.7-259.9)+(-0.493782+(-0.212007--0.132549))+0-300--0.15299999999997</f>
        <v>823.57976000000008</v>
      </c>
      <c r="T25" s="3">
        <f>964.3+(462.2-243.9)+(0.491793+(0.235722-0.124389))+0-300-0.15299999999997</f>
        <v>883.05012599999986</v>
      </c>
      <c r="U25" s="3">
        <f>961.1+(450.4-230.3)+(-0.490161+(-0.229704--0.117453))+0-300--0.15299999999997</f>
        <v>880.75058800000011</v>
      </c>
      <c r="V25" s="3">
        <f>963.7+(343.2-230.4)+(-1.965948+(-0.700128--0.470016))+0-300--0.611999999999987</f>
        <v>774.91593999999998</v>
      </c>
      <c r="W25" s="3">
        <f>972.2+(255.4-232.8)+(-1.487466+(-0.390762--0.356184))+0-300--0.459000000000017</f>
        <v>693.73695600000008</v>
      </c>
      <c r="X25" s="3">
        <f>982.6+(196.3-234.9)+(-1.002252+(-0.200226--0.239598))+0-300--0.306000000000048</f>
        <v>643.34312</v>
      </c>
      <c r="Y25" s="3">
        <f>983.7+(242.5-239.1)+(-2.006748+(-0.4947--0.487764))+0-300--0.611999999999987</f>
        <v>685.69831599999998</v>
      </c>
      <c r="Z25" s="3">
        <f>984+(338-254.5)+(-2.5092+(-0.8619--0.648975))+0-295--0.752249999999957</f>
        <v>770.530125</v>
      </c>
      <c r="AA25" s="3">
        <f>985.1+(387.4-250.9)+(-1.507203+(-0.592722--0.383877))+0-295--0.451350000000017</f>
        <v>825.33530199999996</v>
      </c>
      <c r="AB25" s="3">
        <f>983.2+(413.6-244.5)+(-1.002864+(-0.421872--0.24939))+0-295--0.300900000000047</f>
        <v>856.42555400000026</v>
      </c>
      <c r="AC25" s="3">
        <f>984.2+(461.6-220.1)+(-0.501942+(-0.235416--0.112251))+0-295--0.15044999999997</f>
        <v>930.22534299999995</v>
      </c>
      <c r="AD25">
        <v>788.7</v>
      </c>
      <c r="AE25" s="3">
        <f>980+(358.4-249.7)+(0+(0-0))+0-300-0</f>
        <v>788.7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987+(479.3-228.4)+(-0.50337+(-0.244443--0.116484))+0-295--0.15044999999997</f>
        <v>942.41912100000002</v>
      </c>
      <c r="G26" s="3">
        <f>987.8+(482.5-220.7)+(-1.007556+(-0.49215--0.225114))+0-295--0.300900000000047</f>
        <v>953.62630799999999</v>
      </c>
      <c r="H26" s="3">
        <f>988.7+(458.2-208.2)+(-1.512711+(-0.701046--0.318546))+0-295--0.451350000000017</f>
        <v>942.25613900000008</v>
      </c>
      <c r="I26" s="3">
        <f>990.2+(411.8-200.3)+(0+(0-0))+0-295-0</f>
        <v>906.7</v>
      </c>
      <c r="J26" s="3">
        <f>993.5+(383.7-193.9)+(0+(0-0))+0-295-0</f>
        <v>888.3</v>
      </c>
      <c r="K26" s="3">
        <f>993.5+(317.5-183.9)+(-1.01337+(-0.32385--0.187578))+0-295--0.300900000000047</f>
        <v>831.25125799999989</v>
      </c>
      <c r="L26" s="3">
        <f>996.2+(224.1-183.3)+(-4.064496+(-0.914328--0.747864))+0-295--1.20359999999997</f>
        <v>738.97263999999984</v>
      </c>
      <c r="M26" s="3">
        <f>993.1+(152.3-187.8)+(-1.012962+(-0.155346--0.191556))+0-295--0.300900000000047</f>
        <v>661.92414800000006</v>
      </c>
      <c r="N26" s="3">
        <f>988.2+(156.9-197.2)+(2.015928+(0.320076-0.402288))+0-295-0.601799999999987</f>
        <v>654.23191600000007</v>
      </c>
      <c r="O26" s="3">
        <f>981.1+(202.2-211.8)+(-1.501083+(-0.309366--0.324054))+0-300--0.459000000000017</f>
        <v>670.47260500000004</v>
      </c>
      <c r="P26" s="3">
        <f>970.2+(269.3-250.5)+(0.989604+(0.274686-0.25551))+0-300-0.306000000000048</f>
        <v>689.70277999999996</v>
      </c>
      <c r="Q26" s="3">
        <f>968.7+(313.6-279.6)+(-1.482111+(-0.479808--0.427788))+0-300--0.459000000000017</f>
        <v>701.6248690000001</v>
      </c>
      <c r="R26" s="3">
        <f>967.1+(336.2-296.4)+(-3.452547+(-1.200234--1.058148))+0-300--1.071</f>
        <v>704.37636700000007</v>
      </c>
      <c r="S26" s="3">
        <f>966.9+(333.3-300.2)+(0+(0-0))+0-300-0</f>
        <v>700</v>
      </c>
      <c r="T26" s="3">
        <f>972.8+(324.3-288.5)+(-0.992256+(-0.330786--0.29427))+0-300--0.306000000000048</f>
        <v>707.87722799999995</v>
      </c>
      <c r="U26" s="3">
        <f>974.8+(286.3-275.3)+(-0.497148+(-0.146013--0.140403))+0-300--0.15299999999997</f>
        <v>685.450242</v>
      </c>
      <c r="V26" s="3">
        <f>978.4+(210.1-262.2)+(-1.995936+(-0.428604--0.534888))+0-300--0.611999999999987</f>
        <v>625.02234799999997</v>
      </c>
      <c r="W26" s="3">
        <f>977.1+(164.9-258.1)+(-0.498321+(-0.084099--0.131631))+0-300--0.15299999999997</f>
        <v>583.60221100000001</v>
      </c>
      <c r="X26" s="3">
        <f>985.3+(152-269.4)+(0.502503+(0.07752-0.137394))+0-300-0.15299999999997</f>
        <v>568.18962899999997</v>
      </c>
      <c r="Y26" s="3">
        <f>989.5+(222.5-317.7)+(-2.01858+(-0.4539--0.648108))+0-300--0.611999999999987</f>
        <v>593.08762799999988</v>
      </c>
      <c r="Z26" s="3">
        <f>992+(295.3-341.1)+(-0.50592+(-0.150603--0.173961))+0-300--0.15299999999997</f>
        <v>645.87043800000004</v>
      </c>
      <c r="AA26" s="3">
        <f>995.1+(312.3-326.9)+(-2.030004+(-0.637092--0.666876))+0-295--0.601799999999987</f>
        <v>684.10158000000001</v>
      </c>
      <c r="AB26" s="3">
        <f>997.7+(365.9-320.5)+(-1.017654+(-0.373218--0.32691))+0-298--0.303960000000048</f>
        <v>744.33999800000004</v>
      </c>
      <c r="AC26" s="3">
        <f>998.7+(427.8-303.3)+(-2.037348+(-0.872712--0.618732))+0-298--0.607919999999987</f>
        <v>823.51659200000006</v>
      </c>
      <c r="AD26">
        <v>638.59999999999991</v>
      </c>
      <c r="AE26" s="3">
        <f>989+(292.3-329.7)+(0+(0-0))+0-313-0</f>
        <v>638.6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997.8+(394.2-283.6)+(0+(0-0))+0-295-0</f>
        <v>813.39999999999986</v>
      </c>
      <c r="G27" s="3">
        <f>998.7+(360-263.2)+(-2.546685+(-0.918--0.67116))+0-295--0.752249999999957</f>
        <v>798.45872499999996</v>
      </c>
      <c r="H27" s="3">
        <f>998.5+(325.2-252.2)+(-0.509235+(-0.165852--0.128622))+0-295--0.15044999999997</f>
        <v>776.10398500000008</v>
      </c>
      <c r="I27" s="3">
        <f>997.2+(285.6-244)+(0.508572+(0.145656-0.12444))+0-300-0.15299999999997</f>
        <v>739.17678800000022</v>
      </c>
      <c r="J27" s="3">
        <f>1001.7+(246.4-243.5)+(-0.510867+(-0.125664--0.124185))+0-300--0.15299999999997</f>
        <v>704.24065400000006</v>
      </c>
      <c r="K27" s="3">
        <f>1003.1+(225.6-249.9)+(0.511581+(0.115056-0.127449))+0-300-0.15299999999997</f>
        <v>679.14618799999994</v>
      </c>
      <c r="L27" s="3">
        <f>1006+(192.1-293.1)+(-2.5653+(-0.489855--0.747405))+0-300--0.764999999999956</f>
        <v>603.45724999999993</v>
      </c>
      <c r="M27" s="3">
        <f>1003.1+(196-327.3)+(1.023162+(0.19992-0.333846))+0-300-0.306000000000048</f>
        <v>572.3832359999999</v>
      </c>
      <c r="N27" s="3">
        <f>1001.4+(208.9-306.9)+(0+(0-0))+0-302-0</f>
        <v>601.4</v>
      </c>
      <c r="O27" s="3">
        <f>995.6+(226.4-301.6)+(0+(0-0))+0-302-0</f>
        <v>618.4</v>
      </c>
      <c r="P27" s="3">
        <f>988.8+(252.8-296.4)+(1.008576+(0.257856-0.302328))+0-302-0.308040000000048</f>
        <v>643.85606400000006</v>
      </c>
      <c r="Q27" s="3">
        <f>983.1+(269-272)+(-1.002762+(-0.27438--0.27744))+0-302--0.308040000000048</f>
        <v>677.40833800000007</v>
      </c>
      <c r="R27" s="3">
        <f>977.1+(349.1-288.4)+(-0.498321+(-0.178041--0.147084))+0-295--0.15044999999997</f>
        <v>742.42117200000018</v>
      </c>
      <c r="S27" s="3">
        <f>971.9+(429.5-292)+(0+(0-0))+0-295-0</f>
        <v>814.40000000000009</v>
      </c>
      <c r="T27" s="3">
        <f>969.8+(459.5-286.4)+(-0.494598+(-0.234345--0.146064))+0-295--0.15044999999997</f>
        <v>847.46757100000002</v>
      </c>
      <c r="U27" s="3">
        <f>971.6+(449.9-271.7)+(-1.486548+(-0.688347--0.415701))+0-295--0.451350000000017</f>
        <v>853.49215600000002</v>
      </c>
      <c r="V27" s="3">
        <f>966.7+(399.4-257.6)+(-0.493017+(-0.203694--0.131376))+0-302--0.154019999999969</f>
        <v>806.08868499999994</v>
      </c>
      <c r="W27" s="3">
        <f>967.6+(320.9-244.4)+(-1.973904+(-0.654636--0.498576))+0-302--0.616079999999987</f>
        <v>740.58611599999995</v>
      </c>
      <c r="X27" s="3">
        <f>973.7+(272-247.8)+(-2.482935+(-0.6936--0.63189))+0-302--0.770099999999956</f>
        <v>694.1254550000001</v>
      </c>
      <c r="Y27" s="3">
        <f>976.8+(316.1-286)+(-0.498168+(-0.161211--0.14586))+0-300--0.15299999999997</f>
        <v>706.53948100000002</v>
      </c>
      <c r="Z27" s="3">
        <f>980.7+(377.3-281.9)+(-2.000628+(-0.769692--0.575076))+0-300--0.611999999999987</f>
        <v>774.5167560000001</v>
      </c>
      <c r="AA27" s="3">
        <f>984.7+(426.9-281.6)+(-1.506591+(-0.653157--0.430848))+0-300--0.459000000000017</f>
        <v>828.73009999999999</v>
      </c>
      <c r="AB27" s="3">
        <f>982.7+(474.3-271.6)+(-2.505885+(-1.209465--0.69258))+0-300--0.764999999999956</f>
        <v>883.14223000000004</v>
      </c>
      <c r="AC27" s="3">
        <f>980.5+(540-265.8)+(-2.00022+(-1.1016--0.542232))+0-300--0.611999999999987</f>
        <v>952.75241199999994</v>
      </c>
      <c r="AD27">
        <v>740.69999999999982</v>
      </c>
      <c r="AE27" s="3">
        <f>981+(362.6-290.9)+(0+(0-0))+0-312-0</f>
        <v>740.7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983.4+(529.4-276.7)+(-1.504602+(-0.809982--0.423351))+0-300--0.459000000000017</f>
        <v>934.66776699999991</v>
      </c>
      <c r="G28" s="3">
        <f>996.3+(470.3-227.7)+(-1.016226+(-0.479706--0.232254))+0-300--0.306000000000048</f>
        <v>937.9423220000001</v>
      </c>
      <c r="H28" s="3">
        <f>1084.6+(346.3-229.3)+(-2.212584+(-0.706452--0.467772))+0-300--0.611999999999987</f>
        <v>899.76073599999984</v>
      </c>
      <c r="I28" s="3">
        <f>1097.6+(283.8-209.9)+(-1.119552+(-0.289476--0.214098))+0-300--0.306000000000048</f>
        <v>870.61106999999993</v>
      </c>
      <c r="J28" s="3">
        <f>1098.3+(233-212.4)+(-2.240532+(-0.47532--0.433296))+0-300--0.611999999999987</f>
        <v>817.22944399999972</v>
      </c>
      <c r="K28" s="3">
        <f>1098.8+(176.3-207.1)+(0+(0-0))+0-300-0</f>
        <v>768</v>
      </c>
      <c r="L28" s="3">
        <f>1103.6+(91.3-210.6)+(-3.939852+(-0.325941--0.751842))+0-300--1.071</f>
        <v>681.85704899999996</v>
      </c>
      <c r="M28" s="3">
        <f>1096.7+(113.4-255.5)+(0+(0-0))+0-300-0</f>
        <v>654.6</v>
      </c>
      <c r="N28" s="3">
        <f>1095.3+(149.8-269.7)+(1.117206+(0.152796-0.275094))+0-300-0.306000000000048</f>
        <v>676.08890799999995</v>
      </c>
      <c r="O28" s="3">
        <f>1094.7+(181.7-271.1)+(-1.116594+(-0.185334--0.276522))+0-300--0.306000000000048</f>
        <v>704.58059400000002</v>
      </c>
      <c r="P28" s="3">
        <f>1084.2+(209.7-258.7)+(0.552942+(0.106947-0.131937))+0-300-0.15299999999997</f>
        <v>735.57495199999994</v>
      </c>
      <c r="Q28" s="3">
        <f>1078.2+(242-243.6)+(0+(0-0))+0-300-0</f>
        <v>776.60000000000014</v>
      </c>
      <c r="R28" s="3">
        <f>1104.4+(281.9-281.2)+(-2.81622+(-0.718845--0.71706))+0-300--0.764999999999956</f>
        <v>803.04699500000004</v>
      </c>
      <c r="S28" s="3">
        <f>1168.2+(347.2-307.7)+(-2.383128+(-0.708288--0.627708))+0-300--0.611999999999987</f>
        <v>905.84829200000001</v>
      </c>
      <c r="T28" s="3">
        <f>1027.6+(489.3-246.4)+(1.048152+(0.499086-0.251328))+0-300-0.306000000000048</f>
        <v>971.48991000000001</v>
      </c>
      <c r="U28" s="3">
        <f>971.2+(486.6-221.3)+(-1.981248+(-0.992664--0.451452))+0-300--0.611999999999987</f>
        <v>934.58954000000006</v>
      </c>
      <c r="V28" s="3">
        <f>1065.3+(321.6-241.7)+(-2.173212+(-0.656064--0.493068))+0-300--0.611999999999987</f>
        <v>843.47579200000007</v>
      </c>
      <c r="W28" s="3">
        <f>1168.1+(196.1-284.4)+(-3.574386+(-0.600066--0.870264))+0-295--0.902700000000034</f>
        <v>782.39851199999987</v>
      </c>
      <c r="X28" s="3">
        <f>1179.7+(146-291.3)+(-2.406588+(-0.29784--0.594252))+0-295--0.601799999999987</f>
        <v>737.89162400000021</v>
      </c>
      <c r="Y28" s="3">
        <f>1187+(172.3-270.4)+(0.60537+(0.087873-0.137904))+0-298-0.15197999999997</f>
        <v>791.30335900000011</v>
      </c>
      <c r="Z28" s="3">
        <f>1192.4+(219.9-287.3)+(-3.04062+(-0.560745--0.732615))+0-295--0.752249999999957</f>
        <v>827.88349999999991</v>
      </c>
      <c r="AA28" s="3">
        <f>1194.9+(274.9-305.4)+(-3.046995+(-0.700995--0.77877))+0-295--0.752249999999957</f>
        <v>867.18303000000014</v>
      </c>
      <c r="AB28" s="3">
        <f>1198.9+(352.7-307.1)+(-4.280073+(-1.259139--1.096347))+0-303--1.08171</f>
        <v>938.13884500000006</v>
      </c>
      <c r="AC28" s="3">
        <f>1199.8+(397.9-283.5)+(-3.05949+(-1.014645--0.722925))+0-300--0.764999999999956</f>
        <v>1011.6137899999998</v>
      </c>
      <c r="AD28">
        <v>870</v>
      </c>
      <c r="AE28" s="3">
        <f>1192+(244.9-266.9)+(0+(0-0))+0-300-0</f>
        <v>870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1200.6+(362.9-269.2)+(-1.836918+(-0.555237--0.411876))+0-300--0.459000000000017</f>
        <v>992.7787209999999</v>
      </c>
      <c r="G29" s="3">
        <f>1202+(366.4-292.6)+(-4.29114+(-1.308048--1.044582))+0-300--1.071</f>
        <v>972.31639400000006</v>
      </c>
      <c r="H29" s="3">
        <f>1200+(347.3-311.1)+(-1.836+(-0.531369--0.475983))+0-300--0.459000000000017</f>
        <v>934.76761400000009</v>
      </c>
      <c r="I29" s="3">
        <f>1200+(302.9-289.9)+(0+(0-0))+0-298-0</f>
        <v>915</v>
      </c>
      <c r="J29" s="3">
        <f>1201.1+(258.1-294)+(-2.450244+(-0.526524--0.59976))+0-295--0.601799999999987</f>
        <v>868.42479199999991</v>
      </c>
      <c r="K29" s="3">
        <f>1199.9+(198.9-286.7)+(-1.223898+(-0.202878--0.292434))+0-298--0.303960000000048</f>
        <v>813.26961800000015</v>
      </c>
      <c r="L29" s="3">
        <f>1202.2+(128.3-301)+(-2.452488+(-0.261732--0.61404))+0-300--0.611999999999987</f>
        <v>728.01182000000006</v>
      </c>
      <c r="M29" s="3">
        <f>1199.1+(128.6-338.8)+(0.611541+(0.065586-0.172788))+0-300-0.15299999999997</f>
        <v>689.2513389999998</v>
      </c>
      <c r="N29" s="3">
        <f>1197.3+(143.3-336)+(0.610623+(0.073083-0.17136))+0-300-0.15299999999997</f>
        <v>704.95934599999987</v>
      </c>
      <c r="O29" s="3">
        <f>1195.7+(164.2-331.2)+(-1.829421+(-0.251226--0.506736))+0-300--0.459000000000017</f>
        <v>727.58508900000015</v>
      </c>
      <c r="P29" s="3">
        <f>1190.6+(178.8-309.7)+(-2.428824+(-0.364752--0.631788))+0-295--0.601799999999987</f>
        <v>763.14001199999996</v>
      </c>
      <c r="Q29" s="3">
        <f>1189.1+(205-301.5)+(-0.606441+(-0.10455--0.153765))+0-296--0.15095999999997</f>
        <v>796.19373399999995</v>
      </c>
      <c r="R29" s="3">
        <f>1210+(333.4-369)+(0.6171+(0.170034-0.18819))+0-300-0.15299999999997</f>
        <v>874.84594400000015</v>
      </c>
      <c r="S29" s="3">
        <f>1201.3+(386.8-337)+(-0.612663+(-0.197268--0.17187))+0-300--0.15299999999997</f>
        <v>950.61493899999982</v>
      </c>
      <c r="T29" s="3">
        <f>1192.1+(433.1-332.1)+(-1.215942+(-0.441762--0.338742))+0-300--0.306000000000048</f>
        <v>992.08703799999989</v>
      </c>
      <c r="U29" s="3">
        <f>1190.7+(415.9-320.4)+(-1.821771+(-0.636327--0.490212))+0-300--0.459000000000017</f>
        <v>984.6911140000002</v>
      </c>
      <c r="V29" s="3">
        <f>1212.1+(311.7-302.2)+(-2.472684+(-0.635868--0.616488))+0-300--0.611999999999987</f>
        <v>919.71993599999985</v>
      </c>
      <c r="W29" s="3">
        <f>1216+(235.4-313.9)+(-1.24032+(-0.240108--0.320178))+0-300--0.306000000000048</f>
        <v>836.64575000000013</v>
      </c>
      <c r="X29" s="3">
        <f>1221.1+(178.2-319.6)+(-3.113805+(-0.45441--0.81498))+0-300--0.764999999999956</f>
        <v>777.7117649999999</v>
      </c>
      <c r="Y29" s="3">
        <f>1226.4+(196.5-367.5)+(-1.250928+(-0.20043--0.37485))+0-300--0.306000000000048</f>
        <v>754.62949200000003</v>
      </c>
      <c r="Z29" s="3">
        <f>1229.3+(261.3-347.2)+(-1.253886+(-0.266526--0.354144))+0-300--0.306000000000048</f>
        <v>842.53973200000019</v>
      </c>
      <c r="AA29" s="3">
        <f>1236.5+(309.4-346.8)+(-1.891845+(-0.473382--0.530604))+0-295--0.451350000000017</f>
        <v>902.71672699999999</v>
      </c>
      <c r="AB29" s="3">
        <f>1248.1+(350.1-324.3)+(-3.182655+(-0.892755--0.826965))+0-300--0.764999999999956</f>
        <v>971.4165549999999</v>
      </c>
      <c r="AC29" s="3">
        <f>1250.2+(403-295.7)+(-1.275204+(-0.41106--0.301614))+0-300--0.306000000000048</f>
        <v>1056.4213500000001</v>
      </c>
      <c r="AD29">
        <v>831.2</v>
      </c>
      <c r="AE29" s="3">
        <f>1234+(257-355.8)+(0+(0-0))+0-304-0</f>
        <v>831.2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1252.4+(362.4-271.4)+(-3.19362+(-0.92412--0.69207))+0-310--0.790499999999955</f>
        <v>1030.7648300000001</v>
      </c>
      <c r="G30" s="3">
        <f>1246.3+(342.1-268)+(-1.271226+(-0.348942--0.27336))+0-310--0.316200000000049</f>
        <v>1009.3693920000002</v>
      </c>
      <c r="H30" s="3">
        <f>1245.2+(293.9-263.7)+(-1.270104+(-0.299778--0.268974))+0-310--0.316200000000049</f>
        <v>964.41529200000025</v>
      </c>
      <c r="I30" s="3">
        <f>1247.4+(242.3-256.8)+(-2.544696+(-0.494292--0.523872))+0-310--0.632399999999986</f>
        <v>921.01728400000002</v>
      </c>
      <c r="J30" s="3">
        <f>1248+(223.3-284.7)+(-3.1824+(-0.569415--0.725985))+0-310--0.790499999999955</f>
        <v>874.36466999999982</v>
      </c>
      <c r="K30" s="3">
        <f>1246.9+(178.5-285.9)+(-0.635919+(-0.091035--0.145809))+0-310--0.158099999999969</f>
        <v>829.07695499999988</v>
      </c>
      <c r="L30" s="3">
        <f>1250.7+(110.6-330.7)+(0+(0-0))+0-295-0</f>
        <v>735.60000000000014</v>
      </c>
      <c r="M30" s="3">
        <f>1250.5+(112.1-372.9)+(0+(0-0))+0-300-0</f>
        <v>689.7</v>
      </c>
      <c r="N30" s="3">
        <f>1248.4+(149.3-383.1)+(-1.910052+(-0.228429--0.586143))+0-300--0.459000000000017</f>
        <v>713.50666200000023</v>
      </c>
      <c r="O30" s="3">
        <f>1238.1+(182.5-381.3)+(-1.262862+(-0.18615--0.388926))+0-300--0.306000000000048</f>
        <v>738.54591400000004</v>
      </c>
      <c r="P30" s="3">
        <f>1229+(205.4-365.6)+(-0.62679+(-0.104754--0.186456))+0-300--0.15299999999997</f>
        <v>768.4079119999999</v>
      </c>
      <c r="Q30" s="3">
        <f>1213.6+(259.2-355.4)+(-1.856808+(-0.396576--0.543762))+0-310--0.474300000000018</f>
        <v>806.16467799999975</v>
      </c>
      <c r="R30" s="3">
        <f>1194.2+(296.5-311)+(0.609042+(0.151215-0.15861))+0-310-0.158099999999969</f>
        <v>870.14354700000001</v>
      </c>
      <c r="S30" s="3">
        <f>1192.6+(442.2-279.1)+(-3.04113+(-1.12761--0.711705))+0-310--0.790499999999955</f>
        <v>1043.033465</v>
      </c>
      <c r="T30" s="3">
        <f>1197.1+(433.3-248.5)+(-0.610521+(-0.220983--0.126735))+0-310--0.158099999999969</f>
        <v>1071.3533309999998</v>
      </c>
      <c r="U30" s="3">
        <f>1199.8+(378.5-235.1)+(0+(0-0))+0-300-0</f>
        <v>1043.2</v>
      </c>
      <c r="V30" s="3">
        <f>1202.9+(293.7-228.2)+(-2.453916+(-0.599148--0.465528))+0-300--0.611999999999987</f>
        <v>966.42446400000006</v>
      </c>
      <c r="W30" s="3">
        <f>1202.4+(223-261.5)+(0+(0-0))+0-300-0</f>
        <v>863.90000000000009</v>
      </c>
      <c r="X30" s="3">
        <f>1211.6+(163.1-299.2)+(-3.08958+(-0.415905--0.76296))+0-300--0.764999999999956</f>
        <v>773.5224750000001</v>
      </c>
      <c r="Y30" s="3">
        <f>1217.5+(195.6-302.8)+(-0.620925+(-0.099756--0.154428))+0-300--0.15299999999997</f>
        <v>809.88674700000001</v>
      </c>
      <c r="Z30" s="3">
        <f>1233.1+(268.8-312.3)+(-1.257762+(-0.274176--0.318546))+0-300--0.306000000000048</f>
        <v>888.69260799999984</v>
      </c>
      <c r="AA30" s="3">
        <f>1232.6+(306.8-262.3)+(-1.257252+(-0.312936--0.267546))+0-300--0.306000000000048</f>
        <v>976.10335799999984</v>
      </c>
      <c r="AB30" s="3">
        <f>1233.4+(385.9-247.6)+(-3.14517+(-0.984045--0.63138))+0-300--0.764999999999956</f>
        <v>1068.967165</v>
      </c>
      <c r="AC30" s="3">
        <f>1232+(445.2-233.3)+(0+(0-0))+0-300-0</f>
        <v>1143.9000000000001</v>
      </c>
      <c r="AD30">
        <v>840.3</v>
      </c>
      <c r="AE30" s="3">
        <f>1238+(261-358.7)+(0+(0-0))+0-300-0</f>
        <v>840.3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1231+(448.5-269.2)+(-0.62781+(-0.228735--0.137292))+0-300--0.15299999999997</f>
        <v>1109.733747</v>
      </c>
      <c r="G31" s="3">
        <f>1232+(394.9-265)+(-3.1416+(-1.006995--0.67575))+0-300--0.764999999999956</f>
        <v>1059.192155</v>
      </c>
      <c r="H31" s="3">
        <f>1237.9+(347.4-268.7)+(-0.631329+(-0.177174--0.137037))+0-300--0.15299999999997</f>
        <v>1016.0815340000001</v>
      </c>
      <c r="I31" s="3">
        <f>1240+(299.1-264.2)+(-0.6324+(-0.152541--0.134742))+0-300--0.15299999999997</f>
        <v>974.40280100000018</v>
      </c>
      <c r="J31" s="3">
        <f>1237+(245-258.6)+(-1.26174+(-0.2499--0.263772))+0-300--0.306000000000048</f>
        <v>922.45813200000021</v>
      </c>
      <c r="K31" s="3">
        <f>1229+(190.6-256)+(0+(0-0))+0-300-0</f>
        <v>863.59999999999991</v>
      </c>
      <c r="L31" s="3">
        <f>1240.4+(119.3-316.6)+(-3.16302+(-0.304215--0.80733))+0-295--0.752249999999957</f>
        <v>746.19234500000016</v>
      </c>
      <c r="M31" s="3">
        <f>1242.2+(112.7-337)+(-1.267044+(-0.114954--0.34374))+0-295--0.300900000000047</f>
        <v>722.16264200000012</v>
      </c>
      <c r="N31" s="3">
        <f>1234.5+(138-336.7)+(1.25919+(0.14076-0.343434))+0-295-0.300900000000047</f>
        <v>741.55561599999999</v>
      </c>
      <c r="O31" s="3">
        <f>1224.9+(170.2-326.5)+(-1.249398+(-0.173604--0.33303))+0-295--0.300900000000047</f>
        <v>772.81092800000022</v>
      </c>
      <c r="P31" s="3">
        <f>1218+(201.2-302.6)+(-0.62118+(-0.102612--0.154326))+0-295--0.15044999999997</f>
        <v>821.18098399999997</v>
      </c>
      <c r="Q31" s="3">
        <f>1215.3+(213.4-268)+(-0.619803+(-0.108834--0.13668))+0-295--0.15044999999997</f>
        <v>865.25849299999993</v>
      </c>
      <c r="R31" s="3">
        <f>1213.6+(239.3-236.5)+(-1.856808+(-0.366129--0.361845))+0-295--0.451350000000017</f>
        <v>919.99025799999981</v>
      </c>
      <c r="S31" s="3">
        <f>1212.1+(371.1-268.8)+(0+(0-0))+0-295-0</f>
        <v>1019.3999999999999</v>
      </c>
      <c r="T31" s="3">
        <f>1212.4+(427.1-265.5)+(0+(0-0))+0-295-0</f>
        <v>1079</v>
      </c>
      <c r="U31" s="3">
        <f>1210.1+(401.5-243.1)+(-1.234302+(-0.40953--0.247962))+0-295--0.300900000000047</f>
        <v>1072.4050299999999</v>
      </c>
      <c r="V31" s="3">
        <f>1208.5+(301.9-231.4)+(0+(0-0))+0-300-0</f>
        <v>979</v>
      </c>
      <c r="W31" s="3">
        <f>1211.3+(169.6-214.4)+(-3.706578+(-0.518976--0.656064))+0-318--0.973080000000037</f>
        <v>845.90358999999989</v>
      </c>
      <c r="X31" s="3">
        <f>1210+(84.1-213.3)+(-4.9368+(-0.343128--0.870264))+0-319--1.30151999999997</f>
        <v>758.69185599999992</v>
      </c>
      <c r="Y31" s="3">
        <f>1214+(115.4-251.5)+(-2.47656+(-0.235416--0.51306))+0-319--0.650759999999986</f>
        <v>757.35184400000003</v>
      </c>
      <c r="Z31" s="3">
        <f>1226+(225.1-283.5)+(-4.37682+(-0.803607--1.012095))+0-319--1.13883</f>
        <v>845.57049799999993</v>
      </c>
      <c r="AA31" s="3">
        <f>1238+(307.7-314.2)+(-1.26276+(-0.313854--0.320484))+0-318--0.324360000000051</f>
        <v>912.56823000000009</v>
      </c>
      <c r="AB31" s="3">
        <f>1245+(365.9-302.5)+(-3.17475+(-0.933045--0.771375))+0-317--0.808349999999954</f>
        <v>988.87192999999991</v>
      </c>
      <c r="AC31" s="3">
        <f>1240+(440.9-277.1)+(0+(0-0))+0-316-0</f>
        <v>1087.8</v>
      </c>
      <c r="AD31">
        <v>818.7</v>
      </c>
      <c r="AE31" s="3">
        <f>1223+(222.7-309)+(0+(0-0))+0-318-0</f>
        <v>818.7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1239.1+(390.3-257.5)+(0+(0-0))+0-316-0</f>
        <v>1055.8999999999999</v>
      </c>
      <c r="G32" s="3">
        <f>1237.1+(388.2-252.8)+(1.261842+(0.395964-0.257856))+0-317-0.323340000000051</f>
        <v>1056.5766099999998</v>
      </c>
      <c r="H32" s="3">
        <f>1238.7+(336-259.7)+(-1.263474+(-0.34272--0.264894))+0-318--0.324360000000051</f>
        <v>995.98306000000002</v>
      </c>
      <c r="I32" s="3">
        <f>1239.7+(316-262.8)+(-2.528988+(-0.64464--0.536112))+0-317--0.646679999999986</f>
        <v>973.90916400000003</v>
      </c>
      <c r="J32" s="3">
        <f>1236.6+(263.7-256.4)+(1.891998+(0.403461-0.392292))+0-317-0.485010000000018</f>
        <v>928.31815699999981</v>
      </c>
      <c r="K32" s="3">
        <f>1238.6+(192.8-253.8)+(0.631686+(0.098328-0.129438))+0-316-0.161159999999968</f>
        <v>862.03941599999996</v>
      </c>
      <c r="L32" s="3">
        <f>1243+(101.8-284.6)+(-1.26786+(-0.103836--0.290292))+0-316--0.32232000000005</f>
        <v>743.44091600000013</v>
      </c>
      <c r="M32" s="3">
        <f>1242.2+(119.7-343.6)+(1.267044+(0.122094-0.350472))+0-317-0.323340000000051</f>
        <v>702.01532599999996</v>
      </c>
      <c r="N32" s="3">
        <f>1241.5+(199.1-384.2)+(0.633165+(0.101541-0.195942))+0-320-0.163199999999968</f>
        <v>736.77556400000003</v>
      </c>
      <c r="O32" s="3">
        <f>1233+(232.3-387.1)+(1.25766+(0.236946-0.394842))+0-319-0.325380000000051</f>
        <v>759.9743840000001</v>
      </c>
      <c r="P32" s="3">
        <f>1223.5+(256.4-380.9)+(0+(0-0))+0-319-0</f>
        <v>780</v>
      </c>
      <c r="Q32" s="3">
        <f>1217.7+(270.4-355.3)+(2.484108+(0.551616-0.724812))+0-319-0.650759999999986</f>
        <v>815.46015199999988</v>
      </c>
      <c r="R32" s="3">
        <f>1212.1+(316.3-331.3)+(0+(0-0))+0-319-0</f>
        <v>878.09999999999991</v>
      </c>
      <c r="S32" s="3">
        <f>1210.6+(426.1-347.2)+(-1.234812+(-0.434622--0.354144))+0-318--0.324360000000051</f>
        <v>970.50907000000007</v>
      </c>
      <c r="T32" s="3">
        <f>1209.5+(492.8-345.1)+(1.850535+(0.753984-0.528003))+0-320-0.489600000000018</f>
        <v>1038.786916</v>
      </c>
      <c r="U32" s="3">
        <f>1215.7+(472.8-325)+(-3.100035+(-1.20564--0.82875))+0-320--0.815999999999954</f>
        <v>1040.8390750000001</v>
      </c>
      <c r="V32" s="3">
        <f>1216.1+(395.1-323.7)+(0+(0-0))+0-320-0</f>
        <v>967.5</v>
      </c>
      <c r="W32" s="3">
        <f>1217.5+(272.8-327.3)+(-4.346475+(-0.973896--1.168461))+0-319--1.13883</f>
        <v>840.98691999999994</v>
      </c>
      <c r="X32" s="3">
        <f>1219.6+(186.2-331.2)+(-2.487984+(-0.379848--0.675648))+0-322--0.656879999999986</f>
        <v>751.06469599999991</v>
      </c>
      <c r="Y32" s="3">
        <f>1224.9+(179.6-337.1)+(-1.249398+(-0.183192--0.343842))+0-321--0.327420000000051</f>
        <v>745.63867200000027</v>
      </c>
      <c r="Z32" s="3">
        <f>1232.5+(273.2-369.2)+(-3.142875+(-0.69666--0.94146))+0-318--0.810899999999954</f>
        <v>816.41282499999988</v>
      </c>
      <c r="AA32" s="3">
        <f>1240.3+(295.9-350.5)+(-4.427871+(-1.056363--1.251285))+0-317--1.13169</f>
        <v>865.5987409999999</v>
      </c>
      <c r="AB32" s="3">
        <f>1245.6+(339.4-317.3)+(-2.541024+(-0.692376--0.647292))+0-315--0.642599999999986</f>
        <v>950.75649199999987</v>
      </c>
      <c r="AC32" s="3">
        <f>1246.4+(391-285.6)+(-1.271328+(-0.39882--0.291312))+0-315--0.32130000000005</f>
        <v>1035.7424640000002</v>
      </c>
      <c r="AD32">
        <v>825.40000000000009</v>
      </c>
      <c r="AE32" s="3">
        <f>1234+(285.7-374.3)+(0+(0-0))+0-320-0</f>
        <v>825.40000000000009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1243.8+(374.6-214.1)+(-3.17169+(-0.95523--0.545955))+0-315--0.803249999999954</f>
        <v>1086.5222849999998</v>
      </c>
      <c r="G33" s="3">
        <f>1247.2+(347.1-196.6)+(-3.18036+(-0.885105--0.50133))+0-315--0.803249999999954</f>
        <v>1079.9391149999999</v>
      </c>
      <c r="H33" s="3">
        <f>1244.8+(311-185.1)+(-1.904544+(-0.47583--0.283203))+0-317--0.485010000000018</f>
        <v>1052.0878390000003</v>
      </c>
      <c r="I33" s="3">
        <f>1238.1+(302.6-189.9)+(-0.631431+(-0.154326--0.096849))+0-317--0.161669999999968</f>
        <v>1033.2727619999998</v>
      </c>
      <c r="J33" s="3">
        <f>1237.7+(251.5-185.7)+(-1.262454+(-0.25653--0.189414))+0-316--0.32232000000005</f>
        <v>986.49275</v>
      </c>
      <c r="K33" s="3">
        <f>1240.9+(193.1-185.6)+(-1.265718+(-0.196962--0.189312))+0-315--0.32130000000005</f>
        <v>932.44793200000026</v>
      </c>
      <c r="L33" s="3">
        <f>1245.9+(82.1-223.5)+(-3.177045+(-0.209355--0.569925))+0-315--0.803249999999954</f>
        <v>787.48677499999985</v>
      </c>
      <c r="M33" s="3">
        <f>1246.2+(53.1-251.5)+(0+(0-0))+0-315-0</f>
        <v>732.8</v>
      </c>
      <c r="N33" s="3">
        <f>1181.3+(121.1-255.3)+(-1.807389+(-0.185283--0.390609))+0-315--0.481950000000018</f>
        <v>730.97988699999985</v>
      </c>
      <c r="O33" s="3">
        <f>1081.2+(222.6-253.7)+(-0.551412+(-0.113526--0.129387))+0-316--0.161159999999968</f>
        <v>733.72560900000019</v>
      </c>
      <c r="P33" s="3">
        <f>1077.6+(281.5-294.2)+(-1.099152+(-0.28713--0.300084))+0-316--0.32232000000005</f>
        <v>748.136122</v>
      </c>
      <c r="Q33" s="3">
        <f>1096.3+(334.8-321.3)+(0+(0-0))+0-316-0</f>
        <v>793.8</v>
      </c>
      <c r="R33" s="3">
        <f>1154.4+(350.5-322.1)+(-0.588744+(-0.178755--0.164271))+0-315--0.160649999999968</f>
        <v>867.35742200000016</v>
      </c>
      <c r="S33" s="3">
        <f>1203.4+(394.2-327.4)+(-2.454936+(-0.804168--0.667896))+0-316--0.644639999999986</f>
        <v>952.25343199999998</v>
      </c>
      <c r="T33" s="3">
        <f>1203.2+(453.6-316.2)+(-0.613632+(-0.231336--0.161262))+0-315--0.160649999999968</f>
        <v>1025.0769440000001</v>
      </c>
      <c r="U33" s="3">
        <f>1204.6+(444.8-288.4)+(-1.843038+(-0.680544--0.441252))+0-315--0.481950000000018</f>
        <v>1044.3996200000001</v>
      </c>
      <c r="V33" s="3">
        <f>1208.5+(361.3-272.4)+(-3.081675+(-0.921315--0.69462))+0-317--0.808349999999954</f>
        <v>977.89998000000003</v>
      </c>
      <c r="W33" s="3">
        <f>1206.9+(240.7-270.8)+(-1.846557+(-0.368271--0.414324))+0-317--0.485010000000018</f>
        <v>858.48450600000012</v>
      </c>
      <c r="X33" s="3">
        <f>1209.4+(115.9-263.5)+(-2.467176+(-0.236436--0.53754))+0-319--0.650759999999986</f>
        <v>741.28468800000019</v>
      </c>
      <c r="Y33" s="3">
        <f>1213.5+(118.8-275.6)+(0+(0-0))+0-316-0</f>
        <v>740.7</v>
      </c>
      <c r="Z33" s="3">
        <f>1220.5+(258.1-319.3)+(-2.48982+(-0.526524--0.651372))+0-318--0.648719999999986</f>
        <v>839.5837479999999</v>
      </c>
      <c r="AA33" s="3">
        <f>1224.3+(337.6-324.7)+(0+(0-0))+0-317-0</f>
        <v>920.2</v>
      </c>
      <c r="AB33" s="3">
        <f>1228.9+(410.2-303.5)+(-0.626739+(-0.209202--0.154785))+0-315--0.160649999999968</f>
        <v>1020.079494</v>
      </c>
      <c r="AC33" s="3">
        <f>1233.1+(442.7-269.8)+(-3.144405+(-1.128885--0.68799))+0-315--0.803249999999954</f>
        <v>1088.21795</v>
      </c>
      <c r="AD33">
        <v>828.90000000000009</v>
      </c>
      <c r="AE33" s="3">
        <f>1218+(257.4-331.5)+(0+(0-0))+0-315-0</f>
        <v>828.90000000000009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1236.2+(421.3-232.7)+(-0.630462+(-0.214863--0.118677))+0-315--0.160649999999968</f>
        <v>1109.2340020000001</v>
      </c>
      <c r="G34" s="3">
        <f>1236.4+(390.2-218.4)+(-1.891692+(-0.597006--0.334152))+0-317--0.485010000000018</f>
        <v>1089.5304640000002</v>
      </c>
      <c r="H34" s="3">
        <f>1241.7+(191.5-210.6)+(-0.633267+(-0.097665--0.107406))+0-317--0.161669999999968</f>
        <v>905.13814400000001</v>
      </c>
      <c r="I34" s="3">
        <f>1240.2+(145.7-203.6)+(-1.265004+(-0.148614--0.207672))+0-319--0.325380000000051</f>
        <v>862.41943399999991</v>
      </c>
      <c r="J34" s="3">
        <f>1236.5+(131.5-201)+(-1.891845+(-0.201195--0.30753))+0-318--0.486540000000018</f>
        <v>847.70103000000006</v>
      </c>
      <c r="K34" s="3">
        <f>1233.5+(93.2-202.5)+(-0.629085+(-0.047532--0.103275))+0-317--0.161669999999968</f>
        <v>806.78832800000009</v>
      </c>
      <c r="L34" s="3">
        <f>1234.1+(80.7-240.3)+(-1.888173+(-0.123471--0.367659))+0-321--0.491130000000019</f>
        <v>752.34714500000007</v>
      </c>
      <c r="M34" s="3">
        <f>1228.9+(81-283.5)+(1.880217+(0.12393-0.433755))+0-318-0.486540000000018</f>
        <v>709.48385200000018</v>
      </c>
      <c r="N34" s="3">
        <f>1232.9+(106-300.7)+(0.628779+(0.05406-0.153357))+0-320-0.163199999999968</f>
        <v>718.566282</v>
      </c>
      <c r="O34" s="3">
        <f>1222.9+(133-299.2)+(0+(0-0))+0-321-0</f>
        <v>735.7</v>
      </c>
      <c r="P34" s="3">
        <f>1213.9+(164.7-290.3)+(-0.619089+(-0.083997--0.148053))+0-319--0.162689999999968</f>
        <v>768.90765700000009</v>
      </c>
      <c r="Q34" s="3">
        <f>1205.9+(213.4-289.5)+(0.615009+(0.108834-0.147645))+0-321-0.163709999999967</f>
        <v>809.21248800000023</v>
      </c>
      <c r="R34" s="3">
        <f>1202.5+(305.2-311.3)+(-0.613275+(-0.155652--0.158763))+0-321--0.163709999999967</f>
        <v>874.95354600000007</v>
      </c>
      <c r="S34" s="3">
        <f>1196.7+(447.7-323.5)+(0+(0-0))+0-320-0</f>
        <v>1000.9000000000001</v>
      </c>
      <c r="T34" s="3">
        <f>1192.5+(503.3-291)+(0+(0-0))+0-320-0</f>
        <v>1084.8</v>
      </c>
      <c r="U34" s="3">
        <f>1196.2+(450.6-244.9)+(-2.440248+(-0.919224--0.499596))+0-320--0.652799999999986</f>
        <v>1079.6929240000002</v>
      </c>
      <c r="V34" s="3">
        <f>1201+(335.2-218.7)+(-2.45004+(-0.683808--0.446148))+0-319--0.650759999999986</f>
        <v>996.46306000000004</v>
      </c>
      <c r="W34" s="3">
        <f>1210.2+(213.9-240.8)+(-2.468808+(-0.436356--0.491232))+0-319--0.650759999999986</f>
        <v>862.53682800000001</v>
      </c>
      <c r="X34" s="3">
        <f>1216.6+(140.6-261.6)+(-1.861398+(-0.215118--0.400248))+0-318--0.486540000000018</f>
        <v>776.41027199999996</v>
      </c>
      <c r="Y34" s="3">
        <f>1222.6+(147.5-274.3)+(0+(0-0))+0-317-0</f>
        <v>778.8</v>
      </c>
      <c r="Z34" s="3">
        <f>1226.1+(251.4-300.1)+(-3.126555+(-0.64107--0.765255))+0-317--0.808349999999954</f>
        <v>858.20597999999984</v>
      </c>
      <c r="AA34" s="3">
        <f>1229.8+(338-305.2)+(-3.13599+(-0.8619--0.77826))+0-318--0.810899999999954</f>
        <v>942.1912699999998</v>
      </c>
      <c r="AB34" s="3">
        <f>1226.8+(428.2-298)+(-1.251336+(-0.436764--0.30396))+0-319--0.325380000000051</f>
        <v>1036.9412400000001</v>
      </c>
      <c r="AC34" s="3">
        <f>1233.4+(496.5-269.9)+(-1.258068+(-0.50643--0.275298))+0-319--0.325380000000051</f>
        <v>1139.83618</v>
      </c>
      <c r="AD34">
        <v>880.40000000000009</v>
      </c>
      <c r="AE34" s="3">
        <f>1224+(275.2-302.8)+(0+(0-0))+0-316-0</f>
        <v>880.40000000000009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1243.3+(475.6-253.4)+(-1.268166+(-0.485112--0.258468))+0-320--0.326400000000051</f>
        <v>1144.3315900000002</v>
      </c>
      <c r="G35" s="3">
        <f>1249.1+(421.9-230.5)+(-1.274082+(-0.430338--0.23511))+0-319--0.325380000000051</f>
        <v>1120.35607</v>
      </c>
      <c r="H35" s="3">
        <f>1249.2+(354-216.7)+(-1.274184+(-0.36108--0.221034))+0-321--0.327420000000051</f>
        <v>1064.41319</v>
      </c>
      <c r="I35" s="3">
        <f>1252.7+(293.4-205.4)+(-1.916631+(-0.448902--0.314262))+0-320--0.489600000000018</f>
        <v>1019.138329</v>
      </c>
      <c r="J35" s="3">
        <f>1252+(240.1-188.4)+(-3.1926+(-0.612255--0.48042))+0-320--0.815999999999954</f>
        <v>981.19156499999997</v>
      </c>
      <c r="K35" s="3">
        <f>1251+(152.9-176.1)+(-3.19005+(-0.389895--0.449055))+0-318--0.810899999999954</f>
        <v>907.48000999999999</v>
      </c>
      <c r="L35" s="3">
        <f>1253.6+(12.9-187.5)+(-3.836016+(-0.039474--0.57375))+0-317--0.970020000000037</f>
        <v>759.66827999999998</v>
      </c>
      <c r="M35" s="3">
        <f>1253.2+(27.5-247)+(0+(0-0))+0-316-0</f>
        <v>717.7</v>
      </c>
      <c r="N35" s="3">
        <f>1247.1+(88.6-271.3)+(0+(0-0))+0-318-0</f>
        <v>746.39999999999986</v>
      </c>
      <c r="O35" s="3">
        <f>1221.4+(133.7-285.4)+(0+(0-0))+0-320-0</f>
        <v>749.7</v>
      </c>
      <c r="P35" s="3">
        <f>1197.8+(153.4-248.2)+(0+(0-0))+0-318-0</f>
        <v>785</v>
      </c>
      <c r="Q35" s="3">
        <f>1211.9+(179.3-244.5)+(-1.854207+(-0.274329--0.374085))+0-319--0.488070000000018</f>
        <v>826.43361900000002</v>
      </c>
      <c r="R35" s="3">
        <f>1211.9+(279.4-254.4)+(-3.090345+(-0.71247--0.64872))+0-319--0.813449999999954</f>
        <v>915.55935499999998</v>
      </c>
      <c r="S35" s="3">
        <f>1340.7+(276-259.3)+(0.683757+(0.14076-0.132243))+0-320-0.163199999999968</f>
        <v>1037.9290740000001</v>
      </c>
      <c r="T35" s="3">
        <f>1469+(230.2-267.3)+(-2.24757+(-0.352206--0.408969))+0-321--0.491130000000019</f>
        <v>1109.2003230000003</v>
      </c>
      <c r="U35" s="3">
        <f>1479+(211.8-260.4)+(-3.01716+(-0.432072--0.531216))+0-318--0.648719999999986</f>
        <v>1110.1307039999999</v>
      </c>
      <c r="V35" s="3">
        <f>1481.2+(160.6-283)+(-3.77706+(-0.40953--0.72165))+0-320--0.815999999999954</f>
        <v>1036.1510599999999</v>
      </c>
      <c r="W35" s="3">
        <f>1487.5+(71.9-324.1)+(-3.0345+(-0.146676--0.661164))+0-321--0.654839999999986</f>
        <v>912.43482800000004</v>
      </c>
      <c r="X35" s="3">
        <f>1498.5+(2-391.6)+(-3.05694+(-0.00408--0.798864))+0-321--0.654839999999986</f>
        <v>786.29268400000012</v>
      </c>
      <c r="Y35" s="3">
        <f>1508.6+(26.7-401.7)+(-3.077544+(-0.054468--0.819468))+0-320--0.652799999999986</f>
        <v>811.94025599999998</v>
      </c>
      <c r="Z35" s="3">
        <f>1516.9+(68.4-345.3)+(-2.320857+(-0.104652--0.528309))+0-320--0.489600000000018</f>
        <v>918.59239999999988</v>
      </c>
      <c r="AA35" s="3">
        <f>1524.1+(119.3-328.7)+(-3.886455+(-0.304215--0.838185))+0-320--0.815999999999954</f>
        <v>992.16351499999985</v>
      </c>
      <c r="AB35" s="3">
        <f>1527.2+(200.2-314.1)+(-5.452104+(-0.714714--1.121337))+0-319--1.13883</f>
        <v>1090.3933489999999</v>
      </c>
      <c r="AC35" s="3">
        <f>1529.7+(245.7-289.7)+(-1.560294+(-0.250614--0.295494))+0-318--0.324360000000051</f>
        <v>1166.5089460000002</v>
      </c>
      <c r="AD35">
        <v>938.7</v>
      </c>
      <c r="AE35" s="3">
        <f>1516+(64.7-314)+(0+(0-0))+0-328-0</f>
        <v>938.7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1535.7+(173.9-215.6)+(-0.783207+(-0.088689--0.109956))+0-317--0.161669999999968</f>
        <v>1176.3997299999999</v>
      </c>
      <c r="G36" s="3">
        <f>1535.4+(128.5-189.2)+(-2.349162+(-0.196605--0.289476))+0-321--0.491130000000019</f>
        <v>1151.9348390000002</v>
      </c>
      <c r="H36" s="3">
        <f>1536.4+(81.6-181.3)+(-3.134256+(-0.166464--0.369852))+0-321--0.654839999999986</f>
        <v>1113.423972</v>
      </c>
      <c r="I36" s="3">
        <f>1543.6+(37.9-190.7)+(2.361708+(0.057987-0.291771))+0-321-0.491130000000019</f>
        <v>1071.4367939999997</v>
      </c>
      <c r="J36" s="3">
        <f>1542.2+(22.6-220.7)+(-1.573044+(-0.023052--0.225114))+0-317--0.323340000000051</f>
        <v>1026.0523580000004</v>
      </c>
      <c r="K36" s="3">
        <f>1545.4+(22-287.5)+(-2.364462+(-0.03366--0.439875))+0-318--0.486540000000018</f>
        <v>960.42829300000005</v>
      </c>
      <c r="L36" s="3">
        <f>1545.5+(31-450.8)+(-2.364615+(-0.04743--0.689724))+0-317--0.485010000000018</f>
        <v>807.46268900000007</v>
      </c>
      <c r="M36" s="3">
        <f>1541.6+(28-497.4)+(-0.786216+(-0.01428--0.253674))+0-316--0.161159999999968</f>
        <v>755.81433799999979</v>
      </c>
      <c r="N36" s="3">
        <f>1534.4+(23-473.1)+(-0.782544+(-0.01173--0.241281))+0-318--0.162179999999968</f>
        <v>765.90918700000009</v>
      </c>
      <c r="O36" s="3">
        <f>1518.7+(17-432.8)+(-1.549074+(-0.01734--0.441456))+0-319--0.325380000000051</f>
        <v>783.10042199999998</v>
      </c>
      <c r="P36" s="3">
        <f>1501.2+(13-380.1)+(-1.531224+(-0.01326--0.387702))+0-320--0.326400000000051</f>
        <v>813.26961799999992</v>
      </c>
      <c r="Q36" s="3">
        <f>1490.2+(35.7-339.8)+(-2.280006+(-0.054621--0.519894))+0-318--0.486540000000018</f>
        <v>866.77180699999997</v>
      </c>
      <c r="R36" s="3">
        <f>1483.6+(56.1-282.8)+(-3.78318+(-0.143055--0.72114))+0-316--0.805799999999954</f>
        <v>938.50070499999981</v>
      </c>
      <c r="S36" s="3">
        <f>1479.2+(156.1-265.4)+(-1.508784+(-0.159222--0.270708))+0-317--0.323340000000051</f>
        <v>1051.8260420000001</v>
      </c>
      <c r="T36" s="3">
        <f>1479.3+(225.7-259.1)+(-1.508886+(-0.230214--0.264282))+0-320--0.326400000000051</f>
        <v>1124.7515820000001</v>
      </c>
      <c r="U36" s="3">
        <f>1478.4+(218.7-285.9)+(-3.015936+(-0.446148--0.583236))+0-320--0.652799999999986</f>
        <v>1088.9739520000001</v>
      </c>
      <c r="V36" s="3">
        <f>1477.6+(191.1-326.3)+(-2.260728+(-0.292383--0.499239))+0-320--0.489600000000018</f>
        <v>1020.8357279999999</v>
      </c>
      <c r="W36" s="3">
        <f>1486+(43.3-337.6)+(-1.51572+(-0.044166--0.344352))+0-319--0.325380000000051</f>
        <v>871.80984600000011</v>
      </c>
      <c r="X36" s="3">
        <f>1492.3+(0-392.2)+(-3.044292+(0--0.800088))+0-317--0.646679999999986</f>
        <v>781.50247599999977</v>
      </c>
      <c r="Y36" s="3">
        <f>1502+(3.5-390.7)+(-1.53204+(-0.00357--0.398514))+0-317--0.323340000000051</f>
        <v>796.98624400000006</v>
      </c>
      <c r="Z36" s="3">
        <f>1509.5+(74.8-393.4)+(-1.53969+(-0.076296--0.401268))+0-318--0.324360000000051</f>
        <v>872.00964200000021</v>
      </c>
      <c r="AA36" s="3">
        <f>1516.1+(152.5-364.2)+(-3.866055+(-0.388875--0.92871))+0-319--0.813449999999954</f>
        <v>982.88722999999993</v>
      </c>
      <c r="AB36" s="3">
        <f>1526.2+(211.3-353.7)+(-2.335086+(-0.323289--0.541161))+0-320--0.489600000000018</f>
        <v>1062.1723860000002</v>
      </c>
      <c r="AC36" s="3">
        <f>1529.7+(267.1-325.6)+(-0.780147+(-0.136221--0.166056))+0-319--0.162689999999968</f>
        <v>1151.612378</v>
      </c>
      <c r="AD36">
        <v>924.2</v>
      </c>
      <c r="AE36" s="3">
        <f>1509+(99.9-362.7)+(0+(0-0))+0-322-0</f>
        <v>924.2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1527.8+(267.8-310.1)+(-1.558356+(-0.273156--0.316302))+0-319--0.325380000000051</f>
        <v>1165.31017</v>
      </c>
      <c r="G37" s="3">
        <f>1527.4+(224.9-287.4)+(-3.115896+(-0.458796--0.586296))+0-319--0.650759999999986</f>
        <v>1143.5623640000001</v>
      </c>
      <c r="H37" s="3">
        <f>1531.9+(180.1-277.9)+(0+(0-0))+0-320-0</f>
        <v>1114.1000000000001</v>
      </c>
      <c r="I37" s="3">
        <f>1533.3+(131.7-273.4)+(-3.127932+(-0.268668--0.557736))+0-321--0.654839999999986</f>
        <v>1068.4159759999998</v>
      </c>
      <c r="J37" s="3">
        <f>1531+(76.2-260.4)+(0.78081+(0.038862-0.132804))+0-319-0.162689999999968</f>
        <v>1028.3241780000001</v>
      </c>
      <c r="K37" s="3">
        <f>1533.5+(12.7-278)+(0+(0-0))+0-319-0</f>
        <v>949.2</v>
      </c>
      <c r="L37" s="3">
        <f>1537.8+(0-414.7)+(-2.352834+(0--0.634491))+0-318--0.486540000000018</f>
        <v>803.8681969999999</v>
      </c>
      <c r="M37" s="3">
        <f>1531.8+(0-467.1)+(0+(0-0))+0-316-0</f>
        <v>748.69999999999982</v>
      </c>
      <c r="N37" s="3">
        <f>1531.3+(0-443.7)+(-1.561926+(0--0.452574))+0-319--0.325380000000051</f>
        <v>767.81602799999996</v>
      </c>
      <c r="O37" s="3">
        <f>1521+(1.4-407.2)+(1.55142+(0.001428-0.415344))+0-320-0.326400000000051</f>
        <v>796.01110400000005</v>
      </c>
      <c r="P37" s="3">
        <f>1510.8+(54.3-404)+(-1.541016+(-0.055386--0.41208))+0-318--0.324360000000051</f>
        <v>842.24003799999991</v>
      </c>
      <c r="Q37" s="3">
        <f>1501.3+(73-394.7)+(-0.765663+(-0.03723--0.201297))+0-318--0.162179999999968</f>
        <v>861.16058399999986</v>
      </c>
      <c r="R37" s="3">
        <f>1495+(119.8-352.6)+(-0.76245+(-0.061098--0.179826))+0-316--0.161159999999968</f>
        <v>945.71743800000002</v>
      </c>
      <c r="S37" s="3">
        <f>1495.1+(229.4-339.4)+(-0.762501+(-0.116994--0.173094))+0-317--0.161669999999968</f>
        <v>1067.555269</v>
      </c>
      <c r="T37" s="3">
        <f>1495.5+(288.7-336.5)+(1.52541+(0.294474-0.34323))+0-316-0.32232000000005</f>
        <v>1132.8543340000001</v>
      </c>
      <c r="U37" s="3">
        <f>1497.1+(266.2-323.7)+(1.527042+(0.271524-0.330174))+0-316-0.32232000000005</f>
        <v>1124.7460719999999</v>
      </c>
      <c r="V37" s="3">
        <f>1496.4+(176.2-308.8)+(-3.052656+(-0.359448--0.629952))+0-316--0.644639999999986</f>
        <v>1045.6624880000002</v>
      </c>
      <c r="W37" s="3">
        <f>1499.7+(55.3-315.9)+(-2.294541+(-0.084609--0.483327))+0-317--0.485010000000018</f>
        <v>920.68918700000006</v>
      </c>
      <c r="X37" s="3">
        <f>1508+(29.1-401.8)+(-3.8454+(-0.074205--1.02459))+0-319--0.813449999999954</f>
        <v>814.21843499999989</v>
      </c>
      <c r="Y37" s="3">
        <f>1511.9+(60.3-429)+(-0.771069+(-0.030753--0.21879))+0-319--0.162689999999968</f>
        <v>823.77965800000004</v>
      </c>
      <c r="Z37" s="3">
        <f>1519.1+(116.3-371.8)+(-0.774741+(-0.059313--0.189618))+0-318--0.162179999999968</f>
        <v>945.11774399999979</v>
      </c>
      <c r="AA37" s="3">
        <f>1528.5+(178.3-365.2)+(-3.897675+(-0.454665--0.93126))+0-318--0.810899999999954</f>
        <v>1020.9898199999998</v>
      </c>
      <c r="AB37" s="3">
        <f>1529.9+(266.1-369.6)+(-1.560498+(-0.271422--0.376992))+0-318--0.324360000000051</f>
        <v>1107.2694320000001</v>
      </c>
      <c r="AC37" s="3">
        <f>1529+(349.9-303.7)+(-3.11916+(-0.713796--0.619548))+0-316--0.644639999999986</f>
        <v>1256.631232</v>
      </c>
      <c r="AD37">
        <v>999.7</v>
      </c>
      <c r="AE37" s="3">
        <f>1522+(130.7-336)+(0+(0-0))+0-317-0</f>
        <v>999.7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1530.9+(247.4-242.2)+(-1.561518+(-0.252348--0.247044))+0-316--0.32232000000005</f>
        <v>1218.8554980000001</v>
      </c>
      <c r="G38" s="3">
        <f>1531.7+(202.4-226.3)+(-3.905835+(-0.51612--0.577065))+0-317--0.808349999999954</f>
        <v>1187.7634599999999</v>
      </c>
      <c r="H38" s="3">
        <f>1526+(161.2-218.4)+(-2.33478+(-0.246636--0.334152))+0-318--0.486540000000018</f>
        <v>1149.039276</v>
      </c>
      <c r="I38" s="3">
        <f>1525.7+(120.9-214.1)+(-1.556214+(-0.123318--0.218382))+0-319--0.325380000000051</f>
        <v>1112.3642299999999</v>
      </c>
      <c r="J38" s="3">
        <f>1526.9+(70.4-207.7)+(-0.778719+(-0.035904--0.105927))+0-319--0.162689999999968</f>
        <v>1070.0539940000001</v>
      </c>
      <c r="K38" s="3">
        <f>1526.1+(33.8-244.1)+(-1.556622+(-0.034476--0.248982))+0-320--0.326400000000051</f>
        <v>994.78428399999996</v>
      </c>
      <c r="L38" s="3">
        <f>1532.1+(30-423.8)+(-3.906855+(-0.0765--1.08069))+0-320--0.815999999999954</f>
        <v>816.2133349999998</v>
      </c>
      <c r="M38" s="3">
        <f>1529.7+(28-462.8)+(-0.780147+(-0.01428--0.236028))+0-318--0.162179999999968</f>
        <v>776.503781</v>
      </c>
      <c r="N38" s="3">
        <f>1524.6+(26-447.2)+(-2.332638+(-0.03978--0.684216))+0-319--0.488070000000018</f>
        <v>783.19986799999981</v>
      </c>
      <c r="O38" s="3">
        <f>1517.2+(50.3-446.7)+(-0.773772+(-0.025653--0.227817))+0-320--0.163199999999968</f>
        <v>800.39159200000017</v>
      </c>
      <c r="P38" s="3">
        <f>1513.4+(29.2-384.4)+(-0.771834+(-0.014892--0.196044))+0-322--0.164219999999967</f>
        <v>835.77353800000003</v>
      </c>
      <c r="Q38" s="3">
        <f>1506.3+(56.7-375.3)+(-3.841065+(-0.144585--0.957015))+0-320--0.815999999999954</f>
        <v>865.48736499999984</v>
      </c>
      <c r="R38" s="3">
        <f>1482+(89.4-284.7)+(-1.51164+(-0.091188--0.290394))+0-319--0.325380000000051</f>
        <v>966.7129460000001</v>
      </c>
      <c r="S38" s="3">
        <f>1468.5+(242.3-277.8)+(-0.748935+(-0.123573--0.141678))+0-318--0.162179999999968</f>
        <v>1114.4313500000001</v>
      </c>
      <c r="T38" s="3">
        <f>1499.6+(260.1-271.8)+(-0.764796+(-0.132651--0.138618))+0-319--0.162689999999968</f>
        <v>1168.3038609999996</v>
      </c>
      <c r="U38" s="3">
        <f>1502.6+(235.7-259.4)+(-3.83163+(-0.601035--0.66147))+0-318--0.810899999999954</f>
        <v>1157.9397049999998</v>
      </c>
      <c r="V38" s="3">
        <f>1505.2+(145.4-249.1)+(-0.767652+(-0.074154--0.127041))+0-317--0.161669999999968</f>
        <v>1083.946905</v>
      </c>
      <c r="W38" s="3">
        <f>1505.8+(38.4-292.8)+(-3.83979+(-0.09792--0.74664))+0-318--0.810899999999954</f>
        <v>931.01982999999973</v>
      </c>
      <c r="X38" s="3">
        <f>1506.6+(0-384.6)+(-2.305098+(0--0.588438))+0-318--0.486540000000018</f>
        <v>802.76987999999994</v>
      </c>
      <c r="Y38" s="3">
        <f>1512.6+(9.7-353.8)+(-3.085704+(-0.019788--0.721752))+0-318--0.648719999999986</f>
        <v>848.76498000000004</v>
      </c>
      <c r="Z38" s="3">
        <f>1519.5+(106.1-329.9)+(-1.54989+(-0.108222--0.336498))+0-317--0.323340000000051</f>
        <v>977.70172600000012</v>
      </c>
      <c r="AA38" s="3">
        <f>1525.1+(202-367.9)+(-3.111204+(-0.41208--0.750516))+0-316--0.644639999999986</f>
        <v>1041.0718719999998</v>
      </c>
      <c r="AB38" s="3">
        <f>1530.3+(276-364.2)+(-3.902265+(-0.7038--0.92871))+0-317--0.808349999999954</f>
        <v>1122.2309949999999</v>
      </c>
      <c r="AC38" s="3">
        <f>1532.2+(313.1-304.4)+(-2.344266+(-0.479043--0.465732))+0-316--0.483480000000018</f>
        <v>1223.0259030000002</v>
      </c>
      <c r="AD38">
        <v>946.8</v>
      </c>
      <c r="AE38" s="3">
        <f>1516+(107.8-361)+(0+(0-0))+0-316-0</f>
        <v>946.8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1534.4+(290.5-329.1)+(-3.130176+(-0.59262--0.671364))+0-317--0.646679999999986</f>
        <v>1176.3952480000003</v>
      </c>
      <c r="G39" s="3">
        <f>1534.1+(251.7-280.5)+(-5.476737+(-0.898569--1.001385))+0-316--1.12812</f>
        <v>1185.0541989999999</v>
      </c>
      <c r="H39" s="3">
        <f>1536.4+(202.9-281.2)+(-6.268512+(-0.827832--1.147296))+0-318--1.29743999999997</f>
        <v>1135.4483920000002</v>
      </c>
      <c r="I39" s="3">
        <f>1536.5+(149.3-263.3)+(0.783615+(0.076143-0.134283))+0-320-0.163199999999968</f>
        <v>1103.062275</v>
      </c>
      <c r="J39" s="3">
        <f>1537.5+(94-274.8)+(-3.1365+(-0.19176--0.560592))+0-319--0.650759999999986</f>
        <v>1035.5830920000001</v>
      </c>
      <c r="K39" s="3">
        <f>1541.7+(20.6-273.8)+(-1.572534+(-0.021012--0.279276))+0-319--0.325380000000051</f>
        <v>968.51110999999992</v>
      </c>
      <c r="L39" s="3">
        <f>1477.4+(0-325.5)+(-1.506948+(0--0.33201))+0-319--0.325380000000051</f>
        <v>832.05044199999998</v>
      </c>
      <c r="M39" s="3">
        <f>1302.6+(46.3-263)+(-0.664326+(-0.023613--0.13413))+0-318--0.162179999999968</f>
        <v>767.50837099999978</v>
      </c>
      <c r="N39" s="3">
        <f>1523.7+(24.3-438.3)+(-1.554174+(-0.024786--0.447066))+0-319--0.325380000000051</f>
        <v>789.89348599999994</v>
      </c>
      <c r="O39" s="3">
        <f>1528.1+(40.2-437.6)+(-0.779331+(-0.020502--0.223176))+0-321--0.163709999999967</f>
        <v>809.28705299999967</v>
      </c>
      <c r="P39" s="3">
        <f>1519+(50.2-417.1)+(-2.32407+(-0.076806--0.638163))+0-319--0.488070000000018</f>
        <v>831.82535699999983</v>
      </c>
      <c r="Q39" s="3">
        <f>1513.2+(68.2-393.5)+(0+(0-0))+0-320-0</f>
        <v>867.90000000000009</v>
      </c>
      <c r="R39" s="3">
        <f>1505.2+(129.6-335.9)+(-4.605912+(-0.396576--1.027854))+0-322--0.985320000000037</f>
        <v>973.91068600000017</v>
      </c>
      <c r="S39" s="3">
        <f>1500+(194.3-284.9)+(0.765+(0.099093-0.145299))+0-320-0.163199999999968</f>
        <v>1089.955594</v>
      </c>
      <c r="T39" s="3">
        <f>1499.6+(236.5-261.5)+(0+(0-0))+0-321-0</f>
        <v>1153.5999999999999</v>
      </c>
      <c r="U39" s="3">
        <f>1494.2+(205.2-246.4)+(-2.286126+(-0.313956--0.376992))+0-319--0.488070000000018</f>
        <v>1132.2649800000002</v>
      </c>
      <c r="V39" s="3">
        <f>1498.6+(132.8-264.8)+(-2.292858+(-0.203184--0.405144))+0-316--0.483480000000018</f>
        <v>1048.9925820000001</v>
      </c>
      <c r="W39" s="3">
        <f>1501.7+(33-296.2)+(-2.297601+(-0.05049--0.453186))+0-319--0.488070000000018</f>
        <v>918.09316499999989</v>
      </c>
      <c r="X39" s="3">
        <f>1503.3+(3-379)+(-4.600098+(-0.00918--1.15974))+0-319--0.976140000000037</f>
        <v>805.82660199999987</v>
      </c>
      <c r="Y39" s="3">
        <f>1517.2+(12.8-416.9)+(-3.095088+(-0.026112--0.850476))+0-320--0.652799999999986</f>
        <v>791.48207600000012</v>
      </c>
      <c r="Z39" s="3">
        <f>1521.8+(40.6-327.5)+(-3.104472+(-0.082824--0.6681))+0-320--0.652799999999986</f>
        <v>913.03360400000008</v>
      </c>
      <c r="AA39" s="3">
        <f>1524.2+(64.8-303.3)+(-2.332026+(-0.099144--0.464049))+0-321--0.491130000000019</f>
        <v>963.22400900000014</v>
      </c>
      <c r="AB39" s="3">
        <f>1529.9+(112.5-286)+(-3.120996+(-0.2295--0.58344))+0-320--0.652799999999986</f>
        <v>1034.2857440000002</v>
      </c>
      <c r="AC39" s="3">
        <f>1527.5+(130.1-216.3)+(-2.337075+(-0.199053--0.330939))+0-320--0.489600000000018</f>
        <v>1119.584411</v>
      </c>
      <c r="AD39">
        <v>895.7</v>
      </c>
      <c r="AE39" s="3">
        <f>1518+(30.9-330.2)+(0+(0-0))+0-323-0</f>
        <v>895.7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1532.8+(113.9-194)+(-1.563456+(-0.116178--0.19788))+0-319--0.325380000000051</f>
        <v>1132.5436260000001</v>
      </c>
      <c r="G40" s="3">
        <f>1418.5+(190-155.6)+(-3.617175+(-0.4845--0.39678))+0-322--0.821099999999953</f>
        <v>1128.0162049999999</v>
      </c>
      <c r="H40" s="3">
        <f>1379+(198.1-143.1)+(-2.10987+(-0.303093--0.218943))+0-322--0.492660000000019</f>
        <v>1110.2986400000002</v>
      </c>
      <c r="I40" s="3">
        <f>1383.8+(141.4-139.6)+(-0.705738+(-0.072114--0.071196))+0-323--0.164729999999967</f>
        <v>1062.0580739999998</v>
      </c>
      <c r="J40" s="3">
        <f>1386.3+(103.3-144.1)+(-4.242078+(-0.316098--0.440946))+0-319--0.976140000000037</f>
        <v>1023.3589099999999</v>
      </c>
      <c r="K40" s="3">
        <f>1326.3+(77.5-139.9)+(-2.705652+(-0.1581--0.285396))+0-319--0.650759999999986</f>
        <v>942.97240399999987</v>
      </c>
      <c r="L40" s="3">
        <f>1230.6+(60.4-154.7)+(-1.882818+(-0.092412--0.236691))+0-317--0.485010000000018</f>
        <v>818.046471</v>
      </c>
      <c r="M40" s="3">
        <f>1157.3+(63-149.3)+(-0.590223+(-0.03213--0.076143))+0-316--0.161159999999968</f>
        <v>754.61495000000002</v>
      </c>
      <c r="N40" s="3">
        <f>1156.2+(61.6-158.3)+(-1.179324+(-0.062832--0.161466))+0-317--0.323340000000051</f>
        <v>741.74265000000003</v>
      </c>
      <c r="O40" s="3">
        <f>1155.8+(89-189.9)+(0+(0-0))+0-318-0</f>
        <v>736.89999999999986</v>
      </c>
      <c r="P40" s="3">
        <f>1309.2+(29.4-259.2)+(-2.003076+(-0.044982--0.396576))+0-320--0.489600000000018</f>
        <v>758.2381180000001</v>
      </c>
      <c r="Q40" s="3">
        <f>1354.1+(35.1-268.7)+(-2.071773+(-0.053703--0.411111))+0-320--0.489600000000018</f>
        <v>799.27523499999995</v>
      </c>
      <c r="R40" s="3">
        <f>1349.3+(92.6-239.3)+(-1.376286+(-0.094452--0.244086))+0-318--0.324360000000051</f>
        <v>883.69770799999992</v>
      </c>
      <c r="S40" s="3">
        <f>1346.4+(177.9-221.2)+(-2.746656+(-0.362916--0.451248))+0-317--0.646679999999986</f>
        <v>984.08835600000009</v>
      </c>
      <c r="T40" s="3">
        <f>1341.5+(257.7-206.6)+(-1.36833+(-0.262854--0.210732))+0-317--0.323340000000051</f>
        <v>1074.502888</v>
      </c>
      <c r="U40" s="3">
        <f>1343.6+(254.2-198.2)+(-2.055708+(-0.388926--0.303246))+0-320--0.489600000000018</f>
        <v>1077.948212</v>
      </c>
      <c r="V40" s="3">
        <f>1350.9+(172-212)+(-1.377918+(-0.17544--0.21624))+0-317--0.323340000000051</f>
        <v>992.8862220000002</v>
      </c>
      <c r="W40" s="3">
        <f>1352.4+(42.6-241.1)+(-3.44862+(-0.10863--0.614805))+0-319--0.813449999999954</f>
        <v>832.77100500000017</v>
      </c>
      <c r="X40" s="3">
        <f>1350+(1.2-282.2)+(-2.754+(-0.002448--0.575688))+0-319--0.650759999999986</f>
        <v>748.47</v>
      </c>
      <c r="Y40" s="3">
        <f>1355.3+(9.3-297.7)+(-2.073609+(-0.014229--0.455481))+0-320--0.489600000000018</f>
        <v>745.75724300000013</v>
      </c>
      <c r="Z40" s="3">
        <f>1368.8+(89.6-251.1)+(-2.792352+(-0.182784--0.512244))+0-319--0.650759999999986</f>
        <v>886.48786799999993</v>
      </c>
      <c r="AA40" s="3">
        <f>1375.4+(146.3-258.7)+(-1.402908+(-0.149226--0.263874))+0-318.6--0.324972000000051</f>
        <v>943.43671199999994</v>
      </c>
      <c r="AB40" s="3">
        <f>1384.1+(258.2-250.4)+(-2.117673+(-0.395046--0.383112))+0-317.3--0.485469000000018</f>
        <v>1072.9558619999998</v>
      </c>
      <c r="AC40" s="3">
        <f>1382.4+(322-236.3)+(-0.705024+(-0.16422--0.120513))+0-317.4--0.161873999999968</f>
        <v>1150.113143</v>
      </c>
      <c r="AD40">
        <v>852.89999999999986</v>
      </c>
      <c r="AE40" s="3">
        <f>1366+(88.6-281.7)+(0+(0-0))+0-320-0</f>
        <v>852.90000000000009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1382.5+(362.8-246.3)+(-1.41015+(-0.370056--0.251226))+0-317.3--0.323646000000051</f>
        <v>1180.4946660000001</v>
      </c>
      <c r="G41" s="3">
        <f>1384.7+(349.2-240.4)+(-2.824788+(-0.712368--0.490416))+0-319.1--0.650963999999986</f>
        <v>1172.0042239999998</v>
      </c>
      <c r="H41" s="3">
        <f>1385.9+(300.8-220.5)+(-2.120427+(-0.460224--0.337365))+0-319.6--0.488988000000019</f>
        <v>1144.8457020000001</v>
      </c>
      <c r="I41" s="3">
        <f>1388.7+(238.7-212.1)+(-0.708237+(-0.121737--0.108171))+0-317.2--0.161771999999968</f>
        <v>1097.5399689999999</v>
      </c>
      <c r="J41" s="3">
        <f>1391.2+(179.4-213.5)+(-4.966584+(-0.640458--0.762195))+0-319.3--1.139901</f>
        <v>1034.0950540000001</v>
      </c>
      <c r="K41" s="3">
        <f>1388.1+(103.8-207.3)+(-4.247586+(-0.317628--0.634338))+0-319.4--0.977364000000037</f>
        <v>962.24648800000011</v>
      </c>
      <c r="L41" s="3">
        <f>1189+(101-183.2)+(-2.42556+(-0.20604--0.373728))+0-318.8--0.650351999999986</f>
        <v>786.39248000000009</v>
      </c>
      <c r="M41" s="3">
        <f>1144.2+(104.2-186.7)+(-0.583542+(-0.053142--0.095217))+0-322.4--0.164423999999967</f>
        <v>738.922957</v>
      </c>
      <c r="N41" s="3">
        <f>1140.3+(156.1-210.9)+(-1.163106+(-0.159222--0.215118))+0-321.8--0.328236000000051</f>
        <v>762.92102600000021</v>
      </c>
      <c r="O41" s="3">
        <f>1199.2+(106.1-191.5)+(-1.834776+(-0.162333--0.292995))+0-322.2--0.492966000000019</f>
        <v>790.38885200000004</v>
      </c>
      <c r="P41" s="3">
        <f>1229.1+(111-209.5)+(-0.626841+(-0.05661--0.106845))+0-318.1--0.162230999999968</f>
        <v>812.08562499999982</v>
      </c>
      <c r="Q41" s="3">
        <f>1204.4+(192.2-218.9)+(0+(0-0))+0-315.4-0</f>
        <v>862.30000000000007</v>
      </c>
      <c r="R41" s="3">
        <f>1217.5+(282.9-224.4)+(-0.620925+(-0.144279--0.114444))+0-322.2--0.164321999999967</f>
        <v>953.31356199999993</v>
      </c>
      <c r="S41" s="3">
        <f>1214.9+(418.7-217)+(-0.619599+(-0.213537--0.11067))+0-322.7--0.164576999999967</f>
        <v>1093.3421110000002</v>
      </c>
      <c r="T41" s="3">
        <f>1210.5+(487.3-208.5)+(-1.852065+(-0.745569--0.319005))+0-321.9--0.492507000000019</f>
        <v>1165.6138780000001</v>
      </c>
      <c r="U41" s="3">
        <f>1205.7+(476-200.4)+(-1.844721+(-0.72828--0.306612))+0-321.1--0.491283000000019</f>
        <v>1158.4248940000004</v>
      </c>
      <c r="V41" s="3">
        <f>1203.2+(386.5-196.5)+(-1.227264+(-0.39423--0.20043))+0-322.7--0.329154000000051</f>
        <v>1069.4080900000001</v>
      </c>
      <c r="W41" s="3">
        <f>1206.1+(237.2-190.9)+(-1.845333+(-0.362916--0.292077))+0-324.6--0.496638000000019</f>
        <v>926.38046599999996</v>
      </c>
      <c r="X41" s="3">
        <f>1211.2+(97.3-177.7)+(-2.470848+(-0.198492--0.362508))+0-321.9--0.656675999999986</f>
        <v>807.24984399999994</v>
      </c>
      <c r="Y41" s="3">
        <f>1216.3+(76.4-184.8)+(-0.620313+(-0.038964--0.094248))+0-320.3--0.163352999999968</f>
        <v>787.19832399999973</v>
      </c>
      <c r="Z41" s="3">
        <f>1226.7+(245.8-223.3)+(-3.753702+(-0.752148--0.683298))+0-321.8--0.984708000000037</f>
        <v>924.56215600000007</v>
      </c>
      <c r="AA41" s="3">
        <f>1233+(363.2-256.4)+(-2.51532+(-0.740928--0.523056))+0-321.1--0.655043999999986</f>
        <v>1016.621852</v>
      </c>
      <c r="AB41" s="3">
        <f>1235.1+(496.1-265.6)+(-3.149505+(-1.265055--0.67728))+0-320.9--0.818294999999953</f>
        <v>1141.781015</v>
      </c>
      <c r="AC41" s="3">
        <f>1235.8+(542.4-232.5)+(-2.521032+(-1.106496--0.4743))+0-320.3--0.653411999999986</f>
        <v>1222.9001839999999</v>
      </c>
      <c r="AD41">
        <v>989.2</v>
      </c>
      <c r="AE41" s="3">
        <f>1223+(315.5-231.5)+(0+(0-0))+0-317.8-0</f>
        <v>989.2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1239.4+(526.5-210.3)+(-1.896282+(-0.805545--0.321759))+0-321.8--0.492354000000019</f>
        <v>1231.9122860000002</v>
      </c>
      <c r="G42" s="3">
        <f>1238.5+(491.1-199.1)+(-3.78981+(-1.502766--0.609246))+0-322.5--0.986850000000037</f>
        <v>1204.3035199999999</v>
      </c>
      <c r="H42" s="3">
        <f>1236.8+(441-189.7)+(-2.523072+(-0.89964--0.386988))+0-321.1--0.655043999999986</f>
        <v>1164.6193199999998</v>
      </c>
      <c r="I42" s="3">
        <f>1243+(420.8-201.7)+(0.63393+(0.214608-0.102867))+0-321.4-0.163913999999967</f>
        <v>1141.281757</v>
      </c>
      <c r="J42" s="3">
        <f>1248.1+(368.8-197.4)+(0.636531+(0.188088-0.100674))+0-321.9-0.164168999999967</f>
        <v>1098.1597760000002</v>
      </c>
      <c r="K42" s="3">
        <f>1246.8+(233.1-185.5)+(0+(0-0))+0-320.9-0</f>
        <v>973.49999999999989</v>
      </c>
      <c r="L42" s="3">
        <f>1247.2+(52.1-161.3)+(-3.18036+(-0.132855--0.411315))+0-319.3--0.814214999999954</f>
        <v>816.61231499999997</v>
      </c>
      <c r="M42" s="3">
        <f>1244.6+(57.3-189)+(-1.904238+(-0.087669--0.28917))+0-317.8--0.486234000000018</f>
        <v>793.88349699999981</v>
      </c>
      <c r="N42" s="3">
        <f>1237+(89.2-198.9)+(-2.52348+(-0.181968--0.405756))+0-320.7--0.654227999999986</f>
        <v>804.95453599999985</v>
      </c>
      <c r="O42" s="3">
        <f>1231.4+(121.9-212.3)+(0+(0-0))+0-321.9-0</f>
        <v>819.1</v>
      </c>
      <c r="P42" s="3">
        <f>1221.6+(180-226.9)+(-1.246032+(-0.1836--0.231438))+0-322.2--0.328644000000051</f>
        <v>851.63044999999977</v>
      </c>
      <c r="Q42" s="3">
        <f>1215.9+(272-242.8)+(-1.860327+(-0.41616--0.371484))+0-322.3--0.493119000000019</f>
        <v>921.38811600000008</v>
      </c>
      <c r="R42" s="3">
        <f>1210.4+(364.2-247.4)+(-3.703824+(-1.114452--0.757044))+0-322.2--0.985932000000037</f>
        <v>1001.9247</v>
      </c>
      <c r="S42" s="3">
        <f>1203.7+(525.1-255.8)+(-2.455548+(-1.071204--0.521832))+0-320--0.652799999999986</f>
        <v>1150.64788</v>
      </c>
      <c r="T42" s="3">
        <f>1198.2+(602.4-240.9)+(-3.666492+(-1.843344--0.737154))+0-321.6--0.984096000000037</f>
        <v>1234.3114140000002</v>
      </c>
      <c r="U42" s="3">
        <f>1195.4+(570.5-214.5)+(-2.438616+(-1.16382--0.43758))+0-322--0.656879999999986</f>
        <v>1226.892024</v>
      </c>
      <c r="V42" s="3">
        <f>1197.3+(446.5-198.4)+(-3.053115+(-1.138575--0.50592))+0-320.8--0.818039999999953</f>
        <v>1121.7322699999997</v>
      </c>
      <c r="W42" s="3">
        <f>1204.2+(263.1-187.1)+(-2.456568+(-0.536724--0.381684))+0-321.2--0.655247999999986</f>
        <v>957.0436400000001</v>
      </c>
      <c r="X42" s="3">
        <f>1210.4+(138.5-183.8)+(-4.321128+(-0.494445--0.656166))+0-322.4--1.150968</f>
        <v>839.69156100000009</v>
      </c>
      <c r="Y42" s="3">
        <f>1216.1+(170.7-232.3)+(0+(0-0))+0-318.9-0</f>
        <v>835.6</v>
      </c>
      <c r="Z42" s="3">
        <f>1224.5+(355.4-297.7)+(-3.122475+(-0.90627--0.759135))+0-320.5--0.817274999999953</f>
        <v>959.24766499999998</v>
      </c>
      <c r="AA42" s="3">
        <f>1229.7+(470-280)+(-2.508588+(-0.9588--0.5712))+0-320.7--0.654227999999986</f>
        <v>1096.7580399999999</v>
      </c>
      <c r="AB42" s="3">
        <f>1235.1+(546.6-265.9)+(-1.259802+(-0.557532--0.271218))+0-319.2--0.325584000000051</f>
        <v>1195.3794680000001</v>
      </c>
      <c r="AC42" s="3">
        <f>1237.5+(598.7-221.6)+(-1.26225+(-0.610674--0.226032))+0-319.7--0.326094000000051</f>
        <v>1293.5792019999999</v>
      </c>
      <c r="AD42">
        <v>1004.8</v>
      </c>
      <c r="AE42" s="3">
        <f>1224+(391-292.4)+(0+(0-0))+0-317.8-0</f>
        <v>1004.8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1238+(572.7-203.9)+(-3.78828+(-1.752462--0.623934))+0-319.4--0.977364000000037</f>
        <v>1283.4605560000002</v>
      </c>
      <c r="G43" s="3">
        <f>1237.2+(541-192.5)+(-2.523888+(-1.10364--0.3927))+0-319.4--0.651575999999986</f>
        <v>1263.7167480000001</v>
      </c>
      <c r="H43" s="3">
        <f>1235.7+(488.8-176.4)+(-1.260414+(-0.498576--0.179928))+0-320.3--0.326706000000051</f>
        <v>1226.547644</v>
      </c>
      <c r="I43" s="3">
        <f>1239.7+(428.3-159.2)+(-1.896741+(-0.655299--0.243576))+0-319.4--0.488682000000018</f>
        <v>1187.5802180000003</v>
      </c>
      <c r="J43" s="3">
        <f>1239.3+(372.7-161.5)+(-0.632043+(-0.190077--0.082365))+0-320.1--0.163250999999968</f>
        <v>1129.823496</v>
      </c>
      <c r="K43" s="3">
        <f>1262.8+(255.6-154)+(-2.576112+(-0.521424--0.31416))+0-319.2--0.651167999999986</f>
        <v>1043.0677919999998</v>
      </c>
      <c r="L43" s="3">
        <f>1270.5+(81.3-177.5)+(-3.88773+(-0.248778--0.54315))+0-317.2--0.970632000000037</f>
        <v>854.47727399999985</v>
      </c>
      <c r="M43" s="3">
        <f>1267.4+(37-205.4)+(-1.292748+(-0.03774--0.209508))+0-318--0.324360000000051</f>
        <v>780.20338000000015</v>
      </c>
      <c r="N43" s="3">
        <f>1263.8+(66.1-201.3)+(-1.933614+(-0.101133--0.307989))+0-319.8--0.489294000000018</f>
        <v>807.56253599999991</v>
      </c>
      <c r="O43" s="3">
        <f>1258.9+(104-197.3)+(-1.926117+(-0.15912--0.301869))+0-320.3--0.490059000000019</f>
        <v>844.00669100000005</v>
      </c>
      <c r="P43" s="3">
        <f>1305.7+(117.7-217.1)+(-2.663628+(-0.240108--0.442884))+0-319.3--0.651371999999986</f>
        <v>885.19052000000011</v>
      </c>
      <c r="Q43" s="3">
        <f>1415.1+(106.7-254.3)+(-2.165103+(-0.163251--0.389079))+0-321.1--0.491283000000019</f>
        <v>944.95200800000009</v>
      </c>
      <c r="R43" s="3">
        <f>1442.9+(210-265.8)+(-3.679395+(-0.5355--0.67779))+0-321.3--0.819314999999953</f>
        <v>1063.08221</v>
      </c>
      <c r="S43" s="3">
        <f>1440.6+(370.9-272.7)+(-0.734706+(-0.189159--0.139077))+0-321.1--0.163760999999967</f>
        <v>1217.0789729999999</v>
      </c>
      <c r="T43" s="3">
        <f>1441.5+(429.7-258)+(-2.205495+(-0.657441--0.39474))+0-321.6--0.492048000000019</f>
        <v>1289.6238520000002</v>
      </c>
      <c r="U43" s="3">
        <f>1438.5+(387.7-220.8)+(-3.668175+(-0.988635--0.56304))+0-320--0.815999999999954</f>
        <v>1282.1222300000002</v>
      </c>
      <c r="V43" s="3">
        <f>1466.4+(247.7-218)+(-3.73932+(-0.631635--0.5559))+0-320.4--0.817019999999953</f>
        <v>1172.7019650000002</v>
      </c>
      <c r="W43" s="3">
        <f>1476.8+(87.6-238.9)+(-3.012672+(-0.178704--0.487356))+0-321.6--0.656063999999986</f>
        <v>1001.8520440000001</v>
      </c>
      <c r="X43" s="3">
        <f>1483.2+(23.4-297.6)+(-3.78216+(-0.05967--0.75888))+0-319.4--0.814469999999954</f>
        <v>887.33151999999995</v>
      </c>
      <c r="Y43" s="3">
        <f>1536.8+(36.2-359.2)+(0.783768+(0.018462-0.183192))+0-321-0.163709999999967</f>
        <v>893.25532800000008</v>
      </c>
      <c r="Z43" s="3">
        <f>1556.2+(119.4-330.1)+(-1.587324+(-0.121788--0.336702))+0-321.3--0.327726000000051</f>
        <v>1023.1553160000002</v>
      </c>
      <c r="AA43" s="3">
        <f>1565.2+(216.2-328.8)+(-4.789512+(-0.661572--1.006128))+0-317.9--0.972774000000037</f>
        <v>1131.2278180000001</v>
      </c>
      <c r="AB43" s="3">
        <f>1567.5+(310.1-308.1)+(-5.595975+(-1.107057--1.099917))+0-319.6--1.140972</f>
        <v>1245.4378570000001</v>
      </c>
      <c r="AC43" s="3">
        <f>1551.3+(393.1-280.2)+(-2.373489+(-0.601443--0.428706))+0-320--0.489600000000018</f>
        <v>1342.1433740000002</v>
      </c>
      <c r="AD43">
        <v>1044.4000000000001</v>
      </c>
      <c r="AE43" s="3">
        <f>1557+(147.7-344.3)+(0+(0-0))+0-316-0</f>
        <v>1044.4000000000001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1452.5+(446.7-244.8)+(0+(0-0))+0-319.8-0</f>
        <v>1334.6000000000001</v>
      </c>
      <c r="G44" s="3">
        <f>1419+(429.6-210.7)+(0+(0-0))+0-320.5-0</f>
        <v>1317.4</v>
      </c>
      <c r="H44" s="3">
        <f>1415.3+(379.1-196.1)+(0+(0-0))+0-320.1-0</f>
        <v>1278.1999999999998</v>
      </c>
      <c r="I44" s="3">
        <f>1418.8+(324.4-188.4)+(0+(0-0))+0-318.5-0</f>
        <v>1236.3</v>
      </c>
      <c r="J44" s="3">
        <f>1421.3+(297.8-216)+(-2.174589+(-0.455634--0.33048))+0-319.2--0.488376000000018</f>
        <v>1182.0886329999998</v>
      </c>
      <c r="K44" s="3">
        <f>1422.6+(201.5-204.2)+(-1.451052+(-0.20553--0.208284))+0-318--0.324360000000051</f>
        <v>1100.7760619999999</v>
      </c>
      <c r="L44" s="3">
        <f>1425+(8-220.3)+(1.4535+(0.00816-0.224706))+0-317.2-0.323544000000051</f>
        <v>896.41340999999989</v>
      </c>
      <c r="M44" s="3">
        <f>1424.7+(7.9-274.1)+(1.453194+(0.008058-0.279582))+0-316-0.32232000000005</f>
        <v>843.35934999999984</v>
      </c>
      <c r="N44" s="3">
        <f>1422+(55.8-323)+(-0.72522+(-0.028458--0.16473))+0-317.3--0.161822999999968</f>
        <v>837.07287499999984</v>
      </c>
      <c r="O44" s="3">
        <f>1415.2+(79.3-305.6)+(0+(0-0))+0-318.9-0</f>
        <v>870.00000000000011</v>
      </c>
      <c r="P44" s="3">
        <f>1411+(90-283.3)+(0+(0-0))+0-320.1-0</f>
        <v>897.6</v>
      </c>
      <c r="Q44" s="3">
        <f>1408.9+(149.7-292.5)+(-2.874156+(-0.305388--0.5967))+0-319.3--0.651371999999986</f>
        <v>944.8685280000002</v>
      </c>
      <c r="R44" s="3">
        <f>1413.4+(281.2-315.3)+(-0.720834+(-0.143412--0.160803))+0-320.4--0.163403999999967</f>
        <v>1058.3599610000001</v>
      </c>
      <c r="S44" s="3">
        <f>1443.9+(384.6-305.3)+(0+(0-0))+0-321.2-0</f>
        <v>1202</v>
      </c>
      <c r="T44" s="3">
        <f>1448.4+(392.9-258.2)+(-0.738684+(-0.200379--0.131682))+0-319.7--0.163046999999968</f>
        <v>1262.755666</v>
      </c>
      <c r="U44" s="3">
        <f>1451.4+(327.8-233.5)+(-5.181498+(-1.170246--0.833595))+0-317.7--1.134189</f>
        <v>1223.6160400000001</v>
      </c>
      <c r="V44" s="3">
        <f>1450.5+(201.6-219.7)+(-4.43853+(-0.616896--0.672282))+0-318.8--0.975528000000037</f>
        <v>1110.1923840000002</v>
      </c>
      <c r="W44" s="3">
        <f>1457+(60.8-263.7)+(-5.20149+(-0.217056--0.941409))+0-318.1--1.135617</f>
        <v>932.65847999999983</v>
      </c>
      <c r="X44" s="3">
        <f>1453.7+(29.1-322.3)+(-3.706935+(-0.074205--0.821865))+0-318.7--0.812684999999954</f>
        <v>839.65341000000001</v>
      </c>
      <c r="Y44" s="3">
        <f>1455+(54.9-351)+(-3.71025+(-0.139995--0.89505))+0-320--0.815999999999954</f>
        <v>836.760805</v>
      </c>
      <c r="Z44" s="3">
        <f>1463.9+(98-294.1)+(-2.986356+(-0.19992--0.599964))+0-321.5--0.655859999999986</f>
        <v>944.36954800000024</v>
      </c>
      <c r="AA44" s="3">
        <f>1463.6+(175.1-275.4)+(-2.985744+(-0.357204--0.561816))+0-321.3--0.655451999999986</f>
        <v>1039.8743199999999</v>
      </c>
      <c r="AB44" s="3">
        <f>1464.8+(264.5-267)+(0.747048+(0.134895-0.13617))+0-318.8-0.162587999999968</f>
        <v>1144.0831850000002</v>
      </c>
      <c r="AC44" s="3">
        <f>1465.2+(340.4-240.4)+(-1.494504+(-0.347208--0.245208))+0-319--0.325380000000051</f>
        <v>1244.9288759999999</v>
      </c>
      <c r="AD44">
        <v>962.00000000000011</v>
      </c>
      <c r="AE44" s="3">
        <f>1469+(97.4-276.5)+(0+(0-0))+0-327.9-0</f>
        <v>962.00000000000011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1464.8+(319.6-221.7)+(0+(0-0))+0-320.1-0</f>
        <v>1242.5999999999999</v>
      </c>
      <c r="G45" s="3">
        <f>1467+(273.2-187.2)+(-1.49634+(-0.278664--0.190944))+0-321.4--0.327828000000051</f>
        <v>1230.3437680000002</v>
      </c>
      <c r="H45" s="3">
        <f>1464.2+(217.5-183.1)+(0+(0-0))+0-320.7-0</f>
        <v>1177.9000000000001</v>
      </c>
      <c r="I45" s="3">
        <f>1464.6+(163.3-184)+(-2.240838+(-0.249849--0.28152))+0-321.4--0.491742000000019</f>
        <v>1120.782575</v>
      </c>
      <c r="J45" s="3">
        <f>1412.4+(211.3-219.7)+(1.440648+(0.215526-0.224094))+0-319.7-0.326094000000051</f>
        <v>1085.405986</v>
      </c>
      <c r="K45" s="3">
        <f>1317.3+(191.4-193.6)+(-2.687292+(-0.390456--0.394944))+0-318.4--0.649535999999986</f>
        <v>994.66673199999991</v>
      </c>
      <c r="L45" s="3">
        <f>1319+(17-191.8)+(-0.67269+(-0.00867--0.097818))+0-316.5--0.161414999999968</f>
        <v>827.27787299999989</v>
      </c>
      <c r="M45" s="3">
        <f>1320+(29.8-242.2)+(-0.6732+(-0.015198--0.123522))+0-317.8--0.162077999999968</f>
        <v>789.39720199999999</v>
      </c>
      <c r="N45" s="3">
        <f>1321.1+(66.3-260.1)+(-0.673761+(-0.033813--0.132651))+0-318--0.162179999999968</f>
        <v>808.88725699999998</v>
      </c>
      <c r="O45" s="3">
        <f>1317.9+(87.8-250.1)+(-1.344258+(-0.089556--0.255102))+0-317.7--0.324054000000051</f>
        <v>837.04534200000023</v>
      </c>
      <c r="P45" s="3">
        <f>1385.3+(89.7-331.2)+(-2.119509+(-0.137241--0.506736))+0-318.2--0.486846000000018</f>
        <v>824.33683199999996</v>
      </c>
      <c r="Q45" s="3">
        <f>1517.4+(79.8-379.4)+(0+(0-0))+0-318.5-0</f>
        <v>899.30000000000018</v>
      </c>
      <c r="R45" s="3">
        <f>1588.8+(109.5-383.5)+(-4.05144+(-0.279225--0.977925))+0-317.9--0.810644999999954</f>
        <v>994.35790499999985</v>
      </c>
      <c r="S45" s="3">
        <f>1588.8+(218.3-364.2)+(0+(0-0))+0-319.7-0</f>
        <v>1123.2</v>
      </c>
      <c r="T45" s="3">
        <f>1590.9+(282.3-349)+(-3.245436+(-0.575892--0.71196))+0-322.8--0.658511999999986</f>
        <v>1198.9491440000002</v>
      </c>
      <c r="U45" s="3">
        <f>1584.7+(235-325.1)+(-4.040985+(-0.59925--0.829005))+0-321.6--0.820079999999953</f>
        <v>1170.0088499999997</v>
      </c>
      <c r="V45" s="3">
        <f>1581.9+(112.4-313.5)+(-2.420307+(-0.171972--0.479655))+0-320--0.489600000000018</f>
        <v>1059.1769760000002</v>
      </c>
      <c r="W45" s="3">
        <f>1588.5+(7.1-362.5)+(-2.430405+(-0.010863--0.554625))+0-320--0.489600000000018</f>
        <v>911.70295699999986</v>
      </c>
      <c r="X45" s="3">
        <f>1597.2+(0-451.9)+(-4.07286+(0--1.152345))+0-317.6--0.809879999999954</f>
        <v>825.58936500000004</v>
      </c>
      <c r="Y45" s="3">
        <f>1599.2+(2-439.9)+(-2.446776+(-0.00306--0.673047))+0-319.2--0.488376000000018</f>
        <v>840.81158700000015</v>
      </c>
      <c r="Z45" s="3">
        <f>1598.4+(53.8-378.1)+(-0.815184+(-0.027438--0.192831))+0-319.6--0.162995999999968</f>
        <v>954.01320500000008</v>
      </c>
      <c r="AA45" s="3">
        <f>1605.8+(99-341.2)+(-3.275832+(-0.20196--0.696048))+0-318.7--0.650147999999986</f>
        <v>1042.7684039999999</v>
      </c>
      <c r="AB45" s="3">
        <f>1615.4+(159.2-306.9)+(-4.11927+(-0.40596--0.782595))+0-318.4--0.811919999999954</f>
        <v>1146.369285</v>
      </c>
      <c r="AC45" s="3">
        <f>1612.7+(214.3-271.7)+(-2.467431+(-0.327879--0.415701))+0-318.1--0.486693000000018</f>
        <v>1235.3070840000003</v>
      </c>
      <c r="AD45">
        <v>999.79999999999984</v>
      </c>
      <c r="AE45" s="3">
        <f>1595+(77.1-356.9)+(0+(0-0))+0-315.4-0</f>
        <v>999.80000000000007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1612.1+(216.4-283.7)+(-3.288684+(-0.441456--0.578748))+0-316.7--0.646067999999986</f>
        <v>1225.5946759999999</v>
      </c>
      <c r="G46" s="3">
        <f>1611.7+(176.6-259)+(-0.821967+(-0.090066--0.13209))+0-320.8--0.163607999999967</f>
        <v>1207.8836650000001</v>
      </c>
      <c r="H46" s="3">
        <f>1613.6+(133.5-251.4)+(-0.822936+(-0.068085--0.128214))+0-319.4--0.162893999999968</f>
        <v>1175.7000869999997</v>
      </c>
      <c r="I46" s="3">
        <f>1614.6+(107.3-267.2)+(-0.823446+(-0.054723--0.136272))+0-319.6--0.162995999999968</f>
        <v>1134.5210989999996</v>
      </c>
      <c r="J46" s="3">
        <f>1525.2+(146.8-257.5)+(-3.111408+(-0.299472--0.5253))+0-320.1--0.653003999999986</f>
        <v>1092.167424</v>
      </c>
      <c r="K46" s="3">
        <f>1461.7+(99.6-229)+(-5.963736+(-0.406368--0.93432))+0-319.2--1.30233599999997</f>
        <v>1008.9665519999999</v>
      </c>
      <c r="L46" s="3">
        <f>1463.7+(3.2-267.7)+(-2.239461+(-0.004896--0.409581))+0-317--0.485010000000018</f>
        <v>880.85023400000011</v>
      </c>
      <c r="M46" s="3">
        <f>1461.5+(15.4-333.9)+(0+(0-0))+0-317.5-0</f>
        <v>825.5</v>
      </c>
      <c r="N46" s="3">
        <f>1459.5+(45.4-361.8)+(0+(0-0))+0-318.8-0</f>
        <v>824.3</v>
      </c>
      <c r="O46" s="3">
        <f>1456.2+(67.8-365.7)+(0.742662+(0.034578-0.186507))+0-318.4-0.162383999999968</f>
        <v>840.32834900000023</v>
      </c>
      <c r="P46" s="3">
        <f>1451.8+(111.2-377.1)+(-2.221254+(-0.170136--0.576963))+0-319.1--0.488223000000018</f>
        <v>865.47379599999988</v>
      </c>
      <c r="Q46" s="3">
        <f>1446.2+(139.9-355.3)+(-2.212686+(-0.214047--0.543609))+0-319.6--0.488988000000019</f>
        <v>909.80586400000004</v>
      </c>
      <c r="R46" s="3">
        <f>1416.9+(226.7-337.5)+(-2.167857+(-0.346851--0.516375))+0-320.3--0.490059000000019</f>
        <v>984.29172600000015</v>
      </c>
      <c r="S46" s="3">
        <f>1207.5+(517.4-303.3)+(-1.23165+(-0.527748--0.309366))+0-318.4--0.324768000000051</f>
        <v>1102.074736</v>
      </c>
      <c r="T46" s="3">
        <f>1188.9+(595.7-287.3)+(0.606339+(0.303807-0.146523))+0-318-0.162179999999968</f>
        <v>1179.9014430000002</v>
      </c>
      <c r="U46" s="3">
        <f>1187.3+(586.3-273.8)+(-1.816569+(-0.897039--0.418914))+0-318.5--0.487305000000018</f>
        <v>1179.4926110000001</v>
      </c>
      <c r="V46" s="3">
        <f>1194.6+(463.2-251.8)+(-2.436984+(-0.944928--0.513672))+0-317.2--0.647087999999986</f>
        <v>1086.5788479999999</v>
      </c>
      <c r="W46" s="3">
        <f>1199.2+(264.7-232)+(-1.834776+(-0.404991--0.35496))+0-318.1--0.486693000000018</f>
        <v>912.40188600000022</v>
      </c>
      <c r="X46" s="3">
        <f>1205.3+(128.3-221.9)+(-2.458812+(-0.261732--0.452676))+0-318.7--0.650147999999986</f>
        <v>791.38228000000004</v>
      </c>
      <c r="Y46" s="3">
        <f>1210.4+(162.4-273.8)+(-0.617304+(-0.082824--0.139638))+0-318.7--0.162536999999968</f>
        <v>779.90204699999981</v>
      </c>
      <c r="Z46" s="3">
        <f>1211.6+(261.8-267.1)+(-3.08958+(-0.66759--0.681105))+0-317.8--0.810389999999954</f>
        <v>886.23432500000001</v>
      </c>
      <c r="AA46" s="3">
        <f>1216.7+(331.5-257.8)+(-1.861551+(-0.507195--0.394434))+0-319.1--0.488223000000018</f>
        <v>969.81391100000008</v>
      </c>
      <c r="AB46" s="3">
        <f>1224.2+(414.3-248.3)+(-1.873026+(-0.633879--0.379899))+0-318--0.486540000000018</f>
        <v>1070.5595340000002</v>
      </c>
      <c r="AC46" s="3">
        <f>1223.5+(485.4-229.1)+(-1.24797+(-0.495108--0.233682))+0-318.9--0.325278000000051</f>
        <v>1159.7158820000002</v>
      </c>
      <c r="AD46">
        <v>932.4</v>
      </c>
      <c r="AE46" s="3">
        <f>1207+(301-262)+(0+(0-0))+0-313.6-0</f>
        <v>932.4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1223.6+(500.3-188.9)+(-1.872108+(-0.765459--0.289017))+0-319--0.488070000000018</f>
        <v>1214.1395200000002</v>
      </c>
      <c r="G47" s="3">
        <f>1224.3+(492-205.3)+(-1.873179+(-0.75276--0.314109))+0-319.8--0.489294000000018</f>
        <v>1189.3774639999999</v>
      </c>
      <c r="H47" s="3">
        <f>1224.9+(488.6-214.7)+(0+(0-0))+0-320.6-0</f>
        <v>1178.2000000000003</v>
      </c>
      <c r="I47" s="3">
        <f>1228+(440.1-211.8)+(-3.1314+(-1.122255--0.54009))+0-320.2--0.816509999999954</f>
        <v>1133.2029449999998</v>
      </c>
      <c r="J47" s="3">
        <f>1180.9+(419.6-188.7)+(1.204518+(0.427992-0.192474))+0-319.6-0.325992000000051</f>
        <v>1093.3140440000002</v>
      </c>
      <c r="K47" s="3">
        <f>1089.4+(392.5-159.9)+(-2.222376+(-0.8007--0.326196))+0-319--0.650759999999986</f>
        <v>1000.95388</v>
      </c>
      <c r="L47" s="3">
        <f>1075.6+(271.8-168.3)+(0.548556+(0.138618-0.085833))+0-317.8-0.162077999999968</f>
        <v>861.73926300000005</v>
      </c>
      <c r="M47" s="3">
        <f>1073.5+(263-226.1)+(0+(0-0))+0-315.9-0</f>
        <v>794.50000000000011</v>
      </c>
      <c r="N47" s="3">
        <f>1072.2+(266.4-249.7)+(-0.546822+(-0.135864--0.127347))+0-317.2--0.161771999999968</f>
        <v>771.30643299999997</v>
      </c>
      <c r="O47" s="3">
        <f>1068.4+(289.9-264.7)+(0+(0-0))+0-319.5-0</f>
        <v>774.10000000000014</v>
      </c>
      <c r="P47" s="3">
        <f>1063.4+(310.8-269.5)+(-0.542334+(-0.158508--0.137445))+0-320--0.163199999999968</f>
        <v>784.29980300000011</v>
      </c>
      <c r="Q47" s="3">
        <f>1060.7+(379.8-285.7)+(0.540957+(0.193698-0.145707))+0-320.4-0.163403999999967</f>
        <v>834.82554400000026</v>
      </c>
      <c r="R47" s="3">
        <f>1056.9+(520.6-307.9)+(-1.078038+(-0.531012--0.314058))+0-318--0.324360000000051</f>
        <v>950.62936800000011</v>
      </c>
      <c r="S47" s="3">
        <f>1056.3+(641.7-307.4)+(-1.077426+(-0.654534--0.313548))+0-319.8--0.326196000000051</f>
        <v>1069.7077839999999</v>
      </c>
      <c r="T47" s="3">
        <f>1053.2+(720.7-274.1)+(-1.611396+(-1.102671--0.419373))+0-319.9--0.489447000000018</f>
        <v>1178.0947530000003</v>
      </c>
      <c r="U47" s="3">
        <f>1049+(710.8-249.1)+(-2.13996+(-1.450032--0.508164))+0-319.9--0.652595999999986</f>
        <v>1188.3707679999998</v>
      </c>
      <c r="V47" s="3">
        <f>1052.5+(595.1-218.4)+(-2.683875+(-1.517505--0.55692))+0-320.8--0.818039999999953</f>
        <v>1105.57358</v>
      </c>
      <c r="W47" s="3">
        <f>1051.6+(422.6-202.9)+(-2.145264+(-0.862104--0.413916))+0-321--0.654839999999986</f>
        <v>948.36138799999992</v>
      </c>
      <c r="X47" s="3">
        <f>1052+(271.3-196.3)+(-2.6826+(-0.691815--0.500565))+0-321--0.818549999999953</f>
        <v>803.94470000000001</v>
      </c>
      <c r="Y47" s="3">
        <f>1054.9+(298.5-246.9)+(-2.151996+(-0.60894--0.503676))+0-321.6--0.656063999999986</f>
        <v>783.2988039999999</v>
      </c>
      <c r="Z47" s="3">
        <f>1060.5+(403.2-226.1)+(-2.704275+(-1.02816--0.576555))+0-321.1--0.818804999999953</f>
        <v>914.16292499999986</v>
      </c>
      <c r="AA47" s="3">
        <f>1063.2+(499.1-242.1)+(-2.71116+(-1.272705--0.617355))+0-322.1--0.821354999999953</f>
        <v>995.55484499999989</v>
      </c>
      <c r="AB47" s="3">
        <f>1063.9+(582.8-221.5)+(-1.085178+(-0.594456--0.22593))+0-320.6--0.327012000000051</f>
        <v>1103.4733079999999</v>
      </c>
      <c r="AC47" s="3">
        <f>1067.1+(647-199.8)+(-1.632663+(-0.98991--0.305694))+0-319.3--0.488529000000018</f>
        <v>1193.17165</v>
      </c>
      <c r="AD47">
        <v>939.80000000000018</v>
      </c>
      <c r="AE47" s="3">
        <f>1061+(437.7-234.6)+(0+(0-0))+0-324.3-0</f>
        <v>939.8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1067.7+(644.4-195.7)+(-2.178108+(-1.314576--0.399228))+0-318.9--0.650555999999986</f>
        <v>1195.0571</v>
      </c>
      <c r="G48" s="3">
        <f>1067.9+(682.2-231.4)+(-2.723145+(-1.73961--0.59007))+0-320.5--0.817274999999953</f>
        <v>1195.1445900000001</v>
      </c>
      <c r="H48" s="3">
        <f>1069.3+(640.3-218.5)+(-2.181372+(-1.306212--0.44574))+0-319.9--0.652595999999986</f>
        <v>1168.8107519999999</v>
      </c>
      <c r="I48" s="3">
        <f>1072.3+(574.9-212)+(-1.640619+(-0.879597--0.32436))+0-320.2--0.489906000000018</f>
        <v>1113.2940499999997</v>
      </c>
      <c r="J48" s="3">
        <f>1071.8+(512.6-192.3)+(-2.186472+(-1.045704--0.392292))+0-319.6--0.651983999999986</f>
        <v>1070.3121000000001</v>
      </c>
      <c r="K48" s="3">
        <f>1073+(412.8-171.7)+(-1.64169+(-0.631584--0.262701))+0-319.4--0.488682000000018</f>
        <v>993.17810899999995</v>
      </c>
      <c r="L48" s="3">
        <f>1075.5+(266-158.8)+(-2.742525+(-0.6783--0.40494))+0-315.9--0.805544999999954</f>
        <v>864.58965999999998</v>
      </c>
      <c r="M48" s="3">
        <f>1072.6+(251.5-206.7)+(1.094052+(0.25653-0.210834))+0-316.4-0.32272800000005</f>
        <v>801.81701999999984</v>
      </c>
      <c r="N48" s="3">
        <f>1071.6+(261.1-232.6)+(-0.546516+(-0.133161--0.118626))+0-317.4--0.161873999999968</f>
        <v>782.30082300000004</v>
      </c>
      <c r="O48" s="3">
        <f>1067.9+(288.2-258.4)+(-1.089258+(-0.293964--0.263568))+0-318--0.324360000000051</f>
        <v>778.90470600000003</v>
      </c>
      <c r="P48" s="3">
        <f>1060.9+(350.5-288.9)+(-2.164236+(-0.71502--0.589356))+0-317.9--0.648515999999986</f>
        <v>802.95861600000001</v>
      </c>
      <c r="Q48" s="3">
        <f>1055.7+(425.1-289.5)+(-1.615221+(-0.650403--0.442935))+0-319--0.488070000000018</f>
        <v>870.96538100000009</v>
      </c>
      <c r="R48" s="3">
        <f>1057.9+(520.2-311.1)+(-2.158116+(-1.061208--0.634644))+0-316.8--0.646271999999986</f>
        <v>948.26159200000006</v>
      </c>
      <c r="S48" s="3">
        <f>1054.4+(684.3-317.3)+(-2.68872+(-1.744965--0.809115))+0-317.2--0.808859999999954</f>
        <v>1101.38429</v>
      </c>
      <c r="T48" s="3">
        <f>1083.6+(737.7-302.6)+(-1.105272+(-0.752454--0.308652))+0-317.6--0.323952000000051</f>
        <v>1199.8748779999999</v>
      </c>
      <c r="U48" s="3">
        <f>1122.4+(684.1-280)+(-2.289696+(-1.395564--0.5712))+0-316.3--0.645251999999986</f>
        <v>1207.731192</v>
      </c>
      <c r="V48" s="3">
        <f>1119.6+(557.7-238.1)+(0+(0-0))+0-318.3-0</f>
        <v>1120.8999999999999</v>
      </c>
      <c r="W48" s="3">
        <f>1123.4+(358.8-224.4)+(-1.718802+(-0.548964--0.343332))+0-318.6--0.487458000000018</f>
        <v>937.7630240000002</v>
      </c>
      <c r="X48" s="3">
        <f>1126.6+(186.3-195.3)+(-2.298264+(-0.380052--0.398412))+0-319.6--0.651983999999986</f>
        <v>796.37207999999987</v>
      </c>
      <c r="Y48" s="3">
        <f>1149.2+(178.6-234.6)+(-2.344368+(-0.364344--0.478584))+0-318.8--0.650351999999986</f>
        <v>772.82022400000017</v>
      </c>
      <c r="Z48" s="3">
        <f>1205.2+(343.3-310.9)+(-1.843956+(-0.525249--0.475677))+0-318.9--0.487917000000018</f>
        <v>917.29438900000014</v>
      </c>
      <c r="AA48" s="3">
        <f>1263.2+(419.3-330.7)+(-2.576928+(-0.855372--0.674628))+0-319--0.650759999999986</f>
        <v>1030.6930880000002</v>
      </c>
      <c r="AB48" s="3">
        <f>1315.8+(466.1-301)+(-1.342116+(-0.475422--0.30702))+0-319.9--0.326298000000051</f>
        <v>1159.8157799999999</v>
      </c>
      <c r="AC48" s="3">
        <f>1306.1+(533.9-258.4)+(-2.664444+(-1.089156--0.527136))+0-319.1--0.650963999999986</f>
        <v>1259.9244999999996</v>
      </c>
      <c r="AD48">
        <v>958.1</v>
      </c>
      <c r="AE48" s="3">
        <f>1200+(396.6-320.1)+(0+(0-0))+0-318.4-0</f>
        <v>958.1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1334.7+(499.5-212.8)+(0+(0-0))+0-317.5-0</f>
        <v>1303.9000000000001</v>
      </c>
      <c r="G49" s="3">
        <f>1417.8+(380.2-197.8)+(-0.723078+(-0.193902--0.100878))+0-318.2--0.162281999999968</f>
        <v>1281.3461799999998</v>
      </c>
      <c r="H49" s="3">
        <f>1426.7+(298.5-180.9)+(-5.093319+(-1.065645--0.645813))+0-318.3--1.136331</f>
        <v>1221.6231799999998</v>
      </c>
      <c r="I49" s="3">
        <f>1428+(245.4-166.6)+(-2.18484+(-0.375462--0.254898))+0-318.2--0.486846000000018</f>
        <v>1186.781442</v>
      </c>
      <c r="J49" s="3">
        <f>1425+(189.8-165.5)+(0+(0-0))+0-318.9-0</f>
        <v>1130.4000000000001</v>
      </c>
      <c r="K49" s="3">
        <f>1422.7+(102.9-165.2)+(-0.725577+(-0.052479--0.084252))+0-317.3--0.161822999999968</f>
        <v>1042.568019</v>
      </c>
      <c r="L49" s="3">
        <f>1459+(0-232)+(-0.74409+(0--0.11832))+0-318.6--0.162485999999968</f>
        <v>907.93671599999982</v>
      </c>
      <c r="M49" s="3">
        <f>1454+(9.3-273.5)+(0.74154+(0.004743-0.139485))+0-318.3-0.162332999999968</f>
        <v>871.94446500000004</v>
      </c>
      <c r="N49" s="3">
        <f>1466.7+(53.6-301.5)+(1.496034+(0.054672-0.30753))+0-318.3-0.324666000000051</f>
        <v>901.41850999999986</v>
      </c>
      <c r="O49" s="3">
        <f>1471+(81.3-305.4)+(0+(0-0))+0-321.6-0</f>
        <v>925.30000000000007</v>
      </c>
      <c r="P49" s="3">
        <f>1227+(241.1-219.4)+(0+(0-0))+0-321.9-0</f>
        <v>926.80000000000007</v>
      </c>
      <c r="Q49" s="3">
        <f>1259.5+(286-257.7)+(0.642345+(0.14586-0.131427))+0-322.9-0.164678999999967</f>
        <v>965.39209900000003</v>
      </c>
      <c r="R49" s="3">
        <f>1388.7+(300.3-316.6)+(1.416474+(0.306306-0.322932))+0-322.6-0.329052000000051</f>
        <v>1050.8707960000002</v>
      </c>
      <c r="S49" s="3">
        <f>1571.2+(317.5-338.6)+(-0.801312+(-0.161925--0.172686))+0-320.3--0.163352999999968</f>
        <v>1229.1728019999998</v>
      </c>
      <c r="T49" s="3">
        <f>1576.1+(383.9-324.7)+(0+(0-0))+0-321-0</f>
        <v>1314.3</v>
      </c>
      <c r="U49" s="3">
        <f>1577.8+(353.5-305.1)+(0+(0-0))+0-318.5-0</f>
        <v>1307.6999999999998</v>
      </c>
      <c r="V49" s="3">
        <f>1599.4+(206.5-280.2)+(-3.262776+(-0.42126--0.571608))+0-321.1--0.655043999999986</f>
        <v>1202.1426160000001</v>
      </c>
      <c r="W49" s="3">
        <f>1607.2+(46-310)+(-3.278688+(-0.09384--0.6324))+0-321.3--0.655451999999986</f>
        <v>1019.8153240000001</v>
      </c>
      <c r="X49" s="3">
        <f>1615.6+(16-411.4)+(-6.591648+(-0.06528--1.678512))+0-320.6--1.30804799999997</f>
        <v>895.92963199999986</v>
      </c>
      <c r="Y49" s="3">
        <f>1624.1+(4-421.6)+(-4.141455+(-0.0102--1.07508))+0-320.5--0.817274999999953</f>
        <v>883.74069999999995</v>
      </c>
      <c r="Z49" s="3">
        <f>1626.5+(88.1-355)+(-2.488545+(-0.134793--0.54315))+0-321--0.491130000000019</f>
        <v>1037.0109420000001</v>
      </c>
      <c r="AA49" s="3">
        <f>1633.5+(158.8-328.6)+(-4.99851+(-0.485928--1.005516))+0-320.4--0.980424000000037</f>
        <v>1139.801502</v>
      </c>
      <c r="AB49" s="3">
        <f>1640.6+(233.1-312.4)+(-1.673412+(-0.237762--0.318648))+0-320.2--0.326604000000051</f>
        <v>1239.8340780000001</v>
      </c>
      <c r="AC49" s="3">
        <f>1642.9+(297.5-291)+(-1.675758+(-0.30345--0.29682))+0-318.5--0.324870000000051</f>
        <v>1329.5424820000003</v>
      </c>
      <c r="AD49">
        <v>1112.5999999999999</v>
      </c>
      <c r="AE49" s="3">
        <f>1623+(138.5-327.5)+(0+(0-0))+0-321.4-0</f>
        <v>1112.5999999999999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1643.8+(294.5-266.3)+(-4.19169+(-0.750975--0.679065))+0-319.9--0.815744999999954</f>
        <v>1348.652145</v>
      </c>
      <c r="G50" s="3">
        <f>1644.7+(243.8-240.4)+(-1.677594+(-0.248676--0.245208))+0-321.9--0.328338000000051</f>
        <v>1324.8472760000002</v>
      </c>
      <c r="H50" s="3">
        <f>1642.2+(192.1-220.7)+(-1.675044+(-0.195942--0.225114))+0-321.2--0.327624000000051</f>
        <v>1291.0817520000001</v>
      </c>
      <c r="I50" s="3">
        <f>1640.7+(139.9-209.1)+(0+(0-0))+0-319.3-0</f>
        <v>1252.2</v>
      </c>
      <c r="J50" s="3">
        <f>1639.6+(87.7-205.9)+(1.672392+(0.089454-0.210018))+0-321.1-0.327522000000051</f>
        <v>1201.5243059999998</v>
      </c>
      <c r="K50" s="3">
        <f>1641.8+(2.2-236.4)+(-4.18659+(-0.00561--0.60282))+0-320.5--0.817274999999953</f>
        <v>1084.3278949999999</v>
      </c>
      <c r="L50" s="3">
        <f>1638.4+(7-393.3)+(-4.17792+(-0.01785--1.002915))+0-318.1--0.811154999999954</f>
        <v>931.61830000000009</v>
      </c>
      <c r="M50" s="3">
        <f>1631.9+(3.5-421.5)+(0+(0-0))+0-315.4-0</f>
        <v>898.50000000000011</v>
      </c>
      <c r="N50" s="3">
        <f>1585.4+(69.7-437.7)+(-1.617108+(-0.071094--0.446454))+0-318.9--0.325278000000051</f>
        <v>897.58353000000022</v>
      </c>
      <c r="O50" s="3">
        <f>1582.8+(142-481.4)+(-3.228912+(-0.28968--0.982056))+0-319.3--0.651371999999986</f>
        <v>922.2148360000001</v>
      </c>
      <c r="P50" s="3">
        <f>1583.9+(168.4-473.1)+(-0.807789+(-0.085884--0.241281))+0-319.6--0.162995999999968</f>
        <v>959.11060400000008</v>
      </c>
      <c r="Q50" s="3">
        <f>1578+(179.7-419.4)+(0+(0-0))+0-318.6-0</f>
        <v>1019.6999999999999</v>
      </c>
      <c r="R50" s="3">
        <f>1570.4+(241.3-370.5)+(-3.203616+(-0.492252--0.75582))+0-320.4--0.653615999999986</f>
        <v>1118.5135680000003</v>
      </c>
      <c r="S50" s="3">
        <f>1565.4+(388.5-348)+(-4.790124+(-1.18881--1.06488))+0-320.2--0.979812000000037</f>
        <v>1281.765758</v>
      </c>
      <c r="T50" s="3">
        <f>1562+(414.1-302.2)+(-3.18648+(-0.844764--0.616488))+0-319.7--0.652187999999986</f>
        <v>1351.4374320000002</v>
      </c>
      <c r="U50" s="3">
        <f>1557.1+(370.6-268.8)+(0+(0-0))+0-319.2-0</f>
        <v>1339.6999999999998</v>
      </c>
      <c r="V50" s="3">
        <f>1574.2+(251.8-268.6)+(-4.01421+(-0.64209--0.68493))+0-319.7--0.815234999999954</f>
        <v>1234.5438650000001</v>
      </c>
      <c r="W50" s="3">
        <f>1670.1+(67-361)+(-4.258755+(-0.17085--0.92055))+0-321.1--0.818804999999953</f>
        <v>1052.3097499999999</v>
      </c>
      <c r="X50" s="3">
        <f>1681.1+(13-384)+(-3.429444+(-0.02652--0.78336))+0-321.1--0.655043999999986</f>
        <v>986.98243999999977</v>
      </c>
      <c r="Y50" s="3">
        <f>1692+(0-496)+(-0.86292+(0--0.25296))+0-321.1--0.163760999999967</f>
        <v>874.453801</v>
      </c>
      <c r="Z50" s="3">
        <f>1695.8+(98.9-421.1)+(-0.864858+(-0.050439--0.214761))+0-321.3--0.163862999999967</f>
        <v>1051.7633269999999</v>
      </c>
      <c r="AA50" s="3">
        <f>1701.1+(140-355.3)+(-0.867561+(-0.0714--0.181203))+0-320.7--0.163556999999967</f>
        <v>1164.5057989999998</v>
      </c>
      <c r="AB50" s="3">
        <f>1704.8+(200.5-320.4)+(-0.869448+(-0.102255--0.163404))+0-320.3--0.163352999999968</f>
        <v>1263.955054</v>
      </c>
      <c r="AC50" s="3">
        <f>1708.2+(255.2-301)+(-4.35591+(-0.65076--0.76755))+0-319--0.813449999999954</f>
        <v>1339.97433</v>
      </c>
      <c r="AD50">
        <v>1118.3</v>
      </c>
      <c r="AE50" s="3">
        <f>1709+(125.1-395)+(0+(0-0))+0-320.8-0</f>
        <v>1118.3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1716.2+(267.2-290.7)+(-1.750524+(-0.272544--0.296514))+0-320.6--0.327012000000051</f>
        <v>1370.700458</v>
      </c>
      <c r="G51" s="3">
        <f>1720+(226.9-295)+(-3.5088+(-0.462876--0.6018))+0-320.5--0.653819999999986</f>
        <v>1328.6839440000001</v>
      </c>
      <c r="H51" s="3">
        <f>1722.6+(210.1-299.8)+(0+(0-0))+0-318.6-0</f>
        <v>1314.2999999999997</v>
      </c>
      <c r="I51" s="3">
        <f>1725.7+(174.8-312.5)+(-4.400535+(-0.44574--0.796875))+0-316.8--0.807839999999954</f>
        <v>1267.9584399999999</v>
      </c>
      <c r="J51" s="3">
        <f>1725.9+(134.9-305)+(-4.401045+(-0.343995--0.77775))+0-317.2--0.808859999999954</f>
        <v>1235.44157</v>
      </c>
      <c r="K51" s="3">
        <f>1723.7+(70-336.8)+(-1.758174+(-0.0714--0.343536))+0-317.7--0.324054000000051</f>
        <v>1138.0380160000002</v>
      </c>
      <c r="L51" s="3">
        <f>1725.8+(0-474.9)+(-6.161106+(0--1.695393))+0-316.7--1.130619</f>
        <v>930.86490600000002</v>
      </c>
      <c r="M51" s="3">
        <f>1722.8+(4.1-493.9)+(2.635884+(0.006273-0.755667))+0-316.6-0.484398000000018</f>
        <v>917.80209200000002</v>
      </c>
      <c r="N51" s="3">
        <f>1710.1+(58.8-549.6)+(1.744302+(0.059976-0.560592))+0-316.9-0.32323800000005</f>
        <v>903.32044799999994</v>
      </c>
      <c r="O51" s="3">
        <f>1737.8+(84.3-581.2)+(-1.772556+(-0.085986--0.592824))+0-319.7--0.326094000000051</f>
        <v>920.26037599999972</v>
      </c>
      <c r="P51" s="3">
        <f>1862.7+(73.9-700.5)+(-2.849931+(-0.113067--1.071765))+0-319.1--0.488223000000018</f>
        <v>915.59698999999989</v>
      </c>
      <c r="Q51" s="3">
        <f>1847.1+(124.1-609)+(0.942021+(0.063291-0.31059))+0-318.8-0.162587999999968</f>
        <v>1043.9321339999999</v>
      </c>
      <c r="R51" s="3">
        <f>1838.7+(161.4-477.3)+(-1.875474+(-0.164628--0.486846))+0-319.1--0.325482000000051</f>
        <v>1202.4722260000001</v>
      </c>
      <c r="S51" s="3">
        <f>1834.9+(231.3-391.6)+(-1.871598+(-0.235926--0.399432))+0-319.3--0.325686000000051</f>
        <v>1353.9175940000002</v>
      </c>
      <c r="T51" s="3">
        <f>1837.9+(265.1-352.7)+(-1.874658+(-0.270402--0.359754))+0-319.2--0.325584000000051</f>
        <v>1429.6402780000003</v>
      </c>
      <c r="U51" s="3">
        <f>1857.8+(205.5-336.7)+(-4.73739+(-0.524025--0.858585))+0-317.5--0.809624999999954</f>
        <v>1405.5067949999998</v>
      </c>
      <c r="V51" s="3">
        <f>1869+(112.5-350.9)+(-1.90638+(-0.11475--0.357918))+0-318.7--0.325074000000051</f>
        <v>1310.561862</v>
      </c>
      <c r="W51" s="3">
        <f>1870.4+(56.7-491)+(-6.677328+(-0.202419--1.75287))+0-319.5--1.140615</f>
        <v>1112.6137380000002</v>
      </c>
      <c r="X51" s="3">
        <f>1876.9+(3-605.7)+(-6.700533+(-0.01071--2.162349))+0-319.7--1.141329</f>
        <v>951.09243500000002</v>
      </c>
      <c r="Y51" s="3">
        <f>1889.4+(0-650.2)+(-1.927188+(0--0.663204))+0-319.1--0.325482000000051</f>
        <v>919.16149800000017</v>
      </c>
      <c r="Z51" s="3">
        <f>1898.3+(82-559.3)+(-2.904399+(-0.12546--0.855729))+0-319.5--0.488835000000018</f>
        <v>1099.814705</v>
      </c>
      <c r="AA51" s="3">
        <f>1905.5+(144.9-503.3)+(-4.859025+(-0.369495--1.283415))+0-320.3--0.816764999999954</f>
        <v>1223.67166</v>
      </c>
      <c r="AB51" s="3">
        <f>1908.1+(177.3-438.9)+(0+(0-0))+0-319.9-0</f>
        <v>1326.6</v>
      </c>
      <c r="AC51" s="3">
        <f>1912.5+(193.3-379.5)+(-5.85225+(-0.591498--1.16127))+0-318.8--0.975528000000037</f>
        <v>1403.1930499999999</v>
      </c>
      <c r="AD51">
        <v>1162.4000000000001</v>
      </c>
      <c r="AE51" s="3">
        <f>1897+(114-524.8)+(0+(0-0))+0-323.8-0</f>
        <v>1162.4000000000001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1911.8+(189.7-355.2)+(0+(0-0))+0-321.9-0</f>
        <v>1424.4</v>
      </c>
      <c r="G52" s="3">
        <f>1913.6+(182.5-410.8)+(-3.903744+(-0.3723--0.838032))+0-320.6--0.654023999999986</f>
        <v>1361.9160119999997</v>
      </c>
      <c r="H52" s="3">
        <f>1912.8+(146.1-403.8)+(-2.926584+(-0.223533--0.617814))+0-320.9--0.490977000000019</f>
        <v>1332.1586739999998</v>
      </c>
      <c r="I52" s="3">
        <f>1915.8+(99.1-397.3)+(-1.954116+(-0.101082--0.405246))+0-320.3--0.326706000000051</f>
        <v>1295.976754</v>
      </c>
      <c r="J52" s="3">
        <f>1917+(90.3-429.3)+(-3.91068+(-0.184212--0.875772))+0-320.1--0.653003999999986</f>
        <v>1255.3338839999999</v>
      </c>
      <c r="K52" s="3">
        <f>1912.8+(45.2-487.2)+(-4.87764+(-0.11526--1.24236))+0-320.5--0.817274999999953</f>
        <v>1147.3667349999998</v>
      </c>
      <c r="L52" s="3">
        <f>1919.2+(0-654.1)+(-1.957584+(0--0.667182))+0-320.1--0.326502000000051</f>
        <v>944.03609999999981</v>
      </c>
      <c r="M52" s="3">
        <f>1919.3+(0-704.1)+(-5.873058+(0--2.154546))+0-317.7--0.972162000000037</f>
        <v>894.75364999999988</v>
      </c>
      <c r="N52" s="3">
        <f>1896.9+(0-654.2)+(1.934838+(0-0.667284))+0-319.8-0.326196000000051</f>
        <v>923.84135800000001</v>
      </c>
      <c r="O52" s="3">
        <f>1877.8+(20.7-632.6)+(0+(0-0))+0-320.4-0</f>
        <v>945.50000000000011</v>
      </c>
      <c r="P52" s="3">
        <f>1861.5+(55.1-601.3)+(-1.89873+(-0.056202--0.613326))+0-317.4--0.323748000000051</f>
        <v>996.88214200000027</v>
      </c>
      <c r="Q52" s="3">
        <f>1847.7+(106-567.2)+(-1.884654+(-0.10812--0.578544))+0-322.2--0.328644000000051</f>
        <v>1063.2144139999998</v>
      </c>
      <c r="R52" s="3">
        <f>1840.3+(146.1-470.9)+(-1.877106+(-0.149022--0.480318))+0-321.8--0.328236000000051</f>
        <v>1192.482426</v>
      </c>
      <c r="S52" s="3">
        <f>1835+(213.4-413.6)+(0+(0-0))+0-320.6-0</f>
        <v>1314.1999999999998</v>
      </c>
      <c r="T52" s="3">
        <f>1829.4+(301.9-405.1)+(0.932994+(0.153969-0.206601))+0-320.4-0.163403999999967</f>
        <v>1406.5169580000002</v>
      </c>
      <c r="U52" s="3">
        <f>1830.6+(308.5-401.4)+(-0.933606+(-0.157335--0.204714))+0-321.1--0.163760999999967</f>
        <v>1415.877534</v>
      </c>
      <c r="V52" s="3">
        <f>1841.1+(182.8-378.8)+(-4.694805+(-0.46614--0.96594))+0-320.8--0.818039999999953</f>
        <v>1320.9230349999998</v>
      </c>
      <c r="W52" s="3">
        <f>1846.7+(78.8-476.2)+(-6.592719+(-0.281316--1.700034))+0-321.9--1.149183</f>
        <v>1123.3751820000002</v>
      </c>
      <c r="X52" s="3">
        <f>1854.5+(0-560.1)+(-3.78318+(0--1.142604))+0-322.7--0.658307999999986</f>
        <v>969.71773200000007</v>
      </c>
      <c r="Y52" s="3">
        <f>1859.6+(0-594.1)+(-4.74198+(0--1.514955))+0-322--0.821099999999953</f>
        <v>941.09407500000009</v>
      </c>
      <c r="Z52" s="3">
        <f>1876.6+(84.5-541.2)+(-2.871198+(-0.129285--0.828036))+0-319.4--0.488682000000018</f>
        <v>1098.816235</v>
      </c>
      <c r="AA52" s="3">
        <f>1904.9+(116.1-478.3)+(0+(0-0))+0-321.4-0</f>
        <v>1221.3000000000002</v>
      </c>
      <c r="AB52" s="3">
        <f>1829.3+(183.9-377.2)+(-0.932943+(-0.093789--0.192372))+0-320.2--0.163301999999968</f>
        <v>1315.1289419999998</v>
      </c>
      <c r="AC52" s="3">
        <f>1796.8+(248.6-341.1)+(-0.916368+(-0.126786--0.173961))+0-320.6--0.163505999999967</f>
        <v>1382.9943129999997</v>
      </c>
      <c r="AD52">
        <v>1161.8</v>
      </c>
      <c r="AE52" s="3">
        <f>1885+(105.9-505.9)+(0+(0-0))+0-323.2-0</f>
        <v>1161.8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1802.2+(247.8-333.5)+(-0.919122+(-0.126378--0.170085))+0-317.1--0.161720999999968</f>
        <v>1398.6863060000001</v>
      </c>
      <c r="G53" s="3">
        <f>1803.7+(219-317.2)+(-2.759661+(-0.33507--0.485316))+0-317.8--0.486234000000018</f>
        <v>1385.5768190000001</v>
      </c>
      <c r="H53" s="3">
        <f>1805.6+(169.9-298.9)+(-4.60428+(-0.433245--0.762195))+0-319.2--0.813959999999954</f>
        <v>1353.9386299999999</v>
      </c>
      <c r="I53" s="3">
        <f>1768.9+(176-311.8)+(-4.510695+(-0.4488--0.79509))+0-320--0.815999999999954</f>
        <v>1309.7515950000002</v>
      </c>
      <c r="J53" s="3">
        <f>1764.1+(122.1-300.4)+(0.899691+(0.062271-0.153204))+0-319.8-0.163097999999968</f>
        <v>1266.6456599999999</v>
      </c>
      <c r="K53" s="3">
        <f>1838.6+(19.6-359.9)+(-0.937686+(-0.009996--0.183549))+0-317.8--0.162077999999968</f>
        <v>1179.8979450000002</v>
      </c>
      <c r="L53" s="3">
        <f>1736.1+(0-427.2)+(-3.541644+(0--0.871488))+0-316--0.644639999999986</f>
        <v>990.87448399999994</v>
      </c>
      <c r="M53" s="3">
        <f>1686.1+(22-460.5)+(1.719822+(0.02244-0.46971))+0-315.1-0.32140200000005</f>
        <v>933.45114999999976</v>
      </c>
      <c r="N53" s="3">
        <f>1676.2+(87.3-502.7)+(1.709724+(0.089046-0.512754))+0-319.2-0.325584000000051</f>
        <v>942.56043200000011</v>
      </c>
      <c r="O53" s="3">
        <f>1657+(168.3-549.5)+(0.84507+(0.085833-0.280245))+0-320.6-0.163505999999967</f>
        <v>955.68715199999997</v>
      </c>
      <c r="P53" s="3">
        <f>1639.6+(215.4-553.6)+(-0.836196+(-0.109854--0.282336))+0-321.1--0.163760999999967</f>
        <v>979.80004699999984</v>
      </c>
      <c r="Q53" s="3">
        <f>1629.6+(270.4-527.2)+(-2.493288+(-0.413712--0.806616))+0-322.8--0.493884000000019</f>
        <v>1048.3934999999997</v>
      </c>
      <c r="R53" s="3">
        <f>1617.4+(291.5-417.7)+(-1.649748+(-0.29733--0.426054))+0-321.5--0.327930000000051</f>
        <v>1168.5069060000003</v>
      </c>
      <c r="S53" s="3">
        <f>1611.9+(386.3-363.6)+(-1.644138+(-0.394026--0.370872))+0-320.4--0.326808000000051</f>
        <v>1312.8595160000002</v>
      </c>
      <c r="T53" s="3">
        <f>1617.1+(458.5-361.5)+(-0.824721+(-0.233835--0.184365))+0-320.8--0.163607999999967</f>
        <v>1392.5894169999999</v>
      </c>
      <c r="U53" s="3">
        <f>1620.6+(433-340.7)+(-4.13253+(-1.10415--0.868785))+0-319.5--0.814724999999954</f>
        <v>1389.8468299999997</v>
      </c>
      <c r="V53" s="3">
        <f>1624.2+(307-327.7)+(-0.828342+(-0.15657--0.167127))+0-321.7--0.164066999999967</f>
        <v>1281.1462819999999</v>
      </c>
      <c r="W53" s="3">
        <f>1629+(205.3-416.6)+(-5.81553+(-0.732921--1.487262))+0-323.4--1.154538</f>
        <v>1090.3933490000002</v>
      </c>
      <c r="X53" s="3">
        <f>1638.9+(125.4-526.7)+(-3.343356+(-0.255816--1.074468))+0-322.6--0.658103999999986</f>
        <v>913.13339999999994</v>
      </c>
      <c r="Y53" s="3">
        <f>1642.9+(119.8-556.6)+(-3.351516+(-0.244392--1.135464))+0-320.9--0.654635999999986</f>
        <v>883.39419200000009</v>
      </c>
      <c r="Z53" s="3">
        <f>1652.6+(241-528.1)+(-2.528478+(-0.36873--0.807993))+0-320.9--0.490977000000019</f>
        <v>1043.0017619999999</v>
      </c>
      <c r="AA53" s="3">
        <f>1667.1+(273.4-469.2)+(-3.400884+(-0.557736--0.957168))+0-322--0.656879999999986</f>
        <v>1146.955428</v>
      </c>
      <c r="AB53" s="3">
        <f>1681.3+(290.2-412.1)+(-1.714926+(-0.296004--0.420342))+0-321.3--0.327726000000051</f>
        <v>1236.8371379999999</v>
      </c>
      <c r="AC53" s="3">
        <f>1678.7+(331.2-367.8)+(-3.424548+(-0.675648--0.750312))+0-320.8--0.654431999999986</f>
        <v>1318.604548</v>
      </c>
      <c r="AD53">
        <v>1108.8999999999999</v>
      </c>
      <c r="AE53" s="3">
        <f>1660+(267.1-496.2)+(0+(0-0))+0-322-0</f>
        <v>1108.9000000000001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1677.6+(394.9-410.5)+(-2.566728+(-0.604197--0.628065))+0-321.3--0.491589000000019</f>
        <v>1338.648729</v>
      </c>
      <c r="G54" s="3">
        <f>1680.6+(373.2-392)+(-2.571318+(-0.570996--0.59976))+0-322.9--0.494037000000019</f>
        <v>1336.8514829999999</v>
      </c>
      <c r="H54" s="3">
        <f>1685.2+(325.3-376.1)+(-3.437808+(-0.663612--0.767244))+0-322.2--0.657287999999986</f>
        <v>1309.5231119999999</v>
      </c>
      <c r="I54" s="3">
        <f>1689.1+(310.8-386.7)+(0+(0-0))+0-320.9-0</f>
        <v>1292.2999999999997</v>
      </c>
      <c r="J54" s="3">
        <f>1687+(251-378.2)+(-1.72074+(-0.25602--0.385764))+0-321--0.327420000000051</f>
        <v>1237.5364240000001</v>
      </c>
      <c r="K54" s="3">
        <f>1689.8+(162.3-378)+(0+(0-0))+0-323.7-0</f>
        <v>1150.3999999999999</v>
      </c>
      <c r="L54" s="3">
        <f>1695.1+(87.2-458)+(-4.322505+(-0.22236--1.1679))+0-320.3--0.816764999999954</f>
        <v>1001.4398</v>
      </c>
      <c r="M54" s="3">
        <f>1689.1+(51.8-484.4)+(1.722882+(0.052836-0.494088))+0-316.2-0.32252400000005</f>
        <v>941.25910599999986</v>
      </c>
      <c r="N54" s="3">
        <f>1677.1+(61.6-511.3)+(0.855321+(0.031416-0.260763))+0-316.6-0.161465999999968</f>
        <v>911.26450799999986</v>
      </c>
      <c r="O54" s="3">
        <f>1660.5+(111-560.3)+(-1.69371+(-0.11322--0.571506))+0-317.5--0.323850000000051</f>
        <v>892.78842600000019</v>
      </c>
      <c r="P54" s="3">
        <f>1421.1+(248.5-449)+(-0.724761+(-0.126735--0.22899))+0-316.7--0.161516999999968</f>
        <v>903.43901099999994</v>
      </c>
      <c r="Q54" s="3">
        <f>1396.5+(333.6-442.1)+(1.42443+(0.340272-0.450942))+0-318-0.324360000000051</f>
        <v>970.98939999999993</v>
      </c>
      <c r="R54" s="3">
        <f>1387.6+(463.2-450.9)+(2.830704+(0.944928-0.919836))+0-318.5-0.649739999999986</f>
        <v>1083.6060559999999</v>
      </c>
      <c r="S54" s="3">
        <f>1380.6+(578.4-414.6)+(-0.704106+(-0.294984--0.211446))+0-318.4--0.162383999999968</f>
        <v>1225.37474</v>
      </c>
      <c r="T54" s="3">
        <f>1380.9+(652-389.6)+(-3.521295+(-1.6626--0.99348))+0-317.7--0.810134999999954</f>
        <v>1322.2197200000001</v>
      </c>
      <c r="U54" s="3">
        <f>1379.7+(644.3-353.9)+(-2.814588+(-1.314372--0.721956))+0-318--0.648719999999986</f>
        <v>1349.3417159999999</v>
      </c>
      <c r="V54" s="3">
        <f>1388.2+(528.6-347.5)+(-2.123946+(-0.808758--0.531675))+0-318.2--0.486846000000018</f>
        <v>1249.185817</v>
      </c>
      <c r="W54" s="3">
        <f>1491+(254.7-374.1)+(-4.56246+(-0.779382--1.144746))+0-319.4--0.977364000000037</f>
        <v>1048.980268</v>
      </c>
      <c r="X54" s="3">
        <f>1521.7+(94-417.1)+(-3.880335+(-0.2397--1.063605))+0-319--0.813449999999954</f>
        <v>877.35701999999981</v>
      </c>
      <c r="Y54" s="3">
        <f>1532.7+(112.7-465.5)+(0+(0-0))+0-319.6-0</f>
        <v>860.30000000000007</v>
      </c>
      <c r="Z54" s="3">
        <f>1539.6+(243-434.4)+(-3.140784+(-0.49572--0.886176))+0-319.3--0.651371999999986</f>
        <v>1026.8010439999998</v>
      </c>
      <c r="AA54" s="3">
        <f>1559.9+(320.9-414)+(-2.386647+(-0.490977--0.63342))+0-318.7--0.487611000000018</f>
        <v>1146.3434070000001</v>
      </c>
      <c r="AB54" s="3">
        <f>1659.7+(348-426)+(0+(0-0))+0-319.5-0</f>
        <v>1262.2</v>
      </c>
      <c r="AC54" s="3">
        <f>1764.4+(324.4-417.2)+(-1.799688+(-0.330888--0.425544))+0-318.1--0.324462000000051</f>
        <v>1352.1194300000002</v>
      </c>
      <c r="AD54">
        <v>1156.5999999999999</v>
      </c>
      <c r="AE54" s="3">
        <f>1615+(279.9-419.9)+(0+(0-0))+0-318.4-0</f>
        <v>1156.5999999999999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1808+(309.2-413.2)+(-2.76624+(-0.473076--0.632196))+0-317.2--0.485316000000018</f>
        <v>1384.6781960000001</v>
      </c>
      <c r="G55" s="3">
        <f>1806.9+(277.2-393.6)+(-4.607595+(-0.70686--1.00368))+0-316.9--0.808094999999954</f>
        <v>1370.0973199999999</v>
      </c>
      <c r="H55" s="3">
        <f>1807.5+(221.7-380.3)+(0.921825+(0.113067-0.193953))+0-318-0.162179999999968</f>
        <v>1331.578759</v>
      </c>
      <c r="I55" s="3">
        <f>1808.7+(166.8-362.8)+(-3.689748+(-0.340272--0.740112))+0-318.1--0.648923999999986</f>
        <v>1291.9590160000002</v>
      </c>
      <c r="J55" s="3">
        <f>1805.9+(143.7-378.9)+(-2.763027+(-0.219861--0.579717))+0-317.3--0.485469000000018</f>
        <v>1251.4822980000001</v>
      </c>
      <c r="K55" s="3">
        <f>1804.6+(70.6-400.9)+(-3.681384+(-0.144024--0.817836))+0-316.3--0.645251999999986</f>
        <v>1155.63768</v>
      </c>
      <c r="L55" s="3">
        <f>1812.7+(4-519.5)+(-4.622385+(-0.0102--1.324725))+0-316.7--0.807584999999954</f>
        <v>977.99972500000001</v>
      </c>
      <c r="M55" s="3">
        <f>1809.4+(18.1-585.9)+(0+(0-0))+0-318.1-0</f>
        <v>923.50000000000011</v>
      </c>
      <c r="N55" s="3">
        <f>1758.9+(73.1-575.5)+(-4.485195+(-0.186405--1.467525))+0-320.4--0.817019999999953</f>
        <v>933.71294499999988</v>
      </c>
      <c r="O55" s="3">
        <f>1647.1+(172.3-562.9)+(-2.520063+(-0.263619--0.861237))+0-321--0.491130000000019</f>
        <v>934.06868500000007</v>
      </c>
      <c r="P55" s="3">
        <f>1662.9+(233-669)+(-1.696158+(-0.23766--0.68238))+0-322--0.328440000000051</f>
        <v>903.97700200000008</v>
      </c>
      <c r="Q55" s="3">
        <f>1661.7+(269.4-560.9)+(0+(0-0))+0-320.4-0</f>
        <v>1049.8000000000002</v>
      </c>
      <c r="R55" s="3">
        <f>1655.6+(351.6-492.3)+(-2.533068+(-0.537948--0.753219))+0-321.5--0.491895000000019</f>
        <v>1191.574098</v>
      </c>
      <c r="S55" s="3">
        <f>1651.4+(510.3-461.1)+(-3.368856+(-1.041012--0.940644))+0-321.4--0.655655999999986</f>
        <v>1376.3864320000002</v>
      </c>
      <c r="T55" s="3">
        <f>1649.3+(597.7-449)+(-3.364572+(-1.219308--0.91596))+0-321--0.654839999999986</f>
        <v>1473.9869199999998</v>
      </c>
      <c r="U55" s="3">
        <f>1649.7+(570.9-443.6)+(-0.841347+(-0.291159--0.226236))+0-320--0.163199999999968</f>
        <v>1456.25693</v>
      </c>
      <c r="V55" s="3">
        <f>1646.7+(441.6-417)+(0+(0-0))+0-323-0</f>
        <v>1348.3000000000002</v>
      </c>
      <c r="W55" s="3">
        <f>1693.5+(259.9-468.3)+(-5.18211+(-0.795294--1.432998))+0-318.6--0.974916000000037</f>
        <v>1162.9305100000001</v>
      </c>
      <c r="X55" s="3">
        <f>1774.2+(123.8-603.1)+(-8.143578+(-0.568242--2.768229))+0-321.4--1.47522600000006</f>
        <v>969.03163500000016</v>
      </c>
      <c r="Y55" s="3">
        <f>1785+(31-583.7)+(-1.8207+(-0.03162--0.595374))+0-321.4--0.327828000000051</f>
        <v>909.97088200000007</v>
      </c>
      <c r="Z55" s="3">
        <f>1803.6+(185-586.1)+(-2.759508+(-0.28305--0.896733))+0-321.4--0.491742000000019</f>
        <v>1079.4459169999998</v>
      </c>
      <c r="AA55" s="3">
        <f>1817.5+(254.1-524.1)+(-2.780775+(-0.388773--0.801873))+0-320--0.489600000000018</f>
        <v>1225.6219250000001</v>
      </c>
      <c r="AB55" s="3">
        <f>1814.1+(259.9-419.3)+(-0.925191+(-0.132549--0.213843))+0-321.8--0.164117999999967</f>
        <v>1332.2202209999998</v>
      </c>
      <c r="AC55" s="3">
        <f>1812.4+(293.3-365)+(-1.848648+(-0.299166--0.3723))+0-320.4--0.326808000000051</f>
        <v>1418.8512940000003</v>
      </c>
      <c r="AD55">
        <v>1130.8000000000002</v>
      </c>
      <c r="AE55" s="3">
        <f>1810+(216.9-575.3)+(0+(0-0))+0-320.8-0</f>
        <v>1130.8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1813.3+(260.8-348.1)+(-1.849566+(-0.266016--0.355062))+0-319.5--0.325890000000051</f>
        <v>1405.06537</v>
      </c>
      <c r="G56" s="3">
        <f>1811.4+(247.3-357)+(-5.542884+(-0.756738--1.09242))+0-319.7--0.978282000000037</f>
        <v>1377.77108</v>
      </c>
      <c r="H56" s="3">
        <f>1813.9+(208.1-355.6)+(-2.775267+(-0.318393--0.544068))+0-321.4--0.491742000000019</f>
        <v>1342.9421500000001</v>
      </c>
      <c r="I56" s="3">
        <f>1822.2+(186.8-381.9)+(-1.858644+(-0.190536--0.389538))+0-320.2--0.326604000000051</f>
        <v>1305.5669620000001</v>
      </c>
      <c r="J56" s="3">
        <f>1821.2+(136.7-375.1)+(-3.715248+(-0.278868--0.765204))+0-318.4--0.649535999999986</f>
        <v>1261.820624</v>
      </c>
      <c r="K56" s="3">
        <f>1824+(36.3-373.8)+(-6.51168+(-0.129591--1.334466))+0-318.9--1.138473</f>
        <v>1163.4316680000002</v>
      </c>
      <c r="L56" s="3">
        <f>1824.7+(0-524.8)+(-1.861194+(0--0.535296))+0-318.1--0.324462000000051</f>
        <v>980.79856400000006</v>
      </c>
      <c r="M56" s="3">
        <f>1824.3+(0-582.2)+(0.930393+(0-0.296922))+0-316.5-0.161414999999968</f>
        <v>926.07205600000009</v>
      </c>
      <c r="N56" s="3">
        <f>1811.6+(4-568.1)+(1.847832+(0.00408-0.579462))+0-318.4-0.324768000000051</f>
        <v>930.0476819999999</v>
      </c>
      <c r="O56" s="3">
        <f>1799+(23.5-554.5)+(2.75247+(0.035955-0.848385))+0-320-0.489600000000018</f>
        <v>949.45043999999996</v>
      </c>
      <c r="P56" s="3">
        <f>1772.4+(58.5-523.6)+(0.903924+(0.029835-0.267036))+0-317.8-0.162077999999968</f>
        <v>990.00464500000032</v>
      </c>
      <c r="Q56" s="3">
        <f>1774.5+(103.6-502.8)+(-2.714985+(-0.158508--0.769284))+0-320.2--0.489906000000018</f>
        <v>1053.4856969999998</v>
      </c>
      <c r="R56" s="3">
        <f>1767.2+(235.9-480.5)+(2.703816+(0.360927-0.735165))+0-319.9-0.489447000000018</f>
        <v>1204.5401310000002</v>
      </c>
      <c r="S56" s="3">
        <f>1762.1+(403.8-476.3)+(-1.797342+(-0.411876--0.485826))+0-318.6--0.324972000000051</f>
        <v>1369.6015799999998</v>
      </c>
      <c r="T56" s="3">
        <f>1755.5+(485.5-447.8)+(-0.895305+(-0.247605--0.228378))+0-319.4--0.162893999999968</f>
        <v>1473.048362</v>
      </c>
      <c r="U56" s="3">
        <f>1754+(467.8-434.8)+(-3.57816+(-0.954312--0.886992))+0-320.7--0.654227999999986</f>
        <v>1463.3087479999999</v>
      </c>
      <c r="V56" s="3">
        <f>1753.3+(315.4-411.1)+(-1.788366+(-0.321708--0.419322))+0-321.8--0.328236000000051</f>
        <v>1334.437484</v>
      </c>
      <c r="W56" s="3">
        <f>1760.3+(144.7-433.8)+(-5.386518+(-0.442782--1.327428))+0-322.5--0.986850000000037</f>
        <v>1145.1849779999998</v>
      </c>
      <c r="X56" s="3">
        <f>1769.6+(61.1-529.8)+(-3.609984+(-0.124644--1.080792))+0-320--0.652799999999986</f>
        <v>978.89896400000009</v>
      </c>
      <c r="Y56" s="3">
        <f>1789.1+(63.1-593.9)+(-0.912441+(-0.032181--0.302889))+0-322--0.164219999999967</f>
        <v>935.82248700000002</v>
      </c>
      <c r="Z56" s="3">
        <f>1810.5+(148.5-519.1)+(-1.84671+(-0.15147--0.529482))+0-322--0.328440000000051</f>
        <v>1116.7597420000002</v>
      </c>
      <c r="AA56" s="3">
        <f>1815.1+(191.8-439.9)+(-2.777103+(-0.293454--0.673047))+0-321.7--0.492201000000019</f>
        <v>1243.394691</v>
      </c>
      <c r="AB56" s="3">
        <f>1816.1+(278.2-420.6)+(0+(0-0))+0-320.8-0</f>
        <v>1352.8999999999999</v>
      </c>
      <c r="AC56" s="3">
        <f>1820.9+(343.1-396.4)+(-2.785977+(-0.524943--0.606492))+0-322.1--0.492813000000019</f>
        <v>1443.2883850000001</v>
      </c>
      <c r="AD56">
        <v>1141</v>
      </c>
      <c r="AE56" s="3">
        <f>1805+(153.9-495.3)+(0+(0-0))+0-322.6-0</f>
        <v>1141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1822.5+(326.9-419.1)+(-4.647375+(-0.833595--1.068705))+0-320.9--0.818294999999953</f>
        <v>1405.8060300000002</v>
      </c>
      <c r="G57" s="3">
        <f>1820.3+(300.3-392.7)+(-4.641765+(-0.765765--1.001385))+0-320.3--0.816764999999954</f>
        <v>1404.0106200000002</v>
      </c>
      <c r="H57" s="3">
        <f>1821.8+(241.7-385.9)+(-4.64559+(-0.616335--0.984045))+0-322.3--0.821864999999953</f>
        <v>1351.8439849999997</v>
      </c>
      <c r="I57" s="3">
        <f>1821.9+(189.9-353.6)+(-1.858338+(-0.193698--0.360672))+0-320.3--0.326706000000051</f>
        <v>1336.5353420000001</v>
      </c>
      <c r="J57" s="3">
        <f>1821.3+(160.4-373.6)+(-0.928863+(-0.081804--0.190536))+0-319.2--0.162791999999968</f>
        <v>1288.242661</v>
      </c>
      <c r="K57" s="3">
        <f>1821.4+(53.3-372.2)+(-2.786742+(-0.081549--0.569466))+0-318.7--0.487611000000018</f>
        <v>1181.9887859999999</v>
      </c>
      <c r="L57" s="3">
        <f>1824.7+(0-478.4)+(-1.861194+(0--0.487968))+0-321.9--0.328338000000051</f>
        <v>1023.3551120000003</v>
      </c>
      <c r="M57" s="3">
        <f>1817.3+(24.1-518.2)+(0+(0-0))+0-320.6-0</f>
        <v>1002.5999999999998</v>
      </c>
      <c r="N57" s="3">
        <f>1800.9+(67.2-519.5)+(1.836918+(0.068544-0.52989))+0-320.7-0.327114000000051</f>
        <v>1028.9484580000001</v>
      </c>
      <c r="O57" s="3">
        <f>1704.9+(163.2-580)+(0+(0-0))+0-323.4-0</f>
        <v>964.70000000000016</v>
      </c>
      <c r="P57" s="3">
        <f>1691.8+(224.2-552.2)+(0+(0-0))+0-322.4-0</f>
        <v>1041.4000000000001</v>
      </c>
      <c r="Q57" s="3">
        <f>1681.1+(283.6-497)+(0.857361+(0.144636-0.25347))+0-323.5-0.164984999999967</f>
        <v>1144.7835419999999</v>
      </c>
      <c r="R57" s="3">
        <f>1679.4+(338.8-456.4)+(-2.569482+(-0.518364--0.698292))+0-323.5--0.494955000000019</f>
        <v>1236.4054010000002</v>
      </c>
      <c r="S57" s="3">
        <f>1705.5+(470.9-454.8)+(-0.869805+(-0.240159--0.231948))+0-322--0.164219999999967</f>
        <v>1398.8862039999999</v>
      </c>
      <c r="T57" s="3">
        <f>1762.4+(480.1-444.2)+(-5.392944+(-1.469106--1.359252))+0-322.1--0.985626000000037</f>
        <v>1471.6828280000004</v>
      </c>
      <c r="U57" s="3">
        <f>1766.5+(438.5-430.3)+(-5.40549+(-1.34181--1.316718))+0-321.8--0.984708000000037</f>
        <v>1448.4541260000001</v>
      </c>
      <c r="V57" s="3">
        <f>1772.1+(321.4-411.8)+(-6.326397+(-1.147398--1.470126))+0-321.5--1.147755</f>
        <v>1355.3440859999998</v>
      </c>
      <c r="W57" s="3">
        <f>1778.8+(171.5-461.5)+(-7.257504+(-0.69972--1.88292))+0-323.3--1.31906399999997</f>
        <v>1160.74476</v>
      </c>
      <c r="X57" s="3">
        <f>1789+(66.2-550.5)+(-6.38673+(-0.236334--1.965285))+0-323.8--1.155966</f>
        <v>977.39818700000023</v>
      </c>
      <c r="Y57" s="3">
        <f>1799.7+(35.9-579.2)+(-3.671388+(-0.073236--1.181568))+0-323--0.658919999999986</f>
        <v>931.4958640000001</v>
      </c>
      <c r="Z57" s="3">
        <f>1809.6+(136.5-522)+(-5.537376+(-0.41769--1.59732))+0-322.7--0.987462000000037</f>
        <v>1098.029716</v>
      </c>
      <c r="AA57" s="3">
        <f>1821.6+(198.9-463.7)+(-3.716064+(-0.405756--0.945948))+0-321.6--0.656063999999986</f>
        <v>1232.680192</v>
      </c>
      <c r="AB57" s="3">
        <f>1826.4+(245.8-426.1)+(-3.725856+(-0.501432--0.869244))+0-322.1--0.657083999999986</f>
        <v>1321.2990399999999</v>
      </c>
      <c r="AC57" s="3">
        <f>1832.9+(303.9-403.5)+(-2.804337+(-0.464967--0.617355))+0-320.1--0.489753000000019</f>
        <v>1411.0378040000003</v>
      </c>
      <c r="AD57">
        <v>1216</v>
      </c>
      <c r="AE57" s="3">
        <f>1817+(207-486)+(0+(0-0))+0-322-0</f>
        <v>1216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1835.7+(307.3-385.1)+(-1.872414+(-0.313446--0.392802))+0-322.1--0.328542000000051</f>
        <v>1434.335484</v>
      </c>
      <c r="G58" s="3">
        <f>1836.5+(310.5-412.4)+(-3.74646+(-0.63342--0.841296))+0-322.1--0.657083999999986</f>
        <v>1409.6185</v>
      </c>
      <c r="H58" s="3">
        <f>1843.3+(254.7-400.3)+(-1.880166+(-0.259794--0.408306))+0-323--0.329460000000051</f>
        <v>1373.297806</v>
      </c>
      <c r="I58" s="3">
        <f>1841.5+(200.2-386.8)+(-3.75666+(-0.408408--0.789072))+0-322.8--0.658511999999986</f>
        <v>1329.3825160000001</v>
      </c>
      <c r="J58" s="3">
        <f>1839.3+(152.5-368.9)+(-2.814129+(-0.233325--0.564417))+0-325.1--0.497403000000019</f>
        <v>1295.8143660000003</v>
      </c>
      <c r="K58" s="3">
        <f>1844.6+(55-377.3)+(-5.644476+(-0.1683--1.154538))+0-322.4--0.986544000000037</f>
        <v>1196.2283060000002</v>
      </c>
      <c r="L58" s="3">
        <f>1843.5+(1-489.5)+(-4.700925+(-0.00255--1.248225))+0-320.2--0.816509999999954</f>
        <v>1032.1612599999999</v>
      </c>
      <c r="M58" s="3">
        <f>1837+(4.1-539.8)+(-0.93687+(-0.002091--0.275298))+0-319.2--0.162791999999968</f>
        <v>981.59912900000006</v>
      </c>
      <c r="N58" s="3">
        <f>1826.1+(45.5-556.4)+(0+(0-0))+0-322.7-0</f>
        <v>992.49999999999977</v>
      </c>
      <c r="O58" s="3">
        <f>1814.4+(110.5-593.4)+(-0.925344+(-0.056355--0.302634))+0-323--0.164729999999967</f>
        <v>1007.9856649999999</v>
      </c>
      <c r="P58" s="3">
        <f>1804.4+(155.2-584.5)+(0.920244+(0.079152-0.298095))+0-321.7-0.164066999999967</f>
        <v>1053.9372340000002</v>
      </c>
      <c r="Q58" s="3">
        <f>1797.6+(211.8-521.4)+(1.833552+(0.216036-0.531828))+0-323.5-0.329970000000052</f>
        <v>1165.6877899999999</v>
      </c>
      <c r="R58" s="3">
        <f>1789+(317.8-490.5)+(-1.82478+(-0.324156--0.50031))+0-323.8--0.330276000000052</f>
        <v>1291.1816500000002</v>
      </c>
      <c r="S58" s="3">
        <f>1781.8+(486.9-472.7)+(-4.54359+(-1.241595--1.205385))+0-322.6--0.822629999999953</f>
        <v>1469.64283</v>
      </c>
      <c r="T58" s="3">
        <f>1774.4+(548.5-450.4)+(0+(0-0))+0-323.9-0</f>
        <v>1548.6</v>
      </c>
      <c r="U58" s="3">
        <f>1770.1+(534.3-432.8)+(-2.708253+(-0.817479--0.662184))+0-324.9--0.497097000000019</f>
        <v>1544.3335489999999</v>
      </c>
      <c r="V58" s="3">
        <f>1767.9+(396.3-416.4)+(-1.803258+(-0.404226--0.424728))+0-324--0.330480000000052</f>
        <v>1422.3477240000002</v>
      </c>
      <c r="W58" s="3">
        <f>1774.1+(168.9-413.7)+(-5.428746+(-0.516834--1.265922))+0-324.4--0.992664000000037</f>
        <v>1201.2130060000002</v>
      </c>
      <c r="X58" s="3">
        <f>1782.6+(69.3-505.5)+(-5.454756+(-0.212058--1.54683))+0-323.3--0.989298000000037</f>
        <v>1019.9693140000001</v>
      </c>
      <c r="Y58" s="3">
        <f>1795.6+(98.4-588)+(-2.747268+(-0.150552--0.89964))+0-323.4--0.494802000000019</f>
        <v>981.09662200000002</v>
      </c>
      <c r="Z58" s="3">
        <f>1800.1+(187.4-482)+(-3.672204+(-0.382296--0.98328))+0-324.3--0.661571999999986</f>
        <v>1178.790352</v>
      </c>
      <c r="AA58" s="3">
        <f>1819.7+(291.6-460.3)+(-4.640235+(-0.74358--1.173765))+0-323.4--0.824669999999953</f>
        <v>1324.2146200000002</v>
      </c>
      <c r="AB58" s="3">
        <f>1827.8+(370.3-453.2)+(0+(0-0))+0-322.4-0</f>
        <v>1422.5</v>
      </c>
      <c r="AC58" s="3">
        <f>1827.3+(422.2-429.9)+(-3.727692+(-0.861288--0.876996))+0-320.9--0.654635999999986</f>
        <v>1495.6426519999998</v>
      </c>
      <c r="AD58">
        <v>1256.2</v>
      </c>
      <c r="AE58" s="3">
        <f>1810+(245.9-476.5)+(0+(0-0))+0-323.2-0</f>
        <v>1256.2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1790.4+(428.4-426)+(-3.652416+(-0.873936--0.86904))+0-321.8--0.656471999999986</f>
        <v>1467.9991600000001</v>
      </c>
      <c r="G59" s="3">
        <f>1794.8+(398.3-414.1)+(-1.830696+(-0.406266--0.422382))+0-322.2--0.328644000000051</f>
        <v>1455.3140639999999</v>
      </c>
      <c r="H59" s="3">
        <f>1794.1+(362.2-405.8)+(-0.914991+(-0.184722--0.206958))+0-323.2--0.164831999999967</f>
        <v>1426.5720769999998</v>
      </c>
      <c r="I59" s="3">
        <f>1788.9+(323-392.6)+(-1.824678+(-0.32946--0.400452))+0-323.3--0.329766000000052</f>
        <v>1394.5760800000003</v>
      </c>
      <c r="J59" s="3">
        <f>1783.3+(266.1-382.1)+(0+(0-0))+0-324.8-0</f>
        <v>1342.5</v>
      </c>
      <c r="K59" s="3">
        <f>1776.4+(145-359.8)+(-3.623856+(-0.2958--0.733992))+0-322.4--0.657695999999986</f>
        <v>1236.6720320000002</v>
      </c>
      <c r="L59" s="3">
        <f>1778.9+(36.7-410)+(-4.536195+(-0.093585--1.0455))+0-319.7--0.815234999999954</f>
        <v>1083.1309550000001</v>
      </c>
      <c r="M59" s="3">
        <f>1775.1+(42.8-483.1)+(0+(0-0))+0-320.7-0</f>
        <v>1014.0999999999999</v>
      </c>
      <c r="N59" s="3">
        <f>1764+(92.3-505.2)+(-0.89964+(-0.047073--0.257652))+0-323.6--0.165035999999967</f>
        <v>1026.9759749999998</v>
      </c>
      <c r="O59" s="3">
        <f>1749.8+(134.9-525.8)+(-0.892398+(-0.068799--0.268158))+0-320.2--0.163301999999968</f>
        <v>1038.170263</v>
      </c>
      <c r="P59" s="3">
        <f>1737.5+(182.3-504.9)+(-1.77225+(-0.185946--0.514998))+0-323--0.329460000000051</f>
        <v>1090.7862620000003</v>
      </c>
      <c r="Q59" s="3">
        <f>1729.9+(239.8-459.4)+(0.882249+(0.122298-0.234294))+0-322.9-0.164678999999967</f>
        <v>1188.0055740000003</v>
      </c>
      <c r="R59" s="3">
        <f>1720.2+(400.5-468.8)+(-0.877302+(-0.204255--0.239088))+0-323.3--0.164882999999967</f>
        <v>1327.9224140000001</v>
      </c>
      <c r="S59" s="3">
        <f>1708.1+(531.5-425)+(0.871131+(0.271065-0.21675))+0-321.9-0.164168999999967</f>
        <v>1493.4612770000001</v>
      </c>
      <c r="T59" s="3">
        <f>1706.8+(574-387.5)+(-0.870468+(-0.29274--0.197625))+0-322.5--0.164474999999967</f>
        <v>1569.9988920000001</v>
      </c>
      <c r="U59" s="3">
        <f>1700.1+(562.9-372.6)+(-4.335255+(-1.435395--0.95013))+0-321.6--0.820079999999953</f>
        <v>1564.7995599999999</v>
      </c>
      <c r="V59" s="3">
        <f>1705.9+(447.3-364.7)+(-3.480036+(-0.912492--0.743988))+0-322.6--0.658103999999986</f>
        <v>1462.909564</v>
      </c>
      <c r="W59" s="3">
        <f>1710.7+(223.9-368.9)+(-4.362285+(-0.570945--0.940695))+0-323--0.823649999999953</f>
        <v>1239.531115</v>
      </c>
      <c r="X59" s="3">
        <f>1719.5+(142.6-481.3)+(-6.138615+(-0.509082--1.718241))+0-325.1--1.160607</f>
        <v>1051.931151</v>
      </c>
      <c r="Y59" s="3">
        <f>1736.8+(75.9-480.8)+(-1.771536+(-0.077418--0.490416))+0-322.8--0.329256000000052</f>
        <v>1008.0707180000003</v>
      </c>
      <c r="Z59" s="3">
        <f>1746.9+(206.8-419.8)+(-1.781838+(-0.210936--0.428196))+0-323.1--0.329562000000052</f>
        <v>1209.5649840000003</v>
      </c>
      <c r="AA59" s="3">
        <f>1755.1+(334.5-408.1)+(-3.580404+(-0.68238--0.832524))+0-323.1--0.659123999999986</f>
        <v>1355.628864</v>
      </c>
      <c r="AB59" s="3">
        <f>1760.4+(395.5-396.6)+(-4.48902+(-1.008525--1.01133))+0-322.4--0.822119999999953</f>
        <v>1433.2359050000002</v>
      </c>
      <c r="AC59" s="3">
        <f>1765.2+(453.4-382.8)+(-0.900252+(-0.231234--0.195228))+0-319.5--0.162944999999968</f>
        <v>1515.526687</v>
      </c>
      <c r="AD59">
        <v>1256.8</v>
      </c>
      <c r="AE59" s="3">
        <f>1741+(272.4-429.9)+(0+(0-0))+0-326.7-0</f>
        <v>1256.8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1768.6+(433.7-390)+(-4.50993+(-1.105935--0.9945))+0-321.2--0.819059999999953</f>
        <v>1487.297695</v>
      </c>
      <c r="G60" s="3">
        <f>1771.9+(383.5-371.4)+(-0.903669+(-0.195585--0.189414))+0-319.7--0.163046999999968</f>
        <v>1463.5532069999999</v>
      </c>
      <c r="H60" s="3">
        <f>1775.3+(358.9-374.2)+(-3.621612+(-0.732156--0.763368))+0-319.6--0.651983999999986</f>
        <v>1437.4615840000001</v>
      </c>
      <c r="I60" s="3">
        <f>1733.5+(357.2-363.9)+(-4.420425+(-0.91086--0.927945))+0-319--0.813449999999954</f>
        <v>1404.2101099999998</v>
      </c>
      <c r="J60" s="3">
        <f>1642.6+(379.3-348.2)+(-2.513178+(-0.580329--0.532746))+0-319--0.488070000000018</f>
        <v>1352.627309</v>
      </c>
      <c r="K60" s="3">
        <f>1572.9+(329.4-347)+(-2.406537+(-0.503982--0.53091))+0-319--0.488070000000018</f>
        <v>1234.4084610000002</v>
      </c>
      <c r="L60" s="3">
        <f>1575+(173.5-368.1)+(-0.80325+(-0.088485--0.187731))+0-318.9--0.162638999999968</f>
        <v>1060.9586350000002</v>
      </c>
      <c r="M60" s="3">
        <f>1566.1+(144.2-366.2)+(-0.798711+(-0.073542--0.186762))+0-318.6--0.162485999999968</f>
        <v>1024.9769949999998</v>
      </c>
      <c r="N60" s="3">
        <f>1555.7+(137.5-382.6)+(0.793407+(0.070125-0.195126))+0-320.2-0.163301999999968</f>
        <v>990.90510399999994</v>
      </c>
      <c r="O60" s="3">
        <f>1540.8+(205.2-430.2)+(-2.357424+(-0.313956--0.658206))+0-320.6--0.490518000000019</f>
        <v>993.67734400000006</v>
      </c>
      <c r="P60" s="3">
        <f>1523.4+(300.9-450.5)+(-1.553868+(-0.306918--0.45951))+0-323.7--0.330174000000052</f>
        <v>1049.028898</v>
      </c>
      <c r="Q60" s="3">
        <f>1507.1+(437.2-443.5)+(-1.537242+(-0.445944--0.45237))+0-324.9--0.331398000000052</f>
        <v>1174.7005820000002</v>
      </c>
      <c r="R60" s="3">
        <f>1485.3+(602.2-434.9)+(0.757503+(0.307122-0.221799))+0-320.5-0.163454999999967</f>
        <v>1332.7793710000001</v>
      </c>
      <c r="S60" s="3">
        <f>1477.7+(725.6-402.6)+(-0.753627+(-0.370056--0.205326))+0-323--0.164729999999967</f>
        <v>1476.946373</v>
      </c>
      <c r="T60" s="3">
        <f>1469.5+(783-387.4)+(0.749445+(0.39933-0.197574))+0-321.7-0.164066999999967</f>
        <v>1544.187134</v>
      </c>
      <c r="U60" s="3">
        <f>1466.5+(764.2-354.6)+(-2.243745+(-1.169226--0.542538))+0-320.3--0.490059000000019</f>
        <v>1553.4196259999999</v>
      </c>
      <c r="V60" s="3">
        <f>1463.2+(627.2-370.2)+(-0.746232+(-0.319872--0.188802))+0-247.2--0.126071999999975</f>
        <v>1472.2487699999999</v>
      </c>
      <c r="W60" s="3">
        <f>1463+(434.7-338.4)+(-3.73065+(-1.108485--0.86292))+0-318.8--0.812939999999954</f>
        <v>1237.3367250000001</v>
      </c>
      <c r="X60" s="3">
        <f>1470.1+(205.4-317.7)+(-3.748755+(-0.52377--0.810135))+0-320.3--0.816764999999954</f>
        <v>1034.8543750000001</v>
      </c>
      <c r="Y60" s="3">
        <f>1484.7+(169.9-355.3)+(-2.271591+(-0.259947--0.543609))+0-322.3--0.493119000000019</f>
        <v>975.50519000000008</v>
      </c>
      <c r="Z60" s="3">
        <f>1497.6+(409.8-402.7)+(-2.291328+(-0.626994--0.616131))+0-323.6--0.495108000000019</f>
        <v>1179.2929169999998</v>
      </c>
      <c r="AA60" s="3">
        <f>1506.6+(525.4-407.7)+(-3.84183+(-1.33977--1.039635))+0-322.8--0.823139999999953</f>
        <v>1298.1811749999999</v>
      </c>
      <c r="AB60" s="3">
        <f>1512.3+(591.6-398.3)+(-1.542546+(-0.603432--0.406266))+0-323--0.329460000000051</f>
        <v>1381.189748</v>
      </c>
      <c r="AC60" s="3">
        <f>1530+(626.4-382.8)+(0+(0-0))+0-322.1-0</f>
        <v>1451.5</v>
      </c>
      <c r="AD60">
        <v>1121.8</v>
      </c>
      <c r="AE60" s="3">
        <f>1494+(418.3-469.7)+(0+(0-0))+0-320.8-0</f>
        <v>1121.8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1541.1+(676.5-380)+(0+(0-0))+0-321.7-0</f>
        <v>1515.8999999999999</v>
      </c>
      <c r="G61" s="3">
        <f>1546.5+(648.3-361.6)+(-3.15486+(-1.322532--0.737664))+0-323--0.658919999999986</f>
        <v>1507.1191919999999</v>
      </c>
      <c r="H61" s="3">
        <f>1547.5+(616.1-347.5)+(0+(0-0))+0-322.8-0</f>
        <v>1493.3</v>
      </c>
      <c r="I61" s="3">
        <f>1552.8+(570.2-337.6)+(-0.791928+(-0.290802--0.172176))+0-323.3--0.164882999999967</f>
        <v>1461.354329</v>
      </c>
      <c r="J61" s="3">
        <f>1555.4+(511-330.3)+(0+(0-0))+0-322.5-0</f>
        <v>1413.6000000000001</v>
      </c>
      <c r="K61" s="3">
        <f>1563.8+(357.1-301.2)+(-3.190152+(-0.728484--0.614448))+0-322.2--0.657287999999986</f>
        <v>1294.8530999999998</v>
      </c>
      <c r="L61" s="3">
        <f>1564.7+(200.8-295.9)+(-7.181973+(-0.921672--1.358181))+0-318.6--1.46237400000006</f>
        <v>1145.7169099999999</v>
      </c>
      <c r="M61" s="3">
        <f>1550.7+(174.3-331.6)+(0.790857+(0.088893-0.169116))+0-318.7-0.162536999999968</f>
        <v>1075.2480970000001</v>
      </c>
      <c r="N61" s="3">
        <f>1536.5+(190.6-364.8)+(-1.56723+(-0.194412--0.372096))+0-318.2--0.324564000000051</f>
        <v>1043.0350179999998</v>
      </c>
      <c r="O61" s="3">
        <f>1519.1+(215-378.7)+(0+(0-0))+0-319.4-0</f>
        <v>1036</v>
      </c>
      <c r="P61" s="3">
        <f>1505.9+(285.3-392.9)+(-0.768009+(-0.145503--0.200379))+0-319.5--0.162944999999968</f>
        <v>1078.2498120000002</v>
      </c>
      <c r="Q61" s="3">
        <f>1490.1+(423.6-410.3)+(1.519902+(0.432072-0.418506))+0-319.6-0.325992000000051</f>
        <v>1185.0074759999998</v>
      </c>
      <c r="R61" s="3">
        <f>1479.5+(586.7-431.2)+(-2.263635+(-0.897651--0.659736))+0-320.2--0.489906000000018</f>
        <v>1312.788356</v>
      </c>
      <c r="S61" s="3">
        <f>1466.1+(694.2-405.9)+(0+(0-0))+0-318.8-0</f>
        <v>1435.6000000000001</v>
      </c>
      <c r="T61" s="3">
        <f>1463+(584.4-310.8)+(-2.23839+(-0.894132--0.475524))+24.8-318.6--0.487458000000018</f>
        <v>1440.6304599999999</v>
      </c>
      <c r="U61" s="3">
        <f>1460.4+(706.9-343.6)+(-0.744804+(-0.360519--0.175236))+0-318.9--0.162638999999968</f>
        <v>1504.0325519999999</v>
      </c>
      <c r="V61" s="3">
        <f>1465.2+(593.9-342.4)+(0.747252+(0.302889-0.174624))+0-255.1-0.130100999999974</f>
        <v>1462.3454160000001</v>
      </c>
      <c r="W61" s="3">
        <f>1471.3+(395.7-329.7)+(-3.751815+(-1.009035--0.840735))+0-250.8--0.639539999999964</f>
        <v>1283.219425</v>
      </c>
      <c r="X61" s="3">
        <f>1477.5+(207.3-299.4)+(-4.52115+(-0.634338--0.916164))+0-320.4--0.980424000000037</f>
        <v>1061.7411000000004</v>
      </c>
      <c r="Y61" s="3">
        <f>1485.3+(172.1-351.8)+(-2.272509+(-0.263313--0.538254))+0-320.4--0.490212000000018</f>
        <v>983.69264399999997</v>
      </c>
      <c r="Z61" s="3">
        <f>1504.1+(440.1-405)+(0.767091+(0.224451-0.20655))+0-320.4-0.163403999999967</f>
        <v>1219.4215880000002</v>
      </c>
      <c r="AA61" s="3">
        <f>1522.3+(565.3-396.9)+(0+(0-0))+0-319.3-0</f>
        <v>1371.3999999999999</v>
      </c>
      <c r="AB61" s="3">
        <f>1539.8+(636.6-391.9)+(0+(0-0))+0-319.9-0</f>
        <v>1464.6</v>
      </c>
      <c r="AC61" s="3">
        <f>1553.4+(676.3-370.1)+(-2.376702+(-1.034739--0.566253))+0-318.1--0.486693000000018</f>
        <v>1539.1415049999998</v>
      </c>
      <c r="AD61">
        <v>1316.0000000000002</v>
      </c>
      <c r="AE61" s="3">
        <f>1513+(526.7-399.4)+(0+(0-0))+0-324.3-0</f>
        <v>1316.0000000000002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1552.8+(650.1-368.5)+(-0.791928+(-0.331551--0.187935))+0-318.6--0.162485999999968</f>
        <v>1515.0269420000002</v>
      </c>
      <c r="G62" s="3">
        <f>1554.1+(616.6-348.7)+(-1.585182+(-0.628932--0.355674))+0-320.1--0.326502000000051</f>
        <v>1500.3680620000002</v>
      </c>
      <c r="H62" s="3">
        <f>1550.1+(566.5-332)+(-2.371653+(-0.866745--0.50796))+0-319.3--0.488529000000018</f>
        <v>1463.0580909999999</v>
      </c>
      <c r="I62" s="3">
        <f>1552.8+(514.9-312.3)+(-1.583856+(-0.525198--0.318546))+0-319.2--0.325584000000051</f>
        <v>1434.7350759999999</v>
      </c>
      <c r="J62" s="3">
        <f>1562.2+(456.8-305.3)+(-2.390166+(-0.698904--0.467109))+0-318.1--0.486693000000018</f>
        <v>1393.4647320000001</v>
      </c>
      <c r="K62" s="3">
        <f>1565.8+(326.6-285.8)+(-3.99279+(-0.83283--0.72879))+0-318--0.810899999999954</f>
        <v>1285.3140699999999</v>
      </c>
      <c r="L62" s="3">
        <f>1566.3+(145.1-295.3)+(-0.798813+(-0.074001--0.150603))+0-319.6--0.162995999999968</f>
        <v>1095.9407849999998</v>
      </c>
      <c r="M62" s="3">
        <f>1633.9+(118.4-375.7)+(-0.833289+(-0.060384--0.191607))+0-318.8--0.162587999999968</f>
        <v>1057.260522</v>
      </c>
      <c r="N62" s="3">
        <f>1717.3+(165-482.1)+(-0.875823+(-0.08415--0.245871))+0-322.1--0.164270999999967</f>
        <v>1077.5501689999999</v>
      </c>
      <c r="O62" s="3">
        <f>1774.9+(190.5-534.1)+(0+(0-0))+0-323.1-0</f>
        <v>1108.2000000000003</v>
      </c>
      <c r="P62" s="3">
        <f>1759.6+(225.7-501.7)+(-0.897396+(-0.115107--0.255867))+0-320.5--0.163454999999967</f>
        <v>1162.5068189999997</v>
      </c>
      <c r="Q62" s="3">
        <f>1750.2+(300.5-461.5)+(0+(0-0))+0-323.4-0</f>
        <v>1265.8000000000002</v>
      </c>
      <c r="R62" s="3">
        <f>1742.1+(500.7-450.7)+(0.888471+(0.255357-0.229857))+0-323-0.164729999999967</f>
        <v>1469.8492409999999</v>
      </c>
      <c r="S62" s="3">
        <f>1733.4+(633.4-439.4)+(-1.768068+(-0.646068--0.448188))+0-323.3--0.329766000000052</f>
        <v>1602.4638180000002</v>
      </c>
      <c r="T62" s="3">
        <f>1732.3+(676.1-422.4)+(0.883473+(0.344811-0.215424))+0-323-0.164729999999967</f>
        <v>1663.8481300000001</v>
      </c>
      <c r="U62" s="3">
        <f>1730.3+(657.8-419.5)+(-0.882453+(-0.335478--0.213945))+0-321.4--0.163913999999967</f>
        <v>1646.3599280000001</v>
      </c>
      <c r="V62" s="3">
        <f>1738.2+(552.7-395.4)+(-3.545928+(-1.127508--0.806616))+0-323.2--0.659327999999986</f>
        <v>1569.092508</v>
      </c>
      <c r="W62" s="3">
        <f>1744.6+(289.8-348.6)+(-5.338476+(-0.886788--1.066716))+0-321.4--0.983484000000037</f>
        <v>1360.2249359999998</v>
      </c>
      <c r="X62" s="3">
        <f>1749+(109.2-392.5)+(-2.67597+(-0.167076--0.600525))+0-321.4--0.491742000000019</f>
        <v>1142.549221</v>
      </c>
      <c r="Y62" s="3">
        <f>1757.9+(91-463.7)+(-0.896529+(-0.04641--0.236487))+0-322.5--0.164474999999967</f>
        <v>1062.1580230000002</v>
      </c>
      <c r="Z62" s="3">
        <f>1781.2+(262-448.1)+(-0.908412+(-0.13362--0.228531))+0-322.8--0.164627999999967</f>
        <v>1271.6511269999999</v>
      </c>
      <c r="AA62" s="3">
        <f>1795.7+(388.3-443.3)+(-2.747421+(-0.594099--0.678249))+0-321.7--0.492201000000019</f>
        <v>1416.8289300000001</v>
      </c>
      <c r="AB62" s="3">
        <f>1804.9+(449.4-435.4)+(-2.761497+(-0.687582--0.666162))+0-319.1--0.488223000000018</f>
        <v>1497.5053060000002</v>
      </c>
      <c r="AC62" s="3">
        <f>1811.6+(481.4-416.7)+(-3.695664+(-0.982056--0.850068))+0-321.1--0.655043999999986</f>
        <v>1552.027392</v>
      </c>
      <c r="AD62">
        <v>1386</v>
      </c>
      <c r="AE62" s="3">
        <f>1800+(353-449)+(0+(0-0))+0-318-0</f>
        <v>1386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1812.1+(429.6-356.2)+(-3.696684+(-0.876384--0.726648))+0-321.1--0.655043999999986</f>
        <v>1561.2086239999999</v>
      </c>
      <c r="G63" s="3">
        <f>1811.1+(424.7-380.5)+(-4.618305+(-1.082985--0.970275))+0-321.4--0.819569999999953</f>
        <v>1529.9885549999997</v>
      </c>
      <c r="H63" s="3">
        <f>1814+(354.6-359.3)+(-1.85028+(-0.361692--0.366486))+0-320.1--0.326502000000051</f>
        <v>1487.6810160000002</v>
      </c>
      <c r="I63" s="3">
        <f>1822.9+(296.5-342.3)+(-3.718716+(-0.60486--0.698292))+0-319.9--0.652595999999986</f>
        <v>1454.227312</v>
      </c>
      <c r="J63" s="3">
        <f>1823.8+(233.9-321.4)+(-6.510966+(-0.835023--1.147398))+0-319.4--1.140258</f>
        <v>1411.8416669999997</v>
      </c>
      <c r="K63" s="3">
        <f>1826.7+(134.2-338)+(-6.521319+(-0.479094--1.20666))+0-317.4--1.133118</f>
        <v>1300.839365</v>
      </c>
      <c r="L63" s="3">
        <f>1829.4+(38.6-419.9)+(-2.798982+(-0.059058--0.642447))+0-317.1--0.485163000000018</f>
        <v>1129.2695700000002</v>
      </c>
      <c r="M63" s="3">
        <f>1828.5+(82.3-511.4)+(1.86507+(0.083946-0.521628))+0-316.2-0.32252400000005</f>
        <v>1084.304864</v>
      </c>
      <c r="N63" s="3">
        <f>1811.2+(140.1-557)+(0.923712+(0.071451-0.28407))+0-317.7-0.162026999999968</f>
        <v>1077.1490659999999</v>
      </c>
      <c r="O63" s="3">
        <f>1792.6+(184.3-570.4)+(-0.914226+(-0.093993--0.290904))+0-318.7--0.162536999999968</f>
        <v>1087.2452219999998</v>
      </c>
      <c r="P63" s="3">
        <f>1780.9+(241-562.4)+(-0.908259+(-0.12291--0.286824))+0-320.5--0.163454999999967</f>
        <v>1138.4191099999998</v>
      </c>
      <c r="Q63" s="3">
        <f>1770.8+(299.6-504.4)+(-2.709324+(-0.458388--0.771732))+0-320.1--0.489753000000019</f>
        <v>1243.9937729999999</v>
      </c>
      <c r="R63" s="3">
        <f>1758.1+(434.8-475.3)+(0+(0-0))+0-319.3-0</f>
        <v>1398.3</v>
      </c>
      <c r="S63" s="3">
        <f>1751.5+(557.4-417.9)+(-0.893265+(-0.284274--0.213129))+0-319.5--0.162944999999968</f>
        <v>1570.698535</v>
      </c>
      <c r="T63" s="3">
        <f>1753.8+(602.4-398.6)+(0+(0-0))+0-320.6-0</f>
        <v>1637</v>
      </c>
      <c r="U63" s="3">
        <f>1749.1+(582.8-366.2)+(-3.568164+(-1.188912--0.747048))+0-319.3--0.651371999999986</f>
        <v>1643.041344</v>
      </c>
      <c r="V63" s="3">
        <f>1752.6+(486.5-383.9)+(-2.681478+(-0.744345--0.587367))+0-318.9--0.487917000000018</f>
        <v>1533.9494609999997</v>
      </c>
      <c r="W63" s="3">
        <f>1758.6+(246.1-377.6)+(-2.690658+(-0.376533--0.577728))+0-320.7--0.490671000000019</f>
        <v>1304.401208</v>
      </c>
      <c r="X63" s="3">
        <f>1768.7+(104-441)+(-8.118333+(-0.47736--2.02419))+0-320.6--1.47155400000006</f>
        <v>1106.0000510000002</v>
      </c>
      <c r="Y63" s="3">
        <f>1780.9+(89.8-508.9)+(-3.633036+(-0.183192--1.038156))+0-321.4--0.655655999999986</f>
        <v>1038.2775839999999</v>
      </c>
      <c r="Z63" s="3">
        <f>1789.3+(204.7-434.2)+(-2.737629+(-0.313191--0.664326))+0-320.1--0.489753000000019</f>
        <v>1237.803259</v>
      </c>
      <c r="AA63" s="3">
        <f>1803+(325.7-433.9)+(-5.51718+(-0.996642--1.327734))+0-320--0.979200000000037</f>
        <v>1370.593112</v>
      </c>
      <c r="AB63" s="3">
        <f>1893+(321.4-421.2)+(-3.86172+(-0.655656--0.859248))+0-319.7--0.652187999999986</f>
        <v>1470.49406</v>
      </c>
      <c r="AC63" s="3">
        <f>1919.4+(354.3-408.9)+(-0.978894+(-0.180693--0.208539))+0-318.2--0.162281999999968</f>
        <v>1545.8112340000002</v>
      </c>
      <c r="AD63">
        <v>1329.3999999999999</v>
      </c>
      <c r="AE63" s="3">
        <f>1792+(297.6-440)+(0+(0-0))+0-320.2-0</f>
        <v>1329.3999999999999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1931.5+(318.9-432.1)+(-4.925325+(-0.813195--1.101855))+0-318.5--0.812174999999954</f>
        <v>1495.97551</v>
      </c>
      <c r="G64" s="3">
        <f>1929.8+(284.5-427.7)+(-0.984198+(-0.145095--0.218127))+0-318.7--0.162536999999968</f>
        <v>1467.1513709999997</v>
      </c>
      <c r="H64" s="3">
        <f>1931.1+(249.2-425.8)+(1.969722+(0.254184-0.434316))+0-318.9-0.325278000000051</f>
        <v>1437.0643120000002</v>
      </c>
      <c r="I64" s="3">
        <f>1935+(195.7-398.2)+(-2.96055+(-0.299421--0.609246))+0-320.2--0.489906000000018</f>
        <v>1410.139181</v>
      </c>
      <c r="J64" s="3">
        <f>1936.7+(162.4-406.3)+(-3.950868+(-0.331296--0.828852))+0-321.7--0.656267999999986</f>
        <v>1368.3029559999998</v>
      </c>
      <c r="K64" s="3">
        <f>1943.1+(93.1-430)+(-7.927848+(-0.379848--1.7544))+0-320.8--1.30886399999997</f>
        <v>1280.1555679999997</v>
      </c>
      <c r="L64" s="3">
        <f>1938.7+(36.3-556.1)+(-6.921159+(-0.129591--1.985277))+0-317.9--1.134903</f>
        <v>1097.0694299999998</v>
      </c>
      <c r="M64" s="3">
        <f>1928.9+(57.7-622.6)+(0+(0-0))+0-316.6-0</f>
        <v>1047.4000000000001</v>
      </c>
      <c r="N64" s="3">
        <f>1920.2+(91.3-643.8)+(-3.917208+(-0.186252--1.313352))+0-316.3--0.645251999999986</f>
        <v>1049.2551440000002</v>
      </c>
      <c r="O64" s="3">
        <f>1907.2+(111.4-653.6)+(1.945344+(0.113628-0.666672))+0-320.1-0.326502000000051</f>
        <v>1045.9657979999999</v>
      </c>
      <c r="P64" s="3">
        <f>1934.6+(149.9-630.3)+(0.986646+(0.076449-0.321453))+0-320.7-0.163556999999967</f>
        <v>1134.0780849999999</v>
      </c>
      <c r="Q64" s="3">
        <f>1922+(199-605)+(-0.98022+(-0.10149--0.30855))+0-322--0.164219999999967</f>
        <v>1193.3910599999999</v>
      </c>
      <c r="R64" s="3">
        <f>1869.7+(313.7-490.3)+(0+(0-0))+0-320.9-0</f>
        <v>1372.1999999999998</v>
      </c>
      <c r="S64" s="3">
        <f>1868.4+(414-435.6)+(-2.858652+(-0.63342--0.666468))+0-318.4--0.487152000000018</f>
        <v>1526.0615479999999</v>
      </c>
      <c r="T64" s="3">
        <f>1862.3+(455-405.7)+(-0.949773+(-0.23205--0.206907))+0-322--0.164219999999967</f>
        <v>1588.7893039999999</v>
      </c>
      <c r="U64" s="3">
        <f>1865.2+(437-385)+(0.951252+(0.22287-0.19635))+0-322.9-0.164678999999967</f>
        <v>1595.1130929999999</v>
      </c>
      <c r="V64" s="3">
        <f>1870.4+(312.8-372.4)+(-2.861712+(-0.478584--0.569772))+0-321--0.491130000000019</f>
        <v>1487.5206060000003</v>
      </c>
      <c r="W64" s="3">
        <f>1875.4+(178.8-447.2)+(-3.825816+(-0.364752--0.912288))+0-322.8--0.658511999999986</f>
        <v>1281.580232</v>
      </c>
      <c r="X64" s="3">
        <f>1882.8+(83.7-562.3)+(-5.761368+(-0.256122--1.720638))+0-322.3--0.986238000000037</f>
        <v>1078.5893860000001</v>
      </c>
      <c r="Y64" s="3">
        <f>1895.1+(57.5-600.4)+(0+(0-0))+0-320.5-0</f>
        <v>1031.6999999999998</v>
      </c>
      <c r="Z64" s="3">
        <f>1911.8+(176.5-523.7)+(-1.950036+(-0.18003--0.534174))+0-321.4--0.327828000000051</f>
        <v>1241.931936</v>
      </c>
      <c r="AA64" s="3">
        <f>1921.8+(237.3-464.1)+(-1.960236+(-0.242046--0.473382))+0-321.6--0.328032000000051</f>
        <v>1371.9991320000001</v>
      </c>
      <c r="AB64" s="3">
        <f>1927.4+(273.4-429)+(-2.948922+(-0.418302--0.65637))+0-321.5--0.491895000000019</f>
        <v>1448.0810410000004</v>
      </c>
      <c r="AC64" s="3">
        <f>1927.6+(314.2-409.4)+(-4.91538+(-0.80121--1.04397))+0-320.9--0.818294999999953</f>
        <v>1507.6456749999998</v>
      </c>
      <c r="AD64">
        <v>1319.6999999999998</v>
      </c>
      <c r="AE64" s="3">
        <f>1916+(211.1-486)+(0+(0-0))+0-321.4-0</f>
        <v>1319.6999999999998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1929.4+(310.4-418.9)+(-4.91997+(-0.79152--1.068195))+0-320.9--0.818294999999953</f>
        <v>1496.1750000000002</v>
      </c>
      <c r="G65" s="3">
        <f>1929.5+(277.8-392.4)+(-4.920225+(-0.70839--1.00062))+0-320.7--0.817784999999953</f>
        <v>1490.3897899999999</v>
      </c>
      <c r="H65" s="3">
        <f>1927.2+(238.5-394.9)+(-1.965744+(-0.24327--0.402798))+0-323.5--0.329970000000052</f>
        <v>1445.8237540000002</v>
      </c>
      <c r="I65" s="3">
        <f>1931.6+(204.8-384)+(-3.940464+(-0.417792--0.78336))+0-322.2--0.657287999999986</f>
        <v>1427.2823919999996</v>
      </c>
      <c r="J65" s="3">
        <f>1936.1+(153.1-383.8)+(-4.937055+(-0.390405--0.97869))+0-321.1--0.818804999999953</f>
        <v>1380.7700349999996</v>
      </c>
      <c r="K65" s="3">
        <f>1936+(57.5-379.5)+(-2.96208+(-0.087975--0.580635))+0-318.1--0.486693000000018</f>
        <v>1293.9172730000003</v>
      </c>
      <c r="L65" s="3">
        <f>1814+(32.6-386.1)+(-2.77542+(-0.049878--0.590733))+0-317--0.485010000000018</f>
        <v>1141.7504450000001</v>
      </c>
      <c r="M65" s="3">
        <f>1700.4+(55.5-355.2)+(2.601612+(0.084915-0.543456))+0-320.5-0.490365000000019</f>
        <v>1081.8527059999999</v>
      </c>
      <c r="N65" s="3">
        <f>1866.5+(43.4-511.3)+(-3.80766+(-0.088536--1.043052))+0-320.1--0.653003999999986</f>
        <v>1076.2998599999999</v>
      </c>
      <c r="O65" s="3">
        <f>1911.3+(51.3-534.4)+(-2.924289+(-0.078489--0.817632))+0-321.1--0.491283000000019</f>
        <v>1105.4061370000002</v>
      </c>
      <c r="P65" s="3">
        <f>1905.4+(103.7-555.3)+(-0.971754+(-0.052887--0.283203))+0-321.8--0.164117999999967</f>
        <v>1131.4226800000001</v>
      </c>
      <c r="Q65" s="3">
        <f>1897.1+(175.2-534.8)+(0+(0-0))+0-321.2-0</f>
        <v>1216.3</v>
      </c>
      <c r="R65" s="3">
        <f>1891.2+(254.8-457.1)+(-2.893536+(-0.389844--0.699363))+0-321.7--0.492201000000019</f>
        <v>1365.1081840000002</v>
      </c>
      <c r="S65" s="3">
        <f>1887+(391.8-442.9)+(-1.92474+(-0.399636--0.451758))+0-321.5--0.327930000000051</f>
        <v>1512.8553120000001</v>
      </c>
      <c r="T65" s="3">
        <f>1883.6+(441.2-425.6)+(-0.960636+(-0.225012--0.217056))+0-320.1--0.163250999999968</f>
        <v>1578.2946589999997</v>
      </c>
      <c r="U65" s="3">
        <f>1880.7+(413.6-399.5)+(-4.795785+(-1.05468--1.018725))+0-320.8--0.818039999999953</f>
        <v>1569.9863</v>
      </c>
      <c r="V65" s="3">
        <f>1882.1+(288.5-375.6)+(-6.719097+(-1.029945--1.340892))+0-320.9--1.145613</f>
        <v>1468.8374630000001</v>
      </c>
      <c r="W65" s="3">
        <f>1886.6+(143-423.6)+(-6.735162+(-0.51051--1.512252))+0-321.8--1.148826</f>
        <v>1279.6154060000001</v>
      </c>
      <c r="X65" s="3">
        <f>1893.8+(39.5-539)+(-7.726704+(-0.16116--2.19912))+0-320.4--1.30723199999997</f>
        <v>1069.5184879999999</v>
      </c>
      <c r="Y65" s="3">
        <f>1900.7+(24.5-577.9)+(-4.846785+(-0.062475--1.473645))+0-322.3--0.821864999999953</f>
        <v>1022.3862500000001</v>
      </c>
      <c r="Z65" s="3">
        <f>1909.5+(144-486.4)+(-0.973845+(-0.07344--0.248064))+0-322.9--0.164678999999967</f>
        <v>1243.565458</v>
      </c>
      <c r="AA65" s="3">
        <f>1918+(218.6-436.9)+(-4.8909+(-0.55743--1.114095))+0-322.3--0.821864999999953</f>
        <v>1373.8876299999999</v>
      </c>
      <c r="AB65" s="3">
        <f>1920.6+(260.2-411.8)+(-3.918024+(-0.530808--0.840072))+0-320.8--0.654431999999986</f>
        <v>1445.245672</v>
      </c>
      <c r="AC65" s="3">
        <f>1922.3+(320.5-391.8)+(-3.921492+(-0.65382--0.799272))+0-320.7--0.654227999999986</f>
        <v>1527.1781879999999</v>
      </c>
      <c r="AD65">
        <v>1344.3000000000002</v>
      </c>
      <c r="AE65" s="3">
        <f>1915+(195.9-444.6)+(0+(0-0))+0-322-0</f>
        <v>1344.3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1921.6+(318.4-447.4)+(0+(0-0))+0-318.6-0</f>
        <v>1474</v>
      </c>
      <c r="G66" s="3">
        <f>1926.3+(306.2-407.4)+(-2.947239+(-0.468486--0.623322))+0-318.9--0.487917000000018</f>
        <v>1503.8955139999998</v>
      </c>
      <c r="H66" s="3">
        <f>1928.6+(297.6-438.5)+(-1.967172+(-0.303552--0.44727))+0-320.2--0.326604000000051</f>
        <v>1466.0031499999998</v>
      </c>
      <c r="I66" s="3">
        <f>1930+(241.4-421.6)+(-0.9843+(-0.123114--0.215016))+0-319.4--0.162893999999968</f>
        <v>1429.6704960000002</v>
      </c>
      <c r="J66" s="3">
        <f>1930.5+(192.8-401.5)+(-4.922775+(-0.49164--1.023825))+0-319.5--0.814724999999954</f>
        <v>1398.7241349999999</v>
      </c>
      <c r="K66" s="3">
        <f>1930.9+(75.4-387.4)+(-4.923795+(-0.19227--0.98787))+0-318.7--0.812684999999954</f>
        <v>1296.8844899999999</v>
      </c>
      <c r="L66" s="3">
        <f>1768.5+(58.4-330.8)+(-0.901935+(-0.029784--0.168708))+0-318--0.162179999999968</f>
        <v>1177.4991689999999</v>
      </c>
      <c r="M66" s="3">
        <f>1713.8+(94.4-388.4)+(0.874038+(0.048144-0.198084))+0-317-0.161669999999968</f>
        <v>1103.3624279999999</v>
      </c>
      <c r="N66" s="3">
        <f>1836.2+(109.7-539.6)+(0.936462+(0.055947-0.275196))+0-318-0.162179999999968</f>
        <v>1088.8550329999998</v>
      </c>
      <c r="O66" s="3">
        <f>1891.7+(101.4-572.3)+(-0.964767+(-0.051714--0.291873))+0-319--0.162689999999968</f>
        <v>1101.2380820000001</v>
      </c>
      <c r="P66" s="3">
        <f>1907.1+(95.3-524.4)+(0.972621+(0.048603-0.267444))+0-319-0.162689999999968</f>
        <v>1159.5910900000001</v>
      </c>
      <c r="Q66" s="3">
        <f>1902.4+(145.2-450.8)+(-0.970224+(-0.074052--0.229908))+0-320--0.163199999999968</f>
        <v>1276.1488320000001</v>
      </c>
      <c r="R66" s="3">
        <f>1898.4+(288.1-499.2)+(-0.968184+(-0.146931--0.254592))+0-320--0.163199999999968</f>
        <v>1366.6026770000001</v>
      </c>
      <c r="S66" s="3">
        <f>1892.6+(422.5-475.2)+(-1.930452+(-0.43095--0.484704))+0-320--0.326400000000051</f>
        <v>1518.349702</v>
      </c>
      <c r="T66" s="3">
        <f>1885.5+(467.4-456.6)+(0+(0-0))+0-321.3-0</f>
        <v>1575</v>
      </c>
      <c r="U66" s="3">
        <f>1883.7+(439.6-432.4)+(-5.764122+(-1.345176--1.323144))+0-322.7--0.987462000000037</f>
        <v>1563.4013080000002</v>
      </c>
      <c r="V66" s="3">
        <f>1882.7+(291.9-389)+(-4.800885+(-0.744345--0.99195))+0-320.5--0.817274999999953</f>
        <v>1461.3639949999997</v>
      </c>
      <c r="W66" s="3">
        <f>1885.4+(74.9-378.4)+(-5.769324+(-0.229194--1.157904))+0-320.8--0.981648000000037</f>
        <v>1257.2410340000001</v>
      </c>
      <c r="X66" s="3">
        <f>1898.9+(0-518.5)+(-4.842195+(0--1.322175))+0-320.4--0.817019999999953</f>
        <v>1057.297</v>
      </c>
      <c r="Y66" s="3">
        <f>1914.2+(0-578.6)+(-0.976242+(0--0.295086))+0-320.4--0.163403999999967</f>
        <v>1014.6822479999998</v>
      </c>
      <c r="Z66" s="3">
        <f>1921.6+(90.3-471)+(-1.960032+(-0.092106--0.48042))+0-321.9--0.328338000000051</f>
        <v>1217.7566199999999</v>
      </c>
      <c r="AA66" s="3">
        <f>1923.9+(180.9-433.4)+(-3.924756+(-0.369036--0.884136))+0-320--0.652799999999986</f>
        <v>1348.6431440000001</v>
      </c>
      <c r="AB66" s="3">
        <f>1924.1+(243.9-418)+(-4.906455+(-0.621945--1.0659))+0-321--0.818549999999953</f>
        <v>1425.3560499999999</v>
      </c>
      <c r="AC66" s="3">
        <f>1929.7+(294.7-408)+(-2.952441+(-0.450891--0.62424))+0-319.7--0.489141000000018</f>
        <v>1494.4100490000001</v>
      </c>
      <c r="AD66">
        <v>1236.3000000000002</v>
      </c>
      <c r="AE66" s="3">
        <f>1914+(136.9-486.1)+(0+(0-0))+0-328.5-0</f>
        <v>1236.3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1931.6+(301.8-416.5)+(-4.92558+(-0.76959--1.062075))+0-319.9--0.815744999999954</f>
        <v>1493.1826499999997</v>
      </c>
      <c r="G67" s="3">
        <f>1934.8+(263-401.6)+(-3.946992+(-0.53652--0.819264))+0-319.8--0.652391999999986</f>
        <v>1473.3881439999998</v>
      </c>
      <c r="H67" s="3">
        <f>1937.9+(236.8-409.8)+(-2.964987+(-0.362304--0.626994))+0-320.8--0.490824000000019</f>
        <v>1441.890527</v>
      </c>
      <c r="I67" s="3">
        <f>1941.4+(191.3-407.3)+(-3.960456+(-0.390252--0.830892))+0-321.2--0.655247999999986</f>
        <v>1401.3354320000001</v>
      </c>
      <c r="J67" s="3">
        <f>1944.1+(149.3-403.1)+(0.991491+(0.076143-0.205581))+0-322.1-0.164270999999967</f>
        <v>1368.8977820000002</v>
      </c>
      <c r="K67" s="3">
        <f>1949.7+(38.9-402.1)+(-4.971735+(-0.099195--1.025355))+0-318.5--0.812174999999954</f>
        <v>1264.7665999999999</v>
      </c>
      <c r="L67" s="3">
        <f>1933.2+(0-501.9)+(-2.957796+(0--0.767907))+0-317.9--0.486387000000018</f>
        <v>1111.6964980000002</v>
      </c>
      <c r="M67" s="3">
        <f>1917.7+(0-543.7)+(4.890135+(0-1.386435))+0-318.4-0.811919999999954</f>
        <v>1058.2917800000002</v>
      </c>
      <c r="N67" s="3">
        <f>1921.4+(8.1-550.7)+(-0.979914+(-0.004131--0.280857))+0-321.8--0.164117999999967</f>
        <v>1056.4609300000002</v>
      </c>
      <c r="O67" s="3">
        <f>1901.3+(28.7-554.5)+(1.939326+(0.029274-0.56559))+0-322.1-0.328542000000051</f>
        <v>1054.4744680000001</v>
      </c>
      <c r="P67" s="3">
        <f>1903.3+(42.9-535.5)+(-0.970683+(-0.021879--0.273105))+0-321.7--0.164066999999967</f>
        <v>1088.4446099999998</v>
      </c>
      <c r="Q67" s="3">
        <f>1894.6+(103.8-519.3)+(1.932492+(0.105876-0.529686))+0-323.8-0.330276000000052</f>
        <v>1156.4784059999997</v>
      </c>
      <c r="R67" s="3">
        <f>1885.7+(267.8-502)+(-1.923414+(-0.273156--0.51204))+0-321.7--0.328134000000051</f>
        <v>1328.4436040000001</v>
      </c>
      <c r="S67" s="3">
        <f>1879.2+(381.6-466.2)+(-4.79196+(-0.97308--1.18881))+0-321.1--0.818804999999953</f>
        <v>1469.7425750000002</v>
      </c>
      <c r="T67" s="3">
        <f>1871.6+(429.1-443.6)+(-4.77258+(-1.094205--1.13118))+0-320.7--0.817784999999953</f>
        <v>1532.4821799999997</v>
      </c>
      <c r="U67" s="3">
        <f>1867.5+(395.8-406)+(-2.857275+(-0.605574--0.62118))+0-321.1--0.491283000000019</f>
        <v>1533.849614</v>
      </c>
      <c r="V67" s="3">
        <f>1867.3+(290.3-402.3)+(-1.904646+(-0.296106--0.410346))+0-321.5--0.327930000000051</f>
        <v>1432.337524</v>
      </c>
      <c r="W67" s="3">
        <f>1875.7+(34.6-358)+(-1.913214+(-0.035292--0.36516))+0-321.2--0.327624000000051</f>
        <v>1229.8442780000003</v>
      </c>
      <c r="X67" s="3">
        <f>1882.8+(0-521.3)+(-5.761368+(0--1.595178))+0-319.1--0.976446000000037</f>
        <v>1039.2102560000003</v>
      </c>
      <c r="Y67" s="3">
        <f>1896.4+(0-600.7)+(-1.934328+(0--0.612714))+0-321.3--0.327726000000051</f>
        <v>973.40611200000023</v>
      </c>
      <c r="Z67" s="3">
        <f>1904+(9.4-451.9)+(-1.94208+(-0.009588--0.460938))+0-320.9--0.327318000000051</f>
        <v>1139.436588</v>
      </c>
      <c r="AA67" s="3">
        <f>1901.1+(119.5-394.1)+(-3.878244+(-0.24378--0.803964))+0-319.4--0.651575999999986</f>
        <v>1304.4335159999998</v>
      </c>
      <c r="AB67" s="3">
        <f>1785+(283.4-350.1)+(-4.55175+(-0.72267--0.892755))+0-319.1--0.813704999999954</f>
        <v>1395.63204</v>
      </c>
      <c r="AC67" s="3">
        <f>1634+(474.6-341.4)+(0+(0-0))+0-316.8-0</f>
        <v>1450.4</v>
      </c>
      <c r="AD67">
        <v>1282.8999999999999</v>
      </c>
      <c r="AE67" s="3">
        <f>1902+(126.6-425.5)+(0+(0-0))+0-320.2-0</f>
        <v>1282.8999999999999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1631+(492.6-373.5)+(-3.32724+(-1.004904--0.76194))+0-319.5--0.651779999999986</f>
        <v>1427.6815759999997</v>
      </c>
      <c r="G68" s="3">
        <f>1634.5+(471.3-350)+(-1.66719+(-0.480726--0.357))+0-320.8--0.327216000000051</f>
        <v>1433.5363000000002</v>
      </c>
      <c r="H68" s="3">
        <f>1636.8+(435-327.3)+(-2.504304+(-0.66555--0.500769))+0-319.7--0.489141000000018</f>
        <v>1422.620056</v>
      </c>
      <c r="I68" s="3">
        <f>1638.3+(395.9-333)+(0+(0-0))+0-321.3-0</f>
        <v>1379.8999999999999</v>
      </c>
      <c r="J68" s="3">
        <f>1643.7+(345.6-316.5)+(0.838287+(0.176256-0.161415))+0-320.6-0.163505999999967</f>
        <v>1352.8896220000001</v>
      </c>
      <c r="K68" s="3">
        <f>1649.9+(229-291.6)+(-3.365796+(-0.46716--0.594864))+0-320.7--0.654227999999986</f>
        <v>1264.016136</v>
      </c>
      <c r="L68" s="3">
        <f>1623.8+(97.5-295.7)+(-1.656276+(-0.09945--0.301614))+0-317.9--0.324258000000051</f>
        <v>1106.570146</v>
      </c>
      <c r="M68" s="3">
        <f>1562.2+(112.2-322.8)+(-1.593444+(-0.114444--0.329256))+0-317--0.323340000000051</f>
        <v>1033.5447080000001</v>
      </c>
      <c r="N68" s="3">
        <f>1561.4+(72-315.9)+(-2.388942+(-0.11016--0.483327))+0-316.4--0.484092000000018</f>
        <v>999.56831699999998</v>
      </c>
      <c r="O68" s="3">
        <f>1552.6+(78.1-333.7)+(-1.583652+(-0.079662--0.340374))+0-317.6--0.323952000000051</f>
        <v>978.40101200000004</v>
      </c>
      <c r="P68" s="3">
        <f>1553.9+(141.9-371.2)+(-2.377467+(-0.217107--0.567936))+0-318.1--0.486693000000018</f>
        <v>1004.9600550000001</v>
      </c>
      <c r="Q68" s="3">
        <f>1623.7+(194.5-413.4)+(-2.484261+(-0.297585--0.632502))+0-317.9--0.486387000000018</f>
        <v>1085.2370430000001</v>
      </c>
      <c r="R68" s="3">
        <f>1759+(201.6-403.3)+(-0.89709+(-0.102816--0.205683))+0-317.7--0.162026999999968</f>
        <v>1238.9678039999999</v>
      </c>
      <c r="S68" s="3">
        <f>1885.5+(233.9-421.3)+(-0.961605+(-0.119289--0.214863))+0-319--0.162689999999968</f>
        <v>1378.3966589999998</v>
      </c>
      <c r="T68" s="3">
        <f>1879.4+(297.5-397)+(-3.833976+(-0.6069--0.80988))+0-317.1--0.646883999999986</f>
        <v>1459.8158879999999</v>
      </c>
      <c r="U68" s="3">
        <f>1873.8+(292.9-376.6)+(-0.955638+(-0.149379--0.192066))+0-316.2--0.161261999999968</f>
        <v>1473.1483109999999</v>
      </c>
      <c r="V68" s="3">
        <f>1873.1+(176.7-356.3)+(-0.955281+(-0.090117--0.181713))+0-316.5--0.161414999999968</f>
        <v>1376.29773</v>
      </c>
      <c r="W68" s="3">
        <f>1881.7+(21.6-392)+(-3.838668+(-0.044064--0.79968))+0-317.3--0.647291999999986</f>
        <v>1191.5642400000002</v>
      </c>
      <c r="X68" s="3">
        <f>1901.7+(25-612.7)+(-4.849335+(-0.06375--1.562385))+0-317.4--0.809369999999954</f>
        <v>994.05867000000001</v>
      </c>
      <c r="Y68" s="3">
        <f>1917.2+(0-668.4)+(-2.933316+(0--1.022652))+0-317.1--0.485163000000018</f>
        <v>930.27449900000022</v>
      </c>
      <c r="Z68" s="3">
        <f>1929.4+(18.9-478.8)+(-2.951982+(-0.028917--0.732564))+0-316.9--0.484857000000018</f>
        <v>1150.8365220000001</v>
      </c>
      <c r="AA68" s="3">
        <f>1931.8+(80.4-399.2)+(-2.955654+(-0.123012--0.610776))+0-316.5--0.484245000000018</f>
        <v>1294.5163550000002</v>
      </c>
      <c r="AB68" s="3">
        <f>1929.7+(128.3-359.4)+(-3.936588+(-0.261732--0.733176))+0-316--0.644639999999986</f>
        <v>1379.7794960000001</v>
      </c>
      <c r="AC68" s="3">
        <f>1928.5+(207.5-355)+(-2.950605+(-0.317475--0.54315))+0-315.7--0.483021000000018</f>
        <v>1463.0580909999999</v>
      </c>
      <c r="AD68">
        <v>1300.7</v>
      </c>
      <c r="AE68" s="3">
        <f>1927+(81-392.5)+(0+(0-0))+0-314.8-0</f>
        <v>1300.7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1925.7+(209.8-368.6)+(-3.928428+(-0.427992--0.751944))+0-316.1--0.644843999999986</f>
        <v>1447.8403680000001</v>
      </c>
      <c r="G69" s="3">
        <f>1915.8+(206-361.5)+(-3.908232+(-0.42024--0.73746))+0-316.5--0.645659999999986</f>
        <v>1440.8546479999998</v>
      </c>
      <c r="H69" s="3">
        <f>1920.1+(158.6-345.5)+(-1.958502+(-0.161772--0.35241))+0-317.6--0.323952000000051</f>
        <v>1414.156088</v>
      </c>
      <c r="I69" s="3">
        <f>1929.6+(112.9-333.3)+(-0.984096+(-0.057579--0.169983))+0-317.9--0.162128999999968</f>
        <v>1390.5904370000001</v>
      </c>
      <c r="J69" s="3">
        <f>1931.6+(76.1-328)+(-1.970232+(-0.077622--0.33456))+0-316.9--0.32323800000005</f>
        <v>1361.409944</v>
      </c>
      <c r="K69" s="3">
        <f>1933.1+(20.4-384.5)+(-4.929405+(-0.05202--0.980475))+0-316.8--0.807839999999954</f>
        <v>1249.0068899999999</v>
      </c>
      <c r="L69" s="3">
        <f>1934+(0-518.7)+(0+(0-0))+0-316.3-0</f>
        <v>1099</v>
      </c>
      <c r="M69" s="3">
        <f>1934.6+(0-555.3)+(-1.973292+(0--0.566406))+0-316.6--0.322932000000051</f>
        <v>1061.6160460000001</v>
      </c>
      <c r="N69" s="3">
        <f>1900.6+(26.3-589.7)+(-3.877224+(-0.053652--1.202988))+0-315.5--0.643619999999986</f>
        <v>1019.6157319999999</v>
      </c>
      <c r="O69" s="3">
        <f>1921.3+(65.2-644.7)+(-0.979863+(-0.033252--0.328797))+0-334.7--0.170696999999966</f>
        <v>1006.5863789999999</v>
      </c>
      <c r="P69" s="3">
        <f>1892.7+(100.5-592.5)+(0+(0-0))+0-318.7-0</f>
        <v>1082</v>
      </c>
      <c r="Q69" s="3">
        <f>1906.9+(160.9-563)+(1.945038+(0.164118-0.57426))+0-318.8-0.325176000000051</f>
        <v>1187.2097200000001</v>
      </c>
      <c r="R69" s="3">
        <f>1897+(254.1-467.7)+(-0.96747+(-0.129591--0.238527))+0-320.7--0.163556999999967</f>
        <v>1362.0050229999999</v>
      </c>
      <c r="S69" s="3">
        <f>1889.6+(382.4-434.6)+(0+(0-0))+0-321.6-0</f>
        <v>1515.7999999999997</v>
      </c>
      <c r="T69" s="3">
        <f>1890.3+(390.8-400.2)+(-0.964053+(-0.199308--0.204102))+0-322.6--0.164525999999967</f>
        <v>1557.505267</v>
      </c>
      <c r="U69" s="3">
        <f>1886.7+(362.1-374.5)+(-4.811085+(-0.923355--0.954975))+0-323.4--0.824669999999953</f>
        <v>1546.945205</v>
      </c>
      <c r="V69" s="3">
        <f>1885.6+(250-356.6)+(-2.884968+(-0.3825--0.545598))+0-319.7--0.489141000000018</f>
        <v>1457.0672709999999</v>
      </c>
      <c r="W69" s="3">
        <f>1887.3+(101.3-428.6)+(-6.737661+(-0.361641--1.530102))+0-321.8--1.148826</f>
        <v>1233.7796260000002</v>
      </c>
      <c r="X69" s="3">
        <f>1902.5+(4-550.8)+(-6.791925+(-0.01428--1.966356))+0-323.3--1.154181</f>
        <v>1028.7143320000002</v>
      </c>
      <c r="Y69" s="3">
        <f>1914.1+(13-628.1)+(-0.976191+(-0.00663--0.320331))+0-321.1--0.163760999999967</f>
        <v>977.40127100000007</v>
      </c>
      <c r="Z69" s="3">
        <f>1907+(130.3-527.2)+(-1.94514+(-0.132906--0.537744))+0-322--0.328440000000051</f>
        <v>1186.8881379999998</v>
      </c>
      <c r="AA69" s="3">
        <f>1917.4+(188.9-439.4)+(-5.867244+(-0.578034--1.344564))+0-320.3--0.980118000000037</f>
        <v>1342.4794040000002</v>
      </c>
      <c r="AB69" s="3">
        <f>1920.1+(191-367)+(-3.917004+(-0.38964--0.74868))+0-320.3--0.653411999999986</f>
        <v>1420.8954479999998</v>
      </c>
      <c r="AC69" s="3">
        <f>1925+(223.7-340.4)+(-5.8905+(-0.684522--1.041624))+0-319.2--0.976752000000037</f>
        <v>1484.5433539999999</v>
      </c>
      <c r="AD69">
        <v>1305.0999999999999</v>
      </c>
      <c r="AE69" s="3">
        <f>1916+(158.1-448.2)+(0+(0-0))+0-320.8-0</f>
        <v>1305.1000000000001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1928.4+(202.5-333.1)+(-1.966968+(-0.20655--0.339762))+0-320.9--0.327318000000051</f>
        <v>1475.3935620000002</v>
      </c>
      <c r="G70" s="3">
        <f>1930.9+(161.1-315.6)+(-4.923795+(-0.410805--0.80478))+0-320.4--0.817019999999953</f>
        <v>1452.2872000000002</v>
      </c>
      <c r="H70" s="3">
        <f>1930+(131.4-302.8)+(-3.9372+(-0.268056--0.617712))+0-321.1--0.655043999999986</f>
        <v>1434.5675000000001</v>
      </c>
      <c r="I70" s="3">
        <f>1932+(112.5-319.8)+(-2.95596+(-0.172125--0.489294))+0-320.1--0.489753000000019</f>
        <v>1402.4509620000001</v>
      </c>
      <c r="J70" s="3">
        <f>1935.1+(77.4-308.8)+(-2.960703+(-0.118422--0.472464))+0-320.8--0.490824000000019</f>
        <v>1380.7841629999998</v>
      </c>
      <c r="K70" s="3">
        <f>1935.3+(24.3-365.6)+(-3.948012+(-0.049572--0.745824))+0-318.7--0.650147999999986</f>
        <v>1272.6983879999998</v>
      </c>
      <c r="L70" s="3">
        <f>1864+(0-435.8)+(-2.85192+(0--0.666774))+0-318.9--0.487917000000018</f>
        <v>1107.6027709999998</v>
      </c>
      <c r="M70" s="3">
        <f>1829.3+(34.4-485.9)+(-0.932943+(-0.017544--0.247809))+0-318.2--0.162281999999968</f>
        <v>1059.0596039999998</v>
      </c>
      <c r="N70" s="3">
        <f>1832.2+(74.8-532.8)+(0+(0-0))+0-319.2-0</f>
        <v>1055</v>
      </c>
      <c r="O70" s="3">
        <f>1824.1+(123.9-559.1)+(0.930291+(0.063189-0.285141))+0-320.2-0.163301999999968</f>
        <v>1069.2450369999999</v>
      </c>
      <c r="P70" s="3">
        <f>1860.8+(153.9-601)+(0.949008+(0.078489-0.30651))+0-319.2-0.162791999999968</f>
        <v>1095.0581949999996</v>
      </c>
      <c r="Q70" s="3">
        <f>1903.7+(189.5-572.5)+(0.970887+(0.096645-0.291975))+0-322.3-0.164372999999967</f>
        <v>1199.011184</v>
      </c>
      <c r="R70" s="3">
        <f>1898.9+(270.7-498.1)+(0+(0-0))+0-321-0</f>
        <v>1350.5</v>
      </c>
      <c r="S70" s="3">
        <f>1892.4+(208.6-542.3)+(0+(0-0))+0-228.9-0</f>
        <v>1329.8000000000002</v>
      </c>
      <c r="T70" s="3">
        <f>1886.3+(235.3-487.4)+(-2.886039+(-0.360009--0.745722))+0-196.5--0.300645000000011</f>
        <v>1435.500319</v>
      </c>
      <c r="U70" s="3">
        <f>1877.6+(317.7-421.1)+(1.915152+(0.324054-0.429522))+0-321.5-0.327930000000051</f>
        <v>1454.1817539999997</v>
      </c>
      <c r="V70" s="3">
        <f>1874.8+(241.6-412.6)+(-1.912296+(-0.246432--0.420852))+0-320.6--0.327012000000051</f>
        <v>1381.7891360000001</v>
      </c>
      <c r="W70" s="3">
        <f>1882.1+(178.6-518.4)+(-6.719097+(-0.637602--1.850688))+0-321.8--1.148826</f>
        <v>1216.1428150000002</v>
      </c>
      <c r="X70" s="3">
        <f>1892+(89-634.7)+(-4.8246+(-0.22695--1.618485))+0-322.3--0.821864999999953</f>
        <v>1021.3888000000001</v>
      </c>
      <c r="Y70" s="3">
        <f>1901.2+(46.5-647.9)+(-2.908836+(-0.071145--0.991287))+0-324.3--0.496179000000019</f>
        <v>974.00748500000032</v>
      </c>
      <c r="Z70" s="3">
        <f>1906.8+(149.9-547)+(-1.944936+(-0.152898--0.55794))+0-326.8--0.333336000000052</f>
        <v>1181.693442</v>
      </c>
      <c r="AA70" s="3">
        <f>1916.6+(218.8-476.8)+(-4.88733+(-0.55794--1.21584))+0-326.7--0.833084999999953</f>
        <v>1328.5036549999998</v>
      </c>
      <c r="AB70" s="3">
        <f>1924.1+(222-448.1)+(-3.925164+(-0.45288--0.914124))+0-324--0.660959999999986</f>
        <v>1371.19704</v>
      </c>
      <c r="AC70" s="3">
        <f>1923.8+(202.9-386.2)+(-3.924552+(-0.413916--0.787848))+0-323--0.658919999999986</f>
        <v>1414.6083000000001</v>
      </c>
      <c r="AD70">
        <v>1331.1000000000001</v>
      </c>
      <c r="AE70" s="3">
        <f>1917+(223.9-475.3)+(0+(0-0))+0-334.5-0</f>
        <v>1331.1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1922.8+(213.9-355.1)+(-1.961256+(-0.218178--0.362202))+0-325--0.331500000000052</f>
        <v>1455.1142679999998</v>
      </c>
      <c r="G71" s="3">
        <f>1925.3+(178.8-336.1)+(-3.927612+(-0.364752--0.685644))+0-324--0.660959999999986</f>
        <v>1441.0542399999999</v>
      </c>
      <c r="H71" s="3">
        <f>1926.1+(133.8-336.5)+(-3.929244+(-0.272952--0.68646))+0-325--0.662999999999986</f>
        <v>1395.5472639999998</v>
      </c>
      <c r="I71" s="3">
        <f>1924.8+(108.7-317)+(-2.944944+(-0.166311--0.48501))+0-327--0.500310000000019</f>
        <v>1387.3740650000002</v>
      </c>
      <c r="J71" s="3">
        <f>1926.1+(78-315.6)+(-0.982311+(-0.03978--0.160956))+0-324--0.165239999999967</f>
        <v>1363.8041049999999</v>
      </c>
      <c r="K71" s="3">
        <f>1925.2+(14.3-372.2)+(-2.945556+(-0.021879--0.569466))+0-324--0.495720000000019</f>
        <v>1241.3977510000002</v>
      </c>
      <c r="L71" s="3">
        <f>1926.8+(0-494.2)+(-1.965336+(0--0.504084))+0-321--0.327420000000051</f>
        <v>1110.4661679999999</v>
      </c>
      <c r="M71" s="3">
        <f>1921.9+(0-577.5)+(0+(0-0))+0-293-0</f>
        <v>1051.4000000000001</v>
      </c>
      <c r="N71" s="3">
        <f>1913.2+(31-577.9)+(1.951464+(0.03162-0.589458))+0-305-0.311100000000049</f>
        <v>1062.3825260000001</v>
      </c>
      <c r="O71" s="3">
        <f>1904.4+(94.9-613.9)+(0.971244+(0.048399-0.313089))+0-324-0.165239999999967</f>
        <v>1061.9413140000001</v>
      </c>
      <c r="P71" s="3">
        <f>1895.1+(159.6-634.5)+(0.966501+(0.081396-0.323595))+0-326-0.166259999999967</f>
        <v>1094.7580419999999</v>
      </c>
      <c r="Q71" s="3">
        <f>1881.9+(183.2-528.5)+(1.919538+(0.186864-0.53907))+0-327-0.333540000000052</f>
        <v>1210.8337920000001</v>
      </c>
      <c r="R71" s="3">
        <f>1874.9+(224.3-426.6)+(0.956199+(0.114393-0.217566))+0-328-0.167279999999967</f>
        <v>1345.2857460000002</v>
      </c>
      <c r="S71" s="3">
        <f>1865.6+(379.6-416.5)+(-0.951456+(-0.193596--0.212415))+0-328--0.167279999999967</f>
        <v>1499.9346429999996</v>
      </c>
      <c r="T71" s="3">
        <f>1855+(444-405.8)+(-0.94605+(-0.22644--0.206958))+0-326--0.166259999999967</f>
        <v>1566.4007280000001</v>
      </c>
      <c r="U71" s="3">
        <f>1853.1+(420.1-382.6)+(-2.835243+(-0.642753--0.585378))+0-324--0.495720000000019</f>
        <v>1564.2031019999999</v>
      </c>
      <c r="V71" s="3">
        <f>1855.9+(318.6-368)+(-1.893018+(-0.324972--0.37536))+0-327--0.333540000000052</f>
        <v>1477.99091</v>
      </c>
      <c r="W71" s="3">
        <f>1857.5+(151.5-395.4)+(-5.68395+(-0.46359--1.209924))+0-328--1.00368000000004</f>
        <v>1281.666064</v>
      </c>
      <c r="X71" s="3">
        <f>1863.8+(42.5-503.6)+(-5.703228+(-0.13005--1.541016))+0-324--0.991440000000037</f>
        <v>1075.3991779999999</v>
      </c>
      <c r="Y71" s="3">
        <f>1879.4+(0-555.8)+(-3.833976+(0--1.133832))+0-326--0.665039999999986</f>
        <v>995.5648960000002</v>
      </c>
      <c r="Z71" s="3">
        <f>1901.3+(87.9-465.6)+(-1.939326+(-0.089658--0.474912))+0-324--0.330480000000052</f>
        <v>1198.3764080000001</v>
      </c>
      <c r="AA71" s="3">
        <f>1910.8+(164.8-405.7)+(-5.847048+(-0.504288--1.241442))+0-324--0.991440000000037</f>
        <v>1341.7815460000002</v>
      </c>
      <c r="AB71" s="3">
        <f>1911.6+(225.4-384.9)+(-3.899664+(-0.459816--0.785196))+0-324--0.660959999999986</f>
        <v>1425.1866759999998</v>
      </c>
      <c r="AC71" s="3">
        <f>1908.9+(287.9-366.8)+(-0.973539+(-0.146829--0.187068))+0-322--0.164219999999967</f>
        <v>1507.23092</v>
      </c>
      <c r="AD71">
        <v>1339.9</v>
      </c>
      <c r="AE71" s="3">
        <f>1907+(169.9-415)+(0+(0-0))+0-322-0</f>
        <v>1339.9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1906.4+(337.8-353.5)+(-1.944528+(-0.344556--0.36057))+0-312--0.31824000000005</f>
        <v>1577.0897260000002</v>
      </c>
      <c r="G72" s="3">
        <f>1909+(301.1-342.4)+(-3.89436+(-0.614244--0.698496))+0-312--0.636479999999986</f>
        <v>1552.526372</v>
      </c>
      <c r="H72" s="3">
        <f>1910.4+(250.9-323.9)+(-3.897216+(-0.511836--0.660756))+0-312--0.636479999999986</f>
        <v>1522.288184</v>
      </c>
      <c r="I72" s="3">
        <f>1915.9+(190.5-305.7)+(-3.908436+(-0.38862--0.623628))+0-312--0.636479999999986</f>
        <v>1485.6630519999999</v>
      </c>
      <c r="J72" s="3">
        <f>1924+(136.4-300.5)+(-0.98124+(-0.069564--0.153255))+0-312--0.159119999999968</f>
        <v>1447.1615710000001</v>
      </c>
      <c r="K72" s="3">
        <f>1924.7+(47.9-324.1)+(-7.852776+(-0.195432--1.322328))+0-312--1.27295999999997</f>
        <v>1331.0470800000001</v>
      </c>
      <c r="L72" s="3">
        <f>1927.4+(6-441.8)+(-1.965948+(-0.00612--0.450636))+0-320--0.326400000000051</f>
        <v>1170.4049680000003</v>
      </c>
      <c r="M72" s="3">
        <f>1921+(17-516.1)+(-1.95942+(-0.01734--0.526422))+0-320--0.326400000000051</f>
        <v>1100.7760620000001</v>
      </c>
      <c r="N72" s="3">
        <f>1908+(91.4-557.4)+(0+(0-0))+0-321.8-0</f>
        <v>1120.2</v>
      </c>
      <c r="O72" s="3">
        <f>1891.7+(122.7-561.7)+(-1.929534+(-0.125154--0.572934))+0-323.3--0.329766000000052</f>
        <v>1128.2480120000002</v>
      </c>
      <c r="P72" s="3">
        <f>1873.7+(147.4-511.2)+(-2.866761+(-0.225522--0.782136))+0-324.2--0.496026000000019</f>
        <v>1183.8858790000002</v>
      </c>
      <c r="Q72" s="3">
        <f>1860+(193-429.5)+(-3.7944+(-0.39372--0.87618))+0-323.6--0.660143999999986</f>
        <v>1297.248204</v>
      </c>
      <c r="R72" s="3">
        <f>1848.2+(322.7-391.7)+(-1.885164+(-0.329154--0.399534))+0-325.1--0.331602000000052</f>
        <v>1452.6168180000002</v>
      </c>
      <c r="S72" s="3">
        <f>1844+(437.3-374.9)+(-1.88088+(-0.446046--0.382398))+0-323.4--0.329868000000052</f>
        <v>1581.38534</v>
      </c>
      <c r="T72" s="3">
        <f>1835.4+(484.3-351.3)+(0.936054+(0.246993-0.179163))+0-323.7-0.165086999999967</f>
        <v>1645.5387970000002</v>
      </c>
      <c r="U72" s="3">
        <f>1835.1+(476.6-336.9)+(-1.871802+(-0.486132--0.343638))+0-323.2--0.329664000000052</f>
        <v>1649.9153679999999</v>
      </c>
      <c r="V72" s="3">
        <f>1835.2+(378.1-319.5)+(-6.551664+(-1.349817--1.140615))+0-321.9--1.149183</f>
        <v>1566.288317</v>
      </c>
      <c r="W72" s="3">
        <f>1832.2+(153.3-301.5)+(-1.868844+(-0.156366--0.30753))+0-323--0.329460000000051</f>
        <v>1359.6117800000002</v>
      </c>
      <c r="X72" s="3">
        <f>1840.8+(20.3-379.1)+(-4.69404+(-0.051765--0.966705))+0-323.2--0.824159999999953</f>
        <v>1155.8450599999999</v>
      </c>
      <c r="Y72" s="3">
        <f>1844.8+(4-453.8)+(0+(0-0))+0-323.9-0</f>
        <v>1071.0999999999999</v>
      </c>
      <c r="Z72" s="3">
        <f>1855.4+(152.4-397.4)+(0+(0-0))+0-323.9-0</f>
        <v>1286.5</v>
      </c>
      <c r="AA72" s="3">
        <f>1871.7+(248.7-350.4)+(-3.818268+(-0.507348--0.714816))+0-321.7--0.656267999999986</f>
        <v>1445.345468</v>
      </c>
      <c r="AB72" s="3">
        <f>1859.3+(322.5-335.9)+(0+(0-0))+0-321.7-0</f>
        <v>1524.2</v>
      </c>
      <c r="AC72" s="3">
        <f>1884.9+(352.8-309.4)+(-3.845196+(-0.719712--0.631176))+0-320.8--0.654431999999986</f>
        <v>1604.2207000000003</v>
      </c>
      <c r="AD72">
        <v>1424.7</v>
      </c>
      <c r="AE72" s="3">
        <f>1871+(219.3-345.4)+(0+(0-0))+0-320.2-0</f>
        <v>1424.7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1939.6+(301.6-309.3)+(-3.956784+(-0.615264--0.630972))+0-320.8--0.654431999999986</f>
        <v>1607.8133559999999</v>
      </c>
      <c r="G73" s="3">
        <f>1941.7+(270.8-288.7)+(-4.951335+(-0.69054--0.736185))+0-320.8--0.818039999999953</f>
        <v>1598.9123500000001</v>
      </c>
      <c r="H73" s="3">
        <f>1942+(237.6-278.7)+(-0.99042+(-0.121176--0.142137))+0-320.8--0.163607999999967</f>
        <v>1579.2941490000003</v>
      </c>
      <c r="I73" s="3">
        <f>1941.1+(196.8-274.7)+(0+(0-0))+0-320.8-0</f>
        <v>1542.3999999999999</v>
      </c>
      <c r="J73" s="3">
        <f>1945.6+(133.6-270.2)+(-1.984512+(-0.136272--0.275604))+0-320.8--0.327216000000051</f>
        <v>1486.6820360000002</v>
      </c>
      <c r="K73" s="3">
        <f>1950+(85.7-314.1)+(-4.9725+(-0.218535--0.800955))+0-320.8--0.818039999999953</f>
        <v>1397.2279599999999</v>
      </c>
      <c r="L73" s="3">
        <f>1912.9+(57-358.4)+(1.951158+(0.05814-0.365568))+0-320.8-0.327216000000051</f>
        <v>1292.0165139999999</v>
      </c>
      <c r="M73" s="3">
        <f>1901.7+(24-443.4)+(-0.969867+(-0.01224--0.226134))+0-305--0.155549999999969</f>
        <v>1176.6995770000001</v>
      </c>
      <c r="N73" s="3">
        <f>1890.8+(82-487.1)+(2.892924+(0.12546-0.745263))+0-305-0.466650000000018</f>
        <v>1182.5064709999997</v>
      </c>
      <c r="O73" s="3">
        <f>1877.3+(202-595.9)+(-0.957423+(-0.10302--0.303909))+0-305--0.155549999999969</f>
        <v>1177.7990159999999</v>
      </c>
      <c r="P73" s="3">
        <f>1863.7+(291.8-632.4)+(0+(0-0))+0-305-0</f>
        <v>1218.1000000000001</v>
      </c>
      <c r="Q73" s="3">
        <f>1856.7+(316.3-557.2)+(0+(0-0))+0-321-0</f>
        <v>1294.8</v>
      </c>
      <c r="R73" s="3">
        <f>1850.6+(311.3-432.4)+(0.943806+(0.158763-0.220524))+0-318.6-0.162485999999968</f>
        <v>1411.619559</v>
      </c>
      <c r="S73" s="3">
        <f>1852.1+(409.3-390.2)+(-3.778284+(-0.834972--0.796008))+0-320.7--0.654227999999986</f>
        <v>1547.3369799999996</v>
      </c>
      <c r="T73" s="3">
        <f>1848.6+(419.1-337.1)+(-3.771144+(-0.854964--0.687684))+0-318.6--0.649943999999986</f>
        <v>1608.7115200000001</v>
      </c>
      <c r="U73" s="3">
        <f>1839.1+(408.5-313)+(-1.875882+(-0.41667--0.31926))+0-318--0.324360000000051</f>
        <v>1614.9510680000001</v>
      </c>
      <c r="V73" s="3">
        <f>1838.7+(323.7-307.2)+(-3.750948+(-0.660348--0.626688))+0-319.8--0.652391999999986</f>
        <v>1532.2677840000001</v>
      </c>
      <c r="W73" s="3">
        <f>1841.8+(177.6-353.6)+(-4.69659+(-0.45288--0.90168))+0-319.4--0.814469999999954</f>
        <v>1342.9666800000002</v>
      </c>
      <c r="X73" s="3">
        <f>1852.6+(52-474.6)+(-9.44826+(-0.2652--2.42046))+0-319.1--1.62741000000002</f>
        <v>1105.23441</v>
      </c>
      <c r="Y73" s="3">
        <f>1862.6+(17-545.8)+(-2.849778+(-0.02601--0.835074))+0-320.4--0.490212000000018</f>
        <v>1011.849498</v>
      </c>
      <c r="Z73" s="3">
        <f>1869.5+(91.2-416.4)+(0.953445+(0.046512-0.212364))+0-320.3-0.163352999999968</f>
        <v>1224.6242400000001</v>
      </c>
      <c r="AA73" s="3">
        <f>1871.1+(194.7-363.3)+(-3.817044+(-0.397188--0.741132))+0-321.6--0.656063999999986</f>
        <v>1378.0829639999999</v>
      </c>
      <c r="AB73" s="3">
        <f>1875.2+(228-321.1)+(-1.912704+(-0.23256--0.327522))+0-321.2--0.327624000000051</f>
        <v>1459.4098819999999</v>
      </c>
      <c r="AC73" s="3">
        <f>1899.7+(252.5-307.8)+(-4.844235+(-0.643875--0.78489))+0-320.2--0.816509999999954</f>
        <v>1520.3132899999998</v>
      </c>
      <c r="AD73">
        <v>1365.1999999999998</v>
      </c>
      <c r="AE73" s="3">
        <f>1870+(191-374.4)+(0+(0-0))+0-321.4-0</f>
        <v>1365.1999999999998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1892.2+(289.7-305.7)+(-4.82511+(-0.738735--0.779535))+0-320.6--0.817529999999954</f>
        <v>1551.6332199999999</v>
      </c>
      <c r="G74" s="3">
        <f>1889.7+(275.9-302.2)+(-4.818735+(-0.703545--0.77061))+0-321.1--0.818804999999953</f>
        <v>1538.367135</v>
      </c>
      <c r="H74" s="3">
        <f>1892.2+(236.3-287.7)+(0.965022+(0.120513-0.146727))+0-321.5-0.163964999999967</f>
        <v>1520.0748430000003</v>
      </c>
      <c r="I74" s="3">
        <f>1902.1+(205.9-284.7)+(-0.970071+(-0.105009--0.145197))+0-322.9--0.164678999999967</f>
        <v>1499.6347959999998</v>
      </c>
      <c r="J74" s="3">
        <f>1902.8+(182.4-295.5)+(-6.792996+(-0.651168--1.054935))+0-321.5--1.147755</f>
        <v>1462.9585260000001</v>
      </c>
      <c r="K74" s="3">
        <f>1901.7+(168.8-316.5)+(-8.728803+(-0.774792--1.452735))+0-321--1.47339000000006</f>
        <v>1426.4225300000001</v>
      </c>
      <c r="L74" s="3">
        <f>1910.6+(48-431.5)+(-4.87203+(-0.1224--1.100325))+0-318--0.810899999999954</f>
        <v>1206.0167949999998</v>
      </c>
      <c r="M74" s="3">
        <f>1900.1+(48-473.6)+(2.907153+(0.07344-0.724608))+0-318-0.486540000000018</f>
        <v>1158.2694449999999</v>
      </c>
      <c r="N74" s="3">
        <f>1880.1+(79.8-492.9)+(2.876553+(0.122094-0.754137))+0-320-0.489600000000018</f>
        <v>1148.7549099999999</v>
      </c>
      <c r="O74" s="3">
        <f>1864.8+(126.2-526)+(3.804192+(0.257448-1.07304))+0-319.6-0.651983999999986</f>
        <v>1147.7366159999997</v>
      </c>
      <c r="P74" s="3">
        <f>1859.8+(169.2-535)+(2.845494+(0.258876-0.81855))+0-319.4-0.488682000000018</f>
        <v>1176.397138</v>
      </c>
      <c r="Q74" s="3">
        <f>1853.9+(193.5-470.6)+(0+(0-0))+0-319.9-0</f>
        <v>1256.9000000000001</v>
      </c>
      <c r="R74" s="3">
        <f>1847.5+(280.1-348)+(-0.942225+(-0.142851--0.17748))+0-320--0.163199999999968</f>
        <v>1458.8556039999999</v>
      </c>
      <c r="S74" s="3">
        <f>1848.9+(399.9-339)+(-4.714695+(-1.019745--0.86445))+0-322.3--0.821864999999953</f>
        <v>1583.4518750000002</v>
      </c>
      <c r="T74" s="3">
        <f>1845.3+(469.7-334.9)+(-5.646618+(-1.437282--1.024794))+0-321.3--0.983178000000037</f>
        <v>1653.724072</v>
      </c>
      <c r="U74" s="3">
        <f>1840.1+(513-345.7)+(-2.815353+(-0.78489--0.528921))+0-320.8--0.490824000000019</f>
        <v>1684.0195019999999</v>
      </c>
      <c r="V74" s="3">
        <f>1838.9+(392.8-334.7)+(0+(0-0))+0-321.8-0</f>
        <v>1575.2</v>
      </c>
      <c r="W74" s="3">
        <f>1841.9+(206.1-355.1)+(1.878738+(0.210222-0.362202))+0-320-0.326400000000051</f>
        <v>1374.300358</v>
      </c>
      <c r="X74" s="3">
        <f>1852.8+(124.9-522.5)+(-2.834784+(-0.191097--0.799425))+0-321.1--0.491283000000019</f>
        <v>1132.3648269999997</v>
      </c>
      <c r="Y74" s="3">
        <f>1862.5+(96.8-607.6)+(0.949875+(0.049368-0.309876))+0-321-0.163709999999967</f>
        <v>1031.225657</v>
      </c>
      <c r="Z74" s="3">
        <f>1875.8+(206.9-525.8)+(-2.869974+(-0.316557--0.804474))+0-322--0.492660000000019</f>
        <v>1233.0106030000002</v>
      </c>
      <c r="AA74" s="3">
        <f>1905.7+(213.8-423.3)+(-1.943814+(-0.218076--0.431766))+0-322--0.328440000000051</f>
        <v>1372.7983160000001</v>
      </c>
      <c r="AB74" s="3">
        <f>1925.6+(220.2-356.4)+(-2.946168+(-0.336906--0.545292))+0-320--0.489600000000018</f>
        <v>1467.151818</v>
      </c>
      <c r="AC74" s="3">
        <f>1925.2+(242.9-296.6)+(0+(0-0))+0-320-0</f>
        <v>1551.5</v>
      </c>
      <c r="AD74">
        <v>1357.7</v>
      </c>
      <c r="AE74" s="3">
        <f>1897+(202-415.3)+(0+(0-0))+0-326-0</f>
        <v>1357.7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1911.1+(45.4-284.4)+(-1.949322+(-0.046308--0.290088))+0-320--0.326400000000051</f>
        <v>1350.7208580000001</v>
      </c>
      <c r="G75" s="3">
        <f>1909.8+(76.4-280.7)+(-3.895992+(-0.155856--0.572628))+0-320--0.652799999999986</f>
        <v>1382.6735800000001</v>
      </c>
      <c r="H75" s="3">
        <f>1895.7+(67.7-288.2)+(-3.867228+(-0.138108--0.587928))+0-320--0.652799999999986</f>
        <v>1352.4353920000001</v>
      </c>
      <c r="I75" s="3">
        <f>1893.1+(29.2-279.4)+(0.965481+(0.014892-0.142494))+0-321-0.163709999999967</f>
        <v>1322.5741689999998</v>
      </c>
      <c r="J75" s="3">
        <f>1904.8+(7.3-274.1)+(-1.942896+(-0.007446--0.279582))+0-322.4--0.328848000000051</f>
        <v>1314.258088</v>
      </c>
      <c r="K75" s="3">
        <f>1921.8+(0-258.5)+(-1.960236+(0--0.26367))+0-322.7--0.329154000000051</f>
        <v>1339.2325879999999</v>
      </c>
      <c r="L75" s="3">
        <f>1924.9+(2-390.7)+(-4.908495+(-0.0051--0.996285))+0-316.2--0.806309999999954</f>
        <v>1216.8889999999999</v>
      </c>
      <c r="M75" s="3">
        <f>1917.8+(7-411.9)+(0+(0-0))+0-315.2-0</f>
        <v>1197.7</v>
      </c>
      <c r="N75" s="3">
        <f>1900.7+(36.8-471.6)+(2.908071+(0.056304-0.721548))+0-315.2-0.482256000000018</f>
        <v>1152.4605710000001</v>
      </c>
      <c r="O75" s="3">
        <f>1881.5+(64.5-519.1)+(2.878695+(0.098685-0.794223))+0-316.6-0.484398000000018</f>
        <v>1111.9987590000001</v>
      </c>
      <c r="P75" s="3">
        <f>1869+(124.1-545.7)+(4.76595+(0.316455-1.391535))+0-318.7-0.812684999999954</f>
        <v>1131.5781850000001</v>
      </c>
      <c r="Q75" s="3">
        <f>1864.7+(170.7-514.3)+(2.852991+(0.261171-0.786879))+0-318.3-0.486999000000018</f>
        <v>1204.6402840000003</v>
      </c>
      <c r="R75" s="3">
        <f>1859+(229.5-420.5)+(-1.89618+(-0.23409--0.42891))+0-319.5--0.325890000000051</f>
        <v>1347.12453</v>
      </c>
      <c r="S75" s="3">
        <f>1868.6+(287.3-419.2)+(-0.952986+(-0.146523--0.213792))+0-318.7--0.162536999999968</f>
        <v>1417.2768199999996</v>
      </c>
      <c r="T75" s="3">
        <f>1866.2+(362.1-412.1)+(0+(0-0))+0-318.3-0</f>
        <v>1497.9</v>
      </c>
      <c r="U75" s="3">
        <f>1865.2+(363.4-400.5)+(0+(0-0))+0-318.4-0</f>
        <v>1509.6999999999998</v>
      </c>
      <c r="V75" s="3">
        <f>1877+(278.2-385.9)+(-2.87181+(-0.425646--0.590427))+0-319.3--0.488529000000018</f>
        <v>1447.7815000000001</v>
      </c>
      <c r="W75" s="3">
        <f>1884.2+(89.3-387.8)+(-4.80471+(-0.227715--0.98889))+0-319.4--0.814469999999954</f>
        <v>1263.070935</v>
      </c>
      <c r="X75" s="3">
        <f>1888.3+(2.5-509.7)+(-4.815165+(-0.006375--1.299735))+0-318.8--0.812939999999954</f>
        <v>1059.5911349999999</v>
      </c>
      <c r="Y75" s="3">
        <f>1895+(0-597)+(-1.9329+(0--0.60894))+0-319.1--0.325482000000051</f>
        <v>977.90152200000011</v>
      </c>
      <c r="Z75" s="3">
        <f>1896.5+(51.7-442.5)+(-1.93443+(-0.052734--0.45135))+0-318.9--0.325278000000051</f>
        <v>1185.5894639999999</v>
      </c>
      <c r="AA75" s="3">
        <f>1900.3+(155.7-413.1)+(-3.876612+(-0.317628--0.842724))+0-319.3--0.651371999999986</f>
        <v>1320.899856</v>
      </c>
      <c r="AB75" s="3">
        <f>1899.8+(215.6-397.8)+(-3.875592+(-0.439824--0.811512))+0-318--0.648719999999986</f>
        <v>1396.7448159999999</v>
      </c>
      <c r="AC75" s="3">
        <f>1898.5+(264.3-378.4)+(-1.93647+(-0.269586--0.385968))+0-318.1--0.324462000000051</f>
        <v>1464.8043740000003</v>
      </c>
      <c r="AD75">
        <v>1368.8000000000002</v>
      </c>
      <c r="AE75" s="3">
        <f>1894+(189.9-395.5)+(0+(0-0))+0-319.6-0</f>
        <v>1368.8000000000002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1898.5+(277-354.4)+(-3.87294+(-0.56508--0.722976))+0-317.5--0.647699999999986</f>
        <v>1500.5326559999999</v>
      </c>
      <c r="G76" s="3">
        <f>1893.9+(267.7-332.8)+(0+(0-0))+0-321.7-0</f>
        <v>1507.1000000000001</v>
      </c>
      <c r="H76" s="3">
        <f>1707.9+(378.5-294.1)+(-2.613087+(-0.579105--0.449973))+0-318.8--0.487764000000018</f>
        <v>1471.2455450000002</v>
      </c>
      <c r="I76" s="3">
        <f>1638.4+(375.4-275.1)+(-1.671168+(-0.382908--0.280602))+0-318.9--0.325278000000051</f>
        <v>1418.3518040000001</v>
      </c>
      <c r="J76" s="3">
        <f>1637.4+(327.7-258.7)+(0.835074+(0.167127-0.131937))+0-317.7-0.162026999999968</f>
        <v>1389.4082369999999</v>
      </c>
      <c r="K76" s="3">
        <f>1644.8+(203.4-223)+(-5.033088+(-0.622404--0.68238))+0-317.9--0.972774000000037</f>
        <v>1303.2996620000001</v>
      </c>
      <c r="L76" s="3">
        <f>1655.7+(82.7-263.8)+(-2.533221+(-0.126531--0.403614))+0-317.7--0.486081000000018</f>
        <v>1155.1299429999999</v>
      </c>
      <c r="M76" s="3">
        <f>1650.2+(62.8-305.8)+(1.683204+(0.064056-0.311916))+0-316.7-0.323034000000051</f>
        <v>1091.61231</v>
      </c>
      <c r="N76" s="3">
        <f>1645.7+(65.7-348)+(-4.196535+(-0.167535--0.8874))+0-317.9--0.810644999999954</f>
        <v>1042.833975</v>
      </c>
      <c r="O76" s="3">
        <f>1637.9+(115.6-418.2)+(-0.835329+(-0.058956--0.213282))+0-319.8--0.163097999999968</f>
        <v>1014.9820950000003</v>
      </c>
      <c r="P76" s="3">
        <f>1633.5+(159.5-447.7)+(0+(0-0))+0-320.9-0</f>
        <v>1024.4000000000001</v>
      </c>
      <c r="Q76" s="3">
        <f>1627.2+(190.1-398.5)+(0.829872+(0.096951-0.203235))+0-322.6-0.164525999999967</f>
        <v>1096.7590620000001</v>
      </c>
      <c r="R76" s="3">
        <f>1623.8+(353.8-410.3)+(0+(0-0))+0-322.3-0</f>
        <v>1245</v>
      </c>
      <c r="S76" s="3">
        <f>1619.1+(525.4-418.1)+(-0.825741+(-0.267954--0.213231))+0-320.6--0.163505999999967</f>
        <v>1405.0830419999998</v>
      </c>
      <c r="T76" s="3">
        <f>1614.4+(582-388.6)+(-4.11672+(-1.4841--0.99093))+0-322.6--0.822629999999953</f>
        <v>1481.41274</v>
      </c>
      <c r="U76" s="3">
        <f>1612.1+(584.1-381.3)+(-1.644342+(-0.595782--0.388926))+0-323--0.329460000000051</f>
        <v>1490.3782619999999</v>
      </c>
      <c r="V76" s="3">
        <f>1614.2+(486-360.2)+(-4.11621+(-1.2393--0.91851))+0-321.5--0.819824999999953</f>
        <v>1414.8828250000001</v>
      </c>
      <c r="W76" s="3">
        <f>1616.8+(266.2-351.1)+(-3.298272+(-0.543048--0.716244))+0-323.4--0.659735999999986</f>
        <v>1206.0346599999998</v>
      </c>
      <c r="X76" s="3">
        <f>1621.9+(78.7-375.5)+(-4.963014+(-0.240822--1.14903))+0-322.6--0.987156000000037</f>
        <v>999.43235000000004</v>
      </c>
      <c r="Y76" s="3">
        <f>1628.7+(45.3-411.1)+(-2.491911+(-0.069309--0.628983))+0-321.7--0.492201000000019</f>
        <v>939.75996400000008</v>
      </c>
      <c r="Z76" s="3">
        <f>1638.9+(195.9-387.5)+(-1.671678+(-0.199818--0.39525))+0-320.6--0.327012000000051</f>
        <v>1125.5507660000001</v>
      </c>
      <c r="AA76" s="3">
        <f>1647.6+(344.8-389.2)+(-3.361104+(-0.703392--0.793968))+0-321--0.654839999999986</f>
        <v>1279.5843119999997</v>
      </c>
      <c r="AB76" s="3">
        <f>1650.1+(409.3-366.8)+(-2.524653+(-0.626229--0.561204))+0-320.4--0.490212000000018</f>
        <v>1370.1005339999999</v>
      </c>
      <c r="AC76" s="3">
        <f>1650.6+(477.8-366.4)+(-2.525418+(-0.731034--0.560592))+0-319.4--0.488682000000018</f>
        <v>1440.392822</v>
      </c>
      <c r="AD76">
        <v>1310.2</v>
      </c>
      <c r="AE76" s="3">
        <f>1650+(368.4-386.2)+(0+(0-0))+0-322-0</f>
        <v>1310.2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1650.7+(495.7-345.9)+(-3.367428+(-1.011228--0.705636))+0-323.1--0.659123999999986</f>
        <v>1474.3861039999999</v>
      </c>
      <c r="G77" s="3">
        <f>1650.3+(483.1-349.1)+(0.841653+(0.246381-0.178041))+0-323.1-0.164780999999967</f>
        <v>1461.9452120000001</v>
      </c>
      <c r="H77" s="3">
        <f>1655.3+(440.9-332.1)+(-1.688406+(-0.449718--0.338742))+0-323.3--0.329766000000052</f>
        <v>1439.3303840000001</v>
      </c>
      <c r="I77" s="3">
        <f>1658+(390.6-316.7)+(0+(0-0))+0-321.4-0</f>
        <v>1410.5</v>
      </c>
      <c r="J77" s="3">
        <f>1659.7+(337.1-303)+(2.539341+(0.515763-0.46359))+0-321.6-0.492048000000019</f>
        <v>1374.2994659999999</v>
      </c>
      <c r="K77" s="3">
        <f>1660.4+(226.8-281)+(-5.080824+(-0.694008--0.85986))+0-321.9--0.985014000000037</f>
        <v>1280.3700420000002</v>
      </c>
      <c r="L77" s="3">
        <f>1659.9+(116.3-303.4)+(-1.693098+(-0.118626--0.309468))+0-320--0.326400000000051</f>
        <v>1151.6241440000003</v>
      </c>
      <c r="M77" s="3">
        <f>1655.6+(78.4-302.2)+(0.844356+(0.039984-0.154122))+0-317.6-0.161975999999968</f>
        <v>1114.7682420000001</v>
      </c>
      <c r="N77" s="3">
        <f>1645.7+(81.1-324.2)+(0+(0-0))+0-321.4-0</f>
        <v>1081.2000000000003</v>
      </c>
      <c r="O77" s="3">
        <f>1638.8+(121.7-361.2)+(-1.671576+(-0.124134--0.368424))+0-323.1--0.329562000000052</f>
        <v>1075.1022759999998</v>
      </c>
      <c r="P77" s="3">
        <f>1630.9+(159.1-373.6)+(0+(0-0))+0-323.4-0</f>
        <v>1093</v>
      </c>
      <c r="Q77" s="3">
        <f>1622.9+(247.3-388)+(0.827679+(0.126123-0.19788))+0-320.3-0.163352999999968</f>
        <v>1162.4925690000002</v>
      </c>
      <c r="R77" s="3">
        <f>1623+(457.2-413.1)+(1.65546+(0.466344-0.421362))+0-321.2-0.327624000000051</f>
        <v>1347.2728179999999</v>
      </c>
      <c r="S77" s="3">
        <f>1715.6+(537.2-413.8)+(-0.874956+(-0.273972--0.211038))+0-322.5--0.164474999999967</f>
        <v>1515.7265850000001</v>
      </c>
      <c r="T77" s="3">
        <f>1718.1+(580.6-411.6)+(0.876231+(0.296106-0.209916))+0-321.9-0.164168999999967</f>
        <v>1565.9982520000001</v>
      </c>
      <c r="U77" s="3">
        <f>1716.9+(578-401.7)+(-1.751238+(-0.58956--0.409734))+0-320.9--0.327318000000051</f>
        <v>1570.696254</v>
      </c>
      <c r="V77" s="3">
        <f>1720.9+(480.3-386)+(-1.755318+(-0.489906--0.39372))+0-320.9--0.327318000000051</f>
        <v>1492.7758140000001</v>
      </c>
      <c r="W77" s="3">
        <f>1720.3+(249.4-358.2)+(-4.386765+(-0.63597--0.91341))+0-322.7--0.822884999999953</f>
        <v>1285.5135600000001</v>
      </c>
      <c r="X77" s="3">
        <f>1718.6+(80.6-395.2)+(-6.135402+(-0.287742--1.410864))+0-321.5--1.147755</f>
        <v>1078.635475</v>
      </c>
      <c r="Y77" s="3">
        <f>1708.2+(60.6-422.4)+(-1.742364+(-0.061812--0.430848))+0-320--0.326400000000051</f>
        <v>1025.3530720000003</v>
      </c>
      <c r="Z77" s="3">
        <f>1710.3+(184-355.2)+(0.872253+(0.09384-0.181152))+0-318.9-0.162638999999968</f>
        <v>1220.8223019999998</v>
      </c>
      <c r="AA77" s="3">
        <f>1722.3+(329.6-345.7)+(-2.635119+(-0.504288--0.528921))+0-322.2--0.492966000000019</f>
        <v>1381.88248</v>
      </c>
      <c r="AB77" s="3">
        <f>1724.8+(424.3-344.7)+(-3.518592+(-0.865572--0.703188))+0-321.7--0.656267999999986</f>
        <v>1479.6752919999999</v>
      </c>
      <c r="AC77" s="3">
        <f>1726.2+(481.2-323)+(-4.40181+(-1.22706--0.82365))+0-320.1--0.816254999999954</f>
        <v>1560.3110349999999</v>
      </c>
      <c r="AD77">
        <v>1369.5</v>
      </c>
      <c r="AE77" s="3">
        <f>1726+(316.1-350)+(0+(0-0))+0-322.6-0</f>
        <v>1369.5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1730.6+(455.4-326.2)+(-2.647818+(-0.696762--0.499086))+0-321.7--0.492201000000019</f>
        <v>1535.746707</v>
      </c>
      <c r="G78" s="3">
        <f>1755+(412.3-329.7)+(-1.7901+(-0.420546--0.336294))+0-321.9--0.328338000000051</f>
        <v>1514.153986</v>
      </c>
      <c r="H78" s="3">
        <f>1883.1+(269.6-327.5)+(-1.920762+(-0.274992--0.33405))+0-322.4--0.328848000000051</f>
        <v>1501.2671439999999</v>
      </c>
      <c r="I78" s="3">
        <f>1894.2+(220.1-320.6)+(0.966042+(0.112251-0.163506))+0-322.8-0.164627999999967</f>
        <v>1471.650159</v>
      </c>
      <c r="J78" s="3">
        <f>1899.9+(174.5-312.9)+(-4.844745+(-0.444975--0.797895))+0-323.3--0.824414999999953</f>
        <v>1434.53259</v>
      </c>
      <c r="K78" s="3">
        <f>1903.5+(84.9-315.5)+(-6.795495+(-0.303093--1.126335))+0-324.1--1.157037</f>
        <v>1343.9847840000002</v>
      </c>
      <c r="L78" s="3">
        <f>1910.5+(16.1-399)+(1.94871+(0.016422-0.40698))+0-321.7-0.328134000000051</f>
        <v>1207.1300179999998</v>
      </c>
      <c r="M78" s="3">
        <f>1905.1+(48.9-474.1)+(0+(0-0))+0-319.4-0</f>
        <v>1160.5</v>
      </c>
      <c r="N78" s="3">
        <f>1884.9+(113.7-523)+(0+(0-0))+0-321.7-0</f>
        <v>1153.9000000000001</v>
      </c>
      <c r="O78" s="3">
        <f>1873.1+(174.4-564.5)+(0.955281+(0.088944-0.287895))+0-323.2-0.164831999999967</f>
        <v>1160.391498</v>
      </c>
      <c r="P78" s="3">
        <f>1863.9+(241-565.2)+(1.901178+(0.24582-0.576504))+0-323.9-0.330378000000052</f>
        <v>1217.0401160000001</v>
      </c>
      <c r="Q78" s="3">
        <f>1857+(282.8-490.7)+(0.94707+(0.144228-0.250257))+0-323.4-0.164933999999967</f>
        <v>1326.376107</v>
      </c>
      <c r="R78" s="3">
        <f>1847.7+(333.9-425.2)+(0.942327+(0.170289-0.216852))+0-323.1-0.164780999999967</f>
        <v>1434.0309830000001</v>
      </c>
      <c r="S78" s="3">
        <f>1840.2+(459.1-392)+(-1.877004+(-0.468282--0.39984))+0-321.8--0.328236000000051</f>
        <v>1583.8827900000003</v>
      </c>
      <c r="T78" s="3">
        <f>1826.9+(517-390.2)+(-0.931719+(-0.26367--0.199002))+0-321.2--0.163811999999967</f>
        <v>1631.6674250000001</v>
      </c>
      <c r="U78" s="3">
        <f>1826.1+(513.3-381.2)+(-3.725244+(-1.047132--0.777648))+0-319.3--0.651371999999986</f>
        <v>1635.556644</v>
      </c>
      <c r="V78" s="3">
        <f>1832.9+(402.8-356.6)+(-6.543453+(-1.437996--1.273062))+0-319.4--1.140258</f>
        <v>1554.131871</v>
      </c>
      <c r="W78" s="3">
        <f>1829.7+(199-346.4)+(-2.799441+(-0.30447--0.529992))+0-319.8--0.489294000000018</f>
        <v>1360.4153750000003</v>
      </c>
      <c r="X78" s="3">
        <f>1833.9+(119.3-507)+(-4.676445+(-0.304215--1.29285))+0-319.9--0.815744999999954</f>
        <v>1123.4279350000002</v>
      </c>
      <c r="Y78" s="3">
        <f>1858.4+(44.1-538.3)+(-2.843352+(-0.067473--0.823599))+0-319.8--0.489294000000018</f>
        <v>1042.8020680000002</v>
      </c>
      <c r="Z78" s="3">
        <f>1870.9+(173.2-465.6)+(-1.908318+(-0.176664--0.474912))+0-321.2--0.327624000000051</f>
        <v>1256.017554</v>
      </c>
      <c r="AA78" s="3">
        <f>1882.8+(236.6-390.1)+(-3.840912+(-0.482664--0.795804))+0-320.8--0.654431999999986</f>
        <v>1405.6266600000001</v>
      </c>
      <c r="AB78" s="3">
        <f>1879.7+(291-372.4)+(-3.834588+(-0.59364--0.759696))+0-322.1--0.657083999999986</f>
        <v>1473.1885520000001</v>
      </c>
      <c r="AC78" s="3">
        <f>1884.2+(345.8-368)+(-2.882826+(-0.529074--0.56304))+0-321.4--0.491742000000019</f>
        <v>1538.2428819999998</v>
      </c>
      <c r="AD78">
        <v>1386.8</v>
      </c>
      <c r="AE78" s="3">
        <f>1875+(231-398.4)+(0+(0-0))+0-320.8-0</f>
        <v>1386.8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1890.6+(315.7-346.6)+(-4.82103+(-0.805035--0.88383))+0-322.1--0.821354999999953</f>
        <v>1533.6791199999998</v>
      </c>
      <c r="G79" s="3">
        <f>1850.9+(330.8-348.2)+(-3.775836+(-0.674832--0.710328))+0-320.7--0.654227999999986</f>
        <v>1509.7138879999998</v>
      </c>
      <c r="H79" s="3">
        <f>1837.7+(326.1-350.9)+(-1.874454+(-0.332622--0.357918))+0-322.4--0.328848000000051</f>
        <v>1488.9796900000001</v>
      </c>
      <c r="I79" s="3">
        <f>1848.5+(281.2-339.8)+(-4.713675+(-0.71706--0.86649))+0-323.5--0.824924999999953</f>
        <v>1462.66068</v>
      </c>
      <c r="J79" s="3">
        <f>1852.1+(238.4-331.2)+(-4.722855+(-0.60792--0.84456))+0-321.5--0.819824999999953</f>
        <v>1434.1336100000001</v>
      </c>
      <c r="K79" s="3">
        <f>1852.1+(113.1-304.4)+(-4.722855+(-0.288405--0.77622))+0-322.8--0.823139999999953</f>
        <v>1334.5880999999999</v>
      </c>
      <c r="L79" s="3">
        <f>1864.5+(40.5-341.6)+(0.950895+(0.020655-0.174216))+0-320.6-0.163505999999967</f>
        <v>1243.4338280000002</v>
      </c>
      <c r="M79" s="3">
        <f>1864.3+(49.5-406.4)+(0+(0-0))+0-319.8-0</f>
        <v>1187.6000000000001</v>
      </c>
      <c r="N79" s="3">
        <f>1840.3+(111.2-452.8)+(-1.877106+(-0.113424--0.461856))+0-322.2--0.328644000000051</f>
        <v>1175.2999699999998</v>
      </c>
      <c r="O79" s="3">
        <f>1829.2+(148.7-464)+(-1.865784+(-0.151674--0.47328))+0-323--0.329460000000051</f>
        <v>1189.6852820000001</v>
      </c>
      <c r="P79" s="3">
        <f>1839.6+(181.9-454.1)+(-2.814588+(-0.278307--0.694773))+0-323.7--0.495261000000019</f>
        <v>1241.7971389999998</v>
      </c>
      <c r="Q79" s="3">
        <f>1837.4+(318.9-473.8)+(0.937074+(0.162639-0.241638))+0-323.4-0.164933999999967</f>
        <v>1359.7931410000001</v>
      </c>
      <c r="R79" s="3">
        <f>1824.1+(520.9-489.2)+(1.860582+(0.531318-0.498984))+0-322.9-0.329358000000051</f>
        <v>1534.4635579999999</v>
      </c>
      <c r="S79" s="3">
        <f>1812.9+(642.3-438)+(-1.849158+(-0.655146--0.44676))+0-323.7--0.330174000000052</f>
        <v>1691.7726299999999</v>
      </c>
      <c r="T79" s="3">
        <f>1812.5+(663.7-412)+(-0.924375+(-0.338487--0.21012))+0-322--0.164219999999967</f>
        <v>1741.3114779999999</v>
      </c>
      <c r="U79" s="3">
        <f>1826.8+(592.9-366.8)+(-0.931668+(-0.302379--0.187068))+0-321.5--0.163964999999967</f>
        <v>1730.5169859999999</v>
      </c>
      <c r="V79" s="3">
        <f>1819.4+(501.2-332.9)+(-1.855788+(-0.511224--0.339558))+0-322.7--0.329154000000051</f>
        <v>1663.3017</v>
      </c>
      <c r="W79" s="3">
        <f>1803.4+(305.6-325.2)+(-2.759202+(-0.467568--0.497556))+0-323.3--0.494649000000019</f>
        <v>1458.2654350000003</v>
      </c>
      <c r="X79" s="3">
        <f>1814.4+(189.9-470.5)+(-4.62672+(-0.484245--1.199775))+0-323.1--0.823904999999953</f>
        <v>1207.612715</v>
      </c>
      <c r="Y79" s="3">
        <f>1827.7+(94.8-488.6)+(-3.728508+(-0.193392--0.996744))+0-322.3--0.657491999999986</f>
        <v>1109.3323360000002</v>
      </c>
      <c r="Z79" s="3">
        <f>1849.8+(199.3-382)+(0+(0-0))+0-324.9-0</f>
        <v>1342.1999999999998</v>
      </c>
      <c r="AA79" s="3">
        <f>1863.6+(314.7-364.7)+(-1.900872+(-0.320994--0.371994))+0-323.5--0.329970000000052</f>
        <v>1488.5800979999999</v>
      </c>
      <c r="AB79" s="3">
        <f>1872.6+(379.9-362.1)+(-2.865078+(-0.581247--0.554013))+0-323.9--0.495567000000019</f>
        <v>1564.103255</v>
      </c>
      <c r="AC79" s="3">
        <f>1879.6+(431.8-368.1)+(-0.958596+(-0.220218--0.187731))+0-321.7--0.164066999999967</f>
        <v>1620.772984</v>
      </c>
      <c r="AD79">
        <v>1427.6999999999998</v>
      </c>
      <c r="AE79" s="3">
        <f>1855+(277.7-381.2)+(0+(0-0))+0-323.8-0</f>
        <v>1427.7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1882.9+(374.8-380.8)+(-0.960279+(-0.191148--0.194208))+0-321.4--0.163913999999967</f>
        <v>1554.7066950000001</v>
      </c>
      <c r="G80" s="3">
        <f>1885.7+(343.3-366.5)+(-1.923414+(-0.350166--0.37383))+0-323.4--0.329868000000052</f>
        <v>1537.5301179999999</v>
      </c>
      <c r="H80" s="3">
        <f>1890.4+(293-351.1)+(-1.928208+(-0.29886--0.358122))+0-322.2--0.328644000000051</f>
        <v>1508.559698</v>
      </c>
      <c r="I80" s="3">
        <f>1891.7+(276.8-378)+(-5.788602+(-0.847008--1.15668))+0-322.8--0.987768000000037</f>
        <v>1463.208838</v>
      </c>
      <c r="J80" s="3">
        <f>1892.2+(277.9-390.4)+(0.965022+(0.141729-0.199104))+0-323.3-0.164882999999967</f>
        <v>1457.1427640000002</v>
      </c>
      <c r="K80" s="3">
        <f>1895.9+(175.6-378.4)+(-1.933818+(-0.179112--0.385968))+0-321.2--0.327624000000051</f>
        <v>1370.5006620000001</v>
      </c>
      <c r="L80" s="3">
        <f>1894.8+(56.7-391.5)+(-1.932696+(-0.057834--0.39933))+0-319.3--0.325686000000051</f>
        <v>1239.4344860000001</v>
      </c>
      <c r="M80" s="3">
        <f>1886+(51.8-442.3)+(1.92372+(0.052836-0.451146))+0-317-0.323340000000051</f>
        <v>1179.7020699999998</v>
      </c>
      <c r="N80" s="3">
        <f>1878.3+(125.3-502.1)+(2.873799+(0.191709-0.768213))+0-319.3-0.488529000000018</f>
        <v>1184.0087660000002</v>
      </c>
      <c r="O80" s="3">
        <f>1868.8+(194.4-546.5)+(0.953088+(0.099144-0.278715))+0-322.8-0.164627999999967</f>
        <v>1194.508889</v>
      </c>
      <c r="P80" s="3">
        <f>1857.3+(225.6-517.4)+(0.947223+(0.115056-0.263874))+0-321.9-0.164168999999967</f>
        <v>1244.234236</v>
      </c>
      <c r="Q80" s="3">
        <f>1847.9+(234.8-557.7)+(0+(0-0))+0-171.3-0</f>
        <v>1353.7</v>
      </c>
      <c r="R80" s="3">
        <f>1835.9+(275.9-532)+(0.936309+(0.140709-0.27132))+0-171.3-0.0873629999999826</f>
        <v>1409.218335</v>
      </c>
      <c r="S80" s="3">
        <f>1829+(397-414)+(-2.79837+(-0.60741--0.63342))+0-171.3--0.26208900000001</f>
        <v>1638.1897290000002</v>
      </c>
      <c r="T80" s="3">
        <f>1824.1+(480.4-385.5)+(1.860582+(0.490008-0.39321))+0-172.4-0.175848000000027</f>
        <v>1748.3815319999999</v>
      </c>
      <c r="U80" s="3">
        <f>1822.6+(561.1-366.2)+(-3.718104+(-1.144644--0.747048))+0-279--0.569159999999988</f>
        <v>1734.95346</v>
      </c>
      <c r="V80" s="3">
        <f>1826.7+(483-348.8)+(-2.794851+(-0.73899--0.533664))+0-285.5--0.436815000000017</f>
        <v>1672.8366380000002</v>
      </c>
      <c r="W80" s="3">
        <f>1834.6+(304.5-325.4)+(-1.871292+(-0.31059--0.331908))+0-285.5--0.291210000000046</f>
        <v>1526.6412359999999</v>
      </c>
      <c r="X80" s="3">
        <f>1828.6+(177.4-412.2)+(-7.460688+(-0.723792--1.681776))+0-285.5--1.16483999999998</f>
        <v>1302.9621359999999</v>
      </c>
      <c r="Y80" s="3">
        <f>1845+(151.2-497.4)+(-1.8819+(-0.154224--0.507348))+0-331.6--0.338232000000053</f>
        <v>1166.0094559999998</v>
      </c>
      <c r="Z80" s="3">
        <f>1868.7+(258.5-432.5)+(-3.812148+(-0.52734--0.8823))+0-332.3--0.677891999999986</f>
        <v>1359.6207039999999</v>
      </c>
      <c r="AA80" s="3">
        <f>1874.9+(283.4-344.3)+(-4.780995+(-0.72267--0.877965))+0-302.7--0.771884999999956</f>
        <v>1507.4461849999998</v>
      </c>
      <c r="AB80" s="3">
        <f>1871.7+(309.4-335.6)+(-3.818268+(-0.631176--0.684624))+0-293.7--0.599147999999987</f>
        <v>1548.6343279999999</v>
      </c>
      <c r="AC80" s="3">
        <f>1880.6+(398.7-362.4)+(-3.836424+(-0.813348--0.739296))+0-307.7--0.627707999999987</f>
        <v>1605.9172319999998</v>
      </c>
      <c r="AD80">
        <v>1496.3999999999999</v>
      </c>
      <c r="AE80" s="3">
        <f>1866+(233.7-360.1)+(0+(0-0))+0-243.2-0</f>
        <v>1496.3999999999999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1880.9+(392.5-369.2)+(0+(0-0))+0-322.2-0</f>
        <v>1582</v>
      </c>
      <c r="G81" s="3">
        <f>1866.2+(410.4-381.9)+(-0.951762+(-0.209304--0.194769))+0-324.7--0.165596999999967</f>
        <v>1569.1993</v>
      </c>
      <c r="H81" s="3">
        <f>1736.6+(486.3-345.1)+(0.885666+(0.248013-0.176001))+0-331.3-0.168962999999966</f>
        <v>1547.2887149999999</v>
      </c>
      <c r="I81" s="3">
        <f>1649.8+(513.4-317.9)+(-0.841398+(-0.261834--0.162129))+0-332.3--0.169472999999966</f>
        <v>1512.2283699999998</v>
      </c>
      <c r="J81" s="3">
        <f>1658.9+(456.5-305.6)+(-0.846039+(-0.232815--0.155856))+0-331.1--0.168860999999966</f>
        <v>1477.9458630000001</v>
      </c>
      <c r="K81" s="3">
        <f>1659.3+(342.4-290.3)+(-4.231215+(-0.87312--0.740265))+0-332.6--0.848129999999952</f>
        <v>1375.2840599999995</v>
      </c>
      <c r="L81" s="3">
        <f>1657.9+(157.1-280.5)+(-1.691058+(-0.160242--0.28611))+0-329.5--0.336090000000053</f>
        <v>1203.7709</v>
      </c>
      <c r="M81" s="3">
        <f>1647.6+(143.1-298.2)+(1.680552+(0.145962-0.304164))+0-328.9-0.335478000000052</f>
        <v>1164.7868720000001</v>
      </c>
      <c r="N81" s="3">
        <f>1635.7+(219.8-349.5)+(2.502621+(0.336294-0.534735))+0-328.7-0.502911000000019</f>
        <v>1179.101269</v>
      </c>
      <c r="O81" s="3">
        <f>1628.7+(273.7-399.8)+(0+(0-0))+0-331-0</f>
        <v>1171.5999999999999</v>
      </c>
      <c r="P81" s="3">
        <f>1621.1+(315.6-380.1)+(0+(0-0))+0-331.6-0</f>
        <v>1225</v>
      </c>
      <c r="Q81" s="3">
        <f>1605.4+(384.5-348.7)+(1.637508+(0.39219-0.355674))+0-330.5-0.337110000000053</f>
        <v>1312.0369139999998</v>
      </c>
      <c r="R81" s="3">
        <f>1593.4+(550.9-341.8)+(-0.812634+(-0.280959--0.174318))+0-328.6--0.167585999999967</f>
        <v>1473.1483109999999</v>
      </c>
      <c r="S81" s="3">
        <f>1586+(657.1-323.7)+(-3.23544+(-1.340484--0.660348))+0-327.7--0.668507999999986</f>
        <v>1588.4529319999999</v>
      </c>
      <c r="T81" s="3">
        <f>1585.5+(731-345.2)+(-3.23442+(-1.49124--0.704208))+0-328.6--0.670343999999986</f>
        <v>1639.3488919999998</v>
      </c>
      <c r="U81" s="3">
        <f>1579+(747.5-344.5)+(-0.80529+(-0.381225--0.175695))+0-327--0.166769999999967</f>
        <v>1654.1559500000001</v>
      </c>
      <c r="V81" s="3">
        <f>1577.6+(652.8-316.9)+(-4.02288+(-1.66464--0.808095))+0-327--0.833849999999953</f>
        <v>1582.4544249999999</v>
      </c>
      <c r="W81" s="3">
        <f>1588.7+(444.3-312.2)+(-1.620474+(-0.453186--0.318444))+0-326.9--0.333438000000052</f>
        <v>1392.4782220000002</v>
      </c>
      <c r="X81" s="3">
        <f>1596.4+(220.7-316)+(-4.884984+(-0.675342--0.96696))+0-329.1--1.00704600000004</f>
        <v>1168.4136799999999</v>
      </c>
      <c r="Y81" s="3">
        <f>1607.5+(147.4-345.2)+(-0.819825+(-0.075174--0.176052))+0-330.7--0.168656999999966</f>
        <v>1078.4497099999999</v>
      </c>
      <c r="Z81" s="3">
        <f>1626+(313.4-326.8)+(-2.48778+(-0.479502--0.500004))+0-329.6--0.504288000000019</f>
        <v>1281.03701</v>
      </c>
      <c r="AA81" s="3">
        <f>1630.4+(423.7-313.5)+(-2.494512+(-0.648261--0.479655))+0-327.2--0.500616000000019</f>
        <v>1411.2374980000002</v>
      </c>
      <c r="AB81" s="3">
        <f>1634+(491.9-320.3)+(-5.00004+(-1.505214--0.980118))+0-327.3--1.00153800000004</f>
        <v>1473.776402</v>
      </c>
      <c r="AC81" s="3">
        <f>1641+(527.4-311.9)+(-1.67382+(-0.537948--0.318138))+0-327--0.333540000000052</f>
        <v>1527.9399100000001</v>
      </c>
      <c r="AD81">
        <v>1423.2999999999997</v>
      </c>
      <c r="AE81" s="3">
        <f>1634+(439.2-312.5)+(0+(0-0))+0-337.4-0</f>
        <v>1423.3000000000002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1646.2+(563.6-326.9)+(-3.358248+(-1.149744--0.666876))+0-326.7--0.666467999999986</f>
        <v>1553.0253519999999</v>
      </c>
      <c r="G82" s="3">
        <f>1649.6+(566.6-340.9)+(-4.20648+(-1.44483--0.869295))+0-326.6--0.832829999999953</f>
        <v>1544.7508150000001</v>
      </c>
      <c r="H82" s="3">
        <f>1652.2+(529.6-327.1)+(-1.685244+(-0.540192--0.333642))+0-326.6--0.333132000000052</f>
        <v>1526.5413380000002</v>
      </c>
      <c r="I82" s="3">
        <f>1653.4+(487.2-316)+(-0.843234+(-0.248472--0.16116))+0-324--0.165239999999967</f>
        <v>1499.8346940000001</v>
      </c>
      <c r="J82" s="3">
        <f>1653.6+(444.8-314.7)+(-1.686672+(-0.453696--0.320994))+0-322.9--0.329358000000051</f>
        <v>1459.309984</v>
      </c>
      <c r="K82" s="3">
        <f>1656.9+(337-299.8)+(-4.225095+(-0.85935--0.76449))+0-321.5--0.819824999999953</f>
        <v>1369.0998700000002</v>
      </c>
      <c r="L82" s="3">
        <f>1660.8+(180.9-304.6)+(0+(0-0))+0-291.2-0</f>
        <v>1245.8999999999999</v>
      </c>
      <c r="M82" s="3">
        <f>1631.4+(196.5-328.7)+(0.832014+(0.100215-0.167637))+0-322.7-0.164576999999967</f>
        <v>1177.100015</v>
      </c>
      <c r="N82" s="3">
        <f>1502.5+(281.9-323.4)+(-0.766275+(-0.143769--0.164934))+0-320.9--0.163658999999967</f>
        <v>1139.5185490000001</v>
      </c>
      <c r="O82" s="3">
        <f>1493.2+(325.2-360)+(-0.761532+(-0.165852--0.1836))+0-320.7--0.163556999999967</f>
        <v>1137.1197729999999</v>
      </c>
      <c r="P82" s="3">
        <f>1564+(326-386.6)+(-0.79764+(-0.16626--0.197166))+0-319.7--0.163046999999968</f>
        <v>1183.096313</v>
      </c>
      <c r="Q82" s="3">
        <f>1612+(403.2-412.7)+(0.82212+(0.205632-0.210477))+0-321.3-0.163862999999967</f>
        <v>1281.8534120000002</v>
      </c>
      <c r="R82" s="3">
        <f>1610.1+(541.5-381.7)+(-0.821151+(-0.276165--0.194667))+0-321.9--0.164168999999967</f>
        <v>1447.2615199999998</v>
      </c>
      <c r="S82" s="3">
        <f>1611.6+(641.6-353.6)+(-1.643832+(-0.654432--0.360672))+0-320.3--0.326706000000051</f>
        <v>1577.689114</v>
      </c>
      <c r="T82" s="3">
        <f>1609.2+(665.6-322.8)+(-3.282768+(-1.357824--0.658512))+0-320.2--0.653207999999986</f>
        <v>1628.4711279999999</v>
      </c>
      <c r="U82" s="3">
        <f>1612.4+(661-308.4)+(-2.466972+(-1.01133--0.471852))+0-319.1--0.488223000000018</f>
        <v>1643.3817729999998</v>
      </c>
      <c r="V82" s="3">
        <f>1608.1+(591.8-306.1)+(-2.460393+(-0.905454--0.468333))+0-322.5--0.493425000000019</f>
        <v>1568.8959109999998</v>
      </c>
      <c r="W82" s="3">
        <f>1608.3+(385.5-291)+(-4.101165+(-0.983025--0.74205))+0-318.7--0.812684999999954</f>
        <v>1380.5705449999998</v>
      </c>
      <c r="X82" s="3">
        <f>1625.1+(178.5-322.9)+(-4.144005+(-0.455175--0.823395))+0-318.8--0.812939999999954</f>
        <v>1158.9371549999998</v>
      </c>
      <c r="Y82" s="3">
        <f>1642.9+(127-387.9)+(-1.675758+(-0.12954--0.395658))+0-319.3--0.325686000000051</f>
        <v>1061.6160460000001</v>
      </c>
      <c r="Z82" s="3">
        <f>1647+(297.8-346.5)+(0.83997+(0.151878-0.176715))+0-319.4-0.162893999999968</f>
        <v>1279.5522390000001</v>
      </c>
      <c r="AA82" s="3">
        <f>1650+(456.9-332.6)+(-3.366+(-0.932076--0.678504))+0-320.1--0.653003999999986</f>
        <v>1451.2334319999998</v>
      </c>
      <c r="AB82" s="3">
        <f>1648.4+(520-330.1)+(-1.681368+(-0.5304--0.336702))+0-318.6--0.324972000000051</f>
        <v>1518.1499060000003</v>
      </c>
      <c r="AC82" s="3">
        <f>1647.7+(560.6-302.6)+(-1.680654+(-0.571812--0.308652))+0-317.2--0.323544000000051</f>
        <v>1586.8797300000001</v>
      </c>
      <c r="AD82">
        <v>1409.1</v>
      </c>
      <c r="AE82" s="3">
        <f>1651+(424.6-338.1)+(0+(0-0))+0-328.4-0</f>
        <v>1409.1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1636.5+(531.2-306.5)+(-1.66923+(-0.541824--0.31263))+0-316.9--0.32323800000005</f>
        <v>1542.7248140000002</v>
      </c>
      <c r="G83" s="3">
        <f>1638.1+(539.3-312.9)+(-4.177155+(-1.375215--0.797895))+0-320.4--0.817019999999953</f>
        <v>1540.1625450000001</v>
      </c>
      <c r="H83" s="3">
        <f>1637.7+(500.6-302.2)+(-4.176135+(-1.27653--0.77061))+0-319.4--0.814469999999954</f>
        <v>1512.8324150000001</v>
      </c>
      <c r="I83" s="3">
        <f>1639.9+(459-296)+(0.836349+(0.23409-0.15096))+0-318.8-0.162587999999968</f>
        <v>1484.8568910000001</v>
      </c>
      <c r="J83" s="3">
        <f>1641.5+(428.4-292.3)+(0+(0-0))+0-318.9-0</f>
        <v>1458.6999999999998</v>
      </c>
      <c r="K83" s="3">
        <f>1643.6+(335.5-287.6)+(-5.029416+(-1.02663--0.880056))+0-319.3--0.977058000000037</f>
        <v>1368.001068</v>
      </c>
      <c r="L83" s="3">
        <f>1658+(221.3-306.2)+(2.53674+(0.338589-0.468486))+0-319.3-0.488529000000018</f>
        <v>1255.718314</v>
      </c>
      <c r="M83" s="3">
        <f>1656.1+(240-365.7)+(-2.533833+(-0.3672--0.559521))+0-320.9--0.490977000000019</f>
        <v>1207.649465</v>
      </c>
      <c r="N83" s="3">
        <f>1648.3+(293.7-441.7)+(1.681266+(0.299574-0.450534))+0-321.5-0.327930000000051</f>
        <v>1180.0023759999999</v>
      </c>
      <c r="O83" s="3">
        <f>1639.6+(327.3-454.3)+(1.672392+(0.333846-0.463386))+0-322.3-0.328746000000051</f>
        <v>1191.5141059999999</v>
      </c>
      <c r="P83" s="3">
        <f>1630+(351.6-417.1)+(2.4939+(0.537948-0.638163))+0-324.5-0.496485000000019</f>
        <v>1241.8971999999999</v>
      </c>
      <c r="Q83" s="3">
        <f>1612.5+(384.8-397.9)+(0+(0-0))+0-324.3-0</f>
        <v>1275.1000000000001</v>
      </c>
      <c r="R83" s="3">
        <f>1764.9+(431-400.2)+(0.900099+(0.21981-0.204102))+0-323-0.164729999999967</f>
        <v>1473.4510770000002</v>
      </c>
      <c r="S83" s="3">
        <f>1831.7+(527-397.4)+(-0.934167+(-0.26877--0.202674))+0-325--0.165749999999967</f>
        <v>1635.4654870000002</v>
      </c>
      <c r="T83" s="3">
        <f>1836.1+(547.5-370.9)+(-0.936411+(-0.279225--0.189159))+0-325.4--0.165953999999967</f>
        <v>1686.4394769999999</v>
      </c>
      <c r="U83" s="3">
        <f>1836.9+(514.3-364.5)+(-1.873638+(-0.524586--0.37179))+0-323.7--0.330174000000052</f>
        <v>1661.3037399999998</v>
      </c>
      <c r="V83" s="3">
        <f>1830.4+(426.8-348.4)+(-1.867008+(-0.435336--0.355368))+0-324.1--0.330582000000052</f>
        <v>1583.0836060000001</v>
      </c>
      <c r="W83" s="3">
        <f>1838.4+(259.5-371.7)+(-3.750336+(-0.52938--0.758268))+0-328.4--0.669935999999986</f>
        <v>1394.9484880000002</v>
      </c>
      <c r="X83" s="3">
        <f>1848.5+(189.6-539.1)+(-4.713675+(-0.48348--1.374705))+0-326.1--0.831554999999953</f>
        <v>1169.909105</v>
      </c>
      <c r="Y83" s="3">
        <f>1858.4+(91.2-544.3)+(-2.843352+(-0.139536--0.832779))+0-323.6--0.495108000000019</f>
        <v>1080.0449990000002</v>
      </c>
      <c r="Z83" s="3">
        <f>1869+(186.1-435.7)+(-2.85957+(-0.284733--0.666621))+0-324.3--0.496179000000019</f>
        <v>1293.1184970000002</v>
      </c>
      <c r="AA83" s="3">
        <f>1874.1+(300.3-396)+(-2.867373+(-0.459459--0.60588))+0-323.8--0.495414000000019</f>
        <v>1452.374462</v>
      </c>
      <c r="AB83" s="3">
        <f>1876.3+(331.1-364.3)+(-0.956913+(-0.168861--0.185793))+0-324.8--0.165647999999967</f>
        <v>1517.5256669999999</v>
      </c>
      <c r="AC83" s="3">
        <f>1873.7+(366.2-342.7)+(-1.911174+(-0.373524--0.349554))+0-323.9--0.330378000000052</f>
        <v>1571.6952340000003</v>
      </c>
      <c r="AD83">
        <v>1434.4</v>
      </c>
      <c r="AE83" s="3">
        <f>1871+(269-383.7)+(0+(0-0))+0-321.9-0</f>
        <v>1434.4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1876.6+(332-335.8)+(-0.957066+(-0.16932--0.171258))+0-323.5--0.164984999999967</f>
        <v>1548.5098569999998</v>
      </c>
      <c r="G84" s="3">
        <f>1878.4+(309.7-326.1)+(-2.873952+(-0.473841--0.498933))+0-323.2--0.494496000000019</f>
        <v>1536.4456359999999</v>
      </c>
      <c r="H84" s="3">
        <f>1879.3+(298-352)+(-0.958443+(-0.15198--0.17952))+0-324.4--0.165443999999967</f>
        <v>1500.1345410000001</v>
      </c>
      <c r="I84" s="3">
        <f>1884.5+(253-324)+(-2.883285+(-0.38709--0.49572))+0-325.2--0.497556000000019</f>
        <v>1486.022901</v>
      </c>
      <c r="J84" s="3">
        <f>1890.3+(202.3-317.8)+(-3.856212+(-0.412692--0.648312))+0-322.8--0.658511999999986</f>
        <v>1449.03792</v>
      </c>
      <c r="K84" s="3">
        <f>1892.7+(127.4-326.6)+(-8.687493+(-0.584766--1.499094))+0-322.9--1.48211100000006</f>
        <v>1364.3089459999999</v>
      </c>
      <c r="L84" s="3">
        <f>1897.9+(41.2-397.7)+(-7.743432+(-0.168096--1.622616))+0-322.2--1.31457599999997</f>
        <v>1214.2256640000001</v>
      </c>
      <c r="M84" s="3">
        <f>1890.4+(33.1-432.6)+(-1.928208+(-0.033762--0.441252))+0-321.3--0.327726000000051</f>
        <v>1168.4070080000001</v>
      </c>
      <c r="N84" s="3">
        <f>1883.8+(101.8-505.6)+(-3.842952+(-0.207672--1.031424))+0-323.7--0.660347999999986</f>
        <v>1153.9411479999999</v>
      </c>
      <c r="O84" s="3">
        <f>1871.6+(157.9-550.6)+(-2.863548+(-0.241587--0.842418))+0-321.7--0.492201000000019</f>
        <v>1155.4294839999998</v>
      </c>
      <c r="P84" s="3">
        <f>1870.6+(189.6-548.6)+(-1.908012+(-0.193392--0.559572))+0-320.8--0.327216000000051</f>
        <v>1189.585384</v>
      </c>
      <c r="Q84" s="3">
        <f>1863.6+(242.8-504.5)+(-0.950436+(-0.123828--0.257295))+0-323.5--0.164984999999967</f>
        <v>1277.7480159999998</v>
      </c>
      <c r="R84" s="3">
        <f>1852.3+(335.9-405.8)+(-2.834019+(-0.513927--0.620874))+0-322--0.492660000000019</f>
        <v>1458.1655880000001</v>
      </c>
      <c r="S84" s="3">
        <f>1857.7+(437.5-383.7)+(-2.842281+(-0.669375--0.587061))+0-322.7--0.493731000000019</f>
        <v>1586.369136</v>
      </c>
      <c r="T84" s="3">
        <f>1849.7+(498.7-372.4)+(0.943347+(0.254337-0.189924))+0-323.3-0.164882999999967</f>
        <v>1653.5428770000001</v>
      </c>
      <c r="U84" s="3">
        <f>1845+(486-346)+(-4.70475+(-1.2393--0.8823))+0-323--0.823649999999953</f>
        <v>1657.7619</v>
      </c>
      <c r="V84" s="3">
        <f>1848.4+(398-341)+(0+(0-0))+0-325.3-0</f>
        <v>1580.1000000000001</v>
      </c>
      <c r="W84" s="3">
        <f>1847.6+(250.8-393.2)+(-1.884552+(-0.255816--0.401064))+0-322.3--0.328746000000051</f>
        <v>1381.4894420000001</v>
      </c>
      <c r="X84" s="3">
        <f>1847.9+(165.2-543.6)+(-2.827287+(-0.252756--0.831708))+0-322.2--0.492966000000019</f>
        <v>1145.544631</v>
      </c>
      <c r="Y84" s="3">
        <f>1859+(118-583.2)+(-0.94809+(-0.06018--0.297432))+0-322.7--0.164576999999967</f>
        <v>1070.553739</v>
      </c>
      <c r="Z84" s="3">
        <f>1871.4+(241.5-501.5)+(-0.954414+(-0.123165--0.255765))+0-323.5--0.164984999999967</f>
        <v>1287.2431710000001</v>
      </c>
      <c r="AA84" s="3">
        <f>1877.4+(299-404.2)+(-3.829896+(-0.60996--0.824568))+0-322.3--0.657491999999986</f>
        <v>1446.9422040000002</v>
      </c>
      <c r="AB84" s="3">
        <f>1881.1+(317.5-353)+(-0.959361+(-0.161925--0.18003))+0-320.3--0.163352999999968</f>
        <v>1524.5220969999998</v>
      </c>
      <c r="AC84" s="3">
        <f>1880+(354-336.8)+(0.9588+(0.18054-0.171768))+0-318.5-0.162434999999968</f>
        <v>1579.5051370000001</v>
      </c>
      <c r="AD84">
        <v>1342.2</v>
      </c>
      <c r="AE84" s="3">
        <f>1878+(164-381.5)+(0+(0-0))+0-318.3-0</f>
        <v>1342.2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1886.4+(309.7-343.6)+(-3.848256+(-0.631788--0.700944))+0-318.3--0.649331999999986</f>
        <v>1531.070232</v>
      </c>
      <c r="G85" s="3">
        <f>1885.2+(285-331.8)+(-1.922904+(-0.2907--0.338436))+0-319.5--0.325890000000051</f>
        <v>1517.3507220000001</v>
      </c>
      <c r="H85" s="3">
        <f>1888.3+(248-319.4)+(-3.852132+(-0.50592--0.651576))+0-323.8--0.660551999999986</f>
        <v>1490.0540760000001</v>
      </c>
      <c r="I85" s="3">
        <f>1891.9+(225.2-326.3)+(-4.824345+(-0.57426--0.832065))+0-321.6--0.820079999999953</f>
        <v>1465.45354</v>
      </c>
      <c r="J85" s="3">
        <f>1890.9+(181-323)+(1.928718+(0.18462-0.32946))+0-322.7-0.329154000000051</f>
        <v>1427.654724</v>
      </c>
      <c r="K85" s="3">
        <f>1897.6+(70-352.3)+(-4.83888+(-0.1785--0.898365))+0-320.8--0.818039999999953</f>
        <v>1291.1990249999999</v>
      </c>
      <c r="L85" s="3">
        <f>1899.2+(35-383.4)+(-4.84296+(-0.08925--0.97767))+0-319.7--0.815234999999954</f>
        <v>1227.9606950000002</v>
      </c>
      <c r="M85" s="3">
        <f>1901.6+(34-442)+(1.939632+(0.03468-0.45084))+0-318.4-0.324768000000051</f>
        <v>1176.3987040000002</v>
      </c>
      <c r="N85" s="3">
        <f>1890+(68-480.8)+(0+(0-0))+0-318-0</f>
        <v>1159.2</v>
      </c>
      <c r="O85" s="3">
        <f>1888.8+(115-495.6)+(0.963288+(0.05865-0.252756))+0-320-0.163199999999968</f>
        <v>1188.8059819999999</v>
      </c>
      <c r="P85" s="3">
        <f>1880+(195-556.1)+(-1.9176+(-0.1989--0.567222))+0-319.5--0.325890000000051</f>
        <v>1198.1766120000002</v>
      </c>
      <c r="Q85" s="3">
        <f>1872.5+(237-513.4)+(0.954975+(0.12087-0.261834))+0-322-0.164219999999967</f>
        <v>1274.749791</v>
      </c>
      <c r="R85" s="3">
        <f>1862+(357.8-417.3)+(-1.89924+(-0.364956--0.425646))+0-322.9--0.329358000000051</f>
        <v>1478.0908079999999</v>
      </c>
      <c r="S85" s="3">
        <f>1857.3+(439.7-367.6)+(-0.947223+(-0.224247--0.187476))+0-323.2--0.164831999999967</f>
        <v>1605.3808379999998</v>
      </c>
      <c r="T85" s="3">
        <f>1853+(477.3-346.5)+(0+(0-0))+0-322-0</f>
        <v>1661.8</v>
      </c>
      <c r="U85" s="3">
        <f>1846.2+(463-328)+(-2.824686+(-0.70839--0.50184))+0-322.9--0.494037000000019</f>
        <v>1655.7628009999999</v>
      </c>
      <c r="V85" s="3">
        <f>1840.2+(372.5-333.1)+(0+(0-0))+0-322.1-0</f>
        <v>1557.5</v>
      </c>
      <c r="W85" s="3">
        <f>1845.5+(241.9-404.5)+(-1.88241+(-0.246738--0.41259))+0-322.1--0.328542000000051</f>
        <v>1359.4119840000001</v>
      </c>
      <c r="X85" s="3">
        <f>1848.6+(147-544.6)+(-3.771144+(-0.29988--1.110984))+0-322.4--0.657695999999986</f>
        <v>1126.297656</v>
      </c>
      <c r="Y85" s="3">
        <f>1863.3+(94-568.3)+(-1.900566+(-0.09588--0.579666))+0-322.8--0.329256000000052</f>
        <v>1065.112476</v>
      </c>
      <c r="Z85" s="3">
        <f>1880.9+(215.2-481)+(-0.959259+(-0.109752--0.24531))+0-324.1--0.165290999999967</f>
        <v>1290.3415900000002</v>
      </c>
      <c r="AA85" s="3">
        <f>1889.3+(319.3-438.3)+(-2.890629+(-0.488529--0.670599))+0-323.9--0.495567000000019</f>
        <v>1444.1870079999999</v>
      </c>
      <c r="AB85" s="3">
        <f>1891.6+(349.5-387.6)+(-4.82358+(-0.891225--0.98838))+0-323.2--0.824159999999953</f>
        <v>1526.3977349999998</v>
      </c>
      <c r="AC85" s="3">
        <f>1888.1+(416.9-385.6)+(-1.925862+(-0.425238--0.393312))+0-322.3--0.328746000000051</f>
        <v>1595.4709580000001</v>
      </c>
      <c r="AD85">
        <v>1424.1999999999998</v>
      </c>
      <c r="AE85" s="3">
        <f>1884+(286.7-426.4)+(0+(0-0))+0-320.1-0</f>
        <v>1424.1999999999998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1875.3+(395.7-397.3)+(-2.869209+(-0.605421--0.607869))+0-322.9--0.494037000000019</f>
        <v>1548.4272759999999</v>
      </c>
      <c r="G86" s="3">
        <f>1880.3+(352.7-375.4)+(-4.794765+(-0.899385--0.95727))+0-323.6--0.825179999999953</f>
        <v>1530.0883000000001</v>
      </c>
      <c r="H86" s="3">
        <f>1881.3+(208-428.7)+(-0.959463+(-0.10608--0.218637))+0-113.5--0.0578849999999885</f>
        <v>1546.3109789999999</v>
      </c>
      <c r="I86" s="3">
        <f>1881.1+(262.6-323)+(-3.837444+(-0.535704--0.65892))+0-317.6--0.647903999999986</f>
        <v>1500.0336759999996</v>
      </c>
      <c r="J86" s="3">
        <f>1884.2+(200.5-338.1)+(-4.80471+(-0.511275--0.862155))+0-328.9--0.838694999999952</f>
        <v>1414.0848649999998</v>
      </c>
      <c r="K86" s="3">
        <f>1889.1+(54.9-313.3)+(-7.707528+(-0.223992--1.278264))+0-329.9--1.34599199999997</f>
        <v>1295.4927359999997</v>
      </c>
      <c r="L86" s="3">
        <f>1837.7+(63-334.1)+(-2.811681+(-0.09639--0.511173))+0-327--0.500310000000019</f>
        <v>1237.7034120000001</v>
      </c>
      <c r="M86" s="3">
        <f>1858.9+(72-411.2)+(0.948039+(0.03672-0.209712))+0-329.3-0.167942999999967</f>
        <v>1191.0071040000003</v>
      </c>
      <c r="N86" s="3">
        <f>1886+(109-494.2)+(0.96186+(0.05559-0.252042))+0-326-0.166259999999967</f>
        <v>1175.399148</v>
      </c>
      <c r="O86" s="3">
        <f>1883.6+(179-544.2)+(0.960636+(0.09129-0.277542))+0-327-0.166769999999967</f>
        <v>1192.0076139999999</v>
      </c>
      <c r="P86" s="3">
        <f>1874.7+(218.9-595.3)+(0.956097+(0.111639-0.303603))+0-327.8-0.167177999999967</f>
        <v>1171.0969550000002</v>
      </c>
      <c r="Q86" s="3">
        <f>1867.3+(258.3-530.8)+(0.952323+(0.131733-0.270708))+0-328.1-0.167330999999967</f>
        <v>1267.3460170000001</v>
      </c>
      <c r="R86" s="3">
        <f>1862.4+(375.1-447.2)+(0.949824+(0.191301-0.228072))+0-328.2-0.167381999999967</f>
        <v>1462.8456710000003</v>
      </c>
      <c r="S86" s="3">
        <f>1855.4+(486.8-417.2)+(-1.892508+(-0.496536--0.425544))+0-329.7--0.336294000000053</f>
        <v>1593.6727939999998</v>
      </c>
      <c r="T86" s="3">
        <f>1848.2+(530.3-401.1)+(-0.942582+(-0.270453--0.204561))+0-327.5--0.167024999999967</f>
        <v>1649.0585510000001</v>
      </c>
      <c r="U86" s="3">
        <f>1845.8+(493.4-372.4)+(-3.765432+(-1.006536--0.759696))+0-327.4--0.667895999999986</f>
        <v>1636.0556240000001</v>
      </c>
      <c r="V86" s="3">
        <f>1836.3+(382.8-353.1)+(0+(0-0))+0-328-0</f>
        <v>1538</v>
      </c>
      <c r="W86" s="3">
        <f>1845.4+(248.7-420.8)+(-5.646924+(-0.761022--1.287648))+0-325--0.994500000000038</f>
        <v>1344.1742020000002</v>
      </c>
      <c r="X86" s="3">
        <f>1852.7+(178-566.5)+(-6.614139+(-0.63546--2.022405))+0-327.7--1.169889</f>
        <v>1132.442695</v>
      </c>
      <c r="Y86" s="3">
        <f>1865.4+(83.2-570.6)+(-4.75677+(-0.21216--1.45503))+0-324.8--0.828239999999953</f>
        <v>1050.5143400000002</v>
      </c>
      <c r="Z86" s="3">
        <f>1878.6+(205.5-481.4)+(0+(0-0))+0-326.4-0</f>
        <v>1276.2999999999997</v>
      </c>
      <c r="AA86" s="3">
        <f>1887.6+(302-423.7)+(-5.776056+(-0.92412--1.296522))+0-324.2--0.992052000000037</f>
        <v>1437.2883979999999</v>
      </c>
      <c r="AB86" s="3">
        <f>1890.7+(321.1-381)+(-1.928514+(-0.327522--0.38862))+0-320.6--0.327012000000051</f>
        <v>1508.6595960000002</v>
      </c>
      <c r="AC86" s="3">
        <f>1887.9+(352.9-345.1)+(0.962829+(0.179979-0.176001))+0-322.2-0.164321999999967</f>
        <v>1574.3024850000002</v>
      </c>
      <c r="AD86">
        <v>1425.3999999999999</v>
      </c>
      <c r="AE86" s="3">
        <f>1884+(274-405.4)+(0+(0-0))+0-327.2-0</f>
        <v>1425.3999999999999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1797+(389.4-315.4)+(-4.58235+(-0.99297--0.80427))+0-321.1--0.818804999999953</f>
        <v>1545.9477549999997</v>
      </c>
      <c r="G87" s="3">
        <f>1745.1+(391.5-292.8)+(-2.670003+(-0.598995--0.447984))+0-320.3--0.490059000000019</f>
        <v>1521.1690449999999</v>
      </c>
      <c r="H87" s="3">
        <f>1742.3+(395.8-310.1)+(-1.777146+(-0.403716--0.316302))+0-324.1--0.330582000000052</f>
        <v>1502.3660220000002</v>
      </c>
      <c r="I87" s="3">
        <f>1736.7+(365-296.7)+(-3.542868+(-0.7446--0.605268))+0-323.8--0.660551999999986</f>
        <v>1478.1783520000001</v>
      </c>
      <c r="J87" s="3">
        <f>1743.6+(354.9-319.6)+(0.889236+(0.180999-0.162996))+0-323.1-0.164780999999967</f>
        <v>1456.5424579999999</v>
      </c>
      <c r="K87" s="3">
        <f>1747.2+(230.1-306.7)+(-0.891072+(-0.117351--0.156417))+0-324.2--0.165341999999967</f>
        <v>1345.713336</v>
      </c>
      <c r="L87" s="3">
        <f>1750.1+(76-288.7)+(0.892551+(0.03876-0.147237))+0-323.4-0.164933999999967</f>
        <v>1214.6191399999998</v>
      </c>
      <c r="M87" s="3">
        <f>1747.3+(87.3-333.4)+(0.891123+(0.044523-0.170034))+0-322.8-0.164627999999967</f>
        <v>1179.000984</v>
      </c>
      <c r="N87" s="3">
        <f>1744.2+(152.8-392.1)+(-0.889542+(-0.077928--0.199971))+0-324.8--0.165647999999967</f>
        <v>1179.498149</v>
      </c>
      <c r="O87" s="3">
        <f>1736.3+(200.3-432.8)+(-0.885513+(-0.102153--0.220728))+0-323.8--0.165137999999967</f>
        <v>1179.3982000000001</v>
      </c>
      <c r="P87" s="3">
        <f>1726.7+(258.8-438.9)+(-0.880617+(-0.131988--0.223839))+0-324.1--0.165290999999967</f>
        <v>1221.8765250000004</v>
      </c>
      <c r="Q87" s="3">
        <f>1719.3+(303.2-405.7)+(-2.630529+(-0.463896--0.620721))+0-325.5--0.498015000000019</f>
        <v>1289.3243110000001</v>
      </c>
      <c r="R87" s="3">
        <f>1708.6+(411.6-377.1)+(-0.871386+(-0.209916--0.192321))+0-324--0.165239999999967</f>
        <v>1418.3762589999999</v>
      </c>
      <c r="S87" s="3">
        <f>1701.3+(547.8-370.8)+(-1.735326+(-0.558756--0.378216))+0-324.8--0.331296000000052</f>
        <v>1551.91543</v>
      </c>
      <c r="T87" s="3">
        <f>1698.2+(592-353.6)+(-2.598246+(-0.90576--0.541008))+0-324--0.495720000000019</f>
        <v>1610.1327220000001</v>
      </c>
      <c r="U87" s="3">
        <f>1694.2+(577.4-330.9)+(-4.32021+(-1.47237--0.843795))+0-323.6--0.825179999999953</f>
        <v>1612.9763949999999</v>
      </c>
      <c r="V87" s="3">
        <f>1697.3+(462.5-316.1)+(-3.462492+(-0.9435--0.644844))+0-324.2--0.661367999999986</f>
        <v>1516.4002199999998</v>
      </c>
      <c r="W87" s="3">
        <f>1702.9+(286.8-338.6)+(-2.605437+(-0.438804--0.518058))+0-324.4--0.496332000000019</f>
        <v>1324.6701490000003</v>
      </c>
      <c r="X87" s="3">
        <f>1709.6+(179.6-449.9)+(-5.231376+(-0.549576--1.376694))+0-326.6--0.999396000000038</f>
        <v>1109.2951379999997</v>
      </c>
      <c r="Y87" s="3">
        <f>1710.3+(89.2-447.8)+(-2.616759+(-0.136476--0.685134))+0-324--0.495720000000019</f>
        <v>1026.1276189999999</v>
      </c>
      <c r="Z87" s="3">
        <f>1717.2+(219.8-387.3)+(-0.875772+(-0.112098--0.197523))+0-325.1--0.165800999999967</f>
        <v>1223.9754539999997</v>
      </c>
      <c r="AA87" s="3">
        <f>1728.6+(361.4-397.5)+(-2.644758+(-0.552942--0.608175))+0-324.2--0.496026000000019</f>
        <v>1366.2065009999999</v>
      </c>
      <c r="AB87" s="3">
        <f>1612.2+(522.6-370.2)+(-1.644444+(-0.533052--0.377604))+0-323.8--0.330276000000052</f>
        <v>1439.3303840000003</v>
      </c>
      <c r="AC87" s="3">
        <f>1490.7+(626.4-311.1)+(-1.520514+(-0.638928--0.317322))+0-322.5--0.328950000000051</f>
        <v>1481.9868300000001</v>
      </c>
      <c r="AD87">
        <v>1386.0000000000002</v>
      </c>
      <c r="AE87" s="3">
        <f>1721+(376.9-390.6)+(0+(0-0))+0-321.3-0</f>
        <v>1386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1494.8+(636.1-305.7)+(-2.287044+(-0.973233--0.467721))+0-322.8--0.493884000000019</f>
        <v>1500.101328</v>
      </c>
      <c r="G88" s="3">
        <f>1500.5+(599.8-274.8)+(-1.53051+(-0.611796--0.280296))+0-324.4--0.330888000000052</f>
        <v>1499.568878</v>
      </c>
      <c r="H88" s="3">
        <f>1514.6+(580-288.8)+(-3.86223+(-1.479--0.73644))+0-325.2--0.829259999999953</f>
        <v>1476.8244699999998</v>
      </c>
      <c r="I88" s="3">
        <f>1512.9+(545.2-283)+(0+(0-0))+0-324.1-0</f>
        <v>1451</v>
      </c>
      <c r="J88" s="3">
        <f>1515.4+(510.9-270.9)+(-4.637124+(-1.563354--0.828954))+0-320.8--0.981648000000037</f>
        <v>1430.2101240000002</v>
      </c>
      <c r="K88" s="3">
        <f>1514.1+(387.2-237.9)+(-3.860955+(-0.98736--0.606645))+0-322.4--0.822119999999953</f>
        <v>1337.5804499999997</v>
      </c>
      <c r="L88" s="3">
        <f>1511.8+(266.1-231.2)+(-2.313054+(-0.407133--0.353736))+0-320.7--0.490671000000019</f>
        <v>1224.1242199999999</v>
      </c>
      <c r="M88" s="3">
        <f>1510.2+(220.7-249.9)+(-2.310606+(-0.337671--0.382347))+0-320.3--0.490059000000019</f>
        <v>1158.924129</v>
      </c>
      <c r="N88" s="3">
        <f>1503.8+(208-275.5)+(-1.533876+(-0.21216--0.28101))+0-322.4--0.328848000000051</f>
        <v>1112.7638219999999</v>
      </c>
      <c r="O88" s="3">
        <f>1494+(236.5-306.1)+(-3.04776+(-0.48246--0.624444))+0-324.4--0.661775999999986</f>
        <v>1097.7559999999999</v>
      </c>
      <c r="P88" s="3">
        <f>1480+(282.3-309.2)+(0.7548+(0.143973-0.157692))+0-325.1-0.165800999999967</f>
        <v>1128.5752799999998</v>
      </c>
      <c r="Q88" s="3">
        <f>1471.8+(397.3-313.7)+(-1.501236+(-0.405246--0.319974))+0-326--0.332520000000052</f>
        <v>1228.1460120000002</v>
      </c>
      <c r="R88" s="3">
        <f>1464.5+(573.2-317.1)+(-0.746895+(-0.292332--0.161721))+0-324.9--0.165698999999967</f>
        <v>1394.9881929999999</v>
      </c>
      <c r="S88" s="3">
        <f>1462.1+(703.9-295.2)+(-2.237013+(-1.076967--0.451656))+0-324.5--0.496485000000019</f>
        <v>1543.9341610000001</v>
      </c>
      <c r="T88" s="3">
        <f>1460.2+(767.9-286.2)+(-1.489404+(-0.783258--0.291924))+0-324.5--0.330990000000052</f>
        <v>1615.7502520000003</v>
      </c>
      <c r="U88" s="3">
        <f>1456.5+(763.5-279.7)+(-2.228445+(-1.168155--0.427941))+0-324.5--0.496485000000019</f>
        <v>1613.3278260000002</v>
      </c>
      <c r="V88" s="3">
        <f>1461.7+(667.8-282.9)+(-2.236401+(-1.021734--0.432837))+0-324.5--0.496485000000019</f>
        <v>1519.7711870000001</v>
      </c>
      <c r="W88" s="3">
        <f>1463.1+(449.5-280.9)+(-2.238543+(-0.687735--0.429777))+0-324.5--0.496485000000019</f>
        <v>1305.1999839999999</v>
      </c>
      <c r="X88" s="3">
        <f>1464.1+(206.3-254.7)+(-4.480146+(-0.631278--0.779382))+0-325.6--0.996336000000038</f>
        <v>1086.7642939999998</v>
      </c>
      <c r="Y88" s="3">
        <f>1471.2+(125.2-271.9)+(-2.250936+(-0.191556--0.416007))+0-324.3--0.496179000000019</f>
        <v>998.66969399999994</v>
      </c>
      <c r="Z88" s="3">
        <f>1477.4+(360.2-299.1)+(1.506948+(0.367404-0.305082))+0-326.1-0.332622000000052</f>
        <v>1213.6366479999999</v>
      </c>
      <c r="AA88" s="3">
        <f>1484.9+(488.7-293.3)+(-4.543794+(-1.495422--0.897498))+0-325.5--0.996030000000038</f>
        <v>1350.6543120000001</v>
      </c>
      <c r="AB88" s="3">
        <f>1485.6+(552.1-289.4)+(-1.515312+(-0.563142--0.295188))+0-323.1--0.329562000000052</f>
        <v>1423.746296</v>
      </c>
      <c r="AC88" s="3">
        <f>1485.8+(605.7-277.5)+(-1.515516+(-0.617814--0.28305))+0-322.8--0.329256000000052</f>
        <v>1489.6789759999999</v>
      </c>
      <c r="AD88">
        <v>1308.7</v>
      </c>
      <c r="AE88" s="3">
        <f>1484+(443.8-297.8)+(0+(0-0))+0-321.3-0</f>
        <v>1308.7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1487.6+(597.4-278.1)+(1.517352+(0.609348-0.283662))+0-323.2-0.329664000000052</f>
        <v>1485.2133739999997</v>
      </c>
      <c r="G89" s="3">
        <f>1489.7+(595.7-269.5)+(-3.038988+(-1.215228--0.54978))+0-323.9--0.660755999999986</f>
        <v>1488.95632</v>
      </c>
      <c r="H89" s="3">
        <f>1483.9+(563.6-260.8)+(0+(0-0))+0-324.1-0</f>
        <v>1462.6</v>
      </c>
      <c r="I89" s="3">
        <f>1485.7+(543-249.2)+(-1.515414+(-0.55386--0.254184))+0-324.2--0.330684000000052</f>
        <v>1453.8155939999999</v>
      </c>
      <c r="J89" s="3">
        <f>1481.9+(531.3-260.3)+(0+(0-0))+0-325.1-0</f>
        <v>1427.8000000000002</v>
      </c>
      <c r="K89" s="3">
        <f>1474.6+(454.8-260.7)+(-4.512276+(-1.391688--0.797742))+0-322.5--0.986850000000037</f>
        <v>1342.0806279999999</v>
      </c>
      <c r="L89" s="3">
        <f>1474.8+(341.7-267.4)+(-3.76074+(-0.871335--0.68187))+0-320.9--0.818294999999953</f>
        <v>1225.0680899999998</v>
      </c>
      <c r="M89" s="3">
        <f>1476.3+(258.5-277.4)+(-1.505826+(-0.26367--0.282948))+0-319.8--0.326196000000051</f>
        <v>1136.439648</v>
      </c>
      <c r="N89" s="3">
        <f>1470.7+(214.9-295.3)+(0.750057+(0.109599-0.150603))+0-319.1-0.162740999999968</f>
        <v>1071.746312</v>
      </c>
      <c r="O89" s="3">
        <f>1460.2+(213.9-301.7)+(-2.978808+(-0.436356--0.615468))+0-319.1--0.650963999999986</f>
        <v>1051.1512680000001</v>
      </c>
      <c r="P89" s="3">
        <f>1446.7+(273.8-312.7)+(0.737817+(0.139638-0.159477))+0-321.2-0.163811999999967</f>
        <v>1087.154166</v>
      </c>
      <c r="Q89" s="3">
        <f>1443.4+(379.6-309.9)+(0+(0-0))+0-320.7-0</f>
        <v>1192.4000000000001</v>
      </c>
      <c r="R89" s="3">
        <f>1435.8+(564.3-287.3)+(0+(0-0))+0-320.5-0</f>
        <v>1392.3</v>
      </c>
      <c r="S89" s="3">
        <f>1427.1+(696.5-275.3)+(-0.727821+(-0.355215--0.140403))+0-321.1--0.163760999999967</f>
        <v>1526.4211280000002</v>
      </c>
      <c r="T89" s="3">
        <f>1421+(766.8-263.8)+(0.72471+(0.391068-0.134538))+0-320.4-0.163403999999967</f>
        <v>1604.4178360000001</v>
      </c>
      <c r="U89" s="3">
        <f>1420+(779.2-253.4)+(-0.7242+(-0.397392--0.129234))+0-319.8--0.163097999999968</f>
        <v>1625.1707400000003</v>
      </c>
      <c r="V89" s="3">
        <f>1421.5+(719-259.2)+(-2.89986+(-1.46676--0.528768))+0-319.9--0.652595999999986</f>
        <v>1558.2147439999999</v>
      </c>
      <c r="W89" s="3">
        <f>1424.3+(517.4-254.1)+(-0.726393+(-0.263874--0.129591))+0-320.1--0.163250999999968</f>
        <v>1366.8025749999997</v>
      </c>
      <c r="X89" s="3">
        <f>1430.7+(262.8-243.1)+(-4.377942+(-0.804168--0.743886))+0-321.3--0.983178000000037</f>
        <v>1125.6449540000001</v>
      </c>
      <c r="Y89" s="3">
        <f>1443.9+(200.4-288.4)+(-2.209167+(-0.306612--0.441252))+0-321--0.491130000000019</f>
        <v>1033.3166030000002</v>
      </c>
      <c r="Z89" s="3">
        <f>1454.6+(454.3-329.4)+(4.451076+(1.390158-1.007964))+0-320.8-0.981648000000037</f>
        <v>1262.5516220000002</v>
      </c>
      <c r="AA89" s="3">
        <f>1457.8+(603.3-311.6)+(-0.743478+(-0.307683--0.158916))+0-320.4--0.163403999999967</f>
        <v>1428.3711589999998</v>
      </c>
      <c r="AB89" s="3">
        <f>1460.5+(668.8-306.7)+(-1.48971+(-0.682176--0.312834))+0-320.3--0.326706000000051</f>
        <v>1500.767654</v>
      </c>
      <c r="AC89" s="3">
        <f>1463.8+(723-291.7)+(-1.493076+(-0.73746--0.297534))+0-320.6--0.327012000000051</f>
        <v>1572.8940099999998</v>
      </c>
      <c r="AD89">
        <v>1390.5000000000002</v>
      </c>
      <c r="AE89" s="3">
        <f>1455+(564.9-311.1)+(0+(0-0))+0-318.3-0</f>
        <v>1390.5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1466.8+(621.8-290.3)+(-3.74034+(-1.58559--0.740265))+0-320.8--0.818039999999953</f>
        <v>1473.7323749999998</v>
      </c>
      <c r="G90" s="3">
        <f>1466.7+(593.8-276.4)+(-4.488102+(-1.817028--0.845784))+0-321.4--0.983484000000037</f>
        <v>1458.2241379999998</v>
      </c>
      <c r="H90" s="3">
        <f>1461.5+(565-247.6)+(-2.98146+(-1.1526--0.505104))+0-323.3--0.659531999999986</f>
        <v>1452.630576</v>
      </c>
      <c r="I90" s="3">
        <f>1462.5+(527.6-238.7)+(-1.49175+(-0.538152--0.243474))+0-321.1--0.327522000000051</f>
        <v>1428.8410940000003</v>
      </c>
      <c r="J90" s="3">
        <f>1534.6+(453.1-252.7)+(-3.91323+(-1.155405--0.644385))+0-321--0.818549999999953</f>
        <v>1410.3942999999999</v>
      </c>
      <c r="K90" s="3">
        <f>1552+(383.8-291.9)+(-1.58304+(-0.391476--0.297738))+0-321.1--0.327522000000051</f>
        <v>1321.4507440000002</v>
      </c>
      <c r="L90" s="3">
        <f>1558.9+(211.6-258.3)+(-0.795039+(-0.107916--0.131733))+0-320--0.163199999999968</f>
        <v>1191.5919779999999</v>
      </c>
      <c r="M90" s="3">
        <f>1560.8+(177.1-271.1)+(0.796008+(0.090321-0.138261))+0-322.3-0.164372999999967</f>
        <v>1145.083695</v>
      </c>
      <c r="N90" s="3">
        <f>1673.2+(113.1-311.7)+(1.706664+(0.115362-0.317934))+0-323.3-0.329766000000052</f>
        <v>1152.474326</v>
      </c>
      <c r="O90" s="3">
        <f>1668.1+(164.5-352.5)+(1.701462+(0.16779-0.35955))+0-324-0.330480000000052</f>
        <v>1157.2792219999999</v>
      </c>
      <c r="P90" s="3">
        <f>1700.6+(203.2-379.9)+(-1.734612+(-0.207264--0.387498))+0-325--0.331500000000052</f>
        <v>1197.6771219999998</v>
      </c>
      <c r="Q90" s="3">
        <f>1712.6+(269.8-373.4)+(1.746852+(0.275196-0.380868))+0-332-0.338640000000053</f>
        <v>1278.3025400000001</v>
      </c>
      <c r="R90" s="3">
        <f>1749.7+(401-383)+(0+(0-0))+0-324-0</f>
        <v>1443.7</v>
      </c>
      <c r="S90" s="3">
        <f>1740.1+(555.5-362.3)+(1.774902+(0.56661-0.369546))+0-325-0.331500000000052</f>
        <v>1609.940466</v>
      </c>
      <c r="T90" s="3">
        <f>1739+(607.6-353.6)+(-1.77378+(-0.619752--0.360672))+0-324--0.330480000000052</f>
        <v>1667.2976200000001</v>
      </c>
      <c r="U90" s="3">
        <f>1737.6+(592.2-345.1)+(-1.772352+(-0.604044--0.352002))+0-322--0.328440000000051</f>
        <v>1661.0040459999998</v>
      </c>
      <c r="V90" s="3">
        <f>1733.2+(514.7-339.9)+(-3.535728+(-1.049988--0.693396))+0-322--0.656879999999986</f>
        <v>1582.7645600000001</v>
      </c>
      <c r="W90" s="3">
        <f>1727.4+(316.2-328.4)+(-5.285844+(-0.967572--1.004904))+0-323--0.988380000000037</f>
        <v>1387.9398680000002</v>
      </c>
      <c r="X90" s="3">
        <f>1730.1+(148.6-381)+(-5.294106+(-0.454716--1.16586))+0-323--0.988380000000037</f>
        <v>1171.1054179999999</v>
      </c>
      <c r="Y90" s="3">
        <f>1745.6+(106.9-464.5)+(-2.670768+(-0.163557--0.710685))+0-321--0.491130000000019</f>
        <v>1065.3674900000001</v>
      </c>
      <c r="Z90" s="3">
        <f>1760+(216.6-390.7)+(0+(0-0))+0-323-0</f>
        <v>1262.9000000000001</v>
      </c>
      <c r="AA90" s="3">
        <f>1770.9+(343.6-362.3)+(-2.709477+(-0.525708--0.554319))+0-324--0.495720000000019</f>
        <v>1426.0148540000002</v>
      </c>
      <c r="AB90" s="3">
        <f>1780.4+(418.5-359.6)+(-4.54002+(-1.067175--0.91698))+0-324--0.826199999999953</f>
        <v>1511.4359850000001</v>
      </c>
      <c r="AC90" s="3">
        <f>1790.7+(478.3-359.5)+(0+(0-0))+0-324-0</f>
        <v>1585.5</v>
      </c>
      <c r="AD90">
        <v>1445.8</v>
      </c>
      <c r="AE90" s="3">
        <f>1762+(360.1-352.3)+(0+(0-0))+0-324-0</f>
        <v>1445.8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1794.7+(445.4-318.9)+(-0.915297+(-0.227154--0.162639))+0-312--0.159119999999968</f>
        <v>1608.379308</v>
      </c>
      <c r="G91" s="3">
        <f>1795.8+(414.9-312.9)+(-1.831716+(-0.423198--0.319158))+0-312--0.31824000000005</f>
        <v>1584.1824839999999</v>
      </c>
      <c r="H91" s="3">
        <f>1800.8+(373.3-305.8)+(-3.673632+(-0.761532--0.623832))+0-312--0.636479999999986</f>
        <v>1553.1251479999999</v>
      </c>
      <c r="I91" s="3">
        <f>1798.6+(331.4-289.3)+(0+(0-0))+0-312-0</f>
        <v>1528.6999999999998</v>
      </c>
      <c r="J91" s="3">
        <f>1797+(308.5-307.9)+(-3.66588+(-0.62934--0.628116))+0-312--0.636479999999986</f>
        <v>1482.5693759999997</v>
      </c>
      <c r="K91" s="3">
        <f>1793.3+(233.7-305.2)+(-5.487498+(-0.715122--0.933912))+0-312--0.954720000000036</f>
        <v>1405.4860119999998</v>
      </c>
      <c r="L91" s="3">
        <f>1797.6+(92.8-316.8)+(-6.417432+(-0.331296--1.130976))+0-320--1.1424</f>
        <v>1249.1246479999998</v>
      </c>
      <c r="M91" s="3">
        <f>1801.5+(86.6-355.6)+(0.918765+(0.044166-0.181356))+0-320-0.163199999999968</f>
        <v>1213.118375</v>
      </c>
      <c r="N91" s="3">
        <f>1788.5+(131.9-390.6)+(2.736405+(0.201807-0.597618))+0-321-0.491130000000019</f>
        <v>1210.6494639999999</v>
      </c>
      <c r="O91" s="3">
        <f>1771.5+(204.4-407.1)+(0.903465+(0.104244-0.207621))+0-325-0.165749999999967</f>
        <v>1244.434338</v>
      </c>
      <c r="P91" s="3">
        <f>1752.8+(260.5-414.9)+(0+(0-0))+0-325-0</f>
        <v>1273.4000000000001</v>
      </c>
      <c r="Q91" s="3">
        <f>1734.9+(333.4-374.8)+(1.769598+(0.340068-0.382296))+0-325-0.331500000000052</f>
        <v>1369.8958700000001</v>
      </c>
      <c r="R91" s="3">
        <f>1721.2+(531.8-354.5)+(0+(0-0))+0-326-0</f>
        <v>1572.5</v>
      </c>
      <c r="S91" s="3">
        <f>1710.8+(702.6-349.8)+(0+(0-0))+0-325-0</f>
        <v>1738.6</v>
      </c>
      <c r="T91" s="3">
        <f>1696.4+(754.2-346.2)+(0+(0-0))+0-326-0</f>
        <v>1778.4</v>
      </c>
      <c r="U91" s="3">
        <f>1688+(721.8-307.1)+(-1.72176+(-0.736236--0.313242))+0-325--0.331500000000052</f>
        <v>1775.8867459999999</v>
      </c>
      <c r="V91" s="3">
        <f>1693.7+(637.9-311.1)+(-0.863787+(-0.325329--0.158661))+0-326--0.166259999999967</f>
        <v>1693.6358049999999</v>
      </c>
      <c r="W91" s="3">
        <f>1714.2+(394.7-301.6)+(0+(0-0))+0-325-0</f>
        <v>1482.3</v>
      </c>
      <c r="X91" s="3">
        <f>1722.9+(231.4-377.7)+(-0.878679+(-0.118014--0.192627))+0-325--0.165749999999967</f>
        <v>1250.9616840000001</v>
      </c>
      <c r="Y91" s="3">
        <f>1732.9+(168.1-431)+(0+(0-0))+0-324.9-0</f>
        <v>1145.0999999999999</v>
      </c>
      <c r="Z91" s="3">
        <f>1742.7+(271.7-328.7)+(-1.777554+(-0.277134--0.335274))+0-325.6--0.332112000000052</f>
        <v>1358.7126980000003</v>
      </c>
      <c r="AA91" s="3">
        <f>1762.7+(407.7-322.1)+(-2.696931+(-0.623781--0.492813))+0-326.5--0.499545000000019</f>
        <v>1519.4716460000002</v>
      </c>
      <c r="AB91" s="3">
        <f>1776.8+(474.2-323)+(-1.812336+(-0.483684--0.32946))+0-326.4--0.332928000000052</f>
        <v>1599.9663680000001</v>
      </c>
      <c r="AC91" s="3">
        <f>1749+(532-300.3)+(-1.78398+(-0.54264--0.306306))+0-326--0.332520000000052</f>
        <v>1653.0122060000001</v>
      </c>
      <c r="AD91">
        <v>1479.8000000000002</v>
      </c>
      <c r="AE91" s="3">
        <f>1761+(377.5-330.3)+(0+(0-0))+0-328.4-0</f>
        <v>1479.8000000000002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1605.3+(581.4-265.1)+(-4.912218+(-1.779084--0.811206))+0-324--0.991440000000037</f>
        <v>1592.7113439999998</v>
      </c>
      <c r="G92" s="3">
        <f>1579.5+(574.7-261.1)+(-3.22218+(-1.172388--0.532644))+0-325--0.662999999999986</f>
        <v>1564.9010759999999</v>
      </c>
      <c r="H92" s="3">
        <f>1578.4+(531.3-245.4)+(-2.414952+(-0.812889--0.375462))+0-323--0.494190000000019</f>
        <v>1538.9418110000004</v>
      </c>
      <c r="I92" s="3">
        <f>1571.3+(493.9-233.4)+(1.602726+(0.503778-0.238068))+0-323-0.329460000000051</f>
        <v>1510.3389759999998</v>
      </c>
      <c r="J92" s="3">
        <f>1645.7+(402.7-235.2)+(-3.357228+(-0.821508--0.479808))+0-322--0.656879999999986</f>
        <v>1488.157952</v>
      </c>
      <c r="K92" s="3">
        <f>1795.3+(239.3-292.6)+(-4.578015+(-0.610215--0.74613))+0-323--0.823649999999953</f>
        <v>1415.3815500000001</v>
      </c>
      <c r="L92" s="3">
        <f>1837.9+(62.7-329.8)+(-1.874658+(-0.063954--0.336396))+0-322--0.328440000000051</f>
        <v>1247.5262240000002</v>
      </c>
      <c r="M92" s="3">
        <f>1845.6+(41.5-370.8)+(4.70628+(0.105825-0.94554))+0-323-0.823649999999953</f>
        <v>1196.3429149999999</v>
      </c>
      <c r="N92" s="3">
        <f>1824.2+(77.3-382.6)+(0.930342+(0.039423-0.195126))+0-325-0.165749999999967</f>
        <v>1194.5088890000002</v>
      </c>
      <c r="O92" s="3">
        <f>1809.5+(144.8-417.1)+(-0.922845+(-0.073848--0.212721))+0-325--0.165749999999967</f>
        <v>1211.581778</v>
      </c>
      <c r="P92" s="3">
        <f>1797.5+(201.5-421.5)+(2.750175+(0.308295-0.644895))+0-326.2-0.499086000000019</f>
        <v>1253.214489</v>
      </c>
      <c r="Q92" s="3">
        <f>1787.4+(258.1-370.1)+(3.646296+(0.526524-0.755004))+0-326.9-0.666875999999986</f>
        <v>1351.2509400000001</v>
      </c>
      <c r="R92" s="3">
        <f>1781.9+(461.4-367.7)+(0.908769+(0.235314-0.187527))+0-325.1-0.165800999999967</f>
        <v>1551.2907550000002</v>
      </c>
      <c r="S92" s="3">
        <f>1777.1+(626-373.9)+(0.906321+(0.31926-0.190689))+0-324.9-0.165698999999967</f>
        <v>1705.169193</v>
      </c>
      <c r="T92" s="3">
        <f>1774.7+(659.2-355.9)+(1.810194+(0.672384-0.363018))+0-324-0.330480000000052</f>
        <v>1755.78908</v>
      </c>
      <c r="U92" s="3">
        <f>1777.5+(628.1-351.6)+(0+(0-0))+0-324.7-0</f>
        <v>1729.3</v>
      </c>
      <c r="V92" s="3">
        <f>1781.4+(522.5-339.5)+(0.908514+(0.266475-0.173145))+0-327-0.166769999999967</f>
        <v>1638.2350739999999</v>
      </c>
      <c r="W92" s="3">
        <f>1788.2+(296.3-322.2)+(-2.735946+(-0.453339--0.492966))+0-326.8--0.500004000000019</f>
        <v>1433.3036850000003</v>
      </c>
      <c r="X92" s="3">
        <f>1798.1+(173.5-442.5)+(-3.668124+(-0.35394--0.9027))+0-326.3--0.665651999999986</f>
        <v>1200.346288</v>
      </c>
      <c r="Y92" s="3">
        <f>1816.8+(90.8-501)+(-4.63284+(-0.23154--1.27755))+0-322.1--0.821354999999953</f>
        <v>1081.7345249999998</v>
      </c>
      <c r="Z92" s="3">
        <f>1838.8+(247.6-454.1)+(0+(0-0))+0-323.7-0</f>
        <v>1308.5999999999999</v>
      </c>
      <c r="AA92" s="3">
        <f>1850.2+(313.1-375.8)+(-0.943602+(-0.159681--0.191658))+0-322.8--0.164627999999967</f>
        <v>1463.9530030000001</v>
      </c>
      <c r="AB92" s="3">
        <f>1851.1+(380.2-360.4)+(-1.888122+(-0.387804--0.367608))+0-321.7--0.328134000000051</f>
        <v>1547.6198159999999</v>
      </c>
      <c r="AC92" s="3">
        <f>1849.9+(439.9-348.6)+(-1.886898+(-0.448698--0.355572))+0-322.1--0.328542000000051</f>
        <v>1617.4485179999999</v>
      </c>
      <c r="AD92">
        <v>1508.6999999999998</v>
      </c>
      <c r="AE92" s="3">
        <f>1890+(302.1-363.3)+(0+(0-0))+0-320.1-0</f>
        <v>1508.6999999999998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1869.1+(407.2-338.2)+(-1.906482+(-0.415344--0.344964))+0-320--0.326400000000051</f>
        <v>1616.4495380000001</v>
      </c>
      <c r="G93" s="3">
        <f>1865.1+(363.1-317)+(0+(0-0))+0-321.6-0</f>
        <v>1589.6</v>
      </c>
      <c r="H93" s="3">
        <f>1867.2+(349.9-330.4)+(-2.856816+(-0.535347--0.505512))+0-323.4--0.494802000000019</f>
        <v>1560.9081509999999</v>
      </c>
      <c r="I93" s="3">
        <f>1870+(314.6-325.4)+(-1.9074+(-0.320892--0.331908))+0-324--0.330480000000052</f>
        <v>1533.6340960000002</v>
      </c>
      <c r="J93" s="3">
        <f>1878.7+(263.6-315.8)+(-4.790685+(-0.67218--0.80529))+0-321.7--0.820334999999953</f>
        <v>1500.9627599999999</v>
      </c>
      <c r="K93" s="3">
        <f>1874+(170-308.9)+(-4.7787+(-0.4335--0.787695))+0-322.5--0.822374999999953</f>
        <v>1408.9978699999999</v>
      </c>
      <c r="L93" s="3">
        <f>1885.1+(70.8-377.8)+(0+(0-0))+0-320.9-0</f>
        <v>1257.1999999999998</v>
      </c>
      <c r="M93" s="3">
        <f>1878.7+(70-426)+(0.958137+(0.0357-0.21726))+0-321-0.163709999999967</f>
        <v>1202.3128670000001</v>
      </c>
      <c r="N93" s="3">
        <f>1867+(109.9-455)+(-1.90434+(-0.112098--0.4641))+0-320.2--0.326604000000051</f>
        <v>1200.4742660000002</v>
      </c>
      <c r="O93" s="3">
        <f>1862.2+(167.7-476.6)+(-1.899444+(-0.171054--0.486132))+0-322.4--0.328848000000051</f>
        <v>1229.6444820000002</v>
      </c>
      <c r="P93" s="3">
        <f>1858.6+(213.4-460.9)+(0.947886+(0.108834-0.235059))+0-323.2-0.164831999999967</f>
        <v>1288.5568289999999</v>
      </c>
      <c r="Q93" s="3">
        <f>1848.8+(244.2-396.7)+(0+(0-0))+0-323.5-0</f>
        <v>1372.8</v>
      </c>
      <c r="R93" s="3">
        <f>1826.3+(368.8-372.7)+(-1.862826+(-0.376176--0.380154))+0-323.4--0.329868000000052</f>
        <v>1497.4710200000002</v>
      </c>
      <c r="S93" s="3">
        <f>1814.7+(539.6-393.5)+(-0.925497+(-0.275196--0.200685))+0-322.2--0.164321999999967</f>
        <v>1637.764314</v>
      </c>
      <c r="T93" s="3">
        <f>1792.2+(608.1-394.7)+(0+(0-0))+0-323.2-0</f>
        <v>1682.4</v>
      </c>
      <c r="U93" s="3">
        <f>1789.6+(576.4-362.5)+(-0.912696+(-0.293964--0.184875))+0-323.1--0.164780999999967</f>
        <v>1679.5429960000001</v>
      </c>
      <c r="V93" s="3">
        <f>1789.2+(519.5-358.3)+(-0.912492+(-0.264945--0.182733))+0-326.9--0.166718999999967</f>
        <v>1622.6720150000003</v>
      </c>
      <c r="W93" s="3">
        <f>1783+(299.3-342.6)+(-1.81866+(-0.305286--0.349452))+0-325.8--0.332316000000052</f>
        <v>1412.4578220000001</v>
      </c>
      <c r="X93" s="3">
        <f>1795.8+(184.9-453)+(-2.747574+(-0.282897--0.69309))+0-325.9--0.498627000000019</f>
        <v>1199.9612459999998</v>
      </c>
      <c r="Y93" s="3">
        <f>1780.8+(124.8-474)+(-7.265664+(-0.509184--1.93392))+0-325.7--1.32885599999997</f>
        <v>1101.3879279999996</v>
      </c>
      <c r="Z93" s="3">
        <f>1817.2+(210.9-380.2)+(1.853544+(0.215118-0.387804))+0-326.2-0.332724000000052</f>
        <v>1323.0481339999999</v>
      </c>
      <c r="AA93" s="3">
        <f>1803.2+(345-354.8)+(-0.919632+(-0.17595--0.180948))+0-323.8--0.165137999999967</f>
        <v>1468.8505040000002</v>
      </c>
      <c r="AB93" s="3">
        <f>1800.2+(425.7-356.2)+(-0.918102+(-0.217107--0.181662))+0-324.6--0.165545999999967</f>
        <v>1544.3119989999998</v>
      </c>
      <c r="AC93" s="3">
        <f>1809.4+(466.5-351.8)+(-3.691176+(-0.95166--0.717672))+0-325.3--0.663611999999986</f>
        <v>1595.5384480000002</v>
      </c>
      <c r="AD93">
        <v>1503.8000000000002</v>
      </c>
      <c r="AE93" s="3">
        <f>1825+(358.3-354.1)+(0+(0-0))+0-325.4-0</f>
        <v>1503.8000000000002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1808.6+(470-340)+(-4.61193+(-1.1985--0.867))+0-325.7--0.830534999999953</f>
        <v>1608.7871049999999</v>
      </c>
      <c r="G94" s="3">
        <f>1808+(431.6-321.5)+(-3.68832+(-0.880464--0.65586))+0-325.8--0.664631999999986</f>
        <v>1589.051708</v>
      </c>
      <c r="H94" s="3">
        <f>1803.8+(390.7-301.8)+(-4.59969+(-0.996285--0.76959))+0-325.2--0.829259999999953</f>
        <v>1563.5028749999997</v>
      </c>
      <c r="I94" s="3">
        <f>1819.8+(337.8-281.4)+(-3.712392+(-0.689112--0.574056))+0-326.7--0.666467999999986</f>
        <v>1546.3390199999999</v>
      </c>
      <c r="J94" s="3">
        <f>1844.6+(280.6-279.1)+(-0.940746+(-0.143106--0.142341))+0-325.6--0.166055999999967</f>
        <v>1519.724545</v>
      </c>
      <c r="K94" s="3">
        <f>1827.6+(207.4-286.5)+(-3.728304+(-0.423096--0.58446))+0-324.6--0.662183999999986</f>
        <v>1420.995244</v>
      </c>
      <c r="L94" s="3">
        <f>1834.2+(95.8-311.3)+(-1.870884+(-0.097716--0.317526))+0-323.3--0.329766000000052</f>
        <v>1294.078692</v>
      </c>
      <c r="M94" s="3">
        <f>1837.5+(90.7-334.7)+(0.937125+(0.046257-0.170697))+0-321.7-0.164066999999967</f>
        <v>1272.4486180000001</v>
      </c>
      <c r="N94" s="3">
        <f>1802.8+(126.2-365.4)+(-0.919428+(-0.064362--0.186354))+0-324.9--0.165698999999967</f>
        <v>1238.0682629999999</v>
      </c>
      <c r="O94" s="3">
        <f>1803.1+(139.1-390.4)+(0+(0-0))+0-325-0</f>
        <v>1226.8</v>
      </c>
      <c r="P94" s="3">
        <f>1781.2+(185.4-385.6)+(0+(0-0))+0-324.9-0</f>
        <v>1256.0999999999999</v>
      </c>
      <c r="Q94" s="3">
        <f>1768.1+(291-362.1)+(0+(0-0))+0-326.1-0</f>
        <v>1370.9</v>
      </c>
      <c r="R94" s="3">
        <f>1769.9+(434.7-377.7)+(0+(0-0))+0-325-0</f>
        <v>1501.9</v>
      </c>
      <c r="S94" s="3">
        <f>1766+(573.5-383.2)+(-1.80132+(-0.58497--0.390864))+0-324.2--0.330684000000052</f>
        <v>1630.435258</v>
      </c>
      <c r="T94" s="3">
        <f>1633.7+(732.2-359.1)+(0.833187+(0.373422-0.183141))+0-326.7-0.166616999999967</f>
        <v>1680.9568510000004</v>
      </c>
      <c r="U94" s="3">
        <f>1481.6+(817.8-333.6)+(-0.755616+(-0.417078--0.170136))+0-324.9--0.165698999999967</f>
        <v>1640.0631409999999</v>
      </c>
      <c r="V94" s="3">
        <f>1506.3+(718.1-322.3)+(-1.536426+(-0.732462--0.328746))+0-326.8--0.333336000000052</f>
        <v>1573.6931940000002</v>
      </c>
      <c r="W94" s="3">
        <f>1508.4+(507.7-313.9)+(-1.538568+(-0.517854--0.320178))+0-326.5--0.333030000000052</f>
        <v>1374.2967860000001</v>
      </c>
      <c r="X94" s="3">
        <f>1499.2+(273.8-284.3)+(-5.352144+(-0.977466--1.014951))+0-325.9--1.163463</f>
        <v>1158.6488040000002</v>
      </c>
      <c r="Y94" s="3">
        <f>1557+(167.4-335)+(-1.58814+(-0.170748--0.3417))+0-325.4--0.331908000000052</f>
        <v>1062.9147200000002</v>
      </c>
      <c r="Z94" s="3">
        <f>1568.5+(332.1-316.5)+(-1.59987+(-0.338742--0.32283))+0-324.6--0.331092000000052</f>
        <v>1258.2153099999998</v>
      </c>
      <c r="AA94" s="3">
        <f>1554.4+(528.4-327.1)+(-4.756464+(-1.616904--1.000926))+0-323.5--0.989910000000037</f>
        <v>1427.817468</v>
      </c>
      <c r="AB94" s="3">
        <f>1583.3+(576.1-333.1)+(-1.614966+(-0.587622--0.339762))+0-325.7--0.332214000000052</f>
        <v>1499.0693879999999</v>
      </c>
      <c r="AC94" s="3">
        <f>1665.6+(561.6-340.1)+(0+(0-0))+0-322.9-0</f>
        <v>1564.1999999999998</v>
      </c>
      <c r="AD94">
        <v>1450.8000000000002</v>
      </c>
      <c r="AE94" s="3">
        <f>1570+(530.4-327.7)+(0+(0-0))+0-321.9-0</f>
        <v>1450.8000000000002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1671.9+(562.2-327.6)+(-0.852669+(-0.286722--0.167076))+0-324.8--0.165647999999967</f>
        <v>1580.893333</v>
      </c>
      <c r="G95" s="3">
        <f>1599.5+(575.4-296.8)+(-0.815745+(-0.293454--0.151368))+0-325--0.165749999999967</f>
        <v>1552.3079189999999</v>
      </c>
      <c r="H95" s="3">
        <f>1448.6+(645.6-262.8)+(-0.738786+(-0.329256--0.134028))+0-324.2--0.165341999999967</f>
        <v>1506.4313279999999</v>
      </c>
      <c r="I95" s="3">
        <f>1440.8+(619.4-247.9)+(-1.469616+(-0.631788--0.252858))+0-324.2--0.330684000000052</f>
        <v>1486.582138</v>
      </c>
      <c r="J95" s="3">
        <f>1457.2+(576.3-243.9)+(1.486344+(0.587826-0.248778))+0-324.2-0.330684000000052</f>
        <v>1466.8947079999998</v>
      </c>
      <c r="K95" s="3">
        <f>1427.1+(578-249.4)+(-4.366926+(-1.76868--0.763164))+0-323.6--0.990216000000038</f>
        <v>1427.7177739999997</v>
      </c>
      <c r="L95" s="3">
        <f>1438.7+(401.3-267)+(-2.201211+(-0.613989--0.40851))+0-323.2--0.494496000000019</f>
        <v>1247.887806</v>
      </c>
      <c r="M95" s="3">
        <f>1462.4+(312.1-257.5)+(1.491648+(0.318342-0.26265))+0-321.5-0.327930000000051</f>
        <v>1196.7194099999999</v>
      </c>
      <c r="N95" s="3">
        <f>1479+(295.3-278.7)+(2.26287+(0.451809-0.426411))+0-324.3-0.496179000000019</f>
        <v>1173.092089</v>
      </c>
      <c r="O95" s="3">
        <f>1466.8+(307.5-307)+(2.244204+(0.470475-0.46971))+0-325.4-0.497862000000019</f>
        <v>1143.647107</v>
      </c>
      <c r="P95" s="3">
        <f>1475.8+(359.4-327.8)+(0+(0-0))+0-324.9-0</f>
        <v>1182.5</v>
      </c>
      <c r="Q95" s="3">
        <f>1466.1+(482.4-345.4)+(-0.747711+(-0.246024--0.176154))+0-324.2--0.165341999999967</f>
        <v>1278.2477609999999</v>
      </c>
      <c r="R95" s="3">
        <f>1458.4+(615.8-330.8)+(0+(0-0))+0-321.7-0</f>
        <v>1421.7</v>
      </c>
      <c r="S95" s="3">
        <f>1455.2+(724.6-311.5)+(-5.195064+(-2.586822--1.112055))+0-323.8--1.155966</f>
        <v>1538.9861350000003</v>
      </c>
      <c r="T95" s="3">
        <f>1452.3+(779.8-305.3)+(-1.481346+(-0.795396--0.311406))+0-322--0.328440000000051</f>
        <v>1603.163104</v>
      </c>
      <c r="U95" s="3">
        <f>1451.8+(790.6-292.2)+(-2.221254+(-1.209618--0.447066))+0-323.5--0.494955000000019</f>
        <v>1624.2111490000002</v>
      </c>
      <c r="V95" s="3">
        <f>1466.5+(698.8-286.8)+(-1.49583+(-0.712776--0.292536))+0-324.3--0.330786000000052</f>
        <v>1552.614716</v>
      </c>
      <c r="W95" s="3">
        <f>1475+(493.7-279.1)+(-3.009+(-1.007148--0.569364))+0-323.2--0.659327999999986</f>
        <v>1363.6125439999998</v>
      </c>
      <c r="X95" s="3">
        <f>1478.6+(266.2-279.4)+(-4.524516+(-0.814572--0.854964))+0-324--0.991440000000037</f>
        <v>1137.9073159999998</v>
      </c>
      <c r="Y95" s="3">
        <f>1487.7+(186.4-296)+(-4.552362+(-0.570384--0.90576))+0-326--0.997560000000038</f>
        <v>1048.8805740000003</v>
      </c>
      <c r="Z95" s="3">
        <f>1491.5+(437.4-355.1)+(0+(0-0))+0-325.6-0</f>
        <v>1248.1999999999998</v>
      </c>
      <c r="AA95" s="3">
        <f>1551.8+(467.3-301.9)+(-5.539926+(-1.668261--1.077783))+0-325.2--1.160964</f>
        <v>1387.0305599999999</v>
      </c>
      <c r="AB95" s="3">
        <f>1604.1+(476-307.2)+(-2.454273+(-0.72828--0.470016))+0-322.7--0.493731000000019</f>
        <v>1447.9811939999997</v>
      </c>
      <c r="AC95" s="3">
        <f>1604.2+(523.5-307.3)+(-0.818142+(-0.266985--0.156723))+0-325--0.165749999999967</f>
        <v>1494.637346</v>
      </c>
      <c r="AD95">
        <v>1430.6</v>
      </c>
      <c r="AE95" s="3">
        <f>1607+(450.5-302)+(0+(0-0))+0-324.9-0</f>
        <v>1430.6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1610.6+(547.4-307.5)+(0+(0-0))+0-325.7-0</f>
        <v>1524.8</v>
      </c>
      <c r="G96" s="3">
        <f>1610.8+(534.8-304.2)+(-1.643016+(-0.545496--0.310284))+0-325--0.331500000000052</f>
        <v>1514.8532719999998</v>
      </c>
      <c r="H96" s="3">
        <f>1613.4+(502.5-293.8)+(-0.822834+(-0.256275--0.149838))+0-325.9--0.166208999999967</f>
        <v>1495.4369380000003</v>
      </c>
      <c r="I96" s="3">
        <f>1618+(467.2-285.1)+(-3.30072+(-0.953088--0.581604))+0-325.6--0.664223999999986</f>
        <v>1471.4920199999999</v>
      </c>
      <c r="J96" s="3">
        <f>1619.4+(435.7-276.8)+(1.651788+(0.444414-0.282336))+0-325.8-0.332316000000052</f>
        <v>1453.9815500000002</v>
      </c>
      <c r="K96" s="3">
        <f>1622.1+(342.9-268.6)+(-2.481813+(-0.524637--0.410958))+0-324--0.495720000000019</f>
        <v>1370.3002280000001</v>
      </c>
      <c r="L96" s="3">
        <f>1622.6+(203.3-299)+(-1.655052+(-0.207366--0.30498))+0-321--0.327420000000051</f>
        <v>1204.6699819999999</v>
      </c>
      <c r="M96" s="3">
        <f>1601.8+(140.6-280.9)+(2.450754+(0.215118-0.429777))+0-319.7-0.489141000000018</f>
        <v>1143.5469539999999</v>
      </c>
      <c r="N96" s="3">
        <f>1585+(128.6-292)+(0+(0-0))+0-319.9-0</f>
        <v>1101.6999999999998</v>
      </c>
      <c r="O96" s="3">
        <f>1576.1+(143.3-305.1)+(-1.607622+(-0.146166--0.311202))+0-320.7--0.327114000000051</f>
        <v>1092.484528</v>
      </c>
      <c r="P96" s="3">
        <f>1527.5+(255.9-335)+(1.55805+(0.261018-0.3417))+0-320.4-0.326808000000051</f>
        <v>1129.1505600000003</v>
      </c>
      <c r="Q96" s="3">
        <f>1498.1+(374.7-332.4)+(0.764031+(0.191097-0.169524))+0-321.6-0.164015999999967</f>
        <v>1219.4215879999999</v>
      </c>
      <c r="R96" s="3">
        <f>1477.1+(535.6-304.4)+(0.753321+(0.273156-0.155244))+0-320.6-0.163505999999967</f>
        <v>1388.4077270000002</v>
      </c>
      <c r="S96" s="3">
        <f>1485.8+(664.6-286.6)+(-0.757758+(-0.338946--0.146166))+0-320--0.163199999999968</f>
        <v>1543.0126619999999</v>
      </c>
      <c r="T96" s="3">
        <f>1436.4+(748.6-269.6)+(0+(0-0))+0-320.6-0</f>
        <v>1594.8000000000002</v>
      </c>
      <c r="U96" s="3">
        <f>1434.9+(757.6-261.1)+(-1.463598+(-0.772752--0.266322))+0-319.6--0.325992000000051</f>
        <v>1610.155964</v>
      </c>
      <c r="V96" s="3">
        <f>1434.9+(687.9-257.4)+(1.463598+(0.701658-0.262548))+0-320.5-0.326910000000051</f>
        <v>1546.4757980000002</v>
      </c>
      <c r="W96" s="3">
        <f>1435.4+(512.7-257.7)+(-0.732054+(-0.261477--0.131427))+0-321.8--0.164117999999967</f>
        <v>1367.902014</v>
      </c>
      <c r="X96" s="3">
        <f>1434.6+(282.3-261.1)+(-1.463292+(-0.287946--0.266322))+0-322.3--0.328746000000051</f>
        <v>1132.34383</v>
      </c>
      <c r="Y96" s="3">
        <f>1438.7+(237.8-316.1)+(-1.467474+(-0.242556--0.322422))+0-322.4--0.328848000000051</f>
        <v>1036.9412400000001</v>
      </c>
      <c r="Z96" s="3">
        <f>1458+(442.5-321.7)+(-1.48716+(-0.45135--0.328134))+0-322.7--0.329154000000051</f>
        <v>1254.8187779999998</v>
      </c>
      <c r="AA96" s="3">
        <f>1466.9+(635.9-336.4)+(-4.488714+(-1.945854--1.029384))+0-321.1--0.982566000000037</f>
        <v>1440.8773820000001</v>
      </c>
      <c r="AB96" s="3">
        <f>1470.4+(696.6-333.1)+(-1.499808+(-0.710532--0.339762))+0-319.7--0.326094000000051</f>
        <v>1512.655516</v>
      </c>
      <c r="AC96" s="3">
        <f>1472.8+(753.3-320.3)+(-0.751128+(-0.384183--0.163353))+0-320.1--0.163250999999968</f>
        <v>1584.8912929999997</v>
      </c>
      <c r="AD96">
        <v>1440.8999999999999</v>
      </c>
      <c r="AE96" s="3">
        <f>1456+(639.1-334.7)+(0+(0-0))+0-319.5-0</f>
        <v>1440.9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1462.6+(709.9-310.5)+(-3.72963+(-1.810245--0.791775))+0-320.8--0.818039999999953</f>
        <v>1537.2699399999999</v>
      </c>
      <c r="G97" s="3">
        <f>1462.7+(700.8-299.7)+(-2.983908+(-1.429632--0.611388))+0-322.2--0.657287999999986</f>
        <v>1538.4551359999998</v>
      </c>
      <c r="H97" s="3">
        <f>1465.9+(663.9-293.5)+(-0.747609+(-0.338589--0.149685))+0-322.5--0.164474999999967</f>
        <v>1513.0279620000001</v>
      </c>
      <c r="I97" s="3">
        <f>1467.5+(654.2-298.6)+(-2.245275+(-1.000926--0.456858))+0-323--0.494190000000019</f>
        <v>1497.8048470000001</v>
      </c>
      <c r="J97" s="3">
        <f>1469.1+(626.1-312.3)+(-1.498482+(-0.638622--0.318546))+0-322.7--0.329154000000051</f>
        <v>1458.7105959999999</v>
      </c>
      <c r="K97" s="3">
        <f>1472.1+(514.7-291.7)+(-4.504626+(-1.574982--0.892602))+0-323.2--0.988992000000037</f>
        <v>1367.7019859999998</v>
      </c>
      <c r="L97" s="3">
        <f>1467.9+(338.1-267.8)+(-2.994516+(-0.689724--0.546312))+0-321.7--0.656267999999986</f>
        <v>1214.0183399999999</v>
      </c>
      <c r="M97" s="3">
        <f>1464.9+(282.5-255)+(0+(0-0))+0-323.1-0</f>
        <v>1169.3000000000002</v>
      </c>
      <c r="N97" s="3">
        <f>1458.2+(289.8-245.4)+(-2.231046+(-0.443394--0.375462))+0-324.7--0.496791000000019</f>
        <v>1176.0978130000001</v>
      </c>
      <c r="O97" s="3">
        <f>1445.6+(340.5-270.8)+(1.474512+(0.34731-0.276216))+0-325.7-0.332214000000052</f>
        <v>1190.8133919999998</v>
      </c>
      <c r="P97" s="3">
        <f>1494.5+(364.1-306.1)+(-0.762195+(-0.185691--0.156111))+0-325.8--0.166157999999967</f>
        <v>1226.0743830000001</v>
      </c>
      <c r="Q97" s="3">
        <f>1563+(419.3-339.9)+(-0.79713+(-0.213843--0.173349))+0-324.6--0.165545999999967</f>
        <v>1317.1279219999999</v>
      </c>
      <c r="R97" s="3">
        <f>1634.3+(532.4-365.4)+(0.833493+(0.271524-0.186354))+0-324.5-0.165494999999967</f>
        <v>1477.5531679999999</v>
      </c>
      <c r="S97" s="3">
        <f>1641.5+(680.3-369.2)+(-0.837165+(-0.346953--0.188292))+0-325--0.165749999999967</f>
        <v>1626.7699239999997</v>
      </c>
      <c r="T97" s="3">
        <f>1509+(816.5-326)+(-1.53918+(-0.83283--0.33252))+0-324.1--0.330582000000052</f>
        <v>1673.691092</v>
      </c>
      <c r="U97" s="3">
        <f>1394.9+(892.6-297.9)+(-2.134197+(-1.365678--0.455787))+0-313.9--0.480267000000018</f>
        <v>1673.1361790000001</v>
      </c>
      <c r="V97" s="3">
        <f>1399.9+(800-280.2)+(-3.569745+(-2.04--0.71451))+0-308.2--0.785909999999955</f>
        <v>1607.3906750000001</v>
      </c>
      <c r="W97" s="3">
        <f>1417.4+(572.1-267.3)+(-5.060118+(-2.042397--0.954261))+0-320.8--1.145256</f>
        <v>1396.3970020000002</v>
      </c>
      <c r="X97" s="3">
        <f>1426.3+(290.1-236.2)+(-4.364478+(-0.887706--0.722772))+0-322.1--0.985626000000037</f>
        <v>1154.5562140000002</v>
      </c>
      <c r="Y97" s="3">
        <f>1438.4+(213.5-270.6)+(-2.934336+(-0.43554--0.552024))+0-321.8--0.656471999999986</f>
        <v>1057.3386200000002</v>
      </c>
      <c r="Z97" s="3">
        <f>1447+(471.2-326.2)+(0+(0-0))+0-321.8-0</f>
        <v>1270.2</v>
      </c>
      <c r="AA97" s="3">
        <f>1450.1+(586.8-288)+(-1.479102+(-0.598536--0.29376))+0-324.3--0.330786000000052</f>
        <v>1423.1469079999999</v>
      </c>
      <c r="AB97" s="3">
        <f>1458.8+(648.5-284)+(-2.231964+(-0.992205--0.43452))+0-324.2--0.496026000000019</f>
        <v>1496.8063769999999</v>
      </c>
      <c r="AC97" s="3">
        <f>1458.8+(718.8-284.8)+(-0.743988+(-0.366588--0.145248))+0-322.7--0.164576999999967</f>
        <v>1569.2992489999999</v>
      </c>
      <c r="AD97">
        <v>1450.6</v>
      </c>
      <c r="AE97" s="3">
        <f>1450+(608.1-283.8)+(0+(0-0))+0-323.7-0</f>
        <v>1450.6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1464.5+(719.9-276.3)+(-2.240685+(-1.101447--0.422739))+0-323.9--0.495567000000019</f>
        <v>1581.7761740000001</v>
      </c>
      <c r="G98" s="3">
        <f>1473.9+(705.3-279.9)+(-2.255067+(-1.079109--0.428247))+0-324.5--0.496485000000019</f>
        <v>1572.3905560000003</v>
      </c>
      <c r="H98" s="3">
        <f>1477.1+(663.3-268.7)+(-1.506642+(-0.676566--0.274074))+0-324.6--0.331092000000052</f>
        <v>1545.521958</v>
      </c>
      <c r="I98" s="3">
        <f>1475.3+(626.6-260.2)+(2.257209+(0.958698-0.398106))+0-325.7-0.498321000000019</f>
        <v>1518.3194799999999</v>
      </c>
      <c r="J98" s="3">
        <f>1474.7+(673.7-337.7)+(0+(0-0))+0-325.2-0</f>
        <v>1485.5</v>
      </c>
      <c r="K98" s="3">
        <f>1477.9+(567.4-311.4)+(-1.507458+(-0.578748--0.317628))+0-324.7--0.331194000000052</f>
        <v>1407.7626160000002</v>
      </c>
      <c r="L98" s="3">
        <f>1479.6+(399.1-295.6)+(-3.018384+(-0.814164--0.603024))+0-323.9--0.660755999999986</f>
        <v>1256.631232</v>
      </c>
      <c r="M98" s="3">
        <f>1478.2+(348.7-306.7)+(4.523292+(1.067022-0.938502))+0-324.1-0.991746000000038</f>
        <v>1199.7600659999998</v>
      </c>
      <c r="N98" s="3">
        <f>1476.2+(318.5-304.5)+(-3.011448+(-0.64974--0.62118))+0-323.4--0.659735999999986</f>
        <v>1164.4197280000003</v>
      </c>
      <c r="O98" s="3">
        <f>1463.5+(328.3-295.3)+(-0.746385+(-0.167433--0.150603))+0-325.1--0.165800999999967</f>
        <v>1170.802586</v>
      </c>
      <c r="P98" s="3">
        <f>1449.6+(407.2-323.6)+(-0.739296+(-0.207672--0.165036))+0-326.6--0.166565999999967</f>
        <v>1205.9846339999995</v>
      </c>
      <c r="Q98" s="3">
        <f>1433.8+(545.7-337.7)+(-0.731238+(-0.278307--0.172227))+0-328.1--0.167330999999967</f>
        <v>1313.0300129999998</v>
      </c>
      <c r="R98" s="3">
        <f>1419.1+(779.3-330.1)+(0+(0-0))+0-327.1-0</f>
        <v>1541.1999999999998</v>
      </c>
      <c r="S98" s="3">
        <f>1490.6+(854.3-319.9)+(-1.520412+(-0.871386--0.326298))+0-325.1--0.331602000000052</f>
        <v>1698.1661019999999</v>
      </c>
      <c r="T98" s="3">
        <f>1570.8+(827.8-324.5)+(-3.204432+(-1.688712--0.66198))+0-326.4--0.665855999999986</f>
        <v>1744.1346920000001</v>
      </c>
      <c r="U98" s="3">
        <f>1650.1+(748.1-320.4)+(-2.524653+(-1.144593--0.490212))+0-325.2--0.497556000000019</f>
        <v>1749.9185220000004</v>
      </c>
      <c r="V98" s="3">
        <f>1650.9+(639.9-304.1)+(-0.841959+(-0.326349--0.155091))+0-325.1--0.165800999999967</f>
        <v>1660.7525840000001</v>
      </c>
      <c r="W98" s="3">
        <f>1670.2+(419.3-303.9)+(-0.851802+(-0.213843--0.154989))+0-324.9--0.165698999999967</f>
        <v>1459.9550430000002</v>
      </c>
      <c r="X98" s="3">
        <f>1680.6+(241.2-374)+(-5.142636+(-0.738072--1.14444))+0-326.4--0.998784000000038</f>
        <v>1217.6625160000001</v>
      </c>
      <c r="Y98" s="3">
        <f>1691+(176.2-410.1)+(-2.58723+(-0.269586--0.627453))+0-324.7--0.496791000000019</f>
        <v>1130.667428</v>
      </c>
      <c r="Z98" s="3">
        <f>1696.2+(302.7-333.6)+(-2.595186+(-0.463131--0.510408))+0-324.6--0.496638000000019</f>
        <v>1338.648729</v>
      </c>
      <c r="AA98" s="3">
        <f>1701+(473.2-341.1)+(-0.86751+(-0.241332--0.173961))+0-323.2--0.164831999999967</f>
        <v>1509.1299509999999</v>
      </c>
      <c r="AB98" s="3">
        <f>1640.4+(601.6-335.1)+(-3.346416+(-1.227264--0.683604))+0-322.5--0.657899999999986</f>
        <v>1581.1678240000001</v>
      </c>
      <c r="AC98" s="3">
        <f>1607.5+(677.7-315.1)+(-1.63965+(-0.691254--0.321402))+0-322.4--0.328848000000051</f>
        <v>1646.019346</v>
      </c>
      <c r="AD98">
        <v>1471.5999999999997</v>
      </c>
      <c r="AE98" s="3">
        <f>1697+(438.7-343.4)+(0+(0-0))+0-320.7-0</f>
        <v>1471.6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1624.3+(573.3-307.6)+(-2.485179+(-0.877149--0.470628))+0-323.7--0.495261000000019</f>
        <v>1563.9035610000001</v>
      </c>
      <c r="G99" s="3">
        <f>1625.7+(553.4-296.8)+(-3.316428+(-1.128936--0.605472))+0-323--0.658919999999986</f>
        <v>1556.1190280000001</v>
      </c>
      <c r="H99" s="3">
        <f>1627.3+(531-301.1)+(-3.319692+(-1.08324--0.614244))+0-323.4--0.659735999999986</f>
        <v>1530.6710479999997</v>
      </c>
      <c r="I99" s="3">
        <f>1627.8+(509.7-294.2)+(-4.15089+(-1.299735--0.75021))+0-322.5--0.822374999999953</f>
        <v>1516.9219599999999</v>
      </c>
      <c r="J99" s="3">
        <f>1628.4+(476.8-293)+(-4.982904+(-1.459008--0.89658))+0-324--0.991440000000037</f>
        <v>1483.6461080000001</v>
      </c>
      <c r="K99" s="3">
        <f>1627.7+(382.7-270.5)+(-4.150635+(-0.975885--0.689775))+0-322.3--0.821864999999953</f>
        <v>1413.9851200000001</v>
      </c>
      <c r="L99" s="3">
        <f>1627.4+(257.8-294)+(-0.829974+(-0.131478--0.14994))+0-322.9--0.164678999999967</f>
        <v>1267.6531669999999</v>
      </c>
      <c r="M99" s="3">
        <f>1627+(195.3-299.2)+(-0.82977+(-0.099603--0.152592))+0-319.9--0.163148999999968</f>
        <v>1202.5863679999998</v>
      </c>
      <c r="N99" s="3">
        <f>1620.7+(231.4-331.7)+(0.826557+(0.118014-0.169167))+0-319.3-0.162842999999968</f>
        <v>1201.7125610000001</v>
      </c>
      <c r="O99" s="3">
        <f>1616.9+(274.9-380.2)+(-0.824619+(-0.140199--0.193902))+0-320.5--0.163454999999967</f>
        <v>1190.4925390000001</v>
      </c>
      <c r="P99" s="3">
        <f>1604.7+(296.6-360)+(-0.818397+(-0.151266--0.1836))+0-322.3--0.164372999999967</f>
        <v>1218.3783100000003</v>
      </c>
      <c r="Q99" s="3">
        <f>1595.9+(404.7-357.6)+(0+(0-0))+0-323.7-0</f>
        <v>1319.3</v>
      </c>
      <c r="R99" s="3">
        <f>1585.6+(617.3-338.3)+(0+(0-0))+0-325.2-0</f>
        <v>1539.3999999999999</v>
      </c>
      <c r="S99" s="3">
        <f>1577.6+(743-318.3)+(-1.609152+(-0.75786--0.324666))+0-324.4--0.330888000000052</f>
        <v>1676.1885419999999</v>
      </c>
      <c r="T99" s="3">
        <f>1569.3+(791-303.9)+(-0.800343+(-0.40341--0.154989))+0-324.1--0.165290999999967</f>
        <v>1731.4165270000001</v>
      </c>
      <c r="U99" s="3">
        <f>1566.1+(795.8-302.7)+(0.798711+(0.405858-0.154377))+0-325.3-0.165902999999967</f>
        <v>1734.7842889999999</v>
      </c>
      <c r="V99" s="3">
        <f>1570.3+(706.1-293.1)+(-0.800853+(-0.360111--0.149481))+0-326.1--0.166310999999967</f>
        <v>1656.354828</v>
      </c>
      <c r="W99" s="3">
        <f>1581+(465.1-295.8)+(-5.64417+(-1.660407--1.056006))+0-325.3--1.161321</f>
        <v>1419.91275</v>
      </c>
      <c r="X99" s="3">
        <f>1590.7+(274-342.2)+(-4.867542+(-0.83844--1.047132))+0-323.8--0.990828000000037</f>
        <v>1195.031978</v>
      </c>
      <c r="Y99" s="3">
        <f>1597.1+(210.8-358.5)+(-0.814521+(-0.107508--0.182835))+0-324.3--0.165392999999967</f>
        <v>1124.5261989999999</v>
      </c>
      <c r="Z99" s="3">
        <f>1608.3+(418.1-367.7)+(0.820233+(0.213231-0.187527))+0-324.6-0.165545999999967</f>
        <v>1334.780391</v>
      </c>
      <c r="AA99" s="3">
        <f>1617.7+(552.9-351)+(-3.300108+(-1.127916--0.71604))+0-324.1--0.661163999999986</f>
        <v>1492.4491800000001</v>
      </c>
      <c r="AB99" s="3">
        <f>1619+(621.4-345.4)+(-0.82569+(-0.316914--0.176154))+0-323.1--0.164780999999967</f>
        <v>1571.0983310000001</v>
      </c>
      <c r="AC99" s="3">
        <f>1618.5+(671.6-332.1)+(0+(0-0))+0-322.9-0</f>
        <v>1635.1</v>
      </c>
      <c r="AD99">
        <v>1458</v>
      </c>
      <c r="AE99" s="3">
        <f>1617+(514.1-350)+(0+(0-0))+0-323.1-0</f>
        <v>1458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1617.2+(635.5-322.9)+(-4.12386+(-1.620525--0.823395))+0-322.8--0.823139999999953</f>
        <v>1602.9021500000001</v>
      </c>
      <c r="G100" s="3">
        <f>1620.3+(600.1-305)+(-3.305412+(-1.224204--0.6222))+0-323.1--0.659123999999986</f>
        <v>1589.0517080000002</v>
      </c>
      <c r="H100" s="3">
        <f>1623.5+(561.2-295.6)+(-1.65597+(-0.572424--0.301512))+0-323.5--0.329970000000052</f>
        <v>1564.0030879999999</v>
      </c>
      <c r="I100" s="3">
        <f>1627.8+(529.5-297.3)+(-2.490534+(-0.810135--0.454869))+0-323.8--0.495414000000019</f>
        <v>1533.849614</v>
      </c>
      <c r="J100" s="3">
        <f>1630.1+(488-291.2)+(-4.156755+(-1.2444--0.74256))+0-323.6--0.825179999999953</f>
        <v>1499.4665849999999</v>
      </c>
      <c r="K100" s="3">
        <f>1633.7+(380.3-271.1)+(-4.165935+(-0.969765--0.691305))+0-322.8--0.823139999999953</f>
        <v>1416.4787450000001</v>
      </c>
      <c r="L100" s="3">
        <f>1637.6+(232.2-280)+(0.835176+(0.118422-0.1428))+0-320.7-0.163556999999967</f>
        <v>1269.747241</v>
      </c>
      <c r="M100" s="3">
        <f>1639.6+(174.7-293.2)+(-2.508588+(-0.267291--0.448596))+0-322.1--0.492813000000019</f>
        <v>1197.16553</v>
      </c>
      <c r="N100" s="3">
        <f>1637.2+(167.8-308.9)+(0.834972+(0.085578-0.157539))+0-321.5-0.163964999999967</f>
        <v>1175.1990460000002</v>
      </c>
      <c r="O100" s="3">
        <f>1635.6+(223.5-354.3)+(0+(0-0))+0-322.8-0</f>
        <v>1182</v>
      </c>
      <c r="P100" s="3">
        <f>1630+(278.6-354.9)+(-0.8313+(-0.142086--0.180999))+0-323.1--0.164780999999967</f>
        <v>1229.9723939999999</v>
      </c>
      <c r="Q100" s="3">
        <f>1629.8+(399.7-373.3)+(1.662396+(0.407694-0.380766))+0-323.6-0.330072000000052</f>
        <v>1333.9592519999999</v>
      </c>
      <c r="R100" s="3">
        <f>1620.9+(632-388.1)+(1.653318+(0.64464-0.395862))+0-323.6-0.330072000000052</f>
        <v>1542.7720240000001</v>
      </c>
      <c r="S100" s="3">
        <f>1614.6+(728.8-333.6)+(0+(0-0))+0-323.6-0</f>
        <v>1686.1999999999998</v>
      </c>
      <c r="T100" s="3">
        <f>1612.2+(739-291.8)+(-0.822222+(-0.37689--0.148818))+0-323.9--0.165188999999967</f>
        <v>1734.6148949999999</v>
      </c>
      <c r="U100" s="3">
        <f>1606.2+(784.2-309.7)+(-0.819162+(-0.399942--0.157947))+0-322.5--0.164474999999967</f>
        <v>1757.3033180000002</v>
      </c>
      <c r="V100" s="3">
        <f>1605.8+(670.2-284)+(-2.456874+(-1.025406--0.43452))+0-323.6--0.495108000000019</f>
        <v>1665.8473480000002</v>
      </c>
      <c r="W100" s="3">
        <f>1608.7+(431.7-256.5)+(1.640874+(0.440334-0.26163))+0-324.3-0.330786000000052</f>
        <v>1461.0887920000002</v>
      </c>
      <c r="X100" s="3">
        <f>1611.3+(251.3-304.1)+(-3.287052+(-0.512652--0.620364))+0-325.4--0.663815999999986</f>
        <v>1230.5844760000002</v>
      </c>
      <c r="Y100" s="3">
        <f>1625.4+(226.2-408.3)+(-1.657908+(-0.230724--0.416466))+0-324.4--0.330888000000052</f>
        <v>1117.758722</v>
      </c>
      <c r="Z100" s="3">
        <f>1715.1+(326.7-354)+(0+(0-0))+0-325.6-0</f>
        <v>1362.1999999999998</v>
      </c>
      <c r="AA100" s="3">
        <f>1747.3+(445.4-339)+(-0.891123+(-0.227154--0.17289))+0-324--0.165239999999967</f>
        <v>1528.9198529999999</v>
      </c>
      <c r="AB100" s="3">
        <f>1714.2+(521.7-323.4)+(-2.622726+(-0.798201--0.494802))+0-322.3--0.493119000000019</f>
        <v>1587.7669940000001</v>
      </c>
      <c r="AC100" s="3">
        <f>1704.7+(533.7-271.1)+(0+(0-0))+0-323-0</f>
        <v>1644.3000000000002</v>
      </c>
      <c r="AD100">
        <v>1493.1</v>
      </c>
      <c r="AE100" s="3">
        <f>1747+(407.1-339.1)+(0+(0-0))+0-321.9-0</f>
        <v>1493.1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1709.7+(526.3-303.3)+(-2.615841+(-0.805239--0.464049))+0-320.6--0.490518000000019</f>
        <v>1609.6334870000001</v>
      </c>
      <c r="G101" s="3">
        <f>1716.2+(494.6-299)+(0+(0-0))+0-321.6-0</f>
        <v>1590.2000000000003</v>
      </c>
      <c r="H101" s="3">
        <f>1773.5+(430.9-307)+(-4.522425+(-1.098795--0.78285))+0-322.5--0.822374999999953</f>
        <v>1570.8840050000001</v>
      </c>
      <c r="I101" s="3">
        <f>1842.6+(337.2-301.9)+(-2.819178+(-0.515916--0.461907))+0-323.4--0.494802000000019</f>
        <v>1552.1216149999998</v>
      </c>
      <c r="J101" s="3">
        <f>1840.7+(324.1-306.3)+(-2.816271+(-0.495873--0.468639))+0-326.2--0.499086000000019</f>
        <v>1529.9555809999999</v>
      </c>
      <c r="K101" s="3">
        <f>1843+(228.2-295.2)+(-5.63958+(-0.698292--0.903312))+0-322.4--0.986544000000037</f>
        <v>1449.1519840000003</v>
      </c>
      <c r="L101" s="3">
        <f>1845.7+(106.4-317.6)+(-1.882614+(-0.108528--0.323952))+0-321.7--0.328134000000051</f>
        <v>1311.4609440000002</v>
      </c>
      <c r="M101" s="3">
        <f>1847.7+(117.9-400.1)+(0.942327+(0.060129-0.204051))+0-321.1-0.163760999999967</f>
        <v>1245.0346440000001</v>
      </c>
      <c r="N101" s="3">
        <f>1843.2+(187.8-464.6)+(1.880064+(0.191556-0.473892))+0-324-0.330480000000052</f>
        <v>1243.667248</v>
      </c>
      <c r="O101" s="3">
        <f>1877.3+(190.2-517.7)+(-2.872269+(-0.291006--0.792081))+0-324.2--0.496026000000019</f>
        <v>1223.7248319999999</v>
      </c>
      <c r="P101" s="3">
        <f>1871.7+(231.6-477.3)+(0+(0-0))+0-324.6-0</f>
        <v>1301.4000000000001</v>
      </c>
      <c r="Q101" s="3">
        <f>1865+(260.9-404.4)+(0.95115+(0.133059-0.206244))+0-324.2-0.165341999999967</f>
        <v>1398.0126229999998</v>
      </c>
      <c r="R101" s="3">
        <f>1854.2+(443.5-384.6)+(-0.945642+(-0.226185--0.196146))+0-323.5--0.164984999999967</f>
        <v>1588.7893039999999</v>
      </c>
      <c r="S101" s="3">
        <f>1846.4+(557.4-371.3)+(-3.766656+(-1.137096--0.757452))+0-322.8--0.658511999999986</f>
        <v>1706.2122119999999</v>
      </c>
      <c r="T101" s="3">
        <f>1841.6+(582.5-346.9)+(0.939216+(0.297075-0.176919))+0-322.2-0.164321999999967</f>
        <v>1755.8950500000001</v>
      </c>
      <c r="U101" s="3">
        <f>1842.2+(588-352.5)+(-4.69761+(-1.4994--0.898875))+0-323.4--0.824669999999953</f>
        <v>1749.8265349999997</v>
      </c>
      <c r="V101" s="3">
        <f>1839.3+(510.1-348.7)+(0+(0-0))+0-323.8-0</f>
        <v>1676.9</v>
      </c>
      <c r="W101" s="3">
        <f>1841+(298.8-348.7)+(-2.81673+(-0.457164--0.533511))+0-324.7--0.496791000000019</f>
        <v>1464.1564079999998</v>
      </c>
      <c r="X101" s="3">
        <f>1842+(195.2-485.9)+(-3.75768+(-0.398208--0.991236))+0-322.3--0.657491999999986</f>
        <v>1226.4928400000001</v>
      </c>
      <c r="Y101" s="3">
        <f>1851.8+(135.6-561.8)+(-1.888836+(-0.138312--0.573036))+0-324.2--0.330684000000052</f>
        <v>1100.276572</v>
      </c>
      <c r="Z101" s="3">
        <f>1860.7+(252.6-412.1)+(-3.795828+(-0.515304--0.840684))+0-325--0.662999999999986</f>
        <v>1373.392552</v>
      </c>
      <c r="AA101" s="3">
        <f>1878+(327.1-376.4)+(-2.87334+(-0.500463--0.575892))+0-323.8--0.495414000000019</f>
        <v>1502.597503</v>
      </c>
      <c r="AB101" s="3">
        <f>1882+(364.9-361.3)+(-2.87946+(-0.558297--0.552789))+0-324--0.495720000000019</f>
        <v>1559.210752</v>
      </c>
      <c r="AC101" s="3">
        <f>1885+(406.1-343.4)+(1.9227+(0.414222-0.350268))+0-323.5-0.329970000000052</f>
        <v>1625.8566840000001</v>
      </c>
      <c r="AD101">
        <v>1484.8000000000002</v>
      </c>
      <c r="AE101" s="3">
        <f>1876+(302.3-371.6)+(0+(0-0))+0-321.9-0</f>
        <v>1484.8000000000002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1887.6+(356.1-347.1)+(-0.962676+(-0.181611--0.177021))+0-323.1--0.164780999999967</f>
        <v>1572.6975149999998</v>
      </c>
      <c r="G102" s="3">
        <f>1887.3+(339.6-340.1)+(-1.925046+(-0.346392--0.346902))+0-323.1--0.329562000000052</f>
        <v>1562.105026</v>
      </c>
      <c r="H102" s="3">
        <f>1888.7+(322.2-341.2)+(-1.926474+(-0.328644--0.348024))+0-321.7--0.328134000000051</f>
        <v>1546.4210400000002</v>
      </c>
      <c r="I102" s="3">
        <f>1886.8+(291.9-323.9)+(0.962268+(0.148869-0.165189))+0-320.3-0.163352999999968</f>
        <v>1535.2825950000001</v>
      </c>
      <c r="J102" s="3">
        <f>1888+(251-314.3)+(-2.88864+(-0.38403--0.480879))+0-320.5--0.490365000000019</f>
        <v>1501.8985740000001</v>
      </c>
      <c r="K102" s="3">
        <f>1888.7+(181.1-299)+(-4.816185+(-0.461805--0.76245))+0-320.3--0.816764999999954</f>
        <v>1446.8012249999999</v>
      </c>
      <c r="L102" s="3">
        <f>1895.1+(85.4-306.3)+(-5.799006+(-0.261324--0.937278))+0-320.7--0.981342000000037</f>
        <v>1349.3582899999999</v>
      </c>
      <c r="M102" s="3">
        <f>1895.5+(83.4-358.9)+(-0.966705+(-0.042534--0.183039))+0-317.8--0.162077999999968</f>
        <v>1301.5358780000001</v>
      </c>
      <c r="N102" s="3">
        <f>1888.1+(109.4-428.5)+(-0.962931+(-0.055794--0.218535))+0-318.9--0.162638999999968</f>
        <v>1249.4624489999999</v>
      </c>
      <c r="O102" s="3">
        <f>1882.4+(162.1-475.4)+(0+(0-0))+0-321.4-0</f>
        <v>1247.7000000000003</v>
      </c>
      <c r="P102" s="3">
        <f>1875+(231.8-488.4)+(0+(0-0))+0-321.4-0</f>
        <v>1297</v>
      </c>
      <c r="Q102" s="3">
        <f>1866.5+(279.5-431.1)+(-2.855745+(-0.427635--0.659583))+0-321.6--0.492048000000019</f>
        <v>1391.1682510000001</v>
      </c>
      <c r="R102" s="3">
        <f>1857.8+(393.5-421.9)+(-0.947478+(-0.200685--0.215169))+0-321.3--0.163862999999967</f>
        <v>1507.3308690000001</v>
      </c>
      <c r="S102" s="3">
        <f>1853.4+(495.4-379.1)+(-4.72617+(-1.26327--0.966705))+0-321.9--0.820844999999953</f>
        <v>1643.5981100000001</v>
      </c>
      <c r="T102" s="3">
        <f>1851.6+(504.6-359.7)+(0.944316+(0.257346-0.183447))+0-321.2-0.163811999999967</f>
        <v>1676.154403</v>
      </c>
      <c r="U102" s="3">
        <f>1846+(508-350)+(0.94146+(0.25908-0.1785))+0-321-0.163709999999967</f>
        <v>1683.85833</v>
      </c>
      <c r="V102" s="3">
        <f>1844.3+(435.6-349.2)+(-1.881186+(-0.444312--0.356184))+0-320.1--0.326502000000051</f>
        <v>1608.9571880000001</v>
      </c>
      <c r="W102" s="3">
        <f>1843.1+(278.5-371)+(-2.819943+(-0.426105--0.56763))+0-320.4--0.490212000000018</f>
        <v>1428.0117939999998</v>
      </c>
      <c r="X102" s="3">
        <f>1848+(168.3-506.2)+(-3.76992+(-0.343332--1.032648))+0-320.9--0.654635999999986</f>
        <v>1186.774032</v>
      </c>
      <c r="Y102" s="3">
        <f>1861.5+(73.7-513.3)+(-2.848095+(-0.112761--0.785349))+0-321--0.491130000000019</f>
        <v>1099.2156230000003</v>
      </c>
      <c r="Z102" s="3">
        <f>1873.9+(167-390.9)+(0.955689+(0.08517-0.199359))+0-320.8-0.163607999999967</f>
        <v>1329.877892</v>
      </c>
      <c r="AA102" s="3">
        <f>1882.6+(281.6-365.5)+(-2.880378+(-0.430848--0.559215))+0-320.9--0.490977000000019</f>
        <v>1475.5389659999996</v>
      </c>
      <c r="AB102" s="3">
        <f>1884.4+(312-349.1)+(-1.922088+(-0.31824--0.356082))+0-320.9--0.327318000000051</f>
        <v>1524.8430720000001</v>
      </c>
      <c r="AC102" s="3">
        <f>1884+(350.4-338.3)+(1.92168+(0.357408-0.345066))+0-319.6-0.325992000000051</f>
        <v>1578.1080299999999</v>
      </c>
      <c r="AD102">
        <v>1451.4</v>
      </c>
      <c r="AE102" s="3">
        <f>1879+(258.6-366.1)+(0+(0-0))+0-320.1-0</f>
        <v>1451.4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1889.9+(328.3-342.5)+(-1.927698+(-0.334866--0.34935))+0-320.3--0.326706000000051</f>
        <v>1553.8134920000002</v>
      </c>
      <c r="G103" s="3">
        <f>1878.1+(314.5-335.4)+(-0.957831+(-0.160395--0.171054))+0-319.9--0.163148999999968</f>
        <v>1536.515977</v>
      </c>
      <c r="H103" s="3">
        <f>1897+(268.9-326.8)+(-3.86988+(-0.548556--0.666672))+0-320.8--0.654431999999986</f>
        <v>1515.2026679999999</v>
      </c>
      <c r="I103" s="3">
        <f>1899.6+(241.5-317.9)+(-4.84398+(-0.615825--0.810645))+0-320--0.815999999999954</f>
        <v>1499.3668399999999</v>
      </c>
      <c r="J103" s="3">
        <f>1898.9+(214.7-316.4)+(1.936878+(0.218994-0.322728))+0-322.1-0.328542000000051</f>
        <v>1476.6046020000001</v>
      </c>
      <c r="K103" s="3">
        <f>1903.3+(161.1-330.7)+(-4.853415+(-0.410805--0.843285))+0-320.5--0.817274999999953</f>
        <v>1409.5963399999998</v>
      </c>
      <c r="L103" s="3">
        <f>1905.5+(88.8-323.9)+(-0.971805+(-0.045288--0.165189))+0-318.6--0.162485999999968</f>
        <v>1351.110582</v>
      </c>
      <c r="M103" s="3">
        <f>1900.9+(64.3-352.1)+(-1.938918+(-0.065586--0.359142))+0-317.4--0.323748000000051</f>
        <v>1294.3783860000001</v>
      </c>
      <c r="N103" s="3">
        <f>1894.3+(112.5-452.9)+(-1.932186+(-0.11475--0.461958))+0-318.1--0.324462000000051</f>
        <v>1234.5394839999999</v>
      </c>
      <c r="O103" s="3">
        <f>1888.5+(148.4-511.4)+(0.963135+(0.075684-0.260814))+0-319.7-0.163046999999968</f>
        <v>1206.4149579999998</v>
      </c>
      <c r="P103" s="3">
        <f>1875.7+(183.6-508.3)+(-1.913214+(-0.187272--0.518466))+0-319.9--0.326298000000051</f>
        <v>1229.844278</v>
      </c>
      <c r="Q103" s="3">
        <f>1868.4+(232.6-464.4)+(0+(0-0))+0-320.9-0</f>
        <v>1315.7000000000003</v>
      </c>
      <c r="R103" s="3">
        <f>1860+(245.5-409.6)+(2.8458+(0.375615-0.626688))+0-320-0.489600000000018</f>
        <v>1378.0051269999999</v>
      </c>
      <c r="S103" s="3">
        <f>1851.2+(320-384.3)+(0+(0-0))+0-319.9-0</f>
        <v>1467</v>
      </c>
      <c r="T103" s="3">
        <f>1849.4+(394.5-380)+(0.943194+(0.201195-0.1938))+0-320.8-0.163607999999967</f>
        <v>1543.8869810000001</v>
      </c>
      <c r="U103" s="3">
        <f>1851.6+(402.5-364.1)+(-5.665896+(-1.23165--1.114146))+0-319.9--0.978894000000037</f>
        <v>1565.2954940000002</v>
      </c>
      <c r="V103" s="3">
        <f>1846.6+(325.8-348.7)+(2.825298+(0.498474-0.533511))+0-320.3-0.490059000000019</f>
        <v>1505.700202</v>
      </c>
      <c r="W103" s="3">
        <f>1849.3+(191.7-426)+(-4.715715+(-0.488835--1.0863))+0-322.1--0.821354999999953</f>
        <v>1289.6031050000001</v>
      </c>
      <c r="X103" s="3">
        <f>1855+(118.4-550.1)+(-4.73025+(-0.30192--1.402755))+0-322.3--0.821864999999953</f>
        <v>1098.1924499999998</v>
      </c>
      <c r="Y103" s="3">
        <f>1859.2+(66.3-587.1)+(-1.896384+(-0.067626--0.598842))+0-321.9--0.328338000000051</f>
        <v>1015.4631700000001</v>
      </c>
      <c r="Z103" s="3">
        <f>1871.4+(135.4-428)+(-1.908828+(-0.138108--0.43656))+0-322--0.328440000000051</f>
        <v>1255.5180640000001</v>
      </c>
      <c r="AA103" s="3">
        <f>1883.6+(231.1-413.1)+(-3.842544+(-0.471444--0.842724))+0-321.1--0.655043999999986</f>
        <v>1377.6837799999998</v>
      </c>
      <c r="AB103" s="3">
        <f>1887.7+(267.3-390.5)+(-1.925454+(-0.272646--0.39831))+0-320.6--0.327012000000051</f>
        <v>1442.427222</v>
      </c>
      <c r="AC103" s="3">
        <f>1892+(295.5-364.1)+(-2.89476+(-0.452115--0.557073))+0-321.3--0.491589000000019</f>
        <v>1499.8017870000001</v>
      </c>
      <c r="AD103">
        <v>1441.6999999999998</v>
      </c>
      <c r="AE103" s="3">
        <f>1882+(270.6-391.4)+(0+(0-0))+0-319.5-0</f>
        <v>1441.7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1898.2+(329.8-354.5)+(-0.968082+(-0.168198--0.180795))+0-320.4--0.163403999999967</f>
        <v>1552.3079189999999</v>
      </c>
      <c r="G104" s="3">
        <f>1906.1+(295.7-335)+(-1.944222+(-0.301614--0.3417))+0-320.7--0.327114000000051</f>
        <v>1544.5229779999997</v>
      </c>
      <c r="H104" s="3">
        <f>1904.4+(290.4-353.1)+(1.942488+(0.296208-0.360162))+0-321-0.327420000000051</f>
        <v>1522.2511139999999</v>
      </c>
      <c r="I104" s="3">
        <f>1908.6+(263.7-335.6)+(-0.973386+(-0.134487--0.171156))+0-320.7--0.163556999999967</f>
        <v>1515.2268399999996</v>
      </c>
      <c r="J104" s="3">
        <f>1912.3+(227.4-346.4)+(-2.925819+(-0.347922--0.529992))+0-319.6--0.488988000000019</f>
        <v>1471.4452390000001</v>
      </c>
      <c r="K104" s="3">
        <f>1912.7+(126-310.8)+(-7.803816+(-0.51408--1.268064))+0-320.6--1.30804799999997</f>
        <v>1401.5582159999999</v>
      </c>
      <c r="L104" s="3">
        <f>1908.8+(38.7-347)+(-3.893952+(-0.078948--0.70788))+0-318.7--0.650147999999986</f>
        <v>1279.1851279999998</v>
      </c>
      <c r="M104" s="3">
        <f>1903.9+(63.2-421.9)+(2.912967+(0.096696-0.645507))+0-321-0.491130000000019</f>
        <v>1226.073026</v>
      </c>
      <c r="N104" s="3">
        <f>1898.8+(106.4-473.7)+(0.968388+(0.054264-0.241587))+0-322.7-0.164576999999967</f>
        <v>1209.4164879999998</v>
      </c>
      <c r="O104" s="3">
        <f>1894.5+(185-527)+(0.966195+(0.09435-0.26877))+0-324.4-0.165443999999967</f>
        <v>1228.7263310000001</v>
      </c>
      <c r="P104" s="3">
        <f>1929+(213.1-535.3)+(-1.96758+(-0.217362--0.546006))+0-321.9--0.328338000000051</f>
        <v>1283.5894020000003</v>
      </c>
      <c r="Q104" s="3">
        <f>1886+(238.3-471.3)+(-0.96186+(-0.121533--0.240363))+0-321.1--0.163760999999967</f>
        <v>1331.2207310000001</v>
      </c>
      <c r="R104" s="3">
        <f>1852+(353.9-381.3)+(-1.88904+(-0.360978--0.388926))+0-322.7--0.329154000000051</f>
        <v>1500.3680619999998</v>
      </c>
      <c r="S104" s="3">
        <f>1825+(500.7-370.2)+(-0.93075+(-0.255357--0.188802))+0-324.3--0.165392999999967</f>
        <v>1630.3680879999999</v>
      </c>
      <c r="T104" s="3">
        <f>1879+(515.2-365)+(-2.87487+(-0.788256--0.55845))+0-323.3--0.494649000000019</f>
        <v>1703.2899730000001</v>
      </c>
      <c r="U104" s="3">
        <f>1906+(506.9-345.6)+(0+(0-0))+0-322.5-0</f>
        <v>1744.8000000000002</v>
      </c>
      <c r="V104" s="3">
        <f>1868.3+(418.3-340.6)+(-1.905666+(-0.426666--0.347412))+0-322.9--0.329358000000051</f>
        <v>1621.444438</v>
      </c>
      <c r="W104" s="3">
        <f>1871.9+(256.8-376.2)+(-4.773345+(-0.65484--0.95931))+0-323.8--0.825689999999953</f>
        <v>1425.0568149999999</v>
      </c>
      <c r="X104" s="3">
        <f>1875.2+(153.2-553.3)+(-4.78176+(-0.39066--1.410915))+0-322.9--0.823394999999953</f>
        <v>1149.2618900000002</v>
      </c>
      <c r="Y104" s="3">
        <f>1882.4+(118.5-591.4)+(-5.760144+(-0.36261--1.809684))+0-323--0.988380000000037</f>
        <v>1083.1753100000001</v>
      </c>
      <c r="Z104" s="3">
        <f>1896.6+(208-475.9)+(1.934532+(0.21216-0.485418))+0-325.1-0.331602000000052</f>
        <v>1304.929672</v>
      </c>
      <c r="AA104" s="3">
        <f>1904.2+(292.8-413.2)+(-2.913426+(-0.447984--0.632196))+0-323.1--0.494343000000019</f>
        <v>1458.4651290000004</v>
      </c>
      <c r="AB104" s="3">
        <f>1909+(340.3-401.7)+(-1.94718+(-0.347106--0.409734))+0-322.7--0.329154000000051</f>
        <v>1523.3446019999999</v>
      </c>
      <c r="AC104" s="3">
        <f>1908.5+(403.8-396.7)+(0.973335+(0.205938-0.202317))+0-322-0.164219999999967</f>
        <v>1594.412736</v>
      </c>
      <c r="AD104">
        <v>1461.1000000000001</v>
      </c>
      <c r="AE104" s="3">
        <f>1913+(280.9-413.3)+(0+(0-0))+0-319.5-0</f>
        <v>1461.1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1901.1+(410.3-404.8)+(0+(0-0))+0-323.8-0</f>
        <v>1582.8</v>
      </c>
      <c r="G105" s="3">
        <f>1882.7+(391.6-396)+(-0.960177+(-0.199716--0.20196))+0-323.9--0.165188999999967</f>
        <v>1553.6072560000005</v>
      </c>
      <c r="H105" s="3">
        <f>1885.5+(359.1-388.2)+(-2.884815+(-0.549423--0.593946))+0-324.6--0.496638000000019</f>
        <v>1529.4563459999999</v>
      </c>
      <c r="I105" s="3">
        <f>1889.9+(312.5-373.5)+(-2.891547+(-0.478125--0.571455))+0-322.9--0.494037000000019</f>
        <v>1503.6958199999999</v>
      </c>
      <c r="J105" s="3">
        <f>1894.2+(284.4-374.3)+(-4.83021+(-0.72522--0.954465))+0-326.6--0.832829999999953</f>
        <v>1473.9318649999998</v>
      </c>
      <c r="K105" s="3">
        <f>1898.1+(228.3-392.6)+(-4.840155+(-0.582165--1.00113))+0-325.2--0.829259999999953</f>
        <v>1405.0080699999999</v>
      </c>
      <c r="L105" s="3">
        <f>1900.1+(70.9-389.4)+(-1.938102+(-0.072318--0.397188))+0-322.9--0.329358000000051</f>
        <v>1257.4161260000001</v>
      </c>
      <c r="M105" s="3">
        <f>1897.6+(77.2-436.2)+(-0.967776+(-0.039372--0.222462))+0-322--0.164219999999967</f>
        <v>1215.9795339999998</v>
      </c>
      <c r="N105" s="3">
        <f>1888.2+(100-476.3)+(0.962982+(0.051-0.242913))+0-321.3-0.163862999999967</f>
        <v>1191.207206</v>
      </c>
      <c r="O105" s="3">
        <f>1845.7+(120.2-482.5)+(0+(0-0))+0-313.1-0</f>
        <v>1170.3000000000002</v>
      </c>
      <c r="P105" s="3">
        <f>1866.3+(196.3-468.2)+(1.903626+(0.200226-0.477564))+0-324.7-0.331194000000052</f>
        <v>1270.9950939999999</v>
      </c>
      <c r="Q105" s="3">
        <f>1860.6+(273.3-469.8)+(-0.948906+(-0.139383--0.239598))+0-325.1--0.165800999999967</f>
        <v>1338.3171099999997</v>
      </c>
      <c r="R105" s="3">
        <f>1877.2+(431.8-442.6)+(-1.914744+(-0.440436--0.451452))+0-323.6--0.330072000000052</f>
        <v>1541.2263439999999</v>
      </c>
      <c r="S105" s="3">
        <f>1889.6+(504.8-410)+(-1.927392+(-0.514896--0.4182))+0-322.1--0.328542000000051</f>
        <v>1660.604454</v>
      </c>
      <c r="T105" s="3">
        <f>1890.7+(549.6-415.1)+(0+(0-0))+0-323.8-0</f>
        <v>1701.4</v>
      </c>
      <c r="U105" s="3">
        <f>1882.3+(528-407.4)+(0+(0-0))+0-323.5-0</f>
        <v>1679.4</v>
      </c>
      <c r="V105" s="3">
        <f>1872.9+(451.5-390.6)+(0.955179+(0.230265-0.199206))+0-322.5-0.164474999999967</f>
        <v>1612.1217630000001</v>
      </c>
      <c r="W105" s="3">
        <f>1878.8+(230.9-382.8)+(-3.832752+(-0.471036--0.780912))+0-321.5--0.655859999999986</f>
        <v>1402.5329839999999</v>
      </c>
      <c r="X105" s="3">
        <f>1885+(112.3-513.7)+(-6.72945+(-0.400911--1.833909))+0-322.2--1.150254</f>
        <v>1157.2538019999997</v>
      </c>
      <c r="Y105" s="3">
        <f>1889.9+(73.1-527.5)+(-4.819245+(-0.186405--1.345125))+0-322.2--0.821609999999953</f>
        <v>1110.4610849999999</v>
      </c>
      <c r="Z105" s="3">
        <f>1893+(131.1-453)+(-0.96543+(-0.066861--0.23103))+0-322.6--0.164525999999967</f>
        <v>1247.863265</v>
      </c>
      <c r="AA105" s="3">
        <f>1901.5+(262.5-435.4)+(-3.87906+(-0.5355--0.888216))+0-321.9--0.656675999999986</f>
        <v>1403.830332</v>
      </c>
      <c r="AB105" s="3">
        <f>1906.7+(341.2-385.3)+(-2.917251+(-0.522036--0.589509))+0-323.1--0.494343000000019</f>
        <v>1537.1445649999998</v>
      </c>
      <c r="AC105" s="3">
        <f>1909.2+(384.3-387.6)+(0.973692+(0.195993-0.197676))+0-320.9-0.163658999999967</f>
        <v>1585.80835</v>
      </c>
      <c r="AD105">
        <v>1470.1</v>
      </c>
      <c r="AE105" s="3">
        <f>1918+(274.6-402.4)+(0+(0-0))+0-320.1-0</f>
        <v>1470.1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1882.2+(416.2-377.6)+(0+(0-0))+0-319.8-0</f>
        <v>1601</v>
      </c>
      <c r="G106" s="3">
        <f>1883.6+(386.7-359.4)+(-3.842544+(-0.788868--0.733176))+0-321.8--0.656471999999986</f>
        <v>1585.8582359999998</v>
      </c>
      <c r="H106" s="3">
        <f>1883.2+(357.2-365.5)+(0.960432+(0.182172-0.186405))+0-321.7-0.164066999999967</f>
        <v>1553.9921320000001</v>
      </c>
      <c r="I106" s="3">
        <f>1884.4+(335.6-374)+(-3.844176+(-0.684624--0.76296))+0-323.6--0.660143999999986</f>
        <v>1519.294304</v>
      </c>
      <c r="J106" s="3">
        <f>1881.7+(286.7-343.9)+(0+(0-0))+0-322.6-0</f>
        <v>1501.9</v>
      </c>
      <c r="K106" s="3">
        <f>1881.2+(176.9-315.1)+(-4.79706+(-0.451095--0.803505))+0-322.6--0.822629999999953</f>
        <v>1416.7779800000001</v>
      </c>
      <c r="L106" s="3">
        <f>1920+(62.6-344.9)+(-4.896+(-0.15963--0.879495))+0-321--0.818549999999953</f>
        <v>1313.3424150000001</v>
      </c>
      <c r="M106" s="3">
        <f>1925.6+(73.6-409.2)+(0+(0-0))+0-321.1-0</f>
        <v>1268.9000000000001</v>
      </c>
      <c r="N106" s="3">
        <f>1914.7+(154.5-510)+(2.929491+(0.236385-0.7803))+0-321.9-0.492507000000019</f>
        <v>1239.1930689999999</v>
      </c>
      <c r="O106" s="3">
        <f>1925.6+(187.9-547.4)+(1.964112+(0.191658-0.558348))+0-321.8-0.328236000000051</f>
        <v>1245.5691859999999</v>
      </c>
      <c r="P106" s="3">
        <f>1917.9+(258.5-565.2)+(2.934387+(0.395505-0.864756))+0-322.5-0.493425000000019</f>
        <v>1290.671711</v>
      </c>
      <c r="Q106" s="3">
        <f>1911.5+(296.3-492.7)+(2.924595+(0.453339-0.753831))+0-322.7-0.493731000000019</f>
        <v>1394.5303719999999</v>
      </c>
      <c r="R106" s="3">
        <f>1911.1+(299.9-441.9)+(-0.974661+(-0.152949--0.225369))+0-215--0.109649999999978</f>
        <v>1553.3074089999998</v>
      </c>
      <c r="S106" s="3">
        <f>1912.5+(469.7-365.7)+(-3.9015+(-0.958188--0.746028))+0-325.9--0.664835999999986</f>
        <v>1687.1511759999999</v>
      </c>
      <c r="T106" s="3">
        <f>1908.6+(486.1-354.6)+(2.920158+(0.743733-0.542538))+0-324.7-0.496791000000019</f>
        <v>1718.0245619999998</v>
      </c>
      <c r="U106" s="3">
        <f>1908.6+(472.4-346.3)+(-1.946772+(-0.481848--0.353226))+0-324.7--0.331194000000052</f>
        <v>1708.2557999999999</v>
      </c>
      <c r="V106" s="3">
        <f>1906.4+(368.8-345.8)+(-3.889056+(-0.752352--0.705432))+0-323--0.658919999999986</f>
        <v>1603.1229440000002</v>
      </c>
      <c r="W106" s="3">
        <f>1899.3+(251.1-451.9)+(-3.874572+(-0.512244--0.921876))+0-323.5--0.659939999999986</f>
        <v>1372.1949999999999</v>
      </c>
      <c r="X106" s="3">
        <f>1904.3+(169-601)+(-3.884772+(-0.34476--1.22604))+0-321.8--0.656471999999986</f>
        <v>1148.1529799999998</v>
      </c>
      <c r="Y106" s="3">
        <f>1912.4+(136.6-614.1)+(-3.901296+(-0.278664--1.252764))+0-322.2--0.657287999999986</f>
        <v>1110.4300919999998</v>
      </c>
      <c r="Z106" s="3">
        <f>1912.8+(254.9-477.6)+(-0.975528+(-0.129999--0.243576))+0-322.6--0.164525999999967</f>
        <v>1366.8025749999997</v>
      </c>
      <c r="AA106" s="3">
        <f>1931.1+(301.1-398.1)+(-2.954583+(-0.460683--0.609093))+0-322.3--0.493119000000019</f>
        <v>1509.486946</v>
      </c>
      <c r="AB106" s="3">
        <f>1937.5+(341.1-378.3)+(-3.9525+(-0.695844--0.771732))+0-323.8--0.660551999999986</f>
        <v>1573.28394</v>
      </c>
      <c r="AC106" s="3">
        <f>1929.3+(402.7-381.5)+(0+(0-0))+0-320.7-0</f>
        <v>1629.8</v>
      </c>
      <c r="AD106">
        <v>1490.6000000000001</v>
      </c>
      <c r="AE106" s="3">
        <f>1935+(253.9-377)+(0+(0-0))+0-321.3-0</f>
        <v>1490.6000000000001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1935.7+(364.7-381.5)+(-2.961621+(-0.557991--0.583695))+0-322.7--0.493731000000019</f>
        <v>1593.7578140000001</v>
      </c>
      <c r="G107" s="3">
        <f>1910.9+(332.5-349.4)+(-6.821913+(-1.187025--1.247358))+0-323.6--1.155252</f>
        <v>1564.7936719999998</v>
      </c>
      <c r="H107" s="3">
        <f>1907.3+(320.5-334.9)+(-5.836338+(-0.98073--1.024794))+0-324.1--0.991746000000038</f>
        <v>1563.9994720000004</v>
      </c>
      <c r="I107" s="3">
        <f>1906.2+(303.2-332.9)+(-4.86081+(-0.77316--0.848895))+0-325--0.828749999999953</f>
        <v>1547.5436749999999</v>
      </c>
      <c r="J107" s="3">
        <f>1911+(269.8-325.3)+(2.92383+(0.412794-0.497709))+0-326.3-0.499239000000019</f>
        <v>1531.5396760000001</v>
      </c>
      <c r="K107" s="3">
        <f>1908.9+(217.2-336.8)+(-2.920617+(-0.332316--0.515304))+0-324.7--0.496791000000019</f>
        <v>1462.3591620000002</v>
      </c>
      <c r="L107" s="3">
        <f>1908+(81.9-322.8)+(-3.89232+(-0.167076--0.658512))+0-325.8--0.664631999999986</f>
        <v>1338.563748</v>
      </c>
      <c r="M107" s="3">
        <f>1900.4+(63.6-359)+(0+(0-0))+0-320.9-0</f>
        <v>1284.0999999999999</v>
      </c>
      <c r="N107" s="3">
        <f>1898+(77.6-405.9)+(-2.90394+(-0.118728--0.621027))+0-320.6--0.490518000000019</f>
        <v>1247.188877</v>
      </c>
      <c r="O107" s="3">
        <f>1894.3+(123.5-467.5)+(0.966093+(0.062985-0.238425))+0-321.1-0.163760999999967</f>
        <v>1229.8268919999998</v>
      </c>
      <c r="P107" s="3">
        <f>1901.2+(168.9-504.9)+(0+(0-0))+0-322.7-0</f>
        <v>1242.5</v>
      </c>
      <c r="Q107" s="3">
        <f>1903+(215.3-460.8)+(-1.94106+(-0.219606--0.470016))+0-322.2--0.328644000000051</f>
        <v>1333.9379939999999</v>
      </c>
      <c r="R107" s="3">
        <f>1900.7+(303.8-374.5)+(0+(0-0))+0-324.3-0</f>
        <v>1505.7</v>
      </c>
      <c r="S107" s="3">
        <f>1912.3+(433.3-366.6)+(-1.950546+(-0.441966--0.373932))+0-326.1--0.332622000000052</f>
        <v>1651.2140420000003</v>
      </c>
      <c r="T107" s="3">
        <f>1924+(476.2-361.5)+(-1.96248+(-0.485724--0.36873))+0-324.1--0.330582000000052</f>
        <v>1712.8511080000003</v>
      </c>
      <c r="U107" s="3">
        <f>1921.9+(466.6-361.8)+(-2.940507+(-0.713898--0.553554))+0-322.9--0.494037000000019</f>
        <v>1701.193186</v>
      </c>
      <c r="V107" s="3">
        <f>1922+(372.4-352)+(-0.98022+(-0.189924--0.17952))+0-324.4--0.165443999999967</f>
        <v>1617.17482</v>
      </c>
      <c r="W107" s="3">
        <f>1927.1+(259.4-424.3)+(-2.948463+(-0.396882--0.649179))+0-325.5--0.498015000000019</f>
        <v>1434.501849</v>
      </c>
      <c r="X107" s="3">
        <f>1934.7+(161.9-569.8)+(-4.933485+(-0.412845--1.45299))+0-327.9--0.836144999999952</f>
        <v>1195.842805</v>
      </c>
      <c r="Y107" s="3">
        <f>1936.8+(110.7-597.4)+(-2.963304+(-0.169371--0.914022))+0-324.5--0.496485000000019</f>
        <v>1123.8778320000001</v>
      </c>
      <c r="Z107" s="3">
        <f>1938.5+(203.4-456.8)+(-1.97727+(-0.207468--0.465936))+0-324.8--0.331296000000052</f>
        <v>1358.9124939999999</v>
      </c>
      <c r="AA107" s="3">
        <f>1942.6+(278.9-408)+(-1.981452+(-0.284478--0.41616))+0-325--0.331500000000052</f>
        <v>1486.98173</v>
      </c>
      <c r="AB107" s="3">
        <f>1947+(293.2-371.6)+(-3.97188+(-0.598128--0.758064))+0-325.1--0.663203999999986</f>
        <v>1540.3512599999999</v>
      </c>
      <c r="AC107" s="3">
        <f>1951.6+(328.9-364.1)+(-1.990632+(-0.335478--0.371382))+0-325.7--0.332214000000052</f>
        <v>1589.0774859999999</v>
      </c>
      <c r="AD107">
        <v>1487.1999999999998</v>
      </c>
      <c r="AE107" s="3">
        <f>1963+(241-391.9)+(0+(0-0))+0-324.9-0</f>
        <v>1487.1999999999998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1962.1+(297.6-370.3)+(-3.002013+(-0.455328--0.566559))+0-324.2--0.496026000000019</f>
        <v>1562.8052439999999</v>
      </c>
      <c r="G108" s="3">
        <f>1962.6+(285.7-365.3)+(-3.002778+(-0.437121--0.558909))+0-326.1--0.498933000000019</f>
        <v>1554.5179430000001</v>
      </c>
      <c r="H108" s="3">
        <f>1963+(247.4-346.7)+(0+(0-0))+0-326.6-0</f>
        <v>1537.1</v>
      </c>
      <c r="I108" s="3">
        <f>1961.3+(244.3-358.2)+(-4.001052+(-0.498372--0.730728))+0-326.2--0.665447999999986</f>
        <v>1518.0967519999999</v>
      </c>
      <c r="J108" s="3">
        <f>1958.4+(236.4-354.7)+(-3.995136+(-0.482256--0.723588))+0-325.4--0.663815999999986</f>
        <v>1511.6100120000003</v>
      </c>
      <c r="K108" s="3">
        <f>1954.3+(176.7-349.3)+(-3.986772+(-0.360468--0.712572))+0-325.9--0.664835999999986</f>
        <v>1452.830168</v>
      </c>
      <c r="L108" s="3">
        <f>1932.3+(54.4-390.6)+(-3.941892+(-0.110976--0.796824))+0-324.6--0.662183999999986</f>
        <v>1268.9061399999998</v>
      </c>
      <c r="M108" s="3">
        <f>1932.1+(49.5-470.8)+(2.956113+(0.075735-0.720324))+0-321.6-0.492048000000019</f>
        <v>1191.0194759999999</v>
      </c>
      <c r="N108" s="3">
        <f>1929.8+(97.4-537.9)+(1.968396+(0.099348-0.548658))+0-325.4-0.331908000000052</f>
        <v>1165.0871779999998</v>
      </c>
      <c r="O108" s="3">
        <f>1921.3+(166.8-570.7)+(0+(0-0))+0-323.7-0</f>
        <v>1193.6999999999998</v>
      </c>
      <c r="P108" s="3">
        <f>1918.4+(204.7-580.9)+(0.978384+(0.104397-0.296259))+0-324.3-0.165392999999967</f>
        <v>1218.5211290000002</v>
      </c>
      <c r="Q108" s="3">
        <f>1915.3+(196.2-624.3)+(0+(0-0))+0-148.4-0</f>
        <v>1338.8</v>
      </c>
      <c r="R108" s="3">
        <f>1930.1+(324.9-415.2)+(0.984351+(0.165699-0.211752))+0-322.4-0.164423999999967</f>
        <v>1518.1738740000001</v>
      </c>
      <c r="S108" s="3">
        <f>1927.6+(464-388.3)+(1.966152+(0.47328-0.396066))+0-328.1-0.334662000000052</f>
        <v>1676.9087040000002</v>
      </c>
      <c r="T108" s="3">
        <f>1927.4+(475.5-368.9)+(-1.965948+(-0.48501--0.376278))+0-328.8--0.335376000000052</f>
        <v>1703.4606960000001</v>
      </c>
      <c r="U108" s="3">
        <f>1926.8+(441.5-363.3)+(1.965336+(0.45033-0.370566))+0-328-0.334560000000052</f>
        <v>1678.71054</v>
      </c>
      <c r="V108" s="3">
        <f>1928.1+(329.5-368)+(-4.916655+(-0.840225--0.9384))+0-326.5--0.832574999999953</f>
        <v>1559.1140949999999</v>
      </c>
      <c r="W108" s="3">
        <f>1934.1+(220.4-484.9)+(-5.918346+(-0.674424--1.483794))+0-326.5--0.999090000000038</f>
        <v>1338.9901139999999</v>
      </c>
      <c r="X108" s="3">
        <f>1940.5+(151.6-621.8)+(-5.93793+(-0.463896--1.902708))+0-325.7--0.996642000000038</f>
        <v>1141.0975240000002</v>
      </c>
      <c r="Y108" s="3">
        <f>1941.7+(105.7-636.3)+(-1.980534+(-0.107814--0.649026))+0-324.7--0.331194000000052</f>
        <v>1085.2918720000002</v>
      </c>
      <c r="Z108" s="3">
        <f>1948.1+(207.7-507.7)+(-2.980593+(-0.317781--0.776781))+0-324.7--0.496791000000019</f>
        <v>1321.375198</v>
      </c>
      <c r="AA108" s="3">
        <f>1951.5+(251.1-416.3)+(-4.976325+(-0.640305--1.061565))+0-324.2--0.826709999999953</f>
        <v>1458.3716449999999</v>
      </c>
      <c r="AB108" s="3">
        <f>1954.1+(266.7-368.9)+(-1.993182+(-0.272034--0.376278))+0-324.6--0.331092000000052</f>
        <v>1525.7421539999998</v>
      </c>
      <c r="AC108" s="3">
        <f>1955.8+(293.3-338.6)+(3.989832+(0.598332-0.690744))+0-323.5-0.659939999999986</f>
        <v>1590.23748</v>
      </c>
      <c r="AD108">
        <v>1436.3999999999999</v>
      </c>
      <c r="AE108" s="3">
        <f>1945+(213.6-400.9)+(0+(0-0))+0-321.3-0</f>
        <v>1436.4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1959.7+(293.3-369.7)+(-1.998894+(-0.299166--0.377094))+0-323.7--0.330174000000052</f>
        <v>1558.0092080000002</v>
      </c>
      <c r="G109" s="3">
        <f>1960.1+(286.3-372.4)+(0+(0-0))+0-325.2-0</f>
        <v>1548.8</v>
      </c>
      <c r="H109" s="3">
        <f>1962.9+(254.3-357.3)+(-2.002158+(-0.259386--0.364446))+0-325.3--0.331806000000052</f>
        <v>1533.0347080000004</v>
      </c>
      <c r="I109" s="3">
        <f>1958.6+(227.5-342.9)+(0+(0-0))+0-325.4-0</f>
        <v>1517.7999999999997</v>
      </c>
      <c r="J109" s="3">
        <f>1733.7+(385.7-312.8)+(0+(0-0))+0-325.2-0</f>
        <v>1481.3999999999999</v>
      </c>
      <c r="K109" s="3">
        <f>1687.6+(373.1-331.4)+(-4.30338+(-0.951405--0.84507))+0-325--0.828749999999953</f>
        <v>1400.7190349999998</v>
      </c>
      <c r="L109" s="3">
        <f>1684.3+(225.3-312.3)+(-1.717986+(-0.229806--0.318546))+0-324.7--0.331194000000052</f>
        <v>1271.301948</v>
      </c>
      <c r="M109" s="3">
        <f>1677.8+(172.1-322.9)+(1.711356+(0.175542-0.329358))+0-323-0.329460000000051</f>
        <v>1205.2280799999999</v>
      </c>
      <c r="N109" s="3">
        <f>1671.9+(194.4-365.9)+(0.852669+(0.099144-0.186609))+0-323.8-0.165137999999967</f>
        <v>1177.2000660000001</v>
      </c>
      <c r="O109" s="3">
        <f>1664+(229.9-402.3)+(1.69728+(0.234498-0.410346))+0-325.1-0.331602000000052</f>
        <v>1167.68983</v>
      </c>
      <c r="P109" s="3">
        <f>1654.1+(266-403.2)+(0.843591+(0.13566-0.205632))+0-324.4-0.165443999999967</f>
        <v>1193.1081750000001</v>
      </c>
      <c r="Q109" s="3">
        <f>1642.8+(359.7-400.4)+(1.675656+(0.366894-0.408408))+0-323.1-0.329562000000052</f>
        <v>1280.3045799999998</v>
      </c>
      <c r="R109" s="3">
        <f>1636.4+(503.8-393)+(0+(0-0))+0-324.2-0</f>
        <v>1423</v>
      </c>
      <c r="S109" s="3">
        <f>1630.8+(624.6-376.1)+(0+(0-0))+0-324.2-0</f>
        <v>1555.1</v>
      </c>
      <c r="T109" s="3">
        <f>1629.8+(668.2-367.6)+(-0.831198+(-0.340782--0.187476))+0-326.1--0.166310999999967</f>
        <v>1603.4818070000001</v>
      </c>
      <c r="U109" s="3">
        <f>1633+(640.6-363.1)+(-1.66566+(-0.653412--0.370362))+0-323.5--0.329970000000052</f>
        <v>1585.3812600000001</v>
      </c>
      <c r="V109" s="3">
        <f>1638.1+(537.1-369.5)+(0+(0-0))+0-322.9-0</f>
        <v>1482.7999999999997</v>
      </c>
      <c r="W109" s="3">
        <f>1647.6+(312-366)+(-1.680552+(-0.31824--0.37332))+0-323--0.329460000000051</f>
        <v>1269.3039880000001</v>
      </c>
      <c r="X109" s="3">
        <f>1650.1+(218.9-453.3)+(0+(0-0))+0-322.7-0</f>
        <v>1092.9999999999998</v>
      </c>
      <c r="Y109" s="3">
        <f>1657.1+(182.8-506.4)+(-4.225605+(-0.46614--1.29132))+0-322.6--0.822629999999953</f>
        <v>1008.3222049999999</v>
      </c>
      <c r="Z109" s="3">
        <f>1657.2+(268.3-377.5)+(0.845172+(0.136833-0.192525))+0-324.6-0.165545999999967</f>
        <v>1224.0239340000001</v>
      </c>
      <c r="AA109" s="3">
        <f>1678.3+(358.7-353.7)+(-1.711866+(-0.365874--0.360774))+0-322.6--0.329052000000051</f>
        <v>1359.3120859999999</v>
      </c>
      <c r="AB109" s="3">
        <f>1679.2+(405-342.6)+(0+(0-0))+0-323.1-0</f>
        <v>1418.5</v>
      </c>
      <c r="AC109" s="3">
        <f>1678.3+(471.1-333.9)+(-1.711866+(-0.480522--0.340578))+0-323.1--0.329562000000052</f>
        <v>1490.8777520000001</v>
      </c>
      <c r="AD109">
        <v>1401.3999999999999</v>
      </c>
      <c r="AE109" s="3">
        <f>1687+(377.6-340.7)+(0+(0-0))+0-322.5-0</f>
        <v>1401.4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1668.5+(516.1-344)+(-3.40374+(-1.052844--0.70176))+0-324.3--0.661571999999986</f>
        <v>1513.2067479999998</v>
      </c>
      <c r="G110" s="3">
        <f>1671.7+(513.8-353.8)+(-2.557701+(-0.786114--0.541314))+0-324.7--0.496791000000019</f>
        <v>1504.6942900000001</v>
      </c>
      <c r="H110" s="3">
        <f>1675.4+(510.8-364.8)+(-2.563362+(-0.781524--0.558144))+0-325.6--0.498168000000019</f>
        <v>1493.511426</v>
      </c>
      <c r="I110" s="3">
        <f>1680+(488.6-367.2)+(-4.284+(-1.24593--0.93636))+0-325.7--0.830534999999953</f>
        <v>1471.9369650000001</v>
      </c>
      <c r="J110" s="3">
        <f>1683.6+(461.2-365.9)+(-0.858636+(-0.235212--0.186609))+0-323.7--0.165086999999967</f>
        <v>1454.4578479999998</v>
      </c>
      <c r="K110" s="3">
        <f>1685.5+(366.5-338.6)+(-2.578815+(-0.560745--0.518058))+0-320.8--0.490824000000019</f>
        <v>1390.4693220000001</v>
      </c>
      <c r="L110" s="3">
        <f>1685.4+(210.4-303.1)+(-3.438216+(-0.429216--0.618324))+0-319.9--0.652595999999986</f>
        <v>1270.2034880000001</v>
      </c>
      <c r="M110" s="3">
        <f>1679.6+(167.4-333.9)+(-1.713192+(-0.170748--0.340578))+0-319.1--0.325482000000051</f>
        <v>1192.7821200000001</v>
      </c>
      <c r="N110" s="3">
        <f>1675.6+(187.1-372.8)+(0.854556+(0.095421-0.190128))+0-319.9-0.163148999999968</f>
        <v>1170.5967000000001</v>
      </c>
      <c r="O110" s="3">
        <f>1674.6+(193.9-405.2)+(0+(0-0))+0-320.7-0</f>
        <v>1142.5999999999999</v>
      </c>
      <c r="P110" s="3">
        <f>1665+(234.4-421.5)+(1.6983+(0.239088-0.42993))+0-322.7-0.329154000000051</f>
        <v>1156.3783040000001</v>
      </c>
      <c r="Q110" s="3">
        <f>1653.6+(296.4-409.1)+(1.686672+(0.302328-0.417282))+0-322.3-0.328746000000051</f>
        <v>1219.8429719999997</v>
      </c>
      <c r="R110" s="3">
        <f>1643.3+(495.2-407.7)+(0.838083+(0.252552-0.207927))+0-319.2-0.162791999999968</f>
        <v>1412.3199159999999</v>
      </c>
      <c r="S110" s="3">
        <f>1637+(625.5-404.6)+(0+(0-0))+0-320.3-0</f>
        <v>1537.6000000000001</v>
      </c>
      <c r="T110" s="3">
        <f>1635.6+(684.6-390.5)+(-1.668312+(-0.698292--0.39831))+0-319.9--0.326298000000051</f>
        <v>1608.1580039999999</v>
      </c>
      <c r="U110" s="3">
        <f>1631.6+(706.3-385.2)+(-2.496348+(-1.080639--0.589356))+0-319--0.488070000000018</f>
        <v>1631.200439</v>
      </c>
      <c r="V110" s="3">
        <f>1633.6+(613.5-372.6)+(0+(0-0))+0-319.8-0</f>
        <v>1554.7</v>
      </c>
      <c r="W110" s="3">
        <f>1634+(365.9-350.4)+(-0.83334+(-0.186609--0.178704))+0-321.3--0.163862999999967</f>
        <v>1327.522618</v>
      </c>
      <c r="X110" s="3">
        <f>1640.4+(221.1-413.1)+(-4.18302+(-0.563805--1.053405))+0-319.6--0.814979999999954</f>
        <v>1125.92156</v>
      </c>
      <c r="Y110" s="3">
        <f>1649.1+(143.4-427)+(-3.364164+(-0.292536--0.87108))+0-320.3--0.653411999999986</f>
        <v>1043.0677919999998</v>
      </c>
      <c r="Z110" s="3">
        <f>1654.5+(346.9-389.6)+(0.843795+(0.176919-0.198696))+0-321-0.163709999999967</f>
        <v>1291.458308</v>
      </c>
      <c r="AA110" s="3">
        <f>1659.7+(511.5-403)+(-4.232235+(-1.304325--1.02765))+0-322--0.821099999999953</f>
        <v>1442.5121899999999</v>
      </c>
      <c r="AB110" s="3">
        <f>1661.1+(573.7-400.5)+(-3.388644+(-1.170348--0.81702))+0-322--0.656879999999986</f>
        <v>1509.2149079999999</v>
      </c>
      <c r="AC110" s="3">
        <f>1658.9+(604-356.7)+(-0.846039+(-0.30804--0.181917))+0-320.4--0.163403999999967</f>
        <v>1584.9912420000001</v>
      </c>
      <c r="AD110">
        <v>1434</v>
      </c>
      <c r="AE110" s="3">
        <f>1666+(495.4-407.9)+(0+(0-0))+0-319.5-0</f>
        <v>1434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1660.9+(505.4-307)+(0+(0-0))+0-320.1-0</f>
        <v>1539.2000000000003</v>
      </c>
      <c r="G111" s="3">
        <f>1662.1+(486.5-296.1)+(-3.390684+(-0.99246--0.604044))+0-320.4--0.653615999999986</f>
        <v>1528.9745160000002</v>
      </c>
      <c r="H111" s="3">
        <f>1662.5+(457.7-283.3)+(1.69575+(0.466854-0.288966))+0-320.7-0.327114000000051</f>
        <v>1517.7465240000001</v>
      </c>
      <c r="I111" s="3">
        <f>1665.4+(425.3-273.9)+(-0.849354+(-0.216903--0.139689))+0-320.3--0.163352999999968</f>
        <v>1495.7367850000001</v>
      </c>
      <c r="J111" s="3">
        <f>1668.4+(396.3-269.7)+(-2.552652+(-0.606339--0.412641))+0-319.6--0.488988000000019</f>
        <v>1473.1426380000003</v>
      </c>
      <c r="K111" s="3">
        <f>1672.7+(325.3-256.8)+(-3.412308+(-0.663612--0.523872))+0-319.8--0.652391999999986</f>
        <v>1418.500344</v>
      </c>
      <c r="L111" s="3">
        <f>1676.1+(213.8-306.9)+(-1.709622+(-0.218076--0.313038))+0-319.7--0.326094000000051</f>
        <v>1262.011434</v>
      </c>
      <c r="M111" s="3">
        <f>1675.2+(179.3-319.6)+(-2.563056+(-0.274329--0.488988))+0-318.9--0.487917000000018</f>
        <v>1214.1395200000002</v>
      </c>
      <c r="N111" s="3">
        <f>1668.3+(214.4-330.4)+(0+(0-0))+0-323.4-0</f>
        <v>1228.9000000000001</v>
      </c>
      <c r="O111" s="3">
        <f>1668.2+(260.3-367.3)+(0.850782+(0.132753-0.187323))+0-323.3-0.164882999999967</f>
        <v>1238.5313290000001</v>
      </c>
      <c r="P111" s="3">
        <f>1664.5+(269.9-369)+(1.69779+(0.275298-0.37638))+0-324.2-0.330684000000052</f>
        <v>1242.4660240000001</v>
      </c>
      <c r="Q111" s="3">
        <f>1660.2+(311.7-349.7)+(0+(0-0))+0-323.5-0</f>
        <v>1298.7</v>
      </c>
      <c r="R111" s="3">
        <f>1663+(466.2-343.3)+(-0.84813+(-0.237762--0.175083))+0-323.1--0.164780999999967</f>
        <v>1462.0539720000002</v>
      </c>
      <c r="S111" s="3">
        <f>1662.2+(579.7-332.8)+(-0.847722+(-0.295647--0.169728))+0-325--0.165749999999967</f>
        <v>1583.292109</v>
      </c>
      <c r="T111" s="3">
        <f>1658+(637-329.3)+(-0.84558+(-0.32487--0.167943))+0-323.6--0.165035999999967</f>
        <v>1641.2625290000001</v>
      </c>
      <c r="U111" s="3">
        <f>1663.7+(632.8-337.3)+(-2.545461+(-0.968184--0.516069))+0-324.5--0.496485000000019</f>
        <v>1632.1989090000002</v>
      </c>
      <c r="V111" s="3">
        <f>1662.1+(556.3-335)+(0+(0-0))+0-323.8-0</f>
        <v>1559.6</v>
      </c>
      <c r="W111" s="3">
        <f>1667.2+(350.4-326.5)+(-2.550816+(-0.536112--0.499545))+0-328.2--0.502146000000019</f>
        <v>1360.8147629999999</v>
      </c>
      <c r="X111" s="3">
        <f>1671.3+(191.4-378.8)+(-5.114178+(-0.585684--1.159128))+0-325.5--0.996030000000038</f>
        <v>1154.855296</v>
      </c>
      <c r="Y111" s="3">
        <f>1673.6+(148.5-424.9)+(-1.707072+(-0.15147--0.433398))+0-324--0.330480000000052</f>
        <v>1072.1053359999999</v>
      </c>
      <c r="Z111" s="3">
        <f>1680.8+(274.2-344.1)+(0.857208+(0.139842-0.175491))+0-324.7-0.165596999999967</f>
        <v>1286.8559619999999</v>
      </c>
      <c r="AA111" s="3">
        <f>1686.6+(389.4-309.9)+(-0.860166+(-0.198594--0.158049))+0-323.1--0.164780999999967</f>
        <v>1442.2640699999997</v>
      </c>
      <c r="AB111" s="3">
        <f>1678.4+(449.1-305.1)+(-0.855984+(-0.229041--0.155601))+0-322.8--0.164627999999967</f>
        <v>1498.8352040000002</v>
      </c>
      <c r="AC111" s="3">
        <f>1669+(503.8-302.2)+(0.85119+(0.256938-0.154122))+0-320.3-0.163352999999968</f>
        <v>1551.090653</v>
      </c>
      <c r="AD111">
        <v>1487.2999999999997</v>
      </c>
      <c r="AE111" s="3">
        <f>1686+(423.2-298.2)+(0+(0-0))+0-323.7-0</f>
        <v>1487.3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1669.9+(522.1-296)+(0.851649+(0.266271-0.15096))+0-320.5-0.163454999999967</f>
        <v>1576.3035050000001</v>
      </c>
      <c r="G112" s="3">
        <f>1671.2+(498.8-285.1)+(0+(0-0))+0-321.5-0</f>
        <v>1563.4</v>
      </c>
      <c r="H112" s="3">
        <f>1713.5+(435.5-287.9)+(0.873885+(0.222105-0.146829))+0-323.2-0.164831999999967</f>
        <v>1538.6843289999999</v>
      </c>
      <c r="I112" s="3">
        <f>1776.1+(351.1-286.7)+(-1.811622+(-0.358122--0.292434))+0-324.5--0.330990000000052</f>
        <v>1514.4536800000001</v>
      </c>
      <c r="J112" s="3">
        <f>1782.2+(313.1-280.1)+(-1.817844+(-0.319362--0.285702))+0-323.4--0.329868000000052</f>
        <v>1490.278364</v>
      </c>
      <c r="K112" s="3">
        <f>1787.2+(235.3-278.4)+(-4.55736+(-0.600015--0.70992))+0-323.2--0.824159999999953</f>
        <v>1417.276705</v>
      </c>
      <c r="L112" s="3">
        <f>1794.4+(96.5-296.6)+(-2.745432+(-0.147645--0.453798))+0-321.6--0.492048000000019</f>
        <v>1270.7527690000002</v>
      </c>
      <c r="M112" s="3">
        <f>1793.3+(73.6-317.8)+(0.914583+(0.037536-0.162078))+0-320.8-0.163607999999967</f>
        <v>1228.9264329999999</v>
      </c>
      <c r="N112" s="3">
        <f>1793.5+(141-387.6)+(0+(0-0))+0-323.7-0</f>
        <v>1223.2</v>
      </c>
      <c r="O112" s="3">
        <f>1800.8+(193.8-415.3)+(-1.836816+(-0.197676--0.423606))+0-326--0.332520000000052</f>
        <v>1252.0216340000002</v>
      </c>
      <c r="P112" s="3">
        <f>1839.4+(201-396)+(0+(0-0))+0-327-0</f>
        <v>1317.4</v>
      </c>
      <c r="Q112" s="3">
        <f>1835.4+(228.2-367.7)+(-1.872108+(-0.232764--0.375054))+0-325.8--0.332316000000052</f>
        <v>1368.7024980000001</v>
      </c>
      <c r="R112" s="3">
        <f>1833.8+(347.2-363.2)+(-0.935238+(-0.177072--0.185232))+0-325.3--0.165902999999967</f>
        <v>1491.7388250000001</v>
      </c>
      <c r="S112" s="3">
        <f>1876.2+(407.5-322.2)+(-0.956862+(-0.207825--0.164322))+0-329--0.167789999999967</f>
        <v>1631.6674249999999</v>
      </c>
      <c r="T112" s="3">
        <f>1906+(441.4-352.1)+(-2.91618+(-0.675342--0.538713))+0-328.1--0.501993000000019</f>
        <v>1664.6491840000001</v>
      </c>
      <c r="U112" s="3">
        <f>1903.4+(425.2-349.5)+(0+(0-0))+0-325.2-0</f>
        <v>1653.9</v>
      </c>
      <c r="V112" s="3">
        <f>1904.4+(367.5-364.6)+(-0.971244+(-0.187425--0.185946))+0-322--0.164219999999967</f>
        <v>1584.491497</v>
      </c>
      <c r="W112" s="3">
        <f>1897.9+(196.1-366.9)+(-4.839645+(-0.500055--0.935595))+0-321.4--0.819569999999953</f>
        <v>1402.1154650000001</v>
      </c>
      <c r="X112" s="3">
        <f>1916.9+(100.4-497.8)+(-6.843333+(-0.358428--1.777146))+0-323.5--1.154895</f>
        <v>1191.73028</v>
      </c>
      <c r="Y112" s="3">
        <f>1927.7+(42.3-524.5)+(0.983127+(0.021573-0.267495))+0-323.4-0.164933999999967</f>
        <v>1122.6722709999999</v>
      </c>
      <c r="Z112" s="3">
        <f>1931.1+(139-399.1)+(1.969722+(0.14178-0.407082))+0-325.5-0.332010000000052</f>
        <v>1346.8724099999999</v>
      </c>
      <c r="AA112" s="3">
        <f>1933.1+(231.3-350.7)+(-4.929405+(-0.589815--0.894285))+0-323.8--0.825689999999953</f>
        <v>1486.1007549999997</v>
      </c>
      <c r="AB112" s="3">
        <f>1934.4+(287.8-348.7)+(-2.959632+(-0.440334--0.533511))+0-321.1--0.491283000000019</f>
        <v>1550.0248279999998</v>
      </c>
      <c r="AC112" s="3">
        <f>1932.6+(330.1-341.3)+(-0.985626+(-0.168351--0.174063))+0-320.3--0.163352999999968</f>
        <v>1600.2834389999998</v>
      </c>
      <c r="AD112">
        <v>1514.9000000000003</v>
      </c>
      <c r="AE112" s="3">
        <f>1938+(247.8-349.6)+(0+(0-0))+0-321.3-0</f>
        <v>1514.9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1720.9+(503.1-302.1)+(-2.632977+(-0.769743--0.462213))+0-321.3--0.491589000000019</f>
        <v>1598.1510820000001</v>
      </c>
      <c r="G113" s="3">
        <f>1786.4+(429.3-307.7)+(-4.55532+(-1.094715--0.784635))+0-323.8--0.825689999999953</f>
        <v>1580.16029</v>
      </c>
      <c r="H113" s="3">
        <f>1886+(334.4-330.5)+(-0.96186+(-0.170544--0.168555))+0-324.1--0.165290999999967</f>
        <v>1565.001442</v>
      </c>
      <c r="I113" s="3">
        <f>1926.6+(262.4-322.2)+(-2.947698+(-0.401472--0.492966))+0-324--0.495720000000019</f>
        <v>1540.4395160000001</v>
      </c>
      <c r="J113" s="3">
        <f>1928+(230.1-314)+(-0.98328+(-0.117351--0.16014))+0-323.1--0.164780999999967</f>
        <v>1520.2242899999997</v>
      </c>
      <c r="K113" s="3">
        <f>1931.3+(137.2-306.6)+(-9.84963+(-0.69972--1.56366))+0-323.7--1.65087000000002</f>
        <v>1430.8651799999998</v>
      </c>
      <c r="L113" s="3">
        <f>1931.4+(26.1-336.8)+(-5.910084+(-0.079866--1.030608))+0-322.1--0.985626000000037</f>
        <v>1294.6262839999999</v>
      </c>
      <c r="M113" s="3">
        <f>1930.2+(12.9-374.5)+(1.968804+(0.013158-0.38199))+0-320.2-0.326604000000051</f>
        <v>1249.6733679999998</v>
      </c>
      <c r="N113" s="3">
        <f>1922.7+(84.2-462.2)+(1.961154+(0.085884-0.471444))+0-325.7-0.332214000000052</f>
        <v>1220.2433799999999</v>
      </c>
      <c r="O113" s="3">
        <f>1916.9+(117.5-492.5)+(-1.955238+(-0.11985--0.50235))+0-327.3--0.333846000000052</f>
        <v>1213.3611080000001</v>
      </c>
      <c r="P113" s="3">
        <f>1944+(145-513)+(0.99144+(0.07395-0.26163))+0-326-0.166259999999967</f>
        <v>1250.6375</v>
      </c>
      <c r="Q113" s="3">
        <f>1937+(184-402)+(0.98787+(0.09384-0.20502))+0-328-0.167279999999967</f>
        <v>1391.7094100000002</v>
      </c>
      <c r="R113" s="3">
        <f>1903.5+(297.2-366.7)+(0+(0-0))+0-323.8-0</f>
        <v>1510.2</v>
      </c>
      <c r="S113" s="3">
        <f>1897.8+(427.2-366.6)+(0.967878+(0.217872-0.186966))+0-326.3-0.166412999999967</f>
        <v>1632.9323709999999</v>
      </c>
      <c r="T113" s="3">
        <f>1893.4+(452.9-358.2)+(1.931268+(0.461958-0.365364))+0-325.3-0.331806000000052</f>
        <v>1664.496056</v>
      </c>
      <c r="U113" s="3">
        <f>1890.4+(432.1-348.4)+(-2.892312+(-0.661113--0.533052))+0-325.3--0.497709000000019</f>
        <v>1646.2773360000001</v>
      </c>
      <c r="V113" s="3">
        <f>1757.5+(433.8-306.3)+(-0.896325+(-0.221238--0.156213))+0-326.9--0.166718999999967</f>
        <v>1557.3053689999999</v>
      </c>
      <c r="W113" s="3">
        <f>1722+(265-303.1)+(-3.51288+(-0.5406--0.618324))+0-328.5--0.670139999999986</f>
        <v>1352.634984</v>
      </c>
      <c r="X113" s="3">
        <f>1736.1+(118.3-389.9)+(-3.541644+(-0.241332--0.795396))+0-325.3--0.663611999999986</f>
        <v>1136.8760320000001</v>
      </c>
      <c r="Y113" s="3">
        <f>1745.8+(68.2-413)+(-2.671074+(-0.104346--0.63189))+0-324.5--0.496485000000019</f>
        <v>1074.8529550000001</v>
      </c>
      <c r="Z113" s="3">
        <f>1771.4+(161.2-319.7)+(0.903414+(0.082212-0.163047))+0-324.8-0.165647999999967</f>
        <v>1288.7569310000001</v>
      </c>
      <c r="AA113" s="3">
        <f>1898.1+(210.7-335)+(-2.904093+(-0.322371--0.51255))+0-322.2--0.492966000000019</f>
        <v>1449.379052</v>
      </c>
      <c r="AB113" s="3">
        <f>1908.3+(262.8-332.6)+(-0.973233+(-0.134028--0.169626))+0-323.2--0.164831999999967</f>
        <v>1514.5271969999999</v>
      </c>
      <c r="AC113" s="3">
        <f>1903.9+(326.6-327.9)+(-1.941978+(-0.333132--0.334458))+0-324.1--0.330582000000052</f>
        <v>1576.8899300000003</v>
      </c>
      <c r="AD113">
        <v>1488.4</v>
      </c>
      <c r="AE113" s="3">
        <f>1909+(231.5-330.8)+(0+(0-0))+0-321.3-0</f>
        <v>1488.4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1910.7+(368.7-296.5)+(-1.948914+(-0.376074--0.30243))+0-323--0.329460000000051</f>
        <v>1658.2069020000004</v>
      </c>
      <c r="G114" s="3">
        <f>1911.6+(360-306.4)+(-5.849496+(-1.1016--0.937584))+0-324.5--0.992970000000038</f>
        <v>1635.6794579999998</v>
      </c>
      <c r="H114" s="3">
        <f>1916.9+(314.8-295.1)+(-0.977619+(-0.160548--0.150501))+0-324.8--0.165647999999967</f>
        <v>1610.9779820000001</v>
      </c>
      <c r="I114" s="3">
        <f>1902.8+(267.8-277.5)+(-3.881712+(-0.546312--0.5661))+0-326.1--0.665243999999986</f>
        <v>1563.8033199999998</v>
      </c>
      <c r="J114" s="3">
        <f>1894.4+(234.3-257.1)+(0.966144+(0.119493-0.131121))+0-324.9-0.165698999999967</f>
        <v>1547.4888170000002</v>
      </c>
      <c r="K114" s="3">
        <f>1895.9+(177.8-280.5)+(-0.966909+(-0.090678--0.143055))+0-323.8--0.165137999999967</f>
        <v>1468.6506060000002</v>
      </c>
      <c r="L114" s="3">
        <f>1894.8+(21-306.5)+(-4.83174+(-0.05355--0.781575))+0-322.7--0.822884999999953</f>
        <v>1283.31917</v>
      </c>
      <c r="M114" s="3">
        <f>1891.8+(20.8-362.7)+(0+(0-0))+0-322.2-0</f>
        <v>1227.7</v>
      </c>
      <c r="N114" s="3">
        <f>1884+(54.5-402.4)+(0+(0-0))+0-323.3-0</f>
        <v>1212.8</v>
      </c>
      <c r="O114" s="3">
        <f>1861+(131.3-428.6)+(0.94911+(0.066963-0.218586))+0-328.3-0.167432999999967</f>
        <v>1236.0300540000001</v>
      </c>
      <c r="P114" s="3">
        <f>1877+(168.4-417.7)+(-0.95727+(-0.085884--0.213027))+0-326--0.166259999999967</f>
        <v>1301.0361330000001</v>
      </c>
      <c r="Q114" s="3">
        <f>1903.1+(204.1-372.8)+(1.941162+(0.208182-0.380256))+0-326.8-0.333336000000052</f>
        <v>1409.0357519999998</v>
      </c>
      <c r="R114" s="3">
        <f>1906.2+(308.5-341.9)+(3.888648+(0.62934-0.697476))+0-323-0.658919999999986</f>
        <v>1552.9615920000001</v>
      </c>
      <c r="S114" s="3">
        <f>1903.5+(433.2-332.7)+(-0.970785+(-0.220932--0.169677))+0-324.4--0.165443999999967</f>
        <v>1678.7434040000001</v>
      </c>
      <c r="T114" s="3">
        <f>1901.5+(479.2-330.9)+(-0.969765+(-0.244392--0.168759))+0-324.1--0.165290999999967</f>
        <v>1724.8198930000001</v>
      </c>
      <c r="U114" s="3">
        <f>1902.9+(440.3-315)+(-1.940958+(-0.449106--0.3213))+0-323.8--0.330276000000052</f>
        <v>1702.6615120000001</v>
      </c>
      <c r="V114" s="3">
        <f>1903.9+(333.5-285.4)+(-1.941978+(-0.34017--0.291108))+0-325.3--0.331806000000052</f>
        <v>1625.0407660000001</v>
      </c>
      <c r="W114" s="3">
        <f>1903.9+(190.6-331.1)+(-2.912967+(-0.291618--0.506583))+0-324.2--0.496026000000019</f>
        <v>1436.998024</v>
      </c>
      <c r="X114" s="3">
        <f>1914.7+(124.9-470.9)+(-5.858982+(-0.382194--1.440954))+0-327--1.00062000000004</f>
        <v>1237.900398</v>
      </c>
      <c r="Y114" s="3">
        <f>1927.3+(82.1-526.5)+(-1.965846+(-0.083742--0.53703))+0-323.8--0.330276000000052</f>
        <v>1157.9177180000004</v>
      </c>
      <c r="Z114" s="3">
        <f>1933.1+(154.1-385.3)+(2.957643+(0.235773-0.589509))+0-324-0.495720000000019</f>
        <v>1380.0081869999997</v>
      </c>
      <c r="AA114" s="3">
        <f>1935.2+(245.3-328.8)+(-2.960856+(-0.375309--0.503064))+0-323.5--0.494955000000019</f>
        <v>1525.8618540000002</v>
      </c>
      <c r="AB114" s="3">
        <f>1930.9+(285.2-322.7)+(1.969518+(0.290904-0.329154))+0-322.7-0.329154000000051</f>
        <v>1572.3021140000001</v>
      </c>
      <c r="AC114" s="3">
        <f>1921.7+(344.2-317.5)+(-3.920268+(-0.702168--0.6477))+0-322.9--0.658715999999986</f>
        <v>1622.1839800000002</v>
      </c>
      <c r="AD114">
        <v>1509.7000000000003</v>
      </c>
      <c r="AE114" s="3">
        <f>1932+(234.8-338.8)+(0+(0-0))+0-318.3-0</f>
        <v>1509.7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1925+(334-340.1)+(0+(0-0))+0-322.3-0</f>
        <v>1596.6000000000001</v>
      </c>
      <c r="G115" s="3">
        <f>1924.8+(306.9-323.3)+(0+(0-0))+0-322.6-0</f>
        <v>1585.7999999999997</v>
      </c>
      <c r="H115" s="3">
        <f>1926.3+(277.9-312.5)+(-2.947239+(-0.425187--0.478125))+0-322.6--0.493578000000019</f>
        <v>1566.6992769999997</v>
      </c>
      <c r="I115" s="3">
        <f>1926.5+(252.9-301.1)+(-3.93006+(-0.515916--0.614244))+0-323--0.658919999999986</f>
        <v>1552.1271879999999</v>
      </c>
      <c r="J115" s="3">
        <f>1926.6+(222.6-291.2)+(-2.947698+(-0.340578--0.445536))+0-323.9--0.495567000000019</f>
        <v>1531.7528269999998</v>
      </c>
      <c r="K115" s="3">
        <f>1931.2+(144.7-289)+(-6.894384+(-0.516579--1.03173))+0-322.9--1.152753</f>
        <v>1458.77352</v>
      </c>
      <c r="L115" s="3">
        <f>1933.4+(45.3-330.9)+(-6.902238+(-0.161721--1.181313))+0-321.2--1.146684</f>
        <v>1321.8640380000002</v>
      </c>
      <c r="M115" s="3">
        <f>1935.6+(37.6-379.4)+(1.974312+(0.038352-0.386988))+0-319.9-0.326298000000051</f>
        <v>1275.1993780000003</v>
      </c>
      <c r="N115" s="3">
        <f>1930.3+(60.9-417.6)+(2.953359+(0.093177-0.638928))+0-322.7-0.493731000000019</f>
        <v>1252.8138769999998</v>
      </c>
      <c r="O115" s="3">
        <f>1922.4+(35.4-387)+(0+(0-0))+0-323.8-0</f>
        <v>1247.0000000000002</v>
      </c>
      <c r="P115" s="3">
        <f>1914.5+(78-371.2)+(0+(0-0))+0-326-0</f>
        <v>1295.3</v>
      </c>
      <c r="Q115" s="3">
        <f>1910.6+(184.2-372.3)+(-2.923218+(-0.281826--0.569619))+0-325--0.497250000000019</f>
        <v>1395.3618250000002</v>
      </c>
      <c r="R115" s="3">
        <f>1897.3+(382.3-362.6)+(-2.902869+(-0.584919--0.554778))+0-325--0.497250000000019</f>
        <v>1589.5642400000002</v>
      </c>
      <c r="S115" s="3">
        <f>1888.6+(528.4-359.8)+(-1.926372+(-0.538968--0.366996))+0-324--0.330480000000052</f>
        <v>1731.4321359999999</v>
      </c>
      <c r="T115" s="3">
        <f>1878.8+(556.2-366.5)+(-3.832752+(-1.134648--0.74766))+0-326--0.665039999999986</f>
        <v>1738.9453000000001</v>
      </c>
      <c r="U115" s="3">
        <f>1870.8+(514.1-355.6)+(-4.77054+(-1.310955--0.90678))+0-325--0.828749999999953</f>
        <v>1699.9540349999997</v>
      </c>
      <c r="V115" s="3">
        <f>1868+(412.6-353.5)+(-5.71608+(-1.262556--1.08171))+0-321--0.982260000000037</f>
        <v>1601.185334</v>
      </c>
      <c r="W115" s="3">
        <f>1876.3+(213.1-359.9)+(-5.741478+(-0.652086--1.101294))+0-326--0.997560000000038</f>
        <v>1399.2052900000001</v>
      </c>
      <c r="X115" s="3">
        <f>1876.4+(117-483.7)+(-5.741784+(-0.35802--1.480122))+0-323--0.988380000000037</f>
        <v>1183.068698</v>
      </c>
      <c r="Y115" s="3">
        <f>1878.5+(97.6-536.2)+(-4.790175+(-0.24888--1.36731))+0-324--0.826199999999953</f>
        <v>1113.054455</v>
      </c>
      <c r="Z115" s="3">
        <f>1886.7+(192.8-407.8)+(0+(0-0))+0-325-0</f>
        <v>1346.7</v>
      </c>
      <c r="AA115" s="3">
        <f>1890+(277.4-351.5)+(-4.8195+(-0.70737--0.896325))+0-326--0.831299999999953</f>
        <v>1486.1007550000002</v>
      </c>
      <c r="AB115" s="3">
        <f>1892.7+(327-342.5)+(-7.722216+(-1.33416--1.3974))+0-323--1.31783999999997</f>
        <v>1547.858864</v>
      </c>
      <c r="AC115" s="3">
        <f>1883.1+(378.8-327.2)+(-0.960381+(-0.193188--0.166872))+0-323--0.164729999999967</f>
        <v>1610.8780329999997</v>
      </c>
      <c r="AD115">
        <v>1464.8999999999999</v>
      </c>
      <c r="AE115" s="3">
        <f>1895+(267.2-366.3)+(0+(0-0))+0-331-0</f>
        <v>1464.9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1868.4+(371.4-335.6)+(0+(0-0))+0-322-0</f>
        <v>1582.2</v>
      </c>
      <c r="G116" s="3">
        <f>1867.4+(347.6-319.4)+(0.952374+(0.177276-0.162894))+0-321-0.163709999999967</f>
        <v>1575.4030460000001</v>
      </c>
      <c r="H116" s="3">
        <f>1875.8+(309.1-307.2)+(-0.956658+(-0.157641--0.156672))+0-322--0.164219999999967</f>
        <v>1554.9065929999999</v>
      </c>
      <c r="I116" s="3">
        <f>1881.5+(271.2-298.6)+(-0.959565+(-0.138312--0.152286))+0-324--0.165239999999967</f>
        <v>1529.319649</v>
      </c>
      <c r="J116" s="3">
        <f>1882.2+(246.6-294.3)+(-2.879766+(-0.377298--0.450279))+0-323--0.494190000000019</f>
        <v>1509.1874050000001</v>
      </c>
      <c r="K116" s="3">
        <f>1882.6+(173.9-296.6)+(-4.80063+(-0.443445--0.75633))+0-321--0.818549999999953</f>
        <v>1435.2308049999999</v>
      </c>
      <c r="L116" s="3">
        <f>1886.4+(57-324.6)+(-1.924128+(-0.05814--0.331092))+0-322--0.328440000000051</f>
        <v>1295.4772640000001</v>
      </c>
      <c r="M116" s="3">
        <f>1884.5+(19.3-348.6)+(0.961095+(0.009843-0.177786))+0-318-0.162179999999968</f>
        <v>1237.830972</v>
      </c>
      <c r="N116" s="3">
        <f>1875.5+(26.8-351.5)+(0.956505+(0.013668-0.179265))+0-319-0.162689999999968</f>
        <v>1232.428218</v>
      </c>
      <c r="O116" s="3">
        <f>1867+(63.6-365.5)+(-1.90434+(-0.064872--0.37281))+0-321--0.327420000000051</f>
        <v>1242.8310180000001</v>
      </c>
      <c r="P116" s="3">
        <f>1856.1+(113.1-378.3)+(0+(0-0))+0-318-0</f>
        <v>1272.8999999999999</v>
      </c>
      <c r="Q116" s="3">
        <f>1843.7+(225.4-388.9)+(1.880574+(0.229908-0.396678))+0-313-0.31926000000005</f>
        <v>1368.594544</v>
      </c>
      <c r="R116" s="3">
        <f>1838.6+(366-401.3)+(0+(0-0))+0-320-0</f>
        <v>1483.3</v>
      </c>
      <c r="S116" s="3">
        <f>1826.7+(512-370.9)+(-3.726468+(-1.04448--0.756636))+0-322--0.656879999999986</f>
        <v>1642.4425680000002</v>
      </c>
      <c r="T116" s="3">
        <f>1813.3+(578.2-370)+(-3.699132+(-1.179528--0.7548))+0-322--0.656879999999986</f>
        <v>1696.0330200000001</v>
      </c>
      <c r="U116" s="3">
        <f>1806.8+(582-363.7)+(-4.60734+(-1.4841--0.927435))+0-319--0.813449999999954</f>
        <v>1701.7494449999997</v>
      </c>
      <c r="V116" s="3">
        <f>1815.8+(487.9-343.3)+(-3.704232+(-0.995316--0.700332))+0-318--0.648719999999986</f>
        <v>1639.0495039999998</v>
      </c>
      <c r="W116" s="3">
        <f>1817.8+(218.9-330.4)+(-4.63539+(-0.558195--0.84252))+0-290--0.739499999999958</f>
        <v>1412.6884349999998</v>
      </c>
      <c r="X116" s="3">
        <f>1823.3+(81.9-355.4)+(-7.439064+(-0.334152--1.450032))+0-308--1.25663999999997</f>
        <v>1236.7334559999999</v>
      </c>
      <c r="Y116" s="3">
        <f>1840.6+(42.6-416.8)+(-5.632236+(-0.130356--1.275408))+0-323--0.988380000000037</f>
        <v>1139.9011959999998</v>
      </c>
      <c r="Z116" s="3">
        <f>1854.2+(174.4-373.3)+(-0.945642+(-0.088944--0.190383))+0-324--0.165239999999967</f>
        <v>1330.6210369999999</v>
      </c>
      <c r="AA116" s="3">
        <f>1867.4+(243.3-333)+(-5.714244+(-0.744498--1.01898))+0-322--0.985320000000037</f>
        <v>1451.2455580000001</v>
      </c>
      <c r="AB116" s="3">
        <f>1872.9+(294.7-330.7)+(-3.820716+(-0.601188--0.674628))+0-323--0.658919999999986</f>
        <v>1510.8116440000001</v>
      </c>
      <c r="AC116" s="3">
        <f>1865.3+(383.7-326.9)+(0.951303+(0.195687-0.166719))+0-323-0.164729999999967</f>
        <v>1599.9155409999998</v>
      </c>
      <c r="AD116">
        <v>1469.3</v>
      </c>
      <c r="AE116" s="3">
        <f>1864+(255.6-328.3)+(0+(0-0))+0-322-0</f>
        <v>1469.3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1753.5+(506.2-305.1)+(0.894285+(0.258162-0.155601))+0-324-0.165239999999967</f>
        <v>1631.4316059999999</v>
      </c>
      <c r="G117" s="3">
        <f>1623.5+(595.9-293.7)+(-1.65597+(-0.607818--0.299574))+0-324--0.330480000000052</f>
        <v>1600.066266</v>
      </c>
      <c r="H117" s="3">
        <f>1617.5+(566.8-285.4)+(-2.474775+(-0.867204--0.436662))+0-326--0.498780000000019</f>
        <v>1570.4934630000002</v>
      </c>
      <c r="I117" s="3">
        <f>1620.6+(516.2-278)+(-0.826506+(-0.263262--0.14178))+0-323--0.164729999999967</f>
        <v>1535.016742</v>
      </c>
      <c r="J117" s="3">
        <f>1623.8+(468-271.2)+(0.828138+(0.23868-0.138312))+0-323-0.164729999999967</f>
        <v>1498.3637759999999</v>
      </c>
      <c r="K117" s="3">
        <f>1628.1+(391.1-258.1)+(-5.812317+(-1.396227--0.921417))+0-320--1.1424</f>
        <v>1435.9552729999998</v>
      </c>
      <c r="L117" s="3">
        <f>1626.2+(214.7-241.6)+(-2.488086+(-0.328491--0.369648))+0-319--0.488070000000018</f>
        <v>1278.3411410000001</v>
      </c>
      <c r="M117" s="3">
        <f>1622.6+(148.9-238.5)+(-3.310104+(-0.303756--0.48654))+0-318--0.648719999999986</f>
        <v>1212.5213999999999</v>
      </c>
      <c r="N117" s="3">
        <f>1615+(122.9-248.6)+(-1.6473+(-0.125358--0.253572))+0-320--0.326400000000051</f>
        <v>1168.1073140000001</v>
      </c>
      <c r="O117" s="3">
        <f>1603.4+(120.5-240.1)+(0+(0-0))+0-318-0</f>
        <v>1165.8000000000002</v>
      </c>
      <c r="P117" s="3">
        <f>1592.1+(167.4-261.7)+(2.435913+(0.256122-0.400401))+0-293-0.448290000000017</f>
        <v>1206.6433439999998</v>
      </c>
      <c r="Q117" s="3">
        <f>1580.1+(301.3-277.2)+(1.611702+(0.307326-0.282744))+0-320-0.326400000000051</f>
        <v>1285.5098839999996</v>
      </c>
      <c r="R117" s="3">
        <f>1579.5+(446.1-263.8)+(-0.805545+(-0.227511--0.134538))+0-318--0.162179999999968</f>
        <v>1443.063662</v>
      </c>
      <c r="S117" s="3">
        <f>1570.3+(561.5-256.3)+(1.601706+(0.57273-0.261426))+0-319-0.325380000000051</f>
        <v>1558.08763</v>
      </c>
      <c r="T117" s="3">
        <f>1564.2+(610.9-245.4)+(0+(0-0))+0-317-0</f>
        <v>1612.7</v>
      </c>
      <c r="U117" s="3">
        <f>1562+(632.7-238.2)+(-1.59324+(-0.645354--0.242964))+0-318--0.324360000000051</f>
        <v>1636.8287300000002</v>
      </c>
      <c r="V117" s="3">
        <f>1551+(580.5-237.3)+(-3.16404+(-1.18422--0.484092))+0-318--0.648719999999986</f>
        <v>1572.9845519999999</v>
      </c>
      <c r="W117" s="3">
        <f>1565.5+(389.3-239.4)+(-0.798405+(-0.198543--0.122094))+0-319--0.162689999999968</f>
        <v>1395.6878360000001</v>
      </c>
      <c r="X117" s="3">
        <f>1576.6+(140.9-238.3)+(-0.804066+(-0.071859--0.121533))+0-320--0.163199999999968</f>
        <v>1158.6088079999997</v>
      </c>
      <c r="Y117" s="3">
        <f>1585.4+(62.5-266)+(-3.234216+(-0.1275--0.54264))+0-320--0.652799999999986</f>
        <v>1059.7337240000002</v>
      </c>
      <c r="Z117" s="3">
        <f>1591.7+(308-274.4)+(-1.623534+(-0.31416--0.279888))+0-319--0.325380000000051</f>
        <v>1304.9675740000002</v>
      </c>
      <c r="AA117" s="3">
        <f>1604.4+(459.7-270.3)+(-2.454732+(-0.703341--0.413559))+0-318--0.486540000000018</f>
        <v>1473.5420260000003</v>
      </c>
      <c r="AB117" s="3">
        <f>1611+(509.6-262.1)+(-4.92966+(-1.559376--0.802026))+0-320--0.979200000000037</f>
        <v>1533.7921899999999</v>
      </c>
      <c r="AC117" s="3">
        <f>1617.4+(563.5-258.9)+(2.474622+(0.862155-0.396117))+0-319-0.488070000000018</f>
        <v>1605.4525899999999</v>
      </c>
      <c r="AD117">
        <v>1464.2</v>
      </c>
      <c r="AE117" s="3">
        <f>1604+(477.5-298.3)+(0+(0-0))+0-319-0</f>
        <v>1464.2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1623+(574-244.2)+(-1.65546+(-0.58548--0.249084))+0-319--0.325380000000051</f>
        <v>1632.1335239999999</v>
      </c>
      <c r="G118" s="3">
        <f>1617.4+(565.8-229.5)+(-5.774118+(-2.019906--0.819315))+0-321--1.14597</f>
        <v>1626.871261</v>
      </c>
      <c r="H118" s="3">
        <f>1616.8+(528.7-212.6)+(0+(0-0))+0-321-0</f>
        <v>1611.9</v>
      </c>
      <c r="I118" s="3">
        <f>1613.7+(491.8-200.3)+(-0.822987+(-0.250818--0.102153))+0-320--0.163199999999968</f>
        <v>1584.3915480000001</v>
      </c>
      <c r="J118" s="3">
        <f>1612.6+(459-195.1)+(0+(0-0))+0-320-0</f>
        <v>1556.5</v>
      </c>
      <c r="K118" s="3">
        <f>1606.7+(393.7-194.6)+(0.819417+(0.200787-0.099246))+0-320-0.163199999999968</f>
        <v>1486.5577579999999</v>
      </c>
      <c r="L118" s="3">
        <f>1617.4+(230.3-228.7)+(-3.299496+(-0.469812--0.466548))+0-320--0.652799999999986</f>
        <v>1296.35004</v>
      </c>
      <c r="M118" s="3">
        <f>1621.4+(181.1-239.9)+(0+(0-0))+0-322-0</f>
        <v>1240.6000000000001</v>
      </c>
      <c r="N118" s="3">
        <f>1605.2+(194-250.2)+(-0.818652+(-0.09894--0.127602))+0-324--0.165239999999967</f>
        <v>1224.3752500000001</v>
      </c>
      <c r="O118" s="3">
        <f>1589.5+(204.4-259.5)+(0+(0-0))+0-324-0</f>
        <v>1210.4000000000001</v>
      </c>
      <c r="P118" s="3">
        <f>1580.4+(267.6-275.6)+(0+(0-0))+0-324-0</f>
        <v>1248.4000000000001</v>
      </c>
      <c r="Q118" s="3">
        <f>1574.4+(390.6-297.8)+(0.802944+(0.199206-0.151878))+0-325-0.165749999999967</f>
        <v>1342.8845220000001</v>
      </c>
      <c r="R118" s="3">
        <f>1569.7+(534.6-315.5)+(0+(0-0))+0-326-0</f>
        <v>1462.8000000000002</v>
      </c>
      <c r="S118" s="3">
        <f>1566.9+(675.2-315.5)+(0+(0-0))+0-325-0</f>
        <v>1601.6000000000001</v>
      </c>
      <c r="T118" s="3">
        <f>1564.8+(730.9-314.6)+(-1.596096+(-0.745518--0.320892))+0-325--0.331500000000052</f>
        <v>1654.4107779999999</v>
      </c>
      <c r="U118" s="3">
        <f>1567.7+(695.4-299.8)+(-1.599054+(-0.709308--0.305796))+0-326--0.332520000000052</f>
        <v>1635.6299540000002</v>
      </c>
      <c r="V118" s="3">
        <f>1570.5+(625.4-293.8)+(0+(0-0))+0-324-0</f>
        <v>1578.1</v>
      </c>
      <c r="W118" s="3">
        <f>1572.7+(402.3-271.5)+(-0.802077+(-0.205173--0.138465))+0-324--0.165239999999967</f>
        <v>1378.7964550000002</v>
      </c>
      <c r="X118" s="3">
        <f>1571.8+(151.9-243.4)+(-1.603236+(-0.154938--0.248268))+0-317--0.323340000000051</f>
        <v>1162.1134340000001</v>
      </c>
      <c r="Y118" s="3">
        <f>1584.3+(71.5-253.7)+(-0.807993+(-0.036465--0.129387))+0-322--0.164219999999967</f>
        <v>1079.5491489999997</v>
      </c>
      <c r="Z118" s="3">
        <f>1615.7+(258.2-285.2)+(0.824007+(0.131682-0.145452))+0-323-0.164729999999967</f>
        <v>1266.345507</v>
      </c>
      <c r="AA118" s="3">
        <f>1622.8+(375.8-286.2)+(-4.965768+(-1.149948--0.875772))+0-320--0.979200000000037</f>
        <v>1388.1392560000002</v>
      </c>
      <c r="AB118" s="3">
        <f>1624.4+(430.7-273.3)+(-2.485332+(-0.658971--0.418149))+0-323--0.494190000000019</f>
        <v>1456.5680360000003</v>
      </c>
      <c r="AC118" s="3">
        <f>1621.5+(488.4-262.6)+(-1.65393+(-0.498168--0.267852))+0-323--0.329460000000051</f>
        <v>1522.745214</v>
      </c>
      <c r="AD118">
        <v>1422.7</v>
      </c>
      <c r="AE118" s="3">
        <f>1624+(398.2-279.5)+(0+(0-0))+0-320-0</f>
        <v>1422.7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1620.7+(520.9-251.7)+(-1.653114+(-0.531318--0.256734))+0-323--0.329460000000051</f>
        <v>1565.3017620000003</v>
      </c>
      <c r="G119" s="3">
        <f>1620+(513.4-241.7)+(-3.3048+(-1.047336--0.493068))+0-325--0.662999999999986</f>
        <v>1563.5039320000001</v>
      </c>
      <c r="H119" s="3">
        <f>1634.4+(464.4-230)+(-2.500632+(-0.710532--0.3519))+0-325--0.497250000000019</f>
        <v>1541.4379860000004</v>
      </c>
      <c r="I119" s="3">
        <f>1639.9+(426.8-215.9)+(-1.672698+(-0.435336--0.220218))+0-323--0.329460000000051</f>
        <v>1526.2416440000004</v>
      </c>
      <c r="J119" s="3">
        <f>1648.6+(382.3-207.7)+(-4.20393+(-0.974865--0.529635))+0-324--0.826199999999953</f>
        <v>1495.3770399999999</v>
      </c>
      <c r="K119" s="3">
        <f>1648.9+(302-198)+(-4.204695+(-0.7701--0.5049))+0-323--0.823649999999953</f>
        <v>1426.2537550000002</v>
      </c>
      <c r="L119" s="3">
        <f>1637.9+(159.7-171.7)+(-5.011974+(-0.488682--0.525402))+0-322--0.985320000000037</f>
        <v>1299.9100660000001</v>
      </c>
      <c r="M119" s="3">
        <f>1638.6+(138.5-212.1)+(-0.835686+(-0.070635--0.108171))+0-320--0.163199999999968</f>
        <v>1244.3650499999999</v>
      </c>
      <c r="N119" s="3">
        <f>1639.7+(105.8-207.4)+(-0.836247+(-0.053958--0.105774))+0-322--0.164219999999967</f>
        <v>1215.479789</v>
      </c>
      <c r="O119" s="3">
        <f>1635.6+(111.7-228.4)+(-0.834156+(-0.056967--0.116484))+0-320--0.163199999999968</f>
        <v>1198.2885609999998</v>
      </c>
      <c r="P119" s="3">
        <f>1628+(164.4-255.6)+(0+(0-0))+0-320-0</f>
        <v>1216.8</v>
      </c>
      <c r="Q119" s="3">
        <f>1615+(253-263.4)+(-0.82365+(-0.12903--0.134334))+0-322--0.164219999999967</f>
        <v>1281.9458739999998</v>
      </c>
      <c r="R119" s="3">
        <f>1603.6+(425.5-278.2)+(-2.453508+(-0.651015--0.425646))+0-324--0.495720000000019</f>
        <v>1424.7168429999999</v>
      </c>
      <c r="S119" s="3">
        <f>1613+(557.7-289.5)+(-1.64526+(-0.568854--0.29529))+0-325--0.331500000000052</f>
        <v>1554.612676</v>
      </c>
      <c r="T119" s="3">
        <f>1687.9+(544.5-282)+(-1.721658+(-0.55539--0.28764))+0-327--0.333540000000052</f>
        <v>1621.7441320000003</v>
      </c>
      <c r="U119" s="3">
        <f>1724.3+(519.9-286.4)+(-0.879393+(-0.265149--0.146064))+0-324--0.165239999999967</f>
        <v>1632.966762</v>
      </c>
      <c r="V119" s="3">
        <f>1705+(494.8-308.4)+(-3.4782+(-1.009392--0.629136))+0-324--0.660959999999986</f>
        <v>1564.2025040000001</v>
      </c>
      <c r="W119" s="3">
        <f>1707.4+(273.6-296.7)+(-5.224644+(-0.837216--0.907902))+0-322--0.985320000000037</f>
        <v>1358.1313620000001</v>
      </c>
      <c r="X119" s="3">
        <f>1709.8+(63.7-289.6)+(-3.487992+(-0.129948--0.590784))+0-321--0.654839999999986</f>
        <v>1160.5276839999997</v>
      </c>
      <c r="Y119" s="3">
        <f>1726+(28.5-348.1)+(-0.88026+(-0.014535--0.177531))+0-324--0.165239999999967</f>
        <v>1081.8479760000002</v>
      </c>
      <c r="Z119" s="3">
        <f>1757.1+(186.6-330.1)+(-0.896121+(-0.095166--0.168351))+0-324--0.165239999999967</f>
        <v>1288.9423039999999</v>
      </c>
      <c r="AA119" s="3">
        <f>1751.5+(295.2-287.7)+(-3.57306+(-0.602208--0.586908))+0-324--0.660959999999986</f>
        <v>1432.0726</v>
      </c>
      <c r="AB119" s="3">
        <f>1776.5+(336.9-290.6)+(-3.62406+(-0.687276--0.592824))+0-323--0.658919999999986</f>
        <v>1496.7404080000001</v>
      </c>
      <c r="AC119" s="3">
        <f>1840.9+(341.4-297)+(-2.816577+(-0.522342--0.45441))+0-321--0.491130000000019</f>
        <v>1561.9066210000003</v>
      </c>
      <c r="AD119">
        <v>1424.3</v>
      </c>
      <c r="AE119" s="3">
        <f>1744+(297-288.7)+(0+(0-0))+0-328-0</f>
        <v>1424.3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1856.3+(324.2-295)+(-4.733565+(-0.82671--0.75225))+0-322--0.821099999999953</f>
        <v>1559.5130749999998</v>
      </c>
      <c r="G120" s="3">
        <f>1889.3+(283.9-289.3)+(-6.744801+(-1.013523--1.032801))+0-323--1.15311</f>
        <v>1555.3275869999998</v>
      </c>
      <c r="H120" s="3">
        <f>1894.3+(252.7-284)+(0+(0-0))+0-322-0</f>
        <v>1541</v>
      </c>
      <c r="I120" s="3">
        <f>1893+(226.5-282.5)+(-8.68887+(-1.039635--1.296675))+0-322--1.47798000000006</f>
        <v>1508.0461500000001</v>
      </c>
      <c r="J120" s="3">
        <f>1891.7+(194.3-274)+(-1.929534+(-0.198186--0.27948))+0-322--0.328440000000051</f>
        <v>1488.4802</v>
      </c>
      <c r="K120" s="3">
        <f>1897.2+(134.7-271.3)+(-8.708148+(-0.618273--1.245267))+0-321--1.47339000000006</f>
        <v>1432.992236</v>
      </c>
      <c r="L120" s="3">
        <f>1903+(44.2-311.4)+(-7.76424+(-0.180336--1.270512))+0-323--1.31783999999997</f>
        <v>1307.4437759999998</v>
      </c>
      <c r="M120" s="3">
        <f>1901.5+(32-336.8)+(0.969765+(0.01632-0.171768))+0-321-0.163709999999967</f>
        <v>1276.3506070000001</v>
      </c>
      <c r="N120" s="3">
        <f>1900+(27.3-344.3)+(0+(0-0))+0-322-0</f>
        <v>1261</v>
      </c>
      <c r="O120" s="3">
        <f>1904.7+(53.4-376.1)+(0+(0-0))+0-324-0</f>
        <v>1258</v>
      </c>
      <c r="P120" s="3">
        <f>1885+(76.1-367)+(0.96135+(0.038811-0.18717))+0-318.2-0.162281999999968</f>
        <v>1276.5507089999999</v>
      </c>
      <c r="Q120" s="3">
        <f>1899.9+(124.9-349)+(0.968949+(0.063699-0.17799))+0-323.6-0.165035999999967</f>
        <v>1352.8896220000001</v>
      </c>
      <c r="R120" s="3">
        <f>1906.1+(261.7-313.5)+(0+(0-0))+0-322.4-0</f>
        <v>1531.9</v>
      </c>
      <c r="S120" s="3">
        <f>1914.3+(382.1-300.9)+(-0.976293+(-0.194871--0.153459))+0-322.1--0.164270999999967</f>
        <v>1672.5465659999998</v>
      </c>
      <c r="T120" s="3">
        <f>1907.5+(414.2-300.9)+(-0.972825+(-0.211242--0.153459))+0-322.1--0.164270999999967</f>
        <v>1697.8336629999997</v>
      </c>
      <c r="U120" s="3">
        <f>1901+(448.1-318.1)+(-1.93902+(-0.457062--0.324462))+0-321.4--0.327828000000051</f>
        <v>1707.8562080000002</v>
      </c>
      <c r="V120" s="3">
        <f>1900.3+(367.9-315.2)+(0.969153+(0.187629-0.160752))+0-321.6-0.164015999999967</f>
        <v>1632.2320139999999</v>
      </c>
      <c r="W120" s="3">
        <f>1877.7+(184.1-308.2)+(-0.957627+(-0.093891--0.157182))+0-322.3--0.164372999999967</f>
        <v>1430.5700370000002</v>
      </c>
      <c r="X120" s="3">
        <f>1861.7+(44.8-382.5)+(-4.747335+(-0.11424--0.975375))+0-321.9--0.820844999999953</f>
        <v>1199.034645</v>
      </c>
      <c r="Y120" s="3">
        <f>1871.9+(20.7-468.8)+(-4.773345+(-0.052785--1.19544))+0-322--0.821099999999953</f>
        <v>1098.9904100000001</v>
      </c>
      <c r="Z120" s="3">
        <f>1877.3+(118.4-345.6)+(1.914846+(0.120768-0.352512))+0-323.1-0.329562000000052</f>
        <v>1328.3535399999998</v>
      </c>
      <c r="AA120" s="3">
        <f>1883.1+(226.5-312.2)+(-1.920762+(-0.23103--0.318444))+0-323.4--0.329868000000052</f>
        <v>1472.4965199999999</v>
      </c>
      <c r="AB120" s="3">
        <f>1878.2+(290.5-306.4)+(-0.957882+(-0.148155--0.156264))+0-322.4--0.164423999999967</f>
        <v>1539.1146510000003</v>
      </c>
      <c r="AC120" s="3">
        <f>1885.6+(333.5-299.7)+(0+(0-0))+0-320.9-0</f>
        <v>1598.5</v>
      </c>
      <c r="AD120">
        <v>1456.2999999999997</v>
      </c>
      <c r="AE120" s="3">
        <f>1878+(237.1-336.9)+(0+(0-0))+0-321.9-0</f>
        <v>1456.3000000000002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1887.8+(338.1-328.6)+(-5.776668+(-1.034586--1.005516))+0-320.6--0.981036000000037</f>
        <v>1571.8752979999999</v>
      </c>
      <c r="G121" s="3">
        <f>1892.1+(342.3-348.3)+(-0.964971+(-0.174573--0.177633))+0-323.2--0.164831999999967</f>
        <v>1562.1029209999997</v>
      </c>
      <c r="H121" s="3">
        <f>1899.4+(285.9-323.4)+(-1.937388+(-0.291618--0.329868))+0-323.6--0.330072000000052</f>
        <v>1536.7309339999999</v>
      </c>
      <c r="I121" s="3">
        <f>1901+(233.7-306.1)+(-2.90853+(-0.357561--0.468333))+0-324--0.495720000000019</f>
        <v>1502.2979620000001</v>
      </c>
      <c r="J121" s="3">
        <f>1902.7+(190.7-295.6)+(-4.851885+(-0.486285--0.75378))+0-322.8--0.823139999999953</f>
        <v>1471.23875</v>
      </c>
      <c r="K121" s="3">
        <f>1900.9+(117.2-289.3)+(-3.877836+(-0.239088--0.590172))+0-320.7--0.654227999999986</f>
        <v>1405.227476</v>
      </c>
      <c r="L121" s="3">
        <f>1903.4+(21.2-317)+(-2.912202+(-0.032436--0.48501))+0-319.2--0.488376000000018</f>
        <v>1286.428748</v>
      </c>
      <c r="M121" s="3">
        <f>1905+(1.9-343.9)+(-0.97155+(-0.000969--0.175389))+0-318.9--0.162638999999968</f>
        <v>1243.4655089999999</v>
      </c>
      <c r="N121" s="3">
        <f>1896.9+(16.3-359.9)+(1.934838+(0.016626-0.367098))+0-319.9-0.326298000000051</f>
        <v>1234.6580680000002</v>
      </c>
      <c r="O121" s="3">
        <f>1893.5+(45.5-382.8)+(0+(0-0))+0-322.3-0</f>
        <v>1233.9000000000001</v>
      </c>
      <c r="P121" s="3">
        <f>1887.1+(78.2-373.8)+(1.924842+(0.079764-0.381276))+0-323.3-0.329766000000052</f>
        <v>1269.4935639999999</v>
      </c>
      <c r="Q121" s="3">
        <f>1881.1+(135.3-336.2)+(1.918722+(0.138006-0.342924))+0-323.9-0.330378000000052</f>
        <v>1357.6834259999996</v>
      </c>
      <c r="R121" s="3">
        <f>1872.6+(282.4-336.8)+(0+(0-0))+0-324-0</f>
        <v>1494.1999999999998</v>
      </c>
      <c r="S121" s="3">
        <f>1867.3+(446.3-338.2)+(-1.904646+(-0.455226--0.344964))+0-321.1--0.327522000000051</f>
        <v>1652.6126140000001</v>
      </c>
      <c r="T121" s="3">
        <f>1867.5+(497.8-332.4)+(0.952425+(0.253878-0.169524))+0-320-0.163199999999968</f>
        <v>1713.7735790000002</v>
      </c>
      <c r="U121" s="3">
        <f>1835.3+(507.4-315.3)+(-2.808009+(-0.776322--0.482409))+0-320.3--0.490059000000019</f>
        <v>1704.4881369999998</v>
      </c>
      <c r="V121" s="3">
        <f>1843.9+(415.6-303.5)+(-3.761556+(-0.847824--0.61914))+0-320.4--0.653615999999986</f>
        <v>1632.2633759999999</v>
      </c>
      <c r="W121" s="3">
        <f>1861.5+(189.5-298.9)+(0+(0-0))+0-321.7-0</f>
        <v>1430.3999999999999</v>
      </c>
      <c r="X121" s="3">
        <f>1866.5+(46.6-370.8)+(-1.90383+(-0.047532--0.378216))+0-321.9--0.328338000000051</f>
        <v>1219.1551919999999</v>
      </c>
      <c r="Y121" s="3">
        <f>1869.7+(0-403.7)+(-2.860641+(0--0.617661))+0-321--0.491130000000019</f>
        <v>1143.2481500000001</v>
      </c>
      <c r="Z121" s="3">
        <f>1852.2+(162.6-350.6)+(0+(0-0))+0-321.3-0</f>
        <v>1342.9</v>
      </c>
      <c r="AA121" s="3">
        <f>1848+(297.3-332.4)+(0+(0-0))+0-320.9-0</f>
        <v>1492</v>
      </c>
      <c r="AB121" s="3">
        <f>1843+(358.3-325.6)+(-3.75972+(-0.730932--0.664224))+0-320.1--0.653003999999986</f>
        <v>1552.4265760000001</v>
      </c>
      <c r="AC121" s="3">
        <f>1848.9+(393-312)+(0+(0-0))+0-319.1-0</f>
        <v>1610.8000000000002</v>
      </c>
      <c r="AD121">
        <v>1467.8999999999996</v>
      </c>
      <c r="AE121" s="3">
        <f>1843+(301.7-356.7)+(0+(0-0))+0-320.1-0</f>
        <v>1467.9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1857.5+(387.1-333.8)+(-2.841975+(-0.592263--0.510714))+0-319.8--0.489294000000018</f>
        <v>1588.5657699999999</v>
      </c>
      <c r="G122" s="3">
        <f>1863.7+(350.1-317.5)+(-1.900974+(-0.357102--0.32385))+0-320.3--0.326706000000051</f>
        <v>1574.3924800000002</v>
      </c>
      <c r="H122" s="3">
        <f>1866.2+(317.8-306.2)+(-3.807048+(-0.648312--0.624648))+0-321--0.654839999999986</f>
        <v>1553.6241280000002</v>
      </c>
      <c r="I122" s="3">
        <f>1867.7+(283.2-296.4)+(-2.857581+(-0.433296--0.453492))+0-320.8--0.490824000000019</f>
        <v>1531.353439</v>
      </c>
      <c r="J122" s="3">
        <f>1868.9+(254.3-295.8)+(-3.812556+(-0.518772--0.603432))+0-319.7--0.652187999999986</f>
        <v>1504.624292</v>
      </c>
      <c r="K122" s="3">
        <f>1871.4+(229.3-340.9)+(-3.817656+(-0.467772--0.695436))+0-319--0.650759999999986</f>
        <v>1437.8607680000002</v>
      </c>
      <c r="L122" s="3">
        <f>1872+(86.8-346.7)+(-6.68304+(-0.309876--1.237719))+0-318.9--1.138473</f>
        <v>1288.5832759999998</v>
      </c>
      <c r="M122" s="3">
        <f>1860.6+(41.5-350.8)+(0+(0-0))+0-319.6-0</f>
        <v>1231.6999999999998</v>
      </c>
      <c r="N122" s="3">
        <f>1855.9+(47.3-362.1)+(0+(0-0))+0-320.2-0</f>
        <v>1220.9000000000001</v>
      </c>
      <c r="O122" s="3">
        <f>1845.8+(86-384.5)+(0+(0-0))+0-320.6-0</f>
        <v>1226.6999999999998</v>
      </c>
      <c r="P122" s="3">
        <f>1825.5+(115.2-366.4)+(1.86201+(0.117504-0.373728))+0-321.3-0.327726000000051</f>
        <v>1254.2780600000001</v>
      </c>
      <c r="Q122" s="3">
        <f>1838.3+(190.3-365.7)+(0.937533+(0.097053-0.186507))+0-321.4-0.163913999999967</f>
        <v>1342.1841650000003</v>
      </c>
      <c r="R122" s="3">
        <f>1834.5+(314-344)+(1.87119+(0.32028-0.35088))+0-321-0.327420000000051</f>
        <v>1485.0131699999999</v>
      </c>
      <c r="S122" s="3">
        <f>1830.7+(515.9-349.1)+(-0.933657+(-0.263109--0.178041))+0-320.8--0.163607999999967</f>
        <v>1675.8448830000002</v>
      </c>
      <c r="T122" s="3">
        <f>1827.8+(564.4-341.7)+(0.932178+(0.287844-0.174267))+0-321.5-0.163964999999967</f>
        <v>1729.8817900000001</v>
      </c>
      <c r="U122" s="3">
        <f>1828.8+(551.5-322.5)+(-4.66344+(-1.406325--0.822375))+0-324--0.826199999999953</f>
        <v>1729.3788100000002</v>
      </c>
      <c r="V122" s="3">
        <f>1820.5+(451.7-312.3)+(-3.71382+(-0.921468--0.637092))+0-323.6--0.660143999999986</f>
        <v>1632.9619480000001</v>
      </c>
      <c r="W122" s="3">
        <f>1825.4+(242.6-304.6)+(-7.447632+(-0.989808--1.242768))+0-324.4--1.32355199999997</f>
        <v>1433.12888</v>
      </c>
      <c r="X122" s="3">
        <f>1845.6+(111.7-416.3)+(-6.588792+(-0.398769--1.486191))+0-321.5--1.147755</f>
        <v>1215.146385</v>
      </c>
      <c r="Y122" s="3">
        <f>1853.6+(59.2-452.2)+(-1.890672+(-0.060384--0.461244))+0-321.2--0.327624000000051</f>
        <v>1138.2378119999998</v>
      </c>
      <c r="Z122" s="3">
        <f>1860.4+(180.3-362.9)+(-0.948804+(-0.091953--0.185079))+0-321.7--0.164066999999967</f>
        <v>1355.4083890000002</v>
      </c>
      <c r="AA122" s="3">
        <f>1864.4+(286.6-341.6)+(-3.803376+(-0.584664--0.696864))+0-319.9--0.652595999999986</f>
        <v>1486.4614200000001</v>
      </c>
      <c r="AB122" s="3">
        <f>1842.6+(346.4-331.6)+(-4.69863+(-0.88332--0.84558))+0-319.8--0.815489999999954</f>
        <v>1533.6791199999998</v>
      </c>
      <c r="AC122" s="3">
        <f>1659+(560.3-300.9)+(0.84609+(0.285753-0.153459))+0-322.2-0.164321999999967</f>
        <v>1597.0140620000002</v>
      </c>
      <c r="AD122">
        <v>1450.9</v>
      </c>
      <c r="AE122" s="3">
        <f>1861+(266.5-353.5)+(0+(0-0))+0-323.1-0</f>
        <v>1450.9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1645.3+(548.6-298.3)+(-0.839103+(-0.279786--0.152133))+0-321.3--0.163862999999967</f>
        <v>1573.4971069999999</v>
      </c>
      <c r="G123" s="3">
        <f>1649+(523.7-288.2)+(-1.68198+(-0.534174--0.293964))+0-322.9--0.329358000000051</f>
        <v>1560.0071680000001</v>
      </c>
      <c r="H123" s="3">
        <f>1652.1+(486.5-270.2)+(-0.842571+(-0.248115--0.137802))+0-324--0.165239999999967</f>
        <v>1543.6123559999999</v>
      </c>
      <c r="I123" s="3">
        <f>1656.7+(451.6-259.3)+(-5.069502+(-1.381896--0.793458))+0-322.3--0.986238000000037</f>
        <v>1522.0282979999999</v>
      </c>
      <c r="J123" s="3">
        <f>1657.9+(414.7-247.1)+(-4.227645+(-1.057485--0.630105))+0-323--0.823649999999953</f>
        <v>1498.668625</v>
      </c>
      <c r="K123" s="3">
        <f>1660.1+(333.3-228.4)+(-5.926557+(-1.189881--0.815388))+0-323--1.15311</f>
        <v>1436.8520599999999</v>
      </c>
      <c r="L123" s="3">
        <f>1660.5+(189.5-225.3)+(-5.927985+(-0.676515--0.804321))+0-320.1--1.142757</f>
        <v>1299.9425780000001</v>
      </c>
      <c r="M123" s="3">
        <f>1658.8+(148-255.8)+(-0.845988+(-0.07548--0.130458))+0-319.2--0.162791999999968</f>
        <v>1231.1717820000001</v>
      </c>
      <c r="N123" s="3">
        <f>1649.9+(136-270.3)+(1.682898+(0.13872-0.275706))+0-321-0.327420000000051</f>
        <v>1195.8184920000001</v>
      </c>
      <c r="O123" s="3">
        <f>1640.2+(175.5-304.2)+(1.673004+(0.17901-0.310284))+0-323.3-0.329766000000052</f>
        <v>1189.4119639999999</v>
      </c>
      <c r="P123" s="3">
        <f>1634.3+(230.7-303.3)+(1.666986+(0.235314-0.309366))+0-323.7-0.330174000000052</f>
        <v>1239.2627599999998</v>
      </c>
      <c r="Q123" s="3">
        <f>1636.7+(339.9-314.4)+(0+(0-0))+0-324.6-0</f>
        <v>1337.6</v>
      </c>
      <c r="R123" s="3">
        <f>1623+(538-313.5)+(-2.48319+(-0.82314--0.479655))+0-320.4--0.490212000000018</f>
        <v>1524.763537</v>
      </c>
      <c r="S123" s="3">
        <f>1614.2+(676.9-301.9)+(-4.11621+(-1.726095--0.769845))+0-320--0.815999999999954</f>
        <v>1664.94354</v>
      </c>
      <c r="T123" s="3">
        <f>1610.5+(725.4-287.6)+(0+(0-0))+0-319.7-0</f>
        <v>1728.6000000000001</v>
      </c>
      <c r="U123" s="3">
        <f>1613.7+(715.9-279)+(-3.291948+(-1.460436--0.56916))+0-320.3--0.653411999999986</f>
        <v>1726.7701879999997</v>
      </c>
      <c r="V123" s="3">
        <f>1612+(644-284.8)+(-1.64424+(-0.65688--0.290496))+0-319.5--0.325890000000051</f>
        <v>1650.0152660000001</v>
      </c>
      <c r="W123" s="3">
        <f>1607+(411.8-274.2)+(-2.45871+(-0.630054--0.419526))+0-320--0.489600000000018</f>
        <v>1422.4203620000001</v>
      </c>
      <c r="X123" s="3">
        <f>1615.1+(170.8-275.3)+(-4.118505+(-0.43554--0.702015))+0-320.4--0.817019999999953</f>
        <v>1187.1649899999998</v>
      </c>
      <c r="Y123" s="3">
        <f>1621.3+(122.6-314.1)+(-1.653726+(-0.125052--0.320382))+0-319.8--0.326196000000051</f>
        <v>1108.8678</v>
      </c>
      <c r="Z123" s="3">
        <f>1628.9+(340.3-315.7)+(0+(0-0))+0-320-0</f>
        <v>1333.5</v>
      </c>
      <c r="AA123" s="3">
        <f>1635.7+(424-294.7)+(-4.171035+(-1.0812--0.751485))+0-298.6--0.761429999999957</f>
        <v>1462.66068</v>
      </c>
      <c r="AB123" s="3">
        <f>1635.2+(465.7-288.3)+(-0.833952+(-0.237507--0.147033))+0-279--0.142289999999972</f>
        <v>1532.8178639999999</v>
      </c>
      <c r="AC123" s="3">
        <f>1638.8+(548.1-276.1)+(-0.835788+(-0.279531--0.140811))+0-318.1--0.162230999999968</f>
        <v>1591.8877230000001</v>
      </c>
      <c r="AD123">
        <v>1450.3999999999996</v>
      </c>
      <c r="AE123" s="3">
        <f>1640+(423.7-294.4)+(0+(0-0))+0-318.9-0</f>
        <v>1450.4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1642.1+(525-285.5)+(-0.837471+(-0.26775--0.145605))+0-317.5--0.161924999999968</f>
        <v>1563.3023089999997</v>
      </c>
      <c r="G124" s="3">
        <f>1642.7+(507.8-272.5)+(1.675554+(0.517956-0.27795))+0-319.1-0.325482000000051</f>
        <v>1560.490078</v>
      </c>
      <c r="H124" s="3">
        <f>1645.6+(469.2-261.8)+(1.678512+(0.478584-0.267036))+0-319.9-0.326298000000051</f>
        <v>1534.6637620000001</v>
      </c>
      <c r="I124" s="3">
        <f>1647.6+(457.4-252.7)+(0.840276+(0.233274-0.128877))+0-320.2-0.163301999999968</f>
        <v>1532.8813709999999</v>
      </c>
      <c r="J124" s="3">
        <f>1647.9+(425.5-256.1)+(2.521287+(0.651015-0.391833))+0-319.6-0.488988000000019</f>
        <v>1499.991481</v>
      </c>
      <c r="K124" s="3">
        <f>1650.6+(363.6-249.8)+(-1.683612+(-0.370872--0.254796))+0-319.1--0.325482000000051</f>
        <v>1443.8257939999996</v>
      </c>
      <c r="L124" s="3">
        <f>1652.3+(204-212.5)+(1.685346+(0.20808-0.21675))+0-317.4-0.323748000000051</f>
        <v>1327.7529280000001</v>
      </c>
      <c r="M124" s="3">
        <f>1650.3+(162-228.4)+(-0.841653+(-0.08262--0.116484))+0-317.1--0.161720999999968</f>
        <v>1266.1539319999997</v>
      </c>
      <c r="N124" s="3">
        <f>1641.5+(141.7-246.8)+(2.511495+(0.216801-0.377604))+0-317.7-0.486081000000018</f>
        <v>1220.564611</v>
      </c>
      <c r="O124" s="3">
        <f>1631.5+(146.4-274.1)+(0.832065+(0.074664-0.139791))+0-319.1-0.162740999999968</f>
        <v>1185.3041970000002</v>
      </c>
      <c r="P124" s="3">
        <f>1618.8+(206.1-299.2)+(2.476764+(0.315333-0.457776))+0-318.8-0.487764000000018</f>
        <v>1208.7465570000002</v>
      </c>
      <c r="Q124" s="3">
        <f>1607.9+(325.8-318.1)+(1.640058+(0.332316-0.324462))+0-319.1-0.325482000000051</f>
        <v>1297.8224299999999</v>
      </c>
      <c r="R124" s="3">
        <f>1598.6+(467.2-322.5)+(-0.815286+(-0.238272--0.164475))+0-317.9--0.162128999999968</f>
        <v>1424.6730460000001</v>
      </c>
      <c r="S124" s="3">
        <f>1595.3+(570.5-312.2)+(-0.813603+(-0.290955--0.159222))+0-317.7--0.162026999999968</f>
        <v>1535.1166909999999</v>
      </c>
      <c r="T124" s="3">
        <f>1597+(626.1-310.8)+(-2.44341+(-0.957933--0.475524))+0-318.9--0.487917000000018</f>
        <v>1590.962098</v>
      </c>
      <c r="U124" s="3">
        <f>1595.8+(641.8-306.6)+(0.813858+(0.327318-0.156366))+0-317.4-0.161873999999968</f>
        <v>1614.4229359999999</v>
      </c>
      <c r="V124" s="3">
        <f>1594.6+(582-300.4)+(-0.813246+(-0.29682--0.153204))+0-318.4--0.162383999999968</f>
        <v>1557.0055219999997</v>
      </c>
      <c r="W124" s="3">
        <f>1601.2+(387.1-285.4)+(-4.08306+(-0.987105--0.72777))+0-318.9--0.813194999999954</f>
        <v>1380.4708000000003</v>
      </c>
      <c r="X124" s="3">
        <f>1609.1+(137.8-274)+(-2.461923+(-0.210834--0.41922))+0-319.5--0.488835000000018</f>
        <v>1151.6352979999999</v>
      </c>
      <c r="Y124" s="3">
        <f>1616.8+(82.4-305.9)+(-5.771976+(-0.294168--1.092063))+0-319.9--1.142043</f>
        <v>1069.5679619999999</v>
      </c>
      <c r="Z124" s="3">
        <f>1621.4+(350.2-341.2)+(2.480742+(0.535806-0.522036))+0-319.5-0.488835000000018</f>
        <v>1312.905677</v>
      </c>
      <c r="AA124" s="3">
        <f>1626.7+(486.9-320.7)+(-2.488851+(-0.744957--0.490671))+0-319--0.488070000000018</f>
        <v>1471.6449330000003</v>
      </c>
      <c r="AB124" s="3">
        <f>1645.3+(521.7-320.2)+(-1.678206+(-0.532134--0.326604))+0-319.8--0.326196000000051</f>
        <v>1525.44246</v>
      </c>
      <c r="AC124" s="3">
        <f>1708.4+(509-323.5)+(0.871284+(0.25959-0.164985))+0-319.2-0.162791999999968</f>
        <v>1575.503097</v>
      </c>
      <c r="AD124">
        <v>1504</v>
      </c>
      <c r="AE124" s="3">
        <f>1638+(501.2-316.3)+(0+(0-0))+0-318.9-0</f>
        <v>1504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1855.7+(389.7-330.3)+(-1.892814+(-0.397494--0.336906))+0-319.2--0.325584000000051</f>
        <v>1594.2721819999999</v>
      </c>
      <c r="G125" s="3">
        <f>1888.6+(333.5-316.1)+(-1.926372+(-0.34017--0.322422))+0-320.1--0.326502000000051</f>
        <v>1584.2823820000001</v>
      </c>
      <c r="H125" s="3">
        <f>1894.4+(295.6-301.8)+(-2.898432+(-0.452268--0.461754))+0-320.4--0.490212000000018</f>
        <v>1565.4012660000001</v>
      </c>
      <c r="I125" s="3">
        <f>1895.6+(285.9-317.9)+(-2.900268+(-0.437427--0.486387))+0-321--0.491130000000019</f>
        <v>1540.239822</v>
      </c>
      <c r="J125" s="3">
        <f>1899.8+(248.8-317.6)+(-3.875592+(-0.507552--0.647904))+0-320.8--0.654431999999986</f>
        <v>1507.1191920000001</v>
      </c>
      <c r="K125" s="3">
        <f>1901.9+(167.2-292.9)+(-3.879876+(-0.341088--0.597516))+0-318.9--0.650555999999986</f>
        <v>1454.327108</v>
      </c>
      <c r="L125" s="3">
        <f>1905+(36.8-293.5)+(-0.97155+(-0.018768--0.149685))+0-317.1--0.161720999999968</f>
        <v>1330.521088</v>
      </c>
      <c r="M125" s="3">
        <f>1900+(32.7-347.4)+(0+(0-0))+0-318.1-0</f>
        <v>1267.1999999999998</v>
      </c>
      <c r="N125" s="3">
        <f>1891.6+(76.5-404.4)+(1.929432+(0.07803-0.412488))+0-318.4-0.324768000000051</f>
        <v>1246.5702059999999</v>
      </c>
      <c r="O125" s="3">
        <f>1880.3+(112-437.9)+(-0.958953+(-0.05712--0.223329))+0-318.7--0.162536999999968</f>
        <v>1235.0697929999999</v>
      </c>
      <c r="P125" s="3">
        <f>1871.1+(141-429.6)+(-0.954261+(-0.07191--0.219096))+0-320.6--0.163505999999967</f>
        <v>1261.2564309999998</v>
      </c>
      <c r="Q125" s="3">
        <f>1862.6+(183.4-376.3)+(2.849778+(0.280602-0.575739))+0-319.3-0.488529000000018</f>
        <v>1352.4661119999998</v>
      </c>
      <c r="R125" s="3">
        <f>1849+(368.3-363.9)+(0.94299+(0.187833-0.185589))+0-318.6-0.162485999999968</f>
        <v>1535.582748</v>
      </c>
      <c r="S125" s="3">
        <f>1845.2+(505.1-342.9)+(0+(0-0))+0-318.8-0</f>
        <v>1688.6000000000001</v>
      </c>
      <c r="T125" s="3">
        <f>1846.8+(546.6-335.6)+(-1.883736+(-0.557532--0.342312))+0-321.2--0.327624000000051</f>
        <v>1734.8286680000003</v>
      </c>
      <c r="U125" s="3">
        <f>1851+(516.5-320.3)+(-2.83203+(-0.790245--0.490059))+0-319.9--0.489447000000018</f>
        <v>1724.6572310000001</v>
      </c>
      <c r="V125" s="3">
        <f>1846.3+(427-317.6)+(-3.766452+(-0.87108--0.647904))+0-319.5--0.651779999999986</f>
        <v>1632.8621519999997</v>
      </c>
      <c r="W125" s="3">
        <f>1849.6+(222.5-330.7)+(-2.829888+(-0.340425--0.505971))+0-321.2--0.491436000000019</f>
        <v>1418.0270939999998</v>
      </c>
      <c r="X125" s="3">
        <f>1853.9+(128.6-442.6)+(-5.672934+(-0.393516--1.354356))+0-320.4--0.980424000000037</f>
        <v>1215.7683300000001</v>
      </c>
      <c r="Y125" s="3">
        <f>1859.4+(73.9-468.4)+(-0.948294+(-0.037689--0.238884))+0-320.7--0.163556999999967</f>
        <v>1143.616458</v>
      </c>
      <c r="Z125" s="3">
        <f>1864.7+(205.3-378)+(-1.901994+(-0.209406--0.38556))+0-320--0.326400000000051</f>
        <v>1370.6005600000001</v>
      </c>
      <c r="AA125" s="3">
        <f>1875.8+(312-364.2)+(0+(0-0))+0-319.7-0</f>
        <v>1503.8999999999999</v>
      </c>
      <c r="AB125" s="3">
        <f>1885.2+(364.1-357.1)+(-2.884356+(-0.557073--0.546363))+0-319--0.488070000000018</f>
        <v>1570.7930040000001</v>
      </c>
      <c r="AC125" s="3">
        <f>1887.4+(397.5-330.4)+(0+(0-0))+0-318.4-0</f>
        <v>1636.1</v>
      </c>
      <c r="AD125">
        <v>1481.6000000000001</v>
      </c>
      <c r="AE125" s="3">
        <f>1872+(296.9-367.8)+(0+(0-0))+0-319.5-0</f>
        <v>1481.6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1880.3+(383.7-336.9)+(-1.917906+(-0.391374--0.343638))+0-319.3--0.325686000000051</f>
        <v>1606.1600440000002</v>
      </c>
      <c r="G126" s="3">
        <f>1885.7+(343.9-323.8)+(-4.808535+(-0.876945--0.82569))+0-320.2--0.816509999999954</f>
        <v>1581.5567199999998</v>
      </c>
      <c r="H126" s="3">
        <f>1888.5+(305.6-310.2)+(-1.92627+(-0.311712--0.316404))+0-322--0.328440000000051</f>
        <v>1560.3068620000001</v>
      </c>
      <c r="I126" s="3">
        <f>1896.2+(256.7-299.2)+(-3.868248+(-0.523668--0.610368))+0-320.3--0.653411999999986</f>
        <v>1530.2718640000001</v>
      </c>
      <c r="J126" s="3">
        <f>1868.2+(257.7-304.1)+(-2.858346+(-0.394281--0.465273))+0-320.3--0.490059000000019</f>
        <v>1499.2027049999999</v>
      </c>
      <c r="K126" s="3">
        <f>1864+(192.5-305.8)+(-1.90128+(-0.19635--0.311916))+0-319.1--0.325482000000051</f>
        <v>1430.1397679999998</v>
      </c>
      <c r="L126" s="3">
        <f>1870.2+(54.6-298.3)+(-4.76901+(-0.13923--0.760665))+0-319.2--0.813959999999954</f>
        <v>1303.9663849999999</v>
      </c>
      <c r="M126" s="3">
        <f>1883.6+(26-337.5)+(2.881908+(0.03978-0.516375))+0-317.1-0.485163000000018</f>
        <v>1256.9201499999997</v>
      </c>
      <c r="N126" s="3">
        <f>1866+(78.7-382.3)+(0+(0-0))+0-317.9-0</f>
        <v>1244.5</v>
      </c>
      <c r="O126" s="3">
        <f>1852.7+(128.2-440.2)+(0.944877+(0.065382-0.224502))+0-319.2-0.162791999999968</f>
        <v>1222.122965</v>
      </c>
      <c r="P126" s="3">
        <f>1848.6+(163.5-429.3)+(0.942786+(0.083385-0.218943))+0-319.7-0.163046999999968</f>
        <v>1263.7441809999998</v>
      </c>
      <c r="Q126" s="3">
        <f>1840.9+(200.8-391.7)+(2.816577+(0.307224-0.599301))+0-320.9-0.490977000000019</f>
        <v>1331.133523</v>
      </c>
      <c r="R126" s="3">
        <f>1829.6+(399.7-387.1)+(0+(0-0))+0-323-0</f>
        <v>1519.1999999999998</v>
      </c>
      <c r="S126" s="3">
        <f>1820.5+(543.3-384.4)+(0+(0-0))+0-322.6-0</f>
        <v>1656.8000000000002</v>
      </c>
      <c r="T126" s="3">
        <f>1819.1+(563.6-345.9)+(2.783223+(0.862308-0.529227))+0-322.1-0.492813000000019</f>
        <v>1717.3234909999999</v>
      </c>
      <c r="U126" s="3">
        <f>1819.9+(551.1-314.6)+(-1.856298+(-0.562122--0.320892))+0-321.8--0.328236000000051</f>
        <v>1732.8307080000004</v>
      </c>
      <c r="V126" s="3">
        <f>1781.5+(522.8-313.2)+(-3.63426+(-1.066512--0.638928))+0-322.2--0.657287999999986</f>
        <v>1665.4954439999997</v>
      </c>
      <c r="W126" s="3">
        <f>1715.8+(375.6-301.4)+(-5.250348+(-1.149336--0.922284))+0-322.4--0.986544000000037</f>
        <v>1463.1091440000002</v>
      </c>
      <c r="X126" s="3">
        <f>1770.5+(162.6-364.9)+(-5.41773+(-0.497556--1.116594))+0-322.5--0.986850000000037</f>
        <v>1241.888158</v>
      </c>
      <c r="Y126" s="3">
        <f>1826.8+(97.6-422.7)+(-1.863336+(-0.099552--0.431154))+0-321.6--0.328032000000051</f>
        <v>1178.8962979999999</v>
      </c>
      <c r="Z126" s="3">
        <f>1865.1+(210.2-363.6)+(0+(0-0))+0-321.6-0</f>
        <v>1390.1</v>
      </c>
      <c r="AA126" s="3">
        <f>1873.1+(315.5-341.5)+(-5.731686+(-0.96543--1.04499))+0-321.5--0.983790000000037</f>
        <v>1520.931664</v>
      </c>
      <c r="AB126" s="3">
        <f>1870.2+(380-334.6)+(-0.953802+(-0.1938--0.170646))+0-320.2--0.163301999999968</f>
        <v>1594.5863459999998</v>
      </c>
      <c r="AC126" s="3">
        <f>1869.7+(424.1-323.7)+(-0.953547+(-0.216291--0.165087))+0-317.6--0.161975999999968</f>
        <v>1651.6572249999999</v>
      </c>
      <c r="AD126">
        <v>1545.6000000000004</v>
      </c>
      <c r="AE126" s="3">
        <f>1879+(343.8-355.3)+(0+(0-0))+0-321.9-0</f>
        <v>1545.6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1873.6+(415.1-308.1)+(-2.866608+(-0.635103--0.471393))+0-318.6--0.487458000000018</f>
        <v>1659.45714</v>
      </c>
      <c r="G127" s="3">
        <f>1874.4+(373.3-295.1)+(-2.867832+(-0.571149--0.451503))+0-320.2--0.489906000000018</f>
        <v>1629.9024280000001</v>
      </c>
      <c r="H127" s="3">
        <f>1878.8+(325.1-281.2)+(-1.916376+(-0.331602--0.286824))+0-319.9--0.326298000000051</f>
        <v>1601.1651440000001</v>
      </c>
      <c r="I127" s="3">
        <f>1885.1+(289.9-271.9)+(-1.922802+(-0.295698--0.277338))+0-320.5--0.326910000000051</f>
        <v>1580.9857479999998</v>
      </c>
      <c r="J127" s="3">
        <f>1883.4+(296.3-296.6)+(1.921068+(0.302226-0.302532))+0-319.8-0.326196000000051</f>
        <v>1564.8945660000002</v>
      </c>
      <c r="K127" s="3">
        <f>1884.2+(201-278.3)+(0.960942+(0.10251-0.141933))+0-318.6-0.162485999999968</f>
        <v>1489.0590330000002</v>
      </c>
      <c r="L127" s="3">
        <f>1896.5+(63.6-277.3)+(-0.967215+(-0.032436--0.141423))+0-317.9--0.162128999999968</f>
        <v>1364.2039010000001</v>
      </c>
      <c r="M127" s="3">
        <f>1887.5+(46.5-321)+(-0.962625+(-0.023715--0.16371))+0-317.4--0.161873999999968</f>
        <v>1294.9392440000001</v>
      </c>
      <c r="N127" s="3">
        <f>1870.3+(122-398.5)+(0+(0-0))+0-319-0</f>
        <v>1274.8</v>
      </c>
      <c r="O127" s="3">
        <f>1852.5+(191-444.6)+(-1.88955+(-0.19482--0.453492))+0-320.4--0.326808000000051</f>
        <v>1277.1959300000001</v>
      </c>
      <c r="P127" s="3">
        <f>1840.3+(192.3-435.7)+(-0.938553+(-0.098073--0.222207))+0-287.3--0.146522999999971</f>
        <v>1308.932104</v>
      </c>
      <c r="Q127" s="3">
        <f>1835.9+(236.6-372.3)+(0+(0-0))+0-315.3-0</f>
        <v>1384.9</v>
      </c>
      <c r="R127" s="3">
        <f>1835.9+(418.6-366.8)+(-3.745236+(-0.853944--0.748272))+0-320.6--0.654023999999986</f>
        <v>1563.903116</v>
      </c>
      <c r="S127" s="3">
        <f>1835.9+(510.9-369.7)+(-2.808927+(-0.781677--0.565641))+0-319.8--0.489294000000018</f>
        <v>1654.7643310000001</v>
      </c>
      <c r="T127" s="3">
        <f>1835.9+(570.7-357.7)+(0.936309+(0.291057-0.182427))+0-319.4-0.162893999999968</f>
        <v>1730.3820449999998</v>
      </c>
      <c r="U127" s="3">
        <f>1835.9+(596.3-351.9)+(-1.872618+(-0.608226--0.358938))+0-319.3--0.325686000000051</f>
        <v>1759.2037800000005</v>
      </c>
      <c r="V127" s="3">
        <f>1843.4+(521.3-344.7)+(1.880268+(0.531726-0.351594))+0-318.9-0.325278000000051</f>
        <v>1702.8351220000002</v>
      </c>
      <c r="W127" s="3">
        <f>1847.2+(320.7-333.4)+(-3.768288+(-0.654228--0.680136))+0-319.7--0.652187999999986</f>
        <v>1511.7098080000001</v>
      </c>
      <c r="X127" s="3">
        <f>1853.7+(178-428.1)+(-2.836161+(-0.27234--0.654993))+0-317.8--0.486234000000018</f>
        <v>1283.8327259999999</v>
      </c>
      <c r="Y127" s="3">
        <f>1866.7+(132.6-488.2)+(-1.904034+(-0.135252--0.497964))+0-318.8--0.325176000000051</f>
        <v>1191.083854</v>
      </c>
      <c r="Z127" s="3">
        <f>1870.1+(260.6-368.9)+(0+(0-0))+0-317.7-0</f>
        <v>1444.1</v>
      </c>
      <c r="AA127" s="3">
        <f>1871.2+(385.8-356.7)+(-1.908624+(-0.393516--0.363834))+0-317.6--0.323952000000051</f>
        <v>1581.0856460000002</v>
      </c>
      <c r="AB127" s="3">
        <f>1870.4+(435.5-346.9)+(-1.907808+(-0.44421--0.353838))+0-317.8--0.324156000000051</f>
        <v>1639.5259760000001</v>
      </c>
      <c r="AC127" s="3">
        <f>1864.9+(479.7-341.4)+(-0.951099+(-0.244647--0.174114))+0-317.7--0.162026999999968</f>
        <v>1684.6403950000001</v>
      </c>
      <c r="AD127">
        <v>1556.3</v>
      </c>
      <c r="AE127" s="3">
        <f>1871+(367.9-364.9)+(0+(0-0))+0-317.7-0</f>
        <v>1556.3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1863.7+(457.6-358.7)+(0+(0-0))+0-317.4-0</f>
        <v>1645.2000000000003</v>
      </c>
      <c r="G128" s="3">
        <f>1863.8+(444.4-366.8)+(0.950538+(0.226644-0.187068))+0-318.9-0.162638999999968</f>
        <v>1623.3274749999998</v>
      </c>
      <c r="H128" s="3">
        <f>1868.4+(400.7-353.3)+(-3.811536+(-0.817428--0.720732))+0-319.8--0.652391999999986</f>
        <v>1592.7441600000002</v>
      </c>
      <c r="I128" s="3">
        <f>1871.2+(357.2-335.4)+(1.908624+(0.364344-0.342108))+0-320.2-0.326604000000051</f>
        <v>1574.4042559999998</v>
      </c>
      <c r="J128" s="3">
        <f>1881.1+(311-329.6)+(-3.837444+(-0.63444--0.672384))+0-319--0.650759999999986</f>
        <v>1540.3512599999999</v>
      </c>
      <c r="K128" s="3">
        <f>1885+(243.8-319.4)+(-2.88405+(-0.373014--0.488682))+0-319.3--0.488529000000018</f>
        <v>1487.8201470000001</v>
      </c>
      <c r="L128" s="3">
        <f>1889.5+(64.3-293.5)+(-4.818225+(-0.163965--0.748425))+0-317.6--0.809879999999954</f>
        <v>1339.2761149999999</v>
      </c>
      <c r="M128" s="3">
        <f>1883.7+(30.6-330.5)+(0+(0-0))+0-316.4-0</f>
        <v>1267.4000000000001</v>
      </c>
      <c r="N128" s="3">
        <f>1877+(86-369.8)+(4.78635+(0.2193-0.94299))+0-317.4-0.809369999999954</f>
        <v>1279.0532900000003</v>
      </c>
      <c r="O128" s="3">
        <f>1868+(94.1-373.7)+(0+(0-0))+0-319.4-0</f>
        <v>1269</v>
      </c>
      <c r="P128" s="3">
        <f>1857.5+(168.1-400.9)+(2.841975+(0.257193-0.613377))+0-320.2-0.489906000000018</f>
        <v>1306.495885</v>
      </c>
      <c r="Q128" s="3">
        <f>1848+(236.9-370.9)+(2.82744+(0.362457-0.567477))+0-319.6-0.488988000000019</f>
        <v>1396.5334319999997</v>
      </c>
      <c r="R128" s="3">
        <f>1808.1+(423.6-351.6)+(1.844262+(0.432072-0.358632))+0-320.2-0.326604000000051</f>
        <v>1561.4910979999997</v>
      </c>
      <c r="S128" s="3">
        <f>1797.2+(522.3-324.2)+(-0.916572+(-0.266373--0.165342))+0-321.5--0.163964999999967</f>
        <v>1672.9463619999999</v>
      </c>
      <c r="T128" s="3">
        <f>1782.8+(584.2-320.2)+(0.909228+(0.297942-0.163302))+0-323.4-0.164933999999967</f>
        <v>1724.2789339999999</v>
      </c>
      <c r="U128" s="3">
        <f>1790.2+(583.9-324.4)+(0+(0-0))+0-322.8-0</f>
        <v>1726.8999999999999</v>
      </c>
      <c r="V128" s="3">
        <f>1799.6+(495.2-321)+(-4.58898+(-1.26276--0.81855))+0-323.3--0.824414999999953</f>
        <v>1646.2912249999999</v>
      </c>
      <c r="W128" s="3">
        <f>1805.8+(292.4-321.1)+(-4.60479+(-0.74562--0.818805))+0-321--0.818549999999953</f>
        <v>1452.386945</v>
      </c>
      <c r="X128" s="3">
        <f>1815+(162.5-403.9)+(-2.77695+(-0.248625--0.617967))+0-319.8--0.489294000000018</f>
        <v>1251.8816859999999</v>
      </c>
      <c r="Y128" s="3">
        <f>1820.5+(95.8-426)+(0.928455+(0.048858-0.21726))+0-319.8-0.163097999999968</f>
        <v>1171.096955</v>
      </c>
      <c r="Z128" s="3">
        <f>1829.1+(233.1-330.7)+(0+(0-0))+0-320.7-0</f>
        <v>1410.8</v>
      </c>
      <c r="AA128" s="3">
        <f>1836.7+(362.8-326.1)+(-1.873434+(-0.370056--0.332622))+0-321.4--0.327828000000051</f>
        <v>1550.41696</v>
      </c>
      <c r="AB128" s="3">
        <f>1839.3+(410.5-324.3)+(-2.814129+(-0.628065--0.496179))+0-320.6--0.490518000000019</f>
        <v>1602.4445030000002</v>
      </c>
      <c r="AC128" s="3">
        <f>1835.1+(457.6-316)+(-0.935901+(-0.233376--0.16116))+0-320.5--0.163454999999967</f>
        <v>1655.3553379999996</v>
      </c>
      <c r="AD128">
        <v>1550.3000000000002</v>
      </c>
      <c r="AE128" s="3">
        <f>1865+(343.8-336.6)+(0+(0-0))+0-321.9-0</f>
        <v>1550.3000000000002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1864.7+(425.9-332.3)+(-2.852991+(-0.651627--0.508419))+0-318--0.486540000000018</f>
        <v>1637.7903410000001</v>
      </c>
      <c r="G129" s="3">
        <f>1864.4+(397.9-319.2)+(0+(0-0))+0-321.9-0</f>
        <v>1621.2000000000003</v>
      </c>
      <c r="H129" s="3">
        <f>1870.6+(380.6-330.8)+(-1.908012+(-0.388212--0.337416))+0-321.2--0.327624000000051</f>
        <v>1597.5688159999997</v>
      </c>
      <c r="I129" s="3">
        <f>1871.9+(348.9-327.3)+(1.909338+(0.355878-0.333846))+0-320.6-0.327012000000051</f>
        <v>1574.5043579999999</v>
      </c>
      <c r="J129" s="3">
        <f>1874.4+(318.4-317.3)+(0+(0-0))+0-318-0</f>
        <v>1557.5</v>
      </c>
      <c r="K129" s="3">
        <f>1877.1+(240.9-292)+(-2.871963+(-0.368577--0.44676))+0-320.1--0.489753000000019</f>
        <v>1503.5959730000002</v>
      </c>
      <c r="L129" s="3">
        <f>1879.1+(95.7-297)+(-2.875023+(-0.146421--0.45441))+0-319.1--0.488223000000018</f>
        <v>1356.6211890000002</v>
      </c>
      <c r="M129" s="3">
        <f>1879.1+(60.3-328.2)+(2.875023+(0.092259-0.502146))+0-317.8-0.486234000000018</f>
        <v>1295.3789019999999</v>
      </c>
      <c r="N129" s="3">
        <f>1878.3+(87.5-355.9)+(0.957933+(0.044625-0.181509))+0-320.7-0.163556999999967</f>
        <v>1289.8574920000001</v>
      </c>
      <c r="O129" s="3">
        <f>1869.3+(126.4-393.2)+(-0.953343+(-0.064464--0.200532))+0-320.9--0.163658999999967</f>
        <v>1280.9463840000001</v>
      </c>
      <c r="P129" s="3">
        <f>1860.9+(147.2-380)+(1.898118+(0.150144-0.3876))+0-321.5-0.327930000000051</f>
        <v>1307.932732</v>
      </c>
      <c r="Q129" s="3">
        <f>1863.3+(211.1-352.8)+(4.751415+(0.538305-0.89964))+0-321.6-0.820079999999953</f>
        <v>1403.5699999999997</v>
      </c>
      <c r="R129" s="3">
        <f>1855.9+(363.9-354.8)+(-0.946509+(-0.185589--0.180948))+0-322.2--0.164321999999967</f>
        <v>1542.0131719999997</v>
      </c>
      <c r="S129" s="3">
        <f>1849.8+(493.4-348.6)+(0.943398+(0.251634-0.177786))+0-321-0.163709999999967</f>
        <v>1674.4535359999998</v>
      </c>
      <c r="T129" s="3">
        <f>1845.3+(536.2-336.2)+(0+(0-0))+0-322-0</f>
        <v>1723.3</v>
      </c>
      <c r="U129" s="3">
        <f>1845.7+(530.5-334.7)+(-0.941307+(-0.270555--0.170697))+0-321.3--0.163862999999967</f>
        <v>1719.3226979999999</v>
      </c>
      <c r="V129" s="3">
        <f>1845.8+(464.2-341.2)+(-1.882716+(-0.473484--0.348024))+0-322.2--0.328644000000051</f>
        <v>1644.9204679999998</v>
      </c>
      <c r="W129" s="3">
        <f>1852.3+(236.8-339.7)+(-2.834019+(-0.362304--0.519741))+0-319--0.488070000000018</f>
        <v>1428.2114880000001</v>
      </c>
      <c r="X129" s="3">
        <f>1851+(91.8-420.5)+(-6.60807+(-0.327726--1.501185))+0-318.8--1.138116</f>
        <v>1199.2035050000002</v>
      </c>
      <c r="Y129" s="3">
        <f>1863.7+(30.9-440)+(-0.950487+(-0.015759--0.2244))+0-318.9--0.162638999999968</f>
        <v>1135.1207929999998</v>
      </c>
      <c r="Z129" s="3">
        <f>1868.4+(180.6-375.2)+(-2.858652+(-0.276318--0.574056))+0-320.5--0.490365000000019</f>
        <v>1351.2294510000004</v>
      </c>
      <c r="AA129" s="3">
        <f>1877.1+(272.6-345.6)+(-6.701247+(-0.973182--1.233792))+0-319.7--1.141329</f>
        <v>1479.100692</v>
      </c>
      <c r="AB129" s="3">
        <f>1877.3+(310.9-337)+(-2.872269+(-0.475677--0.51561))+0-319.2--0.488376000000018</f>
        <v>1529.6560399999998</v>
      </c>
      <c r="AC129" s="3">
        <f>1874.7+(364.7-329)+(-1.912194+(-0.371994--0.33558))+0-318.8--0.325176000000051</f>
        <v>1589.9765680000003</v>
      </c>
      <c r="AD129">
        <v>1504.3000000000002</v>
      </c>
      <c r="AE129" s="3">
        <f>1905+(262.5-343.1)+(0+(0-0))+0-320.1-0</f>
        <v>1504.3000000000002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1879.6+(390.5-320.2)+(-0.958596+(-0.199155--0.163302))+0-319.6--0.162995999999968</f>
        <v>1629.4685469999999</v>
      </c>
      <c r="G130" s="3">
        <f>1879.9+(398-339.3)+(-2.876247+(-0.60894--0.519129))+0-320.1--0.489753000000019</f>
        <v>1616.0236950000001</v>
      </c>
      <c r="H130" s="3">
        <f>1881.2+(357.9-325)+(-1.918824+(-0.365058--0.3315))+0-321.5--0.327930000000051</f>
        <v>1590.9755480000001</v>
      </c>
      <c r="I130" s="3">
        <f>1882.2+(325-314.3)+(1.919844+(0.3315-0.320586))+0-320.4-0.326808000000051</f>
        <v>1574.1039499999999</v>
      </c>
      <c r="J130" s="3">
        <f>1883+(301.4-306.8)+(-1.92066+(-0.307428--0.312936))+0-321.1--0.327522000000051</f>
        <v>1554.91237</v>
      </c>
      <c r="K130" s="3">
        <f>1714.2+(370.7-268.9)+(0.874242+(0.189057-0.137139))+0-319-0.162689999999968</f>
        <v>1497.7634700000001</v>
      </c>
      <c r="L130" s="3">
        <f>1629+(288.5-222.6)+(-4.98474+(-0.88281--0.681156))+0-319.4--0.977364000000037</f>
        <v>1371.2909700000002</v>
      </c>
      <c r="M130" s="3">
        <f>1626.8+(219.2-234.6)+(0+(0-0))+0-317-0</f>
        <v>1294.3999999999999</v>
      </c>
      <c r="N130" s="3">
        <f>1624+(225.2-254.6)+(0+(0-0))+0-319.7-0</f>
        <v>1274.8999999999999</v>
      </c>
      <c r="O130" s="3">
        <f>1619.7+(255.2-285.9)+(-0.826047+(-0.130152--0.145809))+0-320.1--0.163250999999968</f>
        <v>1268.2528609999999</v>
      </c>
      <c r="P130" s="3">
        <f>1610.2+(350.9-335.5)+(-0.821202+(-0.178959--0.171105))+0-321.1--0.163760999999967</f>
        <v>1303.834705</v>
      </c>
      <c r="Q130" s="3">
        <f>1602+(462.6-342.5)+(-1.63404+(-0.471852--0.34935))+0-320.7--0.327114000000051</f>
        <v>1399.9705719999997</v>
      </c>
      <c r="R130" s="3">
        <f>1596.3+(542.7-321.6)+(-3.256452+(-1.107108--0.656064))+0-320.4--0.653615999999986</f>
        <v>1493.9461200000001</v>
      </c>
      <c r="S130" s="3">
        <f>1587.6+(663.8-321.9)+(-4.04838+(-1.69269--0.820845))+0-320.9--0.818294999999953</f>
        <v>1604.4980700000001</v>
      </c>
      <c r="T130" s="3">
        <f>1580.9+(710.4-313.5)+(-2.418777+(-1.086912--0.479655))+0-319.8--0.489294000000018</f>
        <v>1655.4632600000002</v>
      </c>
      <c r="U130" s="3">
        <f>1577+(726.4-317)+(0+(0-0))+0-320.4-0</f>
        <v>1666</v>
      </c>
      <c r="V130" s="3">
        <f>1577.8+(640.2-305.9)+(-0.804678+(-0.326502--0.156009))+0-321.7--0.164066999999967</f>
        <v>1589.5888959999997</v>
      </c>
      <c r="W130" s="3">
        <f>1580.9+(438.7-291.7)+(-6.450072+(-1.789896--1.190136))+0-321.3--1.31090399999997</f>
        <v>1400.8610720000001</v>
      </c>
      <c r="X130" s="3">
        <f>1584+(196.9-275.4)+(-4.84704+(-0.602514--0.842724))+0-320.3--0.980118000000037</f>
        <v>1181.573288</v>
      </c>
      <c r="Y130" s="3">
        <f>1596.8+(106.7-278.8)+(-4.07184+(-0.272085--0.71094))+0-320.3--0.816764999999954</f>
        <v>1101.5837799999999</v>
      </c>
      <c r="Z130" s="3">
        <f>1631.7+(333.3-314.8)+(0.832167+(0.169983-0.160548))+0-321.6-0.164015999999967</f>
        <v>1329.2775859999999</v>
      </c>
      <c r="AA130" s="3">
        <f>1794+(334.5-349.9)+(-4.5747+(-0.852975--0.892245))+0-320.7--0.817784999999953</f>
        <v>1454.1823549999999</v>
      </c>
      <c r="AB130" s="3">
        <f>1845.2+(360.3-362.2)+(-4.70526+(-0.918765--0.92361))+0-321.3--0.819314999999953</f>
        <v>1518.1189000000002</v>
      </c>
      <c r="AC130" s="3">
        <f>1858.6+(393.3-354.6)+(-0.947886+(-0.200583--0.180846))+0-320.1--0.163250999999968</f>
        <v>1576.3956279999998</v>
      </c>
      <c r="AD130">
        <v>1488.1</v>
      </c>
      <c r="AE130" s="3">
        <f>1815+(323.1-329.3)+(0+(0-0))+0-320.7-0</f>
        <v>1488.1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1855.6+(415.4-344.8)+(-0.946356+(-0.211854--0.175848))+0-319.9--0.163148999999968</f>
        <v>1605.480787</v>
      </c>
      <c r="G131" s="3">
        <f>1853.9+(398.2-332.4)+(-1.890978+(-0.406164--0.339048))+0-321.7--0.328134000000051</f>
        <v>1596.37004</v>
      </c>
      <c r="H131" s="3">
        <f>1855.3+(389.1-341.7)+(0+(0-0))+0-320.9-0</f>
        <v>1581.8000000000002</v>
      </c>
      <c r="I131" s="3">
        <f>1861.6+(355.3-336.9)+(-3.797664+(-0.724812--0.687276))+0-319.9--0.652595999999986</f>
        <v>1556.9173959999998</v>
      </c>
      <c r="J131" s="3">
        <f>1869.4+(319.6-331.7)+(-4.76697+(-0.81498--0.845835))+0-318--0.810899999999954</f>
        <v>1535.3747850000002</v>
      </c>
      <c r="K131" s="3">
        <f>1869.5+(238.8-312.3)+(-4.767225+(-0.60894--0.796365))+0-317--0.808349999999954</f>
        <v>1475.22855</v>
      </c>
      <c r="L131" s="3">
        <f>1873.5+(90.4-298.1)+(-4.777425+(-0.23052--0.760155))+0-316.4--0.806819999999954</f>
        <v>1345.9590300000002</v>
      </c>
      <c r="M131" s="3">
        <f>1873+(38.1-319.6)+(-2.86569+(-0.058293--0.488988))+0-315.6--0.482868000000018</f>
        <v>1273.9478730000001</v>
      </c>
      <c r="N131" s="3">
        <f>1861.3+(60.5-373.6)+(-1.898526+(-0.06171--0.381072))+0-316.1--0.32242200000005</f>
        <v>1230.8432579999997</v>
      </c>
      <c r="O131" s="3">
        <f>1859.2+(68.7-401.4)+(-0.948192+(-0.035037--0.204714))+0-317.6--0.161975999999968</f>
        <v>1208.283461</v>
      </c>
      <c r="P131" s="3">
        <f>1860.3+(88.8-396.9)+(0.948753+(0.045288-0.202419))+0-317.4-0.161873999999968</f>
        <v>1235.429748</v>
      </c>
      <c r="Q131" s="3">
        <f>1853+(153.3-380.9)+(0+(0-0))+0-318-0</f>
        <v>1307.4000000000001</v>
      </c>
      <c r="R131" s="3">
        <f>1853.5+(281-392)+(0.945285+(0.14331-0.19992))+0-317.3-0.161822999999968</f>
        <v>1425.9268520000001</v>
      </c>
      <c r="S131" s="3">
        <f>1848.9+(380.6-396.4)+(2.828817+(0.582318-0.606492))+0-316.7-0.484551000000018</f>
        <v>1518.720092</v>
      </c>
      <c r="T131" s="3">
        <f>1673.6+(599.6-378.9)+(-0.853536+(-0.305796--0.193239))+0-317.3--0.161822999999968</f>
        <v>1576.1957299999999</v>
      </c>
      <c r="U131" s="3">
        <f>1603.3+(664.4-344.7)+(-3.270732+(-1.355376--0.703188))+0-316.8--0.646271999999986</f>
        <v>1602.923352</v>
      </c>
      <c r="V131" s="3">
        <f>1621.3+(581-338.2)+(-0.826863+(-0.29631--0.172482))+0-317.1--0.161720999999968</f>
        <v>1546.2110299999999</v>
      </c>
      <c r="W131" s="3">
        <f>1795.6+(243.8-348.3)+(-4.57878+(-0.62169--0.888165))+0-318.5--0.812174999999954</f>
        <v>1369.09987</v>
      </c>
      <c r="X131" s="3">
        <f>1859.1+(6.6-378.8)+(-1.896282+(-0.006732--0.386376))+0-318.6--0.324972000000051</f>
        <v>1167.1083339999998</v>
      </c>
      <c r="Y131" s="3">
        <f>1798+(0-389.8)+(-3.66792+(0--0.795192))+0-319.2--0.651167999999986</f>
        <v>1086.77844</v>
      </c>
      <c r="Z131" s="3">
        <f>1621.6+(327.8-339.8)+(-3.308064+(-0.668712--0.693192))+0-318.2--0.649127999999986</f>
        <v>1288.7655439999999</v>
      </c>
      <c r="AA131" s="3">
        <f>1626+(472-341.7)+(-2.48778+(-0.72216--0.522801))+0-317.8--0.486234000000018</f>
        <v>1436.2990950000001</v>
      </c>
      <c r="AB131" s="3">
        <f>1627.5+(534.2-343.3)+(-2.490075+(-0.817326--0.525249))+0-317.6--0.485928000000018</f>
        <v>1498.503776</v>
      </c>
      <c r="AC131" s="3">
        <f>1627.4+(583.7-339)+(0+(0-0))+0-316.3-0</f>
        <v>1555.8000000000002</v>
      </c>
      <c r="AD131">
        <v>1464.5000000000002</v>
      </c>
      <c r="AE131" s="3">
        <f>1624+(507.8-350.8)+(0+(0-0))+0-316.5-0</f>
        <v>1464.5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1632.8+(585.2-322.7)+(-3.330912+(-1.193808--0.658308))+0-317--0.646679999999986</f>
        <v>1575.0802679999999</v>
      </c>
      <c r="G132" s="3">
        <f>1632+(560.9-306.2)+(-2.49696+(-0.858177--0.468486))+0-317.6--0.485928000000018</f>
        <v>1566.6992770000002</v>
      </c>
      <c r="H132" s="3">
        <f>1631.6+(529.7-296)+(0+(0-0))+0-318.1-0</f>
        <v>1547.1999999999998</v>
      </c>
      <c r="I132" s="3">
        <f>1636.5+(517.4-306.7)+(-3.33846+(-1.055496--0.625668))+0-317.3--0.647291999999986</f>
        <v>1526.779004</v>
      </c>
      <c r="J132" s="3">
        <f>1639.8+(476.9-295)+(-3.345192+(-0.972876--0.6018))+0-317--0.646679999999986</f>
        <v>1501.630412</v>
      </c>
      <c r="K132" s="3">
        <f>1639.8+(399.3-273.7)+(-4.18149+(-1.018215--0.697935))+0-315.8--0.805289999999954</f>
        <v>1445.9035200000001</v>
      </c>
      <c r="L132" s="3">
        <f>1635.9+(254.1-234.9)+(-4.171545+(-0.647955--0.598995))+0-316.1--0.806054999999954</f>
        <v>1335.5855500000002</v>
      </c>
      <c r="M132" s="3">
        <f>1632.9+(205.7-249.5)+(2.498337+(0.314721-0.381735))+0-316.2-0.483786000000018</f>
        <v>1274.8475370000001</v>
      </c>
      <c r="N132" s="3">
        <f>1625.7+(222.3-274.3)+(-0.829107+(-0.113373--0.139893))+0-319--0.162689999999968</f>
        <v>1254.060103</v>
      </c>
      <c r="O132" s="3">
        <f>1615.6+(260.9-303.9)+(0+(0-0))+0-321.6-0</f>
        <v>1251</v>
      </c>
      <c r="P132" s="3">
        <f>1605.2+(314.4-309.1)+(1.637304+(0.320688-0.315282))+0-323.5-0.329970000000052</f>
        <v>1288.3127400000001</v>
      </c>
      <c r="Q132" s="3">
        <f>1612.1+(440.4-315.7)+(1.644342+(0.449208-0.322014))+0-322-0.328440000000051</f>
        <v>1416.2430959999999</v>
      </c>
      <c r="R132" s="3">
        <f>1609.4+(562-324.7)+(1.641588+(0.57324-0.331194))+0-323.8-0.330276000000052</f>
        <v>1524.453358</v>
      </c>
      <c r="S132" s="3">
        <f>1607.9+(700.9-323.9)+(-0.820029+(-0.357459--0.165189))+0-324.4--0.165443999999967</f>
        <v>1659.653145</v>
      </c>
      <c r="T132" s="3">
        <f>1605.1+(746.5-318.4)+(-1.637202+(-0.76143--0.324768))+0-323.3--0.329766000000052</f>
        <v>1708.155902</v>
      </c>
      <c r="U132" s="3">
        <f>1599.1+(737.2-311.7)+(2.446623+(1.127916-0.476901))+0-322.2-0.492966000000019</f>
        <v>1705.0046719999998</v>
      </c>
      <c r="V132" s="3">
        <f>1597.9+(670.3-308.8)+(0+(0-0))+0-320.6-0</f>
        <v>1638.8000000000002</v>
      </c>
      <c r="W132" s="3">
        <f>1594.8+(474-305.9)+(0.813348+(0.24174-0.156009))+0-322.2-0.164321999999967</f>
        <v>1441.4347570000002</v>
      </c>
      <c r="X132" s="3">
        <f>1589.4+(226.3-287.2)+(-2.431782+(-0.346239--0.439416))+0-321.9--0.492507000000019</f>
        <v>1204.7539019999999</v>
      </c>
      <c r="Y132" s="3">
        <f>1603.2+(100.6-277.3)+(-1.635264+(-0.102612--0.282846))+0-298.8--0.304776000000048</f>
        <v>1126.5497459999999</v>
      </c>
      <c r="Z132" s="3">
        <f>1612.8+(407.6-340.3)+(0.822528+(0.207876-0.173553))+0-323.5-0.164984999999967</f>
        <v>1357.291866</v>
      </c>
      <c r="AA132" s="3">
        <f>1620.9+(515.9-326)+(-1.653318+(-0.526218--0.33252))+0-322.8--0.329256000000052</f>
        <v>1486.4822400000003</v>
      </c>
      <c r="AB132" s="3">
        <f>1625.2+(572.6-322.4)+(-1.657704+(-0.584052--0.328848))+0-321.3--0.327726000000051</f>
        <v>1552.5148180000001</v>
      </c>
      <c r="AC132" s="3">
        <f>1627.2+(616.7-309.3)+(1.659744+(0.629034-0.315486))+0-322.7-0.329154000000051</f>
        <v>1613.544138</v>
      </c>
      <c r="AD132">
        <v>1494.8000000000002</v>
      </c>
      <c r="AE132" s="3">
        <f>1620+(513.4-320.2)+(0+(0-0))+0-318.4-0</f>
        <v>1494.8000000000002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1629.8+(582.2-292.8)+(-4.15599+(-1.48461--0.74664))+0-324.9--0.828494999999953</f>
        <v>1590.2345349999998</v>
      </c>
      <c r="G133" s="3">
        <f>1629.4+(548.7-280.2)+(-2.492982+(-0.839511--0.428706))+0-325--0.497250000000019</f>
        <v>1570.4934630000002</v>
      </c>
      <c r="H133" s="3">
        <f>1631.5+(508.2-269.9)+(-4.160325+(-1.29591--0.688245))+0-325.3--0.829514999999953</f>
        <v>1540.5615249999998</v>
      </c>
      <c r="I133" s="3">
        <f>1631.1+(469.1-262.9)+(-3.327444+(-0.956964--0.536316))+0-324.6--0.662183999999986</f>
        <v>1509.614092</v>
      </c>
      <c r="J133" s="3">
        <f>1631.9+(440.2-256.1)+(-2.496807+(-0.673506--0.391833))+0-321.1--0.491283000000019</f>
        <v>1492.6128030000002</v>
      </c>
      <c r="K133" s="3">
        <f>1629.8+(384-247.4)+(-2.493594+(-0.58752--0.378522))+0-321.6--0.492048000000019</f>
        <v>1442.5894559999997</v>
      </c>
      <c r="L133" s="3">
        <f>1633.8+(250.4-236.9)+(-1.666476+(-0.255408--0.241638))+0-320.9--0.327318000000051</f>
        <v>1325.0470720000003</v>
      </c>
      <c r="M133" s="3">
        <f>1629+(178.5-225.5)+(1.66158+(0.18207-0.23001))+0-316.6-0.322932000000051</f>
        <v>1266.6907080000001</v>
      </c>
      <c r="N133" s="3">
        <f>1618+(181.9-248.9)+(-3.30072+(-0.371076--0.507756))+0-319--0.650759999999986</f>
        <v>1229.4867199999999</v>
      </c>
      <c r="O133" s="3">
        <f>1606.5+(210.1-266.8)+(0.819315+(0.107151-0.136068))+0-319.8-0.163097999999968</f>
        <v>1230.6273000000001</v>
      </c>
      <c r="P133" s="3">
        <f>1610.5+(319.8-323.5)+(1.64271+(0.326196-0.32997))+0-320.4-0.326808000000051</f>
        <v>1287.7121279999999</v>
      </c>
      <c r="Q133" s="3">
        <f>1595.4+(443.9-329)+(2.440962+(0.679167-0.50337))+0-322.4-0.493272000000019</f>
        <v>1390.0234870000002</v>
      </c>
      <c r="R133" s="3">
        <f>1591+(630.2-313.7)+(0.81141+(0.321402-0.159987))+0-322-0.164219999999967</f>
        <v>1586.3086050000002</v>
      </c>
      <c r="S133" s="3">
        <f>1590.6+(748.6-287.4)+(-0.811206+(-0.381786--0.146574))+0-317.9--0.162128999999968</f>
        <v>1733.0157110000002</v>
      </c>
      <c r="T133" s="3">
        <f>1590.4+(796.5-289.6)+(0+(0-0))+0-318.1-0</f>
        <v>1779.2000000000003</v>
      </c>
      <c r="U133" s="3">
        <f>1589+(797.6-287.5)+(-2.43117+(-1.220328--0.439875))+0-318.9--0.487917000000018</f>
        <v>1777.4762939999996</v>
      </c>
      <c r="V133" s="3">
        <f>1589.5+(735-292.1)+(-1.62129+(-0.7497--0.297942))+0-321.2--0.327624000000051</f>
        <v>1709.4545760000001</v>
      </c>
      <c r="W133" s="3">
        <f>1592.7+(513.8-296.4)+(-0.812277+(-0.262038--0.151164))+0-322.7--0.164576999999967</f>
        <v>1486.6414259999999</v>
      </c>
      <c r="X133" s="3">
        <f>1585.2+(264-276.3)+(-1.616904+(-0.26928--0.281826))+0-323.7--0.330174000000052</f>
        <v>1247.9258159999999</v>
      </c>
      <c r="Y133" s="3">
        <f>1595.6+(210.5-303.9)+(1.627512+(0.21471-0.309978))+0-318.8-0.325176000000051</f>
        <v>1184.6070679999998</v>
      </c>
      <c r="Z133" s="3">
        <f>1607.5+(502-357.9)+(-0.819825+(-0.25602--0.182529))+0-318.8--0.162587999999968</f>
        <v>1432.069272</v>
      </c>
      <c r="AA133" s="3">
        <f>1618+(595.4-339.8)+(-4.1259+(-1.51827--0.86649))+0-317.4--0.809369999999954</f>
        <v>1552.2316900000001</v>
      </c>
      <c r="AB133" s="3">
        <f>1622.5+(638.7-323.8)+(0.827475+(0.325737-0.165138))+0-317-0.161669999999968</f>
        <v>1621.2264040000002</v>
      </c>
      <c r="AC133" s="3">
        <f>1624.9+(679.2-315.1)+(-0.828699+(-0.346392--0.160701))+0-318--0.162179999999968</f>
        <v>1670.14779</v>
      </c>
      <c r="AD133">
        <v>1480</v>
      </c>
      <c r="AE133" s="3">
        <f>1614+(531.1-348)+(0+(0-0))+0-317.1-0</f>
        <v>1480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1637+(642.1-310.6)+(-4.17435+(-1.637355--0.79203))+0-323.3--0.824414999999953</f>
        <v>1641.0047400000001</v>
      </c>
      <c r="G134" s="3">
        <f>1637.4+(604.8-292.2)+(-3.340296+(-1.233792--0.596088))+0-326.3--0.665651999999986</f>
        <v>1620.3876519999999</v>
      </c>
      <c r="H134" s="3">
        <f>1638.5+(571.5-281.1)+(-5.849445+(-2.040255--1.003527))+0-324--1.15668</f>
        <v>1599.170507</v>
      </c>
      <c r="I134" s="3">
        <f>1637+(541.3-272)+(-0.83487+(-0.276063--0.13872))+0-324.8--0.165647999999967</f>
        <v>1580.6934349999999</v>
      </c>
      <c r="J134" s="3">
        <f>1634.9+(505.3-266.5)+(-0.833799+(-0.257703--0.135915))+0-323.4--0.164933999999967</f>
        <v>1549.5093470000002</v>
      </c>
      <c r="K134" s="3">
        <f>1634.2+(442.5-270)+(-0.833442+(-0.225675--0.1377))+0-320.4--0.163403999999967</f>
        <v>1485.5419870000001</v>
      </c>
      <c r="L134" s="3">
        <f>1628.1+(328.9-223.9)+(-1.660662+(-0.335478--0.228378))+0-319.9--0.326298000000051</f>
        <v>1411.7585359999998</v>
      </c>
      <c r="M134" s="3">
        <f>1622.5+(314-248.2)+(2.482425+(0.48042-0.379746))+0-319.1-0.488223000000018</f>
        <v>1371.2948759999997</v>
      </c>
      <c r="N134" s="3">
        <f>1610.3+(345-279.4)+(-0.821253+(-0.17595--0.142494))+0-320.5--0.163454999999967</f>
        <v>1354.708746</v>
      </c>
      <c r="O134" s="3">
        <f>1600.2+(354-292.8)+(2.448306+(0.54162-0.447984))+0-320-0.489600000000018</f>
        <v>1343.452342</v>
      </c>
      <c r="P134" s="3">
        <f>1589.7+(419.5-315.6)+(1.621494+(0.42789-0.321912))+0-322.5-0.328950000000051</f>
        <v>1372.4985219999999</v>
      </c>
      <c r="Q134" s="3">
        <f>1584.6+(544.1-332.3)+(1.616292+(0.554982-0.338946))+0-321.6-0.328032000000051</f>
        <v>1476.3042959999996</v>
      </c>
      <c r="R134" s="3">
        <f>1584.2+(640.1-327.7)+(0+(0-0))+0-320.8-0</f>
        <v>1575.8000000000002</v>
      </c>
      <c r="S134" s="3">
        <f>1584.8+(772.3-334.3)+(-0.808248+(-0.393873--0.170493))+0-319.8--0.163097999999968</f>
        <v>1702.13147</v>
      </c>
      <c r="T134" s="3">
        <f>1580.7+(799.5-310.2)+(-1.612314+(-0.81549--0.316404))+0-317.5--0.323850000000051</f>
        <v>1750.7124500000002</v>
      </c>
      <c r="U134" s="3">
        <f>1581.2+(791.6-309.3)+(-3.225648+(-1.614864--0.630972))+0-318.4--0.649535999999986</f>
        <v>1741.539996</v>
      </c>
      <c r="V134" s="3">
        <f>1577.7+(731.9-316.1)+(-0.804627+(-0.373269--0.161211))+0-322--0.164219999999967</f>
        <v>1670.6475349999998</v>
      </c>
      <c r="W134" s="3">
        <f>1581+(538.8-308)+(-1.61262+(-0.549576--0.31416))+0-321.9--0.328338000000051</f>
        <v>1488.3803019999998</v>
      </c>
      <c r="X134" s="3">
        <f>1586.9+(314.1-291.7)+(-2.427957+(-0.480573--0.446301))+0-320.8--0.490824000000019</f>
        <v>1286.5285950000002</v>
      </c>
      <c r="Y134" s="3">
        <f>1612.2+(285.6-318.1)+(1.644444+(0.291312-0.324462))+0-318.7-0.325074000000051</f>
        <v>1262.28622</v>
      </c>
      <c r="Z134" s="3">
        <f>1630.1+(546-336.5)+(0.831351+(0.27846-0.171615))+0-317.7-0.162026999999968</f>
        <v>1522.6761689999998</v>
      </c>
      <c r="AA134" s="3">
        <f>1634+(607.2-340.9)+(-0.83334+(-0.309672--0.173859))+0-317.4--0.161873999999968</f>
        <v>1582.092721</v>
      </c>
      <c r="AB134" s="3">
        <f>1625.4+(632.1-343.5)+(-1.657908+(-0.644742--0.35037))+0-317--0.323340000000051</f>
        <v>1595.3710600000002</v>
      </c>
      <c r="AC134" s="3">
        <f>1619.4+(645.6-332.9)+(0.825894+(0.329256-0.169779))+0-316.8-0.161567999999968</f>
        <v>1616.1238030000002</v>
      </c>
      <c r="AD134">
        <v>1582.6</v>
      </c>
      <c r="AE134" s="3">
        <f>1633+(612.4-345.7)+(0+(0-0))+0-317.1-0</f>
        <v>1582.6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1628.5+(620.9-311.2)+(0.830535+(0.316659-0.158712))+0-317.4-0.161873999999968</f>
        <v>1621.626608</v>
      </c>
      <c r="G135" s="3">
        <f>1631.5+(583.7-294.2)+(-3.32826+(-1.190748--0.600168))+0-318.8--0.650351999999986</f>
        <v>1598.9315119999999</v>
      </c>
      <c r="H135" s="3">
        <f>1630.8+(552-275.3)+(-0.831708+(-0.28152--0.140403))+0-318.5--0.162434999999968</f>
        <v>1588.1896099999999</v>
      </c>
      <c r="I135" s="3">
        <f>1631.1+(528.1-274)+(2.495583+(0.807993-0.41922))+0-317.7-0.486081000000018</f>
        <v>1569.8982749999998</v>
      </c>
      <c r="J135" s="3">
        <f>1630.4+(503.5-267.2)+(-0.831504+(-0.256785--0.136272))+0-318.2--0.162281999999968</f>
        <v>1547.7102649999999</v>
      </c>
      <c r="K135" s="3">
        <f>1629.7+(429-264.4)+(0+(0-0))+0-318.3-0</f>
        <v>1476.0000000000002</v>
      </c>
      <c r="L135" s="3">
        <f>1625.8+(310-254)+(-1.658316+(-0.3162--0.25908))+0-316.8--0.323136000000051</f>
        <v>1363.6077</v>
      </c>
      <c r="M135" s="3">
        <f>1614.2+(276.1-264.7)+(0+(0-0))+0-316.5-0</f>
        <v>1309.1000000000001</v>
      </c>
      <c r="N135" s="3">
        <f>1604.9+(313.5-300.4)+(0.818499+(0.159885-0.153204))+0-318.4-0.162383999999968</f>
        <v>1300.2627960000002</v>
      </c>
      <c r="O135" s="3">
        <f>1595.8+(339.3-315)+(3.255432+(0.692172-0.6426))+0-319.3-0.651371999999986</f>
        <v>1303.453632</v>
      </c>
      <c r="P135" s="3">
        <f>1583.7+(408.4-330.1)+(1.615374+(0.416568-0.336702))+0-319.5-0.325890000000051</f>
        <v>1343.8693499999999</v>
      </c>
      <c r="Q135" s="3">
        <f>1572.9+(519.2-341.5)+(1.604358+(0.529584-0.34833))+0-320.2-0.326604000000051</f>
        <v>1431.8590079999999</v>
      </c>
      <c r="R135" s="3">
        <f>1571.1+(706.6-327.7)+(-2.403783+(-1.081098--0.501381))+0-319.3--0.488529000000018</f>
        <v>1628.205029</v>
      </c>
      <c r="S135" s="3">
        <f>1574.7+(809.2-312.2)+(-1.606194+(-0.825384--0.318444))+0-320.3--0.326706000000051</f>
        <v>1749.6135720000002</v>
      </c>
      <c r="T135" s="3">
        <f>1574.4+(861.7-315.9)+(0+(0-0))+0-319.2-0</f>
        <v>1801.0000000000002</v>
      </c>
      <c r="U135" s="3">
        <f>1576.3+(836.5-286.8)+(-1.607826+(-0.85323--0.292536))+0-319.7--0.326094000000051</f>
        <v>1804.4575739999998</v>
      </c>
      <c r="V135" s="3">
        <f>1578.1+(786.5-295.9)+(2.414493+(1.203345-0.452727))+0-322.4-0.493272000000019</f>
        <v>1748.9718389999996</v>
      </c>
      <c r="W135" s="3">
        <f>1573+(609.8-308.5)+(-2.40669+(-0.932994--0.472005))+0-322.4--0.493272000000019</f>
        <v>1549.5255930000001</v>
      </c>
      <c r="X135" s="3">
        <f>1567.4+(394.5-296.5)+(-3.197496+(-0.80478--0.60486))+0-323.1--0.659123999999986</f>
        <v>1339.561708</v>
      </c>
      <c r="Y135" s="3">
        <f>1577.6+(396-316.3)+(0.804576+(0.20196-0.161313))+0-323.1-0.164780999999967</f>
        <v>1334.8804420000001</v>
      </c>
      <c r="Z135" s="3">
        <f>1606.9+(645.3-346.1)+(0.819519+(0.329103-0.176511))+0-323.9-0.165188999999967</f>
        <v>1583.0069219999998</v>
      </c>
      <c r="AA135" s="3">
        <f>1620.1+(688.1-342.2)+(-4.131255+(-1.754655--0.87261))+0-322.4--0.822119999999953</f>
        <v>1639.4088199999999</v>
      </c>
      <c r="AB135" s="3">
        <f>1620.3+(705.2-336.9)+(-1.652706+(-0.719304--0.343638))+0-322.8--0.329256000000052</f>
        <v>1664.100884</v>
      </c>
      <c r="AC135" s="3">
        <f>1621.6+(721.6-322.4)+(-0.827016+(-0.368016--0.164424))+0-321.1--0.163760999999967</f>
        <v>1698.8331529999998</v>
      </c>
      <c r="AD135">
        <v>1589.0999999999997</v>
      </c>
      <c r="AE135" s="3">
        <f>1628+(637.2-352.4)+(0+(0-0))+0-323.7-0</f>
        <v>1589.1000000000001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1628.8+(665.5-322.4)+(-0.830688+(-0.339405--0.164424))+0-321.3--0.163862999999967</f>
        <v>1649.7581940000002</v>
      </c>
      <c r="G136" s="3">
        <f>1633.4+(629.8-307.3)+(-4.16517+(-1.60599--0.783615))+0-323.6--0.825179999999953</f>
        <v>1628.1376350000003</v>
      </c>
      <c r="H136" s="3">
        <f>1634.9+(629.7-326.4)+(-1.667598+(-0.642294--0.332928))+0-323.2--0.329664000000052</f>
        <v>1613.3527000000004</v>
      </c>
      <c r="I136" s="3">
        <f>1635.7+(592.5-317.8)+(0.834207+(0.302175-0.162078))+0-322.3-0.164372999999967</f>
        <v>1588.9099310000001</v>
      </c>
      <c r="J136" s="3">
        <f>1635+(571.5-329.7)+(-0.83385+(-0.291465--0.168147))+0-322.2--0.164321999999967</f>
        <v>1553.8071539999999</v>
      </c>
      <c r="K136" s="3">
        <f>1633.2+(499.7-320.3)+(-0.832932+(-0.254847--0.163353))+0-322.3--0.164372999999967</f>
        <v>1489.539947</v>
      </c>
      <c r="L136" s="3">
        <f>1631.3+(368.1-325.8)+(-2.495889+(-0.563193--0.498474))+0-319.8--0.489294000000018</f>
        <v>1351.7286859999999</v>
      </c>
      <c r="M136" s="3">
        <f>1623+(312.2-327.9)+(0.82773+(0.159222-0.167229))+0-317-0.161669999999968</f>
        <v>1290.9580530000001</v>
      </c>
      <c r="N136" s="3">
        <f>1607.6+(351.7-334.6)+(0+(0-0))+0-318.4-0</f>
        <v>1306.2999999999997</v>
      </c>
      <c r="O136" s="3">
        <f>1590.7+(393.4-340.6)+(2.433771+(0.601902-0.521118))+0-322-0.492660000000019</f>
        <v>1323.5218949999999</v>
      </c>
      <c r="P136" s="3">
        <f>1575+(479.2-351)+(1.6065+(0.488784-0.35802))+0-323.1-0.329562000000052</f>
        <v>1381.5077020000001</v>
      </c>
      <c r="Q136" s="3">
        <f>1585.9+(579.8-361.6)+(2.426427+(0.887094-0.553248))+0-322.5-0.493425000000019</f>
        <v>1483.8668479999999</v>
      </c>
      <c r="R136" s="3">
        <f>1583.2+(782.6-364)+(-0.807432+(-0.399126--0.18564))+0-322.4--0.164423999999967</f>
        <v>1678.5435060000004</v>
      </c>
      <c r="S136" s="3">
        <f>1583.7+(862.7-331.3)+(-0.807687+(-0.439977--0.168963))+0-321--0.163709999999967</f>
        <v>1793.1850090000005</v>
      </c>
      <c r="T136" s="3">
        <f>1584+(870.3-317.5)+(0.80784+(0.443853-0.161925))+0-322.7-0.164576999999967</f>
        <v>1815.0251909999999</v>
      </c>
      <c r="U136" s="3">
        <f>1580.3+(757.8-293.8)+(0.805953+(0.386478-0.149838))+0-322.4-0.164423999999967</f>
        <v>1722.7781689999997</v>
      </c>
      <c r="V136" s="3">
        <f>1580.1+(764.7-318.9)+(-0.805851+(-0.389997--0.162639))+0-322.1--0.164270999999967</f>
        <v>1702.9310619999999</v>
      </c>
      <c r="W136" s="3">
        <f>1575.3+(619.8-311.5)+(-2.410209+(-0.948294--0.476595))+0-322.9--0.494037000000019</f>
        <v>1558.3121289999999</v>
      </c>
      <c r="X136" s="3">
        <f>1577.5+(394.6-294.3)+(-0.804525+(-0.201246--0.150093))+0-323.5--0.164984999999967</f>
        <v>1353.6093069999999</v>
      </c>
      <c r="Y136" s="3">
        <f>1627.2+(343.5-312.9)+(-1.659744+(-0.35037--0.319158))+0-321.6--0.328032000000051</f>
        <v>1334.8370760000005</v>
      </c>
      <c r="Z136" s="3">
        <f>1753.4+(531.9-377.2)+(-1.788468+(-0.542538--0.384744))+0-321.8--0.328236000000051</f>
        <v>1584.6819740000003</v>
      </c>
      <c r="AA136" s="3">
        <f>1839.6+(518.4-387.9)+(-2.814588+(-0.793152--0.593487))+0-322--0.492660000000019</f>
        <v>1645.578407</v>
      </c>
      <c r="AB136" s="3">
        <f>1860.9+(523.2-388.5)+(0.949059+(0.266832-0.198135))+0-320.2-0.163301999999968</f>
        <v>1676.2544540000001</v>
      </c>
      <c r="AC136" s="3">
        <f>1865.5+(555.3-382.2)+(-0.951405+(-0.283203--0.194922))+0-321.4--0.163913999999967</f>
        <v>1716.3242279999997</v>
      </c>
      <c r="AD136">
        <v>1575.7</v>
      </c>
      <c r="AE136" s="3">
        <f>1762+(522-382.3)+(0+(0-0))+0-326-0</f>
        <v>1575.7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1877+(498.1-382.3)+(0+(0-0))+0-321.6-0</f>
        <v>1671.1999999999998</v>
      </c>
      <c r="G137" s="3">
        <f>1874.4+(453.2-366.5)+(-0.955944+(-0.231132--0.186915))+0-321.8--0.164117999999967</f>
        <v>1638.4639570000002</v>
      </c>
      <c r="H137" s="3">
        <f>1876.4+(403.7-354.8)+(-1.913928+(-0.411774--0.361896))+0-323.7--0.330174000000052</f>
        <v>1599.9663680000001</v>
      </c>
      <c r="I137" s="3">
        <f>1878.9+(384.2-358.7)+(-1.916478+(-0.391884--0.365874))+0-322.1--0.328542000000051</f>
        <v>1580.686054</v>
      </c>
      <c r="J137" s="3">
        <f>1884.3+(349.4-350.8)+(-3.843972+(-0.712776--0.715632))+0-321.3--0.655451999999986</f>
        <v>1558.4143359999998</v>
      </c>
      <c r="K137" s="3">
        <f>1885.5+(265.3-342.4)+(-3.84642+(-0.541212--0.698496))+0-321--0.654839999999986</f>
        <v>1484.3657040000001</v>
      </c>
      <c r="L137" s="3">
        <f>1883.6+(132.8-295.1)+(-3.842544+(-0.270912--0.602004))+0-321.1--0.655043999999986</f>
        <v>1397.3435920000002</v>
      </c>
      <c r="M137" s="3">
        <f>1877.7+(104.5-316.7)+(4.788135+(0.266475-0.807585))+0-316.7-0.807584999999954</f>
        <v>1352.2394399999998</v>
      </c>
      <c r="N137" s="3">
        <f>1864.1+(182.1-350.4)+(1.901382+(0.185742-0.357408))+0-316.8-0.323136000000051</f>
        <v>1380.4065800000001</v>
      </c>
      <c r="O137" s="3">
        <f>1851.3+(263.6-404.1)+(1.888326+(0.268872-0.412182))+0-320.8-0.327216000000051</f>
        <v>1391.4177999999999</v>
      </c>
      <c r="P137" s="3">
        <f>1835.5+(301.1-419.5)+(2.808315+(0.460683-0.641835))+0-321.7-0.492201000000019</f>
        <v>1397.534962</v>
      </c>
      <c r="Q137" s="3">
        <f>1816.1+(395.9-404.3)+(3.704844+(0.807636-0.824772))+0-322.6-0.658103999999986</f>
        <v>1488.1296039999997</v>
      </c>
      <c r="R137" s="3">
        <f>1840.7+(518.9-407.8)+(1.877514+(0.529278-0.415956))+0-321.5-0.327930000000051</f>
        <v>1631.9629059999997</v>
      </c>
      <c r="S137" s="3">
        <f>1845+(606.4-382)+(-0.94095+(-0.309264--0.19482))+0-317.5--0.161924999999968</f>
        <v>1751.006531</v>
      </c>
      <c r="T137" s="3">
        <f>1845.2+(643.1-360.1)+(-0.941052+(-0.327981--0.183651))+0-320.1--0.163250999999968</f>
        <v>1807.1778689999996</v>
      </c>
      <c r="U137" s="3">
        <f>1850.1+(625.2-348.2)+(-3.774204+(-1.275408--0.710328))+0-319.7--0.652187999999986</f>
        <v>1803.7129039999998</v>
      </c>
      <c r="V137" s="3">
        <f>1857.2+(557.7-369.8)+(0.947172+(0.284427-0.188598))+0-321.4-0.163913999999967</f>
        <v>1724.5790870000003</v>
      </c>
      <c r="W137" s="3">
        <f>1860.3+(365.7-364.9)+(-2.846259+(-0.559521--0.558297))+0-320.9--0.490977000000019</f>
        <v>1537.8434939999997</v>
      </c>
      <c r="X137" s="3">
        <f>1850.5+(212.3-408.2)+(-1.88751+(-0.216546--0.416364))+0-318.6--0.324972000000051</f>
        <v>1334.6372800000001</v>
      </c>
      <c r="Y137" s="3">
        <f>1842.4+(231.7-432.3)+(0+(0-0))+0-318.5-0</f>
        <v>1323.3000000000002</v>
      </c>
      <c r="Z137" s="3">
        <f>1865.7+(405.4-397.3)+(-1.903014+(-0.413508--0.405246))+0-320.1--0.326502000000051</f>
        <v>1552.1152260000001</v>
      </c>
      <c r="AA137" s="3">
        <f>1882.7+(448.6-390.3)+(-4.800885+(-1.14393--0.995265))+0-322.1--0.821354999999953</f>
        <v>1614.7718049999999</v>
      </c>
      <c r="AB137" s="3">
        <f>1887.5+(488.8-412.4)+(-1.92525+(-0.498576--0.420648))+0-320.7--0.327114000000051</f>
        <v>1641.523936</v>
      </c>
      <c r="AC137" s="3">
        <f>1884.1+(514.2-399)+(-1.921782+(-0.524484--0.40698))+0-319.5--0.325890000000051</f>
        <v>1678.0866040000001</v>
      </c>
      <c r="AD137">
        <v>1543.3000000000002</v>
      </c>
      <c r="AE137" s="3">
        <f>1866+(402-404.6)+(0+(0-0))+0-320.1-0</f>
        <v>1543.3000000000002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1863.3+(481.9-394.8)+(-0.950283+(-0.245769--0.201348))+0-320.2--0.163301999999968</f>
        <v>1629.3685979999998</v>
      </c>
      <c r="G138" s="3">
        <f>1865.9+(470.5-388.4)+(-1.903218+(-0.47991--0.396168))+0-321.8--0.328236000000051</f>
        <v>1624.5412760000002</v>
      </c>
      <c r="H138" s="3">
        <f>1869.5+(441.3-385.2)+(-5.72067+(-1.350378--1.178712))+0-321.7--0.984402000000037</f>
        <v>1598.992066</v>
      </c>
      <c r="I138" s="3">
        <f>1871.9+(412.8-378.2)+(1.909338+(0.421056-0.385764))+0-321.1-0.327522000000051</f>
        <v>1587.017108</v>
      </c>
      <c r="J138" s="3">
        <f>1874.1+(372.9-370.3)+(-0.955791+(-0.190179--0.188853))+0-320.3--0.163352999999968</f>
        <v>1555.6062359999999</v>
      </c>
      <c r="K138" s="3">
        <f>1877.3+(290.2-344.7)+(-0.957423+(-0.148002--0.175797))+0-317.7--0.162026999999968</f>
        <v>1504.3323989999999</v>
      </c>
      <c r="L138" s="3">
        <f>1876+(201.5-355.3)+(-3.82704+(-0.41106--0.724812))+0-316--0.644639999999986</f>
        <v>1403.3313519999999</v>
      </c>
      <c r="M138" s="3">
        <f>1867.9+(150.8-355.4)+(-3.810516+(-0.307632--0.725016))+0-315.2--0.643007999999986</f>
        <v>1345.3498760000002</v>
      </c>
      <c r="N138" s="3">
        <f>1860.1+(153.6-373.6)+(0+(0-0))+0-315.6-0</f>
        <v>1324.5</v>
      </c>
      <c r="O138" s="3">
        <f>1849.5+(173.2-397.9)+(0+(0-0))+0-317.4-0</f>
        <v>1307.4000000000001</v>
      </c>
      <c r="P138" s="3">
        <f>1834.4+(224.6-398.7)+(-1.871088+(-0.229092--0.406674))+0-318.6--0.324972000000051</f>
        <v>1340.3314660000003</v>
      </c>
      <c r="Q138" s="3">
        <f>1821.9+(303.8-403.8)+(1.858338+(0.309876-0.411876))+0-319.5-0.325890000000051</f>
        <v>1403.8304479999999</v>
      </c>
      <c r="R138" s="3">
        <f>1818.6+(478.1-398.4)+(-1.854972+(-0.487662--0.406368))+0-317.6--0.323952000000051</f>
        <v>1579.0876860000001</v>
      </c>
      <c r="S138" s="3">
        <f>1819.2+(566.7-391.3)+(0.927792+(0.289017-0.199563))+0-317.6-0.161975999999968</f>
        <v>1677.8552700000005</v>
      </c>
      <c r="T138" s="3">
        <f>1821.4+(601.6-353.4)+(-0.928914+(-0.306816--0.180234))+0-316.6--0.161465999999968</f>
        <v>1752.1059700000005</v>
      </c>
      <c r="U138" s="3">
        <f>1826+(601.8-346.7)+(-0.93126+(-0.306918--0.176817))+0-316.4--0.161363999999968</f>
        <v>1763.8000029999998</v>
      </c>
      <c r="V138" s="3">
        <f>1827.8+(538.5-346.7)+(0+(0-0))+0-317.7-0</f>
        <v>1701.8999999999999</v>
      </c>
      <c r="W138" s="3">
        <f>1833+(352.1-345.1)+(-3.73932+(-0.718284--0.704004))+0-319.2--0.651167999999986</f>
        <v>1517.697568</v>
      </c>
      <c r="X138" s="3">
        <f>1838.8+(185.1-376.8)+(-1.875576+(-0.188802--0.384336))+0-319.6--0.325992000000051</f>
        <v>1326.1459500000001</v>
      </c>
      <c r="Y138" s="3">
        <f>1840.9+(192.4-413.5)+(-1.877718+(-0.196248--0.42177))+0-318.5--0.324870000000051</f>
        <v>1299.9726740000003</v>
      </c>
      <c r="Z138" s="3">
        <f>1835.2+(360.6-401.1)+(-1.871904+(-0.367812--0.409122))+0-318.8--0.325176000000051</f>
        <v>1474.3945820000001</v>
      </c>
      <c r="AA138" s="3">
        <f>1854.4+(387.1-377.6)+(-2.837232+(-0.592263--0.577728))+0-317.1--0.485163000000018</f>
        <v>1544.4333960000001</v>
      </c>
      <c r="AB138" s="3">
        <f>1862.7+(442.4-374.9)+(-1.899954+(-0.451248--0.382398))+0-317.1--0.323442000000051</f>
        <v>1611.4546379999999</v>
      </c>
      <c r="AC138" s="3">
        <f>1867.1+(492.5-376.5)+(0.952221+(0.251175-0.192015))+0-316.7-0.161516999999968</f>
        <v>1667.2498639999999</v>
      </c>
      <c r="AD138">
        <v>1585.3000000000002</v>
      </c>
      <c r="AE138" s="3">
        <f>1877+(416.9-392.1)+(0+(0-0))+0-316.5-0</f>
        <v>1585.3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1867.5+(486.2-397.7)+(0+(0-0))+0-317.5-0</f>
        <v>1638.5</v>
      </c>
      <c r="G139" s="3">
        <f>1869.6+(443.2-359.1)+(-0.953496+(-0.226032--0.183141))+0-317.4--0.161873999999968</f>
        <v>1635.4654869999999</v>
      </c>
      <c r="H139" s="3">
        <f>1872.4+(404.3-344.3)+(-0.954924+(-0.206193--0.175593))+0-317.3--0.161822999999968</f>
        <v>1614.2762990000001</v>
      </c>
      <c r="I139" s="3">
        <f>1876.8+(373.3-337)+(-1.914336+(-0.380766--0.34374))+0-317.7--0.324054000000051</f>
        <v>1593.772692</v>
      </c>
      <c r="J139" s="3">
        <f>1878.3+(347.7-324.6)+(-2.873799+(-0.531981--0.496638))+0-317.2--0.485316000000018</f>
        <v>1581.7761739999999</v>
      </c>
      <c r="K139" s="3">
        <f>1873.6+(281.5-312.6)+(-2.866608+(-0.430695--0.478278))+0-316.9--0.484857000000018</f>
        <v>1523.265832</v>
      </c>
      <c r="L139" s="3">
        <f>1874.1+(171-300.3)+(-0.955791+(-0.08721--0.153153))+0-316.1--0.161210999999968</f>
        <v>1427.9713629999999</v>
      </c>
      <c r="M139" s="3">
        <f>1869.9+(133.4-313.3)+(1.907298+(0.136068-0.319566))+0-318.9-0.325278000000051</f>
        <v>1372.4985220000001</v>
      </c>
      <c r="N139" s="3">
        <f>1861.7+(170.4-338.3)+(2.848401+(0.260712-0.517599))+0-321-0.491130000000019</f>
        <v>1374.9003839999998</v>
      </c>
      <c r="O139" s="3">
        <f>1866.6+(195.9-362.4)+(0.951966+(0.099909-0.184824))+0-321.9-0.164168999999967</f>
        <v>1378.9028820000001</v>
      </c>
      <c r="P139" s="3">
        <f>1840.2+(249-364.5)+(0+(0-0))+0-322.8-0</f>
        <v>1401.9</v>
      </c>
      <c r="Q139" s="3">
        <f>1823.8+(356.5-383.4)+(0.930138+(0.181815-0.195534))+0-322.9-0.164678999999967</f>
        <v>1474.7517400000002</v>
      </c>
      <c r="R139" s="3">
        <f>1826.7+(537.6-386.4)+(0.931617+(0.274176-0.197064))+0-322.5-0.164474999999967</f>
        <v>1656.244254</v>
      </c>
      <c r="S139" s="3">
        <f>1832.4+(643.4-363)+(-0.934524+(-0.328134--0.18513))+0-321.3--0.163862999999967</f>
        <v>1790.5863350000004</v>
      </c>
      <c r="T139" s="3">
        <f>1833+(674.9-350)+(0.93483+(0.344199-0.1785))+0-321.4-0.163913999999967</f>
        <v>1837.4366149999998</v>
      </c>
      <c r="U139" s="3">
        <f>1830.9+(647.7-341.5)+(-2.801277+(-0.990981--0.522495))+0-322.4--0.493272000000019</f>
        <v>1811.9235090000004</v>
      </c>
      <c r="V139" s="3">
        <f>1821.3+(573.3-336)+(-0.928863+(-0.292383--0.17136))+0-322.1--0.164270999999967</f>
        <v>1735.6143850000001</v>
      </c>
      <c r="W139" s="3">
        <f>1820.2+(385-339)+(-3.713208+(-0.7854--0.69156))+0-322.6--0.658103999999986</f>
        <v>1540.4510560000003</v>
      </c>
      <c r="X139" s="3">
        <f>1817.8+(207.7-354.3)+(0+(0-0))+0-322.9-0</f>
        <v>1348.2999999999997</v>
      </c>
      <c r="Y139" s="3">
        <f>1812.2+(229.6-358.3)+(2.772666+(0.351288-0.548199))+0-322.6-0.493578000000019</f>
        <v>1362.9821769999999</v>
      </c>
      <c r="Z139" s="3">
        <f>1830.2+(445.7-374.7)+(0.933402+(0.227307-0.191097))+0-322.3-0.164372999999967</f>
        <v>1579.7052390000001</v>
      </c>
      <c r="AA139" s="3">
        <f>1837.5+(484.4-361.6)+(-2.811375+(-0.741132--0.553248))+0-322--0.492660000000019</f>
        <v>1635.7934010000001</v>
      </c>
      <c r="AB139" s="3">
        <f>1847+(498.8-363.8)+(2.82591+(0.763164-0.556614))+0-321.1-0.491283000000019</f>
        <v>1663.4411769999999</v>
      </c>
      <c r="AC139" s="3">
        <f>1847.1+(542.8-359.6)+(-0.942021+(-0.276828--0.183396))+0-320.8--0.163607999999967</f>
        <v>1708.6281549999999</v>
      </c>
      <c r="AD139">
        <v>1553.5</v>
      </c>
      <c r="AE139" s="3">
        <f>1828+(439.5-390.9)+(0+(0-0))+0-323.1-0</f>
        <v>1553.5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1858.2+(514.2-374.6)+(0.947682+(0.262242-0.191046))+0-321.8-0.164117999999967</f>
        <v>1676.8547600000004</v>
      </c>
      <c r="G140" s="3">
        <f>1846.5+(499.7-372.9)+(0+(0-0))+0-322.5-0</f>
        <v>1650.8</v>
      </c>
      <c r="H140" s="3">
        <f>1846.7+(469.4-357.8)+(2.825451+(0.718182-0.547434))+0-322-0.492660000000019</f>
        <v>1638.8035389999998</v>
      </c>
      <c r="I140" s="3">
        <f>1847.8+(442.8-350.6)+(0+(0-0))+0-320.5-0</f>
        <v>1619.5</v>
      </c>
      <c r="J140" s="3">
        <f>1846+(413.1-341.8)+(0.94146+(0.210681-0.174318))+0-317.9-0.162128999999968</f>
        <v>1600.2156939999998</v>
      </c>
      <c r="K140" s="3">
        <f>1851+(328.3-332.2)+(-0.94401+(-0.167433--0.169422))+0-317.2--0.161771999999968</f>
        <v>1529.1197509999997</v>
      </c>
      <c r="L140" s="3">
        <f>1858.7+(204-329.2)+(-6.635559+(-0.72828--1.175244))+0-317--1.13169</f>
        <v>1411.4430949999999</v>
      </c>
      <c r="M140" s="3">
        <f>1849.4+(144.5-325.3)+(0.943194+(0.073695-0.165903))+0-316.7-0.161516999999968</f>
        <v>1352.589469</v>
      </c>
      <c r="N140" s="3">
        <f>1830.1+(169.4-335.7)+(1.866702+(0.172788-0.342414))+0-317.7-0.324054000000051</f>
        <v>1347.4730219999997</v>
      </c>
      <c r="O140" s="3">
        <f>1823+(216.9-369.5)+(0.92973+(0.110619-0.188445))+0-319.1-0.162740999999968</f>
        <v>1351.9891630000004</v>
      </c>
      <c r="P140" s="3">
        <f>1809.8+(286-393.5)+(1.845996+(0.29172-0.40137))+0-319.1-0.325482000000051</f>
        <v>1384.610864</v>
      </c>
      <c r="Q140" s="3">
        <f>1797.8+(400.8-410.5)+(-0.916878+(-0.204408--0.209355))+0-321.2--0.163811999999967</f>
        <v>1466.1518809999998</v>
      </c>
      <c r="R140" s="3">
        <f>1737.7+(617.5-386.8)+(0+(0-0))+0-320-0</f>
        <v>1648.4</v>
      </c>
      <c r="S140" s="3">
        <f>1701.3+(717.5-333.7)+(-4.338315+(-1.829625--0.850935))+0-320.1--0.816254999999954</f>
        <v>1760.4992500000001</v>
      </c>
      <c r="T140" s="3">
        <f>1701.8+(733.2-343.1)+(-1.735836+(-0.747864--0.349962))+0-320--0.326400000000051</f>
        <v>1770.0926620000002</v>
      </c>
      <c r="U140" s="3">
        <f>1723.9+(686.6-315.5)+(-0.879189+(-0.350166--0.160905))+0-319.7--0.163046999999968</f>
        <v>1774.3945969999997</v>
      </c>
      <c r="V140" s="3">
        <f>1777.4+(633.8-344.9)+(2.719422+(0.969714-0.527697))+0-321.2-0.491436000000019</f>
        <v>1747.7700030000001</v>
      </c>
      <c r="W140" s="3">
        <f>1783+(450.4-355.8)+(-0.90933+(-0.229704--0.181458))+0-320.8--0.163607999999967</f>
        <v>1556.006032</v>
      </c>
      <c r="X140" s="3">
        <f>1794.9+(242.9-351.3)+(-3.661596+(-0.495516--0.716652))+0-321.2--0.655247999999986</f>
        <v>1362.514788</v>
      </c>
      <c r="Y140" s="3">
        <f>1803.6+(264.6-372.5)+(-2.759508+(-0.404838--0.569925))+0-320.4--0.490212000000018</f>
        <v>1373.1957909999999</v>
      </c>
      <c r="Z140" s="3">
        <f>1823.1+(477.6-396.4)+(-0.929781+(-0.243576--0.202164))+0-320--0.163199999999968</f>
        <v>1583.4920069999998</v>
      </c>
      <c r="AA140" s="3">
        <f>1839.2+(534.6-400.7)+(-3.751968+(-1.090584--0.817428))+0-319.9--0.652595999999986</f>
        <v>1649.8274719999999</v>
      </c>
      <c r="AB140" s="3">
        <f>1838.7+(577.3-400.7)+(-1.875474+(-0.588846--0.408714))+0-319.4--0.325788000000051</f>
        <v>1694.1701820000003</v>
      </c>
      <c r="AC140" s="3">
        <f>1844+(600.1-376.8)+(0+(0-0))+0-318.6-0</f>
        <v>1748.7000000000003</v>
      </c>
      <c r="AD140">
        <v>1581.7000000000003</v>
      </c>
      <c r="AE140" s="3">
        <f>1837+(481.9-417.1)+(0+(0-0))+0-320.1-0</f>
        <v>1581.6999999999998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1828.9+(581.7-347)+(-5.596434+(-1.780002--1.06182))+0-319.6--0.977976000000037</f>
        <v>1738.6633600000005</v>
      </c>
      <c r="G141" s="3">
        <f>1827.2+(539.4-323.8)+(-4.65936+(-1.37547--0.82569))+0-320.2--0.816509999999954</f>
        <v>1718.2073699999999</v>
      </c>
      <c r="H141" s="3">
        <f>1826.6+(524.8-334.5)+(-0.931566+(-0.267648--0.170595))+0-320--0.163199999999968</f>
        <v>1696.0345809999999</v>
      </c>
      <c r="I141" s="3">
        <f>1834.6+(531.5-364.4)+(0.935646+(0.271065-0.185844))+0-320.1-0.163250999999968</f>
        <v>1682.4576159999997</v>
      </c>
      <c r="J141" s="3">
        <f>1838.8+(509.3-354.9)+(-1.875576+(-0.519486--0.361998))+0-320.4--0.326808000000051</f>
        <v>1671.093744</v>
      </c>
      <c r="K141" s="3">
        <f>1847.2+(412.3-331.1)+(-2.826216+(-0.630819--0.506583))+0-323.5--0.494955000000019</f>
        <v>1602.4445030000002</v>
      </c>
      <c r="L141" s="3">
        <f>1845.3+(268.6-301.2)+(-5.646618+(-0.821916--0.921672))+0-321.8--0.984708000000037</f>
        <v>1486.3378460000001</v>
      </c>
      <c r="M141" s="3">
        <f>1842.7+(213.7-303.3)+(-1.879554+(-0.217974--0.309366))+0-318.1--0.324462000000051</f>
        <v>1433.5362999999998</v>
      </c>
      <c r="N141" s="3">
        <f>1827.9+(255-335)+(1.864458+(0.2601-0.3417))+0-319.7-0.326094000000051</f>
        <v>1429.6567640000001</v>
      </c>
      <c r="O141" s="3">
        <f>1813.2+(316.7-377.5)+(-2.774196+(-0.484551--0.577575))+0-322.9--0.494037000000019</f>
        <v>1427.3128649999999</v>
      </c>
      <c r="P141" s="3">
        <f>1737.1+(353.7-386.2)+(0.885921+(0.180387-0.196962))+0-250.1-0.127550999999975</f>
        <v>1455.2417949999999</v>
      </c>
      <c r="Q141" s="3">
        <f>1722.2+(398.4-393)+(0+(0-0))+0-139.2-0</f>
        <v>1588.3999999999999</v>
      </c>
      <c r="R141" s="3">
        <f>1723.4+(696.6-367.2)+(-0.878934+(-0.355266--0.187272))+0-324.5--0.165494999999967</f>
        <v>1727.4185669999999</v>
      </c>
      <c r="S141" s="3">
        <f>1718.5+(777.5-328.3)+(-1.75287+(-0.79305--0.334866))+0-325.6--0.332112000000052</f>
        <v>1840.2210580000001</v>
      </c>
      <c r="T141" s="3">
        <f>1713+(816.3-322.5)+(0.87363+(0.416313-0.164475))+0-324.3-0.165392999999967</f>
        <v>1883.4600750000004</v>
      </c>
      <c r="U141" s="3">
        <f>1684.7+(858.4-326.2)+(-2.577591+(-1.313352--0.499086))+0-324.1--0.495873000000019</f>
        <v>1889.9040160000002</v>
      </c>
      <c r="V141" s="3">
        <f>1605.6+(848.9-300.1)+(-4.09428+(-2.164695--0.765255))+0-324.9--0.828494999999953</f>
        <v>1824.8347749999996</v>
      </c>
      <c r="W141" s="3">
        <f>1618.4+(649.6-311.3)+(-3.301536+(-1.325184--0.635052))+0-325.8--0.664631999999986</f>
        <v>1627.5729640000002</v>
      </c>
      <c r="X141" s="3">
        <f>1716.4+(341.3-307.2)+(-5.252184+(-1.044378--0.940032))+0-325.4--0.995724000000038</f>
        <v>1420.739194</v>
      </c>
      <c r="Y141" s="3">
        <f>1731.3+(382.6-370)+(-1.765926+(-0.390252--0.3774))+0-325.4--0.331908000000052</f>
        <v>1417.0531300000002</v>
      </c>
      <c r="Z141" s="3">
        <f>1745.6+(646.4-402.1)+(0+(0-0))+0-324.9-0</f>
        <v>1665</v>
      </c>
      <c r="AA141" s="3">
        <f>1747.8+(685.5-413.4)+(-6.239646+(-2.447235--1.475838))+0-324.9--1.159893</f>
        <v>1688.9488500000002</v>
      </c>
      <c r="AB141" s="3">
        <f>1748.5+(687.9-413.9)+(-2.675205+(-1.052487--0.633267))+0-323.1--0.494343000000019</f>
        <v>1696.7999179999999</v>
      </c>
      <c r="AC141" s="3">
        <f>1748.5+(718-379.5)+(-1.78347+(-0.73236--0.38709))+0-323.1--0.329562000000052</f>
        <v>1762.1008220000001</v>
      </c>
      <c r="AD141">
        <v>1656.6000000000004</v>
      </c>
      <c r="AE141" s="3">
        <f>1747+(644.3-411.6)+(0+(0-0))+0-323.1-0</f>
        <v>1656.6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1745.9+(668.4-355)+(-1.780818+(-0.681768--0.3621))+0-324.2--0.330684000000052</f>
        <v>1733.3301980000003</v>
      </c>
      <c r="G142" s="3">
        <f>1745.1+(629-337.3)+(-0.890001+(-0.32079--0.172023))+0-323.9--0.165188999999967</f>
        <v>1712.0264210000003</v>
      </c>
      <c r="H142" s="3">
        <f>1743.7+(608.9-321.5)+(0+(0-0))+0-325-0</f>
        <v>1706.1</v>
      </c>
      <c r="I142" s="3">
        <f>1754.2+(598.6-343.9)+(-2.683926+(-0.915858--0.526167))+0-325.2--0.497556000000019</f>
        <v>1681.1239390000001</v>
      </c>
      <c r="J142" s="3">
        <f>1756+(577.3-350.8)+(2.68668+(0.883269-0.536724))+0-324.1-0.495873000000019</f>
        <v>1660.9373519999997</v>
      </c>
      <c r="K142" s="3">
        <f>1759.1+(495.2-316.2)+(-3.588564+(-1.010208--0.645048))+0-328.2--0.669527999999986</f>
        <v>1606.6158039999998</v>
      </c>
      <c r="L142" s="3">
        <f>1755.9+(371.1-327.9)+(-2.686527+(-0.567783--0.501687))+0-326.7--0.499851000000019</f>
        <v>1470.147228</v>
      </c>
      <c r="M142" s="3">
        <f>1754.3+(324.5-333.6)+(0.894693+(0.165495-0.170136))+0-323.5-0.164984999999967</f>
        <v>1422.4250669999999</v>
      </c>
      <c r="N142" s="3">
        <f>1748.5+(363.8-373.7)+(0.891735+(0.185538-0.190587))+0-324.8-0.165647999999967</f>
        <v>1414.5210380000001</v>
      </c>
      <c r="O142" s="3">
        <f>1749.7+(377.3-387.9)+(1.784694+(0.384846-0.395658))+0-325-0.331500000000052</f>
        <v>1415.5423820000001</v>
      </c>
      <c r="P142" s="3">
        <f>1754.5+(452.3-413.7)+(0+(0-0))+0-328-0</f>
        <v>1465.1</v>
      </c>
      <c r="Q142" s="3">
        <f>1746+(570.9-429.9)+(1.78092+(0.582318-0.438498))+0-328.4-0.334968000000052</f>
        <v>1560.1897719999997</v>
      </c>
      <c r="R142" s="3">
        <f>1743.2+(733.2-417.9)+(0.889032+(0.373932-0.213129))+0-328-0.167279999999967</f>
        <v>1731.3825549999999</v>
      </c>
      <c r="S142" s="3">
        <f>1744.7+(788.5-378.8)+(-2.669391+(-1.206405--0.579564))+0-328--0.501840000000019</f>
        <v>1823.6056080000001</v>
      </c>
      <c r="T142" s="3">
        <f>1741+(817.5-377)+(0+(0-0))+0-326-0</f>
        <v>1855.5</v>
      </c>
      <c r="U142" s="3">
        <f>1732.6+(842.9-366.4)+(-2.650878+(-1.289637--0.560592))+0-324--0.495720000000019</f>
        <v>1882.2157970000001</v>
      </c>
      <c r="V142" s="3">
        <f>1730.1+(754.9-361.2)+(-4.411755+(-1.924995--0.92106))+0-323--0.823649999999953</f>
        <v>1796.20796</v>
      </c>
      <c r="W142" s="3">
        <f>1738.8+(535.2-355.4)+(-2.660364+(-0.818856--0.543762))+0-326--0.498780000000019</f>
        <v>1590.1633220000001</v>
      </c>
      <c r="X142" s="3">
        <f>1725.3+(292.1-313.5)+(-1.759806+(-0.297942--0.31977))+0-328--0.334560000000052</f>
        <v>1374.496582</v>
      </c>
      <c r="Y142" s="3">
        <f>1720.4+(358.5-339.6)+(1.754808+(0.36567-0.346392))+0-326-0.332520000000052</f>
        <v>1414.7415659999999</v>
      </c>
      <c r="Z142" s="3">
        <f>1717+(601.2-372.2)+(-3.50268+(-1.226448--0.759288))+0-326--0.665039999999986</f>
        <v>1616.6952000000001</v>
      </c>
      <c r="AA142" s="3">
        <f>1723.1+(644.3-371.6)+(-4.393905+(-1.642965--0.94758))+0-325--0.828749999999953</f>
        <v>1666.5394599999997</v>
      </c>
      <c r="AB142" s="3">
        <f>1642.7+(734.1-358.5)+(-1.675554+(-0.748782--0.36567))+0-325--0.331500000000052</f>
        <v>1691.5728340000003</v>
      </c>
      <c r="AC142" s="3">
        <f>1589.6+(803.5-341.4)+(-1.621392+(-0.81957--0.348228))+0-324--0.330480000000052</f>
        <v>1725.9377460000001</v>
      </c>
      <c r="AD142">
        <v>1609.8000000000002</v>
      </c>
      <c r="AE142" s="3">
        <f>1723+(593.3-383.5)+(0+(0-0))+0-323-0</f>
        <v>1609.8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1588.3+(770-338.8)+(-4.050165+(-1.9635--0.86394))+0-324--0.826199999999953</f>
        <v>1691.176475</v>
      </c>
      <c r="G143" s="3">
        <f>1590.2+(735.6-320.5)+(-4.05501+(-1.87578--0.817275))+0-325--0.828749999999953</f>
        <v>1676.0152350000001</v>
      </c>
      <c r="H143" s="3">
        <f>1594.5+(701.3-313)+(-4.065975+(-1.788315--0.79815))+0-326--0.831299999999953</f>
        <v>1652.5751600000001</v>
      </c>
      <c r="I143" s="3">
        <f>1589.4+(692-310.6)+(-1.621188+(-0.70584--0.316812))+0-324--0.330480000000052</f>
        <v>1645.1202640000004</v>
      </c>
      <c r="J143" s="3">
        <f>1590.5+(676.7-304.8)+(-2.433465+(-1.035351--0.466344))+0-323--0.494190000000019</f>
        <v>1636.8917180000003</v>
      </c>
      <c r="K143" s="3">
        <f>1579.3+(612.6-284.9)+(-0.805443+(-0.312426--0.145299))+0-322--0.164219999999967</f>
        <v>1584.19165</v>
      </c>
      <c r="L143" s="3">
        <f>1578.9+(483.6-268.4)+(-4.831434+(-1.479816--0.821304))+0-323--0.988380000000037</f>
        <v>1466.5984340000002</v>
      </c>
      <c r="M143" s="3">
        <f>1574.2+(445.8-291.4)+(0+(0-0))+0-322-0</f>
        <v>1406.6000000000001</v>
      </c>
      <c r="N143" s="3">
        <f>1574.7+(458.9-312.7)+(0+(0-0))+0-323-0</f>
        <v>1397.9</v>
      </c>
      <c r="O143" s="3">
        <f>1533.4+(506.2-306.2)+(0+(0-0))+0-322-0</f>
        <v>1411.4</v>
      </c>
      <c r="P143" s="3">
        <f>1524.1+(571.7-324.2)+(-0.777291+(-0.291567--0.165342))+0-321--0.163709999999967</f>
        <v>1449.8601939999999</v>
      </c>
      <c r="Q143" s="3">
        <f>1603.2+(607.2-359.4)+(3.270528+(1.238688-0.733176))+0-308-0.628319999999987</f>
        <v>1546.1477199999999</v>
      </c>
      <c r="R143" s="3">
        <f>1597.1+(695.4-373.6)+(-3.258084+(-1.418616--0.762144))+0-301--0.614039999999987</f>
        <v>1614.5994839999998</v>
      </c>
      <c r="S143" s="3">
        <f>1592.3+(739.3-351.5)+(-4.060365+(-1.885215--0.896325))+0-296--0.754799999999957</f>
        <v>1679.8055449999999</v>
      </c>
      <c r="T143" s="3">
        <f>1601.4+(760.6-348.1)+(-0.816714+(-0.387906--0.177531))+0-300--0.15299999999997</f>
        <v>1713.0259110000002</v>
      </c>
      <c r="U143" s="3">
        <f>1599.8+(754.3-330.4)+(-1.631796+(-0.769386--0.337008))+0-303--0.309060000000048</f>
        <v>1718.9448859999998</v>
      </c>
      <c r="V143" s="3">
        <f>1599.2+(680.2-314.3)+(-0.815592+(-0.346902--0.160293))+0-314--0.160139999999968</f>
        <v>1650.2579390000001</v>
      </c>
      <c r="W143" s="3">
        <f>1603.9+(507.8-301.7)+(-1.635978+(-0.517956--0.307734))+0-331--0.337620000000053</f>
        <v>1477.4914200000001</v>
      </c>
      <c r="X143" s="3">
        <f>1611.4+(277.4-252.2)+(-2.465442+(-0.424422--0.385866))+0-328--0.501840000000019</f>
        <v>1306.5978420000004</v>
      </c>
      <c r="Y143" s="3">
        <f>1618.8+(315.3-273.4)+(-1.651176+(-0.321606--0.278868))+0-332--0.338640000000053</f>
        <v>1327.344726</v>
      </c>
      <c r="Z143" s="3">
        <f>1624.6+(533.6-309)+(-3.314184+(-1.088544--0.63036))+0-331--0.675239999999986</f>
        <v>1515.1028719999999</v>
      </c>
      <c r="AA143" s="3">
        <f>1626.2+(584.5-331)+(-4.14681+(-1.490475--0.84405))+0-330--0.841499999999952</f>
        <v>1545.7482649999999</v>
      </c>
      <c r="AB143" s="3">
        <f>1623.3+(614.8-336.3)+(-2.483649+(-0.940644--0.514539))+0-327--0.500310000000019</f>
        <v>1572.3905560000001</v>
      </c>
      <c r="AC143" s="3">
        <f>1621.8+(648.5-333)+(-1.654236+(-0.66147--0.33966))+0-327--0.333540000000052</f>
        <v>1608.657494</v>
      </c>
      <c r="AD143">
        <v>1594.3999999999999</v>
      </c>
      <c r="AE143" s="3">
        <f>1626+(623.1-326.7)+(0+(0-0))+0-328-0</f>
        <v>1594.4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1607.7+(659-296.4)+(-4.099635+(-1.68045--0.75582))+0-327--0.833849999999953</f>
        <v>1639.1095850000002</v>
      </c>
      <c r="G144" s="3">
        <f>1610.2+(645.7-280)+(-1.642404+(-0.658614--0.2856))+0-327--0.333540000000052</f>
        <v>1647.2181220000002</v>
      </c>
      <c r="H144" s="3">
        <f>1608.2+(634.8-270.3)+(-0.820182+(-0.323748--0.137853))+0-328--0.167279999999967</f>
        <v>1643.8612029999999</v>
      </c>
      <c r="I144" s="3">
        <f>1608.6+(619-268.8)+(0+(0-0))+0-326-0</f>
        <v>1632.8</v>
      </c>
      <c r="J144" s="3">
        <f>1608.7+(599.4-263.8)+(2.461311+(0.917082-0.403614))+0-326-0.498780000000019</f>
        <v>1620.7759989999997</v>
      </c>
      <c r="K144" s="3">
        <f>1607.1+(538.5-251.9)+(-5.737347+(-1.922445--0.899283))+0-325--1.16025</f>
        <v>1563.0997409999998</v>
      </c>
      <c r="L144" s="3">
        <f>1617.1+(426.3-265.1)+(-4.948326+(-1.304478--0.811206))+0-325--0.994500000000038</f>
        <v>1448.8529019999999</v>
      </c>
      <c r="M144" s="3">
        <f>1615.8+(360.2-260.6)+(-0.824058+(-0.183702--0.132906))+0-322--0.164219999999967</f>
        <v>1392.6893659999998</v>
      </c>
      <c r="N144" s="3">
        <f>1614.5+(359.8-298.5)+(2.470185+(0.550494-0.456705))+0-321.9-0.492507000000019</f>
        <v>1355.9714669999998</v>
      </c>
      <c r="O144" s="3">
        <f>1613.3+(393-325.3)+(-1.645566+(-0.40086--0.331806))+0-323--0.329460000000051</f>
        <v>1356.6148400000002</v>
      </c>
      <c r="P144" s="3">
        <f>1612+(450.1-345.6)+(0.82212+(0.229551-0.176256))+0-323.9-0.165188999999967</f>
        <v>1393.3102259999998</v>
      </c>
      <c r="Q144" s="3">
        <f>1626.2+(566.5-363)+(-1.658724+(-0.57783--0.37026))+0-326.3--0.332826000000052</f>
        <v>1501.8665320000002</v>
      </c>
      <c r="R144" s="3">
        <f>1566.1+(756.1-330.2)+(-0.798711+(-0.385611--0.168402))+0-324.2--0.165341999999967</f>
        <v>1666.9494219999999</v>
      </c>
      <c r="S144" s="3">
        <f>1599+(822.9-313.2)+(-1.63098+(-0.839358--0.319464))+0-323.6--0.330072000000052</f>
        <v>1783.279198</v>
      </c>
      <c r="T144" s="3">
        <f>1593.9+(837.4-309.7)+(0.812889+(0.427074-0.157947))+0-323.9-0.165188999999967</f>
        <v>1798.6168270000001</v>
      </c>
      <c r="U144" s="3">
        <f>1596.1+(781.9-301.6)+(-1.628022+(-0.797538--0.307632))+0-322.6--0.329052000000051</f>
        <v>1752.0111239999997</v>
      </c>
      <c r="V144" s="3">
        <f>1589.7+(709.9-310.6)+(0+(0-0))+0-323.7-0</f>
        <v>1665.3</v>
      </c>
      <c r="W144" s="3">
        <f>1591.7+(523.9-314.8)+(-0.811767+(-0.267189--0.160548))+0-323.4--0.164933999999967</f>
        <v>1476.646526</v>
      </c>
      <c r="X144" s="3">
        <f>1602+(300.9-291.6)+(-5.71914+(-1.074213--1.041012))+0-325--1.16025</f>
        <v>1281.707909</v>
      </c>
      <c r="Y144" s="3">
        <f>1624+(370.2-317.4)+(-1.65648+(-0.377604--0.323748))+0-325.2--0.331704000000052</f>
        <v>1350.2213679999998</v>
      </c>
      <c r="Z144" s="3">
        <f>1644.1+(564.5-330.6)+(-5.030946+(-1.72737--1.011636))+0-324.3--0.992358000000037</f>
        <v>1548.945678</v>
      </c>
      <c r="AA144" s="3">
        <f>1645.5+(597.5-334)+(-0.839205+(-0.304725--0.17034))+0-323.4--0.164933999999967</f>
        <v>1584.7913439999998</v>
      </c>
      <c r="AB144" s="3">
        <f>1654.9+(616-326.6)+(0+(0-0))+0-323.7-0</f>
        <v>1620.6000000000001</v>
      </c>
      <c r="AC144" s="3">
        <f>1647.6+(637.6-307.5)+(0+(0-0))+0-323.6-0</f>
        <v>1654.1</v>
      </c>
      <c r="AD144">
        <v>1480.4</v>
      </c>
      <c r="AE144" s="3">
        <f>1573+(563.8-336.3)+(0+(0-0))+0-320.1-0</f>
        <v>1480.4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1631.7+(586.8-307)+(0.832167+(0.299268-0.15657))+0-324-0.165239999999967</f>
        <v>1588.3096249999999</v>
      </c>
      <c r="G145" s="3">
        <f>1633.6+(646.5-411.7)+(-0.833136+(-0.329715--0.209967))+0-325.3--0.165902999999967</f>
        <v>1542.3130189999999</v>
      </c>
      <c r="H145" s="3">
        <f>1635.3+(653.4-446.9)+(0.834003+(0.333234-0.227919))+0-325.4-0.165953999999967</f>
        <v>1517.1733639999998</v>
      </c>
      <c r="I145" s="3">
        <f>1637.7+(633.3-435.4)+(-0.835227+(-0.322983--0.222054))+0-325.1--0.165800999999967</f>
        <v>1509.7296449999997</v>
      </c>
      <c r="J145" s="3">
        <f>1640.2+(609.6-420.9)+(1.673004+(0.621792-0.429318))+0-322.2-0.328644000000051</f>
        <v>1508.236834</v>
      </c>
      <c r="K145" s="3">
        <f>1641.1+(532.3-373)+(-4.184805+(-1.357365--0.95115))+0-320.7--0.817784999999953</f>
        <v>1475.9267649999997</v>
      </c>
      <c r="L145" s="3">
        <f>1642.3+(418-305.7)+(-1.675146+(-0.42636--0.311814))+0-319.1--0.325482000000051</f>
        <v>1434.0357899999997</v>
      </c>
      <c r="M145" s="3">
        <f>1640.8+(348.7-298.2)+(0.836808+(0.177837-0.152082))+0-318.4-0.162383999999968</f>
        <v>1373.6001789999998</v>
      </c>
      <c r="N145" s="3">
        <f>1636.5+(330-313.5)+(-0.834615+(-0.1683--0.159885))+0-320--0.163199999999968</f>
        <v>1332.32017</v>
      </c>
      <c r="O145" s="3">
        <f>1632.6+(343.2-337.5)+(0.832626+(0.175032-0.172125))+0-319.7-0.163046999999968</f>
        <v>1319.2724859999998</v>
      </c>
      <c r="P145" s="3">
        <f>1626.4+(389.4-368.1)+(3.317856+(0.794376-0.750924))+0-319.7-0.652187999999986</f>
        <v>1330.70912</v>
      </c>
      <c r="Q145" s="3">
        <f>1623+(496.4-394.5)+(2.48319+(0.759492-0.603585))+0-319.8-0.489294000000018</f>
        <v>1407.2498030000002</v>
      </c>
      <c r="R145" s="3">
        <f>1628.2+(669.4-403.5)+(-1.660764+(-0.682788--0.41157))+0-319.9--0.326298000000051</f>
        <v>1572.5943159999997</v>
      </c>
      <c r="S145" s="3">
        <f>1622.4+(738.6-379.5)+(-0.827424+(-0.376686--0.193545))+0-318.8--0.162587999999968</f>
        <v>1661.8520229999999</v>
      </c>
      <c r="T145" s="3">
        <f>1605.4+(758.9-325.2)+(1.637508+(0.774078-0.331704))+0-319.4-0.325788000000051</f>
        <v>1721.4540940000002</v>
      </c>
      <c r="U145" s="3">
        <f>1601.7+(729.2-319.5)+(-1.633734+(-0.743784--0.32589))+0-319.2--0.325584000000051</f>
        <v>1690.4739560000003</v>
      </c>
      <c r="V145" s="3">
        <f>1604.5+(629.5-317.9)+(-1.63659+(-0.64209--0.324258))+0-320.1--0.326502000000051</f>
        <v>1594.3720799999999</v>
      </c>
      <c r="W145" s="3">
        <f>1595.5+(423.2-292.9)+(-1.62741+(-0.431664--0.298758))+0-260.6--0.265812000000042</f>
        <v>1463.705496</v>
      </c>
      <c r="X145" s="3">
        <f>1601.5+(302.1-287.1)+(-4.083825+(-0.770355--0.732105))+0-321--0.818549999999953</f>
        <v>1292.196475</v>
      </c>
      <c r="Y145" s="3">
        <f>1618.6+(345.5-308.8)+(0+(0-0))+0-322.7-0</f>
        <v>1332.6</v>
      </c>
      <c r="Z145" s="3">
        <f>1623.2+(597.9-337.5)+(0.827832+(0.304929-0.172125))+0-323-0.164729999999967</f>
        <v>1561.395906</v>
      </c>
      <c r="AA145" s="3">
        <f>1621.7+(632.8-324.9)+(-3.308268+(-1.290912--0.662796))+0-322.9--0.658715999999986</f>
        <v>1603.4223319999996</v>
      </c>
      <c r="AB145" s="3">
        <f>1621.7+(669.7-330.7)+(-2.481201+(-1.024641--0.505971))+0-322.4--0.493272000000019</f>
        <v>1635.7934010000001</v>
      </c>
      <c r="AC145" s="3">
        <f>1622.6+(703.5-322.2)+(1.655052+(0.71757-0.328644))+0-322.5-0.328950000000051</f>
        <v>1683.1150279999997</v>
      </c>
      <c r="AD145">
        <v>1545.6999999999998</v>
      </c>
      <c r="AE145" s="3">
        <f>1621+(578.5-331.9)+(0+(0-0))+0-321.9-0</f>
        <v>1545.6999999999998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1628+(661.2-315.3)+(0.83028+(0.337212-0.160803))+0-323.6-0.165035999999967</f>
        <v>1651.1416530000001</v>
      </c>
      <c r="G146" s="3">
        <f>1631.6+(639.6-304.1)+(-1.664232+(-0.652392--0.310182))+0-324.8--0.331296000000052</f>
        <v>1640.6248539999999</v>
      </c>
      <c r="H146" s="3">
        <f>1630.4+(612.7-291.5)+(-1.663008+(-0.624954--0.29733))+0-324.1--0.330582000000052</f>
        <v>1625.83995</v>
      </c>
      <c r="I146" s="3">
        <f>1632.5+(601.3-299.2)+(0.832575+(0.306663-0.152592))+0-323-0.164729999999967</f>
        <v>1612.421916</v>
      </c>
      <c r="J146" s="3">
        <f>1633.4+(591.4-316.7)+(-0.833034+(-0.301614--0.161517))+0-322.4--0.164423999999967</f>
        <v>1584.8912930000001</v>
      </c>
      <c r="K146" s="3">
        <f>1636.1+(520.3-299.4)+(-4.172055+(-1.326765--0.76347))+0-322.1--0.821354999999953</f>
        <v>1530.9860050000002</v>
      </c>
      <c r="L146" s="3">
        <f>1637+(407.1-277.7)+(-1.66974+(-0.415242--0.283254))+0-320.6--0.327012000000051</f>
        <v>1444.3252840000002</v>
      </c>
      <c r="M146" s="3">
        <f>1636.2+(359.1-287.7)+(1.668924+(0.366282-0.293454))+0-320.7-0.327114000000051</f>
        <v>1388.3146380000001</v>
      </c>
      <c r="N146" s="3">
        <f>1632.4+(404.1-340.3)+(4.16262+(1.030455-0.867765))+0-322-0.821099999999953</f>
        <v>1377.7042100000001</v>
      </c>
      <c r="O146" s="3">
        <f>1607.6+(440.8-363.4)+(0.819876+(0.224808-0.185334))+0-323.1-0.164780999999967</f>
        <v>1362.5945689999999</v>
      </c>
      <c r="P146" s="3">
        <f>1603.9+(516.5-391.3)+(0.817989+(0.263415-0.199563))+0-326.3-0.166412999999967</f>
        <v>1403.5154280000002</v>
      </c>
      <c r="Q146" s="3">
        <f>1625.3+(611.5-409.2)+(0+(0-0))+0-326.2-0</f>
        <v>1501.3999999999999</v>
      </c>
      <c r="R146" s="3">
        <f>1617.9+(767.6-452.7)+(2.475387+(1.174428-0.692631))+0-325-0.497250000000019</f>
        <v>1610.2599340000002</v>
      </c>
      <c r="S146" s="3">
        <f>1617.2+(883.8-444.1)+(-0.824772+(-0.450738--0.226491))+0-324.6--0.165545999999967</f>
        <v>1731.4165270000001</v>
      </c>
      <c r="T146" s="3">
        <f>1617.5+(854.6-376.7)+(0+(0-0))+0-324-0</f>
        <v>1771.4</v>
      </c>
      <c r="U146" s="3">
        <f>1617.4+(822.7-341.4)+(-3.299496+(-1.678308--0.696456))+0-324.4--0.661775999999986</f>
        <v>1770.6804280000001</v>
      </c>
      <c r="V146" s="3">
        <f>1600.7+(749.7-340.1)+(-1.632714+(-0.764694--0.346902))+0-322.8--0.329256000000052</f>
        <v>1685.7787500000002</v>
      </c>
      <c r="W146" s="3">
        <f>1606.7+(535.2-309.4)+(-4.097085+(-1.36476--0.78897))+0-323.1--0.823904999999953</f>
        <v>1505.5510299999999</v>
      </c>
      <c r="X146" s="3">
        <f>1616.2+(325.7-305)+(-6.594096+(-1.328856--1.2444))+0-325--1.32599999999997</f>
        <v>1306.547448</v>
      </c>
      <c r="Y146" s="3">
        <f>1625+(379.7-333.2)+(-0.82875+(-0.193647--0.169932))+0-321.1--0.163760999999967</f>
        <v>1349.7112960000002</v>
      </c>
      <c r="Z146" s="3">
        <f>1631.4+(611.9-352.2)+(1.664028+(0.624138-0.359244))+0-322.9-0.329358000000051</f>
        <v>1569.7995640000004</v>
      </c>
      <c r="AA146" s="3">
        <f>1635.7+(637.2-337.5)+(-1.668414+(-0.649944--0.34425))+0-322.8--0.329256000000052</f>
        <v>1610.9551480000002</v>
      </c>
      <c r="AB146" s="3">
        <f>1622.7+(653-345.5)+(-1.655154+(-0.66606--0.35241))+0-321.8--0.328236000000051</f>
        <v>1606.7594320000001</v>
      </c>
      <c r="AC146" s="3">
        <f>1621.1+(679.6-342.8)+(-1.653522+(-0.693192--0.349656))+0-322--0.328440000000051</f>
        <v>1634.2313819999999</v>
      </c>
      <c r="AD146">
        <v>1609.2</v>
      </c>
      <c r="AE146" s="3">
        <f>1635+(636.4-342.7)+(0+(0-0))+0-319.5-0</f>
        <v>1609.2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1626.7+(679.6-329.4)+(-0.829617+(-0.346596--0.167994))+0-322.3--0.164372999999967</f>
        <v>1653.7561540000002</v>
      </c>
      <c r="G147" s="3">
        <f>1626.8+(671.3-322.2)+(-2.489004+(-1.027089--0.492966))+0-323.8--0.495414000000019</f>
        <v>1649.572287</v>
      </c>
      <c r="H147" s="3">
        <f>1627.1+(643-311.8)+(0.829821+(0.32793-0.159018))+0-321.4-0.163913999999967</f>
        <v>1637.734819</v>
      </c>
      <c r="I147" s="3">
        <f>1627.6+(623.4-308.2)+(-1.660152+(-0.635868--0.314364))+0-321.7--0.328134000000051</f>
        <v>1619.4464780000001</v>
      </c>
      <c r="J147" s="3">
        <f>1628.7+(603.5-309.2)+(-3.322548+(-1.23114--0.630768))+0-323--0.658919999999986</f>
        <v>1596.7360000000001</v>
      </c>
      <c r="K147" s="3">
        <f>1630.5+(551.1-312.5)+(-3.32622+(-1.124244--0.6375))+0-321.7--0.656267999999986</f>
        <v>1544.2433039999999</v>
      </c>
      <c r="L147" s="3">
        <f>1626.5+(416.9-297.2)+(-2.488545+(-0.637857--0.454716))+0-320.9--0.490977000000019</f>
        <v>1423.119291</v>
      </c>
      <c r="M147" s="3">
        <f>1638.6+(348.3-297.2)+(0.835686+(0.177633-0.151572))+0-320.7-0.163556999999967</f>
        <v>1369.6981899999998</v>
      </c>
      <c r="N147" s="3">
        <f>1653.2+(353-336.5)+(0+(0-0))+0-322.6-0</f>
        <v>1347.1</v>
      </c>
      <c r="O147" s="3">
        <f>1609.1+(383-337.3)+(1.641282+(0.39066-0.344046))+0-325-0.331500000000052</f>
        <v>1331.1563959999999</v>
      </c>
      <c r="P147" s="3">
        <f>1637.2+(305.3-369.2)+(2.504916+(0.467109-0.564876))+0-200.6-0.306918000000012</f>
        <v>1374.8002310000002</v>
      </c>
      <c r="Q147" s="3">
        <f>1674.8+(468.6-379.5)+(1.708296+(0.477972-0.38709))+0-330.2-0.336804000000053</f>
        <v>1435.162374</v>
      </c>
      <c r="R147" s="3">
        <f>1674.9+(630.1-394.3)+(3.416796+(1.285404-0.804372))+0-327.9-0.668915999999986</f>
        <v>1586.0289119999998</v>
      </c>
      <c r="S147" s="3">
        <f>1718.7+(665.4-374)+(0+(0-0))+0-329.1-0</f>
        <v>1681</v>
      </c>
      <c r="T147" s="3">
        <f>1719.6+(698.6-391.8)+(-1.753992+(-0.712572--0.399636))+0-325.9--0.332418000000052</f>
        <v>1698.7654899999998</v>
      </c>
      <c r="U147" s="3">
        <f>1709.4+(660.4-347)+(0.871794+(0.336804-0.17697))+0-326.9-0.166718999999967</f>
        <v>1696.7649090000002</v>
      </c>
      <c r="V147" s="3">
        <f>1707.1+(585.4-348.7)+(-0.870621+(-0.298554--0.177837))+0-325.9--0.166208999999967</f>
        <v>1617.0748709999998</v>
      </c>
      <c r="W147" s="3">
        <f>1709.1+(380-312)+(-1.743282+(-0.3876--0.31824))+0-327.7--0.334254000000052</f>
        <v>1447.9216119999999</v>
      </c>
      <c r="X147" s="3">
        <f>1714.8+(194.5-296)+(-5.247288+(-0.59517--0.90576))+0-324.1--0.991746000000038</f>
        <v>1285.255048</v>
      </c>
      <c r="Y147" s="3">
        <f>1721.2+(250.9-320.8)+(0+(0-0))+0-326.8-0</f>
        <v>1324.5</v>
      </c>
      <c r="Z147" s="3">
        <f>1744.5+(461.2-355.4)+(-1.77939+(-0.470424--0.362508))+0-326.6--0.333132000000052</f>
        <v>1522.1458259999997</v>
      </c>
      <c r="AA147" s="3">
        <f>1777.1+(510-373.3)+(-4.531605+(-1.3005--0.951915))+0-326--0.831299999999953</f>
        <v>1583.7511099999999</v>
      </c>
      <c r="AB147" s="3">
        <f>1773.8+(535.9-382.4)+(0.904638+(0.273309-0.195024))+0-325.2-0.165851999999967</f>
        <v>1602.9170710000001</v>
      </c>
      <c r="AC147" s="3">
        <f>1792.1+(546.3-385.7)+(-3.655884+(-1.114452--0.786828))+0-325.2--0.663407999999986</f>
        <v>1624.1798999999996</v>
      </c>
      <c r="AD147">
        <v>1575.1</v>
      </c>
      <c r="AE147" s="3">
        <f>1762+(521.6-376.5)+(0+(0-0))+0-332-0</f>
        <v>1575.1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1815.2+(526.6-370.6)+(-2.777256+(-0.805698--0.567018))+0-323.9--0.495567000000019</f>
        <v>1644.7796309999999</v>
      </c>
      <c r="G148" s="3">
        <f>1844.5+(488.5-359.8)+(-3.76278+(-0.99654--0.733992))+0-324.5--0.661979999999986</f>
        <v>1645.3366520000002</v>
      </c>
      <c r="H148" s="3">
        <f>1845.5+(481.2-364.5)+(-2.823615+(-0.736236--0.557685))+0-325--0.497250000000019</f>
        <v>1634.6950840000002</v>
      </c>
      <c r="I148" s="3">
        <f>1841.8+(463.9-368.7)+(-0.939318+(-0.236589--0.188037))+0-325.2--0.165851999999967</f>
        <v>1610.9779819999999</v>
      </c>
      <c r="J148" s="3">
        <f>1835.6+(442.8-370.9)+(-3.744624+(-0.903312--0.756636))+0-324.9--0.662795999999986</f>
        <v>1579.3714960000002</v>
      </c>
      <c r="K148" s="3">
        <f>1836.2+(371.9-347.8)+(-3.745848+(-0.758676--0.709512))+0-323.6--0.660143999999986</f>
        <v>1533.5651319999997</v>
      </c>
      <c r="L148" s="3">
        <f>1839.8+(256.3-307.1)+(-5.629788+(-0.784278--0.939726))+0-324--0.991440000000037</f>
        <v>1460.5171</v>
      </c>
      <c r="M148" s="3">
        <f>1842.1+(187-322)+(-1.878942+(-0.19074--0.32844))+0-321.2--0.327624000000051</f>
        <v>1384.4863819999998</v>
      </c>
      <c r="N148" s="3">
        <f>1841+(232.5-357.1)+(3.75564+(0.4743-0.728484))+0-323.2-0.659327999999986</f>
        <v>1396.042128</v>
      </c>
      <c r="O148" s="3">
        <f>1852+(250-392.7)+(0+(0-0))+0-309.9-0</f>
        <v>1399.4</v>
      </c>
      <c r="P148" s="3">
        <f>1871.6+(280.8-397.3)+(-1.909032+(-0.286416--0.405246))+0-323--0.329460000000051</f>
        <v>1430.6392580000002</v>
      </c>
      <c r="Q148" s="3">
        <f>1866+(349.8-397.7)+(0+(0-0))+0-323.5-0</f>
        <v>1494.6</v>
      </c>
      <c r="R148" s="3">
        <f>1878.4+(447.3-425.1)+(0.957984+(0.228123-0.216801))+0-322.1-0.164270999999967</f>
        <v>1579.3050350000001</v>
      </c>
      <c r="S148" s="3">
        <f>1877.8+(528.1-400.2)+(-1.915356+(-0.538662--0.408204))+0-322.6--0.329052000000051</f>
        <v>1681.3832379999999</v>
      </c>
      <c r="T148" s="3">
        <f>1867.1+(563.9-373.9)+(-2.856663+(-0.862767--0.572067))+0-322.8--0.493884000000019</f>
        <v>1731.6465209999999</v>
      </c>
      <c r="U148" s="3">
        <f>1861.5+(565.7-372.5)+(-3.79746+(-1.154028--0.7599))+0-322.5--0.657899999999986</f>
        <v>1728.6663119999996</v>
      </c>
      <c r="V148" s="3">
        <f>1866.7+(471.6-358.8)+(-3.808068+(-0.962064--0.731952))+0-322.4--0.657695999999986</f>
        <v>1653.7195159999999</v>
      </c>
      <c r="W148" s="3">
        <f>1869.2+(266.2-333.7)+(-0.953292+(-0.135762--0.170187))+0-322.5--0.164474999999967</f>
        <v>1478.445608</v>
      </c>
      <c r="X148" s="3">
        <f>1862.8+(168.2-415.1)+(-1.900056+(-0.171564--0.423402))+0-322.5--0.328950000000051</f>
        <v>1292.0807319999999</v>
      </c>
      <c r="Y148" s="3">
        <f>1863.8+(198.5-398.1)+(1.901076+(0.20247-0.406062))+0-322.9-0.329358000000051</f>
        <v>1342.668126</v>
      </c>
      <c r="Z148" s="3">
        <f>1870.9+(357.3-379)+(0+(0-0))+0-322.3-0</f>
        <v>1526.9</v>
      </c>
      <c r="AA148" s="3">
        <f>1878.6+(386.5-371.2)+(-1.916172+(-0.39423--0.378624))+0-321.6--0.328032000000051</f>
        <v>1570.6962540000002</v>
      </c>
      <c r="AB148" s="3">
        <f>1884.8+(417-382.9)+(-3.844992+(-0.85068--0.781116))+0-321.4--0.655655999999986</f>
        <v>1594.2411000000002</v>
      </c>
      <c r="AC148" s="3">
        <f>1885.7+(438.8-382.6)+(-1.923414+(-0.447576--0.390252))+0-321.5--0.327930000000051</f>
        <v>1618.7471920000003</v>
      </c>
      <c r="AD148">
        <v>1580.1999999999998</v>
      </c>
      <c r="AE148" s="3">
        <f>1885+(396.1-380.2)+(0+(0-0))+0-320.7-0</f>
        <v>1580.2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1886.4+(447-362.9)+(-1.924128+(-0.45594--0.370158))+0-321.4--0.327828000000051</f>
        <v>1647.4179180000001</v>
      </c>
      <c r="G149" s="3">
        <f>1886.1+(435-353.9)+(-2.885733+(-0.66555--0.541467))+0-323.4--0.494802000000019</f>
        <v>1641.2849859999999</v>
      </c>
      <c r="H149" s="3">
        <f>1885.9+(412.1-339.1)+(-3.847236+(-0.840684--0.691764))+0-324--0.660959999999986</f>
        <v>1631.5648040000001</v>
      </c>
      <c r="I149" s="3">
        <f>1886.8+(381.2-327.5)+(-1.924536+(-0.388824--0.33405))+0-323.4--0.329868000000052</f>
        <v>1615.4505580000002</v>
      </c>
      <c r="J149" s="3">
        <f>1884+(357.8-327.8)+(0+(0-0))+0-325.1-0</f>
        <v>1588.9</v>
      </c>
      <c r="K149" s="3">
        <f>1885.7+(307-321.3)+(-4.808535+(-0.78285--0.819315))+0-325.6--0.830279999999953</f>
        <v>1541.8582100000001</v>
      </c>
      <c r="L149" s="3">
        <f>1888.3+(197.7-315.4)+(-1.926066+(-0.201654--0.321708))+0-325.8--0.332316000000052</f>
        <v>1443.3263039999999</v>
      </c>
      <c r="M149" s="3">
        <f>1890+(146.4-329.1)+(1.9278+(0.149328-0.335682))+0-322.2-0.328644000000051</f>
        <v>1386.512802</v>
      </c>
      <c r="N149" s="3">
        <f>1887.8+(165.2-354.6)+(0.962778+(0.084252-0.180846))+0-324.3-0.165392999999967</f>
        <v>1374.8007909999999</v>
      </c>
      <c r="O149" s="3">
        <f>1882.7+(201.9-386)+(1.920354+(0.205938-0.39372))+0-325.1-0.331602000000052</f>
        <v>1374.9009699999999</v>
      </c>
      <c r="P149" s="3">
        <f>1874.6+(257.6-391.9)+(-1.912092+(-0.262752--0.399738))+0-326.3--0.332826000000052</f>
        <v>1412.55772</v>
      </c>
      <c r="Q149" s="3">
        <f>1868.3+(338.2-392.9)+(0.952833+(0.172482-0.200379))+0-326.1-0.166310999999967</f>
        <v>1488.2586249999999</v>
      </c>
      <c r="R149" s="3">
        <f>1861.5+(488.4-410.5)+(-1.89873+(-0.498168--0.41871))+0-326.2--0.332724000000052</f>
        <v>1611.5545360000001</v>
      </c>
      <c r="S149" s="3">
        <f>1855.9+(549.2-390.4)+(-1.893018+(-0.560184--0.398208))+0-325.2--0.331704000000052</f>
        <v>1687.7767100000001</v>
      </c>
      <c r="T149" s="3">
        <f>1853.9+(614.1-402)+(0.945489+(0.313191-0.20502))+0-326.5-0.166514999999967</f>
        <v>1740.3871450000001</v>
      </c>
      <c r="U149" s="3">
        <f>1855.3+(590.6-384.5)+(0+(0-0))+0-324.2-0</f>
        <v>1737.2</v>
      </c>
      <c r="V149" s="3">
        <f>1851.4+(506.5-387.8)+(-1.888428+(-0.51663--0.395556))+0-324.4--0.330888000000052</f>
        <v>1644.0213859999999</v>
      </c>
      <c r="W149" s="3">
        <f>1851.2+(283.9-364.2)+(-1.888224+(-0.289578--0.371484))+0-324.4--0.330888000000052</f>
        <v>1445.02457</v>
      </c>
      <c r="X149" s="3">
        <f>1854+(178.9-420.3)+(-2.83662+(-0.273717--0.643059))+0-323.3--0.494649000000019</f>
        <v>1287.3273709999999</v>
      </c>
      <c r="Y149" s="3">
        <f>1858.9+(239.5-400.2)+(-1.896078+(-0.24429--0.408204))+0-326.3--0.332826000000052</f>
        <v>1370.5006620000001</v>
      </c>
      <c r="Z149" s="3">
        <f>1868.3+(396.8-378.7)+(-0.952833+(-0.202368--0.193137))+0-328.4--0.167483999999967</f>
        <v>1557.2054200000002</v>
      </c>
      <c r="AA149" s="3">
        <f>1870.3+(425.4-385.2)+(-4.769265+(-1.08477--0.98226))+0-326.9--0.833594999999952</f>
        <v>1579.5618199999999</v>
      </c>
      <c r="AB149" s="3">
        <f>1872+(451.7-395)+(-1.90944+(-0.460734--0.4029))+0-327.4--0.333948000000052</f>
        <v>1599.6666740000001</v>
      </c>
      <c r="AC149" s="3">
        <f>1874.1+(475-388.2)+(0+(0-0))+0-323.2-0</f>
        <v>1637.6999999999998</v>
      </c>
      <c r="AD149">
        <v>1572.6000000000001</v>
      </c>
      <c r="AE149" s="3">
        <f>1867+(411.8-380.2)+(0+(0-0))+0-326-0</f>
        <v>1572.6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1881+(462.1-363.5)+(-4.79655+(-1.178355--0.926925))+0-324.4--0.827219999999953</f>
        <v>1650.9792399999999</v>
      </c>
      <c r="G150" s="3">
        <f>1884.4+(432.9-352.5)+(-3.844176+(-0.883116--0.7191))+0-324.5--0.661979999999986</f>
        <v>1636.9537880000003</v>
      </c>
      <c r="H150" s="3">
        <f>1884.6+(414.7-337.4)+(-2.883438+(-0.634491--0.516222))+0-324.8--0.496944000000019</f>
        <v>1634.595237</v>
      </c>
      <c r="I150" s="3">
        <f>1883.6+(388.9-328)+(-0.960636+(-0.198339--0.16728))+0-324.4--0.165443999999967</f>
        <v>1619.2737490000002</v>
      </c>
      <c r="J150" s="3">
        <f>1881.8+(360.4-322.7)+(0+(0-0))+0-325.7-0</f>
        <v>1593.8</v>
      </c>
      <c r="K150" s="3">
        <f>1882.5+(298.7-309.4)+(-5.76045+(-0.914022--0.946764))+0-323.7--0.990522000000037</f>
        <v>1543.3628140000001</v>
      </c>
      <c r="L150" s="3">
        <f>1881.5+(198.8-315.9)+(-1.91913+(-0.202776--0.322218))+0-322.4--0.328848000000051</f>
        <v>1440.52916</v>
      </c>
      <c r="M150" s="3">
        <f>1886.8+(139.9-323.6)+(2.886804+(0.214047-0.495108))+0-321.8-0.492354000000019</f>
        <v>1383.4133890000001</v>
      </c>
      <c r="N150" s="3">
        <f>1885.1+(155.3-346.9)+(0.961401+(0.079203-0.176919))+0-323.5-0.164984999999967</f>
        <v>1370.6987000000001</v>
      </c>
      <c r="O150" s="3">
        <f>1878.3+(203.6-369.2)+(-0.957933+(-0.103836--0.188292))+0-323.2--0.164831999999967</f>
        <v>1388.7913549999998</v>
      </c>
      <c r="P150" s="3">
        <f>1871.2+(244.2-369.2)+(-0.954312+(-0.124542--0.188292))+0-325.2--0.165851999999967</f>
        <v>1420.2752899999998</v>
      </c>
      <c r="Q150" s="3">
        <f>1868.5+(331.4-383.3)+(-1.90587+(-0.338028--0.390966))+0-324.7--0.331194000000052</f>
        <v>1490.3782619999999</v>
      </c>
      <c r="R150" s="3">
        <f>1867.2+(465.5-397.3)+(0.952272+(0.237405-0.202623))+0-324.9-0.165698999999967</f>
        <v>1611.3213550000003</v>
      </c>
      <c r="S150" s="3">
        <f>1868+(557.3-376.9)+(-2.85804+(-0.852669--0.576657))+0-324.9--0.497097000000019</f>
        <v>1720.8630450000001</v>
      </c>
      <c r="T150" s="3">
        <f>1864.4+(603.1-387.6)+(0+(0-0))+0-323.8-0</f>
        <v>1756.1000000000001</v>
      </c>
      <c r="U150" s="3">
        <f>1872.5+(586.8-382.7)+(1.90995+(0.598536-0.390354))+0-324.3-0.330786000000052</f>
        <v>1754.087346</v>
      </c>
      <c r="V150" s="3">
        <f>1869.7+(486.1-370.3)+(0+(0-0))+0-324.8-0</f>
        <v>1660.7</v>
      </c>
      <c r="W150" s="3">
        <f>1872.1+(300.4-367.8)+(-2.864313+(-0.459612--0.562734))+0-326.4--0.499392000000019</f>
        <v>1476.0382009999996</v>
      </c>
      <c r="X150" s="3">
        <f>1876.4+(178.4-418.8)+(-3.827856+(-0.363936--0.854352))+0-324.7--0.662387999999986</f>
        <v>1308.6249479999999</v>
      </c>
      <c r="Y150" s="3">
        <f>1885.6+(206.5-427.8)+(0.961656+(0.105315-0.218178))+0-323.9-0.165188999999967</f>
        <v>1341.0836039999997</v>
      </c>
      <c r="Z150" s="3">
        <f>1889+(360-372)+(2.89017+(0.5508-0.56916))+0-325.1-0.497403000000019</f>
        <v>1554.2744070000001</v>
      </c>
      <c r="AA150" s="3">
        <f>1891.5+(398.1-375.3)+(-2.893995+(-0.609093--0.574209))+0-324.6--0.496638000000019</f>
        <v>1587.2677589999998</v>
      </c>
      <c r="AB150" s="3">
        <f>1894.3+(393.4-399.2)+(-0.966093+(-0.200634--0.203592))+0-322.8--0.164627999999967</f>
        <v>1564.9014930000001</v>
      </c>
      <c r="AC150" s="3">
        <f>1879.6+(417.7-401.8)+(0+(0-0))+0-320.5-0</f>
        <v>1575</v>
      </c>
      <c r="AD150">
        <v>1563.6999999999998</v>
      </c>
      <c r="AE150" s="3">
        <f>1888+(395.6-394.5)+(0+(0-0))+0-325.4-0</f>
        <v>1563.6999999999998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1858.9+(470.4-356)+(-1.896078+(-0.479808--0.36312))+0-323.8--0.330276000000052</f>
        <v>1647.8175100000003</v>
      </c>
      <c r="G151" s="3">
        <f>1625.9+(637.9-315.8)+(0+(0-0))+0-325.5-0</f>
        <v>1622.5</v>
      </c>
      <c r="H151" s="3">
        <f>1626.1+(611.6-288.1)+(0.829311+(0.311916-0.146931))+0-326.7-0.166616999999967</f>
        <v>1623.7276790000001</v>
      </c>
      <c r="I151" s="3">
        <f>1626.2+(577.4-275.9)+(-0.829362+(-0.294474--0.140709))+0-325--0.165749999999967</f>
        <v>1601.882623</v>
      </c>
      <c r="J151" s="3">
        <f>1626.3+(551.4-274.3)+(2.488239+(0.843642-0.419679))+0-323.7-0.495261000000019</f>
        <v>1582.1169409999998</v>
      </c>
      <c r="K151" s="3">
        <f>1625.1+(502.2-266.3)+(-4.972806+(-1.536732--0.814878))+0-323.6--0.990216000000038</f>
        <v>1532.6955560000001</v>
      </c>
      <c r="L151" s="3">
        <f>1625.3+(378.6-249.2)+(-4.144515+(-0.96543--0.63546))+0-322.4--0.822119999999953</f>
        <v>1428.647635</v>
      </c>
      <c r="M151" s="3">
        <f>1621.7+(309.2-255.4)+(0.827067+(0.157692-0.130254))+0-322.7-0.164576999999967</f>
        <v>1353.489928</v>
      </c>
      <c r="N151" s="3">
        <f>1621.8+(307.9-282.8)+(0.827118+(0.157029-0.144228))+0-323.8-0.165137999999967</f>
        <v>1323.7747809999998</v>
      </c>
      <c r="O151" s="3">
        <f>1619.8+(323.3-304.3)+(1.652196+(0.329766-0.310386))+0-325.7-0.332214000000052</f>
        <v>1314.4393619999998</v>
      </c>
      <c r="P151" s="3">
        <f>1634.1+(361.5-334.2)+(1.666782+(0.36873-0.340884))+0-325.3-0.331806000000052</f>
        <v>1337.4628219999997</v>
      </c>
      <c r="Q151" s="3">
        <f>1714.5+(384-365)+(2.623185+(0.58752-0.55845))+0-324.8-0.496944000000019</f>
        <v>1410.855311</v>
      </c>
      <c r="R151" s="3">
        <f>1754.9+(477.9-370)+(-0.894999+(-0.243729--0.1887))+0-323.7--0.165086999999967</f>
        <v>1538.315059</v>
      </c>
      <c r="S151" s="3">
        <f>1867.4+(505.2-392.7)+(-3.809496+(-1.030608--0.801108))+0-325--0.662999999999986</f>
        <v>1651.5240040000001</v>
      </c>
      <c r="T151" s="3">
        <f>1880.7+(537-395)+(-1.918314+(-0.54774--0.4029))+0-324.5--0.330990000000052</f>
        <v>1696.4678360000003</v>
      </c>
      <c r="U151" s="3">
        <f>1871.6+(502.7-386.3)+(-2.863548+(-0.769131--0.591039))+0-324.2--0.496026000000019</f>
        <v>1661.2543860000001</v>
      </c>
      <c r="V151" s="3">
        <f>1873.6+(380.1-353.5)+(-2.866608+(-0.581553--0.540855))+0-323.3--0.494649000000019</f>
        <v>1574.4873429999998</v>
      </c>
      <c r="W151" s="3">
        <f>1876.8+(214.1-350.5)+(-3.828672+(-0.436764--0.71502))+0-323.3--0.659531999999986</f>
        <v>1414.2091159999998</v>
      </c>
      <c r="X151" s="3">
        <f>1883.1+(139.4-437.1)+(-2.881143+(-0.213282--0.668763))+0-323.6--0.495108000000019</f>
        <v>1259.8694459999997</v>
      </c>
      <c r="Y151" s="3">
        <f>1892.6+(172.4-409.1)+(-0.965226+(-0.087924--0.208641))+0-324.3--0.165392999999967</f>
        <v>1330.9208839999999</v>
      </c>
      <c r="Z151" s="3">
        <f>1889+(289.1-361.7)+(-1.92678+(-0.294882--0.368934))+0-324--0.330480000000052</f>
        <v>1490.8777520000001</v>
      </c>
      <c r="AA151" s="3">
        <f>1899.7+(332.5-375.3)+(-2.906541+(-0.508725--0.574209))+0-324.6--0.496638000000019</f>
        <v>1529.9555810000002</v>
      </c>
      <c r="AB151" s="3">
        <f>1903.6+(346.2-377.7)+(-0.970836+(-0.176562--0.192627))+0-324.2--0.165341999999967</f>
        <v>1547.1105709999999</v>
      </c>
      <c r="AC151" s="3">
        <f>1882.3+(374.8-382.9)+(-0.959973+(-0.191148--0.195279))+0-322.9--0.164678999999967</f>
        <v>1550.5088369999999</v>
      </c>
      <c r="AD151">
        <v>1526.6</v>
      </c>
      <c r="AE151" s="3">
        <f>1884+(342.9-374.9)+(0+(0-0))+0-325.4-0</f>
        <v>1526.6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1889+(392.4-373.3)+(-1.92678+(-0.400248--0.380766))+0-324.4--0.330888000000052</f>
        <v>1582.0846259999998</v>
      </c>
      <c r="G152" s="3">
        <f>1886.9+(368.7-363.7)+(-1.924638+(-0.376074--0.370974))+0-324.6--0.331092000000052</f>
        <v>1565.701354</v>
      </c>
      <c r="H152" s="3">
        <f>1892.5+(343.1-345)+(-3.8607+(-0.699924--0.7038))+0-324.9--0.662795999999986</f>
        <v>1562.5059719999999</v>
      </c>
      <c r="I152" s="3">
        <f>1893.5+(324.2-335.2)+(-0.965685+(-0.165342--0.170952))+0-323.2--0.164831999999967</f>
        <v>1558.5047569999999</v>
      </c>
      <c r="J152" s="3">
        <f>1892.3+(295.4-353.1)+(-2.895219+(-0.451962--0.540243))+0-321.5--0.491895000000019</f>
        <v>1510.7849570000001</v>
      </c>
      <c r="K152" s="3">
        <f>1891.7+(221.4-296.5)+(-1.929534+(-0.225828--0.30243))+0-322.3--0.328746000000051</f>
        <v>1492.7758140000003</v>
      </c>
      <c r="L152" s="3">
        <f>1893+(142.8-292.5)+(-7.72344+(-0.582624--1.1934))+0-320.5--1.30763999999997</f>
        <v>1416.994976</v>
      </c>
      <c r="M152" s="3">
        <f>1890.9+(88.1-306)+(0+(0-0))+0-320-0</f>
        <v>1353</v>
      </c>
      <c r="N152" s="3">
        <f>1888+(80.6-339.1)+(1.92576+(0.082212-0.345882))+0-320.1-0.326502000000051</f>
        <v>1310.7355879999998</v>
      </c>
      <c r="O152" s="3">
        <f>1879.9+(82.5-378)+(-1.917498+(-0.08415--0.38556))+0-320.2--0.326604000000051</f>
        <v>1262.9105160000001</v>
      </c>
      <c r="P152" s="3">
        <f>1894.2+(121.5-413)+(0+(0-0))+0-320.1-0</f>
        <v>1282.5999999999999</v>
      </c>
      <c r="Q152" s="3">
        <f>1889.1+(152.6-405.9)+(0.963441+(0.077826-0.207009))+0-320.1-0.163250999999968</f>
        <v>1316.3710070000002</v>
      </c>
      <c r="R152" s="3">
        <f>1886.1+(264.3-382.4)+(3.847644+(0.539172-0.780096))+0-320-0.652799999999986</f>
        <v>1450.9539199999999</v>
      </c>
      <c r="S152" s="3">
        <f>1881.9+(383.4-384)+(0+(0-0))+0-319.9-0</f>
        <v>1561.4</v>
      </c>
      <c r="T152" s="3">
        <f>1878+(448.1-362)+(-0.95778+(-0.228531--0.18462))+0-319.4--0.162893999999968</f>
        <v>1643.8612029999999</v>
      </c>
      <c r="U152" s="3">
        <f>1873.5+(430.6-352.4)+(-0.955485+(-0.219606--0.179724))+0-318.5--0.162434999999968</f>
        <v>1632.367068</v>
      </c>
      <c r="V152" s="3">
        <f>1872.5+(353.1-351.6)+(-3.8199+(-0.720324--0.717264))+0-320--0.652799999999986</f>
        <v>1550.8298400000001</v>
      </c>
      <c r="W152" s="3">
        <f>1872+(189.1-359.9)+(-1.90944+(-0.192882--0.367098))+0-320.9--0.327318000000051</f>
        <v>1378.8920940000003</v>
      </c>
      <c r="X152" s="3">
        <f>1878.3+(137.9-485.2)+(-2.873799+(-0.210987--0.742356))+0-322.4--0.493272000000019</f>
        <v>1206.7508420000001</v>
      </c>
      <c r="Y152" s="3">
        <f>1883+(166.7-449.9)+(0.96033+(0.085017-0.229449))+0-322.9-0.164678999999967</f>
        <v>1277.5512189999999</v>
      </c>
      <c r="Z152" s="3">
        <f>1889.4+(265.1-381.3)+(-1.927188+(-0.270402--0.388926))+0-322.2--0.328644000000051</f>
        <v>1449.51998</v>
      </c>
      <c r="AA152" s="3">
        <f>1894.4+(301.7-390.8)+(-3.864576+(-0.615468--0.797232))+0-320.9--0.654635999999986</f>
        <v>1481.3718240000001</v>
      </c>
      <c r="AB152" s="3">
        <f>1897.7+(307-395.7)+(0+(0-0))+0-320.4-0</f>
        <v>1488.6</v>
      </c>
      <c r="AC152" s="3">
        <f>1899+(311.5-383.1)+(0.96849+(0.158865-0.195381))+0-320.1-0.163250999999968</f>
        <v>1508.0687230000003</v>
      </c>
      <c r="AD152">
        <v>1431.3999999999999</v>
      </c>
      <c r="AE152" s="3">
        <f>1893+(265.7-406)+(0+(0-0))+0-321.3-0</f>
        <v>1431.4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1900+(260.2-401.9)+(2.907+(0.398106-0.614907))+0-320.8-0.490824000000019</f>
        <v>1439.6993749999999</v>
      </c>
      <c r="G153" s="3">
        <f>1905+(248.4-371)+(-2.91465+(-0.380052--0.56763))+0-321.9--0.492507000000019</f>
        <v>1458.2654350000003</v>
      </c>
      <c r="H153" s="3">
        <f>1902.7+(239.2-353.2)+(-0.970377+(-0.121992--0.180132))+0-322.3--0.164372999999967</f>
        <v>1465.6521360000002</v>
      </c>
      <c r="I153" s="3">
        <f>1902.5+(232.8-347.2)+(3.8811+(0.474912-0.708288))+0-322.2-0.657287999999986</f>
        <v>1468.8904359999999</v>
      </c>
      <c r="J153" s="3">
        <f>1902+(226.9-338.2)+(0+(0-0))+0-322.2-0</f>
        <v>1468.5</v>
      </c>
      <c r="K153" s="3">
        <f>1901.2+(187.2-322.3)+(-3.878448+(-0.381888--0.657492))+0-322.5--0.657899999999986</f>
        <v>1440.6550559999998</v>
      </c>
      <c r="L153" s="3">
        <f>1902.5+(165.5-321.3)+(-3.8811+(-0.33762--0.655452))+0-321.3--0.655451999999986</f>
        <v>1422.492184</v>
      </c>
      <c r="M153" s="3">
        <f>1901.1+(132.3-349)+(-0.969561+(-0.067473--0.17799))+0-320.1--0.163250999999968</f>
        <v>1363.6042069999999</v>
      </c>
      <c r="N153" s="3">
        <f>1899.7+(155.8-376.9)+(-1.937694+(-0.158916--0.384438))+0-321.7--0.328134000000051</f>
        <v>1355.5159620000002</v>
      </c>
      <c r="O153" s="3">
        <f>1901.8+(185.5-413)+(0.969918+(0.094605-0.21063))+0-323.9-0.165188999999967</f>
        <v>1351.088704</v>
      </c>
      <c r="P153" s="3">
        <f>1902.7+(203.1-421.3)+(1.940754+(0.207162-0.429726))+0-325.6-0.332112000000052</f>
        <v>1360.2860780000001</v>
      </c>
      <c r="Q153" s="3">
        <f>1917+(220.6-396.2)+(-0.97767+(-0.112506--0.202062))+0-325.9--0.166208999999967</f>
        <v>1414.7780950000001</v>
      </c>
      <c r="R153" s="3">
        <f>1908+(268.5-400.3)+(0+(0-0))+0-323.5-0</f>
        <v>1452.7</v>
      </c>
      <c r="S153" s="3">
        <f>1901.2+(404.3-401.8)+(-2.908836+(-0.618579--0.614754))+0-323.1--0.494343000000019</f>
        <v>1578.1816820000001</v>
      </c>
      <c r="T153" s="3">
        <f>1897.4+(440.4-375.6)+(0.967674+(0.224604-0.191556))+0-324.8-0.165647999999967</f>
        <v>1638.2350740000002</v>
      </c>
      <c r="U153" s="3">
        <f>1896.4+(440.5-381.6)+(1.934328+(0.44931-0.389232))+0-325-0.331500000000052</f>
        <v>1631.9629060000002</v>
      </c>
      <c r="V153" s="3">
        <f>1896.1+(354.3-381.1)+(-3.868044+(-0.722772--0.777444))+0-323.9--0.660755999999986</f>
        <v>1542.247384</v>
      </c>
      <c r="W153" s="3">
        <f>1896.4+(186.7-393.2)+(-1.934328+(-0.190434--0.401064))+0-326.1--0.332622000000052</f>
        <v>1362.4089240000001</v>
      </c>
      <c r="X153" s="3">
        <f>1903.8+(126.2-493.9)+(-6.796566+(-0.450534--1.763223))+0-324.5--1.158465</f>
        <v>1207.274588</v>
      </c>
      <c r="Y153" s="3">
        <f>1908.4+(149.3-444.4)+(-0.973284+(-0.076143--0.226644))+0-324.9--0.165698999999967</f>
        <v>1287.7429159999999</v>
      </c>
      <c r="Z153" s="3">
        <f>1907.8+(261-388.5)+(0+(0-0))+0-325-0</f>
        <v>1455.3</v>
      </c>
      <c r="AA153" s="3">
        <f>1909.9+(303.9-394.7)+(-3.896196+(-0.619956--0.805188))+0-324.2--0.661367999999986</f>
        <v>1491.850404</v>
      </c>
      <c r="AB153" s="3">
        <f>1909.8+(319.2-398.4)+(0+(0-0))+0-326.3-0</f>
        <v>1504.3</v>
      </c>
      <c r="AC153" s="3">
        <f>1913+(339.2-386.7)+(-2.92689+(-0.518976--0.591651))+0-325.1--0.497403000000019</f>
        <v>1538.0431879999999</v>
      </c>
      <c r="AD153">
        <v>1476.3</v>
      </c>
      <c r="AE153" s="3">
        <f>1904+(290.5-397.5)+(0+(0-0))+0-320.7-0</f>
        <v>1476.3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1916.1+(341.5-368.6)+(2.931633+(0.522495-0.563958))+0-324.9-0.497097000000019</f>
        <v>1566.4930730000001</v>
      </c>
      <c r="G154" s="3">
        <f>1903.7+(323.3-341.3)+(0.970887+(0.164883-0.174063))+0-326.6-0.166565999999967</f>
        <v>1559.895141</v>
      </c>
      <c r="H154" s="3">
        <f>1903.4+(293.6-331.3)+(-2.912202+(-0.449208--0.506889))+0-326--0.498780000000019</f>
        <v>1537.3442590000002</v>
      </c>
      <c r="I154" s="3">
        <f>1905.1+(267.4-325.7)+(0.971601+(0.136374-0.166107))+0-324.7-0.165596999999967</f>
        <v>1522.8762710000001</v>
      </c>
      <c r="J154" s="3">
        <f>1904.4+(229.5-320.9)+(0+(0-0))+0-324.1-0</f>
        <v>1488.9</v>
      </c>
      <c r="K154" s="3">
        <f>1901.5+(191.3-316)+(-3.87906+(-0.390252--0.64464))+0-324.8--0.662591999999986</f>
        <v>1449.03792</v>
      </c>
      <c r="L154" s="3">
        <f>1906.8+(132.4-346.3)+(-5.834808+(-0.405144--1.059678))+0-324.6--0.993276000000038</f>
        <v>1364.1130020000001</v>
      </c>
      <c r="M154" s="3">
        <f>1904.2+(106.9-374.2)+(0.971142+(0.054519-0.190842))+0-322.5-0.164474999999967</f>
        <v>1315.070344</v>
      </c>
      <c r="N154" s="3">
        <f>1799.2+(156.6-332.2)+(0.917592+(0.079866-0.169422))+0-324.5-0.165494999999967</f>
        <v>1299.7625410000003</v>
      </c>
      <c r="O154" s="3">
        <f>1781.4+(195.8-370.8)+(0.908514+(0.099858-0.189108))+0-325.1-0.165800999999967</f>
        <v>1281.9534630000001</v>
      </c>
      <c r="P154" s="3">
        <f>1769.9+(227.4-380.8)+(3.610596+(0.463896-0.776832))+0-323.8-0.660551999999986</f>
        <v>1295.3371079999999</v>
      </c>
      <c r="Q154" s="3">
        <f>1765+(290.4-386.1)+(0.90015+(0.148104-0.196911))+0-322.1-0.164270999999967</f>
        <v>1347.8870720000002</v>
      </c>
      <c r="R154" s="3">
        <f>1761.7+(418.9-400.3)+(1.796934+(0.427278-0.408306))+0-321.7-0.328134000000051</f>
        <v>1460.0877719999999</v>
      </c>
      <c r="S154" s="3">
        <f>1754.7+(518.2-404.3)+(-1.789794+(-0.528564--0.412386))+0-318.7--0.325074000000051</f>
        <v>1548.3191020000002</v>
      </c>
      <c r="T154" s="3">
        <f>1756.7+(560.7-397)+(-1.791834+(-0.571914--0.40494))+0-318.3--0.324666000000051</f>
        <v>1600.465858</v>
      </c>
      <c r="U154" s="3">
        <f>1756.6+(536.7-372.7)+(-3.583464+(-1.094868--0.760308))+0-317.6--0.647903999999986</f>
        <v>1599.7298799999999</v>
      </c>
      <c r="V154" s="3">
        <f>1754.1+(432.8-357.6)+(-3.578364+(-0.882912--0.729504))+0-319--0.650759999999986</f>
        <v>1507.2189879999999</v>
      </c>
      <c r="W154" s="3">
        <f>1759+(228.9-348.4)+(-6.27963+(-0.817173--1.243788))+0-321.1--1.146327</f>
        <v>1313.6933119999999</v>
      </c>
      <c r="X154" s="3">
        <f>1767.7+(138.7-427.5)+(-5.409162+(-0.424422--1.30815))+0-322.5--0.986850000000037</f>
        <v>1152.8614160000002</v>
      </c>
      <c r="Y154" s="3">
        <f>1775.9+(199.7-440.7)+(0.905709+(0.101847-0.224757))+0-322.1-0.164270999999967</f>
        <v>1213.4185280000004</v>
      </c>
      <c r="Z154" s="3">
        <f>1773.4+(266.8-353.1)+(-0.904434+(-0.136068--0.180081))+0-322.6--0.164525999999967</f>
        <v>1363.8041050000002</v>
      </c>
      <c r="AA154" s="3">
        <f>1814.6+(255-359.1)+(-6.478122+(-0.91035--1.281987))+0-324.1--1.157037</f>
        <v>1381.4505519999998</v>
      </c>
      <c r="AB154" s="3">
        <f>1883.4+(209.6-372)+(-4.80267+(-0.53448--0.9486))+0-323.5--0.824924999999953</f>
        <v>1393.936375</v>
      </c>
      <c r="AC154" s="3">
        <f>1886.5+(222.7-370.1)+(0.962115+(0.113577-0.188751))+0-324.7-0.165596999999967</f>
        <v>1415.1213439999999</v>
      </c>
      <c r="AD154">
        <v>1381.6999999999998</v>
      </c>
      <c r="AE154" s="3">
        <f>1772+(284.6-353)+(0+(0-0))+0-321.9-0</f>
        <v>1381.6999999999998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1773.9+(310.1-333)+(-0.904689+(-0.158151--0.16983))+0-322.6--0.164525999999967</f>
        <v>1427.6715159999999</v>
      </c>
      <c r="G155" s="3">
        <f>1652.6+(409-298)+(-2.528478+(-0.62577--0.45594))+0-325.9--0.498627000000019</f>
        <v>1435.5003189999998</v>
      </c>
      <c r="H155" s="3">
        <f>1657.1+(424.5-312.9)+(-1.690242+(-0.43299--0.319158))+0-325.1--0.331602000000052</f>
        <v>1442.1275279999998</v>
      </c>
      <c r="I155" s="3">
        <f>1653.7+(421.1-301.6)+(2.530161+(0.644283-0.461448))+0-323.6-0.495108000000019</f>
        <v>1451.817888</v>
      </c>
      <c r="J155" s="3">
        <f>1655.8+(419.9-296.6)+(0.844458+(0.214149-0.151266))+0-323.6-0.165035999999967</f>
        <v>1456.2423050000002</v>
      </c>
      <c r="K155" s="3">
        <f>1659.7+(365.6-277.4)+(-2.539341+(-0.559368--0.424422))+0-320.3--0.490059000000019</f>
        <v>1425.4157720000001</v>
      </c>
      <c r="L155" s="3">
        <f>1667.4+(273.6-260.4)+(-6.802992+(-1.116288--1.062432))+0-320.3--1.30682399999997</f>
        <v>1354.7499760000003</v>
      </c>
      <c r="M155" s="3">
        <f>1705.5+(173.8-267.4)+(0+(0-0))+0-318.7-0</f>
        <v>1293.2</v>
      </c>
      <c r="N155" s="3">
        <f>1766.9+(112.3-291.3)+(3.604476+(0.229092-0.594252))+0-320.6-0.654023999999986</f>
        <v>1269.8852919999999</v>
      </c>
      <c r="O155" s="3">
        <f>1692.9+(166-288.7)+(3.453516+(0.33864-0.588948))+0-319.7-0.652187999999986</f>
        <v>1253.0510199999999</v>
      </c>
      <c r="P155" s="3">
        <f>1516.4+(297.1-289.3)+(0+(0-0))+0-320.3-0</f>
        <v>1203.9000000000001</v>
      </c>
      <c r="Q155" s="3">
        <f>1511.1+(342.3-305.6)+(0.770661+(0.174573-0.155856))+0-321.3-0.163862999999967</f>
        <v>1227.125515</v>
      </c>
      <c r="R155" s="3">
        <f>1497.6+(434.5-313.3)+(0+(0-0))+0-320.3-0</f>
        <v>1298.5</v>
      </c>
      <c r="S155" s="3">
        <f>1495.8+(552.7-312.7)+(-2.288574+(-0.845631--0.478431))+0-320.1--0.489753000000019</f>
        <v>1413.533979</v>
      </c>
      <c r="T155" s="3">
        <f>1491.4+(660.9-316.9)+(0.760614+(0.337059-0.161619))+0-319.2-0.162791999999968</f>
        <v>1516.973262</v>
      </c>
      <c r="U155" s="3">
        <f>1489.9+(640.8-313.1)+(-1.519698+(-0.653616--0.319362))+0-319.2--0.325584000000051</f>
        <v>1496.8716320000001</v>
      </c>
      <c r="V155" s="3">
        <f>1490.5+(554.3-304.6)+(0.760155+(0.282693-0.155346))+0-319.3-0.162842999999968</f>
        <v>1421.6246589999998</v>
      </c>
      <c r="W155" s="3">
        <f>1541.3+(290.5-307.8)+(-3.144252+(-0.59262--0.627912))+0-320.5--0.653819999999986</f>
        <v>1201.04486</v>
      </c>
      <c r="X155" s="3">
        <f>1615.3+(142.2-343)+(-0.823803+(-0.072522--0.17493))+0-320.6--0.163505999999967</f>
        <v>1093.3421109999999</v>
      </c>
      <c r="Y155" s="3">
        <f>1579.4+(238.4-333.9)+(-0.805494+(-0.121584--0.170289))+0-320.8--0.163607999999967</f>
        <v>1162.5068190000002</v>
      </c>
      <c r="Z155" s="3">
        <f>1615.3+(395.5-338.8)+(-3.295212+(-0.80682--0.691152))+0-320.1--0.653003999999986</f>
        <v>1349.1421240000002</v>
      </c>
      <c r="AA155" s="3">
        <f>1638.7+(436.3-351.5)+(-1.671474+(-0.445026--0.35853))+0-321--0.327420000000051</f>
        <v>1401.0694500000002</v>
      </c>
      <c r="AB155" s="3">
        <f>1640.4+(462.8-334.4)+(0+(0-0))+0-319.8-0</f>
        <v>1449.0000000000002</v>
      </c>
      <c r="AC155" s="3">
        <f>1638.1+(495.4-324.5)+(-3.341724+(-1.010616--0.66198))+0-318.9--0.650555999999986</f>
        <v>1487.0601959999999</v>
      </c>
      <c r="AD155">
        <v>1392.9</v>
      </c>
      <c r="AE155" s="3">
        <f>1640+(415.9-343.5)+(0+(0-0))+0-319.5-0</f>
        <v>1392.9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1641.3+(509.6-313.1)+(-3.348252+(-1.039584--0.638724))+0-320.1--0.653003999999986</f>
        <v>1514.6038919999999</v>
      </c>
      <c r="G156" s="3">
        <f>1643.9+(498.2-297.2)+(-3.353556+(-1.016328--0.606288))+0-321.5--0.655859999999986</f>
        <v>1520.2922640000002</v>
      </c>
      <c r="H156" s="3">
        <f>1641.8+(474.5-283.5)+(-0.837318+(-0.241995--0.144585))+0-320.2--0.163301999999968</f>
        <v>1511.8285739999999</v>
      </c>
      <c r="I156" s="3">
        <f>1642.6+(454.1-281.5)+(1.675452+(0.463182-0.28713))+0-321.5-0.327930000000051</f>
        <v>1495.2235739999996</v>
      </c>
      <c r="J156" s="3">
        <f>1644.2+(429.4-278.5)+(1.677084+(0.437988-0.28407))+0-319.9-0.326298000000051</f>
        <v>1476.7047039999998</v>
      </c>
      <c r="K156" s="3">
        <f>1648.4+(385.7-277)+(-2.522052+(-0.590121--0.42381))+0-319--0.488070000000018</f>
        <v>1435.8997070000003</v>
      </c>
      <c r="L156" s="3">
        <f>1646.9+(280.6-273.9)+(0+(0-0))+0-320.1-0</f>
        <v>1333.5</v>
      </c>
      <c r="M156" s="3">
        <f>1644.1+(202.3-272.5)+(0+(0-0))+0-320.3-0</f>
        <v>1253.5999999999999</v>
      </c>
      <c r="N156" s="3">
        <f>1640.7+(251.4-283.1)+(2.510271+(0.384642-0.433143))+0-322.5-0.493425000000019</f>
        <v>1288.4683449999998</v>
      </c>
      <c r="O156" s="3">
        <f>1637.2+(274.3-293.6)+(1.669944+(0.279786-0.299472))+0-321.5-0.327930000000051</f>
        <v>1297.7223279999998</v>
      </c>
      <c r="P156" s="3">
        <f>1631.1+(283.7-319.3)+(3.327444+(0.578748-0.651372))+0-306.3-0.624851999999987</f>
        <v>1291.8299680000002</v>
      </c>
      <c r="Q156" s="3">
        <f>1633.6+(315.7-348.9)+(1.666272+(0.322014-0.355878))+0-234.8-0.239496000000037</f>
        <v>1366.9929119999997</v>
      </c>
      <c r="R156" s="3">
        <f>1637.7+(490.5-345.5)+(2.505681+(0.750465-0.528615))+0-322.6-0.493578000000019</f>
        <v>1462.3339529999998</v>
      </c>
      <c r="S156" s="3">
        <f>1636.6+(619.2-350.9)+(0+(0-0))+0-324.3-0</f>
        <v>1580.6000000000001</v>
      </c>
      <c r="T156" s="3">
        <f>1634.8+(651.8-329.5)+(0+(0-0))+0-324.7-0</f>
        <v>1632.3999999999999</v>
      </c>
      <c r="U156" s="3">
        <f>1635.5+(644.4-337.1)+(-5.00463+(-1.971864--1.031526))+0-323.2--0.988992000000037</f>
        <v>1614.6440239999999</v>
      </c>
      <c r="V156" s="3">
        <f>1634.4+(527.4-334.2)+(-2.500632+(-0.806922--0.511326))+0-323.1--0.494343000000019</f>
        <v>1502.1981150000004</v>
      </c>
      <c r="W156" s="3">
        <f>1634+(312.7-315.2)+(-1.66668+(-0.318954--0.321504))+0-322.2--0.328644000000051</f>
        <v>1307.964514</v>
      </c>
      <c r="X156" s="3">
        <f>1643.9+(195.5-338.8)+(-2.515167+(-0.299115--0.518364))+0-322.3--0.493119000000019</f>
        <v>1176.4972010000001</v>
      </c>
      <c r="Y156" s="3">
        <f>1653.8+(278.3-337.4)+(1.686876+(0.283866-0.344148))+0-323.4-0.329868000000052</f>
        <v>1272.596726</v>
      </c>
      <c r="Z156" s="3">
        <f>1656.7+(452.1-338.9)+(-1.689834+(-0.461142--0.345678))+0-325.4--0.331908000000052</f>
        <v>1443.0266100000003</v>
      </c>
      <c r="AA156" s="3">
        <f>1660.5+(489.6-346.1)+(-2.540565+(-0.749088--0.529533))+0-324.2--0.496026000000019</f>
        <v>1477.5359060000001</v>
      </c>
      <c r="AB156" s="3">
        <f>1654.5+(497.7-346.4)+(-2.531385+(-0.761481--0.529992))+0-322.5--0.493425000000019</f>
        <v>1481.0305510000001</v>
      </c>
      <c r="AC156" s="3">
        <f>1646.4+(501-341.1)+(-1.679328+(-0.51102--0.347922))+0-322.9--0.329358000000051</f>
        <v>1481.8869320000003</v>
      </c>
      <c r="AD156">
        <v>1456.5</v>
      </c>
      <c r="AE156" s="3">
        <f>1652+(467.3-337.9)+(0+(0-0))+0-324.9-0</f>
        <v>1456.5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1646.2+(509.9-333.8)+(-0.839562+(-0.260049--0.170238))+0-324.8--0.165647999999967</f>
        <v>1496.736275</v>
      </c>
      <c r="G157" s="3">
        <f>1644.7+(503-311.4)+(-2.516391+(-0.76959--0.476442))+0-324.7--0.496791000000019</f>
        <v>1509.2872520000001</v>
      </c>
      <c r="H157" s="3">
        <f>1645.7+(489-296.4)+(-1.678614+(-0.49878--0.302328))+0-325.6--0.332112000000052</f>
        <v>1511.1570460000003</v>
      </c>
      <c r="I157" s="3">
        <f>1646.8+(484.9-291)+(-4.19934+(-1.236495--0.74205))+0-326.4--0.832319999999953</f>
        <v>1510.4385349999998</v>
      </c>
      <c r="J157" s="3">
        <f>1647.2+(480.7-297.7)+(0.840072+(0.245157-0.151827))+0-324.1-0.165290999999967</f>
        <v>1506.868111</v>
      </c>
      <c r="K157" s="3">
        <f>1650.7+(427.2-283.3)+(-4.209285+(-1.08936--0.722415))+0-321.9--0.820844999999953</f>
        <v>1468.9446150000001</v>
      </c>
      <c r="L157" s="3">
        <f>1651.6+(353.5-249.7)+(-2.526948+(-0.540855--0.382041))+0-320.6--0.490518000000019</f>
        <v>1432.6047559999997</v>
      </c>
      <c r="M157" s="3">
        <f>1651.7+(308.6-252.7)+(-1.684734+(-0.314772--0.257754))+0-322.6--0.329052000000051</f>
        <v>1383.5873000000001</v>
      </c>
      <c r="N157" s="3">
        <f>1650.5+(301.6-272.1)+(1.68351+(0.307632-0.277542))+0-324.8-0.331296000000052</f>
        <v>1356.582304</v>
      </c>
      <c r="O157" s="3">
        <f>1643+(318.2-299.2)+(1.67586+(0.324564-0.305184))+0-325.6-0.332112000000052</f>
        <v>1337.7631280000001</v>
      </c>
      <c r="P157" s="3">
        <f>1638.4+(396.6-330.6)+(0.835584+(0.202266-0.168606))+0-323.3-0.164882999999967</f>
        <v>1381.8043610000002</v>
      </c>
      <c r="Q157" s="3">
        <f>1637.9+(467.6-348.2)+(-1.670658+(-0.476952--0.355164))+0-325.5--0.332010000000052</f>
        <v>1430.3395640000003</v>
      </c>
      <c r="R157" s="3">
        <f>1634.3+(514.3-359.3)+(-0.833493+(-0.262293--0.183243))+0-325.1--0.165800999999967</f>
        <v>1463.4532579999998</v>
      </c>
      <c r="S157" s="3">
        <f>1733.4+(538.4-373.9)+(-4.42017+(-1.37292--0.953445))+0-322.6--0.822629999999953</f>
        <v>1571.2829850000001</v>
      </c>
      <c r="T157" s="3">
        <f>1746.4+(556.9-361.5)+(-4.45332+(-1.420095--0.921825))+0-323.5--0.824924999999953</f>
        <v>1614.1733350000002</v>
      </c>
      <c r="U157" s="3">
        <f>1746.7+(556.3-364.7)+(-2.672451+(-0.851139--0.557991))+0-323.6--0.495108000000019</f>
        <v>1612.2295089999998</v>
      </c>
      <c r="V157" s="3">
        <f>1819.6+(410.1-368.7)+(-2.783988+(-0.627453--0.564111))+0-323.3--0.494649000000019</f>
        <v>1535.347319</v>
      </c>
      <c r="W157" s="3">
        <f>1897.2+(185.2-375.4)+(-1.935144+(-0.188904--0.382908))+0-322.7--0.329154000000051</f>
        <v>1382.8880139999999</v>
      </c>
      <c r="X157" s="3">
        <f>1904+(117.8-468.7)+(-4.8552+(-0.30039--1.195185))+0-322.9--0.823394999999953</f>
        <v>1227.0629899999999</v>
      </c>
      <c r="Y157" s="3">
        <f>1905.4+(173.1-463.5)+(-0.971754+(-0.088281--0.236385))+0-322.7--0.164576999999967</f>
        <v>1291.6409269999999</v>
      </c>
      <c r="Z157" s="3">
        <f>1911.8+(280.6-415.1)+(0+(0-0))+0-323.4-0</f>
        <v>1453.9</v>
      </c>
      <c r="AA157" s="3">
        <f>1915.6+(299.8-396.4)+(-3.907824+(-0.611592--0.808656))+0-322.5--0.657899999999986</f>
        <v>1493.44714</v>
      </c>
      <c r="AB157" s="3">
        <f>1911.9+(335.1-397.9)+(0.975069+(0.170901-0.202929))+0-321.8-0.164117999999967</f>
        <v>1528.0789230000003</v>
      </c>
      <c r="AC157" s="3">
        <f>1916.1+(375.3-402.4)+(-3.908844+(-0.765612--0.820896))+0-322.6--0.658103999999986</f>
        <v>1563.2045440000002</v>
      </c>
      <c r="AD157">
        <v>1482.6000000000001</v>
      </c>
      <c r="AE157" s="3">
        <f>1915+(304.3-414.2)+(0+(0-0))+0-322.5-0</f>
        <v>1482.6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1949.7+(367.9-382.6)+(-0.994347+(-0.187629--0.195126))+0-322.1--0.164270999999967</f>
        <v>1612.0774209999997</v>
      </c>
      <c r="G158" s="3">
        <f>1949.8+(339.3-359)+(0+(0-0))+0-324-0</f>
        <v>1606.1</v>
      </c>
      <c r="H158" s="3">
        <f>1950.3+(311.9-339.7)+(0+(0-0))+0-325.2-0</f>
        <v>1597.3</v>
      </c>
      <c r="I158" s="3">
        <f>1744.1+(419.8-307.9)+(2.668473+(0.642294-0.471087))+0-321.9-0.492507000000019</f>
        <v>1536.447173</v>
      </c>
      <c r="J158" s="3">
        <f>1684.2+(428.3-292.1)+(-0.858942+(-0.218433--0.148971))+0-321.6--0.164015999999967</f>
        <v>1498.0356119999999</v>
      </c>
      <c r="K158" s="3">
        <f>1688.9+(383.1-284.6)+(-4.306695+(-0.976905--0.72573))+0-322.1--0.821354999999953</f>
        <v>1461.5634850000001</v>
      </c>
      <c r="L158" s="3">
        <f>1689.4+(273.3-305.7)+(-3.446376+(-0.557532--0.623628))+0-322.6--0.658103999999986</f>
        <v>1331.6778239999999</v>
      </c>
      <c r="M158" s="3">
        <f>1685.4+(201.3-305.7)+(1.719108+(0.205326-0.311814))+0-321.1-0.327522000000051</f>
        <v>1261.1850979999999</v>
      </c>
      <c r="N158" s="3">
        <f>1677.1+(225.9-328.3)+(0+(0-0))+0-323.1-0</f>
        <v>1251.5999999999999</v>
      </c>
      <c r="O158" s="3">
        <f>1670.3+(268-340.5)+(0.851853+(0.13668-0.173655))+0-324.4-0.165443999999967</f>
        <v>1274.0494339999998</v>
      </c>
      <c r="P158" s="3">
        <f>1669.1+(297.6-353.7)+(3.404964+(0.607104-0.721548))+0-322.4-0.657695999999986</f>
        <v>1293.2328239999999</v>
      </c>
      <c r="Q158" s="3">
        <f>1662.1+(380.3-368.2)+(-4.238355+(-0.969765--0.93891))+0-325.5--0.830024999999953</f>
        <v>1345.2608149999999</v>
      </c>
      <c r="R158" s="3">
        <f>1657.7+(493.4-374.4)+(1.690854+(0.503268-0.381888))+0-325.5-0.332010000000052</f>
        <v>1452.680224</v>
      </c>
      <c r="S158" s="3">
        <f>1651.6+(597.9-370.5)+(-2.526948+(-0.914787--0.566865))+0-325.3--0.497709000000019</f>
        <v>1551.3228389999999</v>
      </c>
      <c r="T158" s="3">
        <f>1647.5+(654.4-380.2)+(0.840225+(0.333744-0.193902))+0-323.7-0.165086999999967</f>
        <v>1598.8149800000001</v>
      </c>
      <c r="U158" s="3">
        <f>1647.1+(638.4-359.8)+(0+(0-0))+0-327.4-0</f>
        <v>1598.2999999999997</v>
      </c>
      <c r="V158" s="3">
        <f>1655.1+(517.2-344.7)+(-4.220505+(-1.31886--0.878985))+0-327.4--0.834869999999952</f>
        <v>1496.3744899999999</v>
      </c>
      <c r="W158" s="3">
        <f>1658.2+(306.3-341.6)+(-2.537046+(-0.468639--0.522648))+0-327.4--0.500922000000019</f>
        <v>1293.517885</v>
      </c>
      <c r="X158" s="3">
        <f>1662.9+(179.6-359.8)+(-2.544237+(-0.274788--0.550494))+0-325.4--0.497862000000019</f>
        <v>1155.529331</v>
      </c>
      <c r="Y158" s="3">
        <f>1664.9+(279.4-364.4)+(1.698198+(0.284988-0.371688))+0-325-0.331500000000052</f>
        <v>1256.1799980000001</v>
      </c>
      <c r="Z158" s="3">
        <f>1663.3+(433.4-352)+(-5.937981+(-1.547238--1.25664))+0-325.7--1.162749</f>
        <v>1413.9341699999998</v>
      </c>
      <c r="AA158" s="3">
        <f>1665+(479.9-354.5)+(-2.54745+(-0.734247--0.542385))+0-325.7--0.498321000000019</f>
        <v>1462.4590090000002</v>
      </c>
      <c r="AB158" s="3">
        <f>1666.9+(507.2-357.9)+(0.850119+(0.258672-0.182529))+0-323.8-0.165137999999967</f>
        <v>1493.161124</v>
      </c>
      <c r="AC158" s="3">
        <f>1668.9+(525.5-358.7)+(-4.255695+(-1.340025--0.914685))+0-321.8--0.820589999999953</f>
        <v>1510.0395550000001</v>
      </c>
      <c r="AD158">
        <v>1457.6</v>
      </c>
      <c r="AE158" s="3">
        <f>1665+(474.1-355.5)+(0+(0-0))+0-326-0</f>
        <v>1457.6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1666.9+(530.5-338.6)+(-4.250595+(-1.352775--0.86343))+0-321.6--0.820079999999953</f>
        <v>1533.2801400000003</v>
      </c>
      <c r="G159" s="3">
        <f>1665.5+(514.1-314.4)+(-4.247025+(-1.310955--0.80172))+0-323.9--0.825944999999953</f>
        <v>1537.3696850000001</v>
      </c>
      <c r="H159" s="3">
        <f>1663.8+(491.8-301.8)+(1.697076+(0.501636-0.307836))+0-323-0.329460000000051</f>
        <v>1532.3614159999997</v>
      </c>
      <c r="I159" s="3">
        <f>1670+(462.9-296)+(-2.5551+(-0.708237--0.45288))+0-324.3--0.496179000000019</f>
        <v>1510.2857220000001</v>
      </c>
      <c r="J159" s="3">
        <f>1671.4+(434.1-293.9)+(0+(0-0))+0-322-0</f>
        <v>1489.6000000000001</v>
      </c>
      <c r="K159" s="3">
        <f>1675.8+(389.2-292.1)+(-4.27329+(-0.99246--0.744855))+0-319.5--0.814724999999954</f>
        <v>1449.6938299999997</v>
      </c>
      <c r="L159" s="3">
        <f>1679.8+(299-284.8)+(-5.996886+(-1.06743--1.016736))+0-319.6--1.140972</f>
        <v>1369.4933920000001</v>
      </c>
      <c r="M159" s="3">
        <f>1680.2+(221.3-289.7)+(0.856902+(0.112863-0.147747))+0-317.9-0.162128999999968</f>
        <v>1294.5598890000003</v>
      </c>
      <c r="N159" s="3">
        <f>1677.3+(172.1-297.5)+(0.855423+(0.087771-0.151725))+0-318.3-0.162332999999968</f>
        <v>1234.2291359999999</v>
      </c>
      <c r="O159" s="3">
        <f>1675.6+(181.5-319.8)+(-1.709112+(-0.18513--0.326196))+0-319.8--0.326196000000051</f>
        <v>1216.2581499999999</v>
      </c>
      <c r="P159" s="3">
        <f>1674.3+(212.6-350.6)+(1.707786+(0.216852-0.357612))+0-320.3-0.326706000000051</f>
        <v>1217.2403199999999</v>
      </c>
      <c r="Q159" s="3">
        <f>1670.2+(262.7-368.7)+(3.407208+(0.535908-0.752148))+0-321.3-0.655451999999986</f>
        <v>1245.4355160000002</v>
      </c>
      <c r="R159" s="3">
        <f>1665.6+(400.3-359.8)+(-2.548368+(-0.612459--0.550494))+0-319.6--0.488988000000019</f>
        <v>1384.378655</v>
      </c>
      <c r="S159" s="3">
        <f>1660.9+(506.5-365.7)+(-1.694118+(-0.51663--0.373014))+0-319.9--0.326298000000051</f>
        <v>1480.288564</v>
      </c>
      <c r="T159" s="3">
        <f>1655.1+(585.1-357.7)+(0.844101+(0.298401-0.182427))+0-318.9-0.162638999999968</f>
        <v>1564.397436</v>
      </c>
      <c r="U159" s="3">
        <f>1654.4+(579.9-339.4)+(0+(0-0))+0-319.9-0</f>
        <v>1575</v>
      </c>
      <c r="V159" s="3">
        <f>1648.6+(485.6-332.1)+(0+(0-0))+0-319.1-0</f>
        <v>1483</v>
      </c>
      <c r="W159" s="3">
        <f>1653.5+(297.2-315.2)+(0+(0-0))+0-321.2-0</f>
        <v>1314.3</v>
      </c>
      <c r="X159" s="3">
        <f>1662+(179.3-350.2)+(-2.54286+(-0.274329--0.535806))+0-320.6--0.490518000000019</f>
        <v>1168.7091350000001</v>
      </c>
      <c r="Y159" s="3">
        <f>1666.6+(269.1-355.7)+(2.549898+(0.411723-0.544221))+0-320.5-0.490365000000019</f>
        <v>1261.4270349999999</v>
      </c>
      <c r="Z159" s="3">
        <f>1668.9+(458.8-367)+(-1.702278+(-0.467976--0.37434))+0-320.1--0.326502000000051</f>
        <v>1439.1305880000002</v>
      </c>
      <c r="AA159" s="3">
        <f>1671+(502.2-371.3)+(-0.85221+(-0.256122--0.189363))+0-319.5--0.162944999999968</f>
        <v>1481.6439760000001</v>
      </c>
      <c r="AB159" s="3">
        <f>1672.2+(544.9-377.2)+(-1.705644+(-0.555798--0.384744))+0-318.4--0.324768000000051</f>
        <v>1519.9480699999999</v>
      </c>
      <c r="AC159" s="3">
        <f>1670.9+(571.7-365.7)+(0.852159+(0.291567-0.186507))+0-317.8-0.162077999999968</f>
        <v>1559.895141</v>
      </c>
      <c r="AD159">
        <v>1405.1999999999998</v>
      </c>
      <c r="AE159" s="3">
        <f>1673+(472-365.7)+(0+(0-0))+0-320.1-0</f>
        <v>1459.1999999999998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1671.1+(532.6-353.9)+(-0.852261+(-0.271626--0.180489))+0-318.4--0.162383999999968</f>
        <v>1530.6189860000002</v>
      </c>
      <c r="G160" s="3">
        <f>1670.1+(523-339.3)+(-5.110506+(-1.60038--1.038258))+0-319.3--0.977058000000037</f>
        <v>1529.8044299999999</v>
      </c>
      <c r="H160" s="3">
        <f>1668.5+(491.4-316.9)+(-3.40374+(-1.002456--0.646476))+0-319.7--0.652187999999986</f>
        <v>1520.192468</v>
      </c>
      <c r="I160" s="3">
        <f>1668.8+(456.5-312.5)+(0.851088+(0.232815-0.159375))+0-319.7-0.163046999999968</f>
        <v>1493.8614809999999</v>
      </c>
      <c r="J160" s="3">
        <f>1670+(418.5-308.4)+(1.7034+(0.42687-0.314568))+0-319.7-0.326094000000051</f>
        <v>1461.889608</v>
      </c>
      <c r="K160" s="3">
        <f>1672.1+(372.8-298.2)+(-0.852771+(-0.190128--0.152082))+0-318.6--0.162485999999968</f>
        <v>1427.3716689999999</v>
      </c>
      <c r="L160" s="3">
        <f>1673.2+(290.5-271.3)+(-4.26666+(-0.740775--0.691815))+0-319.1--0.813704999999954</f>
        <v>1369.7980849999999</v>
      </c>
      <c r="M160" s="3">
        <f>1674.2+(217.7-258.6)+(-1.707684+(-0.222054--0.263772))+0-319.6--0.325992000000051</f>
        <v>1312.3600259999998</v>
      </c>
      <c r="N160" s="3">
        <f>1672.7+(239.2-286.1)+(-1.706154+(-0.243984--0.291822))+0-315.8--0.32211600000005</f>
        <v>1308.6638</v>
      </c>
      <c r="O160" s="3">
        <f>1668.4+(282-311.5)+(1.701768+(0.28764-0.31773))+0-318.3-0.324666000000051</f>
        <v>1321.9470120000001</v>
      </c>
      <c r="P160" s="3">
        <f>1668.5+(337.4-345.5)+(0.850935+(0.172074-0.176205))+0-319.1-0.162740999999968</f>
        <v>1341.9840630000001</v>
      </c>
      <c r="Q160" s="3">
        <f>1661.9+(418.2-360.7)+(1.695138+(0.426564-0.367914))+0-317.8-0.324156000000051</f>
        <v>1403.029632</v>
      </c>
      <c r="R160" s="3">
        <f>1652.4+(554.8-367.2)+(-0.842724+(-0.282948--0.187272))+0-318.2--0.162281999999968</f>
        <v>1521.023882</v>
      </c>
      <c r="S160" s="3">
        <f>1639.5+(694.6-362)+(-2.508435+(-1.062738--0.55386))+0-321.1--0.491283000000019</f>
        <v>1648.4739699999998</v>
      </c>
      <c r="T160" s="3">
        <f>1632.4+(725.7-342.6)+(-0.832524+(-0.370107--0.174726))+0-324.2--0.165341999999967</f>
        <v>1690.437437</v>
      </c>
      <c r="U160" s="3">
        <f>1631.1+(693.7-329.3)+(-1.663722+(-0.707574--0.335886))+0-321--0.327420000000051</f>
        <v>1672.7920100000001</v>
      </c>
      <c r="V160" s="3">
        <f>1632.2+(581.9-302.6)+(-4.994532+(-1.780614--0.925956))+0-320.2--0.979812000000037</f>
        <v>1586.4306220000001</v>
      </c>
      <c r="W160" s="3">
        <f>1637.2+(370.1-296.5)+(-1.669944+(-0.377502--0.30243))+0-322.2--0.328644000000051</f>
        <v>1387.183628</v>
      </c>
      <c r="X160" s="3">
        <f>1643.9+(211.5-296.4)+(-2.515167+(-0.323595--0.453492))+0-319.7--0.489141000000018</f>
        <v>1237.403871</v>
      </c>
      <c r="Y160" s="3">
        <f>1648.5+(309.1-301.9)+(0+(0-0))+0-319.5-0</f>
        <v>1336.2</v>
      </c>
      <c r="Z160" s="3">
        <f>1654.1+(479.1-305)+(-1.687182+(-0.488682--0.3111))+0-319.6--0.325992000000051</f>
        <v>1507.061228</v>
      </c>
      <c r="AA160" s="3">
        <f>1658.9+(532.2-338.2)+(-4.230195+(-1.35711--0.86241))+0-320--0.815999999999954</f>
        <v>1528.9911050000001</v>
      </c>
      <c r="AB160" s="3">
        <f>1661.8+(576.7-351)+(-2.542554+(-0.882351--0.53703))+0-320.1--0.489753000000019</f>
        <v>1565.0018780000003</v>
      </c>
      <c r="AC160" s="3">
        <f>1660.5+(607-345)+(0.846855+(0.30957-0.17595))+0-320.9-0.163658999999967</f>
        <v>1602.4168160000002</v>
      </c>
      <c r="AD160">
        <v>1467.1999999999998</v>
      </c>
      <c r="AE160" s="3">
        <f>1653+(451.5-318.4)+(0+(0-0))+0-318.9-0</f>
        <v>1467.1999999999998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1659.6+(563.5-337.4)+(-1.692792+(-0.57477--0.344148))+0-323.3--0.329766000000052</f>
        <v>1560.8063519999998</v>
      </c>
      <c r="G161" s="3">
        <f>1659.4+(540-320.3)+(-1.692588+(-0.5508--0.326706))+0-322.9--0.329358000000051</f>
        <v>1554.6126760000002</v>
      </c>
      <c r="H161" s="3">
        <f>1661.2+(505-304.2)+(-3.388848+(-1.0302--0.620568))+0-320.1--0.653003999999986</f>
        <v>1538.7545240000002</v>
      </c>
      <c r="I161" s="3">
        <f>1661.6+(487.5-308.5)+(0.847416+(0.248625-0.157335))+0-319.4-0.162893999999968</f>
        <v>1521.9758119999997</v>
      </c>
      <c r="J161" s="3">
        <f>1660.9+(459.9-304.1)+(1.694118+(0.469098-0.310182))+0-320.6-0.327012000000051</f>
        <v>1497.6260220000001</v>
      </c>
      <c r="K161" s="3">
        <f>1663.1+(435.6-313.2)+(-4.240905+(-1.11078--0.79866))+0-320.6--0.817529999999954</f>
        <v>1461.164505</v>
      </c>
      <c r="L161" s="3">
        <f>1663.7+(323.9-304.7)+(-3.393948+(-0.660756--0.621588))+0-317.2--0.647087999999986</f>
        <v>1362.9139720000001</v>
      </c>
      <c r="M161" s="3">
        <f>1665.5+(254.2-310.3)+(0.849405+(0.129642-0.158253))+0-317.2-0.161771999999968</f>
        <v>1292.8590220000001</v>
      </c>
      <c r="N161" s="3">
        <f>1662.9+(260.8-314.3)+(0.848079+(0.133008-0.160293))+0-321.2-0.163811999999967</f>
        <v>1288.856982</v>
      </c>
      <c r="O161" s="3">
        <f>1660.7+(271-321.1)+(-1.693914+(-0.27642--0.327522))+0-322.2--0.328644000000051</f>
        <v>1287.0858319999998</v>
      </c>
      <c r="P161" s="3">
        <f>1660+(312.5-342)+(0.8466+(0.159375-0.17442))+0-322.3-0.164372999999967</f>
        <v>1308.867182</v>
      </c>
      <c r="Q161" s="3">
        <f>1651.7+(398.8-355.4)+(-0.842367+(-0.203388--0.181254))+0-321.6--0.164015999999967</f>
        <v>1372.7995149999999</v>
      </c>
      <c r="R161" s="3">
        <f>1645.3+(543.1-371)+(0.839103+(0.276981-0.18921))+0-321.2-0.163811999999967</f>
        <v>1496.963062</v>
      </c>
      <c r="S161" s="3">
        <f>1640.8+(641.5-367.7)+(-3.347232+(-1.30866--0.750108))+0-321.9--0.656675999999986</f>
        <v>1589.4508919999998</v>
      </c>
      <c r="T161" s="3">
        <f>1634.5+(684-364.1)+(-2.500785+(-1.04652--0.557073))+0-322--0.492660000000019</f>
        <v>1629.9024280000001</v>
      </c>
      <c r="U161" s="3">
        <f>1631.2+(642.8-324.2)+(-1.663824+(-0.655656--0.330684))+0-321.7--0.328134000000051</f>
        <v>1626.4393379999999</v>
      </c>
      <c r="V161" s="3">
        <f>1630.6+(521.9-287)+(-1.663212+(-0.532338--0.29274))+0-322.4--0.328848000000051</f>
        <v>1541.526038</v>
      </c>
      <c r="W161" s="3">
        <f>1666.7+(296.3-282.7)+(-4.250085+(-0.755565--0.720885))+0-321.1--0.818804999999953</f>
        <v>1355.7340399999998</v>
      </c>
      <c r="X161" s="3">
        <f>1745.9+(154.8-358.9)+(-5.342454+(-0.473688--1.098234))+0-322.1--0.985626000000037</f>
        <v>1215.9677180000003</v>
      </c>
      <c r="Y161" s="3">
        <f>1763.4+(195.6-338.3)+(0+(0-0))+0-322.1-0</f>
        <v>1298.5999999999999</v>
      </c>
      <c r="Z161" s="3">
        <f>1814+(339.3-363)+(-3.70056+(-0.692172--0.74052))+0-323.7--0.660347999999986</f>
        <v>1463.6081359999998</v>
      </c>
      <c r="AA161" s="3">
        <f>1914.6+(305.6-381.9)+(-4.88223+(-0.77928--0.973845))+0-321.9--0.820844999999953</f>
        <v>1512.5331800000001</v>
      </c>
      <c r="AB161" s="3">
        <f>1916.3+(334.2-382.3)+(-3.909252+(-0.681768--0.779892))+0-322--0.656879999999986</f>
        <v>1543.0457519999998</v>
      </c>
      <c r="AC161" s="3">
        <f>1908.8+(352.3-372.2)+(-2.920464+(-0.539019--0.569466))+0-322--0.492660000000019</f>
        <v>1564.5026430000003</v>
      </c>
      <c r="AD161">
        <v>1510.6</v>
      </c>
      <c r="AE161" s="3">
        <f>1909+(305.9-378.9)+(0+(0-0))+0-325.4-0</f>
        <v>1510.6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1914.4+(350.6-368.9)+(-0.976344+(-0.178806--0.188139))+0-322.2--0.164321999999967</f>
        <v>1573.097311</v>
      </c>
      <c r="G162" s="3">
        <f>1914+(334.6-354.6)+(0+(0-0))+0-323.6-0</f>
        <v>1570.4</v>
      </c>
      <c r="H162" s="3">
        <f>1913.4+(312.2-340.2)+(0+(0-0))+0-324.8-0</f>
        <v>1560.6000000000001</v>
      </c>
      <c r="I162" s="3">
        <f>1914.2+(297.2-335.8)+(-2.928726+(-0.454716--0.513774))+0-322.4--0.493272000000019</f>
        <v>1550.8236039999999</v>
      </c>
      <c r="J162" s="3">
        <f>1916.6+(308.6-367.3)+(0.977466+(0.157386-0.187323))+0-323.6-0.165035999999967</f>
        <v>1535.0824929999999</v>
      </c>
      <c r="K162" s="3">
        <f>1921.4+(255.5-353.2)+(-0.979914+(-0.130305--0.180132))+0-322.3--0.164372999999967</f>
        <v>1500.6342860000002</v>
      </c>
      <c r="L162" s="3">
        <f>1926+(129.2-332.3)+(-3.92904+(-0.263568--0.677892))+0-320.8--0.654431999999986</f>
        <v>1399.2397160000003</v>
      </c>
      <c r="M162" s="3">
        <f>1924.7+(65.2-344.4)+(-3.926388+(-0.133008--0.702576))+0-319.6--0.651983999999986</f>
        <v>1323.1951640000002</v>
      </c>
      <c r="N162" s="3">
        <f>1916.2+(64.6-358.2)+(1.954524+(0.065892-0.365364))+0-318.9-0.325278000000051</f>
        <v>1305.0297739999999</v>
      </c>
      <c r="O162" s="3">
        <f>1899.2+(109.2-371.1)+(0.968592+(0.055692-0.189261))+0-320.2-0.163301999999968</f>
        <v>1317.7717210000001</v>
      </c>
      <c r="P162" s="3">
        <f>1898.5+(142.4-373.1)+(0+(0-0))+0-323-0</f>
        <v>1344.8</v>
      </c>
      <c r="Q162" s="3">
        <f>1891.3+(214.7-369.6)+(-0.964563+(-0.109497--0.188496))+0-324.3--0.165392999999967</f>
        <v>1411.379829</v>
      </c>
      <c r="R162" s="3">
        <f>1882.5+(356-353.4)+(-3.8403+(-0.72624--0.720936))+0-323--0.658919999999986</f>
        <v>1558.9133159999999</v>
      </c>
      <c r="S162" s="3">
        <f>1877.1+(428.8-316.8)+(-6.701247+(-1.530816--1.130976))+0-323--1.15311</f>
        <v>1660.1520229999999</v>
      </c>
      <c r="T162" s="3">
        <f>1876.5+(390.3-242.6)+(-4.785075+(-0.995265--0.61863))+0-323--0.823649999999953</f>
        <v>1696.86194</v>
      </c>
      <c r="U162" s="3">
        <f>1875.1+(306.9-183.5)+(-2.868903+(-0.469557--0.280755))+0-322--0.492660000000019</f>
        <v>1673.9349550000002</v>
      </c>
      <c r="V162" s="3">
        <f>1876+(194-196.6)+(-2.87028+(-0.29682--0.300798))+0-322--0.492660000000019</f>
        <v>1549.0263580000003</v>
      </c>
      <c r="W162" s="3">
        <f>1873.6+(85-275.6)+(-2.866608+(-0.13005--0.421668))+0-323--0.494190000000019</f>
        <v>1357.9192</v>
      </c>
      <c r="X162" s="3">
        <f>1878.8+(20.5-343.8)+(0.958188+(0.010455-0.175338))+0-323-0.164729999999967</f>
        <v>1233.128575</v>
      </c>
      <c r="Y162" s="3">
        <f>1889.6+(93.1-325.8)+(-1.927392+(-0.094962--0.332316))+0-323--0.329460000000051</f>
        <v>1332.5394220000001</v>
      </c>
      <c r="Z162" s="3">
        <f>1897.5+(209.9-304.1)+(-5.80635+(-0.642294--0.930546))+0-323--0.988380000000037</f>
        <v>1475.770282</v>
      </c>
      <c r="AA162" s="3">
        <f>1904.4+(243.6-302.3)+(-3.884976+(-0.496944--0.616692))+0-323--0.658919999999986</f>
        <v>1519.5936920000001</v>
      </c>
      <c r="AB162" s="3">
        <f>1917.2+(266.7-348.8)+(0.977772+(0.136017-0.177888))+0-323-0.164729999999967</f>
        <v>1512.871171</v>
      </c>
      <c r="AC162" s="3">
        <f>1920.3+(315.2-352.5)+(-1.958706+(-0.321504--0.35955))+0-322--0.328440000000051</f>
        <v>1559.40778</v>
      </c>
      <c r="AD162">
        <v>1462</v>
      </c>
      <c r="AE162" s="3">
        <f>1901+(215.1-323.1)+(0+(0-0))+0-331-0</f>
        <v>1462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1923.8+(288.4-359.3)+(0+(0-0))+0-322-0</f>
        <v>1530.8999999999999</v>
      </c>
      <c r="G163" s="3">
        <f>1926.1+(278.1-337.7)+(0+(0-0))+0-323-0</f>
        <v>1543.5</v>
      </c>
      <c r="H163" s="3">
        <f>1925.9+(268.4-338.1)+(2.946627+(0.410652-0.517293))+0-324-0.495720000000019</f>
        <v>1534.5442659999999</v>
      </c>
      <c r="I163" s="3">
        <f>1922.9+(242.4-317.6)+(0+(0-0))+0-323-0</f>
        <v>1524.7</v>
      </c>
      <c r="J163" s="3">
        <f>1925.1+(218.2-310.5)+(0+(0-0))+0-320-0</f>
        <v>1512.8</v>
      </c>
      <c r="K163" s="3">
        <f>1928.2+(168.2-306.2)+(-6.883674+(-0.600474--1.093134))+0-320--1.1424</f>
        <v>1464.951386</v>
      </c>
      <c r="L163" s="3">
        <f>1929.7+(63.9-291.1)+(-6.889029+(-0.228123--1.039227))+0-320--1.1424</f>
        <v>1377.5644749999999</v>
      </c>
      <c r="M163" s="3">
        <f>1921+(20.1-304.8)+(0+(0-0))+0-321-0</f>
        <v>1315.3</v>
      </c>
      <c r="N163" s="3">
        <f>1911.4+(10.9-303.1)+(1.949628+(0.011118-0.309162))+0-321-0.327420000000051</f>
        <v>1299.5241639999999</v>
      </c>
      <c r="O163" s="3">
        <f>1905.3+(32.9-310.8)+(1.943406+(0.033558-0.317016))+0-322-0.328440000000051</f>
        <v>1306.7315079999998</v>
      </c>
      <c r="P163" s="3">
        <f>1890.9+(75.8-297.5)+(0.964359+(0.038658-0.151725))+0-325-0.165749999999967</f>
        <v>1344.8855420000002</v>
      </c>
      <c r="Q163" s="3">
        <f>1875.5+(165.8-313.6)+(0.956505+(0.084558-0.159936))+0-325-0.165749999999967</f>
        <v>1403.4153770000003</v>
      </c>
      <c r="R163" s="3">
        <f>1867.7+(296.9-303.8)+(-2.857581+(-0.454257--0.464814))+0-324--0.495720000000019</f>
        <v>1534.4486960000002</v>
      </c>
      <c r="S163" s="3">
        <f>1858.5+(434.3-302.6)+(-3.79134+(-0.885972--0.617304))+0-321--0.654839999999986</f>
        <v>1665.794832</v>
      </c>
      <c r="T163" s="3">
        <f>1856.2+(481.5-301.4)+(-0.946662+(-0.245565--0.153714))+0-321--0.163709999999967</f>
        <v>1714.4251970000003</v>
      </c>
      <c r="U163" s="3">
        <f>1854.5+(469.2-293)+(0.945795+(0.239292-0.14943))+0-323-0.164729999999967</f>
        <v>1708.570927</v>
      </c>
      <c r="V163" s="3">
        <f>1852.8+(353.7-273)+(-2.834784+(-0.541161--0.41769))+0-323--0.494190000000019</f>
        <v>1608.0359350000001</v>
      </c>
      <c r="W163" s="3">
        <f>1854.6+(127.6-253.5)+(-5.675076+(-0.390456--0.77571))+0-324--0.991440000000037</f>
        <v>1400.4016179999999</v>
      </c>
      <c r="X163" s="3">
        <f>1861.4+(28.8-319.8)+(-5.695884+(-0.088128--0.978588))+0-324--0.991440000000037</f>
        <v>1242.5860160000002</v>
      </c>
      <c r="Y163" s="3">
        <f>1878.2+(108.8-332.5)+(-2.873646+(-0.166464--0.508725))+0-321--0.491130000000019</f>
        <v>1331.4597450000001</v>
      </c>
      <c r="Z163" s="3">
        <f>1895.4+(214.6-319.8)+(-4.83327+(-0.54723--0.81549))+0-322--0.821099999999953</f>
        <v>1464.4560899999999</v>
      </c>
      <c r="AA163" s="3">
        <f>1900.6+(236.1-317.3)+(-7.754448+(-0.963288--1.294584))+0-320--1.30559999999997</f>
        <v>1493.2824479999997</v>
      </c>
      <c r="AB163" s="3">
        <f>1894.9+(254.6-355.5)+(0+(0-0))+0-321-0</f>
        <v>1473</v>
      </c>
      <c r="AC163" s="3">
        <f>1897.6+(254.1-360.9)+(0.967776+(0.129591-0.184059))+0-324-0.165239999999967</f>
        <v>1467.5480679999998</v>
      </c>
      <c r="AD163">
        <v>1429.1000000000001</v>
      </c>
      <c r="AE163" s="3">
        <f>1896+(205.9-340.8)+(0+(0-0))+0-332-0</f>
        <v>1429.1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1897+(269.1-375.6)+(0+(0-0))+0-322-0</f>
        <v>1468.5</v>
      </c>
      <c r="G164" s="3">
        <f>1895.7+(275.4-352.4)+(-0.966807+(-0.140454--0.179724))+0-322--0.164219999999967</f>
        <v>1495.9366829999999</v>
      </c>
      <c r="H164" s="3">
        <f>1894.2+(249.9-322.6)+(-1.932084+(-0.254898--0.329052))+0-322--0.328440000000051</f>
        <v>1497.9705100000001</v>
      </c>
      <c r="I164" s="3">
        <f>1895.5+(218.2-300.4)+(0.966705+(0.111282-0.153204))+0-322-0.164219999999967</f>
        <v>1492.060563</v>
      </c>
      <c r="J164" s="3">
        <f>1891.7+(179.9-286.1)+(0+(0-0))+0-321-0</f>
        <v>1464.5</v>
      </c>
      <c r="K164" s="3">
        <f>1894.1+(127.1-273.8)+(0+(0-0))+0-318-0</f>
        <v>1429.3999999999999</v>
      </c>
      <c r="L164" s="3">
        <f>1893+(54.7-307.8)+(-6.75801+(-0.195279--1.098846))+0-317--1.13169</f>
        <v>1318.1772470000001</v>
      </c>
      <c r="M164" s="3">
        <f>1889.9+(16.3-374.8)+(-2.891547+(-0.024939--0.573444))+0-316--0.483480000000018</f>
        <v>1213.5404380000002</v>
      </c>
      <c r="N164" s="3">
        <f>1886.8+(18.6-403.3)+(2.886804+(0.028458-0.617049))+0-318-0.486540000000018</f>
        <v>1185.9116729999998</v>
      </c>
      <c r="O164" s="3">
        <f>1886.1+(12.2-421.9)+(1.923822+(0.012444-0.430338))+0-318-0.324360000000051</f>
        <v>1159.5815679999998</v>
      </c>
      <c r="P164" s="3">
        <f>1877.8+(2.3-374.2)+(-0.957678+(-0.001173--0.190842))+0-320--0.163199999999968</f>
        <v>1185.2951910000002</v>
      </c>
      <c r="Q164" s="3">
        <f>1865.1+(55.4-356.2)+(0+(0-0))+0-319-0</f>
        <v>1245.3</v>
      </c>
      <c r="R164" s="3">
        <f>1858.5+(158.9-331.1)+(-0.947835+(-0.081039--0.168861))+0-319--0.162689999999968</f>
        <v>1366.6026769999999</v>
      </c>
      <c r="S164" s="3">
        <f>1853.8+(243-339.3)+(0+(0-0))+0-318-0</f>
        <v>1439.5</v>
      </c>
      <c r="T164" s="3">
        <f>1846+(300.1-311.3)+(-4.7073+(-0.765255--0.793815))+0-317--0.808349999999954</f>
        <v>1513.9296099999999</v>
      </c>
      <c r="U164" s="3">
        <f>1841.3+(298.2-298.3)+(-4.695315+(-0.76041--0.760665))+0-318--0.810899999999954</f>
        <v>1519.3158399999998</v>
      </c>
      <c r="V164" s="3">
        <f>1839.2+(208.6-272.9)+(0+(0-0))+0-318-0</f>
        <v>1456.9</v>
      </c>
      <c r="W164" s="3">
        <f>1844.9+(39-269.4)+(-5.645394+(-0.11934--0.824364))+0-319--0.976140000000037</f>
        <v>1291.53577</v>
      </c>
      <c r="X164" s="3">
        <f>1851.9+(11-405.8)+(-2.833407+(-0.01683--0.620874))+0-319--0.488070000000018</f>
        <v>1136.3587070000003</v>
      </c>
      <c r="Y164" s="3">
        <f>1860.9+(20-375.8)+(-0.949059+(-0.0102--0.191658))+0-319--0.162689999999968</f>
        <v>1185.495089</v>
      </c>
      <c r="Z164" s="3">
        <f>1866+(120.5-321.9)+(-4.7583+(-0.307275--0.820845))+0-320--0.815999999999954</f>
        <v>1341.17127</v>
      </c>
      <c r="AA164" s="3">
        <f>1867+(175-351.7)+(-4.76085+(-0.44625--0.896835))+0-319--0.813449999999954</f>
        <v>1367.8031849999998</v>
      </c>
      <c r="AB164" s="3">
        <f>1870.2+(235.7-350.1)+(-3.815208+(-0.480828--0.714204))+0-318--0.648719999999986</f>
        <v>1434.8668879999998</v>
      </c>
      <c r="AC164" s="3">
        <f>1877.3+(271.8-337.8)+(0+(0-0))+0-318-0</f>
        <v>1493.3</v>
      </c>
      <c r="AD164">
        <v>1319.4</v>
      </c>
      <c r="AE164" s="3">
        <f>1870+(144.3-374.9)+(0+(0-0))+0-320-0</f>
        <v>1319.4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1885.2+(282.3-357.4)+(-0.961452+(-0.143973--0.182274))+0-318--0.162179999999968</f>
        <v>1491.3390290000002</v>
      </c>
      <c r="G165" s="3">
        <f>1885.1+(268.3-334.4)+(-2.884203+(-0.410499--0.511632))+0-319--0.488070000000018</f>
        <v>1497.7050000000002</v>
      </c>
      <c r="H165" s="3">
        <f>1881.8+(224.3-308.4)+(-0.959718+(-0.114393--0.157284))+0-319--0.162689999999968</f>
        <v>1477.9458629999999</v>
      </c>
      <c r="I165" s="3">
        <f>1882.1+(181-295.2)+(-1.919742+(-0.18462--0.301104))+0-319--0.325380000000051</f>
        <v>1447.4221219999999</v>
      </c>
      <c r="J165" s="3">
        <f>1883.8+(131.9-282.5)+(-0.960738+(-0.067269--0.144075))+0-318--0.162179999999968</f>
        <v>1414.4782480000001</v>
      </c>
      <c r="K165" s="3">
        <f>1882.3+(99.1-286.1)+(-3.839892+(-0.202164--0.583644))+0-318--0.648719999999986</f>
        <v>1374.4903079999999</v>
      </c>
      <c r="L165" s="3">
        <f>1889+(17.7-308.5)+(-6.74373+(-0.063189--1.101345))+0-317--1.13169</f>
        <v>1276.6261159999999</v>
      </c>
      <c r="M165" s="3">
        <f>1890.9+(9.1-387.6)+(-1.928718+(-0.009282--0.395352))+0-316--0.32232000000005</f>
        <v>1195.179672</v>
      </c>
      <c r="N165" s="3">
        <f>1884+(8.1-407.2)+(0+(0-0))+0-318-0</f>
        <v>1166.9000000000001</v>
      </c>
      <c r="O165" s="3">
        <f>1885.1+(7.9-420.1)+(0.961401+(0.004029-0.214251))+0-318-0.162179999999968</f>
        <v>1155.4889989999999</v>
      </c>
      <c r="P165" s="3">
        <f>1875.3+(19-409.2)+(-0.956403+(-0.00969--0.208692))+0-319--0.162689999999968</f>
        <v>1165.5052889999997</v>
      </c>
      <c r="Q165" s="3">
        <f>1870+(62.8-403.2)+(-2.8611+(-0.096084--0.616896))+0-319--0.488070000000018</f>
        <v>1208.7477819999999</v>
      </c>
      <c r="R165" s="3">
        <f>1865.5+(119.6-361.7)+(-0.951405+(-0.060996--0.184467))+0-320--0.163199999999968</f>
        <v>1302.7352660000001</v>
      </c>
      <c r="S165" s="3">
        <f>1856.5+(222.8-338.1)+(-1.89363+(-0.227256--0.344862))+0-320--0.326400000000051</f>
        <v>1419.7503760000002</v>
      </c>
      <c r="T165" s="3">
        <f>1844.1+(314.7-363.3)+(-0.940491+(-0.160497--0.185283))+0-318--0.162179999999968</f>
        <v>1476.7464750000001</v>
      </c>
      <c r="U165" s="3">
        <f>1844.6+(145.9-348.1)+(-3.762984+(-0.297636--0.710124))+0-317--0.646679999999986</f>
        <v>1322.6961839999999</v>
      </c>
      <c r="V165" s="3">
        <f>1844.2+(99.5-332.9)+(2.821626+(0.152235-0.509337))+0-318-0.486540000000018</f>
        <v>1294.7779840000001</v>
      </c>
      <c r="W165" s="3">
        <f>1848.1+(71-331.8)+(-3.770124+(-0.14484--0.676872))+0-320--0.652799999999986</f>
        <v>1264.714708</v>
      </c>
      <c r="X165" s="3">
        <f>1856.4+(21.7-468.5)+(-1.893528+(-0.022134--0.47787))+0-320--0.326400000000051</f>
        <v>1088.4886080000003</v>
      </c>
      <c r="Y165" s="3">
        <f>1864.4+(36.4-490.9)+(0+(0-0))+0-320-0</f>
        <v>1089.9000000000001</v>
      </c>
      <c r="Z165" s="3">
        <f>1871.1+(145.3-385.1)+(-2.862783+(-0.222309--0.589203))+0-319--0.488070000000018</f>
        <v>1310.292181</v>
      </c>
      <c r="AA165" s="3">
        <f>1877.7+(115.8-356.2)+(-4.788135+(-0.29529--0.90831))+0-319--0.813449999999954</f>
        <v>1314.9383350000001</v>
      </c>
      <c r="AB165" s="3">
        <f>1887.4+(143.3-352.7)+(-2.887722+(-0.219249--0.539631))+0-318--0.486540000000018</f>
        <v>1357.9192</v>
      </c>
      <c r="AC165" s="3">
        <f>1894.3+(171.1-340.7)+(0.966093+(0.087261-0.173757))+0-318-0.162179999999968</f>
        <v>1407.4174170000001</v>
      </c>
      <c r="AD165">
        <v>1253.5999999999999</v>
      </c>
      <c r="AE165" s="3">
        <f>1877+(104.5-410.9)+(0+(0-0))+0-317-0</f>
        <v>1253.5999999999999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1899.5+(177-327.4)+(1.93749+(0.18054-0.333948))+0-319-0.325380000000051</f>
        <v>1431.5587019999998</v>
      </c>
      <c r="G166" s="3">
        <f>1898.2+(159.6-301.3)+(-2.904246+(-0.244188--0.460989))+0-320--0.489600000000018</f>
        <v>1434.3021550000001</v>
      </c>
      <c r="H166" s="3">
        <f>1893.1+(135.1-285.5)+(-1.930962+(-0.137802--0.29121))+0-320--0.326400000000051</f>
        <v>1421.248846</v>
      </c>
      <c r="I166" s="3">
        <f>1892.4+(124.9-302.4)+(-4.82562+(-0.318495--0.77112))+0-321--0.818549999999953</f>
        <v>1390.3455550000001</v>
      </c>
      <c r="J166" s="3">
        <f>1892.1+(77.8-288.9)+(-4.824855+(-0.19839--0.736695))+0-319--0.813449999999954</f>
        <v>1358.5268999999998</v>
      </c>
      <c r="K166" s="3">
        <f>1892.3+(26.5-281.2)+(2.895219+(0.040545-0.430236))+0-318-0.486540000000018</f>
        <v>1321.6189879999997</v>
      </c>
      <c r="L166" s="3">
        <f>1896.9+(13.2-334.5)+(-5.804514+(-0.040392--1.02357))+0-318--0.973080000000037</f>
        <v>1253.7517440000001</v>
      </c>
      <c r="M166" s="3">
        <f>1834.8+(13.8-337.4)+(0.935748+(0.007038-0.172074))+0-317-0.161669999999968</f>
        <v>1194.8090420000001</v>
      </c>
      <c r="N166" s="3">
        <f>1766+(14.8-315.9)+(2.70198+(0.022644-0.483327))+0-317-0.485010000000018</f>
        <v>1149.656287</v>
      </c>
      <c r="O166" s="3">
        <f>1757.6+(10.8-318.6)+(0+(0-0))+0-318-0</f>
        <v>1131.8</v>
      </c>
      <c r="P166" s="3">
        <f>1750.6+(12.8-299.9)+(2.678418+(0.019584-0.458847))+0-319-0.488070000000018</f>
        <v>1146.2510849999999</v>
      </c>
      <c r="Q166" s="3">
        <f>1745.5+(71.6-298.7)+(1.78041+(0.073032-0.304674))+0-319-0.325380000000051</f>
        <v>1200.6233880000002</v>
      </c>
      <c r="R166" s="3">
        <f>1832.8+(112.8-322.5)+(-3.738912+(-0.230112--0.6579))+0-319--0.650759999999986</f>
        <v>1301.4396359999998</v>
      </c>
      <c r="S166" s="3">
        <f>1838.6+(191.9-310.7)+(0+(0-0))+0-319-0</f>
        <v>1400.8</v>
      </c>
      <c r="T166" s="3">
        <f>1835.1+(253.3-290.3)+(0.935901+(0.129183-0.148053))+0-319-0.162689999999968</f>
        <v>1479.854341</v>
      </c>
      <c r="U166" s="3">
        <f>1839+(259.8-286)+(-2.81367+(-0.397494--0.43758))+0-318--0.486540000000018</f>
        <v>1492.512956</v>
      </c>
      <c r="V166" s="3">
        <f>1840.5+(188.8-273.9)+(-3.75462+(-0.385152--0.558756))+0-318--0.648719999999986</f>
        <v>1434.4677039999999</v>
      </c>
      <c r="W166" s="3">
        <f>1839.3+(75.2-328.5)+(-2.814129+(-0.115056--0.502605))+0-319--0.488070000000018</f>
        <v>1265.06149</v>
      </c>
      <c r="X166" s="3">
        <f>1844.5+(13.5-440.1)+(-4.703475+(-0.034425--1.122255))+0-320--0.815999999999954</f>
        <v>1095.100355</v>
      </c>
      <c r="Y166" s="3">
        <f>1866.1+(31-438.5)+(0+(0-0))+0-320-0</f>
        <v>1138.5999999999999</v>
      </c>
      <c r="Z166" s="3">
        <f>1871.3+(126.4-346.5)+(-2.863089+(-0.193392--0.530145))+0-320--0.489600000000018</f>
        <v>1329.1632640000003</v>
      </c>
      <c r="AA166" s="3">
        <f>1877.4+(157.8-310.3)+(-2.872422+(-0.241434--0.474759))+0-319--0.488070000000018</f>
        <v>1403.7489730000002</v>
      </c>
      <c r="AB166" s="3">
        <f>1884.4+(203.4-311)+(-1.922088+(-0.207468--0.31722))+0-319--0.325380000000051</f>
        <v>1456.3130440000002</v>
      </c>
      <c r="AC166" s="3">
        <f>1886.2+(230.3-288.8)+(-4.80981+(-0.587265--0.73644))+0-320--0.815999999999954</f>
        <v>1503.8553650000001</v>
      </c>
      <c r="AD166">
        <v>1073.9000000000001</v>
      </c>
      <c r="AE166" s="3">
        <f>1871+(7.7-483.8)+(0+(0-0))+0-321-0</f>
        <v>1073.9000000000001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1890+(215.8-301.9)+(-3.8556+(-0.440232--0.615876))+0-318--0.648719999999986</f>
        <v>1482.8687640000001</v>
      </c>
      <c r="G167" s="3">
        <f>1901.2+(224.5-320.2)+(-4.84806+(-0.572475--0.81651))+0-319--0.813449999999954</f>
        <v>1482.7094249999998</v>
      </c>
      <c r="H167" s="3">
        <f>1902.7+(183.6-299.1)+(-3.881508+(-0.374544--0.610164))+0-320--0.652799999999986</f>
        <v>1464.2069120000001</v>
      </c>
      <c r="I167" s="3">
        <f>1904+(140.6-285.4)+(-0.97104+(-0.071706--0.145554))+0-320--0.163199999999968</f>
        <v>1438.4660080000001</v>
      </c>
      <c r="J167" s="3">
        <f>1899.8+(96.1-269.8)+(0+(0-0))+0-320-0</f>
        <v>1406.1</v>
      </c>
      <c r="K167" s="3">
        <f>1898.1+(60.8-273.4)+(2.904093+(0.093024-0.418302))+0-318-0.486540000000018</f>
        <v>1369.592275</v>
      </c>
      <c r="L167" s="3">
        <f>1898.2+(13.2-306.2)+(-5.808492+(-0.040392--0.936972))+0-318--0.973080000000037</f>
        <v>1283.261168</v>
      </c>
      <c r="M167" s="3">
        <f>1900.5+(7.8-373.9)+(1.93851+(0.007956-0.381378))+0-318-0.324360000000051</f>
        <v>1217.6407280000001</v>
      </c>
      <c r="N167" s="3">
        <f>1890.3+(9.7-369)+(2.892159+(0.014841-0.56457))+0-319-0.488070000000018</f>
        <v>1213.8543599999998</v>
      </c>
      <c r="O167" s="3">
        <f>1875.7+(41.2-377.6)+(0.956607+(0.021012-0.192576))+0-323-0.164729999999967</f>
        <v>1216.9203130000001</v>
      </c>
      <c r="P167" s="3">
        <f>1863.3+(84.3-386.2)+(0.950283+(0.042993-0.196962))+0-324.6-0.165545999999967</f>
        <v>1237.4307679999999</v>
      </c>
      <c r="Q167" s="3">
        <f>1838.2+(107.4-333.9)+(0+(0-0))+0-319.1-0</f>
        <v>1292.5999999999999</v>
      </c>
      <c r="R167" s="3">
        <f>1839.1+(195.3-338.4)+(0+(0-0))+0-322.3-0</f>
        <v>1373.7</v>
      </c>
      <c r="S167" s="3">
        <f>1830.4+(361.8-344.8)+(-2.800512+(-0.553554--0.527544))+0-323.4--0.494802000000019</f>
        <v>1521.6682800000001</v>
      </c>
      <c r="T167" s="3">
        <f>1827.7+(394.9-345)+(0.932127+(0.201399-0.17595))+0-322.2-0.164321999999967</f>
        <v>1556.193254</v>
      </c>
      <c r="U167" s="3">
        <f>1836.5+(375.3-338.8)+(-2.809845+(-0.574209--0.518364))+0-323.5--0.494955000000019</f>
        <v>1547.129265</v>
      </c>
      <c r="V167" s="3">
        <f>1849.2+(290.4-313.1)+(-3.772368+(-0.592416--0.638724))+0-322.4--0.657695999999986</f>
        <v>1501.0316359999999</v>
      </c>
      <c r="W167" s="3">
        <f>1854.4+(120.9-330.3)+(-4.72872+(-0.308295--0.842265))+0-323.5--0.824924999999953</f>
        <v>1318.1301749999998</v>
      </c>
      <c r="X167" s="3">
        <f>1857.1+(45.1-442.7)+(-6.629847+(-0.161007--1.580439))+0-322.8--1.152396</f>
        <v>1132.641981</v>
      </c>
      <c r="Y167" s="3">
        <f>1864.9+(98-431.8)+(-1.902198+(-0.09996--0.440436))+0-323--0.329460000000051</f>
        <v>1206.8677380000004</v>
      </c>
      <c r="Z167" s="3">
        <f>1874.9+(175.4-352.1)+(-0.956199+(-0.089454--0.179571))+0-322.2--0.164321999999967</f>
        <v>1375.2982399999999</v>
      </c>
      <c r="AA167" s="3">
        <f>1881.6+(244.5-350.4)+(-6.717312+(-0.872865--1.250928))+0-323.2--1.153824</f>
        <v>1447.3145749999996</v>
      </c>
      <c r="AB167" s="3">
        <f>1878.2+(294.5-351.2)+(-1.915764+(-0.30039--0.358224))+0-322--0.328440000000051</f>
        <v>1497.9705100000001</v>
      </c>
      <c r="AC167" s="3">
        <f>1885.8+(311.8-350.2)+(-1.923516+(-0.318036--0.357204))+0-320.6--0.327012000000051</f>
        <v>1525.2426640000001</v>
      </c>
      <c r="AD167">
        <v>1396.9999999999998</v>
      </c>
      <c r="AE167" s="3">
        <f>1874+(205.7-354.9)+(0+(0-0))+0-327.8-0</f>
        <v>1397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1884.3+(320.8-341.4)+(-1.921986+(-0.327216--0.348228))+0-321.8--0.328236000000051</f>
        <v>1540.3272620000002</v>
      </c>
      <c r="G168" s="3">
        <f>1888.7+(283.6-322.7)+(0+(0-0))+0-320.1-0</f>
        <v>1529.5</v>
      </c>
      <c r="H168" s="3">
        <f>1890.4+(240.7-307.8)+(-0.964104+(-0.122757--0.156978))+0-320.1--0.163250999999968</f>
        <v>1502.433368</v>
      </c>
      <c r="I168" s="3">
        <f>1887.3+(213.1-303.4)+(-2.887569+(-0.326043--0.464202))+0-320.7--0.490671000000019</f>
        <v>1474.0412610000001</v>
      </c>
      <c r="J168" s="3">
        <f>1888.6+(163-291.8)+(-1.926372+(-0.16626--0.297636))+0-320.4--0.326808000000051</f>
        <v>1437.931812</v>
      </c>
      <c r="K168" s="3">
        <f>1888.2+(107.7-278.7)+(-1.925964+(-0.109854--0.284274))+0-319.6--0.325992000000051</f>
        <v>1396.1744480000002</v>
      </c>
      <c r="L168" s="3">
        <f>1888.5+(11.3-296.8)+(-3.85254+(-0.023052--0.605472))+0-319.7--0.652187999999986</f>
        <v>1280.6820680000001</v>
      </c>
      <c r="M168" s="3">
        <f>1887.7+(1.4-372.1)+(1.925454+(0.001428-0.379542))+0-319.7-0.326094000000051</f>
        <v>1198.521246</v>
      </c>
      <c r="N168" s="3">
        <f>1889.7+(14.1-390.7)+(1.927494+(0.014382-0.398514))+0-320.4-0.326808000000051</f>
        <v>1193.9165540000001</v>
      </c>
      <c r="O168" s="3">
        <f>1885.1+(72.1-388.9)+(0+(0-0))+0-318.9-0</f>
        <v>1249.4000000000001</v>
      </c>
      <c r="P168" s="3">
        <f>1872.9+(105.1-401.5)+(-1.910358+(-0.107202--0.40953))+0-321.1--0.327522000000051</f>
        <v>1254.1194919999998</v>
      </c>
      <c r="Q168" s="3">
        <f>1743.5+(194.7-324)+(0.889185+(0.099297-0.16524))+0-324.2-0.165341999999967</f>
        <v>1290.6578999999999</v>
      </c>
      <c r="R168" s="3">
        <f>1785.8+(355.6-326.9)+(-0.910758+(-0.181356--0.166719))+0-324.4--0.165443999999967</f>
        <v>1489.3400490000001</v>
      </c>
      <c r="S168" s="3">
        <f>1850.9+(399.3-348.5)+(-1.887918+(-0.407286--0.35547))+0-324--0.330480000000052</f>
        <v>1576.0907460000001</v>
      </c>
      <c r="T168" s="3">
        <f>1847.3+(451.9-346.7)+(0.942123+(0.230469-0.176817))+0-321.7-0.164066999999967</f>
        <v>1631.6317080000001</v>
      </c>
      <c r="U168" s="3">
        <f>1844.6+(440.3-333.6)+(-1.881492+(-0.449106--0.340272))+0-323.9--0.330378000000052</f>
        <v>1625.7400520000001</v>
      </c>
      <c r="V168" s="3">
        <f>1839.9+(338-316.9)+(-0.938349+(-0.17238--0.161619))+0-323.8--0.165137999999967</f>
        <v>1536.4160280000001</v>
      </c>
      <c r="W168" s="3">
        <f>1845.6+(143.1-317)+(-2.823768+(-0.218943--0.48501))+0-323.6--0.495108000000019</f>
        <v>1346.0374069999998</v>
      </c>
      <c r="X168" s="3">
        <f>1852.7+(76.8-443.6)+(-2.834631+(-0.117504--0.678708))+0-322.1--0.492813000000019</f>
        <v>1162.0193860000002</v>
      </c>
      <c r="Y168" s="3">
        <f>1865.8+(103.4-420.3)+(-1.903116+(-0.105468--0.428706))+0-321.5--0.327930000000051</f>
        <v>1226.1480520000002</v>
      </c>
      <c r="Z168" s="3">
        <f>1880.9+(207.6-362.5)+(-0.959259+(-0.105876--0.184875))+0-320.7--0.163556999999967</f>
        <v>1404.5832969999999</v>
      </c>
      <c r="AA168" s="3">
        <f>1893.3+(251-351.3)+(-3.862332+(-0.51204--0.716652))+0-320.2--0.653207999999986</f>
        <v>1469.795488</v>
      </c>
      <c r="AB168" s="3">
        <f>1891.7+(302-349)+(-5.788602+(-0.92412--1.06794))+0-318.4--0.974304000000037</f>
        <v>1521.629522</v>
      </c>
      <c r="AC168" s="3">
        <f>1891.1+(324.9-326.8)+(-0.964461+(-0.165699--0.166668))+0-318.6--0.162485999999968</f>
        <v>1569.7989939999995</v>
      </c>
      <c r="AD168">
        <v>1417.1999999999998</v>
      </c>
      <c r="AE168" s="3">
        <f>1897+(208.1-368.4)+(0+(0-0))+0-319.5-0</f>
        <v>1417.2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1890.3+(293.2-324.8)+(-0.964053+(-0.149532--0.165648))+0-318.5--0.162434999999968</f>
        <v>1539.4144979999999</v>
      </c>
      <c r="G169" s="3">
        <f>1897.5+(242.1-293.9)+(-2.903175+(-0.370413--0.449667))+0-318.8--0.487764000000018</f>
        <v>1524.5638430000001</v>
      </c>
      <c r="H169" s="3">
        <f>1902.8+(195.2-278.7)+(-0.970428+(-0.099552--0.142137))+0-319.9--0.163148999999968</f>
        <v>1498.6353060000001</v>
      </c>
      <c r="I169" s="3">
        <f>1905.1+(175.2-293.8)+(-1.943202+(-0.178704--0.299676))+0-319.7--0.326094000000051</f>
        <v>1465.303864</v>
      </c>
      <c r="J169" s="3">
        <f>1927.2+(123.6-303.7)+(2.948616+(0.189108-0.464661))+0-319.5-0.488835000000018</f>
        <v>1429.784228</v>
      </c>
      <c r="K169" s="3">
        <f>1930.2+(69.3-291.3)+(0+(0-0))+0-319.4-0</f>
        <v>1388.8000000000002</v>
      </c>
      <c r="L169" s="3">
        <f>1932.3+(8.9-341.3)+(-5.912838+(-0.027234--1.044378))+0-317.5--0.971550000000037</f>
        <v>1278.4758559999998</v>
      </c>
      <c r="M169" s="3">
        <f>1925.8+(10.2-381.2)+(0.982158+(0.005202-0.194412))+0-317.8-0.162077999999968</f>
        <v>1237.63087</v>
      </c>
      <c r="N169" s="3">
        <f>1907.4+(12.7-378)+(-0.972774+(-0.006477--0.19278))+0-319--0.162689999999968</f>
        <v>1222.4762190000001</v>
      </c>
      <c r="O169" s="3">
        <f>1886.9+(49.6-406.6)+(0.962319+(0.025296-0.207366))+0-321.4-0.163913999999967</f>
        <v>1209.1163349999999</v>
      </c>
      <c r="P169" s="3">
        <f>1873.2+(132.2-432.5)+(0.955332+(0.067422-0.220575))+0-316.7-0.161516999999968</f>
        <v>1256.8406620000001</v>
      </c>
      <c r="Q169" s="3">
        <f>1858.4+(177.3-398.3)+(2.843352+(0.271269-0.609399))+0-321.1-0.491283000000019</f>
        <v>1318.3139389999999</v>
      </c>
      <c r="R169" s="3">
        <f>1855.4+(285.3-373)+(-2.838762+(-0.436509--0.57069))+0-319.8--0.489294000000018</f>
        <v>1445.6847130000001</v>
      </c>
      <c r="S169" s="3">
        <f>1847.2+(414.4-365.8)+(0+(0-0))+0-319.7-0</f>
        <v>1576.1</v>
      </c>
      <c r="T169" s="3">
        <f>1819.9+(483.6-341.3)+(-0.928149+(-0.246636--0.174063))+0-313.7--0.159986999999968</f>
        <v>1647.659265</v>
      </c>
      <c r="U169" s="3">
        <f>1764.3+(425.8-338.5)+(1.799586+(0.434316-0.34527))+0-294.1-0.299982000000047</f>
        <v>1559.0886499999997</v>
      </c>
      <c r="V169" s="3">
        <f>1685.2+(369.4-313.5)+(0+(0-0))+0-319.3-0</f>
        <v>1421.8</v>
      </c>
      <c r="W169" s="3">
        <f>1708.6+(169.5-316.7)+(-3.485544+(-0.34578--0.646068))+0-320.1--0.653003999999986</f>
        <v>1238.767748</v>
      </c>
      <c r="X169" s="3">
        <f>1838.2+(90.4-428)+(-2.812446+(-0.138312--0.65484))+0-319.9--0.489447000000018</f>
        <v>1178.8935289999999</v>
      </c>
      <c r="Y169" s="3">
        <f>1876.1+(173.8-447.4)+(0.956811+(0.088638-0.228174))+0-321.8-0.164117999999967</f>
        <v>1281.3531570000002</v>
      </c>
      <c r="Z169" s="3">
        <f>1883.9+(243.8-351.8)+(-1.921578+(-0.248676--0.358836))+0-323.5--0.329970000000052</f>
        <v>1450.9185520000001</v>
      </c>
      <c r="AA169" s="3">
        <f>1891.6+(305.5-347.3)+(-4.82358+(-0.779025--0.885615))+0-323.2--0.824159999999953</f>
        <v>1522.7071699999999</v>
      </c>
      <c r="AB169" s="3">
        <f>1895.3+(339.9-345)+(-2.899809+(-0.520047--0.52785))+0-322.8--0.493884000000019</f>
        <v>1565.0018779999998</v>
      </c>
      <c r="AC169" s="3">
        <f>1898.1+(349.2-324.6)+(-1.936062+(-0.356184--0.331092))+0-320.2--0.326604000000051</f>
        <v>1600.8654499999998</v>
      </c>
      <c r="AD169">
        <v>1442.6000000000001</v>
      </c>
      <c r="AE169" s="3">
        <f>1888+(238-359.1)+(0+(0-0))+0-324.3-0</f>
        <v>1442.6000000000001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1909.5+(301.5-320.8)+(-2.921535+(-0.461295--0.490824))+0-320.6--0.490518000000019</f>
        <v>1567.1985119999999</v>
      </c>
      <c r="G170" s="3">
        <f>1911.8+(256.9-291.7)+(-2.925054+(-0.393057--0.446301))+0-321.6--0.492048000000019</f>
        <v>1553.0202380000001</v>
      </c>
      <c r="H170" s="3">
        <f>1913+(207.9-275.5)+(-1.95126+(-0.212058--0.28101))+0-321.8--0.328236000000051</f>
        <v>1522.0459280000002</v>
      </c>
      <c r="I170" s="3">
        <f>1915.3+(182.5-279.2)+(-2.930409+(-0.279225--0.427176))+0-323--0.494190000000019</f>
        <v>1493.3117320000001</v>
      </c>
      <c r="J170" s="3">
        <f>1915.4+(145.8-280)+(0.976854+(0.074358-0.1428))+0-321.5-0.163964999999967</f>
        <v>1460.4444470000001</v>
      </c>
      <c r="K170" s="3">
        <f>1917.3+(89.2-265.6)+(1.955646+(0.090984-0.270912))+0-321.3-0.327726000000051</f>
        <v>1421.047992</v>
      </c>
      <c r="L170" s="3">
        <f>1920.8+(11.7-343.8)+(-0.979608+(-0.005967--0.175338))+0-319.6--0.162995999999968</f>
        <v>1268.4527589999998</v>
      </c>
      <c r="M170" s="3">
        <f>1924.1+(103.3-456)+(-1.962582+(-0.105366--0.46512))+0-318.4--0.324768000000051</f>
        <v>1251.7219399999999</v>
      </c>
      <c r="N170" s="3">
        <f>1908.2+(95.2-411.6)+(-1.946364+(-0.097104--0.419832))+0-321.7--0.328134000000051</f>
        <v>1268.804498</v>
      </c>
      <c r="O170" s="3">
        <f>1894.3+(78-428.6)+(0.966093+(0.03978-0.218586))+0-323.1-0.164780999999967</f>
        <v>1221.2225060000001</v>
      </c>
      <c r="P170" s="3">
        <f>1858.2+(118.5-427.3)+(1.895364+(0.12087-0.435846))+0-322.6-0.329052000000051</f>
        <v>1228.051336</v>
      </c>
      <c r="Q170" s="3">
        <f>1826.2+(126.1-347.6)+(0+(0-0))+0-320.8-0</f>
        <v>1283.9000000000001</v>
      </c>
      <c r="R170" s="3">
        <f>1667.8+(322.9-331.9)+(0.850578+(0.164679-0.169269))+0-319.4-0.162893999999968</f>
        <v>1340.0830940000001</v>
      </c>
      <c r="S170" s="3">
        <f>1798.4+(467.5-333.6)+(-3.668736+(-0.9537--0.680544))+0-320.6--0.654023999999986</f>
        <v>1608.4121319999999</v>
      </c>
      <c r="T170" s="3">
        <f>1805.6+(533.4-333.9)+(0.920856+(0.272034-0.170289))+0-322.3-0.164372999999967</f>
        <v>1683.6582279999998</v>
      </c>
      <c r="U170" s="3">
        <f>1806.5+(542.8-310)+(-2.763945+(-0.830484--0.4743))+0-321.2--0.491436000000019</f>
        <v>1715.471307</v>
      </c>
      <c r="V170" s="3">
        <f>1807.1+(435.4-295.7)+(-0.921621+(-0.222054--0.150807))+0-322.8--0.164627999999967</f>
        <v>1623.1717599999999</v>
      </c>
      <c r="W170" s="3">
        <f>1809+(225.9-279.6)+(-2.76777+(-0.345627--0.427788))+0-319.7--0.489141000000018</f>
        <v>1433.4035319999998</v>
      </c>
      <c r="X170" s="3">
        <f>1795.2+(103.7-361.2)+(-1.831104+(-0.105774--0.368424))+0-318.9--0.325278000000051</f>
        <v>1217.556824</v>
      </c>
      <c r="Y170" s="3">
        <f>1802.7+(178.6-352.7)+(0+(0-0))+0-320.1-0</f>
        <v>1308.5</v>
      </c>
      <c r="Z170" s="3">
        <f>1805.6+(328.8-326.6)+(0+(0-0))+0-321.5-0</f>
        <v>1486.3</v>
      </c>
      <c r="AA170" s="3">
        <f>1808.7+(397.6-315.3)+(-4.612185+(-1.01388--0.804015))+0-322.2--0.821609999999953</f>
        <v>1564.7995599999999</v>
      </c>
      <c r="AB170" s="3">
        <f>1804+(449.1-324.3)+(-4.6002+(-1.145205--0.826965))+0-321.7--0.820334999999953</f>
        <v>1603.0018949999999</v>
      </c>
      <c r="AC170" s="3">
        <f>1802.7+(451.1-299.9)+(-2.758131+(-0.690183--0.458847))+0-320.3--0.490059000000019</f>
        <v>1631.100592</v>
      </c>
      <c r="AD170">
        <v>1458.3000000000002</v>
      </c>
      <c r="AE170" s="3">
        <f>1808+(311.8-339.6)+(0+(0-0))+0-321.9-0</f>
        <v>1458.3000000000002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1803.7+(408.8-305.8)+(-3.679548+(-0.833952--0.623832))+0-322--0.656879999999986</f>
        <v>1581.467212</v>
      </c>
      <c r="G171" s="3">
        <f>1810.8+(369.1-283.7)+(-2.770524+(-0.564723--0.434061))+0-322.7--0.493731000000019</f>
        <v>1571.092545</v>
      </c>
      <c r="H171" s="3">
        <f>1817+(352-302.3)+(-0.92667+(-0.17952--0.154173))+0-321.5--0.163964999999967</f>
        <v>1544.4119479999999</v>
      </c>
      <c r="I171" s="3">
        <f>1817.9+(316.1-294.5)+(-3.708516+(-0.644844--0.60078))+0-321.9--0.656675999999986</f>
        <v>1514.5040960000001</v>
      </c>
      <c r="J171" s="3">
        <f>1835.8+(247.9-279.5)+(-1.872516+(-0.252858--0.28509))+0-322.2--0.328644000000051</f>
        <v>1480.4883599999998</v>
      </c>
      <c r="K171" s="3">
        <f>1807.3+(213.3-266.4)+(0.921723+(0.108783-0.135864))+0-322.6-0.164525999999967</f>
        <v>1432.3301160000001</v>
      </c>
      <c r="L171" s="3">
        <f>1813.2+(72.7-231.5)+(-6.473124+(-0.259539--0.826455))+0-322.6--1.151682</f>
        <v>1327.0454739999998</v>
      </c>
      <c r="M171" s="3">
        <f>1811.2+(42.6-256.7)+(1.847424+(0.043452-0.261834))+0-322.6-0.329052000000051</f>
        <v>1275.79999</v>
      </c>
      <c r="N171" s="3">
        <f>1805.6+(90.9-275.7)+(-0.920856+(-0.046359--0.140607))+0-322.1--0.164270999999967</f>
        <v>1298.0376629999998</v>
      </c>
      <c r="O171" s="3">
        <f>1804+(133.1-286.8)+(0+(0-0))+0-323-0</f>
        <v>1327.3</v>
      </c>
      <c r="P171" s="3">
        <f>1884.6+(166-405.9)+(-0.961146+(-0.08466--0.207009))+0-322.2--0.164321999999967</f>
        <v>1321.8255249999995</v>
      </c>
      <c r="Q171" s="3">
        <f>1828.1+(224.6-344.6)+(-0.932331+(-0.114546--0.175746))+0-323.6--0.165035999999967</f>
        <v>1383.7939049999995</v>
      </c>
      <c r="R171" s="3">
        <f>1859+(350.6-337.7)+(-0.94809+(-0.178806--0.172227))+0-323.4--0.164933999999967</f>
        <v>1547.7102650000002</v>
      </c>
      <c r="S171" s="3">
        <f>1858.6+(471.9-341.4)+(-2.843658+(-0.722007--0.522342))+0-322.2--0.492966000000019</f>
        <v>1664.3496429999998</v>
      </c>
      <c r="T171" s="3">
        <f>1857.3+(499.6-345.2)+(-2.841669+(-0.764388--0.528156))+0-322.2--0.492966000000019</f>
        <v>1686.9150649999999</v>
      </c>
      <c r="U171" s="3">
        <f>1855.6+(486-332.6)+(-4.73178+(-1.2393--0.84813))+0-319.3--0.814214999999954</f>
        <v>1685.391265</v>
      </c>
      <c r="V171" s="3">
        <f>1857.7+(367.9-322.6)+(-3.789708+(-0.750516--0.658104))+0-319.6--0.651983999999986</f>
        <v>1580.169864</v>
      </c>
      <c r="W171" s="3">
        <f>1851.8+(182.8-327.5)+(-5.666508+(-0.559368--1.00215))+0-321--0.982260000000037</f>
        <v>1381.858534</v>
      </c>
      <c r="X171" s="3">
        <f>1874.3+(77.8-433.6)+(-6.691251+(-0.277746--1.547952))+0-323--1.15311</f>
        <v>1191.2320649999999</v>
      </c>
      <c r="Y171" s="3">
        <f>1887.7+(127.5-402.1)+(-0.962727+(-0.065025--0.205071))+0-323.5--0.164984999999967</f>
        <v>1288.9423039999997</v>
      </c>
      <c r="Z171" s="3">
        <f>1898.8+(245.7-365)+(-3.873552+(-0.501228--0.7446))+0-322.5--0.657899999999986</f>
        <v>1454.0277199999998</v>
      </c>
      <c r="AA171" s="3">
        <f>1903.8+(288.2-347.8)+(-5.825628+(-0.881892--1.064268))+0-321.3--0.983178000000037</f>
        <v>1518.2399259999997</v>
      </c>
      <c r="AB171" s="3">
        <f>1889.3+(339.6-342.5)+(-4.817715+(-0.86598--0.873375))+0-322.4--0.822119999999953</f>
        <v>1560.0118</v>
      </c>
      <c r="AC171" s="3">
        <f>1877.7+(367.9-325.6)+(-1.915254+(-0.375258--0.332112))+0-321.6--0.328032000000051</f>
        <v>1596.7696320000002</v>
      </c>
      <c r="AD171">
        <v>1341.9</v>
      </c>
      <c r="AE171" s="3">
        <f>1910+(220.3-466.5)+(0+(0-0))+0-321.9-0</f>
        <v>1341.9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1850+(357.1-325.8)+(-1.887+(-0.364242--0.332316))+0-321.2--0.327624000000051</f>
        <v>1558.5086979999999</v>
      </c>
      <c r="G172" s="3">
        <f>1870.7+(294.9-304.6)+(-2.862171+(-0.451197--0.466038))+0-322.6--0.493578000000019</f>
        <v>1536.0462480000001</v>
      </c>
      <c r="H172" s="3">
        <f>1879.6+(237.9-282.2)+(-0.958596+(-0.121329--0.143922))+0-325.2--0.165851999999967</f>
        <v>1509.3298489999997</v>
      </c>
      <c r="I172" s="3">
        <f>1879.2+(213.4-281.3)+(-1.916784+(-0.217668--0.286926))+0-322.5--0.328950000000051</f>
        <v>1487.281424</v>
      </c>
      <c r="J172" s="3">
        <f>1885.1+(172.4-281.2)+(0.961401+(0.087924-0.143412))+0-320.8-0.163607999999967</f>
        <v>1456.242305</v>
      </c>
      <c r="K172" s="3">
        <f>1877.8+(110-268.1)+(-4.78839+(-0.2805--0.683655))+0-320.2--0.816509999999954</f>
        <v>1395.9312749999997</v>
      </c>
      <c r="L172" s="3">
        <f>1889+(22.7-304.8)+(-3.85356+(-0.046308--0.621792))+0-320.7--0.654227999999986</f>
        <v>1283.5761519999999</v>
      </c>
      <c r="M172" s="3">
        <f>1865.4+(19.6-390.5)+(-0.951354+(-0.009996--0.199155))+0-319.3--0.162842999999968</f>
        <v>1174.6006480000001</v>
      </c>
      <c r="N172" s="3">
        <f>1895.2+(52.9-416.1)+(0.966552+(0.026979-0.212211))+0-321.7-0.164066999999967</f>
        <v>1210.9172530000001</v>
      </c>
      <c r="O172" s="3">
        <f>1888.2+(106-435.9)+(1.925964+(0.10812-0.444618))+0-321.4-0.327828000000051</f>
        <v>1238.161638</v>
      </c>
      <c r="P172" s="3">
        <f>1873.9+(155-443.2)+(0.955689+(0.07905-0.226032))+0-320.2-0.163301999999968</f>
        <v>1266.145405</v>
      </c>
      <c r="Q172" s="3">
        <f>1858.6+(183.9-427.6)+(1.895772+(0.187578-0.436152))+0-314.6-0.32089200000005</f>
        <v>1301.6263059999999</v>
      </c>
      <c r="R172" s="3">
        <f>1810.3+(327.4-359.2)+(0+(0-0))+0-317.9-0</f>
        <v>1460.6</v>
      </c>
      <c r="S172" s="3">
        <f>1838.6+(435.2-352.4)+(-4.68843+(-1.10976--0.89862))+0-318.4--0.811919999999954</f>
        <v>1598.9123499999998</v>
      </c>
      <c r="T172" s="3">
        <f>1827.7+(489.6-359.4)+(1.864254+(0.499392-0.366588))+0-319.1-0.325482000000051</f>
        <v>1640.4715760000001</v>
      </c>
      <c r="U172" s="3">
        <f>1831.1+(480.8-344.2)+(-1.867722+(-0.490416--0.351084))+0-318.4--0.324768000000051</f>
        <v>1647.617714</v>
      </c>
      <c r="V172" s="3">
        <f>1831.1+(349.4-323)+(-6.537027+(-1.247358--1.15311))+0-318.7--1.137759</f>
        <v>1533.306484</v>
      </c>
      <c r="W172" s="3">
        <f>1831.4+(183.8-353.5)+(-4.67007+(-0.46869--0.901425))+0-319.8--0.815489999999954</f>
        <v>1338.478155</v>
      </c>
      <c r="X172" s="3">
        <f>1832.5+(116.3-478.4)+(-2.803725+(-0.177939--0.731952))+0-323.6--0.495108000000019</f>
        <v>1145.045396</v>
      </c>
      <c r="Y172" s="3">
        <f>1855.9+(163.2-457.4)+(-0.946509+(-0.083232--0.233274))+0-322.4--0.164423999999967</f>
        <v>1238.6679570000001</v>
      </c>
      <c r="Z172" s="3">
        <f>1867.8+(245.6-373)+(-4.76289+(-0.62628--0.95115))+0-320.6--0.817529999999954</f>
        <v>1416.1795099999997</v>
      </c>
      <c r="AA172" s="3">
        <f>1876.3+(263.9-359.4)+(-2.870739+(-0.403767--0.549882))+0-319.7--0.489141000000018</f>
        <v>1458.864517</v>
      </c>
      <c r="AB172" s="3">
        <f>1886.5+(345.4-363.1)+(-4.810575+(-0.88077--0.925905))+0-321.8--0.820589999999953</f>
        <v>1543.0551500000001</v>
      </c>
      <c r="AC172" s="3">
        <f>1890.7+(355.7-362.3)+(0+(0-0))+0-319.6-0</f>
        <v>1564.5</v>
      </c>
      <c r="AD172">
        <v>1376.9</v>
      </c>
      <c r="AE172" s="3">
        <f>1866+(220-389.6)+(0+(0-0))+0-319.5-0</f>
        <v>1376.9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1892.9+(321.9-359.4)+(0.965379+(0.164169-0.183294))+0-320.3-0.163352999999968</f>
        <v>1535.8829010000002</v>
      </c>
      <c r="G173" s="3">
        <f>1896.4+(297.4-342.3)+(-2.901492+(-0.455022--0.523719))+0-322.3--0.493119000000019</f>
        <v>1526.860324</v>
      </c>
      <c r="H173" s="3">
        <f>1898.6+(297.3-369)+(2.904858+(0.454869-0.56457))+0-323.1-0.494343000000019</f>
        <v>1506.1008139999997</v>
      </c>
      <c r="I173" s="3">
        <f>1896.7+(268.2-361.6)+(-1.934634+(-0.273564--0.368832))+0-322.6--0.329052000000051</f>
        <v>1479.1896860000002</v>
      </c>
      <c r="J173" s="3">
        <f>1908.8+(224.7-348.1)+(0.973488+(0.114597-0.177531))+0-320.8-0.163607999999967</f>
        <v>1465.3469459999999</v>
      </c>
      <c r="K173" s="3">
        <f>1920.2+(154.4-327.8)+(-1.958604+(-0.157488--0.334356))+0-319.2--0.325584000000051</f>
        <v>1426.1438480000002</v>
      </c>
      <c r="L173" s="3">
        <f>1922+(39.3-326)+(-1.96044+(-0.040086--0.33252))+0-317.6--0.323952000000051</f>
        <v>1316.3559459999999</v>
      </c>
      <c r="M173" s="3">
        <f>1922.2+(15.5-397.8)+(-1.960644+(-0.01581--0.405756))+0-317.8--0.324156000000051</f>
        <v>1220.8534580000003</v>
      </c>
      <c r="N173" s="3">
        <f>1909.6+(31.1-409.4)+(-3.895584+(-0.063444--0.835176))+0-316.8--0.646271999999986</f>
        <v>1212.02242</v>
      </c>
      <c r="O173" s="3">
        <f>1892.5+(46.3-421.4)+(2.895525+(0.070839-0.644742))+0-318.1-0.486693000000018</f>
        <v>1201.1349290000001</v>
      </c>
      <c r="P173" s="3">
        <f>1873.2+(91.5-398)+(-2.865996+(-0.139995--0.60894))+0-318.9--0.487917000000018</f>
        <v>1245.8908660000002</v>
      </c>
      <c r="Q173" s="3">
        <f>1865.7+(149.5-409.9)+(-0.951507+(-0.076245--0.209049))+0-319.6--0.162995999999968</f>
        <v>1285.0442930000004</v>
      </c>
      <c r="R173" s="3">
        <f>1855.3+(226.4-373)+(-3.784812+(-0.461856--0.76092))+0-318.6--0.649943999999986</f>
        <v>1387.2641959999999</v>
      </c>
      <c r="S173" s="3">
        <f>1844.3+(302.7-347.5)+(0+(0-0))+0-320-0</f>
        <v>1479.5</v>
      </c>
      <c r="T173" s="3">
        <f>1841.5+(353.9-333.9)+(-1.87833+(-0.360978--0.340578))+0-319.6--0.325992000000051</f>
        <v>1540.3272620000002</v>
      </c>
      <c r="U173" s="3">
        <f>1842.8+(357.4-332.2)+(-1.879656+(-0.364548--0.338844))+0-320.2--0.326604000000051</f>
        <v>1546.2212440000001</v>
      </c>
      <c r="V173" s="3">
        <f>1850.8+(266.9-337.7)+(-1.887816+(-0.272238--0.344454))+0-319.8--0.326196000000051</f>
        <v>1458.7105960000001</v>
      </c>
      <c r="W173" s="3">
        <f>1852.5+(125.6-387.2)+(-3.7791+(-0.256224--0.789888))+0-321.6--0.656063999999986</f>
        <v>1266.710628</v>
      </c>
      <c r="X173" s="3">
        <f>1864.8+(44.2-497.4)+(-2.853144+(-0.067626--0.761022))+0-321.4--0.491742000000019</f>
        <v>1088.5319939999997</v>
      </c>
      <c r="Y173" s="3">
        <f>1884.1+(100.5-472.2)+(-0.960891+(-0.051255--0.240822))+0-320--0.163199999999968</f>
        <v>1191.7918759999998</v>
      </c>
      <c r="Z173" s="3">
        <f>1893.8+(203.2-407.3)+(-3.863352+(-0.414528--0.830892))+0-319.6--0.651983999999986</f>
        <v>1367.3049959999998</v>
      </c>
      <c r="AA173" s="3">
        <f>1897.6+(206.9-358.4)+(-6.774432+(-0.738633--1.279488))+0-319.7--1.141329</f>
        <v>1421.3077519999999</v>
      </c>
      <c r="AB173" s="3">
        <f>1898.8+(255.6-370.9)+(1.936776+(0.260712-0.378318))+0-318.8-0.325176000000051</f>
        <v>1466.193994</v>
      </c>
      <c r="AC173" s="3">
        <f>1904.9+(259-331.8)+(-0.971499+(-0.13209--0.169218))+0-318.5--0.162434999999968</f>
        <v>1512.828064</v>
      </c>
      <c r="AD173">
        <v>1401.9000000000003</v>
      </c>
      <c r="AE173" s="3">
        <f>1891+(215.8-386.6)+(0+(0-0))+0-318.3-0</f>
        <v>1401.9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1904.7+(282.5-333.7)+(0+(0-0))+0-319.6-0</f>
        <v>1533.9</v>
      </c>
      <c r="G174" s="3">
        <f>1903.7+(261-319)+(-0.970887+(-0.13311--0.16269))+0-319.7--0.163046999999968</f>
        <v>1525.22174</v>
      </c>
      <c r="H174" s="3">
        <f>1906.8+(224.4-311)+(0+(0-0))+0-321.2-0</f>
        <v>1499</v>
      </c>
      <c r="I174" s="3">
        <f>1906.4+(190.3-306.4)+(-3.889056+(-0.388212--0.625056))+0-321.6--0.656063999999986</f>
        <v>1465.7038520000003</v>
      </c>
      <c r="J174" s="3">
        <f>1905.7+(152.7-302.7)+(-5.831442+(-0.467262--0.926262))+0-320.7--0.981342000000037</f>
        <v>1430.6088999999999</v>
      </c>
      <c r="K174" s="3">
        <f>1908.1+(122-315)+(-1.946262+(-0.12444--0.3213))+0-320.4--0.326808000000051</f>
        <v>1393.2774059999999</v>
      </c>
      <c r="L174" s="3">
        <f>1917.5+(74-330.8)+(-4.889625+(-0.1887--0.84354))+0-318.8--0.812939999999954</f>
        <v>1338.478155</v>
      </c>
      <c r="M174" s="3">
        <f>1914.6+(51.4-401.6)+(-0.976446+(-0.026214--0.204816))+0-317.9--0.162128999999968</f>
        <v>1245.8642849999999</v>
      </c>
      <c r="N174" s="3">
        <f>1899.2+(65.4-412)+(0+(0-0))+0-320.8-0</f>
        <v>1231.8</v>
      </c>
      <c r="O174" s="3">
        <f>1890.6+(96.4-433.2)+(-0.964206+(-0.049164--0.220932))+0-321.6--0.164015999999967</f>
        <v>1231.5715779999998</v>
      </c>
      <c r="P174" s="3">
        <f>1881.5+(153.8-443.2)+(3.83826+(0.313752-0.904128))+0-324.1-0.661163999999986</f>
        <v>1270.5867199999998</v>
      </c>
      <c r="Q174" s="3">
        <f>1869.6+(222.2-393.7)+(0.953496+(0.113322-0.200787))+0-322.7-0.164576999999967</f>
        <v>1376.1014539999999</v>
      </c>
      <c r="R174" s="3">
        <f>1867.8+(278.5-340.7)+(-1.905156+(-0.28407--0.347514))+0-322.6--0.329052000000051</f>
        <v>1481.4873400000001</v>
      </c>
      <c r="S174" s="3">
        <f>1865.3+(407.4-344.1)+(-3.805212+(-0.831096--0.701964))+0-320.7--0.654227999999986</f>
        <v>1604.6198839999997</v>
      </c>
      <c r="T174" s="3">
        <f>1859.9+(504.3-338.7)+(-0.948549+(-0.257193--0.172737))+0-322.8--0.164627999999967</f>
        <v>1701.831623</v>
      </c>
      <c r="U174" s="3">
        <f>1853.4+(447.4-331.8)+(-0.945234+(-0.228174--0.169218))+0-323.7--0.165086999999967</f>
        <v>1644.4608969999997</v>
      </c>
      <c r="V174" s="3">
        <f>1848.1+(345-312.7)+(-2.827593+(-0.52785--0.478431))+0-322.4--0.493272000000019</f>
        <v>1555.61626</v>
      </c>
      <c r="W174" s="3">
        <f>1853.4+(184.9-377.2)+(-4.72617+(-0.471495--0.96186))+0-323.5--0.824924999999953</f>
        <v>1334.18912</v>
      </c>
      <c r="X174" s="3">
        <f>1860.8+(104.1-490.1)+(-2.847024+(-0.159273--0.749853))+0-323.9--0.495567000000019</f>
        <v>1149.1391229999999</v>
      </c>
      <c r="Y174" s="3">
        <f>1870.4+(151.8-454.9)+(0+(0-0))+0-322.7-0</f>
        <v>1244.6000000000001</v>
      </c>
      <c r="Z174" s="3">
        <f>1885.7+(222.9-379.2)+(-4.808535+(-0.568395--0.96696))+0-323.1--0.823904999999953</f>
        <v>1402.713935</v>
      </c>
      <c r="AA174" s="3">
        <f>1902+(253-359.8)+(-4.8501+(-0.64515--0.91749))+0-322.1--0.821354999999953</f>
        <v>1469.3435950000003</v>
      </c>
      <c r="AB174" s="3">
        <f>1909+(286.8-349.3)+(-3.89436+(-0.585072--0.712572))+0-321.8--0.656471999999986</f>
        <v>1521.589612</v>
      </c>
      <c r="AC174" s="3">
        <f>1910.1+(314.7-330)+(0+(0-0))+0-319.8-0</f>
        <v>1575</v>
      </c>
      <c r="AD174">
        <v>1382.8000000000002</v>
      </c>
      <c r="AE174" s="3">
        <f>1882+(203.5-382.6)+(0+(0-0))+0-320.1-0</f>
        <v>1382.8000000000002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1913.6+(296.8-324.9)+(-4.87968+(-0.75684--0.828495))+0-321.5--0.819824999999953</f>
        <v>1560.0118</v>
      </c>
      <c r="G175" s="3">
        <f>1905.7+(296.5-328.6)+(-3.887628+(-0.60486--0.670344))+0-322.3--0.657491999999986</f>
        <v>1548.135348</v>
      </c>
      <c r="H175" s="3">
        <f>1890.6+(269.5-302)+(-1.928412+(-0.27489--0.30804))+0-322.1--0.328542000000051</f>
        <v>1534.43328</v>
      </c>
      <c r="I175" s="3">
        <f>1888.3+(227.9-282)+(-4.815165+(-0.581145--0.7191))+0-321.7--0.820334999999953</f>
        <v>1508.6431249999998</v>
      </c>
      <c r="J175" s="3">
        <f>1886.2+(181.8-264.5)+(2.885886+(0.278154-0.404685))+0-320.4-0.490212000000018</f>
        <v>1485.3691430000001</v>
      </c>
      <c r="K175" s="3">
        <f>1888.8+(124.6-252.3)+(2.889864+(0.190638-0.386019))+0-323.3-0.494649000000019</f>
        <v>1439.999834</v>
      </c>
      <c r="L175" s="3">
        <f>1862.2+(27-296.8)+(-1.899444+(-0.02754--0.302736))+0-321.7--0.328134000000051</f>
        <v>1269.4038860000001</v>
      </c>
      <c r="M175" s="3">
        <f>1866.3+(21.3-392.7)+(0.951813+(0.010863-0.200277))+0-319.2-0.162791999999968</f>
        <v>1176.2996069999999</v>
      </c>
      <c r="N175" s="3">
        <f>1862.1+(46.4-442.2)+(-0.949671+(-0.023664--0.225522))+0-323.4--0.164933999999967</f>
        <v>1142.317121</v>
      </c>
      <c r="O175" s="3">
        <f>1855.1+(109.5-458.5)+(0+(0-0))+0-322.3-0</f>
        <v>1183.8</v>
      </c>
      <c r="P175" s="3">
        <f>1848.7+(141.9-468.7)+(0.942837+(0.072369-0.239037))+0-322.3-0.164372999999967</f>
        <v>1200.211796</v>
      </c>
      <c r="Q175" s="3">
        <f>1843.1+(180.3-427.9)+(0.939981+(0.091953-0.218229))+0-322.5-0.164474999999967</f>
        <v>1273.64923</v>
      </c>
      <c r="R175" s="3">
        <f>1880.4+(275-355.3)+(-0.959004+(-0.14025--0.181203))+0-323--0.164729999999967</f>
        <v>1476.346679</v>
      </c>
      <c r="S175" s="3">
        <f>1884.1+(411.4-334.6)+(-5.765346+(-1.258884--1.023876))+0-321.4--0.983484000000037</f>
        <v>1634.4831299999998</v>
      </c>
      <c r="T175" s="3">
        <f>1879.7+(445.6-347.9)+(0+(0-0))+0-322.4-0</f>
        <v>1655</v>
      </c>
      <c r="U175" s="3">
        <f>1876.8+(423.8-334.8)+(-3.828672+(-0.864552--0.682992))+0-321--0.654839999999986</f>
        <v>1641.4446079999998</v>
      </c>
      <c r="V175" s="3">
        <f>1874.6+(309.4-327.7)+(0+(0-0))+0-319.7-0</f>
        <v>1536.6</v>
      </c>
      <c r="W175" s="3">
        <f>1875+(165.3-411.9)+(-2.86875+(-0.252909--0.630207))+0-319.4--0.488682000000018</f>
        <v>1306.9972300000002</v>
      </c>
      <c r="X175" s="3">
        <f>1878.5+(72.9-513.2)+(0+(0-0))+0-319.6-0</f>
        <v>1118.5999999999999</v>
      </c>
      <c r="Y175" s="3">
        <f>1892.8+(168.4-511.1)+(-0.965328+(-0.085884--0.260661))+0-320.1--0.163250999999968</f>
        <v>1229.3726999999999</v>
      </c>
      <c r="Z175" s="3">
        <f>1905.3+(242.5-432)+(-4.858515+(-0.618375--1.1016))+0-321.7--0.820334999999953</f>
        <v>1390.5450449999998</v>
      </c>
      <c r="AA175" s="3">
        <f>1914.3+(278.5-399.9)+(-5.857758+(-0.85221--1.223694))+0-321.9--0.985014000000037</f>
        <v>1466.4987400000002</v>
      </c>
      <c r="AB175" s="3">
        <f>1913.2+(320.6-388.9)+(-2.927196+(-0.490518--0.595017))+0-321.5--0.491895000000019</f>
        <v>1521.0691980000001</v>
      </c>
      <c r="AC175" s="3">
        <f>1917.7+(346-374)+(-2.934081+(-0.52938--0.57222))+0-322.3--0.493119000000019</f>
        <v>1565.001878</v>
      </c>
      <c r="AD175">
        <v>1356.2999999999997</v>
      </c>
      <c r="AE175" s="3">
        <f>1905+(209.1-434.7)+(0+(0-0))+0-323.1-0</f>
        <v>1356.3000000000002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1922.4+(304.4-368.1)+(-3.921696+(-0.620976--0.750924))+0-321.6--0.656063999999986</f>
        <v>1533.9643159999998</v>
      </c>
      <c r="G176" s="3">
        <f>1921.6+(271.3-344.4)+(0+(0-0))+0-322.5-0</f>
        <v>1526</v>
      </c>
      <c r="H176" s="3">
        <f>1916.7+(240.2-331.6)+(0+(0-0))+0-324.4-0</f>
        <v>1500.9</v>
      </c>
      <c r="I176" s="3">
        <f>1913.1+(199.1-317.2)+(-0.975681+(-0.101541--0.161772))+0-322.8--0.164627999999967</f>
        <v>1471.4491780000001</v>
      </c>
      <c r="J176" s="3">
        <f>1903.4+(166.1-291.9)+(-3.882936+(-0.338844--0.595476))+0-321.7--0.656267999999986</f>
        <v>1452.9299640000002</v>
      </c>
      <c r="K176" s="3">
        <f>1892.3+(115.5-281.1)+(0.965073+(0.058905-0.143361))+0-320.4-0.163403999999967</f>
        <v>1407.0172130000001</v>
      </c>
      <c r="L176" s="3">
        <f>1897.3+(43-324.6)+(-4.838115+(-0.10965--0.82773))+0-320.5--0.817274999999953</f>
        <v>1291.8972399999998</v>
      </c>
      <c r="M176" s="3">
        <f>1881.1+(32-402.3)+(-0.959361+(-0.01632--0.205173))+0-318.6--0.162485999999968</f>
        <v>1191.5919779999997</v>
      </c>
      <c r="N176" s="3">
        <f>1878.8+(49.4-399.1)+(1.916376+(0.050388-0.407082))+0-321.6-0.328032000000051</f>
        <v>1208.7316499999999</v>
      </c>
      <c r="O176" s="3">
        <f>1924.9+(99.3-447.9)+(-2.945097+(-0.151929--0.685287))+0-322--0.492660000000019</f>
        <v>1252.3809210000004</v>
      </c>
      <c r="P176" s="3">
        <f>1883.4+(96.4-449.1)+(-0.960534+(-0.049164--0.229041))+0-319.7--0.163046999999968</f>
        <v>1210.38239</v>
      </c>
      <c r="Q176" s="3">
        <f>1872.5+(145.1-406.6)+(0+(0-0))+0-322.3-0</f>
        <v>1288.7</v>
      </c>
      <c r="R176" s="3">
        <f>1871.4+(203.3-350.4)+(0+(0-0))+0-322.9-0</f>
        <v>1401.4</v>
      </c>
      <c r="S176" s="3">
        <f>1872.1+(339.5-358.4)+(-2.864313+(-0.519435--0.548352))+0-322.4--0.493272000000019</f>
        <v>1528.4578759999997</v>
      </c>
      <c r="T176" s="3">
        <f>1868.1+(409.3-359.3)+(-1.905462+(-0.417486--0.366486))+0-321.5--0.327930000000051</f>
        <v>1594.971468</v>
      </c>
      <c r="U176" s="3">
        <f>1862.4+(389.1-345)+(-0.949824+(-0.198441--0.17595))+0-322.1--0.164270999999967</f>
        <v>1583.591956</v>
      </c>
      <c r="V176" s="3">
        <f>1853.9+(282.8-335.8)+(-3.781956+(-0.576912--0.685032))+0-324.4--0.661775999999986</f>
        <v>1473.48794</v>
      </c>
      <c r="W176" s="3">
        <f>1829.1+(142.6-365.8)+(-5.597046+(-0.436356--1.119348))+0-323.3--0.989298000000037</f>
        <v>1278.6752439999998</v>
      </c>
      <c r="X176" s="3">
        <f>1818.4+(56.3-441.5)+(-3.709536+(-0.114852--0.90066))+0-322.3--0.657491999999986</f>
        <v>1108.6337640000002</v>
      </c>
      <c r="Y176" s="3">
        <f>1823.5+(138.5-417)+(-1.85997+(-0.14127--0.42534))+0-323--0.329460000000051</f>
        <v>1220.7535600000001</v>
      </c>
      <c r="Z176" s="3">
        <f>1832.7+(255.7-396.6)+(-2.804031+(-0.391221--0.606798))+0-323--0.494190000000019</f>
        <v>1366.7057360000001</v>
      </c>
      <c r="AA176" s="3">
        <f>1837+(320.9-395.6)+(-2.81061+(-0.490977--0.605268))+0-322.5--0.493425000000019</f>
        <v>1437.5971060000002</v>
      </c>
      <c r="AB176" s="3">
        <f>1844.2+(365-398.5)+(-1.881084+(-0.3723--0.40647))+0-322.2--0.328644000000051</f>
        <v>1486.98173</v>
      </c>
      <c r="AC176" s="3">
        <f>1849.3+(390.6-383.7)+(-0.943143+(-0.199206--0.195687))+0-321.1--0.163760999999967</f>
        <v>1534.3170990000001</v>
      </c>
      <c r="AD176">
        <v>1382.2</v>
      </c>
      <c r="AE176" s="3">
        <f>1828+(270.4-396.7)+(0+(0-0))+0-319.5-0</f>
        <v>1382.2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1853.2+(397.5-362.7)+(-2.835396+(-0.608175--0.554931))+0-321.9--0.492507000000019</f>
        <v>1563.7038670000002</v>
      </c>
      <c r="G177" s="3">
        <f>1855.4+(351.5-347)+(-2.838762+(-0.537795--0.53091))+0-320.7--0.490671000000019</f>
        <v>1536.845024</v>
      </c>
      <c r="H177" s="3">
        <f>1859.4+(299.6-333.1)+(-3.793176+(-0.611184--0.679524))+0-319.6--0.651983999999986</f>
        <v>1503.2271479999999</v>
      </c>
      <c r="I177" s="3">
        <f>1861.3+(254.4-324.4)+(-0.949263+(-0.129744--0.165444))+0-321.5--0.163964999999967</f>
        <v>1469.0504019999998</v>
      </c>
      <c r="J177" s="3">
        <f>1861.7+(201.9-306.9)+(0.949467+(0.102969-0.156519))+0-323.5-0.164984999999967</f>
        <v>1433.9309320000002</v>
      </c>
      <c r="K177" s="3">
        <f>1863.6+(138.9-298.8)+(-0.950436+(-0.070839--0.152388))+0-322--0.164219999999967</f>
        <v>1380.9953329999996</v>
      </c>
      <c r="L177" s="3">
        <f>1864.7+(31.2-308.6)+(-0.950997+(-0.015912--0.157386))+0-319.1--0.162740999999968</f>
        <v>1267.5532179999998</v>
      </c>
      <c r="M177" s="3">
        <f>1861.8+(30-384.6)+(0.949518+(0.0153-0.196146))+0-319.6-0.162995999999968</f>
        <v>1188.2056759999996</v>
      </c>
      <c r="N177" s="3">
        <f>1861.5+(52.4-415.1)+(-3.79746+(-0.106896--0.846804))+0-321.5--0.655859999999986</f>
        <v>1174.898308</v>
      </c>
      <c r="O177" s="3">
        <f>1882.8+(70.3-424.9)+(0+(0-0))+0-322.1-0</f>
        <v>1206.0999999999999</v>
      </c>
      <c r="P177" s="3">
        <f>1846.2+(110.3-425.2)+(1.883124+(0.112506-0.433704))+0-322.4-0.328848000000051</f>
        <v>1210.1330780000003</v>
      </c>
      <c r="Q177" s="3">
        <f>1838.2+(145.7-384.8)+(1.874964+(0.148614-0.392496))+0-322.6-0.329052000000051</f>
        <v>1277.8020299999998</v>
      </c>
      <c r="R177" s="3">
        <f>1855+(279.4-347)+(0+(0-0))+0-322-0</f>
        <v>1465.4</v>
      </c>
      <c r="S177" s="3">
        <f>1845+(419.3-327)+(0+(0-0))+0-323-0</f>
        <v>1614.3</v>
      </c>
      <c r="T177" s="3">
        <f>1838+(495.8-343)+(0+(0-0))+0-322-0</f>
        <v>1668.8</v>
      </c>
      <c r="U177" s="3">
        <f>1840+(481.3-342)+(0+(0-0))+0-322-0</f>
        <v>1657.3</v>
      </c>
      <c r="V177" s="3">
        <f>1822+(353.8-218)+(0+(0-0))+0-322-0</f>
        <v>1635.8</v>
      </c>
      <c r="W177" s="3">
        <f>1820+(135-307.9)+(0+(0-0))+0-323-0</f>
        <v>1324.1</v>
      </c>
      <c r="X177" s="3">
        <f>1809.1+(75-416.4)+(-4.613205+(-0.19125--1.06182))+0-323--0.823649999999953</f>
        <v>1141.7810149999998</v>
      </c>
      <c r="Y177" s="3">
        <f>1827.9+(142-376.6)+(-1.864458+(-0.14484--0.384132))+0-320--0.326400000000051</f>
        <v>1272.0012340000003</v>
      </c>
      <c r="Z177" s="3">
        <f>1842.1+(237.4-350)+(-4.697355+(-0.60537--0.8925))+0-320--0.815999999999954</f>
        <v>1405.9057749999999</v>
      </c>
      <c r="AA177" s="3">
        <f>1846.1+(301.5-341)+(-5.649066+(-0.92259--1.04346))+0-321--0.982260000000037</f>
        <v>1481.0540639999999</v>
      </c>
      <c r="AB177" s="3">
        <f>1848+(345-344)+(-3.76992+(-0.7038--0.70176))+0-322--0.656879999999986</f>
        <v>1523.88492</v>
      </c>
      <c r="AC177" s="3">
        <f>1851.7+(383.4-334)+(-0.944367+(-0.195534--0.17034))+0-320--0.163199999999968</f>
        <v>1580.2936389999998</v>
      </c>
      <c r="AD177">
        <v>1382.9</v>
      </c>
      <c r="AE177" s="3">
        <f>1840+(230.5-361.6)+(0+(0-0))+0-326-0</f>
        <v>1382.9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1860+(359.6-340.8)+(0+(0-0))+0-319.8-0</f>
        <v>1559</v>
      </c>
      <c r="G178" s="3">
        <f>1862+(323.4-316.7)+(0+(0-0))+0-319.9-0</f>
        <v>1548.8000000000002</v>
      </c>
      <c r="H178" s="3">
        <f>1867+(290.3-321.5)+(0+(0-0))+0-319.8-0</f>
        <v>1516</v>
      </c>
      <c r="I178" s="3">
        <f>1870+(269.8-332.2)+(0+(0-0))+0-320.9-0</f>
        <v>1486.6999999999998</v>
      </c>
      <c r="J178" s="3">
        <f>1871+(210.8-320.2)+(0+(0-0))+0-321.5-0</f>
        <v>1440.1</v>
      </c>
      <c r="K178" s="3">
        <f>1872+(118.8-300.6)+(0+(0-0))+0-321.4-0</f>
        <v>1368.8000000000002</v>
      </c>
      <c r="L178" s="3">
        <f>1864.9+(117.3-399)+(0+(0-0))+0-321.1-0</f>
        <v>1262.0999999999999</v>
      </c>
      <c r="M178" s="3">
        <f>1862.8+(118.3-466.5)+(0.950028+(0.060333-0.237915))+0-318.6-0.162485999999968</f>
        <v>1196.60996</v>
      </c>
      <c r="N178" s="3">
        <f>1857.2+(70.6-431.8)+(-1.894344+(-0.072012--0.440436))+0-319.8--0.326196000000051</f>
        <v>1175.000276</v>
      </c>
      <c r="O178" s="3">
        <f>1856+(56.7-412)+(0.94656+(0.028917-0.21012))+0-323-0.164729999999967</f>
        <v>1178.3006270000001</v>
      </c>
      <c r="P178" s="3">
        <f>1846.2+(92.1-400.3)+(2.824686+(0.140913-0.612459))+0-322.4-0.493272000000019</f>
        <v>1217.4598680000001</v>
      </c>
      <c r="Q178" s="3">
        <f>1833.5+(145.5-369.2)+(0.935085+(0.074205-0.188292))+0-323.5-0.164984999999967</f>
        <v>1286.956013</v>
      </c>
      <c r="R178" s="3">
        <f>1847+(282.7-354)+(1.88394+(0.288354-0.36108))+0-322.8-0.329256000000052</f>
        <v>1454.3819580000002</v>
      </c>
      <c r="S178" s="3">
        <f>1845+(397.3-366.5)+(-0.94095+(-0.202623--0.186915))+0-321.7--0.164066999999967</f>
        <v>1553.3074089999998</v>
      </c>
      <c r="T178" s="3">
        <f>1843+(454.6-362.9)+(-0.93993+(-0.231846--0.185079))+0-319.5--0.162944999999968</f>
        <v>1614.376248</v>
      </c>
      <c r="U178" s="3">
        <f>1842+(446.4-345.5)+(-0.93942+(-0.227664--0.176205))+0-318.9--0.162638999999968</f>
        <v>1623.1717599999999</v>
      </c>
      <c r="V178" s="3">
        <f>1816.9+(340.5-336)+(-4.633095+(-0.868275--0.8568))+0-319.7--0.815234999999954</f>
        <v>1497.8706650000001</v>
      </c>
      <c r="W178" s="3">
        <f>1815.6+(131.2-329.6)+(-5.555736+(-0.401472--1.008576))+0-322.5--0.986850000000037</f>
        <v>1290.7382179999997</v>
      </c>
      <c r="X178" s="3">
        <f>1811.1+(42.9-407.7)+(-4.618305+(-0.109395--1.039635))+0-323.3--0.824414999999953</f>
        <v>1120.13635</v>
      </c>
      <c r="Y178" s="3">
        <f>1819+(130.1-376.5)+(-1.85538+(-0.132702--0.38403))+0-321.2--0.327624000000051</f>
        <v>1250.123572</v>
      </c>
      <c r="Z178" s="3">
        <f>1840.9+(219.3-371.2)+(-5.633154+(-0.671058--1.135872))+0-322.3--0.986238000000037</f>
        <v>1362.5178980000001</v>
      </c>
      <c r="AA178" s="3">
        <f>1846.2+(302.2-408.9)+(-4.70781+(-0.77061--1.042695))+0-321.6--0.820079999999953</f>
        <v>1414.2843549999998</v>
      </c>
      <c r="AB178" s="3">
        <f>1855+(340.2-403.5)+(-2.83815+(-0.520506--0.617355))+0-321.8--0.492354000000019</f>
        <v>1467.651053</v>
      </c>
      <c r="AC178" s="3">
        <f>1856.1+(293.9-371.4)+(-0.946611+(-0.149889--0.189414))+0-320.8--0.163607999999967</f>
        <v>1457.0565220000001</v>
      </c>
      <c r="AD178">
        <v>1361.3000000000002</v>
      </c>
      <c r="AE178" s="3">
        <f>1839+(220.5-375.1)+(0+(0-0))+0-323.1-0</f>
        <v>1361.3000000000002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1854.3+(310.8-352.4)+(0+(0-0))+0-321.9-0</f>
        <v>1490.8000000000002</v>
      </c>
      <c r="G179" s="3">
        <f>1854.3+(309.6-320.9)+(-0.945693+(-0.157896--0.163659))+0-322.3--0.164372999999967</f>
        <v>1519.9244430000001</v>
      </c>
      <c r="H179" s="3">
        <f>1854.1+(276.8-306.2)+(2.836773+(0.423504-0.468486))+0-321.5-0.491895000000019</f>
        <v>1505.4998959999998</v>
      </c>
      <c r="I179" s="3">
        <f>1854.5+(249.1-293.8)+(-1.89159+(-0.254082--0.299676))+0-323.2--0.329664000000052</f>
        <v>1485.083668</v>
      </c>
      <c r="J179" s="3">
        <f>1855.2+(212-285.7)+(-2.838456+(-0.32436--0.437121))+0-322.1--0.492813000000019</f>
        <v>1457.1671180000001</v>
      </c>
      <c r="K179" s="3">
        <f>1855.1+(170.4-285)+(-0.946101+(-0.086904--0.14535))+0-322.2--0.164321999999967</f>
        <v>1417.5766669999998</v>
      </c>
      <c r="L179" s="3">
        <f>1854.4+(86.5-312.9)+(-4.72872+(-0.220575--0.797895))+0-320.5--0.817274999999953</f>
        <v>1304.1658749999999</v>
      </c>
      <c r="M179" s="3">
        <f>1844.8+(41-363)+(0+(0-0))+0-318.9-0</f>
        <v>1203.9000000000001</v>
      </c>
      <c r="N179" s="3">
        <f>1841.7+(62-369.2)+(0+(0-0))+0-322-0</f>
        <v>1212.5</v>
      </c>
      <c r="O179" s="3">
        <f>1833.1+(101.2-370.8)+(0+(0-0))+0-322.7-0</f>
        <v>1240.8</v>
      </c>
      <c r="P179" s="3">
        <f>1819.8+(156.5-411.7)+(3.712392+(0.31926-0.839868))+0-323.6-0.660143999999986</f>
        <v>1243.5316400000002</v>
      </c>
      <c r="Q179" s="3">
        <f>1808.9+(210.5-399.1)+(0+(0-0))+0-321.6-0</f>
        <v>1298.7000000000003</v>
      </c>
      <c r="R179" s="3">
        <f>1790.9+(325.1-358.7)+(-1.826718+(-0.331602--0.365874))+0-322.5--0.328950000000051</f>
        <v>1433.3365040000003</v>
      </c>
      <c r="S179" s="3">
        <f>1635.6+(576.9-326.5)+(-3.336624+(-1.176876--0.66606))+0-322.6--0.658103999999986</f>
        <v>1560.2106640000002</v>
      </c>
      <c r="T179" s="3">
        <f>1498.8+(753.2-313.6)+(-0.764388+(-0.384132--0.159936))+0-324.1--0.165290999999967</f>
        <v>1613.476707</v>
      </c>
      <c r="U179" s="3">
        <f>1523+(680-303.8)+(-2.33019+(-1.0404--0.464814))+0-319.8--0.489294000000018</f>
        <v>1576.983518</v>
      </c>
      <c r="V179" s="3">
        <f>1519.6+(563.2-279.8)+(-0.774996+(-0.287232--0.142698))+0-320.5--0.163454999999967</f>
        <v>1481.743925</v>
      </c>
      <c r="W179" s="3">
        <f>1528.1+(330.1-254.3)+(-3.896655+(-0.841755--0.648465))+0-320.7--0.817784999999953</f>
        <v>1279.9278399999998</v>
      </c>
      <c r="X179" s="3">
        <f>1537.3+(157.4-260.6)+(0+(0-0))+0-319.8-0</f>
        <v>1114.3</v>
      </c>
      <c r="Y179" s="3">
        <f>1539.4+(336.2-300)+(0+(0-0))+0-320.4-0</f>
        <v>1255.2000000000003</v>
      </c>
      <c r="Z179" s="3">
        <f>1553.4+(464-293.2)+(-2.376702+(-0.70992--0.448596))+0-320.8--0.490824000000019</f>
        <v>1401.252798</v>
      </c>
      <c r="AA179" s="3">
        <f>1553.1+(511.1-293.5)+(-3.960405+(-1.303305--0.748425))+0-320.2--0.816509999999954</f>
        <v>1446.8012249999997</v>
      </c>
      <c r="AB179" s="3">
        <f>1441.1+(644.3-268.8)+(-3.674805+(-1.642965--0.68544))+0-322.1--0.821354999999953</f>
        <v>1490.6890250000001</v>
      </c>
      <c r="AC179" s="3">
        <f>1484.3+(631.9-263.7)+(-2.270979+(-0.966807--0.403461))+0-322.1--0.492813000000019</f>
        <v>1528.0584879999999</v>
      </c>
      <c r="AD179">
        <v>1361</v>
      </c>
      <c r="AE179" s="3">
        <f>1557+(433-309.5)+(0+(0-0))+0-319.5-0</f>
        <v>1361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1489.6+(603.1-267.6)+(-2.279088+(-0.922743--0.409428))+0-321.5--0.491895000000019</f>
        <v>1501.2994920000001</v>
      </c>
      <c r="G180" s="3">
        <f>1454.2+(606-242.7)+(-0.741642+(-0.30906--0.123777))+0-322.1--0.164270999999967</f>
        <v>1494.6373459999998</v>
      </c>
      <c r="H180" s="3">
        <f>1454.7+(590.5-234.5)+(-3.709485+(-1.505775--0.597975))+0-321.6--0.820079999999953</f>
        <v>1485.3027950000001</v>
      </c>
      <c r="I180" s="3">
        <f>1459.5+(559.9-236)+(0+(0-0))+0-322.5-0</f>
        <v>1460.9</v>
      </c>
      <c r="J180" s="3">
        <f>1461.7+(511.5-230.3)+(0+(0-0))+0-321.4-0</f>
        <v>1421.5</v>
      </c>
      <c r="K180" s="3">
        <f>1461.2+(471.6-231.2)+(2.235636+(0.721548-0.353736))+0-319.1-0.488223000000018</f>
        <v>1384.6152250000002</v>
      </c>
      <c r="L180" s="3">
        <f>1469+(333.3-221)+(2.24757+(0.509949-0.33813))+0-318.9-0.487917000000018</f>
        <v>1264.3314719999998</v>
      </c>
      <c r="M180" s="3">
        <f>1465.3+(239.7-216.2)+(-3.736515+(-0.611235--0.55131))+0-316.2--0.806309999999954</f>
        <v>1169.6098699999998</v>
      </c>
      <c r="N180" s="3">
        <f>1457+(258.1-234.9)+(0+(0-0))+0-316.3-0</f>
        <v>1163.9000000000001</v>
      </c>
      <c r="O180" s="3">
        <f>1444.5+(279.8-261.7)+(-2.210085+(-0.428094--0.400401))+0-317.3--0.485469000000018</f>
        <v>1143.547691</v>
      </c>
      <c r="P180" s="3">
        <f>1430.5+(299-273.9)+(-1.45911+(-0.30498--0.279378))+0-319--0.325380000000051</f>
        <v>1135.440668</v>
      </c>
      <c r="Q180" s="3">
        <f>1418.8+(417.8-289.7)+(-1.447176+(-0.426156--0.295494))+0-319.3--0.325686000000051</f>
        <v>1226.3478480000003</v>
      </c>
      <c r="R180" s="3">
        <f>1412.2+(571.1-285.9)+(-1.440444+(-0.582522--0.291618))+0-317.8--0.324156000000051</f>
        <v>1378.1928080000002</v>
      </c>
      <c r="S180" s="3">
        <f>1409.9+(681.8-300.9)+(-1.438098+(-0.695436--0.306918))+0-317.6--0.323952000000051</f>
        <v>1471.697336</v>
      </c>
      <c r="T180" s="3">
        <f>1409.2+(760.4-296.9)+(0.718692+(0.387804-0.151419))+0-317.8-0.162077999999968</f>
        <v>1555.6929990000001</v>
      </c>
      <c r="U180" s="3">
        <f>1413.3+(756.1-282.5)+(0+(0-0))+0-316.5-0</f>
        <v>1570.4</v>
      </c>
      <c r="V180" s="3">
        <f>1414.7+(642.1-261.9)+(-3.607485+(-1.637355--0.667845))+0-317.2--0.808859999999954</f>
        <v>1473.931865</v>
      </c>
      <c r="W180" s="3">
        <f>1404.1+(395.6-233)+(-1.432182+(-0.403512--0.23766))+0-317.5--0.323850000000051</f>
        <v>1247.9258159999997</v>
      </c>
      <c r="X180" s="3">
        <f>1410.5+(240.8-224)+(-2.158065+(-0.368424--0.34272))+0-318.2--0.486846000000018</f>
        <v>1107.4030769999999</v>
      </c>
      <c r="Y180" s="3">
        <f>1421.1+(435.8-284.9)+(0+(0-0))+0-319.2-0</f>
        <v>1252.8</v>
      </c>
      <c r="Z180" s="3">
        <f>1429.6+(553.4-270.4)+(-2.187288+(-0.846702--0.413712))+0-319.4--0.488682000000018</f>
        <v>1391.0684039999999</v>
      </c>
      <c r="AA180" s="3">
        <f>1436.1+(593-268.3)+(-3.662055+(-1.51215--0.684165))+0-318.9--0.813194999999954</f>
        <v>1438.2231549999999</v>
      </c>
      <c r="AB180" s="3">
        <f>1437.7+(634.7-262.8)+(-2.932908+(-1.294788--0.536112))+0-317--0.646679999999986</f>
        <v>1489.5550960000003</v>
      </c>
      <c r="AC180" s="3">
        <f>1439.3+(655.6-241.8)+(-1.468086+(-0.668712--0.246636))+0-315.8--0.32211600000005</f>
        <v>1535.7319540000001</v>
      </c>
      <c r="AD180">
        <v>1360.3000000000002</v>
      </c>
      <c r="AE180" s="3">
        <f>1432+(523.2-274.8)+(0+(0-0))+0-320.1-0</f>
        <v>1360.3000000000002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1443.5+(613.7-236.1)+(-2.94474+(-1.251948--0.481644))+0-316.9--0.646475999999986</f>
        <v>1501.1314319999997</v>
      </c>
      <c r="G181" s="3">
        <f>1447.6+(580.1-209.5)+(0+(0-0))+0-318.5-0</f>
        <v>1499.6999999999998</v>
      </c>
      <c r="H181" s="3">
        <f>1449.6+(542.8-196.7)+(-2.217888+(-0.830484--0.300951))+0-318.3--0.486999000000018</f>
        <v>1475.1395779999998</v>
      </c>
      <c r="I181" s="3">
        <f>1449.3+(534.3-215.8)+(-1.478286+(-0.544986--0.220116))+0-318--0.324360000000051</f>
        <v>1448.3212040000001</v>
      </c>
      <c r="J181" s="3">
        <f>1452+(487-197.1)+(-0.74052+(-0.24837--0.100521))+0-319.2--0.162791999999968</f>
        <v>1421.9744230000001</v>
      </c>
      <c r="K181" s="3">
        <f>1456.9+(427.1-184.5)+(-3.715095+(-1.089105--0.470475))+0-317.9--0.810644999999954</f>
        <v>1378.07692</v>
      </c>
      <c r="L181" s="3">
        <f>1457.4+(301.1-155.8)+(-5.202918+(-1.074927--0.556206))+0-317.6--1.133832</f>
        <v>1280.512193</v>
      </c>
      <c r="M181" s="3">
        <f>1465.9+(219.6-178.6)+(2.242827+(0.335988-0.273258))+0-321.6-0.492048000000019</f>
        <v>1187.1135089999998</v>
      </c>
      <c r="N181" s="3">
        <f>1455.6+(247.3-191.9)+(-1.484712+(-0.252246--0.195738))+0-321.3--0.327726000000051</f>
        <v>1188.486506</v>
      </c>
      <c r="O181" s="3">
        <f>1441+(318.1-218.8)+(-0.73491+(-0.162231--0.111588))+0-322.1--0.164270999999967</f>
        <v>1217.578718</v>
      </c>
      <c r="P181" s="3">
        <f>1432.2+(373.8-249.3)+(0+(0-0))+0-323.1-0</f>
        <v>1233.5999999999999</v>
      </c>
      <c r="Q181" s="3">
        <f>1427.8+(481.7-261)+(0.728178+(0.245667-0.13311))+0-322.6-0.164525999999967</f>
        <v>1326.5762089999998</v>
      </c>
      <c r="R181" s="3">
        <f>1422.6+(624.1-265.3)+(-1.451052+(-0.636582--0.270606))+0-321.9--0.328338000000051</f>
        <v>1458.0113100000001</v>
      </c>
      <c r="S181" s="3">
        <f>1419.4+(769.4-293.4)+(0.723894+(0.392394-0.149634))+0-321.6-0.164015999999967</f>
        <v>1574.6026380000001</v>
      </c>
      <c r="T181" s="3">
        <f>1417.4+(813.2-264.8)+(0.722874+(0.414732-0.135048))+0-321.2-0.163811999999967</f>
        <v>1645.438746</v>
      </c>
      <c r="U181" s="3">
        <f>1418.6+(799.2-255.8)+(-0.723486+(-0.407592--0.130458))+0-321.8--0.164117999999967</f>
        <v>1639.3634979999999</v>
      </c>
      <c r="V181" s="3">
        <f>1420.7+(659.8-237.3)+(-2.173671+(-1.009494--0.363069))+0-322.4--0.493272000000019</f>
        <v>1518.4731760000002</v>
      </c>
      <c r="W181" s="3">
        <f>1419.9+(409.7-210.2)+(-2.896596+(-0.835788--0.428808))+0-321.7--0.656267999999986</f>
        <v>1295.052692</v>
      </c>
      <c r="X181" s="3">
        <f>1427.1+(229.2-219.9)+(-1.455642+(-0.233784--0.224298))+0-322.5--0.328950000000051</f>
        <v>1112.7638219999999</v>
      </c>
      <c r="Y181" s="3">
        <f>1437+(437.4-280.9)+(-0.73287+(-0.223074--0.143259))+0-320.7--0.163556999999967</f>
        <v>1272.1508719999997</v>
      </c>
      <c r="Z181" s="3">
        <f>1448.1+(580.7-267.6)+(-1.477062+(-0.592314--0.272952))+0-321.5--0.327930000000051</f>
        <v>1438.2315060000001</v>
      </c>
      <c r="AA181" s="3">
        <f>1455.5+(640.2-261.6)+(-4.45383+(-1.959012--0.800496))+0-322--0.985320000000037</f>
        <v>1507.472974</v>
      </c>
      <c r="AB181" s="3">
        <f>1457.8+(683.6-258.3)+(0.743478+(0.348636-0.131733))+0-321.7-0.164066999999967</f>
        <v>1562.196314</v>
      </c>
      <c r="AC181" s="3">
        <f>1459.9+(713.9-242.7)+(0.744549+(0.364089-0.123777))+0-321.3-0.163862999999967</f>
        <v>1610.6209980000001</v>
      </c>
      <c r="AD181">
        <v>1393.9</v>
      </c>
      <c r="AE181" s="3">
        <f>1442+(541.1-266.1)+(0+(0-0))+0-323.1-0</f>
        <v>1393.9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1459.7+(655.9-238.7)+(-0.744447+(-0.334509--0.121737))+0-321.6--0.164015999999967</f>
        <v>1554.5067970000002</v>
      </c>
      <c r="G182" s="3">
        <f>1462+(619.6-221.8)+(0.74562+(0.315996-0.113118))+0-322.3-0.164372999999967</f>
        <v>1538.2841249999999</v>
      </c>
      <c r="H182" s="3">
        <f>1466.4+(617.1-239.2)+(2.991456+(1.258884-0.487968))+0-322-0.656879999999986</f>
        <v>1525.4054920000001</v>
      </c>
      <c r="I182" s="3">
        <f>1467.8+(570.8-221)+(-2.245734+(-0.873324--0.33813))+0-321.5--0.491895000000019</f>
        <v>1493.8109670000001</v>
      </c>
      <c r="J182" s="3">
        <f>1467.6+(524.9-203.4)+(2.993904+(1.070796-0.414936))+0-321.7-0.656267999999986</f>
        <v>1470.3934959999999</v>
      </c>
      <c r="K182" s="3">
        <f>1471.1+(469.2-198.2)+(1.500522+(0.478584-0.202164))+0-319.5-0.325890000000051</f>
        <v>1424.0510519999998</v>
      </c>
      <c r="L182" s="3">
        <f>1469.7+(370.2-158.3)+(-1.499094+(-0.377604--0.161466))+0-321.2--0.327624000000051</f>
        <v>1359.0123919999999</v>
      </c>
      <c r="M182" s="3">
        <f>1472.1+(277-165.7)+(0.750771+(0.14127-0.084507))+0-320.1-0.163250999999968</f>
        <v>1263.9442829999998</v>
      </c>
      <c r="N182" s="3">
        <f>1468.9+(248-203.7)+(-0.749139+(-0.12648--0.103887))+0-320.9--0.163658999999967</f>
        <v>1191.6919270000001</v>
      </c>
      <c r="O182" s="3">
        <f>1460.4+(285.7-221.3)+(0.744804+(0.145707-0.112863))+0-320.1-0.163250999999968</f>
        <v>1205.3143970000001</v>
      </c>
      <c r="P182" s="3">
        <f>1454.5+(322.8-237.6)+(0+(0-0))+0-319.8-0</f>
        <v>1219.9000000000001</v>
      </c>
      <c r="Q182" s="3">
        <f>1444.1+(439.8-260.6)+(2.209473+(0.672894-0.398718))+0-320.1-0.489753000000019</f>
        <v>1305.193896</v>
      </c>
      <c r="R182" s="3">
        <f>1457.1+(569.2-279.9)+(0.743121+(0.290292-0.142749))+0-320.2-0.163301999999968</f>
        <v>1426.9273620000001</v>
      </c>
      <c r="S182" s="3">
        <f>1669.3+(538.8-309.2)+(-0.851343+(-0.274788--0.157692))+0-322.7--0.164576999999967</f>
        <v>1575.3961379999998</v>
      </c>
      <c r="T182" s="3">
        <f>1703.1+(567.1-306.9)+(0.868581+(0.289221-0.156519))+0-322.6-0.164525999999967</f>
        <v>1641.5367569999999</v>
      </c>
      <c r="U182" s="3">
        <f>1696.8+(536.3-294.3)+(-2.596104+(-0.820539--0.450279))+0-321.8--0.492354000000019</f>
        <v>1614.5259899999999</v>
      </c>
      <c r="V182" s="3">
        <f>1694.3+(405.4-273.2)+(-3.456372+(-0.827016--0.557328))+0-322.4--0.657695999999986</f>
        <v>1501.0316359999999</v>
      </c>
      <c r="W182" s="3">
        <f>1694.9+(203.2-276.6)+(-5.186394+(-0.621792--0.846396))+0-323.6--0.990216000000038</f>
        <v>1293.9284259999999</v>
      </c>
      <c r="X182" s="3">
        <f>1696+(118.8-345.4)+(0.86496+(0.060588-0.176154))+0-323-0.164729999999967</f>
        <v>1146.9846640000001</v>
      </c>
      <c r="Y182" s="3">
        <f>1705.8+(222.8-331)+(0.869958+(0.113628-0.16881))+0-322.1-0.164270999999967</f>
        <v>1276.1505049999998</v>
      </c>
      <c r="Z182" s="3">
        <f>1711.5+(330.9-305.8)+(0+(0-0))+0-321.8-0</f>
        <v>1414.8</v>
      </c>
      <c r="AA182" s="3">
        <f>1716.1+(417.4-327)+(-4.376055+(-1.06437--0.83385))+0-322.2--0.821609999999953</f>
        <v>1480.5150349999999</v>
      </c>
      <c r="AB182" s="3">
        <f>1723+(475.4-345.3)+(-4.39365+(-1.21227--0.880515))+0-321--0.818549999999953</f>
        <v>1528.193145</v>
      </c>
      <c r="AC182" s="3">
        <f>1727.1+(494.8-327.4)+(1.761642+(0.504696-0.333948))+0-320.5-0.326910000000051</f>
        <v>1575.6054799999999</v>
      </c>
      <c r="AD182">
        <v>1390.2</v>
      </c>
      <c r="AE182" s="3">
        <f>1707+(316.9-311.7)+(0+(0-0))+0-322-0</f>
        <v>1390.2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1726.7+(452.7-324.7)+(-1.761234+(-0.461754--0.331194))+0-321.9--0.328338000000051</f>
        <v>1531.2365440000001</v>
      </c>
      <c r="G183" s="3">
        <f>1732.4+(433.8-329.6)+(-3.534096+(-0.884952--0.672384))+0-321.1--0.655043999999986</f>
        <v>1512.4083800000003</v>
      </c>
      <c r="H183" s="3">
        <f>1735.3+(396.1-314.9)+(-0.885003+(-0.202011--0.160599))+0-323--0.164729999999967</f>
        <v>1492.7383150000001</v>
      </c>
      <c r="I183" s="3">
        <f>1733.7+(341.7-298.4)+(-3.536748+(-0.697068--0.608736))+0-321.6--0.656063999999986</f>
        <v>1452.4309839999999</v>
      </c>
      <c r="J183" s="3">
        <f>1737.2+(288.7-287.1)+(4.42986+(0.736185-0.732105))+0-321.8-0.820589999999953</f>
        <v>1420.6133499999999</v>
      </c>
      <c r="K183" s="3">
        <f>1736.7+(229.4-272.8)+(2.657151+(0.350982-0.417384))+0-319.7-0.489141000000018</f>
        <v>1375.7016079999999</v>
      </c>
      <c r="L183" s="3">
        <f>1737+(99-244.5)+(-3.54348+(-0.20196--0.49878))+0-320.2--0.653207999999986</f>
        <v>1268.7065479999999</v>
      </c>
      <c r="M183" s="3">
        <f>1735.4+(27.5-281.9)+(0+(0-0))+0-317.1-0</f>
        <v>1163.9000000000001</v>
      </c>
      <c r="N183" s="3">
        <f>1727.8+(72.5-299.7)+(0.881178+(0.036975-0.152847))+0-320.9-0.163658999999967</f>
        <v>1180.301647</v>
      </c>
      <c r="O183" s="3">
        <f>1721.1+(106-343.5)+(0.877761+(0.05406-0.175185))+0-321.6-0.164015999999967</f>
        <v>1162.5926200000001</v>
      </c>
      <c r="P183" s="3">
        <f>1712+(131.1-352)+(0.87312+(0.066861-0.17952))+0-323.2-0.164831999999967</f>
        <v>1168.495629</v>
      </c>
      <c r="Q183" s="3">
        <f>1702+(230.5-374.7)+(1.73604+(0.23511-0.382194))+0-324.6-0.331092000000052</f>
        <v>1234.4578639999997</v>
      </c>
      <c r="R183" s="3">
        <f>1695.4+(390.8-363.3)+(-0.864654+(-0.199308--0.185283))+0-322.7--0.164576999999967</f>
        <v>1399.4858980000001</v>
      </c>
      <c r="S183" s="3">
        <f>1686.6+(573.2-393.7)+(-2.580498+(-0.876996--0.602361))+0-322--0.492660000000019</f>
        <v>1541.737527</v>
      </c>
      <c r="T183" s="3">
        <f>1687.8+(588.5-345.5)+(0+(0-0))+0-322.3-0</f>
        <v>1608.5</v>
      </c>
      <c r="U183" s="3">
        <f>1689.9+(535.5-301.6)+(-3.447396+(-1.09242--0.615264))+0-322.1--0.657083999999986</f>
        <v>1598.4325320000003</v>
      </c>
      <c r="V183" s="3">
        <f>1690+(371.9-260.9)+(-1.7238+(-0.379338--0.266118))+0-321.2--0.327624000000051</f>
        <v>1478.290604</v>
      </c>
      <c r="W183" s="3">
        <f>1695.4+(179-272.7)+(-3.458616+(-0.36516--0.556308))+0-323.3--0.659531999999986</f>
        <v>1275.792064</v>
      </c>
      <c r="X183" s="3">
        <f>1702.8+(101.5-352.4)+(-0.868428+(-0.051765--0.179724))+0-323.1--0.164780999999967</f>
        <v>1128.2243119999998</v>
      </c>
      <c r="Y183" s="3">
        <f>1714.8+(217.1-334.3)+(0.874548+(0.110721-0.170493))+0-323.5-0.164984999999967</f>
        <v>1274.749791</v>
      </c>
      <c r="Z183" s="3">
        <f>1718.4+(341.4-336.6)+(-3.505536+(-0.696456--0.686664))+0-321.1--0.655043999999986</f>
        <v>1399.239716</v>
      </c>
      <c r="AA183" s="3">
        <f>1717.3+(406.6-332.5)+(-3.503292+(-0.829464--0.6783))+0-321.2--0.655247999999986</f>
        <v>1467.2007920000001</v>
      </c>
      <c r="AB183" s="3">
        <f>1719+(449.2-328.4)+(-3.50676+(-0.916368--0.669936))+0-320.1--0.653003999999986</f>
        <v>1516.5998120000002</v>
      </c>
      <c r="AC183" s="3">
        <f>1720.3+(464.9-303.3)+(0+(0-0))+0-317.7-0</f>
        <v>1564.1999999999998</v>
      </c>
      <c r="AD183">
        <v>1368.1</v>
      </c>
      <c r="AE183" s="3">
        <f>1716+(321-348.2)+(0+(0-0))+0-320.7-0</f>
        <v>1368.1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1722.4+(406.4-281.7)+(-3.513696+(-0.829056--0.574668))+0-318.5--0.649739999999986</f>
        <v>1525.4816560000002</v>
      </c>
      <c r="G184" s="3">
        <f>1724.3+(378.6-256.4)+(-2.638179+(-0.579258--0.392292))+0-317.7--0.486081000000018</f>
        <v>1526.4609359999999</v>
      </c>
      <c r="H184" s="3">
        <f>1725.6+(334.6-241.5)+(-2.640168+(-0.511938--0.369495))+0-318.5--0.487305000000018</f>
        <v>1497.9046939999998</v>
      </c>
      <c r="I184" s="3">
        <f>1727.5+(296.9-233.8)+(1.76205+(0.302838-0.238476))+0-317.9-0.324258000000051</f>
        <v>1474.2021539999996</v>
      </c>
      <c r="J184" s="3">
        <f>1728.9+(247-214.9)+(4.408695+(0.62985-0.547995))+0-317.4-0.809369999999954</f>
        <v>1447.2811799999999</v>
      </c>
      <c r="K184" s="3">
        <f>1736.2+(186.7-198.1)+(0+(0-0))+0-316.2-0</f>
        <v>1408.6</v>
      </c>
      <c r="L184" s="3">
        <f>1738+(83.3-230.9)+(-0.88638+(-0.042483--0.117759))+0-316.4--0.161363999999968</f>
        <v>1273.3502600000002</v>
      </c>
      <c r="M184" s="3">
        <f>1728.6+(45.2-285.9)+(-0.881586+(-0.023052--0.145809))+0-316.1--0.161210999999968</f>
        <v>1171.2023819999997</v>
      </c>
      <c r="N184" s="3">
        <f>1722.4+(61.2-308.9)+(0+(0-0))+0-316.5-0</f>
        <v>1158.2</v>
      </c>
      <c r="O184" s="3">
        <f>1714.7+(85.8-321.3)+(2.623491+(0.131274-0.491589))+0-317.2-0.485316000000018</f>
        <v>1163.7778599999999</v>
      </c>
      <c r="P184" s="3">
        <f>1700.6+(165-400)+(1.734612+(0.1683-0.408))+0-318-0.324360000000051</f>
        <v>1148.770552</v>
      </c>
      <c r="Q184" s="3">
        <f>1694+(230-390)+(2.59182+(0.3519-0.5967))+0-318-0.486540000000018</f>
        <v>1217.8604799999998</v>
      </c>
      <c r="R184" s="3">
        <f>1692.7+(377.9-328.7)+(0+(0-0))+0-318-0</f>
        <v>1423.9</v>
      </c>
      <c r="S184" s="3">
        <f>1697.8+(526.6-343.9)+(-0.865878+(-0.268566--0.175389))+0-317.2--0.161771999999968</f>
        <v>1562.5027169999998</v>
      </c>
      <c r="T184" s="3">
        <f>1702.8+(580.2-336.4)+(0.868428+(0.295902-0.171564))+0-317.8-0.162077999999968</f>
        <v>1629.630688</v>
      </c>
      <c r="U184" s="3">
        <f>1702.4+(554.5-325.2)+(1.736448+(0.56559-0.331704))+0-317.4-0.323748000000051</f>
        <v>1615.9465860000003</v>
      </c>
      <c r="V184" s="3">
        <f>1705.2+(399.5-299.3)+(-4.34826+(-1.018725--0.763215))+0-317.2--0.808859999999954</f>
        <v>1484.40509</v>
      </c>
      <c r="W184" s="3">
        <f>1709.6+(169.8-282.1)+(-1.743792+(-0.173196--0.287742))+0-318.4--0.324768000000051</f>
        <v>1277.5955220000001</v>
      </c>
      <c r="X184" s="3">
        <f>1709.7+(94.7-357.5)+(0+(0-0))+0-320.3-0</f>
        <v>1126.6000000000001</v>
      </c>
      <c r="Y184" s="3">
        <f>1720.7+(211.8-335.9)+(0+(0-0))+0-320-0</f>
        <v>1276.6000000000001</v>
      </c>
      <c r="Z184" s="3">
        <f>1725.5+(354.2-344.5)+(-1.76001+(-0.361284--0.35139))+0-320.4--0.326808000000051</f>
        <v>1413.356904</v>
      </c>
      <c r="AA184" s="3">
        <f>1727.8+(421.8-344.6)+(-4.40589+(-1.07559--0.87873))+0-319.1--0.813704999999954</f>
        <v>1482.1109550000001</v>
      </c>
      <c r="AB184" s="3">
        <f>1718.2+(477.9-344.6)+(-4.38141+(-1.218645--0.87873))+0-318.6--0.812429999999954</f>
        <v>1528.9911050000001</v>
      </c>
      <c r="AC184" s="3">
        <f>1718.2+(500.5-326.4)+(-0.876282+(-0.255255--0.166464))+0-318.1--0.162230999999968</f>
        <v>1573.397158</v>
      </c>
      <c r="AD184">
        <v>1400.8</v>
      </c>
      <c r="AE184" s="3">
        <f>1728+(345.5-353.2)+(0+(0-0))+0-319.5-0</f>
        <v>1400.8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1721.4+(421.8-342.5)+(-6.145398+(-1.505826--1.222725))+0-301.9--1.077783</f>
        <v>1493.449284</v>
      </c>
      <c r="G185" s="3">
        <f>1730.5+(407.6-299.5)+(-7.06044+(-1.663008--1.22196))+0-320.2--1.30641599999997</f>
        <v>1512.2049279999997</v>
      </c>
      <c r="H185" s="3">
        <f>1734.3+(365.9-289)+(-5.306958+(-1.119654--0.88434))+0-319.4--0.977364000000037</f>
        <v>1487.2350920000001</v>
      </c>
      <c r="I185" s="3">
        <f>1733.9+(316.7-269.2)+(0.884289+(0.161517-0.137292))+0-318.6-0.162485999999968</f>
        <v>1463.546028</v>
      </c>
      <c r="J185" s="3">
        <f>1746.8+(245.2-260.3)+(0.890868+(0.125052-0.132753))+0-318.5-0.162434999999968</f>
        <v>1413.9207319999998</v>
      </c>
      <c r="K185" s="3">
        <f>1742.5+(198.7-247.9)+(1.77735+(0.202674-0.252858))+0-319-0.325380000000051</f>
        <v>1375.7017859999999</v>
      </c>
      <c r="L185" s="3">
        <f>1744.5+(87.6-249.6)+(-3.55878+(-0.178704--0.509184))+0-319.4--0.651575999999986</f>
        <v>1260.5232760000001</v>
      </c>
      <c r="M185" s="3">
        <f>1732.2+(48.5-313.2)+(1.766844+(0.04947-0.319464))+0-319.3-0.325686000000051</f>
        <v>1149.3711639999999</v>
      </c>
      <c r="N185" s="3">
        <f>1730.4+(71.4-349.8)+(-3.530016+(-0.145656--0.713592))+0-322--0.656879999999986</f>
        <v>1127.6948</v>
      </c>
      <c r="O185" s="3">
        <f>1723.6+(87.5-342.3)+(-0.879036+(-0.044625--0.174573))+0-322.9--0.164678999999967</f>
        <v>1145.315591</v>
      </c>
      <c r="P185" s="3">
        <f>1711.7+(142.3-314.7)+(-1.745934+(-0.145146--0.320994))+0-315--0.32130000000005</f>
        <v>1223.0512140000003</v>
      </c>
      <c r="Q185" s="3">
        <f>1696.8+(214.2-316.6)+(1.730736+(0.218484-0.322932))+0-323-0.329460000000051</f>
        <v>1272.6968279999996</v>
      </c>
      <c r="R185" s="3">
        <f>1676.4+(295.5-353.6)+(-1.709928+(-0.30141--0.360672))+0-226.1--0.230622000000036</f>
        <v>1390.7799560000003</v>
      </c>
      <c r="S185" s="3">
        <f>1649.9+(516.2-360.4)+(-1.682898+(-0.526524--0.367608))+0-285.2--0.290904000000045</f>
        <v>1518.9490900000001</v>
      </c>
      <c r="T185" s="3">
        <f>1651.2+(648.7-346.1)+(-1.684224+(-0.661674--0.353022))+0-323.9--0.330378000000052</f>
        <v>1628.2375020000004</v>
      </c>
      <c r="U185" s="3">
        <f>1651.4+(592.2-338.6)+(-3.368856+(-1.208088--0.690744))+0-322.8--0.658511999999986</f>
        <v>1578.9723120000001</v>
      </c>
      <c r="V185" s="3">
        <f>1651.7+(450.5-309.4)+(-3.369468+(-0.91902--0.631176))+0-322.3--0.657491999999986</f>
        <v>1467.5001800000002</v>
      </c>
      <c r="W185" s="3">
        <f>1659+(188.3-282.3)+(-4.23045+(-0.480165--0.719865))+0-320.2--0.816509999999954</f>
        <v>1241.6257599999999</v>
      </c>
      <c r="X185" s="3">
        <f>1667.7+(92.5-345.1)+(-2.551581+(-0.141525--0.528003))+0-321.1--0.491283000000019</f>
        <v>1092.3261799999998</v>
      </c>
      <c r="Y185" s="3">
        <f>1679+(211.5-349.3)+(-3.42516+(-0.43146--0.712572))+0-321.3--0.655451999999986</f>
        <v>1217.4114039999999</v>
      </c>
      <c r="Z185" s="3">
        <f>1685.4+(341.6-360.2)+(-3.438216+(-0.696864--0.734808))+0-321.3--0.655451999999986</f>
        <v>1342.7551800000001</v>
      </c>
      <c r="AA185" s="3">
        <f>1691.7+(398.5-355.3)+(-6.902136+(-1.62588--1.449624))+0-320.7--1.30845599999997</f>
        <v>1408.4300640000001</v>
      </c>
      <c r="AB185" s="3">
        <f>1693.1+(431-353.2)+(-4.317405+(-1.09905--0.90066))+0-320.3--0.816764999999954</f>
        <v>1446.9009699999999</v>
      </c>
      <c r="AC185" s="3">
        <f>1697.7+(463.2-339.1)+(-1.731654+(-0.472464--0.345882))+0-322.5--0.328950000000051</f>
        <v>1497.770714</v>
      </c>
      <c r="AD185">
        <v>1348.2000000000003</v>
      </c>
      <c r="AE185" s="3">
        <f>1683+(343.2-357.9)+(0+(0-0))+0-320.1-0</f>
        <v>1348.1999999999998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1700.6+(417.2-304.7)+(-1.734612+(-0.425544--0.310794))+0-323.7--0.330174000000052</f>
        <v>1487.8808119999999</v>
      </c>
      <c r="G186" s="3">
        <f>1702.3+(355.1-283.2)+(2.604519+(0.543303-0.433296))+0-325-0.497250000000019</f>
        <v>1451.4172759999999</v>
      </c>
      <c r="H186" s="3">
        <f>1706.8+(307.8-273.4)+(2.611404+(0.470934-0.418302))+0-321.8-0.492354000000019</f>
        <v>1421.571682</v>
      </c>
      <c r="I186" s="3">
        <f>1706.5+(241.9-262.7)+(1.74063+(0.246738-0.267954))+0-320.2-0.326604000000051</f>
        <v>1366.8928099999998</v>
      </c>
      <c r="J186" s="3">
        <f>1706.9+(180-265.3)+(4.352595+(0.459-0.676515))+0-319.2-0.813959999999954</f>
        <v>1305.7211200000002</v>
      </c>
      <c r="K186" s="3">
        <f>1710+(50.3-264.3)+(-4.3605+(-0.128265--0.673965))+0-318.5--0.812174999999954</f>
        <v>1174.4973749999999</v>
      </c>
      <c r="L186" s="3">
        <f>1712.4+(4.9-292.9)+(0.873324+(0.002499-0.149379))+0-318.3-0.162332999999968</f>
        <v>1106.664111</v>
      </c>
      <c r="M186" s="3">
        <f>1714+(36.6-284.1)+(-0.87414+(-0.018666--0.144891))+0-318.4--0.162383999999968</f>
        <v>1147.514469</v>
      </c>
      <c r="N186" s="3">
        <f>1701.3+(80.2-312.3)+(-1.735326+(-0.081804--0.318546))+0-321.7--0.328134000000051</f>
        <v>1146.3295499999999</v>
      </c>
      <c r="O186" s="3">
        <f>1686.6+(145.2-338)+(0+(0-0))+0-321.6-0</f>
        <v>1172.1999999999998</v>
      </c>
      <c r="P186" s="3">
        <f>1678.7+(227.2-330.8)+(-0.856137+(-0.115872--0.168708))+0-322.8--0.164627999999967</f>
        <v>1251.661327</v>
      </c>
      <c r="Q186" s="3">
        <f>1673.1+(372.3-365.2)+(-3.413124+(-0.759492--0.745008))+0-323.5--0.659939999999986</f>
        <v>1353.9323319999999</v>
      </c>
      <c r="R186" s="3">
        <f>1658.5+(540.1-366.7)+(-4.229175+(-1.377255--0.935085))+0-322.2--0.821609999999953</f>
        <v>1505.850265</v>
      </c>
      <c r="S186" s="3">
        <f>1646.7+(600.8-353.6)+(-3.359268+(-1.225632--0.721344))+0-321.1--0.655043999999986</f>
        <v>1569.591488</v>
      </c>
      <c r="T186" s="3">
        <f>1646.4+(564.3-330.7)+(0+(0-0))+0-321.1-0</f>
        <v>1558.9</v>
      </c>
      <c r="U186" s="3">
        <f>1647.9+(369.2-307)+(-3.361716+(-0.753168--0.62628))+0-256.4--0.523055999999989</f>
        <v>1450.7344520000001</v>
      </c>
      <c r="V186" s="3">
        <f>1651.5+(173.3-264.1)+(-4.211325+(-0.441915--0.673455))+0-322--0.821099999999953</f>
        <v>1235.5413149999999</v>
      </c>
      <c r="W186" s="3">
        <f>1657.9+(111.4-333.4)+(-1.691058+(-0.113628--0.340068))+0-322.9--0.329358000000051</f>
        <v>1111.86474</v>
      </c>
      <c r="X186" s="3">
        <f>1667.2+(237.8-350)+(-3.401088+(-0.485112--0.714))+0-323.5--0.659939999999986</f>
        <v>1228.98774</v>
      </c>
      <c r="Y186" s="3">
        <f>1680.2+(328-351.1)+(-5.141412+(-1.00368--1.074366))+0-323--0.988380000000037</f>
        <v>1330.017654</v>
      </c>
      <c r="Z186" s="3">
        <f>1682.1+(383.6-342.5)+(-4.289355+(-0.97818--0.873375))+0-321.6--0.820079999999953</f>
        <v>1398.0259199999996</v>
      </c>
      <c r="AA186" s="3">
        <f>1684.7+(421.8-334.2)+(-3.436788+(-0.860472--0.681768))+0-324.3--0.661571999999986</f>
        <v>1445.0460800000003</v>
      </c>
      <c r="AB186" s="3">
        <f>1688.6+(443.9-326.5)+(-2.583558+(-0.679167--0.499545))+0-321.5--0.491895000000019</f>
        <v>1482.2287150000002</v>
      </c>
      <c r="AC186" s="3">
        <f>1688.7+(448.4-309.1)+(-4.306185+(-1.14342--0.788205))+0-321.9--0.820844999999953</f>
        <v>1502.2594449999999</v>
      </c>
      <c r="AD186">
        <v>1287.8000000000002</v>
      </c>
      <c r="AE186" s="3">
        <f>1676+(304.9-368.2)+(0+(0-0))+0-324.9-0</f>
        <v>1287.8000000000002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1687.3+(421.1-284.1)+(-1.721046+(-0.429522--0.289782))+0-321.1--0.327522000000051</f>
        <v>1501.6667360000001</v>
      </c>
      <c r="G187" s="3">
        <f>1524.3+(525-241.5)+(0.777393+(0.26775-0.123165))+0-322.2-0.164321999999967</f>
        <v>1486.3576560000001</v>
      </c>
      <c r="H187" s="3">
        <f>1467.7+(517.5-216.3)+(1.497054+(0.52785-0.220626))+0-322.2-0.328644000000051</f>
        <v>1448.1756340000002</v>
      </c>
      <c r="I187" s="3">
        <f>1471.1+(462-202.1)+(0+(0-0))+0-323.1-0</f>
        <v>1407.9</v>
      </c>
      <c r="J187" s="3">
        <f>1473.7+(390.2-190)+(-2.254761+(-0.597006--0.2907))+0-318.9--0.487917000000018</f>
        <v>1352.9268499999998</v>
      </c>
      <c r="K187" s="3">
        <f>1473.5+(247.5-165.4)+(-4.50891+(-0.75735--0.506124))+0-317.9--0.972774000000037</f>
        <v>1233.912638</v>
      </c>
      <c r="L187" s="3">
        <f>1472.1+(145.3-174.3)+(0.750771+(0.074103-0.088893))+0-316.9-0.161618999999968</f>
        <v>1126.7743620000001</v>
      </c>
      <c r="M187" s="3">
        <f>1463.2+(134.5-186.6)+(2.984928+(0.27438-0.380664))+0-318-0.648719999999986</f>
        <v>1095.3299240000001</v>
      </c>
      <c r="N187" s="3">
        <f>1456.5+(173.5-200.2)+(0+(0-0))+0-318-0</f>
        <v>1111.8</v>
      </c>
      <c r="O187" s="3">
        <f>1441+(239.8-212.1)+(1.46982+(0.244596-0.216342))+0-319.6-0.325992000000051</f>
        <v>1150.272082</v>
      </c>
      <c r="P187" s="3">
        <f>1430.8+(320.9-248)+(0+(0-0))+0-319.5-0</f>
        <v>1184.1999999999998</v>
      </c>
      <c r="Q187" s="3">
        <f>1421.7+(440.1-278)+(-1.450134+(-0.448902--0.28356))+0-319.7--0.326094000000051</f>
        <v>1262.8106180000002</v>
      </c>
      <c r="R187" s="3">
        <f>1414.8+(579.4-304)+(0.721548+(0.295494-0.15504))+0-319.8-0.163097999999968</f>
        <v>1371.0989039999999</v>
      </c>
      <c r="S187" s="3">
        <f>1413+(666.3-298.4)+(-1.44126+(-0.679626--0.304368))+0-319.3--0.325686000000051</f>
        <v>1460.1091680000002</v>
      </c>
      <c r="T187" s="3">
        <f>1417.4+(653.3-274.9)+(-2.168622+(-0.999549--0.420597))+0-318.7--0.487611000000018</f>
        <v>1474.8400370000002</v>
      </c>
      <c r="U187" s="3">
        <f>1420.2+(541.9-247.3)+(-2.897208+(-1.105476--0.504492))+0-317.6--0.647903999999986</f>
        <v>1394.3497119999997</v>
      </c>
      <c r="V187" s="3">
        <f>1417.6+(289.2-220.7)+(-2.168928+(-0.442476--0.337671))+0-317.6--0.485928000000018</f>
        <v>1166.7121950000001</v>
      </c>
      <c r="W187" s="3">
        <f>1413.3+(144.9-215.2)+(0+(0-0))+0-318.6-0</f>
        <v>1024.4000000000001</v>
      </c>
      <c r="X187" s="3">
        <f>1428.2+(332-287.9)+(0+(0-0))+0-319.1-0</f>
        <v>1153.2000000000003</v>
      </c>
      <c r="Y187" s="3">
        <f>1435.3+(479.3-306.7)+(-0.732003+(-0.244443--0.156417))+0-318.8--0.162587999999968</f>
        <v>1288.4425590000001</v>
      </c>
      <c r="Z187" s="3">
        <f>1444.4+(550.6-311)+(-2.209932+(-0.842418--0.47583))+0-319.8--0.489294000000018</f>
        <v>1362.1127739999999</v>
      </c>
      <c r="AA187" s="3">
        <f>1448.8+(583.3-306.9)+(-1.477776+(-0.594966--0.313038))+0-318.2--0.324564000000051</f>
        <v>1405.5648599999997</v>
      </c>
      <c r="AB187" s="3">
        <f>1452.7+(623.9-294.5)+(0.740877+(0.318189-0.150195))+0-318-0.162179999999968</f>
        <v>1464.846691</v>
      </c>
      <c r="AC187" s="3">
        <f>1454+(627.8-278.5)+(-0.74154+(-0.320178--0.142035))+0-317.2--0.161771999999968</f>
        <v>1485.3420889999998</v>
      </c>
      <c r="AD187">
        <v>1311.7000000000003</v>
      </c>
      <c r="AE187" s="3">
        <f>1435+(502.7-308.9)+(0+(0-0))+0-317.1-0</f>
        <v>1311.6999999999998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1455.6+(600.8-257.9)+(0+(0-0))+0-317.9-0</f>
        <v>1480.6</v>
      </c>
      <c r="G188" s="3">
        <f>1457.9+(543-236.3)+(0.743529+(0.27693-0.120513))+0-319.8-0.163097999999968</f>
        <v>1445.5368480000002</v>
      </c>
      <c r="H188" s="3">
        <f>1458.4+(499.8-227.5)+(1.487568+(0.509796-0.23205))+0-319.7-0.326094000000051</f>
        <v>1412.43922</v>
      </c>
      <c r="I188" s="3">
        <f>1460.7+(454.6-212.1)+(0.744957+(0.231846-0.108171))+0-319-0.162689999999968</f>
        <v>1384.9059420000001</v>
      </c>
      <c r="J188" s="3">
        <f>1462.2+(399.2-200.6)+(-1.491444+(-0.407184--0.204612))+0-318.2--0.324564000000051</f>
        <v>1341.230548</v>
      </c>
      <c r="K188" s="3">
        <f>1461.6+(241.8-173.2)+(-3.72708+(-0.61659--0.44166))+0-317.8--0.810389999999954</f>
        <v>1209.3083799999997</v>
      </c>
      <c r="L188" s="3">
        <f>1462.1+(122.6-164.1)+(0+(0-0))+0-317.1-0</f>
        <v>1103.5</v>
      </c>
      <c r="M188" s="3">
        <f>1460.8+(108.7-180.6)+(0+(0-0))+0-318.4-0</f>
        <v>1070.5</v>
      </c>
      <c r="N188" s="3">
        <f>1455.3+(150.6-218.3)+(-0.742203+(-0.076806--0.111333))+0-318.4--0.162383999999968</f>
        <v>1068.6547079999998</v>
      </c>
      <c r="O188" s="3">
        <f>1430+(185.3-281.8)+(0+(0-0))+0-321.4-0</f>
        <v>1012.1</v>
      </c>
      <c r="P188" s="3">
        <f>1435.2+(284.3-271.8)+(0.731952+(0.144993-0.138618))+0-320.3-0.163352999999968</f>
        <v>1127.9749740000002</v>
      </c>
      <c r="Q188" s="3">
        <f>1431.7+(432.6-295.3)+(-2.190501+(-0.661878--0.451809))+0-320.1--0.489753000000019</f>
        <v>1246.9891829999999</v>
      </c>
      <c r="R188" s="3">
        <f>1429.6+(604.9-313.2)+(0+(0-0))+0-319.1-0</f>
        <v>1402.1999999999998</v>
      </c>
      <c r="S188" s="3">
        <f>1428.4+(696.4-319.6)+(0.728484+(0.355164-0.162996))+0-319.8-0.163097999999968</f>
        <v>1486.1575540000001</v>
      </c>
      <c r="T188" s="3">
        <f>1429.5+(684.5-308.5)+(0+(0-0))+0-320.9-0</f>
        <v>1484.6</v>
      </c>
      <c r="U188" s="3">
        <f>1426.3+(546.8-277)+(-1.454826+(-0.557736--0.28254))+0-319.6--0.325992000000051</f>
        <v>1375.0959699999999</v>
      </c>
      <c r="V188" s="3">
        <f>1294.1+(398.9-222.9)+(-1.979973+(-0.610317--0.341037))+0-319.7--0.489141000000018</f>
        <v>1148.6398879999999</v>
      </c>
      <c r="W188" s="3">
        <f>1196.6+(323-186.1)+(-1.220532+(-0.32946--0.189822))+0-320.3--0.326706000000051</f>
        <v>1012.1665360000002</v>
      </c>
      <c r="X188" s="3">
        <f>1205.1+(518.8-222.2)+(0+(0-0))+0-320.6-0</f>
        <v>1181.0999999999999</v>
      </c>
      <c r="Y188" s="3">
        <f>1212+(655.2-228.2)+(-0.61812+(-0.334152--0.116382))+0-320.3--0.163352999999968</f>
        <v>1318.0274629999999</v>
      </c>
      <c r="Z188" s="3">
        <f>1311.5+(651.5-245.1)+(-2.67546+(-1.32906--0.500004))+0-319.8--0.652391999999986</f>
        <v>1395.2478760000001</v>
      </c>
      <c r="AA188" s="3">
        <f>1348.1+(686.6-248.1)+(0.687531+(0.350166-0.126531))+0-319.7-0.163046999999968</f>
        <v>1467.648119</v>
      </c>
      <c r="AB188" s="3">
        <f>1353.5+(714.8-236)+(-2.070855+(-1.093644--0.36108))+0-318.7--0.487611000000018</f>
        <v>1511.2841919999998</v>
      </c>
      <c r="AC188" s="3">
        <f>1352.4+(714.4-214.1)+(-0.689724+(-0.364344--0.109191))+0-318.5--0.162434999999968</f>
        <v>1533.4175580000001</v>
      </c>
      <c r="AD188">
        <v>1365.6000000000001</v>
      </c>
      <c r="AE188" s="3">
        <f>1256+(662.7-233.6)+(0+(0-0))+0-319.5-0</f>
        <v>1365.6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1349.6+(675.6-198.7)+(-0.688296+(-0.344556--0.101337))+0-318.2--0.162281999999968</f>
        <v>1507.530767</v>
      </c>
      <c r="G189" s="3">
        <f>1353.1+(618.3-183.4)+(-2.070243+(-0.945999--0.280602))+0-318.6--0.487458000000018</f>
        <v>1467.1518179999998</v>
      </c>
      <c r="H189" s="3">
        <f>1354.1+(571.6-170.6)+(0.690591+(0.291516-0.087006))+0-318.5-0.162434999999968</f>
        <v>1437.332666</v>
      </c>
      <c r="I189" s="3">
        <f>1357.4+(523.9-157.7)+(-0.692274+(-0.267189--0.080427))+0-318.8--0.162587999999968</f>
        <v>1404.0835520000001</v>
      </c>
      <c r="J189" s="3">
        <f>1357.6+(478.6-157.6)+(-0.692376+(-0.244086--0.080376))+0-318.1--0.162230999999968</f>
        <v>1359.8061449999998</v>
      </c>
      <c r="K189" s="3">
        <f>1381.9+(320-158.9)+(-2.819076+(-0.6528--0.324156))+0-319.4--0.651575999999986</f>
        <v>1221.103856</v>
      </c>
      <c r="L189" s="3">
        <f>1397.5+(173.4-168.2)+(-1.42545+(-0.176868--0.171564))+0-319--0.325380000000051</f>
        <v>1082.5946260000001</v>
      </c>
      <c r="M189" s="3">
        <f>1463.9+(117.6-193)+(1.493178+(0.119952-0.19686))+0-319.2-0.325584000000051</f>
        <v>1070.3906859999997</v>
      </c>
      <c r="N189" s="3">
        <f>1495+(151.4-219.3)+(0+(0-0))+0-321.7-0</f>
        <v>1105.3999999999999</v>
      </c>
      <c r="O189" s="3">
        <f>1545.4+(183-258)+(0.788154+(0.09333-0.13158))+0-322-0.164219999999967</f>
        <v>1148.9856840000002</v>
      </c>
      <c r="P189" s="3">
        <f>1540.9+(241-268)+(-0.785859+(-0.12291--0.13668))+0-321--0.163709999999967</f>
        <v>1192.2916210000001</v>
      </c>
      <c r="Q189" s="3">
        <f>1533.3+(370.4-282.2)+(0.781983+(0.188904-0.143922))+0-318.2-0.162281999999968</f>
        <v>1303.9646829999999</v>
      </c>
      <c r="R189" s="3">
        <f>1530+(533.3-290.9)+(-1.5606+(-0.543966--0.296718))+0-318.4--0.324768000000051</f>
        <v>1452.51692</v>
      </c>
      <c r="S189" s="3">
        <f>1525.1+(637.7-284.2)+(1.555602+(0.650454-0.289884))+0-319.7-0.326094000000051</f>
        <v>1560.4900779999998</v>
      </c>
      <c r="T189" s="3">
        <f>1526.4+(640.6-270.6)+(-0.778464+(-0.326706--0.138006))+0-319.2--0.162791999999968</f>
        <v>1576.3956280000002</v>
      </c>
      <c r="U189" s="3">
        <f>1529.5+(530.4-253.3)+(-3.12018+(-1.082016--0.516732))+0-319.6--0.651983999999986</f>
        <v>1483.9665199999999</v>
      </c>
      <c r="V189" s="3">
        <f>1542.8+(283.1-232.7)+(-1.573656+(-0.288762--0.237354))+0-318.2--0.324564000000051</f>
        <v>1273.6994999999999</v>
      </c>
      <c r="W189" s="3">
        <f>1549.1+(179.5-249.5)+(0.790041+(0.091545-0.127245))+0-319.8-0.163097999999968</f>
        <v>1159.891243</v>
      </c>
      <c r="X189" s="3">
        <f>1563.5+(298.9-276.9)+(-0.797385+(-0.152439--0.141219))+0-320.8--0.163607999999967</f>
        <v>1264.0550030000002</v>
      </c>
      <c r="Y189" s="3">
        <f>1619.3+(390.9-293.9)+(-4.129215+(-0.996795--0.749445))+0-320.7--0.817784999999953</f>
        <v>1392.0412199999998</v>
      </c>
      <c r="Z189" s="3">
        <f>1667.3+(406-295.1)+(-1.700646+(-0.41412--0.301002))+0-321.9--0.328338000000051</f>
        <v>1454.8145739999998</v>
      </c>
      <c r="AA189" s="3">
        <f>1668.9+(436.3-288.3)+(-0.851139+(-0.222513--0.147033))+0-322.1--0.164270999999967</f>
        <v>1494.0376519999998</v>
      </c>
      <c r="AB189" s="3">
        <f>1694.6+(442.2-289.9)+(-2.592738+(-0.676566--0.443547))+0-320.2--0.489906000000018</f>
        <v>1524.3641489999998</v>
      </c>
      <c r="AC189" s="3">
        <f>1721.8+(423.1-270.9)+(-4.39059+(-1.078905--0.690795))+0-322--0.821099999999953</f>
        <v>1548.0423999999998</v>
      </c>
      <c r="AD189">
        <v>1386.8</v>
      </c>
      <c r="AE189" s="3">
        <f>1614+(380.5-289.4)+(0+(0-0))+0-318.3-0</f>
        <v>1386.8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1720.2+(397.4-258.2)+(-4.38651+(-1.01337--0.65841))+0-321.2--0.819059999999953</f>
        <v>1534.2775900000001</v>
      </c>
      <c r="G190" s="3">
        <f>1746.2+(319.4-251.9)+(3.562248+(0.651576-0.513876))+0-320.5-0.653819999999986</f>
        <v>1496.246128</v>
      </c>
      <c r="H190" s="3">
        <f>1852+(210.3-270)+(-1.88904+(-0.214506--0.2754))+0-321.9--0.328338000000051</f>
        <v>1468.9001919999998</v>
      </c>
      <c r="I190" s="3">
        <f>1864.5+(168.8-267.5)+(-1.90179+(-0.172176--0.27285))+0-321--0.327420000000051</f>
        <v>1443.3263039999999</v>
      </c>
      <c r="J190" s="3">
        <f>1866.3+(128-270)+(-1.903626+(-0.13056--0.2754))+0-320.5--0.326910000000051</f>
        <v>1402.3681239999999</v>
      </c>
      <c r="K190" s="3">
        <f>1869+(55-317.3)+(-4.76595+(-0.14025--0.809115))+0-318.3--0.811664999999954</f>
        <v>1285.1145799999999</v>
      </c>
      <c r="L190" s="3">
        <f>1871.1+(40.5-430.7)+(-2.862783+(-0.061965--0.658971))+0-317.2--0.485316000000018</f>
        <v>1161.9195389999998</v>
      </c>
      <c r="M190" s="3">
        <f>1872.5+(30.3-438.4)+(0.954975+(0.015453-0.223584))+0-318.1-0.162230999999968</f>
        <v>1146.8846129999999</v>
      </c>
      <c r="N190" s="3">
        <f>1869.2+(41.9-418.5)+(0+(0-0))+0-320.5-0</f>
        <v>1172.0999999999999</v>
      </c>
      <c r="O190" s="3">
        <f>1869+(43-489)+(0.95319+(0.02193-0.24939))+0-323-0.164729999999967</f>
        <v>1100.5610000000001</v>
      </c>
      <c r="P190" s="3">
        <f>1866.7+(98.6-394.3)+(1.904034+(0.100572-0.402186))+0-322.2-0.328644000000051</f>
        <v>1250.073776</v>
      </c>
      <c r="Q190" s="3">
        <f>1859.8+(176.4-341.8)+(0+(0-0))+0-322.2-0</f>
        <v>1372.1999999999998</v>
      </c>
      <c r="R190" s="3">
        <f>1859.6+(327.5-335.1)+(-2.845188+(-0.501075--0.512703))+0-322.4--0.493272000000019</f>
        <v>1527.2597119999998</v>
      </c>
      <c r="S190" s="3">
        <f>1846.9+(449.3-340.6)+(-3.767676+(-0.916572--0.694824))+0-321--0.654839999999986</f>
        <v>1631.265416</v>
      </c>
      <c r="T190" s="3">
        <f>1837.3+(436.6-333.7)+(-4.685115+(-1.11333--0.850935))+0-320.8--0.818039999999953</f>
        <v>1615.27053</v>
      </c>
      <c r="U190" s="3">
        <f>1844.4+(295.9-316.3)+(-6.584508+(-1.056363--1.129191))+0-321.3--1.147041</f>
        <v>1497.3353609999999</v>
      </c>
      <c r="V190" s="3">
        <f>1848.7+(92.9-332.4)+(-6.599859+(-0.331653--1.186668))+0-320.8--1.145256</f>
        <v>1283.8004120000001</v>
      </c>
      <c r="W190" s="3">
        <f>1849.4+(44.6-420.7)+(-3.772776+(-0.090984--0.858228))+0-322.7--0.658307999999986</f>
        <v>1148.2527760000003</v>
      </c>
      <c r="X190" s="3">
        <f>1858.4+(158.5-396.3)+(-3.791136+(-0.32334--0.808452))+0-319.9--0.652595999999986</f>
        <v>1298.0465720000002</v>
      </c>
      <c r="Y190" s="3">
        <f>1867+(223.3-350.2)+(-3.80868+(-0.455532--0.714408))+0-319.5--0.651779999999986</f>
        <v>1417.7019759999998</v>
      </c>
      <c r="Z190" s="3">
        <f>1865.5+(283.1-338.4)+(0+(0-0))+0-320.8-0</f>
        <v>1489.4</v>
      </c>
      <c r="AA190" s="3">
        <f>1873.6+(323.9-331.6)+(-4.77768+(-0.825945--0.84558))+0-319.5--0.814724999999954</f>
        <v>1542.4566799999998</v>
      </c>
      <c r="AB190" s="3">
        <f>1874.2+(339.6-322.5)+(-4.77921+(-0.86598--0.822375))+0-320.1--0.816254999999954</f>
        <v>1567.1934400000002</v>
      </c>
      <c r="AC190" s="3">
        <f>1873.5+(333-303.8)+(-4.777425+(-0.84915--0.77469))+0-321.5--0.819824999999953</f>
        <v>1577.16794</v>
      </c>
      <c r="AD190">
        <v>1426.6</v>
      </c>
      <c r="AE190" s="3">
        <f>1867+(225.1-345.4)+(0+(0-0))+0-320.1-0</f>
        <v>1426.6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1872.3+(297.2-259.6)+(-3.819492+(-0.606288--0.529584))+0-320.3--0.653411999999986</f>
        <v>1586.3572159999999</v>
      </c>
      <c r="G191" s="3">
        <f>1870.7+(250.8-249.4)+(0+(0-0))+0-320.9-0</f>
        <v>1551.2000000000003</v>
      </c>
      <c r="H191" s="3">
        <f>1741.6+(315.1-212.4)+(0+(0-0))+0-319.8-0</f>
        <v>1524.5</v>
      </c>
      <c r="I191" s="3">
        <f>1698.8+(309.4-193.1)+(0+(0-0))+0-317.1-0</f>
        <v>1498</v>
      </c>
      <c r="J191" s="3">
        <f>1697.7+(262.8-186.6)+(-1.731654+(-0.268056--0.190332))+0-316.8--0.323136000000051</f>
        <v>1455.6137580000002</v>
      </c>
      <c r="K191" s="3">
        <f>1697.5+(117.1-171.8)+(-0.865725+(-0.059721--0.087618))+0-317.4--0.161873999999968</f>
        <v>1324.7240459999998</v>
      </c>
      <c r="L191" s="3">
        <f>1698.4+(35.1-239.5)+(-1.732368+(-0.035802--0.24429))+0-316.4--0.32272800000005</f>
        <v>1176.3988480000003</v>
      </c>
      <c r="M191" s="3">
        <f>1704+(43.8-244.9)+(2.60712+(0.067014-0.374697))+0-317-0.485010000000018</f>
        <v>1187.7144269999999</v>
      </c>
      <c r="N191" s="3">
        <f>1720.8+(73.6-290.7)+(1.755216+(0.075072-0.296514))+0-317.4-0.323748000000051</f>
        <v>1187.5100260000002</v>
      </c>
      <c r="O191" s="3">
        <f>1730+(94-316.9)+(0+(0-0))+0-319.5-0</f>
        <v>1187.5999999999999</v>
      </c>
      <c r="P191" s="3">
        <f>1721+(170.5-338)+(-4.38855+(-0.434775--0.8619))+0-319.6--0.814979999999954</f>
        <v>1230.753555</v>
      </c>
      <c r="Q191" s="3">
        <f>1717.3+(314.7-335.6)+(0.875823+(0.160497-0.171156))+0-319.9-0.163148999999968</f>
        <v>1377.2020149999998</v>
      </c>
      <c r="R191" s="3">
        <f>1695.7+(484.7-313.2)+(1.729614+(0.494394-0.319464))+0-320.1-0.326502000000051</f>
        <v>1548.6780419999998</v>
      </c>
      <c r="S191" s="3">
        <f>1673.7+(579.9-307.5)+(3.414348+(1.182996-0.6273))+0-318.7-0.650147999999986</f>
        <v>1630.7198959999998</v>
      </c>
      <c r="T191" s="3">
        <f>1674+(558.5-298.9)+(-2.56122+(-0.854505--0.457317))+0-318.2--0.486846000000018</f>
        <v>1612.9284379999999</v>
      </c>
      <c r="U191" s="3">
        <f>1811.8+(350.7-302.7)+(-4.62009+(-0.894285--0.771885))+0-318.2--0.811409999999954</f>
        <v>1537.6689199999998</v>
      </c>
      <c r="V191" s="3">
        <f>1816.2+(136.7-358.7)+(-4.63131+(-0.348585--0.914685))+0-266.9--0.680594999999961</f>
        <v>1323.915385</v>
      </c>
      <c r="W191" s="3">
        <f>1818.7+(135.4-430)+(-2.782611+(-0.207162--0.6579))+0-320.2--0.489906000000018</f>
        <v>1202.0580329999998</v>
      </c>
      <c r="X191" s="3">
        <f>1831.2+(221.2-373.7)+(2.801736+(0.338436-0.571761))+0-320.6-0.490518000000019</f>
        <v>1360.177893</v>
      </c>
      <c r="Y191" s="3">
        <f>1835.3+(302.2-348.5)+(-4.680015+(-0.77061--0.888675))+0-320.6--0.817529999999954</f>
        <v>1464.6555799999999</v>
      </c>
      <c r="Z191" s="3">
        <f>1839.3+(353.9-343.4)+(-1.876086+(-0.360978--0.350268))+0-320.6--0.327012000000051</f>
        <v>1527.640216</v>
      </c>
      <c r="AA191" s="3">
        <f>1841.3+(389.4-323.7)+(-2.817189+(-0.595782--0.495261))+0-319.4--0.488682000000018</f>
        <v>1585.1709720000001</v>
      </c>
      <c r="AB191" s="3">
        <f>1812.3+(432.4-297.8)+(-3.697092+(-0.882096--0.607512))+0-318.5--0.649739999999986</f>
        <v>1625.078064</v>
      </c>
      <c r="AC191" s="3">
        <f>1673.2+(544.5-254)+(-4.26666+(-1.388475--0.6477))+0-317.7--0.810134999999954</f>
        <v>1641.8027</v>
      </c>
      <c r="AD191">
        <v>1344.3</v>
      </c>
      <c r="AE191" s="3">
        <f>1795+(230.6-360.6)+(0+(0-0))+0-320.7-0</f>
        <v>1344.3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1616.6+(499.3-254.8)+(-3.297864+(-1.018572--0.519792))+0-318.7--0.650147999999986</f>
        <v>1539.2535039999998</v>
      </c>
      <c r="G192" s="3">
        <f>1620.1+(453.3-244.5)+(-0.826251+(-0.231183--0.124695))+0-319.6--0.162995999999968</f>
        <v>1508.5302569999999</v>
      </c>
      <c r="H192" s="3">
        <f>1617.7+(408.4-234.1)+(-3.300108+(-0.833136--0.477564))+0-319.5--0.651779999999986</f>
        <v>1469.4960999999998</v>
      </c>
      <c r="I192" s="3">
        <f>1619.7+(360.5-221.2)+(0.826047+(0.183855-0.112812))+0-319.7-0.163046999999968</f>
        <v>1440.0340429999999</v>
      </c>
      <c r="J192" s="3">
        <f>1620.6+(308.5-214.3)+(-1.653012+(-0.31467--0.218586))+0-318.3--0.324666000000051</f>
        <v>1395.07557</v>
      </c>
      <c r="K192" s="3">
        <f>1626.3+(174.9-196.5)+(-4.147065+(-0.445995--0.501075))+0-317.5--0.809624999999954</f>
        <v>1283.9176399999999</v>
      </c>
      <c r="L192" s="3">
        <f>1526.8+(143.5-177.5)+(-0.778668+(-0.073185--0.090525))+0-317.5--0.161924999999968</f>
        <v>1174.7005969999998</v>
      </c>
      <c r="M192" s="3">
        <f>1473.6+(150.5-197.5)+(0.751536+(0.076755-0.100725))+0-317-0.161669999999968</f>
        <v>1110.165896</v>
      </c>
      <c r="N192" s="3">
        <f>1610.9+(133.6-243.7)+(1.643118+(0.136272-0.248574))+0-317.6-0.323952000000051</f>
        <v>1184.4068640000003</v>
      </c>
      <c r="O192" s="3">
        <f>1605.1+(178.4-290.8)+(2.455803+(0.272952-0.444924))+0-318.7-0.487611000000018</f>
        <v>1175.7962199999997</v>
      </c>
      <c r="P192" s="3">
        <f>1595.7+(244.1-305.8)+(0+(0-0))+0-319.9-0</f>
        <v>1214.0999999999999</v>
      </c>
      <c r="Q192" s="3">
        <f>1587.9+(421.2-302.6)+(0.809829+(0.214812-0.154326))+0-320-0.163199999999968</f>
        <v>1387.2071149999999</v>
      </c>
      <c r="R192" s="3">
        <f>1581.1+(601.9-286.4)+(-2.419083+(-0.920907--0.438192))+0-319.9--0.489447000000018</f>
        <v>1574.2876489999999</v>
      </c>
      <c r="S192" s="3">
        <f>1576.6+(651.7-280)+(0.804066+(0.332367-0.1428))+0-320.1-0.163250999999968</f>
        <v>1629.0303819999999</v>
      </c>
      <c r="T192" s="3">
        <f>1569+(686.9-269.5)+(-3.20076+(-1.401276--0.54978))+0-323.5--0.659939999999986</f>
        <v>1659.5076840000002</v>
      </c>
      <c r="U192" s="3">
        <f>1568.7+(529.1-253.8)+(-4.000185+(-1.349205--0.64719))+0-322.9--0.823394999999953</f>
        <v>1517.2211950000001</v>
      </c>
      <c r="V192" s="3">
        <f>1571.8+(267.8-238.5)+(-1.603236+(-0.273156--0.24327))+0-322.2--0.328644000000051</f>
        <v>1277.5955219999998</v>
      </c>
      <c r="W192" s="3">
        <f>1574.1+(174.2-267.1)+(0+(0-0))+0-321.1-0</f>
        <v>1160.0999999999999</v>
      </c>
      <c r="X192" s="3">
        <f>1579+(351-304.4)+(-1.61058+(-0.35802--0.310488))+0-322.2--0.328644000000051</f>
        <v>1302.0705319999997</v>
      </c>
      <c r="Y192" s="3">
        <f>1586.1+(451-304.5)+(-2.426733+(-0.69003--0.465885))+0-321.9--0.492507000000019</f>
        <v>1408.5416289999998</v>
      </c>
      <c r="Z192" s="3">
        <f>1588.7+(494.7-298.9)+(-2.430711+(-0.756891--0.457317))+0-324.2--0.496026000000019</f>
        <v>1458.0657409999999</v>
      </c>
      <c r="AA192" s="3">
        <f>1594+(526.9-285.9)+(-1.62588+(-0.537438--0.291618))+0-323.1--0.329562000000052</f>
        <v>1510.3578620000001</v>
      </c>
      <c r="AB192" s="3">
        <f>1581.5+(552.1-267.4)+(-0.806565+(-0.281571--0.136374))+0-322--0.164219999999967</f>
        <v>1543.412458</v>
      </c>
      <c r="AC192" s="3">
        <f>1573.9+(557.2-246.5)+(-0.802689+(-0.284172--0.125715))+0-321.5--0.163964999999967</f>
        <v>1562.302819</v>
      </c>
      <c r="AD192">
        <v>1345.4</v>
      </c>
      <c r="AE192" s="3">
        <f>1580+(397.9-313)+(0+(0-0))+0-319.5-0</f>
        <v>1345.4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1573.7+(470.3-234.8)+(-3.210348+(-0.959412--0.478992))+0-321.8--0.656471999999986</f>
        <v>1484.3657040000001</v>
      </c>
      <c r="G193" s="3">
        <f>1572.8+(433.9-222.6)+(-4.01064+(-1.106445--0.56763))+0-321.6--0.820079999999953</f>
        <v>1458.7706249999997</v>
      </c>
      <c r="H193" s="3">
        <f>1427.4+(499.7-181.7)+(-1.455948+(-0.509694--0.185334))+0-320.8--0.327216000000051</f>
        <v>1423.1469080000002</v>
      </c>
      <c r="I193" s="3">
        <f>1232.2+(600.9-138.9)+(-2.513688+(-1.225836--0.283356))+0-319.7--0.652187999999986</f>
        <v>1371.6960200000001</v>
      </c>
      <c r="J193" s="3">
        <f>1050.7+(683.8-99)+(2.679285+(1.74369-0.25245))+0-319.4-0.814469999999954</f>
        <v>1319.4560549999999</v>
      </c>
      <c r="K193" s="3">
        <f>846.9+(710.6-52)+(-0.863838+(-0.724812--0.05304))+0-319--0.325380000000051</f>
        <v>1185.2897700000001</v>
      </c>
      <c r="L193" s="3">
        <f>729.1+(746.1-27.1)+(1.487364+(1.522044-0.055284))+0-317-0.646679999999986</f>
        <v>1133.4074439999999</v>
      </c>
      <c r="M193" s="3">
        <f>731.6+(746.4-52)+(1.119348+(1.141992-0.07956))+0-316.4-0.484092000000018</f>
        <v>1111.2976879999999</v>
      </c>
      <c r="N193" s="3">
        <f>868.9+(688.3-109.4)+(-0.886278+(-0.702066--0.111588))+0-317.3--0.323646000000051</f>
        <v>1129.34689</v>
      </c>
      <c r="O193" s="3">
        <f>1213.2+(451.5-200.2)+(0.618732+(0.230265-0.102102))+0-318.4-0.162383999999968</f>
        <v>1146.6845110000002</v>
      </c>
      <c r="P193" s="3">
        <f>1282.6+(474.4-239.2)+(1.308252+(0.483888-0.243984))+0-319.1-0.325482000000051</f>
        <v>1199.9226740000001</v>
      </c>
      <c r="Q193" s="3">
        <f>1306.4+(606.1-249.5)+(0+(0-0))+0-319.5-0</f>
        <v>1343.5</v>
      </c>
      <c r="R193" s="3">
        <f>1303.8+(788.8-252.5)+(-3.32469+(-2.01144--0.643875))+0-318.8--0.812939999999954</f>
        <v>1517.420685</v>
      </c>
      <c r="S193" s="3">
        <f>1317.6+(834-247.7)+(-2.687904+(-1.70136--0.505308))+0-318.5--0.649739999999986</f>
        <v>1582.165784</v>
      </c>
      <c r="T193" s="3">
        <f>1337.2+(817.6-228.4)+(-3.40986+(-2.08488--0.58242))+0-321.1--0.818804999999953</f>
        <v>1601.2064850000002</v>
      </c>
      <c r="U193" s="3">
        <f>1337.7+(703-203)+(-2.728908+(-1.43412--0.41412))+0-322.7--0.658307999999986</f>
        <v>1511.9094</v>
      </c>
      <c r="V193" s="3">
        <f>1333.9+(426.4-183)+(-2.721156+(-0.869856--0.37332))+0-322.4--0.657695999999986</f>
        <v>1252.3400040000004</v>
      </c>
      <c r="W193" s="3">
        <f>1330.4+(335.3-184.1)+(-1.357008+(-0.342006--0.187782))+0-321.9--0.328338000000051</f>
        <v>1158.517106</v>
      </c>
      <c r="X193" s="3">
        <f>1329.9+(532.4-214.9)+(1.356498+(0.543048-0.219198))+0-320.7-0.327114000000051</f>
        <v>1328.0532340000002</v>
      </c>
      <c r="Y193" s="3">
        <f>1323.2+(623.1-223.6)+(-2.024496+(-0.953343--0.342108))+0-320--0.489600000000018</f>
        <v>1400.5538690000001</v>
      </c>
      <c r="Z193" s="3">
        <f>1324.8+(655.4-216)+(-2.026944+(-1.002762--0.33048))+0-320.9--0.490977000000019</f>
        <v>1441.0917509999999</v>
      </c>
      <c r="AA193" s="3">
        <f>1325.2+(671.4-208.3)+(-2.027556+(-1.027242--0.318699))+0-319.2--0.488376000000018</f>
        <v>1466.852277</v>
      </c>
      <c r="AB193" s="3">
        <f>1324.7+(699-196)+(-0.675597+(-0.35649--0.09996))+0-320.7--0.163556999999967</f>
        <v>1506.2314299999998</v>
      </c>
      <c r="AC193" s="3">
        <f>1373.1+(663.7-181.7)+(-1.400562+(-0.676974--0.185334))+0-323.2--0.329664000000052</f>
        <v>1530.337462</v>
      </c>
      <c r="AD193">
        <v>1407.1</v>
      </c>
      <c r="AE193" s="3">
        <f>1321+(626.1-211.6)+(0+(0-0))+0-328.4-0</f>
        <v>1407.1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1502.8+(518.2-211.1)+(1.532856+(0.528564-0.215322))+0-323.5-0.329970000000052</f>
        <v>1487.9161280000001</v>
      </c>
      <c r="G194" s="3">
        <f>1536.7+(473.5-208.2)+(0.783717+(0.241485-0.106182))+0-322.4-0.164423999999967</f>
        <v>1480.3545960000001</v>
      </c>
      <c r="H194" s="3">
        <f>1534.9+(437.5-200.3)+(1.565598+(0.44625-0.204306))+0-322.2-0.328644000000051</f>
        <v>1451.3788980000002</v>
      </c>
      <c r="I194" s="3">
        <f>1534.8+(394.8-190.8)+(-0.782748+(-0.201348--0.097308))+0-318.8--0.162587999999968</f>
        <v>1419.2757999999999</v>
      </c>
      <c r="J194" s="3">
        <f>1536.4+(350.6-196.1)+(0.783564+(0.178806-0.100011))+0-317.8-0.162077999999968</f>
        <v>1373.800281</v>
      </c>
      <c r="K194" s="3">
        <f>1559.7+(231.9-204.2)+(-3.977235+(-0.591345--0.52071))+0-318.4--0.811919999999954</f>
        <v>1265.76405</v>
      </c>
      <c r="L194" s="3">
        <f>1562.6+(133-212.8)+(1.593852+(0.13566-0.217056))+0-317.8-0.324156000000051</f>
        <v>1166.1882999999998</v>
      </c>
      <c r="M194" s="3">
        <f>1561.3+(124.3-248)+(0+(0-0))+0-317.5-0</f>
        <v>1120.0999999999999</v>
      </c>
      <c r="N194" s="3">
        <f>1769.6+(98.4-442.4)+(-2.707488+(-0.150552--0.676872))+0-317.4--0.485622000000018</f>
        <v>1106.5044539999997</v>
      </c>
      <c r="O194" s="3">
        <f>1862.6+(99.2-539.6)+(2.849778+(0.151776-0.825588))+0-318.9-0.487917000000018</f>
        <v>1104.988049</v>
      </c>
      <c r="P194" s="3">
        <f>1874.3+(121.3-522.6)+(-1.911786+(-0.123726--0.533052))+0-319.2--0.325584000000051</f>
        <v>1152.6231240000002</v>
      </c>
      <c r="Q194" s="3">
        <f>1870.4+(152.6-448.2)+(0+(0-0))+0-319.3-0</f>
        <v>1255.5000000000002</v>
      </c>
      <c r="R194" s="3">
        <f>1867.5+(194.1-363.7)+(0+(0-0))+0-318.6-0</f>
        <v>1379.3000000000002</v>
      </c>
      <c r="S194" s="3">
        <f>1854+(271.7-352.6)+(-1.89108+(-0.277134--0.359652))+0-319.4--0.325788000000051</f>
        <v>1452.2172260000002</v>
      </c>
      <c r="T194" s="3">
        <f>1848+(274.2-342.6)+(-3.76992+(-0.559368--0.698904))+2.3-317.9--0.648515999999986</f>
        <v>1461.0181319999999</v>
      </c>
      <c r="U194" s="3">
        <f>1842.2+(183.5-340.9)+(-5.637132+(-0.56151--1.043154))+9-318.3--0.973998000000037</f>
        <v>1371.3185100000001</v>
      </c>
      <c r="V194" s="3">
        <f>1842.3+(107.8-469.9)+(-3.758292+(-0.219912--0.958596))+9-318.3--0.649331999999986</f>
        <v>1168.529724</v>
      </c>
      <c r="W194" s="3">
        <f>1842.3+(51.1-527.8)+(1.879146+(0.052122-0.538356))+9-319.3-0.325686000000051</f>
        <v>1056.3672259999998</v>
      </c>
      <c r="X194" s="3">
        <f>1850.6+(145.6-465.1)+(0.943806+(0.074256-0.237201))+9-319.6-0.162995999999968</f>
        <v>1221.1178649999997</v>
      </c>
      <c r="Y194" s="3">
        <f>1863.2+(201.1-411.7)+(-1.900464+(-0.205122--0.419934))+7-320.4--0.326808000000051</f>
        <v>1337.8411560000002</v>
      </c>
      <c r="Z194" s="3">
        <f>1875.1+(224.8-384.9)+(-1.912602+(-0.229296--0.392598))+7-319.6--0.325992000000051</f>
        <v>1400.9766920000002</v>
      </c>
      <c r="AA194" s="3">
        <f>1877.8+(238-365.8)+(-0.957678+(-0.12138--0.186558))+7-319.4--0.162893999999968</f>
        <v>1436.870394</v>
      </c>
      <c r="AB194" s="3">
        <f>1879.6+(283.1-360.4)+(-2.875788+(-0.433143--0.551412))+7-320.3--0.490059000000019</f>
        <v>1486.73254</v>
      </c>
      <c r="AC194" s="3">
        <f>1816.3+(331.1-327.8)+(-2.778939+(-0.506583--0.501534))+7-318.9--0.487917000000018</f>
        <v>1505.4039290000001</v>
      </c>
      <c r="AD194">
        <v>1376.3999999999999</v>
      </c>
      <c r="AE194" s="3">
        <f>1859+(217.7-387.8)+(0+(0-0))+7-319.5-0</f>
        <v>1376.4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1812.7+(307.3-312.1)+(-8.320293+(-1.410507--1.432539))+7-319.4--1.46604600000006</f>
        <v>1488.6677850000001</v>
      </c>
      <c r="G195" s="3">
        <f>1690.8+(342.6-267.3)+(-1.724616+(-0.349452--0.272646))+7-320.3--0.326706000000051</f>
        <v>1451.325284</v>
      </c>
      <c r="H195" s="3">
        <f>1678.3+(313.5-256.7)+(-5.135598+(-0.95931--0.785502))+7-320.2--0.979812000000037</f>
        <v>1417.5704059999998</v>
      </c>
      <c r="I195" s="3">
        <f>1684.4+(271.7-250.6)+(-2.577132+(-0.415701--0.383418))+7-320.9--0.490977000000019</f>
        <v>1389.4815619999999</v>
      </c>
      <c r="J195" s="3">
        <f>1685.3+(227.1-250.7)+(0+(0-0))+7-319.2-0</f>
        <v>1349.5</v>
      </c>
      <c r="K195" s="3">
        <f>1686+(130.7-258.7)+(-2.57958+(-0.199971--0.395811))+7-319.4--0.488682000000018</f>
        <v>1243.7049420000001</v>
      </c>
      <c r="L195" s="3">
        <f>1685.3+(54.6-285.2)+(0.859503+(0.027846-0.145452))+7-318.6-0.162485999999968</f>
        <v>1143.6794110000003</v>
      </c>
      <c r="M195" s="3">
        <f>1681.5+(82.2-318.1)+(0+(0-0))+7-318.6-0</f>
        <v>1134</v>
      </c>
      <c r="N195" s="3">
        <f>1671.2+(166.3-343.7)+(1.704624+(0.169626-0.350574))+7-327.3-0.333846000000052</f>
        <v>1174.6898300000003</v>
      </c>
      <c r="O195" s="3">
        <f>1658.9+(215.7-328.8)+(3.384156+(0.440028-0.670752))+7-321.7-0.656267999999986</f>
        <v>1233.5971640000002</v>
      </c>
      <c r="P195" s="3">
        <f>1652.3+(267.7-332.1)+(1.685346+(0.273054-0.338742))+7-323.6-0.330072000000052</f>
        <v>1272.5895859999998</v>
      </c>
      <c r="Q195" s="3">
        <f>1648.4+(388.9-328.9)+(0.840684+(0.198339-0.167739))+7-325.1-0.165800999999967</f>
        <v>1391.0054830000001</v>
      </c>
      <c r="R195" s="3">
        <f>1644.3+(561.9-324.4)+(-0.838593+(-0.286569--0.165444))+7-324.2--0.165341999999967</f>
        <v>1563.8056239999999</v>
      </c>
      <c r="S195" s="3">
        <f>1642+(658.9-335.7)+(3.34968+(1.344156-0.684828))+7-321.4-0.655655999999986</f>
        <v>1654.1533520000003</v>
      </c>
      <c r="T195" s="3">
        <f>1638.4+(633.5-323.9)+(-0.835584+(-0.323085--0.165189))+7-320.1--0.163250999999968</f>
        <v>1634.0697709999999</v>
      </c>
      <c r="U195" s="3">
        <f>1637.6+(513.5-305.9)+(-3.340704+(-1.04754--0.624036))+7-320--0.652799999999986</f>
        <v>1529.0885919999998</v>
      </c>
      <c r="V195" s="3">
        <f>1637.6+(291.7-282.4)+(-3.340704+(-0.595068--0.576096))+7-319.8--0.652391999999986</f>
        <v>1331.3927159999998</v>
      </c>
      <c r="W195" s="3">
        <f>1646.1+(230.9-364.6)+(-2.518533+(-0.353277--0.557838))+7-320.5--0.490365000000019</f>
        <v>1197.0763930000001</v>
      </c>
      <c r="X195" s="3">
        <f>1653.6+(336.6-350.6)+(0+(0-0))+6.9-321.4-0</f>
        <v>1325.1</v>
      </c>
      <c r="Y195" s="3">
        <f>1663.2+(479.5-357.9)+(-4.24116+(-1.222725--0.912645))+0-321.6--0.820079999999953</f>
        <v>1459.46884</v>
      </c>
      <c r="Z195" s="3">
        <f>1666.7+(555.8-346.3)+(-1.700034+(-0.566916--0.353226))+0-321.3--0.327726000000051</f>
        <v>1553.3140020000001</v>
      </c>
      <c r="AA195" s="3">
        <f>1668.3+(563.1-344.5)+(-3.403332+(-1.148724--0.70278))+0-319.7--0.652187999999986</f>
        <v>1564.0029120000002</v>
      </c>
      <c r="AB195" s="3">
        <f>1670.6+(557.9-326.5)+(-1.704012+(-0.569058--0.33303))+0-319.4--0.325788000000051</f>
        <v>1580.9857480000001</v>
      </c>
      <c r="AC195" s="3">
        <f>1676+(535.1-298)+(-5.12856+(-1.637406--0.91188))+0-320.1--0.979506000000037</f>
        <v>1588.1254199999998</v>
      </c>
      <c r="AD195">
        <v>1335.6000000000001</v>
      </c>
      <c r="AE195" s="3">
        <f>1655+(359.7-364.8)+(0+(0-0))+7-321.3-0</f>
        <v>1335.6000000000001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1676.7+(462.7-294.7)+(-4.275585+(-1.179885--0.751485))+0-323--0.823649999999953</f>
        <v>1517.819665</v>
      </c>
      <c r="G196" s="3">
        <f>1679.5+(403-289.9)+(0+(0-0))+0-323.1-0</f>
        <v>1469.5</v>
      </c>
      <c r="H196" s="3">
        <f>1686+(363.6-292.5)+(-2.57958+(-0.556308--0.447525))+0-321.3--0.491589000000019</f>
        <v>1433.6032259999999</v>
      </c>
      <c r="I196" s="3">
        <f>1683.7+(329.7-286.3)+(-2.576061+(-0.504441--0.438039))+0-320.3--0.490059000000019</f>
        <v>1404.647596</v>
      </c>
      <c r="J196" s="3">
        <f>1681+(293.6-295.3)+(-2.57193+(-0.449208--0.451809))+0-319--0.488070000000018</f>
        <v>1358.2187410000001</v>
      </c>
      <c r="K196" s="3">
        <f>1681.9+(126.8-246.2)+(-1.715538+(-0.129336--0.251124))+0-318.6--0.324972000000051</f>
        <v>1242.6312220000002</v>
      </c>
      <c r="L196" s="3">
        <f>1682.5+(57-244.4)+(0+(0-0))+0-319.6-0</f>
        <v>1175.5</v>
      </c>
      <c r="M196" s="3">
        <f>1682.9+(68.4-281.1)+(2.574837+(0.104652-0.430083))+0-319.2-0.488376000000018</f>
        <v>1152.7610299999999</v>
      </c>
      <c r="N196" s="3">
        <f>1680.7+(118.7-323.2)+(1.714314+(0.121074-0.329664))+0-321.9-0.328338000000051</f>
        <v>1155.4773860000003</v>
      </c>
      <c r="O196" s="3">
        <f>1674.5+(180.5-325.8)+(-1.70799+(-0.18411--0.332316))+0-323.3--0.329766000000052</f>
        <v>1204.6699820000001</v>
      </c>
      <c r="P196" s="3">
        <f>1666.4+(234.3-333.5)+(-0.849864+(-0.119493--0.170085))+0-322.1--0.164270999999967</f>
        <v>1244.464999</v>
      </c>
      <c r="Q196" s="3">
        <f>1653.5+(340.1-335.5)+(1.68657+(0.346902-0.34221))+0-320.1-0.326502000000051</f>
        <v>1339.3647599999997</v>
      </c>
      <c r="R196" s="3">
        <f>1647.4+(490.6-349.6)+(-0.840174+(-0.250206--0.178296))+0-319--0.162689999999968</f>
        <v>1468.6506059999999</v>
      </c>
      <c r="S196" s="3">
        <f>1644.3+(578.7-343.1)+(0+(0-0))+0-319.1-0</f>
        <v>1560.8000000000002</v>
      </c>
      <c r="T196" s="3">
        <f>1645+(557-335.3)+(-4.19475+(-1.42035--0.855015))+0-318.6--0.812429999999954</f>
        <v>1544.152345</v>
      </c>
      <c r="U196" s="3">
        <f>1644.6+(435-316.8)+(-3.354984+(-0.8874--0.646272))+0-321.8--0.656471999999986</f>
        <v>1438.0603599999999</v>
      </c>
      <c r="V196" s="3">
        <f>1648+(185.8-301)+(-4.2024+(-0.47379--0.76755))+0-323.7--0.825434999999953</f>
        <v>1206.0167949999998</v>
      </c>
      <c r="W196" s="3">
        <f>1650.8+(121.7-334.7)+(-1.683816+(-0.124134--0.341394))+0-322.7--0.329154000000051</f>
        <v>1113.9625979999998</v>
      </c>
      <c r="X196" s="3">
        <f>1656+(286.3-347.8)+(-2.53368+(-0.438039--0.532134))+0-324.5--0.496485000000019</f>
        <v>1268.0569</v>
      </c>
      <c r="Y196" s="3">
        <f>1659.1+(402.7-350.3)+(-2.538423+(-0.616131--0.535959))+0-320.1--0.489753000000019</f>
        <v>1389.2711580000002</v>
      </c>
      <c r="Z196" s="3">
        <f>1672.2+(461.1-347.4)+(-3.411288+(-0.940644--0.708696))+0-319.6--0.651983999999986</f>
        <v>1463.3087480000004</v>
      </c>
      <c r="AA196" s="3">
        <f>1680.2+(490.7-339.8)+(-2.570706+(-0.750771--0.519894))+0-319.5--0.488835000000018</f>
        <v>1509.2872520000001</v>
      </c>
      <c r="AB196" s="3">
        <f>1681+(502.5-324.2)+(-1.71462+(-0.51255--0.330684))+0-318.4--0.324768000000051</f>
        <v>1539.3282819999999</v>
      </c>
      <c r="AC196" s="3">
        <f>1680.3+(491.3-307.5)+(-4.284765+(-1.252815--0.784125))+0-318.5--0.812174999999954</f>
        <v>1541.6587199999999</v>
      </c>
      <c r="AD196">
        <v>1383.4</v>
      </c>
      <c r="AE196" s="3">
        <f>1657+(394.9-349)+(0+(0-0))+0-319.5-0</f>
        <v>1383.4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1679.5+(446.5-282.5)+(0.856545+(0.227715-0.144075))+0-318.4-0.162383999999968</f>
        <v>1525.8778009999999</v>
      </c>
      <c r="G197" s="3">
        <f>1683.4+(406.1-276.8)+(-4.29267+(-1.035555--0.70584))+0-319.5--0.814724999999954</f>
        <v>1489.3923400000001</v>
      </c>
      <c r="H197" s="3">
        <f>1685.9+(371.2-273.3)+(-0.859809+(-0.189312--0.139383))+0-319.9--0.163148999999968</f>
        <v>1463.1534110000002</v>
      </c>
      <c r="I197" s="3">
        <f>1687.1+(342.7-274.5)+(-0.860421+(-0.174777--0.139995))+0-319.7--0.163046999999968</f>
        <v>1434.8678439999999</v>
      </c>
      <c r="J197" s="3">
        <f>1688.2+(294-267.5)+(-4.30491+(-0.7497--0.682125))+0-319.2--0.813959999999954</f>
        <v>1391.9414749999999</v>
      </c>
      <c r="K197" s="3">
        <f>1690.1+(161.2-257)+(-3.447804+(-0.328848--0.52428))+0-320.5--0.653819999999986</f>
        <v>1271.201448</v>
      </c>
      <c r="L197" s="3">
        <f>1689.1+(25.4-270)+(-0.861441+(-0.012954--0.1377))+0-320.3--0.163352999999968</f>
        <v>1123.6266579999999</v>
      </c>
      <c r="M197" s="3">
        <f>1686.3+(18.5-287.2)+(0.860013+(0.009435-0.146472))+0-320.3-0.163352999999968</f>
        <v>1097.8596230000001</v>
      </c>
      <c r="N197" s="3">
        <f>1679.9+(72.3-330.2)+(1.713498+(0.073746-0.336804))+0-323.1-0.329562000000052</f>
        <v>1100.020878</v>
      </c>
      <c r="O197" s="3">
        <f>1671.4+(124-357.1)+(1.704828+(0.12648-0.364242))+0-322.8-0.329256000000052</f>
        <v>1116.6378100000002</v>
      </c>
      <c r="P197" s="3">
        <f>1662.6+(206-362.8)+(-0.847926+(-0.10506--0.185028))+0-324.2--0.165341999999967</f>
        <v>1180.997384</v>
      </c>
      <c r="Q197" s="3">
        <f>1656.4+(337.9-372.1)+(-2.534292+(-0.516987--0.569313))+0-324.7--0.496791000000019</f>
        <v>1295.514825</v>
      </c>
      <c r="R197" s="3">
        <f>1654.1+(518.4-389.4)+(-3.374364+(-1.057536--0.794376))+0-322.8--0.658511999999986</f>
        <v>1457.3209879999999</v>
      </c>
      <c r="S197" s="3">
        <f>1654.5+(584.5-371.2)+(-1.68759+(-0.59619--0.378624))+0-321.8--0.328236000000051</f>
        <v>1544.42308</v>
      </c>
      <c r="T197" s="3">
        <f>1657+(599.1-349.9)+(-3.38028+(-1.222164--0.713796))+0-322.8--0.658511999999986</f>
        <v>1580.169864</v>
      </c>
      <c r="U197" s="3">
        <f>1657+(458.6-329.7)+(-4.22535+(-1.16943--0.840735))+0-323.3--0.824414999999953</f>
        <v>1458.8703700000001</v>
      </c>
      <c r="V197" s="3">
        <f>1662+(224.9-305.2)+(-3.39048+(-0.458796--0.622608))+0-322.9--0.658715999999986</f>
        <v>1256.2320479999998</v>
      </c>
      <c r="W197" s="3">
        <f>1660.5+(159.1-343.4)+(1.69371+(0.162282-0.350268))+0-323.1-0.329562000000052</f>
        <v>1154.2761619999999</v>
      </c>
      <c r="X197" s="3">
        <f>1633.3+(315.6-345.1)+(-2.498949+(-0.482868--0.528003))+0-325--0.497250000000019</f>
        <v>1276.8434360000001</v>
      </c>
      <c r="Y197" s="3">
        <f>1572.4+(485.8-342.5)+(-1.603848+(-0.495516--0.34935))+0-321.9--0.328338000000051</f>
        <v>1392.378324</v>
      </c>
      <c r="Z197" s="3">
        <f>1635.5+(498.9-347)+(-0.834105+(-0.254439--0.17697))+0-324.3--0.165392999999967</f>
        <v>1462.3538190000002</v>
      </c>
      <c r="AA197" s="3">
        <f>1643.8+(528.9-340)+(0.838338+(0.269739-0.1734))+0-322.5-0.164474999999967</f>
        <v>1510.9702019999997</v>
      </c>
      <c r="AB197" s="3">
        <f>1646+(533.1-327.5)+(-2.51838+(-0.815643--0.501075))+0-321.3--0.491589000000019</f>
        <v>1527.9586409999999</v>
      </c>
      <c r="AC197" s="3">
        <f>1646.8+(516.4-304.3)+(-2.519604+(-0.790092--0.465579))+0-322.3--0.493119000000019</f>
        <v>1534.2490019999998</v>
      </c>
      <c r="AD197">
        <v>1292</v>
      </c>
      <c r="AE197" s="3">
        <f>1631+(335-348.6)+(0+(0-0))+0-325.4-0</f>
        <v>1292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1649.1+(468.8-283.8)+(-3.364164+(-0.956352--0.578952))+0-322.1--0.657083999999986</f>
        <v>1508.91552</v>
      </c>
      <c r="G198" s="3">
        <f>1650.7+(457.6-306.9)+(-1.683714+(-0.466752--0.313038))+0-321.4--0.327828000000051</f>
        <v>1478.4904000000001</v>
      </c>
      <c r="H198" s="3">
        <f>1652.2+(412.5-289.7)+(-0.842622+(-0.210375--0.147747))+0-322.6--0.164525999999967</f>
        <v>1451.6592759999999</v>
      </c>
      <c r="I198" s="3">
        <f>1654.2+(367.4-279.9)+(-1.687284+(-0.374748--0.285498))+0-323.8--0.330276000000052</f>
        <v>1416.4537420000001</v>
      </c>
      <c r="J198" s="3">
        <f>1657.3+(308.5-271.4)+(0+(0-0))+0-321.5-0</f>
        <v>1372.9</v>
      </c>
      <c r="K198" s="3">
        <f>1660+(167.7-250.7)+(-3.3864+(-0.342108--0.511428))+0-321.1--0.655043999999986</f>
        <v>1253.3379640000003</v>
      </c>
      <c r="L198" s="3">
        <f>1660.1+(85.3-240.7)+(-0.846651+(-0.043503--0.122757))+0-317.7--0.162026999999968</f>
        <v>1186.3946299999998</v>
      </c>
      <c r="M198" s="3">
        <f>1651.4+(89.7-273)+(0+(0-0))+0-317.5-0</f>
        <v>1150.6000000000001</v>
      </c>
      <c r="N198" s="3">
        <f>1637.8+(136.9-293.4)+(0.835278+(0.069819-0.149634))+0-322.4-0.164423999999967</f>
        <v>1159.491039</v>
      </c>
      <c r="O198" s="3">
        <f>1630.1+(189.4-309.9)+(0+(0-0))+0-323.3-0</f>
        <v>1186.3</v>
      </c>
      <c r="P198" s="3">
        <f>1622.6+(234.3-330.5)+(-1.655052+(-0.238986--0.33711))+0-322.5--0.328950000000051</f>
        <v>1202.672022</v>
      </c>
      <c r="Q198" s="3">
        <f>1629+(388.6-328.8)+(-0.83079+(-0.198186--0.167688))+0-323.8--0.165137999999967</f>
        <v>1364.30385</v>
      </c>
      <c r="R198" s="3">
        <f>1622.7+(539.3-341)+(-2.482731+(-0.825129--0.52173))+0-320.5--0.490365000000019</f>
        <v>1498.2042350000002</v>
      </c>
      <c r="S198" s="3">
        <f>1623.8+(619.5-338.4)+(-1.656276+(-0.63189--0.345168))+0-321.2--0.327624000000051</f>
        <v>1582.0846260000001</v>
      </c>
      <c r="T198" s="3">
        <f>1627.2+(626.9-316.9)+(-1.659744+(-0.639438--0.323238))+0-319.3--0.325686000000051</f>
        <v>1616.2497420000002</v>
      </c>
      <c r="U198" s="3">
        <f>1629.5+(479.8-302.7)+(0+(0-0))+0-317.7-0</f>
        <v>1488.8999999999999</v>
      </c>
      <c r="V198" s="3">
        <f>1628.4+(245.5-280.2)+(-1.660968+(-0.25041--0.285804))+0-319.1--0.325482000000051</f>
        <v>1273.2999080000002</v>
      </c>
      <c r="W198" s="3">
        <f>1633+(142.9-318.2)+(-2.49849+(-0.218637--0.486846))+0-319.6--0.488988000000019</f>
        <v>1136.3587069999999</v>
      </c>
      <c r="X198" s="3">
        <f>1638.1+(331.9-367.9)+(-2.506293+(-0.507807--0.562887))+0-320.5--0.490365000000019</f>
        <v>1279.639152</v>
      </c>
      <c r="Y198" s="3">
        <f>1641.7+(426.7-365.9)+(-4.186335+(-1.088085--0.933045))+0-320--0.815999999999954</f>
        <v>1378.9746250000001</v>
      </c>
      <c r="Z198" s="3">
        <f>1648+(479.3-359.4)+(0+(0-0))+0-321.8-0</f>
        <v>1446.1000000000001</v>
      </c>
      <c r="AA198" s="3">
        <f>1650.5+(521.2-351.8)+(-1.68351+(-0.531624--0.358836))+0-322.3--0.328746000000051</f>
        <v>1496.0724480000003</v>
      </c>
      <c r="AB198" s="3">
        <f>1651.1+(532.5-333.4)+(-4.210305+(-1.357875--0.85017))+0-319.8--0.815489999999954</f>
        <v>1526.4974799999998</v>
      </c>
      <c r="AC198" s="3">
        <f>1653.5+(544.9-331.8)+(0+(0-0))+0-320-0</f>
        <v>1546.6</v>
      </c>
      <c r="AD198">
        <v>1304.7</v>
      </c>
      <c r="AE198" s="3">
        <f>1632+(351.4-359.2)+(0+(0-0))+0-319.5-0</f>
        <v>1304.7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1655.8+(495.1-348)+(-0.844458+(-0.252501--0.17748))+0-320.8--0.163607999999967</f>
        <v>1481.3441290000003</v>
      </c>
      <c r="G199" s="3">
        <f>1655.3+(439.8-329.5)+(-0.844203+(-0.224298--0.168045))+0-321.1--0.163760999999967</f>
        <v>1443.7633049999997</v>
      </c>
      <c r="H199" s="3">
        <f>1657.7+(389.6-310.1)+(1.690854+(0.397392-0.316302))+0-323-0.329460000000051</f>
        <v>1415.642484</v>
      </c>
      <c r="I199" s="3">
        <f>1659.9+(341.7-295.4)+(-0.846549+(-0.174267--0.150654))+0-321.8--0.164117999999967</f>
        <v>1383.6939560000001</v>
      </c>
      <c r="J199" s="3">
        <f>1662.5+(297.6-281.8)+(-2.543625+(-0.455328--0.431154))+0-322.2--0.492966000000019</f>
        <v>1354.025167</v>
      </c>
      <c r="K199" s="3">
        <f>1665.1+(175.2-262.7)+(-2.547603+(-0.268056--0.401931))+0-320.8--0.490824000000019</f>
        <v>1254.8770959999999</v>
      </c>
      <c r="L199" s="3">
        <f>1611.2+(77.4-272.9)+(0+(0-0))+0-318.5-0</f>
        <v>1097.2</v>
      </c>
      <c r="M199" s="3">
        <f>1635+(94.3-312.5)+(0+(0-0))+0-318.9-0</f>
        <v>1097.9000000000001</v>
      </c>
      <c r="N199" s="3">
        <f>1663.6+(119.6-327.5)+(0.848436+(0.060996-0.167025))+0-321.4-0.163913999999967</f>
        <v>1134.8784929999999</v>
      </c>
      <c r="O199" s="3">
        <f>1653.2+(178.8-373.3)+(-2.529396+(-0.273564--0.571149))+0-322.6--0.493578000000019</f>
        <v>1134.3617669999999</v>
      </c>
      <c r="P199" s="3">
        <f>1641.2+(248-377)+(-0.837012+(-0.12648--0.19227))+0-322.8--0.164627999999967</f>
        <v>1188.793406</v>
      </c>
      <c r="Q199" s="3">
        <f>1633.8+(309.2-348.6)+(-1.666476+(-0.315384--0.355572))+0-323.1--0.329562000000052</f>
        <v>1270.0032739999999</v>
      </c>
      <c r="R199" s="3">
        <f>1632.9+(467.5-352.7)+(-5.829453+(-1.668975--1.259139))+0-322.1--1.149897</f>
        <v>1420.5106079999998</v>
      </c>
      <c r="S199" s="3">
        <f>1634.1+(562.2-342.7)+(-1.666782+(-0.573444--0.349554))+0-322.5--0.328950000000051</f>
        <v>1529.538278</v>
      </c>
      <c r="T199" s="3">
        <f>1637.2+(517.8-337.5)+(-3.339888+(-1.056312--0.6885))+0-321.2--0.655247999999986</f>
        <v>1493.2475480000001</v>
      </c>
      <c r="U199" s="3">
        <f>1640.1+(386.9-320.3)+(-0.836451+(-0.197319--0.163353))+0-322.7--0.164576999999967</f>
        <v>1383.2941599999997</v>
      </c>
      <c r="V199" s="3">
        <f>1642.7+(235.3-333.6)+(-2.513331+(-0.360009--0.510408))+0-321.4--0.491742000000019</f>
        <v>1221.1288099999999</v>
      </c>
      <c r="W199" s="3">
        <f>1647.2+(202.4-408)+(0.840072+(0.103224-0.20808))+0-322.3-0.164372999999967</f>
        <v>1119.8708430000001</v>
      </c>
      <c r="X199" s="3">
        <f>1654.2+(272-350.4)+(-1.687284+(-0.27744--0.357408))+0-320.5--0.326910000000051</f>
        <v>1254.0195940000001</v>
      </c>
      <c r="Y199" s="3">
        <f>1659.1+(324-358.7)+(-2.538423+(-0.49572--0.548811))+0-319.6--0.488988000000019</f>
        <v>1302.803656</v>
      </c>
      <c r="Z199" s="3">
        <f>1657.8+(378.1-354.6)+(-0.845478+(-0.192831--0.180846))+0-317.9--0.162128999999968</f>
        <v>1362.7046659999999</v>
      </c>
      <c r="AA199" s="3">
        <f>1657.5+(421.2-349.8)+(-2.535975+(-0.644436--0.535194))+0-320.8--0.490824000000019</f>
        <v>1405.9456070000001</v>
      </c>
      <c r="AB199" s="3">
        <f>1657.9+(440.3-338)+(-3.382116+(-0.898212--0.68952))+0-318.6--0.649943999999986</f>
        <v>1438.659136</v>
      </c>
      <c r="AC199" s="3">
        <f>1658.6+(439.2-312.2)+(-1.691772+(-0.447984--0.318444))+0-317.4--0.323748000000051</f>
        <v>1466.7024359999998</v>
      </c>
      <c r="AD199">
        <v>1252.5</v>
      </c>
      <c r="AE199" s="3">
        <f>1652+(276.9-356.3)+(0+(0-0))+0-320.1-0</f>
        <v>1252.5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1659.1+(416.4-297.1)+(-3.384564+(-0.849456--0.606084))+0-318.5--0.649739999999986</f>
        <v>1456.9218039999998</v>
      </c>
      <c r="G200" s="3">
        <f>1661.2+(374.7-281.8)+(-4.23606+(-0.955485--0.71859))+0-320.5--0.817274999999953</f>
        <v>1429.9443199999998</v>
      </c>
      <c r="H200" s="3">
        <f>1665.5+(334-269.9)+(-4.247025+(-0.8517--0.688245))+0-322.4--0.822119999999953</f>
        <v>1403.6116399999999</v>
      </c>
      <c r="I200" s="3">
        <f>1668.7+(298.4-270.8)+(-3.404148+(-0.608736--0.552432))+0-322.6--0.658103999999986</f>
        <v>1370.8976520000001</v>
      </c>
      <c r="J200" s="3">
        <f>1670.1+(270.9-277.7)+(2.555253+(0.414477-0.424881))+0-322.3-0.493119000000019</f>
        <v>1343.0517300000001</v>
      </c>
      <c r="K200" s="3">
        <f>1673.9+(170.7-258.3)+(-4.268445+(-0.435285--0.658665))+0-321.2--0.819059999999953</f>
        <v>1261.8739950000001</v>
      </c>
      <c r="L200" s="3">
        <f>1674.1+(97.1-315.8)+(-0.853791+(-0.049521--0.161058))+0-322.6--0.164525999999967</f>
        <v>1132.222272</v>
      </c>
      <c r="M200" s="3">
        <f>1672.1+(106.2-342.3)+(0.852771+(0.054162-0.174573))+0-317.9-0.162128999999968</f>
        <v>1118.6702309999998</v>
      </c>
      <c r="N200" s="3">
        <f>1662.4+(123-375.6)+(0.847824+(0.06273-0.191556))+0-318.2-0.162281999999968</f>
        <v>1092.1567160000002</v>
      </c>
      <c r="O200" s="3">
        <f>1657.9+(155-406.8)+(0+(0-0))+0-322.1-0</f>
        <v>1084</v>
      </c>
      <c r="P200" s="3">
        <f>1653.2+(207.2-428)+(0+(0-0))+0-321.5-0</f>
        <v>1110.9000000000001</v>
      </c>
      <c r="Q200" s="3">
        <f>1650.4+(274.7-371.5)+(-2.525112+(-0.420291--0.568395))+0-320.5--0.490365000000019</f>
        <v>1231.2133570000003</v>
      </c>
      <c r="R200" s="3">
        <f>1643.1+(361.3-352.4)+(-0.837981+(-0.184263--0.179724))+0-321.5--0.163964999999967</f>
        <v>1329.821445</v>
      </c>
      <c r="S200" s="3">
        <f>1639.7+(423.7-349.7)+(1.672494+(0.432174-0.356694))+0-322.1-0.328542000000051</f>
        <v>1393.0194320000003</v>
      </c>
      <c r="T200" s="3">
        <f>1639.5+(438-331.3)+(-1.67229+(-0.44676--0.337926))+0-320.8--0.327216000000051</f>
        <v>1423.9460920000001</v>
      </c>
      <c r="U200" s="3">
        <f>1636.8+(286.7-311.5)+(-4.17384+(-0.731085--0.794325))+0-319.3--0.814214999999954</f>
        <v>1289.4036149999999</v>
      </c>
      <c r="V200" s="3">
        <f>1643+(149.1-374.9)+(-4.18965+(-0.380205--0.955995))+0-317.7--0.810134999999954</f>
        <v>1096.696275</v>
      </c>
      <c r="W200" s="3">
        <f>1648.8+(132.9-422.1)+(-0.840888+(-0.067779--0.215271))+0-320.2--0.163301999999968</f>
        <v>1038.8699059999999</v>
      </c>
      <c r="X200" s="3">
        <f>1652.4+(252.2-362.7)+(-0.842724+(-0.128622--0.184977))+0-320.3--0.163352999999968</f>
        <v>1220.9769840000001</v>
      </c>
      <c r="Y200" s="3">
        <f>1655.7+(279.5-335.5)+(-5.910849+(-0.997815--1.197735))+0-320.2--1.143114</f>
        <v>1274.9321849999999</v>
      </c>
      <c r="Z200" s="3">
        <f>1658.2+(365.4-356.9)+(-3.382728+(-0.745416--0.728076))+0-321.1--0.655043999999986</f>
        <v>1342.8549760000001</v>
      </c>
      <c r="AA200" s="3">
        <f>1659.7+(379.5-362)+(-4.232235+(-0.967725--0.9231))+0-319.6--0.814979999999954</f>
        <v>1354.1381199999998</v>
      </c>
      <c r="AB200" s="3">
        <f>1632.4+(429.9-343.7)+(-2.497572+(-0.657747--0.525861))+0-318.3--0.486999000000018</f>
        <v>1398.157541</v>
      </c>
      <c r="AC200" s="3">
        <f>1659.7+(397.8-329.9)+(-2.539341+(-0.608634--0.504747))+0-318.6--0.487458000000018</f>
        <v>1406.8442300000002</v>
      </c>
      <c r="AD200">
        <v>1254.3000000000002</v>
      </c>
      <c r="AE200" s="3">
        <f>1648+(269.9-345.3)+(0+(0-0))+0-318.3-0</f>
        <v>1254.3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1580.7+(436.8-293)+(1.612314+(0.445536-0.29886))+0-318.4-0.324768000000051</f>
        <v>1407.5342220000002</v>
      </c>
      <c r="G201" s="3">
        <f>1515.7+(456-266.6)+(0+(0-0))+0-319.2-0</f>
        <v>1385.8999999999999</v>
      </c>
      <c r="H201" s="3">
        <f>1488.1+(436.8-245.2)+(-1.517862+(-0.445536--0.250104))+0-319.4--0.325788000000051</f>
        <v>1358.9124940000002</v>
      </c>
      <c r="I201" s="3">
        <f>1436.2+(430.9-227.1)+(0.732462+(0.219759-0.115821))+0-319.5-0.162944999999968</f>
        <v>1321.1734549999999</v>
      </c>
      <c r="J201" s="3">
        <f>1439.5+(378.1-224.8)+(0.734145+(0.192831-0.114648))+0-317.9-0.162128999999968</f>
        <v>1275.550199</v>
      </c>
      <c r="K201" s="3">
        <f>1441.3+(265.1-214.3)+(-0.735063+(-0.135201--0.109293))+0-317.3--0.161822999999968</f>
        <v>1174.2008519999999</v>
      </c>
      <c r="L201" s="3">
        <f>1442.9+(172.9-211.7)+(0+(0-0))+0-317.7-0</f>
        <v>1086.4000000000001</v>
      </c>
      <c r="M201" s="3">
        <f>1442.8+(157.3-219.5)+(0+(0-0))+0-317-0</f>
        <v>1063.5999999999999</v>
      </c>
      <c r="N201" s="3">
        <f>1447.8+(149.7-247.6)+(-4.430268+(-0.458082--0.757656))+0-318.5--0.974610000000037</f>
        <v>1028.2439159999999</v>
      </c>
      <c r="O201" s="3">
        <f>1509.4+(151.2-295.1)+(-0.769794+(-0.077112--0.150501))+0-318.4--0.162383999999968</f>
        <v>1046.5659790000002</v>
      </c>
      <c r="P201" s="3">
        <f>1504.2+(187.6-319.3)+(-1.534284+(-0.191352--0.325686))+0-317.6--0.323952000000051</f>
        <v>1053.8240020000001</v>
      </c>
      <c r="Q201" s="3">
        <f>1495.9+(238-308.6)+(-1.525818+(-0.24276--0.314772))+0-317.8--0.324156000000051</f>
        <v>1106.3703500000004</v>
      </c>
      <c r="R201" s="3">
        <f>1486.7+(364.2-297.5)+(-3.032868+(-0.742968--0.6069))+0-317.9--0.648515999999986</f>
        <v>1232.9795799999999</v>
      </c>
      <c r="S201" s="3">
        <f>1484.9+(443.7-282.9)+(-1.514598+(-0.452574--0.288558))+0-318.2--0.324564000000051</f>
        <v>1326.1459500000001</v>
      </c>
      <c r="T201" s="3">
        <f>1487.3+(450.7-285)+(-1.517046+(-0.459714--0.2907))+0-316.9--0.32323800000005</f>
        <v>1334.7371779999999</v>
      </c>
      <c r="U201" s="3">
        <f>1491.6+(336.6-267.3)+(-4.564296+(-1.029996--0.817938))+0-319.3--0.977058000000037</f>
        <v>1237.8007039999998</v>
      </c>
      <c r="V201" s="3">
        <f>1498.3+(134.8-256.4)+(-3.056532+(-0.274992--0.523056))+0-317.7--0.648107999999986</f>
        <v>1056.8396400000001</v>
      </c>
      <c r="W201" s="3">
        <f>1505+(115.4-317.5)+(-2.30265+(-0.176562--0.485775))+0-317.7--0.486081000000018</f>
        <v>983.69264399999997</v>
      </c>
      <c r="X201" s="3">
        <f>1511.1+(250.8-319.5)+(-4.623966+(-0.767448--0.97767))+0-318.2--0.973692000000037</f>
        <v>1120.7599479999999</v>
      </c>
      <c r="Y201" s="3">
        <f>1516+(378.2-347.3)+(-3.8658+(-0.96441--0.885615))+0-317.4--0.809369999999954</f>
        <v>1226.364775</v>
      </c>
      <c r="Z201" s="3">
        <f>1521.3+(454.9-340.7)+(-3.103452+(-0.927996--0.695028))+0-317.4--0.647495999999986</f>
        <v>1315.4110759999999</v>
      </c>
      <c r="AA201" s="3">
        <f>1522.3+(498.7-322.4)+(-3.105492+(-1.017348--0.657696))+0-316.9--0.646475999999986</f>
        <v>1378.8813319999999</v>
      </c>
      <c r="AB201" s="3">
        <f>1517.8+(524.8-302.9)+(0+(0-0))+0-316.6-0</f>
        <v>1423.1</v>
      </c>
      <c r="AC201" s="3">
        <f>1460+(569.6-263.4)+(-3.723+(-1.45248--0.67167))+0-316.8--0.807839999999954</f>
        <v>1445.7040300000001</v>
      </c>
      <c r="AD201">
        <v>1138.8000000000002</v>
      </c>
      <c r="AE201" s="3">
        <f>1504+(305.3-353.4)+(0+(0-0))+0-317.1-0</f>
        <v>1138.8000000000002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1368.1+(560.8-237)+(-2.790924+(-1.144032--0.48348))+0-316.8--0.646271999999986</f>
        <v>1372.2947959999999</v>
      </c>
      <c r="G202" s="3">
        <f>1371.1+(513.6-219.2)+(-2.797044+(-1.047744--0.447168))+0-317.8--0.648311999999986</f>
        <v>1344.9506920000001</v>
      </c>
      <c r="H202" s="3">
        <f>1373.4+(467.2-205.3)+(-0.700434+(-0.238272--0.104703))+0-317.8--0.162077999999968</f>
        <v>1316.8280750000004</v>
      </c>
      <c r="I202" s="3">
        <f>1374.6+(423.5-204.2)+(-1.402092+(-0.43197--0.208284))+0-317.6--0.323952000000051</f>
        <v>1274.9981739999996</v>
      </c>
      <c r="J202" s="3">
        <f>1375.8+(374.5-203.3)+(0+(0-0))+0-316.8-0</f>
        <v>1230.2</v>
      </c>
      <c r="K202" s="3">
        <f>1376.2+(252.7-195.1)+(0.701862+(0.128877-0.099501))+0-316.8-0.161567999999968</f>
        <v>1117.5696700000001</v>
      </c>
      <c r="L202" s="3">
        <f>1377.2+(154-213.4)+(0.702372+(0.07854-0.108834))+0-316.7-0.161516999999968</f>
        <v>1001.610561</v>
      </c>
      <c r="M202" s="3">
        <f>1374.6+(175.2-227.5)+(-0.701046+(-0.089352--0.116025))+0-319.7--0.163046999999968</f>
        <v>1002.0886739999999</v>
      </c>
      <c r="N202" s="3">
        <f>1367.6+(202.7-210.8)+(-0.697476+(-0.103377--0.107508))+0-319.5--0.162944999999968</f>
        <v>1039.4696000000001</v>
      </c>
      <c r="O202" s="3">
        <f>1359.4+(234.1-227.9)+(-1.386588+(-0.238782--0.232458))+0-319.2--0.325584000000051</f>
        <v>1045.3326720000002</v>
      </c>
      <c r="P202" s="3">
        <f>1350.4+(305.9-247)+(0+(0-0))+0-320-0</f>
        <v>1089.3000000000002</v>
      </c>
      <c r="Q202" s="3">
        <f>1342.8+(425.3-255.7)+(-2.054484+(-0.650709--0.391221))+0-319.7--0.489141000000018</f>
        <v>1190.8751690000001</v>
      </c>
      <c r="R202" s="3">
        <f>1337.5+(621.4-258.5)+(-3.410625+(-1.58457--0.659175))+0-319.8--0.815489999999954</f>
        <v>1377.0794700000001</v>
      </c>
      <c r="S202" s="3">
        <f>1335.2+(708.4-251.1)+(-2.042856+(-1.083852--0.384183))+0-320.2--0.489906000000018</f>
        <v>1470.0473810000001</v>
      </c>
      <c r="T202" s="3">
        <f>1334.5+(692.9-231.8)+(0+(0-0))+0-321.1-0</f>
        <v>1474.5</v>
      </c>
      <c r="U202" s="3">
        <f>1340.1+(558.7-224.4)+(-1.366902+(-0.569874--0.228888))+0-321.1--0.327522000000051</f>
        <v>1351.9196340000003</v>
      </c>
      <c r="V202" s="3">
        <f>1345.2+(362.4-206.3)+(-2.058156+(-0.554472--0.315639))+0-321.3--0.491589000000019</f>
        <v>1178.1946</v>
      </c>
      <c r="W202" s="3">
        <f>1348.3+(275.7-238.4)+(-0.687633+(-0.140607--0.121584))+0-322.4--0.164423999999967</f>
        <v>1062.657768</v>
      </c>
      <c r="X202" s="3">
        <f>1359.4+(429.1-263.6)+(-3.46647+(-1.094205--0.67218))+0-322.3--0.821864999999953</f>
        <v>1199.5333700000001</v>
      </c>
      <c r="Y202" s="3">
        <f>1362.8+(537.4-272.3)+(-2.780112+(-1.096296--0.555492))+0-321.9--0.656675999999986</f>
        <v>1303.3357599999999</v>
      </c>
      <c r="Z202" s="3">
        <f>1363.4+(604.8-263.5)+(-0.695334+(-0.308448--0.134385))+0-322.5--0.164474999999967</f>
        <v>1381.4950780000001</v>
      </c>
      <c r="AA202" s="3">
        <f>1366.9+(634.2-253.8)+(-3.485595+(-1.61721--0.64719))+0-322.7--0.822884999999953</f>
        <v>1420.9672700000001</v>
      </c>
      <c r="AB202" s="3">
        <f>1373.1+(652.4-235.4)+(-2.801124+(-1.330896--0.480216))+0-322.2--0.657287999999986</f>
        <v>1464.9054839999997</v>
      </c>
      <c r="AC202" s="3">
        <f>1376.9+(614.1-217.9)+(-3.511095+(-1.565955--0.555645))+0-319.8--0.815489999999954</f>
        <v>1449.5940850000002</v>
      </c>
      <c r="AD202">
        <v>1170</v>
      </c>
      <c r="AE202" s="3">
        <f>1361+(391.7-260.8)+(0+(0-0))+0-321.9-0</f>
        <v>1170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1375.4+(553.8-230.9)+(-0.701454+(-0.282438--0.117759))+0-322.9--0.164678999999967</f>
        <v>1374.6985460000001</v>
      </c>
      <c r="G203" s="3">
        <f>1380.1+(537.3-262.3)+(-3.519255+(-1.370115--0.668865))+0-322.1--0.821354999999953</f>
        <v>1329.6008499999998</v>
      </c>
      <c r="H203" s="3">
        <f>1381.9+(487.4-246.2)+(-0.704769+(-0.248574--0.125562))+0-321.6--0.164015999999967</f>
        <v>1300.836235</v>
      </c>
      <c r="I203" s="3">
        <f>1383.3+(430.8-235.2)+(-0.705483+(-0.219708--0.119952))+0-319.7--0.163046999999968</f>
        <v>1258.557808</v>
      </c>
      <c r="J203" s="3">
        <f>1384.5+(366.2-228.8)+(-1.41219+(-0.373524--0.233376))+0-318.9--0.325278000000051</f>
        <v>1201.7729400000001</v>
      </c>
      <c r="K203" s="3">
        <f>1386.7+(237.5-206)+(-2.121651+(-0.363375--0.31518))+0-319--0.488070000000018</f>
        <v>1097.5182240000001</v>
      </c>
      <c r="L203" s="3">
        <f>1387.4+(112.2-199.5)+(-0.707574+(-0.057222--0.101745))+0-317.4--0.161873999999968</f>
        <v>982.19882300000017</v>
      </c>
      <c r="M203" s="3">
        <f>1382.9+(136.6-228.9)+(-0.705279+(-0.069666--0.116739))+0-316.7--0.161516999999968</f>
        <v>973.40331100000003</v>
      </c>
      <c r="N203" s="3">
        <f>1375.9+(217.1-251)+(1.403418+(0.221442-0.25602))+0-317.4-0.323748000000051</f>
        <v>1025.645092</v>
      </c>
      <c r="O203" s="3">
        <f>1370.8+(253.6-286)+(-1.398216+(-0.258672--0.29172))+0-319--0.325380000000051</f>
        <v>1018.3602119999998</v>
      </c>
      <c r="P203" s="3">
        <f>1362.7+(321.9-291.9)+(-0.694977+(-0.164169--0.148869))+0-321.6--0.164015999999967</f>
        <v>1070.5537390000002</v>
      </c>
      <c r="Q203" s="3">
        <f>1356.5+(407.4-311.3)+(-1.38363+(-0.415548--0.317526))+0-324.2--0.330684000000052</f>
        <v>1127.2490319999999</v>
      </c>
      <c r="R203" s="3">
        <f>1356.9+(578.2-319.6)+(-2.076057+(-0.884646--0.488988))+0-323--0.494190000000019</f>
        <v>1290.5224750000002</v>
      </c>
      <c r="S203" s="3">
        <f>1346.3+(693.2-296.6)+(-2.746452+(-1.414128--0.605064))+0-322.9--0.658715999999986</f>
        <v>1417.1032</v>
      </c>
      <c r="T203" s="3">
        <f>1340+(653-263.4)+(-0.6834+(-0.33303--0.134334))+0-322.2--0.164321999999967</f>
        <v>1406.6822259999997</v>
      </c>
      <c r="U203" s="3">
        <f>1348.7+(515.5-228.6)+(-3.439185+(-1.314525--0.58293))+0-321.9--0.820844999999953</f>
        <v>1310.3500649999999</v>
      </c>
      <c r="V203" s="3">
        <f>1354.1+(262-218.9)+(-2.071773+(-0.40086--0.334917))+0-321.7--0.492201000000019</f>
        <v>1073.8544849999998</v>
      </c>
      <c r="W203" s="3">
        <f>1365.2+(247.9-267.8)+(0.696252+(0.126429-0.136578))+0-322-0.164219999999967</f>
        <v>1023.821883</v>
      </c>
      <c r="X203" s="3">
        <f>1370.3+(424.5-310)+(-1.397706+(-0.43299--0.3162))+0-323.1--0.329562000000052</f>
        <v>1160.5150660000002</v>
      </c>
      <c r="Y203" s="3">
        <f>1375.1+(490.2-320.3)+(-2.805204+(-1.000008--0.653412))+0-321.6--0.656063999999986</f>
        <v>1220.904264</v>
      </c>
      <c r="Z203" s="3">
        <f>1377.5+(541.7-322.2)+(-2.8101+(-1.105068--0.657288))+0-322.4--0.657695999999986</f>
        <v>1271.9998160000002</v>
      </c>
      <c r="AA203" s="3">
        <f>1381+(596.2-311.4)+(-1.40862+(-0.608124--0.317628))+0-324--0.330480000000052</f>
        <v>1340.4313640000003</v>
      </c>
      <c r="AB203" s="3">
        <f>1384.6+(605.5-292.5)+(-1.412292+(-0.61761--0.29835))+0-319.7--0.326094000000051</f>
        <v>1376.4945419999999</v>
      </c>
      <c r="AC203" s="3">
        <f>1385.4+(601.5-266.9)+(-3.53277+(-1.533825--0.680595))+0-318.2--0.811409999999954</f>
        <v>1398.22541</v>
      </c>
      <c r="AD203">
        <v>1151.0999999999999</v>
      </c>
      <c r="AE203" s="3">
        <f>1366+(419.1-310.3)+(0+(0-0))+0-323.7-0</f>
        <v>1151.0999999999999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1383.8+(451.1-242.9)+(-1.411476+(-0.460122--0.247758))+0-318.2--0.324564000000051</f>
        <v>1272.500724</v>
      </c>
      <c r="G204" s="3">
        <f>1392.1+(432.8-259.6)+(-2.129913+(-0.662184--0.397188))+0-319.1--0.488223000000018</f>
        <v>1244.2933139999998</v>
      </c>
      <c r="H204" s="3">
        <f>1393+(411.3-246.8)+(0+(0-0))+0-318.4-0</f>
        <v>1239.0999999999999</v>
      </c>
      <c r="I204" s="3">
        <f>1392.5+(397.7-226.1)+(0+(0-0))+0-318.5-0</f>
        <v>1245.5999999999999</v>
      </c>
      <c r="J204" s="3">
        <f>1393.1+(342.2-210.3)+(-2.131443+(-0.523566--0.321759))+0-318.4--0.487152000000018</f>
        <v>1204.7539020000002</v>
      </c>
      <c r="K204" s="3">
        <f>1392.4+(220.9-191.7)+(0.710124+(0.112659-0.097767))+0-317.5-0.161924999999968</f>
        <v>1104.6630910000003</v>
      </c>
      <c r="L204" s="3">
        <f>1391.8+(88.7-212.5)+(0+(0-0))+0-316.5-0</f>
        <v>951.5</v>
      </c>
      <c r="M204" s="3">
        <f>1388.8+(113.2-237.3)+(-1.416576+(-0.115464--0.242046))+0-316.7--0.323034000000051</f>
        <v>947.03304000000003</v>
      </c>
      <c r="N204" s="3">
        <f>1381.7+(202.2-253.6)+(2.114001+(0.309366-0.388008))+0-316.7-0.484551000000018</f>
        <v>1015.1508079999999</v>
      </c>
      <c r="O204" s="3">
        <f>1368+(243.1-270.3)+(-2.09304+(-0.371943--0.413559))+0-314.2--0.480726000000018</f>
        <v>1025.0293019999999</v>
      </c>
      <c r="P204" s="3">
        <f>1341.1+(333-300)+(-2.735844+(-0.67932--0.612))+0-319--0.650759999999986</f>
        <v>1052.947596</v>
      </c>
      <c r="Q204" s="3">
        <f>1353.6+(394.4-326)+(-2.761344+(-0.804576--0.66504))+0-319.4--0.651575999999986</f>
        <v>1100.3506960000002</v>
      </c>
      <c r="R204" s="3">
        <f>1349.5+(452.9-333.5)+(-3.441225+(-1.154895--0.850425))+0-319.6--0.814979999999954</f>
        <v>1146.369285</v>
      </c>
      <c r="S204" s="3">
        <f>1282.3+(424.9-310.7)+(0.653973+(0.216699-0.158457))+0-323.1-0.164780999999967</f>
        <v>1073.9474340000002</v>
      </c>
      <c r="T204" s="3">
        <f>1260.6+(407.7-366.4)+(-2.571624+(-0.831708--0.747456))+0-321.6--0.656063999999986</f>
        <v>978.30018799999982</v>
      </c>
      <c r="U204" s="3">
        <f>1268+(304.5-335)+(-3.2334+(-0.776475--0.85425))+0-319.6--0.814979999999954</f>
        <v>915.55935499999987</v>
      </c>
      <c r="V204" s="3">
        <f>1274.2+(161.5-221.3)+(-1.949526+(-0.247095--0.338589))+0-319.4--0.488682000000018</f>
        <v>893.63065000000006</v>
      </c>
      <c r="W204" s="3">
        <f>1276.1+(142.5-249.8)+(1.301622+(0.14535-0.254796))+0-321.9-0.328338000000051</f>
        <v>847.76383799999996</v>
      </c>
      <c r="X204" s="3">
        <f>1281.7+(290.1-281)+(-3.268335+(-0.739755--0.71655))+0-322.8--0.823139999999953</f>
        <v>965.53160000000025</v>
      </c>
      <c r="Y204" s="3">
        <f>1286.4+(374-284.3)+(-1.312128+(-0.38148--0.289986))+0-323.3--0.329766000000052</f>
        <v>1051.7261440000002</v>
      </c>
      <c r="Z204" s="3">
        <f>1286.8+(428.5-266.3)+(-1.968804+(-0.655605--0.407439))+0-323.6--0.495108000000019</f>
        <v>1123.6781380000002</v>
      </c>
      <c r="AA204" s="3">
        <f>1291.1+(472.1-260.4)+(-2.633844+(-0.963084--0.531216))+0-322.5--0.657899999999986</f>
        <v>1177.8921879999998</v>
      </c>
      <c r="AB204" s="3">
        <f>1273.9+(521-243.6)+(0+(0-0))+0-322.2-0</f>
        <v>1229.1000000000001</v>
      </c>
      <c r="AC204" s="3">
        <f>1112.5+(627.8-199.1)+(-2.2695+(-1.280712--0.406164))+0-318.4--0.649535999999986</f>
        <v>1220.3054879999995</v>
      </c>
      <c r="AD204">
        <v>991.5</v>
      </c>
      <c r="AE204" s="3">
        <f>1280+(328.2-293)+(0+(0-0))+0-323.7-0</f>
        <v>991.5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1119.1+(583.6-179.6)+(0+(0-0))+0-320.2-0</f>
        <v>1202.8999999999999</v>
      </c>
      <c r="G205" s="3">
        <f>1118.5+(505.2-160.6)+(-1.711305+(-0.772956--0.245718))+0-309.6--0.473688000000018</f>
        <v>1151.7351450000001</v>
      </c>
      <c r="H205" s="3">
        <f>1118.8+(486.8-145.1)+(1.141176+(0.496536-0.148002))+0-313.3-0.31956600000005</f>
        <v>1148.370144</v>
      </c>
      <c r="I205" s="3">
        <f>1121.1+(459.9-142.4)+(-1.715283+(-0.703647--0.217872))+0-323.3--0.494649000000019</f>
        <v>1113.5935909999998</v>
      </c>
      <c r="J205" s="3">
        <f>1122.6+(430.1-174.3)+(0+(0-0))+0-323.4-0</f>
        <v>1055</v>
      </c>
      <c r="K205" s="3">
        <f>1124.2+(296.2-180.3)+(-1.720026+(-0.453186--0.275859))+0-303.6--0.464508000000018</f>
        <v>935.06715499999984</v>
      </c>
      <c r="L205" s="3">
        <f>1130.9+(216.9-185.3)+(-1.153518+(-0.221238--0.189006))+0-320.2--0.326604000000051</f>
        <v>841.44085399999994</v>
      </c>
      <c r="M205" s="3">
        <f>1124.1+(218-207.2)+(1.146582+(0.22236-0.211344))+0-319.8-0.326196000000051</f>
        <v>815.93140199999982</v>
      </c>
      <c r="N205" s="3">
        <f>1114.5+(300.5-221.7)+(-0.568395+(-0.153255--0.113067))+0-320.6--0.163505999999967</f>
        <v>872.25492299999996</v>
      </c>
      <c r="O205" s="3">
        <f>1108.3+(339.5-241.1)+(0+(0-0))+0-321.9-0</f>
        <v>884.80000000000007</v>
      </c>
      <c r="P205" s="3">
        <f>1105.5+(345.7-194.9)+(-0.563805+(-0.176307--0.099399))+0-324.7--0.165596999999967</f>
        <v>931.12488399999984</v>
      </c>
      <c r="Q205" s="3">
        <f>1100.8+(360-172.8)+(-1.684224+(-0.5508--0.264384))+0-325.3--0.497709000000019</f>
        <v>961.22706900000003</v>
      </c>
      <c r="R205" s="3">
        <f>1097.5+(428.9-182.5)+(-2.2389+(-0.874956--0.3723))+0-324.9--0.662795999999986</f>
        <v>1016.9212400000001</v>
      </c>
      <c r="S205" s="3">
        <f>1097.1+(541.5-160.6)+(-1.119042+(-0.55233--0.163812))+0-321.6--0.328032000000051</f>
        <v>1155.2204720000002</v>
      </c>
      <c r="T205" s="3">
        <f>1098.8+(541.7-154.6)+(-1.120776+(-0.552534--0.157692))+0-321.5--0.327930000000051</f>
        <v>1163.2123120000003</v>
      </c>
      <c r="U205" s="3">
        <f>1101.9+(532.3-167.9)+(-2.247876+(-1.085892--0.342516))+0-320--0.652799999999986</f>
        <v>1143.9615480000002</v>
      </c>
      <c r="V205" s="3">
        <f>1107.3+(302-141.6)+(-1.694169+(-0.46206--0.216648))+0-319.8--0.489294000000018</f>
        <v>946.44971299999997</v>
      </c>
      <c r="W205" s="3">
        <f>1113.5+(243.8-166.6)+(0+(0-0))+0-320.9-0</f>
        <v>869.80000000000007</v>
      </c>
      <c r="X205" s="3">
        <f>1116.4+(353.9-181.8)+(-1.708092+(-0.541467--0.278154))+0-321.7--0.492201000000019</f>
        <v>965.32079599999997</v>
      </c>
      <c r="Y205" s="3">
        <f>1123.5+(405.8-183.1)+(-1.14597+(-0.413916--0.186762))+0-321.7--0.328134000000051</f>
        <v>1023.4550100000001</v>
      </c>
      <c r="Z205" s="3">
        <f>1133.4+(409.8-239.9)+(-2.312136+(-0.835992--0.489396))+0-321.2--0.655247999999986</f>
        <v>980.09651600000007</v>
      </c>
      <c r="AA205" s="3">
        <f>1137.4+(249.9-286.4)+(-1.740222+(-0.382347--0.438192))+0-320.3--0.490059000000019</f>
        <v>779.40568200000007</v>
      </c>
      <c r="AB205" s="3">
        <f>1140.3+(200.8-203.4)+(-2.907765+(-0.51204--0.51867))+0-320.2--0.816509999999954</f>
        <v>815.41537499999993</v>
      </c>
      <c r="AC205" s="3">
        <f>1138.3+(268.7-149.3)+(-2.902665+(-0.685185--0.380715))+0-322.5--0.822374999999953</f>
        <v>932.81523999999968</v>
      </c>
      <c r="AD205">
        <v>980.70000000000016</v>
      </c>
      <c r="AE205" s="3">
        <f>1113+(374.9-184.1)+(0+(0-0))+0-323.1-0</f>
        <v>980.69999999999993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1133.2+(303.1-128.6)+(-2.311728+(-0.618324--0.262344))+0-322--0.656879999999986</f>
        <v>983.6891720000001</v>
      </c>
      <c r="G206" s="3">
        <f>1124.1+(304.7-136.2)+(-1.719873+(-0.466191--0.208386))+0-325.1--0.497403000000019</f>
        <v>966.01972499999988</v>
      </c>
      <c r="H206" s="3">
        <f>1131.7+(280-130.2)+(-1.731501+(-0.4284--0.199206))+0-321.6--0.492048000000019</f>
        <v>958.43135300000006</v>
      </c>
      <c r="I206" s="3">
        <f>1134+(244.7-121.5)+(-1.73502+(-0.374391--0.185895))+0-320.8--0.490824000000019</f>
        <v>934.967308</v>
      </c>
      <c r="J206" s="3">
        <f>1133.2+(220.7-118.7)+(1.155864+(0.225114-0.121074))+0-319.9-0.326298000000051</f>
        <v>916.23360600000001</v>
      </c>
      <c r="K206" s="3">
        <f>1133.5+(152.9-121.9)+(-1.15617+(-0.155958--0.124338))+0-320.5--0.326910000000051</f>
        <v>843.13912000000005</v>
      </c>
      <c r="L206" s="3">
        <f>1135.7+(94.3-124.8)+(-1.158414+(-0.096186--0.127296))+0-318.6--0.324972000000051</f>
        <v>785.79766799999993</v>
      </c>
      <c r="M206" s="3">
        <f>1129.5+(122.8-144.3)+(0.576045+(0.062628-0.073593))+0-319.4-0.162893999999968</f>
        <v>789.00218600000017</v>
      </c>
      <c r="N206" s="3">
        <f>1124.7+(166.8-156.9)+(0+(0-0))+0-319.2-0</f>
        <v>815.40000000000009</v>
      </c>
      <c r="O206" s="3">
        <f>1121.8+(212.7-166.2)+(-0.572118+(-0.108477--0.084762))+0-319.7--0.163046999999968</f>
        <v>848.16721399999983</v>
      </c>
      <c r="P206" s="3">
        <f>1119.1+(290.7-167.4)+(-1.141482+(-0.296514--0.170748))+0-321.1--0.327522000000051</f>
        <v>920.36027399999978</v>
      </c>
      <c r="Q206" s="3">
        <f>1114.1+(374.8-186.6)+(-1.136382+(-0.382296--0.190332))+0-323.1--0.329562000000052</f>
        <v>978.20121599999993</v>
      </c>
      <c r="R206" s="3">
        <f>1111+(308.1-218.4)+(-2.83305+(-0.785655--0.55692))+0-143--0.364649999999979</f>
        <v>1055.0028649999999</v>
      </c>
      <c r="S206" s="3">
        <f>1107.2+(357.4-217.6)+(-0.564672+(-0.182274--0.110976))+0-125.8--0.0641579999999872</f>
        <v>1120.6281879999999</v>
      </c>
      <c r="T206" s="3">
        <f>1104.1+(527.3-166.2)+(-1.689273+(-0.806769--0.254286))+0-324.4--0.496332000000019</f>
        <v>1139.0545759999998</v>
      </c>
      <c r="U206" s="3">
        <f>1105.2+(424.2-156)+(-2.254608+(-0.865368--0.31824))+0-327.4--0.667895999999986</f>
        <v>1043.86616</v>
      </c>
      <c r="V206" s="3">
        <f>1110.4+(299.2-151.5)+(-1.698912+(-0.457776--0.231795))+0-328.8--0.503064000000019</f>
        <v>927.87817100000007</v>
      </c>
      <c r="W206" s="3">
        <f>1114.2+(251.5-156.3)+(-0.568242+(-0.128265--0.079713))+0-328.7--0.167636999999967</f>
        <v>880.25084300000003</v>
      </c>
      <c r="X206" s="3">
        <f>1118+(355.6-166.2)+(0+(0-0))+0-331.9-0</f>
        <v>975.50000000000011</v>
      </c>
      <c r="Y206" s="3">
        <f>1122+(429.8-162.6)+(-2.8611+(-1.09599--0.41463))+0-329.5--0.840224999999952</f>
        <v>1056.9977650000001</v>
      </c>
      <c r="Z206" s="3">
        <f>1173.2+(475.7-208.7)+(-0.598332+(-0.242607--0.106437))+0-331.9--0.169268999999966</f>
        <v>1107.7347669999999</v>
      </c>
      <c r="AA206" s="3">
        <f>1324.5+(378.2-231.6)+(-2.70198+(-0.771528--0.472464))+0-331--0.675239999999986</f>
        <v>1137.7741959999998</v>
      </c>
      <c r="AB206" s="3">
        <f>1365.7+(377.3-216.4)+(-2.089521+(-0.577269--0.331092))+0-328.1--0.501993000000019</f>
        <v>1196.6662950000002</v>
      </c>
      <c r="AC206" s="3">
        <f>1367.7+(380.4-193.9)+(-3.487635+(-0.97002--0.494445))+0-326.1--0.831554999999953</f>
        <v>1224.968345</v>
      </c>
      <c r="AD206">
        <v>960.40000000000009</v>
      </c>
      <c r="AE206" s="3">
        <f>1118+(347.9-171.7)+(0+(0-0))+0-333.8-0</f>
        <v>960.40000000000009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1367.7+(360.5-203.9)+(0+(0-0))+0-325.5-0</f>
        <v>1198.8</v>
      </c>
      <c r="G207" s="3">
        <f>1367.7+(309.4-190.4)+(0+(0-0))+0-326.2-0</f>
        <v>1160.5</v>
      </c>
      <c r="H207" s="3">
        <f>1368+(265.6-180.3)+(0.69768+(0.135456-0.091953))+0-328.8-0.167687999999967</f>
        <v>1125.0734950000001</v>
      </c>
      <c r="I207" s="3">
        <f>1371.5+(213.8-173.3)+(-1.39893+(-0.218076--0.176766))+0-328--0.334560000000052</f>
        <v>1082.8943200000001</v>
      </c>
      <c r="J207" s="3">
        <f>1369.7+(161.1-170.1)+(0+(0-0))+0-327.8-0</f>
        <v>1032.9000000000001</v>
      </c>
      <c r="K207" s="3">
        <f>1376.2+(79.6-186.4)+(-3.50931+(-0.20298--0.47532))+0-325.7--0.830534999999953</f>
        <v>941.29356500000006</v>
      </c>
      <c r="L207" s="3">
        <f>1378.6+(46.5-252.2)+(-1.406172+(-0.04743--0.257244))+0-323.8--0.330276000000052</f>
        <v>848.23391800000002</v>
      </c>
      <c r="M207" s="3">
        <f>1375.6+(86.5-302.6)+(2.104668+(0.132345-0.462978))+0-323.9-0.495567000000019</f>
        <v>836.87846799999988</v>
      </c>
      <c r="N207" s="3">
        <f>1383.2+(160.5-370.1)+(0+(0-0))+0-327.2-0</f>
        <v>846.39999999999986</v>
      </c>
      <c r="O207" s="3">
        <f>1377.6+(181.6-364.4)+(-1.405152+(-0.185232--0.371688))+0-326.9--0.333438000000052</f>
        <v>867.01474200000007</v>
      </c>
      <c r="P207" s="3">
        <f>1369.7+(209.1-311.9)+(1.397094+(0.213282-0.318138))+0-326.3-0.332826000000052</f>
        <v>941.55941200000007</v>
      </c>
      <c r="Q207" s="3">
        <f>1362.8+(236.4-272)+(-2.085084+(-0.361692--0.41616))+0-324--0.495720000000019</f>
        <v>1001.665104</v>
      </c>
      <c r="R207" s="3">
        <f>1359.8+(267.7-246.7)+(-0.693498+(-0.136527--0.125817))+0-323.7--0.165086999999967</f>
        <v>1056.5608789999997</v>
      </c>
      <c r="S207" s="3">
        <f>1353.1+(324.8-239)+(1.380162+(0.331296-0.24378))+0-325.7-0.332214000000052</f>
        <v>1114.3354639999998</v>
      </c>
      <c r="T207" s="3">
        <f>1350.2+(324.7-233.5)+(0.688602+(0.165597-0.119085))+0-325.5-0.166004999999967</f>
        <v>1116.4691090000001</v>
      </c>
      <c r="U207" s="3">
        <f>1353+(243.6-229.9)+(-3.45015+(-0.62118--0.586245))+0-325.7--0.830534999999953</f>
        <v>1038.34545</v>
      </c>
      <c r="V207" s="3">
        <f>1355.9+(168.9-288.7)+(-0.691509+(-0.086139--0.147237))+0-324.8--0.165647999999967</f>
        <v>910.83523700000001</v>
      </c>
      <c r="W207" s="3">
        <f>1354.6+(183.7-331.4)+(0+(0-0))+0-326.6-0</f>
        <v>880.29999999999984</v>
      </c>
      <c r="X207" s="3">
        <f>1355.3+(242.5-293.8)+(-2.073609+(-0.371025--0.449514))+0-324.6--0.496638000000019</f>
        <v>977.90151800000001</v>
      </c>
      <c r="Y207" s="3">
        <f>1358.6+(280-276.9)+(-2.771544+(-0.5712--0.564876))+0-324.8--0.662591999999986</f>
        <v>1034.7847239999999</v>
      </c>
      <c r="Z207" s="3">
        <f>1363.5+(338.8-305.3)+(-3.476925+(-0.86394--0.778515))+0-325.5--0.830024999999953</f>
        <v>1068.7676750000001</v>
      </c>
      <c r="AA207" s="3">
        <f>1364.2+(381.4-294.9)+(-1.391484+(-0.389028--0.300798))+0-326--0.332520000000052</f>
        <v>1123.5528060000001</v>
      </c>
      <c r="AB207" s="3">
        <f>1365.2+(407.8-283.4)+(-0.696252+(-0.207978--0.144534))+0-324.1--0.165290999999967</f>
        <v>1164.9055949999999</v>
      </c>
      <c r="AC207" s="3">
        <f>1361.3+(405.2-258.6)+(-0.694263+(-0.206652--0.131886))+0-323.6--0.165035999999967</f>
        <v>1183.6960069999996</v>
      </c>
      <c r="AD207">
        <v>975.80000000000007</v>
      </c>
      <c r="AE207" s="3">
        <f>1348+(241.9-291)+(0+(0-0))+0-323.1-0</f>
        <v>975.80000000000007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1364+(386.8-239.8)+(0+(0-0))+0-320.7-0</f>
        <v>1190.3</v>
      </c>
      <c r="G208" s="3">
        <f>1365.9+(357.4-228.7)+(0+(0-0))+0-320.9-0</f>
        <v>1173.7000000000003</v>
      </c>
      <c r="H208" s="3">
        <f>1364.6+(313.8-215.7)+(0.695946+(0.160038-0.110007))+0-320.6-0.163505999999967</f>
        <v>1142.6824710000001</v>
      </c>
      <c r="I208" s="3">
        <f>1362.6+(270.4-206.2)+(0+(0-0))+0-320.7-0</f>
        <v>1106.0999999999999</v>
      </c>
      <c r="J208" s="3">
        <f>1363.4+(223.1-208.7)+(1.390668+(0.227562-0.212874))+0-320.2-0.326604000000051</f>
        <v>1058.678752</v>
      </c>
      <c r="K208" s="3">
        <f>1365.9+(148.1-215.4)+(-1.393218+(-0.151062--0.219708))+0-319.4--0.325788000000051</f>
        <v>978.20121600000027</v>
      </c>
      <c r="L208" s="3">
        <f>1367.3+(85-250.6)+(-1.394646+(-0.0867--0.255612))+0-318.5--0.324870000000051</f>
        <v>882.29913599999998</v>
      </c>
      <c r="M208" s="3">
        <f>1364.7+(71.4-265)+(2.087991+(0.109242-0.40545))+0-318-0.486540000000018</f>
        <v>854.40524300000004</v>
      </c>
      <c r="N208" s="3">
        <f>1362+(86.6-282.7)+(0.69462+(0.044166-0.144177))+0-319.3-0.162842999999968</f>
        <v>847.03176600000018</v>
      </c>
      <c r="O208" s="3">
        <f>1357.8+(118.1-302.7)+(-1.384956+(-0.120462--0.308754))+0-320.9--0.327318000000051</f>
        <v>851.43065400000012</v>
      </c>
      <c r="P208" s="3">
        <f>1358+(172.6-322.4)+(0+(0-0))+0-320.8-0</f>
        <v>887.40000000000009</v>
      </c>
      <c r="Q208" s="3">
        <f>1355.5+(218.2-311.4)+(-3.456525+(-0.55641--0.79407))+0-320.5--0.817274999999953</f>
        <v>939.3984099999999</v>
      </c>
      <c r="R208" s="3">
        <f>1348+(338.8-291.2)+(-2.06244+(-0.518364--0.445536))+0-319.8--0.489294000000018</f>
        <v>1074.1540259999999</v>
      </c>
      <c r="S208" s="3">
        <f>1341+(411-278.9)+(1.36782+(0.41922-0.284478))+0-319.1-0.325482000000051</f>
        <v>1155.1770799999997</v>
      </c>
      <c r="T208" s="3">
        <f>1341.5+(410.8-264)+(-4.10499+(-1.257048--0.80784))+0-318.6--0.974916000000037</f>
        <v>1166.1207180000001</v>
      </c>
      <c r="U208" s="3">
        <f>1341+(315.8-250)+(0+(0-0))+0-319.4-0</f>
        <v>1087.4000000000001</v>
      </c>
      <c r="V208" s="3">
        <f>1344.4+(243.7-263.4)+(0+(0-0))+0-319.4-0</f>
        <v>1005.3000000000001</v>
      </c>
      <c r="W208" s="3">
        <f>1373.3+(212.8-271.4)+(0.700383+(0.108528-0.138414))+0-319.4-0.162893999999968</f>
        <v>995.8076030000002</v>
      </c>
      <c r="X208" s="3">
        <f>1430.8+(232.3-293.6)+(-2.189124+(-0.355419--0.449208))+0-321.1--0.491283000000019</f>
        <v>1046.7959480000002</v>
      </c>
      <c r="Y208" s="3">
        <f>1446.5+(303.2-288.1)+(-2.213145+(-0.463896--0.440793))+0-320.2--0.489906000000018</f>
        <v>1139.653658</v>
      </c>
      <c r="Z208" s="3">
        <f>1456+(362.8-283.6)+(0.74256+(0.185028-0.144636))+0-319.4-0.162893999999968</f>
        <v>1216.4200580000002</v>
      </c>
      <c r="AA208" s="3">
        <f>1481.3+(382.8-269)+(0+(0-0))+0-318.9-0</f>
        <v>1276.1999999999998</v>
      </c>
      <c r="AB208" s="3">
        <f>1485+(423.5-248.1)+(-2.27205+(-0.647955--0.379593))+0-318.7--0.487611000000018</f>
        <v>1339.647199</v>
      </c>
      <c r="AC208" s="3">
        <f>1492.1+(421.9-224.6)+(-3.804855+(-1.075845--0.57273))+0-318.1--0.811154999999954</f>
        <v>1367.8031849999998</v>
      </c>
      <c r="AD208">
        <v>1089.4000000000001</v>
      </c>
      <c r="AE208" s="3">
        <f>1444+(268-303.1)+(0+(0-0))+0-319.5-0</f>
        <v>1089.4000000000001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1491.4+(356.7-222.6)+(-3.80307+(-0.909585--0.56763))+0-318.9--0.813194999999954</f>
        <v>1303.2681700000001</v>
      </c>
      <c r="G209" s="3">
        <f>1481.6+(348.4-241.6)+(-3.022464+(-0.710736--0.492864))+0-319.5--0.651779999999986</f>
        <v>1266.3114439999997</v>
      </c>
      <c r="H209" s="3">
        <f>1458.8+(315.8-228)+(-2.231964+(-0.483174--0.34884))+0-320.1--0.489753000000019</f>
        <v>1224.6234550000001</v>
      </c>
      <c r="I209" s="3">
        <f>1479.9+(247.4-226.1)+(0+(0-0))+0-319.8-0</f>
        <v>1181.4000000000001</v>
      </c>
      <c r="J209" s="3">
        <f>1492.3+(179.1-227.1)+(-2.283219+(-0.274023--0.347463))+0-319.5--0.488835000000018</f>
        <v>1123.079056</v>
      </c>
      <c r="K209" s="3">
        <f>1563.6+(98.7-311.1)+(-2.392308+(-0.151011--0.475983))+0-318.5--0.487305000000018</f>
        <v>1031.1199689999999</v>
      </c>
      <c r="L209" s="3">
        <f>1597.7+(35.3-400.8)+(0+(0-0))+0-317.1-0</f>
        <v>915.1</v>
      </c>
      <c r="M209" s="3">
        <f>1592.5+(63.5-399.8)+(0.812175+(0.032385-0.203898))+0-318.8-0.162587999999968</f>
        <v>937.8780740000002</v>
      </c>
      <c r="N209" s="3">
        <f>1589.2+(126-445)+(0.810492+(0.06426-0.22695))+0-320-0.163199999999968</f>
        <v>950.68460200000004</v>
      </c>
      <c r="O209" s="3">
        <f>1583.8+(175.1-451.8)+(1.615476+(0.178602-0.460836))+0-320.1-0.326502000000051</f>
        <v>988.00673999999981</v>
      </c>
      <c r="P209" s="3">
        <f>1583.7+(196.6-416.2)+(-0.807687+(-0.100266--0.212262))+0-320.8--0.163607999999967</f>
        <v>1042.7679170000004</v>
      </c>
      <c r="Q209" s="3">
        <f>1578.6+(222.2-360.4)+(-1.610172+(-0.226644--0.367608))+0-320.6--0.327012000000051</f>
        <v>1118.6578039999997</v>
      </c>
      <c r="R209" s="3">
        <f>1572.2+(313.5-278.4)+(0+(0-0))+0-320.7-0</f>
        <v>1286.6000000000001</v>
      </c>
      <c r="S209" s="3">
        <f>1567.9+(379.4-266.4)+(-0.799629+(-0.193494--0.135864))+0-320.2--0.163301999999968</f>
        <v>1360.0060429999999</v>
      </c>
      <c r="T209" s="3">
        <f>1560.9+(369.2-253.5)+(0+(0-0))+0-321-0</f>
        <v>1355.6000000000001</v>
      </c>
      <c r="U209" s="3">
        <f>1557+(259.6-247)+(-2.38221+(-0.397188--0.37791))+0-321.4--0.491742000000019</f>
        <v>1246.2902539999998</v>
      </c>
      <c r="V209" s="3">
        <f>1561.1+(180.1-308.8)+(-2.388483+(-0.275553--0.472464))+0-321--0.491130000000019</f>
        <v>1109.699558</v>
      </c>
      <c r="W209" s="3">
        <f>1566.5+(184.5-352.4)+(0+(0-0))+0-320.9-0</f>
        <v>1077.6999999999998</v>
      </c>
      <c r="X209" s="3">
        <f>1527.2+(255-308.4)+(-3.115488+(-0.5202--0.629136))+0-321.9--0.656675999999986</f>
        <v>1149.5501240000003</v>
      </c>
      <c r="Y209" s="3">
        <f>1578.4+(298.4-291.1)+(0+(0-0))+0-321.1-0</f>
        <v>1264.5999999999999</v>
      </c>
      <c r="Z209" s="3">
        <f>1586.9+(351.2-281)+(-3.237276+(-0.716448--0.57324))+0-323.2--0.659327999999986</f>
        <v>1331.178844</v>
      </c>
      <c r="AA209" s="3">
        <f>1591.8+(360.7-274.9)+(-0.811818+(-0.183957--0.140199))+0-322.3--0.164372999999967</f>
        <v>1354.6087970000001</v>
      </c>
      <c r="AB209" s="3">
        <f>1595+(391.2-245.8)+(-4.06725+(-0.99756--0.62679))+0-321.4--0.819569999999953</f>
        <v>1415.3815499999998</v>
      </c>
      <c r="AC209" s="3">
        <f>1600.3+(383.8-239.2)+(-0.816153+(-0.195738--0.121992))+0-321.7--0.164066999999967</f>
        <v>1422.474168</v>
      </c>
      <c r="AD209">
        <v>1122.4000000000001</v>
      </c>
      <c r="AE209" s="3">
        <f>1533+(226-314.6)+(0+(0-0))+0-322-0</f>
        <v>1122.4000000000001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1604.5+(296.2-241.9)+(-4.091475+(-0.75531--0.616845))+0-278.1--0.70915499999996</f>
        <v>1377.1792150000001</v>
      </c>
      <c r="G210" s="3">
        <f>1607+(244.2-228.5)+(-0.81957+(-0.124542--0.116535))+0-306.4--0.156263999999969</f>
        <v>1315.6286870000001</v>
      </c>
      <c r="H210" s="3">
        <f>1610.8+(190.7-221.1)+(-2.464524+(-0.291771--0.338283))+0-322.5--0.493425000000019</f>
        <v>1255.9754129999999</v>
      </c>
      <c r="I210" s="3">
        <f>1614+(161.4-205.3)+(-0.82314+(-0.082314--0.104703))+0-321.4--0.163913999999967</f>
        <v>1248.063163</v>
      </c>
      <c r="J210" s="3">
        <f>1610.1+(117.8-215.9)+(0+(0-0))+0-321.2-0</f>
        <v>1190.8</v>
      </c>
      <c r="K210" s="3">
        <f>1608.2+(84.5-276.9)+(-2.460546+(-0.129285--0.423657))+0-320.4--0.490212000000018</f>
        <v>1093.7240380000001</v>
      </c>
      <c r="L210" s="3">
        <f>1606.2+(12.8-339.1)+(0+(0-0))+0-318.5-0</f>
        <v>961.40000000000009</v>
      </c>
      <c r="M210" s="3">
        <f>1602.9+(13.9-397.5)+(0.817479+(0.007089-0.202725))+0-260-0.132599999999974</f>
        <v>959.78924300000006</v>
      </c>
      <c r="N210" s="3">
        <f>1599+(79-391.1)+(0.81549+(0.04029-0.199461))+0-322-0.164219999999967</f>
        <v>965.39209900000003</v>
      </c>
      <c r="O210" s="3">
        <f>1589.5+(137.1-418.3)+(0+(0-0))+0-322.4-0</f>
        <v>985.9</v>
      </c>
      <c r="P210" s="3">
        <f>1584.2+(165.5-374.8)+(-0.807942+(-0.084405--0.191148))+0-323.2--0.164831999999967</f>
        <v>1051.1636329999999</v>
      </c>
      <c r="Q210" s="3">
        <f>1579.8+(200.6-317.2)+(1.611396+(0.204612-0.323544))+0-322.9-0.329358000000051</f>
        <v>1141.4631060000002</v>
      </c>
      <c r="R210" s="3">
        <f>1574.6+(319.4-266.2)+(-4.01523+(-0.81447--0.67881))+0-325.5--0.830024999999953</f>
        <v>1298.979135</v>
      </c>
      <c r="S210" s="3">
        <f>1570+(404.6-260.4)+(0+(0-0))+0-324.1-0</f>
        <v>1390.1</v>
      </c>
      <c r="T210" s="3">
        <f>1570.4+(372.3-253.7)+(-1.601808+(-0.379746--0.258774))+0-322--0.328440000000051</f>
        <v>1365.6056599999999</v>
      </c>
      <c r="U210" s="3">
        <f>1570.6+(279.3-239)+(-4.00503+(-0.712215--0.60945))+0-322.4--0.822119999999953</f>
        <v>1285.2143250000001</v>
      </c>
      <c r="V210" s="3">
        <f>1569.7+(156.1-326)+(-4.002735+(-0.398055--0.8313))+0-320.9--0.818294999999953</f>
        <v>1076.1488049999998</v>
      </c>
      <c r="W210" s="3">
        <f>1574.8+(165.1-374.5)+(1.606296+(0.168402-0.38199))+0-320.1-0.326502000000051</f>
        <v>1046.3662059999999</v>
      </c>
      <c r="X210" s="3">
        <f>1583.7+(230.4-328.6)+(-1.615374+(-0.235008--0.335172))+0-320.5--0.326910000000051</f>
        <v>1163.8117</v>
      </c>
      <c r="Y210" s="3">
        <f>1583.3+(294.6-288.6)+(0+(0-0))+0-321.1-0</f>
        <v>1268.1999999999998</v>
      </c>
      <c r="Z210" s="3">
        <f>1581.6+(337.2-283.2)+(-0.806616+(-0.171972--0.144432))+0-323.2--0.164831999999967</f>
        <v>1311.7306759999999</v>
      </c>
      <c r="AA210" s="3">
        <f>1589.2+(357.2-273.4)+(-3.241968+(-0.728688--0.557736))+0-323.3--0.659531999999986</f>
        <v>1346.946612</v>
      </c>
      <c r="AB210" s="3">
        <f>1545.7+(453.4-237.4)+(-3.153228+(-0.924936--0.484296))+0-323--0.658919999999986</f>
        <v>1435.7650520000002</v>
      </c>
      <c r="AC210" s="3">
        <f>1353.5+(574.7-193.8)+(-4.14171+(-1.758582--0.593028))+0-321.6--0.984096000000037</f>
        <v>1408.4768320000003</v>
      </c>
      <c r="AD210">
        <v>1126.0999999999999</v>
      </c>
      <c r="AE210" s="3">
        <f>1580+(200.8-335.2)+(0+(0-0))+0-319.5-0</f>
        <v>1126.0999999999999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1364.7+(475.7-186.6)+(-3.479985+(-1.213035--0.47583))+0-324.1--0.826454999999953</f>
        <v>1326.3092649999999</v>
      </c>
      <c r="G211" s="3">
        <f>1366.9+(415.6-183.6)+(2.091357+(0.635868-0.280908))+0-323.3-0.494649000000019</f>
        <v>1277.5516680000001</v>
      </c>
      <c r="H211" s="3">
        <f>1370.4+(404.4-171.1)+(-3.49452+(-1.03122--0.436305))+0-321.9--0.820844999999953</f>
        <v>1278.5314099999998</v>
      </c>
      <c r="I211" s="3">
        <f>1370.1+(352.9-162.9)+(-2.096253+(-0.539937--0.249237))+0-320.9--0.490977000000019</f>
        <v>1237.304024</v>
      </c>
      <c r="J211" s="3">
        <f>1369.4+(247.6-172.5)+(-0.698394+(-0.126276--0.087975))+0-318.2--0.162281999999968</f>
        <v>1125.7255869999999</v>
      </c>
      <c r="K211" s="3">
        <f>1372.8+(152.7-182.5)+(0.700128+(0.077877-0.093075))+0-319-0.162689999999968</f>
        <v>1024.52224</v>
      </c>
      <c r="L211" s="3">
        <f>1376.8+(96.5-220.8)+(0+(0-0))+0-317.7-0</f>
        <v>934.8</v>
      </c>
      <c r="M211" s="3">
        <f>1372.9+(124.4-231.6)+(0.700179+(0.063444-0.118116))+0-318.1-0.162230999999968</f>
        <v>948.08327599999996</v>
      </c>
      <c r="N211" s="3">
        <f>1355.9+(202.9-266.5)+(0.691509+(0.103479-0.135915))+0-319.5-0.162944999999968</f>
        <v>973.29612800000029</v>
      </c>
      <c r="O211" s="3">
        <f>1341+(253.6-265.5)+(-2.05173+(-0.388008--0.406215))+0-319.8--0.489294000000018</f>
        <v>1007.7557709999999</v>
      </c>
      <c r="P211" s="3">
        <f>1335.6+(267.8-265)+(1.362312+(0.273156-0.2703))+0-320.5-0.326910000000051</f>
        <v>1018.9382579999999</v>
      </c>
      <c r="Q211" s="3">
        <f>1327.8+(365.5-241.8)+(0+(0-0))+0-320-0</f>
        <v>1131.5</v>
      </c>
      <c r="R211" s="3">
        <f>1310.4+(468-241.7)+(-0.668304+(-0.23868--0.123267))+0-321.1--0.163760999999967</f>
        <v>1214.9800440000001</v>
      </c>
      <c r="S211" s="3">
        <f>1280.3+(541.5-246.9)+(-0.652953+(-0.276165--0.125919))+0-306.2--0.156161999999969</f>
        <v>1268.0529630000001</v>
      </c>
      <c r="T211" s="3">
        <f>1271+(516.8-230)+(0.64821+(0.263568-0.1173))+0-273.5-0.139484999999972</f>
        <v>1284.9549930000001</v>
      </c>
      <c r="U211" s="3">
        <f>1267.6+(445.9-214.7)+(0+(0-0))+0-298.4-0</f>
        <v>1200.4000000000001</v>
      </c>
      <c r="V211" s="3">
        <f>1270.8+(285.9-208.1)+(-2.592432+(-0.583236--0.424524))+0-320.3--0.653411999999986</f>
        <v>1026.2022679999998</v>
      </c>
      <c r="W211" s="3">
        <f>1280.7+(260.6-224.1)+(1.959471+(0.398718-0.342873))+0-321.1-0.491283000000019</f>
        <v>997.62403299999994</v>
      </c>
      <c r="X211" s="3">
        <f>1293.3+(398.8-254.5)+(-3.957498+(-1.220328--0.77877))+0-320.6--0.981036000000037</f>
        <v>1113.5819799999999</v>
      </c>
      <c r="Y211" s="3">
        <f>1292.9+(469.4-255.1)+(0.659379+(0.239394-0.130101))+0-320.4-0.163403999999967</f>
        <v>1187.405268</v>
      </c>
      <c r="Z211" s="3">
        <f>1294+(523.2-246.9)+(-0.65994+(-0.266832--0.125919))+0-320.1--0.163250999999968</f>
        <v>1249.562398</v>
      </c>
      <c r="AA211" s="3">
        <f>1298.8+(551.8-235)+(-1.987164+(-0.844254--0.35955))+0-320.2--0.489906000000018</f>
        <v>1293.4180379999998</v>
      </c>
      <c r="AB211" s="3">
        <f>1332.4+(532.8-216.5)+(-2.718096+(-1.086912--0.44166))+0-320.2--0.653207999999986</f>
        <v>1325.7898599999999</v>
      </c>
      <c r="AC211" s="3">
        <f>1414.7+(455.4-198.7)+(-1.442994+(-0.464508--0.202674))+0-321.3--0.327726000000051</f>
        <v>1348.7228980000002</v>
      </c>
      <c r="AD211">
        <v>1129.0999999999999</v>
      </c>
      <c r="AE211" s="3">
        <f>1297+(410-257.8)+(0+(0-0))+0-320.1-0</f>
        <v>1129.0999999999999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1423.1+(412.1-184.4)+(-3.628905+(-1.050855--0.47022))+0-322--0.821099999999953</f>
        <v>1325.4115599999998</v>
      </c>
      <c r="G212" s="3">
        <f>1424.4+(353.6-174.5)+(-0.726444+(-0.180336--0.088995))+0-320.9--0.163658999999967</f>
        <v>1281.9458740000002</v>
      </c>
      <c r="H212" s="3">
        <f>1422.1+(306.4-161.7)+(1.450542+(0.312528-0.164934))+0-323.3-0.329766000000052</f>
        <v>1244.76837</v>
      </c>
      <c r="I212" s="3">
        <f>1426.9+(258.1-159.4)+(-2.910876+(-0.526524--0.325176))+0-322--0.656879999999986</f>
        <v>1201.1446560000002</v>
      </c>
      <c r="J212" s="3">
        <f>1348.6+(271.7-144.1)+(0.687786+(0.138567-0.073491))+0-322-0.164219999999967</f>
        <v>1154.788642</v>
      </c>
      <c r="K212" s="3">
        <f>1340.2+(166.1-152.7)+(-1.367004+(-0.169422--0.155754))+0-322.1--0.328542000000051</f>
        <v>1030.4478700000002</v>
      </c>
      <c r="L212" s="3">
        <f>1395.7+(60.9-199)+(-2.135421+(-0.093177--0.30447))+0-322.3--0.493119000000019</f>
        <v>933.86899100000005</v>
      </c>
      <c r="M212" s="3">
        <f>1386.3+(81.3-210.8)+(1.414026+(0.082926-0.215016))+0-319-0.325380000000051</f>
        <v>938.75655600000005</v>
      </c>
      <c r="N212" s="3">
        <f>1349.3+(136.7-209.2)+(0+(0-0))+0-313.6-0</f>
        <v>963.19999999999993</v>
      </c>
      <c r="O212" s="3">
        <f>1363+(209-286)+(-0.69513+(-0.10659--0.14586))+0-320--0.163199999999968</f>
        <v>965.50733999999989</v>
      </c>
      <c r="P212" s="3">
        <f>1351.3+(248.9-239.9)+(0.689163+(0.126939-0.122349))+0-323.7-0.165086999999967</f>
        <v>1037.1286660000001</v>
      </c>
      <c r="Q212" s="3">
        <f>1339.7+(337.4-231.2)+(-3.416235+(-0.86037--0.58956))+0-324.7--0.827984999999953</f>
        <v>1118.34094</v>
      </c>
      <c r="R212" s="3">
        <f>1332+(366-313.7)+(-0.67932+(-0.18666--0.159987))+0-315--0.160649999999968</f>
        <v>1068.754657</v>
      </c>
      <c r="S212" s="3">
        <f>1329+(699-271.7)+(0+(0-0))+0-316-0</f>
        <v>1440.3</v>
      </c>
      <c r="T212" s="3">
        <f>1276.5+(695-217.3)+(-1.953045+(-1.06335--0.332469))+0-322.3--0.493119000000019</f>
        <v>1429.7091930000001</v>
      </c>
      <c r="U212" s="3">
        <f>1282.6+(506-267.7)+(0+(0-0))+0-323-0</f>
        <v>1197.8999999999999</v>
      </c>
      <c r="V212" s="3">
        <f>1282.2+(240.1-214.5)+(-3.923532+(-0.734706--0.65637))+0-323.5--0.989910000000037</f>
        <v>981.2880419999999</v>
      </c>
      <c r="W212" s="3">
        <f>1363.6+(191.6-251.7)+(1.390872+(0.195432-0.256734))+0-325.1-0.331602000000052</f>
        <v>979.39796799999999</v>
      </c>
      <c r="X212" s="3">
        <f>1437.3+(270.4-282.4)+(-4.398138+(-0.827424--0.864144))+0-324.5--0.992970000000038</f>
        <v>1097.431552</v>
      </c>
      <c r="Y212" s="3">
        <f>1443.8+(346.6-282.5)+(-2.209014+(-0.530298--0.432225))+0-323.4--0.494802000000019</f>
        <v>1182.6877150000003</v>
      </c>
      <c r="Z212" s="3">
        <f>1511.3+(351.6-288.1)+(-3.853815+(-0.89658--0.734655))+0-323.2--0.824159999999953</f>
        <v>1248.4084199999998</v>
      </c>
      <c r="AA212" s="3">
        <f>1692.4+(239.9-301.5)+(-3.452496+(-0.489396--0.61506))+0-323.2--0.659327999999986</f>
        <v>1304.9324960000001</v>
      </c>
      <c r="AB212" s="3">
        <f>1624.4+(319.7-267.3)+(-0.828444+(-0.163047--0.136323))+0-323.9--0.165188999999967</f>
        <v>1352.2100210000001</v>
      </c>
      <c r="AC212" s="3">
        <f>1508.7+(387.5-233.5)+(-0.769437+(-0.197625--0.119085))+0-321.7--0.164066999999967</f>
        <v>1340.31609</v>
      </c>
      <c r="AD212">
        <v>1104.7</v>
      </c>
      <c r="AE212" s="3">
        <f>1451+(254-275.3)+(0+(0-0))+0-325-0</f>
        <v>1104.7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1520.6+(341.6-214)+(-2.326518+(-0.522648--0.32742))+0-320--0.489600000000018</f>
        <v>1326.167854</v>
      </c>
      <c r="G213" s="3">
        <f>1518.4+(282.3-197.9)+(1.548768+(0.287946-0.201858))+0-319.9-0.326298000000051</f>
        <v>1284.2085580000003</v>
      </c>
      <c r="H213" s="3">
        <f>1519.9+(237.8-191.2)+(-0.775149+(-0.121278--0.097512))+0-319.6--0.162995999999968</f>
        <v>1246.2640809999998</v>
      </c>
      <c r="I213" s="3">
        <f>1520.3+(207.9-203.2)+(2.326059+(0.318087-0.310896))+0-319.2-0.488376000000018</f>
        <v>1207.6448739999998</v>
      </c>
      <c r="J213" s="3">
        <f>1519.8+(150.6-193.2)+(0.775098+(0.076806-0.098532))+0-319-0.162689999999968</f>
        <v>1158.7906820000001</v>
      </c>
      <c r="K213" s="3">
        <f>1519.4+(55.4-188.6)+(-3.099576+(-0.113016--0.384744))+0-317.4--0.647495999999986</f>
        <v>1066.6196480000003</v>
      </c>
      <c r="L213" s="3">
        <f>1524.6+(4.5-282.3)+(-3.110184+(-0.00918--0.575892))+0-317.1--0.646883999999986</f>
        <v>927.80341199999987</v>
      </c>
      <c r="M213" s="3">
        <f>1518.8+(15.7-266.2)+(0.774588+(0.008007-0.135762))+0-316.5-0.161414999999968</f>
        <v>952.28541800000005</v>
      </c>
      <c r="N213" s="3">
        <f>1507.6+(79.2-266.4)+(0+(0-0))+0-316.3-0</f>
        <v>1004.0999999999999</v>
      </c>
      <c r="O213" s="3">
        <f>1500.6+(128.9-291.6)+(-1.530612+(-0.131478--0.297432))+0-317.4--0.323748000000051</f>
        <v>1019.4590899999999</v>
      </c>
      <c r="P213" s="3">
        <f>1488.4+(165.8-265.3)+(-1.518168+(-0.169116--0.270606))+0-318.2--0.324564000000051</f>
        <v>1069.607886</v>
      </c>
      <c r="Q213" s="3">
        <f>1480+(240.8-266.2)+(-3.0192+(-0.491232--0.543048))+0-318.1--0.648923999999986</f>
        <v>1134.18154</v>
      </c>
      <c r="R213" s="3">
        <f>1473.6+(322.6-270.6)+(-2.254608+(-0.493578--0.414018))+0-317.6--0.485928000000018</f>
        <v>1206.1517599999997</v>
      </c>
      <c r="S213" s="3">
        <f>1467.8+(403.4-260.7)+(-1.497156+(-0.411468--0.265914))+0-317.8--0.324156000000051</f>
        <v>1291.3814460000001</v>
      </c>
      <c r="T213" s="3">
        <f>1470.8+(389.1-245.3)+(0+(0-0))+0-317.4-0</f>
        <v>1297.1999999999998</v>
      </c>
      <c r="U213" s="3">
        <f>1477.1+(283.7-246.5)+(-1.506642+(-0.289374--0.25143))+0-317.5--0.323850000000051</f>
        <v>1195.579264</v>
      </c>
      <c r="V213" s="3">
        <f>1489.1+(130.8-255.9)+(0+(0-0))+0-317.2-0</f>
        <v>1046.8</v>
      </c>
      <c r="W213" s="3">
        <f>1492.8+(146-275.2)+(-0.761328+(-0.07446--0.140352))+0-318--0.162179999999968</f>
        <v>1045.066744</v>
      </c>
      <c r="X213" s="3">
        <f>1494.3+(254.3-274)+(-3.810465+(-0.648465--0.6987))+0-318.3--0.811664999999954</f>
        <v>1153.3514349999998</v>
      </c>
      <c r="Y213" s="3">
        <f>1495.2+(298.1-277)+(-2.287656+(-0.456093--0.42381))+0-317.7--0.486081000000018</f>
        <v>1196.7661420000002</v>
      </c>
      <c r="Z213" s="3">
        <f>1504.1+(328.6-260.9)+(-2.301273+(-0.502758--0.399177))+0-318.4--0.487152000000018</f>
        <v>1251.4822979999997</v>
      </c>
      <c r="AA213" s="3">
        <f>1510+(365.3-264.6)+(-2.3103+(-0.558909--0.404838))+0-319.8--0.489294000000018</f>
        <v>1288.924923</v>
      </c>
      <c r="AB213" s="3">
        <f>1513.5+(385.5-248.3)+(0+(0-0))+0-321.6-0</f>
        <v>1329.1</v>
      </c>
      <c r="AC213" s="3">
        <f>1515.7+(378.5-226.4)+(-3.092028+(-0.77214--0.461856))+0-321.6--0.656063999999986</f>
        <v>1343.4537520000001</v>
      </c>
      <c r="AD213">
        <v>1187.2</v>
      </c>
      <c r="AE213" s="3">
        <f>1494+(286.9-276)+(0+(0-0))+0-317.7-0</f>
        <v>1187.2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1517.8+(428.8-254)+(-2.322234+(-0.656064--0.38862))+0-321.5--0.491895000000019</f>
        <v>1369.002217</v>
      </c>
      <c r="G214" s="3">
        <f>1519.3+(412.2-275.3)+(-0.774843+(-0.210222--0.140403))+0-322.4--0.164423999999967</f>
        <v>1333.1197619999998</v>
      </c>
      <c r="H214" s="3">
        <f>1519.9+(356.2-252.6)+(-4.650894+(-1.089972--0.772956))+0-322.7--0.987462000000037</f>
        <v>1296.8195519999999</v>
      </c>
      <c r="I214" s="3">
        <f>1516.8+(251.9-225.5)+(-2.320704+(-0.385407--0.345015))+0-321.3--0.491589000000019</f>
        <v>1220.030493</v>
      </c>
      <c r="J214" s="3">
        <f>1510.8+(192.8-212.7)+(0+(0-0))+0-320.7-0</f>
        <v>1170.2</v>
      </c>
      <c r="K214" s="3">
        <f>1512.3+(85.5-209.3)+(-0.771273+(-0.043605--0.106743))+0-320.6--0.163505999999967</f>
        <v>1067.3553709999996</v>
      </c>
      <c r="L214" s="3">
        <f>1519.4+(4.1-240.7)+(-2.324682+(-0.006273--0.368271))+0-318.1--0.486693000000018</f>
        <v>963.22400900000014</v>
      </c>
      <c r="M214" s="3">
        <f>1519.2+(40.6-272)+(0.774792+(0.020706-0.13872))+0-316.5-0.161414999999968</f>
        <v>971.79536300000007</v>
      </c>
      <c r="N214" s="3">
        <f>1511.4+(101.4-306.9)+(2.312442+(0.155142-0.469557))+0-316.8-0.484704000000018</f>
        <v>990.61332300000026</v>
      </c>
      <c r="O214" s="3">
        <f>1504.1+(158.5-342.7)+(0+(0-0))+0-321.9-0</f>
        <v>997.99999999999989</v>
      </c>
      <c r="P214" s="3">
        <f>1495+(170-328.6)+(1.5249+(0.1734-0.335172))+0-318.7-0.325074000000051</f>
        <v>1018.7380539999999</v>
      </c>
      <c r="Q214" s="3">
        <f>1487.3+(226.7-300.3)+(-0.758523+(-0.115617--0.153153))+0-321.2--0.163811999999967</f>
        <v>1091.9428249999999</v>
      </c>
      <c r="R214" s="3">
        <f>1480.6+(366.3-289.6)+(-2.265318+(-0.560439--0.443088))+0-320.3--0.490059000000019</f>
        <v>1235.1073899999999</v>
      </c>
      <c r="S214" s="3">
        <f>1478.7+(413.1-274.2)+(-4.524822+(-1.264086--0.839052))+0-317--0.970020000000037</f>
        <v>1296.6201640000002</v>
      </c>
      <c r="T214" s="3">
        <f>1480.7+(394.2-295.6)+(-1.510314+(-0.402084--0.301512))+0-317.2--0.323544000000051</f>
        <v>1260.8126580000001</v>
      </c>
      <c r="U214" s="3">
        <f>1487.4+(293.4-287.3)+(-2.275722+(-0.448902--0.439569))+0-316.4--0.484092000000018</f>
        <v>1175.299037</v>
      </c>
      <c r="V214" s="3">
        <f>1491.1+(125.5-281.2)+(-2.281383+(-0.192015--0.430236))+0-315.9--0.483327000000018</f>
        <v>1017.940165</v>
      </c>
      <c r="W214" s="3">
        <f>1496.2+(127.9-300.6)+(-2.289186+(-0.195687--0.459918))+0-316.8--0.484704000000018</f>
        <v>1005.1597489999999</v>
      </c>
      <c r="X214" s="3">
        <f>1502.2+(207.7-284.6)+(-4.596732+(-0.635562--0.870876))+0-317--0.970020000000037</f>
        <v>1104.908602</v>
      </c>
      <c r="Y214" s="3">
        <f>1504.7+(256.9-290.2)+(-2.302191+(-0.393057--0.444006))+0-317.7--0.486081000000018</f>
        <v>1151.934839</v>
      </c>
      <c r="Z214" s="3">
        <f>1508.4+(283.2-286)+(-0.769284+(-0.144432--0.14586))+0-320.7--0.163556999999967</f>
        <v>1184.295701</v>
      </c>
      <c r="AA214" s="3">
        <f>1512+(329.7-304)+(-1.54224+(-0.336294--0.31008))+0-319.8--0.326196000000051</f>
        <v>1216.6577420000001</v>
      </c>
      <c r="AB214" s="3">
        <f>1518.2+(366.6-307.7)+(-2.322846+(-0.560898--0.470781))+0-318.6--0.487458000000018</f>
        <v>1256.5744950000003</v>
      </c>
      <c r="AC214" s="3">
        <f>1520.5+(371.5-276.8)+(-3.877275+(-0.947325--0.70584))+0-315.5--0.804524999999954</f>
        <v>1296.385765</v>
      </c>
      <c r="AD214">
        <v>1099.5</v>
      </c>
      <c r="AE214" s="3">
        <f>1497+(208.1-289.1)+(0+(0-0))+0-316.5-0</f>
        <v>1099.5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1523.3+(343.8-257.4)+(-2.330649+(-0.526014--0.393822))+0-315.5--0.482715000000018</f>
        <v>1292.2198740000001</v>
      </c>
      <c r="G215" s="3">
        <f>1397.3+(420.2-228.8)+(-2.850492+(-0.857208--0.466752))+0-316.9--0.646475999999986</f>
        <v>1269.205528</v>
      </c>
      <c r="H215" s="3">
        <f>1334.5+(426.4-205.8)+(-3.402975+(-1.08732--0.52479))+0-317.7--0.810134999999954</f>
        <v>1234.2446299999999</v>
      </c>
      <c r="I215" s="3">
        <f>1333.8+(377.4-190)+(-2.720952+(-0.769896--0.3876))+0-317.2--0.647087999999986</f>
        <v>1201.5438399999998</v>
      </c>
      <c r="J215" s="3">
        <f>1335.5+(318.7-183.4)+(-0.681105+(-0.162537--0.093534))+0-316.5--0.161414999999968</f>
        <v>1153.711307</v>
      </c>
      <c r="K215" s="3">
        <f>1337+(219.5-181.6)+(-0.68187+(-0.111945--0.092616))+0-315.5--0.160904999999968</f>
        <v>1058.859706</v>
      </c>
      <c r="L215" s="3">
        <f>1333.4+(114.4-182.7)+(0+(0-0))+0-314.8-0</f>
        <v>950.30000000000018</v>
      </c>
      <c r="M215" s="3">
        <f>1334.5+(97.1-202.4)+(-0.680595+(-0.049521--0.103224))+0-314--0.160139999999968</f>
        <v>914.733248</v>
      </c>
      <c r="N215" s="3">
        <f>1415.5+(79.1-274.8)+(-1.44381+(-0.080682--0.280296))+0-315.6--0.32191200000005</f>
        <v>903.27771599999983</v>
      </c>
      <c r="O215" s="3">
        <f>1642.3+(37-434.1)+(-1.675146+(-0.03774--0.442782))+0-315.7--0.32201400000005</f>
        <v>928.55190999999991</v>
      </c>
      <c r="P215" s="3">
        <f>1736.5+(35.7-491.9)+(-2.656845+(-0.054621--0.752607))+0-315.8--0.483174000000018</f>
        <v>963.02431499999989</v>
      </c>
      <c r="Q215" s="3">
        <f>1739.1+(69.7-472.1)+(0+(0-0))+0-318.2-0</f>
        <v>1018.4999999999998</v>
      </c>
      <c r="R215" s="3">
        <f>1739.3+(85-433.5)+(-3.548172+(-0.1734--0.88434))+0-316.2--0.645047999999986</f>
        <v>1072.4078159999999</v>
      </c>
      <c r="S215" s="3">
        <f>1737.9+(113.4-456.5)+(-3.545316+(-0.231336--0.93126))+0-254.7--0.519587999999989</f>
        <v>1137.7741960000001</v>
      </c>
      <c r="T215" s="3">
        <f>1738.4+(129.1-411.1)+(-1.773168+(-0.131682--0.419322))+0-313.6--0.31987200000005</f>
        <v>1141.6343440000001</v>
      </c>
      <c r="U215" s="3">
        <f>1741.2+(93.3-436.1)+(-0.888012+(-0.047583--0.222411))+0-315.4--0.160853999999968</f>
        <v>1082.4476700000002</v>
      </c>
      <c r="V215" s="3">
        <f>1740.7+(31.7-500.4)+(0+(0-0))+0-316-0</f>
        <v>956</v>
      </c>
      <c r="W215" s="3">
        <f>1746+(40.1-520.6)+(-2.67138+(-0.061353--0.796518))+0-318--0.486540000000018</f>
        <v>946.05032500000004</v>
      </c>
      <c r="X215" s="3">
        <f>1752+(125.3-501.1)+(-3.57408+(-0.255612--1.022244))+0-318.2--0.649127999999986</f>
        <v>1055.84168</v>
      </c>
      <c r="Y215" s="3">
        <f>1762.6+(147.2-469)+(-2.696778+(-0.225216--0.71757))+0-317.4--0.485622000000018</f>
        <v>1121.681198</v>
      </c>
      <c r="Z215" s="3">
        <f>1771+(165.9-432.4)+(-4.51605+(-0.423045--1.10262))+0-317.2--0.808859999999954</f>
        <v>1184.2723849999998</v>
      </c>
      <c r="AA215" s="3">
        <f>1773.5+(171.4-400.5)+(-3.61794+(-0.349656--0.81702))+0-315.4--0.643415999999986</f>
        <v>1226.4928399999999</v>
      </c>
      <c r="AB215" s="3">
        <f>1712.4+(230.7-351.1)+(-4.36662+(-0.588285--0.895305))+0-314.8--0.802739999999954</f>
        <v>1273.9431399999999</v>
      </c>
      <c r="AC215" s="3">
        <f>1603.1+(310.6-307.6)+(-4.087905+(-0.79203--0.78438))+0-314.8--0.802739999999954</f>
        <v>1288.0071849999997</v>
      </c>
      <c r="AD215">
        <v>1097</v>
      </c>
      <c r="AE215" s="3">
        <f>1756+(142-483)+(0+(0-0))+0-318-0</f>
        <v>1097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1436.1+(402.6-259.5)+(-1.464822+(-0.410652--0.26469))+0-315.7--0.32201400000005</f>
        <v>1262.2112299999999</v>
      </c>
      <c r="G216" s="3">
        <f>1228.6+(521.7-205.6)+(-1.253172+(-0.532134--0.209712))+0-317.6--0.323952000000051</f>
        <v>1225.848358</v>
      </c>
      <c r="H216" s="3">
        <f>1214.5+(478.9-191)+(-2.47758+(-0.976956--0.38964))+0-317.4--0.647495999999986</f>
        <v>1182.5826000000002</v>
      </c>
      <c r="I216" s="3">
        <f>1215.4+(429.8-181.9)+(-1.239708+(-0.438396--0.185538))+0-316.6--0.322932000000051</f>
        <v>1145.5303660000004</v>
      </c>
      <c r="J216" s="3">
        <f>1216.6+(371.2-181.5)+(1.240932+(0.378624-0.18513))+0-315.2-0.32150400000005</f>
        <v>1092.2129219999999</v>
      </c>
      <c r="K216" s="3">
        <f>1214+(263.3-172.7)+(3.0957+(0.671415-0.440385))+0-314.8-0.802739999999954</f>
        <v>992.32398999999998</v>
      </c>
      <c r="L216" s="3">
        <f>1208.5+(155.5-175.9)+(-0.616335+(-0.079305--0.089709))+0-314.2--0.160241999999968</f>
        <v>873.45431099999973</v>
      </c>
      <c r="M216" s="3">
        <f>1226.3+(162.1-200.7)+(0+(0-0))+0-314.4-0</f>
        <v>873.30000000000007</v>
      </c>
      <c r="N216" s="3">
        <f>1388.1+(145.5-306.8)+(-0.707931+(-0.074205--0.156468))+0-315.3--0.160802999999968</f>
        <v>911.03513500000008</v>
      </c>
      <c r="O216" s="3">
        <f>1381.8+(176.5-363.7)+(-2.818872+(-0.36006--0.741948))+0-316.6--0.645863999999986</f>
        <v>876.20887999999991</v>
      </c>
      <c r="P216" s="3">
        <f>1372.5+(203.8-299.2)+(-0.699975+(-0.103938--0.152592))+0-317.2--0.161771999999968</f>
        <v>959.41045099999974</v>
      </c>
      <c r="Q216" s="3">
        <f>1367.3+(232.1-247.7)+(-2.091969+(-0.355113--0.378981))+0-316.7--0.484551000000018</f>
        <v>1033.4164499999999</v>
      </c>
      <c r="R216" s="3">
        <f>1363.9+(271.8-235.3)+(-3.477945+(-0.69309--0.600015))+0-317.7--0.810134999999954</f>
        <v>1079.9391149999999</v>
      </c>
      <c r="S216" s="3">
        <f>1366.8+(358.8-238.6)+(-0.697068+(-0.182988--0.121686))+0-316.1--0.161210999999968</f>
        <v>1170.3028409999999</v>
      </c>
      <c r="T216" s="3">
        <f>1367.8+(368.9-235)+(0+(0-0))+0-316.6-0</f>
        <v>1185.0999999999999</v>
      </c>
      <c r="U216" s="3">
        <f>1370.5+(250.9-218.1)+(-0.698955+(-0.127959--0.111231))+0-315.5--0.160904999999968</f>
        <v>1087.245222</v>
      </c>
      <c r="V216" s="3">
        <f>1374+(160.9-213.4)+(1.40148+(0.164118-0.217668))+0-315.5-0.32181000000005</f>
        <v>1007.0261199999999</v>
      </c>
      <c r="W216" s="3">
        <f>1378.4+(166.6-264.7)+(1.405968+(0.169932-0.269994))+0-318.1-0.324462000000051</f>
        <v>963.18144400000017</v>
      </c>
      <c r="X216" s="3">
        <f>1386.5+(238.4-241.5)+(-2.82846+(-0.486336--0.49266))+0-321.3--0.655451999999986</f>
        <v>1059.9333160000001</v>
      </c>
      <c r="Y216" s="3">
        <f>1390.6+(310-276.8)+(-2.836824+(-0.6324--0.564672))+0-319.1--0.650963999999986</f>
        <v>1102.4464119999998</v>
      </c>
      <c r="Z216" s="3">
        <f>1392.3+(378.2-260.1)+(-2.840292+(-0.771528--0.530604))+0-319.4--0.651575999999986</f>
        <v>1188.5703599999999</v>
      </c>
      <c r="AA216" s="3">
        <f>1401.4+(399.6-247)+(-1.429428+(-0.407592--0.25194))+0-318.7--0.325074000000051</f>
        <v>1234.039994</v>
      </c>
      <c r="AB216" s="3">
        <f>1389.1+(436.4-207.2)+(-3.542205+(-1.11282--0.52836))+0-319--0.813449999999954</f>
        <v>1295.9867849999998</v>
      </c>
      <c r="AC216" s="3">
        <f>1247.9+(535.7-189.4)+(-0.636429+(-0.273207--0.096594))+0-318.4--0.162383999999968</f>
        <v>1275.1493420000004</v>
      </c>
      <c r="AD216">
        <v>1054.9999999999998</v>
      </c>
      <c r="AE216" s="3">
        <f>1385+(225.6-231.9)+(0+(0-0))+0-323.7-0</f>
        <v>1055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1304.7+(458.2-185.8)+(-1.330794+(-0.467364--0.189516))+0-317.4--0.323748000000051</f>
        <v>1258.4151060000002</v>
      </c>
      <c r="G217" s="3">
        <f>1343.5+(363.2-179.3)+(-1.37037+(-0.370464--0.182886))+0-319--0.325380000000051</f>
        <v>1207.1674320000002</v>
      </c>
      <c r="H217" s="3">
        <f>1347.8+(312.4-167.9)+(0+(0-0))+0-317.3-0</f>
        <v>1175</v>
      </c>
      <c r="I217" s="3">
        <f>1349.9+(235.8-166.6)+(1.376898+(0.240516-0.169932))+0-316.9-0.32323800000005</f>
        <v>1103.3242440000004</v>
      </c>
      <c r="J217" s="3">
        <f>1355.5+(203.3-163.9)+(0.691305+(0.103683-0.083589))+0-316.8-0.161567999999968</f>
        <v>1078.6498310000002</v>
      </c>
      <c r="K217" s="3">
        <f>1355.2+(105.3-166.7)+(0+(0-0))+0-315.4-0</f>
        <v>978.4</v>
      </c>
      <c r="L217" s="3">
        <f>1353.2+(52.7-214.5)+(2.760528+(0.107508-0.43758))+0-314-0.640559999999986</f>
        <v>879.1898960000002</v>
      </c>
      <c r="M217" s="3">
        <f>1356.1+(93.9-271.9)+(1.383222+(0.095778-0.277338))+0-313.2-0.31946400000005</f>
        <v>865.78219799999977</v>
      </c>
      <c r="N217" s="3">
        <f>1490.3+(116.9-459.4)+(-0.760053+(-0.059619--0.234294))+0-314.4--0.160343999999968</f>
        <v>832.97496599999999</v>
      </c>
      <c r="O217" s="3">
        <f>1491.5+(122.7-473.2)+(0.760665+(0.062577-0.241332))+0-316.2-0.161261999999968</f>
        <v>825.2206480000001</v>
      </c>
      <c r="P217" s="3">
        <f>1487.9+(112.5-414.1)+(-2.276487+(-0.172125--0.633573))+0-315.9--0.483327000000018</f>
        <v>869.06828800000017</v>
      </c>
      <c r="Q217" s="3">
        <f>1483+(143.7-379.5)+(-0.75633+(-0.073287--0.193545))+0-315.5--0.160904999999968</f>
        <v>931.22483299999999</v>
      </c>
      <c r="R217" s="3">
        <f>1476.4+(130.6-357.5)+(-3.76482+(-0.33303--0.911625))+0-316--0.805799999999954</f>
        <v>931.11957500000005</v>
      </c>
      <c r="S217" s="3">
        <f>1475+(125.9-284.3)+(-0.75225+(-0.064209--0.144993))+0-316--0.161159999999968</f>
        <v>1000.0896939999999</v>
      </c>
      <c r="T217" s="3">
        <f>1476.3+(125.3-268.2)+(0+(0-0))+0-315.5-0</f>
        <v>1017.9000000000001</v>
      </c>
      <c r="U217" s="3">
        <f>1476.3+(91.5-282.2)+(-4.517478+(-0.27999--0.863532))+0-314.7--0.962982000000036</f>
        <v>967.92904599999997</v>
      </c>
      <c r="V217" s="3">
        <f>1472.5+(66.5-308.6)+(-0.750975+(-0.033915--0.157386))+0-315.2--0.160751999999968</f>
        <v>914.733248</v>
      </c>
      <c r="W217" s="3">
        <f>1469.7+(109.9-339)+(0+(0-0))+0-315.1-0</f>
        <v>925.50000000000011</v>
      </c>
      <c r="X217" s="3">
        <f>1474.1+(160.1-370.1)+(-4.510746+(-0.489906--1.132506))+0-316--0.966960000000037</f>
        <v>945.19881399999997</v>
      </c>
      <c r="Y217" s="3">
        <f>1480+(151.4-328.3)+(-1.5096+(-0.154428--0.334866))+0-316.4--0.32272800000005</f>
        <v>985.69356600000003</v>
      </c>
      <c r="Z217" s="3">
        <f>1485.3+(162.8-288.2)+(-3.030012+(-0.332112--0.587928))+0-316.1--0.644843999999986</f>
        <v>1041.6706479999998</v>
      </c>
      <c r="AA217" s="3">
        <f>1488.4+(185.5-257.2)+(-2.277252+(-0.283815--0.393516))+0-316.9--0.484857000000018</f>
        <v>1098.1173060000001</v>
      </c>
      <c r="AB217" s="3">
        <f>1495.6+(198.6-225)+(-3.051024+(-0.405144--0.459))+0-318.5--0.649739999999986</f>
        <v>1148.3525719999998</v>
      </c>
      <c r="AC217" s="3">
        <f>1500.2+(154.3-208.1)+(-3.060408+(-0.314772--0.424524))+0-316.9--0.646475999999986</f>
        <v>1127.1958199999999</v>
      </c>
      <c r="AD217">
        <v>934.20000000000016</v>
      </c>
      <c r="AE217" s="3">
        <f>1471+(151.9-372.8)+(0+(0-0))+0-315.9-0</f>
        <v>934.19999999999993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1504.4+(177.4-186.4)+(-1.534488+(-0.180948--0.190128))+0-316.6--0.322932000000051</f>
        <v>1177.597624</v>
      </c>
      <c r="G218" s="3">
        <f>1367.5+(218.2-154.5)+(0+(0-0))+0-319.3-0</f>
        <v>1111.9000000000001</v>
      </c>
      <c r="H218" s="3">
        <f>1353.8+(166.1-144.9)+(0+(0-0))+0-319.3-0</f>
        <v>1055.7</v>
      </c>
      <c r="I218" s="3">
        <f>1354.6+(153.6-140.8)+(0+(0-0))+0-318.2-0</f>
        <v>1049.1999999999998</v>
      </c>
      <c r="J218" s="3">
        <f>1354.8+(114.5-150.2)+(0.690948+(0.058395-0.076602))+0-318.8-0.162587999999968</f>
        <v>1000.8101530000001</v>
      </c>
      <c r="K218" s="3">
        <f>1355.6+(77-198.4)+(-2.074068+(-0.11781--0.303552))+0-318.1--0.486693000000018</f>
        <v>914.69836699999985</v>
      </c>
      <c r="L218" s="3">
        <f>1358.2+(71.5-298.7)+(0.692682+(0.036465-0.152337))+0-313.9-0.160088999999968</f>
        <v>817.51672100000008</v>
      </c>
      <c r="M218" s="3">
        <f>1442.9+(75.8-381.9)+(0.735879+(0.038658-0.194769))+0-315-0.160649999999968</f>
        <v>822.21911800000032</v>
      </c>
      <c r="N218" s="3">
        <f>1491+(98.7-406.6)+(-0.76041+(-0.050337--0.207366))+0-318--0.162179999999968</f>
        <v>864.65879899999993</v>
      </c>
      <c r="O218" s="3">
        <f>1481.6+(111.7-422.8)+(0.755616+(0.056967-0.215628))+0-317.7-0.162026999999968</f>
        <v>853.23492799999997</v>
      </c>
      <c r="P218" s="3">
        <f>1470+(137.8-408.9)+(0+(0-0))+0-318.5-0</f>
        <v>880.40000000000009</v>
      </c>
      <c r="Q218" s="3">
        <f>1464.1+(151.9-387.2)+(-0.746691+(-0.077469--0.197472))+0-316--0.161159999999968</f>
        <v>912.33447199999989</v>
      </c>
      <c r="R218" s="3">
        <f>1460.6+(188.4-356.9)+(-3.72453+(-0.48042--0.910095))+0-315.8--0.805289999999954</f>
        <v>973.81043499999976</v>
      </c>
      <c r="S218" s="3">
        <f>1446.3+(204.8-316.1)+(-4.425678+(-0.626688--0.967266))+0-314.7--0.962982000000036</f>
        <v>1017.177882</v>
      </c>
      <c r="T218" s="3">
        <f>1456.4+(191.1-328.4)+(0+(0-0))+0-314.5-0</f>
        <v>1004.6000000000001</v>
      </c>
      <c r="U218" s="3">
        <f>1460.5+(159.6-324.7)+(-2.234565+(-0.244188--0.496791))+0-318.2--0.486846000000018</f>
        <v>975.70488399999999</v>
      </c>
      <c r="V218" s="3">
        <f>1470.3+(121.6-376.8)+(-0.749853+(-0.062016--0.192168))+0-318.3--0.162332999999968</f>
        <v>896.34263199999987</v>
      </c>
      <c r="W218" s="3">
        <f>1477.8+(149.2-385.2)+(0+(0-0))+0-319.2-0</f>
        <v>922.59999999999991</v>
      </c>
      <c r="X218" s="3">
        <f>1484.2+(185.1-351.1)+(-2.270826+(-0.283203--0.537183))+0-318.7--0.487611000000018</f>
        <v>997.97076500000003</v>
      </c>
      <c r="Y218" s="3">
        <f>1487.5+(182.7-353.4)+(-2.275875+(-0.279531--0.540702))+0-318.1--0.486693000000018</f>
        <v>997.17198900000005</v>
      </c>
      <c r="Z218" s="3">
        <f>1504.2+(195.8-301.6)+(-2.301426+(-0.299574--0.461448))+0-318.8--0.487764000000018</f>
        <v>1077.948212</v>
      </c>
      <c r="AA218" s="3">
        <f>1505.3+(214.5-247.1)+(-1.535406+(-0.21879--0.252042))+0-318--0.324360000000051</f>
        <v>1153.5222060000001</v>
      </c>
      <c r="AB218" s="3">
        <f>1504.3+(220.1-223.9)+(-3.835965+(-0.561255--0.570945))+0-315.5--0.804524999999954</f>
        <v>1181.9782500000001</v>
      </c>
      <c r="AC218" s="3">
        <f>1501.1+(235.6-206.6)+(-1.531122+(-0.240312--0.210732))+0-314.6--0.32089200000005</f>
        <v>1214.2601899999997</v>
      </c>
      <c r="AD218">
        <v>977.59999999999991</v>
      </c>
      <c r="AE218" s="3">
        <f>1479+(169.1-351)+(0+(0-0))+0-319.5-0</f>
        <v>977.59999999999991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1497.6+(186.4-205.2)+(-0.763776+(-0.095064--0.104652))+0-315.3--0.160802999999968</f>
        <v>1162.9066149999999</v>
      </c>
      <c r="G219" s="3">
        <f>1500.2+(119.7-191.4)+(-3.060408+(-0.244188--0.390456))+0-316.7--0.646067999999986</f>
        <v>1109.5319279999999</v>
      </c>
      <c r="H219" s="3">
        <f>1501+(98.5-178.8)+(-3.82755+(-0.251175--0.45594))+0-320.5--0.817274999999953</f>
        <v>1097.3944899999999</v>
      </c>
      <c r="I219" s="3">
        <f>1430.6+(82.6-167.9)+(-1.459212+(-0.084252--0.171258))+0-319.8--0.326196000000051</f>
        <v>1024.45399</v>
      </c>
      <c r="J219" s="3">
        <f>1424.4+(65.2-165.9)+(0.726444+(0.033252-0.084609))+0-318.2-0.162281999999968</f>
        <v>1006.0128050000001</v>
      </c>
      <c r="K219" s="3">
        <f>1427.8+(21.6-227.5)+(0.728178+(0.011016-0.116025))+0-315.5-0.160904999999968</f>
        <v>906.86226399999987</v>
      </c>
      <c r="L219" s="3">
        <f>1427.4+(1.3-316.5)+(2.183922+(0.001989-0.484245))+0-313.4-0.479502000000018</f>
        <v>800.02216399999998</v>
      </c>
      <c r="M219" s="3">
        <f>1473.2+(21.5-381.5)+(-0.751332+(-0.010965--0.194565))+0-313.9--0.160088999999968</f>
        <v>798.89235700000006</v>
      </c>
      <c r="N219" s="3">
        <f>1491.7+(51-393.7)+(1.521534+(0.05202-0.401574))+0-314.3-0.32058600000005</f>
        <v>835.55139400000007</v>
      </c>
      <c r="O219" s="3">
        <f>1482.7+(93.5-384.7)+(-1.512354+(-0.09537--0.392394))+0-315.1--0.32140200000005</f>
        <v>875.50607200000002</v>
      </c>
      <c r="P219" s="3">
        <f>1474.6+(137.3-350.7)+(-3.008184+(-0.280092--0.715428))+0-315.8--0.644231999999986</f>
        <v>943.47138399999983</v>
      </c>
      <c r="Q219" s="3">
        <f>1466.9+(148.7-337)+(-1.496238+(-0.151674--0.34374))+0-317.4--0.323748000000051</f>
        <v>960.21957600000007</v>
      </c>
      <c r="R219" s="3">
        <f>1461.7+(171-300.7)+(-2.981868+(-0.34884--0.613428))+0-316.7--0.646067999999986</f>
        <v>1013.2287879999999</v>
      </c>
      <c r="S219" s="3">
        <f>1458.6+(218.9-279.4)+(-0.743886+(-0.111639--0.142494))+0-316.6--0.161465999999968</f>
        <v>1080.9484349999998</v>
      </c>
      <c r="T219" s="3">
        <f>1460.7+(172.1-240.1)+(2.234871+(0.263313-0.367353))+0-316.1-0.483633000000018</f>
        <v>1078.2471979999998</v>
      </c>
      <c r="U219" s="3">
        <f>1457.4+(137.9-276.8)+(-3.71637+(-0.351645--0.70584))+0-315.5--0.804524999999954</f>
        <v>1000.4423499999999</v>
      </c>
      <c r="V219" s="3">
        <f>1458.2+(112.3-349.1)+(-0.743682+(-0.057273--0.178041))+0-315--0.160649999999968</f>
        <v>905.93773599999997</v>
      </c>
      <c r="W219" s="3">
        <f>1468.3+(123.2-395.4)+(-0.748833+(-0.062832--0.201654))+0-318.4--0.162383999999968</f>
        <v>877.25237299999992</v>
      </c>
      <c r="X219" s="3">
        <f>1479.7+(146.2-337.5)+(-3.773235+(-0.37281--0.860625))+0-320.4--0.817019999999953</f>
        <v>965.53160000000014</v>
      </c>
      <c r="Y219" s="3">
        <f>1484.3+(171.9-278.6)+(-0.756993+(-0.087669--0.142086))+0-320.3--0.163352999999968</f>
        <v>1056.760777</v>
      </c>
      <c r="Z219" s="3">
        <f>1485.9+(180.3-254)+(-1.515618+(-0.183906--0.25908))+0-320.1--0.326502000000051</f>
        <v>1090.9860580000002</v>
      </c>
      <c r="AA219" s="3">
        <f>1496.2+(176.7-243)+(-3.052248+(-0.360468--0.49572))+0-317.6--0.647903999999986</f>
        <v>1110.0309080000002</v>
      </c>
      <c r="AB219" s="3">
        <f>1499.2+(185.2-221.4)+(-2.293776+(-0.283356--0.338742))+0-316.4--0.484092000000018</f>
        <v>1144.8457019999998</v>
      </c>
      <c r="AC219" s="3">
        <f>1500.9+(174.3-188.7)+(-3.061836+(-0.355572--0.384948))+0-317.9--0.648515999999986</f>
        <v>1166.216056</v>
      </c>
      <c r="AD219">
        <v>927.4</v>
      </c>
      <c r="AE219" s="3">
        <f>1483+(141.1-376.6)+(0+(0-0))+0-320.1-0</f>
        <v>927.4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1500.8+(178.9-191.2)+(-3.82704+(-0.456195--0.48756))+0-317.8--0.810389999999954</f>
        <v>1167.7147149999998</v>
      </c>
      <c r="G220" s="3">
        <f>1502.4+(148.5-211.1)+(-0.766224+(-0.075735--0.107661))+0-319--0.162689999999968</f>
        <v>1120.228392</v>
      </c>
      <c r="H220" s="3">
        <f>1502.5+(100.1-181.8)+(-0.766275+(-0.051051--0.092718))+0-317.7--0.162026999999968</f>
        <v>1102.537419</v>
      </c>
      <c r="I220" s="3">
        <f>1503.1+(49.5-184.8)+(-1.533162+(-0.05049--0.188496))+0-319.1--0.325482000000051</f>
        <v>1047.6303259999997</v>
      </c>
      <c r="J220" s="3">
        <f>1506.3+(40.9-220)+(-0.768213+(-0.020859--0.1122))+0-318--0.162179999999968</f>
        <v>1008.685308</v>
      </c>
      <c r="K220" s="3">
        <f>1506.5+(19-302.1)+(-0.768315+(-0.00969--0.154071))+0-316.6--0.161465999999968</f>
        <v>906.33753200000012</v>
      </c>
      <c r="L220" s="3">
        <f>1509.8+(3.3-354.4)+(-1.539996+(-0.003366--0.361488))+0-313--0.31926000000005</f>
        <v>844.83738600000004</v>
      </c>
      <c r="M220" s="3">
        <f>1504.3+(18.7-365.6)+(0+(0-0))+0-312.8-0</f>
        <v>844.59999999999991</v>
      </c>
      <c r="N220" s="3">
        <f>1494.8+(62.9-380.1)+(-1.524696+(-0.064158--0.387702))+0-313.3--0.31956600000005</f>
        <v>863.41841399999987</v>
      </c>
      <c r="O220" s="3">
        <f>1486.8+(77.8-328.9)+(1.516536+(0.079356-0.335478))+0-314.6-0.32089200000005</f>
        <v>922.03952200000003</v>
      </c>
      <c r="P220" s="3">
        <f>1478.8+(110.8-334.3)+(-3.016752+(-0.226032--0.681972))+0-314.2--0.640967999999986</f>
        <v>939.1801559999999</v>
      </c>
      <c r="Q220" s="3">
        <f>1468.4+(187.3-334.6)+(-0.748884+(-0.095523--0.170646))+0-316--0.161159999999968</f>
        <v>1004.5873990000001</v>
      </c>
      <c r="R220" s="3">
        <f>1461.6+(208.8-296.9)+(-1.490832+(-0.212976--0.302838))+0-318.3--0.324666000000051</f>
        <v>1054.1236960000001</v>
      </c>
      <c r="S220" s="3">
        <f>1456.3+(265.8-277.2)+(-2.228139+(-0.406674--0.424116))+0-318.5--0.487305000000018</f>
        <v>1124.6766080000002</v>
      </c>
      <c r="T220" s="3">
        <f>1456.4+(235.5-253.6)+(0+(0-0))+0-318.7-0</f>
        <v>1119.6000000000001</v>
      </c>
      <c r="U220" s="3">
        <f>1458.1+(180.4-291.8)+(0.743631+(0.092004-0.148818))+0-316-0.161159999999968</f>
        <v>1031.225657</v>
      </c>
      <c r="V220" s="3">
        <f>1460.5+(144.5-353.6)+(-1.48971+(-0.14739--0.360672))+0-315.6--0.32191200000005</f>
        <v>934.84548400000017</v>
      </c>
      <c r="W220" s="3">
        <f>1469.7+(164.6-342.5)+(0+(0-0))+0-317.1-0</f>
        <v>974.69999999999993</v>
      </c>
      <c r="X220" s="3">
        <f>1484.4+(174.4-313.2)+(-2.271132+(-0.266832--0.479196))+0-316.8--0.484704000000018</f>
        <v>1027.225936</v>
      </c>
      <c r="Y220" s="3">
        <f>1490.9+(196.3-282.4)+(-1.520718+(-0.200226--0.288048))+0-316.7--0.323034000000051</f>
        <v>1086.9901380000001</v>
      </c>
      <c r="Z220" s="3">
        <f>1496.6+(202.3-270)+(-1.526532+(-0.206346--0.2754))+0-317--0.323340000000051</f>
        <v>1110.765862</v>
      </c>
      <c r="AA220" s="3">
        <f>1501.1+(210.6-252.7)+(-1.531122+(-0.214812--0.257754))+0-316.8--0.323136000000051</f>
        <v>1141.034956</v>
      </c>
      <c r="AB220" s="3">
        <f>1500.4+(199.2-231.5)+(0+(0-0))+0-316.1-0</f>
        <v>1152</v>
      </c>
      <c r="AC220" s="3">
        <f>1505.9+(229.5-198.5)+(-2.304027+(-0.351135--0.303705))+0-315.6--0.482868000000018</f>
        <v>1219.431411</v>
      </c>
      <c r="AD220">
        <v>1018.6999999999999</v>
      </c>
      <c r="AE220" s="3">
        <f>1465+(183-312.2)+(0+(0-0))+0-317.1-0</f>
        <v>1018.6999999999999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1506.6+(147.9-190.4)+(-1.536732+(-0.150858--0.194208))+0-316.4--0.32272800000005</f>
        <v>1146.5293459999998</v>
      </c>
      <c r="G221" s="3">
        <f>1504.6+(128.1-190.5)+(-0.767346+(-0.065331--0.097155))+0-318.6--0.162485999999968</f>
        <v>1123.0269639999999</v>
      </c>
      <c r="H221" s="3">
        <f>1509.1+(89.2-214.7)+(2.308923+(0.136476-0.328491))+0-319.7-0.489141000000018</f>
        <v>1065.5277669999998</v>
      </c>
      <c r="I221" s="3">
        <f>1510.2+(61.7-209.6)+(-3.080808+(-0.125868--0.427584))+0-317.8--0.648311999999986</f>
        <v>1042.3692200000003</v>
      </c>
      <c r="J221" s="3">
        <f>1510.7+(47.6-239.1)+(1.540914+(0.048552-0.243882))+0-318.9-0.325278000000051</f>
        <v>1001.320306</v>
      </c>
      <c r="K221" s="3">
        <f>1514.1+(17.2-307.2)+(-2.316573+(-0.026316--0.470016))+0-316.7--0.484551000000018</f>
        <v>906.01167799999985</v>
      </c>
      <c r="L221" s="3">
        <f>1511.7+(23.6-386.3)+(-1.541934+(-0.024072--0.394026))+0-316.3--0.32262600000005</f>
        <v>831.85064599999998</v>
      </c>
      <c r="M221" s="3">
        <f>1507.2+(40.6-398.2)+(0.768672+(0.020706-0.203082))+0-316.1-0.161210999999968</f>
        <v>833.92508500000008</v>
      </c>
      <c r="N221" s="3">
        <f>1501.1+(108.9-435.5)+(2.296683+(0.166617-0.666315))+0-317.8-0.486234000000018</f>
        <v>858.01075100000003</v>
      </c>
      <c r="O221" s="3">
        <f>1490.6+(147.2-438.7)+(0.760206+(0.075072-0.223737))+0-318.8-0.162587999999968</f>
        <v>880.74895300000003</v>
      </c>
      <c r="P221" s="3">
        <f>1479.5+(167.9-428.5)+(0.754545+(0.085629-0.218535))+0-317-0.161669999999968</f>
        <v>902.35996900000009</v>
      </c>
      <c r="Q221" s="3">
        <f>1471.7+(199.5-413.9)+(-3.752835+(-0.508725--1.055445))+0-316.6--0.807329999999954</f>
        <v>938.30121500000018</v>
      </c>
      <c r="R221" s="3">
        <f>1466.6+(184.6-339.4)+(-2.991864+(-0.376584--0.692376))+0-315.5--0.643619999999986</f>
        <v>994.26754799999992</v>
      </c>
      <c r="S221" s="3">
        <f>1466.6+(197.5-302.3)+(-3.73983+(-0.503625--0.770865))+0-315.7--0.805034999999954</f>
        <v>1043.4324449999997</v>
      </c>
      <c r="T221" s="3">
        <f>1464.7+(192.7-304.2)+(-0.746997+(-0.098277--0.155142))+0-315.9--0.161108999999968</f>
        <v>1036.7709769999999</v>
      </c>
      <c r="U221" s="3">
        <f>1464.8+(166.4-324.2)+(-2.241144+(-0.254592--0.496026))+0-315.5--0.482715000000018</f>
        <v>989.98300499999993</v>
      </c>
      <c r="V221" s="3">
        <f>1470.3+(133.6-384.4)+(-0.749853+(-0.068136--0.196044))+0-314.7--0.160496999999968</f>
        <v>904.33855199999982</v>
      </c>
      <c r="W221" s="3">
        <f>1480+(144.7-398.3)+(0+(0-0))+0-315.9-0</f>
        <v>910.50000000000011</v>
      </c>
      <c r="X221" s="3">
        <f>1487.7+(145.2-343.2)+(-0.758727+(-0.074052--0.175032))+0-318.7--0.162536999999968</f>
        <v>970.50478999999996</v>
      </c>
      <c r="Y221" s="3">
        <f>1493.2+(159.4-322.2)+(0.761532+(0.081294-0.164322))+0-317.5-0.161924999999968</f>
        <v>1013.4165790000001</v>
      </c>
      <c r="Z221" s="3">
        <f>1496.9+(157.6-301.3)+(-2.290257+(-0.241128--0.460989))+0-316.6--0.484398000000018</f>
        <v>1035.0140019999999</v>
      </c>
      <c r="AA221" s="3">
        <f>1503.9+(166.9-293.7)+(-0.766989+(-0.085119--0.149787))+0-317.4--0.161873999999968</f>
        <v>1059.159553</v>
      </c>
      <c r="AB221" s="3">
        <f>1506.1+(178.1-247.9)+(-1.536222+(-0.181662--0.252858))+0-316.5--0.32283000000005</f>
        <v>1118.6578039999999</v>
      </c>
      <c r="AC221" s="3">
        <f>1508.3+(165.1-232.6)+(-1.538466+(-0.168402--0.237252))+0-316.5--0.32283000000005</f>
        <v>1123.1532139999999</v>
      </c>
      <c r="AD221">
        <v>973.4</v>
      </c>
      <c r="AE221" s="3">
        <f>1479+(159.4-344.9)+(0+(0-0))+0-320.1-0</f>
        <v>973.4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1509.8+(157.8-217.1)+(-1.539996+(-0.160956--0.221442))+0-318.2--0.324564000000051</f>
        <v>1131.1450540000001</v>
      </c>
      <c r="G222" s="3">
        <f>1513.6+(139.8-236.6)+(1.543872+(0.142596-0.241332))+0-318.3-0.324666000000051</f>
        <v>1099.6204700000001</v>
      </c>
      <c r="H222" s="3">
        <f>1514.5+(104.4-243.7)+(0+(0-0))+0-318.9-0</f>
        <v>1056.3000000000002</v>
      </c>
      <c r="I222" s="3">
        <f>1513.6+(64.7-264.3)+(-1.543872+(-0.065994--0.269586))+0-319.1--0.325482000000051</f>
        <v>993.88520200000016</v>
      </c>
      <c r="J222" s="3">
        <f>1513.7+(52.1-296.7)+(4.631922+(0.159426-0.907902))+0-317.3-0.970938000000037</f>
        <v>954.71250800000018</v>
      </c>
      <c r="K222" s="3">
        <f>1520.2+(19.3-344.5)+(0+(0-0))+0-316-0</f>
        <v>879</v>
      </c>
      <c r="L222" s="3">
        <f>1520.7+(1.4-401.2)+(-0.775557+(-0.000714--0.204612))+0-314--0.160139999999968</f>
        <v>806.48848100000009</v>
      </c>
      <c r="M222" s="3">
        <f>1514+(0-401.9)+(-0.77214+(0--0.204969))+0-313.3--0.159782999999968</f>
        <v>798.39261199999999</v>
      </c>
      <c r="N222" s="3">
        <f>1503.4+(0-381.6)+(2.300202+(0-0.583848))+0-314-0.480420000000018</f>
        <v>809.03593400000011</v>
      </c>
      <c r="O222" s="3">
        <f>1500.6+(54.8-420)+(0.765306+(0.027948-0.2142))+0-314.6-0.160445999999968</f>
        <v>821.2186079999999</v>
      </c>
      <c r="P222" s="3">
        <f>1490.7+(75-403.2)+(0+(0-0))+0-315-0</f>
        <v>847.5</v>
      </c>
      <c r="Q222" s="3">
        <f>1473.1+(105-365.5)+(-2.253843+(-0.16065--0.559215))+0-315--0.481950000000018</f>
        <v>896.22667199999989</v>
      </c>
      <c r="R222" s="3">
        <f>1464.7+(129-332.3)+(-1.493994+(-0.13158--0.338946))+0-315--0.32130000000005</f>
        <v>945.43467200000009</v>
      </c>
      <c r="S222" s="3">
        <f>1461.4+(135.4-306.7)+(-2.981256+(-0.276216--0.625668))+0-314--0.640559999999986</f>
        <v>974.10875599999997</v>
      </c>
      <c r="T222" s="3">
        <f>1459.4+(119.5-303.7)+(-2.232882+(-0.182835--0.464661))+0-316--0.483480000000018</f>
        <v>957.73242399999992</v>
      </c>
      <c r="U222" s="3">
        <f>1459.9+(84-322.1)+(0+(0-0))+0-314.2-0</f>
        <v>907.60000000000014</v>
      </c>
      <c r="V222" s="3">
        <f>1464.9+(81.1-394.1)+(0.747099+(0.041361-0.200991))+0-313.7-0.159986999999968</f>
        <v>838.6274820000001</v>
      </c>
      <c r="W222" s="3">
        <f>1472.1+(111-420)+(0+(0-0))+0-316.3-0</f>
        <v>846.8</v>
      </c>
      <c r="X222" s="3">
        <f>1481+(125.5-376.5)+(-3.77655+(-0.320025--0.960075))+0-316.9--0.808094999999954</f>
        <v>910.77159499999993</v>
      </c>
      <c r="Y222" s="3">
        <f>1488.2+(134.7-350.4)+(-3.79491+(-0.343485--0.89352))+0-315.4--0.804269999999954</f>
        <v>954.6593949999999</v>
      </c>
      <c r="Z222" s="3">
        <f>1490+(133.5-308.4)+(-3.0396+(-0.27234--0.629136))+0-315.8--0.644231999999986</f>
        <v>997.26142799999991</v>
      </c>
      <c r="AA222" s="3">
        <f>1497.8+(113.3-269.8)+(0+(0-0))+0-314.8-0</f>
        <v>1026.5</v>
      </c>
      <c r="AB222" s="3">
        <f>1499.7+(135.8-241.4)+(-3.059388+(-0.277032--0.492456))+0-314.8--0.642191999999986</f>
        <v>1077.0982280000003</v>
      </c>
      <c r="AC222" s="3">
        <f>1465.8+(151.9-204.4)+(-3.73779+(-0.387345--0.52122))+0-314.3--0.801464999999954</f>
        <v>1096.1975500000001</v>
      </c>
      <c r="AD222">
        <v>905.8</v>
      </c>
      <c r="AE222" s="3">
        <f>1481+(120.1-380.6)+(0+(0-0))+0-314.7-0</f>
        <v>905.8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1286+(250.9-182.2)+(-2.62344+(-0.511836--0.371688))+0-314.2--0.640967999999986</f>
        <v>1038.3773799999999</v>
      </c>
      <c r="G223" s="3">
        <f>1261+(242.9-182.2)+(-0.64311+(-0.123879--0.092922))+0-315--0.160649999999968</f>
        <v>1006.186583</v>
      </c>
      <c r="H223" s="3">
        <f>1261+(208.8-181.5)+(0.64311+(0.106488-0.092565))+0-314.5-0.160394999999968</f>
        <v>974.29663799999992</v>
      </c>
      <c r="I223" s="3">
        <f>1268.7+(168.6-180)+(-1.941111+(-0.257958--0.2754))+0-315.3--0.482409000000018</f>
        <v>940.55873999999994</v>
      </c>
      <c r="J223" s="3">
        <f>1267.3+(124.3-178.8)+(-0.646323+(-0.063393--0.091188))+0-314.8--0.160547999999968</f>
        <v>897.54201999999998</v>
      </c>
      <c r="K223" s="3">
        <f>1270.3+(63.2-191.1)+(0+(0-0))+0-314.2-0</f>
        <v>828.19999999999982</v>
      </c>
      <c r="L223" s="3">
        <f>1272+(27.8-224.3)+(0+(0-0))+0-314.1-0</f>
        <v>761.4</v>
      </c>
      <c r="M223" s="3">
        <f>1263.5+(77.4-255.5)+(1.933155+(0.118422-0.390915))+0-315.9-0.483327000000018</f>
        <v>770.67733500000008</v>
      </c>
      <c r="N223" s="3">
        <f>1253.9+(151.9-258.7)+(1.278978+(0.154938-0.263874))+0-317.5-0.323850000000051</f>
        <v>830.446192</v>
      </c>
      <c r="O223" s="3">
        <f>1244.6+(211.9-283.2)+(0.634746+(0.108069-0.144432))+0-318.8-0.162587999999968</f>
        <v>854.9357950000001</v>
      </c>
      <c r="P223" s="3">
        <f>1235.2+(237.1-250.9)+(1.259904+(0.241842-0.255918))+0-317.3-0.323646000000051</f>
        <v>905.02218200000016</v>
      </c>
      <c r="Q223" s="3">
        <f>1226.4+(266.5-242)+(0.625464+(0.135915-0.12342))+0-318.1-0.162230999999968</f>
        <v>933.27572799999996</v>
      </c>
      <c r="R223" s="3">
        <f>1219.9+(334.1-245.2)+(-1.866447+(-0.511173--0.375156))+0-318.8--0.487764000000018</f>
        <v>988.48530000000028</v>
      </c>
      <c r="S223" s="3">
        <f>1214.7+(314.6-235.5)+(-0.619497+(-0.160446--0.120105))+0-319.2--0.162791999999968</f>
        <v>974.10295400000007</v>
      </c>
      <c r="T223" s="3">
        <f>1212.1+(298.1-220.7)+(0+(0-0))+0-318.5-0</f>
        <v>971</v>
      </c>
      <c r="U223" s="3">
        <f>1214.2+(232-202.4)+(-1.857726+(-0.35496--0.309672))+0-318.8--0.487764000000018</f>
        <v>923.58474999999999</v>
      </c>
      <c r="V223" s="3">
        <f>1215.3+(145.9-199)+(1.859409+(0.223227-0.30447))+0-318-0.486540000000018</f>
        <v>845.49162600000011</v>
      </c>
      <c r="W223" s="3">
        <f>1227.4+(155.8-225.3)+(1.251948+(0.158916-0.229806))+0-319.8-0.326196000000051</f>
        <v>838.95486199999993</v>
      </c>
      <c r="X223" s="3">
        <f>1233.8+(186.7-217.4)+(-1.887714+(-0.285651--0.332622))+0-320.8--0.490824000000019</f>
        <v>880.95008099999995</v>
      </c>
      <c r="Y223" s="3">
        <f>1237.1+(194.1-205.1)+(-0.630921+(-0.098991--0.104601))+0-319.2--0.162791999999968</f>
        <v>906.43748099999982</v>
      </c>
      <c r="Z223" s="3">
        <f>1251.3+(213.5-191.4)+(-1.276326+(-0.21777--0.195228))+0-319.2--0.325584000000051</f>
        <v>953.22671599999978</v>
      </c>
      <c r="AA223" s="3">
        <f>1256.3+(224.3-180.7)+(-1.922139+(-0.343179--0.276471))+0-319.4--0.488682000000018</f>
        <v>978.99983500000008</v>
      </c>
      <c r="AB223" s="3">
        <f>1258.9+(241.1-165.6)+(-2.568156+(-0.491844--0.337824))+0-315.7--0.644027999999986</f>
        <v>1016.621852</v>
      </c>
      <c r="AC223" s="3">
        <f>1263.6+(232.7-147.8)+(-1.933308+(-0.356031--0.226134))+0-316.2--0.483786000000018</f>
        <v>1030.720581</v>
      </c>
      <c r="AD223">
        <v>870.2</v>
      </c>
      <c r="AE223" s="3">
        <f>1230+(186.2-223.5)+(0+(0-0))+0-322.5-0</f>
        <v>870.2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1268.2+(224-137.6)+(-0.646782+(-0.11424--0.070176))+0-316.9--0.161618999999968</f>
        <v>1037.1707730000003</v>
      </c>
      <c r="G224" s="3">
        <f>1266.1+(184.5-138)+(-1.937133+(-0.282285--0.21114))+0-317.4--0.485622000000018</f>
        <v>993.67734399999995</v>
      </c>
      <c r="H224" s="3">
        <f>1265.7+(175-147.6)+(1.291014+(0.1785-0.150552))+0-321.1-0.327522000000051</f>
        <v>972.99144000000013</v>
      </c>
      <c r="I224" s="3">
        <f>1265.5+(135.4-144)+(1.29081+(0.138108-0.14688))+0-321.5-0.327930000000051</f>
        <v>936.35410800000011</v>
      </c>
      <c r="J224" s="3">
        <f>1265.7+(100.9-147.6)+(0.645507+(0.051459-0.075276))+0-320-0.163199999999968</f>
        <v>899.45848999999998</v>
      </c>
      <c r="K224" s="3">
        <f>1268.2+(73.7-176.4)+(0+(0-0))+0-320.1-0</f>
        <v>845.4</v>
      </c>
      <c r="L224" s="3">
        <f>1272.3+(56.2-234.2)+(0+(0-0))+0-317.8-0</f>
        <v>776.5</v>
      </c>
      <c r="M224" s="3">
        <f>1264.9+(75.5-233.1)+(2.580396+(0.15402-0.475524))+0-316.5-0.645659999999986</f>
        <v>792.41323200000022</v>
      </c>
      <c r="N224" s="3">
        <f>1245.4+(116.7-220.5)+(0.635154+(0.059517-0.112455))+0-317.2-0.161771999999968</f>
        <v>824.82044400000018</v>
      </c>
      <c r="O224" s="3">
        <f>1234.5+(126.7-202.2)+(-0.629595+(-0.064617--0.103122))+0-317.2--0.161771999999968</f>
        <v>841.37068199999999</v>
      </c>
      <c r="P224" s="3">
        <f>1187.3+(182.3-184.1)+(1.211046+(0.185946-0.187782))+0-320.6-0.327012000000051</f>
        <v>865.78219799999988</v>
      </c>
      <c r="Q224" s="3">
        <f>1067.1+(312.8-172.4)+(0+(0-0))+0-319.8-0</f>
        <v>887.7</v>
      </c>
      <c r="R224" s="3">
        <f>1060.4+(382.9-176.8)+(-2.70402+(-0.976395--0.45084))+0-319.8--0.815489999999954</f>
        <v>944.28591499999993</v>
      </c>
      <c r="S224" s="3">
        <f>1068+(435.8-171.7)+(0+(0-0))+0-319.8-0</f>
        <v>1012.3</v>
      </c>
      <c r="T224" s="3">
        <f>1069.6+(451.4-164.9)+(0.545496+(0.230214-0.084099))+0-318.8-0.162587999999968</f>
        <v>1037.829023</v>
      </c>
      <c r="U224" s="3">
        <f>1061.8+(362.7-162.4)+(-1.083036+(-0.369954--0.165648))+0-318.9--0.325278000000051</f>
        <v>942.23793599999988</v>
      </c>
      <c r="V224" s="3">
        <f>986.1+(340-158.3)+(1.508733+(0.5202-0.242199))+0-319.6-0.488988000000019</f>
        <v>849.49774599999989</v>
      </c>
      <c r="W224" s="3">
        <f>935.5+(418.2-185.6)+(0.95421+(0.426564-0.189312))+0-319.1-0.325482000000051</f>
        <v>849.86597999999981</v>
      </c>
      <c r="X224" s="3">
        <f>1073.1+(368.6-208.5)+(-1.641843+(-0.563958--0.319005))+0-319.8--0.489294000000018</f>
        <v>912.00249799999983</v>
      </c>
      <c r="Y224" s="3">
        <f>1103.2+(366.8-194.9)+(-2.250528+(-0.748272--0.397596))+0-320--0.652799999999986</f>
        <v>953.15159600000004</v>
      </c>
      <c r="Z224" s="3">
        <f>1204.7+(302.7-184.6)+(-1.843191+(-0.463131--0.282438))+0-318.7--0.487611000000018</f>
        <v>1002.563727</v>
      </c>
      <c r="AA224" s="3">
        <f>1219.6+(269.4-171.9)+(-2.487984+(-0.549576--0.350676))+0-318.6--0.649943999999986</f>
        <v>996.46305999999993</v>
      </c>
      <c r="AB224" s="3">
        <f>1220.1+(293.2-147.3)+(-3.111255+(-0.74766--0.375615))+0-318.4--0.811919999999954</f>
        <v>1044.9286199999999</v>
      </c>
      <c r="AC224" s="3">
        <f>1219.6+(293.1-118.6)+(-1.865988+(-0.448443--0.181458))+0-316.9--0.484857000000018</f>
        <v>1075.551884</v>
      </c>
      <c r="AD224">
        <v>875.2</v>
      </c>
      <c r="AE224" s="3">
        <f>1075+(330.4-210.7)+(0+(0-0))+0-319.5-0</f>
        <v>875.2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1187.3+(288.2-115.6)+(-3.633138+(-0.881892--0.353736))+0-318.4--0.974304000000037</f>
        <v>1038.3130100000001</v>
      </c>
      <c r="G225" s="3">
        <f>1104.2+(332.9-112)+(-1.689426+(-0.509337--0.17136))+0-320.8--0.490824000000019</f>
        <v>1002.7634209999999</v>
      </c>
      <c r="H225" s="3">
        <f>1104.7+(265.6-109.7)+(-1.690191+(-0.406368--0.167841))+0-322.2--0.492966000000019</f>
        <v>936.96424800000023</v>
      </c>
      <c r="I225" s="3">
        <f>1105+(228.6-112.2)+(-1.1271+(-0.233172--0.114444))+0-319.9--0.326298000000051</f>
        <v>900.5804700000001</v>
      </c>
      <c r="J225" s="3">
        <f>1104.1+(194.5-120.9)+(2.815455+(0.495975-0.308295))+0-319.6-0.814979999999954</f>
        <v>860.28815499999973</v>
      </c>
      <c r="K225" s="3">
        <f>1105.3+(148.8-137.9)+(0.563703+(0.075888-0.070329))+0-319.1-0.162740999999968</f>
        <v>797.50652100000002</v>
      </c>
      <c r="L225" s="3">
        <f>1123.1+(91.2-159.1)+(-0.572781+(-0.046512--0.081141))+0-317.7--0.162026999999968</f>
        <v>737.12387499999966</v>
      </c>
      <c r="M225" s="3">
        <f>1126.2+(112.9-177.4)+(1.148724+(0.115158-0.180948))+0-317.3-0.323646000000051</f>
        <v>745.15928800000006</v>
      </c>
      <c r="N225" s="3">
        <f>1122.9+(156.5-190.4)+(0.572679+(0.079815-0.097104))+0-318-0.162179999999968</f>
        <v>771.39321000000007</v>
      </c>
      <c r="O225" s="3">
        <f>1127.9+(183.8-192.8)+(1.725687+(0.281214-0.294984))+0-318.7-0.487611000000018</f>
        <v>801.42430600000012</v>
      </c>
      <c r="P225" s="3">
        <f>1120+(216.6-195.6)+(1.7136+(0.331398-0.299268))+0-318.3-0.486999000000018</f>
        <v>823.95873100000017</v>
      </c>
      <c r="Q225" s="3">
        <f>1118+(280.6-192.5)+(-2.8509+(-0.71553--0.490875))+0-316--0.805799999999954</f>
        <v>887.83024499999999</v>
      </c>
      <c r="R225" s="3">
        <f>1116+(308.6-188.8)+(-2.27664+(-0.629544--0.385152))+0-315.6--0.643823999999986</f>
        <v>918.32279199999982</v>
      </c>
      <c r="S225" s="3">
        <f>1114+(326.9-188.3)+(-2.27256+(-0.666876--0.384132))+0-315.5--0.643619999999986</f>
        <v>935.18831599999987</v>
      </c>
      <c r="T225" s="3">
        <f>1099+(323.9-178.1)+(0.56049+(0.165189-0.090831))+0-318.9-0.162638999999968</f>
        <v>926.37220899999988</v>
      </c>
      <c r="U225" s="3">
        <f>996+(347.3-158.3)+(-3.04776+(-1.062738--0.484398))+0-317.6--0.971856000000037</f>
        <v>864.74575600000003</v>
      </c>
      <c r="V225" s="3">
        <f>998+(309-160.2)+(1.52694+(0.47277-0.245106))+0-317.2-0.485316000000018</f>
        <v>830.86928799999987</v>
      </c>
      <c r="W225" s="3">
        <f>1076+(292.9-190.9)+(2.19504+(0.597516-0.389436))+0-319.4-0.651575999999986</f>
        <v>860.35154399999999</v>
      </c>
      <c r="X225" s="3">
        <f>1204+(207.1-230.9)+(-3.0702+(-0.528105--0.588795))+0-320--0.815999999999954</f>
        <v>858.00648999999987</v>
      </c>
      <c r="Y225" s="3">
        <f>1209+(216.7-225.9)+(-3.08295+(-0.552585--0.576045))+0-317.5--0.809624999999954</f>
        <v>880.05013499999984</v>
      </c>
      <c r="Z225" s="3">
        <f>1214+(227.9-215.8)+(-2.47656+(-0.464916--0.440232))+0-317.3--0.647291999999986</f>
        <v>906.94604799999991</v>
      </c>
      <c r="AA225" s="3">
        <f>1216+(237.9-205.6)+(-3.1008+(-0.606645--0.52428))+0-318.4--0.811919999999954</f>
        <v>927.52875500000005</v>
      </c>
      <c r="AB225" s="3">
        <f>1228+(261.5-203.6)+(1.25256+(0.26673-0.207672))+0-316.4-0.32272800000005</f>
        <v>970.48888999999997</v>
      </c>
      <c r="AC225" s="3">
        <f>1229+(262-198.7)+(-2.50716+(-0.53448--0.405348))+0-316.7--0.646067999999986</f>
        <v>973.60977600000001</v>
      </c>
      <c r="AD225">
        <v>802.4</v>
      </c>
      <c r="AE225" s="3">
        <f>1148+(204.7-233.2)+(0+(0-0))+0-317.1-0</f>
        <v>802.4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1228+(234.8-184.9)+(-2.50512+(-0.478992--0.377196))+0-314.7--0.641987999999986</f>
        <v>961.23507200000006</v>
      </c>
      <c r="G226" s="3">
        <f>1227+(196.5-163)+(-2.50308+(-0.40086--0.33252))+0-317.4--0.647495999999986</f>
        <v>941.17607599999997</v>
      </c>
      <c r="H226" s="3">
        <f>1227+(162.3-158.2)+(0+(0-0))+0-318-0</f>
        <v>913.09999999999991</v>
      </c>
      <c r="I226" s="3">
        <f>1226+(134.4-159.2)+(-2.50104+(-0.274176--0.324768))+0-317.3--0.647291999999986</f>
        <v>882.09684400000003</v>
      </c>
      <c r="J226" s="3">
        <f>1225+(106-163.3)+(1.87425+(0.16218-0.249849))+0-316.9-0.484857000000018</f>
        <v>852.1017240000001</v>
      </c>
      <c r="K226" s="3">
        <f>1224+(87-191.7)+(0.62424+(0.04437-0.097767))+0-317.4-0.161873999999968</f>
        <v>802.30896899999993</v>
      </c>
      <c r="L226" s="3">
        <f>1225+(74.2-229.2)+(-1.2495+(-0.075684--0.233784))+0-315.4--0.32170800000005</f>
        <v>753.83030800000006</v>
      </c>
      <c r="M226" s="3">
        <f>1227+(100-243.6)+(1.25154+(0.102-0.248472))+0-316-0.32232000000005</f>
        <v>768.18274800000006</v>
      </c>
      <c r="N226" s="3">
        <f>1218+(167.1-284.7)+(1.24236+(0.170442-0.290394))+0-318.7-0.325074000000051</f>
        <v>782.49733399999991</v>
      </c>
      <c r="O226" s="3">
        <f>1195.2+(191.5-247.6)+(1.828656+(0.292995-0.378828))+0-320-0.489600000000018</f>
        <v>820.35322300000018</v>
      </c>
      <c r="P226" s="3">
        <f>1192.2+(213.5-242.7)+(-3.04011+(-0.544425--0.618885))+0-320.4--0.817019999999953</f>
        <v>840.45136999999988</v>
      </c>
      <c r="Q226" s="3">
        <f>1182.8+(255.7-239.7)+(-1.809684+(-0.391221--0.366741))+0-319.8--0.489294000000018</f>
        <v>877.65512999999987</v>
      </c>
      <c r="R226" s="3">
        <f>1159.3+(288.5-201.2)+(-2.364972+(-0.58854--0.410448))+0-320.5--0.653819999999986</f>
        <v>924.21075599999995</v>
      </c>
      <c r="S226" s="3">
        <f>1172.8+(376.4-230.6)+(1.196256+(0.383928-0.235212))+0-329.6-0.336192000000053</f>
        <v>990.00877999999989</v>
      </c>
      <c r="T226" s="3">
        <f>1180.9+(317.1-191.9)+(-1.806777+(-0.485163--0.293607))+0-319.2--0.488376000000018</f>
        <v>985.39004300000011</v>
      </c>
      <c r="U226" s="3">
        <f>1150.4+(272.5-178.1)+(-1.760112+(-0.416925--0.272493))+0-318.8--0.487764000000018</f>
        <v>924.58322000000021</v>
      </c>
      <c r="V226" s="3">
        <f>1195.9+(192.2-196.1)+(0.609909+(0.098022-0.100011))+0-318.6-0.162485999999968</f>
        <v>873.84543399999995</v>
      </c>
      <c r="W226" s="3">
        <f>1202.5+(210.9-214.8)+(0.613275+(0.107559-0.109548))+0-320.3-0.163352999999968</f>
        <v>878.7479330000001</v>
      </c>
      <c r="X226" s="3">
        <f>1208.3+(263.2-205)+(-1.848699+(-0.402696--0.31365))+0-320.8--0.490824000000019</f>
        <v>944.25307900000007</v>
      </c>
      <c r="Y226" s="3">
        <f>1213.4+(292.4-204.1)+(-3.09417+(-0.74562--0.520455))+0-317.4--0.809369999999954</f>
        <v>981.7900350000001</v>
      </c>
      <c r="Z226" s="3">
        <f>1212.1+(315.4-192.8)+(-0.618171+(-0.160854--0.098328))+0-319.3--0.162842999999968</f>
        <v>1014.8821459999998</v>
      </c>
      <c r="AA226" s="3">
        <f>1215.4+(318.9-181.8)+(-1.859562+(-0.487917--0.278154))+0-319--0.488070000000018</f>
        <v>1031.9187450000002</v>
      </c>
      <c r="AB226" s="3">
        <f>1211.8+(322.6-161.2)+(-1.854054+(-0.493578--0.246636))+0-317.7--0.486081000000018</f>
        <v>1053.8850850000001</v>
      </c>
      <c r="AC226" s="3">
        <f>1190.2+(343.2-132.6)+(-3.03501+(-0.87516--0.33813))+0-317.1--0.808604999999954</f>
        <v>1080.9365649999997</v>
      </c>
      <c r="AD226">
        <v>883.20000000000016</v>
      </c>
      <c r="AE226" s="3">
        <f>1210+(242.4-249.1)+(0+(0-0))+0-320.1-0</f>
        <v>883.19999999999993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1164.6+(333.9-114.4)+(-1.187892+(-0.340578--0.116688))+0-319.2--0.325584000000051</f>
        <v>1063.8138020000001</v>
      </c>
      <c r="G227" s="3">
        <f>1092.8+(359.9-103)+(-0.557328+(-0.183549--0.05253))+0-318.9--0.162638999999968</f>
        <v>1030.2742919999998</v>
      </c>
      <c r="H227" s="3">
        <f>1091.8+(329.7-101.5)+(-0.556818+(-0.168147--0.051765))+0-319.1--0.162740999999968</f>
        <v>1000.389541</v>
      </c>
      <c r="I227" s="3">
        <f>1093.7+(291.7-103.9)+(-0.557787+(-0.148767--0.052989))+0-319.1--0.162740999999968</f>
        <v>961.90917599999989</v>
      </c>
      <c r="J227" s="3">
        <f>1090.7+(253.7-107.8)+(-0.556257+(-0.129387--0.054978))+0-317.3--0.161822999999968</f>
        <v>918.83115699999985</v>
      </c>
      <c r="K227" s="3">
        <f>1093.7+(205.2-119.6)+(1.115574+(0.209304-0.121992))+0-315.3-0.32160600000005</f>
        <v>864.88127999999995</v>
      </c>
      <c r="L227" s="3">
        <f>1091.7+(139.4-166)+(0.556767+(0.071094-0.08466))+0-313.3-0.159782999999968</f>
        <v>752.18341800000019</v>
      </c>
      <c r="M227" s="3">
        <f>1090.8+(155.9-193.4)+(1.668924+(0.238527-0.295902))+0-313.1-0.479043000000018</f>
        <v>741.33250599999985</v>
      </c>
      <c r="N227" s="3">
        <f>1128.6+(182-219.9)+(0+(0-0))+0-314.4-0</f>
        <v>776.29999999999984</v>
      </c>
      <c r="O227" s="3">
        <f>1132.8+(197.7-259.1)+(0+(0-0))+0-308.5-0</f>
        <v>762.89999999999986</v>
      </c>
      <c r="P227" s="3">
        <f>1210.8+(245.5-262.3)+(0+(0-0))+0-343.7-0</f>
        <v>850.3</v>
      </c>
      <c r="Q227" s="3">
        <f>1166.7+(253-229)+(0+(0-0))+0-320.7-0</f>
        <v>870</v>
      </c>
      <c r="R227" s="3">
        <f>1167.6+(311.3-208.6)+(-1.190952+(-0.317526--0.212772))+0-318.8--0.325176000000051</f>
        <v>950.52946999999995</v>
      </c>
      <c r="S227" s="3">
        <f>1163.4+(379.6-194.6)+(-0.593334+(-0.193596--0.099246))+0-320.1--0.163250999999968</f>
        <v>1027.7755670000001</v>
      </c>
      <c r="T227" s="3">
        <f>1126.2+(348.9-192.2)+(-0.574362+(-0.177939--0.098022))+0-319.8--0.163097999999968</f>
        <v>962.60881900000004</v>
      </c>
      <c r="U227" s="3">
        <f>1184.6+(241.3-204)+(-1.812438+(-0.369189--0.31212))+0-319.3--0.488529000000018</f>
        <v>901.21902199999977</v>
      </c>
      <c r="V227" s="3">
        <f>1183.6+(173.9-225.3)+(-0.603636+(-0.088689--0.114903))+0-321--0.163709999999967</f>
        <v>810.78628799999967</v>
      </c>
      <c r="W227" s="3">
        <f>1216.7+(177.1-247.5)+(0+(0-0))+0-320.5-0</f>
        <v>825.8</v>
      </c>
      <c r="X227" s="3">
        <f>1218.7+(228.8-245.3)+(-2.486148+(-0.466752--0.500412))+0-321.4--0.655655999999986</f>
        <v>879.00316800000019</v>
      </c>
      <c r="Y227" s="3">
        <f>1221.5+(241.2-231.7)+(-1.24593+(-0.246024--0.236334))+0-319.5--0.325890000000051</f>
        <v>910.57027000000016</v>
      </c>
      <c r="Z227" s="3">
        <f>1227.3+(261.6-218.8)+(0+(0-0))+0-319.8-0</f>
        <v>950.3</v>
      </c>
      <c r="AA227" s="3">
        <f>1231.3+(278.8-200.8)+(-1.883889+(-0.426564--0.307224))+0-318.4--0.487152000000018</f>
        <v>989.3839230000001</v>
      </c>
      <c r="AB227" s="3">
        <f>1234.5+(295.4-178.6)+(-1.888785+(-0.451962--0.273258))+0-319.2--0.488376000000018</f>
        <v>1030.5208869999999</v>
      </c>
      <c r="AC227" s="3">
        <f>1235.3+(292.3-152.3)+(-1.890009+(-0.447219--0.233019))+0-318.4--0.487152000000018</f>
        <v>1055.2829429999999</v>
      </c>
      <c r="AD227">
        <v>858.5</v>
      </c>
      <c r="AE227" s="3">
        <f>1220+(211.5-253.5)+(0+(0-0))+0-319.5-0</f>
        <v>858.5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1235.4+(278-139)+(0+(0-0))+0-318.6-0</f>
        <v>1055.8000000000002</v>
      </c>
      <c r="G228" s="3">
        <f>1174.7+(280-117.1)+(-1.198194+(-0.2856--0.119442))+0-319.6--0.325992000000051</f>
        <v>1016.9616400000001</v>
      </c>
      <c r="H228" s="3">
        <f>1143.8+(263.2-107.3)+(-2.91669+(-0.67116--0.273615))+0-319.4--0.814469999999954</f>
        <v>977.8002349999997</v>
      </c>
      <c r="I228" s="3">
        <f>1047.4+(303.9-92.3)+(0+(0-0))+0-318.6-0</f>
        <v>940.4</v>
      </c>
      <c r="J228" s="3">
        <f>1060.9+(251.3-110.4)+(0+(0-0))+0-318-0</f>
        <v>883.80000000000018</v>
      </c>
      <c r="K228" s="3">
        <f>1063+(204.1-136.4)+(0.54213+(0.104091-0.069564))+0-317.4-0.161873999999968</f>
        <v>813.71478300000012</v>
      </c>
      <c r="L228" s="3">
        <f>1072.5+(125.5-172.3)+(-1.640925+(-0.192015--0.263619))+0-317--0.485010000000018</f>
        <v>707.61568900000009</v>
      </c>
      <c r="M228" s="3">
        <f>1072.2+(148.7-196.2)+(-0.546822+(-0.075837--0.100062))+0-315.4--0.160853999999968</f>
        <v>708.93825700000014</v>
      </c>
      <c r="N228" s="3">
        <f>1078.6+(160.5-193)+(0.550086+(0.081855-0.09843))+0-317.3-0.161822999999968</f>
        <v>729.17168800000013</v>
      </c>
      <c r="O228" s="3">
        <f>1089.4+(145.5-208.3)+(0.555594+(0.074205-0.106233))+0-311.9-0.159068999999968</f>
        <v>715.0644970000003</v>
      </c>
      <c r="P228" s="3">
        <f>1084.5+(192.8-201.8)+(0.553095+(0.098328-0.102918))+0-313.4-0.159833999999968</f>
        <v>762.48867100000007</v>
      </c>
      <c r="Q228" s="3">
        <f>1081.4+(225.7-193.5)+(0+(0-0))+0-313.5-0</f>
        <v>800.10000000000014</v>
      </c>
      <c r="R228" s="3">
        <f>1077.2+(276.3-179)+(-0.549372+(-0.140913--0.09129))+0-315.7--0.161006999999968</f>
        <v>858.36201199999982</v>
      </c>
      <c r="S228" s="3">
        <f>1073+(324.7-157.8)+(-1.64169+(-0.496791--0.241434))+0-317.1--0.485163000000018</f>
        <v>921.3881160000002</v>
      </c>
      <c r="T228" s="3">
        <f>1077.9+(315.5-144.7)+(1.099458+(0.32181-0.147594))+0-317.8-0.324156000000051</f>
        <v>931.8495180000001</v>
      </c>
      <c r="U228" s="3">
        <f>1080.8+(262.4-144.6)+(-1.102416+(-0.267648--0.147492))+0-315.7--0.32201400000005</f>
        <v>881.99944200000004</v>
      </c>
      <c r="V228" s="3">
        <f>1078.2+(185.4-154)+(0+(0-0))+0-315.9-0</f>
        <v>793.70000000000016</v>
      </c>
      <c r="W228" s="3">
        <f>1081+(233.7-164.4)+(1.10262+(0.238374-0.167688))+0-317.8-0.324156000000051</f>
        <v>833.3491499999999</v>
      </c>
      <c r="X228" s="3">
        <f>1085.5+(273.1-159.3)+(0+(0-0))+0-318.2-0</f>
        <v>881.09999999999991</v>
      </c>
      <c r="Y228" s="3">
        <f>1088.4+(277.2-152.4)+(-3.330504+(-0.848232--0.466344))+0-318.3--0.973998000000037</f>
        <v>892.16160600000023</v>
      </c>
      <c r="Z228" s="3">
        <f>1085.2+(307.2-137.2)+(-1.106904+(-0.313344--0.139944))+0-316.5--0.32283000000005</f>
        <v>937.74252600000023</v>
      </c>
      <c r="AA228" s="3">
        <f>1090.8+(381.9-115.6)+(-1.668924+(-0.584307--0.176868))+0-316.4--0.484092000000018</f>
        <v>1039.1077290000001</v>
      </c>
      <c r="AB228" s="3">
        <f>1093.4+(389.8-102.7)+(-1.672902+(-0.596394--0.157131))+0-316.6--0.484398000000018</f>
        <v>1062.2722330000001</v>
      </c>
      <c r="AC228" s="3">
        <f>1096.6+(379.2-84.9)+(-2.79633+(-0.96696--0.216495))+0-318.5--0.812174999999954</f>
        <v>1069.6653799999999</v>
      </c>
      <c r="AD228">
        <v>863.19999999999993</v>
      </c>
      <c r="AE228" s="3">
        <f>1084+(262.3-166)+(0+(0-0))+0-317.1-0</f>
        <v>863.19999999999993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1097.9+(318.7-79.6)+(0+(0-0))+0-318.4-0</f>
        <v>1018.6</v>
      </c>
      <c r="G229" s="3">
        <f>1099.9+(312.4-79)+(-0.560949+(-0.159324--0.04029))+0-318.1--0.162230999999968</f>
        <v>1014.6822480000002</v>
      </c>
      <c r="H229" s="3">
        <f>1100+(254.5-86.8)+(0+(0-0))+0-319-0</f>
        <v>948.7</v>
      </c>
      <c r="I229" s="3">
        <f>1101.1+(209.4-101.6)+(0+(0-0))+0-318.2-0</f>
        <v>890.69999999999982</v>
      </c>
      <c r="J229" s="3">
        <f>1101.1+(168.3-102.8)+(0.561561+(0.085833-0.052428))+0-318.2-0.162281999999968</f>
        <v>848.83268399999997</v>
      </c>
      <c r="K229" s="3">
        <f>1101.7+(141.4-128.3)+(-1.123734+(-0.144228--0.130866))+0-314.5--0.32079000000005</f>
        <v>799.48369400000013</v>
      </c>
      <c r="L229" s="3">
        <f>1103.5+(138.2-149.7)+(-1.688355+(-0.211446--0.229041))+0-313.9--0.480267000000018</f>
        <v>776.90950700000008</v>
      </c>
      <c r="M229" s="3">
        <f>1101.2+(119.5-170.7)+(-0.561612+(-0.060945--0.087057))+0-313.1--0.159680999999968</f>
        <v>736.524181</v>
      </c>
      <c r="N229" s="3">
        <f>1097.2+(161.3-180.2)+(0.559572+(0.082263-0.091902))+0-316.4-0.161363999999968</f>
        <v>762.28856900000028</v>
      </c>
      <c r="O229" s="3">
        <f>1089.6+(202.8-184.5)+(0+(0-0))+0-317-0</f>
        <v>790.89999999999986</v>
      </c>
      <c r="P229" s="3">
        <f>1081.2+(227.6-188.9)+(-1.102824+(-0.232152--0.192678))+0-319--0.325380000000051</f>
        <v>800.0830820000001</v>
      </c>
      <c r="Q229" s="3">
        <f>1077.2+(255-186.5)+(-1.648116+(-0.39015--0.285345))+0-317--0.485010000000018</f>
        <v>827.43208900000002</v>
      </c>
      <c r="R229" s="3">
        <f>1074.3+(271.9-177.7)+(-1.643679+(-0.416007--0.271881))+0-315--0.481950000000018</f>
        <v>852.19414500000005</v>
      </c>
      <c r="S229" s="3">
        <f>1073.5+(287.4-173.1)+(-1.642455+(-0.439722--0.264843))+0-315--0.481950000000018</f>
        <v>871.46461599999986</v>
      </c>
      <c r="T229" s="3">
        <f>1075.4+(283.6-177)+(-1.096908+(-0.289272--0.18054))+0-314--0.32028000000005</f>
        <v>867.11464000000012</v>
      </c>
      <c r="U229" s="3">
        <f>1075+(240-176.7)+(-0.54825+(-0.1224--0.090117))+0-314--0.160139999999968</f>
        <v>823.87960699999985</v>
      </c>
      <c r="V229" s="3">
        <f>1076.6+(178.1-182.4)+(1.647198+(0.272493-0.279072))+0-314-0.480420000000018</f>
        <v>759.46019899999999</v>
      </c>
      <c r="W229" s="3">
        <f>1082.7+(205-192.5)+(1.656531+(0.31365-0.294525))+0-316-0.483480000000018</f>
        <v>780.39217599999995</v>
      </c>
      <c r="X229" s="3">
        <f>1087.6+(247.4-194.4)+(0.554676+(0.126174-0.099144))+0-318-0.162179999999968</f>
        <v>823.01952599999993</v>
      </c>
      <c r="Y229" s="3">
        <f>1097.7+(262.9-187.7)+(0+(0-0))+0-316-0</f>
        <v>856.90000000000009</v>
      </c>
      <c r="Z229" s="3">
        <f>1100.4+(272.9-175.4)+(1.122408+(0.278358-0.178908))+0-317.2-0.323544000000051</f>
        <v>881.59831400000007</v>
      </c>
      <c r="AA229" s="3">
        <f>1107.2+(296.1-158.8)+(0+(0-0))+0-315.4-0</f>
        <v>929.1</v>
      </c>
      <c r="AB229" s="3">
        <f>1106.9+(335.3-132.4)+(-1.129038+(-0.342006--0.135048))+0-315.5--0.32181000000005</f>
        <v>993.28581400000019</v>
      </c>
      <c r="AC229" s="3">
        <f>1102.2+(283.6-119.3)+(-1.686366+(-0.433908--0.182529))+0-314.8--0.481644000000018</f>
        <v>950.24389900000017</v>
      </c>
      <c r="AD229">
        <v>806.90000000000009</v>
      </c>
      <c r="AE229" s="3">
        <f>1097+(223.4-197.5)+(0+(0-0))+0-316-0</f>
        <v>806.90000000000009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1100.8+(283.9-119.5)+(0+(0-0))+0-316.6-0</f>
        <v>948.5999999999998</v>
      </c>
      <c r="G230" s="3">
        <f>1104.8+(218.9-131)+(1.126896+(0.223278-0.13362))+0-316.6-0.322932000000051</f>
        <v>876.99362200000007</v>
      </c>
      <c r="H230" s="3">
        <f>1107.4+(243.3-131.7)+(0+(0-0))+0-315.7-0</f>
        <v>903.3</v>
      </c>
      <c r="I230" s="3">
        <f>1108+(231.8-125.1)+(-1.13016+(-0.236436--0.127602))+0-316.1--0.32242200000005</f>
        <v>897.68342800000005</v>
      </c>
      <c r="J230" s="3">
        <f>1107.6+(141.3-147.9)+(0+(0-0))+0-315.2-0</f>
        <v>785.8</v>
      </c>
      <c r="K230" s="3">
        <f>1108.4+(125.6-163.6)+(0.565284+(0.064056-0.083436))+0-314.7-0.160496999999968</f>
        <v>756.08540700000015</v>
      </c>
      <c r="L230" s="3">
        <f>1107+(71-189.7)+(-1.12914+(-0.07242--0.193494))+0-314.7--0.32099400000005</f>
        <v>672.91292800000008</v>
      </c>
      <c r="M230" s="3">
        <f>1098.8+(77.5-197.2)+(0.560388+(0.039525-0.100572))+0-315.6-0.160955999999968</f>
        <v>663.8383849999999</v>
      </c>
      <c r="N230" s="3">
        <f>1090.1+(134.5-192.7)+(1.667853+(0.205785-0.294831))+0-318.9-0.487917000000018</f>
        <v>714.09088999999994</v>
      </c>
      <c r="O230" s="3">
        <f>1082.6+(162.3-188.6)+(-0.552126+(-0.082773--0.096186))+0-319.9--0.163148999999968</f>
        <v>736.02443600000004</v>
      </c>
      <c r="P230" s="3">
        <f>1071.9+(187.5-192.4)+(1.640007+(0.286875-0.294372))+0-319.8-0.489294000000018</f>
        <v>748.34321599999998</v>
      </c>
      <c r="Q230" s="3">
        <f>1066.5+(261.5-185.2)+(0+(0-0))+0-321.3-0</f>
        <v>821.5</v>
      </c>
      <c r="R230" s="3">
        <f>1063.5+(282.8-182.8)+(0.542385+(0.144228-0.093228))+0-320.6-0.163505999999967</f>
        <v>843.32987899999989</v>
      </c>
      <c r="S230" s="3">
        <f>1061.2+(311.3-171)+(1.082424+(0.317526-0.17442))+0-318.4-0.324768000000051</f>
        <v>884.0007619999999</v>
      </c>
      <c r="T230" s="3">
        <f>1060.6+(294.3-168.4)+(1.081812+(0.300186-0.171768))+0-318.2-0.324564000000051</f>
        <v>869.18566599999986</v>
      </c>
      <c r="U230" s="3">
        <f>1064.9+(279.8-163.4)+(-0.543099+(-0.142698--0.083334))+0-319.1--0.162740999999968</f>
        <v>861.7602780000002</v>
      </c>
      <c r="V230" s="3">
        <f>1070.7+(208.1-175.3)+(0+(0-0))+0-317.2-0</f>
        <v>786.3</v>
      </c>
      <c r="W230" s="3">
        <f>1073.1+(245.7-200.4)+(1.094562+(0.250614-0.204408))+0-320-0.326400000000051</f>
        <v>799.21436799999981</v>
      </c>
      <c r="X230" s="3">
        <f>1076.9+(257-196.4)+(0+(0-0))+0-319.4-0</f>
        <v>818.1</v>
      </c>
      <c r="Y230" s="3">
        <f>1079.9+(297.4-186.9)+(0+(0-0))+0-319-0</f>
        <v>871.40000000000009</v>
      </c>
      <c r="Z230" s="3">
        <f>1082.5+(313.3-173)+(-1.656225+(-0.479349--0.26469))+0-319.3--0.488529000000018</f>
        <v>902.11764500000004</v>
      </c>
      <c r="AA230" s="3">
        <f>1093.3+(301.7-162.1)+(-1.672749+(-0.461601--0.248013))+0-315.3--0.482409000000018</f>
        <v>916.19607199999996</v>
      </c>
      <c r="AB230" s="3">
        <f>1092.4+(319.1-138.9)+(-2.228496+(-0.650964--0.283356))+0-315.6--0.643823999999986</f>
        <v>955.04772000000014</v>
      </c>
      <c r="AC230" s="3">
        <f>1088.9+(311.9-111.1)+(-2.776695+(-0.795345--0.283305))+0-314.5--0.801974999999954</f>
        <v>972.71323999999993</v>
      </c>
      <c r="AD230">
        <v>847.59999999999991</v>
      </c>
      <c r="AE230" s="3">
        <f>1077+(285.3-194)+(0+(0-0))+0-320.7-0</f>
        <v>847.59999999999991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1087.5+(286.8-104.5)+(-1.10925+(-0.292536--0.10659))+0-317.8--0.324156000000051</f>
        <v>951.02895999999998</v>
      </c>
      <c r="G231" s="3">
        <f>1101.1+(221.4-130.7)+(-2.807805+(-0.56457--0.333285))+0-317.6--0.809879999999954</f>
        <v>871.97078999999985</v>
      </c>
      <c r="H231" s="3">
        <f>1100.6+(195.1-128.8)+(0.561306+(0.099501-0.065688))+0-320.3-0.163352999999968</f>
        <v>847.03176600000006</v>
      </c>
      <c r="I231" s="3">
        <f>1099.3+(169.2-131.2)+(-1.681929+(-0.258876--0.200736))+0-320.2--0.489906000000018</f>
        <v>815.84983699999998</v>
      </c>
      <c r="J231" s="3">
        <f>1102.8+(177.2-131.7)+(1.687284+(0.271116-0.201501))+0-318.9-0.487917000000018</f>
        <v>830.66898199999991</v>
      </c>
      <c r="K231" s="3">
        <f>1106.7+(118.9-159.6)+(-2.257668+(-0.242556--0.325584))+0-320.1--0.653003999999986</f>
        <v>744.37836400000003</v>
      </c>
      <c r="L231" s="3">
        <f>1105.2+(87.6-152.1)+(-2.254608+(-0.178704--0.310284))+0-317.2--0.647087999999986</f>
        <v>722.02405999999996</v>
      </c>
      <c r="M231" s="3">
        <f>1104.8+(131-208.8)+(-2.253792+(-0.26724--0.425952))+0-315.6--0.643823999999986</f>
        <v>709.94874399999992</v>
      </c>
      <c r="N231" s="3">
        <f>1087.5+(199.5-228.2)+(-2.2185+(-0.40698--0.465528))+0-315.3--0.643211999999986</f>
        <v>741.98325999999997</v>
      </c>
      <c r="O231" s="3">
        <f>1081.7+(238.1-236.1)+(-2.206668+(-0.485724--0.481644))+0-317--0.646679999999986</f>
        <v>765.13593200000003</v>
      </c>
      <c r="P231" s="3">
        <f>1093+(250-204)+(0+(0-0))+0-318-0</f>
        <v>821</v>
      </c>
      <c r="Q231" s="3">
        <f>1088.5+(284.2-199.6)+(-1.11027+(-0.289884--0.203592))+0-320.5--0.326910000000051</f>
        <v>851.73034799999982</v>
      </c>
      <c r="R231" s="3">
        <f>1069.1+(324.6-199.4)+(-1.090482+(-0.331092--0.203388))+0-319.1--0.325482000000051</f>
        <v>874.30729599999995</v>
      </c>
      <c r="S231" s="3">
        <f>1072.1+(347.5-191.1)+(-1.093542+(-0.35445--0.194922))+0-318.9--0.325278000000051</f>
        <v>908.67220800000007</v>
      </c>
      <c r="T231" s="3">
        <f>1064.8+(326.1-183.5)+(-0.543048+(-0.166311--0.093585))+0-317.8--0.162077999999968</f>
        <v>889.14630399999999</v>
      </c>
      <c r="U231" s="3">
        <f>1067.1+(289.8-187.5)+(-0.544221+(-0.147798--0.095625))+0-318--0.162179999999968</f>
        <v>850.96578599999987</v>
      </c>
      <c r="V231" s="3">
        <f>1069.1+(246.9-204.3)+(1.090482+(0.251838-0.208386))+0-318.6-0.324972000000051</f>
        <v>793.90896199999975</v>
      </c>
      <c r="W231" s="3">
        <f>1077.7+(281.2-208.2)+(-1.099254+(-0.286824--0.212364))+0-319.6--0.325992000000051</f>
        <v>830.25227800000005</v>
      </c>
      <c r="X231" s="3">
        <f>1081.7+(316-204)+(-1.655001+(-0.48348--0.31212))+0-319--0.488070000000018</f>
        <v>873.36170900000013</v>
      </c>
      <c r="Y231" s="3">
        <f>1083.4+(300.9-201.4)+(-1.105068+(-0.306918--0.205428))+0-317.5--0.323850000000051</f>
        <v>864.51729200000011</v>
      </c>
      <c r="Z231" s="3">
        <f>1084.9+(324.8-195.5)+(-0.553299+(-0.165648--0.099705))+0-318.7--0.162536999999968</f>
        <v>895.04329499999994</v>
      </c>
      <c r="AA231" s="3">
        <f>1088.4+(355-202.4)+(-1.665252+(-0.54315--0.309672))+0-317.3--0.485469000000018</f>
        <v>922.28673900000013</v>
      </c>
      <c r="AB231" s="3">
        <f>1091.7+(357.1-190.2)+(-1.113534+(-0.364242--0.194004))+0-316.7--0.323034000000051</f>
        <v>940.9392620000001</v>
      </c>
      <c r="AC231" s="3">
        <f>1092.9+(353.6-170.6)+(-2.229516+(-0.721344--0.348024))+0-317--0.646679999999986</f>
        <v>956.94384400000001</v>
      </c>
      <c r="AD231">
        <v>824.3</v>
      </c>
      <c r="AE231" s="3">
        <f>1080+(267.3-207.7)+(0+(0-0))+0-315.3-0</f>
        <v>824.3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1092.3+(292.2-148.9)+(-0.557073+(-0.149022--0.075939))+0-317.7--0.162026999999968</f>
        <v>917.43187099999989</v>
      </c>
      <c r="G232" s="3">
        <f>1094.1+(281.9-132.9)+(0.557991+(0.143769-0.067779))+0-319.1-0.162740999999968</f>
        <v>924.47123999999985</v>
      </c>
      <c r="H232" s="3">
        <f>1093.9+(233.4-135.5)+(0+(0-0))+0-319.2-0</f>
        <v>872.60000000000014</v>
      </c>
      <c r="I232" s="3">
        <f>1091.9+(211-132)+(-1.113738+(-0.21522--0.13464))+0-320.5--0.326910000000051</f>
        <v>849.53259200000002</v>
      </c>
      <c r="J232" s="3">
        <f>1091.9+(209.8-135.2)+(0.556869+(0.106998-0.068952))+0-319.5-0.162944999999968</f>
        <v>847.43196999999998</v>
      </c>
      <c r="K232" s="3">
        <f>1092.9+(207.8-146.7)+(-1.114758+(-0.211956--0.149634))+0-315.9--0.32221800000005</f>
        <v>837.24513800000011</v>
      </c>
      <c r="L232" s="3">
        <f>1092.8+(184.6-154.9)+(0.557328+(0.094146-0.078999))+0-313.8-0.160037999999968</f>
        <v>809.112437</v>
      </c>
      <c r="M232" s="3">
        <f>1093.3+(183.7-146.3)+(-0.557583+(-0.093687--0.074613))+0-313.1--0.159680999999968</f>
        <v>817.1830239999997</v>
      </c>
      <c r="N232" s="3">
        <f>1086.4+(158.8-171.2)+(1.108128+(0.161976-0.174624))+0-313.4-0.31966800000005</f>
        <v>761.37581199999988</v>
      </c>
      <c r="O232" s="3">
        <f>1080.7+(160.5-184.1)+(-0.551157+(-0.081855--0.093891))+0-315.2--0.160751999999968</f>
        <v>741.52163100000007</v>
      </c>
      <c r="P232" s="3">
        <f>1076.9+(190.3-175.4)+(-2.746095+(-0.485265--0.44727))+0-315.1--0.803504999999954</f>
        <v>774.71941500000003</v>
      </c>
      <c r="Q232" s="3">
        <f>1070+(199.2-161.9)+(-1.0914+(-0.203184--0.165138))+0-314.3--0.32058600000005</f>
        <v>792.19114000000013</v>
      </c>
      <c r="R232" s="3">
        <f>1078.3+(187.5-224.7)+(-2.199732+(-0.3825--0.458388))+0-313.3--0.639131999999986</f>
        <v>726.31528800000001</v>
      </c>
      <c r="S232" s="3">
        <f>1077.5+(155-238.3)+(-2.1981+(-0.3162--0.486132))+0-313.5--0.639539999999986</f>
        <v>679.31137200000001</v>
      </c>
      <c r="T232" s="3">
        <f>1082.5+(139.8-239.6)+(-0.552075+(-0.071298--0.122196))+0-313.4--0.159833999999968</f>
        <v>668.95865700000002</v>
      </c>
      <c r="U232" s="3">
        <f>1084.8+(109.9-232.5)+(0+(0-0))+0-312.9-0</f>
        <v>649.29999999999995</v>
      </c>
      <c r="V232" s="3">
        <f>1075.1+(104.6-223.4)+(-1.644903+(-0.160038--0.341802))+0-313.9--0.480267000000018</f>
        <v>641.41712800000005</v>
      </c>
      <c r="W232" s="3">
        <f>1079.1+(189.8-253.5)+(-0.550341+(-0.096798--0.129285))+0-315.1--0.160700999999968</f>
        <v>699.9428469999998</v>
      </c>
      <c r="X232" s="3">
        <f>1080.9+(203.8-226.3)+(-2.205036+(-0.415752--0.461652))+0-317.2--0.647087999999986</f>
        <v>739.687952</v>
      </c>
      <c r="Y232" s="3">
        <f>1086.3+(209.9-189.8)+(-1.662039+(-0.321147--0.290394))+0-315.9--0.483327000000018</f>
        <v>789.29053499999986</v>
      </c>
      <c r="Z232" s="3">
        <f>1091.7+(202-198.4)+(-1.670301+(-0.30906--0.303552))+0-315.4--0.482562000000018</f>
        <v>778.70675299999994</v>
      </c>
      <c r="AA232" s="3">
        <f>1089.9+(238.1-172.9)+(-2.779245+(-0.607155--0.440895))+0-314.8--0.802739999999954</f>
        <v>838.15723500000024</v>
      </c>
      <c r="AB232" s="3">
        <f>1086.5+(273.5-157.9)+(-1.10823+(-0.27897--0.161058))+0-313.4--0.31966800000005</f>
        <v>887.79352600000004</v>
      </c>
      <c r="AC232" s="3">
        <f>1092.1+(252.6-170.8)+(-2.784855+(-0.64413--0.43554))+0-314--0.800699999999954</f>
        <v>857.7072549999998</v>
      </c>
      <c r="AD232">
        <v>714.69999999999993</v>
      </c>
      <c r="AE232" s="3">
        <f>1080+(191-236.2)+(0+(0-0))+0-320.1-0</f>
        <v>714.69999999999993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1109.3+(66.8-145.5)+(-1.131486+(-0.068136--0.14841))+0-315.2--0.32150400000005</f>
        <v>714.67029199999979</v>
      </c>
      <c r="G233" s="3">
        <f>1109.6+(60.3-128.8)+(0+(0-0))+0-315-0</f>
        <v>726.09999999999991</v>
      </c>
      <c r="H233" s="3">
        <f>1109+(55.1-117.7)+(-1.13118+(-0.056202--0.120054))+0-315.6--0.32191200000005</f>
        <v>730.05458399999998</v>
      </c>
      <c r="I233" s="3">
        <f>990.7+(84.7-97.9)+(-2.526285+(-0.215985--0.249645))+0-316.8--0.807839999999954</f>
        <v>659.0152149999999</v>
      </c>
      <c r="J233" s="3">
        <f>980+(62.4-105.1)+(0.4998+(0.031824-0.053601))+0-316.5-0.161414999999968</f>
        <v>621.11660800000004</v>
      </c>
      <c r="K233" s="3">
        <f>979.9+(41.1-119.9)+(0+(0-0))+0-316.1-0</f>
        <v>584.99999999999989</v>
      </c>
      <c r="L233" s="3">
        <f>979.9+(90.7-146.6)+(0.999498+(0.092514-0.149532))+0-314.3-0.32058600000005</f>
        <v>610.32189399999993</v>
      </c>
      <c r="M233" s="3">
        <f>989.8+(107-166.6)+(1.009596+(0.10914-0.169932))+0-316.9-0.32323800000005</f>
        <v>613.92556599999989</v>
      </c>
      <c r="N233" s="3">
        <f>1093.1+(152.9-280.6)+(0+(0-0))+0-317.1-0</f>
        <v>648.29999999999984</v>
      </c>
      <c r="O233" s="3">
        <f>1101.2+(179.8-291.4)+(1.123224+(0.183396-0.297228))+0-317.1-0.323442000000051</f>
        <v>673.18595000000016</v>
      </c>
      <c r="P233" s="3">
        <f>1086.3+(187.3-268.3)+(0.554013+(0.095523-0.136833))+0-319.7-0.163046999999968</f>
        <v>685.949656</v>
      </c>
      <c r="Q233" s="3">
        <f>1080.4+(211.3-269.3)+(0.551004+(0.107763-0.137343))+0-319.3-0.162842999999968</f>
        <v>703.45858100000021</v>
      </c>
      <c r="R233" s="3">
        <f>1077.6+(174.5-312.4)+(-2.198304+(-0.35598--0.637296))+0-234.1--0.47756399999999</f>
        <v>704.16057599999999</v>
      </c>
      <c r="S233" s="3">
        <f>1078.6+(103.4-447.3)+(-2.200344+(-0.210936--0.912492))+0-0-0</f>
        <v>733.20121199999994</v>
      </c>
      <c r="T233" s="3">
        <f>1079.6+(92.3-450.6)+(-1.651788+(-0.141219--0.689418))+0-0-0</f>
        <v>720.1964109999999</v>
      </c>
      <c r="U233" s="3">
        <f>1081.9+(87.7-438.6)+(-0.551769+(-0.044727--0.223686))+0-42.4--0.0216239999999957</f>
        <v>688.24881400000004</v>
      </c>
      <c r="V233" s="3">
        <f>1084.2+(40.3-220.1)+(0.552942+(0.020553-0.112251))+0-254.2-0.129641999999974</f>
        <v>650.53160200000013</v>
      </c>
      <c r="W233" s="3">
        <f>1088.1+(109.6-238.3)+(-1.109862+(-0.111792--0.243066))+0-286.3--0.292026000000046</f>
        <v>672.41343800000004</v>
      </c>
      <c r="X233" s="3">
        <f>1094.3+(136.6-243.6)+(-3.348558+(-0.417996--0.745416))+0-301.9--0.923814000000035</f>
        <v>683.30267600000002</v>
      </c>
      <c r="Y233" s="3">
        <f>1099.7+(95.3-202.4)+(-1.682541+(-0.145809--0.309672))+0-315.7--0.483021000000018</f>
        <v>675.86434299999996</v>
      </c>
      <c r="Z233" s="3">
        <f>1100.4+(127.2-216)+(-0.561204+(-0.064872--0.11016))+0-330.6--0.168605999999966</f>
        <v>680.65269000000012</v>
      </c>
      <c r="AA233" s="3">
        <f>1105.3+(147-222.9)+(-2.818515+(-0.37485--0.568395))+0-338.9--0.864194999999951</f>
        <v>688.73922499999981</v>
      </c>
      <c r="AB233" s="3">
        <f>1108.5+(142.1-204.9)+(-1.696005+(-0.217413--0.313497))+0-338.2--0.51744600000002</f>
        <v>706.41752500000007</v>
      </c>
      <c r="AC233" s="3">
        <f>1109.3+(137.3-187)+(-1.131486+(-0.140046--0.19074))+0-337.7--0.344454000000054</f>
        <v>721.16366199999993</v>
      </c>
      <c r="AD233">
        <v>700.8</v>
      </c>
      <c r="AE233" s="3">
        <f>1092+(150.3-236.3)+(0+(0-0))+0-305.2-0</f>
        <v>700.8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1109.9+(70.9-157.1)+(-0.566049+(-0.036159--0.080121))+0-335.9--0.171308999999966</f>
        <v>687.44922199999996</v>
      </c>
      <c r="G234" s="3">
        <f>1110.1+(55.7-145.2)+(-2.830755+(-0.142035--0.37026))+0-336--0.856799999999951</f>
        <v>682.85426999999981</v>
      </c>
      <c r="H234" s="3">
        <f>1114.3+(32.6-136.2)+(-0.568293+(-0.016626--0.069462))+0-335.6--0.171155999999966</f>
        <v>674.75569899999994</v>
      </c>
      <c r="I234" s="3">
        <f>1115+(19.8-128.8)+(-2.2746+(-0.040392--0.262752))+0-335.3--0.684011999999985</f>
        <v>669.331772</v>
      </c>
      <c r="J234" s="3">
        <f>1115+(9.7-126.7)+(-0.56865+(-0.004947--0.064617))+0-336.4--0.171563999999966</f>
        <v>661.26258400000006</v>
      </c>
      <c r="K234" s="3">
        <f>1117.3+(7.4-137)+(-0.569823+(-0.003774--0.06987))+0-333.4--0.170033999999966</f>
        <v>653.96630699999992</v>
      </c>
      <c r="L234" s="3">
        <f>1119.5+(7.1-211.9)+(-0.570945+(-0.003621--0.108069))+0-330.8--0.168707999999966</f>
        <v>583.6022109999999</v>
      </c>
      <c r="M234" s="3">
        <f>1113.3+(33.2-225.3)+(0+(0-0))+0-329.3-0</f>
        <v>591.89999999999986</v>
      </c>
      <c r="N234" s="3">
        <f>1108+(55.4-223.9)+(-0.56508+(-0.028254--0.114189))+0-328.2--0.167381999999967</f>
        <v>610.98823699999991</v>
      </c>
      <c r="O234" s="3">
        <f>1100.6+(77.3-214.9)+(-1.122612+(-0.078846--0.219198))+0-329.5--0.336090000000053</f>
        <v>632.8538299999999</v>
      </c>
      <c r="P234" s="3">
        <f>1092.9+(93.2-213.7)+(0+(0-0))+0-328.5-0</f>
        <v>643.90000000000009</v>
      </c>
      <c r="Q234" s="3">
        <f>1089.4+(133.6-210.3)+(-0.555594+(-0.068136--0.107253))+0-330.3--0.168452999999966</f>
        <v>682.05197599999997</v>
      </c>
      <c r="R234" s="3">
        <f>1088+(179.4-201.8)+(-0.55488+(-0.091494--0.102918))+0-328.3--0.167432999999967</f>
        <v>736.92397699999981</v>
      </c>
      <c r="S234" s="3">
        <f>1085.2+(200.6-197.8)+(-1.660356+(-0.306918--0.302634))+0-328.6--0.502758000000019</f>
        <v>758.23811799999999</v>
      </c>
      <c r="T234" s="3">
        <f>1084.9+(214.4-183.5)+(0.553299+(0.109344-0.093585))+0-327.4-0.166973999999967</f>
        <v>788.80208400000026</v>
      </c>
      <c r="U234" s="3">
        <f>1089.2+(155.9-198.4)+(-1.110984+(-0.159018--0.202368))+0-325.6--0.332112000000052</f>
        <v>720.36447800000008</v>
      </c>
      <c r="V234" s="3">
        <f>1092.4+(144.8-208.7)+(0+(0-0))+0-324.6-0</f>
        <v>703.9</v>
      </c>
      <c r="W234" s="3">
        <f>1098.1+(195.9-235.4)+(-1.120062+(-0.199818--0.240108))+0-324.7--0.331194000000052</f>
        <v>733.15142199999991</v>
      </c>
      <c r="X234" s="3">
        <f>1102.7+(199.8-235.3)+(-1.687131+(-0.305694--0.360009))+0-326--0.498780000000019</f>
        <v>740.06596400000001</v>
      </c>
      <c r="Y234" s="3">
        <f>1105.9+(141.8-238.2)+(-2.256036+(-0.289272--0.485928))+0-323.2--0.659327999999986</f>
        <v>684.89994799999999</v>
      </c>
      <c r="Z234" s="3">
        <f>1101.1+(142.1-210.9)+(-0.561561+(-0.072471--0.107559))+0-323--0.164729999999967</f>
        <v>708.93825700000002</v>
      </c>
      <c r="AA234" s="3">
        <f>1097.7+(133.5-202.4)+(-1.679481+(-0.204255--0.309672))+0-323.6--0.495108000000019</f>
        <v>704.1210440000001</v>
      </c>
      <c r="AB234" s="3">
        <f>1100.4+(128.5-190.6)+(0+(0-0))+0-320.6-0</f>
        <v>717.70000000000016</v>
      </c>
      <c r="AC234" s="3">
        <f>1100.5+(109.2-177.6)+(-2.806275+(-0.27846--0.45288))+0-320.7--0.817784999999953</f>
        <v>709.58592999999973</v>
      </c>
      <c r="AD234">
        <v>746.1</v>
      </c>
      <c r="AE234" s="3">
        <f>1104+(200.8-233.8)+(0+(0-0))+0-324.9-0</f>
        <v>746.1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1098.1+(45.3-181.7)+(0+(0-0))+0-321.9-0</f>
        <v>639.79999999999995</v>
      </c>
      <c r="G235" s="3">
        <f>1103+(24.2-180.3)+(0+(0-0))+0-323.9-0</f>
        <v>623</v>
      </c>
      <c r="H235" s="3">
        <f>1107.8+(24.2-190.7)+(-0.564978+(-0.012342--0.097257))+0-323.8--0.165137999999967</f>
        <v>617.18507499999998</v>
      </c>
      <c r="I235" s="3">
        <f>1109.2+(27.4-223.2)+(0+(0-0))+0-323.1-0</f>
        <v>590.30000000000007</v>
      </c>
      <c r="J235" s="3">
        <f>1114.9+(28.4-248.8)+(0.568599+(0.014484-0.126888))+0-320.7-0.163556999999967</f>
        <v>574.09263800000019</v>
      </c>
      <c r="K235" s="3">
        <f>1116.8+(35.4-277)+(2.84784+(0.09027-0.70635))+0-318.1-0.811154999999954</f>
        <v>558.52060499999993</v>
      </c>
      <c r="L235" s="3">
        <f>1118.8+(53-301.5)+(-1.711764+(-0.08109--0.461295))+0-315.7--0.483021000000018</f>
        <v>553.75146199999995</v>
      </c>
      <c r="M235" s="3">
        <f>1114.2+(71.6-299)+(1.704726+(0.109548-0.45747))+0-314.6-0.481338000000018</f>
        <v>573.07546600000001</v>
      </c>
      <c r="N235" s="3">
        <f>1106.6+(99.3-262.5)+(2.257464+(0.202572-0.5355))+0-317.5-0.647699999999986</f>
        <v>627.17683599999987</v>
      </c>
      <c r="O235" s="3">
        <f>1101.7+(134.2-230.9)+(-0.561867+(-0.068442--0.117759))+0-320.1--0.163250999999968</f>
        <v>684.55070099999989</v>
      </c>
      <c r="P235" s="3">
        <f>1097.1+(129.4-250.6)+(-0.559521+(-0.065994--0.127806))+0-322.3--0.164372999999967</f>
        <v>653.26666399999988</v>
      </c>
      <c r="Q235" s="3">
        <f>1094.1+(168-235.4)+(0+(0-0))+0-324.8-0</f>
        <v>701.89999999999986</v>
      </c>
      <c r="R235" s="3">
        <f>1089.9+(171.7-228.6)+(-2.779245+(-0.437835--0.58293))+0-319.3--0.814214999999954</f>
        <v>711.88006499999995</v>
      </c>
      <c r="S235" s="3">
        <f>1086.5+(228.7-221.2)+(-1.662345+(-0.349911--0.338436))+0-318.9--0.487917000000018</f>
        <v>773.91409700000008</v>
      </c>
      <c r="T235" s="3">
        <f>1083.7+(166.5-246.7)+(1.658061+(0.254745-0.377451))+0-317.6-0.485928000000018</f>
        <v>686.9494269999999</v>
      </c>
      <c r="U235" s="3">
        <f>1084.9+(151.2-255.8)+(-1.106598+(-0.154224--0.260916))+0-316.3--0.32262600000005</f>
        <v>663.32272</v>
      </c>
      <c r="V235" s="3">
        <f>1089.5+(186.9-293.7)+(-0.555645+(-0.095319--0.149787))+0-316.6--0.161465999999968</f>
        <v>665.76028900000006</v>
      </c>
      <c r="W235" s="3">
        <f>1096.1+(238.5-297.9)+(1.118022+(0.24327-0.303858))+0-319.7-0.326094000000051</f>
        <v>717.73133999999982</v>
      </c>
      <c r="X235" s="3">
        <f>1102.4+(230.3-292.5)+(-0.562224+(-0.117453--0.149175))+0-319.4--0.162893999999968</f>
        <v>720.43239199999994</v>
      </c>
      <c r="Y235" s="3">
        <f>1105.2+(212-290.8)+(0+(0-0))+0-318.6-0</f>
        <v>707.80000000000007</v>
      </c>
      <c r="Z235" s="3">
        <f>1107.6+(187.6-329.3)+(-2.259504+(-0.382704--0.671772))+0-317.4--0.647495999999986</f>
        <v>647.17705999999987</v>
      </c>
      <c r="AA235" s="3">
        <f>1108.1+(178.1-327)+(-1.130262+(-0.181662--0.33354))+0-316.6--0.322932000000051</f>
        <v>641.94454799999994</v>
      </c>
      <c r="AB235" s="3">
        <f>1113.8+(166.1-331.1)+(-1.704114+(-0.254133--0.506583))+0-315.7--0.483021000000018</f>
        <v>632.13135699999998</v>
      </c>
      <c r="AC235" s="3">
        <f>1113+(147.6-329.5)+(-0.56763+(-0.075276--0.168045))+0-317.2--0.161771999999968</f>
        <v>613.58691099999987</v>
      </c>
      <c r="AD235">
        <v>720.50000000000023</v>
      </c>
      <c r="AE235" s="3">
        <f>1102+(224.9-285.1)+(0+(0-0))+0-321.3-0</f>
        <v>720.5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1112.3+(105-297.3)+(-1.134546+(-0.1071--0.303246))+0-318--0.324360000000051</f>
        <v>601.38596000000007</v>
      </c>
      <c r="G236" s="3">
        <f>1111.8+(78.2-283)+(0+(0-0))+0-320.2-0</f>
        <v>586.79999999999995</v>
      </c>
      <c r="H236" s="3">
        <f>1118.8+(50.1-269)+(2.282352+(0.102204-0.54876))+0-319.1-0.650963999999986</f>
        <v>581.98483199999998</v>
      </c>
      <c r="I236" s="3">
        <f>1125.4+(55.5-297)+(2.295816+(0.11322-0.60588))+0-317.8-0.648311999999986</f>
        <v>567.25484400000005</v>
      </c>
      <c r="J236" s="3">
        <f>1124.8+(105.1-371.1)+(0+(0-0))+0-315.6-0</f>
        <v>543.19999999999993</v>
      </c>
      <c r="K236" s="3">
        <f>1121.3+(107.2-381.7)+(1.715589+(0.164016-0.584001))+0-312.8-0.478584000000018</f>
        <v>534.81701999999984</v>
      </c>
      <c r="L236" s="3">
        <f>1117.4+(120.4-346.4)+(0+(0-0))+0-313.1-0</f>
        <v>578.30000000000007</v>
      </c>
      <c r="M236" s="3">
        <f>1115.5+(123.6-328.9)+(0.568905+(0.063036-0.167739))+0-312.8-0.159527999999968</f>
        <v>597.70467399999995</v>
      </c>
      <c r="N236" s="3">
        <f>1107.4+(113.8-335.2)+(0.564774+(0.058038-0.170952))+0-313.6-0.159935999999968</f>
        <v>572.69192400000009</v>
      </c>
      <c r="O236" s="3">
        <f>1095.2+(124.3-298.1)+(1.675656+(0.190179-0.456093))+0-314.4-0.481032000000018</f>
        <v>607.92871000000014</v>
      </c>
      <c r="P236" s="3">
        <f>1079.1+(136.1-265.1)+(-1.100682+(-0.138822--0.270402))+0-315.8--0.32211600000005</f>
        <v>633.65301399999998</v>
      </c>
      <c r="Q236" s="3">
        <f>1076.3+(148.8-267)+(1.097826+(0.151776-0.27234))+0-315.6-0.32191200000005</f>
        <v>643.15534999999988</v>
      </c>
      <c r="R236" s="3">
        <f>1073.5+(143.7-266.9)+(-2.18994+(-0.293148--0.544476))+0-315.7--0.644027999999986</f>
        <v>633.30541599999992</v>
      </c>
      <c r="S236" s="3">
        <f>1068.9+(135.3-263.7)+(0+(0-0))+0-315-0</f>
        <v>625.50000000000011</v>
      </c>
      <c r="T236" s="3">
        <f>1068.4+(124.8-281.6)+(-2.179536+(-0.254592--0.574464))+0-314.3--0.641171999999986</f>
        <v>596.0815080000001</v>
      </c>
      <c r="U236" s="3">
        <f>1070.2+(76.1-276.9)+(-0.545802+(-0.038811--0.141219))+0-314.7--0.160496999999968</f>
        <v>554.41710300000011</v>
      </c>
      <c r="V236" s="3">
        <f>1109.7+(136.8-386.4)+(-0.565947+(-0.069768--0.197064))+0-314.4--0.160343999999968</f>
        <v>545.42169300000012</v>
      </c>
      <c r="W236" s="3">
        <f>1207.6+(150.8-443.3)+(0.615876+(0.076908-0.226083))+0-316-0.161159999999968</f>
        <v>599.40554099999986</v>
      </c>
      <c r="X236" s="3">
        <f>1314.4+(122.1-501.8)+(-1.340688+(-0.124542--0.511836))+0-317.7--0.324054000000051</f>
        <v>616.37066000000016</v>
      </c>
      <c r="Y236" s="3">
        <f>1345.3+(106.6-526.6)+(-0.686103+(-0.054366--0.268566))+0-316.6--0.161465999999968</f>
        <v>608.38956299999995</v>
      </c>
      <c r="Z236" s="3">
        <f>1355.2+(94.6-520.4)+(-2.073456+(-0.144738--0.796212))+0-316.1--0.483633000000018</f>
        <v>612.36165100000017</v>
      </c>
      <c r="AA236" s="3">
        <f>1357.7+(97.9-530.6)+(-0.692427+(-0.049929--0.270606))+0-314.6--0.160445999999968</f>
        <v>610.08869599999991</v>
      </c>
      <c r="AB236" s="3">
        <f>1327.8+(88.3-485.8)+(-2.031534+(-0.135099--0.743274))+0-314.4--0.481032000000018</f>
        <v>614.957673</v>
      </c>
      <c r="AC236" s="3">
        <f>1100.9+(113.2-300)+(-1.122918+(-0.115464--0.306))+0-314--0.32028000000005</f>
        <v>599.4878980000002</v>
      </c>
      <c r="AD236">
        <v>613.29999999999995</v>
      </c>
      <c r="AE236" s="3">
        <f>1243+(145-451)+(0+(0-0))+0-323.7-0</f>
        <v>613.29999999999995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1111.7+(82.5-300.3)+(1.133934+(0.08415-0.306306))+0-313.9-0.32017800000005</f>
        <v>580.59160000000008</v>
      </c>
      <c r="G237" s="3">
        <f>1115.2+(72.5-312.7)+(0+(0-0))+0-315.7-0</f>
        <v>559.29999999999995</v>
      </c>
      <c r="H237" s="3">
        <f>1178.5+(43.5-365.6)+(-1.20207+(-0.04437--0.372912))+0-315.7--0.32201400000005</f>
        <v>540.14848600000005</v>
      </c>
      <c r="I237" s="3">
        <f>1274.6+(15.7-443.3)+(-1.950138+(-0.024021--0.678249))+0-315--0.481950000000018</f>
        <v>531.18603999999982</v>
      </c>
      <c r="J237" s="3">
        <f>1352.8+(0-518.2)+(-1.379856+(0--0.528564))+0-313.4--0.31966800000005</f>
        <v>520.66837600000008</v>
      </c>
      <c r="K237" s="3">
        <f>1373.4+(0-534.1)+(0.700434+(0-0.272391))+0-314.2-0.160241999999968</f>
        <v>525.3678010000001</v>
      </c>
      <c r="L237" s="3">
        <f>1377.2+(17-541.2)+(0.702372+(0.00867-0.276012))+0-315.9-0.161108999999968</f>
        <v>537.373921</v>
      </c>
      <c r="M237" s="3">
        <f>1379.2+(48.9-562.9)+(0+(0-0))+0-316.3-0</f>
        <v>548.90000000000009</v>
      </c>
      <c r="N237" s="3">
        <f>1356.8+(153.6-622.8)+(2.075904+(0.235008-0.952884))+0-315.1-0.482103000000018</f>
        <v>573.37592499999994</v>
      </c>
      <c r="O237" s="3">
        <f>1352+(185.3-613)+(0.68952+(0.094503-0.31263))+0-317.4-0.161873999999968</f>
        <v>607.209519</v>
      </c>
      <c r="P237" s="3">
        <f>1342.2+(197.6-578.4)+(-1.369044+(-0.201552--0.589968))+0-318.4--0.324768000000051</f>
        <v>642.34414000000015</v>
      </c>
      <c r="Q237" s="3">
        <f>1334+(214.8-568.2)+(-2.04102+(-0.328644--0.869346))+0-319.8--0.489294000000018</f>
        <v>659.78897599999982</v>
      </c>
      <c r="R237" s="3">
        <f>1333.9+(194.7-566.9)+(-0.680289+(-0.099297--0.289119))+0-319.6--0.162995999999968</f>
        <v>641.77252900000008</v>
      </c>
      <c r="S237" s="3">
        <f>1337+(184.7-561.4)+(-1.36374+(-0.188394--0.572628))+0-317--0.323340000000051</f>
        <v>642.64383399999997</v>
      </c>
      <c r="T237" s="3">
        <f>1333.5+(177.8-557.8)+(0+(0-0))+0-320.1-0</f>
        <v>633.4</v>
      </c>
      <c r="U237" s="3">
        <f>1335+(178.5-566.2)+(1.3617+(0.18207-0.577524))+0-320.4-0.326808000000051</f>
        <v>627.5394379999999</v>
      </c>
      <c r="V237" s="3">
        <f>1340.2+(191.4-595.5)+(1.367004+(0.195228-0.60741))+0-320.3-0.326706000000051</f>
        <v>616.42811600000005</v>
      </c>
      <c r="W237" s="3">
        <f>1343.8+(222.3-593.2)+(1.370676+(0.226746-0.605064))+0-318.3-0.324666000000051</f>
        <v>655.26769199999978</v>
      </c>
      <c r="X237" s="3">
        <f>1353.2+(193.8-564.7)+(-3.45066+(-0.49419--1.439985))+0-318.9--0.813194999999954</f>
        <v>661.70832999999993</v>
      </c>
      <c r="Y237" s="3">
        <f>1354.7+(171.1-560.6)+(-1.381794+(-0.174522--0.571812))+0-317.8--0.324156000000051</f>
        <v>646.73965200000009</v>
      </c>
      <c r="Z237" s="3">
        <f>1362.1+(144.3-554)+(-4.168026+(-0.441558--1.69524))+0-319.1--0.976446000000037</f>
        <v>631.36210199999982</v>
      </c>
      <c r="AA237" s="3">
        <f>1361.3+(129.3-538.6)+(-1.388526+(-0.131886--0.549372))+0-314.3--0.32058600000005</f>
        <v>637.04954599999996</v>
      </c>
      <c r="AB237" s="3">
        <f>1364.9+(110.2-494.4)+(-2.088297+(-0.168606--0.756432))+0-313.8--0.480114000000018</f>
        <v>665.8796430000001</v>
      </c>
      <c r="AC237" s="3">
        <f>1371.6+(86.7-510.3)+(-1.399032+(-0.088434--0.520506))+0-314.5--0.32079000000005</f>
        <v>632.85383000000002</v>
      </c>
      <c r="AD237">
        <v>676.6</v>
      </c>
      <c r="AE237" s="3">
        <f>1350+(221.4-574.7)+(0+(0-0))+0-320.1-0</f>
        <v>676.59999999999991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1375.5+(48.9-430.3)+(0+(0-0))+0-316.6-0</f>
        <v>677.49999999999989</v>
      </c>
      <c r="G238" s="3">
        <f>1375.4+(44.2-438.3)+(-1.402908+(-0.045084--0.447066))+0-318.7--0.325074000000051</f>
        <v>661.92414800000006</v>
      </c>
      <c r="H238" s="3">
        <f>1380.1+(41.7-407.2)+(-1.407702+(-0.042534--0.415344))+0-317.7--0.324054000000051</f>
        <v>696.18916200000001</v>
      </c>
      <c r="I238" s="3">
        <f>1382+(7.8-418.3)+(1.40964+(0.007956-0.426666))+0-317.3-0.323646000000051</f>
        <v>654.86728399999993</v>
      </c>
      <c r="J238" s="3">
        <f>1376.8+(16.8-444.5)+(0.702168+(0.008568-0.226695))+0-316.9-0.161618999999968</f>
        <v>632.52242200000001</v>
      </c>
      <c r="K238" s="3">
        <f>1376.9+(4.1-440.7)+(1.404438+(0.004182-0.449514))+0-315.8-0.32211600000005</f>
        <v>625.1369900000002</v>
      </c>
      <c r="L238" s="3">
        <f>1373+(79-565.1)+(2.10069+(0.12087-0.864603))+0-314-0.480420000000018</f>
        <v>573.77653699999996</v>
      </c>
      <c r="M238" s="3">
        <f>1365.1+(136.6-548.7)+(1.392402+(0.139332-0.559674))+0-318.2-0.324564000000051</f>
        <v>635.447496</v>
      </c>
      <c r="N238" s="3">
        <f>1359.7+(142.1-531.7)+(0.693447+(0.072471-0.271167))+0-316.6-0.161465999999968</f>
        <v>653.83328499999993</v>
      </c>
      <c r="O238" s="3">
        <f>1359+(145.1-529.7)+(0+(0-0))+0-316.6-0</f>
        <v>657.8</v>
      </c>
      <c r="P238" s="3">
        <f>1355.8+(145.2-530.5)+(-0.691458+(-0.074052--0.270555))+0-317.3--0.161822999999968</f>
        <v>652.86686799999984</v>
      </c>
      <c r="Q238" s="3">
        <f>1347.9+(147.3-509.7)+(-2.062287+(-0.225369--0.779841))+0-317.7--0.486081000000018</f>
        <v>666.77826600000003</v>
      </c>
      <c r="R238" s="3">
        <f>1346.6+(130.1-501.6)+(0+(0-0))+0-318.6-0</f>
        <v>656.49999999999989</v>
      </c>
      <c r="S238" s="3">
        <f>1342.7+(125-489.9)+(0.684777+(0.06375-0.249849))+0-315.2-0.160751999999968</f>
        <v>662.93792600000006</v>
      </c>
      <c r="T238" s="3">
        <f>1339.6+(129.7-469.2)+(1.366392+(0.132294-0.478584))+0-314.4-0.32068800000005</f>
        <v>686.39941399999987</v>
      </c>
      <c r="U238" s="3">
        <f>1343.9+(113-492.1)+(0.685389+(0.05763-0.250971))+0-316.5-0.161414999999968</f>
        <v>648.6306330000001</v>
      </c>
      <c r="V238" s="3">
        <f>1343.8+(116.3-499.9)+(2.056014+(0.177939-0.764847))+0-316-0.483480000000018</f>
        <v>645.18562600000007</v>
      </c>
      <c r="W238" s="3">
        <f>1345.9+(176.7-470.1)+(0+(0-0))+0-316.8-0</f>
        <v>735.7</v>
      </c>
      <c r="X238" s="3">
        <f>1351.1+(161.9-504.2)+(-1.378122+(-0.165138--0.514284))+0-317--0.323340000000051</f>
        <v>691.09436399999993</v>
      </c>
      <c r="Y238" s="3">
        <f>1353.8+(141-516)+(-0.690438+(-0.07191--0.26316))+0-317.4--0.161873999999968</f>
        <v>661.06268599999999</v>
      </c>
      <c r="Z238" s="3">
        <f>1358+(130.3-500.4)+(-0.69258+(-0.066453--0.255204))+0-318.4--0.162383999999968</f>
        <v>669.15855500000009</v>
      </c>
      <c r="AA238" s="3">
        <f>1358.5+(127.1-487.5)+(-1.38567+(-0.129642--0.49725))+0-317--0.323340000000051</f>
        <v>680.40527800000007</v>
      </c>
      <c r="AB238" s="3">
        <f>1362.1+(122.9-482)+(0+(0-0))+0-316.7-0</f>
        <v>686.3</v>
      </c>
      <c r="AC238" s="3">
        <f>1361.2+(134.4-459)+(1.388424+(0.137088-0.46818))+0-317.8-0.324156000000051</f>
        <v>719.53317600000003</v>
      </c>
      <c r="AD238">
        <v>776.5999999999998</v>
      </c>
      <c r="AE238" s="3">
        <f>1339+(189.6-437.9)+(0+(0-0))+0-314.1-0</f>
        <v>776.6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1359.8+(125.1-483.8)+(-0.693498+(-0.063801--0.246738))+0-315.5--0.160904999999968</f>
        <v>685.25034399999981</v>
      </c>
      <c r="G239" s="3">
        <f>1364.1+(111.6-511.1)+(-0.695691+(-0.056916--0.260661))+0-318.5--0.162434999999968</f>
        <v>645.77048899999988</v>
      </c>
      <c r="H239" s="3">
        <f>1365.4+(74.8-539.2)+(-2.785416+(-0.152592--1.099968))+0-318.3--0.649331999999986</f>
        <v>581.51129199999991</v>
      </c>
      <c r="I239" s="3">
        <f>1369.4+(69-569.3)+(3.49197+(0.17595-1.451715))+0-317-0.808349999999954</f>
        <v>553.50785500000018</v>
      </c>
      <c r="J239" s="3">
        <f>1374.1+(73.4-579)+(0+(0-0))+0-316.9-0</f>
        <v>551.59999999999991</v>
      </c>
      <c r="K239" s="3">
        <f>1375+(79.1-584)+(-2.805+(-0.161364--1.19136))+0-316.9--0.646475999999986</f>
        <v>552.07147200000009</v>
      </c>
      <c r="L239" s="3">
        <f>1381.7+(53.2-563)+(1.409334+(0.054264-0.57426))+0-315.7-0.32201400000005</f>
        <v>556.76732399999992</v>
      </c>
      <c r="M239" s="3">
        <f>1375.3+(68.1-565.7)+(2.104209+(0.104193-0.865521))+0-315.1-0.482103000000018</f>
        <v>563.46077799999989</v>
      </c>
      <c r="N239" s="3">
        <f>1368.6+(79.8-561)+(1.395972+(0.081396-0.57222))+0-316.8-0.323136000000051</f>
        <v>571.18201199999987</v>
      </c>
      <c r="O239" s="3">
        <f>1365.8+(113-542.3)+(2.089674+(0.17289-0.829719))+0-320.6-0.490518000000019</f>
        <v>616.84232699999995</v>
      </c>
      <c r="P239" s="3">
        <f>1362.4+(150-534.3)+(0.694824+(0.0765-0.272493))+0-318.4-0.162383999999968</f>
        <v>660.03644700000018</v>
      </c>
      <c r="Q239" s="3">
        <f>1357+(145.2-459.9)+(-3.46035+(-0.37026--1.172745))+0-321.7--0.820334999999953</f>
        <v>718.76247000000001</v>
      </c>
      <c r="R239" s="3">
        <f>1352.4+(155.5-430.4)+(-3.44862+(-0.396525--1.09752))+0-319.9--0.815744999999954</f>
        <v>755.66812000000004</v>
      </c>
      <c r="S239" s="3">
        <f>1345.6+(134.8-392.7)+(-0.686256+(-0.068748--0.200277))+0-318.8--0.162587999999968</f>
        <v>768.50786099999982</v>
      </c>
      <c r="T239" s="3">
        <f>1348.3+(79.2-550.9)+(0.687633+(0.040392-0.280959))+0-183.6-0.0936359999999814</f>
        <v>693.35342999999989</v>
      </c>
      <c r="U239" s="3">
        <f>1348.1+(110.4-476.6)+(0+(0-0))+0-320.7-0</f>
        <v>661.19999999999982</v>
      </c>
      <c r="V239" s="3">
        <f>1349+(133.3-504.4)+(-0.68799+(-0.067983--0.257244))+0-321.4--0.163913999999967</f>
        <v>656.16518500000006</v>
      </c>
      <c r="W239" s="3">
        <f>1352.9+(186.9-477.1)+(0+(0-0))+0-319.3-0</f>
        <v>743.40000000000009</v>
      </c>
      <c r="X239" s="3">
        <f>1357.8+(170.3-492)+(-2.077434+(-0.260559--0.75276))+0-319.8--0.489294000000018</f>
        <v>715.20406099999991</v>
      </c>
      <c r="Y239" s="3">
        <f>1362.6+(148.6-511.6)+(-2.084778+(-0.227358--0.782748))+0-318.9--0.487917000000018</f>
        <v>679.65852899999993</v>
      </c>
      <c r="Z239" s="3">
        <f>1363.2+(144.8-507.8)+(-2.085696+(-0.221544--0.776934))+0-319.6--0.488988000000019</f>
        <v>679.55868200000009</v>
      </c>
      <c r="AA239" s="3">
        <f>1354+(159.9-498.5)+(-1.38108+(-0.163098--0.50847))+0-319.9--0.326298000000051</f>
        <v>694.79059000000007</v>
      </c>
      <c r="AB239" s="3">
        <f>1357.7+(148.6-530.8)+(-2.077281+(-0.227358--0.812124))+0-319.6--0.488988000000019</f>
        <v>654.89647300000013</v>
      </c>
      <c r="AC239" s="3">
        <f>1355.8+(160.7-525.6)+(-0.691458+(-0.081957--0.268056))+0-319.7--0.163046999999968</f>
        <v>670.85768799999983</v>
      </c>
      <c r="AD239">
        <v>747.4</v>
      </c>
      <c r="AE239" s="3">
        <f>1361+(168.3-463)+(0+(0-0))+0-318.9-0</f>
        <v>747.4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1362.2+(137.6-477.3)+(0.694722+(0.070176-0.243423))+0-319.4-0.162893999999968</f>
        <v>703.45858100000009</v>
      </c>
      <c r="G240" s="3">
        <f>1366.1+(97.9-531.7)+(0.696711+(0.049929-0.271167))+0-318.4-0.162383999999968</f>
        <v>614.21308899999985</v>
      </c>
      <c r="H240" s="3">
        <f>1369.7+(71.9-553.8)+(0+(0-0))+0-316.1-0</f>
        <v>571.70000000000005</v>
      </c>
      <c r="I240" s="3">
        <f>1371.9+(51-536.6)+(0+(0-0))+0-317.9-0</f>
        <v>568.40000000000009</v>
      </c>
      <c r="J240" s="3">
        <f>1372.6+(50.8-551.5)+(0.700026+(0.025908-0.281265))+0-319.5-0.162944999999968</f>
        <v>552.68172399999992</v>
      </c>
      <c r="K240" s="3">
        <f>1368.8+(51.7-553.8)+(1.396176+(0.052734-0.564876))+0-315.1-0.32140200000005</f>
        <v>552.16263200000003</v>
      </c>
      <c r="L240" s="3">
        <f>1367.1+(38.7-545.7)+(-1.394442+(-0.039474--0.556614))+0-318.2--0.324564000000051</f>
        <v>541.347262</v>
      </c>
      <c r="M240" s="3">
        <f>1364.2+(50.5-536.9)+(-0.695742+(-0.025755--0.273819))+0-317.7--0.162026999999968</f>
        <v>559.81434900000011</v>
      </c>
      <c r="N240" s="3">
        <f>1358.9+(82-530.3)+(0+(0-0))+0-318.1-0</f>
        <v>592.50000000000011</v>
      </c>
      <c r="O240" s="3">
        <f>1347.2+(124.5-510)+(0.687072+(0.063495-0.2601))+0-318.1-0.162230999999968</f>
        <v>643.92823599999997</v>
      </c>
      <c r="P240" s="3">
        <f>1348.3+(143.1-528)+(2.062899+(0.218943-0.80784))+0-315.5-0.482715000000018</f>
        <v>648.89128700000003</v>
      </c>
      <c r="Q240" s="3">
        <f>1356.2+(142.1-536.1)+(1.383324+(0.144942-0.546822))+0-315.1-0.32140200000005</f>
        <v>647.760042</v>
      </c>
      <c r="R240" s="3">
        <f>1332.9+(153.5-471.9)+(-4.078674+(-0.46971--1.444014))+0-315.1--0.964206000000037</f>
        <v>697.25983600000006</v>
      </c>
      <c r="S240" s="3">
        <f>1333.3+(139.3-434.2)+(-2.719932+(-0.284172--0.885768))+0-318.5--0.649739999999986</f>
        <v>718.43140400000004</v>
      </c>
      <c r="T240" s="3">
        <f>1329.4+(117.7-424.1)+(0+(0-0))+0-318.4-0</f>
        <v>704.6</v>
      </c>
      <c r="U240" s="3">
        <f>1329+(112.4-448.5)+(0.67779+(0.057324-0.228735))+0-318.6-0.162485999999968</f>
        <v>674.64389300000005</v>
      </c>
      <c r="V240" s="3">
        <f>1335.9+(145.8-465.8)+(-0.681309+(-0.074358--0.237558))+0-319.6--0.162995999999968</f>
        <v>695.94488700000011</v>
      </c>
      <c r="W240" s="3">
        <f>1344.8+(163.1-481.7)+(0+(0-0))+0-318.9-0</f>
        <v>707.29999999999984</v>
      </c>
      <c r="X240" s="3">
        <f>1348.6+(166.6-468.6)+(-2.063358+(-0.254898--0.716958))+0-319.7--0.489141000000018</f>
        <v>725.78784299999984</v>
      </c>
      <c r="Y240" s="3">
        <f>1347.4+(152.5-490.8)+(0+(0-0))+0-315.5-0</f>
        <v>693.60000000000014</v>
      </c>
      <c r="Z240" s="3">
        <f>1353.5+(146.2-479.9)+(-1.38057+(-0.149124--0.489498))+0-312.4--0.31864800000005</f>
        <v>706.67845199999999</v>
      </c>
      <c r="AA240" s="3">
        <f>1363.2+(141.1-505.9)+(-1.390464+(-0.143922--0.516018))+0-319.6--0.325992000000051</f>
        <v>678.1076240000001</v>
      </c>
      <c r="AB240" s="3">
        <f>1367.5+(145.8-518.5)+(-2.092275+(-0.223074--0.793305))+0-319.2--0.488376000000018</f>
        <v>674.56633199999987</v>
      </c>
      <c r="AC240" s="3">
        <f>1369.7+(132.4-542.7)+(-2.095641+(-0.202572--0.830331))+0-318.5--0.487305000000018</f>
        <v>639.91942299999994</v>
      </c>
      <c r="AD240">
        <v>755.4</v>
      </c>
      <c r="AE240" s="3">
        <f>1350+(166.8-441.3)+(0+(0-0))+0-320.1-0</f>
        <v>755.4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1370.8+(136.6-544.7)+(-2.097324+(-0.208998--0.833391))+0-318.4--0.487152000000018</f>
        <v>643.31422099999997</v>
      </c>
      <c r="G241" s="3">
        <f>1371.5+(87.4-495.5)+(-1.39893+(-0.089148--0.50541))+0-320.2--0.326604000000051</f>
        <v>642.54393600000003</v>
      </c>
      <c r="H241" s="3">
        <f>1372.9+(46.9-441.8)+(1.400358+(0.047838-0.450636))+0-320.7-0.327114000000051</f>
        <v>657.97044599999992</v>
      </c>
      <c r="I241" s="3">
        <f>1374+(24.8-486.3)+(0+(0-0))+0-319.5-0</f>
        <v>593</v>
      </c>
      <c r="J241" s="3">
        <f>1370.9+(18.7-489.8)+(-1.398318+(-0.019074--0.499596))+0-319.1--0.325482000000051</f>
        <v>580.10768600000017</v>
      </c>
      <c r="K241" s="3">
        <f>1373+(65.1-535.2)+(-1.40046+(-0.066402--0.545904))+0-318.2--0.324564000000051</f>
        <v>584.1036059999999</v>
      </c>
      <c r="L241" s="3">
        <f>1372.4+(70.2-515.6)+(-0.699924+(-0.035802--0.262956))+0-314.6--0.160445999999968</f>
        <v>612.08767599999999</v>
      </c>
      <c r="M241" s="3">
        <f>1372.2+(91.5-552.6)+(0+(0-0))+0-314.1-0</f>
        <v>597</v>
      </c>
      <c r="N241" s="3">
        <f>1358.7+(152-579.7)+(0+(0-0))+0-316.5-0</f>
        <v>614.5</v>
      </c>
      <c r="O241" s="3">
        <f>1349.7+(163-524.9)+(2.065041+(0.24939-0.803097))+0-319.3-0.488529000000018</f>
        <v>669.52280500000006</v>
      </c>
      <c r="P241" s="3">
        <f>1340.1+(179-451.9)+(-2.050353+(-0.27387--0.691407))+0-320.3--0.490059000000019</f>
        <v>745.75724299999979</v>
      </c>
      <c r="Q241" s="3">
        <f>1335.6+(192.4-451.2)+(-0.681156+(-0.098124--0.230112))+0-320.8--0.163607999999967</f>
        <v>755.61443999999995</v>
      </c>
      <c r="R241" s="3">
        <f>1332+(169.8-451.7)+(-2.03796+(-0.259794--0.691101))+0-320.3--0.490059000000019</f>
        <v>728.68340599999988</v>
      </c>
      <c r="S241" s="3">
        <f>1331.7+(150-432.7)+(-2.037501+(-0.2295--0.662031))+0-321--0.491130000000019</f>
        <v>726.8861599999999</v>
      </c>
      <c r="T241" s="3">
        <f>1329.8+(143.3-432)+(0+(0-0))+0-322-0</f>
        <v>719.09999999999991</v>
      </c>
      <c r="U241" s="3">
        <f>1331.7+(141-453.4)+(-0.679167+(-0.07191--0.231234))+0-320.8--0.163607999999967</f>
        <v>698.14376499999992</v>
      </c>
      <c r="V241" s="3">
        <f>1335.7+(139.9-462.1)+(-0.681207+(-0.071349--0.235671))+0-322.9--0.164678999999967</f>
        <v>690.247794</v>
      </c>
      <c r="W241" s="3">
        <f>1342.1+(166.6-433.4)+(0+(0-0))+0-323-0</f>
        <v>752.3</v>
      </c>
      <c r="X241" s="3">
        <f>1350.1+(166.9-367.9)+(-2.065653+(-0.255357--0.562887))+0-321.8--0.492354000000019</f>
        <v>826.03423099999986</v>
      </c>
      <c r="Y241" s="3">
        <f>1353.5+(144.8-406.7)+(-3.451425+(-0.36924--1.037085))+0-318.8--0.812939999999954</f>
        <v>770.82935999999984</v>
      </c>
      <c r="Z241" s="3">
        <f>1358+(133.7-401.5)+(-2.77032+(-0.272748--0.81906))+0-319.4--0.651575999999986</f>
        <v>769.22756800000013</v>
      </c>
      <c r="AA241" s="3">
        <f>1365.1+(100.6-422.4)+(-1.392402+(-0.102612--0.430848))+0-319.2--0.325584000000051</f>
        <v>723.36141800000007</v>
      </c>
      <c r="AB241" s="3">
        <f>1359.8+(97.2-418)+(-3.46749+(-0.24786--1.0659))+0-317.1--0.808604999999954</f>
        <v>720.05915500000003</v>
      </c>
      <c r="AC241" s="3">
        <f>1196.6+(123.4-330.7)+(-0.610266+(-0.062934--0.168657))+0-318.2--0.162281999999968</f>
        <v>670.7577389999999</v>
      </c>
      <c r="AD241">
        <v>759.5</v>
      </c>
      <c r="AE241" s="3">
        <f>1350+(161.1-432.1)+(0+(0-0))+0-319.5-0</f>
        <v>759.5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1104.5+(155.2-291.8)+(-2.25318+(-0.316608--0.595272))+0-320.2--0.653207999999986</f>
        <v>646.378692</v>
      </c>
      <c r="G242" s="3">
        <f>1105.7+(162.4-324.8)+(-2.255628+(-0.331296--0.662592))+0-320.2--0.653207999999986</f>
        <v>621.82887600000004</v>
      </c>
      <c r="H242" s="3">
        <f>1073.8+(124.8-265)+(0+(0-0))+0-321-0</f>
        <v>612.59999999999991</v>
      </c>
      <c r="I242" s="3">
        <f>1055+(123.9-265.6)+(-1.61415+(-0.189567--0.406368))+0-320.8--0.490824000000019</f>
        <v>591.5934749999999</v>
      </c>
      <c r="J242" s="3">
        <f>1034.6+(127.3-263)+(0.527646+(0.064923-0.13413))+0-320.2-0.163301999999968</f>
        <v>578.99513699999989</v>
      </c>
      <c r="K242" s="3">
        <f>1037.1+(145.8-276.2)+(-0.528921+(-0.074358--0.140862))+0-318.6--0.162485999999968</f>
        <v>587.80006899999989</v>
      </c>
      <c r="L242" s="3">
        <f>1035.4+(176.3-307.3)+(-2.64027+(-0.449565--0.783615))+0-318.4--0.811919999999954</f>
        <v>584.50570000000005</v>
      </c>
      <c r="M242" s="3">
        <f>1062.9+(186.6-323.3)+(0.542079+(0.095166-0.164883))+0-316.8-0.161567999999968</f>
        <v>609.71079400000008</v>
      </c>
      <c r="N242" s="3">
        <f>1101.6+(197.2-333.5)+(0.561816+(0.100572-0.170085))+0-318.5-0.162434999999968</f>
        <v>647.12986799999999</v>
      </c>
      <c r="O242" s="3">
        <f>1096.9+(217.7-285.6)+(-1.118838+(-0.222054--0.291312))+0-319.4--0.325788000000051</f>
        <v>708.87620800000002</v>
      </c>
      <c r="P242" s="3">
        <f>1090.2+(235.5-254.5)+(0.556002+(0.120105-0.129795))+0-319.9-0.163148999999968</f>
        <v>751.68316300000004</v>
      </c>
      <c r="Q242" s="3">
        <f>1081.2+(241.2-259.3)+(-2.205648+(-0.492048--0.528972))+0-321.8--0.656471999999986</f>
        <v>739.78774799999985</v>
      </c>
      <c r="R242" s="3">
        <f>1075.1+(239.4-284.4)+(-4.386408+(-0.976752--1.160352))+0-244.3--0.996743999999979</f>
        <v>782.59393599999999</v>
      </c>
      <c r="S242" s="3">
        <f>1072.4+(240.5-249.9)+(-0.546924+(-0.122655--0.127449))+0-323.1--0.164780999999967</f>
        <v>739.52265099999988</v>
      </c>
      <c r="T242" s="3">
        <f>1071.3+(253.2-272.1)+(0+(0-0))+0-321.1-0</f>
        <v>731.29999999999984</v>
      </c>
      <c r="U242" s="3">
        <f>1075.7+(245.5-290.1)+(-2.194428+(-0.50082--0.591804))+0-319.7--0.652187999999986</f>
        <v>709.94874399999981</v>
      </c>
      <c r="V242" s="3">
        <f>1078.7+(246.9-312.9)+(0.550137+(0.125919-0.159579))+0-320.2-0.163301999999968</f>
        <v>692.85317500000019</v>
      </c>
      <c r="W242" s="3">
        <f>1083.1+(275.2-306)+(0+(0-0))+0-322.5-0</f>
        <v>729.8</v>
      </c>
      <c r="X242" s="3">
        <f>1081.3+(274.5-283.1)+(-2.757315+(-0.699975--0.721905))+0-323--0.823649999999953</f>
        <v>747.7882649999998</v>
      </c>
      <c r="Y242" s="3">
        <f>1089.4+(259.7-287.5)+(0+(0-0))+0-323.5-0</f>
        <v>738.10000000000014</v>
      </c>
      <c r="Z242" s="3">
        <f>1092.5+(249.4-291.5)+(-2.2287+(-0.508776--0.59466))+0-323.4--0.659735999999986</f>
        <v>725.51692000000003</v>
      </c>
      <c r="AA242" s="3">
        <f>1097.2+(230.2-308.9)+(-0.559572+(-0.117402--0.157539))+0-321.1--0.163760999999967</f>
        <v>697.04432599999996</v>
      </c>
      <c r="AB242" s="3">
        <f>1099.8+(231.8-289)+(-1.682694+(-0.354654--0.44217))+0-320--0.489600000000018</f>
        <v>721.49442199999987</v>
      </c>
      <c r="AC242" s="3">
        <f>1101+(218.6-275.1)+(-4.49208+(-0.891888--1.122408))+0-320.3--1.30682399999997</f>
        <v>721.24526400000013</v>
      </c>
      <c r="AD242">
        <v>744</v>
      </c>
      <c r="AE242" s="3">
        <f>1088+(253.6-291.8)+(0+(0-0))+0-305.8-0</f>
        <v>744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1102.4+(184.3-345.5)+(-2.81112+(-0.469965--0.881025))+0-319.8--0.815489999999954</f>
        <v>619.81542999999988</v>
      </c>
      <c r="G243" s="3">
        <f>1101.2+(161.9-302.3)+(0.561612+(0.082569-0.154173))+0-319-0.162689999999968</f>
        <v>642.12731800000006</v>
      </c>
      <c r="H243" s="3">
        <f>1101+(154.4-288.9)+(-2.24604+(-0.314976--0.589356))+0-321.3--0.655451999999986</f>
        <v>643.88379199999986</v>
      </c>
      <c r="I243" s="3">
        <f>1108.2+(157.1-288.2)+(0+(0-0))+0-319.6-0</f>
        <v>657.5</v>
      </c>
      <c r="J243" s="3">
        <f>1102.9+(118.1-333)+(-1.124958+(-0.120462--0.33966))+0-319.2--0.325584000000051</f>
        <v>568.21982400000013</v>
      </c>
      <c r="K243" s="3">
        <f>1101.2+(97.9-292.8)+(1.123224+(0.099858-0.298656))+0-319.3-0.325686000000051</f>
        <v>587.59874000000002</v>
      </c>
      <c r="L243" s="3">
        <f>1102.3+(104.5-279)+(-1.124346+(-0.10659--0.28458))+0-315.5--0.32181000000005</f>
        <v>611.67545399999995</v>
      </c>
      <c r="M243" s="3">
        <f>1097.8+(110.1-332.1)+(-1.119756+(-0.112302--0.338742))+0-312.8--0.31905600000005</f>
        <v>562.42573999999991</v>
      </c>
      <c r="N243" s="3">
        <f>1089.8+(146.6-350.1)+(-0.555798+(-0.074766--0.178551))+0-313.6--0.159935999999968</f>
        <v>572.40792299999998</v>
      </c>
      <c r="O243" s="3">
        <f>1083.7+(179.5-347)+(-1.105374+(-0.18309--0.35394))+0-313.6--0.31987200000005</f>
        <v>601.98534800000004</v>
      </c>
      <c r="P243" s="3">
        <f>1079.5+(269.2-331.7)+(-1.651635+(-0.411876--0.507501))+0-314.8--0.481644000000018</f>
        <v>701.1256340000001</v>
      </c>
      <c r="Q243" s="3">
        <f>1070.6+(300.8-305.4)+(-1.092012+(-0.306816--0.311508))+0-314.8--0.32109600000005</f>
        <v>750.43377599999997</v>
      </c>
      <c r="R243" s="3">
        <f>1070.9+(261.7-313.2)+(-1.638477+(-0.400401--0.479196))+0-314.6--0.481338000000018</f>
        <v>703.72165600000017</v>
      </c>
      <c r="S243" s="3">
        <f>1067.8+(221.2-297.4)+(-1.633734+(-0.338436--0.455022))+0-314--0.480420000000018</f>
        <v>676.56327199999987</v>
      </c>
      <c r="T243" s="3">
        <f>1069+(231.4-263.7)+(-2.18076+(-0.472056--0.537948))+0-313.6--0.639743999999986</f>
        <v>721.62487600000009</v>
      </c>
      <c r="U243" s="3">
        <f>1069.1+(192.4-282.9)+(0+(0-0))+0-313.6-0</f>
        <v>664.99999999999989</v>
      </c>
      <c r="V243" s="3">
        <f>1071.8+(215-315)+(0+(0-0))+0-314.1-0</f>
        <v>657.69999999999993</v>
      </c>
      <c r="W243" s="3">
        <f>1077.2+(269.4-328.4)+(0.549372+(0.137394-0.167484))+0-317.1-0.161720999999968</f>
        <v>701.45756100000006</v>
      </c>
      <c r="X243" s="3">
        <f>1079.4+(258.1-335.8)+(0+(0-0))+0-317.7-0</f>
        <v>684</v>
      </c>
      <c r="Y243" s="3">
        <f>1081.3+(254.6-324.9)+(0.551463+(0.129846-0.165699))+0-317.1-0.161720999999968</f>
        <v>694.25388900000007</v>
      </c>
      <c r="Z243" s="3">
        <f>1081.7+(246.3-319.4)+(-1.103334+(-0.251226--0.325788))+0-315.8--0.32211600000005</f>
        <v>692.09334400000012</v>
      </c>
      <c r="AA243" s="3">
        <f>1084.6+(251.1-287.7)+(-1.106292+(-0.256122--0.293454))+0-314.9--0.32119800000005</f>
        <v>732.35223800000006</v>
      </c>
      <c r="AB243" s="3">
        <f>1088.6+(246.5-285.5)+(-2.220744+(-0.50286--0.58242))+0-315.4--0.643415999999986</f>
        <v>732.70223199999987</v>
      </c>
      <c r="AC243" s="3">
        <f>1088.2+(220.7-284.4)+(-2.219928+(-0.450228--0.580176))+0-314.1--0.640763999999986</f>
        <v>708.950784</v>
      </c>
      <c r="AD243">
        <v>734.60000000000014</v>
      </c>
      <c r="AE243" s="3">
        <f>1077+(260.8-284.9)+(0+(0-0))+0-318.3-0</f>
        <v>734.60000000000014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1090.9+(203.3-248.4)+(0+(0-0))+0-315.2-0</f>
        <v>730.60000000000014</v>
      </c>
      <c r="G244" s="3">
        <f>1092.5+(158.7-231.1)+(-2.785875+(-0.404685--0.589305))+0-315.5--0.804524999999954</f>
        <v>702.80326999999988</v>
      </c>
      <c r="H244" s="3">
        <f>1091.6+(152.4-246.7)+(1.670148+(0.233172-0.377451))+0-315.8-0.483174000000018</f>
        <v>682.54269499999987</v>
      </c>
      <c r="I244" s="3">
        <f>1089.4+(138.1-254.1)+(-1.111188+(-0.140862--0.259182))+0-315.2--0.32150400000005</f>
        <v>657.52863600000001</v>
      </c>
      <c r="J244" s="3">
        <f>1088.1+(160.4-287.2)+(2.774655+(0.40902-0.73236))+0-313.9-0.800444999999954</f>
        <v>649.05087000000003</v>
      </c>
      <c r="K244" s="3">
        <f>1087+(190.4-340.3)+(0.55437+(0.097104-0.173553))+0-314.5-0.160394999999968</f>
        <v>622.91752600000007</v>
      </c>
      <c r="L244" s="3">
        <f>1089.4+(192.3-369.9)+(-1.666782+(-0.294219--0.565947))+0-315.8--0.483174000000018</f>
        <v>595.08812000000012</v>
      </c>
      <c r="M244" s="3">
        <f>1088.1+(176.5-345)+(0.554931+(0.090015-0.17595))+0-316.6-0.161465999999968</f>
        <v>603.30752999999982</v>
      </c>
      <c r="N244" s="3">
        <f>1087.7+(238.9-352.2)+(0.554727+(0.121839-0.179622))+0-317.8-0.162077999999968</f>
        <v>656.93486600000017</v>
      </c>
      <c r="O244" s="3">
        <f>1084.5+(271.7-336.2)+(-2.21238+(-0.554268--0.685848))+0-319.4--0.651575999999986</f>
        <v>699.17077600000005</v>
      </c>
      <c r="P244" s="3">
        <f>1076+(287.8-306.1)+(-0.54876+(-0.146778--0.156111))+0-319.4--0.162893999999968</f>
        <v>737.92346700000007</v>
      </c>
      <c r="Q244" s="3">
        <f>1073.1+(304.8-291.5)+(0.547281+(0.155448-0.148665))+0-319.9-0.163148999999968</f>
        <v>766.89091499999984</v>
      </c>
      <c r="R244" s="3">
        <f>1061.1+(320.2-272.6)+(-1.623483+(-0.489906--0.417078))+0-319.5--0.488835000000018</f>
        <v>787.99252399999989</v>
      </c>
      <c r="S244" s="3">
        <f>1174.9+(317.1-285.8)+(-1.797597+(-0.485163--0.437274))+0-319.5--0.488835000000018</f>
        <v>885.3433490000001</v>
      </c>
      <c r="T244" s="3">
        <f>1315.3+(240.3-361.7)+(-0.670803+(-0.122553--0.184467))+0-319.7--0.163046999999968</f>
        <v>873.75415799999996</v>
      </c>
      <c r="U244" s="3">
        <f>1326.4+(197.9-413.2)+(-2.029392+(-0.302787--0.632196))+0-318.4--0.487152000000018</f>
        <v>791.48716900000022</v>
      </c>
      <c r="V244" s="3">
        <f>1332.9+(196.4-466.9)+(-0.679779+(-0.100164--0.238119))+0-319.3--0.162842999999968</f>
        <v>742.72101900000018</v>
      </c>
      <c r="W244" s="3">
        <f>1335+(239.4-429.1)+(0.68085+(0.122094-0.218841))+0-321.3-0.163862999999967</f>
        <v>824.42023999999992</v>
      </c>
      <c r="X244" s="3">
        <f>1341.3+(236.1-390.7)+(-2.736252+(-0.481644--0.797028))+0-321.6--0.656063999999986</f>
        <v>863.33519600000011</v>
      </c>
      <c r="Y244" s="3">
        <f>1344.2+(222.4-389.4)+(0+(0-0))+0-319.5-0</f>
        <v>857.7</v>
      </c>
      <c r="Z244" s="3">
        <f>1344.8+(202.2-379.3)+(-0.685848+(-0.103122--0.193443))+0-320.2--0.163301999999968</f>
        <v>847.06777499999976</v>
      </c>
      <c r="AA244" s="3">
        <f>1351.5+(181-400.7)+(-4.13559+(-0.55386--1.226142))+0-319--0.976140000000037</f>
        <v>810.31283199999984</v>
      </c>
      <c r="AB244" s="3">
        <f>1350.1+(174.2-406.5)+(-1.377102+(-0.177684--0.41463))+0-318.7--0.325074000000051</f>
        <v>798.28491800000006</v>
      </c>
      <c r="AC244" s="3">
        <f>1353.3+(162.4-393.9)+(-4.831281+(-0.579768--1.406223))+0-316.4--1.129548</f>
        <v>802.52472199999988</v>
      </c>
      <c r="AD244">
        <v>862.60000000000014</v>
      </c>
      <c r="AE244" s="3">
        <f>1344+(238-398.1)+(0+(0-0))+0-321.3-0</f>
        <v>862.60000000000014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1353.3+(95.7-382.1)+(-2.070549+(-0.146421--0.584613))+0-320.5--0.490365000000019</f>
        <v>745.2580079999999</v>
      </c>
      <c r="G245" s="3">
        <f>1353.2+(93.2-396.9)+(-1.380264+(-0.095064--0.404838))+0-321.8--0.328236000000051</f>
        <v>726.95774600000004</v>
      </c>
      <c r="H245" s="3">
        <f>1355.6+(58.3-387.9)+(0+(0-0))+0-319.3-0</f>
        <v>706.7</v>
      </c>
      <c r="I245" s="3">
        <f>1360.1+(42-387.5)+(0+(0-0))+0-321-0</f>
        <v>693.59999999999991</v>
      </c>
      <c r="J245" s="3">
        <f>1361.8+(34.6-406.1)+(1.389036+(0.035292-0.414222))+0-320.6-0.327012000000051</f>
        <v>670.3830939999998</v>
      </c>
      <c r="K245" s="3">
        <f>1363.1+(36.6-424.5)+(1.390362+(0.037332-0.43299))+0-319.1-0.325482000000051</f>
        <v>656.76922199999979</v>
      </c>
      <c r="L245" s="3">
        <f>1365.2+(59.1-444.2)+(2.088756+(0.090423-0.679626))+0-317.4-0.485622000000018</f>
        <v>663.71393100000012</v>
      </c>
      <c r="M245" s="3">
        <f>1364+(102.6-518.2)+(2.08692+(0.156978-0.792846))+0-316.8-0.484704000000018</f>
        <v>632.56634800000006</v>
      </c>
      <c r="N245" s="3">
        <f>1356.9+(162.3-535.4)+(-0.692019+(-0.082773--0.273054))+0-318--0.162179999999968</f>
        <v>665.46044200000006</v>
      </c>
      <c r="O245" s="3">
        <f>1348.1+(180.9-500.7)+(-0.687531+(-0.092259--0.255357))+0-319.3--0.162842999999968</f>
        <v>708.63840999999991</v>
      </c>
      <c r="P245" s="3">
        <f>1342.2+(200.3-457.8)+(-0.684522+(-0.102153--0.233478))+0-320--0.163199999999968</f>
        <v>764.31000300000005</v>
      </c>
      <c r="Q245" s="3">
        <f>1334.6+(195.5-436.4)+(-2.041938+(-0.299115--0.667692))+0-320.3--0.490059000000019</f>
        <v>772.21669799999972</v>
      </c>
      <c r="R245" s="3">
        <f>1330.7+(108.7-437.5)+(-2.035971+(-0.166311--0.669375))+0-199.8--0.305694000000012</f>
        <v>800.87278700000013</v>
      </c>
      <c r="S245" s="3">
        <f>1329.3+(129.5-298.3)+(-2.711772+(-0.26418--0.608532))+0-320.6--0.654023999999986</f>
        <v>838.18660399999987</v>
      </c>
      <c r="T245" s="3">
        <f>1326.5+(157.9-334.8)+(-0.676515+(-0.080529--0.170748))+0-318.9--0.162638999999968</f>
        <v>830.276343</v>
      </c>
      <c r="U245" s="3">
        <f>1327.6+(127.8-373.5)+(2.031228+(0.195534-0.571455))+0-320.1-0.489753000000019</f>
        <v>762.96555399999977</v>
      </c>
      <c r="V245" s="3">
        <f>1335.6+(136.8-422.8)+(-3.40578+(-0.34884--1.07814))+0-319.6--0.814979999999954</f>
        <v>728.13849999999979</v>
      </c>
      <c r="W245" s="3">
        <f>1343.1+(158.6-405.2)+(0.684981+(0.080886-0.206652))+0-322.4-0.164423999999967</f>
        <v>774.49479100000008</v>
      </c>
      <c r="X245" s="3">
        <f>1351.3+(151.7-395.1)+(-4.134978+(-0.464202--1.209006))+0-320.5--0.980730000000037</f>
        <v>784.99055599999997</v>
      </c>
      <c r="Y245" s="3">
        <f>1340.9+(119.7-364)+(-1.367718+(-0.122094--0.37128))+0-319.7--0.326094000000051</f>
        <v>776.10756200000014</v>
      </c>
      <c r="Z245" s="3">
        <f>1357.3+(106.6-380.1)+(-2.768892+(-0.217464--0.775404))+0-317.7--0.648107999999986</f>
        <v>764.53715599999998</v>
      </c>
      <c r="AA245" s="3">
        <f>1358.1+(99.7-392.5)+(-3.463155+(-0.254235--1.000875))+0-320--0.815999999999954</f>
        <v>743.3994849999998</v>
      </c>
      <c r="AB245" s="3">
        <f>1360.8+(63.2-348.6)+(-2.082024+(-0.096696--0.533358))+0-319.1--0.488223000000018</f>
        <v>755.14286099999993</v>
      </c>
      <c r="AC245" s="3">
        <f>1366.7+(66.3-332.9)+(-1.394034+(-0.067626--0.339558))+0-317.4--0.323748000000051</f>
        <v>781.90164600000014</v>
      </c>
      <c r="AD245">
        <v>757.40000000000009</v>
      </c>
      <c r="AE245" s="3">
        <f>1357+(166.7-438.5)+(0+(0-0))+0-327.8-0</f>
        <v>757.40000000000009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1376.3+(87.6-360)+(1.403826+(0.089352-0.3672))+0-321.4-0.327828000000051</f>
        <v>783.29815000000008</v>
      </c>
      <c r="G246" s="3">
        <f>1378.4+(74-403.5)+(-1.405968+(-0.07548--0.41157))+0-322.3--0.328746000000051</f>
        <v>725.85886800000014</v>
      </c>
      <c r="H246" s="3">
        <f>1377.3+(67.4-393.5)+(0.702423+(0.034374-0.200685))+0-322.8-0.164627999999967</f>
        <v>728.77148399999987</v>
      </c>
      <c r="I246" s="3">
        <f>1378.9+(57.8-390.2)+(0.703239+(0.029478-0.199002))+0-320.7-0.163556999999967</f>
        <v>726.17015800000001</v>
      </c>
      <c r="J246" s="3">
        <f>1380.9+(40.9-442.1)+(-1.408518+(-0.041718--0.450942))+0-318.7--0.325074000000051</f>
        <v>660.32578000000012</v>
      </c>
      <c r="K246" s="3">
        <f>1383.9+(49.3-465.6)+(1.411578+(0.050286-0.474912))+0-320.8-0.327216000000051</f>
        <v>647.45973600000013</v>
      </c>
      <c r="L246" s="3">
        <f>1380.7+(66.2-517.5)+(-1.408314+(-0.067524--0.52785))+0-319.6--0.325992000000051</f>
        <v>609.1780040000001</v>
      </c>
      <c r="M246" s="3">
        <f>1372.6+(80.8-519.7)+(-0.700026+(-0.041208--0.265047))+0-320.2--0.163301999999968</f>
        <v>613.18711499999972</v>
      </c>
      <c r="N246" s="3">
        <f>1361.3+(139.4-519.2)+(0+(0-0))+0-320.3-0</f>
        <v>661.19999999999982</v>
      </c>
      <c r="O246" s="3">
        <f>1359.3+(195.5-540.3)+(0.693243+(0.099705-0.275553))+0-322.5-0.164474999999967</f>
        <v>692.35292000000004</v>
      </c>
      <c r="P246" s="3">
        <f>1350.6+(205.1-507.3)+(-1.377612+(-0.209202--0.517446))+0-322.2--0.328644000000051</f>
        <v>725.45927599999993</v>
      </c>
      <c r="Q246" s="3">
        <f>1340.1+(223.4-474.4)+(-3.417255+(-0.56967--1.20972))+0-323.7--0.825434999999953</f>
        <v>763.44822999999974</v>
      </c>
      <c r="R246" s="3">
        <f>1334.3+(228.7-468.8)+(-2.041479+(-0.349911--0.717264))+0-322.3--0.493119000000019</f>
        <v>770.71899299999995</v>
      </c>
      <c r="S246" s="3">
        <f>1335.2+(211.1-446.7)+(-1.361904+(-0.215322--0.455634))+0-321.5--0.327930000000051</f>
        <v>777.30633800000021</v>
      </c>
      <c r="T246" s="3">
        <f>1333.9+(202-444.6)+(2.040867+(0.30906-0.680238))+0-322-0.492660000000019</f>
        <v>770.47702900000024</v>
      </c>
      <c r="U246" s="3">
        <f>1339+(186.3-466.1)+(0.68289+(0.095013-0.237711))+0-319.9-0.163148999999968</f>
        <v>739.67704300000003</v>
      </c>
      <c r="V246" s="3">
        <f>1343.3+(196.3-524.1)+(0+(0-0))+0-318.4-0</f>
        <v>697.1</v>
      </c>
      <c r="W246" s="3">
        <f>1350+(232.3-519.5)+(0+(0-0))+0-319.9-0</f>
        <v>742.9</v>
      </c>
      <c r="X246" s="3">
        <f>1359.4+(226.3-512.9)+(-2.079882+(-0.346239--0.784737))+0-320.3--0.490059000000019</f>
        <v>751.34867500000018</v>
      </c>
      <c r="Y246" s="3">
        <f>1361.1+(220.8-513.7)+(-3.470805+(-0.56304--1.309935))+0-318.1--0.811154999999954</f>
        <v>748.18724499999985</v>
      </c>
      <c r="Z246" s="3">
        <f>1363+(213.1-508.1)+(0+(0-0))+0-318.3-0</f>
        <v>749.7</v>
      </c>
      <c r="AA246" s="3">
        <f>1363.9+(203.8-495.6)+(-3.477945+(-0.51969--1.26378))+0-320.8--0.818039999999953</f>
        <v>749.38418500000023</v>
      </c>
      <c r="AB246" s="3">
        <f>1367.9+(197-480.8)+(-2.790516+(-0.40188--0.980832))+0-319.1--0.650963999999986</f>
        <v>763.43940000000009</v>
      </c>
      <c r="AC246" s="3">
        <f>1364.2+(144.3-419.9)+(-2.782968+(-0.294372--0.856596))+0-317--0.646679999999986</f>
        <v>770.02593600000012</v>
      </c>
      <c r="AD246">
        <v>763.09999999999991</v>
      </c>
      <c r="AE246" s="3">
        <f>1358+(233-508.4)+(0+(0-0))+0-319.5-0</f>
        <v>763.09999999999991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1365+(94-396.1)+(-2.08845+(-0.14382--0.606033))+0-318--0.486540000000018</f>
        <v>743.76030300000014</v>
      </c>
      <c r="G247" s="3">
        <f>1366+(90.1-423.9)+(0+(0-0))+0-319.5-0</f>
        <v>712.7</v>
      </c>
      <c r="H247" s="3">
        <f>1369.4+(102.4-459.9)+(0+(0-0))+0-320.1-0</f>
        <v>691.80000000000007</v>
      </c>
      <c r="I247" s="3">
        <f>1370.7+(128.6-514.5)+(0+(0-0))+0-317.5-0</f>
        <v>667.30000000000007</v>
      </c>
      <c r="J247" s="3">
        <f>1376+(155.3-564.5)+(2.80704+(0.316812-1.15158))+0-319-0.650759999999986</f>
        <v>649.12151199999994</v>
      </c>
      <c r="K247" s="3">
        <f>1374.9+(154.1-581.1)+(2.804796+(0.314364-1.185444))+0-317.3-0.647291999999986</f>
        <v>631.88642400000015</v>
      </c>
      <c r="L247" s="3">
        <f>1378.4+(152-600.8)+(1.405968+(0.15504-0.612816))+0-315.6-0.32191200000005</f>
        <v>614.62628000000007</v>
      </c>
      <c r="M247" s="3">
        <f>1376.8+(156.3-593)+(0+(0-0))+0-318.1-0</f>
        <v>621.99999999999989</v>
      </c>
      <c r="N247" s="3">
        <f>1364.2+(169.9-548.3)+(0.695742+(0.086649-0.279633))+0-321.3-0.163862999999967</f>
        <v>664.83889500000009</v>
      </c>
      <c r="O247" s="3">
        <f>1368+(182.7-521.9)+(1.39536+(0.186354-0.532338))+0-322.5-0.328950000000051</f>
        <v>707.02042599999982</v>
      </c>
      <c r="P247" s="3">
        <f>1352.6+(208.2-504.9)+(-0.689826+(-0.106182--0.257499))+0-321.5--0.163964999999967</f>
        <v>734.02545599999985</v>
      </c>
      <c r="Q247" s="3">
        <f>1345.5+(228.6-490)+(-4.11723+(-0.699516--1.4994))+0-322.8--0.987768000000037</f>
        <v>758.97042199999999</v>
      </c>
      <c r="R247" s="3">
        <f>1346.4+(219.2-465.6)+(-2.746656+(-0.447168--0.949824))+0-322--0.656879999999986</f>
        <v>776.41288000000009</v>
      </c>
      <c r="S247" s="3">
        <f>1343.7+(273.2-526.2)+(-0.685287+(-0.139332--0.268362))+0-320.8--0.163607999999967</f>
        <v>769.50735100000009</v>
      </c>
      <c r="T247" s="3">
        <f>1337.5+(221.4-446.5)+(0+(0-0))+0-320.2-0</f>
        <v>792.2</v>
      </c>
      <c r="U247" s="3">
        <f>1340.8+(188.4-421.7)+(0.683808+(0.096084-0.215067))+0-318.7-0.162536999999968</f>
        <v>789.20228799999995</v>
      </c>
      <c r="V247" s="3">
        <f>1343.9+(176.6-456)+(0.685389+(0.090066-0.23256))+0-318.7-0.162536999999968</f>
        <v>746.18035800000007</v>
      </c>
      <c r="W247" s="3">
        <f>1353.5+(238.6-536.3)+(-0.690285+(-0.121686--0.273513))+0-320.5--0.163454999999967</f>
        <v>734.92499700000019</v>
      </c>
      <c r="X247" s="3">
        <f>1346.8+(253.8-505.1)+(0+(0-0))+0-321.5-0</f>
        <v>774</v>
      </c>
      <c r="Y247" s="3">
        <f>1350.2+(229.4-522.2)+(-2.754408+(-0.467976--1.065288))+0-319.2--0.651167999999986</f>
        <v>736.69407200000012</v>
      </c>
      <c r="Z247" s="3">
        <f>1358.1+(222.4-502.2)+(-0.692631+(-0.113424--0.256122))+0-319.3--0.162842999999968</f>
        <v>758.61290999999994</v>
      </c>
      <c r="AA247" s="3">
        <f>1368.4+(207-490.6)+(-2.791536+(-0.42228--1.000824))+0-318.9--0.650555999999986</f>
        <v>764.33756400000016</v>
      </c>
      <c r="AB247" s="3">
        <f>1369+(168.2-434.7)+(-2.09457+(-0.257346--0.665091))+0-319.2--0.488376000000018</f>
        <v>782.10155099999997</v>
      </c>
      <c r="AC247" s="3">
        <f>1364.9+(91.8-322.5)+(-2.088297+(-0.140454--0.493425))+0-318.4--0.487152000000018</f>
        <v>814.55182600000012</v>
      </c>
      <c r="AD247">
        <v>786.1</v>
      </c>
      <c r="AE247" s="3">
        <f>1345+(270-502.3)+(0+(0-0))+0-326.6-0</f>
        <v>786.1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1362.7+(85.7-326.3)+(-1.389954+(-0.087414--0.332826))+0-317.5--0.323850000000051</f>
        <v>803.77930800000001</v>
      </c>
      <c r="G248" s="3">
        <f>1364.4+(70.1-390.5)+(-1.391688+(-0.071502--0.39831))+0-320.1--0.326502000000051</f>
        <v>723.16162200000008</v>
      </c>
      <c r="H248" s="3">
        <f>1309+(102-342.6)+(-1.33518+(-0.10404--0.349452))+0-318.9--0.325278000000051</f>
        <v>748.73551000000009</v>
      </c>
      <c r="I248" s="3">
        <f>1272.2+(110.8-364.4)+(-0.648822+(-0.056508--0.185844))+0-320.3--0.163352999999968</f>
        <v>697.94386699999995</v>
      </c>
      <c r="J248" s="3">
        <f>1274.9+(115.6-403.1)+(1.300398+(0.117912-0.411162))+0-319.4-0.325788000000051</f>
        <v>668.68136000000004</v>
      </c>
      <c r="K248" s="3">
        <f>1274.8+(111.1-443.5)+(1.300296+(0.113322-0.45237))+0-318.4-0.324768000000051</f>
        <v>624.63647999999989</v>
      </c>
      <c r="L248" s="3">
        <f>1277.2+(133-501.3)+(-0.651372+(-0.06783--0.255663))+0-314.4--0.160343999999968</f>
        <v>594.19680500000015</v>
      </c>
      <c r="M248" s="3">
        <f>1276.1+(142.9-528.7)+(0+(0-0))+0-314.8-0</f>
        <v>575.49999999999977</v>
      </c>
      <c r="N248" s="3">
        <f>1323+(155.3-577.3)+(-0.67473+(-0.079203--0.294423))+0-315.2--0.160751999999968</f>
        <v>585.50124200000005</v>
      </c>
      <c r="O248" s="3">
        <f>1368.2+(153.6-608.8)+(0.697782+(0.078336-0.310488))+0-316.9-0.161618999999968</f>
        <v>596.4040110000002</v>
      </c>
      <c r="P248" s="3">
        <f>1373.8+(146.6-614.2)+(-0.700638+(-0.074766--0.313242))+0-319.4--0.162893999999968</f>
        <v>586.50073199999986</v>
      </c>
      <c r="Q248" s="3">
        <f>1372.9+(149-611.8)+(-2.800716+(-0.30396--1.248072))+0-322.1--0.657083999999986</f>
        <v>586.80048000000011</v>
      </c>
      <c r="R248" s="3">
        <f>1364.2+(153.3-587.6)+(-3.47871+(-0.390915--1.49838))+0-321.2--0.819059999999953</f>
        <v>607.14781499999992</v>
      </c>
      <c r="S248" s="3">
        <f>1359.8+(135-572.3)+(-2.773992+(-0.2754--1.167492))+0-320.1--0.653003999999986</f>
        <v>601.17110400000001</v>
      </c>
      <c r="T248" s="3">
        <f>1361.4+(134.8-545.1)+(-2.082942+(-0.206244--0.834003))+0-321.5--0.491895000000019</f>
        <v>628.6367120000001</v>
      </c>
      <c r="U248" s="3">
        <f>1363.8+(144.4-585.3)+(-1.391076+(-0.147288--0.597006))+0-321.8--0.328236000000051</f>
        <v>600.48687799999993</v>
      </c>
      <c r="V248" s="3">
        <f>1365.2+(147.3-563.5)+(-1.392504+(-0.150246--0.57477))+0-320.9--0.327318000000051</f>
        <v>627.45933800000012</v>
      </c>
      <c r="W248" s="3">
        <f>1365.9+(140.9-525)+(0.696609+(0.071859-0.26775))+0-318.7-0.162536999999968</f>
        <v>663.43818100000021</v>
      </c>
      <c r="X248" s="3">
        <f>1371.5+(125.5-506.8)+(-4.19679+(-0.38403--1.550808))+0-320.3--0.980118000000037</f>
        <v>667.85010599999998</v>
      </c>
      <c r="Y248" s="3">
        <f>1375.2+(93.1-565.8)+(-4.909464+(-0.332367--2.019906))+0-319.5--1.140615</f>
        <v>580.91869000000008</v>
      </c>
      <c r="Z248" s="3">
        <f>1378.4+(88.4-531.6)+(-2.108952+(-0.135252--0.813348))+0-324.7--0.496791000000019</f>
        <v>609.56593500000008</v>
      </c>
      <c r="AA248" s="3">
        <f>1378.6+(75.5-519.4)+(-1.406172+(-0.07701--0.529788))+0-322.1--0.328542000000051</f>
        <v>611.97514799999999</v>
      </c>
      <c r="AB248" s="3">
        <f>1377.2+(56.7-505.6)+(-2.107116+(-0.086751--0.773568))+0-321.5--0.491895000000019</f>
        <v>605.87159599999995</v>
      </c>
      <c r="AC248" s="3">
        <f>1255.2+(62.7-421.7)+(-0.640152+(-0.031977--0.215067))+0-321.9--0.164168999999967</f>
        <v>574.00710700000013</v>
      </c>
      <c r="AD248">
        <v>685.7</v>
      </c>
      <c r="AE248" s="3">
        <f>1375+(126.9-496.7)+(0+(0-0))+0-319.5-0</f>
        <v>685.7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1145.1+(67.5-344.9)+(-1.752003+(-0.103275--0.527697))+0-319.7--0.489141000000018</f>
        <v>547.16156000000001</v>
      </c>
      <c r="G249" s="3">
        <f>1148.9+(34.5-329)+(-1.171878+(-0.03519--0.33558))+0-322.5--0.328950000000051</f>
        <v>531.35746200000017</v>
      </c>
      <c r="H249" s="3">
        <f>1136.4+(40.2-338.8)+(-2.318256+(-0.082008--0.691152))+0-322.3--0.657491999999986</f>
        <v>514.44837999999993</v>
      </c>
      <c r="I249" s="3">
        <f>1136.9+(23.5-327.8)+(1.159638+(0.02397-0.334356))+0-322.2-0.328644000000051</f>
        <v>510.92060800000007</v>
      </c>
      <c r="J249" s="3">
        <f>1139.6+(57.1-324.3)+(-2.324784+(-0.116484--0.661572))+0-319.1--0.650963999999986</f>
        <v>552.17126799999983</v>
      </c>
      <c r="K249" s="3">
        <f>1144.4+(40.1-364.4)+(-1.750932+(-0.061353--0.557532))+0-318.6--0.487458000000018</f>
        <v>500.73270500000007</v>
      </c>
      <c r="L249" s="3">
        <f>1147+(52.7-377)+(0+(0-0))+0-317-0</f>
        <v>505.70000000000005</v>
      </c>
      <c r="M249" s="3">
        <f>1140.6+(86-369)+(0+(0-0))+0-316-0</f>
        <v>541.59999999999991</v>
      </c>
      <c r="N249" s="3">
        <f>1136.7+(148.9-421.4)+(1.159434+(0.151878-0.429828))+0-319.8-0.326196000000051</f>
        <v>544.955288</v>
      </c>
      <c r="O249" s="3">
        <f>1136.2+(172.5-417.8)+(-0.579462+(-0.087975--0.213078))+0-318.3--0.162332999999968</f>
        <v>572.30797400000006</v>
      </c>
      <c r="P249" s="3">
        <f>1133.3+(171.8-426.7)+(-0.577983+(-0.087618--0.217617))+0-317.3--0.161822999999968</f>
        <v>560.81383899999992</v>
      </c>
      <c r="Q249" s="3">
        <f>1129.8+(165.5-403.7)+(-1.728594+(-0.253215--0.617661))+0-317.3--0.485469000000018</f>
        <v>573.42132099999981</v>
      </c>
      <c r="R249" s="3">
        <f>1126.6+(178.8-326.8)+(-2.298264+(-0.364752--0.666672))+0-318.2--0.649127999999986</f>
        <v>659.05278399999997</v>
      </c>
      <c r="S249" s="3">
        <f>1125.2+(169.6-303.6)+(1.147704+(0.172992-0.309672))+0-319.8-0.326196000000051</f>
        <v>672.0848279999999</v>
      </c>
      <c r="T249" s="3">
        <f>1124.1+(149.3-376)+(-0.573291+(-0.076143--0.19176))+0-319.2--0.162791999999968</f>
        <v>577.90511799999979</v>
      </c>
      <c r="U249" s="3">
        <f>1126.7+(159-353.4)+(-0.574617+(-0.08109--0.180234))+0-318--0.162179999999968</f>
        <v>613.98670700000002</v>
      </c>
      <c r="V249" s="3">
        <f>1129.4+(152.4-371.4)+(-0.575994+(-0.077724--0.189414))+0-319.5--0.162944999999968</f>
        <v>590.59864100000004</v>
      </c>
      <c r="W249" s="3">
        <f>1136.8+(174.5-381.1)+(0.579768+(0.088995-0.194361))+0-319.8-0.163097999999968</f>
        <v>610.71130399999993</v>
      </c>
      <c r="X249" s="3">
        <f>1141.5+(164.4-367.5)+(-3.49299+(-0.503064--1.12455))+0-319.2--0.976752000000037</f>
        <v>617.30524800000012</v>
      </c>
      <c r="Y249" s="3">
        <f>1142.1+(151-363.4)+(-1.747413+(-0.23103--0.556002))+0-316.7--0.484551000000018</f>
        <v>612.06210999999985</v>
      </c>
      <c r="Z249" s="3">
        <f>1144.8+(138.5-350.7)+(-2.335392+(-0.28254--0.715428))+0-319.1--0.650963999999986</f>
        <v>612.2484599999998</v>
      </c>
      <c r="AA249" s="3">
        <f>1146.3+(130.9-367.5)+(-1.169226+(-0.133518--0.37485))+0-317.7--0.324054000000051</f>
        <v>591.3961599999999</v>
      </c>
      <c r="AB249" s="3">
        <f>1143.4+(112.5-388.1)+(-1.749402+(-0.172125--0.593793))+0-317.3--0.485469000000018</f>
        <v>549.657735</v>
      </c>
      <c r="AC249" s="3">
        <f>1136+(116.3-348.3)+(-3.47616+(-0.355878--1.065798))+0-315.5--0.965430000000036</f>
        <v>586.69919000000004</v>
      </c>
      <c r="AD249">
        <v>630.09999999999991</v>
      </c>
      <c r="AE249" s="3">
        <f>1147+(170.1-367.5)+(0+(0-0))+0-319.5-0</f>
        <v>630.1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996+(110.5-263.6)+(1.01592+(0.11271-0.268872))+0-317.8-0.324156000000051</f>
        <v>525.63560199999995</v>
      </c>
      <c r="G250" s="3">
        <f>987.9+(104.4-282.2)+(-1.511487+(-0.159732--0.431766))+0-317--0.485010000000018</f>
        <v>492.34555700000004</v>
      </c>
      <c r="H250" s="3">
        <f>989.9+(123.2-251.6)+(-1.514547+(-0.188496--0.384948))+0-319.7--0.489141000000018</f>
        <v>540.97104600000011</v>
      </c>
      <c r="I250" s="3">
        <f>993.7+(136.2-251.4)+(-1.013574+(-0.138924--0.256428))+0-318.9--0.325278000000051</f>
        <v>559.02920800000004</v>
      </c>
      <c r="J250" s="3">
        <f>997+(123-306)+(-1.52541+(-0.18819--0.46818))+0-316.5--0.484245000000018</f>
        <v>496.73882500000008</v>
      </c>
      <c r="K250" s="3">
        <f>1001.4+(78.1-234.5)+(-1.021428+(-0.079662--0.23919))+0-317.4--0.323748000000051</f>
        <v>527.06184800000005</v>
      </c>
      <c r="L250" s="3">
        <f>970.2+(91-229.8)+(-3.463614+(-0.32487--0.820386))+0-316.7--1.130619</f>
        <v>512.86252100000002</v>
      </c>
      <c r="M250" s="3">
        <f>888.5+(171-196.2)+(-0.90627+(-0.17442--0.200124))+0-313.5--0.31977000000005</f>
        <v>549.23920399999997</v>
      </c>
      <c r="N250" s="3">
        <f>887.8+(154.7-193.6)+(0.452778+(0.078897-0.098736))+0-316.1-0.161210999999968</f>
        <v>533.07172800000001</v>
      </c>
      <c r="O250" s="3">
        <f>970.9+(148.4-200.4)+(-2.475795+(-0.37842--0.51102))+0-316.9--0.808094999999954</f>
        <v>600.46489999999994</v>
      </c>
      <c r="P250" s="3">
        <f>986.4+(182.8-203.8)+(-1.509192+(-0.279684--0.311814))+0-318.6--0.487458000000018</f>
        <v>645.81039599999997</v>
      </c>
      <c r="Q250" s="3">
        <f>983.4+(181.7-221)+(-1.003068+(-0.185334--0.22542))+0-317.9--0.324258000000051</f>
        <v>625.56127600000002</v>
      </c>
      <c r="R250" s="3">
        <f>978.1+(175.6-225.5)+(-1.995324+(-0.358224--0.46002))+0-315--0.642599999999986</f>
        <v>611.94907200000011</v>
      </c>
      <c r="S250" s="3">
        <f>978.8+(185.3-198.1)+(-1.497564+(-0.283509--0.303093))+0-314.2--0.480726000000018</f>
        <v>650.80274600000007</v>
      </c>
      <c r="T250" s="3">
        <f>977.4+(130.4-195.9)+(0+(0-0))+0-314.3-0</f>
        <v>597.59999999999991</v>
      </c>
      <c r="U250" s="3">
        <f>978.1+(117.4-202.5)+(-0.498831+(-0.059874--0.103275))+0-313.6--0.159935999999968</f>
        <v>579.10450600000001</v>
      </c>
      <c r="V250" s="3">
        <f>978.9+(146.1-218)+(0.998478+(0.149022-0.22236))+0-314.5-0.32079000000005</f>
        <v>593.10434999999995</v>
      </c>
      <c r="W250" s="3">
        <f>984.3+(244.9-255.1)+(1.505979+(0.374697-0.390303))+0-315.1-0.482103000000018</f>
        <v>660.00826999999981</v>
      </c>
      <c r="X250" s="3">
        <f>988.5+(249.8-231.7)+(-1.00827+(-0.254796--0.236334))+0-314.9--0.32119800000005</f>
        <v>690.9944660000001</v>
      </c>
      <c r="Y250" s="3">
        <f>989.6+(223.7-221.6)+(-1.009392+(-0.228174--0.226032))+0-314.9--0.32119800000005</f>
        <v>676.10966400000018</v>
      </c>
      <c r="Z250" s="3">
        <f>990.3+(197.5-203.1)+(-1.010106+(-0.20145--0.207162))+0-314.5--0.32079000000005</f>
        <v>669.51639599999999</v>
      </c>
      <c r="AA250" s="3">
        <f>991.5+(151.2-174)+(-1.516995+(-0.231336--0.26622))+0-314.5--0.481185000000018</f>
        <v>653.199074</v>
      </c>
      <c r="AB250" s="3">
        <f>990.5+(95-206.6)+(-0.505155+(-0.04845--0.105366))+0-313.2--0.159731999999968</f>
        <v>565.41149299999995</v>
      </c>
      <c r="AC250" s="3">
        <f>991.1+(79.2-215.2)+(-1.516383+(-0.121176--0.329256))+0-313.6--0.479808000000018</f>
        <v>540.67150500000002</v>
      </c>
      <c r="AD250">
        <v>677.3</v>
      </c>
      <c r="AE250" s="3">
        <f>989+(243.8-241.4)+(0+(0-0))+0-314.1-0</f>
        <v>677.3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990+(54.6-230.7)+(-0.5049+(-0.027846--0.117657))+0-313.5--0.159884999999968</f>
        <v>500.14479599999999</v>
      </c>
      <c r="G251" s="3">
        <f>993.4+(74.4-228.7)+(0+(0-0))+0-314-0</f>
        <v>525.1</v>
      </c>
      <c r="H251" s="3">
        <f>993.8+(66-244.6)+(1.013676+(0.06732-0.249492))+0-314.1-0.32038200000005</f>
        <v>501.61112199999985</v>
      </c>
      <c r="I251" s="3">
        <f>999.2+(75.6-216.8)+(2.54796+(0.19278-0.55284))+0-314.3-0.801464999999954</f>
        <v>545.08643499999994</v>
      </c>
      <c r="J251" s="3">
        <f>1001.8+(55.9-273.4)+(-0.510918+(-0.028509--0.139434))+0-314.7--0.160496999999968</f>
        <v>469.36050399999993</v>
      </c>
      <c r="K251" s="3">
        <f>1000.9+(135.2-288)+(2.041836+(0.275808-0.58752))+0-313.1-0.638723999999986</f>
        <v>536.09139999999991</v>
      </c>
      <c r="L251" s="3">
        <f>1001.2+(144-321.8)+(1.531836+(0.22032-0.492354))+0-313-0.478890000000018</f>
        <v>511.18091200000009</v>
      </c>
      <c r="M251" s="3">
        <f>1001.1+(156.4-298.6)+(-1.021122+(-0.159528--0.304572))+0-312.7--0.31895400000005</f>
        <v>545.64287600000011</v>
      </c>
      <c r="N251" s="3">
        <f>1050.4+(162.5-355.3)+(1.071408+(0.16575-0.362406))+0-313.9-0.32017800000005</f>
        <v>544.25457400000005</v>
      </c>
      <c r="O251" s="3">
        <f>1159.4+(143.3-420)+(-1.773882+(-0.219249--0.6426))+0-314.4--0.481032000000018</f>
        <v>567.43050100000005</v>
      </c>
      <c r="P251" s="3">
        <f>1228.5+(136.6-446.3)+(1.25307+(0.139332-0.455226))+0-316.9-0.32323800000005</f>
        <v>602.51393799999994</v>
      </c>
      <c r="Q251" s="3">
        <f>1222.7+(151.9-388.7)+(0+(0-0))+0-316.8-0</f>
        <v>669.10000000000014</v>
      </c>
      <c r="R251" s="3">
        <f>1217.6+(145.4-406.5)+(-1.862928+(-0.222462--0.621945))+0-315.8--0.483174000000018</f>
        <v>639.71972899999992</v>
      </c>
      <c r="S251" s="3">
        <f>1210.9+(134.3-468.6)+(-0.617559+(-0.068493--0.238986))+0-316--0.161159999999968</f>
        <v>560.31409400000018</v>
      </c>
      <c r="T251" s="3">
        <f>1210.2+(139.5-436.1)+(-0.617202+(-0.071145--0.222411))+0-319.2--0.162791999999968</f>
        <v>594.096856</v>
      </c>
      <c r="U251" s="3">
        <f>1204.3+(129.4-425.2)+(-1.842579+(-0.197982--0.650556))+0-318.5--0.487305000000018</f>
        <v>589.09730000000002</v>
      </c>
      <c r="V251" s="3">
        <f>1205.8+(131-464.4)+(1.229916+(0.13362-0.473688))+0-318.9-0.325278000000051</f>
        <v>554.06457</v>
      </c>
      <c r="W251" s="3">
        <f>1215.6+(163.1-418.1)+(0.619956+(0.083181-0.213231))+0-320.1-0.163250999999968</f>
        <v>640.82665499999996</v>
      </c>
      <c r="X251" s="3">
        <f>1224.9+(165.7-382.1)+(-1.874097+(-0.253521--0.584613))+0-323.7--0.495261000000019</f>
        <v>683.75225599999999</v>
      </c>
      <c r="Y251" s="3">
        <f>1226.7+(135.2-452.9)+(-0.625617+(-0.068952--0.230979))+0-317.4--0.161873999999968</f>
        <v>591.29828400000008</v>
      </c>
      <c r="Z251" s="3">
        <f>1227.6+(119.4-441.8)+(-1.252152+(-0.121788--0.450636))+0-319.3--0.325686000000051</f>
        <v>585.30238199999997</v>
      </c>
      <c r="AA251" s="3">
        <f>1228.5+(104.8-467.5)+(-1.25307+(-0.106896--0.47685))+0-321.8--0.328236000000051</f>
        <v>543.44512000000009</v>
      </c>
      <c r="AB251" s="3">
        <f>1230.9+(110.2-483.1)+(-0.627759+(-0.056202--0.246381))+0-321.2--0.163811999999967</f>
        <v>536.52623199999994</v>
      </c>
      <c r="AC251" s="3">
        <f>1231.1+(82.2-456.2)+(-0.627861+(-0.041922--0.232662))+0-319.7--0.163046999999968</f>
        <v>537.12592599999994</v>
      </c>
      <c r="AD251">
        <v>712.2</v>
      </c>
      <c r="AE251" s="3">
        <f>1224+(177-364.5)+(0+(0-0))+0-324.3-0</f>
        <v>712.2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1228.2+(87.2-479.3)+(-1.252764+(-0.088944--0.488886))+0-319.6--0.325992000000051</f>
        <v>515.9731700000001</v>
      </c>
      <c r="G252" s="3">
        <f>1230.2+(86.8-473.5)+(-1.254804+(-0.088536--0.48297))+0-323.4--0.329868000000052</f>
        <v>519.56949800000007</v>
      </c>
      <c r="H252" s="3">
        <f>1230+(81.4-520)+(1.2546+(0.083028-0.5304))+0-323.8-0.330276000000052</f>
        <v>468.07695199999995</v>
      </c>
      <c r="I252" s="3">
        <f>1230.7+(40.2-436.6)+(1.882971+(0.061506-0.667998))+0-320.8-0.490824000000019</f>
        <v>514.28565499999991</v>
      </c>
      <c r="J252" s="3">
        <f>1231.9+(27.8-450.1)+(3.141345+(0.07089-1.147755))+0-321.3-0.819314999999953</f>
        <v>489.54516500000017</v>
      </c>
      <c r="K252" s="3">
        <f>1231.5+(101.1-490.6)+(1.884195+(0.154683-0.750618))+0-319.6-0.488988000000019</f>
        <v>523.19927199999995</v>
      </c>
      <c r="L252" s="3">
        <f>1235.3+(105.4-500)+(-2.520012+(-0.215016--1.02))+0-318.3--0.649331999999986</f>
        <v>521.33430399999997</v>
      </c>
      <c r="M252" s="3">
        <f>1234.2+(129.1-525.6)+(-0.629442+(-0.065841--0.268056))+0-318.6--0.162485999999968</f>
        <v>518.83525899999995</v>
      </c>
      <c r="N252" s="3">
        <f>1228.1+(141.3-498.1)+(1.252662+(0.144126-0.508062))+0-322.6-0.329052000000051</f>
        <v>549.2596739999999</v>
      </c>
      <c r="O252" s="3">
        <f>1225+(146.9-464.2)+(0+(0-0))+0-321.7-0</f>
        <v>586</v>
      </c>
      <c r="P252" s="3">
        <f>1222.9+(149-474.7)+(0.623679+(0.07599-0.242097))+0-320.2-0.163301999999968</f>
        <v>577.2942700000001</v>
      </c>
      <c r="Q252" s="3">
        <f>1219+(148.4-459)+(-1.24338+(-0.151368--0.46818))+0-321.3--0.327726000000051</f>
        <v>586.50115800000015</v>
      </c>
      <c r="R252" s="3">
        <f>1216.6+(157.3-452.9)+(-3.722796+(-0.481338--1.385874))+0-321.6--0.984096000000037</f>
        <v>597.56583599999999</v>
      </c>
      <c r="S252" s="3">
        <f>1215.2+(152.7-447.5)+(-3.09876+(-0.389385--1.141125))+0-320.1--0.816254999999954</f>
        <v>598.76923499999998</v>
      </c>
      <c r="T252" s="3">
        <f>1214.8+(144.4-447.2)+(-1.239096+(-0.147288--0.456144))+0-319.3--0.325686000000051</f>
        <v>592.09544599999992</v>
      </c>
      <c r="U252" s="3">
        <f>1214.7+(132.6-384)+(1.238994+(0.135252-0.39168))+0-321.1-0.327522000000051</f>
        <v>642.85504400000002</v>
      </c>
      <c r="V252" s="3">
        <f>1211.6+(122.1-406.2)+(1.235832+(0.124542-0.414324))+0-321.3-0.327726000000051</f>
        <v>606.81832399999973</v>
      </c>
      <c r="W252" s="3">
        <f>1190.2+(194.5-371.2)+(1.821006+(0.297585-0.567936))+0-320.6-0.490518000000019</f>
        <v>693.96013699999992</v>
      </c>
      <c r="X252" s="3">
        <f>1191.5+(186.5-375.9)+(-1.822995+(-0.285345--0.575127))+0-319.7--0.489141000000018</f>
        <v>681.35592799999995</v>
      </c>
      <c r="Y252" s="3">
        <f>1192.4+(164.7-365.8)+(-1.216248+(-0.167994--0.373116))+0-318.4--0.324768000000051</f>
        <v>672.21364200000016</v>
      </c>
      <c r="Z252" s="3">
        <f>1185.6+(150.6-379.6)+(-0.604656+(-0.076806--0.193596))+0-319.9--0.163148999999968</f>
        <v>636.37528299999985</v>
      </c>
      <c r="AA252" s="3">
        <f>1187.3+(139.3-377.6)+(-1.211046+(-0.142086--0.385152))+0-320.4--0.326808000000051</f>
        <v>627.95882800000004</v>
      </c>
      <c r="AB252" s="3">
        <f>1059.2+(179.8-232.5)+(-3.241152+(-0.550188--0.71145))+0-319.7--0.978282000000037</f>
        <v>684.69839200000001</v>
      </c>
      <c r="AC252" s="3">
        <f>987.7+(136.3-248)+(-2.518635+(-0.347565--0.6324))+0-320--0.815999999999954</f>
        <v>554.58219999999994</v>
      </c>
      <c r="AD252">
        <v>684</v>
      </c>
      <c r="AE252" s="3">
        <f>1195+(180-375.1)+(0+(0-0))+0-315.9-0</f>
        <v>684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985.9+(115.2-205.6)+(-0.502809+(-0.058752--0.104856))+0-318.7--0.162536999999968</f>
        <v>576.50583199999983</v>
      </c>
      <c r="G253" s="3">
        <f>985.7+(131.6-155.3)+(-2.010828+(-0.268464--0.316812))+0-321--0.654839999999986</f>
        <v>639.69236000000001</v>
      </c>
      <c r="H253" s="3">
        <f>987.5+(117.5-188.8)+(1.510875+(0.179775-0.288864))+0-323.7-0.495261000000019</f>
        <v>593.4065250000001</v>
      </c>
      <c r="I253" s="3">
        <f>988.3+(126.9-205.2)+(-1.512099+(-0.194157--0.313956))+0-319--0.488070000000018</f>
        <v>590.09577000000002</v>
      </c>
      <c r="J253" s="3">
        <f>992+(121-280.6)+(2.02368+(0.24684-0.572424))+0-318.6-0.649943999999986</f>
        <v>514.84815199999991</v>
      </c>
      <c r="K253" s="3">
        <f>997.8+(154.4-302.3)+(0.508878+(0.078744-0.154173))+0-316-0.161159999999968</f>
        <v>534.17228899999998</v>
      </c>
      <c r="L253" s="3">
        <f>996.8+(176-277.9)+(-0.508368+(-0.08976--0.141729))+0-316.4--0.161363999999968</f>
        <v>578.2049649999999</v>
      </c>
      <c r="M253" s="3">
        <f>996.3+(192.1-271.5)+(-0.508113+(-0.097971--0.138465))+0-315.6--0.160955999999968</f>
        <v>600.99333699999988</v>
      </c>
      <c r="N253" s="3">
        <f>1003.5+(200.6-248.1)+(-0.511785+(-0.102306--0.126531))+0-319.2--0.162791999999968</f>
        <v>636.47523199999989</v>
      </c>
      <c r="O253" s="3">
        <f>1107.2+(176-353.6)+(-0.564672+(-0.08976--0.180336))+0-319.7--0.163046999999968</f>
        <v>609.58895099999995</v>
      </c>
      <c r="P253" s="3">
        <f>1130.6+(169.7-370.4)+(-0.576606+(-0.086547--0.188904))+0-320.4--0.163403999999967</f>
        <v>609.18915499999991</v>
      </c>
      <c r="Q253" s="3">
        <f>1128.4+(173.1-375.5)+(-1.726452+(-0.264843--0.574515))+0-318.8--0.487764000000018</f>
        <v>606.270984</v>
      </c>
      <c r="R253" s="3">
        <f>1127.8+(195.8-380.9)+(-1.725534+(-0.299574--0.582777))+0-318.4--0.487152000000018</f>
        <v>623.34482100000014</v>
      </c>
      <c r="S253" s="3">
        <f>1125.5+(188.3-402.1)+(-0.574005+(-0.096033--0.205071))+0-319.5--0.162944999999968</f>
        <v>591.89797799999997</v>
      </c>
      <c r="T253" s="3">
        <f>1123+(201.2-362)+(1.71819+(0.307836-0.55386))+0-318.9-0.487917000000018</f>
        <v>644.28424900000005</v>
      </c>
      <c r="U253" s="3">
        <f>1123.6+(184.8-390.9)+(0+(0-0))+0-317.9-0</f>
        <v>599.6</v>
      </c>
      <c r="V253" s="3">
        <f>1128.1+(199.4-406.2)+(-2.301324+(-0.406776--0.828648))+0-317--0.646679999999986</f>
        <v>603.06722799999989</v>
      </c>
      <c r="W253" s="3">
        <f>1134.7+(236.3-353.1)+(0.578697+(0.120513-0.180081))+0-319.2-0.162791999999968</f>
        <v>699.0563370000001</v>
      </c>
      <c r="X253" s="3">
        <f>1139+(216.2-344.6)+(-1.74267+(-0.330786--0.527238))+0-320.1--0.489753000000019</f>
        <v>689.443535</v>
      </c>
      <c r="Y253" s="3">
        <f>1138.1+(205-342.3)+(0+(0-0))+0-319.1-0</f>
        <v>681.69999999999993</v>
      </c>
      <c r="Z253" s="3">
        <f>1136+(182.6-341.2)+(0+(0-0))+0-319.5-0</f>
        <v>657.9</v>
      </c>
      <c r="AA253" s="3">
        <f>1133.2+(171-345.6)+(-2.311728+(-0.34884--0.705024))+0-317.6--0.647903999999986</f>
        <v>639.69236000000001</v>
      </c>
      <c r="AB253" s="3">
        <f>1139.2+(137-399.2)+(-4.066944+(-0.48909--1.425144))+0-319--1.13883</f>
        <v>556.00793999999996</v>
      </c>
      <c r="AC253" s="3">
        <f>1145.8+(113.7-411.5)+(-2.92179+(-0.289935--1.049325))+0-320.6--0.817529999999954</f>
        <v>526.05512999999985</v>
      </c>
      <c r="AD253">
        <v>716.69999999999982</v>
      </c>
      <c r="AE253" s="3">
        <f>1143+(217.1-323.9)+(0+(0-0))+0-319.5-0</f>
        <v>716.7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1154.9+(91.5-409.6)+(-4.122993+(-0.326655--1.462272))+0-320.3--1.143471</f>
        <v>514.65609499999994</v>
      </c>
      <c r="G254" s="3">
        <f>1149.8+(70.8-370.7)+(-2.345592+(-0.144432--0.756228))+0-319.4--0.651575999999986</f>
        <v>529.41777999999999</v>
      </c>
      <c r="H254" s="3">
        <f>1146.4+(27.4-348.8)+(0+(0-0))+0-320.1-0</f>
        <v>504.9</v>
      </c>
      <c r="I254" s="3">
        <f>1145.5+(63.8-347.3)+(-1.16841+(-0.065076--0.354246))+0-321.3--0.327726000000051</f>
        <v>540.14848600000016</v>
      </c>
      <c r="J254" s="3">
        <f>1155.2+(92.4-391.2)+(0+(0-0))+0-320.5-0</f>
        <v>535.90000000000009</v>
      </c>
      <c r="K254" s="3">
        <f>1158.4+(109.1-449.2)+(1.772352+(0.166923-0.687276))+0-317.4-0.485622000000018</f>
        <v>501.66637700000001</v>
      </c>
      <c r="L254" s="3">
        <f>1160.7+(144.7-415.8)+(-2.367828+(-0.295188--0.848232))+0-314.9--0.642395999999986</f>
        <v>573.52761199999998</v>
      </c>
      <c r="M254" s="3">
        <f>1148.2+(112.5-396.8)+(-0.585582+(-0.057375--0.202368))+0-315.1--0.160700999999968</f>
        <v>548.52011200000004</v>
      </c>
      <c r="N254" s="3">
        <f>1145.1+(148.9-388)+(0+(0-0))+0-320-0</f>
        <v>585.99999999999989</v>
      </c>
      <c r="O254" s="3">
        <f>1143.9+(161-451)+(-0.583389+(-0.08211--0.23001))+0-320--0.163199999999968</f>
        <v>533.62771100000009</v>
      </c>
      <c r="P254" s="3">
        <f>1135.5+(162-380.3)+(-2.31642+(-0.33048--0.775812))+0-317.3--0.647291999999986</f>
        <v>598.67620399999998</v>
      </c>
      <c r="Q254" s="3">
        <f>1073.8+(176.5-342.6)+(-2.73819+(-0.450075--0.87363))+0-321.2--0.819059999999953</f>
        <v>585.00442499999997</v>
      </c>
      <c r="R254" s="3">
        <f>1039+(178.3-280.4)+(-2.64945+(-0.454665--0.71502))+0-320.5--0.817274999999953</f>
        <v>614.82818000000009</v>
      </c>
      <c r="S254" s="3">
        <f>1035.4+(177.4-270.9)+(-1.584162+(-0.271422--0.414477))+0-322.1--0.492813000000019</f>
        <v>618.85170600000015</v>
      </c>
      <c r="T254" s="3">
        <f>1030.2+(180.4-266.6)+(-1.576206+(-0.276012--0.407898))+0-316.9--0.484857000000018</f>
        <v>626.14053700000011</v>
      </c>
      <c r="U254" s="3">
        <f>1025.9+(165.6-295.2)+(-1.046418+(-0.168912--0.301104))+0-318.7--0.325074000000051</f>
        <v>577.01084800000012</v>
      </c>
      <c r="V254" s="3">
        <f>1027.8+(166.6-341.6)+(0+(0-0))+0-317.4-0</f>
        <v>535.4</v>
      </c>
      <c r="W254" s="3">
        <f>1033.5+(224.6-322.7)+(2.10834+(0.458184-0.658308))+0-318.1-0.648923999999986</f>
        <v>618.55929200000003</v>
      </c>
      <c r="X254" s="3">
        <f>1019.7+(251.2-282.9)+(-1.560141+(-0.384336--0.432837))+0-317.2--0.485316000000018</f>
        <v>669.77367600000002</v>
      </c>
      <c r="Y254" s="3">
        <f>956.6+(225.3-268.8)+(-2.927196+(-0.689418--0.822528))+0-318.6--0.974916000000037</f>
        <v>592.68083000000001</v>
      </c>
      <c r="Z254" s="3">
        <f>891.2+(236.8-238.7)+(-1.363536+(-0.362304--0.365211))+0-320.2--0.489906000000018</f>
        <v>568.22927700000014</v>
      </c>
      <c r="AA254" s="3">
        <f>887.9+(215.4-229.6)+(-1.358487+(-0.329562--0.351288))+0-319.8--0.489294000000018</f>
        <v>553.05253300000004</v>
      </c>
      <c r="AB254" s="3">
        <f>899.2+(205.3-230.7)+(-0.458592+(-0.104703--0.117657))+0-318.1--0.162230999999968</f>
        <v>555.41659300000003</v>
      </c>
      <c r="AC254" s="3">
        <f>894.7+(188.4-249.7)+(-2.281485+(-0.48042--0.636735))+0-318.4--0.811919999999954</f>
        <v>513.68675000000007</v>
      </c>
      <c r="AD254">
        <v>685.6</v>
      </c>
      <c r="AE254" s="3">
        <f>1030+(263.5-287.8)+(0+(0-0))+0-320.1-0</f>
        <v>685.6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896+(173.5-223.3)+(-1.82784+(-0.35394--0.455532))+0-320--0.652799999999986</f>
        <v>525.12655199999995</v>
      </c>
      <c r="G255" s="3">
        <f>898.3+(155-224.5)+(0.458133+(0.07905-0.114495))+0-322.5-0.164474999999967</f>
        <v>506.55821299999997</v>
      </c>
      <c r="H255" s="3">
        <f>900.7+(133.5-211.2)+(0.918714+(0.13617-0.215424))+0-322.7-0.329154000000051</f>
        <v>500.81030599999997</v>
      </c>
      <c r="I255" s="3">
        <f>936.1+(112.7-223.6)+(-1.432233+(-0.172431--0.342108))+0-321.2--0.491436000000019</f>
        <v>503.22888000000006</v>
      </c>
      <c r="J255" s="3">
        <f>947.4+(118.2-232)+(-0.483174+(-0.060282--0.11832))+0-318.8--0.162587999999968</f>
        <v>514.53745200000003</v>
      </c>
      <c r="K255" s="3">
        <f>931.8+(146.5-256.9)+(1.900872+(0.29886-0.524076))+0-320.1-0.653003999999986</f>
        <v>502.32265199999995</v>
      </c>
      <c r="L255" s="3">
        <f>895.7+(184.6-317.9)+(0+(0-0))+0-317.1-0</f>
        <v>445.30000000000007</v>
      </c>
      <c r="M255" s="3">
        <f>887.2+(211.2-291.4)+(-0.452472+(-0.107712--0.148614))+0-315.1--0.160700999999968</f>
        <v>491.64913099999995</v>
      </c>
      <c r="N255" s="3">
        <f>886+(210.5-300.7)+(0+(0-0))+0-319.1-0</f>
        <v>476.69999999999993</v>
      </c>
      <c r="O255" s="3">
        <f>876.5+(211-294)+(0+(0-0))+0-321-0</f>
        <v>472.5</v>
      </c>
      <c r="P255" s="3">
        <f>872.4+(266.7-217.6)+(-0.444924+(-0.136017--0.110976))+0-319.6--0.162995999999968</f>
        <v>601.593031</v>
      </c>
      <c r="Q255" s="3">
        <f>871.9+(248-215.2)+(-0.444669+(-0.12648--0.109752))+0-318.9--0.162638999999968</f>
        <v>585.50124200000005</v>
      </c>
      <c r="R255" s="3">
        <f>888.7+(249-231.7)+(0+(0-0))+0-318.1-0</f>
        <v>587.9</v>
      </c>
      <c r="S255" s="3">
        <f>892.2+(253.8-232.7)+(0+(0-0))+0-318.1-0</f>
        <v>595.20000000000005</v>
      </c>
      <c r="T255" s="3">
        <f>888.1+(261.6-242.1)+(0.905862+(0.266832-0.246942))+0-319.9-0.326298000000051</f>
        <v>588.29945399999997</v>
      </c>
      <c r="U255" s="3">
        <f>888.4+(258.2-247)+(-0.906168+(-0.263364--0.25194))+0-320.1--0.326502000000051</f>
        <v>578.90890999999988</v>
      </c>
      <c r="V255" s="3">
        <f>893.8+(267.5-269.7)+(0+(0-0))+0-319.2-0</f>
        <v>572.39999999999986</v>
      </c>
      <c r="W255" s="3">
        <f>947.6+(357.6-271.4)+(0+(0-0))+0-319.8-0</f>
        <v>714.00000000000023</v>
      </c>
      <c r="X255" s="3">
        <f>1064+(240.4-334.1)+(-1.62792+(-0.367812--0.511173))+0-318.2--0.486846000000018</f>
        <v>651.10228699999993</v>
      </c>
      <c r="Y255" s="3">
        <f>1143.4+(186.4-407.5)+(-2.332536+(-0.380256--0.8313))+0-317.9--0.648515999999986</f>
        <v>603.16702400000008</v>
      </c>
      <c r="Z255" s="3">
        <f>1145.3+(162.2-412.6)+(-1.168206+(-0.165444--0.420852))+0-315.6--0.32191200000005</f>
        <v>578.70911399999989</v>
      </c>
      <c r="AA255" s="3">
        <f>1148.9+(152.5-432.3)+(-1.757817+(-0.233325--0.661419))+0-315.3--0.482409000000018</f>
        <v>552.95268600000009</v>
      </c>
      <c r="AB255" s="3">
        <f>1156.6+(150.1-415.7)+(-2.359464+(-0.306204--0.848028))+0-314.4--0.641375999999986</f>
        <v>575.42373599999996</v>
      </c>
      <c r="AC255" s="3">
        <f>1157+(148.4-365.3)+(-2.36028+(-0.302736--0.745212))+0-313.2--0.638927999999986</f>
        <v>625.6211239999999</v>
      </c>
      <c r="AD255">
        <v>693</v>
      </c>
      <c r="AE255" s="3">
        <f>1031+(264.2-284.5)+(0+(0-0))+0-317.7-0</f>
        <v>693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1158.4+(93-410.4)+(-1.772352+(-0.14229--0.627912))+0-314--0.480420000000018</f>
        <v>526.19369000000006</v>
      </c>
      <c r="G256" s="3">
        <f>1161.1+(84.9-389.3)+(-4.737288+(-0.346392--1.588344))+0-314.9--1.28479199999997</f>
        <v>539.58945599999993</v>
      </c>
      <c r="H256" s="3">
        <f>1167.6+(49.2-389.8)+(-4.168332+(-0.175644--1.391586))+0-315.3--1.125621</f>
        <v>509.87323099999986</v>
      </c>
      <c r="I256" s="3">
        <f>1166.9+(42.2-428.3)+(-2.380476+(-0.086088--0.873732))+0-315.5--0.643619999999986</f>
        <v>464.35078800000002</v>
      </c>
      <c r="J256" s="3">
        <f>1167.9+(60.1-395.8)+(-0.595629+(-0.030651--0.201858))+0-315.1--0.160700999999968</f>
        <v>516.83627899999999</v>
      </c>
      <c r="K256" s="3">
        <f>1169.5+(73.5-373.7)+(0+(0-0))+0-315.9-0</f>
        <v>553.4</v>
      </c>
      <c r="L256" s="3">
        <f>1171.4+(92.7-455.4)+(-1.194828+(-0.094554--0.464508))+0-315.8--0.32211600000005</f>
        <v>492.39724200000006</v>
      </c>
      <c r="M256" s="3">
        <f>1167.8+(135.2-475.5)+(0.595578+(0.068952-0.242505))+0-318.2-0.162281999999968</f>
        <v>509.55974300000003</v>
      </c>
      <c r="N256" s="3">
        <f>1157.5+(144.2-458.4)+(1.18065+(0.147084-0.467568))+0-320.2-0.326604000000051</f>
        <v>523.63356199999998</v>
      </c>
      <c r="O256" s="3">
        <f>1155.4+(167.4-468.9)+(-0.589254+(-0.085374--0.239139))+0-320.1--0.163250999999968</f>
        <v>533.52776200000005</v>
      </c>
      <c r="P256" s="3">
        <f>1146.4+(173-450)+(0+(0-0))+0-320-0</f>
        <v>549.40000000000009</v>
      </c>
      <c r="Q256" s="3">
        <f>1141.4+(181.9-443.2)+(-1.746342+(-0.278307--0.678096))+0-320.1--0.489753000000019</f>
        <v>559.14320000000021</v>
      </c>
      <c r="R256" s="3">
        <f>1138.9+(194.9-411.7)+(-3.485034+(-0.596394--1.259802))+0-322.1--0.985626000000037</f>
        <v>598.1640000000001</v>
      </c>
      <c r="S256" s="3">
        <f>1136.4+(209.7-350.4)+(-2.89782+(-0.534735--0.89352))+0-321.1--0.818804999999953</f>
        <v>672.87977000000001</v>
      </c>
      <c r="T256" s="3">
        <f>1139+(172.7-351.1)+(0.58089+(0.088077-0.179061))+0-322.5-0.164474999999967</f>
        <v>638.425431</v>
      </c>
      <c r="U256" s="3">
        <f>1135.5+(166.8-341.5)+(-1.737315+(-0.255204--0.522495))+0-319--0.488070000000018</f>
        <v>640.81804599999998</v>
      </c>
      <c r="V256" s="3">
        <f>1135.8+(171-381.5)+(0+(0-0))+0-318.5-0</f>
        <v>606.79999999999995</v>
      </c>
      <c r="W256" s="3">
        <f>1142.7+(219.8-397.3)+(-0.582777+(-0.112098--0.202623))+0-321--0.163709999999967</f>
        <v>643.87145799999996</v>
      </c>
      <c r="X256" s="3">
        <f>1147.2+(206.7-395.6)+(1.170144+(0.210834-0.403512))+0-321.8-0.328236000000051</f>
        <v>637.14922999999999</v>
      </c>
      <c r="Y256" s="3">
        <f>1150.5+(183.5-411.7)+(-2.34702+(-0.37434--0.839868))+0-320.2--0.653207999999986</f>
        <v>600.87171599999988</v>
      </c>
      <c r="Z256" s="3">
        <f>1152+(167.3-416.4)+(-2.35008+(-0.341292--0.849456))+0-319.1--0.650963999999986</f>
        <v>582.60904800000003</v>
      </c>
      <c r="AA256" s="3">
        <f>1154.8+(160.3-439.9)+(0.588948+(0.081753-0.224349))+0-319.6-0.162995999999968</f>
        <v>555.88335600000005</v>
      </c>
      <c r="AB256" s="3">
        <f>1155.5+(160.8-412.2)+(-0.589305+(-0.082008--0.210222))+0-318.9--0.162638999999968</f>
        <v>584.90154800000005</v>
      </c>
      <c r="AC256" s="3">
        <f>1157+(140.8-415.3)+(-1.77021+(-0.215424--0.635409))+0-317.4--0.485622000000018</f>
        <v>564.23539700000003</v>
      </c>
      <c r="AD256">
        <v>603</v>
      </c>
      <c r="AE256" s="3">
        <f>1126+(195-397.9)+(0+(0-0))+0-320.1-0</f>
        <v>603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1138.7+(121.4-464.9)+(-2.903685+(-0.30957--1.185495))+0-321--0.818549999999953</f>
        <v>472.99079000000006</v>
      </c>
      <c r="G257" s="3">
        <f>1141.5+(142.8-510.8)+(-1.16433+(-0.145656--0.521016))+0-322.7--0.329154000000051</f>
        <v>450.34018400000014</v>
      </c>
      <c r="H257" s="3">
        <f>1142.6+(150.3-499.6)+(-1.165452+(-0.153306--0.509592))+0-322.7--0.329154000000051</f>
        <v>470.11998800000003</v>
      </c>
      <c r="I257" s="3">
        <f>1147.6+(109.9-448.8)+(-0.585276+(-0.056049--0.228888))+0-319.4--0.162893999999968</f>
        <v>489.05045699999999</v>
      </c>
      <c r="J257" s="3">
        <f>1151.7+(93.1-478.8)+(-0.587367+(-0.047481--0.244188))+0-320.5--0.163454999999967</f>
        <v>445.27279499999992</v>
      </c>
      <c r="K257" s="3">
        <f>1150.9+(127.8-440.7)+(2.347836+(0.260712-0.899028))+0-318.5-0.649739999999986</f>
        <v>520.55978000000016</v>
      </c>
      <c r="L257" s="3">
        <f>1153+(173.3-513.4)+(-1.17606+(-0.176766--0.523668))+0-316.7--0.323034000000051</f>
        <v>495.69387600000016</v>
      </c>
      <c r="M257" s="3">
        <f>1145.6+(158.9-492.7)+(0+(0-0))+0-315.7-0</f>
        <v>496.09999999999997</v>
      </c>
      <c r="N257" s="3">
        <f>1138.7+(164.8-486.4)+(0+(0-0))+0-319.3-0</f>
        <v>497.80000000000013</v>
      </c>
      <c r="O257" s="3">
        <f>1133.3+(183-470.5)+(-0.577983+(-0.09333--0.239955))+0-318--0.162179999999968</f>
        <v>527.53082199999983</v>
      </c>
      <c r="P257" s="3">
        <f>1127+(215.3-467)+(-1.72431+(-0.329409--0.71451))+0-321--0.491130000000019</f>
        <v>553.45192099999997</v>
      </c>
      <c r="Q257" s="3">
        <f>1118.9+(233.8-435.7)+(-2.282556+(-0.476952--0.888828))+0-321--0.654839999999986</f>
        <v>594.78416000000016</v>
      </c>
      <c r="R257" s="3">
        <f>1112.2+(227.3-437.1)+(-2.83611+(-0.579615--1.114605))+0-319--0.813449999999954</f>
        <v>581.91233000000011</v>
      </c>
      <c r="S257" s="3">
        <f>1113.2+(216.8-466.4)+(-1.135464+(-0.221136--0.475728))+0-318--0.324360000000051</f>
        <v>545.04348800000025</v>
      </c>
      <c r="T257" s="3">
        <f>1112.3+(213.7-443)+(0+(0-0))+0-318-0</f>
        <v>565</v>
      </c>
      <c r="U257" s="3">
        <f>1109+(216.9-431)+(1.69677+(0.331857-0.65943))+0-317-0.485010000000018</f>
        <v>578.78418699999997</v>
      </c>
      <c r="V257" s="3">
        <f>1111.2+(220.2-485.8)+(0+(0-0))+0-318.8-0</f>
        <v>526.79999999999995</v>
      </c>
      <c r="W257" s="3">
        <f>1122.5+(243.5-470.5)+(-1.14495+(-0.24837--0.47991))+0-319.5--0.325890000000051</f>
        <v>575.41248000000007</v>
      </c>
      <c r="X257" s="3">
        <f>1128.4+(224.9-453.9)+(-0.575484+(-0.114699--0.231489))+0-319.3--0.162842999999968</f>
        <v>579.80414899999994</v>
      </c>
      <c r="Y257" s="3">
        <f>1128.6+(231.2-392)+(-1.726758+(-0.353736--0.59976))+0-319.5--0.488835000000018</f>
        <v>647.30810099999997</v>
      </c>
      <c r="Z257" s="3">
        <f>1130.5+(211.5-419.7)+(-1.15311+(-0.21573--0.428094))+0-321.5--0.327930000000051</f>
        <v>600.187184</v>
      </c>
      <c r="AA257" s="3">
        <f>1133+(197.2-450.4)+(0.57783+(0.100572-0.229704))+0-320.1-0.163250999999968</f>
        <v>559.98544700000002</v>
      </c>
      <c r="AB257" s="3">
        <f>1136.9+(187.7-462.2)+(1.159638+(0.191454-0.471444))+0-317-0.323340000000051</f>
        <v>545.95630800000004</v>
      </c>
      <c r="AC257" s="3">
        <f>1137.9+(157-451.5)+(0+(0-0))+0-317.8-0</f>
        <v>525.60000000000014</v>
      </c>
      <c r="AD257">
        <v>583</v>
      </c>
      <c r="AE257" s="3">
        <f>1128+(227.1-451.4)+(0+(0-0))+0-320.7-0</f>
        <v>583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1136.1+(133.4-456.3)+(-1.158822+(-0.136068--0.465426))+0-318--0.324360000000051</f>
        <v>494.69489599999997</v>
      </c>
      <c r="G258" s="3">
        <f>1140.5+(132.9-466.6)+(-0.581655+(-0.067779--0.237966))+0-318.6--0.162485999999968</f>
        <v>487.95101799999986</v>
      </c>
      <c r="H258" s="3">
        <f>1142.9+(131.6-445.4)+(-1.165758+(-0.134232--0.454308))+0-318.6--0.324972000000051</f>
        <v>509.97929000000016</v>
      </c>
      <c r="I258" s="3">
        <f>1140.9+(106.6-465.2)+(-0.581859+(-0.054366--0.237252))+0-319.2--0.162791999999968</f>
        <v>462.86381900000009</v>
      </c>
      <c r="J258" s="3">
        <f>1150+(83.9-482.9)+(0.5865+(0.042789-0.246279))+0-318.3-0.162332999999968</f>
        <v>432.92067700000001</v>
      </c>
      <c r="K258" s="3">
        <f>1156.3+(105.6-502.1)+(-0.589713+(-0.053856--0.256071))+0-317.7--0.162026999999968</f>
        <v>441.87452899999988</v>
      </c>
      <c r="L258" s="3">
        <f>1153.7+(132.5-498.1)+(-0.588387+(-0.067575--0.254031))+0-315--0.160649999999968</f>
        <v>472.85871900000001</v>
      </c>
      <c r="M258" s="3">
        <f>1147+(146-504.4)+(-1.75491+(-0.22338--0.771732))+0-316.3--0.483939000000018</f>
        <v>471.57738100000006</v>
      </c>
      <c r="N258" s="3">
        <f>1138.2+(166.2-535)+(-0.580482+(-0.084762--0.27285))+0-268.4--0.136883999999973</f>
        <v>500.7444900000001</v>
      </c>
      <c r="O258" s="3">
        <f>1128.8+(178.8-472.2)+(-1.151376+(-0.182376--0.481644))+0-320.3--0.326706000000051</f>
        <v>514.57459799999992</v>
      </c>
      <c r="P258" s="3">
        <f>1121.6+(201.5-449.5)+(-0.572016+(-0.102765--0.229245))+0-321.9--0.164168999999967</f>
        <v>551.418633</v>
      </c>
      <c r="Q258" s="3">
        <f>1114.5+(219.7-466.7)+(-0.568395+(-0.112047--0.238017))+0-320.6--0.163505999999967</f>
        <v>546.621081</v>
      </c>
      <c r="R258" s="3">
        <f>1109.6+(237.3-449.2)+(-2.263584+(-0.484092--0.916368))+0-320.7--0.654227999999986</f>
        <v>575.82291999999995</v>
      </c>
      <c r="S258" s="3">
        <f>1105.6+(228.9-390.4)+(-0.563856+(-0.116739--0.199104))+0-321.8--0.164117999999967</f>
        <v>621.98262699999987</v>
      </c>
      <c r="T258" s="3">
        <f>1106.7+(218.3-401.9)+(-2.257668+(-0.445332--0.819876))+0-321.7--0.656267999999986</f>
        <v>600.17314400000009</v>
      </c>
      <c r="U258" s="3">
        <f>1107.8+(216.8-376.6)+(0+(0-0))+0-320.8-0</f>
        <v>627.20000000000005</v>
      </c>
      <c r="V258" s="3">
        <f>1114.2+(219.5-435.6)+(-0.568242+(-0.111945--0.222156))+0-318.8--0.162587999999968</f>
        <v>579.00455699999998</v>
      </c>
      <c r="W258" s="3">
        <f>1122.5+(253.9-388.1)+(-1.14495+(-0.258978--0.395862))+0-321.9--0.328338000000051</f>
        <v>665.72027200000002</v>
      </c>
      <c r="X258" s="3">
        <f>1127.8+(228.6-397.8)+(-2.300712+(-0.466344--0.811512))+0-322.3--0.657491999999986</f>
        <v>635.00194799999974</v>
      </c>
      <c r="Y258" s="3">
        <f>1129.8+(199-419.1)+(-2.88099+(-0.50745--1.068705))+0-322--0.821099999999953</f>
        <v>586.2013649999999</v>
      </c>
      <c r="Z258" s="3">
        <f>1130.4+(178.2-426.3)+(-1.729512+(-0.272646--0.652239))+0-321.9--0.492507000000019</f>
        <v>559.54258800000014</v>
      </c>
      <c r="AA258" s="3">
        <f>1131.4+(170.2-440.1)+(-1.154028+(-0.173604--0.448902))+0-322.3--0.328746000000051</f>
        <v>538.65001599999994</v>
      </c>
      <c r="AB258" s="3">
        <f>1136.7+(155.8-447.8)+(-0.579717+(-0.079458--0.228378))+0-324.8--0.165647999999967</f>
        <v>519.63485100000003</v>
      </c>
      <c r="AC258" s="3">
        <f>1133.6+(149-431.4)+(0+(0-0))+0-322.9-0</f>
        <v>528.29999999999995</v>
      </c>
      <c r="AD258">
        <v>671.80000000000018</v>
      </c>
      <c r="AE258" s="3">
        <f>1125+(228.9-358.4)+(0+(0-0))+0-323.7-0</f>
        <v>671.8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1144.6+(117.5-431.6)+(-1.167492+(-0.11985--0.440232))+0-323--0.329460000000051</f>
        <v>506.98234999999988</v>
      </c>
      <c r="G259" s="3">
        <f>1145.6+(95.3-521.1)+(-2.337024+(-0.194412--1.063044))+0-255.6--0.521423999999989</f>
        <v>463.25303199999991</v>
      </c>
      <c r="H259" s="3">
        <f>1143.5+(85-464.7)+(-0.583185+(-0.04335--0.236997))+0-319.6--0.162995999999968</f>
        <v>443.97345799999988</v>
      </c>
      <c r="I259" s="3">
        <f>1146.5+(93-445.3)+(-1.16943+(-0.09486--0.454206))+0-316.7--0.323034000000051</f>
        <v>477.01295000000016</v>
      </c>
      <c r="J259" s="3">
        <f>1148.1+(72.8-472.1)+(-1.171062+(-0.074256--0.481542))+0-315.7--0.32201400000005</f>
        <v>432.65823799999998</v>
      </c>
      <c r="K259" s="3">
        <f>1149.8+(53.5-440.4)+(2.345592+(0.10914-0.898416))+0-315.5-0.643619999999986</f>
        <v>448.31269600000002</v>
      </c>
      <c r="L259" s="3">
        <f>1151.4+(78-443)+(-2.348856+(-0.15912--0.90372))+0-314.8--0.642191999999986</f>
        <v>470.63793600000008</v>
      </c>
      <c r="M259" s="3">
        <f>1147.2+(98.7-450.7)+(-1.170144+(-0.100674--0.459714))+0-314--0.32028000000005</f>
        <v>480.70917600000007</v>
      </c>
      <c r="N259" s="3">
        <f>1138.5+(151.3-429.1)+(-0.580635+(-0.077163--0.218841))+0-320.3--0.163352999999968</f>
        <v>540.12439599999993</v>
      </c>
      <c r="O259" s="3">
        <f>1165.1+(159.3-448.3)+(0+(0-0))+0-321.7-0</f>
        <v>554.39999999999986</v>
      </c>
      <c r="P259" s="3">
        <f>1213.7+(158.9-488.8)+(-3.094935+(-0.405195--1.24644))+0-321.6--0.820079999999953</f>
        <v>560.76639</v>
      </c>
      <c r="Q259" s="3">
        <f>1292.4+(136-557.4)+(-1.318248+(-0.13872--0.568548))+0-321.8--0.328236000000051</f>
        <v>548.63981600000011</v>
      </c>
      <c r="R259" s="3">
        <f>1346.9+(135-573.3)+(-5.495352+(-0.5508--2.339064))+0-321.9--1.31335199999997</f>
        <v>584.30626400000017</v>
      </c>
      <c r="S259" s="3">
        <f>1354+(133.1-533.7)+(-1.38108+(-0.135762--0.544374))+0-319.9--0.326298000000051</f>
        <v>632.85383000000002</v>
      </c>
      <c r="T259" s="3">
        <f>1358+(123.6-542.2)+(-2.07774+(-0.189108--0.829566))+0-321.4--0.491742000000019</f>
        <v>617.05446000000006</v>
      </c>
      <c r="U259" s="3">
        <f>1365.1+(103.4-530.8)+(-2.088603+(-0.158202--0.812124))+0-320.8--0.490824000000019</f>
        <v>615.95614299999988</v>
      </c>
      <c r="V259" s="3">
        <f>1372.5+(122.1-544.4)+(2.099925+(0.186813-0.832932))+0-318.8-0.487764000000018</f>
        <v>632.36604200000011</v>
      </c>
      <c r="W259" s="3">
        <f>1381+(149.5-547.1)+(-0.70431+(-0.076245--0.279021))+0-319.8--0.163097999999968</f>
        <v>663.26156399999991</v>
      </c>
      <c r="X259" s="3">
        <f>1378.5+(147.8-529.9)+(-4.921245+(-0.527646--1.891743))+0-317.7--1.134189</f>
        <v>676.27704100000017</v>
      </c>
      <c r="Y259" s="3">
        <f>1278.1+(151.8-444.3)+(-1.303662+(-0.154836--0.453186))+0-317--0.323340000000051</f>
        <v>667.91802799999994</v>
      </c>
      <c r="Z259" s="3">
        <f>1264.9+(127.3-483.9)+(-2.580396+(-0.259692--0.987156))+0-316--0.644639999999986</f>
        <v>591.09170800000015</v>
      </c>
      <c r="AA259" s="3">
        <f>1242.8+(128.3-478.5)+(-1.901484+(-0.196299--0.732105))+0-315.6--0.482868000000018</f>
        <v>576.11718999999994</v>
      </c>
      <c r="AB259" s="3">
        <f>1243.2+(57.2-669.7)+(-1.268064+(-0.058344--0.683094))+0-69.6--0.0709920000000111</f>
        <v>560.52767800000004</v>
      </c>
      <c r="AC259" s="3">
        <f>1237.3+(9.4-682.9)+(-1.893069+(-0.014382--1.044837))+0-0-0</f>
        <v>562.93738599999995</v>
      </c>
      <c r="AD259">
        <v>687.89999999999986</v>
      </c>
      <c r="AE259" s="3">
        <f>1386+(146.1-526.5)+(0+(0-0))+0-317.7-0</f>
        <v>687.90000000000009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1128.2+(31.1-530.2)+(0.575382+(0.015861-0.270402))+0-111.7-0.0569669999999887</f>
        <v>517.66387399999996</v>
      </c>
      <c r="G260" s="3">
        <f>1125.2+(71.3-376.9)+(1.147704+(0.072726-0.384438))+0-300.5-0.306510000000048</f>
        <v>519.62948200000017</v>
      </c>
      <c r="H260" s="3">
        <f>1114.2+(74.9-372.2)+(0+(0-0))+0-327.8-0</f>
        <v>489.10000000000008</v>
      </c>
      <c r="I260" s="3">
        <f>1088.2+(85.3-337.7)+(2.219928+(0.174012-0.688908))+0-318.4-0.649535999999986</f>
        <v>518.45549600000004</v>
      </c>
      <c r="J260" s="3">
        <f>1088.4+(90.2-303.4)+(-1.110168+(-0.092004--0.309468))+0-331.5--0.338130000000053</f>
        <v>543.14542600000016</v>
      </c>
      <c r="K260" s="3">
        <f>1090+(79.5-298.9)+(1.1118+(0.08109-0.304878))+0-331.7-0.338334000000053</f>
        <v>539.44967799999995</v>
      </c>
      <c r="L260" s="3">
        <f>1179.9+(58.6-432.6)+(-3.008745+(-0.14943--1.10313))+0-321.9--0.820844999999953</f>
        <v>482.76580000000013</v>
      </c>
      <c r="M260" s="3">
        <f>1142.2+(58.5-358.1)+(-0.582522+(-0.029835--0.182631))+0-319.5--0.162944999999968</f>
        <v>522.83321899999999</v>
      </c>
      <c r="N260" s="3">
        <f>1073+(95.2-345)+(1.09446+(0.097104-0.3519))+0-321.8-0.328236000000051</f>
        <v>501.91142799999994</v>
      </c>
      <c r="O260" s="3">
        <f>1071.2+(129.7-356.1)+(-2.185248+(-0.264588--0.726444))+0-321.5--0.655859999999986</f>
        <v>522.23246799999993</v>
      </c>
      <c r="P260" s="3">
        <f>1073.4+(136.5-352.9)+(-0.547434+(-0.069615--0.179979))+0-322.5--0.164474999999967</f>
        <v>534.22740500000009</v>
      </c>
      <c r="Q260" s="3">
        <f>1094.5+(130.5-386.9)+(-3.34917+(-0.39933--1.183914))+0-319.5--0.977670000000037</f>
        <v>517.01308400000005</v>
      </c>
      <c r="R260" s="3">
        <f>1103.1+(95.4-365.5)+(0+(0-0))+0-320.2-0</f>
        <v>512.79999999999995</v>
      </c>
      <c r="S260" s="3">
        <f>1157.7+(106-356.6)+(0+(0-0))+0-316.6-0</f>
        <v>590.5</v>
      </c>
      <c r="T260" s="3">
        <f>1219.9+(53.7-419.7)+(-3.110745+(-0.136935--1.070235))+0-314.9--0.802994999999954</f>
        <v>537.62555000000009</v>
      </c>
      <c r="U260" s="3">
        <f>1227.9+(50.6-418.9)+(1.878687+(0.077418-0.640917))+0-313.1-0.479043000000018</f>
        <v>547.3361450000001</v>
      </c>
      <c r="V260" s="3">
        <f>1231.8+(82.8-427.9)+(-0.628218+(-0.042228--0.218229))+0-312.5--0.159374999999968</f>
        <v>573.90715799999998</v>
      </c>
      <c r="W260" s="3">
        <f>1232+(126.6-466.7)+(0+(0-0))+0-312.8-0</f>
        <v>579.09999999999991</v>
      </c>
      <c r="X260" s="3">
        <f>1236.6+(116.4-462.3)+(-4.414662+(-0.415548--1.650411))+0-313.5--1.119195</f>
        <v>575.13939599999992</v>
      </c>
      <c r="Y260" s="3">
        <f>1237.8+(96.3-494.9)+(-2.525112+(-0.196452--1.009596))+0-313.6--0.639743999999986</f>
        <v>524.52777600000002</v>
      </c>
      <c r="Z260" s="3">
        <f>1238.7+(85.7-504.3)+(-1.895211+(-0.131121--0.771579))+0-312.1--0.477513000000018</f>
        <v>507.22275999999999</v>
      </c>
      <c r="AA260" s="3">
        <f>1240+(98.2-509)+(0+(0-0))+0-310.9-0</f>
        <v>518.30000000000007</v>
      </c>
      <c r="AB260" s="3">
        <f>1241.2+(95.5-515.6)+(-1.266024+(-0.09741--0.525912))+0-309.9--0.316098000000049</f>
        <v>510.67857600000008</v>
      </c>
      <c r="AC260" s="3">
        <f>1241.8+(92.1-506)+(-3.799908+(-0.281826--1.54836))+0-309.6--0.947376000000036</f>
        <v>516.71400200000005</v>
      </c>
      <c r="AD260">
        <v>566.70000000000005</v>
      </c>
      <c r="AE260" s="3">
        <f>1235+(120.9-476.9)+(0+(0-0))+0-312.3-0</f>
        <v>566.70000000000005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1241.7+(18.4-453.7)+(-1.899801+(-0.028152--0.694161))+0-310.5--0.475065000000018</f>
        <v>495.14127300000013</v>
      </c>
      <c r="G261" s="3">
        <f>1241.5+(18.8-442.9)+(-1.26633+(-0.019176--0.451758))+0-310.5--0.31671000000005</f>
        <v>506.38296200000013</v>
      </c>
      <c r="H261" s="3">
        <f>1245.2+(28-487.6)+(-2.540208+(-0.05712--0.994704))+0-310.1--0.632603999999987</f>
        <v>474.52998000000002</v>
      </c>
      <c r="I261" s="3">
        <f>1252.3+(0-481.7)+(0+(0-0))+0-310.3-0</f>
        <v>460.2999999999999</v>
      </c>
      <c r="J261" s="3">
        <f>1250.1+(0-473)+(0.637551+(0-0.24123))+0-309.3-0.157742999999969</f>
        <v>468.03857799999986</v>
      </c>
      <c r="K261" s="3">
        <f>1251.2+(0-454.9)+(-1.914336+(0--0.695997))+0-308.3--0.471699000000018</f>
        <v>487.25336000000004</v>
      </c>
      <c r="L261" s="3">
        <f>1257.5+(0-452.1)+(-1.28265+(0--0.461142))+0-307.7--0.313854000000049</f>
        <v>497.19234600000004</v>
      </c>
      <c r="M261" s="3">
        <f>1108+(0-295.2)+(-1.69524+(0--0.451656))+0-306.8--0.469404000000018</f>
        <v>505.22581999999989</v>
      </c>
      <c r="N261" s="3">
        <f>1079.2+(0-269.7)+(-0.550392+(0--0.137547))+0-307.5--0.156824999999969</f>
        <v>501.74398000000002</v>
      </c>
      <c r="O261" s="3">
        <f>990.9+(33-223.8)+(0+(0-0))+0-307.7-0</f>
        <v>492.39999999999992</v>
      </c>
      <c r="P261" s="3">
        <f>940.6+(39.4-208.3)+(-2.878236+(-0.120564--0.637398))+0-307.7--0.941562000000036</f>
        <v>462.58016000000009</v>
      </c>
      <c r="Q261" s="3">
        <f>878.2+(70.9-194.6)+(-0.447882+(-0.036159--0.099246))+0-308.1--0.157130999999969</f>
        <v>446.17233599999992</v>
      </c>
      <c r="R261" s="3">
        <f>878+(149-205)+(0.44778+(0.07599-0.10455))+0-307-0.156569999999969</f>
        <v>515.26265000000001</v>
      </c>
      <c r="S261" s="3">
        <f>878+(109-193)+(1.34334+(0.16677-0.29529))+0-308-0.471240000000018</f>
        <v>486.74358000000001</v>
      </c>
      <c r="T261" s="3">
        <f>911+(78-230)+(-0.46461+(-0.03978--0.1173))+0-306--0.156059999999969</f>
        <v>452.76897000000002</v>
      </c>
      <c r="U261" s="3">
        <f>1042+(79-365)+(-0.53142+(-0.04029--0.18615))+0-308--0.157079999999969</f>
        <v>447.7715199999999</v>
      </c>
      <c r="V261" s="3">
        <f>1084+(104-371)+(-1.10568+(-0.10608--0.37842))+0-307--0.313140000000049</f>
        <v>509.47980000000001</v>
      </c>
      <c r="W261" s="3">
        <f>1163+(76-369)+(0+(0-0))+0-308-0</f>
        <v>562</v>
      </c>
      <c r="X261" s="3">
        <f>1168.1+(70-335.1)+(-2.978655+(-0.1785--0.854505))+0-308.3--0.786164999999955</f>
        <v>593.18351499999994</v>
      </c>
      <c r="Y261" s="3">
        <f>1170.4+(59-375.3)+(0+(0-0))+0-308.1-0</f>
        <v>546.00000000000011</v>
      </c>
      <c r="Z261" s="3">
        <f>1172.2+(38-326.6)+(0+(0-0))+0-308.4-0</f>
        <v>575.20000000000005</v>
      </c>
      <c r="AA261" s="3">
        <f>1174.3+(11-333.9)+(-0.598893+(-0.00561--0.170289))+0-307.6--0.156875999999969</f>
        <v>543.52266199999997</v>
      </c>
      <c r="AB261" s="3">
        <f>1175.3+(0-382.2)+(-0.599403+(0--0.194922))+0-308.5--0.157334999999969</f>
        <v>484.35285399999987</v>
      </c>
      <c r="AC261" s="3">
        <f>1056.2+(36-288.1)+(0+(0-0))+0-307.1-0</f>
        <v>497</v>
      </c>
      <c r="AD261">
        <v>622</v>
      </c>
      <c r="AE261" s="3">
        <f>1163+(80-314)+(0+(0-0))+0-307-0</f>
        <v>622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983.1+(5-227.7)+(-2.506905+(-0.01275--0.580635))+0-307.9--0.785144999999955</f>
        <v>451.34612500000003</v>
      </c>
      <c r="G262" s="3">
        <f>983.3+(0-253.4)+(-1.504449+(0--0.387702))+0-307.8--0.470934000000018</f>
        <v>421.45418699999993</v>
      </c>
      <c r="H262" s="3">
        <f>983.2+(0-254)+(-0.501432+(0--0.12954))+0-308.9--0.157538999999969</f>
        <v>420.08564700000005</v>
      </c>
      <c r="I262" s="3">
        <f>983.5+(0-263.3)+(-2.00634+(0--0.537132))+0-307.9--0.628115999999986</f>
        <v>411.45890800000006</v>
      </c>
      <c r="J262" s="3">
        <f>986.6+(35-258.5)+(-0.503166+(-0.01785--0.131835))+0-307.7--0.156926999999969</f>
        <v>455.16774600000002</v>
      </c>
      <c r="K262" s="3">
        <f>986.6+(72-262.8)+(1.509498+(0.11016-0.402084))+0-307.7-0.470781000000018</f>
        <v>488.84679299999993</v>
      </c>
      <c r="L262" s="3">
        <f>986.8+(44-275.2)+(-1.509804+(-0.06732--0.421056))+0-306.6--0.469098000000018</f>
        <v>448.31302999999991</v>
      </c>
      <c r="M262" s="3">
        <f>985.9+(101.2-261.7)+(1.005618+(0.103224-0.266934))+0-308.2-0.314364000000049</f>
        <v>517.72754399999985</v>
      </c>
      <c r="N262" s="3">
        <f>981+(183.9-268.8)+(-0.50031+(-0.093789--0.137088))+0-310.8--0.158507999999968</f>
        <v>585.00149699999997</v>
      </c>
      <c r="O262" s="3">
        <f>971.7+(197-295.9)+(0.495567+(0.10047-0.150909))+0-310.2-0.158201999999969</f>
        <v>562.88692600000002</v>
      </c>
      <c r="P262" s="3">
        <f>973+(230.7-277)+(0+(0-0))+0-309.5-0</f>
        <v>617.20000000000005</v>
      </c>
      <c r="Q262" s="3">
        <f>970.4+(229.7-278.5)+(-0.494904+(-0.117147--0.142035))+0-309.3--0.157742999999969</f>
        <v>611.98772699999995</v>
      </c>
      <c r="R262" s="3">
        <f>969.1+(201.1-292.7)+(-2.965446+(-0.615366--0.895662))+0-310--0.948600000000036</f>
        <v>565.76345000000003</v>
      </c>
      <c r="S262" s="3">
        <f>961.4+(197.6-288.5)+(-1.961256+(-0.403104--0.58854))+0-310.7--0.633827999999986</f>
        <v>558.65800800000011</v>
      </c>
      <c r="T262" s="3">
        <f>959.6+(181.7-299.5)+(-1.468188+(-0.278001--0.458235))+0-311.2--0.476136000000018</f>
        <v>529.78818200000001</v>
      </c>
      <c r="U262" s="3">
        <f>959+(184.3-312)+(-1.46727+(-0.281979--0.47736))+0-311.6--0.476748000000018</f>
        <v>518.90485899999999</v>
      </c>
      <c r="V262" s="3">
        <f>951.4+(203.6-321.4)+(0+(0-0))+0-311.6-0</f>
        <v>522</v>
      </c>
      <c r="W262" s="3">
        <f>955.3+(259.3-333.8)+(0.487203+(0.132243-0.170238))+0-312.7-0.159476999999968</f>
        <v>568.38973099999998</v>
      </c>
      <c r="X262" s="3">
        <f>961.2+(238.7-320.6)+(-2.941272+(-0.730422--0.981036))+0-310--0.948600000000036</f>
        <v>567.55794200000003</v>
      </c>
      <c r="Y262" s="3">
        <f>963.5+(227.2-324.3)+(-1.474155+(-0.347616--0.496179))+0-310.9--0.475677000000018</f>
        <v>554.65008499999999</v>
      </c>
      <c r="Z262" s="3">
        <f>966.9+(211.2-329.1)+(-0.493119+(-0.107712--0.167841))+0-313--0.159629999999968</f>
        <v>535.72663999999997</v>
      </c>
      <c r="AA262" s="3">
        <f>971.5+(192.5-336.9)+(0.495465+(0.098175-0.171819))+0-311.6-0.158915999999968</f>
        <v>515.76290500000005</v>
      </c>
      <c r="AB262" s="3">
        <f>962.7+(178.9-334.2)+(-1.472931+(-0.273717--0.511326))+0-313.4--0.479502000000018</f>
        <v>493.24418000000014</v>
      </c>
      <c r="AC262" s="3">
        <f>962+(165.6-316.3)+(-2.94372+(-0.506736--0.967878))+0-309.3--0.946458000000036</f>
        <v>500.46388000000002</v>
      </c>
      <c r="AD262">
        <v>592.5</v>
      </c>
      <c r="AE262" s="3">
        <f>960+(273-325.8)+(0+(0-0))+0-314.7-0</f>
        <v>592.5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968+(129-294.3)+(-2.4684+(-0.32895--0.750465))+0-309.1--0.788204999999955</f>
        <v>492.34132</v>
      </c>
      <c r="G263" s="3">
        <f>959.2+(101.6-307.5)+(-2.935152+(-0.310896--0.94095))+0-310.4--0.949824000000036</f>
        <v>441.54472600000008</v>
      </c>
      <c r="H263" s="3">
        <f>954.5+(112-262.1)+(1.460385+(0.17136-0.401013))+0-310.7-0.475371000000018</f>
        <v>494.45536099999998</v>
      </c>
      <c r="I263" s="3">
        <f>956.7+(113.8-254.1)+(0+(0-0))+0-311.5-0</f>
        <v>504.90000000000009</v>
      </c>
      <c r="J263" s="3">
        <f>954.5+(117.1-239.4)+(1.460385+(0.179163-0.366282))+0-310.2-0.474606000000018</f>
        <v>522.79866000000015</v>
      </c>
      <c r="K263" s="3">
        <f>950.5+(104.1-258.4)+(-1.454265+(-0.159273--0.395352))+0-309.2--0.473076000000018</f>
        <v>486.2548900000001</v>
      </c>
      <c r="L263" s="3">
        <f>961.3+(115.3-243.2)+(-0.490263+(-0.058803--0.124032))+0-309.3--0.157742999999969</f>
        <v>523.83270900000002</v>
      </c>
      <c r="M263" s="3">
        <f>962.1+(167.9-261.8)+(-0.981342+(-0.171258--0.267036))+0-307.4--0.313548000000049</f>
        <v>560.22798400000011</v>
      </c>
      <c r="N263" s="3">
        <f>954.4+(184.3-282.3)+(0.973488+(0.187986-0.287946))+0-308.9-0.315078000000049</f>
        <v>548.05844999999988</v>
      </c>
      <c r="O263" s="3">
        <f>943.2+(238-340.1)+(0.481032+(0.12138-0.173451))+0-309.7-0.157946999999969</f>
        <v>531.67101400000001</v>
      </c>
      <c r="P263" s="3">
        <f>941.5+(288.4-362.7)+(1.440495+(0.441252-0.554931))+0-310.7-0.475371000000018</f>
        <v>557.35144500000001</v>
      </c>
      <c r="Q263" s="3">
        <f>937.1+(344.7-385.1)+(-0.477921+(-0.175797--0.196401))+0-309.9--0.158048999999969</f>
        <v>586.50073200000008</v>
      </c>
      <c r="R263" s="3">
        <f>932.8+(394.8-347.4)+(-1.427184+(-0.604044--0.531522))+0-309.9--0.474147000000018</f>
        <v>669.27444100000014</v>
      </c>
      <c r="S263" s="3">
        <f>929.8+(352.8-379.1)+(-2.37099+(-0.89964--0.966705))+0-309--0.787949999999955</f>
        <v>592.98402499999986</v>
      </c>
      <c r="T263" s="3">
        <f>930+(335.3-354.6)+(-1.4229+(-0.513009--0.542538))+0-309.3--0.473229000000018</f>
        <v>600.47985800000004</v>
      </c>
      <c r="U263" s="3">
        <f>930.1+(297.4-344)+(-1.897404+(-0.606696--0.70176))+0-308.7--0.629747999999987</f>
        <v>573.62740799999995</v>
      </c>
      <c r="V263" s="3">
        <f>932.1+(378.1-341.9)+(-1.426113+(-0.578493--0.523107))+0-310.2--0.474606000000018</f>
        <v>657.09310700000015</v>
      </c>
      <c r="W263" s="3">
        <f>935.5+(439.7-375)+(0.477105+(0.224247-0.19125))+0-309.7-0.157946999999969</f>
        <v>690.85215500000004</v>
      </c>
      <c r="X263" s="3">
        <f>941.6+(407.6-420.6)+(0+(0-0))+0-308.7-0</f>
        <v>619.90000000000009</v>
      </c>
      <c r="Y263" s="3">
        <f>948.1+(382.9-437.1)+(-2.417655+(-0.976395--1.114605))+0-308.8--0.787439999999955</f>
        <v>583.60799499999996</v>
      </c>
      <c r="Z263" s="3">
        <f>949.2+(371.6-431.9)+(-1.936368+(-0.758064--0.881076))+0-310.4--0.633215999999986</f>
        <v>577.31986000000006</v>
      </c>
      <c r="AA263" s="3">
        <f>953.2+(363.5-382.6)+(-1.458396+(-0.556155--0.585378))+0-310.2--0.474606000000018</f>
        <v>622.94543300000009</v>
      </c>
      <c r="AB263" s="3">
        <f>884.3+(331.6-331.3)+(-1.352979+(-0.507348--0.506889))+0-309.4--0.473382000000018</f>
        <v>574.31994399999996</v>
      </c>
      <c r="AC263" s="3">
        <f>801+(302.7-240.6)+(-0.81702+(-0.308754--0.245412))+0-308.9--0.315078000000049</f>
        <v>553.63471600000014</v>
      </c>
      <c r="AD263">
        <v>661.59999999999991</v>
      </c>
      <c r="AE263" s="3">
        <f>941+(402.1-373.9)+(0+(0-0))+0-307.6-0</f>
        <v>661.6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812.4+(246.3-278.4)+(-1.242972+(-0.376839--0.425952))+0-310.1--0.474453000000018</f>
        <v>469.480594</v>
      </c>
      <c r="G264" s="3">
        <f>831.4+(257.1-230.2)+(-0.848028+(-0.262242--0.234804))+0-310.8--0.31701600000005</f>
        <v>546.94155000000012</v>
      </c>
      <c r="H264" s="3">
        <f>832.7+(212.7-248.6)+(0+(0-0))+0-310.9-0</f>
        <v>485.90000000000009</v>
      </c>
      <c r="I264" s="3">
        <f>834.7+(226.3-229.8)+(0.425697+(0.115413-0.117198))+0-307.2-0.156671999999969</f>
        <v>524.26724000000002</v>
      </c>
      <c r="J264" s="3">
        <f>829.4+(218-268.8)+(-0.422994+(-0.11118--0.137088))+0-306.5--0.156314999999969</f>
        <v>471.85922899999991</v>
      </c>
      <c r="K264" s="3">
        <f>837.3+(228.4-305.1)+(2.135115+(0.58242-0.778005))+0-305.4-0.778769999999956</f>
        <v>456.36075999999997</v>
      </c>
      <c r="L264" s="3">
        <f>839.6+(259.3-228.8)+(-2.14098+(-0.661215--0.58344))+0-305.8--0.779789999999956</f>
        <v>562.86103500000002</v>
      </c>
      <c r="M264" s="3">
        <f>840.1+(260.9-244.3)+(-1.285353+(-0.399177--0.373779))+0-305.3--0.467109000000018</f>
        <v>550.55635800000016</v>
      </c>
      <c r="N264" s="3">
        <f>833.9+(284-247.9)+(0.850578+(0.28968-0.252858))+0-308.8-0.314976000000049</f>
        <v>561.77242399999989</v>
      </c>
      <c r="O264" s="3">
        <f>830.8+(336.9-255.4)+(0.847416+(0.343638-0.260508))+0-311.9-0.31813800000005</f>
        <v>601.01240799999994</v>
      </c>
      <c r="P264" s="3">
        <f>826.3+(350.9-263)+(-0.842826+(-0.357918--0.26826))+0-310.4--0.316608000000049</f>
        <v>603.184124</v>
      </c>
      <c r="Q264" s="3">
        <f>824.7+(407.1-260.7)+(-0.841194+(-0.415242--0.265914))+0-311.3--0.31752600000005</f>
        <v>659.12700400000017</v>
      </c>
      <c r="R264" s="3">
        <f>822.4+(408.2-268.7)+(-1.677696+(-0.832728--0.548148))+0-309.7--0.631787999999986</f>
        <v>650.8695120000001</v>
      </c>
      <c r="S264" s="3">
        <f>820.6+(400.3-257.6)+(-1.674024+(-0.816612--0.525504))+0-308.2--0.628727999999987</f>
        <v>653.76359599999989</v>
      </c>
      <c r="T264" s="3">
        <f>820.3+(341.9-266.9)+(-0.418353+(-0.174369--0.136119))+0-310.3--0.158252999999969</f>
        <v>584.70164999999986</v>
      </c>
      <c r="U264" s="3">
        <f>817.8+(361.4-265.5)+(-1.251234+(-0.552942--0.406215))+0-311.5--0.476595000000018</f>
        <v>601.2786339999999</v>
      </c>
      <c r="V264" s="3">
        <f>819.4+(382.9-291)+(-0.417894+(-0.195279--0.14841))+0-310.7--0.158456999999968</f>
        <v>600.29369399999996</v>
      </c>
      <c r="W264" s="3">
        <f>823.1+(515.1-300)+(-1.259343+(-0.788103--0.459))+0-311.3--0.476289000000018</f>
        <v>725.78784300000018</v>
      </c>
      <c r="X264" s="3">
        <f>826.7+(418.2-296.3)+(-0.421617+(-0.213282--0.151113))+0-311.3--0.158762999999968</f>
        <v>636.97497699999997</v>
      </c>
      <c r="Y264" s="3">
        <f>829.7+(373.3-283.7)+(-0.423147+(-0.190383--0.144687))+0-311.5--0.158864999999968</f>
        <v>607.49002200000007</v>
      </c>
      <c r="Z264" s="3">
        <f>836+(409.2-315.1)+(-0.85272+(-0.417384--0.321402))+0-311.2--0.31742400000005</f>
        <v>618.26872200000003</v>
      </c>
      <c r="AA264" s="3">
        <f>838.6+(382.8-328.7)+(-1.283058+(-0.585684--0.502911))+0-312--0.477360000000018</f>
        <v>579.81152900000006</v>
      </c>
      <c r="AB264" s="3">
        <f>841.4+(322.7-308.5)+(-1.287342+(-0.493731--0.472005))+0-309.8--0.473994000000018</f>
        <v>544.96492599999999</v>
      </c>
      <c r="AC264" s="3">
        <f>842.6+(300-321.1)+(-2.578356+(-0.918--0.982566))+0-310.7--0.950742000000036</f>
        <v>509.23695200000009</v>
      </c>
      <c r="AD264">
        <v>580.9</v>
      </c>
      <c r="AE264" s="3">
        <f>826+(366-301.7)+(0+(0-0))+0-309.4-0</f>
        <v>580.9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840.1+(222.9-294.2)+(-2.142255+(-0.568395--0.75021))+0-311.5--0.794324999999955</f>
        <v>456.13388500000008</v>
      </c>
      <c r="G265" s="3">
        <f>839.5+(185.6-275.6)+(-1.71258+(-0.378624--0.562224))+0-311.3--0.635051999999986</f>
        <v>437.30607199999992</v>
      </c>
      <c r="H265" s="3">
        <f>838.8+(170.3-264.6)+(0+(0-0))+0-311.8-0</f>
        <v>432.7</v>
      </c>
      <c r="I265" s="3">
        <f>816.6+(179.9-251)+(-0.416466+(-0.091749--0.12801))+0-312.9--0.159578999999968</f>
        <v>432.37937399999993</v>
      </c>
      <c r="J265" s="3">
        <f>756.1+(218.2-237.8)+(0.385611+(0.111282-0.121278))+0-310.4-0.158303999999968</f>
        <v>426.31731100000007</v>
      </c>
      <c r="K265" s="3">
        <f>755.6+(282.4-272.7)+(0.385356+(0.144024-0.139077))+0-310.5-0.158354999999968</f>
        <v>455.031948</v>
      </c>
      <c r="L265" s="3">
        <f>755.6+(360.5-304.5)+(0+(0-0))+0-307-0</f>
        <v>504.6</v>
      </c>
      <c r="M265" s="3">
        <f>754.9+(335-285.9)+(1.154997+(0.51255-0.437427))+0-306-0.468180000000018</f>
        <v>498.76194000000004</v>
      </c>
      <c r="N265" s="3">
        <f>811.6+(371.6-371.3)+(0.827832+(0.379032-0.378726))+0-306.9-0.313038000000049</f>
        <v>505.51510000000002</v>
      </c>
      <c r="O265" s="3">
        <f>823.1+(454.5-463.3)+(0+(0-0))+0-308.1-0</f>
        <v>506.19999999999993</v>
      </c>
      <c r="P265" s="3">
        <f>817.7+(476.5-466.2)+(-1.251081+(-0.729045--0.713286))+0-307.4--0.470322000000018</f>
        <v>519.80348200000003</v>
      </c>
      <c r="Q265" s="3">
        <f>842.7+(475.4-478.9)+(-0.859554+(-0.484908--0.488478))+0-307.8--0.313956000000049</f>
        <v>530.85797200000013</v>
      </c>
      <c r="R265" s="3">
        <f>983.4+(394.8-574.7)+(-2.50767+(-1.00674--1.465485))+0-229.8--0.585989999999967</f>
        <v>572.23706499999992</v>
      </c>
      <c r="S265" s="3">
        <f>1017.6+(336.5-472.4)+(0+(0-0))+0-309.8-0</f>
        <v>571.90000000000009</v>
      </c>
      <c r="T265" s="3">
        <f>1022.2+(340.2-479.8)+(-1.042644+(-0.347004--0.489396))+0-308.2--0.314364000000049</f>
        <v>573.81411200000002</v>
      </c>
      <c r="U265" s="3">
        <f>1028.4+(340-482.9)+(0+(0-0))+0-307.5-0</f>
        <v>578.00000000000011</v>
      </c>
      <c r="V265" s="3">
        <f>1027.2+(367.8-451.9)+(-0.523872+(-0.187578--0.230469))+0-308.2--0.157181999999969</f>
        <v>634.57620100000008</v>
      </c>
      <c r="W265" s="3">
        <f>1031.1+(375.4-439)+(1.051722+(0.382908-0.44778))+0-310.6-0.31681200000005</f>
        <v>657.57003799999984</v>
      </c>
      <c r="X265" s="3">
        <f>1037.1+(359.4-431.9)+(-1.586763+(-0.549882--0.660807))+0-313.1--0.479043000000018</f>
        <v>650.50320499999998</v>
      </c>
      <c r="Y265" s="3">
        <f>1041.1+(344.1-406.9)+(-0.530961+(-0.175491--0.207519))+0-312.1--0.159170999999968</f>
        <v>665.86023799999998</v>
      </c>
      <c r="Z265" s="3">
        <f>1045.9+(319.6-408.3)+(-0.533409+(-0.162996--0.208233))+0-314.6--0.160445999999968</f>
        <v>642.27227400000004</v>
      </c>
      <c r="AA265" s="3">
        <f>1049.4+(302-413.3)+(0+(0-0))+0-313.1-0</f>
        <v>625.00000000000011</v>
      </c>
      <c r="AB265" s="3">
        <f>1050.6+(296.4-401.7)+(0+(0-0))+0-312.5-0</f>
        <v>632.79999999999995</v>
      </c>
      <c r="AC265" s="3">
        <f>1049+(267.2-427.7)+(0+(0-0))+0-314.2-0</f>
        <v>574.29999999999995</v>
      </c>
      <c r="AD265">
        <v>624.70000000000005</v>
      </c>
      <c r="AE265" s="3">
        <f>1037+(327.9-427.9)+(0+(0-0))+0-312.3-0</f>
        <v>624.70000000000005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1047.9+(187.8-375)+(-1.603287+(-0.287334--0.57375))+0-314--0.480420000000018</f>
        <v>545.86354900000003</v>
      </c>
      <c r="G266" s="3">
        <f>1053+(166.4-322.7)+(-2.68515+(-0.42432--0.822885))+0-315.3--0.804014999999954</f>
        <v>579.91742999999997</v>
      </c>
      <c r="H266" s="3">
        <f>1051.8+(110.9-362.8)+(0+(0-0))+0-316.5-0</f>
        <v>483.4</v>
      </c>
      <c r="I266" s="3">
        <f>1051.3+(101.4-359.7)+(0+(0-0))+0-316.2-0</f>
        <v>476.8</v>
      </c>
      <c r="J266" s="3">
        <f>1049.4+(107-308.8)+(-1.070388+(-0.10914--0.314976))+0-312.5--0.31875000000005</f>
        <v>534.55419800000016</v>
      </c>
      <c r="K266" s="3">
        <f>1051.7+(123.6-307.4)+(1.609101+(0.189108-0.470322))+0-312.5-0.478125000000018</f>
        <v>556.24976200000015</v>
      </c>
      <c r="L266" s="3">
        <f>1053.8+(191.9-325.1)+(1.074876+(0.195738-0.331602))+0-311.4-0.31762800000005</f>
        <v>609.82138399999997</v>
      </c>
      <c r="M266" s="3">
        <f>1053.1+(216.4-346.9)+(2.148324+(0.441456-0.707676))+0-311-0.634439999999986</f>
        <v>612.8476639999999</v>
      </c>
      <c r="N266" s="3">
        <f>1044.7+(259.8-399.8)+(-1.065594+(-0.264996--0.407796))+0-312.2--0.31844400000005</f>
        <v>591.89565000000016</v>
      </c>
      <c r="O266" s="3">
        <f>1037.6+(278.1-363.9)+(0.529176+(0.141831-0.185589))+0-311.1-0.158660999999968</f>
        <v>641.02675699999998</v>
      </c>
      <c r="P266" s="3">
        <f>1033.5+(263.4-334)+(0.527085+(0.134334-0.17034))+0-310.7-0.158456999999968</f>
        <v>652.53262199999995</v>
      </c>
      <c r="Q266" s="3">
        <f>1081.3+(224-408.5)+(-2.205852+(-0.45696--0.83334))+0-311--0.634439999999986</f>
        <v>584.60496799999999</v>
      </c>
      <c r="R266" s="3">
        <f>1161.4+(179.5-438.7)+(-1.776942+(-0.274635--0.671211))+0-312--0.477360000000018</f>
        <v>589.29699400000004</v>
      </c>
      <c r="S266" s="3">
        <f>1159.6+(172.3-411)+(-1.182792+(-0.175746--0.41922))+0-310.7--0.31691400000005</f>
        <v>609.57759599999986</v>
      </c>
      <c r="T266" s="3">
        <f>1158.9+(171.3-380.3)+(1.182078+(0.174726-0.387906))+0-310.4-0.316608000000049</f>
        <v>640.15228999999999</v>
      </c>
      <c r="U266" s="3">
        <f>1163.2+(152.9-341.4)+(-1.186464+(-0.155958--0.348228))+0-310.1--0.316302000000049</f>
        <v>663.92210800000009</v>
      </c>
      <c r="V266" s="3">
        <f>1165.9+(174.2-409.2)+(1.189218+(0.177684-0.417384))+0-310.4-0.316608000000049</f>
        <v>621.13291000000004</v>
      </c>
      <c r="W266" s="3">
        <f>1176.6+(275.8-421.3)+(1.200132+(0.281316-0.429726))+0-310.7-0.31691400000005</f>
        <v>721.13480799999979</v>
      </c>
      <c r="X266" s="3">
        <f>1180+(276.8-430.2)+(-2.4072+(-0.564672--0.877608))+0-312.4--0.637295999999986</f>
        <v>712.74303199999986</v>
      </c>
      <c r="Y266" s="3">
        <f>1184.5+(262.9-427.6)+(-3.62457+(-0.804474--1.308456))+0-313.6--0.959616000000036</f>
        <v>704.03902799999992</v>
      </c>
      <c r="Z266" s="3">
        <f>1188+(231.7-427.1)+(-1.81764+(-0.354501--0.653463))+0-316.7--0.484551000000018</f>
        <v>674.86587299999997</v>
      </c>
      <c r="AA266" s="3">
        <f>1189.9+(196.3-427.8)+(-1.213698+(-0.200226--0.436356))+0-316.4--0.32272800000005</f>
        <v>641.34516000000019</v>
      </c>
      <c r="AB266" s="3">
        <f>1188.4+(182.4-433.1)+(-3.636504+(-0.558144--1.325286))+0-313.1--0.958086000000036</f>
        <v>622.68872399999998</v>
      </c>
      <c r="AC266" s="3">
        <f>1189+(132.9-410.3)+(-1.81917+(-0.203337--0.627759))+0-313.6--0.479808000000018</f>
        <v>597.08506</v>
      </c>
      <c r="AD266">
        <v>759.40000000000009</v>
      </c>
      <c r="AE266" s="3">
        <f>1174+(300.4-404.5)+(0+(0-0))+0-310.5-0</f>
        <v>759.40000000000009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1191.5+(111.1-461)+(-1.822995+(-0.169983--0.70533))+0-315.6--0.482868000000018</f>
        <v>525.19522000000006</v>
      </c>
      <c r="G267" s="3">
        <f>1195.8+(73.3-423.9)+(2.439432+(0.149532-0.864756))+0-314.7-0.641987999999986</f>
        <v>531.58222000000012</v>
      </c>
      <c r="H267" s="3">
        <f>1197.7+(79.1-426.5)+(1.832481+(0.121023-0.652545))+0-314.8-0.481644000000018</f>
        <v>536.31931500000007</v>
      </c>
      <c r="I267" s="3">
        <f>1190.6+(69-446.9)+(0.607206+(0.03519-0.227919))+0-315.5-0.160904999999968</f>
        <v>497.45357200000001</v>
      </c>
      <c r="J267" s="3">
        <f>1093.2+(92-395.4)+(-2.78766+(-0.2346--1.00827))+0-312.6--0.797129999999955</f>
        <v>475.98313999999999</v>
      </c>
      <c r="K267" s="3">
        <f>1089.2+(111.4-394.4)+(0.555492+(0.056814-0.201144))+0-312.4-0.159323999999968</f>
        <v>494.05183800000009</v>
      </c>
      <c r="L267" s="3">
        <f>1090.4+(139.1-384.7)+(-1.112208+(-0.141882--0.392394))+0-311.2--0.31742400000005</f>
        <v>533.05572800000004</v>
      </c>
      <c r="M267" s="3">
        <f>1120.9+(145.8-446.3)+(0.571659+(0.074358-0.227613))+0-315.6-0.160955999999968</f>
        <v>505.05744800000014</v>
      </c>
      <c r="N267" s="3">
        <f>1189+(151.2-527.9)+(0+(0-0))+0-314.8-0</f>
        <v>497.49999999999994</v>
      </c>
      <c r="O267" s="3">
        <f>1192.6+(163-531.9)+(0.608226+(0.08313-0.271269))+0-312.3-0.159272999999968</f>
        <v>511.6608139999999</v>
      </c>
      <c r="P267" s="3">
        <f>1188.9+(166.9-517.8)+(-0.606339+(-0.085119--0.264078))+0-313.4--0.159833999999968</f>
        <v>524.3324540000001</v>
      </c>
      <c r="Q267" s="3">
        <f>1185.9+(177.9-509.6)+(-1.814427+(-0.272187--0.779688))+0-312.7--0.478431000000018</f>
        <v>540.67150500000002</v>
      </c>
      <c r="R267" s="3">
        <f>1181.3+(125.2-449)+(-1.204926+(-0.127704--0.45798))+0-313.7--0.31997400000005</f>
        <v>543.24532399999998</v>
      </c>
      <c r="S267" s="3">
        <f>1178.2+(118.3-446.3)+(-2.403528+(-0.241332--0.910452))+0-312.7--0.637907999999986</f>
        <v>536.40350000000001</v>
      </c>
      <c r="T267" s="3">
        <f>1163.3+(111.7-442.1)+(-1.186566+(-0.113934--0.450942))+0-311.5--0.31773000000005</f>
        <v>520.86817199999996</v>
      </c>
      <c r="U267" s="3">
        <f>1161.7+(122.1-454.6)+(-1.777401+(-0.186813--0.695538))+0-312.1--0.477513000000018</f>
        <v>516.30883700000004</v>
      </c>
      <c r="V267" s="3">
        <f>1165.8+(178.4-506)+(-1.189116+(-0.181968--0.51612))+0-312--0.31824000000005</f>
        <v>525.663276</v>
      </c>
      <c r="W267" s="3">
        <f>1171.6+(257.3-537.2)+(-0.597516+(-0.131223--0.273972))+0-309.8--0.157997999999969</f>
        <v>581.60323099999994</v>
      </c>
      <c r="X267" s="3">
        <f>1175.4+(228.9-505.4)+(-2.99727+(-0.583695--1.28877))+0-309.6--0.789479999999955</f>
        <v>587.79728499999999</v>
      </c>
      <c r="Y267" s="3">
        <f>1177.9+(194.3-499.7)+(-1.201458+(-0.198186--0.509694))+0-309.5--0.315690000000049</f>
        <v>562.42574000000013</v>
      </c>
      <c r="Z267" s="3">
        <f>1180.8+(168.2-494.6)+(-2.408832+(-0.343128--1.008984))+0-308.5--0.629339999999987</f>
        <v>544.78636399999982</v>
      </c>
      <c r="AA267" s="3">
        <f>1180.5+(150.2-500.6)+(-1.20411+(-0.153204--0.510612))+0-311.4--0.31762800000005</f>
        <v>518.17092599999989</v>
      </c>
      <c r="AB267" s="3">
        <f>1184.7+(135.1-506.3)+(-3.625182+(-0.413406--1.549278))+0-314.4--0.962064000000036</f>
        <v>497.57275400000003</v>
      </c>
      <c r="AC267" s="3">
        <f>1190.4+(101.7-490)+(-1.821312+(-0.155601--0.7497))+0-313.7--0.479961000000018</f>
        <v>487.65274800000014</v>
      </c>
      <c r="AD267">
        <v>593.29999999999995</v>
      </c>
      <c r="AE267" s="3">
        <f>1173+(257.1-527.4)+(0+(0-0))+0-309.4-0</f>
        <v>593.30000000000007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1194.8+(79.5-497.1)+(-0.609348+(-0.040545--0.253521))+0-314.5--0.160394999999968</f>
        <v>462.46402299999988</v>
      </c>
      <c r="G268" s="3">
        <f>1190.3+(51.9-484.3)+(-0.607053+(-0.026469--0.246993))+0-315.7--0.161006999999968</f>
        <v>441.97447799999986</v>
      </c>
      <c r="H268" s="3">
        <f>1191.1+(34.8-482.3)+(0.607461+(0.017748-0.245973))+0-312.8-0.159527999999968</f>
        <v>431.01970799999992</v>
      </c>
      <c r="I268" s="3">
        <f>1190+(34.6-487.6)+(1.8207+(0.052938-0.746028))+0-312.8-0.478584000000018</f>
        <v>424.84902599999998</v>
      </c>
      <c r="J268" s="3">
        <f>1191.7+(35.4-489.9)+(-0.607767+(-0.018054--0.249849))+0-311.5--0.158864999999968</f>
        <v>425.48289299999999</v>
      </c>
      <c r="K268" s="3">
        <f>1194.2+(81.6-517.8)+(2.436168+(0.166464-1.056312))+0-310-0.632399999999986</f>
        <v>448.91392000000019</v>
      </c>
      <c r="L268" s="3">
        <f>1193.7+(126.8-517.4)+(0+(0-0))+0-309.7-0</f>
        <v>493.40000000000015</v>
      </c>
      <c r="M268" s="3">
        <f>1196.2+(134.1-530.1)+(0.610062+(0.068391-0.270351))+0-310.3-0.158252999999969</f>
        <v>490.14984900000007</v>
      </c>
      <c r="N268" s="3">
        <f>1190.8+(178.7-568.1)+(0.607308+(0.091137-0.289731))+0-313.4-0.159833999999968</f>
        <v>488.24887999999993</v>
      </c>
      <c r="O268" s="3">
        <f>1179.6+(182.3-537.4)+(1.203192+(0.185946-0.548148))+0-314.9-0.32119800000005</f>
        <v>510.11979200000002</v>
      </c>
      <c r="P268" s="3">
        <f>1172.3+(194.7-531.5)+(-0.597873+(-0.099297--0.271065))+0-314.6--0.160445999999968</f>
        <v>520.63434099999995</v>
      </c>
      <c r="Q268" s="3">
        <f>1169.8+(188.6-497.2)+(-1.789794+(-0.288558--0.760716))+0-316.9--0.484857000000018</f>
        <v>543.467221</v>
      </c>
      <c r="R268" s="3">
        <f>1165.9+(181-479)+(-2.378436+(-0.36924--0.97716))+0-315.5--0.643619999999986</f>
        <v>551.27310399999999</v>
      </c>
      <c r="S268" s="3">
        <f>1165.8+(176.3-476.3)+(-0.594558+(-0.089913--0.242913))+0-314.4--0.160343999999968</f>
        <v>551.118786</v>
      </c>
      <c r="T268" s="3">
        <f>1164.6+(177.8-483.4)+(1.187892+(0.181356-0.493068))+0-312.9-0.31915800000005</f>
        <v>546.65702199999998</v>
      </c>
      <c r="U268" s="3">
        <f>1162.5+(183.8-485.8)+(0+(0-0))+0-313.4-0</f>
        <v>547.1</v>
      </c>
      <c r="V268" s="3">
        <f>1164.6+(219.2-511.2)+(1.187892+(0.223584-0.521424))+0-314.7-0.32099400000005</f>
        <v>558.46905799999979</v>
      </c>
      <c r="W268" s="3">
        <f>1168.8+(266.1-501.1)+(1.788264+(0.407133-0.766683))+0-315.4-0.482562000000018</f>
        <v>619.34615199999996</v>
      </c>
      <c r="X268" s="3">
        <f>1171.2+(257.5-495.2)+(0+(0-0))+0-315.3-0</f>
        <v>618.20000000000005</v>
      </c>
      <c r="Y268" s="3">
        <f>1175.4+(234.2-500)+(-2.99727+(-0.59721--1.275))+0-312.6--0.797129999999955</f>
        <v>595.47765000000004</v>
      </c>
      <c r="Z268" s="3">
        <f>1182.4+(200.1-465.9)+(-1.206048+(-0.204102--0.475218))+0-314--0.32028000000005</f>
        <v>601.98534800000016</v>
      </c>
      <c r="AA268" s="3">
        <f>1189+(161.6-430.8)+(-1.21278+(-0.164832--0.439416))+0-314.8--0.32109600000005</f>
        <v>604.38289999999995</v>
      </c>
      <c r="AB268" s="3">
        <f>1195.4+(133.4-470)+(0+(0-0))+0-314.6-0</f>
        <v>544.20000000000005</v>
      </c>
      <c r="AC268" s="3">
        <f>1194.5+(110.6-463.7)+(-1.827585+(-0.169218--0.709461))+0-312.7--0.478431000000018</f>
        <v>527.89108899999997</v>
      </c>
      <c r="AD268">
        <v>624.50000000000011</v>
      </c>
      <c r="AE268" s="3">
        <f>1177+(255.9-492.5)+(0+(0-0))+0-315.9-0</f>
        <v>624.5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1197.5+(93.7-455.7)+(-1.22145+(-0.095574--0.464814))+0-312.5--0.31875000000005</f>
        <v>522.46654000000001</v>
      </c>
      <c r="G269" s="3">
        <f>1197.5+(113.4-425.5)+(-1.22145+(-0.115668--0.43401))+0-311.9--0.31813800000005</f>
        <v>572.91503000000012</v>
      </c>
      <c r="H269" s="3">
        <f>1195.5+(112.6-486.1)+(-0.609705+(-0.057426--0.247911))+0-314.4--0.160343999999968</f>
        <v>507.34112399999998</v>
      </c>
      <c r="I269" s="3">
        <f>1199.4+(105.9-486.6)+(-0.611694+(-0.054009--0.248166))+0-313.7--0.159986999999968</f>
        <v>504.74244999999996</v>
      </c>
      <c r="J269" s="3">
        <f>1200.7+(87.1-452.8)+(4.286499+(0.310947-1.616496))+0-311.4-1.111698</f>
        <v>525.46925199999998</v>
      </c>
      <c r="K269" s="3">
        <f>1201+(116.4-495.1)+(1.22502+(0.118728-0.505002))+0-313.1-0.31936200000005</f>
        <v>509.71938399999988</v>
      </c>
      <c r="L269" s="3">
        <f>1198.2+(187.5-500.5)+(-0.611082+(-0.095625--0.255255))+0-312.1--0.159170999999968</f>
        <v>572.80771900000002</v>
      </c>
      <c r="M269" s="3">
        <f>1198.3+(190.8-510.8)+(-1.222266+(-0.194616--0.521016))+0-309.9--0.316098000000049</f>
        <v>567.82023200000003</v>
      </c>
      <c r="N269" s="3">
        <f>1188.5+(213.3-522.8)+(-0.606135+(-0.108783--0.266628))+0-311.6--0.158915999999968</f>
        <v>567.11062599999991</v>
      </c>
      <c r="O269" s="3">
        <f>1184.6+(215.2-475.6)+(-0.604146+(-0.109752--0.242556))+0-314.4--0.160343999999968</f>
        <v>609.4890019999998</v>
      </c>
      <c r="P269" s="3">
        <f>1179.4+(220.3-437.8)+(0+(0-0))+0-314.9-0</f>
        <v>647.00000000000011</v>
      </c>
      <c r="Q269" s="3">
        <f>1175.8+(202.2-458)+(-1.199316+(-0.206244--0.46716))+0-312.8--0.31905600000005</f>
        <v>606.58065600000009</v>
      </c>
      <c r="R269" s="3">
        <f>1182.6+(167.6-435.8)+(-1.809378+(-0.256428--0.666774))+0-312.4--0.477972000000018</f>
        <v>601.07893999999987</v>
      </c>
      <c r="S269" s="3">
        <f>1180.8+(176.1-401.5)+(-1.806624+(-0.269433--0.614295))+0-312--0.477360000000018</f>
        <v>642.41559799999993</v>
      </c>
      <c r="T269" s="3">
        <f>1169.4+(182.5-381.9)+(1.789182+(0.279225-0.584307))+0-312.5-0.478125000000018</f>
        <v>658.50597500000015</v>
      </c>
      <c r="U269" s="3">
        <f>1168+(183-387.9)+(0+(0-0))+0-312.8-0</f>
        <v>650.29999999999995</v>
      </c>
      <c r="V269" s="3">
        <f>1167+(208.6-414.5)+(-0.59517+(-0.106386--0.211395))+0-311.9--0.159068999999968</f>
        <v>648.86890800000003</v>
      </c>
      <c r="W269" s="3">
        <f>1170.6+(238.1-429)+(1.194012+(0.242862-0.43758))+0-313.7-0.31997400000005</f>
        <v>666.67931999999996</v>
      </c>
      <c r="X269" s="3">
        <f>1174.2+(247.1-382.8)+(-2.395368+(-0.504084--0.780912))+0-316.1--0.644843999999986</f>
        <v>720.92630400000007</v>
      </c>
      <c r="Y269" s="3">
        <f>1178+(187.5-439.3)+(-3.60468+(-0.57375--1.344258))+0-313.3--0.958698000000036</f>
        <v>611.02452600000004</v>
      </c>
      <c r="Z269" s="3">
        <f>1146.8+(163.4-388.3)+(-0.584868+(-0.083334--0.198033))+0-313.8--0.160037999999968</f>
        <v>607.78986899999995</v>
      </c>
      <c r="AA269" s="3">
        <f>1024.9+(177.5-306.5)+(-2.090796+(-0.3621--0.62526))+0-311.9--0.636275999999986</f>
        <v>582.80864000000008</v>
      </c>
      <c r="AB269" s="3">
        <f>1045.4+(160.7-261.6)+(-2.132616+(-0.327828--0.533664))+0-311.8--0.636071999999986</f>
        <v>631.40929200000005</v>
      </c>
      <c r="AC269" s="3">
        <f>1046.3+(134.8-273.6)+(-2.134452+(-0.274992--0.558144))+0-312.6--0.637703999999986</f>
        <v>593.68640399999992</v>
      </c>
      <c r="AD269">
        <v>747.90000000000009</v>
      </c>
      <c r="AE269" s="3">
        <f>1179+(262.9-377.5)+(0+(0-0))+0-316.5-0</f>
        <v>747.90000000000009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1046.1+(108.6-302.8)+(-2.667555+(-0.27693--0.77214))+0-311.5--0.794324999999955</f>
        <v>539.02197999999987</v>
      </c>
      <c r="G270" s="3">
        <f>1046.4+(78.2-314.9)+(-0.533664+(-0.039882--0.160599))+0-312.5--0.159374999999968</f>
        <v>496.94642799999997</v>
      </c>
      <c r="H270" s="3">
        <f>1046.6+(73.5-317.8)+(-1.601298+(-0.112455--0.486234))+0-313.9--0.480267000000018</f>
        <v>487.65274799999997</v>
      </c>
      <c r="I270" s="3">
        <f>1047+(79.3-312.9)+(1.60191+(0.121329-0.478737))+0-312.6-0.478278000000018</f>
        <v>501.56622400000003</v>
      </c>
      <c r="J270" s="3">
        <f>1046.5+(80.5-300)+(0.533715+(0.041055-0.153))+0-312.7-0.159476999999968</f>
        <v>514.56229300000018</v>
      </c>
      <c r="K270" s="3">
        <f>1044.4+(97.1-291.9)+(1.597932+(0.148563-0.446607))+0-313-0.478890000000018</f>
        <v>537.42099800000017</v>
      </c>
      <c r="L270" s="3">
        <f>1046.5+(112.6-310.1)+(0.533715+(0.057426-0.158151))+0-311.4-0.158813999999968</f>
        <v>537.87417600000003</v>
      </c>
      <c r="M270" s="3">
        <f>1048.7+(131.3-323.8)+(0.534837+(0.066963-0.165138))+0-308.6-0.157385999999969</f>
        <v>547.879276</v>
      </c>
      <c r="N270" s="3">
        <f>988.2+(204.8-313.7)+(0.503982+(0.104448-0.159987))+0-312.4-0.159323999999968</f>
        <v>567.18911900000012</v>
      </c>
      <c r="O270" s="3">
        <f>891.4+(260.2-271.3)+(-0.454614+(-0.132702--0.138363))+0-312.8--0.159527999999968</f>
        <v>567.21057499999995</v>
      </c>
      <c r="P270" s="3">
        <f>583.1+(485.2-224)+(-0.594762+(-0.494904--0.22848))+0-312.2--0.31844400000005</f>
        <v>531.55725800000005</v>
      </c>
      <c r="Q270" s="3">
        <f>602.6+(499.4-217)+(-1.229304+(-1.018776--0.44268))+0-314.6--0.641783999999986</f>
        <v>569.23638400000004</v>
      </c>
      <c r="R270" s="3">
        <f>771.1+(315.7-244.1)+(-2.359566+(-0.966042--0.746946))+0-312.6--0.956556000000036</f>
        <v>528.47789400000011</v>
      </c>
      <c r="S270" s="3">
        <f>792.7+(353.4-226.5)+(0+(0-0))+0-312.7-0</f>
        <v>606.90000000000009</v>
      </c>
      <c r="T270" s="3">
        <f>792.9+(292.5-230.6)+(-1.617516+(-0.5967--0.470424))+0-309.6--0.631583999999986</f>
        <v>544.08779199999992</v>
      </c>
      <c r="U270" s="3">
        <f>791.9+(276.2-229.3)+(0+(0-0))+0-309.8-0</f>
        <v>529</v>
      </c>
      <c r="V270" s="3">
        <f>787+(358.8-244.4)+(0+(0-0))+0-310.7-0</f>
        <v>590.70000000000005</v>
      </c>
      <c r="W270" s="3">
        <f>788.7+(455.9-275.9)+(0+(0-0))+0-312.8-0</f>
        <v>655.90000000000009</v>
      </c>
      <c r="X270" s="3">
        <f>791+(402.8-275.7)+(-1.61364+(-0.821712--0.562428))+0-313--0.638519999999986</f>
        <v>603.86559599999998</v>
      </c>
      <c r="Y270" s="3">
        <f>795.8+(378.7-254.5)+(-1.217574+(-0.579411--0.389385))+0-312.4--0.477972000000018</f>
        <v>606.67037200000004</v>
      </c>
      <c r="Z270" s="3">
        <f>797.4+(328.3-233)+(-0.406674+(-0.167433--0.11883))+0-313.1--0.159680999999968</f>
        <v>579.30440399999998</v>
      </c>
      <c r="AA270" s="3">
        <f>800.7+(289-217)+(-1.633428+(-0.58956--0.44268))+0-312.4--0.637295999999986</f>
        <v>559.15698800000007</v>
      </c>
      <c r="AB270" s="3">
        <f>805.9+(243.3-200.9)+(-2.055045+(-0.620415--0.512295))+0-312--0.795599999999955</f>
        <v>534.93243499999983</v>
      </c>
      <c r="AC270" s="3">
        <f>808.2+(222.2-172.7)+(-2.06091+(-0.56661--0.440385))+0-311.7--0.794834999999955</f>
        <v>544.60770000000002</v>
      </c>
      <c r="AD270">
        <v>674.60000000000014</v>
      </c>
      <c r="AE270" s="3">
        <f>792+(476.7-281.8)+(0+(0-0))+0-312.3-0</f>
        <v>674.59999999999991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811.5+(182.2-164.8)+(-0.82773+(-0.185844--0.168096))+0-313.1--0.31936200000005</f>
        <v>515.27388400000007</v>
      </c>
      <c r="G271" s="3">
        <f>812.9+(190-152.5)+(-1.658316+(-0.3876--0.3111))+0-314--0.640559999999986</f>
        <v>535.30574399999989</v>
      </c>
      <c r="H271" s="3">
        <f>812+(125.3-161.9)+(-0.41412+(-0.063903--0.082569))+0-313.8--0.160037999999968</f>
        <v>461.36458399999998</v>
      </c>
      <c r="I271" s="3">
        <f>813.3+(106.8-168.8)+(-0.829566+(-0.108936--0.172176))+0-313.5--0.31977000000005</f>
        <v>437.35344399999997</v>
      </c>
      <c r="J271" s="3">
        <f>811.2+(111.1-171.9)+(0.413712+(0.056661-0.087669))+0-313.8-0.160037999999968</f>
        <v>436.82266600000008</v>
      </c>
      <c r="K271" s="3">
        <f>809.7+(150.8-179.5)+(0+(0-0))+0-310.4-0</f>
        <v>470.6</v>
      </c>
      <c r="L271" s="3">
        <f>813.3+(227.1-203.8)+(-0.414783+(-0.115821--0.103938))+0-308.6--0.157385999999969</f>
        <v>527.73071999999991</v>
      </c>
      <c r="M271" s="3">
        <f>807.5+(268.7-234.9)+(-2.882775+(-0.959259--0.838593))+0-308--1.09956</f>
        <v>531.396119</v>
      </c>
      <c r="N271" s="3">
        <f>734.3+(328.9-226.9)+(0.748986+(0.335478-0.231438))+0-309-0.315180000000049</f>
        <v>527.8378459999999</v>
      </c>
      <c r="O271" s="3">
        <f>748.3+(396.7-220.8)+(0+(0-0))+0-310.3-0</f>
        <v>613.89999999999986</v>
      </c>
      <c r="P271" s="3">
        <f>706.2+(427.7-221.9)+(-1.440648+(-0.872508--0.452676))+0-310.7--0.633827999999986</f>
        <v>600.0733479999999</v>
      </c>
      <c r="Q271" s="3">
        <f>786.9+(359.5-252.4)+(-0.802638+(-0.36669--0.257448))+0-310.3--0.316506000000049</f>
        <v>583.10462599999994</v>
      </c>
      <c r="R271" s="3">
        <f>789.8+(400.7-226.6)+(-2.01399+(-1.021785--0.57783))+0-309.5--0.789224999999955</f>
        <v>652.73127999999997</v>
      </c>
      <c r="S271" s="3">
        <f>789.1+(376.9-245.6)+(-1.207323+(-0.576657--0.375768))+0-309.8--0.473994000000018</f>
        <v>609.66578199999992</v>
      </c>
      <c r="T271" s="3">
        <f>787+(385.7-259.4)+(-0.80274+(-0.393414--0.264588))+0-307.8--0.313956000000049</f>
        <v>604.8823900000001</v>
      </c>
      <c r="U271" s="3">
        <f>785.5+(387.6-256)+(0.400605+(0.197676-0.13056))+0-309-0.157589999999969</f>
        <v>608.41013100000009</v>
      </c>
      <c r="V271" s="3">
        <f>787.5+(454.4-270.6)+(0.80325+(0.463488-0.276012))+0-309.4-0.315588000000049</f>
        <v>662.57513799999992</v>
      </c>
      <c r="W271" s="3">
        <f>792.8+(496.2-274.2)+(0+(0-0))+0-310.4-0</f>
        <v>704.4</v>
      </c>
      <c r="X271" s="3">
        <f>795.5+(432.8-276.2)+(-2.028525+(-1.10364--0.70431))+0-311.1--0.793304999999955</f>
        <v>639.3654499999999</v>
      </c>
      <c r="Y271" s="3">
        <f>798+(453.7-249.5)+(0.40698+(0.231387-0.127245))+0-311.2-0.158711999999968</f>
        <v>691.35241000000019</v>
      </c>
      <c r="Z271" s="3">
        <f>802.1+(379.3-231.6)+(-0.818142+(-0.386886--0.236232))+0-311--0.31722000000005</f>
        <v>638.14842400000009</v>
      </c>
      <c r="AA271" s="3">
        <f>802.9+(343-202.3)+(-2.047395+(-0.87465--0.515865))+0-309.9--0.790244999999955</f>
        <v>632.0840649999999</v>
      </c>
      <c r="AB271" s="3">
        <f>802.3+(278.3-184.9)+(-1.227519+(-0.425799--0.282897))+0-309.9--0.474147000000018</f>
        <v>584.90372600000001</v>
      </c>
      <c r="AC271" s="3">
        <f>802.5+(212.9-170.6)+(-2.046375+(-0.542895--0.43503))+0-309.4--0.788969999999955</f>
        <v>534.03472999999997</v>
      </c>
      <c r="AD271">
        <v>716.99999999999989</v>
      </c>
      <c r="AE271" s="3">
        <f>794+(509.5-272.4)+(0+(0-0))+0-314.1-0</f>
        <v>716.99999999999989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806.2+(207.6-143.3)+(0+(0-0))+0-309.9-0</f>
        <v>560.6</v>
      </c>
      <c r="G272" s="3">
        <f>807.4+(173.2-142)+(-1.647096+(-0.353328--0.28968))+0-310.4--0.633215999999986</f>
        <v>527.1224719999999</v>
      </c>
      <c r="H272" s="3">
        <f>806.8+(165.2-142.2)+(-2.05734+(-0.42126--0.36261))+0-310.9--0.792794999999955</f>
        <v>517.57680499999992</v>
      </c>
      <c r="I272" s="3">
        <f>809.6+(154.6-157.7)+(1.238688+(0.236538-0.241281))+0-310.4-0.474912000000018</f>
        <v>496.85903299999995</v>
      </c>
      <c r="J272" s="3">
        <f>806.9+(129.4-179.7)+(0+(0-0))+0-310.8-0</f>
        <v>445.8</v>
      </c>
      <c r="K272" s="3">
        <f>811.7+(260.1-190.9)+(1.241901+(0.397953-0.292077))+0-309.5-0.473535000000018</f>
        <v>572.27424200000007</v>
      </c>
      <c r="L272" s="3">
        <f>810+(317.3-221)+(-0.4131+(-0.161823--0.11271))+0-311.7--0.158966999999968</f>
        <v>594.29675399999985</v>
      </c>
      <c r="M272" s="3">
        <f>809.7+(384.7-236.2)+(0.412947+(0.196197-0.120462))+0-312.4-0.159323999999968</f>
        <v>646.12935800000014</v>
      </c>
      <c r="N272" s="3">
        <f>799.8+(363.7-250.9)+(-0.407898+(-0.185487--0.127959))+0-312.7--0.159476999999968</f>
        <v>599.59405099999981</v>
      </c>
      <c r="O272" s="3">
        <f>784.1+(345.1-239.7)+(-1.199673+(-0.528003--0.366741))+0-311.6--0.476748000000018</f>
        <v>577.01581299999998</v>
      </c>
      <c r="P272" s="3">
        <f>782+(351.3-239)+(-1.19646+(-0.537489--0.36567))+0-313.9--0.480267000000018</f>
        <v>579.51198799999997</v>
      </c>
      <c r="Q272" s="3">
        <f>780.2+(349.2-224.2)+(-1.193706+(-0.534276--0.343026))+0-316--0.483480000000018</f>
        <v>588.29852400000004</v>
      </c>
      <c r="R272" s="3">
        <f>778.1+(295.7-216.5)+(-1.190493+(-0.452421--0.331245))+0-312--0.477360000000018</f>
        <v>544.46569099999988</v>
      </c>
      <c r="S272" s="3">
        <f>778.5+(295-207.4)+(-0.79407+(-0.3009--0.211548))+0-313--0.31926000000005</f>
        <v>552.53583800000013</v>
      </c>
      <c r="T272" s="3">
        <f>779.4+(331.7-206.9)+(-1.589976+(-0.676668--0.422076))+0-312--0.636479999999986</f>
        <v>590.99191199999996</v>
      </c>
      <c r="U272" s="3">
        <f>779.9+(308.9-204.3)+(-0.397749+(-0.157539--0.104193))+0-313--0.159629999999968</f>
        <v>571.20853499999998</v>
      </c>
      <c r="V272" s="3">
        <f>782.9+(377.1-197)+(-0.399279+(-0.192321--0.10047))+0-312--0.159119999999968</f>
        <v>650.66798999999992</v>
      </c>
      <c r="W272" s="3">
        <f>787.2+(430.8-251.3)+(-0.401472+(-0.219708--0.128163))+0-314--0.160139999999968</f>
        <v>652.36712299999999</v>
      </c>
      <c r="X272" s="3">
        <f>789.3+(435.5-231.4)+(-1.610172+(-0.88842--0.472056))+0-314--0.640559999999986</f>
        <v>678.01402399999995</v>
      </c>
      <c r="Y272" s="3">
        <f>791.7+(402.2-208.6)+(-2.018835+(-1.02561--0.53193))+0-315--0.803249999999954</f>
        <v>668.590735</v>
      </c>
      <c r="Z272" s="3">
        <f>793+(386.1-184.6)+(-2.02215+(-0.984555--0.47073))+0-314--0.800699999999954</f>
        <v>678.764725</v>
      </c>
      <c r="AA272" s="3">
        <f>793.7+(312.2-170)+(-1.214361+(-0.477666--0.2601))+0-314--0.480420000000018</f>
        <v>620.9484930000001</v>
      </c>
      <c r="AB272" s="3">
        <f>795.3+(227.9-148.5)+(-2.028015+(-0.581145--0.378675))+0-312--0.795599999999955</f>
        <v>561.26511499999981</v>
      </c>
      <c r="AC272" s="3">
        <f>796.1+(180.1-130.5)+(-2.030055+(-0.459255--0.332775))+0-313--0.798149999999955</f>
        <v>531.34161500000005</v>
      </c>
      <c r="AD272">
        <v>688.80000000000007</v>
      </c>
      <c r="AE272" s="3">
        <f>789+(452.4-239.6)+(0+(0-0))+0-313-0</f>
        <v>688.8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796.6+(178.9-127.9)+(0+(0-0))+0-314-0</f>
        <v>533.6</v>
      </c>
      <c r="G273" s="3">
        <f>797.6+(167.7-128.7)+(0+(0-0))+0-314-0</f>
        <v>522.6</v>
      </c>
      <c r="H273" s="3">
        <f>799.9+(128.4-127.3)+(0+(0-0))+0-315-0</f>
        <v>486</v>
      </c>
      <c r="I273" s="3">
        <f>800.2+(188.6-129)+(0+(0-0))+0-315-0</f>
        <v>544.80000000000007</v>
      </c>
      <c r="J273" s="3">
        <f>811.1+(161.8-157.2)+(0+(0-0))+0-314-0</f>
        <v>501.70000000000005</v>
      </c>
      <c r="K273" s="3">
        <f>811.2+(180.3-200.2)+(0+(0-0))+0-310-0</f>
        <v>481.30000000000007</v>
      </c>
      <c r="L273" s="3">
        <f>810.9+(265.8-212.3)+(0+(0-0))+0-312-0</f>
        <v>552.4</v>
      </c>
      <c r="M273" s="3">
        <f>811.6+(303.1-257.1)+(0+(0-0))+0-311-0</f>
        <v>546.6</v>
      </c>
      <c r="N273" s="3">
        <f>809.4+(342.5-239.2)+(0+(0-0))+0-312-0</f>
        <v>600.70000000000005</v>
      </c>
      <c r="O273" s="3">
        <f>802.4+(286.6-229.6)+(-0.818448+(-0.292332--0.234192))+0-311--0.31722000000005</f>
        <v>547.84063200000003</v>
      </c>
      <c r="P273" s="3">
        <f>799.4+(292.8-216.8)+(-1.223082+(-0.447984--0.331704))+0-312--0.477360000000018</f>
        <v>562.5379979999999</v>
      </c>
      <c r="Q273" s="3">
        <f>796.9+(319.2-196.8)+(-1.219257+(-0.488376--0.301104))+0-311--0.475830000000018</f>
        <v>607.36930099999995</v>
      </c>
      <c r="R273" s="3">
        <f>794.8+(323.8-194.1)+(-1.621392+(-0.660552--0.395964))+0-311--0.634439999999986</f>
        <v>612.24846000000002</v>
      </c>
      <c r="S273" s="3">
        <f>795.9+(280.2-197.9)+(-2.029545+(-0.71451--0.504645))+0-312--0.795599999999955</f>
        <v>564.75618999999983</v>
      </c>
      <c r="T273" s="3">
        <f>795.6+(318.4-213.8)+(0+(0-0))+0-310-0</f>
        <v>590.20000000000005</v>
      </c>
      <c r="U273" s="3">
        <f>795.4+(325.2-220)+(-2.02827+(-0.82926--0.561))+0-308--0.785399999999955</f>
        <v>591.08886999999993</v>
      </c>
      <c r="V273" s="3">
        <f>796.6+(349.8-226.3)+(-0.406266+(-0.178398--0.115413))+0-308.1--0.157130999999969</f>
        <v>611.68787999999995</v>
      </c>
      <c r="W273" s="3">
        <f>797.9+(465.8-248.2)+(0.406929+(0.237558-0.126582))+0-310.1-0.158150999999969</f>
        <v>705.75975400000004</v>
      </c>
      <c r="X273" s="3">
        <f>797.7+(483.7-229.7)+(-0.813654+(-0.493374--0.234294))+0-310.3--0.316506000000049</f>
        <v>740.64377200000001</v>
      </c>
      <c r="Y273" s="3">
        <f>798.5+(394.6-226.6)+(-0.81447+(-0.402492--0.231132))+0-310.5--0.31671000000005</f>
        <v>655.33088000000009</v>
      </c>
      <c r="Z273" s="3">
        <f>799.3+(322.3-215.1)+(-1.630572+(-0.657492--0.438804))+0-309.6--0.631583999999986</f>
        <v>595.68232399999999</v>
      </c>
      <c r="AA273" s="3">
        <f>800.7+(277.2-189)+(-1.633428+(-0.565488--0.38556))+0-310.1--0.632603999999987</f>
        <v>577.61924800000008</v>
      </c>
      <c r="AB273" s="3">
        <f>802.3+(245.7-162)+(-1.227519+(-0.375921--0.24786))+0-309.6--0.473688000000018</f>
        <v>575.51810799999998</v>
      </c>
      <c r="AC273" s="3">
        <f>803.3+(240.8-157.2)+(-1.638732+(-0.491232--0.320688))+0-309.6--0.631583999999986</f>
        <v>576.12230799999998</v>
      </c>
      <c r="AD273">
        <v>725.69999999999993</v>
      </c>
      <c r="AE273" s="3">
        <f>799+(492.8-256.7)+(0+(0-0))+0-309.4-0</f>
        <v>725.69999999999993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804+(171.8-140.6)+(-1.23012+(-0.262854--0.215118))+0-310.3--0.474759000000018</f>
        <v>524.096903</v>
      </c>
      <c r="G274" s="3">
        <f>804.8+(155.9-140.2)+(-2.05224+(-0.397545--0.35751))+0-310.4--0.791519999999955</f>
        <v>508.79924499999998</v>
      </c>
      <c r="H274" s="3">
        <f>806.2+(120.9-134.5)+(-0.411162+(-0.061659--0.068595))+0-310.5--0.158354999999968</f>
        <v>481.854129</v>
      </c>
      <c r="I274" s="3">
        <f>806.9+(134.9-133.3)+(0+(0-0))+0-310.4-0</f>
        <v>498.1</v>
      </c>
      <c r="J274" s="3">
        <f>808+(132.7-147.6)+(0.41208+(0.067677-0.075276))+0-311-0.158609999999968</f>
        <v>482.3458710000001</v>
      </c>
      <c r="K274" s="3">
        <f>806.5+(183.4-181.7)+(1.64526+(0.374136-0.370668))+0-312.6-0.637703999999986</f>
        <v>496.61102400000004</v>
      </c>
      <c r="L274" s="3">
        <f>808+(305.4-201.5)+(1.23624+(0.467262-0.308295))+0-311.1-0.475983000000018</f>
        <v>601.71922399999994</v>
      </c>
      <c r="M274" s="3">
        <f>807.1+(313.6-206.7)+(0+(0-0))+0-311.2-0</f>
        <v>602.79999999999995</v>
      </c>
      <c r="N274" s="3">
        <f>804.1+(294.6-210.9)+(-0.410091+(-0.150246--0.107559))+0-312--0.159119999999968</f>
        <v>575.50634200000002</v>
      </c>
      <c r="O274" s="3">
        <f>798.8+(284.3-212.2)+(-0.814776+(-0.289986--0.216444))+0-310.9--0.31711800000005</f>
        <v>559.42880000000002</v>
      </c>
      <c r="P274" s="3">
        <f>795.8+(301.7-178.7)+(-0.811716+(-0.307734--0.182274))+0-311.4--0.31762800000005</f>
        <v>606.78045199999997</v>
      </c>
      <c r="Q274" s="3">
        <f>793.1+(298.5-190.2)+(-1.617924+(-0.60894--0.388008))+0-313.1--0.638723999999986</f>
        <v>587.09986800000013</v>
      </c>
      <c r="R274" s="3">
        <f>791.3+(305.1-191.6)+(-1.210689+(-0.466803--0.293148))+0-313.1--0.479043000000018</f>
        <v>590.79469899999992</v>
      </c>
      <c r="S274" s="3">
        <f>790.7+(286.5-189.1)+(-0.806514+(-0.29223--0.192882))+0-313.2--0.31946400000005</f>
        <v>574.31360200000006</v>
      </c>
      <c r="T274" s="3">
        <f>788.1+(303.1-183.7)+(-0.803862+(-0.309162--0.187374))+0-313.3--0.31956600000005</f>
        <v>593.59391599999992</v>
      </c>
      <c r="U274" s="3">
        <f>789.8+(341.7-180.7)+(-0.402798+(-0.174267--0.092157))+0-311.9--0.159068999999968</f>
        <v>638.57416099999989</v>
      </c>
      <c r="V274" s="3">
        <f>791.7+(351.4-201)+(-0.403767+(-0.179214--0.10251))+0-314.1--0.160190999999968</f>
        <v>627.67971999999997</v>
      </c>
      <c r="W274" s="3">
        <f>797.9+(462.2-232.7)+(0.813858+(0.471444-0.237354))+0-315.4-0.32170800000005</f>
        <v>712.72623999999996</v>
      </c>
      <c r="X274" s="3">
        <f>800.5+(423.5-224.8)+(0+(0-0))+0-314.2-0</f>
        <v>685</v>
      </c>
      <c r="Y274" s="3">
        <f>799.8+(362.5-211.9)+(-2.447388+(-1.10925--0.648414))+0-313.2--0.958392000000036</f>
        <v>635.25016800000003</v>
      </c>
      <c r="Z274" s="3">
        <f>801.1+(349.5-187.1)+(0+(0-0))+0-311.6-0</f>
        <v>651.9</v>
      </c>
      <c r="AA274" s="3">
        <f>802+(319.9-169.3)+(-1.22706+(-0.489447--0.259029))+0-312.6--0.478278000000018</f>
        <v>639.02079999999989</v>
      </c>
      <c r="AB274" s="3">
        <f>802.7+(266.6-147)+(-1.637508+(-0.543864--0.29988))+0-311.7--0.635867999999986</f>
        <v>609.35437600000012</v>
      </c>
      <c r="AC274" s="3">
        <f>805.1+(265.3-117.9)+(-2.053005+(-0.676515--0.300645))+0-311--0.793049999999955</f>
        <v>639.86417500000005</v>
      </c>
      <c r="AD274">
        <v>686.10000000000014</v>
      </c>
      <c r="AE274" s="3">
        <f>801+(418.9-217.9)+(0+(0-0))+0-315.9-0</f>
        <v>686.1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806.9+(146.4-110.5)+(-1.646076+(-0.298656--0.22542))+0-311.8--0.636071999999986</f>
        <v>529.91676000000007</v>
      </c>
      <c r="G275" s="3">
        <f>807.9+(153.6-111.9)+(-0.824058+(-0.156672--0.114138))+0-312.4--0.31864800000005</f>
        <v>536.65205600000002</v>
      </c>
      <c r="H275" s="3">
        <f>808.2+(204.4-127.5)+(-0.412182+(-0.104244--0.065025))+0-313.2--0.159731999999968</f>
        <v>571.60833100000002</v>
      </c>
      <c r="I275" s="3">
        <f>808.4+(141.5-150.6)+(0.412284+(0.072165-0.076806))+0-312.8-0.159527999999968</f>
        <v>486.74811499999998</v>
      </c>
      <c r="J275" s="3">
        <f>810.4+(130.8-166.3)+(-2.479824+(-0.400248--0.508878))+0-312.6--0.956556000000036</f>
        <v>460.88536200000004</v>
      </c>
      <c r="K275" s="3">
        <f>810.8+(180-192.4)+(1.654032+(0.3672-0.392496))+0-312.2-0.636887999999986</f>
        <v>487.19184799999999</v>
      </c>
      <c r="L275" s="3">
        <f>811.7+(293.3-199.6)+(0.827934+(0.299166-0.203592))+0-312.6-0.31885200000005</f>
        <v>593.40465599999993</v>
      </c>
      <c r="M275" s="3">
        <f>811.5+(301.7-214.1)+(-2.069325+(-0.769335--0.545955))+0-310.5--0.791774999999955</f>
        <v>587.09906999999998</v>
      </c>
      <c r="N275" s="3">
        <f>806.5+(354.3-206)+(0.411315+(0.180693-0.10506))+0-313-0.159629999999968</f>
        <v>642.12731799999995</v>
      </c>
      <c r="O275" s="3">
        <f>802.2+(266.1-203.6)+(-0.818244+(-0.271422--0.207672))+0-312.5--0.31875000000005</f>
        <v>551.6367560000001</v>
      </c>
      <c r="P275" s="3">
        <f>798.6+(257.3-189.6)+(0.407286+(0.131223-0.096696))+0-313.4-0.159833999999968</f>
        <v>553.18197900000018</v>
      </c>
      <c r="Q275" s="3">
        <f>789.1+(265.4-186.2)+(-0.402441+(-0.135354--0.094962))+0-312.8--0.159527999999968</f>
        <v>555.21669499999996</v>
      </c>
      <c r="R275" s="3">
        <f>786.4+(265.3-186.9)+(-2.00532+(-0.676515--0.476595))+0-312.5--0.796874999999955</f>
        <v>550.89163499999995</v>
      </c>
      <c r="S275" s="3">
        <f>786.2+(269.9-183.6)+(-1.202886+(-0.412947--0.280908))+0-313.7--0.479961000000018</f>
        <v>557.94503600000007</v>
      </c>
      <c r="T275" s="3">
        <f>786.7+(268.7-169.5)+(-0.401217+(-0.137037--0.086445))+0-314.4--0.160343999999968</f>
        <v>571.2085350000001</v>
      </c>
      <c r="U275" s="3">
        <f>787.1+(311.2-166.2)+(1.605684+(0.634848-0.339048))+0-311.5-0.635459999999986</f>
        <v>621.86602400000004</v>
      </c>
      <c r="V275" s="3">
        <f>787.8+(326.4-203.4)+(-0.803556+(-0.332928--0.207468))+0-312--0.31824000000005</f>
        <v>598.18922399999997</v>
      </c>
      <c r="W275" s="3">
        <f>791.4+(451.8-244.2)+(0.403614+(0.230418-0.124542))+0-311.9-0.159068999999968</f>
        <v>687.45042100000012</v>
      </c>
      <c r="X275" s="3">
        <f>794.4+(422.6-225.5)+(-1.620576+(-0.862104--0.46002))+0-312.8--0.638111999999986</f>
        <v>677.31545199999994</v>
      </c>
      <c r="Y275" s="3">
        <f>795.8+(425.5-205.1)+(-1.623432+(-0.86802--0.418404))+0-314.3--0.641171999999986</f>
        <v>700.46812399999988</v>
      </c>
      <c r="Z275" s="3">
        <f>796.2+(403.3-182.3)+(-1.218186+(-0.617049--0.278919))+0-317.9--0.486387000000018</f>
        <v>698.23007100000007</v>
      </c>
      <c r="AA275" s="3">
        <f>797.6+(286.1-175.8)+(-1.220328+(-0.437733--0.268974))+0-316.1--0.483633000000018</f>
        <v>590.8945460000001</v>
      </c>
      <c r="AB275" s="3">
        <f>798.7+(294.3-137.8)+(-1.222011+(-0.450279--0.210834))+0-316--0.483480000000018</f>
        <v>638.22202400000003</v>
      </c>
      <c r="AC275" s="3">
        <f>799.8+(248.7-126.5)+(-2.03949+(-0.634185--0.322575))+0-312.4--0.796619999999955</f>
        <v>608.04552000000001</v>
      </c>
      <c r="AD275">
        <v>731.3</v>
      </c>
      <c r="AE275" s="3">
        <f>793+(483.5-230.5)+(0+(0-0))+0-314.7-0</f>
        <v>731.3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799.9+(206.7-149.1)+(-1.223847+(-0.316251--0.228123))+0-312.7--0.478431000000018</f>
        <v>543.96645600000011</v>
      </c>
      <c r="G276" s="3">
        <f>801.9+(149.4-177)+(-0.817938+(-0.152388--0.18054))+0-314.6--0.32089200000005</f>
        <v>459.23110599999995</v>
      </c>
      <c r="H276" s="3">
        <f>801+(153.7-163.6)+(-0.81702+(-0.156774--0.166872))+0-314.3--0.32058600000005</f>
        <v>476.31366400000007</v>
      </c>
      <c r="I276" s="3">
        <f>803.6+(130.1-174.5)+(0.409836+(0.066351-0.088995))+0-313.7-0.159986999999968</f>
        <v>445.72720500000014</v>
      </c>
      <c r="J276" s="3">
        <f>807.6+(186.1-166.2)+(0.411876+(0.094911-0.084762))+0-313.6-0.159935999999968</f>
        <v>514.16208899999992</v>
      </c>
      <c r="K276" s="3">
        <f>808+(243.4-187.4)+(0.41208+(0.124134-0.095574))+0-313.5-0.159884999999968</f>
        <v>550.78075500000011</v>
      </c>
      <c r="L276" s="3">
        <f>807.7+(372.4-214.9)+(0.411927+(0.189924-0.109599))+0-313-0.159629999999968</f>
        <v>652.53262200000006</v>
      </c>
      <c r="M276" s="3">
        <f>805.4+(354.2-240.8)+(-0.821508+(-0.361284--0.245616))+0-311.6--0.31783200000005</f>
        <v>606.58065599999998</v>
      </c>
      <c r="N276" s="3">
        <f>800.9+(412.4-223.7)+(1.225377+(0.630972-0.342261))+0-312.7-0.478431000000018</f>
        <v>677.93565699999999</v>
      </c>
      <c r="O276" s="3">
        <f>794.7+(377.9-210.1)+(-2.026485+(-0.963645--0.535755))+0-312.7--0.797384999999955</f>
        <v>648.14300999999989</v>
      </c>
      <c r="P276" s="3">
        <f>791.1+(356.3-183.7)+(-0.403461+(-0.181713--0.093687))+0-312.2--0.159221999999968</f>
        <v>651.16773499999999</v>
      </c>
      <c r="Q276" s="3">
        <f>789.4+(323.1-192.8)+(-1.207782+(-0.494343--0.294984))+0-312.9--0.478737000000018</f>
        <v>605.87159600000007</v>
      </c>
      <c r="R276" s="3">
        <f>788.2+(291.7-199.8)+(-0.803964+(-0.297534--0.203796))+0-312.9--0.31915800000005</f>
        <v>566.62145600000008</v>
      </c>
      <c r="S276" s="3">
        <f>787.2+(299.9-201)+(-0.802944+(-0.305898--0.20502))+0-313.6--0.31987200000005</f>
        <v>571.91605000000004</v>
      </c>
      <c r="T276" s="3">
        <f>784.1+(315-186.6)+(-1.199673+(-0.48195--0.285498))+0-312.2--0.477666000000018</f>
        <v>599.38154099999997</v>
      </c>
      <c r="U276" s="3">
        <f>781.7+(368.9-185.2)+(-1.993335+(-0.940695--0.47226))+0-312.9--0.797894999999955</f>
        <v>650.83612500000004</v>
      </c>
      <c r="V276" s="3">
        <f>781.7+(370.2-215.7)+(0.797334+(0.377604-0.220014))+0-312.9-0.31915800000005</f>
        <v>623.93576600000006</v>
      </c>
      <c r="W276" s="3">
        <f>784.8+(467.8-265.8)+(-1.200744+(-0.715734--0.406674))+0-311.5--0.476595000000018</f>
        <v>674.2667909999999</v>
      </c>
      <c r="X276" s="3">
        <f>789.3+(477-246.4)+(-1.610172+(-0.97308--0.502656))+0-310.9--0.634235999999986</f>
        <v>707.55363999999997</v>
      </c>
      <c r="Y276" s="3">
        <f>790.9+(375.2-226)+(0.806718+(0.382704-0.23052))+0-313.9-0.32017800000005</f>
        <v>626.83872399999984</v>
      </c>
      <c r="Z276" s="3">
        <f>795.9+(348.8-196.6)+(-1.623636+(-0.711552--0.401064))+0-313.7--0.639947999999986</f>
        <v>633.10582399999998</v>
      </c>
      <c r="AA276" s="3">
        <f>795.9+(343.3-170.2)+(-1.623636+(-0.700332--0.347208))+0-313.9--0.640355999999986</f>
        <v>653.76359600000001</v>
      </c>
      <c r="AB276" s="3">
        <f>793.8+(294.9-165.8)+(0.404838+(0.150399-0.084558))+0-310.4-0.158303999999968</f>
        <v>612.81237499999997</v>
      </c>
      <c r="AC276" s="3">
        <f>683.3+(317.4-154.3)+(-0.348483+(-0.161874--0.078693))+0-310.3--0.158252999999969</f>
        <v>535.8265889999999</v>
      </c>
      <c r="AD276">
        <v>762.8</v>
      </c>
      <c r="AE276" s="3">
        <f>788+(529.3-241)+(0+(0-0))+0-313.5-0</f>
        <v>762.8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733.4+(279.7-171.7)+(-0.374034+(-0.142647--0.087567))+0-310.7--0.158456999999968</f>
        <v>530.42934300000002</v>
      </c>
      <c r="G277" s="3">
        <f>755.4+(245.5-203.7)+(-0.385254+(-0.125205--0.103887))+0-314.1--0.160190999999968</f>
        <v>482.85361899999998</v>
      </c>
      <c r="H277" s="3">
        <f>761.4+(248.5-217.1)+(0+(0-0))+0-314.5-0</f>
        <v>478.29999999999995</v>
      </c>
      <c r="I277" s="3">
        <f>762+(255.6-203)+(-0.38862+(-0.130356--0.10353))+0-313.6--0.159935999999968</f>
        <v>500.74448999999998</v>
      </c>
      <c r="J277" s="3">
        <f>764.8+(246.7-232.1)+(0.390048+(0.125817-0.118371))+0-313.1-0.159680999999968</f>
        <v>466.53781300000003</v>
      </c>
      <c r="K277" s="3">
        <f>766.1+(265.4-244.6)+(0+(0-0))+0-312.5-0</f>
        <v>474.4</v>
      </c>
      <c r="L277" s="3">
        <f>764.2+(324.7-271)+(0.389742+(0.165597-0.13821))+0-312.4-0.159323999999968</f>
        <v>505.75780500000019</v>
      </c>
      <c r="M277" s="3">
        <f>765.8+(356.9-297.5)+(0+(0-0))+0-309.1-0</f>
        <v>516.09999999999991</v>
      </c>
      <c r="N277" s="3">
        <f>763.1+(359.3-273.9)+(-0.778362+(-0.366486--0.279378))+0-309.4--0.315588000000049</f>
        <v>538.55011800000011</v>
      </c>
      <c r="O277" s="3">
        <f>756.3+(390.5-258)+(0.385713+(0.199155-0.13158))+0-311.5-0.158864999999968</f>
        <v>577.59442300000001</v>
      </c>
      <c r="P277" s="3">
        <f>748.5+(411.5-246.5)+(1.145205+(0.629595-0.377145))+0-312-0.477360000000018</f>
        <v>602.42029500000001</v>
      </c>
      <c r="Q277" s="3">
        <f>743.8+(426.5-244.1)+(-0.379338+(-0.217515--0.124491))+0-311.5--0.158864999999968</f>
        <v>614.38650299999995</v>
      </c>
      <c r="R277" s="3">
        <f>741.2+(396.9-245.3)+(-1.89006+(-1.012095--0.625515))+0-313.1--0.798404999999955</f>
        <v>578.22176499999989</v>
      </c>
      <c r="S277" s="3">
        <f>738.5+(360.9-246.2)+(-1.50654+(-0.736236--0.502248))+0-313.9--0.640355999999986</f>
        <v>538.19982800000002</v>
      </c>
      <c r="T277" s="3">
        <f>737.2+(339.5-228.4)+(-0.375972+(-0.173145--0.116484))+0-312.9--0.159578999999968</f>
        <v>535.12694600000009</v>
      </c>
      <c r="U277" s="3">
        <f>735.9+(341.5-233.4)+(-1.876545+(-0.870825--0.59517))+0-311.4--0.794069999999955</f>
        <v>531.24186999999995</v>
      </c>
      <c r="V277" s="3">
        <f>737+(367.7-252)+(1.12761+(0.562581-0.38556))+0-310.4-0.474912000000018</f>
        <v>543.12971900000002</v>
      </c>
      <c r="W277" s="3">
        <f>743.3+(485.7-309.5)+(0+(0-0))+0-314-0</f>
        <v>605.5</v>
      </c>
      <c r="X277" s="3">
        <f>747.2+(482.7-302.4)+(-1.90536+(-1.230885--0.77112))+0-313.9--0.800444999999954</f>
        <v>612.03531999999996</v>
      </c>
      <c r="Y277" s="3">
        <f>750.6+(475.9-253.5)+(-1.91403+(-1.213545--0.646425))+0-314.8--0.802739999999954</f>
        <v>656.52158999999995</v>
      </c>
      <c r="Z277" s="3">
        <f>751.4+(408.5-260.9)+(-1.149642+(-0.625005--0.399177))+0-314.7--0.481491000000018</f>
        <v>583.40602100000001</v>
      </c>
      <c r="AA277" s="3">
        <f>757.2+(369.1-249.3)+(-0.386172+(-0.188241--0.127143))+0-315--0.160649999999968</f>
        <v>561.71337999999992</v>
      </c>
      <c r="AB277" s="3">
        <f>763.1+(326.3-230.2)+(-1.167543+(-0.499239--0.352206))+0-314.1--0.480573000000018</f>
        <v>544.26599700000008</v>
      </c>
      <c r="AC277" s="3">
        <f>759.5+(280.1-208.5)+(-0.77469+(-0.285702--0.21267))+0-312.5--0.31875000000005</f>
        <v>518.07102800000007</v>
      </c>
      <c r="AD277">
        <v>662.2</v>
      </c>
      <c r="AE277" s="3">
        <f>750+(544.4-318.7)+(0+(0-0))+0-313.5-0</f>
        <v>662.2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757.5+(246.8-209.6)+(0+(0-0))+0-312.7-0</f>
        <v>482.00000000000006</v>
      </c>
      <c r="G278" s="3">
        <f>758+(245.8-214)+(-1.9329+(-0.62679--0.5457))+0-315.3--0.804014999999954</f>
        <v>473.29002499999984</v>
      </c>
      <c r="H278" s="3">
        <f>761.9+(279-193.5)+(-1.554276+(-0.56916--0.39474))+0-315.2--0.643007999999986</f>
        <v>531.11431199999993</v>
      </c>
      <c r="I278" s="3">
        <f>768.9+(244.1-196.6)+(0.392139+(0.124491-0.100266))+0-315.3-0.160802999999968</f>
        <v>501.35556100000002</v>
      </c>
      <c r="J278" s="3">
        <f>769.9+(264.5-197.4)+(0.392649+(0.134895-0.100674))+0-313.9-0.160088999999968</f>
        <v>523.36678100000006</v>
      </c>
      <c r="K278" s="3">
        <f>767.5+(305.7-226.3)+(0+(0-0))+0-310.9-0</f>
        <v>536</v>
      </c>
      <c r="L278" s="3">
        <f>763.7+(344.3-250.3)+(-0.389487+(-0.175593--0.127653))+0-309--0.157589999999969</f>
        <v>548.420163</v>
      </c>
      <c r="M278" s="3">
        <f>762.6+(361.1-274.6)+(0.777852+(0.368322-0.280092))+0-307.9-0.314058000000049</f>
        <v>541.75202400000001</v>
      </c>
      <c r="N278" s="3">
        <f>759.4+(396.8-280.1)+(0.774588+(0.404736-0.285702))+0-309.1-0.315282000000049</f>
        <v>567.57833999999991</v>
      </c>
      <c r="O278" s="3">
        <f>751.6+(439.6-316.9)+(0+(0-0))+0-310.9-0</f>
        <v>563.40000000000009</v>
      </c>
      <c r="P278" s="3">
        <f>733+(473.2-321.1)+(-0.74766+(-0.482664--0.327522))+0-310.3--0.316506000000049</f>
        <v>574.21370399999989</v>
      </c>
      <c r="Q278" s="3">
        <f>720.2+(522.1-317.2)+(0.734604+(0.532542-0.323544))+0-310.9-0.31711800000005</f>
        <v>614.82648400000016</v>
      </c>
      <c r="R278" s="3">
        <f>717.9+(540.5-307.9)+(-1.098387+(-0.826965--0.471087))+0-310.2--0.474606000000018</f>
        <v>639.3203410000001</v>
      </c>
      <c r="S278" s="3">
        <f>728.3+(521.7-299.9)+(-1.857165+(-1.330335--0.764745))+0-309.5--0.789224999999955</f>
        <v>638.96646999999996</v>
      </c>
      <c r="T278" s="3">
        <f>732.9+(457.4-301)+(-1.121337+(-0.699822--0.46053))+0-310.2--0.474606000000018</f>
        <v>578.21397699999989</v>
      </c>
      <c r="U278" s="3">
        <f>837.6+(372.7-317)+(-1.708704+(-0.760308--0.64668))+0-309.8--0.631991999999986</f>
        <v>582.30966000000001</v>
      </c>
      <c r="V278" s="3">
        <f>944.1+(322.7-360)+(-0.481491+(-0.164577--0.1836))+0-310--0.158099999999969</f>
        <v>596.495632</v>
      </c>
      <c r="W278" s="3">
        <f>964.5+(404.4-366.5)+(0.491895+(0.206244-0.186915))+0-312.7-0.159476999999968</f>
        <v>690.05174699999998</v>
      </c>
      <c r="X278" s="3">
        <f>966.9+(361.9-359.1)+(-1.972476+(-0.738276--0.732564))+0-311.8--0.636071999999986</f>
        <v>656.55788399999983</v>
      </c>
      <c r="Y278" s="3">
        <f>973.4+(353.4-337.8)+(1.489302+(0.540702-0.516834))+0-311-0.475830000000018</f>
        <v>679.03733999999997</v>
      </c>
      <c r="Z278" s="3">
        <f>973.1+(329.5-326.6)+(-0.496281+(-0.168045--0.166566))+0-309.9--0.158048999999969</f>
        <v>665.76028900000006</v>
      </c>
      <c r="AA278" s="3">
        <f>976.2+(290.8-304.8)+(-1.493586+(-0.444924--0.466344))+0-311.8--0.477054000000018</f>
        <v>649.40488800000014</v>
      </c>
      <c r="AB278" s="3">
        <f>976.9+(260.8-284.1)+(-0.996438+(-0.266016--0.289782))+0-311.2--0.31742400000005</f>
        <v>641.74475200000006</v>
      </c>
      <c r="AC278" s="3">
        <f>975.4+(211-259.6)+(-1.492362+(-0.32283--0.397188))+0-310.6--0.475218000000018</f>
        <v>615.25721399999998</v>
      </c>
      <c r="AD278">
        <v>704.8</v>
      </c>
      <c r="AE278" s="3">
        <f>969+(417.5-369.4)+(0+(0-0))+0-312.3-0</f>
        <v>704.8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975.3+(183.6-259.2)+(-2.487015+(-0.46818--0.66096))+0-310.2--0.791009999999955</f>
        <v>587.99677499999984</v>
      </c>
      <c r="G279" s="3">
        <f>977.9+(139.3-242.5)+(-1.496187+(-0.213129--0.371025))+0-310.7--0.475371000000018</f>
        <v>563.13707999999997</v>
      </c>
      <c r="H279" s="3">
        <f>981.5+(138.9-226.5)+(-2.502825+(-0.354195--0.577575))+0-311.5--0.794324999999955</f>
        <v>580.91487999999993</v>
      </c>
      <c r="I279" s="3">
        <f>979.8+(147.2-260.1)+(-0.999396+(-0.150144--0.265302))+0-310.5--0.31671000000005</f>
        <v>555.83247199999994</v>
      </c>
      <c r="J279" s="3">
        <f>981.1+(186.9-315.3)+(0+(0-0))+0-310-0</f>
        <v>542.70000000000005</v>
      </c>
      <c r="K279" s="3">
        <f>983.1+(214-285.9)+(-1.002762+(-0.21828--0.291618))+0-310--0.316200000000049</f>
        <v>600.5867760000001</v>
      </c>
      <c r="L279" s="3">
        <f>986.4+(237.6-316.5)+(0.503064+(0.121176-0.161415))+0-310.6-0.158405999999969</f>
        <v>597.20441899999992</v>
      </c>
      <c r="M279" s="3">
        <f>985.2+(240.4-342.5)+(1.004904+(0.245208-0.34935))+0-311.7-0.31793400000005</f>
        <v>571.98282800000004</v>
      </c>
      <c r="N279" s="3">
        <f>979.7+(300.6-328)+(0.499647+(0.153306-0.16728))+0-314.2-0.160241999999968</f>
        <v>638.42543100000012</v>
      </c>
      <c r="O279" s="3">
        <f>971.2+(288.6-333.1)+(1.981248+(0.588744-0.679524))+0-315.5-0.643619999999986</f>
        <v>612.44684800000016</v>
      </c>
      <c r="P279" s="3">
        <f>966.6+(285.7-322.6)+(0.492966+(0.145707-0.164526))+0-315.6-0.160955999999968</f>
        <v>614.4131910000001</v>
      </c>
      <c r="Q279" s="3">
        <f>961.9+(306.5-308.1)+(0.490569+(0.156315-0.157131))+0-316.6-0.161465999999968</f>
        <v>644.02828699999986</v>
      </c>
      <c r="R279" s="3">
        <f>958.3+(272.8-314.8)+(-2.443665+(-0.69564--0.80274))+0-314.2--0.801209999999954</f>
        <v>600.56464500000004</v>
      </c>
      <c r="S279" s="3">
        <f>956.3+(250.2-316.3)+(0.487713+(0.127602-0.161313))+0-314.7-0.160496999999968</f>
        <v>575.79350499999998</v>
      </c>
      <c r="T279" s="3">
        <f>955.5+(263.4-292)+(0.97461+(0.268668-0.29784))+0-313.3-0.31956600000005</f>
        <v>614.22587199999987</v>
      </c>
      <c r="U279" s="3">
        <f>955.4+(268.3-312.4)+(0+(0-0))+0-314.2-0</f>
        <v>597.09999999999991</v>
      </c>
      <c r="V279" s="3">
        <f>957.2+(292.4-338.9)+(-0.976344+(-0.298248--0.345678))+0-313--0.31926000000005</f>
        <v>597.09034600000018</v>
      </c>
      <c r="W279" s="3">
        <f>962.3+(356.8-359)+(0+(0-0))+0-314.8-0</f>
        <v>645.29999999999995</v>
      </c>
      <c r="X279" s="3">
        <f>927.6+(391.8-331.7)+(-0.946152+(-0.399636--0.338334))+0-316.1--0.32242200000005</f>
        <v>670.91496800000004</v>
      </c>
      <c r="Y279" s="3">
        <f>852.5+(418.1-294.1)+(-1.7391+(-0.852924--0.599964))+0-315.1--0.642803999999986</f>
        <v>660.0507439999999</v>
      </c>
      <c r="Z279" s="3">
        <f>859.2+(384.8-280.3)+(-0.438192+(-0.196248--0.142953))+0-315.9--0.161108999999968</f>
        <v>647.46962200000007</v>
      </c>
      <c r="AA279" s="3">
        <f>860.7+(329.6-268)+(-0.877914+(-0.336192--0.27336))+0-315.9--0.32221800000005</f>
        <v>605.78147200000012</v>
      </c>
      <c r="AB279" s="3">
        <f>862.6+(285.4-253.2)+(-0.439926+(-0.145554--0.129132))+0-313.8--0.160037999999968</f>
        <v>580.70368999999982</v>
      </c>
      <c r="AC279" s="3">
        <f>866.1+(253-238.7)+(-0.441711+(-0.12903--0.121737))+0-311.8--0.159017999999968</f>
        <v>568.31001400000002</v>
      </c>
      <c r="AD279">
        <v>690</v>
      </c>
      <c r="AE279" s="3">
        <f>962+(392.9-349.6)+(0+(0-0))+0-315.3-0</f>
        <v>690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864+(228.1-216.1)+(-0.88128+(-0.232662--0.220422))+0-311.2--0.31742400000005</f>
        <v>564.22390400000018</v>
      </c>
      <c r="G280" s="3">
        <f>864.8+(206.2-235)+(-0.441048+(-0.105162--0.11985))+0-312.8--0.159527999999968</f>
        <v>522.93316799999991</v>
      </c>
      <c r="H280" s="3">
        <f>875.2+(172.6-202.2)+(-1.339056+(-0.264078--0.309366))+0-316.1--0.483633000000018</f>
        <v>528.68986500000005</v>
      </c>
      <c r="I280" s="3">
        <f>879.5+(146.7-212.6)+(-1.345635+(-0.224451--0.325278))+0-314--0.480420000000018</f>
        <v>498.83561200000003</v>
      </c>
      <c r="J280" s="3">
        <f>877.9+(185.4-210.3)+(0+(0-0))+0-312.3-0</f>
        <v>540.70000000000005</v>
      </c>
      <c r="K280" s="3">
        <f>881.7+(211.7-246.9)+(0+(0-0))+0-309.9-0</f>
        <v>536.6</v>
      </c>
      <c r="L280" s="3">
        <f>953.8+(259.3-291)+(0+(0-0))+0-312.5-0</f>
        <v>609.59999999999991</v>
      </c>
      <c r="M280" s="3">
        <f>978.8+(220.2-319.5)+(0.998376+(0.224604-0.32589))+0-311.7-0.31793400000005</f>
        <v>568.37915600000008</v>
      </c>
      <c r="N280" s="3">
        <f>961.5+(229.1-285.4)+(0.98073+(0.233682-0.291108))+0-312.9-0.31915800000005</f>
        <v>592.90414600000008</v>
      </c>
      <c r="O280" s="3">
        <f>907.5+(266.7-245.8)+(-0.462825+(-0.136017--0.125358))+0-314.7--0.160496999999968</f>
        <v>613.38701299999991</v>
      </c>
      <c r="P280" s="3">
        <f>957.9+(195.1-322.4)+(0+(0-0))+0-229.8-0</f>
        <v>600.79999999999995</v>
      </c>
      <c r="Q280" s="3">
        <f>954.1+(228.4-270.2)+(-1.459773+(-0.349452--0.413406))+0-267.2--0.408816000000015</f>
        <v>644.11299700000006</v>
      </c>
      <c r="R280" s="3">
        <f>949.5+(216.7-294.3)+(-0.96849+(-0.221034--0.300186))+0-249.1--0.25408200000004</f>
        <v>622.16474400000004</v>
      </c>
      <c r="S280" s="3">
        <f>951.9+(238.2-236.6)+(-1.456407+(-0.364446--0.361998))+0-316.9--0.484857000000018</f>
        <v>635.62600200000008</v>
      </c>
      <c r="T280" s="3">
        <f>951.2+(199.6-243.4)+(0+(0-0))+0-317.2-0</f>
        <v>590.20000000000005</v>
      </c>
      <c r="U280" s="3">
        <f>949.3+(226.2-243.3)+(1.452429+(0.346086-0.372249))+0-315-0.481950000000018</f>
        <v>618.144316</v>
      </c>
      <c r="V280" s="3">
        <f>949.4+(247.4-296)+(0.968388+(0.252348-0.30192))+0-317.3-0.323646000000051</f>
        <v>584.09516999999983</v>
      </c>
      <c r="W280" s="3">
        <f>953.2+(350.1-323.2)+(1.458396+(0.535653-0.494496))+0-318.2-0.486846000000018</f>
        <v>662.91270700000018</v>
      </c>
      <c r="X280" s="3">
        <f>958+(370.8-306)+(-0.97716+(-0.378216--0.31212))+0-317.4--0.323748000000051</f>
        <v>704.68049199999996</v>
      </c>
      <c r="Y280" s="3">
        <f>961.6+(365.6-287.3)+(-2.45208+(-0.93228--0.732615))+0-318.4--0.811919999999954</f>
        <v>719.66017500000021</v>
      </c>
      <c r="Z280" s="3">
        <f>965.9+(308.5-272.1)+(0.492609+(0.157335-0.138771))+0-317.9-0.162128999999968</f>
        <v>684.74904400000003</v>
      </c>
      <c r="AA280" s="3">
        <f>970.1+(312.2-250.1)+(-1.484253+(-0.477666--0.382653))+0-319.3--0.488529000000018</f>
        <v>711.8092630000001</v>
      </c>
      <c r="AB280" s="3">
        <f>970.5+(239-231.7)+(-1.97982+(-0.48756--0.472668))+0-318.3--0.649331999999986</f>
        <v>658.1546199999998</v>
      </c>
      <c r="AC280" s="3">
        <f>973.8+(150.7-217.4)+(-1.986552+(-0.307428--0.443496))+0-318.8--0.650351999999986</f>
        <v>587.0998679999999</v>
      </c>
      <c r="AD280">
        <v>706.7</v>
      </c>
      <c r="AE280" s="3">
        <f>958+(380.9-317.5)+(0+(0-0))+0-314.7-0</f>
        <v>706.7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975.5+(130.5-217.1)+(-1.99002+(-0.26622--0.442884))+0-315.8--0.644231999999986</f>
        <v>571.93087600000001</v>
      </c>
      <c r="G281" s="3">
        <f>976.7+(104-245.1)+(-0.996234+(-0.10608--0.250002))+0-318.2--0.324564000000051</f>
        <v>516.87225200000012</v>
      </c>
      <c r="H281" s="3">
        <f>977.9+(89.8-240.3)+(-0.498729+(-0.045798--0.122553))+0-320.2--0.163301999999968</f>
        <v>506.941328</v>
      </c>
      <c r="I281" s="3">
        <f>977.7+(89.7-251)+(1.495881+(0.137241-0.38403))+0-319.6-0.488988000000019</f>
        <v>497.56010400000008</v>
      </c>
      <c r="J281" s="3">
        <f>979.5+(89.3-248.8)+(0+(0-0))+0-318-0</f>
        <v>502</v>
      </c>
      <c r="K281" s="3">
        <f>977.3+(135.1-212.2)+(2.990538+(0.413406-0.649332))+0-314.5-0.962370000000036</f>
        <v>587.49224199999981</v>
      </c>
      <c r="L281" s="3">
        <f>979.2+(162.5-249.8)+(0+(0-0))+0-315.2-0</f>
        <v>576.70000000000005</v>
      </c>
      <c r="M281" s="3">
        <f>980.5+(181.1-278.8)+(1.00011+(0.184722-0.284376))+0-312.8-0.31905600000005</f>
        <v>570.5813999999998</v>
      </c>
      <c r="N281" s="3">
        <f>972.3+(254.5-285.7)+(0+(0-0))+0-315-0</f>
        <v>626.09999999999991</v>
      </c>
      <c r="O281" s="3">
        <f>967.1+(246.9-297.9)+(0.986442+(0.251838-0.303858))+0-316.2-0.32252400000005</f>
        <v>600.51189800000009</v>
      </c>
      <c r="P281" s="3">
        <f>965.1+(270.9-238.5)+(1.476603+(0.414477-0.364905))+0-316.5-0.484245000000018</f>
        <v>682.04192999999998</v>
      </c>
      <c r="Q281" s="3">
        <f>963.2+(292.7-264.9)+(-0.491232+(-0.149277--0.135099))+0-316.2--0.161261999999968</f>
        <v>674.45585199999994</v>
      </c>
      <c r="R281" s="3">
        <f>960.4+(290-304.4)+(-2.44902+(-0.7395--0.77622))+0-313.7--0.799934999999954</f>
        <v>630.687635</v>
      </c>
      <c r="S281" s="3">
        <f>958.5+(309.4-264.2)+(-1.466505+(-0.473382--0.404226))+0-314.3--0.480879000000018</f>
        <v>688.34521800000005</v>
      </c>
      <c r="T281" s="3">
        <f>958.3+(274.6-309.9)+(0.488733+(0.140046-0.158049))+0-317-0.161669999999968</f>
        <v>606.30906000000004</v>
      </c>
      <c r="U281" s="3">
        <f>956.4+(268.2-321.1)+(-0.487764+(-0.136782--0.163761))+0-315.9--0.161108999999968</f>
        <v>587.30032400000005</v>
      </c>
      <c r="V281" s="3">
        <f>956.4+(276.6-323.1)+(-0.975528+(-0.282132--0.329562))+0-313.7--0.31997400000005</f>
        <v>595.59187599999996</v>
      </c>
      <c r="W281" s="3">
        <f>960.4+(349.5-296.1)+(0.979608+(0.35649-0.302022))+0-312.2-0.31844400000005</f>
        <v>702.31563200000005</v>
      </c>
      <c r="X281" s="3">
        <f>964.9+(359.9-273.9)+(-2.460495+(-0.917745--0.698445))+0-312.6--0.797129999999955</f>
        <v>736.41733499999998</v>
      </c>
      <c r="Y281" s="3">
        <f>966+(310.6-253.1)+(-0.49266+(-0.158406--0.129081))+0-312.8--0.159527999999968</f>
        <v>710.33754299999998</v>
      </c>
      <c r="Z281" s="3">
        <f>968.1+(275.1-239.8)+(-0.493731+(-0.140301--0.122298))+0-313--0.159629999999968</f>
        <v>690.04789600000004</v>
      </c>
      <c r="AA281" s="3">
        <f>969+(271.3-222.9)+(-0.98838+(-0.276726--0.227358))+0-313.2--0.31946400000005</f>
        <v>703.48171600000012</v>
      </c>
      <c r="AB281" s="3">
        <f>969.9+(242.6-257.2)+(-2.473245+(-0.61863--0.65586))+0-312.8--0.797639999999955</f>
        <v>640.861625</v>
      </c>
      <c r="AC281" s="3">
        <f>971.1+(198.1-204.5)+(-0.990522+(-0.202062--0.20859))+0-311.7--0.31793400000005</f>
        <v>652.3339400000001</v>
      </c>
      <c r="AD281">
        <v>677.89999999999986</v>
      </c>
      <c r="AE281" s="3">
        <f>963+(349.6-322.4)+(0+(0-0))+0-312.3-0</f>
        <v>677.90000000000009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971.6+(135.1-228.9)+(-1.982064+(-0.275604--0.466956))+0-311.8--0.636071999999986</f>
        <v>564.84536000000003</v>
      </c>
      <c r="G282" s="3">
        <f>971.3+(116.6-220.4)+(-0.990726+(-0.118932--0.224808))+0-312.9--0.31915800000005</f>
        <v>554.03430800000001</v>
      </c>
      <c r="H282" s="3">
        <f>972+(83.9-244.4)+(-1.98288+(-0.171156--0.498576))+0-315.3--0.643211999999986</f>
        <v>495.18775200000005</v>
      </c>
      <c r="I282" s="3">
        <f>973.5+(55.2-216.7)+(-1.98594+(-0.112608--0.442068))+0-315.5--0.643619999999986</f>
        <v>495.48714000000001</v>
      </c>
      <c r="J282" s="3">
        <f>973.8+(60.6-212.5)+(-0.993276+(-0.061812--0.21675))+0-314.2--0.32048400000005</f>
        <v>507.18214599999999</v>
      </c>
      <c r="K282" s="3">
        <f>976+(108.1-209.2)+(0+(0-0))+0-313.6-0</f>
        <v>561.29999999999995</v>
      </c>
      <c r="L282" s="3">
        <f>976.7+(181.3-265.3)+(-0.498117+(-0.092463--0.135303))+0-313.4--0.159833999999968</f>
        <v>579.00455699999998</v>
      </c>
      <c r="M282" s="3">
        <f>975.9+(180.1-285.3)+(0.497709+(0.091851-0.145503))+0-311.9-0.159068999999968</f>
        <v>559.08498800000007</v>
      </c>
      <c r="N282" s="3">
        <f>946.8+(212-279.4)+(0.965736+(0.21624-0.284988))+0-313.2-0.31946400000005</f>
        <v>566.77752399999997</v>
      </c>
      <c r="O282" s="3">
        <f>929.8+(214.6-262.3)+(0.948396+(0.218892-0.267546))+0-315.4-0.32170800000005</f>
        <v>567.27803399999982</v>
      </c>
      <c r="P282" s="3">
        <f>961.1+(224.7-279.1)+(0.490161+(0.114597-0.142341))+0-316.5-0.161414999999968</f>
        <v>590.50100200000008</v>
      </c>
      <c r="Q282" s="3">
        <f>958.3+(240.6-286.5)+(0+(0-0))+0-316-0</f>
        <v>596.4</v>
      </c>
      <c r="R282" s="3">
        <f>956+(253.4-282.6)+(-2.4378+(-0.64617--0.72063))+0-316.4--0.806819999999954</f>
        <v>608.84347999999989</v>
      </c>
      <c r="S282" s="3">
        <f>956.4+(250.7-287)+(-3.414348+(-0.894999--1.02459))+0-315.6--1.126692</f>
        <v>602.34193499999992</v>
      </c>
      <c r="T282" s="3">
        <f>958+(252.2-294.5)+(0+(0-0))+0-313.6-0</f>
        <v>602.1</v>
      </c>
      <c r="U282" s="3">
        <f>957.4+(263-353.8)+(1.464822+(0.40239-0.541314))+0-316-0.483480000000018</f>
        <v>551.44241799999998</v>
      </c>
      <c r="V282" s="3">
        <f>960.7+(268.6-310.6)+(-0.979914+(-0.273972--0.316812))+0-315.3--0.32160600000005</f>
        <v>602.78453200000001</v>
      </c>
      <c r="W282" s="3">
        <f>962.8+(306.6-290.2)+(1.473084+(0.469098-0.444006))+0-315.7-0.483021000000018</f>
        <v>664.51515500000005</v>
      </c>
      <c r="X282" s="3">
        <f>965.6+(298-278.8)+(-2.46228+(-0.7599--0.71094))+0-315.8--0.805289999999954</f>
        <v>667.29404999999986</v>
      </c>
      <c r="Y282" s="3">
        <f>958.7+(268.6-262.8)+(-2.444685+(-0.68493--0.67014))+0-314.1--0.800954999999954</f>
        <v>648.74147999999991</v>
      </c>
      <c r="Z282" s="3">
        <f>955.5+(231.8-302.5)+(-1.94922+(-0.472872--0.6171))+0-248.6--0.507143999999989</f>
        <v>634.902152</v>
      </c>
      <c r="AA282" s="3">
        <f>957.7+(240.7-267.2)+(-1.953708+(-0.491028--0.545088))+0-315.3--0.643211999999986</f>
        <v>614.64356399999997</v>
      </c>
      <c r="AB282" s="3">
        <f>959.4+(232.8-284.9)+(-0.978588+(-0.237456--0.290598))+0-317.4--0.323748000000051</f>
        <v>589.29830200000004</v>
      </c>
      <c r="AC282" s="3">
        <f>961.4+(219.4-300.9)+(-3.922512+(-0.895152--1.227672))+0-318.4--1.29907199999997</f>
        <v>559.20907999999997</v>
      </c>
      <c r="AD282">
        <v>648.19999999999982</v>
      </c>
      <c r="AE282" s="3">
        <f>962+(282.6-281.7)+(0+(0-0))+0-314.7-0</f>
        <v>648.20000000000005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964.4+(165.8-301.5)+(-0.983688+(-0.169116--0.30753))+0-317.5--0.323850000000051</f>
        <v>510.67857600000008</v>
      </c>
      <c r="G283" s="3">
        <f>964.7+(94-249.1)+(0.491997+(0.04794-0.127041))+0-315.8-0.161057999999968</f>
        <v>494.05183800000009</v>
      </c>
      <c r="H283" s="3">
        <f>965.2+(79.5-239.6)+(0.492252+(0.040545-0.122196))+0-315.9-0.161108999999968</f>
        <v>489.44949200000013</v>
      </c>
      <c r="I283" s="3">
        <f>964.2+(79.5-248.5)+(-0.491742+(-0.040545--0.126735))+0-315--0.160649999999968</f>
        <v>479.95509800000008</v>
      </c>
      <c r="J283" s="3">
        <f>963.4+(91.6-255.6)+(-2.45667+(-0.23358--0.65178))+0-316.1--0.806054999999954</f>
        <v>482.06758499999995</v>
      </c>
      <c r="K283" s="3">
        <f>966.5+(131.7-277)+(-0.492915+(-0.067167--0.14127))+0-314.3--0.160292999999968</f>
        <v>506.641481</v>
      </c>
      <c r="L283" s="3">
        <f>966.9+(169-272.9)+(-0.493119+(-0.08619--0.139179))+0-313.1--0.159680999999968</f>
        <v>549.619551</v>
      </c>
      <c r="M283" s="3">
        <f>965.4+(158.3-264.4)+(0.492354+(0.080733-0.134844))+0-312-0.159119999999968</f>
        <v>547.5791230000001</v>
      </c>
      <c r="N283" s="3">
        <f>959.2+(187-274.5)+(-0.489192+(-0.09537--0.139995))+0-314.7--0.160496999999968</f>
        <v>556.71592999999996</v>
      </c>
      <c r="O283" s="3">
        <f>953.3+(195-276.5)+(0.486183+(0.09945-0.141015))+0-314.6-0.160445999999968</f>
        <v>557.48417199999994</v>
      </c>
      <c r="P283" s="3">
        <f>949+(206.7-267.8)+(-0.48399+(-0.105417--0.136578))+0-315--0.160649999999968</f>
        <v>572.60782099999994</v>
      </c>
      <c r="Q283" s="3">
        <f>945.6+(211.3-261.2)+(-0.964512+(-0.215526--0.266424))+0-312.1--0.31834200000005</f>
        <v>583.004728</v>
      </c>
      <c r="R283" s="3">
        <f>934.9+(210.7-262.9)+(-1.430397+(-0.322371--0.402237))+0-313.2--0.479196000000018</f>
        <v>568.62866499999996</v>
      </c>
      <c r="S283" s="3">
        <f>940.4+(211.4-271)+(-0.479604+(-0.107814--0.13821))+0-315.1--0.160700999999968</f>
        <v>565.41149299999995</v>
      </c>
      <c r="T283" s="3">
        <f>939.3+(213.4-274.8)+(-0.958086+(-0.217668--0.280296))+0-316.3--0.32262600000005</f>
        <v>561.02716799999996</v>
      </c>
      <c r="U283" s="3">
        <f>941.4+(213.5-276.5)+(-0.480114+(-0.108885--0.141015))+0-316.7--0.161516999999968</f>
        <v>561.41353299999992</v>
      </c>
      <c r="V283" s="3">
        <f>943.1+(241.2-267.7)+(0+(0-0))+0-313.8-0</f>
        <v>602.79999999999995</v>
      </c>
      <c r="W283" s="3">
        <f>949.2+(281.9-286.4)+(0.968184+(0.287538-0.292128))+0-315.9-0.32221800000005</f>
        <v>629.44137599999999</v>
      </c>
      <c r="X283" s="3">
        <f>953.3+(272.4-271)+(-2.430915+(-0.69462--0.69105))+0-317--0.808349999999954</f>
        <v>636.07386499999984</v>
      </c>
      <c r="Y283" s="3">
        <f>952.8+(243.6-259.2)+(-2.42964+(-0.62118--0.66096))+0-314.6--0.802229999999954</f>
        <v>621.01236999999992</v>
      </c>
      <c r="Z283" s="3">
        <f>954.2+(230.4-259.1)+(-1.946568+(-0.470016--0.528564))+0-314.4--0.641375999999986</f>
        <v>609.85335600000008</v>
      </c>
      <c r="AA283" s="3">
        <f>958.2+(233.5-287.6)+(-1.466046+(-0.357255--0.440028))+0-313.9--0.480267000000018</f>
        <v>589.29699400000004</v>
      </c>
      <c r="AB283" s="3">
        <f>962.5+(217.4-299.8)+(-1.472625+(-0.332622--0.458694))+0-312.4--0.477972000000018</f>
        <v>566.8314190000001</v>
      </c>
      <c r="AC283" s="3">
        <f>963.3+(207.5-321)+(-2.456415+(-0.529125--0.81855))+0-314.6--0.802229999999954</f>
        <v>533.83523999999989</v>
      </c>
      <c r="AD283">
        <v>643.30000000000018</v>
      </c>
      <c r="AE283" s="3">
        <f>954+(296.9-286.3)+(0+(0-0))+0-321.3-0</f>
        <v>643.29999999999995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961.8+(204.9-352.8)+(-1.471554+(-0.313497--0.539784))+0-312.9--0.478737000000018</f>
        <v>500.23347000000001</v>
      </c>
      <c r="G284" s="3">
        <f>961.8+(200.2-372.4)+(-2.943108+(-0.612612--1.139544))+0-313.2--0.958392000000036</f>
        <v>474.94221600000003</v>
      </c>
      <c r="H284" s="3">
        <f>964.6+(184.5-368.1)+(-0.983892+(-0.18819--0.375462))+0-314.4--0.32068800000005</f>
        <v>466.12406800000014</v>
      </c>
      <c r="I284" s="3">
        <f>970+(168.7-363.6)+(-1.4841+(-0.258111--0.556308))+0-313.6--0.479808000000018</f>
        <v>460.79390499999982</v>
      </c>
      <c r="J284" s="3">
        <f>969.9+(171.1-368.9)+(0.989298+(0.174522-0.376278))+0-313.9-0.32017800000005</f>
        <v>458.66736400000002</v>
      </c>
      <c r="K284" s="3">
        <f>973.2+(190.2-359.8)+(-0.496332+(-0.097002--0.183498))+0-314.6--0.160445999999968</f>
        <v>488.75060999999994</v>
      </c>
      <c r="L284" s="3">
        <f>971.9+(227.6-363.9)+(0.495669+(0.116076-0.185589))+0-313.1-0.159680999999968</f>
        <v>522.76647500000001</v>
      </c>
      <c r="M284" s="3">
        <f>974+(233.8-364.2)+(-0.99348+(-0.238476--0.371484))+0-311.1--0.31732200000005</f>
        <v>531.95685000000014</v>
      </c>
      <c r="N284" s="3">
        <f>966.5+(239.6-338.3)+(0+(0-0))+0-313.2-0</f>
        <v>554.59999999999991</v>
      </c>
      <c r="O284" s="3">
        <f>954.7+(246.3-323.8)+(0.486897+(0.125613-0.165138))+0-314.3-0.160292999999968</f>
        <v>563.18707899999993</v>
      </c>
      <c r="P284" s="3">
        <f>947.1+(253.4-313.5)+(-0.483021+(-0.129234--0.159885))+0-312.8--0.159527999999968</f>
        <v>573.90715800000009</v>
      </c>
      <c r="Q284" s="3">
        <f>946.3+(252.9-302.2)+(-2.413065+(-0.644895--0.77061))+0-314.8--0.802739999999954</f>
        <v>580.71538999999996</v>
      </c>
      <c r="R284" s="3">
        <f>944.5+(266.8-304.6)+(-0.96339+(-0.272136--0.310692))+0-311.7--0.31793400000005</f>
        <v>594.39310000000012</v>
      </c>
      <c r="S284" s="3">
        <f>943.8+(257.3-302.1)+(-0.481338+(-0.131223--0.154071))+0-313--0.159629999999968</f>
        <v>585.70114000000001</v>
      </c>
      <c r="T284" s="3">
        <f>947.2+(249.5-304.3)+(-0.966144+(-0.25449--0.310386))+0-312.3--0.31854600000005</f>
        <v>579.50829800000008</v>
      </c>
      <c r="U284" s="3">
        <f>945.8+(251.8-307.6)+(-1.929432+(-0.513672--0.627504))+0-313.2--0.638927999999986</f>
        <v>575.62332800000001</v>
      </c>
      <c r="V284" s="3">
        <f>945.7+(263.1-315.5)+(0.482307+(0.134181-0.160905))+0-313.3-0.159782999999968</f>
        <v>580.29580000000021</v>
      </c>
      <c r="W284" s="3">
        <f>950.5+(332.1-329.7)+(0.96951+(0.338742-0.336294))+0-313.6-0.31987200000005</f>
        <v>639.95208600000001</v>
      </c>
      <c r="X284" s="3">
        <f>950.1+(330.3-321.3)+(-1.938204+(-0.673812--0.655452))+0-313.2--0.638927999999986</f>
        <v>644.58236399999998</v>
      </c>
      <c r="Y284" s="3">
        <f>953.2+(290.4-300.2)+(-1.944528+(-0.592416--0.612408))+0-314.3--0.641171999999986</f>
        <v>627.81663600000013</v>
      </c>
      <c r="Z284" s="3">
        <f>958.7+(256.7-262.2)+(0+(0-0))+0-313.8-0</f>
        <v>639.40000000000009</v>
      </c>
      <c r="AA284" s="3">
        <f>959.6+(218.4-253.8)+(-1.957584+(-0.445536--0.517752))+0-313--0.638519999999986</f>
        <v>609.95315200000005</v>
      </c>
      <c r="AB284" s="3">
        <f>962.5+(182.7-240.4)+(-0.98175+(-0.186354--0.245208))+0-311.9--0.31813800000005</f>
        <v>592.29524200000003</v>
      </c>
      <c r="AC284" s="3">
        <f>964.7+(184.5-220.3)+(-0.983994+(-0.18819--0.224706))+0-313--0.31926000000005</f>
        <v>615.27178200000014</v>
      </c>
      <c r="AD284">
        <v>627.89999999999986</v>
      </c>
      <c r="AE284" s="3">
        <f>953+(309.8-322.6)+(0+(0-0))+0-312.3-0</f>
        <v>627.90000000000009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966.5+(121.1-230.2)+(-1.478745+(-0.185283--0.352206))+0-313.6--0.479808000000018</f>
        <v>542.967986</v>
      </c>
      <c r="G285" s="3">
        <f>967.8+(120.5-273.1)+(0.493578+(0.061455-0.139281))+0-315.5-0.160904999999968</f>
        <v>499.95484699999997</v>
      </c>
      <c r="H285" s="3">
        <f>972.2+(122.5-294.1)+(-1.487466+(-0.187425--0.449973))+0-312.9--0.478737000000018</f>
        <v>486.95381900000007</v>
      </c>
      <c r="I285" s="3">
        <f>976+(110.9-287.6)+(-1.99104+(-0.226236--0.586704))+0-311.6--0.635663999999986</f>
        <v>486.70509199999987</v>
      </c>
      <c r="J285" s="3">
        <f>975.3+(92.3-271.6)+(-1.989612+(-0.188292--0.554064))+0-310.5--0.633419999999986</f>
        <v>484.50958000000003</v>
      </c>
      <c r="K285" s="3">
        <f>972.8+(92.6-249.9)+(0.496128+(0.047226-0.127449))+0-309.5-0.157844999999969</f>
        <v>506.25806</v>
      </c>
      <c r="L285" s="3">
        <f>975.1+(134.4-271.2)+(-1.491903+(-0.205632--0.414936))+0-309.9--0.474147000000018</f>
        <v>527.5915480000001</v>
      </c>
      <c r="M285" s="3">
        <f>970.8+(164.9-285.9)+(-3.465756+(-0.588693--1.020663))+0-309.3--1.104201</f>
        <v>538.57041500000003</v>
      </c>
      <c r="N285" s="3">
        <f>965.2+(208.2-297.8)+(0.492252+(0.106182-0.151878))+0-309.6-0.157895999999969</f>
        <v>566.28866000000005</v>
      </c>
      <c r="O285" s="3">
        <f>953.9+(247.3-302.4)+(0+(0-0))+0-309.4-0</f>
        <v>589.4</v>
      </c>
      <c r="P285" s="3">
        <f>947.4+(268.8-294.6)+(0.966348+(0.274176-0.300492))+0-309.3-0.315486000000049</f>
        <v>612.92454599999985</v>
      </c>
      <c r="Q285" s="3">
        <f>943+(279.1-295.4)+(-1.44279+(-0.427023--0.451962))+0-309.2--0.473076000000018</f>
        <v>616.55522500000006</v>
      </c>
      <c r="R285" s="3">
        <f>942+(255.3-296.7)+(0+(0-0))+0-308.8-0</f>
        <v>591.79999999999995</v>
      </c>
      <c r="S285" s="3">
        <f>939.7+(234.7-291.2)+(-1.437741+(-0.359091--0.445536))+0-308.5--0.472005000000018</f>
        <v>573.82070899999997</v>
      </c>
      <c r="T285" s="3">
        <f>939+(204.8-287)+(0+(0-0))+0-308.2-0</f>
        <v>548.59999999999991</v>
      </c>
      <c r="U285" s="3">
        <f>936.9+(197.6-291.3)+(0.477819+(0.100776-0.148563))+0-307.1-0.156620999999969</f>
        <v>536.37341099999992</v>
      </c>
      <c r="V285" s="3">
        <f>937.1+(234.8-306.3)+(-0.477921+(-0.119748--0.156213))+0-307.4--0.156773999999969</f>
        <v>557.91531799999996</v>
      </c>
      <c r="W285" s="3">
        <f>937.2+(331.5-336.5)+(0.955944+(0.33813-0.34323))+0-309.2-0.315384000000049</f>
        <v>623.63545999999997</v>
      </c>
      <c r="X285" s="3">
        <f>946.6+(321.6-328.4)+(-0.482766+(-0.164016--0.167484))+0-309.7--0.157946999999969</f>
        <v>629.77864900000009</v>
      </c>
      <c r="Y285" s="3">
        <f>947.9+(294.4-310.2)+(-0.483429+(-0.150144--0.158202))+0-309.5--0.157844999999969</f>
        <v>622.28247399999987</v>
      </c>
      <c r="Z285" s="3">
        <f>953.1+(252.2-293.5)+(-0.486081+(-0.128622--0.149685))+0-309.5--0.157844999999969</f>
        <v>601.99282699999992</v>
      </c>
      <c r="AA285" s="3">
        <f>955.5+(210.6-275.2)+(0+(0-0))+0-309.8-0</f>
        <v>581.09999999999991</v>
      </c>
      <c r="AB285" s="3">
        <f>955.5+(173.2-251.8)+(-1.94922+(-0.353328--0.513672))+0-309.2--0.630767999999986</f>
        <v>566.54189199999996</v>
      </c>
      <c r="AC285" s="3">
        <f>955.1+(146.3-246.8)+(-1.461303+(-0.223839--0.377604))+0-309.4--0.473382000000018</f>
        <v>544.36584400000004</v>
      </c>
      <c r="AD285">
        <v>665.7</v>
      </c>
      <c r="AE285" s="3">
        <f>944+(360.3-329.8)+(0+(0-0))+0-308.8-0</f>
        <v>665.7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958+(104.2-243.4)+(-0.97716+(-0.106284--0.248268))+0-309.4--0.315588000000049</f>
        <v>508.88041199999998</v>
      </c>
      <c r="G286" s="3">
        <f>961.2+(92-242.2)+(-1.960848+(-0.18768--0.494088))+0-310.2--0.632807999999986</f>
        <v>499.778368</v>
      </c>
      <c r="H286" s="3">
        <f>964.5+(61.9-219.1)+(0+(0-0))+0-310.9-0</f>
        <v>496.4</v>
      </c>
      <c r="I286" s="3">
        <f>967.2+(57.6-227.4)+(0.493272+(0.029376-0.115974))+0-311.5-0.158864999999968</f>
        <v>486.14780900000005</v>
      </c>
      <c r="J286" s="3">
        <f>962.8+(80.6-230.6)+(-0.491028+(-0.041106--0.117606))+0-309.7--0.157946999999969</f>
        <v>502.84341899999993</v>
      </c>
      <c r="K286" s="3">
        <f>905.5+(194-249)+(0+(0-0))+0-309.4-0</f>
        <v>541.1</v>
      </c>
      <c r="L286" s="3">
        <f>945.7+(272.4-262.7)+(-0.482307+(-0.138924--0.133977))+0-308.9--0.157538999999969</f>
        <v>646.17028500000004</v>
      </c>
      <c r="M286" s="3">
        <f>953+(294.9-287.2)+(1.45809+(0.451197-0.439416))+0-308-0.471240000000018</f>
        <v>653.69863100000009</v>
      </c>
      <c r="N286" s="3">
        <f>932.6+(268.3-304.2)+(-0.475626+(-0.136833--0.155142))+0-309.2--0.157691999999969</f>
        <v>587.20037500000012</v>
      </c>
      <c r="O286" s="3">
        <f>934.3+(291.1-271.8)+(0.952986+(0.296922-0.277236))+0-310.3-0.316506000000049</f>
        <v>643.95616599999983</v>
      </c>
      <c r="P286" s="3">
        <f>929.6+(309.4-261.9)+(0.474096+(0.157794-0.133569))+0-311.2-0.158711999999968</f>
        <v>666.2396090000002</v>
      </c>
      <c r="Q286" s="3">
        <f>920.1+(284.4-280.1)+(-0.938502+(-0.290088--0.285702))+0-311.1--0.31732200000005</f>
        <v>612.67443400000002</v>
      </c>
      <c r="R286" s="3">
        <f>916.3+(277.4-288.8)+(-0.934626+(-0.282948--0.294576))+0-310.9--0.31711800000005</f>
        <v>593.39411999999993</v>
      </c>
      <c r="S286" s="3">
        <f>912+(232.5-263.8)+(-0.46512+(-0.118575--0.134538))+0-311.2--0.158711999999968</f>
        <v>569.20955499999991</v>
      </c>
      <c r="T286" s="3">
        <f>916.5+(269.6-234.5)+(-0.467415+(-0.137496--0.119595))+0-311.1--0.158660999999968</f>
        <v>640.17334499999993</v>
      </c>
      <c r="U286" s="3">
        <f>920.4+(286.1-242.6)+(-0.938808+(-0.291822--0.247452))+0-310.5--0.31671000000005</f>
        <v>652.73353200000008</v>
      </c>
      <c r="V286" s="3">
        <f>921.1+(293.8-279)+(-0.469761+(-0.149838--0.14229))+0-309.7--0.157946999999969</f>
        <v>625.88063800000009</v>
      </c>
      <c r="W286" s="3">
        <f>924.9+(361.4-331.1)+(-0.471699+(-0.184314--0.168861))+0-310.5--0.158354999999968</f>
        <v>644.37120299999981</v>
      </c>
      <c r="X286" s="3">
        <f>932.4+(377.4-317.2)+(-1.426572+(-0.577422--0.485316))+0-312--0.477360000000018</f>
        <v>679.55868199999986</v>
      </c>
      <c r="Y286" s="3">
        <f>939+(314.9-305)+(-0.47889+(-0.160599--0.15555))+0-311.2--0.158711999999968</f>
        <v>637.374773</v>
      </c>
      <c r="Z286" s="3">
        <f>937.3+(263.4-278.6)+(-1.434069+(-0.403002--0.426258))+0-310.3--0.474759000000018</f>
        <v>610.86394600000006</v>
      </c>
      <c r="AA286" s="3">
        <f>935.8+(235.7-269.2)+(-1.909032+(-0.480828--0.549168))+0-310.9--0.634235999999986</f>
        <v>590.19354399999997</v>
      </c>
      <c r="AB286" s="3">
        <f>933+(202.9-250.9)+(-1.42749+(-0.310437--0.383877))+0-310.3--0.474759000000018</f>
        <v>573.82070899999997</v>
      </c>
      <c r="AC286" s="3">
        <f>936+(173.1-245.7)+(-1.90944+(-0.353124--0.501228))+0-309.8--0.631991999999986</f>
        <v>552.47065599999985</v>
      </c>
      <c r="AD286">
        <v>684.3</v>
      </c>
      <c r="AE286" s="3">
        <f>926+(403.1-334.3)+(0+(0-0))+0-310.5-0</f>
        <v>684.3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939.5+(143.3-259.2)+(-1.91658+(-0.292332--0.528768))+0-310.1--0.632603999999987</f>
        <v>512.45245999999997</v>
      </c>
      <c r="G287" s="3">
        <f>938.8+(131.3-267)+(0.957576+(0.133926-0.27234))+0-310.5-0.31671000000005</f>
        <v>493.10245199999986</v>
      </c>
      <c r="H287" s="3">
        <f>941.5+(154-300.9)+(-1.92066+(-0.31416--0.613836))+0-311.1--0.634643999999986</f>
        <v>482.51365999999996</v>
      </c>
      <c r="I287" s="3">
        <f>943.5+(193.3-280.8)+(0+(0-0))+0-310.2-0</f>
        <v>545.79999999999995</v>
      </c>
      <c r="J287" s="3">
        <f>947.5+(220.6-275.6)+(0+(0-0))+0-310.2-0</f>
        <v>582.29999999999995</v>
      </c>
      <c r="K287" s="3">
        <f>948.2+(217.2-313.2)+(0+(0-0))+0-309.7-0</f>
        <v>542.5</v>
      </c>
      <c r="L287" s="3">
        <f>948.2+(237.2-303.2)+(0+(0-0))+0-309.7-0</f>
        <v>572.5</v>
      </c>
      <c r="M287" s="3">
        <f>948.5+(322.9-277.4)+(-0.483735+(-0.164679--0.141474))+0-310.8--0.158507999999968</f>
        <v>682.85156800000004</v>
      </c>
      <c r="N287" s="3">
        <f>948.1+(262.7-310.2)+(-1.934124+(-0.535908--0.632808))+0-309.8--0.631991999999986</f>
        <v>589.59476800000004</v>
      </c>
      <c r="O287" s="3">
        <f>932.5+(244.1-279.9)+(-1.426725+(-0.373473--0.428247))+0-311.8--0.477054000000018</f>
        <v>584.00510300000008</v>
      </c>
      <c r="P287" s="3">
        <f>923.5+(256.8-275.4)+(-0.470985+(-0.130968--0.140454))+0-311.8--0.159017999999968</f>
        <v>592.79751900000008</v>
      </c>
      <c r="Q287" s="3">
        <f>917.8+(265.1-270.9)+(-1.872312+(-0.540804--0.552636))+0-311.7--0.635867999999986</f>
        <v>599.07538799999986</v>
      </c>
      <c r="R287" s="3">
        <f>916.1+(253.1-259.3)+(-2.336055+(-0.645405--0.661215))+0-310.7--0.792284999999955</f>
        <v>597.67203999999992</v>
      </c>
      <c r="S287" s="3">
        <f>915+(258.2-233.8)+(0.46665+(0.131682-0.119238))+0-311-0.158609999999968</f>
        <v>628.72048400000006</v>
      </c>
      <c r="T287" s="3">
        <f>914+(264.5-223.4)+(0.46614+(0.134895-0.113934))+0-310.6-0.158405999999969</f>
        <v>644.82869500000004</v>
      </c>
      <c r="U287" s="3">
        <f>916.3+(273.8-226.9)+(0+(0-0))+0-310.2-0</f>
        <v>653</v>
      </c>
      <c r="V287" s="3">
        <f>919.7+(293.2-260.9)+(-1.876188+(-0.598128--0.532236))+0-311.3--0.635051999999986</f>
        <v>639.39297199999999</v>
      </c>
      <c r="W287" s="3">
        <f>925.1+(405.3-312)+(0+(0-0))+0-312.2-0</f>
        <v>706.2</v>
      </c>
      <c r="X287" s="3">
        <f>928.2+(365.1-313.1)+(-1.893528+(-0.744804--0.638724))+0-312.6--0.637703999999986</f>
        <v>666.23809600000004</v>
      </c>
      <c r="Y287" s="3">
        <f>928.5+(321.5-294.8)+(-1.89414+(-0.65586--0.601392))+0-312.1--0.636683999999986</f>
        <v>641.78807599999993</v>
      </c>
      <c r="Z287" s="3">
        <f>930.5+(276.4-274.3)+(-1.89822+(-0.563856--0.559572))+0-312.1--0.636683999999986</f>
        <v>619.23417999999981</v>
      </c>
      <c r="AA287" s="3">
        <f>932.7+(234-257)+(-1.427031+(-0.35802--0.39321))+0-309.8--0.473994000000018</f>
        <v>598.98215300000004</v>
      </c>
      <c r="AB287" s="3">
        <f>934.9+(192.1-234.9)+(-1.907196+(-0.391884--0.479196))+0-310.7--0.633827999999986</f>
        <v>580.21394399999986</v>
      </c>
      <c r="AC287" s="3">
        <f>964.5+(127.2-219.8)+(-1.475685+(-0.194616--0.336294))+0-309.6--0.473688000000018</f>
        <v>561.43968099999995</v>
      </c>
      <c r="AD287">
        <v>760.90000000000009</v>
      </c>
      <c r="AE287" s="3">
        <f>928+(457.9-312.7)+(0+(0-0))+0-312.3-0</f>
        <v>760.90000000000009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969.5+(160.4-201)+(-0.98889+(-0.163608--0.20502))+0-310.1--0.316302000000049</f>
        <v>618.16882399999997</v>
      </c>
      <c r="G288" s="3">
        <f>971.2+(122.9-222.4)+(-0.495312+(-0.062679--0.113424))+0-311.1--0.158660999999968</f>
        <v>560.31409399999995</v>
      </c>
      <c r="H288" s="3">
        <f>970.8+(124.4-229.6)+(-0.495108+(-0.063444--0.117096))+0-311.3--0.158762999999968</f>
        <v>554.01730699999996</v>
      </c>
      <c r="I288" s="3">
        <f>974.7+(114.1-240.9)+(0.497097+(0.058191-0.122859))+0-311.5-0.158864999999968</f>
        <v>536.67356400000006</v>
      </c>
      <c r="J288" s="3">
        <f>974.9+(125-263.1)+(-1.988796+(-0.255--0.536724))+0-312.5--0.637499999999986</f>
        <v>523.23042799999985</v>
      </c>
      <c r="K288" s="3">
        <f>969.5+(194.2-291.1)+(0.494445+(0.099042-0.148461))+0-311-0.158609999999968</f>
        <v>561.88641599999994</v>
      </c>
      <c r="L288" s="3">
        <f>876.1+(298.8-277.2)+(-1.340433+(-0.457164--0.424116))+0-310.9--0.475677000000018</f>
        <v>585.90219600000012</v>
      </c>
      <c r="M288" s="3">
        <f>875.1+(342.5-283)+(-0.446301+(-0.174675--0.14433))+0-311.1--0.158660999999968</f>
        <v>623.18201499999998</v>
      </c>
      <c r="N288" s="3">
        <f>874.1+(316.3-282.5)+(0+(0-0))+0-311-0</f>
        <v>596.90000000000009</v>
      </c>
      <c r="O288" s="3">
        <f>945.5+(275.6-302.2)+(0+(0-0))+0-312.5-0</f>
        <v>606.40000000000009</v>
      </c>
      <c r="P288" s="3">
        <f>951.2+(273.5-316.5)+(0.485112+(0.139485-0.161415))+0-312.8-0.159527999999968</f>
        <v>595.70365400000003</v>
      </c>
      <c r="Q288" s="3">
        <f>949.3+(273.1-300)+(-1.452429+(-0.417843--0.459))+0-313.2--0.479196000000018</f>
        <v>608.26792399999999</v>
      </c>
      <c r="R288" s="3">
        <f>947.1+(293.2-293)+(-2.898126+(-0.897192--0.89658))+0-311.8--0.954108000000036</f>
        <v>633.55536999999993</v>
      </c>
      <c r="S288" s="3">
        <f>944.8+(281.5-281.7)+(-1.927392+(-0.57426--0.574668))+0-310.9--0.634235999999986</f>
        <v>632.40725199999997</v>
      </c>
      <c r="T288" s="3">
        <f>942.4+(323.2-243.8)+(-0.480624+(-0.164832--0.124338))+0-311.4--0.158813999999968</f>
        <v>710.03769599999998</v>
      </c>
      <c r="U288" s="3">
        <f>944.9+(306.8-261.1)+(-0.481899+(-0.156468--0.133161))+0-311.8--0.159017999999968</f>
        <v>678.45381199999986</v>
      </c>
      <c r="V288" s="3">
        <f>947.5+(358.7-266.8)+(-0.96645+(-0.365874--0.272136))+0-311.7--0.31793400000005</f>
        <v>726.95774600000016</v>
      </c>
      <c r="W288" s="3">
        <f>952.5+(414.6-402.1)+(-1.457325+(-0.634338--0.615213))+0-312.6--0.478278000000018</f>
        <v>651.40182800000002</v>
      </c>
      <c r="X288" s="3">
        <f>955.6+(458.8-391.3)+(-1.949424+(-0.935952--0.798252))+0-312.7--0.637907999999986</f>
        <v>708.950784</v>
      </c>
      <c r="Y288" s="3">
        <f>957.4+(404.4-309.5)+(-2.44137+(-1.03122--0.789225))+0-312.9--0.797894999999955</f>
        <v>737.51452999999981</v>
      </c>
      <c r="Z288" s="3">
        <f>958.5+(360.8-286)+(-0.97767+(-0.368016--0.29172))+0-312.4--0.31864800000005</f>
        <v>720.16468200000008</v>
      </c>
      <c r="AA288" s="3">
        <f>962.7+(311.7-270.6)+(-2.945862+(-0.953802--0.828036))+0-311.3--0.952578000000036</f>
        <v>690.38094999999987</v>
      </c>
      <c r="AB288" s="3">
        <f>963.7+(243.9-265.1)+(-1.965948+(-0.497556--0.540804))+0-310.9--0.634235999999986</f>
        <v>630.31153600000005</v>
      </c>
      <c r="AC288" s="3">
        <f>964.3+(242.8-259.1)+(-0.983586+(-0.247656--0.264282))+0-310.5--0.31671000000005</f>
        <v>636.84975000000009</v>
      </c>
      <c r="AD288">
        <v>769.3</v>
      </c>
      <c r="AE288" s="3">
        <f>956+(455.8-330.2)+(0+(0-0))+0-312.3-0</f>
        <v>769.3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961.3+(190.8-284)+(-2.451315+(-0.48654--0.7242))+0-311.8--0.795089999999955</f>
        <v>554.8814349999999</v>
      </c>
      <c r="G289" s="3">
        <f>966.1+(148.9-268.7)+(0+(0-0))+0-312.2-0</f>
        <v>534.10000000000014</v>
      </c>
      <c r="H289" s="3">
        <f>966.4+(133.2-266.3)+(-0.985728+(-0.135864--0.271626))+0-312.6--0.31885200000005</f>
        <v>520.16888600000004</v>
      </c>
      <c r="I289" s="3">
        <f>968.3+(135.9-261.2)+(0.987666+(0.138618-0.266424))+0-312.8-0.31905600000005</f>
        <v>530.74080400000003</v>
      </c>
      <c r="J289" s="3">
        <f>970.7+(141.8-268.8)+(0.495057+(0.072318-0.137088))+0-312.9-0.159578999999968</f>
        <v>531.07070800000008</v>
      </c>
      <c r="K289" s="3">
        <f>971.7+(162.2-270.6)+(0.991134+(0.165444-0.276012))+0-313.2-0.31946400000005</f>
        <v>550.66110199999991</v>
      </c>
      <c r="L289" s="3">
        <f>973.3+(257.7-311.6)+(1.985532+(0.525708-0.635664))+0-312.6-0.637703999999986</f>
        <v>608.03787199999988</v>
      </c>
      <c r="M289" s="3">
        <f>972.8+(229.4-311.1)+(-0.496128+(-0.116994--0.158661))+0-310.9--0.158558999999968</f>
        <v>579.90409799999986</v>
      </c>
      <c r="N289" s="3">
        <f>962.9+(262.2-311.7)+(0.491079+(0.133722-0.158967))+0-312.2-0.159221999999968</f>
        <v>601.5066119999999</v>
      </c>
      <c r="O289" s="3">
        <f>954.1+(271.4-308.3)+(0+(0-0))+0-313.3-0</f>
        <v>603.90000000000009</v>
      </c>
      <c r="P289" s="3">
        <f>950.3+(264.3-299.7)+(0+(0-0))+0-313.6-0</f>
        <v>601.29999999999995</v>
      </c>
      <c r="Q289" s="3">
        <f>947+(276.4-295.6)+(-1.93188+(-0.563856--0.603024))+0-313.5--0.639539999999986</f>
        <v>613.046828</v>
      </c>
      <c r="R289" s="3">
        <f>945.5+(250.9-334.4)+(-1.446615+(-0.383877--0.511632))+0-202.3--0.309519000000012</f>
        <v>658.69065899999998</v>
      </c>
      <c r="S289" s="3">
        <f>942.9+(265.9-247.7)+(-1.442637+(-0.406827--0.378981))+0-318--0.486540000000018</f>
        <v>642.11605699999996</v>
      </c>
      <c r="T289" s="3">
        <f>942+(264.8-242.2)+(0.48042+(0.135048-0.123522))+0-314-0.160139999999968</f>
        <v>650.93180600000005</v>
      </c>
      <c r="U289" s="3">
        <f>942.6+(252.8-255.5)+(-0.480726+(-0.128928--0.130305))+0-314.3--0.160292999999968</f>
        <v>625.2809440000002</v>
      </c>
      <c r="V289" s="3">
        <f>944.6+(272.2-283.8)+(-1.445238+(-0.416466--0.434214))+0-313.4--0.479502000000018</f>
        <v>618.65201200000001</v>
      </c>
      <c r="W289" s="3">
        <f>947.9+(357.7-306.9)+(0+(0-0))+0-315-0</f>
        <v>683.7</v>
      </c>
      <c r="X289" s="3">
        <f>950.6+(409.9-282.1)+(-1.454418+(-0.627147--0.431613))+0-315.5--0.482715000000018</f>
        <v>761.73276300000009</v>
      </c>
      <c r="Y289" s="3">
        <f>951.6+(355.7-286.3)+(-1.455948+(-0.544221--0.438039))+0-314.5--0.481185000000018</f>
        <v>705.41905499999996</v>
      </c>
      <c r="Z289" s="3">
        <f>953.8+(340.3-282.7)+(-2.43219+(-0.867765--0.720885))+0-313.5--0.799424999999955</f>
        <v>696.1203549999999</v>
      </c>
      <c r="AA289" s="3">
        <f>954.4+(261.2-275.8)+(-0.486744+(-0.133212--0.140658))+0-313.2--0.159731999999968</f>
        <v>626.2804339999999</v>
      </c>
      <c r="AB289" s="3">
        <f>956.2+(246.3-263.9)+(-1.462986+(-0.376839--0.403767))+0-312.9--0.478737000000018</f>
        <v>624.74267900000018</v>
      </c>
      <c r="AC289" s="3">
        <f>957.7+(216.4-279)+(-1.953708+(-0.441456--0.56916))+0-313.4--0.639335999999986</f>
        <v>580.51333199999999</v>
      </c>
      <c r="AD289">
        <v>710.00000000000011</v>
      </c>
      <c r="AE289" s="3">
        <f>949+(376.4-301.9)+(0+(0-0))+0-313.5-0</f>
        <v>710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959.7+(158.1-283.2)+(-1.957788+(-0.322524--0.577728))+0-313.5--0.639539999999986</f>
        <v>520.03695600000003</v>
      </c>
      <c r="G290" s="3">
        <f>959.8+(146.6-279.4)+(-0.489498+(-0.074766--0.142494))+0-315.6--0.160955999999968</f>
        <v>511.13918599999988</v>
      </c>
      <c r="H290" s="3">
        <f>962.3+(151-271.5)+(-0.981546+(-0.15402--0.27693))+0-317.9--0.324258000000051</f>
        <v>523.36562200000003</v>
      </c>
      <c r="I290" s="3">
        <f>964.6+(156.9-240.2)+(0.983892+(0.160038-0.245004))+0-316.9-0.32323800000005</f>
        <v>564.97568799999999</v>
      </c>
      <c r="J290" s="3">
        <f>965.5+(160.3-248.4)+(0+(0-0))+0-316-0</f>
        <v>561.4</v>
      </c>
      <c r="K290" s="3">
        <f>965.2+(167.2-276.1)+(0.984504+(0.170544-0.281622))+0-314.9-0.32119800000005</f>
        <v>541.95222799999988</v>
      </c>
      <c r="L290" s="3">
        <f>967+(229.2-290.5)+(0.98634+(0.233784-0.29631))+0-315.3-0.32160600000005</f>
        <v>591.002208</v>
      </c>
      <c r="M290" s="3">
        <f>966.4+(257.4-306.5)+(0.985728+(0.262548-0.31263))+0-312.9-0.31915800000005</f>
        <v>605.01648799999998</v>
      </c>
      <c r="N290" s="3">
        <f>958.7+(274.3-343.9)+(0+(0-0))+0-314.8-0</f>
        <v>574.30000000000018</v>
      </c>
      <c r="O290" s="3">
        <f>953.2+(312.2-321)+(0+(0-0))+0-317-0</f>
        <v>627.40000000000009</v>
      </c>
      <c r="P290" s="3">
        <f>949.6+(292.2-289.2)+(0.484296+(0.149022-0.147492))+0-316.6-0.161465999999968</f>
        <v>636.32435999999996</v>
      </c>
      <c r="Q290" s="3">
        <f>944.6+(318-279.4)+(-0.481746+(-0.16218--0.142494))+0-314.8--0.160547999999968</f>
        <v>668.05911600000002</v>
      </c>
      <c r="R290" s="3">
        <f>940.1+(330.7-283.2)+(-1.917804+(-0.674628--0.577728))+0-313.6--0.639743999999986</f>
        <v>672.6250399999999</v>
      </c>
      <c r="S290" s="3">
        <f>938.1+(296.8-302.5)+(-0.478431+(-0.151368--0.154275))+0-314.6--0.160445999999968</f>
        <v>617.4849220000001</v>
      </c>
      <c r="T290" s="3">
        <f>935.9+(312.2-262.6)+(0+(0-0))+0-316.7-0</f>
        <v>668.8</v>
      </c>
      <c r="U290" s="3">
        <f>936+(336.3-244.6)+(-0.95472+(-0.343026--0.249492))+0-315.3--0.32160600000005</f>
        <v>711.67335200000014</v>
      </c>
      <c r="V290" s="3">
        <f>939.3+(300.6-282.1)+(0.479043+(0.153306-0.143871))+0-314.6-0.160445999999968</f>
        <v>643.52803199999994</v>
      </c>
      <c r="W290" s="3">
        <f>944+(391-327.1)+(0.96288+(0.39882-0.333642))+0-315.6-0.32191200000005</f>
        <v>693.00614599999994</v>
      </c>
      <c r="X290" s="3">
        <f>947.7+(418.6-319.5)+(-0.483327+(-0.213486--0.162945))+0-315.1--0.160700999999968</f>
        <v>731.32683300000019</v>
      </c>
      <c r="Y290" s="3">
        <f>951.8+(353.8-308)+(-1.941672+(-0.721752--0.62832))+0-314.9--0.642395999999986</f>
        <v>681.30729199999985</v>
      </c>
      <c r="Z290" s="3">
        <f>954.3+(327.5-290.7)+(-1.460079+(-0.501075--0.444771))+0-313.1--0.479043000000018</f>
        <v>676.96265999999991</v>
      </c>
      <c r="AA290" s="3">
        <f>956.5+(301-282)+(-1.463445+(-0.46053--0.43146))+0-313.1--0.479043000000018</f>
        <v>661.386528</v>
      </c>
      <c r="AB290" s="3">
        <f>959.3+(272.6-279.6)+(-1.467729+(-0.417078--0.427788))+0-312.2--0.477666000000018</f>
        <v>639.12064699999996</v>
      </c>
      <c r="AC290" s="3">
        <f>926.3+(265.1-241.3)+(-2.834478+(-0.811206--0.738378))+0-311.5--0.953190000000036</f>
        <v>636.64588400000002</v>
      </c>
      <c r="AD290">
        <v>708.99999999999989</v>
      </c>
      <c r="AE290" s="3">
        <f>950+(397.3-324.2)+(0+(0-0))+0-314.1-0</f>
        <v>709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934.4+(179.8-273.5)+(-0.953088+(-0.183396--0.27897))+0-312.9--0.31915800000005</f>
        <v>527.26164400000005</v>
      </c>
      <c r="G291" s="3">
        <f>935.1+(134.8-216.1)+(-1.430703+(-0.206244--0.330633))+0-313.3--0.479349000000018</f>
        <v>539.67303500000014</v>
      </c>
      <c r="H291" s="3">
        <f>936+(139.3-179.5)+(-0.47736+(-0.071043--0.091545))+0-315.2--0.160751999999968</f>
        <v>580.3038939999999</v>
      </c>
      <c r="I291" s="3">
        <f>901.4+(148.9-170.8)+(2.29857+(0.379695-0.43554))+0-314.9-0.802994999999954</f>
        <v>566.03972999999996</v>
      </c>
      <c r="J291" s="3">
        <f>810.1+(240.4-162.6)+(1.652604+(0.490416-0.331704))+0-313.5-0.639539999999986</f>
        <v>575.57177600000011</v>
      </c>
      <c r="K291" s="3">
        <f>865.6+(185-227.1)+(1.765824+(0.3774-0.463284))+0-313.6-0.639743999999986</f>
        <v>510.94019599999996</v>
      </c>
      <c r="L291" s="3">
        <f>947.4+(169.6-274.8)+(3.382218+(0.605472-0.981036))+0-313.3-1.118481</f>
        <v>530.78817299999992</v>
      </c>
      <c r="M291" s="3">
        <f>955.3+(229.9-298.6)+(-1.461609+(-0.351747--0.456858))+0-312.5--0.478125000000018</f>
        <v>573.2216269999999</v>
      </c>
      <c r="N291" s="3">
        <f>951+(241.2-307.7)+(1.45503+(0.369036-0.470781))+0-313-0.478890000000018</f>
        <v>572.37439500000005</v>
      </c>
      <c r="O291" s="3">
        <f>945.3+(254.8-306.4)+(0.964206+(0.259896-0.312528))+0-314.9-0.32119800000005</f>
        <v>579.39037599999995</v>
      </c>
      <c r="P291" s="3">
        <f>940.9+(265.3-303.4)+(0.959718+(0.270606-0.309468))+0-314.7-0.32099400000005</f>
        <v>588.69986199999983</v>
      </c>
      <c r="Q291" s="3">
        <f>937.9+(280.4-303.9)+(0+(0-0))+0-315.1-0</f>
        <v>599.29999999999995</v>
      </c>
      <c r="R291" s="3">
        <f>937.2+(332.2-300.3)+(-1.433916+(-0.508266--0.459459))+0-315.1--0.482103000000018</f>
        <v>652.99938000000009</v>
      </c>
      <c r="S291" s="3">
        <f>935.1+(309.7-302)+(0+(0-0))+0-314.5-0</f>
        <v>628.29999999999995</v>
      </c>
      <c r="T291" s="3">
        <f>934.8+(323.5-281.1)+(-0.476748+(-0.164985--0.143361))+0-314--0.160139999999968</f>
        <v>662.86176799999987</v>
      </c>
      <c r="U291" s="3">
        <f>936.6+(353.1-277.7)+(0.955332+(0.360162-0.283254))+0-315.4-0.32170800000005</f>
        <v>697.31053199999997</v>
      </c>
      <c r="V291" s="3">
        <f>938.2+(357.7-308.4)+(0.478482+(0.182427-0.157284))+0-317.6-0.161975999999968</f>
        <v>670.24164900000005</v>
      </c>
      <c r="W291" s="3">
        <f>940.8+(439.5-340)+(1.439424+(0.672435-0.5202))+0-315.8-0.483174000000018</f>
        <v>725.60848499999997</v>
      </c>
      <c r="X291" s="3">
        <f>942.2+(397.2-327.4)+(-2.40261+(-1.01286--0.83487))+0-316.8--0.807839999999954</f>
        <v>693.42723999999998</v>
      </c>
      <c r="Y291" s="3">
        <f>943.3+(359.7-308.1)+(-0.962166+(-0.366894--0.314262))+0-314.1--0.32038200000005</f>
        <v>680.10558399999979</v>
      </c>
      <c r="Z291" s="3">
        <f>948.4+(331.7-287)+(-3.385788+(-1.184169--1.02459))+0-313.1--1.117767</f>
        <v>677.57239999999979</v>
      </c>
      <c r="AA291" s="3">
        <f>949.3+(295.4-269.2)+(-2.904858+(-0.903924--0.823752))+0-316.7--0.969102000000037</f>
        <v>656.78407199999992</v>
      </c>
      <c r="AB291" s="3">
        <f>950.5+(255.2-237.5)+(-0.484755+(-0.130152--0.121125))+0-315.4--0.160853999999968</f>
        <v>652.46707200000003</v>
      </c>
      <c r="AC291" s="3">
        <f>949.3+(204.3-222.1)+(0.484143+(0.104193-0.113271))+0-315.2-0.160751999999968</f>
        <v>616.61431300000004</v>
      </c>
      <c r="AD291">
        <v>722.90000000000009</v>
      </c>
      <c r="AE291" s="3">
        <f>941+(424.5-326.1)+(0+(0-0))+0-316.5-0</f>
        <v>722.90000000000009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949.5+(178.2-202.4)+(-2.421225+(-0.45441--0.51612))+0-315.6--0.804779999999954</f>
        <v>608.14526499999988</v>
      </c>
      <c r="G292" s="3">
        <f>954+(146.9-199.4)+(0+(0-0))+0-316.8-0</f>
        <v>584.70000000000005</v>
      </c>
      <c r="H292" s="3">
        <f>955+(102.6-196.1)+(-0.48705+(-0.052326--0.100011))+0-316.3--0.161312999999968</f>
        <v>544.92194800000004</v>
      </c>
      <c r="I292" s="3">
        <f>954.8+(123.4-175.9)+(0.973896+(0.125868-0.179418))+0-315.3-0.32160600000005</f>
        <v>587.59873999999979</v>
      </c>
      <c r="J292" s="3">
        <f>953.4+(93.1-192.7)+(-0.972468+(-0.094962--0.196554))+0-313.5--0.31977000000005</f>
        <v>539.74889400000006</v>
      </c>
      <c r="K292" s="3">
        <f>954.5+(143.4-215)+(1.460385+(0.219402-0.32895))+0-312.7-0.478431000000018</f>
        <v>571.072406</v>
      </c>
      <c r="L292" s="3">
        <f>960.6+(213.1-245.7)+(0+(0-0))+0-313.7-0</f>
        <v>614.29999999999995</v>
      </c>
      <c r="M292" s="3">
        <f>960+(232-253.9)+(-0.4896+(-0.11832--0.129489))+0-312.8--0.159527999999968</f>
        <v>624.98109699999998</v>
      </c>
      <c r="N292" s="3">
        <f>955.2+(266.3-256.1)+(0.487152+(0.135813-0.130611))+0-314.8-0.160547999999968</f>
        <v>650.93180600000017</v>
      </c>
      <c r="O292" s="3">
        <f>946.7+(300.8-268.6)+(1.448451+(0.460224-0.410958))+0-314.2-0.480726000000018</f>
        <v>665.71699100000001</v>
      </c>
      <c r="P292" s="3">
        <f>941.8+(351.9-276.6)+(0+(0-0))+0-316.5-0</f>
        <v>700.59999999999991</v>
      </c>
      <c r="Q292" s="3">
        <f>942.8+(356-292.9)+(-1.442484+(-0.54468--0.448137))+0-313.6--0.479808000000018</f>
        <v>691.24078099999997</v>
      </c>
      <c r="R292" s="3">
        <f>940.5+(325.7-308.5)+(-2.398275+(-0.830535--0.786675))+0-312.7--0.797384999999955</f>
        <v>643.35524999999996</v>
      </c>
      <c r="S292" s="3">
        <f>912.3+(345.8-286.3)+(-1.395819+(-0.529074--0.438039))+0-312.5--0.478125000000018</f>
        <v>658.29127099999994</v>
      </c>
      <c r="T292" s="3">
        <f>889.7+(296.1-286.7)+(-1.361241+(-0.453033--0.438651))+0-313.4--0.479502000000018</f>
        <v>584.80387900000017</v>
      </c>
      <c r="U292" s="3">
        <f>889.7+(317.2-282.7)+(1.361241+(0.485316-0.432531))+0-314.6-0.481338000000018</f>
        <v>610.53268800000001</v>
      </c>
      <c r="V292" s="3">
        <f>889.9+(332.9-304.9)+(0+(0-0))+0-314.4-0</f>
        <v>603.5</v>
      </c>
      <c r="W292" s="3">
        <f>917.2+(374.8-345)+(-0.935544+(-0.382296--0.3519))+0-316.4--0.32272800000005</f>
        <v>629.95678800000007</v>
      </c>
      <c r="X292" s="3">
        <f>939.7+(375.7-324.9)+(-0.958494+(-0.383214--0.331398))+0-317.1--0.323442000000051</f>
        <v>672.71313199999997</v>
      </c>
      <c r="Y292" s="3">
        <f>940.9+(389.9-296.3)+(-0.959718+(-0.397698--0.302226))+0-316.5--0.32283000000005</f>
        <v>717.26764000000003</v>
      </c>
      <c r="Z292" s="3">
        <f>943.5+(323.8-279.3)+(-0.96237+(-0.330276--0.284886))+0-317.5--0.323850000000051</f>
        <v>669.81609000000014</v>
      </c>
      <c r="AA292" s="3">
        <f>948.9+(317.9-252)+(-0.483939+(-0.162129--0.12852))+0-316.7--0.161516999999968</f>
        <v>697.74396899999988</v>
      </c>
      <c r="AB292" s="3">
        <f>954.4+(254.9-227.8)+(-0.973488+(-0.259998--0.232356))+0-315--0.32130000000005</f>
        <v>665.82017000000008</v>
      </c>
      <c r="AC292" s="3">
        <f>957.8+(207.8-202.7)+(-1.953912+(-0.423912--0.413508))+0-316--0.644639999999986</f>
        <v>645.58032399999991</v>
      </c>
      <c r="AD292">
        <v>647.4</v>
      </c>
      <c r="AE292" s="3">
        <f>942+(356.5-334)+(0+(0-0))+0-317.1-0</f>
        <v>647.4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945.6+(157.8-194.9)+(-2.41128+(-0.40239--0.496995))+0-315.6--0.804779999999954</f>
        <v>591.38810499999988</v>
      </c>
      <c r="G293" s="3">
        <f>938.3+(134.7-191.2)+(0+(0-0))+0-316.3-0</f>
        <v>565.5</v>
      </c>
      <c r="H293" s="3">
        <f>939.8+(129.5-184.5)+(0.958596+(0.13209-0.18819))+0-317.3-0.323646000000051</f>
        <v>568.07884999999987</v>
      </c>
      <c r="I293" s="3">
        <f>939.6+(127.3-182.9)+(-0.479196+(-0.064923--0.093279))+0-315.9--0.161108999999968</f>
        <v>567.81026900000006</v>
      </c>
      <c r="J293" s="3">
        <f>939.2+(121.6-186.5)+(0.957984+(0.124032-0.19023))+0-315.1-0.32140200000005</f>
        <v>559.77038400000004</v>
      </c>
      <c r="K293" s="3">
        <f>941+(170.2-229.1)+(-1.43973+(-0.260406--0.350523))+0-316.2--0.483786000000018</f>
        <v>565.03417300000001</v>
      </c>
      <c r="L293" s="3">
        <f>943.5+(302.7-264.4)+(-0.96237+(-0.308754--0.269688))+0-315.7--0.32201400000005</f>
        <v>665.42057799999998</v>
      </c>
      <c r="M293" s="3">
        <f>949.8+(299.7-298.7)+(-0.484398+(-0.152847--0.152337))+0-313.7--0.159986999999968</f>
        <v>636.77507900000001</v>
      </c>
      <c r="N293" s="3">
        <f>953.5+(319.7-283.9)+(0.486285+(0.163047-0.144789))+0-314.4-0.160343999999968</f>
        <v>675.24419899999998</v>
      </c>
      <c r="O293" s="3">
        <f>944.3+(241.8-286.8)+(0+(0-0))+0-316.4-0</f>
        <v>582.9</v>
      </c>
      <c r="P293" s="3">
        <f>935.8+(245-254.4)+(0.477258+(0.12495-0.129744))+0-315.5-0.160904999999968</f>
        <v>611.21155899999997</v>
      </c>
      <c r="Q293" s="3">
        <f>935.4+(259.2-241.2)+(-1.431162+(-0.396576--0.369036))+0-316.4--0.484092000000018</f>
        <v>636.02539000000002</v>
      </c>
      <c r="R293" s="3">
        <f>931.8+(296.9-226.6)+(-0.950436+(-0.302838--0.231132))+0-316.8--0.323136000000051</f>
        <v>684.60099400000001</v>
      </c>
      <c r="S293" s="3">
        <f>930.8+(221.3-218.6)+(-0.949416+(-0.225726--0.222972))+0-315.8--0.32211600000005</f>
        <v>617.06994600000007</v>
      </c>
      <c r="T293" s="3">
        <f>930.6+(213.8-201)+(0.949212+(0.218076-0.20502))+0-314.4-0.32068800000005</f>
        <v>629.64158000000009</v>
      </c>
      <c r="U293" s="3">
        <f>931.5+(195.5-204.6)+(-0.95013+(-0.19941--0.208692))+0-315.9--0.32221800000005</f>
        <v>605.88137000000006</v>
      </c>
      <c r="V293" s="3">
        <f>935.1+(231.2-229.1)+(0+(0-0))+0-316.9-0</f>
        <v>620.30000000000007</v>
      </c>
      <c r="W293" s="3">
        <f>939+(324.4-275.4)+(0.95778+(0.330888-0.280908))+0-318.5-0.324870000000051</f>
        <v>670.18288999999993</v>
      </c>
      <c r="X293" s="3">
        <f>942.6+(329.6-271.8)+(-1.442178+(-0.504288--0.415854))+0-314.9--0.481797000000018</f>
        <v>684.45118500000012</v>
      </c>
      <c r="Y293" s="3">
        <f>943.7+(278.1-256.4)+(-0.481287+(-0.141831--0.130764))+0-315.5--0.160904999999968</f>
        <v>649.56855100000007</v>
      </c>
      <c r="Z293" s="3">
        <f>944.7+(273.8-240.9)+(-1.927188+(-0.558552--0.491436))+0-315.5--0.643619999999986</f>
        <v>660.74931599999991</v>
      </c>
      <c r="AA293" s="3">
        <f>945.8+(227.5-245.1)+(-0.964716+(-0.23205--0.250002))+0-315.3--0.32160600000005</f>
        <v>612.27484199999992</v>
      </c>
      <c r="AB293" s="3">
        <f>921.2+(204.2-238.4)+(-0.469812+(-0.104142--0.121584))+0-314.1--0.160190999999968</f>
        <v>572.60782099999994</v>
      </c>
      <c r="AC293" s="3">
        <f>922.3+(191.5-224.4)+(-1.411119+(-0.292995--0.343332))+0-313.3--0.479349000000018</f>
        <v>575.21856700000001</v>
      </c>
      <c r="AD293">
        <v>745.80000000000007</v>
      </c>
      <c r="AE293" s="3">
        <f>956+(375.8-271.9)+(0+(0-0))+0-314.1-0</f>
        <v>745.80000000000007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939.8+(137.7-184.4)+(-1.917192+(-0.280908--0.376176))+0-313.2--0.638927999999986</f>
        <v>578.71700399999997</v>
      </c>
      <c r="G294" s="3">
        <f>939.1+(64.9-174)+(-1.436823+(-0.099297--0.26622))+0-314.4--0.481032000000018</f>
        <v>514.81113200000004</v>
      </c>
      <c r="H294" s="3">
        <f>938.4+(136-149.8)+(-0.478584+(-0.06936--0.076398))+0-315.8--0.161057999999968</f>
        <v>608.48951199999988</v>
      </c>
      <c r="I294" s="3">
        <f>938.1+(75.6-162.3)+(-1.435293+(-0.115668--0.248319))+0-315.5--0.482715000000018</f>
        <v>535.08007299999997</v>
      </c>
      <c r="J294" s="3">
        <f>939.7+(131.9-159.7)+(0+(0-0))+0-315.1-0</f>
        <v>596.80000000000007</v>
      </c>
      <c r="K294" s="3">
        <f>940.7+(138.5-201.2)+(-1.439271+(-0.211905--0.307836))+0-314.5--0.481185000000018</f>
        <v>562.63784499999997</v>
      </c>
      <c r="L294" s="3">
        <f>939+(283-259)+(0+(0-0))+0-315-0</f>
        <v>648</v>
      </c>
      <c r="M294" s="3">
        <f>938+(312-289)+(0+(0-0))+0-316-0</f>
        <v>645</v>
      </c>
      <c r="N294" s="3">
        <f>935+(250-265)+(0+(0-0))+0-318-0</f>
        <v>602</v>
      </c>
      <c r="O294" s="3">
        <f>931+(226-242)+(0+(0-0))+0-319-0</f>
        <v>596</v>
      </c>
      <c r="P294" s="3">
        <f>944+(188-240)+(0+(0-0))+0-320-0</f>
        <v>572</v>
      </c>
      <c r="Q294" s="3">
        <f>949+(227-227)+(0+(0-0))+0-321-0</f>
        <v>628</v>
      </c>
      <c r="R294" s="3">
        <f>947+(178.6-310)+(0+(0-0))+0-182-0</f>
        <v>633.6</v>
      </c>
      <c r="S294" s="3">
        <f>944+(331.9-268)+(0+(0-0))+0-303-0</f>
        <v>704.9</v>
      </c>
      <c r="T294" s="3">
        <f>943+(316.1-273)+(-1.44279+(-0.483633--0.41769))+0-322--0.492660000000019</f>
        <v>663.08392700000002</v>
      </c>
      <c r="U294" s="3">
        <f>943+(361.3-266)+(0+(0-0))+0-321-0</f>
        <v>717.3</v>
      </c>
      <c r="V294" s="3">
        <f>949.5+(270-236.7)+(0.96849+(0.2754-0.241434))+0-322.3-0.328746000000051</f>
        <v>661.17370999999991</v>
      </c>
      <c r="W294" s="3">
        <f>947.5+(401.6-272)+(0.96645+(0.409632-0.27744))+0-320.9-0.327318000000051</f>
        <v>756.97132399999975</v>
      </c>
      <c r="X294" s="3">
        <f>952.3+(377.2-272.1)+(-0.971346+(-0.384744--0.277542))+0-318.8--0.325176000000051</f>
        <v>737.84662800000001</v>
      </c>
      <c r="Y294" s="3">
        <f>953.1+(357.1-248.8)+(-0.486081+(-0.182121--0.126888))+0-322--0.164219999999967</f>
        <v>739.02290600000003</v>
      </c>
      <c r="Z294" s="3">
        <f>956.1+(325.2-230.1)+(-0.487611+(-0.165852--0.117351))+0-320.2--0.163301999999968</f>
        <v>730.62718999999993</v>
      </c>
      <c r="AA294" s="3">
        <f>957.5+(269-219.5)+(0+(0-0))+0-323.3-0</f>
        <v>683.7</v>
      </c>
      <c r="AB294" s="3">
        <f>959.1+(170-205.6)+(0+(0-0))+0-321.7-0</f>
        <v>601.79999999999995</v>
      </c>
      <c r="AC294" s="3">
        <f>961+(166.4-202.1)+(-1.47033+(-0.254592--0.309213))+0-320.4--0.490212000000018</f>
        <v>603.97450300000003</v>
      </c>
      <c r="AD294">
        <v>783.7</v>
      </c>
      <c r="AE294" s="3">
        <f>955+(424.7-277.7)+(0+(0-0))+0-318.3-0</f>
        <v>783.7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961.3+(149.2-196.6)+(-0.980526+(-0.152184--0.200532))+0-322.1--0.328542000000051</f>
        <v>591.19636400000002</v>
      </c>
      <c r="G295" s="3">
        <f>961.9+(128.6-196.5)+(-2.943414+(-0.393516--0.60129))+0-323.3--0.989298000000037</f>
        <v>568.95365800000002</v>
      </c>
      <c r="H295" s="3">
        <f>962.6+(152.3-192.7)+(0+(0-0))+0-326.5-0</f>
        <v>595.70000000000005</v>
      </c>
      <c r="I295" s="3">
        <f>961.6+(126.7-198.3)+(-0.980832+(-0.129234--0.202266))+0-326.6--0.333132000000052</f>
        <v>562.82533200000012</v>
      </c>
      <c r="J295" s="3">
        <f>959.6+(137.6-207.4)+(-0.489396+(-0.070176--0.105774))+0-321.6--0.164015999999967</f>
        <v>567.91021799999987</v>
      </c>
      <c r="K295" s="3">
        <f>961.5+(194-229.2)+(1.471095+(0.29682-0.350676))+0-320.8-0.490824000000019</f>
        <v>606.42641499999991</v>
      </c>
      <c r="L295" s="3">
        <f>966.9+(247.2-269.8)+(-0.493119+(-0.126072--0.137598))+0-321.3--0.163862999999967</f>
        <v>622.68227000000002</v>
      </c>
      <c r="M295" s="3">
        <f>963.5+(290-291.1)+(-0.98277+(-0.2958--0.296922))+0-318.6--0.324972000000051</f>
        <v>643.14332400000001</v>
      </c>
      <c r="N295" s="3">
        <f>961+(262-263.1)+(-1.47033+(-0.40086--0.402543))+0-321.9--0.492507000000019</f>
        <v>637.02386000000001</v>
      </c>
      <c r="O295" s="3">
        <f>953.5+(230.2-237.2)+(-0.486285+(-0.117402--0.120972))+0-323.7--0.165086999999967</f>
        <v>622.48237200000005</v>
      </c>
      <c r="P295" s="3">
        <f>948.7+(296.7-219.7)+(-0.967674+(-0.302634--0.224094))+0-323--0.329460000000051</f>
        <v>701.98324600000012</v>
      </c>
      <c r="Q295" s="3">
        <f>943.9+(247.6-229)+(-0.962778+(-0.252552--0.23358))+0-324.9--0.331398000000052</f>
        <v>636.94964800000002</v>
      </c>
      <c r="R295" s="3">
        <f>942.4+(320-220.3)+(-1.922496+(-0.6528--0.449412))+0-322.9--0.658715999999986</f>
        <v>717.73283199999992</v>
      </c>
      <c r="S295" s="3">
        <f>939.5+(271.3-222.1)+(-1.437435+(-0.415089--0.339813))+0-323.3--0.494649000000019</f>
        <v>664.38193799999999</v>
      </c>
      <c r="T295" s="3">
        <f>923+(222.7-218.1)+(-0.47073+(-0.113577--0.111231))+0-323.8--0.165137999999967</f>
        <v>603.49206199999992</v>
      </c>
      <c r="U295" s="3">
        <f>923+(240.1-216.8)+(-0.47073+(-0.122451--0.110568))+0-324.5--0.165494999999967</f>
        <v>621.4828819999999</v>
      </c>
      <c r="V295" s="3">
        <f>942.8+(271-234.1)+(0+(0-0))+0-321.6-0</f>
        <v>658.09999999999991</v>
      </c>
      <c r="W295" s="3">
        <f>945+(353.2-271.1)+(-0.48195+(-0.180132--0.138261))+0-321.7--0.164066999999967</f>
        <v>705.0402459999998</v>
      </c>
      <c r="X295" s="3">
        <f>948.3+(415.4-255.1)+(-1.450899+(-0.635562--0.390303))+0-320.8--0.490824000000019</f>
        <v>786.59466599999996</v>
      </c>
      <c r="Y295" s="3">
        <f>947.2+(351.2-243.1)+(-1.932288+(-0.716448--0.495924))+0-321.6--0.656063999999986</f>
        <v>732.20325199999991</v>
      </c>
      <c r="Z295" s="3">
        <f>947.8+(293.5-226.3)+(-1.450134+(-0.449055--0.346239))+0-322.3--0.493119000000019</f>
        <v>691.64016900000001</v>
      </c>
      <c r="AA295" s="3">
        <f>949.7+(244.8-213.4)+(-2.906082+(-0.749088--0.653004))+0-321.5--0.983790000000037</f>
        <v>657.58162400000003</v>
      </c>
      <c r="AB295" s="3">
        <f>950.6+(197.6-201.9)+(-0.969612+(-0.201552--0.205938))+0-320.8--0.327216000000051</f>
        <v>624.86198999999999</v>
      </c>
      <c r="AC295" s="3">
        <f>944.2+(214.7-199.8)+(-0.481542+(-0.109497--0.101898))+0-323--0.164729999999967</f>
        <v>635.77558899999997</v>
      </c>
      <c r="AD295">
        <v>677.4</v>
      </c>
      <c r="AE295" s="3">
        <f>951+(329.2-279.7)+(0+(0-0))+0-323.1-0</f>
        <v>677.4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890.6+(186.6-190.6)+(-0.454206+(-0.095166--0.097206))+0-323.4--0.164933999999967</f>
        <v>562.91276800000003</v>
      </c>
      <c r="G296" s="3">
        <f>891.5+(182.1-176.1)+(-2.273325+(-0.464355--0.449055))+0-323.7--0.825434999999953</f>
        <v>572.33681000000001</v>
      </c>
      <c r="H296" s="3">
        <f>892.6+(158.7-185.1)+(-0.455226+(-0.080937--0.094401))+0-324.8--0.165647999999967</f>
        <v>541.12388599999986</v>
      </c>
      <c r="I296" s="3">
        <f>891.2+(117.7-199.6)+(0+(0-0))+0-325.3-0</f>
        <v>484.00000000000006</v>
      </c>
      <c r="J296" s="3">
        <f>891.4+(124.9-208.2)+(0.454614+(0.063699-0.106182))+0-325.7-0.166106999999967</f>
        <v>482.64602400000012</v>
      </c>
      <c r="K296" s="3">
        <f>891.2+(180.8-239.7)+(0.909024+(0.184416-0.244494))+0-321.3-0.327726000000051</f>
        <v>511.52121999999997</v>
      </c>
      <c r="L296" s="3">
        <f>909.9+(276.2-275.6)+(-0.464049+(-0.140862--0.140556))+0-320.5--0.163454999999967</f>
        <v>589.69910000000004</v>
      </c>
      <c r="M296" s="3">
        <f>910.4+(260.7-269.9)+(0+(0-0))+0-319.2-0</f>
        <v>582</v>
      </c>
      <c r="N296" s="3">
        <f>907.9+(268.7-273.6)+(0+(0-0))+0-321.6-0</f>
        <v>581.4</v>
      </c>
      <c r="O296" s="3">
        <f>906.7+(288.4-275.8)+(0+(0-0))+0-321.5-0</f>
        <v>597.79999999999995</v>
      </c>
      <c r="P296" s="3">
        <f>905.2+(306.4-271.7)+(-0.923304+(-0.312528--0.277134))+0-322--0.328440000000051</f>
        <v>617.26974200000006</v>
      </c>
      <c r="Q296" s="3">
        <f>903.7+(308.8-264.5)+(-0.921774+(-0.314976--0.26979))+0-323.4--0.329868000000052</f>
        <v>623.96290800000008</v>
      </c>
      <c r="R296" s="3">
        <f>899.1+(253.6-245.6)+(-2.292705+(-0.64668--0.62628))+0-322.5--0.822374999999953</f>
        <v>583.10927000000004</v>
      </c>
      <c r="S296" s="3">
        <f>901.3+(235.8-231)+(0.459663+(0.120258-0.11781))+0-323.1-0.164780999999967</f>
        <v>583.29732999999999</v>
      </c>
      <c r="T296" s="3">
        <f>901.7+(224.2-228)+(0.459867+(0.114342-0.11628))+0-323.1-0.164780999999967</f>
        <v>575.09314800000016</v>
      </c>
      <c r="U296" s="3">
        <f>901.8+(210.2-226.1)+(0+(0-0))+0-323.2-0</f>
        <v>562.70000000000005</v>
      </c>
      <c r="V296" s="3">
        <f>907.8+(243-231.1)+(-1.388934+(-0.37179--0.353583))+0-320.7--0.490671000000019</f>
        <v>598.08352999999988</v>
      </c>
      <c r="W296" s="3">
        <f>944.7+(261.4-243.1)+(-0.963594+(-0.266628--0.247962))+0-320.2--0.326604000000051</f>
        <v>642.14434400000005</v>
      </c>
      <c r="X296" s="3">
        <f>946.9+(305.7-229.5)+(-1.448757+(-0.467721--0.351135))+0-321.3--0.491589000000019</f>
        <v>700.72624599999995</v>
      </c>
      <c r="Y296" s="3">
        <f>949.3+(233.2-223.4)+(-2.420715+(-0.59466--0.56967))+0-320.5--0.817274999999953</f>
        <v>636.97156999999993</v>
      </c>
      <c r="Z296" s="3">
        <f>948.4+(228.8-214.1)+(-0.483684+(-0.116688--0.109191))+0-321.9--0.164168999999967</f>
        <v>640.87298800000008</v>
      </c>
      <c r="AA296" s="3">
        <f>949.8+(229.4-202.2)+(-1.937592+(-0.467976--0.412488))+0-321.6--0.656063999999986</f>
        <v>654.06298400000003</v>
      </c>
      <c r="AB296" s="3">
        <f>953.1+(193.1-183.4)+(-2.430405+(-0.492405--0.46767))+0-320.2--0.816509999999954</f>
        <v>640.96136999999987</v>
      </c>
      <c r="AC296" s="3">
        <f>955.1+(174.8-149.1)+(-3.409707+(-0.624036--0.532287))+0-319.6--1.140972</f>
        <v>658.83951600000012</v>
      </c>
      <c r="AD296">
        <v>689.1</v>
      </c>
      <c r="AE296" s="3">
        <f>941+(315.2-247)+(0+(0-0))+0-320.1-0</f>
        <v>689.1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912.8+(135.3-150.9)+(-0.931056+(-0.138006--0.153918))+0-319.4--0.325788000000051</f>
        <v>577.210644</v>
      </c>
      <c r="G297" s="3">
        <f>910+(163.6-166.3)+(-1.8564+(-0.333744--0.339252))+0-322.7--0.658307999999986</f>
        <v>583.40741600000001</v>
      </c>
      <c r="H297" s="3">
        <f>910+(103.6-190.9)+(-0.4641+(-0.052836--0.097359))+0-321.1--0.163760999999967</f>
        <v>501.34418399999998</v>
      </c>
      <c r="I297" s="3">
        <f>909.4+(90.8-197.5)+(-1.391382+(-0.138924--0.302175))+0-319.9--0.489447000000018</f>
        <v>482.06131600000003</v>
      </c>
      <c r="J297" s="3">
        <f>909.9+(118.2-197.9)+(0+(0-0))+0-319-0</f>
        <v>511.19999999999993</v>
      </c>
      <c r="K297" s="3">
        <f>910.6+(195-226.3)+(0+(0-0))+0-320.4-0</f>
        <v>558.9</v>
      </c>
      <c r="L297" s="3">
        <f>912.7+(252.2-251.4)+(0+(0-0))+0-318.2-0</f>
        <v>595.29999999999995</v>
      </c>
      <c r="M297" s="3">
        <f>913.4+(250.1-257.6)+(0.465834+(0.127551-0.131376))+0-318.2-0.162281999999968</f>
        <v>587.99972699999989</v>
      </c>
      <c r="N297" s="3">
        <f>932.5+(298.8-234.7)+(0.95115+(0.304776-0.239394))+0-321.6-0.328032000000051</f>
        <v>675.68849999999998</v>
      </c>
      <c r="O297" s="3">
        <f>952.7+(237.4-250)+(1.457631+(0.363222-0.3825))+0-322.1-0.492813000000019</f>
        <v>618.94553999999994</v>
      </c>
      <c r="P297" s="3">
        <f>950.5+(313.8-242.7)+(0.96951+(0.320076-0.247554))+0-320.5-0.326910000000051</f>
        <v>701.81512199999997</v>
      </c>
      <c r="Q297" s="3">
        <f>948.5+(262.5-252.8)+(-0.96747+(-0.26775--0.257856))+0-321.7--0.328134000000051</f>
        <v>635.85077000000024</v>
      </c>
      <c r="R297" s="3">
        <f>946.8+(322-240.1)+(-2.897208+(-0.98532--0.734706))+0-320.8--0.981648000000037</f>
        <v>705.73382600000025</v>
      </c>
      <c r="S297" s="3">
        <f>943.1+(257.6-254.5)+(0.480981+(0.131376-0.129795))+0-320-0.163199999999968</f>
        <v>626.51936200000011</v>
      </c>
      <c r="T297" s="3">
        <f>938.2+(274.2-239)+(0.478482+(0.139842-0.12189))+0-320.7-0.163556999999967</f>
        <v>653.03287700000021</v>
      </c>
      <c r="U297" s="3">
        <f>941.1+(264.2-236.2)+(0.479961+(0.134742-0.120462))+0-319.3-0.162842999999968</f>
        <v>650.1313980000001</v>
      </c>
      <c r="V297" s="3">
        <f>943.3+(316.4-237.9)+(-0.481083+(-0.161364--0.121329))+0-319.1--0.162740999999968</f>
        <v>702.34162299999991</v>
      </c>
      <c r="W297" s="3">
        <f>943+(322.6-263.5)+(-0.48093+(-0.164526--0.134385))+0-321--0.163709999999967</f>
        <v>680.75263899999993</v>
      </c>
      <c r="X297" s="3">
        <f>943.6+(337-257.8)+(-0.962472+(-0.34374--0.262956))+0-321.8--0.328236000000051</f>
        <v>700.2849799999999</v>
      </c>
      <c r="Y297" s="3">
        <f>944.9+(280.7-237)+(-0.481899+(-0.143157--0.12087))+0-318.9--0.162638999999968</f>
        <v>669.35845299999994</v>
      </c>
      <c r="Z297" s="3">
        <f>949.5+(228.6-221.3)+(-0.484245+(-0.116586--0.112863))+0-319.4--0.162893999999968</f>
        <v>637.07492599999989</v>
      </c>
      <c r="AA297" s="3">
        <f>950.2+(199.2-225.2)+(-1.938408+(-0.406368--0.459408))+0-319--0.650759999999986</f>
        <v>603.96539200000007</v>
      </c>
      <c r="AB297" s="3">
        <f>894.3+(266.2-206.4)+(0.456093+(0.135762-0.105264))+0-319.9-0.163148999999968</f>
        <v>634.52344199999993</v>
      </c>
      <c r="AC297" s="3">
        <f>688.5+(428.5-190.7)+(-1.755675+(-1.092675--0.486285))+0-319--0.813449999999954</f>
        <v>605.75138499999991</v>
      </c>
      <c r="AD297">
        <v>682.2</v>
      </c>
      <c r="AE297" s="3">
        <f>939+(337.5-273)+(0+(0-0))+0-321.3-0</f>
        <v>682.2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635.5+(402.8-165.5)+(-0.64821+(-0.410856--0.16881))+0-319.1--0.325482000000051</f>
        <v>553.13522599999999</v>
      </c>
      <c r="G298" s="3">
        <f>629.1+(368.1-147.8)+(0.320841+(0.187731-0.075378))+0-320-0.163199999999968</f>
        <v>529.66999400000009</v>
      </c>
      <c r="H298" s="3">
        <f>628.3+(323.7-143.6)+(0+(0-0))+0-322.5-0</f>
        <v>485.9</v>
      </c>
      <c r="I298" s="3">
        <f>629.5+(325.7-142.6)+(0.321045+(0.166107-0.072726))+0-324.4-0.165443999999967</f>
        <v>488.44898200000011</v>
      </c>
      <c r="J298" s="3">
        <f>628+(316.3-154.9)+(-1.6014+(-0.806565--0.394995))+0-321.5--0.819824999999953</f>
        <v>466.70685499999996</v>
      </c>
      <c r="K298" s="3">
        <f>628.6+(377.4-175.3)+(0.641172+(0.384948-0.178806))+0-320.8-0.327216000000051</f>
        <v>510.42009799999994</v>
      </c>
      <c r="L298" s="3">
        <f>630+(459.4-205.1)+(0+(0-0))+0-318.2-0</f>
        <v>566.09999999999991</v>
      </c>
      <c r="M298" s="3">
        <f>630.5+(479.7-232.9)+(-0.321555+(-0.244647--0.118779))+0-316.6--0.161465999999968</f>
        <v>560.41404299999999</v>
      </c>
      <c r="N298" s="3">
        <f>653.8+(430.8-217.4)+(0.666876+(0.439416-0.221748))+0-318.8-0.325176000000051</f>
        <v>548.95936799999981</v>
      </c>
      <c r="O298" s="3">
        <f>671.6+(436.2-213.9)+(1.027548+(0.667386-0.327267))+0-320.5-0.490365000000019</f>
        <v>574.27730199999996</v>
      </c>
      <c r="P298" s="3">
        <f>667.5+(435.3-190.4)+(0+(0-0))+0-322.2-0</f>
        <v>590.20000000000005</v>
      </c>
      <c r="Q298" s="3">
        <f>671.2+(462.2-171.8)+(-0.684624+(-0.471444--0.175236))+0-321.8--0.328236000000051</f>
        <v>639.14740400000005</v>
      </c>
      <c r="R298" s="3">
        <f>664.6+(494.1-160.6)+(-1.016838+(-0.755973--0.245718))+0-320--0.489600000000018</f>
        <v>677.06250699999998</v>
      </c>
      <c r="S298" s="3">
        <f>662.7+(486.7-145.5)+(-1.689885+(-1.241085--0.371025))+0-320.7--0.817784999999953</f>
        <v>681.45784000000003</v>
      </c>
      <c r="T298" s="3">
        <f>662.3+(476-133.9)+(-2.026638+(-1.45656--0.409734))+0-321.1--0.982566000000037</f>
        <v>681.20910200000003</v>
      </c>
      <c r="U298" s="3">
        <f>662.2+(419.3-133.9)+(-1.350888+(-0.855372--0.273156))+0-320.1--0.653003999999986</f>
        <v>626.21990000000005</v>
      </c>
      <c r="V298" s="3">
        <f>661.7+(438.9-140.1)+(-0.337467+(-0.223839--0.071451))+0-321.3--0.163862999999967</f>
        <v>638.874008</v>
      </c>
      <c r="W298" s="3">
        <f>665.8+(523.9-148.7)+(-0.679116+(-0.534378--0.151674))+0-321.9--0.328338000000051</f>
        <v>718.36651800000016</v>
      </c>
      <c r="X298" s="3">
        <f>666.3+(478.5-147.9)+(-1.019439+(-0.732105--0.226287))+0-321.5--0.491895000000019</f>
        <v>674.36663799999997</v>
      </c>
      <c r="Y298" s="3">
        <f>668.4+(429.4-130.9)+(0+(0-0))+0-317.7-0</f>
        <v>649.20000000000005</v>
      </c>
      <c r="Z298" s="3">
        <f>670.8+(408.6-117.6)+(-0.342108+(-0.208386--0.059976))+0-319.9--0.163148999999968</f>
        <v>641.572631</v>
      </c>
      <c r="AA298" s="3">
        <f>670.9+(451.8-97.5)+(-0.684318+(-0.460836--0.09945))+0-318.2--0.324564000000051</f>
        <v>706.27886000000012</v>
      </c>
      <c r="AB298" s="3">
        <f>671.3+(380.3-125.3)+(-1.027089+(-0.581859--0.191709))+0-316.7--0.484551000000018</f>
        <v>608.66731200000004</v>
      </c>
      <c r="AC298" s="3">
        <f>671.8+(377.4-117.9)+(-1.71309+(-0.96237--0.300645))+0-318.2--0.811409999999954</f>
        <v>611.53659499999992</v>
      </c>
      <c r="AD298">
        <v>722.7</v>
      </c>
      <c r="AE298" s="3">
        <f>666+(523-140.3)+(0+(0-0))+0-326-0</f>
        <v>722.7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672.3+(292.5-108.5)+(-0.342873+(-0.149175--0.055335))+0-317.4--0.161873999999968</f>
        <v>538.62516099999993</v>
      </c>
      <c r="G299" s="3">
        <f>671.9+(307.8-92.4)+(-0.342669+(-0.156978--0.047124))+0-319.9--0.163148999999968</f>
        <v>567.11062599999991</v>
      </c>
      <c r="H299" s="3">
        <f>665+(267.3-89.2)+(-0.33915+(-0.136323--0.045492))+0-322.2--0.164321999999967</f>
        <v>520.63434100000006</v>
      </c>
      <c r="I299" s="3">
        <f>655.1+(282.2-83.3)+(0.668202+(0.287844-0.084966))+0-320.5-0.326910000000051</f>
        <v>534.04417000000001</v>
      </c>
      <c r="J299" s="3">
        <f>671.6+(288.1-88.2)+(-0.685032+(-0.293862--0.089964))+0-320.8--0.327216000000051</f>
        <v>550.13828599999999</v>
      </c>
      <c r="K299" s="3">
        <f>671.7+(326.7-107.1)+(-0.342567+(-0.166617--0.054621))+0-319.9--0.163148999999968</f>
        <v>571.10858600000006</v>
      </c>
      <c r="L299" s="3">
        <f>672.7+(361.8-138.7)+(0.343077+(0.184518-0.070737))+0-319.3-0.162842999999968</f>
        <v>576.79401500000006</v>
      </c>
      <c r="M299" s="3">
        <f>673.7+(379.8-167.4)+(-0.687174+(-0.387396--0.170748))+0-315--0.32130000000005</f>
        <v>570.5174780000001</v>
      </c>
      <c r="N299" s="3">
        <f>661.1+(451.1-169.3)+(0+(0-0))+0-314.7-0</f>
        <v>628.20000000000005</v>
      </c>
      <c r="O299" s="3">
        <f>647.2+(518.9-166.4)+(-0.660144+(-0.529278--0.169728))+0-316.8--0.323136000000051</f>
        <v>682.20344200000011</v>
      </c>
      <c r="P299" s="3">
        <f>668.8+(538.7-174.2)+(-0.341088+(-0.274737--0.088842))+0-318.3--0.162332999999968</f>
        <v>714.63535000000002</v>
      </c>
      <c r="Q299" s="3">
        <f>746.4+(492.1-185.7)+(-0.761328+(-0.501942--0.189414))+0-320.1--0.326502000000051</f>
        <v>731.95264599999996</v>
      </c>
      <c r="R299" s="3">
        <f>753+(469.9-186.6)+(0.38403+(0.239649-0.095166))+0-319.2-0.162791999999968</f>
        <v>717.46572099999992</v>
      </c>
      <c r="S299" s="3">
        <f>778.2+(366.9-184.5)+(-1.587528+(-0.748476--0.37638))+0-318.7--0.650147999999986</f>
        <v>640.59052399999996</v>
      </c>
      <c r="T299" s="3">
        <f>907.5+(296.2-179.7)+(-0.462825+(-0.151062--0.091647))+0-318.5--0.162434999999968</f>
        <v>705.14019499999995</v>
      </c>
      <c r="U299" s="3">
        <f>938+(203.7-195.1)+(0+(0-0))+0-318.4-0</f>
        <v>628.20000000000005</v>
      </c>
      <c r="V299" s="3">
        <f>940.9+(190.5-207)+(-1.439577+(-0.291465--0.31671))+0-318.8--0.487764000000018</f>
        <v>604.67343200000005</v>
      </c>
      <c r="W299" s="3">
        <f>941.4+(243.7-221.5)+(-1.920456+(-0.497148--0.45186))+0-320.3--0.653411999999986</f>
        <v>641.98766799999987</v>
      </c>
      <c r="X299" s="3">
        <f>945.1+(271.5-193.2)+(-2.410005+(-0.692325--0.49266))+0-320.6--0.817529999999954</f>
        <v>701.00785999999994</v>
      </c>
      <c r="Y299" s="3">
        <f>948.5+(218.6-177.1)+(-0.483735+(-0.111486--0.090321))+0-318.8--0.162587999999968</f>
        <v>670.85768799999983</v>
      </c>
      <c r="Z299" s="3">
        <f>951.1+(208.6-158.1)+(-1.940244+(-0.425544--0.322524))+0-319.6--0.651983999999986</f>
        <v>680.60871999999995</v>
      </c>
      <c r="AA299" s="3">
        <f>953.2+(176.6-162.3)+(-1.458396+(-0.270198--0.248319))+0-319.5--0.488835000000018</f>
        <v>647.00855999999999</v>
      </c>
      <c r="AB299" s="3">
        <f>952.4+(166.2-139.6)+(-0.971448+(-0.169524--0.142392))+0-317.8--0.324156000000051</f>
        <v>660.52557600000011</v>
      </c>
      <c r="AC299" s="3">
        <f>950.8+(152.9-119.8)+(-1.454724+(-0.233937--0.183294))+0-317.8--0.486234000000018</f>
        <v>665.0808669999999</v>
      </c>
      <c r="AD299">
        <v>700.6</v>
      </c>
      <c r="AE299" s="3">
        <f>945+(272.5-190.3)+(0+(0-0))+0-326.6-0</f>
        <v>700.6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951.4+(93.9-144.6)+(-0.485214+(-0.047889--0.073746))+0-319.2--0.162791999999968</f>
        <v>581.20343500000001</v>
      </c>
      <c r="G300" s="3">
        <f>950.8+(120.3-140.8)+(-0.484908+(-0.061353--0.071808))+0-318.3--0.162332999999968</f>
        <v>611.68787999999995</v>
      </c>
      <c r="H300" s="3">
        <f>950+(38.6-143.4)+(-0.969+(-0.039372--0.146268))+0-315.7--0.32201400000005</f>
        <v>528.95991000000004</v>
      </c>
      <c r="I300" s="3">
        <f>949.8+(69.3-135)+(0+(0-0))+0-315.7-0</f>
        <v>568.39999999999986</v>
      </c>
      <c r="J300" s="3">
        <f>949.1+(74.9-138.5)+(-1.452123+(-0.114597--0.211905))+0-317.1--0.485163000000018</f>
        <v>567.530348</v>
      </c>
      <c r="K300" s="3">
        <f>948.2+(119.7-158.4)+(0+(0-0))+0-318.4-0</f>
        <v>591.1</v>
      </c>
      <c r="L300" s="3">
        <f>948.5+(155.6-189.8)+(0.96747+(0.158712-0.193596))+0-318.8-0.325176000000051</f>
        <v>596.10740999999985</v>
      </c>
      <c r="M300" s="3">
        <f>949.3+(179.3-207.1)+(-0.484143+(-0.091443--0.105621))+0-316.1--0.161210999999968</f>
        <v>605.09124599999996</v>
      </c>
      <c r="N300" s="3">
        <f>946.8+(179.5-216.4)+(1.448604+(0.274635-0.331092))+0-316.8-0.484704000000018</f>
        <v>594.00744299999997</v>
      </c>
      <c r="O300" s="3">
        <f>943.7+(149.1-216.2)+(0+(0-0))+0-319.4-0</f>
        <v>557.20000000000005</v>
      </c>
      <c r="P300" s="3">
        <f>945.4+(215.3-194.8)+(-0.482154+(-0.109803--0.099348))+0-318--0.162179999999968</f>
        <v>647.56957099999988</v>
      </c>
      <c r="Q300" s="3">
        <f>945.7+(152.1-195.3)+(-0.482307+(-0.077571--0.099603))+0-319--0.162689999999968</f>
        <v>583.20241499999997</v>
      </c>
      <c r="R300" s="3">
        <f>942.8+(201.5-208.3)+(-1.923312+(-0.41106--0.424932))+0-318--0.648719999999986</f>
        <v>616.73928000000001</v>
      </c>
      <c r="S300" s="3">
        <f>942+(187.6-191.2)+(0.48042+(0.095676-0.097512))+0-319.1-0.162740999999968</f>
        <v>619.61584299999993</v>
      </c>
      <c r="T300" s="3">
        <f>941.7+(199.3-184.7)+(-1.440801+(-0.304929--0.282591))+0-319.5--0.488835000000018</f>
        <v>635.82569600000011</v>
      </c>
      <c r="U300" s="3">
        <f>941.1+(197.7-252.6)+(-0.479961+(-0.100827--0.128826))+0-318.9--0.162638999999968</f>
        <v>567.0106770000001</v>
      </c>
      <c r="V300" s="3">
        <f>941.3+(277-282.9)+(-0.960126+(-0.28254--0.288558))+0-318.6--0.324972000000051</f>
        <v>616.17086399999994</v>
      </c>
      <c r="W300" s="3">
        <f>943.3+(283-218.7)+(0.962166+(0.28866-0.223074))+0-318.4-0.324768000000051</f>
        <v>689.90298399999983</v>
      </c>
      <c r="X300" s="3">
        <f>945.5+(384-204.1)+(-1.92882+(-0.78336--0.416364))+0-320.7--0.654227999999986</f>
        <v>803.05841199999998</v>
      </c>
      <c r="Y300" s="3">
        <f>946.1+(259.2-199)+(-1.930044+(-0.528768--0.40596))+0-319.4--0.651575999999986</f>
        <v>685.49872399999992</v>
      </c>
      <c r="Z300" s="3">
        <f>947+(284.9-173.9)+(0+(0-0))+0-318.8-0</f>
        <v>739.2</v>
      </c>
      <c r="AA300" s="3">
        <f>949.8+(191.2-171.1)+(-0.484398+(-0.097512--0.087261))+0-320.8--0.163607999999967</f>
        <v>648.76895899999988</v>
      </c>
      <c r="AB300" s="3">
        <f>949.1+(151.6-147.1)+(-0.484041+(-0.077316--0.075021))+0-318.6--0.162485999999968</f>
        <v>634.67614999999989</v>
      </c>
      <c r="AC300" s="3">
        <f>932.3+(97.3-129.8)+(-1.901892+(-0.198492--0.264792))+0-318.3--0.649331999999986</f>
        <v>580.31373999999983</v>
      </c>
      <c r="AD300">
        <v>742.3</v>
      </c>
      <c r="AE300" s="3">
        <f>945+(321.6-203.6)+(0+(0-0))+0-320.7-0</f>
        <v>742.3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941+(92.9-107.8)+(-1.91964+(-0.189516--0.219912))+0-319.3--0.651371999999986</f>
        <v>605.56212800000003</v>
      </c>
      <c r="G301" s="3">
        <f>937.8+(27.4-128.7)+(-1.434834+(-0.041922--0.196911))+0-319--0.488070000000018</f>
        <v>516.70822499999997</v>
      </c>
      <c r="H301" s="3">
        <f>901.8+(55.9-86.5)+(-0.459918+(-0.028509--0.044115))+0-318.9--0.162638999999968</f>
        <v>552.018327</v>
      </c>
      <c r="I301" s="3">
        <f>896.4+(39.3-105.1)+(-1.828656+(-0.080172--0.214404))+0-319.6--0.651983999999986</f>
        <v>509.95755999999994</v>
      </c>
      <c r="J301" s="3">
        <f>898.9+(43.9-108)+(-1.375317+(-0.067167--0.16524))+0-319.4--0.488682000000018</f>
        <v>514.61143800000002</v>
      </c>
      <c r="K301" s="3">
        <f>902.9+(141.6-149.6)+(0.460479+(0.072216-0.076296))+0-317.1-0.161720999999968</f>
        <v>578.09467800000004</v>
      </c>
      <c r="L301" s="3">
        <f>901.6+(205.4-186.9)+(-0.919632+(-0.209508--0.190638))+0-318.2--0.324564000000051</f>
        <v>601.28606200000013</v>
      </c>
      <c r="M301" s="3">
        <f>937.6+(182.2-195.4)+(0.478176+(0.092922-0.099654))+0-316.7-0.161516999999968</f>
        <v>608.00992700000006</v>
      </c>
      <c r="N301" s="3">
        <f>941+(172.8-209.4)+(0+(0-0))+0-319-0</f>
        <v>585.4</v>
      </c>
      <c r="O301" s="3">
        <f>936.2+(198.4-212.9)+(0.477462+(0.101184-0.108579))+0-317.8-0.162077999999968</f>
        <v>604.20798900000011</v>
      </c>
      <c r="P301" s="3">
        <f>931+(254.4-207)+(0+(0-0))+0-319.6-0</f>
        <v>658.8</v>
      </c>
      <c r="Q301" s="3">
        <f>927.3+(258.4-220.1)+(-1.891692+(-0.527136--0.449004))+0-319--0.650759999999986</f>
        <v>645.28093599999988</v>
      </c>
      <c r="R301" s="3">
        <f>926.8+(271.3-216.9)+(-1.890672+(-0.553452--0.442476))+0-319--0.650759999999986</f>
        <v>660.84911199999988</v>
      </c>
      <c r="S301" s="3">
        <f>925.2+(213.5-215.2)+(-1.887408+(-0.43554--0.439008))+0-320.3--0.653411999999986</f>
        <v>601.96947199999988</v>
      </c>
      <c r="T301" s="3">
        <f>925.3+(238.5-194.2)+(0.471903+(0.121635-0.099042))+0-317.7-0.162026999999968</f>
        <v>652.23246899999992</v>
      </c>
      <c r="U301" s="3">
        <f>925+(215.6-201.3)+(-0.47175+(-0.109956--0.102663))+0-318--0.162179999999968</f>
        <v>620.98313699999983</v>
      </c>
      <c r="V301" s="3">
        <f>927.4+(232.5-218.7)+(-0.472974+(-0.118575--0.111537))+0-319.6--0.162995999999968</f>
        <v>621.28298400000006</v>
      </c>
      <c r="W301" s="3">
        <f>928.4+(345.6-254.2)+(1.420452+(0.528768-0.388926))+0-319.5-0.488835000000018</f>
        <v>701.37145899999996</v>
      </c>
      <c r="X301" s="3">
        <f>932.6+(347.7-254.6)+(0+(0-0))+0-318.2-0</f>
        <v>707.5</v>
      </c>
      <c r="Y301" s="3">
        <f>937.1+(303.3-237)+(-1.433763+(-0.464049--0.36261))+0-318.5--0.487305000000018</f>
        <v>683.85210300000006</v>
      </c>
      <c r="Z301" s="3">
        <f>940.8+(273-208.9)+(0.479808+(0.13923-0.106539))+0-319.6-0.162995999999968</f>
        <v>685.64950299999998</v>
      </c>
      <c r="AA301" s="3">
        <f>941.4+(189.3-203.1)+(-1.920456+(-0.386172--0.414324))+0-319.3--0.651371999999986</f>
        <v>607.05906800000002</v>
      </c>
      <c r="AB301" s="3">
        <f>942.1+(142.4-165.5)+(-0.480471+(-0.072624--0.084405))+0-318.4--0.162383999999968</f>
        <v>600.29369399999996</v>
      </c>
      <c r="AC301" s="3">
        <f>904.9+(113.9-147.1)+(-2.307495+(-0.290445--0.375105))+0-317.7--0.810134999999954</f>
        <v>552.58729999999991</v>
      </c>
      <c r="AD301">
        <v>806.2</v>
      </c>
      <c r="AE301" s="3">
        <f>939+(432.3-245.6)+(0+(0-0))+0-319.5-0</f>
        <v>806.2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891.2+(129.9-142.3)+(0+(0-0))+0-319-0</f>
        <v>559.80000000000007</v>
      </c>
      <c r="G302" s="3">
        <f>892.7+(92-154.1)+(-0.910554+(-0.09384--0.157182))+0-320.8--0.327216000000051</f>
        <v>509.28000400000008</v>
      </c>
      <c r="H302" s="3">
        <f>892.1+(82.4-180.1)+(-0.454971+(-0.042024--0.091851))+0-319--0.162689999999968</f>
        <v>475.15754600000008</v>
      </c>
      <c r="I302" s="3">
        <f>893.4+(90-177.6)+(1.366902+(0.1377-0.271728))+0-318.4-0.487152000000018</f>
        <v>488.14572199999998</v>
      </c>
      <c r="J302" s="3">
        <f>892.9+(108.4-184.1)+(-0.455379+(-0.055284--0.093891))+0-319.2--0.162791999999968</f>
        <v>497.74601999999999</v>
      </c>
      <c r="K302" s="3">
        <f>894.2+(108.7-193)+(0+(0-0))+0-320-0</f>
        <v>489.90000000000009</v>
      </c>
      <c r="L302" s="3">
        <f>893.3+(268.4-200.3)+(0.455583+(0.136884-0.102153))+0-319.9-0.163148999999968</f>
        <v>641.82716499999992</v>
      </c>
      <c r="M302" s="3">
        <f>894.9+(266.1-229.6)+(-0.456399+(-0.135711--0.117096))+0-318--0.162179999999968</f>
        <v>613.08716599999991</v>
      </c>
      <c r="N302" s="3">
        <f>892.1+(223.1-229.5)+(0+(0-0))+0-315.9-0</f>
        <v>569.80000000000007</v>
      </c>
      <c r="O302" s="3">
        <f>887.6+(253.7-200.9)+(-0.452676+(-0.129387--0.102459))+0-315.6--0.160955999999968</f>
        <v>624.4813519999999</v>
      </c>
      <c r="P302" s="3">
        <f>884.5+(237.4-194.7)+(-1.353285+(-0.363222--0.297891))+0-316.6--0.484398000000018</f>
        <v>609.66578200000004</v>
      </c>
      <c r="Q302" s="3">
        <f>884.3+(215.5-198.1)+(-1.803972+(-0.43962--0.404124))+0-316.9--0.646475999999986</f>
        <v>583.60700799999995</v>
      </c>
      <c r="R302" s="3">
        <f>871.9+(258.2-180.1)+(-0.889338+(-0.263364--0.183702))+0-320.1--0.326502000000051</f>
        <v>629.25750199999993</v>
      </c>
      <c r="S302" s="3">
        <f>900.2+(232.2-173.5)+(0+(0-0))+0-321.2-0</f>
        <v>637.70000000000005</v>
      </c>
      <c r="T302" s="3">
        <f>939.2+(157-181.4)+(-0.478992+(-0.08007--0.092514))+0-320.3--0.163352999999968</f>
        <v>594.19680500000004</v>
      </c>
      <c r="U302" s="3">
        <f>937.9+(134.7-191.5)+(0.478329+(0.068697-0.097665))+0-318.8-0.162587999999968</f>
        <v>562.58677299999999</v>
      </c>
      <c r="V302" s="3">
        <f>938.9+(169-222.8)+(0.478839+(0.08619-0.113628))+0-321.8-0.164117999999967</f>
        <v>563.58728300000007</v>
      </c>
      <c r="W302" s="3">
        <f>942.2+(266.3-268.1)+(0.480522+(0.135813-0.136731))+0-324-0.165239999999967</f>
        <v>616.71436400000016</v>
      </c>
      <c r="X302" s="3">
        <f>944.8+(323.5-262.1)+(-1.927392+(-0.65994--0.534684))+0-322.1--0.657083999999986</f>
        <v>682.70443599999987</v>
      </c>
      <c r="Y302" s="3">
        <f>948.1+(307.4-240.9)+(-0.483531+(-0.156774--0.122859))+0-320.8--0.163607999999967</f>
        <v>693.44616200000007</v>
      </c>
      <c r="Z302" s="3">
        <f>949.1+(248.6-230.4)+(-1.452123+(-0.380358--0.352512))+0-320.7--0.490671000000019</f>
        <v>645.61070199999995</v>
      </c>
      <c r="AA302" s="3">
        <f>951.8+(166.3-217.2)+(-1.456254+(-0.254439--0.332316))+0-321.8--0.492354000000019</f>
        <v>578.21397699999989</v>
      </c>
      <c r="AB302" s="3">
        <f>954.2+(126-194.9)+(-1.459926+(-0.19278--0.298197))+0-320--0.489600000000018</f>
        <v>564.43509100000006</v>
      </c>
      <c r="AC302" s="3">
        <f>957.1+(90.5-184.3)+(-1.464363+(-0.138465--0.281979))+0-319.4--0.488682000000018</f>
        <v>543.06783300000006</v>
      </c>
      <c r="AD302">
        <v>704.90000000000009</v>
      </c>
      <c r="AE302" s="3">
        <f>944+(341-258.1)+(0+(0-0))+0-322-0</f>
        <v>704.90000000000009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960.8+(48-177.7)+(-1.470024+(-0.07344--0.271881))+0-321.2--0.491436000000019</f>
        <v>509.11985299999998</v>
      </c>
      <c r="G303" s="3">
        <f>963.2+(47-204)+(-0.982464+(-0.04794--0.20808))+0-320.8--0.327216000000051</f>
        <v>484.90489200000013</v>
      </c>
      <c r="H303" s="3">
        <f>964.5+(47.7-214.8)+(0.491895+(0.024327-0.109548))+0-320-0.163199999999968</f>
        <v>477.64347399999997</v>
      </c>
      <c r="I303" s="3">
        <f>966.8+(22.3-196.6)+(-1.479204+(-0.034119--0.300798))+0-322.8--0.493884000000019</f>
        <v>468.981359</v>
      </c>
      <c r="J303" s="3">
        <f>961.7+(31.9-183.1)+(0.980934+(0.032538-0.186762))+0-321.6-0.328032000000051</f>
        <v>489.39867799999996</v>
      </c>
      <c r="K303" s="3">
        <f>965.5+(88.1-197.5)+(1.477215+(0.134793-0.302175))+0-319.6-0.488988000000019</f>
        <v>537.32084499999996</v>
      </c>
      <c r="L303" s="3">
        <f>966.7+(129.1-231.2)+(0.986034+(0.131682-0.235824))+0-318.6-0.324972000000051</f>
        <v>546.55691999999999</v>
      </c>
      <c r="M303" s="3">
        <f>966.7+(152.8-258.1)+(0+(0-0))+0-315.6-0</f>
        <v>545.80000000000007</v>
      </c>
      <c r="N303" s="3">
        <f>957.5+(150.9-243.3)+(0+(0-0))+0-318-0</f>
        <v>547.1</v>
      </c>
      <c r="O303" s="3">
        <f>947+(193-306)+(-0.48297+(-0.09843--0.15606))+0-321--0.163709999999967</f>
        <v>512.73836999999992</v>
      </c>
      <c r="P303" s="3">
        <f>944.5+(184-277)+(-0.96339+(-0.18768--0.28254))+0-322--0.328440000000051</f>
        <v>528.95991000000004</v>
      </c>
      <c r="Q303" s="3">
        <f>942.2+(201.1-234.3)+(-0.480522+(-0.102561--0.119493))+0-321.8--0.164117999999967</f>
        <v>586.90052799999989</v>
      </c>
      <c r="R303" s="3">
        <f>981.2+(199.2-251.5)+(-1.501236+(-0.304776--0.384795))+0-352.1--0.53871300000002</f>
        <v>575.91749600000014</v>
      </c>
      <c r="S303" s="3">
        <f>937.9+(191.2-216.5)+(-0.478329+(-0.097512--0.110415))+0-321.7--0.164066999999967</f>
        <v>590.59864099999982</v>
      </c>
      <c r="T303" s="3">
        <f>937.7+(180.1-209.5)+(-0.478227+(-0.091851--0.106845))+0-321.1--0.163760999999967</f>
        <v>586.90052800000012</v>
      </c>
      <c r="U303" s="3">
        <f>939.1+(181.8-193.1)+(-0.957882+(-0.185436--0.196962))+0-321.7--0.328134000000051</f>
        <v>605.48177800000008</v>
      </c>
      <c r="V303" s="3">
        <f>942.3+(173.2-209.8)+(0.961146+(0.176664-0.213996))+0-321.6-0.328032000000051</f>
        <v>584.69578199999989</v>
      </c>
      <c r="W303" s="3">
        <f>944.8+(245.9-252.4)+(0.481848+(0.125409-0.128724))+0-322.7-0.164576999999967</f>
        <v>615.91395599999987</v>
      </c>
      <c r="X303" s="3">
        <f>947.7+(278.2-253.6)+(-0.966654+(-0.283764--0.258672))+0-323.6--0.330072000000052</f>
        <v>648.0383260000001</v>
      </c>
      <c r="Y303" s="3">
        <f>950.9+(260-232.8)+(-1.939836+(-0.5304--0.474912))+0-322.6--0.658103999999986</f>
        <v>654.16277999999988</v>
      </c>
      <c r="Z303" s="3">
        <f>952.7+(242.1-206.4)+(-1.457631+(-0.370413--0.315792))+0-321.9--0.492507000000019</f>
        <v>665.48025500000017</v>
      </c>
      <c r="AA303" s="3">
        <f>954.5+(187.6-198.4)+(-0.97359+(-0.191352--0.202368))+0-320.6--0.327012000000051</f>
        <v>622.46443800000009</v>
      </c>
      <c r="AB303" s="3">
        <f>954.9+(173.8-195.6)+(-1.460997+(-0.265914--0.299268))+0-317.8--0.486234000000018</f>
        <v>614.35859099999993</v>
      </c>
      <c r="AC303" s="3">
        <f>954.8+(100.4-191.5)+(-1.947792+(-0.204816--0.39066))+0-318.4--0.649535999999986</f>
        <v>544.18758800000001</v>
      </c>
      <c r="AD303">
        <v>657.40000000000009</v>
      </c>
      <c r="AE303" s="3">
        <f>949+(282.2-250.1)+(0+(0-0))+0-323.7-0</f>
        <v>657.40000000000009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957.2+(68.8-181.3)+(-1.464516+(-0.105264--0.277389))+0-319--0.488070000000018</f>
        <v>524.89567900000009</v>
      </c>
      <c r="G304" s="3">
        <f>961.2+(35.5-178.9)+(-0.490212+(-0.018105--0.091239))+0-319.6--0.162995999999968</f>
        <v>497.94591800000006</v>
      </c>
      <c r="H304" s="3">
        <f>962.2+(7.8-160.6)+(0.981444+(0.007956-0.163812))+0-320.5-0.326910000000051</f>
        <v>489.39867800000007</v>
      </c>
      <c r="I304" s="3">
        <f>961.6+(14-168.9)+(0.980832+(0.01428-0.172278))+0-323-0.329460000000051</f>
        <v>484.19337399999995</v>
      </c>
      <c r="J304" s="3">
        <f>961.5+(30.4-180.2)+(-0.98073+(-0.031008--0.183804))+0-323.4--0.329868000000052</f>
        <v>487.80193400000007</v>
      </c>
      <c r="K304" s="3">
        <f>962.1+(69-204.7)+(-0.490671+(-0.03519--0.104397))+0-325.4--0.165953999999967</f>
        <v>500.74449000000004</v>
      </c>
      <c r="L304" s="3">
        <f>963.8+(180.5-256)+(-1.474614+(-0.276165--0.39168))+0-322--0.492660000000019</f>
        <v>565.43356099999994</v>
      </c>
      <c r="M304" s="3">
        <f>965+(184.7-266.3)+(-1.47645+(-0.282591--0.407439))+0-319.4--0.488682000000018</f>
        <v>563.13708000000008</v>
      </c>
      <c r="N304" s="3">
        <f>957.6+(200.1-257.8)+(0.488376+(0.102051-0.131478))+0-323.7-0.165086999999967</f>
        <v>576.49386199999992</v>
      </c>
      <c r="O304" s="3">
        <f>952.8+(196.3-252.1)+(-0.971856+(-0.200226--0.257142))+0-317.9--0.324258000000051</f>
        <v>578.50931800000012</v>
      </c>
      <c r="P304" s="3">
        <f>949.2+(200.5-242.7)+(0.484092+(0.102255-0.123777))+0-312.5-0.159374999999968</f>
        <v>594.80319500000007</v>
      </c>
      <c r="Q304" s="3">
        <f>947.2+(223.6-244.5)+(-0.966144+(-0.228072--0.24939))+0-321--0.327420000000051</f>
        <v>604.68259400000011</v>
      </c>
      <c r="R304" s="3">
        <f>944.4+(209.4-252.9)+(-0.481644+(-0.106794--0.128979))+0-323.8--0.165137999999967</f>
        <v>576.80567899999994</v>
      </c>
      <c r="S304" s="3">
        <f>942.9+(201.8-241.1)+(-0.480879+(-0.102918--0.122961))+0-325.4--0.165953999999967</f>
        <v>577.90511800000002</v>
      </c>
      <c r="T304" s="3">
        <f>940.5+(186-229)+(-0.479655+(-0.09486--0.11679))+0-322.4--0.164423999999967</f>
        <v>574.80669899999998</v>
      </c>
      <c r="U304" s="3">
        <f>941.4+(182.6-233.4)+(0+(0-0))+0-320.2-0</f>
        <v>570.39999999999986</v>
      </c>
      <c r="V304" s="3">
        <f>943.3+(200.7-253.9)+(0+(0-0))+0-321.1-0</f>
        <v>568.99999999999989</v>
      </c>
      <c r="W304" s="3">
        <f>947.9+(267.1-271.7)+(0.483429+(0.136221-0.138567))+0-321.7-0.164066999999967</f>
        <v>621.9170160000001</v>
      </c>
      <c r="X304" s="3">
        <f>953.2+(271.4-257.3)+(-1.944528+(-0.553656--0.524892))+0-322.1--0.657083999999986</f>
        <v>643.88379199999986</v>
      </c>
      <c r="Y304" s="3">
        <f>955+(233.4-238.3)+(-1.9482+(-0.476136--0.486132))+0-322.8--0.658511999999986</f>
        <v>626.02030799999989</v>
      </c>
      <c r="Z304" s="3">
        <f>954.6+(214.6-239.8)+(0+(0-0))+0-322.6-0</f>
        <v>606.79999999999995</v>
      </c>
      <c r="AA304" s="3">
        <f>957.1+(193.6-250.8)+(-2.928726+(-0.592416--0.767448))+0-322.1--0.985626000000037</f>
        <v>576.03193199999998</v>
      </c>
      <c r="AB304" s="3">
        <f>960.7+(184-255.6)+(-1.469871+(-0.28152--0.391068))+0-324.9--0.497097000000019</f>
        <v>563.3367740000001</v>
      </c>
      <c r="AC304" s="3">
        <f>955.3+(177.4-266.1)+(-3.897624+(-0.723792--1.085688))+0-324.6--1.32436799999997</f>
        <v>539.78863999999987</v>
      </c>
      <c r="AD304">
        <v>647.79999999999995</v>
      </c>
      <c r="AE304" s="3">
        <f>958+(271.5-262.2)+(0+(0-0))+0-319.5-0</f>
        <v>647.79999999999995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790.5+(267.4-210.8)+(-1.61262+(-0.545496--0.430032))+0-325.6--0.664223999999986</f>
        <v>520.43613999999991</v>
      </c>
      <c r="G305" s="3">
        <f>746+(246.4-193.3)+(-1.52184+(-0.502656--0.394332))+0-327.4--0.667895999999986</f>
        <v>470.73773199999999</v>
      </c>
      <c r="H305" s="3">
        <f>737+(209.9-179.2)+(-2.25522+(-0.642294--0.548352))+0-329--1.00674000000004</f>
        <v>437.3575780000001</v>
      </c>
      <c r="I305" s="3">
        <f>742.6+(205.5-174.2)+(0+(0-0))+0-328.7-0</f>
        <v>445.2000000000001</v>
      </c>
      <c r="J305" s="3">
        <f>744.9+(184-178)+(0.759798+(0.18768-0.18156))+0-326.2-0.332724000000052</f>
        <v>425.133194</v>
      </c>
      <c r="K305" s="3">
        <f>743+(237.5-195.2)+(0+(0-0))+0-327.9-0</f>
        <v>457.4</v>
      </c>
      <c r="L305" s="3">
        <f>758.8+(331.6-209.2)+(-0.386988+(-0.169116--0.106692))+0-323--0.164729999999967</f>
        <v>557.91531799999996</v>
      </c>
      <c r="M305" s="3">
        <f>762.6+(339.6-250.2)+(0+(0-0))+0-319.6-0</f>
        <v>532.4</v>
      </c>
      <c r="N305" s="3">
        <f>755.2+(393-260.7)+(0.770304+(0.40086-0.265914))+0-321.3-0.327726000000051</f>
        <v>566.77752399999997</v>
      </c>
      <c r="O305" s="3">
        <f>746.2+(401.1-263.5)+(0.761124+(0.409122-0.26877))+0-321.9-0.328338000000051</f>
        <v>562.47313800000006</v>
      </c>
      <c r="P305" s="3">
        <f>743.7+(395.7-249.2)+(1.137861+(0.605421-0.381276))+0-322.7-0.493731000000019</f>
        <v>568.36827500000004</v>
      </c>
      <c r="Q305" s="3">
        <f>740.2+(445.7-236.9)+(0.377502+(0.227307-0.120819))+0-323-0.164729999999967</f>
        <v>626.31925999999999</v>
      </c>
      <c r="R305" s="3">
        <f>738.1+(411.1-252.9)+(-1.505724+(-0.838644--0.515916))+0-323.1--0.659123999999986</f>
        <v>572.0306720000001</v>
      </c>
      <c r="S305" s="3">
        <f>735.5+(395.2-239)+(-0.75021+(-0.403104--0.24378))+0-321.1--0.327522000000051</f>
        <v>570.01798800000006</v>
      </c>
      <c r="T305" s="3">
        <f>734.6+(386.8-220.6)+(0+(0-0))+0-322.2-0</f>
        <v>578.60000000000014</v>
      </c>
      <c r="U305" s="3">
        <f>737+(425.9-224.9)+(0+(0-0))+0-321.8-0</f>
        <v>616.20000000000005</v>
      </c>
      <c r="V305" s="3">
        <f>739.7+(455.5-222.8)+(-1.131741+(-0.696915--0.340884))+0-321.3--0.491589000000019</f>
        <v>650.10381700000016</v>
      </c>
      <c r="W305" s="3">
        <f>741.9+(466.5-249.8)+(1.135107+(0.713745-0.382194))+0-321.4-0.491742000000019</f>
        <v>638.17491599999994</v>
      </c>
      <c r="X305" s="3">
        <f>745.4+(462.3-249.3)+(-0.760308+(-0.471546--0.254286))+0-323.7--0.330174000000052</f>
        <v>634.05260600000008</v>
      </c>
      <c r="Y305" s="3">
        <f>747.5+(413.1-237)+(-1.5249+(-0.842724--0.48348))+0-322.5--0.657899999999986</f>
        <v>599.87375600000007</v>
      </c>
      <c r="Z305" s="3">
        <f>749.8+(388.9-215.8)+(-1.91199+(-0.991695--0.55029))+0-323.5--0.824924999999953</f>
        <v>597.87152999999989</v>
      </c>
      <c r="AA305" s="3">
        <f>750.9+(381.2-187.1)+(-1.148877+(-0.583236--0.286263))+0-322.2--0.492966000000019</f>
        <v>621.84711600000014</v>
      </c>
      <c r="AB305" s="3">
        <f>752.5+(342.7-168.8)+(-0.383775+(-0.174777--0.086088))+0-323.9--0.165188999999967</f>
        <v>602.192725</v>
      </c>
      <c r="AC305" s="3">
        <f>754.3+(327.3-171)+(-0.769386+(-0.333846--0.17442))+0-322.6--0.329052000000051</f>
        <v>587.40023999999994</v>
      </c>
      <c r="AD305">
        <v>622.80000000000007</v>
      </c>
      <c r="AE305" s="3">
        <f>748+(451.4-253.5)+(0+(0-0))+0-323.1-0</f>
        <v>622.79999999999995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755.8+(262.1-165.5)+(-0.770916+(-0.267342--0.16881))+0-322.5--0.328950000000051</f>
        <v>529.35950200000002</v>
      </c>
      <c r="G306" s="3">
        <f>757.8+(230.6-162.7)+(0+(0-0))+0-324.9-0</f>
        <v>500.79999999999995</v>
      </c>
      <c r="H306" s="3">
        <f>758.4+(223.8-149.6)+(0.386784+(0.114138-0.076296))+0-324.7-0.165596999999967</f>
        <v>508.15902900000003</v>
      </c>
      <c r="I306" s="3">
        <f>760.8+(210.6-146.2)+(0.776016+(0.214812-0.149124))+0-323.9-0.330378000000052</f>
        <v>501.81132599999995</v>
      </c>
      <c r="J306" s="3">
        <f>761.5+(225.5-156.1)+(0+(0-0))+0-324-0</f>
        <v>506.9</v>
      </c>
      <c r="K306" s="3">
        <f>763.5+(271.4-185)+(0+(0-0))+0-324.2-0</f>
        <v>525.70000000000005</v>
      </c>
      <c r="L306" s="3">
        <f>761.2+(280.2-213.4)+(0+(0-0))+0-322.2-0</f>
        <v>505.8</v>
      </c>
      <c r="M306" s="3">
        <f>762.1+(306.5-239.3)+(-1.166013+(-0.468945--0.366129))+0-320.7--0.490671000000019</f>
        <v>507.821842</v>
      </c>
      <c r="N306" s="3">
        <f>666.4+(431.9-216.3)+(0.679728+(0.440538-0.220626))+0-318.9-0.325278000000051</f>
        <v>563.67436199999997</v>
      </c>
      <c r="O306" s="3">
        <f>600.6+(578.7-213.4)+(-0.306306+(-0.295137--0.108834))+0-322.6--0.164525999999967</f>
        <v>642.97191700000008</v>
      </c>
      <c r="P306" s="3">
        <f>597.4+(567.8-217.5)+(-0.304674+(-0.289578--0.110925))+0-323.8--0.165137999999967</f>
        <v>623.5818109999999</v>
      </c>
      <c r="Q306" s="3">
        <f>595.5+(620.7-221.4)+(-0.303705+(-0.316557--0.112914))+0-323.6--0.165035999999967</f>
        <v>670.85768800000005</v>
      </c>
      <c r="R306" s="3">
        <f>594.4+(630.3-216)+(-0.909432+(-0.964359--0.33048))+0-322.4--0.493272000000019</f>
        <v>685.24996099999998</v>
      </c>
      <c r="S306" s="3">
        <f>594.1+(513.7-221)+(-1.211964+(-1.047948--0.45084))+0-323--0.658919999999986</f>
        <v>562.64984800000002</v>
      </c>
      <c r="T306" s="3">
        <f>631.2+(437.9-212.3)+(-0.965736+(-0.669987--0.324819))+0-321.6--0.492048000000019</f>
        <v>534.38114399999995</v>
      </c>
      <c r="U306" s="3">
        <f>740.2+(355.4-230.8)+(0+(0-0))+0-321-0</f>
        <v>543.79999999999995</v>
      </c>
      <c r="V306" s="3">
        <f>742.8+(440.4-229.1)+(0+(0-0))+0-320.1-0</f>
        <v>633.99999999999989</v>
      </c>
      <c r="W306" s="3">
        <f>747.2+(465.7-266)+(-0.381072+(-0.237507--0.13566))+0-322.2--0.164321999999967</f>
        <v>624.38140299999998</v>
      </c>
      <c r="X306" s="3">
        <f>749.1+(495.6-232.3)+(0+(0-0))+0-322.1-0</f>
        <v>690.30000000000007</v>
      </c>
      <c r="Y306" s="3">
        <f>750.7+(449.2-207.9)+(-1.531428+(-0.916368--0.424116))+0-320.7--0.654227999999986</f>
        <v>669.93054799999993</v>
      </c>
      <c r="Z306" s="3">
        <f>677.9+(439.1-172.2)+(-0.691458+(-0.447882--0.175644))+0-323.2--0.329664000000052</f>
        <v>620.96596799999998</v>
      </c>
      <c r="AA306" s="3">
        <f>606.2+(497.4-131.9)+(-0.309162+(-0.253674--0.067269))+0-322.3--0.164372999999967</f>
        <v>649.06880599999988</v>
      </c>
      <c r="AB306" s="3">
        <f>607.2+(397.4-124.4)+(-1.54836+(-1.01337--0.31722))+0-322--0.821099999999953</f>
        <v>556.77659000000006</v>
      </c>
      <c r="AC306" s="3">
        <f>607.1+(340.7-111.6)+(-1.238484+(-0.695028--0.227664))+0-324.5--0.661979999999986</f>
        <v>510.65613200000007</v>
      </c>
      <c r="AD306">
        <v>725.59999999999991</v>
      </c>
      <c r="AE306" s="3">
        <f>747+(521.8-216)+(0+(0-0))+0-327.2-0</f>
        <v>725.59999999999991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608.1+(277.3-116.2)+(-0.620262+(-0.282846--0.118524))+0-324.9--0.331398000000052</f>
        <v>443.84681400000011</v>
      </c>
      <c r="G307" s="3">
        <f>609.1+(254.9-122.9)+(-0.310641+(-0.129999--0.062679))+0-323.5--0.164984999999967</f>
        <v>417.38702399999994</v>
      </c>
      <c r="H307" s="3">
        <f>609.1+(237.4-126.9)+(-1.242564+(-0.484296--0.258876))+0-324--0.660959999999986</f>
        <v>394.79297600000001</v>
      </c>
      <c r="I307" s="3">
        <f>608.3+(242.7-124.2)+(0.310233+(0.123777-0.063342))+0-321.7-0.164066999999967</f>
        <v>405.306601</v>
      </c>
      <c r="J307" s="3">
        <f>608.8+(264-123.2)+(0.620976+(0.26928-0.125664))+0-320.6-0.327012000000051</f>
        <v>429.43757999999985</v>
      </c>
      <c r="K307" s="3">
        <f>609.1+(274.3-145.4)+(0.621282+(0.279786-0.148308))+0-317-0.323340000000051</f>
        <v>421.42941999999994</v>
      </c>
      <c r="L307" s="3">
        <f>610.3+(390.5-169.3)+(0.622506+(0.39831-0.172686))+0-317.5-0.323850000000051</f>
        <v>514.52427999999986</v>
      </c>
      <c r="M307" s="3">
        <f>612.6+(426.2-192.7)+(-0.624852+(-0.434724--0.196554))+0-317.3--0.323646000000051</f>
        <v>528.26062400000001</v>
      </c>
      <c r="N307" s="3">
        <f>609.3+(489.2-193.2)+(1.242972+(0.997968-0.394128))+0-320.6-0.654023999999986</f>
        <v>585.892788</v>
      </c>
      <c r="O307" s="3">
        <f>605.2+(505.9-192.8)+(0.617304+(0.516018-0.196656))+0-321.3-0.327726000000051</f>
        <v>597.60893999999973</v>
      </c>
      <c r="P307" s="3">
        <f>601.2+(487.1-192.9)+(-0.919836+(-0.745263--0.295137))+0-324.7--0.496791000000019</f>
        <v>569.82682900000009</v>
      </c>
      <c r="Q307" s="3">
        <f>603.7+(492.4-194.2)+(-0.615774+(-0.502248--0.198084))+0-321.7--0.328134000000051</f>
        <v>579.60819600000013</v>
      </c>
      <c r="R307" s="3">
        <f>595.9+(468.2-184.5)+(-0.911727+(-0.716346--0.282285))+0-323.7--0.495261000000019</f>
        <v>555.04947300000003</v>
      </c>
      <c r="S307" s="3">
        <f>587.3+(472.7-173.9)+(0.299523+(0.241077-0.088689))+0-322.2-0.164321999999967</f>
        <v>564.187589</v>
      </c>
      <c r="T307" s="3">
        <f>597.7+(525.8-162.8)+(-0.914481+(-0.804474--0.249084))+0-321.4--0.491742000000019</f>
        <v>638.3218710000001</v>
      </c>
      <c r="U307" s="3">
        <f>599.8+(480.1-171.1)+(-0.305898+(-0.244851--0.087261))+0-321.6--0.164015999999967</f>
        <v>586.90052799999989</v>
      </c>
      <c r="V307" s="3">
        <f>596.7+(527.7-179)+(-0.608634+(-0.538254--0.18258))+0-322.4--0.328848000000051</f>
        <v>622.36454000000026</v>
      </c>
      <c r="W307" s="3">
        <f>598+(630.2-204.4)+(0.91494+(0.964206-0.312732))+0-323.5-0.494955000000019</f>
        <v>701.37145900000007</v>
      </c>
      <c r="X307" s="3">
        <f>600.7+(585.2-218.2)+(0+(0-0))+0-321.2-0</f>
        <v>646.5</v>
      </c>
      <c r="Y307" s="3">
        <f>603.2+(553.9-204.3)+(-0.922896+(-0.847467--0.312579))+0-320.8--0.490824000000019</f>
        <v>631.03304000000003</v>
      </c>
      <c r="Z307" s="3">
        <f>602.5+(514.1-180.5)+(-0.921825+(-0.786573--0.276165))+0-322.7--0.493731000000019</f>
        <v>612.46149800000012</v>
      </c>
      <c r="AA307" s="3">
        <f>605.5+(466.9-165.2)+(-1.544025+(-1.190595--0.42126))+0-324--0.826199999999953</f>
        <v>581.71284000000003</v>
      </c>
      <c r="AB307" s="3">
        <f>607+(430.5-152.9)+(-1.54785+(-1.097775--0.389895))+0-321.9--0.820844999999953</f>
        <v>561.26511500000004</v>
      </c>
      <c r="AC307" s="3">
        <f>608.6+(385.4-133)+(-0.310386+(-0.196554--0.06783))+0-323.8--0.165137999999967</f>
        <v>536.92602799999997</v>
      </c>
      <c r="AD307">
        <v>656.7</v>
      </c>
      <c r="AE307" s="3">
        <f>604+(596.7-222.1)+(0+(0-0))+0-321.9-0</f>
        <v>656.7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610.8+(323.1-134.7)+(0+(0-0))+0-322.8-0</f>
        <v>476.40000000000003</v>
      </c>
      <c r="G308" s="3">
        <f>612.3+(308.9-131)+(-0.312273+(-0.157539--0.06681))+0-323.8--0.165137999999967</f>
        <v>466.16213599999986</v>
      </c>
      <c r="H308" s="3">
        <f>612.5+(349.7-152.9)+(0+(0-0))+0-324.9-0</f>
        <v>484.4</v>
      </c>
      <c r="I308" s="3">
        <f>614.4+(345.3-149.1)+(0+(0-0))+0-321.7-0</f>
        <v>488.90000000000003</v>
      </c>
      <c r="J308" s="3">
        <f>615.7+(296.6-159.6)+(0.628014+(0.302532-0.162792))+0-320.5-0.326910000000051</f>
        <v>432.64084399999996</v>
      </c>
      <c r="K308" s="3">
        <f>618+(343.1-182.1)+(0.31518+(0.174981-0.092871))+0-318.8-0.162587999999968</f>
        <v>460.43470200000002</v>
      </c>
      <c r="L308" s="3">
        <f>618.5+(398.3-217.2)+(0+(0-0))+0-316.7-0</f>
        <v>482.90000000000003</v>
      </c>
      <c r="M308" s="3">
        <f>619+(427.9-238.3)+(-0.63138+(-0.436458--0.243066))+0-317.1--0.323442000000051</f>
        <v>490.99866999999989</v>
      </c>
      <c r="N308" s="3">
        <f>612.7+(469.5-238.2)+(0.624954+(0.47889-0.242964))+0-319.1-0.325482000000051</f>
        <v>525.43539799999985</v>
      </c>
      <c r="O308" s="3">
        <f>609.7+(464.8-213.9)+(-0.932841+(-0.711144--0.327267))+0-318.7--0.487611000000018</f>
        <v>541.07089300000007</v>
      </c>
      <c r="P308" s="3">
        <f>610.1+(460.4-210.7)+(-0.933453+(-0.704412--0.322371))+0-319.6--0.488988000000019</f>
        <v>539.37349400000005</v>
      </c>
      <c r="Q308" s="3">
        <f>612.3+(473.9-212.1)+(-1.561365+(-1.208445--0.540855))+0-320.6--0.817529999999954</f>
        <v>552.08857499999976</v>
      </c>
      <c r="R308" s="3">
        <f>610.4+(478.1-207.8)+(-0.622608+(-0.487662--0.211956))+0-321.4--0.327828000000051</f>
        <v>558.72951400000011</v>
      </c>
      <c r="S308" s="3">
        <f>607.1+(477.4-201.1)+(-0.309621+(-0.243474--0.102561))+0-323.7--0.165086999999967</f>
        <v>559.41455299999996</v>
      </c>
      <c r="T308" s="3">
        <f>607.1+(477.7-186)+(-0.309621+(-0.243627--0.09486))+0-323--0.164729999999967</f>
        <v>575.5063419999999</v>
      </c>
      <c r="U308" s="3">
        <f>603.4+(528.8-182.2)+(-1.230936+(-1.078752--0.371688))+0-323.3--0.659531999999986</f>
        <v>625.42153199999996</v>
      </c>
      <c r="V308" s="3">
        <f>587.2+(572.8-205.1)+(-0.299472+(-0.292128--0.104601))+0-324.2--0.165341999999967</f>
        <v>630.37834300000009</v>
      </c>
      <c r="W308" s="3">
        <f>589.5+(704.8-239.1)+(0+(0-0))+0-322.7-0</f>
        <v>732.49999999999977</v>
      </c>
      <c r="X308" s="3">
        <f>586.8+(751.7-234.5)+(0.299268+(0.383367-0.119595))+0-323-0.164729999999967</f>
        <v>781.39831000000004</v>
      </c>
      <c r="Y308" s="3">
        <f>589.5+(658.9-234.7)+(-0.60129+(-0.672078--0.239394))+0-321.5--0.327930000000051</f>
        <v>691.49395600000014</v>
      </c>
      <c r="Z308" s="3">
        <f>589.7+(643.7-213.4)+(-0.601494+(-0.656574--0.217668))+0-322--0.328440000000051</f>
        <v>697.28804000000014</v>
      </c>
      <c r="AA308" s="3">
        <f>590.5+(540.9-209.6)+(-0.903465+(-0.827577--0.320688))+0-322.9--0.494037000000019</f>
        <v>597.98368300000004</v>
      </c>
      <c r="AB308" s="3">
        <f>589.5+(497.3-194.7)+(-0.901935+(-0.760869--0.297891))+0-320.9--0.490977000000019</f>
        <v>570.32606400000009</v>
      </c>
      <c r="AC308" s="3">
        <f>584+(475.1-186.5)+(-1.4892+(-1.211505--0.475575))+0-322--0.821099999999953</f>
        <v>549.19596999999999</v>
      </c>
      <c r="AD308">
        <v>733.60000000000014</v>
      </c>
      <c r="AE308" s="3">
        <f>589+(705.9-241.8)+(0+(0-0))+0-319.5-0</f>
        <v>733.59999999999991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582.5+(409.7-185)+(-1.485375+(-1.044735--0.47175))+0-322.1--0.821354999999953</f>
        <v>483.86299499999996</v>
      </c>
      <c r="G309" s="3">
        <f>581.2+(373.1-173.8)+(-1.185648+(-0.761124--0.354552))+0-321.5--0.655859999999986</f>
        <v>458.06363999999996</v>
      </c>
      <c r="H309" s="3">
        <f>580.4+(366.6-170.1)+(0.296004+(0.186966-0.086751))+0-322.2-0.164321999999967</f>
        <v>454.93189699999999</v>
      </c>
      <c r="I309" s="3">
        <f>583+(367.6-158.9)+(0.59466+(0.374952-0.162078))+0-322.6-0.329052000000051</f>
        <v>469.57848200000001</v>
      </c>
      <c r="J309" s="3">
        <f>584.3+(372-149.8)+(0.297993+(0.18972-0.076398))+0-321.5-0.163964999999967</f>
        <v>485.24734999999998</v>
      </c>
      <c r="K309" s="3">
        <f>584.4+(399.8-188.4)+(0.298044+(0.203898-0.096084))+0-322.5-0.164474999999967</f>
        <v>473.54138299999994</v>
      </c>
      <c r="L309" s="3">
        <f>585.5+(465.5-198.9)+(0.298605+(0.237405-0.101439))+0-320.7-0.163556999999967</f>
        <v>531.67101400000013</v>
      </c>
      <c r="M309" s="3">
        <f>585.7+(501.3-220.1)+(0.298707+(0.255663-0.112251))+0-319.6-0.162995999999968</f>
        <v>547.5791230000001</v>
      </c>
      <c r="N309" s="3">
        <f>585.1+(571.2-223.8)+(-0.298401+(-0.291312--0.114138))+0-322.1--0.164270999999967</f>
        <v>610.08869599999991</v>
      </c>
      <c r="O309" s="3">
        <f>581.5+(573.7-233.1)+(0.889695+(0.877761-0.356643))+0-322.3-0.493119000000019</f>
        <v>600.71769399999994</v>
      </c>
      <c r="P309" s="3">
        <f>660.8+(525.2-234.9)+(0.674016+(0.535704-0.239598))+0-318.6-0.324972000000051</f>
        <v>633.14514999999994</v>
      </c>
      <c r="Q309" s="3">
        <f>727.5+(500.9-255)+(0.74205+(0.510918-0.2601))+0-318.5-0.324870000000051</f>
        <v>655.56799799999999</v>
      </c>
      <c r="R309" s="3">
        <f>727.3+(424.6-269.9)+(-1.112769+(-0.649638--0.412947))+0-318.7--0.487611000000018</f>
        <v>562.43815100000006</v>
      </c>
      <c r="S309" s="3">
        <f>726.1+(409.3-254.5)+(-1.481244+(-0.834972--0.51918))+0-322.1--0.657083999999986</f>
        <v>557.66004799999996</v>
      </c>
      <c r="T309" s="3">
        <f>728.3+(387.7-244)+(-0.371433+(-0.197727--0.12444))+0-321.3--0.163862999999967</f>
        <v>550.41914300000008</v>
      </c>
      <c r="U309" s="3">
        <f>730.5+(384.9-251.6)+(-1.117665+(-0.588897--0.384948))+0-320--0.489600000000018</f>
        <v>542.967986</v>
      </c>
      <c r="V309" s="3">
        <f>727.9+(437.9-259.2)+(-0.742458+(-0.446658--0.264384))+0-322--0.328440000000051</f>
        <v>584.00370799999996</v>
      </c>
      <c r="W309" s="3">
        <f>731+(555.3-271.4)+(0+(0-0))+0-323.1-0</f>
        <v>691.8</v>
      </c>
      <c r="X309" s="3">
        <f>734.2+(528.3-267.4)+(-1.497768+(-1.077732--0.545496))+0-322.2--0.657287999999986</f>
        <v>671.52728400000012</v>
      </c>
      <c r="Y309" s="3">
        <f>736.3+(498.2-250.2)+(-1.877565+(-1.27041--0.63801))+0-320.2--0.816509999999954</f>
        <v>662.40654499999994</v>
      </c>
      <c r="Z309" s="3">
        <f>738.9+(446.6-223.3)+(-0.753678+(-0.455532--0.227766))+0-319.7--0.326094000000051</f>
        <v>641.84465</v>
      </c>
      <c r="AA309" s="3">
        <f>739+(388.5-211.8)+(-0.37689+(-0.198135--0.108018))+0-319.8--0.163097999999968</f>
        <v>595.59609100000011</v>
      </c>
      <c r="AB309" s="3">
        <f>740.5+(400.4-193.2)+(-1.888275+(-1.02102--0.49266))+0-320.7--0.817784999999953</f>
        <v>625.40114999999992</v>
      </c>
      <c r="AC309" s="3">
        <f>740.1+(326.2-230)+(-0.754902+(-0.332724--0.2346))+0-321--0.327420000000051</f>
        <v>514.77439400000003</v>
      </c>
      <c r="AD309">
        <v>739.9</v>
      </c>
      <c r="AE309" s="3">
        <f>736+(595.2-268.2)+(0+(0-0))+0-323.1-0</f>
        <v>739.9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740.4+(295.6-227)+(-1.88802+(-0.75378--0.57885))+0-320.4--0.817019999999953</f>
        <v>487.35406999999998</v>
      </c>
      <c r="G310" s="3">
        <f>742.1+(247.1-210.8)+(-0.756942+(-0.252042--0.215016))+0-322.3--0.328746000000051</f>
        <v>455.63477800000004</v>
      </c>
      <c r="H310" s="3">
        <f>741.6+(226.2-203.9)+(-1.89108+(-0.57681--0.519945))+0-321.4--0.819569999999953</f>
        <v>441.37162499999994</v>
      </c>
      <c r="I310" s="3">
        <f>743.1+(207.6-197.6)+(0+(0-0))+0-320.6-0</f>
        <v>432.5</v>
      </c>
      <c r="J310" s="3">
        <f>745.8+(223.3-196.1)+(0.380358+(0.113883-0.100011))+0-320.4-0.163403999999967</f>
        <v>452.83082600000006</v>
      </c>
      <c r="K310" s="3">
        <f>747.6+(292.8-190.2)+(-0.381276+(-0.149328--0.097002))+0-321--0.163709999999967</f>
        <v>528.93010800000002</v>
      </c>
      <c r="L310" s="3">
        <f>743.6+(315.2-226)+(-1.137708+(-0.482256--0.34578))+0-322--0.492660000000019</f>
        <v>510.01847599999996</v>
      </c>
      <c r="M310" s="3">
        <f>742.7+(347.6-246.9)+(-0.757554+(-0.354552--0.251838))+0-319.1--0.325482000000051</f>
        <v>523.76521400000013</v>
      </c>
      <c r="N310" s="3">
        <f>738.2+(394.1-265)+(-0.376482+(-0.200991--0.13515))+0-319.9--0.163148999999968</f>
        <v>547.12082600000008</v>
      </c>
      <c r="O310" s="3">
        <f>736.9+(447.6-249.6)+(-0.375819+(-0.228276--0.127296))+0-321.7--0.164066999999967</f>
        <v>612.88726799999995</v>
      </c>
      <c r="P310" s="3">
        <f>732.1+(446-248.7)+(0+(0-0))+0-319.4-0</f>
        <v>610.00000000000011</v>
      </c>
      <c r="Q310" s="3">
        <f>726.6+(425.6-248)+(-0.370566+(-0.217056--0.12648))+0-319.4--0.162893999999968</f>
        <v>584.50175200000001</v>
      </c>
      <c r="R310" s="3">
        <f>721.8+(471.3-247.5)+(-0.736236+(-0.480726--0.25245))+0-320.6--0.327012000000051</f>
        <v>624.36249999999995</v>
      </c>
      <c r="S310" s="3">
        <f>720+(456.2-253.6)+(-1.4688+(-0.930648--0.517344))+0-321.2--0.655247999999986</f>
        <v>600.17314400000009</v>
      </c>
      <c r="T310" s="3">
        <f>718.2+(457.9-248)+(-0.732564+(-0.467058--0.25296))+0-324.1--0.330582000000052</f>
        <v>603.3839200000001</v>
      </c>
      <c r="U310" s="3">
        <f>718.4+(470.5-246.7)+(0.366384+(0.239955-0.125817))+0-321.3-0.163862999999967</f>
        <v>621.21665899999994</v>
      </c>
      <c r="V310" s="3">
        <f>722.6+(437.5-299.1)+(0+(0-0))+0-318.7-0</f>
        <v>542.29999999999995</v>
      </c>
      <c r="W310" s="3">
        <f>726.1+(577.8-333)+(1.851555+(1.47339-0.84915))+0-321-0.818549999999953</f>
        <v>651.55724499999997</v>
      </c>
      <c r="X310" s="3">
        <f>730.4+(583.7-308.6)+(-1.117512+(-0.893061--0.472158))+0-321--0.491130000000019</f>
        <v>683.45271500000001</v>
      </c>
      <c r="Y310" s="3">
        <f>732.1+(571.9-281)+(-1.493484+(-1.166676--0.57324))+0-319.7--0.652187999999986</f>
        <v>701.86526800000001</v>
      </c>
      <c r="Z310" s="3">
        <f>732.8+(472.5-274.8)+(-0.373728+(-0.240975--0.140148))+0-321.5--0.163964999999967</f>
        <v>608.68940999999995</v>
      </c>
      <c r="AA310" s="3">
        <f>736.1+(476-253.1)+(0.375411+(0.24276-0.129081))+0-321.3-0.163862999999967</f>
        <v>638.02522700000009</v>
      </c>
      <c r="AB310" s="3">
        <f>736.6+(446.6-236.8)+(-0.751332+(-0.455532--0.241536))+0-323--0.329460000000051</f>
        <v>622.76413200000013</v>
      </c>
      <c r="AC310" s="3">
        <f>736.3+(394.4-216.5)+(-1.502052+(-0.804576--0.44166))+0-322.5--0.657899999999986</f>
        <v>590.492932</v>
      </c>
      <c r="AD310">
        <v>693</v>
      </c>
      <c r="AE310" s="3">
        <f>730+(597.7-308.7)+(0+(0-0))+0-326-0</f>
        <v>693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735.7+(316-203)+(0+(0-0))+0-323.4-0</f>
        <v>525.30000000000007</v>
      </c>
      <c r="G311" s="3">
        <f>738+(300.1-190.9)+(-0.75276+(-0.306102--0.194718))+0-324.4--0.330888000000052</f>
        <v>522.26674400000013</v>
      </c>
      <c r="H311" s="3">
        <f>744.2+(242.1-213.2)+(-0.379542+(-0.123471--0.108732))+0-326.2--0.166361999999967</f>
        <v>446.67208100000005</v>
      </c>
      <c r="I311" s="3">
        <f>746.7+(256-231.8)+(0.380817+(0.13056-0.118218))+0-324.5-0.165494999999967</f>
        <v>446.6276640000001</v>
      </c>
      <c r="J311" s="3">
        <f>744.2+(290-233.2)+(0.379542+(0.1479-0.118932))+0-325.7-0.166106999999967</f>
        <v>475.54240300000004</v>
      </c>
      <c r="K311" s="3">
        <f>743+(336.7-265.8)+(0.75786+(0.343434-0.271116))+0-322.4-0.328848000000051</f>
        <v>492.00133</v>
      </c>
      <c r="L311" s="3">
        <f>744.6+(399.5-269.8)+(0.379746+(0.203745-0.137598))+0-322.4-0.164423999999967</f>
        <v>552.18146899999999</v>
      </c>
      <c r="M311" s="3">
        <f>741.8+(384.9-269)+(0+(0-0))+0-319-0</f>
        <v>538.69999999999993</v>
      </c>
      <c r="N311" s="3">
        <f>734.7+(392.4-266.7)+(0.749394+(0.400248-0.272034))+0-322.3-0.328746000000051</f>
        <v>538.64886200000012</v>
      </c>
      <c r="O311" s="3">
        <f>730+(392.1-264.1)+(0.7446+(0.399942-0.269382))+0-323.2-0.329664000000052</f>
        <v>535.34549599999991</v>
      </c>
      <c r="P311" s="3">
        <f>727+(387.3-257.5)+(0+(0-0))+0-323.2-0</f>
        <v>533.59999999999991</v>
      </c>
      <c r="Q311" s="3">
        <f>725.5+(398.6-260.5)+(0.370005+(0.203286-0.132855))+0-322.5-0.164474999999967</f>
        <v>541.37596100000007</v>
      </c>
      <c r="R311" s="3">
        <f>723+(393.4-264)+(-1.10619+(-0.601902--0.40392))+0-323.1--0.494343000000019</f>
        <v>528.49017100000003</v>
      </c>
      <c r="S311" s="3">
        <f>721.1+(392.2-257.1)+(0+(0-0))+0-321.6-0</f>
        <v>534.6</v>
      </c>
      <c r="T311" s="3">
        <f>719.4+(391.2-245.3)+(0.733788+(0.399024-0.250206))+0-321.4-0.327828000000051</f>
        <v>544.45477799999992</v>
      </c>
      <c r="U311" s="3">
        <f>718.8+(427.7-230.7)+(-0.366588+(-0.218127--0.117657))+0-321.1--0.163760999999967</f>
        <v>594.396703</v>
      </c>
      <c r="V311" s="3">
        <f>720.7+(420-246.5)+(0+(0-0))+0-321.6-0</f>
        <v>572.6</v>
      </c>
      <c r="W311" s="3">
        <f>722.1+(506.2-283.7)+(0.368271+(0.258162-0.144687))+0-321.7-0.164066999999967</f>
        <v>623.21767900000009</v>
      </c>
      <c r="X311" s="3">
        <f>724.2+(531.6-259.6)+(-0.738684+(-0.542232--0.264792))+0-322.9--0.329358000000051</f>
        <v>672.61323400000015</v>
      </c>
      <c r="Y311" s="3">
        <f>726.9+(494.2-226.9)+(-0.741438+(-0.504084--0.231438))+0-321.7--0.328134000000051</f>
        <v>671.81404999999995</v>
      </c>
      <c r="Z311" s="3">
        <f>727.4+(424.8-213.3)+(-0.741948+(-0.433296--0.217566))+0-322--0.328440000000051</f>
        <v>616.27076199999999</v>
      </c>
      <c r="AA311" s="3">
        <f>728.9+(389.7-214.4)+(-0.743478+(-0.397494--0.218688))+0-323.2--0.329664000000052</f>
        <v>580.4073800000001</v>
      </c>
      <c r="AB311" s="3">
        <f>732.4+(353.6-198.6)+(-0.373524+(-0.180336--0.101286))+0-322.9--0.164678999999967</f>
        <v>564.21210499999995</v>
      </c>
      <c r="AC311" s="3">
        <f>733.7+(333.6-193.9)+(-1.496748+(-0.680544--0.395556))+0-322--0.656879999999986</f>
        <v>550.27514400000007</v>
      </c>
      <c r="AD311">
        <v>715.8</v>
      </c>
      <c r="AE311" s="3">
        <f>724+(566.5-251)+(0+(0-0))+0-323.7-0</f>
        <v>715.8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734.7+(283.7-195.6)+(0+(0-0))+0-320.8-0</f>
        <v>502.00000000000006</v>
      </c>
      <c r="G312" s="3">
        <f>735.2+(266.8-187.1)+(-0.374952+(-0.136068--0.095421))+0-320.8--0.163607999999967</f>
        <v>493.84800899999999</v>
      </c>
      <c r="H312" s="3">
        <f>737.2+(249.8-189.5)+(0+(0-0))+0-322.8-0</f>
        <v>474.7</v>
      </c>
      <c r="I312" s="3">
        <f>740.4+(253.3-183.5)+(1.132812+(0.387549-0.280755))+0-321-0.491130000000019</f>
        <v>489.94847600000003</v>
      </c>
      <c r="J312" s="3">
        <f>740.2+(253.1-189)+(0+(0-0))+0-320.9-0</f>
        <v>483.40000000000009</v>
      </c>
      <c r="K312" s="3">
        <f>739.6+(286.4-206.6)+(2.263176+(0.876384-0.632196))+0-319.2-0.976752000000037</f>
        <v>501.73061200000001</v>
      </c>
      <c r="L312" s="3">
        <f>738.4+(366.4-241)+(0.376584+(0.186864-0.12291))+0-316.7-0.161516999999968</f>
        <v>547.37902099999997</v>
      </c>
      <c r="M312" s="3">
        <f>738+(423.9-268.3)+(0.75276+(0.432378-0.273666))+0-316.4-0.32272800000005</f>
        <v>577.78874399999984</v>
      </c>
      <c r="N312" s="3">
        <f>702.4+(436.5-273.1)+(1.432896+(0.89046-0.557124))+0-316.8-0.646271999999986</f>
        <v>550.11995999999999</v>
      </c>
      <c r="O312" s="3">
        <f>679.9+(493.6-271.6)+(1.386996+(1.006944-0.554064))+0-319.2-0.651167999999986</f>
        <v>583.88870800000007</v>
      </c>
      <c r="P312" s="3">
        <f>710.4+(508.4-286.4)+(0.362304+(0.259284-0.146064))+0-321.1-0.163760999999967</f>
        <v>611.61176299999988</v>
      </c>
      <c r="Q312" s="3">
        <f>708.8+(494-291.5)+(0+(0-0))+0-320.4-0</f>
        <v>590.9</v>
      </c>
      <c r="R312" s="3">
        <f>706.1+(523.7-285.4)+(-1.800555+(-1.335435--0.72777))+0-319.5--0.814724999999954</f>
        <v>623.30650500000002</v>
      </c>
      <c r="S312" s="3">
        <f>702.6+(515.9-276.1)+(-0.716652+(-0.526218--0.281622))+0-320.3--0.326706000000051</f>
        <v>621.46545800000013</v>
      </c>
      <c r="T312" s="3">
        <f>702+(508.6-262.5)+(0.71604+(0.518772-0.26775))+0-320-0.326400000000051</f>
        <v>628.74066200000004</v>
      </c>
      <c r="U312" s="3">
        <f>703.2+(494.2-265.6)+(0+(0-0))+0-319.1-0</f>
        <v>612.69999999999993</v>
      </c>
      <c r="V312" s="3">
        <f>705.9+(477.4-282.8)+(0.720018+(0.486948-0.288456))+0-320.1-0.326502000000051</f>
        <v>580.99200799999994</v>
      </c>
      <c r="W312" s="3">
        <f>708.7+(557.9-320.3)+(1.084311+(0.853587-0.490059))+0-321.3-0.491589000000019</f>
        <v>625.95624999999995</v>
      </c>
      <c r="X312" s="3">
        <f>709.9+(602.8-318.5)+(-0.362049+(-0.307428--0.162435))+0-321.8--0.164117999999967</f>
        <v>672.05707599999982</v>
      </c>
      <c r="Y312" s="3">
        <f>711.8+(539.5-304.2)+(-0.726036+(-0.55029--0.310284))+0-323--0.329460000000051</f>
        <v>623.46341799999993</v>
      </c>
      <c r="Z312" s="3">
        <f>713.4+(529-278.2)+(-0.727668+(-0.53958--0.283764))+0-322.5--0.328950000000051</f>
        <v>641.04546600000015</v>
      </c>
      <c r="AA312" s="3">
        <f>716.4+(526.3-265.1)+(-0.365364+(-0.268413--0.135201))+0-321.6--0.164015999999967</f>
        <v>655.66543999999988</v>
      </c>
      <c r="AB312" s="3">
        <f>718.1+(470.2-251.7)+(-2.929848+(-1.918416--1.026936))+0-321.6--1.31212799999997</f>
        <v>612.49079999999992</v>
      </c>
      <c r="AC312" s="3">
        <f>718.4+(430.8-223.6)+(-1.099152+(-0.659124--0.342108))+0-321.6--0.492048000000019</f>
        <v>603.0758800000001</v>
      </c>
      <c r="AD312">
        <v>735.1</v>
      </c>
      <c r="AE312" s="3">
        <f>716+(656.7-315.7)+(0+(0-0))+0-321.9-0</f>
        <v>735.1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722.7+(367.9-207.4)+(0.368577+(0.187629-0.105774))+0-322.1-0.164270999999967</f>
        <v>561.38616100000002</v>
      </c>
      <c r="G313" s="3">
        <f>723.8+(338.1-195.2)+(-0.369138+(-0.172431--0.099552))+0-322.3--0.164372999999967</f>
        <v>544.12235599999997</v>
      </c>
      <c r="H313" s="3">
        <f>723.3+(338.9-193.3)+(0+(0-0))+0-323.4-0</f>
        <v>545.49999999999989</v>
      </c>
      <c r="I313" s="3">
        <f>723.3+(310.2-206.2)+(0.737766+(0.316404-0.210324))+0-321.2-0.327624000000051</f>
        <v>506.61622199999988</v>
      </c>
      <c r="J313" s="3">
        <f>727.1+(286.3-200.3)+(-1.483284+(-0.584052--0.408612))+0-319.1--0.650963999999986</f>
        <v>492.99223999999998</v>
      </c>
      <c r="K313" s="3">
        <f>725+(321-220)+(-1.10925+(-0.49113--0.3366))+0-319.5--0.488835000000018</f>
        <v>505.725055</v>
      </c>
      <c r="L313" s="3">
        <f>729.1+(382.2-246.1)+(-2.974728+(-1.559376--1.004088))+0-318.6--1.29988799999997</f>
        <v>544.36987199999999</v>
      </c>
      <c r="M313" s="3">
        <f>724.8+(428.1-261.8)+(-0.369648+(-0.218331--0.133518))+0-318.5--0.162434999999968</f>
        <v>572.30797399999983</v>
      </c>
      <c r="N313" s="3">
        <f>721.4+(419.2-264.7)+(0+(0-0))+0-320.1-0</f>
        <v>555.79999999999995</v>
      </c>
      <c r="O313" s="3">
        <f>717.3+(518-272.7)+(-0.731646+(-0.52836--0.278154))+0-320.2--0.326604000000051</f>
        <v>641.74475200000006</v>
      </c>
      <c r="P313" s="3">
        <f>714+(574.2-291.1)+(0+(0-0))+0-321.5-0</f>
        <v>675.6</v>
      </c>
      <c r="Q313" s="3">
        <f>710.9+(597.9-300.4)+(-0.725118+(-0.609858--0.306408))+0-321.8--0.328236000000051</f>
        <v>685.89966800000002</v>
      </c>
      <c r="R313" s="3">
        <f>707.4+(573.6-299.6)+(-1.443096+(-1.170144--0.611184))+0-322.3--0.657491999999986</f>
        <v>657.7554359999998</v>
      </c>
      <c r="S313" s="3">
        <f>704.1+(553.2-280.3)+(-0.718182+(-0.564264--0.285906))+0-321.4--0.327828000000051</f>
        <v>654.93128800000011</v>
      </c>
      <c r="T313" s="3">
        <f>700.3+(495.8-265.5)+(-1.428612+(-1.011432--0.54162))+0-322.8--0.658511999999986</f>
        <v>606.56008799999995</v>
      </c>
      <c r="U313" s="3">
        <f>700.8+(466.5-248.3)+(-0.357408+(-0.237915--0.126633))+0-321.3--0.163862999999967</f>
        <v>597.39517299999989</v>
      </c>
      <c r="V313" s="3">
        <f>702.8+(497.4-252.4)+(-1.075284+(-0.761022--0.386172))+0-320.8--0.490824000000019</f>
        <v>626.04068999999981</v>
      </c>
      <c r="W313" s="3">
        <f>707.2+(538.8-309.2)+(0.360672+(0.274788-0.157692))+0-321.6-0.164015999999967</f>
        <v>615.51375199999995</v>
      </c>
      <c r="X313" s="3">
        <f>708.7+(574.8-323.4)+(-0.722874+(-0.586296--0.329868))+0-321.8--0.328236000000051</f>
        <v>637.64893400000005</v>
      </c>
      <c r="Y313" s="3">
        <f>710+(552.4-308.4)+(0+(0-0))+0-322-0</f>
        <v>632</v>
      </c>
      <c r="Z313" s="3">
        <f>713.5+(594.9-275.9)+(-0.72777+(-0.606798--0.281418))+0-322.1--0.328542000000051</f>
        <v>709.6753920000001</v>
      </c>
      <c r="AA313" s="3">
        <f>717.7+(522.2-263.4)+(-0.732054+(-0.532644--0.268668))+0-321.1--0.327522000000051</f>
        <v>654.73149200000012</v>
      </c>
      <c r="AB313" s="3">
        <f>718.3+(461.7-243.6)+(-0.366333+(-0.235467--0.124236))+0-322.4--0.164423999999967</f>
        <v>613.68685999999991</v>
      </c>
      <c r="AC313" s="3">
        <f>687.4+(459.3-208.4)+(-1.402296+(-0.936972--0.425136))+0-323.1--0.659123999999986</f>
        <v>613.94499199999996</v>
      </c>
      <c r="AD313">
        <v>640.30000000000007</v>
      </c>
      <c r="AE313" s="3">
        <f>711+(574.2-324.8)+(0+(0-0))+0-320.1-0</f>
        <v>640.30000000000007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662.5+(374-197.7)+(-1.689375+(-0.9537--0.504135))+0-322.5--0.822374999999953</f>
        <v>514.98343499999987</v>
      </c>
      <c r="G314" s="3">
        <f>663.9+(341.4-181)+(-0.677178+(-0.348228--0.18462))+0-325.7--0.332214000000052</f>
        <v>498.09142800000006</v>
      </c>
      <c r="H314" s="3">
        <f>663.8+(370.8-165)+(-1.354152+(-0.756432--0.3366))+0-323.3--0.659531999999986</f>
        <v>545.18554799999981</v>
      </c>
      <c r="I314" s="3">
        <f>665.3+(351.3-167.3)+(-1.017909+(-0.537489--0.255969))+0-320.7--0.490671000000019</f>
        <v>527.79124200000001</v>
      </c>
      <c r="J314" s="3">
        <f>664.5+(348.6-179.5)+(0.67779+(0.355572-0.18309))+0-319.1-0.325482000000051</f>
        <v>515.02478999999994</v>
      </c>
      <c r="K314" s="3">
        <f>662.7+(349.9-216)+(-0.675954+(-0.356898--0.22032))+0-317.4--0.323748000000051</f>
        <v>478.71121600000004</v>
      </c>
      <c r="L314" s="3">
        <f>661.8+(526.3-257)+(0.337518+(0.268413-0.13107))+0-317.5-0.161924999999968</f>
        <v>613.91293599999995</v>
      </c>
      <c r="M314" s="3">
        <f>661.6+(551-275.2)+(0.337416+(0.28101-0.140352))+0-315.3-0.160802999999968</f>
        <v>622.41727100000003</v>
      </c>
      <c r="N314" s="3">
        <f>699.3+(499.6-274)+(0.713286+(0.509592-0.27948))+0-315.8-0.32211600000005</f>
        <v>609.72128199999997</v>
      </c>
      <c r="O314" s="3">
        <f>709.8+(506.8-289.7)+(-0.361998+(-0.258468--0.147747))+0-317.1--0.161720999999968</f>
        <v>609.48900199999991</v>
      </c>
      <c r="P314" s="3">
        <f>703.9+(497-264.4)+(-0.717978+(-0.50694--0.269688))+0-318--0.324360000000051</f>
        <v>617.86913000000004</v>
      </c>
      <c r="Q314" s="3">
        <f>700.8+(486.3-252.2)+(-0.714816+(-0.496026--0.257244))+0-318.2--0.324564000000051</f>
        <v>616.070966</v>
      </c>
      <c r="R314" s="3">
        <f>697.4+(488.6-251.2)+(-2.134044+(-1.495116--0.768672))+0-317.9--0.972774000000037</f>
        <v>615.01228600000002</v>
      </c>
      <c r="S314" s="3">
        <f>695.7+(456.9-246.9)+(-1.064421+(-0.699057--0.377757))+0-318.9--0.487917000000018</f>
        <v>585.90219600000012</v>
      </c>
      <c r="T314" s="3">
        <f>694.5+(466.2-230.7)+(-0.354195+(-0.237762--0.117657))+0-322.7--0.164576999999967</f>
        <v>606.99027700000011</v>
      </c>
      <c r="U314" s="3">
        <f>694.8+(484.6-225.3)+(-1.063044+(-0.741438--0.344709))+0-321.6--0.492048000000019</f>
        <v>631.53227499999991</v>
      </c>
      <c r="V314" s="3">
        <f>698.9+(431.1-232.6)+(0.356439+(0.219861-0.118626))+0-322.6-0.164525999999967</f>
        <v>575.09314799999993</v>
      </c>
      <c r="W314" s="3">
        <f>701.4+(522.8-287.3)+(-0.357714+(-0.266628--0.146523))+0-322.9--0.164678999999967</f>
        <v>613.68685999999991</v>
      </c>
      <c r="X314" s="3">
        <f>703.7+(563.5-285.8)+(0.717774+(0.57477-0.291516))+0-322.5-0.328950000000051</f>
        <v>659.57207800000003</v>
      </c>
      <c r="Y314" s="3">
        <f>704.8+(547.8-267.7)+(-1.79724+(-1.39689--0.682635))+0-322.4--0.822119999999953</f>
        <v>660.81062499999985</v>
      </c>
      <c r="Z314" s="3">
        <f>708.4+(550-243.5)+(-1.083852+(-0.8415--0.372555))+0-323--0.494190000000019</f>
        <v>690.84139299999993</v>
      </c>
      <c r="AA314" s="3">
        <f>710.1+(487.3-242.7)+(-2.535057+(-1.739661--0.866439))+0-322.2--1.150254</f>
        <v>630.24197500000002</v>
      </c>
      <c r="AB314" s="3">
        <f>716.8+(454.2-219)+(-1.462272+(-0.926568--0.44676))+0-322.9--0.658715999999986</f>
        <v>627.81663600000002</v>
      </c>
      <c r="AC314" s="3">
        <f>719.3+(423.9-198.1)+(-1.834215+(-1.080945--0.505155))+0-321.9--0.820844999999953</f>
        <v>621.61083999999994</v>
      </c>
      <c r="AD314">
        <v>590.59999999999991</v>
      </c>
      <c r="AE314" s="3">
        <f>696+(514.6-296.3)+(0+(0-0))+0-323.7-0</f>
        <v>590.59999999999991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717.2+(412-185.7)+(0+(0-0))+0-324.4-0</f>
        <v>619.1</v>
      </c>
      <c r="G315" s="3">
        <f>720.8+(446.4-191.8)+(-1.83804+(-1.13832--0.48909))+0-327--0.833849999999953</f>
        <v>646.74657999999988</v>
      </c>
      <c r="H315" s="3">
        <f>718.7+(445.5-184.7)+(-1.099611+(-0.681615--0.282591))+0-327.2--0.500616000000019</f>
        <v>651.30198100000007</v>
      </c>
      <c r="I315" s="3">
        <f>719.8+(425.8-182.7)+(-1.468392+(-0.868632--0.372708))+0-325.5--0.664019999999986</f>
        <v>636.09970399999986</v>
      </c>
      <c r="J315" s="3">
        <f>724.5+(448.3-168.5)+(1.108485+(0.685899-0.257805))+0-323.2-0.494496000000019</f>
        <v>682.14208299999996</v>
      </c>
      <c r="K315" s="3">
        <f>721.7+(455.1-203)+(-0.368067+(-0.232101--0.10353))+0-323.2--0.164831999999967</f>
        <v>650.26819399999999</v>
      </c>
      <c r="L315" s="3">
        <f>715.4+(498.5-231.7)+(0+(0-0))+0-319.4-0</f>
        <v>662.80000000000007</v>
      </c>
      <c r="M315" s="3">
        <f>713.9+(511.8-248)+(0.364089+(0.261018-0.12648))+0-318.9-0.162638999999968</f>
        <v>659.13598800000011</v>
      </c>
      <c r="N315" s="3">
        <f>703+(490.3-247.8)+(-1.07559+(-0.750159--0.379134))+0-322--0.492660000000019</f>
        <v>622.54604500000005</v>
      </c>
      <c r="O315" s="3">
        <f>704.2+(506.5-233.3)+(-0.359142+(-0.258315--0.118983))+0-322.5--0.164474999999967</f>
        <v>654.56600100000003</v>
      </c>
      <c r="P315" s="3">
        <f>699.6+(472.4-233.1)+(-1.427184+(-0.963696--0.475524))+0-323.2--0.659327999999986</f>
        <v>614.44397200000003</v>
      </c>
      <c r="Q315" s="3">
        <f>698.7+(468.6-234.1)+(-1.069011+(-0.716958--0.358173))+0-320.6--0.490518000000019</f>
        <v>611.66272200000014</v>
      </c>
      <c r="R315" s="3">
        <f>696+(476.7-244.4)+(-2.48472+(-1.701819--0.872508))+0-323.7--1.155609</f>
        <v>602.44157800000005</v>
      </c>
      <c r="S315" s="3">
        <f>694.3+(492-227.5)+(-1.062279+(-0.75276--0.348075))+0-320.4--0.490212000000018</f>
        <v>637.42324800000006</v>
      </c>
      <c r="T315" s="3">
        <f>694.5+(497.4-212.3)+(-0.354195+(-0.253674--0.108273))+0-324--0.165239999999967</f>
        <v>655.26564399999984</v>
      </c>
      <c r="U315" s="3">
        <f>694.9+(503.2-219.6)+(0.354399+(0.256632-0.111996))+0-325.4-0.165953999999967</f>
        <v>653.43308100000013</v>
      </c>
      <c r="V315" s="3">
        <f>699+(479-243)+(-0.71298+(-0.48858--0.24786))+0-325.2--0.331704000000052</f>
        <v>609.17800399999999</v>
      </c>
      <c r="W315" s="3">
        <f>701.7+(572.4-273.5)+(0+(0-0))+0-328.8-0</f>
        <v>671.8</v>
      </c>
      <c r="X315" s="3">
        <f>700.7+(652.6-265.2)+(-0.357357+(-0.332826--0.135252))+0-328--0.167279999999967</f>
        <v>759.71234900000024</v>
      </c>
      <c r="Y315" s="3">
        <f>705+(589.9-249.6)+(-1.07865+(-0.902547--0.381888))+0-324.5--0.496485000000019</f>
        <v>719.69717600000001</v>
      </c>
      <c r="Z315" s="3">
        <f>707+(552.3-224.9)+(-1.80285+(-1.408365--0.573495))+0-324.8--0.828239999999953</f>
        <v>707.79052000000013</v>
      </c>
      <c r="AA315" s="3">
        <f>710+(520.5-205.1)+(-1.4484+(-1.06182--0.418404))+0-325.4--0.663815999999986</f>
        <v>698.57200000000012</v>
      </c>
      <c r="AB315" s="3">
        <f>714+(444.3-189.9)+(-1.8207+(-1.132965--0.484245))+0-324.4--0.827219999999953</f>
        <v>642.35779999999988</v>
      </c>
      <c r="AC315" s="3">
        <f>714+(358.5-185)+(-1.45656+(-0.73134--0.3774))+0-326.6--0.666263999999986</f>
        <v>559.75576399999989</v>
      </c>
      <c r="AD315">
        <v>783.50000000000011</v>
      </c>
      <c r="AE315" s="3">
        <f>713+(664.7-262.8)+(0+(0-0))+0-331.4-0</f>
        <v>783.50000000000011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713+(260.5-173.3)+(-1.45452+(-0.53142--0.353532))+0-325.4--0.663815999999986</f>
        <v>473.83140800000001</v>
      </c>
      <c r="G316" s="3">
        <f>708+(215-158)+(-1.8054+(-0.54825--0.4029))+0-327.1--0.834104999999953</f>
        <v>436.78335499999997</v>
      </c>
      <c r="H316" s="3">
        <f>715+(264.9-166.8)+(-1.09395+(-0.405297--0.255204))+0-325--0.497250000000019</f>
        <v>487.35320699999988</v>
      </c>
      <c r="I316" s="3">
        <f>718+(286.1-174.4)+(-0.36618+(-0.145911--0.088944))+0-327.2--0.166871999999967</f>
        <v>502.24372500000004</v>
      </c>
      <c r="J316" s="3">
        <f>720+(297.8-180.1)+(-1.4688+(-0.607512--0.367404))+0-325--0.662999999999986</f>
        <v>511.65409200000011</v>
      </c>
      <c r="K316" s="3">
        <f>717+(305.7-179)+(0+(0-0))+0-325.9-0</f>
        <v>517.80000000000007</v>
      </c>
      <c r="L316" s="3">
        <f>717+(401.2-209)+(-0.73134+(-0.409224--0.21318))+0-321--0.327420000000051</f>
        <v>587.60003600000016</v>
      </c>
      <c r="M316" s="3">
        <f>718+(405.3-230.4)+(1.09854+(0.620109-0.352512))+0-319.6-0.488988000000019</f>
        <v>574.17714899999987</v>
      </c>
      <c r="N316" s="3">
        <f>718+(426.8-235.7)+(0+(0-0))+0-319.6-0</f>
        <v>589.5</v>
      </c>
      <c r="O316" s="3">
        <f>707+(504.9-218.7)+(0+(0-0))+0-324.3-0</f>
        <v>668.90000000000009</v>
      </c>
      <c r="P316" s="3">
        <f>705+(456.4-230.6)+(-1.07865+(-0.698292--0.352818))+0-326.7--0.499851000000019</f>
        <v>603.17572700000005</v>
      </c>
      <c r="Q316" s="3">
        <f>703+(477.2-232.8)+(-0.71706+(-0.486744--0.237456))+0-326.1--0.332622000000052</f>
        <v>620.66627399999993</v>
      </c>
      <c r="R316" s="3">
        <f>700+(503-230.1)+(-1.428+(-1.02612--0.469404))+0-326.8--0.666671999999986</f>
        <v>644.78195599999992</v>
      </c>
      <c r="S316" s="3">
        <f>700.1+(500.4-219)+(-1.785255+(-1.27602--0.55845))+0-327.9--0.836144999999952</f>
        <v>651.93331999999998</v>
      </c>
      <c r="T316" s="3">
        <f>701.8+(463.8-214.1)+(0.715836+(0.473076-0.218382))+0-327.4-0.333948000000052</f>
        <v>624.736582</v>
      </c>
      <c r="U316" s="3">
        <f>703+(459.8-218.9)+(0+(0-0))+0-328.3-0</f>
        <v>615.59999999999991</v>
      </c>
      <c r="V316" s="3">
        <f>705.1+(476.1-232.8)+(-0.719202+(-0.485622--0.237456))+0-328--0.334560000000052</f>
        <v>619.76719200000014</v>
      </c>
      <c r="W316" s="3">
        <f>707.3+(545.6-267.8)+(0.721446+(0.556512-0.273156))+0-326.6-0.333132000000052</f>
        <v>659.17166999999984</v>
      </c>
      <c r="X316" s="3">
        <f>709.9+(638.9-261.8)+(-1.448196+(-1.303356--0.534072))+0-326.1--0.665243999999986</f>
        <v>759.34776399999998</v>
      </c>
      <c r="Y316" s="3">
        <f>713.5+(590.4-249.9)+(-1.45554+(-1.204416--0.509796))+0-324.9--0.662795999999986</f>
        <v>727.61263600000007</v>
      </c>
      <c r="Z316" s="3">
        <f>712.7+(524.7-234.3)+(-0.726954+(-0.535194--0.238986))+0-327.4--0.333948000000052</f>
        <v>675.01078600000028</v>
      </c>
      <c r="AA316" s="3">
        <f>712.1+(503.7-220.3)+(-0.726342+(-0.513774--0.224706))+0-328--0.334560000000052</f>
        <v>666.81915000000004</v>
      </c>
      <c r="AB316" s="3">
        <f>717.6+(415.8-203)+(-1.097928+(-0.636174--0.31059))+0-326.3--0.499239000000019</f>
        <v>603.17572700000005</v>
      </c>
      <c r="AC316" s="3">
        <f>718.6+(358.1-182.7)+(-1.83243+(-0.913155--0.465885))+0-325.8--0.830789999999953</f>
        <v>566.75108999999998</v>
      </c>
      <c r="AD316">
        <v>734.19999999999993</v>
      </c>
      <c r="AE316" s="3">
        <f>710+(614.6-263.8)+(0+(0-0))+0-326.6-0</f>
        <v>734.19999999999993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678.2+(334.8-173.1)+(-1.383528+(-0.682992--0.353124))+0-326.2--0.665447999999986</f>
        <v>512.65205200000014</v>
      </c>
      <c r="G317" s="3">
        <f>675.4+(360.6-156.4)+(-1.033362+(-0.551718--0.239292))+0-327.6--0.501228000000019</f>
        <v>551.15544</v>
      </c>
      <c r="H317" s="3">
        <f>763.9+(241.5-167.8)+(-1.947945+(-0.615825--0.42789))+0-326.8--0.833339999999953</f>
        <v>509.49745999999982</v>
      </c>
      <c r="I317" s="3">
        <f>840.1+(170.2-180.8)+(-0.428451+(-0.086802--0.092208))+0-328.5--0.167534999999967</f>
        <v>500.74448999999998</v>
      </c>
      <c r="J317" s="3">
        <f>816.4+(225.6-174.3)+(0+(0-0))+0-325.7-0</f>
        <v>542</v>
      </c>
      <c r="K317" s="3">
        <f>770.2+(326.4-201.2)+(-0.392802+(-0.166464--0.102612))+0-325.6--0.166055999999967</f>
        <v>569.50940200000002</v>
      </c>
      <c r="L317" s="3">
        <f>775.9+(454.5-248.3)+(-0.791418+(-0.46359--0.253266))+0-326.1--0.332622000000052</f>
        <v>655.33087999999987</v>
      </c>
      <c r="M317" s="3">
        <f>773.2+(430-276.8)+(0.788664+(0.4386-0.282336))+0-324.5-0.330990000000052</f>
        <v>602.51393800000005</v>
      </c>
      <c r="N317" s="3">
        <f>709.3+(482.3-252)+(0.723486+(0.491946-0.25704))+0-322.3-0.328746000000051</f>
        <v>617.92964599999993</v>
      </c>
      <c r="O317" s="3">
        <f>606.4+(561.6-233.2)+(0.618528+(0.572832-0.237864))+0-322.3-0.328746000000051</f>
        <v>613.12474999999984</v>
      </c>
      <c r="P317" s="3">
        <f>606.1+(549.9-231.6)+(0+(0-0))+0-322.4-0</f>
        <v>602</v>
      </c>
      <c r="Q317" s="3">
        <f>605.6+(554.4-231.8)+(0.308856+(0.282744-0.118218))+0-314.8-0.160547999999968</f>
        <v>613.71283400000004</v>
      </c>
      <c r="R317" s="3">
        <f>605.3+(543.4-232.5)+(-0.926109+(-0.831402--0.355725))+0-319.7--0.489141000000018</f>
        <v>595.58735499999989</v>
      </c>
      <c r="S317" s="3">
        <f>607+(540.4-221.4)+(-0.61914+(-0.551208--0.225828))+0-321.3--0.327726000000051</f>
        <v>604.08320600000013</v>
      </c>
      <c r="T317" s="3">
        <f>606.3+(529.7-217.1)+(0.309213+(0.270147-0.110721))+0-320.5-0.163454999999967</f>
        <v>598.70518400000003</v>
      </c>
      <c r="U317" s="3">
        <f>606+(533.4-221)+(-1.5453+(-1.36017--0.56355))+0-318.5--0.812174999999954</f>
        <v>598.37025499999993</v>
      </c>
      <c r="V317" s="3">
        <f>606.3+(527.5-236)+(0+(0-0))+0-318.3-0</f>
        <v>579.5</v>
      </c>
      <c r="W317" s="3">
        <f>612.2+(641.3-250.3)+(-0.624444+(-0.654126--0.255306))+0-321.2--0.327624000000051</f>
        <v>681.30436000000009</v>
      </c>
      <c r="X317" s="3">
        <f>708.9+(549.7-283.4)+(-0.361539+(-0.280347--0.144534))+0-322.5--0.164474999999967</f>
        <v>652.36712299999999</v>
      </c>
      <c r="Y317" s="3">
        <f>710.3+(534.1-262.8)+(-1.086759+(-0.817173--0.402084))+0-323.4--0.494802000000019</f>
        <v>657.19295399999999</v>
      </c>
      <c r="Z317" s="3">
        <f>719.2+(513.1-234.7)+(-1.467168+(-1.046724--0.478788))+0-325.2--0.663407999999986</f>
        <v>671.02830400000005</v>
      </c>
      <c r="AA317" s="3">
        <f>714.1+(433.8-222.9)+(-1.456764+(-0.884952--0.454716))+0-325.2--0.663407999999986</f>
        <v>598.57640800000001</v>
      </c>
      <c r="AB317" s="3">
        <f>769.3+(337.7-200.9)+(-1.177029+(-0.516681--0.307377))+0-322.5--0.493425000000019</f>
        <v>582.70709199999988</v>
      </c>
      <c r="AC317" s="3">
        <f>837.8+(280-193.3)+(-1.281834+(-0.4284--0.295749))+0-323--0.494190000000019</f>
        <v>600.57970499999999</v>
      </c>
      <c r="AD317">
        <v>664.8</v>
      </c>
      <c r="AE317" s="3">
        <f>710+(567.6-290.9)+(0+(0-0))+0-321.9-0</f>
        <v>664.80000000000007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840.8+(217.4-180.8)+(0+(0-0))+0-324.5-0</f>
        <v>552.9</v>
      </c>
      <c r="G318" s="3">
        <f>832.8+(209.3-208.2)+(0+(0-0))+0-326.8-0</f>
        <v>507.09999999999997</v>
      </c>
      <c r="H318" s="3">
        <f>833.7+(225.9-197.6)+(0.425187+(0.115209-0.100776))+0-326.6-0.166565999999967</f>
        <v>535.67305399999998</v>
      </c>
      <c r="I318" s="3">
        <f>831.8+(214.3-197.8)+(0+(0-0))+0-326.2-0</f>
        <v>522.09999999999991</v>
      </c>
      <c r="J318" s="3">
        <f>832.2+(234.2-202.3)+(0+(0-0))+0-325.7-0</f>
        <v>538.40000000000009</v>
      </c>
      <c r="K318" s="3">
        <f>834+(275.8-233.8)+(0.85068+(0.281316-0.238476))+0-325.1-0.331602000000052</f>
        <v>551.46191799999986</v>
      </c>
      <c r="L318" s="3">
        <f>834.7+(401.9-280.6)+(-0.851394+(-0.409938--0.286212))+0-324--0.330480000000052</f>
        <v>631.35536000000013</v>
      </c>
      <c r="M318" s="3">
        <f>830.5+(378.2-273.4)+(0+(0-0))+0-323.6-0</f>
        <v>611.69999999999993</v>
      </c>
      <c r="N318" s="3">
        <f>825+(397.1-262)+(1.26225+(0.607563-0.40086))+0-323.1-0.494343000000019</f>
        <v>637.97460999999998</v>
      </c>
      <c r="O318" s="3">
        <f>824.5+(361-250)+(-0.420495+(-0.18411--0.1275))+0-322.2--0.164321999999967</f>
        <v>612.98721699999999</v>
      </c>
      <c r="P318" s="3">
        <f>822.9+(400.2-243.1)+(0.839358+(0.408204-0.247962))+0-326.2-0.332724000000052</f>
        <v>654.46687599999996</v>
      </c>
      <c r="Q318" s="3">
        <f>824+(386.4-252.8)+(-1.68096+(-0.788256--0.515712))+0-327.5--0.668099999999986</f>
        <v>628.81459599999994</v>
      </c>
      <c r="R318" s="3">
        <f>825.8+(421.1-249)+(-1.684632+(-0.859044--0.50796))+0-328.3--0.669731999999986</f>
        <v>668.234016</v>
      </c>
      <c r="S318" s="3">
        <f>827.6+(383.6-241.1)+(-0.844152+(-0.391272--0.245922))+0-327.2--0.333744000000052</f>
        <v>642.24424199999999</v>
      </c>
      <c r="T318" s="3">
        <f>865.6+(338.4-237.4)+(-0.882912+(-0.345168--0.242148))+0-327.2--0.333744000000052</f>
        <v>638.74781200000007</v>
      </c>
      <c r="U318" s="3">
        <f>909.8+(270.8-251.4)+(0+(0-0))+0-326.3-0</f>
        <v>602.89999999999986</v>
      </c>
      <c r="V318" s="3">
        <f>947.3+(245.5-263.5)+(-0.966246+(-0.25041--0.26877))+0-326.3--0.332826000000052</f>
        <v>602.38493999999992</v>
      </c>
      <c r="W318" s="3">
        <f>948.3+(335.1-275.2)+(0+(0-0))+0-328.3-0</f>
        <v>679.90000000000009</v>
      </c>
      <c r="X318" s="3">
        <f>948.7+(362.6-275.9)+(-1.451511+(-0.554778--0.422127))+0-327.2--0.500616000000019</f>
        <v>707.11645399999998</v>
      </c>
      <c r="Y318" s="3">
        <f>949.4+(355.6-252.8)+(-0.484194+(-0.181356--0.128928))+0-325.5--0.166004999999967</f>
        <v>726.32938299999989</v>
      </c>
      <c r="Z318" s="3">
        <f>950.3+(337.3-232.3)+(-0.969306+(-0.344046--0.236946))+0-326.5--0.333030000000052</f>
        <v>728.05662400000006</v>
      </c>
      <c r="AA318" s="3">
        <f>950.3+(252.5-227.2)+(-0.969306+(-0.25755--0.231744))+0-326.9--0.333438000000052</f>
        <v>648.03832599999998</v>
      </c>
      <c r="AB318" s="3">
        <f>950.1+(239.7-194.8)+(-0.969102+(-0.244494--0.198696))+0-327.1--0.333642000000052</f>
        <v>667.21874200000002</v>
      </c>
      <c r="AC318" s="3">
        <f>950.5+(177.5-191.4)+(-1.454265+(-0.271575--0.292842))+0-328.4--0.502452000000019</f>
        <v>607.26945400000011</v>
      </c>
      <c r="AD318">
        <v>707.89999999999986</v>
      </c>
      <c r="AE318" s="3">
        <f>948+(362.5-275.4)+(0+(0-0))+0-327.2-0</f>
        <v>707.89999999999986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951.3+(138-172.8)+(-1.940652+(-0.28152--0.352512))+0-326.6--0.666263999999986</f>
        <v>588.69660399999998</v>
      </c>
      <c r="G319" s="3">
        <f>951.7+(76.8-187.6)+(-2.426835+(-0.19584--0.47838))+0-326.6--0.832829999999953</f>
        <v>512.98853499999996</v>
      </c>
      <c r="H319" s="3">
        <f>950.8+(71.9-194.3)+(-0.484908+(-0.036669--0.099093))+0-327.5--0.167024999999967</f>
        <v>500.64454099999989</v>
      </c>
      <c r="I319" s="3">
        <f>951.7+(75.2-209.1)+(0+(0-0))+0-326-0</f>
        <v>491.80000000000007</v>
      </c>
      <c r="J319" s="3">
        <f>953.1+(89.1-228.5)+(0+(0-0))+0-324.7-0</f>
        <v>489.00000000000006</v>
      </c>
      <c r="K319" s="3">
        <f>954.6+(111.9-239)+(-0.486846+(-0.057069--0.12189))+0-325.4--0.165953999999967</f>
        <v>501.843929</v>
      </c>
      <c r="L319" s="3">
        <f>956+(166.4-259.2)+(-0.97512+(-0.169728--0.264384))+0-325.2--0.331704000000052</f>
        <v>537.45124000000021</v>
      </c>
      <c r="M319" s="3">
        <f>956.9+(175.8-268.2)+(-0.976038+(-0.179316--0.273564))+0-322.6--0.329052000000051</f>
        <v>541.347262</v>
      </c>
      <c r="N319" s="3">
        <f>954.3+(196-265.8)+(0+(0-0))+0-325.1-0</f>
        <v>559.4</v>
      </c>
      <c r="O319" s="3">
        <f>948.1+(234.9-277.1)+(0+(0-0))+0-325.5-0</f>
        <v>580.4</v>
      </c>
      <c r="P319" s="3">
        <f>945.3+(288.9-268.4)+(0.482103+(0.147339-0.136884))+0-326.1-0.166310999999967</f>
        <v>640.02624700000001</v>
      </c>
      <c r="Q319" s="3">
        <f>946.7+(281.3-271.8)+(-2.414085+(-0.717315--0.69309))+0-327.4--0.834869999999952</f>
        <v>627.19655999999998</v>
      </c>
      <c r="R319" s="3">
        <f>945.4+(319.7-242.8)+(-2.41077+(-0.815235--0.61914))+0-329.5--0.840224999999952</f>
        <v>691.0333599999999</v>
      </c>
      <c r="S319" s="3">
        <f>944.2+(246.2-238.3)+(-1.926168+(-0.502248--0.486132))+0-326.2--0.665447999999986</f>
        <v>624.62316400000009</v>
      </c>
      <c r="T319" s="3">
        <f>941.8+(265.2-221.2)+(-0.960636+(-0.270504--0.225624))+0-325.9--0.332418000000052</f>
        <v>659.22690200000011</v>
      </c>
      <c r="U319" s="3">
        <f>941.2+(206-227.3)+(-1.440036+(-0.31518--0.347769))+0-326.6--0.499698000000019</f>
        <v>592.39225099999999</v>
      </c>
      <c r="V319" s="3">
        <f>942.2+(221.2-234.6)+(0.480522+(0.112812-0.119646))+0-327.2-0.166871999999967</f>
        <v>601.90681600000016</v>
      </c>
      <c r="W319" s="3">
        <f>941+(286.9-253.1)+(0.47991+(0.146319-0.129081))+0-326.2-0.166361999999967</f>
        <v>648.93078600000013</v>
      </c>
      <c r="X319" s="3">
        <f>937.4+(293.6-259.3)+(-0.956148+(-0.299472--0.264486))+0-326--0.332520000000052</f>
        <v>645.0413860000001</v>
      </c>
      <c r="Y319" s="3">
        <f>940.6+(263.1-232.3)+(-1.439118+(-0.402543--0.355419))+0-324.9--0.497097000000019</f>
        <v>645.51085500000022</v>
      </c>
      <c r="Z319" s="3">
        <f>942.6+(284.9-190.5)+(0+(0-0))+0-323.7-0</f>
        <v>713.3</v>
      </c>
      <c r="AA319" s="3">
        <f>941.9+(215.6-183.7)+(-0.480369+(-0.109956--0.093687))+0-325.6--0.166055999999967</f>
        <v>647.86941799999988</v>
      </c>
      <c r="AB319" s="3">
        <f>941.7+(220.5-171.5)+(0.480267+(0.112455-0.087465))+0-328.8-0.167687999999967</f>
        <v>662.23756900000012</v>
      </c>
      <c r="AC319" s="3">
        <f>942.3+(127.1-175.9)+(-2.402865+(-0.324105--0.448545))+0-326.3--0.832064999999953</f>
        <v>565.75364000000002</v>
      </c>
      <c r="AD319">
        <v>644.90000000000009</v>
      </c>
      <c r="AE319" s="3">
        <f>940+(289.9-258.4)+(0+(0-0))+0-326.6-0</f>
        <v>644.9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943.6+(131.5-149.7)+(0+(0-0))+0-323.3-0</f>
        <v>602.10000000000014</v>
      </c>
      <c r="G320" s="3">
        <f>946.1+(64.3-182.8)+(0.965022+(0.065586-0.186456))+0-325-0.331500000000052</f>
        <v>503.11265199999997</v>
      </c>
      <c r="H320" s="3">
        <f>947.4+(56-196.9)+(-0.483174+(-0.02856--0.100419))+0-326.7--0.166616999999967</f>
        <v>479.55530200000004</v>
      </c>
      <c r="I320" s="3">
        <f>950.5+(47.1-193.2)+(-0.96951+(-0.048042--0.197064))+0-327.5--0.334050000000052</f>
        <v>476.41356200000007</v>
      </c>
      <c r="J320" s="3">
        <f>952.5+(51.3-220)+(0.97155+(0.052326-0.2244))+0-324-0.330480000000052</f>
        <v>460.2689959999999</v>
      </c>
      <c r="K320" s="3">
        <f>951.4+(77.8-180)+(0.485214+(0.039678-0.0918))+0-323.5-0.164984999999967</f>
        <v>525.96810699999992</v>
      </c>
      <c r="L320" s="3">
        <f>952.1+(133.2-183.3)+(-3.884568+(-0.543456--0.747864))+0-321.7--1.31253599999997</f>
        <v>577.93237600000009</v>
      </c>
      <c r="M320" s="3">
        <f>944.1+(165.6-248.8)+(0+(0-0))+0-320.7-0</f>
        <v>540.20000000000005</v>
      </c>
      <c r="N320" s="3">
        <f>941.9+(163.9-233.1)+(-0.480369+(-0.083589--0.118881))+0-322.6--0.164525999999967</f>
        <v>549.81944900000008</v>
      </c>
      <c r="O320" s="3">
        <f>938.1+(312.1-265.7)+(0.478431+(0.159171-0.135507))+0-324-0.165239999999967</f>
        <v>660.83685500000013</v>
      </c>
      <c r="P320" s="3">
        <f>935.9+(364.7-272.5)+(0+(0-0))+0-326-0</f>
        <v>702.09999999999991</v>
      </c>
      <c r="Q320" s="3">
        <f>934.8+(344.3-290.7)+(0+(0-0))+0-324-0</f>
        <v>664.4</v>
      </c>
      <c r="R320" s="3">
        <f>932.8+(295.8-272.6)+(-0.951456+(-0.301716--0.278052))+0-323--0.329460000000051</f>
        <v>632.35434000000009</v>
      </c>
      <c r="S320" s="3">
        <f>931.3+(275-233.2)+(-0.949926+(-0.2805--0.237864))+1.4-322--0.328440000000051</f>
        <v>651.83587799999987</v>
      </c>
      <c r="T320" s="3">
        <f>930.4+(224.8-231.2)+(-1.898016+(-0.458592--0.471648))+0-322--0.656879999999986</f>
        <v>600.77192000000002</v>
      </c>
      <c r="U320" s="3">
        <f>933.4+(225.5-221.9)+(-0.476034+(-0.115005--0.113169))+0-321--0.163709999999967</f>
        <v>615.68583999999987</v>
      </c>
      <c r="V320" s="3">
        <f>937.7+(215.4-228.5)+(0.956454+(0.219708-0.23307))+0-323-0.329460000000051</f>
        <v>602.21363199999996</v>
      </c>
      <c r="W320" s="3">
        <f>941.3+(293.9-266.8)+(0+(0-0))+0-324-0</f>
        <v>644.39999999999986</v>
      </c>
      <c r="X320" s="3">
        <f>921.5+(383.2-268)+(-0.469965+(-0.195432--0.13668))+0-328--0.167279999999967</f>
        <v>708.33856300000014</v>
      </c>
      <c r="Y320" s="3">
        <f>924.3+(363.9-247)+(-0.471393+(-0.185589--0.12597))+0-327--0.166769999999967</f>
        <v>713.83575799999983</v>
      </c>
      <c r="Z320" s="3">
        <f>928.4+(314.2-233.5)+(0+(0-0))+0-327-0</f>
        <v>682.09999999999991</v>
      </c>
      <c r="AA320" s="3">
        <f>931.3+(209-231.6)+(-0.949926+(-0.21318--0.236232))+0-327--0.333540000000052</f>
        <v>581.10666600000002</v>
      </c>
      <c r="AB320" s="3">
        <f>931.9+(206.9-199.5)+(-0.475269+(-0.105519--0.101745))+0-326--0.166259999999967</f>
        <v>612.98721699999987</v>
      </c>
      <c r="AC320" s="3">
        <f>931+(151-203.2)+(-0.47481+(-0.07701--0.103632))+0-326--0.166259999999967</f>
        <v>552.51807199999996</v>
      </c>
      <c r="AD320">
        <v>700.3</v>
      </c>
      <c r="AE320" s="3">
        <f>944+(333.6-253.3)+(0+(0-0))+0-324-0</f>
        <v>700.3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975.9+(120.3-202)+(-1.493127+(-0.184059--0.30906))+0-326--0.498780000000019</f>
        <v>567.33065399999998</v>
      </c>
      <c r="G321" s="3">
        <f>975+(141.7-181.2)+(1.49175+(0.216801-0.277236))+0-329-0.503370000000019</f>
        <v>607.42794500000002</v>
      </c>
      <c r="H321" s="3">
        <f>970.7+(115.6-235.9)+(-1.485171+(-0.176868--0.360927))+0-327--0.500310000000019</f>
        <v>522.59919800000011</v>
      </c>
      <c r="I321" s="3">
        <f>970.7+(99.1-220.6)+(1.980228+(0.202164-0.450024))+0-324-0.660959999999986</f>
        <v>526.27140800000006</v>
      </c>
      <c r="J321" s="3">
        <f>972.1+(104.2-206.2)+(-0.495771+(-0.053142--0.105162))+0-324--0.165239999999967</f>
        <v>545.82148899999993</v>
      </c>
      <c r="K321" s="3">
        <f>980.9+(120.1-179.9)+(-1.500777+(-0.183753--0.275247))+0-323--0.494190000000019</f>
        <v>597.18490699999995</v>
      </c>
      <c r="L321" s="3">
        <f>955.2+(205.3-219.5)+(-0.487152+(-0.104703--0.111945))+0-323--0.164729999999967</f>
        <v>617.68481999999995</v>
      </c>
      <c r="M321" s="3">
        <f>963.3+(236.4-262)+(-0.491283+(-0.120564--0.13362))+0-324--0.165239999999967</f>
        <v>613.38701299999991</v>
      </c>
      <c r="N321" s="3">
        <f>958.1+(239.8-312.8)+(0+(0-0))+0-324.2-0</f>
        <v>560.90000000000009</v>
      </c>
      <c r="O321" s="3">
        <f>953.8+(260.4-283.2)+(0.972876+(0.265608-0.288864))+0-326.3-0.332826000000052</f>
        <v>605.31679399999985</v>
      </c>
      <c r="P321" s="3">
        <f>907.5+(347.1-243.3)+(0+(0-0))+0-324-0</f>
        <v>687.3</v>
      </c>
      <c r="Q321" s="3">
        <f>876.7+(343.6-270)+(0+(0-0))+0-322.4-0</f>
        <v>627.90000000000009</v>
      </c>
      <c r="R321" s="3">
        <f>773.4+(441.1-247.5)+(0+(0-0))+0-324.2-0</f>
        <v>642.79999999999995</v>
      </c>
      <c r="S321" s="3">
        <f>701+(498.4-236.7)+(-0.71502+(-0.508368--0.241434))+0-325.7--0.332214000000052</f>
        <v>636.35026000000016</v>
      </c>
      <c r="T321" s="3">
        <f>702.5+(494.6-215.3)+(-0.71655+(-0.504492--0.219606))+0-325.5--0.332010000000052</f>
        <v>655.63057400000002</v>
      </c>
      <c r="U321" s="3">
        <f>706.1+(437.4-219.2)+(0.360111+(0.223074-0.111792))+0-326-0.166259999999967</f>
        <v>598.60513300000002</v>
      </c>
      <c r="V321" s="3">
        <f>710.1+(442.2-226.4)+(-0.362151+(-0.225522--0.115464))+0-326.1--0.166310999999967</f>
        <v>599.49410199999988</v>
      </c>
      <c r="W321" s="3">
        <f>715.2+(499.8-257.6)+(0+(0-0))+0-326.2-0</f>
        <v>631.20000000000005</v>
      </c>
      <c r="X321" s="3">
        <f>718+(543.2-269)+(-1.09854+(-0.831096--0.41157))+0-327--0.500310000000019</f>
        <v>664.18224400000008</v>
      </c>
      <c r="Y321" s="3">
        <f>720.3+(522-254.9)+(-0.734706+(-0.53244--0.259998))+0-328.7--0.335274000000052</f>
        <v>658.02812599999993</v>
      </c>
      <c r="Z321" s="3">
        <f>722+(468.4-235)+(-1.47288+(-0.955536--0.4794))+0-328.7--0.670547999999986</f>
        <v>625.42153199999996</v>
      </c>
      <c r="AA321" s="3">
        <f>724.5+(446.8-209.9)+(0.369495+(0.227868-0.107049))+0-329-0.167789999999967</f>
        <v>632.72252400000002</v>
      </c>
      <c r="AB321" s="3">
        <f>725.4+(368.7-191.6)+(0.369954+(0.188037-0.097716))+0-327.4-0.166973999999967</f>
        <v>575.39330100000006</v>
      </c>
      <c r="AC321" s="3">
        <f>726.3+(338.1-169.7)+(-1.111239+(-0.517293--0.259641))+0-327.7--0.501381000000019</f>
        <v>566.13249000000019</v>
      </c>
      <c r="AD321">
        <v>676.3</v>
      </c>
      <c r="AE321" s="3">
        <f>719+(548-266.4)+(0+(0-0))+0-324.3-0</f>
        <v>676.3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726.6+(290.8-167.6)+(-0.741132+(-0.296616--0.170952))+0-328.9--0.335478000000052</f>
        <v>520.36868200000015</v>
      </c>
      <c r="G322" s="3">
        <f>727.8+(283.3-161.1)+(-1.113534+(-0.433449--0.246483))+0-330.1--0.505053000000019</f>
        <v>519.1045529999999</v>
      </c>
      <c r="H322" s="3">
        <f>728+(274.4-155.8)+(0+(0-0))+0-331.4-0</f>
        <v>515.19999999999993</v>
      </c>
      <c r="I322" s="3">
        <f>728.9+(254.7-163.5)+(0+(0-0))+0-328.3-0</f>
        <v>491.7999999999999</v>
      </c>
      <c r="J322" s="3">
        <f>729.8+(253.5-179.2)+(-0.372198+(-0.129285--0.091392))+0-329--0.167789999999967</f>
        <v>474.85769899999991</v>
      </c>
      <c r="K322" s="3">
        <f>732.5+(346.9-197.4)+(0.373575+(0.176919-0.100674))+0-328.2-0.167381999999967</f>
        <v>554.08243800000002</v>
      </c>
      <c r="L322" s="3">
        <f>733.5+(403.9-254)+(0+(0-0))+0-313.3-0</f>
        <v>570.09999999999991</v>
      </c>
      <c r="M322" s="3">
        <f>733.8+(424.2-275.5)+(-0.748476+(-0.432684--0.28101))+0-312.8--0.31905600000005</f>
        <v>569.11890599999992</v>
      </c>
      <c r="N322" s="3">
        <f>729.9+(423.6-300.4)+(0.744498+(0.432072-0.306408))+0-322.1-0.328542000000051</f>
        <v>531.54161999999997</v>
      </c>
      <c r="O322" s="3">
        <f>733+(432.4-265.2)+(-0.37383+(-0.220524--0.135252))+0-321.7--0.164066999999967</f>
        <v>578.2049649999999</v>
      </c>
      <c r="P322" s="3">
        <f>730.9+(392.4-284.7)+(-0.372759+(-0.200124--0.145197))+0-279.7--0.142646999999972</f>
        <v>558.61496099999988</v>
      </c>
      <c r="Q322" s="3">
        <f>725.7+(434-283.5)+(-1.480428+(-0.88536--0.57834))+0-312.3--0.637091999999986</f>
        <v>562.74964399999999</v>
      </c>
      <c r="R322" s="3">
        <f>724.8+(452.1-284.5)+(-1.84824+(-1.152855--0.725475))+0-327.7--0.835634999999952</f>
        <v>563.26001499999984</v>
      </c>
      <c r="S322" s="3">
        <f>723.3+(436.4-277.1)+(0+(0-0))+0-326.1-0</f>
        <v>556.49999999999989</v>
      </c>
      <c r="T322" s="3">
        <f>723.5+(434.9-263.9)+(0+(0-0))+0-327.7-0</f>
        <v>566.79999999999995</v>
      </c>
      <c r="U322" s="3">
        <f>710.8+(444.5-256.9)+(0.362508+(0.226695-0.131019))+0-329.7-0.168146999999967</f>
        <v>568.99003699999992</v>
      </c>
      <c r="V322" s="3">
        <f>703.1+(482.8-260.5)+(-1.434324+(-0.984912--0.53142))+0-327.1--0.667283999999986</f>
        <v>597.07946800000002</v>
      </c>
      <c r="W322" s="3">
        <f>703.3+(602.6-294.8)+(0+(0-0))+0-327.5-0</f>
        <v>683.59999999999991</v>
      </c>
      <c r="X322" s="3">
        <f>717.8+(636.7-302.4)+(-0.732156+(-0.649434--0.308448))+0-325.7--0.332214000000052</f>
        <v>725.65907199999992</v>
      </c>
      <c r="Y322" s="3">
        <f>688+(670.6-276.3)+(-1.7544+(-1.71003--0.704565))+0-327.2--0.834359999999952</f>
        <v>753.17449499999987</v>
      </c>
      <c r="Z322" s="3">
        <f>573.4+(707.4-230.2)+(-0.877302+(-1.082322--0.352206))+0-329.4--0.503982000000019</f>
        <v>720.09656399999994</v>
      </c>
      <c r="AA322" s="3">
        <f>628.9+(606.6-211.3)+(-0.320739+(-0.309366--0.107763))+0-329.2--0.167891999999967</f>
        <v>694.64554999999996</v>
      </c>
      <c r="AB322" s="3">
        <f>726.7+(477.5-203.9)+(-0.741234+(-0.48705--0.207978))+0-327.3--0.333846000000052</f>
        <v>672.31354000000022</v>
      </c>
      <c r="AC322" s="3">
        <f>724.5+(427.8-186.3)+(-0.73899+(-0.436356--0.190026))+0-327.5--0.334050000000052</f>
        <v>637.84873000000005</v>
      </c>
      <c r="AD322">
        <v>714.39999999999986</v>
      </c>
      <c r="AE322" s="3">
        <f>710+(628.1-297.7)+(0+(0-0))+0-326-0</f>
        <v>714.40000000000009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726.9+(396.8-179.9)+(-1.853595+(-1.01184--0.458745))+0-329.8--0.840989999999952</f>
        <v>612.43429999999989</v>
      </c>
      <c r="G323" s="3">
        <f>728.5+(328.3-178.4)+(-0.74307+(-0.334866--0.181968))+0-332.4--0.339048000000053</f>
        <v>545.44308000000001</v>
      </c>
      <c r="H323" s="3">
        <f>730.6+(263.5-182.9)+(-1.117818+(-0.403155--0.279837))+0-310.2--0.474606000000018</f>
        <v>500.23347000000007</v>
      </c>
      <c r="I323" s="3">
        <f>732.3+(233.2-186.4)+(0.746946+(0.237864-0.190128))+0-279.2-0.284784000000045</f>
        <v>500.40989799999983</v>
      </c>
      <c r="J323" s="3">
        <f>731.4+(242.6-191.2)+(-1.119042+(-0.371178--0.292536))+0-270.3--0.413559000000016</f>
        <v>511.71587499999998</v>
      </c>
      <c r="K323" s="3">
        <f>728.8+(367.1-229.4)+(0.371688+(0.187221-0.116994))+0-328-0.167279999999967</f>
        <v>538.77463499999999</v>
      </c>
      <c r="L323" s="3">
        <f>730.2+(507.6-249.5)+(-0.744804+(-0.517752--0.25449))+0-328.5--0.335070000000052</f>
        <v>659.12700400000017</v>
      </c>
      <c r="M323" s="3">
        <f>729.9+(532.3-269.2)+(-1.116747+(-0.814419--0.411876))+0-327.7--0.501381000000019</f>
        <v>664.28209100000004</v>
      </c>
      <c r="N323" s="3">
        <f>724.1+(517.6-290.9)+(1.107873+(0.791928-0.445077))+0-325-0.497250000000019</f>
        <v>626.75747400000012</v>
      </c>
      <c r="O323" s="3">
        <f>719.8+(507.8-294.1)+(0.367098+(0.258978-0.149991))+0-324.9-0.165698999999967</f>
        <v>608.91038600000002</v>
      </c>
      <c r="P323" s="3">
        <f>716.3+(518-286.1)+(0.365313+(0.26418-0.145911))+0-330.3-0.168452999999966</f>
        <v>618.21512899999993</v>
      </c>
      <c r="Q323" s="3">
        <f>713.4+(543.9-289.8)+(-0.363834+(-0.277389--0.147798))+0-322--0.164219999999967</f>
        <v>645.170795</v>
      </c>
      <c r="R323" s="3">
        <f>711+(506.7-291.3)+(0+(0-0))+0-323.8-0</f>
        <v>602.59999999999991</v>
      </c>
      <c r="S323" s="3">
        <f>709.2+(487-286.2)+(-1.085076+(-0.74511--0.437886))+0-324.2--0.496026000000019</f>
        <v>584.90372600000001</v>
      </c>
      <c r="T323" s="3">
        <f>708.3+(510.2-259.1)+(-0.361233+(-0.260202--0.132141))+0-329.2--0.167891999999967</f>
        <v>629.87859799999978</v>
      </c>
      <c r="U323" s="3">
        <f>709.3+(456.4-265.4)+(-0.723486+(-0.465528--0.270708))+0-325.2--0.331704000000052</f>
        <v>574.51339799999994</v>
      </c>
      <c r="V323" s="3">
        <f>711+(511.9-265.7)+(0.72522+(0.522138-0.271014))+0-326.7-0.333234000000052</f>
        <v>631.14311000000009</v>
      </c>
      <c r="W323" s="3">
        <f>714+(566.3-300.4)+(1.09242+(0.866439-0.459612))+0-328.1-0.501993000000019</f>
        <v>652.79725399999995</v>
      </c>
      <c r="X323" s="3">
        <f>716.4+(611.7-311.3)+(0+(0-0))+0-330.3-0</f>
        <v>686.5</v>
      </c>
      <c r="Y323" s="3">
        <f>720.7+(619.6-286.4)+(-1.102671+(-0.947988--0.438192))+0-330.6--0.505818000000019</f>
        <v>722.19335100000012</v>
      </c>
      <c r="Z323" s="3">
        <f>725.4+(538.7-266.5)+(-0.369954+(-0.274737--0.135915))+0-330.8--0.168707999999966</f>
        <v>666.45993199999998</v>
      </c>
      <c r="AA323" s="3">
        <f>726.7+(480.4-241.6)+(-0.370617+(-0.245004--0.123216))+0-325.2--0.165851999999967</f>
        <v>639.97344699999996</v>
      </c>
      <c r="AB323" s="3">
        <f>728.4+(389.6-223.4)+(-1.114452+(-0.596088--0.341802))+0-227.5--0.348075000000013</f>
        <v>666.07933700000001</v>
      </c>
      <c r="AC323" s="3">
        <f>728+(359.2-209.6)+(-1.11384+(-0.549576--0.320688))+0-228.8--0.350064000000013</f>
        <v>647.80733600000008</v>
      </c>
      <c r="AD323">
        <v>685.69999999999993</v>
      </c>
      <c r="AE323" s="3">
        <f>719+(610.1-312)+(0+(0-0))+0-331.4-0</f>
        <v>685.7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725.5+(302-186.1)+(0+(0-0))+0-256.4-0</f>
        <v>585</v>
      </c>
      <c r="G324" s="3">
        <f>726.9+(259.1-184)+(-0.370719+(-0.132141--0.09384))+0-328.1--0.167330999999967</f>
        <v>473.65831099999991</v>
      </c>
      <c r="H324" s="3">
        <f>729.9+(286.7-173.7)+(1.116747+(0.438651-0.265761))+0-335.1-0.512703000000019</f>
        <v>508.57693399999988</v>
      </c>
      <c r="I324" s="3">
        <f>695.8+(339.5-159.3)+(-1.064574+(-0.519435--0.243729))+0-327.2--0.500616000000019</f>
        <v>547.9603360000001</v>
      </c>
      <c r="J324" s="3">
        <f>680.4+(365.3-157.5)+(0.347004+(0.186303-0.080325))+0-325-0.165749999999967</f>
        <v>563.48723200000006</v>
      </c>
      <c r="K324" s="3">
        <f>680.4+(398-191.5)+(0.347004+(0.20298-0.097665))+0-322.6-0.164525999999967</f>
        <v>564.58779299999992</v>
      </c>
      <c r="L324" s="3">
        <f>681.2+(552.8-226.9)+(-1.042236+(-0.845784--0.347157))+0-322.8--0.493884000000019</f>
        <v>683.25302099999999</v>
      </c>
      <c r="M324" s="3">
        <f>680.6+(497-258.7)+(0.347106+(0.25347-0.131937))+0-322.9-0.164678999999967</f>
        <v>596.30396000000019</v>
      </c>
      <c r="N324" s="3">
        <f>712.9+(428.6-262.9)+(0.727158+(0.437172-0.268158))+0-321.8-0.328236000000051</f>
        <v>557.36793599999987</v>
      </c>
      <c r="O324" s="3">
        <f>719.8+(449.3-236.1)+(0.734196+(0.458286-0.240822))+0-323.3-0.329766000000052</f>
        <v>610.32189399999993</v>
      </c>
      <c r="P324" s="3">
        <f>714.9+(473.4-254.7)+(-0.364599+(-0.241434--0.129897))+0-326.6--0.166565999999967</f>
        <v>606.69042999999988</v>
      </c>
      <c r="Q324" s="3">
        <f>712.5+(521.2-262.6)+(-0.72675+(-0.531624--0.267852))+0-326.3--0.332826000000052</f>
        <v>644.14230399999997</v>
      </c>
      <c r="R324" s="3">
        <f>711.7+(599-266.4)+(-1.814835+(-1.52745--0.67932))+0-325.3--0.829514999999953</f>
        <v>717.16655000000014</v>
      </c>
      <c r="S324" s="3">
        <f>709.6+(568.7-270.8)+(0+(0-0))+0-325.8-0</f>
        <v>681.7</v>
      </c>
      <c r="T324" s="3">
        <f>708.5+(541.2-261.5)+(0.361335+(0.276012-0.133365))+0-325.3-0.165902999999967</f>
        <v>663.23807900000008</v>
      </c>
      <c r="U324" s="3">
        <f>707.7+(531.3-232.5)+(-0.360927+(-0.270963--0.118575))+0-327--0.166769999999967</f>
        <v>679.15345499999989</v>
      </c>
      <c r="V324" s="3">
        <f>707.3+(572.9-236.6)+(0.721446+(0.584358-0.241332))+0-327.9-0.334458000000052</f>
        <v>716.43001399999991</v>
      </c>
      <c r="W324" s="3">
        <f>709.4+(623.1-281.5)+(0.723588+(0.635562-0.28713))+0-328-0.334560000000052</f>
        <v>723.73746000000006</v>
      </c>
      <c r="X324" s="3">
        <f>713.2+(677.8-285.4)+(0.363732+(0.345678-0.145554))+0-327.8-0.167177999999967</f>
        <v>778.19667800000002</v>
      </c>
      <c r="Y324" s="3">
        <f>716.7+(636-268.3)+(-1.462068+(-1.29744--0.547332))+0-329.1--0.671363999999986</f>
        <v>753.75918800000011</v>
      </c>
      <c r="Z324" s="3">
        <f>717.9+(589-244.1)+(-1.830645+(-1.50195--0.622455))+0-331.6--0.845579999999952</f>
        <v>729.33543999999995</v>
      </c>
      <c r="AA324" s="3">
        <f>723.8+(613.8-229.9)+(-0.369138+(-0.313038--0.117249))+0-327.5--0.167024999999967</f>
        <v>779.80209799999989</v>
      </c>
      <c r="AB324" s="3">
        <f>726.9+(524.6-225.8)+(0+(0-0))+0-326-0</f>
        <v>699.7</v>
      </c>
      <c r="AC324" s="3">
        <f>725.1+(428.6-207.4)+(-0.739602+(-0.437172--0.211548))+0-327.6--0.334152000000052</f>
        <v>618.06892600000003</v>
      </c>
      <c r="AD324">
        <v>798.9000000000002</v>
      </c>
      <c r="AE324" s="3">
        <f>714+(690.4-277.1)+(0+(0-0))+0-328.4-0</f>
        <v>798.9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722.9+(373.5-202.4)+(0+(0-0))+0-327.5-0</f>
        <v>566.5</v>
      </c>
      <c r="G325" s="3">
        <f>725.5+(309.4-201.6)+(0+(0-0))+0-329.2-0</f>
        <v>504.09999999999997</v>
      </c>
      <c r="H325" s="3">
        <f>729.9+(301.9-214.9)+(0+(0-0))+0-329.1-0</f>
        <v>487.79999999999995</v>
      </c>
      <c r="I325" s="3">
        <f>730.5+(357.4-196)+(-1.117665+(-0.546822--0.29988))+0-327.6--0.501228000000019</f>
        <v>563.43662099999995</v>
      </c>
      <c r="J325" s="3">
        <f>731.9+(298.3-215.1)+(0.746538+(0.304266-0.219402))+0-328.4-0.334968000000052</f>
        <v>487.19643400000001</v>
      </c>
      <c r="K325" s="3">
        <f>730.7+(353.6-252.3)+(0.745314+(0.360672-0.257346))+0-323.5-0.329970000000052</f>
        <v>509.01866999999999</v>
      </c>
      <c r="L325" s="3">
        <f>734.6+(451.6-270.7)+(0+(0-0))+0-325.2-0</f>
        <v>590.29999999999995</v>
      </c>
      <c r="M325" s="3">
        <f>734.1+(513.3-291.1)+(0+(0-0))+0-323.6-0</f>
        <v>632.69999999999993</v>
      </c>
      <c r="N325" s="3">
        <f>728.2+(470.4-295.1)+(-0.371382+(-0.239904--0.150501))+0-323.9--0.165188999999967</f>
        <v>579.30440399999998</v>
      </c>
      <c r="O325" s="3">
        <f>720.4+(515.1-278.7)+(-0.367404+(-0.262701--0.142137))+0-324.8--0.165647999999967</f>
        <v>631.67767999999978</v>
      </c>
      <c r="P325" s="3">
        <f>713.6+(482.8-280.5)+(-0.363936+(-0.246228--0.143055))+0-326.6--0.166565999999967</f>
        <v>588.99945700000001</v>
      </c>
      <c r="Q325" s="3">
        <f>708.4+(503.8-271.9)+(-0.722568+(-0.513876--0.277338))+0-325.1--0.331602000000052</f>
        <v>614.572496</v>
      </c>
      <c r="R325" s="3">
        <f>705.5+(540.9-274)+(-1.079415+(-0.827577--0.41922))+0-325.9--0.498627000000019</f>
        <v>645.51085500000011</v>
      </c>
      <c r="S325" s="3">
        <f>703.4+(567-264)+(-1.076202+(-0.86751--0.40392))+0-324.3--0.496179000000019</f>
        <v>681.05638699999986</v>
      </c>
      <c r="T325" s="3">
        <f>702.2+(517.5-253.7)+(0+(0-0))+0-324.2-0</f>
        <v>641.79999999999995</v>
      </c>
      <c r="U325" s="3">
        <f>703+(506.8-256)+(0.71706+(0.516936-0.26112))+0-324.1-0.330582000000052</f>
        <v>630.34229399999992</v>
      </c>
      <c r="V325" s="3">
        <f>704+(505.3-269.5)+(0.35904+(0.257703-0.137445))+0-324.2-0.165341999999967</f>
        <v>615.91395599999987</v>
      </c>
      <c r="W325" s="3">
        <f>705.5+(639.3-290.8)+(0.71961+(0.652086-0.296616))+0-323.7-0.330174000000052</f>
        <v>731.04490599999997</v>
      </c>
      <c r="X325" s="3">
        <f>710.1+(702.9-284.6)+(-1.810755+(-1.792395--0.72573))+0-325.3--0.829514999999953</f>
        <v>801.05209500000001</v>
      </c>
      <c r="Y325" s="3">
        <f>712.9+(646.9-273.3)+(-1.090737+(-0.989757--0.418149))+0-324.2--0.496026000000019</f>
        <v>761.13368100000002</v>
      </c>
      <c r="Z325" s="3">
        <f>800.5+(546.5-256.7)+(-0.408255+(-0.278715--0.130917))+0-325--0.165749999999967</f>
        <v>764.90969699999994</v>
      </c>
      <c r="AA325" s="3">
        <f>887.5+(443.4-251.4)+(0.452625+(0.226134-0.128214))+0-322.8-0.164627999999967</f>
        <v>757.08591700000011</v>
      </c>
      <c r="AB325" s="3">
        <f>723.1+(500-213.2)+(0.368781+(0.255-0.108732))+0-323.6-0.165035999999967</f>
        <v>686.65001300000006</v>
      </c>
      <c r="AC325" s="3">
        <f>714.5+(417-204.4)+(0+(0-0))+0-324-0</f>
        <v>603.1</v>
      </c>
      <c r="AD325">
        <v>833.7</v>
      </c>
      <c r="AE325" s="3">
        <f>718+(723.7-277.2)+(0+(0-0))+0-330.8-0</f>
        <v>833.7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703.2+(354.1-202.4)+(-1.79316+(-0.902955--0.51612))+0-323.7--0.825434999999953</f>
        <v>529.84544000000005</v>
      </c>
      <c r="G326" s="3">
        <f>671.1+(396.5-177.7)+(-0.684522+(-0.40443--0.181254))+0-322.7--0.329154000000051</f>
        <v>566.62145600000008</v>
      </c>
      <c r="H326" s="3">
        <f>663.7+(364.6-176.3)+(-2.030922+(-1.115676--0.539478))+0-322.5--0.986850000000037</f>
        <v>527.87973</v>
      </c>
      <c r="I326" s="3">
        <f>661.6+(438.6-199.2)+(0.674832+(0.447372-0.203184))+0-322.8-0.329256000000052</f>
        <v>578.78976399999999</v>
      </c>
      <c r="J326" s="3">
        <f>662.2+(378.4-202.5)+(-0.337722+(-0.192984--0.103275))+0-321.9--0.164168999999967</f>
        <v>515.9367380000001</v>
      </c>
      <c r="K326" s="3">
        <f>662.6+(490.4-218.5)+(1.013778+(0.750312-0.334305))+0-320.9-0.490977000000019</f>
        <v>614.53880800000002</v>
      </c>
      <c r="L326" s="3">
        <f>663.1+(521.6-239.1)+(0.676362+(0.532032-0.243882))+0-321.5-0.327930000000051</f>
        <v>624.736582</v>
      </c>
      <c r="M326" s="3">
        <f>663.6+(569.5-262.6)+(0.676872+(0.58089-0.267852))+0-308.4-0.314568000000049</f>
        <v>662.77534200000002</v>
      </c>
      <c r="N326" s="3">
        <f>711.3+(499.6-290.8)+(0.362763+(0.254796-0.148308))+0-321.4-0.163913999999967</f>
        <v>599.00533699999994</v>
      </c>
      <c r="O326" s="3">
        <f>711.3+(543.7-277.8)+(0.362763+(0.277287-0.141678))+0-321.9-0.164168999999967</f>
        <v>655.63420300000007</v>
      </c>
      <c r="P326" s="3">
        <f>700.3+(550.2-301.2)+(0.357153+(0.280602-0.153612))+0-323.1-0.164780999999967</f>
        <v>626.519362</v>
      </c>
      <c r="Q326" s="3">
        <f>677.5+(621-276.4)+(0+(0-0))+0-322.4-0</f>
        <v>699.7</v>
      </c>
      <c r="R326" s="3">
        <f>673.7+(575.8-268.5)+(-1.030761+(-0.880974--0.410805))+0-321.5--0.491895000000019</f>
        <v>658.49096499999996</v>
      </c>
      <c r="S326" s="3">
        <f>683.9+(531.5-262.3)+(0+(0-0))+0-323-0</f>
        <v>630.09999999999991</v>
      </c>
      <c r="T326" s="3">
        <f>692.3+(490.8-250)+(0+(0-0))+0-323.6-0</f>
        <v>609.49999999999989</v>
      </c>
      <c r="U326" s="3">
        <f>692.6+(472.8-226.9)+(-0.706452+(-0.482256--0.231438))+0-323.3--0.329766000000052</f>
        <v>614.572496</v>
      </c>
      <c r="V326" s="3">
        <f>695.8+(435.1-228.5)+(-0.709716+(-0.443802--0.23307))+0-323.7--0.330174000000052</f>
        <v>578.10972600000002</v>
      </c>
      <c r="W326" s="3">
        <f>700+(554.7-261.1)+(-0.357+(-0.282897--0.133161))+0-323.7--0.165086999999967</f>
        <v>669.55835100000002</v>
      </c>
      <c r="X326" s="3">
        <f>698.7+(568.7-281.5)+(-0.712674+(-0.580074--0.28713))+0-323.6--0.330072000000052</f>
        <v>661.62445400000013</v>
      </c>
      <c r="Y326" s="3">
        <f>734.2+(527.6-266.9)+(-1.497768+(-1.076304--0.544476))+0-324--0.660959999999986</f>
        <v>669.53136400000005</v>
      </c>
      <c r="Z326" s="3">
        <f>907.6+(365.7-263.4)+(-2.31438+(-0.932535--0.67167))+0-323.8--0.825689999999953</f>
        <v>684.35044500000015</v>
      </c>
      <c r="AA326" s="3">
        <f>919.5+(324.9-254.1)+(-0.468945+(-0.165699--0.129591))+0-323.7--0.165086999999967</f>
        <v>666.26003400000002</v>
      </c>
      <c r="AB326" s="3">
        <f>883.6+(323.3-257)+(0.450636+(0.164883-0.13107))+0-323.5-0.164984999999967</f>
        <v>626.71946400000013</v>
      </c>
      <c r="AC326" s="3">
        <f>881.8+(312.2-236.7)+(-0.449718+(-0.159222--0.120717))+0-324.2--0.165341999999967</f>
        <v>632.77711900000008</v>
      </c>
      <c r="AD326">
        <v>663.7</v>
      </c>
      <c r="AE326" s="3">
        <f>702+(569.7-283.7)+(0+(0-0))+0-324.3-0</f>
        <v>663.7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882.8+(266-238.7)+(-1.350684+(-0.40698--0.365211))+0-323.7--0.495261000000019</f>
        <v>585.50280799999996</v>
      </c>
      <c r="G327" s="3">
        <f>887.9+(288.2-277)+(0.452829+(0.146982-0.14127))+0-323.9-0.165188999999967</f>
        <v>575.49335199999996</v>
      </c>
      <c r="H327" s="3">
        <f>887.5+(318.7-333.5)+(-0.90525+(-0.325074--0.34017))+0-327.3--0.333846000000052</f>
        <v>544.84369200000003</v>
      </c>
      <c r="I327" s="3">
        <f>850.7+(314.5-270)+(0.433857+(0.160395-0.1377))+0-328.1-0.167330999999967</f>
        <v>567.38922100000002</v>
      </c>
      <c r="J327" s="3">
        <f>851+(265.6-234.9)+(-0.86802+(-0.270912--0.239598))+0-324.7--0.331194000000052</f>
        <v>556.43186000000014</v>
      </c>
      <c r="K327" s="3">
        <f>849.8+(290.5-253.6)+(0.866796+(0.29631-0.258672))+0-322.5-0.328950000000051</f>
        <v>564.77548399999989</v>
      </c>
      <c r="L327" s="3">
        <f>851.4+(329.6-272.1)+(-0.434214+(-0.168096--0.138771))+0-323.1--0.164780999999967</f>
        <v>585.50124199999993</v>
      </c>
      <c r="M327" s="3">
        <f>852.2+(369.5-293.6)+(0+(0-0))+0-321.3-0</f>
        <v>606.79999999999995</v>
      </c>
      <c r="N327" s="3">
        <f>849.3+(348.3-281.7)+(0.866286+(0.355266-0.287334))+0-324.8-0.331296000000052</f>
        <v>591.70292199999994</v>
      </c>
      <c r="O327" s="3">
        <f>837.3+(380.3-223.8)+(0+(0-0))+0-327.7-0</f>
        <v>666.09999999999991</v>
      </c>
      <c r="P327" s="3">
        <f>846.2+(339.1-221)+(0+(0-0))+0-325.5-0</f>
        <v>638.80000000000007</v>
      </c>
      <c r="Q327" s="3">
        <f>854.9+(325.3-223.7)+(1.307997+(0.497709-0.342261))+0-324.2-0.496026000000019</f>
        <v>633.26741900000002</v>
      </c>
      <c r="R327" s="3">
        <f>855.1+(295.9-229.2)+(-1.744404+(-0.603636--0.467568))+0-324.3--0.661571999999986</f>
        <v>596.28109999999992</v>
      </c>
      <c r="S327" s="3">
        <f>864.4+(273.9-224.1)+(-0.440844+(-0.139689--0.114291))+0-324.1--0.165290999999967</f>
        <v>589.79904899999985</v>
      </c>
      <c r="T327" s="3">
        <f>869.4+(238.9-216.9)+(0+(0-0))+0-324.3-0</f>
        <v>567.09999999999991</v>
      </c>
      <c r="U327" s="3">
        <f>874.2+(210.2-218.7)+(-1.337526+(-0.321606--0.334611))+0-322.4--0.493272000000019</f>
        <v>542.46875100000011</v>
      </c>
      <c r="V327" s="3">
        <f>949.7+(183-244.7)+(-0.484347+(-0.09333--0.124797))+0-326.2--0.166361999999967</f>
        <v>561.51348199999984</v>
      </c>
      <c r="W327" s="3">
        <f>953.3+(301.1-318.1)+(-0.972366+(-0.307122--0.324462))+0-325.7--0.332214000000052</f>
        <v>609.97718800000007</v>
      </c>
      <c r="X327" s="3">
        <f>952.6+(331.5-307.6)+(-0.485826+(-0.169065--0.156876))+0-323.1--0.164780999999967</f>
        <v>653.06676599999992</v>
      </c>
      <c r="Y327" s="3">
        <f>936.7+(324.4-301.3)+(-1.433151+(-0.496332--0.460989))+0-322.5--0.493425000000019</f>
        <v>636.32493099999999</v>
      </c>
      <c r="Z327" s="3">
        <f>931.4+(319.3-280.2)+(-0.950028+(-0.325686--0.285804))+0-322--0.328440000000051</f>
        <v>647.83852999999999</v>
      </c>
      <c r="AA327" s="3">
        <f>953.9+(310.1-287.1)+(-1.945956+(-0.632604--0.585684))+0-321.9--0.656675999999986</f>
        <v>653.66379999999992</v>
      </c>
      <c r="AB327" s="3">
        <f>955+(274.3-339.5)+(-0.48705+(-0.139893--0.173145))+0-320.6--0.163505999999967</f>
        <v>568.90970799999991</v>
      </c>
      <c r="AC327" s="3">
        <f>954.6+(293.7-322.4)+(0.973692+(0.299574-0.328848))+0-321.3-0.327726000000051</f>
        <v>605.21669200000008</v>
      </c>
      <c r="AD327">
        <v>672.69999999999993</v>
      </c>
      <c r="AE327" s="3">
        <f>957+(341.1-305.8)+(0+(0-0))+0-319.6-0</f>
        <v>672.69999999999993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953.4+(263.1-322)+(-1.944936+(-0.536724--0.65688))+0-321.9--0.656675999999986</f>
        <v>571.43189599999994</v>
      </c>
      <c r="G328" s="3">
        <f>952.6+(267.6-345.5)+(-0.971652+(-0.272952--0.35241))+0-323.3--0.329766000000052</f>
        <v>550.83757200000014</v>
      </c>
      <c r="H328" s="3">
        <f>953.2+(217.3-288.2)+(-1.944528+(-0.443292--0.587928))+0-323.8--0.660551999999986</f>
        <v>557.36065999999994</v>
      </c>
      <c r="I328" s="3">
        <f>933.3+(214.4-277.7)+(0.475983+(0.109344-0.141627))+0-323-0.164729999999967</f>
        <v>547.27897000000007</v>
      </c>
      <c r="J328" s="3">
        <f>898.3+(218.3-258.7)+(-1.374399+(-0.333999--0.395811))+0-322.9--0.494037000000019</f>
        <v>534.18145000000004</v>
      </c>
      <c r="K328" s="3">
        <f>867.3+(253.8-256.2)+(0.442323+(0.129438-0.130662))+0-318.9-0.162638999999968</f>
        <v>546.27846</v>
      </c>
      <c r="L328" s="3">
        <f>866.5+(282-294.7)+(0.441915+(0.14382-0.150297))+0-320.5-0.163454999999967</f>
        <v>533.57198299999993</v>
      </c>
      <c r="M328" s="3">
        <f>866.3+(354.4-299.8)+(-1.325439+(-0.542232--0.458694))+0-320.3--0.490059000000019</f>
        <v>599.68108199999983</v>
      </c>
      <c r="N328" s="3">
        <f>865.7+(359.9-290.9)+(-0.441507+(-0.183549--0.148359))+0-322.1--0.164270999999967</f>
        <v>612.28757400000006</v>
      </c>
      <c r="O328" s="3">
        <f>851.1+(381.1-289.9)+(0+(0-0))+0-322.1-0</f>
        <v>620.20000000000005</v>
      </c>
      <c r="P328" s="3">
        <f>902.1+(353.6-317.8)+(-0.920142+(-0.360672--0.324156))+0-323.3--0.329766000000052</f>
        <v>613.97310800000014</v>
      </c>
      <c r="Q328" s="3">
        <f>932.9+(394.8-338.6)+(-1.427337+(-0.604044--0.518058))+0-325.2--0.497556000000019</f>
        <v>662.88423299999999</v>
      </c>
      <c r="R328" s="3">
        <f>937.5+(431.6-370.3)+(-1.434375+(-0.660348--0.566559))+0-323.2--0.494496000000019</f>
        <v>674.5663320000001</v>
      </c>
      <c r="S328" s="3">
        <f>929.5+(439-365.2)+(-1.89618+(-0.89556--0.745008))+0-322.2--0.657287999999986</f>
        <v>679.71055599999988</v>
      </c>
      <c r="T328" s="3">
        <f>935.2+(404.5-381.6)+(-0.476952+(-0.206295--0.194616))+0-323.3--0.164882999999967</f>
        <v>634.47625199999993</v>
      </c>
      <c r="U328" s="3">
        <f>962.7+(405.1-388.9)+(0+(0-0))+0-322.2-0</f>
        <v>656.7</v>
      </c>
      <c r="V328" s="3">
        <f>970.9+(393.1-393.3)+(-0.495159+(-0.200481--0.200583))+0-322--0.164219999999967</f>
        <v>648.36916300000007</v>
      </c>
      <c r="W328" s="3">
        <f>971.7+(459.3-393)+(0+(0-0))+0-320.6-0</f>
        <v>717.4</v>
      </c>
      <c r="X328" s="3">
        <f>972.1+(463.2-407.6)+(-0.991542+(-0.472464--0.415752))+0-320.6--0.327012000000051</f>
        <v>706.37875800000006</v>
      </c>
      <c r="Y328" s="3">
        <f>977.6+(459.4-373.9)+(-0.498576+(-0.234294--0.190689))+0-324--0.165239999999967</f>
        <v>738.72305899999981</v>
      </c>
      <c r="Z328" s="3">
        <f>978.7+(444.4-387.4)+(-0.998274+(-0.453288--0.395148))+0-325.1--0.331602000000052</f>
        <v>709.87518800000021</v>
      </c>
      <c r="AA328" s="3">
        <f>980.9+(440.5-399.6)+(0+(0-0))+0-325.2-0</f>
        <v>696.59999999999991</v>
      </c>
      <c r="AB328" s="3">
        <f>979.9+(417.1-396.7)+(-0.499749+(-0.212721--0.202317))+0-322.6--0.164525999999967</f>
        <v>677.35437300000001</v>
      </c>
      <c r="AC328" s="3">
        <f>983.5+(363.2-429)+(-2.507925+(-0.92616--1.09395))+0-323.9--0.825944999999953</f>
        <v>592.28580999999997</v>
      </c>
      <c r="AD328">
        <v>692.40000000000009</v>
      </c>
      <c r="AE328" s="3">
        <f>972+(427.9-389.2)+(0+(0-0))+0-318.3-0</f>
        <v>692.40000000000009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987+(329.5-398.4)+(-1.51011+(-0.504135--0.609552))+0-325--0.497250000000019</f>
        <v>592.19255700000008</v>
      </c>
      <c r="G329" s="3">
        <f>986.8+(315.4-456.7)+(-1.509804+(-0.482562--0.698751))+0-325.6--0.498168000000019</f>
        <v>519.1045529999999</v>
      </c>
      <c r="H329" s="3">
        <f>988+(295.4-407.2)+(-2.01552+(-0.602616--0.830688))+0-324.8--0.662591999999986</f>
        <v>550.27514400000007</v>
      </c>
      <c r="I329" s="3">
        <f>990.5+(251.5-428.5)+(-0.505155+(-0.128265--0.218535))+0-325.3--0.165902999999967</f>
        <v>487.95101799999992</v>
      </c>
      <c r="J329" s="3">
        <f>992.8+(267.3-382.2)+(1.518984+(0.408969-0.584766))+0-322.3-0.493119000000019</f>
        <v>556.45006799999987</v>
      </c>
      <c r="K329" s="3">
        <f>992.9+(277.8-422.4)+(0.506379+(0.141678-0.215424))+0-322.8-0.164627999999967</f>
        <v>525.7680049999999</v>
      </c>
      <c r="L329" s="3">
        <f>993.1+(327.2-408.6)+(0.506481+(0.166872-0.208386))+0-319.4-0.162893999999968</f>
        <v>592.60207300000013</v>
      </c>
      <c r="M329" s="3">
        <f>988.7+(359.2-413.3)+(0+(0-0))+0-317-0</f>
        <v>617.6</v>
      </c>
      <c r="N329" s="3">
        <f>981.8+(392-450)+(1.001436+(0.39984-0.459))+0-317.7-0.324054000000051</f>
        <v>606.71822199999986</v>
      </c>
      <c r="O329" s="3">
        <f>981.5+(402.1-425.2)+(0.500565+(0.205071-0.216852))+0-320.3-0.163352999999968</f>
        <v>638.42543100000012</v>
      </c>
      <c r="P329" s="3">
        <f>978+(416.2-409.8)+(0.49878+(0.212262-0.208998))+0-324.3-0.165392999999967</f>
        <v>660.43665099999998</v>
      </c>
      <c r="Q329" s="3">
        <f>974.9+(414.7-452.8)+(-0.994398+(-0.422994--0.461856))+0-320.5--0.326910000000051</f>
        <v>615.6713739999999</v>
      </c>
      <c r="R329" s="3">
        <f>974.2+(403.2-462.8)+(-2.48421+(-1.02816--1.18014))+0-320.5--0.817274999999953</f>
        <v>592.58504500000004</v>
      </c>
      <c r="S329" s="3">
        <f>974.2+(385-451)+(-0.993684+(-0.3927--0.46002))+0-320.3--0.326706000000051</f>
        <v>587.300342</v>
      </c>
      <c r="T329" s="3">
        <f>975.7+(369.1-402.8)+(-1.492821+(-0.564723--0.616284))+0-301.9--0.461907000000017</f>
        <v>639.12064699999996</v>
      </c>
      <c r="U329" s="3">
        <f>981.2+(360.8-384.7)+(-0.500412+(-0.184008--0.196197))+0-322.4--0.164423999999967</f>
        <v>634.57620100000008</v>
      </c>
      <c r="V329" s="3">
        <f>984.5+(358.9-370.5)+(0.502095+(0.183039-0.188955))+0-323.7-0.165086999999967</f>
        <v>649.53109200000006</v>
      </c>
      <c r="W329" s="3">
        <f>986.7+(389.1-369.7)+(0+(0-0))+0-324-0</f>
        <v>682.10000000000014</v>
      </c>
      <c r="X329" s="3">
        <f>991.5+(432.8-401.8)+(-0.505665+(-0.220728--0.204918))+0-325.3--0.165902999999967</f>
        <v>696.84442799999999</v>
      </c>
      <c r="Y329" s="3">
        <f>996.2+(434.2-379.3)+(0+(0-0))+0-324.1-0</f>
        <v>726.99999999999989</v>
      </c>
      <c r="Z329" s="3">
        <f>1001.1+(373.2-381.2)+(-2.552805+(-0.95166--0.97206))+0-323.5--0.824924999999953</f>
        <v>667.89251999999999</v>
      </c>
      <c r="AA329" s="3">
        <f>1004.2+(358.4-355.3)+(0+(0-0))+0-322.7-0</f>
        <v>684.59999999999991</v>
      </c>
      <c r="AB329" s="3">
        <f>1005.4+(329.7-400.7)+(-2.56377+(-0.840735--1.021785))+0-324.6--0.827729999999953</f>
        <v>608.24500999999998</v>
      </c>
      <c r="AC329" s="3">
        <f>1006.4+(300.2-365.1)+(-2.56632+(-0.76551--0.931005))+0-322.8--0.823139999999953</f>
        <v>617.12231499999984</v>
      </c>
      <c r="AD329">
        <v>681.09999999999991</v>
      </c>
      <c r="AE329" s="3">
        <f>993+(434-412.1)+(0+(0-0))+0-333.8-0</f>
        <v>681.09999999999991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1009.4+(254.3-402.3)+(-1.029588+(-0.259386--0.410346))+0-323--0.329460000000051</f>
        <v>537.85083199999997</v>
      </c>
      <c r="G330" s="3">
        <f>1009.8+(255.7-386.6)+(2.059992+(0.521628-0.788664))+0-323.9-0.660755999999986</f>
        <v>556.1321999999999</v>
      </c>
      <c r="H330" s="3">
        <f>1015.5+(241.3-425.5)+(1.553715+(0.369189-0.651015))+0-325.6-0.498168000000019</f>
        <v>506.4737209999999</v>
      </c>
      <c r="I330" s="3">
        <f>1014.9+(227.7-416)+(-2.070396+(-0.464508--0.84864))+0-323.8--0.660551999999986</f>
        <v>501.77428799999984</v>
      </c>
      <c r="J330" s="3">
        <f>1017+(195.2-350.4)+(1.03734+(0.199104-0.357408))+0-322.7-0.329154000000051</f>
        <v>539.64988199999993</v>
      </c>
      <c r="K330" s="3">
        <f>1019.9+(258.1-410.3)+(0+(0-0))+0-323.2-0</f>
        <v>544.5</v>
      </c>
      <c r="L330" s="3">
        <f>1017.2+(320.9-407.6)+(0.518772+(0.163659-0.207876))+0-322.2-0.164321999999967</f>
        <v>608.61023299999999</v>
      </c>
      <c r="M330" s="3">
        <f>1020.1+(315.7-445.3)+(-1.040502+(-0.322014--0.454206))+0-320--0.326400000000051</f>
        <v>569.91809000000001</v>
      </c>
      <c r="N330" s="3">
        <f>1012.3+(326.3-407)+(-0.516273+(-0.166413--0.20757))+0-322.5--0.164474999999967</f>
        <v>608.78935899999988</v>
      </c>
      <c r="O330" s="3">
        <f>1011+(314.6-410.2)+(-0.51561+(-0.160446--0.209202))+0-323.9--0.165188999999967</f>
        <v>591.19833500000004</v>
      </c>
      <c r="P330" s="3">
        <f>1011.3+(272.8-321.6)+(-1.547289+(-0.417384--0.492048))+0-321.1--0.491283000000019</f>
        <v>640.41865800000005</v>
      </c>
      <c r="Q330" s="3">
        <f>1014.8+(268.5-341.6)+(-0.517548+(-0.136935--0.174216))+0-323.5--0.164984999999967</f>
        <v>617.88471799999991</v>
      </c>
      <c r="R330" s="3">
        <f>1013.6+(259.1-352.8)+(-1.550808+(-0.396423--0.539784))+0-322.1--0.492813000000019</f>
        <v>596.88536600000009</v>
      </c>
      <c r="S330" s="3">
        <f>1013.7+(252.8-343.8)+(0+(0-0))+0-321.3-0</f>
        <v>601.40000000000009</v>
      </c>
      <c r="T330" s="3">
        <f>1014.4+(241.5-337.5)+(-0.517344+(-0.123165--0.172125))+0-319--0.162689999999968</f>
        <v>599.09430599999996</v>
      </c>
      <c r="U330" s="3">
        <f>1016.4+(246-307.3)+(-0.518364+(-0.12546--0.156723))+0-318.6--0.162485999999968</f>
        <v>636.17538499999978</v>
      </c>
      <c r="V330" s="3">
        <f>1017.4+(260.5-291.6)+(1.037748+(0.26571-0.297432))+0-318.9-0.325278000000051</f>
        <v>668.08074799999997</v>
      </c>
      <c r="W330" s="3">
        <f>1018+(284.1-318.9)+(-0.51918+(-0.144891--0.162639))+0-320.6--0.163505999999967</f>
        <v>662.26207399999998</v>
      </c>
      <c r="X330" s="3">
        <f>1016.3+(344.9-308.1)+(-0.518313+(-0.175899--0.157131))+0-321.1--0.163760999999967</f>
        <v>731.62667999999996</v>
      </c>
      <c r="Y330" s="3">
        <f>1016.9+(297.5-294.1)+(-2.074476+(-0.6069--0.599964))+0-322.3--0.657491999999986</f>
        <v>696.57607999999993</v>
      </c>
      <c r="Z330" s="3">
        <f>1017.6+(273.6-272)+(-0.518976+(-0.139536--0.13872))+0-325.3--0.165902999999967</f>
        <v>693.546111</v>
      </c>
      <c r="AA330" s="3">
        <f>1019.4+(225.8-242.2)+(2.079576+(0.460632-0.494088))+0-323.2-0.659327999999986</f>
        <v>681.18679199999997</v>
      </c>
      <c r="AB330" s="3">
        <f>1020.7+(219.9-291.9)+(-1.041114+(-0.224298--0.297738))+0-323--0.329460000000051</f>
        <v>625.0617860000001</v>
      </c>
      <c r="AC330" s="3">
        <f>1021.7+(192.2-309.5)+(-2.084268+(-0.392088--0.63138))+0-322.8--0.658511999999986</f>
        <v>580.41353600000002</v>
      </c>
      <c r="AD330">
        <v>739.29999999999984</v>
      </c>
      <c r="AE330" s="3">
        <f>1016+(352.3-307.1)+(0+(0-0))+0-321.9-0</f>
        <v>739.30000000000007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1022.5+(166.3-334.6)+(-1.564425+(-0.254439--0.511938))+0-323.5--0.494955000000019</f>
        <v>529.88802900000007</v>
      </c>
      <c r="G331" s="3">
        <f>1024.7+(169.4-320.4)+(-1.045194+(-0.172788--0.326808))+0-325.6--0.332112000000052</f>
        <v>547.5409380000001</v>
      </c>
      <c r="H331" s="3">
        <f>1026.1+(161.2-343.8)+(0.523311+(0.082212-0.175338))+0-327.3-0.166922999999967</f>
        <v>516.46326199999999</v>
      </c>
      <c r="I331" s="3">
        <f>1026.4+(157.9-351.1)+(0+(0-0))+0-322.7-0</f>
        <v>510.50000000000006</v>
      </c>
      <c r="J331" s="3">
        <f>1028.5+(157.2-314.7)+(0.524535+(0.080172-0.160497))+0-322.5-0.164474999999967</f>
        <v>548.77973500000007</v>
      </c>
      <c r="K331" s="3">
        <f>1029.2+(171.8-324.3)+(2.62446+(0.43809-0.826965))+0-318.8-0.812939999999954</f>
        <v>559.32264500000008</v>
      </c>
      <c r="L331" s="3">
        <f>1030.7+(224-317.8)+(-0.525657+(-0.11424--0.162078))+0-318.6--0.162485999999968</f>
        <v>617.98466700000006</v>
      </c>
      <c r="M331" s="3">
        <f>1029+(237.5-353)+(0+(0-0))+0-317.5-0</f>
        <v>596</v>
      </c>
      <c r="N331" s="3">
        <f>1023.5+(250.3-326.7)+(0+(0-0))+0-318.5-0</f>
        <v>628.6</v>
      </c>
      <c r="O331" s="3">
        <f>1016.9+(251.6-357.3)+(0.518619+(0.128316-0.182223))+0-319.8-0.163097999999968</f>
        <v>591.70161399999984</v>
      </c>
      <c r="P331" s="3">
        <f>1012.9+(277.4-312.1)+(-1.033158+(-0.282948--0.318342))+0-322--0.328440000000051</f>
        <v>655.53067599999997</v>
      </c>
      <c r="Q331" s="3">
        <f>1008.5+(280-341.2)+(-1.543005+(-0.4284--0.522036))+0-322--0.492660000000019</f>
        <v>624.34329099999991</v>
      </c>
      <c r="R331" s="3">
        <f>1006.2+(302.2-353.9)+(-1.026324+(-0.308244--0.360978))+0-320.9--0.327318000000051</f>
        <v>632.95372800000018</v>
      </c>
      <c r="S331" s="3">
        <f>1005.1+(297.8-344.4)+(1.537803+(0.455634-0.526932))+0-320.3-0.490059000000019</f>
        <v>639.17644599999994</v>
      </c>
      <c r="T331" s="3">
        <f>1005+(299.2-317.7)+(-1.0251+(-0.305184--0.324054))+0-321.2--0.327624000000051</f>
        <v>664.62139400000001</v>
      </c>
      <c r="U331" s="3">
        <f>1003.5+(271.9-309.2)+(0.511785+(0.138669-0.157692))+0-320.5-0.163454999999967</f>
        <v>646.02930700000002</v>
      </c>
      <c r="V331" s="3">
        <f>1003.2+(271.5-296.5)+(0.511632+(0.138465-0.151215))+0-319.1-0.162740999999968</f>
        <v>659.43614100000002</v>
      </c>
      <c r="W331" s="3">
        <f>1007.1+(317.9-303.3)+(0.513621+(0.162129-0.154683))+0-320.4-0.163403999999967</f>
        <v>701.65766300000007</v>
      </c>
      <c r="X331" s="3">
        <f>1009.8+(356.5-305)+(0+(0-0))+0-322.6-0</f>
        <v>738.69999999999993</v>
      </c>
      <c r="Y331" s="3">
        <f>1012.3+(328-296.2)+(-2.581365+(-0.8364--0.75531))+0-323.6--0.825179999999953</f>
        <v>718.66272499999991</v>
      </c>
      <c r="Z331" s="3">
        <f>1012.5+(300.7-290)+(-0.516375+(-0.153357--0.1479))+0-322.3--0.164372999999967</f>
        <v>700.54254099999991</v>
      </c>
      <c r="AA331" s="3">
        <f>1014.4+(290.6-287.4)+(-1.552032+(-0.444618--0.439722))+0-322.8--0.493884000000019</f>
        <v>693.73695599999996</v>
      </c>
      <c r="AB331" s="3">
        <f>1016.9+(249-315.3)+(-0.518619+(-0.12699--0.160803))+0-323.9--0.165188999999967</f>
        <v>626.38038299999982</v>
      </c>
      <c r="AC331" s="3">
        <f>1016+(239-323.6)+(-2.5908+(-0.60945--0.82518))+0-325.2--0.829259999999953</f>
        <v>604.65418999999997</v>
      </c>
      <c r="AD331">
        <v>747.10000000000014</v>
      </c>
      <c r="AE331" s="3">
        <f>1010+(350.4-290.8)+(0+(0-0))+0-322.5-0</f>
        <v>747.09999999999991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1019.6+(219-278.5)+(-2.079984+(-0.44676--0.56814))+0-324.8--0.662591999999986</f>
        <v>634.00398800000005</v>
      </c>
      <c r="G332" s="3">
        <f>1021.5+(222.1-269.3)+(0+(0-0))+0-323.5-0</f>
        <v>650.79999999999995</v>
      </c>
      <c r="H332" s="3">
        <f>1022.7+(223.7-253.1)+(-0.521577+(-0.114087--0.129081))+0-327.4--0.166973999999967</f>
        <v>665.5603910000001</v>
      </c>
      <c r="I332" s="3">
        <f>1028+(223.5-284)+(1.04856+(0.22797-0.28968))+0-325.7-0.332214000000052</f>
        <v>642.45463599999994</v>
      </c>
      <c r="J332" s="3">
        <f>1027.3+(220.1-267.7)+(-1.047846+(-0.224502--0.273054))+0-323.7--0.330174000000052</f>
        <v>655.33088000000009</v>
      </c>
      <c r="K332" s="3">
        <f>1028.6+(219-294.9)+(0.524586+(0.11169-0.150399))+0-321.3-0.163862999999967</f>
        <v>631.72201399999994</v>
      </c>
      <c r="L332" s="3">
        <f>1024.1+(233-323.3)+(0+(0-0))+0-319.3-0</f>
        <v>614.5</v>
      </c>
      <c r="M332" s="3">
        <f>1024.8+(228.8-362.7)+(0.522648+(0.116688-0.184977))+0-316.5-0.161414999999968</f>
        <v>574.69294400000001</v>
      </c>
      <c r="N332" s="3">
        <f>1015.2+(217.6-381.4)+(1.553256+(0.332928-0.583542))+0-315.7-0.483021000000018</f>
        <v>536.51962100000014</v>
      </c>
      <c r="O332" s="3">
        <f>1007.2+(219.9-388.1)+(1.541016+(0.336447-0.593793))+0-317.6-0.485928000000018</f>
        <v>522.19774199999995</v>
      </c>
      <c r="P332" s="3">
        <f>1008.3+(219.9-385.1)+(2.056932+(0.448596-0.785604))+0-318.1-0.648923999999986</f>
        <v>526.07099999999991</v>
      </c>
      <c r="Q332" s="3">
        <f>1006.1+(231.9-376.8)+(-1.026222+(-0.236538--0.384336))+0-319.6--0.325992000000051</f>
        <v>541.04756800000007</v>
      </c>
      <c r="R332" s="3">
        <f>1002.6+(227.7-360.9)+(-2.55663+(-0.580635--0.920295))+0-320.5--0.817274999999953</f>
        <v>547.50030500000014</v>
      </c>
      <c r="S332" s="3">
        <f>1000.7+(240.7-348.2)+(0.510357+(0.122757-0.177582))+0-321.3-0.163862999999967</f>
        <v>572.19166900000005</v>
      </c>
      <c r="T332" s="3">
        <f>1001.5+(248.9-350)+(0+(0-0))+0-319.8-0</f>
        <v>580.59999999999991</v>
      </c>
      <c r="U332" s="3">
        <f>1000.6+(248.9-361.4)+(1.020612+(0.253878-0.368628))+0-321.5-0.327930000000051</f>
        <v>567.17793199999994</v>
      </c>
      <c r="V332" s="3">
        <f>1000.6+(248.9-359.4)+(-1.020612+(-0.253878--0.366588))+0-320.1--0.326502000000051</f>
        <v>569.41859999999997</v>
      </c>
      <c r="W332" s="3">
        <f>999.9+(260.9-356.6)+(-1.019898+(-0.266118--0.363732))+0-322.1--0.328542000000051</f>
        <v>581.506258</v>
      </c>
      <c r="X332" s="3">
        <f>1001.1+(255.9-337.3)+(-1.531683+(-0.391527--0.516069))+0-321.8--0.492354000000019</f>
        <v>596.98521299999993</v>
      </c>
      <c r="Y332" s="3">
        <f>1000.6+(252.9-334.8)+(-2.041224+(-0.515916--0.682992))+0-322.5--0.657899999999986</f>
        <v>594.98375200000009</v>
      </c>
      <c r="Z332" s="3">
        <f>1001+(252.9-336.5)+(-1.53153+(-0.386937--0.514845))+0-321.9--0.492507000000019</f>
        <v>594.588885</v>
      </c>
      <c r="AA332" s="3">
        <f>1001.1+(249.9-341)+(-1.531683+(-0.382347--0.52173))+0-321.1--0.491283000000019</f>
        <v>587.99898300000007</v>
      </c>
      <c r="AB332" s="3">
        <f>1000.8+(247.9-346.4)+(-1.020816+(-0.252858--0.353328))+0-320.2--0.326604000000051</f>
        <v>581.50625800000012</v>
      </c>
      <c r="AC332" s="3">
        <f>1001+(249.9-358.9)+(-1.02102+(-0.254898--0.366078))+0-318.7--0.325074000000051</f>
        <v>572.71523400000001</v>
      </c>
      <c r="AD332">
        <v>578.90000000000009</v>
      </c>
      <c r="AE332" s="3">
        <f>1002+(242-341.4)+(0+(0-0))+0-323.7-0</f>
        <v>578.90000000000009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1017.7+(243.9-366.2)+(-2.595135+(-0.621945--0.93381))+0-319.3--0.814214999999954</f>
        <v>574.630945</v>
      </c>
      <c r="G333" s="3">
        <f>1018.5+(233.9-396)+(-1.558305+(-0.357867--0.60588))+0-320.2--0.489906000000018</f>
        <v>535.37961399999995</v>
      </c>
      <c r="H333" s="3">
        <f>1020.9+(231.2-381.2)+(-1.561977+(-0.353736--0.583236))+0-320.7--0.490671000000019</f>
        <v>549.35819399999991</v>
      </c>
      <c r="I333" s="3">
        <f>1021.9+(215.6-354.6)+(-2.084676+(-0.439824--0.723384))+0-320.5--0.653819999999986</f>
        <v>561.25270399999999</v>
      </c>
      <c r="J333" s="3">
        <f>1023.9+(216-320.6)+(1.044378+(0.22032-0.327012))+0-321-0.327420000000051</f>
        <v>598.91026599999987</v>
      </c>
      <c r="K333" s="3">
        <f>1027.1+(226.9-317.7)+(0.523821+(0.115719-0.162027))+0-321-0.163709999999967</f>
        <v>615.61380300000008</v>
      </c>
      <c r="L333" s="3">
        <f>1028.7+(235.9-330.4)+(-0.524637+(-0.120309--0.168504))+0-319.7--0.163046999999968</f>
        <v>614.1866050000001</v>
      </c>
      <c r="M333" s="3">
        <f>1024.4+(251.2-363.8)+(0+(0-0))+0-318.5-0</f>
        <v>593.30000000000007</v>
      </c>
      <c r="N333" s="3">
        <f>979.3+(271-379)+(0.499443+(0.13821-0.19329))+0-318.1-0.162230999999968</f>
        <v>553.48213199999987</v>
      </c>
      <c r="O333" s="3">
        <f>880.2+(280.3-293.9)+(-0.448902+(-0.142953--0.149889))+0-321.1--0.163760999999967</f>
        <v>545.22179500000016</v>
      </c>
      <c r="P333" s="3">
        <f>863.9+(282.3-280.7)+(0+(0-0))+0-321.2-0</f>
        <v>544.29999999999995</v>
      </c>
      <c r="Q333" s="3">
        <f>857.2+(285.3-287.1)+(-0.874344+(-0.291006--0.292842))+0-320.2--0.326604000000051</f>
        <v>534.65409600000021</v>
      </c>
      <c r="R333" s="3">
        <f>860.1+(287.9-260.3)+(-1.754604+(-0.587316--0.531012))+0-321.4--0.655655999999986</f>
        <v>565.14474800000005</v>
      </c>
      <c r="S333" s="3">
        <f>858.7+(274.5-273.6)+(-1.751748+(-0.55998--0.558144))+0-323.2--0.659327999999986</f>
        <v>535.305744</v>
      </c>
      <c r="T333" s="3">
        <f>861.7+(274.7-249.7)+(-0.878934+(-0.280194--0.254694))+0-321.5--0.327930000000051</f>
        <v>564.62349600000005</v>
      </c>
      <c r="U333" s="3">
        <f>860.2+(275.1-260.7)+(-1.754808+(-0.561204--0.531828))+0-322.5--0.657899999999986</f>
        <v>550.97371600000019</v>
      </c>
      <c r="V333" s="3">
        <f>861.3+(276.6-264.6)+(-0.439263+(-0.141066--0.134946))+0-320.8--0.163607999999967</f>
        <v>552.21822499999996</v>
      </c>
      <c r="W333" s="3">
        <f>864.1+(292.6-266.3)+(-1.322073+(-0.447678--0.407439))+0-324.6--0.496638000000019</f>
        <v>564.93432600000017</v>
      </c>
      <c r="X333" s="3">
        <f>868.9+(303-256.9)+(-0.886278+(-0.30906--0.262038))+0-323.9--0.330378000000052</f>
        <v>590.49707799999999</v>
      </c>
      <c r="Y333" s="3">
        <f>872+(308.5-256.4)+(-0.88944+(-0.31467--0.261528))+0-321.6--0.328032000000051</f>
        <v>601.88544999999999</v>
      </c>
      <c r="Z333" s="3">
        <f>871.4+(304.8-240.3)+(-1.333242+(-0.466344--0.367659))+0-322.1--0.492813000000019</f>
        <v>612.86088600000005</v>
      </c>
      <c r="AA333" s="3">
        <f>870.4+(313.5-263.3)+(-0.887808+(-0.31977--0.268566))+0-321.6--0.328032000000051</f>
        <v>598.38901999999985</v>
      </c>
      <c r="AB333" s="3">
        <f>869.9+(326.9-250)+(-1.330947+(-0.500157--0.3825))+0-320.4--0.490212000000018</f>
        <v>625.44160799999997</v>
      </c>
      <c r="AC333" s="3">
        <f>867.9+(320.8-245.5)+(0+(0-0))+0-316.9-0</f>
        <v>626.30000000000007</v>
      </c>
      <c r="AD333">
        <v>563.79999999999995</v>
      </c>
      <c r="AE333" s="3">
        <f>859+(275.5-251.2)+(0+(0-0))+0-319.5-0</f>
        <v>563.79999999999995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867.8+(314.1-275.3)+(-0.885156+(-0.320382--0.280806))+0-318.5--0.324870000000051</f>
        <v>587.50013799999999</v>
      </c>
      <c r="G334" s="3">
        <f>868.5+(285.6-285.1)+(-0.442935+(-0.145656--0.145401))+0-318.9--0.162638999999968</f>
        <v>549.81944900000008</v>
      </c>
      <c r="H334" s="3">
        <f>868.5+(278.2-223.4)+(0+(0-0))+0-320.6-0</f>
        <v>602.69999999999993</v>
      </c>
      <c r="I334" s="3">
        <f>868.7+(263.1-191.4)+(-0.886074+(-0.268362--0.195228))+0-321.8--0.328236000000051</f>
        <v>617.96902800000021</v>
      </c>
      <c r="J334" s="3">
        <f>868.3+(273.2-196.5)+(2.214165+(0.69666-0.501075))+0-320.3-0.816764999999954</f>
        <v>626.29298500000016</v>
      </c>
      <c r="K334" s="3">
        <f>868.3+(280.8-208.9)+(0.442833+(0.143208-0.106539))+0-319.5-0.162944999999968</f>
        <v>621.01655700000003</v>
      </c>
      <c r="L334" s="3">
        <f>867.7+(285.9-238)+(-0.885054+(-0.291618--0.24276))+0-319.4--0.325788000000051</f>
        <v>595.59187600000018</v>
      </c>
      <c r="M334" s="3">
        <f>868.5+(299.5-255.9)+(0.442935+(0.152745-0.130509))+0-317.4-0.161873999999968</f>
        <v>595.00329700000009</v>
      </c>
      <c r="N334" s="3">
        <f>865.3+(319.3-272.1)+(0+(0-0))+0-318.6-0</f>
        <v>593.9</v>
      </c>
      <c r="O334" s="3">
        <f>862.9+(341.8-271.8)+(-0.440079+(-0.174318--0.138618))+0-319.8--0.163097999999968</f>
        <v>612.78731900000002</v>
      </c>
      <c r="P334" s="3">
        <f>862.8+(300.4-299.9)+(-0.440028+(-0.153204--0.152949))+0-319.3--0.162842999999968</f>
        <v>543.72255999999982</v>
      </c>
      <c r="Q334" s="3">
        <f>861.8+(298.3-305.9)+(-1.758072+(-0.608532--0.624036))+0-319.6--0.651983999999986</f>
        <v>533.50941599999999</v>
      </c>
      <c r="R334" s="3">
        <f>863+(352.6-291.2)+(-1.32039+(-0.539478--0.445536))+0-320.5--0.490365000000019</f>
        <v>602.97603300000014</v>
      </c>
      <c r="S334" s="3">
        <f>862+(340.6-290.4)+(-1.31886+(-0.521118--0.444312))+0-318.6--0.487458000000018</f>
        <v>592.69179200000008</v>
      </c>
      <c r="T334" s="3">
        <f>861.3+(336.3-283.7)+(-1.757052+(-0.686052--0.578748))+0-319.9--0.652595999999986</f>
        <v>592.78823999999997</v>
      </c>
      <c r="U334" s="3">
        <f>860.7+(342.7-267.1)+(-0.438957+(-0.174777--0.136221))+0-319.4--0.162893999999968</f>
        <v>616.58538099999987</v>
      </c>
      <c r="V334" s="3">
        <f>861.3+(351-256.8)+(-0.439263+(-0.17901--0.130968))+0-319.7--0.163046999999968</f>
        <v>635.47574200000008</v>
      </c>
      <c r="W334" s="3">
        <f>862+(356.3-273.4)+(-0.87924+(-0.363426--0.278868))+0-319.5--0.325890000000051</f>
        <v>624.76209200000017</v>
      </c>
      <c r="X334" s="3">
        <f>859.8+(374.2-265.2)+(0+(0-0))+0-320.5-0</f>
        <v>648.29999999999995</v>
      </c>
      <c r="Y334" s="3">
        <f>861.1+(358-250.6)+(0.439161+(0.18258-0.127806))+0-319.7-0.163046999999968</f>
        <v>649.13088799999991</v>
      </c>
      <c r="Z334" s="3">
        <f>912.2+(322.9-249.1)+(-0.930444+(-0.329358--0.254082))+0-320.4--0.326808000000051</f>
        <v>664.92108800000005</v>
      </c>
      <c r="AA334" s="3">
        <f>941.8+(315.9-264.1)+(-2.40159+(-0.805545--0.673455))+0-320.1--0.816254999999954</f>
        <v>671.78257499999984</v>
      </c>
      <c r="AB334" s="3">
        <f>879.2+(320.6-217.3)+(-0.896784+(-0.327012--0.221646))+0-321.2--0.327624000000051</f>
        <v>660.62547399999994</v>
      </c>
      <c r="AC334" s="3">
        <f>862+(323.3-218.1)+(-1.75848+(-0.659532--0.444924))+0-320.4--0.653615999999986</f>
        <v>645.48052800000005</v>
      </c>
      <c r="AD334">
        <v>663.8</v>
      </c>
      <c r="AE334" s="3">
        <f>863+(384.6-261.9)+(0+(0-0))+0-321.9-0</f>
        <v>663.80000000000007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862.6+(290.5-197.1)+(-2.19963+(-0.740775--0.502605))+0-319.2--0.813959999999954</f>
        <v>635.17615999999998</v>
      </c>
      <c r="G335" s="3">
        <f>880.2+(291.3-165.9)+(-2.24451+(-0.742815--0.423045))+0-318.5--0.812174999999954</f>
        <v>685.34789499999988</v>
      </c>
      <c r="H335" s="3">
        <f>965.6+(280.4-254.6)+(-1.969824+(-0.572016--0.519384))+0-317.9--0.648515999999986</f>
        <v>672.12605999999994</v>
      </c>
      <c r="I335" s="3">
        <f>997.5+(280.3-284.6)+(-2.0349+(-0.571812--0.580584))+0-317.8--0.648311999999986</f>
        <v>674.02218400000015</v>
      </c>
      <c r="J335" s="3">
        <f>997.2+(280.4-285)+(0.508572+(0.143004-0.14535))+0-318.1-0.162230999999968</f>
        <v>674.84399499999995</v>
      </c>
      <c r="K335" s="3">
        <f>998.4+(295.8-320.6)+(2.036736+(0.603432-0.654024))+0-318.7-0.650147999999986</f>
        <v>656.23599599999989</v>
      </c>
      <c r="L335" s="3">
        <f>1007.3+(290.6-316.6)+(-2.568615+(-0.74103--0.80733))+0-317.7--0.810134999999954</f>
        <v>661.9078199999999</v>
      </c>
      <c r="M335" s="3">
        <f>1005.8+(286.5-368.1)+(1.025916+(0.29223-0.375462))+0-318-0.324360000000051</f>
        <v>606.81832399999985</v>
      </c>
      <c r="N335" s="3">
        <f>1005.1+(284.1-348.9)+(0+(0-0))+0-320.3-0</f>
        <v>620</v>
      </c>
      <c r="O335" s="3">
        <f>1001.8+(284.6-336.3)+(-0.510918+(-0.145146--0.171513))+0-319.7--0.163046999999968</f>
        <v>630.07849599999986</v>
      </c>
      <c r="P335" s="3">
        <f>996+(292-283)+(-2.5398+(-0.7446--0.72165))+0-320.6--0.817529999999954</f>
        <v>682.65477999999985</v>
      </c>
      <c r="Q335" s="3">
        <f>1008.1+(289.9-295.2)+(1.028262+(0.295698-0.301104))+0-321-0.327420000000051</f>
        <v>682.49543599999993</v>
      </c>
      <c r="R335" s="3">
        <f>1001.8+(283.3-301.2)+(-2.55459+(-0.722415--0.76806))+0-320.2--0.816509999999954</f>
        <v>662.007565</v>
      </c>
      <c r="S335" s="3">
        <f>999.9+(284.5-295.7)+(-2.549745+(-0.725475--0.754035))+0-319.9--0.815744999999954</f>
        <v>667.09456000000011</v>
      </c>
      <c r="T335" s="3">
        <f>967.6+(293.6-262)+(-0.493476+(-0.149736--0.13362))+0-319.9--0.163148999999968</f>
        <v>678.95355700000005</v>
      </c>
      <c r="U335" s="3">
        <f>995.1+(280.9-266.5)+(0+(0-0))+0-319.5-0</f>
        <v>690</v>
      </c>
      <c r="V335" s="3">
        <f>1013.4+(289.2-257.7)+(-1.033668+(-0.294984--0.262854))+0-318.1--0.324462000000051</f>
        <v>726.05866400000002</v>
      </c>
      <c r="W335" s="3">
        <f>1005.1+(288-269.3)+(0.512601+(0.14688-0.137343))+0-319.9-0.163148999999968</f>
        <v>704.25898900000004</v>
      </c>
      <c r="X335" s="3">
        <f>1010.4+(307.4-246.1)+(-0.515304+(-0.156774--0.125511))+0-321.2--0.163811999999967</f>
        <v>750.11724499999991</v>
      </c>
      <c r="Y335" s="3">
        <f>1009.1+(287.7-235.1)+(-0.514641+(-0.146727--0.119901))+0-320--0.163199999999968</f>
        <v>741.32173299999999</v>
      </c>
      <c r="Z335" s="3">
        <f>1006.8+(277.3-222.1)+(-2.053872+(-0.565692--0.453084))+0-319.7--0.652187999999986</f>
        <v>740.78570799999989</v>
      </c>
      <c r="AA335" s="3">
        <f>1007.5+(270-248.8)+(0.513825+(0.1377-0.126888))+0-319.5-0.162944999999968</f>
        <v>709.56169200000011</v>
      </c>
      <c r="AB335" s="3">
        <f>1004.9+(272-206.6)+(-2.049996+(-0.55488--0.421464))+0-319.4--0.651575999999986</f>
        <v>749.36816399999987</v>
      </c>
      <c r="AC335" s="3">
        <f>1007.2+(270-228.8)+(-2.56836+(-0.6885--0.58344))+0-320--0.815999999999954</f>
        <v>726.54257999999993</v>
      </c>
      <c r="AD335">
        <v>731.00000000000011</v>
      </c>
      <c r="AE335" s="3">
        <f>1008+(289.7-244.8)+(0+(0-0))+0-321.9-0</f>
        <v>731.00000000000011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1007.9+(91-203.7)+(-1.542087+(-0.13923--0.311661))+0-319.8--0.489294000000018</f>
        <v>574.51963799999999</v>
      </c>
      <c r="G336" s="3">
        <f>1008.4+(74-190.6)+(-2.057136+(-0.15096--0.388824))+0-321.8--0.656471999999986</f>
        <v>568.83720000000005</v>
      </c>
      <c r="H336" s="3">
        <f>1010.8+(56-217.1)+(1.031016+(0.05712-0.221442))+0-321.9-0.328338000000051</f>
        <v>528.33835599999998</v>
      </c>
      <c r="I336" s="3">
        <f>909.3+(59-198.8)+(-1.391229+(-0.09027--0.304164))+0-320.3--0.490059000000019</f>
        <v>448.51272400000005</v>
      </c>
      <c r="J336" s="3">
        <f>908.4+(91.9-157.7)+(-0.463284+(-0.046869--0.080427))+0-319.9--0.163148999999968</f>
        <v>522.43342300000006</v>
      </c>
      <c r="K336" s="3">
        <f>908.6+(134-180)+(0.926772+(0.13668-0.1836))+0-320.4-0.326808000000051</f>
        <v>542.75304400000005</v>
      </c>
      <c r="L336" s="3">
        <f>910.9+(211-221.4)+(0.464559+(0.10761-0.112914))+0-320.2-0.163301999999968</f>
        <v>580.59595300000001</v>
      </c>
      <c r="M336" s="3">
        <f>910.5+(249.6-219.8)+(0.464355+(0.127296-0.112098))+0-318.1-0.162230999999968</f>
        <v>622.51732199999992</v>
      </c>
      <c r="N336" s="3">
        <f>880.6+(280.3-219.5)+(-0.449106+(-0.142953--0.111945))+0-319.6--0.162995999999968</f>
        <v>621.48288200000013</v>
      </c>
      <c r="O336" s="3">
        <f>833.8+(347-225.5)+(-0.425238+(-0.17697--0.115005))+0-321.1--0.163760999999967</f>
        <v>633.87655799999993</v>
      </c>
      <c r="P336" s="3">
        <f>840.8+(311.8-235.3)+(0.428808+(0.159018-0.120003))+0-320-0.163199999999968</f>
        <v>597.60462299999995</v>
      </c>
      <c r="Q336" s="3">
        <f>796.1+(407.2-222.3)+(-0.812022+(-0.415344--0.226746))+0-322.6--0.329052000000051</f>
        <v>657.728432</v>
      </c>
      <c r="R336" s="3">
        <f>722.4+(410.5-219.6)+(-1.473696+(-0.83742--0.447984))+0-325.4--0.663815999999986</f>
        <v>586.70068400000002</v>
      </c>
      <c r="S336" s="3">
        <f>714+(409.8-213.3)+(-1.09242+(-0.626994--0.326349))+5.1-323.4--0.494802000000019</f>
        <v>591.30173700000012</v>
      </c>
      <c r="T336" s="3">
        <f>709.6+(394.5-209)+(0.361896+(0.201195-0.10659))+0-324.8-0.165647999999967</f>
        <v>570.59085300000015</v>
      </c>
      <c r="U336" s="3">
        <f>716+(402.1-205.8)+(-1.46064+(-0.820284--0.419832))+0-320.5--0.653819999999986</f>
        <v>590.59272799999997</v>
      </c>
      <c r="V336" s="3">
        <f>727.5+(417.4-187.8)+(0+(0-0))+0-321.6-0</f>
        <v>635.49999999999989</v>
      </c>
      <c r="W336" s="3">
        <f>730+(384.4-180.7)+(-0.3723+(-0.196044--0.092157))+0-321.5--0.163964999999967</f>
        <v>611.88777800000003</v>
      </c>
      <c r="X336" s="3">
        <f>731.5+(438.3-177.3)+(-0.373065+(-0.223533--0.090423))+0-321.8--0.164117999999967</f>
        <v>670.35794299999998</v>
      </c>
      <c r="Y336" s="3">
        <f>733.2+(431.6-175.2)+(-1.121796+(-0.660348--0.268056))+0-321.3--0.491589000000019</f>
        <v>667.27750100000003</v>
      </c>
      <c r="Z336" s="3">
        <f>734.4+(417.6-163.4)+(-1.87272+(-1.06488--0.41667))+0-322--0.821099999999953</f>
        <v>664.90017</v>
      </c>
      <c r="AA336" s="3">
        <f>736.3+(355.5-164.1)+(0.375513+(0.181305-0.083691))+0-323.1-0.164780999999967</f>
        <v>604.90834599999994</v>
      </c>
      <c r="AB336" s="3">
        <f>736.1+(361.1-137.8)+(-1.501644+(-0.736644--0.281112))+0-322.2--0.657287999999986</f>
        <v>635.90011200000015</v>
      </c>
      <c r="AC336" s="3">
        <f>735.4+(333.6-124.3)+(-1.500216+(-0.680544--0.253572))+0-322--0.656879999999986</f>
        <v>621.42969200000005</v>
      </c>
      <c r="AD336">
        <v>734.69999999999993</v>
      </c>
      <c r="AE336" s="3">
        <f>733+(492.3-167.5)+(0+(0-0))+0-323.1-0</f>
        <v>734.69999999999993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736.8+(331-105.9)+(-1.503072+(-0.67524--0.216036))+0-322.8--0.658511999999986</f>
        <v>637.79623599999991</v>
      </c>
      <c r="G337" s="3">
        <f>738.6+(202.6-124.8)+(-1.130058+(-0.309978--0.190944))+0-324.1--0.495873000000019</f>
        <v>491.54678099999995</v>
      </c>
      <c r="H337" s="3">
        <f>740.6+(200.8-115.3)+(-0.755412+(-0.204816--0.117606))+0-321.9--0.328338000000051</f>
        <v>503.68571600000007</v>
      </c>
      <c r="I337" s="3">
        <f>739.3+(202.4-124.5)+(-0.754086+(-0.206448--0.12699))+0-319.1--0.325482000000051</f>
        <v>497.59193800000003</v>
      </c>
      <c r="J337" s="3">
        <f>739.9+(226.5-130.5)+(0.754698+(0.23103-0.13311))+0-321-0.327420000000051</f>
        <v>515.42519799999991</v>
      </c>
      <c r="K337" s="3">
        <f>740.3+(260.5-166.7)+(1.132659+(0.398565-0.255051))+0-319.9-0.489447000000018</f>
        <v>514.98672599999986</v>
      </c>
      <c r="L337" s="3">
        <f>740.2+(343.8-199.7)+(0.755004+(0.350676-0.203694))+0-320.1-0.326502000000051</f>
        <v>564.77548400000001</v>
      </c>
      <c r="M337" s="3">
        <f>740.5+(376.1-224.1)+(-0.377655+(-0.191811--0.114291))+0-316.4--0.161363999999968</f>
        <v>575.8061889999999</v>
      </c>
      <c r="N337" s="3">
        <f>738.5+(392.6-223.2)+(1.129905+(0.600678-0.341496))+0-317.4-0.485622000000018</f>
        <v>591.4034650000001</v>
      </c>
      <c r="O337" s="3">
        <f>736.2+(413.4-211.7)+(0.750924+(0.421668-0.215934))+0-321-0.327420000000051</f>
        <v>617.52923799999996</v>
      </c>
      <c r="P337" s="3">
        <f>732.9+(390.7-218.3)+(0.747558+(0.398514-0.222666))+0-321.8-0.328236000000051</f>
        <v>584.09516999999983</v>
      </c>
      <c r="Q337" s="3">
        <f>727.3+(408.9-212.5)+(-0.370923+(-0.208539--0.108375))+0-321.5--0.163964999999967</f>
        <v>601.89287799999988</v>
      </c>
      <c r="R337" s="3">
        <f>722.7+(398.9-215.6)+(-1.105731+(-0.610317--0.329868))+0-321.2--0.491436000000019</f>
        <v>583.90525600000001</v>
      </c>
      <c r="S337" s="3">
        <f>721.1+(393.2-197.6)+(0.367761+(0.200532-0.100776))+0-321.3-0.163862999999967</f>
        <v>595.70365400000014</v>
      </c>
      <c r="T337" s="3">
        <f>724.5+(400.5-192.8)+(-0.369495+(-0.204255--0.098328))+0-321.8--0.164117999999967</f>
        <v>610.08869600000003</v>
      </c>
      <c r="U337" s="3">
        <f>726.4+(354.6-176.2)+(-1.481856+(-0.723384--0.359448))+0-321.1--0.655043999999986</f>
        <v>582.50925199999995</v>
      </c>
      <c r="V337" s="3">
        <f>725.7+(367.2-167.3)+(0.370107+(0.187272-0.085323))+0-320.6-0.163505999999967</f>
        <v>605.30854999999997</v>
      </c>
      <c r="W337" s="3">
        <f>755.7+(384.8-182.4)+(0+(0-0))+0-322.3-0</f>
        <v>635.79999999999995</v>
      </c>
      <c r="X337" s="3">
        <f>841.5+(380.6-221)+(-0.85833+(-0.388212--0.22542))+0-321.1--0.327522000000051</f>
        <v>679.30640000000005</v>
      </c>
      <c r="Y337" s="3">
        <f>849.3+(324.3-219.7)+(-3.032001+(-1.157751--0.784329))+0-320.1--1.142757</f>
        <v>631.53733399999987</v>
      </c>
      <c r="Z337" s="3">
        <f>853+(269.3-185.7)+(-1.74012+(-0.549372--0.378828))+0-320.6--0.654023999999986</f>
        <v>614.74335999999994</v>
      </c>
      <c r="AA337" s="3">
        <f>856.5+(231.5-180.4)+(-2.62089+(-0.70839--0.552024))+0-319.6--0.977976000000037</f>
        <v>586.20072000000005</v>
      </c>
      <c r="AB337" s="3">
        <f>856+(193.8-166.5)+(-0.87312+(-0.197676--0.16983))+0-317.6--0.323952000000051</f>
        <v>565.12298599999997</v>
      </c>
      <c r="AC337" s="3">
        <f>857.3+(161.2-160.6)+(-1.748892+(-0.328848--0.327624))+0-320.4--0.653615999999986</f>
        <v>536.40349999999989</v>
      </c>
      <c r="AD337">
        <v>731.99999999999989</v>
      </c>
      <c r="AE337" s="3">
        <f>840+(422.8-213.7)+(0+(0-0))+0-317.1-0</f>
        <v>731.99999999999989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865.2+(147.8-155.4)+(-1.323756+(-0.226134--0.237762))+0-319.8--0.489294000000018</f>
        <v>536.9771659999999</v>
      </c>
      <c r="G338" s="3">
        <f>872.5+(156.6-145.1)+(-0.444975+(-0.079866--0.074001))+0-320.2--0.163301999999968</f>
        <v>563.51246199999991</v>
      </c>
      <c r="H338" s="3">
        <f>981.9+(113-228.8)+(-2.503845+(-0.28815--0.58344))+0-317.3--0.809114999999954</f>
        <v>547.4005599999997</v>
      </c>
      <c r="I338" s="3">
        <f>971.6+(93.5-230.1)+(-0.991032+(-0.09537--0.234702))+0-316.7--0.323034000000051</f>
        <v>517.77133400000002</v>
      </c>
      <c r="J338" s="3">
        <f>967.7+(102.7-230.5)+(-1.974108+(-0.209508--0.47022))+0-316.3--0.645251999999986</f>
        <v>522.53185600000006</v>
      </c>
      <c r="K338" s="3">
        <f>968.1+(141.2-224.8)+(0+(0-0))+0-317.4-0</f>
        <v>567.1</v>
      </c>
      <c r="L338" s="3">
        <f>967.8+(191.3-281.1)+(-1.974312+(-0.390252--0.573444))+0-320.1--0.653003999999986</f>
        <v>556.76188400000001</v>
      </c>
      <c r="M338" s="3">
        <f>967.9+(235.8-267)+(-0.493629+(-0.120258--0.13617))+0-318.5--0.162434999999968</f>
        <v>617.88471800000002</v>
      </c>
      <c r="N338" s="3">
        <f>967.1+(239.2-300.1)+(1.972884+(0.487968-0.612204))+0-322.6-0.658103999999986</f>
        <v>584.79054400000007</v>
      </c>
      <c r="O338" s="3">
        <f>965.6+(281.8-293)+(0.492456+(0.143718-0.14943))+0-321.6-0.164015999999967</f>
        <v>633.12272800000017</v>
      </c>
      <c r="P338" s="3">
        <f>964.6+(273.5-299.6)+(0+(0-0))+0-321-0</f>
        <v>617.5</v>
      </c>
      <c r="Q338" s="3">
        <f>963.3+(281.3-296.6)+(-1.965132+(-0.573852--0.605064))+0-321--0.654839999999986</f>
        <v>625.72092000000009</v>
      </c>
      <c r="R338" s="3">
        <f>962.4+(322.7-302.8)+(-2.45412+(-0.822885--0.77214))+0-322.7--0.822884999999953</f>
        <v>657.91801999999996</v>
      </c>
      <c r="S338" s="3">
        <f>961+(323.2-292.6)+(-1.47033+(-0.494496--0.447678))+0-322.4--0.493272000000019</f>
        <v>668.17612399999996</v>
      </c>
      <c r="T338" s="3">
        <f>960.6+(283.5-292.9)+(-1.469718+(-0.433755--0.448137))+0-321.8--0.492354000000019</f>
        <v>628.43701800000008</v>
      </c>
      <c r="U338" s="3">
        <f>960.9+(262.4-294.3)+(-1.470177+(-0.401472--0.450279))+0-321.9--0.492507000000019</f>
        <v>606.17113700000004</v>
      </c>
      <c r="V338" s="3">
        <f>960.4+(270-289.6)+(0.979608+(0.2754-0.295392))+0-324.4-0.330888000000052</f>
        <v>617.02872799999989</v>
      </c>
      <c r="W338" s="3">
        <f>985.3+(303.6-288.2)+(0.502503+(0.154836-0.146982))+0-326.6-0.166565999999967</f>
        <v>674.44379100000003</v>
      </c>
      <c r="X338" s="3">
        <f>1024+(318.5-310.3)+(0+(0-0))+0-322.9-0</f>
        <v>709.30000000000007</v>
      </c>
      <c r="Y338" s="3">
        <f>1009.3+(331.2-302.8)+(-2.573715+(-0.84456--0.77214))+0-323.1--0.823904999999953</f>
        <v>712.7777699999998</v>
      </c>
      <c r="Z338" s="3">
        <f>935.3+(352.8-299.9)+(0+(0-0))+0-323.5-0</f>
        <v>664.7</v>
      </c>
      <c r="AA338" s="3">
        <f>931.4+(342.4-286.4)+(-1.425042+(-0.523872--0.438192))+0-322--0.492660000000019</f>
        <v>664.38193799999999</v>
      </c>
      <c r="AB338" s="3">
        <f>937.3+(285.8-292.1)+(-1.434069+(-0.437274--0.446913))+0-322--0.492660000000019</f>
        <v>608.06822999999997</v>
      </c>
      <c r="AC338" s="3">
        <f>941.7+(264.1-279.1)+(-0.960534+(-0.269382--0.284682))+0-320.1--0.326502000000051</f>
        <v>605.981268</v>
      </c>
      <c r="AD338">
        <v>699.4</v>
      </c>
      <c r="AE338" s="3">
        <f>1029+(307.6-310.6)+(0+(0-0))+0-326.6-0</f>
        <v>699.4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1023.7+(186.8-350.1)+(-1.566261+(-0.285804--0.535653))+0-319.7--0.489141000000018</f>
        <v>539.87272900000016</v>
      </c>
      <c r="G339" s="3">
        <f>1026.7+(176.5-371.8)+(0+(0-0))+0-320.7-0</f>
        <v>510.7000000000001</v>
      </c>
      <c r="H339" s="3">
        <f>1028.1+(152.8-391.1)+(-1.572993+(-0.233784--0.598383))+0-322.2--0.492966000000019</f>
        <v>466.88457199999999</v>
      </c>
      <c r="I339" s="3">
        <f>1028.5+(129.1-390.3)+(0.524535+(0.065841-0.199053))+0-323.2-0.164831999999967</f>
        <v>444.32649100000003</v>
      </c>
      <c r="J339" s="3">
        <f>1030.1+(134.2-393.2)+(-0.525351+(-0.068442--0.200532))+0-321.7--0.164066999999967</f>
        <v>449.17080599999986</v>
      </c>
      <c r="K339" s="3">
        <f>1032.3+(162.2-364.6)+(1.579419+(0.248166-0.557838))+0-320.8-0.490824000000019</f>
        <v>509.87892299999987</v>
      </c>
      <c r="L339" s="3">
        <f>1050.9+(201.3-326.5)+(-0.535959+(-0.102663--0.166515))+0-318.6--0.162485999999968</f>
        <v>606.79037899999992</v>
      </c>
      <c r="M339" s="3">
        <f>1045.4+(213.1-370.5)+(0.533154+(0.108681-0.188955))+0-318-0.162179999999968</f>
        <v>570.29070000000024</v>
      </c>
      <c r="N339" s="3">
        <f>1045.7+(247.3-365.2)+(-0.533307+(-0.126123--0.186252))+0-320.1--0.163250999999968</f>
        <v>607.39007300000003</v>
      </c>
      <c r="O339" s="3">
        <f>1042.4+(236-373.7)+(-0.531624+(-0.12036--0.190587))+0-320.7--0.163556999999967</f>
        <v>583.70215999999994</v>
      </c>
      <c r="P339" s="3">
        <f>1044.1+(228-360.5)+(0+(0-0))+0-321.4-0</f>
        <v>590.19999999999993</v>
      </c>
      <c r="Q339" s="3">
        <f>1040.5+(212-318.3)+(-1.06131+(-0.21624--0.324666))+0-322.9--0.329358000000051</f>
        <v>610.6764740000001</v>
      </c>
      <c r="R339" s="3">
        <f>1039.4+(194.2-319.6)+(-2.120376+(-0.396168--0.651984))+0-319.9--0.652595999999986</f>
        <v>592.88803600000006</v>
      </c>
      <c r="S339" s="3">
        <f>1039.6+(202.2-286.8)+(-1.590588+(-0.309366--0.438804))+0-319.5--0.488835000000018</f>
        <v>634.52768499999991</v>
      </c>
      <c r="T339" s="3">
        <f>1038.8+(166-299.5)+(-2.119152+(-0.33864--0.61098))+0-320--0.652799999999986</f>
        <v>584.10598799999991</v>
      </c>
      <c r="U339" s="3">
        <f>1035.7+(185-286.2)+(-1.584621+(-0.28305--0.437886))+0-324--0.495720000000019</f>
        <v>609.56593499999997</v>
      </c>
      <c r="V339" s="3">
        <f>1034.4+(160.1-284)+(-1.055088+(-0.163302--0.28968))+0-322.5--0.328950000000051</f>
        <v>587.40024000000017</v>
      </c>
      <c r="W339" s="3">
        <f>1038+(214.9-296.4)+(-1.05876+(-0.219198--0.302328))+0-324.1--0.330582000000052</f>
        <v>631.754952</v>
      </c>
      <c r="X339" s="3">
        <f>1042.3+(294.9-313.9)+(-1.594719+(-0.451197--0.480267))+0-323.6--0.495108000000019</f>
        <v>698.629459</v>
      </c>
      <c r="Y339" s="3">
        <f>1043.4+(276-294.1)+(-1.064268+(-0.28152--0.299982))+0-321.5--0.327930000000051</f>
        <v>703.08212400000014</v>
      </c>
      <c r="Z339" s="3">
        <f>1033+(209.4-272.3)+(-3.16098+(-0.640764--0.833238))+0-321.4--0.983484000000037</f>
        <v>646.71497800000009</v>
      </c>
      <c r="AA339" s="3">
        <f>1035+(181.5-248.7)+(-1.0557+(-0.18513--0.253674))+0-323.3--0.329766000000052</f>
        <v>643.84260999999992</v>
      </c>
      <c r="AB339" s="3">
        <f>1037+(137-256.3)+(-2.64435+(-0.34935--0.653565))+0-322.4--0.822119999999953</f>
        <v>593.78198499999996</v>
      </c>
      <c r="AC339" s="3">
        <f>1036+(120.6-271)+(-2.11344+(-0.246024--0.55284))+0-319--0.650759999999986</f>
        <v>565.44413599999996</v>
      </c>
      <c r="AD339">
        <v>655</v>
      </c>
      <c r="AE339" s="3">
        <f>1019+(277.5-316.6)+(0+(0-0))+0-324.9-0</f>
        <v>655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1037+(114.6-307.6)+(-1.05774+(-0.116892--0.313752))+0-319--0.325380000000051</f>
        <v>524.46450000000004</v>
      </c>
      <c r="G340" s="3">
        <f>1037+(94.2-314.6)+(0+(0-0))+0-320.7-0</f>
        <v>495.89999999999992</v>
      </c>
      <c r="H340" s="3">
        <f>1039+(77.2-304)+(-0.52989+(-0.039372--0.15504))+0-321.8--0.164117999999967</f>
        <v>490.14989600000001</v>
      </c>
      <c r="I340" s="3">
        <f>1040+(79.1-322.4)+(2.1216+(0.161364-0.657696))+0-319.7-0.652187999999986</f>
        <v>477.9730800000001</v>
      </c>
      <c r="J340" s="3">
        <f>1040+(79.4-326.1)+(1.5912+(0.121482-0.498933))+0-320.6-0.490518000000019</f>
        <v>473.42323099999993</v>
      </c>
      <c r="K340" s="3">
        <f>1040+(99.7-314.1)+(2.652+(0.254235-0.800955))+0-320.1-0.816254999999954</f>
        <v>506.78902499999992</v>
      </c>
      <c r="L340" s="3">
        <f>1043+(118.3-300.9)+(-0.53193+(-0.060333--0.153459))+0-318.7--0.162536999999968</f>
        <v>541.42373300000008</v>
      </c>
      <c r="M340" s="3">
        <f>1042+(150.5-323.7)+(0+(0-0))+0-317.2-0</f>
        <v>551.59999999999991</v>
      </c>
      <c r="N340" s="3">
        <f>1038+(210.5-340.6)+(2.11752+(0.42942-0.694824))+0-318.5-0.649739999999986</f>
        <v>590.60237600000005</v>
      </c>
      <c r="O340" s="3">
        <f>1023+(228.1-318.3)+(1.04346+(0.232662-0.324666))+0-321.6-0.328032000000051</f>
        <v>611.82342399999993</v>
      </c>
      <c r="P340" s="3">
        <f>1019+(215.9-309.7)+(0+(0-0))+0-323.4-0</f>
        <v>601.80000000000007</v>
      </c>
      <c r="Q340" s="3">
        <f>1016+(250.2-300)+(1.55448+(0.382806-0.459))+0-326.7-0.499851000000019</f>
        <v>640.47843499999999</v>
      </c>
      <c r="R340" s="3">
        <f>1022+(244.6-307.4)+(-3.12732+(-0.748476--0.940644))+0-324.3--0.992358000000037</f>
        <v>632.95720600000016</v>
      </c>
      <c r="S340" s="3">
        <f>1021+(244.2-293.5)+(-3.12426+(-0.747252--0.89811))+0-320.8--0.981648000000037</f>
        <v>648.90824600000008</v>
      </c>
      <c r="T340" s="3">
        <f>1019+(216.7-293.4)+(-1.03938+(-0.221034--0.299268))+0-320.7--0.327114000000051</f>
        <v>620.96596800000009</v>
      </c>
      <c r="U340" s="3">
        <f>1019+(196.3-294.2)+(-2.59845+(-0.500565--0.75021))+0-319.8--0.815489999999954</f>
        <v>599.76668500000005</v>
      </c>
      <c r="V340" s="3">
        <f>1019+(233.8-280.9)+(-1.03938+(-0.238476--0.286518))+0-320.3--0.326706000000051</f>
        <v>650.93536800000015</v>
      </c>
      <c r="W340" s="3">
        <f>1010+(226-313.8)+(0+(0-0))+0-324.1-0</f>
        <v>598.1</v>
      </c>
      <c r="X340" s="3">
        <f>1011+(266-318.1)+(0+(0-0))+0-321.5-0</f>
        <v>637.4</v>
      </c>
      <c r="Y340" s="3">
        <f>1025+(247.3-312.2)+(-1.0455+(-0.252246--0.318444))+0-318.4--0.324768000000051</f>
        <v>641.04546600000015</v>
      </c>
      <c r="Z340" s="3">
        <f>1026+(234.4-289.5)+(-2.09304+(-0.478176--0.59058))+0-320.4--0.653615999999986</f>
        <v>649.17297999999994</v>
      </c>
      <c r="AA340" s="3">
        <f>1028+(216.1-268.3)+(0+(0-0))+0-320.5-0</f>
        <v>655.29999999999995</v>
      </c>
      <c r="AB340" s="3">
        <f>1033+(197.2-287.5)+(-2.10732+(-0.402288--0.5865))+0-319.2--0.651167999999986</f>
        <v>622.22806000000003</v>
      </c>
      <c r="AC340" s="3">
        <f>1035+(182.8-302)+(-1.0557+(-0.186456--0.30804))+0-319.6--0.325992000000051</f>
        <v>595.59187599999996</v>
      </c>
      <c r="AD340">
        <v>628.70000000000005</v>
      </c>
      <c r="AE340" s="3">
        <f>1006+(259.5-316.1)+(0+(0-0))+0-320.7-0</f>
        <v>628.70000000000005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1044+(147.7-300.2)+(-1.06488+(-0.150654--0.306204))+0-319.8--0.326196000000051</f>
        <v>571.11686600000019</v>
      </c>
      <c r="G341" s="3">
        <f>1044+(129.1-311.4)+(-0.53244+(-0.065841--0.158814))+0-320.2--0.163301999999968</f>
        <v>541.22383500000001</v>
      </c>
      <c r="H341" s="3">
        <f>1047+(114.5-306.1)+(1.60191+(0.175185-0.468333))+0-321.5-0.491895000000019</f>
        <v>534.71686699999998</v>
      </c>
      <c r="I341" s="3">
        <f>1052+(117.6-298)+(-1.60956+(-0.179928--0.45594))+0-321.5--0.491895000000019</f>
        <v>549.25834700000007</v>
      </c>
      <c r="J341" s="3">
        <f>1051+(104-278.7)+(-0.53601+(-0.05304--0.142137))+0-317.4--0.161873999999968</f>
        <v>558.61496099999999</v>
      </c>
      <c r="K341" s="3">
        <f>1053+(106.6-261.6)+(0+(0-0))+0-316.3-0</f>
        <v>581.70000000000005</v>
      </c>
      <c r="L341" s="3">
        <f>1042+(105.7-294.4)+(-2.12568+(-0.215628--0.600576))+0-317.2--0.647087999999986</f>
        <v>535.00635599999987</v>
      </c>
      <c r="M341" s="3">
        <f>1038+(125.1-296.4)+(-0.52938+(-0.063801--0.151164))+0-317.3--0.161822999999968</f>
        <v>549.11980599999993</v>
      </c>
      <c r="N341" s="3">
        <f>1033.9+(178.5-307.5)+(-0.527289+(-0.091035--0.156825))+0-319.5--0.162944999999968</f>
        <v>585.10144600000001</v>
      </c>
      <c r="O341" s="3">
        <f>1032.6+(243.8-316.3)+(0+(0-0))+0-319.3-0</f>
        <v>640.79999999999995</v>
      </c>
      <c r="P341" s="3">
        <f>1026.3+(259.9-324.3)+(0.523413+(0.132549-0.165393))+0-321.2-0.163811999999967</f>
        <v>641.02675699999986</v>
      </c>
      <c r="Q341" s="3">
        <f>1029+(290-316.5)+(-2.09916+(-0.5916--0.64566))+0-321--0.654839999999986</f>
        <v>680.10973999999999</v>
      </c>
      <c r="R341" s="3">
        <f>1022.4+(255.9-301.9)+(-1.564272+(-0.391527--0.461907))+0-320.6--0.490518000000019</f>
        <v>654.79662600000006</v>
      </c>
      <c r="S341" s="3">
        <f>1025.5+(183.3-307.5)+(-1.569015+(-0.280449--0.470475))+0-268.9--0.411417000000016</f>
        <v>631.43242799999996</v>
      </c>
      <c r="T341" s="3">
        <f>1024.8+(208.6-284.7)+(-1.567944+(-0.319158--0.435591))+0-318.5--0.487305000000018</f>
        <v>629.23579399999994</v>
      </c>
      <c r="U341" s="3">
        <f>1024.2+(173.7-291.1)+(-1.044684+(-0.177174--0.296922))+0-321.5--0.327930000000051</f>
        <v>584.70299399999999</v>
      </c>
      <c r="V341" s="3">
        <f>1025.4+(191.6-285.8)+(0+(0-0))+0-322.1-0</f>
        <v>609.1</v>
      </c>
      <c r="W341" s="3">
        <f>1027.9+(241.7-304.9)+(-1.048458+(-0.246534--0.310998))+0-321.9--0.328338000000051</f>
        <v>642.14434400000005</v>
      </c>
      <c r="X341" s="3">
        <f>1029+(310.9-330.7)+(0+(0-0))+0-322.1-0</f>
        <v>687.1</v>
      </c>
      <c r="Y341" s="3">
        <f>1031.8+(299.3-307)+(0+(0-0))+0-322.8-0</f>
        <v>701.3</v>
      </c>
      <c r="Z341" s="3">
        <f>1034.3+(228.1-285.1)+(-0.527493+(-0.116331--0.145401))+0-321.7--0.164066999999967</f>
        <v>655.26564399999984</v>
      </c>
      <c r="AA341" s="3">
        <f>1036.5+(212.3-271.1)+(0+(0-0))+0-323.5-0</f>
        <v>654.20000000000005</v>
      </c>
      <c r="AB341" s="3">
        <f>1038.1+(184.8-265.6)+(-2.647155+(-0.47124--0.67728))+0-323.3--0.824414999999953</f>
        <v>632.38329999999985</v>
      </c>
      <c r="AC341" s="3">
        <f>1037.8+(156.7-278.2)+(-2.117112+(-0.319668--0.567528))+0-322.7--0.658307999999986</f>
        <v>592.38905599999998</v>
      </c>
      <c r="AD341">
        <v>716.39999999999986</v>
      </c>
      <c r="AE341" s="3">
        <f>1031+(326.1-317)+(0+(0-0))+0-323.7-0</f>
        <v>716.39999999999986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1036.5+(142.4-267.4)+(0+(0-0))+0-321.9-0</f>
        <v>589.6</v>
      </c>
      <c r="G342" s="3">
        <f>1038.9+(98.2-298.6)+(0.529839+(0.050082-0.152286))+0-325.4-0.165953999999967</f>
        <v>513.36168100000009</v>
      </c>
      <c r="H342" s="3">
        <f>1039.2+(95.3-271)+(0+(0-0))+0-324-0</f>
        <v>539.5</v>
      </c>
      <c r="I342" s="3">
        <f>1039.3+(0-271.4)+(-0.530043+(0--0.138414))+0-323.9--0.165188999999967</f>
        <v>443.77355999999997</v>
      </c>
      <c r="J342" s="3">
        <f>1042.6+(94.9-268.2)+(-0.531726+(-0.048399--0.136782))+0-323.1--0.164780999999967</f>
        <v>545.92143799999985</v>
      </c>
      <c r="K342" s="3">
        <f>1041.3+(113.1-306.3)+(2.124252+(0.230724-0.624852))+0-323.1-0.659123999999986</f>
        <v>526.07099999999991</v>
      </c>
      <c r="L342" s="3">
        <f>1041.6+(150.9-311)+(1.062432+(0.153918-0.31722))+0-321.1-0.327522000000051</f>
        <v>560.97160799999983</v>
      </c>
      <c r="M342" s="3">
        <f>1039.1+(176-342.7)+(0.529941+(0.08976-0.174777))+0-319.9-0.163148999999968</f>
        <v>552.78177499999993</v>
      </c>
      <c r="N342" s="3">
        <f>1034.7+(194-334.2)+(0+(0-0))+0-321.5-0</f>
        <v>573</v>
      </c>
      <c r="O342" s="3">
        <f>1031.5+(201.6-331)+(0+(0-0))+0-321.4-0</f>
        <v>580.70000000000005</v>
      </c>
      <c r="P342" s="3">
        <f>1028.1+(221.6-319)+(0.524331+(0.113016-0.16269))+0-321.6-0.164015999999967</f>
        <v>609.41064099999994</v>
      </c>
      <c r="Q342" s="3">
        <f>1023.5+(221.4-322.7)+(-1.565955+(-0.338742--0.493731))+0-322.1--0.492813000000019</f>
        <v>599.18184700000006</v>
      </c>
      <c r="R342" s="3">
        <f>1029+(221.8-319.7)+(-1.57437+(-0.339354--0.489141))+0-321.8--0.492354000000019</f>
        <v>608.36777099999995</v>
      </c>
      <c r="S342" s="3">
        <f>1032+(222.1-291.7)+(-1.05264+(-0.226542--0.297534))+0-322.8--0.329256000000052</f>
        <v>638.94760800000006</v>
      </c>
      <c r="T342" s="3">
        <f>1037.2+(234.1-267.2)+(0.528972+(0.119391-0.136272))+0-323.3-0.164882999999967</f>
        <v>681.14720800000009</v>
      </c>
      <c r="U342" s="3">
        <f>1036.4+(219-294.9)+(0+(0-0))+0-321.8-0</f>
        <v>638.70000000000005</v>
      </c>
      <c r="V342" s="3">
        <f>1030+(226.4-270.7)+(-0.5253+(-0.115464--0.138057))+0-320.5--0.163454999999967</f>
        <v>664.86074800000006</v>
      </c>
      <c r="W342" s="3">
        <f>1032.8+(249.4-255.8)+(0+(0-0))+0-322.4-0</f>
        <v>703.99999999999989</v>
      </c>
      <c r="X342" s="3">
        <f>1037+(272.4-274.4)+(0+(0-0))+0-323.4-0</f>
        <v>711.6</v>
      </c>
      <c r="Y342" s="3">
        <f>1039.8+(245.1-263.5)+(-2.121192+(-0.500004--0.53754))+0-322.7--0.658307999999986</f>
        <v>697.27465200000006</v>
      </c>
      <c r="Z342" s="3">
        <f>1039.3+(238-252.1)+(0.530043+(0.12138-0.128571))+0-324.9-0.165698999999967</f>
        <v>700.65715300000011</v>
      </c>
      <c r="AA342" s="3">
        <f>1039.6+(212.2-265.5)+(-1.590588+(-0.324666--0.406215))+0-326.6--0.499698000000019</f>
        <v>658.69065899999987</v>
      </c>
      <c r="AB342" s="3">
        <f>1045+(173.2-273.5)+(-3.73065+(-0.618324--0.976395))+0-324.6--1.158822</f>
        <v>617.88624300000004</v>
      </c>
      <c r="AC342" s="3">
        <f>1046.6+(152.9-285.6)+(-3.202596+(-0.467874--0.873936))+0-324.1--0.991746000000038</f>
        <v>587.99521199999992</v>
      </c>
      <c r="AD342">
        <v>687</v>
      </c>
      <c r="AE342" s="3">
        <f>1042+(241.5-272.8)+(0+(0-0))+0-323.7-0</f>
        <v>687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1031+(119.6-300.1)+(0+(0-0))+0-325-0</f>
        <v>525.5</v>
      </c>
      <c r="G343" s="3">
        <f>1033.7+(83.5-265.4)+(-2.108748+(-0.17034--0.541416))+0-325.7--0.664427999999986</f>
        <v>525.02675600000009</v>
      </c>
      <c r="H343" s="3">
        <f>1032.4+(72.5-304.1)+(0.526524+(0.036975-0.155091))+0-325.4-0.165953999999967</f>
        <v>475.64245400000016</v>
      </c>
      <c r="I343" s="3">
        <f>1033.5+(68.2-299.2)+(-1.581255+(-0.104346--0.457776))+0-322.7--0.493731000000019</f>
        <v>479.06590599999998</v>
      </c>
      <c r="J343" s="3">
        <f>1033.9+(80.7-285.8)+(1.581867+(0.123471-0.437274))+0-321.1-0.491283000000019</f>
        <v>508.47678100000002</v>
      </c>
      <c r="K343" s="3">
        <f>1028.6+(87-333.8)+(2.098344+(0.17748-0.680952))+0-323-0.658919999999986</f>
        <v>459.735952</v>
      </c>
      <c r="L343" s="3">
        <f>1033.2+(113-369.6)+(0+(0-0))+0-317-0</f>
        <v>459.6</v>
      </c>
      <c r="M343" s="3">
        <f>1036.1+(149-384.7)+(-0.528411+(-0.07599--0.196197))+0-317.7--0.162026999999968</f>
        <v>482.45382299999989</v>
      </c>
      <c r="N343" s="3">
        <f>1033.8+(159-373.7)+(-1.054476+(-0.16218--0.381174))+0-316.7--0.323034000000051</f>
        <v>501.88755200000003</v>
      </c>
      <c r="O343" s="3">
        <f>1029.2+(150-364.7)+(-1.049784+(-0.153--0.371994))+0-319--0.325380000000051</f>
        <v>494.99459000000007</v>
      </c>
      <c r="P343" s="3">
        <f>1031.6+(159.6-353.1)+(-2.63058+(-0.40698--0.900405))+0-322.9--0.823394999999953</f>
        <v>513.88623999999993</v>
      </c>
      <c r="Q343" s="3">
        <f>1031+(157.7-355.1)+(0+(0-0))+0-320.2-0</f>
        <v>513.39999999999986</v>
      </c>
      <c r="R343" s="3">
        <f>1028.8+(171.7-344)+(-0.524688+(-0.087567--0.17544))+0-321.7--0.164066999999967</f>
        <v>534.52725199999986</v>
      </c>
      <c r="S343" s="3">
        <f>1025.5+(186.6-341.5)+(-1.04601+(-0.190332--0.34833))+0-320.8--0.327216000000051</f>
        <v>549.23920400000009</v>
      </c>
      <c r="T343" s="3">
        <f>1024.4+(198.2-390.1)+(0+(0-0))+0-321.3-0</f>
        <v>511.2</v>
      </c>
      <c r="U343" s="3">
        <f>1023.2+(197.2-404)+(-0.521832+(-0.100572--0.20604))+0-320.2--0.163301999999968</f>
        <v>495.94693800000005</v>
      </c>
      <c r="V343" s="3">
        <f>1023.2+(198.3-395.1)+(-1.565496+(-0.303399--0.604503))+0-322.5--0.493425000000019</f>
        <v>503.12903300000005</v>
      </c>
      <c r="W343" s="3">
        <f>1025.3+(224-386.3)+(-1.045806+(-0.22848--0.394026))+0-321.7--0.328134000000051</f>
        <v>540.74787400000014</v>
      </c>
      <c r="X343" s="3">
        <f>1027+(259-350.7)+(-1.57131+(-0.39627--0.536571))+0-324.2--0.496026000000019</f>
        <v>610.16501700000003</v>
      </c>
      <c r="Y343" s="3">
        <f>1030.4+(253-329.7)+(-1.051008+(-0.25806--0.336294))+0-324.6--0.331092000000052</f>
        <v>628.45831800000008</v>
      </c>
      <c r="Z343" s="3">
        <f>1033.1+(242.9-306.4)+(0+(0-0))+0-326.1-0</f>
        <v>643.49999999999989</v>
      </c>
      <c r="AA343" s="3">
        <f>1036.1+(229.7-325.1)+(-1.056822+(-0.234294--0.331602))+0-323--0.329460000000051</f>
        <v>617.06994599999985</v>
      </c>
      <c r="AB343" s="3">
        <f>1038.3+(217.7-351.2)+(-2.647665+(-0.555135--0.89556))+0-322.9--0.823394999999953</f>
        <v>580.416155</v>
      </c>
      <c r="AC343" s="3">
        <f>1035.9+(208.3-340.5)+(-1.056618+(-0.212466--0.34731))+0-325.6--0.332112000000052</f>
        <v>577.51033800000005</v>
      </c>
      <c r="AD343">
        <v>613.1</v>
      </c>
      <c r="AE343" s="3">
        <f>1027+(261-345.3)+(0+(0-0))+0-329.6-0</f>
        <v>613.1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1036.7+(153.7-317.9)+(-1.586151+(-0.235161--0.486387))+0-323.4--0.494802000000019</f>
        <v>548.25987700000007</v>
      </c>
      <c r="G344" s="3">
        <f>1037.5+(141.8-313.4)+(-0.529125+(-0.072318--0.159834))+0-322.4--0.164423999999967</f>
        <v>543.22281500000008</v>
      </c>
      <c r="H344" s="3">
        <f>1038.1+(124.8-348.9)+(1.058862+(0.127296-0.355878))+0-324-0.330480000000052</f>
        <v>490.49979999999994</v>
      </c>
      <c r="I344" s="3">
        <f>1038.4+(132.9-354.7)+(0+(0-0))+0-323.7-0</f>
        <v>492.90000000000015</v>
      </c>
      <c r="J344" s="3">
        <f>1037.3+(135.9-318.8)+(-1.058046+(-0.138618--0.325176))+0-323--0.329460000000051</f>
        <v>530.85797200000002</v>
      </c>
      <c r="K344" s="3">
        <f>1036.9+(149.2-345.6)+(-0.528819+(-0.076092--0.176256))+0-320.7--0.163556999999967</f>
        <v>519.53490199999999</v>
      </c>
      <c r="L344" s="3">
        <f>1037.8+(183-355.4)+(-2.64639+(-0.46665--0.90627))+0-321.9--0.820844999999953</f>
        <v>542.11407499999996</v>
      </c>
      <c r="M344" s="3">
        <f>1035.5+(190.6-343.5)+(1.05621+(0.194412-0.35037))+0-320.8-0.327216000000051</f>
        <v>562.37303600000007</v>
      </c>
      <c r="N344" s="3">
        <f>1033.7+(189.2-350.3)+(1.581561+(0.289476-0.535959))+0-324-0.495720000000019</f>
        <v>549.43935799999997</v>
      </c>
      <c r="O344" s="3">
        <f>1032.4+(199.6-333.9)+(-2.63262+(-0.50898--0.851445))+0-326.9--0.833594999999952</f>
        <v>569.74344000000008</v>
      </c>
      <c r="P344" s="3">
        <f>1030.3+(200.7-341.5)+(1.050906+(0.204714-0.34833))+0-326.1-0.332622000000052</f>
        <v>563.97466799999995</v>
      </c>
      <c r="Q344" s="3">
        <f>1028.2+(206.4-340.4)+(-1.048764+(-0.210528--0.347208))+0-326.8--0.333336000000052</f>
        <v>566.82125200000007</v>
      </c>
      <c r="R344" s="3">
        <f>1026.1+(213.8-317.7)+(-0.523311+(-0.109038--0.162027))+0-324.4--0.165443999999967</f>
        <v>597.49512199999992</v>
      </c>
      <c r="S344" s="3">
        <f>1023.1+(206.5-312.5)+(-1.043562+(-0.21063--0.31875))+0-325.5--0.332010000000052</f>
        <v>590.99656800000014</v>
      </c>
      <c r="T344" s="3">
        <f>1022.3+(203.4-301.1)+(-0.521373+(-0.103734--0.153561))+0-327.7--0.167126999999967</f>
        <v>596.59558099999981</v>
      </c>
      <c r="U344" s="3">
        <f>1020.3+(209.5-314.7)+(-2.081412+(-0.42738--0.641988))+0-323.8--0.660551999999986</f>
        <v>590.09374799999989</v>
      </c>
      <c r="V344" s="3">
        <f>1018.9+(201.2-319.5)+(-0.519639+(-0.102612--0.162945))+0-321.2--0.163811999999967</f>
        <v>579.1045059999999</v>
      </c>
      <c r="W344" s="3">
        <f>1020.2+(230.3-324)+(-2.081208+(-0.469812--0.66096))+0-321.1--0.655043999999986</f>
        <v>604.164984</v>
      </c>
      <c r="X344" s="3">
        <f>1022.4+(283.3-323.1)+(-0.521424+(-0.144483--0.164781))+0-323.8--0.165137999999967</f>
        <v>658.4640119999998</v>
      </c>
      <c r="Y344" s="3">
        <f>1026.3+(266.3-341.9)+(-2.617065+(-0.679065--0.871845))+0-323.2--0.824159999999953</f>
        <v>625.89987499999995</v>
      </c>
      <c r="Z344" s="3">
        <f>1031.3+(248.5-352.1)+(-1.577889+(-0.380205--0.538713))+0-324.1--0.495873000000019</f>
        <v>602.67649199999994</v>
      </c>
      <c r="AA344" s="3">
        <f>1032.9+(218.5-349.3)+(-0.526779+(-0.111435--0.178143))+0-322.5--0.164474999999967</f>
        <v>579.30440400000009</v>
      </c>
      <c r="AB344" s="3">
        <f>1033.5+(210.5-323.2)+(-0.527085+(-0.107355--0.164832))+0-323.3--0.164882999999967</f>
        <v>597.19527499999981</v>
      </c>
      <c r="AC344" s="3">
        <f>1031.5+(168.9-328.3)+(0+(0-0))+0-322.5-0</f>
        <v>549.6</v>
      </c>
      <c r="AD344">
        <v>623.1</v>
      </c>
      <c r="AE344" s="3">
        <f>1027+(279.9-354.2)+(0+(0-0))+0-329.6-0</f>
        <v>623.1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1030.5+(126.5-348.7)+(-2.627775+(-0.322575--0.889185))+0-323--0.823649999999953</f>
        <v>484.06248499999992</v>
      </c>
      <c r="G345" s="3">
        <f>1031.8+(112.7-333.8)+(-1.578654+(-0.172431--0.510714))+0-325.6--0.498168000000019</f>
        <v>484.35779699999995</v>
      </c>
      <c r="H345" s="3">
        <f>1035.4+(88.5-305.3)+(-1.056108+(-0.09027--0.311406))+0-326.7--0.333234000000052</f>
        <v>491.39826200000022</v>
      </c>
      <c r="I345" s="3">
        <f>1036.8+(88-309.3)+(-1.586304+(-0.13464--0.473229))+0-325.1--0.497403000000019</f>
        <v>489.64968800000003</v>
      </c>
      <c r="J345" s="3">
        <f>1038.7+(67.1-329.6)+(1.059474+(0.068442-0.336192))+0-325-0.331500000000052</f>
        <v>451.66022400000003</v>
      </c>
      <c r="K345" s="3">
        <f>1038.9+(132.9-320.1)+(0.529839+(0.067779-0.163251))+0-325-0.165749999999967</f>
        <v>526.96861699999999</v>
      </c>
      <c r="L345" s="3">
        <f>1036+(166.2-293.5)+(0.52836+(0.084762-0.149685))+0-323.4-0.164933999999967</f>
        <v>585.59850300000005</v>
      </c>
      <c r="M345" s="3">
        <f>1029.4+(189.3-345)+(0.524994+(0.096543-0.17595))+0-321.1-0.163760999999967</f>
        <v>552.88182600000005</v>
      </c>
      <c r="N345" s="3">
        <f>1025.3+(201.6-350.7)+(1.045806+(0.205632-0.357714))+0-321.8-0.328236000000051</f>
        <v>554.96548799999982</v>
      </c>
      <c r="O345" s="3">
        <f>1019.6+(213.7-310.5)+(1.039992+(0.217974-0.31671))+0-321.6-0.328032000000051</f>
        <v>601.81322399999988</v>
      </c>
      <c r="P345" s="3">
        <f>1014.5+(226.8-314.5)+(-1.552185+(-0.347004--0.481185))+0-323.2--0.494496000000019</f>
        <v>602.67649200000005</v>
      </c>
      <c r="Q345" s="3">
        <f>1011.1+(240.4-309.2)+(-1.031322+(-0.245208--0.315384))+0-324.2--0.330684000000052</f>
        <v>617.46953800000006</v>
      </c>
      <c r="R345" s="3">
        <f>1008.5+(237.3-314.5)+(-2.571675+(-0.605115--0.801975))+0-324.4--0.827219999999953</f>
        <v>605.35240499999986</v>
      </c>
      <c r="S345" s="3">
        <f>1005+(222.3-336)+(1.0251+(0.226746-0.34272))+0-323.7-0.330174000000052</f>
        <v>568.17895199999987</v>
      </c>
      <c r="T345" s="3">
        <f>1004.8+(217-333.4)+(-1.024896+(-0.22134--0.340068))+0-325.2--0.331704000000052</f>
        <v>562.62553600000012</v>
      </c>
      <c r="U345" s="3">
        <f>1005.5+(213.1-340.1)+(2.05122+(0.434724-0.693804))+0-323.2-0.659327999999986</f>
        <v>556.43281200000001</v>
      </c>
      <c r="V345" s="3">
        <f>1006.6+(222.6-328.2)+(-1.026732+(-0.227052--0.334764))+0-325.4--0.331908000000052</f>
        <v>575.01288799999998</v>
      </c>
      <c r="W345" s="3">
        <f>1010.8+(240.9-337.4)+(0.515508+(0.122859-0.172074))+0-327.3-0.166922999999967</f>
        <v>587.29936999999995</v>
      </c>
      <c r="X345" s="3">
        <f>1015.2+(309.5-353.1)+(1.035504+(0.31569-0.360162))+0-324.7-0.331194000000052</f>
        <v>647.5598379999999</v>
      </c>
      <c r="Y345" s="3">
        <f>1018.9+(298.5-359.4)+(0.519639+(0.152235-0.183294))+0-323.5-0.164984999999967</f>
        <v>634.82359499999995</v>
      </c>
      <c r="Z345" s="3">
        <f>1022.1+(278.4-365.2)+(-1.042542+(-0.283968--0.372504))+0-322.4--0.328848000000051</f>
        <v>612.27484200000004</v>
      </c>
      <c r="AA345" s="3">
        <f>1024.5+(270-365.1)+(-1.04499+(-0.2754--0.372402))+0-323.9--0.330378000000052</f>
        <v>604.88238999999999</v>
      </c>
      <c r="AB345" s="3">
        <f>1025.7+(264.7-358.1)+(-1.569321+(-0.404991--0.547893))+0-324.3--0.496179000000019</f>
        <v>607.06975999999986</v>
      </c>
      <c r="AC345" s="3">
        <f>1027.6+(230.6-345.9)+(-1.572228+(-0.352818--0.529227))+0-326.1--0.498933000000019</f>
        <v>585.30311399999994</v>
      </c>
      <c r="AD345">
        <v>642.60000000000014</v>
      </c>
      <c r="AE345" s="3">
        <f>1016+(307.9-357)+(0+(0-0))+0-324.3-0</f>
        <v>642.59999999999991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1028.8+(158-344.8)+(0+(0-0))+0-324.9-0</f>
        <v>517.1</v>
      </c>
      <c r="G346" s="3">
        <f>1030.9+(133.9-306.6)+(-2.103036+(-0.273156--0.625464))+0-326.6--0.666263999999986</f>
        <v>530.515536</v>
      </c>
      <c r="H346" s="3">
        <f>1030.7+(102.9-307.6)+(-1.576971+(-0.157437--0.470628))+0-325.8--0.498474000000019</f>
        <v>499.43469400000004</v>
      </c>
      <c r="I346" s="3">
        <f>1029.9+(106.5-341.4)+(-1.050498+(-0.10863--0.348228))+0-323.6--0.330072000000052</f>
        <v>470.91917200000017</v>
      </c>
      <c r="J346" s="3">
        <f>1029.4+(127.6-370.6)+(0.524994+(0.065076-0.189006))+0-323.8-0.165137999999967</f>
        <v>462.83592600000014</v>
      </c>
      <c r="K346" s="3">
        <f>1029+(175.6-398.3)+(0.52479+(0.089556-0.203133))+0-323.4-0.164933999999967</f>
        <v>483.14627899999999</v>
      </c>
      <c r="L346" s="3">
        <f>1030+(189-372)+(0.5253+(0.09639-0.18972))+0-322.3-0.164372999999967</f>
        <v>524.96759699999996</v>
      </c>
      <c r="M346" s="3">
        <f>1028.5+(193.9-371.8)+(0+(0-0))+0-320.5-0</f>
        <v>530.1</v>
      </c>
      <c r="N346" s="3">
        <f>1025.1+(200.1-368.8)+(0.522801+(0.102051-0.188088))+0-322.6-0.164525999999967</f>
        <v>534.07223799999986</v>
      </c>
      <c r="O346" s="3">
        <f>1022+(204.9-356.9)+(0+(0-0))+0-325.9-0</f>
        <v>544.1</v>
      </c>
      <c r="P346" s="3">
        <f>1002.7+(217.8-342.8)+(-2.045508+(-0.444312--0.699312))+0-327.7--0.668507999999986</f>
        <v>548.87799999999993</v>
      </c>
      <c r="Q346" s="3">
        <f>1013.6+(223.5-333.4)+(0+(0-0))+0-329.4-0</f>
        <v>574.30000000000007</v>
      </c>
      <c r="R346" s="3">
        <f>1008.5+(221.6-326.1)+(-1.02867+(-0.226032--0.332622))+0-326.9--0.333438000000052</f>
        <v>576.51135799999997</v>
      </c>
      <c r="S346" s="3">
        <f>1007.6+(212.5-324.2)+(-0.513876+(-0.108375--0.165342))+0-323.8--0.165137999999967</f>
        <v>571.8082290000001</v>
      </c>
      <c r="T346" s="3">
        <f>1005.8+(208-319)+(0.512958+(0.10608-0.16269))+0-324.7-0.165596999999967</f>
        <v>570.39075100000014</v>
      </c>
      <c r="U346" s="3">
        <f>1007+(211.2-323.2)+(-2.56785+(-0.53856--0.82416))+0-324.7--0.827984999999953</f>
        <v>568.84573499999988</v>
      </c>
      <c r="V346" s="3">
        <f>1008.3+(210.7-320.1)+(0+(0-0))+0-323.6-0</f>
        <v>575.29999999999984</v>
      </c>
      <c r="W346" s="3">
        <f>1012.2+(240.5-332.3)+(-2.064888+(-0.49062--0.677892))+0-323.2--0.659327999999986</f>
        <v>595.98171200000002</v>
      </c>
      <c r="X346" s="3">
        <f>1014.7+(291.9-329.3)+(-1.034994+(-0.297738--0.335886))+0-322.8--0.329256000000052</f>
        <v>653.8324100000001</v>
      </c>
      <c r="Y346" s="3">
        <f>1018.2+(271.9-329.8)+(-3.115692+(-0.832014--1.009188))+0-321.9--0.985014000000037</f>
        <v>636.44649600000002</v>
      </c>
      <c r="Z346" s="3">
        <f>1021.1+(250.8-329.7)+(-1.562283+(-0.383724--0.504441))+0-322.6--0.493578000000019</f>
        <v>618.65201200000013</v>
      </c>
      <c r="AA346" s="3">
        <f>1023.4+(236.4-337.8)+(-1.043868+(-0.241128--0.344556))+0-321.9--0.328338000000051</f>
        <v>599.48789800000009</v>
      </c>
      <c r="AB346" s="3">
        <f>1024.3+(221.9-336.9)+(-1.567179+(-0.339507--0.515457))+0-323.3--0.494649000000019</f>
        <v>585.10341999999991</v>
      </c>
      <c r="AC346" s="3">
        <f>1025.6+(206.1-326.3)+(-2.61528+(-0.525555--0.832065))+0-324.1--0.826454999999953</f>
        <v>579.81768499999976</v>
      </c>
      <c r="AD346">
        <v>673.30000000000007</v>
      </c>
      <c r="AE346" s="3">
        <f>1015+(312-331.8)+(0+(0-0))+0-321.9-0</f>
        <v>673.30000000000007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1027.2+(172-350.5)+(-2.095488+(-0.35088--0.71502))+0-324--0.660959999999986</f>
        <v>523.62961199999995</v>
      </c>
      <c r="G347" s="3">
        <f>1027.8+(125.2-314.9)+(1.572534+(0.191556-0.481797))+0-325.4-0.497862000000019</f>
        <v>513.48443099999986</v>
      </c>
      <c r="H347" s="3">
        <f>1028.5+(99-285.1)+(-2.622675+(-0.25245--0.727005))+0-326.5--0.832574999999953</f>
        <v>514.58445499999993</v>
      </c>
      <c r="I347" s="3">
        <f>1028.8+(99.8-284.1)+(1.049376+(0.101796-0.289782))+0-323.5-0.329970000000052</f>
        <v>521.53142000000003</v>
      </c>
      <c r="J347" s="3">
        <f>1029.2+(141.4-326.8)+(-2.099568+(-0.288456--0.666672))+0-322.6--0.658103999999986</f>
        <v>520.136752</v>
      </c>
      <c r="K347" s="3">
        <f>1028.7+(178.7-358.8)+(-1.049274+(-0.182274--0.365976))+0-323.4--0.329868000000052</f>
        <v>524.66429600000004</v>
      </c>
      <c r="L347" s="3">
        <f>1029.6+(247.5-382.5)+(-2.100384+(-0.5049--0.7803))+0-323.6--0.660143999999986</f>
        <v>569.83515999999986</v>
      </c>
      <c r="M347" s="3">
        <f>1026.3+(247.4-416.6)+(3.140478+(0.757044-1.274796))+0-319.7-0.978282000000037</f>
        <v>539.04444399999988</v>
      </c>
      <c r="N347" s="3">
        <f>1022.5+(246.2-362.5)+(2.0859+(0.502248-0.7395))+0-322.9-0.658715999999986</f>
        <v>584.48993200000007</v>
      </c>
      <c r="O347" s="3">
        <f>1020.4+(222.3-331.3)+(-0.520404+(-0.113373--0.168963))+0-324.7--0.165596999999967</f>
        <v>586.40078299999982</v>
      </c>
      <c r="P347" s="3">
        <f>1015.5+(219.5-291.9)+(1.03581+(0.22389-0.297738))+0-325-0.331500000000052</f>
        <v>618.73046199999999</v>
      </c>
      <c r="Q347" s="3">
        <f>1013.2+(212.2-269.1)+(0+(0-0))+0-326.1-0</f>
        <v>630.19999999999993</v>
      </c>
      <c r="R347" s="3">
        <f>1023.7+(219.7-279.4)+(-3.132522+(-0.672282--0.854964))+0-323.4--0.989604000000037</f>
        <v>638.63976400000001</v>
      </c>
      <c r="S347" s="3">
        <f>1020.3+(205.9-274.1)+(-3.122118+(-0.630054--0.838746))+0-323.4--0.989604000000037</f>
        <v>626.77617799999996</v>
      </c>
      <c r="T347" s="3">
        <f>1013.3+(203.7-255.7)+(2.067132+(0.415548-0.521628))+0-322.4-0.657695999999986</f>
        <v>640.20335599999999</v>
      </c>
      <c r="U347" s="3">
        <f>979.6+(202.6-252.6)+(0.499596+(0.103326-0.128826))+0-324.8-0.165647999999967</f>
        <v>605.10844800000018</v>
      </c>
      <c r="V347" s="3">
        <f>962.6+(205.4-247.2)+(-0.490926+(-0.104754--0.126072))+0-323.7--0.165086999999967</f>
        <v>596.795479</v>
      </c>
      <c r="W347" s="3">
        <f>899.8+(271.1-240.5)+(-0.917796+(-0.276522--0.24531))+0-323.6--0.330072000000052</f>
        <v>606.18106399999999</v>
      </c>
      <c r="X347" s="3">
        <f>889.5+(312.8-268.7)+(-0.453645+(-0.159528--0.137037))+0-322--0.164219999999967</f>
        <v>611.28808400000003</v>
      </c>
      <c r="Y347" s="3">
        <f>892.3+(273.9-261.8)+(-1.365219+(-0.419067--0.400554))+0-321.3--0.491589000000019</f>
        <v>582.20785699999988</v>
      </c>
      <c r="Z347" s="3">
        <f>894.1+(285-225.5)+(-1.823964+(-0.5814--0.46002))+0-324.7--0.662387999999986</f>
        <v>627.61704400000008</v>
      </c>
      <c r="AA347" s="3">
        <f>896.4+(232.4-219.9)+(0+(0-0))+0-325.9-0</f>
        <v>583</v>
      </c>
      <c r="AB347" s="3">
        <f>898.1+(219.3-198)+(-2.290155+(-0.559215--0.5049))+0-324.6--0.827729999999953</f>
        <v>593.28326000000004</v>
      </c>
      <c r="AC347" s="3">
        <f>900+(195.8-206.3)+(0+(0-0))+0-321.4-0</f>
        <v>568.1</v>
      </c>
      <c r="AD347">
        <v>640.20000000000005</v>
      </c>
      <c r="AE347" s="3">
        <f>862+(350.5-250.4)+(0+(0-0))+0-321.9-0</f>
        <v>640.20000000000005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887.2+(188.7-204.7)+(-1.809888+(-0.384948--0.417588))+0-324.8--0.662591999999986</f>
        <v>545.28534400000001</v>
      </c>
      <c r="G348" s="3">
        <f>887.5+(173.5-197.9)+(0+(0-0))+0-325.5-0</f>
        <v>537.6</v>
      </c>
      <c r="H348" s="3">
        <f>888.8+(132.7-193.8)+(0.453288+(0.067677-0.098838))+0-326.5-0.166514999999967</f>
        <v>501.45561200000003</v>
      </c>
      <c r="I348" s="3">
        <f>891.8+(118.8-169.1)+(-0.909636+(-0.121176--0.172482))+0-325.8--0.332316000000052</f>
        <v>515.17398600000013</v>
      </c>
      <c r="J348" s="3">
        <f>893.5+(103.2-200.2)+(-2.278425+(-0.26316--0.51051))+0-324.9--0.828494999999953</f>
        <v>470.39742000000001</v>
      </c>
      <c r="K348" s="3">
        <f>895.5+(159.5-200.4)+(0.91341+(0.16269-0.204408))+0-324.9-0.331398000000052</f>
        <v>530.24029400000006</v>
      </c>
      <c r="L348" s="3">
        <f>896.1+(157.1-231)+(0.457011+(0.080121-0.11781))+0-321.9-0.164168999999967</f>
        <v>500.55515300000008</v>
      </c>
      <c r="M348" s="3">
        <f>892.7+(190.2-252)+(0+(0-0))+0-321.7-0</f>
        <v>509.2000000000001</v>
      </c>
      <c r="N348" s="3">
        <f>888+(211.5-252.5)+(0.45288+(0.107865-0.128775))+0-322.2-0.164321999999967</f>
        <v>525.06764800000008</v>
      </c>
      <c r="O348" s="3">
        <f>881.1+(241.6-243.5)+(0.898722+(0.246432-0.24837))+0-322.9-0.329358000000051</f>
        <v>556.86742600000002</v>
      </c>
      <c r="P348" s="3">
        <f>875+(304.1-247.6)+(-0.44625+(-0.155091--0.126276))+0-324.4--0.165443999999967</f>
        <v>606.79037900000003</v>
      </c>
      <c r="Q348" s="3">
        <f>869.6+(326-247.3)+(-0.443496+(-0.16626--0.126123))+0-325.6--0.166055999999967</f>
        <v>622.38242299999979</v>
      </c>
      <c r="R348" s="3">
        <f>867.4+(383.2-238)+(0+(0-0))+0-324.3-0</f>
        <v>688.3</v>
      </c>
      <c r="S348" s="3">
        <f>863.4+(295.5-237.1)+(0+(0-0))+0-324-0</f>
        <v>597.79999999999995</v>
      </c>
      <c r="T348" s="3">
        <f>861+(331.8-215.2)+(0+(0-0))+0-324.8-0</f>
        <v>652.79999999999995</v>
      </c>
      <c r="U348" s="3">
        <f>860.2+(285.6-209.2)+(0+(0-0))+0-324.7-0</f>
        <v>611.90000000000009</v>
      </c>
      <c r="V348" s="3">
        <f>864.3+(281.6-210.1)+(0+(0-0))+0-323.8-0</f>
        <v>612</v>
      </c>
      <c r="W348" s="3">
        <f>868.7+(330.3-223.6)+(0+(0-0))+0-323.9-0</f>
        <v>651.50000000000011</v>
      </c>
      <c r="X348" s="3">
        <f>873.2+(373.1-254.8)+(0+(0-0))+0-326-0</f>
        <v>665.5</v>
      </c>
      <c r="Y348" s="3">
        <f>875.5+(377.9-245.6)+(0+(0-0))+0-325.5-0</f>
        <v>682.3</v>
      </c>
      <c r="Z348" s="3">
        <f>879.4+(339.3-230.1)+(0+(0-0))+0-325.9-0</f>
        <v>662.7</v>
      </c>
      <c r="AA348" s="3">
        <f>883.6+(278.9-228.2)+(0+(0-0))+0-324.6-0</f>
        <v>609.69999999999993</v>
      </c>
      <c r="AB348" s="3">
        <f>886.2+(281.7-207.2)+(0+(0-0))+0-324.8-0</f>
        <v>635.90000000000009</v>
      </c>
      <c r="AC348" s="3">
        <f>805.6+(278.3-174.4)+(0+(0-0))+0-322.9-0</f>
        <v>586.6</v>
      </c>
      <c r="AD348">
        <v>688.4</v>
      </c>
      <c r="AE348" s="3">
        <f>873+(383-245.7)+(0+(0-0))+0-321.9-0</f>
        <v>688.4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730.2+(249.2-153.8)+(0+(0-0))+0-323.2-0</f>
        <v>502.40000000000003</v>
      </c>
      <c r="G349" s="3">
        <f>729.7+(241.3-132)+(0+(0-0))+0-326.8-0</f>
        <v>512.20000000000005</v>
      </c>
      <c r="H349" s="3">
        <f>730.2+(211.9-128.1)+(0+(0-0))+0-324-0</f>
        <v>490</v>
      </c>
      <c r="I349" s="3">
        <f>730.3+(215.3-142.1)+(0+(0-0))+0-324.5-0</f>
        <v>479</v>
      </c>
      <c r="J349" s="3">
        <f>731.2+(220.5-145.1)+(0+(0-0))+0-321.8-0</f>
        <v>484.8</v>
      </c>
      <c r="K349" s="3">
        <f>731+(220.2-179.4)+(0+(0-0))+0-320.2-0</f>
        <v>451.59999999999997</v>
      </c>
      <c r="L349" s="3">
        <f>730.6+(327.8-202)+(1.86303+(0.83589-0.5151))+0-319.8-0.815489999999954</f>
        <v>537.96833000000015</v>
      </c>
      <c r="M349" s="3">
        <f>728.4+(340-222.1)+(1.485936+(0.6936-0.453084))+0-320-0.652799999999986</f>
        <v>527.37365199999999</v>
      </c>
      <c r="N349" s="3">
        <f>725.5+(349.8-211.2)+(0+(0-0))+0-321.6-0</f>
        <v>542.5</v>
      </c>
      <c r="O349" s="3">
        <f>726+(375-216)+(0.37026+(0.19125-0.11016))+0-323-0.164729999999967</f>
        <v>562.28662000000008</v>
      </c>
      <c r="P349" s="3">
        <f>721.1+(375.8-222.2)+(0.367761+(0.191658-0.113322))+0-323.6-0.165035999999967</f>
        <v>551.38106100000005</v>
      </c>
      <c r="Q349" s="3">
        <f>715.5+(386.7-210.4)+(-1.094715+(-0.591651--0.321912))+0-324.6--0.496638000000019</f>
        <v>566.33218399999998</v>
      </c>
      <c r="R349" s="3">
        <f>709.8+(416.4-191)+(0+(0-0))+0-323.8-0</f>
        <v>611.39999999999986</v>
      </c>
      <c r="S349" s="3">
        <f>702.2+(407.1-191.5)+(-0.716244+(-0.415242--0.19533))+0-323.6--0.330072000000052</f>
        <v>593.59391600000015</v>
      </c>
      <c r="T349" s="3">
        <f>702.4+(377.1-194.3)+(0+(0-0))+0-324.9-0</f>
        <v>560.30000000000007</v>
      </c>
      <c r="U349" s="3">
        <f>703.4+(389.6-195.9)+(-1.076202+(-0.596088--0.299727))+0-324--0.495720000000019</f>
        <v>572.22315700000001</v>
      </c>
      <c r="V349" s="3">
        <f>708.4+(368.5-206.3)+(0.361284+(0.187935-0.105213))+0-323.1-0.164780999999967</f>
        <v>547.77922499999988</v>
      </c>
      <c r="W349" s="3">
        <f>714.5+(386.1-226.8)+(-0.72879+(-0.393822--0.231336))+0-324.2--0.330684000000052</f>
        <v>549.03940800000009</v>
      </c>
      <c r="X349" s="3">
        <f>718.8+(488-251.4)+(0+(0-0))+0-325.4-0</f>
        <v>630</v>
      </c>
      <c r="Y349" s="3">
        <f>719.7+(507.8-242.8)+(-1.101141+(-0.776934--0.371484))+0-323.9--0.495567000000019</f>
        <v>659.78897600000016</v>
      </c>
      <c r="Z349" s="3">
        <f>718+(471.1-231.9)+(-1.09854+(-0.720783--0.354807))+0-325.1--0.497403000000019</f>
        <v>631.13288699999998</v>
      </c>
      <c r="AA349" s="3">
        <f>717.9+(442.3-210.8)+(-0.366129+(-0.225573--0.107508))+0-324.2--0.165341999999967</f>
        <v>624.88114799999994</v>
      </c>
      <c r="AB349" s="3">
        <f>717.4+(375.2-194.6)+(-1.463496+(-0.765408--0.396984))+0-323.5--0.659939999999986</f>
        <v>573.32802000000004</v>
      </c>
      <c r="AC349" s="3">
        <f>721.2+(337-170.2)+(-1.83906+(-0.85935--0.43401))+0-324--0.826199999999953</f>
        <v>562.56179999999995</v>
      </c>
      <c r="AD349">
        <v>649</v>
      </c>
      <c r="AE349" s="3">
        <f>717+(499.5-239.7)+(0+(0-0))+0-327.8-0</f>
        <v>649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721.2+(281.4-171.4)+(-1.83906+(-0.71757--0.43707))+0-325--0.828749999999953</f>
        <v>504.90919000000002</v>
      </c>
      <c r="G350" s="3">
        <f>717.5+(262.3-193.9)+(-1.829625+(-0.668865--0.494445))+0-324.8--0.828239999999953</f>
        <v>459.92419499999988</v>
      </c>
      <c r="H350" s="3">
        <f>721+(258.1-190.4)+(-1.83855+(-0.658155--0.48552))+0-324.9--0.828494999999953</f>
        <v>462.61731000000009</v>
      </c>
      <c r="I350" s="3">
        <f>726.2+(246-195.7)+(-0.370362+(-0.12546--0.099807))+0-325.3--0.165902999999967</f>
        <v>450.96988799999991</v>
      </c>
      <c r="J350" s="3">
        <f>725.7+(280.3-223.8)+(-1.850535+(-0.714765--0.57069))+0-323.5--0.824924999999953</f>
        <v>457.53031500000003</v>
      </c>
      <c r="K350" s="3">
        <f>727.2+(314.2-255.6)+(0.370872+(0.160242-0.130356))+0-325.5-0.166004999999967</f>
        <v>460.53475300000008</v>
      </c>
      <c r="L350" s="3">
        <f>727.2+(366.2-251.7)+(-1.112616+(-0.560286--0.385101))+0-323.5--0.494955000000019</f>
        <v>517.40715400000011</v>
      </c>
      <c r="M350" s="3">
        <f>725.9+(382.8-242.1)+(-0.740418+(-0.390456--0.246942))+0-321.1--0.327522000000051</f>
        <v>544.94359000000009</v>
      </c>
      <c r="N350" s="3">
        <f>723.1+(380.7-230.9)+(0.368781+(0.194157-0.117759))+0-322-0.164219999999967</f>
        <v>551.18095900000003</v>
      </c>
      <c r="O350" s="3">
        <f>721.2+(401-234.1)+(0.735624+(0.40902-0.238782))+0-322.5-0.328950000000051</f>
        <v>566.1769119999999</v>
      </c>
      <c r="P350" s="3">
        <f>720.2+(429.9-234.7)+(-0.367302+(-0.219249--0.119697))+0-326.8--0.166667999999967</f>
        <v>588.29981400000008</v>
      </c>
      <c r="Q350" s="3">
        <f>717+(396-246.9)+(-0.73134+(-0.40392--0.251838))+0-324.5--0.330990000000052</f>
        <v>541.04756800000007</v>
      </c>
      <c r="R350" s="3">
        <f>714+(388.3-243.2)+(-0.36414+(-0.198033--0.124032))+0-324.6--0.165545999999967</f>
        <v>534.22740499999998</v>
      </c>
      <c r="S350" s="3">
        <f>712+(419.2-231.2)+(0.72624+(0.427584-0.235824))+0-326-0.332520000000052</f>
        <v>574.58547999999996</v>
      </c>
      <c r="T350" s="3">
        <f>713.7+(367.9-241.6)+(0.363987+(0.187629-0.123216))+0-325.6-0.166055999999967</f>
        <v>514.66234400000008</v>
      </c>
      <c r="U350" s="3">
        <f>716.6+(411.8-240.2)+(0.365466+(0.210018-0.122502))+0-326.1-0.166310999999967</f>
        <v>562.38667100000009</v>
      </c>
      <c r="V350" s="3">
        <f>719.4+(404.8-238.7)+(-0.366894+(-0.206448--0.121737))+0-323.2--0.164831999999967</f>
        <v>562.01322699999992</v>
      </c>
      <c r="W350" s="3">
        <f>721+(434.4-274.6)+(1.10313+(0.664632-0.420138))+0-321.9-0.492507000000019</f>
        <v>559.75511699999993</v>
      </c>
      <c r="X350" s="3">
        <f>722.2+(526.9-295.4)+(0+(0-0))+0-325.6-0</f>
        <v>628.1</v>
      </c>
      <c r="Y350" s="3">
        <f>725.7+(507.9-292)+(-1.110321+(-0.777087--0.44676))+0-325.2--0.497556000000019</f>
        <v>615.45690800000011</v>
      </c>
      <c r="Z350" s="3">
        <f>726.8+(480.9-275.7)+(-0.741336+(-0.490518--0.281214))+0-325.8--0.332316000000052</f>
        <v>605.58167600000013</v>
      </c>
      <c r="AA350" s="3">
        <f>732.1+(459.1-256.6)+(-1.866855+(-1.170705--0.65433))+0-323.9--0.825944999999953</f>
        <v>609.14271499999995</v>
      </c>
      <c r="AB350" s="3">
        <f>735.3+(390-243.2)+(-1.125009+(-0.5967--0.372096))+0-325.9--0.498627000000019</f>
        <v>555.34901400000001</v>
      </c>
      <c r="AC350" s="3">
        <f>736.7+(347-212.3)+(-1.502868+(-0.70788--0.433092))+0-325--0.662999999999986</f>
        <v>545.28534400000012</v>
      </c>
      <c r="AD350">
        <v>656.49999999999989</v>
      </c>
      <c r="AE350" s="3">
        <f>723+(551.1-291.6)+(0+(0-0))+0-326-0</f>
        <v>656.5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738.6+(314.9-200.4)+(0.376686+(0.160599-0.102204))+0-324.8-0.165647999999967</f>
        <v>528.56943300000012</v>
      </c>
      <c r="G351" s="3">
        <f>739.3+(287.4-220.4)+(-0.754086+(-0.293148--0.224808))+0-325.9--0.332418000000052</f>
        <v>479.9099920000001</v>
      </c>
      <c r="H351" s="3">
        <f>739.1+(277.1-211.3)+(-0.376941+(-0.141321--0.107763))+0-326.3--0.166412999999967</f>
        <v>478.3559140000001</v>
      </c>
      <c r="I351" s="3">
        <f>740+(276.6-203.7)+(0.3774+(0.141066-0.103887))+0-326.6-0.166565999999967</f>
        <v>486.54801300000008</v>
      </c>
      <c r="J351" s="3">
        <f>784.3+(243.6-245.7)+(-0.799986+(-0.248472--0.250614))+0-325.6--0.332112000000052</f>
        <v>456.13426799999991</v>
      </c>
      <c r="K351" s="3">
        <f>845.2+(240.5-245.1)+(0+(0-0))+0-325.2-0</f>
        <v>515.40000000000009</v>
      </c>
      <c r="L351" s="3">
        <f>845+(314.1-273.4)+(-0.8619+(-0.320382--0.278868))+0-323.3--0.329766000000052</f>
        <v>561.82635200000004</v>
      </c>
      <c r="M351" s="3">
        <f>843.3+(338.1-335.8)+(0.430083+(0.172431-0.171258))+0-323.5-0.164984999999967</f>
        <v>522.36627099999987</v>
      </c>
      <c r="N351" s="3">
        <f>837.1+(371.2-313.6)+(0.853842+(0.378624-0.319872))+0-324.7-0.331194000000052</f>
        <v>570.58140000000003</v>
      </c>
      <c r="O351" s="3">
        <f>836.7+(358.5-293.4)+(0.426717+(0.182835-0.149634))+0-327.1-0.166820999999967</f>
        <v>574.99309700000015</v>
      </c>
      <c r="P351" s="3">
        <f>831.3+(393-305.8)+(-1.271889+(-0.60129--0.467874))+0-326.8--0.500004000000019</f>
        <v>590.79469900000004</v>
      </c>
      <c r="Q351" s="3">
        <f>827.2+(417-301.9)+(-1.687488+(-0.85068--0.615876))+0-326.6--0.666263999999986</f>
        <v>614.44397200000003</v>
      </c>
      <c r="R351" s="3">
        <f>825.2+(409.5-334.9)+(-1.262556+(-0.626535--0.512397))+0-327.4--0.500922000000019</f>
        <v>571.52422800000011</v>
      </c>
      <c r="S351" s="3">
        <f>822.7+(388.9-316)+(-2.097885+(-0.991695--0.8058))+0-324.8--0.828239999999953</f>
        <v>569.34445999999991</v>
      </c>
      <c r="T351" s="3">
        <f>875.4+(350.1-278.1)+(0.446454+(0.178551-0.141831))+0-325.3-0.165902999999967</f>
        <v>622.41727099999991</v>
      </c>
      <c r="U351" s="3">
        <f>990.3+(261.1-325.4)+(-2.020212+(-0.532644--0.663816))+0-328.6--0.670343999999986</f>
        <v>596.18130399999995</v>
      </c>
      <c r="V351" s="3">
        <f>997.7+(259.8-283.1)+(0+(0-0))+0-326.4-0</f>
        <v>648.00000000000011</v>
      </c>
      <c r="W351" s="3">
        <f>1001.2+(332.4-376.8)+(0.510612+(0.169524-0.192168))+0-323-0.164729999999967</f>
        <v>634.12323800000001</v>
      </c>
      <c r="X351" s="3">
        <f>1003.6+(426.4-352.9)+(1.023672+(0.434928-0.359958))+0-327.1-0.333642000000052</f>
        <v>750.76499999999976</v>
      </c>
      <c r="Y351" s="3">
        <f>1006.3+(403.6-379.4)+(0+(0-0))+0-326.2-0</f>
        <v>704.3</v>
      </c>
      <c r="Z351" s="3">
        <f>1007.1+(357.3-347.6)+(0.513621+(0.182223-0.177276))+0-325.9-0.166208999999967</f>
        <v>691.25235899999996</v>
      </c>
      <c r="AA351" s="3">
        <f>1010.5+(289.5-341.7)+(-1.03071+(-0.29529--0.348534))+0-325--0.331500000000052</f>
        <v>632.65403399999991</v>
      </c>
      <c r="AB351" s="3">
        <f>1013.4+(245.9-311.5)+(-0.516834+(-0.125409--0.158865))+0-324.3--0.165392999999967</f>
        <v>623.18201499999986</v>
      </c>
      <c r="AC351" s="3">
        <f>1014.7+(196.6-258)+(-2.069988+(-0.401064--0.52632))+0-324.3--0.661571999999986</f>
        <v>627.71684000000005</v>
      </c>
      <c r="AD351">
        <v>725.7</v>
      </c>
      <c r="AE351" s="3">
        <f>1007+(391-349.8)+(0+(0-0))+0-322.5-0</f>
        <v>725.7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1015.9+(126.5-284.8)+(-0.518109+(-0.064515--0.145248))+0-324.9--0.165698999999967</f>
        <v>532.42832299999998</v>
      </c>
      <c r="G352" s="3">
        <f>1016.5+(101.1-297.2)+(0+(0-0))+0-325.4-0</f>
        <v>495</v>
      </c>
      <c r="H352" s="3">
        <f>1016+(117.8-294.3)+(-0.51816+(-0.060078--0.150093))+0-326.3--0.166412999999967</f>
        <v>512.93826799999988</v>
      </c>
      <c r="I352" s="3">
        <f>1019.7+(121.2-302.9)+(0+(0-0))+0-325.7-0</f>
        <v>512.29999999999995</v>
      </c>
      <c r="J352" s="3">
        <f>1022.7+(155.7-299.5)+(1.043154+(0.158814-0.30549))+0-325.2-0.331704000000052</f>
        <v>554.2647740000001</v>
      </c>
      <c r="K352" s="3">
        <f>1019.8+(192.7-339.3)+(-0.520098+(-0.098277--0.173043))+0-323.1--0.164780999999967</f>
        <v>549.81944899999985</v>
      </c>
      <c r="L352" s="3">
        <f>1027.1+(212.4-343.9)+(-0.523821+(-0.108324--0.175389))+0-322.9--0.164678999999967</f>
        <v>572.40792299999987</v>
      </c>
      <c r="M352" s="3">
        <f>1023.5+(240-377.9)+(1.04397+(0.2448-0.385458))+0-323.3-0.329766000000052</f>
        <v>562.87354600000003</v>
      </c>
      <c r="N352" s="3">
        <f>1014+(273.5-371.1)+(1.03428+(0.27897-0.378522))+0-325.4-0.331908000000052</f>
        <v>591.60281999999995</v>
      </c>
      <c r="O352" s="3">
        <f>1012.1+(270.3-365.6)+(1.032342+(0.275706-0.372912))+0-317.6-0.323952000000051</f>
        <v>599.81118399999991</v>
      </c>
      <c r="P352" s="3">
        <f>1007.2+(288.6-358.1)+(1.541016+(0.441558-0.547893))+0-311.1-0.475983000000018</f>
        <v>627.55869799999994</v>
      </c>
      <c r="Q352" s="3">
        <f>1004.2+(306.2-354.4)+(-1.536426+(-0.468486--0.542232))+0-295--0.451350000000017</f>
        <v>659.98867000000007</v>
      </c>
      <c r="R352" s="3">
        <f>1000.5+(288.2-354.8)+(-2.04102+(-0.587928--0.723792))+0-291.1--0.593843999999987</f>
        <v>641.48868799999991</v>
      </c>
      <c r="S352" s="3">
        <f>996.5+(291.1-330.3)+(-2.541075+(-0.742305--0.842265))+0-293.1--0.747404999999958</f>
        <v>662.50628999999992</v>
      </c>
      <c r="T352" s="3">
        <f>995.9+(291.1-299.2)+(1.523727+(0.445383-0.457776))+0-297.3-0.454869000000017</f>
        <v>691.556465</v>
      </c>
      <c r="U352" s="3">
        <f>999.9+(291.1-300.8)+(1.529847+(0.445383-0.460224))+0-296.8-0.454104000000017</f>
        <v>694.46090199999992</v>
      </c>
      <c r="V352" s="3">
        <f>1002.5+(295.8-291.3)+(-0.511275+(-0.150858--0.148563))+0-296.7--0.15131699999997</f>
        <v>709.93774700000006</v>
      </c>
      <c r="W352" s="3">
        <f>1002.8+(305.7-303)+(-0.511428+(-0.155907--0.15453))+0-296.9--0.15141899999997</f>
        <v>708.23861399999998</v>
      </c>
      <c r="X352" s="3">
        <f>1005.9+(286.6-322.5)+(0+(0-0))+0-301-0</f>
        <v>669</v>
      </c>
      <c r="Y352" s="3">
        <f>1010.4+(290.7-311)+(-1.545912+(-0.444771--0.47583))+0-299.9--0.458847000000017</f>
        <v>689.14399399999991</v>
      </c>
      <c r="Z352" s="3">
        <f>1012.5+(243.1-289.9)+(-1.03275+(-0.247962--0.295698))+0-302--0.308040000000048</f>
        <v>663.02302600000007</v>
      </c>
      <c r="AA352" s="3">
        <f>1009.7+(227.3-272.1)+(-1.029894+(-0.231846--0.277542))+0-299.7--0.305694000000048</f>
        <v>664.52149600000018</v>
      </c>
      <c r="AB352" s="3">
        <f>1008.7+(153.2-244.3)+(-2.057748+(-0.312528--0.498372))+0-298.5--0.608939999999987</f>
        <v>617.83703600000001</v>
      </c>
      <c r="AC352" s="3">
        <f>1009+(105.4-205.5)+(-1.54377+(-0.161262--0.314415))+0-297.1--0.454563000000017</f>
        <v>610.86394599999994</v>
      </c>
      <c r="AD352">
        <v>717.90000000000009</v>
      </c>
      <c r="AE352" s="3">
        <f>1008+(308.7-296)+(0+(0-0))+0-302.8-0</f>
        <v>717.90000000000009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1011.2+(56.5-220)+(-3.609984+(-0.201705--0.7854))+0-300.3--1.072071</f>
        <v>545.44578200000001</v>
      </c>
      <c r="G353" s="3">
        <f>1012.9+(41.6-227)+(-1.033158+(-0.042432--0.23154))+0-304.7--0.310794000000049</f>
        <v>522.26674400000013</v>
      </c>
      <c r="H353" s="3">
        <f>1014+(46.6-274.8)+(-2.06856+(-0.095064--0.560592))+0-304--0.620159999999987</f>
        <v>480.81712799999997</v>
      </c>
      <c r="I353" s="3">
        <f>1013.3+(49.6-271.2)+(0.516783+(0.025296-0.138312))+0-305.6-0.155855999999969</f>
        <v>486.34791099999995</v>
      </c>
      <c r="J353" s="3">
        <f>1013.9+(57.9-286.5)+(0+(0-0))+0-310.7-0</f>
        <v>474.59999999999997</v>
      </c>
      <c r="K353" s="3">
        <f>1005.6+(46.5-350.5)+(-1.025712+(-0.04743--0.35751))+0-126.8--0.12933600000002</f>
        <v>574.21370400000001</v>
      </c>
      <c r="L353" s="3">
        <f>1010.3+(107.6-259.8)+(0.515253+(0.054876-0.132498))+0-289.3-0.147542999999971</f>
        <v>569.09008800000004</v>
      </c>
      <c r="M353" s="3">
        <f>1008.1+(122.6-278.1)+(1.028262+(0.125052-0.283662))+0-291.4-0.297228000000046</f>
        <v>561.772424</v>
      </c>
      <c r="N353" s="3">
        <f>998.5+(182.6-283.5)+(1.01847+(0.186252-0.28917))+0-292.9-0.298758000000047</f>
        <v>605.31679400000007</v>
      </c>
      <c r="O353" s="3">
        <f>993.5+(182.2-291.2)+(0+(0-0))+0-293.8-0</f>
        <v>590.70000000000005</v>
      </c>
      <c r="P353" s="3">
        <f>988.3+(215.9-260.4)+(-1.008066+(-0.220218--0.265608))+0-296.1--0.302022000000047</f>
        <v>647.03934600000002</v>
      </c>
      <c r="Q353" s="3">
        <f>983.7+(182.7-270.9)+(-2.508435+(-0.465885--0.690795))+0-297.5--0.758624999999957</f>
        <v>596.47509999999988</v>
      </c>
      <c r="R353" s="3">
        <f>980.2+(173.2-270.4)+(-1.499706+(-0.264996--0.413712))+0-290.6--0.444618000000017</f>
        <v>591.49362799999994</v>
      </c>
      <c r="S353" s="3">
        <f>977.2+(230.1-249.8)+(-1.993488+(-0.469404--0.509592))+0-297.6--0.607103999999987</f>
        <v>658.5538039999999</v>
      </c>
      <c r="T353" s="3">
        <f>974.9+(116.6-266.4)+(-0.497199+(-0.059466--0.135864))+0-233.5--0.119084999999976</f>
        <v>591.29828399999997</v>
      </c>
      <c r="U353" s="3">
        <f>975.1+(97.7-271)+(0+(0-0))+0-163.4-0</f>
        <v>638.4</v>
      </c>
      <c r="V353" s="3">
        <f>976.4+(222.7-236.8)+(1.493892+(0.340731-0.362304))+0-316-0.483480000000018</f>
        <v>647.28883899999994</v>
      </c>
      <c r="W353" s="3">
        <f>978.4+(272.5-267.2)+(-1.496952+(-0.416925--0.408816))+0-345.1--0.52800300000002</f>
        <v>637.62294200000008</v>
      </c>
      <c r="X353" s="3">
        <f>981.3+(333.1-297.3)+(1.000926+(0.339762-0.303246))+0-340-0.346800000000054</f>
        <v>677.79064199999993</v>
      </c>
      <c r="Y353" s="3">
        <f>985.2+(336.1-277.8)+(-1.507356+(-0.514233--0.425034))+0-338.6--0.51805800000002</f>
        <v>703.82150299999989</v>
      </c>
      <c r="Z353" s="3">
        <f>990.5+(293.2-266.3)+(-2.02062+(-0.598128--0.543252))+0-338.2--0.689927999999985</f>
        <v>677.8144319999999</v>
      </c>
      <c r="AA353" s="3">
        <f>996.2+(259.7-252.9)+(-1.524186+(-0.397341--0.386937))+0-337.3--0.51606900000002</f>
        <v>664.68147900000008</v>
      </c>
      <c r="AB353" s="3">
        <f>999.6+(210.7-225.6)+(-2.54898+(-0.537285--0.57528))+0-335.2--0.854759999999951</f>
        <v>647.84377500000005</v>
      </c>
      <c r="AC353" s="3">
        <f>1004.8+(139.7-203.7)+(-0.512448+(-0.071247--0.103887))+0-331.6--0.169115999999966</f>
        <v>608.8893079999998</v>
      </c>
      <c r="AD353">
        <v>713.1</v>
      </c>
      <c r="AE353" s="3">
        <f>976+(352.9-280.2)+(0+(0-0))+0-335.6-0</f>
        <v>713.1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1004.2+(119.6-194.6)+(-2.56071+(-0.30498--0.49623))+0-331.5--0.845324999999952</f>
        <v>596.17586500000004</v>
      </c>
      <c r="G354" s="3">
        <f>1007.3+(93.9-194.1)+(-2.568615+(-0.239445--0.494955))+0-331--0.844049999999952</f>
        <v>574.63094499999988</v>
      </c>
      <c r="H354" s="3">
        <f>1007.3+(93.5-170.3)+(-1.541169+(-0.143055--0.260559))+0-333.2--0.509796000000019</f>
        <v>596.38613099999998</v>
      </c>
      <c r="I354" s="3">
        <f>1006.4+(56.8-191.9)+(1.539792+(0.086904-0.293607))+0-330.1-0.505053000000019</f>
        <v>542.02803599999993</v>
      </c>
      <c r="J354" s="3">
        <f>1009.5+(62.1-185.7)+(2.05938+(0.126684-0.378828))+0-331.8-0.676871999999985</f>
        <v>555.23036400000001</v>
      </c>
      <c r="K354" s="3">
        <f>1010.1+(74.4-200.5)+(2.575755+(0.18972-0.511275))+0-327.3-0.834614999999953</f>
        <v>558.11958499999992</v>
      </c>
      <c r="L354" s="3">
        <f>1013.8+(118.9-236)+(-1.034076+(-0.121278--0.24072))+0-326--0.332520000000052</f>
        <v>570.117886</v>
      </c>
      <c r="M354" s="3">
        <f>1011.6+(159.6-244.7)+(1.031832+(0.162792-0.249594))+0-324.5-0.330990000000052</f>
        <v>602.61403999999993</v>
      </c>
      <c r="N354" s="3">
        <f>1004.9+(178.1-254.9)+(0.512499+(0.090831-0.129999))+0-326.2-0.166361999999967</f>
        <v>602.20696900000007</v>
      </c>
      <c r="O354" s="3">
        <f>998.1+(231.1-297.5)+(1.018062+(0.235722-0.30345))+0-326.5-0.333030000000052</f>
        <v>605.81730400000004</v>
      </c>
      <c r="P354" s="3">
        <f>992.3+(289.6-295.7)+(-1.012146+(-0.295392--0.301614))+0-326.2--0.332724000000052</f>
        <v>659.32680000000005</v>
      </c>
      <c r="Q354" s="3">
        <f>984.8+(311.7-292)+(-1.506744+(-0.476901--0.44676))+0-328--0.501840000000019</f>
        <v>675.46495500000003</v>
      </c>
      <c r="R354" s="3">
        <f>980.8+(342.7-280.4)+(-2.000832+(-0.699108--0.572016))+0-326.3--0.665651999999986</f>
        <v>715.33772800000008</v>
      </c>
      <c r="S354" s="3">
        <f>978.2+(317-270.3)+(0.997764+(0.32334-0.275706))+0-325.9-0.332418000000052</f>
        <v>699.71298000000002</v>
      </c>
      <c r="T354" s="3">
        <f>974.8+(307.3-264.9)+(0.994296+(0.313446-0.270198))+0-327.9-0.334458000000052</f>
        <v>690.00308600000005</v>
      </c>
      <c r="U354" s="3">
        <f>976.5+(284.1-258.8)+(-0.99603+(-0.289782--0.263976))+0-327.1--0.333642000000052</f>
        <v>674.01180599999998</v>
      </c>
      <c r="V354" s="3">
        <f>978.8+(288.8-247.3)+(-1.497564+(-0.441864--0.378369))+0-326.7--0.499851000000019</f>
        <v>692.53879200000006</v>
      </c>
      <c r="W354" s="3">
        <f>982.8+(306.7-255.5)+(-2.50614+(-0.782085--0.651525))+0-328.5--0.837674999999952</f>
        <v>703.70097499999997</v>
      </c>
      <c r="X354" s="3">
        <f>987.8+(390.7-285.7)+(0.503778+(0.199257-0.145707))+0-327.4-0.166973999999967</f>
        <v>765.79035400000009</v>
      </c>
      <c r="Y354" s="3">
        <f>994.1+(359.4-289)+(-3.041946+(-1.099764--0.88434))+0-327.3--1.00153800000004</f>
        <v>734.9441680000001</v>
      </c>
      <c r="Z354" s="3">
        <f>997.4+(295.9-274.2)+(0+(0-0))+0-327.7-0</f>
        <v>691.39999999999986</v>
      </c>
      <c r="AA354" s="3">
        <f>1000.9+(221.3-270.6)+(-1.531377+(-0.338589--0.414018))+0-326.8--0.500004000000019</f>
        <v>623.84405599999991</v>
      </c>
      <c r="AB354" s="3">
        <f>1002.7+(214.5-239.7)+(-2.045508+(-0.43758--0.488988))+0-326.7--0.666467999999986</f>
        <v>649.47236800000007</v>
      </c>
      <c r="AC354" s="3">
        <f>1003.6+(152.4-221.3)+(-0.511836+(-0.077724--0.112863))+0-326.9--0.166718999999967</f>
        <v>607.49002200000007</v>
      </c>
      <c r="AD354">
        <v>769.99999999999989</v>
      </c>
      <c r="AE354" s="3">
        <f>992+(393.2-285.6)+(0+(0-0))+0-329.6-0</f>
        <v>769.99999999999989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1003.5+(147.7-212.5)+(-1.535355+(-0.225981--0.325125))+0-328.1--0.501993000000019</f>
        <v>609.66578200000004</v>
      </c>
      <c r="G355" s="3">
        <f>1003.1+(112.3-226.7)+(-2.046324+(-0.229092--0.462468))+0-328.2--0.669527999999986</f>
        <v>559.35658000000001</v>
      </c>
      <c r="H355" s="3">
        <f>1003+(123.4-201.2)+(-0.51153+(-0.062934--0.102612))+0-328.1--0.167330999999967</f>
        <v>596.795479</v>
      </c>
      <c r="I355" s="3">
        <f>1003.7+(102.4-203.2)+(-1.535661+(-0.156672--0.310896))+0-329.1--0.503523000000019</f>
        <v>572.92208600000004</v>
      </c>
      <c r="J355" s="3">
        <f>1004+(106-208.2)+(0.51204+(0.05406-0.106182))+0-329.1-0.167840999999967</f>
        <v>572.99207699999999</v>
      </c>
      <c r="K355" s="3">
        <f>1004.7+(139.3-230.7)+(0+(0-0))+0-328-0</f>
        <v>585.30000000000007</v>
      </c>
      <c r="L355" s="3">
        <f>1006.8+(157.2-229.8)+(-2.053872+(-0.320688--0.468792))+0-327--0.667079999999986</f>
        <v>605.96131199999991</v>
      </c>
      <c r="M355" s="3">
        <f>1005.7+(160.7-247.9)+(0.512907+(0.081957-0.126429))+0-326.9-0.166718999999967</f>
        <v>591.90171600000008</v>
      </c>
      <c r="N355" s="3">
        <f>1002.4+(200.4-265)+(1.022448+(0.204408-0.2703))+0-328.7-0.335274000000052</f>
        <v>609.72128199999997</v>
      </c>
      <c r="O355" s="3">
        <f>998.9+(270.2-254.5)+(-0.509439+(-0.137802--0.129795))+0-327.8--0.167177999999967</f>
        <v>686.44973199999981</v>
      </c>
      <c r="P355" s="3">
        <f>996.2+(273.7-244.8)+(0.508062+(0.139587-0.124848))+0-328.7-0.167636999999967</f>
        <v>696.75516399999992</v>
      </c>
      <c r="Q355" s="3">
        <f>991.8+(253.1-244.1)+(-1.517454+(-0.387243--0.373473))+0-329.4--0.503982000000019</f>
        <v>670.37275800000009</v>
      </c>
      <c r="R355" s="3">
        <f>987.6+(306.4-259.5)+(-3.022056+(-0.937584--0.79407))+0-329.5--1.00827000000004</f>
        <v>702.84270000000015</v>
      </c>
      <c r="S355" s="3">
        <f>984.6+(274-243.7)+(-0.502146+(-0.13974--0.124287))+0-328.6--0.167585999999967</f>
        <v>685.94998699999996</v>
      </c>
      <c r="T355" s="3">
        <f>984+(274.5-227)+(0+(0-0))+0-328.4-0</f>
        <v>703.1</v>
      </c>
      <c r="U355" s="3">
        <f>987.2+(255.1-226.2)+(-0.503472+(-0.130101--0.115362))+0-327.5--0.167024999999967</f>
        <v>688.24881400000004</v>
      </c>
      <c r="V355" s="3">
        <f>988.7+(257.3-214.5)+(-1.008474+(-0.262446--0.21879))+0-327.1--0.333642000000052</f>
        <v>703.681512</v>
      </c>
      <c r="W355" s="3">
        <f>992.3+(255.8-225.6)+(-2.024292+(-0.521832--0.460224))+0-327.8--0.668711999999986</f>
        <v>693.28281200000004</v>
      </c>
      <c r="X355" s="3">
        <f>991.9+(326.1-264.9)+(0.505869+(0.166311-0.135099))+0-328.1-0.167330999999967</f>
        <v>725.36974999999984</v>
      </c>
      <c r="Y355" s="3">
        <f>994.3+(257-276.6)+(-1.521279+(-0.39321--0.423198))+0-327.9--0.501687000000019</f>
        <v>645.81039599999997</v>
      </c>
      <c r="Z355" s="3">
        <f>997.5+(311-246.1)+(1.01745+(0.31722-0.251022))+0-329.1-0.335682000000052</f>
        <v>734.04796600000009</v>
      </c>
      <c r="AA355" s="3">
        <f>985.7+(232.8-247.1)+(-2.010828+(-0.474912--0.504084))+0-328.8--0.670751999999986</f>
        <v>641.28909599999997</v>
      </c>
      <c r="AB355" s="3">
        <f>983+(246.6-223.7)+(-0.50133+(-0.125766--0.114087))+0-328.9--0.167738999999967</f>
        <v>676.65472999999997</v>
      </c>
      <c r="AC355" s="3">
        <f>840.6+(344.5-202.4)+(-1.286118+(-0.527085--0.309672))+0-329--0.503370000000019</f>
        <v>652.69983900000011</v>
      </c>
      <c r="AD355">
        <v>649.10000000000014</v>
      </c>
      <c r="AE355" s="3">
        <f>995+(265.4-283.5)+(0+(0-0))+0-327.8-0</f>
        <v>649.09999999999991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705.2+(376.5-166.7)+(-0.719304+(-0.38403--0.170034))+0-329.1--0.335682000000052</f>
        <v>585.30238199999997</v>
      </c>
      <c r="G356" s="3">
        <f>705.1+(339.8-154.9)+(-0.719202+(-0.346596--0.157998))+0-330.3--0.336906000000053</f>
        <v>559.12910600000009</v>
      </c>
      <c r="H356" s="3">
        <f>705.2+(296.5-152.6)+(0.719304+(0.30243-0.155652))+0-331.7-0.338334000000053</f>
        <v>517.92774800000007</v>
      </c>
      <c r="I356" s="3">
        <f>706.1+(261.3-158.3)+(-1.080333+(-0.399789--0.242199))+0-329.7--0.504441000000019</f>
        <v>478.66651800000005</v>
      </c>
      <c r="J356" s="3">
        <f>706.5+(256-173.7)+(-0.72063+(-0.26112--0.177174))+0-327.7--0.334254000000052</f>
        <v>460.62967800000001</v>
      </c>
      <c r="K356" s="3">
        <f>706.9+(331.5-195.8)+(0+(0-0))+0-325.5-0</f>
        <v>517.09999999999991</v>
      </c>
      <c r="L356" s="3">
        <f>715.7+(400.7-227.9)+(0+(0-0))+0-324.9-0</f>
        <v>563.6</v>
      </c>
      <c r="M356" s="3">
        <f>723.6+(384.3-214.3)+(0.738072+(0.391986-0.218586))+0-326.2-0.332724000000052</f>
        <v>567.978748</v>
      </c>
      <c r="N356" s="3">
        <f>720.4+(417.1-210.5)+(0+(0-0))+0-327.4-0</f>
        <v>599.6</v>
      </c>
      <c r="O356" s="3">
        <f>717.9+(468.9-217)+(0.366129+(0.239139-0.11067))+0-327.7-0.167126999999967</f>
        <v>642.42747099999997</v>
      </c>
      <c r="P356" s="3">
        <f>714.6+(444.7-233)+(0+(0-0))+0-328-0</f>
        <v>598.29999999999995</v>
      </c>
      <c r="Q356" s="3">
        <f>712+(563.2-212.7)+(0+(0-0))+0-326.9-0</f>
        <v>735.6</v>
      </c>
      <c r="R356" s="3">
        <f>708.5+(485.4-221)+(-1.806675+(-1.23777--0.56355))+0-328.3--0.837164999999952</f>
        <v>642.9562699999999</v>
      </c>
      <c r="S356" s="3">
        <f>728.7+(458.9-224.9)+(-0.371637+(-0.234039--0.114699))+0-327.1--0.166820999999967</f>
        <v>635.27584399999989</v>
      </c>
      <c r="T356" s="3">
        <f>807.3+(391.6-219.7)+(0+(0-0))+0-327.9-0</f>
        <v>651.30000000000007</v>
      </c>
      <c r="U356" s="3">
        <f>816.3+(414.5-214.9)+(-0.416313+(-0.211395--0.109599))+0-328.8--0.167687999999967</f>
        <v>686.74957900000004</v>
      </c>
      <c r="V356" s="3">
        <f>819.4+(327.7-228.9)+(-0.835788+(-0.334254--0.233478))+0-326.8--0.333336000000052</f>
        <v>590.79677200000003</v>
      </c>
      <c r="W356" s="3">
        <f>823.9+(341.3-237.2)+(-1.260567+(-0.522189--0.362916))+0-329.2--0.503676000000019</f>
        <v>597.88383599999997</v>
      </c>
      <c r="X356" s="3">
        <f>828.4+(465.4-259.1)+(0+(0-0))+0-328.6-0</f>
        <v>706.0999999999998</v>
      </c>
      <c r="Y356" s="3">
        <f>831+(438.2-251.9)+(-1.27143+(-0.670446--0.385407))+0-327.2--0.500616000000019</f>
        <v>689.04414700000007</v>
      </c>
      <c r="Z356" s="3">
        <f>833.3+(384.4-229.7)+(-2.124915+(-0.98022--0.585735))+0-327.8--0.835889999999953</f>
        <v>658.51648999999986</v>
      </c>
      <c r="AA356" s="3">
        <f>834.6+(386.2-202.7)+(-1.702584+(-0.787848--0.413508))+0-328.1--0.669323999999986</f>
        <v>688.5924</v>
      </c>
      <c r="AB356" s="3">
        <f>840.6+(276.6-189.5)+(-0.428706+(-0.141066--0.096645))+0-326.1--0.166310999999967</f>
        <v>601.293184</v>
      </c>
      <c r="AC356" s="3">
        <f>899.4+(276.2-198.9)+(-1.834776+(-0.563448--0.405756))+0-325.8--0.664631999999986</f>
        <v>649.57216399999993</v>
      </c>
      <c r="AD356">
        <v>775.69999999999982</v>
      </c>
      <c r="AE356" s="3">
        <f>832+(529.6-253.9)+(0+(0-0))+0-332-0</f>
        <v>775.7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976.8+(206.9-300.6)+(-0.996336+(-0.211038--0.306612))+0-326.1--0.332622000000052</f>
        <v>556.43185999999992</v>
      </c>
      <c r="G357" s="3">
        <f>986+(132.8-274.5)+(-1.00572+(-0.135456--0.27999))+0-325.8--0.332316000000052</f>
        <v>517.97113000000002</v>
      </c>
      <c r="H357" s="3">
        <f>985.1+(123.6-277.4)+(-2.009604+(-0.252144--0.565896))+0-327.9--0.668915999999986</f>
        <v>502.37306400000011</v>
      </c>
      <c r="I357" s="3">
        <f>985.8+(113.1-274.3)+(0+(0-0))+0-328.8-0</f>
        <v>495.7999999999999</v>
      </c>
      <c r="J357" s="3">
        <f>987.3+(117.6-286.7)+(-1.007046+(-0.119952--0.292434))+0-327.7--0.334254000000052</f>
        <v>489.99968999999999</v>
      </c>
      <c r="K357" s="3">
        <f>959.7+(167.5-279.8)+(0.489447+(0.085425-0.142698))+0-327.5-0.167024999999967</f>
        <v>520.16514900000016</v>
      </c>
      <c r="L357" s="3">
        <f>960.1+(242.5-305.3)+(-0.489651+(-0.123675--0.155703))+0-325.4--0.165953999999967</f>
        <v>571.60833099999991</v>
      </c>
      <c r="M357" s="3">
        <f>989.7+(267-354.7)+(0+(0-0))+0-321.7-0</f>
        <v>580.29999999999995</v>
      </c>
      <c r="N357" s="3">
        <f>983+(298.5-357.9)+(0.50133+(0.152235-0.182529))+10.5-323.1-0.164780999999967</f>
        <v>611.30625500000008</v>
      </c>
      <c r="O357" s="3">
        <f>930.8+(364-285.5)+(-0.474708+(-0.18564--0.145605))+11-323.6--0.165035999999967</f>
        <v>696.35029299999997</v>
      </c>
      <c r="P357" s="3">
        <f>940.8+(337.3-367.8)+(-0.479808+(-0.172023--0.187578))+0.4-326.3--0.166412999999967</f>
        <v>584.10215999999991</v>
      </c>
      <c r="Q357" s="3">
        <f>943.7+(377.2-319.8)+(0.481287+(0.192372-0.163098))+0-328.7-0.167636999999967</f>
        <v>672.74292400000013</v>
      </c>
      <c r="R357" s="3">
        <f>942.4+(350.2-350.5)+(-2.40312+(-0.89301--0.893775))+0-327.7--0.835634999999952</f>
        <v>612.83327999999983</v>
      </c>
      <c r="S357" s="3">
        <f>929.9+(352.6-314.8)+(-1.896996+(-0.719304--0.642192))+0-325.7--0.664427999999986</f>
        <v>640.69032000000004</v>
      </c>
      <c r="T357" s="3">
        <f>921+(355.3-305.2)+(0.46971+(0.181203-0.155652))+0-326.8-0.166667999999967</f>
        <v>644.62859300000002</v>
      </c>
      <c r="U357" s="3">
        <f>921.4+(353.6-318.7)+(-0.939828+(-0.360672--0.325074))+0-325.2--0.331704000000052</f>
        <v>630.456278</v>
      </c>
      <c r="V357" s="3">
        <f>920.1+(377.4-283.9)+(-2.346255+(-0.96237--0.723945))+0-325.7--0.830534999999953</f>
        <v>686.14585499999987</v>
      </c>
      <c r="W357" s="3">
        <f>925.3+(405.9-307.7)+(-1.887612+(-0.828036--0.627708))+0-323.8--0.660551999999986</f>
        <v>698.27261199999987</v>
      </c>
      <c r="X357" s="3">
        <f>948.5+(451.2-351.4)+(-0.483735+(-0.230112--0.179214))+0-326.8--0.166667999999967</f>
        <v>721.13203499999997</v>
      </c>
      <c r="Y357" s="3">
        <f>949.9+(453.5-326.6)+(-1.453347+(-0.693855--0.499698))+0-326.3--0.499239000000019</f>
        <v>749.35173499999996</v>
      </c>
      <c r="Z357" s="3">
        <f>952.2+(404.2-379.3)+(-1.456866+(-0.618426--0.580329))+0-327.3--0.500769000000019</f>
        <v>648.80580600000008</v>
      </c>
      <c r="AA357" s="3">
        <f>955.6+(395.1-359.4)+(-0.974712+(-0.403002--0.366588))+0-328.5--0.335070000000052</f>
        <v>662.12394400000017</v>
      </c>
      <c r="AB357" s="3">
        <f>958.7+(301.6-326.4)+(-1.466811+(-0.461448--0.499392))+0-327.5--0.501075000000019</f>
        <v>605.47220800000014</v>
      </c>
      <c r="AC357" s="3">
        <f>959.1+(254.2-286.1)+(-0.489141+(-0.129642--0.145911))+0-327.3--0.166922999999967</f>
        <v>599.59405100000004</v>
      </c>
      <c r="AD357">
        <v>818.50000000000011</v>
      </c>
      <c r="AE357" s="3">
        <f>951+(499.9-307)+(0+(0-0))+0-325.4-0</f>
        <v>818.50000000000011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961.2+(227.4-275.3)+(-1.470636+(-0.347922--0.421209))+0-326.1--0.498933000000019</f>
        <v>586.30158400000005</v>
      </c>
      <c r="G358" s="3">
        <f>962.3+(240.8-272.1)+(-0.981546+(-0.245616--0.277542))+0-329.3--0.335886000000053</f>
        <v>601.08626600000002</v>
      </c>
      <c r="H358" s="3">
        <f>962+(221-278.4)+(-1.47186+(-0.33813--0.425952))+0-330.6--0.505818000000019</f>
        <v>573.12177999999994</v>
      </c>
      <c r="I358" s="3">
        <f>961.4+(195.6-263.3)+(-0.980628+(-0.199512--0.268566))+0-326.5--0.333030000000052</f>
        <v>566.62145599999997</v>
      </c>
      <c r="J358" s="3">
        <f>961+(198.8-225.5)+(0.98022+(0.202776-0.23001))+0-325-0.331500000000052</f>
        <v>609.92148599999996</v>
      </c>
      <c r="K358" s="3">
        <f>961.6+(188.8-291.1)+(0+(0-0))+0-325.3-0</f>
        <v>534</v>
      </c>
      <c r="L358" s="3">
        <f>962.8+(262.8-293.6)+(0.491028+(0.134028-0.149736))+0-325.7-0.166106999999967</f>
        <v>606.60921299999995</v>
      </c>
      <c r="M358" s="3">
        <f>960.2+(319.3-355.3)+(0.979404+(0.325686-0.362406))+0-323.4-0.329868000000052</f>
        <v>601.41281600000002</v>
      </c>
      <c r="N358" s="3">
        <f>955.6+(329.6-362.1)+(0.974712+(0.336192-0.369342))+0-327-0.333540000000052</f>
        <v>596.70802199999991</v>
      </c>
      <c r="O358" s="3">
        <f>951.7+(360.6-351)+(0.485367+(0.183906-0.17901))+0-326.8-0.166667999999967</f>
        <v>634.82359500000018</v>
      </c>
      <c r="P358" s="3">
        <f>947.1+(371.3-355.6)+(0+(0-0))+0-331-0</f>
        <v>631.79999999999995</v>
      </c>
      <c r="Q358" s="3">
        <f>943.4+(374.4-343.2)+(0+(0-0))+0-332-0</f>
        <v>642.59999999999991</v>
      </c>
      <c r="R358" s="3">
        <f>941.6+(362.3-362.9)+(-1.920864+(-0.739092--0.740316))+0-330--0.673199999999986</f>
        <v>609.75355999999999</v>
      </c>
      <c r="S358" s="3">
        <f>936.2+(379.9-335.5)+(-0.477462+(-0.193749--0.171105))+0-333--0.169829999999966</f>
        <v>647.269724</v>
      </c>
      <c r="T358" s="3">
        <f>934.4+(381.1-333.7)+(0+(0-0))+0-328-0</f>
        <v>653.79999999999995</v>
      </c>
      <c r="U358" s="3">
        <f>935.4+(390.1-353.2)+(-0.954108+(-0.397902--0.360264))+0-326--0.332520000000052</f>
        <v>645.64077399999996</v>
      </c>
      <c r="V358" s="3">
        <f>934+(382.7-365.4)+(0.47634+(0.195177-0.186354))+0-327-0.166769999999967</f>
        <v>624.61839300000008</v>
      </c>
      <c r="W358" s="3">
        <f>937+(391.6-389.6)+(0.47787+(0.199716-0.198696))+0-330-0.168299999999967</f>
        <v>609.31059000000005</v>
      </c>
      <c r="X358" s="3">
        <f>940.4+(430.1-380.1)+(0.479604+(0.219351-0.193851))+0-329-0.167789999999967</f>
        <v>661.73731399999997</v>
      </c>
      <c r="Y358" s="3">
        <f>944.8+(405.2-374.8)+(-0.481848+(-0.206652--0.191148))+0-330--0.168299999999967</f>
        <v>644.87094799999988</v>
      </c>
      <c r="Z358" s="3">
        <f>947.3+(384.3-377.5)+(0.483123+(0.195993-0.192525))+0-329-0.167789999999967</f>
        <v>625.41880099999992</v>
      </c>
      <c r="AA358" s="3">
        <f>949.3+(366-372.8)+(-0.484143+(-0.18666--0.190128))+0-329--0.167789999999967</f>
        <v>613.18711499999995</v>
      </c>
      <c r="AB358" s="3">
        <f>955.2+(327.2-371)+(-3.897216+(-1.334976--1.51368))+0-327--1.33415999999997</f>
        <v>582.01564800000006</v>
      </c>
      <c r="AC358" s="3">
        <f>958.2+(283.9-353.7)+(-2.932092+(-0.868734--1.082322))+0-326--0.997560000000038</f>
        <v>560.67905600000006</v>
      </c>
      <c r="AD358">
        <v>680.4</v>
      </c>
      <c r="AE358" s="3">
        <f>943+(433.8-370.4)+(0+(0-0))+0-326-0</f>
        <v>680.40000000000009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946.8+(268-366.7)+(-1.448604+(-0.41004--0.561051))+0-327--0.500310000000019</f>
        <v>520.30271699999992</v>
      </c>
      <c r="G359" s="3">
        <f>946.5+(246.5-352)+(-0.482715+(-0.125715--0.17952))+0-330--0.168299999999967</f>
        <v>510.73939000000001</v>
      </c>
      <c r="H359" s="3">
        <f>958+(229.3-338.7)+(0+(0-0))+0-328-0</f>
        <v>520.6</v>
      </c>
      <c r="I359" s="3">
        <f>957.9+(219.1-361.9)+(0.488529+(0.111741-0.184569))+0-324-0.165239999999967</f>
        <v>491.35046100000005</v>
      </c>
      <c r="J359" s="3">
        <f>961.5+(254.9-404.8)+(0+(0-0))+0-323-0</f>
        <v>488.6</v>
      </c>
      <c r="K359" s="3">
        <f>963.1+(307.5-449.6)+(0.491181+(0.156825-0.229296))+0-325-0.165749999999967</f>
        <v>496.25296000000009</v>
      </c>
      <c r="L359" s="3">
        <f>963+(310.6-435.6)+(-1.96452+(-0.633624--0.888624))+0-325--0.662999999999986</f>
        <v>511.95348000000001</v>
      </c>
      <c r="M359" s="3">
        <f>957.9+(323-435.4)+(1.465587+(0.49419-0.666162))+0-323-0.494190000000019</f>
        <v>523.29942500000004</v>
      </c>
      <c r="N359" s="3">
        <f>949.8+(345.1-409.4)+(0.968796+(0.352002-0.417588))+0-326-0.332520000000052</f>
        <v>560.0706899999999</v>
      </c>
      <c r="O359" s="3">
        <f>936.9+(361.9-390.4)+(1.911276+(0.738276-0.796416))+0-327-0.667079999999986</f>
        <v>582.58605599999999</v>
      </c>
      <c r="P359" s="3">
        <f>935.2+(375.5-380.2)+(0+(0-0))+0-329-0</f>
        <v>601.5</v>
      </c>
      <c r="Q359" s="3">
        <f>931.7+(381.5-371.2)+(-0.475167+(-0.194565--0.189312))+0-328--0.167279999999967</f>
        <v>613.68686000000002</v>
      </c>
      <c r="R359" s="3">
        <f>928.8+(405-361.8)+(0+(0-0))+0-325-0</f>
        <v>647</v>
      </c>
      <c r="S359" s="3">
        <f>926.3+(424.3-382.2)+(0+(0-0))+0-322-0</f>
        <v>646.4</v>
      </c>
      <c r="T359" s="3">
        <f>924.3+(423.8-353)+(0+(0-0))+0-324-0</f>
        <v>671.09999999999991</v>
      </c>
      <c r="U359" s="3">
        <f>925.6+(408-324.8)+(-1.416168+(-0.62424--0.496944))+0-322--0.492660000000019</f>
        <v>685.74919599999998</v>
      </c>
      <c r="V359" s="3">
        <f>928.1+(379.9-329.1)+(1.893324+(0.774996-0.671364))+0-324-0.660959999999986</f>
        <v>656.235996</v>
      </c>
      <c r="W359" s="3">
        <f>931.6+(413.2-337.1)+(-0.475116+(-0.210732--0.171921))+0-325--0.165749999999967</f>
        <v>682.35182300000008</v>
      </c>
      <c r="X359" s="3">
        <f>935.1+(459.3-323.1)+(0+(0-0))+0-325-0</f>
        <v>746.3</v>
      </c>
      <c r="Y359" s="3">
        <f>940.9+(424.8-307.3)+(-1.439577+(-0.649944--0.470169))+0-324--0.495720000000019</f>
        <v>733.27636800000016</v>
      </c>
      <c r="Z359" s="3">
        <f>943.4+(399.8-337.4)+(-0.481134+(-0.203898--0.172074))+0-324--0.165239999999967</f>
        <v>681.45228199999985</v>
      </c>
      <c r="AA359" s="3">
        <f>947.4+(402.5-318.2)+(-0.483174+(-0.205275--0.162282))+0-326--0.166259999999967</f>
        <v>705.34009300000002</v>
      </c>
      <c r="AB359" s="3">
        <f>950.7+(351.3-294)+(-2.424285+(-0.895815--0.7497))+0-325--0.828749999999953</f>
        <v>681.25834999999995</v>
      </c>
      <c r="AC359" s="3">
        <f>950.9+(330.6-303)+(-2.424795+(-0.84303--0.77265))+0-326--0.831299999999953</f>
        <v>650.83612499999992</v>
      </c>
      <c r="AD359">
        <v>704</v>
      </c>
      <c r="AE359" s="3">
        <f>908+(424.9-304.9)+(0+(0-0))+0-324-0</f>
        <v>704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951.9+(281.1-301.2)+(-0.970938+(-0.286722--0.307224))+0-324--0.330480000000052</f>
        <v>607.18004400000007</v>
      </c>
      <c r="G360" s="3">
        <f>951.5+(309.2-355.9)+(-0.485265+(-0.157692--0.181509))+0-326--0.166259999999967</f>
        <v>578.5048119999999</v>
      </c>
      <c r="H360" s="3">
        <f>952.6+(311-371.6)+(0+(0-0))+0-329-0</f>
        <v>563</v>
      </c>
      <c r="I360" s="3">
        <f>952.2+(296.1-369.3)+(0.971244+(0.302022-0.376686))+0-325-0.331500000000052</f>
        <v>554.56507999999997</v>
      </c>
      <c r="J360" s="3">
        <f>954.9+(268.1-341.1)+(2.434995+(0.683655-0.869805))+0-326-0.831299999999953</f>
        <v>557.317545</v>
      </c>
      <c r="K360" s="3">
        <f>954.9+(297.4-356.8)+(2.434995+(0.75837-0.90984))+0-324-0.826199999999953</f>
        <v>572.95732500000008</v>
      </c>
      <c r="L360" s="3">
        <f>952.9+(331.3-366.9)+(0.485979+(0.168963-0.187119))+0-323-0.164729999999967</f>
        <v>594.60309299999994</v>
      </c>
      <c r="M360" s="3">
        <f>951.1+(334.3-414.4)+(0+(0-0))+0-322-0</f>
        <v>549</v>
      </c>
      <c r="N360" s="3">
        <f>945.1+(361.2-379.2)+(0+(0-0))+0-325-0</f>
        <v>602.1</v>
      </c>
      <c r="O360" s="3">
        <f>939.4+(401.1-394.8)+(0.958188+(0.409122-0.402696))+0-327-0.333540000000052</f>
        <v>619.33107399999994</v>
      </c>
      <c r="P360" s="3">
        <f>933.2+(416.3-391.1)+(-0.475932+(-0.212313--0.199461))+0-325--0.165749999999967</f>
        <v>633.07696600000008</v>
      </c>
      <c r="Q360" s="3">
        <f>927+(427.1-384.5)+(-0.94554+(-0.435642--0.39219))+0-329--0.335580000000052</f>
        <v>639.94658800000002</v>
      </c>
      <c r="R360" s="3">
        <f>922.8+(443.6-346.8)+(-0.941256+(-0.452472--0.353736))+0-328--0.334560000000052</f>
        <v>690.89456799999994</v>
      </c>
      <c r="S360" s="3">
        <f>918.3+(432.2-357.2)+(-0.468333+(-0.220422--0.182172))+0-327--0.166769999999967</f>
        <v>665.96018699999991</v>
      </c>
      <c r="T360" s="3">
        <f>918.4+(425.2-313.5)+(-1.873536+(-0.867408--0.63954))+0-329--0.671159999999986</f>
        <v>699.66975599999989</v>
      </c>
      <c r="U360" s="3">
        <f>920.2+(405.8-291.9)+(0+(0-0))+0-331-0</f>
        <v>703.10000000000014</v>
      </c>
      <c r="V360" s="3">
        <f>921.6+(405.5-297.7)+(-0.940032+(-0.41361--0.303654))+0-330--0.336600000000053</f>
        <v>698.6866120000002</v>
      </c>
      <c r="W360" s="3">
        <f>928.3+(385.3-325.8)+(-0.473433+(-0.196503--0.166158))+0-329--0.167789999999967</f>
        <v>658.46401199999991</v>
      </c>
      <c r="X360" s="3">
        <f>997.5+(344.3-358.7)+(-0.508725+(-0.175593--0.182937))+0-337.9--0.172328999999966</f>
        <v>644.870948</v>
      </c>
      <c r="Y360" s="3">
        <f>937.1+(384.3-284.1)+(-0.955842+(-0.391986--0.289782))+0-326--0.332520000000052</f>
        <v>710.5744739999999</v>
      </c>
      <c r="Z360" s="3">
        <f>939.1+(371.9-270)+(-2.394705+(-0.948345--0.6885))+0-325.2--0.829259999999953</f>
        <v>713.97470999999996</v>
      </c>
      <c r="AA360" s="3">
        <f>941.4+(327-301.3)+(-0.960228+(-0.33354--0.307326))+0-323.4--0.329868000000052</f>
        <v>643.04342599999995</v>
      </c>
      <c r="AB360" s="3">
        <f>942.3+(334.3-265.8)+(-1.441719+(-0.511479--0.406674))+0-323.3--0.494649000000019</f>
        <v>686.44812499999989</v>
      </c>
      <c r="AC360" s="3">
        <f>943.8+(317.4-291)+(-1.444014+(-0.485622--0.44523))+0-326.1--0.498933000000019</f>
        <v>643.11452699999984</v>
      </c>
      <c r="AD360">
        <v>717.49999999999989</v>
      </c>
      <c r="AE360" s="3">
        <f>938+(383.6-279.2)+(0+(0-0))+0-324.9-0</f>
        <v>717.50000000000011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944.9+(297.4-308.3)+(-0.963798+(-0.303348--0.314466))+0-325.3--0.331806000000052</f>
        <v>608.07912599999997</v>
      </c>
      <c r="G361" s="3">
        <f>944.7+(296.8-266.4)+(0.481797+(0.151368-0.135864))+0-325.4-0.165953999999967</f>
        <v>650.03134700000021</v>
      </c>
      <c r="H361" s="3">
        <f>947.4+(279.3-280.4)+(-1.449522+(-0.427329--0.429012))+0-328--0.501840000000019</f>
        <v>617.35400099999993</v>
      </c>
      <c r="I361" s="3">
        <f>948.3+(283.7-275)+(-0.967266+(-0.289374--0.2805))+0-327.6--0.334152000000052</f>
        <v>628.75801200000001</v>
      </c>
      <c r="J361" s="3">
        <f>947.9+(258.5-309.3)+(-1.450287+(-0.395505--0.473229))+0-326.1--0.498933000000019</f>
        <v>570.12636999999984</v>
      </c>
      <c r="K361" s="3">
        <f>947.6+(263.4-279)+(1.449828+(0.403002-0.42687))+0-325.2-0.497556000000019</f>
        <v>607.72840399999995</v>
      </c>
      <c r="L361" s="3">
        <f>948.5+(304.3-276.6)+(-0.96747+(-0.310386--0.282132))+0-325.4--0.331908000000052</f>
        <v>650.13618400000007</v>
      </c>
      <c r="M361" s="3">
        <f>952.3+(275.3-348.6)+(0+(0-0))+0-325-0</f>
        <v>554</v>
      </c>
      <c r="N361" s="3">
        <f>943.7+(393.1-292.5)+(0.962574+(0.400962-0.29835))+0-326-0.332520000000052</f>
        <v>719.03266600000018</v>
      </c>
      <c r="O361" s="3">
        <f>935+(420.8-317.1)+(1.43055+(0.643824-0.485163))+0-327.4-0.500922000000019</f>
        <v>712.38828899999999</v>
      </c>
      <c r="P361" s="3">
        <f>929.2+(432.2-354.3)+(0+(0-0))+0-326.9-0</f>
        <v>680.2</v>
      </c>
      <c r="Q361" s="3">
        <f>923.9+(433.5-376)+(-0.471189+(-0.221085--0.19176))+0-328.1--0.167330999999967</f>
        <v>652.96681699999999</v>
      </c>
      <c r="R361" s="3">
        <f>921.8+(415.5-365.8)+(-3.760944+(-1.69524--1.492464))+0-324.7--1.32477599999997</f>
        <v>644.16105599999992</v>
      </c>
      <c r="S361" s="3">
        <f>918.5+(415.8-348.8)+(-1.87374+(-0.848232--0.711552))+0-325.3--0.663611999999986</f>
        <v>658.85319199999992</v>
      </c>
      <c r="T361" s="3">
        <f>917.4+(409.6-325.5)+(0.467874+(0.208896-0.166005))+0-325.7-0.166106999999967</f>
        <v>676.14465799999994</v>
      </c>
      <c r="U361" s="3">
        <f>918.8+(409.9-303.2)+(-2.811528+(-1.254294--0.927792))+0-325.6--0.996336000000038</f>
        <v>697.75830600000006</v>
      </c>
      <c r="V361" s="3">
        <f>921+(386.1-306.3)+(-2.81826+(-1.181466--0.937278))+0-324.8--0.993888000000038</f>
        <v>673.93143999999995</v>
      </c>
      <c r="W361" s="3">
        <f>925.3+(373.6-282.3)+(-1.415709+(-0.571608--0.431919))+0-324.8--0.496944000000019</f>
        <v>690.74154599999997</v>
      </c>
      <c r="X361" s="3">
        <f>932.1+(442.4-302)+(-0.475371+(-0.225624--0.15402))+0-326.5--0.166514999999967</f>
        <v>745.61954000000003</v>
      </c>
      <c r="Y361" s="3">
        <f>940.4+(407.9-316.1)+(-1.918416+(-0.832116--0.644844))+0-325.4--0.663815999999986</f>
        <v>705.35812799999974</v>
      </c>
      <c r="Z361" s="3">
        <f>942.7+(421.9-269.5)+(0.480777+(0.215169-0.137445))+0-325.4-0.165953999999967</f>
        <v>770.09254699999997</v>
      </c>
      <c r="AA361" s="3">
        <f>943.5+(362.8-320.8)+(-1.443555+(-0.555084--0.490824))+0-326.3--0.499239000000019</f>
        <v>658.19142399999987</v>
      </c>
      <c r="AB361" s="3">
        <f>947.2+(342.7-342.8)+(-0.483072+(-0.174777--0.174828))+0-326--0.166259999999967</f>
        <v>620.78323899999998</v>
      </c>
      <c r="AC361" s="3">
        <f>947.3+(362.3-270.7)+(-3.381861+(-1.293411--0.966399))+0-323.4--1.154538</f>
        <v>712.94566500000008</v>
      </c>
      <c r="AD361">
        <v>816.30000000000018</v>
      </c>
      <c r="AE361" s="3">
        <f>934+(499.4-289.3)+(0+(0-0))+0-327.8-0</f>
        <v>816.3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948.2+(317.9-334.1)+(-0.967164+(-0.324258--0.340782))+0-321.9--0.328338000000051</f>
        <v>609.47769800000003</v>
      </c>
      <c r="G362" s="3">
        <f>944.9+(318.6-292)+(-1.927596+(-0.649944--0.59568))+0-324.3--0.661571999999986</f>
        <v>645.87971199999993</v>
      </c>
      <c r="H362" s="3">
        <f>946.8+(290.2-317.9)+(-1.448604+(-0.444006--0.486387))+0-327.3--0.500769000000019</f>
        <v>590.89454599999999</v>
      </c>
      <c r="I362" s="3">
        <f>948.1+(255.8-308.1)+(-1.934124+(-0.521832--0.628524))+0-326.7--0.666467999999986</f>
        <v>567.93903599999987</v>
      </c>
      <c r="J362" s="3">
        <f>950.6+(212-269.3)+(1.454418+(0.32436-0.412029))+0-326.4-0.499392000000019</f>
        <v>567.76735699999995</v>
      </c>
      <c r="K362" s="3">
        <f>949.5+(236.9-253.1)+(1.93698+(0.483276-0.516324))+0-326-0.665039999999986</f>
        <v>608.53889200000003</v>
      </c>
      <c r="L362" s="3">
        <f>945.3+(233.5-291.7)+(-0.482103+(-0.119085--0.148767))+0-324.7--0.165596999999967</f>
        <v>562.11317599999984</v>
      </c>
      <c r="M362" s="3">
        <f>948+(262-278.7)+(-0.48348+(-0.13362--0.142137))+0-321.8--0.164117999999967</f>
        <v>609.1891549999998</v>
      </c>
      <c r="N362" s="3">
        <f>939.2+(280.6-284.3)+(-1.436976+(-0.429318--0.434979))+0-324.1--0.495873000000019</f>
        <v>610.46455800000001</v>
      </c>
      <c r="O362" s="3">
        <f>929.6+(325-280.3)+(0+(0-0))+0-325.2-0</f>
        <v>649.09999999999991</v>
      </c>
      <c r="P362" s="3">
        <f>923.4+(398.7-284.9)+(1.883736+(0.813348-0.581196))+0-328.6-0.670343999999986</f>
        <v>710.04554400000006</v>
      </c>
      <c r="Q362" s="3">
        <f>917.7+(457.9-292.8)+(-0.468027+(-0.233529--0.149328))+0-326.6--0.166565999999967</f>
        <v>755.81433799999991</v>
      </c>
      <c r="R362" s="3">
        <f>914.1+(451.8-302.2)+(-2.330955+(-1.15209--0.77061))+0-324.5--0.827474999999953</f>
        <v>737.31504000000007</v>
      </c>
      <c r="S362" s="3">
        <f>912.1+(504.1-287.3)+(-0.465171+(-0.257091--0.146523))+0-322.3--0.164372999999967</f>
        <v>806.18863399999998</v>
      </c>
      <c r="T362" s="3">
        <f>913.9+(430.1-282.2)+(-2.330445+(-1.096755--0.71961))+0-322--0.821099999999953</f>
        <v>737.91350999999997</v>
      </c>
      <c r="U362" s="3">
        <f>912.8+(425-261.6)+(-0.465528+(-0.21675--0.133416))+0-323.1--0.164780999999967</f>
        <v>752.71591899999964</v>
      </c>
      <c r="V362" s="3">
        <f>915.8+(386.8-281.9)+(-0.467058+(-0.197268--0.143769))+0-326--0.166259999999967</f>
        <v>694.34570299999996</v>
      </c>
      <c r="W362" s="3">
        <f>922+(436.8-271.5)+(0.47022+(0.222768-0.138465))+0-326-0.166259999999967</f>
        <v>761.68826300000001</v>
      </c>
      <c r="X362" s="3">
        <f>927.4+(462.7-306.8)+(0+(0-0))+0-324.2-0</f>
        <v>759.09999999999991</v>
      </c>
      <c r="Y362" s="3">
        <f>930.7+(479.8-317.9)+(-2.373285+(-1.22349--0.810645))+0-325.3--0.829514999999953</f>
        <v>765.34338500000013</v>
      </c>
      <c r="Z362" s="3">
        <f>933.8+(458.3-335.5)+(0+(0-0))+0-327.7-0</f>
        <v>728.89999999999986</v>
      </c>
      <c r="AA362" s="3">
        <f>937.2+(460.4-289.5)+(-2.867832+(-1.408824--0.88587))+0-326--0.997560000000038</f>
        <v>779.706774</v>
      </c>
      <c r="AB362" s="3">
        <f>941.6+(377.1-314.2)+(-0.480216+(-0.192321--0.160242))+0-325.8--0.166157999999967</f>
        <v>678.35386300000005</v>
      </c>
      <c r="AC362" s="3">
        <f>943.3+(381-233.6)+(-1.924332+(-0.77724--0.476544))+0-325.8--0.664631999999986</f>
        <v>763.33960400000001</v>
      </c>
      <c r="AD362">
        <v>819.99999999999989</v>
      </c>
      <c r="AE362" s="3">
        <f>929+(509-294.9)+(0+(0-0))+0-323.1-0</f>
        <v>819.99999999999989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943.6+(290.3-240)+(-0.962472+(-0.296106--0.2448))+0-325.5--0.332010000000052</f>
        <v>667.71823200000017</v>
      </c>
      <c r="G363" s="3">
        <f>945.3+(297.9-230.3)+(-0.964206+(-0.303858--0.234906))+0-328.2--0.334764000000052</f>
        <v>684.00160599999992</v>
      </c>
      <c r="H363" s="3">
        <f>946.8+(222.8-253.3)+(0+(0-0))+0-330-0</f>
        <v>586.29999999999995</v>
      </c>
      <c r="I363" s="3">
        <f>946.9+(190.5-242.4)+(-1.448757+(-0.291465--0.370872))+0-328.6--0.502758000000019</f>
        <v>565.53340799999989</v>
      </c>
      <c r="J363" s="3">
        <f>949.8+(203.9-244.4)+(0.484398+(0.103989-0.124644))+0-325.6-0.166055999999967</f>
        <v>583.99768700000004</v>
      </c>
      <c r="K363" s="3">
        <f>950.8+(237.8-244.5)+(1.454724+(0.363834-0.374085))+0-325.3-0.497709000000019</f>
        <v>619.74676399999998</v>
      </c>
      <c r="L363" s="3">
        <f>951+(265.3-277.4)+(-2.42505+(-0.676515--0.70737))+0-325.1--0.829004999999953</f>
        <v>612.23481000000004</v>
      </c>
      <c r="M363" s="3">
        <f>948.1+(300.9-292.9)+(-1.934124+(-0.613836--0.597516))+0-322.3--0.657491999999986</f>
        <v>632.50704800000005</v>
      </c>
      <c r="N363" s="3">
        <f>893.3+(348.4-272.9)+(0+(0-0))+0-321.8-0</f>
        <v>647</v>
      </c>
      <c r="O363" s="3">
        <f>797.1+(419-268.4)+(0.406521+(0.21369-0.136884))+0-322.3-0.164372999999967</f>
        <v>625.71895400000005</v>
      </c>
      <c r="P363" s="3">
        <f>775.8+(461.7-272.6)+(0+(0-0))+0-324.4-0</f>
        <v>640.49999999999989</v>
      </c>
      <c r="Q363" s="3">
        <f>778.5+(509.5-274.6)+(0+(0-0))+0-323.5-0</f>
        <v>689.9</v>
      </c>
      <c r="R363" s="3">
        <f>773.8+(611.1-275.4)+(-1.578552+(-1.246644--0.561816))+0-325.3--0.663611999999986</f>
        <v>782.60023199999989</v>
      </c>
      <c r="S363" s="3">
        <f>771.2+(586.8-276.2)+(-1.179936+(-0.897804--0.422586))+0-325.9--0.498627000000019</f>
        <v>754.74347299999999</v>
      </c>
      <c r="T363" s="3">
        <f>767.2+(574.9-271.2)+(-0.391272+(-0.293199--0.138312))+0-326.3--0.166412999999967</f>
        <v>744.22025400000007</v>
      </c>
      <c r="U363" s="3">
        <f>766+(579.5-263)+(0+(0-0))+0-325-0</f>
        <v>757.5</v>
      </c>
      <c r="V363" s="3">
        <f>740.2+(585.6-260.1)+(-1.132506+(-0.895968--0.397953))+0-327.1--0.500463000000019</f>
        <v>737.46994199999995</v>
      </c>
      <c r="W363" s="3">
        <f>743.9+(551.2-266.5)+(0+(0-0))+0-328.7-0</f>
        <v>699.89999999999986</v>
      </c>
      <c r="X363" s="3">
        <f>748.7+(643.5-298.5)+(-0.381837+(-0.328185--0.152235))+0-326.1--0.166310999999967</f>
        <v>767.20852400000001</v>
      </c>
      <c r="Y363" s="3">
        <f>754+(646.6-291.7)+(-1.15362+(-0.989298--0.446301))+0-327.3--0.500769000000019</f>
        <v>780.40415200000007</v>
      </c>
      <c r="Z363" s="3">
        <f>756.4+(570.6-281.1)+(-1.157292+(-0.873018--0.430083))+0-329.7--0.504441000000019</f>
        <v>715.10421400000018</v>
      </c>
      <c r="AA363" s="3">
        <f>757.9+(604.7-262.7)+(-0.773058+(-0.616794--0.267954))+0-328.9--0.335478000000052</f>
        <v>770.21358000000009</v>
      </c>
      <c r="AB363" s="3">
        <f>748.8+(551-246.9)+(-1.90944+(-1.40505--0.629595))+0-325.2--0.829259999999953</f>
        <v>725.84436499999993</v>
      </c>
      <c r="AC363" s="3">
        <f>741.4+(526.4-218.8)+(-1.134342+(-0.805392--0.334764))+0-323.2--0.494496000000019</f>
        <v>724.68952599999989</v>
      </c>
      <c r="AD363">
        <v>672.50000000000011</v>
      </c>
      <c r="AE363" s="3">
        <f>754+(574.9-331.5)+(0+(0-0))+0-324.9-0</f>
        <v>672.5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742.4+(463.3-205.8)+(-1.89312+(-1.181415--0.52479))+0-324.7--0.827984999999953</f>
        <v>673.47823999999991</v>
      </c>
      <c r="G364" s="3">
        <f>743.6+(444.6-209.3)+(-1.89618+(-1.13373--0.533715))+0-325.5--0.830024999999953</f>
        <v>651.73383000000013</v>
      </c>
      <c r="H364" s="3">
        <f>746.2+(419.4-189.5)+(-0.380562+(-0.213894--0.096645))+0-325--0.165749999999967</f>
        <v>650.76793900000007</v>
      </c>
      <c r="I364" s="3">
        <f>750.3+(383.6-189.2)+(-1.147959+(-0.586908--0.289476))+0-323.7--0.495261000000019</f>
        <v>620.04987000000006</v>
      </c>
      <c r="J364" s="3">
        <f>819.1+(346.3-198.7)+(-1.253223+(-0.529839--0.304011))+0-322.5--0.493425000000019</f>
        <v>643.21437400000002</v>
      </c>
      <c r="K364" s="3">
        <f>921.6+(229.1-246.8)+(-1.410048+(-0.350523--0.377604))+0-321.9--0.492507000000019</f>
        <v>581.10954000000004</v>
      </c>
      <c r="L364" s="3">
        <f>949.6+(252.4-239.2)+(-0.968592+(-0.257448--0.243984))+0-322.7--0.329154000000051</f>
        <v>639.4470980000001</v>
      </c>
      <c r="M364" s="3">
        <f>947.7+(225.8-270.1)+(0.483327+(0.115158-0.137751))+0-320.5-0.163454999999967</f>
        <v>583.19727900000009</v>
      </c>
      <c r="N364" s="3">
        <f>944.7+(350-269.7)+(0.481797+(0.1785-0.137547))+0-323-0.164729999999967</f>
        <v>702.35802000000012</v>
      </c>
      <c r="O364" s="3">
        <f>940.5+(398.6-316.5)+(0+(0-0))+0-326.1-0</f>
        <v>696.5</v>
      </c>
      <c r="P364" s="3">
        <f>936.7+(373.9-330.2)+(-1.433151+(-0.572067--0.505206))+0-326.4--0.499392000000019</f>
        <v>652.9993800000002</v>
      </c>
      <c r="Q364" s="3">
        <f>929.1+(440.7-307.1)+(0+(0-0))+0-325.1-0</f>
        <v>737.6</v>
      </c>
      <c r="R364" s="3">
        <f>908.5+(447.1-286.7)+(-0.92667+(-0.456042--0.292434))+0-326.3--0.332826000000052</f>
        <v>741.84254800000031</v>
      </c>
      <c r="S364" s="3">
        <f>911+(394-288.5)+(-0.92922+(-0.40188--0.29427))+0-327.2--0.333744000000052</f>
        <v>688.59691399999997</v>
      </c>
      <c r="T364" s="3">
        <f>912.9+(418.4-252.4)+(0+(0-0))+0-325.5-0</f>
        <v>753.39999999999986</v>
      </c>
      <c r="U364" s="3">
        <f>914.2+(290.9-245.9)+(-0.466242+(-0.148359--0.125409))+10.6-325.2--0.165851999999967</f>
        <v>644.27666000000011</v>
      </c>
      <c r="V364" s="3">
        <f>914.8+(268.9-264.1)+(-0.466548+(-0.137139--0.134691))+0.4-325--0.165749999999967</f>
        <v>594.69675399999994</v>
      </c>
      <c r="W364" s="3">
        <f>916.2+(287.1-250.9)+(-0.934524+(-0.292842--0.255918))+0-324.5--0.330990000000052</f>
        <v>627.25954200000012</v>
      </c>
      <c r="X364" s="3">
        <f>921.9+(314.1-256.3)+(-0.470169+(-0.160191--0.130713))+0-323.3--0.164882999999967</f>
        <v>656.06523599999991</v>
      </c>
      <c r="Y364" s="3">
        <f>924.7+(322.3-276.5)+(-2.357985+(-0.821865--0.705075))+0-324.2--0.826709999999953</f>
        <v>644.65193499999998</v>
      </c>
      <c r="Z364" s="3">
        <f>926.8+(320-279.1)+(-2.836008+(-0.9792--0.854046))+0-322.7--0.987462000000037</f>
        <v>643.02629999999999</v>
      </c>
      <c r="AA364" s="3">
        <f>929.5+(238-267.9)+(-0.94809+(-0.24276--0.273258))+0-323.3--0.329766000000052</f>
        <v>575.712174</v>
      </c>
      <c r="AB364" s="3">
        <f>930.7+(274.1-250.9)+(-1.898628+(-0.559164--0.511836))+0-322.8--0.658511999999986</f>
        <v>629.81255600000009</v>
      </c>
      <c r="AC364" s="3">
        <f>930.5+(203.3-231.2)+(-0.94911+(-0.207366--0.235824))+0-322.6--0.329052000000051</f>
        <v>579.40840000000003</v>
      </c>
      <c r="AD364">
        <v>719.00000000000011</v>
      </c>
      <c r="AE364" s="3">
        <f>942+(362.2-259.8)+(0+(0-0))+0-325.4-0</f>
        <v>719.00000000000011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947.8+(222.5-209.9)+(0.483378+(0.113475-0.107049))+0-323.7-0.165086999999967</f>
        <v>637.02471700000012</v>
      </c>
      <c r="G365" s="3">
        <f>950.1+(175.9-198.5)+(-2.422755+(-0.448545--0.506175))+0-325.9--0.831044999999953</f>
        <v>600.06591999999989</v>
      </c>
      <c r="H365" s="3">
        <f>950.2+(149.1-189.6)+(-0.484602+(-0.076041--0.096696))+0-325.4--0.165953999999967</f>
        <v>584.00200700000005</v>
      </c>
      <c r="I365" s="3">
        <f>950.3+(125.1-190.8)+(-0.969306+(-0.127602--0.194616))+0-323.3--0.329766000000052</f>
        <v>560.72747400000003</v>
      </c>
      <c r="J365" s="3">
        <f>951.7+(78.4-207.1)+(1.456101+(0.119952-0.316863))+0-325.4-0.497862000000019</f>
        <v>498.36132800000001</v>
      </c>
      <c r="K365" s="3">
        <f>952.2+(110.4-199)+(0.485622+(0.056304-0.10149))+0-323.7-0.165086999999967</f>
        <v>540.17534899999998</v>
      </c>
      <c r="L365" s="3">
        <f>952.5+(99.4-210.2)+(-1.9431+(-0.202776--0.428808))+0-321.7--0.656267999999986</f>
        <v>518.93920000000003</v>
      </c>
      <c r="M365" s="3">
        <f>945+(119.4-223.9)+(0.48195+(0.060894-0.114189))+0-320.6-0.163505999999967</f>
        <v>520.16514900000004</v>
      </c>
      <c r="N365" s="3">
        <f>941.9+(164.9-214.2)+(0.960738+(0.168198-0.218484))+0-323.1-0.329562000000052</f>
        <v>570.08088999999995</v>
      </c>
      <c r="O365" s="3">
        <f>938.4+(176.1-235.1)+(-0.478584+(-0.089811--0.119901))+0-323.4--0.164933999999967</f>
        <v>555.71644000000003</v>
      </c>
      <c r="P365" s="3">
        <f>937.1+(182.2-245.2)+(-1.911684+(-0.371688--0.500208))+0-324.3--0.661571999999986</f>
        <v>548.67840799999999</v>
      </c>
      <c r="Q365" s="3">
        <f>936.8+(204.9-245.8)+(-0.477768+(-0.104499--0.125358))+0-325.3--0.165902999999967</f>
        <v>570.30899399999987</v>
      </c>
      <c r="R365" s="3">
        <f>938.9+(196-258.5)+(-2.873034+(-0.59976--0.79101))+0-323.1--0.988686000000037</f>
        <v>551.60690199999999</v>
      </c>
      <c r="S365" s="3">
        <f>938.6+(181.1-248.9)+(0.478686+(0.092361-0.126939))+0-323.2-0.164831999999967</f>
        <v>547.87927600000012</v>
      </c>
      <c r="T365" s="3">
        <f>882.2+(232.8-233.2)+(-0.449922+(-0.118728--0.118932))+0-322.1--0.164270999999967</f>
        <v>559.41455300000007</v>
      </c>
      <c r="U365" s="3">
        <f>843.2+(283.2-220.5)+(-0.430032+(-0.144432--0.112455))+0-321.8--0.164117999999967</f>
        <v>583.80210899999997</v>
      </c>
      <c r="V365" s="3">
        <f>844.2+(283.1-230)+(0+(0-0))+0-320.5-0</f>
        <v>576.80000000000007</v>
      </c>
      <c r="W365" s="3">
        <f>845.4+(302-236.6)+(-1.724616+(-0.61608--0.482664))+0-323.2--0.659327999999986</f>
        <v>586.401296</v>
      </c>
      <c r="X365" s="3">
        <f>926.8+(276-287.6)+(-1.418004+(-0.42228--0.440028))+0-323.5--0.494955000000019</f>
        <v>590.79469899999992</v>
      </c>
      <c r="Y365" s="3">
        <f>947.4+(283.3-279.5)+(-1.449522+(-0.433449--0.427635))+0-323.2--0.494496000000019</f>
        <v>627.03916000000004</v>
      </c>
      <c r="Z365" s="3">
        <f>950.5+(248.8-264.7)+(-2.423775+(-0.63444--0.674985))+0-322.3--0.821864999999953</f>
        <v>610.73863500000004</v>
      </c>
      <c r="AA365" s="3">
        <f>949.9+(231.5-255.2)+(-1.937796+(-0.47226--0.520608))+0-323--0.658919999999986</f>
        <v>601.969472</v>
      </c>
      <c r="AB365" s="3">
        <f>954.5+(207-238.4)+(-1.94718+(-0.42228--0.486336))+0-323.4--0.659735999999986</f>
        <v>598.47661200000005</v>
      </c>
      <c r="AC365" s="3">
        <f>953.8+(189.4-218.2)+(-1.459314+(-0.289782--0.333846))+0-323.1--0.494343000000019</f>
        <v>600.97909300000003</v>
      </c>
      <c r="AD365">
        <v>579.00000000000011</v>
      </c>
      <c r="AE365" s="3">
        <f>947+(233.9-280)+(0+(0-0))+0-321.9-0</f>
        <v>579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1675.1+(192.6-47.2)+(-4.271505+(-0.49113--0.12036))+0-83.2--0.212159999999988</f>
        <v>1732.8698850000001</v>
      </c>
      <c r="G1" s="3">
        <f>1502.3+(277.9-45.5)+(-2.298519+(-0.425187--0.069615))+0-82.3--0.125919000000005</f>
        <v>1649.8718279999998</v>
      </c>
      <c r="H1" s="3">
        <f>1436.9+(308.7-44)+(-0.732819+(-0.157437--0.02244))+0-82.1--0.0418709999999917</f>
        <v>1618.6740550000002</v>
      </c>
      <c r="I1" s="3">
        <f>1363.4+(311-46)+(-3.47667+(-0.79305--0.1173))+0-60.1--0.153254999999991</f>
        <v>1564.3008350000002</v>
      </c>
      <c r="J1" s="3">
        <f>1255.6+(341.5-60.2)+(-0.640356+(-0.174165--0.030702))+0-28.8--0.0146879999999971</f>
        <v>1507.3308689999999</v>
      </c>
      <c r="K1" s="3">
        <f>1243.5+(348.3-82.5)+(-3.170925+(-0.888165--0.210375))+0-84.3--0.214964999999988</f>
        <v>1421.3662499999998</v>
      </c>
      <c r="L1" s="3">
        <f>1215.8+(319.1-73)+(0+(0-0))+0-83.4-0</f>
        <v>1378.5</v>
      </c>
      <c r="M1" s="3">
        <f>1204.8+(351.5-75.3)+(0+(0-0))+0-78.3-0</f>
        <v>1402.7</v>
      </c>
      <c r="N1" s="3">
        <f>1402+(187.8-75)+(-2.14506+(-0.287334--0.11475))+0-59--0.0902700000000034</f>
        <v>1453.5726259999999</v>
      </c>
      <c r="O1" s="3">
        <f>1425.1+(199.3-73.7)+(-0.726801+(-0.101643--0.037587))+0-74.1--0.0377909999999925</f>
        <v>1475.8469339999999</v>
      </c>
      <c r="P1" s="3">
        <f>1413.6+(221.2-68.8)+(-2.162808+(-0.338436--0.105264))+0-82.2--0.125766000000005</f>
        <v>1481.5297860000001</v>
      </c>
      <c r="Q1" s="3">
        <f>1429.9+(207.7-64.3)+(-2.187747+(-0.317781--0.098379))+0-91.5--0.139995000000005</f>
        <v>1479.5328460000003</v>
      </c>
      <c r="R1" s="3">
        <f>1395.9+(217.8-63.3)+(-0.711909+(-0.111078--0.032283))+0-78--0.0397799999999921</f>
        <v>1471.6490760000002</v>
      </c>
      <c r="S1" s="3">
        <f>1235.3+(359.7-61.8)+(1.260006+(0.366894-0.063036))+0-79.5-0.0810900000000127</f>
        <v>1455.1827739999999</v>
      </c>
      <c r="T1" s="3">
        <f>1196.1+(370.4-57.9)+(-1.830033+(-0.566712--0.088587))+0-60.5--0.0925650000000035</f>
        <v>1445.8844069999998</v>
      </c>
      <c r="U1" s="3">
        <f>1200.9+(397.1-58.3)+(-1.224918+(-0.405042--0.059466))+0-94.4--0.0962880000000151</f>
        <v>1443.8257939999999</v>
      </c>
      <c r="V1" s="3">
        <f>1238.5+(357-64.2)+(-0.631635+(-0.18207--0.032742))+0-83.3--0.0424829999999915</f>
        <v>1447.26152</v>
      </c>
      <c r="W1" s="3">
        <f>1283+(381.3-71.4)+(0+(0-0))+0-84.1-0</f>
        <v>1508.8000000000002</v>
      </c>
      <c r="X1" s="3">
        <f>1517.9+(374.8-81.2)+(0+(0-0))+0-61.3-0</f>
        <v>1750.2</v>
      </c>
      <c r="Y1" s="3">
        <f>1564.7+(371.5-80.3)+(-0.797997+(-0.189465--0.040953))+0-83.3--0.0424829999999915</f>
        <v>1771.695974</v>
      </c>
      <c r="Z1" s="3">
        <f>1568.7+(352.9-73)+(0.800037+(0.179979-0.03723))+0-85.3-0.0435029999999913</f>
        <v>1764.1992829999999</v>
      </c>
      <c r="AA1" s="3">
        <f>1570.5+(297.5-59.3)+(0+(0-0))+0-67.8-0</f>
        <v>1740.9</v>
      </c>
      <c r="AB1" s="3">
        <f>1539.8+(269.1-50)+(0+(0-0))+0-58.6-0</f>
        <v>1700.3000000000002</v>
      </c>
      <c r="AC1" s="3">
        <f>1472+(286.8-43.6)+(-0.75072+(-0.146268--0.022236))+0-89--0.045389999999991</f>
        <v>1625.3706380000001</v>
      </c>
      <c r="AD1">
        <v>1769.1000000000001</v>
      </c>
      <c r="AE1" s="3">
        <f>1560+(378.5-81.6)+(0+(0-0))+0-92.8-0</f>
        <v>1764.1000000000001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1545.1853190000002</v>
      </c>
      <c r="G2" s="3">
        <f>1446+(149-50)+(0+(0-0))+0-80-0</f>
        <v>1465</v>
      </c>
      <c r="H2" s="3">
        <f>1447.2+(148.6-46.6)+(-2.952288+(-0.303144--0.095064))+0-79.5--0.162179999999997</f>
        <v>1466.701812</v>
      </c>
      <c r="I2" s="3">
        <f>1206.9+(331-35.6)+(-1.231038+(-0.33762--0.036312))+0-84.9--0.0865980000000135</f>
        <v>1415.9542520000002</v>
      </c>
      <c r="J2" s="3">
        <f>1156.5+(360.6-37.7)+(0+(0-0))+0-80.1-0</f>
        <v>1399.3000000000002</v>
      </c>
      <c r="K2" s="3">
        <f>1214.1+(332-52.6)+(-1.857573+(-0.50796--0.080478))+0-76.6--0.117198000000004</f>
        <v>1414.732143</v>
      </c>
      <c r="L2" s="3">
        <f>1167.7+(362.7-73.3)+(-1.191054+(-0.369954--0.074766))+0-77.7--0.0792540000000124</f>
        <v>1377.9930119999999</v>
      </c>
      <c r="M2" s="3">
        <f>1138.9+(356.5-68.7)+(-4.065873+(-1.272705--0.245259))+0-79.1--0.282387000000001</f>
        <v>1342.789068</v>
      </c>
      <c r="N2" s="3">
        <f>1142.3+(374.3-68.3)+(1.747719+(0.572679-0.104499))+0-62.1-0.0950130000000036</f>
        <v>1388.320886</v>
      </c>
      <c r="O2" s="3">
        <f>1382.1+(233.1-69.5)+(2.114613+(0.356643-0.106335))+0-78.8-0.120564000000005</f>
        <v>1469.1443569999999</v>
      </c>
      <c r="P2" s="3">
        <f>1401.7+(265.1-71.9)+(1.429734+(0.270402-0.073338))+0-75.2-0.076704000000012</f>
        <v>1521.250094</v>
      </c>
      <c r="Q2" s="3">
        <f>1375+(316.1-68.3)+(-4.2075+(-0.967266--0.208998))+0-84.4--0.25826400000001</f>
        <v>1533.6924959999999</v>
      </c>
      <c r="R2" s="3">
        <f>1367.9+(322.2-64.1)+(-0.697629+(-0.164322--0.032691))+0-86.9--0.0443189999999912</f>
        <v>1538.315059</v>
      </c>
      <c r="S2" s="3">
        <f>1364.5+(293.8-65.7)+(1.39179+(0.299676-0.067014))+0-77.2-0.0787440000000123</f>
        <v>1516.945708</v>
      </c>
      <c r="T2" s="3">
        <f>1322+(327.9-66.9)+(-2.02266+(-0.501687--0.102357))+0-67.8--0.103734000000004</f>
        <v>1512.881744</v>
      </c>
      <c r="U2" s="3">
        <f>1274+(337.7-63.4)+(0+(0-0))+0-42.2-0</f>
        <v>1506.1</v>
      </c>
      <c r="V2" s="3">
        <f>1268.5+(359.3-63.7)+(-1.940805+(-0.549729--0.097461))+0-56.2--0.0859860000000033</f>
        <v>1505.592913</v>
      </c>
      <c r="W2" s="3">
        <f>1293.6+(349.6-69.4)+(-2.638944+(-0.713184--0.141576))+0-56.7--0.115667999999998</f>
        <v>1514.0051159999998</v>
      </c>
      <c r="X2" s="3">
        <f>1440.7+(321.3-74.9)+(-2.939028+(-0.655452--0.152796))+0-85.2--0.173807999999996</f>
        <v>1598.6321240000002</v>
      </c>
      <c r="Y2" s="3">
        <f>1525.7+(457.1-84.7)+(-2.334321+(-0.699363--0.129591))+0-80.4--0.123012000000005</f>
        <v>1814.918919</v>
      </c>
      <c r="Z2" s="3">
        <f>1559.8+(435-82)+(-3.97749+(-1.10925--0.2091))+0-78.6--0.200429999999989</f>
        <v>1829.5227900000002</v>
      </c>
      <c r="AA2" s="3">
        <f>1521.3+(440.6-74)+(-0.775863+(-0.224706--0.03774))+0-84--0.0428399999999915</f>
        <v>1802.9800110000001</v>
      </c>
      <c r="AB2" s="3">
        <f>1502.6+(406-60.4)+(-4.597956+(-1.24236--0.184824))+0-77--0.235620000000009</f>
        <v>1765.7801279999996</v>
      </c>
      <c r="AC2" s="3">
        <f>1514.8+(354-49.4)+(-1.545096+(-0.36108--0.050388))+0-75.2--0.076704000000012</f>
        <v>1742.420916</v>
      </c>
      <c r="AD2">
        <v>1878.7</v>
      </c>
      <c r="AE2" s="3">
        <f>1599+(453.1-81.3)+(0+(0-0))+0-92.1-0</f>
        <v>1878.7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1368.5+(408.5-39.6)+(-1.39587+(-0.41667--0.040392))+0-87--0.0887400000000139</f>
        <v>1648.716592</v>
      </c>
      <c r="G3" s="3">
        <f>1374.4+(302.4-36.7)+(0+(0-0))+0-86.3-0</f>
        <v>1553.8000000000002</v>
      </c>
      <c r="H3" s="3">
        <f>1305.1+(295.7-34.5)+(-2.662404+(-0.603228--0.07038))+0-70.8--0.144431999999997</f>
        <v>1492.4491800000001</v>
      </c>
      <c r="I3" s="3">
        <f>1279.6+(297.1-33.8)+(0+(0-0))+0-76.4-0</f>
        <v>1466.4999999999998</v>
      </c>
      <c r="J3" s="3">
        <f>1255.7+(303.5-37.4)+(-3.202035+(-0.773925--0.09537))+0-72.6--0.185129999999989</f>
        <v>1445.5045400000004</v>
      </c>
      <c r="K3" s="3">
        <f>1290.3+(278-53)+(2.632212+(0.56712-0.10812))+0-64.4-0.131375999999997</f>
        <v>1453.8598359999999</v>
      </c>
      <c r="L3" s="3">
        <f>1270+(255.8-76.9)+(-1.9431+(-0.391374--0.117657))+0-46.2--0.0706860000000027</f>
        <v>1400.5538690000001</v>
      </c>
      <c r="M3" s="3">
        <f>1225.1+(301.3-73.7)+(-0.624801+(-0.153663--0.037587))+0-81.7--0.0416669999999917</f>
        <v>1370.3007899999998</v>
      </c>
      <c r="N3" s="3">
        <f>1327.5+(227.5-70.1)+(0+(0-0))+0-59.5-0</f>
        <v>1425.4</v>
      </c>
      <c r="O3" s="3">
        <f>1365.1+(274.7-68.5)+(-0.696201+(-0.140097--0.034935))+0-81.1--0.0413609999999918</f>
        <v>1489.4399980000001</v>
      </c>
      <c r="P3" s="3">
        <f>1394+(293.4-65)+(0+(0-0))+0-88.7-0</f>
        <v>1533.7</v>
      </c>
      <c r="Q3" s="3">
        <f>1390.2+(301.5-59.3)+(0+(0-0))+0-75.7-0</f>
        <v>1556.7</v>
      </c>
      <c r="R3" s="3">
        <f>1379.4+(329.5-55.7)+(-1.406988+(-0.33609--0.056814))+0-79.6--0.0811920000000127</f>
        <v>1571.9949280000003</v>
      </c>
      <c r="S3" s="3">
        <f>1387+(316.1-54.8)+(0+(0-0))+0-74.2-0</f>
        <v>1574.1</v>
      </c>
      <c r="T3" s="3">
        <f>1384.6+(303.4-53.1)+(0.706146+(0.154734-0.027081))+0-76.2-0.0388619999999923</f>
        <v>1559.4949369999999</v>
      </c>
      <c r="U3" s="3">
        <f>1345+(318-51.1)+(-1.3719+(-0.32436--0.052122))+0-61.5--0.0627300000000098</f>
        <v>1548.8185920000001</v>
      </c>
      <c r="V3" s="3">
        <f>1265.5+(374.7-51.7)+(0.645405+(0.191097-0.026367))+0-50.3-0.0256529999999949</f>
        <v>1538.9844820000001</v>
      </c>
      <c r="W3" s="3">
        <f>1307.1+(380.8-55.9)+(-0.666621+(-0.194208--0.028509))+0-84.1--0.0428909999999915</f>
        <v>1547.1105710000002</v>
      </c>
      <c r="X3" s="3">
        <f>1365.1+(406.1-60.8)+(0.696201+(0.207111-0.031008))+0-76.7-0.0391169999999922</f>
        <v>1634.5331869999998</v>
      </c>
      <c r="Y3" s="3">
        <f>1519.7+(489.6-70.5)+(0.775047+(0.249696-0.035955))+0-85.9-0.0438089999999913</f>
        <v>1853.8449790000002</v>
      </c>
      <c r="Z3" s="3">
        <f>1541.7+(485.1-78.7)+(-0.786267+(-0.247401--0.040137))+0-82.5--0.0420749999999916</f>
        <v>1864.6485440000001</v>
      </c>
      <c r="AA3" s="3">
        <f>1549.1+(440.8-69)+(0+(0-0))+0-81.3-0</f>
        <v>1839.6</v>
      </c>
      <c r="AB3" s="3">
        <f>1544.9+(386.6-53.8)+(0.787899+(0.197166-0.027438))+0-79.4-0.0404939999999919</f>
        <v>1799.2171329999999</v>
      </c>
      <c r="AC3" s="3">
        <f>1548.9+(334.4-43.8)+(-0.789939+(-0.170544--0.022338))+0-70.8--0.0361079999999928</f>
        <v>1767.797963</v>
      </c>
      <c r="AD3">
        <v>1859.7</v>
      </c>
      <c r="AE3" s="3">
        <f>1548+(476.7-79.7)+(0+(0-0))+0-85.3-0</f>
        <v>1859.7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1435.2+(369.8-38.1)+(-0.731952+(-0.188598--0.019431))+0-89.9--0.0458489999999909</f>
        <v>1676.14473</v>
      </c>
      <c r="G4" s="3">
        <f>1374.5+(329.1-34.8)+(-2.102985+(-0.503523--0.053244))+0-84.1--0.128673000000005</f>
        <v>1582.2754090000001</v>
      </c>
      <c r="H4" s="3">
        <f>1345.8+(306.3-31.6)+(-1.372716+(-0.312426--0.032232))+0-87.1--0.0888420000000139</f>
        <v>1531.8359320000002</v>
      </c>
      <c r="I4" s="3">
        <f>1305.2+(292.9-32.3)+(1.331304+(0.298758-0.032946))+0-79.8-0.0813960000000127</f>
        <v>1487.5157199999999</v>
      </c>
      <c r="J4" s="3">
        <f>1301.4+(276.2-33.4)+(-1.327428+(-0.281724--0.034068))+0-77.4--0.0789480000000123</f>
        <v>1465.303864</v>
      </c>
      <c r="K4" s="3">
        <f>1306.5+(309.6-48.7)+(1.998945+(0.473688-0.074511))+0-88-0.134640000000005</f>
        <v>1481.6634820000002</v>
      </c>
      <c r="L4" s="3">
        <f>1287.2+(293.7-74.7)+(-3.28236+(-0.748935--0.190485))+0-79.2--0.201959999999989</f>
        <v>1423.3611500000002</v>
      </c>
      <c r="M4" s="3">
        <f>1184.2+(368-71.5)+(1.207884+(0.37536-0.07293))+0-74.9-0.0763980000000119</f>
        <v>1407.2339160000001</v>
      </c>
      <c r="N4" s="3">
        <f>1314.9+(295.8-69.6)+(0+(0-0))+0-73.9-0</f>
        <v>1467.2</v>
      </c>
      <c r="O4" s="3">
        <f>1339.8+(333.1-68.1)+(0.683298+(0.169881-0.034731))+0-61.2-0.0312119999999938</f>
        <v>1544.3872359999998</v>
      </c>
      <c r="P4" s="3">
        <f>1427.3+(330-68.9)+(-0.727923+(-0.1683--0.035139))+0-86.1--0.0439109999999913</f>
        <v>1601.4828270000003</v>
      </c>
      <c r="Q4" s="3">
        <f>1438.1+(320.4-64.8)+(-1.466862+(-0.326808--0.066096))+0-68.7--0.070074000000011</f>
        <v>1623.3424999999997</v>
      </c>
      <c r="R4" s="3">
        <f>1438.1+(288.3-55)+(-0.733431+(-0.147033--0.02805))+0-71--0.0362099999999928</f>
        <v>1599.5837959999999</v>
      </c>
      <c r="S4" s="3">
        <f>1443.7+(274.9-55)+(-2.208861+(-0.420597--0.08415))+0-78--0.119340000000005</f>
        <v>1583.1740319999999</v>
      </c>
      <c r="T4" s="3">
        <f>1526.7+(176.4-48.6)+(-3.893085+(-0.44982--0.12393))+0-77.1--0.196604999999989</f>
        <v>1573.3776300000002</v>
      </c>
      <c r="U4" s="3">
        <f>1553+(160.5-57.2)+(3.16812+(0.32742-0.116688))+0-93.4-0.190535999999996</f>
        <v>1566.0883159999998</v>
      </c>
      <c r="V4" s="3">
        <f>1535.3+(162.2-62.1)+(0.783003+(0.082722-0.031671))+0-74.4-0.0379439999999925</f>
        <v>1561.7961099999998</v>
      </c>
      <c r="W4" s="3">
        <f>1527.4+(199.8-64.5)+(-1.557948+(-0.203796--0.06579))+0-80.2--0.0818040000000128</f>
        <v>1580.8858499999999</v>
      </c>
      <c r="X4" s="3">
        <f>1519.1+(287.7-69.5)+(-1.549482+(-0.293454--0.07089))+0-77.2--0.0787440000000123</f>
        <v>1658.4066979999998</v>
      </c>
      <c r="Y4" s="3">
        <f>1565.2+(419.8-74.6)+(0.798252+(0.214098-0.038046))+0-43.5-0.0221849999999956</f>
        <v>1867.8521190000001</v>
      </c>
      <c r="Z4" s="3">
        <f>1628+(388.4-73.9)+(0+(0-0))+0-75.6-0</f>
        <v>1866.9</v>
      </c>
      <c r="AA4" s="3">
        <f>1633.4+(352.7-65.6)+(-1.666068+(-0.359754--0.066912))+0-78--0.0795600000000124</f>
        <v>1840.6206499999998</v>
      </c>
      <c r="AB4" s="3">
        <f>1629.3+(294-53.1)+(0.830943+(0.14994-0.027081))+0-80.1-0.0408509999999919</f>
        <v>1791.0129510000002</v>
      </c>
      <c r="AC4" s="3">
        <f>1583.1+(281.2-43.3)+(0.807381+(0.143412-0.022083))+0-74.5-0.0379949999999924</f>
        <v>1747.390715</v>
      </c>
      <c r="AD4">
        <v>1867.2</v>
      </c>
      <c r="AE4" s="3">
        <f>1642+(391.7-74.7)+(0+(0-0))+0-91.8-0</f>
        <v>1867.2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1555.6+(195.9-36.2)+(-2.380068+(-0.299727--0.055386))+0-55.2--0.0844560000000032</f>
        <v>1657.5600469999999</v>
      </c>
      <c r="G5" s="3">
        <f>1481.6+(168.8-32.6)+(-1.511232+(-0.172176--0.033252))+0-45.2--0.0461040000000072</f>
        <v>1570.995948</v>
      </c>
      <c r="H5" s="3">
        <f>1487.5+(147.8-48.5)+(0+(0-0))+0-77.3-0</f>
        <v>1509.5</v>
      </c>
      <c r="I5" s="3">
        <f>1488.9+(142.1-68.4)+(0+(0-0))+0-83-0</f>
        <v>1479.6000000000001</v>
      </c>
      <c r="J5" s="3">
        <f>1491.6+(142.5-84)+(0.760716+(0.072675-0.04284))+0-88.8-0.045287999999991</f>
        <v>1462.045263</v>
      </c>
      <c r="K5" s="3">
        <f>1486.4+(142.1-77.2)+(0+(0-0))+0-83.7-0</f>
        <v>1467.6000000000001</v>
      </c>
      <c r="L5" s="3">
        <f>1499.1+(141.3-140.2)+(2.293623+(0.216189-0.214506))+0-71.1-0.108783000000004</f>
        <v>1431.286523</v>
      </c>
      <c r="M5" s="3">
        <f>1334.1+(212.2-72.2)+(-2.721564+(-0.432888--0.147288))+0-80.8--0.164831999999996</f>
        <v>1390.4576679999998</v>
      </c>
      <c r="N5" s="3">
        <f>1392.9+(164.3-67.9)+(0.710379+(0.083793-0.034629))+0-59.4-0.030293999999994</f>
        <v>1430.6292490000001</v>
      </c>
      <c r="O5" s="3">
        <f>1447.3+(153.7-81.1)+(-2.214369+(-0.235161--0.124083))+0-24.1--0.0368730000000014</f>
        <v>1493.511426</v>
      </c>
      <c r="P5" s="3">
        <f>1468.5+(242.8-66.6)+(0+(0-0))+0-89.6-0</f>
        <v>1555.1000000000001</v>
      </c>
      <c r="Q5" s="3">
        <f>1474.6+(237.2-64.1)+(0.752046+(0.120972-0.032691))+0-68.9-0.035138999999993</f>
        <v>1579.6051879999995</v>
      </c>
      <c r="R5" s="3">
        <f>1458.1+(257.7-58.6)+(-2.230893+(-0.394281--0.089658))+0-80.1--0.122553000000005</f>
        <v>1574.6870369999999</v>
      </c>
      <c r="S5" s="3">
        <f>1459.6+(243.1-58)+(-1.488792+(-0.247962--0.05916))+0-83--0.0846600000000132</f>
        <v>1560.1070659999998</v>
      </c>
      <c r="T5" s="3">
        <f>1445.8+(239.7-56.2)+(-3.68679+(-0.611235--0.14331))+0-79.7--0.203234999999988</f>
        <v>1545.64852</v>
      </c>
      <c r="U5" s="3">
        <f>1449.7+(200.9-52.8)+(-2.218041+(-0.307377--0.080784))+0-62.6--0.0957780000000036</f>
        <v>1532.8511440000004</v>
      </c>
      <c r="V5" s="3">
        <f>1462.4+(184.2-51.3)+(0+(0-0))+0-72.5-0</f>
        <v>1522.8000000000002</v>
      </c>
      <c r="W5" s="3">
        <f>1454.9+(213.5-57.2)+(-0.741999+(-0.108885--0.029172))+0-73.7--0.0375869999999925</f>
        <v>1536.7158750000001</v>
      </c>
      <c r="X5" s="3">
        <f>1501.1+(259.4-49.6)+(0+(0-0))+0-83-0</f>
        <v>1627.8999999999999</v>
      </c>
      <c r="Y5" s="3">
        <f>1563.8+(438.5-59.5)+(0+(0-0))+0-82-0</f>
        <v>1860.8</v>
      </c>
      <c r="Z5" s="3">
        <f>1569.4+(459.3-56.9)+(-1.600788+(-0.468486--0.058038))+0-81.6--0.083232000000013</f>
        <v>1888.2719960000002</v>
      </c>
      <c r="AA5" s="3">
        <f>1568.8+(423.4-47)+(-0.800088+(-0.215934--0.02397))+0-81.7--0.0416669999999917</f>
        <v>1862.5496149999997</v>
      </c>
      <c r="AB5" s="3">
        <f>1572.1+(362.2-32.7)+(0+(0-0))+0-82.2-0</f>
        <v>1819.3999999999999</v>
      </c>
      <c r="AC5" s="3">
        <f>1574.3+(274.1-24.2)+(-1.605786+(-0.279582--0.024684))+0-37.6--0.038352000000006</f>
        <v>1784.7776680000002</v>
      </c>
      <c r="AD5">
        <v>1897.1000000000001</v>
      </c>
      <c r="AE5" s="3">
        <f>1589+(468.3-76)+(0+(0-0))+0-84.2-0</f>
        <v>1897.1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1508.1+(269.7-31.5)+(-1.538262+(-0.275094--0.03213))+0-88.1--0.089862000000014</f>
        <v>1656.508636</v>
      </c>
      <c r="G6" s="3">
        <f>1444.4+(259-29.4)+(-1.473288+(-0.26418--0.029988))+0-86.5--0.0882300000000138</f>
        <v>1585.88075</v>
      </c>
      <c r="H6" s="3">
        <f>1317.8+(303-28.4)+(0+(0-0))+0-83-0</f>
        <v>1509.4</v>
      </c>
      <c r="I6" s="3">
        <f>1364.6+(259.4-28.5)+(0+(0-0))+0-80.2-0</f>
        <v>1515.3</v>
      </c>
      <c r="J6" s="3">
        <f>1369.8+(234.5-30.7)+(1.397196+(0.23919-0.031314))+0-82.3-0.0839460000000131</f>
        <v>1492.821126</v>
      </c>
      <c r="K6" s="3">
        <f>1365.2+(291.7-47.7)+(-2.785008+(-0.595068--0.097308))+0-81.4--0.166055999999996</f>
        <v>1524.6832879999999</v>
      </c>
      <c r="L6" s="3">
        <f>1351.2+(270.1-75.9)+(-0.689112+(-0.137751--0.038709))+0-78.7--0.040136999999992</f>
        <v>1465.9519829999999</v>
      </c>
      <c r="M6" s="3">
        <f>1361.5+(255.2-69.9)+(-1.38873+(-0.260304--0.071298))+0-51.6--0.0526320000000082</f>
        <v>1493.674896</v>
      </c>
      <c r="N6" s="3">
        <f>1519.3+(221.5-67.6)+(2.324529+(0.338895-0.103428))+0-85.1-0.130203000000005</f>
        <v>1590.5297930000002</v>
      </c>
      <c r="O6" s="3">
        <f>1588.7+(227.4-64.9)+(-0.810237+(-0.115974--0.033099))+0-79.1--0.040340999999992</f>
        <v>1671.2472290000001</v>
      </c>
      <c r="P6" s="3">
        <f>1622.3+(229.9-68.5)+(-1.654746+(-0.234498--0.06987))+0-19.1--0.019482000000003</f>
        <v>1762.8001080000001</v>
      </c>
      <c r="Q6" s="3">
        <f>1713.5+(203.2-61.6)+(-0.873885+(-0.103632--0.031416))+0-46.3--0.0236129999999953</f>
        <v>1807.877512</v>
      </c>
      <c r="R6" s="3">
        <f>1757.3+(191.4-65.2)+(-0.896223+(-0.097614--0.033252))+0-78.2--0.0398819999999921</f>
        <v>1804.379297</v>
      </c>
      <c r="S6" s="3">
        <f>1767+(166.5-77.6)+(-2.70351+(-0.254745--0.118728))+0-80.1--0.122553000000005</f>
        <v>1773.083026</v>
      </c>
      <c r="T6" s="3">
        <f>1785.3+(140.3-117.3)+(-3.642012+(-0.286212--0.239292))+0-70.9--0.144635999999997</f>
        <v>1733.8557039999998</v>
      </c>
      <c r="U6" s="3">
        <f>1764+(141.7-127.3)+(-3.59856+(-0.289068--0.259692))+0-65.8--0.134231999999997</f>
        <v>1709.1062959999999</v>
      </c>
      <c r="V6" s="3">
        <f>1701.1+(157.1-79.7)+(-2.602683+(-0.240363--0.121941))+0-67.7--0.103581000000004</f>
        <v>1708.182476</v>
      </c>
      <c r="W6" s="3">
        <f>1698.9+(194.7-75.8)+(-2.599317+(-0.297891--0.115974))+0-75--0.114750000000004</f>
        <v>1740.1335160000001</v>
      </c>
      <c r="X6" s="3">
        <f>1841.2+(144.3-86)+(-2.817036+(-0.220779--0.13158))+0-75--0.114750000000004</f>
        <v>1821.708515</v>
      </c>
      <c r="Y6" s="3">
        <f>1876.2+(239.9-82.1)+(0+(0-0))+0-87.7-0</f>
        <v>1946.3</v>
      </c>
      <c r="Z6" s="3">
        <f>1891.7+(219.2-78.8)+(-2.894301+(-0.335376--0.120564))+0-82.8--0.126684000000005</f>
        <v>1946.317571</v>
      </c>
      <c r="AA6" s="3">
        <f>1815.1+(226.5-68.2)+(-2.777103+(-0.346545--0.104346))+0-75--0.114750000000004</f>
        <v>1895.4954479999999</v>
      </c>
      <c r="AB6" s="3">
        <f>1796.4+(181.8-53.7)+(-0.916164+(-0.092718--0.027387))+0-84.1--0.0428909999999915</f>
        <v>1839.4613960000001</v>
      </c>
      <c r="AC6" s="3">
        <f>1785+(153.4-61.7)+(-1.8207+(-0.156468--0.062934))+0-88.5--0.0902700000000141</f>
        <v>1786.3760359999999</v>
      </c>
      <c r="AD6">
        <v>1959.5000000000005</v>
      </c>
      <c r="AE6" s="3">
        <f>1906+(230.8-78.7)+(0+(0-0))+0-98.6-0</f>
        <v>1959.5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1660.5+(156.7-42.2)+(0+(0-0))+0-80.1-0</f>
        <v>1694.9</v>
      </c>
      <c r="G7" s="3">
        <f>1594.7+(143.4-48.5)+(0+(0-0))+0-82.2-0</f>
        <v>1607.4</v>
      </c>
      <c r="H7" s="3">
        <f>1612.3+(140.6-119)+(-2.466819+(-0.215118--0.18207))+0-83.1--0.127143000000005</f>
        <v>1548.4272759999999</v>
      </c>
      <c r="I7" s="3">
        <f>1633.3+(140.6-169.7)+(0.832983+(0.071706-0.086547))+0-67.1-0.0342209999999932</f>
        <v>1537.8839210000003</v>
      </c>
      <c r="J7" s="3">
        <f>1628.5+(140.6-181.4)+(0+(0-0))+0-65.3-0</f>
        <v>1522.4</v>
      </c>
      <c r="K7" s="3">
        <f>1648.8+(141-172.3)+(1.681776+(0.14382-0.175746))+0-95.4-0.0973080000000152</f>
        <v>1523.6525419999998</v>
      </c>
      <c r="L7" s="3">
        <f>1706.7+(141.6-320)+(-1.740834+(-0.144432--0.3264))+0-33.2--0.0338640000000053</f>
        <v>1493.5749979999998</v>
      </c>
      <c r="M7" s="3">
        <f>1720.3+(142.2-303.3)+(0+(0-0))+0-25.7-0</f>
        <v>1533.4999999999998</v>
      </c>
      <c r="N7" s="3">
        <f>1718+(141-200.9)+(0+(0-0))+0-39.2-0</f>
        <v>1618.8999999999999</v>
      </c>
      <c r="O7" s="3">
        <f>1721.3+(152.7-72.4)+(0+(0-0))+0-90.7-0</f>
        <v>1710.8999999999999</v>
      </c>
      <c r="P7" s="3">
        <f>1726.2+(214.8-73.1)+(1.760724+(0.219096-0.074562))+0-89.5-0.0912900000000143</f>
        <v>1780.213968</v>
      </c>
      <c r="Q7" s="3">
        <f>1700.6+(249.1-72.6)+(-3.469224+(-0.508164--0.148104))+0-65.9--0.134435999999997</f>
        <v>1807.505152</v>
      </c>
      <c r="R7" s="3">
        <f>1698.4+(227.3-53.5)+(-3.464736+(-0.463692--0.10914))+0-57.8--0.117911999999997</f>
        <v>1810.6986240000001</v>
      </c>
      <c r="S7" s="3">
        <f>1707.9+(209.6-54.8)+(-0.871029+(-0.106896--0.027948))+0-89.9--0.0458489999999909</f>
        <v>1771.8958720000001</v>
      </c>
      <c r="T7" s="3">
        <f>1720.5+(161.4-53.8)+(1.75491+(0.164628-0.054876))+0-90.5-0.0923100000000144</f>
        <v>1739.3723519999999</v>
      </c>
      <c r="U7" s="3">
        <f>1685.3+(159.1-50.9)+(-1.719006+(-0.162282--0.051918))+0-85.2--0.0869040000000136</f>
        <v>1706.557534</v>
      </c>
      <c r="V7" s="3">
        <f>1620.3+(201.5-53.5)+(-2.479059+(-0.308295--0.081855))+0-82.1--0.125613000000005</f>
        <v>1683.6201140000001</v>
      </c>
      <c r="W7" s="3">
        <f>1639.5+(196.9-61.4)+(1.67229+(0.200838-0.062628))+0-80.9-0.0825180000000129</f>
        <v>1695.827982</v>
      </c>
      <c r="X7" s="3">
        <f>1640.2+(260.7-65.1)+(-0.836502+(-0.132957--0.033201))+0-81.8--0.0417179999999917</f>
        <v>1753.10546</v>
      </c>
      <c r="Y7" s="3">
        <f>1735.7+(354.5-50.1)+(2.655621+(0.542385-0.076653))+0-74.9-0.114597000000004</f>
        <v>1968.2067559999998</v>
      </c>
      <c r="Z7" s="3">
        <f>1938.2+(201.9-63.8)+(0.988482+(0.102969-0.032538))+0-80.4-0.0410039999999918</f>
        <v>1996.917909</v>
      </c>
      <c r="AA7" s="3">
        <f>1996.1+(142-89.7)+(0+(0-0))+0-85.4-0</f>
        <v>1963</v>
      </c>
      <c r="AB7" s="3">
        <f>1997.1+(141.9-149.5)+(0+(0-0))+0-81.2-0</f>
        <v>1908.3</v>
      </c>
      <c r="AC7" s="3">
        <f>1997.7+(142.1-172.1)+(1.018827+(0.072471-0.087771))+0-77.5-0.0395249999999921</f>
        <v>1891.1640020000002</v>
      </c>
      <c r="AD7">
        <v>1979.1</v>
      </c>
      <c r="AE7" s="3">
        <f>1914+(248.5-84.8)+(0+(0-0))+0-98.6-0</f>
        <v>1979.1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1978.7+(142.5-258.3)+(-6.054822+(-0.43605--0.790398))+0-85--0.26010000000001</f>
        <v>1772.4596260000001</v>
      </c>
      <c r="G8" s="3">
        <f>1874.4+(141.7-260.5)+(-2.867832+(-0.216801--0.398565))+0-77.3--0.118269000000004</f>
        <v>1675.7322010000003</v>
      </c>
      <c r="H8" s="3">
        <f>1855.9+(142.1-293.7)+(-0.946509+(-0.072471--0.149787))+0-77.4--0.0394739999999922</f>
        <v>1626.070281</v>
      </c>
      <c r="I8" s="3">
        <f>1839+(142.5-307.7)+(-4.68945+(-0.363375--0.784635))+0-72.4--0.18461999999999</f>
        <v>1597.3164299999999</v>
      </c>
      <c r="J8" s="3">
        <f>1843.6+(142.3-320.1)+(0+(0-0))+0-70.6-0</f>
        <v>1595.2</v>
      </c>
      <c r="K8" s="3">
        <f>1848.4+(142.2-316.3)+(2.828052+(0.217566-0.483939))+0-79.5-0.121635000000005</f>
        <v>1597.2400440000001</v>
      </c>
      <c r="L8" s="3">
        <f>1847.3+(141.8-356.7)+(1.884246+(0.144636-0.363834))+0-79.4-0.0809880000000127</f>
        <v>1554.5840600000001</v>
      </c>
      <c r="M8" s="3">
        <f>1866.9+(140.9-385.3)+(-2.856357+(-0.215577--0.589509))+0-39.1--0.0598230000000023</f>
        <v>1580.9773980000002</v>
      </c>
      <c r="N8" s="3">
        <f>1883.3+(137.8-319.2)+(-0.960483+(-0.070278--0.162792))+0-43.6--0.0222359999999956</f>
        <v>1657.4542670000003</v>
      </c>
      <c r="O8" s="3">
        <f>1878.7+(129.9-193.9)+(-1.916274+(-0.132498--0.197778))+0-75.2--0.076704000000012</f>
        <v>1737.7257100000002</v>
      </c>
      <c r="P8" s="3">
        <f>1882.2+(111.3-99.2)+(-1.919844+(-0.113526--0.101184))+0-89.2--0.0909840000000142</f>
        <v>1803.2587979999998</v>
      </c>
      <c r="Q8" s="3">
        <f>1869.1+(133.2-81.1)+(-0.953241+(-0.067932--0.041361))+0-86.6--0.0441659999999912</f>
        <v>1833.6643539999998</v>
      </c>
      <c r="R8" s="3">
        <f>1854.8+(128.2-89.6)+(-1.891896+(-0.130764--0.091392))+0-83.4--0.0850680000000133</f>
        <v>1808.1537999999998</v>
      </c>
      <c r="S8" s="3">
        <f>1795.5+(112.3-69.6)+(-1.83141+(-0.114546--0.070992))+0-59.5--0.0606900000000095</f>
        <v>1776.885726</v>
      </c>
      <c r="T8" s="3">
        <f>1707.8+(180.3-69.3)+(-3.483912+(-0.367812--0.141372))+0-78.3--0.159731999999997</f>
        <v>1736.94938</v>
      </c>
      <c r="U8" s="3">
        <f>1594.2+(261-65.5)+(-0.813042+(-0.13311--0.033405))+0-74.7--0.0380969999999924</f>
        <v>1714.1253499999998</v>
      </c>
      <c r="V8" s="3">
        <f>1557.9+(287-66.1)+(-3.178116+(-0.58548--0.134844))+0-79.7--0.162587999999997</f>
        <v>1695.633836</v>
      </c>
      <c r="W8" s="3">
        <f>1616+(242.8-74.7)+(-3.29664+(-0.495312--0.152388))+0-80.9--0.165035999999996</f>
        <v>1699.7254719999999</v>
      </c>
      <c r="X8" s="3">
        <f>1637+(283.1-74.2)+(0.83487+(0.144381-0.037842))+0-85.5-0.0436049999999913</f>
        <v>1761.297804</v>
      </c>
      <c r="Y8" s="3">
        <f>1836.4+(266.4-82.8)+(0.936564+(0.135864-0.042228))+0-55.9-0.0285089999999943</f>
        <v>1965.1016909999998</v>
      </c>
      <c r="Z8" s="3">
        <f>1867.1+(265.4-82.2)+(-0.952221+(-0.135354--0.041922))+0-62.5--0.0318749999999937</f>
        <v>1986.7862219999995</v>
      </c>
      <c r="AA8" s="3">
        <f>1855.8+(242.3-73.4)+(-3.785832+(-0.494292--0.149736))+0-76--0.155039999999997</f>
        <v>1944.7246520000001</v>
      </c>
      <c r="AB8" s="3">
        <f>1866.5+(143.3-89.4)+(-1.90383+(-0.146166--0.091188))+0-21.8--0.0222360000000035</f>
        <v>1896.6634280000001</v>
      </c>
      <c r="AC8" s="3">
        <f>1878.3+(147.9-56.2)+(-0.957933+(-0.075429--0.028662))+0-90.5--0.0461549999999908</f>
        <v>1878.541455</v>
      </c>
      <c r="AD8">
        <v>2008.5000000000002</v>
      </c>
      <c r="AE8" s="3">
        <f>1895+(282.5-78.7)+(0+(0-0))+0-90.3-0</f>
        <v>2008.5000000000002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1879.2+(142.7-138.1)+(-1.916784+(-0.145554--0.140862))+0-78.2--0.0797640000000125</f>
        <v>1803.758288</v>
      </c>
      <c r="G9" s="3">
        <f>1853.1+(142.8-233)+(-4.725405+(-0.36414--0.59415))+0-45--0.114749999999993</f>
        <v>1713.5193549999999</v>
      </c>
      <c r="H9" s="3">
        <f>1887.8+(142.7-272.6)+(0+(0-0))+0-87.8-0</f>
        <v>1670.1</v>
      </c>
      <c r="I9" s="3">
        <f>1851.5+(142.9-301.2)+(-3.77706+(-0.291516--0.614448))+0-50.5--0.103019999999998</f>
        <v>1639.348892</v>
      </c>
      <c r="J9" s="3">
        <f>1760.1+(143.3-213.2)+(-1.795302+(-0.146166--0.217464))+0-61.4--0.0626280000000098</f>
        <v>1627.1386239999997</v>
      </c>
      <c r="K9" s="3">
        <f>1747.4+(142.4-180.4)+(-0.891174+(-0.072624--0.092004))+0-82.7--0.0421769999999916</f>
        <v>1625.8703830000002</v>
      </c>
      <c r="L9" s="3">
        <f>1751.6+(142-243.4)+(0+(0-0))+0-76.8-0</f>
        <v>1573.3999999999999</v>
      </c>
      <c r="M9" s="3">
        <f>1636.6+(141.2-147.3)+(-3.338664+(-0.288048--0.300492))+0-28.4--0.0579359999999988</f>
        <v>1598.8317159999999</v>
      </c>
      <c r="N9" s="3">
        <f>1722.8+(140.5-179.8)+(0.878628+(0.071655-0.091698))+0-15.5-0.00790499999999843</f>
        <v>1668.85068</v>
      </c>
      <c r="O9" s="3">
        <f>1788.3+(141.6-163.7)+(0+(0-0))+0-13.6-0</f>
        <v>1752.6000000000001</v>
      </c>
      <c r="P9" s="3">
        <f>1864.3+(140-170.9)+(-1.901586+(-0.1428--0.174318))+0-12.9--0.0131580000000021</f>
        <v>1818.6430899999998</v>
      </c>
      <c r="Q9" s="3">
        <f>1877.4+(141.1-156.3)+(-0.957474+(-0.071961--0.079713))+0-12.7--0.00647699999999871</f>
        <v>1848.5567549999998</v>
      </c>
      <c r="R9" s="3">
        <f>1850+(140-133.7)+(-5.661+(-0.4284--0.409122))+0-13--0.0397800000000015</f>
        <v>1837.659502</v>
      </c>
      <c r="S9" s="3">
        <f>1786.1+(140.5-111.2)+(-2.732733+(-0.214965--0.170136))+0-15.4--0.0235620000000009</f>
        <v>1797.2459999999999</v>
      </c>
      <c r="T9" s="3">
        <f>1696.8+(157.3-63.9)+(-2.596104+(-0.240669--0.097767))+0-20.2--0.0309060000000012</f>
        <v>1767.2918999999999</v>
      </c>
      <c r="U9" s="3">
        <f>1645.6+(229.7-61.4)+(-2.517768+(-0.351441--0.093942))+0-67.4--0.103122000000004</f>
        <v>1743.8278549999998</v>
      </c>
      <c r="V9" s="3">
        <f>1650.5+(244.9-61.4)+(-1.68351+(-0.249798--0.062628))+0-76.9--0.0784380000000123</f>
        <v>1755.3077579999999</v>
      </c>
      <c r="W9" s="3">
        <f>1652.5+(276.8-65.2)+(-2.528325+(-0.423504--0.099756))+0-88.2--0.134946000000005</f>
        <v>1773.1828729999997</v>
      </c>
      <c r="X9" s="3">
        <f>1649.2+(307-75.9)+(-3.364368+(-0.62628--0.154836))+0-88.4--0.180335999999996</f>
        <v>1788.2445239999997</v>
      </c>
      <c r="Y9" s="3">
        <f>1862.3+(287.7-81)+(0.949773+(0.146727-0.04131))+0-81.3-0.0414629999999918</f>
        <v>1988.7137270000001</v>
      </c>
      <c r="Z9" s="3">
        <f>1934.4+(243.1-80.1)+(0+(0-0))+0-85.8-0</f>
        <v>2011.6000000000001</v>
      </c>
      <c r="AA9" s="3">
        <f>1911.1+(224.4-72.4)+(-4.873305+(-0.57222--0.18462))+0-86.2--0.219809999999987</f>
        <v>1971.8589049999998</v>
      </c>
      <c r="AB9" s="3">
        <f>1904.1+(142.9-67.4)+(-3.884364+(-0.291516--0.137496))+0-72.9--0.148715999999997</f>
        <v>1902.8103319999998</v>
      </c>
      <c r="AC9" s="3">
        <f>1916.1+(142.7-89.8)+(-2.931633+(-0.218331--0.137394))+0-85.1--0.130203000000005</f>
        <v>1881.0176329999999</v>
      </c>
      <c r="AD9">
        <v>2016.6000000000001</v>
      </c>
      <c r="AE9" s="3">
        <f>1954+(233.3-81.5)+(0+(0-0))+0-89.2-0</f>
        <v>2016.6000000000001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1932.4+(142.4-183.5)+(-1.971048+(-0.145248--0.18717))+0-82.9--0.0845580000000132</f>
        <v>1806.5554320000001</v>
      </c>
      <c r="G10" s="3">
        <f>1833.4+(142.1-156.7)+(-4.67517+(-0.362355--0.399585))+0-84.4--0.215219999999988</f>
        <v>1729.9772800000001</v>
      </c>
      <c r="H10" s="3">
        <f>1728.2+(142.8-114.4)+(-0.881382+(-0.072828--0.058344))+0-81.1--0.0413609999999918</f>
        <v>1674.6454950000002</v>
      </c>
      <c r="I10" s="3">
        <f>1659.1+(142.5-80.2)+(-3.384564+(-0.2907--0.163608))+0-79.6--0.162383999999997</f>
        <v>1638.450728</v>
      </c>
      <c r="J10" s="3">
        <f>1708.5+(142.7-126)+(0+(0-0))+0-86.4-0</f>
        <v>1638.8</v>
      </c>
      <c r="K10" s="3">
        <f>1775+(142.7-183.7)+(-0.90525+(-0.072777--0.093687))+0-90.9--0.0463589999999908</f>
        <v>1642.2620189999998</v>
      </c>
      <c r="L10" s="3">
        <f>1788.1+(141.6-250.8)+(-1.823862+(-0.144432--0.255816))+0-78.1--0.0796620000000124</f>
        <v>1599.1671840000001</v>
      </c>
      <c r="M10" s="3">
        <f>1802+(138.7-262.2)+(0.91902+(0.070737-0.133722))+0-53.6-0.0273359999999946</f>
        <v>1625.728699</v>
      </c>
      <c r="N10" s="3">
        <f>1790.9+(129.9-128.6)+(0+(0-0))+0-84.2-0</f>
        <v>1708</v>
      </c>
      <c r="O10" s="3">
        <f>1787.4+(142-68.4)+(0+(0-0))+0-77.3-0</f>
        <v>1783.7</v>
      </c>
      <c r="P10" s="3">
        <f>1782.8+(216.8-67.4)+(0.909228+(0.110568-0.034374))+0-92.9-0.0473789999999906</f>
        <v>1840.2380429999998</v>
      </c>
      <c r="Q10" s="3">
        <f>1753.3+(252.1-65.1)+(-2.682549+(-0.385713--0.099603))+0-86.4--0.132192000000005</f>
        <v>1851.063533</v>
      </c>
      <c r="R10" s="3">
        <f>1749.5+(241-60)+(-3.56898+(-0.49164--0.1224))+0-78.8--0.160751999999997</f>
        <v>1847.922532</v>
      </c>
      <c r="S10" s="3">
        <f>1755.3+(199.5-61.2)+(0+(0-0))+0-79.8-0</f>
        <v>1813.8</v>
      </c>
      <c r="T10" s="3">
        <f>1761.4+(170.7-62.7)+(-0.898314+(-0.087057--0.031977))+0-81.8--0.0417179999999917</f>
        <v>1786.6883240000002</v>
      </c>
      <c r="U10" s="3">
        <f>1747.4+(130.3-68.9)+(-1.782348+(-0.132906--0.070278))+0-61--0.0622200000000097</f>
        <v>1746.0172440000001</v>
      </c>
      <c r="V10" s="3">
        <f>1756.3+(143.7-62.5)+(0+(0-0))+0-76.3-0</f>
        <v>1761.2</v>
      </c>
      <c r="W10" s="3">
        <f>1766.7+(199.8-68.4)+(-1.802034+(-0.203796--0.069768))+0-87.2--0.0889440000000139</f>
        <v>1809.0528820000002</v>
      </c>
      <c r="X10" s="3">
        <f>1900.2+(140.9-91.3)+(-4.84551+(-0.359295--0.232815))+0-82.8--0.211139999999988</f>
        <v>1862.2391499999999</v>
      </c>
      <c r="Y10" s="3">
        <f>2007.8+(142.6-103)+(2.047956+(0.145452-0.10506))+0-26.5-0.0270300000000042</f>
        <v>2022.9613179999999</v>
      </c>
      <c r="Z10" s="3">
        <f>2005.6+(142.2-93.4)+(-4.091424+(-0.290088--0.190536))+0-23.3--0.047531999999999</f>
        <v>2026.9565560000003</v>
      </c>
      <c r="AA10" s="3">
        <f>2029.8+(142.5-154.1)+(1.035198+(0.072675-0.078591))+0-36-0.0183599999999963</f>
        <v>1983.210922</v>
      </c>
      <c r="AB10" s="3">
        <f>2000.1+(141.7-132.4)+(-4.080204+(-0.289068--0.270096))+0-86.7--0.176867999999996</f>
        <v>1918.7776919999999</v>
      </c>
      <c r="AC10" s="3">
        <f>2025.1+(141.9-164.6)+(-1.032801+(-0.072369--0.083946))+0-85.5--0.0436049999999913</f>
        <v>1915.9223809999999</v>
      </c>
      <c r="AD10">
        <v>2033.9</v>
      </c>
      <c r="AE10" s="3">
        <f>2012+(141.5-96.6)+(0+(0-0))+0-23-0</f>
        <v>2033.9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2009.9+(142-250.7)+(-1.025049+(-0.07242--0.127857))+0-81.1--0.0413609999999918</f>
        <v>1819.1717490000001</v>
      </c>
      <c r="G11" s="3">
        <f>2002.1+(142.2-316.7)+(-3.063213+(-0.217566--0.484551))+0-83.7--0.128061000000005</f>
        <v>1741.2318330000001</v>
      </c>
      <c r="H11" s="3">
        <f>1928.3+(141.7-329.5)+(-0.983433+(-0.072267--0.168045))+0-58.8--0.029987999999994</f>
        <v>1680.8423330000001</v>
      </c>
      <c r="I11" s="3">
        <f>1832.7+(142.1-302.9)+(-3.738708+(-0.289884--0.617916))+0-21.8--0.044471999999999</f>
        <v>1646.7337960000002</v>
      </c>
      <c r="J11" s="3">
        <f>1786.2+(142.2-272)+(-5.465772+(-0.435132--0.83232))+0-20.9--0.0639540000000024</f>
        <v>1630.4953699999999</v>
      </c>
      <c r="K11" s="3">
        <f>1784+(142-259)+(-0.90984+(-0.07242--0.13209))+0-33.2--0.0169319999999966</f>
        <v>1632.966762</v>
      </c>
      <c r="L11" s="3">
        <f>1774.1+(141.7-261.8)+(-2.714373+(-0.216801--0.400554))+0-79.6--0.121788000000005</f>
        <v>1571.991168</v>
      </c>
      <c r="M11" s="3">
        <f>1852.2+(140.5-297.3)+(-0.944622+(-0.071655--0.151623))+0-86.1--0.0439109999999913</f>
        <v>1608.4792570000002</v>
      </c>
      <c r="N11" s="3">
        <f>1982.7+(127.1-355.7)+(1.011177+(0.064821-0.181407))+0-41-0.0209099999999958</f>
        <v>1713.9736810000002</v>
      </c>
      <c r="O11" s="3">
        <f>2002.2+(120.8-288.8)+(3.063366+(0.184824-0.441864))+0-44.5-0.0680850000000026</f>
        <v>1792.4382409999998</v>
      </c>
      <c r="P11" s="3">
        <f>1982.7+(120.6-182.1)+(-1.011177+(-0.061506--0.092871))+0-74.1--0.0377909999999925</f>
        <v>1846.1579790000001</v>
      </c>
      <c r="Q11" s="3">
        <f>2005.3+(134.4-209.2)+(3.068109+(0.205632-0.320076))+0-71.8-0.109854000000004</f>
        <v>1861.543811</v>
      </c>
      <c r="R11" s="3">
        <f>1986.6+(125.6-221.3)+(0+(0-0))+0-59.2-0</f>
        <v>1831.6999999999998</v>
      </c>
      <c r="S11" s="3">
        <f>1970.6+(124.6-227.7)+(-2.010012+(-0.127092--0.232254))+0-90.2--0.0920040000000144</f>
        <v>1775.4871540000001</v>
      </c>
      <c r="T11" s="3">
        <f>1957.1+(123.3-266.3)+(-3.992484+(-0.251532--0.543252))+0-83.1--0.169523999999996</f>
        <v>1727.46876</v>
      </c>
      <c r="U11" s="3">
        <f>1984.8+(125.9-359.7)+(1.012248+(0.064209-0.183447))+0-50.5-0.0257549999999949</f>
        <v>1701.3672550000001</v>
      </c>
      <c r="V11" s="3">
        <f>1939.9+(121.5-266.6)+(-4.946745+(-0.309825--0.67983))+0-80.6--0.205529999999988</f>
        <v>1709.8287900000003</v>
      </c>
      <c r="W11" s="3">
        <f>1965.4+(118.9-281)+(-3.007062+(-0.181917--0.42993))+0-81.1--0.124083000000005</f>
        <v>1719.5650340000002</v>
      </c>
      <c r="X11" s="3">
        <f>1965.9+(114.2-228.1)+(-4.010436+(-0.232968--0.465324))+0-82.4--0.168095999999996</f>
        <v>1765.990016</v>
      </c>
      <c r="Y11" s="3">
        <f>2000.8+(135.2-84.5)+(2.040816+(0.137904-0.08619))+0-80.5-0.0821100000000128</f>
        <v>1973.0104199999998</v>
      </c>
      <c r="Z11" s="3">
        <f>1975.7+(192.5-82.3)+(-4.030428+(-0.3927--0.167892))+0-83--0.169319999999996</f>
        <v>1998.8140840000001</v>
      </c>
      <c r="AA11" s="3">
        <f>1973.6+(149.7-75.4)+(-4.026144+(-0.305388--0.153816))+0-79.5--0.162179999999997</f>
        <v>1964.384464</v>
      </c>
      <c r="AB11" s="3">
        <f>1963.4+(141.6-107.7)+(-5.00667+(-0.36108--0.274635))+0-80.7--0.205784999999988</f>
        <v>1911.7126700000001</v>
      </c>
      <c r="AC11" s="3">
        <f>1998.3+(142.2-154.1)+(1.019133+(0.072522-0.078591))+0-82.7-0.0421769999999916</f>
        <v>1904.6708869999998</v>
      </c>
      <c r="AD11">
        <v>2016.9</v>
      </c>
      <c r="AE11" s="3">
        <f>1988+(202.5-80)+(0+(0-0))+0-93.6-0</f>
        <v>2016.9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1942.6+(141.9-181.9)+(0+(0-0))+0-90.3-0</f>
        <v>1812.3</v>
      </c>
      <c r="G12" s="3">
        <f>1933.3+(142.4-257.3)+(-2.957949+(-0.217872--0.393669))+0-83.6--0.127908000000005</f>
        <v>1732.1457559999999</v>
      </c>
      <c r="H12" s="3">
        <f>1916.1+(142.7-297.8)+(-5.863266+(-0.436662--0.911268))+0-80.1--0.245106000000009</f>
        <v>1675.7564460000001</v>
      </c>
      <c r="I12" s="3">
        <f>1836.7+(142.5-257.1)+(-3.746868+(-0.2907--0.524484))+0-78.8--0.160751999999997</f>
        <v>1639.947668</v>
      </c>
      <c r="J12" s="3">
        <f>1771.1+(142.3-201.1)+(-0.903261+(-0.072573--0.102561))+0-84--0.0428399999999915</f>
        <v>1627.4695670000001</v>
      </c>
      <c r="K12" s="3">
        <f>1726.8+(142.4-182.2)+(-0.880668+(-0.072624--0.092922))+0-66--0.0336599999999933</f>
        <v>1620.17329</v>
      </c>
      <c r="L12" s="3">
        <f>1749.8+(142.4-257.1)+(-5.354388+(-0.435744--0.786726))+0-82.9--0.25367400000001</f>
        <v>1547.4502679999998</v>
      </c>
      <c r="M12" s="3">
        <f>1619.4+(141.5-143.3)+(-1.651788+(-0.14433--0.146166))+0-81.7--0.083334000000013</f>
        <v>1534.333382</v>
      </c>
      <c r="N12" s="3">
        <f>1669+(140.3-158.3)+(0.85119+(0.071553-0.080733))+0-76.9-0.0392189999999922</f>
        <v>1574.902791</v>
      </c>
      <c r="O12" s="3">
        <f>1790.6+(139.9-217.4)+(-2.739618+(-0.214047--0.332622))+0-78.1--0.119493000000004</f>
        <v>1632.4984499999998</v>
      </c>
      <c r="P12" s="3">
        <f>1897.1+(139.9-277.2)+(-2.902563+(-0.214047--0.424116))+0-74.9--0.114597000000004</f>
        <v>1682.322103</v>
      </c>
      <c r="Q12" s="3">
        <f>1886+(140.2-242.7)+(-3.84744+(-0.286008--0.495108))+0-89--0.181559999999996</f>
        <v>1691.04322</v>
      </c>
      <c r="R12" s="3">
        <f>1847.5+(141.1-270.4)+(-2.826675+(-0.215883--0.413712))+0-26.8--0.0410040000000016</f>
        <v>1688.812158</v>
      </c>
      <c r="S12" s="3">
        <f>1826.6+(140.6-248.8)+(-0.931566+(-0.071706--0.126888))+0-62--0.0316199999999937</f>
        <v>1655.5552359999999</v>
      </c>
      <c r="T12" s="3">
        <f>1905.7+(140.8-313)+(0+(0-0))+0-81.2-0</f>
        <v>1652.3</v>
      </c>
      <c r="U12" s="3">
        <f>1950.7+(140.7-385)+(-2.984571+(-0.215271--0.58905))+0-65.9--0.100827000000004</f>
        <v>1637.990035</v>
      </c>
      <c r="V12" s="3">
        <f>1837.8+(141.5-280)+(-3.749112+(-0.28866--0.5712))+0-72.6--0.148103999999997</f>
        <v>1623.3815320000001</v>
      </c>
      <c r="W12" s="3">
        <f>1854.2+(142.2-288.2)+(1.891284+(0.145044-0.293964))+0-76.8-0.0783360000000122</f>
        <v>1633.064028</v>
      </c>
      <c r="X12" s="3">
        <f>1920.6+(142.9-294.2)+(-4.89753+(-0.364395--0.75021))+0-80.3--0.204764999999988</f>
        <v>1684.6930499999999</v>
      </c>
      <c r="Y12" s="3">
        <f>2024.6+(144.6-195.2)+(0+(0-0))+0-73.2-0</f>
        <v>1900.8</v>
      </c>
      <c r="Z12" s="3">
        <f>2075.4+(145.7-204.3)+(0+(0-0))+0-76.7-0</f>
        <v>1940.1000000000001</v>
      </c>
      <c r="AA12" s="3">
        <f>2094.4+(143.8-239)+(-5.34072+(-0.36669--0.60945))+0-81.8--0.208589999999988</f>
        <v>1912.51063</v>
      </c>
      <c r="AB12" s="3">
        <f>2126.3+(142.8-309.3)+(-4.337652+(-0.291312--0.630972))+0-81.9--0.167075999999996</f>
        <v>1874.069084</v>
      </c>
      <c r="AC12" s="3">
        <f>2133.8+(143.3-362.6)+(-3.264714+(-0.219249--0.554778))+0-68.1--0.104193000000004</f>
        <v>1843.5750080000003</v>
      </c>
      <c r="AD12">
        <v>1953.6</v>
      </c>
      <c r="AE12" s="3">
        <f>2087+(146-192.7)+(0+(0-0))+0-86.7-0</f>
        <v>1953.6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2012.6+(143-347.3)+(-2.052852+(-0.14586--0.354246))+0-70--0.0714000000000112</f>
        <v>1736.526934</v>
      </c>
      <c r="G13" s="3">
        <f>1661.8+(143.6-103.5)+(-3.390072+(-0.292944--0.21114))+0-79.1--0.161363999999997</f>
        <v>1619.4894879999999</v>
      </c>
      <c r="H13" s="3">
        <f>1606.9+(143-110.7)+(-4.097595+(-0.36465--0.282285))+0-66.8--0.17033999999999</f>
        <v>1568.3903800000001</v>
      </c>
      <c r="I13" s="3">
        <f>1652.4+(142.5-165.8)+(1.685448+(0.14535-0.169116))+0-77.1-0.0786420000000123</f>
        <v>1553.5830400000002</v>
      </c>
      <c r="J13" s="3">
        <f>1631.7+(142-147.3)+(-1.664334+(-0.14484--0.150246))+0-84.5--0.0861900000000135</f>
        <v>1540.327262</v>
      </c>
      <c r="K13" s="3">
        <f>1642.8+(141.7-161.8)+(0.837828+(0.072267-0.082518))+0-81.8-0.0417179999999917</f>
        <v>1541.6858589999999</v>
      </c>
      <c r="L13" s="3">
        <f>1598.7+(141.8-191.4)+(-5.707359+(-0.506226--0.683298))+0-82.3--0.293811000000001</f>
        <v>1461.5635240000001</v>
      </c>
      <c r="M13" s="3">
        <f>1566.8+(140.4-185.4)+(-0.799068+(-0.071604--0.094554))+0-87.2--0.0444719999999912</f>
        <v>1433.868354</v>
      </c>
      <c r="N13" s="3">
        <f>1662.9+(140.2-273.4)+(0.848079+(0.071502-0.139434))+0-57.6-0.0293759999999942</f>
        <v>1472.8507710000001</v>
      </c>
      <c r="O13" s="3">
        <f>1795.9+(140.5-369.2)+(-2.747727+(-0.214965--0.564876))+0-68.6--0.104958000000004</f>
        <v>1496.3071420000001</v>
      </c>
      <c r="P13" s="3">
        <f>1793.1+(139.7-369)+(1.828962+(0.142494-0.37638))+0-81.2-0.082824000000013</f>
        <v>1484.1122519999999</v>
      </c>
      <c r="Q13" s="3">
        <f>1646.7+(140.7-247)+(-1.679634+(-0.143514--0.25194))+0-77.3--0.0788460000000123</f>
        <v>1461.6076380000002</v>
      </c>
      <c r="R13" s="3">
        <f>1511.8+(140.7-148.5)+(-1.542036+(-0.143514--0.15147))+0-69.4--0.0707880000000111</f>
        <v>1433.136708</v>
      </c>
      <c r="S13" s="3">
        <f>1481.9+(140.1-136.4)+(0+(0-0))+0-73.8-0</f>
        <v>1411.8000000000002</v>
      </c>
      <c r="T13" s="3">
        <f>1523.6+(138.9-160.9)+(-0.777036+(-0.070839--0.082059))+0-90.6--0.0462059999999908</f>
        <v>1410.2803899999999</v>
      </c>
      <c r="U13" s="3">
        <f>1497.7+(142.1-192)+(-1.527654+(-0.144942--0.19584))+0-42.4--0.0432480000000068</f>
        <v>1403.9664919999998</v>
      </c>
      <c r="V13" s="3">
        <f>1589.4+(142.8-240.3)+(-1.621188+(-0.145656--0.245106))+0-79--0.0805800000000126</f>
        <v>1411.4588420000002</v>
      </c>
      <c r="W13" s="3">
        <f>1659.8+(142.3-289)+(-0.846498+(-0.072573--0.14739))+0-76.3--0.0389129999999923</f>
        <v>1436.0672320000001</v>
      </c>
      <c r="X13" s="3">
        <f>1687.4+(138.3-232)+(-4.30287+(-0.352665--0.5916))+0-75.4--0.192269999999989</f>
        <v>1514.4283350000001</v>
      </c>
      <c r="Y13" s="3">
        <f>1892.2+(123.8-163)+(-1.930044+(-0.126276--0.16626))+0-87.2--0.0889440000000139</f>
        <v>1763.9988840000001</v>
      </c>
      <c r="Z13" s="3">
        <f>2064.3+(129.9-256.2)+(-1.052793+(-0.066249--0.130662))+0-89.7--0.0457469999999909</f>
        <v>1847.3573670000001</v>
      </c>
      <c r="AA13" s="3">
        <f>2091.2+(142.8-322.3)+(-1.066512+(-0.072828--0.164373))+0-64.8--0.0330479999999934</f>
        <v>1845.9580809999998</v>
      </c>
      <c r="AB13" s="3">
        <f>2087.4+(141.9-359.9)+(-3.193722+(-0.217107--0.550647))+0-79.8--0.122094000000005</f>
        <v>1786.8619120000003</v>
      </c>
      <c r="AC13" s="3">
        <f>2125.9+(141-473.4)+(-2.168418+(-0.14382--0.482868))+0-41.5--0.0423300000000066</f>
        <v>1750.2129600000001</v>
      </c>
      <c r="AD13">
        <v>1871.1999999999998</v>
      </c>
      <c r="AE13" s="3">
        <f>2117+(143.1-371.7)+(0+(0-0))+0-17.2-0</f>
        <v>1871.2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2112.8+(140.4-517.2)+(-4.310112+(-0.286416--1.055088))+0-83.7--0.170747999999996</f>
        <v>1648.929308</v>
      </c>
      <c r="G14" s="3">
        <f>1874.8+(140.4-340.8)+(0.956148+(0.071604-0.173808))+0-87.8-0.0447779999999911</f>
        <v>1587.4091659999999</v>
      </c>
      <c r="H14" s="3">
        <f>1741.6+(140.4-256.8)+(-1.776432+(-0.143208--0.261936))+0-79--0.0805800000000126</f>
        <v>1544.6228759999999</v>
      </c>
      <c r="I14" s="3">
        <f>1635.3+(140.9-165)+(-1.668006+(-0.143718--0.1683))+0-79.5--0.0810900000000127</f>
        <v>1530.1376659999999</v>
      </c>
      <c r="J14" s="3">
        <f>1636.5+(141.2-162.4)+(0+(0-0))+0-81.4-0</f>
        <v>1533.8999999999999</v>
      </c>
      <c r="K14" s="3">
        <f>1651.4+(141.1-176.4)+(0+(0-0))+0-80.2-0</f>
        <v>1535.9</v>
      </c>
      <c r="L14" s="3">
        <f>1532.8+(151.1-65.8)+(-3.126912+(-0.308244--0.134232))+0-79.3--0.161771999999997</f>
        <v>1535.660848</v>
      </c>
      <c r="M14" s="3">
        <f>1619.4+(141.1-76.7)+(-0.825894+(-0.071961--0.039117))+0-70.6--0.0360059999999928</f>
        <v>1612.3772680000004</v>
      </c>
      <c r="N14" s="3">
        <f>1827.1+(141.1-186.8)+(0+(0-0))+0-42-0</f>
        <v>1739.3999999999999</v>
      </c>
      <c r="O14" s="3">
        <f>2001.1+(140.7-217.6)+(0+(0-0))+0-71.5-0</f>
        <v>1852.6999999999998</v>
      </c>
      <c r="P14" s="3">
        <f>2083.3+(140.7-266.6)+(-1.062483+(-0.071757--0.135966))+0-0-0</f>
        <v>1956.4017260000001</v>
      </c>
      <c r="Q14" s="3">
        <f>2158.6+(140.6-322.4)+(-3.302658+(-0.215118--0.493272))+0-16.4--0.0250920000000009</f>
        <v>1957.400588</v>
      </c>
      <c r="R14" s="3">
        <f>2226.8+(140.9-356.3)+(-3.407004+(-0.215577--0.545139))+0-62.3--0.0953190000000036</f>
        <v>1946.1178770000001</v>
      </c>
      <c r="S14" s="3">
        <f>2187.5+(140.9-351.5)+(-4.4625+(-0.287436--0.71706))+0-76.5--0.156059999999997</f>
        <v>1896.5231840000001</v>
      </c>
      <c r="T14" s="3">
        <f>2139.2+(140.3-332.3)+(-3.272976+(-0.214659--0.508419))+0-89--0.136170000000005</f>
        <v>1855.3569539999999</v>
      </c>
      <c r="U14" s="3">
        <f>2051.6+(139.9-289.8)+(-4.185264+(-0.285396--0.591192))+0-80.7--0.164627999999996</f>
        <v>1817.2851599999997</v>
      </c>
      <c r="V14" s="3">
        <f>2115.1+(140-353.8)+(-6.472206+(-0.4284--1.082628))+0-80.2--0.245412000000009</f>
        <v>1815.5274339999999</v>
      </c>
      <c r="W14" s="3">
        <f>2158.9+(126.7-353.4)+(-5.505195+(-0.323085--0.90117))+0-77.9--0.198644999999989</f>
        <v>1849.5715349999998</v>
      </c>
      <c r="X14" s="3">
        <f>2177+(130.6-320.6)+(-3.33081+(-0.199818--0.490518))+0-66.2--0.101286000000004</f>
        <v>1917.8611760000001</v>
      </c>
      <c r="Y14" s="3">
        <f>2274.8+(114.9-218.5)+(0+(0-0))+0-75.2-0</f>
        <v>2096.0000000000005</v>
      </c>
      <c r="Z14" s="3">
        <f>2273.4+(125.4-195.7)+(-4.637736+(-0.255816--0.399228))+0-81.8--0.166871999999996</f>
        <v>2116.9725479999997</v>
      </c>
      <c r="AA14" s="3">
        <f>2259.1+(140.8-249.4)+(-4.608564+(-0.287232--0.508776))+0-79--0.161159999999997</f>
        <v>2067.27414</v>
      </c>
      <c r="AB14" s="3">
        <f>2055.7+(139.8-146.1)+(-3.145221+(-0.213894--0.223533))+0-80.7--0.123471000000005</f>
        <v>1965.6878889999996</v>
      </c>
      <c r="AC14" s="3">
        <f>1932.1+(140.1-107.5)+(-3.941484+(-0.285804--0.2193))+0-57.4--0.117095999999997</f>
        <v>1903.4091079999996</v>
      </c>
      <c r="AD14">
        <v>2129.1</v>
      </c>
      <c r="AE14" s="3">
        <f>2291+(114.6-183.3)+(0+(0-0))+0-93.2-0</f>
        <v>2129.1000000000004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1693.7+(217-36.3)+(-4.318935+(-0.55335--0.092565))+0-82.9--0.211394999999988</f>
        <v>1786.931675</v>
      </c>
      <c r="G15" s="3">
        <f>1718.3+(140.9-54.4)+(-4.381665+(-0.359295--0.13872))+0-79.4--0.202469999999988</f>
        <v>1721.0002299999999</v>
      </c>
      <c r="H15" s="3">
        <f>1730.3+(140.7-106.5)+(-2.647359+(-0.215271--0.162945))+0-82.3--0.125919000000005</f>
        <v>1679.6262340000001</v>
      </c>
      <c r="I15" s="3">
        <f>1688.8+(140.6-79.3)+(-2.583864+(-0.215118--0.121329))+0-88.9--0.136017000000005</f>
        <v>1658.6583639999999</v>
      </c>
      <c r="J15" s="3">
        <f>1690.5+(140.9-87.4)+(-1.72431+(-0.143718--0.089148))+0-83.6--0.0852720000000133</f>
        <v>1658.7063920000001</v>
      </c>
      <c r="K15" s="3">
        <f>1708.4+(137.7-98.8)+(1.742568+(0.140454-0.100776))+0-80.5-0.0821100000000128</f>
        <v>1668.5001360000001</v>
      </c>
      <c r="L15" s="3">
        <f>1775.9+(57-143.5)+(-1.811418+(-0.05814--0.14637))+0-32.5--0.0331500000000052</f>
        <v>1655.2099620000001</v>
      </c>
      <c r="M15" s="3">
        <f>1894+(91-230.4)+(0+(0-0))+0-23.8-0</f>
        <v>1730.8</v>
      </c>
      <c r="N15" s="3">
        <f>1908.3+(95.9-150.7)+(-0.973233+(-0.048909--0.076857))+0-19.8--0.010097999999998</f>
        <v>1832.764813</v>
      </c>
      <c r="O15" s="3">
        <f>2044.9+(103.7-203.7)+(2.085798+(0.105774-0.207774))+0-18.3-0.0186660000000029</f>
        <v>1928.5651320000002</v>
      </c>
      <c r="P15" s="3">
        <f>2056.3+(98.6-152.4)+(-1.048713+(-0.050286--0.077724))+0-18.9--0.00963899999999808</f>
        <v>1982.5883640000002</v>
      </c>
      <c r="Q15" s="3">
        <f>2057.6+(130.9-164)+(-1.049376+(-0.066759--0.08364))+0-17.7--0.0090269999999982</f>
        <v>2005.7765320000001</v>
      </c>
      <c r="R15" s="3">
        <f>2059.1+(110-135.5)+(-1.050141+(-0.0561--0.069105))+0-35.2--0.0179519999999964</f>
        <v>1997.3808159999999</v>
      </c>
      <c r="S15" s="3">
        <f>2050.8+(78.7-109.6)+(-5.22954+(-0.200685--0.27948))+0-82.9--0.211394999999988</f>
        <v>1932.0606500000001</v>
      </c>
      <c r="T15" s="3">
        <f>2089.7+(121.5-228.4)+(-4.262988+(-0.24786--0.465936))+0-85.2--0.173807999999996</f>
        <v>1893.7288959999996</v>
      </c>
      <c r="U15" s="3">
        <f>2031.7+(132.3-249.1)+(-2.072334+(-0.134946--0.254082))+0-36.7--0.0374340000000059</f>
        <v>1876.2842360000002</v>
      </c>
      <c r="V15" s="3">
        <f>2072.7+(113.4-244.4)+(-3.171231+(-0.173502--0.373932))+0-83.7--0.128061000000005</f>
        <v>1855.15726</v>
      </c>
      <c r="W15" s="3">
        <f>2099+(100-309.9)+(1.07049+(0.051-0.158049))+0-35.1-0.0179009999999964</f>
        <v>1854.9455400000002</v>
      </c>
      <c r="X15" s="3">
        <f>2143.8+(90-227.4)+(-3.280014+(-0.1377--0.347922))+0-92.1--0.140913000000005</f>
        <v>1911.3711210000001</v>
      </c>
      <c r="Y15" s="3">
        <f>2155+(70.1-89.4)+(-2.1981+(-0.071502--0.091188))+0-31.7--0.0323340000000051</f>
        <v>2101.85392</v>
      </c>
      <c r="Z15" s="3">
        <f>2140.7+(104.4-85.1)+(-4.367028+(-0.212976--0.173604))+0-38--0.0775199999999983</f>
        <v>2117.67112</v>
      </c>
      <c r="AA15" s="3">
        <f>2084.1+(125.1-89.4)+(-1.062891+(-0.063801--0.045594))+0-50.8--0.0259079999999948</f>
        <v>2067.9448099999995</v>
      </c>
      <c r="AB15" s="3">
        <f>2015.9+(130.1-136.2)+(-5.140545+(-0.331755--0.34731))+0-36--0.0917999999999948</f>
        <v>1968.7668100000001</v>
      </c>
      <c r="AC15" s="3">
        <f>1934.3+(133-111.1)+(-0.986493+(-0.06783--0.056661))+0-57.4--0.0292739999999942</f>
        <v>1897.831612</v>
      </c>
      <c r="AD15">
        <v>2124</v>
      </c>
      <c r="AE15" s="3">
        <f>2161+(128.6-86.4)+(0+(0-0))+0-79.2-0</f>
        <v>2124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1835.4+(127.2-76.4)+(-2.808162+(-0.194616--0.116892))+0-90.7--0.138771000000005</f>
        <v>1792.7528849999999</v>
      </c>
      <c r="G16" s="3">
        <f>1736.6+(114.1-99.8)+(0+(0-0))+0-25.3-0</f>
        <v>1725.6</v>
      </c>
      <c r="H16" s="3">
        <f>1737.8+(114.7-99.6)+(0.886278+(0.058497-0.050796))+0-62.9-0.0320789999999936</f>
        <v>1690.8618999999997</v>
      </c>
      <c r="I16" s="3">
        <f>1776+(117.9-143.4)+(0+(0-0))+0-76.9-0</f>
        <v>1673.6</v>
      </c>
      <c r="J16" s="3">
        <f>1764.9+(102.7-114.6)+(-5.400594+(-0.314262--0.350676))+0-80.6--0.246636000000009</f>
        <v>1667.2824560000001</v>
      </c>
      <c r="K16" s="3">
        <f>1745.7+(98.6-76.1)+(1.780614+(0.100572-0.077622))+0-92.8-0.0946560000000148</f>
        <v>1677.1089080000002</v>
      </c>
      <c r="L16" s="3">
        <f>1676.4+(144.5-79.8)+(-0.854964+(-0.073695--0.040698))+0-69.1--0.035240999999993</f>
        <v>1671.1472800000004</v>
      </c>
      <c r="M16" s="3">
        <f>1776.9+(130.2-76.1)+(-1.812438+(-0.132804--0.077622))+0-62.8--0.06405600000001</f>
        <v>1766.396436</v>
      </c>
      <c r="N16" s="3">
        <f>1899.1+(116.9-75.6)+(-0.968541+(-0.059619--0.038556))+0-85--0.0433499999999914</f>
        <v>1854.4537459999997</v>
      </c>
      <c r="O16" s="3">
        <f>1900.4+(208.8-75.7)+(0.969204+(0.106488-0.038607))+0-75.5-0.0385049999999923</f>
        <v>1958.9985799999999</v>
      </c>
      <c r="P16" s="3">
        <f>1899.4+(243.2-75.2)+(0.968694+(0.124032-0.038352))+0-87-0.0443699999999912</f>
        <v>1981.4100039999998</v>
      </c>
      <c r="Q16" s="3">
        <f>1897+(245.5-74.2)+(0+(0-0))+0-87.3-0</f>
        <v>1981.0000000000002</v>
      </c>
      <c r="R16" s="3">
        <f>1957.6+(168.3-65.3)+(-1.996752+(-0.171666--0.066606))+0-82--0.0836400000000131</f>
        <v>1976.5818280000001</v>
      </c>
      <c r="S16" s="3">
        <f>2006.1+(88.6-64.7)+(-2.046222+(-0.090372--0.065994))+0-78.6--0.0801720000000125</f>
        <v>1949.409572</v>
      </c>
      <c r="T16" s="3">
        <f>2003.5+(101.2-129.1)+(-2.04357+(-0.103224--0.131682))+0-56.9--0.0580380000000091</f>
        <v>1916.7429259999997</v>
      </c>
      <c r="U16" s="3">
        <f>2010.9+(99.5-150.4)+(1.025559+(0.050745-0.076704))+0-72.7-0.0370769999999926</f>
        <v>1888.2625230000001</v>
      </c>
      <c r="V16" s="3">
        <f>1998.8+(102.6-143.5)+(-1.019388+(-0.052326--0.073185))+0-83.5--0.0425849999999915</f>
        <v>1873.4440559999998</v>
      </c>
      <c r="W16" s="3">
        <f>1978.7+(100.7-108.2)+(-3.027411+(-0.154071--0.165546))+0-80.5--0.123165000000005</f>
        <v>1887.807229</v>
      </c>
      <c r="X16" s="3">
        <f>1996.9+(101.5-78.9)+(-2.036838+(-0.10353--0.080478))+0-88.7--0.0904740000000141</f>
        <v>1928.830584</v>
      </c>
      <c r="Y16" s="3">
        <f>2023.5+(231.2-86.2)+(-1.031985+(-0.117912--0.043962))+0-63.5--0.0323849999999936</f>
        <v>2103.9264499999999</v>
      </c>
      <c r="Z16" s="3">
        <f>2008+(284.7-82.1)+(-5.1204+(-0.725985--0.209355))+0-66.6--0.16982999999999</f>
        <v>2138.5328</v>
      </c>
      <c r="AA16" s="3">
        <f>2023+(221.4-73.6)+(-3.09519+(-0.338742--0.112608))+0-73--0.111690000000004</f>
        <v>2094.5903660000004</v>
      </c>
      <c r="AB16" s="3">
        <f>2021.5+(129.4-72)+(-3.092895+(-0.197982--0.11016))+0-82.8--0.126684000000005</f>
        <v>1993.045967</v>
      </c>
      <c r="AC16" s="3">
        <f>1953.5+(142.6-53.5)+(-4.981425+(-0.36363--0.136425))+0-96.1--0.245054999999986</f>
        <v>1941.536425</v>
      </c>
      <c r="AD16">
        <v>2146.5000000000005</v>
      </c>
      <c r="AE16" s="3">
        <f>2046+(276.4-82.7)+(0+(0-0))+0-93.2-0</f>
        <v>2146.5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1949.9+(120.4-151.1)+(-1.988898+(-0.122808--0.154122))+0-82.9--0.0845580000000132</f>
        <v>1834.426974</v>
      </c>
      <c r="G17" s="3">
        <f>1856+(127.3-159.9)+(-7.57248+(-0.519384--0.652392))+0-64.9--0.264791999999994</f>
        <v>1751.3253199999999</v>
      </c>
      <c r="H17" s="3">
        <f>1816.3+(121.9-143.2)+(-2.778939+(-0.186507--0.219096))+0-81.6--0.124848000000005</f>
        <v>1710.7784980000001</v>
      </c>
      <c r="I17" s="3">
        <f>1791.8+(124.5-133.4)+(-1.827636+(-0.12699--0.136068))+0-78.9--0.0804780000000126</f>
        <v>1702.2619199999999</v>
      </c>
      <c r="J17" s="3">
        <f>1630.4+(197.3-36.8)+(-4.15752+(-0.503115--0.09384))+0-93.2--0.237659999999986</f>
        <v>1693.3708650000001</v>
      </c>
      <c r="K17" s="3">
        <f>1656.4+(169.3-57.6)+(0.844764+(0.086343-0.029376))+0-67.6-0.0344759999999931</f>
        <v>1701.3672550000001</v>
      </c>
      <c r="L17" s="3">
        <f>1666.4+(185.7-84)+(-1.699728+(-0.189414--0.08568))+0-66.5--0.0678300000000106</f>
        <v>1699.864368</v>
      </c>
      <c r="M17" s="3">
        <f>1773.2+(181.1-74.7)+(-1.808664+(-0.184722--0.076194))+0-81.7--0.083334000000013</f>
        <v>1796.0661419999999</v>
      </c>
      <c r="N17" s="3">
        <f>1822.4+(211.6-73.4)+(-1.858848+(-0.215832--0.074868))+0-83.6--0.0852720000000133</f>
        <v>1875.0854600000002</v>
      </c>
      <c r="O17" s="3">
        <f>1892.8+(227.9-71.9)+(-0.965328+(-0.116229--0.036669))+0-79--0.040289999999992</f>
        <v>1968.7954020000002</v>
      </c>
      <c r="P17" s="3">
        <f>1896.3+(249.1-71.7)+(0+(0-0))+0-62.9-0</f>
        <v>2010.7999999999997</v>
      </c>
      <c r="Q17" s="3">
        <f>1878.4+(291.7-71.7)+(-0.957984+(-0.148767--0.036567))+0-77.3--0.0394229999999922</f>
        <v>2020.0692389999999</v>
      </c>
      <c r="R17" s="3">
        <f>1911.7+(246.8-65.4)+(-0.974967+(-0.125868--0.033354))+0-77.5--0.0395249999999921</f>
        <v>2014.5720439999998</v>
      </c>
      <c r="S17" s="3">
        <f>1901.9+(207.2-66.3)+(-2.909907+(-0.317016--0.101439))+0-65.8--0.100674000000004</f>
        <v>1973.9751900000003</v>
      </c>
      <c r="T17" s="3">
        <f>1905+(169.5-66.6)+(-0.97155+(-0.086445--0.033966))+0-76.7--0.0391169999999922</f>
        <v>1930.2150880000002</v>
      </c>
      <c r="U17" s="3">
        <f>1868.5+(181.6-64.4)+(-6.670545+(-0.648312--0.229908))+0-71.6--0.255612000000001</f>
        <v>1907.2666630000001</v>
      </c>
      <c r="V17" s="3">
        <f>1880.8+(150.3-65.4)+(-2.877624+(-0.229959--0.100062))+0-67.9--0.103887000000004</f>
        <v>1894.8963659999999</v>
      </c>
      <c r="W17" s="3">
        <f>1868.8+(154.1-71.5)+(-5.718528+(-0.471546--0.21879))+0-63.4--0.194004000000007</f>
        <v>1882.2227199999998</v>
      </c>
      <c r="X17" s="3">
        <f>1887.2+(199.8-75.9)+(-2.887416+(-0.305694--0.116127))+0-83.5--0.127755000000005</f>
        <v>1924.6507720000002</v>
      </c>
      <c r="Y17" s="3">
        <f>1923.4+(363.4-86.6)+(-1.961868+(-0.370668--0.088332))+0-86.1--0.0878220000000137</f>
        <v>2111.9436179999998</v>
      </c>
      <c r="Z17" s="3">
        <f>1953.7+(347.9-82.5)+(-3.985548+(-0.709716--0.1683))+0-70.4--0.143615999999997</f>
        <v>2144.3166519999995</v>
      </c>
      <c r="AA17" s="3">
        <f>1948.6+(273.7-72.1)+(-3.975144+(-0.558348--0.147084))+0-44--0.0897599999999981</f>
        <v>2101.9033519999998</v>
      </c>
      <c r="AB17" s="3">
        <f>1929.7+(220.3-56.9)+(-1.968294+(-0.224706--0.058038))+0-80.7--0.0823140000000129</f>
        <v>2010.3473519999998</v>
      </c>
      <c r="AC17" s="3">
        <f>1870.7+(202.6-44.8)+(-1.908114+(-0.206652--0.045696))+0-76.5--0.0780300000000122</f>
        <v>1950.0089599999999</v>
      </c>
      <c r="AD17">
        <v>2161.3000000000002</v>
      </c>
      <c r="AE17" s="3">
        <f>1967+(365.3-83.6)+(0+(0-0))+0-87.4-0</f>
        <v>2161.2999999999997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1814.6+(140.4-37.2)+(-4.62723+(-0.35802--0.09486))+0-75.7--0.193034999999989</f>
        <v>1837.4026449999999</v>
      </c>
      <c r="G18" s="3">
        <f>1741.3+(131.4-34.6)+(-2.664189+(-0.201042--0.052938))+0-72.1--0.110313000000004</f>
        <v>1763.29802</v>
      </c>
      <c r="H18" s="3">
        <f>1677.6+(157.6-32.6)+(0+(0-0))+0-80.8-0</f>
        <v>1721.8</v>
      </c>
      <c r="I18" s="3">
        <f>1663.4+(161.6-32.5)+(-2.545002+(-0.247248--0.049725))+0-77.6--0.118728000000004</f>
        <v>1712.2762030000001</v>
      </c>
      <c r="J18" s="3">
        <f>1643.5+(186.6-35.5)+(-5.02911+(-0.570996--0.10863))+0-77.8--0.238068000000009</f>
        <v>1711.5465920000001</v>
      </c>
      <c r="K18" s="3">
        <f>1661+(187-56.1)+(-1.69422+(-0.19074--0.057222))+0-78.4--0.0799680000000125</f>
        <v>1711.7522300000001</v>
      </c>
      <c r="L18" s="3">
        <f>1652+(202.1-77.3)+(-3.37008+(-0.412284--0.157692))+0-61.9--0.126275999999997</f>
        <v>1711.4016039999999</v>
      </c>
      <c r="M18" s="3">
        <f>1724.3+(200.5-70.3)+(0+(0-0))+0-70.4-0</f>
        <v>1784.1</v>
      </c>
      <c r="N18" s="3">
        <f>1872.8+(134.6-70.5)+(-1.910256+(-0.137292--0.07191))+0-52.8--0.0538560000000084</f>
        <v>1882.178218</v>
      </c>
      <c r="O18" s="3">
        <f>1943.1+(171.6-72.2)+(0+(0-0))+0-78.4-0</f>
        <v>1964.1</v>
      </c>
      <c r="P18" s="3">
        <f>1947.5+(222.1-73.1)+(0.993225+(0.113271-0.037281))+0-81.6-0.0416159999999917</f>
        <v>2015.9275990000001</v>
      </c>
      <c r="Q18" s="3">
        <f>1987.5+(143-72.4)+(-3.040875+(-0.21879--0.110772))+0-32.9--0.0503370000000019</f>
        <v>2022.1014439999997</v>
      </c>
      <c r="R18" s="3">
        <f>2070.3+(125.3-84.8)+(-2.111706+(-0.127806--0.086496))+0-84.2--0.0858840000000134</f>
        <v>2024.532868</v>
      </c>
      <c r="S18" s="3">
        <f>2049.7+(138-130.2)+(-2.090694+(-0.14076--0.132804))+0-85--0.0867000000000136</f>
        <v>1970.4880500000002</v>
      </c>
      <c r="T18" s="3">
        <f>2012.5+(130.5-128)+(0+(0-0))+0-80.7-0</f>
        <v>1934.3</v>
      </c>
      <c r="U18" s="3">
        <f>1991.4+(110.7-101.5)+(-4.062456+(-0.225828--0.20706))+0-80.8--0.164831999999996</f>
        <v>1915.8836080000001</v>
      </c>
      <c r="V18" s="3">
        <f>1970.3+(108.8-102.7)+(-2.009706+(-0.110976--0.104754))+0-65.6--0.0669120000000104</f>
        <v>1908.8509839999999</v>
      </c>
      <c r="W18" s="3">
        <f>1968.6+(95.5-71.8)+(-3.011958+(-0.146115--0.109854))+0-55.2--0.0844560000000032</f>
        <v>1934.1362369999999</v>
      </c>
      <c r="X18" s="3">
        <f>1982.7+(165.9-69.4)+(-4.044708+(-0.338436--0.141576))+0-91.1--0.185843999999996</f>
        <v>1984.0442760000001</v>
      </c>
      <c r="Y18" s="3">
        <f>2065.2+(236.1-74.8)+(-1.053252+(-0.120411--0.038148))+0-88.8--0.045287999999991</f>
        <v>2136.6097729999997</v>
      </c>
      <c r="Z18" s="3">
        <f>2085.9+(233.8-72.2)+(1.063809+(0.119238-0.036822))+0-84.3-0.0429929999999914</f>
        <v>2164.3032319999998</v>
      </c>
      <c r="AA18" s="3">
        <f>2048.5+(186.5-68.1)+(-4.17894+(-0.38046--0.138924))+0-84.7--0.172787999999996</f>
        <v>2077.9523120000003</v>
      </c>
      <c r="AB18" s="3">
        <f>2054.9+(118.3-84.2)+(-4.191996+(-0.241332--0.171768))+0-81.1--0.165443999999996</f>
        <v>2003.8038840000002</v>
      </c>
      <c r="AC18" s="3">
        <f>1996.5+(110-128.2)+(-2.03643+(-0.1122--0.130764))+0-32.5--0.0331500000000052</f>
        <v>1943.815284</v>
      </c>
      <c r="AD18">
        <v>2180.2000000000003</v>
      </c>
      <c r="AE18" s="3">
        <f>2105+(249.9-76.1)+(0+(0-0))+0-98.6-0</f>
        <v>2180.2000000000003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1967.1+(110.8-141.7)+(-2.006442+(-0.113016--0.144534))+0-93.6--0.0954720000000149</f>
        <v>1840.7205479999998</v>
      </c>
      <c r="G19" s="3">
        <f>1973.5+(106.6-224.5)+(-1.006485+(-0.054366--0.114495))+0-84.8--0.0432479999999914</f>
        <v>1769.896892</v>
      </c>
      <c r="H19" s="3">
        <f>1942+(119.9-270.2)+(-2.97126+(-0.183447--0.413406))+0-74.1--0.113373000000004</f>
        <v>1714.972072</v>
      </c>
      <c r="I19" s="3">
        <f>1828.7+(113.5-170.8)+(0+(0-0))+0-70.7-0</f>
        <v>1700.7</v>
      </c>
      <c r="J19" s="3">
        <f>1798.2+(107-129.9)+(-2.751246+(-0.16371--0.198747))+0-80.5--0.123165000000005</f>
        <v>1692.206956</v>
      </c>
      <c r="K19" s="3">
        <f>1820.6+(107.8-151.3)+(0.928506+(0.054978-0.077163))+0-85-0.0433499999999914</f>
        <v>1692.9629709999999</v>
      </c>
      <c r="L19" s="3">
        <f>1794.4+(109.4-196.4)+(-2.745432+(-0.167382--0.300492))+0-79--0.120870000000005</f>
        <v>1625.9085480000001</v>
      </c>
      <c r="M19" s="3">
        <f>1695.5+(116.4-134.3)+(-3.45882+(-0.237456--0.273972))+0-60.6--0.123623999999997</f>
        <v>1613.7013200000001</v>
      </c>
      <c r="N19" s="3">
        <f>1796.1+(129.4-179.4)+(-4.580055+(-0.32997--0.45747))+0-76.3--0.194564999999989</f>
        <v>1665.5420099999999</v>
      </c>
      <c r="O19" s="3">
        <f>1854.6+(127.5-166.5)+(-0.945846+(-0.065025--0.084915))+0-79.8--0.0406979999999919</f>
        <v>1734.9147419999999</v>
      </c>
      <c r="P19" s="3">
        <f>1914.2+(99.3-201.3)+(-1.952484+(-0.101286--0.205326))+0-23.2--0.0236640000000037</f>
        <v>1787.1752200000001</v>
      </c>
      <c r="Q19" s="3">
        <f>1974.8+(124-264.8)+(-1.007148+(-0.06324--0.135048))+0-21.6--0.0110159999999978</f>
        <v>1811.475676</v>
      </c>
      <c r="R19" s="3">
        <f>1964.3+(135.5-237.4)+(-3.005379+(-0.207315--0.363222))+0-55--0.0841500000000032</f>
        <v>1804.6346779999997</v>
      </c>
      <c r="S19" s="3">
        <f>1940.2+(132.1-220.2)+(-5.937012+(-0.404226--0.673812))+0-79.4--0.242964000000009</f>
        <v>1767.2755380000001</v>
      </c>
      <c r="T19" s="3">
        <f>1884.5+(121.3-192.6)+(-1.92219+(-0.123726--0.196452))+0-84.2--0.0858840000000134</f>
        <v>1727.2364200000002</v>
      </c>
      <c r="U19" s="3">
        <f>1864.7+(126.6-190.6)+(-5.705982+(-0.387396--0.583236))+0-90--0.27540000000001</f>
        <v>1705.4652579999999</v>
      </c>
      <c r="V19" s="3">
        <f>1879.9+(144.9-233.2)+(-2.876247+(-0.221697--0.356796))+0-88.4--0.135252000000005</f>
        <v>1700.594104</v>
      </c>
      <c r="W19" s="3">
        <f>1898.5+(117.9-236.1)+(-0.968235+(-0.060129--0.120411))+0-67.2--0.0342719999999932</f>
        <v>1712.2263190000001</v>
      </c>
      <c r="X19" s="3">
        <f>1909.4+(107.3-176.8)+(0+(0-0))+0-50.2-0</f>
        <v>1789.7</v>
      </c>
      <c r="Y19" s="3">
        <f>1994+(112.6-68.2)+(-1.01694+(-0.057426--0.034782))+0-47--0.0239699999999952</f>
        <v>1990.3843859999999</v>
      </c>
      <c r="Z19" s="3">
        <f>2048.2+(131.1-56.1)+(-3.133746+(-0.200583--0.085833))+0-82.4--0.126072000000005</f>
        <v>2037.6775759999996</v>
      </c>
      <c r="AA19" s="3">
        <f>2055.4+(124.7-91.2)+(-1.048254+(-0.063597--0.046512))+0-78.5--0.040034999999992</f>
        <v>2009.3746959999999</v>
      </c>
      <c r="AB19" s="3">
        <f>2052.3+(111.3-144.4)+(-4.186692+(-0.227052--0.294576))+0-86.8--0.177071999999996</f>
        <v>1928.4579040000003</v>
      </c>
      <c r="AC19" s="3">
        <f>2058.3+(122-237.6)+(-1.049733+(-0.06222--0.121176))+0-88.9--0.045338999999991</f>
        <v>1852.8545620000002</v>
      </c>
      <c r="AD19">
        <v>2031</v>
      </c>
      <c r="AE19" s="3">
        <f>2062+(110.8-118.8)+(0+(0-0))+0-23-0</f>
        <v>2031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2054.7+(93.9-340.4)+(-5.239485+(-0.239445--0.86802))+0-64.9--0.165494999999991</f>
        <v>1738.8545849999996</v>
      </c>
      <c r="G20" s="3">
        <f>1998.1+(109.4-375.3)+(-3.057093+(-0.167382--0.574209))+0-55.4--0.0847620000000032</f>
        <v>1674.2344959999996</v>
      </c>
      <c r="H20" s="3">
        <f>1960+(82.9-320.8)+(1.9992+(0.084558-0.327216))+0-89.3-0.0910860000000142</f>
        <v>1634.4654560000001</v>
      </c>
      <c r="I20" s="3">
        <f>1937.4+(63.7-293.8)+(0+(0-0))+0-84.2-0</f>
        <v>1623.1000000000001</v>
      </c>
      <c r="J20" s="3">
        <f>1842.7+(100.1-249.1)+(-1.879554+(-0.102102--0.254082))+0-84.2--0.0858840000000134</f>
        <v>1607.8583100000001</v>
      </c>
      <c r="K20" s="3">
        <f>1783.3+(90.5-185.9)+(-2.728449+(-0.138465--0.284427))+0-72.4--0.110772000000004</f>
        <v>1613.0282849999999</v>
      </c>
      <c r="L20" s="3">
        <f>1909.1+(96.9-285.1)+(-3.894564+(-0.197676--0.581604))+0-81.1--0.165443999999996</f>
        <v>1636.454808</v>
      </c>
      <c r="M20" s="3">
        <f>2052.3+(116.5-337.7)+(0+(0-0))+0-73.1-0</f>
        <v>1758.0000000000002</v>
      </c>
      <c r="N20" s="3">
        <f>2230.8+(128.9-422.4)+(0+(0-0))+0-68.2-0</f>
        <v>1869.1000000000001</v>
      </c>
      <c r="O20" s="3">
        <f>2219+(124.7-315.3)+(0+(0-0))+0-79.1-0</f>
        <v>1949.3000000000002</v>
      </c>
      <c r="P20" s="3">
        <f>2201.4+(118.5-236.5)+(0+(0-0))+0-78.2-0</f>
        <v>2005.2</v>
      </c>
      <c r="Q20" s="3">
        <f>2170.7+(100-206.6)+(-4.428228+(-0.204--0.421464))+0-75.8--0.154631999999997</f>
        <v>1984.243868</v>
      </c>
      <c r="R20" s="3">
        <f>2184.2+(120.6-245.7)+(-1.113942+(-0.061506--0.125307))+0-63.9--0.0325889999999935</f>
        <v>1994.1824479999996</v>
      </c>
      <c r="S20" s="3">
        <f>2185.6+(112.3-283.2)+(-2.229312+(-0.114546--0.288864))+0-75.6--0.077112000000012</f>
        <v>1937.1221179999998</v>
      </c>
      <c r="T20" s="3">
        <f>2217.8+(118.4-328.3)+(-2.262156+(-0.120768--0.334866))+0-84--0.0856800000000134</f>
        <v>1921.9376219999999</v>
      </c>
      <c r="U20" s="3">
        <f>2183+(106.1-316.6)+(0+(0-0))+0-50.9-0</f>
        <v>1921.6</v>
      </c>
      <c r="V20" s="3">
        <f>2163.6+(114.4-282.8)+(-1.103436+(-0.058344--0.144228))+0-76.1--0.0388109999999923</f>
        <v>1918.1212589999998</v>
      </c>
      <c r="W20" s="3">
        <f>2161.4+(112-272.4)+(-6.613884+(-0.34272--0.833544))+0-80.8--0.247248000000009</f>
        <v>1914.324188</v>
      </c>
      <c r="X20" s="3">
        <f>2057.9+(97.4-93.4)+(-4.198116+(-0.198696--0.190536))+0-89.6--0.182783999999996</f>
        <v>1968.2765080000004</v>
      </c>
      <c r="Y20" s="3">
        <f>2168.6+(106.8-79)+(2.211972+(0.108936-0.08058))+0-88.6-0.0903720000000141</f>
        <v>2109.9499559999999</v>
      </c>
      <c r="Z20" s="3">
        <f>2248+(104.7-117.6)+(0+(0-0))+0-84.3-0</f>
        <v>2150.7999999999997</v>
      </c>
      <c r="AA20" s="3">
        <f>2219.1+(120.3-154.6)+(-5.658705+(-0.306765--0.39423))+0-59.4--0.151469999999991</f>
        <v>2119.9802299999992</v>
      </c>
      <c r="AB20" s="3">
        <f>2251+(128.9-264.3)+(-1.14801+(-0.065739--0.134793))+0-80.2--0.0409019999999919</f>
        <v>2034.361946</v>
      </c>
      <c r="AC20" s="3">
        <f>2241.9+(128-333.4)+(-2.286738+(-0.13056--0.340068))+0-84.5--0.0861900000000135</f>
        <v>1950.0089599999999</v>
      </c>
      <c r="AD20">
        <v>2164.9</v>
      </c>
      <c r="AE20" s="3">
        <f>2277+(82.8-95.6)+(0+(0-0))+0-99.3-0</f>
        <v>2164.8999999999996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2231.9+(133.3-438.4)+(-2.276538+(-0.135966--0.447168))+0-87.5--0.089250000000014</f>
        <v>1837.4239140000002</v>
      </c>
      <c r="G21" s="3">
        <f>2089.6+(131.4-381)+(0+(0-0))+0-69.5-0</f>
        <v>1770.5</v>
      </c>
      <c r="H21" s="3">
        <f>1924.1+(103.3-230.7)+(-3.925164+(-0.210732--0.470628))+0-83.6--0.170543999999996</f>
        <v>1709.605276</v>
      </c>
      <c r="I21" s="3">
        <f>1920.2+(105.9-238.5)+(-3.917208+(-0.216036--0.48654))+0-90.9--0.185435999999996</f>
        <v>1693.238732</v>
      </c>
      <c r="J21" s="3">
        <f>1909.8+(109.9-247.4)+(-2.921994+(-0.168147--0.378522))+0-59.4--0.0908820000000034</f>
        <v>1710.2792629999999</v>
      </c>
      <c r="K21" s="3">
        <f>1932.9+(110.1-247.1)+(-2.957337+(-0.168453--0.378063))+0-72.6--0.111078000000004</f>
        <v>1720.6633510000001</v>
      </c>
      <c r="L21" s="3">
        <f>1954.2+(139.4-291.7)+(-0.996642+(-0.071094--0.148767))+0-78.8--0.040187999999992</f>
        <v>1722.221219</v>
      </c>
      <c r="M21" s="3">
        <f>2004.2+(133.6-235.4)+(0+(0-0))+0-92.7-0</f>
        <v>1809.7</v>
      </c>
      <c r="N21" s="3">
        <f>2139+(127.6-324.5)+(-1.09089+(-0.065076--0.165495))+0-24.6--0.0125459999999975</f>
        <v>1916.5220749999999</v>
      </c>
      <c r="O21" s="3">
        <f>2217.1+(128.7-335.3)+(-2.261442+(-0.131274--0.342006))+0-24.2--0.0246840000000039</f>
        <v>1984.273974</v>
      </c>
      <c r="P21" s="3">
        <f>2177.5+(104.1-191.2)+(-1.110525+(-0.053091--0.097512))+0-63.6--0.0324359999999935</f>
        <v>2025.7663320000001</v>
      </c>
      <c r="Q21" s="3">
        <f>2196.2+(125-217.8)+(0+(0-0))+0-68.6-0</f>
        <v>2034.7999999999997</v>
      </c>
      <c r="R21" s="3">
        <f>2198.5+(135.5-226)+(0+(0-0))+0-93.5-0</f>
        <v>2014.5</v>
      </c>
      <c r="S21" s="3">
        <f>2166.1+(124.7-228.8)+(-2.209422+(-0.127194--0.233376))+0-79.8--0.0813960000000127</f>
        <v>1980.1781560000002</v>
      </c>
      <c r="T21" s="3">
        <f>2119.6+(120.8-225.2)+(0+(0-0))+0-78.4-0</f>
        <v>1936.7999999999997</v>
      </c>
      <c r="U21" s="3">
        <f>2090+(112.6-211.7)+(0+(0-0))+0-66.1-0</f>
        <v>1924.8000000000002</v>
      </c>
      <c r="V21" s="3">
        <f>2056.8+(107.5-170.7)+(-3.146904+(-0.164475--0.261171))+0-87.3--0.133569000000005</f>
        <v>1903.3833610000001</v>
      </c>
      <c r="W21" s="3">
        <f>2059.3+(102.5-183.9)+(-3.150729+(-0.156825--0.281367))+0-63.4--0.0970020000000037</f>
        <v>1911.570815</v>
      </c>
      <c r="X21" s="3">
        <f>2060.1+(106.1-174.8)+(-4.202604+(-0.216444--0.356592))+0-59.9--0.122195999999997</f>
        <v>1927.5597399999997</v>
      </c>
      <c r="Y21" s="3">
        <f>2222.5+(94.8-105.9)+(0+(0-0))+0-86.5-0</f>
        <v>2124.9</v>
      </c>
      <c r="Z21" s="3">
        <f>2291.2+(119.2-138.5)+(-4.674048+(-0.243168--0.28254))+0-68.9--0.140555999999997</f>
        <v>2198.5058799999993</v>
      </c>
      <c r="AA21" s="3">
        <f>2252.2+(137.7-175.9)+(-3.445866+(-0.210681--0.269127))+0-72.8--0.111384000000004</f>
        <v>2137.9239639999996</v>
      </c>
      <c r="AB21" s="3">
        <f>2187.4+(144.7-193.2)+(-3.346722+(-0.221391--0.295596))+0-85.1--0.130203000000005</f>
        <v>2050.6576860000005</v>
      </c>
      <c r="AC21" s="3">
        <f>2092.5+(135-179.2)+(-3.201525+(-0.20655--0.274176))+0-76.8--0.117504000000004</f>
        <v>1968.4836050000004</v>
      </c>
      <c r="AD21">
        <v>2214.6</v>
      </c>
      <c r="AE21" s="3">
        <f>2342+(128-164)+(0+(0-0))+0-91.4-0</f>
        <v>2214.6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2065.6+(127.8-243.5)+(-2.106912+(-0.130356--0.24837))+0-83.4--0.0850680000000133</f>
        <v>1864.5961699999998</v>
      </c>
      <c r="G22" s="3">
        <f>2075.4+(142.4-343.8)+(0+(0-0))+0-77-0</f>
        <v>1797</v>
      </c>
      <c r="H22" s="3">
        <f>2063.8+(147.6-356.1)+(-3.157614+(-0.225828--0.544833))+0-85.2--0.130356000000005</f>
        <v>1767.3917470000001</v>
      </c>
      <c r="I22" s="3">
        <f>1993.2+(142.6-306)+(-2.033064+(-0.145452--0.31212))+0-81.3--0.082926000000013</f>
        <v>1746.7165300000001</v>
      </c>
      <c r="J22" s="3">
        <f>1993.3+(132.8-303.1)+(1.016583+(0.067728-0.154581))+0-75.7-0.0386069999999923</f>
        <v>1748.1911230000001</v>
      </c>
      <c r="K22" s="3">
        <f>1969.9+(106.5-253.3)+(-2.009298+(-0.10863--0.258366))+0-76.6--0.0781320000000122</f>
        <v>1744.7185700000002</v>
      </c>
      <c r="L22" s="3">
        <f>1986.4+(113.6-292.7)+(-3.039192+(-0.173808--0.447831))+0-80.6--0.123318000000005</f>
        <v>1724.0581490000002</v>
      </c>
      <c r="M22" s="3">
        <f>2159.2+(139.8-395.5)+(0+(0-0))+0-79.6-0</f>
        <v>1823.8999999999999</v>
      </c>
      <c r="N22" s="3">
        <f>2351.3+(123.3-479.6)+(4.796652+(0.251532-0.978384))+0-66.5-0.135659999999997</f>
        <v>1932.4341400000003</v>
      </c>
      <c r="O22" s="3">
        <f>2539.9+(116.9-551.3)+(1.295349+(0.059619-0.281163))+0-80-0.0407999999999919</f>
        <v>2026.533005</v>
      </c>
      <c r="P22" s="3">
        <f>2585.4+(120-576.8)+(0+(0-0))+0-77.8-0</f>
        <v>2050.8000000000002</v>
      </c>
      <c r="Q22" s="3">
        <f>2581.8+(134.9-562.5)+(0+(0-0))+0-80.3-0</f>
        <v>2073.9</v>
      </c>
      <c r="R22" s="3">
        <f>2517.5+(133.1-518)+(-5.1357+(-0.271524--1.05672))+0-77.2--0.157487999999997</f>
        <v>2051.2069839999999</v>
      </c>
      <c r="S22" s="3">
        <f>2457.9+(117-503.8)+(-2.507058+(-0.11934--0.513876))+0-79--0.0805800000000126</f>
        <v>1990.0680580000001</v>
      </c>
      <c r="T22" s="3">
        <f>2433+(127.4-541.9)+(0+(0-0))+0-40.3-0</f>
        <v>1978.2</v>
      </c>
      <c r="U22" s="3">
        <f>2430.3+(107.5-560.2)+(-2.478906+(-0.10965--0.571404))+0-35.6--0.0363120000000057</f>
        <v>1940.0191600000003</v>
      </c>
      <c r="V22" s="3">
        <f>2393.6+(136.9-558.7)+(-2.441472+(-0.139638--0.569874))+0-21--0.0214200000000034</f>
        <v>1948.8101839999997</v>
      </c>
      <c r="W22" s="3">
        <f>2415.5+(112.5-523.5)+(0+(0-0))+0-75.4-0</f>
        <v>1929.1</v>
      </c>
      <c r="X22" s="3">
        <f>2358.7+(111.8-447.5)+(-1.202937+(-0.057018--0.228225))+0-73.2--0.0373319999999926</f>
        <v>1948.8056019999999</v>
      </c>
      <c r="Y22" s="3">
        <f>2433.5+(83.9-306.5)+(-1.241085+(-0.042789--0.156315))+0-78.3--0.0399329999999921</f>
        <v>2131.5123739999999</v>
      </c>
      <c r="Z22" s="3">
        <f>2562+(64.9-350.2)+(-5.22648+(-0.132396--0.714408))+0-75.2--0.153407999999997</f>
        <v>2197.0089400000002</v>
      </c>
      <c r="AA22" s="3">
        <f>2543.3+(116.1-425.6)+(-5.188332+(-0.236844--0.868224))+0-74.9--0.152795999999997</f>
        <v>2154.495844</v>
      </c>
      <c r="AB22" s="3">
        <f>2553+(136.4-531)+(-3.90609+(-0.208692--0.81243))+0-85.7--0.131121000000005</f>
        <v>2069.528769</v>
      </c>
      <c r="AC22" s="3">
        <f>2385.5+(122.2-464.6)+(-4.86642+(-0.249288--0.947784))+0-60.4--0.123215999999997</f>
        <v>1978.6552919999997</v>
      </c>
      <c r="AD22">
        <v>2190.3000000000002</v>
      </c>
      <c r="AE22" s="3">
        <f>2551+(49.1-317.7)+(0+(0-0))+0-92.1-0</f>
        <v>2190.3000000000002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2282.7+(125.6-462)+(-3.492531+(-0.192168--0.70686))+0-77.5--0.118575000000004</f>
        <v>1865.9407359999998</v>
      </c>
      <c r="G23" s="3">
        <f>2268.3+(110.4-495.9)+(-5.784165+(-0.28152--1.264545))+0-76.1--0.194054999999989</f>
        <v>1802.0929150000002</v>
      </c>
      <c r="H23" s="3">
        <f>2257.5+(109.4-523.4)+(-1.151325+(-0.055794--0.266934))+0-77.4--0.0394739999999922</f>
        <v>1765.1992889999999</v>
      </c>
      <c r="I23" s="3">
        <f>2162.4+(113.9-445.7)+(-4.411296+(-0.232356--0.909228))+0-85.4--0.174215999999996</f>
        <v>1741.6397919999999</v>
      </c>
      <c r="J23" s="3">
        <f>2089.1+(110.3-380.6)+(-4.261764+(-0.225012--0.776424))+0-76.8--0.156671999999997</f>
        <v>1738.44632</v>
      </c>
      <c r="K23" s="3">
        <f>2114.1+(109.2-398.9)+(1.078191+(0.055692-0.203439))+0-79.4-0.0404939999999919</f>
        <v>1745.8899499999998</v>
      </c>
      <c r="L23" s="3">
        <f>2085.7+(135-431.9)+(-4.254828+(-0.2754--0.881076))+0-55.4--0.113015999999998</f>
        <v>1729.8638639999997</v>
      </c>
      <c r="M23" s="3">
        <f>2145.5+(128.5-436.6)+(-2.18841+(-0.13107--0.445332))+0-20.2--0.0206040000000032</f>
        <v>1815.346456</v>
      </c>
      <c r="N23" s="3">
        <f>2347.3+(124.7-519.1)+(0+(0-0))+0-12.8-0</f>
        <v>1940.1000000000001</v>
      </c>
      <c r="O23" s="3">
        <f>2417.7+(124.7-548.1)+(1.233027+(0.063597-0.279531))+0-15-0.00764999999999848</f>
        <v>1980.3094429999996</v>
      </c>
      <c r="P23" s="3">
        <f>2416.7+(124.7-502.1)+(1.232517+(0.063597-0.256071))+0-20-0.010199999999998</f>
        <v>2020.3298429999998</v>
      </c>
      <c r="Q23" s="3">
        <f>2431.1+(124.7-502.8)+(-1.239861+(-0.063597--0.256428))+0-20--0.010199999999998</f>
        <v>2031.9631699999998</v>
      </c>
      <c r="R23" s="3">
        <f>2445.6+(121.4-580.8)+(-1.247256+(-0.061914--0.296208))+0-20--0.010199999999998</f>
        <v>1965.1972379999997</v>
      </c>
      <c r="S23" s="3">
        <f>2492.9+(117.8-571.2)+(-6.356895+(-0.30039--1.45656))+0-8.8--0.0224399999999987</f>
        <v>2025.5217150000001</v>
      </c>
      <c r="T23" s="3">
        <f>2506+(111.6-557.9)+(-2.55612+(-0.113832--0.569058))+0-27.3--0.0278460000000044</f>
        <v>2030.3269519999997</v>
      </c>
      <c r="U23" s="3">
        <f>2482.2+(121.4-527.7)+(-2.531844+(-0.123828--0.538254))+0-78.3--0.0798660000000125</f>
        <v>1995.5624479999999</v>
      </c>
      <c r="V23" s="3">
        <f>2483.7+(128.9-554.4)+(0+(0-0))+0-61.2-0</f>
        <v>1996.9999999999998</v>
      </c>
      <c r="W23" s="3">
        <f>2437.2+(123.4-495.9)+(-6.21486+(-0.31467--1.264545))+0-66.4--0.16931999999999</f>
        <v>1993.2043349999999</v>
      </c>
      <c r="X23" s="3">
        <f>2409+(111.9-425.7)+(-4.91436+(-0.228276--0.868428))+0-71.5--0.145859999999997</f>
        <v>2019.5716520000001</v>
      </c>
      <c r="Y23" s="3">
        <f>2551.6+(116.5-425.1)+(1.301316+(0.059415-0.216801))+0-81.4-0.0415139999999917</f>
        <v>2162.7024160000001</v>
      </c>
      <c r="Z23" s="3">
        <f>2563.6+(132.4-408)+(-3.922308+(-0.202572--0.62424))+0-64.4--0.0985320000000037</f>
        <v>2220.1978919999997</v>
      </c>
      <c r="AA23" s="3">
        <f>2564.3+(140.6-469.2)+(-6.538965+(-0.35853--1.19646))+0-67.1--0.17110499999999</f>
        <v>2163.0700700000002</v>
      </c>
      <c r="AB23" s="3">
        <f>2538.3+(130-520)+(-6.472665+(-0.3315--1.326))+0-77.3--0.197114999999989</f>
        <v>2065.7189499999999</v>
      </c>
      <c r="AC23" s="3">
        <f>2458.9+(130.3-519.4)+(-2.508078+(-0.132906--0.529788))+0-64.5--0.0657900000000103</f>
        <v>2003.2545940000005</v>
      </c>
      <c r="AD23">
        <v>2234</v>
      </c>
      <c r="AE23" s="3">
        <f>2607+(141-411.8)+(0+(0-0))+0-102.2-0</f>
        <v>2234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2241.7+(133.3-393.4)+(0+(0-0))+0-85.9-0</f>
        <v>1895.6999999999998</v>
      </c>
      <c r="G24" s="3">
        <f>2228.7+(113.6-450.1)+(2.273274+(0.115872-0.459102))+0-71.2-0.0726240000000114</f>
        <v>1822.8574199999998</v>
      </c>
      <c r="H24" s="3">
        <f>2196.6+(114-473.9)+(-3.360798+(-0.17442--0.725067))+0-61.8--0.0945540000000036</f>
        <v>1772.184403</v>
      </c>
      <c r="I24" s="3">
        <f>2203.3+(105.3-476.8)+(-2.247366+(-0.107406--0.486336))+0-74.6--0.0760920000000119</f>
        <v>1755.4076560000003</v>
      </c>
      <c r="J24" s="3">
        <f>2154+(102.8-414.6)+(-4.39416+(-0.209712--0.845784))+0-77.1--0.157283999999997</f>
        <v>1761.499196</v>
      </c>
      <c r="K24" s="3">
        <f>2147.9+(114-438.1)+(0+(0-0))+0-69.9-0</f>
        <v>1753.9</v>
      </c>
      <c r="L24" s="3">
        <f>2100.8+(130.3-412.9)+(-1.071408+(-0.066453--0.210579))+0-81.5--0.0415649999999917</f>
        <v>1735.8142830000002</v>
      </c>
      <c r="M24" s="3">
        <f>2207+(128.3-410.5)+(0+(0-0))+0-70.4-0</f>
        <v>1854.3999999999999</v>
      </c>
      <c r="N24" s="3">
        <f>2417.5+(106.1-512.1)+(-1.232925+(-0.054111--0.261171))+0-52.7--0.0268769999999947</f>
        <v>1957.8010119999999</v>
      </c>
      <c r="O24" s="3">
        <f>2556.8+(99.4-540.5)+(-1.303968+(-0.050694--0.275655))+0-79.2--0.040391999999992</f>
        <v>2035.4613850000003</v>
      </c>
      <c r="P24" s="3">
        <f>2552.4+(108.7-527.6)+(-2.603448+(-0.110874--0.538152))+0-69.3--0.070686000000011</f>
        <v>2062.0945159999997</v>
      </c>
      <c r="Q24" s="3">
        <f>2500.8+(114.8-453)+(-2.550816+(-0.117096--0.46206))+0-67.5--0.0688500000000108</f>
        <v>2092.9629980000004</v>
      </c>
      <c r="R24" s="3">
        <f>2469.9+(90.8-422.2)+(-2.519298+(-0.092616--0.430644))+0-75.4--0.076908000000012</f>
        <v>2060.9956379999999</v>
      </c>
      <c r="S24" s="3">
        <f>2449.1+(88.3-428.9)+(-2.498082+(-0.090066--0.437478))+0-78.4--0.0799680000000125</f>
        <v>2028.0292979999999</v>
      </c>
      <c r="T24" s="3">
        <f>2465.9+(111.9-514.6)+(0+(0-0))+0-63.3-0</f>
        <v>1999.8999999999999</v>
      </c>
      <c r="U24" s="3">
        <f>2477+(109.6-508.9)+(-2.52654+(-0.111792--0.519078))+0-65.9--0.0672180000000105</f>
        <v>2009.7479639999995</v>
      </c>
      <c r="V24" s="3">
        <f>2423.3+(105.2-450.5)+(3.707649+(0.160956-0.689265))+0-76.4-0.116892000000004</f>
        <v>2004.662448</v>
      </c>
      <c r="W24" s="3">
        <f>2379.1+(87.7-386.2)+(-4.853364+(-0.178908--0.787848))+0-88.6--0.180743999999996</f>
        <v>1987.93632</v>
      </c>
      <c r="X24" s="3">
        <f>2324.5+(100-319)+(1.185495+(0.051-0.16269))+0-71-0.0362099999999928</f>
        <v>2035.537595</v>
      </c>
      <c r="Y24" s="3">
        <f>2507.3+(50-339.8)+(1.278723+(0.0255-0.173298))+0-100-0.0509999999999899</f>
        <v>2118.579925</v>
      </c>
      <c r="Z24" s="3">
        <f>2621.6+(70-364)+(-5.348064+(-0.1428--0.74256))+0-91--0.185639999999996</f>
        <v>2232.0373359999999</v>
      </c>
      <c r="AA24" s="3">
        <f>2596.5+(135-437)+(-7.94529+(-0.4131--1.33722))+0-96--0.293760000000011</f>
        <v>2191.77259</v>
      </c>
      <c r="AB24" s="3">
        <f>2567.3+(135-535.8)+(-5.237292+(-0.2754--1.093032))+0-89--0.181559999999996</f>
        <v>2073.2619</v>
      </c>
      <c r="AC24" s="3">
        <f>2514+(125-483.5)+(-5.12856+(-0.255--0.98634))+0-79--0.161159999999997</f>
        <v>2072.2639400000003</v>
      </c>
      <c r="AD24">
        <v>2214.2000000000003</v>
      </c>
      <c r="AE24" s="3">
        <f>2646+(21.8-360.4)+(0+(0-0))+0-93.2-0</f>
        <v>2214.2000000000003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2338.8+(138.7-499.3)+(-1.192788+(-0.070737--0.254643))+0-63.6--0.0324359999999935</f>
        <v>1913.6235540000002</v>
      </c>
      <c r="G25" s="3">
        <f>2269+(95-472.6)+(-4.62876+(-0.1938--0.964104))+0-87--0.177479999999996</f>
        <v>1800.7190240000002</v>
      </c>
      <c r="H25" s="3">
        <f>2250.9+(66-481.9)+(-2.295918+(-0.06732--0.491538))+0-72--0.0734400000000115</f>
        <v>1761.2017400000002</v>
      </c>
      <c r="I25" s="3">
        <f>2244+(66-445)+(1.14444+(0.03366-0.22695))+0-86-0.0438599999999913</f>
        <v>1779.9072900000001</v>
      </c>
      <c r="J25" s="3">
        <f>2255.6+(75-489.4)+(2.300712+(0.0765-0.499188))+0-69-0.070380000000011</f>
        <v>1774.0076439999998</v>
      </c>
      <c r="K25" s="3">
        <f>2294.3+(95-543.5)+(-1.170093+(-0.04845--0.277185))+0-103--0.0525299999999896</f>
        <v>1741.9111720000001</v>
      </c>
      <c r="L25" s="3">
        <f>2207.9+(95-473.6)+(-3.378087+(-0.14535--0.724608))+0-97--0.148410000000006</f>
        <v>1729.6495810000001</v>
      </c>
      <c r="M25" s="3">
        <f>2281.2+(93-492.8)+(0+(0-0))+0-87-0</f>
        <v>1794.3999999999999</v>
      </c>
      <c r="N25" s="3">
        <f>2421+(105-566.3)+(0+(0-0))+0-22-0</f>
        <v>1937.7</v>
      </c>
      <c r="O25" s="3">
        <f>2498+(103-516.3)+(-1.27398+(-0.05253--0.263313))+0-23--0.0117299999999977</f>
        <v>2060.648533</v>
      </c>
      <c r="P25" s="3">
        <f>2565+(102-489.9)+(3.92445+(0.15606-0.749547))+0-75-0.114750000000004</f>
        <v>2105.3162129999996</v>
      </c>
      <c r="Q25" s="3">
        <f>2479+(95-401.3)+(-7.58574+(-0.2907--1.227978))+0-90--0.27540000000001</f>
        <v>2076.3269379999997</v>
      </c>
      <c r="R25" s="3">
        <f>2344+(103-284.2)+(-5.9772+(-0.26265--0.72471))+0-84--0.214199999999988</f>
        <v>2073.4990600000001</v>
      </c>
      <c r="S25" s="3">
        <f>2141+(119-167)+(-1.09191+(-0.06069--0.08517))+0-97--0.0494699999999902</f>
        <v>1994.9820399999999</v>
      </c>
      <c r="T25" s="3">
        <f>2030+(130.3-77.2)+(1.0353+(0.066453-0.039372))+0-99-0.05048999999999</f>
        <v>1985.111891</v>
      </c>
      <c r="U25" s="3">
        <f>1979.8+(118.8-76.2)+(-1.009698+(-0.060588--0.038862))+0-67--0.0341699999999932</f>
        <v>1954.4027459999998</v>
      </c>
      <c r="V25" s="3">
        <f>1907.5+(127.6-65.5)+(-3.8913+(-0.260304--0.13362))+0-75.2--0.153407999999997</f>
        <v>1890.5354239999997</v>
      </c>
      <c r="W25" s="3">
        <f>1929.6+(93.7-95.4)+(-2.952288+(-0.143361--0.145962))+0-61.8--0.0945540000000036</f>
        <v>1863.2448669999999</v>
      </c>
      <c r="X25" s="3">
        <f>1980.4+(107.1-91.1)+(-2.020008+(-0.109242--0.092922))+0-83.3--0.0849660000000133</f>
        <v>1911.1486380000003</v>
      </c>
      <c r="Y25" s="3">
        <f>2142.7+(107.5-101)+(-4.371108+(-0.2193--0.20604))+0-74.1--0.151163999999997</f>
        <v>2070.8667959999998</v>
      </c>
      <c r="Z25" s="3">
        <f>2373.2+(113-244.4)+(-6.05166+(-0.28815--0.62322))+0-89.2--0.227459999999987</f>
        <v>2147.11087</v>
      </c>
      <c r="AA25" s="3">
        <f>2377.6+(128.1-324.6)+(-3.637728+(-0.195993--0.496638))+0-82.5--0.126225000000005</f>
        <v>2095.389142</v>
      </c>
      <c r="AB25" s="3">
        <f>2271.9+(134.7-308.9)+(-2.317338+(-0.137394--0.315078))+0-85.9--0.0876180000000137</f>
        <v>2009.7479640000001</v>
      </c>
      <c r="AC25" s="3">
        <f>2271.8+(118.9-354.5)+(-1.158618+(-0.060639--0.180795))+0-78.3--0.0399329999999921</f>
        <v>1956.9014710000004</v>
      </c>
      <c r="AD25">
        <v>2141.9</v>
      </c>
      <c r="AE25" s="3">
        <f>2351+(114.6-219)+(0+(0-0))+0-104.7-0</f>
        <v>2141.9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2271.6+(136.4-466.9)+(-1.158516+(-0.069564--0.238119))+0-73.4--0.0374339999999926</f>
        <v>1866.7474729999999</v>
      </c>
      <c r="G26" s="3">
        <f>2054.2+(116.5-318.1)+(-2.095284+(-0.11883--0.324462))+0-79.2--0.0807840000000126</f>
        <v>1771.5911319999998</v>
      </c>
      <c r="H26" s="3">
        <f>1969.9+(135.5-284.5)+(-3.013947+(-0.207315--0.435285))+0-91.6--0.140148000000005</f>
        <v>1726.6541710000001</v>
      </c>
      <c r="I26" s="3">
        <f>1935.4+(134.9-301.8)+(0+(0-0))+0-66.4-0</f>
        <v>1702.1</v>
      </c>
      <c r="J26" s="3">
        <f>1910.6+(111.2-247.8)+(0+(0-0))+0-69.9-0</f>
        <v>1704.1</v>
      </c>
      <c r="K26" s="3">
        <f>1894.5+(101.8-237.1)+(-1.93239+(-0.103836--0.241842))+0-79.3--0.0808860000000126</f>
        <v>1678.186502</v>
      </c>
      <c r="L26" s="3">
        <f>1856.8+(114.9-326.3)+(-7.575744+(-0.468792--1.331304))+0-27.1--0.110567999999998</f>
        <v>1611.697336</v>
      </c>
      <c r="M26" s="3">
        <f>1807.7+(130.6-237.8)+(-1.843854+(-0.133212--0.242556))+0-65.5--0.0668100000000104</f>
        <v>1633.3323</v>
      </c>
      <c r="N26" s="3">
        <f>1851.3+(123.3-238.7)+(3.776652+(0.251532-0.486948))+0-51.1-0.104243999999998</f>
        <v>1688.2369919999999</v>
      </c>
      <c r="O26" s="3">
        <f>1910.5+(127.5-258.4)+(-2.923065+(-0.195075--0.395352))+0-23.8--0.0364140000000014</f>
        <v>1753.1136259999998</v>
      </c>
      <c r="P26" s="3">
        <f>1967.9+(132.9-274.1)+(2.007258+(0.135558-0.279582))+0-21.7-0.0221340000000035</f>
        <v>1806.8410999999999</v>
      </c>
      <c r="Q26" s="3">
        <f>2035.4+(130.3-314.9)+(-3.114162+(-0.199359--0.481797))+0-40.7--0.0622710000000024</f>
        <v>1807.3305470000003</v>
      </c>
      <c r="R26" s="3">
        <f>1965.2+(137.8-220.1)+(-7.015764+(-0.491946--0.785757))+0-84.6--0.302022000000001</f>
        <v>1791.8800690000003</v>
      </c>
      <c r="S26" s="3">
        <f>1946.6+(127.5-232.2)+(0+(0-0))+0-69-0</f>
        <v>1772.8999999999999</v>
      </c>
      <c r="T26" s="3">
        <f>1920.3+(118.6-212)+(-1.958706+(-0.120972--0.21624))+0-72.2--0.0736440000000115</f>
        <v>1752.9102059999998</v>
      </c>
      <c r="U26" s="3">
        <f>1980.2+(119.8-282.9)+(-1.009902+(-0.061098--0.144279))+0-93.7--0.0477869999999905</f>
        <v>1722.521066</v>
      </c>
      <c r="V26" s="3">
        <f>2030.2+(115.6-330.7)+(-4.141608+(-0.235824--0.674628))+0-84.7--0.172787999999996</f>
        <v>1726.8699840000002</v>
      </c>
      <c r="W26" s="3">
        <f>2045.3+(127.2-369.3)+(-1.043103+(-0.064872--0.188343))+0-64.3--0.0327929999999935</f>
        <v>1738.0131609999999</v>
      </c>
      <c r="X26" s="3">
        <f>2071.5+(102-332)+(1.056465+(0.05202-0.16932))+0-85-0.0433499999999914</f>
        <v>1757.3958150000001</v>
      </c>
      <c r="Y26" s="3">
        <f>2207.2+(86.8-257.3)+(-4.502688+(-0.177072--0.524892))+0-83.2--0.169727999999996</f>
        <v>1949.5148599999998</v>
      </c>
      <c r="Z26" s="3">
        <f>2369.3+(91.1-360.1)+(-1.208343+(-0.046461--0.183651))+0-33.6--0.0171359999999966</f>
        <v>2065.6459830000003</v>
      </c>
      <c r="AA26" s="3">
        <f>2346.4+(107.7-368.1)+(-4.786656+(-0.219708--0.750924))+0-50.8--0.103631999999998</f>
        <v>2031.0481920000002</v>
      </c>
      <c r="AB26" s="3">
        <f>2088.2+(119.8-160.3)+(-2.129964+(-0.122196--0.163506))+0-70.2--0.0716040000000112</f>
        <v>1975.4829499999998</v>
      </c>
      <c r="AC26" s="3">
        <f>1970.3+(109.3-109.4)+(-4.019412+(-0.222972--0.223176))+0-73.6--0.150143999999997</f>
        <v>1892.7309360000002</v>
      </c>
      <c r="AD26">
        <v>2052.7999999999997</v>
      </c>
      <c r="AE26" s="3">
        <f>2377+(122-424.3)+(0+(0-0))+0-21.9-0</f>
        <v>2052.7999999999997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1908.4+(107.5-166.1)+(0+(0-0))+0-56.2-0</f>
        <v>1793.6000000000001</v>
      </c>
      <c r="G27" s="3">
        <f>1882.9+(118.2-185.4)+(-4.801395+(-0.30141--0.47277))+0-77.3--0.197114999999989</f>
        <v>1733.9670800000001</v>
      </c>
      <c r="H27" s="3">
        <f>1906.7+(117.9-232.2)+(-0.972417+(-0.060129--0.118422))+0-85.2--0.0434519999999914</f>
        <v>1706.329328</v>
      </c>
      <c r="I27" s="3">
        <f>1928.9+(107.8-247.6)+(0.983739+(0.054978-0.126276))+0-97.6-0.0497759999999901</f>
        <v>1692.3626650000001</v>
      </c>
      <c r="J27" s="3">
        <f>1929.1+(105.4-271.3)+(-0.983841+(-0.053754--0.138363))+0-64.9--0.0330989999999934</f>
        <v>1697.4338669999997</v>
      </c>
      <c r="K27" s="3">
        <f>1938.3+(105.3-275.2)+(0.988533+(0.053703-0.140352))+0-67.1-0.0342209999999932</f>
        <v>1702.1676630000004</v>
      </c>
      <c r="L27" s="3">
        <f>1938.8+(114.3-278.2)+(-4.94394+(-0.291465--0.70941))+0-82--0.209099999999988</f>
        <v>1688.5831050000002</v>
      </c>
      <c r="M27" s="3">
        <f>2104.2+(136-370.3)+(2.146284+(0.13872-0.377706))+0-66.4-0.0677280000000106</f>
        <v>1805.3395699999999</v>
      </c>
      <c r="N27" s="3">
        <f>2210.5+(140.9-380.5)+(0+(0-0))+0-41.1-0</f>
        <v>1929.8000000000002</v>
      </c>
      <c r="O27" s="3">
        <f>2327+(125.1-400.1)+(0+(0-0))+0-50-0</f>
        <v>2002</v>
      </c>
      <c r="P27" s="3">
        <f>2425.1+(132.4-419.7)+(2.473602+(0.135048-0.428094))+0-77.9-0.0794580000000124</f>
        <v>2062.0010979999997</v>
      </c>
      <c r="Q27" s="3">
        <f>2402+(136.7-384.3)+(-2.45004+(-0.139434--0.391986))+0-78.1--0.0796620000000124</f>
        <v>2074.1821740000005</v>
      </c>
      <c r="R27" s="3">
        <f>2395.5+(130.5-377.6)+(-1.221705+(-0.066555--0.192576))+0-87.2--0.0444719999999912</f>
        <v>2060.1487880000004</v>
      </c>
      <c r="S27" s="3">
        <f>2417.6+(133.2-446.1)+(0+(0-0))+0-81-0</f>
        <v>2023.6999999999998</v>
      </c>
      <c r="T27" s="3">
        <f>2403.4+(133.4-515.1)+(-1.225734+(-0.068034--0.262701))+0-24.3--0.0123929999999975</f>
        <v>1996.3813260000002</v>
      </c>
      <c r="U27" s="3">
        <f>2387.5+(141-523.6)+(-3.652875+(-0.21573--0.801108))+0-21.6--0.0330480000000013</f>
        <v>1980.2655510000002</v>
      </c>
      <c r="V27" s="3">
        <f>2345+(67.5-347.5)+(-1.19595+(-0.034425--0.177225))+0-89.5--0.0456449999999909</f>
        <v>1974.4924949999997</v>
      </c>
      <c r="W27" s="3">
        <f>2372+(0-350.4)+(-4.83888+(0--0.714816))+0-71.6--0.146063999999997</f>
        <v>1946.0219999999999</v>
      </c>
      <c r="X27" s="3">
        <f>2303.2+(94.1-342.3)+(-5.87316+(-0.239955--0.872865))+0-69--0.17594999999999</f>
        <v>1980.9357000000002</v>
      </c>
      <c r="Y27" s="3">
        <f>2302.9+(111.9-210.7)+(-1.174479+(-0.057069--0.107457))+0-81.7--0.0416669999999917</f>
        <v>2121.3175759999999</v>
      </c>
      <c r="Z27" s="3">
        <f>2375.9+(112.6-188.6)+(-4.846836+(-0.229704--0.384744))+0-84--0.171359999999996</f>
        <v>2211.3795639999998</v>
      </c>
      <c r="AA27" s="3">
        <f>2296.5+(126.9-171.4)+(-3.513645+(-0.194157--0.262242))+0-85.9--0.131427000000005</f>
        <v>2162.7858669999996</v>
      </c>
      <c r="AB27" s="3">
        <f>2070.6+(141.5-76.3)+(-5.28003+(-0.360825--0.194565))+0-82.7--0.210884999999988</f>
        <v>2047.8645949999998</v>
      </c>
      <c r="AC27" s="3">
        <f>1823.5+(260.7-40.2)+(-3.71994+(-0.531828--0.082008))+0-77.1--0.157283999999997</f>
        <v>1962.887524</v>
      </c>
      <c r="AD27">
        <v>2256.8000000000002</v>
      </c>
      <c r="AE27" s="3">
        <f>2398+(99.7-142.7)+(0+(0-0))+0-98.2-0</f>
        <v>2256.8000000000002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1817.2+(168.7-42)+(-2.780316+(-0.258111--0.06426))+0-64--0.0979200000000037</f>
        <v>1877.0237529999999</v>
      </c>
      <c r="G28" s="3">
        <f>1767.1+(168.7-42.5)+(-1.802442+(-0.172074--0.04335))+0-90.8--0.0926160000000145</f>
        <v>1800.6614499999998</v>
      </c>
      <c r="H28" s="3">
        <f>1758.1+(153.1-55.5)+(-3.586524+(-0.312324--0.11322))+0-79.9--0.162995999999997</f>
        <v>1772.1773679999997</v>
      </c>
      <c r="I28" s="3">
        <f>1703.7+(152.9-42.2)+(-1.737774+(-0.155958--0.043044))+0-66.7--0.0680340000000106</f>
        <v>1745.917346</v>
      </c>
      <c r="J28" s="3">
        <f>1674.2+(185.5-34.5)+(-3.415368+(-0.37842--0.07038))+0-82.6--0.168503999999996</f>
        <v>1739.0450960000001</v>
      </c>
      <c r="K28" s="3">
        <f>1746+(130.7-71.3)+(0+(0-0))+0-81.2-0</f>
        <v>1724.2</v>
      </c>
      <c r="L28" s="3">
        <f>1742.6+(149.7-83.9)+(-6.221082+(-0.534429--0.299523))+0-89.6--0.319872000000001</f>
        <v>1712.6638840000001</v>
      </c>
      <c r="M28" s="3">
        <f>1818.8+(160.3-63)+(0+(0-0))+0-80.2-0</f>
        <v>1835.8999999999999</v>
      </c>
      <c r="N28" s="3">
        <f>1935+(128.4-93.2)+(1.9737+(0.130968-0.095064))+0-31.1-0.031722000000005</f>
        <v>1941.0778820000003</v>
      </c>
      <c r="O28" s="3">
        <f>1987.8+(132.1-80.6)+(-2.027556+(-0.134742--0.082212))+0-21.6--0.0220320000000034</f>
        <v>2015.6419460000002</v>
      </c>
      <c r="P28" s="3">
        <f>2001.3+(173.4-69)+(1.020663+(0.088434-0.03519))+0-43.3-0.0220829999999956</f>
        <v>2063.4518239999998</v>
      </c>
      <c r="Q28" s="3">
        <f>1994.3+(237.5-67.7)+(0+(0-0))+0-72-0</f>
        <v>2092.1</v>
      </c>
      <c r="R28" s="3">
        <f>1968.5+(252.2-61.6)+(-5.019675+(-0.64311--0.15708))+0-87.4--0.222869999999987</f>
        <v>2066.4171649999998</v>
      </c>
      <c r="S28" s="3">
        <f>1964.1+(164-61.1)+(-4.006764+(-0.33456--0.124644))+0-44.2--0.0901679999999981</f>
        <v>2018.6734879999999</v>
      </c>
      <c r="T28" s="3">
        <f>1989.6+(142.6-63.3)+(2.029392+(0.145452-0.064566))+0-78.3-0.0798660000000125</f>
        <v>1992.6304120000002</v>
      </c>
      <c r="U28" s="3">
        <f>1955.1+(175-62.8)+(-3.988404+(-0.357--0.128112))+0-95.3--0.194411999999996</f>
        <v>1967.97712</v>
      </c>
      <c r="V28" s="3">
        <f>1959.2+(143.8-62)+(-3.996768+(-0.293352--0.12648))+0-79.2--0.161567999999997</f>
        <v>1957.797928</v>
      </c>
      <c r="W28" s="3">
        <f>1950.3+(126.1-82.6)+(-5.967918+(-0.385866--0.252756))+0-54.4--0.166464000000006</f>
        <v>1933.4654359999997</v>
      </c>
      <c r="X28" s="3">
        <f>1919.5+(157.9-72.1)+(-3.91578+(-0.322116--0.147084))+0-78.2--0.159527999999997</f>
        <v>1923.1687159999999</v>
      </c>
      <c r="Y28" s="3">
        <f>2069.2+(190.5-81.6)+(1.055292+(0.097155-0.041616))+0-78-0.0397799999999921</f>
        <v>2101.1710509999998</v>
      </c>
      <c r="Z28" s="3">
        <f>2197.7+(165.7-78.3)+(-5.604135+(-0.422535--0.199665))+0-82.3--0.209864999999988</f>
        <v>2197.1828599999994</v>
      </c>
      <c r="AA28" s="3">
        <f>2200.6+(132.2-90.6)+(-5.61153+(-0.33711--0.23103))+0-85.3--0.217514999999988</f>
        <v>2151.3999049999993</v>
      </c>
      <c r="AB28" s="3">
        <f>2196.9+(130.3-205.6)+(-7.842933+(-0.465171--0.733992))+0-57.6--0.205632000000001</f>
        <v>2056.6315200000004</v>
      </c>
      <c r="AC28" s="3">
        <f>2201.4+(133.4-258.1)+(-5.61357+(-0.34017--0.658155))+0-86.7--0.221084999999987</f>
        <v>1984.9255000000003</v>
      </c>
      <c r="AD28">
        <v>2201.5000000000005</v>
      </c>
      <c r="AE28" s="3">
        <f>2195+(186.8-78.1)+(0+(0-0))+0-102.2-0</f>
        <v>2201.5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2201.2+(124.3-344.9)+(-3.367836+(-0.190179--0.527697))+0-89.8--0.137394000000005</f>
        <v>1887.907076</v>
      </c>
      <c r="G29" s="3">
        <f>1978.5+(107.8-193.2)+(-7.063245+(-0.384846--0.689724))+0-82--0.292740000000001</f>
        <v>1804.6343730000001</v>
      </c>
      <c r="H29" s="3">
        <f>1986.5+(89.6-202.9)+(-3.039345+(-0.137088--0.310437))+0-83.4--0.127602000000005</f>
        <v>1787.061606</v>
      </c>
      <c r="I29" s="3">
        <f>2008.3+(99.5-256.3)+(0+(0-0))+0-82.5-0</f>
        <v>1769</v>
      </c>
      <c r="J29" s="3">
        <f>1977.1+(103.2-243)+(-4.033284+(-0.210528--0.49572))+0-70.6--0.144023999999997</f>
        <v>1763.0959319999999</v>
      </c>
      <c r="K29" s="3">
        <f>1997.3+(105.9-286.4)+(-2.037246+(-0.108018--0.292128))+0-57.4--0.0585480000000091</f>
        <v>1757.6054119999999</v>
      </c>
      <c r="L29" s="3">
        <f>1941.7+(117.4-227.1)+(-3.961068+(-0.239496--0.463284))+0-86.4--0.176255999999996</f>
        <v>1742.0389759999998</v>
      </c>
      <c r="M29" s="3">
        <f>2012.5+(136.7-195.4)+(1.026375+(0.069717-0.099654))+0-95-0.0484499999999904</f>
        <v>1859.7479879999999</v>
      </c>
      <c r="N29" s="3">
        <f>2123.4+(127-201.5)+(1.082934+(0.06477-0.102765))+0-75.7-0.0386069999999923</f>
        <v>1974.206332</v>
      </c>
      <c r="O29" s="3">
        <f>2244.7+(133.5-238.4)+(-3.434391+(-0.204255--0.364752))+0-76.8--0.117504000000004</f>
        <v>2059.8436099999994</v>
      </c>
      <c r="P29" s="3">
        <f>2233.1+(124.3-197)+(-4.555524+(-0.253572--0.40188))+0-66.5--0.135659999999997</f>
        <v>2089.6284439999999</v>
      </c>
      <c r="Q29" s="3">
        <f>2247.6+(135.7-182.2)+(-1.146276+(-0.069207--0.092922))+0-85.5--0.0436049999999913</f>
        <v>2114.5210439999996</v>
      </c>
      <c r="R29" s="3">
        <f>2229.6+(125-200)+(1.137096+(0.06375-0.102))+0-65.4-0.0333539999999934</f>
        <v>2090.2654919999995</v>
      </c>
      <c r="S29" s="3">
        <f>2217.8+(118.5-253.7)+(-1.131078+(-0.060435--0.129387))+0-16.4--0.00836399999999834</f>
        <v>2065.1462380000003</v>
      </c>
      <c r="T29" s="3">
        <f>2219.3+(124.7-271.5)+(-2.263686+(-0.127194--0.27693))+0-33.5--0.0341700000000053</f>
        <v>2036.92022</v>
      </c>
      <c r="U29" s="3">
        <f>2202+(108.1-208.1)+(-3.36906+(-0.165393--0.318393))+0-86--0.131580000000005</f>
        <v>2012.9155199999998</v>
      </c>
      <c r="V29" s="3">
        <f>2120.8+(98.5-155.6)+(-4.326432+(-0.20094--0.317424))+0-71--0.144839999999997</f>
        <v>1988.634892</v>
      </c>
      <c r="W29" s="3">
        <f>2007.6+(127.7-91.4)+(-2.047752+(-0.130254--0.093228))+0-71.5--0.0729300000000114</f>
        <v>1970.388152</v>
      </c>
      <c r="X29" s="3">
        <f>1990.2+(124.3-85.2)+(-5.07501+(-0.316965--0.21726))+0-72--0.18359999999999</f>
        <v>1952.3088849999999</v>
      </c>
      <c r="Y29" s="3">
        <f>2120.5+(144-84.3)+(-2.16291+(-0.14688--0.085986))+0-77.2--0.0787440000000123</f>
        <v>2100.8549399999997</v>
      </c>
      <c r="Z29" s="3">
        <f>2264.5+(129.8-88.3)+(-2.30979+(-0.132396--0.090066))+0-90.6--0.0924120000000144</f>
        <v>2213.140292</v>
      </c>
      <c r="AA29" s="3">
        <f>2264.8+(136.7-157.4)+(-3.465144+(-0.209151--0.240822))+0-65.7--0.100521000000004</f>
        <v>2175.0670480000003</v>
      </c>
      <c r="AB29" s="3">
        <f>2213.8+(134.8-209.9)+(-5.64519+(-0.34374--0.535245))+0-63.3--0.161414999999991</f>
        <v>2070.1077300000002</v>
      </c>
      <c r="AC29" s="3">
        <f>2235.3+(128.6-262.5)+(-2.280006+(-0.131172--0.26775))+0-90.9--0.0927180000000145</f>
        <v>2008.4492900000002</v>
      </c>
      <c r="AD29">
        <v>2219.3000000000002</v>
      </c>
      <c r="AE29" s="3">
        <f>2279+(128.2-94.7)+(0+(0-0))+0-93.2-0</f>
        <v>2219.3000000000002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2214.5+(125.4-335.1)+(-5.646975+(-0.31977--0.854505))+0-68.7--0.17518499999999</f>
        <v>1931.162945</v>
      </c>
      <c r="G30" s="3">
        <f>2230.7+(112.7-409.8)+(-2.275314+(-0.114954--0.417996))+0-80.1--0.0817020000000128</f>
        <v>1851.60943</v>
      </c>
      <c r="H30" s="3">
        <f>2236.4+(131.2-472.1)+(-2.281128+(-0.133824--0.481542))+0-77.6--0.0791520000000124</f>
        <v>1816.045742</v>
      </c>
      <c r="I30" s="3">
        <f>2224.4+(129.3-475.5)+(-4.537776+(-0.263772--0.97002))+0-76.8--0.156671999999997</f>
        <v>1797.7251440000002</v>
      </c>
      <c r="J30" s="3">
        <f>1976.8+(116.7-232.4)+(-5.04084+(-0.297585--0.59262))+0-71.6--0.18257999999999</f>
        <v>1784.9367749999999</v>
      </c>
      <c r="K30" s="3">
        <f>1948.1+(114.2-207)+(-0.993531+(-0.058242--0.10557))+0-84.6--0.0431459999999914</f>
        <v>1769.7969430000001</v>
      </c>
      <c r="L30" s="3">
        <f>1953.1+(121.7-238)+(0+(0-0))+0-76.3-0</f>
        <v>1760.5</v>
      </c>
      <c r="M30" s="3">
        <f>2020.6+(121.7-249.4)+(0+(0-0))+0-26.3-0</f>
        <v>1866.6</v>
      </c>
      <c r="N30" s="3">
        <f>2223.9+(122.7-340.1)+(-3.402567+(-0.187731--0.520353))+0-19--0.0290700000000011</f>
        <v>1984.4591250000001</v>
      </c>
      <c r="O30" s="3">
        <f>2292+(129.4-368.2)+(-2.33784+(-0.131988--0.375564))+0-18.3--0.0186660000000029</f>
        <v>2032.824402</v>
      </c>
      <c r="P30" s="3">
        <f>2359.1+(127.5-375.6)+(-1.203141+(-0.065025--0.191556))+0-18--0.00917999999999817</f>
        <v>2091.9325699999999</v>
      </c>
      <c r="Q30" s="3">
        <f>2351.2+(124.4-347.6)+(-3.597336+(-0.190332--0.531828))+0-17.5--0.026775000000001</f>
        <v>2107.270935</v>
      </c>
      <c r="R30" s="3">
        <f>2362.1+(128.1-356.8)+(1.204671+(0.065331-0.181968))+0-18-0.00917999999999817</f>
        <v>2116.478854</v>
      </c>
      <c r="S30" s="3">
        <f>2322.7+(129.4-362.1)+(-5.922885+(-0.32997--0.923355))+0-18.2--0.0464099999999974</f>
        <v>2066.5169100000003</v>
      </c>
      <c r="T30" s="3">
        <f>2320.6+(127.7-394.6)+(-1.183506+(-0.065127--0.201246))+0-18--0.00917999999999817</f>
        <v>2034.6617929999998</v>
      </c>
      <c r="U30" s="3">
        <f>2330.1+(115.1-404.8)+(0+(0-0))+0-19.9-0</f>
        <v>2020.4999999999998</v>
      </c>
      <c r="V30" s="3">
        <f>2298.1+(100.2-380.3)+(-4.688124+(-0.204408--0.775812))+0-19.7--0.0401879999999991</f>
        <v>1994.2234679999999</v>
      </c>
      <c r="W30" s="3">
        <f>2186.7+(115.7-239.8)+(0+(0-0))+0-75.9-0</f>
        <v>1986.6999999999998</v>
      </c>
      <c r="X30" s="3">
        <f>2162.6+(114.6-246.2)+(-5.51463+(-0.29223--0.62781))+0-42.9--0.109394999999994</f>
        <v>1983.0303449999999</v>
      </c>
      <c r="Y30" s="3">
        <f>2283.6+(92.7-214.9)+(-1.164636+(-0.047277--0.109599))+0-20--0.010199999999998</f>
        <v>2140.3078860000001</v>
      </c>
      <c r="Z30" s="3">
        <f>2390.3+(124.8-250.5)+(-2.438106+(-0.127296--0.25551))+0-35.3--0.0360060000000056</f>
        <v>2227.0261139999998</v>
      </c>
      <c r="AA30" s="3">
        <f>2380.3+(137.8-240.7)+(-2.427906+(-0.140556--0.245514))+0-88.3--0.0900660000000141</f>
        <v>2186.8671180000001</v>
      </c>
      <c r="AB30" s="3">
        <f>2311.4+(141.9-276.4)+(-5.89407+(-0.361845--0.70482))+0-76.9--0.196094999999989</f>
        <v>2094.645</v>
      </c>
      <c r="AC30" s="3">
        <f>2200.3+(133.2-263.2)+(0+(0-0))+0-55.1-0</f>
        <v>2015.2000000000003</v>
      </c>
      <c r="AD30">
        <v>2226.4</v>
      </c>
      <c r="AE30" s="3">
        <f>2377+(141.1-227.7)+(0+(0-0))+0-64-0</f>
        <v>2226.4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2201.6+(129.6-351.7)+(-1.122816+(-0.066096--0.179367))+0-70.8--0.0361079999999928</f>
        <v>1907.7265630000002</v>
      </c>
      <c r="G31" s="3">
        <f>2188.8+(114.8-367.3)+(-5.58144+(-0.29274--0.936615))+0-75.6--0.192779999999989</f>
        <v>1855.9552150000004</v>
      </c>
      <c r="H31" s="3">
        <f>1971.5+(133.3-219.1)+(-1.005465+(-0.067983--0.111741))+0-62.4--0.0318239999999937</f>
        <v>1822.3701169999999</v>
      </c>
      <c r="I31" s="3">
        <f>1893.7+(129.2-178.7)+(-0.965787+(-0.065892--0.091137))+0-71.5--0.0364649999999927</f>
        <v>1771.7959229999999</v>
      </c>
      <c r="J31" s="3">
        <f>1818.1+(119.2-83.3)+(-1.854462+(-0.121584--0.084966))+0-77.1--0.0786420000000123</f>
        <v>1775.0875619999999</v>
      </c>
      <c r="K31" s="3">
        <f>1779.7+(122-86.8)+(0+(0-0))+0-60.4-0</f>
        <v>1754.5</v>
      </c>
      <c r="L31" s="3">
        <f>1742.3+(162.3-73)+(-4.442865+(-0.413865--0.18615))+0-85.7--0.218534999999988</f>
        <v>1741.4479549999999</v>
      </c>
      <c r="M31" s="3">
        <f>1859.1+(154.2-74.5)+(-1.896282+(-0.157284--0.07599))+0-88.6--0.0903720000000141</f>
        <v>1848.3127960000002</v>
      </c>
      <c r="N31" s="3">
        <f>1949.8+(154.7-68.6)+(1.988796+(0.157794-0.069972))+0-77.8-0.0793560000000124</f>
        <v>1960.097262</v>
      </c>
      <c r="O31" s="3">
        <f>2086+(117.6-125.2)+(-2.12772+(-0.119952--0.127704))+0-40.5--0.0413100000000065</f>
        <v>2035.8213420000002</v>
      </c>
      <c r="P31" s="3">
        <f>2104.4+(114.3-128.6)+(-1.073244+(-0.058293--0.065586))+0-20.6--0.0105059999999979</f>
        <v>2068.444555</v>
      </c>
      <c r="Q31" s="3">
        <f>2085.5+(147.4-92.7)+(-1.063605+(-0.075174--0.047277))+0-33.8--0.0172379999999966</f>
        <v>2105.3257359999993</v>
      </c>
      <c r="R31" s="3">
        <f>2088+(158-81.9)+(-3.19464+(-0.24174--0.125307))+0-80.8--0.123624000000005</f>
        <v>2080.1125509999997</v>
      </c>
      <c r="S31" s="3">
        <f>2021.5+(160.6-82.5)+(0+(0-0))+0-47.6-0</f>
        <v>2052</v>
      </c>
      <c r="T31" s="3">
        <f>2054.7+(141.7-103.9)+(0+(0-0))+0-67.7-0</f>
        <v>2024.8</v>
      </c>
      <c r="U31" s="3">
        <f>2094.2+(116.7-129.1)+(-2.136084+(-0.119034--0.131682))+0-86.7--0.0884340000000138</f>
        <v>1993.0649979999998</v>
      </c>
      <c r="V31" s="3">
        <f>2101.2+(129.9-169.9)+(0+(0-0))+0-61.3-0</f>
        <v>1999.8999999999999</v>
      </c>
      <c r="W31" s="3">
        <f>2074.5+(114.9-123.9)+(-6.34797+(-0.351594--0.379134))+0-77.5--0.237150000000009</f>
        <v>1981.9167199999997</v>
      </c>
      <c r="X31" s="3">
        <f>2077+(134.2-111.5)+(-8.47416+(-0.547536--0.45492))+0-75.6--0.308447999999993</f>
        <v>2015.8416719999998</v>
      </c>
      <c r="Y31" s="3">
        <f>2104+(192.3-111.2)+(-4.29216+(-0.392292--0.226848))+0-72.8--0.148511999999997</f>
        <v>2107.9909079999998</v>
      </c>
      <c r="Z31" s="3">
        <f>2291+(127.8-106.2)+(-8.17887+(-0.456246--0.379134))+0-62.6--0.223482000000001</f>
        <v>2241.9674999999997</v>
      </c>
      <c r="AA31" s="3">
        <f>2101+(195.2-72.1)+(-2.14302+(-0.199104--0.073542))+0-79.9--0.0814980000000127</f>
        <v>2142.0129159999997</v>
      </c>
      <c r="AB31" s="3">
        <f>2222+(140.8-138.8)+(-5.6661+(-0.35904--0.35394))+0-77.5--0.197624999999989</f>
        <v>2141.0264249999996</v>
      </c>
      <c r="AC31" s="3">
        <f>2099+(133.1-161)+(0+(0-0))+0-58.1-0</f>
        <v>2013</v>
      </c>
      <c r="AD31">
        <v>2193.4</v>
      </c>
      <c r="AE31" s="3">
        <f>2275+(139.5-128.6)+(0+(0-0))+0-92.5-0</f>
        <v>2193.4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2061.2+(128.2-178)+(0+(0-0))+0-87.4-0</f>
        <v>1923.9999999999998</v>
      </c>
      <c r="G32" s="3">
        <f>2076+(127.7-312.1)+(2.11752+(0.130254-0.318342))+0-35.8-0.0365160000000057</f>
        <v>1857.692916</v>
      </c>
      <c r="H32" s="3">
        <f>2052.9+(131.2-286.3)+(-2.093958+(-0.133824--0.292026))+0-88--0.089760000000014</f>
        <v>1807.9540040000002</v>
      </c>
      <c r="I32" s="3">
        <f>1861.1+(133.5-159.3)+(-3.796644+(-0.27234--0.324972))+0-52.3--0.106691999999998</f>
        <v>1779.36268</v>
      </c>
      <c r="J32" s="3">
        <f>1808.3+(117.8-91.8)+(2.766699+(0.180234-0.140454))+0-67.3-0.102969000000004</f>
        <v>1769.7035100000001</v>
      </c>
      <c r="K32" s="3">
        <f>1791.9+(117.7-76.5)+(0.913869+(0.060027-0.039015))+0-92.7-0.0472769999999906</f>
        <v>1741.2876040000001</v>
      </c>
      <c r="L32" s="3">
        <f>1768.8+(116.7-82.3)+(-1.804176+(-0.119034--0.083946))+0-78.5--0.0800700000000125</f>
        <v>1722.9408060000001</v>
      </c>
      <c r="M32" s="3">
        <f>1847.9+(123.2-121.1)+(1.884858+(0.125664-0.123522))+0-30.4-0.0310080000000048</f>
        <v>1821.4559919999999</v>
      </c>
      <c r="N32" s="3">
        <f>2143.7+(83.3-182.8)+(1.093287+(0.042483-0.093228))+0-90.9-0.0463589999999908</f>
        <v>1954.2961829999997</v>
      </c>
      <c r="O32" s="3">
        <f>2183.6+(86.6-173.1)+(2.227272+(0.088332-0.176562))+0-54.3-0.0553860000000087</f>
        <v>2044.8836559999997</v>
      </c>
      <c r="P32" s="3">
        <f>2102.8+(126.5-78.3)+(0+(0-0))+0-57.6-0</f>
        <v>2093.4</v>
      </c>
      <c r="Q32" s="3">
        <f>2108.1+(158.1-70.5)+(4.300524+(0.322524-0.14382))+0-84.6-0.172583999999996</f>
        <v>2115.4066440000001</v>
      </c>
      <c r="R32" s="3">
        <f>2089.3+(147.2-72.8)+(0+(0-0))+0-63.7-0</f>
        <v>2100.0000000000005</v>
      </c>
      <c r="S32" s="3">
        <f>2056.8+(147.8-86.2)+(-2.097936+(-0.150756--0.087924))+0-69.6--0.0709920000000111</f>
        <v>2046.7102239999999</v>
      </c>
      <c r="T32" s="3">
        <f>2077+(119.4-94)+(3.17781+(0.182682-0.14382))+0-83.6-0.127908000000005</f>
        <v>2021.8887640000003</v>
      </c>
      <c r="U32" s="3">
        <f>2059.8+(107.3-97)+(-5.25249+(-0.273615--0.24735))+0-67.7--0.17263499999999</f>
        <v>1997.2938800000004</v>
      </c>
      <c r="V32" s="3">
        <f>2073.4+(104.2-104.9)+(0+(0-0))+0-76.1-0</f>
        <v>1996.6000000000004</v>
      </c>
      <c r="W32" s="3">
        <f>2033.7+(123.8-93.9)+(-7.260309+(-0.441966--0.335223))+0-66.1--0.235977000000001</f>
        <v>1990.368925</v>
      </c>
      <c r="X32" s="3">
        <f>1915.7+(214.9-71.5)+(-3.908028+(-0.438396--0.14586))+0-75.8--0.154631999999997</f>
        <v>1979.2540679999997</v>
      </c>
      <c r="Y32" s="3">
        <f>1992.1+(278.9-82.2)+(-2.031942+(-0.284478--0.083844))+0-74.9--0.0763980000000119</f>
        <v>2111.7438219999999</v>
      </c>
      <c r="Z32" s="3">
        <f>2207.8+(153.8-77.9)+(-5.62989+(-0.39219--0.198645))+0-82.5--0.210374999999988</f>
        <v>2195.5869400000006</v>
      </c>
      <c r="AA32" s="3">
        <f>2014.8+(279.3-70.2)+(-7.192836+(-0.997101--0.250614))+0-62.2--0.222054000000001</f>
        <v>2153.9827310000001</v>
      </c>
      <c r="AB32" s="3">
        <f>1936.6+(281.6-55.2)+(-3.950664+(-0.574464--0.112608))+0-79.8--0.162791999999997</f>
        <v>2078.950272</v>
      </c>
      <c r="AC32" s="3">
        <f>1995.7+(165.4-70)+(-2.035614+(-0.168708--0.0714))+0-62.8--0.06405600000001</f>
        <v>2026.2311340000001</v>
      </c>
      <c r="AD32">
        <v>2231</v>
      </c>
      <c r="AE32" s="3">
        <f>2236+(118.5-105.9)+(0+(0-0))+0-17.6-0</f>
        <v>2231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2014.1+(143.9-119.1)+(-5.135955+(-0.366945--0.303705))+0-83.7--0.213434999999988</f>
        <v>1950.2142399999998</v>
      </c>
      <c r="G33" s="3">
        <f>2019.6+(144.5-227.6)+(-5.14998+(-0.368475--0.58038))+0-55.7--0.142034999999992</f>
        <v>1876.00396</v>
      </c>
      <c r="H33" s="3">
        <f>1961.5+(144.1-202.4)+(-3.001095+(-0.220473--0.309672))+0-67--0.102510000000004</f>
        <v>1833.3906139999999</v>
      </c>
      <c r="I33" s="3">
        <f>1841.5+(144.1-95.8)+(-0.939165+(-0.073491--0.048858))+0-85.1--0.0434009999999914</f>
        <v>1803.779603</v>
      </c>
      <c r="J33" s="3">
        <f>1707.8+(167.9-59.2)+(-1.741956+(-0.171258--0.060384))+0-29.8--0.0303960000000048</f>
        <v>1784.8775660000001</v>
      </c>
      <c r="K33" s="3">
        <f>1697.8+(177.8-68.4)+(-1.731756+(-0.181356--0.069768))+0-66.7--0.0680340000000106</f>
        <v>1738.72469</v>
      </c>
      <c r="L33" s="3">
        <f>1607.4+(212.8-68.3)+(-4.09887+(-0.54264--0.174165))+0-80.9--0.206294999999988</f>
        <v>1666.7389499999999</v>
      </c>
      <c r="M33" s="3">
        <f>1588.6+(213.2-63.9)+(0+(0-0))+0-52.4-0</f>
        <v>1685.4999999999998</v>
      </c>
      <c r="N33" s="3">
        <f>1674.5+(221.4-64.7)+(-2.561985+(-0.338742--0.098991))+0-86.9--0.132957000000005</f>
        <v>1741.6312210000001</v>
      </c>
      <c r="O33" s="3">
        <f>1692.6+(233.8-66.6)+(-0.863226+(-0.119238--0.033966))+0-58.3--0.0297329999999941</f>
        <v>1800.5812350000001</v>
      </c>
      <c r="P33" s="3">
        <f>1866.7+(168.4-88.9)+(-1.904034+(-0.171768--0.090678))+0-73.8--0.0752760000000118</f>
        <v>1870.4901520000001</v>
      </c>
      <c r="Q33" s="3">
        <f>1916.9+(148-109.9)+(0+(0-0))+0-58.6-0</f>
        <v>1896.4</v>
      </c>
      <c r="R33" s="3">
        <f>1834.5+(188.7-59.6)+(-0.935595+(-0.096237--0.030396))+0-73.8--0.0376379999999925</f>
        <v>1888.836202</v>
      </c>
      <c r="S33" s="3">
        <f>1766.6+(222.4-58.8)+(-3.603864+(-0.453696--0.119952))+0-87.4--0.178295999999996</f>
        <v>1839.0406879999998</v>
      </c>
      <c r="T33" s="3">
        <f>1782.5+(188.6-59.6)+(-0.909075+(-0.096186--0.030396))+0-78.1--0.0398309999999921</f>
        <v>1832.4649660000002</v>
      </c>
      <c r="U33" s="3">
        <f>1776+(167.1-79.5)+(-2.71728+(-0.255663--0.121635))+0-54.1--0.0827730000000031</f>
        <v>1806.7314650000001</v>
      </c>
      <c r="V33" s="3">
        <f>1772.4+(179.3-63.4)+(-4.51962+(-0.457215--0.16167))+0-79.5--0.202724999999988</f>
        <v>1804.1875600000003</v>
      </c>
      <c r="W33" s="3">
        <f>1662.1+(264.2-60.5)+(-2.543013+(-0.404226--0.092565))+0-69.5--0.106335000000004</f>
        <v>1793.551661</v>
      </c>
      <c r="X33" s="3">
        <f>1649.2+(263.8-57.4)+(-3.364368+(-0.538152--0.117096))+0-44.5--0.0907799999999981</f>
        <v>1807.4053560000002</v>
      </c>
      <c r="Y33" s="3">
        <f>1798.2+(333.8-74.9)+(0+(0-0))+0-81-0</f>
        <v>1976.1</v>
      </c>
      <c r="Z33" s="3">
        <f>1969.2+(288.7-74.8)+(-4.017168+(-0.588948--0.152592))+0-74.1--0.151163999999997</f>
        <v>2104.6976399999999</v>
      </c>
      <c r="AA33" s="3">
        <f>1994.3+(262.6-67.9)+(0+(0-0))+0-86.9-0</f>
        <v>2102.1</v>
      </c>
      <c r="AB33" s="3">
        <f>1907.7+(229-52.4)+(-0.972927+(-0.11679--0.026724))+0-45.9--0.0234089999999953</f>
        <v>2037.360416</v>
      </c>
      <c r="AC33" s="3">
        <f>1699.5+(319.2-41)+(-4.333725+(-0.81396--0.10455))+0-21.7--0.0553349999999969</f>
        <v>1951.0122000000001</v>
      </c>
      <c r="AD33">
        <v>2108.3000000000002</v>
      </c>
      <c r="AE33" s="3">
        <f>1962+(312.3-75.7)+(0+(0-0))+0-90.3-0</f>
        <v>2108.2999999999997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1717.5+(178.9-45.6)+(-0.875925+(-0.091239--0.023256))+0-20.9--0.0106589999999979</f>
        <v>1828.9667509999999</v>
      </c>
      <c r="G34" s="3">
        <f>1716.8+(145.9-74.1)+(-2.626704+(-0.223227--0.113373))+0-20.5--0.0313650000000012</f>
        <v>1765.3948069999999</v>
      </c>
      <c r="H34" s="3">
        <f>1730.3+(143.2-116.1)+(-0.882453+(-0.073032--0.059211))+0-20.6--0.0105059999999979</f>
        <v>1735.9142320000001</v>
      </c>
      <c r="I34" s="3">
        <f>1678.7+(143.6-77)+(-1.712274+(-0.146472--0.07854))+0-20.4--0.0208080000000033</f>
        <v>1723.1406019999999</v>
      </c>
      <c r="J34" s="3">
        <f>1598.8+(188-35.5)+(-2.446164+(-0.28764--0.054315))+0-19.5--0.0298350000000011</f>
        <v>1729.1503459999999</v>
      </c>
      <c r="K34" s="3">
        <f>1580.7+(214.8-59.9)+(-0.806157+(-0.109548--0.030549))+0-19.9--0.010148999999998</f>
        <v>1714.8249929999999</v>
      </c>
      <c r="L34" s="3">
        <f>1564.3+(311.3-72.4)+(-2.393379+(-0.476289--0.110772))+0-85.9--0.131427000000005</f>
        <v>1714.6725309999999</v>
      </c>
      <c r="M34" s="3">
        <f>1706.1+(261.4-63.1)+(2.610333+(0.399942-0.096543))+0-78.3-0.119799000000005</f>
        <v>1828.8939329999998</v>
      </c>
      <c r="N34" s="3">
        <f>1977.7+(158.5-94.9)+(1.008627+(0.080835-0.048399))+0-73.8-0.0376379999999925</f>
        <v>1968.5034249999999</v>
      </c>
      <c r="O34" s="3">
        <f>1967.1+(209-66.7)+(0+(0-0))+0-62.2-0</f>
        <v>2047.2</v>
      </c>
      <c r="P34" s="3">
        <f>2043.5+(192.4-65.2)+(-1.042185+(-0.098124--0.033252))+0-43.3--0.0220829999999956</f>
        <v>2126.3150259999993</v>
      </c>
      <c r="Q34" s="3">
        <f>2272.7+(139.2-180.4)+(1.159077+(0.070992-0.092004))+0-74.1-0.0377909999999925</f>
        <v>2158.500274</v>
      </c>
      <c r="R34" s="3">
        <f>2258.7+(140.1-180.2)+(-1.151937+(-0.071451--0.091902))+0-63.5--0.0323849999999936</f>
        <v>2154.0008989999997</v>
      </c>
      <c r="S34" s="3">
        <f>2255.2+(141.7-206.9)+(0+(0-0))+0-77.7-0</f>
        <v>2112.3000000000002</v>
      </c>
      <c r="T34" s="3">
        <f>2245.7+(141.9-229.5)+(0+(0-0))+0-63.8-0</f>
        <v>2094.2999999999997</v>
      </c>
      <c r="U34" s="3">
        <f>2227.3+(140.9-211.1)+(-4.543692+(-0.287436--0.430644))+0-92.4--0.188495999999996</f>
        <v>2060.4880120000007</v>
      </c>
      <c r="V34" s="3">
        <f>2225.9+(135.6-251.5)+(-4.540836+(-0.276624--0.51306))+0-62--0.126479999999997</f>
        <v>2043.8220799999999</v>
      </c>
      <c r="W34" s="3">
        <f>2227.7+(119.9-218)+(-4.544508+(-0.244596--0.44472))+0-82.1--0.167483999999996</f>
        <v>2043.3231000000001</v>
      </c>
      <c r="X34" s="3">
        <f>2233.7+(134.1-244.2)+(-3.417561+(-0.205173--0.373626))+0-75.3--0.115209000000004</f>
        <v>2045.166101</v>
      </c>
      <c r="Y34" s="3">
        <f>2393.9+(116.7-228.7)+(0+(0-0))+0-76.4-0</f>
        <v>2205.5</v>
      </c>
      <c r="Z34" s="3">
        <f>2478.2+(108-185.1)+(-6.31941+(-0.2754--0.472005))+0-93.3--0.237914999999986</f>
        <v>2301.9151099999999</v>
      </c>
      <c r="AA34" s="3">
        <f>2481.3+(127.8-262.5)+(-6.327315+(-0.32589--0.669375))+0-74.2--0.189209999999989</f>
        <v>2266.6053800000004</v>
      </c>
      <c r="AB34" s="3">
        <f>2479.6+(117-334.8)+(-2.529192+(-0.11934--0.341496))+0-84.5--0.0861900000000135</f>
        <v>2175.0791539999996</v>
      </c>
      <c r="AC34" s="3">
        <f>2422.9+(130.4-381.2)+(-2.471358+(-0.133008--0.388824))+0-73.5--0.0749700000000117</f>
        <v>2096.4594280000001</v>
      </c>
      <c r="AD34">
        <v>2310.9999999999995</v>
      </c>
      <c r="AE34" s="3">
        <f>2513+(107.7-214.3)+(0+(0-0))+0-95.4-0</f>
        <v>2311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2255+(141.7-352.2)+(-2.3001+(-0.144534--0.359244))+0-70.1--0.0715020000000112</f>
        <v>1972.3861120000001</v>
      </c>
      <c r="G35" s="3">
        <f>2048.4+(141.9-214.1)+(-2.089368+(-0.144738--0.218382))+0-90.1--0.0919020000000144</f>
        <v>1884.1761780000002</v>
      </c>
      <c r="H35" s="3">
        <f>1996+(142.8-219.8)+(-2.03592+(-0.145656--0.224196))+0-77.9--0.0794580000000124</f>
        <v>1839.2220779999998</v>
      </c>
      <c r="I35" s="3">
        <f>1858.8+(143.5-109.4)+(-2.843964+(-0.219555--0.167382))+0-75.1--0.114903000000004</f>
        <v>1815.0187659999999</v>
      </c>
      <c r="J35" s="3">
        <f>1825.1+(143.2-84.9)+(-4.654005+(-0.36516--0.216495))+0-74.8--0.190739999999989</f>
        <v>1803.9880699999999</v>
      </c>
      <c r="K35" s="3">
        <f>1828.2+(143.7-100.6)+(-4.66191+(-0.366435--0.25653))+0-82--0.209099999999988</f>
        <v>1784.7372849999999</v>
      </c>
      <c r="L35" s="3">
        <f>1759.4+(164.8-84.1)+(-5.383764+(-0.504288--0.257346))+0-68.2--0.208692000000008</f>
        <v>1766.4779860000001</v>
      </c>
      <c r="M35" s="3">
        <f>1797.6+(173.6-71.4)+(0+(0-0))+0-22.6-0</f>
        <v>1877.2</v>
      </c>
      <c r="N35" s="3">
        <f>1969.2+(163.5-88)+(0+(0-0))+0-30.3-0</f>
        <v>2014.4</v>
      </c>
      <c r="O35" s="3">
        <f>2030.6+(225.1-63.7)+(0+(0-0))+0-89.2-0</f>
        <v>2102.8000000000002</v>
      </c>
      <c r="P35" s="3">
        <f>2079.2+(224.8-64.7)+(0+(0-0))+0-70.1-0</f>
        <v>2169.1999999999998</v>
      </c>
      <c r="Q35" s="3">
        <f>2068.3+(274.8-69.3)+(-3.164499+(-0.420444--0.106029))+0-75.5--0.115515000000004</f>
        <v>2194.9366010000003</v>
      </c>
      <c r="R35" s="3">
        <f>2070.7+(279.5-65.1)+(-5.280285+(-0.712725--0.166005))+0-73.5--0.187424999999989</f>
        <v>2205.9604199999999</v>
      </c>
      <c r="S35" s="3">
        <f>2106.3+(224.1-65.4)+(1.074213+(0.114291-0.033354))+0-91.3-0.0465629999999907</f>
        <v>2174.808587</v>
      </c>
      <c r="T35" s="3">
        <f>2044.3+(219.6-69.1)+(-3.127779+(-0.335988--0.105723))+0-75.3--0.115209000000004</f>
        <v>2116.257165</v>
      </c>
      <c r="U35" s="3">
        <f>2028+(192.1-70)+(-4.13712+(-0.391884--0.1428))+0-36.7--0.0748679999999984</f>
        <v>2109.0886640000003</v>
      </c>
      <c r="V35" s="3">
        <f>2002.4+(242.4-69.9)+(-5.10612+(-0.61812--0.178245))+0-81.3--0.207314999999988</f>
        <v>2088.2613200000001</v>
      </c>
      <c r="W35" s="3">
        <f>1970.4+(270.8-70.7)+(-4.019616+(-0.552432--0.144228))+0-80.2--0.163607999999997</f>
        <v>2086.0357880000001</v>
      </c>
      <c r="X35" s="3">
        <f>1982.2+(260.3-76.2)+(-4.043688+(-0.531012--0.155448))+0-83--0.169319999999996</f>
        <v>2079.050068</v>
      </c>
      <c r="Y35" s="3">
        <f>2043+(309.9-85.6)+(-4.16772+(-0.632196--0.174624))+0-83.3--0.169931999999996</f>
        <v>2179.5446399999996</v>
      </c>
      <c r="Z35" s="3">
        <f>2228.9+(218.8-84.3)+(-3.410217+(-0.334764--0.128979))+0-81.8--0.125154000000005</f>
        <v>2278.1091519999995</v>
      </c>
      <c r="AA35" s="3">
        <f>2100.3+(290.9-73.2)+(-5.355765+(-0.741795--0.18666))+0-85.8--0.218789999999988</f>
        <v>2226.5078899999999</v>
      </c>
      <c r="AB35" s="3">
        <f>2126.9+(165.7-78.8)+(-7.593033+(-0.591549--0.281316))+0-76.5--0.273105000000001</f>
        <v>2129.6698390000006</v>
      </c>
      <c r="AC35" s="3">
        <f>2050.4+(155.7-82.3)+(-2.091408+(-0.158814--0.083946))+0-74.7--0.0761940000000119</f>
        <v>2047.0099180000002</v>
      </c>
      <c r="AD35">
        <v>2282.1</v>
      </c>
      <c r="AE35" s="3">
        <f>2232+(212.9-85.8)+(0+(0-0))+0-77-0</f>
        <v>2282.1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1908.9+(174-62.4)+(-0.973539+(-0.08874--0.031824))+0-77--0.0392699999999922</f>
        <v>1942.5088149999999</v>
      </c>
      <c r="G36" s="3">
        <f>1737.7+(233.9-38.8)+(-2.658681+(-0.357867--0.059364))+0-72.6--0.111078000000004</f>
        <v>1857.3538940000001</v>
      </c>
      <c r="H36" s="3">
        <f>1737.7+(169.7-52.6)+(-3.544908+(-0.346188--0.107304))+0-35.7--0.0728279999999985</f>
        <v>1815.389036</v>
      </c>
      <c r="I36" s="3">
        <f>1756.9+(171.1-50)+(2.688057+(0.261783-0.0765))+0-75-0.114750000000004</f>
        <v>1805.7585900000001</v>
      </c>
      <c r="J36" s="3">
        <f>1758.5+(162.7-62.9)+(-1.79367+(-0.165954--0.064158))+0-59.7--0.0608940000000095</f>
        <v>1796.7654279999999</v>
      </c>
      <c r="K36" s="3">
        <f>1663.1+(231.5-63.1)+(-2.544543+(-0.354195--0.096543))+0-63.4--0.0970020000000037</f>
        <v>1765.3948069999999</v>
      </c>
      <c r="L36" s="3">
        <f>1608.1+(311.9-73.2)+(-2.460393+(-0.477207--0.111996))+0-82.1--0.125613000000005</f>
        <v>1762.0000089999999</v>
      </c>
      <c r="M36" s="3">
        <f>1704+(336.7-65.7)+(-0.86904+(-0.171717--0.033507))+0-90.7--0.0462569999999908</f>
        <v>1883.3390069999998</v>
      </c>
      <c r="N36" s="3">
        <f>1860.9+(255.7-67.8)+(-0.949059+(-0.130407--0.034578))+0-54.2--0.0276419999999945</f>
        <v>1993.5827540000003</v>
      </c>
      <c r="O36" s="3">
        <f>1944.4+(266.1-62.6)+(-1.983288+(-0.271422--0.063852))+0-72.1--0.0735420000000115</f>
        <v>2073.6826840000003</v>
      </c>
      <c r="P36" s="3">
        <f>1991.3+(304.9-53.2)+(-2.031126+(-0.310998--0.054264))+0-87.5--0.089250000000014</f>
        <v>2153.3013900000001</v>
      </c>
      <c r="Q36" s="3">
        <f>1996.9+(304.3-52.7)+(-3.055257+(-0.465579--0.080631))+0-85.6--0.130968000000005</f>
        <v>2159.5907630000002</v>
      </c>
      <c r="R36" s="3">
        <f>2035.9+(249.3-60.9)+(-5.191545+(-0.635715--0.155295))+0-68.9--0.17569499999999</f>
        <v>2149.90373</v>
      </c>
      <c r="S36" s="3">
        <f>2020+(245.4-66.4)+(-2.0604+(-0.250308--0.067728))+0-75.4--0.076908000000012</f>
        <v>2121.4339279999999</v>
      </c>
      <c r="T36" s="3">
        <f>2006.8+(246.1-71)+(-2.046936+(-0.251022--0.07242))+0-82.2--0.0838440000000131</f>
        <v>2097.5583060000004</v>
      </c>
      <c r="U36" s="3">
        <f>2006+(211.2-71.9)+(-4.09224+(-0.430848--0.146676))+0-82.3--0.167891999999996</f>
        <v>2058.7914799999999</v>
      </c>
      <c r="V36" s="3">
        <f>1989.6+(168.9-69.4)+(-3.044088+(-0.258417--0.106182))+0-53.8--0.0823140000000031</f>
        <v>2032.1859909999998</v>
      </c>
      <c r="W36" s="3">
        <f>1867.5+(314.2-72.3)+(-1.90485+(-0.320484--0.073746))+0-78.8--0.0803760000000126</f>
        <v>2028.5287880000001</v>
      </c>
      <c r="X36" s="3">
        <f>1877.5+(303.2-76.3)+(-3.8301+(-0.618528--0.155652))+0-76.3--0.155651999999997</f>
        <v>2023.9626759999999</v>
      </c>
      <c r="Y36" s="3">
        <f>1961+(366.5-83.1)+(-2.00022+(-0.37383--0.084762))+0-82--0.0836400000000131</f>
        <v>2160.194352</v>
      </c>
      <c r="Z36" s="3">
        <f>2066.5+(355.8-80.8)+(-2.10783+(-0.362916--0.082416))+0-85.9--0.0876180000000137</f>
        <v>2253.2992879999997</v>
      </c>
      <c r="AA36" s="3">
        <f>2077.2+(283.8-73.5)+(-5.29686+(-0.72369--0.187425))+0-73.2--0.186659999999989</f>
        <v>2208.6535349999999</v>
      </c>
      <c r="AB36" s="3">
        <f>1965.6+(268.7-58.9)+(-3.007368+(-0.411111--0.090117))+0-74.7--0.114291000000004</f>
        <v>2097.4859289999999</v>
      </c>
      <c r="AC36" s="3">
        <f>1894.8+(250-51.9)+(-0.966348+(-0.1275--0.026469))+0-68.7--0.035036999999993</f>
        <v>2023.1676580000001</v>
      </c>
      <c r="AD36">
        <v>2249.6000000000004</v>
      </c>
      <c r="AE36" s="3">
        <f>2068+(368.4-82.1)+(0+(0-0))+0-104.7-0</f>
        <v>2249.6000000000004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1819+(212-42.4)+(-1.85538+(-0.21624--0.043248))+0-78.7--0.0802740000000126</f>
        <v>1907.9519019999998</v>
      </c>
      <c r="G37" s="3">
        <f>1751.2+(199.6-40.4)+(-3.572448+(-0.407184--0.082416))+0-72.5--0.147899999999997</f>
        <v>1834.150684</v>
      </c>
      <c r="H37" s="3">
        <f>1596.5+(305.9-39.1)+(0+(0-0))+0-79.3-0</f>
        <v>1784</v>
      </c>
      <c r="I37" s="3">
        <f>1582.5+(293.7-37.1)+(-3.2283+(-0.599148--0.075684))+0-77.9--0.158915999999997</f>
        <v>1757.6071519999998</v>
      </c>
      <c r="J37" s="3">
        <f>1601.4+(254.3-40.4)+(0.816714+(0.129693-0.020604))+0-57.4-0.0292739999999942</f>
        <v>1758.7965290000002</v>
      </c>
      <c r="K37" s="3">
        <f>1602.6+(258.2-66)+(0+(0-0))+0-63.5-0</f>
        <v>1731.3</v>
      </c>
      <c r="L37" s="3">
        <f>1575.8+(310.4-72.4)+(-2.410974+(-0.474912--0.110772))+0-76.9--0.117657000000004</f>
        <v>1734.2425429999998</v>
      </c>
      <c r="M37" s="3">
        <f>1587.6+(399.4-65.2)+(0+(0-0))+0-81.6-0</f>
        <v>1840.2</v>
      </c>
      <c r="N37" s="3">
        <f>1769.2+(298.4-71.1)+(-1.804584+(-0.304368--0.072522))+0-25.8--0.0263160000000041</f>
        <v>1968.6898859999999</v>
      </c>
      <c r="O37" s="3">
        <f>1925.3+(216.3-71.9)+(1.963806+(0.220626-0.073338))+0-17.6-0.0179520000000028</f>
        <v>2054.1931419999996</v>
      </c>
      <c r="P37" s="3">
        <f>1962.5+(248.6-70.6)+(-2.00175+(-0.253572--0.072012))+0-16.4--0.0167280000000026</f>
        <v>2121.9334180000001</v>
      </c>
      <c r="Q37" s="3">
        <f>1950.4+(271.3-73.7)+(-0.994704+(-0.138363--0.037587))+0-16.5--0.00841499999999833</f>
        <v>2130.4129349999998</v>
      </c>
      <c r="R37" s="3">
        <f>1925.9+(273.2-68.3)+(-0.982209+(-0.139332--0.034833))+0-18--0.00917999999999817</f>
        <v>2111.7224720000004</v>
      </c>
      <c r="S37" s="3">
        <f>1923.3+(237.3-67.5)+(-0.980883+(-0.121023--0.034425))+0-17.3--0.00882299999999825</f>
        <v>2074.7413419999998</v>
      </c>
      <c r="T37" s="3">
        <f>1859.4+(257.1-66.1)+(1.896588+(0.262242-0.067422))+0-19.6-0.0199920000000031</f>
        <v>2032.871416</v>
      </c>
      <c r="U37" s="3">
        <f>1879.1+(243.1-70.1)+(1.916682+(0.247962-0.071502))+0-37.3-0.0380460000000059</f>
        <v>2016.8550960000002</v>
      </c>
      <c r="V37" s="3">
        <f>1907.2+(243.2-70.8)+(-3.890688+(-0.496128--0.144432))+0-72.1--0.147083999999997</f>
        <v>2003.4046999999998</v>
      </c>
      <c r="W37" s="3">
        <f>1913.4+(228.8-75.4)+(-2.927502+(-0.350064--0.115362))+0-63.7--0.0974610000000037</f>
        <v>2000.035257</v>
      </c>
      <c r="X37" s="3">
        <f>1906.9+(247-76.1)+(-4.862595+(-0.62985--0.194055))+0-79--0.201449999999989</f>
        <v>1993.7030600000003</v>
      </c>
      <c r="Y37" s="3">
        <f>1998.3+(234.6-85.5)+(-1.019133+(-0.119646--0.043605))+0-27.8--0.0141779999999972</f>
        <v>2118.5190039999998</v>
      </c>
      <c r="Z37" s="3">
        <f>2089.9+(283.7-84.3)+(-1.065849+(-0.144687--0.042993))+0-70.7--0.0360569999999928</f>
        <v>2217.4685140000001</v>
      </c>
      <c r="AA37" s="3">
        <f>2048.3+(279.4-72)+(-5.223165+(-0.71247--0.1836))+0-77.6--0.197879999999989</f>
        <v>2172.5458450000006</v>
      </c>
      <c r="AB37" s="3">
        <f>1895.8+(289.2-57.6)+(-1.933716+(-0.294984--0.058752))+0-63.4--0.0646680000000101</f>
        <v>2061.8947199999998</v>
      </c>
      <c r="AC37" s="3">
        <f>1868.6+(247.5-45.9)+(-3.811944+(-0.5049--0.093636))+0-73.1--0.149123999999997</f>
        <v>1993.0259160000001</v>
      </c>
      <c r="AD37">
        <v>2217.5</v>
      </c>
      <c r="AE37" s="3">
        <f>2098+(301.6-83.1)+(0+(0-0))+0-99-0</f>
        <v>2217.5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1749+(283-40.3)+(-1.78398+(-0.28866--0.041106))+0-92.8--0.0946560000000148</f>
        <v>1896.9631220000001</v>
      </c>
      <c r="G38" s="3">
        <f>1653.1+(272.1-38)+(-4.215405+(-0.693855--0.0969))+0-64--0.163199999999991</f>
        <v>1818.5508399999999</v>
      </c>
      <c r="H38" s="3">
        <f>1667.6+(232.6-37)+(-2.551428+(-0.355878--0.05661))+0-70.5--0.107865000000004</f>
        <v>1789.9571689999998</v>
      </c>
      <c r="I38" s="3">
        <f>1668.6+(216.4-36.7)+(-1.701972+(-0.220728--0.037434))+0-77.7--0.0792540000000124</f>
        <v>1768.7939879999999</v>
      </c>
      <c r="J38" s="3">
        <f>1695+(191.7-40.2)+(-0.86445+(-0.097767--0.020502))+0-81.6--0.0416159999999917</f>
        <v>1763.9999010000001</v>
      </c>
      <c r="K38" s="3">
        <f>1693+(192.4-62.8)+(-1.72686+(-0.196248--0.064056))+0-78.1--0.0796620000000124</f>
        <v>1742.7206100000001</v>
      </c>
      <c r="L38" s="3">
        <f>1649.4+(254.7-71.4)+(-4.20597+(-0.649485--0.18207))+0-79.1--0.201704999999989</f>
        <v>1749.12832</v>
      </c>
      <c r="M38" s="3">
        <f>1690.6+(294.3-62)+(-0.862206+(-0.150093--0.03162))+0-63.6--0.0324359999999935</f>
        <v>1858.3517569999999</v>
      </c>
      <c r="N38" s="3">
        <f>1778.6+(320.2-68.1)+(-2.721258+(-0.489906--0.104193))+0-64.5--0.0986850000000037</f>
        <v>1963.1917139999998</v>
      </c>
      <c r="O38" s="3">
        <f>1782.7+(405-69.8)+(-0.909177+(-0.20655--0.035598))+0-90.6--0.0462059999999908</f>
        <v>2026.2660770000002</v>
      </c>
      <c r="P38" s="3">
        <f>1732+(491.6-73.2)+(-0.88332+(-0.250716--0.037332))+0-64.5--0.0328949999999935</f>
        <v>2084.8361909999999</v>
      </c>
      <c r="Q38" s="3">
        <f>1893.9+(351.6-72.9)+(-4.829445+(-0.89658--0.185895))+0-61.6--0.157079999999991</f>
        <v>2105.6169500000005</v>
      </c>
      <c r="R38" s="3">
        <f>2001.4+(245.9-67.6)+(-2.041428+(-0.250818--0.068952))+0-72.9--0.0743580000000116</f>
        <v>2104.6510640000001</v>
      </c>
      <c r="S38" s="3">
        <f>1979.1+(240.7-66.6)+(-1.009341+(-0.122757--0.033966))+0-93.2--0.0475319999999905</f>
        <v>2058.9494</v>
      </c>
      <c r="T38" s="3">
        <f>1965.3+(220.5-70.8)+(-1.002303+(-0.112455--0.036108))+0-83.4--0.0425339999999915</f>
        <v>2030.5638839999999</v>
      </c>
      <c r="U38" s="3">
        <f>1914.8+(258.5-71.4)+(-4.88274+(-0.659175--0.18207))+0-67.3--0.17161499999999</f>
        <v>2029.4117700000002</v>
      </c>
      <c r="V38" s="3">
        <f>1914.8+(256-71.8)+(-0.976548+(-0.13056--0.036618))+0-66.7--0.0340169999999932</f>
        <v>2031.2635269999998</v>
      </c>
      <c r="W38" s="3">
        <f>1961.5+(232.3-74.7)+(-5.001825+(-0.592365--0.190485))+0-85.2--0.217259999999988</f>
        <v>2028.7135549999996</v>
      </c>
      <c r="X38" s="3">
        <f>1822.1+(354-76.2)+(-2.787813+(-0.54162--0.116586))+0-84.2--0.128826000000005</f>
        <v>2012.6159790000004</v>
      </c>
      <c r="Y38" s="3">
        <f>1879.4+(367-84.6)+(-3.833976+(-0.74868--0.172584))+0-47.6--0.0971039999999979</f>
        <v>2109.8870320000001</v>
      </c>
      <c r="Z38" s="3">
        <f>2094.2+(272.1-83.1)+(-2.136084+(-0.277542--0.084762))+0-71.3--0.0727260000000114</f>
        <v>2209.6438619999994</v>
      </c>
      <c r="AA38" s="3">
        <f>2085.5+(239.9-72.8)+(-4.25442+(-0.489396--0.148512))+0-82.3--0.167891999999996</f>
        <v>2165.8725879999997</v>
      </c>
      <c r="AB38" s="3">
        <f>2002.3+(199.2-57.1)+(-5.105865+(-0.50796--0.145605))+0-65.1--0.166004999999991</f>
        <v>2073.997785</v>
      </c>
      <c r="AC38" s="3">
        <f>1809.3+(298.2-46.3)+(-2.768229+(-0.456246--0.070839))+0-75.7--0.115821000000004</f>
        <v>1982.4621849999999</v>
      </c>
      <c r="AD38">
        <v>2229.7000000000003</v>
      </c>
      <c r="AE38" s="3">
        <f>2114+(284.5-81.7)+(0+(0-0))+0-87.1-0</f>
        <v>2229.7000000000003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1601.3+(378.6-40.3)+(-3.266652+(-0.772344--0.082212))+0-72.2--0.147287999999997</f>
        <v>1863.5905039999998</v>
      </c>
      <c r="G39" s="3">
        <f>1613.4+(289.4-38.1)+(-5.759838+(-1.033158--0.136017))+0-69.8--0.249186000000001</f>
        <v>1788.492207</v>
      </c>
      <c r="H39" s="3">
        <f>1686.9+(189.6-37)+(-6.882552+(-0.773568--0.15096))+0-81.1--0.330887999999993</f>
        <v>1751.2257280000001</v>
      </c>
      <c r="I39" s="3">
        <f>1546.4+(302.1-36.6)+(0.788664+(0.154071-0.018666))+0-76.6-0.0390659999999922</f>
        <v>1736.1850030000001</v>
      </c>
      <c r="J39" s="3">
        <f>1523.4+(295.4-40.8)+(-3.107736+(-0.602616--0.083232))+0-58.8--0.119951999999997</f>
        <v>1715.692832</v>
      </c>
      <c r="K39" s="3">
        <f>1588.4+(252.8-62.1)+(-1.620168+(-0.257856--0.063342))+0-78.8--0.0803760000000126</f>
        <v>1698.5656940000003</v>
      </c>
      <c r="L39" s="3">
        <f>1566.6+(283.9-68.4)+(-1.597932+(-0.289578--0.069768))+0-77.1--0.0786420000000123</f>
        <v>1703.2609</v>
      </c>
      <c r="M39" s="3">
        <f>1664.4+(273.9-63.9)+(-0.848844+(-0.139689--0.032589))+0-65.8--0.0335579999999933</f>
        <v>1807.6776140000002</v>
      </c>
      <c r="N39" s="3">
        <f>1724+(370.8-73.7)+(-1.75848+(-0.378216--0.075174))+0-89.9--0.0916980000000143</f>
        <v>1929.2301759999998</v>
      </c>
      <c r="O39" s="3">
        <f>1734.1+(340.8-75.9)+(-0.884391+(-0.173808--0.038709))+0-31.1--0.0158609999999968</f>
        <v>1966.8963710000003</v>
      </c>
      <c r="P39" s="3">
        <f>1737.8+(375-77.8)+(-2.658834+(-0.57375--0.119034))+0-83.8--0.128214000000005</f>
        <v>1948.2146640000001</v>
      </c>
      <c r="Q39" s="3">
        <f>1748.4+(368.7-75.1)+(0+(0-0))+0-68.5-0</f>
        <v>1973.5</v>
      </c>
      <c r="R39" s="3">
        <f>1812.7+(368.3-66.6)+(-5.546862+(-1.126998--0.203796))+0-35.6--0.108936000000004</f>
        <v>2072.4388720000002</v>
      </c>
      <c r="S39" s="3">
        <f>1791.5+(370-65.4)+(0.913665+(0.1887-0.033354))+0-89.1-0.045440999999991</f>
        <v>2008.0235700000001</v>
      </c>
      <c r="T39" s="3">
        <f>1784.9+(308.4-66)+(0+(0-0))+0-57.3-0</f>
        <v>1970.0000000000002</v>
      </c>
      <c r="U39" s="3">
        <f>1762+(330-66.5)+(-2.69586+(-0.5049--0.101745))+0-84.6--0.129438000000005</f>
        <v>1937.930423</v>
      </c>
      <c r="V39" s="3">
        <f>1762.4+(328.8-70)+(-2.696472+(-0.503064--0.1071))+0-89.1--0.136323000000005</f>
        <v>1929.1438870000002</v>
      </c>
      <c r="W39" s="3">
        <f>1765.1+(271.5-73.3)+(-2.700603+(-0.415395--0.112149))+0-33.2--0.0507960000000019</f>
        <v>1927.146947</v>
      </c>
      <c r="X39" s="3">
        <f>1752+(323.4-74.6)+(-5.36112+(-0.989604--0.228276))+0-82.8--0.25336800000001</f>
        <v>1912.1309199999998</v>
      </c>
      <c r="Y39" s="3">
        <f>1798.3+(419.4-83.2)+(-3.668532+(-0.855576--0.169728))+0-96.7--0.197267999999996</f>
        <v>2033.6428879999996</v>
      </c>
      <c r="Z39" s="3">
        <f>1952.9+(342.2-81.2)+(-3.983916+(-0.698088--0.165648))+0-58.3--0.118931999999997</f>
        <v>2151.2025759999997</v>
      </c>
      <c r="AA39" s="3">
        <f>1937.1+(314-71)+(-2.963763+(-0.48042--0.10863))+0-70.4--0.107712000000004</f>
        <v>2106.4721589999999</v>
      </c>
      <c r="AB39" s="3">
        <f>1899.1+(258.9-56.3)+(-3.874164+(-0.528156--0.114852))+0-77.4--0.157895999999997</f>
        <v>2020.1704279999997</v>
      </c>
      <c r="AC39" s="3">
        <f>1800.7+(294.8-46)+(-2.755071+(-0.451044--0.07038))+0-91.1--0.139383000000005</f>
        <v>1955.403648</v>
      </c>
      <c r="AD39">
        <v>2166.1</v>
      </c>
      <c r="AE39" s="3">
        <f>1963+(377.8-80.4)+(0+(0-0))+0-94.3-0</f>
        <v>2166.1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1682+(270.6-40.3)+(-1.71564+(-0.276012--0.041106))+0-63.7--0.0649740000000102</f>
        <v>1846.714428</v>
      </c>
      <c r="G40" s="3">
        <f>1556.7+(304.9-37.8)+(-3.969585+(-0.777495--0.09639))+0-56--0.142799999999992</f>
        <v>1763.2921100000001</v>
      </c>
      <c r="H40" s="3">
        <f>1556.1+(267.9-35.5)+(-2.380833+(-0.409887--0.054315))+0-49.6--0.0758880000000029</f>
        <v>1736.2394830000001</v>
      </c>
      <c r="I40" s="3">
        <f>1485.3+(349.6-35.5)+(-0.757503+(-0.178296--0.018105))+0-80.7--0.0411569999999918</f>
        <v>1717.8234629999999</v>
      </c>
      <c r="J40" s="3">
        <f>1476.5+(361.3-39.9)+(-4.51809+(-1.105578--0.122094))+0-81.9--0.25061400000001</f>
        <v>1710.7490400000002</v>
      </c>
      <c r="K40" s="3">
        <f>1440.8+(353.4-61)+(-2.939232+(-0.720936--0.12444))+0-63.2--0.128927999999997</f>
        <v>1666.5931999999998</v>
      </c>
      <c r="L40" s="3">
        <f>1384.2+(379.9-68.8)+(-2.117826+(-0.581247--0.105264))+0-81.1--0.124083000000005</f>
        <v>1611.730274</v>
      </c>
      <c r="M40" s="3">
        <f>1377.9+(398.6-64.8)+(-0.702729+(-0.203286--0.033048))+0-78.8--0.040187999999992</f>
        <v>1632.067221</v>
      </c>
      <c r="N40" s="3">
        <f>1591.9+(229.8-67.2)+(-1.623738+(-0.234396--0.068544))+0-64.7--0.0659940000000103</f>
        <v>1688.0764039999999</v>
      </c>
      <c r="O40" s="3">
        <f>1713.1+(192.2-69.5)+(0+(0-0))+0-77.7-0</f>
        <v>1758.1</v>
      </c>
      <c r="P40" s="3">
        <f>1693.6+(297.1-71.4)+(-2.591208+(-0.454563--0.109242))+0-88.8--0.135864000000005</f>
        <v>1827.699335</v>
      </c>
      <c r="Q40" s="3">
        <f>1693.9+(306.7-68.9)+(-2.591667+(-0.469251--0.105417))+0-87.8--0.134334000000005</f>
        <v>1841.0788330000003</v>
      </c>
      <c r="R40" s="3">
        <f>1698.3+(272.1-61.8)+(-1.732266+(-0.277542--0.063036))+0-62.5--0.06375000000001</f>
        <v>1844.2169779999999</v>
      </c>
      <c r="S40" s="3">
        <f>1684.2+(271.2-61.6)+(-3.435768+(-0.553248--0.125664))+0-80.6--0.164423999999996</f>
        <v>1809.501072</v>
      </c>
      <c r="T40" s="3">
        <f>1684.1+(248.2-62.3)+(-1.717782+(-0.253164--0.063546))+0-83.4--0.0850680000000133</f>
        <v>1784.7776679999999</v>
      </c>
      <c r="U40" s="3">
        <f>1624.6+(221.3-58.7)+(-2.485638+(-0.338589--0.089811))+0-22.5--0.0344250000000013</f>
        <v>1762.0000089999999</v>
      </c>
      <c r="V40" s="3">
        <f>1539.3+(302.9-57.8)+(-1.570086+(-0.308958--0.058956))+0-30.1--0.0307020000000048</f>
        <v>1752.510614</v>
      </c>
      <c r="W40" s="3">
        <f>1527.2+(380.4-60.8)+(-3.89436+(-0.97002--0.15504))+0-89.6--0.228479999999987</f>
        <v>1752.7191399999999</v>
      </c>
      <c r="X40" s="3">
        <f>1540.1+(353.6-67.4)+(-3.141804+(-0.721344--0.137496))+0-81.3--0.165851999999996</f>
        <v>1741.4402</v>
      </c>
      <c r="Y40" s="3">
        <f>1691.3+(350.9-75.3)+(-2.587689+(-0.536877--0.115209))+0-78.1--0.119493000000004</f>
        <v>1885.910136</v>
      </c>
      <c r="Z40" s="3">
        <f>1794+(419.3-75.8)+(-3.65976+(-0.855372--0.154632))+0-87.2--0.177887999999996</f>
        <v>2046.1173880000001</v>
      </c>
      <c r="AA40" s="3">
        <f>1801.4+(368.3-68.8)+(-1.837428+(-0.375666--0.070176))+0-68.3--0.0696660000000109</f>
        <v>2030.5267480000002</v>
      </c>
      <c r="AB40" s="3">
        <f>1784.1+(315-54)+(-2.729673+(-0.48195--0.08262))+0-63.7--0.0974610000000037</f>
        <v>1978.3684579999999</v>
      </c>
      <c r="AC40" s="3">
        <f>1761.8+(252.6-42.3)+(-0.898518+(-0.128826--0.021573))+0-48.8--0.0248879999999951</f>
        <v>1922.3191169999998</v>
      </c>
      <c r="AD40">
        <v>2069</v>
      </c>
      <c r="AE40" s="3">
        <f>1802+(435.4-75.6)+(0+(0-0))+0-92.8-0</f>
        <v>2069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1706.1+(239.3-36.6)+(-1.740222+(-0.244086--0.037332))+0-89.7--0.0914940000000143</f>
        <v>1817.244518</v>
      </c>
      <c r="G41" s="3">
        <f>1710.5+(172.7-47.3)+(-3.48942+(-0.352308--0.096492))+0-76.1--0.155243999999997</f>
        <v>1756.2100080000002</v>
      </c>
      <c r="H41" s="3">
        <f>1708.7+(155.2-66.5)+(-2.614311+(-0.237456--0.101745))+0-68.5--0.104805000000004</f>
        <v>1726.2547830000001</v>
      </c>
      <c r="I41" s="3">
        <f>1714.1+(152.3-69)+(-0.874191+(-0.077673--0.03519))+0-83.9--0.0427889999999915</f>
        <v>1712.6261149999998</v>
      </c>
      <c r="J41" s="3">
        <f>1714.6+(148.6-77)+(-6.121122+(-0.530502--0.27489))+0-71--0.253470000000001</f>
        <v>1709.076736</v>
      </c>
      <c r="K41" s="3">
        <f>1629.7+(200.6-62.8)+(-4.986882+(-0.613836--0.192168))+0-63.6--0.194616000000007</f>
        <v>1698.686066</v>
      </c>
      <c r="L41" s="3">
        <f>1558.9+(299.2-70.2)+(-3.180156+(-0.610368--0.143208))+0-75.2--0.153407999999997</f>
        <v>1709.2060919999999</v>
      </c>
      <c r="M41" s="3">
        <f>1703+(234.6-64.6)+(-0.86853+(-0.119646--0.032946))+0-71.1--0.0362609999999928</f>
        <v>1800.981031</v>
      </c>
      <c r="N41" s="3">
        <f>1909.8+(169.3-70.5)+(-1.947996+(-0.172686--0.07191))+0-64.4--0.0656880000000103</f>
        <v>1942.2169159999996</v>
      </c>
      <c r="O41" s="3">
        <f>1964.4+(188-69.3)+(-3.005532+(-0.28764--0.106029))+0-77.6--0.118728000000004</f>
        <v>2002.4315849999998</v>
      </c>
      <c r="P41" s="3">
        <f>1942.8+(237.2-71.1)+(-0.990828+(-0.120972--0.036261))+0-24.8--0.0126479999999975</f>
        <v>2083.0371089999999</v>
      </c>
      <c r="Q41" s="3">
        <f>1887.7+(313.7-71)+(0+(0-0))+0-50.2-0</f>
        <v>2080.2000000000003</v>
      </c>
      <c r="R41" s="3">
        <f>1830.3+(401.2-65.4)+(-0.933453+(-0.204612--0.033354))+0-70.1--0.0357509999999929</f>
        <v>2094.9310399999999</v>
      </c>
      <c r="S41" s="3">
        <f>1813.8+(395.5-64.6)+(-0.925038+(-0.201705--0.032946))+0-73.5--0.0374849999999925</f>
        <v>2070.1436879999997</v>
      </c>
      <c r="T41" s="3">
        <f>1799.2+(401.9-68)+(-2.752776+(-0.614907--0.10404))+0-83--0.126990000000005</f>
        <v>2046.9633470000001</v>
      </c>
      <c r="U41" s="3">
        <f>1879.1+(339-69)+(-2.875023+(-0.51867--0.10557))+0-77.1--0.117963000000004</f>
        <v>2068.8298400000003</v>
      </c>
      <c r="V41" s="3">
        <f>1877.8+(270.3-68.5)+(-1.915356+(-0.275706--0.06987))+0-65.8--0.0671160000000105</f>
        <v>2011.7459239999998</v>
      </c>
      <c r="W41" s="3">
        <f>1942.1+(186.8-72.3)+(-2.971413+(-0.285804--0.110619))+11-61.6--0.0942480000000036</f>
        <v>2002.9476500000003</v>
      </c>
      <c r="X41" s="3">
        <f>1955.6+(177.9-78.5)+(-3.989424+(-0.362916--0.16014))+3.7-85.7--0.174827999999996</f>
        <v>1968.9826279999997</v>
      </c>
      <c r="Y41" s="3">
        <f>1990.8+(281.7-81.6)+(-1.015308+(-0.143667--0.041616))+0-83.2--0.0424319999999916</f>
        <v>2106.6250730000006</v>
      </c>
      <c r="Z41" s="3">
        <f>2121.8+(285.3-81.2)+(-6.492708+(-0.873018--0.248472))+0-77.2--0.236232000000009</f>
        <v>2241.8189780000007</v>
      </c>
      <c r="AA41" s="3">
        <f>2168.7+(152.1-72.9)+(-4.424148+(-0.310284--0.148716))+0-34.4--0.0701759999999985</f>
        <v>2208.9844599999997</v>
      </c>
      <c r="AB41" s="3">
        <f>2015+(243.9-57)+(-5.13825+(-0.621945--0.14535))+0-78--0.198899999999989</f>
        <v>2118.4840549999999</v>
      </c>
      <c r="AC41" s="3">
        <f>1884.4+(270.4-47.5)+(-3.844176+(-0.551616--0.0969))+0-80.2--0.163607999999997</f>
        <v>2022.9647160000004</v>
      </c>
      <c r="AD41">
        <v>2226</v>
      </c>
      <c r="AE41" s="3">
        <f>2123+(143.3-76.4)+(0+(0-0))+0-16.9-0</f>
        <v>2173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1823.1+(193.9-41.7)+(-2.789343+(-0.296667--0.063801))+0-70.4--0.107712000000004</f>
        <v>1901.9855029999999</v>
      </c>
      <c r="G42" s="3">
        <f>1815.8+(153.3-47.2)+(-5.556348+(-0.469098--0.144432))+0-79.6--0.243576000000009</f>
        <v>1836.662562</v>
      </c>
      <c r="H42" s="3">
        <f>1742.8+(174.8-37.8)+(-3.555312+(-0.356592--0.077112))+0-80.6--0.164423999999996</f>
        <v>1795.529632</v>
      </c>
      <c r="I42" s="3">
        <f>1722.5+(171.8-36.6)+(0.878475+(0.087618-0.018666))+0-76.8-0.0391679999999922</f>
        <v>1781.8082590000001</v>
      </c>
      <c r="J42" s="3">
        <f>1584.3+(309.8-41.6)+(0.807993+(0.157998-0.021216))+0-71.5-0.0364649999999927</f>
        <v>1781.90831</v>
      </c>
      <c r="K42" s="3">
        <f>1619.3+(269.7-65.9)+(0+(0-0))+0-80-0</f>
        <v>1743.1</v>
      </c>
      <c r="L42" s="3">
        <f>1568.7+(324-72.5)+(-4.000185+(-0.8262--0.184875))+0-81.8--0.208589999999988</f>
        <v>1733.9670800000001</v>
      </c>
      <c r="M42" s="3">
        <f>1619.1+(355-74.6)+(-2.477223+(-0.54315--0.114138))+0-48.5--0.0742050000000028</f>
        <v>1848.16797</v>
      </c>
      <c r="N42" s="3">
        <f>1886.3+(260.6-70.6)+(-3.848052+(-0.531624--0.144024))+0-81.8--0.166871999999996</f>
        <v>1990.4312200000004</v>
      </c>
      <c r="O42" s="3">
        <f>1874+(371.6-72.8)+(0+(0-0))+0-93.3-0</f>
        <v>2079.5</v>
      </c>
      <c r="P42" s="3">
        <f>1852.4+(419.4-74.7)+(-1.889448+(-0.427788--0.076194))+0-63.3--0.0645660000000101</f>
        <v>2131.6235239999996</v>
      </c>
      <c r="Q42" s="3">
        <f>1885+(417-74.2)+(-2.88405+(-0.63801--0.113526))+0-61.1--0.0934830000000035</f>
        <v>2163.3849490000002</v>
      </c>
      <c r="R42" s="3">
        <f>1919.2+(384.7-67.9)+(-5.872752+(-1.177182--0.207774))+0-79.8--0.244188000000009</f>
        <v>2149.6020279999998</v>
      </c>
      <c r="S42" s="3">
        <f>1921.2+(332.7-68.1)+(-3.919248+(-0.678708--0.138924))+0-59.6--0.121583999999997</f>
        <v>2121.8625520000001</v>
      </c>
      <c r="T42" s="3">
        <f>1928.8+(300.1-71.6)+(-5.902128+(-0.918306--0.219096))+0-63.8--0.195228000000007</f>
        <v>2087.0938900000001</v>
      </c>
      <c r="U42" s="3">
        <f>1971.4+(246.8-73.5)+(-4.021656+(-0.503472--0.14994))+0-73.6--0.150143999999997</f>
        <v>2066.8749560000006</v>
      </c>
      <c r="V42" s="3">
        <f>1958.5+(238.7-72.6)+(-4.994175+(-0.608685--0.18513))+0-62.9--0.160394999999991</f>
        <v>2056.4426649999996</v>
      </c>
      <c r="W42" s="3">
        <f>1976.9+(221.6-74.8)+(-4.032876+(-0.452064--0.152592))+0-71.6--0.146063999999997</f>
        <v>2047.9137160000005</v>
      </c>
      <c r="X42" s="3">
        <f>1961.7+(261.5-77.3)+(-7.003269+(-0.933555--0.275961))+0-90.3--0.322371000000001</f>
        <v>2048.261508</v>
      </c>
      <c r="Y42" s="3">
        <f>1966.1+(357.1-87.8)+(0+(0-0))+0-86.6-0</f>
        <v>2148.8000000000002</v>
      </c>
      <c r="Z42" s="3">
        <f>2113.8+(333.6-85.8)+(-5.39019+(-0.85068--0.21879))+0-81.1--0.206804999999988</f>
        <v>2274.6847250000001</v>
      </c>
      <c r="AA42" s="3">
        <f>2072.2+(313.3-78.1)+(-4.227288+(-0.639132--0.159324))+0-51--0.104039999999998</f>
        <v>2251.7969439999997</v>
      </c>
      <c r="AB42" s="3">
        <f>2021.5+(263.7-61.6)+(-2.06193+(-0.268974--0.062832))+0-59.3--0.0604860000000095</f>
        <v>2162.0924139999997</v>
      </c>
      <c r="AC42" s="3">
        <f>1975.7+(244.1-50.8)+(-2.015214+(-0.248982--0.051816))+0-88.3--0.0900660000000141</f>
        <v>2078.5776860000001</v>
      </c>
      <c r="AD42">
        <v>2273.3000000000002</v>
      </c>
      <c r="AE42" s="3">
        <f>2116+(336.4-85.2)+(0+(0-0))+0-93.9-0</f>
        <v>2273.2999999999997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1823.8+(245.5-45)+(-5.580828+(-0.75123--0.1377))+0-59.9--0.183294000000007</f>
        <v>1958.3889359999998</v>
      </c>
      <c r="G43" s="3">
        <f>1801.9+(183.1-41.8)+(-3.675876+(-0.373524--0.085272))+0-60.8--0.124031999999997</f>
        <v>1878.559904</v>
      </c>
      <c r="H43" s="3">
        <f>1823.2+(141.5-96.4)+(-1.859664+(-0.14433--0.098328))+0-26.1--0.0266220000000042</f>
        <v>1840.320956</v>
      </c>
      <c r="I43" s="3">
        <f>1839+(141.1-95.7)+(-2.81367+(-0.215883--0.146421))+0-64.8--0.0991440000000037</f>
        <v>1816.8160120000002</v>
      </c>
      <c r="J43" s="3">
        <f>1835.6+(141.4-98)+(-0.936156+(-0.072114--0.04998))+0-72.4--0.0369239999999927</f>
        <v>1805.6786339999999</v>
      </c>
      <c r="K43" s="3">
        <f>1833.3+(141.9-121.3)+(-3.739932+(-0.289476--0.247452))+0-81.6--0.166463999999996</f>
        <v>1768.6845079999998</v>
      </c>
      <c r="L43" s="3">
        <f>1713+(226.7-73.5)+(-5.24178+(-0.693702--0.22491))+0-83.1--0.25428600000001</f>
        <v>1777.6437140000003</v>
      </c>
      <c r="M43" s="3">
        <f>1890.6+(193.2-65.7)+(-1.928412+(-0.197064--0.067014))+0-92.3--0.0941460000000147</f>
        <v>1923.8356839999999</v>
      </c>
      <c r="N43" s="3">
        <f>2049.1+(169.7-67.4)+(-3.135123+(-0.259641--0.103122))+0-77.6--0.118728000000004</f>
        <v>2070.627086</v>
      </c>
      <c r="O43" s="3">
        <f>2102.3+(217.8-70.4)+(-3.216519+(-0.333234--0.107712))+0-81--0.123930000000005</f>
        <v>2165.3818890000007</v>
      </c>
      <c r="P43" s="3">
        <f>2134.7+(256.5-68.7)+(-4.354788+(-0.52326--0.140148))+0-82.9--0.169115999999996</f>
        <v>2235.0312159999999</v>
      </c>
      <c r="Q43" s="3">
        <f>2146.3+(289.8-71)+(-3.283839+(-0.443394--0.10863))+0-88.6--0.135558000000005</f>
        <v>2273.0169550000005</v>
      </c>
      <c r="R43" s="3">
        <f>2131.4+(302.8-63.8)+(-5.43507+(-0.77214--0.16269))+0-86.1--0.219554999999987</f>
        <v>2278.4750350000004</v>
      </c>
      <c r="S43" s="3">
        <f>2136.5+(231.5-53.3)+(-1.089615+(-0.118065--0.027183))+0-76.5--0.0390149999999922</f>
        <v>2237.0585179999998</v>
      </c>
      <c r="T43" s="3">
        <f>2141.6+(198.2-62.7)+(-3.276648+(-0.303246--0.095931))+0-80.6--0.123318000000005</f>
        <v>2193.1393549999998</v>
      </c>
      <c r="U43" s="3">
        <f>2136.2+(182.2-78.5)+(-5.44731+(-0.46461--0.200175))+0-81.5--0.207824999999988</f>
        <v>2152.8960799999995</v>
      </c>
      <c r="V43" s="3">
        <f>2108+(169.7-85.9)+(-5.3754+(-0.432735--0.219045))+9.5-56.8--0.144839999999992</f>
        <v>2139.05575</v>
      </c>
      <c r="W43" s="3">
        <f>1974.7+(286.4-75.3)+(-4.028388+(-0.584256--0.153612))+21-87.1--0.177683999999996</f>
        <v>2115.4186519999998</v>
      </c>
      <c r="X43" s="3">
        <f>1991.6+(242.2-77.8)+(-5.07858+(-0.61761--0.19839))+0-53.3--0.135914999999992</f>
        <v>2097.3381149999996</v>
      </c>
      <c r="Y43" s="3">
        <f>2012.6+(351.3-86.5)+(1.026426+(0.179163-0.044115))+0-85.2-0.0434519999999914</f>
        <v>2193.3180220000004</v>
      </c>
      <c r="Z43" s="3">
        <f>2257+(212.1-80)+(-2.30214+(-0.216342--0.0816))+0-85.4--0.0871080000000136</f>
        <v>2301.350226</v>
      </c>
      <c r="AA43" s="3">
        <f>2195.3+(233.3-73.5)+(-6.717618+(-0.713898--0.22491))+0-85.7--0.26224200000001</f>
        <v>2262.4556360000001</v>
      </c>
      <c r="AB43" s="3">
        <f>2101.4+(189.7-60.8)+(-7.501998+(-0.677229--0.217056))+0-70.6--0.252042000000001</f>
        <v>2151.9898710000002</v>
      </c>
      <c r="AC43" s="3">
        <f>2133.9+(141.8-117.6)+(-3.264867+(-0.216954--0.179928))+0-67.4--0.103122000000004</f>
        <v>2087.501229</v>
      </c>
      <c r="AD43">
        <v>2306.8999999999996</v>
      </c>
      <c r="AE43" s="3">
        <f>2271+(202.7-79)+(0+(0-0))+0-87.8-0</f>
        <v>2306.8999999999996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1906.6+(175.7-65.9)+(0+(0-0))+0-46.5-0</f>
        <v>1969.8999999999999</v>
      </c>
      <c r="G44" s="3">
        <f>1810+(199.3-40.9)+(0+(0-0))+0-59.9-0</f>
        <v>1908.5</v>
      </c>
      <c r="H44" s="3">
        <f>1773.1+(212.5-39.8)+(0+(0-0))+0-86.2-0</f>
        <v>1859.6</v>
      </c>
      <c r="I44" s="3">
        <f>1739.7+(204.1-39.2)+(0+(0-0))+0-60.6-0</f>
        <v>1844</v>
      </c>
      <c r="J44" s="3">
        <f>1745+(223.9-43.1)+(-2.66985+(-0.342567--0.065943))+0-89.2--0.136476000000005</f>
        <v>1833.7900019999997</v>
      </c>
      <c r="K44" s="3">
        <f>1751.4+(192.7-63.6)+(-1.786428+(-0.196554--0.064872))+0-84.8--0.0864960000000135</f>
        <v>1793.8683860000001</v>
      </c>
      <c r="L44" s="3">
        <f>1779.5+(188.2-76.4)+(1.81509+(0.191964-0.077928))+0-79.8-0.0813960000000127</f>
        <v>1813.34773</v>
      </c>
      <c r="M44" s="3">
        <f>1790.7+(223.5-64.7)+(1.826514+(0.22797-0.065994))+0-24.6-0.0250920000000039</f>
        <v>1926.863398</v>
      </c>
      <c r="N44" s="3">
        <f>1941.9+(198.7-69.2)+(-0.990369+(-0.101337--0.035292))+0-17.1--0.00872099999999827</f>
        <v>2053.2523070000002</v>
      </c>
      <c r="O44" s="3">
        <f>2054.6+(186.1-82.6)+(0+(0-0))+0-15.1-0</f>
        <v>2143</v>
      </c>
      <c r="P44" s="3">
        <f>2053.1+(237.6-68.8)+(0+(0-0))+0-16-0</f>
        <v>2205.9</v>
      </c>
      <c r="Q44" s="3">
        <f>2007.9+(318.4-70.5)+(-4.096116+(-0.649536--0.14382))+0-14.4--0.0293759999999994</f>
        <v>2236.8275440000002</v>
      </c>
      <c r="R44" s="3">
        <f>2019+(302.2-68.3)+(-1.02969+(-0.154122--0.034833))+0-14.2--0.00724199999999856</f>
        <v>2237.5582630000004</v>
      </c>
      <c r="S44" s="3">
        <f>1936.7+(361.9-69.5)+(0+(0-0))+0-18.8-0</f>
        <v>2210.2999999999997</v>
      </c>
      <c r="T44" s="3">
        <f>1933.1+(340.6-74.8)+(-0.985881+(-0.173706--0.038148))+0-33.7--0.0171869999999966</f>
        <v>2164.0957480000002</v>
      </c>
      <c r="U44" s="3">
        <f>1912.2+(388.9-76)+(-6.826554+(-1.388373--0.27132))+0-87.4--0.312018000000001</f>
        <v>2130.0684109999997</v>
      </c>
      <c r="V44" s="3">
        <f>1909+(372.8-77.8)+(-5.84154+(-1.140768--0.238068))+0-79.8--0.244188000000009</f>
        <v>2117.6999479999999</v>
      </c>
      <c r="W44" s="3">
        <f>1922.9+(386.3-81.6)+(-6.864753+(-1.379091--0.291312))+0-73.9--0.263823000000001</f>
        <v>2146.0112910000003</v>
      </c>
      <c r="X44" s="3">
        <f>1897.6+(395.2-82.9)+(-4.83888+(-1.00776--0.211395))+0-81--0.206549999999988</f>
        <v>2123.4713049999996</v>
      </c>
      <c r="Y44" s="3">
        <f>1921.7+(390-86.6)+(-4.900335+(-0.9945--0.22083))+0-67.1--0.17110499999999</f>
        <v>2152.4971</v>
      </c>
      <c r="Z44" s="3">
        <f>2107.4+(286.3-85.6)+(-4.299096+(-0.584052--0.174624))+0-49.7--0.101387999999998</f>
        <v>2253.792864</v>
      </c>
      <c r="AA44" s="3">
        <f>2037.3+(342.3-76)+(-4.156092+(-0.698292--0.15504))+0-92.4--0.188495999999996</f>
        <v>2206.6891519999999</v>
      </c>
      <c r="AB44" s="3">
        <f>1935.9+(320.1-59.2)+(0.987309+(0.163251-0.030192))+0-82-0.0418199999999917</f>
        <v>2115.8785480000001</v>
      </c>
      <c r="AC44" s="3">
        <f>1909.6+(244-49.5)+(-1.947792+(-0.24888--0.05049))+0-62.9--0.06415800000001</f>
        <v>2039.1179759999998</v>
      </c>
      <c r="AD44">
        <v>2273.7000000000003</v>
      </c>
      <c r="AE44" s="3">
        <f>2132+(309.9-85.1)+(0+(0-0))+0-83.1-0</f>
        <v>2273.7000000000003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1844.7+(188.4-48.2)+(0+(0-0))+0-50.4-0</f>
        <v>1934.5</v>
      </c>
      <c r="G45" s="3">
        <f>1813.1+(174.5-50.1)+(-1.849362+(-0.17799--0.051102))+0-78--0.0795600000000124</f>
        <v>1857.60331</v>
      </c>
      <c r="H45" s="3">
        <f>1767.1+(180.4-46.9)+(0+(0-0))+0-91-0</f>
        <v>1809.6</v>
      </c>
      <c r="I45" s="3">
        <f>1731.5+(190.4-46.7)+(-2.649195+(-0.291312--0.071451))+0-84.8--0.129744000000005</f>
        <v>1787.6606880000002</v>
      </c>
      <c r="J45" s="3">
        <f>1762.3+(157.6-91.7)+(1.797546+(0.160752-0.093534))+0-43.6-0.044472000000007</f>
        <v>1786.420292</v>
      </c>
      <c r="K45" s="3">
        <f>1711.4+(195.5-69.4)+(-3.491256+(-0.39882--0.141576))+0-85.4--0.174215999999996</f>
        <v>1748.5257159999999</v>
      </c>
      <c r="L45" s="3">
        <f>1750+(187.1-84.3)+(-0.8925+(-0.095421--0.042993))+0-83.7--0.0426869999999915</f>
        <v>1768.1977589999999</v>
      </c>
      <c r="M45" s="3">
        <f>1788+(209.7-63.8)+(-0.91188+(-0.106947--0.032538))+0-64.5--0.0328949999999935</f>
        <v>1868.4466060000002</v>
      </c>
      <c r="N45" s="3">
        <f>1888.5+(192.4-80.2)+(-0.963135+(-0.098124--0.040902))+0-19.8--0.010097999999998</f>
        <v>1979.889741</v>
      </c>
      <c r="O45" s="3">
        <f>1976.5+(242.4-70)+(-2.01603+(-0.247248--0.0714))+0-64.9--0.0661980000000104</f>
        <v>2081.8743199999999</v>
      </c>
      <c r="P45" s="3">
        <f>1954.2+(333.1-73.5)+(-2.989926+(-0.509643--0.112455))+0-72.8--0.111384000000004</f>
        <v>2137.7242699999997</v>
      </c>
      <c r="Q45" s="3">
        <f>1959.2+(359.3-74.6)+(0+(0-0))+0-80.6-0</f>
        <v>2163.3000000000002</v>
      </c>
      <c r="R45" s="3">
        <f>1966.8+(272-71.7)+(-5.01534+(-0.6936--0.182835))+0-21.3--0.0543149999999969</f>
        <v>2140.3282099999997</v>
      </c>
      <c r="S45" s="3">
        <f>2002.2+(258.3-71.6)+(0+(0-0))+0-85.9-0</f>
        <v>2103</v>
      </c>
      <c r="T45" s="3">
        <f>1983.9+(232.1-83.3)+(-4.047156+(-0.473484--0.169932))+0-80.2--0.163607999999997</f>
        <v>2048.3129000000004</v>
      </c>
      <c r="U45" s="3">
        <f>1937.1+(221.2-82.3)+(-4.939605+(-0.56406--0.209865))+0-66.1--0.16855499999999</f>
        <v>2004.7747550000001</v>
      </c>
      <c r="V45" s="3">
        <f>1911.8+(194-105)+(-2.925054+(-0.29682--0.16065))+0-37.9--0.0579870000000022</f>
        <v>1959.8967629999997</v>
      </c>
      <c r="W45" s="3">
        <f>1894.9+(200.9-82.8)+(-2.899197+(-0.307377--0.126684))+0-36.9--0.0564570000000021</f>
        <v>1973.0765669999998</v>
      </c>
      <c r="X45" s="3">
        <f>1873.4+(238.2-64.2)+(-4.77717+(-0.60741--0.16371))+0-87.1--0.222104999999987</f>
        <v>1955.3012350000001</v>
      </c>
      <c r="Y45" s="3">
        <f>1884.9+(309-69.2)+(-2.883897+(-0.47277--0.105876))+0-82.4--0.126072000000005</f>
        <v>2039.1752810000003</v>
      </c>
      <c r="Z45" s="3">
        <f>1967.7+(283.4-68.2)+(-1.003527+(-0.144534--0.034782))+0-69.8--0.0355979999999929</f>
        <v>2112.0223189999997</v>
      </c>
      <c r="AA45" s="3">
        <f>1954.1+(253-65.4)+(-3.986364+(-0.51612--0.133416))+0-67.5--0.137699999999997</f>
        <v>2069.9686320000001</v>
      </c>
      <c r="AB45" s="3">
        <f>1921+(203-58.7)+(-4.89855+(-0.51765--0.149685))+0-77.9--0.198644999999989</f>
        <v>1982.3321300000002</v>
      </c>
      <c r="AC45" s="3">
        <f>1939.3+(166.3-72.1)+(-2.967129+(-0.254439--0.110313))+0-91.9--0.140607000000005</f>
        <v>1938.6293519999999</v>
      </c>
      <c r="AD45">
        <v>2103.9</v>
      </c>
      <c r="AE45" s="3">
        <f>2001+(276.5-70)+(0+(0-0))+0-103.6-0</f>
        <v>2103.9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1925.8+(142.1-158.8)+(-3.928632+(-0.289884--0.323952))+0-89.5--0.182579999999996</f>
        <v>1815.8880159999999</v>
      </c>
      <c r="G46" s="3">
        <f>1950.4+(142-262.8)+(-0.994704+(-0.07242--0.134028))+0-80.6--0.0411059999999918</f>
        <v>1748.1080100000001</v>
      </c>
      <c r="H46" s="3">
        <f>1915.6+(142.2-265.3)+(-0.976956+(-0.072522--0.135303))+0-84.8--0.0432479999999914</f>
        <v>1706.8290730000001</v>
      </c>
      <c r="I46" s="3">
        <f>1810.1+(142.7-208.2)+(-0.923151+(-0.072777--0.106182))+0-63.1--0.0321809999999936</f>
        <v>1680.642435</v>
      </c>
      <c r="J46" s="3">
        <f>1852.7+(142.1-225)+(-3.779508+(-0.289884--0.459))+0-78.4--0.159935999999997</f>
        <v>1687.9495439999998</v>
      </c>
      <c r="K46" s="3">
        <f>1773.2+(141.6-173.2)+(-7.234656+(-0.577728--0.706656))+0-88--0.359039999999992</f>
        <v>1646.8533120000002</v>
      </c>
      <c r="L46" s="3">
        <f>1710+(141.9-126.7)+(-2.6163+(-0.217107--0.193851))+0-79.4--0.121482000000005</f>
        <v>1643.2819259999999</v>
      </c>
      <c r="M46" s="3">
        <f>1731.8+(188.7-71.1)+(0+(0-0))+0-88.6-0</f>
        <v>1760.8</v>
      </c>
      <c r="N46" s="3">
        <f>1813.5+(210.7-78.8)+(0+(0-0))+0-65.8-0</f>
        <v>1879.6000000000001</v>
      </c>
      <c r="O46" s="3">
        <f>1995.1+(183.1-119.1)+(1.017501+(0.093381-0.060741))+0-81-0.0413099999999918</f>
        <v>1979.108831</v>
      </c>
      <c r="P46" s="3">
        <f>1998.2+(183-128.5)+(-3.057246+(-0.27999--0.196605))+0-24.3--0.0371790000000014</f>
        <v>2025.2965479999996</v>
      </c>
      <c r="Q46" s="3">
        <f>2011.5+(210.3-89.2)+(-3.077595+(-0.321759--0.136476))+0-88.2--0.134946000000005</f>
        <v>2041.2720679999998</v>
      </c>
      <c r="R46" s="3">
        <f>1973.2+(204.5-95.1)+(-3.018996+(-0.312885--0.145503))+0-39.8--0.0608940000000023</f>
        <v>2039.674516</v>
      </c>
      <c r="S46" s="3">
        <f>1935.5+(195.5-107.5)+(-1.97421+(-0.19941--0.10965))+0-21.9--0.0223380000000035</f>
        <v>1999.558368</v>
      </c>
      <c r="T46" s="3">
        <f>1953.3+(160.9-149.7)+(0.996183+(0.082059-0.076347))+0-26.2-0.0133619999999973</f>
        <v>1939.2885330000001</v>
      </c>
      <c r="U46" s="3">
        <f>1878.1+(193.8-108.8)+(-2.873493+(-0.296514--0.166464))+0-26.5--0.0405450000000015</f>
        <v>1933.6370019999999</v>
      </c>
      <c r="V46" s="3">
        <f>1819.2+(191.8-77.1)+(-3.711168+(-0.391272--0.157284))+0-23.3--0.047531999999999</f>
        <v>1906.7023760000002</v>
      </c>
      <c r="W46" s="3">
        <f>1866.9+(191.6-77.6)+(-2.856357+(-0.293148--0.118728))+0-73.2--0.111996000000004</f>
        <v>1904.7812190000002</v>
      </c>
      <c r="X46" s="3">
        <f>1860.1+(191.6-81)+(-3.794604+(-0.390864--0.16524))+0-84.2--0.171767999999996</f>
        <v>1882.6515399999996</v>
      </c>
      <c r="Y46" s="3">
        <f>1946.2+(196.6-80.4)+(-0.992562+(-0.100266--0.041004))+0-77.9--0.0397289999999921</f>
        <v>1983.487905</v>
      </c>
      <c r="Z46" s="3">
        <f>2019.2+(275.8-78)+(-5.14896+(-0.70329--0.1989))+0-79.7--0.203234999999988</f>
        <v>2131.8498850000001</v>
      </c>
      <c r="AA46" s="3">
        <f>2028.8+(220.3-76.9)+(-3.104064+(-0.337059--0.117657))+0-63.7--0.0974610000000037</f>
        <v>2105.273995</v>
      </c>
      <c r="AB46" s="3">
        <f>2033.7+(174.9-100.8)+(-3.111561+(-0.267597--0.154224))+0-79--0.120870000000005</f>
        <v>2025.6959360000003</v>
      </c>
      <c r="AC46" s="3">
        <f>2050+(140.7-158.4)+(-2.091+(-0.143514--0.161568))+0-43.6--0.044472000000007</f>
        <v>1986.6715260000001</v>
      </c>
      <c r="AD46">
        <v>2056.5</v>
      </c>
      <c r="AE46" s="3">
        <f>2032+(174.3-126.8)+(0+(0-0))+0-23-0</f>
        <v>2056.5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1996.7+(140-177.7)+(-3.054951+(-0.2142--0.271881))+0-64--0.0979200000000037</f>
        <v>1892.1006499999999</v>
      </c>
      <c r="G47" s="3">
        <f>1956+(139.5-206.8)+(-2.99268+(-0.213435--0.316404))+0-79.4--0.121482000000005</f>
        <v>1806.5317709999999</v>
      </c>
      <c r="H47" s="3">
        <f>2013.7+(140-293.5)+(0+(0-0))+0-80.8-0</f>
        <v>1779.4</v>
      </c>
      <c r="I47" s="3">
        <f>2027.6+(141.2-317.4)+(-5.17038+(-0.36006--0.80937))+0-82.8--0.211139999999988</f>
        <v>1764.0900699999997</v>
      </c>
      <c r="J47" s="3">
        <f>1946.1+(141.5-260.1)+(1.985022+(0.14433-0.265302))+0-78-0.0795600000000124</f>
        <v>1751.28449</v>
      </c>
      <c r="K47" s="3">
        <f>1905.2+(141.3-281.7)+(-3.886608+(-0.288252--0.574668))+0-75.2--0.153407999999997</f>
        <v>1686.1532159999999</v>
      </c>
      <c r="L47" s="3">
        <f>1712.2+(141.2-163)+(0.873222+(0.072012-0.08313))+0-80.8-0.0412079999999918</f>
        <v>1610.4208960000001</v>
      </c>
      <c r="M47" s="3">
        <f>1689.6+(140.8-161)+(0+(0-0))+0-35.2-0</f>
        <v>1634.1999999999998</v>
      </c>
      <c r="N47" s="3">
        <f>1762.7+(140.7-172.6)+(-0.898977+(-0.071757--0.088026))+0-20--0.010199999999998</f>
        <v>1709.9274919999998</v>
      </c>
      <c r="O47" s="3">
        <f>1815.6+(148.9-154.4)+(0+(0-0))+0-25.2-0</f>
        <v>1784.8999999999999</v>
      </c>
      <c r="P47" s="3">
        <f>1767.4+(201.6-101.3)+(-0.901374+(-0.102816--0.051663))+0-44.6--0.0227459999999955</f>
        <v>1822.1702190000003</v>
      </c>
      <c r="Q47" s="3">
        <f>1891.8+(168.7-136.4)+(0.964818+(0.086037-0.069564))+0-84.8-0.0432479999999914</f>
        <v>1840.2380430000001</v>
      </c>
      <c r="R47" s="3">
        <f>1884.2+(172.3-126.1)+(-1.921884+(-0.175746--0.128622))+0-75.7--0.0772140000000121</f>
        <v>1852.8082059999999</v>
      </c>
      <c r="S47" s="3">
        <f>1878.7+(169.5-131.1)+(-1.916274+(-0.17289--0.133722))+0-86.3--0.0880260000000138</f>
        <v>1828.9325840000004</v>
      </c>
      <c r="T47" s="3">
        <f>1947+(140.3-180.6)+(-2.97891+(-0.214659--0.276318))+0-87.5--0.133875000000005</f>
        <v>1816.416624</v>
      </c>
      <c r="U47" s="3">
        <f>1991+(141-249.8)+(-4.06164+(-0.28764--0.509592))+0-81--0.165239999999996</f>
        <v>1797.5255520000001</v>
      </c>
      <c r="V47" s="3">
        <f>1960.2+(141.7-222)+(-4.99851+(-0.361335--0.5661))+0-88.6--0.225929999999987</f>
        <v>1786.7321850000003</v>
      </c>
      <c r="W47" s="3">
        <f>1944.1+(140.6-214.2)+(-3.965964+(-0.286824--0.436968))+0-76.3--0.155651999999997</f>
        <v>1790.5398319999999</v>
      </c>
      <c r="X47" s="3">
        <f>1850.4+(149.7-128.5)+(-4.71852+(-0.381735--0.327675))+0-69.2--0.17645999999999</f>
        <v>1797.8038799999999</v>
      </c>
      <c r="Y47" s="3">
        <f>1888.2+(191.5-90.5)+(-3.851928+(-0.39066--0.18462))+0-78.1--0.159323999999997</f>
        <v>1907.201356</v>
      </c>
      <c r="Z47" s="3">
        <f>1998.2+(223.4-81.8)+(-5.09541+(-0.56967--0.20859))+0-77.2--0.196859999999989</f>
        <v>2057.3403700000003</v>
      </c>
      <c r="AA47" s="3">
        <f>2001.2+(205.2-80.5)+(-5.10306+(-0.52326--0.205275))+0-75.8--0.193289999999989</f>
        <v>2044.872245</v>
      </c>
      <c r="AB47" s="3">
        <f>2001.5+(171.5-103.6)+(-2.04153+(-0.17493--0.105672))+0-58--0.0591600000000092</f>
        <v>2009.3483720000002</v>
      </c>
      <c r="AC47" s="3">
        <f>1986.6+(160.7-108.1)+(-3.039498+(-0.245871--0.165393))+0-59.5--0.0910350000000034</f>
        <v>1976.6710589999998</v>
      </c>
      <c r="AD47">
        <v>2047.9</v>
      </c>
      <c r="AE47" s="3">
        <f>2008+(225.3-80)+(0+(0-0))+0-105.4-0</f>
        <v>2047.9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2007.2+(140.6-185.1)+(-4.094688+(-0.286824--0.377604))+0-76.9--0.156875999999997</f>
        <v>1881.9529680000001</v>
      </c>
      <c r="G48" s="3">
        <f>1893.8+(140.7-156.3)+(-4.82919+(-0.358785--0.398565))+0-92--0.234599999999987</f>
        <v>1781.6451899999997</v>
      </c>
      <c r="H48" s="3">
        <f>1898.6+(140.8-194.4)+(-3.873144+(-0.287232--0.396576))+0-88.6--0.180743999999996</f>
        <v>1752.8169440000001</v>
      </c>
      <c r="I48" s="3">
        <f>1909.2+(140.8-246.3)+(-2.921076+(-0.215424--0.376839))+0-61.1--0.0934830000000035</f>
        <v>1739.9338220000002</v>
      </c>
      <c r="J48" s="3">
        <f>1909.5+(140.6-241.9)+(-3.89538+(-0.286824--0.493476))+0-81.1--0.165443999999996</f>
        <v>1723.576716</v>
      </c>
      <c r="K48" s="3">
        <f>1784.1+(141-175.2)+(-2.729673+(-0.21573--0.268056))+0-80.8--0.123624000000005</f>
        <v>1666.5462769999999</v>
      </c>
      <c r="L48" s="3">
        <f>1609.1+(180.5-78.9)+(-4.103205+(-0.460275--0.201195))+0-87.8--0.223889999999987</f>
        <v>1618.7616049999999</v>
      </c>
      <c r="M48" s="3">
        <f>1653.2+(160.3-92.6)+(1.686264+(0.163506-0.094452))+0-65.1-0.0664020000000104</f>
        <v>1657.4889160000002</v>
      </c>
      <c r="N48" s="3">
        <f>1744.6+(162.8-88.1)+(-0.889746+(-0.083028--0.044931))+0-84.2--0.0429419999999915</f>
        <v>1734.215099</v>
      </c>
      <c r="O48" s="3">
        <f>1786.8+(170.3-79)+(-1.822536+(-0.173706--0.08058))+0-88.4--0.0901680000000141</f>
        <v>1787.8745059999997</v>
      </c>
      <c r="P48" s="3">
        <f>1852.3+(172.6-81.1)+(-3.778692+(-0.352104--0.165444))+0-88.4--0.180335999999996</f>
        <v>1851.6149839999998</v>
      </c>
      <c r="Q48" s="3">
        <f>1907+(164.5-91.2)+(-2.91771+(-0.251685--0.139536))+0-78.9--0.120717000000005</f>
        <v>1898.4908579999999</v>
      </c>
      <c r="R48" s="3">
        <f>1955.7+(141.5-120.7)+(-3.989628+(-0.28866--0.246228))+0-68.6--0.139943999999997</f>
        <v>1904.0078840000001</v>
      </c>
      <c r="S48" s="3">
        <f>1950.2+(139.1-139.2)+(-4.97301+(-0.354705--0.35496))+0-66.3--0.16906499999999</f>
        <v>1878.9963100000002</v>
      </c>
      <c r="T48" s="3">
        <f>1899.4+(151.5-111.6)+(-1.937388+(-0.15453--0.113832))+0-62.6--0.06385200000001</f>
        <v>1874.7857660000002</v>
      </c>
      <c r="U48" s="3">
        <f>1884.8+(149.2-113.7)+(-3.844992+(-0.304368--0.231948))+0-57.6--0.117503999999997</f>
        <v>1858.9000920000001</v>
      </c>
      <c r="V48" s="3">
        <f>1902.3+(152.3-110.7)+(0+(0-0))+0-88.8-0</f>
        <v>1855.1</v>
      </c>
      <c r="W48" s="3">
        <f>1883.4+(162.1-102.4)+(-2.881602+(-0.248013--0.156672))+0-88.1--0.134793000000005</f>
        <v>1852.1618500000002</v>
      </c>
      <c r="X48" s="3">
        <f>1807.5+(205.9-77)+(-3.6873+(-0.420036--0.15708))+0-84--0.171359999999996</f>
        <v>1848.6211040000001</v>
      </c>
      <c r="Y48" s="3">
        <f>1856.1+(244.8-85.3)+(-3.786444+(-0.499392--0.174012))+0-55.4--0.113015999999998</f>
        <v>1956.2011919999998</v>
      </c>
      <c r="Z48" s="3">
        <f>1983.6+(259.9-84.2)+(-3.034908+(-0.397647--0.128826))+0-44.2--0.0676260000000026</f>
        <v>2111.8638969999997</v>
      </c>
      <c r="AA48" s="3">
        <f>1982.4+(276.4-78.5)+(-4.044096+(-0.563856--0.16014))+0-81.4--0.166055999999996</f>
        <v>2094.6182440000002</v>
      </c>
      <c r="AB48" s="3">
        <f>2003.1+(188.4-90.2)+(-2.043162+(-0.192168--0.092004))+0-56.6--0.057732000000009</f>
        <v>2042.6144059999999</v>
      </c>
      <c r="AC48" s="3">
        <f>1989.9+(173.3-87.6)+(-4.059396+(-0.353532--0.178704))+0-88.1--0.179723999999996</f>
        <v>1983.4455000000003</v>
      </c>
      <c r="AD48">
        <v>2156.3000000000002</v>
      </c>
      <c r="AE48" s="3">
        <f>2015+(320.2-83.2)+(0+(0-0))+0-95.7-0</f>
        <v>2156.3000000000002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1972.3+(124.9-163.8)+(0+(0-0))+0-66.9-0</f>
        <v>1866.4999999999998</v>
      </c>
      <c r="G49" s="3">
        <f>1850.6+(132.1-116.1)+(-0.943806+(-0.067371--0.059211))+0-80.3--0.0409529999999919</f>
        <v>1785.3889869999998</v>
      </c>
      <c r="H49" s="3">
        <f>1810+(141.7-133)+(-6.4617+(-0.505869--0.47481))+0-69.1--0.246687000000001</f>
        <v>1743.3539280000002</v>
      </c>
      <c r="I49" s="3">
        <f>1757+(142.4-116.6)+(-2.68821+(-0.217872--0.178398))+0-54.3--0.0830790000000031</f>
        <v>1725.855395</v>
      </c>
      <c r="J49" s="3">
        <f>1766.7+(141.5-110.6)+(0+(0-0))+0-66.7-0</f>
        <v>1730.9</v>
      </c>
      <c r="K49" s="3">
        <f>1841.2+(141.9-202.7)+(-0.939012+(-0.072369--0.103377))+0-79.7--0.0406469999999919</f>
        <v>1699.8326430000002</v>
      </c>
      <c r="L49" s="3">
        <f>1818.8+(142.5-166.5)+(-0.927588+(-0.072675--0.084915))+0-65.9--0.0336089999999933</f>
        <v>1728.0182609999999</v>
      </c>
      <c r="M49" s="3">
        <f>1952.7+(142.3-181.9)+(0.995877+(0.072573-0.092769))+0-59.5-0.030344999999994</f>
        <v>1854.5453360000001</v>
      </c>
      <c r="N49" s="3">
        <f>2167.7+(142.8-227.7)+(2.211054+(0.145656-0.232254))+0-86-0.0877200000000137</f>
        <v>1998.8367359999997</v>
      </c>
      <c r="O49" s="3">
        <f>2335.7+(141.6-330.4)+(0+(0-0))+0-81.9-0</f>
        <v>2064.9999999999995</v>
      </c>
      <c r="P49" s="3">
        <f>2382.7+(141.4-325.3)+(0+(0-0))+0-64.3-0</f>
        <v>2134.4999999999995</v>
      </c>
      <c r="Q49" s="3">
        <f>2377.4+(142.3-276.7)+(1.212474+(0.072573-0.141117))+0-82.8-0.0422279999999916</f>
        <v>2161.3017020000002</v>
      </c>
      <c r="R49" s="3">
        <f>2375.6+(141.9-282.7)+(2.423112+(0.144738-0.288354))+0-73.7-0.0751740000000118</f>
        <v>2163.304322</v>
      </c>
      <c r="S49" s="3">
        <f>2369.9+(141.8-298)+(-1.208649+(-0.072318--0.15198))+0-87.7--0.0447269999999911</f>
        <v>2124.9157400000004</v>
      </c>
      <c r="T49" s="3">
        <f>2378.5+(141.2-344.6)+(0+(0-0))+0-81.3-0</f>
        <v>2093.7999999999997</v>
      </c>
      <c r="U49" s="3">
        <f>2374.6+(140.9-353.8)+(0+(0-0))+0-77-0</f>
        <v>2084.6999999999998</v>
      </c>
      <c r="V49" s="3">
        <f>2371.2+(140.9-409.7)+(-4.837248+(-0.287436--0.835788))+0-58.7--0.119747999999997</f>
        <v>2039.5308519999996</v>
      </c>
      <c r="W49" s="3">
        <f>2376.7+(141.8-430.6)+(-4.848468+(-0.289272--0.878424))+0-68.2--0.139127999999997</f>
        <v>2015.5798119999995</v>
      </c>
      <c r="X49" s="3">
        <f>2286+(142.8-332.9)+(-9.32688+(-0.582624--1.358232))+0-91.2--0.372095999999992</f>
        <v>1996.5208239999999</v>
      </c>
      <c r="Y49" s="3">
        <f>2156.1+(143.6-147.2)+(-5.498055+(-0.36618--0.37536))+0-80.7--0.205784999999988</f>
        <v>2066.5169100000003</v>
      </c>
      <c r="Z49" s="3">
        <f>2398.5+(141.6-270)+(-3.669705+(-0.216648--0.4131))+0-59.2--0.0905760000000034</f>
        <v>2207.517323</v>
      </c>
      <c r="AA49" s="3">
        <f>2354.8+(141-233.1)+(-7.205688+(-0.43146--0.713286))+0-86.9--0.26591400000001</f>
        <v>2169.1420520000001</v>
      </c>
      <c r="AB49" s="3">
        <f>2200.9+(142.4-194.9)+(-2.244918+(-0.145248--0.198798))+0-72.6--0.0740520000000116</f>
        <v>2073.6826840000003</v>
      </c>
      <c r="AC49" s="3">
        <f>2125.7+(141.6-214.2)+(-2.168214+(-0.144432--0.218484))+0-73.7--0.0751740000000118</f>
        <v>1977.3810120000001</v>
      </c>
      <c r="AD49">
        <v>2264.3999999999996</v>
      </c>
      <c r="AE49" s="3">
        <f>2435+(140.5-209.3)+(0+(0-0))+0-101.8-0</f>
        <v>2264.3999999999996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1964.2+(140.9-167)+(-5.00871+(-0.359295--0.42585))+0-83.3--0.212414999999988</f>
        <v>1850.0702600000002</v>
      </c>
      <c r="G50" s="3">
        <f>1762.8+(173-69.8)+(-1.798056+(-0.17646--0.071196))+0-94.3--0.096186000000015</f>
        <v>1769.8928660000001</v>
      </c>
      <c r="H50" s="3">
        <f>1753+(143.7-99.9)+(-1.78806+(-0.146574--0.101898))+0-55.2--0.0563040000000088</f>
        <v>1739.8235679999998</v>
      </c>
      <c r="I50" s="3">
        <f>1765.9+(142.2-112.6)+(0+(0-0))+0-71.8-0</f>
        <v>1723.7</v>
      </c>
      <c r="J50" s="3">
        <f>1831.7+(141.7-174.8)+(1.868334+(0.144534-0.178296))+0-78.4-0.0799680000000125</f>
        <v>1721.9546039999998</v>
      </c>
      <c r="K50" s="3">
        <f>1850.8+(142.1-228.6)+(-4.71954+(-0.362355--0.58293))+0-80.2--0.204509999999988</f>
        <v>1679.8055449999999</v>
      </c>
      <c r="L50" s="3">
        <f>1855+(139.8-200.8)+(-4.73025+(-0.35649--0.51204))+0-76.4--0.194819999999989</f>
        <v>1713.22012</v>
      </c>
      <c r="M50" s="3">
        <f>2035.8+(138.1-269.8)+(0+(0-0))+0-66.7-0</f>
        <v>1837.3999999999999</v>
      </c>
      <c r="N50" s="3">
        <f>2319.4+(137.5-448.7)+(-2.365788+(-0.14025--0.457674))+0-39.2--0.0399840000000063</f>
        <v>1966.99162</v>
      </c>
      <c r="O50" s="3">
        <f>2368.7+(140.5-391.4)+(-4.832148+(-0.28662--0.798456))+0-57.7--0.117707999999997</f>
        <v>2055.8973960000003</v>
      </c>
      <c r="P50" s="3">
        <f>2385.4+(142.2-328.7)+(-1.216554+(-0.072522--0.167637))+0-83.8--0.0427379999999915</f>
        <v>2114.021299</v>
      </c>
      <c r="Q50" s="3">
        <f>2388.4+(141.6-317.1)+(0+(0-0))+0-59.2-0</f>
        <v>2153.7000000000003</v>
      </c>
      <c r="R50" s="3">
        <f>2367.8+(141-281.2)+(-4.830312+(-0.28764--0.573648))+0-81.5--0.166259999999996</f>
        <v>2141.7219560000003</v>
      </c>
      <c r="S50" s="3">
        <f>2332.1+(141.1-281.5)+(-7.136226+(-0.431766--0.86139))+0-80.3--0.245718000000009</f>
        <v>2104.9391159999996</v>
      </c>
      <c r="T50" s="3">
        <f>2340.2+(141-327.3)+(-4.774008+(-0.28764--0.667692))+0-82--0.167279999999996</f>
        <v>2067.6733239999999</v>
      </c>
      <c r="U50" s="3">
        <f>2366.2+(141.3-375.2)+(0+(0-0))+0-82.7-0</f>
        <v>2049.6</v>
      </c>
      <c r="V50" s="3">
        <f>2329.5+(142.3-347.2)+(-5.940225+(-0.362865--0.88536))+0-84.4--0.215219999999988</f>
        <v>2034.9974899999997</v>
      </c>
      <c r="W50" s="3">
        <f>2177.2+(142.5-187.8)+(-5.55186+(-0.363375--0.47889))+0-71.4--0.18206999999999</f>
        <v>2055.2457249999993</v>
      </c>
      <c r="X50" s="3">
        <f>2023.3+(186.9-108.1)+(-4.127532+(-0.381276--0.220524))+0-32--0.0652799999999986</f>
        <v>2065.8769959999995</v>
      </c>
      <c r="Y50" s="3">
        <f>2106.8+(192.9-104.2)+(-1.074468+(-0.098379--0.053142))+0-89.3--0.0455429999999909</f>
        <v>2105.1258379999999</v>
      </c>
      <c r="Z50" s="3">
        <f>2436.6+(141.5-240.4)+(-1.242666+(-0.072165--0.122604))+0-93.5--0.0476849999999905</f>
        <v>2243.0554579999998</v>
      </c>
      <c r="AA50" s="3">
        <f>2282.2+(142.5-148.9)+(-1.163922+(-0.072675--0.075939))+0-78.9--0.040238999999992</f>
        <v>2195.7795809999998</v>
      </c>
      <c r="AB50" s="3">
        <f>2192.9+(141.2-162.5)+(-1.118379+(-0.072012--0.082875))+0-87.7--0.0447269999999911</f>
        <v>2082.837211</v>
      </c>
      <c r="AC50" s="3">
        <f>2171.3+(140.9-240.5)+(-5.536815+(-0.359295--0.613275))+0-76.6--0.195329999999989</f>
        <v>1990.0124950000004</v>
      </c>
      <c r="AD50">
        <v>2252.6000000000004</v>
      </c>
      <c r="AE50" s="3">
        <f>2458+(141.8-248.2)+(0+(0-0))+0-99-0</f>
        <v>2252.6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2087.8+(140.2-277.8)+(-2.129556+(-0.143004--0.283356))+0-66.2--0.0675240000000106</f>
        <v>1882.0783200000003</v>
      </c>
      <c r="G51" s="3">
        <f>2037.1+(141.8-288.5)+(-4.155684+(-0.289272--0.58854))+0-74.1--0.151163999999997</f>
        <v>1812.594748</v>
      </c>
      <c r="H51" s="3">
        <f>2048.6+(142.2-317.4)+(0+(0-0))+0-83.7-0</f>
        <v>1789.6999999999998</v>
      </c>
      <c r="I51" s="3">
        <f>1955.5+(142.3-301.1)+(-4.986525+(-0.362865--0.767805))+0-24.7--0.0629849999999964</f>
        <v>1767.4814000000001</v>
      </c>
      <c r="J51" s="3">
        <f>1929.2+(141.9-219)+(-4.91946+(-0.361845--0.55845))+0-91.3--0.232814999999987</f>
        <v>1756.3099600000003</v>
      </c>
      <c r="K51" s="3">
        <f>1926.3+(142.7-292.6)+(-1.964826+(-0.145554--0.298452))+0-69.2--0.070584000000011</f>
        <v>1705.4586559999998</v>
      </c>
      <c r="L51" s="3">
        <f>1820.2+(142.4-160.1)+(-6.498114+(-0.508368--0.571557))+0-77.3--0.275961000000001</f>
        <v>1719.0410360000001</v>
      </c>
      <c r="M51" s="3">
        <f>1929.9+(142.3-170)+(2.952747+(0.217719-0.2601))+0-45.7-0.0699210000000026</f>
        <v>1859.340445</v>
      </c>
      <c r="N51" s="3">
        <f>2118.3+(141.7-252.9)+(2.160666+(0.144534-0.257958))+0-14.5-0.0147900000000023</f>
        <v>1994.6324520000003</v>
      </c>
      <c r="O51" s="3">
        <f>2200.8+(140.8-259.3)+(-2.244816+(-0.143616--0.264486))+0-12.3--0.012546000000002</f>
        <v>2067.8885999999998</v>
      </c>
      <c r="P51" s="3">
        <f>2238.9+(140.7-241.4)+(-3.425517+(-0.215271--0.369342))+0-9.4--0.0143820000000005</f>
        <v>2125.5429359999998</v>
      </c>
      <c r="Q51" s="3">
        <f>2278.6+(142.1-252.2)+(1.162086+(0.072471-0.128622))+0-9-0.00458999999999909</f>
        <v>2160.601345</v>
      </c>
      <c r="R51" s="3">
        <f>2253.5+(142.3-241.1)+(-2.29857+(-0.145146--0.245922))+0-11.1--0.0113220000000018</f>
        <v>2141.4135279999996</v>
      </c>
      <c r="S51" s="3">
        <f>2318.5+(142.1-356)+(-2.36487+(-0.144942--0.36312))+0-10.4--0.0106080000000017</f>
        <v>2092.0639160000001</v>
      </c>
      <c r="T51" s="3">
        <f>2298.6+(141.1-371.2)+(-2.344572+(-0.143922--0.378624))+0-11.4--0.0116280000000018</f>
        <v>2055.0017580000003</v>
      </c>
      <c r="U51" s="3">
        <f>2215.8+(141.3-321.9)+(-5.65029+(-0.360315--0.820845))+0-11.8--0.0300899999999983</f>
        <v>2018.2403300000003</v>
      </c>
      <c r="V51" s="3">
        <f>2236.3+(116.8-321.5)+(-2.281026+(-0.119136--0.32793))+0-13.9--0.0141780000000022</f>
        <v>2015.641946</v>
      </c>
      <c r="W51" s="3">
        <f>2189.2+(85.5-248.8)+(-7.815444+(-0.305235--0.888216))+0-16.4--0.0585480000000002</f>
        <v>2002.3260849999997</v>
      </c>
      <c r="X51" s="3">
        <f>2003.9+(146.6-155.1)+(-7.153923+(-0.523362--0.553707))+0-20.1--0.0717570000000003</f>
        <v>1968.2481790000002</v>
      </c>
      <c r="Y51" s="3">
        <f>2063+(180.5-126.6)+(-2.10426+(-0.18411--0.129132))+0-70.3--0.0717060000000112</f>
        <v>2044.5124679999999</v>
      </c>
      <c r="Z51" s="3">
        <f>2269.8+(152.5-148.7)+(-3.472794+(-0.233325--0.227511))+0-65.3--0.0999090000000038</f>
        <v>2204.9213010000003</v>
      </c>
      <c r="AA51" s="3">
        <f>2253.1+(146.5-146.2)+(-5.745405+(-0.373575--0.37281))+0-77.6--0.197879999999989</f>
        <v>2170.2517100000005</v>
      </c>
      <c r="AB51" s="3">
        <f>2212+(141.3-198.4)+(0+(0-0))+0-85.9-0</f>
        <v>2069</v>
      </c>
      <c r="AC51" s="3">
        <f>2101+(142-175.9)+(-6.42906+(-0.43452--0.538254))+0-88.4--0.27050400000001</f>
        <v>1972.6451779999998</v>
      </c>
      <c r="AD51">
        <v>2151.7999999999997</v>
      </c>
      <c r="AE51" s="3">
        <f>2243+(156.1-144.4)+(0+(0-0))+0-102.9-0</f>
        <v>2151.7999999999997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1993.2+(141-198.8)+(0+(0-0))+0-81.7-0</f>
        <v>1853.7</v>
      </c>
      <c r="G52" s="3">
        <f>1964.3+(141.6-243.1)+(-4.007172+(-0.288864--0.495924))+0-75.1--0.153203999999997</f>
        <v>1784.0530920000001</v>
      </c>
      <c r="H52" s="3">
        <f>1978+(142.7-269.8)+(-3.02634+(-0.218331--0.412794))+0-81.7--0.125001000000005</f>
        <v>1766.4931240000001</v>
      </c>
      <c r="I52" s="3">
        <f>1985.3+(142.5-284.7)+(-2.025006+(-0.14535--0.290394))+0-82.2--0.0838440000000131</f>
        <v>1759.1038819999999</v>
      </c>
      <c r="J52" s="3">
        <f>1968.8+(143.2-256.8)+(-4.016352+(-0.292128--0.523872))+0-88.7--0.180947999999996</f>
        <v>1762.8963399999998</v>
      </c>
      <c r="K52" s="3">
        <f>1840.3+(143.3-201.2)+(-4.692765+(-0.365415--0.51306))+0-74--0.188699999999989</f>
        <v>1704.04358</v>
      </c>
      <c r="L52" s="3">
        <f>1773.7+(148.8-117.8)+(-1.809174+(-0.151776--0.120156))+0-79.3--0.0808860000000126</f>
        <v>1723.6400920000001</v>
      </c>
      <c r="M52" s="3">
        <f>1986.3+(56-130.9)+(-6.078078+(-0.17136--0.400554))+0-70.2--0.214812000000008</f>
        <v>1835.5659279999998</v>
      </c>
      <c r="N52" s="3">
        <f>2102.4+(100.6-161)+(2.144448+(0.102612-0.16422))+0-66-0.0673200000000105</f>
        <v>1978.0155199999999</v>
      </c>
      <c r="O52" s="3">
        <f>2170.1+(107.9-123.5)+(0+(0-0))+0-84.7-0</f>
        <v>2069.8000000000002</v>
      </c>
      <c r="P52" s="3">
        <f>2126+(185.6-76.7)+(-2.16852+(-0.189312--0.078234))+0-101.6--0.103632000000016</f>
        <v>2131.1240339999999</v>
      </c>
      <c r="Q52" s="3">
        <f>2147.8+(149.8-72)+(-2.190756+(-0.152796--0.07344))+0-76.2--0.0777240000000122</f>
        <v>2147.2076120000006</v>
      </c>
      <c r="R52" s="3">
        <f>2116.9+(165.6-75.9)+(-2.159238+(-0.168912--0.077418))+0-70.4--0.0718080000000112</f>
        <v>2134.021076</v>
      </c>
      <c r="S52" s="3">
        <f>2107.8+(148-105.6)+(0+(0-0))+0-53.2-0</f>
        <v>2097.0000000000005</v>
      </c>
      <c r="T52" s="3">
        <f>2165.9+(136.3-208.6)+(1.104609+(0.069513-0.106386))+0-23.5-0.0119849999999976</f>
        <v>2071.1557509999998</v>
      </c>
      <c r="U52" s="3">
        <f>2136.9+(140.8-204.8)+(-1.089819+(-0.071808--0.104448))+0-31.5--0.0160649999999968</f>
        <v>2040.3588860000002</v>
      </c>
      <c r="V52" s="3">
        <f>2109.8+(149.1-152.3)+(-5.37999+(-0.380205--0.388365))+0-75.1--0.191504999999989</f>
        <v>2026.3196750000004</v>
      </c>
      <c r="W52" s="3">
        <f>2120.1+(140.7-162)+(-7.568757+(-0.502299--0.57834))+0-67.3--0.240261000000001</f>
        <v>2024.2475449999995</v>
      </c>
      <c r="X52" s="3">
        <f>2120.1+(141.5-177.4)+(-4.325004+(-0.28866--0.361896))+0-78.6--0.160343999999997</f>
        <v>2001.5085759999997</v>
      </c>
      <c r="Y52" s="3">
        <f>2182.4+(149.8-158.6)+(-5.56512+(-0.38199--0.40443))+0-92.2--0.235109999999987</f>
        <v>2076.0924300000001</v>
      </c>
      <c r="Z52" s="3">
        <f>2304.9+(169.2-135.6)+(-3.526497+(-0.258876--0.207468))+0-88.2--0.134946000000005</f>
        <v>2246.8570410000002</v>
      </c>
      <c r="AA52" s="3">
        <f>2335.3+(141.5-173.6)+(0+(0-0))+0-87.6-0</f>
        <v>2215.6000000000004</v>
      </c>
      <c r="AB52" s="3">
        <f>2332+(142.1-271.7)+(-1.18932+(-0.072471--0.138567))+0-85.3--0.0435029999999913</f>
        <v>2116.0202789999998</v>
      </c>
      <c r="AC52" s="3">
        <f>2306.4+(142-366.5)+(-1.176264+(-0.07242--0.186915))+0-34.9--0.0177989999999965</f>
        <v>2045.9560300000001</v>
      </c>
      <c r="AD52">
        <v>2182.3000000000002</v>
      </c>
      <c r="AE52" s="3">
        <f>2305+(141-186)+(0+(0-0))+0-77.7-0</f>
        <v>2182.3000000000002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2077.8+(141.4-217.6)+(-1.059678+(-0.072114--0.110976))+0-84.2--0.0429419999999915</f>
        <v>1916.4221260000002</v>
      </c>
      <c r="G53" s="3">
        <f>1894.5+(142.1-126.9)+(-2.898585+(-0.217413--0.194157))+0-79--0.120870000000005</f>
        <v>1827.8990289999999</v>
      </c>
      <c r="H53" s="3">
        <f>1833.4+(143.2-92.5)+(-4.67517+(-0.36516--0.235875))+0-91.3--0.232814999999987</f>
        <v>1788.2283600000003</v>
      </c>
      <c r="I53" s="3">
        <f>1841.7+(142.9-152.1)+(-4.696335+(-0.364395--0.387855))+0-57.9--0.147644999999992</f>
        <v>1770.0747699999999</v>
      </c>
      <c r="J53" s="3">
        <f>1880.9+(142-173.3)+(0.959259+(0.07242-0.088383))+0-79.5-0.0405449999999919</f>
        <v>1771.002751</v>
      </c>
      <c r="K53" s="3">
        <f>1866.7+(141.4-200.4)+(-0.952017+(-0.072114--0.102204))+0-86.1--0.0439109999999913</f>
        <v>1720.721984</v>
      </c>
      <c r="L53" s="3">
        <f>1845.5+(141.4-162.2)+(-3.76482+(-0.288456--0.330888))+0-74.6--0.152183999999997</f>
        <v>1746.5297960000003</v>
      </c>
      <c r="M53" s="3">
        <f>1968+(141.2-155.3)+(2.00736+(0.144024-0.158406))+0-86.3-0.0880260000000138</f>
        <v>1869.504952</v>
      </c>
      <c r="N53" s="3">
        <f>2124.3+(142.2-184.1)+(2.166786+(0.145044-0.187782))+0-83.7-0.0853740000000134</f>
        <v>2000.7386740000002</v>
      </c>
      <c r="O53" s="3">
        <f>2245.6+(140.8-204.3)+(1.145256+(0.071808-0.104193))+0-84.6-0.0431459999999914</f>
        <v>2098.5697249999998</v>
      </c>
      <c r="P53" s="3">
        <f>2264.4+(140.5-180.9)+(-1.154844+(-0.071655--0.092259))+0-56.8--0.0289679999999942</f>
        <v>2166.094728</v>
      </c>
      <c r="Q53" s="3">
        <f>2246.6+(144.6-142.6)+(-3.437298+(-0.221238--0.218178))+0-82.4--0.126072000000005</f>
        <v>2162.885714</v>
      </c>
      <c r="R53" s="3">
        <f>2249.7+(140.6-160.2)+(-2.294694+(-0.143412--0.163404))+0-55.2--0.0563040000000088</f>
        <v>2172.6816020000001</v>
      </c>
      <c r="S53" s="3">
        <f>2238.1+(140.4-158.7)+(-2.282862+(-0.143208--0.161874))+0-80.1--0.0817020000000128</f>
        <v>2137.5175059999997</v>
      </c>
      <c r="T53" s="3">
        <f>2267.2+(142-233.5)+(-1.156272+(-0.07242--0.119085))+0-70.1--0.0357509999999929</f>
        <v>2104.5261439999999</v>
      </c>
      <c r="U53" s="3">
        <f>2226.9+(142-198.8)+(-5.678595+(-0.3621--0.50694))+0-86.6--0.220829999999987</f>
        <v>2078.1870750000003</v>
      </c>
      <c r="V53" s="3">
        <f>2234.1+(141-252.3)+(-1.139391+(-0.07191--0.128673))+0-83.3--0.0424829999999915</f>
        <v>2038.4598549999996</v>
      </c>
      <c r="W53" s="3">
        <f>2230.2+(142.1-272.8)+(-7.961814+(-0.507297--0.973896))+0-68.7--0.245259000000001</f>
        <v>2023.5500440000001</v>
      </c>
      <c r="X53" s="3">
        <f>2191.9+(143.4-244.4)+(-4.471476+(-0.292536--0.498576))+0-80.6--0.164423999999996</f>
        <v>2006.1989880000001</v>
      </c>
      <c r="Y53" s="3">
        <f>2225.5+(144.1-219.4)+(-4.54002+(-0.293964--0.447576))+0-81.7--0.166667999999996</f>
        <v>2064.28026</v>
      </c>
      <c r="Z53" s="3">
        <f>2280.6+(153.2-139.6)+(-3.489318+(-0.234396--0.213588))+0-72.1--0.110313000000004</f>
        <v>2218.7001869999999</v>
      </c>
      <c r="AA53" s="3">
        <f>2282+(141.1-152.6)+(-4.65528+(-0.287844--0.311304))+0-84.5--0.172379999999996</f>
        <v>2181.5405599999999</v>
      </c>
      <c r="AB53" s="3">
        <f>2183.4+(141-131.9)+(-2.227068+(-0.14382--0.134538))+0-84.6--0.0862920000000135</f>
        <v>2105.7499419999999</v>
      </c>
      <c r="AC53" s="3">
        <f>2034+(177.4-80.5)+(-4.14936+(-0.361896--0.16422))+0-74.4--0.151775999999997</f>
        <v>2052.30474</v>
      </c>
      <c r="AD53">
        <v>2212.1999999999998</v>
      </c>
      <c r="AE53" s="3">
        <f>2291+(140.6-197.1)+(0+(0-0))+0-22.3-0</f>
        <v>2212.1999999999998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1919.9+(174.9-74.7)+(-2.937447+(-0.267597--0.114291))+0-68.6--0.104958000000004</f>
        <v>1948.5142050000002</v>
      </c>
      <c r="G54" s="3">
        <f>1878.3+(157.1-84.8)+(-2.873799+(-0.240363--0.129744))+0-81.4--0.124542000000005</f>
        <v>1866.3401239999998</v>
      </c>
      <c r="H54" s="3">
        <f>1880.6+(141.2-104)+(-3.836424+(-0.288048--0.21216))+0-96.7--0.197267999999996</f>
        <v>1817.3849559999999</v>
      </c>
      <c r="I54" s="3">
        <f>1828.1+(140.7-99.9)+(0+(0-0))+0-80.2-0</f>
        <v>1788.6999999999998</v>
      </c>
      <c r="J54" s="3">
        <f>1810.6+(140.7-100.3)+(-1.846812+(-0.143514--0.102306))+0-78.4--0.0799680000000125</f>
        <v>1770.7919479999998</v>
      </c>
      <c r="K54" s="3">
        <f>1751.6+(140.6-105.3)+(0+(0-0))+0-83.7-0</f>
        <v>1703.1999999999998</v>
      </c>
      <c r="L54" s="3">
        <f>1616.4+(201-75.8)+(-4.12182+(-0.51255--0.19329))+0-79.4--0.202469999999988</f>
        <v>1657.9613899999999</v>
      </c>
      <c r="M54" s="3">
        <f>1656.2+(204.8-72)+(1.689324+(0.208896-0.07344))+0-84.9-0.0865980000000135</f>
        <v>1705.8381819999997</v>
      </c>
      <c r="N54" s="3">
        <f>1818.5+(140.4-108.6)+(0.927435+(0.071604-0.055386))+0-66.9-0.0341189999999932</f>
        <v>1784.309534</v>
      </c>
      <c r="O54" s="3">
        <f>1889.2+(162.5-99.7)+(-1.926984+(-0.16575--0.101694))+0-74.9--0.0763980000000119</f>
        <v>1875.1853579999997</v>
      </c>
      <c r="P54" s="3">
        <f>1887.4+(208.5-77.1)+(-0.962574+(-0.106335--0.039321))+0-81.3--0.0414629999999918</f>
        <v>1936.5118750000001</v>
      </c>
      <c r="Q54" s="3">
        <f>1971.5+(182.4-79.5)+(2.01093+(0.186048-0.08109))+0-93.3-0.0951660000000149</f>
        <v>1983.1207219999999</v>
      </c>
      <c r="R54" s="3">
        <f>1964.6+(184.3-87.2)+(4.007784+(0.375972-0.177888))+0-84.9-0.173195999999996</f>
        <v>1980.8326719999998</v>
      </c>
      <c r="S54" s="3">
        <f>1926.9+(182.7-109.1)+(-0.982719+(-0.093177--0.055641))+0-34.7--0.0176969999999965</f>
        <v>1964.797442</v>
      </c>
      <c r="T54" s="3">
        <f>1891.4+(212-79)+(-4.82307+(-0.5406--0.20145))+0-77.4--0.197369999999989</f>
        <v>1942.0351500000002</v>
      </c>
      <c r="U54" s="3">
        <f>1893.5+(204.2-88.4)+(-3.86274+(-0.416568--0.180336))+0-88--0.179519999999996</f>
        <v>1917.3805479999999</v>
      </c>
      <c r="V54" s="3">
        <f>1884.5+(183-110.7)+(-2.883285+(-0.27999--0.169371))+0-55.1--0.0843030000000032</f>
        <v>1898.7903990000002</v>
      </c>
      <c r="W54" s="3">
        <f>1791.2+(260.6-71.2)+(-5.481072+(-0.797436--0.217872))+0-82.6--0.25275600000001</f>
        <v>1892.1921200000004</v>
      </c>
      <c r="X54" s="3">
        <f>1708.7+(344-75.2)+(-4.357185+(-0.8772--0.19176))+0-80.8--0.206039999999988</f>
        <v>1891.863415</v>
      </c>
      <c r="Y54" s="3">
        <f>1783.4+(366.2-84)+(0+(0-0))+0-89-0</f>
        <v>1976.6</v>
      </c>
      <c r="Z54" s="3">
        <f>1965.2+(350.9-87.4)+(-4.009008+(-0.715836--0.178296))+0-71--0.144839999999997</f>
        <v>2153.2982919999999</v>
      </c>
      <c r="AA54" s="3">
        <f>1969.9+(341.4-81.8)+(-3.013947+(-0.522342--0.125154))+0-79.7--0.121941000000005</f>
        <v>2146.5108060000002</v>
      </c>
      <c r="AB54" s="3">
        <f>1984.4+(219.2-65.8)+(0+(0-0))+0-34.4-0</f>
        <v>2103.4</v>
      </c>
      <c r="AC54" s="3">
        <f>1957.3+(157-54.5)+(-1.996446+(-0.16014--0.05559))+0-22.8--0.0232560000000036</f>
        <v>2034.9222600000001</v>
      </c>
      <c r="AD54">
        <v>2255.1</v>
      </c>
      <c r="AE54" s="3">
        <f>2007+(401.6-85.1)+(0+(0-0))+0-68.4-0</f>
        <v>2255.1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1953.6+(121.9-63.3)+(-2.989008+(-0.186507--0.096849))+0-84.3--0.128979000000005</f>
        <v>1924.9503129999998</v>
      </c>
      <c r="G55" s="3">
        <f>1885.4+(114.6-94.3)+(-4.80777+(-0.29223--0.240465))+0-57.6--0.146879999999992</f>
        <v>1843.3873450000001</v>
      </c>
      <c r="H55" s="3">
        <f>1873.4+(130.3-104.7)+(0.955434+(0.066453-0.053397))+0-87.1-0.0444209999999912</f>
        <v>1812.824069</v>
      </c>
      <c r="I55" s="3">
        <f>1844.3+(130.9-108.8)+(-3.762372+(-0.267036--0.221952))+0-86.4--0.176255999999996</f>
        <v>1776.3687999999997</v>
      </c>
      <c r="J55" s="3">
        <f>1849.9+(140.5-128)+(-2.830347+(-0.214965--0.19584))+0-80.1--0.122553000000005</f>
        <v>1779.573081</v>
      </c>
      <c r="K55" s="3">
        <f>1799+(141.9-126.6)+(-3.66996+(-0.289476--0.258264))+0-84.6--0.172583999999996</f>
        <v>1726.1714119999999</v>
      </c>
      <c r="L55" s="3">
        <f>1654.9+(259.4-76.4)+(-4.219995+(-0.66147--0.19482))+0-80.4--0.205019999999988</f>
        <v>1753.0183749999999</v>
      </c>
      <c r="M55" s="3">
        <f>1860.2+(175.2-72.1)+(0+(0-0))+0-65.8-0</f>
        <v>1897.5</v>
      </c>
      <c r="N55" s="3">
        <f>2044.7+(143.1-77.6)+(-5.213985+(-0.364905--0.19788))+0-49.9--0.127244999999993</f>
        <v>2055.0462349999998</v>
      </c>
      <c r="O55" s="3">
        <f>2113.2+(152.6-82.5)+(-3.233196+(-0.233478--0.126225))+0-24.7--0.0377910000000014</f>
        <v>2155.2973420000003</v>
      </c>
      <c r="P55" s="3">
        <f>2154.9+(266.6-84.5)+(-2.197998+(-0.271932--0.08619))+0-76.4--0.0779280000000122</f>
        <v>2258.2941879999998</v>
      </c>
      <c r="Q55" s="3">
        <f>2208.3+(280.7-86.1)+(0+(0-0))+0-92.5-0</f>
        <v>2310.4</v>
      </c>
      <c r="R55" s="3">
        <f>2320+(139.9-80)+(-3.5496+(-0.214047--0.1224))+0-65.1--0.0996030000000038</f>
        <v>2311.2583560000003</v>
      </c>
      <c r="S55" s="3">
        <f>2316+(141-88.9)+(-4.72464+(-0.28764--0.181356))+0-91.6--0.186863999999996</f>
        <v>2271.8559399999999</v>
      </c>
      <c r="T55" s="3">
        <f>2312.6+(141.3-106.3)+(-4.717704+(-0.288252--0.216852))+0-90.7--0.185027999999996</f>
        <v>2252.295924</v>
      </c>
      <c r="U55" s="3">
        <f>2297.3+(141.9-117)+(-1.171623+(-0.072369--0.05967))+0-78.6--0.040085999999992</f>
        <v>2242.4557640000003</v>
      </c>
      <c r="V55" s="3">
        <f>2154.2+(243-82.8)+(0+(0-0))+0-90.1-0</f>
        <v>2224.2999999999997</v>
      </c>
      <c r="W55" s="3">
        <f>2198+(185.1-83.7)+(-6.72588+(-0.566406--0.256122))+0-83.5--0.25551000000001</f>
        <v>2209.119346</v>
      </c>
      <c r="X55" s="3">
        <f>2087.5+(222.4-80.8)+(-9.581625+(-1.020816--0.370872))+0-68.5--0.314415000000012</f>
        <v>2150.6828459999997</v>
      </c>
      <c r="Y55" s="3">
        <f>2182.8+(174.3-87.4)+(-2.226456+(-0.177786--0.089148))+0-57.1--0.0582420000000091</f>
        <v>2210.3431480000004</v>
      </c>
      <c r="Z55" s="3">
        <f>2409.5+(121.3-88.7)+(-3.686535+(-0.185589--0.135711))+0-42.3--0.0647190000000024</f>
        <v>2396.1283059999996</v>
      </c>
      <c r="AA55" s="3">
        <f>2361.9+(170-86.5)+(-3.613707+(-0.2601--0.132345))+0-72.1--0.110313000000004</f>
        <v>2369.6688510000004</v>
      </c>
      <c r="AB55" s="3">
        <f>2236.7+(161.3-88.7)+(-1.140717+(-0.082263--0.045237))+0-22.2--0.0113219999999977</f>
        <v>2285.9335789999996</v>
      </c>
      <c r="AC55" s="3">
        <f>2175.4+(169.3-66.5)+(-2.218908+(-0.172686--0.06783))+0-80.9--0.0825180000000129</f>
        <v>2195.0587540000001</v>
      </c>
      <c r="AD55">
        <v>2394.2000000000003</v>
      </c>
      <c r="AE55" s="3">
        <f>2415+(166.9-88.7)+(0+(0-0))+0-99-0</f>
        <v>2394.1999999999998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2032.5+(157-56.8)+(-2.07315+(-0.16014--0.057936))+0-58.2--0.0593640000000093</f>
        <v>2072.3840100000002</v>
      </c>
      <c r="G56" s="3">
        <f>1905.4+(190.7-50.6)+(-5.830524+(-0.583542--0.154836))+0-74.3--0.227358000000009</f>
        <v>1965.1681280000003</v>
      </c>
      <c r="H56" s="3">
        <f>1876.3+(190.2-49.3)+(-2.870739+(-0.291006--0.075429))+0-93.8--0.143514000000005</f>
        <v>1920.4571980000001</v>
      </c>
      <c r="I56" s="3">
        <f>1876.2+(158.8-65.2)+(-1.913724+(-0.161976--0.066504))+0-70.1--0.0715020000000112</f>
        <v>1897.7623060000001</v>
      </c>
      <c r="J56" s="3">
        <f>1869.2+(156.9-69.8)+(-3.813168+(-0.320076--0.142392))+0-76.3--0.155651999999997</f>
        <v>1876.1648</v>
      </c>
      <c r="K56" s="3">
        <f>1849+(150.4-96.8)+(-6.60093+(-0.536928--0.345576))+0-77.6--0.277032000000001</f>
        <v>1818.4847500000001</v>
      </c>
      <c r="L56" s="3">
        <f>1864+(152.8-92.8)+(-1.90128+(-0.155856--0.094656))+0-76.1--0.0776220000000121</f>
        <v>1846.0151420000002</v>
      </c>
      <c r="M56" s="3">
        <f>1969.9+(184-75.8)+(1.004649+(0.09384-0.038658))+0-87.4-0.0445739999999911</f>
        <v>1991.7152569999998</v>
      </c>
      <c r="N56" s="3">
        <f>2077+(230.5-81.2)+(2.11854+(0.23511-0.082824))+0-83.3-0.0849660000000133</f>
        <v>2145.18586</v>
      </c>
      <c r="O56" s="3">
        <f>2200.5+(194.1-84.9)+(3.366765+(0.296973-0.129897))+0-73.5-0.112455000000004</f>
        <v>2239.6213859999998</v>
      </c>
      <c r="P56" s="3">
        <f>2190.8+(318.3-83.3)+(1.117308+(0.162333-0.042483))+0-80.5-0.0410549999999918</f>
        <v>2346.4961029999999</v>
      </c>
      <c r="Q56" s="3">
        <f>2237.6+(294.1-85)+(-3.423528+(-0.449973--0.13005))+0-73.9--0.113067000000004</f>
        <v>2369.1696160000001</v>
      </c>
      <c r="R56" s="3">
        <f>2323.5+(238.4-79)+(3.554955+(0.364752-0.12087))+0-79.3-0.121329000000005</f>
        <v>2407.2775079999997</v>
      </c>
      <c r="S56" s="3">
        <f>2428.1+(114.2-99.5)+(-2.476662+(-0.116484--0.10149))+0-74.5--0.0759900000000119</f>
        <v>2365.8843339999994</v>
      </c>
      <c r="T56" s="3">
        <f>2462.6+(111.4-126.7)+(-1.255926+(-0.056814--0.064617))+0-86.7--0.0442169999999912</f>
        <v>2359.3960940000002</v>
      </c>
      <c r="U56" s="3">
        <f>2452.6+(108.6-162.5)+(-5.003304+(-0.221544--0.3315))+0-85.6--0.174623999999996</f>
        <v>2308.3812760000001</v>
      </c>
      <c r="V56" s="3">
        <f>2498.8+(108.9-271.7)+(-2.548776+(-0.111078--0.277134))+0-32.4--0.0330480000000052</f>
        <v>2301.2503279999996</v>
      </c>
      <c r="W56" s="3">
        <f>2351.3+(115.2-167.1)+(-7.194978+(-0.352512--0.511326))+0-36.9--0.112914000000004</f>
        <v>2255.5767499999997</v>
      </c>
      <c r="X56" s="3">
        <f>2213.8+(160.7-98.8)+(-4.516152+(-0.327828--0.201552))+0-73.2--0.149327999999997</f>
        <v>2198.0069000000003</v>
      </c>
      <c r="Y56" s="3">
        <f>2283.7+(153.4-91.6)+(-1.164687+(-0.078234--0.046716))+0-90.1--0.0459509999999909</f>
        <v>2254.249746</v>
      </c>
      <c r="Z56" s="3">
        <f>2503.3+(87.9-93.9)+(-2.553366+(-0.089658--0.095778))+0-86.8--0.0885360000000138</f>
        <v>2408.0412900000001</v>
      </c>
      <c r="AA56" s="3">
        <f>2470.2+(101.3-114.7)+(-3.779406+(-0.154989--0.175491))+0-83.2--0.127296000000005</f>
        <v>2369.9683920000002</v>
      </c>
      <c r="AB56" s="3">
        <f>2456.1+(119.5-218.7)+(0+(0-0))+0-82.2-0</f>
        <v>2274.7000000000003</v>
      </c>
      <c r="AC56" s="3">
        <f>2319+(118-186.8)+(-3.54807+(-0.18054--0.285804))+0-89.9--0.137547000000005</f>
        <v>2156.9947409999995</v>
      </c>
      <c r="AD56">
        <v>2417.6</v>
      </c>
      <c r="AE56" s="3">
        <f>2488+(105-84.4)+(0+(0-0))+0-91-0</f>
        <v>2417.6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2212.6+(133.6-210.5)+(-5.64213+(-0.34068--0.536775))+0-78.9--0.201194999999989</f>
        <v>2051.5551599999999</v>
      </c>
      <c r="G57" s="3">
        <f>2048+(140.9-131.4)+(-5.2224+(-0.359295--0.33507))+0-85.5--0.218024999999988</f>
        <v>1966.9713999999997</v>
      </c>
      <c r="H57" s="3">
        <f>1998.4+(139.9-138.8)+(-5.09592+(-0.356745--0.35394))+0-74.8--0.190739999999989</f>
        <v>1919.792015</v>
      </c>
      <c r="I57" s="3">
        <f>2002.4+(140.5-187.7)+(-2.042448+(-0.14331--0.191454))+0-66.1--0.0674220000000105</f>
        <v>1887.1731180000002</v>
      </c>
      <c r="J57" s="3">
        <f>1994.3+(140.3-201.3)+(-1.017093+(-0.071553--0.102663))+0-62.1--0.0316709999999937</f>
        <v>1870.245688</v>
      </c>
      <c r="K57" s="3">
        <f>1991.5+(140.1-240.3)+(-3.046995+(-0.214353--0.367659))+0-73.4--0.112302000000004</f>
        <v>1815.1186129999999</v>
      </c>
      <c r="L57" s="3">
        <f>1844.3+(157.7-79.4)+(-1.881186+(-0.160854--0.080988))+0-77.4--0.0789480000000123</f>
        <v>1843.3178959999998</v>
      </c>
      <c r="M57" s="3">
        <f>2001.8+(158-76.6)+(0+(0-0))+0-87.6-0</f>
        <v>1995.6</v>
      </c>
      <c r="N57" s="3">
        <f>2130.2+(158-77.6)+(2.172804+(0.16116-0.079152))+0-65.6-0.0669120000000104</f>
        <v>2147.1878999999999</v>
      </c>
      <c r="O57" s="3">
        <f>2318.7+(141.4-117.6)+(0+(0-0))+0-72.3-0</f>
        <v>2270.1999999999998</v>
      </c>
      <c r="P57" s="3">
        <f>2456.8+(140.8-193.5)+(0+(0-0))+0-62-0</f>
        <v>2342.1000000000004</v>
      </c>
      <c r="Q57" s="3">
        <f>2466.7+(140.3-133.6)+(1.258017+(0.071553-0.068136))+0-84.1-0.0428909999999915</f>
        <v>2390.5185429999997</v>
      </c>
      <c r="R57" s="3">
        <f>2435.8+(158.9-111.4)+(-3.726774+(-0.243117--0.170442))+0-74.8--0.114444000000004</f>
        <v>2404.8149949999997</v>
      </c>
      <c r="S57" s="3">
        <f>2437.6+(140.3-140.4)+(-1.243176+(-0.071553--0.071604))+0-80.7--0.0411569999999918</f>
        <v>2355.5980320000003</v>
      </c>
      <c r="T57" s="3">
        <f>2409+(153.5-129.3)+(-7.37154+(-0.46971--0.395658))+0-84.9--0.25979400000001</f>
        <v>2341.1142019999998</v>
      </c>
      <c r="U57" s="3">
        <f>2385+(150.6-144)+(-7.2981+(-0.460836--0.44064))+0-71.7--0.219402000000008</f>
        <v>2312.8011060000003</v>
      </c>
      <c r="V57" s="3">
        <f>2360.2+(143-141.5)+(-8.425914+(-0.51051--0.505155))+0-77.7--0.277389000000001</f>
        <v>2275.8461199999997</v>
      </c>
      <c r="W57" s="3">
        <f>2178.7+(193.2-92.5)+(-8.889096+(-0.788256--0.3774))+0-24.7--0.100775999999998</f>
        <v>2245.5008240000002</v>
      </c>
      <c r="X57" s="3">
        <f>2072+(222.2-86.3)+(-7.39704+(-0.793254--0.308091))+0-25.9--0.0924630000000004</f>
        <v>2174.2102599999998</v>
      </c>
      <c r="Y57" s="3">
        <f>2147.2+(232-85.9)+(-4.380288+(-0.47328--0.175236))+0-86.6--0.176663999999996</f>
        <v>2202.1983319999999</v>
      </c>
      <c r="Z57" s="3">
        <f>2407.1+(155.9-86.3)+(-7.365726+(-0.477054--0.264078))+0-85.6--0.26193600000001</f>
        <v>2383.783234</v>
      </c>
      <c r="AA57" s="3">
        <f>2454.3+(102.7-108.1)+(-5.006772+(-0.209508--0.220524))+0-92.4--0.188495999999996</f>
        <v>2351.6927400000004</v>
      </c>
      <c r="AB57" s="3">
        <f>2258.7+(179.5-87.8)+(-4.607748+(-0.36618--0.179112))+0-84.1--0.171563999999996</f>
        <v>2261.6767479999999</v>
      </c>
      <c r="AC57" s="3">
        <f>2038.7+(290.9-61.3)+(-3.119211+(-0.445077--0.093789))+0-88--0.134640000000005</f>
        <v>2176.9641410000004</v>
      </c>
      <c r="AD57">
        <v>2373.3000000000002</v>
      </c>
      <c r="AE57" s="3">
        <f>2482+(95.9-111)+(0+(0-0))+0-93.6-0</f>
        <v>2373.3000000000002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1998.5+(196.2-62.6)+(-2.03847+(-0.200124--0.063852))+0-70.7--0.0721140000000113</f>
        <v>2059.297372</v>
      </c>
      <c r="G58" s="3">
        <f>1897.5+(205-54)+(-3.8709+(-0.4182--0.11016))+0-81.8--0.166871999999996</f>
        <v>1962.687932</v>
      </c>
      <c r="H58" s="3">
        <f>1871.6+(180.3-62.6)+(-1.909032+(-0.183906--0.063852))+0-73.7--0.0751740000000118</f>
        <v>1913.646088</v>
      </c>
      <c r="I58" s="3">
        <f>1863.3+(162.1-84.9)+(-3.801132+(-0.330684--0.173196))+0-52.6--0.107303999999998</f>
        <v>1884.0486839999999</v>
      </c>
      <c r="J58" s="3">
        <f>1865.2+(176.9-68.6)+(-2.853756+(-0.270657--0.104958))+0-95.7--0.146421000000006</f>
        <v>1874.9269659999998</v>
      </c>
      <c r="K58" s="3">
        <f>1797.3+(178.8-92)+(-5.499738+(-0.547128--0.28152))+0-72.5--0.221850000000008</f>
        <v>1806.0565039999999</v>
      </c>
      <c r="L58" s="3">
        <f>1588.9+(394-78.9)+(-4.051695+(-1.0047--0.201195))+0-71.5--0.18232499999999</f>
        <v>1827.827125</v>
      </c>
      <c r="M58" s="3">
        <f>1878.7+(226.3-77.6)+(-0.958137+(-0.115413--0.039576))+0-34.2--0.0174419999999965</f>
        <v>1992.1834680000002</v>
      </c>
      <c r="N58" s="3">
        <f>2119.9+(155-107.1)+(0+(0-0))+0-22.9-0</f>
        <v>2144.9</v>
      </c>
      <c r="O58" s="3">
        <f>2116.7+(219.4-82.2)+(-1.079517+(-0.111894--0.041922))+0-22.3--0.0113729999999977</f>
        <v>2230.4618839999994</v>
      </c>
      <c r="P58" s="3">
        <f>2170.5+(249.1-86)+(1.106955+(0.127041-0.04386))+0-17.8-0.0090779999999982</f>
        <v>2316.9810579999998</v>
      </c>
      <c r="Q58" s="3">
        <f>2179.3+(290.2-85.9)+(2.222886+(0.296004-0.087618))+0-17.1-0.0174420000000027</f>
        <v>2368.9138300000004</v>
      </c>
      <c r="R58" s="3">
        <f>2207.9+(306.6-81)+(-2.252058+(-0.312732--0.08262))+0-20.3--0.0207060000000032</f>
        <v>2410.7385359999994</v>
      </c>
      <c r="S58" s="3">
        <f>2205.9+(278.4-82.5)+(-5.625045+(-0.70992--0.210375))+0-19.8--0.0504899999999971</f>
        <v>2375.9259000000002</v>
      </c>
      <c r="T58" s="3">
        <f>2213.3+(251.6-85)+(0+(0-0))+0-21.2-0</f>
        <v>2358.7000000000003</v>
      </c>
      <c r="U58" s="3">
        <f>2196.8+(276.5-84.8)+(-3.361104+(-0.423045--0.129744))+0-63--0.0963900000000036</f>
        <v>2321.9419849999999</v>
      </c>
      <c r="V58" s="3">
        <f>2201.1+(280.7-84)+(-2.245122+(-0.286314--0.08568))+0-78.6--0.0801720000000125</f>
        <v>2316.8344159999997</v>
      </c>
      <c r="W58" s="3">
        <f>2159.2+(291.4-86.3)+(-6.607152+(-0.891684--0.264078))+0-84.1--0.25734600000001</f>
        <v>2273.2225879999996</v>
      </c>
      <c r="X58" s="3">
        <f>2051.5+(292.7-86.4)+(-6.27759+(-0.895662--0.264384))+0-42.5--0.130050000000005</f>
        <v>2208.5211820000004</v>
      </c>
      <c r="Y58" s="3">
        <f>2067.6+(313.3-89.2)+(-3.163428+(-0.479349--0.136476))+0-63.7--0.0974610000000037</f>
        <v>2224.5911599999999</v>
      </c>
      <c r="Z58" s="3">
        <f>2228.4+(352.3-87.4)+(-4.545936+(-0.718692--0.178296))+0-82.9--0.169115999999996</f>
        <v>2405.4827840000003</v>
      </c>
      <c r="AA58" s="3">
        <f>2223.5+(288.2-89.1)+(-5.669925+(-0.73491--0.227205))+0-27.6--0.070379999999996</f>
        <v>2388.89275</v>
      </c>
      <c r="AB58" s="3">
        <f>2183.1+(285.6-76.4)+(0+(0-0))+0-78.4-0</f>
        <v>2313.8999999999996</v>
      </c>
      <c r="AC58" s="3">
        <f>2045.3+(313.7-63.3)+(-4.172412+(-0.639948--0.129132))+0-64.2--0.130967999999997</f>
        <v>2226.9477400000001</v>
      </c>
      <c r="AD58">
        <v>2417.5</v>
      </c>
      <c r="AE58" s="3">
        <f>2253+(278.5-90.3)+(0+(0-0))+0-23.7-0</f>
        <v>2417.5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2029.6+(232.4-59)+(-4.140384+(-0.474096--0.12036))+0-83.2--0.169727999999996</f>
        <v>2115.4756080000002</v>
      </c>
      <c r="G59" s="3">
        <f>1980.2+(191.7-65.5)+(-2.019804+(-0.195534--0.06681))+0-83.5--0.0851700000000133</f>
        <v>2020.836642</v>
      </c>
      <c r="H59" s="3">
        <f>1837.4+(247.5-54.4)+(-0.937074+(-0.126225--0.027744))+0-79.2--0.040391999999992</f>
        <v>1950.3048369999999</v>
      </c>
      <c r="I59" s="3">
        <f>1836.1+(232.9-53.2)+(-1.872822+(-0.237558--0.054264))+0-92.4--0.0942480000000147</f>
        <v>1921.438132</v>
      </c>
      <c r="J59" s="3">
        <f>1773.7+(266.7-58.6)+(0+(0-0))+0-75.9-0</f>
        <v>1905.8999999999999</v>
      </c>
      <c r="K59" s="3">
        <f>1795.6+(197.3-86.4)+(-3.663024+(-0.402492--0.176256))+0-69.8--0.142391999999997</f>
        <v>1832.9531320000001</v>
      </c>
      <c r="L59" s="3">
        <f>1790+(237.2-78)+(-4.5645+(-0.60486--0.1989))+0-75--0.191249999999989</f>
        <v>1869.4207900000001</v>
      </c>
      <c r="M59" s="3">
        <f>2009.8+(193.2-87.1)+(0+(0-0))+0-89-0</f>
        <v>2026.9</v>
      </c>
      <c r="N59" s="3">
        <f>2082.9+(227.9-78)+(-1.062279+(-0.116229--0.03978))+0-64.3--0.0327929999999935</f>
        <v>2167.394065</v>
      </c>
      <c r="O59" s="3">
        <f>2106.3+(323.4-84.5)+(-1.074213+(-0.164934--0.043095))+0-77.2--0.0393719999999922</f>
        <v>2266.8433200000009</v>
      </c>
      <c r="P59" s="3">
        <f>2174.1+(354.8-81.8)+(-2.217582+(-0.361896--0.083436))+0-79.7--0.0812940000000127</f>
        <v>2364.9852519999999</v>
      </c>
      <c r="Q59" s="3">
        <f>2248.7+(332.8-77)+(1.146837+(0.169728-0.03927))+0-73.9-0.0376889999999925</f>
        <v>2431.839606</v>
      </c>
      <c r="R59" s="3">
        <f>2250.4+(356.3-76.7)+(-1.147704+(-0.181713--0.039117))+0-79.7--0.0406469999999919</f>
        <v>2449.0503469999999</v>
      </c>
      <c r="S59" s="3">
        <f>2249.5+(329.2-82.4)+(1.147245+(0.167892-0.042024))+0-88.1-0.0449309999999911</f>
        <v>2409.4281820000006</v>
      </c>
      <c r="T59" s="3">
        <f>2241+(294-86.2)+(-1.14291+(-0.14994--0.043962))+0-81.2--0.0414119999999918</f>
        <v>2366.3925240000003</v>
      </c>
      <c r="U59" s="3">
        <f>2249.6+(234.5-86.9)+(-5.73648+(-0.597975--0.221595))+0-49.8--0.126989999999993</f>
        <v>2341.4141299999997</v>
      </c>
      <c r="V59" s="3">
        <f>2257.8+(250.1-83)+(-4.605912+(-0.510204--0.16932))+0-88.2--0.179927999999996</f>
        <v>2331.9331320000001</v>
      </c>
      <c r="W59" s="3">
        <f>2268.5+(202.7-88.7)+(-5.784675+(-0.516885--0.226185))+0-93.6--0.238679999999986</f>
        <v>2283.0633050000001</v>
      </c>
      <c r="X59" s="3">
        <f>2274.5+(159.9-118.1)+(-8.119965+(-0.570843--0.421617))+0-80.1--0.285957000000001</f>
        <v>2228.2167660000005</v>
      </c>
      <c r="Y59" s="3">
        <f>2309.9+(141.8-130.4)+(-2.356098+(-0.144636--0.133008))+0-84.3--0.0859860000000134</f>
        <v>2234.7182600000001</v>
      </c>
      <c r="Z59" s="3">
        <f>2425.4+(134-87.3)+(-2.473908+(-0.13668--0.089046))+0-80.3--0.0819060000000128</f>
        <v>2389.3603639999997</v>
      </c>
      <c r="AA59" s="3">
        <f>2446.3+(113.3-106.6)+(-4.990452+(-0.231132--0.217464))+0-86--0.175439999999996</f>
        <v>2362.1713199999999</v>
      </c>
      <c r="AB59" s="3">
        <f>2213+(214.9-81.8)+(-5.64315+(-0.547995--0.20859))+0-81.2--0.207059999999988</f>
        <v>2259.1245050000002</v>
      </c>
      <c r="AC59" s="3">
        <f>2062.5+(233.9-62.1)+(-1.051875+(-0.119289--0.031671))+0-53.2--0.0271319999999946</f>
        <v>2179.9876390000004</v>
      </c>
      <c r="AD59">
        <v>2423.4000000000005</v>
      </c>
      <c r="AE59" s="3">
        <f>2476+(129.8-82.7)+(0+(0-0))+0-99.7-0</f>
        <v>2423.4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1851+(350.3-58.1)+(-4.72005+(-0.893265--0.148155))+0-84.2--0.214709999999988</f>
        <v>2053.74955</v>
      </c>
      <c r="G60" s="3">
        <f>1818.1+(283.8-56.2)+(-0.927231+(-0.144738--0.028662))+0-79.1--0.040340999999992</f>
        <v>1965.5970339999999</v>
      </c>
      <c r="H60" s="3">
        <f>1793.1+(272.2-53.6)+(-3.657924+(-0.555288--0.109344))+0-87.8--0.179111999999996</f>
        <v>1919.975244</v>
      </c>
      <c r="I60" s="3">
        <f>1713.9+(328.8-50.6)+(-4.370445+(-0.83844--0.12903))+0-86.9--0.221594999999987</f>
        <v>1900.3417400000001</v>
      </c>
      <c r="J60" s="3">
        <f>1691.5+(328.1-58.3)+(-2.587995+(-0.501993--0.089199))+0-74.5--0.113985000000004</f>
        <v>1883.913196</v>
      </c>
      <c r="K60" s="3">
        <f>1693.1+(277-82.4)+(-2.590443+(-0.42381--0.126072))+0-78.5--0.120105000000005</f>
        <v>1806.4319239999998</v>
      </c>
      <c r="L60" s="3">
        <f>1698.3+(304.1-82.2)+(-0.866133+(-0.155091--0.041922))+0-83.8--0.0427379999999915</f>
        <v>1835.4634360000002</v>
      </c>
      <c r="M60" s="3">
        <f>1966.7+(160.3-89.1)+(-1.003017+(-0.081753--0.045441))+0-74.1--0.0377909999999925</f>
        <v>1962.7984620000002</v>
      </c>
      <c r="N60" s="3">
        <f>2095.3+(190.1-80.9)+(1.068603+(0.096951-0.041259))+0-81-0.0413099999999918</f>
        <v>2124.582985</v>
      </c>
      <c r="O60" s="3">
        <f>2116.7+(216.7-76.9)+(-3.238551+(-0.331551--0.117657))+0-55.4--0.0847620000000032</f>
        <v>2197.732317</v>
      </c>
      <c r="P60" s="3">
        <f>2129.4+(322.8-78.3)+(-2.171988+(-0.329256--0.079866))+0-68.2--0.0695640000000109</f>
        <v>2303.3481860000002</v>
      </c>
      <c r="Q60" s="3">
        <f>2128.2+(358.7-78.8)+(-2.170764+(-0.365874--0.080376))+0-88.6--0.0903720000000141</f>
        <v>2317.13411</v>
      </c>
      <c r="R60" s="3">
        <f>2280.7+(238.4-79.5)+(1.163157+(0.121584-0.040545))+0-74.7-0.0380969999999924</f>
        <v>2366.1060990000001</v>
      </c>
      <c r="S60" s="3">
        <f>2303+(192.3-85.7)+(-1.17453+(-0.098073--0.043707))+0-84.8--0.0432479999999914</f>
        <v>2323.6143519999996</v>
      </c>
      <c r="T60" s="3">
        <f>2303.4+(172.3-98.6)+(1.174734+(0.087873-0.050286))+0-86.4-0.0440639999999912</f>
        <v>2291.8682569999996</v>
      </c>
      <c r="U60" s="3">
        <f>2286.6+(154.4-117.8)+(-3.498498+(-0.236232--0.180234))+0-74--0.113220000000004</f>
        <v>2245.7587239999998</v>
      </c>
      <c r="V60" s="3">
        <f>2289.6+(141.5-158.3)+(-1.167696+(-0.072165--0.080733))+0-42.1--0.0214709999999957</f>
        <v>2229.5623430000001</v>
      </c>
      <c r="W60" s="3">
        <f>2272.9+(150.1-140.3)+(-5.795895+(-0.382755--0.357765))+0-74.8--0.190739999999989</f>
        <v>2202.269855</v>
      </c>
      <c r="X60" s="3">
        <f>2074.1+(219.8-85.8)+(-5.288955+(-0.56049--0.21879))+0-83.7--0.213434999999988</f>
        <v>2118.9827800000003</v>
      </c>
      <c r="Y60" s="3">
        <f>2090.4+(231.2-88.8)+(-3.198312+(-0.353736--0.135864))+0-81.9--0.125307000000005</f>
        <v>2147.6091229999997</v>
      </c>
      <c r="Z60" s="3">
        <f>2306.8+(205.7-89.3)+(-3.529404+(-0.314721--0.136629))+0-93.9--0.143667000000005</f>
        <v>2325.736171</v>
      </c>
      <c r="AA60" s="3">
        <f>2275+(172.3-86.6)+(-5.80125+(-0.439365--0.22083))+0-69.5--0.17722499999999</f>
        <v>2285.3574399999998</v>
      </c>
      <c r="AB60" s="3">
        <f>2220.6+(166-98.9)+(-2.265012+(-0.16932--0.100878))+0-83.9--0.0855780000000134</f>
        <v>2201.5521239999998</v>
      </c>
      <c r="AC60" s="3">
        <f>2168.1+(149.9-102.5)+(0+(0-0))+0-77.6-0</f>
        <v>2137.9</v>
      </c>
      <c r="AD60">
        <v>2334.1000000000004</v>
      </c>
      <c r="AE60" s="3">
        <f>2316+(202.8-86.5)+(0+(0-0))+0-98.2-0</f>
        <v>2334.1000000000004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2091.6+(151.7-92.7)+(0+(0-0))+0-90.1-0</f>
        <v>2060.5</v>
      </c>
      <c r="G61" s="3">
        <f>1886.9+(215.9-51.3)+(-3.849276+(-0.440436--0.104652))+0-82.6--0.168503999999996</f>
        <v>1964.8834440000001</v>
      </c>
      <c r="H61" s="3">
        <f>1852.9+(192.2-54.9)+(0+(0-0))+0-79.6-0</f>
        <v>1910.6000000000001</v>
      </c>
      <c r="I61" s="3">
        <f>1782.7+(202.2-48.6)+(-0.909177+(-0.103122--0.024786))+0-65.8--0.0335579999999933</f>
        <v>1869.546045</v>
      </c>
      <c r="J61" s="3">
        <f>1696.8+(224.3-54.8)+(0+(0-0))+0-26.8-0</f>
        <v>1839.5</v>
      </c>
      <c r="K61" s="3">
        <f>1717.3+(219.1-75.3)+(-3.503292+(-0.446964--0.153612))+0-95.6--0.195023999999996</f>
        <v>1761.8983800000001</v>
      </c>
      <c r="L61" s="3">
        <f>1718.4+(173.9-101)+(-7.887456+(-0.798201--0.46359))+0-51.3--0.235467000000009</f>
        <v>1732.0134000000003</v>
      </c>
      <c r="M61" s="3">
        <f>1807.9+(169.5-106.2)+(0.922029+(0.086445-0.054162))+0-98.2-0.05008199999999</f>
        <v>1773.9042300000001</v>
      </c>
      <c r="N61" s="3">
        <f>1866.4+(162.6-108.9)+(-1.903728+(-0.165852--0.111078))+0-80.1--0.0817020000000128</f>
        <v>1838.1232000000002</v>
      </c>
      <c r="O61" s="3">
        <f>1876.4+(185.6-75)+(0+(0-0))+0-89-0</f>
        <v>1898</v>
      </c>
      <c r="P61" s="3">
        <f>2026.9+(154.6-103.2)+(-1.033719+(-0.078846--0.052632))+0-86.3--0.0440129999999912</f>
        <v>1990.9840800000002</v>
      </c>
      <c r="Q61" s="3">
        <f>2040.7+(161.4-98.4)+(2.081514+(0.164628-0.100368))+0-64.4-0.0656880000000103</f>
        <v>2041.3800859999999</v>
      </c>
      <c r="R61" s="3">
        <f>2045.7+(175.6-80.8)+(-3.129921+(-0.268668--0.123624))+0-88.5--0.135405000000005</f>
        <v>2048.8604399999999</v>
      </c>
      <c r="S61" s="3">
        <f>2037.7+(174.1-81.3)+(0+(0-0))+0-84.2-0</f>
        <v>2046.3</v>
      </c>
      <c r="T61" s="3">
        <f>2031.3+(158.1-102.1)+(-3.107889+(-0.241893--0.156213))+0-53.7--0.0821610000000031</f>
        <v>2030.4885920000002</v>
      </c>
      <c r="U61" s="3">
        <f>1994+(189.4-74.5)+(-1.01694+(-0.096594--0.037995))+0-87.9--0.0448289999999911</f>
        <v>2019.96929</v>
      </c>
      <c r="V61" s="3">
        <f>1993.2+(158.2-96.1)+(1.016532+(0.080682-0.049011))+0-53.1-0.0270809999999946</f>
        <v>2003.2211220000002</v>
      </c>
      <c r="W61" s="3">
        <f>1979.8+(184.3-101.1)+(-5.04849+(-0.469965--0.257805))+0-79.9--0.203744999999988</f>
        <v>1978.0430949999998</v>
      </c>
      <c r="X61" s="3">
        <f>1931.1+(207.8-76)+(-5.909166+(-0.635868--0.23256))+0-92.5--0.283050000000011</f>
        <v>1964.3705760000003</v>
      </c>
      <c r="Y61" s="3">
        <f>1940.9+(193.4-83.8)+(-2.969577+(-0.295902--0.128214))+0-37--0.0566100000000021</f>
        <v>2010.419345</v>
      </c>
      <c r="Z61" s="3">
        <f>2187.9+(229.1-86.4)+(1.115829+(0.116841-0.044064))+0-97.4-0.0496739999999901</f>
        <v>2234.3389320000001</v>
      </c>
      <c r="AA61" s="3">
        <f>2224.6+(184.9-92.8)+(0+(0-0))+0-83.2-0</f>
        <v>2233.5</v>
      </c>
      <c r="AB61" s="3">
        <f>2121.7+(190.4-74.7)+(0+(0-0))+0-56.1-0</f>
        <v>2181.2999999999997</v>
      </c>
      <c r="AC61" s="3">
        <f>2088+(180.2-79.1)+(-3.19464+(-0.275706--0.121023))+0-85--0.130050000000005</f>
        <v>2100.8807270000002</v>
      </c>
      <c r="AD61">
        <v>2236.2999999999997</v>
      </c>
      <c r="AE61" s="3">
        <f>2228+(197-83.3)+(0+(0-0))+0-105.4-0</f>
        <v>2236.2999999999997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2126.7+(140.9-179.4)+(-1.084617+(-0.071859--0.091494))+0-86.8--0.0442679999999912</f>
        <v>2000.3792860000001</v>
      </c>
      <c r="G62" s="3">
        <f>1989.6+(140-139)+(-2.029392+(-0.1428--0.14178))+0-88.5--0.0902700000000141</f>
        <v>1900.1598579999998</v>
      </c>
      <c r="H62" s="3">
        <f>1889.1+(140.9-87.1)+(-2.890323+(-0.215577--0.133263))+0-86.2--0.131886000000005</f>
        <v>1853.8592489999996</v>
      </c>
      <c r="I62" s="3">
        <f>1954.1+(140.8-172.7)+(-1.993182+(-0.143616--0.176154))+0-85--0.0867000000000136</f>
        <v>1835.3260559999999</v>
      </c>
      <c r="J62" s="3">
        <f>1947+(140.9-181.2)+(-2.97891+(-0.215577--0.277236))+0-82--0.125460000000005</f>
        <v>1821.9082089999999</v>
      </c>
      <c r="K62" s="3">
        <f>1940.5+(140.6-262.1)+(-4.948275+(-0.35853--0.668355))+0-62.6--0.159629999999991</f>
        <v>1751.92118</v>
      </c>
      <c r="L62" s="3">
        <f>1730+(216-75.1)+(-0.8823+(-0.11016--0.038301))+0-90.3--0.0460529999999908</f>
        <v>1779.6918940000003</v>
      </c>
      <c r="M62" s="3">
        <f>2000.3+(145.1-115.3)+(-1.020153+(-0.074001--0.058803))+0-99.2--0.0505919999999899</f>
        <v>1929.9152409999999</v>
      </c>
      <c r="N62" s="3">
        <f>2198.9+(140.4-193.3)+(-1.121439+(-0.071604--0.098583))+0-48.2--0.0245819999999951</f>
        <v>2096.7301220000004</v>
      </c>
      <c r="O62" s="3">
        <f>2256.9+(159.7-128.5)+(0+(0-0))+0-94.3-0</f>
        <v>2193.7999999999997</v>
      </c>
      <c r="P62" s="3">
        <f>2336+(158.2-131.6)+(-1.19136+(-0.080682--0.067116))+0-73.9--0.0376889999999925</f>
        <v>2287.5327629999997</v>
      </c>
      <c r="Q62" s="3">
        <f>2428.7+(144.8-137.3)+(0+(0-0))+0-85.9-0</f>
        <v>2350.2999999999997</v>
      </c>
      <c r="R62" s="3">
        <f>2549.4+(138.9-251.4)+(1.300194+(0.070839-0.128214))+0-83.1-0.0423809999999916</f>
        <v>2355.000438</v>
      </c>
      <c r="S62" s="3">
        <f>2594.6+(139.9-311.3)+(-2.646492+(-0.142698--0.317526))+0-93.7--0.0955740000000149</f>
        <v>2327.1239099999998</v>
      </c>
      <c r="T62" s="3">
        <f>2607.8+(138.9-341.8)+(1.329978+(0.070839-0.174318))+0-82.8-0.0422279999999916</f>
        <v>2323.284271</v>
      </c>
      <c r="U62" s="3">
        <f>2583.2+(139-382.9)+(-1.317432+(-0.07089--0.195279))+0-44.7--0.0227969999999955</f>
        <v>2293.4297539999998</v>
      </c>
      <c r="V62" s="3">
        <f>2572.4+(139.5-389.8)+(-5.247696+(-0.28458--0.795192))+0-29.1--0.0593639999999987</f>
        <v>2288.3222800000003</v>
      </c>
      <c r="W62" s="3">
        <f>2517.9+(139-350.4)+(-7.704774+(-0.42534--1.072224))+0-33.2--0.101592000000004</f>
        <v>2266.3437020000001</v>
      </c>
      <c r="X62" s="3">
        <f>2128.3+(181.5-106.7)+(-3.256299+(-0.277695--0.163251))+0-30--0.0459000000000017</f>
        <v>2169.7751570000005</v>
      </c>
      <c r="Y62" s="3">
        <f>2125.8+(207.2-93)+(-1.084158+(-0.105672--0.04743))+0-74.3--0.0378929999999925</f>
        <v>2164.5954929999998</v>
      </c>
      <c r="Z62" s="3">
        <f>2419.7+(123.6-123)+(-1.234047+(-0.063036--0.06273))+0-73.1--0.0372809999999926</f>
        <v>2346.0029279999999</v>
      </c>
      <c r="AA62" s="3">
        <f>2657+(121.9-335.1)+(-4.06521+(-0.186507--0.512703))+0-88.3--0.135099000000005</f>
        <v>2351.8960849999999</v>
      </c>
      <c r="AB62" s="3">
        <f>2495.2+(140-287.3)+(-3.817656+(-0.2142--0.439569))+0-88.7--0.135711000000005</f>
        <v>2255.7434239999998</v>
      </c>
      <c r="AC62" s="3">
        <f>2466.7+(139.9-328)+(-5.032068+(-0.285396--0.66912))+0-92.2--0.188087999999996</f>
        <v>2181.9397439999998</v>
      </c>
      <c r="AD62">
        <v>2383</v>
      </c>
      <c r="AE62" s="3">
        <f>2679+(120-306)+(0+(0-0))+0-110-0</f>
        <v>2383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2493.5+(139.4-477.7)+(-5.08674+(-0.284376--0.974508))+0-91.8--0.187271999999996</f>
        <v>2059.1906639999997</v>
      </c>
      <c r="G63" s="3">
        <f>2285.5+(140.5-420)+(-5.828025+(-0.358275--1.071))+0-40.9--0.104294999999994</f>
        <v>1960.0889950000001</v>
      </c>
      <c r="H63" s="3">
        <f>2193.5+(140.4-384.2)+(-2.23737+(-0.143208--0.391884))+0-37.8--0.038556000000006</f>
        <v>1909.9498620000002</v>
      </c>
      <c r="I63" s="3">
        <f>2188.7+(141-356)+(-4.464948+(-0.28764--0.72624))+0-87.4--0.178295999999996</f>
        <v>1882.4519479999997</v>
      </c>
      <c r="J63" s="3">
        <f>2168.6+(140.7-337.2)+(-7.741902+(-0.502299--1.203804))+0-98.1--0.350217000000001</f>
        <v>1867.3098199999999</v>
      </c>
      <c r="K63" s="3">
        <f>2079+(140.9-345.7)+(-7.42203+(-0.503013--1.234149))+0-76--0.271320000000001</f>
        <v>1791.780426</v>
      </c>
      <c r="L63" s="3">
        <f>2006.2+(140.1-230.4)+(-3.069486+(-0.214353--0.352512))+0-90.4--0.138312000000005</f>
        <v>1822.706985</v>
      </c>
      <c r="M63" s="3">
        <f>2123.9+(138.8-184.7)+(2.166378+(0.141576-0.188394))+0-94.5-0.0963900000000151</f>
        <v>1985.5231700000002</v>
      </c>
      <c r="N63" s="3">
        <f>2284.5+(138.7-212.4)+(1.165095+(0.070737-0.108324))+0-80.1-0.0408509999999919</f>
        <v>2131.7866570000001</v>
      </c>
      <c r="O63" s="3">
        <f>2409.4+(140.2-260)+(-1.228794+(-0.071502--0.1326))+0-69.8--0.0355979999999929</f>
        <v>2218.6679019999997</v>
      </c>
      <c r="P63" s="3">
        <f>2495.4+(139.3-227.6)+(-1.272654+(-0.071043--0.116076))+0-90.4--0.0461039999999908</f>
        <v>2315.5184829999998</v>
      </c>
      <c r="Q63" s="3">
        <f>2470.4+(139.1-153.8)+(-3.779712+(-0.212823--0.235314))+0-91.8--0.140454000000005</f>
        <v>2360.2832330000001</v>
      </c>
      <c r="R63" s="3">
        <f>2515.6+(138.4-223.4)+(0+(0-0))+0-59.8-0</f>
        <v>2370.7999999999997</v>
      </c>
      <c r="S63" s="3">
        <f>2448.1+(139-185.4)+(-1.248531+(-0.07089--0.094554))+0-85.1--0.0434009999999914</f>
        <v>2315.4185339999999</v>
      </c>
      <c r="T63" s="3">
        <f>2456.2+(139.5-224.7)+(0+(0-0))+0-64.8-0</f>
        <v>2306.1999999999998</v>
      </c>
      <c r="U63" s="3">
        <f>2501.5+(139.1-256.4)+(-5.10306+(-0.283764--0.523056))+0-57.2--0.116687999999998</f>
        <v>2322.2529199999999</v>
      </c>
      <c r="V63" s="3">
        <f>2495.2+(140.1-242.8)+(-3.817656+(-0.214353--0.371484))+0-68.3--0.104499000000004</f>
        <v>2320.6439740000001</v>
      </c>
      <c r="W63" s="3">
        <f>2499+(141.8-298.8)+(-3.82347+(-0.216954--0.457164))+0-53.3--0.0815490000000031</f>
        <v>2285.1982889999999</v>
      </c>
      <c r="X63" s="3">
        <f>2392.2+(141-237.4)+(-10.980198+(-0.64719--1.089666))+0-64.5--0.296055000000011</f>
        <v>2221.0583329999995</v>
      </c>
      <c r="Y63" s="3">
        <f>2249.4+(156.8-119.2)+(-4.588776+(-0.319872--0.243168))+0-89.6--0.182783999999996</f>
        <v>2192.9173040000001</v>
      </c>
      <c r="Z63" s="3">
        <f>2598.9+(121.8-264.3)+(-3.976317+(-0.186354--0.404379))+0-77.7--0.118881000000004</f>
        <v>2375.0605890000002</v>
      </c>
      <c r="AA63" s="3">
        <f>2585.9+(126.6-274.8)+(-7.912854+(-0.387396--0.840888))+0-80.7--0.246942000000009</f>
        <v>2349.7875800000006</v>
      </c>
      <c r="AB63" s="3">
        <f>2482+(141.7-271.3)+(-5.06328+(-0.289068--0.553452))+0-87.7--0.178907999999996</f>
        <v>2260.0800120000004</v>
      </c>
      <c r="AC63" s="3">
        <f>2370.1+(141.4-235.7)+(-1.208751+(-0.072114--0.120207))+0-95.3--0.0486029999999903</f>
        <v>2179.3879449999999</v>
      </c>
      <c r="AD63">
        <v>2400.2999999999997</v>
      </c>
      <c r="AE63" s="3">
        <f>2612+(139-242.4)+(0+(0-0))+0-108.3-0</f>
        <v>2400.2999999999997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2223.6+(140.5-231)+(-5.67018+(-0.358275--0.58905))+0-84.3--0.214964999999988</f>
        <v>2043.5755599999998</v>
      </c>
      <c r="G64" s="3">
        <f>2000.3+(140.6-119.2)+(-1.020153+(-0.071706--0.060792))+0-78.6--0.040085999999992</f>
        <v>1942.1090190000002</v>
      </c>
      <c r="H64" s="3">
        <f>1917.6+(146.1-98.9)+(1.955952+(0.149022-0.100878))+0-76-0.0775200000000121</f>
        <v>1890.7265759999998</v>
      </c>
      <c r="I64" s="3">
        <f>1888.5+(161.8-76.6)+(-2.889405+(-0.247554--0.117198))+0-99.7--0.152541000000006</f>
        <v>1871.1327799999999</v>
      </c>
      <c r="J64" s="3">
        <f>1881.2+(157.2-89.1)+(-3.837648+(-0.320688--0.181764))+0-86--0.175439999999996</f>
        <v>1859.4988679999999</v>
      </c>
      <c r="K64" s="3">
        <f>1850.2+(141.7-130)+(-7.548816+(-0.578136--0.5304))+0-74.2--0.302735999999994</f>
        <v>1780.4061840000002</v>
      </c>
      <c r="L64" s="3">
        <f>1854.4+(158.6-112)+(-6.620208+(-0.566202--0.39984))+0-83.1--0.296667000000001</f>
        <v>1811.4100970000002</v>
      </c>
      <c r="M64" s="3">
        <f>2041.7+(145.5-122.7)+(0+(0-0))+0-87.8-0</f>
        <v>1976.7</v>
      </c>
      <c r="N64" s="3">
        <f>2287+(136.9-212.6)+(-4.66548+(-0.279276--0.433704))+0-86.5--0.176459999999996</f>
        <v>2120.4654080000005</v>
      </c>
      <c r="O64" s="3">
        <f>2392.2+(141.1-239.5)+(2.440044+(0.143922-0.24429))+0-80.5-0.0821100000000128</f>
        <v>2215.557566</v>
      </c>
      <c r="P64" s="3">
        <f>2424.7+(156.5-143.2)+(1.236597+(0.079815-0.073032))+0-97.5-0.0497249999999901</f>
        <v>2341.693655</v>
      </c>
      <c r="Q64" s="3">
        <f>2385.9+(173.7-109.2)+(-1.216809+(-0.088587--0.055692))+0-88.7--0.045236999999991</f>
        <v>2360.4955330000003</v>
      </c>
      <c r="R64" s="3">
        <f>2538.8+(139.3-199.4)+(0+(0-0))+0-93.6-0</f>
        <v>2385.1000000000004</v>
      </c>
      <c r="S64" s="3">
        <f>2584.2+(138.8-263.8)+(-3.953826+(-0.212364--0.403614))+0-89.6--0.137088000000005</f>
        <v>2365.9745119999998</v>
      </c>
      <c r="T64" s="3">
        <f>2595.4+(139.9-289.8)+(-1.323654+(-0.071349--0.147798))+0-84.5--0.0430949999999914</f>
        <v>2359.7958899999999</v>
      </c>
      <c r="U64" s="3">
        <f>2592.3+(139.9-310.2)+(1.322073+(0.071349-0.158202))+0-81.8-0.0417179999999917</f>
        <v>2341.3935019999999</v>
      </c>
      <c r="V64" s="3">
        <f>2490.2+(140.2-219.3)+(-3.810006+(-0.214506--0.335529))+0-97--0.148410000000006</f>
        <v>2310.5594269999997</v>
      </c>
      <c r="W64" s="3">
        <f>2540.8+(140.6-303.3)+(-5.183232+(-0.286824--0.618732))+0-94.9--0.193595999999996</f>
        <v>2278.5422720000001</v>
      </c>
      <c r="X64" s="3">
        <f>2393.4+(138.4-264.8)+(-7.323804+(-0.423504--0.810288))+0-43.2--0.132192000000005</f>
        <v>2216.9951720000004</v>
      </c>
      <c r="Y64" s="3">
        <f>2235.7+(160.9-103.7)+(0+(0-0))+0-95.1-0</f>
        <v>2197.7999999999997</v>
      </c>
      <c r="Z64" s="3">
        <f>2470.9+(129-128)+(-2.520318+(-0.13158--0.13056))+0-75.3--0.076806000000012</f>
        <v>2394.1554679999999</v>
      </c>
      <c r="AA64" s="3">
        <f>2542.3+(134.1-187.6)+(-2.593146+(-0.136782--0.191352))+0-95--0.0969000000000152</f>
        <v>2391.3583240000003</v>
      </c>
      <c r="AB64" s="3">
        <f>2418.4+(140.9-161.9)+(-3.700152+(-0.215577--0.247707))+0-77.9--0.119187000000005</f>
        <v>2315.9511649999999</v>
      </c>
      <c r="AC64" s="3">
        <f>2229.3+(185.6-65)+(-5.684715+(-0.47328--0.16575))+0-105.9--0.270044999999985</f>
        <v>2238.2778000000003</v>
      </c>
      <c r="AD64">
        <v>2415.1999999999998</v>
      </c>
      <c r="AE64" s="3">
        <f>2590+(125.6-202.9)+(0+(0-0))+0-97.5-0</f>
        <v>2415.1999999999998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2170.9+(139.3-113.1)+(-5.535795+(-0.355215--0.288405))+0-65.6--0.16727999999999</f>
        <v>2126.0646750000001</v>
      </c>
      <c r="G65" s="3">
        <f>2031.7+(160.7-71.9)+(-5.180835+(-0.409785--0.183345))+0-87.5--0.223124999999987</f>
        <v>2027.81585</v>
      </c>
      <c r="H65" s="3">
        <f>1947.7+(170.4-66.3)+(-1.986654+(-0.173808--0.067626))+0-85.1--0.0868020000000136</f>
        <v>1964.6939660000005</v>
      </c>
      <c r="I65" s="3">
        <f>1918+(165.1-68.3)+(-3.91272+(-0.336804--0.139332))+0-92.7--0.189107999999996</f>
        <v>1918.1789159999998</v>
      </c>
      <c r="J65" s="3">
        <f>1909.2+(163.3-81.6)+(-4.86846+(-0.416415--0.20808))+0-74.2--0.189209999999989</f>
        <v>1911.8124150000001</v>
      </c>
      <c r="K65" s="3">
        <f>1867.6+(153.6-105)+(-2.857428+(-0.235008--0.16065))+0-86.7--0.132651000000005</f>
        <v>1826.7008649999996</v>
      </c>
      <c r="L65" s="3">
        <f>1876.1+(157-99.5)+(-2.870433+(-0.24021--0.152235))+0-73.1--0.111843000000004</f>
        <v>1857.6534349999999</v>
      </c>
      <c r="M65" s="3">
        <f>2036.2+(169.9-107.4)+(3.115386+(0.259947-0.164322))+0-67.1-0.102663000000004</f>
        <v>2034.7083479999999</v>
      </c>
      <c r="N65" s="3">
        <f>2049.3+(186.8-77.3)+(-4.180572+(-0.381072--0.157692))+0-22.5--0.045899999999999</f>
        <v>2131.9419480000001</v>
      </c>
      <c r="O65" s="3">
        <f>2194+(187.3-91.6)+(-3.35682+(-0.286569--0.140148))+0-23.3--0.0356490000000013</f>
        <v>2262.9324079999997</v>
      </c>
      <c r="P65" s="3">
        <f>2349.8+(156.4-129.3)+(-1.198398+(-0.079764--0.065943))+0-26.6--0.0135659999999973</f>
        <v>2349.1013470000003</v>
      </c>
      <c r="Q65" s="3">
        <f>2355.6+(169-113.6)+(0+(0-0))+0-23.8-0</f>
        <v>2387.1999999999998</v>
      </c>
      <c r="R65" s="3">
        <f>2318.4+(196.2-82.8)+(-3.547152+(-0.300186--0.126684))+0-26.3--0.0402390000000015</f>
        <v>2401.8195849999997</v>
      </c>
      <c r="S65" s="3">
        <f>2325+(173.6-109)+(-2.3715+(-0.177072--0.11118))+0-27.7--0.0282540000000044</f>
        <v>2359.4908620000001</v>
      </c>
      <c r="T65" s="3">
        <f>2312.9+(169.2-118.1)+(-1.179579+(-0.086292--0.060231))+0-27.4--0.0139739999999972</f>
        <v>2335.4083339999997</v>
      </c>
      <c r="U65" s="3">
        <f>2295.4+(176.5-111.2)+(-5.85327+(-0.450075--0.28356))+0-45.9--0.117044999999993</f>
        <v>2308.8972600000002</v>
      </c>
      <c r="V65" s="3">
        <f>2263.9+(196-84.9)+(-8.082123+(-0.69972--0.303093))+0-79.7--0.284529000000001</f>
        <v>2287.105779</v>
      </c>
      <c r="W65" s="3">
        <f>2248+(188.7-85.2)+(-8.02536+(-0.673659--0.304164))+0-81.9--0.292383000000001</f>
        <v>2261.4975279999999</v>
      </c>
      <c r="X65" s="3">
        <f>2204.6+(187.9-84.7)+(-8.994768+(-0.766632--0.345576))+0-86.5--0.352919999999992</f>
        <v>2212.2370959999994</v>
      </c>
      <c r="Y65" s="3">
        <f>2078.5+(270.7-86)+(-5.300175+(-0.690285--0.2193))+0-96.6--0.246329999999986</f>
        <v>2161.0751700000001</v>
      </c>
      <c r="Z65" s="3">
        <f>2352.6+(171.3-95.8)+(-1.199826+(-0.087363--0.048858))+0-75.1--0.0383009999999924</f>
        <v>2351.79997</v>
      </c>
      <c r="AA65" s="3">
        <f>2438.5+(141.6-149.7)+(-6.218175+(-0.36108--0.381735))+0-89.2--0.227459999999987</f>
        <v>2335.2299400000002</v>
      </c>
      <c r="AB65" s="3">
        <f>2385.5+(140.8-191.4)+(-4.86642+(-0.287232--0.390456))+0-82.4--0.168095999999996</f>
        <v>2247.9049</v>
      </c>
      <c r="AC65" s="3">
        <f>2368.8+(141-225.1)+(-4.832352+(-0.28764--0.459204))+0-91.8--0.187271999999996</f>
        <v>2188.4264840000001</v>
      </c>
      <c r="AD65">
        <v>2359.9999999999995</v>
      </c>
      <c r="AE65" s="3">
        <f>2453+(141.2-129.8)+(0+(0-0))+0-104.4-0</f>
        <v>2360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2165.1+(141-194.2)+(0+(0-0))+0-48.7-0</f>
        <v>2063.2000000000003</v>
      </c>
      <c r="G66" s="3">
        <f>2141.8+(142.5-200.7)+(-3.276954+(-0.218025--0.307071))+0-79.9--0.122247000000005</f>
        <v>2000.6343390000004</v>
      </c>
      <c r="H66" s="3">
        <f>2092+(141.9-189)+(-2.13384+(-0.144738--0.19278))+0-94.6--0.0964920000000151</f>
        <v>1948.3106940000002</v>
      </c>
      <c r="I66" s="3">
        <f>1823.1+(234.6-49.5)+(-0.929781+(-0.119646--0.025245))+0-94.8--0.0483479999999904</f>
        <v>1912.4241659999998</v>
      </c>
      <c r="J66" s="3">
        <f>1784.2+(250.9-54.6)+(-4.54971+(-0.639795--0.13923))+0-88.6--0.225929999999987</f>
        <v>1887.0756550000001</v>
      </c>
      <c r="K66" s="3">
        <f>1784.1+(184-79.5)+(-4.549455+(-0.4692--0.202725))+0-78.6--0.200429999999989</f>
        <v>1805.3845000000001</v>
      </c>
      <c r="L66" s="3">
        <f>1783.8+(221.1-76.2)+(-0.909738+(-0.112761--0.038862))+0-89--0.045389999999991</f>
        <v>1838.7617529999998</v>
      </c>
      <c r="M66" s="3">
        <f>1954.9+(185.6-76.4)+(0.996999+(0.094656-0.038964))+0-88.5-0.045134999999991</f>
        <v>1976.6075559999997</v>
      </c>
      <c r="N66" s="3">
        <f>2109.3+(180.3-77.7)+(1.075743+(0.091953-0.039627))+0-83.6-0.0426359999999915</f>
        <v>2129.3854329999999</v>
      </c>
      <c r="O66" s="3">
        <f>2143.7+(224.7-78.9)+(-1.093287+(-0.114597--0.040239))+0-69.2--0.035291999999993</f>
        <v>2219.1676470000002</v>
      </c>
      <c r="P66" s="3">
        <f>2193.3+(265.4-78.7)+(1.118583+(0.135354-0.040137))+0-74.4-0.0379439999999925</f>
        <v>2306.7758559999997</v>
      </c>
      <c r="Q66" s="3">
        <f>2168.6+(340.3-69.2)+(-1.105986+(-0.173553--0.035292))+0-84.7--0.0431969999999914</f>
        <v>2353.7989499999999</v>
      </c>
      <c r="R66" s="3">
        <f>2188.9+(335.3-70.3)+(-1.116339+(-0.171003--0.035853))+0-89.7--0.0457469999999909</f>
        <v>2362.9942580000002</v>
      </c>
      <c r="S66" s="3">
        <f>2208.3+(280.2-78.1)+(-2.252466+(-0.285804--0.079662))+0-88.3--0.0900660000000141</f>
        <v>2319.7314580000002</v>
      </c>
      <c r="T66" s="3">
        <f>2214.9+(257.9-83.2)+(0+(0-0))+0-91.4-0</f>
        <v>2298.1999999999998</v>
      </c>
      <c r="U66" s="3">
        <f>2177.6+(278.3-83.3)+(-6.663456+(-0.851598--0.254898))+0-89.3--0.27325800000001</f>
        <v>2276.3131020000001</v>
      </c>
      <c r="V66" s="3">
        <f>2181.4+(235.5-84.2)+(-5.56257+(-0.600525--0.21471))+0-65.8--0.16778999999999</f>
        <v>2261.1194049999999</v>
      </c>
      <c r="W66" s="3">
        <f>2250.2+(185.3-101.7)+(-6.885612+(-0.567018--0.311202))+0-100.2--0.306612000000012</f>
        <v>2226.7651839999999</v>
      </c>
      <c r="X66" s="3">
        <f>2215.9+(161.1-113.9)+(-5.650545+(-0.410805--0.290445))+0-78--0.198899999999989</f>
        <v>2179.5279949999999</v>
      </c>
      <c r="Y66" s="3">
        <f>2074.5+(189.1-89.7)+(-1.057995+(-0.096441--0.045747))+0-30.4--0.0155039999999969</f>
        <v>2142.4068149999998</v>
      </c>
      <c r="Z66" s="3">
        <f>2296.5+(167.1-104.2)+(-2.34243+(-0.170442--0.106284))+0-30.9--0.0315180000000049</f>
        <v>2326.1249299999999</v>
      </c>
      <c r="AA66" s="3">
        <f>2295.7+(190.1-84.6)+(-4.683228+(-0.387804--0.172584))+0-91.5--0.186659999999996</f>
        <v>2304.9882119999997</v>
      </c>
      <c r="AB66" s="3">
        <f>2180.1+(200-73.7)+(-5.559255+(-0.51--0.187935))+0-86.8--0.221339999999987</f>
        <v>2213.94002</v>
      </c>
      <c r="AC66" s="3">
        <f>2122.9+(184.2-72.1)+(-3.248037+(-0.281826--0.110313))+0-86.7--0.132651000000005</f>
        <v>2145.013101</v>
      </c>
      <c r="AD66">
        <v>2350.7999999999997</v>
      </c>
      <c r="AE66" s="3">
        <f>2395+(140.9-148.8)+(0+(0-0))+0-36.3-0</f>
        <v>2350.7999999999997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2047.5+(141.6-103.7)+(-5.221125+(-0.36108--0.264435))+0-73.6--0.187679999999989</f>
        <v>2006.6699100000001</v>
      </c>
      <c r="G67" s="3">
        <f>1894.4+(188.7-73.5)+(-3.864576+(-0.384948--0.14994))+0-86.5--0.176459999999996</f>
        <v>1919.176876</v>
      </c>
      <c r="H67" s="3">
        <f>1868.7+(183.4-82.2)+(-2.859111+(-0.280602--0.125766))+0-85.2--0.130356000000005</f>
        <v>1881.816409</v>
      </c>
      <c r="I67" s="3">
        <f>1837.8+(186.5-76.2)+(-3.749112+(-0.38046--0.155448))+0-86.9--0.177275999999996</f>
        <v>1857.4031519999996</v>
      </c>
      <c r="J67" s="3">
        <f>1876.4+(157.3-104.7)+(0.956964+(0.080223-0.053397))+0-87.7-0.0447269999999911</f>
        <v>1842.239063</v>
      </c>
      <c r="K67" s="3">
        <f>1831.7+(153.7-155)+(-4.670835+(-0.391935--0.39525))+0-80.9--0.206294999999988</f>
        <v>1745.038775</v>
      </c>
      <c r="L67" s="3">
        <f>1850+(155.6-131.4)+(-2.8305+(-0.238068--0.201042))+0-85.4--0.130662000000005</f>
        <v>1786.063136</v>
      </c>
      <c r="M67" s="3">
        <f>2008.3+(92.1-113.5)+(5.121165+(0.234855-0.289425))+0-72.8-0.185639999999989</f>
        <v>1918.980955</v>
      </c>
      <c r="N67" s="3">
        <f>2121.9+(151.4-116.7)+(-1.082169+(-0.077214--0.059517))+0-76.2--0.0388619999999923</f>
        <v>2079.338996</v>
      </c>
      <c r="O67" s="3">
        <f>2183.3+(180.1-101.1)+(2.226966+(0.183702-0.103122))+0-97.8-0.0997560000000156</f>
        <v>2166.7077899999999</v>
      </c>
      <c r="P67" s="3">
        <f>2135.3+(276.4-83.8)+(-1.089003+(-0.140964--0.042738))+0-91.1--0.0464609999999908</f>
        <v>2235.659232</v>
      </c>
      <c r="Q67" s="3">
        <f>2122+(275.7-80.2)+(2.16444+(0.281214-0.081804))+0-56.2-0.057324000000009</f>
        <v>2263.6065260000005</v>
      </c>
      <c r="R67" s="3">
        <f>2107.3+(323.5-77.7)+(-2.149446+(-0.32997--0.079254))+0-88.3--0.0900660000000141</f>
        <v>2262.4899040000005</v>
      </c>
      <c r="S67" s="3">
        <f>2088.7+(287.5-78.1)+(-5.326185+(-0.733125--0.199155))+0-94.3--0.240464999999986</f>
        <v>2198.1803099999997</v>
      </c>
      <c r="T67" s="3">
        <f>2083.4+(247.1-70.7)+(-5.31267+(-0.630105--0.180285))+0-79.6--0.202979999999988</f>
        <v>2174.6404900000002</v>
      </c>
      <c r="U67" s="3">
        <f>2085.7+(190-95)+(-3.191121+(-0.2907--0.14535))+0-33.1--0.0506430000000019</f>
        <v>2144.3141719999999</v>
      </c>
      <c r="V67" s="3">
        <f>2088.7+(178.1-106)+(-2.130474+(-0.181662--0.10812))+0-29.1--0.0296820000000046</f>
        <v>2129.5256659999995</v>
      </c>
      <c r="W67" s="3">
        <f>2085+(193-86.3)+(-2.1267+(-0.19686--0.088026))+0-76.5--0.0780300000000122</f>
        <v>2113.042496</v>
      </c>
      <c r="X67" s="3">
        <f>2027.6+(206.9-84.6)+(-6.204456+(-0.633114--0.258876))+0-87.6--0.26805600000001</f>
        <v>2055.9893620000003</v>
      </c>
      <c r="Y67" s="3">
        <f>1933.7+(277.6-86.4)+(-1.972374+(-0.283152--0.088128))+0-78.5--0.0800700000000125</f>
        <v>2044.312672</v>
      </c>
      <c r="Z67" s="3">
        <f>2101.2+(321.2-85.8)+(-2.143224+(-0.327624--0.087516))+0-89--0.0907800000000142</f>
        <v>2245.307448</v>
      </c>
      <c r="AA67" s="3">
        <f>2224.7+(196.1-88.9)+(-4.538388+(-0.400044--0.181356))+0-95--0.193799999999996</f>
        <v>2232.3367239999998</v>
      </c>
      <c r="AB67" s="3">
        <f>2238.2+(147.8-127.7)+(-5.70741+(-0.37689--0.325635))+0-86.8--0.221339999999987</f>
        <v>2165.9626749999998</v>
      </c>
      <c r="AC67" s="3">
        <f>2141.8+(175.1-87.2)+(0+(0-0))+0-101.9-0</f>
        <v>2127.8000000000002</v>
      </c>
      <c r="AD67">
        <v>2241.1</v>
      </c>
      <c r="AE67" s="3">
        <f>2261+(181.5-98.5)+(0+(0-0))+0-102.9-0</f>
        <v>2241.1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2073+(145.5-104.6)+(-4.22892+(-0.29682--0.213384))+0-82.3--0.167891999999996</f>
        <v>2027.4555360000002</v>
      </c>
      <c r="G68" s="3">
        <f>1981.7+(134.5-134.6)+(-2.021334+(-0.13719--0.137292))+0-32.3--0.0329460000000051</f>
        <v>1947.3117140000002</v>
      </c>
      <c r="H68" s="3">
        <f>1936.6+(133.5-139.6)+(-2.962998+(-0.204255--0.213588))+0-40.5--0.0619650000000023</f>
        <v>1887.1083000000001</v>
      </c>
      <c r="I68" s="3">
        <f>1813.4+(174.5-53.1)+(0+(0-0))+0-73.2-0</f>
        <v>1861.6000000000001</v>
      </c>
      <c r="J68" s="3">
        <f>1759.1+(223.6-53.9)+(0.897141+(0.114036-0.027489))+0-99.1-0.0505409999999899</f>
        <v>1830.633147</v>
      </c>
      <c r="K68" s="3">
        <f>1729.6+(168.6-85)+(-3.528384+(-0.343944--0.1734))+0-79.8--0.162791999999997</f>
        <v>1729.8638639999999</v>
      </c>
      <c r="L68" s="3">
        <f>1708.4+(169.5-88)+(-1.742568+(-0.17289--0.08976))+0-81--0.0826200000000129</f>
        <v>1707.1569219999999</v>
      </c>
      <c r="M68" s="3">
        <f>1706.4+(189.1-71.5)+(-1.740528+(-0.192882--0.07293))+0-66.4--0.0677280000000106</f>
        <v>1755.8072479999998</v>
      </c>
      <c r="N68" s="3">
        <f>1902.1+(134.5-123.7)+(-2.910213+(-0.205785--0.189261))+0-84--0.128520000000005</f>
        <v>1826.1017829999998</v>
      </c>
      <c r="O68" s="3">
        <f>1944.8+(154.6-94)+(-1.983696+(-0.157692--0.09588))+0-96.3--0.0982260000000154</f>
        <v>1907.152718</v>
      </c>
      <c r="P68" s="3">
        <f>2062+(132.5-146.5)+(-3.15486+(-0.202725--0.224145))+0-77.4--0.118422000000004</f>
        <v>1967.5849819999999</v>
      </c>
      <c r="Q68" s="3">
        <f>2080.7+(132.8-171.1)+(-3.183471+(-0.203184--0.261783))+0-29.2--0.0446760000000017</f>
        <v>2010.1198039999997</v>
      </c>
      <c r="R68" s="3">
        <f>2057.2+(132.5-138.2)+(-1.049172+(-0.067575--0.070482))+0-38.8--0.0197879999999961</f>
        <v>2011.6735230000002</v>
      </c>
      <c r="S68" s="3">
        <f>2048.1+(163.3-113.2)+(-1.044531+(-0.083283--0.057732))+0-93.5--0.0476849999999905</f>
        <v>2003.6776029999996</v>
      </c>
      <c r="T68" s="3">
        <f>2088.2+(134.3-164.3)+(-4.259928+(-0.273972--0.335172))+0-66.8--0.136271999999997</f>
        <v>1987.337544</v>
      </c>
      <c r="U68" s="3">
        <f>2050.8+(142.8-132.6)+(-1.045908+(-0.072828--0.067626))+0-86.4--0.0440639999999912</f>
        <v>1973.592954</v>
      </c>
      <c r="V68" s="3">
        <f>2017+(150.4-122.1)+(-1.02867+(-0.076704--0.062271))+0-87.1--0.0444209999999912</f>
        <v>1957.2013180000001</v>
      </c>
      <c r="W68" s="3">
        <f>1992.5+(152.4-121)+(-4.0647+(-0.310896--0.24684))+0-81.1--0.165443999999996</f>
        <v>1938.8366880000001</v>
      </c>
      <c r="X68" s="3">
        <f>1902.9+(179.5-92.6)+(-4.852395+(-0.457725--0.23613))+0-69.1--0.17620499999999</f>
        <v>1915.8022150000002</v>
      </c>
      <c r="Y68" s="3">
        <f>1934.7+(179.2-81.4)+(-2.960091+(-0.274176--0.124542))+0-80.9--0.123777000000005</f>
        <v>1948.6140519999999</v>
      </c>
      <c r="Z68" s="3">
        <f>2206.2+(125-86.6)+(-3.375486+(-0.19125--0.132498))+0-86.7--0.132651000000005</f>
        <v>2154.5984130000002</v>
      </c>
      <c r="AA68" s="3">
        <f>2273+(69.9-92)+(-3.47769+(-0.106947--0.14076))+0-84--0.128520000000005</f>
        <v>2163.5846430000001</v>
      </c>
      <c r="AB68" s="3">
        <f>2277.4+(115.6-155.9)+(-4.645896+(-0.235824--0.318036))+0-88.4--0.180335999999996</f>
        <v>2144.3166519999995</v>
      </c>
      <c r="AC68" s="3">
        <f>2292.8+(133.9-250.3)+(-3.507984+(-0.204867--0.382959))+0-81.6--0.124848000000005</f>
        <v>2091.5949559999999</v>
      </c>
      <c r="AD68">
        <v>2191</v>
      </c>
      <c r="AE68" s="3">
        <f>2299+(59.3-131.3)+(0+(0-0))+0-36-0</f>
        <v>2191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2089.5+(133.8-183.9)+(-4.26258+(-0.272952--0.375156))+0-65--0.132599999999997</f>
        <v>1970.372224</v>
      </c>
      <c r="G69" s="3">
        <f>1962.1+(134.1-118.2)+(-4.002684+(-0.273564--0.241128))+0-84.1--0.171563999999996</f>
        <v>1890.0364440000001</v>
      </c>
      <c r="H69" s="3">
        <f>1906.6+(134.1-133.5)+(-1.944732+(-0.136782--0.13617))+0-57.7--0.0588540000000092</f>
        <v>1847.6135099999999</v>
      </c>
      <c r="I69" s="3">
        <f>1823.2+(134.3-105.9)+(-0.929832+(-0.068493--0.054009))+0-24.2--0.0123419999999975</f>
        <v>1826.468026</v>
      </c>
      <c r="J69" s="3">
        <f>1821.3+(134.6-122.5)+(-1.857726+(-0.137292--0.12495))+0-24.8--0.025296000000004</f>
        <v>1806.755228</v>
      </c>
      <c r="K69" s="3">
        <f>1797.2+(138.6-119.1)+(-4.58286+(-0.35343--0.303705))+0-72.8--0.185639999999989</f>
        <v>1739.4530549999999</v>
      </c>
      <c r="L69" s="3">
        <f>1739.4+(203.1-79.1)+(0+(0-0))+0-93-0</f>
        <v>1770.4</v>
      </c>
      <c r="M69" s="3">
        <f>1733+(320.6-76.9)+(-1.76766+(-0.327012--0.078438))+0-76.5--0.0780300000000122</f>
        <v>1898.261796</v>
      </c>
      <c r="N69" s="3">
        <f>1988.6+(304.7-81.5)+(-4.056744+(-0.621588--0.16626))+0-78.7--0.160547999999997</f>
        <v>2128.7484759999998</v>
      </c>
      <c r="O69" s="3">
        <f>2226.8+(146.4-95.3)+(-1.135668+(-0.074664--0.048603))+0-89.3--0.0455429999999909</f>
        <v>2187.4838140000002</v>
      </c>
      <c r="P69" s="3">
        <f>2310.8+(142.6-120.3)+(0+(0-0))+0-82-0</f>
        <v>2251.1000000000004</v>
      </c>
      <c r="Q69" s="3">
        <f>2368.7+(141.1-146.9)+(2.416074+(0.143922-0.149838))+0-80.1-0.0817020000000128</f>
        <v>2285.1284559999999</v>
      </c>
      <c r="R69" s="3">
        <f>2373.8+(141.6-208)+(-1.210638+(-0.072216--0.10608))+0-54.5--0.0277949999999945</f>
        <v>2251.751021</v>
      </c>
      <c r="S69" s="3">
        <f>2339.7+(141.5-274.3)+(0+(0-0))+0-38-0</f>
        <v>2168.8999999999996</v>
      </c>
      <c r="T69" s="3">
        <f>2372.1+(142.3-286.6)+(-1.209771+(-0.072573--0.146166))+0-73--0.0372299999999926</f>
        <v>2153.7010519999994</v>
      </c>
      <c r="U69" s="3">
        <f>2353+(142.1-321.3)+(-6.00015+(-0.362355--0.819315))+0-22.9--0.0583949999999967</f>
        <v>2145.4152050000002</v>
      </c>
      <c r="V69" s="3">
        <f>2364+(142.6-317.9)+(-3.61692+(-0.218178--0.486387))+0-44.2--0.0676260000000026</f>
        <v>2141.2189149999999</v>
      </c>
      <c r="W69" s="3">
        <f>2344.1+(142.6-282.2)+(-8.368437+(-0.509082--1.007454))+0-56.8--0.202776000000001</f>
        <v>2140.0327109999998</v>
      </c>
      <c r="X69" s="3">
        <f>2165.1+(133.5-128.3)+(-7.729407+(-0.476595--0.458031))+0-73.3--0.261681000000001</f>
        <v>2089.5137099999997</v>
      </c>
      <c r="Y69" s="3">
        <f>2073.3+(200.2-85.4)+(-1.057383+(-0.102102--0.043554))+0-88.8--0.045287999999991</f>
        <v>2098.2293570000002</v>
      </c>
      <c r="Z69" s="3">
        <f>2254+(181.3-99.6)+(-2.29908+(-0.184926--0.101592))+0-54.3--0.0553860000000087</f>
        <v>2279.0729719999995</v>
      </c>
      <c r="AA69" s="3">
        <f>2360.4+(139.3-144.2)+(-7.222824+(-0.426258--0.441252))+0-64.2--0.196452000000007</f>
        <v>2284.2886220000005</v>
      </c>
      <c r="AB69" s="3">
        <f>2266.9+(149.8-132)+(-4.624476+(-0.305592--0.26928))+0-83.7--0.170747999999996</f>
        <v>2196.5099600000003</v>
      </c>
      <c r="AC69" s="3">
        <f>2236.3+(138.3-160.6)+(-6.843078+(-0.423198--0.491436))+0-61.9--0.189414000000007</f>
        <v>2145.5145739999998</v>
      </c>
      <c r="AD69">
        <v>2299.4</v>
      </c>
      <c r="AE69" s="3">
        <f>2421+(140.4-182.5)+(0+(0-0))+0-79.5-0</f>
        <v>2299.4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2113.3+(137-155.4)+(-2.155566+(-0.13974--0.158508))+0-88.8--0.0905760000000142</f>
        <v>2004.0537780000002</v>
      </c>
      <c r="G70" s="3">
        <f>2053.5+(133.4-169.1)+(-5.236425+(-0.34017--0.431205))+0-79.8--0.203489999999988</f>
        <v>1933.0581000000002</v>
      </c>
      <c r="H70" s="3">
        <f>2022.2+(137.5-202.7)+(-4.125288+(-0.2805--0.413508))+0-90.6--0.184823999999996</f>
        <v>1862.5925440000001</v>
      </c>
      <c r="I70" s="3">
        <f>2036.7+(141.8-243.4)+(-3.116151+(-0.216954--0.372402))+0-87.8--0.134334000000005</f>
        <v>1844.4736310000003</v>
      </c>
      <c r="J70" s="3">
        <f>1993.1+(137.2-235.4)+(-3.049443+(-0.209916--0.360162))+0-77.5--0.118575000000004</f>
        <v>1814.6193779999999</v>
      </c>
      <c r="K70" s="3">
        <f>1894.8+(132.5-221)+(-3.865392+(-0.2703--0.45084))+0-48.3--0.0985319999999979</f>
        <v>1754.4136799999999</v>
      </c>
      <c r="L70" s="3">
        <f>1820.4+(155.5-94.6)+(-2.785212+(-0.237915--0.144738))+0-95.6--0.146268000000006</f>
        <v>1782.9678790000003</v>
      </c>
      <c r="M70" s="3">
        <f>1793.8+(233.4-73.9)+(-0.914838+(-0.119034--0.037689))+0-45.8--0.0233579999999954</f>
        <v>1906.5271749999999</v>
      </c>
      <c r="N70" s="3">
        <f>1913.6+(308.4-82)+(0+(0-0))+0-74.1-0</f>
        <v>2065.9</v>
      </c>
      <c r="O70" s="3">
        <f>2031.9+(287.3-84.4)+(1.036269+(0.146523-0.043044))+0-75.4-0.0384539999999924</f>
        <v>2160.5012940000001</v>
      </c>
      <c r="P70" s="3">
        <f>2073.2+(337-85.9)+(1.057332+(0.17187-0.043809))+0-72.5-0.0369749999999926</f>
        <v>2252.9484179999999</v>
      </c>
      <c r="Q70" s="3">
        <f>2163.1+(303.2-86.2)+(1.103181+(0.154632-0.043962))+0-72.6-0.0370259999999926</f>
        <v>2308.676825</v>
      </c>
      <c r="R70" s="3">
        <f>2175.8+(307.3-79.6)+(0+(0-0))+0-81.9-0</f>
        <v>2321.6</v>
      </c>
      <c r="S70" s="3">
        <f>2258.8+(179-79.2)+(0+(0-0))+0-80.1-0</f>
        <v>2278.5000000000005</v>
      </c>
      <c r="T70" s="3">
        <f>2258.5+(163-109.5)+(-3.455505+(-0.24939--0.167535))+0-45.2--0.0691560000000026</f>
        <v>2263.3317960000004</v>
      </c>
      <c r="U70" s="3">
        <f>2266.4+(143.3-134.9)+(2.311728+(0.146166-0.137598))+0-20.8-0.0212160000000033</f>
        <v>2256.2990799999998</v>
      </c>
      <c r="V70" s="3">
        <f>2253.3+(175.9-100.7)+(-2.298366+(-0.179418--0.102714))+0-30--0.0306000000000048</f>
        <v>2296.15553</v>
      </c>
      <c r="W70" s="3">
        <f>2248.2+(158.9-114.2)+(-8.026074+(-0.567273--0.407694))+0-65--0.232050000000001</f>
        <v>2219.9463969999997</v>
      </c>
      <c r="X70" s="3">
        <f>2149.3+(191.5-87.5)+(-5.480715+(-0.488325--0.223125))+0-77.1--0.196604999999989</f>
        <v>2170.6506900000004</v>
      </c>
      <c r="Y70" s="3">
        <f>2037.7+(283.9-87.3)+(-3.117681+(-0.434367--0.133569))+0-89.2--0.136476000000005</f>
        <v>2141.8179970000006</v>
      </c>
      <c r="Z70" s="3">
        <f>2308.2+(207-89.5)+(-2.354364+(-0.21114--0.09129))+0-77.7--0.0792540000000124</f>
        <v>2345.6050400000004</v>
      </c>
      <c r="AA70" s="3">
        <f>2510.3+(141.9-220.1)+(-6.401265+(-0.361845--0.561255))+0-60--0.152999999999991</f>
        <v>2366.0511450000004</v>
      </c>
      <c r="AB70" s="3">
        <f>2499.9+(142.2-276.5)+(-5.099796+(-0.290088--0.56406))+0-73.6--0.150143999999997</f>
        <v>2287.3243200000002</v>
      </c>
      <c r="AC70" s="3">
        <f>2305.9+(142-168.1)+(-4.704036+(-0.28968--0.342924))+0-82.3--0.167891999999996</f>
        <v>2193.0171</v>
      </c>
      <c r="AD70">
        <v>2375.3000000000002</v>
      </c>
      <c r="AE70" s="3">
        <f>2519+(143.3-211.8)+(0+(0-0))+0-75.2-0</f>
        <v>2375.3000000000002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2204.4+(141.5-198.6)+(-2.248488+(-0.14433--0.202572))+0-75.6--0.077112000000012</f>
        <v>2069.5868660000001</v>
      </c>
      <c r="G71" s="3">
        <f>2008.5+(140-117.4)+(-4.09734+(-0.2856--0.239496))+0-74.1--0.151163999999997</f>
        <v>1953.0077200000001</v>
      </c>
      <c r="H71" s="3">
        <f>1962.3+(144.4-105.6)+(-4.003092+(-0.294576--0.215424))+0-86.2--0.175847999999996</f>
        <v>1910.993604</v>
      </c>
      <c r="I71" s="3">
        <f>1911.2+(148.4-99.3)+(-2.924136+(-0.227052--0.151929))+0-73.2--0.111996000000004</f>
        <v>1884.2127370000001</v>
      </c>
      <c r="J71" s="3">
        <f>1919.7+(138.5-127.1)+(-0.979047+(-0.070635--0.064821))+0-77.3--0.0394229999999922</f>
        <v>1852.8545620000002</v>
      </c>
      <c r="K71" s="3">
        <f>1882.8+(139-137.6)+(-2.880684+(-0.21267--0.210528))+0-80.9--0.123777000000005</f>
        <v>1800.5409509999999</v>
      </c>
      <c r="L71" s="3">
        <f>1808.3+(187.8-86.9)+(-1.844466+(-0.191556--0.088638))+0-83.2--0.0848640000000133</f>
        <v>1824.1374799999999</v>
      </c>
      <c r="M71" s="3">
        <f>1958.2+(188.9-89.2)+(0+(0-0))+0-75.8-0</f>
        <v>1982.1000000000001</v>
      </c>
      <c r="N71" s="3">
        <f>2060.3+(213.1-78.4)+(2.101506+(0.217362-0.079968))+0-60.1-0.0613020000000096</f>
        <v>2137.0775979999999</v>
      </c>
      <c r="O71" s="3">
        <f>2160.4+(192.9-99)+(1.101804+(0.098379-0.05049))+0-25-0.0127499999999975</f>
        <v>2230.4369430000002</v>
      </c>
      <c r="P71" s="3">
        <f>2309.5+(193.6-91.2)+(1.177845+(0.098736-0.046512))+0-87.1-0.0444209999999912</f>
        <v>2325.9856480000003</v>
      </c>
      <c r="Q71" s="3">
        <f>2442.9+(162.5-119.3)+(2.491758+(0.16575-0.121686))+0-89.5-0.0912900000000143</f>
        <v>2399.0445319999999</v>
      </c>
      <c r="R71" s="3">
        <f>2488.1+(140.9-158.2)+(1.268931+(0.071859-0.080682))+0-60.4-0.0308039999999939</f>
        <v>2411.6293039999996</v>
      </c>
      <c r="S71" s="3">
        <f>2461.2+(140.7-163.1)+(-1.255212+(-0.071757--0.083181))+0-64.3--0.0327929999999935</f>
        <v>2373.2890049999992</v>
      </c>
      <c r="T71" s="3">
        <f>2438.6+(140.6-177.1)+(-1.243686+(-0.071706--0.090321))+0-66.8--0.0340679999999932</f>
        <v>2334.1089969999998</v>
      </c>
      <c r="U71" s="3">
        <f>2331+(177.6-99.8)+(-3.56643+(-0.271728--0.152694))+0-84.8--0.129744000000005</f>
        <v>2320.4442799999997</v>
      </c>
      <c r="V71" s="3">
        <f>2335+(156.6-123)+(-2.3817+(-0.159732--0.12546))+0-45.7--0.0466140000000073</f>
        <v>2320.5306420000002</v>
      </c>
      <c r="W71" s="3">
        <f>2304.4+(159.8-105.3)+(-7.051464+(-0.488988--0.322218))+0-65.8--0.201348000000008</f>
        <v>2286.083114</v>
      </c>
      <c r="X71" s="3">
        <f>2368.2+(141.5-219.7)+(-7.246692+(-0.43299--0.672282))+0-79.1--0.242046000000009</f>
        <v>2204.134646</v>
      </c>
      <c r="Y71" s="3">
        <f>2405.4+(126.9-258.3)+(-4.907016+(-0.258876--0.526932))+0-86.2--0.175847999999996</f>
        <v>2183.3368879999998</v>
      </c>
      <c r="Z71" s="3">
        <f>2448.2+(113.1-125.6)+(-2.497164+(-0.115362--0.128112))+0-66.2--0.0675240000000106</f>
        <v>2367.08311</v>
      </c>
      <c r="AA71" s="3">
        <f>2496.6+(117.3-151.2)+(-7.639596+(-0.358938--0.462672))+0-83.5--0.25551000000001</f>
        <v>2371.9196479999996</v>
      </c>
      <c r="AB71" s="3">
        <f>2483.4+(140.8-226.5)+(-5.066136+(-0.287232--0.46206))+0-86--0.175439999999996</f>
        <v>2306.984132</v>
      </c>
      <c r="AC71" s="3">
        <f>2384.5+(139.2-186.2)+(-1.216095+(-0.070992--0.094962))+0-82.2--0.0419219999999917</f>
        <v>2254.149797</v>
      </c>
      <c r="AD71">
        <v>2331.6999999999998</v>
      </c>
      <c r="AE71" s="3">
        <f>2487+(102.9-163.9)+(0+(0-0))+0-94.3-0</f>
        <v>2331.6999999999998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2221.9+(140.7-185.9)+(-2.266338+(-0.143514--0.189618))+0-71.1--0.0725220000000113</f>
        <v>2103.4522880000004</v>
      </c>
      <c r="G72" s="3">
        <f>2147+(141.1-192.2)+(-4.37988+(-0.287844--0.392088))+0-77.9--0.158915999999997</f>
        <v>2013.8832800000002</v>
      </c>
      <c r="H72" s="3">
        <f>2145.3+(140.2-229.4)+(-4.376412+(-0.286008--0.467976))+0-80.9--0.165035999999996</f>
        <v>1971.1705920000002</v>
      </c>
      <c r="I72" s="3">
        <f>2139.2+(137.7-303.9)+(-4.363968+(-0.280908--0.619956))+0-41.9--0.0854759999999982</f>
        <v>1927.1605559999996</v>
      </c>
      <c r="J72" s="3">
        <f>2105.8+(138.5-256.6)+(-1.073958+(-0.070635--0.130866))+0-78.5--0.040034999999992</f>
        <v>1908.2263080000002</v>
      </c>
      <c r="K72" s="3">
        <f>2017.9+(140.9-269.6)+(-8.233032+(-0.574872--1.099968))+0-59.6--0.243167999999995</f>
        <v>1822.1352320000001</v>
      </c>
      <c r="L72" s="3">
        <f>1856.3+(140.4-133.2)+(-1.893426+(-0.143208--0.135864))+0-27.1--0.0276420000000043</f>
        <v>1834.5268720000001</v>
      </c>
      <c r="M72" s="3">
        <f>1904.7+(185.9-79.9)+(-1.942794+(-0.189618--0.081498))+0-19.6--0.0199920000000031</f>
        <v>1989.0690780000002</v>
      </c>
      <c r="N72" s="3">
        <f>2140.1+(157.9-122.3)+(0+(0-0))+0-20.5-0</f>
        <v>2155.1999999999998</v>
      </c>
      <c r="O72" s="3">
        <f>2547.3+(137.8-374.9)+(-2.598246+(-0.140556--0.382398))+0-19.9--0.0202980000000032</f>
        <v>2287.963894</v>
      </c>
      <c r="P72" s="3">
        <f>2653.6+(138.3-398.6)+(-4.060008+(-0.211599--0.609858))+0-17.6--0.026928000000001</f>
        <v>2372.0651790000002</v>
      </c>
      <c r="Q72" s="3">
        <f>2692.2+(138-386.5)+(-5.492088+(-0.28152--0.78846))+0-16.1--0.0328439999999993</f>
        <v>2422.6476959999995</v>
      </c>
      <c r="R72" s="3">
        <f>2725.4+(138.7-397.4)+(-2.779908+(-0.141474--0.405348))+0-17.1--0.0174420000000027</f>
        <v>2447.101408</v>
      </c>
      <c r="S72" s="3">
        <f>2717+(139.3-421.4)+(-2.77134+(-0.142086--0.429828))+0-17.6--0.0179520000000028</f>
        <v>2414.8343540000005</v>
      </c>
      <c r="T72" s="3">
        <f>2747.1+(138.7-447)+(1.401021+(0.070737-0.22797))+0-45.8-0.0233579999999954</f>
        <v>2394.2204299999999</v>
      </c>
      <c r="U72" s="3">
        <f>2777.8+(139-466.4)+(-2.833356+(-0.14178--0.475728))+0-79.6--0.0811920000000127</f>
        <v>2368.3817840000002</v>
      </c>
      <c r="V72" s="3">
        <f>2787.6+(139.8-501.6)+(-9.951732+(-0.499086--1.790712))+0-83.6--0.298452000000001</f>
        <v>2333.838346</v>
      </c>
      <c r="W72" s="3">
        <f>2710.3+(140.5-566)+(-2.764506+(-0.14331--0.57732))+0-49.9--0.050898000000008</f>
        <v>2232.620402</v>
      </c>
      <c r="X72" s="3">
        <f>2511.6+(138.8-388)+(-6.40458+(-0.35394--0.9894))+0-80.4--0.205019999999988</f>
        <v>2176.4358999999999</v>
      </c>
      <c r="Y72" s="3">
        <f>2394.7+(123.5-305.1)+(0+(0-0))+0-47.2-0</f>
        <v>2165.9</v>
      </c>
      <c r="Z72" s="3">
        <f>2722.5+(113.4-378)+(0+(0-0))+0-84.3-0</f>
        <v>2373.6</v>
      </c>
      <c r="AA72" s="3">
        <f>2845.4+(130.5-488.7)+(-5.804616+(-0.26622--0.996948))+0-90.3--0.184211999999996</f>
        <v>2392.0103240000003</v>
      </c>
      <c r="AB72" s="3">
        <f>2820.2+(140.2-578.7)+(0+(0-0))+0-71.1-0</f>
        <v>2310.6</v>
      </c>
      <c r="AC72" s="3">
        <f>2732.1+(140.5-533.8)+(-5.573484+(-0.28662--1.088952))+0-92.6--0.188903999999996</f>
        <v>2241.6177520000006</v>
      </c>
      <c r="AD72">
        <v>2367.3999999999996</v>
      </c>
      <c r="AE72" s="3">
        <f>2817+(130.6-482.3)+(0+(0-0))+0-97.9-0</f>
        <v>2367.4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2526.3+(141-518.7)+(-5.153652+(-0.28764--1.058148))+0-59.3--0.120971999999997</f>
        <v>2085.0378280000004</v>
      </c>
      <c r="G73" s="3">
        <f>2273.7+(140-361.9)+(-5.797935+(-0.357--0.922845))+0-71.7--0.18283499999999</f>
        <v>1975.0507449999998</v>
      </c>
      <c r="H73" s="3">
        <f>2099.7+(139.6-228.6)+(-1.070847+(-0.071196--0.116586))+0-96--0.0489599999999903</f>
        <v>1913.7235029999999</v>
      </c>
      <c r="I73" s="3">
        <f>2086.5+(139.5-261.8)+(0+(0-0))+0-80.5-0</f>
        <v>1883.7</v>
      </c>
      <c r="J73" s="3">
        <f>2065.1+(140.7-249.2)+(-2.106402+(-0.143514--0.254184))+0-78.7--0.0802740000000126</f>
        <v>1875.9845419999997</v>
      </c>
      <c r="K73" s="3">
        <f>2038.7+(140-318.4)+(-5.198685+(-0.357--0.81192))+0-82.2--0.209609999999988</f>
        <v>1773.5658450000001</v>
      </c>
      <c r="L73" s="3">
        <f>2045.4+(139.5-284.2)+(2.086308+(0.14229-0.289884))+0-85.3-0.0870060000000136</f>
        <v>1817.251708</v>
      </c>
      <c r="M73" s="3">
        <f>2170.1+(138.6-275)+(-1.106751+(-0.070686--0.14025))+0-64.3--0.0327929999999935</f>
        <v>1968.395606</v>
      </c>
      <c r="N73" s="3">
        <f>2452.2+(138.5-383.6)+(3.751866+(0.211905-0.586908))+0-82.4-0.126072000000005</f>
        <v>2127.9507909999998</v>
      </c>
      <c r="O73" s="3">
        <f>2780.5+(138-554.5)+(-1.418055+(-0.07038--0.282795))+0-97.6--0.0497759999999901</f>
        <v>2265.2441359999998</v>
      </c>
      <c r="P73" s="3">
        <f>2691+(139.1-416.7)+(0+(0-0))+0-84.7-0</f>
        <v>2328.7000000000003</v>
      </c>
      <c r="Q73" s="3">
        <f>2675.6+(139.4-355)+(0+(0-0))+0-77.2-0</f>
        <v>2382.8000000000002</v>
      </c>
      <c r="R73" s="3">
        <f>2722+(139.1-397.1)+(1.38822+(0.070941-0.202521))+0-83.1-0.0423809999999916</f>
        <v>2382.1142589999999</v>
      </c>
      <c r="S73" s="3">
        <f>2723.8+(138.5-432.5)+(-5.556552+(-0.28254--0.8823))+0-89.9--0.183395999999996</f>
        <v>2335.126604</v>
      </c>
      <c r="T73" s="3">
        <f>2730.7+(138.8-471.1)+(-5.570628+(-0.283152--0.961044))+0-81.5--0.166259999999996</f>
        <v>2312.1735239999998</v>
      </c>
      <c r="U73" s="3">
        <f>2714.7+(134.7-470.2)+(-2.768994+(-0.137394--0.479604))+0-61.4--0.0626280000000098</f>
        <v>2315.4358439999996</v>
      </c>
      <c r="V73" s="3">
        <f>2688.5+(139.4-437.8)+(-5.48454+(-0.284376--0.893112))+0-96.3--0.196451999999996</f>
        <v>2289.1206480000001</v>
      </c>
      <c r="W73" s="3">
        <f>2684.5+(140.9-477.7)+(-6.845475+(-0.359295--1.218135))+0-78.1--0.199154999999989</f>
        <v>2263.8125199999995</v>
      </c>
      <c r="X73" s="3">
        <f>2655.9+(141.7-505)+(-13.54509+(-0.72267--2.5755))+0-89.2--0.454920000000006</f>
        <v>2192.1626600000004</v>
      </c>
      <c r="Y73" s="3">
        <f>2392.1+(128.7-258.7)+(-3.659913+(-0.196911--0.395811))+0-78.2--0.119646000000005</f>
        <v>2180.5586330000001</v>
      </c>
      <c r="Z73" s="3">
        <f>2519.1+(126-213.9)+(1.284741+(0.06426-0.109089))+0-73.4-0.0374339999999926</f>
        <v>2359.0024779999999</v>
      </c>
      <c r="AA73" s="3">
        <f>2831.5+(130.3-490.9)+(-5.77626+(-0.265812--1.001436))+0-88.1--0.179723999999996</f>
        <v>2377.9390880000001</v>
      </c>
      <c r="AB73" s="3">
        <f>2816+(141.1-581.1)+(-2.87232+(-0.143922--0.592722))+0-82.7--0.0843540000000132</f>
        <v>2290.9608340000004</v>
      </c>
      <c r="AC73" s="3">
        <f>2801.6+(140.6-646.9)+(-7.14408+(-0.35853--1.649595))+0-77.4--0.197369999999989</f>
        <v>2212.2443549999998</v>
      </c>
      <c r="AD73">
        <v>2395.5</v>
      </c>
      <c r="AE73" s="3">
        <f>2836+(113.6-524.6)+(0+(0-0))+0-29.5-0</f>
        <v>2395.5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2557.2+(141.3-533.2)+(-6.52086+(-0.360315--1.35966))+0-88--0.224399999999987</f>
        <v>2072.0028849999999</v>
      </c>
      <c r="G74" s="3">
        <f>2384.4+(140.8-461.4)+(-6.08022+(-0.35904--1.17657))+0-89.9--0.229244999999987</f>
        <v>1968.8665550000001</v>
      </c>
      <c r="H74" s="3">
        <f>2362.4+(140.7-527.3)+(1.204824+(0.071757-0.268923))+0-55.4-0.0282539999999944</f>
        <v>1921.379404</v>
      </c>
      <c r="I74" s="3">
        <f>2308.9+(141.2-492.2)+(-1.177539+(-0.072012--0.251022))+0-67.7--0.0345269999999931</f>
        <v>1889.2359980000001</v>
      </c>
      <c r="J74" s="3">
        <f>2147.6+(139.8-397.8)+(-7.666932+(-0.499086--1.420146))+0-28.4--0.101388</f>
        <v>1854.5555159999999</v>
      </c>
      <c r="K74" s="3">
        <f>2094.9+(141.8-380.6)+(-9.615591+(-0.650862--1.746954))+0-74.5--0.341955000000013</f>
        <v>1773.4224560000002</v>
      </c>
      <c r="L74" s="3">
        <f>2107.8+(141.3-362.2)+(-5.37489+(-0.360315--0.92361))+0-77.9--0.198644999999989</f>
        <v>1804.38705</v>
      </c>
      <c r="M74" s="3">
        <f>2195.7+(139.9-320.8)+(3.359421+(0.214047-0.490824))+0-85-0.130050000000005</f>
        <v>1932.7525939999998</v>
      </c>
      <c r="N74" s="3">
        <f>2510.3+(139.1-449.6)+(3.840759+(0.212823-0.687888))+0-95-0.145350000000006</f>
        <v>2108.0203440000005</v>
      </c>
      <c r="O74" s="3">
        <f>2769+(138.1-590.9)+(5.64876+(0.281724-1.205436))+0-81.5-0.166259999999996</f>
        <v>2239.2587879999996</v>
      </c>
      <c r="P74" s="3">
        <f>2808.4+(137.7-548)+(4.296852+(0.210681-0.83844))+0-85.5-0.130815000000005</f>
        <v>2316.1382779999999</v>
      </c>
      <c r="Q74" s="3">
        <f>2774.5+(138.7-411.3)+(0+(0-0))+0-86-0</f>
        <v>2415.9</v>
      </c>
      <c r="R74" s="3">
        <f>2757.9+(138.8-425)+(-1.406529+(-0.070788--0.21675))+0-89.4--0.0455939999999909</f>
        <v>2381.0850270000005</v>
      </c>
      <c r="S74" s="3">
        <f>2754.9+(137.4-463.3)+(-7.024995+(-0.35037--1.181415))+0-89.4--0.227969999999987</f>
        <v>2333.63402</v>
      </c>
      <c r="T74" s="3">
        <f>2753.8+(136.8-486.5)+(-8.426628+(-0.418608--1.48869))+0-83--0.25398000000001</f>
        <v>2313.9974340000003</v>
      </c>
      <c r="U74" s="3">
        <f>2685.6+(125.1-439.7)+(-4.108968+(-0.191403--0.672741))+0-84.2--0.128826000000005</f>
        <v>2283.3011960000003</v>
      </c>
      <c r="V74" s="3">
        <f>2569.8+(125.7-367.6)+(0+(0-0))+0-75.5-0</f>
        <v>2252.4</v>
      </c>
      <c r="W74" s="3">
        <f>2391.4+(127.3-251.7)+(2.439228+(0.129846-0.256734))+0-76.6-0.0781320000000122</f>
        <v>2192.6342079999999</v>
      </c>
      <c r="X74" s="3">
        <f>2362.2+(121.4-245.3)+(-3.614166+(-0.185742--0.375309))+0-88.6--0.135558000000005</f>
        <v>2146.4109589999998</v>
      </c>
      <c r="Y74" s="3">
        <f>2417.9+(111.1-297.9)+(1.233129+(0.056661-0.151929))+0-98.4-0.05018399999999</f>
        <v>2133.7876769999998</v>
      </c>
      <c r="Z74" s="3">
        <f>2722.1+(67.3-356.1)+(-4.164813+(-0.102969--0.544833))+0-97.2--0.148716000000006</f>
        <v>2332.5257670000001</v>
      </c>
      <c r="AA74" s="3">
        <f>2728.6+(68.7-384.7)+(-2.783172+(-0.070074--0.392394))+0-83.3--0.0849660000000133</f>
        <v>2326.9241139999995</v>
      </c>
      <c r="AB74" s="3">
        <f>2607.6+(128.8-387.8)+(-3.989628+(-0.197064--0.593334))+0-86.6--0.132498000000005</f>
        <v>2258.5391399999999</v>
      </c>
      <c r="AC74" s="3">
        <f>2455+(137.9-303.8)+(0+(0-0))+0-81.7-0</f>
        <v>2207.4</v>
      </c>
      <c r="AD74">
        <v>2347.5</v>
      </c>
      <c r="AE74" s="3">
        <f>2771+(75.1-394.2)+(0+(0-0))+0-104.4-0</f>
        <v>2347.5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2243.1+(143.8-197.2)+(-2.287962+(-0.146676--0.201144))+0-85.9--0.0876180000000137</f>
        <v>2101.6541239999997</v>
      </c>
      <c r="G75" s="3">
        <f>2062.1+(172.4-153.8)+(-4.206684+(-0.351696--0.313752))+0-82.7--0.168707999999996</f>
        <v>1993.9240799999998</v>
      </c>
      <c r="H75" s="3">
        <f>1969.8+(169.6-131.4)+(-4.018392+(-0.345984--0.268056))+0-71.8--0.146471999999997</f>
        <v>1932.2501519999998</v>
      </c>
      <c r="I75" s="3">
        <f>2005.5+(145.9-145.1)+(1.022805+(0.074409-0.074001))+0-92.5-0.0471749999999906</f>
        <v>1914.776038</v>
      </c>
      <c r="J75" s="3">
        <f>1984.9+(139.7-187.8)+(-2.024598+(-0.142494--0.191556))+0-58.5--0.0596700000000093</f>
        <v>1876.3841340000004</v>
      </c>
      <c r="K75" s="3">
        <f>1962.1+(139.9-246.5)+(-2.001342+(-0.142698--0.25143))+0-93--0.0948600000000148</f>
        <v>1760.7022499999998</v>
      </c>
      <c r="L75" s="3">
        <f>1820.7+(179.6-162.1)+(-4.642785+(-0.45798--0.413355))+0-91.2--0.232559999999987</f>
        <v>1742.5451499999999</v>
      </c>
      <c r="M75" s="3">
        <f>1807.7+(213.9-150.7)+(0+(0-0))+0-77.2-0</f>
        <v>1793.7</v>
      </c>
      <c r="N75" s="3">
        <f>1961+(167.7-155.2)+(3.00033+(0.256581-0.237456))+0-84-0.128520000000005</f>
        <v>1892.3909350000001</v>
      </c>
      <c r="O75" s="3">
        <f>2092.1+(158.3-186.7)+(3.200913+(0.242199-0.285651))+0-87-0.133110000000005</f>
        <v>1979.7243509999996</v>
      </c>
      <c r="P75" s="3">
        <f>2263.1+(139.9-266.9)+(5.770905+(0.356745-0.680595))+0-86.5-0.220574999999987</f>
        <v>2054.8264800000002</v>
      </c>
      <c r="Q75" s="3">
        <f>2283.9+(143.6-215.1)+(3.494367+(0.219708-0.329103))+0-83-0.126990000000005</f>
        <v>2132.6579819999997</v>
      </c>
      <c r="R75" s="3">
        <f>2249.8+(164.5-98.3)+(-2.294796+(-0.16779--0.100266))+0-84.4--0.0860880000000135</f>
        <v>2229.3237679999997</v>
      </c>
      <c r="S75" s="3">
        <f>2197.9+(184.9-75.7)+(-1.120929+(-0.094299--0.038607))+0-71.2--0.0363119999999928</f>
        <v>2234.7596910000002</v>
      </c>
      <c r="T75" s="3">
        <f>2169.1+(222.4-77)+(0+(0-0))+0-79.7-0</f>
        <v>2234.8000000000002</v>
      </c>
      <c r="U75" s="3">
        <f>2146.3+(229.2-77.8)+(0+(0-0))+0-84.8-0</f>
        <v>2212.9</v>
      </c>
      <c r="V75" s="3">
        <f>2120.5+(223.1-76.7)+(-3.244365+(-0.341343--0.117351))+0-75.5--0.115515000000004</f>
        <v>2188.0471579999999</v>
      </c>
      <c r="W75" s="3">
        <f>2133.2+(180.5-83.7)+(-5.43966+(-0.460275--0.213435))+0-88.6--0.225929999999987</f>
        <v>2135.9394300000004</v>
      </c>
      <c r="X75" s="3">
        <f>2032.5+(256.4-79.2)+(-5.182875+(-0.65382--0.20196))+0-72.1--0.18385499999999</f>
        <v>2132.1491199999996</v>
      </c>
      <c r="Y75" s="3">
        <f>1966.7+(326.7-82.7)+(-2.006034+(-0.333234--0.084354))+0-83.8--0.0854760000000134</f>
        <v>2124.7305619999997</v>
      </c>
      <c r="Z75" s="3">
        <f>2090.7+(353.8-84.3)+(-2.132514+(-0.360876--0.085986))+0-62.8--0.06405600000001</f>
        <v>2295.0566519999998</v>
      </c>
      <c r="AA75" s="3">
        <f>2187.8+(291-82.7)+(-4.463112+(-0.59364--0.168708))+0-82--0.167279999999996</f>
        <v>2309.3792360000007</v>
      </c>
      <c r="AB75" s="3">
        <f>2183.3+(277.5-74.2)+(-4.453932+(-0.5661--0.151368))+0-81.2--0.165647999999996</f>
        <v>2300.6969840000006</v>
      </c>
      <c r="AC75" s="3">
        <f>2302.5+(140.2-105.3)+(-2.34855+(-0.143004--0.107406))+0-85.2--0.0869040000000136</f>
        <v>2249.9027560000004</v>
      </c>
      <c r="AD75">
        <v>2330.1999999999998</v>
      </c>
      <c r="AE75" s="3">
        <f>2197+(308.7-82.3)+(0+(0-0))+0-93.2-0</f>
        <v>2330.2000000000003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2283.9+(141-278.2)+(-4.659156+(-0.28764--0.567528))+0-90.1--0.183803999999996</f>
        <v>2052.404536</v>
      </c>
      <c r="G76" s="3">
        <f>1905.6+(263.3-153.3)+(0+(0-0))+0-73.2-0</f>
        <v>1942.3999999999999</v>
      </c>
      <c r="H76" s="3">
        <f>1788.5+(306.2-149.1)+(-2.736405+(-0.468486--0.228123))+0-65.9--0.100827000000004</f>
        <v>1876.8240589999998</v>
      </c>
      <c r="I76" s="3">
        <f>1794.9+(284.2-149)+(-1.830798+(-0.289884--0.15198))+0-79--0.0805800000000126</f>
        <v>1849.2118780000003</v>
      </c>
      <c r="J76" s="3">
        <f>1864.5+(191.5-148.5)+(0.950895+(0.097665-0.075735))+0-81.7-0.0416669999999917</f>
        <v>1826.7311580000001</v>
      </c>
      <c r="K76" s="3">
        <f>1850.8+(140.6-200.2)+(-5.663448+(-0.430236--0.612612))+0-57.5--0.175950000000007</f>
        <v>1728.3948780000001</v>
      </c>
      <c r="L76" s="3">
        <f>1843.8+(141-180.9)+(-2.821014+(-0.21573--0.276777))+0-84.6--0.129438000000005</f>
        <v>1716.6694709999999</v>
      </c>
      <c r="M76" s="3">
        <f>1925.2+(140.2-204.2)+(1.963704+(0.143004-0.208284))+0-59.1-0.0602820000000094</f>
        <v>1803.9381420000002</v>
      </c>
      <c r="N76" s="3">
        <f>2051.6+(138.5-214.9)+(-5.23158+(-0.353175--0.547995))+0-77.8--0.198389999999989</f>
        <v>1892.5616299999999</v>
      </c>
      <c r="O76" s="3">
        <f>2228+(138-281.5)+(-1.13628+(-0.07038--0.143565))+0-80.5--0.0410549999999918</f>
        <v>2002.9779599999999</v>
      </c>
      <c r="P76" s="3">
        <f>2384.4+(137.4-362.8)+(0+(0-0))+0-81.7-0</f>
        <v>2077.3000000000002</v>
      </c>
      <c r="Q76" s="3">
        <f>2408.9+(138.1-323.1)+(1.228539+(0.070431-0.164781))+0-80.9-0.0412589999999918</f>
        <v>2144.0929299999998</v>
      </c>
      <c r="R76" s="3">
        <f>2403.7+(137.9-314.6)+(0+(0-0))+0-83.8-0</f>
        <v>2143.1999999999998</v>
      </c>
      <c r="S76" s="3">
        <f>2387.3+(137.5-314.4)+(-1.217523+(-0.070125--0.160344))+0-82.6--0.0421259999999916</f>
        <v>2126.7148219999999</v>
      </c>
      <c r="T76" s="3">
        <f>2364.8+(138.2-293.3)+(-6.03024+(-0.35241--0.747915))+0-80.8--0.206039999999988</f>
        <v>2123.471305</v>
      </c>
      <c r="U76" s="3">
        <f>2352.6+(138.1-296.2)+(-2.399652+(-0.140862--0.302124))+0-78--0.0795600000000124</f>
        <v>2114.3411700000001</v>
      </c>
      <c r="V76" s="3">
        <f>2280.1+(139.1-250.8)+(-5.814255+(-0.354705--0.63954))+0-74.2--0.189209999999989</f>
        <v>2088.8597900000004</v>
      </c>
      <c r="W76" s="3">
        <f>2219.6+(147.2-223.2)+(-4.527984+(-0.300288--0.455328))+0-84.1--0.171563999999996</f>
        <v>2055.29862</v>
      </c>
      <c r="X76" s="3">
        <f>2169.2+(136.9-213.2)+(-6.637752+(-0.418914--0.652392))+0-76.1--0.232866000000009</f>
        <v>2010.6285919999998</v>
      </c>
      <c r="Y76" s="3">
        <f>2070.5+(158.4-185.6)+(-3.167865+(-0.242352--0.283968))+0-62.1--0.0950130000000036</f>
        <v>1978.1687640000002</v>
      </c>
      <c r="Z76" s="3">
        <f>2346.6+(119.6-201.7)+(-2.393532+(-0.121992--0.205734))+0-84.8--0.0864960000000135</f>
        <v>2177.4767059999999</v>
      </c>
      <c r="AA76" s="3">
        <f>2388.7+(116.6-207.9)+(-4.872948+(-0.237864--0.424116))+0-91.7--0.187067999999996</f>
        <v>2201.2003719999998</v>
      </c>
      <c r="AB76" s="3">
        <f>2323.2+(146.1-215.6)+(-3.554496+(-0.223533--0.329868))+0-86.8--0.132804000000005</f>
        <v>2163.5846429999997</v>
      </c>
      <c r="AC76" s="3">
        <f>2338.7+(140.4-263.6)+(-3.578211+(-0.214812--0.403308))+0-77.6--0.118728000000004</f>
        <v>2134.6290130000002</v>
      </c>
      <c r="AD76">
        <v>2228.1999999999998</v>
      </c>
      <c r="AE76" s="3">
        <f>2411+(118.1-203.4)+(0+(0-0))+0-97.5-0</f>
        <v>2228.1999999999998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2283.1+(140.5-357.6)+(-4.657524+(-0.28662--0.729504))+0-35.6--0.0726239999999985</f>
        <v>2026.2579839999999</v>
      </c>
      <c r="G77" s="3">
        <f>2195+(138.9-335.8)+(1.11945+(0.070839-0.171258))+0-58.9-0.030038999999994</f>
        <v>1940.1889919999999</v>
      </c>
      <c r="H77" s="3">
        <f>2178.4+(139-334.4)+(-2.221968+(-0.14178--0.341088))+0-90.5--0.0923100000000144</f>
        <v>1890.5696499999999</v>
      </c>
      <c r="I77" s="3">
        <f>2134.7+(138.9-315.2)+(0+(0-0))+0-88.2-0</f>
        <v>1870.1999999999998</v>
      </c>
      <c r="J77" s="3">
        <f>2151.6+(138.4-368.3)+(3.291948+(0.211752-0.563499))+0-81.9-0.125307000000005</f>
        <v>1842.6148939999996</v>
      </c>
      <c r="K77" s="3">
        <f>2011.4+(138.8-322.8)+(-6.154884+(-0.424728--0.987768))+0-85.5--0.26163000000001</f>
        <v>1736.569786</v>
      </c>
      <c r="L77" s="3">
        <f>1852.4+(150.5-181.1)+(-1.889448+(-0.15351--0.184722))+0-79.7--0.0812940000000127</f>
        <v>1740.3230580000002</v>
      </c>
      <c r="M77" s="3">
        <f>1872.4+(168-146.2)+(0.954924+(0.08568-0.074562))+0-82-0.0418199999999917</f>
        <v>1813.1242220000001</v>
      </c>
      <c r="N77" s="3">
        <f>2029.6+(150-174.8)+(0+(0-0))+0-68.3-0</f>
        <v>1936.5</v>
      </c>
      <c r="O77" s="3">
        <f>2211.1+(136.1-223)+(-2.255322+(-0.138822--0.22746))+0-78.3--0.0798660000000125</f>
        <v>2043.8131820000001</v>
      </c>
      <c r="P77" s="3">
        <f>2449.4+(139.1-360.8)+(0+(0-0))+0-68.1-0</f>
        <v>2159.6000000000004</v>
      </c>
      <c r="Q77" s="3">
        <f>2486.6+(138.8-368.5)+(1.268166+(0.070788-0.187935))+0-59.8-0.0304979999999939</f>
        <v>2198.2205209999997</v>
      </c>
      <c r="R77" s="3">
        <f>2484.2+(138.8-323.4)+(2.533884+(0.141576-0.329868))+0-76.3-0.0778260000000122</f>
        <v>2225.5677659999997</v>
      </c>
      <c r="S77" s="3">
        <f>2450.4+(138.6-297.8)+(-1.249704+(-0.070686--0.151878))+0-88.9--0.045338999999991</f>
        <v>2201.1768269999998</v>
      </c>
      <c r="T77" s="3">
        <f>2451.8+(138.9-290.9)+(1.250418+(0.070839-0.148359))+0-85.2-0.0434519999999914</f>
        <v>2215.7294460000003</v>
      </c>
      <c r="U77" s="3">
        <f>2429+(138.7-295.1)+(-2.47758+(-0.141474--0.301002))+0-73.6--0.0750720000000117</f>
        <v>2196.75702</v>
      </c>
      <c r="V77" s="3">
        <f>2379.1+(139.4-247.1)+(-2.426682+(-0.142188--0.252042))+0-89--0.0907800000000142</f>
        <v>2180.1739520000001</v>
      </c>
      <c r="W77" s="3">
        <f>2353.4+(140.6-263.5)+(-6.00117+(-0.35853--0.671925))+0-69.4--0.17696999999999</f>
        <v>2155.589195</v>
      </c>
      <c r="X77" s="3">
        <f>2243.3+(147.9-206.5)+(-8.008581+(-0.528003--0.737205))+0-76.6--0.273462000000001</f>
        <v>2100.5740830000004</v>
      </c>
      <c r="Y77" s="3">
        <f>2167.1+(160.1-175.5)+(-2.210442+(-0.163302--0.17901))+0-78.6--0.0801720000000125</f>
        <v>2070.9854379999997</v>
      </c>
      <c r="Z77" s="3">
        <f>2452+(113.9-199.7)+(1.25052+(0.058089-0.101847))+0-78.6-0.040085999999992</f>
        <v>2288.7666759999997</v>
      </c>
      <c r="AA77" s="3">
        <f>2494.7+(107.5-203.4)+(-3.816891+(-0.164475--0.311202))+0-79.7--0.121941000000005</f>
        <v>2315.5517769999997</v>
      </c>
      <c r="AB77" s="3">
        <f>2449.5+(134.4-232.7)+(-4.99698+(-0.274176--0.474708))+0-85.2--0.173807999999996</f>
        <v>2261.37736</v>
      </c>
      <c r="AC77" s="3">
        <f>2436.7+(141.2-280.8)+(-6.213585+(-0.36006--0.71604))+0-94.1--0.239954999999986</f>
        <v>2197.3823499999999</v>
      </c>
      <c r="AD77">
        <v>2309.1</v>
      </c>
      <c r="AE77" s="3">
        <f>2520+(85-222.5)+(0+(0-0))+0-73.4-0</f>
        <v>2309.1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2300.9+(139.6-274.9)+(-3.520377+(-0.213588--0.420597))+0-84--0.128520000000005</f>
        <v>2078.415152</v>
      </c>
      <c r="G78" s="3">
        <f>2266.7+(140.2-329.6)+(-2.312034+(-0.143004--0.336192))+0-87.3--0.0890460000000139</f>
        <v>1987.9702</v>
      </c>
      <c r="H78" s="3">
        <f>2170.2+(139.7-304.3)+(-2.213604+(-0.142494--0.310386))+0-68.5--0.0698700000000109</f>
        <v>1935.1241579999999</v>
      </c>
      <c r="I78" s="3">
        <f>2237.6+(139.1-390.6)+(1.141176+(0.070941-0.199206))+0-76.5-0.0390149999999922</f>
        <v>1910.5738959999999</v>
      </c>
      <c r="J78" s="3">
        <f>2125.6+(139-285.3)+(-5.42028+(-0.35445--0.727515))+0-89.4--0.227969999999987</f>
        <v>1885.0807549999997</v>
      </c>
      <c r="K78" s="3">
        <f>1991.5+(139.8-251.3)+(-7.109655+(-0.499086--0.897141))+0-76.2--0.272034000000001</f>
        <v>1797.3604339999999</v>
      </c>
      <c r="L78" s="3">
        <f>1979+(138.7-202.5)+(2.01858+(0.141474-0.20655))+0-76.7-0.0782340000000122</f>
        <v>1840.37527</v>
      </c>
      <c r="M78" s="3">
        <f>2077+(168.2-183.9)+(0+(0-0))+0-56-0</f>
        <v>2005.3000000000002</v>
      </c>
      <c r="N78" s="3">
        <f>2309.7+(150-205.4)+(0+(0-0))+0-80.2-0</f>
        <v>2174.1</v>
      </c>
      <c r="O78" s="3">
        <f>2481.1+(139.3-291.5)+(1.265361+(0.071043-0.148665))+0-20.5-0.0104549999999979</f>
        <v>2309.577284</v>
      </c>
      <c r="P78" s="3">
        <f>2500.2+(146.5-211.8)+(2.550204+(0.14943-0.216036))+0-28.5-0.0290700000000045</f>
        <v>2408.8545279999994</v>
      </c>
      <c r="Q78" s="3">
        <f>2506+(251.7-190)+(1.27806+(0.128367-0.0969))+0-92.2-0.0470219999999906</f>
        <v>2476.7625049999997</v>
      </c>
      <c r="R78" s="3">
        <f>2669.4+(141.4-214.2)+(1.361394+(0.072114-0.109242))+0-88.8-0.045287999999991</f>
        <v>2509.078978</v>
      </c>
      <c r="S78" s="3">
        <f>2682.2+(139.9-241.3)+(-2.735844+(-0.142698--0.246126))+0-80.7--0.0823140000000129</f>
        <v>2497.5498980000002</v>
      </c>
      <c r="T78" s="3">
        <f>2673.5+(140-286.2)+(-1.363485+(-0.0714--0.145962))+0-48.9--0.024938999999995</f>
        <v>2477.1360159999999</v>
      </c>
      <c r="U78" s="3">
        <f>2665.5+(140.1-303.3)+(-5.43762+(-0.285804--0.618732))+0-26.1--0.0532439999999989</f>
        <v>2471.1485520000006</v>
      </c>
      <c r="V78" s="3">
        <f>2652.1+(140.4-326)+(-9.467997+(-0.501228--1.16382))+0-45.3--0.161721000000001</f>
        <v>2412.5563159999997</v>
      </c>
      <c r="W78" s="3">
        <f>2671.7+(140.5-336.7)+(-4.087701+(-0.214965--0.515151))+0-88.7--0.135711000000005</f>
        <v>2383.1481960000001</v>
      </c>
      <c r="X78" s="3">
        <f>2630.4+(141.5-367.2)+(-6.70752+(-0.360825--0.93636))+0-88.8--0.226439999999987</f>
        <v>2309.994455</v>
      </c>
      <c r="Y78" s="3">
        <f>2390.5+(144.2-198.2)+(-3.657465+(-0.220626--0.303246))+0-90.2--0.138006000000005</f>
        <v>2242.8631610000002</v>
      </c>
      <c r="Z78" s="3">
        <f>2761.4+(65.3-286.6)+(-2.816628+(-0.066606--0.292332))+0-87.7--0.089454000000014</f>
        <v>2449.8985520000001</v>
      </c>
      <c r="AA78" s="3">
        <f>2892.1+(64.8-387.5)+(-5.899884+(-0.132192--0.7905))+0-86.4--0.176255999999996</f>
        <v>2477.9346800000003</v>
      </c>
      <c r="AB78" s="3">
        <f>2888.4+(122.9-508.9)+(-5.892336+(-0.250716--1.038156))+0-85.8--0.175031999999996</f>
        <v>2411.6701360000002</v>
      </c>
      <c r="AC78" s="3">
        <f>2849.1+(141.4-524.1)+(-4.359123+(-0.216342--0.801873))+0-89.1--0.136323000000005</f>
        <v>2373.6627309999999</v>
      </c>
      <c r="AD78">
        <v>2512.2000000000003</v>
      </c>
      <c r="AE78" s="3">
        <f>2907+(59.3-342.5)+(0+(0-0))+0-111.6-0</f>
        <v>2512.2000000000003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2617.9+(140.1-488)+(-6.675645+(-0.357255--1.2444))+0-55.4--0.141269999999992</f>
        <v>2208.9527699999999</v>
      </c>
      <c r="G79" s="3">
        <f>2403.2+(138.7-331.6)+(-4.902528+(-0.282948--0.676464))+0-86.7--0.176867999999996</f>
        <v>2119.2678559999999</v>
      </c>
      <c r="H79" s="3">
        <f>2316.8+(137.6-291.4)+(-2.363136+(-0.140352--0.297228))+0-98--0.0999600000000156</f>
        <v>2062.8937000000001</v>
      </c>
      <c r="I79" s="3">
        <f>2145.6+(138.8-181.5)+(-5.47128+(-0.35394--0.462825))+0-77.7--0.198134999999989</f>
        <v>2020.03574</v>
      </c>
      <c r="J79" s="3">
        <f>2047.3+(185.5-164.4)+(-5.220615+(-0.473025--0.41922))+0-81.9--0.208844999999988</f>
        <v>1981.4344249999997</v>
      </c>
      <c r="K79" s="3">
        <f>2004.6+(152.8-185)+(-5.11173+(-0.38964--0.47175))+0-79.1--0.201704999999989</f>
        <v>1888.4720849999999</v>
      </c>
      <c r="L79" s="3">
        <f>1918.8+(211.3-161.1)+(0.978588+(0.107763-0.082161))+0-46.6-0.0237659999999953</f>
        <v>1923.3804240000002</v>
      </c>
      <c r="M79" s="3">
        <f>2058.7+(205.8-163.2)+(0+(0-0))+0-21-0</f>
        <v>2080.2999999999997</v>
      </c>
      <c r="N79" s="3">
        <f>2440.9+(137.8-301.9)+(-2.489718+(-0.140556--0.307938))+0-22.9--0.0233580000000037</f>
        <v>2251.6010219999998</v>
      </c>
      <c r="O79" s="3">
        <f>2591.3+(131.7-312.8)+(-2.643126+(-0.134334--0.319056))+0-21.9--0.0223380000000035</f>
        <v>2385.8639340000004</v>
      </c>
      <c r="P79" s="3">
        <f>2637.9+(129-253.1)+(-4.035987+(-0.19737--0.387243))+0-22.2--0.0339660000000013</f>
        <v>2487.7878520000004</v>
      </c>
      <c r="Q79" s="3">
        <f>2710.9+(119.5-266.2)+(1.382559+(0.060945-0.135762))+0-22.7-0.0115769999999977</f>
        <v>2542.7961650000002</v>
      </c>
      <c r="R79" s="3">
        <f>2717.5+(110.5-209.8)+(2.77185+(0.11271-0.213996))+0-22.6-0.0230520000000036</f>
        <v>2598.2475119999999</v>
      </c>
      <c r="S79" s="3">
        <f>2672.9+(108.8-210.1)+(-2.726358+(-0.110976--0.214302))+0-23.9--0.0243780000000038</f>
        <v>2545.1013459999999</v>
      </c>
      <c r="T79" s="3">
        <f>2674.5+(98.4-224.7)+(-1.363995+(-0.050184--0.114597))+0-23.1--0.0117809999999977</f>
        <v>2523.812199</v>
      </c>
      <c r="U79" s="3">
        <f>2667.2+(92.5-218.4)+(-1.360272+(-0.047175--0.111384))+0-38.2--0.0194819999999961</f>
        <v>2501.8234190000003</v>
      </c>
      <c r="V79" s="3">
        <f>2695.2+(111.8-229.2)+(-2.749104+(-0.114036--0.233784))+0-80.9--0.0825180000000129</f>
        <v>2494.3531619999999</v>
      </c>
      <c r="W79" s="3">
        <f>2691.2+(125.9-282.5)+(-4.117536+(-0.192627--0.432225))+0-80.7--0.123471000000005</f>
        <v>2450.1455329999999</v>
      </c>
      <c r="X79" s="3">
        <f>2519.7+(135.7-226.8)+(-6.425235+(-0.346035--0.57834))+0-77.5--0.197624999999989</f>
        <v>2345.1046949999995</v>
      </c>
      <c r="Y79" s="3">
        <f>2352.5+(199.9-174.2)+(-4.7991+(-0.407796--0.355368))+0-76.9--0.156875999999997</f>
        <v>2296.6053479999996</v>
      </c>
      <c r="Z79" s="3">
        <f>2551.1+(209.3-197.9)+(0+(0-0))+0-75.2-0</f>
        <v>2487.3000000000002</v>
      </c>
      <c r="AA79" s="3">
        <f>2739+(80.7-252.6)+(-2.79378+(-0.082314--0.257652))+0-45.1--0.0460020000000072</f>
        <v>2519.4275600000001</v>
      </c>
      <c r="AB79" s="3">
        <f>2739.5+(128.5-338.3)+(-4.191435+(-0.196605--0.517599))+0-62.3--0.0953190000000036</f>
        <v>2463.6248779999996</v>
      </c>
      <c r="AC79" s="3">
        <f>2742.7+(141.4-405.3)+(-1.398777+(-0.072114--0.206703))+0-80.7--0.0411569999999918</f>
        <v>2396.8769689999999</v>
      </c>
      <c r="AD79">
        <v>2530.6</v>
      </c>
      <c r="AE79" s="3">
        <f>2720+(72.1-234.5)+(0+(0-0))+0-27-0</f>
        <v>2530.6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2636.2+(140.9-443.2)+(-1.344462+(-0.071859--0.226032))+0-78.4--0.039983999999992</f>
        <v>2254.3496949999994</v>
      </c>
      <c r="G80" s="3">
        <f>2574.7+(139.9-476)+(-2.626194+(-0.142698--0.48552))+0-78.6--0.0801720000000125</f>
        <v>2157.7968000000001</v>
      </c>
      <c r="H80" s="3">
        <f>2553.4+(140.1-507.4)+(-2.604468+(-0.142902--0.517548))+0-82.8--0.0844560000000132</f>
        <v>2101.1546340000004</v>
      </c>
      <c r="I80" s="3">
        <f>2410.3+(141.2-448.7)+(-7.375518+(-0.432072--1.373022))+0-26.9--0.0823140000000031</f>
        <v>2069.5477460000002</v>
      </c>
      <c r="J80" s="3">
        <f>2345.6+(140.9-375.5)+(1.196256+(0.071859-0.191505))+0-89.6-0.0456959999999909</f>
        <v>2022.4309140000003</v>
      </c>
      <c r="K80" s="3">
        <f>2272+(140.5-392.4)+(-2.31744+(-0.14331--0.400248))+0-76.5--0.0780300000000122</f>
        <v>1941.6175279999998</v>
      </c>
      <c r="L80" s="3">
        <f>2095.5+(134.3-200.1)+(-2.13741+(-0.136986--0.204102))+0-82.5--0.0841500000000132</f>
        <v>1945.2138559999999</v>
      </c>
      <c r="M80" s="3">
        <f>2198.9+(172.1-161.6)+(2.242878+(0.175542-0.164832))+0-83.6-0.0852720000000133</f>
        <v>2127.9683160000004</v>
      </c>
      <c r="N80" s="3">
        <f>2486.5+(135.3-276.5)+(3.804345+(0.207009-0.423045))+0-75.3-0.115209000000004</f>
        <v>2273.4731000000002</v>
      </c>
      <c r="O80" s="3">
        <f>2662.3+(133.2-288.2)+(1.357773+(0.067932-0.146982))+0-77-0.0392699999999922</f>
        <v>2431.5394529999999</v>
      </c>
      <c r="P80" s="3">
        <f>2692.8+(131.2-211.6)+(1.373328+(0.066912-0.107916))+0-72.2-0.0368219999999927</f>
        <v>2541.4955020000002</v>
      </c>
      <c r="Q80" s="3">
        <f>2709.1+(145.2-196.8)+(0+(0-0))+0-75.6-0</f>
        <v>2581.9</v>
      </c>
      <c r="R80" s="3">
        <f>2709.4+(156.6-200.7)+(1.381794+(0.079866-0.102357))+0-71.9-0.0366689999999927</f>
        <v>2594.7226340000002</v>
      </c>
      <c r="S80" s="3">
        <f>2697.7+(159.5-210.1)+(-4.127481+(-0.244035--0.321453))+0-76.1--0.116433000000004</f>
        <v>2567.06637</v>
      </c>
      <c r="T80" s="3">
        <f>2726.3+(132.3-211.5)+(2.780826+(0.134946-0.21573))+0-81.9-0.0835380000000131</f>
        <v>2567.8165040000004</v>
      </c>
      <c r="U80" s="3">
        <f>2679.8+(143.3-204)+(-5.466792+(-0.292332--0.41616))+0-65.2--0.133007999999997</f>
        <v>2548.6900440000004</v>
      </c>
      <c r="V80" s="3">
        <f>2711.3+(126.9-220)+(-4.148289+(-0.194157--0.3366))+0-101.1--0.154683000000006</f>
        <v>2513.2488370000005</v>
      </c>
      <c r="W80" s="3">
        <f>2746.9+(122.5-327.8)+(-2.801838+(-0.12495--0.334356))+0-61.7--0.0629340000000098</f>
        <v>2477.3705020000002</v>
      </c>
      <c r="X80" s="3">
        <f>2695.3+(124.5-327.2)+(-10.996824+(-0.50796--1.334976))+0-87.9--0.358631999999992</f>
        <v>2394.8888240000001</v>
      </c>
      <c r="Y80" s="3">
        <f>2681.8+(106-335.5)+(-2.735436+(-0.10812--0.34221))+0-89.5--0.0912900000000143</f>
        <v>2360.389944</v>
      </c>
      <c r="Z80" s="3">
        <f>2820.1+(49.6-245.9)+(-5.753004+(-0.101184--0.501636))+0-83.1--0.169523999999996</f>
        <v>2535.5169719999999</v>
      </c>
      <c r="AA80" s="3">
        <f>2877.7+(51.7-284.2)+(-7.338135+(-0.131835--0.72471))+0-84.8--0.216239999999988</f>
        <v>2553.8709799999997</v>
      </c>
      <c r="AB80" s="3">
        <f>2865.9+(118.1-413.9)+(-5.846436+(-0.240924--0.844356))+0-80.4--0.164015999999996</f>
        <v>2484.6210120000005</v>
      </c>
      <c r="AC80" s="3">
        <f>2754.8+(140.6-423.7)+(-5.619792+(-0.286824--0.864348))+0-46.5--0.094859999999998</f>
        <v>2420.2525920000003</v>
      </c>
      <c r="AD80">
        <v>2545.9000000000005</v>
      </c>
      <c r="AE80" s="3">
        <f>2881+(56.8-296.2)+(0+(0-0))+0-95.7-0</f>
        <v>2545.9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2652.3+(140.6-461.5)+(0+(0-0))+0-84.2-0</f>
        <v>2247.2000000000003</v>
      </c>
      <c r="G81" s="3">
        <f>2618.7+(140.6-525.1)+(-1.335537+(-0.071706--0.267801))+0-93.8--0.0478379999999905</f>
        <v>2139.3083959999994</v>
      </c>
      <c r="H81" s="3">
        <f>2625.5+(140.3-591.2)+(1.339005+(0.071553-0.301512))+0-76.3-0.0389129999999923</f>
        <v>2099.3701329999999</v>
      </c>
      <c r="I81" s="3">
        <f>2620.1+(141-619.8)+(-1.336251+(-0.07191--0.316098))+0-70.3--0.0358529999999929</f>
        <v>2069.9437899999998</v>
      </c>
      <c r="J81" s="3">
        <f>2595.5+(140.2-653.4)+(-1.323705+(-0.071502--0.333234))+0-62.8--0.0320279999999936</f>
        <v>2018.4700550000005</v>
      </c>
      <c r="K81" s="3">
        <f>2410.1+(140.3-552.5)+(-6.145755+(-0.357765--1.408875))+0-88.2--0.224909999999987</f>
        <v>1904.8302649999998</v>
      </c>
      <c r="L81" s="3">
        <f>2131.6+(141.1-270.3)+(-2.174232+(-0.143922--0.275706))+0-82.7--0.0843540000000132</f>
        <v>1917.741906</v>
      </c>
      <c r="M81" s="3">
        <f>2167.5+(201.3-222.9)+(2.21085+(0.205326-0.227358))+0-91.3-0.0931260000000146</f>
        <v>2056.6956919999998</v>
      </c>
      <c r="N81" s="3">
        <f>2587.6+(138.9-411.1)+(3.959028+(0.212517-0.628983))+0-80.1-0.122553000000005</f>
        <v>2238.7200089999997</v>
      </c>
      <c r="O81" s="3">
        <f>2744.9+(139.8-393.1)+(0+(0-0))+0-80.1-0</f>
        <v>2411.5</v>
      </c>
      <c r="P81" s="3">
        <f>2873.8+(140.7-419.6)+(0+(0-0))+0-85-0</f>
        <v>2509.9</v>
      </c>
      <c r="Q81" s="3">
        <f>2880+(141.5-373.2)+(2.9376+(0.14433-0.380664))+0-74.6-0.0760920000000119</f>
        <v>2576.3251740000005</v>
      </c>
      <c r="R81" s="3">
        <f>2938+(135.9-411.8)+(-1.49838+(-0.069309--0.210018))+0-93.5--0.0476849999999905</f>
        <v>2567.2900139999997</v>
      </c>
      <c r="S81" s="3">
        <f>3019.5+(129.3-530.2)+(-6.15978+(-0.263772--1.081608))+0-83--0.169319999999996</f>
        <v>2530.4273760000001</v>
      </c>
      <c r="T81" s="3">
        <f>3065.1+(117.8-609.1)+(-6.252804+(-0.240312--1.242564))+0-81.7--0.166667999999996</f>
        <v>2487.0161159999998</v>
      </c>
      <c r="U81" s="3">
        <f>3093+(111.8-708.1)+(-1.57743+(-0.057018--0.361131))+0-78.5--0.040034999999992</f>
        <v>2416.9667179999997</v>
      </c>
      <c r="V81" s="3">
        <f>3013.7+(128.9-693.3)+(-7.684935+(-0.328695--1.767915))+0-87--0.221849999999987</f>
        <v>2356.2761349999996</v>
      </c>
      <c r="W81" s="3">
        <f>2921+(135.6-687.7)+(-2.97942+(-0.138312--0.701454))+0-58.3--0.0594660000000093</f>
        <v>2308.2431879999999</v>
      </c>
      <c r="X81" s="3">
        <f>2805.5+(124.1-600.7)+(-8.58483+(-0.379746--1.838142))+0-80.5--0.246330000000009</f>
        <v>2241.5198960000002</v>
      </c>
      <c r="Y81" s="3">
        <f>2684.8+(125.2-536.3)+(-1.369248+(-0.063852--0.273513))+0-80--0.0407999999999919</f>
        <v>2192.5812130000004</v>
      </c>
      <c r="Z81" s="3">
        <f>2990.3+(70.4-596.5)+(-4.575159+(-0.107712--0.912645))+0-84--0.128520000000005</f>
        <v>2376.5582940000004</v>
      </c>
      <c r="AA81" s="3">
        <f>3049.9+(77.4-634)+(-4.666347+(-0.118422--0.97002))+0-82--0.125460000000005</f>
        <v>2407.6107110000003</v>
      </c>
      <c r="AB81" s="3">
        <f>2838.8+(129.2-575.5)+(-8.686728+(-0.395352--1.76103))+0-81.2--0.248472000000009</f>
        <v>2304.2274220000004</v>
      </c>
      <c r="AC81" s="3">
        <f>2846.5+(137.6-651.5)+(-2.90343+(-0.140352--0.66453))+0-61.6--0.0628320000000098</f>
        <v>2268.6835799999999</v>
      </c>
      <c r="AD81">
        <v>2426.8000000000002</v>
      </c>
      <c r="AE81" s="3">
        <f>3080+(85.3-641.3)+(0+(0-0))+0-97.2-0</f>
        <v>2426.8000000000002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2748.1+(137-591)+(-5.606124+(-0.27948--1.20564))+0-83.5--0.170339999999996</f>
        <v>2206.0903760000001</v>
      </c>
      <c r="G82" s="3">
        <f>2576.5+(137.3-510.3)+(-6.570075+(-0.350115--1.301265))+0-78.6--0.200429999999989</f>
        <v>2119.4815049999997</v>
      </c>
      <c r="H82" s="3">
        <f>2289.7+(136.7-355.6)+(-2.335494+(-0.139434--0.362712))+0-50.8--0.0518160000000081</f>
        <v>2017.9395999999997</v>
      </c>
      <c r="I82" s="3">
        <f>2133.4+(136.8-211.1)+(-1.088034+(-0.069768--0.107661))+0-83.8--0.0427379999999915</f>
        <v>1974.2925969999999</v>
      </c>
      <c r="J82" s="3">
        <f>2131.1+(136.6-313)+(-2.173722+(-0.139332--0.31926))+0-25.5--0.0260100000000041</f>
        <v>1927.2322159999999</v>
      </c>
      <c r="K82" s="3">
        <f>2108.1+(136.4-366.9)+(-5.375655+(-0.34782--0.935595))+0-23.4--0.0596699999999966</f>
        <v>1849.4717899999998</v>
      </c>
      <c r="L82" s="3">
        <f>2135.9+(138.5-387)+(0+(0-0))+0-64-0</f>
        <v>1823.4</v>
      </c>
      <c r="M82" s="3">
        <f>2182.2+(137.9-448)+(1.112922+(0.070329-0.22848))+0-25.6-0.0130559999999974</f>
        <v>1847.4417149999999</v>
      </c>
      <c r="N82" s="3">
        <f>2184.6+(137.1-367.8)+(-1.114146+(-0.069921--0.187578))+0-62.7--0.0319769999999936</f>
        <v>1890.2354879999998</v>
      </c>
      <c r="O82" s="3">
        <f>2244.5+(133.7-324.7)+(-1.144695+(-0.068187--0.165597))+0-85.8--0.0437579999999913</f>
        <v>1966.696473</v>
      </c>
      <c r="P82" s="3">
        <f>2345.1+(137-332.1)+(-1.196001+(-0.06987--0.169371))+0-83.7--0.0426869999999915</f>
        <v>2065.2461870000002</v>
      </c>
      <c r="Q82" s="3">
        <f>2394.7+(136.9-351.8)+(1.221297+(0.069819-0.179418))+0-81.9-0.0417689999999917</f>
        <v>2098.9699289999999</v>
      </c>
      <c r="R82" s="3">
        <f>2617.9+(109.8-509.9)+(-1.335129+(-0.055998--0.260049))+0-86.3--0.0440129999999912</f>
        <v>2130.4129350000003</v>
      </c>
      <c r="S82" s="3">
        <f>2679.5+(77.1-525.7)+(-2.73309+(-0.078642--0.536214))+0-79.7--0.0812940000000127</f>
        <v>2149.0057760000004</v>
      </c>
      <c r="T82" s="3">
        <f>2658.9+(72.3-503.4)+(-5.424156+(-0.147492--1.026936))+0-86.4--0.176255999999996</f>
        <v>2137.0315440000004</v>
      </c>
      <c r="U82" s="3">
        <f>2640.5+(106.7-558)+(-4.039965+(-0.163251--0.85374))+0-81.3--0.124389000000005</f>
        <v>2104.6749129999998</v>
      </c>
      <c r="V82" s="3">
        <f>2534.8+(128.1-541.6)+(-3.878244+(-0.195993--0.828648))+0-42.9--0.0656370000000025</f>
        <v>2075.2200480000001</v>
      </c>
      <c r="W82" s="3">
        <f>2325.1+(126.9-317)+(-5.929005+(-0.323595--0.80835))+0-86.4--0.220319999999987</f>
        <v>2043.3760699999998</v>
      </c>
      <c r="X82" s="3">
        <f>2252.4+(131.7-288.9)+(-5.74362+(-0.335835--0.736695))+0-71--0.18104999999999</f>
        <v>2019.0382900000002</v>
      </c>
      <c r="Y82" s="3">
        <f>2291.2+(113.1-279)+(-2.337024+(-0.115362--0.28458))+0-87.4--0.0891480000000139</f>
        <v>2035.8213419999997</v>
      </c>
      <c r="Z82" s="3">
        <f>2550.7+(61.7-286.7)+(1.300857+(0.031467-0.146217))+0-90.3-0.0460529999999908</f>
        <v>2236.5400539999996</v>
      </c>
      <c r="AA82" s="3">
        <f>2678.5+(54.6-395)+(-5.46414+(-0.111384--0.8058))+0-88--0.179519999999996</f>
        <v>2245.5097959999998</v>
      </c>
      <c r="AB82" s="3">
        <f>2744.5+(119.9-549.4)+(-2.79939+(-0.122298--0.560388))+0-84.3--0.0859860000000134</f>
        <v>2228.4246859999998</v>
      </c>
      <c r="AC82" s="3">
        <f>2659.9+(138.5-590.9)+(-2.713098+(-0.14127--0.602718))+0-54.2--0.0552840000000086</f>
        <v>2151.1036340000001</v>
      </c>
      <c r="AD82">
        <v>2233.6999999999998</v>
      </c>
      <c r="AE82" s="3">
        <f>2678+(37.2-458.9)+(0+(0-0))+0-22.6-0</f>
        <v>2233.7000000000003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2458.4+(138.6-505.2)+(-2.507568+(-0.141372--0.515304))+0-81.2--0.082824000000013</f>
        <v>2008.5491880000002</v>
      </c>
      <c r="G83" s="3">
        <f>2091.3+(138.6-252.4)+(-5.332815+(-0.35343--0.64362))+0-85.6--0.218279999999988</f>
        <v>1887.0756550000003</v>
      </c>
      <c r="H83" s="3">
        <f>2030.7+(139.4-271.1)+(-5.178285+(-0.35547--0.691305))+0-65.5--0.16702499999999</f>
        <v>1828.8245749999999</v>
      </c>
      <c r="I83" s="3">
        <f>2047.3+(137.5-271.2)+(1.044123+(0.070125-0.138312))+0-81.8-0.0417179999999917</f>
        <v>1832.7342180000001</v>
      </c>
      <c r="J83" s="3">
        <f>2086.7+(138.4-318)+(0+(0-0))+0-78.7-0</f>
        <v>1828.3999999999999</v>
      </c>
      <c r="K83" s="3">
        <f>2074.1+(136-387.4)+(-6.346746+(-0.41616--1.185444))+0-63.4--0.194004000000007</f>
        <v>1753.9165419999997</v>
      </c>
      <c r="L83" s="3">
        <f>2115.9+(136-370.4)+(3.237327+(0.20808-0.566712))+0-86.7-0.132651000000005</f>
        <v>1797.5460440000002</v>
      </c>
      <c r="M83" s="3">
        <f>2251.7+(135.3-386.8)+(-3.445101+(-0.207009--0.591804))+0-59.5--0.0910350000000034</f>
        <v>1937.7307289999997</v>
      </c>
      <c r="N83" s="3">
        <f>2489.4+(134.9-447.3)+(2.539188+(0.137598-0.456246))+0-84.6-0.0862920000000135</f>
        <v>2094.5342479999999</v>
      </c>
      <c r="O83" s="3">
        <f>2379.5+(134.7-221.8)+(2.42709+(0.137394-0.226236))+0-84.2-0.0858840000000134</f>
        <v>2210.4523640000002</v>
      </c>
      <c r="P83" s="3">
        <f>2286.5+(216.9-188.1)+(3.498345+(0.331857-0.287793))+0-23.1-0.0353430000000013</f>
        <v>2295.7070660000004</v>
      </c>
      <c r="Q83" s="3">
        <f>2312.7+(319.5-183.7)+(0+(0-0))+0-84.5-0</f>
        <v>2364</v>
      </c>
      <c r="R83" s="3">
        <f>2518.3+(166.2-213.3)+(1.284333+(0.084762-0.108783))+0-61.9-0.0315689999999937</f>
        <v>2410.5287429999998</v>
      </c>
      <c r="S83" s="3">
        <f>2547.1+(158.1-223.3)+(-1.299021+(-0.080631--0.113883))+0-86.6--0.0441659999999912</f>
        <v>2394.0783970000002</v>
      </c>
      <c r="T83" s="3">
        <f>2558.7+(148.7-233.1)+(-1.304937+(-0.075837--0.118881))+0-82.6--0.0421259999999916</f>
        <v>2390.4802329999998</v>
      </c>
      <c r="U83" s="3">
        <f>2550.6+(137.7-248.5)+(-2.601612+(-0.140454--0.25347))+0-68.4--0.0697680000000109</f>
        <v>2368.9811719999993</v>
      </c>
      <c r="V83" s="3">
        <f>2463.8+(175.4-196.8)+(-2.513076+(-0.178908--0.200736))+0-85.7--0.0874140000000137</f>
        <v>2354.2961660000005</v>
      </c>
      <c r="W83" s="3">
        <f>2537.4+(133.7-255.9)+(-5.176296+(-0.272748--0.522036))+0-93.1--0.189923999999996</f>
        <v>2317.362916</v>
      </c>
      <c r="X83" s="3">
        <f>2550.1+(134.2-341)+(-6.502755+(-0.34221--0.86955))+0-95.1--0.242504999999986</f>
        <v>2242.4670900000001</v>
      </c>
      <c r="Y83" s="3">
        <f>2313.3+(158.3-198.5)+(-3.539349+(-0.242199--0.303705))+0-85.8--0.131274000000005</f>
        <v>2183.9534309999999</v>
      </c>
      <c r="Z83" s="3">
        <f>2603.4+(102.5-246.2)+(-3.983202+(-0.156825--0.376686))+0-79.3--0.121329000000005</f>
        <v>2376.7579880000003</v>
      </c>
      <c r="AA83" s="3">
        <f>2783+(112.1-383.6)+(-4.25799+(-0.171513--0.586908))+0-81.8--0.125154000000005</f>
        <v>2425.9825589999996</v>
      </c>
      <c r="AB83" s="3">
        <f>2797.4+(135.2-491.5)+(-1.426674+(-0.068952--0.250665))+0-78.7--0.040136999999992</f>
        <v>2361.1951760000002</v>
      </c>
      <c r="AC83" s="3">
        <f>2727.4+(137.1-486.6)+(-2.781948+(-0.139842--0.496332))+0-84--0.0856800000000134</f>
        <v>2291.5602220000001</v>
      </c>
      <c r="AD83">
        <v>2424.3999999999996</v>
      </c>
      <c r="AE83" s="3">
        <f>2792+(129.2-417.3)+(0+(0-0))+0-79.5-0</f>
        <v>2424.4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2518.8+(135.6-467.5)+(-1.284588+(-0.069156--0.238425))+0-58.9--0.030038999999994</f>
        <v>2126.9147200000002</v>
      </c>
      <c r="G84" s="3">
        <f>2503.8+(132-529.8)+(-3.830814+(-0.20196--0.810594))+0-64.6--0.0988380000000037</f>
        <v>2038.276658</v>
      </c>
      <c r="H84" s="3">
        <f>2417+(132.5-480)+(-1.23267+(-0.067575--0.2448))+0-78--0.0397799999999921</f>
        <v>1990.4843350000001</v>
      </c>
      <c r="I84" s="3">
        <f>2413.8+(133-508.5)+(-3.693114+(-0.20349--0.778005))+0-59.5--0.0910350000000034</f>
        <v>1975.7724360000002</v>
      </c>
      <c r="J84" s="3">
        <f>2411.5+(131.1-485.8)+(-4.91946+(-0.267444--0.991032))+0-89.9--0.183395999999996</f>
        <v>1962.8875240000002</v>
      </c>
      <c r="K84" s="3">
        <f>2256.9+(130.7-432.3)+(-10.359171+(-0.599913--1.984257))+0-86.3--0.396117000000015</f>
        <v>1860.4212900000002</v>
      </c>
      <c r="L84" s="3">
        <f>2115.6+(131-287.8)+(-8.631648+(-0.53448--1.174224))+0-85.5--0.348839999999993</f>
        <v>1865.6569359999999</v>
      </c>
      <c r="M84" s="3">
        <f>2143.7+(148.1-172.7)+(-2.186574+(-0.151062--0.176154))+0-85--0.0867000000000136</f>
        <v>2032.025218</v>
      </c>
      <c r="N84" s="3">
        <f>2323.1+(129.9-243.5)+(-4.739124+(-0.264996--0.49674))+0-27.1--0.0552839999999988</f>
        <v>2177.9479040000001</v>
      </c>
      <c r="O84" s="3">
        <f>2506.7+(130.6-292.3)+(-3.835251+(-0.199818--0.447219))+0-26.4--0.0403920000000015</f>
        <v>2315.0525419999999</v>
      </c>
      <c r="P84" s="3">
        <f>2708.8+(130-357.7)+(-2.762976+(-0.1326--0.364854))+0-30.9--0.0315180000000049</f>
        <v>2447.7007960000001</v>
      </c>
      <c r="Q84" s="3">
        <f>2744.7+(129.6-325.2)+(-1.399797+(-0.066096--0.165852))+0-28.9--0.0147389999999971</f>
        <v>2518.914698</v>
      </c>
      <c r="R84" s="3">
        <f>2732.9+(134-317.9)+(-4.181337+(-0.20502--0.486387))+0-21.8--0.0333540000000013</f>
        <v>2523.333384</v>
      </c>
      <c r="S84" s="3">
        <f>2721+(137.1-350.8)+(-4.16313+(-0.209763--0.536724))+0-22.3--0.0341190000000013</f>
        <v>2481.1979499999998</v>
      </c>
      <c r="T84" s="3">
        <f>2720.5+(136.9-348)+(1.387455+(0.069819-0.17748))+0-29-0.0147899999999971</f>
        <v>2481.665004</v>
      </c>
      <c r="U84" s="3">
        <f>2695.2+(137-338)+(-6.87276+(-0.34935--0.8619))+0-24.2--0.0617099999999965</f>
        <v>2463.7015000000001</v>
      </c>
      <c r="V84" s="3">
        <f>2662.3+(135.1-328.7)+(0+(0-0))+0-22.9-0</f>
        <v>2445.8000000000002</v>
      </c>
      <c r="W84" s="3">
        <f>2657.3+(133.5-318.9)+(-2.710446+(-0.13617--0.325278))+0-66.1--0.0674220000000105</f>
        <v>2403.3460840000002</v>
      </c>
      <c r="X84" s="3">
        <f>2557.9+(133.1-285.5)+(-3.913587+(-0.203643--0.436815))+0-78--0.119340000000005</f>
        <v>2323.9389250000004</v>
      </c>
      <c r="Y84" s="3">
        <f>2552.5+(116.8-299.2)+(-1.301775+(-0.059568--0.152592))+0-81.4--0.0415139999999917</f>
        <v>2287.5327629999997</v>
      </c>
      <c r="Z84" s="3">
        <f>2727.9+(126.2-356.8)+(-1.391229+(-0.064362--0.181968))+0-23.7--0.0120869999999976</f>
        <v>2472.3384640000004</v>
      </c>
      <c r="AA84" s="3">
        <f>2801.2+(69.5-351.7)+(-5.714448+(-0.14178--0.717468))+0-23.4--0.047735999999999</f>
        <v>2490.5089760000001</v>
      </c>
      <c r="AB84" s="3">
        <f>2749.3+(63.7-383.1)+(-1.402143+(-0.032487--0.195381))+0-23.1--0.0117809999999977</f>
        <v>2405.5725320000001</v>
      </c>
      <c r="AC84" s="3">
        <f>2830.2+(0-469.6)+(1.443402+(0-0.239496))+0-52.1-0.0265709999999947</f>
        <v>2309.6773350000003</v>
      </c>
      <c r="AD84">
        <v>2473.7999999999997</v>
      </c>
      <c r="AE84" s="3">
        <f>2814+(0-316.8)+(0+(0-0))+0-23.4-0</f>
        <v>2473.7999999999997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2697.4+(0-426.6)+(-5.502696+(0--0.870264))+0-82.3--0.167891999999996</f>
        <v>2184.0354600000001</v>
      </c>
      <c r="G85" s="3">
        <f>2543.4+(0-383.9)+(-2.594268+(0--0.391578))+0-91.5--0.0933300000000146</f>
        <v>2065.8906400000001</v>
      </c>
      <c r="H85" s="3">
        <f>2506.6+(0-416.6)+(-5.113464+(0--0.849864))+0-83.4--0.170135999999996</f>
        <v>2002.5065359999996</v>
      </c>
      <c r="I85" s="3">
        <f>2502.1+(0-442.6)+(-6.380355+(0--1.12863))+0-81.3--0.207314999999988</f>
        <v>1973.1555899999998</v>
      </c>
      <c r="J85" s="3">
        <f>2438.7+(0-397)+(2.487474+(0-0.40494))+0-90.7-0.0925140000000145</f>
        <v>1952.9900199999997</v>
      </c>
      <c r="K85" s="3">
        <f>2210.8+(0-288.7)+(-5.63754+(0--0.736185))+0-78.8--0.200939999999989</f>
        <v>1838.5995850000002</v>
      </c>
      <c r="L85" s="3">
        <f>2123.7+(48.8-237.9)+(-5.415435+(-0.12444--0.606645))+0-64.1--0.163454999999991</f>
        <v>1865.7302249999998</v>
      </c>
      <c r="M85" s="3">
        <f>2098.3+(182.3-172)+(2.140266+(0.185946-0.17544))+0-85.7-0.0874140000000137</f>
        <v>2024.9633580000002</v>
      </c>
      <c r="N85" s="3">
        <f>2293.8+(141.1-214.4)+(0+(0-0))+0-73.1-0</f>
        <v>2147.4</v>
      </c>
      <c r="O85" s="3">
        <f>2464.3+(136.3-222)+(1.256793+(0.069513-0.11322))+0-80-0.0407999999999919</f>
        <v>2299.7722860000003</v>
      </c>
      <c r="P85" s="3">
        <f>2595+(137.5-236.9)+(-2.6469+(-0.14025--0.241638))+0-80.3--0.0819060000000128</f>
        <v>2412.8363939999995</v>
      </c>
      <c r="Q85" s="3">
        <f>2655.9+(156.7-205.5)+(1.354509+(0.079917-0.104805))+0-85.6-0.0436559999999913</f>
        <v>2522.785965</v>
      </c>
      <c r="R85" s="3">
        <f>2691.4+(153.4-230.5)+(-2.745228+(-0.156468--0.23511))+0-79.6--0.0811920000000127</f>
        <v>2532.1146060000005</v>
      </c>
      <c r="S85" s="3">
        <f>2736.6+(136.4-323.1)+(-1.395666+(-0.069564--0.164781))+0-83.4--0.0425339999999915</f>
        <v>2465.2420850000003</v>
      </c>
      <c r="T85" s="3">
        <f>2746+(136-387.6)+(0+(0-0))+0-48.8-0</f>
        <v>2445.6</v>
      </c>
      <c r="U85" s="3">
        <f>2698.8+(137-320)+(-4.129164+(-0.20961--0.4896))+0-81.1--0.124083000000005</f>
        <v>2430.9749090000005</v>
      </c>
      <c r="V85" s="3">
        <f>2685.6+(136.9-317.6)+(0+(0-0))+0-80-0</f>
        <v>2424.9</v>
      </c>
      <c r="W85" s="3">
        <f>2702.1+(123.7-414.5)+(-2.756142+(-0.126174--0.42279))+0-24.7--0.0251940000000039</f>
        <v>2384.1656679999996</v>
      </c>
      <c r="X85" s="3">
        <f>2729.4+(102.8-479)+(-5.567976+(-0.209712--0.97716))+0-24--0.0489599999999989</f>
        <v>2324.4484320000001</v>
      </c>
      <c r="Y85" s="3">
        <f>2595.1+(98-383.5)+(-2.647002+(-0.09996--0.39117))+0-59.9--0.0610980000000095</f>
        <v>2247.4053060000001</v>
      </c>
      <c r="Z85" s="3">
        <f>2772.2+(85-347.9)+(-1.413822+(-0.04335--0.177429))+0-86.5--0.0441149999999912</f>
        <v>2421.5643719999998</v>
      </c>
      <c r="AA85" s="3">
        <f>2811.4+(104.9-360.1)+(-4.301442+(-0.160497--0.550953))+0-86.1--0.131733000000005</f>
        <v>2466.3207470000007</v>
      </c>
      <c r="AB85" s="3">
        <f>2764.9+(128.4-397.5)+(-7.050495+(-0.32742--1.013625))+0-81.3--0.207314999999988</f>
        <v>2408.3430250000001</v>
      </c>
      <c r="AC85" s="3">
        <f>2771.6+(131.3-469.5)+(-2.827032+(-0.133926--0.47889))+0-61.7--0.0629340000000098</f>
        <v>2369.2808660000005</v>
      </c>
      <c r="AD85">
        <v>2423.6000000000004</v>
      </c>
      <c r="AE85" s="3">
        <f>2806+(118.4-407.2)+(0+(0-0))+0-93.6-0</f>
        <v>2423.6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2608.7+(130.6-453)+(-3.991311+(-0.199818--0.69309))+0-56.7--0.0867510000000033</f>
        <v>2226.1887119999997</v>
      </c>
      <c r="G86" s="3">
        <f>2568.9+(130.6-501.3)+(-6.550695+(-0.33303--1.278315))+0-82.1--0.209354999999988</f>
        <v>2110.7039449999997</v>
      </c>
      <c r="H86" s="3">
        <f>2541.4+(130.8-523.1)+(-1.296114+(-0.066708--0.266781))+0-80.2--0.0409019999999919</f>
        <v>2067.8448610000005</v>
      </c>
      <c r="I86" s="3">
        <f>2520.8+(131.2-537.2)+(-5.142432+(-0.267648--1.095888))+0-82.5--0.168299999999996</f>
        <v>2028.1541080000004</v>
      </c>
      <c r="J86" s="3">
        <f>2451.4+(131.2-487.9)+(-6.25107+(-0.33456--1.244145))+0-94.5--0.240974999999986</f>
        <v>1995.0994900000003</v>
      </c>
      <c r="K86" s="3">
        <f>2319.1+(131.3-447.6)+(-9.461928+(-0.535704--1.826208))+0-88.1--0.359447999999992</f>
        <v>1906.8880240000001</v>
      </c>
      <c r="L86" s="3">
        <f>2078.8+(130.7-217.2)+(-3.180564+(-0.199971--0.332316))+0-75.3--0.115209000000004</f>
        <v>1914.0669900000003</v>
      </c>
      <c r="M86" s="3">
        <f>2209.3+(134.5-205.6)+(1.126743+(0.068595-0.104856))+0-79.9-0.0407489999999919</f>
        <v>2059.3497330000005</v>
      </c>
      <c r="N86" s="3">
        <f>2423.6+(131.2-240.8)+(1.236036+(0.066912-0.122808))+0-81.6-0.0416159999999917</f>
        <v>2233.5385240000001</v>
      </c>
      <c r="O86" s="3">
        <f>2620.8+(130.1-263.5)+(1.336608+(0.066351-0.134385))+0-48.8-0.0248879999999951</f>
        <v>2439.8436860000002</v>
      </c>
      <c r="P86" s="3">
        <f>2722.3+(129.1-226.7)+(1.388373+(0.065841-0.115617))+0-87.3-0.0445229999999911</f>
        <v>2538.694074</v>
      </c>
      <c r="Q86" s="3">
        <f>2716.6+(150.9-206.5)+(1.385466+(0.076959-0.105315))+0-79-0.040289999999992</f>
        <v>2583.31682</v>
      </c>
      <c r="R86" s="3">
        <f>2690.5+(170.1-205.2)+(1.372155+(0.086751-0.104652))+0-69.5-0.0354449999999929</f>
        <v>2587.218809</v>
      </c>
      <c r="S86" s="3">
        <f>2682.8+(161.3-202.5)+(-2.736456+(-0.164526--0.20655))+0-78.5--0.0800700000000125</f>
        <v>2560.4856380000006</v>
      </c>
      <c r="T86" s="3">
        <f>2659.6+(159.1-200.3)+(-1.356396+(-0.081141--0.102153))+0-70.7--0.0360569999999928</f>
        <v>2546.4006730000001</v>
      </c>
      <c r="U86" s="3">
        <f>2620+(169.4-196.5)+(-5.3448+(-0.345576--0.40086))+0-69.8--0.142391999999997</f>
        <v>2517.9528760000003</v>
      </c>
      <c r="V86" s="3">
        <f>2616.5+(154.3-215.3)+(0+(0-0))+0-75-0</f>
        <v>2480.5</v>
      </c>
      <c r="W86" s="3">
        <f>2620.5+(131.5-229.9)+(-8.01873+(-0.40239--0.703494))+0-72.5--0.221850000000008</f>
        <v>2442.1042239999997</v>
      </c>
      <c r="X86" s="3">
        <f>2633.6+(130.7-330.8)+(-9.401952+(-0.466599--1.180956))+0-69.7--0.248829000000001</f>
        <v>2355.3612340000004</v>
      </c>
      <c r="Y86" s="3">
        <f>2548.1+(109.1-334.7)+(-6.497655+(-0.278205--0.853485))+0-22.4--0.0571199999999967</f>
        <v>2294.2347449999997</v>
      </c>
      <c r="Z86" s="3">
        <f>2747.3+(105.2-284.7)+(0+(0-0))+0-83-0</f>
        <v>2484.8000000000002</v>
      </c>
      <c r="AA86" s="3">
        <f>2785.9+(122.9-281.2)+(-8.524854+(-0.376074--0.860472))+0-79--0.241740000000009</f>
        <v>2540.8012839999997</v>
      </c>
      <c r="AB86" s="3">
        <f>2818.8+(133.2-386.4)+(-2.875176+(-0.135864--0.394128))+0-83.3--0.0849660000000133</f>
        <v>2479.7680540000001</v>
      </c>
      <c r="AC86" s="3">
        <f>2806.1+(133.8-455)+(1.431111+(0.068238-0.23205))+0-51.2-0.0261119999999948</f>
        <v>2434.9411870000004</v>
      </c>
      <c r="AD86">
        <v>2530.6</v>
      </c>
      <c r="AE86" s="3">
        <f>2778+(126.6-279.7)+(0+(0-0))+0-94.3-0</f>
        <v>2530.6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2706.8+(133.8-451.8)+(-6.90234+(-0.34119--1.15209))+0-90.7--0.231284999999987</f>
        <v>2292.2398450000001</v>
      </c>
      <c r="G87" s="3">
        <f>2515.3+(132.8-367.5)+(-3.848409+(-0.203184--0.562275))+0-86.5--0.132345000000005</f>
        <v>2190.7430270000004</v>
      </c>
      <c r="H87" s="3">
        <f>2496.1+(131.1-429.3)+(-2.546022+(-0.133722--0.437886))+0-79--0.0805800000000126</f>
        <v>2116.7387219999996</v>
      </c>
      <c r="I87" s="3">
        <f>2484.2+(131.4-438)+(-5.067768+(-0.268056--0.89352))+0-79.9--0.162995999999997</f>
        <v>2093.4206919999997</v>
      </c>
      <c r="J87" s="3">
        <f>2504.8+(131.1-493)+(1.277448+(0.066861-0.25143))+0-79.7-0.0406469999999919</f>
        <v>2064.2522320000003</v>
      </c>
      <c r="K87" s="3">
        <f>2335.6+(131.4-438.3)+(-1.191156+(-0.067014--0.223533))+0-65--0.0331499999999934</f>
        <v>1962.6985129999998</v>
      </c>
      <c r="L87" s="3">
        <f>2193+(130.3-266.6)+(1.11843+(0.066453-0.135966))+0-91.6-0.0467159999999907</f>
        <v>1966.1022009999999</v>
      </c>
      <c r="M87" s="3">
        <f>2356.4+(129.7-281.3)+(1.201764+(0.066147-0.143463))+0-53.6-0.0273359999999946</f>
        <v>2152.2971120000002</v>
      </c>
      <c r="N87" s="3">
        <f>2514.5+(129.9-253.3)+(-1.282395+(-0.066249--0.129183))+0-57--0.0290699999999942</f>
        <v>2332.9096089999998</v>
      </c>
      <c r="O87" s="3">
        <f>2597.5+(128.7-241.9)+(-1.324725+(-0.065637--0.123369))+0-19--0.00968999999999807</f>
        <v>2464.0426969999999</v>
      </c>
      <c r="P87" s="3">
        <f>2683.1+(127-216.1)+(-1.368381+(-0.06477--0.110211))+0-19.9--0.010148999999998</f>
        <v>2572.7872090000001</v>
      </c>
      <c r="Q87" s="3">
        <f>2757.4+(112.2-203.1)+(-4.218822+(-0.171666--0.310743))+0-19.3--0.0295290000000011</f>
        <v>2643.1497839999997</v>
      </c>
      <c r="R87" s="3">
        <f>2760.8+(121.9-205.8)+(-1.408008+(-0.062169--0.104958))+0-20.3--0.0103529999999979</f>
        <v>2655.2451340000002</v>
      </c>
      <c r="S87" s="3">
        <f>2738.5+(175.6-199.9)+(-2.79327+(-0.179112--0.203898))+0-85.3--0.0870060000000136</f>
        <v>2626.2185219999997</v>
      </c>
      <c r="T87" s="3">
        <f>2684.4+(164.3-196.5)+(-4.107132+(-0.251379--0.300645))+0-36.7--0.0561510000000021</f>
        <v>2611.4982850000006</v>
      </c>
      <c r="U87" s="3">
        <f>2656.5+(150.5-187.5)+(-6.774075+(-0.383775--0.478125))+0-17.7--0.0451349999999974</f>
        <v>2595.1654100000001</v>
      </c>
      <c r="V87" s="3">
        <f>2638.2+(126.1-196.6)+(-5.381928+(-0.257244--0.401064))+0-19.1--0.0389639999999992</f>
        <v>2543.4008559999997</v>
      </c>
      <c r="W87" s="3">
        <f>2620.8+(111.7-197)+(-4.009824+(-0.170901--0.30141))+0-45.7--0.0699210000000026</f>
        <v>2485.9906059999998</v>
      </c>
      <c r="X87" s="3">
        <f>2414.4+(220.7-192.6)+(-7.388064+(-0.675342--0.589356))+0-74.9--0.229194000000009</f>
        <v>2360.3551440000001</v>
      </c>
      <c r="Y87" s="3">
        <f>2324.7+(254.3-195.6)+(-3.556791+(-0.389079--0.299268))+0-84.4--0.129132000000005</f>
        <v>2295.4825299999998</v>
      </c>
      <c r="Z87" s="3">
        <f>2518.1+(244.5-205.6)+(-1.284231+(-0.124695--0.104856))+0-72.6--0.0370259999999926</f>
        <v>2483.1329559999999</v>
      </c>
      <c r="AA87" s="3">
        <f>2699.8+(105.2-214.5)+(-4.130694+(-0.160956--0.328185))+0-77.8--0.119034000000004</f>
        <v>2508.8555689999998</v>
      </c>
      <c r="AB87" s="3">
        <f>2523.2+(231-213.9)+(-2.573664+(-0.23562--0.218178))+0-76.8--0.0783360000000122</f>
        <v>2460.9872299999997</v>
      </c>
      <c r="AC87" s="3">
        <f>2474.3+(241-188.9)+(-2.523786+(-0.24582--0.192678))+0-71--0.0724200000000113</f>
        <v>2452.8954920000001</v>
      </c>
      <c r="AD87">
        <v>2496.7000000000003</v>
      </c>
      <c r="AE87" s="3">
        <f>2717+(88.8-211.9)+(0+(0-0))+0-97.2-0</f>
        <v>2496.7000000000003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2356.6+(253.2-190.8)+(-3.605598+(-0.387396--0.291924))+0-80--0.122400000000005</f>
        <v>2335.4213300000001</v>
      </c>
      <c r="G88" s="3">
        <f>2313.2+(189-181.7)+(-2.359464+(-0.19278--0.185334))+0-75.6--0.077112000000012</f>
        <v>2242.6102019999998</v>
      </c>
      <c r="H88" s="3">
        <f>2216+(165.1-175)+(-5.6508+(-0.421005--0.44625))+0-56.9--0.145094999999992</f>
        <v>2143.7195399999996</v>
      </c>
      <c r="I88" s="3">
        <f>2200+(144.8-175.9)+(0+(0-0))+0-67.9-0</f>
        <v>2101</v>
      </c>
      <c r="J88" s="3">
        <f>2096.5+(213.6-170.7)+(-6.41529+(-0.653616--0.522342))+0-73--0.223380000000008</f>
        <v>2060.0768159999998</v>
      </c>
      <c r="K88" s="3">
        <f>1947.4+(239.9-177)+(-4.96587+(-0.611745--0.45135))+0-76--0.193799999999989</f>
        <v>1929.3675350000001</v>
      </c>
      <c r="L88" s="3">
        <f>1855.6+(291.3-172.6)+(-2.839068+(-0.445689--0.264078))+0-60.3--0.0922590000000035</f>
        <v>1911.07158</v>
      </c>
      <c r="M88" s="3">
        <f>1930+(327.2-172.9)+(-2.9529+(-0.500616--0.264537))+0-90.4--0.138312000000005</f>
        <v>1990.8493330000001</v>
      </c>
      <c r="N88" s="3">
        <f>2138+(224-173.1)+(-2.18076+(-0.22848--0.176562))+0-66.7--0.0680340000000106</f>
        <v>2120.0353560000003</v>
      </c>
      <c r="O88" s="3">
        <f>2255.2+(243.5-178)+(-4.600608+(-0.49674--0.36312))+0-86.9--0.177275999999996</f>
        <v>2229.2430479999998</v>
      </c>
      <c r="P88" s="3">
        <f>2282.4+(325.9-185.2)+(1.164024+(0.166209-0.094452))+0-79.8-0.0406979999999919</f>
        <v>2344.4950829999998</v>
      </c>
      <c r="Q88" s="3">
        <f>2248.1+(381-187.8)+(-2.293062+(-0.38862--0.191556))+0-47.5--0.0484500000000076</f>
        <v>2391.3583239999998</v>
      </c>
      <c r="R88" s="3">
        <f>2252.7+(439-190.7)+(-1.148877+(-0.22389--0.097257))+0-82.5--0.0420749999999916</f>
        <v>2417.2665649999999</v>
      </c>
      <c r="S88" s="3">
        <f>2277.9+(376.6-189.6)+(-3.485187+(-0.576198--0.290088))+0-62.1--0.0950130000000036</f>
        <v>2399.1237160000005</v>
      </c>
      <c r="T88" s="3">
        <f>2338.2+(296.5-193)+(-2.384964+(-0.30243--0.19686))+0-48.2--0.0491640000000077</f>
        <v>2391.05863</v>
      </c>
      <c r="U88" s="3">
        <f>2325.6+(334.4-200.9)+(-3.558168+(-0.511632--0.307377))+0-90.1--0.137853000000005</f>
        <v>2365.3754300000001</v>
      </c>
      <c r="V88" s="3">
        <f>2363.2+(225.1-194.1)+(-3.615696+(-0.344403--0.296973))+0-53--0.0810900000000031</f>
        <v>2337.617964</v>
      </c>
      <c r="W88" s="3">
        <f>2403+(162.1-184.2)+(-3.67659+(-0.248013--0.281826))+0-75.5--0.115515000000004</f>
        <v>2301.872738</v>
      </c>
      <c r="X88" s="3">
        <f>2382.7+(132.9-200.5)+(-7.291062+(-0.406674--0.61353))+0-78.7--0.240822000000009</f>
        <v>2229.5566160000003</v>
      </c>
      <c r="Y88" s="3">
        <f>2349.3+(130.5-212.8)+(-3.594429+(-0.199665--0.325584))+0-83.1--0.127143000000005</f>
        <v>2180.5586330000001</v>
      </c>
      <c r="Z88" s="3">
        <f>2469.3+(160-201.5)+(2.518686+(0.1632-0.20553))+0-75.4-0.076908000000012</f>
        <v>2354.7994480000002</v>
      </c>
      <c r="AA88" s="3">
        <f>2460.9+(175.8-196)+(-7.530354+(-0.537948--0.59976))+0-55.1--0.168606000000006</f>
        <v>2378.3000640000005</v>
      </c>
      <c r="AB88" s="3">
        <f>2481.5+(131-194.6)+(-2.53113+(-0.13362--0.198492))+0-58.8--0.0599760000000094</f>
        <v>2356.693718</v>
      </c>
      <c r="AC88" s="3">
        <f>2490.5+(137.3-210.8)+(-2.54031+(-0.140046--0.215016))+0-84.5--0.0861900000000135</f>
        <v>2330.1208499999998</v>
      </c>
      <c r="AD88">
        <v>2397.1999999999998</v>
      </c>
      <c r="AE88" s="3">
        <f>2452+(171-202.4)+(0+(0-0))+0-23.4-0</f>
        <v>2397.1999999999998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2396.7+(130.2-233.7)+(2.444634+(0.132804-0.238374))+0-64-0.0652800000000102</f>
        <v>2231.4737839999998</v>
      </c>
      <c r="G89" s="3">
        <f>2363.4+(131-295)+(-4.821336+(-0.26724--0.6018))+0-64.1--0.130763999999997</f>
        <v>2130.943988</v>
      </c>
      <c r="H89" s="3">
        <f>2238.9+(131.5-263.1)+(0+(0-0))+0-58.6-0</f>
        <v>2048.7000000000003</v>
      </c>
      <c r="I89" s="3">
        <f>2187.2+(131.9-247.9)+(-2.230944+(-0.134538--0.252858))+0-50--0.051000000000008</f>
        <v>2019.1383759999999</v>
      </c>
      <c r="J89" s="3">
        <f>2021.2+(141.8-168.9)+(0+(0-0))+0-32.7-0</f>
        <v>1961.4</v>
      </c>
      <c r="K89" s="3">
        <f>1897.4+(173.8-168.3)+(-5.806044+(-0.531828--0.514998))+0-52.9--0.161874000000006</f>
        <v>1844.3389999999999</v>
      </c>
      <c r="L89" s="3">
        <f>1902+(183.4-169.6)+(-4.8501+(-0.46767--0.43248))+0-84.5--0.215474999999988</f>
        <v>1826.630185</v>
      </c>
      <c r="M89" s="3">
        <f>1897.5+(232.3-165.8)+(-1.93545+(-0.236946--0.169116))+0-82.6--0.0842520000000132</f>
        <v>1879.4809720000003</v>
      </c>
      <c r="N89" s="3">
        <f>2066.4+(141.6-177.3)+(1.053864+(0.072216-0.090423))+0-57.2-0.0291719999999942</f>
        <v>1974.5064849999999</v>
      </c>
      <c r="O89" s="3">
        <f>2160.7+(143.3-173)+(-4.407828+(-0.292332--0.35292))+0-74.1--0.151163999999997</f>
        <v>2052.7039239999999</v>
      </c>
      <c r="P89" s="3">
        <f>2333.5+(105.3-205.3)+(1.190085+(0.053703-0.104703))+0-71.8-0.0366179999999927</f>
        <v>2162.8024669999995</v>
      </c>
      <c r="Q89" s="3">
        <f>2320.2+(132.9-173.3)+(0+(0-0))+0-66.4-0</f>
        <v>2213.3999999999996</v>
      </c>
      <c r="R89" s="3">
        <f>2317.2+(161.9-181.2)+(0+(0-0))+0-65.5-0</f>
        <v>2232.3999999999996</v>
      </c>
      <c r="S89" s="3">
        <f>2299.9+(175.1-187.3)+(-1.172949+(-0.089301--0.095523))+0-66.2--0.0337619999999933</f>
        <v>2220.3670350000007</v>
      </c>
      <c r="T89" s="3">
        <f>2304.2+(176.8-178.7)+(1.175142+(0.090168-0.091137))+0-75.5-0.0385049999999923</f>
        <v>2227.9356679999996</v>
      </c>
      <c r="U89" s="3">
        <f>2273.4+(198.5-189.8)+(-1.159434+(-0.101235--0.096798))+0-74.5--0.0379949999999924</f>
        <v>2206.4741239999998</v>
      </c>
      <c r="V89" s="3">
        <f>2251.8+(215.5-189.4)+(-4.593672+(-0.43962--0.386376))+0-86.9--0.177275999999996</f>
        <v>2186.5303599999997</v>
      </c>
      <c r="W89" s="3">
        <f>2271.5+(134.7-182.1)+(-1.158465+(-0.068697--0.092871))+0-81.7--0.0416669999999917</f>
        <v>2141.3073760000002</v>
      </c>
      <c r="X89" s="3">
        <f>2215.5+(136.7-177.3)+(-6.77943+(-0.418302--0.542538))+0-90.1--0.27570600000001</f>
        <v>2078.4205120000001</v>
      </c>
      <c r="Y89" s="3">
        <f>2110.2+(198.4-177.5)+(-3.228606+(-0.303552--0.271575))+0-79.8--0.122094000000005</f>
        <v>2048.1615109999993</v>
      </c>
      <c r="Z89" s="3">
        <f>2384.5+(157.8-198.2)+(7.29657+(0.482868-0.606492))+0-78.9-0.241434000000009</f>
        <v>2272.1315119999999</v>
      </c>
      <c r="AA89" s="3">
        <f>2805.1+(47.2-410.2)+(-1.430601+(-0.024072--0.209202))+0-75.4--0.0384539999999924</f>
        <v>2365.4929829999996</v>
      </c>
      <c r="AB89" s="3">
        <f>2837.4+(110.8-502.2)+(-2.894148+(-0.113016--0.512244))+0-78.9--0.0804780000000126</f>
        <v>2364.6855579999997</v>
      </c>
      <c r="AC89" s="3">
        <f>2856.7+(128.1-572)+(-2.913834+(-0.130662--0.58344))+0-87--0.0887400000000139</f>
        <v>2323.4276839999998</v>
      </c>
      <c r="AD89">
        <v>2322.1</v>
      </c>
      <c r="AE89" s="3">
        <f>2836+(43.7-454.4)+(0+(0-0))+0-35.2-0</f>
        <v>2390.1000000000004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2570.5+(133.2-420.8)+(-6.554775+(-0.33966--1.07304))+0-52.9--0.134894999999992</f>
        <v>2224.3135000000002</v>
      </c>
      <c r="G90" s="3">
        <f>2319.1+(132.3-254.7)+(-7.096446+(-0.404838--0.779382))+0-90.1--0.27570600000001</f>
        <v>2100.1538039999996</v>
      </c>
      <c r="H90" s="3">
        <f>2201.2+(132.8-212.8)+(-4.490448+(-0.270912--0.434112))+0-84.5--0.172379999999996</f>
        <v>2032.5451319999997</v>
      </c>
      <c r="I90" s="3">
        <f>2177.1+(132.8-209.5)+(-2.220642+(-0.135456--0.21369))+0-79.5--0.0810900000000127</f>
        <v>2018.8386819999998</v>
      </c>
      <c r="J90" s="3">
        <f>2124.4+(133.4-194.3)+(-5.41722+(-0.34017--0.495465))+0-80.3--0.204764999999988</f>
        <v>1978.1428400000002</v>
      </c>
      <c r="K90" s="3">
        <f>2084.2+(132.8-258.8)+(-2.125884+(-0.135456--0.263976))+0-85.9--0.0876180000000137</f>
        <v>1870.3902539999997</v>
      </c>
      <c r="L90" s="3">
        <f>2020.4+(143.6-151.4)+(-1.030404+(-0.073236--0.077214))+0-85.6--0.0436559999999913</f>
        <v>1926.0172300000004</v>
      </c>
      <c r="M90" s="3">
        <f>2128+(180.7-146.1)+(1.08528+(0.092157-0.074511))+0-66.9-0.0341189999999932</f>
        <v>2096.7688069999999</v>
      </c>
      <c r="N90" s="3">
        <f>2313+(179-153.5)+(2.35926+(0.18258-0.15657))+0-77.8-0.0793560000000124</f>
        <v>2263.0059139999998</v>
      </c>
      <c r="O90" s="3">
        <f>2586.6+(129.3-230.6)+(2.638332+(0.131886-0.235212))+0-84.4-0.0860880000000135</f>
        <v>2403.3489179999997</v>
      </c>
      <c r="P90" s="3">
        <f>2637.6+(128.9-211.9)+(-2.690352+(-0.131478--0.216138))+0-58.6--0.0597720000000093</f>
        <v>2493.45408</v>
      </c>
      <c r="Q90" s="3">
        <f>2719.6+(129.4-207.4)+(2.773992+(0.131988-0.211548))+0-76.5-0.0780300000000122</f>
        <v>2567.7164019999996</v>
      </c>
      <c r="R90" s="3">
        <f>2894.1+(133.6-348)+(0+(0-0))+0-80.2-0</f>
        <v>2599.5</v>
      </c>
      <c r="S90" s="3">
        <f>2887+(135.5-387.7)+(2.94474+(0.13821-0.395454))+0-88.2-0.0899640000000141</f>
        <v>2549.1975320000001</v>
      </c>
      <c r="T90" s="3">
        <f>2859.8+(134.7-364.9)+(-2.916996+(-0.137394--0.372198))+0-88.1--0.089862000000014</f>
        <v>2538.9076700000001</v>
      </c>
      <c r="U90" s="3">
        <f>2845.7+(116.8-382.4)+(-2.902614+(-0.119136--0.390048))+0-55.9--0.0570180000000089</f>
        <v>2521.6253159999997</v>
      </c>
      <c r="V90" s="3">
        <f>2830.5+(14.1-269.9)+(-5.77422+(-0.028764--0.550596))+0-91.2--0.186047999999996</f>
        <v>2478.4336600000001</v>
      </c>
      <c r="W90" s="3">
        <f>2821.8+(80.3-356.2)+(-8.634708+(-0.245718--1.089972))+0-91--0.278460000000011</f>
        <v>2447.3880060000001</v>
      </c>
      <c r="X90" s="3">
        <f>2806.4+(117.1-506.3)+(-8.587584+(-0.358326--1.549278))+0-57.2--0.175032000000007</f>
        <v>2352.7784000000001</v>
      </c>
      <c r="Y90" s="3">
        <f>2679.8+(108.9-446.9)+(-4.100094+(-0.166617--0.683757))+0-72.1--0.110313000000004</f>
        <v>2266.2273590000004</v>
      </c>
      <c r="Z90" s="3">
        <f>2765.5+(96.9-287)+(0+(0-0))+0-86.9-0</f>
        <v>2488.5</v>
      </c>
      <c r="AA90" s="3">
        <f>2917.2+(102.6-411.3)+(-4.463316+(-0.156978--0.629289))+0-81.2--0.124236000000005</f>
        <v>2523.4332310000004</v>
      </c>
      <c r="AB90" s="3">
        <f>2896.6+(117.1-444.4)+(-7.38633+(-0.298605--1.13322))+0-85.1--0.217004999999988</f>
        <v>2477.8652900000002</v>
      </c>
      <c r="AC90" s="3">
        <f>2940.2+(130.6-538.2)+(0+(0-0))+0-85-0</f>
        <v>2447.6</v>
      </c>
      <c r="AD90">
        <v>2526.9</v>
      </c>
      <c r="AE90" s="3">
        <f>2914+(94-457.7)+(0+(0-0))+0-23.4-0</f>
        <v>2526.9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2808.2+(129.1-598.5)+(-1.432182+(-0.065841--0.305235))+0-53.1--0.0270809999999946</f>
        <v>2284.5342930000002</v>
      </c>
      <c r="G91" s="3">
        <f>2729.7+(129-592)+(-2.784294+(-0.13158--0.60384))+0-76.4--0.0779280000000122</f>
        <v>2188.0658939999998</v>
      </c>
      <c r="H91" s="3">
        <f>2511+(128.9-427.4)+(-5.12244+(-0.262956--0.871896))+0-78--0.159119999999997</f>
        <v>2130.1456199999998</v>
      </c>
      <c r="I91" s="3">
        <f>2383.1+(129.8-362.5)+(0+(0-0))+0-88.2-0</f>
        <v>2062.2000000000003</v>
      </c>
      <c r="J91" s="3">
        <f>2230.4+(129.8-265.3)+(-4.550016+(-0.264792--0.541212))+0-71.4--0.145655999999997</f>
        <v>2019.3720599999999</v>
      </c>
      <c r="K91" s="3">
        <f>2188.6+(129.6-323.8)+(-6.697116+(-0.396576--0.990828))+0-75.4--0.230724000000009</f>
        <v>1913.1278599999998</v>
      </c>
      <c r="L91" s="3">
        <f>2125.2+(129.8-235.7)+(-7.586964+(-0.463386--0.841449))+0-83.4--0.297738000000001</f>
        <v>1928.9888369999996</v>
      </c>
      <c r="M91" s="3">
        <f>2328.7+(128.9-309.9)+(1.187637+(0.065739-0.158049))+0-41.9-0.0213689999999957</f>
        <v>2106.8739579999997</v>
      </c>
      <c r="N91" s="3">
        <f>2572.5+(127.2-381.7)+(3.935925+(0.194616-0.584001))+0-40.7-0.0622710000000024</f>
        <v>2280.7842690000002</v>
      </c>
      <c r="O91" s="3">
        <f>2748.6+(130-358.3)+(1.401786+(0.0663-0.182733))+0-60-0.0305999999999939</f>
        <v>2461.5547529999999</v>
      </c>
      <c r="P91" s="3">
        <f>2860.1+(136.1-365.4)+(0+(0-0))+0-92.7-0</f>
        <v>2538.1</v>
      </c>
      <c r="Q91" s="3">
        <f>2919.4+(136.5-379.9)+(2.977788+(0.13923-0.387498))+0-78.9-0.0804780000000126</f>
        <v>2599.7490419999999</v>
      </c>
      <c r="R91" s="3">
        <f>3031.3+(135.7-433.2)+(0+(0-0))+0-73.1-0</f>
        <v>2660.7000000000003</v>
      </c>
      <c r="S91" s="3">
        <f>3089.9+(135.9-555.3)+(0+(0-0))+0-58.6-0</f>
        <v>2611.9</v>
      </c>
      <c r="T91" s="3">
        <f>3063.6+(135.8-507.5)+(0+(0-0))+0-84.5-0</f>
        <v>2607.4</v>
      </c>
      <c r="U91" s="3">
        <f>3042.9+(134.7-518.4)+(-3.103758+(-0.137394--0.528768))+0-69--0.070380000000011</f>
        <v>2587.5579960000005</v>
      </c>
      <c r="V91" s="3">
        <f>3046.6+(132.6-526.6)+(-1.553766+(-0.067626--0.268566))+0-91.9--0.0468689999999907</f>
        <v>2559.3940429999998</v>
      </c>
      <c r="W91" s="3">
        <f>3048.8+(133.1-577.5)+(0+(0-0))+0-81.8-0</f>
        <v>2522.6</v>
      </c>
      <c r="X91" s="3">
        <f>3001.1+(121.7-631.8)+(-1.530561+(-0.062067--0.322218))+0-69.6--0.0354959999999929</f>
        <v>2420.165086</v>
      </c>
      <c r="Y91" s="3">
        <f>2598.6+(125.2-366)+(0+(0-0))+0-42.4-0</f>
        <v>2315.3999999999996</v>
      </c>
      <c r="Z91" s="3">
        <f>2622.2+(104.2-208)+(-2.674644+(-0.106284--0.21216))+0-27.4--0.0279480000000044</f>
        <v>2488.4591799999994</v>
      </c>
      <c r="AA91" s="3">
        <f>2686.1+(116.5-203.7)+(-4.109733+(-0.178245--0.311661))+0-71.8--0.109854000000004</f>
        <v>2523.2335369999996</v>
      </c>
      <c r="AB91" s="3">
        <f>2688.2+(120.8-252.9)+(-2.741964+(-0.123216--0.257958))+0-66.1--0.0674220000000105</f>
        <v>2487.4602</v>
      </c>
      <c r="AC91" s="3">
        <f>2699+(133.3-319)+(-2.75298+(-0.135966--0.32538))+0-66.1--0.0674220000000105</f>
        <v>2444.7038560000005</v>
      </c>
      <c r="AD91">
        <v>2530.9</v>
      </c>
      <c r="AE91" s="3">
        <f>2703+(134.7-204.2)+(0+(0-0))+0-102.6-0</f>
        <v>2530.9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2574.8+(133.9-355)+(-7.878888+(-0.409734--1.0863))+0-50.7--0.155142000000006</f>
        <v>2295.9528200000004</v>
      </c>
      <c r="G92" s="3">
        <f>2310+(133.7-203.2)+(-4.7124+(-0.272748--0.414528))+0-49.7--0.101387999999998</f>
        <v>2186.3307680000003</v>
      </c>
      <c r="H92" s="3">
        <f>2252.8+(134-201.2)+(-3.446784+(-0.20502--0.307836))+0-76.8--0.117504000000004</f>
        <v>2105.5735359999999</v>
      </c>
      <c r="I92" s="3">
        <f>2176.9+(134.2-157.9)+(2.220438+(0.136884-0.161058))+0-75.6-0.077112000000012</f>
        <v>2079.7191520000006</v>
      </c>
      <c r="J92" s="3">
        <f>2099.7+(171.1-169.1)+(-4.283388+(-0.349044--0.344964))+0-56.9--0.116075999999998</f>
        <v>2040.6286079999998</v>
      </c>
      <c r="K92" s="3">
        <f>2006.7+(170.1-171.3)+(-5.117085+(-0.433755--0.436815))+0-73.1--0.186404999999989</f>
        <v>1927.4723799999999</v>
      </c>
      <c r="L92" s="3">
        <f>1899.8+(294.4-164.4)+(-1.937796+(-0.300288--0.167688))+0-79.2--0.0807840000000126</f>
        <v>1948.6103879999998</v>
      </c>
      <c r="M92" s="3">
        <f>2291.2+(131.8-260.1)+(5.84256+(0.33609-0.663255))+0-51.5-0.131324999999993</f>
        <v>2116.7840699999997</v>
      </c>
      <c r="N92" s="3">
        <f>2567.6+(132.3-317.1)+(1.309476+(0.067473-0.161721))+0-68.4-0.0348839999999931</f>
        <v>2315.5803439999995</v>
      </c>
      <c r="O92" s="3">
        <f>2840.5+(132.6-459.7)+(-1.448655+(-0.067626--0.234447))+0-77--0.0392699999999922</f>
        <v>2435.1574360000004</v>
      </c>
      <c r="P92" s="3">
        <f>2936.5+(132-438.6)+(4.492845+(0.20196-0.671058))+0-54.6-0.0835380000000032</f>
        <v>2579.2402090000005</v>
      </c>
      <c r="Q92" s="3">
        <f>2947+(131.3-376)+(6.01188+(0.267852-0.76704))+0-68.3-0.139331999999997</f>
        <v>2639.3733599999996</v>
      </c>
      <c r="R92" s="3">
        <f>2933.1+(122.7-365.7)+(1.495881+(0.062577-0.186507))+0-23.2-0.0118319999999976</f>
        <v>2668.260119</v>
      </c>
      <c r="S92" s="3">
        <f>3007.4+(73.2-405.8)+(1.533774+(0.037332-0.206958))+0-22.4-0.0114239999999977</f>
        <v>2653.7527240000004</v>
      </c>
      <c r="T92" s="3">
        <f>3007.5+(73.4-357.9)+(3.06765+(0.074868-0.365058))+0-89.5-0.0912900000000143</f>
        <v>2636.1861699999999</v>
      </c>
      <c r="U92" s="3">
        <f>2986+(73-377.7)+(0+(0-0))+0-60.1-0</f>
        <v>2621.2000000000003</v>
      </c>
      <c r="V92" s="3">
        <f>2986.1+(74-377.4)+(1.522911+(0.03774-0.192474))+0-82.9-0.0422789999999916</f>
        <v>2601.1258979999998</v>
      </c>
      <c r="W92" s="3">
        <f>2962.2+(121-434.5)+(-4.532166+(-0.18513--0.664785))+0-82.5--0.126225000000005</f>
        <v>2562.2737139999999</v>
      </c>
      <c r="X92" s="3">
        <f>2954.9+(123.7-525.7)+(-6.027996+(-0.252348--1.072428))+0-89.9--0.183395999999996</f>
        <v>2457.9754800000001</v>
      </c>
      <c r="Y92" s="3">
        <f>2970+(110.8-626.7)+(-7.5735+(-0.28254--1.598085))+0-80.6--0.205529999999988</f>
        <v>2367.4475750000001</v>
      </c>
      <c r="Z92" s="3">
        <f>3060.4+(63.9-515)+(0+(0-0))+0-58.5-0</f>
        <v>2550.8000000000002</v>
      </c>
      <c r="AA92" s="3">
        <f>3113.1+(69.4-503.9)+(-1.587681+(-0.035394--0.256989))+0-82.2--0.0419219999999917</f>
        <v>2595.075836</v>
      </c>
      <c r="AB92" s="3">
        <f>3111.4+(113.6-592.4)+(-3.173628+(-0.115872--0.604248))+0-82.3--0.0839460000000131</f>
        <v>2547.6986940000002</v>
      </c>
      <c r="AC92" s="3">
        <f>2998.9+(129.3-580.1)+(-3.058878+(-0.131886--0.591702))+0-48.2--0.0491640000000077</f>
        <v>2497.3501020000003</v>
      </c>
      <c r="AD92">
        <v>2579</v>
      </c>
      <c r="AE92" s="3">
        <f>3126+(66.5-538.7)+(0+(0-0))+0-74.8-0</f>
        <v>2579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2876.5+(128.9-562.4)+(-2.93403+(-0.131478--0.573648))+0-74.3--0.0757860000000118</f>
        <v>2366.2839259999996</v>
      </c>
      <c r="G93" s="3">
        <f>2776.7+(130.4-561.1)+(0+(0-0))+0-92.1-0</f>
        <v>2253.9</v>
      </c>
      <c r="H93" s="3">
        <f>2623.4+(131.3-525.9)+(-4.013802+(-0.200889--0.804627))+0-46.1--0.0705330000000027</f>
        <v>2179.3604690000002</v>
      </c>
      <c r="I93" s="3">
        <f>2565.1+(130.7-488.1)+(-2.616402+(-0.133314--0.497862))+0-78.2--0.0797640000000125</f>
        <v>2127.32791</v>
      </c>
      <c r="J93" s="3">
        <f>2309.5+(130.6-264.7)+(-5.889225+(-0.33303--0.674985))+0-89.3--0.227714999999987</f>
        <v>2080.7804449999999</v>
      </c>
      <c r="K93" s="3">
        <f>2164.4+(131.9-250.1)+(-5.51922+(-0.336345--0.637755))+0-78.2--0.199409999999989</f>
        <v>1962.9815999999998</v>
      </c>
      <c r="L93" s="3">
        <f>2129.9+(130.6-199.4)+(0+(0-0))+0-80.9-0</f>
        <v>1980.1999999999998</v>
      </c>
      <c r="M93" s="3">
        <f>2477.6+(129.8-378.9)+(1.263576+(0.066198-0.193239))+0-82.2-0.0419219999999917</f>
        <v>2147.3946130000004</v>
      </c>
      <c r="N93" s="3">
        <f>2688.6+(127.6-419.4)+(-2.742372+(-0.130152--0.427788))+0-62.7--0.06395400000001</f>
        <v>2331.7192180000006</v>
      </c>
      <c r="O93" s="3">
        <f>2706.6+(129.1-302.5)+(-2.760732+(-0.131682--0.30855))+0-64.7--0.0659940000000103</f>
        <v>2465.9821299999999</v>
      </c>
      <c r="P93" s="3">
        <f>2840.9+(131.3-318.4)+(1.448859+(0.066963-0.162384))+0-68.2-0.0347819999999931</f>
        <v>2586.9186560000003</v>
      </c>
      <c r="Q93" s="3">
        <f>2973+(130.2-353.5)+(0+(0-0))+0-81.5-0</f>
        <v>2668.2</v>
      </c>
      <c r="R93" s="3">
        <f>3043.4+(130.5-374.3)+(-3.104268+(-0.13311--0.381786))+0-92.4--0.0942480000000147</f>
        <v>2704.4386559999998</v>
      </c>
      <c r="S93" s="3">
        <f>3014.8+(130.6-398.1)+(-1.537548+(-0.066606--0.203031))+0-83.3--0.0424829999999915</f>
        <v>2662.6413600000001</v>
      </c>
      <c r="T93" s="3">
        <f>3027.1+(131.4-418)+(0+(0-0))+0-79.8-0</f>
        <v>2660.7</v>
      </c>
      <c r="U93" s="3">
        <f>3026.5+(130.3-452.6)+(-1.543515+(-0.066453--0.230826))+0-59.4--0.030293999999994</f>
        <v>2643.4511520000001</v>
      </c>
      <c r="V93" s="3">
        <f>3042.2+(130.3-478.4)+(-1.551522+(-0.066453--0.243984))+0-76.9--0.0392189999999922</f>
        <v>2615.8652279999997</v>
      </c>
      <c r="W93" s="3">
        <f>3038.7+(131.5-517.7)+(-3.099474+(-0.13413--0.528054))+0-92.7--0.0945540000000148</f>
        <v>2557.1890039999998</v>
      </c>
      <c r="X93" s="3">
        <f>2892.7+(129.6-526)+(-4.425831+(-0.198288--0.80478))+0-39.6--0.0605880000000023</f>
        <v>2452.9412489999995</v>
      </c>
      <c r="Y93" s="3">
        <f>2635.1+(121.5-311.4)+(-10.751208+(-0.49572--1.270512))+0-81.1--0.330887999999993</f>
        <v>2354.4544719999999</v>
      </c>
      <c r="Z93" s="3">
        <f>2733.4+(116-214.9)+(2.788068+(0.11832-0.219198))+0-95.6-0.0975120000000152</f>
        <v>2541.4896780000004</v>
      </c>
      <c r="AA93" s="3">
        <f>3148.6+(84.6-525.1)+(-1.605786+(-0.043146--0.267801))+0-83.2--0.0424319999999916</f>
        <v>2623.5613010000002</v>
      </c>
      <c r="AB93" s="3">
        <f>3081.2+(112.2-516.9)+(-1.571412+(-0.057222--0.263619))+0-84.7--0.0431969999999914</f>
        <v>2590.4781820000003</v>
      </c>
      <c r="AC93" s="3">
        <f>3016.5+(111.8-536.3)+(-6.15366+(-0.228072--1.094052))+0-60--0.122399999999997</f>
        <v>2526.8347200000003</v>
      </c>
      <c r="AD93">
        <v>2570.1000000000004</v>
      </c>
      <c r="AE93" s="3">
        <f>3165+(83.8-583)+(0+(0-0))+0-95.7-0</f>
        <v>2570.1000000000004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2800.3+(123.1-450.8)+(-7.140765+(-0.313905--1.14954))+0-73.6--0.187679999999989</f>
        <v>2392.8825500000003</v>
      </c>
      <c r="G94" s="3">
        <f>2512.1+(128.4-278.3)+(-5.124684+(-0.261936--0.567732))+0-84.1--0.171563999999996</f>
        <v>2273.4526760000003</v>
      </c>
      <c r="H94" s="3">
        <f>2504.8+(135-358.3)+(-6.38724+(-0.34425--0.913665))+0-80.4--0.205019999999988</f>
        <v>2195.4871949999997</v>
      </c>
      <c r="I94" s="3">
        <f>2475.7+(138.2-364)+(-5.050428+(-0.281928--0.74256))+0-93.9--0.191555999999996</f>
        <v>2151.6017599999996</v>
      </c>
      <c r="J94" s="3">
        <f>2277.1+(135.4-211.1)+(-1.161321+(-0.069054--0.107661))+0-81.1--0.0413609999999918</f>
        <v>2119.2186470000001</v>
      </c>
      <c r="K94" s="3">
        <f>2088.5+(162.8-183.9)+(-4.26054+(-0.332112--0.375156))+0-84.4--0.172175999999996</f>
        <v>1978.9546799999998</v>
      </c>
      <c r="L94" s="3">
        <f>2088.8+(142.2-194.7)+(-2.130576+(-0.145044--0.198594))+0-27.9--0.0284580000000044</f>
        <v>2006.3514320000002</v>
      </c>
      <c r="M94" s="3">
        <f>2421.7+(116.1-314.8)+(1.235067+(0.059211-0.160548))+0-22.3-0.0113729999999977</f>
        <v>2201.822357</v>
      </c>
      <c r="N94" s="3">
        <f>2729.3+(97-430.5)+(-1.391943+(-0.04947--0.219555))+0-16.3--0.00831299999999835</f>
        <v>2378.2864549999999</v>
      </c>
      <c r="O94" s="3">
        <f>2891.9+(83.2-439.4)+(0+(0-0))+0-14.8-0</f>
        <v>2520.9</v>
      </c>
      <c r="P94" s="3">
        <f>2972.1+(76.5-426)+(0+(0-0))+0-13.9-0</f>
        <v>2608.6999999999998</v>
      </c>
      <c r="Q94" s="3">
        <f>2979.6+(74.4-359.1)+(0+(0-0))+0-14-0</f>
        <v>2680.8999999999996</v>
      </c>
      <c r="R94" s="3">
        <f>2974.8+(89.7-338)+(0+(0-0))+0-14.3-0</f>
        <v>2712.2</v>
      </c>
      <c r="S94" s="3">
        <f>3058.2+(90.9-430.2)+(-3.119364+(-0.092718--0.438804))+0-16.2--0.0165240000000026</f>
        <v>2699.9432459999998</v>
      </c>
      <c r="T94" s="3">
        <f>3076.6+(90.4-477.4)+(1.569066+(0.046104-0.243474))+0-19.7-0.010046999999998</f>
        <v>2671.261649</v>
      </c>
      <c r="U94" s="3">
        <f>3093.4+(64.8-473.2)+(-1.577634+(-0.033048--0.241332))+0-40.3--0.0205529999999959</f>
        <v>2643.3512029999997</v>
      </c>
      <c r="V94" s="3">
        <f>3090.2+(64.1-446.8)+(-3.152004+(-0.065382--0.455736))+0-78.1--0.0796620000000124</f>
        <v>2626.7180120000003</v>
      </c>
      <c r="W94" s="3">
        <f>3115.4+(74.8-531.5)+(-3.177708+(-0.076296--0.54213))+0-86.3--0.0880260000000138</f>
        <v>2569.7761519999999</v>
      </c>
      <c r="X94" s="3">
        <f>3104.7+(105.8-661.6)+(-11.083779+(-0.377706--2.361912))+0-68.6--0.244902000000001</f>
        <v>2471.4453289999997</v>
      </c>
      <c r="Y94" s="3">
        <f>2804.9+(116.6-469.5)+(-2.860998+(-0.118932--0.47889))+0-73.1--0.0745620000000116</f>
        <v>2376.4735219999998</v>
      </c>
      <c r="Z94" s="3">
        <f>2994.1+(24.8-384.3)+(-3.053982+(-0.025296--0.391986))+0-85.4--0.0871080000000136</f>
        <v>2546.5998159999999</v>
      </c>
      <c r="AA94" s="3">
        <f>3132.8+(29.5-483.9)+(-9.586368+(-0.09027--1.480734))+0-84--0.25704000000001</f>
        <v>2586.4611359999999</v>
      </c>
      <c r="AB94" s="3">
        <f>3159.4+(90.6-621.3)+(-3.222588+(-0.092412--0.633726))+0-78.8--0.0803760000000126</f>
        <v>2547.2991019999999</v>
      </c>
      <c r="AC94" s="3">
        <f>2885.8+(107.8-421.3)+(0+(0-0))+0-68.9-0</f>
        <v>2503.4</v>
      </c>
      <c r="AD94">
        <v>2605.6999999999998</v>
      </c>
      <c r="AE94" s="3">
        <f>3193+(37-520.3)+(0+(0-0))+0-104-0</f>
        <v>2605.6999999999998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2720.2+(117.4-395)+(-1.387302+(-0.059874--0.20145))+0-70.6--0.0360059999999928</f>
        <v>2370.7902799999997</v>
      </c>
      <c r="G95" s="3">
        <f>2601.1+(131.6-396)+(-1.326561+(-0.067116--0.20196))+0-86.2--0.0439619999999913</f>
        <v>2249.352245</v>
      </c>
      <c r="H95" s="3">
        <f>2612.4+(135.1-452.8)+(-1.332324+(-0.068901--0.230928))+0-93.3--0.0475829999999905</f>
        <v>2200.2772859999995</v>
      </c>
      <c r="I95" s="3">
        <f>2562.7+(134.7-465.7)+(-2.613954+(-0.137394--0.475014))+0-60.2--0.0614040000000096</f>
        <v>2169.2850699999999</v>
      </c>
      <c r="J95" s="3">
        <f>2478.6+(134.4-465.5)+(2.528172+(0.137088-0.47481))+0-25.7-0.0262140000000041</f>
        <v>2123.9642360000003</v>
      </c>
      <c r="K95" s="3">
        <f>2335.6+(133.6-393.4)+(-7.146936+(-0.408816--1.203804))+0-51--0.156060000000006</f>
        <v>2018.6041120000002</v>
      </c>
      <c r="L95" s="3">
        <f>2016.3+(231.2-173.6)+(-3.084939+(-0.353736--0.265608))+0-74.1--0.113373000000004</f>
        <v>1996.7403059999999</v>
      </c>
      <c r="M95" s="3">
        <f>2272.7+(153.5-201.1)+(2.318154+(0.15657-0.205122))+0-76.6-0.0781320000000122</f>
        <v>2150.6914699999998</v>
      </c>
      <c r="N95" s="3">
        <f>2499.3+(131.1-219.3)+(3.823929+(0.200583-0.335529))+0-89.4-0.136782000000005</f>
        <v>2325.2522010000002</v>
      </c>
      <c r="O95" s="3">
        <f>2719.9+(119.8-292.2)+(4.161447+(0.183294-0.447066))+0-78.7-0.120411000000005</f>
        <v>2472.5772640000005</v>
      </c>
      <c r="P95" s="3">
        <f>2760.8+(103.8-258.2)+(0+(0-0))+0-82.5-0</f>
        <v>2523.9</v>
      </c>
      <c r="Q95" s="3">
        <f>2773.2+(118.5-220.2)+(-1.414332+(-0.060435--0.112302))+0-72.2--0.0368219999999927</f>
        <v>2597.9743570000001</v>
      </c>
      <c r="R95" s="3">
        <f>2820.6+(89.5-256.5)+(0+(0-0))+0-32.2-0</f>
        <v>2621.4</v>
      </c>
      <c r="S95" s="3">
        <f>2772.6+(100.7-271.4)+(-9.898182+(-0.359499--0.968898))+0-26.8--0.0956760000000004</f>
        <v>2565.9068929999999</v>
      </c>
      <c r="T95" s="3">
        <f>2776.3+(119.4-254.7)+(-2.831826+(-0.121788--0.259794))+0-88.9--0.0906780000000142</f>
        <v>2549.496858</v>
      </c>
      <c r="U95" s="3">
        <f>2774.2+(116.4-255.1)+(-4.244526+(-0.178092--0.390303))+0-99.5--0.152235000000006</f>
        <v>2532.1199200000001</v>
      </c>
      <c r="V95" s="3">
        <f>2767.7+(114.6-302.5)+(-2.823054+(-0.116892--0.30855))+0-81.4--0.083028000000013</f>
        <v>2495.8516319999994</v>
      </c>
      <c r="W95" s="3">
        <f>2741.3+(118.6-345.6)+(-5.592252+(-0.241944--0.705024))+0-87.6--0.178703999999996</f>
        <v>2421.7495320000003</v>
      </c>
      <c r="X95" s="3">
        <f>2642.3+(125.7-349.7)+(-8.085438+(-0.384642--1.070082))+0-76.1--0.232866000000009</f>
        <v>2335.0328680000002</v>
      </c>
      <c r="Y95" s="3">
        <f>2428.7+(129.5-234.8)+(-7.431822+(-0.39627--0.718488))+0-71.6--0.219096000000008</f>
        <v>2244.9094919999993</v>
      </c>
      <c r="Z95" s="3">
        <f>2571.9+(145-204.1)+(0+(0-0))+0-76.8-0</f>
        <v>2436</v>
      </c>
      <c r="AA95" s="3">
        <f>2852.4+(70.4-351.9)+(-10.183068+(-0.251328--1.256283))+0-87.7--0.313089000000001</f>
        <v>2474.3349760000006</v>
      </c>
      <c r="AB95" s="3">
        <f>2768.7+(118.4-383.6)+(-4.236111+(-0.181152--0.586908))+0-75.7--0.115821000000004</f>
        <v>2424.085466</v>
      </c>
      <c r="AC95" s="3">
        <f>2699.3+(136.6-403.2)+(-1.376643+(-0.069666--0.205632))+0-29.2--0.014891999999997</f>
        <v>2402.2742150000008</v>
      </c>
      <c r="AD95">
        <v>2484.6999999999998</v>
      </c>
      <c r="AE95" s="3">
        <f>2862+(73.5-428.9)+(0+(0-0))+0-21.9-0</f>
        <v>2484.6999999999998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2565.4+(137-327.8)+(0+(0-0))+0-69.3-0</f>
        <v>2305.2999999999997</v>
      </c>
      <c r="G96" s="3">
        <f>2527.2+(137.3-377.9)+(-2.577744+(-0.140046--0.385458))+0-66.3--0.0676260000000106</f>
        <v>2218.0352939999998</v>
      </c>
      <c r="H96" s="3">
        <f>2379.9+(137.8-302.9)+(-1.213749+(-0.070278--0.154479))+0-82.7--0.0421769999999916</f>
        <v>2131.0126290000003</v>
      </c>
      <c r="I96" s="3">
        <f>2357.3+(137.5-315.3)+(-4.808892+(-0.2805--0.643212))+0-79.8--0.162791999999997</f>
        <v>2095.416612</v>
      </c>
      <c r="J96" s="3">
        <f>2402.3+(136.4-394.8)+(2.450346+(0.139128-0.402696))+0-86.6-0.0883320000000138</f>
        <v>2059.3984460000001</v>
      </c>
      <c r="K96" s="3">
        <f>2242.1+(136.7-358.7)+(-3.430413+(-0.209151--0.548811))+0-80.9--0.123777000000005</f>
        <v>1936.2330239999999</v>
      </c>
      <c r="L96" s="3">
        <f>1958.5+(175.6-182.9)+(-1.99767+(-0.179112--0.186558))+0-58.5--0.0596700000000093</f>
        <v>1890.7694460000002</v>
      </c>
      <c r="M96" s="3">
        <f>2031.8+(164.4-191.2)+(3.108654+(0.251532-0.292536))+0-84.3-0.128979000000005</f>
        <v>1923.6386709999999</v>
      </c>
      <c r="N96" s="3">
        <f>2041.7+(183.1-171.5)+(0+(0-0))+0-69.2-0</f>
        <v>1984.1000000000001</v>
      </c>
      <c r="O96" s="3">
        <f>2170.3+(165-208)+(-2.213706+(-0.1683--0.21216))+0-75.4--0.076908000000012</f>
        <v>2049.8070620000003</v>
      </c>
      <c r="P96" s="3">
        <f>2300.3+(161.5-207.8)+(2.346306+(0.16473-0.211956))+0-83.6-0.0852720000000133</f>
        <v>2172.6138080000001</v>
      </c>
      <c r="Q96" s="3">
        <f>2393.2+(140.5-225.3)+(1.220532+(0.071655-0.114903))+0-88.4-0.045083999999991</f>
        <v>2221.1321999999996</v>
      </c>
      <c r="R96" s="3">
        <f>2508.6+(110.6-294.8)+(1.279386+(0.056406-0.150348))+0-82.3-0.0419729999999916</f>
        <v>2243.2434710000002</v>
      </c>
      <c r="S96" s="3">
        <f>2511.1+(81.4-261.9)+(-1.280661+(-0.041514--0.133569))+0-83.2--0.0424319999999916</f>
        <v>2246.2538260000001</v>
      </c>
      <c r="T96" s="3">
        <f>2523.2+(96-291.8)+(0+(0-0))+0-90.6-0</f>
        <v>2236.7999999999997</v>
      </c>
      <c r="U96" s="3">
        <f>2497.4+(100.2-267.2)+(-2.547348+(-0.102204--0.272544))+0-97.7--0.0996540000000156</f>
        <v>2230.4226460000004</v>
      </c>
      <c r="V96" s="3">
        <f>2460.6+(89-262.1)+(2.509812+(0.09078-0.267342))+0-85.3-0.0870060000000136</f>
        <v>2204.4462439999998</v>
      </c>
      <c r="W96" s="3">
        <f>2448.7+(113.4-306)+(-1.248837+(-0.057834--0.15606))+0-75.6--0.0385559999999923</f>
        <v>2179.3879449999999</v>
      </c>
      <c r="X96" s="3">
        <f>2423.5+(114.1-431.1)+(-2.47197+(-0.116382--0.439722))+0-90.1--0.0919020000000144</f>
        <v>2014.3432720000001</v>
      </c>
      <c r="Y96" s="3">
        <f>2137.2+(210.1-182.8)+(-2.179944+(-0.214302--0.186456))+0-86.2--0.0879240000000137</f>
        <v>2076.1801340000002</v>
      </c>
      <c r="Z96" s="3">
        <f>2416.2+(146.7-216.1)+(-2.464524+(-0.149634--0.220422))+0-76--0.0775200000000121</f>
        <v>2268.4837839999996</v>
      </c>
      <c r="AA96" s="3">
        <f>2600.7+(115.5-286.7)+(-7.958142+(-0.35343--0.877302))+0-86.4--0.26438400000001</f>
        <v>2335.9301139999998</v>
      </c>
      <c r="AB96" s="3">
        <f>2490.7+(146.5-253.9)+(-2.540514+(-0.14943--0.258978))+0-53.6--0.0546720000000085</f>
        <v>2327.3237060000001</v>
      </c>
      <c r="AC96" s="3">
        <f>2352.7+(177.1-221.7)+(-1.199877+(-0.090321--0.113067))+0-22.5--0.0114749999999977</f>
        <v>2284.4343439999998</v>
      </c>
      <c r="AD96">
        <v>2389.6999999999998</v>
      </c>
      <c r="AE96" s="3">
        <f>2513+(165.7-266.7)+(0+(0-0))+0-22.3-0</f>
        <v>2389.6999999999998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2246.4+(164.6-214.9)+(-5.72832+(-0.41973--0.547995))+0-27.9--0.0711449999999959</f>
        <v>2162.6710899999998</v>
      </c>
      <c r="G97" s="3">
        <f>2057.2+(245.6-167.3)+(-4.196688+(-0.501024--0.341292))+0-81.4--0.166055999999996</f>
        <v>2049.9096359999999</v>
      </c>
      <c r="H97" s="3">
        <f>2069.2+(184.3-174)+(-1.055292+(-0.093993--0.08874))+0-88--0.0448799999999911</f>
        <v>1990.4843350000001</v>
      </c>
      <c r="I97" s="3">
        <f>1996.7+(213.6-157)+(-3.054951+(-0.326808--0.24021))+0-83.6--0.127908000000005</f>
        <v>1966.6863590000003</v>
      </c>
      <c r="J97" s="3">
        <f>1986.2+(190-175.7)+(-2.025924+(-0.1938--0.179214))+0-74.5--0.0759900000000119</f>
        <v>1924.03548</v>
      </c>
      <c r="K97" s="3">
        <f>1803.6+(289.7-162)+(-5.519016+(-0.886482--0.49572))+0-74.9--0.229194000000009</f>
        <v>1850.7194159999999</v>
      </c>
      <c r="L97" s="3">
        <f>1782.3+(330.6-163.9)+(-3.635892+(-0.674424--0.334356))+0-71.2--0.145247999999997</f>
        <v>1873.969288</v>
      </c>
      <c r="M97" s="3">
        <f>1944.6+(302.7-159)+(0+(0-0))+0-76.8-0</f>
        <v>2011.4999999999998</v>
      </c>
      <c r="N97" s="3">
        <f>2232.8+(186.9-173.8)+(-3.416184+(-0.285957--0.265914))+0-83.7--0.128061000000005</f>
        <v>2158.891834</v>
      </c>
      <c r="O97" s="3">
        <f>2346.2+(194.6-204.3)+(2.393124+(0.198492-0.208386))+0-81.8-0.083436000000013</f>
        <v>2256.9997939999998</v>
      </c>
      <c r="P97" s="3">
        <f>2331.5+(251.8-179)+(-1.189065+(-0.128418--0.09129))+0-80--0.0407999999999919</f>
        <v>2323.1146070000004</v>
      </c>
      <c r="Q97" s="3">
        <f>2336.4+(284.7-175.6)+(-1.191564+(-0.145197--0.089556))+0-80.7--0.0411569999999918</f>
        <v>2363.5939520000002</v>
      </c>
      <c r="R97" s="3">
        <f>2416.3+(212.6-192.2)+(1.232313+(0.108426-0.098022))+0-64.9-0.0330989999999934</f>
        <v>2373.009618</v>
      </c>
      <c r="S97" s="3">
        <f>2447.3+(163.9-234.1)+(-1.248123+(-0.083589--0.119391))+0-19.5--0.00994499999999802</f>
        <v>2356.3976240000002</v>
      </c>
      <c r="T97" s="3">
        <f>2440.3+(191.8-200.2)+(-2.489106+(-0.195636--0.204204))+0-81.9--0.0835380000000131</f>
        <v>2347.6030000000001</v>
      </c>
      <c r="U97" s="3">
        <f>2426.5+(197.9-236.6)+(-3.712545+(-0.302787--0.361998))+0-81.5--0.124695000000005</f>
        <v>2302.7713610000001</v>
      </c>
      <c r="V97" s="3">
        <f>2409.9+(175-169.5)+(-6.145245+(-0.44625--0.432225))+0-77.6--0.197879999999989</f>
        <v>2331.8386100000002</v>
      </c>
      <c r="W97" s="3">
        <f>2407.4+(179.9-211.6)+(-8.594418+(-0.642243--0.755412))+0-91.3--0.325941000000001</f>
        <v>2276.2446920000002</v>
      </c>
      <c r="X97" s="3">
        <f>2331.8+(177.8-216.5)+(-7.135308+(-0.544068--0.66249))+0-88--0.26928000000001</f>
        <v>2198.3523940000005</v>
      </c>
      <c r="Y97" s="3">
        <f>2156+(259.7-179.7)+(-4.39824+(-0.529788--0.366588))+0-88.7--0.180947999999996</f>
        <v>2142.9195080000004</v>
      </c>
      <c r="Z97" s="3">
        <f>2391.3+(205.4-191.5)+(0+(0-0))+0-76.6-0</f>
        <v>2328.6000000000004</v>
      </c>
      <c r="AA97" s="3">
        <f>2549.5+(147.4-244.4)+(-2.60049+(-0.150348--0.249288))+0-87.6--0.089352000000014</f>
        <v>2362.4878020000001</v>
      </c>
      <c r="AB97" s="3">
        <f>2533.6+(136.9-317.2)+(-3.876408+(-0.209457--0.485316))+0-50.2--0.0768060000000029</f>
        <v>2299.5762570000002</v>
      </c>
      <c r="AC97" s="3">
        <f>2481.6+(137.2-320.5)+(-1.265616+(-0.069972--0.163455))+0-25.9--0.0132089999999974</f>
        <v>2271.2410759999998</v>
      </c>
      <c r="AD97">
        <v>2347.7000000000003</v>
      </c>
      <c r="AE97" s="3">
        <f>2561+(126.3-243.9)+(0+(0-0))+0-95.7-0</f>
        <v>2347.7000000000003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2316.4+(144.6-244.3)+(-3.544092+(-0.221238--0.373779))+0-93.7--0.143361000000005</f>
        <v>2119.7518100000002</v>
      </c>
      <c r="G98" s="3">
        <f>2294.5+(136.7-314.9)+(-3.510585+(-0.209151--0.481797))+0-83.5--0.127755000000005</f>
        <v>2029.6898160000001</v>
      </c>
      <c r="H98" s="3">
        <f>2127.4+(137.4-236.4)+(-2.169948+(-0.140148--0.241128))+0-76.1--0.0776220000000121</f>
        <v>1950.3086540000002</v>
      </c>
      <c r="I98" s="3">
        <f>2037.2+(164.1-194.5)+(3.116916+(0.251073-0.297585))+0-83.8-0.128214000000005</f>
        <v>1925.94219</v>
      </c>
      <c r="J98" s="3">
        <f>1993.6+(165.9-188.5)+(0+(0-0))+0-76.2-0</f>
        <v>1894.8</v>
      </c>
      <c r="K98" s="3">
        <f>1900.6+(171.6-186.9)+(-1.938612+(-0.175032--0.190638))+0-65.4--0.0667080000000104</f>
        <v>1818.0437019999999</v>
      </c>
      <c r="L98" s="3">
        <f>1892.4+(193.5-171)+(-3.860496+(-0.39474--0.34884))+0-76.6--0.156263999999997</f>
        <v>1834.5498680000001</v>
      </c>
      <c r="M98" s="3">
        <f>2051.4+(181.6-178.4)+(6.277284+(0.555696-0.545904))+0-67.7-0.207162000000008</f>
        <v>1992.979914</v>
      </c>
      <c r="N98" s="3">
        <f>2256.6+(172.1-203.9)+(-4.603464+(-0.351084--0.415956))+0-82.7--0.168707999999996</f>
        <v>2137.7301160000002</v>
      </c>
      <c r="O98" s="3">
        <f>2366.5+(176.7-207.1)+(-1.206915+(-0.090117--0.105621))+0-81.9--0.0417689999999917</f>
        <v>2253.050358</v>
      </c>
      <c r="P98" s="3">
        <f>2353.4+(242.4-161.1)+(-1.200234+(-0.123624--0.082161))+0-69.8--0.0355979999999929</f>
        <v>2363.6939010000001</v>
      </c>
      <c r="Q98" s="3">
        <f>2348.8+(302.8-170)+(-1.197888+(-0.154428--0.0867))+0-63.7--0.0324869999999935</f>
        <v>2416.6668710000004</v>
      </c>
      <c r="R98" s="3">
        <f>2344.2+(357.5-184.6)+(0+(0-0))+0-80.3-0</f>
        <v>2436.7999999999997</v>
      </c>
      <c r="S98" s="3">
        <f>2325.1+(353.4-180.1)+(-2.371602+(-0.360468--0.183702))+0-79.5--0.0810900000000127</f>
        <v>2416.432722</v>
      </c>
      <c r="T98" s="3">
        <f>2302.2+(366.8-178.4)+(-4.696488+(-0.748272--0.363936))+0-71.2--0.145247999999997</f>
        <v>2414.4644239999998</v>
      </c>
      <c r="U98" s="3">
        <f>2298.9+(397-181.1)+(-3.517317+(-0.60741--0.277083))+0-98.2--0.150246000000006</f>
        <v>2412.9026020000006</v>
      </c>
      <c r="V98" s="3">
        <f>2302.7+(359.1-183.7)+(-1.174377+(-0.183141--0.093687))+0-90.2--0.0460019999999908</f>
        <v>2386.6821709999999</v>
      </c>
      <c r="W98" s="3">
        <f>2291.7+(314.3-184.8)+(-1.168767+(-0.160293--0.094248))+0-60.3--0.0307529999999939</f>
        <v>2359.6959409999995</v>
      </c>
      <c r="X98" s="3">
        <f>2256.3+(269.7-173.2)+(-6.904278+(-0.825282--0.529992))+0-90.6--0.27723600000001</f>
        <v>2255.2776680000002</v>
      </c>
      <c r="Y98" s="3">
        <f>2275.9+(186.2-173.7)+(-3.482127+(-0.284886--0.265761))+0-89.9--0.137547000000005</f>
        <v>2195.1362949999998</v>
      </c>
      <c r="Z98" s="3">
        <f>2375.3+(230.8-194.4)+(-3.634209+(-0.353124--0.297432))+0-26.7--0.0408510000000015</f>
        <v>2381.3509500000005</v>
      </c>
      <c r="AA98" s="3">
        <f>2414.5+(267.7-197.1)+(-1.231395+(-0.136527--0.100521))+0-71--0.0362099999999928</f>
        <v>2412.8688090000001</v>
      </c>
      <c r="AB98" s="3">
        <f>2420.8+(212.8-190.6)+(-4.938432+(-0.434112--0.388824))+0-80.5--0.164219999999996</f>
        <v>2357.6804999999999</v>
      </c>
      <c r="AC98" s="3">
        <f>2425.4+(182.4-218.8)+(-2.473908+(-0.186048--0.223176))+0-79.3--0.0808860000000126</f>
        <v>2307.344106</v>
      </c>
      <c r="AD98">
        <v>2417.1</v>
      </c>
      <c r="AE98" s="3">
        <f>2435+(283-197.6)+(0+(0-0))+0-103.3-0</f>
        <v>2417.1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2414+(136.1-265.6)+(-3.69342+(-0.208233--0.406368))+0-88.4--0.135252000000005</f>
        <v>2192.739967</v>
      </c>
      <c r="G99" s="3">
        <f>2282+(136.8-249.1)+(-4.65528+(-0.279072--0.508164))+0-80.5--0.164219999999996</f>
        <v>2084.938032</v>
      </c>
      <c r="H99" s="3">
        <f>2201.3+(137.1-240.3)+(-4.490652+(-0.279684--0.490212))+0-78.2--0.159527999999997</f>
        <v>2015.7794040000003</v>
      </c>
      <c r="I99" s="3">
        <f>2083+(158.1-170)+(-5.31165+(-0.403155--0.4335))+0-78.7--0.200684999999989</f>
        <v>1987.3193799999999</v>
      </c>
      <c r="J99" s="3">
        <f>2045+(167.9-167.9)+(-6.2577+(-0.513774--0.513774))+0-78--0.238680000000009</f>
        <v>1960.9809799999998</v>
      </c>
      <c r="K99" s="3">
        <f>1954.7+(169.4-173.5)+(-4.984485+(-0.43197--0.442425))+0-91.3--0.232814999999987</f>
        <v>1854.5587850000002</v>
      </c>
      <c r="L99" s="3">
        <f>1915+(225.5-162.8)+(-0.97665+(-0.115005--0.083028))+0-82.2--0.0419219999999917</f>
        <v>1894.533295</v>
      </c>
      <c r="M99" s="3">
        <f>2039.5+(227.3-158.1)+(-1.040145+(-0.115923--0.080631))+0-60.6--0.0309059999999939</f>
        <v>2047.0554689999999</v>
      </c>
      <c r="N99" s="3">
        <f>2352.2+(151.2-200.2)+(1.199622+(0.077112-0.102102))+0-82.1-0.0418709999999917</f>
        <v>2222.2327610000002</v>
      </c>
      <c r="O99" s="3">
        <f>2476.2+(159.9-207.2)+(-1.262862+(-0.081549--0.105672))+0-85.8--0.0437579999999913</f>
        <v>2341.9050189999994</v>
      </c>
      <c r="P99" s="3">
        <f>2548.4+(185.2-192.1)+(-1.299684+(-0.094452--0.097971))+0-83.5--0.0425849999999915</f>
        <v>2456.7464199999999</v>
      </c>
      <c r="Q99" s="3">
        <f>2596.8+(188.2-191)+(0+(0-0))+0-83-0</f>
        <v>2511</v>
      </c>
      <c r="R99" s="3">
        <f>2661.4+(175.1-191.3)+(0+(0-0))+0-89.1-0</f>
        <v>2556.1000000000004</v>
      </c>
      <c r="S99" s="3">
        <f>2652+(170.8-195.2)+(-2.70504+(-0.174216--0.199104))+0-75.2--0.076704000000012</f>
        <v>2549.7965520000002</v>
      </c>
      <c r="T99" s="3">
        <f>2633.1+(169.2-187.5)+(-1.342881+(-0.086292--0.095625))+0-69.5--0.0354449999999929</f>
        <v>2544.0018969999996</v>
      </c>
      <c r="U99" s="3">
        <f>2610.5+(182.4-189.9)+(1.331355+(0.093024-0.096849))+0-82.9-0.0422789999999916</f>
        <v>2521.3852510000002</v>
      </c>
      <c r="V99" s="3">
        <f>2594.8+(145.6-182.9)+(-1.323348+(-0.074256--0.093279))+0-72.1--0.0367709999999927</f>
        <v>2484.1324460000001</v>
      </c>
      <c r="W99" s="3">
        <f>2587.7+(116-192.3)+(-9.238089+(-0.41412--0.686511))+0-72.1--0.257397000000001</f>
        <v>2430.5916989999996</v>
      </c>
      <c r="X99" s="3">
        <f>2591.9+(94.1-242.9)+(-7.931214+(-0.287946--0.743274))+0-88.7--0.27142200000001</f>
        <v>2347.1955359999997</v>
      </c>
      <c r="Y99" s="3">
        <f>2468.9+(120.7-210.6)+(-1.259139+(-0.061557--0.107406))+0-90.8--0.0463079999999908</f>
        <v>2287.0330179999996</v>
      </c>
      <c r="Z99" s="3">
        <f>2655.7+(114.3-202.3)+(1.354407+(0.058293-0.103173))+0-88.7-0.045236999999991</f>
        <v>2480.2642900000001</v>
      </c>
      <c r="AA99" s="3">
        <f>2849+(20.5-272.9)+(-5.81196+(-0.04182--0.556716))+0-87.3--0.178091999999996</f>
        <v>2504.181028</v>
      </c>
      <c r="AB99" s="3">
        <f>2826.2+(99-376.7)+(-1.441362+(-0.05049--0.192117))+0-90.7--0.0462569999999908</f>
        <v>2456.5465220000001</v>
      </c>
      <c r="AC99" s="3">
        <f>2690.4+(137.5-334.1)+(0+(0-0))+0-83.1-0</f>
        <v>2410.7000000000003</v>
      </c>
      <c r="AD99">
        <v>2515.4</v>
      </c>
      <c r="AE99" s="3">
        <f>2859+(24.4-278)+(0+(0-0))+0-90-0</f>
        <v>2515.4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2404.7+(149.5-221.1)+(-6.131985+(-0.381225--0.563805))+0-73.9--0.188444999999989</f>
        <v>2253.4390399999997</v>
      </c>
      <c r="G100" s="3">
        <f>2124.4+(242.5-165.7)+(-4.333776+(-0.4947--0.338028))+0-45.8--0.093431999999998</f>
        <v>2151.0029840000002</v>
      </c>
      <c r="H100" s="3">
        <f>2129.8+(206.5-163.1)+(-2.172396+(-0.21063--0.166362))+0-84.5--0.0861900000000135</f>
        <v>2086.5695260000002</v>
      </c>
      <c r="I100" s="3">
        <f>2134.3+(171.1-169.5)+(-3.265479+(-0.261783--0.259335))+0-74.2--0.113526000000004</f>
        <v>2058.5455990000005</v>
      </c>
      <c r="J100" s="3">
        <f>2122.9+(156.5-183.1)+(-5.413395+(-0.399075--0.466905))+0-60.5--0.154274999999991</f>
        <v>2030.6087100000002</v>
      </c>
      <c r="K100" s="3">
        <f>2037.4+(153.3-209)+(-5.19537+(-0.390915--0.53295))+0-57.6--0.146879999999992</f>
        <v>1919.1935450000001</v>
      </c>
      <c r="L100" s="3">
        <f>1924.5+(240.6-176.1)+(0.981495+(0.122706-0.089811))+0-72.3-0.0368729999999927</f>
        <v>1917.6775170000001</v>
      </c>
      <c r="M100" s="3">
        <f>2280.8+(135.5-278.8)+(-3.489624+(-0.207315--0.426564))+0-43--0.0657900000000025</f>
        <v>2091.295415</v>
      </c>
      <c r="N100" s="3">
        <f>2430.8+(135.6-303.6)+(1.239708+(0.069156-0.154836))+0-20.3-0.0103529999999979</f>
        <v>2243.6436749999998</v>
      </c>
      <c r="O100" s="3">
        <f>2570.8+(136.7-313.2)+(0+(0-0))+0-21-0</f>
        <v>2373.3000000000002</v>
      </c>
      <c r="P100" s="3">
        <f>2675.7+(137.2-314.1)+(-1.364607+(-0.069972--0.160191))+0-21.6--0.0110159999999978</f>
        <v>2475.9366279999999</v>
      </c>
      <c r="Q100" s="3">
        <f>2692.9+(136.3-258)+(2.746758+(0.139026-0.26316))+0-19.2-0.0195840000000031</f>
        <v>2554.6030400000004</v>
      </c>
      <c r="R100" s="3">
        <f>2868.5+(136.1-377.9)+(2.92587+(0.138822-0.385458))+0-18-0.0183600000000029</f>
        <v>2611.360874</v>
      </c>
      <c r="S100" s="3">
        <f>2925.6+(136-462.3)+(0+(0-0))+0-20-0</f>
        <v>2579.2999999999997</v>
      </c>
      <c r="T100" s="3">
        <f>3021.7+(137.8-554.8)+(-1.541067+(-0.070278--0.282948))+0-20.5--0.0104549999999979</f>
        <v>2582.8820579999997</v>
      </c>
      <c r="U100" s="3">
        <f>3070.7+(137.6-587.2)+(-1.566057+(-0.070176--0.299472))+0-35.6--0.0181559999999964</f>
        <v>2584.1813950000001</v>
      </c>
      <c r="V100" s="3">
        <f>3047.6+(136.8-558.2)+(-4.662828+(-0.209304--0.854046))+0-69.7--0.106641000000004</f>
        <v>2552.5885549999998</v>
      </c>
      <c r="W100" s="3">
        <f>3060.5+(136.7-586.9)+(3.12171+(0.139434-0.598638))+0-89.5-0.0912900000000143</f>
        <v>2523.3712160000005</v>
      </c>
      <c r="X100" s="3">
        <f>2946.4+(119.5-598.6)+(-6.010656+(-0.24378--1.221144))+0-46--0.093839999999998</f>
        <v>2416.3605480000001</v>
      </c>
      <c r="Y100" s="3">
        <f>2428.3+(131.4-174.2)+(-2.476866+(-0.134028--0.177684))+0-83--0.0846600000000132</f>
        <v>2300.1514499999998</v>
      </c>
      <c r="Z100" s="3">
        <f>2779.3+(35.5-250.2)+(0+(0-0))+0-91.3-0</f>
        <v>2473.3000000000002</v>
      </c>
      <c r="AA100" s="3">
        <f>2988.3+(29-385.7)+(-1.524033+(-0.01479--0.196707))+0-86.5--0.0441149999999912</f>
        <v>2543.8019990000007</v>
      </c>
      <c r="AB100" s="3">
        <f>2986.6+(105.9-509.7)+(-4.569498+(-0.162027--0.779841))+0-87.2--0.133416000000005</f>
        <v>2491.7817320000004</v>
      </c>
      <c r="AC100" s="3">
        <f>2814.9+(138.8-416.6)+(0+(0-0))+0-83.9-0</f>
        <v>2453.1999999999998</v>
      </c>
      <c r="AD100">
        <v>2546.3999999999996</v>
      </c>
      <c r="AE100" s="3">
        <f>3022+(26.1-395.9)+(0+(0-0))+0-105.8-0</f>
        <v>2546.3999999999996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2672+(137-408.5)+(-4.08816+(-0.20961--0.625005))+0-84.4--0.129132000000005</f>
        <v>2312.5563670000001</v>
      </c>
      <c r="G101" s="3">
        <f>2501.8+(137.3-399.4)+(0+(0-0))+0-37.9-0</f>
        <v>2201.8000000000002</v>
      </c>
      <c r="H101" s="3">
        <f>2397.3+(137.4-306.5)+(-6.113115+(-0.35037--0.781575))+0-83.3--0.212414999999988</f>
        <v>2139.4305050000003</v>
      </c>
      <c r="I101" s="3">
        <f>2259.8+(138-244.1)+(-3.457494+(-0.21114--0.373473))+0-69.9--0.106947000000004</f>
        <v>2080.6117860000004</v>
      </c>
      <c r="J101" s="3">
        <f>2236+(138.3-235.8)+(-3.42108+(-0.211599--0.360774))+0-82.7--0.126531000000005</f>
        <v>2052.654626</v>
      </c>
      <c r="K101" s="3">
        <f>2171.8+(138.5-275.1)+(-6.645708+(-0.42381--0.841806))+0-80.6--0.246636000000009</f>
        <v>1948.6189240000003</v>
      </c>
      <c r="L101" s="3">
        <f>2085.7+(137.1-204.4)+(-2.127414+(-0.139842--0.208488))+0-60.9--0.0621180000000097</f>
        <v>1955.5033499999997</v>
      </c>
      <c r="M101" s="3">
        <f>2334+(136.6-341.3)+(1.19034+(0.069666-0.174063))+0-30.9-0.0157589999999969</f>
        <v>2099.4701840000002</v>
      </c>
      <c r="N101" s="3">
        <f>2552.3+(136.1-328.4)+(2.603346+(0.138822-0.334968))+0-91.6-0.0934320000000146</f>
        <v>2270.7137680000001</v>
      </c>
      <c r="O101" s="3">
        <f>2717.8+(136.3-390.3)+(-4.158234+(-0.208539--0.597159))+0-61.8--0.0945540000000036</f>
        <v>2398.32494</v>
      </c>
      <c r="P101" s="3">
        <f>2930+(137.5-465)+(0+(0-0))+0-76.5-0</f>
        <v>2526</v>
      </c>
      <c r="Q101" s="3">
        <f>3009.5+(137.5-458.2)+(1.534845+(0.070125-0.233682))+0-78.2-0.0398819999999921</f>
        <v>2611.9314060000002</v>
      </c>
      <c r="R101" s="3">
        <f>2999.8+(124.1-436.2)+(-1.529898+(-0.063291--0.222462))+0-56.7--0.0289169999999942</f>
        <v>2629.6581900000006</v>
      </c>
      <c r="S101" s="3">
        <f>3039.9+(97.7-450.2)+(-6.201396+(-0.199308--0.918408))+0-75.3--0.153611999999997</f>
        <v>2606.7713159999998</v>
      </c>
      <c r="T101" s="3">
        <f>3046.8+(95.4-455.3)+(1.553868+(0.048654-0.232203))+0-73.2-0.0373319999999926</f>
        <v>2615.0329870000005</v>
      </c>
      <c r="U101" s="3">
        <f>3020.5+(81.8-440.4)+(-7.702275+(-0.20859--1.12302))+0-56.3--0.143564999999992</f>
        <v>2598.9557199999999</v>
      </c>
      <c r="V101" s="3">
        <f>3035.5+(91.7-478.9)+(0+(0-0))+0-77.3-0</f>
        <v>2571</v>
      </c>
      <c r="W101" s="3">
        <f>3014.2+(96.9-523.9)+(-4.611726+(-0.148257--0.801567))+0-81.8--0.125154000000005</f>
        <v>2501.5667379999995</v>
      </c>
      <c r="X101" s="3">
        <f>2886.8+(104.1-501.5)+(-5.889072+(-0.212364--1.02306))+0-85.3--0.174011999999996</f>
        <v>2399.1956359999999</v>
      </c>
      <c r="Y101" s="3">
        <f>2741.8+(98.8-451)+(-2.796636+(-0.100776--0.46002))+0-83.7--0.0853740000000134</f>
        <v>2303.547982000001</v>
      </c>
      <c r="Z101" s="3">
        <f>2903.4+(25.8-371.8)+(-5.922936+(-0.052632--0.758472))+0-68.8--0.140351999999997</f>
        <v>2483.5232559999999</v>
      </c>
      <c r="AA101" s="3">
        <f>3035.2+(19.5-432.5)+(-4.643856+(-0.029835--0.661725))+0-85--0.130050000000005</f>
        <v>2533.318084</v>
      </c>
      <c r="AB101" s="3">
        <f>2987.9+(93.6-504.7)+(-4.571487+(-0.143208--0.772191))+0-79--0.120870000000005</f>
        <v>2493.9783660000003</v>
      </c>
      <c r="AC101" s="3">
        <f>2967.6+(139.4-546.5)+(3.026952+(0.142188-0.55743))+0-95.6-0.0975120000000152</f>
        <v>2467.4141980000004</v>
      </c>
      <c r="AD101">
        <v>2542.2000000000003</v>
      </c>
      <c r="AE101" s="3">
        <f>3035+(38.4-436.2)+(0+(0-0))+0-95-0</f>
        <v>2542.1999999999998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2899.9+(137.4-587.9)+(-1.478949+(-0.070074--0.299829))+0-80.9--0.0412589999999918</f>
        <v>2367.2920650000001</v>
      </c>
      <c r="G102" s="3">
        <f>2734.6+(137.5-553.4)+(-2.789292+(-0.14025--0.564468))+0-79.3--0.0808860000000126</f>
        <v>2237.115812</v>
      </c>
      <c r="H102" s="3">
        <f>2685.8+(138.2-573.1)+(-2.739516+(-0.140964--0.584562))+0-76.8--0.0783360000000122</f>
        <v>2171.8824180000001</v>
      </c>
      <c r="I102" s="3">
        <f>2684.9+(138-639)+(1.369299+(0.07038-0.32589))+0-76.6-0.0390659999999922</f>
        <v>2108.3747230000004</v>
      </c>
      <c r="J102" s="3">
        <f>2454.7+(137.9-460.4)+(-3.755691+(-0.210987--0.704412))+0-84.1--0.128673000000005</f>
        <v>2044.9664069999997</v>
      </c>
      <c r="K102" s="3">
        <f>2290.4+(137.6-410.8)+(-5.84052+(-0.35088--1.04754))+0-82--0.209099999999988</f>
        <v>1930.2652400000002</v>
      </c>
      <c r="L102" s="3">
        <f>2158.6+(137.2-320.4)+(-6.605316+(-0.419832--0.980424))+0-81.8--0.250308000000009</f>
        <v>1887.8055839999997</v>
      </c>
      <c r="M102" s="3">
        <f>2190.3+(138-268.6)+(-1.117053+(-0.07038--0.136986))+0-71.5--0.0364649999999927</f>
        <v>1987.1860180000001</v>
      </c>
      <c r="N102" s="3">
        <f>2255.5+(136.6-246.8)+(-1.150305+(-0.069666--0.125868))+0-65.7--0.0335069999999933</f>
        <v>2078.5394040000006</v>
      </c>
      <c r="O102" s="3">
        <f>2471.7+(135.9-292.1)+(0+(0-0))+0-79.5-0</f>
        <v>2236</v>
      </c>
      <c r="P102" s="3">
        <f>2680.7+(135.1-385.3)+(0+(0-0))+0-87.6-0</f>
        <v>2342.9</v>
      </c>
      <c r="Q102" s="3">
        <f>2839.1+(136.4-474)+(-4.343823+(-0.208692--0.72522))+0-80.9--0.123777000000005</f>
        <v>2416.8964819999997</v>
      </c>
      <c r="R102" s="3">
        <f>2840.2+(137.5-449.9)+(-1.448502+(-0.070125--0.229449))+0-85.5--0.0436049999999913</f>
        <v>2441.0544269999996</v>
      </c>
      <c r="S102" s="3">
        <f>2805.9+(138-430.8)+(-7.155045+(-0.3519--1.09854))+0-79.6--0.202979999999988</f>
        <v>2427.2945749999999</v>
      </c>
      <c r="T102" s="3">
        <f>2801.2+(137.4-425.5)+(1.428612+(0.070074-0.217005))+0-82.4-0.0420239999999916</f>
        <v>2431.9396569999999</v>
      </c>
      <c r="U102" s="3">
        <f>2778.1+(119.7-395.6)+(1.416831+(0.061047-0.201756))+0-91.8-0.0468179999999907</f>
        <v>2411.629304</v>
      </c>
      <c r="V102" s="3">
        <f>2779.7+(116.2-441.3)+(-2.835294+(-0.118524--0.450126))+0-50.1--0.051102000000008</f>
        <v>2402.0474100000001</v>
      </c>
      <c r="W102" s="3">
        <f>2787.9+(122-461.2)+(-4.265487+(-0.18666--0.705636))+0-75.9--0.116127000000004</f>
        <v>2369.1696160000001</v>
      </c>
      <c r="X102" s="3">
        <f>2684.1+(127.9-476.3)+(-5.475564+(-0.260916--0.971652))+0-43.2--0.0881279999999981</f>
        <v>2287.8233</v>
      </c>
      <c r="Y102" s="3">
        <f>2433.5+(118.1-243)+(-3.723255+(-0.180693--0.37179))+0-92.3--0.141219000000005</f>
        <v>2212.9090609999998</v>
      </c>
      <c r="Z102" s="3">
        <f>2612.9+(57-183.8)+(1.332579+(0.02907-0.093738))+0-82.5-0.0420749999999916</f>
        <v>2404.825836</v>
      </c>
      <c r="AA102" s="3">
        <f>2871.1+(27.1-363.6)+(-4.392783+(-0.041463--0.556308))+0-82.5--0.126225000000005</f>
        <v>2448.3482869999998</v>
      </c>
      <c r="AB102" s="3">
        <f>2924.8+(84.1-513.9)+(-2.983296+(-0.085782--0.524178))+0-72.3--0.0737460000000115</f>
        <v>2420.228846</v>
      </c>
      <c r="AC102" s="3">
        <f>2918.5+(138.3-569.5)+(2.97687+(0.141066-0.58089))+0-59.7-0.0608940000000095</f>
        <v>2430.0761520000001</v>
      </c>
      <c r="AD102">
        <v>2447.6999999999998</v>
      </c>
      <c r="AE102" s="3">
        <f>2912+(33.5-407.5)+(0+(0-0))+0-90.3-0</f>
        <v>2447.6999999999998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2818.7+(138.4-529.3)+(-2.875074+(-0.141168--0.539886))+0-87--0.0887400000000139</f>
        <v>2338.4123839999997</v>
      </c>
      <c r="G103" s="3">
        <f>2695.7+(139.3-526.1)+(-1.374807+(-0.071043--0.268311))+0-86.3--0.0440129999999912</f>
        <v>2221.4664739999998</v>
      </c>
      <c r="H103" s="3">
        <f>2646.4+(139.1-545.7)+(-5.398656+(-0.283764--1.113228))+0-87.3--0.178091999999996</f>
        <v>2148.1089000000002</v>
      </c>
      <c r="I103" s="3">
        <f>2560.9+(140.1-527.3)+(-6.530295+(-0.357255--1.344615))+0-80.2--0.204509999999988</f>
        <v>2088.1615750000005</v>
      </c>
      <c r="J103" s="3">
        <f>2196.9+(140.2-207.1)+(2.240838+(0.143004-0.211242))+0-94.9-0.0967980000000151</f>
        <v>2037.1758019999997</v>
      </c>
      <c r="K103" s="3">
        <f>2140.3+(140-337.3)+(-5.457765+(-0.357--0.860115))+0-40.5--0.103274999999994</f>
        <v>1897.6486250000003</v>
      </c>
      <c r="L103" s="3">
        <f>2156.5+(139-351.9)+(-1.099815+(-0.07089--0.179469))+0-67.2--0.0342719999999932</f>
        <v>1875.4430359999999</v>
      </c>
      <c r="M103" s="3">
        <f>2182.5+(136.4-300.6)+(-2.22615+(-0.139128--0.306612))+0-92.1--0.0939420000000147</f>
        <v>1924.2352760000001</v>
      </c>
      <c r="N103" s="3">
        <f>2342.7+(134.9-369)+(-2.389554+(-0.137598--0.37638))+0-83.9--0.0855780000000134</f>
        <v>2022.6348059999998</v>
      </c>
      <c r="O103" s="3">
        <f>2352.8+(126.5-311.5)+(1.199928+(0.064515-0.158865))+0-69.1-0.035240999999993</f>
        <v>2099.7703370000004</v>
      </c>
      <c r="P103" s="3">
        <f>2545.3+(93.2-327.3)+(-2.596206+(-0.095064--0.333846))+0-86.6--0.0883320000000138</f>
        <v>2222.3309080000004</v>
      </c>
      <c r="Q103" s="3">
        <f>2629.7+(102.8-407.4)+(0+(0-0))+0-33.2-0</f>
        <v>2291.9</v>
      </c>
      <c r="R103" s="3">
        <f>2775.4+(95.2-511.1)+(4.246362+(0.145656-0.781983))+0-24.8-0.0379440000000014</f>
        <v>2338.2720909999998</v>
      </c>
      <c r="S103" s="3">
        <f>2795.7+(93.2-449.1)+(0+(0-0))+0-84.7-0</f>
        <v>2355.1</v>
      </c>
      <c r="T103" s="3">
        <f>2776.5+(89.5-453.6)+(1.416015+(0.045645-0.231336))+0-72.4-0.0369239999999927</f>
        <v>2341.1934000000001</v>
      </c>
      <c r="U103" s="3">
        <f>2697.3+(94.8-457.3)+(-8.253738+(-0.290088--1.399338))+0-30.7--0.0939420000000036</f>
        <v>2297.0494540000004</v>
      </c>
      <c r="V103" s="3">
        <f>2634.7+(107.8-375.8)+(4.031091+(0.164934-0.574974))+0-75.6-0.115668000000004</f>
        <v>2294.6053830000001</v>
      </c>
      <c r="W103" s="3">
        <f>2600.7+(112.9-376.8)+(-6.631785+(-0.287895--0.96084))+0-78.1--0.199154999999989</f>
        <v>2252.9403149999998</v>
      </c>
      <c r="X103" s="3">
        <f>2492+(116.6-345.5)+(-6.3546+(-0.29733--0.881025))+0-79.9--0.203744999999988</f>
        <v>2177.6328399999998</v>
      </c>
      <c r="Y103" s="3">
        <f>2254.8+(124.4-161.9)+(-2.299896+(-0.126888--0.165138))+0-89.4--0.0911880000000143</f>
        <v>2125.729542</v>
      </c>
      <c r="Z103" s="3">
        <f>2627.2+(11.1-227.9)+(-2.679744+(-0.011322--0.232458))+0-80.6--0.0822120000000128</f>
        <v>2327.4236039999996</v>
      </c>
      <c r="AA103" s="3">
        <f>2889.7+(0-381.3)+(-5.894988+(0--0.777852))+0-90.3--0.184211999999996</f>
        <v>2413.1670759999997</v>
      </c>
      <c r="AB103" s="3">
        <f>2888.2+(16.8-421.5)+(-2.945964+(-0.017136--0.42993))+0-70.3--0.0717060000000112</f>
        <v>2410.7385359999998</v>
      </c>
      <c r="AC103" s="3">
        <f>2745.5+(114.7-460.1)+(-4.200615+(-0.175491--0.703953))+0-26.4--0.0403920000000015</f>
        <v>2370.0682389999997</v>
      </c>
      <c r="AD103">
        <v>2464.8000000000002</v>
      </c>
      <c r="AE103" s="3">
        <f>2913+(15.2-363.7)+(0+(0-0))+0-99.7-0</f>
        <v>2464.8000000000002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2602.4+(123.6-446.7)+(-1.327224+(-0.063036--0.227817))+0-29.8--0.015197999999997</f>
        <v>2248.3527549999999</v>
      </c>
      <c r="G104" s="3">
        <f>2479.9+(128.8-388.1)+(-2.529498+(-0.131376--0.395862))+0-52.1--0.0531420000000083</f>
        <v>2166.2881300000004</v>
      </c>
      <c r="H104" s="3">
        <f>2498.7+(118.9-439.1)+(2.548674+(0.121278-0.447882))+0-78.7-0.0802740000000126</f>
        <v>2101.9417960000001</v>
      </c>
      <c r="I104" s="3">
        <f>2431.9+(121.8-408.2)+(-1.240269+(-0.062118--0.208182))+0-84.3--0.0429929999999914</f>
        <v>2060.148788</v>
      </c>
      <c r="J104" s="3">
        <f>2419.6+(122-440.1)+(-3.701988+(-0.18666--0.673353))+0-85.3--0.130509000000005</f>
        <v>2013.1152140000002</v>
      </c>
      <c r="K104" s="3">
        <f>2249.8+(140-410.2)+(-9.179184+(-0.5712--1.673616))+0-75--0.305999999999993</f>
        <v>1896.8292320000003</v>
      </c>
      <c r="L104" s="3">
        <f>2189.5+(130.7-363.3)+(-4.46658+(-0.266628--0.741132))+0-39.7--0.0809879999999983</f>
        <v>1913.288912</v>
      </c>
      <c r="M104" s="3">
        <f>2394+(111-399.2)+(3.66282+(0.16983-0.610776))+0-23.1-0.0353430000000013</f>
        <v>2085.8865310000001</v>
      </c>
      <c r="N104" s="3">
        <f>2555.6+(102.5-397)+(1.303356+(0.052275-0.20247))+0-22.7-0.0115769999999977</f>
        <v>2239.5415840000001</v>
      </c>
      <c r="O104" s="3">
        <f>2636.2+(104.8-277.4)+(1.344462+(0.053448-0.141474))+0-73.3-0.0373829999999926</f>
        <v>2391.519053</v>
      </c>
      <c r="P104" s="3">
        <f>2861.2+(95.9-399.9)+(-2.918424+(-0.097818--0.407898))+0-54.1--0.0551820000000086</f>
        <v>2500.5468379999998</v>
      </c>
      <c r="Q104" s="3">
        <f>2902.4+(79.1-302.9)+(-1.480224+(-0.040341--0.154479))+0-82.5--0.0420749999999916</f>
        <v>2594.7759889999998</v>
      </c>
      <c r="R104" s="3">
        <f>2971.5+(70.1-324.5)+(-3.03093+(-0.071502--0.33099))+0-80.5--0.0821100000000128</f>
        <v>2633.9106679999995</v>
      </c>
      <c r="S104" s="3">
        <f>2961.6+(70.3-323.5)+(-1.510416+(-0.035853--0.164985))+0-82.4--0.0420239999999916</f>
        <v>2624.6607399999998</v>
      </c>
      <c r="T104" s="3">
        <f>2939.5+(85.8-332.9)+(-4.497435+(-0.131274--0.509337))+0-82.8--0.126684000000005</f>
        <v>2605.6073119999996</v>
      </c>
      <c r="U104" s="3">
        <f>2961.1+(98.8-391.4)+(0+(0-0))+0-62.6-0</f>
        <v>2605.9</v>
      </c>
      <c r="V104" s="3">
        <f>2937.9+(112.7-403)+(-2.996658+(-0.114954--0.41106))+0-68.9--0.070278000000011</f>
        <v>2576.0697260000002</v>
      </c>
      <c r="W104" s="3">
        <f>2922.7+(115.4-470.1)+(-7.452885+(-0.29427--1.198755))+0-44.2--0.112709999999994</f>
        <v>2517.3643099999999</v>
      </c>
      <c r="X104" s="3">
        <f>2887.2+(117.8-508.7)+(-7.36236+(-0.30039--1.297185))+0-77.3--0.197114999999989</f>
        <v>2412.8315499999994</v>
      </c>
      <c r="Y104" s="3">
        <f>2505.5+(108-224.5)+(-7.66683+(-0.33048--0.68697))+0-81.4--0.249084000000009</f>
        <v>2300.538744</v>
      </c>
      <c r="Z104" s="3">
        <f>2807+(35.3-269.6)+(2.86314+(0.036006-0.274992))+0-87-0.0887400000000139</f>
        <v>2488.2354139999998</v>
      </c>
      <c r="AA104" s="3">
        <f>3004.8+(31.4-394.5)+(-4.597344+(-0.048042--0.603585))+0-86.6--0.132498000000005</f>
        <v>2551.1906970000005</v>
      </c>
      <c r="AB104" s="3">
        <f>3016.8+(89.8-518.4)+(-3.077136+(-0.091596--0.528768))+0-84.9--0.0865980000000135</f>
        <v>2500.7466340000001</v>
      </c>
      <c r="AC104" s="3">
        <f>3046.4+(138.6-629.2)+(1.553664+(0.070686-0.320892))+0-91-0.0464099999999908</f>
        <v>2466.0570480000001</v>
      </c>
      <c r="AD104">
        <v>2535.1</v>
      </c>
      <c r="AE104" s="3">
        <f>3038+(59-466.5)+(0+(0-0))+0-95.4-0</f>
        <v>2535.1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2892.7+(138.3-629.5)+(0+(0-0))+0-83.7-0</f>
        <v>2317.8000000000002</v>
      </c>
      <c r="G105" s="3">
        <f>2620.5+(138.7-469.3)+(-1.336455+(-0.070737--0.239343))+0-85.2--0.0434519999999914</f>
        <v>2203.5756030000002</v>
      </c>
      <c r="H105" s="3">
        <f>2529.2+(138.1-462.9)+(-3.869676+(-0.211293--0.708237))+0-77--0.117810000000004</f>
        <v>2124.145078</v>
      </c>
      <c r="I105" s="3">
        <f>2506.3+(138.3-478.2)+(-3.834639+(-0.211599--0.731646))+0-70.3--0.107559000000004</f>
        <v>2092.8929669999998</v>
      </c>
      <c r="J105" s="3">
        <f>2365.4+(137.3-362.5)+(-6.03177+(-0.350115--0.924375))+0-75.6--0.192779999999989</f>
        <v>2059.33527</v>
      </c>
      <c r="K105" s="3">
        <f>2299.3+(137.7-375.7)+(-5.863215+(-0.351135--0.958035))+0-91.7--0.233834999999987</f>
        <v>1964.57752</v>
      </c>
      <c r="L105" s="3">
        <f>2194.9+(137.7-307.7)+(-2.238798+(-0.140454--0.313854))+0-74.2--0.0756840000000118</f>
        <v>1948.710286</v>
      </c>
      <c r="M105" s="3">
        <f>2332.4+(136.5-269)+(-1.189524+(-0.069615--0.13719))+0-91--0.0464099999999908</f>
        <v>2107.8244610000002</v>
      </c>
      <c r="N105" s="3">
        <f>2532.5+(136-330.6)+(1.291575+(0.06936-0.168606))+0-67.3-0.0343229999999932</f>
        <v>2271.758006</v>
      </c>
      <c r="O105" s="3">
        <f>2750.5+(136.7-374.5)+(0+(0-0))+0-85.5-0</f>
        <v>2427.1999999999998</v>
      </c>
      <c r="P105" s="3">
        <f>2967.2+(137.8-462.7)+(3.026544+(0.140556-0.471954))+0-82.9-0.0845580000000132</f>
        <v>2562.0105879999996</v>
      </c>
      <c r="Q105" s="3">
        <f>3005.3+(138.1-452.7)+(-1.532703+(-0.070431--0.230877))+0-67.4--0.0343739999999932</f>
        <v>2621.962117</v>
      </c>
      <c r="R105" s="3">
        <f>3084.5+(136.8-471.9)+(-3.14619+(-0.139536--0.481338))+0-88.8--0.0905760000000142</f>
        <v>2657.8861879999999</v>
      </c>
      <c r="S105" s="3">
        <f>3115.3+(136.9-529.1)+(-3.177606+(-0.139638--0.539682))+0-86.6--0.0883320000000138</f>
        <v>2633.81077</v>
      </c>
      <c r="T105" s="3">
        <f>3063.8+(136.5-505.5)+(0+(0-0))+0-87.8-0</f>
        <v>2607</v>
      </c>
      <c r="U105" s="3">
        <f>3037.7+(136.6-483.3)+(0+(0-0))+0-85.1-0</f>
        <v>2605.9</v>
      </c>
      <c r="V105" s="3">
        <f>2903.4+(105.6-363.7)+(1.480734+(0.053856-0.185487))+0-70.3-0.0358529999999929</f>
        <v>2576.3132500000002</v>
      </c>
      <c r="W105" s="3">
        <f>2881.1+(106.4-381.9)+(-5.877444+(-0.217056--0.779076))+0-72.3--0.147491999999997</f>
        <v>2528.1320679999999</v>
      </c>
      <c r="X105" s="3">
        <f>2997.2+(106.6-580.6)+(-10.700004+(-0.380562--2.072742))+0-84.4--0.301308000000001</f>
        <v>2430.093484</v>
      </c>
      <c r="Y105" s="3">
        <f>2549.3+(115.8-254.6)+(-6.500715+(-0.29529--0.64923))+0-86--0.219299999999988</f>
        <v>2318.572525</v>
      </c>
      <c r="Z105" s="3">
        <f>2966.5+(57.3-418.4)+(-1.512915+(-0.029223--0.213384))+0-89.7--0.0457469999999909</f>
        <v>2514.4169930000003</v>
      </c>
      <c r="AA105" s="3">
        <f>3270+(35.4-641.5)+(-6.6708+(-0.072216--1.30866))+0-81.8--0.166871999999996</f>
        <v>2576.8325159999995</v>
      </c>
      <c r="AB105" s="3">
        <f>3149.9+(94-632.2)+(-4.819347+(-0.14382--0.967266))+0-90.4--0.138312000000005</f>
        <v>2517.442411</v>
      </c>
      <c r="AC105" s="3">
        <f>2984.6+(137.8-578.5)+(1.522146+(0.070278-0.295035))+0-81.1-0.0413609999999918</f>
        <v>2464.056028</v>
      </c>
      <c r="AD105">
        <v>2612.3000000000002</v>
      </c>
      <c r="AE105" s="3">
        <f>3315+(42.3-638.5)+(0+(0-0))+0-106.5-0</f>
        <v>2612.3000000000002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2909+(138-660.2)+(0+(0-0))+0-62-0</f>
        <v>2324.8000000000002</v>
      </c>
      <c r="G106" s="3">
        <f>2784.1+(138.1-616.2)+(-5.679564+(-0.281724--1.257048))+0-81--0.165239999999996</f>
        <v>2220.4609999999998</v>
      </c>
      <c r="H106" s="3">
        <f>2689.3+(138.1-570.9)+(1.371543+(0.070431-0.291159))+0-77.7-0.0396269999999921</f>
        <v>2179.911188</v>
      </c>
      <c r="I106" s="3">
        <f>2580.3+(138.3-508.3)+(-5.263812+(-0.282132--1.036932))+0-78.8--0.160751999999997</f>
        <v>2127.1517399999998</v>
      </c>
      <c r="J106" s="3">
        <f>2563.5+(138.3-532.3)+(0+(0-0))+0-81.6-0</f>
        <v>2087.9</v>
      </c>
      <c r="K106" s="3">
        <f>2427.8+(139-492)+(-6.19089+(-0.35445--1.2546))+0-85.5--0.218024999999988</f>
        <v>1984.2272850000002</v>
      </c>
      <c r="L106" s="3">
        <f>2212+(137.6-308.5)+(-5.6406+(-0.35088--0.786675))+0-76--0.193799999999989</f>
        <v>1960.0889949999998</v>
      </c>
      <c r="M106" s="3">
        <f>2402.4+(136.8-376.4)+(0+(0-0))+0-59.2-0</f>
        <v>2103.6000000000004</v>
      </c>
      <c r="N106" s="3">
        <f>2634.1+(138-429.7)+(4.030173+(0.21114-0.657441))+0-85.1-0.130203000000005</f>
        <v>2260.7536690000002</v>
      </c>
      <c r="O106" s="3">
        <f>2772.2+(138.8-452.8)+(2.827644+(0.141576-0.461856))+0-67.4-0.0687480000000108</f>
        <v>2393.2386159999996</v>
      </c>
      <c r="P106" s="3">
        <f>2993.9+(137.5-488.6)+(4.580667+(0.210375-0.747558))+0-93.3-0.142749000000005</f>
        <v>2553.4007349999997</v>
      </c>
      <c r="Q106" s="3">
        <f>3118.4+(114.5-508.9)+(4.771152+(0.175185-0.778617))+0-84.3-0.128979000000005</f>
        <v>2643.7387409999997</v>
      </c>
      <c r="R106" s="3">
        <f>3252.7+(95.6-605.5)+(-1.658877+(-0.048756--0.308805))+0-56.8--0.0289679999999942</f>
        <v>2684.6301399999998</v>
      </c>
      <c r="S106" s="3">
        <f>3243.9+(92.5-612.2)+(-6.617556+(-0.1887--1.248888))+0-59.5--0.121379999999997</f>
        <v>2659.2640119999996</v>
      </c>
      <c r="T106" s="3">
        <f>3252.8+(86.1-591.1)+(4.976784+(0.131733-0.904383))+0-85.4-0.130662000000005</f>
        <v>2666.4734720000001</v>
      </c>
      <c r="U106" s="3">
        <f>3154.6+(84-517.8)+(-3.217692+(-0.08568--0.528156))+0-71.4--0.0728280000000114</f>
        <v>2646.6976119999999</v>
      </c>
      <c r="V106" s="3">
        <f>3205+(79.3-605.3)+(-6.5382+(-0.161772--1.234812))+0-64.5--0.131579999999997</f>
        <v>2609.16642</v>
      </c>
      <c r="W106" s="3">
        <f>3194.6+(80.7-615.8)+(-6.516984+(-0.164628--1.256232))+0-80--0.163199999999997</f>
        <v>2574.2378199999998</v>
      </c>
      <c r="X106" s="3">
        <f>3087.4+(96.9-636.4)+(-6.298296+(-0.197676--1.298256))+0-82.6--0.168503999999996</f>
        <v>2460.2707880000003</v>
      </c>
      <c r="Y106" s="3">
        <f>2749.8+(97.2-402.6)+(-5.609592+(-0.198288--0.821304))+0-77--0.157079999999997</f>
        <v>2362.5705040000003</v>
      </c>
      <c r="Z106" s="3">
        <f>3076.9+(31.1-495.4)+(-1.569219+(-0.015861--0.252654))+0-63.2--0.0322319999999936</f>
        <v>2548.0998060000006</v>
      </c>
      <c r="AA106" s="3">
        <f>3187.8+(26.6-533.5)+(-4.877334+(-0.040698--0.816255))+0-83.6--0.127908000000005</f>
        <v>2593.3261310000003</v>
      </c>
      <c r="AB106" s="3">
        <f>3173.1+(92.2-646.8)+(-6.473124+(-0.188088--1.319472))+0-63.4--0.129335999999997</f>
        <v>2549.887596</v>
      </c>
      <c r="AC106" s="3">
        <f>3116.6+(115.9-647.6)+(0+(0-0))+0-80.1-0</f>
        <v>2504.7999999999997</v>
      </c>
      <c r="AD106">
        <v>2606.1</v>
      </c>
      <c r="AE106" s="3">
        <f>3206+(22.3-521.8)+(0+(0-0))+0-100.4-0</f>
        <v>2606.1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2967+(123.1-616)+(-4.53951+(-0.188343--0.94248))+0-81.1--0.124083000000005</f>
        <v>2389.33871</v>
      </c>
      <c r="G107" s="3">
        <f>2689.6+(112.7-498.1)+(-9.601872+(-0.402339--1.778217))+0-44.4--0.158508000000001</f>
        <v>2251.7325139999998</v>
      </c>
      <c r="H107" s="3">
        <f>2456.9+(122-356.4)+(-7.518114+(-0.37332--1.090584))+0-40.3--0.123318000000005</f>
        <v>2175.5224679999997</v>
      </c>
      <c r="I107" s="3">
        <f>2425.6+(135-345.8)+(-6.18528+(-0.34425--0.88179))+0-86.3--0.220064999999987</f>
        <v>2123.0723249999996</v>
      </c>
      <c r="J107" s="3">
        <f>2407.9+(132.5-371.6)+(3.684087+(0.202725-0.568548))+0-81.2-0.124236000000005</f>
        <v>2090.7940280000003</v>
      </c>
      <c r="K107" s="3">
        <f>2320.2+(128.2-393)+(-3.549906+(-0.196146--0.60129))+0-65.2--0.0997560000000038</f>
        <v>1987.1549939999998</v>
      </c>
      <c r="L107" s="3">
        <f>2202.6+(114-291.9)+(-4.493304+(-0.23256--0.595476))+0-21.6--0.0440639999999991</f>
        <v>1999.0136759999998</v>
      </c>
      <c r="M107" s="3">
        <f>2297.4+(100.2-232.5)+(0+(0-0))+0-19.9-0</f>
        <v>2145.1999999999998</v>
      </c>
      <c r="N107" s="3">
        <f>2696.2+(94.5-449.8)+(-4.125186+(-0.144585--0.688194))+0-18.3--0.0279990000000011</f>
        <v>2319.0464219999994</v>
      </c>
      <c r="O107" s="3">
        <f>2871.4+(95.9-468.8)+(1.464414+(0.048909-0.239088))+0-18.5-0.00943499999999812</f>
        <v>2481.2647999999999</v>
      </c>
      <c r="P107" s="3">
        <f>3095.8+(84.9-547.2)+(0+(0-0))+0-17.9-0</f>
        <v>2615.6</v>
      </c>
      <c r="Q107" s="3">
        <f>3231.2+(92.8-620.3)+(-3.295824+(-0.094656--0.632706))+0-18.1--0.0184620000000029</f>
        <v>2682.8606879999998</v>
      </c>
      <c r="R107" s="3">
        <f>3291.3+(79.4-632.3)+(0+(0-0))+0-19-0</f>
        <v>2719.4</v>
      </c>
      <c r="S107" s="3">
        <f>3274.7+(91.2-651.9)+(-3.340194+(-0.093024--0.664938))+0-18.2--0.0185640000000029</f>
        <v>2693.0502840000004</v>
      </c>
      <c r="T107" s="3">
        <f>3272.7+(66.5-642.1)+(-3.338154+(-0.06783--0.654942))+0-18.9--0.019278000000003</f>
        <v>2675.4682360000002</v>
      </c>
      <c r="U107" s="3">
        <f>3258.8+(54.3-597.6)+(-4.985964+(-0.083079--0.914328))+0-36.3--0.0555390000000021</f>
        <v>2675.1008239999996</v>
      </c>
      <c r="V107" s="3">
        <f>3257.5+(63.4-583.3)+(-1.661325+(-0.032334--0.297483))+0-70.4--0.0359039999999929</f>
        <v>2665.8397279999995</v>
      </c>
      <c r="W107" s="3">
        <f>3208.1+(63.1-579.4)+(-4.908393+(-0.096543--0.886482))+0-78.4--0.119952000000005</f>
        <v>2609.4014980000002</v>
      </c>
      <c r="X107" s="3">
        <f>3046.5+(70.4-546.7)+(-7.768575+(-0.17952--1.394085))+0-76.1--0.194054999999989</f>
        <v>2487.740045</v>
      </c>
      <c r="Y107" s="3">
        <f>2793.2+(74.8-394.1)+(-4.273596+(-0.114444--0.602973))+0-63.6--0.0973080000000037</f>
        <v>2406.6122409999998</v>
      </c>
      <c r="Z107" s="3">
        <f>3120.9+(0-455.5)+(-3.183318+(0--0.46461))+0-80.4--0.0820080000000128</f>
        <v>2582.3633</v>
      </c>
      <c r="AA107" s="3">
        <f>3400.3+(2.7-677.5)+(-3.468306+(-0.002754--0.69105))+0-75.9--0.0774180000000121</f>
        <v>2646.8974079999998</v>
      </c>
      <c r="AB107" s="3">
        <f>3321.2+(75-707)+(-6.775248+(-0.153--1.44228))+0-84.3--0.171971999999996</f>
        <v>2599.5860039999998</v>
      </c>
      <c r="AC107" s="3">
        <f>3055.5+(125.3-534.9)+(-3.11661+(-0.127806--0.545598))+0-83--0.0846600000000132</f>
        <v>2560.2858420000002</v>
      </c>
      <c r="AD107">
        <v>2685.2999999999997</v>
      </c>
      <c r="AE107" s="3">
        <f>3445+(17-682.8)+(0+(0-0))+0-93.9-0</f>
        <v>2685.2999999999997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2914.7+(138.6-523.2)+(-4.459491+(-0.212058--0.800496))+0-81.3--0.124389000000005</f>
        <v>2445.0533359999999</v>
      </c>
      <c r="G108" s="3">
        <f>2816.6+(138.5-560.1)+(-4.309398+(-0.211905--0.856953))+0-76.7--0.117351000000004</f>
        <v>2314.753001</v>
      </c>
      <c r="H108" s="3">
        <f>2839.8+(137.7-636.4)+(0+(0-0))+0-83.7-0</f>
        <v>2257.4000000000005</v>
      </c>
      <c r="I108" s="3">
        <f>2648.5+(137.8-517.9)+(-5.40294+(-0.281112--1.056516))+0-75.2--0.153407999999997</f>
        <v>2188.7258720000004</v>
      </c>
      <c r="J108" s="3">
        <f>2540.3+(137.6-449.4)+(-5.182212+(-0.280704--0.916776))+0-74.9--0.152795999999997</f>
        <v>2149.2066559999998</v>
      </c>
      <c r="K108" s="3">
        <f>2315+(137.6-342)+(-4.7226+(-0.280704--0.69768))+0-74.9--0.152795999999997</f>
        <v>2031.5471719999998</v>
      </c>
      <c r="L108" s="3">
        <f>2220.8+(137.7-249)+(-4.530432+(-0.280908--0.50796))+0-81.7--0.166667999999996</f>
        <v>2023.6632880000002</v>
      </c>
      <c r="M108" s="3">
        <f>2468.5+(136.2-325.5)+(3.776805+(0.208386-0.498015))+0-81.9-0.125307000000005</f>
        <v>2200.661869</v>
      </c>
      <c r="N108" s="3">
        <f>2603.6+(136.9-290.8)+(2.655672+(0.139638-0.296616))+0-66.9-0.0682380000000107</f>
        <v>2385.2304559999998</v>
      </c>
      <c r="O108" s="3">
        <f>2676.8+(108.3-194.7)+(0+(0-0))+0-69.8-0</f>
        <v>2520.6</v>
      </c>
      <c r="P108" s="3">
        <f>2971.2+(56-237.4)+(1.515312+(0.02856-0.121074))+0-76-0.0387599999999923</f>
        <v>2715.1840379999999</v>
      </c>
      <c r="Q108" s="3">
        <f>3137.8+(58.8-321.4)+(0+(0-0))+0-77.2-0</f>
        <v>2798.0000000000005</v>
      </c>
      <c r="R108" s="3">
        <f>3267.1+(67.7-504.8)+(1.666221+(0.034527-0.257448))+0-50.6-0.0258059999999949</f>
        <v>2780.8174939999999</v>
      </c>
      <c r="S108" s="3">
        <f>3239.2+(94.3-543)+(3.303984+(0.096186-0.55386))+0-28.9-0.0294780000000046</f>
        <v>2764.4168319999999</v>
      </c>
      <c r="T108" s="3">
        <f>3194.2+(97.7-464.3)+(-3.258084+(-0.099654--0.473586))+0-68.8--0.070176000000011</f>
        <v>2755.9860239999998</v>
      </c>
      <c r="U108" s="3">
        <f>3209.7+(90.8-469.4)+(3.273894+(0.092616-0.478788))+0-88.9-0.0906780000000142</f>
        <v>2744.9970439999997</v>
      </c>
      <c r="V108" s="3">
        <f>3186.9+(87.3-487.3)+(-8.126595+(-0.222615--1.242615))+0-62.9--0.160394999999991</f>
        <v>2717.0537999999997</v>
      </c>
      <c r="W108" s="3">
        <f>3177.7+(93.8-507.3)+(-9.723762+(-0.287028--1.552338))+0-83.9--0.25673400000001</f>
        <v>2672.0982819999999</v>
      </c>
      <c r="X108" s="3">
        <f>3011.2+(106.8-519.8)+(-9.214272+(-0.326808--1.590588))+0-39.7--0.121482000000005</f>
        <v>2550.6709900000001</v>
      </c>
      <c r="Y108" s="3">
        <f>2690.4+(115.8-338.2)+(-2.744208+(-0.118116--0.344964))+0-23.5--0.0239700000000037</f>
        <v>2442.0066100000004</v>
      </c>
      <c r="Z108" s="3">
        <f>3006.9+(27.2-322.3)+(-4.600557+(-0.041616--0.493119))+0-89.3--0.136629000000005</f>
        <v>2618.4875750000001</v>
      </c>
      <c r="AA108" s="3">
        <f>3271.1+(22.9-536.1)+(-8.341305+(-0.058395--1.367055))+0-76.4--0.194819999999989</f>
        <v>2674.6621749999999</v>
      </c>
      <c r="AB108" s="3">
        <f>3270.7+(87.5-622)+(-3.336114+(-0.08925--0.63444))+0-87.7--0.089454000000014</f>
        <v>2645.79853</v>
      </c>
      <c r="AC108" s="3">
        <f>3263+(117.9-695.3)+(6.65652+(0.240516-1.418412))+0-86-0.175439999999996</f>
        <v>2604.9031839999998</v>
      </c>
      <c r="AD108">
        <v>2715.3</v>
      </c>
      <c r="AE108" s="3">
        <f>3301+(39.8-530.1)+(0+(0-0))+0-95.4-0</f>
        <v>2715.2999999999997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3149+(85.9-676.3)+(-3.21198+(-0.087618--0.689826))+0-84.6--0.0862920000000135</f>
        <v>2471.4765200000002</v>
      </c>
      <c r="G109" s="3">
        <f>2888.9+(85.2-549.9)+(0+(0-0))+0-80.1-0</f>
        <v>2344.1000000000004</v>
      </c>
      <c r="H109" s="3">
        <f>2889.8+(84.7-606.2)+(-2.947596+(-0.086394--0.618324))+0-87.6--0.089352000000014</f>
        <v>2278.3736860000004</v>
      </c>
      <c r="I109" s="3">
        <f>2785.9+(83.9-571.3)+(0+(0-0))+0-66.7-0</f>
        <v>2231.8000000000002</v>
      </c>
      <c r="J109" s="3">
        <f>2667.2+(83.8-483.4)+(0+(0-0))+0-87-0</f>
        <v>2180.6</v>
      </c>
      <c r="K109" s="3">
        <f>2517.9+(114.2-493.2)+(-6.420645+(-0.29121--1.25766))+0-82.5--0.210374999999988</f>
        <v>2051.1561800000004</v>
      </c>
      <c r="L109" s="3">
        <f>2416.7+(140.2-391.1)+(-2.465034+(-0.143004--0.398922))+0-88.1--0.089862000000014</f>
        <v>2075.5807459999996</v>
      </c>
      <c r="M109" s="3">
        <f>2438.8+(139.6-295.2)+(2.487576+(0.142392-0.301104))+0-84.6-0.0862920000000135</f>
        <v>2200.8425720000005</v>
      </c>
      <c r="N109" s="3">
        <f>2729.9+(128.8-400.9)+(1.392249+(0.065688-0.204459))+0-77.5-0.0395249999999921</f>
        <v>2381.5139530000001</v>
      </c>
      <c r="O109" s="3">
        <f>3074.4+(108.8-553.5)+(3.135888+(0.110976-0.56457))+0-80.4-0.0820080000000128</f>
        <v>2551.9002860000005</v>
      </c>
      <c r="P109" s="3">
        <f>3213.2+(112.1-569.7)+(1.638732+(0.057171-0.290547))+0-82-0.0418199999999917</f>
        <v>2674.9635360000002</v>
      </c>
      <c r="Q109" s="3">
        <f>3304.2+(100.6-622.7)+(3.370284+(0.102612-0.635154))+0-46.5-0.0474300000000074</f>
        <v>2738.390312</v>
      </c>
      <c r="R109" s="3">
        <f>3302.9+(103.8-527.6)+(0+(0-0))+0-87.5-0</f>
        <v>2791.6</v>
      </c>
      <c r="S109" s="3">
        <f>3247.6+(98.5-580.3)+(0+(0-0))+0-88.5-0</f>
        <v>2677.3</v>
      </c>
      <c r="T109" s="3">
        <f>3223.2+(101-535.2)+(-1.643832+(-0.05151--0.272952))+0-72.8--0.0371279999999926</f>
        <v>2714.8147379999996</v>
      </c>
      <c r="U109" s="3">
        <f>3215.1+(100.1-544.6)+(-3.279402+(-0.102102--0.555492))+0-81.6--0.083232000000013</f>
        <v>2686.25722</v>
      </c>
      <c r="V109" s="3">
        <f>3202.8+(47.1-520.1)+(0+(0-0))+0-79.5-0</f>
        <v>2650.3</v>
      </c>
      <c r="W109" s="3">
        <f>3192.7+(70.9-620.6)+(-3.256554+(-0.072318--0.633012))+0-36.3--0.0370260000000058</f>
        <v>2604.041166</v>
      </c>
      <c r="X109" s="3">
        <f>3118.4+(75.1-675.3)+(0+(0-0))+0-25.7-0</f>
        <v>2492.5000000000005</v>
      </c>
      <c r="Y109" s="3">
        <f>2952.6+(0-461.6)+(-7.52913+(0--1.17708))+0-85.5--0.218024999999988</f>
        <v>2399.3659750000002</v>
      </c>
      <c r="Z109" s="3">
        <f>3177.5+(0-489.3)+(1.620525+(0-0.249543))+0-86.6-0.0441659999999912</f>
        <v>2602.9268159999997</v>
      </c>
      <c r="AA109" s="3">
        <f>3318.4+(0-595)+(-3.384768+(0--0.6069))+0-79--0.0805800000000126</f>
        <v>2641.7027119999998</v>
      </c>
      <c r="AB109" s="3">
        <f>3322.3+(15.8-662.7)+(0+(0-0))+0-78.9-0</f>
        <v>2596.5</v>
      </c>
      <c r="AC109" s="3">
        <f>3217.9+(84.5-684.3)+(-3.282258+(-0.08619--0.697986))+0-53--0.0540600000000084</f>
        <v>2562.4835980000003</v>
      </c>
      <c r="AD109">
        <v>2635.8</v>
      </c>
      <c r="AE109" s="3">
        <f>3342+(0-609)+(0+(0-0))+0-97.2-0</f>
        <v>2635.8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3097.2+(112.8-696.9)+(-6.318288+(-0.230112--1.421676))+0-66.8--0.136271999999997</f>
        <v>2441.3095479999997</v>
      </c>
      <c r="G110" s="3">
        <f>2906.5+(115.8-598)+(-4.446945+(-0.177174--0.91494))+0-59.9--0.0916470000000035</f>
        <v>2360.7824680000003</v>
      </c>
      <c r="H110" s="3">
        <f>2738.8+(120.1-505)+(-4.190364+(-0.183753--0.77265))+0-67.3--0.102969000000004</f>
        <v>2283.101502</v>
      </c>
      <c r="I110" s="3">
        <f>2693.9+(125.2-508.1)+(-6.869445+(-0.31926--1.295655))+0-81.7--0.208334999999988</f>
        <v>2223.6152849999999</v>
      </c>
      <c r="J110" s="3">
        <f>2641.2+(124.3-484.3)+(-1.347012+(-0.063393--0.246993))+0-88.5--0.045134999999991</f>
        <v>2191.5817229999998</v>
      </c>
      <c r="K110" s="3">
        <f>2584.3+(128.2-566.2)+(-3.953979+(-0.196146--0.866286))+0-86.9--0.132957000000005</f>
        <v>2056.2491179999997</v>
      </c>
      <c r="L110" s="3">
        <f>2450.3+(113-476)+(-4.998612+(-0.23052--0.97104))+0-80.3--0.163811999999996</f>
        <v>2002.9057200000002</v>
      </c>
      <c r="M110" s="3">
        <f>2449.4+(93.5-402.1)+(-2.498388+(-0.09537--0.410142))+0-85.5--0.0872100000000136</f>
        <v>2053.2035940000005</v>
      </c>
      <c r="N110" s="3">
        <f>2561.5+(63.1-464.5)+(1.306365+(0.032181-0.236895))+0-22.9-0.0116789999999977</f>
        <v>2138.2899719999996</v>
      </c>
      <c r="O110" s="3">
        <f>2731.3+(38.2-463.6)+(0+(0-0))+0-47.1-0</f>
        <v>2258.8000000000002</v>
      </c>
      <c r="P110" s="3">
        <f>2958.4+(2.1-533.2)+(3.017568+(0.002142-0.543864))+0-71.3-0.0727260000000114</f>
        <v>2358.4031199999999</v>
      </c>
      <c r="Q110" s="3">
        <f>3058.7+(0-563.8)+(3.119874+(0-0.575076))+0-87-0.0887400000000139</f>
        <v>2410.3560579999994</v>
      </c>
      <c r="R110" s="3">
        <f>3063.2+(14.4-596.3)+(1.562232+(0.007344-0.304113))+0-84.8-0.0432479999999914</f>
        <v>2397.7222149999998</v>
      </c>
      <c r="S110" s="3">
        <f>3072.4+(21.3-594.6)+(0+(0-0))+0-83.9-0</f>
        <v>2415.1999999999998</v>
      </c>
      <c r="T110" s="3">
        <f>3058+(1.2-571.2)+(-3.11916+(-0.001224--0.582624))+0-66.2--0.0675240000000106</f>
        <v>2419.3297640000001</v>
      </c>
      <c r="U110" s="3">
        <f>3054.8+(0-591.5)+(-4.673844+(0--0.904995))+0-77.6--0.118728000000004</f>
        <v>2382.0498790000001</v>
      </c>
      <c r="V110" s="3">
        <f>3085+(0-644.8)+(0+(0-0))+0-70.2-0</f>
        <v>2370</v>
      </c>
      <c r="W110" s="3">
        <f>3012.1+(8.4-663.5)+(-1.536171+(-0.004284--0.338385))+0-24.2--0.0123419999999975</f>
        <v>2331.6102720000004</v>
      </c>
      <c r="X110" s="3">
        <f>2898.5+(31.8-649.4)+(-7.391175+(-0.08109--1.65597))+0-22.5--0.0573749999999967</f>
        <v>2252.6410799999999</v>
      </c>
      <c r="Y110" s="3">
        <f>2684.6+(30.2-442.8)+(-5.476584+(-0.061608--0.903312))+0-66.8--0.136271999999997</f>
        <v>2200.7013919999999</v>
      </c>
      <c r="Z110" s="3">
        <f>2991.6+(3.6-526.1)+(1.525716+(0.001836-0.268311))+0-50.5-0.0257549999999949</f>
        <v>2419.833486</v>
      </c>
      <c r="AA110" s="3">
        <f>3171.7+(1.4-586.8)+(-8.087835+(-0.00357--1.49634))+0-81.3--0.207314999999988</f>
        <v>2498.6122499999997</v>
      </c>
      <c r="AB110" s="3">
        <f>3188.9+(24.6-673)+(-6.505356+(-0.050184--1.37292))+0-25--0.0509999999999989</f>
        <v>2510.3683799999999</v>
      </c>
      <c r="AC110" s="3">
        <f>3142.5+(47.5-704.2)+(-1.602675+(-0.024225--0.359142))+0-23--0.0117299999999977</f>
        <v>2461.5439720000004</v>
      </c>
      <c r="AD110">
        <v>2532.1</v>
      </c>
      <c r="AE110" s="3">
        <f>3201+(5.2-656.5)+(0+(0-0))+0-17.6-0</f>
        <v>2532.1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3050.5+(104.7-690.2)+(0+(0-0))+0-63.5-0</f>
        <v>2401.5</v>
      </c>
      <c r="G111" s="3">
        <f>2820.5+(123.6-598.8)+(-5.75382+(-0.252144--1.221552))+0-73.9--0.150755999999997</f>
        <v>2266.7663440000001</v>
      </c>
      <c r="H111" s="3">
        <f>2709.6+(122.1-583)+(2.763792+(0.124542-0.59466))+0-46.7-0.0476340000000074</f>
        <v>2204.24604</v>
      </c>
      <c r="I111" s="3">
        <f>2683+(129.6-573.8)+(-1.36833+(-0.066096--0.292638))+0-74.9--0.0381989999999924</f>
        <v>2162.7964110000003</v>
      </c>
      <c r="J111" s="3">
        <f>2472.1+(138.5-425.5)+(-3.782313+(-0.211905--0.651015))+0-70.8--0.108324000000004</f>
        <v>2111.0651209999996</v>
      </c>
      <c r="K111" s="3">
        <f>2320.7+(130-367.9)+(-4.734228+(-0.2652--0.750516))+0-75.9--0.154835999999997</f>
        <v>2002.8059239999995</v>
      </c>
      <c r="L111" s="3">
        <f>2223+(123.7-281.9)+(-2.26746+(-0.126174--0.287538))+0-59.9--0.0610980000000095</f>
        <v>2002.855002</v>
      </c>
      <c r="M111" s="3">
        <f>2431.2+(108.4-292.9)+(-3.719736+(-0.165852--0.448137))+0-94.9--0.145197000000005</f>
        <v>2148.5077459999998</v>
      </c>
      <c r="N111" s="3">
        <f>2817.3+(59.9-461.4)+(0+(0-0))+0-71.8-0</f>
        <v>2344</v>
      </c>
      <c r="O111" s="3">
        <f>3183.4+(18.5-596.1)+(1.623534+(0.009435-0.304011))+0-82.8-0.0422279999999916</f>
        <v>2524.2867300000003</v>
      </c>
      <c r="P111" s="3">
        <f>3418.9+(5.6-682.4)+(3.487278+(0.005712-0.696048))+0-79.5-0.0810900000000127</f>
        <v>2665.3158520000002</v>
      </c>
      <c r="Q111" s="3">
        <f>3435+(11-606.4)+(0+(0-0))+0-93-0</f>
        <v>2746.6</v>
      </c>
      <c r="R111" s="3">
        <f>3442.2+(15.2-625.7)+(-1.755522+(-0.007752--0.319107))+0-76.2--0.0388619999999923</f>
        <v>2754.0946949999998</v>
      </c>
      <c r="S111" s="3">
        <f>3428.6+(12.5-610.9)+(-1.748586+(-0.006375--0.311559))+0-86--0.0438599999999913</f>
        <v>2742.8004579999997</v>
      </c>
      <c r="T111" s="3">
        <f>3436.9+(24.2-658.1)+(-1.752819+(-0.012342--0.335631))+0-78.9--0.040238999999992</f>
        <v>2722.710709</v>
      </c>
      <c r="U111" s="3">
        <f>3400.9+(13.5-677.6)+(-5.203377+(-0.020655--1.036728))+0-22.1--0.0338130000000013</f>
        <v>2710.5465090000002</v>
      </c>
      <c r="V111" s="3">
        <f>3385.7+(10.5-637.5)+(0+(0-0))+0-77.2-0</f>
        <v>2681.5</v>
      </c>
      <c r="W111" s="3">
        <f>3356.1+(7.4-668.8)+(-5.134833+(-0.011322--1.023264))+0-73.7--0.112761000000004</f>
        <v>2616.9898699999999</v>
      </c>
      <c r="X111" s="3">
        <f>3239.3+(2-673.7)+(-9.912258+(-0.00612--2.061522))+0-67.7--0.207162000000008</f>
        <v>2492.2503060000008</v>
      </c>
      <c r="Y111" s="3">
        <f>2906.5+(0-462.6)+(-2.96463+(0--0.471852))+0-25.5--0.0260100000000041</f>
        <v>2415.9332320000003</v>
      </c>
      <c r="Z111" s="3">
        <f>3208+(0-580)+(1.63608+(0-0.2958))+0-25.4-0.0129539999999974</f>
        <v>2603.927326</v>
      </c>
      <c r="AA111" s="3">
        <f>3499.9+(0-732.1)+(-1.784949+(0--0.373371))+0-85.9--0.0438089999999913</f>
        <v>2680.5322309999997</v>
      </c>
      <c r="AB111" s="3">
        <f>3429.7+(0-706.7)+(-1.749147+(0--0.360417))+0-85.4--0.0435539999999913</f>
        <v>2636.2548239999996</v>
      </c>
      <c r="AC111" s="3">
        <f>3345.8+(18.2-699.4)+(1.706358+(0.009282-0.356694))+0-81.7-0.0416669999999917</f>
        <v>2584.2172790000004</v>
      </c>
      <c r="AD111">
        <v>2661.7999999999997</v>
      </c>
      <c r="AE111" s="3">
        <f>3479+(0-782.3)+(0+(0-0))+0-34.9-0</f>
        <v>2661.7999999999997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3104+(48.5-683.7)+(1.58304+(0.024735-0.348687))+0-23.5-0.0119849999999976</f>
        <v>2446.5471029999999</v>
      </c>
      <c r="G112" s="3">
        <f>2819.1+(78.5-540.9)+(0+(0-0))+0-25.3-0</f>
        <v>2331.3999999999996</v>
      </c>
      <c r="H112" s="3">
        <f>2695.1+(98.5-432.5)+(1.374501+(0.050235-0.220575))+0-93.3-0.0475829999999905</f>
        <v>2268.9565779999998</v>
      </c>
      <c r="I112" s="3">
        <f>2656+(126.9-497.9)+(-2.70912+(-0.129438--0.507858))+0-73.2--0.0746640000000117</f>
        <v>2209.5439640000004</v>
      </c>
      <c r="J112" s="3">
        <f>2523.9+(100.2-384.4)+(-2.574378+(-0.102204--0.392088))+0-80.8--0.0824160000000129</f>
        <v>2156.6979220000003</v>
      </c>
      <c r="K112" s="3">
        <f>2511.2+(107.8-474.3)+(-6.40356+(-0.27489--1.209465))+0-81.3--0.207314999999988</f>
        <v>2058.1383299999998</v>
      </c>
      <c r="L112" s="3">
        <f>2519.5+(110.8-495.7)+(-3.854835+(-0.169524--0.758421))+0-79--0.120870000000005</f>
        <v>2052.4549320000001</v>
      </c>
      <c r="M112" s="3">
        <f>2671.9+(101.6-500.2)+(1.362669+(0.051816-0.255102))+0-61.1-0.0311609999999938</f>
        <v>2213.3282220000006</v>
      </c>
      <c r="N112" s="3">
        <f>2945.8+(56.4-525.2)+(0+(0-0))+0-78.3-0</f>
        <v>2398.6999999999998</v>
      </c>
      <c r="O112" s="3">
        <f>3109+(12.8-497.6)+(-3.17118+(-0.013056--0.507552))+0-75.3--0.076806000000012</f>
        <v>2546.3001219999996</v>
      </c>
      <c r="P112" s="3">
        <f>3290.2+(2-567.8)+(0+(0-0))+0-83-0</f>
        <v>2641.3999999999996</v>
      </c>
      <c r="Q112" s="3">
        <f>3471.7+(0-647.2)+(-3.541134+(0--0.660144))+0-75.5--0.077010000000012</f>
        <v>2746.1960199999999</v>
      </c>
      <c r="R112" s="3">
        <f>3483.1+(0-623.3)+(-1.776381+(0--0.317883))+0-80.7--0.0411569999999918</f>
        <v>2777.6826590000005</v>
      </c>
      <c r="S112" s="3">
        <f>3477.9+(0-640.3)+(-1.773729+(0--0.326553))+0-86.8--0.0442679999999912</f>
        <v>2749.3970920000002</v>
      </c>
      <c r="T112" s="3">
        <f>3444.4+(0-626.1)+(-5.269932+(0--0.957933))+0-82.2--0.125766000000005</f>
        <v>2731.9137670000005</v>
      </c>
      <c r="U112" s="3">
        <f>3424.9+(17.4-646.1)+(0+(0-0))+0-83-0</f>
        <v>2713.2</v>
      </c>
      <c r="V112" s="3">
        <f>3410.9+(4.8-644.9)+(-1.739559+(-0.002448--0.328899))+0-87.6--0.0446759999999911</f>
        <v>2681.8315680000001</v>
      </c>
      <c r="W112" s="3">
        <f>3332.1+(9.3-629.3)+(-8.496855+(-0.023715--1.604715))+0-74.1--0.188954999999989</f>
        <v>2631.2730999999999</v>
      </c>
      <c r="X112" s="3">
        <f>3226.7+(12.7-690.9)+(-11.519319+(-0.045339--2.466513))+0-86.2--0.307734000000001</f>
        <v>2453.5095890000002</v>
      </c>
      <c r="Y112" s="3">
        <f>3088.4+(4-634.1)+(1.575084+(0.00204-0.323391))+0-91.2-0.0465119999999907</f>
        <v>2368.3072210000005</v>
      </c>
      <c r="Z112" s="3">
        <f>3243.1+(0-605.9)+(3.307962+(0-0.618018))+0-67.7-0.0690540000000108</f>
        <v>2572.1208900000001</v>
      </c>
      <c r="AA112" s="3">
        <f>3467.6+(5.5-746.3)+(-8.84238+(-0.014025--1.903065))+0-83.2--0.212159999999988</f>
        <v>2636.8588200000004</v>
      </c>
      <c r="AB112" s="3">
        <f>3357+(50.5-725.1)+(-5.13621+(-0.077265--1.109403))+0-86.4--0.132192000000005</f>
        <v>2592.0281199999999</v>
      </c>
      <c r="AC112" s="3">
        <f>3123.3+(120.1-619.5)+(-1.592883+(-0.061251--0.315945))+0-90.6--0.0462059999999908</f>
        <v>2532.0080170000001</v>
      </c>
      <c r="AD112">
        <v>2708.2999999999997</v>
      </c>
      <c r="AE112" s="3">
        <f>3508+(7.7-711)+(0+(0-0))+0-96.4-0</f>
        <v>2708.2999999999997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3061.5+(122.9-630.5)+(-4.684095+(-0.188037--0.964665))+0-72.8--0.111384000000004</f>
        <v>2477.3039169999997</v>
      </c>
      <c r="G113" s="3">
        <f>2894.4+(126-615.7)+(-7.38072+(-0.3213--1.570035))+0-67.9--0.17314499999999</f>
        <v>2330.8411599999999</v>
      </c>
      <c r="H113" s="3">
        <f>2779.8+(128.9-557.2)+(-1.417698+(-0.065739--0.284172))+0-72.7--0.0370769999999926</f>
        <v>2277.6378119999999</v>
      </c>
      <c r="I113" s="3">
        <f>2694.8+(129.5-511.2)+(-4.123044+(-0.198135--0.782136))+0-76--0.116280000000004</f>
        <v>2233.6772370000003</v>
      </c>
      <c r="J113" s="3">
        <f>2517+(127.5-398.9)+(-1.28367+(-0.065025--0.203439))+0-64.9--0.0330989999999934</f>
        <v>2179.5878430000002</v>
      </c>
      <c r="K113" s="3">
        <f>2442.3+(130.1-420.5)+(-12.45573+(-0.66351--2.14455))+0-82.4--0.420240000000006</f>
        <v>2058.9455499999999</v>
      </c>
      <c r="L113" s="3">
        <f>2453.9+(119.3-441.3)+(-7.508934+(-0.365058--1.350378))+0-74.8--0.228888000000009</f>
        <v>2050.8052739999998</v>
      </c>
      <c r="M113" s="3">
        <f>2694.5+(107.6-519.9)+(2.74839+(0.109752-0.530298))+0-77.8-0.0793560000000124</f>
        <v>2206.6484879999994</v>
      </c>
      <c r="N113" s="3">
        <f>2969.8+(96.5-574)+(3.029196+(0.09843-0.58548))+0-85.7-0.0874140000000137</f>
        <v>2409.0547320000001</v>
      </c>
      <c r="O113" s="3">
        <f>3111.8+(85.7-566.2)+(-3.174036+(-0.087414--0.577524))+0-78.4--0.0799680000000125</f>
        <v>2550.2960419999999</v>
      </c>
      <c r="P113" s="3">
        <f>3331+(82-571)+(1.69881+(0.04182-0.29121))+0-77-0.0392699999999922</f>
        <v>2766.4101499999997</v>
      </c>
      <c r="Q113" s="3">
        <f>3393+(80-596.3)+(1.73043+(0.0408-0.304113))+0-79-0.040289999999992</f>
        <v>2799.126827</v>
      </c>
      <c r="R113" s="3">
        <f>3346.7+(37.1-565.3)+(0+(0-0))+0-31.2-0</f>
        <v>2787.3</v>
      </c>
      <c r="S113" s="3">
        <f>3330.3+(40.9-522.2)+(1.698453+(0.020859-0.266322))+0-67.9-0.0346289999999931</f>
        <v>2782.5183610000004</v>
      </c>
      <c r="T113" s="3">
        <f>3365.7+(47.8-578.6)+(3.433014+(0.048756-0.590172))+0-77.7-0.0792540000000124</f>
        <v>2760.0123439999998</v>
      </c>
      <c r="U113" s="3">
        <f>3336.3+(34.3-564.9)+(-5.104539+(-0.052479--0.864297))+0-60--0.0918000000000035</f>
        <v>2741.4990790000006</v>
      </c>
      <c r="V113" s="3">
        <f>3311.4+(35.1-534.1)+(-1.688814+(-0.017901--0.272391))+0-83.8--0.0427379999999915</f>
        <v>2727.2084140000002</v>
      </c>
      <c r="W113" s="3">
        <f>3336+(29.4-651.2)+(-6.80544+(-0.059976--1.328448))+0-49.3--0.100571999999998</f>
        <v>2659.4636039999996</v>
      </c>
      <c r="X113" s="3">
        <f>3190.6+(27.9-665)+(-6.508824+(-0.056916--1.3566))+0-25.3--0.0516119999999989</f>
        <v>2523.0424720000001</v>
      </c>
      <c r="Y113" s="3">
        <f>2932+(40.1-465.1)+(-4.48596+(-0.061353--0.711603))+0-70.8--0.108324000000004</f>
        <v>2432.4726139999998</v>
      </c>
      <c r="Z113" s="3">
        <f>3307.1+(0-568.4)+(1.686621+(0-0.289884))+0-86.6-0.0441659999999912</f>
        <v>2653.4525709999998</v>
      </c>
      <c r="AA113" s="3">
        <f>3508.6+(0-704.4)+(-5.368158+(0--1.077732))+0-84.9--0.129897000000005</f>
        <v>2715.1394709999995</v>
      </c>
      <c r="AB113" s="3">
        <f>3397+(31.9-688.4)+(-1.73247+(-0.016269--0.351084))+0-70--0.0356999999999929</f>
        <v>2669.1380449999997</v>
      </c>
      <c r="AC113" s="3">
        <f>3208.2+(106.5-620.1)+(-3.272364+(-0.10863--0.632502))+0-81--0.0826200000000129</f>
        <v>2610.9341279999999</v>
      </c>
      <c r="AD113">
        <v>2705.5</v>
      </c>
      <c r="AE113" s="3">
        <f>3550+(0-748.4)+(0+(0-0))+0-96.1-0</f>
        <v>2705.5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3015.5+(117.7-570.4)+(-3.07581+(-0.120054--0.581808))+0-82.2--0.0838440000000131</f>
        <v>2478.0697880000007</v>
      </c>
      <c r="G114" s="3">
        <f>2859.4+(111.5-543.8)+(-8.749764+(-0.34119--1.664028))+0-84.7--0.25918200000001</f>
        <v>2335.2322560000007</v>
      </c>
      <c r="H114" s="3">
        <f>2816.3+(117.5-586.7)+(-1.436313+(-0.059925--0.299217))+0-73.5--0.0374849999999925</f>
        <v>2272.4404640000002</v>
      </c>
      <c r="I114" s="3">
        <f>2607.9+(121-437.9)+(-5.320116+(-0.24684--0.893316))+0-83.4--0.170135999999996</f>
        <v>2203.0964960000001</v>
      </c>
      <c r="J114" s="3">
        <f>2579.7+(110.7-448.6)+(1.315647+(0.056457-0.228786))+0-86.1-0.0439109999999913</f>
        <v>2156.7994069999995</v>
      </c>
      <c r="K114" s="3">
        <f>2496.8+(120-477.6)+(-1.273368+(-0.0612--0.243576))+0-82.6--0.0421259999999916</f>
        <v>2055.5511340000003</v>
      </c>
      <c r="L114" s="3">
        <f>2293.5+(106.8-325.5)+(-5.848425+(-0.27234--0.830025))+0-22.8--0.0581399999999967</f>
        <v>2046.7674000000004</v>
      </c>
      <c r="M114" s="3">
        <f>2350.9+(101.5-233)+(0+(0-0))+0-21.4-0</f>
        <v>2198</v>
      </c>
      <c r="N114" s="3">
        <f>2648.3+(91.5-312.8)+(0+(0-0))+0-19.1-0</f>
        <v>2407.9</v>
      </c>
      <c r="O114" s="3">
        <f>2948.3+(75.3-473)+(1.503633+(0.038403-0.24123))+0-23.7-0.0120869999999976</f>
        <v>2528.1887190000007</v>
      </c>
      <c r="P114" s="3">
        <f>3260.5+(69-595.7)+(-1.662855+(-0.03519--0.303807))+0-18.7--0.0095369999999981</f>
        <v>2713.7152990000004</v>
      </c>
      <c r="Q114" s="3">
        <f>3336.4+(52.9-592.5)+(3.403128+(0.053958-0.60435))+0-19.6-0.0199920000000031</f>
        <v>2780.0327440000001</v>
      </c>
      <c r="R114" s="3">
        <f>3452.2+(49.7-677.6)+(7.042488+(0.101388-1.382304))+0-18.3-0.0373319999999992</f>
        <v>2811.7242399999996</v>
      </c>
      <c r="S114" s="3">
        <f>3420.3+(68-668.6)+(-1.744353+(-0.03468--0.340986))+0-19.6--0.00999599999999801</f>
        <v>2798.671949</v>
      </c>
      <c r="T114" s="3">
        <f>3387.6+(56.7-622.8)+(-1.727676+(-0.028917--0.317628))+0-19.8--0.010097999999998</f>
        <v>2800.2711330000002</v>
      </c>
      <c r="U114" s="3">
        <f>3368.4+(51.6-591)+(-3.435768+(-0.052632--0.60282))+0-54.1--0.0551820000000086</f>
        <v>2772.069602</v>
      </c>
      <c r="V114" s="3">
        <f>3250.7+(43.9-474.4)+(-3.315714+(-0.044778--0.483888))+0-84.6--0.0862920000000135</f>
        <v>2732.8096879999998</v>
      </c>
      <c r="W114" s="3">
        <f>3231.9+(61.9-523.6)+(-4.944807+(-0.094707--0.801108))+0-89.6--0.137088000000005</f>
        <v>2676.4986819999999</v>
      </c>
      <c r="X114" s="3">
        <f>3036.1+(71.2-505.5)+(-9.290466+(-0.217872--1.54683))+0-51--0.156060000000006</f>
        <v>2542.9945519999997</v>
      </c>
      <c r="Y114" s="3">
        <f>2795.7+(53.7-337)+(-2.851614+(-0.054774--0.34374))+0-45.7--0.0466140000000073</f>
        <v>2464.1839659999996</v>
      </c>
      <c r="Z114" s="3">
        <f>3250.3+(0-485.6)+(4.972959+(0-0.742968))+0-90.3-0.138159000000005</f>
        <v>2678.4918320000002</v>
      </c>
      <c r="AA114" s="3">
        <f>3515.1+(0-677.1)+(-5.378103+(0--1.035963))+0-89.2--0.136476000000005</f>
        <v>2744.5943360000001</v>
      </c>
      <c r="AB114" s="3">
        <f>3406.2+(35.1-658.9)+(3.474324+(0.035802-0.672078))+0-87.7-0.089454000000014</f>
        <v>2697.448594</v>
      </c>
      <c r="AC114" s="3">
        <f>3292.6+(53.5-610.7)+(-6.716904+(-0.10914--1.245828))+0-80.1--0.163403999999996</f>
        <v>2649.8831879999998</v>
      </c>
      <c r="AD114">
        <v>2742.2999999999997</v>
      </c>
      <c r="AE114" s="3">
        <f>3523+(0-686.4)+(0+(0-0))+0-94.3-0</f>
        <v>2742.2999999999997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3136.7+(96.5-616.9)+(0+(0-0))+0-72.7-0</f>
        <v>2543.6</v>
      </c>
      <c r="G115" s="3">
        <f>2996.5+(100.7-604.3)+(0+(0-0))+0-90.5-0</f>
        <v>2402.4</v>
      </c>
      <c r="H115" s="3">
        <f>2944.8+(115.5-617.9)+(-4.505544+(-0.176715--0.945387))+0-84.6--0.129438000000005</f>
        <v>2354.1925660000002</v>
      </c>
      <c r="I115" s="3">
        <f>2777.8+(114.8-510.8)+(-5.666712+(-0.234192--1.042032))+0-75.7--0.154427999999997</f>
        <v>2301.3955560000004</v>
      </c>
      <c r="J115" s="3">
        <f>2498.8+(113.5-274.8)+(-3.823164+(-0.173655--0.420444))+0-75.4--0.115362000000004</f>
        <v>2258.6389869999998</v>
      </c>
      <c r="K115" s="3">
        <f>2448.1+(120.2-352.1)+(-8.739717+(-0.429114--1.256997))+0-75.6--0.269892000000001</f>
        <v>2132.9580579999997</v>
      </c>
      <c r="L115" s="3">
        <f>2446.8+(108.9-310.6)+(-8.735076+(-0.388773--1.108842))+0-91.2--0.325584000000001</f>
        <v>2146.2105770000007</v>
      </c>
      <c r="M115" s="3">
        <f>2549.2+(95-276.4)+(2.600184+(0.0969-0.281928))+0-68.5-0.0698700000000109</f>
        <v>2301.6452859999999</v>
      </c>
      <c r="N115" s="3">
        <f>2918.9+(59.3-460.9)+(4.465917+(0.090729-0.705177))+0-38.7-0.0592110000000022</f>
        <v>2482.3922580000008</v>
      </c>
      <c r="O115" s="3">
        <f>3136.1+(33.6-469.6)+(0+(0-0))+0-85.5-0</f>
        <v>2614.6</v>
      </c>
      <c r="P115" s="3">
        <f>3346.5+(5.8-508.8)+(0+(0-0))+0-81.8-0</f>
        <v>2761.7</v>
      </c>
      <c r="Q115" s="3">
        <f>3453.3+(25.9-580.6)+(-5.283549+(-0.039627--0.888318))+0-79.4--0.121482000000005</f>
        <v>2814.8866240000002</v>
      </c>
      <c r="R115" s="3">
        <f>3514+(31.7-591.7)+(-5.37642+(-0.048501--0.905301))+0-87.7--0.134181000000005</f>
        <v>2861.914561</v>
      </c>
      <c r="S115" s="3">
        <f>3492.4+(24.9-607.8)+(-3.562248+(-0.025398--0.619956))+0-77.9--0.0794580000000124</f>
        <v>2828.7117680000001</v>
      </c>
      <c r="T115" s="3">
        <f>3472.6+(51.5-624.2)+(-7.084104+(-0.10506--1.273368))+0-76.8--0.156671999999997</f>
        <v>2817.3408759999993</v>
      </c>
      <c r="U115" s="3">
        <f>3399.8+(71.6-601.8)+(-8.66949+(-0.18258--1.53459))+0-86.5--0.220574999999987</f>
        <v>2776.003095</v>
      </c>
      <c r="V115" s="3">
        <f>3313.2+(65.5-552.7)+(-10.138392+(-0.20043--1.691262))+0-81.6--0.249696000000009</f>
        <v>2736.0021360000001</v>
      </c>
      <c r="W115" s="3">
        <f>3345.7+(67.2-659.7)+(-10.237842+(-0.205632--2.018682))+0-77.4--0.236844000000009</f>
        <v>2667.6120519999999</v>
      </c>
      <c r="X115" s="3">
        <f>3208.6+(79.4-657.3)+(-9.818316+(-0.242964--2.011338))+0-63.4--0.194004000000007</f>
        <v>2559.4440619999996</v>
      </c>
      <c r="Y115" s="3">
        <f>2914+(52.9-400.1)+(-7.4307+(-0.134895--1.020255))+0-84.2--0.214709999999988</f>
        <v>2476.2693700000004</v>
      </c>
      <c r="Z115" s="3">
        <f>3253+(0-549.8)+(0+(0-0))+0-62.8-0</f>
        <v>2640.3999999999996</v>
      </c>
      <c r="AA115" s="3">
        <f>3468.6+(0-684.6)+(-8.84493+(0--1.74573))+0-90.4--0.230519999999987</f>
        <v>2686.7313199999999</v>
      </c>
      <c r="AB115" s="3">
        <f>3382.1+(52.9-696.3)+(-13.798968+(-0.215832--2.840904))+0-85.2--0.347615999999993</f>
        <v>2642.6737200000002</v>
      </c>
      <c r="AC115" s="3">
        <f>3282.8+(102.8-682.2)+(-1.674228+(-0.052428--0.347922))+0-81.6--0.0416159999999917</f>
        <v>2620.4628820000003</v>
      </c>
      <c r="AD115">
        <v>2693.4999999999995</v>
      </c>
      <c r="AE115" s="3">
        <f>3471+(1.6-681.2)+(0+(0-0))+0-97.9-0</f>
        <v>2693.5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3089.2+(139.3-665.1)+(0+(0-0))+0-78.1-0</f>
        <v>2485.2999999999997</v>
      </c>
      <c r="G116" s="3">
        <f>2909.2+(142.1-600)+(1.483692+(0.072471-0.306))+0-81.4-0.0415139999999917</f>
        <v>2371.1086489999998</v>
      </c>
      <c r="H116" s="3">
        <f>2665.1+(141-432)+(-1.359201+(-0.07191--0.22032))+0-79.5--0.0405449999999919</f>
        <v>2293.4297539999998</v>
      </c>
      <c r="I116" s="3">
        <f>2585.5+(140.4-412)+(-1.318605+(-0.071604--0.21012))+0-75.9--0.0387089999999923</f>
        <v>2236.85862</v>
      </c>
      <c r="J116" s="3">
        <f>2537.8+(142.2-406.6)+(-3.882834+(-0.217566--0.622098))+0-78--0.119340000000005</f>
        <v>2192.0410380000003</v>
      </c>
      <c r="K116" s="3">
        <f>2405.7+(141.7-418.6)+(-6.134535+(-0.361335--1.06743))+0-24.8--0.0632399999999964</f>
        <v>2098.6347999999994</v>
      </c>
      <c r="L116" s="3">
        <f>2376.8+(141-359.1)+(-2.424336+(-0.14382--0.366282))+0-68.8--0.070176000000011</f>
        <v>2087.7683020000004</v>
      </c>
      <c r="M116" s="3">
        <f>2516.9+(140.7-357.4)+(1.283619+(0.071757-0.182274))+0-73-0.0372299999999926</f>
        <v>2228.3358720000006</v>
      </c>
      <c r="N116" s="3">
        <f>2824.3+(140.3-460.7)+(1.440393+(0.071553-0.234957))+0-90.3-0.0460529999999908</f>
        <v>2414.8309359999998</v>
      </c>
      <c r="O116" s="3">
        <f>3050.8+(125.7-553.3)+(-3.111816+(-0.128214--0.564366))+0-83.2--0.0848640000000133</f>
        <v>2537.4092000000005</v>
      </c>
      <c r="P116" s="3">
        <f>3234.2+(108.5-599.1)+(0+(0-0))+0-84.7-0</f>
        <v>2658.9</v>
      </c>
      <c r="Q116" s="3">
        <f>3322+(107.9-654.4)+(3.38844+(0.110058-0.667488))+0-71.6-0.0730320000000114</f>
        <v>2706.6579780000002</v>
      </c>
      <c r="R116" s="3">
        <f>3269.5+(105.3-624.2)+(0+(0-0))+0-25.7-0</f>
        <v>2724.9</v>
      </c>
      <c r="S116" s="3">
        <f>3289.5+(98.9-646.6)+(-6.71058+(-0.201756--1.319064))+0-56--0.114239999999998</f>
        <v>2680.320968</v>
      </c>
      <c r="T116" s="3">
        <f>3259.6+(101-616.7)+(-6.649584+(-0.20604--1.258068))+0-81.2--0.165647999999996</f>
        <v>2657.2680919999998</v>
      </c>
      <c r="U116" s="3">
        <f>3237.7+(98.8-630.4)+(-8.256135+(-0.25194--1.60752))+0-81.9--0.208844999999988</f>
        <v>2617.5082899999998</v>
      </c>
      <c r="V116" s="3">
        <f>3211.3+(78.5-671.2)+(-6.551052+(-0.16014--1.369248))+0-65.2--0.133007999999997</f>
        <v>2548.1910640000006</v>
      </c>
      <c r="W116" s="3">
        <f>3196+(111-720.3)+(-8.1498+(-0.28305--1.836765))+0-87.7--0.223634999999987</f>
        <v>2492.6275499999997</v>
      </c>
      <c r="X116" s="3">
        <f>2954.6+(127.2-595.8)+(-12.054768+(-0.518976--2.430864))+0-93.6--0.381887999999992</f>
        <v>2382.6390080000001</v>
      </c>
      <c r="Y116" s="3">
        <f>2593.5+(119.7-330)+(-7.93611+(-0.366282--1.0098))+0-88--0.26928000000001</f>
        <v>2288.176688</v>
      </c>
      <c r="Z116" s="3">
        <f>3153.3+(26-588.7)+(-1.608183+(-0.01326--0.300237))+0-86.7--0.0442169999999912</f>
        <v>2502.6230110000006</v>
      </c>
      <c r="AA116" s="3">
        <f>3234.8+(26.2-658.7)+(-9.898488+(-0.080172--2.015622))+0-75.2--0.230112000000009</f>
        <v>2519.3670740000007</v>
      </c>
      <c r="AB116" s="3">
        <f>3140.5+(96.3-701)+(-6.40662+(-0.196452--1.43004))+0-73.4--0.149735999999997</f>
        <v>2457.3767039999998</v>
      </c>
      <c r="AC116" s="3">
        <f>2937.3+(143.5-569)+(1.498023+(0.073185-0.29019))+0-90.7-0.0462569999999908</f>
        <v>2422.3347610000005</v>
      </c>
      <c r="AD116">
        <v>2485.7999999999997</v>
      </c>
      <c r="AE116" s="3">
        <f>3215+(43.5-750.4)+(0+(0-0))+0-22.3-0</f>
        <v>2485.7999999999997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2846.8+(142-588.6)+(1.451868+(0.07242-0.300186))+0-84.5-0.0430949999999914</f>
        <v>2316.8810070000004</v>
      </c>
      <c r="G117" s="3">
        <f>2680.9+(141.5-525)+(-2.734518+(-0.14433--0.5355))+0-68.9--0.070278000000011</f>
        <v>2226.2269300000003</v>
      </c>
      <c r="H117" s="3">
        <f>2504.2+(141.8-420.6)+(-3.831426+(-0.216954--0.643518))+0-94--0.143820000000005</f>
        <v>2128.1389579999995</v>
      </c>
      <c r="I117" s="3">
        <f>2409.5+(142.1-370.1)+(-1.228845+(-0.072471--0.188751))+0-94.1--0.0479909999999905</f>
        <v>2086.3354260000001</v>
      </c>
      <c r="J117" s="3">
        <f>2371+(121.3-344.3)+(1.20921+(0.061863-0.175593))+0-86.3-0.0440129999999912</f>
        <v>2062.7514669999996</v>
      </c>
      <c r="K117" s="3">
        <f>2268.8+(80.1-320.5)+(-8.099616+(-0.285957--1.144185))+0-83.3--0.297381000000001</f>
        <v>1938.1559930000003</v>
      </c>
      <c r="L117" s="3">
        <f>2095.6+(78.9-198.5)+(-3.206268+(-0.120717--0.303705))+0-88.6--0.135558000000005</f>
        <v>1884.5122779999999</v>
      </c>
      <c r="M117" s="3">
        <f>2060.3+(83-143.9)+(-4.203012+(-0.16932--0.293556))+0-77--0.157079999999997</f>
        <v>1918.478304</v>
      </c>
      <c r="N117" s="3">
        <f>2129.1+(86.2-150.4)+(-2.171682+(-0.087924--0.153408))+0-84.3--0.0859860000000134</f>
        <v>1978.5797880000002</v>
      </c>
      <c r="O117" s="3">
        <f>2237.1+(74.7-177.3)+(0+(0-0))+0-87.7-0</f>
        <v>2046.8</v>
      </c>
      <c r="P117" s="3">
        <f>2430.6+(74.3-290.1)+(3.718818+(0.113679-0.443853))+0-85.7-0.131121000000005</f>
        <v>2132.3575230000001</v>
      </c>
      <c r="Q117" s="3">
        <f>2475+(79.9-278.3)+(2.5245+(0.081498-0.283866))+0-89.6-0.0913920000000143</f>
        <v>2189.23074</v>
      </c>
      <c r="R117" s="3">
        <f>2542.5+(76.2-317.9)+(-1.296675+(-0.038862--0.162129))+0-85.3--0.0435029999999913</f>
        <v>2214.3700949999998</v>
      </c>
      <c r="S117" s="3">
        <f>2597.7+(104.5-388.9)+(2.649654+(0.10659-0.396678))+0-86.4-0.0881280000000138</f>
        <v>2229.1714379999999</v>
      </c>
      <c r="T117" s="3">
        <f>2589.2+(105.1-393.8)+(0+(0-0))+0-75.2-0</f>
        <v>2225.3000000000002</v>
      </c>
      <c r="U117" s="3">
        <f>2552.2+(97.4-366.2)+(-2.603244+(-0.099348--0.373524))+0-82.4--0.0840480000000131</f>
        <v>2198.7549799999997</v>
      </c>
      <c r="V117" s="3">
        <f>2541.9+(98-390)+(-5.185476+(-0.19992--0.7956))+0-86.3--0.176051999999996</f>
        <v>2159.1862559999995</v>
      </c>
      <c r="W117" s="3">
        <f>2476.2+(124.7-396.1)+(-1.262862+(-0.063597--0.202011))+0-73.2--0.0373319999999926</f>
        <v>2130.5128839999998</v>
      </c>
      <c r="X117" s="3">
        <f>2391.9+(121.8-334)+(-1.219869+(-0.062118--0.17034))+0-93.6--0.0477359999999905</f>
        <v>2085.0360890000002</v>
      </c>
      <c r="Y117" s="3">
        <f>2266.1+(117.3-230.2)+(-4.622844+(-0.239292--0.469608))+0-86.1--0.175643999999996</f>
        <v>2062.883116</v>
      </c>
      <c r="Z117" s="3">
        <f>2544.3+(65.4-229.6)+(-2.595186+(-0.066708--0.234192))+0-88.9--0.0906780000000142</f>
        <v>2288.8629760000003</v>
      </c>
      <c r="AA117" s="3">
        <f>2777.9+(74.1-439.4)+(-4.250187+(-0.113373--0.672282))+0-79.9--0.122247000000005</f>
        <v>2329.1309690000003</v>
      </c>
      <c r="AB117" s="3">
        <f>2756.4+(121.7-484.8)+(-8.434584+(-0.372402--1.483488))+0-74.6--0.228276000000009</f>
        <v>2311.6047779999999</v>
      </c>
      <c r="AC117" s="3">
        <f>2738+(142.4-582.5)+(4.18914+(0.217872-0.891225))+0-23.4-0.0358020000000013</f>
        <v>2277.9799849999999</v>
      </c>
      <c r="AD117">
        <v>2336.3000000000002</v>
      </c>
      <c r="AE117" s="3">
        <f>2780+(66.8-423.4)+(0+(0-0))+0-87.1-0</f>
        <v>2336.3000000000002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2625.9+(142.8-530.6)+(-2.678418+(-0.145656--0.541212))+0-71.7--0.0731340000000114</f>
        <v>2164.1902720000003</v>
      </c>
      <c r="G118" s="3">
        <f>2498.6+(142.8-476)+(-8.920002+(-0.509796--1.69932))+0-90.7--0.323799000000001</f>
        <v>2067.2933210000001</v>
      </c>
      <c r="H118" s="3">
        <f>2515.7+(143.2-554.4)+(0+(0-0))+0-89.8-0</f>
        <v>2014.7</v>
      </c>
      <c r="I118" s="3">
        <f>2354.5+(143.3-437.6)+(-1.200795+(-0.073083--0.223176))+0-80.5--0.0410549999999918</f>
        <v>1978.6903529999997</v>
      </c>
      <c r="J118" s="3">
        <f>2209.5+(143.6-370.7)+(0+(0-0))+0-42-0</f>
        <v>1940.4</v>
      </c>
      <c r="K118" s="3">
        <f>2112.5+(143.5-336.4)+(1.077375+(0.073185-0.171564))+0-82.9-0.0422789999999916</f>
        <v>1837.6367169999999</v>
      </c>
      <c r="L118" s="3">
        <f>2066.8+(143.1-330.6)+(-4.216272+(-0.291924--0.674424))+0-44.2--0.0901679999999981</f>
        <v>1831.3563960000001</v>
      </c>
      <c r="M118" s="3">
        <f>2119.9+(141.6-258.6)+(0+(0-0))+0-40.3-0</f>
        <v>1962.6000000000001</v>
      </c>
      <c r="N118" s="3">
        <f>2301.4+(140.3-308.6)+(-1.173714+(-0.071553--0.157386))+0-24.6--0.0125459999999975</f>
        <v>2107.424665</v>
      </c>
      <c r="O118" s="3">
        <f>2456+(138.9-336.5)+(0+(0-0))+0-23-0</f>
        <v>2235.4</v>
      </c>
      <c r="P118" s="3">
        <f>2648.1+(109.5-381.2)+(0+(0-0))+0-28.2-0</f>
        <v>2348.2000000000003</v>
      </c>
      <c r="Q118" s="3">
        <f>2770.9+(102.1-441.7)+(1.413159+(0.052071-0.225267))+0-21.3-0.0108629999999978</f>
        <v>2411.2291</v>
      </c>
      <c r="R118" s="3">
        <f>2808.8+(94.3-449.7)+(0+(0-0))+0-21.2-0</f>
        <v>2432.2000000000003</v>
      </c>
      <c r="S118" s="3">
        <f>2773.1+(107.7-362.9)+(0+(0-0))+0-95-0</f>
        <v>2422.9</v>
      </c>
      <c r="T118" s="3">
        <f>2816.1+(106-404.3)+(-2.872422+(-0.10812--0.412386))+0-84.6--0.0862920000000135</f>
        <v>2430.718136</v>
      </c>
      <c r="U118" s="3">
        <f>2829.4+(108.9-430.9)+(-2.885988+(-0.111078--0.439518))+0-79.4--0.0809880000000127</f>
        <v>2425.5234399999999</v>
      </c>
      <c r="V118" s="3">
        <f>2796.1+(106.4-439.1)+(0+(0-0))+0-66.8-0</f>
        <v>2396.5999999999995</v>
      </c>
      <c r="W118" s="3">
        <f>2791.6+(113-451)+(-1.423716+(-0.05763--0.23001))+0-80.9--0.0412589999999918</f>
        <v>2371.4899230000001</v>
      </c>
      <c r="X118" s="3">
        <f>2816+(111.3-577.2)+(-2.87232+(-0.113526--0.588744))+0-51.3--0.0523260000000082</f>
        <v>2296.4552239999998</v>
      </c>
      <c r="Y118" s="3">
        <f>2817.6+(110.1-636.2)+(-1.436976+(-0.056151--0.324462))+0-25.6--0.0130559999999974</f>
        <v>2264.7443909999997</v>
      </c>
      <c r="Z118" s="3">
        <f>3004.7+(51.8-534.3)+(1.532397+(0.026418-0.272493))+0-68.3-0.0348329999999931</f>
        <v>2455.1514889999994</v>
      </c>
      <c r="AA118" s="3">
        <f>3129.4+(43.1-640.9)+(-9.575964+(-0.131886--1.961154))+0-82.7--0.25306200000001</f>
        <v>2441.4063660000006</v>
      </c>
      <c r="AB118" s="3">
        <f>2985.8+(105-630.7)+(-4.568274+(-0.16065--0.964971))+0-78.4--0.119952000000005</f>
        <v>2378.0559990000002</v>
      </c>
      <c r="AC118" s="3">
        <f>2860.9+(124.7-581.6)+(-2.918118+(-0.127194--0.593232))+0-51.2--0.0522240000000082</f>
        <v>2350.4001440000002</v>
      </c>
      <c r="AD118">
        <v>2485.1999999999998</v>
      </c>
      <c r="AE118" s="3">
        <f>3152+(71.9-636.9)+(0+(0-0))+0-101.8-0</f>
        <v>2485.1999999999998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2607.6+(143.2-430.2)+(-2.659752+(-0.146064--0.438804))+0-75.2--0.076704000000012</f>
        <v>2243.109692</v>
      </c>
      <c r="G119" s="3">
        <f>2454.2+(143.3-414)+(-5.006568+(-0.292332--0.84456))+0-28.2--0.0575279999999988</f>
        <v>2150.9031880000002</v>
      </c>
      <c r="H119" s="3">
        <f>2315.6+(142.7-305.2)+(-3.542868+(-0.218331--0.466956))+0-85.6--0.130968000000005</f>
        <v>2064.3367250000001</v>
      </c>
      <c r="I119" s="3">
        <f>2295.9+(141.9-331.6)+(-2.341818+(-0.144738--0.338232))+0-80.2--0.0818040000000128</f>
        <v>2023.9334800000004</v>
      </c>
      <c r="J119" s="3">
        <f>2278.5+(141.1-346.4)+(-5.810175+(-0.359805--0.88332))+0-78--0.198899999999989</f>
        <v>1990.1122399999997</v>
      </c>
      <c r="K119" s="3">
        <f>2039.3+(142-209.5)+(-5.200215+(-0.3621--0.534225))+0-80.8--0.206039999999988</f>
        <v>1886.17795</v>
      </c>
      <c r="L119" s="3">
        <f>1988.6+(140.8-206.9)+(-6.085116+(-0.430848--0.633114))+0-75.7--0.231642000000009</f>
        <v>1841.148792</v>
      </c>
      <c r="M119" s="3">
        <f>2037.9+(140.4-233.3)+(-1.039329+(-0.071604--0.118983))+0-39.4--0.020093999999996</f>
        <v>1904.6281439999998</v>
      </c>
      <c r="N119" s="3">
        <f>2198.3+(139-314.2)+(-1.121133+(-0.07089--0.160242))+0-25--0.0127499999999975</f>
        <v>1997.0809690000003</v>
      </c>
      <c r="O119" s="3">
        <f>2304.9+(129-256.7)+(-1.175499+(-0.06579--0.130917))+0-79.5--0.0405449999999919</f>
        <v>2096.630173</v>
      </c>
      <c r="P119" s="3">
        <f>2478.2+(91.4-275.7)+(0+(0-0))+0-87.4-0</f>
        <v>2206.4999999999995</v>
      </c>
      <c r="Q119" s="3">
        <f>2598.5+(70.3-298.6)+(-1.325235+(-0.035853--0.152286))+0-91--0.0464099999999908</f>
        <v>2278.0376079999996</v>
      </c>
      <c r="R119" s="3">
        <f>2683.4+(80.8-365.9)+(-4.105602+(-0.123624--0.559827))+0-90.5--0.138465000000005</f>
        <v>2304.2690660000003</v>
      </c>
      <c r="S119" s="3">
        <f>2668+(79.2-380.2)+(-2.72136+(-0.080784--0.387804))+0-83.3--0.0849660000000133</f>
        <v>2281.3706259999999</v>
      </c>
      <c r="T119" s="3">
        <f>2645.2+(69.2-336.2)+(-2.698104+(-0.070584--0.342924))+0-86.9--0.0886380000000139</f>
        <v>2288.9628739999998</v>
      </c>
      <c r="U119" s="3">
        <f>2637.7+(71.6-324.7)+(-1.345227+(-0.036516--0.165597))+0-95.2--0.0485519999999903</f>
        <v>2288.2324060000001</v>
      </c>
      <c r="V119" s="3">
        <f>2620.9+(75.4-339.4)+(-5.346636+(-0.153816--0.692376))+0-86--0.175439999999996</f>
        <v>2266.2673640000003</v>
      </c>
      <c r="W119" s="3">
        <f>2614.9+(98.6-386.5)+(-8.001594+(-0.301716--1.18269))+0-83--0.25398000000001</f>
        <v>2237.1333599999998</v>
      </c>
      <c r="X119" s="3">
        <f>2561.4+(119.9-389.5)+(-5.225256+(-0.244596--0.79458))+0-88.3--0.180131999999996</f>
        <v>2199.00486</v>
      </c>
      <c r="Y119" s="3">
        <f>2296.1+(124.3-196.4)+(-1.171011+(-0.063393--0.100164))+0-75.4--0.0384539999999924</f>
        <v>2147.504214</v>
      </c>
      <c r="Z119" s="3">
        <f>2655.1+(33.6-289.2)+(-1.354101+(-0.017136--0.147492))+0-35.9--0.0183089999999964</f>
        <v>2362.3945640000002</v>
      </c>
      <c r="AA119" s="3">
        <f>2712.3+(38.6-335.1)+(-5.533092+(-0.078744--0.683604))+0-25.7--0.0524279999999989</f>
        <v>2385.2241960000001</v>
      </c>
      <c r="AB119" s="3">
        <f>2720.9+(100.8-399.3)+(-5.550636+(-0.205632--0.814572))+0-70.3--0.143411999999997</f>
        <v>2347.3017159999999</v>
      </c>
      <c r="AC119" s="3">
        <f>2725.9+(123.2-479.9)+(-4.170627+(-0.188496--0.734247))+0-32--0.0489600000000018</f>
        <v>2333.6240840000005</v>
      </c>
      <c r="AD119">
        <v>2417.7999999999997</v>
      </c>
      <c r="AE119" s="3">
        <f>2742+(26.2-327)+(0+(0-0))+0-23.4-0</f>
        <v>2417.7999999999997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2723.2+(143-537)+(-6.94416+(-0.36465--1.36935))+0-83--0.211649999999988</f>
        <v>2240.47219</v>
      </c>
      <c r="G120" s="3">
        <f>2653.2+(142.7-546.9)+(-9.471924+(-0.509439--1.952433))+0-87.7--0.313089000000001</f>
        <v>2153.5841590000005</v>
      </c>
      <c r="H120" s="3">
        <f>2529.9+(143.3-512.7)+(0+(0-0))+0-86.6-0</f>
        <v>2073.9</v>
      </c>
      <c r="I120" s="3">
        <f>2422.7+(144.4-433.3)+(-11.120193+(-0.662796--1.988847))+0-91.2--0.418608000000016</f>
        <v>2033.2244659999994</v>
      </c>
      <c r="J120" s="3">
        <f>2299.2+(143.2-366.3)+(-2.345184+(-0.146064--0.373626))+0-72.5--0.0739500000000116</f>
        <v>2001.5563279999997</v>
      </c>
      <c r="K120" s="3">
        <f>2145.5+(142.5-287.2)+(-9.847845+(-0.654075--1.318248))+0-86.5--0.397035000000015</f>
        <v>1905.513363</v>
      </c>
      <c r="L120" s="3">
        <f>2060.3+(142.9-236.5)+(-8.406024+(-0.583032--0.96492))+0-57.8--0.235823999999995</f>
        <v>1901.1116880000004</v>
      </c>
      <c r="M120" s="3">
        <f>2194.4+(141.2-209.2)+(1.119144+(0.072012-0.106692))+0-55-0.0280499999999944</f>
        <v>2072.4564140000002</v>
      </c>
      <c r="N120" s="3">
        <f>2572.2+(135.7-413.5)+(0+(0-0))+0-67.8-0</f>
        <v>2226.5999999999995</v>
      </c>
      <c r="O120" s="3">
        <f>2855.3+(136.4-518.1)+(0+(0-0))+0-72.1-0</f>
        <v>2401.5000000000005</v>
      </c>
      <c r="P120" s="3">
        <f>2949.9+(87-481.8)+(1.504449+(0.04437-0.245718))+0-76-0.0387599999999923</f>
        <v>2480.364341</v>
      </c>
      <c r="Q120" s="3">
        <f>3082.3+(102.2-524)+(1.571973+(0.052122-0.26724))+0-83.7-0.0426869999999915</f>
        <v>2578.1141680000001</v>
      </c>
      <c r="R120" s="3">
        <f>3074.1+(80.1-476.9)+(0+(0-0))+0-66-0</f>
        <v>2611.3000000000002</v>
      </c>
      <c r="S120" s="3">
        <f>3049.5+(45.2-467.6)+(-1.555245+(-0.023052--0.238476))+0-46.6--0.0237659999999953</f>
        <v>2579.1839449999998</v>
      </c>
      <c r="T120" s="3">
        <f>3042.6+(78.6-464.2)+(-1.551726+(-0.040086--0.236742))+0-73.5--0.0374849999999925</f>
        <v>2582.1824149999998</v>
      </c>
      <c r="U120" s="3">
        <f>3037.9+(83.4-469.9)+(-3.098658+(-0.085068--0.479298))+0-92--0.0938400000000147</f>
        <v>2556.7894120000001</v>
      </c>
      <c r="V120" s="3">
        <f>3061.5+(80.4-527.8)+(1.561365+(0.041004-0.269178))+0-85.8-0.0437579999999913</f>
        <v>2529.5894330000001</v>
      </c>
      <c r="W120" s="3">
        <f>3059.5+(101-575.5)+(-1.560345+(-0.05151--0.293505))+0-82--0.0418199999999917</f>
        <v>2501.7234699999999</v>
      </c>
      <c r="X120" s="3">
        <f>2961.4+(113.3-598.2)+(-7.55157+(-0.288915--1.52541))+0-80.3--0.204764999999988</f>
        <v>2390.0896899999998</v>
      </c>
      <c r="Y120" s="3">
        <f>2726+(99.4-404.7)+(-6.9513+(-0.25347--1.031985))+0-81.8--0.208589999999988</f>
        <v>2332.9358049999996</v>
      </c>
      <c r="Z120" s="3">
        <f>3019.3+(27.8-444)+(3.079686+(0.028356-0.45288))+0-77.9-0.0794580000000124</f>
        <v>2527.7757040000001</v>
      </c>
      <c r="AA120" s="3">
        <f>3249.3+(18.4-638.7)+(-3.314286+(-0.018768--0.651474))+0-82.5--0.0841500000000132</f>
        <v>2543.9025700000002</v>
      </c>
      <c r="AB120" s="3">
        <f>3136.5+(82.8-660.1)+(-1.599615+(-0.042228--0.336651))+0-82.3--0.0419729999999916</f>
        <v>2475.6367809999997</v>
      </c>
      <c r="AC120" s="3">
        <f>2991.3+(114.5-635.6)+(0+(0-0))+0-53.4-0</f>
        <v>2416.8000000000002</v>
      </c>
      <c r="AD120">
        <v>2555</v>
      </c>
      <c r="AE120" s="3">
        <f>3258+(28.3-624.8)+(0+(0-0))+0-106.5-0</f>
        <v>2555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2757.2+(141.3-534.8)+(-8.437032+(-0.432378--1.636488))+0-80.4--0.246024000000009</f>
        <v>2276.3131019999996</v>
      </c>
      <c r="G121" s="3">
        <f>2551.2+(142.8-452.1)+(-1.301112+(-0.072828--0.230571))+0-82.6--0.0421259999999916</f>
        <v>2158.1987569999997</v>
      </c>
      <c r="H121" s="3">
        <f>2494.3+(143.6-461)+(-2.544186+(-0.146472--0.47022))+0-88.6--0.0903720000000141</f>
        <v>2086.1699340000005</v>
      </c>
      <c r="I121" s="3">
        <f>2432.6+(142.9-438.6)+(-3.721878+(-0.218637--0.671058))+0-87.2--0.133416000000005</f>
        <v>2046.5639589999996</v>
      </c>
      <c r="J121" s="3">
        <f>2373.5+(142-403.7)+(-6.052425+(-0.3621--1.029435))+0-80.1--0.204254999999988</f>
        <v>2026.5191649999999</v>
      </c>
      <c r="K121" s="3">
        <f>2237.3+(141.7-392)+(-4.564092+(-0.289068--0.79968))+0-39.2--0.0799679999999983</f>
        <v>1943.8264880000002</v>
      </c>
      <c r="L121" s="3">
        <f>2170.2+(141.5-317.3)+(-3.320406+(-0.216495--0.485469))+0-55.3--0.0846090000000032</f>
        <v>1936.1331769999999</v>
      </c>
      <c r="M121" s="3">
        <f>2340.9+(140.5-364.9)+(-1.193859+(-0.071655--0.186099))+0-26.5--0.0135149999999973</f>
        <v>2088.9340999999999</v>
      </c>
      <c r="N121" s="3">
        <f>2694.2+(138.4-557.7)+(2.748084+(0.141168-0.568854))+0-12.1-0.0123420000000019</f>
        <v>2265.1080559999996</v>
      </c>
      <c r="O121" s="3">
        <f>2916.7+(127.2-643.7)+(0+(0-0))+0-12.4-0</f>
        <v>2387.7999999999997</v>
      </c>
      <c r="P121" s="3">
        <f>3076.2+(73.6-646.5)+(3.137724+(0.075072-0.65943))+0-14.1-0.0143820000000022</f>
        <v>2491.7389840000001</v>
      </c>
      <c r="Q121" s="3">
        <f>3169.4+(58-657.1)+(3.232788+(0.05916-0.670242))+0-19-0.019380000000003</f>
        <v>2553.9023259999999</v>
      </c>
      <c r="R121" s="3">
        <f>3244.8+(69.2-695.1)+(0+(0-0))+0-78.3-0</f>
        <v>2540.6</v>
      </c>
      <c r="S121" s="3">
        <f>3237.7+(62.1-654.3)+(-3.302454+(-0.063342--0.667386))+0-91.4--0.0932280000000146</f>
        <v>2551.4948180000001</v>
      </c>
      <c r="T121" s="3">
        <f>3218.6+(102.9-671.7)+(1.641486+(0.052479-0.342567))+0-91.8-0.0468179999999907</f>
        <v>2559.3045799999995</v>
      </c>
      <c r="U121" s="3">
        <f>3160.1+(94.7-655.7)+(-4.834953+(-0.144891--1.003221))+0-84.7--0.129591000000005</f>
        <v>2510.552968</v>
      </c>
      <c r="V121" s="3">
        <f>3118.2+(87.5-636.9)+(-6.361128+(-0.1785--1.299276))+0-80.6--0.164423999999996</f>
        <v>2483.1240720000001</v>
      </c>
      <c r="W121" s="3">
        <f>3122.5+(89.8-644.7)+(0+(0-0))+0-92.1-0</f>
        <v>2475.5</v>
      </c>
      <c r="X121" s="3">
        <f>2924.8+(105.1-560.8)+(-2.983296+(-0.107202--0.572016))+0-92.6--0.0944520000000148</f>
        <v>2374.0759700000003</v>
      </c>
      <c r="Y121" s="3">
        <f>2777.4+(82.2-459.8)+(-4.249422+(-0.125766--0.703494))+0-91.8--0.140454000000005</f>
        <v>2304.4687599999997</v>
      </c>
      <c r="Z121" s="3">
        <f>3236.3+(0-642.3)+(0+(0-0))+0-91.8-0</f>
        <v>2502.1999999999998</v>
      </c>
      <c r="AA121" s="3">
        <f>3323.9+(0-695.1)+(0+(0-0))+0-91.3-0</f>
        <v>2537.5</v>
      </c>
      <c r="AB121" s="3">
        <f>3163.2+(56.2-662.8)+(-6.452928+(-0.114648--1.352112))+0-92.6--0.188903999999996</f>
        <v>2458.9734400000002</v>
      </c>
      <c r="AC121" s="3">
        <f>2963.4+(126.5-603.4)+(0+(0-0))+0-94.4-0</f>
        <v>2392.1</v>
      </c>
      <c r="AD121">
        <v>2538.1</v>
      </c>
      <c r="AE121" s="3">
        <f>3339+(0-705.8)+(0+(0-0))+0-95.1-0</f>
        <v>2538.1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2704.2+(141.8-477.5)+(-4.137426+(-0.216954--0.730575))+0-90--0.137700000000005</f>
        <v>2275.013895</v>
      </c>
      <c r="G122" s="3">
        <f>2605.1+(142.1-479.8)+(-2.657202+(-0.144942--0.489396))+0-89.7--0.0914940000000143</f>
        <v>2175.4787460000002</v>
      </c>
      <c r="H122" s="3">
        <f>2545.1+(140.8-467.5)+(-5.192004+(-0.287232--0.9537))+0-92.6--0.188903999999996</f>
        <v>2121.4633680000002</v>
      </c>
      <c r="I122" s="3">
        <f>2352.7+(139.9-308.3)+(-3.599631+(-0.214047--0.471699))+0-92.1--0.140913000000005</f>
        <v>2088.9989340000002</v>
      </c>
      <c r="J122" s="3">
        <f>2270.6+(141.3-263.1)+(-4.632024+(-0.288252--0.536724))+0-93.6--0.190943999999996</f>
        <v>2051.007392</v>
      </c>
      <c r="K122" s="3">
        <f>2272.3+(141.3-363.8)+(-4.635492+(-0.288252--0.742152))+0-93.4--0.190535999999996</f>
        <v>1952.4089440000002</v>
      </c>
      <c r="L122" s="3">
        <f>2258+(141.7-347)+(-8.06106+(-0.505869--1.23879))+0-90.8--0.324156000000001</f>
        <v>1954.8960169999998</v>
      </c>
      <c r="M122" s="3">
        <f>2373.5+(141-331.1)+(0+(0-0))+0-89.6-0</f>
        <v>2093.8000000000002</v>
      </c>
      <c r="N122" s="3">
        <f>2658.1+(140.7-439.7)+(0+(0-0))+0-91.6-0</f>
        <v>2267.5</v>
      </c>
      <c r="O122" s="3">
        <f>2831.1+(135.6-497.3)+(0+(0-0))+0-92.1-0</f>
        <v>2377.2999999999997</v>
      </c>
      <c r="P122" s="3">
        <f>2995.3+(102-509.5)+(3.055206+(0.10404-0.51969))+0-94.3-0.096186000000015</f>
        <v>2496.0433699999999</v>
      </c>
      <c r="Q122" s="3">
        <f>3077.9+(87.3-516.3)+(1.569729+(0.044523-0.263313))+0-91.4-0.0466139999999907</f>
        <v>2558.8043250000001</v>
      </c>
      <c r="R122" s="3">
        <f>3191.1+(76.9-540.7)+(3.254922+(0.078438-0.551514))+0-95.9-0.0978180000000153</f>
        <v>2634.0840279999993</v>
      </c>
      <c r="S122" s="3">
        <f>3207.3+(52.6-588.2)+(-1.635723+(-0.026826--0.299982))+0-92.4--0.0471239999999906</f>
        <v>2577.9845570000002</v>
      </c>
      <c r="T122" s="3">
        <f>3252.9+(49.7-630.1)+(1.658979+(0.025347-0.321351))+0-92.4-0.0471239999999906</f>
        <v>2581.4158509999997</v>
      </c>
      <c r="U122" s="3">
        <f>3239.9+(39-594.5)+(-8.261745+(-0.09945--1.515975))+0-93--0.237149999999987</f>
        <v>2584.7919299999999</v>
      </c>
      <c r="V122" s="3">
        <f>3220.5+(35.6-637.8)+(-6.56982+(-0.072624--1.301112))+0-60.6--0.123623999999997</f>
        <v>2552.4822920000001</v>
      </c>
      <c r="W122" s="3">
        <f>3141.2+(68.6-612.6)+(-12.816096+(-0.279888--2.499408))+0-79.8--0.325583999999993</f>
        <v>2507.1290079999999</v>
      </c>
      <c r="X122" s="3">
        <f>2752+(121.8-461.6)+(-9.82464+(-0.434826--1.647912))+0-21.8--0.0778260000000003</f>
        <v>2381.8662719999998</v>
      </c>
      <c r="Y122" s="3">
        <f>2447.1+(103.1-213.2)+(-2.496042+(-0.105162--0.217464))+0-25.1--0.025602000000004</f>
        <v>2309.541862</v>
      </c>
      <c r="Z122" s="3">
        <f>2921.3+(10-394.6)+(-1.489863+(-0.0051--0.201246))+0-24.9--0.0126989999999975</f>
        <v>2510.5189820000001</v>
      </c>
      <c r="AA122" s="3">
        <f>3064+(7.6-441.4)+(-6.25056+(-0.015504--0.900456))+0-79.2--0.161567999999997</f>
        <v>2545.7959599999999</v>
      </c>
      <c r="AB122" s="3">
        <f>3057.4+(66.8-543)+(-7.79637+(-0.17034--1.38465))+0-88.6--0.225929999999987</f>
        <v>2486.2438700000002</v>
      </c>
      <c r="AC122" s="3">
        <f>2878.4+(107.2-503.2)+(1.467984+(0.054672-0.256632))+0-66-0.0336599999999933</f>
        <v>2417.6323640000001</v>
      </c>
      <c r="AD122">
        <v>2527.9</v>
      </c>
      <c r="AE122" s="3">
        <f>3051+(15.3-444.8)+(0+(0-0))+0-93.6-0</f>
        <v>2527.9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2772.6+(142-542.3)+(-1.414026+(-0.07242--0.276573))+0-75.9--0.0387089999999923</f>
        <v>2295.2288360000002</v>
      </c>
      <c r="G123" s="3">
        <f>2632.8+(140.7-523.6)+(-2.685456+(-0.143514--0.534072))+0-60--0.0612000000000096</f>
        <v>2187.6663020000001</v>
      </c>
      <c r="H123" s="3">
        <f>2594.5+(140.5-541.3)+(-1.323195+(-0.071655--0.276063))+0-79.9--0.0407489999999919</f>
        <v>2112.7219619999996</v>
      </c>
      <c r="I123" s="3">
        <f>2474.3+(141-452.2)+(-7.571358+(-0.43146--1.383732))+0-85.9--0.26285400000001</f>
        <v>2070.8437680000002</v>
      </c>
      <c r="J123" s="3">
        <f>2354.7+(140.9-374.3)+(-6.004485+(-0.359295--0.954465))+0-79.5--0.202724999999988</f>
        <v>2036.5934099999999</v>
      </c>
      <c r="K123" s="3">
        <f>2260.8+(140.7-350.7)+(-8.071056+(-0.502299--1.251999))+0-85.5--0.305235000000001</f>
        <v>1958.2838790000003</v>
      </c>
      <c r="L123" s="3">
        <f>2262.2+(140.3-383)+(-8.076054+(-0.500871--1.36731))+0-70--0.249900000000001</f>
        <v>1942.5402849999998</v>
      </c>
      <c r="M123" s="3">
        <f>2382.6+(139.5-385)+(-1.215126+(-0.071145--0.19635))+0-51.6--0.0263159999999948</f>
        <v>2084.4363950000002</v>
      </c>
      <c r="N123" s="3">
        <f>2559.5+(137.9-347.6)+(2.61069+(0.140658-0.354552))+0-81.6-0.083232000000013</f>
        <v>2270.5135640000003</v>
      </c>
      <c r="O123" s="3">
        <f>2704.7+(81-307.7)+(2.758794+(0.08262-0.313854))+0-78.1-0.0796620000000124</f>
        <v>2402.347898</v>
      </c>
      <c r="P123" s="3">
        <f>2913.3+(59.5-375.3)+(2.971566+(0.06069-0.382806))+0-79.2-0.0807840000000126</f>
        <v>2520.8686659999998</v>
      </c>
      <c r="Q123" s="3">
        <f>3012.5+(58.8-405.4)+(0+(0-0))+0-72.4-0</f>
        <v>2593.5</v>
      </c>
      <c r="R123" s="3">
        <f>3057.8+(41.6-409.7)+(-4.678434+(-0.063648--0.626841))+0-80.3--0.122859000000005</f>
        <v>2605.4076180000002</v>
      </c>
      <c r="S123" s="3">
        <f>3038.7+(29-442.7)+(-7.748685+(-0.07395--1.128885))+0-40.4--0.103019999999994</f>
        <v>2578.00927</v>
      </c>
      <c r="T123" s="3">
        <f>3011.4+(24.3-371.5)+(0+(0-0))+0-93.5-0</f>
        <v>2570.7000000000003</v>
      </c>
      <c r="U123" s="3">
        <f>3009.8+(14.8-393.9)+(-6.139992+(-0.030192--0.803556))+0-79--0.161159999999997</f>
        <v>2546.4945320000002</v>
      </c>
      <c r="V123" s="3">
        <f>3007.1+(20.7-456.2)+(-3.067242+(-0.021114--0.465324))+0-51.5--0.0525300000000082</f>
        <v>2517.5294979999999</v>
      </c>
      <c r="W123" s="3">
        <f>2974.4+(23.5-460.1)+(-4.550832+(-0.035955--0.703953))+0-54.4--0.0832320000000031</f>
        <v>2479.600398</v>
      </c>
      <c r="X123" s="3">
        <f>2776.1+(58.3-421.7)+(-7.079055+(-0.148665--1.075335))+0-34.6--0.088229999999995</f>
        <v>2372.0358449999999</v>
      </c>
      <c r="Y123" s="3">
        <f>2558.6+(82.3-261.9)+(-2.609772+(-0.083946--0.267138))+0-76.7--0.0782340000000122</f>
        <v>2299.9516540000004</v>
      </c>
      <c r="Z123" s="3">
        <f>2822.9+(0-236.2)+(0+(0-0))+0-77.6-0</f>
        <v>2509.1000000000004</v>
      </c>
      <c r="AA123" s="3">
        <f>3031.4+(5-421.1)+(-7.73007+(-0.01275--1.073805))+0-87.9--0.224144999999987</f>
        <v>2520.9551300000003</v>
      </c>
      <c r="AB123" s="3">
        <f>3043.9+(71.3-565.2)+(-1.552389+(-0.036363--0.288252))+0-86.5--0.0441149999999912</f>
        <v>2462.2436150000003</v>
      </c>
      <c r="AC123" s="3">
        <f>2981.6+(107.9-576.8)+(-1.520616+(-0.055029--0.294168))+0-80.4--0.0410039999999918</f>
        <v>2431.0595269999999</v>
      </c>
      <c r="AD123">
        <v>2551.1999999999998</v>
      </c>
      <c r="AE123" s="3">
        <f>3063+(16-419.5)+(0+(0-0))+0-108.3-0</f>
        <v>2551.1999999999998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2892.2+(139.3-611.8)+(-1.475022+(-0.071043--0.312018))+0-67.4--0.0343739999999932</f>
        <v>2351.1003269999997</v>
      </c>
      <c r="G124" s="3">
        <f>2559.3+(112.9-404.3)+(2.610486+(0.115158-0.412386))+0-62.3-0.0635460000000099</f>
        <v>2207.8497120000002</v>
      </c>
      <c r="H124" s="3">
        <f>2346.7+(142.1-321.6)+(2.393634+(0.144942-0.328032))+0-53.9-0.0549780000000086</f>
        <v>2115.4555659999996</v>
      </c>
      <c r="I124" s="3">
        <f>2279+(141.2-287.6)+(1.16229+(0.072012-0.146676))+0-77.9-0.0397289999999921</f>
        <v>2055.7478969999997</v>
      </c>
      <c r="J124" s="3">
        <f>2285.4+(140.8-279.2)+(3.496662+(0.215424-0.427176))+0-84.1-0.128673000000005</f>
        <v>2066.0562369999998</v>
      </c>
      <c r="K124" s="3">
        <f>2251.6+(141.5-343.9)+(-2.296632+(-0.14433--0.350778))+0-78.8--0.0803760000000126</f>
        <v>1968.3901920000001</v>
      </c>
      <c r="L124" s="3">
        <f>2045.6+(141.5-207.1)+(2.086512+(0.14433-0.211242))+0-86.1-0.0878220000000137</f>
        <v>1895.8317780000002</v>
      </c>
      <c r="M124" s="3">
        <f>2002.7+(157.1-155.7)+(-1.021377+(-0.080121--0.079407))+0-86.3--0.0440129999999912</f>
        <v>1916.8219220000001</v>
      </c>
      <c r="N124" s="3">
        <f>2174.3+(116-195.5)+(3.326679+(0.17748-0.299115))+0-86.5-0.132345000000005</f>
        <v>2011.372699</v>
      </c>
      <c r="O124" s="3">
        <f>2340.7+(90-224.8)+(1.193757+(0.0459-0.114648))+0-82.1-0.0418709999999917</f>
        <v>2124.8831379999997</v>
      </c>
      <c r="P124" s="3">
        <f>2496.4+(64.7-244.4)+(3.819492+(0.098991-0.373932))+0-78.8-0.120564000000005</f>
        <v>2241.3239870000002</v>
      </c>
      <c r="Q124" s="3">
        <f>2532.1+(20.4-177.5)+(2.582742+(0.020808-0.18105))+0-81.3-0.082926000000013</f>
        <v>2296.0395739999999</v>
      </c>
      <c r="R124" s="3">
        <f>2599.7+(19.1-274.6)+(-1.325847+(-0.009741--0.140046))+0-25.8--0.0131579999999974</f>
        <v>2317.2176159999999</v>
      </c>
      <c r="S124" s="3">
        <f>2583.1+(24.6-195)+(-1.317381+(-0.012546--0.09945))+0-90.1--0.0459509999999909</f>
        <v>2321.4154739999999</v>
      </c>
      <c r="T124" s="3">
        <f>2590.1+(33.6-236.8)+(-3.962853+(-0.051408--0.362304))+0-62.9--0.0962370000000036</f>
        <v>2320.4442800000002</v>
      </c>
      <c r="U124" s="3">
        <f>2579.7+(75.4-291.8)+(1.315647+(0.038454-0.148818))+0-54.2-0.0276419999999945</f>
        <v>2310.2776409999997</v>
      </c>
      <c r="V124" s="3">
        <f>2577+(75.1-277.1)+(-1.31427+(-0.038301--0.141321))+0-84.4--0.0430439999999914</f>
        <v>2289.4317940000001</v>
      </c>
      <c r="W124" s="3">
        <f>2563.8+(81.3-285.4)+(-6.53769+(-0.207315--0.72777))+0-91.8--0.234089999999987</f>
        <v>2262.1168550000002</v>
      </c>
      <c r="X124" s="3">
        <f>2481.2+(108-301)+(-3.796236+(-0.16524--0.46053))+0-85.3--0.130509000000005</f>
        <v>2199.5295629999996</v>
      </c>
      <c r="Y124" s="3">
        <f>2375.3+(89.5-249)+(-8.479821+(-0.319515--0.88893))+0-45.1--0.161007000000001</f>
        <v>2162.9506010000005</v>
      </c>
      <c r="Z124" s="3">
        <f>2658+(18.4-220.2)+(4.06674+(0.028152-0.336906))+0-76.6-0.117198000000004</f>
        <v>2383.2407880000001</v>
      </c>
      <c r="AA124" s="3">
        <f>2676.1+(35.5-213.2)+(-4.094433+(-0.054315--0.326196))+0-69.1--0.105723000000004</f>
        <v>2425.5831710000002</v>
      </c>
      <c r="AB124" s="3">
        <f>2682.6+(95.3-286.2)+(-2.736252+(-0.097206--0.291924))+0-83.2--0.0848640000000133</f>
        <v>2406.04333</v>
      </c>
      <c r="AC124" s="3">
        <f>2706.5+(141.5-429.5)+(1.380315+(0.072165-0.219045))+0-28.8-0.0146879999999971</f>
        <v>2390.9187469999997</v>
      </c>
      <c r="AD124">
        <v>2480.3000000000002</v>
      </c>
      <c r="AE124" s="3">
        <f>2716+(32.5-244.1)+(0+(0-0))+0-24.1-0</f>
        <v>2480.3000000000002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2677.5+(142.5-474.4)+(-2.73105+(-0.14535--0.483888))+0-39.1--0.0398820000000062</f>
        <v>2304.1473700000001</v>
      </c>
      <c r="G125" s="3">
        <f>2555.3+(142-405.6)+(-2.606406+(-0.14484--0.413712))+0-83--0.0846600000000132</f>
        <v>2206.4471260000005</v>
      </c>
      <c r="H125" s="3">
        <f>2484.6+(142.5-403.1)+(-3.801438+(-0.218025--0.616743))+0-83.6--0.127908000000005</f>
        <v>2137.125188</v>
      </c>
      <c r="I125" s="3">
        <f>2350.2+(143.4-373.4)+(-3.595806+(-0.219402--0.571302))+0-27.3--0.0417690000000016</f>
        <v>2089.6978629999994</v>
      </c>
      <c r="J125" s="3">
        <f>2256.1+(143.3-260.2)+(-4.602444+(-0.292332--0.530808))+0-82.9--0.169115999999996</f>
        <v>2052.1051479999996</v>
      </c>
      <c r="K125" s="3">
        <f>2179.7+(142.4-274.7)+(-4.446588+(-0.290496--0.560388))+0-80.7--0.164627999999996</f>
        <v>1962.6879319999998</v>
      </c>
      <c r="L125" s="3">
        <f>2087+(142.4-216.9)+(-1.06437+(-0.072624--0.110619))+0-82.8--0.0422279999999916</f>
        <v>1928.7158530000002</v>
      </c>
      <c r="M125" s="3">
        <f>2412.3+(142.1-434.3)+(0+(0-0))+0-46.2-0</f>
        <v>2073.9000000000005</v>
      </c>
      <c r="N125" s="3">
        <f>2718.3+(140-497.8)+(2.772666+(0.1428-0.507756))+0-79.8-0.0813960000000127</f>
        <v>2283.0263139999997</v>
      </c>
      <c r="O125" s="3">
        <f>2861.1+(137-445.7)+(-1.459161+(-0.06987--0.227307))+0-85--0.0433499999999914</f>
        <v>2466.1416260000001</v>
      </c>
      <c r="P125" s="3">
        <f>2978.6+(131.7-441.2)+(-1.519086+(-0.067167--0.225012))+0-92.1--0.0469709999999907</f>
        <v>2575.6857300000001</v>
      </c>
      <c r="Q125" s="3">
        <f>3067.8+(130-417.1)+(4.693734+(0.1989-0.638163))+0-100-0.153000000000006</f>
        <v>2684.8014710000007</v>
      </c>
      <c r="R125" s="3">
        <f>3136.3+(120-444.7)+(1.599513+(0.0612-0.226797))+0-83-0.0423299999999916</f>
        <v>2729.9915860000006</v>
      </c>
      <c r="S125" s="3">
        <f>3141.7+(110-492.7)+(0+(0-0))+0-62-0</f>
        <v>2697</v>
      </c>
      <c r="T125" s="3">
        <f>3116.7+(94.8-456.6)+(-3.179034+(-0.096696--0.465732))+0-89.8--0.0915960000000143</f>
        <v>2662.3815979999995</v>
      </c>
      <c r="U125" s="3">
        <f>3092.1+(82.9-435.3)+(-4.730913+(-0.126837--0.666009))+0-88.2--0.134946000000005</f>
        <v>2647.443205</v>
      </c>
      <c r="V125" s="3">
        <f>3079.1+(88.4-462.3)+(-6.281364+(-0.180336--0.943092))+0-90--0.183599999999996</f>
        <v>2609.8649919999998</v>
      </c>
      <c r="W125" s="3">
        <f>3067.3+(115.9-508.7)+(-4.692969+(-0.177327--0.778311))+0-93.3--0.142749000000005</f>
        <v>2577.2507639999999</v>
      </c>
      <c r="X125" s="3">
        <f>2972.1+(121-510.9)+(-9.094626+(-0.37026--1.563354))+0-92.2--0.282132000000011</f>
        <v>2482.3806</v>
      </c>
      <c r="Y125" s="3">
        <f>2711.6+(114.1-316)+(-1.382916+(-0.058191--0.16116))+0-93.2--0.0475319999999905</f>
        <v>2415.2675850000001</v>
      </c>
      <c r="Z125" s="3">
        <f>2999.4+(46.3-377.6)+(-3.059388+(-0.047226--0.385152))+0-89.4--0.0911880000000143</f>
        <v>2576.0697259999997</v>
      </c>
      <c r="AA125" s="3">
        <f>3187.7+(44.1-560.9)+(0+(0-0))+0-84.9-0</f>
        <v>2585.9999999999995</v>
      </c>
      <c r="AB125" s="3">
        <f>3150.9+(110.7-608.7)+(-4.820877+(-0.169371--0.931311))+0-90.2--0.138006000000005</f>
        <v>2558.7790690000006</v>
      </c>
      <c r="AC125" s="3">
        <f>3118.5+(142-610.2)+(0+(0-0))+0-95.4-0</f>
        <v>2554.9</v>
      </c>
      <c r="AD125">
        <v>2584.1000000000004</v>
      </c>
      <c r="AE125" s="3">
        <f>3194+(56.4-570.8)+(0+(0-0))+0-95.5-0</f>
        <v>2584.1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2926.9+(142.6-590.5)+(-2.985438+(-0.145452--0.60231))+0-90.4--0.0922080000000144</f>
        <v>2386.1636279999998</v>
      </c>
      <c r="G126" s="3">
        <f>2820.4+(142.4-580.6)+(-7.19202+(-0.36312--1.48053))+0-92.4--0.235619999999987</f>
        <v>2283.9610099999995</v>
      </c>
      <c r="H126" s="3">
        <f>2723.2+(142.2-553.9)+(-2.777664+(-0.145044--0.564978))+0-92.8--0.0946560000000148</f>
        <v>2216.4369259999999</v>
      </c>
      <c r="I126" s="3">
        <f>2559.2+(142.7-449.9)+(-5.220768+(-0.291108--0.917796))+0-91.4--0.186455999999996</f>
        <v>2156.192376</v>
      </c>
      <c r="J126" s="3">
        <f>2525.8+(143.4-449.3)+(-3.864474+(-0.219402--0.687429))+0-89.6--0.137088000000005</f>
        <v>2127.0406410000001</v>
      </c>
      <c r="K126" s="3">
        <f>2360.1+(143.2-368.4)+(-2.407302+(-0.146064--0.375768))+0-93.8--0.095676000000015</f>
        <v>2039.0180779999998</v>
      </c>
      <c r="L126" s="3">
        <f>2307.9+(142.6-331.2)+(-5.885145+(-0.36363--0.84456))+0-92.5--0.235874999999987</f>
        <v>2021.6316600000002</v>
      </c>
      <c r="M126" s="3">
        <f>2441.6+(142.1-362.2)+(3.735648+(0.217413-0.554166))+0-86.2-0.131886000000005</f>
        <v>2138.5670089999999</v>
      </c>
      <c r="N126" s="3">
        <f>2728.3+(140.8-428.4)+(0+(0-0))+0-91-0</f>
        <v>2349.7000000000003</v>
      </c>
      <c r="O126" s="3">
        <f>2925.1+(140.4-485.9)+(1.491801+(0.071604-0.247809))+0-91.6-0.0467159999999907</f>
        <v>2489.2688800000001</v>
      </c>
      <c r="P126" s="3">
        <f>3137+(139.3-541.1)+(1.59987+(0.071043-0.275961))+0-92.8-0.0473279999999906</f>
        <v>2643.7476239999996</v>
      </c>
      <c r="Q126" s="3">
        <f>3169.6+(140.2-520.4)+(4.849488+(0.214506-0.796212))+0-91.6-0.140148000000005</f>
        <v>2701.9276340000001</v>
      </c>
      <c r="R126" s="3">
        <f>3127+(136.9-442.8)+(0+(0-0))+0-92.1-0</f>
        <v>2729</v>
      </c>
      <c r="S126" s="3">
        <f>3114.1+(115.6-432.3)+(0+(0-0))+0-90.6-0</f>
        <v>2706.7999999999997</v>
      </c>
      <c r="T126" s="3">
        <f>3120.3+(113.9-424.7)+(4.774059+(0.174267-0.649791))+0-92.6-0.141678000000005</f>
        <v>2721.056857</v>
      </c>
      <c r="U126" s="3">
        <f>3076.5+(113.6-452.8)+(-3.13803+(-0.115872--0.461856))+0-80.4--0.0820080000000128</f>
        <v>2654.1899619999999</v>
      </c>
      <c r="V126" s="3">
        <f>3053.4+(115.8-413.1)+(-6.228936+(-0.236232--0.842724))+0-93.9--0.191555999999996</f>
        <v>2656.769112</v>
      </c>
      <c r="W126" s="3">
        <f>3052.7+(111.3-507.3)+(-9.341262+(-0.340578--1.552338))+0-81.4--0.249084000000009</f>
        <v>2567.419582</v>
      </c>
      <c r="X126" s="3">
        <f>2941.5+(117-483.9)+(-9.00099+(-0.35802--1.480734))+0-90.4--0.27662400000001</f>
        <v>2476.598348</v>
      </c>
      <c r="Y126" s="3">
        <f>2590.4+(115.4-224.1)+(-2.642208+(-0.117708--0.228582))+0-94.4--0.0962880000000151</f>
        <v>2384.8649540000006</v>
      </c>
      <c r="Z126" s="3">
        <f>3050.3+(43.5-429.9)+(0+(0-0))+0-92.4-0</f>
        <v>2571.5</v>
      </c>
      <c r="AA126" s="3">
        <f>3231.8+(60.3-608.7)+(-9.889308+(-0.184518--1.862622))+0-88.8--0.27172800000001</f>
        <v>2586.6605239999999</v>
      </c>
      <c r="AB126" s="3">
        <f>2990+(120.8-503.8)+(-1.5249+(-0.061608--0.256938))+0-92.5--0.0471749999999906</f>
        <v>2513.2176050000003</v>
      </c>
      <c r="AC126" s="3">
        <f>2876.8+(119.7-439.8)+(-1.467168+(-0.061047--0.224298))+0-89.9--0.0458489999999909</f>
        <v>2465.5419320000001</v>
      </c>
      <c r="AD126">
        <v>2609.5</v>
      </c>
      <c r="AE126" s="3">
        <f>3256+(113.5-665.2)+(0+(0-0))+0-94.8-0</f>
        <v>2609.5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2862.4+(124.2-551)+(-4.379472+(-0.190026--0.84303))+0-91.8--0.140454000000005</f>
        <v>2340.2139859999997</v>
      </c>
      <c r="G127" s="3">
        <f>2686+(123.2-483.6)+(-4.10958+(-0.188496--0.739908))+0-91.9--0.140607000000005</f>
        <v>2230.2824389999996</v>
      </c>
      <c r="H127" s="3">
        <f>2580.8+(129.9-458.4)+(-2.632416+(-0.132498--0.467568))+0-90.5--0.0923100000000144</f>
        <v>2159.5949640000003</v>
      </c>
      <c r="I127" s="3">
        <f>2522.8+(120.7-419.9)+(-2.573256+(-0.123114--0.428298))+0-90.6--0.0924120000000144</f>
        <v>2130.8243400000006</v>
      </c>
      <c r="J127" s="3">
        <f>2488.6+(137.8-421.4)+(2.538372+(0.140556-0.429828))+0-92.6-0.0944520000000148</f>
        <v>2114.5546480000003</v>
      </c>
      <c r="K127" s="3">
        <f>2417.2+(142.8-452.7)+(1.232772+(0.072828-0.230877))+0-89.1-0.045440999999991</f>
        <v>2019.229282</v>
      </c>
      <c r="L127" s="3">
        <f>2326.9+(143.3-355.2)+(-1.186719+(-0.073083--0.181152))+0-94--0.0479399999999905</f>
        <v>2019.96929</v>
      </c>
      <c r="M127" s="3">
        <f>2502.6+(142-407.4)+(-1.276326+(-0.07242--0.207774))+0-91.9--0.0468689999999907</f>
        <v>2144.2058969999994</v>
      </c>
      <c r="N127" s="3">
        <f>2763.3+(140.1-512)+(0+(0-0))+0-90-0</f>
        <v>2301.4</v>
      </c>
      <c r="O127" s="3">
        <f>3021.1+(140.3-603)+(-3.081522+(-0.143106--0.61506))+0-92.5--0.0943500000000148</f>
        <v>2463.3847820000001</v>
      </c>
      <c r="P127" s="3">
        <f>3185+(142-640.1)+(-1.62435+(-0.07242--0.326451))+0-96--0.0489599999999903</f>
        <v>2589.5786410000001</v>
      </c>
      <c r="Q127" s="3">
        <f>3242.7+(142-671.7)+(0+(0-0))+0-96-0</f>
        <v>2617</v>
      </c>
      <c r="R127" s="3">
        <f>3215.1+(135-619.3)+(-6.558804+(-0.2754--1.263372))+0-85--0.173399999999996</f>
        <v>2640.4025680000004</v>
      </c>
      <c r="S127" s="3">
        <f>3298.1+(111.5-728.2)+(-5.046093+(-0.170595--1.114146))+0-80.7--0.123471000000005</f>
        <v>2596.7209289999996</v>
      </c>
      <c r="T127" s="3">
        <f>3285.3+(109.7-660.2)+(1.675503+(0.055947-0.336702))+0-91.4-0.0466139999999907</f>
        <v>2644.7481340000004</v>
      </c>
      <c r="U127" s="3">
        <f>3283.1+(95.7-667.6)+(-3.348762+(-0.097614--0.680952))+0-94.4--0.0962880000000151</f>
        <v>2614.1308639999997</v>
      </c>
      <c r="V127" s="3">
        <f>3223.2+(63-629.7)+(3.287664+(0.06426-0.642294))+0-92.2-0.0940440000000147</f>
        <v>2566.9155860000001</v>
      </c>
      <c r="W127" s="3">
        <f>3140.4+(85-600)+(-6.406416+(-0.1734--1.224))+0-92--0.187679999999996</f>
        <v>2528.2318640000003</v>
      </c>
      <c r="X127" s="3">
        <f>3035.4+(122.9-618.4)+(-4.644162+(-0.188037--0.946152))+0-91.9--0.140607000000005</f>
        <v>2444.2545599999999</v>
      </c>
      <c r="Y127" s="3">
        <f>2823.6+(102.3-473.1)+(-2.880072+(-0.104346--0.482562))+0-92.5--0.0943500000000148</f>
        <v>2357.8924939999997</v>
      </c>
      <c r="Z127" s="3">
        <f>3204.4+(36.7-598.1)+(0+(0-0))+0-90.4-0</f>
        <v>2552.6</v>
      </c>
      <c r="AA127" s="3">
        <f>3297.1+(39.4-721.8)+(-3.363042+(-0.040188--0.736236))+0-80.2--0.0818040000000128</f>
        <v>2531.9148099999998</v>
      </c>
      <c r="AB127" s="3">
        <f>3118.5+(119.1-680)+(-3.18087+(-0.121482--0.6936))+0-82.7--0.0843540000000132</f>
        <v>2472.3756020000001</v>
      </c>
      <c r="AC127" s="3">
        <f>3047.5+(140.1-608.9)+(-1.554225+(-0.071451--0.310539))+0-92.2--0.0470219999999906</f>
        <v>2485.2318850000001</v>
      </c>
      <c r="AD127">
        <v>2507.0000000000005</v>
      </c>
      <c r="AE127" s="3">
        <f>3296+(46.8-757.2)+(0+(0-0))+0-78.6-0</f>
        <v>2507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2871.7+(140-571.7)+(0+(0-0))+0-89.8-0</f>
        <v>2350.1999999999998</v>
      </c>
      <c r="G128" s="3">
        <f>2757.9+(139.8-585.9)+(1.406529+(0.071298-0.298809))+0-90.9-0.0463589999999908</f>
        <v>2222.032659</v>
      </c>
      <c r="H128" s="3">
        <f>2552+(140.6-437.6)+(-5.20608+(-0.286824--0.892704))+0-91.3--0.186251999999996</f>
        <v>2159.2860519999999</v>
      </c>
      <c r="I128" s="3">
        <f>2585.8+(140.9-505.1)+(2.637516+(0.143718-0.515202))+0-92.7-0.0945540000000148</f>
        <v>2131.0714780000008</v>
      </c>
      <c r="J128" s="3">
        <f>2551.2+(126.4-505.5)+(-5.204448+(-0.257856--1.03122))+0-89.4--0.182375999999996</f>
        <v>2078.4512920000002</v>
      </c>
      <c r="K128" s="3">
        <f>2494.4+(123.6-535.4)+(-3.816432+(-0.189108--0.819162))+0-88.5--0.135405000000005</f>
        <v>1991.0490270000005</v>
      </c>
      <c r="L128" s="3">
        <f>2317+(110.4-394.9)+(-5.90835+(-0.28152--1.006995))+0-84.3--0.214964999999988</f>
        <v>1943.23209</v>
      </c>
      <c r="M128" s="3">
        <f>2330.9+(89.4-291.3)+(0+(0-0))+0-79.1-0</f>
        <v>2049.9</v>
      </c>
      <c r="N128" s="3">
        <f>2637+(94.7-433.8)+(6.72435+(0.241485-1.10619))+0-78.1-0.199154999999989</f>
        <v>2225.4604900000004</v>
      </c>
      <c r="O128" s="3">
        <f>2839.3+(106.1-514.5)+(0+(0-0))+0-78-0</f>
        <v>2352.9</v>
      </c>
      <c r="P128" s="3">
        <f>3029.7+(109.2-590.1)+(4.635441+(0.167076-0.902853))+0-77-0.117810000000004</f>
        <v>2475.5818539999996</v>
      </c>
      <c r="Q128" s="3">
        <f>3124+(74.3-564.9)+(4.77972+(0.113679-0.864297))+0-77.4-0.118422000000004</f>
        <v>2559.91068</v>
      </c>
      <c r="R128" s="3">
        <f>3114.5+(69.3-529.9)+(3.17679+(0.070686-0.540498))+0-77.6-0.0791520000000124</f>
        <v>2578.9278260000006</v>
      </c>
      <c r="S128" s="3">
        <f>3094.2+(50.3-506.9)+(-1.578042+(-0.025653--0.258519))+0-77.7--0.0396269999999921</f>
        <v>2558.5944510000004</v>
      </c>
      <c r="T128" s="3">
        <f>3125.2+(49.5-533.7)+(1.593852+(0.025245-0.272187))+0-77.9-0.0397289999999921</f>
        <v>2564.407181</v>
      </c>
      <c r="U128" s="3">
        <f>3131.3+(39.1-482.6)+(0+(0-0))+0-87-0</f>
        <v>2600.8000000000002</v>
      </c>
      <c r="V128" s="3">
        <f>3130+(57.3-524.2)+(-7.9815+(-0.146115--1.33671))+0-89.4--0.227969999999987</f>
        <v>2567.1370649999999</v>
      </c>
      <c r="W128" s="3">
        <f>3109.2+(74.9-582.8)+(-7.92846+(-0.190995--1.48614))+0-89.8--0.228989999999987</f>
        <v>2505.0956749999996</v>
      </c>
      <c r="X128" s="3">
        <f>2978.9+(101.7-543.9)+(-4.557717+(-0.155601--0.832167))+0-92.2--0.141066000000005</f>
        <v>2440.7599150000005</v>
      </c>
      <c r="Y128" s="3">
        <f>2649.1+(95.1-347.1)+(1.351041+(0.048501-0.177021))+0-84.9-0.0432989999999914</f>
        <v>2313.379222</v>
      </c>
      <c r="Z128" s="3">
        <f>3069.9+(22.1-465.3)+(0+(0-0))+0-90.9-0</f>
        <v>2535.8000000000002</v>
      </c>
      <c r="AA128" s="3">
        <f>3185.5+(26.9-549.3)+(-3.24921+(-0.027438--0.560286))+0-91.1--0.0929220000000145</f>
        <v>2569.3765599999997</v>
      </c>
      <c r="AB128" s="3">
        <f>3146+(76.3-649.3)+(-4.81338+(-0.116739--0.993429))+0-88.8--0.135864000000005</f>
        <v>2480.3991739999997</v>
      </c>
      <c r="AC128" s="3">
        <f>3092.3+(115.6-618.7)+(-1.577073+(-0.058956--0.315537))+0-91.1--0.0464609999999908</f>
        <v>2496.8259690000004</v>
      </c>
      <c r="AD128">
        <v>2578.8000000000002</v>
      </c>
      <c r="AE128" s="3">
        <f>3197+(30.8-554.8)+(0+(0-0))+0-94.2-0</f>
        <v>2578.8000000000002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2832.4+(139.2-574.6)+(-4.333572+(-0.212976--0.879138))+0-86.6--0.132498000000005</f>
        <v>2306.865088</v>
      </c>
      <c r="G129" s="3">
        <f>2680.2+(139.3-524.4)+(0+(0-0))+0-92.1-0</f>
        <v>2203</v>
      </c>
      <c r="H129" s="3">
        <f>2611.5+(138.9-493)+(-2.66373+(-0.141678--0.50286))+0-91.6--0.0934320000000146</f>
        <v>2163.5908840000002</v>
      </c>
      <c r="I129" s="3">
        <f>2640.6+(139.2-555.4)+(2.693412+(0.141984-0.566508))+0-92.1-0.0939420000000147</f>
        <v>2134.4749460000003</v>
      </c>
      <c r="J129" s="3">
        <f>2628.5+(139.4-584.2)+(0+(0-0))+0-88.4-0</f>
        <v>2095.2999999999997</v>
      </c>
      <c r="K129" s="3">
        <f>2575.2+(139.3-665)+(-3.940056+(-0.213129--1.01745))+0-80.6--0.123318000000005</f>
        <v>1965.8875829999999</v>
      </c>
      <c r="L129" s="3">
        <f>2327.2+(138.9-414.3)+(-3.560616+(-0.212517--0.633879))+0-86.3--0.132039000000005</f>
        <v>1962.4927849999997</v>
      </c>
      <c r="M129" s="3">
        <f>2517.4+(137.7-498.2)+(3.851622+(0.210681-0.762246))+0-82.8-0.126684000000005</f>
        <v>2077.273373</v>
      </c>
      <c r="N129" s="3">
        <f>2766.6+(130.8-504.3)+(1.410966+(0.066708-0.257193))+0-92.9-0.0473789999999906</f>
        <v>2301.3731019999996</v>
      </c>
      <c r="O129" s="3">
        <f>2934.2+(75.7-567.2)+(-1.496442+(-0.038607--0.289272))+0-91.8--0.0468179999999907</f>
        <v>2349.7010409999993</v>
      </c>
      <c r="P129" s="3">
        <f>3054+(60-553)+(3.11508+(0.0612-0.56406))+0-88.7-0.0904740000000141</f>
        <v>2474.8217460000001</v>
      </c>
      <c r="Q129" s="3">
        <f>3211.1+(63.3-632.5)+(8.188305+(0.161415-1.612875))+0-89.3-0.227714999999987</f>
        <v>2559.1091299999994</v>
      </c>
      <c r="R129" s="3">
        <f>3287+(71.6-663.6)+(-1.67637+(-0.036516--0.338436))+0-91--0.0464099999999908</f>
        <v>2602.6719600000001</v>
      </c>
      <c r="S129" s="3">
        <f>3278.4+(98.4-644.2)+(1.671984+(0.050184-0.328542))+0-86.7-0.0442169999999912</f>
        <v>2647.249409</v>
      </c>
      <c r="T129" s="3">
        <f>3257.1+(70-694.4)+(0+(0-0))+0-60-0</f>
        <v>2572.6999999999998</v>
      </c>
      <c r="U129" s="3">
        <f>3227.2+(48.1-644.1)+(-1.645872+(-0.024531--0.328491))+0-38.9--0.0198389999999961</f>
        <v>2590.9779269999999</v>
      </c>
      <c r="V129" s="3">
        <f>3221.7+(51.5-644.8)+(-3.286134+(-0.05253--0.657696))+0-66.2--0.0675240000000106</f>
        <v>2559.5865559999997</v>
      </c>
      <c r="W129" s="3">
        <f>3171+(63-647.3)+(-4.85163+(-0.09639--0.990369))+0-79.1--0.121023000000005</f>
        <v>2503.7633719999999</v>
      </c>
      <c r="X129" s="3">
        <f>2913.5+(73.4-517.1)+(-10.401195+(-0.262038--1.846047))+0-83.2--0.297024000000001</f>
        <v>2378.0798380000001</v>
      </c>
      <c r="Y129" s="3">
        <f>2583.2+(64-265.8)+(-1.317432+(-0.03264--0.135558))+0-80.8--0.0412079999999918</f>
        <v>2299.4266939999998</v>
      </c>
      <c r="Z129" s="3">
        <f>2995+(13.7-392)+(-4.58235+(-0.020961--0.59976))+0-79.8--0.122094000000005</f>
        <v>2533.0185429999997</v>
      </c>
      <c r="AA129" s="3">
        <f>3244.6+(20.3-614.2)+(-11.583222+(-0.072471--2.192694))+0-85.4--0.304878000000001</f>
        <v>2556.1418789999998</v>
      </c>
      <c r="AB129" s="3">
        <f>3084.2+(43.5-584)+(-4.718826+(-0.066555--0.89352))+0-53.5--0.0818550000000031</f>
        <v>2486.3899939999997</v>
      </c>
      <c r="AC129" s="3">
        <f>3050.8+(104.2-663.8)+(-3.111816+(-0.106284--0.677076))+0-25.6--0.0261120000000041</f>
        <v>2463.0850880000003</v>
      </c>
      <c r="AD129">
        <v>2603.6000000000004</v>
      </c>
      <c r="AE129" s="3">
        <f>3299+(10.9-609.1)+(0+(0-0))+0-97.2-0</f>
        <v>2603.6000000000004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2900+(123.1-661.6)+(-1.479+(-0.062781--0.337416))+0-21.7--0.0110669999999978</f>
        <v>2338.606702</v>
      </c>
      <c r="G130" s="3">
        <f>2721.3+(127.2-579.4)+(-4.163589+(-0.194616--0.886482))+0-22.3--0.0341190000000013</f>
        <v>2243.362396</v>
      </c>
      <c r="H130" s="3">
        <f>2640.8+(125.3-538.7)+(-2.693616+(-0.127806--0.549474))+0-38.4--0.0391680000000061</f>
        <v>2186.7672199999997</v>
      </c>
      <c r="I130" s="3">
        <f>2603.7+(129.7-509.8)+(2.655774+(0.132294-0.519996))+0-81.3-0.082926000000013</f>
        <v>2144.4851459999995</v>
      </c>
      <c r="J130" s="3">
        <f>2267.1+(137-203.9)+(-2.312442+(-0.13974--0.207978))+0-84.9--0.0865980000000135</f>
        <v>2113.1423939999995</v>
      </c>
      <c r="K130" s="3">
        <f>2280.8+(140.8-302)+(1.163208+(0.071808-0.15402))+0-86.8-0.0442679999999912</f>
        <v>2033.8367280000004</v>
      </c>
      <c r="L130" s="3">
        <f>2245.9+(140.5-302.5)+(-6.872454+(-0.42993--0.92565))+0-80.9--0.247554000000009</f>
        <v>1996.8708200000001</v>
      </c>
      <c r="M130" s="3">
        <f>2320+(139.8-255.3)+(0+(0-0))+0-75.4-0</f>
        <v>2129.1</v>
      </c>
      <c r="N130" s="3">
        <f>2563.7+(104.8-337.3)+(0+(0-0))+0-76.4-0</f>
        <v>2254.7999999999997</v>
      </c>
      <c r="O130" s="3">
        <f>2717.9+(57.1-331.6)+(-1.386129+(-0.029121--0.169116))+0-77.3--0.0394229999999922</f>
        <v>2364.8932890000001</v>
      </c>
      <c r="P130" s="3">
        <f>2947.2+(45.4-418)+(-1.503072+(-0.023154--0.21318))+0-82.8--0.0422279999999916</f>
        <v>2490.5291819999993</v>
      </c>
      <c r="Q130" s="3">
        <f>3096.6+(42.2-493.2)+(-3.158532+(-0.043044--0.503064))+0-67.6--0.0689520000000108</f>
        <v>2575.3704400000001</v>
      </c>
      <c r="R130" s="3">
        <f>3122.7+(52.8-513.8)+(-6.370308+(-0.107712--1.048152))+0-58.3--0.118931999999997</f>
        <v>2598.0890639999993</v>
      </c>
      <c r="S130" s="3">
        <f>3108.6+(46.7-505.5)+(-7.92693+(-0.119085--1.289025))+0-82--0.209099999999988</f>
        <v>2561.2521099999999</v>
      </c>
      <c r="T130" s="3">
        <f>3069.1+(62.1-494.6)+(-4.695723+(-0.095013--0.756738))+0-87.6--0.134028000000005</f>
        <v>2545.1000300000001</v>
      </c>
      <c r="U130" s="3">
        <f>3056.4+(66.7-558.9)+(0+(0-0))+0-36.2-0</f>
        <v>2528.0000000000005</v>
      </c>
      <c r="V130" s="3">
        <f>3008.8+(70.3-495.1)+(-1.534488+(-0.035853--0.252501))+0-82--0.0418199999999917</f>
        <v>2500.7239799999998</v>
      </c>
      <c r="W130" s="3">
        <f>2891+(97.4-449.5)+(-11.79528+(-0.397392--1.83396))+0-86.3--0.352103999999992</f>
        <v>2442.5933919999998</v>
      </c>
      <c r="X130" s="3">
        <f>2586.1+(118.7-304.4)+(-7.913466+(-0.363222--0.931464))+0-65.7--0.201042000000008</f>
        <v>2327.5558180000003</v>
      </c>
      <c r="Y130" s="3">
        <f>2345.6+(175.5-176.4)+(-5.98128+(-0.447525--0.44982))+0-52.2--0.133109999999992</f>
        <v>2286.654125</v>
      </c>
      <c r="Z130" s="3">
        <f>2793+(6.8-222.8)+(1.42443+(0.003468-0.113628))+0-86.1-0.0439109999999913</f>
        <v>2492.1703589999997</v>
      </c>
      <c r="AA130" s="3">
        <f>3051.5+(13.7-460.6)+(-7.781325+(-0.034935--1.17453))+0-85.7--0.218534999999988</f>
        <v>2512.4768050000002</v>
      </c>
      <c r="AB130" s="3">
        <f>2987.3+(63.1-501.8)+(-7.617615+(-0.160905--1.27959))+0-83.9--0.213944999999988</f>
        <v>2458.415015</v>
      </c>
      <c r="AC130" s="3">
        <f>2818.2+(124-464.1)+(-1.437282+(-0.06324--0.236691))+0-60.9--0.0310589999999938</f>
        <v>2415.9672279999995</v>
      </c>
      <c r="AD130">
        <v>2523.8999999999996</v>
      </c>
      <c r="AE130" s="3">
        <f>3064+(19.1-461.3)+(0+(0-0))+0-97.9-0</f>
        <v>2523.9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2825.3+(139.5-548)+(-1.440903+(-0.071145--0.27948))+0-83.5--0.0425849999999915</f>
        <v>2332.1100170000004</v>
      </c>
      <c r="G131" s="3">
        <f>2766.3+(141.2-562.1)+(-2.821626+(-0.144024--0.573342))+0-89.3--0.0910860000000142</f>
        <v>2253.7987779999999</v>
      </c>
      <c r="H131" s="3">
        <f>2474.6+(139.6-362)+(0+(0-0))+0-76.1-0</f>
        <v>2176.1</v>
      </c>
      <c r="I131" s="3">
        <f>2233.6+(140.9-173.2)+(-4.556544+(-0.287436--0.353328))+0-83--0.169319999999996</f>
        <v>2113.9786679999997</v>
      </c>
      <c r="J131" s="3">
        <f>2229+(140.3-230.1)+(-5.68395+(-0.357765--0.586755))+0-60--0.152999999999991</f>
        <v>2073.8980399999996</v>
      </c>
      <c r="K131" s="3">
        <f>2206.5+(123-254.2)+(-5.626575+(-0.31365--0.64821))+0-80.5--0.205274999999988</f>
        <v>1989.7132600000002</v>
      </c>
      <c r="L131" s="3">
        <f>2057.6+(98.6-160.8)+(-5.24688+(-0.25143--0.41004))+0-84.4--0.215219999999988</f>
        <v>1906.1269499999999</v>
      </c>
      <c r="M131" s="3">
        <f>2042.8+(139.5-155.9)+(-3.125484+(-0.213435--0.238527))+0-94.1--0.143973000000005</f>
        <v>1929.3435809999999</v>
      </c>
      <c r="N131" s="3">
        <f>2187.9+(79.1-160.2)+(-2.231658+(-0.080682--0.163404))+0-76.6--0.0781320000000122</f>
        <v>2028.1291960000003</v>
      </c>
      <c r="O131" s="3">
        <f>2362.7+(63.5-232.5)+(-1.204977+(-0.032385--0.118575))+0-77--0.0392699999999922</f>
        <v>2115.6204830000001</v>
      </c>
      <c r="P131" s="3">
        <f>2635.9+(65.6-394.5)+(1.344309+(0.033456-0.201195))+0-78.9-0.040238999999992</f>
        <v>2229.2363310000001</v>
      </c>
      <c r="Q131" s="3">
        <f>2754.7+(61-461.2)+(0+(0-0))+0-66.4-0</f>
        <v>2288.1</v>
      </c>
      <c r="R131" s="3">
        <f>2760.1+(65.6-415)+(1.407651+(0.033456-0.21165))+0-86.9-0.0443189999999912</f>
        <v>2324.9851379999996</v>
      </c>
      <c r="S131" s="3">
        <f>2784.6+(65.2-462.8)+(4.260438+(0.099756-0.708084))+0-56.3-0.0861390000000033</f>
        <v>2334.2659709999998</v>
      </c>
      <c r="T131" s="3">
        <f>2755.1+(62.1-409.8)+(-1.405101+(-0.031671--0.208998))+0-85--0.0433499999999914</f>
        <v>2321.2155760000001</v>
      </c>
      <c r="U131" s="3">
        <f>2697.5+(68.9-388)+(-5.5029+(-0.140556--0.79152))+0-74.1--0.151163999999997</f>
        <v>2299.599228</v>
      </c>
      <c r="V131" s="3">
        <f>2730+(61.5-402.8)+(-1.3923+(-0.031365--0.205428))+0-85.1--0.0434009999999914</f>
        <v>2302.4251639999998</v>
      </c>
      <c r="W131" s="3">
        <f>2536+(31.4-234.1)+(-6.4668+(-0.08007--0.596955))+0-78.6--0.200429999999989</f>
        <v>2248.950515</v>
      </c>
      <c r="X131" s="3">
        <f>2370.4+(67.4-172)+(-2.417808+(-0.068748--0.17544))+0-85.3--0.0870060000000136</f>
        <v>2178.2758900000003</v>
      </c>
      <c r="Y131" s="3">
        <f>2290.3+(147.5-176.8)+(-4.672212+(-0.3009--0.360672))+0-88.9--0.181355999999996</f>
        <v>2167.6689160000001</v>
      </c>
      <c r="Z131" s="3">
        <f>2694.2+(39.4-244.1)+(-5.496168+(-0.080376--0.497964))+0-92.3--0.188291999999996</f>
        <v>2392.3097119999998</v>
      </c>
      <c r="AA131" s="3">
        <f>3049.2+(8.3-520.3)+(-4.665276+(-0.012699--0.796059))+0-79.3--0.121329000000005</f>
        <v>2454.1394129999999</v>
      </c>
      <c r="AB131" s="3">
        <f>3085.4+(48.6-619)+(-4.720662+(-0.074358--0.94707))+0-78--0.119340000000005</f>
        <v>2433.2713900000003</v>
      </c>
      <c r="AC131" s="3">
        <f>3054.6+(111.7-680.6)+(0+(0-0))+0-75.6-0</f>
        <v>2410.1</v>
      </c>
      <c r="AD131">
        <v>2502.7999999999997</v>
      </c>
      <c r="AE131" s="3">
        <f>3120+(15.2-538.8)+(0+(0-0))+0-93.6-0</f>
        <v>2502.8000000000002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2890.6+(140.1-655)+(-5.896824+(-0.285804--1.3362))+0-82--0.167279999999996</f>
        <v>2289.0208520000001</v>
      </c>
      <c r="G132" s="3">
        <f>2733.7+(139.7-577.2)+(-4.182561+(-0.213741--0.883116))+0-85.5--0.130815000000005</f>
        <v>2207.3176289999997</v>
      </c>
      <c r="H132" s="3">
        <f>2692.8+(140-571.3)+(0+(0-0))+0-88.6-0</f>
        <v>2172.9</v>
      </c>
      <c r="I132" s="3">
        <f>2542.6+(139.6-481.9)+(-5.186904+(-0.284784--0.983076))+0-77.4--0.157895999999997</f>
        <v>2118.5692840000002</v>
      </c>
      <c r="J132" s="3">
        <f>2229.4+(139.5-224.2)+(-4.547976+(-0.28458--0.457368))+0-74--0.150959999999997</f>
        <v>2066.4757720000002</v>
      </c>
      <c r="K132" s="3">
        <f>2235.8+(140-306.4)+(-5.70129+(-0.357--0.78132))+0-81.8--0.208589999999988</f>
        <v>1982.5316200000002</v>
      </c>
      <c r="L132" s="3">
        <f>2236.6+(139.3-320.8)+(-5.70333+(-0.355215--0.81804))+0-76.3--0.194564999999989</f>
        <v>1973.7540599999998</v>
      </c>
      <c r="M132" s="3">
        <f>2437.9+(139.1-342.5)+(3.729987+(0.212823-0.524025))+0-91.4-0.139842000000005</f>
        <v>2146.3789429999997</v>
      </c>
      <c r="N132" s="3">
        <f>2756.8+(138.9-484.8)+(-1.405968+(-0.070839--0.247248))+0-86.5--0.0441149999999912</f>
        <v>2323.2145560000004</v>
      </c>
      <c r="O132" s="3">
        <f>3014.5+(105.7-563.8)+(0+(0-0))+0-69.6-0</f>
        <v>2486.8000000000002</v>
      </c>
      <c r="P132" s="3">
        <f>3095.3+(73.2-469.1)+(3.157206+(0.074664-0.478482))+0-87.2-0.0889440000000139</f>
        <v>2614.8644440000003</v>
      </c>
      <c r="Q132" s="3">
        <f>3190.3+(53.5-484.6)+(3.254106+(0.05457-0.494292))+0-79-0.0805800000000126</f>
        <v>2682.9338040000002</v>
      </c>
      <c r="R132" s="3">
        <f>3391+(18.6-577.7)+(3.45882+(0.018972-0.589254))+0-88.3-0.0900660000000141</f>
        <v>2746.3984719999999</v>
      </c>
      <c r="S132" s="3">
        <f>3475.6+(47.7-700)+(-1.772556+(-0.024327--0.357))+0-81.1--0.0413609999999918</f>
        <v>2740.8014780000003</v>
      </c>
      <c r="T132" s="3">
        <f>3442.6+(63.9-736)+(-3.511452+(-0.065178--0.75072))+0-75.5--0.077010000000012</f>
        <v>2692.2511</v>
      </c>
      <c r="U132" s="3">
        <f>3425.3+(55.8-715.5)+(5.240709+(0.085374-1.094715))+0-74.7-0.114291000000004</f>
        <v>2695.0170770000009</v>
      </c>
      <c r="V132" s="3">
        <f>3339.8+(38.9-638.8)+(0+(0-0))+0-75.6-0</f>
        <v>2664.3</v>
      </c>
      <c r="W132" s="3">
        <f>3270.5+(47.6-624.3)+(1.667955+(0.024276-0.318393))+0-60.6-0.0309059999999939</f>
        <v>2634.5429320000003</v>
      </c>
      <c r="X132" s="3">
        <f>3034.1+(60.3-517)+(-4.642173+(-0.092259--0.79101))+0-80.8--0.123624000000005</f>
        <v>2492.7802019999999</v>
      </c>
      <c r="Y132" s="3">
        <f>2741.1+(62.7-326.8)+(-2.795922+(-0.063954--0.333336))+0-87.1--0.0888420000000139</f>
        <v>2387.4623020000004</v>
      </c>
      <c r="Z132" s="3">
        <f>3070.8+(9.3-387)+(1.566108+(0.004743-0.19737))+0-81.8-0.0417179999999917</f>
        <v>2612.6317630000003</v>
      </c>
      <c r="AA132" s="3">
        <f>3147.9+(12.2-478.7)+(-3.210858+(-0.012444--0.488274))+0-80--0.0816000000000128</f>
        <v>2598.746572</v>
      </c>
      <c r="AB132" s="3">
        <f>3161.5+(34.1-551.6)+(-3.22473+(-0.034782--0.562632))+0-86.3--0.0880260000000138</f>
        <v>2555.0911459999998</v>
      </c>
      <c r="AC132" s="3">
        <f>3138.7+(100.5-653.4)+(3.201474+(0.10251-0.666468))+0-79.9-0.0814980000000127</f>
        <v>2508.4560179999994</v>
      </c>
      <c r="AD132">
        <v>2617</v>
      </c>
      <c r="AE132" s="3">
        <f>3175+(9.1-472.1)+(0+(0-0))+0-95-0</f>
        <v>2617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2848.6+(138.2-465.6)+(-7.26393+(-0.35241--1.18728))+0-77.8--0.198389999999989</f>
        <v>2437.1693299999997</v>
      </c>
      <c r="G133" s="3">
        <f>2588.9+(140.2-324.2)+(-3.961017+(-0.214506--0.496026))+0-82--0.125460000000005</f>
        <v>2319.3459630000002</v>
      </c>
      <c r="H133" s="3">
        <f>2433.4+(139.7-285.6)+(-6.20517+(-0.356235--0.72828))+0-83--0.211649999999988</f>
        <v>2198.8785250000001</v>
      </c>
      <c r="I133" s="3">
        <f>2391.5+(139.6-262.6)+(-4.87866+(-0.284784--0.535704))+0-81.9--0.167075999999996</f>
        <v>2182.1393360000002</v>
      </c>
      <c r="J133" s="3">
        <f>2255.6+(140.2-183)+(-3.451068+(-0.214506--0.27999))+0-80.5--0.123165000000005</f>
        <v>2129.0375809999996</v>
      </c>
      <c r="K133" s="3">
        <f>2246+(139.7-234.7)+(-3.43638+(-0.213741--0.359091))+0-92.5--0.141525000000005</f>
        <v>2055.3504950000001</v>
      </c>
      <c r="L133" s="3">
        <f>2243.1+(139.3-293.4)+(-2.287962+(-0.142086--0.299268))+0-71.8--0.0732360000000114</f>
        <v>2015.142456</v>
      </c>
      <c r="M133" s="3">
        <f>2629.2+(138-521.1)+(2.681784+(0.14076-0.531522))+0-59.1-0.0602820000000094</f>
        <v>2189.23074</v>
      </c>
      <c r="N133" s="3">
        <f>2843.1+(125.5-542)+(-5.799924+(-0.25602--1.10568))+0-75.3--0.153611999999997</f>
        <v>2346.5033479999997</v>
      </c>
      <c r="O133" s="3">
        <f>3076.2+(128.1-633.3)+(1.568862+(0.065331-0.322983))+0-78-0.0397799999999921</f>
        <v>2494.2714299999998</v>
      </c>
      <c r="P133" s="3">
        <f>3253.2+(122.1-674.5)+(3.318264+(0.124542-0.68799))+0-75.3-0.076806000000012</f>
        <v>2628.1780099999996</v>
      </c>
      <c r="Q133" s="3">
        <f>3324+(69.2-628.7)+(5.08572+(0.105876-0.961911))+0-80.2-0.122706000000005</f>
        <v>2688.4069789999999</v>
      </c>
      <c r="R133" s="3">
        <f>3329.8+(52.8-587.5)+(1.698198+(0.026928-0.299625))+0-68.4-0.0348839999999931</f>
        <v>2728.0906170000003</v>
      </c>
      <c r="S133" s="3">
        <f>3335.2+(39.8-606.5)+(-1.700952+(-0.020298--0.309315))+0-56.3--0.0287129999999943</f>
        <v>2710.8167779999999</v>
      </c>
      <c r="T133" s="3">
        <f>3293.2+(52.6-569.5)+(0+(0-0))+0-71.2-0</f>
        <v>2705.1</v>
      </c>
      <c r="U133" s="3">
        <f>3261.5+(48.2-594.9)+(-4.990095+(-0.073746--0.910197))+0-38--0.0581400000000022</f>
        <v>2672.7044960000003</v>
      </c>
      <c r="V133" s="3">
        <f>3253.7+(32.6-542.1)+(-3.318774+(-0.033252--0.552942))+0-90.5--0.0923100000000144</f>
        <v>2650.9932259999996</v>
      </c>
      <c r="W133" s="3">
        <f>3255.7+(43.4-588.7)+(-1.660407+(-0.022134--0.300237))+0-86.2--0.0439619999999913</f>
        <v>2622.8616579999998</v>
      </c>
      <c r="X133" s="3">
        <f>3207.5+(50.1-647.6)+(-3.27165+(-0.051102--0.660552))+0-82.9--0.0845580000000132</f>
        <v>2524.5223579999997</v>
      </c>
      <c r="Y133" s="3">
        <f>3118.2+(31.6-584.9)+(3.180564+(0.032232-0.596598))+0-87.3-0.0890460000000139</f>
        <v>2480.1271519999996</v>
      </c>
      <c r="Z133" s="3">
        <f>3463.7+(3.8-680.7)+(-1.766487+(-0.001938--0.347157))+0-79.5--0.0405449999999919</f>
        <v>2705.9192769999995</v>
      </c>
      <c r="AA133" s="3">
        <f>3502.5+(0-708.4)+(-8.931375+(0--1.80642))+0-83.2--0.212159999999988</f>
        <v>2703.9872050000004</v>
      </c>
      <c r="AB133" s="3">
        <f>3388.3+(2.8-696.5)+(1.728033+(0.001428-0.355215))+0-41.8-0.0213179999999958</f>
        <v>2654.152928</v>
      </c>
      <c r="AC133" s="3">
        <f>3302+(11.4-682.8)+(-1.68402+(-0.005814--0.348228))+0-32.9--0.0167789999999967</f>
        <v>2596.3751729999999</v>
      </c>
      <c r="AD133">
        <v>2784.4</v>
      </c>
      <c r="AE133" s="3">
        <f>3556+(0-752.2)+(0+(0-0))+0-19.4-0</f>
        <v>2784.4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3063.9+(53.7-579.5)+(-7.812945+(-0.136935--1.477725))+0-75.9--0.193544999999989</f>
        <v>2455.9213900000004</v>
      </c>
      <c r="G134" s="3">
        <f>2796.2+(86.2-454.7)+(-5.704248+(-0.175848--0.927588))+0-87.1--0.177683999999996</f>
        <v>2335.8251759999998</v>
      </c>
      <c r="H134" s="3">
        <f>2743.3+(97-484.5)+(-9.793581+(-0.34629--1.729665))+0-81.4--0.290598000000001</f>
        <v>2266.2803920000001</v>
      </c>
      <c r="I134" s="3">
        <f>2787.6+(102.5-502.9)+(-1.421676+(-0.052275--0.256479))+0-81.7--0.0416669999999917</f>
        <v>2304.3241950000001</v>
      </c>
      <c r="J134" s="3">
        <f>2759.4+(113.9-523.7)+(-1.407294+(-0.058089--0.267087))+0-86.1--0.0439109999999913</f>
        <v>2262.3456150000002</v>
      </c>
      <c r="K134" s="3">
        <f>2499+(134-453.6)+(-1.27449+(-0.06834--0.231336))+0-91.3--0.0465629999999907</f>
        <v>2087.0350689999996</v>
      </c>
      <c r="L134" s="3">
        <f>2490.4+(119.7-457.6)+(-2.540208+(-0.122094--0.466752))+0-76.1--0.0776220000000121</f>
        <v>2074.282072</v>
      </c>
      <c r="M134" s="3">
        <f>2578.9+(59.8-377)+(3.945717+(0.091494-0.57681))+0-58.3-0.0891990000000034</f>
        <v>2206.7712019999999</v>
      </c>
      <c r="N134" s="3">
        <f>2985.3+(1.6-520.1)+(-1.522503+(-0.000816--0.265251))+0-89.1--0.045440999999991</f>
        <v>2376.4873730000004</v>
      </c>
      <c r="O134" s="3">
        <f>3234.8+(0-584.6)+(4.949244+(0-0.894438))+0-91.9-0.140607000000005</f>
        <v>2562.2141990000005</v>
      </c>
      <c r="P134" s="3">
        <f>3339.5+(0-616)+(3.40629+(0-0.62832))+0-78.6-0.0801720000000125</f>
        <v>2647.5977980000002</v>
      </c>
      <c r="Q134" s="3">
        <f>3436.2+(0-630.1)+(3.504924+(0-0.642702))+0-82.4-0.0840480000000131</f>
        <v>2726.4781739999999</v>
      </c>
      <c r="R134" s="3">
        <f>3463+(0-693.4)+(0+(0-0))+0-25.5-0</f>
        <v>2744.1</v>
      </c>
      <c r="S134" s="3">
        <f>3489.3+(0-650.2)+(-1.779543+(0--0.331602))+0-76.1--0.0388109999999923</f>
        <v>2761.5908700000005</v>
      </c>
      <c r="T134" s="3">
        <f>3521.4+(0-679.4)+(-3.591828+(0--0.692988))+0-82.8--0.0844560000000132</f>
        <v>2756.385616</v>
      </c>
      <c r="U134" s="3">
        <f>3459.1+(0-712.9)+(-7.056564+(0--1.454316))+0-47.4--0.0966959999999979</f>
        <v>2693.2944479999996</v>
      </c>
      <c r="V134" s="3">
        <f>3434.6+(0-676.8)+(-1.751646+(0--0.345168))+0-94.2--0.0480419999999904</f>
        <v>2662.2415640000004</v>
      </c>
      <c r="W134" s="3">
        <f>3342.9+(0-676.3)+(-3.409758+(0--0.689826))+0-71.2--0.0726240000000114</f>
        <v>2592.7526920000005</v>
      </c>
      <c r="X134" s="3">
        <f>3284+(0-670.3)+(-5.02452+(0--1.025559))+0-79.6--0.121788000000005</f>
        <v>2530.2228270000001</v>
      </c>
      <c r="Y134" s="3">
        <f>3266.1+(0-694.4)+(3.331422+(0-0.708288))+0-68.1-0.0694620000000108</f>
        <v>2506.1536719999999</v>
      </c>
      <c r="Z134" s="3">
        <f>3475.2+(0-679)+(1.772352+(0-0.34629))+0-79-0.040289999999992</f>
        <v>2718.5857719999999</v>
      </c>
      <c r="AA134" s="3">
        <f>3530.6+(0-737.3)+(-1.800606+(0--0.376023))+0-74.1--0.0377909999999925</f>
        <v>2717.8132080000005</v>
      </c>
      <c r="AB134" s="3">
        <f>3444+(0-680.8)+(-3.51288+(0--0.694416))+0-78--0.0795600000000124</f>
        <v>2682.461096</v>
      </c>
      <c r="AC134" s="3">
        <f>3331.7+(14.2-627.6)+(1.699167+(0.007242-0.320076))+0-89.9-0.0458489999999909</f>
        <v>2629.7404839999995</v>
      </c>
      <c r="AD134">
        <v>2758.6</v>
      </c>
      <c r="AE134" s="3">
        <f>3555+(0-701)+(0+(0-0))+0-95.4-0</f>
        <v>2758.6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3176.2+(61.4-636.9)+(1.619862+(0.031314-0.324819))+0-83.1-0.0423809999999916</f>
        <v>2518.8839759999996</v>
      </c>
      <c r="G135" s="3">
        <f>3060.4+(84.8-620.8)+(-6.243216+(-0.172992--1.266432))+0-90--0.183599999999996</f>
        <v>2429.4338239999997</v>
      </c>
      <c r="H135" s="3">
        <f>2815.3+(92.2-560.4)+(-1.435803+(-0.047022--0.285804))+0-62.9--0.0320789999999936</f>
        <v>2283.0350580000004</v>
      </c>
      <c r="I135" s="3">
        <f>2752.1+(97.4-390)+(4.210713+(0.149022-0.5967))+0-84-0.128520000000005</f>
        <v>2379.1345149999997</v>
      </c>
      <c r="J135" s="3">
        <f>2729.6+(63.8-444.4)+(-1.392096+(-0.032538--0.226644))+0-78.2--0.0398819999999921</f>
        <v>2269.6418920000001</v>
      </c>
      <c r="K135" s="3">
        <f>2561+(105.8-444.5)+(0+(0-0))+0-84.4-0</f>
        <v>2137.9</v>
      </c>
      <c r="L135" s="3">
        <f>2432.9+(114.2-395)+(-2.481558+(-0.116484--0.4029))+0-23.7--0.0241740000000038</f>
        <v>2126.2290320000002</v>
      </c>
      <c r="M135" s="3">
        <f>2425.5+(74.8-295.1)+(0+(0-0))+0-22.6-0</f>
        <v>2182.6</v>
      </c>
      <c r="N135" s="3">
        <f>2830.5+(5.7-457.9)+(1.443555+(0.002907-0.233529))+0-21.3-0.0108629999999978</f>
        <v>2358.2020699999998</v>
      </c>
      <c r="O135" s="3">
        <f>3187.7+(6.8-653.7)+(6.502908+(0.013872-1.333548))+0-18.2-0.0371279999999992</f>
        <v>2527.7461039999998</v>
      </c>
      <c r="P135" s="3">
        <f>3354.7+(0-685.4)+(3.421794+(0-0.699108))+0-18.9-0.019278000000003</f>
        <v>2653.1034079999995</v>
      </c>
      <c r="Q135" s="3">
        <f>3437.9+(0-687.8)+(3.506658+(0-0.701556))+0-18.7-0.019074000000003</f>
        <v>2734.1860280000005</v>
      </c>
      <c r="R135" s="3">
        <f>3525.3+(0-762.4)+(-5.393709+(0--1.166472))+0-19.2--0.0293760000000011</f>
        <v>2739.5021390000002</v>
      </c>
      <c r="S135" s="3">
        <f>3496.6+(0-714.5)+(-3.566532+(0--0.72879))+0-20.3--0.0207060000000032</f>
        <v>2758.9829639999994</v>
      </c>
      <c r="T135" s="3">
        <f>3502.6+(0-762.4)+(0+(0-0))+0-20-0</f>
        <v>2720.2</v>
      </c>
      <c r="U135" s="3">
        <f>3449.6+(0-685.4)+(-3.518592+(0--0.699108))+0-71.2--0.0726240000000114</f>
        <v>2690.2531399999998</v>
      </c>
      <c r="V135" s="3">
        <f>3380.5+(0-635.8)+(5.172165+(0-0.972774))+0-78.5-0.120105000000005</f>
        <v>2670.279286</v>
      </c>
      <c r="W135" s="3">
        <f>3314.7+(0-614.1)+(-5.071491+(0--0.939573))+0-78.8--0.120564000000005</f>
        <v>2617.7886459999995</v>
      </c>
      <c r="X135" s="3">
        <f>3240.1+(6-646.8)+(-6.609804+(-0.01224--1.319472))+0-81.4--0.166055999999996</f>
        <v>2512.7634840000001</v>
      </c>
      <c r="Y135" s="3">
        <f>3246+(0-634.5)+(1.65546+(0-0.323595))+0-82.9-0.0422789999999916</f>
        <v>2529.8895860000002</v>
      </c>
      <c r="Z135" s="3">
        <f>3464.8+(0-649.8)+(1.767048+(0-0.331398))+0-76.5-0.0390149999999922</f>
        <v>2739.8966350000001</v>
      </c>
      <c r="AA135" s="3">
        <f>3514.8+(0-723.1)+(-8.96274+(0--1.843905))+0-51.9--0.132344999999992</f>
        <v>2732.81351</v>
      </c>
      <c r="AB135" s="3">
        <f>3427.2+(26.4-678.9)+(-3.495744+(-0.026928--0.692478))+0-70.4--0.0718080000000112</f>
        <v>2701.5416139999998</v>
      </c>
      <c r="AC135" s="3">
        <f>3380.9+(94.8-689.4)+(-1.724259+(-0.048348--0.351594))+0-98.1--0.05003099999999</f>
        <v>2686.8290180000004</v>
      </c>
      <c r="AD135">
        <v>2727.9</v>
      </c>
      <c r="AE135" s="3">
        <f>3518+(0-691.1)+(0+(0-0))+0-99-0</f>
        <v>2727.9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3093.8+(117.5-647.5)+(-1.577838+(-0.059925--0.330225))+0-59.3--0.030242999999994</f>
        <v>2503.2227050000001</v>
      </c>
      <c r="G136" s="3">
        <f>3003.8+(120.7-636.8)+(-7.65969+(-0.307785--1.62384))+0-68.3--0.17416499999999</f>
        <v>2413.2305299999998</v>
      </c>
      <c r="H136" s="3">
        <f>2962.4+(140.4-655.6)+(-3.021648+(-0.143208--0.668712))+0-91.3--0.0931260000000146</f>
        <v>2353.4969819999997</v>
      </c>
      <c r="I136" s="3">
        <f>2971.3+(141.2-620.5)+(1.515363+(0.072012-0.316455))+0-79.9-0.0407489999999919</f>
        <v>2413.3301710000001</v>
      </c>
      <c r="J136" s="3">
        <f>2900+(141.1-645.4)+(-1.479+(-0.071961--0.329154))+0-74.4--0.0379439999999925</f>
        <v>2320.116137</v>
      </c>
      <c r="K136" s="3">
        <f>2762+(140.9-648)+(-1.40862+(-0.071859--0.33048))+0-75.2--0.0383519999999924</f>
        <v>2178.5883530000001</v>
      </c>
      <c r="L136" s="3">
        <f>2586.7+(140-521.1)+(-3.957651+(-0.2142--0.797283))+0-82.2--0.125766000000005</f>
        <v>2120.151198</v>
      </c>
      <c r="M136" s="3">
        <f>2723.4+(90.1-497.9)+(1.388934+(0.045951-0.253929))+0-78.5-0.040034999999992</f>
        <v>2238.2409210000005</v>
      </c>
      <c r="N136" s="3">
        <f>3047.1+(56-617.3)+(0+(0-0))+0-77.4-0</f>
        <v>2408.4</v>
      </c>
      <c r="O136" s="3">
        <f>3217.5+(5.2-564.1)+(4.922775+(0.007956-0.863073))+0-65.4-0.100062000000004</f>
        <v>2597.1675959999998</v>
      </c>
      <c r="P136" s="3">
        <f>3281.1+(68.6-624.9)+(3.346722+(0.069972-0.637398))+0-79.2-0.0807840000000126</f>
        <v>2648.2985120000003</v>
      </c>
      <c r="Q136" s="3">
        <f>3430.8+(22.5-604.5)+(5.249124+(0.034425-0.924885))+0-76-0.116280000000004</f>
        <v>2777.0423839999999</v>
      </c>
      <c r="R136" s="3">
        <f>3551.8+(4.4-651.5)+(-1.811418+(-0.002244--0.332265))+0-74.7--0.0380969999999924</f>
        <v>2828.5567000000005</v>
      </c>
      <c r="S136" s="3">
        <f>3534.3+(13.9-671.4)+(-1.802493+(-0.007089--0.342414))+0-80.3--0.0409529999999919</f>
        <v>2795.073785</v>
      </c>
      <c r="T136" s="3">
        <f>3532.4+(8.9-667.7)+(1.801524+(0.004539-0.340527))+0-75.8-0.0386579999999923</f>
        <v>2799.2268779999999</v>
      </c>
      <c r="U136" s="3">
        <f>3519.8+(9.8-702.7)+(1.795098+(0.004998-0.358377))+0-74.7-0.0380969999999924</f>
        <v>2753.6036220000001</v>
      </c>
      <c r="V136" s="3">
        <f>3479.5+(10-705.3)+(-1.774545+(-0.0051--0.359703))+0-75.6--0.0385559999999923</f>
        <v>2707.2186139999999</v>
      </c>
      <c r="W136" s="3">
        <f>3449.6+(19.2-716.8)+(-5.277888+(-0.029376--1.096704))+0-84.5--0.129285000000005</f>
        <v>2663.418725</v>
      </c>
      <c r="X136" s="3">
        <f>3334.8+(23.5-707.6)+(-1.700748+(-0.011985--0.360876))+0-79.7--0.0406469999999919</f>
        <v>2569.6887900000002</v>
      </c>
      <c r="Y136" s="3">
        <f>3276.8+(0-609.8)+(-3.342336+(0--0.621996))+0-80.2--0.0818040000000128</f>
        <v>2584.1614640000003</v>
      </c>
      <c r="Z136" s="3">
        <f>3560.6+(0-692.7)+(-3.631812+(0--0.706554))+0-75.4--0.076908000000012</f>
        <v>2789.6516499999993</v>
      </c>
      <c r="AA136" s="3">
        <f>3563.1+(0-713.6)+(-5.451543+(0--1.091808))+0-69.8--0.106794000000004</f>
        <v>2775.4470589999996</v>
      </c>
      <c r="AB136" s="3">
        <f>3563.4+(13.5-746.5)+(1.817334+(0.006885-0.380715))+0-76.3-0.0389129999999923</f>
        <v>2755.5045909999999</v>
      </c>
      <c r="AC136" s="3">
        <f>3429.8+(83.4-723.3)+(-1.749198+(-0.042534--0.368883))+0-86.3--0.0440129999999912</f>
        <v>2702.221164</v>
      </c>
      <c r="AD136">
        <v>2800</v>
      </c>
      <c r="AE136" s="3">
        <f>3563+(20.5-691)+(0+(0-0))+0-92.5-0</f>
        <v>2800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3215.1+(92-674.1)+(0+(0-0))+0-59.4-0</f>
        <v>2573.6</v>
      </c>
      <c r="G137" s="3">
        <f>3065.2+(91.3-630.1)+(-1.563252+(-0.046563--0.321351))+0-56.6--0.0288659999999943</f>
        <v>2468.5404019999996</v>
      </c>
      <c r="H137" s="3">
        <f>2751+(107.3-442.6)+(-2.80602+(-0.109446--0.451452))+0-25.2--0.025704000000004</f>
        <v>2388.06169</v>
      </c>
      <c r="I137" s="3">
        <f>2752.6+(117-356.4)+(-2.807652+(-0.11934--0.363528))+0-93.9--0.095778000000015</f>
        <v>2416.8323139999998</v>
      </c>
      <c r="J137" s="3">
        <f>2851.6+(118.5-544.6)+(-5.817264+(-0.24174--1.110984))+0-66.6--0.135863999999997</f>
        <v>2354.0878440000001</v>
      </c>
      <c r="K137" s="3">
        <f>2656.9+(122.5-473.6)+(-5.420076+(-0.2499--0.966144))+0-81.3--0.165851999999996</f>
        <v>2219.9620199999999</v>
      </c>
      <c r="L137" s="3">
        <f>2536.1+(111.4-395.5)+(-5.173644+(-0.227256--0.80682))+0-80.5--0.164219999999996</f>
        <v>2167.0701400000003</v>
      </c>
      <c r="M137" s="3">
        <f>2618.7+(85.5-371)+(6.677685+(0.218025-0.94605))+0-86.8-0.221339999999987</f>
        <v>2252.1283199999998</v>
      </c>
      <c r="N137" s="3">
        <f>2981.2+(57.1-506.1)+(3.040824+(0.058242-0.516222))+0-91.1-0.0929220000000145</f>
        <v>2443.5899220000001</v>
      </c>
      <c r="O137" s="3">
        <f>3214.7+(50.1-567.7)+(3.278994+(0.051102-0.579054))+0-82.8-0.0844560000000132</f>
        <v>2616.9665859999996</v>
      </c>
      <c r="P137" s="3">
        <f>3375.9+(21.3-597.8)+(5.165127+(0.032589-0.914634))+0-80.1-0.122553000000005</f>
        <v>2723.460529</v>
      </c>
      <c r="Q137" s="3">
        <f>3429.2+(23.5-603.3)+(6.995568+(0.04794-1.230732))+0-87.4-0.178295999999996</f>
        <v>2767.6344799999997</v>
      </c>
      <c r="R137" s="3">
        <f>3500.3+(25.5-664.1)+(3.570306+(0.02601-0.677382))+0-80.4-0.0820080000000128</f>
        <v>2784.1369260000001</v>
      </c>
      <c r="S137" s="3">
        <f>3419.2+(31.5-603.2)+(-1.743792+(-0.016065--0.307632))+0-68.2--0.0347819999999931</f>
        <v>2777.8825570000004</v>
      </c>
      <c r="T137" s="3">
        <f>3428.9+(31.2-626.8)+(-1.748739+(-0.015912--0.319668))+0-65.1--0.0332009999999934</f>
        <v>2766.7882180000006</v>
      </c>
      <c r="U137" s="3">
        <f>3403.3+(28.2-652.2)+(-6.942732+(-0.057528--1.330488))+0-56.8--0.115871999999998</f>
        <v>2716.9460999999997</v>
      </c>
      <c r="V137" s="3">
        <f>3440.1+(23-694.2)+(1.754451+(0.01173-0.354042))+0-76-0.0387599999999923</f>
        <v>2694.2733789999997</v>
      </c>
      <c r="W137" s="3">
        <f>3388.4+(32.8-693.3)+(-5.184252+(-0.050184--1.060749))+0-89.5--0.136935000000005</f>
        <v>2634.3632480000001</v>
      </c>
      <c r="X137" s="3">
        <f>3279.5+(29.1-692)+(-3.34509+(-0.029682--0.70584))+0-81--0.0826200000000129</f>
        <v>2533.013688</v>
      </c>
      <c r="Y137" s="3">
        <f>3264.7+(12.6-638.5)+(0+(0-0))+0-85.4-0</f>
        <v>2553.3999999999996</v>
      </c>
      <c r="Z137" s="3">
        <f>3522.3+(0-704)+(-3.592746+(0--0.71808))+0-86.4--0.0881280000000138</f>
        <v>2729.1134619999998</v>
      </c>
      <c r="AA137" s="3">
        <f>3505.5+(0-691.2)+(-8.939025+(0--1.76256))+0-82.7--0.210884999999988</f>
        <v>2724.6344200000003</v>
      </c>
      <c r="AB137" s="3">
        <f>3426.5+(8.2-655.7)+(-3.49503+(-0.008364--0.668814))+0-81.8--0.083436000000013</f>
        <v>2694.4488559999995</v>
      </c>
      <c r="AC137" s="3">
        <f>3357.9+(59-711)+(-3.425058+(-0.06018--0.72522))+0-40.8--0.0416160000000065</f>
        <v>2662.3815979999999</v>
      </c>
      <c r="AD137">
        <v>2753.5</v>
      </c>
      <c r="AE137" s="3">
        <f>3583+(0-722.6)+(0+(0-0))+0-106.9-0</f>
        <v>2753.5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3318.1+(35.4-679.7)+(-1.692231+(-0.018054--0.346647))+0-87.4--0.0445739999999911</f>
        <v>2585.0809359999998</v>
      </c>
      <c r="G138" s="3">
        <f>3137.5+(65.8-653.8)+(-3.20025+(-0.067116--0.666876))+0-82.7--0.0843540000000132</f>
        <v>2464.2838640000004</v>
      </c>
      <c r="H138" s="3">
        <f>2992.3+(73.2-573.3)+(-9.156438+(-0.223992--1.754298))+0-83.4--0.25520400000001</f>
        <v>2401.4290720000004</v>
      </c>
      <c r="I138" s="3">
        <f>2895.3+(78.4-460.3)+(2.953206+(0.079968-0.469506))+0-87.3-0.0890460000000139</f>
        <v>2428.5746219999996</v>
      </c>
      <c r="J138" s="3">
        <f>2945.8+(60.2-581)+(-1.502358+(-0.030702--0.29631))+0-65.3--0.0333029999999934</f>
        <v>2358.4965529999999</v>
      </c>
      <c r="K138" s="3">
        <f>2688.6+(10.3-441.7)+(-1.371186+(-0.005253--0.225267))+0-86.5--0.0441149999999912</f>
        <v>2169.5929430000001</v>
      </c>
      <c r="L138" s="3">
        <f>2366.7+(11-213.7)+(-4.828068+(-0.02244--0.435948))+0-81--0.165239999999996</f>
        <v>2078.7506799999996</v>
      </c>
      <c r="M138" s="3">
        <f>2331.6+(15.4-175.1)+(-4.756464+(-0.031416--0.357204))+0-74.4--0.151775999999997</f>
        <v>2093.2211000000002</v>
      </c>
      <c r="N138" s="3">
        <f>2438.8+(9-218.8)+(0+(0-0))+0-64.8-0</f>
        <v>2164.1999999999998</v>
      </c>
      <c r="O138" s="3">
        <f>2697.4+(11-358.9)+(0+(0-0))+0-65.4-0</f>
        <v>2284.1</v>
      </c>
      <c r="P138" s="3">
        <f>2869.9+(12-417.1)+(-2.927298+(-0.01224--0.425442))+0-89--0.0907800000000142</f>
        <v>2373.3766840000003</v>
      </c>
      <c r="Q138" s="3">
        <f>2959.2+(10-429.8)+(3.018384+(0.0102-0.438396))+0-87-0.0887400000000139</f>
        <v>2454.9014479999996</v>
      </c>
      <c r="R138" s="3">
        <f>3109.2+(0-530.6)+(-3.171384+(0--0.541212))+0-86.5--0.0882300000000138</f>
        <v>2489.5580579999996</v>
      </c>
      <c r="S138" s="3">
        <f>3199+(0-605.8)+(1.63149+(0-0.308958))+0-80.5-0.0410549999999918</f>
        <v>2513.9814769999998</v>
      </c>
      <c r="T138" s="3">
        <f>3172.8+(0-561.9)+(-1.618128+(0--0.286569))+0-78.3--0.0399329999999921</f>
        <v>2531.3083739999997</v>
      </c>
      <c r="U138" s="3">
        <f>3179.6+(0-582.1)+(-1.621596+(0--0.296871))+0-74.5--0.0379949999999924</f>
        <v>2521.7132700000002</v>
      </c>
      <c r="V138" s="3">
        <f>3183.3+(0-611.6)+(0+(0-0))+0-66.4-0</f>
        <v>2505.3000000000002</v>
      </c>
      <c r="W138" s="3">
        <f>3128+(0-586.7)+(-6.38112+(0--1.196868))+0-86.8--0.177071999999996</f>
        <v>2449.4928199999999</v>
      </c>
      <c r="X138" s="3">
        <f>2867.5+(0-413.7)+(-2.92485+(0--0.421974))+0-77.3--0.0788460000000123</f>
        <v>2374.0759699999999</v>
      </c>
      <c r="Y138" s="3">
        <f>2892.2+(0-398)+(-2.950044+(0--0.40596))+0-89.3--0.0910860000000142</f>
        <v>2402.4470019999994</v>
      </c>
      <c r="Z138" s="3">
        <f>3321.7+(0-626.5)+(-3.388134+(0--0.63903))+0-83--0.0846600000000132</f>
        <v>2609.5355559999998</v>
      </c>
      <c r="AA138" s="3">
        <f>3378.5+(0-667.1)+(-5.169105+(0--1.020663))+0-77--0.117810000000004</f>
        <v>2630.3693680000001</v>
      </c>
      <c r="AB138" s="3">
        <f>3240.3+(7.4-549.7)+(-3.305106+(-0.007548--0.560694))+0-83.2--0.0848640000000133</f>
        <v>2612.1329040000001</v>
      </c>
      <c r="AC138" s="3">
        <f>3149.9+(64.6-522.6)+(1.606449+(0.032946-0.266526))+0-78.3-0.0399329999999921</f>
        <v>2614.9329359999997</v>
      </c>
      <c r="AD138">
        <v>2626.8</v>
      </c>
      <c r="AE138" s="3">
        <f>3307+(0-591.7)+(0+(0-0))+0-88.5-0</f>
        <v>2626.8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3059.5+(47.7-501)+(0+(0-0))+0-70.4-0</f>
        <v>2535.7999999999997</v>
      </c>
      <c r="G139" s="3">
        <f>2921.8+(64.7-469.3)+(-1.490118+(-0.032997--0.239343))+0-83--0.0423299999999916</f>
        <v>2432.9585579999998</v>
      </c>
      <c r="H139" s="3">
        <f>2870.9+(76.2-504)+(-1.464159+(-0.038862--0.25704))+0-67.7--0.0345269999999931</f>
        <v>2374.1885459999999</v>
      </c>
      <c r="I139" s="3">
        <f>2792.2+(86.4-386.8)+(-2.848044+(-0.088128--0.394536))+0-72.6--0.0740520000000116</f>
        <v>2416.7324159999998</v>
      </c>
      <c r="J139" s="3">
        <f>2790.5+(91-448.2)+(-4.269465+(-0.13923--0.685746))+0-96--0.146880000000006</f>
        <v>2333.723931</v>
      </c>
      <c r="K139" s="3">
        <f>2515.4+(107.5-307.6)+(-3.848562+(-0.164475--0.470628))+0-88.2--0.134946000000005</f>
        <v>2223.6925370000004</v>
      </c>
      <c r="L139" s="3">
        <f>2334.9+(117.8-232.3)+(-1.190799+(-0.060078--0.118473))+0-81.4--0.0415139999999917</f>
        <v>2137.9091100000001</v>
      </c>
      <c r="M139" s="3">
        <f>2755.4+(76.8-451.3)+(2.810508+(0.078336-0.460326))+0-87.5-0.089250000000014</f>
        <v>2295.7392680000003</v>
      </c>
      <c r="N139" s="3">
        <f>3030.6+(26.8-523.9)+(4.636818+(0.041004-0.801567))+0-60.4-0.0924120000000035</f>
        <v>2476.8838430000001</v>
      </c>
      <c r="O139" s="3">
        <f>3060.8+(1.7-350.4)+(1.561008+(0.000867-0.178704))+0-87-0.0443699999999912</f>
        <v>2626.4388010000002</v>
      </c>
      <c r="P139" s="3">
        <f>3322+(29-475.3)+(0+(0-0))+0-113-0</f>
        <v>2762.7</v>
      </c>
      <c r="Q139" s="3">
        <f>3447.3+(29-542.3)+(1.758123+(0.01479-0.276573))+0-65-0.0331499999999934</f>
        <v>2870.4631899999999</v>
      </c>
      <c r="R139" s="3">
        <f>3443.9+(10-578.1)+(1.756389+(0.0051-0.294831))+0-23.1-0.0117809999999977</f>
        <v>2854.1548769999999</v>
      </c>
      <c r="S139" s="3">
        <f>3418.1+(9.9-555.9)+(-1.743231+(-0.005049--0.283509))+0-54.1--0.0275909999999945</f>
        <v>2816.5628200000001</v>
      </c>
      <c r="T139" s="3">
        <f>3432+(9.8-555.9)+(1.75032+(0.004998-0.283509))+0-59.8-0.0304979999999939</f>
        <v>2827.541311</v>
      </c>
      <c r="U139" s="3">
        <f>3487.9+(9.8-618.2)+(-5.336487+(-0.014994--0.945846))+0-64.2--0.0982260000000037</f>
        <v>2810.9925910000002</v>
      </c>
      <c r="V139" s="3">
        <f>3513.8+(14.3-682.1)+(-1.792038+(-0.007293--0.347871))+0-82.7--0.0421769999999916</f>
        <v>2761.8907169999998</v>
      </c>
      <c r="W139" s="3">
        <f>3392.9+(23-649.2)+(-6.921516+(-0.04692--1.324368))+0-83.7--0.170747999999996</f>
        <v>2677.5266799999999</v>
      </c>
      <c r="X139" s="3">
        <f>3352.5+(40.7-683.3)+(0+(0-0))+0-93.5-0</f>
        <v>2616.4</v>
      </c>
      <c r="Y139" s="3">
        <f>3261.4+(18.9-561.1)+(4.989942+(0.028917-0.858483))+0-71.4-0.109242000000004</f>
        <v>2651.8511339999995</v>
      </c>
      <c r="Z139" s="3">
        <f>3598.3+(0-693.5)+(1.835133+(0-0.353685))+0-89.9-0.0458489999999909</f>
        <v>2816.335599</v>
      </c>
      <c r="AA139" s="3">
        <f>3616.6+(0-730.3)+(-5.533398+(0--1.117359))+0-84.8--0.129744000000005</f>
        <v>2797.2137049999997</v>
      </c>
      <c r="AB139" s="3">
        <f>3525.1+(24.9-716.7)+(5.393403+(0.038097-1.096551))+0-81.9-0.125307000000005</f>
        <v>2755.6096419999999</v>
      </c>
      <c r="AC139" s="3">
        <f>3386.9+(40.5-603.6)+(-1.727319+(-0.020655--0.307836))+0-77.2--0.0393719999999922</f>
        <v>2745.1992340000006</v>
      </c>
      <c r="AD139">
        <v>2833.9</v>
      </c>
      <c r="AE139" s="3">
        <f>3686+(0-745.6)+(0+(0-0))+0-106.5-0</f>
        <v>2833.9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3101+(38.9-456.7)+(1.58151+(0.019839-0.232917))+0-74.5-0.0379949999999924</f>
        <v>2610.0304369999999</v>
      </c>
      <c r="G140" s="3">
        <f>2966.1+(34.4-428)+(0+(0-0))+0-84.8-0</f>
        <v>2487.6999999999998</v>
      </c>
      <c r="H140" s="3">
        <f>2997.1+(52.3-557.6)+(4.585563+(0.080019-0.853128))+0-58.2-0.0890460000000034</f>
        <v>2437.3234079999997</v>
      </c>
      <c r="I140" s="3">
        <f>2961.4+(82.8-529.8)+(0+(0-0))+0-30.3-0</f>
        <v>2484.1</v>
      </c>
      <c r="J140" s="3">
        <f>2921.5+(94.4-510.1)+(1.489965+(0.048144-0.260151))+0-91.7-0.0467669999999907</f>
        <v>2415.3311910000007</v>
      </c>
      <c r="K140" s="3">
        <f>2737+(112.4-503.6)+(-1.39587+(-0.057324--0.256836))+0-55.1--0.0281009999999944</f>
        <v>2289.531743</v>
      </c>
      <c r="L140" s="3">
        <f>2461.4+(128.3-276.5)+(-8.787198+(-0.458031--0.987105))+0-84.7--0.302379000000001</f>
        <v>2220.5442550000007</v>
      </c>
      <c r="M140" s="3">
        <f>2525.1+(109.2-244.1)+(1.287801+(0.055692-0.124491))+0-62.2-0.0317219999999937</f>
        <v>2329.1872799999996</v>
      </c>
      <c r="N140" s="3">
        <f>2822.9+(67.4-305.6)+(2.879358+(0.068748-0.311712))+0-76.7-0.0782340000000122</f>
        <v>2510.5581600000005</v>
      </c>
      <c r="O140" s="3">
        <f>3194+(21.7-453.8)+(1.62894+(0.011067-0.231438))+0-80.7-0.0411569999999918</f>
        <v>2682.5674120000003</v>
      </c>
      <c r="P140" s="3">
        <f>3497.3+(0-634.5)+(3.567246+(0-0.64719))+0-72.5-0.0739500000000116</f>
        <v>2793.1461060000001</v>
      </c>
      <c r="Q140" s="3">
        <f>3649.4+(0-730.1)+(-1.861194+(0--0.372351))+0-50.4--0.0257039999999949</f>
        <v>2867.4368610000001</v>
      </c>
      <c r="R140" s="3">
        <f>3697.5+(0-719.3)+(0+(0-0))+0-82.2-0</f>
        <v>2896</v>
      </c>
      <c r="S140" s="3">
        <f>3654.4+(0-739.1)+(-9.31872+(0--1.884705))+0-24--0.0611999999999965</f>
        <v>2883.9271850000005</v>
      </c>
      <c r="T140" s="3">
        <f>3628.2+(0-699.3)+(-3.700764+(0--0.713286))+0-41.1--0.0419220000000066</f>
        <v>2884.8544439999996</v>
      </c>
      <c r="U140" s="3">
        <f>3609+(0-686.9)+(-1.84059+(0--0.350319))+0-83.7--0.0426869999999915</f>
        <v>2836.9524160000001</v>
      </c>
      <c r="V140" s="3">
        <f>3535.5+(0-657.5)+(5.409315+(0-1.005975))+0-87.3-0.133569000000005</f>
        <v>2794.9697709999996</v>
      </c>
      <c r="W140" s="3">
        <f>3479.1+(35.1-729.6)+(-1.774341+(-0.017901--0.372096))+0-65--0.0331499999999934</f>
        <v>2718.2130040000002</v>
      </c>
      <c r="X140" s="3">
        <f>3263.6+(43.8-620)+(-6.657744+(-0.089352--1.2648))+10-84.7--0.172787999999996</f>
        <v>2607.3904919999995</v>
      </c>
      <c r="Y140" s="3">
        <f>3338.3+(17.8-640.2)+(-5.107599+(-0.027234--0.979506))+0-86.3--0.132039000000005</f>
        <v>2625.576712</v>
      </c>
      <c r="Z140" s="3">
        <f>3484.7+(0-620.6)+(-1.777197+(0--0.316506))+0-87--0.0443699999999912</f>
        <v>2775.6836789999998</v>
      </c>
      <c r="AA140" s="3">
        <f>3462+(0-686.1)+(-7.06248+(0--1.399644))+0-68.1--0.138923999999997</f>
        <v>2702.2760880000001</v>
      </c>
      <c r="AB140" s="3">
        <f>3302.8+(59.8-543)+(-3.368856+(-0.060996--0.55386))+0-90.8--0.0926160000000145</f>
        <v>2726.0166239999999</v>
      </c>
      <c r="AC140" s="3">
        <f>3320.1+(118.4-623.5)+(0+(0-0))+0-77.5-0</f>
        <v>2737.5</v>
      </c>
      <c r="AD140">
        <v>2730.5</v>
      </c>
      <c r="AE140" s="3">
        <f>3519+(0-684.9)+(0+(0-0))+0-103.6-0</f>
        <v>2730.5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3108.3+(141.8-557.5)+(-9.511398+(-0.433908--1.70595))+0-57.7--0.176562000000007</f>
        <v>2626.8372060000006</v>
      </c>
      <c r="G141" s="3">
        <f>2931.3+(141.8-460.7)+(-7.474815+(-0.36159--1.174785))+0-91.4--0.233069999999987</f>
        <v>2514.5714499999999</v>
      </c>
      <c r="H141" s="3">
        <f>2856.5+(142.1-454.7)+(-1.456815+(-0.072471--0.231897))+0-88.7--0.045236999999991</f>
        <v>2453.9478480000002</v>
      </c>
      <c r="I141" s="3">
        <f>2875.3+(142.1-453.2)+(1.466403+(0.072471-0.231132))+0-85.5-0.0436049999999913</f>
        <v>2479.9641370000004</v>
      </c>
      <c r="J141" s="3">
        <f>2855.5+(143-501)+(-2.91261+(-0.14586--0.51102))+0-82--0.0836400000000131</f>
        <v>2413.0361899999998</v>
      </c>
      <c r="K141" s="3">
        <f>2690.9+(142.5-456.3)+(-4.117077+(-0.218025--0.698139))+0-86.3--0.132039000000005</f>
        <v>2287.2950759999999</v>
      </c>
      <c r="L141" s="3">
        <f>2539.5+(140.4-421.9)+(-7.77087+(-0.429624--1.291014))+0-52--0.159120000000006</f>
        <v>2199.24964</v>
      </c>
      <c r="M141" s="3">
        <f>2585.4+(140.3-377)+(-2.637108+(-0.143106--0.38454))+0-47.4--0.0483480000000076</f>
        <v>2298.9526740000001</v>
      </c>
      <c r="N141" s="3">
        <f>2727.9+(128.1-332.6)+(2.782458+(0.130662-0.339252))+0-81.1-0.0827220000000129</f>
        <v>2444.791146</v>
      </c>
      <c r="O141" s="3">
        <f>3130.8+(104.2-545.9)+(-4.790124+(-0.159426--0.835227))+0-88.9--0.136017000000005</f>
        <v>2596.2216940000003</v>
      </c>
      <c r="P141" s="3">
        <f>3366.1+(88-633.8)+(1.716711+(0.04488-0.323238))+0-0-0</f>
        <v>2821.7383530000002</v>
      </c>
      <c r="Q141" s="3">
        <f>3438+(64.4-648.2)+(0+(0-0))+0-83.2-0</f>
        <v>2771</v>
      </c>
      <c r="R141" s="3">
        <f>3548.9+(53.2-695.1)+(-1.809939+(-0.027132--0.354501))+0-88.3--0.045032999999991</f>
        <v>2817.2624629999996</v>
      </c>
      <c r="S141" s="3">
        <f>3526.4+(62.1-689.6)+(-3.596928+(-0.063342--0.703392))+0-82.6--0.0842520000000132</f>
        <v>2813.4273740000003</v>
      </c>
      <c r="T141" s="3">
        <f>3544.9+(65.9-702.9)+(1.807899+(0.033609-0.358479))+0-86.4-0.0440639999999912</f>
        <v>2822.9389649999998</v>
      </c>
      <c r="U141" s="3">
        <f>3471.4+(59.3-699.5)+(-5.311242+(-0.090729--1.070235))+0-60--0.0918000000000035</f>
        <v>2766.9600639999999</v>
      </c>
      <c r="V141" s="3">
        <f>3347.9+(57.3-661.3)+(-8.537145+(-0.146115--1.686315))+0-25.1--0.0640049999999964</f>
        <v>2711.8670600000005</v>
      </c>
      <c r="W141" s="3">
        <f>3138.1+(86.7-520.4)+(-6.401724+(-0.176868--1.061616))+0-70--0.142799999999997</f>
        <v>2629.0258240000003</v>
      </c>
      <c r="X141" s="3">
        <f>3062.5+(97.8-538.6)+(-9.37125+(-0.299268--1.648116))+0-93--0.284580000000011</f>
        <v>2520.9621779999998</v>
      </c>
      <c r="Y141" s="3">
        <f>3149.8+(48-568.9)+(-3.212796+(-0.04896--0.580278))+0-79.9--0.0814980000000127</f>
        <v>2546.40002</v>
      </c>
      <c r="Z141" s="3">
        <f>3425.6+(0-644.9)+(0+(0-0))+0-89.6-0</f>
        <v>2691.1</v>
      </c>
      <c r="AA141" s="3">
        <f>3345.4+(0-583.2)+(-11.943078+(0--2.082024))+0-77.2--0.275604000000001</f>
        <v>2675.41455</v>
      </c>
      <c r="AB141" s="3">
        <f>3260.9+(58.7-595.9)+(-4.989177+(-0.089811--0.911727))+0-88.3--0.135099000000005</f>
        <v>2631.3678380000001</v>
      </c>
      <c r="AC141" s="3">
        <f>3218.4+(118.4-648.2)+(-3.282768+(-0.120768--0.661164))+0-53.5--0.0545700000000085</f>
        <v>2632.4121979999995</v>
      </c>
      <c r="AD141">
        <v>2706.2999999999997</v>
      </c>
      <c r="AE141" s="3">
        <f>3416+(0-613.3)+(0+(0-0))+0-96.4-0</f>
        <v>2706.2999999999997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3014.3+(140.7-568.8)+(-3.074586+(-0.143514--0.580176))+0-82.9--0.0845580000000132</f>
        <v>2500.7466340000001</v>
      </c>
      <c r="G142" s="3">
        <f>2812.8+(141-498.3)+(-1.434528+(-0.07191--0.254133))+0-87.7--0.0447269999999911</f>
        <v>2366.5924220000002</v>
      </c>
      <c r="H142" s="3">
        <f>2767.6+(140-527.2)+(0+(0-0))+0-76.3-0</f>
        <v>2304.0999999999995</v>
      </c>
      <c r="I142" s="3">
        <f>2756.5+(140.5-471.3)+(-4.217445+(-0.214965--0.721089))+0-88.6--0.135558000000005</f>
        <v>2333.5242369999996</v>
      </c>
      <c r="J142" s="3">
        <f>2792.4+(140.3-560.7)+(4.272372+(0.214659-0.857871))+0-86.3-0.132039000000005</f>
        <v>2289.1971209999997</v>
      </c>
      <c r="K142" s="3">
        <f>2588.2+(140.8-475.9)+(-5.279928+(-0.287232--0.970836))+0-82.8--0.168911999999996</f>
        <v>2165.8725879999997</v>
      </c>
      <c r="L142" s="3">
        <f>2507.2+(142.2-494.7)+(-3.836016+(-0.217566--0.756891))+0-51.2--0.078336000000003</f>
        <v>2100.281645</v>
      </c>
      <c r="M142" s="3">
        <f>2658.6+(141.4-582.8)+(1.355886+(0.072114-0.297228))+0-22.4-0.0114239999999977</f>
        <v>2195.9193479999999</v>
      </c>
      <c r="N142" s="3">
        <f>2868.7+(140.6-625.7)+(1.463037+(0.071706-0.319107))+0-19.2-0.00979199999999805</f>
        <v>2365.6058440000002</v>
      </c>
      <c r="O142" s="3">
        <f>3055+(137.3-674.5)+(3.1161+(0.140046-0.68799))+0-21.2-0.0216240000000034</f>
        <v>2499.1465320000002</v>
      </c>
      <c r="P142" s="3">
        <f>3162.6+(112.9-683)+(0+(0-0))+0-18.6-0</f>
        <v>2573.9</v>
      </c>
      <c r="Q142" s="3">
        <f>3261.8+(107.4-695.9)+(3.327036+(0.109548-0.709818))+0-18.8-0.019176000000003</f>
        <v>2657.2075900000004</v>
      </c>
      <c r="R142" s="3">
        <f>3322.8+(93.4-712.4)+(1.694628+(0.047634-0.363324))+0-19.9-0.010148999999998</f>
        <v>2685.2687889999997</v>
      </c>
      <c r="S142" s="3">
        <f>3313.3+(90.9-717.6)+(-5.069349+(-0.139077--1.097928))+0-18.7--0.0286110000000011</f>
        <v>2663.8181130000007</v>
      </c>
      <c r="T142" s="3">
        <f>3282.9+(90.1-678.8)+(0+(0-0))+0-24.9-0</f>
        <v>2669.3</v>
      </c>
      <c r="U142" s="3">
        <f>3319.9+(99.7-728.8)+(-5.079447+(-0.152541--1.115064))+0-77--0.117810000000004</f>
        <v>2609.8008860000004</v>
      </c>
      <c r="V142" s="3">
        <f>3250.8+(94.6-698.9)+(-8.28954+(-0.24123--1.782195))+0-63.5--0.161924999999991</f>
        <v>2576.4133499999998</v>
      </c>
      <c r="W142" s="3">
        <f>3066.5+(114.7-599.4)+(-4.691745+(-0.175491--0.917082))+0-80.6--0.123318000000005</f>
        <v>2497.3731640000001</v>
      </c>
      <c r="X142" s="3">
        <f>2954.9+(123-573.1)+(-3.013998+(-0.12546--0.584562))+0-94.6--0.0964920000000151</f>
        <v>2407.7415960000003</v>
      </c>
      <c r="Y142" s="3">
        <f>2892.5+(77.9-454.6)+(2.95035+(0.079458-0.463692))+0-83.7-0.0853740000000134</f>
        <v>2434.5807420000001</v>
      </c>
      <c r="Z142" s="3">
        <f>3206.4+(2.5-544.4)+(-6.541056+(-0.0051--1.110576))+0-77.9--0.158915999999997</f>
        <v>2581.3233359999999</v>
      </c>
      <c r="AA142" s="3">
        <f>3215+(8.6-556.3)+(-8.19825+(-0.02193--1.418565))+0-87.3--0.222614999999987</f>
        <v>2573.4210000000003</v>
      </c>
      <c r="AB142" s="3">
        <f>3173.2+(100.3-645.9)+(-3.236664+(-0.102306--0.658818))+0-79.6--0.0811920000000127</f>
        <v>2545.4010400000002</v>
      </c>
      <c r="AC142" s="3">
        <f>3064.5+(124.2-587.4)+(-3.12579+(-0.126684--0.599148))+0-75.1--0.076602000000012</f>
        <v>2523.6232760000003</v>
      </c>
      <c r="AD142">
        <v>2610.7000000000003</v>
      </c>
      <c r="AE142" s="3">
        <f>3249+(0-542.6)+(0+(0-0))+0-95.7-0</f>
        <v>2610.7000000000003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2860.8+(141.4-509.1)+(-7.29504+(-0.36057--1.298205))+0-80--0.203999999999988</f>
        <v>2406.9465950000003</v>
      </c>
      <c r="G143" s="3">
        <f>2610.1+(136.9-359.6)+(-6.655755+(-0.349095--0.91698))+0-91.8--0.234089999999987</f>
        <v>2289.74622</v>
      </c>
      <c r="H143" s="3">
        <f>2571+(136.5-408.9)+(-6.55605+(-0.348075--1.042695))+0-82.3--0.209864999999988</f>
        <v>2210.6484349999996</v>
      </c>
      <c r="I143" s="3">
        <f>2554.8+(136.5-364.3)+(-2.605896+(-0.13923--0.371586))+0-80.6--0.0822120000000128</f>
        <v>2244.1086719999998</v>
      </c>
      <c r="J143" s="3">
        <f>2641+(136.7-506.3)+(-4.04073+(-0.209151--0.774639))+0-71.5--0.109395000000004</f>
        <v>2196.5341530000001</v>
      </c>
      <c r="K143" s="3">
        <f>2430.9+(138.7-421.5)+(-1.239759+(-0.070737--0.214965))+0-72--0.0367199999999927</f>
        <v>2075.041189</v>
      </c>
      <c r="L143" s="3">
        <f>2314.1+(136.4-343.8)+(-7.081146+(-0.417384--1.052028))+0-81.3--0.248778000000009</f>
        <v>2019.202276</v>
      </c>
      <c r="M143" s="3">
        <f>2526+(137.6-464.3)+(0+(0-0))+0-71.8-0</f>
        <v>2127.5</v>
      </c>
      <c r="N143" s="3">
        <f>2806.4+(138.6-574.5)+(0+(0-0))+0-76.7-0</f>
        <v>2293.8000000000002</v>
      </c>
      <c r="O143" s="3">
        <f>2876.3+(137.3-520.3)+(0+(0-0))+0-72.5-0</f>
        <v>2420.8000000000002</v>
      </c>
      <c r="P143" s="3">
        <f>2954+(137.4-517.3)+(-1.50654+(-0.070074--0.263823))+0-74.8--0.0381479999999924</f>
        <v>2498.025357</v>
      </c>
      <c r="Q143" s="3">
        <f>3106.3+(138-604.1)+(6.336852+(0.28152-1.232364))+0-82.9-0.169115999999996</f>
        <v>2562.5168920000001</v>
      </c>
      <c r="R143" s="3">
        <f>3124.6+(137.7-588.8)+(-6.374184+(-0.280908--1.201152))+0-80.8--0.164831999999996</f>
        <v>2587.4108919999999</v>
      </c>
      <c r="S143" s="3">
        <f>3142.2+(121.6-596.7)+(-8.01261+(-0.31008--1.521585))+0-82.6--0.210629999999988</f>
        <v>2577.909525</v>
      </c>
      <c r="T143" s="3">
        <f>3137.8+(125.7-606.4)+(-1.600278+(-0.064107--0.309264))+0-79.9--0.0407489999999919</f>
        <v>2575.885628</v>
      </c>
      <c r="U143" s="3">
        <f>3108.4+(124.8-581.4)+(-3.170568+(-0.127296--0.593028))+0-96--0.0979200000000153</f>
        <v>2553.1930840000005</v>
      </c>
      <c r="V143" s="3">
        <f>3074.6+(114.1-593.2)+(-1.568046+(-0.058191--0.302532))+0-82.1--0.0418709999999917</f>
        <v>2512.1181660000002</v>
      </c>
      <c r="W143" s="3">
        <f>3059.1+(126-663.5)+(-3.120282+(-0.12852--0.67677))+0-64.2--0.0654840000000102</f>
        <v>2454.8934520000003</v>
      </c>
      <c r="X143" s="3">
        <f>2981.6+(125-659.6)+(-4.561848+(-0.19125--1.009188))+0-50.6--0.0774180000000029</f>
        <v>2392.7335079999998</v>
      </c>
      <c r="Y143" s="3">
        <f>2856.8+(65.4-458)+(-2.913936+(-0.066708--0.46716))+0-70.1--0.0715020000000112</f>
        <v>2391.6580180000005</v>
      </c>
      <c r="Z143" s="3">
        <f>3182.5+(0-563.9)+(-6.4923+(0--1.150356))+0-84.8--0.172991999999996</f>
        <v>2528.6310479999997</v>
      </c>
      <c r="AA143" s="3">
        <f>3171.8+(0-558.9)+(-8.08809+(0--1.425195))+0-84.8--0.216239999999988</f>
        <v>2521.6533450000002</v>
      </c>
      <c r="AB143" s="3">
        <f>3048.9+(86.6-547.4)+(-4.664817+(-0.132498--0.837522))+0-86.4--0.132192000000005</f>
        <v>2497.8723990000003</v>
      </c>
      <c r="AC143" s="3">
        <f>2816.6+(121.4-412.4)+(-2.872932+(-0.123828--0.420648))+0-72.2--0.0736440000000115</f>
        <v>2450.897532</v>
      </c>
      <c r="AD143">
        <v>2572.6999999999998</v>
      </c>
      <c r="AE143" s="3">
        <f>3201+(0-535.8)+(0+(0-0))+0-92.5-0</f>
        <v>2572.6999999999998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2802.9+(139-514.1)+(-7.147395+(-0.35445--1.310955))+0-73.9--0.188444999999989</f>
        <v>2347.897555</v>
      </c>
      <c r="G144" s="3">
        <f>2812.5+(138.7-591.6)+(-2.86875+(-0.141474--0.603432))+0-89.7--0.0914940000000143</f>
        <v>2267.5847020000001</v>
      </c>
      <c r="H144" s="3">
        <f>2789.3+(138.8-645.2)+(-1.422543+(-0.070788--0.329052))+0-87.3--0.0445229999999911</f>
        <v>2194.4802439999999</v>
      </c>
      <c r="I144" s="3">
        <f>2770.7+(138.3-642.6)+(0+(0-0))+0-56.2-0</f>
        <v>2210.1999999999998</v>
      </c>
      <c r="J144" s="3">
        <f>2774.7+(138.1-676.2)+(4.245291+(0.211293-1.034586))+0-71.7-0.109701000000004</f>
        <v>2168.212297</v>
      </c>
      <c r="K144" s="3">
        <f>2617.9+(137.7-632.1)+(-9.345903+(-0.491589--2.256597))+0-86.4--0.308448000000001</f>
        <v>2029.8275529999999</v>
      </c>
      <c r="L144" s="3">
        <f>2524.2+(137.5-578.8)+(-7.724052+(-0.42075--1.771128))+0-78.5--0.240210000000009</f>
        <v>1998.2665359999996</v>
      </c>
      <c r="M144" s="3">
        <f>2558.7+(136.6-524.3)+(-1.304937+(-0.069666--0.267393))+0-82.5--0.0420749999999916</f>
        <v>2087.4348649999997</v>
      </c>
      <c r="N144" s="3">
        <f>2782.1+(112.5-597.9)+(4.256613+(0.172125-0.914787))+0-76.3-0.116739000000004</f>
        <v>2223.7972119999995</v>
      </c>
      <c r="O144" s="3">
        <f>3008.9+(86.1-659)+(-3.069078+(-0.087822--0.67218))+0-78.2--0.0797640000000125</f>
        <v>2355.3950440000003</v>
      </c>
      <c r="P144" s="3">
        <f>3101.7+(70.6-661.5)+(1.581867+(0.036006-0.337365))+0-61.2-0.0312119999999938</f>
        <v>2450.8492959999999</v>
      </c>
      <c r="Q144" s="3">
        <f>3162.3+(108.8-681)+(-3.225546+(-0.110976--0.69462))+0-82.3--0.0839460000000131</f>
        <v>2505.2420440000005</v>
      </c>
      <c r="R144" s="3">
        <f>3154.8+(96.5-655.1)+(-1.608948+(-0.049215--0.334101))+0-68.2--0.0347819999999931</f>
        <v>2526.7107200000005</v>
      </c>
      <c r="S144" s="3">
        <f>3095.5+(89.8-600.3)+(-3.15741+(-0.091596--0.612306))+0-64.6--0.0658920000000103</f>
        <v>2517.8291920000001</v>
      </c>
      <c r="T144" s="3">
        <f>3074+(86.9-581.5)+(1.56774+(0.044319-0.296565))+0-85.1-0.0434009999999914</f>
        <v>2495.5720930000002</v>
      </c>
      <c r="U144" s="3">
        <f>3048+(79.1-585.2)+(-3.10896+(-0.080682--0.596904))+0-75--0.076500000000012</f>
        <v>2464.3837620000004</v>
      </c>
      <c r="V144" s="3">
        <f>3044.8+(78.8-624.2)+(0+(0-0))+0-71.6-0</f>
        <v>2427.8000000000002</v>
      </c>
      <c r="W144" s="3">
        <f>3009.6+(83.3-630.1)+(-1.534896+(-0.042483--0.321351))+0-84.1--0.0428909999999915</f>
        <v>2377.4868630000001</v>
      </c>
      <c r="X144" s="3">
        <f>2891.4+(88.1-633.1)+(-10.322298+(-0.314517--2.260167))+0-27.9--0.0996030000000004</f>
        <v>2310.2229550000002</v>
      </c>
      <c r="Y144" s="3">
        <f>2821.9+(53.1-466.4)+(-2.878338+(-0.054162--0.475728))+0-82.1--0.0837420000000131</f>
        <v>2324.1269700000003</v>
      </c>
      <c r="Z144" s="3">
        <f>3162.9+(0-607.3)+(-9.678474+(0--1.858338))+0-84.8--0.25948800000001</f>
        <v>2463.2393520000005</v>
      </c>
      <c r="AA144" s="3">
        <f>3191.5+(0-632)+(-1.627665+(0--0.32232))+0-89.1--0.045440999999991</f>
        <v>2469.1400960000001</v>
      </c>
      <c r="AB144" s="3">
        <f>3049.4+(107.1-635)+(0+(0-0))+0-81.3-0</f>
        <v>2440.1999999999998</v>
      </c>
      <c r="AC144" s="3">
        <f>2981.3+(124.2-631.3)+(0+(0-0))+0-54.5-0</f>
        <v>2419.7000000000003</v>
      </c>
      <c r="AD144">
        <v>2478.6</v>
      </c>
      <c r="AE144" s="3">
        <f>3204+(0-623.6)+(0+(0-0))+0-101.8-0</f>
        <v>2478.6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2913.6+(129-650.8)+(1.485936+(0.06579-0.331908))+0-75.2-0.0383519999999924</f>
        <v>2317.7814660000004</v>
      </c>
      <c r="G145" s="3">
        <f>2663.6+(132.3-493.7)+(-1.358436+(-0.067473--0.251787))+0-86--0.0438599999999913</f>
        <v>2215.0697379999997</v>
      </c>
      <c r="H145" s="3">
        <f>2681.6+(133.8-584.6)+(1.367616+(0.068238-0.298146))+0-80.1-0.0408509999999919</f>
        <v>2151.7968569999998</v>
      </c>
      <c r="I145" s="3">
        <f>2653.7+(141.1-565.4)+(-1.353387+(-0.071961--0.288354))+0-63.1--0.0321809999999936</f>
        <v>2165.1951869999998</v>
      </c>
      <c r="J145" s="3">
        <f>2672.6+(142.1-586)+(2.726052+(0.144942-0.59772))+0-82.3-0.0839460000000131</f>
        <v>2148.5893279999996</v>
      </c>
      <c r="K145" s="3">
        <f>2524.3+(143.1-583.4)+(-6.436965+(-0.364905--1.48767))+0-83.3--0.212414999999988</f>
        <v>1995.5982150000002</v>
      </c>
      <c r="L145" s="3">
        <f>2251.9+(143.4-442)+(-2.296938+(-0.146268--0.45084))+0-74.3--0.0757860000000118</f>
        <v>1877.0834200000004</v>
      </c>
      <c r="M145" s="3">
        <f>2228.3+(142.3-400.1)+(1.136433+(0.072573-0.204051))+0-91.3-0.0465629999999907</f>
        <v>1880.1583920000005</v>
      </c>
      <c r="N145" s="3">
        <f>2207.7+(138-313.6)+(-1.125927+(-0.07038--0.159936))+0-88.6--0.045185999999991</f>
        <v>1942.5088150000001</v>
      </c>
      <c r="O145" s="3">
        <f>2279+(105.8-296.2)+(1.16229+(0.053958-0.151062))+0-81.9-0.0417689999999917</f>
        <v>2007.7234169999997</v>
      </c>
      <c r="P145" s="3">
        <f>2627.3+(82.5-530.4)+(5.359692+(0.1683-1.082016))+0-84.2-0.171767999999996</f>
        <v>2099.4742080000001</v>
      </c>
      <c r="Q145" s="3">
        <f>2816.4+(69-624.7)+(4.309092+(0.10557-0.955791))+0-82.5-0.126225000000005</f>
        <v>2181.5326459999997</v>
      </c>
      <c r="R145" s="3">
        <f>2920.1+(41.3-642.4)+(-2.978502+(-0.042126--0.655248))+0-83.6--0.0852720000000133</f>
        <v>2233.1198919999997</v>
      </c>
      <c r="S145" s="3">
        <f>3004.4+(6.3-707.2)+(-1.532244+(-0.003213--0.360672))+0-47.5--0.0242249999999952</f>
        <v>2254.84944</v>
      </c>
      <c r="T145" s="3">
        <f>3032+(56.4-712.6)+(3.09264+(0.057528-0.726852))+0-85.7-0.0874140000000137</f>
        <v>2292.4359020000002</v>
      </c>
      <c r="U145" s="3">
        <f>2976.3+(28.4-643.5)+(-3.035826+(-0.028968--0.65637))+0-78.7--0.0802740000000126</f>
        <v>2280.1718500000002</v>
      </c>
      <c r="V145" s="3">
        <f>2951.9+(18.3-644.9)+(-3.010938+(-0.018666--0.657798))+0-60.6--0.0618120000000097</f>
        <v>2262.3900060000001</v>
      </c>
      <c r="W145" s="3">
        <f>2940.1+(25.5-650.2)+(-2.998902+(-0.02601--0.663204))+0-84.3--0.0859860000000134</f>
        <v>2228.8242779999996</v>
      </c>
      <c r="X145" s="3">
        <f>2740.3+(37.1-516.6)+(-6.987765+(-0.094605--1.31733))+0-82.4--0.210119999999988</f>
        <v>2172.8450800000001</v>
      </c>
      <c r="Y145" s="3">
        <f>2741+(17.5-427.3)+(0+(0-0))+0-85.1-0</f>
        <v>2246.1</v>
      </c>
      <c r="Z145" s="3">
        <f>3109.8+(0-624.3)+(1.585998+(0-0.318393))+0-83.9-0.0427889999999915</f>
        <v>2402.8248159999998</v>
      </c>
      <c r="AA145" s="3">
        <f>3216.3+(4.3-722)+(-6.561252+(-0.008772--1.47288))+0-83.1--0.169523999999996</f>
        <v>2410.5723800000005</v>
      </c>
      <c r="AB145" s="3">
        <f>3073.8+(69.7-706.4)+(-4.702914+(-0.106641--1.080792))+0-23.3--0.0356490000000013</f>
        <v>2410.106886</v>
      </c>
      <c r="AC145" s="3">
        <f>2969.6+(139-655)+(3.028992+(0.14178-0.6681))+0-75.5-0.077010000000012</f>
        <v>2380.525662</v>
      </c>
      <c r="AD145">
        <v>2417.6</v>
      </c>
      <c r="AE145" s="3">
        <f>3244+(0-734.3)+(0+(0-0))+0-92.1-0</f>
        <v>2417.6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2761.8+(142.5-530.6)+(1.408518+(0.072675-0.270606))+0-79.6-0.0405959999999919</f>
        <v>2295.2699910000006</v>
      </c>
      <c r="G146" s="3">
        <f>2573.6+(142-467)+(-2.625072+(-0.14484--0.47634))+0-76.5--0.0780300000000122</f>
        <v>2169.884458</v>
      </c>
      <c r="H146" s="3">
        <f>2411.9+(142.3-351.8)+(-2.460138+(-0.145146--0.358836))+0-81.4--0.083028000000013</f>
        <v>2118.8365800000001</v>
      </c>
      <c r="I146" s="3">
        <f>2408.3+(143.2-316.2)+(1.228233+(0.073032-0.161262))+0-83.4-0.0425339999999915</f>
        <v>2152.9974689999999</v>
      </c>
      <c r="J146" s="3">
        <f>2527+(142.4-513.8)+(-1.28877+(-0.072624--0.262038))+0-36.3--0.0185129999999963</f>
        <v>2118.2191569999995</v>
      </c>
      <c r="K146" s="3">
        <f>2320.8+(142.4-399.6)+(-5.91804+(-0.36312--1.01898))+0-73.4--0.187169999999989</f>
        <v>1985.12499</v>
      </c>
      <c r="L146" s="3">
        <f>2232+(142.3-420.9)+(-2.27664+(-0.145146--0.429318))+0-22.1--0.0225420000000035</f>
        <v>1929.3300740000002</v>
      </c>
      <c r="M146" s="3">
        <f>2359.4+(141.2-431.8)+(2.406588+(0.144024-0.440436))+0-37.4-0.038148000000006</f>
        <v>2033.4720280000001</v>
      </c>
      <c r="N146" s="3">
        <f>2666+(115.9-558.9)+(6.7983+(0.295545-1.425195))+0-25.6-0.0652799999999963</f>
        <v>2203.0033700000004</v>
      </c>
      <c r="O146" s="3">
        <f>2840.9+(100.7-596.1)+(1.448859+(0.051357-0.304011))+0-22.6-0.0115259999999977</f>
        <v>2324.0846790000005</v>
      </c>
      <c r="P146" s="3">
        <f>3027.4+(94.2-613.1)+(1.543974+(0.048042-0.312681))+0-80.9-0.0412589999999918</f>
        <v>2428.838076</v>
      </c>
      <c r="Q146" s="3">
        <f>3090.2+(74.9-596.3)+(0+(0-0))+0-80.8-0</f>
        <v>2487.9999999999995</v>
      </c>
      <c r="R146" s="3">
        <f>3163.6+(60.2-625.7)+(4.840308+(0.092106-0.957321))+0-81.6-0.124848000000005</f>
        <v>2520.3502450000001</v>
      </c>
      <c r="S146" s="3">
        <f>3221.3+(65-667)+(-1.642863+(-0.03315--0.34017))+0-80--0.0407999999999919</f>
        <v>2538.0049570000006</v>
      </c>
      <c r="T146" s="3">
        <f>3230.4+(72.2-678.6)+(0+(0-0))+0-77.3-0</f>
        <v>2546.6999999999998</v>
      </c>
      <c r="U146" s="3">
        <f>3193.2+(65.4-644.7)+(-6.514128+(-0.133416--1.315188))+0-83.5--0.170339999999996</f>
        <v>2525.2379839999999</v>
      </c>
      <c r="V146" s="3">
        <f>3199.7+(51.7-686.5)+(-3.263694+(-0.052734--0.70023))+0-64.2--0.0654840000000102</f>
        <v>2498.1492859999998</v>
      </c>
      <c r="W146" s="3">
        <f>3127.7+(71.9-677.6)+(-7.975635+(-0.183345--1.72788))+0-80.9--0.206294999999988</f>
        <v>2434.8751950000001</v>
      </c>
      <c r="X146" s="3">
        <f>3011.1+(80.8-636.3)+(-12.285288+(-0.329664--2.596104))+0-81.8--0.333743999999993</f>
        <v>2364.1148959999996</v>
      </c>
      <c r="Y146" s="3">
        <f>2924.2+(38.4-453.9)+(-1.491342+(-0.019584--0.231489))+0-89.1--0.045440999999991</f>
        <v>2418.366004</v>
      </c>
      <c r="Z146" s="3">
        <f>3336.6+(0-688.9)+(3.403332+(0-0.702678))+0-79.7-0.0812940000000127</f>
        <v>2570.6193600000001</v>
      </c>
      <c r="AA146" s="3">
        <f>3362.5+(2.5-737)+(-3.42975+(-0.00255--0.75174))+0-63.3--0.0645660000000101</f>
        <v>2562.084006</v>
      </c>
      <c r="AB146" s="3">
        <f>3233.7+(62.8-689.5)+(-3.298374+(-0.064056--0.70329))+0-81.3--0.082926000000013</f>
        <v>2523.1237859999997</v>
      </c>
      <c r="AC146" s="3">
        <f>3089.5+(132.6-667.1)+(-3.15129+(-0.135252--0.680442))+0-48.4--0.0493680000000077</f>
        <v>2504.0432679999999</v>
      </c>
      <c r="AD146">
        <v>2542.5</v>
      </c>
      <c r="AE146" s="3">
        <f>3345+(0-780.9)+(0+(0-0))+0-21.6-0</f>
        <v>2542.5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2973+(133.1-644.3)+(-1.51623+(-0.067881--0.328593))+0-76.5--0.0390149999999922</f>
        <v>2384.0834970000001</v>
      </c>
      <c r="G147" s="3">
        <f>2817.1+(133.5-572.5)+(-4.310163+(-0.204255--0.875925))+0-91.4--0.139842000000005</f>
        <v>2283.2013489999999</v>
      </c>
      <c r="H147" s="3">
        <f>2661.9+(139.7-508.1)+(1.357569+(0.071247-0.259131))+0-76.4-0.0389639999999923</f>
        <v>2218.2307209999999</v>
      </c>
      <c r="I147" s="3">
        <f>2451.3+(142.2-312.6)+(-2.500326+(-0.145044--0.318852))+0-80.5--0.0821100000000128</f>
        <v>2198.1555920000001</v>
      </c>
      <c r="J147" s="3">
        <f>2389.4+(142.1-282.4)+(-4.874376+(-0.289884--0.576096))+0-74.7--0.152387999999997</f>
        <v>2169.9642240000003</v>
      </c>
      <c r="K147" s="3">
        <f>2253.6+(143-258.4)+(-4.597344+(-0.29172--0.527136))+0-86.5--0.176459999999996</f>
        <v>2047.5145319999999</v>
      </c>
      <c r="L147" s="3">
        <f>2179.9+(142.1-245.8)+(-3.335247+(-0.217413--0.376074))+0-80.7--0.123471000000005</f>
        <v>1992.4468850000003</v>
      </c>
      <c r="M147" s="3">
        <f>2213.4+(139.8-203.7)+(1.128834+(0.071298-0.103887))+0-64.5-0.0328949999999935</f>
        <v>2086.0633500000004</v>
      </c>
      <c r="N147" s="3">
        <f>2575.4+(139.3-386)+(0+(0-0))+0-81.6-0</f>
        <v>2247.1000000000004</v>
      </c>
      <c r="O147" s="3">
        <f>2673.3+(138.7-357.6)+(2.726766+(0.141474-0.364752))+0-60.4-0.0616080000000096</f>
        <v>2396.4418799999999</v>
      </c>
      <c r="P147" s="3">
        <f>3004.6+(120.4-561.9)+(4.597038+(0.184212-0.859707))+0-56.2-0.0859860000000033</f>
        <v>2510.735557</v>
      </c>
      <c r="Q147" s="3">
        <f>3170.2+(87.3-626)+(3.233604+(0.089046-0.63852))+0-58.5-0.0596700000000093</f>
        <v>2575.62446</v>
      </c>
      <c r="R147" s="3">
        <f>3249.4+(84.5-615.8)+(6.628776+(0.17238-1.256232))+0-79.6-0.162383999999997</f>
        <v>2643.8825400000001</v>
      </c>
      <c r="S147" s="3">
        <f>3242.2+(76.6-624.1)+(0+(0-0))+0-72.1-0</f>
        <v>2622.6</v>
      </c>
      <c r="T147" s="3">
        <f>3292.5+(67.7-649.8)+(-3.35835+(-0.069054--0.662796))+0-78--0.0795600000000124</f>
        <v>2629.7149520000003</v>
      </c>
      <c r="U147" s="3">
        <f>3266.5+(59.9-631.5)+(1.665915+(0.030549-0.322065))+0-90.7-0.0462569999999908</f>
        <v>2605.5281420000001</v>
      </c>
      <c r="V147" s="3">
        <f>3234.3+(47.8-653.3)+(-1.649493+(-0.024378--0.333183))+0-68.3--0.0348329999999931</f>
        <v>2559.1941449999999</v>
      </c>
      <c r="W147" s="3">
        <f>3203.7+(55.6-728.7)+(-3.267774+(-0.056712--0.743274))+0-19.2--0.0195840000000031</f>
        <v>2508.8383720000002</v>
      </c>
      <c r="X147" s="3">
        <f>3083.2+(58.9-673.3)+(-9.434592+(-0.180234--2.060298))+0-19.1--0.0584460000000022</f>
        <v>2442.2039179999997</v>
      </c>
      <c r="Y147" s="3">
        <f>2978+(24.4-501.5)+(0+(0-0))+0-22.7-0</f>
        <v>2478.2000000000003</v>
      </c>
      <c r="Z147" s="3">
        <f>3419.5+(0-717.1)+(-3.48789+(0--0.731442))+0-75.9--0.0774180000000121</f>
        <v>2623.8209699999998</v>
      </c>
      <c r="AA147" s="3">
        <f>3418.1+(7.7-727.2)+(-8.716155+(-0.019635--1.85436))+0-69.8--0.17798999999999</f>
        <v>2622.09656</v>
      </c>
      <c r="AB147" s="3">
        <f>3301.7+(41.2-705.4)+(1.683867+(0.021012-0.359754))+0-45.4-0.0231539999999954</f>
        <v>2593.4219709999998</v>
      </c>
      <c r="AC147" s="3">
        <f>3226.3+(72.9-695.2)+(-6.581652+(-0.148716--1.418208))+0-23.5--0.047939999999999</f>
        <v>2575.23578</v>
      </c>
      <c r="AD147">
        <v>2606</v>
      </c>
      <c r="AE147" s="3">
        <f>3428+(0-727)+(0+(0-0))+0-95-0</f>
        <v>2606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3009.2+(133.7-614.9)+(-4.604076+(-0.204561--0.940797))+0-84.8--0.129744000000005</f>
        <v>2439.4619039999998</v>
      </c>
      <c r="G148" s="3">
        <f>2803.9+(142.6-554.9)+(-5.719956+(-0.290904--1.131996))+0-74.4--0.151775999999997</f>
        <v>2312.4729120000006</v>
      </c>
      <c r="H148" s="3">
        <f>2724.8+(143.2-527.1)+(-4.168944+(-0.219096--0.806463))+0-85.2--0.130356000000005</f>
        <v>2252.2487790000005</v>
      </c>
      <c r="I148" s="3">
        <f>2739.1+(141.6-530.2)+(-1.396941+(-0.072216--0.270402))+0-78.4--0.039983999999992</f>
        <v>2270.941229</v>
      </c>
      <c r="J148" s="3">
        <f>2728.7+(141.9-558)+(-5.566548+(-0.289476--1.13832))+0-81.5--0.166259999999996</f>
        <v>2226.5485559999997</v>
      </c>
      <c r="K148" s="3">
        <f>2539.4+(133.4-502.6)+(-5.180376+(-0.272136--1.025304))+0-59.6--0.121583999999997</f>
        <v>2106.2943759999998</v>
      </c>
      <c r="L148" s="3">
        <f>2331.8+(118.5-387.8)+(-7.135308+(-0.36261--1.186668))+0-20.7--0.0633420000000024</f>
        <v>2035.5520919999997</v>
      </c>
      <c r="M148" s="3">
        <f>2304.5+(98.7-245.4)+(-2.35059+(-0.100674--0.250308))+0-18.6--0.018972000000003</f>
        <v>2137.018016</v>
      </c>
      <c r="N148" s="3">
        <f>2617.9+(49.1-359.4)+(5.340516+(0.100164-0.733176))+0-18.9-0.0385559999999992</f>
        <v>2293.3689480000003</v>
      </c>
      <c r="O148" s="3">
        <f>3074.2+(1.1-615.2)+(0+(0-0))+0-19.2-0</f>
        <v>2440.9</v>
      </c>
      <c r="P148" s="3">
        <f>3254.5+(0-685.7)+(-3.31959+(0--0.699414))+0-19.2--0.0195840000000031</f>
        <v>2546.9994080000006</v>
      </c>
      <c r="Q148" s="3">
        <f>3424.2+(0-707.1)+(0+(0-0))+0-18.2-0</f>
        <v>2698.9</v>
      </c>
      <c r="R148" s="3">
        <f>3434.2+(0-718.7)+(1.751442+(0-0.366537))+0-17.9-0.00912899999999818</f>
        <v>2698.9757759999998</v>
      </c>
      <c r="S148" s="3">
        <f>3429.2+(0-727.8)+(-3.497784+(0--0.742356))+0-18.7--0.019074000000003</f>
        <v>2679.9636459999997</v>
      </c>
      <c r="T148" s="3">
        <f>3420.5+(0-705.6)+(-5.233365+(0--1.079568))+0-19.8--0.0302940000000011</f>
        <v>2690.9764970000001</v>
      </c>
      <c r="U148" s="3">
        <f>3417.7+(0-689.7)+(-6.972108+(0--1.406988))+0-53.8--0.109751999999998</f>
        <v>2668.7446319999995</v>
      </c>
      <c r="V148" s="3">
        <f>3351.5+(0-654.3)+(-6.83706+(0--1.334772))+0-79.5--0.162179999999997</f>
        <v>2612.3598919999995</v>
      </c>
      <c r="W148" s="3">
        <f>3248.3+(0-618.9)+(-1.656633+(0--0.315639))+0-75.7--0.0386069999999923</f>
        <v>2552.3976130000001</v>
      </c>
      <c r="X148" s="3">
        <f>3140.1+(0-590.5)+(-3.202902+(0--0.60231))+0-81.6--0.083232000000013</f>
        <v>2465.4826400000002</v>
      </c>
      <c r="Y148" s="3">
        <f>3015.3+(0-456.2)+(3.075606+(0-0.465324))+0-79.6-0.0811920000000127</f>
        <v>2482.0290900000005</v>
      </c>
      <c r="Z148" s="3">
        <f>3366.8+(0-670.3)+(0+(0-0))+0-73.3-0</f>
        <v>2623.2</v>
      </c>
      <c r="AA148" s="3">
        <f>3394.6+(0-700.2)+(-3.462492+(0--0.714204))+0-76.8--0.0783360000000122</f>
        <v>2614.9300479999997</v>
      </c>
      <c r="AB148" s="3">
        <f>3310.7+(42.7-671.4)+(-6.753828+(-0.087108--1.369656))+0-76.6--0.156263999999997</f>
        <v>2600.0849840000001</v>
      </c>
      <c r="AC148" s="3">
        <f>3172+(111.4-637)+(-3.23544+(-0.113628--0.64974))+0-76.3--0.0778260000000122</f>
        <v>2567.4784979999999</v>
      </c>
      <c r="AD148">
        <v>2621.5</v>
      </c>
      <c r="AE148" s="3">
        <f>3400+(0-685.3)+(0+(0-0))+0-93.2-0</f>
        <v>2621.5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3096.7+(124.8-659.9)+(-3.158634+(-0.127296--0.673098))+0-82.8--0.0844560000000132</f>
        <v>2476.271624</v>
      </c>
      <c r="G149" s="3">
        <f>2865+(140.5-555.1)+(-4.38345+(-0.214965--0.849303))+0-80--0.122400000000005</f>
        <v>2366.7732880000003</v>
      </c>
      <c r="H149" s="3">
        <f>2680.9+(141.4-491.6)+(-5.469036+(-0.288456--1.002864))+0-48.3--0.0985319999999979</f>
        <v>2277.7439039999995</v>
      </c>
      <c r="I149" s="3">
        <f>2363.3+(143.7-211.1)+(-2.410566+(-0.146574--0.215322))+0-32.1--0.0327420000000051</f>
        <v>2261.4909240000002</v>
      </c>
      <c r="J149" s="3">
        <f>2330.6+(156.6-180.7)+(0+(0-0))+0-81.8-0</f>
        <v>2224.6999999999998</v>
      </c>
      <c r="K149" s="3">
        <f>2306.7+(142.5-273)+(-5.882085+(-0.363375--0.69615))+0-78.3--0.199664999999989</f>
        <v>2092.5503549999999</v>
      </c>
      <c r="L149" s="3">
        <f>2278.9+(142.1-302.8)+(-2.324478+(-0.144942--0.308856))+0-72.6--0.0740520000000116</f>
        <v>2043.5134880000005</v>
      </c>
      <c r="M149" s="3">
        <f>2419.2+(141.2-337.6)+(2.467584+(0.144024-0.344352))+0-70.7-0.0721140000000113</f>
        <v>2154.2951419999999</v>
      </c>
      <c r="N149" s="3">
        <f>2637.9+(130.4-404.3)+(1.345329+(0.066504-0.206193))+0-62.6-0.0319259999999936</f>
        <v>2302.5737140000001</v>
      </c>
      <c r="O149" s="3">
        <f>3042.1+(83.3-619.4)+(3.102942+(0.084966-0.631788))+0-22.6-0.0230520000000036</f>
        <v>2485.9330680000003</v>
      </c>
      <c r="P149" s="3">
        <f>3186.6+(40-610.5)+(-3.250332+(-0.0408--0.62271))+0-24.5--0.0249900000000039</f>
        <v>2588.9565679999996</v>
      </c>
      <c r="Q149" s="3">
        <f>3265.8+(32.7-601.3)+(1.665558+(0.016677-0.306663))+0-47.1-0.0240209999999952</f>
        <v>2651.4515510000001</v>
      </c>
      <c r="R149" s="3">
        <f>3289.6+(38.4-555.9)+(-3.355392+(-0.039168--0.567018))+0-81--0.0826200000000129</f>
        <v>2688.355078</v>
      </c>
      <c r="S149" s="3">
        <f>3313+(37.5-597.9)+(-3.37926+(-0.03825--0.609858))+0-76.5--0.0780300000000122</f>
        <v>2673.3703780000001</v>
      </c>
      <c r="T149" s="3">
        <f>3322.3+(36.2-591)+(1.694373+(0.018462-0.30141))+0-78.4-0.039983999999992</f>
        <v>2690.4714409999997</v>
      </c>
      <c r="U149" s="3">
        <f>3309.3+(30-613.1)+(0+(0-0))+0-70.7-0</f>
        <v>2655.5000000000005</v>
      </c>
      <c r="V149" s="3">
        <f>3312.2+(26.1-634.6)+(-3.378444+(-0.026622--0.647292))+0-87.9--0.089658000000014</f>
        <v>2613.1318839999994</v>
      </c>
      <c r="W149" s="3">
        <f>3260.1+(50.2-668.4)+(-3.325302+(-0.051204--0.681768))+0-84.5--0.0861900000000135</f>
        <v>2554.7914519999999</v>
      </c>
      <c r="X149" s="3">
        <f>3021.1+(78.1-560.1)+(-4.622283+(-0.119493--0.856953))+0-77.5--0.118575000000004</f>
        <v>2457.833752</v>
      </c>
      <c r="Y149" s="3">
        <f>3002.9+(28.9-479.6)+(-3.062958+(-0.029478--0.489192))+0-82--0.0836400000000131</f>
        <v>2467.6803959999997</v>
      </c>
      <c r="Z149" s="3">
        <f>3384.5+(0-708.8)+(-1.726095+(0--0.361488))+0-59.3--0.030242999999994</f>
        <v>2615.0656359999998</v>
      </c>
      <c r="AA149" s="3">
        <f>3421.4+(0-719.2)+(-8.72457+(0--1.83396))+0-81.1--0.206804999999988</f>
        <v>2614.4161949999998</v>
      </c>
      <c r="AB149" s="3">
        <f>3256.3+(53.9-660.7)+(-3.321426+(-0.054978--0.673914))+0-66.1--0.0674220000000105</f>
        <v>2580.764932</v>
      </c>
      <c r="AC149" s="3">
        <f>3167.2+(121.2-638.4)+(0+(0-0))+0-65.7-0</f>
        <v>2584.3000000000002</v>
      </c>
      <c r="AD149">
        <v>2647.8</v>
      </c>
      <c r="AE149" s="3">
        <f>3447+(0-692)+(0+(0-0))+0-107.2-0</f>
        <v>2647.8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3086.8+(141.9-651.5)+(-7.87134+(-0.361845--1.661325))+0-85.9--0.219044999999988</f>
        <v>2484.947185</v>
      </c>
      <c r="G150" s="3">
        <f>2884.1+(140.9-583.6)+(-5.883564+(-0.287436--1.190544))+0-85.7--0.174827999999996</f>
        <v>2350.8943720000002</v>
      </c>
      <c r="H150" s="3">
        <f>2386+(140.8-225.2)+(-3.65058+(-0.215424--0.344556))+0-59.4--0.0908820000000034</f>
        <v>2238.7694339999998</v>
      </c>
      <c r="I150" s="3">
        <f>2397.9+(147.8-217.8)+(-1.222929+(-0.075378--0.111078))+0-85.6--0.0436559999999913</f>
        <v>2241.1564269999999</v>
      </c>
      <c r="J150" s="3">
        <f>2411.5+(141.4-283.2)+(0+(0-0))+0-61.7-0</f>
        <v>2208</v>
      </c>
      <c r="K150" s="3">
        <f>2326.3+(142.1-343.2)+(-7.118478+(-0.434826--1.050192))+0-45.9--0.140454000000005</f>
        <v>2072.9373420000002</v>
      </c>
      <c r="L150" s="3">
        <f>2288.1+(141.6-381.5)+(-2.333862+(-0.144432--0.38913))+0-21.8--0.0222360000000035</f>
        <v>2024.3330719999999</v>
      </c>
      <c r="M150" s="3">
        <f>2488.8+(141.1-463.6)+(3.807864+(0.215883-0.709308))+0-28.4-0.0434520000000016</f>
        <v>2141.1709870000004</v>
      </c>
      <c r="N150" s="3">
        <f>2723.6+(138.8-487.1)+(1.389036+(0.070788-0.248421))+0-73.4-0.0374339999999926</f>
        <v>2303.0739689999996</v>
      </c>
      <c r="O150" s="3">
        <f>3082.2+(86.5-630.5)+(-1.571922+(-0.044115--0.321555))+0-82.8--0.0422279999999916</f>
        <v>2454.1477459999996</v>
      </c>
      <c r="P150" s="3">
        <f>3254.8+(73.6-663.5)+(-1.659948+(-0.037536--0.338385))+0-81.5--0.0415649999999917</f>
        <v>2582.0824660000003</v>
      </c>
      <c r="Q150" s="3">
        <f>3287.4+(67.2-625.3)+(-3.353148+(-0.068544--0.637806))+0-78--0.0795600000000124</f>
        <v>2648.5956740000001</v>
      </c>
      <c r="R150" s="3">
        <f>3395.5+(58.6-681.7)+(1.731705+(0.029886-0.347667))+0-74.9-0.0381989999999924</f>
        <v>2698.8757249999999</v>
      </c>
      <c r="S150" s="3">
        <f>3337.5+(59-654)+(-5.106375+(-0.09027--1.00062))+0-71.2--0.108936000000004</f>
        <v>2667.2129110000001</v>
      </c>
      <c r="T150" s="3">
        <f>3320.7+(58.8-629.6)+(0+(0-0))+0-90.1-0</f>
        <v>2659.7999999999997</v>
      </c>
      <c r="U150" s="3">
        <f>3281.3+(62.4-647.6)+(3.346926+(0.063648-0.660552))+0-71.7-0.0731340000000114</f>
        <v>2627.0768880000005</v>
      </c>
      <c r="V150" s="3">
        <f>3291.5+(61.7-683.9)+(0+(0-0))+0-79.6-0</f>
        <v>2589.7000000000003</v>
      </c>
      <c r="W150" s="3">
        <f>3193.5+(68.2-658.6)+(-4.886055+(-0.104346--1.007658))+0-82.5--0.126225000000005</f>
        <v>2516.7434819999999</v>
      </c>
      <c r="X150" s="3">
        <f>3041.9+(76.6-624)+(-6.205476+(-0.156264--1.27296))+0-55--0.112199999999998</f>
        <v>2434.52342</v>
      </c>
      <c r="Y150" s="3">
        <f>3017.6+(35.8-530)+(1.538976+(0.018258-0.2703))+0-57.5-0.0293249999999942</f>
        <v>2467.1576090000003</v>
      </c>
      <c r="Z150" s="3">
        <f>3384.8+(0-690.2)+(5.178744+(0-1.056006))+0-86.4-0.132192000000005</f>
        <v>2612.1905460000003</v>
      </c>
      <c r="AA150" s="3">
        <f>3371.1+(0-695.6)+(-5.157783+(0--1.064268))+0-78.8--0.120564000000005</f>
        <v>2592.7270489999996</v>
      </c>
      <c r="AB150" s="3">
        <f>3252.2+(60.1-673.9)+(-1.658622+(-0.030651--0.343689))+0-82.4--0.0420239999999916</f>
        <v>2554.6964399999993</v>
      </c>
      <c r="AC150" s="3">
        <f>3109.9+(88.7-537.6)+(0+(0-0))+0-94.4-0</f>
        <v>2566.6</v>
      </c>
      <c r="AD150">
        <v>2579</v>
      </c>
      <c r="AE150" s="3">
        <f>3407+(0-733)+(0+(0-0))+0-95-0</f>
        <v>2579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3016.8+(128.2-623.5)+(-3.077136+(-0.130764--0.63597))+0-81.8--0.083436000000013</f>
        <v>2437.2115059999996</v>
      </c>
      <c r="G151" s="3">
        <f>2842.2+(143.1-589.2)+(0+(0-0))+0-81.4-0</f>
        <v>2314.6999999999998</v>
      </c>
      <c r="H151" s="3">
        <f>2777.1+(142.6-594.4)+(1.416321+(0.072726-0.303144))+0-76.5-0.0390149999999922</f>
        <v>2249.9468880000004</v>
      </c>
      <c r="I151" s="3">
        <f>2612.8+(142.4-429.1)+(-1.332528+(-0.072624--0.218841))+0-83.4--0.0425339999999915</f>
        <v>2241.5562230000005</v>
      </c>
      <c r="J151" s="3">
        <f>2565.8+(142-423)+(3.925674+(0.21726-0.64719))+0-85.7-0.131121000000005</f>
        <v>2202.4646230000003</v>
      </c>
      <c r="K151" s="3">
        <f>2480.2+(142.1-457.6)+(-7.589412+(-0.434826--1.400256))+0-82.7--0.25306200000001</f>
        <v>2075.6290800000002</v>
      </c>
      <c r="L151" s="3">
        <f>2348.3+(141.7-407.4)+(-5.988165+(-0.361335--1.03887))+0-82.5--0.210374999999988</f>
        <v>1994.9997450000003</v>
      </c>
      <c r="M151" s="3">
        <f>2397.6+(139-359.4)+(1.222776+(0.07089-0.183294))+0-79.4-0.0404939999999919</f>
        <v>2098.869878</v>
      </c>
      <c r="N151" s="3">
        <f>2626.6+(105.3-386.8)+(1.339566+(0.053703-0.197268))+0-89.2-0.0454919999999909</f>
        <v>2257.0505089999997</v>
      </c>
      <c r="O151" s="3">
        <f>2935.6+(50.1-545.6)+(2.994312+(0.051102-0.556512))+0-47.8-0.0487560000000076</f>
        <v>2394.7401459999996</v>
      </c>
      <c r="P151" s="3">
        <f>3193.7+(14.6-657.7)+(3.257574+(0.014892-0.670854))+0-18.2-0.0185640000000029</f>
        <v>2534.9830480000001</v>
      </c>
      <c r="Q151" s="3">
        <f>3274.1+(0-653.6)+(5.009373+(0-1.000008))+0-31.7-0.0485010000000018</f>
        <v>2592.7608639999999</v>
      </c>
      <c r="R151" s="3">
        <f>3251.7+(15.1-585.7)+(-1.658367+(-0.007701--0.298707))+0-62.7--0.0319769999999936</f>
        <v>2617.0646160000001</v>
      </c>
      <c r="S151" s="3">
        <f>3299.4+(8.4-618.4)+(-6.730776+(-0.017136--1.261536))+0-80.7--0.164627999999996</f>
        <v>2603.3782520000004</v>
      </c>
      <c r="T151" s="3">
        <f>3376.9+(19.4-696.4)+(-3.444438+(-0.019788--0.710328))+0-77--0.0785400000000123</f>
        <v>2620.2246420000001</v>
      </c>
      <c r="U151" s="3">
        <f>3235.8+(39.3-640.1)+(-4.950774+(-0.060129--0.979353))+0-76.9--0.117657000000004</f>
        <v>2554.1861069999995</v>
      </c>
      <c r="V151" s="3">
        <f>3165.2+(47.4-605.2)+(-4.842756+(-0.072522--0.925956))+0-92.6--0.141678000000005</f>
        <v>2510.9523559999998</v>
      </c>
      <c r="W151" s="3">
        <f>3072.2+(55.7-584.9)+(-6.267288+(-0.113628--1.193196))+0-86.2--0.175847999999996</f>
        <v>2451.7881280000001</v>
      </c>
      <c r="X151" s="3">
        <f>2994.4+(63.2-606.6)+(-4.581432+(-0.096696--0.928098))+0-65--0.0994500000000038</f>
        <v>2382.34942</v>
      </c>
      <c r="Y151" s="3">
        <f>3152.4+(16.2-661.4)+(-1.607724+(-0.008262--0.337314))+0-56.4--0.0287639999999943</f>
        <v>2449.5500920000004</v>
      </c>
      <c r="Z151" s="3">
        <f>3328.9+(0-741.6)+(-3.395478+(0--0.756432))+0-27.8--0.0283560000000044</f>
        <v>2556.88931</v>
      </c>
      <c r="AA151" s="3">
        <f>3281.2+(0-657.3)+(-5.020236+(0--1.005669))+0-86.7--0.132651000000005</f>
        <v>2533.3180839999995</v>
      </c>
      <c r="AB151" s="3">
        <f>3229.2+(49.5-683)+(-1.646892+(-0.025245--0.34833))+0-74.1--0.0377909999999925</f>
        <v>2520.3139839999999</v>
      </c>
      <c r="AC151" s="3">
        <f>3108.5+(130.1-673)+(-1.585335+(-0.066351--0.34323))+0-68.2--0.0347819999999931</f>
        <v>2496.1263260000001</v>
      </c>
      <c r="AD151">
        <v>2575.8999999999996</v>
      </c>
      <c r="AE151" s="3">
        <f>3387+(0-705.3)+(0+(0-0))+0-105.8-0</f>
        <v>2575.8999999999996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3005.8+(126-668.9)+(-3.065916+(-0.12852--0.682278))+0-66.3--0.0676260000000106</f>
        <v>2394.1554679999999</v>
      </c>
      <c r="G152" s="3">
        <f>2853.7+(138.1-601.2)+(-2.910774+(-0.140862--0.613224))+0-90.9--0.0927180000000145</f>
        <v>2297.3543059999997</v>
      </c>
      <c r="H152" s="3">
        <f>2804+(139.7-634.6)+(-5.72016+(-0.284988--1.294584))+0-80.7--0.164627999999996</f>
        <v>2223.8540640000001</v>
      </c>
      <c r="I152" s="3">
        <f>2781.4+(140.1-640)+(-1.418514+(-0.071451--0.3264))+0-46--0.0234599999999953</f>
        <v>2234.3598950000001</v>
      </c>
      <c r="J152" s="3">
        <f>2710.6+(139.7-574.5)+(-4.147218+(-0.213741--0.878985))+0-70.3--0.107559000000004</f>
        <v>2202.1255849999998</v>
      </c>
      <c r="K152" s="3">
        <f>2541.7+(143.2-585.1)+(-2.592534+(-0.146064--0.596802))+0-57.9--0.0590580000000092</f>
        <v>2039.8172619999998</v>
      </c>
      <c r="L152" s="3">
        <f>2266.8+(143.7-392.8)+(-9.248544+(-0.586296--1.602624))+0-83.8--0.341903999999993</f>
        <v>1926.0096880000001</v>
      </c>
      <c r="M152" s="3">
        <f>2164.3+(142.5-302.1)+(0+(0-0))+0-72.4-0</f>
        <v>1932.3000000000002</v>
      </c>
      <c r="N152" s="3">
        <f>2263.4+(138.3-338.1)+(2.308668+(0.141066-0.344862))+0-80.5-0.0821100000000128</f>
        <v>1985.1227619999997</v>
      </c>
      <c r="O152" s="3">
        <f>2380.6+(113.2-352.5)+(-2.428212+(-0.115464--0.35955))+0-64.4--0.0656880000000103</f>
        <v>2074.7815619999997</v>
      </c>
      <c r="P152" s="3">
        <f>2566.2+(66.6-397.9)+(0+(0-0))+0-53.3-0</f>
        <v>2181.5999999999995</v>
      </c>
      <c r="Q152" s="3">
        <f>2882.1+(49.5-589.9)+(1.469871+(0.025245-0.300849))+0-57.2-0.0291719999999942</f>
        <v>2285.6650949999998</v>
      </c>
      <c r="R152" s="3">
        <f>3018.7+(36.2-641.2)+(6.158148+(0.073848-1.308048))+0-80.2-0.163607999999997</f>
        <v>2338.2603400000003</v>
      </c>
      <c r="S152" s="3">
        <f>3003+(39.7-585.9)+(0+(0-0))+0-85.2-0</f>
        <v>2371.6000000000004</v>
      </c>
      <c r="T152" s="3">
        <f>3082.3+(29.9-624.4)+(-1.571973+(-0.015249--0.318444))+0-75.6--0.0385559999999923</f>
        <v>2410.9697780000001</v>
      </c>
      <c r="U152" s="3">
        <f>3076.5+(19.7-606.5)+(-1.569015+(-0.010047--0.309315))+0-85.8--0.0437579999999913</f>
        <v>2402.6740109999996</v>
      </c>
      <c r="V152" s="3">
        <f>3058.1+(45.2-677.9)+(-6.238524+(-0.092208--1.382916))+0-42.4--0.0864959999999981</f>
        <v>2378.13868</v>
      </c>
      <c r="W152" s="3">
        <f>3045.8+(50.6-671.8)+(-3.106716+(-0.051612--0.685236))+0-83--0.0846600000000132</f>
        <v>2339.2115680000002</v>
      </c>
      <c r="X152" s="3">
        <f>3012.8+(47.1-680.3)+(-4.609584+(-0.072063--1.040859))+0-81--0.123930000000005</f>
        <v>2295.0831420000004</v>
      </c>
      <c r="Y152" s="3">
        <f>2917.5+(18.7-481.4)+(1.487925+(0.009537-0.245514))+0-69.7-0.0355469999999929</f>
        <v>2386.3164010000005</v>
      </c>
      <c r="Z152" s="3">
        <f>3202.5+(0-609)+(-3.26655+(0--0.62118))+0-83.7--0.0853740000000134</f>
        <v>2507.2400040000002</v>
      </c>
      <c r="AA152" s="3">
        <f>3216.3+(0-616.8)+(-6.561252+(0--1.258272))+0-83.7--0.170747999999996</f>
        <v>2510.6677680000003</v>
      </c>
      <c r="AB152" s="3">
        <f>3189.6+(18.2-655.7)+(0+(0-0))+0-80.6-0</f>
        <v>2471.5</v>
      </c>
      <c r="AC152" s="3">
        <f>3017.5+(41.6-528.9)+(1.538925+(0.021216-0.269739))+0-55.3-0.0282029999999944</f>
        <v>2476.1621989999999</v>
      </c>
      <c r="AD152">
        <v>2521.9</v>
      </c>
      <c r="AE152" s="3">
        <f>3229+(0-609.9)+(0+(0-0))+0-97.2-0</f>
        <v>2521.9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2963.7+(81.8-568.1)+(4.534461+(0.125154-0.869193))+0-75.9-0.116127000000004</f>
        <v>2405.1742949999998</v>
      </c>
      <c r="G153" s="3">
        <f>2820.6+(90.1-499.6)+(-4.315518+(-0.137853--0.764388))+0-82.1--0.125613000000005</f>
        <v>2325.4366300000002</v>
      </c>
      <c r="H153" s="3">
        <f>2697.9+(113.7-464.7)+(-1.375929+(-0.057987--0.236997))+0-76.6--0.0390659999999922</f>
        <v>2269.142147</v>
      </c>
      <c r="I153" s="3">
        <f>2730.2+(136.8-506.3)+(5.569608+(0.279072-1.032852))+0-70.4-0.143615999999997</f>
        <v>2294.9722119999997</v>
      </c>
      <c r="J153" s="3">
        <f>2716.3+(140.5-522.5)+(0+(0-0))+0-88.6-0</f>
        <v>2245.7000000000003</v>
      </c>
      <c r="K153" s="3">
        <f>2533.6+(140.5-506.7)+(-5.168544+(-0.28662--1.033668))+0-79.3--0.161771999999997</f>
        <v>2083.8402759999999</v>
      </c>
      <c r="L153" s="3">
        <f>2211.4+(140.7-247.9)+(-4.511256+(-0.287028--0.505716))+0-79.6--0.162383999999997</f>
        <v>2020.4698160000005</v>
      </c>
      <c r="M153" s="3">
        <f>2124.6+(194.3-159.9)+(-1.083546+(-0.099093--0.081549))+0-79.3--0.040442999999992</f>
        <v>2078.6393529999996</v>
      </c>
      <c r="N153" s="3">
        <f>2616+(82-398.7)+(-2.66832+(-0.08364--0.406674))+0-64.7--0.0659940000000103</f>
        <v>2232.3207080000002</v>
      </c>
      <c r="O153" s="3">
        <f>2925.2+(59.9-507.4)+(1.491852+(0.030549-0.258774))+0-66.3-0.0338129999999933</f>
        <v>2412.6298139999994</v>
      </c>
      <c r="P153" s="3">
        <f>3146.8+(31.6-529.5)+(3.209736+(0.032232-0.54009))+0-80.3-0.0819060000000128</f>
        <v>2571.2199719999999</v>
      </c>
      <c r="Q153" s="3">
        <f>3286.8+(5-564.5)+(-1.676268+(-0.00255--0.287895))+0-71.9--0.0366689999999927</f>
        <v>2654.0457460000002</v>
      </c>
      <c r="R153" s="3">
        <f>3372.9+(0-583.7)+(0+(0-0))+0-77.2-0</f>
        <v>2712</v>
      </c>
      <c r="S153" s="3">
        <f>3401+(8.7-615.8)+(-5.20353+(-0.013311--0.942174))+0-73.6--0.112608000000004</f>
        <v>2716.137941</v>
      </c>
      <c r="T153" s="3">
        <f>3375.4+(39.6-617.9)+(1.721454+(0.020196-0.315129))+0-81.5-0.0415649999999917</f>
        <v>2716.9849560000002</v>
      </c>
      <c r="U153" s="3">
        <f>3350.9+(34.3-617.4)+(3.417918+(0.034986-0.629748))+0-95.3-0.0972060000000152</f>
        <v>2675.22595</v>
      </c>
      <c r="V153" s="3">
        <f>3302.7+(51.1-658.6)+(-6.737508+(-0.104244--1.343544))+0-64.5--0.131579999999997</f>
        <v>2625.3333720000001</v>
      </c>
      <c r="W153" s="3">
        <f>3197.7+(68.6-641.1)+(-3.261654+(-0.069972--0.653922))+0-61.4--0.0626280000000098</f>
        <v>2561.1849239999997</v>
      </c>
      <c r="X153" s="3">
        <f>3207.9+(77-697.6)+(-11.452203+(-0.27489--2.490432))+0-77.7--0.277389000000001</f>
        <v>2500.6407280000003</v>
      </c>
      <c r="Y153" s="3">
        <f>3216.8+(16.4-574.8)+(-1.640568+(-0.008364--0.293148))+0-79.1--0.040340999999992</f>
        <v>2577.9845570000002</v>
      </c>
      <c r="Z153" s="3">
        <f>3470.5+(0-688.3)+(0+(0-0))+0-81.2-0</f>
        <v>2701</v>
      </c>
      <c r="AA153" s="3">
        <f>3470.2+(0-699.2)+(-7.079208+(0--1.426368))+0-85.7--0.174827999999996</f>
        <v>2679.8219880000001</v>
      </c>
      <c r="AB153" s="3">
        <f>3355.3+(40.2-665.7)+(0+(0-0))+0-88.2-0</f>
        <v>2641.6000000000004</v>
      </c>
      <c r="AC153" s="3">
        <f>3255+(122.6-651.1)+(-4.98015+(-0.187578--0.996183))+0-98.2--0.150246000000006</f>
        <v>2624.2787010000002</v>
      </c>
      <c r="AD153">
        <v>2676.6</v>
      </c>
      <c r="AE153" s="3">
        <f>3458+(0-686.4)+(0+(0-0))+0-95-0</f>
        <v>2676.6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3028.7+(141.9-652.5)+(4.633911+(0.217107-0.998325))+0-23.7-0.0362610000000014</f>
        <v>2498.2164319999997</v>
      </c>
      <c r="G154" s="3">
        <f>2855.6+(141.7-551.3)+(1.456356+(0.072267-0.281163))+0-67.4-0.0343739999999932</f>
        <v>2379.8130860000001</v>
      </c>
      <c r="H154" s="3">
        <f>2751+(141.6-509.2)+(-4.20903+(-0.216648--0.779076))+0-78.3--0.119799000000005</f>
        <v>2301.5731970000002</v>
      </c>
      <c r="I154" s="3">
        <f>2759.3+(141.8-506.3)+(1.407243+(0.072318-0.258213))+0-78.8-0.040187999999992</f>
        <v>2317.1811600000001</v>
      </c>
      <c r="J154" s="3">
        <f>2783.5+(142-549.6)+(0+(0-0))+0-69.5-0</f>
        <v>2306.4</v>
      </c>
      <c r="K154" s="3">
        <f>2348+(142.1-258.8)+(-4.78992+(-0.289884--0.527952))+0-83--0.169319999999996</f>
        <v>2143.9174680000001</v>
      </c>
      <c r="L154" s="3">
        <f>2222.8+(142.4-218.1)+(-6.801768+(-0.435744--0.667386))+0-73.8--0.225828000000009</f>
        <v>2066.9557020000002</v>
      </c>
      <c r="M154" s="3">
        <f>2292.2+(141.3-224.2)+(1.169022+(0.072063-0.114342))+0-72.6-0.0370259999999926</f>
        <v>2137.7897169999997</v>
      </c>
      <c r="N154" s="3">
        <f>2612.8+(139.7-378.9)+(1.332528+(0.071247-0.193239))+0-51.2-0.0261119999999948</f>
        <v>2323.5844240000006</v>
      </c>
      <c r="O154" s="3">
        <f>2824.9+(124.7-458)+(1.440699+(0.063597-0.23358))+0-24.4-0.0124439999999975</f>
        <v>2468.4582719999999</v>
      </c>
      <c r="P154" s="3">
        <f>3145.8+(102.9-637.9)+(6.417432+(0.209916-1.301316))+0-24.4-0.0497759999999989</f>
        <v>2591.6762560000002</v>
      </c>
      <c r="Q154" s="3">
        <f>3228.5+(96.7-583.7)+(1.646535+(0.049317-0.297687))+0-82-0.0418199999999917</f>
        <v>2660.8563450000001</v>
      </c>
      <c r="R154" s="3">
        <f>3286.1+(93.4-607.8)+(3.351822+(0.095268-0.619956))+0-80.4-0.0820080000000128</f>
        <v>2694.045126</v>
      </c>
      <c r="S154" s="3">
        <f>3320.2+(92.3-647.4)+(-3.386604+(-0.094146--0.660348))+0-81--0.0826200000000129</f>
        <v>2681.3622180000002</v>
      </c>
      <c r="T154" s="3">
        <f>3338+(94.1-665.1)+(-3.40476+(-0.095982--0.678402))+0-78.4--0.0799680000000125</f>
        <v>2685.8576279999997</v>
      </c>
      <c r="U154" s="3">
        <f>3284.5+(85.6-674.6)+(-6.70038+(-0.174624--1.376184))+0-58.9--0.120155999999997</f>
        <v>2631.2213360000001</v>
      </c>
      <c r="V154" s="3">
        <f>3215.8+(71.4-657.7)+(-6.560232+(-0.145656--1.341708))+0-68.9--0.140555999999997</f>
        <v>2555.3763759999997</v>
      </c>
      <c r="W154" s="3">
        <f>3147.1+(77.7-672.4)+(-11.235147+(-0.277389--2.400468))+0-85.4--0.304878000000001</f>
        <v>2458.19281</v>
      </c>
      <c r="X154" s="3">
        <f>2888.7+(81.2-551.6)+(-8.839422+(-0.248472--1.687896))+0-80.4--0.246024000000009</f>
        <v>2330.7460259999998</v>
      </c>
      <c r="Y154" s="3">
        <f>3002.4+(21.1-573.4)+(1.531224+(0.010761-0.292434))+0-82.8-0.0422279999999916</f>
        <v>2368.5073230000003</v>
      </c>
      <c r="Z154" s="3">
        <f>3214+(0-674.3)+(-1.63914+(0--0.343893))+0-87.9--0.0448289999999911</f>
        <v>2450.5495819999996</v>
      </c>
      <c r="AA154" s="3">
        <f>3189.6+(0-686)+(-11.386872+(0--2.44902))+0-85.2--0.304164000000001</f>
        <v>2409.7663120000002</v>
      </c>
      <c r="AB154" s="3">
        <f>2932.1+(47.9-620.7)+(-7.476855+(-0.122145--1.582785))+0-59.2--0.150959999999991</f>
        <v>2294.2347449999997</v>
      </c>
      <c r="AC154" s="3">
        <f>2759.1+(72.3-524.8)+(1.407141+(0.036873-0.267648))+0-63.4-0.0323339999999936</f>
        <v>2244.344032</v>
      </c>
      <c r="AD154">
        <v>2446.8000000000002</v>
      </c>
      <c r="AE154" s="3">
        <f>3243+(3.9-726.3)+(0+(0-0))+0-73.8-0</f>
        <v>2446.7999999999997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2674.9+(113.7-524.1)+(-1.364199+(-0.057987--0.267291))+0-88.5--0.045134999999991</f>
        <v>2174.8902399999997</v>
      </c>
      <c r="G155" s="3">
        <f>2559.9+(137.4-496)+(-3.916647+(-0.210222--0.75888))+0-84.1--0.128673000000005</f>
        <v>2113.9606840000006</v>
      </c>
      <c r="H155" s="3">
        <f>2527.5+(141.5-480.8)+(-2.57805+(-0.14433--0.490416))+0-89.6--0.0913920000000143</f>
        <v>2096.4594279999997</v>
      </c>
      <c r="I155" s="3">
        <f>2565.6+(141.9-525.4)+(3.925368+(0.217107-0.803862))+0-67.1-0.102663000000004</f>
        <v>2118.2359499999998</v>
      </c>
      <c r="J155" s="3">
        <f>2630.6+(141.5-613)+(1.341606+(0.072165-0.31263))+0-81.2-0.0414119999999918</f>
        <v>2078.9597290000002</v>
      </c>
      <c r="K155" s="3">
        <f>2460.1+(141.1-637)+(-3.763953+(-0.215883--0.97461))+0-70.8--0.108324000000004</f>
        <v>1890.5030979999999</v>
      </c>
      <c r="L155" s="3">
        <f>2229.9+(141.6-521.8)+(-9.097992+(-0.577728--2.128944))+0-81.2--0.331295999999993</f>
        <v>1761.2845200000004</v>
      </c>
      <c r="M155" s="3">
        <f>2065.1+(134.5-368.3)+(0+(0-0))+0-82.7-0</f>
        <v>1748.6</v>
      </c>
      <c r="N155" s="3">
        <f>2050.4+(78.3-291)+(4.182816+(0.159732-0.59364))+0-61.2-0.124847999999997</f>
        <v>1780.1240600000001</v>
      </c>
      <c r="O155" s="3">
        <f>2288.7+(27.2-377.9)+(4.668948+(0.055488-0.770916))+0-72.5-0.147899999999997</f>
        <v>1869.3056199999999</v>
      </c>
      <c r="P155" s="3">
        <f>2386.7+(0-352.1)+(0+(0-0))+0-84.8-0</f>
        <v>1949.8</v>
      </c>
      <c r="Q155" s="3">
        <f>2528.7+(0-395.9)+(1.289637+(0-0.201909))+0-86.6-0.0441659999999912</f>
        <v>2047.2435619999999</v>
      </c>
      <c r="R155" s="3">
        <f>2720.5+(0-498.4)+(0+(0-0))+0-84.9-0</f>
        <v>2137.1999999999998</v>
      </c>
      <c r="S155" s="3">
        <f>2731.4+(0-426.8)+(-4.179042+(0--0.653004))+0-79--0.120870000000005</f>
        <v>2222.1948320000001</v>
      </c>
      <c r="T155" s="3">
        <f>2731.7+(16.2-381.6)+(1.393167+(0.008262-0.194616))+0-72.4-0.0369239999999927</f>
        <v>2295.0698889999994</v>
      </c>
      <c r="U155" s="3">
        <f>2723.2+(28.8-339.2)+(-2.777664+(-0.029376--0.345984))+0-93.4--0.0952680000000149</f>
        <v>2317.0342119999996</v>
      </c>
      <c r="V155" s="3">
        <f>2712.7+(12.6-362.9)+(1.383477+(0.006426-0.185079))+0-46.2-0.0235619999999953</f>
        <v>2317.3812619999999</v>
      </c>
      <c r="W155" s="3">
        <f>2683+(33.7-337.6)+(-5.47332+(-0.068748--0.688704))+0-82.2--0.167687999999996</f>
        <v>2292.214324</v>
      </c>
      <c r="X155" s="3">
        <f>2639.1+(38.8-332)+(-1.345941+(-0.019788--0.16932))+0-80.6--0.0411059999999918</f>
        <v>2264.1446970000002</v>
      </c>
      <c r="Y155" s="3">
        <f>2767.5+(6-282.2)+(-1.411425+(-0.00306--0.143922))+0-87--0.0443699999999912</f>
        <v>2403.0738070000002</v>
      </c>
      <c r="Z155" s="3">
        <f>2988.1+(0-383.8)+(-6.095724+(0--0.782952))+0-86.9--0.177275999999996</f>
        <v>2512.2645039999993</v>
      </c>
      <c r="AA155" s="3">
        <f>3063+(0-474.7)+(-3.12426+(0--0.484194))+0-75--0.076500000000012</f>
        <v>2510.7364340000004</v>
      </c>
      <c r="AB155" s="3">
        <f>3108+(70.4-587.2)+(0+(0-0))+0-74.4-0</f>
        <v>2516.7999999999997</v>
      </c>
      <c r="AC155" s="3">
        <f>3102.8+(125.6-625)+(-6.329712+(-0.256224--1.275))+0-46.6--0.095063999999998</f>
        <v>2551.5841280000004</v>
      </c>
      <c r="AD155">
        <v>2605.5</v>
      </c>
      <c r="AE155" s="3">
        <f>3137+(2.1-431.4)+(0+(0-0))+0-102.2-0</f>
        <v>2605.5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3064+(141-630.1)+(-6.25056+(-0.28764--1.285404))+0-86--0.175439999999996</f>
        <v>2483.8226439999999</v>
      </c>
      <c r="G156" s="3">
        <f>2772.5+(141-475.3)+(-5.6559+(-0.28764--0.969612))+0-83--0.169319999999996</f>
        <v>2350.3953919999999</v>
      </c>
      <c r="H156" s="3">
        <f>2676.9+(141-463)+(-1.365219+(-0.07191--0.23613))+0-85--0.0433499999999914</f>
        <v>2268.7423509999999</v>
      </c>
      <c r="I156" s="3">
        <f>2456.6+(141-233)+(2.505732+(0.14382-0.23766))+0-84-0.0856800000000134</f>
        <v>2282.9262119999999</v>
      </c>
      <c r="J156" s="3">
        <f>2414.5+(142-210.2)+(2.46279+(0.14484-0.214404))+0-83-0.0846600000000132</f>
        <v>2265.6085660000003</v>
      </c>
      <c r="K156" s="3">
        <f>2243.4+(138-210.1)+(-3.432402+(-0.21114--0.321453))+0-81--0.123930000000005</f>
        <v>2087.1018410000006</v>
      </c>
      <c r="L156" s="3">
        <f>2086+(179.2-168)+(0+(0-0))+0-63-0</f>
        <v>2034.1999999999998</v>
      </c>
      <c r="M156" s="3">
        <f>2297.4+(136-256.1)+(0+(0-0))+0-29-0</f>
        <v>2148.3000000000002</v>
      </c>
      <c r="N156" s="3">
        <f>2786.2+(139.1-542.3)+(4.262886+(0.212823-0.829719))+0-18.3-0.0279990000000011</f>
        <v>2368.3179909999999</v>
      </c>
      <c r="O156" s="3">
        <f>2990+(115.4-570.9)+(3.0498+(0.117708-0.582318))+0-20.5-0.0209100000000033</f>
        <v>2516.5642799999996</v>
      </c>
      <c r="P156" s="3">
        <f>3111.5+(101.2-550.2)+(6.34746+(0.206448-1.122408))+0-18.3-0.0373319999999992</f>
        <v>2649.5941680000001</v>
      </c>
      <c r="Q156" s="3">
        <f>3285+(76.7-638.9)+(3.3507+(0.078234-0.651678))+0-19.1-0.019482000000003</f>
        <v>2706.457774</v>
      </c>
      <c r="R156" s="3">
        <f>3376.1+(52.9-656.9)+(5.165433+(0.080937-1.005057))+0-19-0.0290700000000011</f>
        <v>2757.3122429999999</v>
      </c>
      <c r="S156" s="3">
        <f>3416.1+(45.7-680.5)+(0+(0-0))+0-18.8-0</f>
        <v>2762.5</v>
      </c>
      <c r="T156" s="3">
        <f>3375.3+(63.5-654.7)+(0+(0-0))+0-25.3-0</f>
        <v>2758.8</v>
      </c>
      <c r="U156" s="3">
        <f>3312.3+(53.5-598.4)+(-10.135638+(-0.16371--1.831104))+0-53.5--0.163710000000006</f>
        <v>2705.5954659999998</v>
      </c>
      <c r="V156" s="3">
        <f>3304.8+(53.9-617.9)+(-5.056344+(-0.082467--0.945387))+0-79.8--0.122094000000005</f>
        <v>2656.9286699999998</v>
      </c>
      <c r="W156" s="3">
        <f>3253.2+(70.3-654.7)+(-3.318264+(-0.071706--0.667794))+0-82.3--0.0839460000000131</f>
        <v>2583.8617699999995</v>
      </c>
      <c r="X156" s="3">
        <f>3157.7+(91.2-649.8)+(-4.831281+(-0.139536--0.994194))+0-91.8--0.140454000000005</f>
        <v>2503.4638309999996</v>
      </c>
      <c r="Y156" s="3">
        <f>3287.8+(23.2-622.3)+(3.353556+(0.023664-0.634746))+0-88.3-0.0900660000000141</f>
        <v>2603.052408</v>
      </c>
      <c r="Z156" s="3">
        <f>3340.1+(0-604.9)+(-3.406902+(0--0.616998))+0-59.2--0.0603840000000094</f>
        <v>2673.2704799999997</v>
      </c>
      <c r="AA156" s="3">
        <f>3312.4+(15.9-609.1)+(-5.067972+(-0.024327--0.931923))+0-59.4--0.0908820000000034</f>
        <v>2655.7305059999999</v>
      </c>
      <c r="AB156" s="3">
        <f>3241.6+(74.9-636.2)+(-4.959648+(-0.114597--0.973386))+0-79.6--0.121788000000005</f>
        <v>2596.7209289999996</v>
      </c>
      <c r="AC156" s="3">
        <f>3078.6+(105.1-563.4)+(-3.140172+(-0.107202--0.574668))+0-72.3--0.0737460000000115</f>
        <v>2545.4010400000002</v>
      </c>
      <c r="AD156">
        <v>2677.2999999999997</v>
      </c>
      <c r="AE156" s="3">
        <f>3362+(0-581.4)+(0+(0-0))+0-103.3-0</f>
        <v>2677.2999999999997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3013.3+(122.7-560.3)+(-1.536783+(-0.062577--0.285753))+0-82.2--0.0419219999999917</f>
        <v>2492.2283150000003</v>
      </c>
      <c r="G157" s="3">
        <f>2860.7+(141.8-484.6)+(-4.376871+(-0.216954--0.741438))+0-81.3--0.124389000000005</f>
        <v>2432.8720019999996</v>
      </c>
      <c r="H157" s="3">
        <f>2830.8+(141.5-498.2)+(-2.887416+(-0.14433--0.508164))+0-82.8--0.0844560000000132</f>
        <v>2388.8608740000004</v>
      </c>
      <c r="I157" s="3">
        <f>2820.4+(141.5-471.2)+(-7.19202+(-0.360825--1.20156))+0-81.3--0.207314999999988</f>
        <v>2403.25603</v>
      </c>
      <c r="J157" s="3">
        <f>2790.6+(140.7-477.2)+(1.423206+(0.071757-0.243372))+0-93.8-0.0478379999999905</f>
        <v>2361.503753</v>
      </c>
      <c r="K157" s="3">
        <f>2652.1+(140.5-506.5)+(-6.762855+(-0.358275--1.291575))+0-73.4--0.187169999999989</f>
        <v>2207.0576150000002</v>
      </c>
      <c r="L157" s="3">
        <f>2434.2+(142.2-374.8)+(-3.724326+(-0.217566--0.573444))+0-67.9--0.103887000000004</f>
        <v>2130.4354389999999</v>
      </c>
      <c r="M157" s="3">
        <f>2581.6+(140.4-450.7)+(-2.633232+(-0.143208--0.459714))+0-81.6--0.083232000000013</f>
        <v>2187.4665060000002</v>
      </c>
      <c r="N157" s="3">
        <f>2762.8+(90.7-500.8)+(2.818056+(0.092514-0.510816))+0-29.5-0.0300900000000047</f>
        <v>2325.5696640000001</v>
      </c>
      <c r="O157" s="3">
        <f>2945.2+(55.7-446.1)+(3.004104+(0.056814-0.455022))+0-55.5-0.0566100000000088</f>
        <v>2501.8492859999997</v>
      </c>
      <c r="P157" s="3">
        <f>3172.4+(38.9-522.8)+(1.617924+(0.019839-0.266628))+0-49.4-0.025193999999995</f>
        <v>2640.4459409999999</v>
      </c>
      <c r="Q157" s="3">
        <f>3308.7+(33.4-529.5)+(-3.374874+(-0.034068--0.54009))+0-77.2--0.0787440000000123</f>
        <v>2732.6098919999999</v>
      </c>
      <c r="R157" s="3">
        <f>3429.4+(53.3-632.6)+(-1.748994+(-0.027183--0.322626))+0-77.3--0.0394229999999922</f>
        <v>2771.3858719999998</v>
      </c>
      <c r="S157" s="3">
        <f>3431.7+(41.7-663.4)+(-8.750835+(-0.106335--1.69167))+0-48.9--0.124694999999993</f>
        <v>2754.0591949999998</v>
      </c>
      <c r="T157" s="3">
        <f>3454.9+(43-714.7)+(-8.809995+(-0.10965--1.822485))+0-20.3--0.0517649999999971</f>
        <v>2755.854605</v>
      </c>
      <c r="U157" s="3">
        <f>3396.4+(46.4-648)+(-5.196492+(-0.070992--0.99144))+0-76.2--0.116586000000004</f>
        <v>2714.4405420000003</v>
      </c>
      <c r="V157" s="3">
        <f>3289.4+(36.1-627.1)+(-5.032782+(-0.055233--0.959463))+0-41.6--0.0636480000000024</f>
        <v>2652.7350959999999</v>
      </c>
      <c r="W157" s="3">
        <f>3204.4+(72.2-625.2)+(-3.268488+(-0.073644--0.637704))+0-81.4--0.083028000000013</f>
        <v>2567.3786</v>
      </c>
      <c r="X157" s="3">
        <f>3127.4+(85.9-630.2)+(-7.97487+(-0.219045--1.60701))+0-85.3--0.217514999999988</f>
        <v>2491.4306099999994</v>
      </c>
      <c r="Y157" s="3">
        <f>3254.4+(17.2-619.4)+(-1.659744+(-0.008772--0.315894))+0-78.7--0.040136999999992</f>
        <v>2572.1875150000005</v>
      </c>
      <c r="Z157" s="3">
        <f>3373.7+(8.2-618.2)+(0+(0-0))+0-95.1-0</f>
        <v>2668.6</v>
      </c>
      <c r="AA157" s="3">
        <f>3276.5+(48.3-603.2)+(-6.68406+(-0.098532--1.230528))+0-68.9--0.140555999999997</f>
        <v>2647.2884919999997</v>
      </c>
      <c r="AB157" s="3">
        <f>3231.9+(116.8-619.7)+(1.648269+(0.059568-0.316047))+0-85-0.0433499999999914</f>
        <v>2645.3484400000002</v>
      </c>
      <c r="AC157" s="3">
        <f>3098.8+(120.2-516.7)+(-6.321552+(-0.245208--1.054068))+0-80.4--0.164015999999996</f>
        <v>2616.5513240000005</v>
      </c>
      <c r="AD157">
        <v>2651.4</v>
      </c>
      <c r="AE157" s="3">
        <f>3248+(14.1-521.5)+(0+(0-0))+0-89.2-0</f>
        <v>2651.4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2951.3+(141.2-549.4)+(-1.505163+(-0.072012--0.280194))+0-46.6--0.0237659999999953</f>
        <v>2495.2267850000003</v>
      </c>
      <c r="G158" s="3">
        <f>2814.6+(140.7-556.3)+(0+(0-0))+0-24.5-0</f>
        <v>2374.5</v>
      </c>
      <c r="H158" s="3">
        <f>2745.5+(141.3-502.3)+(0+(0-0))+0-92.2-0</f>
        <v>2292.3000000000002</v>
      </c>
      <c r="I158" s="3">
        <f>2765.1+(141.4-529.3)+(4.230603+(0.216342-0.809829))+0-76.3-0.116739000000004</f>
        <v>2304.4203769999995</v>
      </c>
      <c r="J158" s="3">
        <f>2745.4+(142.3-519.1)+(-1.400154+(-0.072573--0.264741))+0-63.8--0.0325379999999935</f>
        <v>2303.6245519999998</v>
      </c>
      <c r="K158" s="3">
        <f>2578.9+(141.9-469.3)+(-6.576195+(-0.361845--1.196715))+0-80.1--0.204254999999988</f>
        <v>2165.8629300000002</v>
      </c>
      <c r="L158" s="3">
        <f>2274.1+(142.3-262.3)+(-4.639164+(-0.290292--0.535092))+0-84--0.171359999999996</f>
        <v>2065.8769959999995</v>
      </c>
      <c r="M158" s="3">
        <f>2368+(141.7-299.2)+(2.41536+(0.144534-0.305184))+0-60.4-0.0616080000000096</f>
        <v>2152.2931020000001</v>
      </c>
      <c r="N158" s="3">
        <f>2700.9+(140.5-460.2)+(0+(0-0))+0-89.2-0</f>
        <v>2292.0000000000005</v>
      </c>
      <c r="O158" s="3">
        <f>2846.7+(141.2-492)+(1.451817+(0.072012-0.25092))+0-78.2-0.0398819999999921</f>
        <v>2418.9330269999996</v>
      </c>
      <c r="P158" s="3">
        <f>2930.8+(141.1-484.2)+(5.978832+(0.287844-0.987768))+0-84.4-0.172175999999996</f>
        <v>2508.4067319999999</v>
      </c>
      <c r="Q158" s="3">
        <f>3163.8+(140.5-646.3)+(-8.06769+(-0.358275--1.648065))+0-77.2--0.196859999999989</f>
        <v>2574.2189600000002</v>
      </c>
      <c r="R158" s="3">
        <f>3208.7+(140.1-666)+(3.272874+(0.142902-0.67932))+0-89.5-0.0912900000000143</f>
        <v>2595.945166</v>
      </c>
      <c r="S158" s="3">
        <f>3135.7+(140.2-611.4)+(-4.797621+(-0.214506--0.935442))+0-88.7--0.135711000000005</f>
        <v>2571.8590260000001</v>
      </c>
      <c r="T158" s="3">
        <f>3153.6+(141.1-642.5)+(1.608336+(0.071961-0.327675))+0-79-0.040289999999992</f>
        <v>2574.5123319999998</v>
      </c>
      <c r="U158" s="3">
        <f>3136.4+(140.9-654)+(0+(0-0))+0-82.3-0</f>
        <v>2541</v>
      </c>
      <c r="V158" s="3">
        <f>3081.4+(141.7-666.6)+(-7.85757+(-0.361335--1.69983))+0-75.7--0.193034999999989</f>
        <v>2474.4739599999998</v>
      </c>
      <c r="W158" s="3">
        <f>2976.6+(142-626.3)+(-4.554198+(-0.21726--0.958239))+0-86.5--0.132345000000005</f>
        <v>2402.1191260000001</v>
      </c>
      <c r="X158" s="3">
        <f>2848.3+(123.8-547.1)+(-4.357899+(-0.189414--0.837063))+0-72.7--0.111231000000004</f>
        <v>2348.700981</v>
      </c>
      <c r="Y158" s="3">
        <f>2945.1+(66.9-505.3)+(3.004002+(0.068238-0.515406))+0-84.2-0.0858840000000134</f>
        <v>2424.9709499999999</v>
      </c>
      <c r="Z158" s="3">
        <f>3025.8+(22.5-467.3)+(-10.802106+(-0.080325--1.668261))+0-72.9--0.260253000000001</f>
        <v>2499.1460829999996</v>
      </c>
      <c r="AA158" s="3">
        <f>2971+(60-458.6)+(-4.54563+(-0.0918--0.701658))+0-81.3--0.124389000000005</f>
        <v>2487.2886170000002</v>
      </c>
      <c r="AB158" s="3">
        <f>2950.7+(113.3-519.4)+(1.504857+(0.057783-0.264894))+0-85.9-0.0438089999999913</f>
        <v>2459.9539370000002</v>
      </c>
      <c r="AC158" s="3">
        <f>2870.3+(139.4-489)+(-7.319265+(-0.35547--1.24695))+0-80.6--0.205529999999988</f>
        <v>2433.8777450000007</v>
      </c>
      <c r="AD158">
        <v>2502.9999999999995</v>
      </c>
      <c r="AE158" s="3">
        <f>3010+(50.1-455.3)+(0+(0-0))+0-101.8-0</f>
        <v>2503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2813.4+(142.1-537.1)+(-7.17417+(-0.362355--1.369605))+0-71.6--0.18257999999999</f>
        <v>2340.8156600000002</v>
      </c>
      <c r="G159" s="3">
        <f>2647.5+(141.8-493.2)+(-6.751125+(-0.36159--1.25766))+0-47.9--0.122144999999993</f>
        <v>2242.4670899999996</v>
      </c>
      <c r="H159" s="3">
        <f>2396.5+(142.1-322.6)+(2.44443+(0.144942-0.329052))+0-59.3-0.0604860000000095</f>
        <v>2158.8998339999998</v>
      </c>
      <c r="I159" s="3">
        <f>2371.2+(141.8-269)+(-3.627936+(-0.216954--0.41157))+0-72.4--0.110772000000004</f>
        <v>2168.2774519999998</v>
      </c>
      <c r="J159" s="3">
        <f>2395.2+(142.5-284.3)+(0+(0-0))+0-95.3-0</f>
        <v>2158.0999999999995</v>
      </c>
      <c r="K159" s="3">
        <f>2271+(142.1-324.8)+(-5.79105+(-0.362355--0.82824))+0-85.9--0.219044999999988</f>
        <v>1997.2938799999999</v>
      </c>
      <c r="L159" s="3">
        <f>2066.7+(141.9-251.9)+(-7.378119+(-0.506583--0.899283))+0-83.4--0.297738000000001</f>
        <v>1866.6123189999996</v>
      </c>
      <c r="M159" s="3">
        <f>2069.2+(143-274.6)+(1.055292+(0.07293-0.140046))+0-85.6-0.0436559999999913</f>
        <v>1852.94452</v>
      </c>
      <c r="N159" s="3">
        <f>2060.8+(142.5-238.8)+(1.051008+(0.072675-0.121788))+0-63.5-0.0323849999999936</f>
        <v>1901.9695100000004</v>
      </c>
      <c r="O159" s="3">
        <f>2045.2+(172.6-177.5)+(-2.086104+(-0.176052--0.18105))+0-79.5--0.0810900000000127</f>
        <v>1958.7999839999998</v>
      </c>
      <c r="P159" s="3">
        <f>2194.2+(134.4-199.9)+(2.238084+(0.137088-0.203898))+0-82.3-0.0839460000000131</f>
        <v>2048.4873279999993</v>
      </c>
      <c r="Q159" s="3">
        <f>2523.1+(95.9-435.6)+(5.147124+(0.195636-0.888624))+0-71.8-0.146471999999997</f>
        <v>2115.9076639999994</v>
      </c>
      <c r="R159" s="3">
        <f>2668.8+(121.5-531)+(-4.083264+(-0.185895--0.81243))+0-87.5--0.133875000000005</f>
        <v>2168.4771460000002</v>
      </c>
      <c r="S159" s="3">
        <f>2677.2+(122.2-528.4)+(-2.730744+(-0.124644--0.538968))+0-79.3--0.0808860000000126</f>
        <v>2189.4644659999999</v>
      </c>
      <c r="T159" s="3">
        <f>2680.1+(124.3-521.5)+(1.366851+(0.063393-0.265965))+0-81.9-0.0417689999999917</f>
        <v>2202.1225100000001</v>
      </c>
      <c r="U159" s="3">
        <f>2670.1+(132.1-511.5)+(0+(0-0))+0-95.1-0</f>
        <v>2195.6</v>
      </c>
      <c r="V159" s="3">
        <f>2667.8+(136.9-546.8)+(0+(0-0))+0-81.8-0</f>
        <v>2176.1</v>
      </c>
      <c r="W159" s="3">
        <f>2660.5+(130.4-569.4)+(0+(0-0))+0-76.1-0</f>
        <v>2145.4</v>
      </c>
      <c r="X159" s="3">
        <f>2592.2+(118.7-541.3)+(-3.966066+(-0.181611--0.828189))+0-48--0.0734400000000028</f>
        <v>2118.3539519999999</v>
      </c>
      <c r="Y159" s="3">
        <f>2643.1+(101.5-425.1)+(4.043943+(0.155295-0.650403))+0-88.8-0.135864000000005</f>
        <v>2234.112971</v>
      </c>
      <c r="Z159" s="3">
        <f>2919.4+(92-568.5)+(-2.977788+(-0.09384--0.57987))+0-88.7--0.0904740000000141</f>
        <v>2351.7987160000002</v>
      </c>
      <c r="AA159" s="3">
        <f>2881.9+(126.8-574.4)+(-1.469769+(-0.064668--0.292944))+0-86.7--0.0442169999999912</f>
        <v>2346.4027240000005</v>
      </c>
      <c r="AB159" s="3">
        <f>2839.9+(142.8-573.8)+(-2.896698+(-0.145656--0.585276))+0-81.7--0.083334000000013</f>
        <v>2324.8262560000003</v>
      </c>
      <c r="AC159" s="3">
        <f>2822.2+(142.8-593.8)+(1.439322+(0.072828-0.302838))+0-75.5-0.0385049999999923</f>
        <v>2296.8708069999998</v>
      </c>
      <c r="AD159">
        <v>2365.2999999999997</v>
      </c>
      <c r="AE159" s="3">
        <f>2981+(99.1-604.7)+(0+(0-0))+0-110.1-0</f>
        <v>2365.3000000000002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2650.5+(129.2-517.1)+(-1.351755+(-0.065892--0.263721))+0-79.9--0.0407489999999919</f>
        <v>2181.5868229999996</v>
      </c>
      <c r="G160" s="3">
        <f>2500.8+(142-490.6)+(-7.652448+(-0.43452--1.501236))+0-74.9--0.229194000000009</f>
        <v>2070.9434620000002</v>
      </c>
      <c r="H160" s="3">
        <f>2475.6+(142.6-495.4)+(-5.050224+(-0.290904--1.010616))+0-98.1--0.200123999999996</f>
        <v>2020.5696120000002</v>
      </c>
      <c r="I160" s="3">
        <f>2509.2+(142.7-495.7)+(1.279692+(0.072777-0.252807))+0-86.1-0.0439109999999913</f>
        <v>2071.1557509999998</v>
      </c>
      <c r="J160" s="3">
        <f>2200.3+(141.9-259.2)+(2.244306+(0.144738-0.264384))+0-48.9-0.0498780000000078</f>
        <v>2036.1747819999998</v>
      </c>
      <c r="K160" s="3">
        <f>2089.7+(142.1-246.4)+(-1.065747+(-0.072471--0.125664))+0-69.8--0.0355979999999929</f>
        <v>1914.6230439999999</v>
      </c>
      <c r="L160" s="3">
        <f>2002.5+(142.3-203.9)+(-5.106375+(-0.362865--0.519945))+0-78.6--0.200429999999989</f>
        <v>1857.5511350000004</v>
      </c>
      <c r="M160" s="3">
        <f>2097.5+(142.3-215.8)+(-2.13945+(-0.145146--0.220116))+0-76.4--0.0779280000000122</f>
        <v>1945.6134479999998</v>
      </c>
      <c r="N160" s="3">
        <f>2417+(136.6-389.9)+(-2.46534+(-0.139332--0.397698))+0-61.4--0.0626280000000098</f>
        <v>2100.1556539999997</v>
      </c>
      <c r="O160" s="3">
        <f>2780.8+(141-607.7)+(2.836416+(0.14382-0.619854))+0-86.5-0.0882300000000138</f>
        <v>2229.8721520000004</v>
      </c>
      <c r="P160" s="3">
        <f>2923.2+(140.3-650.7)+(1.490832+(0.071553-0.331857))+0-86.8-0.0442679999999912</f>
        <v>2327.1862599999995</v>
      </c>
      <c r="Q160" s="3">
        <f>2958.9+(140.5-650.7)+(3.018078+(0.14331-0.663714))+0-77.6-0.0791520000000124</f>
        <v>2373.5185220000003</v>
      </c>
      <c r="R160" s="3">
        <f>2981.8+(141.7-614.5)+(-1.520718+(-0.072267--0.313395))+0-86.6--0.0441659999999912</f>
        <v>2421.1645760000001</v>
      </c>
      <c r="S160" s="3">
        <f>2981.2+(140.6-633.2)+(-4.561236+(-0.215118--0.968796))+0-79.4--0.121482000000005</f>
        <v>2405.5139239999999</v>
      </c>
      <c r="T160" s="3">
        <f>2980.8+(141.3-621.4)+(-1.520208+(-0.072063--0.316914))+0-88--0.0448799999999911</f>
        <v>2411.4695230000002</v>
      </c>
      <c r="U160" s="3">
        <f>2924.2+(142.1-619.2)+(-2.982684+(-0.144942--0.631584))+0-79.3--0.0808860000000126</f>
        <v>2365.3848439999997</v>
      </c>
      <c r="V160" s="3">
        <f>2889.9+(142.5-619.6)+(-8.843094+(-0.43605--1.895976))+0-83.7--0.25612200000001</f>
        <v>2321.9729540000008</v>
      </c>
      <c r="W160" s="3">
        <f>2872.1+(142.8-646.1)+(-2.929542+(-0.145656--0.659022))+0-82.8--0.0844560000000132</f>
        <v>2283.6682799999994</v>
      </c>
      <c r="X160" s="3">
        <f>2744.9+(118.8-576.7)+(-4.199697+(-0.181764--0.882351))+0-28--0.0428400000000016</f>
        <v>2255.5437299999999</v>
      </c>
      <c r="Y160" s="3">
        <f>2923.5+(49.8-516.4)+(0+(0-0))+0-87.5-0</f>
        <v>2369.4</v>
      </c>
      <c r="Z160" s="3">
        <f>3120.6+(21-614.2)+(-3.183012+(-0.02142--0.626484))+0-87.8--0.089556000000014</f>
        <v>2437.1116079999993</v>
      </c>
      <c r="AA160" s="3">
        <f>3013+(71.6-570.8)+(-7.68315+(-0.18258--1.45554))+0-86.3--0.220064999999987</f>
        <v>2421.3098749999999</v>
      </c>
      <c r="AB160" s="3">
        <f>2842.8+(116.5-482.2)+(-4.349484+(-0.178245--0.737766))+0-85.4--0.130662000000005</f>
        <v>2388.0406990000001</v>
      </c>
      <c r="AC160" s="3">
        <f>2626.3+(143.6-332)+(1.339413+(0.073236-0.16932))+0-95.4-0.0486539999999903</f>
        <v>2343.6946749999997</v>
      </c>
      <c r="AD160">
        <v>2425.7000000000003</v>
      </c>
      <c r="AE160" s="3">
        <f>3135+(12-624.1)+(0+(0-0))+0-97.2-0</f>
        <v>2425.7000000000003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2552.3+(143.9-398.5)+(-2.603346+(-0.146778--0.40647))+0-74--0.0754800000000118</f>
        <v>2221.4318260000005</v>
      </c>
      <c r="G161" s="3">
        <f>2369.4+(144.2-312.8)+(-2.416788+(-0.147084--0.319056))+0-75.5--0.077010000000012</f>
        <v>2123.1321940000003</v>
      </c>
      <c r="H161" s="3">
        <f>2288.8+(144.3-291.6)+(-4.669152+(-0.294372--0.594864))+0-77.5--0.158099999999997</f>
        <v>2059.78944</v>
      </c>
      <c r="I161" s="3">
        <f>2321.4+(143.8-321.6)+(1.183914+(0.073338-0.164016))+0-85-0.0433499999999914</f>
        <v>2059.6498860000002</v>
      </c>
      <c r="J161" s="3">
        <f>2283.2+(144.2-253.4)+(2.328864+(0.147084-0.258468))+0-94.6-0.0964920000000151</f>
        <v>2081.5209879999998</v>
      </c>
      <c r="K161" s="3">
        <f>2164+(144.2-262.7)+(-5.5182+(-0.36771--0.669885))+0-83.3--0.212414999999988</f>
        <v>1957.1963900000001</v>
      </c>
      <c r="L161" s="3">
        <f>2005.2+(154-186.3)+(-4.090608+(-0.31416--0.380052))+0-81.1--0.165443999999996</f>
        <v>1887.9407280000003</v>
      </c>
      <c r="M161" s="3">
        <f>2062.8+(154.4-198.6)+(1.052028+(0.078744-0.101286))+0-60.4-0.0308039999999939</f>
        <v>1959.198682</v>
      </c>
      <c r="N161" s="3">
        <f>2417+(142.1-373)+(1.23267+(0.072471-0.19023))+0-84.6-0.0431459999999914</f>
        <v>2102.5717650000001</v>
      </c>
      <c r="O161" s="3">
        <f>2582.2+(141-447.5)+(-2.633844+(-0.14382--0.45645))+0-83.3--0.0849660000000133</f>
        <v>2190.1637519999995</v>
      </c>
      <c r="P161" s="3">
        <f>2776+(139.8-561.7)+(1.41576+(0.071298-0.286467))+0-73.5-0.0374849999999925</f>
        <v>2281.7631059999999</v>
      </c>
      <c r="Q161" s="3">
        <f>2843.2+(139-583.8)+(-1.450032+(-0.07089--0.297738))+0-81.6--0.0416159999999917</f>
        <v>2315.6184319999998</v>
      </c>
      <c r="R161" s="3">
        <f>2896.2+(140.5-596.9)+(1.477062+(0.071655-0.304419))+0-39.6-0.020195999999996</f>
        <v>2401.4241019999999</v>
      </c>
      <c r="S161" s="3">
        <f>2863+(140.9-539.6)+(-5.84052+(-0.287436--1.100784))+0-85.4--0.174215999999996</f>
        <v>2374.0470439999999</v>
      </c>
      <c r="T161" s="3">
        <f>2877.5+(141.6-570)+(-4.402575+(-0.216648--0.8721))+0-84.6--0.129438000000005</f>
        <v>2360.8823149999998</v>
      </c>
      <c r="U161" s="3">
        <f>2843.3+(142.2-571.9)+(-2.900166+(-0.145044--0.583338))+0-73.2--0.0746640000000117</f>
        <v>2338.0127920000009</v>
      </c>
      <c r="V161" s="3">
        <f>2772.4+(141.9-564.7)+(-2.827848+(-0.144738--0.575994))+0-57--0.0581400000000091</f>
        <v>2290.2615479999999</v>
      </c>
      <c r="W161" s="3">
        <f>2770.4+(133.9-559.7)+(-7.06452+(-0.341445--1.427235))+0-82--0.209099999999988</f>
        <v>2256.8303700000001</v>
      </c>
      <c r="X161" s="3">
        <f>2512.5+(107.1-296.6)+(-7.68825+(-0.327726--0.907596))+0-81.8--0.250308000000009</f>
        <v>2234.3419279999998</v>
      </c>
      <c r="Y161" s="3">
        <f>2681.4+(39.9-283.7)+(0+(0-0))+0-84.7-0</f>
        <v>2352.9</v>
      </c>
      <c r="Z161" s="3">
        <f>2965.5+(22.8-465.1)+(-6.04962+(-0.046512--0.948804))+0-85.4--0.174215999999996</f>
        <v>2432.8268879999996</v>
      </c>
      <c r="AA161" s="3">
        <f>2952.9+(71.1-508.4)+(-7.529895+(-0.181305--1.29642))+0-91.7--0.233834999999987</f>
        <v>2417.7190550000005</v>
      </c>
      <c r="AB161" s="3">
        <f>2658+(140.2-336.4)+(-5.42232+(-0.286008--0.686256))+0-86.1--0.175643999999996</f>
        <v>2370.853572</v>
      </c>
      <c r="AC161" s="3">
        <f>2553.1+(143.1-295.5)+(-3.906243+(-0.218943--0.452115))+0-69.3--0.106029000000004</f>
        <v>2327.8329579999995</v>
      </c>
      <c r="AD161">
        <v>2317.3000000000002</v>
      </c>
      <c r="AE161" s="3">
        <f>2952+(29.4-568.4)+(0+(0-0))+0-95.7-0</f>
        <v>2317.3000000000002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2560.4+(143-554)+(-1.305804+(-0.07293--0.28254))+0-27--0.0137699999999973</f>
        <v>2121.3175759999999</v>
      </c>
      <c r="G162" s="3">
        <f>2447.4+(143-491.8)+(0+(0-0))+0-65-0</f>
        <v>2033.6</v>
      </c>
      <c r="H162" s="3">
        <f>2210.7+(142.7-307.6)+(0+(0-0))+0-89.8-0</f>
        <v>1955.9999999999998</v>
      </c>
      <c r="I162" s="3">
        <f>2108.3+(147.3-203.2)+(-3.225699+(-0.225369--0.310896))+0-87.9--0.134487000000005</f>
        <v>1961.4943150000001</v>
      </c>
      <c r="J162" s="3">
        <f>2129.2+(143-208.5)+(1.085892+(0.07293-0.106335))+0-86-0.0438599999999913</f>
        <v>1978.7086269999998</v>
      </c>
      <c r="K162" s="3">
        <f>2125.4+(143-323.1)+(-1.083954+(-0.07293--0.164781))+0-71.3--0.0363629999999928</f>
        <v>1873.0442600000001</v>
      </c>
      <c r="L162" s="3">
        <f>2117+(142.1-375.2)+(-4.31868+(-0.289884--0.765408))+0-49.5--0.100979999999998</f>
        <v>1830.6578240000001</v>
      </c>
      <c r="M162" s="3">
        <f>2118.7+(142-313.6)+(-4.322148+(-0.28968--0.639744))+0-28.2--0.0575279999999988</f>
        <v>1914.9854439999999</v>
      </c>
      <c r="N162" s="3">
        <f>2411.6+(141.1-492.9)+(2.459832+(0.143922-0.502758))+0-26-0.0265200000000041</f>
        <v>2035.8744760000004</v>
      </c>
      <c r="O162" s="3">
        <f>2709+(140.1-607.4)+(1.38159+(0.071451-0.309774))+0-90.3-0.0460529999999908</f>
        <v>2152.4972139999995</v>
      </c>
      <c r="P162" s="3">
        <f>2770.4+(140.5-628.2)+(0+(0-0))+0-60.9-0</f>
        <v>2221.7999999999997</v>
      </c>
      <c r="Q162" s="3">
        <f>2876.6+(141.9-687.1)+(-1.467066+(-0.072369--0.350421))+0-59.1--0.030140999999994</f>
        <v>2271.1411269999999</v>
      </c>
      <c r="R162" s="3">
        <f>2858.4+(142.3-660.7)+(-5.831136+(-0.290292--1.347828))+0-75.9--0.154835999999997</f>
        <v>2259.4812360000001</v>
      </c>
      <c r="S162" s="3">
        <f>2730.8+(141.1-573.3)+(-9.748956+(-0.503727--2.046681))+0-84.1--0.300237000000001</f>
        <v>2206.5942350000005</v>
      </c>
      <c r="T162" s="3">
        <f>2717.8+(141.8-600.6)+(-6.93039+(-0.36159--1.53153))+0-69.6--0.17747999999999</f>
        <v>2183.8170299999997</v>
      </c>
      <c r="U162" s="3">
        <f>2683.8+(141.9-591.1)+(-4.106214+(-0.217107--0.904383))+0-81.5--0.124695000000005</f>
        <v>2149.8057570000005</v>
      </c>
      <c r="V162" s="3">
        <f>2614.9+(142.1-569.4)+(-4.000797+(-0.217413--0.871182))+0-79.3--0.121329000000005</f>
        <v>2105.0743010000001</v>
      </c>
      <c r="W162" s="3">
        <f>2388.8+(142.7-365.8)+(-3.654864+(-0.218331--0.559674))+0-85.1--0.130203000000005</f>
        <v>2077.4166820000005</v>
      </c>
      <c r="X162" s="3">
        <f>2335.1+(133.9-289.8)+(1.190901+(0.068289-0.147798))+0-91.4-0.0466139999999907</f>
        <v>2088.8647779999997</v>
      </c>
      <c r="Y162" s="3">
        <f>2559.8+(110.5-397.1)+(-2.610996+(-0.11271--0.405042))+0-58.6--0.0597720000000093</f>
        <v>2212.3411080000005</v>
      </c>
      <c r="Z162" s="3">
        <f>2766.8+(98.7-484.2)+(-8.466408+(-0.302022--1.481652))+0-92.5--0.283050000000011</f>
        <v>2281.796272</v>
      </c>
      <c r="AA162" s="3">
        <f>2559.1+(130.7-351.5)+(-5.220564+(-0.266628--0.71706))+0-85.8--0.175031999999996</f>
        <v>2247.9048999999995</v>
      </c>
      <c r="AB162" s="3">
        <f>2584.6+(142.3-452.7)+(1.318146+(0.072573-0.230877))+0-41-0.0209099999999958</f>
        <v>2234.3389319999997</v>
      </c>
      <c r="AC162" s="3">
        <f>2566+(142.8-411.5)+(-2.61732+(-0.145656--0.41973))+0-95.9--0.0978180000000153</f>
        <v>2199.1545720000004</v>
      </c>
      <c r="AD162">
        <v>2281.1</v>
      </c>
      <c r="AE162" s="3">
        <f>2572+(114-380.1)+(0+(0-0))+0-24.8-0</f>
        <v>2281.1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2588.8+(143.9-527.6)+(0+(0-0))+0-79.3-0</f>
        <v>2125.8000000000002</v>
      </c>
      <c r="G163" s="3">
        <f>2325.3+(143.5-369.6)+(0+(0-0))+0-74.4-0</f>
        <v>2024.8000000000002</v>
      </c>
      <c r="H163" s="3">
        <f>2102.4+(144.1-203.2)+(3.216672+(0.220473-0.310896))+0-82.9-0.126837000000005</f>
        <v>1963.399412</v>
      </c>
      <c r="I163" s="3">
        <f>2089+(144.2-191)+(0+(0-0))+0-72.5-0</f>
        <v>1969.7</v>
      </c>
      <c r="J163" s="3">
        <f>2093.2+(159.8-166.6)+(0+(0-0))+0-85.2-0</f>
        <v>2001.1999999999996</v>
      </c>
      <c r="K163" s="3">
        <f>2073.3+(142.5-241.5)+(-7.401681+(-0.508725--0.862155))+0-85.6--0.305592000000001</f>
        <v>1881.9573410000003</v>
      </c>
      <c r="L163" s="3">
        <f>2066.3+(142.1-302.6)+(-7.376691+(-0.507297--1.080282))+0-77--0.274890000000001</f>
        <v>1822.2711840000002</v>
      </c>
      <c r="M163" s="3">
        <f>2089.3+(140.7-306.5)+(0+(0-0))+0-23.8-0</f>
        <v>1899.7000000000003</v>
      </c>
      <c r="N163" s="3">
        <f>2194.7+(139-295.4)+(2.238594+(0.14178-0.301308))+0-20.3-0.0207060000000032</f>
        <v>2020.0583599999998</v>
      </c>
      <c r="O163" s="3">
        <f>2248.9+(137.5-259.9)+(2.293878+(0.14025-0.265098))+0-20.8-0.0212160000000033</f>
        <v>2107.8478139999997</v>
      </c>
      <c r="P163" s="3">
        <f>2482.8+(137.5-431.3)+(1.266228+(0.070125-0.219963))+0-19.8-0.010097999999998</f>
        <v>2170.3062919999998</v>
      </c>
      <c r="Q163" s="3">
        <f>2631.7+(138.4-525.6)+(1.342167+(0.070584-0.268056))+0-20.4-0.0104039999999979</f>
        <v>2225.2342909999998</v>
      </c>
      <c r="R163" s="3">
        <f>2698.6+(138-579.8)+(-4.128858+(-0.21114--0.887094))+0-19.2--0.0293760000000011</f>
        <v>2234.1764720000001</v>
      </c>
      <c r="S163" s="3">
        <f>2691.9+(138.7-630.3)+(-5.491476+(-0.282948--1.285812))+0-16.9--0.0344759999999993</f>
        <v>2178.9458639999998</v>
      </c>
      <c r="T163" s="3">
        <f>2635.8+(139.5-587.8)+(-1.344258+(-0.071145--0.299778))+0-20.7--0.0105569999999979</f>
        <v>2165.6949320000003</v>
      </c>
      <c r="U163" s="3">
        <f>2638.7+(141.2-572.2)+(1.345737+(0.072012-0.291822))+0-67.4-0.0343739999999932</f>
        <v>2141.3915529999999</v>
      </c>
      <c r="V163" s="3">
        <f>2612.7+(141.7-568.1)+(-3.997431+(-0.216801--0.869193))+0-83.6--0.127908000000005</f>
        <v>2099.4828689999999</v>
      </c>
      <c r="W163" s="3">
        <f>2453.2+(141.3-422.4)+(-7.506792+(-0.432378--1.292544))+0-84.9--0.25979400000001</f>
        <v>2080.8131679999997</v>
      </c>
      <c r="X163" s="3">
        <f>2268.3+(130.9-254.6)+(-6.940998+(-0.400554--0.779076))+0-69.7--0.213282000000008</f>
        <v>2068.5508060000006</v>
      </c>
      <c r="Y163" s="3">
        <f>2334+(116-218.3)+(-3.57102+(-0.17748--0.333999))+0-23.9--0.0365670000000014</f>
        <v>2204.4220659999996</v>
      </c>
      <c r="Z163" s="3">
        <f>2511.5+(95-240)+(-6.404325+(-0.24225--0.612))+0-80.4--0.205019999999988</f>
        <v>2280.2704449999997</v>
      </c>
      <c r="AA163" s="3">
        <f>2487.5+(129.8-281.3)+(-10.149+(-0.529584--1.147704))+0-80.5--0.328439999999993</f>
        <v>2246.29756</v>
      </c>
      <c r="AB163" s="3">
        <f>2514.7+(142.5-351.4)+(0+(0-0))+0-86.2-0</f>
        <v>2219.6</v>
      </c>
      <c r="AC163" s="3">
        <f>2502.2+(143.6-376)+(1.276122+(0.073236-0.19176))+0-84.9-0.0432989999999914</f>
        <v>2186.0142989999995</v>
      </c>
      <c r="AD163">
        <v>2273.9</v>
      </c>
      <c r="AE163" s="3">
        <f>2524+(115.4-293.2)+(0+(0-0))+0-72.3-0</f>
        <v>2273.8999999999996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2427+(143-388.9)+(0+(0-0))+0-82.9-0</f>
        <v>2098.1999999999998</v>
      </c>
      <c r="G164" s="3">
        <f>2079.4+(143-170.2)+(-1.060494+(-0.07293--0.086802))+0-80.5--0.0410549999999918</f>
        <v>1970.6944330000003</v>
      </c>
      <c r="H164" s="3">
        <f>1959.6+(151.2-140.7)+(-1.998792+(-0.154224--0.143514))+0-68.8--0.070176000000011</f>
        <v>1899.3606739999998</v>
      </c>
      <c r="I164" s="3">
        <f>1908.5+(147.7-148.1)+(0.973335+(0.075327-0.075531))+0-65.1-0.0332009999999934</f>
        <v>1843.93993</v>
      </c>
      <c r="J164" s="3">
        <f>1811.1+(209-124.6)+(0+(0-0))+0-91.9-0</f>
        <v>1803.6</v>
      </c>
      <c r="K164" s="3">
        <f>1774.4+(178.4-128.2)+(0+(0-0))+0-29.6-0</f>
        <v>1795.0000000000002</v>
      </c>
      <c r="L164" s="3">
        <f>1719.2+(194.7-149.4)+(-6.137544+(-0.695079--0.533358))+0-85.3--0.304521000000001</f>
        <v>1673.205256</v>
      </c>
      <c r="M164" s="3">
        <f>1716.9+(149.9-169.3)+(-2.626857+(-0.229347--0.259029))+0-27.6--0.0422280000000016</f>
        <v>1667.345053</v>
      </c>
      <c r="N164" s="3">
        <f>1697.6+(177.1-145.4)+(2.597328+(0.270963-0.222462))+0-18.7-0.0286110000000011</f>
        <v>1713.217218</v>
      </c>
      <c r="O164" s="3">
        <f>1762.9+(229.5-142.8)+(1.798158+(0.23409-0.145656))+0-85.6-0.0873120000000136</f>
        <v>1765.7992800000002</v>
      </c>
      <c r="P164" s="3">
        <f>1901+(150.9-163.9)+(-0.96951+(-0.076959--0.083589))+0-62.5--0.0318749999999937</f>
        <v>1824.5689949999999</v>
      </c>
      <c r="Q164" s="3">
        <f>1937+(142.3-168.9)+(0+(0-0))+0-44.2-0</f>
        <v>1866.2</v>
      </c>
      <c r="R164" s="3">
        <f>1925.3+(144-169.5)+(-0.981903+(-0.07344--0.086445))+0-31.3--0.0159629999999968</f>
        <v>1867.547065</v>
      </c>
      <c r="S164" s="3">
        <f>1925.4+(163.3-148.7)+(0+(0-0))+0-82.2-0</f>
        <v>1857.8</v>
      </c>
      <c r="T164" s="3">
        <f>1910.5+(151.6-164)+(-4.871775+(-0.38658--0.4182))+0-30.6--0.0780299999999956</f>
        <v>1862.7378749999998</v>
      </c>
      <c r="U164" s="3">
        <f>1899.1+(173.1-142.9)+(-4.842705+(-0.441405--0.364395))+0-73.8--0.188189999999989</f>
        <v>1850.7684750000001</v>
      </c>
      <c r="V164" s="3">
        <f>1909.9+(159.2-150.2)+(0+(0-0))+0-69.9-0</f>
        <v>1849</v>
      </c>
      <c r="W164" s="3">
        <f>1862.8+(226.7-140.2)+(-5.700168+(-0.693702--0.429012))+0-88--0.26928000000001</f>
        <v>1855.6044219999999</v>
      </c>
      <c r="X164" s="3">
        <f>1865.4+(250.6-145.4)+(-2.854062+(-0.383418--0.222462))+0-88--0.134640000000005</f>
        <v>1879.7196220000001</v>
      </c>
      <c r="Y164" s="3">
        <f>2015.9+(289.9-171.3)+(-1.028109+(-0.147849--0.087363))+0-77.5--0.0395249999999921</f>
        <v>2055.95093</v>
      </c>
      <c r="Z164" s="3">
        <f>2217.5+(187.6-170.2)+(-5.654625+(-0.47838--0.43401))+0-80.1--0.204254999999988</f>
        <v>2149.3052600000001</v>
      </c>
      <c r="AA164" s="3">
        <f>2217.5+(169.2-164.1)+(-5.654625+(-0.43146--0.418455))+0-85.4--0.217769999999988</f>
        <v>2131.7501400000001</v>
      </c>
      <c r="AB164" s="3">
        <f>2187.5+(169.7-173.7)+(-4.4625+(-0.346188--0.354348))+0-89.2--0.181967999999996</f>
        <v>2090.0276280000003</v>
      </c>
      <c r="AC164" s="3">
        <f>2063.8+(202-136.2)+(0+(0-0))+0-89.2-0</f>
        <v>2040.4000000000003</v>
      </c>
      <c r="AD164">
        <v>2144.1</v>
      </c>
      <c r="AE164" s="3">
        <f>2223+(187.6-169.7)+(0+(0-0))+0-96.8-0</f>
        <v>2144.1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1891.9+(155.9-82.1)+(-0.964869+(-0.079509--0.041871))+0-50.8--0.0259079999999948</f>
        <v>1913.9234010000002</v>
      </c>
      <c r="G165" s="3">
        <f>1789.2+(164.9-53.2)+(-2.737476+(-0.252297--0.081396))+0-77.4--0.118422000000004</f>
        <v>1820.710045</v>
      </c>
      <c r="H165" s="3">
        <f>1726.6+(169.8-55.1)+(-0.880566+(-0.086598--0.028101))+0-73.4--0.0374339999999926</f>
        <v>1766.9983709999999</v>
      </c>
      <c r="I165" s="3">
        <f>1692.2+(176.5-48.4)+(-1.726044+(-0.18003--0.049368))+0-80.2--0.0818040000000128</f>
        <v>1738.3250979999998</v>
      </c>
      <c r="J165" s="3">
        <f>1643.8+(220.4-42.7)+(-0.838338+(-0.112404--0.021777))+0-90.6--0.0462059999999908</f>
        <v>1730.017241</v>
      </c>
      <c r="K165" s="3">
        <f>1630.7+(226.5-60.7)+(-3.326628+(-0.46206--0.123828))+0-79.9--0.162995999999997</f>
        <v>1713.0981359999998</v>
      </c>
      <c r="L165" s="3">
        <f>1618.5+(168.4-96.1)+(-5.778045+(-0.601188--0.343077))+0-39.4--0.140658000000001</f>
        <v>1645.504502</v>
      </c>
      <c r="M165" s="3">
        <f>1661.5+(188.4-74.7)+(-1.69473+(-0.192168--0.076194))+0-83--0.0846600000000132</f>
        <v>1690.473956</v>
      </c>
      <c r="N165" s="3">
        <f>1795+(140.4-117.4)+(0+(0-0))+0-22.6-0</f>
        <v>1795.4</v>
      </c>
      <c r="O165" s="3">
        <f>1918.9+(142.5-143.1)+(0.978639+(0.072675-0.072981))+0-21.3-0.0108629999999978</f>
        <v>1897.9674700000003</v>
      </c>
      <c r="P165" s="3">
        <f>2047.3+(141.9-142.8)+(-1.044123+(-0.072369--0.072828))+0-51.2--0.0261119999999948</f>
        <v>1994.1824479999998</v>
      </c>
      <c r="Q165" s="3">
        <f>2055.4+(141.3-90.6)+(-3.144762+(-0.216189--0.138618))+0-75.1--0.114903000000004</f>
        <v>2027.8925699999998</v>
      </c>
      <c r="R165" s="3">
        <f>2058.4+(141-121.3)+(-1.049784+(-0.07191--0.061863))+0-35.1--0.0179009999999964</f>
        <v>2041.9580699999999</v>
      </c>
      <c r="S165" s="3">
        <f>2047.9+(141.3-105.7)+(-2.088858+(-0.144126--0.107814))+0-69.5--0.0708900000000111</f>
        <v>2011.9457200000002</v>
      </c>
      <c r="T165" s="3">
        <f>2050.4+(140.6-102.7)+(-1.045704+(-0.071706--0.052377))+0-90.3--0.0460529999999908</f>
        <v>1996.9810200000004</v>
      </c>
      <c r="U165" s="3">
        <f>2031.4+(141.3-105.1)+(-4.144056+(-0.288252--0.214404))+0-81.5--0.166259999999996</f>
        <v>1982.0483559999998</v>
      </c>
      <c r="V165" s="3">
        <f>1996.9+(158.7-97.9)+(3.055257+(0.242811-0.149787))+0-83.4-0.127602000000005</f>
        <v>1977.3206790000004</v>
      </c>
      <c r="W165" s="3">
        <f>1971.3+(168.4-94.5)+(-4.021452+(-0.343536--0.19278))+0-64.4--0.131375999999997</f>
        <v>1976.759168</v>
      </c>
      <c r="X165" s="3">
        <f>1981.8+(168.5-86.5)+(-2.021436+(-0.17187--0.08823))+0-75.8--0.0773160000000121</f>
        <v>1985.9722400000005</v>
      </c>
      <c r="Y165" s="3">
        <f>2083.4+(231.5-83.6)+(0+(0-0))+0-82.6-0</f>
        <v>2148.7000000000003</v>
      </c>
      <c r="Z165" s="3">
        <f>2190.6+(186.2-84.8)+(-3.351618+(-0.284886--0.129744))+0-83--0.126990000000005</f>
        <v>2205.62023</v>
      </c>
      <c r="AA165" s="3">
        <f>2184+(163.3-77.6)+(-5.5692+(-0.416415--0.19788))+0-92.5--0.235874999999987</f>
        <v>2171.6481399999998</v>
      </c>
      <c r="AB165" s="3">
        <f>2123.5+(166.2-87.5)+(-3.248955+(-0.254286--0.133875))+0-80.8--0.123624000000005</f>
        <v>2118.1542579999996</v>
      </c>
      <c r="AC165" s="3">
        <f>2108.3+(141.1-115.4)+(1.075233+(0.071961-0.058854))+0-56.7-0.0289169999999942</f>
        <v>2078.3594229999999</v>
      </c>
      <c r="AD165">
        <v>2205.2000000000003</v>
      </c>
      <c r="AE165" s="3">
        <f>2217+(170.3-83.5)+(0+(0-0))+0-98.6-0</f>
        <v>2205.2000000000003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2104.7+(141.4-174.5)+(2.146794+(0.144228-0.17799))+0-73.3-0.0747660000000117</f>
        <v>2000.3382660000002</v>
      </c>
      <c r="G166" s="3">
        <f>2077.8+(141.6-221.5)+(-3.179034+(-0.216648--0.338895))+0-80.7--0.123471000000005</f>
        <v>1914.2666840000002</v>
      </c>
      <c r="H166" s="3">
        <f>1934.8+(141.5-162)+(-1.973496+(-0.14433--0.16524))+0-82.8--0.0844560000000132</f>
        <v>1829.6318699999999</v>
      </c>
      <c r="I166" s="3">
        <f>1869.7+(141.5-133.2)+(-4.767735+(-0.360825--0.33966))+0-87.9--0.224144999999987</f>
        <v>1785.5352449999998</v>
      </c>
      <c r="J166" s="3">
        <f>1830.3+(141.3-112.9)+(-4.667265+(-0.360315--0.287895))+0-82.1--0.209354999999988</f>
        <v>1772.0696700000001</v>
      </c>
      <c r="K166" s="3">
        <f>1894.1+(141.5-211.9)+(2.897973+(0.216495-0.324207))+0-69.1-0.105723000000004</f>
        <v>1757.2845380000001</v>
      </c>
      <c r="L166" s="3">
        <f>1809.6+(142.1-209.1)+(-5.537376+(-0.434826--0.639846))+0-76.9--0.235314000000009</f>
        <v>1660.6029579999999</v>
      </c>
      <c r="M166" s="3">
        <f>1775.7+(141.1-182.9)+(0.905607+(0.071961-0.093279))+0-45-0.0229499999999954</f>
        <v>1689.7613390000001</v>
      </c>
      <c r="N166" s="3">
        <f>1828.4+(140.2-148.6)+(2.797452+(0.214506-0.227358))+0-80.8-0.123624000000005</f>
        <v>1741.8609759999999</v>
      </c>
      <c r="O166" s="3">
        <f>1838.4+(140.8-104.3)+(0+(0-0))+0-77.1-0</f>
        <v>1797.8000000000002</v>
      </c>
      <c r="P166" s="3">
        <f>1937.3+(141.3-127.8)+(2.964069+(0.216189-0.195534))+0-85-0.130050000000005</f>
        <v>1868.6546739999999</v>
      </c>
      <c r="Q166" s="3">
        <f>2022.2+(140.4-153.3)+(2.062644+(0.143208-0.156366))+0-90.3-0.0921060000000144</f>
        <v>1920.9573799999998</v>
      </c>
      <c r="R166" s="3">
        <f>1992+(171.7-155.3)+(-4.06368+(-0.350268--0.316812))+0-83.9--0.171155999999996</f>
        <v>1920.5740199999998</v>
      </c>
      <c r="S166" s="3">
        <f>2026.2+(141.3-169.2)+(0+(0-0))+0-78.5-0</f>
        <v>1919.8000000000002</v>
      </c>
      <c r="T166" s="3">
        <f>2032.1+(152.8-185.4)+(1.036371+(0.077928-0.094554))+0-84.3-0.0429929999999914</f>
        <v>1916.1767520000001</v>
      </c>
      <c r="U166" s="3">
        <f>2002+(153.7-186.1)+(-3.06306+(-0.235161--0.284733))+0-61.6--0.0942480000000036</f>
        <v>1905.0807600000001</v>
      </c>
      <c r="V166" s="3">
        <f>1991.7+(156.7-177.8)+(-4.063068+(-0.319668--0.362712))+0-65.1--0.132803999999997</f>
        <v>1901.6127800000002</v>
      </c>
      <c r="W166" s="3">
        <f>1998.9+(154.4-183.3)+(-3.058317+(-0.236232--0.280449))+0-59.1--0.0904230000000034</f>
        <v>1907.9763230000001</v>
      </c>
      <c r="X166" s="3">
        <f>1940.6+(208.7-156.7)+(-4.94853+(-0.532185--0.399585))+0-77.2--0.196859999999989</f>
        <v>1910.5157299999998</v>
      </c>
      <c r="Y166" s="3">
        <f>2053.1+(295.5-185.6)+(0+(0-0))+0-73.5-0</f>
        <v>2089.5</v>
      </c>
      <c r="Z166" s="3">
        <f>2203.9+(259.3-188.3)+(-3.371967+(-0.396729--0.288099))+0-89.7--0.137241000000005</f>
        <v>2181.856644</v>
      </c>
      <c r="AA166" s="3">
        <f>2220+(208.6-181.4)+(-3.3966+(-0.319158--0.277542))+0-81.8--0.125154000000005</f>
        <v>2162.0869379999995</v>
      </c>
      <c r="AB166" s="3">
        <f>2095.2+(269.6-165)+(-2.137104+(-0.274992--0.1683))+0-77.6--0.0791520000000124</f>
        <v>2120.0353559999994</v>
      </c>
      <c r="AC166" s="3">
        <f>2011.9+(300.3-152.8)+(-5.130345+(-0.765765--0.38964))+0-89.7--0.228734999999987</f>
        <v>2064.4222650000006</v>
      </c>
      <c r="AD166">
        <v>2169.4</v>
      </c>
      <c r="AE166" s="3">
        <f>2239+(201.1-182.5)+(0+(0-0))+0-88.2-0</f>
        <v>2169.4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2027+(197.3-140)+(-4.13508+(-0.402492--0.2856))+0-74.1--0.151163999999997</f>
        <v>2006.0991920000004</v>
      </c>
      <c r="G167" s="3">
        <f>1877+(247-135.4)+(-4.78635+(-0.62985--0.34527))+0-84.4--0.215219999999988</f>
        <v>1899.3442899999998</v>
      </c>
      <c r="H167" s="3">
        <f>1791.5+(272.2-124.3)+(-3.65466+(-0.555288--0.253572))+0-85.8--0.175031999999996</f>
        <v>1849.8186560000001</v>
      </c>
      <c r="I167" s="3">
        <f>1789.6+(257.8-116.2)+(-0.912696+(-0.131478--0.059262))+0-89.9--0.0458489999999909</f>
        <v>1840.3609369999999</v>
      </c>
      <c r="J167" s="3">
        <f>1801.5+(213.8-122.9)+(0+(0-0))+0-84.7-0</f>
        <v>1807.7</v>
      </c>
      <c r="K167" s="3">
        <f>1826.1+(190.1-133)+(2.793933+(0.290853-0.20349))+0-78.1-0.119493000000004</f>
        <v>1807.861803</v>
      </c>
      <c r="L167" s="3">
        <f>1768.7+(229.8-150.2)+(-5.412222+(-0.703188--0.459612))+0-87.7--0.26836200000001</f>
        <v>1755.2125640000002</v>
      </c>
      <c r="M167" s="3">
        <f>1980.5+(154.6-164.1)+(2.02011+(0.157692-0.167382))+0-82.4-0.0840480000000131</f>
        <v>1890.526372</v>
      </c>
      <c r="N167" s="3">
        <f>2335+(140.5-341.5)+(3.57255+(0.214965-0.522495))+0-83.2-0.127296000000005</f>
        <v>2053.9377239999999</v>
      </c>
      <c r="O167" s="3">
        <f>2405.6+(140.6-316.9)+(1.226856+(0.071706-0.161619))+0-78.2-0.0398819999999921</f>
        <v>2152.1970609999998</v>
      </c>
      <c r="P167" s="3">
        <f>2492.2+(139.2-310.2)+(1.271022+(0.070992-0.158202))+0-67.4-0.0343739999999932</f>
        <v>2254.9494380000001</v>
      </c>
      <c r="Q167" s="3">
        <f>2595.3+(135.7-336.7)+(0+(0-0))+0-76.6-0</f>
        <v>2317.7000000000003</v>
      </c>
      <c r="R167" s="3">
        <f>2674.7+(141.2-416.6)+(0+(0-0))+0-75.5-0</f>
        <v>2323.7999999999997</v>
      </c>
      <c r="S167" s="3">
        <f>2792.5+(140.8-558.6)+(-4.272525+(-0.215424--0.854658))+0-76.1--0.116433000000004</f>
        <v>2295.083142</v>
      </c>
      <c r="T167" s="3">
        <f>2803.8+(141.3-604.1)+(1.429938+(0.072063-0.308091))+0-74.9-0.0381989999999924</f>
        <v>2267.2557109999998</v>
      </c>
      <c r="U167" s="3">
        <f>2771.4+(141.3-572.1)+(-4.240242+(-0.216189--0.875313))+0-86.2--0.131886000000005</f>
        <v>2250.9507680000002</v>
      </c>
      <c r="V167" s="3">
        <f>2706.2+(141.5-525)+(-5.520648+(-0.28866--1.071))+0-79.6--0.162383999999997</f>
        <v>2238.5240760000002</v>
      </c>
      <c r="W167" s="3">
        <f>2692.3+(142.5-528.3)+(-6.865365+(-0.363375--1.347165))+0-84--0.214199999999988</f>
        <v>2216.832625</v>
      </c>
      <c r="X167" s="3">
        <f>2453.1+(134.6-331.2)+(-8.757567+(-0.480522--1.182384))+0-67.5--0.240975000000001</f>
        <v>2181.1852699999999</v>
      </c>
      <c r="Y167" s="3">
        <f>2551.7+(60.1-196.5)+(-2.602734+(-0.061302--0.20043))+0-93--0.0948600000000148</f>
        <v>2319.9312540000001</v>
      </c>
      <c r="Z167" s="3">
        <f>2890.9+(15.6-436.3)+(-1.474359+(-0.007956--0.222513))+0-77.7--0.0396269999999921</f>
        <v>2391.2798250000005</v>
      </c>
      <c r="AA167" s="3">
        <f>2857.7+(66.8-543.2)+(-10.201989+(-0.238476--1.939224))+0-40.1--0.143157000000001</f>
        <v>2332.8419159999999</v>
      </c>
      <c r="AB167" s="3">
        <f>2773+(138.8-561.9)+(-2.82846+(-0.141576--0.573138))+0-73.7--0.0751740000000118</f>
        <v>2273.8782760000004</v>
      </c>
      <c r="AC167" s="3">
        <f>2572.1+(141.2-411)+(-2.623542+(-0.144024--0.41922))+0-78.8--0.0803760000000126</f>
        <v>2221.2320299999992</v>
      </c>
      <c r="AD167">
        <v>2379.4000000000005</v>
      </c>
      <c r="AE167" s="3">
        <f>2904+(24.8-453.7)+(0+(0-0))+0-95.7-0</f>
        <v>2379.4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2350.7+(140.2-301)+(-2.397714+(-0.143004--0.30702))+0-92.5--0.0943500000000148</f>
        <v>2095.2606519999995</v>
      </c>
      <c r="G168" s="3">
        <f>2194.5+(140.2-261.2)+(0+(0-0))+0-86-0</f>
        <v>1987.5</v>
      </c>
      <c r="H168" s="3">
        <f>2188.8+(140.1-356.2)+(-1.116288+(-0.071451--0.181662))+0-31.7--0.0161669999999968</f>
        <v>1940.0100900000002</v>
      </c>
      <c r="I168" s="3">
        <f>2173.3+(140.5-316)+(-3.325149+(-0.214965--0.48348))+0-93.2--0.142596000000005</f>
        <v>1901.685962</v>
      </c>
      <c r="J168" s="3">
        <f>2171.7+(140.7-329.2)+(-2.215134+(-0.143514--0.335784))+0-82.1--0.0837420000000131</f>
        <v>1899.1608779999999</v>
      </c>
      <c r="K168" s="3">
        <f>2176.4+(140.8-354.8)+(-2.219928+(-0.143616--0.361896))+0-82.9--0.0845580000000132</f>
        <v>1877.5829100000001</v>
      </c>
      <c r="L168" s="3">
        <f>1985.8+(141.2-242.9)+(-4.051032+(-0.288048--0.495516))+0-73.4--0.149735999999997</f>
        <v>1807.0061719999999</v>
      </c>
      <c r="M168" s="3">
        <f>1988.7+(162-172.8)+(2.028474+(0.16524-0.176256))+0-54.5-0.0555900000000087</f>
        <v>1925.3618680000002</v>
      </c>
      <c r="N168" s="3">
        <f>2172.5+(165.1-183.6)+(2.21595+(0.168402-0.187272))+0-92.4-0.0942480000000147</f>
        <v>2063.7028319999999</v>
      </c>
      <c r="O168" s="3">
        <f>2463.8+(139.9-374)+(0+(0-0))+0-80.7-0</f>
        <v>2149.0000000000005</v>
      </c>
      <c r="P168" s="3">
        <f>2648.4+(139.7-445.3)+(-2.701368+(-0.142494--0.454206))+0-83.7--0.0853740000000134</f>
        <v>2256.7957180000008</v>
      </c>
      <c r="Q168" s="3">
        <f>2889.7+(139.7-624.5)+(1.473747+(0.071247-0.318495))+0-80.6-0.0411059999999918</f>
        <v>2325.4853929999995</v>
      </c>
      <c r="R168" s="3">
        <f>2940.9+(139.7-687.3)+(-1.499859+(-0.071247--0.350523))+0-40.9--0.0208589999999959</f>
        <v>2351.2002760000005</v>
      </c>
      <c r="S168" s="3">
        <f>2913.7+(139.5-675.2)+(-2.971974+(-0.14229--0.688704))+0-68.4--0.0697680000000109</f>
        <v>2307.2442079999996</v>
      </c>
      <c r="T168" s="3">
        <f>2883.4+(140.2-667.2)+(1.470534+(0.071502-0.340272))+0-35.6-0.0181559999999964</f>
        <v>2321.983608</v>
      </c>
      <c r="U168" s="3">
        <f>2835.6+(140.6-614.5)+(-2.892312+(-0.143412--0.62679))+0-79.9--0.0814980000000127</f>
        <v>2279.4725639999997</v>
      </c>
      <c r="V168" s="3">
        <f>2849.7+(141.5-633.1)+(-1.453347+(-0.072165--0.322881))+0-78.5--0.040034999999992</f>
        <v>2278.4374039999998</v>
      </c>
      <c r="W168" s="3">
        <f>2804.5+(142.3-574.2)+(-4.290885+(-0.217719--0.878526))+0-76.4--0.116892000000004</f>
        <v>2292.6868139999997</v>
      </c>
      <c r="X168" s="3">
        <f>2531.1+(130.1-341.3)+(-3.872583+(-0.199053--0.522189))+0-75.8--0.115974000000004</f>
        <v>2240.6665269999999</v>
      </c>
      <c r="Y168" s="3">
        <f>2632.6+(99.3-260.7)+(-2.685252+(-0.101286--0.265914))+0-76.6--0.0781320000000122</f>
        <v>2392.1575079999998</v>
      </c>
      <c r="Z168" s="3">
        <f>2813.2+(77.2-359.7)+(-1.434732+(-0.039372--0.183447))+0-72.4--0.0369239999999927</f>
        <v>2457.0462669999997</v>
      </c>
      <c r="AA168" s="3">
        <f>2720.7+(117.3-410.6)+(-5.550228+(-0.239292--0.837624))+0-31.9--0.0650759999999986</f>
        <v>2390.6131799999994</v>
      </c>
      <c r="AB168" s="3">
        <f>2629.3+(142.7-426.2)+(-8.045658+(-0.436662--1.304172))+0-46.8--0.143208000000005</f>
        <v>2291.96506</v>
      </c>
      <c r="AC168" s="3">
        <f>2504.7+(143.9-334.5)+(-1.277397+(-0.073389--0.170595))+0-60.9--0.0310589999999938</f>
        <v>2252.0508679999998</v>
      </c>
      <c r="AD168">
        <v>2405.1000000000004</v>
      </c>
      <c r="AE168" s="3">
        <f>2810+(100.8-482)+(0+(0-0))+0-23.7-0</f>
        <v>2405.1000000000004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2423.5+(141.3-343.2)+(-1.235985+(-0.072063--0.175032))+0-86.8--0.0442679999999912</f>
        <v>2133.7112519999996</v>
      </c>
      <c r="G169" s="3">
        <f>2280.6+(140.7-299.1)+(-3.489318+(-0.215271--0.457623))+0-86.2--0.131886000000005</f>
        <v>2032.8849199999995</v>
      </c>
      <c r="H169" s="3">
        <f>2079.9+(140.5-178.4)+(-1.060749+(-0.071655--0.090984))+0-79.1--0.040340999999992</f>
        <v>1961.898921</v>
      </c>
      <c r="I169" s="3">
        <f>2063.3+(140.7-190.5)+(-2.104566+(-0.143514--0.19431))+0-71.5--0.0729300000000114</f>
        <v>1940.0191600000003</v>
      </c>
      <c r="J169" s="3">
        <f>2011+(144.2-149.5)+(3.07683+(0.220626-0.228735))+0-84.9-0.129897000000005</f>
        <v>1923.738824</v>
      </c>
      <c r="K169" s="3">
        <f>1960.4+(165.6-145.8)+(0+(0-0))+0-79.6-0</f>
        <v>1900.6000000000001</v>
      </c>
      <c r="L169" s="3">
        <f>1858.3+(226.8-152.9)+(-5.686398+(-0.694008--0.467874))+0-90.6--0.27723600000001</f>
        <v>1835.964704</v>
      </c>
      <c r="M169" s="3">
        <f>2046.6+(144.2-177.2)+(1.043766+(0.073542-0.090372))+0-71.5-0.0364649999999927</f>
        <v>1943.090471</v>
      </c>
      <c r="N169" s="3">
        <f>2316.7+(140.1-277.5)+(-1.181517+(-0.071451--0.141525))+0-80.7--0.0411569999999918</f>
        <v>2097.5297140000002</v>
      </c>
      <c r="O169" s="3">
        <f>2652.7+(139.9-509.9)+(1.352877+(0.071349-0.260049))+0-64.7-0.0329969999999934</f>
        <v>2219.1311800000003</v>
      </c>
      <c r="P169" s="3">
        <f>2791.9+(140-525.1)+(1.423869+(0.0714-0.267801))+0-82.4-0.0420239999999916</f>
        <v>2325.5854440000003</v>
      </c>
      <c r="Q169" s="3">
        <f>2902.8+(138.3-569.7)+(4.441284+(0.211599-0.871641))+0-77.4-0.118422000000004</f>
        <v>2397.66282</v>
      </c>
      <c r="R169" s="3">
        <f>2906.9+(140-572.8)+(-4.447557+(-0.2142--0.876384))+0-50--0.0765000000000029</f>
        <v>2420.3911270000003</v>
      </c>
      <c r="S169" s="3">
        <f>2937+(140-657)+(0+(0-0))+0-44.8-0</f>
        <v>2375.1999999999998</v>
      </c>
      <c r="T169" s="3">
        <f>2953.8+(140-663)+(-1.506438+(-0.0714--0.33813))+0-64.1--0.0326909999999935</f>
        <v>2365.4929830000001</v>
      </c>
      <c r="U169" s="3">
        <f>2923.6+(140-630.3)+(2.982072+(0.1428-0.642906))+0-90.3-0.0921060000000144</f>
        <v>2345.3898599999998</v>
      </c>
      <c r="V169" s="3">
        <f>2891.1+(141-625.8)+(0+(0-0))+0-76.8-0</f>
        <v>2329.5</v>
      </c>
      <c r="W169" s="3">
        <f>2865.9+(142-604.8)+(-5.846436+(-0.28968--1.233792))+0-80.6--0.164423999999996</f>
        <v>2317.7621000000004</v>
      </c>
      <c r="X169" s="3">
        <f>2703.8+(121.9-483.4)+(-4.136814+(-0.186507--0.739602))+0-70--0.107100000000004</f>
        <v>2268.8233810000002</v>
      </c>
      <c r="Y169" s="3">
        <f>2893.6+(32.8-405)+(1.475736+(0.016728-0.20655))+0-85.5-0.0436049999999913</f>
        <v>2437.1423090000003</v>
      </c>
      <c r="Z169" s="3">
        <f>3027.8+(14.6-486.1)+(-3.088356+(-0.014892--0.495822))+0-88.9--0.0906780000000142</f>
        <v>2464.8832520000001</v>
      </c>
      <c r="AA169" s="3">
        <f>3013.8+(63.5-572.4)+(-7.68519+(-0.161925--1.45962))+0-85.1--0.217004999999988</f>
        <v>2413.6295100000002</v>
      </c>
      <c r="AB169" s="3">
        <f>2942.4+(136.7-631.8)+(-4.501872+(-0.209151--0.966654))+0-92.5--0.141525000000005</f>
        <v>2351.1971560000002</v>
      </c>
      <c r="AC169" s="3">
        <f>2776.8+(140-551.5)+(-2.832336+(-0.1428--0.56253))+0-82.3--0.0839460000000131</f>
        <v>2280.6713400000003</v>
      </c>
      <c r="AD169">
        <v>2453.1999999999998</v>
      </c>
      <c r="AE169" s="3">
        <f>3041+(11.1-499.9)+(0+(0-0))+0-99-0</f>
        <v>2453.1999999999998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2552.7+(139.6-467.9)+(-3.905631+(-0.213588--0.715887))+0-65.6--0.100368000000004</f>
        <v>2155.4970359999998</v>
      </c>
      <c r="G170" s="3">
        <f>2273.9+(143.5-286.1)+(-3.479067+(-0.219555--0.437733))+0-70.6--0.108018000000004</f>
        <v>2057.547129</v>
      </c>
      <c r="H170" s="3">
        <f>2140.4+(144-220)+(-2.183208+(-0.14688--0.2244))+0-83.8--0.0854760000000134</f>
        <v>1978.579788</v>
      </c>
      <c r="I170" s="3">
        <f>2063.7+(141.8-178.3)+(-3.157461+(-0.216954--0.272799))+0-80--0.122400000000005</f>
        <v>1944.2207839999999</v>
      </c>
      <c r="J170" s="3">
        <f>2070+(141-202.5)+(1.0557+(0.07191-0.103275))+0-83.2-0.0424319999999916</f>
        <v>1926.2819030000001</v>
      </c>
      <c r="K170" s="3">
        <f>2071.4+(141.2-226.2)+(2.112828+(0.144024-0.230724))+0-86.4-0.0881280000000138</f>
        <v>1901.9379999999999</v>
      </c>
      <c r="L170" s="3">
        <f>2058.3+(141.1-285.9)+(-1.049733+(-0.071961--0.145809))+0-54--0.0275399999999945</f>
        <v>1858.5516550000002</v>
      </c>
      <c r="M170" s="3">
        <f>2046.1+(140.3-210.2)+(-2.087022+(-0.143106--0.214404))+0-24.9--0.025398000000004</f>
        <v>1949.3096739999996</v>
      </c>
      <c r="N170" s="3">
        <f>2418.6+(139.8-419.6)+(-2.466972+(-0.142596--0.427992))+0-17.4--0.0177480000000028</f>
        <v>2119.2361719999999</v>
      </c>
      <c r="O170" s="3">
        <f>2541.6+(139.6-450.6)+(1.296216+(0.071196-0.229806))+0-19.9-0.010148999999998</f>
        <v>2211.8274569999994</v>
      </c>
      <c r="P170" s="3">
        <f>2826.3+(139-599.8)+(2.882826+(0.14178-0.611796))+0-19.3-0.0196860000000031</f>
        <v>2348.5931239999995</v>
      </c>
      <c r="Q170" s="3">
        <f>2897.1+(139.5-601.1)+(0+(0-0))+0-19.1-0</f>
        <v>2416.4</v>
      </c>
      <c r="R170" s="3">
        <f>3001+(140-711.3)+(1.53051+(0.0714-0.362763))+0-17.8-0.0090779999999982</f>
        <v>2413.1300689999994</v>
      </c>
      <c r="S170" s="3">
        <f>2941.6+(140-700.1)+(-6.000864+(-0.2856--1.428204))+0-19.5--0.0397799999999991</f>
        <v>2357.1815200000001</v>
      </c>
      <c r="T170" s="3">
        <f>2918.3+(140.5-695.2)+(1.488333+(0.071655-0.354552))+0-16-0.00815999999999838</f>
        <v>2348.7972760000007</v>
      </c>
      <c r="U170" s="3">
        <f>2893.2+(140.8-655.1)+(-4.426596+(-0.215424--1.002303))+0-36.7--0.0561510000000021</f>
        <v>2338.616434</v>
      </c>
      <c r="V170" s="3">
        <f>2864.1+(139.7-603.1)+(-1.460691+(-0.071247--0.307581))+0-77.1--0.0393209999999922</f>
        <v>2322.4149640000001</v>
      </c>
      <c r="W170" s="3">
        <f>2541.7+(139.4-308.2)+(-3.888801+(-0.213282--0.471546))+0-81.5--0.124695000000005</f>
        <v>2287.8941579999996</v>
      </c>
      <c r="X170" s="3">
        <f>2499.8+(125.4-284.4)+(-2.549796+(-0.127908--0.290088))+0-77.4--0.0789480000000123</f>
        <v>2261.091332</v>
      </c>
      <c r="Y170" s="3">
        <f>2768.8+(54.5-352.7)+(0+(0-0))+0-51-0</f>
        <v>2419.6000000000004</v>
      </c>
      <c r="Z170" s="3">
        <f>3061.3+(26-573.7)+(0+(0-0))+0-26.1-0</f>
        <v>2487.5000000000005</v>
      </c>
      <c r="AA170" s="3">
        <f>2985.9+(86.2-540.9)+(-7.614045+(-0.21981--1.379295))+0-88.8--0.226439999999987</f>
        <v>2436.1718799999999</v>
      </c>
      <c r="AB170" s="3">
        <f>2850.2+(140.9-539.8)+(-7.26801+(-0.359295--1.37649))+0-85.5--0.218024999999988</f>
        <v>2359.76721</v>
      </c>
      <c r="AC170" s="3">
        <f>2663.8+(140.7-435.4)+(-4.075614+(-0.215271--0.666162))+0-85--0.130050000000005</f>
        <v>2280.6053270000007</v>
      </c>
      <c r="AD170">
        <v>2476.5</v>
      </c>
      <c r="AE170" s="3">
        <f>3071+(31.6-594.8)+(0+(0-0))+0-31.3-0</f>
        <v>2476.5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2577.3+(140.6-459.1)+(-5.257692+(-0.286824--0.936564))+0-85.1--0.173603999999996</f>
        <v>2169.2656520000005</v>
      </c>
      <c r="G171" s="3">
        <f>2452.1+(140.6-428.5)+(-3.751713+(-0.215118--0.655605))+0-82.4--0.126072000000005</f>
        <v>2078.6148459999999</v>
      </c>
      <c r="H171" s="3">
        <f>2369.5+(141.2-418)+(-1.208445+(-0.072012--0.21318))+0-79.6--0.0405959999999919</f>
        <v>2012.0733189999999</v>
      </c>
      <c r="I171" s="3">
        <f>2262.1+(141.2-372.2)+(-4.614684+(-0.288048--0.759288))+0-51.3--0.104651999999998</f>
        <v>1975.7612079999999</v>
      </c>
      <c r="J171" s="3">
        <f>2267.5+(141.7-369.6)+(-2.31285+(-0.144534--0.376992))+0-75.7--0.0772140000000121</f>
        <v>1961.8968219999997</v>
      </c>
      <c r="K171" s="3">
        <f>2283.3+(141.8-401.7)+(1.164483+(0.072318-0.204867))+0-62.5-0.0318749999999937</f>
        <v>1961.9000590000003</v>
      </c>
      <c r="L171" s="3">
        <f>2240.4+(141.7-399.6)+(-7.998228+(-0.505869--1.426572))+0-65.1--0.232407000000001</f>
        <v>1910.5548820000001</v>
      </c>
      <c r="M171" s="3">
        <f>2267+(140.8-312.6)+(2.31234+(0.143616-0.318852))+0-86.1-0.0878220000000137</f>
        <v>2011.1492819999999</v>
      </c>
      <c r="N171" s="3">
        <f>2367.5+(140.1-276.9)+(-1.207425+(-0.071451--0.141219))+0-74--0.0377399999999925</f>
        <v>2155.6000829999998</v>
      </c>
      <c r="O171" s="3">
        <f>2608.7+(139.9-401.3)+(0+(0-0))+0-75.9-0</f>
        <v>2271.3999999999996</v>
      </c>
      <c r="P171" s="3">
        <f>2662.9+(139.4-351.8)+(-1.358079+(-0.071094--0.179418))+0-76.2--0.0388619999999923</f>
        <v>2373.0891070000002</v>
      </c>
      <c r="Q171" s="3">
        <f>2769.2+(139.4-407.4)+(-1.412292+(-0.071094--0.207774))+0-85.1--0.0434009999999914</f>
        <v>2414.8677889999999</v>
      </c>
      <c r="R171" s="3">
        <f>2859+(139.4-485.5)+(-1.45809+(-0.071094--0.247605))+0-67.5--0.0344249999999932</f>
        <v>2444.152846</v>
      </c>
      <c r="S171" s="3">
        <f>2842.2+(139-497.6)+(-4.348566+(-0.21267--0.761328))+0-81.3--0.124389000000005</f>
        <v>2398.6244809999998</v>
      </c>
      <c r="T171" s="3">
        <f>2847.3+(139-525.6)+(-4.356369+(-0.21267--0.804168))+0-78.3--0.119799000000005</f>
        <v>2378.7549280000003</v>
      </c>
      <c r="U171" s="3">
        <f>2824+(139.7-515)+(-7.2012+(-0.356235--1.31325))+0-79.1--0.201704999999989</f>
        <v>2363.5575199999998</v>
      </c>
      <c r="V171" s="3">
        <f>2823.1+(140.3-538.4)+(-5.759124+(-0.286212--1.098336))+0-74.2--0.151367999999997</f>
        <v>2346.0043679999999</v>
      </c>
      <c r="W171" s="3">
        <f>2781.2+(139.9-518)+(-8.510472+(-0.428094--1.58508))+0-82.9--0.25367400000001</f>
        <v>2313.1001879999999</v>
      </c>
      <c r="X171" s="3">
        <f>2703.4+(133-483.9)+(-9.651138+(-0.47481--1.727523))+0-74.9--0.267393000000001</f>
        <v>2269.4689680000001</v>
      </c>
      <c r="Y171" s="3">
        <f>2780.7+(62.1-357.5)+(-1.418157+(-0.031671--0.182325))+0-69--0.035189999999993</f>
        <v>2415.0676869999998</v>
      </c>
      <c r="Z171" s="3">
        <f>2851.9+(44.1-350.9)+(-5.817876+(-0.089964--0.715836))+0-89.8--0.183191999999996</f>
        <v>2450.2911880000001</v>
      </c>
      <c r="AA171" s="3">
        <f>2767.7+(91.1-364.5)+(-8.469162+(-0.278766--1.11537))+0-84.9--0.25979400000001</f>
        <v>2402.0272359999999</v>
      </c>
      <c r="AB171" s="3">
        <f>2468+(141.3-212)+(-6.2934+(-0.360315--0.5406))+0-84.9--0.216494999999988</f>
        <v>2306.5033800000001</v>
      </c>
      <c r="AC171" s="3">
        <f>2267.2+(196.9-162.6)+(-2.312544+(-0.200838--0.165852))+0-85.9--0.0876180000000137</f>
        <v>2213.3400879999999</v>
      </c>
      <c r="AD171">
        <v>2447.2999999999997</v>
      </c>
      <c r="AE171" s="3">
        <f>2870+(50.5-369.9)+(0+(0-0))+0-103.3-0</f>
        <v>2447.2999999999997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2230.8+(147.1-190.4)+(-2.275416+(-0.150042--0.194208))+0-65.1--0.0664020000000104</f>
        <v>2120.2351520000002</v>
      </c>
      <c r="G172" s="3">
        <f>2087.9+(180.9-139.9)+(-3.194487+(-0.276777--0.214047))+0-86.4--0.132192000000005</f>
        <v>2039.3749750000002</v>
      </c>
      <c r="H172" s="3">
        <f>2068+(145.2-172.7)+(-1.05468+(-0.074052--0.088077))+0-68.9--0.035138999999993</f>
        <v>1970.594484</v>
      </c>
      <c r="I172" s="3">
        <f>1978.7+(180-137)+(-2.018274+(-0.1836--0.13974))+0-84.1--0.0857820000000134</f>
        <v>1935.6236480000002</v>
      </c>
      <c r="J172" s="3">
        <f>1982.1+(163-138.6)+(1.010871+(0.08313-0.070686))+0-85.5-0.0436049999999913</f>
        <v>1921.9797099999998</v>
      </c>
      <c r="K172" s="3">
        <f>1971.1+(165.5-155.4)+(-5.026305+(-0.422025--0.39627))+0-78.9--0.201194999999989</f>
        <v>1897.4491349999998</v>
      </c>
      <c r="L172" s="3">
        <f>1974.3+(147.4-166.8)+(-4.027572+(-0.300696--0.340272))+0-75--0.152999999999997</f>
        <v>1876.0650039999998</v>
      </c>
      <c r="M172" s="3">
        <f>1969.2+(224.7-154.3)+(-1.004292+(-0.114597--0.078693))+0-58--0.0295799999999941</f>
        <v>1980.5893839999999</v>
      </c>
      <c r="N172" s="3">
        <f>2188.3+(142.3-197.9)+(1.116033+(0.072573-0.100929))+0-21.7-0.0110669999999978</f>
        <v>2112.0766100000005</v>
      </c>
      <c r="O172" s="3">
        <f>2216.3+(205.2-155)+(2.260626+(0.209304-0.1581))+0-64.8-0.0660960000000103</f>
        <v>2203.9457339999999</v>
      </c>
      <c r="P172" s="3">
        <f>2301.9+(214.3-151.9)+(1.173969+(0.109293-0.077469))+0-71.8-0.0366179999999927</f>
        <v>2293.669175</v>
      </c>
      <c r="Q172" s="3">
        <f>2432.1+(141.6-155.6)+(2.480742+(0.144432-0.158712))+0-86.7-0.0884340000000138</f>
        <v>2333.7780279999997</v>
      </c>
      <c r="R172" s="3">
        <f>2425.7+(149.4-158)+(0+(0-0))+0-82.2-0</f>
        <v>2334.9</v>
      </c>
      <c r="S172" s="3">
        <f>2399.2+(125.2-167.4)+(-6.11796+(-0.31926--0.42687))+0-84.1--0.214454999999988</f>
        <v>2267.1041049999999</v>
      </c>
      <c r="T172" s="3">
        <f>2430.9+(106.5-204.4)+(2.479518+(0.10863-0.208488))+0-90.9-0.0927180000000145</f>
        <v>2244.3869420000001</v>
      </c>
      <c r="U172" s="3">
        <f>2403.7+(107.5-212.2)+(-2.451774+(-0.10965--0.216444))+0-79.1--0.0806820000000126</f>
        <v>2217.635702</v>
      </c>
      <c r="V172" s="3">
        <f>2384.7+(140.2-226)+(-8.513379+(-0.500514--0.80682))+0-82.8--0.295596000000001</f>
        <v>2208.1885229999993</v>
      </c>
      <c r="W172" s="3">
        <f>2391.4+(141.6-257.5)+(-6.09807+(-0.36108--0.656625))+0-79.5--0.202724999999988</f>
        <v>2190.4002</v>
      </c>
      <c r="X172" s="3">
        <f>2358.9+(138.2-221.4)+(-3.609117+(-0.211446--0.338742))+0-84.7--0.129591000000005</f>
        <v>2187.6477700000005</v>
      </c>
      <c r="Y172" s="3">
        <f>2417.5+(225-183.2)+(-1.232925+(-0.11475--0.093432))+0-88.5--0.045134999999991</f>
        <v>2369.5908920000002</v>
      </c>
      <c r="Z172" s="3">
        <f>2459.6+(205-185.6)+(-6.27198+(-0.52275--0.47328))+0-82.1--0.209354999999988</f>
        <v>2390.7879050000001</v>
      </c>
      <c r="AA172" s="3">
        <f>2426.4+(167.2-180.5)+(-3.712392+(-0.255816--0.276165))+0-74--0.113220000000004</f>
        <v>2335.5211770000001</v>
      </c>
      <c r="AB172" s="3">
        <f>2381.9+(130.9-166.3)+(-6.073845+(-0.333795--0.424065))+0-81.1--0.206804999999988</f>
        <v>2259.6232299999997</v>
      </c>
      <c r="AC172" s="3">
        <f>2382.8+(125.1-200.6)+(0+(0-0))+0-90-0</f>
        <v>2217.3000000000002</v>
      </c>
      <c r="AD172">
        <v>2388</v>
      </c>
      <c r="AE172" s="3">
        <f>2480+(184.5-187.6)+(0+(0-0))+0-88.9-0</f>
        <v>2388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2259.4+(102.9-202.7)+(1.152294+(0.052479-0.103377))+0-57.7-0.0294269999999941</f>
        <v>2102.9719690000002</v>
      </c>
      <c r="G173" s="3">
        <f>2124.8+(124.2-140)+(-3.250944+(-0.190026--0.2142))+0-78.3--0.119799000000005</f>
        <v>2027.5930289999999</v>
      </c>
      <c r="H173" s="3">
        <f>2099.8+(106-164.2)+(3.212694+(0.16218-0.251226))+0-79.1-0.121023000000005</f>
        <v>1965.5026250000003</v>
      </c>
      <c r="I173" s="3">
        <f>2055.6+(146.4-175.1)+(-2.096712+(-0.149328--0.178602))+0-82.8--0.0844560000000132</f>
        <v>1942.1170179999999</v>
      </c>
      <c r="J173" s="3">
        <f>1989.1+(146.7-142)+(1.014441+(0.074817-0.07242))+0-86.8-0.0442679999999912</f>
        <v>1907.9725699999999</v>
      </c>
      <c r="K173" s="3">
        <f>1939.4+(178.9-142.7)+(-1.978188+(-0.182478--0.145554))+0-91.4--0.0932280000000146</f>
        <v>1882.278116</v>
      </c>
      <c r="L173" s="3">
        <f>1905.6+(146.9-190.7)+(-1.943712+(-0.149838--0.194514))+0-82.3--0.0839460000000131</f>
        <v>1777.6849099999999</v>
      </c>
      <c r="M173" s="3">
        <f>1815.1+(188.6-147.8)+(-1.851402+(-0.192372--0.150756))+0-68.9--0.070278000000011</f>
        <v>1785.1772599999997</v>
      </c>
      <c r="N173" s="3">
        <f>1856.5+(222.6-155.5)+(-3.78726+(-0.454104--0.31722))+0-68.3--0.139331999999997</f>
        <v>1851.5151879999999</v>
      </c>
      <c r="O173" s="3">
        <f>1964.2+(207.6-155.7)+(3.005226+(0.317628-0.238221))+0-84.8-0.129744000000005</f>
        <v>1934.254889</v>
      </c>
      <c r="P173" s="3">
        <f>2029.1+(235.6-163.6)+(-3.104523+(-0.360468--0.250308))+0-86.9--0.132957000000005</f>
        <v>2011.1182739999997</v>
      </c>
      <c r="Q173" s="3">
        <f>2034.7+(257.7-158.9)+(-1.037697+(-0.131427--0.081039))+0-90.2--0.0460019999999908</f>
        <v>2042.2579170000001</v>
      </c>
      <c r="R173" s="3">
        <f>2026.4+(286.2-157)+(-4.133856+(-0.583848--0.32028))+0-85.3--0.174011999999996</f>
        <v>2066.0765879999999</v>
      </c>
      <c r="S173" s="3">
        <f>2033.4+(271.8-157.2)+(0+(0-0))+0-88.9-0</f>
        <v>2059.1</v>
      </c>
      <c r="T173" s="3">
        <f>2022.6+(273.1-164.1)+(-2.063052+(-0.278562--0.167382))+0-82.5--0.0841500000000132</f>
        <v>2047.009918</v>
      </c>
      <c r="U173" s="3">
        <f>2026+(238.8-167.7)+(-2.06652+(-0.243576--0.171054))+0-64.1--0.0653820000000102</f>
        <v>2030.9263400000002</v>
      </c>
      <c r="V173" s="3">
        <f>2045.5+(201-163.6)+(-2.08641+(-0.20502--0.166872))+0-68.6--0.0699720000000109</f>
        <v>2012.2454140000002</v>
      </c>
      <c r="W173" s="3">
        <f>2017.9+(244.3-161)+(-4.116516+(-0.498372--0.32844))+0-82.7--0.168707999999996</f>
        <v>2014.3822600000003</v>
      </c>
      <c r="X173" s="3">
        <f>2017.3+(265.2-161.9)+(-3.086469+(-0.405756--0.247707))+0-73.6--0.112608000000004</f>
        <v>2043.8680899999999</v>
      </c>
      <c r="Y173" s="3">
        <f>2164+(355.6-186.7)+(-1.10364+(-0.181356--0.095217))+0-82.9--0.0422789999999916</f>
        <v>2248.8525</v>
      </c>
      <c r="Z173" s="3">
        <f>2213.2+(356.4-188.5)+(-4.514928+(-0.727056--0.38454))+0-89.9--0.183395999999996</f>
        <v>2286.5259519999995</v>
      </c>
      <c r="AA173" s="3">
        <f>2180.7+(333.9-175.8)+(-7.785099+(-1.192023--0.627606))+0-84.7--0.302379000000001</f>
        <v>2246.0528629999999</v>
      </c>
      <c r="AB173" s="3">
        <f>2099.7+(340.7-162.5)+(2.141694+(0.347514-0.16575))+0-79-0.0805800000000126</f>
        <v>2201.1428779999997</v>
      </c>
      <c r="AC173" s="3">
        <f>2100+(293.5-148.9)+(-1.071+(-0.149685--0.075939))+0-93--0.0474299999999906</f>
        <v>2150.502684</v>
      </c>
      <c r="AD173">
        <v>2292.6</v>
      </c>
      <c r="AE173" s="3">
        <f>2221+(361.4-188.3)+(0+(0-0))+0-101.5-0</f>
        <v>2292.6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2063.3+(197.6-143.5)+(0+(0-0))+0-70.4-0</f>
        <v>2047</v>
      </c>
      <c r="G174" s="3">
        <f>2003.2+(178.3-135.3)+(-1.021632+(-0.090933--0.069003))+0-82.8--0.0422279999999916</f>
        <v>1962.398666</v>
      </c>
      <c r="H174" s="3">
        <f>1952.2+(173-131.3)+(0+(0-0))+0-78.3-0</f>
        <v>1915.6000000000001</v>
      </c>
      <c r="I174" s="3">
        <f>1808.7+(269.7-129.1)+(-3.689748+(-0.550188--0.263364))+0-77.8--0.158711999999997</f>
        <v>1867.6821399999999</v>
      </c>
      <c r="J174" s="3">
        <f>1792+(291.8-122.4)+(-5.48352+(-0.892908--0.374544))+0-85.8--0.26254800000001</f>
        <v>1869.860664</v>
      </c>
      <c r="K174" s="3">
        <f>1797.8+(270-128)+(-1.833756+(-0.2754--0.13056))+0-90.2--0.0920040000000144</f>
        <v>1847.7134080000001</v>
      </c>
      <c r="L174" s="3">
        <f>1797.3+(239.9-138.8)+(-4.583115+(-0.611745--0.35394))+0-75.6--0.192779999999989</f>
        <v>1818.1518599999999</v>
      </c>
      <c r="M174" s="3">
        <f>1969.1+(184.5-131.5)+(-1.004241+(-0.094095--0.067065))+0-63.9--0.0325889999999935</f>
        <v>1957.2013179999997</v>
      </c>
      <c r="N174" s="3">
        <f>2142.2+(167.6-133.8)+(0+(0-0))+0-73.8-0</f>
        <v>2102.1999999999998</v>
      </c>
      <c r="O174" s="3">
        <f>2209+(201.1-109.2)+(-1.12659+(-0.102561--0.055692))+0-87.1--0.0444209999999912</f>
        <v>2212.6709620000001</v>
      </c>
      <c r="P174" s="3">
        <f>2360.6+(163.5-133.9)+(4.815624+(0.33354-0.273156))+0-69.1-0.140963999999997</f>
        <v>2325.8350439999999</v>
      </c>
      <c r="Q174" s="3">
        <f>2461.7+(157.4-157.3)+(1.255467+(0.080274-0.080223))+0-84-0.0428399999999915</f>
        <v>2379.0126779999996</v>
      </c>
      <c r="R174" s="3">
        <f>2448.8+(156.5-152.4)+(-2.497776+(-0.15963--0.155448))+0-70.2--0.0716040000000112</f>
        <v>2380.2696460000006</v>
      </c>
      <c r="S174" s="3">
        <f>2468.9+(140.5-196.4)+(-5.036556+(-0.28662--0.400656))+0-73.4--0.149735999999997</f>
        <v>2334.8272159999997</v>
      </c>
      <c r="T174" s="3">
        <f>2468+(140.8-212.5)+(-1.25868+(-0.071808--0.108375))+0-77.4--0.0394739999999922</f>
        <v>2317.7173610000004</v>
      </c>
      <c r="U174" s="3">
        <f>2495.1+(141-263.9)+(-1.272501+(-0.07191--0.134589))+0-53.3--0.0271829999999946</f>
        <v>2317.717361</v>
      </c>
      <c r="V174" s="3">
        <f>2523.3+(141.7-296.3)+(-3.860649+(-0.216801--0.453339))+0-72.5--0.110925000000004</f>
        <v>2292.6868140000001</v>
      </c>
      <c r="W174" s="3">
        <f>2501.3+(142.4-266.9)+(-6.378315+(-0.36312--0.680595))+0-89.3--0.227714999999987</f>
        <v>2281.6668749999999</v>
      </c>
      <c r="X174" s="3">
        <f>2507.6+(141.9-301.6)+(-3.836628+(-0.217107--0.461448))+0-73.8--0.112914000000004</f>
        <v>2270.6206269999998</v>
      </c>
      <c r="Y174" s="3">
        <f>2619+(141.6-239.7)+(0+(0-0))+0-88.2-0</f>
        <v>2432.7000000000003</v>
      </c>
      <c r="Z174" s="3">
        <f>2666.8+(142.1-266.4)+(-6.80034+(-0.362355--0.67932))+0-85.4--0.217769999999988</f>
        <v>2450.8343950000003</v>
      </c>
      <c r="AA174" s="3">
        <f>2562.3+(142.7-269.2)+(-6.533865+(-0.363885--0.68646))+0-43--0.109649999999994</f>
        <v>2386.6983599999999</v>
      </c>
      <c r="AB174" s="3">
        <f>2516.7+(142.7-327.8)+(-5.134068+(-0.291108--0.668712))+0-21.2--0.0432479999999991</f>
        <v>2305.686784</v>
      </c>
      <c r="AC174" s="3">
        <f>2423.6+(143.2-252)+(0+(0-0))+0-84.8-0</f>
        <v>2229.9999999999995</v>
      </c>
      <c r="AD174">
        <v>2447.1</v>
      </c>
      <c r="AE174" s="3">
        <f>2669+(142.7-270)+(0+(0-0))+0-94.6-0</f>
        <v>2447.1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2291.5+(143.4-237.2)+(-5.843325+(-0.36567--0.60486))+0-67.2--0.17135999999999</f>
        <v>2125.0672249999998</v>
      </c>
      <c r="G175" s="3">
        <f>2263.7+(142.6-313.1)+(-4.617948+(-0.290904--0.638724))+0-69.7--0.142187999999997</f>
        <v>2019.3720599999997</v>
      </c>
      <c r="H175" s="3">
        <f>2132.6+(142.9-223.7)+(-2.175252+(-0.145758--0.228174))+0-87.8--0.089556000000014</f>
        <v>1961.9967199999999</v>
      </c>
      <c r="I175" s="3">
        <f>2012.6+(150.3-153.9)+(-5.13213+(-0.383265--0.392445))+0-82--0.209099999999988</f>
        <v>1922.0861500000001</v>
      </c>
      <c r="J175" s="3">
        <f>1919.2+(211.2-128.8)+(2.936376+(0.323136-0.197064))+0-88.9-0.136017000000005</f>
        <v>1915.6264309999997</v>
      </c>
      <c r="K175" s="3">
        <f>1917.7+(196.7-135.4)+(2.934081+(0.300951-0.207162))+0-76.6-0.117198000000004</f>
        <v>1905.3106720000001</v>
      </c>
      <c r="L175" s="3">
        <f>1900.8+(173.9-145.9)+(-1.938816+(-0.177378--0.148818))+0-81.9--0.0835380000000131</f>
        <v>1845.0161619999999</v>
      </c>
      <c r="M175" s="3">
        <f>1967.6+(194.9-140)+(1.003476+(0.099399-0.0714))+0-56.1-0.0286109999999943</f>
        <v>1967.4028640000001</v>
      </c>
      <c r="N175" s="3">
        <f>2177.5+(85.1-152.1)+(-1.110525+(-0.043401--0.077571))+0-21.9--0.0111689999999978</f>
        <v>2087.5348139999996</v>
      </c>
      <c r="O175" s="3">
        <f>2339.9+(86.1-196.1)+(0+(0-0))+0-27.1-0</f>
        <v>2202.8000000000002</v>
      </c>
      <c r="P175" s="3">
        <f>2402.5+(127.6-128.3)+(1.225275+(0.065076-0.065433))+0-82.5-0.0420749999999916</f>
        <v>2320.4828430000002</v>
      </c>
      <c r="Q175" s="3">
        <f>2493.4+(112.9-132.8)+(1.271634+(0.057579-0.067728))+0-85.2-0.0434519999999914</f>
        <v>2389.5180330000003</v>
      </c>
      <c r="R175" s="3">
        <f>2573.3+(85.9-176.7)+(-1.312383+(-0.043809--0.090117))+0-77.8--0.0396779999999921</f>
        <v>2403.4736029999999</v>
      </c>
      <c r="S175" s="3">
        <f>2589.4+(86-234.4)+(-7.923564+(-0.26316--0.717264))+0-84.9--0.25979400000001</f>
        <v>2348.8903340000002</v>
      </c>
      <c r="T175" s="3">
        <f>2682.9+(86.5-348.3)+(0+(0-0))+0-85.4-0</f>
        <v>2335.6999999999998</v>
      </c>
      <c r="U175" s="3">
        <f>2629.7+(87.2-306.5)+(-5.364588+(-0.177888--0.62526))+0-88.3--0.180131999999996</f>
        <v>2317.3629159999996</v>
      </c>
      <c r="V175" s="3">
        <f>2620.7+(129.1-390.3)+(0+(0-0))+0-51.6-0</f>
        <v>2307.9</v>
      </c>
      <c r="W175" s="3">
        <f>2606+(141.9-363.2)+(-3.98718+(-0.217107--0.555696))+0-84.8--0.129744000000005</f>
        <v>2296.3811529999994</v>
      </c>
      <c r="X175" s="3">
        <f>2531.9+(130.6-304.4)+(0+(0-0))+0-85-0</f>
        <v>2273.1</v>
      </c>
      <c r="Y175" s="3">
        <f>2676+(43.5-204.8)+(-1.36476+(-0.022185--0.104448))+0-88.5--0.045134999999991</f>
        <v>2424.9626379999995</v>
      </c>
      <c r="Z175" s="3">
        <f>2675.8+(48.4-249.3)+(-6.82329+(-0.12342--0.635715))+0-26.9--0.0685949999999961</f>
        <v>2441.7576000000004</v>
      </c>
      <c r="AA175" s="3">
        <f>2686+(109.6-312.3)+(-8.21916+(-0.335376--0.955638))+0-86.2--0.26377200000001</f>
        <v>2389.764874</v>
      </c>
      <c r="AB175" s="3">
        <f>2711.5+(142.6-464.7)+(-4.148595+(-0.218178--0.710991))+0-68.4--0.104652000000004</f>
        <v>2317.4488700000002</v>
      </c>
      <c r="AC175" s="3">
        <f>2708.7+(140.5-507)+(-4.144311+(-0.214965--0.77571))+0-73.6--0.112608000000004</f>
        <v>2265.129042</v>
      </c>
      <c r="AD175">
        <v>2437.9</v>
      </c>
      <c r="AE175" s="3">
        <f>2703+(47.9-278.8)+(0+(0-0))+0-34.2-0</f>
        <v>2437.9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2606+(140.4-491.6)+(-5.31624+(-0.286416--1.002864))+0-73.5--0.149939999999997</f>
        <v>2176.850148</v>
      </c>
      <c r="G176" s="3">
        <f>2491.7+(140-479.8)+(0+(0-0))+0-75.6-0</f>
        <v>2076.2999999999997</v>
      </c>
      <c r="H176" s="3">
        <f>2405.5+(140.5-423)+(0+(0-0))+0-92.3-0</f>
        <v>2030.7</v>
      </c>
      <c r="I176" s="3">
        <f>2322.8+(140.7-404.7)+(-1.184628+(-0.071757--0.206397))+0-70--0.0356999999999929</f>
        <v>1987.7857119999999</v>
      </c>
      <c r="J176" s="3">
        <f>2209.6+(140-337)+(-4.507584+(-0.2856--0.68748))+0-39.2--0.0799679999999983</f>
        <v>1969.3742639999998</v>
      </c>
      <c r="K176" s="3">
        <f>2100.4+(139.7-234.3)+(1.071204+(0.071247-0.119493))+0-77.1-0.0393209999999922</f>
        <v>1929.6836370000003</v>
      </c>
      <c r="L176" s="3">
        <f>2047.6+(139.3-207.7)+(-5.22138+(-0.355215--0.529635))+0-72.8--0.185639999999989</f>
        <v>1901.5386799999999</v>
      </c>
      <c r="M176" s="3">
        <f>2091.3+(139.2-159.2)+(-1.066563+(-0.070992--0.081192))+0-79.1--0.040340999999992</f>
        <v>1991.183978</v>
      </c>
      <c r="N176" s="3">
        <f>2501.1+(139.2-424.1)+(2.551122+(0.141984-0.432582))+0-64.4-0.0656880000000103</f>
        <v>2153.9948359999994</v>
      </c>
      <c r="O176" s="3">
        <f>2626.7+(138.9-404)+(-4.018851+(-0.212517--0.61812))+0-84--0.128520000000005</f>
        <v>2274.115272</v>
      </c>
      <c r="P176" s="3">
        <f>2723.1+(138.7-426.7)+(-1.388781+(-0.070737--0.217617))+0-76.2--0.0388619999999923</f>
        <v>2357.6969610000001</v>
      </c>
      <c r="Q176" s="3">
        <f>2945+(139.6-563.8)+(0+(0-0))+0-78.8-0</f>
        <v>2442</v>
      </c>
      <c r="R176" s="3">
        <f>2972.6+(139.7-568)+(0+(0-0))+0-85.6-0</f>
        <v>2458.6999999999998</v>
      </c>
      <c r="S176" s="3">
        <f>2938.7+(139.4-597.3)+(-4.496211+(-0.213282--0.913869))+0-84--0.128520000000005</f>
        <v>2393.1328960000001</v>
      </c>
      <c r="T176" s="3">
        <f>2939.2+(140-627.4)+(-2.997984+(-0.1428--0.639948))+0-74.7--0.0761940000000119</f>
        <v>2374.675358</v>
      </c>
      <c r="U176" s="3">
        <f>2911.6+(140.1-621.1)+(-1.484916+(-0.071451--0.316761))+0-80.7--0.0411569999999918</f>
        <v>2348.7015510000001</v>
      </c>
      <c r="V176" s="3">
        <f>2752.8+(141.4-483.9)+(-5.615712+(-0.288456--0.987156))+0-85--0.173399999999996</f>
        <v>2320.5563880000004</v>
      </c>
      <c r="W176" s="3">
        <f>2660.9+(142.1-418.2)+(-8.142354+(-0.434826--1.279692))+0-88.1--0.26958600000001</f>
        <v>2289.672098</v>
      </c>
      <c r="X176" s="3">
        <f>2556.4+(136.9-316.2)+(-5.215056+(-0.279276--0.645048))+0-85.1--0.173603999999996</f>
        <v>2287.3243200000002</v>
      </c>
      <c r="Y176" s="3">
        <f>2789.2+(93.4-363.1)+(-2.844984+(-0.095268--0.370362))+0-85.4--0.0871080000000136</f>
        <v>2431.6172179999999</v>
      </c>
      <c r="Z176" s="3">
        <f>3010.5+(81.7-592.8)+(-4.606065+(-0.125001--0.906984))+0-46.7--0.0714510000000027</f>
        <v>2448.947369</v>
      </c>
      <c r="AA176" s="3">
        <f>2881.4+(129.3-527.6)+(-4.408542+(-0.197829--0.807228))+0-82.6--0.126378000000005</f>
        <v>2396.8272349999997</v>
      </c>
      <c r="AB176" s="3">
        <f>2617+(142.1-363.9)+(-2.66934+(-0.144942--0.371178))+0-85.3--0.0870060000000136</f>
        <v>2307.5439019999999</v>
      </c>
      <c r="AC176" s="3">
        <f>2500+(141.9-321)+(-1.275+(-0.072369--0.16371))+0-76.5--0.0390149999999922</f>
        <v>2243.2553560000001</v>
      </c>
      <c r="AD176">
        <v>2445.5</v>
      </c>
      <c r="AE176" s="3">
        <f>3030+(89-578.9)+(0+(0-0))+0-94.6-0</f>
        <v>2445.5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2498.4+(141.9-402.6)+(-3.822552+(-0.217107--0.615978))+0-84.8--0.129744000000005</f>
        <v>2149.6060629999993</v>
      </c>
      <c r="G177" s="3">
        <f>2476.9+(141.6-466.4)+(-3.789657+(-0.216648--0.713592))+0-84.4--0.129132000000005</f>
        <v>2064.5364190000005</v>
      </c>
      <c r="H177" s="3">
        <f>2372.7+(141.6-416.5)+(-4.840308+(-0.288864--0.84966))+0-85.4--0.174215999999996</f>
        <v>2008.2947039999995</v>
      </c>
      <c r="I177" s="3">
        <f>2229.9+(142.1-321.3)+(-1.137249+(-0.072471--0.163863))+0-92.1--0.0469709999999907</f>
        <v>1957.6011140000003</v>
      </c>
      <c r="J177" s="3">
        <f>2195.6+(141.8-325.3)+(1.119756+(0.072318-0.165903))+0-81.8-0.0417179999999917</f>
        <v>1931.284453</v>
      </c>
      <c r="K177" s="3">
        <f>2146.3+(142.1-284)+(-1.094613+(-0.072471--0.14484))+0-77.2--0.0393719999999922</f>
        <v>1926.217128</v>
      </c>
      <c r="L177" s="3">
        <f>2014.5+(142.2-202)+(-1.027395+(-0.072522--0.10302))+0-86.5--0.0441149999999912</f>
        <v>1867.247218</v>
      </c>
      <c r="M177" s="3">
        <f>2092.8+(142.1-225.8)+(1.067328+(0.072471-0.115158))+0-33.2-0.0169319999999966</f>
        <v>1976.9077090000001</v>
      </c>
      <c r="N177" s="3">
        <f>2527+(140.1-501.8)+(-5.15508+(-0.285804--1.023672))+0-13.6--0.0277439999999994</f>
        <v>2147.3105320000004</v>
      </c>
      <c r="O177" s="3">
        <f>2591.5+(139.8-473.6)+(0+(0-0))+0-12.8-0</f>
        <v>2244.8999999999996</v>
      </c>
      <c r="P177" s="3">
        <f>2846.1+(138.7-617.4)+(2.903022+(0.141474-0.629748))+0-12.9-0.0131580000000021</f>
        <v>2356.9015899999999</v>
      </c>
      <c r="Q177" s="3">
        <f>2741.4+(138.8-450.3)+(2.796228+(0.141576-0.459306))+0-10.5-0.0107100000000017</f>
        <v>2421.867788</v>
      </c>
      <c r="R177" s="3">
        <f>2741.4+(139-478)+(0+(0-0))+0-27-0</f>
        <v>2375.4</v>
      </c>
      <c r="S177" s="3">
        <f>2741.4+(139-509)+(0+(0-0))+0-15-0</f>
        <v>2356.4</v>
      </c>
      <c r="T177" s="3">
        <f>2741.4+(139-517.3)+(0+(0-0))+0-16-0</f>
        <v>2347.1000000000004</v>
      </c>
      <c r="U177" s="3">
        <f>2806.2+(139-565)+(0+(0-0))+0-79-0</f>
        <v>2301.1999999999998</v>
      </c>
      <c r="V177" s="3">
        <f>2727.4+(141-592)+(0+(0-0))+0-64-0</f>
        <v>2212.4</v>
      </c>
      <c r="W177" s="3">
        <f>2484.5+(141-491.6)+(0+(0-0))+0-59-0</f>
        <v>2074.9</v>
      </c>
      <c r="X177" s="3">
        <f>2496.7+(117-296.2)+(-6.366585+(-0.29835--0.75531))+0-22--0.0560999999999968</f>
        <v>2289.646475</v>
      </c>
      <c r="Y177" s="3">
        <f>2703.4+(113-337.4)+(-2.757468+(-0.11526--0.344148))+0-43--0.0438600000000069</f>
        <v>2433.5152800000001</v>
      </c>
      <c r="Z177" s="3">
        <f>2962.4+(135-470.5)+(-7.55412+(-0.34425--1.199775))+0-97--0.247349999999986</f>
        <v>2523.4487550000003</v>
      </c>
      <c r="AA177" s="3">
        <f>2698.7+(138-355.1)+(-8.258022+(-0.42228--1.086606))+0-78--0.238680000000009</f>
        <v>2396.2449839999999</v>
      </c>
      <c r="AB177" s="3">
        <f>2520.3+(138-228.1)+(-5.141412+(-0.28152--0.465324))+0-85--0.173399999999996</f>
        <v>2340.4157920000002</v>
      </c>
      <c r="AC177" s="3">
        <f>2411.2+(140-188.4)+(-1.229712+(-0.0714--0.096084))+0-81--0.0413099999999918</f>
        <v>2280.6362819999999</v>
      </c>
      <c r="AD177">
        <v>2475.2999999999997</v>
      </c>
      <c r="AE177" s="3">
        <f>2979+(120-533.4)+(0+(0-0))+0-90.3-0</f>
        <v>2475.2999999999997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2322+(140.1-264)+(0+(0-0))+0-67-0</f>
        <v>2131.1</v>
      </c>
      <c r="G178" s="3">
        <f>2325+(139-332.7)+(0+(0-0))+0-85.2-0</f>
        <v>2046.1000000000001</v>
      </c>
      <c r="H178" s="3">
        <f>2321+(141.8-367.1)+(0+(0-0))+0-81.8-0</f>
        <v>2013.8999999999999</v>
      </c>
      <c r="I178" s="3">
        <f>2225+(142.5-316.9)+(0+(0-0))+0-83.6-0</f>
        <v>1967</v>
      </c>
      <c r="J178" s="3">
        <f>2185+(142.7-303)+(0+(0-0))+0-95.2-0</f>
        <v>1929.5</v>
      </c>
      <c r="K178" s="3">
        <f>2195+(142.8-300.9)+(0+(0-0))+0-87.8-0</f>
        <v>1949.1000000000001</v>
      </c>
      <c r="L178" s="3">
        <f>2143.5+(142.8-302.6)+(0+(0-0))+0-83.7-0</f>
        <v>1900</v>
      </c>
      <c r="M178" s="3">
        <f>2223.5+(142.3-316.3)+(1.133985+(0.072573-0.161313))+0-33.4-0.0170339999999966</f>
        <v>2017.1282109999997</v>
      </c>
      <c r="N178" s="3">
        <f>2612.8+(141.3-507.9)+(-2.665056+(-0.144126--0.518058))+0-83.9--0.0855780000000134</f>
        <v>2160.0944540000005</v>
      </c>
      <c r="O178" s="3">
        <f>2733.8+(140.6-532.5)+(1.394238+(0.071706-0.271575))+0-89.1-0.045440999999991</f>
        <v>2253.9489279999998</v>
      </c>
      <c r="P178" s="3">
        <f>2871.9+(140.9-577.4)+(4.394007+(0.215577-0.883422))+0-80.2-0.122706000000005</f>
        <v>2358.8034560000001</v>
      </c>
      <c r="Q178" s="3">
        <f>2903.3+(140.9-549.1)+(1.480683+(0.071859-0.280041))+0-79.7-0.0406469999999919</f>
        <v>2416.6318540000007</v>
      </c>
      <c r="R178" s="3">
        <f>2900.5+(140.3-536.2)+(2.95851+(0.143106-0.546924))+0-68.6-0.0699720000000109</f>
        <v>2438.4847199999999</v>
      </c>
      <c r="S178" s="3">
        <f>2885.2+(140.6-573.9)+(-1.471452+(-0.071706--0.292689))+0-78.2--0.0398819999999921</f>
        <v>2372.4894129999998</v>
      </c>
      <c r="T178" s="3">
        <f>2887+(141-586.5)+(-1.47237+(-0.07191--0.299115))+0-86.4--0.0440639999999912</f>
        <v>2353.8988990000003</v>
      </c>
      <c r="U178" s="3">
        <f>2888.9+(140.9-616.2)+(-1.473339+(-0.071859--0.314262))+0-83.1--0.0423809999999916</f>
        <v>2329.3114450000003</v>
      </c>
      <c r="V178" s="3">
        <f>2867.7+(140.3-629.7)+(-7.312635+(-0.357765--1.605735))+0-69.2--0.17645999999999</f>
        <v>2303.2117950000002</v>
      </c>
      <c r="W178" s="3">
        <f>2757.9+(140-543.1)+(-8.439174+(-0.4284--1.661886))+0-76.1--0.232866000000009</f>
        <v>2271.7271780000001</v>
      </c>
      <c r="X178" s="3">
        <f>2475.4+(94.8-252.9)+(-6.31227+(-0.24174--0.644895))+0-73.2--0.186659999999989</f>
        <v>2238.3775450000003</v>
      </c>
      <c r="Y178" s="3">
        <f>2793.9+(21.7-331)+(-2.849778+(-0.022134--0.33762))+0-76.3--0.0778260000000122</f>
        <v>2405.8435340000001</v>
      </c>
      <c r="Z178" s="3">
        <f>2962.4+(21.8-473)+(-9.064944+(-0.066708--1.44738))+0-81.9--0.25061400000001</f>
        <v>2421.8663420000003</v>
      </c>
      <c r="AA178" s="3">
        <f>2805+(96-454.6)+(-7.15275+(-0.2448--1.15923))+0-76.3--0.194564999999989</f>
        <v>2364.0562449999998</v>
      </c>
      <c r="AB178" s="3">
        <f>2494.3+(140.7-287.3)+(-3.816279+(-0.215271--0.439569))+0-70.6--0.108018000000004</f>
        <v>2273.6160370000002</v>
      </c>
      <c r="AC178" s="3">
        <f>2445+(140.9-307.3)+(-1.24695+(-0.071859--0.156723))+0-55.2--0.0281519999999944</f>
        <v>2222.2660660000001</v>
      </c>
      <c r="AD178">
        <v>2418.6000000000004</v>
      </c>
      <c r="AE178" s="3">
        <f>3023+(15.3-526.5)+(0+(0-0))+0-93.2-0</f>
        <v>2418.6000000000004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2338.2+(124.2-277.5)+(0+(0-0))+0-78.8-0</f>
        <v>2106.0999999999995</v>
      </c>
      <c r="G179" s="3">
        <f>2318.6+(136.4-338.2)+(-1.182486+(-0.069564--0.172482))+0-85.9--0.0438089999999913</f>
        <v>2029.8642409999995</v>
      </c>
      <c r="H179" s="3">
        <f>2345.3+(143.9-415.4)+(3.588309+(0.220167-0.635562))+0-84.3-0.128979000000005</f>
        <v>1992.5439350000004</v>
      </c>
      <c r="I179" s="3">
        <f>2250.3+(143-370.7)+(-2.295306+(-0.14586--0.378114))+0-83.5--0.0851700000000133</f>
        <v>1937.1221180000002</v>
      </c>
      <c r="J179" s="3">
        <f>2102.9+(142.1-237.5)+(-3.217437+(-0.217413--0.363375))+0-67.1--0.102663000000004</f>
        <v>1937.431188</v>
      </c>
      <c r="K179" s="3">
        <f>2075.5+(142-264.6)+(-1.058505+(-0.07242--0.134946))+0-25.2--0.0128519999999974</f>
        <v>1926.7168730000001</v>
      </c>
      <c r="L179" s="3">
        <f>2056.8+(141.9-273.1)+(-5.24484+(-0.361845--0.696405))+0-54--0.137699999999992</f>
        <v>1866.8274200000001</v>
      </c>
      <c r="M179" s="3">
        <f>2113.6+(141.1-206.2)+(0+(0-0))+0-77.8-0</f>
        <v>1970.7</v>
      </c>
      <c r="N179" s="3">
        <f>2436.3+(139.9-378.3)+(0+(0-0))+0-80.8-0</f>
        <v>2117.1</v>
      </c>
      <c r="O179" s="3">
        <f>2574.4+(139.6-410.6)+(0+(0-0))+0-67.2-0</f>
        <v>2236.2000000000003</v>
      </c>
      <c r="P179" s="3">
        <f>2626.1+(138.2-361.3)+(5.357244+(0.281928-0.737052))+0-86.8-0.177071999999996</f>
        <v>2320.9250480000001</v>
      </c>
      <c r="Q179" s="3">
        <f>2703.5+(137.3-399.3)+(0+(0-0))+0-86.2-0</f>
        <v>2355.3000000000002</v>
      </c>
      <c r="R179" s="3">
        <f>2626.1+(138.5-328.8)+(-2.678622+(-0.14127--0.335376))+0-80.4--0.0820080000000128</f>
        <v>2352.9974919999995</v>
      </c>
      <c r="S179" s="3">
        <f>2685.9+(140.2-451.4)+(-5.479236+(-0.286008--0.920856))+0-73.6--0.150143999999997</f>
        <v>2296.4057560000006</v>
      </c>
      <c r="T179" s="3">
        <f>2747.3+(139.8-586.4)+(-1.401123+(-0.071298--0.299064))+0-36.2--0.0184619999999963</f>
        <v>2263.3451050000003</v>
      </c>
      <c r="U179" s="3">
        <f>2750.6+(139.8-575.7)+(-4.208418+(-0.213894--0.880821))+0-73.3--0.112149000000004</f>
        <v>2237.9706579999997</v>
      </c>
      <c r="V179" s="3">
        <f>2711.4+(140.3-568.4)+(-1.382814+(-0.071553--0.289884))+0-70.4--0.0359039999999929</f>
        <v>2211.7714209999999</v>
      </c>
      <c r="W179" s="3">
        <f>2495.8+(141.2-389.6)+(-6.36429+(-0.36006--0.99348))+0-74.5--0.189974999999989</f>
        <v>2167.359105</v>
      </c>
      <c r="X179" s="3">
        <f>2442.2+(123.6-286.2)+(0+(0-0))+0-86.8-0</f>
        <v>2192.7999999999997</v>
      </c>
      <c r="Y179" s="3">
        <f>2674.3+(86.2-319.7)+(0+(0-0))+0-81.6-0</f>
        <v>2359.2000000000003</v>
      </c>
      <c r="Z179" s="3">
        <f>2599.6+(70-239.6)+(-3.977388+(-0.1071--0.366588))+0-87.3--0.133569000000005</f>
        <v>2339.1156689999998</v>
      </c>
      <c r="AA179" s="3">
        <f>2540.8+(84.3-260.8)+(-6.47904+(-0.214965--0.66504))+0-88.5--0.225674999999987</f>
        <v>2269.9967100000003</v>
      </c>
      <c r="AB179" s="3">
        <f>2363.2+(135.7-236.5)+(-6.02616+(-0.346035--0.603075))+0-72.3--0.18436499999999</f>
        <v>2184.5152449999996</v>
      </c>
      <c r="AC179" s="3">
        <f>2361.8+(135.9-293.9)+(-3.613554+(-0.207927--0.449667))+0-42.8--0.0654840000000025</f>
        <v>2157.6936700000001</v>
      </c>
      <c r="AD179">
        <v>2332.3000000000002</v>
      </c>
      <c r="AE179" s="3">
        <f>2627+(59.3-246)+(0+(0-0))+0-108-0</f>
        <v>2332.3000000000002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2194+(135.6-349.3)+(-3.35682+(-0.207468--0.534429))+0-34.2--0.052326000000002</f>
        <v>1943.1224669999999</v>
      </c>
      <c r="G180" s="3">
        <f>2119.5+(135.6-204.9)+(-1.080945+(-0.069156--0.104499))+0-83.5--0.0425849999999915</f>
        <v>1965.6969829999996</v>
      </c>
      <c r="H180" s="3">
        <f>2040+(135.9-221.1)+(-5.202+(-0.346545--0.563805))+0-53.3--0.135914999999992</f>
        <v>1896.651175</v>
      </c>
      <c r="I180" s="3">
        <f>1995.1+(135.5-175.2)+(0+(0-0))+0-67.8-0</f>
        <v>1887.6</v>
      </c>
      <c r="J180" s="3">
        <f>1994.3+(136.2-245.5)+(0+(0-0))+0-31.8-0</f>
        <v>1853.2</v>
      </c>
      <c r="K180" s="3">
        <f>2012.4+(135.9-213.6)+(3.078972+(0.207927-0.326808))+0-81.7-0.125001000000005</f>
        <v>1855.8350899999998</v>
      </c>
      <c r="L180" s="3">
        <f>1897.9+(139.6-180.6)+(2.903787+(0.213588-0.276318))+0-83.3-0.127449000000005</f>
        <v>1776.3136080000002</v>
      </c>
      <c r="M180" s="3">
        <f>1819.4+(172.2-148.3)+(-4.63947+(-0.43911--0.378165))+0-84.4--0.215219999999988</f>
        <v>1754.4148050000001</v>
      </c>
      <c r="N180" s="3">
        <f>1869.8+(163.4-146.3)+(0+(0-0))+0-58-0</f>
        <v>1828.8999999999999</v>
      </c>
      <c r="O180" s="3">
        <f>1981.4+(155.2-161)+(-3.031542+(-0.237456--0.24633))+0-71.4--0.109242000000004</f>
        <v>1901.286574</v>
      </c>
      <c r="P180" s="3">
        <f>1951+(179.1-151)+(-1.99002+(-0.182682--0.15402))+0-73.6--0.0750720000000117</f>
        <v>1903.5563900000002</v>
      </c>
      <c r="Q180" s="3">
        <f>1968.4+(137.8-162.5)+(-2.007768+(-0.140556--0.16575))+0-95.6--0.0975120000000152</f>
        <v>1846.2149380000001</v>
      </c>
      <c r="R180" s="3">
        <f>2129.5+(134.2-238.9)+(-2.17209+(-0.136884--0.243678))+0-25.1--0.025602000000004</f>
        <v>1997.660306</v>
      </c>
      <c r="S180" s="3">
        <f>2151.1+(133.8-284.7)+(-2.194122+(-0.136476--0.290394))+0-21.7--0.0221340000000035</f>
        <v>1976.4819299999999</v>
      </c>
      <c r="T180" s="3">
        <f>2204.6+(133.7-331.3)+(1.124346+(0.068187-0.168963))+0-22.7-0.0115769999999977</f>
        <v>1985.311993</v>
      </c>
      <c r="U180" s="3">
        <f>2202.1+(133.6-350.6)+(0+(0-0))+0-22.4-0</f>
        <v>1962.6999999999998</v>
      </c>
      <c r="V180" s="3">
        <f>2143+(133.5-294.6)+(-5.46465+(-0.340425--0.75123))+0-20.9--0.053294999999997</f>
        <v>1955.99945</v>
      </c>
      <c r="W180" s="3">
        <f>2053.7+(132.8-215.2)+(-2.094774+(-0.135456--0.219504))+0-24.8--0.025296000000004</f>
        <v>1944.5145699999998</v>
      </c>
      <c r="X180" s="3">
        <f>1955.1+(231.7-156.4)+(-2.991303+(-0.354501--0.239292))+0-21.6--0.0330480000000013</f>
        <v>2005.7265359999999</v>
      </c>
      <c r="Y180" s="3">
        <f>2220.9+(203.9-172.4)+(0+(0-0))+0-47.9-0</f>
        <v>2204.5</v>
      </c>
      <c r="Z180" s="3">
        <f>2355.7+(114.9-183.7)+(-3.604221+(-0.175797--0.281061))+0-84.5--0.129285000000005</f>
        <v>2199.0303279999998</v>
      </c>
      <c r="AA180" s="3">
        <f>2262.2+(164.8-152.1)+(-5.76861+(-0.42024--0.387855))+0-92.7--0.236384999999987</f>
        <v>2176.6353899999999</v>
      </c>
      <c r="AB180" s="3">
        <f>2314.3+(133.6-246.9)+(-4.721172+(-0.272544--0.503676))+0-80.4--0.164015999999996</f>
        <v>2116.2739759999999</v>
      </c>
      <c r="AC180" s="3">
        <f>2260.4+(133.8-306)+(-2.305608+(-0.136476--0.31212))+0-30.4--0.0310080000000048</f>
        <v>2055.7010439999999</v>
      </c>
      <c r="AD180">
        <v>2182.8999999999996</v>
      </c>
      <c r="AE180" s="3">
        <f>2367+(88.7-177.8)+(0+(0-0))+0-95-0</f>
        <v>2182.9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2146.4+(120.7-262.5)+(-4.378656+(-0.246228--0.5355))+0-17.1--0.0348839999999993</f>
        <v>1983.4455</v>
      </c>
      <c r="G181" s="3">
        <f>1981.2+(105.8-133.6)+(0+(0-0))+0-70.3-0</f>
        <v>1883.1000000000001</v>
      </c>
      <c r="H181" s="3">
        <f>1886+(138.2-110.8)+(-2.88558+(-0.211446--0.169524))+0-74.4--0.113832000000004</f>
        <v>1836.18633</v>
      </c>
      <c r="I181" s="3">
        <f>1862.7+(146.4-111.8)+(-1.899954+(-0.149328--0.114036))+0-80.1--0.0817020000000128</f>
        <v>1815.346456</v>
      </c>
      <c r="J181" s="3">
        <f>1919.3+(101-139.9)+(-0.978843+(-0.05151--0.071349))+0-71.6--0.0365159999999927</f>
        <v>1807.8775119999998</v>
      </c>
      <c r="K181" s="3">
        <f>2015.9+(97.3-215.5)+(-5.140545+(-0.248115--0.549525))+0-80.8--0.206039999999988</f>
        <v>1812.2669050000002</v>
      </c>
      <c r="L181" s="3">
        <f>1924+(110.1-159)+(-6.86868+(-0.393057--0.56763))+0-82.4--0.294168000000001</f>
        <v>1786.3000609999997</v>
      </c>
      <c r="M181" s="3">
        <f>1972.6+(118.5-190.5)+(3.018078+(0.181305-0.291465))+0-26.5-0.0405450000000015</f>
        <v>1876.967373</v>
      </c>
      <c r="N181" s="3">
        <f>2237.9+(100.4-296.1)+(-2.282658+(-0.102408--0.302022))+0-26.3--0.0268260000000042</f>
        <v>2013.8437820000001</v>
      </c>
      <c r="O181" s="3">
        <f>2333.7+(85.8-300.5)+(-1.190187+(-0.043758--0.153255))+0-24.3--0.0123929999999975</f>
        <v>2093.631703</v>
      </c>
      <c r="P181" s="3">
        <f>2458+(88.6-296.5)+(0+(0-0))+0-73.6-0</f>
        <v>2176.5</v>
      </c>
      <c r="Q181" s="3">
        <f>2607.8+(89.3-388.4)+(1.329978+(0.045543-0.198084))+0-66.9-0.0341189999999932</f>
        <v>2242.9433180000001</v>
      </c>
      <c r="R181" s="3">
        <f>2592+(88.8-363.2)+(-2.64384+(-0.090576--0.370464))+0-65.4--0.0667080000000104</f>
        <v>2249.9027559999995</v>
      </c>
      <c r="S181" s="3">
        <f>2598.5+(88.7-412)+(1.325235+(0.045237-0.21012))+0-87.3-0.0445229999999911</f>
        <v>2189.0158289999995</v>
      </c>
      <c r="T181" s="3">
        <f>2590.1+(88.5-432.1)+(1.320951+(0.045135-0.220371))+0-84.7-0.0431969999999914</f>
        <v>2162.9025180000003</v>
      </c>
      <c r="U181" s="3">
        <f>2576.8+(88.7-457.6)+(-1.314168+(-0.045237--0.233376))+0-61.4--0.0313139999999938</f>
        <v>2145.4052849999998</v>
      </c>
      <c r="V181" s="3">
        <f>2566.1+(88.7-436.1)+(-3.926133+(-0.135711--0.667233))+0-79--0.120870000000005</f>
        <v>2136.4262589999998</v>
      </c>
      <c r="W181" s="3">
        <f>2536.9+(89.5-400.9)+(-5.175276+(-0.18258--0.817836))+0-77.8--0.158711999999997</f>
        <v>2143.3186919999998</v>
      </c>
      <c r="X181" s="3">
        <f>2254.9+(154.3-164.4)+(-2.299998+(-0.157386--0.167688))+0-70.1--0.0715020000000112</f>
        <v>2172.4818060000007</v>
      </c>
      <c r="Y181" s="3">
        <f>2518.5+(113.3-212.8)+(-1.284435+(-0.057783--0.108528))+0-86.3--0.0440129999999912</f>
        <v>2331.510323</v>
      </c>
      <c r="Z181" s="3">
        <f>2639.4+(114.2-339)+(-2.692188+(-0.116484--0.34578))+0-86.4--0.0881280000000138</f>
        <v>2325.8252359999997</v>
      </c>
      <c r="AA181" s="3">
        <f>2588.6+(125.5-374.6)+(-7.921116+(-0.38403--1.146276))+0-69.5--0.212670000000008</f>
        <v>2263.0537999999997</v>
      </c>
      <c r="AB181" s="3">
        <f>2483.9+(122.8-354.2)+(1.266789+(0.062628-0.180642))+0-75-0.0382499999999924</f>
        <v>2178.6105250000001</v>
      </c>
      <c r="AC181" s="3">
        <f>2366.5+(125.2-307.3)+(1.206915+(0.063852-0.156723))+0-66.5-0.0339149999999933</f>
        <v>2118.980129</v>
      </c>
      <c r="AD181">
        <v>2310.5999999999995</v>
      </c>
      <c r="AE181" s="3">
        <f>2642+(113.7-336.8)+(0+(0-0))+0-108.3-0</f>
        <v>2310.6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2298.4+(10.7-230.5)+(-1.172184+(-0.005457--0.117555))+0-71.7--0.0365669999999927</f>
        <v>2005.876481</v>
      </c>
      <c r="G182" s="3">
        <f>2169.8+(0-172.5)+(1.106598+(0-0.087975))+0-82.4-0.0420239999999916</f>
        <v>1915.8765989999999</v>
      </c>
      <c r="H182" s="3">
        <f>2185.9+(0-219.7)+(4.459236+(0-0.448188))+0-89.3-0.182171999999996</f>
        <v>1880.7288760000001</v>
      </c>
      <c r="I182" s="3">
        <f>2164.6+(0-249.4)+(-3.311838+(0--0.381582))+0-76.3--0.116739000000004</f>
        <v>1836.0864829999998</v>
      </c>
      <c r="J182" s="3">
        <f>2119.7+(0-209.6)+(4.324188+(0-0.427584))+0-76.1-0.155243999999997</f>
        <v>1837.74136</v>
      </c>
      <c r="K182" s="3">
        <f>2076.6+(0-157.5)+(2.118132+(0-0.16065))+0-84.9-0.0865980000000135</f>
        <v>1836.0708839999998</v>
      </c>
      <c r="L182" s="3">
        <f>2065.3+(0-200.2)+(-2.106606+(0--0.204204))+0-72.7--0.0741540000000116</f>
        <v>1790.5717520000001</v>
      </c>
      <c r="M182" s="3">
        <f>2133.6+(0-186)+(1.088136+(0-0.09486))+0-49.4-0.025193999999995</f>
        <v>1899.1680819999997</v>
      </c>
      <c r="N182" s="3">
        <f>2401.3+(0-293.1)+(-1.224663+(0--0.149481))+0-72.9--0.0371789999999926</f>
        <v>2034.2619970000001</v>
      </c>
      <c r="O182" s="3">
        <f>2541.2+(0-346.5)+(1.296012+(0-0.176715))+0-68.7-0.035036999999993</f>
        <v>2127.0842600000001</v>
      </c>
      <c r="P182" s="3">
        <f>2572.4+(0-277)+(0+(0-0))+0-67.6-0</f>
        <v>2227.8000000000002</v>
      </c>
      <c r="Q182" s="3">
        <f>2595.8+(0-244.1)+(3.971574+(0-0.373473))+0-81-0.123930000000005</f>
        <v>2274.1741710000001</v>
      </c>
      <c r="R182" s="3">
        <f>2643.3+(0-294.9)+(1.348083+(0-0.150399))+0-78.5-0.040034999999992</f>
        <v>2271.0576490000003</v>
      </c>
      <c r="S182" s="3">
        <f>2657.6+(0-384.1)+(-1.355376+(0--0.195891))+0-59.4--0.030293999999994</f>
        <v>2212.9708089999999</v>
      </c>
      <c r="T182" s="3">
        <f>2679.4+(0-401.3)+(1.366494+(0-0.204663))+0-86.7-0.0442169999999912</f>
        <v>2192.5176139999999</v>
      </c>
      <c r="U182" s="3">
        <f>2686.7+(0-432.3)+(-4.110651+(0--0.661419))+0-80.1--0.122553000000005</f>
        <v>2170.9733209999999</v>
      </c>
      <c r="V182" s="3">
        <f>2747+(0-464.6)+(-5.60388+(0--0.947784))+0-84.9--0.173195999999996</f>
        <v>2193.0171</v>
      </c>
      <c r="W182" s="3">
        <f>2713.3+(0-452.9)+(-8.302698+(0--1.385874))+0-82.9--0.25367400000001</f>
        <v>2170.8368500000001</v>
      </c>
      <c r="X182" s="3">
        <f>2332.6+(110.2-160.4)+(1.189626+(0.056202-0.081804))+0-82.2-0.0419219999999917</f>
        <v>2201.3221020000005</v>
      </c>
      <c r="Y182" s="3">
        <f>2746.9+(0-308.9)+(1.400919+(0-0.157539))+0-87.4-0.0445739999999911</f>
        <v>2351.7988059999998</v>
      </c>
      <c r="Z182" s="3">
        <f>2806.6+(0-382.6)+(0+(0-0))+0-81.2-0</f>
        <v>2342.8000000000002</v>
      </c>
      <c r="AA182" s="3">
        <f>2749.4+(0-407.1)+(-7.01097+(0--1.038105))+0-70.3--0.17926499999999</f>
        <v>2266.2064</v>
      </c>
      <c r="AB182" s="3">
        <f>2532.1+(0-300.8)+(-6.456855+(0--0.76704))+0-61.5--0.156824999999991</f>
        <v>2164.2670099999996</v>
      </c>
      <c r="AC182" s="3">
        <f>2398.2+(0-192.2)+(2.446164+(0-0.196044))+0-84.5-0.0861900000000135</f>
        <v>2123.6639300000002</v>
      </c>
      <c r="AD182">
        <v>2271.1999999999998</v>
      </c>
      <c r="AE182" s="3">
        <f>2772+(0-388.5)+(0+(0-0))+0-112.3-0</f>
        <v>2271.1999999999998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2229.7+(6.5-150.5)+(-2.274294+(-0.00663--0.15351))+0-65.9--0.0672180000000105</f>
        <v>2017.7398039999996</v>
      </c>
      <c r="G183" s="3">
        <f>2216.5+(0-192.3)+(-4.52166+(0--0.392292))+0-83.5--0.170339999999996</f>
        <v>1936.7409719999998</v>
      </c>
      <c r="H183" s="3">
        <f>2214.1+(0-247.4)+(-1.129191+(0--0.126174))+0-80.5--0.0410549999999918</f>
        <v>1885.2380379999997</v>
      </c>
      <c r="I183" s="3">
        <f>2177.1+(0-225.9)+(-4.441284+(0--0.460836))+0-80--0.163199999999997</f>
        <v>1867.3827519999998</v>
      </c>
      <c r="J183" s="3">
        <f>2050+(8-124.1)+(5.2275+(0.0204-0.316455))+0-87.2-0.222359999999987</f>
        <v>1851.409085</v>
      </c>
      <c r="K183" s="3">
        <f>2048.5+(10.5-140)+(3.134205+(0.016065-0.2142))+0-67-0.102510000000004</f>
        <v>1854.83356</v>
      </c>
      <c r="L183" s="3">
        <f>2022.3+(21.5-155.4)+(-4.125492+(-0.04386--0.317016))+0-87.6--0.178703999999996</f>
        <v>1797.126368</v>
      </c>
      <c r="M183" s="3">
        <f>1946.8+(180-145)+(0+(0-0))+0-77.5-0</f>
        <v>1904.3</v>
      </c>
      <c r="N183" s="3">
        <f>2314+(0-192.7)+(1.18014+(0-0.098277))+0-78-0.0397799999999921</f>
        <v>2044.342083</v>
      </c>
      <c r="O183" s="3">
        <f>2564.4+(0-314.4)+(1.307844+(0-0.160344))+0-80.4-0.0410039999999918</f>
        <v>2170.7064959999998</v>
      </c>
      <c r="P183" s="3">
        <f>2617.8+(0-285.5)+(1.335078+(0-0.145605))+0-92.9-0.0473789999999906</f>
        <v>2240.5420939999999</v>
      </c>
      <c r="Q183" s="3">
        <f>2612.8+(0-243.8)+(2.665056+(0-0.248676))+0-72.3-0.0737460000000115</f>
        <v>2299.0426339999999</v>
      </c>
      <c r="R183" s="3">
        <f>2579.9+(0-226.7)+(-1.315749+(0--0.115617))+0-78.4--0.039983999999992</f>
        <v>2273.6398520000002</v>
      </c>
      <c r="S183" s="3">
        <f>2561.3+(0-264)+(-3.918789+(0--0.40392))+0-77.8--0.119034000000004</f>
        <v>2216.1041649999997</v>
      </c>
      <c r="T183" s="3">
        <f>2582.9+(0-295.9)+(0+(0-0))+0-79.9-0</f>
        <v>2207.1</v>
      </c>
      <c r="U183" s="3">
        <f>2553+(0-271.6)+(-5.20812+(0--0.554064))+0-83.3--0.169931999999996</f>
        <v>2193.6158759999998</v>
      </c>
      <c r="V183" s="3">
        <f>2570.7+(0-314.4)+(-2.622114+(0--0.320688))+0-76.7--0.0782340000000122</f>
        <v>2177.376808</v>
      </c>
      <c r="W183" s="3">
        <f>2417.4+(22.4-182.6)+(-4.931496+(-0.045696--0.372504))+0-83.4--0.170135999999996</f>
        <v>2169.3654480000005</v>
      </c>
      <c r="X183" s="3">
        <f>2335.1+(139.2-174)+(-1.190901+(-0.070992--0.08874))+0-77.2--0.0393719999999922</f>
        <v>2221.9662189999999</v>
      </c>
      <c r="Y183" s="3">
        <f>2585.5+(34.1-181.5)+(1.318605+(0.017391-0.092565))+0-87.1-0.0444209999999912</f>
        <v>2352.1990099999998</v>
      </c>
      <c r="Z183" s="3">
        <f>2639.5+(0-236.1)+(-5.38458+(0--0.481644))+0-64--0.130559999999997</f>
        <v>2334.6276240000002</v>
      </c>
      <c r="AA183" s="3">
        <f>2627.3+(0-245.2)+(-5.359692+(0--0.500208))+0-90.7--0.185027999999996</f>
        <v>2286.7255440000004</v>
      </c>
      <c r="AB183" s="3">
        <f>2576.3+(0-290.4)+(-5.255652+(0--0.592416))+0-81.6--0.166463999999996</f>
        <v>2199.8032280000002</v>
      </c>
      <c r="AC183" s="3">
        <f>2418.3+(0-195.5)+(0+(0-0))+0-82.5-0</f>
        <v>2140.3000000000002</v>
      </c>
      <c r="AD183">
        <v>2328.6</v>
      </c>
      <c r="AE183" s="3">
        <f>2657+(0-238.4)+(0+(0-0))+0-90-0</f>
        <v>2328.6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2395.2+(0-257)+(-4.886208+(0--0.52428))+0-85.3--0.174011999999996</f>
        <v>2048.7120839999998</v>
      </c>
      <c r="G184" s="3">
        <f>2404.3+(0-365.3)+(-3.678579+(0--0.558909))+0-71.7--0.109701000000004</f>
        <v>1964.2900310000002</v>
      </c>
      <c r="H184" s="3">
        <f>2221.6+(0-209.1)+(-3.399048+(0--0.319923))+0-91.7--0.140301000000005</f>
        <v>1917.8611759999999</v>
      </c>
      <c r="I184" s="3">
        <f>1984.7+(63.2-108.7)+(2.024394+(0.064464-0.110874))+0-77.3-0.0788460000000123</f>
        <v>1863.7991380000001</v>
      </c>
      <c r="J184" s="3">
        <f>1984.5+(45.1-108.9)+(5.060475+(0.115005-0.277695))+0-62.6-0.159629999999991</f>
        <v>1862.8381550000004</v>
      </c>
      <c r="K184" s="3">
        <f>1957.2+(86.9-123.8)+(0+(0-0))+0-75.6-0</f>
        <v>1844.7</v>
      </c>
      <c r="L184" s="3">
        <f>1959.4+(59.1-146.4)+(-0.999294+(-0.030141--0.074664))+0-62--0.0316199999999937</f>
        <v>1809.1768490000002</v>
      </c>
      <c r="M184" s="3">
        <f>2028.2+(43.6-148)+(-1.034382+(-0.022236--0.07548))+0-23.2--0.0118319999999976</f>
        <v>1899.6306939999997</v>
      </c>
      <c r="N184" s="3">
        <f>2275+(0-217.7)+(0+(0-0))+0-18.8-0</f>
        <v>2038.5000000000002</v>
      </c>
      <c r="O184" s="3">
        <f>2487.3+(0-350)+(3.805569+(0-0.5355))+0-15.7-0.0240210000000009</f>
        <v>2124.8460480000003</v>
      </c>
      <c r="P184" s="3">
        <f>2605+(0-361.8)+(2.6571+(0-0.369036))+0-20-0.0204000000000032</f>
        <v>2225.4676639999998</v>
      </c>
      <c r="Q184" s="3">
        <f>2654+(0-351.7)+(4.06062+(0-0.538101))+0-23-0.0351900000000013</f>
        <v>2282.7873290000002</v>
      </c>
      <c r="R184" s="3">
        <f>2632.1+(0-343.5)+(0+(0-0))+0-23-0</f>
        <v>2265.6</v>
      </c>
      <c r="S184" s="3">
        <f>2615+(0-333.9)+(-1.33365+(0--0.170289))+0-65.1--0.0332009999999934</f>
        <v>2214.8698400000003</v>
      </c>
      <c r="T184" s="3">
        <f>2626.5+(0-361.5)+(1.339515+(0-0.184365))+0-64.4-0.0328439999999935</f>
        <v>2201.7223060000001</v>
      </c>
      <c r="U184" s="3">
        <f>2626.6+(0-352.2)+(2.679132+(0-0.359244))+0-94.2-0.096084000000015</f>
        <v>2182.4238040000005</v>
      </c>
      <c r="V184" s="3">
        <f>2589.1+(0-338.8)+(-6.602205+(0--0.86394))+0-69.1--0.17620499999999</f>
        <v>2175.6379400000001</v>
      </c>
      <c r="W184" s="3">
        <f>2525.7+(0-277.9)+(-2.576214+(0--0.283458))+0-77.1--0.0786420000000123</f>
        <v>2168.4858859999999</v>
      </c>
      <c r="X184" s="3">
        <f>2414+(66.3-172.6)+(0+(0-0))+0-93-0</f>
        <v>2214.6999999999998</v>
      </c>
      <c r="Y184" s="3">
        <f>2525.8+(72.8-183.8)+(0+(0-0))+0-87.8-0</f>
        <v>2327</v>
      </c>
      <c r="Z184" s="3">
        <f>2600.4+(9.1-201.6)+(-2.652408+(-0.009282--0.205632))+0-89.2--0.0909840000000142</f>
        <v>2316.334926</v>
      </c>
      <c r="AA184" s="3">
        <f>2574.8+(0-248.6)+(-6.56574+(0--0.63393))+0-81.6--0.208079999999988</f>
        <v>2238.8762700000002</v>
      </c>
      <c r="AB184" s="3">
        <f>2492.4+(0-240.6)+(-6.35562+(0--0.61353))+0-85.5--0.218024999999988</f>
        <v>2160.7759350000001</v>
      </c>
      <c r="AC184" s="3">
        <f>2482.2+(0-309.8)+(-1.265922+(0--0.157998))+0-72.1--0.0367709999999927</f>
        <v>2099.2288469999999</v>
      </c>
      <c r="AD184">
        <v>2301.9000000000005</v>
      </c>
      <c r="AE184" s="3">
        <f>2601+(3.8-209.7)+(0+(0-0))+0-93.2-0</f>
        <v>2301.9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2443.7+(0-379.2)+(-8.724009+(0--1.353744))+0-66.7--0.238119000000001</f>
        <v>1990.667854</v>
      </c>
      <c r="G185" s="3">
        <f>2322.6+(0-313.4)+(-9.476208+(0--1.278672))+0-80.4--0.328031999999993</f>
        <v>1920.9304959999997</v>
      </c>
      <c r="H185" s="3">
        <f>2225.9+(0-258.8)+(-6.811254+(0--0.791928))+0-95.3--0.291618000000011</f>
        <v>1866.0722920000001</v>
      </c>
      <c r="I185" s="3">
        <f>1994+(15.1-120.1)+(1.01694+(0.007701-0.061251))+0-64.1-0.0326909999999935</f>
        <v>1825.8306990000001</v>
      </c>
      <c r="J185" s="3">
        <f>1969.5+(28-113.5)+(1.004445+(0.01428-0.057885))+0-76.6-0.0390659999999922</f>
        <v>1808.321774</v>
      </c>
      <c r="K185" s="3">
        <f>1976.6+(52.1-126.6)+(2.016132+(0.053142-0.129132))+0-81.5-0.083130000000013</f>
        <v>1822.4570119999998</v>
      </c>
      <c r="L185" s="3">
        <f>1926.8+(79.9-151.5)+(-3.930672+(-0.162996--0.30906))+0-68.8--0.140351999999997</f>
        <v>1782.755744</v>
      </c>
      <c r="M185" s="3">
        <f>2011.4+(103-149.3)+(2.051628+(0.10506-0.152286))+0-94.5-0.0963900000000151</f>
        <v>1872.5080120000002</v>
      </c>
      <c r="N185" s="3">
        <f>2264.2+(2.2-191.2)+(-4.618968+(-0.004488--0.390048))+0-66.4--0.135455999999997</f>
        <v>2004.7020479999996</v>
      </c>
      <c r="O185" s="3">
        <f>2344.4+(4.7-189.6)+(-1.195644+(-0.002397--0.096696))+0-72.4--0.0369239999999927</f>
        <v>2086.0355789999999</v>
      </c>
      <c r="P185" s="3">
        <f>2449.4+(0-201.2)+(-2.498388+(0--0.205224))+0-73.4--0.0748680000000117</f>
        <v>2172.5817040000002</v>
      </c>
      <c r="Q185" s="3">
        <f>2584.9+(0-269.6)+(2.636598+(0-0.274992))+0-79.5-0.0810900000000127</f>
        <v>2238.080516</v>
      </c>
      <c r="R185" s="3">
        <f>2590+(0-286.3)+(-2.6418+(0--0.292026))+0-64--0.0652800000000102</f>
        <v>2237.4155059999998</v>
      </c>
      <c r="S185" s="3">
        <f>2581.4+(0-319.2)+(-2.633028+(0--0.325584))+0-74.6--0.0760920000000119</f>
        <v>2185.3686480000001</v>
      </c>
      <c r="T185" s="3">
        <f>2575.5+(0-343.8)+(-2.62701+(0--0.350676))+0-75.4--0.076908000000012</f>
        <v>2154.1005739999996</v>
      </c>
      <c r="U185" s="3">
        <f>2462.5+(0-263.8)+(-5.0235+(0--0.538152))+0-87.9--0.179315999999996</f>
        <v>2106.4939679999998</v>
      </c>
      <c r="V185" s="3">
        <f>2466+(0-296)+(-5.03064+(0--0.60384))+0-59.7--0.121787999999997</f>
        <v>2105.9949879999999</v>
      </c>
      <c r="W185" s="3">
        <f>2376.9+(18.9-201.4)+(-6.061095+(-0.048195--0.51357))+0-84.7--0.215984999999988</f>
        <v>2104.3202650000003</v>
      </c>
      <c r="X185" s="3">
        <f>2285.7+(135.5-184.6)+(-3.497121+(-0.207315--0.282438))+0-81--0.123930000000005</f>
        <v>2152.3019320000003</v>
      </c>
      <c r="Y185" s="3">
        <f>2677.6+(0-286.6)+(-5.462304+(0--0.584664))+0-70.2--0.143207999999997</f>
        <v>2316.065568</v>
      </c>
      <c r="Z185" s="3">
        <f>2501+(45.7-203)+(-5.10204+(-0.093228--0.41412))+0-63.7--0.129947999999997</f>
        <v>2275.3487999999998</v>
      </c>
      <c r="AA185" s="3">
        <f>2276.3+(131.1-167)+(-9.287304+(-0.534888--0.68136))+0-40.5--0.165239999999996</f>
        <v>2190.9244079999999</v>
      </c>
      <c r="AB185" s="3">
        <f>2237.5+(69.4-152.3)+(-5.705625+(-0.17697--0.388365))+0-41.3--0.105314999999994</f>
        <v>2107.9110849999997</v>
      </c>
      <c r="AC185" s="3">
        <f>2170+(51.4-148.3)+(-2.2134+(-0.052428--0.151266))+0-49.5--0.0504900000000079</f>
        <v>2021.5359279999998</v>
      </c>
      <c r="AD185">
        <v>2274.4999999999995</v>
      </c>
      <c r="AE185" s="3">
        <f>2601+(7.2-235.8)+(0+(0-0))+0-97.9-0</f>
        <v>2274.5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2075.7+(0-173.6)+(-2.117214+(0--0.177072))+0-21.2--0.0216240000000034</f>
        <v>1878.9814819999999</v>
      </c>
      <c r="G186" s="3">
        <f>2074.9+(0-207.1)+(3.174597+(0-0.316863))+0-25-0.0382500000000014</f>
        <v>1845.6194840000001</v>
      </c>
      <c r="H186" s="3">
        <f>2035.7+(0-227.8)+(3.114621+(0-0.348534))+0-24.9-0.0380970000000014</f>
        <v>1785.7279899999999</v>
      </c>
      <c r="I186" s="3">
        <f>2031.9+(0-168)+(2.072538+(0-0.17136))+0-82.7-0.0843540000000132</f>
        <v>1783.016824</v>
      </c>
      <c r="J186" s="3">
        <f>2054.7+(0-196.9)+(5.239485+(0-0.502095))+0-82.5-0.210374999999988</f>
        <v>1779.8270149999998</v>
      </c>
      <c r="K186" s="3">
        <f>1960.2+(20.5-174.6)+(-4.99851+(-0.052275--0.44523))+0-86.6--0.220829999999987</f>
        <v>1715.1152750000001</v>
      </c>
      <c r="L186" s="3">
        <f>1877.5+(126-146.5)+(0.957525+(0.06426-0.074715))+0-87.8-0.0447779999999911</f>
        <v>1770.102292</v>
      </c>
      <c r="M186" s="3">
        <f>2078.7+(35.3-155.3)+(-1.060137+(-0.018003--0.079203))+0-62.1--0.0316709999999937</f>
        <v>1895.6327339999998</v>
      </c>
      <c r="N186" s="3">
        <f>2293.6+(10.6-234.6)+(-2.339472+(-0.010812--0.239292))+0-58.3--0.0594660000000093</f>
        <v>2009.248474</v>
      </c>
      <c r="O186" s="3">
        <f>2499.5+(0-309.1)+(0+(0-0))+0-73.6-0</f>
        <v>2116.8000000000002</v>
      </c>
      <c r="P186" s="3">
        <f>2482.4+(0-251.3)+(-1.266024+(0--0.128163))+0-76--0.0387599999999923</f>
        <v>2154.0008989999997</v>
      </c>
      <c r="Q186" s="3">
        <f>2456.2+(2.2-214.2)+(-5.010648+(-0.004488--0.436968))+0-82.8--0.168911999999996</f>
        <v>2156.9907439999997</v>
      </c>
      <c r="R186" s="3">
        <f>2444.8+(0-239.9)+(-6.23424+(0--0.611745))+0-80.9--0.206294999999988</f>
        <v>2118.5837999999999</v>
      </c>
      <c r="S186" s="3">
        <f>2448.6+(0-278.1)+(-4.995144+(0--0.567324))+0-84--0.171359999999996</f>
        <v>2082.2435399999999</v>
      </c>
      <c r="T186" s="3">
        <f>2458.7+(0-319.2)+(0+(0-0))+0-86.3-0</f>
        <v>2053.1999999999998</v>
      </c>
      <c r="U186" s="3">
        <f>2389.4+(0-281)+(-4.874376+(0--0.57324))+0-83.2--0.169727999999996</f>
        <v>2021.0685920000001</v>
      </c>
      <c r="V186" s="3">
        <f>2244.2+(39.3-194.1)+(-5.72271+(-0.100215--0.494955))+0-75.8--0.193289999999989</f>
        <v>2008.4653199999998</v>
      </c>
      <c r="W186" s="3">
        <f>2213.3+(120.5-171.8)+(-2.257566+(-0.12291--0.175236))+0-47.7--0.0486540000000076</f>
        <v>2112.1434140000006</v>
      </c>
      <c r="X186" s="3">
        <f>2380.5+(132.3-177.3)+(-4.85622+(-0.269892--0.361692))+0-88.1--0.179723999999996</f>
        <v>2242.8153040000002</v>
      </c>
      <c r="Y186" s="3">
        <f>2466.3+(50.3-205.9)+(-7.546878+(-0.153918--0.630054))+0-90.8--0.27784800000001</f>
        <v>2213.1071060000004</v>
      </c>
      <c r="Z186" s="3">
        <f>2393.4+(53.7-176.6)+(-6.10317+(-0.136935--0.45033))+0-83.5--0.212924999999988</f>
        <v>2181.4231499999996</v>
      </c>
      <c r="AA186" s="3">
        <f>2340.8+(36.3-180.7)+(-4.775232+(-0.074052--0.368628))+0-90.3--0.184211999999996</f>
        <v>2101.8035559999998</v>
      </c>
      <c r="AB186" s="3">
        <f>2307.9+(6.6-193.5)+(-3.531087+(-0.010098--0.296055))+0-80.9--0.123777000000005</f>
        <v>2036.9786470000001</v>
      </c>
      <c r="AC186" s="3">
        <f>2116.3+(42.3-133.7)+(-5.396565+(-0.107865--0.340935))+0-80.3--0.204764999999988</f>
        <v>1939.6412700000001</v>
      </c>
      <c r="AD186">
        <v>2215.1</v>
      </c>
      <c r="AE186" s="3">
        <f>2466+(52.9-198)+(0+(0-0))+0-105.8-0</f>
        <v>2215.1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2076.7+(0-192)+(-2.118234+(0--0.19584))+0-44.5--0.0453900000000071</f>
        <v>1838.3229959999999</v>
      </c>
      <c r="G187" s="3">
        <f>2026.3+(0-213.5)+(1.033413+(0-0.108885))+0-15.9-0.00810899999999839</f>
        <v>1797.8164189999998</v>
      </c>
      <c r="H187" s="3">
        <f>2012.2+(0-223.9)+(2.052444+(0-0.228378))+0-17.6-0.0179520000000028</f>
        <v>1772.506114</v>
      </c>
      <c r="I187" s="3">
        <f>1971.1+(0-205.6)+(0+(0-0))+0-22-0</f>
        <v>1743.5</v>
      </c>
      <c r="J187" s="3">
        <f>1878.4+(65.8-127.4)+(-2.873952+(-0.100674--0.194922))+0-91.6--0.140148000000005</f>
        <v>1722.5604440000002</v>
      </c>
      <c r="K187" s="3">
        <f>1813.6+(69.5-146.5)+(-5.549616+(-0.21267--0.44829))+0-79.4--0.242964000000009</f>
        <v>1652.1289679999998</v>
      </c>
      <c r="L187" s="3">
        <f>1799.8+(35.8-137.9)+(0.917898+(0.018258-0.070329))+0-74.4-0.0379439999999925</f>
        <v>1624.1278830000001</v>
      </c>
      <c r="M187" s="3">
        <f>1888.5+(22.8-144.5)+(3.85254+(0.046512-0.29478))+0-82.5-0.168299999999996</f>
        <v>1687.7359719999999</v>
      </c>
      <c r="N187" s="3">
        <f>2059.4+(0-216.3)+(0+(0-0))+0-77.9-0</f>
        <v>1765.2</v>
      </c>
      <c r="O187" s="3">
        <f>2135.6+(0-219.5)+(2.178312+(0-0.22389))+0-80.7-0.0823140000000129</f>
        <v>1837.2721079999999</v>
      </c>
      <c r="P187" s="3">
        <f>2123.3+(0-178)+(0+(0-0))+0-83.1-0</f>
        <v>1862.2000000000003</v>
      </c>
      <c r="Q187" s="3">
        <f>2168.9+(0-194.1)+(-2.212278+(0--0.197982))+0-79.8--0.0813960000000127</f>
        <v>1893.0671000000002</v>
      </c>
      <c r="R187" s="3">
        <f>2227+(0-264.4)+(1.13577+(0-0.134844))+0-64.2-0.0327419999999935</f>
        <v>1899.3681839999997</v>
      </c>
      <c r="S187" s="3">
        <f>2211.9+(0-316.5)+(-2.256138+(0--0.32283))+0-24.4--0.0248880000000039</f>
        <v>1869.09158</v>
      </c>
      <c r="T187" s="3">
        <f>2182.6+(0-275.5)+(-3.339378+(0--0.421515))+0-71--0.108630000000004</f>
        <v>1833.290767</v>
      </c>
      <c r="U187" s="3">
        <f>2138.3+(0-259)+(-4.362132+(0--0.52836))+0-63.4--0.129335999999997</f>
        <v>1812.1955640000001</v>
      </c>
      <c r="V187" s="3">
        <f>2091.1+(0-189.9)+(-3.199383+(0--0.290547))+0-76.6--0.117198000000004</f>
        <v>1821.8083619999998</v>
      </c>
      <c r="W187" s="3">
        <f>2009.1+(153.5-161.7)+(0+(0-0))+0-85.7-0</f>
        <v>1915.1999999999998</v>
      </c>
      <c r="X187" s="3">
        <f>2276.5+(93.5-177.5)+(0+(0-0))+0-85.3-0</f>
        <v>2107.1999999999998</v>
      </c>
      <c r="Y187" s="3">
        <f>2299.9+(63.8-181.9)+(-1.172949+(-0.032538--0.092769))+0-81.1--0.0413609999999918</f>
        <v>2099.6286430000005</v>
      </c>
      <c r="Z187" s="3">
        <f>2295.3+(39.1-157.3)+(-3.511809+(-0.059823--0.240669))+0-87.5--0.133875000000005</f>
        <v>2086.4029120000005</v>
      </c>
      <c r="AA187" s="3">
        <f>2219.7+(27.4-166.3)+(-2.264094+(-0.027948--0.169626))+0-70.2--0.0716040000000112</f>
        <v>2008.5491879999995</v>
      </c>
      <c r="AB187" s="3">
        <f>2185.9+(6.4-178.2)+(1.114809+(0.003264-0.090882))+0-63.6-0.0324359999999935</f>
        <v>1951.4947550000002</v>
      </c>
      <c r="AC187" s="3">
        <f>2178+(0-205.4)+(-1.11078+(0--0.104754))+0-86.2--0.0439619999999913</f>
        <v>1885.4379359999998</v>
      </c>
      <c r="AD187">
        <v>2103</v>
      </c>
      <c r="AE187" s="3">
        <f>2308+(67.6-174.4)+(0+(0-0))+0-98.2-0</f>
        <v>2103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2158.2+(0-248.9)+(0+(0-0))+0-92.5-0</f>
        <v>1816.7999999999997</v>
      </c>
      <c r="G188" s="3">
        <f>2086+(0-301.1)+(1.06386+(0-0.153561))+0-23.8-0.0121379999999976</f>
        <v>1761.998161</v>
      </c>
      <c r="H188" s="3">
        <f>2074.3+(0-319.5)+(2.115786+(0-0.32589))+0-20.3-0.0207060000000032</f>
        <v>1736.2691900000002</v>
      </c>
      <c r="I188" s="3">
        <f>2065.8+(0-328)+(1.053558+(0-0.16728))+0-21-0.0107099999999979</f>
        <v>1717.6755680000001</v>
      </c>
      <c r="J188" s="3">
        <f>2056.4+(0-276.2)+(-2.097528+(0--0.281724))+0-71.3--0.0727260000000114</f>
        <v>1707.1569220000001</v>
      </c>
      <c r="K188" s="3">
        <f>1998.7+(0-273.8)+(-5.096685+(0--0.69819))+0-75.8--0.193289999999989</f>
        <v>1644.8947950000002</v>
      </c>
      <c r="L188" s="3">
        <f>1887.7+(7.8-160.9)+(0+(0-0))+0-77.5-0</f>
        <v>1657.1000000000001</v>
      </c>
      <c r="M188" s="3">
        <f>1985.7+(6.1-161.2)+(0+(0-0))+0-92.2-0</f>
        <v>1738.4</v>
      </c>
      <c r="N188" s="3">
        <f>2045.7+(1.7-151.7)+(-1.043307+(-0.000867--0.077367))+0-71.6--0.0365159999999927</f>
        <v>1823.169709</v>
      </c>
      <c r="O188" s="3">
        <f>2194.6+(0-186.5)+(0+(0-0))+0-70-0</f>
        <v>1938.1</v>
      </c>
      <c r="P188" s="3">
        <f>2239+(0-204.7)+(1.14189+(0-0.104397))+0-73.2-0.0373319999999926</f>
        <v>1962.1001609999998</v>
      </c>
      <c r="Q188" s="3">
        <f>2247.5+(0-197)+(-3.438675+(0--0.30141))+0-70.9--0.108477000000004</f>
        <v>1976.5712119999998</v>
      </c>
      <c r="R188" s="3">
        <f>2311.4+(0-269)+(0+(0-0))+0-91.4-0</f>
        <v>1951</v>
      </c>
      <c r="S188" s="3">
        <f>2321.4+(0-304)+(1.183914+(0-0.15504))+0-75-0.0382499999999924</f>
        <v>1943.3906240000001</v>
      </c>
      <c r="T188" s="3">
        <f>2319.3+(0-317.3)+(0+(0-0))+0-75.2-0</f>
        <v>1926.8000000000002</v>
      </c>
      <c r="U188" s="3">
        <f>2312.7+(0-335.8)+(-2.358954+(0--0.342516))+0-66.9--0.0682380000000107</f>
        <v>1908.0517999999997</v>
      </c>
      <c r="V188" s="3">
        <f>2163.2+(23.2-188.1)+(-3.309696+(-0.035496--0.287793))+0-86.2--0.131886000000005</f>
        <v>1909.1744869999995</v>
      </c>
      <c r="W188" s="3">
        <f>2116.6+(152.6-179.1)+(-2.158932+(-0.155652--0.182682))+0-78.2--0.0797640000000125</f>
        <v>2009.8478619999999</v>
      </c>
      <c r="X188" s="3">
        <f>2242.6+(220.9-92.9)+(0+(0-0))+0-92-0</f>
        <v>2278.6</v>
      </c>
      <c r="Y188" s="3">
        <f>2269.2+(170.9-86.1)+(-1.157292+(-0.087159--0.043911))+0-78.5--0.040034999999992</f>
        <v>2274.3394950000002</v>
      </c>
      <c r="Z188" s="3">
        <f>2242.2+(156-73.6)+(-4.574088+(-0.31824--0.150144))+0-85.2--0.173807999999996</f>
        <v>2234.8316239999999</v>
      </c>
      <c r="AA188" s="3">
        <f>2196.5+(115.2-59.9)+(1.120215+(0.058752-0.030549))+0-85.8-0.0437579999999913</f>
        <v>2167.1046600000004</v>
      </c>
      <c r="AB188" s="3">
        <f>2226.8+(37.9-69.9)+(-3.407004+(-0.057987--0.106947))+0-87.8--0.134334000000005</f>
        <v>2103.7762899999998</v>
      </c>
      <c r="AC188" s="3">
        <f>2183.8+(9-98.2)+(-1.113738+(-0.00459--0.050082))+0-67.1--0.0342209999999932</f>
        <v>2026.4659750000005</v>
      </c>
      <c r="AD188">
        <v>2171.3000000000002</v>
      </c>
      <c r="AE188" s="3">
        <f>2278+(159.1-173.7)+(0+(0-0))+0-92.1-0</f>
        <v>2171.3000000000002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1950.2+(85.9-118.9)+(-0.994602+(-0.043809--0.060639))+0-80.2--0.0409019999999919</f>
        <v>1836.06313</v>
      </c>
      <c r="G189" s="3">
        <f>1860+(129.2-112.5)+(-2.8458+(-0.197676--0.172125))+0-93.2--0.142596000000005</f>
        <v>1780.7712449999999</v>
      </c>
      <c r="H189" s="3">
        <f>1829.5+(117.1-109.2)+(0.933045+(0.059721-0.055692))+0-87.8-0.0447779999999911</f>
        <v>1750.4922960000001</v>
      </c>
      <c r="I189" s="3">
        <f>1821.2+(95.7-109.3)+(-0.928812+(-0.048807--0.055743))+0-78.5--0.040034999999992</f>
        <v>1728.218159</v>
      </c>
      <c r="J189" s="3">
        <f>1820.6+(126.8-124.8)+(-0.928506+(-0.064668--0.063648))+0-78.8--0.040187999999992</f>
        <v>1742.910662</v>
      </c>
      <c r="K189" s="3">
        <f>1799.2+(126.2-146.2)+(-3.670368+(-0.257448--0.298248))+0-84.8--0.172991999999996</f>
        <v>1690.9434240000001</v>
      </c>
      <c r="L189" s="3">
        <f>1775.5+(177.8-138.6)+(-1.81101+(-0.181356--0.141372))+0-76.8--0.0783360000000122</f>
        <v>1736.1273420000002</v>
      </c>
      <c r="M189" s="3">
        <f>1968.2+(56.7-140)+(2.007564+(0.057834-0.1428))+0-21.7-0.0221340000000035</f>
        <v>1865.1004640000001</v>
      </c>
      <c r="N189" s="3">
        <f>2203.7+(0-186.3)+(0+(0-0))+0-19.8-0</f>
        <v>1997.6</v>
      </c>
      <c r="O189" s="3">
        <f>2466.9+(0-291.6)+(1.258119+(0-0.148716))+0-86-0.0438599999999913</f>
        <v>2090.3655430000003</v>
      </c>
      <c r="P189" s="3">
        <f>2512.8+(0-275.3)+(-1.281528+(0--0.140403))+0-80--0.0407999999999919</f>
        <v>2156.3996750000001</v>
      </c>
      <c r="Q189" s="3">
        <f>2530.3+(0-261)+(1.290453+(0-0.13311))+0-97-0.0494699999999902</f>
        <v>2173.4078730000001</v>
      </c>
      <c r="R189" s="3">
        <f>2667.5+(0-431.5)+(-2.72085+(0--0.44013))+0-78.9--0.0804780000000126</f>
        <v>2154.8997579999996</v>
      </c>
      <c r="S189" s="3">
        <f>2657.1+(0-442.9)+(2.710242+(0-0.451758))+0-78-0.0795600000000124</f>
        <v>2138.3789239999996</v>
      </c>
      <c r="T189" s="3">
        <f>2748.8+(0-545)+(-1.401888+(0--0.27795))+0-80.8--0.0412079999999918</f>
        <v>2121.9172699999999</v>
      </c>
      <c r="U189" s="3">
        <f>2700.2+(0-515)+(-5.508408+(0--1.0506))+0-85.2--0.173807999999996</f>
        <v>2095.7159999999999</v>
      </c>
      <c r="V189" s="3">
        <f>2669+(0-506.1)+(-2.72238+(0--0.516222))+0-59--0.0601800000000094</f>
        <v>2101.7540220000001</v>
      </c>
      <c r="W189" s="3">
        <f>2464.9+(9.2-191.6)+(1.257099+(0.004692-0.097716))+0-75.9-0.0387089999999923</f>
        <v>2207.7253660000001</v>
      </c>
      <c r="X189" s="3">
        <f>2770.5+(0-346.5)+(-1.412955+(0--0.176715))+0-78.1--0.0398309999999921</f>
        <v>2344.703591</v>
      </c>
      <c r="Y189" s="3">
        <f>2771.7+(0-364.2)+(-7.067835+(0--0.92871))+0-77.9--0.198644999999989</f>
        <v>2323.6595199999997</v>
      </c>
      <c r="Z189" s="3">
        <f>2668.9+(0-311.7)+(-2.722278+(0--0.317934))+0-75.4--0.076908000000012</f>
        <v>2279.4725640000001</v>
      </c>
      <c r="AA189" s="3">
        <f>2617.3+(0-359.8)+(-1.334823+(0--0.183498))+0-76.1--0.0388109999999923</f>
        <v>2180.2874860000002</v>
      </c>
      <c r="AB189" s="3">
        <f>2584.8+(0-406.1)+(-3.954744+(0--0.621333))+0-82.9--0.126837000000005</f>
        <v>2092.5934259999999</v>
      </c>
      <c r="AC189" s="3">
        <f>2465.1+(0-387.6)+(-6.286005+(0--0.98838))+0-83.8--0.213689999999988</f>
        <v>1988.6160649999999</v>
      </c>
      <c r="AD189">
        <v>2327.5</v>
      </c>
      <c r="AE189" s="3">
        <f>2780+(0-366.5)+(0+(0-0))+0-86-0</f>
        <v>2327.5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2347.7+(0-359.8)+(-5.986635+(0--0.91749))+0-92.9--0.236894999999987</f>
        <v>1890.1677499999998</v>
      </c>
      <c r="G190" s="3">
        <f>2318.4+(0-440.4)+(4.729536+(0-0.898416))+0-40.3-0.0822119999999982</f>
        <v>1841.4489080000001</v>
      </c>
      <c r="H190" s="3">
        <f>2294.6+(0-388.4)+(-2.340492+(0--0.396168))+0-81.6--0.083232000000013</f>
        <v>1822.7389079999998</v>
      </c>
      <c r="I190" s="3">
        <f>2266.1+(0-363.9)+(-2.311422+(0--0.371178))+0-98--0.0999600000000156</f>
        <v>1802.3597159999999</v>
      </c>
      <c r="J190" s="3">
        <f>2190.2+(0-303.1)+(-2.234004+(0--0.309162))+0-85.4--0.0871080000000136</f>
        <v>1799.8622659999999</v>
      </c>
      <c r="K190" s="3">
        <f>2137.5+(0-326.4)+(-5.450625+(0--0.83232))+0-85.1--0.217004999999988</f>
        <v>1721.5987</v>
      </c>
      <c r="L190" s="3">
        <f>2076.1+(0-226.1)+(-3.176433+(0--0.345933))+0-90.7--0.138771000000005</f>
        <v>1756.6082709999998</v>
      </c>
      <c r="M190" s="3">
        <f>2356.7+(0-394.3)+(1.201917+(0-0.201093))+0-61.2-0.0312119999999938</f>
        <v>1902.1696119999997</v>
      </c>
      <c r="N190" s="3">
        <f>2437.2+(0-329.9)+(0+(0-0))+0-92.8-0</f>
        <v>2014.4999999999998</v>
      </c>
      <c r="O190" s="3">
        <f>2529.9+(0-369)+(1.290249+(0-0.18819))+0-66.1-0.0337109999999933</f>
        <v>2095.868348</v>
      </c>
      <c r="P190" s="3">
        <f>2673.4+(0-437.9)+(2.726868+(0-0.446658))+0-67.7-0.0690540000000108</f>
        <v>2170.011156</v>
      </c>
      <c r="Q190" s="3">
        <f>2732.8+(0-437.7)+(0+(0-0))+0-81.1-0</f>
        <v>2214.0000000000005</v>
      </c>
      <c r="R190" s="3">
        <f>2818+(0-516.8)+(-4.31154+(0--0.790704))+0-89.5--0.136935000000005</f>
        <v>2208.3160989999997</v>
      </c>
      <c r="S190" s="3">
        <f>2818.3+(0-548.5)+(-5.749332+(0--1.11894))+0-81.3--0.165851999999996</f>
        <v>2184.0354600000001</v>
      </c>
      <c r="T190" s="3">
        <f>2815.4+(0-574.4)+(-7.17927+(0--1.46472))+0-81.8--0.208589999999988</f>
        <v>2153.6940399999999</v>
      </c>
      <c r="U190" s="3">
        <f>2688.6+(0-477.4)+(-9.598302+(0--1.704318))+0-90.4--0.322728000000001</f>
        <v>2113.228744</v>
      </c>
      <c r="V190" s="3">
        <f>2539.1+(0-370)+(-9.064587+(0--1.3209))+0-79.2--0.282744000000001</f>
        <v>2082.439057</v>
      </c>
      <c r="W190" s="3">
        <f>2483.7+(0-216.3)+(-5.066748+(0--0.441252))+0-61.1--0.124643999999997</f>
        <v>2201.7991479999996</v>
      </c>
      <c r="X190" s="3">
        <f>2677.8+(0-257.5)+(-5.462712+(0--0.5253))+0-79--0.161159999999997</f>
        <v>2336.5237480000001</v>
      </c>
      <c r="Y190" s="3">
        <f>2690.2+(0-356.4)+(-5.488008+(0--0.727056))+0-23.4--0.047735999999999</f>
        <v>2305.6867839999995</v>
      </c>
      <c r="Z190" s="3">
        <f>2606.3+(0-295.4)+(0+(0-0))+0-63.2-0</f>
        <v>2247.7000000000003</v>
      </c>
      <c r="AA190" s="3">
        <f>2838.5+(0-594.4)+(-7.238175+(0--1.51572))+0-69.3--0.17671499999999</f>
        <v>2169.2542599999997</v>
      </c>
      <c r="AB190" s="3">
        <f>2611.5+(0-415.6)+(-6.659325+(0--1.05978))+0-84.6--0.215729999999988</f>
        <v>2105.916185</v>
      </c>
      <c r="AC190" s="3">
        <f>2525.6+(0-416.6)+(-6.44028+(0--1.06233))+0-92.6--0.236129999999987</f>
        <v>2011.25818</v>
      </c>
      <c r="AD190">
        <v>2285.5</v>
      </c>
      <c r="AE190" s="3">
        <f>2717+(0-408.5)+(0+(0-0))+0-23-0</f>
        <v>2285.5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2450+(0-471.2)+(-4.998+(0--0.961248))+0-67.4--0.137495999999997</f>
        <v>1907.5007439999999</v>
      </c>
      <c r="G191" s="3">
        <f>2279.9+(0-367.3)+(0+(0-0))+0-70.3-0</f>
        <v>1842.3000000000002</v>
      </c>
      <c r="H191" s="3">
        <f>2151.4+(0-278.7)+(0+(0-0))+0-78.8-0</f>
        <v>1793.9</v>
      </c>
      <c r="I191" s="3">
        <f>2129.5+(0-269)+(0+(0-0))+0-87.1-0</f>
        <v>1773.4</v>
      </c>
      <c r="J191" s="3">
        <f>2171.6+(0-329.2)+(-2.215032+(0--0.335784))+0-73--0.0744600000000116</f>
        <v>1767.5952119999999</v>
      </c>
      <c r="K191" s="3">
        <f>2132.4+(0-330.3)+(-1.087524+(0--0.168453))+0-76.3--0.0389129999999923</f>
        <v>1724.9198420000002</v>
      </c>
      <c r="L191" s="3">
        <f>2019.5+(0-197)+(-2.05989+(0--0.20094))+0-56.7--0.057834000000009</f>
        <v>1763.9988839999999</v>
      </c>
      <c r="M191" s="3">
        <f>2126.8+(0-230.2)+(3.254004+(0-0.352206))+0-21.6-0.0330480000000013</f>
        <v>1877.8687500000003</v>
      </c>
      <c r="N191" s="3">
        <f>2545.5+(0-509.9)+(2.59641+(0-0.520098))+0-18-0.0183600000000029</f>
        <v>2019.6579519999998</v>
      </c>
      <c r="O191" s="3">
        <f>2589.9+(0-464.6)+(0+(0-0))+0-15.7-0</f>
        <v>2109.6000000000004</v>
      </c>
      <c r="P191" s="3">
        <f>2615.2+(0-430.4)+(-6.66876+(0--1.09752))+0-15.6--0.0397799999999977</f>
        <v>2163.6685399999997</v>
      </c>
      <c r="Q191" s="3">
        <f>2788.3+(0-565.2)+(1.422033+(0-0.288252))+0-17-0.00866999999999828</f>
        <v>2207.2251110000002</v>
      </c>
      <c r="R191" s="3">
        <f>2867.3+(0-663.5)+(2.924646+(0-0.67677))+0-16-0.0163200000000026</f>
        <v>2190.0315559999999</v>
      </c>
      <c r="S191" s="3">
        <f>2873+(0-687.7)+(5.86092+(0-1.402908))+0-20.1-0.0410039999999991</f>
        <v>2169.6170080000002</v>
      </c>
      <c r="T191" s="3">
        <f>2837.5+(0-674)+(-4.341375+(0--1.03122))+0-20--0.0306000000000012</f>
        <v>2140.2204449999999</v>
      </c>
      <c r="U191" s="3">
        <f>2766.7+(0-603.7)+(-7.055085+(0--1.539435))+0-19.4--0.0494699999999972</f>
        <v>2138.13382</v>
      </c>
      <c r="V191" s="3">
        <f>2605.8+(0-484.5)+(-6.64479+(0--1.235475))+0-19.8--0.0504899999999971</f>
        <v>2096.1411750000002</v>
      </c>
      <c r="W191" s="3">
        <f>2385.7+(25.6-271.6)+(-3.650121+(-0.039168--0.415548))+0-84.5--0.129285000000005</f>
        <v>2052.0555439999998</v>
      </c>
      <c r="X191" s="3">
        <f>2675.4+(0-358.1)+(4.093362+(0-0.547893))+0-76.7-0.117351000000004</f>
        <v>2244.0281180000006</v>
      </c>
      <c r="Y191" s="3">
        <f>2844.6+(0-477)+(-7.25373+(0--1.21635))+0-82.8--0.211139999999988</f>
        <v>2278.9737599999994</v>
      </c>
      <c r="Z191" s="3">
        <f>2747.6+(0-424.7)+(-2.802552+(0--0.433194))+0-86.4--0.0881280000000138</f>
        <v>2234.2187699999999</v>
      </c>
      <c r="AA191" s="3">
        <f>2695.1+(0-444.6)+(-4.123503+(0--0.680238))+0-92.7--0.141831000000005</f>
        <v>2154.4985660000002</v>
      </c>
      <c r="AB191" s="3">
        <f>2659+(0-593.5)+(-5.42436+(0--1.21074))+0-54.7--0.111587999999998</f>
        <v>2006.6979679999999</v>
      </c>
      <c r="AC191" s="3">
        <f>2610.6+(0-602.7)+(-6.65703+(0--1.536885))+0-55.8--0.142289999999992</f>
        <v>1947.1221449999998</v>
      </c>
      <c r="AD191">
        <v>2290.5</v>
      </c>
      <c r="AE191" s="3">
        <f>2814+(0-427.8)+(0+(0-0))+0-95.7-0</f>
        <v>2290.5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2497.9+(0-524.3)+(-5.095716+(0--1.069572))+0-82.1--0.167483999999996</f>
        <v>1887.6413400000004</v>
      </c>
      <c r="G192" s="3">
        <f>2221.9+(0-307.2)+(-1.133169+(0--0.156672))+0-76.9--0.0392189999999922</f>
        <v>1836.8627219999998</v>
      </c>
      <c r="H192" s="3">
        <f>1970.8+(2.6-120.8)+(-4.020432+(-0.005304--0.246432))+0-78.7--0.160547999999997</f>
        <v>1770.281244</v>
      </c>
      <c r="I192" s="3">
        <f>1979.4+(0-148.4)+(1.009494+(0-0.075684))+0-77.3-0.0394229999999922</f>
        <v>1754.5943870000001</v>
      </c>
      <c r="J192" s="3">
        <f>1971.2+(11.4-125.2)+(-2.010624+(-0.011628--0.127704))+0-88.9--0.0906780000000142</f>
        <v>1766.69613</v>
      </c>
      <c r="K192" s="3">
        <f>1959.2+(0-185.1)+(-4.99596+(0--0.472005))+0-73.3--0.186914999999989</f>
        <v>1696.4629600000003</v>
      </c>
      <c r="L192" s="3">
        <f>1970.9+(9.9-142.9)+(-1.005159+(-0.005049--0.072879))+0-84--0.0428399999999915</f>
        <v>1753.0055110000001</v>
      </c>
      <c r="M192" s="3">
        <f>2235.2+(0-319.7)+(1.139952+(0-0.163047))+0-33.6-0.0171359999999966</f>
        <v>1882.8597689999999</v>
      </c>
      <c r="N192" s="3">
        <f>2475.6+(0-453.6)+(2.525112+(0-0.462672))+0-45-0.0459000000000072</f>
        <v>1979.0165399999998</v>
      </c>
      <c r="O192" s="3">
        <f>2712.5+(0-563.5)+(4.150125+(0-0.862155))+0-55-0.0841500000000032</f>
        <v>2097.2038199999997</v>
      </c>
      <c r="P192" s="3">
        <f>2809.5+(0-590)+(0+(0-0))+0-72.6-0</f>
        <v>2146.9</v>
      </c>
      <c r="Q192" s="3">
        <f>2885.9+(0-650.8)+(1.471809+(0-0.331908))+0-80-0.0407999999999919</f>
        <v>2156.1991010000002</v>
      </c>
      <c r="R192" s="3">
        <f>2889.5+(0-668.3)+(-4.420935+(0--1.022499))+0-83.3--0.127449000000005</f>
        <v>2134.6290129999998</v>
      </c>
      <c r="S192" s="3">
        <f>2859.9+(0-672.2)+(1.458549+(0-0.342822))+0-73.7-0.0375869999999925</f>
        <v>2115.0781400000001</v>
      </c>
      <c r="T192" s="3">
        <f>2829.9+(0-690.8)+(-5.772996+(0--1.409232))+0-45.6--0.093023999999998</f>
        <v>2089.2292600000001</v>
      </c>
      <c r="U192" s="3">
        <f>2758+(0-571.3)+(-7.0329+(0--1.456815))+0-94.3--0.240464999999986</f>
        <v>2087.0643799999993</v>
      </c>
      <c r="V192" s="3">
        <f>2696+(0-513.1)+(-2.74992+(0--0.523362))+0-89.2--0.0909840000000142</f>
        <v>2091.5644260000004</v>
      </c>
      <c r="W192" s="3">
        <f>2599.2+(0-316.8)+(0+(0-0))+0-81.5-0</f>
        <v>2200.8999999999996</v>
      </c>
      <c r="X192" s="3">
        <f>2712.5+(0-353.8)+(-2.76675+(0--0.360876))+0-81--0.0826200000000129</f>
        <v>2275.3767459999999</v>
      </c>
      <c r="Y192" s="3">
        <f>2812.9+(0-482.1)+(-4.303737+(0--0.737613))+0-79--0.120870000000005</f>
        <v>2248.3547460000004</v>
      </c>
      <c r="Z192" s="3">
        <f>2666.2+(0-377.2)+(-4.079286+(0--0.577116))+0-87.8--0.134334000000005</f>
        <v>2197.8321639999995</v>
      </c>
      <c r="AA192" s="3">
        <f>2621.8+(0-442.8)+(-2.674236+(0--0.451656))+0-83.5--0.0851700000000133</f>
        <v>2093.3625899999997</v>
      </c>
      <c r="AB192" s="3">
        <f>2500.5+(0-375.8)+(-1.275255+(0--0.191658))+0-69.6--0.0354959999999929</f>
        <v>2054.051899</v>
      </c>
      <c r="AC192" s="3">
        <f>2351.9+(0-338.2)+(-1.199469+(0--0.172482))+0-75.2--0.0383519999999924</f>
        <v>1937.5113650000001</v>
      </c>
      <c r="AD192">
        <v>2268.6999999999998</v>
      </c>
      <c r="AE192" s="3">
        <f>2839+(0-548.4)+(0+(0-0))+0-21.9-0</f>
        <v>2268.6999999999998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2285.1+(0-349.1)+(-4.661604+(0--0.712164))+0-79.4--0.161975999999997</f>
        <v>1852.8125359999999</v>
      </c>
      <c r="G193" s="3">
        <f>2155.3+(0-288.1)+(-5.496015+(0--0.734655))+0-76.2--0.194309999999989</f>
        <v>1786.4329500000003</v>
      </c>
      <c r="H193" s="3">
        <f>2102.2+(0-288.2)+(-2.144244+(0--0.293964))+0-67.5--0.0688500000000108</f>
        <v>1744.7185699999998</v>
      </c>
      <c r="I193" s="3">
        <f>1993.4+(0-187.6)+(-4.066536+(0--0.382704))+0-74.4--0.151775999999997</f>
        <v>1727.8679440000001</v>
      </c>
      <c r="J193" s="3">
        <f>1912.7+(17.4-118.7)+(4.877385+(0.04437-0.302685))+0-88.7-0.226184999999987</f>
        <v>1727.092885</v>
      </c>
      <c r="K193" s="3">
        <f>1888.3+(10.2-140.3)+(-1.926066+(-0.010404--0.143106))+0-87.5--0.089250000000014</f>
        <v>1668.9958859999997</v>
      </c>
      <c r="L193" s="3">
        <f>1934.3+(0-170.9)+(3.945972+(0-0.348636))+0-83.8-0.170951999999996</f>
        <v>1683.026384</v>
      </c>
      <c r="M193" s="3">
        <f>2087.1+(0-190.7)+(3.193263+(0-0.291771))+0-87.8-0.134334000000005</f>
        <v>1811.3671579999998</v>
      </c>
      <c r="N193" s="3">
        <f>2332.5+(0-326.1)+(-2.37915+(0--0.332622))+0-70.1--0.0715020000000112</f>
        <v>1934.3249740000001</v>
      </c>
      <c r="O193" s="3">
        <f>2444.9+(0-333.1)+(1.246899+(0-0.169881))+0-81.2-0.0414119999999918</f>
        <v>2031.6356060000001</v>
      </c>
      <c r="P193" s="3">
        <f>2597.6+(0-432.2)+(2.649552+(0-0.440844))+0-81.4-0.083028000000013</f>
        <v>2086.1256800000001</v>
      </c>
      <c r="Q193" s="3">
        <f>2753.1+(0-559.4)+(0+(0-0))+0-84.6-0</f>
        <v>2109.1</v>
      </c>
      <c r="R193" s="3">
        <f>2704.4+(0-548.1)+(-6.89622+(0--1.397655))+0-77.4--0.197369999999989</f>
        <v>2073.5988050000001</v>
      </c>
      <c r="S193" s="3">
        <f>2665.3+(0-561.5)+(-5.437212+(0--1.14546))+0-53.7--0.109547999999998</f>
        <v>2045.917796</v>
      </c>
      <c r="T193" s="3">
        <f>2607.6+(0-532.5)+(-6.64938+(0--1.357875))+0-85.1--0.217004999999988</f>
        <v>1984.9254999999998</v>
      </c>
      <c r="U193" s="3">
        <f>2579.4+(0-529.7)+(-5.261976+(0--1.080588))+0-81.6--0.166463999999996</f>
        <v>1964.0850759999998</v>
      </c>
      <c r="V193" s="3">
        <f>2494.2+(0-433.1)+(-5.088168+(0--0.883524))+0-90.6--0.184823999999996</f>
        <v>1966.48018</v>
      </c>
      <c r="W193" s="3">
        <f>2499.1+(0-287)+(-2.549082+(0--0.29274))+0-92.6--0.0944520000000148</f>
        <v>2117.3381099999997</v>
      </c>
      <c r="X193" s="3">
        <f>2807.3+(0-485.6)+(2.863446+(0-0.495312))+0-86.9-0.0886380000000139</f>
        <v>2237.0794959999998</v>
      </c>
      <c r="Y193" s="3">
        <f>2785.2+(0-507.3)+(-4.261356+(0--0.776169))+0-87.3--0.133569000000005</f>
        <v>2187.2483819999993</v>
      </c>
      <c r="Z193" s="3">
        <f>2762.8+(0-519.8)+(-4.227084+(0--0.795294))+0-81.8--0.125154000000005</f>
        <v>2157.8933639999996</v>
      </c>
      <c r="AA193" s="3">
        <f>2657.7+(0-515.4)+(-4.066281+(0--0.788562))+0-73.5--0.112455000000004</f>
        <v>2065.6347359999995</v>
      </c>
      <c r="AB193" s="3">
        <f>2555.7+(0-459.2)+(-1.303407+(0--0.234192))+0-87.6--0.0446759999999911</f>
        <v>2007.8754610000001</v>
      </c>
      <c r="AC193" s="3">
        <f>2534.9+(0-511.6)+(-2.585598+(0--0.521832))+0-62.6--0.06385200000001</f>
        <v>1958.7000860000003</v>
      </c>
      <c r="AD193">
        <v>2187.9</v>
      </c>
      <c r="AE193" s="3">
        <f>2808+(0-529.4)+(0+(0-0))+0-90.7-0</f>
        <v>2187.9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2445.5+(0-520.5)+(2.49441+(0-0.53091))+0-66-0.0673200000000105</f>
        <v>1860.89618</v>
      </c>
      <c r="G194" s="3">
        <f>2398.8+(0-535.5)+(1.223388+(0-0.273105))+0-59.2-0.030191999999994</f>
        <v>1805.0200910000001</v>
      </c>
      <c r="H194" s="3">
        <f>2323.4+(0-490.6)+(2.369868+(0-0.500412))+0-82.7-0.0843540000000132</f>
        <v>1751.885102</v>
      </c>
      <c r="I194" s="3">
        <f>2304.3+(0-493.6)+(-1.175193+(0--0.251736))+0-80.7--0.0411569999999918</f>
        <v>1729.1177</v>
      </c>
      <c r="J194" s="3">
        <f>2116.5+(0-326.7)+(1.079415+(0-0.166617))+0-77.2-0.0393719999999922</f>
        <v>1713.473426</v>
      </c>
      <c r="K194" s="3">
        <f>1997.2+(0-289.2)+(-5.09286+(0--0.73746))+0-80--0.203999999999988</f>
        <v>1623.8486</v>
      </c>
      <c r="L194" s="3">
        <f>1813.4+(0-185.2)+(1.849668+(0-0.188904))+0-72.3-0.0737460000000115</f>
        <v>1557.487018</v>
      </c>
      <c r="M194" s="3">
        <f>1934.7+(0-212.6)+(0+(0-0))+0-70.4-0</f>
        <v>1651.7</v>
      </c>
      <c r="N194" s="3">
        <f>2113.4+(0-305.3)+(-3.233502+(0--0.467109))+0-76.4--0.116892000000004</f>
        <v>1729.0504989999999</v>
      </c>
      <c r="O194" s="3">
        <f>2239.8+(0-361.5)+(3.426894+(0-0.553095))+0-92.1-0.140913000000005</f>
        <v>1788.9328860000003</v>
      </c>
      <c r="P194" s="3">
        <f>2265.1+(0-355.5)+(-2.310402+(0--0.36261))+0-84.9--0.0865980000000135</f>
        <v>1822.838806</v>
      </c>
      <c r="Q194" s="3">
        <f>2329.4+(0-395.3)+(0+(0-0))+0-80.3-0</f>
        <v>1853.8000000000002</v>
      </c>
      <c r="R194" s="3">
        <f>2334.6+(0-398.6)+(0+(0-0))+0-84.1-0</f>
        <v>1851.9</v>
      </c>
      <c r="S194" s="3">
        <f>2316.8+(0-390.6)+(-2.363136+(0--0.398412))+0-86.4--0.0881280000000138</f>
        <v>1837.9234040000003</v>
      </c>
      <c r="T194" s="3">
        <f>2302.9+(0-412.8)+(-4.697916+(0--0.842112))+0-72--0.146879999999997</f>
        <v>1814.3910760000001</v>
      </c>
      <c r="U194" s="3">
        <f>2139.5+(0-281.5)+(-6.54687+(0--0.86139))+0-64.7--0.197982000000007</f>
        <v>1787.8125019999998</v>
      </c>
      <c r="V194" s="3">
        <f>1864.7+(99.3-145.3)+(-3.803988+(-0.202572--0.296412))+0-27.4--0.0558959999999988</f>
        <v>1787.6457480000001</v>
      </c>
      <c r="W194" s="3">
        <f>1955.4+(189.9-171.1)+(1.994508+(0.193698-0.174522))+0-48.7-0.0496740000000078</f>
        <v>1927.4640099999999</v>
      </c>
      <c r="X194" s="3">
        <f>2354.9+(20.7-188.4)+(1.200999+(0.010557-0.096084))+0-84.8-0.0432479999999914</f>
        <v>2103.4722240000001</v>
      </c>
      <c r="Y194" s="3">
        <f>2395.7+(1-212.8)+(-2.443614+(-0.00102--0.217056))+0-80.5--0.0821100000000128</f>
        <v>2101.2545319999995</v>
      </c>
      <c r="Z194" s="3">
        <f>2405.8+(0-241.7)+(-2.453916+(0--0.246534))+0-82.8--0.0844560000000132</f>
        <v>2079.1770740000002</v>
      </c>
      <c r="AA194" s="3">
        <f>2416.9+(0-280.6)+(-1.232619+(0--0.143106))+0-95.2--0.0485519999999903</f>
        <v>2040.0590390000002</v>
      </c>
      <c r="AB194" s="3">
        <f>2406.3+(0-332.9)+(-3.681639+(0--0.509337))+0-82.2--0.125766000000005</f>
        <v>1988.1534640000002</v>
      </c>
      <c r="AC194" s="3">
        <f>2242.4+(0-280)+(-3.430872+(0--0.4284))+0-58.1--0.0888930000000034</f>
        <v>1901.3864210000004</v>
      </c>
      <c r="AD194">
        <v>2073.9</v>
      </c>
      <c r="AE194" s="3">
        <f>2403+(0-236.6)+(0+(0-0))+0-92.5-0</f>
        <v>2073.9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2025.3+(0-159.1)+(-9.296127+(0--0.730269))+0-73.6--0.337824000000013</f>
        <v>1784.3719660000002</v>
      </c>
      <c r="G195" s="3">
        <f>1879.9+(36.8-112.2)+(-1.917498+(-0.037536--0.114444))+0-74--0.0754800000000118</f>
        <v>1728.73489</v>
      </c>
      <c r="H195" s="3">
        <f>1865.8+(22.9-112.7)+(-5.709348+(-0.070074--0.344862))+0-85.9--0.26285400000001</f>
        <v>1684.9282940000001</v>
      </c>
      <c r="I195" s="3">
        <f>1785.8+(28.9-103.8)+(-2.732274+(-0.044217--0.158814))+0-51.3--0.078489000000003</f>
        <v>1657.0608119999999</v>
      </c>
      <c r="J195" s="3">
        <f>1738.1+(129-119.2)+(0+(0-0))+0-83.6-0</f>
        <v>1664.3</v>
      </c>
      <c r="K195" s="3">
        <f>1727+(108.1-138.7)+(-2.64231+(-0.165393--0.212211))+0-70--0.107100000000004</f>
        <v>1623.9116080000001</v>
      </c>
      <c r="L195" s="3">
        <f>1753+(144.3-128.1)+(0.89403+(0.073593-0.065331))+0-88.8-0.045287999999991</f>
        <v>1681.2570040000001</v>
      </c>
      <c r="M195" s="3">
        <f>2050.6+(0-151.8)+(0+(0-0))+0-100-0</f>
        <v>1798.8</v>
      </c>
      <c r="N195" s="3">
        <f>2439+(0-349.1)+(2.48778+(0-0.356082))+0-95-0.0969000000000152</f>
        <v>1996.9347980000002</v>
      </c>
      <c r="O195" s="3">
        <f>2533.2+(0-415.9)+(5.167728+(0-0.848436))+0-81.4-0.166055999999996</f>
        <v>2040.0532359999997</v>
      </c>
      <c r="P195" s="3">
        <f>2606.5+(0-398.1)+(2.65863+(0-0.406062))+0-81.1-0.0827220000000129</f>
        <v>2129.469846</v>
      </c>
      <c r="Q195" s="3">
        <f>2657.5+(0-434.1)+(1.355325+(0-0.221391))+0-89.5-0.0456449999999909</f>
        <v>2134.9882889999999</v>
      </c>
      <c r="R195" s="3">
        <f>2652.1+(0-473.6)+(-1.352571+(0--0.241536))+0-67.7--0.0345269999999931</f>
        <v>2109.7234920000001</v>
      </c>
      <c r="S195" s="3">
        <f>2643.1+(0-458.2)+(5.391924+(0-0.934728))+0-82.4-0.168095999999996</f>
        <v>2106.7891</v>
      </c>
      <c r="T195" s="3">
        <f>2619.5+(0-457)+(-1.335945+(0--0.23307))+0-83.4--0.0425339999999915</f>
        <v>2078.039659</v>
      </c>
      <c r="U195" s="3">
        <f>2607.7+(0-481.5)+(-5.319708+(0--0.98226))+0-73.7--0.150347999999997</f>
        <v>2048.3128999999999</v>
      </c>
      <c r="V195" s="3">
        <f>2620.2+(0-488.7)+(-5.345208+(0--0.996948))+0-73.6--0.150143999999997</f>
        <v>2053.7018840000001</v>
      </c>
      <c r="W195" s="3">
        <f>2547.5+(0-235.7)+(-3.897675+(0--0.360621))+0-92.4--0.141372000000005</f>
        <v>2216.0043180000002</v>
      </c>
      <c r="X195" s="3">
        <f>2797.1+(0-400.5)+(0+(0-0))+0-67.3-0</f>
        <v>2329.2999999999997</v>
      </c>
      <c r="Y195" s="3">
        <f>3067.6+(0-651.6)+(-7.82238+(0--1.66158))+0-82.6--0.210629999999988</f>
        <v>2327.44983</v>
      </c>
      <c r="Z195" s="3">
        <f>2997.9+(0-630.3)+(-3.057858+(0--0.642906))+0-86.9--0.0886380000000139</f>
        <v>2278.3736860000004</v>
      </c>
      <c r="AA195" s="3">
        <f>2869.9+(0-595.4)+(-5.854596+(0--1.214616))+0-84.7--0.172787999999996</f>
        <v>2185.3328080000001</v>
      </c>
      <c r="AB195" s="3">
        <f>2635.3+(0-441.6)+(-2.688006+(0--0.450432))+0-84.4--0.0860880000000135</f>
        <v>2107.148514</v>
      </c>
      <c r="AC195" s="3">
        <f>2218.5+(6.3-147.6)+(-6.78861+(-0.019278--0.451656))+0-91.9--0.281214000000011</f>
        <v>1979.2249819999997</v>
      </c>
      <c r="AD195">
        <v>2366.9</v>
      </c>
      <c r="AE195" s="3">
        <f>3010+(0-553.1)+(0+(0-0))+0-90-0</f>
        <v>2366.9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1995.4+(42.8-117.9)+(-5.08827+(-0.10914--0.300645))+0-47.5--0.121124999999993</f>
        <v>1868.0243600000001</v>
      </c>
      <c r="G196" s="3">
        <f>1949.8+(15.6-53.3)+(0+(0-0))+0-79.8-0</f>
        <v>1832.3</v>
      </c>
      <c r="H196" s="3">
        <f>1827.9+(78.1-42.6)+(-2.796687+(-0.119493--0.065178))+0-87.9--0.134487000000005</f>
        <v>1772.7834849999999</v>
      </c>
      <c r="I196" s="3">
        <f>1780.1+(117.3-44.6)+(-2.723553+(-0.179469--0.068238))+0-93--0.142290000000005</f>
        <v>1757.1075060000001</v>
      </c>
      <c r="J196" s="3">
        <f>1774.6+(111.8-59.8)+(-2.715138+(-0.171054--0.091494))+0-61.1--0.0934830000000035</f>
        <v>1762.7987850000002</v>
      </c>
      <c r="K196" s="3">
        <f>1763.8+(137.4-98.1)+(-1.799076+(-0.140148--0.100062))+0-80.2--0.0818040000000128</f>
        <v>1721.1426419999998</v>
      </c>
      <c r="L196" s="3">
        <f>1803+(164.9-138.6)+(0+(0-0))+0-85.4-0</f>
        <v>1743.8999999999999</v>
      </c>
      <c r="M196" s="3">
        <f>2152.5+(0-214.4)+(3.293325+(0-0.328032))+0-50.1-0.0766530000000029</f>
        <v>1890.8886399999999</v>
      </c>
      <c r="N196" s="3">
        <f>2476.3+(0-387.1)+(2.525826+(0-0.394842))+0-76-0.0775200000000121</f>
        <v>2015.2534640000001</v>
      </c>
      <c r="O196" s="3">
        <f>2474.2+(0-269.6)+(-2.523684+(0--0.274992))+0-88.1--0.089862000000014</f>
        <v>2114.3411699999997</v>
      </c>
      <c r="P196" s="3">
        <f>2470.9+(0-220.6)+(-1.260159+(0--0.112506))+0-79.4--0.0404939999999919</f>
        <v>2169.792841</v>
      </c>
      <c r="Q196" s="3">
        <f>2464.7+(5.3-190.2)+(2.513994+(0.005406-0.194004))+0-83.7-0.0853740000000134</f>
        <v>2198.3400219999999</v>
      </c>
      <c r="R196" s="3">
        <f>2450.4+(0-212.5)+(-1.249704+(0--0.108375))+0-81.9--0.0417689999999917</f>
        <v>2154.9004399999999</v>
      </c>
      <c r="S196" s="3">
        <f>2447.3+(0-233.4)+(0+(0-0))+0-73.7-0</f>
        <v>2140.2000000000003</v>
      </c>
      <c r="T196" s="3">
        <f>2427.4+(0-264.8)+(-6.18987+(0--0.67524))+0-48.9--0.124694999999993</f>
        <v>2108.3100649999997</v>
      </c>
      <c r="U196" s="3">
        <f>2432.2+(0-254)+(-4.961688+(0--0.51816))+0-93.2--0.190127999999996</f>
        <v>2080.7466000000004</v>
      </c>
      <c r="V196" s="3">
        <f>2454.7+(0-290)+(-6.259485+(0--0.7395))+0-69.2--0.17645999999999</f>
        <v>2090.1564750000002</v>
      </c>
      <c r="W196" s="3">
        <f>2482.7+(24.6-187.3)+(-2.532354+(-0.025092--0.191046))+0-85--0.0867000000000136</f>
        <v>2232.7203</v>
      </c>
      <c r="X196" s="3">
        <f>2527.3+(41.7-183)+(-3.866769+(-0.063801--0.27999))+0-83.9--0.128367000000005</f>
        <v>2298.5777869999997</v>
      </c>
      <c r="Y196" s="3">
        <f>2554.2+(17.7-223.6)+(-3.907926+(-0.027081--0.342108))+0-87.1--0.133263000000005</f>
        <v>2257.7403639999998</v>
      </c>
      <c r="Z196" s="3">
        <f>2553.1+(0-247.2)+(-5.208324+(0--0.504288))+0-86.9--0.177275999999996</f>
        <v>2214.4732399999998</v>
      </c>
      <c r="AA196" s="3">
        <f>2483.2+(0-287.3)+(-3.799296+(0--0.439569))+0-79.7--0.121941000000005</f>
        <v>2112.9622139999997</v>
      </c>
      <c r="AB196" s="3">
        <f>2343.7+(0-219.7)+(-2.390574+(0--0.224094))+0-81.2--0.082824000000013</f>
        <v>2040.7163440000002</v>
      </c>
      <c r="AC196" s="3">
        <f>2217.6+(0-197.2)+(-5.65488+(0--0.50286))+0-74.4--0.189719999999989</f>
        <v>1941.0376999999999</v>
      </c>
      <c r="AD196">
        <v>2271.7999999999997</v>
      </c>
      <c r="AE196" s="3">
        <f>2573+(10.1-220.3)+(0+(0-0))+0-91-0</f>
        <v>2271.8000000000002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2146.3+(0-249.6)+(1.094613+(0-0.127296))+0-50.3-0.0256529999999949</f>
        <v>1847.3416640000005</v>
      </c>
      <c r="G197" s="3">
        <f>2054+(0-159.9)+(-5.2377+(0--0.407745))+0-93.3--0.237914999999986</f>
        <v>1796.20796</v>
      </c>
      <c r="H197" s="3">
        <f>1953+(5.6-142.3)+(-0.99603+(-0.002856--0.072573))+0-86.6--0.0441659999999912</f>
        <v>1728.817853</v>
      </c>
      <c r="I197" s="3">
        <f>1945.1+(0-160.9)+(-0.992001+(0--0.082059))+0-73.6--0.0375359999999925</f>
        <v>1709.727594</v>
      </c>
      <c r="J197" s="3">
        <f>1850+(70-137.5)+(-4.7175+(-0.1785--0.350625))+0-79--0.201449999999989</f>
        <v>1699.1560750000001</v>
      </c>
      <c r="K197" s="3">
        <f>1762.9+(138.2-156.3)+(-3.596316+(-0.281928--0.318852))+0-83.7--0.170747999999996</f>
        <v>1657.7113560000003</v>
      </c>
      <c r="L197" s="3">
        <f>1660.8+(274.9-147.5)+(-0.847008+(-0.140199--0.075225))+0-82.8--0.0422279999999916</f>
        <v>1704.5302459999998</v>
      </c>
      <c r="M197" s="3">
        <f>2072.1+(6.2-166)+(1.056771+(0.003162-0.08466))+0-88.6-0.045185999999991</f>
        <v>1824.630087</v>
      </c>
      <c r="N197" s="3">
        <f>2362.9+(0-323)+(2.410158+(0-0.32946))+0-66.5-0.0678300000000106</f>
        <v>1975.4128680000001</v>
      </c>
      <c r="O197" s="3">
        <f>2425.9+(0-282.1)+(2.474418+(0-0.287742))+0-76.5-0.0780300000000122</f>
        <v>2069.4086459999999</v>
      </c>
      <c r="P197" s="3">
        <f>2543+(0-295.3)+(-1.29693+(0--0.150603))+0-83.4--0.0425339999999915</f>
        <v>2163.196207</v>
      </c>
      <c r="Q197" s="3">
        <f>2534.7+(0-291.8)+(-3.878091+(0--0.446454))+0-54.1--0.0827730000000031</f>
        <v>2185.4511359999997</v>
      </c>
      <c r="R197" s="3">
        <f>2471.7+(0-251.2)+(-5.042268+(0--0.512448))+0-83.6--0.170543999999996</f>
        <v>2132.540724</v>
      </c>
      <c r="S197" s="3">
        <f>2491.9+(0-337)+(-2.541738+(0--0.34374))+0-29.2--0.0297840000000047</f>
        <v>2123.531786</v>
      </c>
      <c r="T197" s="3">
        <f>2527.7+(0-393.7)+(-5.156508+(0--0.803148))+0-54.5--0.111179999999998</f>
        <v>2075.2578199999998</v>
      </c>
      <c r="U197" s="3">
        <f>2478.4+(0-295.8)+(-6.31992+(0--0.75429))+0-71.4--0.18206999999999</f>
        <v>2105.8164399999996</v>
      </c>
      <c r="V197" s="3">
        <f>2237.4+(72.9-167.8)+(-4.564296+(-0.148716--0.342312))+0-87.2--0.177887999999996</f>
        <v>2051.1071880000004</v>
      </c>
      <c r="W197" s="3">
        <f>2212.7+(244.8-179.5)+(2.256954+(0.249696-0.18309))+0-60-0.0612000000000096</f>
        <v>2220.2623599999997</v>
      </c>
      <c r="X197" s="3">
        <f>2399.8+(178.7-194.5)+(-3.671694+(-0.273411--0.297585))+0-81.6--0.124848000000005</f>
        <v>2298.877328</v>
      </c>
      <c r="Y197" s="3">
        <f>2387.6+(145.2-191.4)+(-2.435352+(-0.148104--0.195228))+0-76.5--0.0780300000000122</f>
        <v>2262.5898020000004</v>
      </c>
      <c r="Z197" s="3">
        <f>2340.4+(119.9-171.1)+(-1.193604+(-0.061149--0.087261))+0-73.2--0.0373319999999926</f>
        <v>2214.8698400000003</v>
      </c>
      <c r="AA197" s="3">
        <f>2344.1+(38.8-171.7)+(1.195491+(0.019788-0.087567))+0-88.3-0.045032999999991</f>
        <v>2123.9826789999997</v>
      </c>
      <c r="AB197" s="3">
        <f>2339.9+(9.5-191.4)+(-3.580047+(-0.014535--0.292842))+0-80.9--0.123777000000005</f>
        <v>2073.9220369999998</v>
      </c>
      <c r="AC197" s="3">
        <f>2203.4+(15.6-173.3)+(-3.371202+(-0.023868--0.265149))+0-63.4--0.0970020000000037</f>
        <v>1979.267081</v>
      </c>
      <c r="AD197">
        <v>2307.9</v>
      </c>
      <c r="AE197" s="3">
        <f>2416+(169.6-196.7)+(0+(0-0))+0-81-0</f>
        <v>2307.9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1970.1+(107.4-123.9)+(-4.019004+(-0.219096--0.252756))+0-79.5--0.162179999999997</f>
        <v>1870.276836</v>
      </c>
      <c r="G198" s="3">
        <f>1924.6+(100.1-119.6)+(-1.963092+(-0.102102--0.121992))+0-96.5--0.0984300000000154</f>
        <v>1806.755228</v>
      </c>
      <c r="H198" s="3">
        <f>1788.8+(176.2-116.3)+(-0.912288+(-0.089862--0.059313))+0-89.3--0.0455429999999909</f>
        <v>1758.502706</v>
      </c>
      <c r="I198" s="3">
        <f>1775.7+(154.3-115.8)+(-1.811214+(-0.157386--0.118116))+0-81.1--0.0827220000000129</f>
        <v>1731.3322380000002</v>
      </c>
      <c r="J198" s="3">
        <f>1787.4+(162.2-131.5)+(0+(0-0))+0-82-0</f>
        <v>1736.1000000000001</v>
      </c>
      <c r="K198" s="3">
        <f>1781.8+(130-145.8)+(-3.634872+(-0.2652--0.297432))+0-73.7--0.150347999999997</f>
        <v>1688.8477079999998</v>
      </c>
      <c r="L198" s="3">
        <f>1792.8+(139.9-137.9)+(-0.914328+(-0.071349--0.070329))+0-73.1--0.0372809999999926</f>
        <v>1720.8219329999999</v>
      </c>
      <c r="M198" s="3">
        <f>1981.2+(38.5-153.8)+(0+(0-0))+0-22.1-0</f>
        <v>1843.8000000000002</v>
      </c>
      <c r="N198" s="3">
        <f>2202.5+(0-206.4)+(1.123275+(0-0.105264))+0-21.9-0.0111689999999978</f>
        <v>1975.2068419999996</v>
      </c>
      <c r="O198" s="3">
        <f>2273.1+(0-258.3)+(0+(0-0))+0-20.7-0</f>
        <v>1994.1</v>
      </c>
      <c r="P198" s="3">
        <f>2262.8+(5.3-184.7)+(-2.308056+(-0.005406--0.188394))+0-20.5--0.0209100000000033</f>
        <v>2060.7958420000004</v>
      </c>
      <c r="Q198" s="3">
        <f>2257.1+(50.6-169.5)+(-1.151121+(-0.025806--0.086445))+0-21.2--0.0108119999999978</f>
        <v>2115.9203299999999</v>
      </c>
      <c r="R198" s="3">
        <f>2244.6+(53.2-182.6)+(-3.434238+(-0.081396--0.279378))+0-19.9--0.0304470000000011</f>
        <v>2092.0941909999997</v>
      </c>
      <c r="S198" s="3">
        <f>2238.6+(45.1-190.3)+(-2.283372+(-0.046002--0.194106))+0-20.9--0.0213180000000033</f>
        <v>2070.3860500000001</v>
      </c>
      <c r="T198" s="3">
        <f>2248.3+(22.6-215.6)+(-2.293266+(-0.023052--0.219912))+0-21.2--0.0216240000000034</f>
        <v>2032.025218</v>
      </c>
      <c r="U198" s="3">
        <f>2252+(18.1-218.9)+(0+(0-0))+0-40.7-0</f>
        <v>2010.4999999999998</v>
      </c>
      <c r="V198" s="3">
        <f>2270.8+(29.7-181.8)+(-2.316216+(-0.030294--0.185436))+0-61.6--0.0628320000000098</f>
        <v>2055.0017580000003</v>
      </c>
      <c r="W198" s="3">
        <f>2281.5+(183.7-172.8)+(-3.490695+(-0.281061--0.264384))+0-77.6--0.118728000000004</f>
        <v>2211.4113560000001</v>
      </c>
      <c r="X198" s="3">
        <f>2302.3+(219.3-184.5)+(-3.522519+(-0.335529--0.282285))+0-80.2--0.122706000000005</f>
        <v>2253.4469430000008</v>
      </c>
      <c r="Y198" s="3">
        <f>2326.9+(140.6-185)+(-5.933595+(-0.35853--0.47175))+0-60.7--0.154784999999991</f>
        <v>2216.1344100000006</v>
      </c>
      <c r="Z198" s="3">
        <f>2342.7+(56.7-155.5)+(0+(0-0))+0-79.5-0</f>
        <v>2164.3999999999996</v>
      </c>
      <c r="AA198" s="3">
        <f>2337.8+(8.3-197.9)+(-2.384556+(-0.008466--0.201858))+0-87.6--0.089352000000014</f>
        <v>2058.4981880000005</v>
      </c>
      <c r="AB198" s="3">
        <f>2273.4+(0-206.6)+(-5.79717+(0--0.52683))+0-78.1--0.199154999999989</f>
        <v>1983.6288150000003</v>
      </c>
      <c r="AC198" s="3">
        <f>2153.7+(0-222.3)+(0+(0-0))+0-50.2-0</f>
        <v>1881.1999999999998</v>
      </c>
      <c r="AD198">
        <v>2246.9</v>
      </c>
      <c r="AE198" s="3">
        <f>2328+(201.9-189.1)+(0+(0-0))+0-93.9-0</f>
        <v>2246.9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2042.6+(0-184.3)+(-1.041726+(0--0.093993))+0-81.4--0.0415139999999917</f>
        <v>1775.9937809999999</v>
      </c>
      <c r="G199" s="3">
        <f>2036.4+(0-220.4)+(-1.038564+(0--0.112404))+0-100.4--0.0512039999999898</f>
        <v>1714.725044</v>
      </c>
      <c r="H199" s="3">
        <f>1849.9+(36.8-117.9)+(1.886898+(0.037536-0.120258))+0-86.1-0.0878220000000137</f>
        <v>1684.4163540000004</v>
      </c>
      <c r="I199" s="3">
        <f>1713.7+(135.8-108.6)+(-0.873987+(-0.069258--0.055386))+0-82.3--0.0419729999999916</f>
        <v>1657.7541140000003</v>
      </c>
      <c r="J199" s="3">
        <f>1709.3+(139.2-119.4)+(-2.615229+(-0.212976--0.182682))+0-66.3--0.101439000000004</f>
        <v>1660.2559160000001</v>
      </c>
      <c r="K199" s="3">
        <f>1706.2+(149.6-144.8)+(-2.610486+(-0.228888--0.221544))+0-92.7--0.141831000000005</f>
        <v>1615.824001</v>
      </c>
      <c r="L199" s="3">
        <f>1643+(220.4-130.8)+(0+(0-0))+0-88-0</f>
        <v>1644.6</v>
      </c>
      <c r="M199" s="3">
        <f>1933.8+(56.1-139)+(0+(0-0))+0-76.9-0</f>
        <v>1773.9999999999998</v>
      </c>
      <c r="N199" s="3">
        <f>2117.6+(20.1-182.7)+(1.079976+(0.010251-0.093177))+0-66-0.0336599999999933</f>
        <v>1889.9633899999999</v>
      </c>
      <c r="O199" s="3">
        <f>2182.2+(27.1-171)+(-3.338766+(-0.041463--0.26163))+0-79.2--0.121176000000005</f>
        <v>1956.1025769999999</v>
      </c>
      <c r="P199" s="3">
        <f>2317.3+(0-233.9)+(-1.181823+(0--0.119289))+0-71.3--0.0363629999999928</f>
        <v>2011.0738289999999</v>
      </c>
      <c r="Q199" s="3">
        <f>2328.7+(0-212.8)+(-2.375274+(0--0.217056))+0-78.2--0.0797640000000125</f>
        <v>2035.6215459999996</v>
      </c>
      <c r="R199" s="3">
        <f>2313.7+(0-221.4)+(-8.259909+(0--0.790398))+0-81.1--0.289527000000001</f>
        <v>2004.0200159999999</v>
      </c>
      <c r="S199" s="3">
        <f>2318.9+(0-243.9)+(-2.365278+(0--0.248778))+0-81.8--0.083436000000013</f>
        <v>1991.1669360000001</v>
      </c>
      <c r="T199" s="3">
        <f>2302.5+(0-238.3)+(-4.6971+(0--0.486132))+0-86.1--0.175643999999996</f>
        <v>1974.064676</v>
      </c>
      <c r="U199" s="3">
        <f>2275.2+(0-230)+(-1.160352+(0--0.1173))+0-82.8--0.0422279999999916</f>
        <v>1961.3991759999999</v>
      </c>
      <c r="V199" s="3">
        <f>2269.1+(4.7-214.1)+(-3.471723+(-0.007191--0.327573))+0-80.7--0.123471000000005</f>
        <v>1975.9721300000001</v>
      </c>
      <c r="W199" s="3">
        <f>2277.3+(101-168.1)+(1.161423+(0.05151-0.085731))+0-63.5-0.0323849999999936</f>
        <v>2147.7948170000004</v>
      </c>
      <c r="X199" s="3">
        <f>2395.4+(88.9-176.3)+(-2.443308+(-0.090678--0.179826))+0-82--0.0836400000000131</f>
        <v>2223.72948</v>
      </c>
      <c r="Y199" s="3">
        <f>2322.5+(110.2-168.7)+(-3.553425+(-0.168606--0.258111))+0-75.8--0.115974000000004</f>
        <v>2184.8520539999995</v>
      </c>
      <c r="Z199" s="3">
        <f>2358+(35.6-184.3)+(-1.20258+(-0.018156--0.093993))+0-67.2--0.0342719999999932</f>
        <v>2141.0075290000004</v>
      </c>
      <c r="AA199" s="3">
        <f>2343.5+(0-206.4)+(-3.585555+(0--0.315792))+0-85.7--0.131121000000005</f>
        <v>2048.2613580000002</v>
      </c>
      <c r="AB199" s="3">
        <f>2271.6+(0-192.1)+(-4.634064+(0--0.391884))+0-85.2--0.173807999999996</f>
        <v>1990.2316279999998</v>
      </c>
      <c r="AC199" s="3">
        <f>2040.5+(43.5-131)+(-2.08131+(-0.04437--0.13362))+0-77.9--0.0794580000000124</f>
        <v>1873.1873979999998</v>
      </c>
      <c r="AD199">
        <v>2231.6</v>
      </c>
      <c r="AE199" s="3">
        <f>2404+(86.2-173.7)+(0+(0-0))+0-84.9-0</f>
        <v>2231.6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1935.3+(40.8-101.8)+(-3.948012+(-0.083232--0.207672))+0-84.8--0.172991999999996</f>
        <v>1785.84942</v>
      </c>
      <c r="G200" s="3">
        <f>1920.5+(0-115.1)+(-4.897275+(0--0.293505))+0-72--0.18359999999999</f>
        <v>1728.9798300000002</v>
      </c>
      <c r="H200" s="3">
        <f>1838.7+(40.4-100.4)+(-4.688685+(-0.10302--0.25602))+0-77.1--0.196604999999989</f>
        <v>1697.2609200000002</v>
      </c>
      <c r="I200" s="3">
        <f>1814.7+(49-98.4)+(-3.701988+(-0.09996--0.200736))+0-78.3--0.159731999999997</f>
        <v>1683.55852</v>
      </c>
      <c r="J200" s="3">
        <f>1842.9+(36.4-120.3)+(2.819637+(0.055692-0.184059))+0-78.7-0.120411000000005</f>
        <v>1682.8708589999999</v>
      </c>
      <c r="K200" s="3">
        <f>1818+(43-136.9)+(-4.6359+(-0.10965--0.349095))+0-80.6--0.205529999999988</f>
        <v>1639.3090749999999</v>
      </c>
      <c r="L200" s="3">
        <f>1803.1+(88.2-141.4)+(-0.919581+(-0.044982--0.072114))+0-90.4--0.0461039999999908</f>
        <v>1658.6536549999998</v>
      </c>
      <c r="M200" s="3">
        <f>1970.7+(35.3-145.4)+(1.005057+(0.018003-0.074154))+0-69.2-0.035291999999993</f>
        <v>1792.3136140000001</v>
      </c>
      <c r="N200" s="3">
        <f>2240.5+(0-254.2)+(1.142655+(0-0.129642))+0-79.5-0.0405449999999919</f>
        <v>1907.7724679999999</v>
      </c>
      <c r="O200" s="3">
        <f>2389.5+(0-301.2)+(0+(0-0))+0-78.1-0</f>
        <v>2010.2000000000003</v>
      </c>
      <c r="P200" s="3">
        <f>2417.5+(0-294.8)+(0+(0-0))+0-85.3-0</f>
        <v>2037.3999999999999</v>
      </c>
      <c r="Q200" s="3">
        <f>2393.2+(0-269.5)+(-3.661596+(0--0.412335))+0-86.7--0.132651000000005</f>
        <v>2033.8833899999997</v>
      </c>
      <c r="R200" s="3">
        <f>2367+(0-299.9)+(-1.20717+(0--0.152949))+0-69.6--0.0354959999999929</f>
        <v>1996.4812750000001</v>
      </c>
      <c r="S200" s="3">
        <f>2379.2+(0-346.3)+(2.426784+(0-0.353226))+0-82.4-0.0840480000000131</f>
        <v>1952.4895099999999</v>
      </c>
      <c r="T200" s="3">
        <f>2354.7+(0-352.6)+(-2.401794+(0--0.359652))+0-78.9--0.0804780000000126</f>
        <v>1921.2383359999999</v>
      </c>
      <c r="U200" s="3">
        <f>2248.7+(0-268.6)+(-5.734185+(0--0.68493))+0-61.4--0.156569999999991</f>
        <v>1913.807315</v>
      </c>
      <c r="V200" s="3">
        <f>2180+(15-196.5)+(-5.559+(-0.03825--0.501075))+0-70.8--0.18053999999999</f>
        <v>1922.7843650000002</v>
      </c>
      <c r="W200" s="3">
        <f>2288.9+(88.1-155.9)+(-1.167339+(-0.044931--0.079509))+0-84.7--0.0431969999999914</f>
        <v>2135.3104360000002</v>
      </c>
      <c r="X200" s="3">
        <f>2341.9+(86.7-165.5)+(-1.194369+(-0.044217--0.084405))+0-83.5--0.0425849999999915</f>
        <v>2178.4884040000002</v>
      </c>
      <c r="Y200" s="3">
        <f>2288+(102.1-158.8)+(-8.16816+(-0.364497--0.566916))+0-85.4--0.304878000000001</f>
        <v>2138.239137</v>
      </c>
      <c r="Z200" s="3">
        <f>2233.6+(91.2-142.8)+(-4.556544+(-0.186048--0.291312))+0-87.3--0.178091999999996</f>
        <v>2090.4268119999997</v>
      </c>
      <c r="AA200" s="3">
        <f>2177.7+(53.7-135.8)+(-5.553135+(-0.136935--0.34629))+0-81.6--0.208079999999988</f>
        <v>2008.8642999999997</v>
      </c>
      <c r="AB200" s="3">
        <f>2086.2+(62.6-115.4)+(-3.191886+(-0.095778--0.176562))+0-72.8--0.111384000000004</f>
        <v>1957.6002819999999</v>
      </c>
      <c r="AC200" s="3">
        <f>1946.5+(114.4-105)+(-2.978145+(-0.175032--0.16065))+0-82.2--0.125766000000005</f>
        <v>1870.833239</v>
      </c>
      <c r="AD200">
        <v>2163.8999999999996</v>
      </c>
      <c r="AE200" s="3">
        <f>2353+(84.6-170.8)+(0+(0-0))+0-102.9-0</f>
        <v>2163.9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1921.8+(41.8-101.3)+(1.960236+(0.042636-0.103326))+0-76.5-0.0780300000000122</f>
        <v>1787.6215160000002</v>
      </c>
      <c r="G201" s="3">
        <f>1884.3+(21.4-112.6)+(0+(0-0))+0-56.3-0</f>
        <v>1736.8</v>
      </c>
      <c r="H201" s="3">
        <f>1854.4+(26.9-101.7)+(-1.891488+(-0.027438--0.103734))+0-91.9--0.0937380000000147</f>
        <v>1685.9785460000001</v>
      </c>
      <c r="I201" s="3">
        <f>1804.2+(32.2-100.9)+(0.920142+(0.016422-0.051459))+0-70.5-0.0359549999999928</f>
        <v>1665.84915</v>
      </c>
      <c r="J201" s="3">
        <f>1766.2+(70.3-105.7)+(0.900762+(0.035853-0.053907))+0-83.9-0.0427889999999915</f>
        <v>1647.7399189999999</v>
      </c>
      <c r="K201" s="3">
        <f>1735.4+(64.1-134.6)+(-0.885054+(-0.032691--0.068646))+0-84.8--0.0432479999999914</f>
        <v>1579.2941490000001</v>
      </c>
      <c r="L201" s="3">
        <f>1584.2+(157.3-128.2)+(0+(0-0))+0-74.6-0</f>
        <v>1538.7000000000003</v>
      </c>
      <c r="M201" s="3">
        <f>1678.9+(127.6-131.8)+(0+(0-0))+0-90.1-0</f>
        <v>1584.6000000000001</v>
      </c>
      <c r="N201" s="3">
        <f>1887+(19.6-150.5)+(-5.77422+(-0.059976--0.46053))+0-76.7--0.234702000000009</f>
        <v>1674.2610359999999</v>
      </c>
      <c r="O201" s="3">
        <f>1906.9+(32.9-154.2)+(-0.972519+(-0.016779--0.078642))+0-80.3--0.0409529999999919</f>
        <v>1704.4302970000001</v>
      </c>
      <c r="P201" s="3">
        <f>2068.3+(0-215.2)+(-2.109666+(0--0.219504))+0-88--0.089760000000014</f>
        <v>1763.2995980000003</v>
      </c>
      <c r="Q201" s="3">
        <f>2087.4+(0-227.6)+(-2.129148+(0--0.232152))+0-79.6--0.0811920000000127</f>
        <v>1778.3841960000004</v>
      </c>
      <c r="R201" s="3">
        <f>2070.3+(0-208.9)+(-4.223412+(0--0.426156))+0-82.1--0.167483999999996</f>
        <v>1775.6702280000002</v>
      </c>
      <c r="S201" s="3">
        <f>2044.4+(0-200)+(-2.085288+(0--0.204))+0-88.1--0.089862000000014</f>
        <v>1754.5085740000002</v>
      </c>
      <c r="T201" s="3">
        <f>2033.9+(0-208.5)+(-2.074578+(0--0.21267))+0-85.8--0.0875160000000137</f>
        <v>1737.8256080000001</v>
      </c>
      <c r="U201" s="3">
        <f>1969.5+(8.4-166.9)+(-6.02667+(-0.025704--0.510714))+0-84--0.25704000000001</f>
        <v>1721.7153799999999</v>
      </c>
      <c r="V201" s="3">
        <f>1971.3+(15.7-176.2)+(-4.021452+(-0.032028--0.359448))+0-70.7--0.144227999999997</f>
        <v>1736.5501959999997</v>
      </c>
      <c r="W201" s="3">
        <f>2032.2+(144.1-160.9)+(-3.109266+(-0.220473--0.246177))+0-79.4--0.121482000000005</f>
        <v>1933.03792</v>
      </c>
      <c r="X201" s="3">
        <f>2229.2+(48.4-173)+(-6.821352+(-0.148104--0.52938))+0-73.1--0.223686000000008</f>
        <v>2025.2836100000002</v>
      </c>
      <c r="Y201" s="3">
        <f>2204.8+(50.4-160.4)+(-5.62224+(-0.12852--0.40902))+0-88.3--0.225164999999987</f>
        <v>2001.3834250000004</v>
      </c>
      <c r="Z201" s="3">
        <f>2209.2+(33.2-163.5)+(-4.506768+(-0.067728--0.33354))+0-75.1--0.153203999999997</f>
        <v>1999.7122479999996</v>
      </c>
      <c r="AA201" s="3">
        <f>2209.4+(0-178.6)+(-4.507176+(0--0.364344))+0-84.9--0.173195999999996</f>
        <v>1941.9303640000001</v>
      </c>
      <c r="AB201" s="3">
        <f>2221.7+(0-234.3)+(0+(0-0))+0-88.3-0</f>
        <v>1899.1</v>
      </c>
      <c r="AC201" s="3">
        <f>2026.8+(0-170.4)+(-5.16834+(0--0.43452))+0-57.9--0.147644999999992</f>
        <v>1793.9138249999999</v>
      </c>
      <c r="AD201">
        <v>2031.6999999999998</v>
      </c>
      <c r="AE201" s="3">
        <f>2253+(14.2-213.6)+(0+(0-0))+0-21.9-0</f>
        <v>2031.6999999999998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1877.3+(31.4-106.5)+(-3.829692+(-0.064056--0.21726))+0-91.7--0.187067999999996</f>
        <v>1707.0105799999999</v>
      </c>
      <c r="G202" s="3">
        <f>1865.6+(10.8-126.2)+(-3.805824+(-0.022032--0.257448))+0-83.5--0.170339999999996</f>
        <v>1663.2999319999997</v>
      </c>
      <c r="H202" s="3">
        <f>1737.5+(66.4-85.9)+(-0.886125+(-0.033864--0.043809))+0-81.2--0.0414119999999918</f>
        <v>1635.965232</v>
      </c>
      <c r="I202" s="3">
        <f>1625.5+(146.6-86.1)+(-1.65801+(-0.149532--0.087822))+0-74.2--0.0756840000000118</f>
        <v>1610.1559639999998</v>
      </c>
      <c r="J202" s="3">
        <f>1627.9+(159.2-103.2)+(0+(0-0))+0-75.4-0</f>
        <v>1608.5</v>
      </c>
      <c r="K202" s="3">
        <f>1622.2+(162.9-137.2)+(0.827322+(0.083079-0.069972))+0-74.8-0.0381479999999924</f>
        <v>1573.9022810000001</v>
      </c>
      <c r="L202" s="3">
        <f>1538.6+(289.6-130.6)+(0.784686+(0.147696-0.066606))+0-80.2-0.0409019999999919</f>
        <v>1618.224874</v>
      </c>
      <c r="M202" s="3">
        <f>1910.6+(60.1-133.4)+(-0.974406+(-0.030651--0.068034))+0-96.6--0.0492659999999902</f>
        <v>1739.8122430000001</v>
      </c>
      <c r="N202" s="3">
        <f>2100.5+(10.3-171.7)+(-1.071255+(-0.005253--0.087567))+0-63--0.0321299999999936</f>
        <v>1875.1431889999999</v>
      </c>
      <c r="O202" s="3">
        <f>2247.7+(0-227.2)+(-2.292654+(0--0.231744))+0-69.8--0.0711960000000111</f>
        <v>1948.710286</v>
      </c>
      <c r="P202" s="3">
        <f>2431.5+(0-338.3)+(0+(0-0))+0-84-0</f>
        <v>2009.1999999999998</v>
      </c>
      <c r="Q202" s="3">
        <f>2480.9+(0-381.7)+(-3.795777+(0--0.584001))+0-80.8--0.123624000000005</f>
        <v>2015.3118480000003</v>
      </c>
      <c r="R202" s="3">
        <f>2511.1+(0-422.7)+(-6.403305+(0--1.077885))+0-87.8--0.223889999999987</f>
        <v>1995.49847</v>
      </c>
      <c r="S202" s="3">
        <f>2527+(0-467)+(-3.86631+(0--0.71451))+0-77.8--0.119034000000004</f>
        <v>1979.167234</v>
      </c>
      <c r="T202" s="3">
        <f>2538.1+(0-494)+(0+(0-0))+0-80.7-0</f>
        <v>1963.3999999999999</v>
      </c>
      <c r="U202" s="3">
        <f>2523.2+(0-496)+(-2.573664+(0--0.50592))+0-72.1--0.0735420000000115</f>
        <v>1953.105798</v>
      </c>
      <c r="V202" s="3">
        <f>2405.7+(0-345.9)+(-3.680721+(0--0.529227))+0-90--0.137700000000005</f>
        <v>1966.7862059999995</v>
      </c>
      <c r="W202" s="3">
        <f>2529.1+(0-281.1)+(-1.289841+(0--0.143361))+0-86.2--0.0439619999999913</f>
        <v>2160.6974820000005</v>
      </c>
      <c r="X202" s="3">
        <f>2754.8+(0-448.5)+(-7.02474+(0--1.143675))+0-75.6--0.192779999999989</f>
        <v>2225.0117150000001</v>
      </c>
      <c r="Y202" s="3">
        <f>2651.1+(0-404.1)+(-5.408244+(0--0.824364))+0-73.4--0.149735999999997</f>
        <v>2169.1658559999996</v>
      </c>
      <c r="Z202" s="3">
        <f>2662.2+(0-454.8)+(-1.357722+(0--0.231948))+0-83.8--0.0427379999999915</f>
        <v>2122.5169639999995</v>
      </c>
      <c r="AA202" s="3">
        <f>2618.1+(0-501)+(-6.676155+(0--1.27755))+0-66.5--0.16957499999999</f>
        <v>2045.3709699999999</v>
      </c>
      <c r="AB202" s="3">
        <f>2574.1+(0-489.8)+(-5.251164+(0--0.999192))+0-89--0.181559999999996</f>
        <v>1991.2295879999997</v>
      </c>
      <c r="AC202" s="3">
        <f>2568.7+(0-562.4)+(-6.550185+(0--1.43412))+0-93.1--0.237404999999986</f>
        <v>1908.32134</v>
      </c>
      <c r="AD202">
        <v>2229</v>
      </c>
      <c r="AE202" s="3">
        <f>2805+(0-478.5)+(0+(0-0))+0-97.5-0</f>
        <v>2229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2397.4+(0-503.6)+(-1.222674+(0--0.256836))+0-77.7--0.0396269999999921</f>
        <v>1815.1737889999999</v>
      </c>
      <c r="G203" s="3">
        <f>2086.9+(0-259.4)+(-5.321595+(0--0.66147))+0-83.7--0.213434999999988</f>
        <v>1739.3533099999997</v>
      </c>
      <c r="H203" s="3">
        <f>1838.6+(30.3-91.1)+(-0.937686+(-0.015453--0.046461))+0-83.9--0.0427889999999915</f>
        <v>1693.0361109999999</v>
      </c>
      <c r="I203" s="3">
        <f>1832.9+(11.2-93.4)+(-0.934779+(-0.005712--0.047634))+0-87.6--0.0446759999999911</f>
        <v>1662.2518190000001</v>
      </c>
      <c r="J203" s="3">
        <f>1833.2+(17.5-104.8)+(-1.869864+(-0.01785--0.106896))+0-81.6--0.083232000000013</f>
        <v>1662.6024140000002</v>
      </c>
      <c r="K203" s="3">
        <f>1830.4+(20.2-136.1)+(-2.800512+(-0.030906--0.208233))+0-86.6--0.132498000000005</f>
        <v>1625.4093130000001</v>
      </c>
      <c r="L203" s="3">
        <f>1816+(22.4-130.7)+(-0.92616+(-0.011424--0.066657))+0-80.5--0.0410549999999918</f>
        <v>1626.370128</v>
      </c>
      <c r="M203" s="3">
        <f>1958.2+(0-165.9)+(-0.998682+(0--0.084609))+0-72.1--0.0367709999999927</f>
        <v>1719.3226980000002</v>
      </c>
      <c r="N203" s="3">
        <f>2145.2+(0-217.8)+(2.188104+(0-0.222156))+0-90.9-0.0927180000000145</f>
        <v>1838.3732299999997</v>
      </c>
      <c r="O203" s="3">
        <f>2306.5+(0-298)+(-2.35263+(0--0.30396))+0-86.5--0.0882300000000138</f>
        <v>1920.0395600000002</v>
      </c>
      <c r="P203" s="3">
        <f>2463.9+(0-410.1)+(-1.256589+(0--0.209151))+0-79.7--0.0406469999999919</f>
        <v>1973.0932090000001</v>
      </c>
      <c r="Q203" s="3">
        <f>2506.2+(0-438.2)+(-2.556324+(0--0.446964))+0-78.3--0.0798660000000125</f>
        <v>1987.6705060000002</v>
      </c>
      <c r="R203" s="3">
        <f>2489.8+(0-479.5)+(-3.809394+(0--0.733635))+0-80.2--0.122706000000005</f>
        <v>1927.1469470000002</v>
      </c>
      <c r="S203" s="3">
        <f>2500.2+(0-516.4)+(-5.100408+(0--1.053456))+0-79.1--0.161363999999997</f>
        <v>1900.8144119999999</v>
      </c>
      <c r="T203" s="3">
        <f>2522.4+(0-539.5)+(-1.286424+(0--0.275145))+0-89.8--0.0457979999999909</f>
        <v>1892.1345190000002</v>
      </c>
      <c r="U203" s="3">
        <f>2434.1+(0-488.8)+(-6.206955+(0--1.24644))+0-67--0.17084999999999</f>
        <v>1873.5103349999999</v>
      </c>
      <c r="V203" s="3">
        <f>2207.2+(0-295.3)+(-3.377016+(0--0.451809))+0-28.7--0.0439110000000017</f>
        <v>1880.3187039999998</v>
      </c>
      <c r="W203" s="3">
        <f>2365.1+(0-180.9)+(1.206201+(0-0.092259))+0-92.6-0.0472259999999906</f>
        <v>2092.6667159999997</v>
      </c>
      <c r="X203" s="3">
        <f>2695.8+(0-424.2)+(-2.749716+(0--0.432684))+0-89.5--0.0912900000000143</f>
        <v>2179.8742580000003</v>
      </c>
      <c r="Y203" s="3">
        <f>2618.8+(0-385.5)+(-5.342352+(0--0.78642))+0-87--0.177479999999996</f>
        <v>2141.9215479999998</v>
      </c>
      <c r="Z203" s="3">
        <f>2506.2+(0-320.5)+(-5.112648+(0--0.65382))+0-84--0.171359999999996</f>
        <v>2097.4125319999998</v>
      </c>
      <c r="AA203" s="3">
        <f>2378.9+(0-287.3)+(-2.426478+(0--0.293046))+0-76--0.0775200000000121</f>
        <v>2013.5440879999999</v>
      </c>
      <c r="AB203" s="3">
        <f>2268.2+(0-233.7)+(-2.313564+(0--0.238374))+0-85--0.0867000000000136</f>
        <v>1947.5115099999998</v>
      </c>
      <c r="AC203" s="3">
        <f>1830.6+(209.5-97.5)+(-4.66803+(-0.534225--0.248625))+0-97.9--0.249644999999986</f>
        <v>1839.9960149999997</v>
      </c>
      <c r="AD203">
        <v>2192.1999999999998</v>
      </c>
      <c r="AE203" s="3">
        <f>2718+(0-425.8)+(0+(0-0))+0-100-0</f>
        <v>2192.1999999999998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1837.9+(96.3-101.6)+(-1.874658+(-0.098226--0.103632))+0-62.1--0.0633420000000099</f>
        <v>1768.6940900000002</v>
      </c>
      <c r="G204" s="3">
        <f>1873.9+(33.3-94.5)+(-2.867067+(-0.050949--0.144585))+0-92.1--0.140913000000005</f>
        <v>1717.967482</v>
      </c>
      <c r="H204" s="3">
        <f>1843.3+(24.8-90.8)+(0+(0-0))+0-87.1-0</f>
        <v>1690.2</v>
      </c>
      <c r="I204" s="3">
        <f>1771.3+(84.1-90.8)+(0+(0-0))+0-95-0</f>
        <v>1669.6</v>
      </c>
      <c r="J204" s="3">
        <f>1764.4+(69.5-105.2)+(-2.699532+(-0.106335--0.160956))+0-69--0.105570000000004</f>
        <v>1657.1606589999999</v>
      </c>
      <c r="K204" s="3">
        <f>1772+(62.2-135.2)+(0.90372+(0.031722-0.068952))+0-81.5-0.0415649999999917</f>
        <v>1618.3249250000001</v>
      </c>
      <c r="L204" s="3">
        <f>1763.2+(112.1-130.9)+(0+(0-0))+0-89.6-0</f>
        <v>1654.8000000000002</v>
      </c>
      <c r="M204" s="3">
        <f>2032+(0-175.6)+(-2.07264+(0--0.179112))+0-87.4--0.0891480000000139</f>
        <v>1767.19562</v>
      </c>
      <c r="N204" s="3">
        <f>2281.3+(0-287.2)+(3.490389+(0-0.439416))+0-90.2-0.138006000000005</f>
        <v>1906.8129670000003</v>
      </c>
      <c r="O204" s="3">
        <f>2441.8+(0-351.8)+(-3.735954+(0--0.538254))+0-68.2--0.104346000000004</f>
        <v>2018.7066459999999</v>
      </c>
      <c r="P204" s="3">
        <f>2431.4+(0-302)+(-4.960056+(0--0.61608))+0-72.5--0.147899999999997</f>
        <v>2052.7039239999999</v>
      </c>
      <c r="Q204" s="3">
        <f>2398.2+(0-275.5)+(-4.892328+(0--0.56202))+0-84.8--0.172991999999996</f>
        <v>2033.7426839999998</v>
      </c>
      <c r="R204" s="3">
        <f>2388+(0-318.8)+(-6.0894+(0--0.81294))+0-76.8--0.195839999999989</f>
        <v>1987.3193799999999</v>
      </c>
      <c r="S204" s="3">
        <f>2414.2+(0-372)+(1.231242+(0-0.18972))+0-57.6-0.0293759999999942</f>
        <v>1985.6121459999999</v>
      </c>
      <c r="T204" s="3">
        <f>2402.4+(0-334.1)+(-4.900896+(0--0.681564))+0-93.6--0.190943999999996</f>
        <v>1970.6716120000001</v>
      </c>
      <c r="U204" s="3">
        <f>2331.3+(0-279.5)+(-5.944815+(0--0.712725))+0-89.6--0.228479999999987</f>
        <v>1957.1963900000003</v>
      </c>
      <c r="V204" s="3">
        <f>2111.5+(78.2-145.9)+(-3.230595+(-0.119646--0.223227))+0-89.8--0.137394000000005</f>
        <v>1951.0103800000002</v>
      </c>
      <c r="W204" s="3">
        <f>2313.6+(111.6-159.1)+(2.359872+(0.113832-0.162282))+0-91.3-0.0931260000000146</f>
        <v>2177.0182959999997</v>
      </c>
      <c r="X204" s="3">
        <f>2593.5+(0-256)+(-6.613425+(0--0.6528))+0-93.3--0.237914999999986</f>
        <v>2238.4772899999998</v>
      </c>
      <c r="Y204" s="3">
        <f>2489.6+(0-185.8)+(-2.539392+(0--0.189516))+0-91.7--0.0935340000000146</f>
        <v>2209.8436579999998</v>
      </c>
      <c r="Z204" s="3">
        <f>2375.5+(17-138.8)+(-3.634515+(-0.02601--0.212364))+0-89--0.136170000000005</f>
        <v>2161.3880090000002</v>
      </c>
      <c r="AA204" s="3">
        <f>2241.6+(40-121.6)+(-4.572864+(-0.0816--0.248064))+0-94.2--0.192167999999996</f>
        <v>2061.5857680000004</v>
      </c>
      <c r="AB204" s="3">
        <f>2162.7+(26.1-111.3)+(0+(0-0))+0-91.5-0</f>
        <v>1986</v>
      </c>
      <c r="AC204" s="3">
        <f>2107.9+(0-121.2)+(-4.300116+(0--0.247248))+0-83.8--0.170951999999996</f>
        <v>1899.018084</v>
      </c>
      <c r="AD204">
        <v>2243.3000000000002</v>
      </c>
      <c r="AE204" s="3">
        <f>2596+(0-323.2)+(0+(0-0))+0-29.5-0</f>
        <v>2243.3000000000002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2126.6+(0-253.7)+(0+(0-0))+0-72.4-0</f>
        <v>1800.4999999999998</v>
      </c>
      <c r="G205" s="3">
        <f>2043.6+(0-206.2)+(-3.126708+(0--0.315486))+0-93.6--0.143208000000005</f>
        <v>1741.1319859999999</v>
      </c>
      <c r="H205" s="3">
        <f>1975.7+(0-166.2)+(2.015214+(0-0.169524))+0-99.5-0.101490000000016</f>
        <v>1711.7442000000001</v>
      </c>
      <c r="I205" s="3">
        <f>1948.7+(0-185.7)+(-2.981511+(0--0.284121))+0-93.1--0.142443000000005</f>
        <v>1667.345053</v>
      </c>
      <c r="J205" s="3">
        <f>1962.8+(0-193.1)+(0+(0-0))+0-84.9-0</f>
        <v>1684.8</v>
      </c>
      <c r="K205" s="3">
        <f>1942.7+(0-203.8)+(-2.972331+(0--0.311814))+0-91.6--0.140148000000005</f>
        <v>1644.7796310000001</v>
      </c>
      <c r="L205" s="3">
        <f>1831.5+(15.7-142.5)+(-1.86813+(-0.016014--0.14535))+0-41.9--0.0427380000000067</f>
        <v>1661.103944</v>
      </c>
      <c r="M205" s="3">
        <f>1965+(0-156.2)+(2.0043+(0-0.159324))+0-28.5-0.0290700000000045</f>
        <v>1782.115906</v>
      </c>
      <c r="N205" s="3">
        <f>2192.3+(0-244.1)+(-1.118073+(0--0.124491))+0-29--0.0147899999999971</f>
        <v>1918.2212080000002</v>
      </c>
      <c r="O205" s="3">
        <f>2460.7+(0-416.6)+(0+(0-0))+0-28-0</f>
        <v>2016.1</v>
      </c>
      <c r="P205" s="3">
        <f>2510.7+(0-439.6)+(-1.280457+(0--0.224196))+0-24.5--0.0124949999999975</f>
        <v>2045.5562339999997</v>
      </c>
      <c r="Q205" s="3">
        <f>2623.1+(0-513.9)+(-4.013343+(0--0.786267))+0-26.6--0.0406980000000015</f>
        <v>2079.4136219999996</v>
      </c>
      <c r="R205" s="3">
        <f>2595.9+(0-498.7)+(-5.295636+(0--1.017348))+0-68.6--0.139943999999997</f>
        <v>2024.4616560000004</v>
      </c>
      <c r="S205" s="3">
        <f>2597.7+(0-499.4)+(-2.649654+(0--0.509388))+0-86.8--0.0885360000000138</f>
        <v>2009.4482699999999</v>
      </c>
      <c r="T205" s="3">
        <f>2591.9+(0-500.6)+(-2.643738+(0--0.510612))+0-89.4--0.0911880000000143</f>
        <v>1999.858062</v>
      </c>
      <c r="U205" s="3">
        <f>2558.7+(0-476.5)+(-5.219748+(0--0.97206))+0-87.6--0.178703999999996</f>
        <v>1990.5310159999999</v>
      </c>
      <c r="V205" s="3">
        <f>2519.7+(0-422.4)+(-3.855141+(0--0.646272))+0-86.1--0.131733000000005</f>
        <v>2008.1228639999997</v>
      </c>
      <c r="W205" s="3">
        <f>2576.8+(0-286.2)+(0+(0-0))+0-74.2-0</f>
        <v>2216.4000000000005</v>
      </c>
      <c r="X205" s="3">
        <f>2626.6+(0-282.7)+(-4.018698+(0--0.432531))+0-91.6--0.140148000000005</f>
        <v>2248.8539810000002</v>
      </c>
      <c r="Y205" s="3">
        <f>2634.6+(0-334)+(-2.687292+(0--0.34068))+0-79.8--0.0813960000000127</f>
        <v>2218.5347839999999</v>
      </c>
      <c r="Z205" s="3">
        <f>2632.1+(0-370.3)+(-5.369484+(0--0.755412))+0-87.1--0.177683999999996</f>
        <v>2170.2636119999997</v>
      </c>
      <c r="AA205" s="3">
        <f>2528.8+(0-359.5)+(-3.869064+(0--0.550035))+0-89.2--0.136476000000005</f>
        <v>2076.9174470000007</v>
      </c>
      <c r="AB205" s="3">
        <f>2369.4+(0-273.9)+(-6.04197+(0--0.698445))+0-86.4--0.220319999999987</f>
        <v>2003.9767949999996</v>
      </c>
      <c r="AC205" s="3">
        <f>2294.7+(0-311.1)+(-5.851485+(0--0.793305))+0-83.1--0.211904999999988</f>
        <v>1895.6537249999999</v>
      </c>
      <c r="AD205">
        <v>2246</v>
      </c>
      <c r="AE205" s="3">
        <f>2628+(0-275.8)+(0+(0-0))+0-106.2-0</f>
        <v>2246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2345.5+(0-445.6)+(-4.78482+(0--0.909024))+0-90.4--0.184415999999996</f>
        <v>1805.80862</v>
      </c>
      <c r="G206" s="3">
        <f>2259+(0-415.2)+(-3.45627+(0--0.635256))+0-85.9--0.131427000000005</f>
        <v>1755.2104129999998</v>
      </c>
      <c r="H206" s="3">
        <f>2108.9+(0-298.8)+(-3.226617+(0--0.457164))+0-92.3--0.141219000000005</f>
        <v>1715.1717660000002</v>
      </c>
      <c r="I206" s="3">
        <f>2045.4+(0-248.5)+(-3.129462+(0--0.380205))+0-92.7--0.141831000000005</f>
        <v>1701.592574</v>
      </c>
      <c r="J206" s="3">
        <f>2086.6+(0-296.9)+(2.128332+(0-0.302838))+0-79.6-0.0811920000000127</f>
        <v>1711.8443019999997</v>
      </c>
      <c r="K206" s="3">
        <f>2021.5+(0-249.7)+(-2.06193+(0--0.254694))+0-91.8--0.0936360000000146</f>
        <v>1678.2864</v>
      </c>
      <c r="L206" s="3">
        <f>1910+(10.7-141.1)+(-1.9482+(-0.010914--0.143922))+0-78.9--0.0804780000000126</f>
        <v>1698.9652859999999</v>
      </c>
      <c r="M206" s="3">
        <f>2162+(0-266.8)+(1.10262+(0-0.136068))+0-68.4-0.0348839999999931</f>
        <v>1827.7316680000001</v>
      </c>
      <c r="N206" s="3">
        <f>2438.9+(0-393.7)+(0+(0-0))+0-85.5-0</f>
        <v>1959.7</v>
      </c>
      <c r="O206" s="3">
        <f>2571.6+(0-437.4)+(-1.311516+(0--0.223074))+0-94.6--0.0482459999999904</f>
        <v>2038.5598039999998</v>
      </c>
      <c r="P206" s="3">
        <f>2638.5+(0-465.7)+(-2.69127+(0--0.475014))+0-98.3--0.100266000000016</f>
        <v>2072.3840099999998</v>
      </c>
      <c r="Q206" s="3">
        <f>2633.8+(0-453.9)+(-2.686476+(0--0.462978))+0-78.9--0.0804780000000126</f>
        <v>2098.85698</v>
      </c>
      <c r="R206" s="3">
        <f>2523+(0-370.7)+(-6.43365+(0--0.945285))+0-82.9--0.211394999999988</f>
        <v>2064.1230299999997</v>
      </c>
      <c r="S206" s="3">
        <f>2490.5+(0-357.3)+(-1.270155+(0--0.182223))+0-94.5--0.0481949999999904</f>
        <v>2037.660263</v>
      </c>
      <c r="T206" s="3">
        <f>2586.4+(0-479)+(-3.957192+(0--0.73287))+0-77.9--0.119187000000005</f>
        <v>2026.394865</v>
      </c>
      <c r="U206" s="3">
        <f>2453.4+(0-355.5)+(-5.004936+(0--0.72522))+0-79.4--0.161975999999997</f>
        <v>2014.3822600000001</v>
      </c>
      <c r="V206" s="3">
        <f>2361.2+(0-251.7)+(-3.612636+(0--0.385101))+0-71.7--0.109701000000004</f>
        <v>2034.6821660000001</v>
      </c>
      <c r="W206" s="3">
        <f>2507.2+(5.9-189.2)+(-1.278672+(-0.003009--0.096492))+0-71.2--0.0363119999999928</f>
        <v>2251.5511230000002</v>
      </c>
      <c r="X206" s="3">
        <f>2673+(0-310.6)+(0+(0-0))+0-81.9-0</f>
        <v>2280.5</v>
      </c>
      <c r="Y206" s="3">
        <f>2675.2+(0-351.6)+(-6.82176+(0--0.89658))+0-74.2--0.189209999999989</f>
        <v>2243.6640299999999</v>
      </c>
      <c r="Z206" s="3">
        <f>2542.7+(0-279.3)+(-1.296777+(0--0.142443))+0-95--0.0484499999999904</f>
        <v>2167.2941159999996</v>
      </c>
      <c r="AA206" s="3">
        <f>2374.2+(0-179.9)+(-4.843368+(0--0.366996))+0-90--0.183599999999996</f>
        <v>2100.0072279999995</v>
      </c>
      <c r="AB206" s="3">
        <f>2289.2+(0-203)+(-3.502476+(0--0.31059))+0-56.9--0.0870570000000033</f>
        <v>2026.1951709999996</v>
      </c>
      <c r="AC206" s="3">
        <f>2245.1+(0-238.8)+(-5.725005+(0--0.60894))+0-74--0.188699999999989</f>
        <v>1927.3726349999999</v>
      </c>
      <c r="AD206">
        <v>2288.7000000000003</v>
      </c>
      <c r="AE206" s="3">
        <f>2684+(0-303.2)+(0+(0-0))+0-92.1-0</f>
        <v>2288.7000000000003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2084.1+(0-228.2)+(0+(0-0))+0-44.9-0</f>
        <v>1810.9999999999998</v>
      </c>
      <c r="G207" s="3">
        <f>2010.4+(0-171)+(0+(0-0))+0-85.8-0</f>
        <v>1753.6000000000001</v>
      </c>
      <c r="H207" s="3">
        <f>1989.8+(0-187.4)+(1.014798+(0-0.095574))+0-82.3-0.0419729999999916</f>
        <v>1720.9772509999998</v>
      </c>
      <c r="I207" s="3">
        <f>1950.9+(0-151.5)+(-1.989918+(0--0.15453))+0-94--0.095880000000015</f>
        <v>1703.6604920000002</v>
      </c>
      <c r="J207" s="3">
        <f>1943.3+(0-153.4)+(0+(0-0))+0-80.1-0</f>
        <v>1709.8</v>
      </c>
      <c r="K207" s="3">
        <f>1850.9+(13.7-148.6)+(-4.719795+(-0.034935--0.37893))+0-53--0.135149999999992</f>
        <v>1658.75935</v>
      </c>
      <c r="L207" s="3">
        <f>1782.8+(104.2-125.1)+(-1.818456+(-0.106284--0.127602))+0-92.5--0.0943500000000148</f>
        <v>1667.697212</v>
      </c>
      <c r="M207" s="3">
        <f>1957.3+(44.8-128.3)+(2.994669+(0.068544-0.196299))+0-84.3-0.128979000000005</f>
        <v>1792.2379349999999</v>
      </c>
      <c r="N207" s="3">
        <f>2194.4+(0-210.9)+(0+(0-0))+0-56.9-0</f>
        <v>1926.6</v>
      </c>
      <c r="O207" s="3">
        <f>2390+(0-294.8)+(-2.4378+(0--0.300696))+0-78.3--0.0798660000000125</f>
        <v>2014.842762</v>
      </c>
      <c r="P207" s="3">
        <f>2446.5+(0-315.4)+(2.49543+(0-0.321708))+0-81.4-0.083028000000013</f>
        <v>2051.7906939999998</v>
      </c>
      <c r="Q207" s="3">
        <f>2474.4+(0-405.7)+(-3.785832+(0--0.620721))+0-24.7--0.0377910000000014</f>
        <v>2040.8726800000004</v>
      </c>
      <c r="R207" s="3">
        <f>2475.4+(0-399.5)+(-1.262454+(0--0.203745))+0-73.9--0.0376889999999925</f>
        <v>2000.9789800000001</v>
      </c>
      <c r="S207" s="3">
        <f>2477.6+(0-440.8)+(2.527152+(0-0.449616))+0-63.3-0.0645660000000101</f>
        <v>1975.51297</v>
      </c>
      <c r="T207" s="3">
        <f>2474+(0-450.2)+(1.26174+(0-0.229602))+0-82.9-0.0422789999999916</f>
        <v>1941.8898589999999</v>
      </c>
      <c r="U207" s="3">
        <f>2431.9+(0-439.2)+(-6.201345+(0--1.11996))+0-78.1--0.199154999999989</f>
        <v>1909.7177700000002</v>
      </c>
      <c r="V207" s="3">
        <f>2333.4+(0-341.4)+(-1.190034+(0--0.174114))+0-71.7--0.0365669999999927</f>
        <v>1919.320647</v>
      </c>
      <c r="W207" s="3">
        <f>2433.7+(4-193.6)+(0+(0-0))+0-83.4-0</f>
        <v>2160.6999999999998</v>
      </c>
      <c r="X207" s="3">
        <f>2525+(0-247.2)+(-3.86325+(0--0.378216))+0-73.8--0.112914000000004</f>
        <v>2200.62788</v>
      </c>
      <c r="Y207" s="3">
        <f>2504.6+(0-266.6)+(-5.109384+(0--0.543864))+0-71.2--0.145247999999997</f>
        <v>2162.3797279999999</v>
      </c>
      <c r="Z207" s="3">
        <f>2427+(68.5-295.3)+(-6.18885+(-0.174675--0.753015))+0-77.5--0.197624999999989</f>
        <v>2117.2871149999996</v>
      </c>
      <c r="AA207" s="3">
        <f>2314+(136.4-304.7)+(-2.36028+(-0.139128--0.310794))+0-85.7--0.0874140000000137</f>
        <v>2057.8987999999999</v>
      </c>
      <c r="AB207" s="3">
        <f>2309.9+(118.8-363.7)+(-1.178049+(-0.060588--0.185487))+0-62.3--0.0317729999999937</f>
        <v>2001.6786229999998</v>
      </c>
      <c r="AC207" s="3">
        <f>2313.2+(116.6-405.8)+(-1.179732+(-0.059466--0.206958))+0-96.1--0.0490109999999903</f>
        <v>1926.9167709999999</v>
      </c>
      <c r="AD207">
        <v>2200.9</v>
      </c>
      <c r="AE207" s="3">
        <f>2517+(0-218.9)+(0+(0-0))+0-97.2-0</f>
        <v>2200.9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2216.4+(124.6-435.6)+(0+(0-0))+0-74.5-0</f>
        <v>1830.9</v>
      </c>
      <c r="G208" s="3">
        <f>2195.4+(124.3-471.2)+(0+(0-0))+0-79.7-0</f>
        <v>1768.8</v>
      </c>
      <c r="H208" s="3">
        <f>2069.5+(102-377.6)+(1.055445+(0.05202-0.192576))+0-81.6-0.0416159999999917</f>
        <v>1713.1732730000001</v>
      </c>
      <c r="I208" s="3">
        <f>1933.4+(110-304.9)+(0+(0-0))+0-59.1-0</f>
        <v>1679.4</v>
      </c>
      <c r="J208" s="3">
        <f>1858.6+(113.1-242.2)+(1.895772+(0.115362-0.247044))+0-52.3-0.0533460000000083</f>
        <v>1678.910744</v>
      </c>
      <c r="K208" s="3">
        <f>1833+(109.1-233.5)+(-1.86966+(-0.111282--0.23817))+0-81.5--0.083130000000013</f>
        <v>1625.4403579999998</v>
      </c>
      <c r="L208" s="3">
        <f>1827.8+(138.4-291.7)+(-1.864356+(-0.141168--0.297534))+0-77.6--0.0791520000000124</f>
        <v>1595.271162</v>
      </c>
      <c r="M208" s="3">
        <f>1901.4+(134.8-346.8)+(2.909142+(0.206244-0.530604))+0-50.4-0.0771120000000029</f>
        <v>1641.50767</v>
      </c>
      <c r="N208" s="3">
        <f>2124.8+(131.5-470.4)+(1.083648+(0.067065-0.239904))+0-65.6-0.0334559999999933</f>
        <v>1721.1773530000003</v>
      </c>
      <c r="O208" s="3">
        <f>2190.8+(115.8-432.5)+(-2.234616+(-0.118116--0.44115))+0-84.7--0.0863940000000135</f>
        <v>1787.5748120000001</v>
      </c>
      <c r="P208" s="3">
        <f>2204.1+(113.3-433.4)+(0+(0-0))+0-65.3-0</f>
        <v>1818.7</v>
      </c>
      <c r="Q208" s="3">
        <f>2243.6+(126.5-445)+(-5.72118+(-0.322575--1.13475))+0-90.8--0.231539999999987</f>
        <v>1829.622535</v>
      </c>
      <c r="R208" s="3">
        <f>2242.2+(129.6-444.7)+(-3.430566+(-0.198288--0.680391))+0-85.7--0.131121000000005</f>
        <v>1838.5826579999998</v>
      </c>
      <c r="S208" s="3">
        <f>2284.9+(123.1-502.8)+(2.330598+(0.125562-0.512856))+0-75.2-0.076704000000012</f>
        <v>1831.8665999999998</v>
      </c>
      <c r="T208" s="3">
        <f>2329.7+(78.9-506.8)+(-7.128882+(-0.241434--1.550808))+0-81.5--0.249390000000009</f>
        <v>1814.7298819999996</v>
      </c>
      <c r="U208" s="3">
        <f>2025.7+(119.9-257.9)+(0+(0-0))+0-87.6-0</f>
        <v>1800.1000000000001</v>
      </c>
      <c r="V208" s="3">
        <f>1897.9+(142.3-128.9)+(0+(0-0))+0-73.5-0</f>
        <v>1837.8000000000002</v>
      </c>
      <c r="W208" s="3">
        <f>2170.7+(127.5-141.8)+(1.107057+(0.065025-0.072318))+0-84.1-0.0428909999999915</f>
        <v>2073.3568729999997</v>
      </c>
      <c r="X208" s="3">
        <f>2501+(99.4-353.9)+(-3.82653+(-0.152082--0.541467))+0-87--0.133110000000005</f>
        <v>2156.1959650000003</v>
      </c>
      <c r="Y208" s="3">
        <f>2473+(114.1-366.1)+(-3.78369+(-0.174573--0.560133))+0-73.4--0.112302000000004</f>
        <v>2144.3141719999999</v>
      </c>
      <c r="Z208" s="3">
        <f>2501.3+(126.2-411.9)+(1.275663+(0.064362-0.210069))+0-82.8-0.0422279999999916</f>
        <v>2133.8877280000006</v>
      </c>
      <c r="AA208" s="3">
        <f>2502.9+(126.9-496.2)+(0+(0-0))+0-62.1-0</f>
        <v>2071.5000000000005</v>
      </c>
      <c r="AB208" s="3">
        <f>2475.1+(124.5-497.7)+(-3.786903+(-0.190485--0.761481))+0-84.7--0.129591000000005</f>
        <v>2014.1136840000004</v>
      </c>
      <c r="AC208" s="3">
        <f>2362+(124.2-498.6)+(-6.0231+(-0.31671--1.27143))+0-74.9--0.190994999999989</f>
        <v>1907.8226149999998</v>
      </c>
      <c r="AD208">
        <v>2124.0000000000005</v>
      </c>
      <c r="AE208" s="3">
        <f>2442+(86.8-370.6)+(0+(0-0))+0-34.2-0</f>
        <v>2124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2166.9+(124.8-406.7)+(-5.525595+(-0.31824--1.037085))+0-78.2--0.199409999999989</f>
        <v>1802.1926599999999</v>
      </c>
      <c r="G209" s="3">
        <f>2113.4+(124.8-427.5)+(-4.311336+(-0.254592--0.8721))+0-69.9--0.142595999999997</f>
        <v>1737.2487679999999</v>
      </c>
      <c r="H209" s="3">
        <f>2043.2+(125.1-377.1)+(-3.126096+(-0.191403--0.576963))+0-84.7--0.129591000000005</f>
        <v>1703.8890550000001</v>
      </c>
      <c r="I209" s="3">
        <f>2015+(134.1-433.5)+(0+(0-0))+0-23.6-0</f>
        <v>1692</v>
      </c>
      <c r="J209" s="3">
        <f>2007.1+(141.5-420.8)+(-3.070863+(-0.216495--0.643824))+0-28.7--0.0439110000000017</f>
        <v>1696.5003769999998</v>
      </c>
      <c r="K209" s="3">
        <f>1843.7+(142.3-221.2)+(-2.820861+(-0.217719--0.338436))+0-97.4--0.149022000000006</f>
        <v>1664.8488780000002</v>
      </c>
      <c r="L209" s="3">
        <f>1775.4+(149.2-145.1)+(0+(0-0))+0-86.1-0</f>
        <v>1693.4</v>
      </c>
      <c r="M209" s="3">
        <f>2018.2+(141-245.8)+(1.029282+(0.07191-0.125358))+0-82.4-0.0420239999999916</f>
        <v>1831.93381</v>
      </c>
      <c r="N209" s="3">
        <f>2171+(140-333.7)+(1.10721+(0.0714-0.170187))+0-20.7-0.0105569999999979</f>
        <v>1957.5978659999998</v>
      </c>
      <c r="O209" s="3">
        <f>2351.8+(139-413.8)+(2.398836+(0.14178-0.422076))+0-20.5-0.0209100000000033</f>
        <v>2058.5976299999998</v>
      </c>
      <c r="P209" s="3">
        <f>2361.2+(135.8-371.8)+(-1.204212+(-0.069258--0.189618))+0-21.6--0.0110159999999978</f>
        <v>2102.5271639999996</v>
      </c>
      <c r="Q209" s="3">
        <f>2347.3+(138.8-265.6)+(-2.394246+(-0.141576--0.270912))+0-81.7--0.083334000000013</f>
        <v>2136.6184240000002</v>
      </c>
      <c r="R209" s="3">
        <f>2345+(137.5-301.4)+(0+(0-0))+0-82.4-0</f>
        <v>2098.6999999999998</v>
      </c>
      <c r="S209" s="3">
        <f>2340.6+(136.9-327.1)+(-1.193706+(-0.069819--0.166821))+0-74.1--0.0377909999999925</f>
        <v>2075.2410870000003</v>
      </c>
      <c r="T209" s="3">
        <f>2329.4+(138.8-341.5)+(0+(0-0))+0-72.1-0</f>
        <v>2054.6000000000004</v>
      </c>
      <c r="U209" s="3">
        <f>2326.2+(142-355.9)+(-3.559086+(-0.21726--0.544527))+0-71.5--0.109395000000004</f>
        <v>2037.6775759999996</v>
      </c>
      <c r="V209" s="3">
        <f>2335+(141.8-346.5)+(-3.57255+(-0.216954--0.530145))+0-70.5--0.107865000000004</f>
        <v>2056.648506</v>
      </c>
      <c r="W209" s="3">
        <f>2368.5+(156.9-175.6)+(0+(0-0))+0-83.7-0</f>
        <v>2266.1000000000004</v>
      </c>
      <c r="X209" s="3">
        <f>2497.7+(82.5-207.8)+(-5.095308+(-0.1683--0.423912))+0-77.3--0.157691999999997</f>
        <v>2290.4179959999992</v>
      </c>
      <c r="Y209" s="3">
        <f>2540.5+(105.9-304.7)+(0+(0-0))+0-83-0</f>
        <v>2258.6999999999998</v>
      </c>
      <c r="Z209" s="3">
        <f>2520.2+(141.8-369.4)+(-5.141208+(-0.289272--0.753576))+0-77.1--0.157283999999997</f>
        <v>2210.98038</v>
      </c>
      <c r="AA209" s="3">
        <f>2398.4+(142.9-337.1)+(-1.223184+(-0.072879--0.171921))+0-81.1--0.0413609999999918</f>
        <v>2122.0172190000003</v>
      </c>
      <c r="AB209" s="3">
        <f>2363+(143.8-375.4)+(-6.02565+(-0.36669--0.95727))+0-81.2--0.207059999999988</f>
        <v>2044.97199</v>
      </c>
      <c r="AC209" s="3">
        <f>2310.9+(142.1-431.1)+(-1.178559+(-0.072471--0.219861))+0-87.6--0.0446759999999911</f>
        <v>1933.3135070000001</v>
      </c>
      <c r="AD209">
        <v>2292.6</v>
      </c>
      <c r="AE209" s="3">
        <f>2532+(93.7-241)+(0+(0-0))+0-92.1-0</f>
        <v>2292.6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2107+(140.4-369.4)+(-5.37285+(-0.35802--0.94197))+0-53.3--0.135914999999992</f>
        <v>1820.0470150000001</v>
      </c>
      <c r="G210" s="3">
        <f>1935.2+(142.3-238.9)+(-0.986952+(-0.072573--0.121839))+0-79.4--0.0404939999999919</f>
        <v>1758.3028080000001</v>
      </c>
      <c r="H210" s="3">
        <f>1829.3+(142.7-163.9)+(-2.798829+(-0.218331--0.250767))+0-83.3--0.127449000000005</f>
        <v>1722.1610559999999</v>
      </c>
      <c r="I210" s="3">
        <f>1778+(142.3-127.9)+(-0.90678+(-0.072573--0.065229))+0-82.7--0.0421769999999916</f>
        <v>1708.8280530000002</v>
      </c>
      <c r="J210" s="3">
        <f>1778.7+(154.3-121.1)+(0+(0-0))+0-94-0</f>
        <v>1717.9</v>
      </c>
      <c r="K210" s="3">
        <f>1761+(156.5-147.6)+(-2.69433+(-0.239445--0.225828))+0-78.4--0.119952000000005</f>
        <v>1688.9120049999999</v>
      </c>
      <c r="L210" s="3">
        <f>1776.6+(155-145.6)+(0+(0-0))+0-66.1-0</f>
        <v>1719.9</v>
      </c>
      <c r="M210" s="3">
        <f>1964.8+(141.3-181.7)+(1.002048+(0.072063-0.092667))+0-78.4-0.039983999999992</f>
        <v>1846.94146</v>
      </c>
      <c r="N210" s="3">
        <f>2217.4+(140.6-335.7)+(1.130874+(0.071706-0.171207))+0-52.7-0.0268769999999947</f>
        <v>1970.6044960000002</v>
      </c>
      <c r="O210" s="3">
        <f>2296.4+(139.4-378.5)+(0+(0-0))+0-22.1-0</f>
        <v>2035.2000000000003</v>
      </c>
      <c r="P210" s="3">
        <f>2348.1+(138.6-344.3)+(-1.197531+(-0.070686--0.175593))+0-60.4--0.0308039999999939</f>
        <v>2080.9381800000001</v>
      </c>
      <c r="Q210" s="3">
        <f>2440.2+(138-401.3)+(2.489004+(0.14076-0.409326))+0-76-0.0775200000000121</f>
        <v>2103.0429179999996</v>
      </c>
      <c r="R210" s="3">
        <f>2497.4+(138.6-464.5)+(-6.36837+(-0.35343--1.184475))+0-85.8--0.218789999999988</f>
        <v>2080.3814649999999</v>
      </c>
      <c r="S210" s="3">
        <f>2510.2+(139.5-503.3)+(0+(0-0))+0-75.3-0</f>
        <v>2071.0999999999995</v>
      </c>
      <c r="T210" s="3">
        <f>2495.8+(139.6-532.7)+(-2.545716+(-0.142392--0.543354))+0-56.4--0.057528000000009</f>
        <v>2044.2127740000003</v>
      </c>
      <c r="U210" s="3">
        <f>2489.1+(140.1-515.7)+(-6.347205+(-0.357255--1.315035))+0-77.1--0.196604999999989</f>
        <v>2031.2071800000003</v>
      </c>
      <c r="V210" s="3">
        <f>2487.5+(124.9-474.2)+(-6.343125+(-0.318495--1.20921))+0-80.2--0.204509999999988</f>
        <v>2052.7521000000002</v>
      </c>
      <c r="W210" s="3">
        <f>2522+(125.2-310.4)+(2.57244+(0.127704-0.316608))+0-74.1-0.0755820000000118</f>
        <v>2265.0079540000002</v>
      </c>
      <c r="X210" s="3">
        <f>2517.4+(129.2-287)+(-2.567748+(-0.131784--0.29274))+0-84.2--0.0858840000000134</f>
        <v>2273.0790919999999</v>
      </c>
      <c r="Y210" s="3">
        <f>2529.2+(137.5-334.8)+(0+(0-0))+0-86-0</f>
        <v>2245.8999999999996</v>
      </c>
      <c r="Z210" s="3">
        <f>2531.8+(141.1-378.8)+(-1.291218+(-0.071961--0.193188))+0-88.4--0.045083999999991</f>
        <v>2204.5750929999999</v>
      </c>
      <c r="AA210" s="3">
        <f>2522.8+(141.3-458.9)+(-5.146512+(-0.288252--0.936156))+0-78--0.159119999999997</f>
        <v>2122.8605120000002</v>
      </c>
      <c r="AB210" s="3">
        <f>2511.4+(141.8-516.5)+(-5.123256+(-0.289272--1.05366))+0-75.3--0.153611999999997</f>
        <v>2057.1947440000004</v>
      </c>
      <c r="AC210" s="3">
        <f>2166.3+(141.4-288.4)+(-6.628878+(-0.432684--0.882504))+0-85.2--0.26071200000001</f>
        <v>1928.1816540000002</v>
      </c>
      <c r="AD210">
        <v>2281.6</v>
      </c>
      <c r="AE210" s="3">
        <f>2534+(144.6-291.2)+(0+(0-0))+0-105.8-0</f>
        <v>2281.6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1924.3+(141.3-168.6)+(-4.906965+(-0.360315--0.42993))+0-74.2--0.189209999999989</f>
        <v>1818.1518599999999</v>
      </c>
      <c r="G211" s="3">
        <f>1897.1+(141.4-194.5)+(2.902563+(0.216342-0.297585))+0-79.5-0.121635000000005</f>
        <v>1767.199685</v>
      </c>
      <c r="H211" s="3">
        <f>1878.8+(140.9-203)+(-4.79094+(-0.359295--0.51765))+0-78.6--0.200429999999989</f>
        <v>1733.6678450000002</v>
      </c>
      <c r="I211" s="3">
        <f>1887.3+(140.8-223.4)+(-2.887569+(-0.215424--0.341802))+0-79--0.120870000000005</f>
        <v>1723.059679</v>
      </c>
      <c r="J211" s="3">
        <f>1984.2+(141.1-322.7)+(-1.011942+(-0.071961--0.164577))+0-71.5--0.0364649999999927</f>
        <v>1730.2171390000001</v>
      </c>
      <c r="K211" s="3">
        <f>1922.1+(138.3-268.5)+(0.980271+(0.070533-0.136935))+0-91.8-0.0468179999999907</f>
        <v>1700.9670509999999</v>
      </c>
      <c r="L211" s="3">
        <f>1889.6+(137.8-235.5)+(0+(0-0))+0-68-0</f>
        <v>1723.8999999999999</v>
      </c>
      <c r="M211" s="3">
        <f>2081.8+(136.6-339.4)+(1.061718+(0.069666-0.173094))+0-30.9-0.0157589999999969</f>
        <v>1849.0425310000003</v>
      </c>
      <c r="N211" s="3">
        <f>2280+(135.8-412.5)+(1.1628+(0.069258-0.210375))+0-22.2-0.0113219999999977</f>
        <v>1982.1103609999998</v>
      </c>
      <c r="O211" s="3">
        <f>2463.2+(135.2-504.4)+(-3.768696+(-0.206856--0.771732))+0-22.5--0.0344250000000013</f>
        <v>2068.3306049999997</v>
      </c>
      <c r="P211" s="3">
        <f>2499.9+(133.9-451.7)+(2.549898+(0.136578-0.460734))+0-80-0.0816000000000128</f>
        <v>2104.2441420000005</v>
      </c>
      <c r="Q211" s="3">
        <f>2576.1+(133.9-522.2)+(0+(0-0))+0-76.8-0</f>
        <v>2110.9999999999995</v>
      </c>
      <c r="R211" s="3">
        <f>2576.3+(133.6-535.2)+(-1.313913+(-0.068136--0.272952))+0-85.5--0.0436049999999913</f>
        <v>2088.1345080000001</v>
      </c>
      <c r="S211" s="3">
        <f>2569.5+(133.9-562.5)+(-1.310445+(-0.068289--0.286875))+0-72.7--0.0370769999999926</f>
        <v>2067.1452180000001</v>
      </c>
      <c r="T211" s="3">
        <f>2583.8+(133.8-576.8)+(1.317738+(0.068238-0.294168))+0-78.7-0.040136999999992</f>
        <v>2063.1516710000005</v>
      </c>
      <c r="U211" s="3">
        <f>2566.3+(132.7-572.3)+(0+(0-0))+0-77.2-0</f>
        <v>2049.5000000000005</v>
      </c>
      <c r="V211" s="3">
        <f>2541.2+(108.5-491.6)+(-5.184048+(-0.22134--1.002864))+0-81.5--0.166259999999996</f>
        <v>2072.3637359999998</v>
      </c>
      <c r="W211" s="3">
        <f>2548.7+(88.7-263.1)+(3.899511+(0.135711-0.402543))+0-82.6-0.126378000000005</f>
        <v>2295.2063009999997</v>
      </c>
      <c r="X211" s="3">
        <f>2574.4+(88-287.7)+(-7.877664+(-0.26928--0.880362))+0-78.4--0.239904000000009</f>
        <v>2289.273322</v>
      </c>
      <c r="Y211" s="3">
        <f>2622.7+(105.3-396.1)+(1.337577+(0.053703-0.202011))+0-81.5-0.0415649999999917</f>
        <v>2251.5477039999996</v>
      </c>
      <c r="Z211" s="3">
        <f>2656.8+(123.8-481.2)+(-1.354968+(-0.063138--0.245412))+0-82.4--0.0420239999999916</f>
        <v>2215.86933</v>
      </c>
      <c r="AA211" s="3">
        <f>2635.7+(134.8-540.3)+(-4.032621+(-0.206244--0.826659))+0-89.1--0.136323000000005</f>
        <v>2137.8241170000001</v>
      </c>
      <c r="AB211" s="3">
        <f>2386.4+(134-381)+(-4.868256+(-0.27336--0.77724))+0-87.4--0.178295999999996</f>
        <v>2047.8139200000001</v>
      </c>
      <c r="AC211" s="3">
        <f>2271+(133.5-379.6)+(-2.31642+(-0.13617--0.387192))+0-86--0.0877200000000137</f>
        <v>1936.9223220000001</v>
      </c>
      <c r="AD211">
        <v>2291.6</v>
      </c>
      <c r="AE211" s="3">
        <f>2581+(84.5-281.8)+(0+(0-0))+0-92.1-0</f>
        <v>2291.6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2061.7+(136.3-284.6)+(-5.257335+(-0.347565--0.72573))+0-70--0.17849999999999</f>
        <v>1838.6993299999999</v>
      </c>
      <c r="G212" s="3">
        <f>1938.5+(136.1-213.3)+(-0.988635+(-0.069411--0.108783))+0-84.1--0.0428909999999915</f>
        <v>1776.2936280000001</v>
      </c>
      <c r="H212" s="3">
        <f>1924.6+(135.3-229.9)+(1.963092+(0.138006-0.234498))+0-88.8-0.0905760000000142</f>
        <v>1742.9760240000001</v>
      </c>
      <c r="I212" s="3">
        <f>1902.8+(136.1-231)+(-3.881712+(-0.277644--0.47124))+0-81.7--0.166667999999996</f>
        <v>1722.6785519999999</v>
      </c>
      <c r="J212" s="3">
        <f>1861.2+(135.7-185)+(0.949212+(0.069207-0.09435))+0-83.1-0.0423809999999916</f>
        <v>1729.6816880000001</v>
      </c>
      <c r="K212" s="3">
        <f>1855.1+(135.2-195.7)+(-1.892202+(-0.137904--0.199614))+0-87.5--0.089250000000014</f>
        <v>1705.3587579999999</v>
      </c>
      <c r="L212" s="3">
        <f>1840.6+(135-159)+(-2.816118+(-0.20655--0.24327))+0-87--0.133110000000005</f>
        <v>1726.953712</v>
      </c>
      <c r="M212" s="3">
        <f>1897+(157.6-133.5)+(1.93494+(0.160752-0.13617))+0-74.8-0.0762960000000119</f>
        <v>1848.1832260000001</v>
      </c>
      <c r="N212" s="3">
        <f>2155.6+(129.2-248.1)+(0+(0-0))+0-82.4-0</f>
        <v>1954.2999999999997</v>
      </c>
      <c r="O212" s="3">
        <f>2328.4+(130.5-340.8)+(-1.187484+(-0.066555--0.173808))+0-76.8--0.0391679999999922</f>
        <v>2040.2589370000001</v>
      </c>
      <c r="P212" s="3">
        <f>2570+(131.9-547.1)+(1.3107+(0.067269-0.279021))+0-57.2-0.0291719999999942</f>
        <v>2098.6697760000002</v>
      </c>
      <c r="Q212" s="3">
        <f>2591.7+(131.4-519.5)+(-6.608835+(-0.33507--1.324725))+0-83--0.211649999999988</f>
        <v>2115.19247</v>
      </c>
      <c r="R212" s="3">
        <f>2483+(133-467)+(-1.26633+(-0.06783--0.23817))+0-106--0.0540599999999892</f>
        <v>2041.9580700000001</v>
      </c>
      <c r="S212" s="3">
        <f>2522+(133-524)+(0+(0-0))+0-75-0</f>
        <v>2056</v>
      </c>
      <c r="T212" s="3">
        <f>2546.7+(133.6-550.8)+(-3.896451+(-0.204408--0.842724))+0-85.5--0.130815000000005</f>
        <v>2040.8726799999999</v>
      </c>
      <c r="U212" s="3">
        <f>2518+(116-554)+(0+(0-0))+0-72-0</f>
        <v>2008</v>
      </c>
      <c r="V212" s="3">
        <f>2410.1+(119.2-384.6)+(-7.374906+(-0.364752--1.176876))+0-87.1--0.26652600000001</f>
        <v>2051.3037439999998</v>
      </c>
      <c r="W212" s="3">
        <f>2490.9+(109.4-236.6)+(2.540718+(0.111588-0.241332))+0-89.7-0.0914940000000143</f>
        <v>2276.3194800000001</v>
      </c>
      <c r="X212" s="3">
        <f>2599.1+(105-312.8)+(-7.953246+(-0.3213--0.957168))+0-84.9--0.25979400000001</f>
        <v>2299.3424159999995</v>
      </c>
      <c r="Y212" s="3">
        <f>2528.3+(129.2-357.7)+(-3.868299+(-0.197676--0.547281))+0-34.4--0.052632000000002</f>
        <v>2261.9339380000001</v>
      </c>
      <c r="Z212" s="3">
        <f>2399+(132.5-237.8)+(-6.11745+(-0.337875--0.60639))+0-87--0.221849999999987</f>
        <v>2201.0729149999997</v>
      </c>
      <c r="AA212" s="3">
        <f>2252+(134.1-188.8)+(-4.59408+(-0.273564--0.385152))+0-81.5--0.166259999999996</f>
        <v>2111.4837680000001</v>
      </c>
      <c r="AB212" s="3">
        <f>2035.4+(196.2-115.3)+(-1.038054+(-0.100062--0.058803))+0-88.8--0.045287999999991</f>
        <v>2026.4659750000001</v>
      </c>
      <c r="AC212" s="3">
        <f>1959.8+(153.9-105.7)+(-0.999498+(-0.078489--0.053907))+0-82.7--0.0421769999999916</f>
        <v>1924.3180970000001</v>
      </c>
      <c r="AD212">
        <v>2291.3000000000002</v>
      </c>
      <c r="AE212" s="3">
        <f>2605+(104.6-312.1)+(0+(0-0))+0-106.2-0</f>
        <v>2291.3000000000002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1941.1+(133.4-189.1)+(-2.969883+(-0.204102--0.289323))+0-63.5--0.0971550000000037</f>
        <v>1819.1124929999999</v>
      </c>
      <c r="G213" s="3">
        <f>1937.3+(135.6-207.9)+(1.976046+(0.138312-0.212058))+0-83.7-0.0853740000000134</f>
        <v>1783.1169259999999</v>
      </c>
      <c r="H213" s="3">
        <f>1925.4+(135.7-235.3)+(-0.981954+(-0.069207--0.120003))+0-73.4--0.0374339999999926</f>
        <v>1751.5062760000001</v>
      </c>
      <c r="I213" s="3">
        <f>1873.3+(135.6-183.7)+(2.866149+(0.207468-0.281061))+0-92.5-0.141525000000005</f>
        <v>1735.3510310000001</v>
      </c>
      <c r="J213" s="3">
        <f>1859.5+(135.8-162.5)+(0.948345+(0.069258-0.082875))+0-92.7-0.0472769999999906</f>
        <v>1740.987451</v>
      </c>
      <c r="K213" s="3">
        <f>1794.4+(135.5-167.4)+(-3.660576+(-0.27642--0.341496))+0-47.1--0.0960839999999979</f>
        <v>1711.9005840000002</v>
      </c>
      <c r="L213" s="3">
        <f>1789.7+(152.7-127.5)+(-3.650988+(-0.311508--0.2601))+0-80.9--0.165035999999996</f>
        <v>1730.4626400000002</v>
      </c>
      <c r="M213" s="3">
        <f>2059+(130.8-228)+(1.05009+(0.066708-0.11628))+0-97.1-0.0495209999999901</f>
        <v>1865.6509970000002</v>
      </c>
      <c r="N213" s="3">
        <f>2386.2+(130.9-431.9)+(0+(0-0))+0-86.6-0</f>
        <v>1998.6</v>
      </c>
      <c r="O213" s="3">
        <f>2523.1+(130.6-488)+(-2.573562+(-0.133212--0.49776))+0-86.7--0.0884340000000138</f>
        <v>2076.8794200000002</v>
      </c>
      <c r="P213" s="3">
        <f>2562.9+(130.6-489.3)+(-2.614158+(-0.133212--0.499086))+0-70.7--0.0721140000000113</f>
        <v>2131.3238300000003</v>
      </c>
      <c r="Q213" s="3">
        <f>2539.8+(131.4-450.9)+(-5.181192+(-0.268056--0.919836))+0-83.8--0.170951999999996</f>
        <v>2132.1415400000001</v>
      </c>
      <c r="R213" s="3">
        <f>2537.3+(128.5-452.9)+(-3.882069+(-0.196605--0.692937))+0-90.8--0.138924000000005</f>
        <v>2118.8531869999997</v>
      </c>
      <c r="S213" s="3">
        <f>2537.8+(128.7-494.1)+(-2.588556+(-0.131274--0.503982))+0-85.6--0.0873120000000136</f>
        <v>2084.6714640000005</v>
      </c>
      <c r="T213" s="3">
        <f>2541.1+(130.6-521.5)+(0+(0-0))+0-83.2-0</f>
        <v>2067</v>
      </c>
      <c r="U213" s="3">
        <f>2534.5+(132-559.2)+(-2.58519+(-0.13464--0.570384))+0-34.8--0.0354960000000055</f>
        <v>2070.3860500000001</v>
      </c>
      <c r="V213" s="3">
        <f>2473.6+(122.2-460.1)+(0+(0-0))+0-25.1-0</f>
        <v>2110.6</v>
      </c>
      <c r="W213" s="3">
        <f>2534.4+(122.8-254.5)+(-1.292544+(-0.062628--0.129795))+0-78.3--0.0399329999999921</f>
        <v>2323.2145559999999</v>
      </c>
      <c r="X213" s="3">
        <f>2574.8+(122.6-310.5)+(-6.56574+(-0.31263--0.791775))+0-76.1--0.194054999999989</f>
        <v>2304.9074599999999</v>
      </c>
      <c r="Y213" s="3">
        <f>2500.9+(127.4-272.5)+(-3.826377+(-0.194922--0.416925))+0-88.9--0.136017000000005</f>
        <v>2263.4316429999999</v>
      </c>
      <c r="Z213" s="3">
        <f>2384.7+(138.2-229.6)+(-3.648591+(-0.211446--0.351288))+0-86.3--0.132039000000005</f>
        <v>2203.6232899999995</v>
      </c>
      <c r="AA213" s="3">
        <f>2302.3+(144-250.5)+(-3.522519+(-0.22032--0.383265))+0-75.4--0.115362000000004</f>
        <v>2117.155788</v>
      </c>
      <c r="AB213" s="3">
        <f>2119.8+(151.3-137.3)+(0+(0-0))+0-74.1-0</f>
        <v>2059.7000000000003</v>
      </c>
      <c r="AC213" s="3">
        <f>1987.1+(163.1-111.9)+(-4.053684+(-0.332724--0.228276))+0-77.2--0.157487999999997</f>
        <v>1957.0993559999999</v>
      </c>
      <c r="AD213">
        <v>2312.5</v>
      </c>
      <c r="AE213" s="3">
        <f>2590+(127.5-307.5)+(0+(0-0))+0-97.5-0</f>
        <v>2312.5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1746.3+(294.7-97.6)+(-2.671839+(-0.450891--0.149328))+0-83.2--0.127296000000005</f>
        <v>1857.3538939999999</v>
      </c>
      <c r="G214" s="3">
        <f>1727.9+(234.5-94.5)+(-0.881229+(-0.119595--0.048195))+0-77.3--0.0394229999999922</f>
        <v>1789.6867940000002</v>
      </c>
      <c r="H214" s="3">
        <f>1651.5+(218-91.6)+(-5.05359+(-0.66708--0.280296))+0-21.2--0.0648720000000024</f>
        <v>1751.3244979999999</v>
      </c>
      <c r="I214" s="3">
        <f>1531.4+(310.5-92.6)+(-2.343042+(-0.475065--0.141678))+0-13.6--0.0208080000000008</f>
        <v>1733.0443790000002</v>
      </c>
      <c r="J214" s="3">
        <f>1533.6+(327.5-109.3)+(0+(0-0))+0-17-0</f>
        <v>1734.8</v>
      </c>
      <c r="K214" s="3">
        <f>1507.9+(352.3-138.4)+(-0.769029+(-0.179673--0.070584))+0-20.4--0.0104039999999979</f>
        <v>1700.5322860000001</v>
      </c>
      <c r="L214" s="3">
        <f>1402.8+(507-136.7)+(-2.146284+(-0.77571--0.209151))+0-80.9--0.123777000000005</f>
        <v>1689.6109339999998</v>
      </c>
      <c r="M214" s="3">
        <f>1611.8+(389.6-140.2)+(0.822018+(0.198696-0.071502))+0-24-0.0122399999999976</f>
        <v>1838.136972</v>
      </c>
      <c r="N214" s="3">
        <f>1789.2+(330.4-145.3)+(2.737476+(0.505512-0.222309))+0-16.1-0.0246330000000009</f>
        <v>1961.196046</v>
      </c>
      <c r="O214" s="3">
        <f>1846+(366.1-148.3)+(0+(0-0))+0-12-0</f>
        <v>2051.8000000000002</v>
      </c>
      <c r="P214" s="3">
        <f>1848.4+(392.8-149.2)+(1.885368+(0.400656-0.152184))+0-9.8-0.00999600000000156</f>
        <v>2084.3238439999996</v>
      </c>
      <c r="Q214" s="3">
        <f>1840.1+(418.8-142.2)+(-0.938451+(-0.213588--0.072522))+0-9.5--0.00484499999999904</f>
        <v>2106.1253279999996</v>
      </c>
      <c r="R214" s="3">
        <f>1843.6+(390.8-149)+(-2.820708+(-0.597924--0.22797))+0-13--0.0198900000000008</f>
        <v>2069.2292280000001</v>
      </c>
      <c r="S214" s="3">
        <f>1848.1+(327.1-144)+(-5.655186+(-1.000926--0.44064))+0-13--0.0397800000000015</f>
        <v>2012.0243079999998</v>
      </c>
      <c r="T214" s="3">
        <f>1726.2+(392.8-135.4)+(-1.760724+(-0.400656--0.138108))+0-10.2--0.0104040000000016</f>
        <v>1971.3871320000001</v>
      </c>
      <c r="U214" s="3">
        <f>1744.1+(369.5-143.2)+(-2.668473+(-0.565335--0.219096))+0-11.3--0.0172890000000007</f>
        <v>1956.1025769999999</v>
      </c>
      <c r="V214" s="3">
        <f>1719+(459.2-155.2)+(-2.63007+(-0.702576--0.237456))+0-11.4--0.0174420000000007</f>
        <v>2008.522252</v>
      </c>
      <c r="W214" s="3">
        <f>2047.6+(363.9-172.2)+(-3.132828+(-0.556767--0.263466))+0-11.5--0.0175950000000007</f>
        <v>2224.3914659999996</v>
      </c>
      <c r="X214" s="3">
        <f>2226+(216.7-169)+(-6.81156+(-0.663102--0.51714))+0-11.4--0.0348840000000013</f>
        <v>2255.3773619999997</v>
      </c>
      <c r="Y214" s="3">
        <f>2154.9+(169.1-175.6)+(-3.296997+(-0.258723--0.268668))+0-11.7--0.0179010000000007</f>
        <v>2133.4308490000003</v>
      </c>
      <c r="Z214" s="3">
        <f>2106.8+(195.7-149.1)+(-1.074468+(-0.099807--0.076041))+0-12.1--0.00617099999999877</f>
        <v>2140.2079370000001</v>
      </c>
      <c r="AA214" s="3">
        <f>2023.9+(177.3-133)+(-2.064378+(-0.180846--0.13566))+0-11.8--0.0120360000000019</f>
        <v>2054.3024720000003</v>
      </c>
      <c r="AB214" s="3">
        <f>1984.1+(160.5-136.4)+(-3.035673+(-0.245565--0.208692))+0-11.9--0.0182070000000007</f>
        <v>1993.2456609999997</v>
      </c>
      <c r="AC214" s="3">
        <f>1969.1+(144.3-199.1)+(-5.021205+(-0.367965--0.507705))+0-11.8--0.0300899999999983</f>
        <v>1897.648625</v>
      </c>
      <c r="AD214">
        <v>2211.3000000000002</v>
      </c>
      <c r="AE214" s="3">
        <f>2217+(177.5-171.7)+(0+(0-0))+0-11.5-0</f>
        <v>2211.3000000000002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1972.1+(143.6-306.2)+(-3.017313+(-0.219708--0.468486))+0-11.9--0.0182070000000007</f>
        <v>1794.8496720000001</v>
      </c>
      <c r="G215" s="3">
        <f>1984.6+(142.9-336.6)+(-4.048584+(-0.291516--0.686664))+0-11.7--0.0238679999999995</f>
        <v>1775.5704319999998</v>
      </c>
      <c r="H215" s="3">
        <f>1825.2+(143.5-226.1)+(-4.65426+(-0.365925--0.576555))+0-11.7--0.0298349999999983</f>
        <v>1726.4862050000002</v>
      </c>
      <c r="I215" s="3">
        <f>1727.1+(144.4-162.5)+(-3.523284+(-0.294576--0.3315))+0-11.6--0.0236639999999995</f>
        <v>1693.937304</v>
      </c>
      <c r="J215" s="3">
        <f>1685.5+(161.6-145.6)+(-0.859605+(-0.082416--0.074256))+0-11.7--0.00596699999999881</f>
        <v>1688.938202</v>
      </c>
      <c r="K215" s="3">
        <f>1650+(177.3-158.8)+(-0.8415+(-0.090423--0.080988))+0-11.8--0.0060179999999988</f>
        <v>1655.8550830000001</v>
      </c>
      <c r="L215" s="3">
        <f>1579.7+(186.6-152.9)+(0+(0-0))+0-11.5-0</f>
        <v>1601.9</v>
      </c>
      <c r="M215" s="3">
        <f>1595.8+(204.2-134.2)+(-0.813858+(-0.104142--0.068442))+0-11.4--0.00581399999999884</f>
        <v>1653.5562560000001</v>
      </c>
      <c r="N215" s="3">
        <f>1666.1+(211.9-139.1)+(-1.699422+(-0.216138--0.141882))+0-11.6--0.0118320000000018</f>
        <v>1725.5381539999998</v>
      </c>
      <c r="O215" s="3">
        <f>1745.1+(206.5-143.4)+(-1.780002+(-0.21063--0.146268))+0-11.7--0.0119340000000019</f>
        <v>1794.6675699999998</v>
      </c>
      <c r="P215" s="3">
        <f>1794.3+(208.2-144)+(-2.745279+(-0.318546--0.22032))+0-11.8--0.0180540000000007</f>
        <v>1843.8745489999999</v>
      </c>
      <c r="Q215" s="3">
        <f>1813+(220.9-133.5)+(0+(0-0))+0-11.5-0</f>
        <v>1888.9</v>
      </c>
      <c r="R215" s="3">
        <f>1787.8+(206.9-144.9)+(-3.647112+(-0.422076--0.295596))+0-11.2--0.0228479999999995</f>
        <v>1834.849256</v>
      </c>
      <c r="S215" s="3">
        <f>1785.8+(204-136.8)+(-3.643032+(-0.41616--0.279072))+0-11.2--0.0228479999999995</f>
        <v>1838.0427280000001</v>
      </c>
      <c r="T215" s="3">
        <f>1712.5+(263-138.8)+(-1.74675+(-0.26826--0.141576))+0-11.6--0.0118320000000018</f>
        <v>1823.238398</v>
      </c>
      <c r="U215" s="3">
        <f>1660.7+(284.3-142.9)+(-0.846957+(-0.144993--0.072879))+0-11.2--0.00571199999999886</f>
        <v>1789.986641</v>
      </c>
      <c r="V215" s="3">
        <f>1725.8+(294.6-145.5)+(0+(0-0))+0-11.2-0</f>
        <v>1863.7</v>
      </c>
      <c r="W215" s="3">
        <f>2136.2+(152.9-183.5)+(-3.268386+(-0.233937--0.280755))+0-11.4--0.0174420000000007</f>
        <v>2090.9958739999997</v>
      </c>
      <c r="X215" s="3">
        <f>2183+(141.3-206.4)+(-4.45332+(-0.288252--0.421056))+0-11.4--0.0232559999999995</f>
        <v>2102.2027399999997</v>
      </c>
      <c r="Y215" s="3">
        <f>2094.7+(170.8-164.9)+(-3.204891+(-0.261324--0.252297))+0-11.8--0.0180540000000007</f>
        <v>2085.6041359999999</v>
      </c>
      <c r="Z215" s="3">
        <f>2036.6+(181.9-148.2)+(-5.19333+(-0.463845--0.37791))+0-11.9--0.0303449999999983</f>
        <v>2053.1510799999996</v>
      </c>
      <c r="AA215" s="3">
        <f>1943.9+(174.2-127.5)+(-3.965556+(-0.355368--0.2601))+0-11.7--0.0238679999999995</f>
        <v>1974.8630440000002</v>
      </c>
      <c r="AB215" s="3">
        <f>1920.3+(116.9-119.6)+(-4.896765+(-0.298095--0.30498))+0-11.8--0.0300899999999983</f>
        <v>1900.94021</v>
      </c>
      <c r="AC215" s="3">
        <f>1824.7+(111.3-102.5)+(-4.652985+(-0.283815--0.261375))+0-11.7--0.0298349999999983</f>
        <v>1817.1544100000001</v>
      </c>
      <c r="AD215">
        <v>2177</v>
      </c>
      <c r="AE215" s="3">
        <f>2190+(177-178)+(0+(0-0))+0-12-0</f>
        <v>2177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1785.7+(81.7-145)+(-1.821414+(-0.083334--0.1479))+0-12.5--0.012750000000002</f>
        <v>1708.1559020000002</v>
      </c>
      <c r="G216" s="3">
        <f>1735.3+(113.2-201.2)+(-1.770006+(-0.115464--0.205224))+0-12.4--0.012648000000002</f>
        <v>1633.2324019999999</v>
      </c>
      <c r="H216" s="3">
        <f>1643.4+(144.3-145.3)+(-3.352536+(-0.294372--0.296412))+0-12.5--0.0254999999999995</f>
        <v>1626.575004</v>
      </c>
      <c r="I216" s="3">
        <f>1523.3+(185.5-92.9)+(-1.553766+(-0.18921--0.094758))+0-12.4--0.012648000000002</f>
        <v>1601.8644299999996</v>
      </c>
      <c r="J216" s="3">
        <f>1506.8+(213.1-107.2)+(1.536936+(0.217362-0.109344))+0-12.8-0.013056000000002</f>
        <v>1601.5318980000002</v>
      </c>
      <c r="K216" s="3">
        <f>1519.1+(201.9-139.3)+(3.873705+(0.514845-0.355215))+0-13-0.0331499999999981</f>
        <v>1572.7001849999999</v>
      </c>
      <c r="L216" s="3">
        <f>1650.2+(144.1-158.6)+(-0.841602+(-0.073491--0.080886))+0-12.6--0.00642599999999872</f>
        <v>1622.272219</v>
      </c>
      <c r="M216" s="3">
        <f>1901.4+(144.1-270.9)+(0+(0-0))+0-12.5-0</f>
        <v>1762.1000000000001</v>
      </c>
      <c r="N216" s="3">
        <f>1922.8+(146.5-180)+(-0.980628+(-0.074715--0.0918))+0-12.8--0.0065279999999987</f>
        <v>1875.5429849999998</v>
      </c>
      <c r="O216" s="3">
        <f>1916.9+(186.5-145.8)+(-3.910476+(-0.38046--0.297432))+0-13--0.0265199999999994</f>
        <v>1940.633016</v>
      </c>
      <c r="P216" s="3">
        <f>1943.8+(222.5-141.6)+(-0.991338+(-0.113475--0.072216))+0-13--0.00662999999999868</f>
        <v>2010.6740330000002</v>
      </c>
      <c r="Q216" s="3">
        <f>1969.3+(198.9-135.5)+(-3.013029+(-0.304317--0.207315))+0-12.1--0.0185130000000007</f>
        <v>2017.5084820000002</v>
      </c>
      <c r="R216" s="3">
        <f>1958.9+(192-136.3)+(-4.995195+(-0.4896--0.347565))+0-11.7--0.0298349999999983</f>
        <v>1997.7926050000001</v>
      </c>
      <c r="S216" s="3">
        <f>1880.9+(241.2-137.1)+(-0.959259+(-0.123012--0.069921))+0-11.3--0.00576299999999885</f>
        <v>1972.693413</v>
      </c>
      <c r="T216" s="3">
        <f>1775.1+(310.4-140.5)+(0+(0-0))+0-11.4-0</f>
        <v>1933.6</v>
      </c>
      <c r="U216" s="3">
        <f>1733.3+(348.3-142.8)+(-0.883983+(-0.177633--0.072828))+0-11.5--0.00586499999999883</f>
        <v>1926.3170769999999</v>
      </c>
      <c r="V216" s="3">
        <f>1753.1+(408.3-150.9)+(1.788162+(0.416466-0.153918))+0-11.2-0.0114240000000018</f>
        <v>2001.3392859999999</v>
      </c>
      <c r="W216" s="3">
        <f>2029.4+(373.1-174.7)+(2.069988+(0.380562-0.178194))+0-11.3-0.0115260000000018</f>
        <v>2218.7608300000002</v>
      </c>
      <c r="X216" s="3">
        <f>2063.6+(339.8-169.5)+(-4.209744+(-0.693192--0.34578))+0-11.1--0.0226439999999995</f>
        <v>2218.2654880000005</v>
      </c>
      <c r="Y216" s="3">
        <f>2038+(319.2-165.1)+(-4.15752+(-0.651168--0.336804))+0-11.4--0.0232559999999995</f>
        <v>2176.2513719999997</v>
      </c>
      <c r="Z216" s="3">
        <f>2034.4+(254.3-151.1)+(-4.150176+(-0.518772--0.308244))+0-11.4--0.0232559999999995</f>
        <v>2121.8625519999996</v>
      </c>
      <c r="AA216" s="3">
        <f>2021.7+(170.7-143.2)+(-2.062134+(-0.174114--0.146064))+0-11.4--0.0116280000000018</f>
        <v>2035.7214439999998</v>
      </c>
      <c r="AB216" s="3">
        <f>1949.2+(154.8-119.8)+(-4.97046+(-0.39474--0.30549))+0-11.5--0.0293249999999983</f>
        <v>1967.669615</v>
      </c>
      <c r="AC216" s="3">
        <f>1807.9+(141.5-74.2)+(-0.922029+(-0.072165--0.037842))+0-11.4--0.00581399999999884</f>
        <v>1862.8494620000001</v>
      </c>
      <c r="AD216">
        <v>2254.2999999999997</v>
      </c>
      <c r="AE216" s="3">
        <f>2085+(351.7-170.9)+(0+(0-0))+0-11.5-0</f>
        <v>2254.3000000000002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1802+(141.1-156.7)+(-1.83804+(-0.143922--0.159834))+0-12.2--0.0124440000000019</f>
        <v>1772.390316</v>
      </c>
      <c r="G217" s="3">
        <f>1654.6+(141.9-70.2)+(-1.687692+(-0.144738--0.071604))+0-12.3--0.012546000000002</f>
        <v>1712.25172</v>
      </c>
      <c r="H217" s="3">
        <f>1568+(166.1-44.2)+(0+(0-0))+0-12-0</f>
        <v>1677.9</v>
      </c>
      <c r="I217" s="3">
        <f>1476.2+(237.5-37.7)+(1.505724+(0.24225-0.038454))+0-11.9-0.0121380000000019</f>
        <v>1665.797382</v>
      </c>
      <c r="J217" s="3">
        <f>1475.4+(259.6-49.7)+(0.752454+(0.132396-0.025347))+0-11.9-0.00606899999999879</f>
        <v>1674.253434</v>
      </c>
      <c r="K217" s="3">
        <f>1585+(163.3-88.8)+(0+(0-0))+0-9.2-0</f>
        <v>1650.3</v>
      </c>
      <c r="L217" s="3">
        <f>1539.6+(208.9-83)+(3.140784+(0.426156-0.16932))+0-0-0</f>
        <v>1668.89762</v>
      </c>
      <c r="M217" s="3">
        <f>1681.8+(185.1-77)+(1.715436+(0.188802-0.07854))+0--2.3--0.00234600000000037</f>
        <v>1794.0280439999999</v>
      </c>
      <c r="N217" s="3">
        <f>1920.8+(142.1-147.1)+(-0.979608+(-0.072471--0.075021))+0--2.2-0.00112199999999978</f>
        <v>1917.0218200000002</v>
      </c>
      <c r="O217" s="3">
        <f>1947+(149.3-126.2)+(0.99297+(0.076143-0.064362))+0--2.3--0.00117299999999977</f>
        <v>1973.4059239999999</v>
      </c>
      <c r="P217" s="3">
        <f>1986.9+(142.3-134)+(-3.039957+(-0.217719--0.20502))+0--2.3-0.00351900000000013</f>
        <v>1994.4438249999998</v>
      </c>
      <c r="Q217" s="3">
        <f>1998.1+(143.4-128.1)+(-1.019031+(-0.073134--0.065331))+0--2.3-0.00117299999999977</f>
        <v>2014.6719929999997</v>
      </c>
      <c r="R217" s="3">
        <f>1941.3+(151.9-115.1)+(-4.950315+(-0.387345--0.293505))+0--2.2-0.00560999999999968</f>
        <v>1975.250235</v>
      </c>
      <c r="S217" s="3">
        <f>1878.2+(170.9-105.7)+(-0.957882+(-0.087159--0.053907))+0--2.3-0.00117299999999977</f>
        <v>1944.7076929999998</v>
      </c>
      <c r="T217" s="3">
        <f>1839.7+(188.5-86.6)+(0+(0-0))+0--2.3-0</f>
        <v>1943.9</v>
      </c>
      <c r="U217" s="3">
        <f>1795.9+(208-81)+(-5.495454+(-0.63648--0.24786))+0--2.3-0.00703800000000027</f>
        <v>1919.308888</v>
      </c>
      <c r="V217" s="3">
        <f>1824.6+(235.8-87.2)+(-0.930546+(-0.120258--0.044472))+0--2.5-0.00127499999999975</f>
        <v>1974.6923929999998</v>
      </c>
      <c r="W217" s="3">
        <f>2032.4+(294.8-93.9)+(0+(0-0))+0--3.1-0</f>
        <v>2236.4</v>
      </c>
      <c r="X217" s="3">
        <f>2067.6+(252.7-90.1)+(-6.326856+(-0.773262--0.275706))+0--2.8-0.00856800000000032</f>
        <v>2226.1670199999999</v>
      </c>
      <c r="Y217" s="3">
        <f>2001.5+(273.1-82.6)+(-2.04153+(-0.278562--0.084252))+0--1.1-0.00112200000000018</f>
        <v>2190.863038</v>
      </c>
      <c r="Z217" s="3">
        <f>1935.1+(274.5-77.7)+(-3.947604+(-0.55998--0.158508))+0-0-0</f>
        <v>2127.5509240000001</v>
      </c>
      <c r="AA217" s="3">
        <f>1931.4+(179.6-53.8)+(-2.955042+(-0.274788--0.082314))+0-0-0</f>
        <v>2054.0524840000003</v>
      </c>
      <c r="AB217" s="3">
        <f>1833.5+(182.8-45.6)+(-3.74034+(-0.372912--0.093024))+0-0-0</f>
        <v>1966.679772</v>
      </c>
      <c r="AC217" s="3">
        <f>1772.3+(153.8-56.9)+(-3.615492+(-0.313752--0.116076))+0-0-0</f>
        <v>1865.3868320000001</v>
      </c>
      <c r="AD217">
        <v>2239.3000000000002</v>
      </c>
      <c r="AE217" s="3">
        <f>2076+(250.9-90.6)+(0+(0-0))+0--3-0</f>
        <v>2239.3000000000002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1681.6+(151.2-54.6)+(-1.715232+(-0.154224--0.055692))+0-2.5--0.0025500000000004</f>
        <v>1773.8887859999998</v>
      </c>
      <c r="G218" s="3">
        <f>1620.1+(157.7-53)+(0+(0-0))+0-2.9-0</f>
        <v>1721.8999999999999</v>
      </c>
      <c r="H218" s="3">
        <f>1605.5+(151.1-58.8)+(0+(0-0))+0-3.1-0</f>
        <v>1694.7</v>
      </c>
      <c r="I218" s="3">
        <f>1606.8+(145-64.1)+(0+(0-0))+0-5.3-0</f>
        <v>1682.4</v>
      </c>
      <c r="J218" s="3">
        <f>1671+(143.7-119.6)+(0.85221+(0.073287-0.060996))+0-5-0.00254999999999949</f>
        <v>1690.961951</v>
      </c>
      <c r="K218" s="3">
        <f>1704.5+(144.1-170.7)+(-2.607885+(-0.220473--0.261171))+0-4.6--0.00703800000000027</f>
        <v>1670.739851</v>
      </c>
      <c r="L218" s="3">
        <f>1680.9+(143.8-134.5)+(0.857259+(0.073338-0.068595))+0-4.3-0.00219299999999956</f>
        <v>1686.7598090000001</v>
      </c>
      <c r="M218" s="3">
        <f>1843.6+(142.8-175.2)+(0.940236+(0.072828-0.089352))+0-4.3-0.00219299999999956</f>
        <v>1807.8215189999999</v>
      </c>
      <c r="N218" s="3">
        <f>1991.5+(143.1-207.1)+(-1.015665+(-0.072981--0.105621))+0-4.7--0.00239699999999952</f>
        <v>1921.8193719999999</v>
      </c>
      <c r="O218" s="3">
        <f>2021+(136.8-171.4)+(1.03071+(0.069768-0.087414))+0-4.6-0.00234599999999953</f>
        <v>1982.8107180000002</v>
      </c>
      <c r="P218" s="3">
        <f>2010.7+(139.4-124.2)+(0+(0-0))+0-4.3-0</f>
        <v>2021.6000000000001</v>
      </c>
      <c r="Q218" s="3">
        <f>1996.4+(142.5-114.3)+(-1.018164+(-0.072675--0.058293))+0-4.2--0.00214199999999957</f>
        <v>2019.3695960000002</v>
      </c>
      <c r="R218" s="3">
        <f>1983.2+(141.9-137.6)+(-5.05716+(-0.361845--0.35088))+0-4.4--0.0112199999999994</f>
        <v>1978.043095</v>
      </c>
      <c r="S218" s="3">
        <f>1991.1+(140.4-163)+(-6.092766+(-0.429624--0.49878))+0-4.1--0.0125460000000005</f>
        <v>1958.3889360000001</v>
      </c>
      <c r="T218" s="3">
        <f>1998.2+(143-204.9)+(0+(0-0))+0-4.4-0</f>
        <v>1931.8999999999999</v>
      </c>
      <c r="U218" s="3">
        <f>1991.4+(142.2-189.8)+(-3.046842+(-0.217566--0.290394))+0-4.3--0.00657900000000025</f>
        <v>1936.5325650000004</v>
      </c>
      <c r="V218" s="3">
        <f>2004.4+(118.2-117.1)+(-1.022244+(-0.060282--0.059721))+0-4.3--0.00219299999999956</f>
        <v>2000.179388</v>
      </c>
      <c r="W218" s="3">
        <f>2017+(318.8-90.3)+(0+(0-0))+0-4.5-0</f>
        <v>2241</v>
      </c>
      <c r="X218" s="3">
        <f>2011+(309.2-89.6)+(-3.07683+(-0.473076--0.137088))+0-4.5--0.00688500000000026</f>
        <v>2222.6940669999999</v>
      </c>
      <c r="Y218" s="3">
        <f>2013.6+(263.2-79.6)+(-3.080808+(-0.402696--0.121788))+0-4.5--0.00688500000000026</f>
        <v>2189.3451689999997</v>
      </c>
      <c r="Z218" s="3">
        <f>2018.1+(194.4-65.9)+(-3.087693+(-0.297432--0.100827))+0-4.4--0.00673200000000026</f>
        <v>2138.9224339999996</v>
      </c>
      <c r="AA218" s="3">
        <f>2024.5+(145.9-100.7)+(-2.06499+(-0.148818--0.102714))+0-5--0.0051000000000008</f>
        <v>2062.5940059999998</v>
      </c>
      <c r="AB218" s="3">
        <f>1975.7+(145.6-119.3)+(-5.038035+(-0.37128--0.304215))+0-5.4--0.0137699999999992</f>
        <v>1991.5086699999999</v>
      </c>
      <c r="AC218" s="3">
        <f>1739+(188.6-39.3)+(-1.77378+(-0.192372--0.040086))+0-4.9--0.00499800000000078</f>
        <v>1881.478932</v>
      </c>
      <c r="AD218">
        <v>2232.4</v>
      </c>
      <c r="AE218" s="3">
        <f>2023+(304-90)+(0+(0-0))+0-4.6-0</f>
        <v>2232.4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1732+(142.4-72.9)+(-0.88332+(-0.072624--0.037179))+0-4.7--0.00239699999999952</f>
        <v>1795.883632</v>
      </c>
      <c r="G219" s="3">
        <f>1719.2+(142.5-107.8)+(-3.507168+(-0.2907--0.219912))+0-4.6--0.0093839999999998</f>
        <v>1745.7314280000001</v>
      </c>
      <c r="H219" s="3">
        <f>1706+(142.8-123)+(-4.3503+(-0.36414--0.31365))+0-4.6--0.0117299999999993</f>
        <v>1716.8109400000001</v>
      </c>
      <c r="I219" s="3">
        <f>1615.9+(150.9-60.9)+(-1.648218+(-0.153918--0.062118))+0-6.9--0.0070380000000011</f>
        <v>1697.26702</v>
      </c>
      <c r="J219" s="3">
        <f>1549+(200-50.7)+(0.78999+(0.102-0.025857))+0-9.2-0.00469199999999907</f>
        <v>1689.9614409999999</v>
      </c>
      <c r="K219" s="3">
        <f>1552.7+(216.8-81.1)+(0.791877+(0.110568-0.041361))+0-9.4-0.00479399999999905</f>
        <v>1679.8562899999999</v>
      </c>
      <c r="L219" s="3">
        <f>1604.3+(175.6-75.2)+(2.454579+(0.268668-0.115056))+0-9.6-0.0146880000000006</f>
        <v>1697.6935030000002</v>
      </c>
      <c r="M219" s="3">
        <f>1967.1+(142.3-253.1)+(-1.003221+(-0.072573--0.129081))+0-10.1--0.00515099999999898</f>
        <v>1845.2584380000001</v>
      </c>
      <c r="N219" s="3">
        <f>1984.1+(139.8-174.3)+(2.023782+(0.142596-0.177786))+0-10.5-0.0107100000000017</f>
        <v>1941.0778819999998</v>
      </c>
      <c r="O219" s="3">
        <f>1998.2+(143.9-139.4)+(-2.038164+(-0.146778--0.142188))+0-11.2--0.0114240000000018</f>
        <v>1989.46867</v>
      </c>
      <c r="P219" s="3">
        <f>1999+(142.9-109.3)+(-4.07796+(-0.291516--0.222972))+0-11--0.0224399999999995</f>
        <v>2017.4759359999998</v>
      </c>
      <c r="Q219" s="3">
        <f>2001.4+(143.1-100)+(-2.041428+(-0.145962--0.102))+0-11.2--0.0114240000000018</f>
        <v>2031.226034</v>
      </c>
      <c r="R219" s="3">
        <f>1981.4+(141.9-110.7)+(-4.042056+(-0.289476--0.225828))+0-11.1--0.0226439999999995</f>
        <v>1997.4169400000001</v>
      </c>
      <c r="S219" s="3">
        <f>1940.4+(157.4-95.5)+(-0.989604+(-0.080274--0.048705))+0-11.4--0.00581399999999884</f>
        <v>1989.8846410000001</v>
      </c>
      <c r="T219" s="3">
        <f>1933.3+(136.3-101.3)+(2.957949+(0.208539-0.154989))+0-13.5-0.0206550000000008</f>
        <v>1957.7908439999999</v>
      </c>
      <c r="U219" s="3">
        <f>1924.5+(124.9-86.5)+(-4.907475+(-0.318495--0.220575))+0-13.6--0.034679999999998</f>
        <v>1944.3292850000003</v>
      </c>
      <c r="V219" s="3">
        <f>1957.3+(170.5-86.1)+(-0.998223+(-0.086955--0.043911))+0-13.1--0.00668099999999867</f>
        <v>2027.5654140000001</v>
      </c>
      <c r="W219" s="3">
        <f>2259.8+(104.6-91.1)+(-1.152498+(-0.053346--0.046461))+0-13.3--0.00678299999999865</f>
        <v>2258.8473999999997</v>
      </c>
      <c r="X219" s="3">
        <f>2332.7+(51.1-111.1)+(-5.948385+(-0.130305--0.283305))+0-12.9--0.0328949999999981</f>
        <v>2254.0375099999997</v>
      </c>
      <c r="Y219" s="3">
        <f>2357.4+(83.4-203.3)+(-1.202274+(-0.042534--0.103683))+0-12.9--0.00657899999999869</f>
        <v>2223.4654539999997</v>
      </c>
      <c r="Z219" s="3">
        <f>2354.6+(123.3-278)+(-2.401692+(-0.125766--0.28356))+0-12.9--0.0131580000000021</f>
        <v>2184.76926</v>
      </c>
      <c r="AA219" s="3">
        <f>2332.3+(142.5-354.4)+(-4.757892+(-0.2907--0.722976))+0-12.4--0.0252959999999995</f>
        <v>2103.6996799999997</v>
      </c>
      <c r="AB219" s="3">
        <f>2164.3+(142.6-276)+(-3.311379+(-0.218178--0.42228))+0-12.3--0.0188190000000007</f>
        <v>2015.511542</v>
      </c>
      <c r="AC219" s="3">
        <f>2155.7+(142.9-360.3)+(-4.397628+(-0.291516--0.735012))+0-12.6--0.0257039999999995</f>
        <v>1921.7715719999997</v>
      </c>
      <c r="AD219">
        <v>2281.6</v>
      </c>
      <c r="AE219" s="3">
        <f>2364+(28.3-97.4)+(0+(0-0))+0-13.3-0</f>
        <v>2281.6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2034.8+(143-325.6)+(-5.18874+(-0.36465--0.83028))+0-12.8--0.0326399999999981</f>
        <v>1834.7095299999999</v>
      </c>
      <c r="G220" s="3">
        <f>1804.6+(143.4-179.1)+(-0.920346+(-0.073134--0.091341))+0-12.4--0.00632399999999874</f>
        <v>1755.6041849999997</v>
      </c>
      <c r="H220" s="3">
        <f>1801.1+(143.4-204)+(-0.918561+(-0.073134--0.10404))+0-12.4--0.00632399999999874</f>
        <v>1727.2186689999999</v>
      </c>
      <c r="I220" s="3">
        <f>1783.7+(143.1-197.9)+(-1.819374+(-0.145962--0.201858))+0-12.5--0.012750000000002</f>
        <v>1714.6492720000001</v>
      </c>
      <c r="J220" s="3">
        <f>1739.2+(143.4-140.8)+(-0.886992+(-0.073134--0.071808))+0-12.7--0.00647699999999871</f>
        <v>1728.2181589999998</v>
      </c>
      <c r="K220" s="3">
        <f>1886.4+(142.7-291.4)+(-0.962064+(-0.072777--0.148614))+0-12.7--0.00647699999999871</f>
        <v>1724.1202499999999</v>
      </c>
      <c r="L220" s="3">
        <f>1922.9+(142.8-306.3)+(-1.961358+(-0.145656--0.312426))+0-12.2--0.0124440000000019</f>
        <v>1745.417856</v>
      </c>
      <c r="M220" s="3">
        <f>2128.5+(141.8-391.5)+(0+(0-0))+0-12.9-0</f>
        <v>1865.8999999999999</v>
      </c>
      <c r="N220" s="3">
        <f>2318.7+(139.8-465.8)+(-2.365074+(-0.142596--0.475116))+0-15.5--0.0158100000000025</f>
        <v>1975.183256</v>
      </c>
      <c r="O220" s="3">
        <f>2338+(139-400.1)+(2.38476+(0.14178-0.408102))+0-37-0.0377400000000059</f>
        <v>2041.9806980000001</v>
      </c>
      <c r="P220" s="3">
        <f>2346.5+(142-368.6)+(-4.78686+(-0.28968--0.751944))+0-36--0.0734399999999984</f>
        <v>2079.6488440000003</v>
      </c>
      <c r="Q220" s="3">
        <f>2381.6+(142-385.9)+(-1.214616+(-0.07242--0.196809))+0-44--0.0224399999999955</f>
        <v>2092.6322129999999</v>
      </c>
      <c r="R220" s="3">
        <f>2392.6+(142-395.7)+(-2.440452+(-0.14484--0.403614))+0-86--0.0877200000000137</f>
        <v>2050.8060420000002</v>
      </c>
      <c r="S220" s="3">
        <f>2348.4+(143-391)+(-3.593052+(-0.21879--0.59823))+0-60--0.0918000000000035</f>
        <v>2037.278188</v>
      </c>
      <c r="T220" s="3">
        <f>2346.7+(143-430.2)+(0+(0-0))+0-31-0</f>
        <v>2028.5</v>
      </c>
      <c r="U220" s="3">
        <f>2372.6+(108-459.2)+(1.210026+(0.05508-0.234192))+0-25-0.0127499999999975</f>
        <v>1997.4181639999997</v>
      </c>
      <c r="V220" s="3">
        <f>2351.6+(119-337)+(-2.398632+(-0.12138--0.34374))+0-26--0.0265200000000041</f>
        <v>2105.4502479999996</v>
      </c>
      <c r="W220" s="3">
        <f>2423.7+(97-135.2)+(0+(0-0))+0-77-0</f>
        <v>2308.5</v>
      </c>
      <c r="X220" s="3">
        <f>2550+(107-276.8)+(-3.9015+(-0.16371--0.423504))+0-87--0.133110000000005</f>
        <v>2289.6914040000001</v>
      </c>
      <c r="Y220" s="3">
        <f>2546.7+(138-329.1)+(-2.597634+(-0.14076--0.335682))+0-90--0.0918000000000144</f>
        <v>2263.289088</v>
      </c>
      <c r="Z220" s="3">
        <f>2574.7+(142.6-436)+(-2.626194+(-0.145452--0.44472))+0-73.3--0.0747660000000117</f>
        <v>2205.7478399999995</v>
      </c>
      <c r="AA220" s="3">
        <f>2549.4+(144.6-483.1)+(-2.600388+(-0.147492--0.492762))+0-85.9--0.0876180000000137</f>
        <v>2122.8325</v>
      </c>
      <c r="AB220" s="3">
        <f>2462.9+(142.4-469)+(0+(0-0))+0-81.7-0</f>
        <v>2054.6000000000004</v>
      </c>
      <c r="AC220" s="3">
        <f>2300.8+(142.9-423.2)+(-3.520224+(-0.218637--0.647496))+0-66.3--0.101439000000004</f>
        <v>1951.2100740000003</v>
      </c>
      <c r="AD220">
        <v>2355</v>
      </c>
      <c r="AE220" s="3">
        <f>2524+(85-169)+(0+(0-0))+0-85-0</f>
        <v>2355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2147.7+(142.6-367.3)+(-2.190654+(-0.145452--0.374646))+0-76.9--0.0784380000000123</f>
        <v>1844.2169779999997</v>
      </c>
      <c r="G221" s="3">
        <f>1964.2+(142.3-264)+(-1.001742+(-0.072573--0.13464))+0-64.8--0.0330479999999934</f>
        <v>1776.793373</v>
      </c>
      <c r="H221" s="3">
        <f>1795.3+(142.4-181.2)+(2.746809+(0.217872-0.277236))+0-22.6-0.0345780000000013</f>
        <v>1736.5528670000001</v>
      </c>
      <c r="I221" s="3">
        <f>1725.1+(142.4-124.6)+(-3.519204+(-0.290496--0.254184))+0-25.5--0.0520199999999989</f>
        <v>1713.896504</v>
      </c>
      <c r="J221" s="3">
        <f>1695.1+(142.8-93.2)+(1.729002+(0.145656-0.095064))+0-19.3-0.0196860000000031</f>
        <v>1727.1599079999999</v>
      </c>
      <c r="K221" s="3">
        <f>1683.9+(142.4-98.5)+(-2.576367+(-0.217872--0.150705))+0-21.5--0.0328950000000012</f>
        <v>1703.6893610000002</v>
      </c>
      <c r="L221" s="3">
        <f>1706.1+(142.5-132.4)+(-1.740222+(-0.14535--0.135048))+0-21.1--0.0215220000000034</f>
        <v>1693.3709979999999</v>
      </c>
      <c r="M221" s="3">
        <f>1948.8+(144.7-238.3)+(0.993888+(0.073797-0.121533))+0-21.4-0.0109139999999978</f>
        <v>1834.7352379999998</v>
      </c>
      <c r="N221" s="3">
        <f>2255.1+(145.4-410)+(3.450303+(0.222462-0.6273))+0-18.2-0.0278460000000011</f>
        <v>1975.3176189999999</v>
      </c>
      <c r="O221" s="3">
        <f>2341.8+(145.1-404)+(1.194318+(0.074001-0.20604))+0-17.3-0.00882299999999825</f>
        <v>2066.653456</v>
      </c>
      <c r="P221" s="3">
        <f>2268.4+(143.9-297.6)+(1.156884+(0.073389-0.151776))+0-17-0.00866999999999828</f>
        <v>2098.7698270000001</v>
      </c>
      <c r="Q221" s="3">
        <f>2241.6+(143.1-254.7)+(-5.71608+(-0.364905--0.649485))+0-22.3--0.0568649999999968</f>
        <v>2102.3253649999997</v>
      </c>
      <c r="R221" s="3">
        <f>2234.6+(143.2-289.5)+(-4.558584+(-0.292128--0.59058))+0-22.7--0.046307999999999</f>
        <v>2061.386176</v>
      </c>
      <c r="S221" s="3">
        <f>2228.5+(143.7-310.6)+(-5.682675+(-0.366435--0.79203))+0-22.4--0.0571199999999967</f>
        <v>2034.0000399999999</v>
      </c>
      <c r="T221" s="3">
        <f>2261.4+(144.2-396.8)+(-1.153314+(-0.073542--0.202368))+0-21.5--0.0109649999999978</f>
        <v>1986.2864770000001</v>
      </c>
      <c r="U221" s="3">
        <f>2271.4+(142.3-405.4)+(-3.475242+(-0.217719--0.620262))+0-22.9--0.0350370000000013</f>
        <v>1982.3623380000001</v>
      </c>
      <c r="V221" s="3">
        <f>2292.8+(113.9-323.8)+(-1.169328+(-0.058089--0.165138))+0-22.5--0.0114749999999977</f>
        <v>2059.3491959999997</v>
      </c>
      <c r="W221" s="3">
        <f>2406+(83.4-228.7)+(0+(0-0))+0-19.6-0</f>
        <v>2241.1</v>
      </c>
      <c r="X221" s="3">
        <f>2408.6+(87.4-277.2)+(-1.228386+(-0.044574--0.141372))+0-19.1--0.00974099999999806</f>
        <v>2198.5781529999995</v>
      </c>
      <c r="Y221" s="3">
        <f>2264+(114.1-194.8)+(1.15464+(0.058191-0.099348))+0-22.6-0.0115259999999977</f>
        <v>2161.8019570000006</v>
      </c>
      <c r="Z221" s="3">
        <f>2076.5+(138.1-82.2)+(-3.177045+(-0.211293--0.125766))+0-22.7--0.0347310000000013</f>
        <v>2106.4721590000004</v>
      </c>
      <c r="AA221" s="3">
        <f>1926.5+(191.3-54.4)+(-0.982515+(-0.097563--0.027744))+0-31.4--0.0160139999999968</f>
        <v>2030.9636800000001</v>
      </c>
      <c r="AB221" s="3">
        <f>1948+(179.3-47.1)+(-1.98696+(-0.182886--0.048042))+0-87.3--0.0890460000000139</f>
        <v>1990.867242</v>
      </c>
      <c r="AC221" s="3">
        <f>1930.2+(142.7-73.2)+(-1.968804+(-0.145554--0.074664))+0-85--0.0867000000000136</f>
        <v>1912.7470060000001</v>
      </c>
      <c r="AD221">
        <v>2186.1000000000004</v>
      </c>
      <c r="AE221" s="3">
        <f>2450+(79.3-324.5)+(0+(0-0))+0-18.7-0</f>
        <v>2186.1000000000004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1917.8+(143.4-171.8)+(-1.956156+(-0.146268--0.175236))+0-72.9--0.0743580000000116</f>
        <v>1814.64717</v>
      </c>
      <c r="G222" s="3">
        <f>1837.4+(142.9-153.4)+(1.874148+(0.145758-0.156468))+0-84.3-0.0859860000000134</f>
        <v>1744.3774520000002</v>
      </c>
      <c r="H222" s="3">
        <f>1784.9+(143.7-150.9)+(0+(0-0))+0-72.2-0</f>
        <v>1705.5</v>
      </c>
      <c r="I222" s="3">
        <f>1742.2+(143.5-116.6)+(-1.777044+(-0.14637--0.118932))+0-79.7--0.0812940000000127</f>
        <v>1687.6768120000002</v>
      </c>
      <c r="J222" s="3">
        <f>1713.1+(143.3-110.5)+(5.242086+(0.438498-0.33813))+0-64.3-0.196758000000007</f>
        <v>1686.745696</v>
      </c>
      <c r="K222" s="3">
        <f>1746.8+(143.2-212.5)+(0+(0-0))+0-23.5-0</f>
        <v>1654</v>
      </c>
      <c r="L222" s="3">
        <f>1703.7+(142.6-157.7)+(-0.868887+(-0.072726--0.080427))+0-94.7--0.0482969999999904</f>
        <v>1593.087111</v>
      </c>
      <c r="M222" s="3">
        <f>1730+(142.6-173.1)+(-0.8823+(-0.072726--0.088281))+0-87--0.0443699999999912</f>
        <v>1611.677625</v>
      </c>
      <c r="N222" s="3">
        <f>1825.8+(142.1-230.1)+(2.793474+(0.217413-0.352053))+0-64-0.0979200000000037</f>
        <v>1676.3609140000001</v>
      </c>
      <c r="O222" s="3">
        <f>1822.3+(141-163.3)+(0.929373+(0.07191-0.083283))+0-79.9-0.0407489999999919</f>
        <v>1720.9772509999998</v>
      </c>
      <c r="P222" s="3">
        <f>1888.1+(141.9-174)+(0+(0-0))+0-85.3-0</f>
        <v>1770.7</v>
      </c>
      <c r="Q222" s="3">
        <f>1976.4+(142.1-227.9)+(-3.023892+(-0.217413--0.348687))+0-89.4--0.136782000000005</f>
        <v>1798.444164</v>
      </c>
      <c r="R222" s="3">
        <f>1948+(142.9-213.9)+(-1.98696+(-0.145758--0.218178))+0-82.1--0.0837420000000131</f>
        <v>1793.0692020000001</v>
      </c>
      <c r="S222" s="3">
        <f>1946+(142.7-236.3)+(-3.96984+(-0.291108--0.482052))+0-44.8--0.091391999999998</f>
        <v>1803.9124960000001</v>
      </c>
      <c r="T222" s="3">
        <f>1896+(142.6-233.6)+(-2.90088+(-0.218178--0.357408))+0-27.5--0.0420750000000016</f>
        <v>1774.7804250000002</v>
      </c>
      <c r="U222" s="3">
        <f>1848+(130.4-167.7)+(0+(0-0))+0-48.5-0</f>
        <v>1762.2</v>
      </c>
      <c r="V222" s="3">
        <f>1986+(98.2-142.8)+(1.01286+(0.050082-0.072828))+0-72.5-0.0369749999999926</f>
        <v>1869.8531390000001</v>
      </c>
      <c r="W222" s="3">
        <f>2035+(208.2-84.4)+(0+(0-0))+0-93.5-0</f>
        <v>2065.3000000000002</v>
      </c>
      <c r="X222" s="3">
        <f>2009+(181.1-82.4)+(-5.12295+(-0.461805--0.21012))+0-100--0.254999999999986</f>
        <v>2002.5803649999996</v>
      </c>
      <c r="Y222" s="3">
        <f>2016+(205.9-67)+(-5.1408+(-0.525045--0.17085))+0-90--0.229499999999987</f>
        <v>2059.634505</v>
      </c>
      <c r="Z222" s="3">
        <f>2010+(218.4-55.2)+(-4.1004+(-0.445536--0.112608))+0-98--0.199919999999996</f>
        <v>2070.9665919999998</v>
      </c>
      <c r="AA222" s="3">
        <f>2041+(34.3-45.7)+(0+(0-0))+0-82-0</f>
        <v>1947.6</v>
      </c>
      <c r="AB222" s="3">
        <f>2002+(115-56.8)+(-4.08408+(-0.2346--0.115872))+0-89--0.181559999999996</f>
        <v>1967.1787519999998</v>
      </c>
      <c r="AC222" s="3">
        <f>1930+(130-148.3)+(-4.9215+(-0.3315--0.378165))+0-86--0.219299999999988</f>
        <v>1821.0444649999999</v>
      </c>
      <c r="AD222">
        <v>2024.4</v>
      </c>
      <c r="AE222" s="3">
        <f>2005+(199.4-88.6)+(0+(0-0))+0-91.4-0</f>
        <v>2024.4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1857.4+(144-238.5)+(-3.789096+(-0.29376--0.48654))+0-96--0.195839999999996</f>
        <v>1663.4995240000003</v>
      </c>
      <c r="G223" s="3">
        <f>1727.6+(144.4-126.5)+(-0.881076+(-0.073644--0.064515))+0-85.5--0.0436049999999913</f>
        <v>1659.1534000000001</v>
      </c>
      <c r="H223" s="3">
        <f>1700.2+(144.5-122.5)+(0.867102+(0.073695-0.062475))+0-83.1-0.0423809999999916</f>
        <v>1639.9359410000002</v>
      </c>
      <c r="I223" s="3">
        <f>1620.3+(150-49)+(-2.479059+(-0.2295--0.07497))+0-88.6--0.135558000000005</f>
        <v>1630.201969</v>
      </c>
      <c r="J223" s="3">
        <f>1611.4+(166.5-48.8)+(-0.821814+(-0.084915--0.024888))+0-90.7--0.0462569999999908</f>
        <v>1637.5644160000002</v>
      </c>
      <c r="K223" s="3">
        <f>1671.7+(144.9-96.6)+(0+(0-0))+0-84.2-0</f>
        <v>1635.8</v>
      </c>
      <c r="L223" s="3">
        <f>1716.1+(144.5-102.4)+(0+(0-0))+0-87.1-0</f>
        <v>1671.1</v>
      </c>
      <c r="M223" s="3">
        <f>1953.5+(143.7-252.2)+(2.988855+(0.219861-0.385866))+0-39.9-0.0610470000000023</f>
        <v>1807.861803</v>
      </c>
      <c r="N223" s="3">
        <f>2066.8+(142.8-199.7)+(2.108136+(0.145656-0.203694))+0-86.7-0.0884340000000138</f>
        <v>1925.161664</v>
      </c>
      <c r="O223" s="3">
        <f>2136.2+(142.5-182.6)+(1.089462+(0.072675-0.093126))+0-86.6-0.0441659999999912</f>
        <v>2010.5248450000001</v>
      </c>
      <c r="P223" s="3">
        <f>2257+(142-280.8)+(2.30214+(0.14484-0.286416))+0-60-0.0612000000000096</f>
        <v>2060.2993639999995</v>
      </c>
      <c r="Q223" s="3">
        <f>2425.3+(142-407)+(1.236903+(0.07242-0.20757))+0-69-0.035189999999993</f>
        <v>2092.366563</v>
      </c>
      <c r="R223" s="3">
        <f>2409+(142-386.8)+(-3.68577+(-0.21726--0.591804))+0-97--0.148410000000006</f>
        <v>2064.0371839999998</v>
      </c>
      <c r="S223" s="3">
        <f>2449+(142-426.4)+(-1.24899+(-0.07242--0.217464))+0-85--0.0433499999999914</f>
        <v>2078.5394039999996</v>
      </c>
      <c r="T223" s="3">
        <f>2441+(142-453.5)+(0+(0-0))+0-95-0</f>
        <v>2034.5</v>
      </c>
      <c r="U223" s="3">
        <f>2423.4+(85-420.9)+(-3.707802+(-0.13005--0.643977))+0-99--0.151470000000006</f>
        <v>1985.4575950000001</v>
      </c>
      <c r="V223" s="3">
        <f>2474.9+(35-326.6)+(3.786597+(0.05355-0.499698))+0-92-0.140760000000005</f>
        <v>2094.4996889999998</v>
      </c>
      <c r="W223" s="3">
        <f>2746.6+(25-357.6)+(2.801532+(0.0255-0.364752))+0-95-0.0969000000000152</f>
        <v>2321.3653800000002</v>
      </c>
      <c r="X223" s="3">
        <f>2786.2+(0-383.8)+(-4.262886+(0--0.587214))+0-0-0</f>
        <v>2398.7243279999998</v>
      </c>
      <c r="Y223" s="3">
        <f>2691.7+(32.6-438.7)+(-1.372767+(-0.016626--0.223737))+0-90.9--0.0463589999999908</f>
        <v>2193.5807029999996</v>
      </c>
      <c r="Z223" s="3">
        <f>2624.4+(84.3-453.4)+(-2.676888+(-0.085986--0.462468))+0-91.5--0.0933300000000146</f>
        <v>2161.5929240000005</v>
      </c>
      <c r="AA223" s="3">
        <f>2498.9+(114.8-438.5)+(-3.823317+(-0.175644--0.670905))+0-88.6--0.135558000000005</f>
        <v>2083.4075020000005</v>
      </c>
      <c r="AB223" s="3">
        <f>2384.5+(123.1-429.3)+(-4.86438+(-0.251124--0.875772))+0-69.7--0.142187999999997</f>
        <v>2004.5024560000002</v>
      </c>
      <c r="AC223" s="3">
        <f>2026.1+(143.7-196.9)+(-3.099933+(-0.219861--0.301257))+0-78.5--0.120105000000005</f>
        <v>1891.5015679999999</v>
      </c>
      <c r="AD223">
        <v>2323.1</v>
      </c>
      <c r="AE223" s="3">
        <f>2822+(21-433.9)+(0+(0-0))+0-86-0</f>
        <v>2323.1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1921.7+(142.5-182)+(-0.980067+(-0.072675--0.09282))+0-80.1--0.0408509999999919</f>
        <v>1801.1809290000001</v>
      </c>
      <c r="G224" s="3">
        <f>1901.3+(142.4-223.9)+(-2.908989+(-0.217872--0.342567))+0-82.6--0.126378000000005</f>
        <v>1734.5420839999999</v>
      </c>
      <c r="H224" s="3">
        <f>1832+(143.5-196.2)+(1.86864+(0.14637-0.200124))+0-84.5-0.0861900000000135</f>
        <v>1696.5286959999999</v>
      </c>
      <c r="I224" s="3">
        <f>1808.1+(142.3-181.3)+(1.844262+(0.145146-0.184926))+0-85.4-0.0871080000000136</f>
        <v>1685.4173739999999</v>
      </c>
      <c r="J224" s="3">
        <f>1843+(104.7-183.1)+(0.93993+(0.053397-0.093381))+0-71.7-0.0365669999999927</f>
        <v>1693.7633789999998</v>
      </c>
      <c r="K224" s="3">
        <f>1901.4+(74.2-193.4)+(0+(0-0))+0-77.8-0</f>
        <v>1704.4</v>
      </c>
      <c r="L224" s="3">
        <f>1998.9+(54.3-273.6)+(0+(0-0))+0-80.2-0</f>
        <v>1699.4</v>
      </c>
      <c r="M224" s="3">
        <f>2158.5+(55.9-277.1)+(4.40334+(0.114036-0.565284))+0-89.4-0.182375999999996</f>
        <v>1851.6697159999999</v>
      </c>
      <c r="N224" s="3">
        <f>2360.7+(60.4-401)+(1.203957+(0.030804-0.20451))+0-65.8-0.0335579999999933</f>
        <v>1955.2966929999998</v>
      </c>
      <c r="O224" s="3">
        <f>2378.4+(70-341)+(-1.212984+(-0.0357--0.17391))+0-65.8--0.0335579999999933</f>
        <v>2040.5587840000001</v>
      </c>
      <c r="P224" s="3">
        <f>2381+(70.4-328.6)+(2.42862+(0.071808-0.335172))+0-65.7-0.0670140000000105</f>
        <v>2059.1982420000004</v>
      </c>
      <c r="Q224" s="3">
        <f>2390.1+(79.8-305.5)+(0+(0-0))+0-86.9-0</f>
        <v>2077.5</v>
      </c>
      <c r="R224" s="3">
        <f>2355.4+(95.3-308.7)+(-6.00627+(-0.243015--0.787185))+0-65.5--0.16702499999999</f>
        <v>2071.204925</v>
      </c>
      <c r="S224" s="3">
        <f>2301.3+(116.6-318.6)+(0+(0-0))+0-67.6-0</f>
        <v>2031.7000000000003</v>
      </c>
      <c r="T224" s="3">
        <f>2364.3+(83.3-399.7)+(1.205793+(0.042483-0.203847))+0-52.9-0.0269789999999946</f>
        <v>1996.0174500000001</v>
      </c>
      <c r="U224" s="3">
        <f>2345.1+(40-310.1)+(-2.392002+(-0.0408--0.316302))+0-68.5--0.0698700000000109</f>
        <v>2004.4533699999999</v>
      </c>
      <c r="V224" s="3">
        <f>2300.1+(16.8-159.1)+(3.519153+(0.025704-0.243423))+0-88.6-0.135558000000005</f>
        <v>2072.3658759999998</v>
      </c>
      <c r="W224" s="3">
        <f>2390.7+(62.9-98)+(2.438514+(0.064158-0.09996))+0-80-0.0816000000000128</f>
        <v>2277.921112</v>
      </c>
      <c r="X224" s="3">
        <f>2542.6+(0-217)+(-3.890178+(0--0.33201))+0-91--0.139230000000005</f>
        <v>2231.1810620000001</v>
      </c>
      <c r="Y224" s="3">
        <f>2526.5+(0-240.2)+(-5.15406+(0--0.490008))+0-82.2--0.167687999999996</f>
        <v>2199.6036360000003</v>
      </c>
      <c r="Z224" s="3">
        <f>2484.7+(9.4-264.5)+(-3.801591+(-0.014382--0.404685))+0-77.9--0.119187000000005</f>
        <v>2148.4078989999998</v>
      </c>
      <c r="AA224" s="3">
        <f>2485+(28.6-395.3)+(-5.0694+(-0.058344--0.806412))+0-44.8--0.091391999999998</f>
        <v>2069.2700599999998</v>
      </c>
      <c r="AB224" s="3">
        <f>2444+(60.4-420.3)+(-6.2322+(-0.15402--1.071765))+0-83.5--0.212924999999988</f>
        <v>1995.4984699999998</v>
      </c>
      <c r="AC224" s="3">
        <f>2185.6+(107.4-345.3)+(-3.343968+(-0.164322--0.528309))+0-46.3--0.0708390000000027</f>
        <v>1898.4908579999999</v>
      </c>
      <c r="AD224">
        <v>2211.1</v>
      </c>
      <c r="AE224" s="3">
        <f>2568+(0-265.9)+(0+(0-0))+0-91-0</f>
        <v>2211.1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2048.9+(94.8-263.9)+(-6.269634+(-0.290088--0.807534))+0-85.4--0.26132400000001</f>
        <v>1788.9091360000002</v>
      </c>
      <c r="G225" s="3">
        <f>1891.9+(103.1-198.4)+(-2.894607+(-0.157743--0.303552))+0-89.4--0.136782000000005</f>
        <v>1704.587984</v>
      </c>
      <c r="H225" s="3">
        <f>1891.4+(104.3-209.4)+(-2.893842+(-0.159579--0.320382))+0-78.5--0.120105000000005</f>
        <v>1705.1870660000002</v>
      </c>
      <c r="I225" s="3">
        <f>1783.2+(105.9-127.7)+(-1.818864+(-0.108018--0.130254))+0-77--0.0785400000000123</f>
        <v>1682.681912</v>
      </c>
      <c r="J225" s="3">
        <f>1848.3+(85.9-167.8)+(4.713165+(0.219045-0.42789))+0-66.7-0.17008499999999</f>
        <v>1704.0342349999999</v>
      </c>
      <c r="K225" s="3">
        <f>1921.9+(0-155.2)+(0.980169+(0-0.079152))+0-94.1-0.0479909999999905</f>
        <v>1673.4530260000001</v>
      </c>
      <c r="L225" s="3">
        <f>1950.7+(14-197.8)+(-0.994857+(-0.00714--0.100878))+0-70.7--0.0360569999999928</f>
        <v>1695.334938</v>
      </c>
      <c r="M225" s="3">
        <f>2082.2+(71.2-248.3)+(2.123844+(0.072624-0.253266))+0-80.8-0.0824160000000129</f>
        <v>1826.1607859999999</v>
      </c>
      <c r="N225" s="3">
        <f>2242.8+(70-322.6)+(1.143828+(0.0357-0.164526))+0-74.3-0.0378929999999925</f>
        <v>1916.8771090000005</v>
      </c>
      <c r="O225" s="3">
        <f>2353.1+(69-344)+(3.600243+(0.10557-0.52632))+0-94.6-0.144738000000005</f>
        <v>1986.5347550000001</v>
      </c>
      <c r="P225" s="3">
        <f>2511.7+(65.7-429.9)+(3.842901+(0.100521-0.657747))+0-67-0.102510000000004</f>
        <v>2083.6831649999999</v>
      </c>
      <c r="Q225" s="3">
        <f>2524.9+(75.4-416)+(-6.438495+(-0.19227--1.0608))+0-83.5--0.212924999999988</f>
        <v>2095.4429599999999</v>
      </c>
      <c r="R225" s="3">
        <f>2523.8+(90.5-490.2)+(-5.148552+(-0.18462--1.000008))+0-84--0.171359999999996</f>
        <v>2035.9381960000003</v>
      </c>
      <c r="S225" s="3">
        <f>2524.4+(92.5-495.4)+(-5.149776+(-0.1887--1.010616))+0-84.7--0.172787999999996</f>
        <v>2032.6449280000002</v>
      </c>
      <c r="T225" s="3">
        <f>2482.4+(98.2-500.3)+(1.266024+(0.050082-0.255153))+0-84.9-0.0432989999999914</f>
        <v>1996.4176540000003</v>
      </c>
      <c r="U225" s="3">
        <f>2347.5+(102.8-409.4)+(-7.18335+(-0.314568--1.252764))+0-70.7--0.216342000000008</f>
        <v>1964.171188</v>
      </c>
      <c r="V225" s="3">
        <f>2369.7+(53-284.6)+(3.625641+(0.08109-0.435438))+0-68.9-0.105417000000004</f>
        <v>2072.3658759999994</v>
      </c>
      <c r="W225" s="3">
        <f>2556.7+(21.4-248.2)+(5.215668+(0.043656-0.506328))+0-92.3-0.188291999999996</f>
        <v>2242.1647039999998</v>
      </c>
      <c r="X225" s="3">
        <f>2611.5+(19-355.2)+(-6.659325+(-0.04845--0.90576))+0-86.2--0.219809999999987</f>
        <v>2183.5177950000002</v>
      </c>
      <c r="Y225" s="3">
        <f>2647.9+(30.7-452.9)+(-6.752145+(-0.078285--1.154895))+0-78.8--0.200939999999989</f>
        <v>2141.4254050000004</v>
      </c>
      <c r="Z225" s="3">
        <f>2657.2+(49.6-512)+(-5.420688+(-0.101184--1.04448))+0-92.4--0.188495999999996</f>
        <v>2098.1111040000001</v>
      </c>
      <c r="AA225" s="3">
        <f>2525.9+(85.5-500.3)+(-6.441045+(-0.218025--1.275765))+0-88--0.224399999999987</f>
        <v>2017.9410950000001</v>
      </c>
      <c r="AB225" s="3">
        <f>2545.1+(84-598.9)+(2.596002+(0.08568-0.610878))+0-84.8-0.0864960000000135</f>
        <v>1947.3843079999997</v>
      </c>
      <c r="AC225" s="3">
        <f>2290.3+(125-447.9)+(-4.672212+(-0.255--0.913716))+0-88.4--0.180335999999996</f>
        <v>1875.1668399999999</v>
      </c>
      <c r="AD225">
        <v>2121.6</v>
      </c>
      <c r="AE225" s="3">
        <f>2492+(18.5-292.1)+(0+(0-0))+0-96.8-0</f>
        <v>2121.6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2067.7+(144.1-379.6)+(-4.218108+(-0.293964--0.774384))+0-72.2--0.147287999999997</f>
        <v>1756.4095999999997</v>
      </c>
      <c r="G226" s="3">
        <f>1941+(144.5-300.6)+(-3.95964+(-0.29478--0.613224))+0-87.5--0.178499999999996</f>
        <v>1693.937304</v>
      </c>
      <c r="H226" s="3">
        <f>1781.4+(144.6-194.7)+(0+(0-0))+0-80-0</f>
        <v>1651.3000000000002</v>
      </c>
      <c r="I226" s="3">
        <f>1773.2+(144.1-206.8)+(-3.617328+(-0.293964--0.421872))+0-71.9--0.146675999999997</f>
        <v>1635.2572559999999</v>
      </c>
      <c r="J226" s="3">
        <f>1788.1+(109.5-178.8)+(2.735793+(0.167535-0.273564))+0-83.9-0.128367000000005</f>
        <v>1637.4013969999999</v>
      </c>
      <c r="K226" s="3">
        <f>1885.4+(25.6-207)+(0.961554+(0.013056-0.10557))+0-87.3-0.0445229999999911</f>
        <v>1617.5245170000001</v>
      </c>
      <c r="L226" s="3">
        <f>1910.1+(53.3-310.2)+(-1.948302+(-0.054366--0.316404))+0-25.7--0.0262140000000041</f>
        <v>1625.8399499999998</v>
      </c>
      <c r="M226" s="3">
        <f>1915+(96.1-204.4)+(1.9533+(0.098022-0.208488))+0-58.1-0.0592620000000093</f>
        <v>1750.3835720000002</v>
      </c>
      <c r="N226" s="3">
        <f>1964.4+(122.5-213.2)+(2.003688+(0.12495-0.217464))+0-21.3-0.0217260000000034</f>
        <v>1854.2894480000002</v>
      </c>
      <c r="O226" s="3">
        <f>2101.3+(118.9-263.6)+(3.214989+(0.181917-0.403308))+0-22.2-0.0339660000000013</f>
        <v>1937.3596320000001</v>
      </c>
      <c r="P226" s="3">
        <f>2081.3+(116.3-160.4)+(-5.307315+(-0.296565--0.40902))+0-24--0.0611999999999965</f>
        <v>2008.0663400000003</v>
      </c>
      <c r="Q226" s="3">
        <f>2083.4+(111.5-97.8)+(-3.187602+(-0.170595--0.149634))+0-85.5--0.130815000000005</f>
        <v>2008.5222519999998</v>
      </c>
      <c r="R226" s="3">
        <f>2079+(117.6-106.1)+(-4.24116+(-0.239904--0.216444))+0-79--0.161159999999997</f>
        <v>2007.3965400000002</v>
      </c>
      <c r="S226" s="3">
        <f>2096.4+(116.5-147.9)+(2.138328+(0.11883-0.150858))+0-83.5-0.0851700000000133</f>
        <v>1983.5211299999999</v>
      </c>
      <c r="T226" s="3">
        <f>2066.9+(111.3-146.7)+(-3.162357+(-0.170289--0.224451))+0-77.7--0.118881000000004</f>
        <v>1950.810686</v>
      </c>
      <c r="U226" s="3">
        <f>2067.1+(107.7-160.9)+(-3.162663+(-0.164781--0.246177))+0-84.7--0.129591000000005</f>
        <v>1926.2483239999999</v>
      </c>
      <c r="V226" s="3">
        <f>2101.2+(90.2-101.8)+(1.071612+(0.046002-0.051918))+0-67.5-0.0344249999999932</f>
        <v>2023.131271</v>
      </c>
      <c r="W226" s="3">
        <f>2270+(95.3-91.2)+(1.1577+(0.048603-0.046512))+0-89.8-0.0457979999999909</f>
        <v>2185.4139929999997</v>
      </c>
      <c r="X226" s="3">
        <f>2364.6+(89.2-214.2)+(-3.617838+(-0.136476--0.327726))+0-84.2--0.128826000000005</f>
        <v>2152.1022380000004</v>
      </c>
      <c r="Y226" s="3">
        <f>2362.2+(86.9-239.4)+(-6.02361+(-0.221595--0.61047))+0-80.4--0.205019999999988</f>
        <v>2123.8702849999995</v>
      </c>
      <c r="Z226" s="3">
        <f>2363.7+(112.2-310.1)+(-1.205487+(-0.057222--0.158151))+0-94.6--0.0482459999999904</f>
        <v>2070.1436879999997</v>
      </c>
      <c r="AA226" s="3">
        <f>2361+(116.5-427.2)+(-3.61233+(-0.178245--0.653616))+0-89.5--0.136935000000005</f>
        <v>1957.7999760000002</v>
      </c>
      <c r="AB226" s="3">
        <f>2233.6+(143.4-299.8)+(-3.417408+(-0.219402--0.458694))+0-83.6--0.127908000000005</f>
        <v>1990.5497919999998</v>
      </c>
      <c r="AC226" s="3">
        <f>2128.7+(143.4-352.7)+(-5.428185+(-0.36567--0.899385))+0-54.4--0.138719999999992</f>
        <v>1860.2442499999997</v>
      </c>
      <c r="AD226">
        <v>2159.6000000000004</v>
      </c>
      <c r="AE226" s="3">
        <f>2385+(90.3-222.5)+(0+(0-0))+0-93.2-0</f>
        <v>2159.6000000000004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1872.4+(142.6-182.8)+(-1.909848+(-0.145452--0.186456))+0-83.1--0.0847620000000132</f>
        <v>1747.315918</v>
      </c>
      <c r="G227" s="3">
        <f>1712.6+(142.4-89.7)+(-0.873426+(-0.072624--0.045747))+0-86.2--0.0439619999999913</f>
        <v>1678.243659</v>
      </c>
      <c r="H227" s="3">
        <f>1674.3+(141.8-88.6)+(-0.853893+(-0.072318--0.045186))+0-84.4--0.0430439999999914</f>
        <v>1642.262019</v>
      </c>
      <c r="I227" s="3">
        <f>1629.1+(146.8-67.1)+(-0.830841+(-0.074868--0.034221))+0-75.4--0.0384539999999924</f>
        <v>1632.5669659999999</v>
      </c>
      <c r="J227" s="3">
        <f>1629.2+(144.4-50.3)+(-0.830892+(-0.073644--0.025653))+0-89.4--0.0455939999999909</f>
        <v>1633.0667109999997</v>
      </c>
      <c r="K227" s="3">
        <f>1632.5+(135.4-83.9)+(1.66515+(0.138108-0.085578))+0-71.5-0.0729300000000114</f>
        <v>1614.1447499999999</v>
      </c>
      <c r="L227" s="3">
        <f>1674.9+(142-107.5)+(0.854199+(0.07242-0.054825))+0-86.3-0.0440129999999912</f>
        <v>1623.9277810000001</v>
      </c>
      <c r="M227" s="3">
        <f>1993.8+(115.4-251.6)+(3.050514+(0.176562-0.384948))+0-65.6-0.100368000000004</f>
        <v>1794.7417599999999</v>
      </c>
      <c r="N227" s="3">
        <f>2227.1+(118.2-383)+(0+(0-0))+0-86.8-0</f>
        <v>1875.5</v>
      </c>
      <c r="O227" s="3">
        <f>2345.2+(108.9-457.3)+(0+(0-0))+0-86-0</f>
        <v>1910.7999999999997</v>
      </c>
      <c r="P227" s="3">
        <f>2419.9+(131.1-435)+(0+(0-0))+0-91.6-0</f>
        <v>2024.4</v>
      </c>
      <c r="Q227" s="3">
        <f>2392.7+(117.1-412.1)+(0+(0-0))+0-66.1-0</f>
        <v>2031.6</v>
      </c>
      <c r="R227" s="3">
        <f>2290.3+(119.3-333.5)+(-2.336106+(-0.121686--0.34017))+0-83.2--0.0848640000000133</f>
        <v>1990.867242</v>
      </c>
      <c r="S227" s="3">
        <f>2232.3+(111.5-321.5)+(-1.138473+(-0.056865--0.163965))+0-51.7--0.0263669999999948</f>
        <v>1969.594994</v>
      </c>
      <c r="T227" s="3">
        <f>2230.7+(105.5-302.4)+(-1.137657+(-0.053805--0.154224))+0-82.4--0.0420239999999916</f>
        <v>1950.4047859999998</v>
      </c>
      <c r="U227" s="3">
        <f>2224.8+(91.4-306.9)+(-3.403944+(-0.139842--0.469557))+0-69.2--0.105876000000004</f>
        <v>1937.1316470000002</v>
      </c>
      <c r="V227" s="3">
        <f>2203.2+(85.5-169.5)+(-1.123632+(-0.043605--0.086445))+0-66.7--0.0340169999999932</f>
        <v>2051.4532249999997</v>
      </c>
      <c r="W227" s="3">
        <f>2368.2+(58.1-141)+(0+(0-0))+0-85.1-0</f>
        <v>2200.1999999999998</v>
      </c>
      <c r="X227" s="3">
        <f>2403.8+(61.2-201.5)+(-4.903752+(-0.124848--0.41106))+0-87.8--0.179111999999996</f>
        <v>2171.2615719999994</v>
      </c>
      <c r="Y227" s="3">
        <f>2413.2+(72.8-267.3)+(-2.461464+(-0.074256--0.272646))+0-89.3--0.0910860000000142</f>
        <v>2127.2280119999996</v>
      </c>
      <c r="Z227" s="3">
        <f>2417+(110.2-348.9)+(0+(0-0))+0-77.8-0</f>
        <v>2100.5</v>
      </c>
      <c r="AA227" s="3">
        <f>2402.5+(116.9-394.7)+(-3.675825+(-0.178857--0.603891))+0-93.9--0.143667000000005</f>
        <v>2027.6928759999998</v>
      </c>
      <c r="AB227" s="3">
        <f>2311+(122.6-385.8)+(-3.53583+(-0.187578--0.590274))+0-87.9--0.134487000000005</f>
        <v>1956.901353</v>
      </c>
      <c r="AC227" s="3">
        <f>2180+(121.2-311.7)+(-3.3354+(-0.185436--0.476901))+0-89--0.136170000000005</f>
        <v>1897.5922350000001</v>
      </c>
      <c r="AD227">
        <v>2193.1</v>
      </c>
      <c r="AE227" s="3">
        <f>2406+(53.2-170.7)+(0+(0-0))+0-95.4-0</f>
        <v>2193.1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1875+(110-153.9)+(0+(0-0))+0-61.4-0</f>
        <v>1769.6999999999998</v>
      </c>
      <c r="G228" s="3">
        <f>1689.8+(153.1-45.2)+(-1.723596+(-0.156162--0.046104))+0-85.4--0.0871080000000136</f>
        <v>1710.5534539999999</v>
      </c>
      <c r="H228" s="3">
        <f>1577+(179.9-45.6)+(-4.02135+(-0.458745--0.11628))+0-79.8--0.203489999999988</f>
        <v>1627.3396750000002</v>
      </c>
      <c r="I228" s="3">
        <f>1538.6+(234.7-50.2)+(0+(0-0))+0-89.1-0</f>
        <v>1634</v>
      </c>
      <c r="J228" s="3">
        <f>1540.5+(254.8-63.4)+(0+(0-0))+0-94.3-0</f>
        <v>1637.6000000000001</v>
      </c>
      <c r="K228" s="3">
        <f>1569.1+(193.6-58.4)+(0.800241+(0.098736-0.029784))+0-89.3-0.0455429999999909</f>
        <v>1615.82365</v>
      </c>
      <c r="L228" s="3">
        <f>1628.2+(120.4-58.3)+(-2.491146+(-0.184212--0.089199))+0-81.6--0.124848000000005</f>
        <v>1606.238689</v>
      </c>
      <c r="M228" s="3">
        <f>1813.1+(94.8-89.6)+(-0.924681+(-0.048348--0.045696))+0-82.4--0.0420239999999916</f>
        <v>1735.0146909999999</v>
      </c>
      <c r="N228" s="3">
        <f>1990.9+(104-144.5)+(1.015359+(0.05304-0.073695))+0-69.8-0.0355979999999929</f>
        <v>1881.5591060000002</v>
      </c>
      <c r="O228" s="3">
        <f>1992.9+(143.4-83.1)+(1.016379+(0.073134-0.042381))+0-82.8-0.0422279999999916</f>
        <v>1971.4049040000004</v>
      </c>
      <c r="P228" s="3">
        <f>1993.1+(170.7-77.1)+(1.016481+(0.087057-0.039321))+0-92.2-0.0470219999999906</f>
        <v>1995.5171949999999</v>
      </c>
      <c r="Q228" s="3">
        <f>1991.3+(181.9-78.2)+(0+(0-0))+0-85.7-0</f>
        <v>2009.3</v>
      </c>
      <c r="R228" s="3">
        <f>1991.6+(160.4-82.7)+(-1.015716+(-0.081804--0.042177))+0-74.3--0.0378929999999925</f>
        <v>1993.9825499999997</v>
      </c>
      <c r="S228" s="3">
        <f>1994.2+(110-88.7)+(-3.051126+(-0.1683--0.135711))+0-79.7--0.121941000000005</f>
        <v>1932.8382260000001</v>
      </c>
      <c r="T228" s="3">
        <f>2010.3+(87.9-104)+(2.050506+(0.089658-0.10608))+0-86.6-0.0883320000000138</f>
        <v>1909.545752</v>
      </c>
      <c r="U228" s="3">
        <f>1999.6+(97.8-133.8)+(-2.039592+(-0.099756--0.136476))+0-81.1--0.0827220000000129</f>
        <v>1880.5798500000001</v>
      </c>
      <c r="V228" s="3">
        <f>2056.2+(116.4-105.2)+(0+(0-0))+0-84.7-0</f>
        <v>1982.6999999999996</v>
      </c>
      <c r="W228" s="3">
        <f>2272.4+(97.5-109.6)+(2.317848+(0.09945-0.111792))+0-87.4-0.0891480000000139</f>
        <v>2175.1163580000002</v>
      </c>
      <c r="X228" s="3">
        <f>2322.6+(46.5-157.2)+(0+(0-0))+0-84.1-0</f>
        <v>2127.8000000000002</v>
      </c>
      <c r="Y228" s="3">
        <f>2319.9+(54.8-197.7)+(-7.098894+(-0.167688--0.604962))+0-89.3--0.27325800000001</f>
        <v>2081.3116380000001</v>
      </c>
      <c r="Z228" s="3">
        <f>2291+(94.7-238.2)+(-2.33682+(-0.096594--0.242964))+0-90.7--0.0925140000000145</f>
        <v>2054.7020640000001</v>
      </c>
      <c r="AA228" s="3">
        <f>2193+(104.5-228.8)+(-3.35529+(-0.159885--0.350064))+0-89.4--0.136782000000005</f>
        <v>1976.271671</v>
      </c>
      <c r="AB228" s="3">
        <f>2097.3+(120.8-213.8)+(-3.208869+(-0.184824--0.327114))+0-77--0.117810000000004</f>
        <v>1924.3512310000001</v>
      </c>
      <c r="AC228" s="3">
        <f>2078+(122.6-248.8)+(-5.2989+(-0.31263--0.63444))+0-98.6--0.251429999999986</f>
        <v>1848.47434</v>
      </c>
      <c r="AD228">
        <v>2134.5</v>
      </c>
      <c r="AE228" s="3">
        <f>2326+(57.7-154.6)+(0+(0-0))+0-94.6-0</f>
        <v>2134.5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2001.9+(122.1-278.3)+(0+(0-0))+0-90.3-0</f>
        <v>1755.4</v>
      </c>
      <c r="G229" s="3">
        <f>1888.5+(114.5-226.5)+(-0.963135+(-0.058395--0.115515))+0-76.6--0.0390659999999922</f>
        <v>1699.0330510000001</v>
      </c>
      <c r="H229" s="3">
        <f>1797.8+(110.1-176.9)+(0+(0-0))+0-67.5-0</f>
        <v>1663.5</v>
      </c>
      <c r="I229" s="3">
        <f>1722.9+(104.8-138.2)+(0+(0-0))+0-58.1-0</f>
        <v>1631.4</v>
      </c>
      <c r="J229" s="3">
        <f>1723.3+(104-110.5)+(0.878883+(0.05304-0.056355))+0-93.9-0.0478889999999905</f>
        <v>1623.7276789999999</v>
      </c>
      <c r="K229" s="3">
        <f>1719.8+(65.2-111.1)+(-1.754196+(-0.066504--0.113322))+0-79--0.0805800000000126</f>
        <v>1593.2732019999999</v>
      </c>
      <c r="L229" s="3">
        <f>1752.1+(63.7-206.4)+(-2.680713+(-0.097461--0.315792))+0-84.2--0.128826000000005</f>
        <v>1522.866444</v>
      </c>
      <c r="M229" s="3">
        <f>1767.9+(115.3-218.4)+(-0.901629+(-0.058803--0.111384))+0-97.8--0.0498779999999901</f>
        <v>1566.2008300000002</v>
      </c>
      <c r="N229" s="3">
        <f>1837+(127.3-257.5)+(0.93687+(0.064923-0.131325))+0-80.7-0.0411569999999918</f>
        <v>1626.9293110000001</v>
      </c>
      <c r="O229" s="3">
        <f>1951.7+(124.4-314)+(0+(0-0))+0-80.7-0</f>
        <v>1681.4</v>
      </c>
      <c r="P229" s="3">
        <f>2033.9+(127.2-340.2)+(-2.074578+(-0.129744--0.347004))+0-85.9--0.0876180000000137</f>
        <v>1733.2302999999999</v>
      </c>
      <c r="Q229" s="3">
        <f>2081.5+(131.9-402.4)+(-3.184695+(-0.201807--0.615672))+0-92.9--0.142137000000005</f>
        <v>1715.471307</v>
      </c>
      <c r="R229" s="3">
        <f>2120.3+(125.2-441.7)+(-3.244059+(-0.191556--0.675801))+0-67.8--0.103734000000004</f>
        <v>1733.3439200000003</v>
      </c>
      <c r="S229" s="3">
        <f>2004.9+(134.8-346.2)+(-3.067497+(-0.206244--0.529686))+0-91.9--0.140607000000005</f>
        <v>1698.9965520000001</v>
      </c>
      <c r="T229" s="3">
        <f>1989.3+(129-340.9)+(-2.029086+(-0.13158--0.347718))+0-87--0.0887400000000139</f>
        <v>1688.675792</v>
      </c>
      <c r="U229" s="3">
        <f>1989.9+(129.8-364.2)+(-1.014849+(-0.066198--0.185742))+0-79.6--0.0405959999999919</f>
        <v>1675.0452910000001</v>
      </c>
      <c r="V229" s="3">
        <f>2036+(93.8-297.3)+(3.11508+(0.143514-0.454869))+0-55.8-0.0853740000000032</f>
        <v>1779.418351</v>
      </c>
      <c r="W229" s="3">
        <f>2353.5+(49.6-307)+(3.600855+(0.075888-0.46971))+0-95.6-0.146268000000006</f>
        <v>2003.5607650000002</v>
      </c>
      <c r="X229" s="3">
        <f>2384.6+(60.6-320.4)+(1.216146+(0.030906-0.163404))+0-91.8-0.0468179999999907</f>
        <v>2034.03683</v>
      </c>
      <c r="Y229" s="3">
        <f>2400.9+(64-358.7)+(0+(0-0))+0-84-0</f>
        <v>2022.2000000000003</v>
      </c>
      <c r="Z229" s="3">
        <f>2335.9+(91.8-341.3)+(2.382618+(0.093636-0.348126))+0-90-0.0918000000000144</f>
        <v>1998.436328</v>
      </c>
      <c r="AA229" s="3">
        <f>2304.9+(106.5-384.2)+(0+(0-0))+0-88.7-0</f>
        <v>1938.5</v>
      </c>
      <c r="AB229" s="3">
        <f>2301.2+(115.1-446.2)+(-2.347224+(-0.117402--0.455124))+0-78.9--0.0804780000000126</f>
        <v>1889.2709759999998</v>
      </c>
      <c r="AC229" s="3">
        <f>2223.6+(112.8-467.6)+(-3.402108+(-0.172584--0.715428))+0-75.1--0.114903000000004</f>
        <v>1790.955639</v>
      </c>
      <c r="AD229">
        <v>2025.5000000000002</v>
      </c>
      <c r="AE229" s="3">
        <f>2382+(63.9-327.2)+(0+(0-0))+0-93.2-0</f>
        <v>2025.4999999999998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2066.8+(111.8-394.8)+(0+(0-0))+0-85.3-0</f>
        <v>1698.5000000000002</v>
      </c>
      <c r="G230" s="3">
        <f>2036.7+(112-422.2)+(2.077434+(0.11424-0.430644))+0-90.4-0.0922080000000144</f>
        <v>1637.7688219999998</v>
      </c>
      <c r="H230" s="3">
        <f>1813.9+(115.8-281.3)+(0+(0-0))+0-59-0</f>
        <v>1589.4</v>
      </c>
      <c r="I230" s="3">
        <f>1787+(141.3-261.4)+(-1.82274+(-0.144126--0.266628))+0-88--0.089760000000014</f>
        <v>1577.2895220000003</v>
      </c>
      <c r="J230" s="3">
        <f>1791.3+(98.2-216.8)+(0+(0-0))+0-82.6-0</f>
        <v>1590.1000000000001</v>
      </c>
      <c r="K230" s="3">
        <f>1827.5+(79.9-234.3)+(0.932025+(0.040749-0.119493))+0-84.8-0.0432479999999914</f>
        <v>1589.1100329999999</v>
      </c>
      <c r="L230" s="3">
        <f>1857.7+(82.3-253.8)+(-1.894854+(-0.083946--0.258876))+0-85.2--0.0869040000000136</f>
        <v>1599.36698</v>
      </c>
      <c r="M230" s="3">
        <f>2144.3+(121.8-441.2)+(1.093593+(0.062118-0.225012))+0-87.5-0.0446249999999911</f>
        <v>1738.2860740000001</v>
      </c>
      <c r="N230" s="3">
        <f>2338.6+(142.3-490.8)+(3.578058+(0.217719-0.750924))+0-69.2-0.105876000000004</f>
        <v>1923.8389769999999</v>
      </c>
      <c r="O230" s="3">
        <f>2330+(142.5-414.7)+(-1.1883+(-0.072675--0.211497))+0-83.9--0.0427889999999915</f>
        <v>1972.8933110000003</v>
      </c>
      <c r="P230" s="3">
        <f>2306+(140.9-332.2)+(3.52818+(0.215577-0.508266))+0-88.4-0.135252000000005</f>
        <v>2029.4002389999996</v>
      </c>
      <c r="Q230" s="3">
        <f>2401+(132.9-431.9)+(0+(0-0))+0-83.4-0</f>
        <v>2018.6</v>
      </c>
      <c r="R230" s="3">
        <f>2462.3+(110.7-498.5)+(1.255773+(0.056457-0.254235))+0-78-0.0397799999999921</f>
        <v>1997.5182150000001</v>
      </c>
      <c r="S230" s="3">
        <f>2456.7+(114.1-515.2)+(2.505834+(0.116382-0.525504))+0-88.1-0.089862000000014</f>
        <v>1969.50685</v>
      </c>
      <c r="T230" s="3">
        <f>2454.5+(114.8-541.4)+(2.50359+(0.117096-0.552228))+0-73.8-0.0752760000000118</f>
        <v>1956.0931820000001</v>
      </c>
      <c r="U230" s="3">
        <f>2451.5+(112.1-533.1)+(-1.250265+(-0.057171--0.271881))+0-69.4--0.035393999999993</f>
        <v>1960.099839</v>
      </c>
      <c r="V230" s="3">
        <f>2519.9+(96.5-463.8)+(0+(0-0))+0-76.8-0</f>
        <v>2075.7999999999997</v>
      </c>
      <c r="W230" s="3">
        <f>2844.4+(60.5-572.4)+(2.901288+(0.06171-0.583848))+0-47.3-0.0482460000000075</f>
        <v>2287.5309040000002</v>
      </c>
      <c r="X230" s="3">
        <f>2894.6+(2.5-569.8)+(0+(0-0))+0-76.5-0</f>
        <v>2250.8000000000002</v>
      </c>
      <c r="Y230" s="3">
        <f>2838.6+(19.4-565.8)+(0+(0-0))+0-82.4-0</f>
        <v>2209.7999999999997</v>
      </c>
      <c r="Z230" s="3">
        <f>2778.4+(32-569.4)+(-4.250952+(-0.04896--0.871182))+0-79.1--0.121023000000005</f>
        <v>2158.5922930000002</v>
      </c>
      <c r="AA230" s="3">
        <f>2676.9+(64.4-566)+(-4.095657+(-0.098532--0.86598))+0-89.1--0.136323000000005</f>
        <v>2083.0081140000007</v>
      </c>
      <c r="AB230" s="3">
        <f>2489.2+(93.4-487.9)+(-5.077968+(-0.190536--0.995316))+0-86.7--0.176867999999996</f>
        <v>2003.9036799999997</v>
      </c>
      <c r="AC230" s="3">
        <f>2342.4+(110.2-460.9)+(-5.97312+(-0.28101--1.175295))+0-72.2--0.18410999999999</f>
        <v>1914.6052749999999</v>
      </c>
      <c r="AD230">
        <v>2328</v>
      </c>
      <c r="AE230" s="3">
        <f>2965+(0-617.6)+(0+(0-0))+0-19.4-0</f>
        <v>2328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2133.6+(90.9-373.8)+(-2.176272+(-0.092718--0.381276))+0-66.9--0.0682380000000107</f>
        <v>1781.9805239999998</v>
      </c>
      <c r="G231" s="3">
        <f>1964+(58.2-220.2)+(-5.0082+(-0.14841--0.56151))+0-83.2--0.212159999999988</f>
        <v>1714.41706</v>
      </c>
      <c r="H231" s="3">
        <f>1851.4+(110.4-188.5)+(0.944214+(0.056304-0.096135))+0-88.1-0.0449309999999911</f>
        <v>1686.0594520000004</v>
      </c>
      <c r="I231" s="3">
        <f>1834.6+(104.5-239.7)+(-2.806938+(-0.159885--0.366741))+0-26.2--0.0400860000000015</f>
        <v>1670.6400039999999</v>
      </c>
      <c r="J231" s="3">
        <f>1916+(92.7-270.7)+(2.93148+(0.141831-0.414171))+0-66.2-0.101286000000004</f>
        <v>1674.3578539999999</v>
      </c>
      <c r="K231" s="3">
        <f>2039+(48-353.1)+(-4.15956+(-0.09792--0.720324))+0-65.5--0.133619999999997</f>
        <v>1664.9964640000001</v>
      </c>
      <c r="L231" s="3">
        <f>2091.5+(68.3-433.4)+(-4.26666+(-0.139332--0.884136))+0-65.4--0.133415999999997</f>
        <v>1657.6115599999998</v>
      </c>
      <c r="M231" s="3">
        <f>2284.4+(82.2-482.1)+(-4.660176+(-0.167688--0.983484))+0-81.6--0.166463999999996</f>
        <v>1799.222084</v>
      </c>
      <c r="N231" s="3">
        <f>2421.9+(100.9-549.1)+(-4.940676+(-0.205836--1.120164))+0-70--0.142799999999997</f>
        <v>1899.816452</v>
      </c>
      <c r="O231" s="3">
        <f>2404.2+(133.3-505.5)+(-4.904568+(-0.271932--1.03122))+0-71.7--0.146267999999997</f>
        <v>1956.3009879999997</v>
      </c>
      <c r="P231" s="3">
        <f>2513+(131.8-582.4)+(0+(0-0))+0-57.9-0</f>
        <v>2004.5</v>
      </c>
      <c r="Q231" s="3">
        <f>2540.9+(132.5-580.9)+(-2.591718+(-0.13515--0.592518))+0-77.1--0.0786420000000123</f>
        <v>2013.3442920000002</v>
      </c>
      <c r="R231" s="3">
        <f>2486+(131.9-553.9)+(-2.53572+(-0.134538--0.564978))+0-91.7--0.0935340000000146</f>
        <v>1970.2882539999998</v>
      </c>
      <c r="S231" s="3">
        <f>2452.2+(132.4-541.3)+(-2.501244+(-0.135048--0.552126))+0-81.8--0.083436000000013</f>
        <v>1959.4992699999998</v>
      </c>
      <c r="T231" s="3">
        <f>2419.4+(132.2-506.5)+(-1.233894+(-0.067422--0.258315))+0-69.3--0.035342999999993</f>
        <v>1974.7923420000002</v>
      </c>
      <c r="U231" s="3">
        <f>2389.7+(131.1-448.9)+(-1.218747+(-0.066861--0.228939))+0-72.2--0.0368219999999927</f>
        <v>1998.6801529999996</v>
      </c>
      <c r="V231" s="3">
        <f>2466.8+(107.2-485.1)+(2.516136+(0.109344-0.494802))+0-45.7-0.0466140000000073</f>
        <v>2045.2840639999999</v>
      </c>
      <c r="W231" s="3">
        <f>2784.4+(93.1-552.4)+(-2.840088+(-0.094962--0.563448))+0-73.8--0.0752760000000118</f>
        <v>2249.003674</v>
      </c>
      <c r="X231" s="3">
        <f>2773.6+(101.8-583.3)+(-4.243608+(-0.155754--0.892449))+0-89.5--0.136935000000005</f>
        <v>2199.2300219999997</v>
      </c>
      <c r="Y231" s="3">
        <f>2638.2+(113.3-508.2)+(-2.690964+(-0.115566--0.518364))+0-92--0.0938400000000147</f>
        <v>2149.1056739999999</v>
      </c>
      <c r="Z231" s="3">
        <f>2509.9+(124.8-452.1)+(-1.280049+(-0.063648--0.230571))+0-80.9--0.0412589999999918</f>
        <v>2100.6281329999997</v>
      </c>
      <c r="AA231" s="3">
        <f>2418.9+(140-422.1)+(-3.700917+(-0.2142--0.645813))+0-99.1--0.151623000000006</f>
        <v>2034.5823190000003</v>
      </c>
      <c r="AB231" s="3">
        <f>2318.5+(142.9-427.8)+(-2.36487+(-0.145758--0.436356))+0-86.9--0.0886380000000139</f>
        <v>1944.7143659999997</v>
      </c>
      <c r="AC231" s="3">
        <f>2027.9+(142.2-223.4)+(-4.136916+(-0.290088--0.455736))+0-83.7--0.170747999999996</f>
        <v>1859.19948</v>
      </c>
      <c r="AD231">
        <v>2258.5999999999995</v>
      </c>
      <c r="AE231" s="3">
        <f>2846+(92.6-569.2)+(0+(0-0))+0-110.8-0</f>
        <v>2258.6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1870.2+(141.9-186.7)+(-0.953802+(-0.072369--0.095217))+0-62--0.0316199999999937</f>
        <v>1762.5006660000001</v>
      </c>
      <c r="G232" s="3">
        <f>1655.5+(160.2-71.7)+(0.844305+(0.081702-0.036567))+0-67.8-0.0345779999999931</f>
        <v>1677.054862</v>
      </c>
      <c r="H232" s="3">
        <f>1591.2+(159.8-67.6)+(0+(0-0))+0-49.4-0</f>
        <v>1634</v>
      </c>
      <c r="I232" s="3">
        <f>1592.5+(168.3-60.1)+(-1.62435+(-0.171666--0.061302))+0-85.3--0.0870060000000136</f>
        <v>1613.7522920000001</v>
      </c>
      <c r="J232" s="3">
        <f>1599.5+(176.5-64.2)+(0.815745+(0.090015-0.032742))+0-93.5-0.0476849999999905</f>
        <v>1619.125333</v>
      </c>
      <c r="K232" s="3">
        <f>1587.4+(206.7-84.1)+(-1.619148+(-0.210834--0.085782))+0-99.9--0.101898000000016</f>
        <v>1608.4576979999999</v>
      </c>
      <c r="L232" s="3">
        <f>1541+(182.3-87.7)+(0.78591+(0.092973-0.044727))+0-81.3-0.0414629999999918</f>
        <v>1555.0926929999998</v>
      </c>
      <c r="M232" s="3">
        <f>1740.3+(143.2-186.8)+(-0.887553+(-0.073032--0.095268))+0-85.3--0.0435029999999913</f>
        <v>1610.578186</v>
      </c>
      <c r="N232" s="3">
        <f>1847.7+(142-241.4)+(1.884654+(0.14484-0.246228))+0-87.8-0.089556000000014</f>
        <v>1662.19371</v>
      </c>
      <c r="O232" s="3">
        <f>1908+(142.7-212.5)+(-0.97308+(-0.072777--0.108375))+0-91--0.0464099999999908</f>
        <v>1746.3089279999999</v>
      </c>
      <c r="P232" s="3">
        <f>1897+(142.4-145.5)+(-4.83735+(-0.36312--0.371025))+0-86.9--0.221594999999987</f>
        <v>1802.3921499999999</v>
      </c>
      <c r="Q232" s="3">
        <f>1907.4+(148.1-146)+(-1.945548+(-0.151062--0.14892))+0-75.6--0.077112000000012</f>
        <v>1832.0294220000001</v>
      </c>
      <c r="R232" s="3">
        <f>1904.5+(146.1-141.8)+(-3.88518+(-0.298044--0.289272))+0-84.4--0.172175999999996</f>
        <v>1820.678224</v>
      </c>
      <c r="S232" s="3">
        <f>1903.9+(143.1-175.5)+(-3.883956+(-0.291924--0.35802))+0-92.3--0.188291999999996</f>
        <v>1775.570432</v>
      </c>
      <c r="T232" s="3">
        <f>1922.5+(142.8-219.3)+(-0.980475+(-0.072828--0.111843))+0-84.1--0.0428909999999915</f>
        <v>1761.0014310000001</v>
      </c>
      <c r="U232" s="3">
        <f>1839.6+(148.7-135.9)+(0+(0-0))+0-91.3-0</f>
        <v>1761.1</v>
      </c>
      <c r="V232" s="3">
        <f>1838.4+(180.5-91.1)+(-2.812752+(-0.276165--0.139383))+0-79--0.120870000000005</f>
        <v>1845.9713360000001</v>
      </c>
      <c r="W232" s="3">
        <f>2010.4+(158.2-127)+(-1.025304+(-0.080682--0.06477))+0-83.5--0.0425849999999915</f>
        <v>1957.101369</v>
      </c>
      <c r="X232" s="3">
        <f>2038+(136.5-130.5)+(-4.15752+(-0.27846--0.26622))+0-83.4--0.170135999999996</f>
        <v>1956.6003759999999</v>
      </c>
      <c r="Y232" s="3">
        <f>2015+(143.9-171)+(-3.08295+(-0.220167--0.26163))+0-67.1--0.102663000000004</f>
        <v>1917.8611760000001</v>
      </c>
      <c r="Z232" s="3">
        <f>1977.9+(143.4-156.5)+(-3.026187+(-0.219402--0.239445))+0-79.4--0.121482000000005</f>
        <v>1882.5153380000002</v>
      </c>
      <c r="AA232" s="3">
        <f>1961.2+(142.6-177.7)+(-5.00106+(-0.36363--0.453135))+0-84.1--0.214454999999988</f>
        <v>1837.3029000000004</v>
      </c>
      <c r="AB232" s="3">
        <f>1905.3+(142.3-187.8)+(-1.943406+(-0.145146--0.191556))+0-80.4--0.0820080000000128</f>
        <v>1777.585012</v>
      </c>
      <c r="AC232" s="3">
        <f>1731.7+(143.7-114)+(-4.415835+(-0.366435--0.2907))+0-68--0.17339999999999</f>
        <v>1689.0818300000001</v>
      </c>
      <c r="AD232">
        <v>2023.1</v>
      </c>
      <c r="AE232" s="3">
        <f>2085+(130.6-137.5)+(0+(0-0))+0-55-0</f>
        <v>2023.1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1720.5+(144.5-188)+(-1.75491+(-0.14739--0.19176))+0-88.3--0.0900660000000141</f>
        <v>1587.079526</v>
      </c>
      <c r="G233" s="3">
        <f>1700.6+(144.1-233.7)+(0+(0-0))+0-87.9-0</f>
        <v>1523.1</v>
      </c>
      <c r="H233" s="3">
        <f>1681.2+(144.3-227.4)+(-1.714824+(-0.147186--0.231948))+0-86.6--0.0883320000000138</f>
        <v>1509.9582700000003</v>
      </c>
      <c r="I233" s="3">
        <f>1533.1+(144.9-162.3)+(-3.909405+(-0.369495--0.413865))+0-24.7--0.0629849999999964</f>
        <v>1487.1979499999998</v>
      </c>
      <c r="J233" s="3">
        <f>1558.8+(144.6-138.3)+(0.794988+(0.073746-0.070533))+0-92.9-0.0473789999999906</f>
        <v>1472.9508219999998</v>
      </c>
      <c r="K233" s="3">
        <f>1605.9+(144.9-154.3)+(0+(0-0))+0-75-0</f>
        <v>1521.5</v>
      </c>
      <c r="L233" s="3">
        <f>1650.5+(144.4-269.1)+(1.68351+(0.147288-0.274482))+0-31.1-0.031722000000005</f>
        <v>1496.224594</v>
      </c>
      <c r="M233" s="3">
        <f>1841.2+(143.4-391.5)+(1.878024+(0.146268-0.39933))+0-23-0.0234600000000037</f>
        <v>1571.7015020000001</v>
      </c>
      <c r="N233" s="3">
        <f>1951.4+(143.6-403.7)+(0+(0-0))+0-21.6-0</f>
        <v>1669.7000000000003</v>
      </c>
      <c r="O233" s="3">
        <f>1955.7+(142.5-339.7)+(1.994814+(0.14535-0.346494))+0-21.2-0.0216240000000034</f>
        <v>1739.072046</v>
      </c>
      <c r="P233" s="3">
        <f>1916.8+(142.9-253.9)+(0.977568+(0.072879-0.129489))+0-26-0.0132599999999974</f>
        <v>1780.7076979999999</v>
      </c>
      <c r="Q233" s="3">
        <f>1861.8+(143.1-192.3)+(0.949518+(0.072981-0.098073))+0-26.4-0.0134639999999973</f>
        <v>1787.110962</v>
      </c>
      <c r="R233" s="3">
        <f>1913.4+(143.1-258.4)+(-3.903336+(-0.291924--0.527136))+0-27.9--0.0569159999999988</f>
        <v>1766.588792</v>
      </c>
      <c r="S233" s="3">
        <f>1934.1+(143.5-274)+(-3.945564+(-0.29274--0.55896))+0-44.7--0.091187999999998</f>
        <v>1755.3118440000001</v>
      </c>
      <c r="T233" s="3">
        <f>1941.1+(143.4-279.1)+(-2.969883+(-0.219402--0.427023))+0-83.4--0.127602000000005</f>
        <v>1719.3653399999998</v>
      </c>
      <c r="U233" s="3">
        <f>1939.5+(142.8-236.7)+(-0.989145+(-0.072828--0.120717))+0-98.5--0.05023499999999</f>
        <v>1746.2089789999998</v>
      </c>
      <c r="V233" s="3">
        <f>2012.1+(84.5-165.6)+(1.026171+(0.043095-0.084456))+0-86.3-0.0440129999999912</f>
        <v>1845.640797</v>
      </c>
      <c r="W233" s="3">
        <f>2258.4+(19.5-233.8)+(-2.303568+(-0.01989--0.238476))+0-35.6--0.0363120000000057</f>
        <v>2006.4513300000001</v>
      </c>
      <c r="X233" s="3">
        <f>2276.8+(17.8-202.3)+(-6.967008+(-0.054468--0.619038))+0-82.6--0.25275600000001</f>
        <v>2003.5503180000003</v>
      </c>
      <c r="Y233" s="3">
        <f>2269.5+(19.7-232.4)+(-3.472335+(-0.030141--0.355572))+0-90.2--0.138006000000005</f>
        <v>1963.5911019999999</v>
      </c>
      <c r="Z233" s="3">
        <f>2211.5+(53.2-241.3)+(-1.127865+(-0.027132--0.123063))+0-84.7--0.0431969999999914</f>
        <v>1937.7112629999999</v>
      </c>
      <c r="AA233" s="3">
        <f>2159.5+(84.5-273.5)+(-5.506725+(-0.215475--0.697425))+0-88.3--0.225164999999987</f>
        <v>1877.40039</v>
      </c>
      <c r="AB233" s="3">
        <f>1893.6+(22.8-153.8)+(-2.897208+(-0.034884--0.235314))+0-89.9--0.137547000000005</f>
        <v>1670.1407689999999</v>
      </c>
      <c r="AC233" s="3">
        <f>1766.7+(29.1-114.2)+(-1.802034+(-0.029682--0.116484))+0-99.3--0.101286000000016</f>
        <v>1580.6860540000002</v>
      </c>
      <c r="AD233">
        <v>2025.6999999999998</v>
      </c>
      <c r="AE233" s="3">
        <f>2295+(18.6-250.5)+(0+(0-0))+0-37.4-0</f>
        <v>2025.6999999999998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1766.3+(0-146.7)+(-0.900813+(0--0.074817))+0-84.3--0.0429929999999914</f>
        <v>1534.5169969999999</v>
      </c>
      <c r="G234" s="3">
        <f>1751.8+(0-183.8)+(-4.46709+(0--0.46869))+0-84.8--0.216239999999988</f>
        <v>1479.4178400000001</v>
      </c>
      <c r="H234" s="3">
        <f>1713+(0-196.6)+(-0.87363+(0--0.100266))+0-91.4--0.0466139999999907</f>
        <v>1424.2732500000002</v>
      </c>
      <c r="I234" s="3">
        <f>1677.2+(0-153)+(-3.421488+(0--0.31212))+0-85.9--0.175235999999996</f>
        <v>1435.3658680000001</v>
      </c>
      <c r="J234" s="3">
        <f>1705.8+(0-170)+(-0.869958+(0--0.0867))+0-93--0.0474299999999906</f>
        <v>1442.0641720000001</v>
      </c>
      <c r="K234" s="3">
        <f>1810.4+(0-280.8)+(-0.923304+(0--0.143208))+0-82.7--0.0421769999999916</f>
        <v>1446.1620810000002</v>
      </c>
      <c r="L234" s="3">
        <f>1835.7+(0-301.1)+(-0.936207+(0--0.153561))+0-88.5--0.045134999999991</f>
        <v>1445.3624889999999</v>
      </c>
      <c r="M234" s="3">
        <f>1916.4+(0-299.6)+(0+(0-0))+0-76-0</f>
        <v>1540.8000000000002</v>
      </c>
      <c r="N234" s="3">
        <f>2175.7+(0-391.2)+(-1.109607+(0--0.199512))+0-92.7--0.0472769999999906</f>
        <v>1690.9371819999997</v>
      </c>
      <c r="O234" s="3">
        <f>2186+(68.4-371)+(-2.22972+(-0.069768--0.37842))+0-89.3--0.0910860000000142</f>
        <v>1792.2700179999999</v>
      </c>
      <c r="P234" s="3">
        <f>2188.6+(99.8-377)+(0+(0-0))+0-98-0</f>
        <v>1813.3999999999999</v>
      </c>
      <c r="Q234" s="3">
        <f>2238.5+(109.3-420)+(-1.141635+(-0.055743--0.2142))+0-78.3--0.0399329999999921</f>
        <v>1848.5567550000001</v>
      </c>
      <c r="R234" s="3">
        <f>2275.6+(113.9-475.5)+(-1.160556+(-0.058089--0.242505))+0-90.4--0.0461039999999908</f>
        <v>1822.6699639999999</v>
      </c>
      <c r="S234" s="3">
        <f>2140.5+(115.5-371.6)+(-3.274965+(-0.176715--0.568548))+0-92.5--0.141525000000005</f>
        <v>1789.1583930000002</v>
      </c>
      <c r="T234" s="3">
        <f>2193.2+(103.7-442.4)+(1.118532+(0.052887-0.225624))+0-93.1-0.0474809999999906</f>
        <v>1762.2983139999999</v>
      </c>
      <c r="U234" s="3">
        <f>2219.3+(77.5-399.5)+(-2.263686+(-0.07905--0.40749))+0-82.7--0.0843540000000132</f>
        <v>1812.7491080000002</v>
      </c>
      <c r="V234" s="3">
        <f>2213.6+(62.1-268.3)+(0+(0-0))+0-84.2-0</f>
        <v>1923.1999999999998</v>
      </c>
      <c r="W234" s="3">
        <f>2338.6+(38.4-204.7)+(-2.385372+(-0.039168--0.208794))+0-86.8--0.0885360000000138</f>
        <v>2083.3727899999999</v>
      </c>
      <c r="X234" s="3">
        <f>2393.2+(30.1-298.7)+(-3.661596+(-0.046053--0.457011))+0-81.8--0.125154000000005</f>
        <v>2039.674516</v>
      </c>
      <c r="Y234" s="3">
        <f>2362+(22.8-305.8)+(-4.81848+(-0.046512--0.623832))+0-78.2--0.159527999999997</f>
        <v>1996.7183679999998</v>
      </c>
      <c r="Z234" s="3">
        <f>2369.9+(62.6-377.1)+(-1.208649+(-0.031926--0.192321))+0-92.9--0.0473789999999906</f>
        <v>1961.4991250000003</v>
      </c>
      <c r="AA234" s="3">
        <f>2352.3+(115.5-507.8)+(-3.599019+(-0.176715--0.776934))+0-92.5--0.141525000000005</f>
        <v>1864.6427250000002</v>
      </c>
      <c r="AB234" s="3">
        <f>2084.5+(112.9-310.6)+(0+(0-0))+0-91.8-0</f>
        <v>1795</v>
      </c>
      <c r="AC234" s="3">
        <f>1900.7+(106.3-198.4)+(-4.846785+(-0.271065--0.50592))+0-103.7--0.264434999999985</f>
        <v>1700.5525050000001</v>
      </c>
      <c r="AD234">
        <v>2104.8999999999996</v>
      </c>
      <c r="AE234" s="3">
        <f>2456+(31.7-274.5)+(0+(0-0))+0-108.3-0</f>
        <v>2104.8999999999996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1715+(97.9-117.4)+(0+(0-0))+0-91.2-0</f>
        <v>1604.3</v>
      </c>
      <c r="G235" s="3">
        <f>1600.6+(120.9-107.7)+(0+(0-0))+0-79.7-0</f>
        <v>1534.1</v>
      </c>
      <c r="H235" s="3">
        <f>1421+(231.7-61.6)+(-0.72471+(-0.118167--0.031416))+0-97.5--0.0497249999999901</f>
        <v>1492.838264</v>
      </c>
      <c r="I235" s="3">
        <f>1425.8+(205.1-63.2)+(0+(0-0))+0-88.4-0</f>
        <v>1479.2999999999997</v>
      </c>
      <c r="J235" s="3">
        <f>1429.5+(216.9-72.6)+(0.729045+(0.110619-0.037026))+0-95.5-0.0487049999999903</f>
        <v>1479.0539329999999</v>
      </c>
      <c r="K235" s="3">
        <f>1500+(160-92.1)+(3.825+(0.408-0.234855))+0-87.6-0.223379999999987</f>
        <v>1484.0747650000003</v>
      </c>
      <c r="L235" s="3">
        <f>1482.5+(161.2-100.9)+(-2.268225+(-0.246636--0.154377))+0-95.1--0.145503000000005</f>
        <v>1445.485019</v>
      </c>
      <c r="M235" s="3">
        <f>1675.7+(90.1-132.7)+(2.563821+(0.137853-0.203031))+0-64.7-0.0989910000000037</f>
        <v>1570.7996519999999</v>
      </c>
      <c r="N235" s="3">
        <f>1754.9+(138.4-103.9)+(3.579996+(0.282336-0.211956))+0-100.6-0.205223999999996</f>
        <v>1692.2451520000002</v>
      </c>
      <c r="O235" s="3">
        <f>1892.8+(111.6-123.8)+(-0.965328+(-0.056916--0.063138))+0-96--0.0489599999999903</f>
        <v>1783.689854</v>
      </c>
      <c r="P235" s="3">
        <f>1991.4+(108.4-151.6)+(-1.015614+(-0.055284--0.077316))+0-92.5--0.0471749999999906</f>
        <v>1854.7535929999999</v>
      </c>
      <c r="Q235" s="3">
        <f>2017.4+(98.3-189.6)+(0+(0-0))+0-58.1-0</f>
        <v>1868.0000000000002</v>
      </c>
      <c r="R235" s="3">
        <f>1970.3+(103.6-139.8)+(-5.024265+(-0.26418--0.35649))+0-94--0.239699999999986</f>
        <v>1835.407745</v>
      </c>
      <c r="S235" s="3">
        <f>1759.3+(194.5-70)+(-2.691729+(-0.297585--0.1071))+0-89.2--0.136476000000005</f>
        <v>1791.8542619999998</v>
      </c>
      <c r="T235" s="3">
        <f>1740.9+(188.2-70)+(2.663577+(0.287946-0.1071))+0-99.2-0.151776000000006</f>
        <v>1762.5926470000002</v>
      </c>
      <c r="U235" s="3">
        <f>1761.9+(148.3-85.3)+(-1.797138+(-0.151266--0.087006))+0-73.9--0.0753780000000118</f>
        <v>1749.21398</v>
      </c>
      <c r="V235" s="3">
        <f>1880.4+(174.2-71)+(-0.959004+(-0.088842--0.03621))+0-95--0.0484499999999904</f>
        <v>1887.6368140000002</v>
      </c>
      <c r="W235" s="3">
        <f>2073.2+(184.2-103)+(2.114664+(0.187884-0.10506))+0-94.4-0.0962880000000151</f>
        <v>2062.1011999999992</v>
      </c>
      <c r="X235" s="3">
        <f>2125.8+(89.7-95.2)+(-1.084158+(-0.045747--0.048552))+0-87.1--0.0444209999999912</f>
        <v>2032.1630680000003</v>
      </c>
      <c r="Y235" s="3">
        <f>2131.3+(31.3-93)+(0+(0-0))+0-76.4-0</f>
        <v>1993.2000000000003</v>
      </c>
      <c r="Z235" s="3">
        <f>2134.6+(29.3-142.4)+(-4.354584+(-0.059772--0.290496))+0-86.2--0.175847999999996</f>
        <v>1931.3519880000001</v>
      </c>
      <c r="AA235" s="3">
        <f>2135.3+(114.2-281.7)+(-2.178006+(-0.116484--0.287334))+0-88.5--0.0902700000000141</f>
        <v>1877.3831140000002</v>
      </c>
      <c r="AB235" s="3">
        <f>2119+(130.1-313.3)+(-3.24207+(-0.199053--0.479349))+0-91.6--0.140148000000005</f>
        <v>1841.3783739999999</v>
      </c>
      <c r="AC235" s="3">
        <f>1841.6+(134.2-137.9)+(-0.939216+(-0.068442--0.070329))+0-89.6--0.0456959999999909</f>
        <v>1747.4083669999998</v>
      </c>
      <c r="AD235">
        <v>2014.2</v>
      </c>
      <c r="AE235" s="3">
        <f>2127+(103.9-106.9)+(0+(0-0))+0-109.8-0</f>
        <v>2014.2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1629.8+(165.4-90)+(-1.662396+(-0.168708--0.0918))+0-66.8--0.0681360000000106</f>
        <v>1636.7288320000002</v>
      </c>
      <c r="G236" s="3">
        <f>1604.7+(145.2-98.1)+(0+(0-0))+0-81.2-0</f>
        <v>1570.6</v>
      </c>
      <c r="H236" s="3">
        <f>1584.8+(142.6-104.1)+(3.232992+(0.290904-0.212364))+0-90.5-0.184619999999996</f>
        <v>1535.9269119999999</v>
      </c>
      <c r="I236" s="3">
        <f>1550.5+(146.7-96)+(3.16302+(0.299268-0.19584))+0-96-0.195839999999996</f>
        <v>1508.270608</v>
      </c>
      <c r="J236" s="3">
        <f>1554.2+(128.6-101.7)+(0+(0-0))+0-82.9-0</f>
        <v>1498.2</v>
      </c>
      <c r="K236" s="3">
        <f>1496+(114.7-95.1)+(2.28888+(0.175491-0.145503))+0-34.6-0.052938000000002</f>
        <v>1483.26593</v>
      </c>
      <c r="L236" s="3">
        <f>1485.5+(130.9-96.6)+(0+(0-0))+0-90.3-0</f>
        <v>1429.5</v>
      </c>
      <c r="M236" s="3">
        <f>1568.8+(94.6-91.7)+(0.800088+(0.048246-0.046767))+0-89.8-0.0457979999999909</f>
        <v>1482.655769</v>
      </c>
      <c r="N236" s="3">
        <f>1684.2+(68.6-129.1)+(0.858942+(0.034986-0.065841))+0-61.5-0.0313649999999938</f>
        <v>1562.9967220000001</v>
      </c>
      <c r="O236" s="3">
        <f>1683.1+(129.1-78.8)+(2.575143+(0.197523-0.120564))+0-91.9-0.140607000000005</f>
        <v>1644.0114949999997</v>
      </c>
      <c r="P236" s="3">
        <f>1687.6+(169.7-95.5)+(-1.721352+(-0.173094--0.09741))+0-94.3--0.096186000000015</f>
        <v>1665.7991500000001</v>
      </c>
      <c r="Q236" s="3">
        <f>1659.1+(224.6-82.7)+(1.692282+(0.229092-0.084354))+0-95.5-0.0974100000000152</f>
        <v>1707.2396099999999</v>
      </c>
      <c r="R236" s="3">
        <f>1642.6+(222.7-85.7)+(-3.350904+(-0.454308--0.174828))+0-92.6--0.188903999999996</f>
        <v>1683.55852</v>
      </c>
      <c r="S236" s="3">
        <f>1643.8+(195.4-85.4)+(0+(0-0))+0-89.7-0</f>
        <v>1664.1</v>
      </c>
      <c r="T236" s="3">
        <f>1650.7+(150.7-83.2)+(-3.367428+(-0.307428--0.169728))+0-87.4--0.178295999999996</f>
        <v>1627.473168</v>
      </c>
      <c r="U236" s="3">
        <f>1643.6+(147.7-88.3)+(-0.838236+(-0.075327--0.045033))+0-62.3--0.0317729999999937</f>
        <v>1639.863243</v>
      </c>
      <c r="V236" s="3">
        <f>1673.1+(278.8-97.3)+(-0.853281+(-0.142188--0.049623))+0-89--0.045389999999991</f>
        <v>1764.6995439999998</v>
      </c>
      <c r="W236" s="3">
        <f>1774.9+(324.7-94.6)+(0.905199+(0.165597-0.048246))+0-79.9-0.0407489999999919</f>
        <v>1926.0818009999998</v>
      </c>
      <c r="X236" s="3">
        <f>1819.6+(322.6-94.7)+(-1.855992+(-0.329052--0.096594))+0-94.9--0.0967980000000151</f>
        <v>1950.608348</v>
      </c>
      <c r="Y236" s="3">
        <f>1789.7+(340.8-92.9)+(-0.912747+(-0.173808--0.047379))+0-91.7--0.0467669999999907</f>
        <v>1944.9075910000001</v>
      </c>
      <c r="Z236" s="3">
        <f>1807.3+(301.1-91.6)+(-2.765169+(-0.460683--0.140148))+0-93.7--0.143361000000005</f>
        <v>1920.1576569999997</v>
      </c>
      <c r="AA236" s="3">
        <f>1834.8+(188.7-83)+(-0.935748+(-0.096237--0.04233))+0-62.6--0.0319259999999936</f>
        <v>1876.9422709999999</v>
      </c>
      <c r="AB236" s="3">
        <f>1779.3+(207.9-72.1)+(-2.722329+(-0.318087--0.110313))+0-93.1--0.142443000000005</f>
        <v>1819.21234</v>
      </c>
      <c r="AC236" s="3">
        <f>1755.2+(154.7-105.4)+(-1.790304+(-0.157794--0.107508))+0-72.9--0.0743580000000116</f>
        <v>1729.833768</v>
      </c>
      <c r="AD236">
        <v>1957.7</v>
      </c>
      <c r="AE236" s="3">
        <f>1821+(335.2-95.2)+(0+(0-0))+0-103.3-0</f>
        <v>1957.7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1571+(180.9-70.7)+(1.60242+(0.184518-0.072114))+0-55-0.0561000000000088</f>
        <v>1627.8587239999999</v>
      </c>
      <c r="G237" s="3">
        <f>1553.9+(174.5-66.5)+(0+(0-0))+0-95.3-0</f>
        <v>1566.6000000000001</v>
      </c>
      <c r="H237" s="3">
        <f>1537.6+(169.7-72.1)+(-1.568352+(-0.173094--0.073542))+0-92.5--0.0943500000000148</f>
        <v>1541.126446</v>
      </c>
      <c r="I237" s="3">
        <f>1480.6+(199.1-59.9)+(-2.265318+(-0.304623--0.091647))+0-88.1--0.134793000000005</f>
        <v>1529.356499</v>
      </c>
      <c r="J237" s="3">
        <f>1482.5+(230.9-73.2)+(-1.51215+(-0.235518--0.074664))+0-87.9--0.089658000000014</f>
        <v>1550.7166540000001</v>
      </c>
      <c r="K237" s="3">
        <f>1563.2+(171.6-99.8)+(0.797232+(0.087516-0.050898))+0-75.2-0.0383519999999924</f>
        <v>1560.5954979999999</v>
      </c>
      <c r="L237" s="3">
        <f>1792.5+(109.3-232.5)+(0.914175+(0.055743-0.118575))+0-90.4-0.0461039999999908</f>
        <v>1579.7052389999999</v>
      </c>
      <c r="M237" s="3">
        <f>2043.8+(131.7-349.1)+(0+(0-0))+0-103.8-0</f>
        <v>1722.6</v>
      </c>
      <c r="N237" s="3">
        <f>2339.1+(143-565.8)+(3.578823+(0.21879-0.865674))+0-84.5-0.129285000000005</f>
        <v>1834.602654</v>
      </c>
      <c r="O237" s="3">
        <f>2329.9+(142.3-459.6)+(1.188249+(0.072573-0.234396))+0-78.5-0.040034999999992</f>
        <v>1935.086391</v>
      </c>
      <c r="P237" s="3">
        <f>2398.3+(141.3-512.9)+(-2.446266+(-0.144126--0.523158))+0-34.3--0.0349860000000055</f>
        <v>1990.3677520000003</v>
      </c>
      <c r="Q237" s="3">
        <f>2408.8+(143.4-510.5)+(-3.685464+(-0.219402--0.781065))+0-49.9--0.0763470000000029</f>
        <v>1988.7525460000002</v>
      </c>
      <c r="R237" s="3">
        <f>2400.6+(143.8-478.7)+(-1.224306+(-0.073338--0.244137))+0-91.6--0.0467159999999907</f>
        <v>1973.0932089999999</v>
      </c>
      <c r="S237" s="3">
        <f>2377.6+(144.8-455.9)+(-2.425152+(-0.147696--0.465018))+0-95--0.0969000000000152</f>
        <v>1969.4890700000001</v>
      </c>
      <c r="T237" s="3">
        <f>2381.5+(144.8-501.1)+(0+(0-0))+0-88.5-0</f>
        <v>1936.7</v>
      </c>
      <c r="U237" s="3">
        <f>2367.9+(142.3-495.3)+(2.415258+(0.145146-0.505206))+0-73.9-0.0753780000000118</f>
        <v>1942.97982</v>
      </c>
      <c r="V237" s="3">
        <f>2430.2+(104.6-344)+(2.478804+(0.106692-0.35088))+0-95.5-0.0974100000000152</f>
        <v>2097.4372060000001</v>
      </c>
      <c r="W237" s="3">
        <f>2566.9+(79.3-307.8)+(2.618238+(0.080886-0.313956))+0-92.3-0.0941460000000147</f>
        <v>2248.3910219999998</v>
      </c>
      <c r="X237" s="3">
        <f>2669.7+(78.1-429.3)+(-6.807735+(-0.199155--1.094715))+0-93.9--0.239444999999986</f>
        <v>2218.9272700000001</v>
      </c>
      <c r="Y237" s="3">
        <f>2623.4+(80.1-405.2)+(-2.675868+(-0.081702--0.413304))+0-99.6--0.101592000000016</f>
        <v>2196.4573260000002</v>
      </c>
      <c r="Z237" s="3">
        <f>2484.2+(119.2-385.9)+(-7.601652+(-0.364752--1.180854))+0-80.8--0.247248000000009</f>
        <v>2130.1616979999999</v>
      </c>
      <c r="AA237" s="3">
        <f>2289.9+(145.2-362)+(-2.335698+(-0.148104--0.36924))+0-32.1--0.0327420000000051</f>
        <v>2038.9181799999999</v>
      </c>
      <c r="AB237" s="3">
        <f>2072.3+(144-202.3)+(-3.170619+(-0.22032--0.309519))+0-38.3--0.0585990000000022</f>
        <v>1972.6771790000003</v>
      </c>
      <c r="AC237" s="3">
        <f>1929.7+(143.1-118)+(-1.968294+(-0.145962--0.12036))+0-97.6--0.0995520000000156</f>
        <v>1855.305656</v>
      </c>
      <c r="AD237">
        <v>2275.6</v>
      </c>
      <c r="AE237" s="3">
        <f>2718+(91.6-430)+(0+(0-0))+0-104-0</f>
        <v>2275.6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1776.2+(142.6-104.1)+(0+(0-0))+0-76.3-0</f>
        <v>1738.4</v>
      </c>
      <c r="G238" s="3">
        <f>1657.9+(162.1-63.8)+(-1.691058+(-0.165342--0.065076))+0-91.1--0.0929220000000145</f>
        <v>1663.4015980000001</v>
      </c>
      <c r="H238" s="3">
        <f>1657.2+(148.2-71.4)+(-1.690344+(-0.151164--0.072828))+0-90.8--0.0926160000000145</f>
        <v>1641.523936</v>
      </c>
      <c r="I238" s="3">
        <f>1584.8+(180.3-63.5)+(1.616496+(0.183906-0.06477))+0-92.2-0.0940440000000147</f>
        <v>1611.0415879999998</v>
      </c>
      <c r="J238" s="3">
        <f>1584.8+(218.4-74.4)+(0.808248+(0.111384-0.037944))+0-94.6-0.0482459999999904</f>
        <v>1635.0334419999999</v>
      </c>
      <c r="K238" s="3">
        <f>1698.7+(146.4-127.8)+(1.732674+(0.149328-0.130356))+0-88.1-0.089862000000014</f>
        <v>1630.8617839999999</v>
      </c>
      <c r="L238" s="3">
        <f>1940.1+(132.7-279.3)+(2.968353+(0.203031-0.427329))+0-76.3-0.116739000000004</f>
        <v>1719.8273159999999</v>
      </c>
      <c r="M238" s="3">
        <f>2063.8+(105.5-227.4)+(2.105076+(0.10761-0.231948))+0-92.8-0.0946560000000148</f>
        <v>1850.9860820000001</v>
      </c>
      <c r="N238" s="3">
        <f>2173.4+(114-258.7)+(1.108434+(0.05814-0.131937))+0-80.5-0.0410549999999918</f>
        <v>1949.1935820000001</v>
      </c>
      <c r="O238" s="3">
        <f>2175+(114-295.6)+(0+(0-0))+0-80.5-0</f>
        <v>1912.9</v>
      </c>
      <c r="P238" s="3">
        <f>2338.4+(107.1-351)+(-1.192584+(-0.054621--0.17901))+0-83.4--0.0425339999999915</f>
        <v>2010.074339</v>
      </c>
      <c r="Q238" s="3">
        <f>2504.7+(107.8-487.9)+(-3.832191+(-0.164934--0.746487))+0-88.5--0.135405000000005</f>
        <v>2032.9847669999999</v>
      </c>
      <c r="R238" s="3">
        <f>2474.6+(87.7-445.5)+(0+(0-0))+0-90.6-0</f>
        <v>2026.1999999999998</v>
      </c>
      <c r="S238" s="3">
        <f>2492.2+(104.8-491.5)+(1.271022+(0.053448-0.250665))+0-73.6-0.0375359999999925</f>
        <v>2032.936269</v>
      </c>
      <c r="T238" s="3">
        <f>2514.2+(99.3-560.2)+(2.564484+(0.101286-0.571404))+0-66.8-0.0681360000000106</f>
        <v>1988.5262299999995</v>
      </c>
      <c r="U238" s="3">
        <f>2494.1+(112.3-556.5)+(1.271991+(0.057273-0.283815))+0-37.3-0.0190229999999962</f>
        <v>2013.6264260000003</v>
      </c>
      <c r="V238" s="3">
        <f>2537.8+(96.5-493.7)+(3.882834+(0.147645-0.755361))+0-27.2-0.0416160000000016</f>
        <v>2116.6335020000006</v>
      </c>
      <c r="W238" s="3">
        <f>2742.6+(92.1-478)+(0+(0-0))+0-97-0</f>
        <v>2259.6999999999998</v>
      </c>
      <c r="X238" s="3">
        <f>2795.6+(63.1-539.7)+(-2.851512+(-0.064362--0.550494))+0-88.5--0.0902700000000141</f>
        <v>2228.22489</v>
      </c>
      <c r="Y238" s="3">
        <f>2782.2+(54-545.3)+(-1.418922+(-0.02754--0.278103))+0-90.7--0.0462569999999908</f>
        <v>2199.077898</v>
      </c>
      <c r="Z238" s="3">
        <f>2615.2+(127.7-500.3)+(-1.333752+(-0.065127--0.255153))+0-88.9--0.045338999999991</f>
        <v>2152.6016129999998</v>
      </c>
      <c r="AA238" s="3">
        <f>2501.5+(144.5-486.1)+(-2.55153+(-0.14739--0.495822))+0-93.8--0.095676000000015</f>
        <v>2063.9925779999999</v>
      </c>
      <c r="AB238" s="3">
        <f>2399.8+(144-448.7)+(0+(0-0))+0-87.4-0</f>
        <v>2007.7000000000003</v>
      </c>
      <c r="AC238" s="3">
        <f>2256.3+(144.7-452.5)+(2.301426+(0.147594-0.46155))+0-67.5-0.0688500000000108</f>
        <v>1882.9186200000001</v>
      </c>
      <c r="AD238">
        <v>2345.6999999999998</v>
      </c>
      <c r="AE238" s="3">
        <f>2901+(83.7-534.6)+(0+(0-0))+0-104.4-0</f>
        <v>2345.6999999999998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2108.5+(144.7-385.3)+(-1.075335+(-0.073797--0.196503))+0-85.4--0.0435539999999913</f>
        <v>1781.5909250000002</v>
      </c>
      <c r="G239" s="3">
        <f>1996.3+(145.2-340.1)+(-1.018113+(-0.074052--0.173451))+0-98.9--0.05043899999999</f>
        <v>1701.631725</v>
      </c>
      <c r="H239" s="3">
        <f>1858.9+(144.5-265.9)+(-3.792156+(-0.29478--0.542436))+0-84--0.171359999999996</f>
        <v>1650.1268600000001</v>
      </c>
      <c r="I239" s="3">
        <f>1793+(145.1-210.5)+(4.57215+(0.370005-0.536775))+0-95.2-0.242759999999986</f>
        <v>1636.5626199999997</v>
      </c>
      <c r="J239" s="3">
        <f>1890.4+(145.4-285.8)+(0+(0-0))+0-95.3-0</f>
        <v>1654.7</v>
      </c>
      <c r="K239" s="3">
        <f>1952.2+(144.5-316.7)+(-3.982488+(-0.29478--0.646068))+0-87.8--0.179111999999996</f>
        <v>1688.747912</v>
      </c>
      <c r="L239" s="3">
        <f>2061+(141.8-423.9)+(2.10222+(0.144636-0.432378))+0-82.6-0.0842520000000132</f>
        <v>1698.0302260000001</v>
      </c>
      <c r="M239" s="3">
        <f>2189.1+(142.2-516.2)+(3.349323+(0.217566-0.789786))+0-28.9-0.0442170000000017</f>
        <v>1788.9328859999998</v>
      </c>
      <c r="N239" s="3">
        <f>2302.3+(142.6-530.3)+(2.348346+(0.145452-0.540906))+0-25.7-0.0262140000000041</f>
        <v>1890.8266780000004</v>
      </c>
      <c r="O239" s="3">
        <f>2392+(143.8-555.3)+(3.65976+(0.220014-0.849609))+0-26.5-0.0405450000000015</f>
        <v>1956.9896199999998</v>
      </c>
      <c r="P239" s="3">
        <f>2464.1+(144-568.4)+(1.256691+(0.07344-0.289884))+0-22.8-0.0116279999999977</f>
        <v>2017.9286189999998</v>
      </c>
      <c r="Q239" s="3">
        <f>2459.8+(144-568.7)+(-6.27249+(-0.3672--1.450185))+0-20--0.0509999999999971</f>
        <v>2009.961495</v>
      </c>
      <c r="R239" s="3">
        <f>2400.3+(144.1-536.5)+(-6.120765+(-0.367455--1.368075))+0-26.7--0.0680849999999961</f>
        <v>1976.1479399999998</v>
      </c>
      <c r="S239" s="3">
        <f>2404.4+(144.2-488.7)+(-1.226244+(-0.073542--0.249237))+0-96.3--0.0491129999999902</f>
        <v>1962.5985640000001</v>
      </c>
      <c r="T239" s="3">
        <f>2417.3+(137.3-533.5)+(1.232823+(0.070023-0.272085))+0-69.2-0.035291999999993</f>
        <v>1952.895469</v>
      </c>
      <c r="U239" s="3">
        <f>2447.9+(80.7-489.8)+(0+(0-0))+0-83.8-0</f>
        <v>1955.0000000000002</v>
      </c>
      <c r="V239" s="3">
        <f>2514.3+(36.5-414)+(-1.282293+(-0.018615--0.21114))+0-75--0.0382499999999924</f>
        <v>2060.7484820000004</v>
      </c>
      <c r="W239" s="3">
        <f>2640.3+(13-369.3)+(0+(0-0))+0-79.5-0</f>
        <v>2204.5</v>
      </c>
      <c r="X239" s="3">
        <f>2700+(17.7-520.6)+(-4.131+(-0.027081--0.796518))+0-63.1--0.0965430000000037</f>
        <v>2130.7349800000002</v>
      </c>
      <c r="Y239" s="3">
        <f>2674.3+(56.1-540.5)+(-4.091679+(-0.085833--0.826965))+0-64.5--0.0986850000000037</f>
        <v>2122.148138</v>
      </c>
      <c r="Z239" s="3">
        <f>2539.5+(102.2-543.9)+(-3.885435+(-0.156366--0.832167))+0-75.5--0.115515000000004</f>
        <v>2019.2058810000003</v>
      </c>
      <c r="AA239" s="3">
        <f>2335.3+(143-474)+(-2.382006+(-0.14586--0.48348))+0-30--0.0306000000000048</f>
        <v>1972.2862140000002</v>
      </c>
      <c r="AB239" s="3">
        <f>2231.7+(144.3-431.1)+(-3.414501+(-0.220779--0.659583))+0-50.7--0.0775710000000029</f>
        <v>1891.3018739999998</v>
      </c>
      <c r="AC239" s="3">
        <f>2177.2+(144.8-414.3)+(-1.110372+(-0.073848--0.211293))+0-81.9--0.0417689999999917</f>
        <v>1824.8688419999996</v>
      </c>
      <c r="AD239">
        <v>2209.4</v>
      </c>
      <c r="AE239" s="3">
        <f>2672+(11.6-367.7)+(0+(0-0))+0-106.5-0</f>
        <v>2209.4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2174+(145.1-529.4)+(1.10874+(0.074001-0.269994))+0-66.9-0.0341189999999932</f>
        <v>1723.6786280000001</v>
      </c>
      <c r="G240" s="3">
        <f>2096.2+(145.4-498.1)+(1.069062+(0.074154-0.254031))+0-80-0.0407999999999919</f>
        <v>1664.3483849999998</v>
      </c>
      <c r="H240" s="3">
        <f>2041.2+(145.1-485.2)+(0+(0-0))+0-88.7-0</f>
        <v>1612.3999999999999</v>
      </c>
      <c r="I240" s="3">
        <f>1974.4+(145.4-462.3)+(0+(0-0))+0-68.4-0</f>
        <v>1589.1</v>
      </c>
      <c r="J240" s="3">
        <f>1920.8+(145.6-417.8)+(0.979608+(0.074256-0.213078))+0-66.8-0.0340679999999932</f>
        <v>1582.606718</v>
      </c>
      <c r="K240" s="3">
        <f>1955.5+(145.5-439.5)+(1.99461+(0.14841-0.44829))+0-77.4-0.0789480000000123</f>
        <v>1585.7157819999998</v>
      </c>
      <c r="L240" s="3">
        <f>1931.4+(145.5-492.1)+(-1.970028+(-0.14841--0.501942))+0-68.9--0.070278000000011</f>
        <v>1514.3537819999999</v>
      </c>
      <c r="M240" s="3">
        <f>1937+(144.3-481.6)+(-0.98787+(-0.073593--0.245616))+0-60.4--0.0308039999999939</f>
        <v>1538.5149569999999</v>
      </c>
      <c r="N240" s="3">
        <f>2121.3+(143.4-548)+(0+(0-0))+0-74.5-0</f>
        <v>1642.2000000000003</v>
      </c>
      <c r="O240" s="3">
        <f>2230.8+(142.9-568.9)+(1.137708+(0.072879-0.290139))+0-82.5-0.0420749999999916</f>
        <v>1723.1783730000002</v>
      </c>
      <c r="P240" s="3">
        <f>2270.7+(143.1-603)+(3.474171+(0.218943-0.92259))+0-74.2-0.113526000000004</f>
        <v>1739.2569979999996</v>
      </c>
      <c r="Q240" s="3">
        <f>2238+(142.9-520.7)+(2.28276+(0.145758-0.531114))+0-74.9-0.0763980000000119</f>
        <v>1787.1210059999999</v>
      </c>
      <c r="R240" s="3">
        <f>2207.9+(142.9-533.3)+(-6.756174+(-0.437274--1.631898))+0-63.2--0.193392000000007</f>
        <v>1748.931842</v>
      </c>
      <c r="S240" s="3">
        <f>2185.9+(143.2-536.7)+(-4.459236+(-0.292128--1.094868))+0-93.3--0.190331999999996</f>
        <v>1695.633836</v>
      </c>
      <c r="T240" s="3">
        <f>2219.8+(143.5-518.3)+(0+(0-0))+0-78.9-0</f>
        <v>1766.1000000000001</v>
      </c>
      <c r="U240" s="3">
        <f>2129.3+(137-495.6)+(1.085943+(0.06987-0.252756))+0-66-0.0336599999999933</f>
        <v>1705.5693970000002</v>
      </c>
      <c r="V240" s="3">
        <f>2239+(89.4-479.9)+(-1.14189+(-0.045594--0.244749))+0-73.8--0.0376379999999925</f>
        <v>1773.794903</v>
      </c>
      <c r="W240" s="3">
        <f>2547.5+(32.3-476.9)+(0+(0-0))+0-76.5-0</f>
        <v>2026.4</v>
      </c>
      <c r="X240" s="3">
        <f>2592.7+(33.9-563)+(-3.966831+(-0.051867--0.86139))+0-78.7--0.120411000000005</f>
        <v>1981.8631030000001</v>
      </c>
      <c r="Y240" s="3">
        <f>2588+(48.4-584.7)+(0+(0-0))+0-71.3-0</f>
        <v>1980.3999999999999</v>
      </c>
      <c r="Z240" s="3">
        <f>2576.6+(99.8-638.5)+(-2.628132+(-0.101796--0.65127))+0-82.7--0.0843540000000132</f>
        <v>1953.205696</v>
      </c>
      <c r="AA240" s="3">
        <f>2322.4+(141.8-483.7)+(-2.368848+(-0.144636--0.493374))+0-83.4--0.0850680000000133</f>
        <v>1895.1649580000001</v>
      </c>
      <c r="AB240" s="3">
        <f>2187.9+(143.8-419.3)+(-3.347487+(-0.220014--0.641529))+0-74--0.113220000000004</f>
        <v>1835.587248</v>
      </c>
      <c r="AC240" s="3">
        <f>2156.6+(143.7-443.5)+(-3.299598+(-0.219861--0.678555))+0-64.4--0.0985320000000037</f>
        <v>1789.6576279999999</v>
      </c>
      <c r="AD240">
        <v>2021.4</v>
      </c>
      <c r="AE240" s="3">
        <f>2587+(24.6-567.6)+(0+(0-0))+0-22.6-0</f>
        <v>2021.4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1972.9+(143.9-487.5)+(-3.018537+(-0.220167--0.745875))+0-80.3--0.122859000000005</f>
        <v>1546.6300300000003</v>
      </c>
      <c r="G241" s="3">
        <f>1906.5+(143.7-387)+(-1.94463+(-0.146574--0.39474))+0-58.5--0.0596700000000093</f>
        <v>1603.063206</v>
      </c>
      <c r="H241" s="3">
        <f>1926.4+(143.7-298.9)+(1.964928+(0.146574-0.304878))+0-82.1-0.0837420000000131</f>
        <v>1690.8228820000002</v>
      </c>
      <c r="I241" s="3">
        <f>1975+(143.9-363.3)+(0+(0-0))+0-78.4-0</f>
        <v>1677.1999999999998</v>
      </c>
      <c r="J241" s="3">
        <f>1980.1+(140.1-323.8)+(-2.019702+(-0.142902--0.330276))+0-86.5--0.0882300000000138</f>
        <v>1708.155902</v>
      </c>
      <c r="K241" s="3">
        <f>1945.3+(71.9-236.9)+(-1.984206+(-0.073338--0.241638))+0-71.4--0.0728280000000114</f>
        <v>1707.1569219999999</v>
      </c>
      <c r="L241" s="3">
        <f>1943.3+(66.9-336.5)+(-0.991083+(-0.034119--0.171615))+0-82.6--0.0421259999999916</f>
        <v>1590.2885389999999</v>
      </c>
      <c r="M241" s="3">
        <f>2076.9+(104.8-371.7)+(0+(0-0))+0-69.8-0</f>
        <v>1740.2</v>
      </c>
      <c r="N241" s="3">
        <f>2353+(118.7-504.6)+(0+(0-0))+0-81.5-0</f>
        <v>1885.6</v>
      </c>
      <c r="O241" s="3">
        <f>2460.6+(142.8-549.4)+(3.764718+(0.218484-0.840582))+0-83-0.126990000000005</f>
        <v>1974.0156300000001</v>
      </c>
      <c r="P241" s="3">
        <f>2429+(143.5-525.4)+(-3.71637+(-0.219555--0.803862))+0-0-0</f>
        <v>2043.9679369999999</v>
      </c>
      <c r="Q241" s="3">
        <f>2486.8+(142.8-547.7)+(-1.268268+(-0.072828--0.279327))+0-69.5--0.0354449999999929</f>
        <v>2011.3736760000002</v>
      </c>
      <c r="R241" s="3">
        <f>2463.4+(143.7-577.1)+(-3.769002+(-0.219861--0.882963))+0-41.6--0.0636480000000024</f>
        <v>1985.3577480000001</v>
      </c>
      <c r="S241" s="3">
        <f>2401.4+(143.5-509.2)+(-3.674142+(-0.219555--0.779076))+0-86.5--0.132345000000005</f>
        <v>1946.2177240000001</v>
      </c>
      <c r="T241" s="3">
        <f>2390.6+(143.4-561.4)+(0+(0-0))+0-75.8-0</f>
        <v>1896.8</v>
      </c>
      <c r="U241" s="3">
        <f>2402+(139-526.6)+(-1.22502+(-0.07089--0.268566))+0-61.6--0.0314159999999938</f>
        <v>1951.8040720000001</v>
      </c>
      <c r="V241" s="3">
        <f>2480.6+(83.3-499.1)+(-1.265106+(-0.042483--0.254541))+0-51.1--0.0260609999999948</f>
        <v>2012.6730129999996</v>
      </c>
      <c r="W241" s="3">
        <f>2678.6+(51.4-382.3)+(0+(0-0))+0-58.4-0</f>
        <v>2289.2999999999997</v>
      </c>
      <c r="X241" s="3">
        <f>2680.9+(43.4-454)+(-4.101777+(-0.066402--0.69462))+0-81.2--0.124236000000005</f>
        <v>2185.7506770000005</v>
      </c>
      <c r="Y241" s="3">
        <f>2678.9+(55.3-496.7)+(-6.831195+(-0.141015--1.266585))+0-74.5--0.189974999999989</f>
        <v>2157.4843499999997</v>
      </c>
      <c r="Z241" s="3">
        <f>2614.7+(104-521.5)+(-5.333988+(-0.21216--1.06386))+0-76.8--0.156671999999997</f>
        <v>2116.0743839999996</v>
      </c>
      <c r="AA241" s="3">
        <f>2538.1+(110.9-530.4)+(-2.588862+(-0.113118--0.541008))+0-68.9--0.070278000000011</f>
        <v>2047.6093059999996</v>
      </c>
      <c r="AB241" s="3">
        <f>2411.5+(143.4-501.2)+(-6.149325+(-0.36567--1.27806))+0-60.7--0.154784999999991</f>
        <v>1987.9178499999998</v>
      </c>
      <c r="AC241" s="3">
        <f>2384.7+(144-526)+(-1.216197+(-0.07344--0.26826))+0-86.2--0.0439619999999913</f>
        <v>1915.5225849999997</v>
      </c>
      <c r="AD241">
        <v>2176</v>
      </c>
      <c r="AE241" s="3">
        <f>2655+(50.2-432)+(0+(0-0))+0-97.2-0</f>
        <v>2176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2163.9+(144.1-474.3)+(-4.414356+(-0.293964--0.967572))+0-79.5--0.162179999999997</f>
        <v>1750.6214320000001</v>
      </c>
      <c r="G242" s="3">
        <f>1948.4+(144.4-366.2)+(-3.974736+(-0.294576--0.747048))+0-50.1--0.102203999999998</f>
        <v>1673.0799400000003</v>
      </c>
      <c r="H242" s="3">
        <f>1785.6+(144.2-293.5)+(0+(0-0))+0-21.4-0</f>
        <v>1614.8999999999999</v>
      </c>
      <c r="I242" s="3">
        <f>1787.2+(143.8-266.5)+(-2.734416+(-0.220014--0.407745))+0-51.9--0.079407000000003</f>
        <v>1610.1327219999998</v>
      </c>
      <c r="J242" s="3">
        <f>1849.7+(141.4-269.9)+(0.943347+(0.072114-0.137649))+0-69.7-0.0355469999999929</f>
        <v>1652.342265</v>
      </c>
      <c r="K242" s="3">
        <f>2009.7+(80.5-374.5)+(-1.024947+(-0.041055--0.190995))+0-75.1--0.0383009999999924</f>
        <v>1639.7632940000001</v>
      </c>
      <c r="L242" s="3">
        <f>2127.7+(59-443.6)+(-5.425635+(-0.15045--1.13118))+0-87.9--0.224144999999987</f>
        <v>1650.9792399999997</v>
      </c>
      <c r="M242" s="3">
        <f>2164.8+(100.2-450.3)+(1.104048+(0.051102-0.229653))+0-68.4-0.0348839999999931</f>
        <v>1747.1906130000002</v>
      </c>
      <c r="N242" s="3">
        <f>2275.7+(127-459.6)+(1.160607+(0.06477-0.234396))+0-83.5-0.0425849999999915</f>
        <v>1860.5483959999999</v>
      </c>
      <c r="O242" s="3">
        <f>2359.2+(124.6-438.3)+(-2.406384+(-0.127092--0.447066))+0-82.6--0.0842520000000132</f>
        <v>1960.8978420000001</v>
      </c>
      <c r="P242" s="3">
        <f>2403.1+(121.2-503.5)+(1.225581+(0.061812-0.256785))+0-29.8-0.015197999999997</f>
        <v>1992.01541</v>
      </c>
      <c r="Q242" s="3">
        <f>2456.8+(121.7-531.1)+(-5.011872+(-0.248268--1.083444))+0-52.4--0.106895999999998</f>
        <v>1990.9302</v>
      </c>
      <c r="R242" s="3">
        <f>2489.8+(110.6-436.7)+(-10.158384+(-0.451248--1.781736))+0-88.2--0.359855999999992</f>
        <v>2067.0319600000007</v>
      </c>
      <c r="S242" s="3">
        <f>2513.2+(102-512.6)+(-1.281732+(-0.05202--0.261426))+0-88.7--0.045236999999991</f>
        <v>2012.8729109999999</v>
      </c>
      <c r="T242" s="3">
        <f>2522.8+(75.5-534.5)+(0+(0-0))+0-90-0</f>
        <v>1973.8000000000002</v>
      </c>
      <c r="U242" s="3">
        <f>2479.5+(62.1-502.6)+(-5.05818+(-0.126684--1.025304))+0-50.1--0.102203999999998</f>
        <v>1984.8426440000001</v>
      </c>
      <c r="V242" s="3">
        <f>2505.5+(43.6-392.1)+(1.277805+(0.022236-0.199971))+0-78.3-0.0399329999999921</f>
        <v>2079.7601369999998</v>
      </c>
      <c r="W242" s="3">
        <f>2615.2+(18.8-359)+(0+(0-0))+0-87.9-0</f>
        <v>2187.1</v>
      </c>
      <c r="X242" s="3">
        <f>2646.7+(21.8-444)+(-6.749085+(-0.05559--1.1322))+0-85--0.216749999999988</f>
        <v>2134.0442750000002</v>
      </c>
      <c r="Y242" s="3">
        <f>2624.1+(38.8-505)+(0+(0-0))+0-83.7-0</f>
        <v>2074.2000000000003</v>
      </c>
      <c r="Z242" s="3">
        <f>2622.4+(72.3-524)+(-5.349696+(-0.147492--1.06896))+0-76.3--0.155651999999997</f>
        <v>2090.1274239999998</v>
      </c>
      <c r="AA242" s="3">
        <f>2431.5+(107.1-466.6)+(-1.240065+(-0.054621--0.237966))+0-91.2--0.0465119999999907</f>
        <v>1979.7897919999998</v>
      </c>
      <c r="AB242" s="3">
        <f>2426.3+(96.7-503.3)+(-3.712239+(-0.147951--0.770049))+0-87.6--0.134028000000005</f>
        <v>1929.1438870000004</v>
      </c>
      <c r="AC242" s="3">
        <f>2357.9+(90.6-498.5)+(-9.620232+(-0.369648--2.03388))+0-83.6--0.341087999999993</f>
        <v>1858.7850880000001</v>
      </c>
      <c r="AD242">
        <v>2098.3000000000002</v>
      </c>
      <c r="AE242" s="3">
        <f>2594+(15.3-410.2)+(0+(0-0))+0-100.8-0</f>
        <v>2098.2999999999997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2163+(98.1-491.6)+(-5.51565+(-0.250155--1.25358))+0-68.5--0.17467499999999</f>
        <v>1696.66245</v>
      </c>
      <c r="G243" s="3">
        <f>2020.4+(109.5-384.7)+(1.030404+(0.055845-0.196197))+0-69.1-0.035240999999993</f>
        <v>1676.9548110000001</v>
      </c>
      <c r="H243" s="3">
        <f>1963.3+(115-379.5)+(-4.005132+(-0.2346--0.77418))+0-87.4--0.178295999999996</f>
        <v>1608.112744</v>
      </c>
      <c r="I243" s="3">
        <f>1775.3+(108.7-223.1)+(0+(0-0))+0-93.4-0</f>
        <v>1567.4999999999998</v>
      </c>
      <c r="J243" s="3">
        <f>1804.2+(111.3-252.4)+(-1.840284+(-0.113526--0.257448))+0-80.3--0.0819060000000128</f>
        <v>1581.1855440000002</v>
      </c>
      <c r="K243" s="3">
        <f>1812.3+(104.3-243.1)+(1.848546+(0.106386-0.247962))+0-91.9-0.0937380000000147</f>
        <v>1583.2132319999998</v>
      </c>
      <c r="L243" s="3">
        <f>1807.6+(107.6-344.5)+(-1.843752+(-0.109752--0.35139))+0-66.8--0.0681360000000106</f>
        <v>1502.3660219999999</v>
      </c>
      <c r="M243" s="3">
        <f>1776.8+(120.6-232.6)+(-1.812336+(-0.123012--0.237252))+0-95--0.0969000000000152</f>
        <v>1568.1988039999999</v>
      </c>
      <c r="N243" s="3">
        <f>1989.4+(124.8-422.5)+(-1.014594+(-0.063648--0.215475))+0-69.7--0.0355469999999929</f>
        <v>1621.1727799999999</v>
      </c>
      <c r="O243" s="3">
        <f>2180+(126.9-521.3)+(-2.2236+(-0.129438--0.531726))+0-91.2--0.0930240000000145</f>
        <v>1692.6717119999998</v>
      </c>
      <c r="P243" s="3">
        <f>2167.3+(126.6-468.6)+(-3.315969+(-0.193698--0.716958))+0-91.9--0.140607000000005</f>
        <v>1730.7478980000001</v>
      </c>
      <c r="Q243" s="3">
        <f>2175.2+(142.7-449.1)+(-2.218704+(-0.145554--0.458082))+0-87.1--0.0888420000000139</f>
        <v>1779.882666</v>
      </c>
      <c r="R243" s="3">
        <f>2268.4+(144.5-542.3)+(-3.470652+(-0.221085--0.829719))+0-80.6--0.123318000000005</f>
        <v>1787.2613000000001</v>
      </c>
      <c r="S243" s="3">
        <f>2239+(144.9-503.5)+(-3.42567+(-0.221697--0.770355))+0-76--0.116280000000004</f>
        <v>1801.6392680000001</v>
      </c>
      <c r="T243" s="3">
        <f>2145.9+(141.4-463.3)+(-4.377636+(-0.288456--0.945132))+0-73.6--0.150143999999997</f>
        <v>1746.8291839999999</v>
      </c>
      <c r="U243" s="3">
        <f>2164.5+(98-414.6)+(0+(0-0))+0-62.8-0</f>
        <v>1785.1000000000001</v>
      </c>
      <c r="V243" s="3">
        <f>2197.7+(47.8-337.2)+(0+(0-0))+0-87.6-0</f>
        <v>1820.6999999999998</v>
      </c>
      <c r="W243" s="3">
        <f>2310.8+(22.8-246)+(1.178508+(0.011628-0.12546))+0-67.8-0.0345779999999931</f>
        <v>2020.8300980000004</v>
      </c>
      <c r="X243" s="3">
        <f>2317.4+(34.7-269.4)+(0+(0-0))+0-94-0</f>
        <v>1988.7000000000003</v>
      </c>
      <c r="Y243" s="3">
        <f>2320.6+(62.5-343)+(1.183506+(0.031875-0.17493))+0-84.9-0.0432989999999914</f>
        <v>1956.197152</v>
      </c>
      <c r="Z243" s="3">
        <f>2312.3+(106.3-374.9)+(-2.358546+(-0.108426--0.382398))+0-92.2--0.0940440000000147</f>
        <v>1949.5094700000002</v>
      </c>
      <c r="AA243" s="3">
        <f>2310.8+(142.9-437.1)+(-2.357016+(-0.145758--0.445842))+0-93.6--0.0954720000000149</f>
        <v>1921.0385400000002</v>
      </c>
      <c r="AB243" s="3">
        <f>2295.7+(146.1-498.3)+(-4.683228+(-0.298044--1.016532))+0-87.2--0.177887999999996</f>
        <v>1852.5131479999998</v>
      </c>
      <c r="AC243" s="3">
        <f>2110.1+(143.8-374.5)+(-4.304604+(-0.293352--0.76398))+0-85.4--0.174215999999996</f>
        <v>1790.3402399999998</v>
      </c>
      <c r="AD243">
        <v>1936.9</v>
      </c>
      <c r="AE243" s="3">
        <f>2283+(17.4-260.9)+(0+(0-0))+0-102.6-0</f>
        <v>1936.9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2094.5+(141.9-453)+(0+(0-0))+0-95.1-0</f>
        <v>1688.3000000000002</v>
      </c>
      <c r="G244" s="3">
        <f>1938.2+(143.9-357.6)+(-4.94241+(-0.366945--0.91188))+0-81.9--0.208844999999988</f>
        <v>1638.4113699999998</v>
      </c>
      <c r="H244" s="3">
        <f>1725+(146-226.4)+(2.63925+(0.22338-0.346392))+0-57.3-0.0876690000000033</f>
        <v>1589.7285689999999</v>
      </c>
      <c r="I244" s="3">
        <f>1771+(145.1-252.9)+(-1.80642+(-0.148002--0.257958))+0-84.8--0.0864960000000135</f>
        <v>1576.7900320000001</v>
      </c>
      <c r="J244" s="3">
        <f>1738.5+(109.1-202.3)+(4.433175+(0.278205-0.515865))+0-65.9-0.16804499999999</f>
        <v>1583.4274700000001</v>
      </c>
      <c r="K244" s="3">
        <f>1940.7+(62-310.6)+(0.989757+(0.03162-0.158406))+0-81.9-0.0417689999999917</f>
        <v>1611.0212019999999</v>
      </c>
      <c r="L244" s="3">
        <f>2080.8+(83.6-445.9)+(-3.183624+(-0.127908--0.682227))+0-83.1--0.127143000000005</f>
        <v>1632.8978380000003</v>
      </c>
      <c r="M244" s="3">
        <f>2246.7+(117-553.4)+(1.145817+(0.05967-0.282234))+0-81.8-0.0417179999999917</f>
        <v>1729.3815349999998</v>
      </c>
      <c r="N244" s="3">
        <f>2341.3+(143.6-510.9)+(1.194063+(0.073236-0.260559))+0-67-0.0341699999999932</f>
        <v>1907.9725700000004</v>
      </c>
      <c r="O244" s="3">
        <f>2506.9+(141.7-605.7)+(-5.114076+(-0.289068--1.235628))+0-73.8--0.150551999999997</f>
        <v>1965.0830360000002</v>
      </c>
      <c r="P244" s="3">
        <f>2502.2+(143.7-541.6)+(-1.276122+(-0.073287--0.276216))+0-82.9--0.0422789999999916</f>
        <v>2020.3690859999995</v>
      </c>
      <c r="Q244" s="3">
        <f>2537.5+(144.2-552.6)+(1.294125+(0.073542-0.281826))+0-83-0.0423299999999916</f>
        <v>2047.143511</v>
      </c>
      <c r="R244" s="3">
        <f>2465.1+(145.5-496.9)+(-3.771603+(-0.222615--0.760257))+0-86.3--0.132039000000005</f>
        <v>2024.298078</v>
      </c>
      <c r="S244" s="3">
        <f>2469.2+(144.8-551.2)+(-3.777876+(-0.221544--0.843336))+0-60.8--0.0930240000000035</f>
        <v>1998.9369399999996</v>
      </c>
      <c r="T244" s="3">
        <f>2435+(144.5-516.2)+(-1.24185+(-0.073695--0.263262))+0-74.5--0.0379949999999924</f>
        <v>1987.7857120000001</v>
      </c>
      <c r="U244" s="3">
        <f>2393.7+(116.6-482.7)+(-3.662361+(-0.178398--0.738531))+0-43.2--0.0660960000000025</f>
        <v>1981.3638679999999</v>
      </c>
      <c r="V244" s="3">
        <f>2541.2+(79.5-404.6)+(-1.296012+(-0.040545--0.206346))+0-87.9--0.0448289999999911</f>
        <v>2127.1146179999996</v>
      </c>
      <c r="W244" s="3">
        <f>2769.1+(88.3-522.8)+(1.412241+(0.045033-0.266628))+0-85.1-0.0434009999999914</f>
        <v>2250.6472450000001</v>
      </c>
      <c r="X244" s="3">
        <f>2763+(88.7-563.1)+(-5.63652+(-0.180948--1.148724))+0-91.9--0.187475999999996</f>
        <v>2192.2187319999998</v>
      </c>
      <c r="Y244" s="3">
        <f>2607.1+(97.2-519.1)+(0+(0-0))+0-91.5-0</f>
        <v>2093.6999999999998</v>
      </c>
      <c r="Z244" s="3">
        <f>2669+(125.2-602.4)+(-1.36119+(-0.063852--0.307224))+0-35.5--0.0181049999999964</f>
        <v>2155.2002870000001</v>
      </c>
      <c r="AA244" s="3">
        <f>2494.3+(142.5-581.3)+(-7.632558+(-0.43605--1.778778))+0-28.1--0.0859860000000033</f>
        <v>2021.196156</v>
      </c>
      <c r="AB244" s="3">
        <f>2404.9+(142.4-487.8)+(-2.452998+(-0.145248--0.497556))+0-79.5--0.0810900000000127</f>
        <v>1977.9803999999997</v>
      </c>
      <c r="AC244" s="3">
        <f>2135.6+(141.8-323.5)+(-7.624092+(-0.506226--1.154895))+0-88.4--0.315588000000001</f>
        <v>1858.8401649999996</v>
      </c>
      <c r="AD244">
        <v>2207.1999999999998</v>
      </c>
      <c r="AE244" s="3">
        <f>2815+(84.6-592.7)+(0+(0-0))+0-99.7-0</f>
        <v>2207.2000000000003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1953.6+(141.9-288.3)+(-2.989008+(-0.217107--0.441099))+0-79.6--0.121788000000005</f>
        <v>1724.9567719999998</v>
      </c>
      <c r="G245" s="3">
        <f>1956.5+(142.1-345)+(-1.99563+(-0.144942--0.3519))+0-84.6--0.0862920000000135</f>
        <v>1667.2976200000001</v>
      </c>
      <c r="H245" s="3">
        <f>1919.5+(142.2-394.3)+(0+(0-0))+0-68.4-0</f>
        <v>1599</v>
      </c>
      <c r="I245" s="3">
        <f>1722.1+(142.4-227.7)+(0+(0-0))+0-80.3-0</f>
        <v>1556.5</v>
      </c>
      <c r="J245" s="3">
        <f>1684.8+(142.8-146.1)+(1.718496+(0.145656-0.149022))+0-81.6-0.083232000000013</f>
        <v>1601.5318980000002</v>
      </c>
      <c r="K245" s="3">
        <f>1718.3+(142.2-167.7)+(1.752666+(0.145044-0.171054))+0-93.6-0.0954720000000149</f>
        <v>1600.8311840000001</v>
      </c>
      <c r="L245" s="3">
        <f>1854.3+(141.8-258.8)+(2.837079+(0.216954-0.395964))+0-61.4-0.0939420000000036</f>
        <v>1678.464127</v>
      </c>
      <c r="M245" s="3">
        <f>1803.6+(142.2-136.5)+(2.759508+(0.217566-0.208845))+0-62.6-0.0957780000000036</f>
        <v>1749.372451</v>
      </c>
      <c r="N245" s="3">
        <f>2154.7+(143.4-330.6)+(-1.098897+(-0.073134--0.168606))+0-87.2--0.0444719999999912</f>
        <v>1879.3410469999997</v>
      </c>
      <c r="O245" s="3">
        <f>2320.7+(142-426.3)+(-1.183557+(-0.07242--0.217413))+0-76.1--0.0388109999999923</f>
        <v>1959.3002469999999</v>
      </c>
      <c r="P245" s="3">
        <f>2428.3+(143.3-484.5)+(-1.238433+(-0.073083--0.247095))+0-85.2--0.0434519999999914</f>
        <v>2000.8790310000002</v>
      </c>
      <c r="Q245" s="3">
        <f>2484.5+(142.8-561.6)+(-3.801285+(-0.218484--0.859248))+0-83.3--0.127449000000005</f>
        <v>1979.3669280000001</v>
      </c>
      <c r="R245" s="3">
        <f>2381+(142.8-487.8)+(-3.64293+(-0.218484--0.746334))+0-86.2--0.131886000000005</f>
        <v>1946.8168059999998</v>
      </c>
      <c r="S245" s="3">
        <f>2325+(143.2-456.9)+(-4.743+(-0.292128--0.932076))+0-90.9--0.185435999999996</f>
        <v>1916.4823839999999</v>
      </c>
      <c r="T245" s="3">
        <f>2335.1+(143.5-508.7)+(-1.190901+(-0.073185--0.259437))+0-69.6--0.0354959999999929</f>
        <v>1899.3308469999999</v>
      </c>
      <c r="U245" s="3">
        <f>2354.4+(118.7-500.2)+(3.602232+(0.181611-0.765306))+0-66.1-0.101133000000004</f>
        <v>1909.7174040000002</v>
      </c>
      <c r="V245" s="3">
        <f>2372.6+(99.9-366.9)+(-6.05013+(-0.254745--0.935595))+0-63.1--0.160904999999991</f>
        <v>2037.2916250000001</v>
      </c>
      <c r="W245" s="3">
        <f>2478.7+(88-326)+(1.264137+(0.04488-0.16626))+0-76.6-0.0390659999999922</f>
        <v>2165.2036910000002</v>
      </c>
      <c r="X245" s="3">
        <f>2492.7+(89.8-397.4)+(-7.627662+(-0.274788--1.216044))+0-61.8--0.189108000000007</f>
        <v>2116.802702</v>
      </c>
      <c r="Y245" s="3">
        <f>2505.2+(104.7-440.6)+(-2.555304+(-0.106794--0.449412))+0-74.8--0.0762960000000119</f>
        <v>2092.3636099999999</v>
      </c>
      <c r="Z245" s="3">
        <f>2494+(122.4-476)+(-5.08776+(-0.249696--0.97104))+0-83--0.169319999999996</f>
        <v>2053.2029040000002</v>
      </c>
      <c r="AA245" s="3">
        <f>2461.5+(122.6-525.5)+(-6.276825+(-0.31263--1.340025))+0-69.3--0.17671499999999</f>
        <v>1984.2272850000002</v>
      </c>
      <c r="AB245" s="3">
        <f>2300.8+(143.4-457.5)+(-3.520224+(-0.219402--0.699975))+0-68.4--0.104652000000004</f>
        <v>1915.3650010000001</v>
      </c>
      <c r="AC245" s="3">
        <f>2260.5+(142.2-505.7)+(-2.30571+(-0.145044--0.515814))+0-73.1--0.0745620000000116</f>
        <v>1822.039622</v>
      </c>
      <c r="AD245">
        <v>2157</v>
      </c>
      <c r="AE245" s="3">
        <f>2520+(86.4-343.6)+(0+(0-0))+0-105.8-0</f>
        <v>2157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2197.9+(142.8-544.1)+(2.241858+(0.145656-0.554982))+0-74.7-0.0761940000000119</f>
        <v>1723.656338</v>
      </c>
      <c r="G246" s="3">
        <f>2073.2+(142.2-486.3)+(-2.114664+(-0.145044--0.496026))+0-82.1--0.0837420000000131</f>
        <v>1645.32006</v>
      </c>
      <c r="H246" s="3">
        <f>2012.5+(142.1-483)+(1.026375+(0.072471-0.24633))+0-62-0.0316199999999937</f>
        <v>1610.4208959999999</v>
      </c>
      <c r="I246" s="3">
        <f>1962.7+(137.9-421.4)+(1.000977+(0.070329-0.214914))+0-88.9-0.045338999999991</f>
        <v>1591.1110529999999</v>
      </c>
      <c r="J246" s="3">
        <f>1949+(117-393.7)+(-1.98798+(-0.11934--0.401574))+0-79.3--0.0808860000000126</f>
        <v>1591.3751399999999</v>
      </c>
      <c r="K246" s="3">
        <f>2133.1+(97.3-519.2)+(2.175762+(0.099246-0.529584))+0-81.1-0.0827220000000129</f>
        <v>1631.7627019999998</v>
      </c>
      <c r="L246" s="3">
        <f>2129.5+(105.2-542.9)+(-2.17209+(-0.107304--0.553758))+0-52.7--0.0537540000000084</f>
        <v>1637.428118</v>
      </c>
      <c r="M246" s="3">
        <f>2133.9+(142.7-450.7)+(-1.088289+(-0.072777--0.229857))+0-80.8--0.0412079999999918</f>
        <v>1744.2099990000002</v>
      </c>
      <c r="N246" s="3">
        <f>2111.2+(142.5-353.2)+(0+(0-0))+0-77.8-0</f>
        <v>1822.6999999999998</v>
      </c>
      <c r="O246" s="3">
        <f>2114+(141.3-294.9)+(1.07814+(0.072063-0.150399))+0-73.1-0.0372809999999926</f>
        <v>1888.2625230000003</v>
      </c>
      <c r="P246" s="3">
        <f>2170+(135.9-290.9)+(-2.2134+(-0.138618--0.296718))+0-84.4--0.0860880000000135</f>
        <v>1928.6307879999999</v>
      </c>
      <c r="Q246" s="3">
        <f>2261.7+(134.1-353.2)+(-5.767335+(-0.341955--0.90066))+0-79.8--0.203489999999988</f>
        <v>1957.79486</v>
      </c>
      <c r="R246" s="3">
        <f>2346.9+(142-408.4)+(-3.590757+(-0.21726--0.624852))+0-74.7--0.114291000000004</f>
        <v>2002.7311260000001</v>
      </c>
      <c r="S246" s="3">
        <f>2353.7+(142.7-422.9)+(-2.400774+(-0.145554--0.431358))+0-79.6--0.0811920000000127</f>
        <v>1991.8662220000001</v>
      </c>
      <c r="T246" s="3">
        <f>2378.4+(142.5-457.2)+(3.638952+(0.218025-0.699516))+0-74.4-0.113832000000004</f>
        <v>1992.343629</v>
      </c>
      <c r="U246" s="3">
        <f>2371.2+(141-435.2)+(1.209312+(0.07191-0.221952))+0-86-0.0438599999999913</f>
        <v>1992.0154100000002</v>
      </c>
      <c r="V246" s="3">
        <f>2336.7+(135-319)+(0+(0-0))+0-100-0</f>
        <v>2052.6999999999998</v>
      </c>
      <c r="W246" s="3">
        <f>2542.1+(95-320.6)+(0+(0-0))+0-98-0</f>
        <v>2218.5</v>
      </c>
      <c r="X246" s="3">
        <f>2641.2+(64.6-457.7)+(-4.041036+(-0.098838--0.700281))+0-92--0.140760000000005</f>
        <v>2152.8011670000001</v>
      </c>
      <c r="Y246" s="3">
        <f>2578.2+(79.3-436.1)+(-6.57441+(-0.202215--1.112055))+0-97--0.247349999999986</f>
        <v>2118.9827799999998</v>
      </c>
      <c r="Z246" s="3">
        <f>2509.5+(110.3-462.2)+(0+(0-0))+0-96-0</f>
        <v>2061.6</v>
      </c>
      <c r="AA246" s="3">
        <f>2480.1+(128.8-522.1)+(-6.324255+(-0.32844--1.331355))+0-87--0.221849999999987</f>
        <v>1994.7005099999997</v>
      </c>
      <c r="AB246" s="3">
        <f>2309.5+(124.3-434.2)+(-4.71138+(-0.253572--0.885768))+0-89--0.181559999999996</f>
        <v>1906.702376</v>
      </c>
      <c r="AC246" s="3">
        <f>2111.3+(125.7-330.2)+(-4.307052+(-0.256428--0.673608))+0-88--0.179519999999996</f>
        <v>1815.0896480000001</v>
      </c>
      <c r="AD246">
        <v>2208</v>
      </c>
      <c r="AE246" s="3">
        <f>2629+(57.7-381.7)+(0+(0-0))+0-97-0</f>
        <v>2208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1964.8+(142.1-365.5)+(-3.006144+(-0.217413--0.559215))+0-76--0.116280000000004</f>
        <v>1662.8519379999998</v>
      </c>
      <c r="G247" s="3">
        <f>1855.5+(145.2-321.9)+(0+(0-0))+0-75.2-0</f>
        <v>1603.6</v>
      </c>
      <c r="H247" s="3">
        <f>1866.3+(144.7-358.2)+(0+(0-0))+0-88.1-0</f>
        <v>1564.7</v>
      </c>
      <c r="I247" s="3">
        <f>1936.8+(143.5-449.3)+(0+(0-0))+0-83-0</f>
        <v>1548</v>
      </c>
      <c r="J247" s="3">
        <f>1906.6+(109.9-409.1)+(3.889464+(0.224196-0.834564))+0-68.6-0.139943999999997</f>
        <v>1541.9391519999999</v>
      </c>
      <c r="K247" s="3">
        <f>1908.9+(103.4-379.1)+(3.894156+(0.210936-0.773364))+0-81.6-0.166463999999996</f>
        <v>1554.7652640000003</v>
      </c>
      <c r="L247" s="3">
        <f>2120.7+(95.5-579.1)+(2.163114+(0.09741-0.590682))+0-53.1-0.0541620000000085</f>
        <v>1585.6156800000001</v>
      </c>
      <c r="M247" s="3">
        <f>2215.9+(112.1-594.3)+(0+(0-0))+0-22.6-0</f>
        <v>1711.1000000000004</v>
      </c>
      <c r="N247" s="3">
        <f>2277.8+(134.6-567.1)+(1.161678+(0.068646-0.289221))+0-17.6-0.00897599999999821</f>
        <v>1828.6321270000003</v>
      </c>
      <c r="O247" s="3">
        <f>2386.6+(144.1-608.1)+(2.434332+(0.146982-0.620262))+0-15.2-0.0155040000000024</f>
        <v>1909.345548</v>
      </c>
      <c r="P247" s="3">
        <f>2435.7+(143.9-599.9)+(-1.242207+(-0.073389--0.305949))+0-16--0.00815999999999838</f>
        <v>1962.6985129999998</v>
      </c>
      <c r="Q247" s="3">
        <f>2426.2+(143.8-576.8)+(-7.424172+(-0.440028--1.765008))+0-19.6--0.0599760000000023</f>
        <v>1967.560784</v>
      </c>
      <c r="R247" s="3">
        <f>2427.4+(144.1-596.1)+(-4.951896+(-0.293964--1.216044))+0-19.5--0.0397799999999991</f>
        <v>1951.9099640000002</v>
      </c>
      <c r="S247" s="3">
        <f>2356.2+(143.7-550.3)+(-1.201662+(-0.073287--0.280653))+0-24.6--0.0125459999999975</f>
        <v>1924.0182499999999</v>
      </c>
      <c r="T247" s="3">
        <f>2359.5+(140.2-583.8)+(0+(0-0))+0-27.1-0</f>
        <v>1888.8000000000002</v>
      </c>
      <c r="U247" s="3">
        <f>2313.7+(88.3-487.4)+(1.179987+(0.045033-0.248574))+0-40.5-0.0206549999999959</f>
        <v>1875.0557909999998</v>
      </c>
      <c r="V247" s="3">
        <f>2442.7+(45.9-429.7)+(1.245777+(0.023409-0.219147))+0-66.1-0.0337109999999933</f>
        <v>1993.8163279999999</v>
      </c>
      <c r="W247" s="3">
        <f>2604.9+(37.3-455.2)+(-1.328499+(-0.019023--0.232152))+0-85.1--0.0434009999999914</f>
        <v>2100.828031</v>
      </c>
      <c r="X247" s="3">
        <f>2676.9+(68.9-593)+(0+(0-0))+0-89.1-0</f>
        <v>2063.7000000000003</v>
      </c>
      <c r="Y247" s="3">
        <f>2556.1+(91.1-538.6)+(-5.214444+(-0.185844--1.098744))+0-88.4--0.180335999999996</f>
        <v>2016.0787919999998</v>
      </c>
      <c r="Z247" s="3">
        <f>2415.5+(127.7-483.4)+(-1.231905+(-0.065127--0.246534))+0-89.8--0.0457979999999909</f>
        <v>1968.9953000000003</v>
      </c>
      <c r="AA247" s="3">
        <f>2383.4+(141.6-522.5)+(-4.862136+(-0.288864--1.0659))+0-89.6--0.182783999999996</f>
        <v>1908.9976840000002</v>
      </c>
      <c r="AB247" s="3">
        <f>2245.2+(142.1-463.6)+(-3.435156+(-0.217413--0.709308))+0-92.4--0.141372000000005</f>
        <v>1828.4981109999999</v>
      </c>
      <c r="AC247" s="3">
        <f>2152.4+(142-533.1)+(-3.293172+(-0.21726--0.815643))+0-33--0.0504900000000019</f>
        <v>1725.6557010000004</v>
      </c>
      <c r="AD247">
        <v>2067.1</v>
      </c>
      <c r="AE247" s="3">
        <f>2686+(56.7-579.9)+(0+(0-0))+0-95.7-0</f>
        <v>2067.1000000000004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1942.1+(142.3-379.2)+(-1.980942+(-0.145146--0.386784))+0-83.7--0.0853740000000134</f>
        <v>1619.8460699999998</v>
      </c>
      <c r="G248" s="3">
        <f>1767.2+(142.9-280.6)+(-1.802544+(-0.145758--0.286212))+0-82.9--0.0845580000000132</f>
        <v>1545.0224679999999</v>
      </c>
      <c r="H248" s="3">
        <f>1747.4+(142.6-280.8)+(-1.782348+(-0.145452--0.286416))+0-87.1--0.0888420000000139</f>
        <v>1520.5474580000002</v>
      </c>
      <c r="I248" s="3">
        <f>1736.8+(142-291.8)+(-0.885768+(-0.07242--0.148818))+0-87--0.0443699999999912</f>
        <v>1499.2350000000001</v>
      </c>
      <c r="J248" s="3">
        <f>1782.7+(115-308.3)+(1.818354+(0.1173-0.314466))+0-65-0.0663000000000104</f>
        <v>1525.9548880000002</v>
      </c>
      <c r="K248" s="3">
        <f>1894.7+(52.7-312.1)+(1.932594+(0.053754-0.318342))+0-92.1-0.0939420000000147</f>
        <v>1544.7740640000002</v>
      </c>
      <c r="L248" s="3">
        <f>1885.7+(51-294.3)+(-0.961707+(-0.02601--0.150093))+0-82.8--0.0422279999999916</f>
        <v>1558.8046040000002</v>
      </c>
      <c r="M248" s="3">
        <f>2040.7+(61.2-374.2)+(0+(0-0))+0-87.7-0</f>
        <v>1640</v>
      </c>
      <c r="N248" s="3">
        <f>2285.8+(112.4-541.6)+(-1.165758+(-0.057324--0.276216))+0-71.6--0.0365159999999927</f>
        <v>1784.0896500000001</v>
      </c>
      <c r="O248" s="3">
        <f>2303.9+(88.1-472.8)+(1.174989+(0.044931-0.241128))+0-87.8-0.0447779999999911</f>
        <v>1832.3340140000003</v>
      </c>
      <c r="P248" s="3">
        <f>2347+(109.4-533)+(-1.19697+(-0.055794--0.27183))+0-62.5--0.0318749999999937</f>
        <v>1859.9509410000001</v>
      </c>
      <c r="Q248" s="3">
        <f>2361.7+(115.9-547.3)+(-4.817868+(-0.236436--1.116492))+0-63.3--0.129131999999997</f>
        <v>1863.1913199999999</v>
      </c>
      <c r="R248" s="3">
        <f>2392.6+(89.1-492.4)+(-6.10113+(-0.227205--1.25562))+0-89.6--0.228479999999987</f>
        <v>1894.855765</v>
      </c>
      <c r="S248" s="3">
        <f>2397.6+(110.5-533.4)+(-4.891104+(-0.22542--1.088136))+0-89.8--0.183191999999996</f>
        <v>1881.0548039999999</v>
      </c>
      <c r="T248" s="3">
        <f>2367.4+(76.1-534.7)+(-3.622122+(-0.116433--0.818091))+0-59--0.0902700000000034</f>
        <v>1846.9698060000001</v>
      </c>
      <c r="U248" s="3">
        <f>2256.4+(38.4-368.6)+(-2.301528+(-0.039168--0.375972))+0-93.7--0.0955740000000149</f>
        <v>1830.63085</v>
      </c>
      <c r="V248" s="3">
        <f>2456.1+(0-427.7)+(-2.505222+(0--0.436254))+0-63.9--0.0651780000000102</f>
        <v>1962.4962099999998</v>
      </c>
      <c r="W248" s="3">
        <f>2694.1+(7.4-521)+(1.373991+(0.003774-0.26571))+0-72.5-0.0369749999999926</f>
        <v>2109.0750800000001</v>
      </c>
      <c r="X248" s="3">
        <f>2687.2+(0-543.1)+(-8.222832+(0--1.661886))+0-92.8--0.283968000000011</f>
        <v>2045.0230219999999</v>
      </c>
      <c r="Y248" s="3">
        <f>2614+(11.7-524.1)+(-9.33198+(-0.041769--1.871037))+0-85.1--0.303807000000001</f>
        <v>2009.301095</v>
      </c>
      <c r="Z248" s="3">
        <f>2400.4+(52.4-398.5)+(-3.672612+(-0.080172--0.609705))+0-95.2--0.145656000000006</f>
        <v>1956.1025770000001</v>
      </c>
      <c r="AA248" s="3">
        <f>2253.7+(108.6-400.2)+(-2.298774+(-0.110772--0.408204))+0-94.3--0.096186000000015</f>
        <v>1865.8948439999999</v>
      </c>
      <c r="AB248" s="3">
        <f>2185.6+(141.9-415.6)+(-3.343968+(-0.217107--0.635868))+0-90--0.137700000000005</f>
        <v>1819.1124929999999</v>
      </c>
      <c r="AC248" s="3">
        <f>1963.8+(141.6-311.5)+(-1.001538+(-0.072216--0.158865))+0-67.8--0.0345779999999931</f>
        <v>1725.219689</v>
      </c>
      <c r="AD248">
        <v>2041.9</v>
      </c>
      <c r="AE248" s="3">
        <f>2686+(15.1-556.3)+(0+(0-0))+0-102.9-0</f>
        <v>2041.9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1891.3+(142.6-337.4)+(-2.893689+(-0.218178--0.516222))+0-64.5--0.0986850000000037</f>
        <v>1629.5030399999998</v>
      </c>
      <c r="G249" s="3">
        <f>1778.6+(142.9-276.2)+(-1.814172+(-0.145758--0.281724))+0-88.3--0.0900660000000141</f>
        <v>1555.4118599999999</v>
      </c>
      <c r="H249" s="3">
        <f>1613+(143.1-153.1)+(-3.29052+(-0.291924--0.312324))+0-88.8--0.181151999999996</f>
        <v>1511.111032</v>
      </c>
      <c r="I249" s="3">
        <f>1575+(142.8-129.8)+(1.6065+(0.145656-0.132396))+0-93.4-0.0952680000000149</f>
        <v>1496.1244919999999</v>
      </c>
      <c r="J249" s="3">
        <f>1610.4+(142.6-151)+(-3.285216+(-0.290904--0.30804))+0-89.7--0.182987999999996</f>
        <v>1509.2149079999999</v>
      </c>
      <c r="K249" s="3">
        <f>1590.6+(110.7-93.9)+(-2.433618+(-0.169371--0.143667))+0-84.8--0.129744000000005</f>
        <v>1520.2704220000001</v>
      </c>
      <c r="L249" s="3">
        <f>1657.5+(88-193)+(0+(0-0))+0-80-0</f>
        <v>1472.5</v>
      </c>
      <c r="M249" s="3">
        <f>1869.6+(65.5-247)+(0+(0-0))+0-100.8-0</f>
        <v>1587.3</v>
      </c>
      <c r="N249" s="3">
        <f>1983.8+(102-304.3)+(2.023476+(0.10404-0.310386))+0-87.5-0.089250000000014</f>
        <v>1695.7278799999999</v>
      </c>
      <c r="O249" s="3">
        <f>2020.5+(101.3-232.8)+(-1.030455+(-0.051663--0.118728))+0-85.1--0.0434009999999914</f>
        <v>1802.9800110000001</v>
      </c>
      <c r="P249" s="3">
        <f>1960.7+(103.9-136.4)+(-0.999957+(-0.052989--0.069564))+0-89.9--0.0458489999999909</f>
        <v>1837.3624670000002</v>
      </c>
      <c r="Q249" s="3">
        <f>1944.2+(113.3-136.9)+(-2.974626+(-0.173349--0.209457))+0-78.7--0.120411000000005</f>
        <v>1839.0818930000003</v>
      </c>
      <c r="R249" s="3">
        <f>1987.9+(102.9-150)+(-4.055316+(-0.209916--0.306))+0-57.4--0.117095999999997</f>
        <v>1879.5578640000001</v>
      </c>
      <c r="S249" s="3">
        <f>2115+(72.8-251.5)+(2.1573+(0.074256-0.25653))+0-95.2-0.0971040000000152</f>
        <v>1842.977922</v>
      </c>
      <c r="T249" s="3">
        <f>2108+(82-315.9)+(-1.07508+(-0.04182--0.161109))+0-80.5--0.0410549999999918</f>
        <v>1792.6852639999997</v>
      </c>
      <c r="U249" s="3">
        <f>2068.3+(30.7-250.3)+(-1.054833+(-0.015657--0.127653))+0-81.9--0.0417689999999917</f>
        <v>1765.8989320000001</v>
      </c>
      <c r="V249" s="3">
        <f>2278.3+(0-257.5)+(-1.161933+(0--0.131325))+0-94.4--0.0481439999999904</f>
        <v>1925.4175360000002</v>
      </c>
      <c r="W249" s="3">
        <f>2558.2+(0-391.5)+(1.304682+(0-0.199665))+0-96.4-0.0491639999999902</f>
        <v>2071.3558529999996</v>
      </c>
      <c r="X249" s="3">
        <f>2551.7+(0-429.3)+(-7.808202+(0--1.313658))+0-93.2--0.285192000000011</f>
        <v>2022.9906479999995</v>
      </c>
      <c r="Y249" s="3">
        <f>2548.6+(0-494)+(-3.899358+(0--0.75582))+0-89.9--0.137547000000005</f>
        <v>1961.6940090000001</v>
      </c>
      <c r="Z249" s="3">
        <f>2507.4+(20-514.3)+(-5.115096+(-0.0408--1.049172))+0-89.8--0.183191999999996</f>
        <v>1919.3764680000002</v>
      </c>
      <c r="AA249" s="3">
        <f>2369.9+(79.5-527)+(-2.417298+(-0.08109--0.53754))+0-61.8--0.0630360000000098</f>
        <v>1858.7021880000002</v>
      </c>
      <c r="AB249" s="3">
        <f>2154.4+(123.1-411.8)+(-3.296232+(-0.188343--0.630054))+0-62.8--0.0960840000000036</f>
        <v>1800.1415630000001</v>
      </c>
      <c r="AC249" s="3">
        <f>1986.1+(143.1-319.5)+(-6.077466+(-0.437886--0.97767))+0-92.9--0.284274000000011</f>
        <v>1711.5465919999999</v>
      </c>
      <c r="AD249">
        <v>2036</v>
      </c>
      <c r="AE249" s="3">
        <f>2518+(0-372.6)+(0+(0-0))+0-109.4-0</f>
        <v>2036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1731.8+(143.5-185.7)+(1.766436+(0.14637-0.189414))+0-85.6-0.0873120000000136</f>
        <v>1605.63608</v>
      </c>
      <c r="G250" s="3">
        <f>1602.9+(143.4-148.1)+(-2.452437+(-0.219402--0.226593))+0-91.9--0.140607000000005</f>
        <v>1503.995361</v>
      </c>
      <c r="H250" s="3">
        <f>1621.9+(142.9-235.5)+(-2.481507+(-0.218637--0.360315))+0-71.6--0.109548000000004</f>
        <v>1455.4697190000002</v>
      </c>
      <c r="I250" s="3">
        <f>1613.2+(140.2-223.1)+(-1.645464+(-0.143004--0.227562))+0-85--0.0867000000000136</f>
        <v>1443.8257940000001</v>
      </c>
      <c r="J250" s="3">
        <f>1557.2+(113.7-153)+(-2.382516+(-0.173961--0.23409))+0-81.1--0.124083000000005</f>
        <v>1434.6016960000002</v>
      </c>
      <c r="K250" s="3">
        <f>1629.8+(58.8-195.6)+(-1.662396+(-0.059976--0.199512))+0-72.2--0.0736440000000115</f>
        <v>1419.350784</v>
      </c>
      <c r="L250" s="3">
        <f>1647.2+(53.9-241.1)+(-5.880504+(-0.192423--0.860727))+0-68.4--0.244188000000001</f>
        <v>1386.6319879999999</v>
      </c>
      <c r="M250" s="3">
        <f>1615.7+(80.2-209.8)+(-1.648014+(-0.081804--0.213996))+0-64.1--0.0653820000000102</f>
        <v>1420.5495599999999</v>
      </c>
      <c r="N250" s="3">
        <f>1762.4+(57.2-298.3)+(0.898824+(0.029172-0.152133))+0-92.5-0.0471749999999906</f>
        <v>1429.5286880000003</v>
      </c>
      <c r="O250" s="3">
        <f>1844.4+(56.7-305.9)+(-4.70322+(-0.144585--0.780045))+0-83.6--0.213179999999988</f>
        <v>1507.7454200000002</v>
      </c>
      <c r="P250" s="3">
        <f>1893.9+(68.5-302.4)+(-2.897667+(-0.104805--0.462672))+0-93.5--0.143055000000005</f>
        <v>1564.103255</v>
      </c>
      <c r="Q250" s="3">
        <f>1917.4+(100.7-337.4)+(-1.955748+(-0.102714--0.344148))+0-83.9--0.0855780000000134</f>
        <v>1595.1712639999998</v>
      </c>
      <c r="R250" s="3">
        <f>1941.4+(118-314.2)+(-3.960456+(-0.24072--0.640968))+0-92.2--0.188087999999996</f>
        <v>1649.62788</v>
      </c>
      <c r="S250" s="3">
        <f>1897.7+(80.5-270)+(-2.903481+(-0.123165--0.4131))+0-89.1--0.136323000000005</f>
        <v>1616.622777</v>
      </c>
      <c r="T250" s="3">
        <f>1828.4+(66.5-221.1)+(0+(0-0))+0-91.7-0</f>
        <v>1582.1000000000001</v>
      </c>
      <c r="U250" s="3">
        <f>1906.7+(53.5-300.8)+(-0.972417+(-0.027285--0.153408))+0-67--0.0341699999999932</f>
        <v>1591.5878760000001</v>
      </c>
      <c r="V250" s="3">
        <f>1999.3+(42.9-214.4)+(2.039286+(0.043758-0.218688))+0-95.2-0.0971040000000152</f>
        <v>1734.367252</v>
      </c>
      <c r="W250" s="3">
        <f>2100.1+(13.3-178.6)+(3.213153+(0.020349-0.273258))+0-92.1-0.140913000000005</f>
        <v>1845.5193310000002</v>
      </c>
      <c r="X250" s="3">
        <f>2139.4+(21-284.7)+(-2.182188+(-0.02142--0.290394))+0-49--0.0499800000000078</f>
        <v>1824.8367660000001</v>
      </c>
      <c r="Y250" s="3">
        <f>2137.4+(54.7-309.7)+(-2.180148+(-0.055794--0.315894))+0-82.2--0.0838440000000131</f>
        <v>1798.3637960000001</v>
      </c>
      <c r="Z250" s="3">
        <f>2125.2+(95.1-352.7)+(-2.167704+(-0.097002--0.359754))+0-91--0.0928200000000145</f>
        <v>1774.7878679999999</v>
      </c>
      <c r="AA250" s="3">
        <f>2064.8+(108-369.4)+(-3.159144+(-0.16524--0.565182))+0-82.5--0.126225000000005</f>
        <v>1718.2670230000001</v>
      </c>
      <c r="AB250" s="3">
        <f>1995.8+(111.6-358.9)+(-1.017858+(-0.056916--0.183039))+0-89.8--0.0457979999999909</f>
        <v>1657.8540630000002</v>
      </c>
      <c r="AC250" s="3">
        <f>1860.3+(133.4-340.6)+(-2.846259+(-0.204102--0.521118))+0-79.7--0.121941000000005</f>
        <v>1570.992698</v>
      </c>
      <c r="AD250">
        <v>1832.5000000000002</v>
      </c>
      <c r="AE250" s="3">
        <f>2109+(8.4-183.1)+(0+(0-0))+0-101.8-0</f>
        <v>1832.5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1837.2+(135.1-439.9)+(-0.936972+(-0.068901--0.224349))+0-84.1--0.0428909999999915</f>
        <v>1447.5613670000002</v>
      </c>
      <c r="G251" s="3">
        <f>1733.7+(131.2-416.4)+(0+(0-0))+0-59-0</f>
        <v>1389.5</v>
      </c>
      <c r="H251" s="3">
        <f>1682.7+(130.4-371.5)+(1.716354+(0.133008-0.37893))+0-73.6-0.0750720000000117</f>
        <v>1369.3953600000002</v>
      </c>
      <c r="I251" s="3">
        <f>1687.5+(128.1-367.3)+(4.303125+(0.326655-0.936615))+0-92.1-0.234854999999987</f>
        <v>1359.65831</v>
      </c>
      <c r="J251" s="3">
        <f>1633.9+(109.8-318.5)+(-0.833289+(-0.055998--0.162435))+0-78.2--0.0398819999999921</f>
        <v>1346.31303</v>
      </c>
      <c r="K251" s="3">
        <f>1723.4+(46.9-333.9)+(3.515736+(0.095676-0.681156))+0-81.6-0.166463999999996</f>
        <v>1357.5637920000004</v>
      </c>
      <c r="L251" s="3">
        <f>1985.4+(0-524.9)+(3.037662+(0-0.803097))+0-69.2-0.105876000000004</f>
        <v>1393.4286889999998</v>
      </c>
      <c r="M251" s="3">
        <f>2086.2+(8.4-555.6)+(-2.127924+(-0.008568--0.566712))+0-71.4--0.0728280000000114</f>
        <v>1466.1030479999997</v>
      </c>
      <c r="N251" s="3">
        <f>2211.8+(6.4-574.7)+(2.256036+(0.006528-0.586194))+0-64.2-0.0654840000000102</f>
        <v>1580.9108859999999</v>
      </c>
      <c r="O251" s="3">
        <f>2272.7+(14.6-561.2)+(-3.477231+(-0.022338--0.858636))+0-81.6--0.124848000000005</f>
        <v>1641.983915</v>
      </c>
      <c r="P251" s="3">
        <f>2319+(34.3-567.6)+(2.36538+(0.034986-0.578952))+0-81.6-0.083232000000013</f>
        <v>1705.838182</v>
      </c>
      <c r="Q251" s="3">
        <f>2270.9+(88.5-551.1)+(0+(0-0))+0-85.7-0</f>
        <v>1722.6000000000001</v>
      </c>
      <c r="R251" s="3">
        <f>2270+(105.2-586.7)+(-3.4731+(-0.160956--0.897651))+0-59--0.0902700000000034</f>
        <v>1726.8538649999998</v>
      </c>
      <c r="S251" s="3">
        <f>2168.5+(98-492.2)+(-1.105935+(-0.04998--0.251022))+0-63--0.0321299999999936</f>
        <v>1710.4272370000001</v>
      </c>
      <c r="T251" s="3">
        <f>2208.6+(83.9-523)+(-1.126386+(-0.042789--0.26673))+0-83.5--0.0425849999999915</f>
        <v>1685.14014</v>
      </c>
      <c r="U251" s="3">
        <f>2202.2+(55.1-521.3)+(-3.369366+(-0.084303--0.797589))+0-51.1--0.078183000000003</f>
        <v>1682.3221030000002</v>
      </c>
      <c r="V251" s="3">
        <f>2246.2+(15.6-357)+(2.291124+(0.015912-0.36414))+0-89.8-0.0915960000000143</f>
        <v>1816.8512999999998</v>
      </c>
      <c r="W251" s="3">
        <f>2609.9+(0-610.1)+(1.331049+(0-0.311151))+0-29.3-0.014942999999997</f>
        <v>1971.5049550000003</v>
      </c>
      <c r="X251" s="3">
        <f>2476.2+(0-503.5)+(-3.788586+(0--0.770355))+0-48.4--0.0740520000000028</f>
        <v>1921.3558209999997</v>
      </c>
      <c r="Y251" s="3">
        <f>2358.9+(0-394.7)+(-1.203039+(0--0.201297))+0-88.9--0.045338999999991</f>
        <v>1874.343597</v>
      </c>
      <c r="Z251" s="3">
        <f>2342.8+(48.5-469.4)+(-2.389656+(-0.04947--0.478788))+0-92.2--0.0940440000000147</f>
        <v>1827.8337059999999</v>
      </c>
      <c r="AA251" s="3">
        <f>2291.3+(109.2-535.4)+(-2.337126+(-0.111384--0.546108))+0-94.3--0.096186000000015</f>
        <v>1768.9937840000002</v>
      </c>
      <c r="AB251" s="3">
        <f>2107.9+(89.6-421)+(-1.075029+(-0.045696--0.21471))+0-88.2--0.0449819999999911</f>
        <v>1687.4389669999998</v>
      </c>
      <c r="AC251" s="3">
        <f>1982.4+(115.9-423.1)+(-1.011024+(-0.059109--0.215781))+0-86.7--0.0442169999999912</f>
        <v>1587.6898649999998</v>
      </c>
      <c r="AD251">
        <v>1916</v>
      </c>
      <c r="AE251" s="3">
        <f>2582+(0-641.2)+(0+(0-0))+0-24.8-0</f>
        <v>1916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1944.7+(131.7-523.1)+(-1.983594+(-0.134334--0.533562))+0-88.2--0.0899640000000141</f>
        <v>1463.6055979999999</v>
      </c>
      <c r="G252" s="3">
        <f>1869.9+(62.8-445)+(-1.907298+(-0.064056--0.4539))+0-90.7--0.0925140000000145</f>
        <v>1395.5750599999999</v>
      </c>
      <c r="H252" s="3">
        <f>1880.6+(78.1-501.4)+(1.918212+(0.079662-0.511428))+0-88.4-0.0901680000000141</f>
        <v>1370.2962779999998</v>
      </c>
      <c r="I252" s="3">
        <f>1878.9+(70.1-525.9)+(2.874717+(0.107253-0.804627))+0-74.3-0.113679000000004</f>
        <v>1350.8636640000002</v>
      </c>
      <c r="J252" s="3">
        <f>1887.2+(41.3-483.8)+(4.81236+(0.105315-1.23369))+0-94.9-0.241994999999986</f>
        <v>1353.2419899999998</v>
      </c>
      <c r="K252" s="3">
        <f>1880.8+(0-409.8)+(2.877624+(0-0.626994))+0-96.6-0.147798000000006</f>
        <v>1376.5028320000001</v>
      </c>
      <c r="L252" s="3">
        <f>1962.8+(0-505.5)+(-4.004112+(0--1.03122))+0-90.2--0.184007999999996</f>
        <v>1364.3111159999999</v>
      </c>
      <c r="M252" s="3">
        <f>1993.9+(0-495)+(-1.016889+(0--0.25245))+0-85.8--0.0437579999999913</f>
        <v>1412.3793190000001</v>
      </c>
      <c r="N252" s="3">
        <f>2151.1+(23.6-532.9)+(2.194122+(0.024072-0.543558))+0-88.7-0.0904740000000141</f>
        <v>1554.6841619999998</v>
      </c>
      <c r="O252" s="3">
        <f>2198.5+(23.5-511.5)+(0+(0-0))+0-83.5-0</f>
        <v>1627</v>
      </c>
      <c r="P252" s="3">
        <f>2272.5+(29.7-544.2)+(1.158975+(0.015147-0.277542))+0-91.7-0.0467669999999907</f>
        <v>1667.149813</v>
      </c>
      <c r="Q252" s="3">
        <f>2297.9+(48.5-570.9)+(-2.343858+(-0.04947--0.582318))+0-78.4--0.0799680000000125</f>
        <v>1695.368958</v>
      </c>
      <c r="R252" s="3">
        <f>2278.9+(69.1-545)+(-6.973434+(-0.211446--1.6677))+0-85.6--0.26193600000001</f>
        <v>1712.1447560000001</v>
      </c>
      <c r="S252" s="3">
        <f>2193.2+(92.7-504)+(-5.59266+(-0.236385--1.2852))+0-83.1--0.211904999999988</f>
        <v>1694.4680599999999</v>
      </c>
      <c r="T252" s="3">
        <f>2195.1+(43.6-487.3)+(-2.239002+(-0.044472--0.497046))+0-94.2--0.096084000000015</f>
        <v>1655.5096559999999</v>
      </c>
      <c r="U252" s="3">
        <f>2201.4+(0-490.8)+(2.245428+(0-0.500616))+0-43.6-0.044472000000007</f>
        <v>1668.7003400000001</v>
      </c>
      <c r="V252" s="3">
        <f>2282.2+(0-355.6)+(2.327844+(0-0.362712))+0-77-0.0785400000000123</f>
        <v>1851.486592</v>
      </c>
      <c r="W252" s="3">
        <f>2633.9+(0-543.1)+(4.029867+(0-0.830943))+0-96.3-0.147339000000006</f>
        <v>1997.5515849999999</v>
      </c>
      <c r="X252" s="3">
        <f>2619.8+(0-575.5)+(-4.008294+(0--0.880515))+0-96.5--0.147645000000006</f>
        <v>1944.8198660000003</v>
      </c>
      <c r="Y252" s="3">
        <f>2626.8+(0-616.6)+(-2.679336+(0--0.628932))+0-93.2--0.0950640000000149</f>
        <v>1915.0446600000002</v>
      </c>
      <c r="Z252" s="3">
        <f>2511.9+(2-543.7)+(-1.281069+(-0.00102--0.277287))+0-99.7--0.0508469999999899</f>
        <v>1869.546045</v>
      </c>
      <c r="AA252" s="3">
        <f>2343.9+(56.1-521.8)+(-2.390778+(-0.057222--0.532236))+0-84.1--0.0857820000000134</f>
        <v>1792.2700180000004</v>
      </c>
      <c r="AB252" s="3">
        <f>2226.5+(102.9-521.5)+(-6.81309+(-0.314874--1.59579))+0-87.4--0.26744400000001</f>
        <v>1715.2352700000001</v>
      </c>
      <c r="AC252" s="3">
        <f>2093.7+(115.5-552.9)+(-5.338935+(-0.294525--1.409895))+0-30.1--0.0767549999999956</f>
        <v>1622.0531899999999</v>
      </c>
      <c r="AD252">
        <v>1962.4</v>
      </c>
      <c r="AE252" s="3">
        <f>2603+(0-535.5)+(0+(0-0))+0-105.1-0</f>
        <v>1962.4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1898.4+(125.7-472.9)+(-0.968184+(-0.064107--0.241179))+0-91--0.0464099999999908</f>
        <v>1459.4552979999999</v>
      </c>
      <c r="G253" s="3">
        <f>1737.8+(122.1-398.8)+(-3.545112+(-0.249084--0.813552))+0-82--0.167279999999996</f>
        <v>1376.2866359999998</v>
      </c>
      <c r="H253" s="3">
        <f>1717.2+(116.2-391.3)+(2.627316+(0.177786-0.598689))+0-82.7-0.126531000000005</f>
        <v>1361.4798819999999</v>
      </c>
      <c r="I253" s="3">
        <f>1643.7+(117.2-355.4)+(-2.514861+(-0.179316--0.543762))+0-54.3--0.0830790000000031</f>
        <v>1349.132664</v>
      </c>
      <c r="J253" s="3">
        <f>1591+(113.9-314.2)+(3.24564+(0.232356-0.640968))+0-54.5-0.111179999999998</f>
        <v>1338.9258479999999</v>
      </c>
      <c r="K253" s="3">
        <f>1738.2+(80.4-391.6)+(0.886482+(0.041004-0.199716))+0-45.5-0.0232049999999954</f>
        <v>1382.204565</v>
      </c>
      <c r="L253" s="3">
        <f>1777.5+(45.5-405.9)+(-0.906525+(-0.023205--0.207009))+0-36.9--0.0188189999999963</f>
        <v>1379.4960979999996</v>
      </c>
      <c r="M253" s="3">
        <f>1743.9+(66.8-287.2)+(-0.889389+(-0.034068--0.146472))+0-74.1--0.0377909999999925</f>
        <v>1448.6608060000001</v>
      </c>
      <c r="N253" s="3">
        <f>1850.1+(49.3-244.5)+(-0.943551+(-0.025143--0.124695))+0-88.4--0.045083999999991</f>
        <v>1565.7010849999999</v>
      </c>
      <c r="O253" s="3">
        <f>1945.9+(74.2-273)+(-0.992409+(-0.037842--0.13923))+0-98.7--0.05033699999999</f>
        <v>1647.5593160000001</v>
      </c>
      <c r="P253" s="3">
        <f>1991.7+(110.8-303.8)+(-1.015767+(-0.056508--0.154938))+0-89.2--0.0454919999999909</f>
        <v>1708.6281549999999</v>
      </c>
      <c r="Q253" s="3">
        <f>2003.1+(125-319.1)+(-3.064743+(-0.19125--0.488223))+0-86--0.131580000000005</f>
        <v>1720.3638100000001</v>
      </c>
      <c r="R253" s="3">
        <f>1910.7+(120.1-258.1)+(-2.923371+(-0.183753--0.394893))+0-88.2--0.134946000000005</f>
        <v>1681.9227149999999</v>
      </c>
      <c r="S253" s="3">
        <f>1904.6+(120.6-269.2)+(-0.971346+(-0.061506--0.137292))+0-94.6--0.0482459999999904</f>
        <v>1660.5526860000002</v>
      </c>
      <c r="T253" s="3">
        <f>1937+(102.1-302.1)+(2.96361+(0.156213-0.462213))+0-81.6-0.124848000000005</f>
        <v>1657.9327620000001</v>
      </c>
      <c r="U253" s="3">
        <f>2058.6+(53.1-375.5)+(0+(0-0))+0-97.6-0</f>
        <v>1638.6</v>
      </c>
      <c r="V253" s="3">
        <f>2186.4+(5.7-329.8)+(-4.460256+(-0.011628--0.672792))+0-70--0.142799999999997</f>
        <v>1788.6437080000003</v>
      </c>
      <c r="W253" s="3">
        <f>2242.4+(1-236.5)+(1.143624+(0.00051-0.120615))+0-54.5-0.0277949999999945</f>
        <v>1953.3957240000002</v>
      </c>
      <c r="X253" s="3">
        <f>2243.7+(12-245.8)+(-3.432861+(-0.01836--0.376074))+0-100.1--0.153153000000006</f>
        <v>1906.8780059999999</v>
      </c>
      <c r="Y253" s="3">
        <f>2248.3+(27.8-317.1)+(0+(0-0))+0-93.6-0</f>
        <v>1865.4000000000003</v>
      </c>
      <c r="Z253" s="3">
        <f>2238.9+(57.7-377.2)+(0+(0-0))+0-92.4-0</f>
        <v>1827</v>
      </c>
      <c r="AA253" s="3">
        <f>2223.5+(112.8-484.7)+(-4.53594+(-0.230112--0.988788))+0-88.1--0.179723999999996</f>
        <v>1759.90246</v>
      </c>
      <c r="AB253" s="3">
        <f>2141.5+(121.6-478.5)+(-7.645155+(-0.434112--1.708245))+0-88.3--0.315231000000001</f>
        <v>1690.244209</v>
      </c>
      <c r="AC253" s="3">
        <f>2050+(126.4-499.8)+(-5.2275+(-0.32232--1.27449))+0-85.7--0.218534999999988</f>
        <v>1586.8432049999999</v>
      </c>
      <c r="AD253">
        <v>1983.4</v>
      </c>
      <c r="AE253" s="3">
        <f>2267+(5.9-258.6)+(0+(0-0))+0-30.9-0</f>
        <v>1983.3999999999999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1882.2+(126.5-430.1)+(-6.719454+(-0.451605--1.535457))+0-87.4--0.312018000000001</f>
        <v>1485.8764159999998</v>
      </c>
      <c r="G254" s="3">
        <f>1707.9+(119.7-362.9)+(-3.484116+(-0.244188--0.740316))+0-44.3--0.0903719999999981</f>
        <v>1417.5023839999999</v>
      </c>
      <c r="H254" s="3">
        <f>1715.1+(118-357.2)+(0+(0-0))+0-89.1-0</f>
        <v>1386.8</v>
      </c>
      <c r="I254" s="3">
        <f>1913+(109.2-541.8)+(-1.95126+(-0.111384--0.552636))+0-90.7--0.0925140000000145</f>
        <v>1388.282506</v>
      </c>
      <c r="J254" s="3">
        <f>1837.8+(109.2-458.1)+(0+(0-0))+0-92.6-0</f>
        <v>1396.3</v>
      </c>
      <c r="K254" s="3">
        <f>1851.6+(73.8-412.4)+(2.832948+(0.112914-0.630972))+0-91.9-0.140607000000005</f>
        <v>1423.274283</v>
      </c>
      <c r="L254" s="3">
        <f>1980.5+(31.4-546.6)+(-4.04022+(-0.064056--1.115064))+0-39.2--0.0799679999999983</f>
        <v>1423.190756</v>
      </c>
      <c r="M254" s="3">
        <f>1976.9+(49.9-511.9)+(-1.008219+(-0.025449--0.261069))+0-25.8--0.0131579999999974</f>
        <v>1488.3405590000002</v>
      </c>
      <c r="N254" s="3">
        <f>2078.8+(75.9-517.8)+(0+(0-0))+0-18-0</f>
        <v>1618.9</v>
      </c>
      <c r="O254" s="3">
        <f>2175.1+(78-550.5)+(-1.109301+(-0.03978--0.280755))+0-17--0.00866999999999828</f>
        <v>1684.7403439999998</v>
      </c>
      <c r="P254" s="3">
        <f>2211.5+(91-547.4)+(-4.51146+(-0.18564--1.116696))+0-16--0.0326399999999993</f>
        <v>1735.5522359999998</v>
      </c>
      <c r="Q254" s="3">
        <f>2262.4+(104.3-588.8)+(-5.76912+(-0.265965--1.50144))+0-16.2--0.0413099999999976</f>
        <v>1757.2076650000001</v>
      </c>
      <c r="R254" s="3">
        <f>2260.2+(85.6-536.8)+(-5.76351+(-0.21828--1.36884))+0-20.9--0.053294999999997</f>
        <v>1783.5403449999999</v>
      </c>
      <c r="S254" s="3">
        <f>2212+(97.3-535.9)+(-3.38436+(-0.148869--0.819927))+0-19.4--0.0296820000000011</f>
        <v>1751.31638</v>
      </c>
      <c r="T254" s="3">
        <f>2210.8+(102.3-553)+(-3.382524+(-0.156519--0.84609))+0-21.5--0.0328950000000012</f>
        <v>1735.9399420000002</v>
      </c>
      <c r="U254" s="3">
        <f>2222.7+(71.6-506.7)+(-2.267154+(-0.073032--0.516834))+0-47.5--0.0484500000000076</f>
        <v>1738.3250979999998</v>
      </c>
      <c r="V254" s="3">
        <f>2469.4+(3.5-503.2)+(0+(0-0))+0-75.4-0</f>
        <v>1894.3</v>
      </c>
      <c r="W254" s="3">
        <f>2735.9+(0-608)+(5.581236+(0-1.24032))+0-71.6-0.146063999999997</f>
        <v>2060.4948520000003</v>
      </c>
      <c r="X254" s="3">
        <f>2677.6+(0-632)+(-4.096728+(0--0.96696))+0-40.3--0.0616590000000023</f>
        <v>2002.2318909999999</v>
      </c>
      <c r="Y254" s="3">
        <f>2618.8+(0-562.7)+(-8.013528+(0--1.721862))+0-91.1--0.278766000000011</f>
        <v>1958.9871000000003</v>
      </c>
      <c r="Z254" s="3">
        <f>2503.3+(25.2-523.3)+(-3.830049+(-0.038556--0.800649))+0-83.8--0.128214000000005</f>
        <v>1918.4602580000003</v>
      </c>
      <c r="AA254" s="3">
        <f>2400+(87.7-551.2)+(-3.672+(-0.134181--0.843336))+0-84.7--0.129591000000005</f>
        <v>1848.9667460000001</v>
      </c>
      <c r="AB254" s="3">
        <f>1995.8+(132-283.2)+(-1.017858+(-0.06732--0.144432))+0-80.5--0.0410549999999918</f>
        <v>1763.2003089999998</v>
      </c>
      <c r="AC254" s="3">
        <f>1933+(127.7-353.9)+(-4.92915+(-0.325635--0.902445))+0-46.9--0.119594999999993</f>
        <v>1655.6672549999998</v>
      </c>
      <c r="AD254">
        <v>2011.6999999999998</v>
      </c>
      <c r="AE254" s="3">
        <f>2754+(0-707.4)+(0+(0-0))+0-34.9-0</f>
        <v>2011.6999999999998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1754.2+(136.1-291.4)+(-3.578568+(-0.277644--0.594456))+0-87.7--0.178907999999996</f>
        <v>1508.117152</v>
      </c>
      <c r="G255" s="3">
        <f>1704.2+(138.6-317.1)+(0.869142+(0.070686-0.161721))+0-78.6-0.040085999999992</f>
        <v>1447.8380210000003</v>
      </c>
      <c r="H255" s="3">
        <f>1770.2+(135.8-392)+(1.805604+(0.138516-0.39984))+0-88.8-0.0905760000000142</f>
        <v>1426.6537040000001</v>
      </c>
      <c r="I255" s="3">
        <f>1746.1+(132.2-404.2)+(-2.671533+(-0.202266--0.618426))+0-58.4--0.0893520000000034</f>
        <v>1413.5339789999998</v>
      </c>
      <c r="J255" s="3">
        <f>1764.1+(110.5-368.6)+(-0.899691+(-0.056355--0.187986))+0-86.9--0.0443189999999912</f>
        <v>1418.3762589999999</v>
      </c>
      <c r="K255" s="3">
        <f>1817.7+(85.2-398.1)+(3.708108+(0.173808-0.812124))+0-75.1-0.153203999999997</f>
        <v>1432.6165880000001</v>
      </c>
      <c r="L255" s="3">
        <f>1837.3+(58-356.9)+(0+(0-0))+0-90.7-0</f>
        <v>1447.7</v>
      </c>
      <c r="M255" s="3">
        <f>1954.7+(79.3-424.6)+(-0.996897+(-0.040443--0.216546))+0-74.6--0.0380459999999924</f>
        <v>1534.0172520000001</v>
      </c>
      <c r="N255" s="3">
        <f>2210.4+(93.8-531.3)+(0+(0-0))+0-86.2-0</f>
        <v>1686.7</v>
      </c>
      <c r="O255" s="3">
        <f>2255.1+(91.7-490.3)+(0+(0-0))+0-71.7-0</f>
        <v>1784.8</v>
      </c>
      <c r="P255" s="3">
        <f>2382.4+(92.3-570.8)+(-1.215024+(-0.047073--0.291108))+0-70.2--0.0358019999999929</f>
        <v>1832.7648130000002</v>
      </c>
      <c r="Q255" s="3">
        <f>2379.4+(105.7-534.6)+(-1.213494+(-0.053907--0.272646))+0-85.7--0.0437069999999913</f>
        <v>1863.8489520000001</v>
      </c>
      <c r="R255" s="3">
        <f>2393.8+(92.9-531.6)+(0+(0-0))+0-73.8-0</f>
        <v>1881.3000000000002</v>
      </c>
      <c r="S255" s="3">
        <f>2385.2+(21.8-482.9)+(0+(0-0))+0-75.6-0</f>
        <v>1848.5</v>
      </c>
      <c r="T255" s="3">
        <f>2398.9+(4.8-509.7)+(2.446878+(0.004896-0.519894))+0-78.9-0.0804780000000126</f>
        <v>1816.9514019999999</v>
      </c>
      <c r="U255" s="3">
        <f>2481.9+(0-476.1)+(-2.531538+(0--0.485622))+0-85.3--0.0870060000000136</f>
        <v>1918.5410900000002</v>
      </c>
      <c r="V255" s="3">
        <f>2561.4+(0-536.8)+(0+(0-0))+0-77.4-0</f>
        <v>1947.2</v>
      </c>
      <c r="W255" s="3">
        <f>2716.2+(12-565.4)+(0+(0-0))+0-91-0</f>
        <v>2071.7999999999997</v>
      </c>
      <c r="X255" s="3">
        <f>2664.3+(9.1-562.5)+(-4.076379+(-0.013923--0.860625))+0-79.8--0.122094000000005</f>
        <v>2027.9924170000004</v>
      </c>
      <c r="Y255" s="3">
        <f>2468.2+(0-314.6)+(-5.035128+(0--0.641784))+0-87.4--0.178295999999996</f>
        <v>2061.9849519999998</v>
      </c>
      <c r="Z255" s="3">
        <f>2241.3+(21.4-295.8)+(-2.286126+(-0.021828--0.301716))+0-84--0.0856800000000134</f>
        <v>1880.9794420000001</v>
      </c>
      <c r="AA255" s="3">
        <f>2147.1+(83.5-370.8)+(-3.285063+(-0.127755--0.567324))+0-93.1--0.142443000000005</f>
        <v>1763.9969490000001</v>
      </c>
      <c r="AB255" s="3">
        <f>2162.3+(64.9-445.5)+(-4.411092+(-0.132396--0.90882))+0-76.4--0.155855999999997</f>
        <v>1701.8211880000003</v>
      </c>
      <c r="AC255" s="3">
        <f>2128.5+(69.9-493)+(-4.34214+(-0.142596--1.00572))+0-85.7--0.174827999999996</f>
        <v>1616.395812</v>
      </c>
      <c r="AD255">
        <v>2028.2</v>
      </c>
      <c r="AE255" s="3">
        <f>2690+(11.1-569.6)+(0+(0-0))+0-103.3-0</f>
        <v>2028.2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2032.2+(75.4-427.7)+(-3.109266+(-0.115362--0.654381))+0-100--0.153000000000006</f>
        <v>1577.482753</v>
      </c>
      <c r="G256" s="3">
        <f>1952.5+(82.6-401.8)+(-7.9662+(-0.337008--1.639344))+0-98.1--0.400247999999991</f>
        <v>1528.9363839999999</v>
      </c>
      <c r="H256" s="3">
        <f>1908.6+(97.6-445.4)+(-6.813702+(-0.348432--1.590078))+0-94.7--0.338079000000001</f>
        <v>1460.866023</v>
      </c>
      <c r="I256" s="3">
        <f>1838.7+(93.5-408.6)+(-3.750948+(-0.19074--0.833544))+0-89.4--0.182375999999996</f>
        <v>1431.2742319999998</v>
      </c>
      <c r="J256" s="3">
        <f>1781.5+(52.1-405.4)+(-0.908565+(-0.026571--0.206754))+0-49.9--0.0254489999999949</f>
        <v>1377.5970669999999</v>
      </c>
      <c r="K256" s="3">
        <f>1788.3+(3.7-343.3)+(0+(0-0))+0-57.6-0</f>
        <v>1391.1</v>
      </c>
      <c r="L256" s="3">
        <f>1770.9+(0-303.7)+(-1.806318+(0--0.309774))+0-79.4--0.0809880000000127</f>
        <v>1386.3844439999998</v>
      </c>
      <c r="M256" s="3">
        <f>1824.3+(6.5-275.9)+(0.930393+(0.003315-0.140709))+0-82-0.0418199999999917</f>
        <v>1473.6511790000002</v>
      </c>
      <c r="N256" s="3">
        <f>2136.2+(22.4-451.2)+(2.178924+(0.022848-0.460224))+0-96.9-0.0988380000000155</f>
        <v>1612.1427099999996</v>
      </c>
      <c r="O256" s="3">
        <f>2211.9+(42.6-474.7)+(-1.128069+(-0.021726--0.242097))+0-57--0.0290699999999942</f>
        <v>1721.9213720000002</v>
      </c>
      <c r="P256" s="3">
        <f>2315.5+(79.4-518.2)+(0+(0-0))+0-91.1-0</f>
        <v>1785.6</v>
      </c>
      <c r="Q256" s="3">
        <f>2317.9+(104.3-512.9)+(-3.546387+(-0.159579--0.784737))+0-93.7--0.143361000000005</f>
        <v>1812.822132</v>
      </c>
      <c r="R256" s="3">
        <f>2308.1+(97.7-484.7)+(-7.062786+(-0.298962--1.483182))+0-96.2--0.294372000000011</f>
        <v>1819.3158059999998</v>
      </c>
      <c r="S256" s="3">
        <f>2218+(86.2-438)+(-5.6559+(-0.21981--1.1169))+0-95.1--0.242504999999986</f>
        <v>1766.583695</v>
      </c>
      <c r="T256" s="3">
        <f>2070.6+(83.4-358.5)+(1.056006+(0.042534-0.182835))+0-92.2-0.0470219999999906</f>
        <v>1704.1686829999999</v>
      </c>
      <c r="U256" s="3">
        <f>1995.2+(46.3-249.4)+(-3.052656+(-0.070839--0.381582))+0-96.2--0.147186000000006</f>
        <v>1693.3052729999997</v>
      </c>
      <c r="V256" s="3">
        <f>2223.6+(25.6-326.9)+(0+(0-0))+0-83.7-0</f>
        <v>1838.6</v>
      </c>
      <c r="W256" s="3">
        <f>2449.4+(17.8-389.3)+(-1.249194+(-0.009078--0.198543))+0-99.1--0.0505409999999899</f>
        <v>1977.7908120000002</v>
      </c>
      <c r="X256" s="3">
        <f>2467+(24.9-468.3)+(2.51634+(0.025398-0.477666))+0-95.5-0.0974100000000152</f>
        <v>1930.0666619999997</v>
      </c>
      <c r="Y256" s="3">
        <f>2454.8+(42.3-510.4)+(-5.007792+(-0.086292--1.041216))+0-98--0.199919999999996</f>
        <v>1884.8470520000003</v>
      </c>
      <c r="Z256" s="3">
        <f>2410.9+(77.6-546.3)+(-4.918236+(-0.158304--1.114452))+0-85.5--0.174419999999996</f>
        <v>1852.9123320000003</v>
      </c>
      <c r="AA256" s="3">
        <f>2301.4+(122.4-537.3)+(1.173714+(0.062424-0.274023))+0-92.7-0.0472769999999906</f>
        <v>1794.7148380000001</v>
      </c>
      <c r="AB256" s="3">
        <f>2253.3+(125.9-543.9)+(-1.149183+(-0.064209--0.277389))+0-96.1--0.0490109999999903</f>
        <v>1738.3130080000003</v>
      </c>
      <c r="AC256" s="3">
        <f>2146.9+(124.2-540.5)+(-3.284757+(-0.190026--0.826965))+0-78.9--0.120717000000005</f>
        <v>1649.1728990000001</v>
      </c>
      <c r="AD256">
        <v>1927.0999999999997</v>
      </c>
      <c r="AE256" s="3">
        <f>2414+(18.7-390.4)+(0+(0-0))+0-115.2-0</f>
        <v>1927.1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2007.9+(117-525.7)+(-5.120145+(-0.29835--1.340535))+0-93.7--0.238934999999986</f>
        <v>1501.660975</v>
      </c>
      <c r="G257" s="3">
        <f>1731.2+(122.7-342.1)+(-1.765824+(-0.125154--0.348942))+0-95--0.0969000000000152</f>
        <v>1415.3548639999999</v>
      </c>
      <c r="H257" s="3">
        <f>1659.3+(125.2-331.8)+(-1.692486+(-0.127704--0.338436))+0-77.2--0.0787440000000123</f>
        <v>1374.0969899999998</v>
      </c>
      <c r="I257" s="3">
        <f>1631.3+(121-301.5)+(-0.831963+(-0.06171--0.153765))+0-88.4--0.045083999999991</f>
        <v>1361.7051759999999</v>
      </c>
      <c r="J257" s="3">
        <f>1684.1+(115.7-352.4)+(-0.858891+(-0.059007--0.179724))+0-90.2--0.0460019999999908</f>
        <v>1356.5078279999998</v>
      </c>
      <c r="K257" s="3">
        <f>1706.8+(94.9-349)+(3.481872+(0.193596-0.71196))+0-91.1-0.185843999999996</f>
        <v>1364.3776640000001</v>
      </c>
      <c r="L257" s="3">
        <f>1695+(57.5-375.4)+(-1.7289+(-0.05865--0.382908))+0-62.3--0.0635460000000099</f>
        <v>1313.4589040000001</v>
      </c>
      <c r="M257" s="3">
        <f>1709.1+(88.4-434.8)+(0+(0-0))+0-30.2-0</f>
        <v>1332.4999999999998</v>
      </c>
      <c r="N257" s="3">
        <f>1762.4+(107.4-401.1)+(0+(0-0))+0-82.6-0</f>
        <v>1386.1000000000001</v>
      </c>
      <c r="O257" s="3">
        <f>1855.4+(111.6-416.4)+(-0.946254+(-0.056916--0.212364))+0-97.6--0.0497759999999901</f>
        <v>1452.2589700000003</v>
      </c>
      <c r="P257" s="3">
        <f>1855+(117.6-378.6)+(-2.83815+(-0.179928--0.579258))+0-95.8--0.146574000000006</f>
        <v>1495.9077540000001</v>
      </c>
      <c r="Q257" s="3">
        <f>1859+(121-359.6)+(-3.79236+(-0.24684--0.733584))+0-100.6--0.205223999999996</f>
        <v>1516.6996080000001</v>
      </c>
      <c r="R257" s="3">
        <f>1825.7+(109.5-340.1)+(-4.655535+(-0.279225--0.867255))+0-96.7--0.246584999999986</f>
        <v>1494.57908</v>
      </c>
      <c r="S257" s="3">
        <f>1795.8+(117.5-327)+(-1.831716+(-0.11985--0.33354))+0-99.7--0.101694000000016</f>
        <v>1485.0836679999998</v>
      </c>
      <c r="T257" s="3">
        <f>1801.9+(104.4-352.2)+(0+(0-0))+0-84.5-0</f>
        <v>1469.6000000000001</v>
      </c>
      <c r="U257" s="3">
        <f>1811.1+(106.1-342.6)+(2.770983+(0.162333-0.524178))+0-100-0.153000000000006</f>
        <v>1476.8561379999999</v>
      </c>
      <c r="V257" s="3">
        <f>1841+(66.9-250.2)+(0+(0-0))+0-32.2-0</f>
        <v>1625.5</v>
      </c>
      <c r="W257" s="3">
        <f>2326.5+(24.3-468.6)+(-2.37303+(-0.024786--0.477972))+0-94.1--0.095982000000015</f>
        <v>1786.2761380000002</v>
      </c>
      <c r="X257" s="3">
        <f>2299+(28.4-480.2)+(-1.17249+(-0.014484--0.244902))+0-90--0.0458999999999909</f>
        <v>1756.3038280000001</v>
      </c>
      <c r="Y257" s="3">
        <f>2277.7+(40-503.9)+(-3.484881+(-0.0612--0.770967))+0-78.6--0.120258000000005</f>
        <v>1732.5451439999997</v>
      </c>
      <c r="Z257" s="3">
        <f>2171.6+(85.7-469.3)+(-2.215032+(-0.087414--0.478686))+0-95.6--0.0975120000000152</f>
        <v>1690.6737520000001</v>
      </c>
      <c r="AA257" s="3">
        <f>2046.1+(120.7-412)+(1.043511+(0.061557-0.21012))+0-93.8-0.0478379999999905</f>
        <v>1661.8471100000002</v>
      </c>
      <c r="AB257" s="3">
        <f>2035.9+(130.4-445.6)+(2.076618+(0.133008-0.454512))+0-93.8-0.095676000000015</f>
        <v>1628.5594380000002</v>
      </c>
      <c r="AC257" s="3">
        <f>1980+(125-509.2)+(0+(0-0))+0-50.8-0</f>
        <v>1545</v>
      </c>
      <c r="AD257">
        <v>1770.7</v>
      </c>
      <c r="AE257" s="3">
        <f>2315+(27-466.6)+(0+(0-0))+0-104.7-0</f>
        <v>1770.7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1854.3+(122.2-497.8)+(-1.891386+(-0.124644--0.507756))+0-28.5--0.0290700000000045</f>
        <v>1448.7207959999998</v>
      </c>
      <c r="G258" s="3">
        <f>1727.5+(131.1-402.2)+(-0.881025+(-0.066861--0.205122))+0-81.1--0.0413609999999918</f>
        <v>1374.5985970000002</v>
      </c>
      <c r="H258" s="3">
        <f>1693.7+(130.3-426.2)+(-1.727574+(-0.132906--0.434724))+0-56.1--0.0572220000000089</f>
        <v>1340.3314660000001</v>
      </c>
      <c r="I258" s="3">
        <f>1663.8+(125.8-423.2)+(-0.848538+(-0.064158--0.215832))+0-31.8--0.0162179999999968</f>
        <v>1333.9193540000001</v>
      </c>
      <c r="J258" s="3">
        <f>1622.5+(113.9-318.3)+(0.827475+(0.058089-0.162333))+0-81.9-0.0417689999999917</f>
        <v>1336.8814619999998</v>
      </c>
      <c r="K258" s="3">
        <f>1694.7+(101.8-345.7)+(-0.864297+(-0.051918--0.176307))+0-86.3--0.0440129999999912</f>
        <v>1363.8041050000002</v>
      </c>
      <c r="L258" s="3">
        <f>1881.9+(83.9-455.5)+(-0.959769+(-0.042789--0.232305))+0-93.9--0.0478889999999905</f>
        <v>1415.6776360000001</v>
      </c>
      <c r="M258" s="3">
        <f>2039.3+(105.5-541.3)+(-3.120129+(-0.161415--0.828189))+0-90.4--0.138312000000005</f>
        <v>1510.7849569999998</v>
      </c>
      <c r="N258" s="3">
        <f>2158+(111.9-576.5)+(-1.10058+(-0.057069--0.294015))+0-38.1--0.0194309999999961</f>
        <v>1654.4557970000001</v>
      </c>
      <c r="O258" s="3">
        <f>2236.3+(105.1-595.4)+(-2.281026+(-0.107202--0.607308))+0-26.7--0.0272340000000043</f>
        <v>1717.5463140000002</v>
      </c>
      <c r="P258" s="3">
        <f>2211.2+(122.7-569)+(-1.127712+(-0.062577--0.29019))+0-25.9--0.0132089999999974</f>
        <v>1738.1131099999998</v>
      </c>
      <c r="Q258" s="3">
        <f>2221.7+(125.4-558.6)+(-1.133067+(-0.063954--0.284886))+0-52.3--0.0266729999999947</f>
        <v>1735.3145379999999</v>
      </c>
      <c r="R258" s="3">
        <f>2230.4+(117.6-537.7)+(-4.550016+(-0.239904--1.096908))+0-85.5--0.174419999999996</f>
        <v>1721.2814080000003</v>
      </c>
      <c r="S258" s="3">
        <f>2210.6+(119.3-550.1)+(-1.127406+(-0.060843--0.280551))+0-95--0.0484499999999904</f>
        <v>1683.940752</v>
      </c>
      <c r="T258" s="3">
        <f>2191.8+(108.7-536.7)+(-4.471272+(-0.221748--1.094868))+0-86.9--0.177275999999996</f>
        <v>1673.479124</v>
      </c>
      <c r="U258" s="3">
        <f>2096.1+(98.8-465.5)+(0+(0-0))+0-89.9-0</f>
        <v>1639.4999999999998</v>
      </c>
      <c r="V258" s="3">
        <f>2259.8+(67.4-369.3)+(-1.152498+(-0.034374--0.188343))+0-87.3--0.0445229999999911</f>
        <v>1869.6459940000002</v>
      </c>
      <c r="W258" s="3">
        <f>2460.1+(46.3-435.7)+(-2.509302+(-0.047226--0.444414))+0-85.2--0.0869040000000136</f>
        <v>1983.4747899999998</v>
      </c>
      <c r="X258" s="3">
        <f>2461.1+(49.7-479.4)+(-5.020644+(-0.101388--0.977976))+0-83.1--0.169523999999996</f>
        <v>1944.3254679999998</v>
      </c>
      <c r="Y258" s="3">
        <f>2464.2+(64.3-530.1)+(-6.28371+(-0.163965--1.351755))+0-94.6--0.241229999999986</f>
        <v>1898.9453100000001</v>
      </c>
      <c r="Z258" s="3">
        <f>2277+(92.3-430.9)+(-3.48381+(-0.141219--0.659277))+0-90.3--0.138159000000005</f>
        <v>1845.2724070000002</v>
      </c>
      <c r="AA258" s="3">
        <f>2167.4+(115.3-410.1)+(-2.210748+(-0.117606--0.418302))+0-92.3--0.0941460000000147</f>
        <v>1778.4840940000001</v>
      </c>
      <c r="AB258" s="3">
        <f>2079.8+(117-369.5)+(-1.060698+(-0.05967--0.188445))+0-89.1--0.045440999999991</f>
        <v>1737.3135180000002</v>
      </c>
      <c r="AC258" s="3">
        <f>2065+(116.3-437.5)+(0+(0-0))+0-99.9-0</f>
        <v>1643.8999999999999</v>
      </c>
      <c r="AD258">
        <v>2010.1</v>
      </c>
      <c r="AE258" s="3">
        <f>2472+(43.5-401)+(0+(0-0))+0-104.4-0</f>
        <v>2010.1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1994.8+(121.2-493.1)+(-2.034696+(-0.123624--0.502962))+0-80.2--0.0818040000000128</f>
        <v>1541.1264459999998</v>
      </c>
      <c r="G259" s="3">
        <f>1863.3+(123.1-433.7)+(-3.801132+(-0.251124--0.884748))+0-82.9--0.169115999999996</f>
        <v>1466.8016079999998</v>
      </c>
      <c r="H259" s="3">
        <f>1747.2+(128.6-373.1)+(-0.891072+(-0.065586--0.190281))+0-92.9--0.0473789999999906</f>
        <v>1409.0810020000001</v>
      </c>
      <c r="I259" s="3">
        <f>1712.2+(120.8-335.8)+(-1.746444+(-0.123216--0.342516))+0-86.6--0.0883320000000138</f>
        <v>1409.1611880000003</v>
      </c>
      <c r="J259" s="3">
        <f>1707.3+(114.2-323.4)+(-1.741446+(-0.116484--0.329868))+0-91.3--0.0931260000000146</f>
        <v>1405.3650639999998</v>
      </c>
      <c r="K259" s="3">
        <f>1785.3+(107.1-368.3)+(3.642012+(0.218484-0.751332))+0-90.2-0.184007999999996</f>
        <v>1436.8251559999999</v>
      </c>
      <c r="L259" s="3">
        <f>1871.8+(90.4-427.6)+(-3.818472+(-0.184416--0.872304))+0-85.1--0.173603999999996</f>
        <v>1446.5430200000001</v>
      </c>
      <c r="M259" s="3">
        <f>1832.1+(92.5-315.6)+(-1.868742+(-0.09435--0.321912))+0-108.8--0.110976000000017</f>
        <v>1498.6697959999999</v>
      </c>
      <c r="N259" s="3">
        <f>2097.2+(112.2-522.9)+(-1.069572+(-0.057222--0.266679))+0-67.4--0.0343739999999932</f>
        <v>1618.2742589999998</v>
      </c>
      <c r="O259" s="3">
        <f>2182.9+(129.8-529.4)+(0+(0-0))+0-79.1-0</f>
        <v>1704.2000000000003</v>
      </c>
      <c r="P259" s="3">
        <f>2188.2+(126.7-467.4)+(-5.57991+(-0.323085--1.19187))+0-83.7--0.213434999999988</f>
        <v>1759.3023099999996</v>
      </c>
      <c r="Q259" s="3">
        <f>2177.9+(122.5-513.6)+(-2.221458+(-0.12495--0.523872))+0-47.5--0.0484500000000076</f>
        <v>1737.5259140000003</v>
      </c>
      <c r="R259" s="3">
        <f>2187.9+(133.2-458)+(-8.926632+(-0.543456--1.86864))+0-93.2--0.380255999999992</f>
        <v>1762.6788080000001</v>
      </c>
      <c r="S259" s="3">
        <f>2093.2+(132.1-407.8)+(-2.135064+(-0.134742--0.415956))+0-75.4--0.076908000000012</f>
        <v>1740.3230579999997</v>
      </c>
      <c r="T259" s="3">
        <f>2067.2+(124.2-391.8)+(-3.162816+(-0.190026--0.599454))+0-90.6--0.138618000000005</f>
        <v>1706.3852299999999</v>
      </c>
      <c r="U259" s="3">
        <f>1993.4+(94.2-295.1)+(-3.049902+(-0.144126--0.451503))+0-92.2--0.141066000000005</f>
        <v>1697.698541</v>
      </c>
      <c r="V259" s="3">
        <f>2102.7+(58.7-244.6)+(3.217131+(0.089811-0.374238))+0-88.7-0.135711000000005</f>
        <v>1830.8969929999998</v>
      </c>
      <c r="W259" s="3">
        <f>2321.1+(38.9-322.7)+(-1.183761+(-0.019839--0.164577))+0-92.3--0.0470729999999906</f>
        <v>1944.0080499999999</v>
      </c>
      <c r="X259" s="3">
        <f>2249.7+(48-310.8)+(-8.031429+(-0.17136--1.109556))+0-97.8--0.349146000000001</f>
        <v>1882.3559129999999</v>
      </c>
      <c r="Y259" s="3">
        <f>2009+(68.3-155.3)+(-2.04918+(-0.069666--0.158406))+0-95.2--0.0971040000000152</f>
        <v>1824.9366639999998</v>
      </c>
      <c r="Z259" s="3">
        <f>1838.1+(116.7-107.7)+(-3.749724+(-0.238068--0.219708))+0-94.4--0.192575999999996</f>
        <v>1749.1244919999997</v>
      </c>
      <c r="AA259" s="3">
        <f>1832.1+(98.3-150.3)+(-2.803113+(-0.150399--0.229959))+0-87--0.133110000000005</f>
        <v>1690.5095569999999</v>
      </c>
      <c r="AB259" s="3">
        <f>1811.3+(121.8-171.9)+(-1.847526+(-0.124236--0.175338))+0-90.7--0.0925140000000145</f>
        <v>1668.79609</v>
      </c>
      <c r="AC259" s="3">
        <f>1798.6+(115.1-238.8)+(-2.751858+(-0.176103--0.365364))+0-80.9--0.123777000000005</f>
        <v>1591.5611799999997</v>
      </c>
      <c r="AD259">
        <v>1859.3999999999999</v>
      </c>
      <c r="AE259" s="3">
        <f>2272+(32.6-330.8)+(0+(0-0))+0-114.4-0</f>
        <v>1859.3999999999999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1562.1+(116.7-98.7)+(0.796671+(0.059517-0.050337))+0-90.7-0.0462569999999908</f>
        <v>1490.159594</v>
      </c>
      <c r="G260" s="3">
        <f>1507.3+(114.8-105.5)+(1.537446+(0.117096-0.10761))+0-93.6-0.0954720000000149</f>
        <v>1424.45146</v>
      </c>
      <c r="H260" s="3">
        <f>1491.5+(117.2-137.8)+(0+(0-0))+0-83-0</f>
        <v>1387.9</v>
      </c>
      <c r="I260" s="3">
        <f>1510.1+(111.5-168.9)+(3.080604+(0.22746-0.344556))+0-85.8-0.175031999999996</f>
        <v>1369.6884759999998</v>
      </c>
      <c r="J260" s="3">
        <f>1475.3+(112.1-131.8)+(-1.504806+(-0.114342--0.134436))+0-95.7--0.0976140000000153</f>
        <v>1358.5129019999999</v>
      </c>
      <c r="K260" s="3">
        <f>1531.5+(75.4-208.2)+(1.56213+(0.076908-0.212364))+0-85.8-0.0875160000000137</f>
        <v>1314.2391580000001</v>
      </c>
      <c r="L260" s="3">
        <f>1482.2+(35.7-225.7)+(-3.77961+(-0.091035--0.575535))+0-75.1--0.191504999999989</f>
        <v>1213.9963950000001</v>
      </c>
      <c r="M260" s="3">
        <f>1419.5+(60.2-192)+(-0.723945+(-0.030702--0.09792))+0-94.2--0.0480419999999904</f>
        <v>1192.8913149999998</v>
      </c>
      <c r="N260" s="3">
        <f>1525.7+(82.7-313.8)+(1.556214+(0.084354-0.320076))+0-67.5-0.0688500000000108</f>
        <v>1228.3516419999999</v>
      </c>
      <c r="O260" s="3">
        <f>1571.7+(83-275.2)+(-3.206268+(-0.16932--0.561408))+0-92.2--0.188087999999996</f>
        <v>1284.673908</v>
      </c>
      <c r="P260" s="3">
        <f>1545.3+(92.4-259.9)+(-0.788103+(-0.047124--0.132549))+0-99.7--0.0508469999999899</f>
        <v>1277.4481689999998</v>
      </c>
      <c r="Q260" s="3">
        <f>1540+(113.2-242.3)+(-4.7124+(-0.346392--0.741438))+0-96.1--0.294066000000011</f>
        <v>1310.7767120000001</v>
      </c>
      <c r="R260" s="3">
        <f>1515.8+(107.9-224.1)+(0+(0-0))+0-85.9-0</f>
        <v>1313.6999999999998</v>
      </c>
      <c r="S260" s="3">
        <f>1529.8+(109.2-240)+(0+(0-0))+0-97.1-0</f>
        <v>1301.9000000000001</v>
      </c>
      <c r="T260" s="3">
        <f>1439+(116.8-211.7)+(-3.66945+(-0.29784--0.539835))+0-86.2--0.219809999999987</f>
        <v>1254.6923549999999</v>
      </c>
      <c r="U260" s="3">
        <f>1557.3+(31.7-250.1)+(2.382669+(0.048501-0.382653))+0-80.7-0.123471000000005</f>
        <v>1260.1250459999997</v>
      </c>
      <c r="V260" s="3">
        <f>1642.4+(0-153.3)+(-0.837624+(0--0.078183))+0-91--0.0464099999999908</f>
        <v>1397.3869690000001</v>
      </c>
      <c r="W260" s="3">
        <f>1752.2+(1.7-138.5)+(0+(0-0))+0-86.6-0</f>
        <v>1528.8000000000002</v>
      </c>
      <c r="X260" s="3">
        <f>1718.1+(9.5-120.3)+(-6.133617+(-0.033915--0.429471))+0-90.6--0.323442000000001</f>
        <v>1511.2853810000001</v>
      </c>
      <c r="Y260" s="3">
        <f>1644+(10.7-144.3)+(-3.35376+(-0.021828--0.294372))+0-39.2--0.0799679999999983</f>
        <v>1468.198752</v>
      </c>
      <c r="Z260" s="3">
        <f>1583.3+(40.1-99.7)+(-2.422449+(-0.061353--0.152541))+0-88--0.134640000000005</f>
        <v>1433.503379</v>
      </c>
      <c r="AA260" s="3">
        <f>1592.1+(66.4-150.3)+(0+(0-0))+0-87.1-0</f>
        <v>1421.1</v>
      </c>
      <c r="AB260" s="3">
        <f>1689.9+(55.3-239.9)+(-1.723698+(-0.056406--0.244698))+0-92.8--0.0946560000000148</f>
        <v>1411.0592500000002</v>
      </c>
      <c r="AC260" s="3">
        <f>1658.6+(104-313.6)+(-5.075316+(-0.31824--0.959616))+0-91.3--0.279378000000011</f>
        <v>1353.5454380000001</v>
      </c>
      <c r="AD260">
        <v>1446.3999999999999</v>
      </c>
      <c r="AE260" s="3">
        <f>1706+(5.3-172.4)+(0+(0-0))+0-92.5-0</f>
        <v>1446.4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1494.9+(114-309.6)+(-2.287197+(-0.17442--0.473688))+0-76.6--0.117198000000004</f>
        <v>1220.8292690000003</v>
      </c>
      <c r="G261" s="3">
        <f>1323.3+(117.4-193.3)+(-1.349766+(-0.119748--0.197166))+0-89.8--0.0915960000000143</f>
        <v>1156.4192479999999</v>
      </c>
      <c r="H261" s="3">
        <f>1325.7+(114.9-219)+(-2.704428+(-0.234396--0.44676))+0-92.6--0.188903999999996</f>
        <v>1126.6968400000003</v>
      </c>
      <c r="I261" s="3">
        <f>1293.9+(104-207.7)+(0+(0-0))+0-83.2-0</f>
        <v>1107</v>
      </c>
      <c r="J261" s="3">
        <f>1355.6+(99.5-265.5)+(0.691356+(0.050745-0.135405))+0-88.3-0.045032999999991</f>
        <v>1101.8616629999999</v>
      </c>
      <c r="K261" s="3">
        <f>1400+(88.8-279.2)+(-2.142+(-0.135864--0.427176))+0-95.9--0.146727000000006</f>
        <v>1111.9960389999999</v>
      </c>
      <c r="L261" s="3">
        <f>1402.6+(58.9-350.8)+(-1.430652+(-0.060078--0.357816))+0-68.6--0.0699720000000109</f>
        <v>1041.0370579999999</v>
      </c>
      <c r="M261" s="3">
        <f>1295.4+(93.6-280)+(-1.981962+(-0.143208--0.4284))+0-106--0.162180000000006</f>
        <v>1001.46541</v>
      </c>
      <c r="N261" s="3">
        <f>1302.6+(110.8-299.6)+(-0.664326+(-0.056508--0.152796))+0-90--0.0458999999999909</f>
        <v>1023.277862</v>
      </c>
      <c r="O261" s="3">
        <f>1392.4+(110.8-392.9)+(0+(0-0))+0-76-0</f>
        <v>1034.3000000000002</v>
      </c>
      <c r="P261" s="3">
        <f>1366.7+(124.5-406.6)+(-4.182102+(-0.38097--1.244196))+0-53.2--0.162792000000006</f>
        <v>1028.2439159999999</v>
      </c>
      <c r="Q261" s="3">
        <f>1316.3+(126.4-358.4)+(-0.671313+(-0.064464--0.182784))+0-59--0.030089999999994</f>
        <v>1024.7770969999999</v>
      </c>
      <c r="R261" s="3">
        <f>1284+(130-312.5)+(0.65484+(0.0663-0.159375))+0-108-0.055079999999989</f>
        <v>994.00668499999995</v>
      </c>
      <c r="S261" s="3">
        <f>1287+(131-334)+(1.96911+(0.20043-0.51102))+0-91-0.139230000000005</f>
        <v>994.51928999999996</v>
      </c>
      <c r="T261" s="3">
        <f>1411+(111-351.2)+(-0.71961+(-0.05661--0.179112))+0-83--0.0423299999999916</f>
        <v>1087.245222</v>
      </c>
      <c r="U261" s="3">
        <f>1444+(76-354.5)+(-0.73644+(-0.03876--0.180795))+0-93--0.0474299999999906</f>
        <v>1071.953025</v>
      </c>
      <c r="V261" s="3">
        <f>1544+(0-121.7)+(-1.57488+(0--0.124134))+0-99--0.100980000000016</f>
        <v>1321.9502339999999</v>
      </c>
      <c r="W261" s="3">
        <f>1730+(0-162)+(0+(0-0))+0-103-0</f>
        <v>1465</v>
      </c>
      <c r="X261" s="3">
        <f>1705+(4.6-128.3)+(-4.34775+(-0.01173--0.327165))+0-81.5--0.207824999999988</f>
        <v>1495.97551</v>
      </c>
      <c r="Y261" s="3">
        <f>1703.3+(15.7-188.2)+(0+(0-0))+0-33.2-0</f>
        <v>1497.6</v>
      </c>
      <c r="Z261" s="3">
        <f>1686.5+(55.8-183.9)+(0+(0-0))+0-58.8-0</f>
        <v>1499.6000000000001</v>
      </c>
      <c r="AA261" s="3">
        <f>1620.4+(104.5-176.5)+(-0.826404+(-0.053295--0.090015))+0-79.1--0.040340999999992</f>
        <v>1468.550657</v>
      </c>
      <c r="AB261" s="3">
        <f>1604.4+(117.1-197.5)+(-0.818244+(-0.059721--0.100725))+0-71.9--0.0366689999999927</f>
        <v>1451.3594290000001</v>
      </c>
      <c r="AC261" s="3">
        <f>1624.4+(110.6-240.5)+(0+(0-0))+0-96.8-0</f>
        <v>1397.7</v>
      </c>
      <c r="AD261">
        <v>1486.6999999999998</v>
      </c>
      <c r="AE261" s="3">
        <f>1735+(0-147.9)+(0+(0-0))+0-100.4-0</f>
        <v>1486.6999999999998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1512.4+(115.5-273.8)+(-3.85662+(-0.294525--0.69819))+0-78.3--0.199664999999989</f>
        <v>1272.5467100000003</v>
      </c>
      <c r="G262" s="3">
        <f>1507.3+(126.7-307.9)+(-2.306169+(-0.193851--0.471087))+0-92.5--0.141525000000005</f>
        <v>1231.7125919999999</v>
      </c>
      <c r="H262" s="3">
        <f>1510.7+(123.7-341.9)+(-0.770457+(-0.063087--0.174369))+0-91.2--0.0465119999999907</f>
        <v>1200.6873369999998</v>
      </c>
      <c r="I262" s="3">
        <f>1361.8+(125.3-294.7)+(-2.778072+(-0.255612--0.601188))+0-78.2--0.159527999999997</f>
        <v>1111.9270320000001</v>
      </c>
      <c r="J262" s="3">
        <f>1340.6+(102.3-201.4)+(-0.683706+(-0.052173--0.102714))+0-88--0.0448799999999911</f>
        <v>1152.911715</v>
      </c>
      <c r="K262" s="3">
        <f>1366.2+(41.8-160.5)+(2.090286+(0.063954-0.245565))+0-93.9-0.143667000000005</f>
        <v>1155.3650079999998</v>
      </c>
      <c r="L262" s="3">
        <f>1456.5+(2.5-164.6)+(-2.228445+(-0.003825--0.251838))+0-97.4--0.149022000000006</f>
        <v>1195.16859</v>
      </c>
      <c r="M262" s="3">
        <f>1434.5+(11.9-121)+(1.46319+(0.012138-0.12342))+0-53.9-0.0549780000000086</f>
        <v>1272.79693</v>
      </c>
      <c r="N262" s="3">
        <f>1558+(30.4-139.1)+(-0.79458+(-0.015504--0.070941))+0-27.4--0.0139739999999972</f>
        <v>1421.1748309999998</v>
      </c>
      <c r="O262" s="3">
        <f>1591.1+(54-93.8)+(0.811461+(0.02754-0.047838))+0-21.8-0.0111179999999978</f>
        <v>1530.2800450000002</v>
      </c>
      <c r="P262" s="3">
        <f>1607.5+(129.6-91.4)+(0+(0-0))+0-21.5-0</f>
        <v>1624.2</v>
      </c>
      <c r="Q262" s="3">
        <f>1689.3+(61.3-91.4)+(-0.861543+(-0.031263--0.046614))+0-22.2--0.0113219999999977</f>
        <v>1636.1651300000001</v>
      </c>
      <c r="R262" s="3">
        <f>1869.8+(54.2-228)+(-5.721588+(-0.165852--0.69768))+0-37.9--0.115974000000004</f>
        <v>1653.026214</v>
      </c>
      <c r="S262" s="3">
        <f>1868.4+(60.1-218.7)+(-3.811536+(-0.122604--0.446148))+0-80.9--0.165035999999996</f>
        <v>1625.5770440000001</v>
      </c>
      <c r="T262" s="3">
        <f>1762.6+(48.1-132)+(-2.696778+(-0.073593--0.20196))+0-86.5--0.132345000000005</f>
        <v>1589.7639339999998</v>
      </c>
      <c r="U262" s="3">
        <f>1674.3+(83-90.3)+(-2.561679+(-0.12699--0.138159))+0-87.9--0.134487000000005</f>
        <v>1576.6839769999999</v>
      </c>
      <c r="V262" s="3">
        <f>1696.4+(214-98.2)+(0+(0-0))+0-77.5-0</f>
        <v>1734.7</v>
      </c>
      <c r="W262" s="3">
        <f>1803.6+(259.6-110.7)+(0.919836+(0.132396-0.056457))+0-84-0.0428399999999915</f>
        <v>1869.452935</v>
      </c>
      <c r="X262" s="3">
        <f>1841.9+(219.4-132.8)+(-5.636214+(-0.671364--0.406368))+0-81--0.247860000000009</f>
        <v>1841.84665</v>
      </c>
      <c r="Y262" s="3">
        <f>1937.5+(118.9-121.1)+(-2.964375+(-0.181917--0.185283))+0-77.6--0.118728000000004</f>
        <v>1854.8577189999999</v>
      </c>
      <c r="Z262" s="3">
        <f>1945.2+(51.4-95.3)+(-0.992052+(-0.026214--0.048603))+0-87.4--0.0445739999999911</f>
        <v>1812.9749109999998</v>
      </c>
      <c r="AA262" s="3">
        <f>1938.4+(9-158.6)+(0.988584+(0.00459-0.080886))+0-31.8-0.0162179999999968</f>
        <v>1757.8960700000002</v>
      </c>
      <c r="AB262" s="3">
        <f>1863.1+(66.6-132.5)+(-2.850543+(-0.101898--0.202725))+0-87.2--0.133416000000005</f>
        <v>1707.3836999999996</v>
      </c>
      <c r="AC262" s="3">
        <f>1699.7+(73.3-99.7)+(-5.201082+(-0.224298--0.305082))+0-70.1--0.214506000000008</f>
        <v>1598.294208</v>
      </c>
      <c r="AD262">
        <v>1866</v>
      </c>
      <c r="AE262" s="3">
        <f>1853+(225.5-102.4)+(0+(0-0))+0-110.1-0</f>
        <v>1866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1647.4+(64-182.4)+(-4.20087+(-0.1632--0.46512))+0-88.6--0.225929999999987</f>
        <v>1436.7269800000001</v>
      </c>
      <c r="G263" s="3">
        <f>1526.2+(64-147.8)+(-4.670172+(-0.19584--0.452268))+0-90.8--0.27784800000001</f>
        <v>1347.4641040000001</v>
      </c>
      <c r="H263" s="3">
        <f>1493.4+(64-150.3)+(2.284902+(0.09792-0.229959))+0-90.5-0.138465000000005</f>
        <v>1318.6143980000002</v>
      </c>
      <c r="I263" s="3">
        <f>1465.6+(68-141.3)+(0+(0-0))+0-91.5-0</f>
        <v>1300.8</v>
      </c>
      <c r="J263" s="3">
        <f>1519.6+(68-169.6)+(2.324988+(0.10404-0.259488))+0-84.6-0.129438000000005</f>
        <v>1335.4401020000003</v>
      </c>
      <c r="K263" s="3">
        <f>1615+(8-202.7)+(-2.47095+(-0.01224--0.310131))+0-76.7--0.117351000000004</f>
        <v>1341.544292</v>
      </c>
      <c r="L263" s="3">
        <f>1730.7+(0-308.1)+(-0.882657+(0--0.157131))+0-51.5--0.0262649999999948</f>
        <v>1370.4007389999999</v>
      </c>
      <c r="M263" s="3">
        <f>1800.9+(15-338.3)+(-1.836918+(-0.0153--0.345066))+0-41.4--0.0422280000000066</f>
        <v>1434.7350760000002</v>
      </c>
      <c r="N263" s="3">
        <f>1843.4+(48-253.2)+(1.880268+(0.04896-0.258264))+0-86.4-0.0881280000000138</f>
        <v>1553.3828359999998</v>
      </c>
      <c r="O263" s="3">
        <f>1964.4+(46-293.8)+(1.001844+(0.02346-0.149838))+0-81.7-0.0416669999999917</f>
        <v>1635.7337990000001</v>
      </c>
      <c r="P263" s="3">
        <f>1964.7+(45-241.9)+(3.005991+(0.06885-0.370107))+0-95-0.145350000000006</f>
        <v>1675.3593839999999</v>
      </c>
      <c r="Q263" s="3">
        <f>1984.6+(63-250.8)+(-1.012146+(-0.03213--0.127908))+0-86.8--0.0442679999999912</f>
        <v>1709.1279000000002</v>
      </c>
      <c r="R263" s="3">
        <f>1969.6+(76-292.6)+(-3.013488+(-0.11628--0.447678))+0-87.5--0.133875000000005</f>
        <v>1662.951785</v>
      </c>
      <c r="S263" s="3">
        <f>1844.3+(74-229.3)+(-4.702965+(-0.1887--0.584715))+0-70.6--0.18002999999999</f>
        <v>1614.2730800000002</v>
      </c>
      <c r="T263" s="3">
        <f>1849+(52-293.7)+(-2.82897+(-0.07956--0.449361))+0-32.7--0.0500310000000019</f>
        <v>1572.1908619999999</v>
      </c>
      <c r="U263" s="3">
        <f>1808.2+(3-180.1)+(-3.688728+(-0.00612--0.367404))+0-77.7--0.158507999999997</f>
        <v>1550.2310640000001</v>
      </c>
      <c r="V263" s="3">
        <f>1953.1+(3.9-113.5)+(-2.988243+(-0.005967--0.173655))+0-82.8--0.126684000000005</f>
        <v>1758.0061290000001</v>
      </c>
      <c r="W263" s="3">
        <f>2064.7+(29.3-118.8)+(1.052997+(0.014943-0.060588))+0-91.9-0.0468689999999907</f>
        <v>1884.2604829999998</v>
      </c>
      <c r="X263" s="3">
        <f>2067.5+(25.5-122.2)+(0+(0-0))+0-95.2-0</f>
        <v>1875.6</v>
      </c>
      <c r="Y263" s="3">
        <f>2062+(0-140.2)+(-5.2581+(0--0.35751))+0-85.1--0.217004999999988</f>
        <v>1832.0164150000001</v>
      </c>
      <c r="Z263" s="3">
        <f>1943.2+(42.9-98.5)+(-3.964128+(-0.087516--0.20094))+0-96.5--0.196859999999996</f>
        <v>1787.4461560000002</v>
      </c>
      <c r="AA263" s="3">
        <f>1813.5+(85.1-89.2)+(-2.774655+(-0.130203--0.136476))+0-91.6--0.140148000000005</f>
        <v>1715.1717660000002</v>
      </c>
      <c r="AB263" s="3">
        <f>1736.4+(103.2-133.9)+(-2.656692+(-0.157896--0.204867))+0-41.8--0.0639540000000024</f>
        <v>1661.354233</v>
      </c>
      <c r="AC263" s="3">
        <f>1695.3+(83.2-123.1)+(-1.729206+(-0.084864--0.125562))+0-90.4--0.0922080000000144</f>
        <v>1563.4036999999998</v>
      </c>
      <c r="AD263">
        <v>1888.7</v>
      </c>
      <c r="AE263" s="3">
        <f>2084+(30-123.8)+(0+(0-0))+0-101.5-0</f>
        <v>1888.7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1577.9+(103.4-167.3)+(-2.414187+(-0.158202--0.255969))+0-34.1--0.052173000000002</f>
        <v>1477.635753</v>
      </c>
      <c r="G264" s="3">
        <f>1573.6+(120.1-261.9)+(-1.605072+(-0.122502--0.267138))+0-27.2--0.0277440000000043</f>
        <v>1403.1673079999998</v>
      </c>
      <c r="H264" s="3">
        <f>1491.2+(117-212.8)+(0+(0-0))+0-24.5-0</f>
        <v>1370.9</v>
      </c>
      <c r="I264" s="3">
        <f>1484.7+(130.8-214.4)+(0.757197+(0.066708-0.109344))+0-50.2-0.0256019999999949</f>
        <v>1351.5889590000002</v>
      </c>
      <c r="J264" s="3">
        <f>1441.9+(113.6-123.7)+(-0.735369+(-0.057936--0.063087))+0-86.5--0.0441149999999912</f>
        <v>1344.6138970000002</v>
      </c>
      <c r="K264" s="3">
        <f>1436.8+(85.2-96)+(3.66384+(0.21726-0.2448))+0-93.1-0.237404999999986</f>
        <v>1336.2988949999999</v>
      </c>
      <c r="L264" s="3">
        <f>1611+(0-229)+(-4.10805+(0--0.58395))+0-89.5--0.228224999999987</f>
        <v>1289.204125</v>
      </c>
      <c r="M264" s="3">
        <f>1604.4+(0-233)+(-2.454732+(0--0.35649))+0-83.6--0.127908000000005</f>
        <v>1285.8296660000001</v>
      </c>
      <c r="N264" s="3">
        <f>1638.1+(0-197.5)+(1.670862+(0-0.20145))+0-86.9-0.0886380000000139</f>
        <v>1355.0807739999998</v>
      </c>
      <c r="O264" s="3">
        <f>1662.2+(21.5-191.3)+(1.695444+(0.02193-0.195126))+0-75.9-0.0774180000000121</f>
        <v>1417.9448299999999</v>
      </c>
      <c r="P264" s="3">
        <f>1660.5+(49.1-133.2)+(-1.69371+(-0.050082--0.135864))+0-91.4--0.0932280000000146</f>
        <v>1483.4853000000001</v>
      </c>
      <c r="Q264" s="3">
        <f>1655.2+(66.3-133)+(-1.688304+(-0.067626--0.13566))+0-86.1--0.0878220000000137</f>
        <v>1500.8675520000002</v>
      </c>
      <c r="R264" s="3">
        <f>1685.5+(92.1-159.5)+(-3.43842+(-0.187884--0.32538))+0-93.6--0.190943999999996</f>
        <v>1521.39002</v>
      </c>
      <c r="S264" s="3">
        <f>1631.1+(109.3-151.4)+(-3.327444+(-0.222972--0.308856))+0-92.3--0.188291999999996</f>
        <v>1493.6467320000002</v>
      </c>
      <c r="T264" s="3">
        <f>1661.5+(109.9-220.5)+(-0.847365+(-0.056049--0.112455))+0-65.7--0.0335069999999933</f>
        <v>1484.4425480000002</v>
      </c>
      <c r="U264" s="3">
        <f>1660+(77.6-167.3)+(-2.5398+(-0.118728--0.255969))+0-67.6--0.103428000000004</f>
        <v>1500.4008689999998</v>
      </c>
      <c r="V264" s="3">
        <f>1740.8+(111.1-105.2)+(-0.887808+(-0.056661--0.053652))+0-83.3--0.0424829999999915</f>
        <v>1662.5516660000001</v>
      </c>
      <c r="W264" s="3">
        <f>1948.6+(59.6-95.4)+(-2.981358+(-0.091188--0.145962))+0-87.2--0.133416000000005</f>
        <v>1822.8068319999998</v>
      </c>
      <c r="X264" s="3">
        <f>2052.7+(17.1-154.7)+(-1.046877+(-0.008721--0.078897))+0-88.9--0.045338999999991</f>
        <v>1825.2686379999998</v>
      </c>
      <c r="Y264" s="3">
        <f>2058.9+(29.2-185.1)+(-1.050039+(-0.014892--0.094401))+0-89.9--0.0458489999999909</f>
        <v>1812.1753189999999</v>
      </c>
      <c r="Z264" s="3">
        <f>2039.2+(53.7-224.9)+(-2.079984+(-0.054774--0.229398))+0-75.9--0.0774180000000121</f>
        <v>1790.272058</v>
      </c>
      <c r="AA264" s="3">
        <f>1993.7+(109-265.4)+(-3.050361+(-0.16677--0.406062))+0-94.1--0.143973000000005</f>
        <v>1740.5329040000001</v>
      </c>
      <c r="AB264" s="3">
        <f>1870.8+(126.1-214.6)+(-2.862324+(-0.192933--0.328338))+0-95.8--0.146574000000006</f>
        <v>1683.9196550000001</v>
      </c>
      <c r="AC264" s="3">
        <f>1733.1+(118.8-195.1)+(-5.303286+(-0.363528--0.597006))+0-67--0.205020000000008</f>
        <v>1584.9352120000001</v>
      </c>
      <c r="AD264">
        <v>1800.8999999999999</v>
      </c>
      <c r="AE264" s="3">
        <f>2034+(15.1-139.5)+(0+(0-0))+0-108.7-0</f>
        <v>1800.8999999999999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1634.1+(126.8-216.8)+(-4.166955+(-0.32334--0.55284))+0-84.3--0.214964999999988</f>
        <v>1456.0775099999998</v>
      </c>
      <c r="G265" s="3">
        <f>1499.6+(122.7-167.1)+(-3.059184+(-0.250308--0.340884))+0-86.2--0.175847999999996</f>
        <v>1366.20724</v>
      </c>
      <c r="H265" s="3">
        <f>1527.3+(121.5-302.7)+(0+(0-0))+0-92.4-0</f>
        <v>1253.6999999999998</v>
      </c>
      <c r="I265" s="3">
        <f>1518.4+(122.7-315.5)+(-0.774384+(-0.062577--0.160905))+0-91.8--0.0468179999999907</f>
        <v>1233.1707620000002</v>
      </c>
      <c r="J265" s="3">
        <f>1487.9+(118.1-310.7)+(0.758829+(0.060231-0.158457))+0-92-0.0469199999999907</f>
        <v>1203.9136830000002</v>
      </c>
      <c r="K265" s="3">
        <f>1691.8+(96.1-315.7)+(0.862818+(0.049011-0.161007))+0-67.9-0.0346289999999931</f>
        <v>1405.0161929999999</v>
      </c>
      <c r="L265" s="3">
        <f>1722.8+(71.6-276)+(0+(0-0))+0-85.4-0</f>
        <v>1432.9999999999998</v>
      </c>
      <c r="M265" s="3">
        <f>1949.7+(75.7-412.9)+(2.983041+(0.115821-0.631737))+0-92-0.140760000000005</f>
        <v>1522.8263649999999</v>
      </c>
      <c r="N265" s="3">
        <f>2190.4+(96.5-523)+(2.234208+(0.09843-0.53346))+0-94.8-0.0966960000000151</f>
        <v>1670.8024820000001</v>
      </c>
      <c r="O265" s="3">
        <f>2200.3+(117.5-495.6)+(0+(0-0))+0-83.1-0</f>
        <v>1739.1000000000004</v>
      </c>
      <c r="P265" s="3">
        <f>2195.8+(123.8-448.7)+(-3.359574+(-0.189414--0.686511))+0-81.1--0.124083000000005</f>
        <v>1787.0616060000002</v>
      </c>
      <c r="Q265" s="3">
        <f>2192.4+(113.8-427.6)+(-2.236248+(-0.116076--0.436152))+0-89.3--0.0910860000000142</f>
        <v>1787.4749140000001</v>
      </c>
      <c r="R265" s="3">
        <f>2190.1+(120.1-455.8)+(-5.584755+(-0.306255--1.16229))+0-71.4--0.18206999999999</f>
        <v>1778.4533499999998</v>
      </c>
      <c r="S265" s="3">
        <f>2206.6+(123.2-481)+(0+(0-0))+0-81.6-0</f>
        <v>1767.2</v>
      </c>
      <c r="T265" s="3">
        <f>2198.2+(121-489.6)+(-2.242164+(-0.12342--0.499392))+0-95.6--0.0975120000000152</f>
        <v>1732.2313200000001</v>
      </c>
      <c r="U265" s="3">
        <f>2157.6+(85.3-459.9)+(0+(0-0))+0-76.7-0</f>
        <v>1706.3</v>
      </c>
      <c r="V265" s="3">
        <f>2181.9+(50-278.4)+(-1.112769+(-0.0255--0.141984))+0-82.6--0.0421259999999916</f>
        <v>1869.9458410000002</v>
      </c>
      <c r="W265" s="3">
        <f>2258+(20.6-181.7)+(2.30316+(0.021012-0.185334))+0-90.3-0.0921060000000144</f>
        <v>2008.6467319999999</v>
      </c>
      <c r="X265" s="3">
        <f>2254.5+(22-237.3)+(-3.449385+(-0.03366--0.363069))+0-73.3--0.112149000000004</f>
        <v>1962.8921730000002</v>
      </c>
      <c r="Y265" s="3">
        <f>2252.6+(37.5-278.2)+(-1.148826+(-0.019125--0.141882))+0-84--0.0428399999999915</f>
        <v>1926.9167709999999</v>
      </c>
      <c r="Z265" s="3">
        <f>2253.7+(29.1-297.9)+(-1.149387+(-0.014841--0.151929))+0-92.1--0.0469709999999907</f>
        <v>1891.834672</v>
      </c>
      <c r="AA265" s="3">
        <f>2148.1+(48.2-301)+(0+(0-0))+0-87.6-0</f>
        <v>1807.7</v>
      </c>
      <c r="AB265" s="3">
        <f>1994.7+(74.5-261.9)+(0+(0-0))+0-74.1-0</f>
        <v>1733.2000000000003</v>
      </c>
      <c r="AC265" s="3">
        <f>1908.9+(93.9-286.7)+(0+(0-0))+0-85.4-0</f>
        <v>1630.7</v>
      </c>
      <c r="AD265">
        <v>1970.1999999999998</v>
      </c>
      <c r="AE265" s="3">
        <f>2264+(24.5-215.4)+(0+(0-0))+0-102.9-0</f>
        <v>1970.1999999999998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1863.3+(88.1-327)+(-2.850849+(-0.134793--0.50031))+0-84.1--0.128673000000005</f>
        <v>1537.9433409999999</v>
      </c>
      <c r="G266" s="3">
        <f>1787.7+(110.6-188.4)+(-4.558635+(-0.28203--0.48042))+0-91.5--0.233324999999987</f>
        <v>1614.2730799999999</v>
      </c>
      <c r="H266" s="3">
        <f>1679.6+(118.7-94)+(0+(0-0))+0-87.9-0</f>
        <v>1616.3999999999999</v>
      </c>
      <c r="I266" s="3">
        <f>1669.1+(115-103.6)+(0+(0-0))+0-90.4-0</f>
        <v>1590.1</v>
      </c>
      <c r="J266" s="3">
        <f>1670.6+(112.4-98.4)+(-1.704012+(-0.114648--0.100368))+0-91.9--0.0937380000000147</f>
        <v>1591.0754459999998</v>
      </c>
      <c r="K266" s="3">
        <f>1721.8+(77-104.2)+(2.634354+(0.11781-0.159426))+0-86.8-0.132804000000005</f>
        <v>1610.2599339999999</v>
      </c>
      <c r="L266" s="3">
        <f>1799+(49.2-128.6)+(1.83498+(0.050184-0.131172))+0-81.7-0.083334000000013</f>
        <v>1639.5706579999999</v>
      </c>
      <c r="M266" s="3">
        <f>1868.9+(55.2-146.7)+(3.812556+(0.112608-0.299268))+0-56.4-0.115055999999998</f>
        <v>1724.5108399999999</v>
      </c>
      <c r="N266" s="3">
        <f>1876.1+(65.9-129.6)+(-1.913622+(-0.067218--0.132192))+0-63.6--0.0648720000000101</f>
        <v>1747.016224</v>
      </c>
      <c r="O266" s="3">
        <f>1969.3+(75.8-221.3)+(1.004343+(0.038658-0.112863))+0-80-0.0407999999999919</f>
        <v>1744.6893379999999</v>
      </c>
      <c r="P266" s="3">
        <f>1922.6+(103.8-142.5)+(0.980526+(0.052938-0.072675))+0-91.2-0.0465119999999907</f>
        <v>1793.6142769999999</v>
      </c>
      <c r="Q266" s="3">
        <f>1969.4+(122-196)+(-4.017576+(-0.24888--0.39984))+0-89.4--0.182375999999996</f>
        <v>1802.31576</v>
      </c>
      <c r="R266" s="3">
        <f>2029.4+(133.5-249.8)+(-3.104982+(-0.204255--0.382194))+0-68--0.104040000000004</f>
        <v>1842.2769970000002</v>
      </c>
      <c r="S266" s="3">
        <f>2031.2+(122.4-256.9)+(-2.071824+(-0.124848--0.262038))+0-80--0.0816000000000128</f>
        <v>1814.8469660000001</v>
      </c>
      <c r="T266" s="3">
        <f>2042.6+(110.1-257)+(2.083452+(0.112302-0.26214))+0-82.9-0.0845580000000132</f>
        <v>1814.6490559999997</v>
      </c>
      <c r="U266" s="3">
        <f>2040.7+(60.8-200.9)+(-2.081514+(-0.062016--0.204918))+0-98.8--0.100776000000016</f>
        <v>1799.962164</v>
      </c>
      <c r="V266" s="3">
        <f>2038.3+(106.6-109.1)+(2.079066+(0.108732-0.111282))+0-93.4-0.0952680000000149</f>
        <v>1944.3812479999999</v>
      </c>
      <c r="W266" s="3">
        <f>2064.7+(215.7-121.7)+(2.105994+(0.220014-0.124134))+0-92.5-0.0943500000000148</f>
        <v>2068.3075239999998</v>
      </c>
      <c r="X266" s="3">
        <f>2042.8+(166.9-110.8)+(-4.167312+(-0.340476--0.226032))+0-68.1--0.138923999999997</f>
        <v>2026.6571680000004</v>
      </c>
      <c r="Y266" s="3">
        <f>2034.4+(159-102.5)+(-6.225264+(-0.48654--0.31365))+0-92.8--0.283968000000011</f>
        <v>1991.9858140000001</v>
      </c>
      <c r="Z266" s="3">
        <f>2019.4+(132.2-99.2)+(-3.089682+(-0.202266--0.151776))+0-95.5--0.146115000000006</f>
        <v>1953.9059430000002</v>
      </c>
      <c r="AA266" s="3">
        <f>2018+(98.6-140.1)+(-2.05836+(-0.100572--0.142902))+0-96.3--0.0982260000000154</f>
        <v>1878.2821960000001</v>
      </c>
      <c r="AB266" s="3">
        <f>1998.7+(71.3-169.1)+(-6.116022+(-0.218178--0.517446))+0-95.2--0.291312000000011</f>
        <v>1800.1745580000002</v>
      </c>
      <c r="AC266" s="3">
        <f>1867.7+(114.9-211.1)+(-2.857581+(-0.175797--0.322983))+0-71.4--0.109242000000004</f>
        <v>1697.4988469999998</v>
      </c>
      <c r="AD266">
        <v>2034.9</v>
      </c>
      <c r="AE266" s="3">
        <f>2026+(235.4-123.9)+(0+(0-0))+0-102.6-0</f>
        <v>2034.9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1784.9+(109.3-245.8)+(-2.730897+(-0.167229--0.376074))+0-91.4--0.139842000000005</f>
        <v>1554.61779</v>
      </c>
      <c r="G267" s="3">
        <f>1734.9+(111-298.1)+(3.539196+(0.22644-0.608124))+0-86.2-0.175847999999996</f>
        <v>1464.581664</v>
      </c>
      <c r="H267" s="3">
        <f>1574.1+(109.9-130.9)+(2.408373+(0.168147-0.200277))+0-94.5-0.144585000000005</f>
        <v>1460.8316579999998</v>
      </c>
      <c r="I267" s="3">
        <f>1565.8+(105.2-121.9)+(0.798558+(0.053652-0.062169))+0-99.3-0.0506429999999899</f>
        <v>1450.5393979999999</v>
      </c>
      <c r="J267" s="3">
        <f>1561.2+(107-135.1)+(-3.98106+(-0.27285--0.344505))+0-75.4--0.192269999999989</f>
        <v>1453.9828649999999</v>
      </c>
      <c r="K267" s="3">
        <f>1646.7+(100.3-174.8)+(0.839817+(0.051153-0.089148))+0-87.8-0.0447779999999911</f>
        <v>1485.157044</v>
      </c>
      <c r="L267" s="3">
        <f>1892.5+(86.5-341.9)+(-1.93035+(-0.08823--0.348738))+0-64.6--0.0658920000000103</f>
        <v>1570.8960500000001</v>
      </c>
      <c r="M267" s="3">
        <f>1957.6+(92.6-300)+(0.998376+(0.047226-0.153))+0-83.9-0.0427889999999915</f>
        <v>1667.1498129999995</v>
      </c>
      <c r="N267" s="3">
        <f>1964+(94.7-243.5)+(0+(0-0))+0-94.2-0</f>
        <v>1721</v>
      </c>
      <c r="O267" s="3">
        <f>1966.8+(115.8-211.8)+(1.003068+(0.059058-0.108018))+0-89-0.045389999999991</f>
        <v>1782.7087179999999</v>
      </c>
      <c r="P267" s="3">
        <f>1963.2+(129.1-168.6)+(-1.001232+(-0.065841--0.085986))+0-93.7--0.0477869999999905</f>
        <v>1829.0667000000001</v>
      </c>
      <c r="Q267" s="3">
        <f>1959+(124.4-216.5)+(-2.99727+(-0.190332--0.331245))+0-32--0.0489600000000018</f>
        <v>1832.0926030000003</v>
      </c>
      <c r="R267" s="3">
        <f>1957.7+(130-181.2)+(-1.996854+(-0.1326--0.184824))+0-83.2--0.0848640000000133</f>
        <v>1821.4402339999999</v>
      </c>
      <c r="S267" s="3">
        <f>1944+(114.3-175.8)+(-3.96576+(-0.233172--0.358632))+0-89.6--0.182783999999996</f>
        <v>1789.2424840000001</v>
      </c>
      <c r="T267" s="3">
        <f>1952.9+(122.2-213.1)+(-1.991958+(-0.124644--0.217362))+0-91.4--0.0932280000000146</f>
        <v>1768.7939879999999</v>
      </c>
      <c r="U267" s="3">
        <f>1939.6+(104.5-255.2)+(-2.967588+(-0.159885--0.390456))+0-39.3--0.0601290000000023</f>
        <v>1746.9231119999999</v>
      </c>
      <c r="V267" s="3">
        <f>1939+(202.2-101)+(-1.97778+(-0.206244--0.10302))+0-86--0.0877200000000137</f>
        <v>1952.2067160000001</v>
      </c>
      <c r="W267" s="3">
        <f>2030+(223.6-106.1)+(-1.0353+(-0.114036--0.054111))+0-88.6--0.045185999999991</f>
        <v>2057.8499609999999</v>
      </c>
      <c r="X267" s="3">
        <f>2018.3+(174.3-103.3)+(-5.146665+(-0.444465--0.263415))+0-91.1--0.232304999999987</f>
        <v>1993.1045900000004</v>
      </c>
      <c r="Y267" s="3">
        <f>2001.6+(154.5-104.8)+(-2.041632+(-0.15759--0.106896))+0-89.2--0.0909840000000142</f>
        <v>1960.0986579999997</v>
      </c>
      <c r="Z267" s="3">
        <f>1967.1+(144.8-96)+(-4.012884+(-0.295392--0.19584))+0-92.5--0.188699999999996</f>
        <v>1919.4762639999999</v>
      </c>
      <c r="AA267" s="3">
        <f>1974.3+(72.9-119.8)+(-2.013786+(-0.074358--0.122196))+0-87--0.0887400000000139</f>
        <v>1838.5227919999998</v>
      </c>
      <c r="AB267" s="3">
        <f>1936.9+(102.7-159.1)+(-5.926914+(-0.314262--0.486846))+0-93--0.284580000000011</f>
        <v>1782.03025</v>
      </c>
      <c r="AC267" s="3">
        <f>1830.5+(115.3-117.2)+(-2.800665+(-0.176409--0.179316))+0-77.9--0.119187000000005</f>
        <v>1748.0214289999999</v>
      </c>
      <c r="AD267">
        <v>2064</v>
      </c>
      <c r="AE267" s="3">
        <f>2064+(217.7-106.1)+(0+(0-0))+0-111.6-0</f>
        <v>2064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1671.7+(114.5-147.5)+(-0.852567+(-0.058395--0.075225))+0-80.8--0.0412079999999918</f>
        <v>1557.1054710000001</v>
      </c>
      <c r="G268" s="3">
        <f>1525.8+(144.4-88.5)+(-0.778158+(-0.073644--0.045135))+0-91--0.0464099999999908</f>
        <v>1489.9397429999999</v>
      </c>
      <c r="H268" s="3">
        <f>1453.6+(167.7-76.4)+(0.741336+(0.085527-0.038964))+0-81.3-0.0414629999999918</f>
        <v>1464.3464359999998</v>
      </c>
      <c r="I268" s="3">
        <f>1449.4+(172.6-79.7)+(2.217582+(0.264078-0.121941))+0-95.1-0.145503000000005</f>
        <v>1449.4142160000004</v>
      </c>
      <c r="J268" s="3">
        <f>1548.6+(102.1-108.9)+(-0.789786+(-0.052071--0.055539))+0-82.1--0.0418709999999917</f>
        <v>1458.955553</v>
      </c>
      <c r="K268" s="3">
        <f>1635.6+(40.2-120.2)+(3.336624+(0.082008-0.245208))+0-86.9-0.177275999999996</f>
        <v>1471.696148</v>
      </c>
      <c r="L268" s="3">
        <f>1790.9+(8.3-216.8)+(0+(0-0))+0-79.2-0</f>
        <v>1503.2</v>
      </c>
      <c r="M268" s="3">
        <f>1833.9+(54.7-278.8)+(0.935289+(0.027897-0.142188))+0-29.1-0.014840999999997</f>
        <v>1581.5061570000003</v>
      </c>
      <c r="N268" s="3">
        <f>1884.2+(75.8-234.8)+(0.960942+(0.038658-0.119748))+0-26.4-0.0134639999999973</f>
        <v>1699.6663880000001</v>
      </c>
      <c r="O268" s="3">
        <f>1899.6+(87.1-205.6)+(1.937592+(0.088842-0.209712))+0-27-0.0275400000000043</f>
        <v>1755.8891819999999</v>
      </c>
      <c r="P268" s="3">
        <f>1894.5+(94.7-157.4)+(-0.966195+(-0.048297--0.080274))+0-26.4--0.0134639999999973</f>
        <v>1804.4792459999996</v>
      </c>
      <c r="Q268" s="3">
        <f>1874.2+(111.1-151.2)+(-2.867526+(-0.169983--0.231336))+0-25--0.0382500000000014</f>
        <v>1806.3320770000003</v>
      </c>
      <c r="R268" s="3">
        <f>1879+(83.9-131.7)+(-3.83316+(-0.171156--0.268668))+0-25.5--0.0520199999999989</f>
        <v>1802.016372</v>
      </c>
      <c r="S268" s="3">
        <f>1886.1+(122.6-94.5)+(-0.961911+(-0.062526--0.048195))+0-25.9--0.0132089999999974</f>
        <v>1887.3369669999997</v>
      </c>
      <c r="T268" s="3">
        <f>1891.3+(100.8-116.4)+(1.929126+(0.102816-0.118728))+0-26.5-0.0270300000000042</f>
        <v>1851.086184</v>
      </c>
      <c r="U268" s="3">
        <f>1889.9+(50.9-116.9)+(0+(0-0))+0-70.4-0</f>
        <v>1753.5</v>
      </c>
      <c r="V268" s="3">
        <f>2002.7+(129.5-108.4)+(2.042754+(0.13209-0.110568))+0-87.2-0.0889440000000139</f>
        <v>1938.5753319999999</v>
      </c>
      <c r="W268" s="3">
        <f>2123.8+(134.7-133)+(3.249414+(0.206091-0.20349))+0-77.5-0.118575000000004</f>
        <v>2051.1334400000001</v>
      </c>
      <c r="X268" s="3">
        <f>2122.9+(63.8-147)+(0+(0-0))+0-34.5-0</f>
        <v>2005.2</v>
      </c>
      <c r="Y268" s="3">
        <f>2111.9+(73.6-133)+(-5.385345+(-0.18768--0.33915))+0-78.6--0.200429999999989</f>
        <v>1968.8665550000003</v>
      </c>
      <c r="Z268" s="3">
        <f>2102.9+(25.7-120.3)+(-2.144958+(-0.026214--0.122706))+0-81.4--0.083028000000013</f>
        <v>1924.9345620000001</v>
      </c>
      <c r="AA268" s="3">
        <f>2035.3+(23.4-131.8)+(-2.076006+(-0.023868--0.134436))+0-82.7--0.0843540000000132</f>
        <v>1842.3189159999999</v>
      </c>
      <c r="AB268" s="3">
        <f>2030.9+(84.7-286.2)+(0+(0-0))+0-50.3-0</f>
        <v>1779.1000000000001</v>
      </c>
      <c r="AC268" s="3">
        <f>1897.9+(108.7-244.8)+(-2.903787+(-0.166311--0.374544))+0-81.7--0.125001000000005</f>
        <v>1677.5294470000003</v>
      </c>
      <c r="AD268">
        <v>2000.6</v>
      </c>
      <c r="AE268" s="3">
        <f>2139+(39.6-144.9)+(0+(0-0))+0-33.1-0</f>
        <v>2000.6000000000001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1711.2+(123.4-196.7)+(-1.745424+(-0.125868--0.200634))+0-70.4--0.0718080000000112</f>
        <v>1565.9011499999999</v>
      </c>
      <c r="G269" s="3">
        <f>1705.9+(107.6-230.8)+(-1.740018+(-0.109752--0.235416))+0-81.9--0.0835380000000131</f>
        <v>1499.269184</v>
      </c>
      <c r="H269" s="3">
        <f>1667.5+(134.3-208.3)+(-0.850425+(-0.068493--0.106233))+0-54.9--0.0279989999999944</f>
        <v>1537.8153139999997</v>
      </c>
      <c r="I269" s="3">
        <f>1539.1+(123.9-154.6)+(-0.784941+(-0.063189--0.078846))+0-60.8--0.0310079999999938</f>
        <v>1446.8617239999999</v>
      </c>
      <c r="J269" s="3">
        <f>1631.5+(102.6-127.8)+(5.824455+(0.366282-0.456246))+0-64-0.228480000000001</f>
        <v>1547.8060109999999</v>
      </c>
      <c r="K269" s="3">
        <f>1757.7+(30.9-124.2)+(1.792854+(0.031518-0.126684))+0-85.3-0.0870060000000136</f>
        <v>1580.7106820000001</v>
      </c>
      <c r="L269" s="3">
        <f>1830+(0-229.8)+(-0.9333+(0--0.117198))+0-84.2--0.0429419999999915</f>
        <v>1515.22684</v>
      </c>
      <c r="M269" s="3">
        <f>1917.6+(18.9-289.9)+(-1.955952+(-0.019278--0.295698))+0-73.7--0.0751740000000118</f>
        <v>1571.2956419999998</v>
      </c>
      <c r="N269" s="3">
        <f>2027.6+(39.9-315.4)+(-1.034076+(-0.020349--0.160854))+0-77.5--0.0395249999999921</f>
        <v>1673.7459539999998</v>
      </c>
      <c r="O269" s="3">
        <f>2054.9+(59.7-284.3)+(-1.047999+(-0.030447--0.144993))+0-70.5--0.0359549999999928</f>
        <v>1758.9025020000001</v>
      </c>
      <c r="P269" s="3">
        <f>2004.5+(53.3-186.1)+(0+(0-0))+0-83.7-0</f>
        <v>1788</v>
      </c>
      <c r="Q269" s="3">
        <f>2032+(63.8-205.6)+(-2.07264+(-0.065076--0.209712))+0-69.3--0.070686000000011</f>
        <v>1819.042682</v>
      </c>
      <c r="R269" s="3">
        <f>2166.5+(75.6-332.5)+(-3.314745+(-0.115668--0.508725))+0-61.7--0.0944010000000036</f>
        <v>1845.072713</v>
      </c>
      <c r="S269" s="3">
        <f>2199.7+(76.9-368.5)+(-3.365541+(-0.117657--0.563805))+0-83.6--0.127908000000005</f>
        <v>1821.708515</v>
      </c>
      <c r="T269" s="3">
        <f>2167.2+(79.1-363.6)+(3.315816+(0.121023-0.556308))+0-79.5-0.121635000000005</f>
        <v>1805.9588959999999</v>
      </c>
      <c r="U269" s="3">
        <f>2080.5+(50.9-212.8)+(0+(0-0))+0-65.4-0</f>
        <v>1853.1999999999998</v>
      </c>
      <c r="V269" s="3">
        <f>2144.3+(53.6-104.9)+(-1.093593+(-0.027336--0.053499))+0-75.4--0.0384539999999924</f>
        <v>2016.5710239999999</v>
      </c>
      <c r="W269" s="3">
        <f>2266.6+(33.9-128.3)+(2.311932+(0.034578-0.130866))+0-69.7-0.0710940000000111</f>
        <v>2104.64455</v>
      </c>
      <c r="X269" s="3">
        <f>2325.1+(0-217.9)+(-4.743204+(0--0.444516))+0-42.4--0.0864959999999981</f>
        <v>2060.5878079999998</v>
      </c>
      <c r="Y269" s="3">
        <f>2323+(0-203.7)+(-7.10838+(0--0.623322))+0-88.1--0.26958600000001</f>
        <v>2024.9845280000002</v>
      </c>
      <c r="Z269" s="3">
        <f>2314.1+(53.8-284.7)+(-1.180191+(-0.027438--0.145197))+0-90--0.0458999999999909</f>
        <v>1992.1834679999997</v>
      </c>
      <c r="AA269" s="3">
        <f>2268.4+(86.4-339.6)+(-4.627536+(-0.176256--0.692784))+0-94.8--0.193391999999996</f>
        <v>1916.4823839999999</v>
      </c>
      <c r="AB269" s="3">
        <f>2184.7+(91.2-248)+(-4.456788+(-0.186048--0.50592))+0-97.3--0.198491999999996</f>
        <v>1926.661576</v>
      </c>
      <c r="AC269" s="3">
        <f>2086.2+(113.4-236.6)+(-4.255848+(-0.231336--0.482664))+0-60.6--0.123623999999997</f>
        <v>1898.519104</v>
      </c>
      <c r="AD269">
        <v>2042.3000000000002</v>
      </c>
      <c r="AE269" s="3">
        <f>2244+(0-177.6)+(0+(0-0))+0-24.1-0</f>
        <v>2042.3000000000002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1812.9+(92.1-252.2)+(-4.622895+(-0.234855--0.64311))+0-65.1--0.166004999999991</f>
        <v>1583.6513650000004</v>
      </c>
      <c r="G270" s="3">
        <f>1685.8+(119.7-178.3)+(-0.859758+(-0.061047--0.090933))+0-102.5--0.0522749999999896</f>
        <v>1523.922403</v>
      </c>
      <c r="H270" s="3">
        <f>1687.5+(129.1-229)+(-2.581875+(-0.197523--0.35037))+0-93.3--0.142749000000005</f>
        <v>1492.013721</v>
      </c>
      <c r="I270" s="3">
        <f>1709.1+(121.5-256.2)+(2.614923+(0.185895-0.391986))+0-92.6-0.141678000000005</f>
        <v>1484.0671540000001</v>
      </c>
      <c r="J270" s="3">
        <f>1758.3+(105.1-291.4)+(0.896733+(0.053601-0.148614))+0-93-0.0474299999999906</f>
        <v>1479.7542899999999</v>
      </c>
      <c r="K270" s="3">
        <f>1899.2+(29.6-336.3)+(2.905776+(0.045288-0.514539))+0-92.1-0.140913000000005</f>
        <v>1502.6956120000002</v>
      </c>
      <c r="L270" s="3">
        <f>2037.3+(18.3-448)+(1.039023+(0.009333-0.22848))+0-98.6-0.05028599999999</f>
        <v>1509.7695900000001</v>
      </c>
      <c r="M270" s="3">
        <f>2081.1+(52.8-453)+(1.061361+(0.026928-0.23103))+0-78.8-0.040187999999992</f>
        <v>1602.9170710000001</v>
      </c>
      <c r="N270" s="3">
        <f>2143+(74.8-391.5)+(1.09293+(0.038148-0.199665))+0-91.4-0.0466139999999907</f>
        <v>1735.7847989999998</v>
      </c>
      <c r="O270" s="3">
        <f>2139.3+(91.5-336.9)+(-1.091043+(-0.046665--0.171819))+0-82.7--0.0421769999999916</f>
        <v>1810.276288</v>
      </c>
      <c r="P270" s="3">
        <f>2140.2+(102.5-302.7)+(-2.183004+(-0.10455--0.308754))+0-86.3--0.0880260000000138</f>
        <v>1851.8092259999999</v>
      </c>
      <c r="Q270" s="3">
        <f>2229+(118.1-293.1)+(-4.54716+(-0.240924--0.597924))+0-90.1--0.183803999999996</f>
        <v>1959.893644</v>
      </c>
      <c r="R270" s="3">
        <f>2212.9+(122.4-303.2)+(-6.771474+(-0.374544--0.927792))+0-86.6--0.26499600000001</f>
        <v>1939.5467700000004</v>
      </c>
      <c r="S270" s="3">
        <f>2218.1+(121.2-376.3)+(0+(0-0))+0-87.9-0</f>
        <v>1875.1</v>
      </c>
      <c r="T270" s="3">
        <f>2183.8+(111.8-456.1)+(-4.454952+(-0.228072--0.930444))+0-85.5--0.174419999999996</f>
        <v>1750.4218400000002</v>
      </c>
      <c r="U270" s="3">
        <f>2149.3+(102.5-431.3)+(0+(0-0))+0-86.9-0</f>
        <v>1733.6000000000001</v>
      </c>
      <c r="V270" s="3">
        <f>2196.6+(51.3-299.6)+(0+(0-0))+0-62.8-0</f>
        <v>1885.5</v>
      </c>
      <c r="W270" s="3">
        <f>2326.7+(21.4-231.2)+(0+(0-0))+0-88.8-0</f>
        <v>2028.0999999999997</v>
      </c>
      <c r="X270" s="3">
        <f>2335.9+(20.5-269.3)+(-4.765236+(-0.04182--0.549372))+0-92--0.187679999999996</f>
        <v>1991.0299959999998</v>
      </c>
      <c r="Y270" s="3">
        <f>2333.9+(38.4-319.8)+(-3.570867+(-0.058752--0.489294))+0-84.3--0.128979000000005</f>
        <v>1965.1886540000003</v>
      </c>
      <c r="Z270" s="3">
        <f>2336.3+(76.1-403.9)+(-1.191513+(-0.038811--0.205989))+0-89.9--0.0458489999999909</f>
        <v>1917.6215140000002</v>
      </c>
      <c r="AA270" s="3">
        <f>2319.9+(130.8-475.1)+(-4.732596+(-0.266832--0.969204))+0-32.4--0.0660959999999986</f>
        <v>1939.235872</v>
      </c>
      <c r="AB270" s="3">
        <f>2225.2+(135-317.9)+(-5.67426+(-0.34425--0.810645))+0-81.6--0.208079999999988</f>
        <v>1955.7002149999996</v>
      </c>
      <c r="AC270" s="3">
        <f>2221.9+(119.6-424.6)+(-5.665845+(-0.30498--1.08273))+0-48.3--0.123164999999993</f>
        <v>1863.8350700000001</v>
      </c>
      <c r="AD270">
        <v>2040.9</v>
      </c>
      <c r="AE270" s="3">
        <f>2339+(21.6-205.6)+(0+(0-0))+0-114.1-0</f>
        <v>2040.9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1992.6+(119-427.8)+(-2.032452+(-0.12138--0.436356))+0-92.9--0.0947580000000148</f>
        <v>1589.2772819999998</v>
      </c>
      <c r="G271" s="3">
        <f>1977.1+(128-480.3)+(-4.033284+(-0.26112--0.979812))+0-93.7--0.191147999999996</f>
        <v>1527.9765559999998</v>
      </c>
      <c r="H271" s="3">
        <f>1969.9+(129.8-515.6)+(-1.004649+(-0.066198--0.262956))+0-94.6--0.0482459999999904</f>
        <v>1488.7403550000004</v>
      </c>
      <c r="I271" s="3">
        <f>1823.7+(122.9-405.4)+(-1.860174+(-0.125358--0.413508))+0-85.8--0.0875160000000137</f>
        <v>1453.9154920000001</v>
      </c>
      <c r="J271" s="3">
        <f>1837.3+(122.9-417.9)+(0.937023+(0.062679-0.213129))+0-92.8-0.0473279999999906</f>
        <v>1450.2392450000002</v>
      </c>
      <c r="K271" s="3">
        <f>1837.3+(93.1-382.8)+(0+(0-0))+0-95.2-0</f>
        <v>1452.3999999999999</v>
      </c>
      <c r="L271" s="3">
        <f>1832.2+(25-357.5)+(-0.934422+(-0.01275--0.182325))+0-87.1--0.0444209999999912</f>
        <v>1411.8795740000003</v>
      </c>
      <c r="M271" s="3">
        <f>1808+(12.3-360.7)+(-6.45456+(-0.043911--1.287699))+0-48.7--0.173859000000001</f>
        <v>1405.863087</v>
      </c>
      <c r="N271" s="3">
        <f>1842+(37.3-323.6)+(1.87884+(0.038046-0.330072))+0-96.6-0.0985320000000154</f>
        <v>1460.5882820000002</v>
      </c>
      <c r="O271" s="3">
        <f>1875.9+(26.2-293)+(0+(0-0))+0-82.6-0</f>
        <v>1526.5000000000002</v>
      </c>
      <c r="P271" s="3">
        <f>1989.7+(41-349.1)+(-4.058988+(-0.08364--0.712164))+0-75--0.152999999999997</f>
        <v>1603.3225359999999</v>
      </c>
      <c r="Q271" s="3">
        <f>1947.1+(52.1-331.4)+(-1.986042+(-0.053142--0.338028))+0-65.8--0.0671160000000105</f>
        <v>1600.3659599999999</v>
      </c>
      <c r="R271" s="3">
        <f>1984.3+(62.3-333.3)+(-5.059965+(-0.158865--0.849915))+0-93.5--0.238424999999986</f>
        <v>1615.6695099999999</v>
      </c>
      <c r="S271" s="3">
        <f>1992.6+(75.4-385)+(-3.048678+(-0.115362--0.58905))+0-74.4--0.113832000000004</f>
        <v>1606.1388419999998</v>
      </c>
      <c r="T271" s="3">
        <f>1996.7+(112.7-430.2)+(-2.036634+(-0.114954--0.438804))+0-85.8--0.0875160000000137</f>
        <v>1591.7747320000001</v>
      </c>
      <c r="U271" s="3">
        <f>2004.7+(79.3-441.9)+(1.022397+(0.040443-0.225369))+0-62.3-0.0317729999999937</f>
        <v>1580.6056980000003</v>
      </c>
      <c r="V271" s="3">
        <f>2081.6+(9.4-329.5)+(2.123232+(0.009588-0.33609))+0-42.2-0.0430440000000067</f>
        <v>1721.053686</v>
      </c>
      <c r="W271" s="3">
        <f>2434.8+(0-443.7)+(0+(0-0))+0-98.4-0</f>
        <v>1892.7</v>
      </c>
      <c r="X271" s="3">
        <f>2338.5+(4.1-359.9)+(-5.963175+(-0.010455--0.917745))+0-93.2--0.237659999999986</f>
        <v>1884.681775</v>
      </c>
      <c r="Y271" s="3">
        <f>2226.2+(27.7-289.8)+(1.135362+(0.014127-0.147798))+0-92.1-0.0469709999999907</f>
        <v>1872.95472</v>
      </c>
      <c r="Z271" s="3">
        <f>2206.5+(56.9-377.3)+(-2.25063+(-0.058038--0.384846))+0-32.5--0.0331500000000052</f>
        <v>1851.7093279999999</v>
      </c>
      <c r="AA271" s="3">
        <f>2178.1+(107.3-406.6)+(-5.554155+(-0.273615--1.03683))+0-64.6--0.164729999999991</f>
        <v>1809.5737899999999</v>
      </c>
      <c r="AB271" s="3">
        <f>2044.9+(123.2-341.7)+(-3.128697+(-0.188496--0.522801))+0-55--0.0841500000000032</f>
        <v>1768.689758</v>
      </c>
      <c r="AC271" s="3">
        <f>2030.6+(89.3-359.4)+(-5.17803+(-0.227715--0.91647))+0-93.1--0.237404999999986</f>
        <v>1663.1481300000003</v>
      </c>
      <c r="AD271">
        <v>1847.3999999999999</v>
      </c>
      <c r="AE271" s="3">
        <f>2393+(0-442.7)+(0+(0-0))+0-102.9-0</f>
        <v>1847.3999999999999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1996.8+(115.1-516)+(0+(0-0))+0-75.9-0</f>
        <v>1520</v>
      </c>
      <c r="G272" s="3">
        <f>1881.7+(120.9-446.5)+(-3.838668+(-0.246636--0.91086))+0-83.8--0.170951999999996</f>
        <v>1469.2965079999999</v>
      </c>
      <c r="H272" s="3">
        <f>1853.2+(116.4-439)+(-4.72566+(-0.29682--1.11945))+0-91.4--0.233069999999987</f>
        <v>1435.5300399999999</v>
      </c>
      <c r="I272" s="3">
        <f>1861+(114.7-460.6)+(2.84733+(0.175491-0.704718))+0-87.1-0.133263000000005</f>
        <v>1430.1848400000001</v>
      </c>
      <c r="J272" s="3">
        <f>1842.4+(113.5-438.4)+(0+(0-0))+0-76.7-0</f>
        <v>1440.8</v>
      </c>
      <c r="K272" s="3">
        <f>1873+(84.4-413.3)+(2.86569+(0.129132-0.632349))+0-88.5-0.135405000000005</f>
        <v>1457.8270679999998</v>
      </c>
      <c r="L272" s="3">
        <f>1946.5+(61.2-407.8)+(-0.992715+(-0.031212--0.207978))+0-94.6--0.0482459999999904</f>
        <v>1504.5322970000002</v>
      </c>
      <c r="M272" s="3">
        <f>2070.1+(16.1-397.6)+(1.055751+(0.008211-0.202776))+0-87.7-0.0447269999999911</f>
        <v>1601.716459</v>
      </c>
      <c r="N272" s="3">
        <f>2220.9+(16.1-425.2)+(-1.132659+(-0.008211--0.216852))+0-86.9--0.0443189999999912</f>
        <v>1724.0203010000002</v>
      </c>
      <c r="O272" s="3">
        <f>2337.6+(21.5-452.4)+(-3.576528+(-0.032895--0.692172))+0-85.1--0.130203000000005</f>
        <v>1818.8129519999998</v>
      </c>
      <c r="P272" s="3">
        <f>2383.2+(28.5-465.8)+(-3.646296+(-0.043605--0.712674))+0-79.5--0.121635000000005</f>
        <v>1863.5444079999997</v>
      </c>
      <c r="Q272" s="3">
        <f>2411.3+(47.1-464.6)+(-3.689289+(-0.072063--0.710838))+0-88.8--0.135864000000005</f>
        <v>1902.0853500000003</v>
      </c>
      <c r="R272" s="3">
        <f>2460+(48.1-507.1)+(-3.7638+(-0.073593--0.775863))+0-92.1--0.140913000000005</f>
        <v>1905.9793830000001</v>
      </c>
      <c r="S272" s="3">
        <f>2304.6+(54.5-498.9)+(-2.350692+(-0.05559--0.508878))+0-77.4--0.0789480000000123</f>
        <v>1780.9815439999998</v>
      </c>
      <c r="T272" s="3">
        <f>2357.7+(82.2-484.6)+(-4.809708+(-0.167688--0.988584))+0-71.3--0.145451999999997</f>
        <v>1880.1566399999997</v>
      </c>
      <c r="U272" s="3">
        <f>2305.1+(59.7-426.1)+(-1.175601+(-0.030447--0.217311))+0-85--0.0433499999999914</f>
        <v>1852.7546129999998</v>
      </c>
      <c r="V272" s="3">
        <f>2427.4+(17.9-359.5)+(-1.237974+(-0.009129--0.183345))+0-91.3--0.0465629999999907</f>
        <v>1993.4828050000003</v>
      </c>
      <c r="W272" s="3">
        <f>2660.1+(6.5-432.9)+(-1.356651+(-0.003315--0.220779))+0-76.6--0.0390659999999922</f>
        <v>2155.9998789999995</v>
      </c>
      <c r="X272" s="3">
        <f>2661.4+(4.7-476.2)+(-5.429256+(-0.009588--0.971448))+0-92.4--0.188495999999996</f>
        <v>2093.2211000000002</v>
      </c>
      <c r="Y272" s="3">
        <f>2635.5+(13.4-514.7)+(-6.720525+(-0.03417--1.312485))+0-74.9--0.190994999999989</f>
        <v>2054.0487849999995</v>
      </c>
      <c r="Z272" s="3">
        <f>2554.2+(53.5-500.1)+(-6.51321+(-0.136425--1.275255))+0-94.6--0.241229999999986</f>
        <v>2007.8668499999999</v>
      </c>
      <c r="AA272" s="3">
        <f>2425.5+(91.8-523.1)+(-3.711015+(-0.140454--0.800343))+0-58.5--0.0895050000000034</f>
        <v>1932.7383789999999</v>
      </c>
      <c r="AB272" s="3">
        <f>2307.5+(109.9-470)+(-5.884125+(-0.280245--1.1985))+0-87.4--0.222869999999987</f>
        <v>1855.2570000000001</v>
      </c>
      <c r="AC272" s="3">
        <f>2175.5+(104.5-482.3)+(-5.547525+(-0.266475--1.229865))+0-62.3--0.158864999999991</f>
        <v>1730.9747299999999</v>
      </c>
      <c r="AD272">
        <v>2071.7999999999997</v>
      </c>
      <c r="AE272" s="3">
        <f>2616+(6.2-446.8)+(0+(0-0))+0-103.6-0</f>
        <v>2071.8000000000002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2075.5+(108.9-495.8)+(0+(0-0))+0-98.3-0</f>
        <v>1590.3</v>
      </c>
      <c r="G273" s="3">
        <f>1895.1+(118-401.2)+(0+(0-0))+0-89.6-0</f>
        <v>1522.3</v>
      </c>
      <c r="H273" s="3">
        <f>1895.9+(122.2-430.8)+(0+(0-0))+0-85.3-0</f>
        <v>1502.0000000000002</v>
      </c>
      <c r="I273" s="3">
        <f>1872.2+(123.6-424.6)+(0+(0-0))+0-91.8-0</f>
        <v>1479.4</v>
      </c>
      <c r="J273" s="3">
        <f>1841.3+(114.7-431.2)+(0+(0-0))+0-37.5-0</f>
        <v>1487.3</v>
      </c>
      <c r="K273" s="3">
        <f>1895.5+(107.5-393.5)+(0+(0-0))+0-82.8-0</f>
        <v>1526.7</v>
      </c>
      <c r="L273" s="3">
        <f>1940.7+(74-407.9)+(0+(0-0))+0-54-0</f>
        <v>1552.8000000000002</v>
      </c>
      <c r="M273" s="3">
        <f>2150.7+(65.6-463.4)+(0+(0-0))+0-98.5-0</f>
        <v>1654.3999999999999</v>
      </c>
      <c r="N273" s="3">
        <f>2273.5+(76.9-534.5)+(0+(0-0))+0-79.5-0</f>
        <v>1736.4</v>
      </c>
      <c r="O273" s="3">
        <f>2354+(94.8-545.3)+(-2.40108+(-0.096696--0.556206))+0-89.3--0.0910860000000142</f>
        <v>1812.349516</v>
      </c>
      <c r="P273" s="3">
        <f>2365+(108.2-515.6)+(-3.61845+(-0.165546--0.788868))+0-82.5--0.126225000000005</f>
        <v>1872.2310969999999</v>
      </c>
      <c r="Q273" s="3">
        <f>2382.3+(102.2-509.2)+(-3.644919+(-0.156366--0.779076))+0-80.7--0.123471000000005</f>
        <v>1891.7012620000003</v>
      </c>
      <c r="R273" s="3">
        <f>2342+(109.1-498.4)+(-4.77768+(-0.222564--1.016736))+0-81.6--0.166463999999996</f>
        <v>1867.282956</v>
      </c>
      <c r="S273" s="3">
        <f>2284.5+(108.7-452.7)+(-5.825475+(-0.277185--1.154385))+0-84.1--0.214454999999988</f>
        <v>1851.6661800000002</v>
      </c>
      <c r="T273" s="3">
        <f>2223.2+(101.3-401.3)+(0+(0-0))+0-91-0</f>
        <v>1832.1999999999998</v>
      </c>
      <c r="U273" s="3">
        <f>2219.3+(96.8-408.6)+(-5.659215+(-0.24684--1.04193))+0-85--0.216749999999988</f>
        <v>1817.8526250000002</v>
      </c>
      <c r="V273" s="3">
        <f>2272.6+(41.8-278)+(-1.159026+(-0.021318--0.14178))+0-69.7--0.0355469999999929</f>
        <v>1965.6969829999998</v>
      </c>
      <c r="W273" s="3">
        <f>2514.3+(17.5-350.5)+(1.282293+(0.008925-0.178755))+0-89.3-0.0455429999999909</f>
        <v>2093.0669199999998</v>
      </c>
      <c r="X273" s="3">
        <f>2571.4+(14.5-463)+(-2.622828+(-0.01479--0.47226))+0-72.3--0.0737460000000115</f>
        <v>2048.5083879999997</v>
      </c>
      <c r="Y273" s="3">
        <f>2571.5+(23.4-498.6)+(-2.62293+(-0.023868--0.508572))+0-74.7--0.0761940000000119</f>
        <v>2019.5379680000001</v>
      </c>
      <c r="Z273" s="3">
        <f>2569.4+(54-553.7)+(-5.241576+(-0.11016--1.129548))+0-83.3--0.169931999999996</f>
        <v>1982.3477439999997</v>
      </c>
      <c r="AA273" s="3">
        <f>2499.9+(94.1-616)+(-5.099796+(-0.191964--1.25664))+0-84.4--0.172175999999996</f>
        <v>1889.7370559999999</v>
      </c>
      <c r="AB273" s="3">
        <f>2208.3+(92.6-390.6)+(-3.378699+(-0.141678--0.597618))+0-85--0.130050000000005</f>
        <v>1822.5072910000001</v>
      </c>
      <c r="AC273" s="3">
        <f>1947.2+(98.4-254.4)+(-3.972288+(-0.200736--0.518976))+0-88.6--0.180743999999996</f>
        <v>1699.126696</v>
      </c>
      <c r="AD273">
        <v>2084.1</v>
      </c>
      <c r="AE273" s="3">
        <f>2557+(13-389.8)+(0+(0-0))+0-96.1-0</f>
        <v>2084.1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1951.7+(97.8-372.5)+(-2.986101+(-0.149634--0.569925))+0-84.4--0.129132000000005</f>
        <v>1590.1633219999999</v>
      </c>
      <c r="G274" s="3">
        <f>1930.7+(111.8-414.3)+(-4.923285+(-0.28509--1.056465))+0-84.2--0.214709999999988</f>
        <v>1540.0627999999999</v>
      </c>
      <c r="H274" s="3">
        <f>1919.5+(115.9-446)+(-0.978945+(-0.059109--0.22746))+0-83--0.0423299999999916</f>
        <v>1505.631736</v>
      </c>
      <c r="I274" s="3">
        <f>1926.3+(106.6-430.1)+(0+(0-0))+0-88.3-0</f>
        <v>1514.5</v>
      </c>
      <c r="J274" s="3">
        <f>1941.1+(80.7-424.8)+(0.989961+(0.041157-0.216648))+0-84.2-0.0429419999999915</f>
        <v>1513.5715279999999</v>
      </c>
      <c r="K274" s="3">
        <f>2052.5+(0-419.2)+(4.1871+(0-0.855168))+0-88.7-0.180947999999996</f>
        <v>1547.750984</v>
      </c>
      <c r="L274" s="3">
        <f>2090+(0-477.6)+(3.1977+(0-0.730728))+0-31.3-0.0478890000000018</f>
        <v>1583.5190830000001</v>
      </c>
      <c r="M274" s="3">
        <f>2111+(0-431.7)+(0+(0-0))+0-64.7-0</f>
        <v>1614.6</v>
      </c>
      <c r="N274" s="3">
        <f>2212.1+(0-374.2)+(-1.128171+(0--0.190842))+0-85.8--0.0437579999999913</f>
        <v>1751.2064289999998</v>
      </c>
      <c r="O274" s="3">
        <f>2258.1+(0-378.3)+(-2.303262+(0--0.385866))+0-52.1--0.0531420000000083</f>
        <v>1825.835746</v>
      </c>
      <c r="P274" s="3">
        <f>2421.8+(6.5-519.1)+(-2.470236+(-0.00663--0.529482))+0-62.2--0.0634440000000099</f>
        <v>1845.1160600000003</v>
      </c>
      <c r="Q274" s="3">
        <f>2434.4+(28.5-529.5)+(-4.966176+(-0.05814--1.08018))+0-54.2--0.110567999999998</f>
        <v>1875.366432</v>
      </c>
      <c r="R274" s="3">
        <f>2317.7+(39.1-497)+(-3.546081+(-0.059823--0.76041))+0-22.3--0.0341190000000013</f>
        <v>1834.6886249999998</v>
      </c>
      <c r="S274" s="3">
        <f>2238.7+(36.7-395.9)+(-2.283474+(-0.037434--0.403818))+0-50.5--0.051510000000008</f>
        <v>1827.1344199999999</v>
      </c>
      <c r="T274" s="3">
        <f>2222.3+(31.7-399.5)+(-2.266746+(-0.032334--0.40749))+0-85.7--0.0874140000000137</f>
        <v>1766.9958240000003</v>
      </c>
      <c r="U274" s="3">
        <f>2236.4+(0-420.7)+(-1.140564+(0--0.214557))+0-60.3--0.0307529999999939</f>
        <v>1754.5047460000001</v>
      </c>
      <c r="V274" s="3">
        <f>2334.9+(0-320.8)+(-1.190799+(0--0.163608))+0-87.3--0.0445229999999911</f>
        <v>1925.8173320000003</v>
      </c>
      <c r="W274" s="3">
        <f>2552.1+(0-405.6)+(2.603142+(0-0.413712))+0-77.5-0.0790500000000124</f>
        <v>2071.1103800000001</v>
      </c>
      <c r="X274" s="3">
        <f>2562.5+(0-440.4)+(0+(0-0))+0-82.4-0</f>
        <v>2039.6999999999998</v>
      </c>
      <c r="Y274" s="3">
        <f>2525.7+(0-418.4)+(-7.728642+(0--1.280304))+0-80.7--0.246942000000009</f>
        <v>2020.3986039999995</v>
      </c>
      <c r="Z274" s="3">
        <f>2342.2+(0-313.2)+(0+(0-0))+0-77.5-0</f>
        <v>1951.4999999999998</v>
      </c>
      <c r="AA274" s="3">
        <f>2268+(1.9-317.5)+(-3.47004+(-0.002907--0.485775))+0-87.9--0.134487000000005</f>
        <v>1861.6473149999999</v>
      </c>
      <c r="AB274" s="3">
        <f>2157+(55.6-340.9)+(-4.40028+(-0.113424--0.695436))+0-76.9--0.156875999999997</f>
        <v>1791.138608</v>
      </c>
      <c r="AC274" s="3">
        <f>2093.3+(90.5-438.1)+(-5.337915+(-0.230775--1.117155))+0-59.7--0.152234999999991</f>
        <v>1681.7007000000003</v>
      </c>
      <c r="AD274">
        <v>2054.7999999999997</v>
      </c>
      <c r="AE274" s="3">
        <f>2589+(0-443.9)+(0+(0-0))+0-90.3-0</f>
        <v>2054.7999999999997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2076.5+(120.1-524)+(-4.23606+(-0.245004--1.06896))+0-77.5--0.158099999999997</f>
        <v>1591.845996</v>
      </c>
      <c r="G275" s="3">
        <f>1933.1+(112.8-440.5)+(-1.971762+(-0.115056--0.44931))+0-86.6--0.0883320000000138</f>
        <v>1517.250824</v>
      </c>
      <c r="H275" s="3">
        <f>1851.9+(105-374.5)+(-0.944469+(-0.05355--0.190995))+0-82.9--0.0422789999999916</f>
        <v>1498.7352550000001</v>
      </c>
      <c r="I275" s="3">
        <f>1863+(106.6-442.6)+(0.95013+(0.054366-0.225726))+0-47.8-0.0243779999999952</f>
        <v>1479.9543919999999</v>
      </c>
      <c r="J275" s="3">
        <f>1814.4+(87.4-339.8)+(-5.552064+(-0.267444--1.039788))+0-71.6--0.219096000000008</f>
        <v>1485.8393760000001</v>
      </c>
      <c r="K275" s="3">
        <f>1856.9+(12.3-337.2)+(3.788076+(0.025092-0.687888))+0-32-0.0652799999999986</f>
        <v>1503.06</v>
      </c>
      <c r="L275" s="3">
        <f>2025.2+(0-436)+(2.065704+(0-0.44472))+0-66.5-0.0678300000000106</f>
        <v>1524.253154</v>
      </c>
      <c r="M275" s="3">
        <f>1983.7+(0-385.1)+(-5.058435+(0--0.982005))+0-20.8--0.053039999999997</f>
        <v>1573.7766099999999</v>
      </c>
      <c r="N275" s="3">
        <f>2010+(0-308.3)+(1.0251+(0-0.157233))+0-18.2-0.00928199999999815</f>
        <v>1684.3585849999999</v>
      </c>
      <c r="O275" s="3">
        <f>2023.3+(4.1-230.3)+(-2.063766+(-0.004182--0.234906))+0-20.7--0.0211140000000033</f>
        <v>1774.5880719999998</v>
      </c>
      <c r="P275" s="3">
        <f>2173.3+(0-336.7)+(1.108383+(0-0.171717))+0-19.2-0.00979199999999805</f>
        <v>1818.3268740000001</v>
      </c>
      <c r="Q275" s="3">
        <f>2206.5+(0-356.4)+(-1.125315+(0--0.181764))+0-19.2--0.00979199999999805</f>
        <v>1829.9662409999999</v>
      </c>
      <c r="R275" s="3">
        <f>2087.1+(35.3-293.3)+(-5.322105+(-0.090015--0.747915))+0-18.3--0.0466649999999973</f>
        <v>1806.18246</v>
      </c>
      <c r="S275" s="3">
        <f>2091.8+(64.4-358.3)+(-3.200454+(-0.098532--0.548199))+0-19.9--0.0304470000000011</f>
        <v>1775.2796600000001</v>
      </c>
      <c r="T275" s="3">
        <f>2093.2+(29.8-350.5)+(-1.067532+(-0.015198--0.178755))+0-23.7--0.0120869999999976</f>
        <v>1747.9081119999998</v>
      </c>
      <c r="U275" s="3">
        <f>2114.5+(0-305.1)+(4.31358+(0-0.622404))+0-57.2-0.116687999999998</f>
        <v>1755.774488</v>
      </c>
      <c r="V275" s="3">
        <f>2309+(0-308.6)+(-2.35518+(0--0.314772))+0-80.6--0.0822120000000128</f>
        <v>1917.8418040000001</v>
      </c>
      <c r="W275" s="3">
        <f>2506.5+(0-343.4)+(1.278315+(0-0.175134))+0-89.5-0.0456449999999909</f>
        <v>2074.6575359999997</v>
      </c>
      <c r="X275" s="3">
        <f>2569.5+(0-447.3)+(-5.24178+(0--0.912492))+0-76.4--0.155855999999997</f>
        <v>2041.6265679999999</v>
      </c>
      <c r="Y275" s="3">
        <f>2562.1+(0-493.5)+(-5.226684+(0--1.00674))+0-58.4--0.119135999999997</f>
        <v>2006.0991919999999</v>
      </c>
      <c r="Z275" s="3">
        <f>2408+(0-427)+(-3.68424+(0--0.65331))+0-28.7--0.0439110000000017</f>
        <v>1949.312981</v>
      </c>
      <c r="AA275" s="3">
        <f>2356.4+(6.8-417.5)+(-3.605292+(-0.010404--0.638775))+0-81.3--0.124389000000005</f>
        <v>1861.5474680000002</v>
      </c>
      <c r="AB275" s="3">
        <f>2292.3+(72.9-477.3)+(-3.507219+(-0.111537--0.730269))+0-89.7--0.137241000000005</f>
        <v>1795.448754</v>
      </c>
      <c r="AC275" s="3">
        <f>1872.9+(114.7-225.6)+(-4.775895+(-0.292485--0.57528))+0-87.7--0.223634999999987</f>
        <v>1670.0305350000001</v>
      </c>
      <c r="AD275">
        <v>2110.9</v>
      </c>
      <c r="AE275" s="3">
        <f>2600+(0-389.1)+(0+(0-0))+0-100-0</f>
        <v>2110.9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1746.1+(85.2-177.4)+(-2.671533+(-0.130356--0.271422))+0-89.5--0.136935000000005</f>
        <v>1562.0064679999998</v>
      </c>
      <c r="G276" s="3">
        <f>1751+(77.7-230.4)+(-1.78602+(-0.079254--0.235008))+0-90.7--0.0925140000000145</f>
        <v>1506.062248</v>
      </c>
      <c r="H276" s="3">
        <f>1698.9+(115.5-245)+(-1.732878+(-0.11781--0.2499))+0-95.4--0.0973080000000152</f>
        <v>1472.4965200000001</v>
      </c>
      <c r="I276" s="3">
        <f>1666.1+(127.2-242)+(0.849711+(0.064872-0.12342))+0-87.9-0.0448289999999911</f>
        <v>1464.146334</v>
      </c>
      <c r="J276" s="3">
        <f>1698.9+(96.4-236.9)+(0.866439+(0.049164-0.120819))+0-95-0.0484499999999904</f>
        <v>1464.146334</v>
      </c>
      <c r="K276" s="3">
        <f>1770.9+(7.1-200.7)+(0.903159+(0.003621-0.102357))+0-85.5-0.0436049999999913</f>
        <v>1492.5608180000002</v>
      </c>
      <c r="L276" s="3">
        <f>1904.8+(0-281)+(0.971448+(0-0.14331))+0-96.2-0.0490619999999902</f>
        <v>1528.3790759999999</v>
      </c>
      <c r="M276" s="3">
        <f>1826.1+(0-149.3)+(-1.862622+(0--0.152286))+0-98--0.0999600000000156</f>
        <v>1577.1896239999999</v>
      </c>
      <c r="N276" s="3">
        <f>1954.5+(0-199.8)+(2.990385+(0-0.305694))+0-80.2-0.122706000000005</f>
        <v>1677.0619849999998</v>
      </c>
      <c r="O276" s="3">
        <f>2088.7+(9.7-268.6)+(-5.326185+(-0.024735--0.68493))+0-82.8--0.211139999999988</f>
        <v>1742.5451499999997</v>
      </c>
      <c r="P276" s="3">
        <f>2062.5+(28.3-238.2)+(-1.051875+(-0.014433--0.121482))+0-54.7--0.0278969999999945</f>
        <v>1796.9830709999999</v>
      </c>
      <c r="Q276" s="3">
        <f>2018.8+(41.2-224)+(-3.088764+(-0.063036--0.34272))+0-28.3--0.0432990000000016</f>
        <v>1804.934219</v>
      </c>
      <c r="R276" s="3">
        <f>2018+(55.9-246.2)+(-2.05836+(-0.057018--0.251124))+0-30.8--0.0314160000000049</f>
        <v>1795.0671620000001</v>
      </c>
      <c r="S276" s="3">
        <f>2020.9+(69-240)+(-2.061318+(-0.07038--0.2448))+0-82.9--0.0845580000000132</f>
        <v>1765.19766</v>
      </c>
      <c r="T276" s="3">
        <f>2012.1+(66.3-233.4)+(-3.078513+(-0.101439--0.357102))+0-87.1--0.133263000000005</f>
        <v>1755.210413</v>
      </c>
      <c r="U276" s="3">
        <f>2049.3+(31.5-260.2)+(-5.225715+(-0.080325--0.66351))+0-81.4--0.207569999999988</f>
        <v>1734.76504</v>
      </c>
      <c r="V276" s="3">
        <f>2170.6+(0-200.9)+(2.214012+(0-0.204918))+0-81.6-0.083232000000013</f>
        <v>1890.025862</v>
      </c>
      <c r="W276" s="3">
        <f>2369.2+(0-256.2)+(-3.624876+(0--0.391986))+0-76.9--0.117657000000004</f>
        <v>2032.9847669999997</v>
      </c>
      <c r="X276" s="3">
        <f>2387.8+(0-323.8)+(-4.871112+(0--0.660552))+0-80.3--0.163811999999996</f>
        <v>1979.6532520000001</v>
      </c>
      <c r="Y276" s="3">
        <f>2113.8+(6-120.5)+(2.156076+(0.00612-0.12291))+0-85.4-0.0871080000000136</f>
        <v>1915.8521780000001</v>
      </c>
      <c r="Z276" s="3">
        <f>2021.5+(19.5-120.8)+(-4.12386+(-0.03978--0.246432))+0-85.1--0.173603999999996</f>
        <v>1831.3563960000001</v>
      </c>
      <c r="AA276" s="3">
        <f>1867.5+(81.4-101.5)+(-3.8097+(-0.166056--0.20706))+0-78.5--0.160139999999997</f>
        <v>1765.291444</v>
      </c>
      <c r="AB276" s="3">
        <f>1805.9+(121.4-98.8)+(0.921009+(0.061914-0.050388))+0-87.2-0.0444719999999912</f>
        <v>1742.1880629999998</v>
      </c>
      <c r="AC276" s="3">
        <f>1785.1+(101-124.1)+(-0.910401+(-0.05151--0.063291))+0-88.4--0.045083999999991</f>
        <v>1672.7464640000001</v>
      </c>
      <c r="AD276">
        <v>1999.8999999999999</v>
      </c>
      <c r="AE276" s="3">
        <f>2416+(0-325.8)+(0+(0-0))+0-90.3-0</f>
        <v>1999.8999999999999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1774.3+(122.1-295.3)+(-0.904893+(-0.062271--0.150603))+0-25.7--0.0131069999999974</f>
        <v>1574.5965459999998</v>
      </c>
      <c r="G277" s="3">
        <f>1785.8+(119.2-317.9)+(-0.910758+(-0.060792--0.162129))+0-73.6--0.0375359999999925</f>
        <v>1512.7281150000001</v>
      </c>
      <c r="H277" s="3">
        <f>1794.3+(125.3-394.7)+(0+(0-0))+0-61.6-0</f>
        <v>1463.3000000000002</v>
      </c>
      <c r="I277" s="3">
        <f>1773+(121.2-369.4)+(-0.90423+(-0.061812--0.188394))+0-79.2--0.040391999999992</f>
        <v>1444.8627439999998</v>
      </c>
      <c r="J277" s="3">
        <f>1727.4+(95.1-297.9)+(0.880974+(0.048501-0.151929))+0-85.2-0.0434519999999914</f>
        <v>1440.1340940000002</v>
      </c>
      <c r="K277" s="3">
        <f>1728.1+(47.6-238.4)+(0+(0-0))+0-90-0</f>
        <v>1447.3</v>
      </c>
      <c r="L277" s="3">
        <f>1787.3+(17.6-263.1)+(0.911523+(0.008976-0.134181))+0-91.2-0.0465119999999907</f>
        <v>1451.339806</v>
      </c>
      <c r="M277" s="3">
        <f>1879.3+(33.5-343.3)+(0+(0-0))+0-52.7-0</f>
        <v>1516.8</v>
      </c>
      <c r="N277" s="3">
        <f>2025.1+(45.6-357)+(-2.065602+(-0.046512--0.36414))+0-82.9--0.0845580000000132</f>
        <v>1629.1365839999996</v>
      </c>
      <c r="O277" s="3">
        <f>2234.7+(61.2-486.9)+(1.139697+(0.031212-0.248319))+0-79.6-0.0405959999999919</f>
        <v>1730.2819939999997</v>
      </c>
      <c r="P277" s="3">
        <f>2265.9+(69.6-473.9)+(3.466827+(0.106488-0.725067))+0-80.5-0.123165000000005</f>
        <v>1783.8250830000002</v>
      </c>
      <c r="Q277" s="3">
        <f>2279.7+(80.8-481.1)+(-1.162647+(-0.041208--0.245361))+0-84--0.0428399999999915</f>
        <v>1794.484346</v>
      </c>
      <c r="R277" s="3">
        <f>2292.7+(89-535.9)+(-5.846385+(-0.22695--1.366545))+0-83.9--0.213944999999988</f>
        <v>1757.4071549999996</v>
      </c>
      <c r="S277" s="3">
        <f>2293.1+(95.1-567)+(-4.677924+(-0.194004--1.15668))+0-92.9--0.189515999999996</f>
        <v>1724.7742679999997</v>
      </c>
      <c r="T277" s="3">
        <f>2104.5+(90-410.3)+(-1.073295+(-0.0459--0.209253))+0-85.2--0.0434519999999914</f>
        <v>1698.1335099999999</v>
      </c>
      <c r="U277" s="3">
        <f>2094.5+(31-382.8)+(-5.340975+(-0.07905--0.97614))+0-86.9--0.221594999999987</f>
        <v>1651.57771</v>
      </c>
      <c r="V277" s="3">
        <f>2179.3+(0-332.3)+(3.334329+(0-0.508419))+0-47.9-0.0732870000000028</f>
        <v>1801.8526230000002</v>
      </c>
      <c r="W277" s="3">
        <f>2463.7+(0-433.2)+(0+(0-0))+0-74.1-0</f>
        <v>1956.3999999999999</v>
      </c>
      <c r="X277" s="3">
        <f>2504.5+(0-490.9)+(-6.386475+(0--1.251795))+0-88--0.224399999999987</f>
        <v>1920.6897200000001</v>
      </c>
      <c r="Y277" s="3">
        <f>2420.3+(0-418.7)+(-6.171765+(0--1.067685))+0-91.1--0.232304999999987</f>
        <v>1905.6282250000002</v>
      </c>
      <c r="Z277" s="3">
        <f>2198.8+(22-284.6)+(-3.364164+(-0.03366--0.435438))+0-90.5--0.138465000000005</f>
        <v>1842.8760790000003</v>
      </c>
      <c r="AA277" s="3">
        <f>2069.9+(92-263.7)+(-1.055649+(-0.04692--0.134487))+0-94.3--0.0480929999999904</f>
        <v>1802.9800109999999</v>
      </c>
      <c r="AB277" s="3">
        <f>2070.8+(92-362.3)+(-3.168324+(-0.14076--0.554319))+0-92.6--0.141678000000005</f>
        <v>1705.2869130000004</v>
      </c>
      <c r="AC277" s="3">
        <f>2072.5+(109-454.9)+(-2.11395+(-0.11118--0.463998))+0-78.1--0.0796620000000124</f>
        <v>1646.81853</v>
      </c>
      <c r="AD277">
        <v>1990.6000000000001</v>
      </c>
      <c r="AE277" s="3">
        <f>2538+(0-445.2)+(0+(0-0))+0-102.2-0</f>
        <v>1990.6000000000001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1921.7+(118.7-418.4)+(0+(0-0))+0-56.3-0</f>
        <v>1565.7</v>
      </c>
      <c r="G278" s="3">
        <f>1752.3+(122.6-295.1)+(-4.468365+(-0.31263--0.752505))+0-96.5--0.246074999999986</f>
        <v>1479.5175850000001</v>
      </c>
      <c r="H278" s="3">
        <f>1759.6+(109.5-323.7)+(-3.589584+(-0.22338--0.660348))+0-98.3--0.200531999999996</f>
        <v>1444.1479159999999</v>
      </c>
      <c r="I278" s="3">
        <f>1714.7+(119.1-323.2)+(0.874497+(0.060741-0.164832))+0-96.6-0.0492659999999902</f>
        <v>1414.7211400000003</v>
      </c>
      <c r="J278" s="3">
        <f>1585+(113.9-234.6)+(0.80835+(0.058089-0.119646))+0-57.9-0.0295289999999941</f>
        <v>1407.117264</v>
      </c>
      <c r="K278" s="3">
        <f>1589.1+(54.6-131.4)+(0+(0-0))+0-93.5-0</f>
        <v>1418.8</v>
      </c>
      <c r="L278" s="3">
        <f>1617.9+(6.3-175.8)+(-0.825129+(-0.003213--0.089658))+0-63.8--0.0325379999999935</f>
        <v>1383.8938540000001</v>
      </c>
      <c r="M278" s="3">
        <f>1648.1+(25.4-192.4)+(1.681062+(0.025908-0.196248))+0-104.3-0.106386000000017</f>
        <v>1378.204336</v>
      </c>
      <c r="N278" s="3">
        <f>1789.2+(45.7-299.9)+(1.824984+(0.046614-0.305898))+0-95.8-0.0977160000000153</f>
        <v>1440.6679840000002</v>
      </c>
      <c r="O278" s="3">
        <f>1990.7+(43.8-410.3)+(0+(0-0))+0-75.2-0</f>
        <v>1549</v>
      </c>
      <c r="P278" s="3">
        <f>2030.2+(41.4-402.5)+(-2.070804+(-0.042228--0.41055))+0-73.9--0.0753780000000118</f>
        <v>1593.5728959999999</v>
      </c>
      <c r="Q278" s="3">
        <f>2054.9+(43.4-393.5)+(2.095998+(0.044268-0.40137))+0-92.5-0.0943500000000148</f>
        <v>1613.9445460000002</v>
      </c>
      <c r="R278" s="3">
        <f>2040.1+(46.1-408.6)+(-3.121353+(-0.070533--0.625158))+0-81.3--0.124389000000005</f>
        <v>1593.857661</v>
      </c>
      <c r="S278" s="3">
        <f>2031+(48.9-398.9)+(-5.17905+(-0.124695--1.017195))+0-90.2--0.230009999999987</f>
        <v>1586.7434599999999</v>
      </c>
      <c r="T278" s="3">
        <f>2042.5+(49.2-443.4)+(-3.125025+(-0.075276--0.678402))+0-87.6--0.134028000000005</f>
        <v>1558.3121289999999</v>
      </c>
      <c r="U278" s="3">
        <f>2055.6+(33.5-451.1)+(-4.193424+(-0.06834--0.920244))+0-86.3--0.176051999999996</f>
        <v>1548.5345320000001</v>
      </c>
      <c r="V278" s="3">
        <f>2087.4+(7.7-323.3)+(-1.064574+(-0.003927--0.164883))+0-94--0.0479399999999905</f>
        <v>1676.9443220000001</v>
      </c>
      <c r="W278" s="3">
        <f>2101.5+(0-236.4)+(1.071765+(0-0.120564))+0-63.5-0.0323849999999936</f>
        <v>1802.518816</v>
      </c>
      <c r="X278" s="3">
        <f>2117.2+(0-238.4)+(-4.319088+(0--0.486336))+0-85.4--0.174215999999996</f>
        <v>1789.7414639999995</v>
      </c>
      <c r="Y278" s="3">
        <f>2130.5+(0-266.5)+(3.259665+(0-0.407745))+0-88.9-0.136017000000005</f>
        <v>1777.8159029999999</v>
      </c>
      <c r="Z278" s="3">
        <f>2125.9+(5.1-293.5)+(-1.084209+(-0.002601--0.149685))+0-92--0.0469199999999907</f>
        <v>1744.6097950000001</v>
      </c>
      <c r="AA278" s="3">
        <f>2120.9+(44-372.6)+(-3.244977+(-0.06732--0.570078))+0-91.3--0.139689000000005</f>
        <v>1698.3974700000003</v>
      </c>
      <c r="AB278" s="3">
        <f>2024.7+(82.8-385)+(-2.065194+(-0.084456--0.3927))+0-80.8--0.0824160000000129</f>
        <v>1640.0254660000001</v>
      </c>
      <c r="AC278" s="3">
        <f>1858+(104.3-355.8)+(-2.84274+(-0.159579--0.544374))+0-61.8--0.0945540000000036</f>
        <v>1542.336609</v>
      </c>
      <c r="AD278">
        <v>1834.4</v>
      </c>
      <c r="AE278" s="3">
        <f>2148+(0-214.3)+(0+(0-0))+0-99.3-0</f>
        <v>1834.4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1815.4+(111.9-380.9)+(-4.62927+(-0.285345--0.971295))+0-94.5--0.240974999999986</f>
        <v>1448.1976549999999</v>
      </c>
      <c r="G279" s="3">
        <f>1823.6+(114.7-443.7)+(-2.790108+(-0.175491--0.678861))+0-95.7--0.146421000000006</f>
        <v>1396.7596829999998</v>
      </c>
      <c r="H279" s="3">
        <f>1793.3+(119.1-453.7)+(-4.572915+(-0.303705--1.156935))+0-87.5--0.223124999999987</f>
        <v>1367.7034399999998</v>
      </c>
      <c r="I279" s="3">
        <f>1715.9+(111.8-399.1)+(-1.750218+(-0.114036--0.407082))+0-83.2--0.0848640000000133</f>
        <v>1344.0276920000001</v>
      </c>
      <c r="J279" s="3">
        <f>1690.8+(101.4-352.8)+(0+(0-0))+0-93.2-0</f>
        <v>1346.1999999999998</v>
      </c>
      <c r="K279" s="3">
        <f>1726.9+(44.9-305.5)+(-1.761438+(-0.045798--0.31161))+0-85.7--0.0874140000000137</f>
        <v>1379.1917880000003</v>
      </c>
      <c r="L279" s="3">
        <f>1969.4+(7.5-446.7)+(1.004394+(0.003825-0.227817))+0-92.8-0.0473279999999906</f>
        <v>1438.1330740000003</v>
      </c>
      <c r="M279" s="3">
        <f>2062.2+(25.2-459.2)+(2.103444+(0.025704-0.468384))+0-91.3-0.0931260000000146</f>
        <v>1538.4676379999999</v>
      </c>
      <c r="N279" s="3">
        <f>2167.2+(51-527.3)+(1.105272+(0.02601-0.268923))+0-39-0.019889999999996</f>
        <v>1652.7424689999998</v>
      </c>
      <c r="O279" s="3">
        <f>2266.4+(40.9-535.1)+(4.623456+(0.083436-1.091604))+0-39.6-0.0807839999999983</f>
        <v>1736.1345040000001</v>
      </c>
      <c r="P279" s="3">
        <f>2330.3+(54.9-585.4)+(1.188453+(0.027999-0.298554))+0-24.6-0.0125459999999975</f>
        <v>1776.1053520000003</v>
      </c>
      <c r="Q279" s="3">
        <f>2313.2+(54.8-528.2)+(1.179732+(0.027948-0.269382))+0-39.1-0.019940999999996</f>
        <v>1801.6183569999998</v>
      </c>
      <c r="R279" s="3">
        <f>2267.2+(83.7-510.8)+(-5.78136+(-0.213435--1.30254))+0-57--0.145349999999992</f>
        <v>1778.553095</v>
      </c>
      <c r="S279" s="3">
        <f>2285.3+(89.1-534.6)+(1.165503+(0.045441-0.272646))+0-82.8-0.0422279999999916</f>
        <v>1757.8960700000002</v>
      </c>
      <c r="T279" s="3">
        <f>2274.3+(78.7-558.4)+(2.319786+(0.080274-0.569568))+0-84.3-0.0859860000000134</f>
        <v>1712.0445060000002</v>
      </c>
      <c r="U279" s="3">
        <f>2241.5+(56.3-497.8)+(0+(0-0))+0-90.2-0</f>
        <v>1709.8</v>
      </c>
      <c r="V279" s="3">
        <f>2243+(0-263.2)+(-2.28786+(0--0.268464))+0-75.8--0.0773160000000121</f>
        <v>1902.0579200000002</v>
      </c>
      <c r="W279" s="3">
        <f>2336.2+(0-234.9)+(0+(0-0))+0-86.8-0</f>
        <v>2014.4999999999998</v>
      </c>
      <c r="X279" s="3">
        <f>2340.2+(0-280.9)+(-2.387004+(0--0.286518))+0-85.1--0.0868020000000136</f>
        <v>1972.186316</v>
      </c>
      <c r="Y279" s="3">
        <f>2346.3+(0-332.5)+(-4.786452+(0--0.6783))+0-76.6--0.156263999999997</f>
        <v>1933.2481120000002</v>
      </c>
      <c r="Z279" s="3">
        <f>2358.7+(0-361)+(-1.202937+(0--0.18411))+0-91.1--0.0464609999999908</f>
        <v>1905.6276339999997</v>
      </c>
      <c r="AA279" s="3">
        <f>2327.6+(31.5-457.1)+(-2.374152+(-0.03213--0.466242))+0-76.1--0.0776220000000121</f>
        <v>1824.0375820000002</v>
      </c>
      <c r="AB279" s="3">
        <f>2231.7+(73.2-473.8)+(-1.138167+(-0.037332--0.241638))+0-60.7--0.0309569999999938</f>
        <v>1769.4970959999998</v>
      </c>
      <c r="AC279" s="3">
        <f>1886.7+(80.5-222.3)+(-0.962217+(-0.041055--0.113373))+0-94.9--0.0483989999999904</f>
        <v>1649.1585</v>
      </c>
      <c r="AD279">
        <v>2025.1000000000001</v>
      </c>
      <c r="AE279" s="3">
        <f>2353+(0-237.6)+(0+(0-0))+0-90.3-0</f>
        <v>2025.1000000000001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1747.5+(102.3-251)+(-1.78245+(-0.104346--0.25602))+0-51.2--0.0522240000000082</f>
        <v>1546.021448</v>
      </c>
      <c r="G280" s="3">
        <f>1749.5+(109.2-280.3)+(-0.892245+(-0.055692--0.142953))+0-88.6--0.045185999999991</f>
        <v>1489.0402020000001</v>
      </c>
      <c r="H280" s="3">
        <f>1732.6+(105.5-285.3)+(-2.650878+(-0.161415--0.436509))+0-89.7--0.137241000000005</f>
        <v>1460.8614569999997</v>
      </c>
      <c r="I280" s="3">
        <f>1702.2+(111.3-291.5)+(-2.604366+(-0.170289--0.445995))+0-74.4--0.113832000000004</f>
        <v>1445.385172</v>
      </c>
      <c r="J280" s="3">
        <f>1710.5+(107.1-287.1)+(0+(0-0))+0-76.7-0</f>
        <v>1453.8</v>
      </c>
      <c r="K280" s="3">
        <f>1782.9+(65.4-284.9)+(0+(0-0))+0-82.8-0</f>
        <v>1480.6000000000001</v>
      </c>
      <c r="L280" s="3">
        <f>1983.5+(22.2-423.4)+(0+(0-0))+0-74.1-0</f>
        <v>1508.2</v>
      </c>
      <c r="M280" s="3">
        <f>2072+(27.7-421.1)+(2.11344+(0.028254-0.429522))+0-88.8-0.0905760000000142</f>
        <v>1591.4215959999999</v>
      </c>
      <c r="N280" s="3">
        <f>2071.1+(54.6-365.9)+(2.112522+(0.055692-0.373218))+0-84.5-0.0861900000000135</f>
        <v>1677.008806</v>
      </c>
      <c r="O280" s="3">
        <f>2051.8+(77.2-294)+(-1.046418+(-0.039372--0.14994))+0-81.1--0.0413609999999918</f>
        <v>1753.0055110000003</v>
      </c>
      <c r="P280" s="3">
        <f>2065.6+(93.7-279.1)+(0+(0-0))+0-82.3-0</f>
        <v>1797.8999999999999</v>
      </c>
      <c r="Q280" s="3">
        <f>2057.1+(113.4-284.2)+(-3.147363+(-0.173502--0.434826))+0-76.4--0.116892000000004</f>
        <v>1807.1308529999999</v>
      </c>
      <c r="R280" s="3">
        <f>2053.1+(118.1-298.1)+(-2.094162+(-0.120462--0.304062))+0-72--0.0734400000000115</f>
        <v>1799.262878</v>
      </c>
      <c r="S280" s="3">
        <f>2031.6+(120.5-298.8)+(-3.108348+(-0.184365--0.457164))+0-83.8--0.128214000000005</f>
        <v>1766.7926650000002</v>
      </c>
      <c r="T280" s="3">
        <f>1999+(99.4-289.5)+(0+(0-0))+0-83.8-0</f>
        <v>1725.1000000000001</v>
      </c>
      <c r="U280" s="3">
        <f>1941.8+(108.7-238)+(2.970954+(0.166311-0.36414))+0-80.9-0.123777000000005</f>
        <v>1734.2493479999998</v>
      </c>
      <c r="V280" s="3">
        <f>2028.2+(28.1-136.5)+(2.068764+(0.028662-0.13923))+0-51.3-0.0523260000000082</f>
        <v>1870.40587</v>
      </c>
      <c r="W280" s="3">
        <f>2190.3+(12.9-148)+(3.351159+(0.019737-0.22644))+0-41.5-0.0634950000000024</f>
        <v>2016.7809610000002</v>
      </c>
      <c r="X280" s="3">
        <f>2202.6+(15.1-148)+(-2.246652+(-0.015402--0.15096))+0-87.2--0.0889440000000139</f>
        <v>1980.47785</v>
      </c>
      <c r="Y280" s="3">
        <f>2194.9+(27.2-185.9)+(-5.596995+(-0.06936--0.474045))+0-84.8--0.216239999999988</f>
        <v>1946.4239300000002</v>
      </c>
      <c r="Z280" s="3">
        <f>2230.2+(50.1-293.4)+(1.137402+(0.025551-0.149634))+0-72.5-0.0369749999999926</f>
        <v>1915.3763439999998</v>
      </c>
      <c r="AA280" s="3">
        <f>2220.4+(83.7-382.6)+(-3.397212+(-0.128061--0.585378))+0-72.1--0.110313000000004</f>
        <v>1846.570418</v>
      </c>
      <c r="AB280" s="3">
        <f>2229.4+(79.1-463.7)+(-4.547976+(-0.161364--0.945948))+0-72.1--0.147083999999997</f>
        <v>1769.0836920000002</v>
      </c>
      <c r="AC280" s="3">
        <f>2062+(73.9-405.7)+(-4.20648+(-0.150756--0.827628))+0-74.3--0.151571999999997</f>
        <v>1652.521964</v>
      </c>
      <c r="AD280">
        <v>2021.3000000000004</v>
      </c>
      <c r="AE280" s="3">
        <f>2227+(24.3-129.2)+(0+(0-0))+0-100.8-0</f>
        <v>2021.3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1908.7+(94.7-376.6)+(-3.893748+(-0.193188--0.768264))+0-82.8--0.168911999999996</f>
        <v>1540.85024</v>
      </c>
      <c r="G281" s="3">
        <f>1806+(106.6-346.6)+(-1.84212+(-0.108732--0.353532))+0-82.2--0.0838440000000131</f>
        <v>1482.2865239999999</v>
      </c>
      <c r="H281" s="3">
        <f>1720.3+(111.1-299.9)+(-0.877353+(-0.056661--0.152949))+0-81.5--0.0415649999999917</f>
        <v>1449.2605000000001</v>
      </c>
      <c r="I281" s="3">
        <f>1694.2+(110.1-283.3)+(2.592126+(0.168453-0.433449))+0-81.3-0.124389000000005</f>
        <v>1441.9027409999999</v>
      </c>
      <c r="J281" s="3">
        <f>1723.7+(90.8-299)+(0+(0-0))+0-83.1-0</f>
        <v>1432.4</v>
      </c>
      <c r="K281" s="3">
        <f>1797.1+(30.1-286.9)+(5.499126+(0.092106-0.877914))+0-67.6-0.206856000000008</f>
        <v>1477.2064620000001</v>
      </c>
      <c r="L281" s="3">
        <f>1843.5+(0-242.8)+(0+(0-0))+0-82.9-0</f>
        <v>1517.8</v>
      </c>
      <c r="M281" s="3">
        <f>2003.9+(0-346.1)+(2.043978+(0-0.353022))+0-58.7-0.0598740000000094</f>
        <v>1600.731082</v>
      </c>
      <c r="N281" s="3">
        <f>2126.5+(0-328.6)+(0+(0-0))+0-83.8-0</f>
        <v>1714.1000000000001</v>
      </c>
      <c r="O281" s="3">
        <f>2114.9+(0-270.6)+(2.157198+(0-0.276012))+0-74.7-0.0761940000000119</f>
        <v>1771.4049920000002</v>
      </c>
      <c r="P281" s="3">
        <f>2188.4+(0-299.4)+(3.348252+(0-0.458082))+0-66.7-0.102051000000004</f>
        <v>1825.0881189999998</v>
      </c>
      <c r="Q281" s="3">
        <f>2202.3+(0-284.5)+(-1.123173+(0--0.145095))+0-66.5--0.0339149999999933</f>
        <v>1850.3558370000001</v>
      </c>
      <c r="R281" s="3">
        <f>2179+(0-309.3)+(-5.55645+(0--0.788715))+0-67.3--0.17161499999999</f>
        <v>1797.8038800000002</v>
      </c>
      <c r="S281" s="3">
        <f>2212.2+(10.6-355.6)+(-3.384666+(-0.016218--0.544068))+0-85.8--0.131274000000005</f>
        <v>1778.674458</v>
      </c>
      <c r="T281" s="3">
        <f>2248.8+(4.4-442.3)+(1.146888+(0.002244-0.225573))+0-84.2-0.0429419999999915</f>
        <v>1727.5806170000001</v>
      </c>
      <c r="U281" s="3">
        <f>2238.8+(6.3-395.3)+(-1.141788+(-0.003213--0.201603))+0-92.4--0.0471239999999906</f>
        <v>1756.5037260000001</v>
      </c>
      <c r="V281" s="3">
        <f>2313.4+(0-346)+(-2.359668+(0--0.35292))+0-70.2--0.0716040000000112</f>
        <v>1895.264856</v>
      </c>
      <c r="W281" s="3">
        <f>2452+(0-314.7)+(2.50104+(0-0.320994))+0-87.7-0.089454000000014</f>
        <v>2051.6905920000004</v>
      </c>
      <c r="X281" s="3">
        <f>2418.4+(0-330)+(-6.16692+(0--0.8415))+0-85.3--0.217514999999988</f>
        <v>1997.9920950000001</v>
      </c>
      <c r="Y281" s="3">
        <f>2419.9+(0-388.1)+(-1.234149+(0--0.197931))+0-65.2--0.0332519999999934</f>
        <v>1965.5970340000001</v>
      </c>
      <c r="Z281" s="3">
        <f>2247.2+(8.9-259)+(-1.146072+(-0.004539--0.13209))+0-86--0.0438599999999913</f>
        <v>1910.1253389999999</v>
      </c>
      <c r="AA281" s="3">
        <f>2132.1+(45.8-278.9)+(-2.174742+(-0.046716--0.284478))+0-63.1--0.0643620000000101</f>
        <v>1834.0273820000002</v>
      </c>
      <c r="AB281" s="3">
        <f>2019.2+(94.7-250.7)+(-5.14896+(-0.241485--0.639285))+0-91.1--0.232304999999987</f>
        <v>1767.5811450000001</v>
      </c>
      <c r="AC281" s="3">
        <f>1890+(114.8-250)+(-1.9278+(-0.117096--0.255))+0-92--0.0938400000000147</f>
        <v>1661.103944</v>
      </c>
      <c r="AD281">
        <v>2047.8999999999999</v>
      </c>
      <c r="AE281" s="3">
        <f>2447+(0-301.9)+(0+(0-0))+0-97.2-0</f>
        <v>2047.8999999999999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1841.1+(125.4-320)+(-3.755844+(-0.255816--0.6528))+0-83.2--0.169727999999996</f>
        <v>1560.110868</v>
      </c>
      <c r="G282" s="3">
        <f>1845.6+(110.1-368)+(-1.882512+(-0.112302--0.37536))+0-79.8--0.0813960000000127</f>
        <v>1506.361942</v>
      </c>
      <c r="H282" s="3">
        <f>1829.6+(123.9-403.2)+(-3.732384+(-0.252756--0.822528))+0-67.3--0.137291999999997</f>
        <v>1479.9746799999998</v>
      </c>
      <c r="I282" s="3">
        <f>1788.2+(125.8-377.4)+(-3.647928+(-0.256632--0.769896))+0-76.5--0.156059999999997</f>
        <v>1457.1213960000002</v>
      </c>
      <c r="J282" s="3">
        <f>1799.9+(108.2-358.1)+(-1.835898+(-0.110364--0.365262))+0-82.5--0.0841500000000132</f>
        <v>1466.00315</v>
      </c>
      <c r="K282" s="3">
        <f>1803.5+(55.3-294.2)+(0+(0-0))+0-73.8-0</f>
        <v>1490.8</v>
      </c>
      <c r="L282" s="3">
        <f>1882.1+(6.6-336.8)+(-0.959871+(-0.003366--0.171768))+0-24.6--0.0125459999999975</f>
        <v>1526.5210769999999</v>
      </c>
      <c r="M282" s="3">
        <f>2004.9+(23.5-374.7)+(1.022499+(0.011985-0.191097))+0-21.7-0.0110669999999978</f>
        <v>1632.83232</v>
      </c>
      <c r="N282" s="3">
        <f>2204.4+(29-484.6)+(2.248488+(0.02958-0.494292))+0-21.4-0.0218280000000034</f>
        <v>1729.1619480000002</v>
      </c>
      <c r="O282" s="3">
        <f>2250.9+(17.8-437.5)+(2.295918+(0.018156-0.44625))+0-20.2-0.0206040000000032</f>
        <v>1812.8472199999999</v>
      </c>
      <c r="P282" s="3">
        <f>2204.8+(19.3-374.6)+(1.124448+(0.009843-0.191046))+0-19.4-0.00989399999999803</f>
        <v>1831.033351</v>
      </c>
      <c r="Q282" s="3">
        <f>2196.2+(38.8-352.8)+(0+(0-0))+0-20.4-0</f>
        <v>1861.7999999999997</v>
      </c>
      <c r="R282" s="3">
        <f>2063.4+(57-273.5)+(-5.26167+(-0.14535--0.697425))+0-20.6--0.052529999999997</f>
        <v>1821.6429350000001</v>
      </c>
      <c r="S282" s="3">
        <f>2028.4+(42.4-372)+(-7.241388+(-0.151368--1.32804))+0-18.9--0.0674730000000003</f>
        <v>1673.9027570000001</v>
      </c>
      <c r="T282" s="3">
        <f>2064.6+(33.3-430)+(0+(0-0))+0-24.3-0</f>
        <v>1643.6</v>
      </c>
      <c r="U282" s="3">
        <f>2067.6+(82-410.7)+(3.163428+(0.12546-0.628371))+0-54.3-0.0830790000000031</f>
        <v>1687.1774379999999</v>
      </c>
      <c r="V282" s="3">
        <f>2192.9+(13.2-269.5)+(-2.236758+(-0.013464--0.27489))+0-67.5--0.0688500000000108</f>
        <v>1867.1935180000003</v>
      </c>
      <c r="W282" s="3">
        <f>2301.8+(0-186.7)+(3.521754+(0-0.285651))+0-84.9-0.129897000000005</f>
        <v>2033.3062060000004</v>
      </c>
      <c r="X282" s="3">
        <f>2267.9+(0-190.6)+(-5.783145+(0--0.48603))+0-83.5--0.212924999999988</f>
        <v>1988.7158100000004</v>
      </c>
      <c r="Y282" s="3">
        <f>2264.8+(0-224.3)+(-5.77524+(0--0.571965))+0-88.3--0.225164999999987</f>
        <v>1947.2218900000003</v>
      </c>
      <c r="Z282" s="3">
        <f>2201.8+(21.5-224.2)+(-4.491672+(-0.04386--0.457368))+0-82.4--0.168095999999996</f>
        <v>1912.7899320000001</v>
      </c>
      <c r="AA282" s="3">
        <f>2109.4+(66.2-253.4)+(-4.303176+(-0.135048--0.516936))+0-83.3--0.169931999999996</f>
        <v>1835.1486440000001</v>
      </c>
      <c r="AB282" s="3">
        <f>2030.8+(110.6-270.8)+(-2.071416+(-0.112812--0.276216))+0-88.5--0.0902700000000141</f>
        <v>1780.2822579999997</v>
      </c>
      <c r="AC282" s="3">
        <f>2007.9+(122.9-356.6)+(-8.192232+(-0.501432--1.454928))+0-86.9--0.354551999999992</f>
        <v>1680.4158159999999</v>
      </c>
      <c r="AD282">
        <v>1994.4</v>
      </c>
      <c r="AE282" s="3">
        <f>2297+(0-207.6)+(0+(0-0))+0-95-0</f>
        <v>1994.4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1967.4+(124-441.9)+(-2.006748+(-0.12648--0.450738))+0-65--0.0663000000000104</f>
        <v>1582.88381</v>
      </c>
      <c r="G283" s="3">
        <f>1687.3+(134.5-228.6)+(0.860523+(0.068595-0.116586))+0-82.2-0.0419219999999917</f>
        <v>1511.77061</v>
      </c>
      <c r="H283" s="3">
        <f>1633+(131.2-198.5)+(0.83283+(0.066912-0.101235))+0-84.9-0.0432989999999914</f>
        <v>1481.555208</v>
      </c>
      <c r="I283" s="3">
        <f>1635.2+(127.7-217.6)+(-0.833952+(-0.065127--0.110976))+0-80.3--0.0409529999999919</f>
        <v>1464.2528499999999</v>
      </c>
      <c r="J283" s="3">
        <f>1632.4+(121.6-207.4)+(-4.16262+(-0.31008--0.52887))+0-78.6--0.200429999999989</f>
        <v>1464.2566000000004</v>
      </c>
      <c r="K283" s="3">
        <f>1748.2+(55.5-220.2)+(-0.891582+(-0.028305--0.112302))+0-88.9--0.045338999999991</f>
        <v>1493.8377539999999</v>
      </c>
      <c r="L283" s="3">
        <f>1981.8+(9.9-377.5)+(-1.010718+(-0.005049--0.192525))+0-82.2--0.0419219999999917</f>
        <v>1531.2186799999997</v>
      </c>
      <c r="M283" s="3">
        <f>2056.1+(22.1-380)+(1.048611+(0.011271-0.1938))+0-93.4-0.0476339999999905</f>
        <v>1605.6184479999997</v>
      </c>
      <c r="N283" s="3">
        <f>2078.3+(33-356.3)+(-1.059933+(-0.01683--0.181713))+0-66.9--0.0341189999999932</f>
        <v>1687.239069</v>
      </c>
      <c r="O283" s="3">
        <f>2171.8+(20.1-347.2)+(1.107618+(0.010251-0.177072))+0-86.4-0.0440639999999912</f>
        <v>1759.1967330000002</v>
      </c>
      <c r="P283" s="3">
        <f>2163.2+(41.1-326.2)+(-1.103232+(-0.020961--0.166362))+0-87.9--0.0448289999999911</f>
        <v>1789.2869979999998</v>
      </c>
      <c r="Q283" s="3">
        <f>2118.5+(41.2-266.9)+(-2.16087+(-0.042024--0.272238))+0-83.1--0.0847620000000132</f>
        <v>1807.854106</v>
      </c>
      <c r="R283" s="3">
        <f>1928.4+(60.6-155.3)+(-2.950452+(-0.092718--0.237609))+0-65.3--0.0999090000000038</f>
        <v>1765.6943480000002</v>
      </c>
      <c r="S283" s="3">
        <f>1909.9+(59.8-147.7)+(-0.974049+(-0.030498--0.075327))+0-87--0.0443699999999912</f>
        <v>1734.1151500000001</v>
      </c>
      <c r="T283" s="3">
        <f>1955.1+(45.8-195)+(-1.994202+(-0.046716--0.1989))+0-79.8--0.0813960000000127</f>
        <v>1724.3393779999999</v>
      </c>
      <c r="U283" s="3">
        <f>1985.2+(49.9-220.1)+(-1.012452+(-0.025449--0.112251))+0-98.5--0.05023499999999</f>
        <v>1715.624585</v>
      </c>
      <c r="V283" s="3">
        <f>2090.4+(15.8-161.5)+(0+(0-0))+0-82.1-0</f>
        <v>1862.6000000000001</v>
      </c>
      <c r="W283" s="3">
        <f>2318.1+(0-194.7)+(2.364462+(0-0.198594))+0-88.9-0.0906780000000142</f>
        <v>2036.57519</v>
      </c>
      <c r="X283" s="3">
        <f>2294.2+(0-233.5)+(-5.85021+(0--0.595425))+0-62.9--0.160394999999991</f>
        <v>1992.7056099999995</v>
      </c>
      <c r="Y283" s="3">
        <f>2284+(0-233.8)+(-5.8242+(0--0.59619))+0-89.9--0.229244999999987</f>
        <v>1955.3012349999997</v>
      </c>
      <c r="Z283" s="3">
        <f>2291.5+(3.6-288.2)+(-4.67466+(-0.007344--0.587928))+0-95.7--0.195227999999996</f>
        <v>1907.301152</v>
      </c>
      <c r="AA283" s="3">
        <f>2267.4+(34.7-377.1)+(-3.469122+(-0.053091--0.576963))+0-92.7--0.141831000000005</f>
        <v>1829.4965809999999</v>
      </c>
      <c r="AB283" s="3">
        <f>2190.8+(80.2-407.3)+(-3.351924+(-0.122706--0.623169))+0-83--0.126990000000005</f>
        <v>1777.9755290000003</v>
      </c>
      <c r="AC283" s="3">
        <f>1993.1+(56.3-289.5)+(-5.082405+(-0.143565--0.738225))+0-88.5--0.225674999999987</f>
        <v>1667.1379299999999</v>
      </c>
      <c r="AD283">
        <v>2039.4</v>
      </c>
      <c r="AE283" s="3">
        <f>2308+(0-168.2)+(0+(0-0))+0-100.4-0</f>
        <v>2039.4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1990.9+(64.2-413.2)+(-3.046077+(-0.098226--0.632196))+0-70.2--0.107406000000004</f>
        <v>1569.2952990000001</v>
      </c>
      <c r="G284" s="3">
        <f>1952.2+(76.8-442.2)+(-5.973732+(-0.235008--1.353132))+0-81.1--0.248166000000009</f>
        <v>1501.0925580000003</v>
      </c>
      <c r="H284" s="3">
        <f>1910+(86.9-446.4)+(-1.9482+(-0.088638--0.455328))+0-84.9--0.0865980000000135</f>
        <v>1464.105088</v>
      </c>
      <c r="I284" s="3">
        <f>1908.3+(85.1-447.1)+(-2.919699+(-0.130203--0.684063))+0-86.6--0.132498000000005</f>
        <v>1457.4666589999999</v>
      </c>
      <c r="J284" s="3">
        <f>1933.9+(62.6-464.4)+(1.972578+(0.063852-0.473688))+0-64.7-0.0659940000000103</f>
        <v>1468.8967480000001</v>
      </c>
      <c r="K284" s="3">
        <f>1927.6+(64-411.2)+(-0.983076+(-0.03264--0.209712))+0-75.1--0.0383009999999924</f>
        <v>1504.532297</v>
      </c>
      <c r="L284" s="3">
        <f>1905.4+(8.1-432.7)+(0.971754+(0.004131-0.220677))+0-78-0.0397799999999921</f>
        <v>1403.5154280000002</v>
      </c>
      <c r="M284" s="3">
        <f>1999.2+(6.1-430.1)+(-2.039184+(-0.006222--0.438702))+0-77.2--0.0787440000000123</f>
        <v>1496.4720399999999</v>
      </c>
      <c r="N284" s="3">
        <f>2228.1+(35.3-495.3)+(0+(0-0))+0-73.7-0</f>
        <v>1694.3999999999999</v>
      </c>
      <c r="O284" s="3">
        <f>2293.8+(51.7-476.3)+(1.169838+(0.026367-0.242913))+0-83.2-0.0424319999999916</f>
        <v>1786.9108600000002</v>
      </c>
      <c r="P284" s="3">
        <f>2283.5+(59.1-426.4)+(-1.164585+(-0.030141--0.217464))+0-86.2--0.0439619999999913</f>
        <v>1829.0666999999999</v>
      </c>
      <c r="Q284" s="3">
        <f>2326.5+(69.2-497)+(-5.932575+(-0.17646--1.26735))+0-74.6--0.190229999999989</f>
        <v>1819.448545</v>
      </c>
      <c r="R284" s="3">
        <f>2337.3+(88.3-534)+(-2.384046+(-0.090066--0.54468))+0-88.7--0.0904740000000141</f>
        <v>1801.0610420000003</v>
      </c>
      <c r="S284" s="3">
        <f>2241.9+(97.2-506.2)+(-1.143369+(-0.049572--0.258162))+0-80.7--0.0411569999999918</f>
        <v>1751.306378</v>
      </c>
      <c r="T284" s="3">
        <f>2214.5+(88-501)+(-2.25879+(-0.08976--0.51102))+0-90.5--0.0923100000000144</f>
        <v>1709.25478</v>
      </c>
      <c r="U284" s="3">
        <f>2210.3+(76.6-502.3)+(-4.509012+(-0.156264--1.024692))+0-83.7--0.170747999999996</f>
        <v>1697.4301640000001</v>
      </c>
      <c r="V284" s="3">
        <f>2215.1+(19.5-326.7)+(1.129701+(0.009945-0.166617))+0-78.1-0.0398309999999921</f>
        <v>1830.7331979999999</v>
      </c>
      <c r="W284" s="3">
        <f>2416.9+(18.7-397.5)+(2.465238+(0.019074-0.40545))+0-27.2-0.0277440000000043</f>
        <v>2012.9511180000002</v>
      </c>
      <c r="X284" s="3">
        <f>2411.9+(0-372.1)+(-4.920276+(0--0.759084))+0-70--0.142799999999997</f>
        <v>1965.7816080000002</v>
      </c>
      <c r="Y284" s="3">
        <f>2353.1+(3.8-350.6)+(-4.800324+(-0.007752--0.715224))+0-86.2--0.175847999999996</f>
        <v>1916.182996</v>
      </c>
      <c r="Z284" s="3">
        <f>2248.9+(17.6-308.9)+(0+(0-0))+0-88.8-0</f>
        <v>1868.8000000000002</v>
      </c>
      <c r="AA284" s="3">
        <f>2220+(45.7-374.5)+(-4.5288+(-0.093228--0.76398))+0-92.6--0.188903999999996</f>
        <v>1794.9308560000002</v>
      </c>
      <c r="AB284" s="3">
        <f>2198.8+(80.4-451.4)+(-2.242776+(-0.082008--0.460428))+0-81.6--0.083232000000013</f>
        <v>1744.4188760000002</v>
      </c>
      <c r="AC284" s="3">
        <f>1993.7+(92.6-411.8)+(-2.033574+(-0.094452--0.420036))+0-24.9--0.025398000000004</f>
        <v>1647.9174079999998</v>
      </c>
      <c r="AD284">
        <v>1988.7</v>
      </c>
      <c r="AE284" s="3">
        <f>2453+(0-427.6)+(0+(0-0))+0-36.7-0</f>
        <v>1988.7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1944.3+(98.1-426.8)+(-2.974779+(-0.150093--0.653004))+0-65.2--0.0997560000000038</f>
        <v>1548.0278879999998</v>
      </c>
      <c r="G285" s="3">
        <f>1950.9+(103.2-454)+(0.994959+(0.052632-0.23154))+0-86.7-0.0442169999999912</f>
        <v>1514.1718340000002</v>
      </c>
      <c r="H285" s="3">
        <f>1784.8+(106.6-343)+(-2.730744+(-0.163098--0.52479))+0-86.6--0.132498000000005</f>
        <v>1459.5634459999999</v>
      </c>
      <c r="I285" s="3">
        <f>1782.5+(108-361.5)+(-3.6363+(-0.22032--0.73746))+0-82--0.167279999999996</f>
        <v>1444.0481199999999</v>
      </c>
      <c r="J285" s="3">
        <f>1807.5+(99.3-373.9)+(-3.6873+(-0.202572--0.762756))+0-82.6--0.168503999999996</f>
        <v>1447.3413880000003</v>
      </c>
      <c r="K285" s="3">
        <f>1802.1+(52-341)+(0.919071+(0.02652-0.17391))+0-82.7-0.0421769999999916</f>
        <v>1431.1295039999998</v>
      </c>
      <c r="L285" s="3">
        <f>1793.9+(4.5-338.2)+(-2.744667+(-0.006885--0.517446))+0-77.5--0.118575000000004</f>
        <v>1380.5844689999999</v>
      </c>
      <c r="M285" s="3">
        <f>1776+(15.9-329.5)+(-6.34032+(-0.056763--1.176315))+0-92.6--0.330582000000001</f>
        <v>1364.9098140000003</v>
      </c>
      <c r="N285" s="3">
        <f>1695.8+(36.7-274.6)+(0.864858+(0.018717-0.140046))+0-25.6-0.0130559999999974</f>
        <v>1433.030473</v>
      </c>
      <c r="O285" s="3">
        <f>1604.8+(52.3-112)+(0+(0-0))+0-54.3-0</f>
        <v>1490.8</v>
      </c>
      <c r="P285" s="3">
        <f>1610.1+(113.2-90.7)+(1.642302+(0.115464-0.092514))+0-82.3-0.0839460000000131</f>
        <v>1551.881306</v>
      </c>
      <c r="Q285" s="3">
        <f>1601.5+(164.5-90.9)+(-2.450295+(-0.251685--0.139077))+0-86.4--0.132192000000005</f>
        <v>1586.2692889999998</v>
      </c>
      <c r="R285" s="3">
        <f>1604.5+(150.8-98.2)+(0+(0-0))+0-82-0</f>
        <v>1575.1</v>
      </c>
      <c r="S285" s="3">
        <f>1604+(148.1-106.6)+(-2.45412+(-0.226593--0.163098))+0-90.9--0.139077000000005</f>
        <v>1552.221462</v>
      </c>
      <c r="T285" s="3">
        <f>1609.9+(130.4-125.4)+(0+(0-0))+0-81.9-0</f>
        <v>1533</v>
      </c>
      <c r="U285" s="3">
        <f>1603.8+(118.3-114.4)+(0.817938+(0.060333-0.058344))+0-69.2-0.035291999999993</f>
        <v>1539.284635</v>
      </c>
      <c r="V285" s="3">
        <f>1864+(29.7-221.2)+(-0.95064+(-0.015147--0.112812))+0-25.1--0.0128009999999975</f>
        <v>1646.5598260000002</v>
      </c>
      <c r="W285" s="3">
        <f>2306.3+(0-414.3)+(2.352426+(0-0.422586))+0-32.2-0.0328440000000051</f>
        <v>1861.6969960000001</v>
      </c>
      <c r="X285" s="3">
        <f>2342.1+(0-440.4)+(-1.194471+(0--0.224604))+0-89.3--0.0455429999999909</f>
        <v>1811.4756759999998</v>
      </c>
      <c r="Y285" s="3">
        <f>2365.1+(0-448.2)+(-1.206201+(0--0.228582))+0-81.1--0.0413609999999918</f>
        <v>1834.863742</v>
      </c>
      <c r="Z285" s="3">
        <f>2371.3+(14.1-477.8)+(-1.209363+(-0.007191--0.243678))+0-75.4--0.0384539999999924</f>
        <v>1831.265578</v>
      </c>
      <c r="AA285" s="3">
        <f>2363.9+(44.7-553.2)+(0+(0-0))+0-80.9-0</f>
        <v>1774.5</v>
      </c>
      <c r="AB285" s="3">
        <f>2274.4+(91-538.4)+(-4.639776+(-0.18564--1.098336))+0-84.2--0.171767999999996</f>
        <v>1739.244688</v>
      </c>
      <c r="AC285" s="3">
        <f>2164.9+(100.4-549.5)+(-3.312297+(-0.153612--0.840735))+0-72.3--0.110619000000004</f>
        <v>1640.9854450000003</v>
      </c>
      <c r="AD285">
        <v>1845.7</v>
      </c>
      <c r="AE285" s="3">
        <f>2396+(0-457.1)+(0+(0-0))+0-93.2-0</f>
        <v>1845.7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1858.4+(105.3-353.8)+(-1.895568+(-0.107406--0.360876))+0-82.1--0.0837420000000131</f>
        <v>1526.2416440000002</v>
      </c>
      <c r="G286" s="3">
        <f>1634.8+(113.5-196.5)+(-3.334992+(-0.23154--0.40086))+0-89.8--0.183191999999996</f>
        <v>1459.0175199999999</v>
      </c>
      <c r="H286" s="3">
        <f>1603.4+(113.6-214.7)+(0+(0-0))+0-80.9-0</f>
        <v>1421.4</v>
      </c>
      <c r="I286" s="3">
        <f>1625.1+(111-239.3)+(0.828801+(0.05661-0.122043))+0-86.7-0.0442169999999912</f>
        <v>1410.8191509999999</v>
      </c>
      <c r="J286" s="3">
        <f>1686.3+(110.8-297.2)+(-0.860013+(-0.056508--0.151572))+0-82.8--0.0422279999999916</f>
        <v>1416.3772790000003</v>
      </c>
      <c r="K286" s="3">
        <f>1789.7+(93.3-346.8)+(0+(0-0))+0-80.9-0</f>
        <v>1455.3</v>
      </c>
      <c r="L286" s="3">
        <f>1821.1+(47.9-308.2)+(-0.928761+(-0.024429--0.157182))+0-81.8--0.0417179999999917</f>
        <v>1478.2457099999999</v>
      </c>
      <c r="M286" s="3">
        <f>1893.1+(54.4-293.3)+(2.896443+(0.083232-0.448749))+0-91.2-0.139536000000005</f>
        <v>1565.3913899999998</v>
      </c>
      <c r="N286" s="3">
        <f>2130+(63.6-456.3)+(-1.0863+(-0.032436--0.232713))+0-53.6--0.0273359999999946</f>
        <v>1682.8413130000001</v>
      </c>
      <c r="O286" s="3">
        <f>2135.5+(74.8-375.9)+(2.17821+(0.076296-0.383418))+0-69.5-0.0708900000000111</f>
        <v>1766.7001980000002</v>
      </c>
      <c r="P286" s="3">
        <f>2134.3+(91.4-338.9)+(1.088493+(0.046614-0.172839))+0-70.9-0.0361589999999928</f>
        <v>1816.8261090000001</v>
      </c>
      <c r="Q286" s="3">
        <f>2127.1+(105.8-333.3)+(-2.169642+(-0.107916--0.339966))+0-71.2--0.0726240000000114</f>
        <v>1826.5350319999998</v>
      </c>
      <c r="R286" s="3">
        <f>2126.1+(110.4-366.4)+(-2.168622+(-0.112608--0.373728))+0-70.5--0.0719100000000112</f>
        <v>1797.764408</v>
      </c>
      <c r="S286" s="3">
        <f>2050+(120.4-310.5)+(-1.0455+(-0.061404--0.158355))+0-74.2--0.0378419999999925</f>
        <v>1784.789293</v>
      </c>
      <c r="T286" s="3">
        <f>2073+(117.6-385.5)+(-1.05723+(-0.059976--0.196605))+0-56--0.0285599999999943</f>
        <v>1748.2079589999998</v>
      </c>
      <c r="U286" s="3">
        <f>2066+(117.1-400.4)+(-2.10732+(-0.119442--0.408408))+0-36.3--0.0370260000000058</f>
        <v>1744.6186720000001</v>
      </c>
      <c r="V286" s="3">
        <f>2081.5+(58.2-180.9)+(-1.061565+(-0.029682--0.092259))+0-90.6--0.0462059999999908</f>
        <v>1867.247218</v>
      </c>
      <c r="W286" s="3">
        <f>2119.3+(123.3-93.8)+(-1.080843+(-0.062883--0.047838))+0-85--0.0433499999999914</f>
        <v>2062.7474620000003</v>
      </c>
      <c r="X286" s="3">
        <f>2127.3+(60.5-101)+(-3.254769+(-0.092565--0.15453))+0-72.1--0.110313000000004</f>
        <v>2011.6175090000004</v>
      </c>
      <c r="Y286" s="3">
        <f>2089.9+(75.2-99.2)+(-1.065849+(-0.038352--0.050592))+0-87.7--0.0447269999999911</f>
        <v>1977.191118</v>
      </c>
      <c r="Z286" s="3">
        <f>2085.4+(68.7-125.8)+(-3.190662+(-0.105111--0.192474))+0-90.2--0.138006000000005</f>
        <v>1935.1347069999999</v>
      </c>
      <c r="AA286" s="3">
        <f>2085.1+(78.5-212.7)+(-4.253604+(-0.16014--0.433908))+0-81.5--0.166259999999996</f>
        <v>1865.5864239999999</v>
      </c>
      <c r="AB286" s="3">
        <f>2073.2+(86.8-262.8)+(-3.171996+(-0.132804--0.402084))+0-89.8--0.137394000000005</f>
        <v>1804.6346779999999</v>
      </c>
      <c r="AC286" s="3">
        <f>1934+(115.2-324.6)+(-3.94536+(-0.235008--0.662184))+0-25--0.0509999999999989</f>
        <v>1696.1328159999998</v>
      </c>
      <c r="AD286">
        <v>2060.7000000000003</v>
      </c>
      <c r="AE286" s="3">
        <f>2168+(79.3-92.7)+(0+(0-0))+0-93.9-0</f>
        <v>2060.6999999999998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1863.1+(125.5-324.7)+(-3.800724+(-0.25602--0.662388))+0-72.6--0.148103999999997</f>
        <v>1588.053748</v>
      </c>
      <c r="G287" s="3">
        <f>1712.2+(122.7-226.7)+(1.746444+(0.125154-0.231234))+0-89.8-0.0915960000000143</f>
        <v>1519.9487680000002</v>
      </c>
      <c r="H287" s="3">
        <f>1666.6+(128.5-220.1)+(-3.399864+(-0.26214--0.449004))+0-90.1--0.183803999999996</f>
        <v>1481.8708040000001</v>
      </c>
      <c r="I287" s="3">
        <f>1644.2+(135.4-233.7)+(0+(0-0))+0-83.3-0</f>
        <v>1462.6000000000001</v>
      </c>
      <c r="J287" s="3">
        <f>1745.6+(127.9-298.9)+(0+(0-0))+0-90.4-0</f>
        <v>1484.1999999999998</v>
      </c>
      <c r="K287" s="3">
        <f>1777.2+(115.7-300.4)+(0+(0-0))+0-81.8-0</f>
        <v>1510.7</v>
      </c>
      <c r="L287" s="3">
        <f>1777.2+(115.7-299.4)+(0+(0-0))+0-81.8-0</f>
        <v>1511.7</v>
      </c>
      <c r="M287" s="3">
        <f>1832.7+(117.5-327.1)+(-0.934677+(-0.059925--0.166821))+0-95.6--0.0487559999999903</f>
        <v>1526.720975</v>
      </c>
      <c r="N287" s="3">
        <f>1832.3+(127-298.9)+(-3.737892+(-0.25908--0.609756))+0-49.8--0.101591999999998</f>
        <v>1607.314376</v>
      </c>
      <c r="O287" s="3">
        <f>2052.2+(127.4-322.6)+(-3.139866+(-0.194922--0.493578))+0-72.6--0.111078000000004</f>
        <v>1781.6698679999997</v>
      </c>
      <c r="P287" s="3">
        <f>2047.3+(131.9-273.4)+(-1.044123+(-0.067269--0.139434))+0-73.5--0.0374849999999925</f>
        <v>1831.3655269999999</v>
      </c>
      <c r="Q287" s="3">
        <f>2047.4+(134.4-261.5)+(-4.176696+(-0.274176--0.53346))+0-82.9--0.169115999999996</f>
        <v>1833.6517040000001</v>
      </c>
      <c r="R287" s="3">
        <f>2036.1+(132.2-299.5)+(-5.192055+(-0.33711--0.763725))+0-79.9--0.203744999999988</f>
        <v>1784.338305</v>
      </c>
      <c r="S287" s="3">
        <f>2047.1+(136.3-322.5)+(1.044021+(0.069513-0.164475))+0-92.3-0.0470729999999906</f>
        <v>1769.501986</v>
      </c>
      <c r="T287" s="3">
        <f>2047.6+(124.1-336.9)+(1.044276+(0.063291-0.171819))+0-87.7-0.0447269999999911</f>
        <v>1747.991021</v>
      </c>
      <c r="U287" s="3">
        <f>2050.9+(121.1-324.4)+(0+(0-0))+0-99.1-0</f>
        <v>1748.5000000000002</v>
      </c>
      <c r="V287" s="3">
        <f>2056.6+(90.9-187.4)+(-4.195464+(-0.185436--0.382296))+0-84.8--0.172991999999996</f>
        <v>1871.4743880000001</v>
      </c>
      <c r="W287" s="3">
        <f>2092.2+(123.6-98.1)+(0+(0-0))+0-78.9-0</f>
        <v>2038.7999999999997</v>
      </c>
      <c r="X287" s="3">
        <f>2078+(90.4-97.9)+(-4.23912+(-0.184416--0.199716))+0-64.2--0.130967999999997</f>
        <v>2002.2071479999997</v>
      </c>
      <c r="Y287" s="3">
        <f>2080.2+(87.7-110.7)+(-4.243608+(-0.178908--0.225828))+0-89.1--0.181763999999996</f>
        <v>1964.0850759999998</v>
      </c>
      <c r="Z287" s="3">
        <f>2036.4+(105.3-122.6)+(-4.154256+(-0.214812--0.250104))+0-93.1--0.189923999999996</f>
        <v>1922.0709600000002</v>
      </c>
      <c r="AA287" s="3">
        <f>2011.5+(134.7-200)+(-3.077595+(-0.206091--0.306))+0-88.2--0.134946000000005</f>
        <v>1855.15726</v>
      </c>
      <c r="AB287" s="3">
        <f>1771.1+(177.4-88.6)+(-3.613044+(-0.361896--0.180744))+0-73.3--0.149531999999997</f>
        <v>1782.9553359999998</v>
      </c>
      <c r="AC287" s="3">
        <f>1757.1+(146.7-168.7)+(-2.688363+(-0.224451--0.258111))+0-42--0.0642600000000024</f>
        <v>1690.5095570000001</v>
      </c>
      <c r="AD287">
        <v>2048.3000000000002</v>
      </c>
      <c r="AE287" s="3">
        <f>2115+(133.1-98.7)+(0+(0-0))+0-101.1-0</f>
        <v>2048.3000000000002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1749.6+(146.6-223)+(-1.784592+(-0.149532--0.22746))+0-81.6--0.083232000000013</f>
        <v>1589.9765679999998</v>
      </c>
      <c r="G288" s="3">
        <f>1759+(146.2-282.8)+(-0.89709+(-0.074562--0.144228))+0-85.2--0.0434519999999914</f>
        <v>1536.4160279999999</v>
      </c>
      <c r="H288" s="3">
        <f>1759.1+(145.6-313.1)+(-0.897141+(-0.074256--0.159681))+0-83.5--0.0425849999999915</f>
        <v>1507.3308689999999</v>
      </c>
      <c r="I288" s="3">
        <f>1640.9+(145.6-260.2)+(0.836859+(0.074256-0.132702))+0-53.7-0.0273869999999946</f>
        <v>1473.351026</v>
      </c>
      <c r="J288" s="3">
        <f>1724.8+(146.1-364.7)+(-3.518592+(-0.298044--0.743988))+0-24.1--0.049163999999999</f>
        <v>1479.0765160000001</v>
      </c>
      <c r="K288" s="3">
        <f>1803.4+(145.8-416.7)+(0.919734+(0.074358-0.212517))+0-23.8-0.0121379999999976</f>
        <v>1509.469437</v>
      </c>
      <c r="L288" s="3">
        <f>1940.7+(145.9-502.8)+(-2.969271+(-0.223227--0.769284))+0-24--0.0367200000000014</f>
        <v>1557.4135060000003</v>
      </c>
      <c r="M288" s="3">
        <f>1951.3+(145.8-442.1)+(-0.995163+(-0.074358--0.225471))+0-18.9--0.00963899999999808</f>
        <v>1635.2655890000001</v>
      </c>
      <c r="N288" s="3">
        <f>2073.9+(145.2-452.7)+(0+(0-0))+0-20.6-0</f>
        <v>1745.8000000000002</v>
      </c>
      <c r="O288" s="3">
        <f>2065.7+(145-387.5)+(0+(0-0))+0-21.7-0</f>
        <v>1801.4999999999998</v>
      </c>
      <c r="P288" s="3">
        <f>2070.7+(144.7-347.9)+(1.056057+(0.073797-0.177429))+0-20.7-0.0105569999999979</f>
        <v>1847.7418679999996</v>
      </c>
      <c r="Q288" s="3">
        <f>2031.9+(144.1-286.5)+(-3.108807+(-0.220473--0.438345))+0-23.1--0.0353430000000013</f>
        <v>1863.5444080000002</v>
      </c>
      <c r="R288" s="3">
        <f>1992.3+(143.5-320.8)+(-6.096438+(-0.43911--0.981648))+0-21.5--0.0657900000000025</f>
        <v>1788.01189</v>
      </c>
      <c r="S288" s="3">
        <f>1965.8+(144.1-338.2)+(-4.010232+(-0.293964--0.689928))+0-23.5--0.047939999999999</f>
        <v>1744.6336719999999</v>
      </c>
      <c r="T288" s="3">
        <f>1966.5+(139.7-295.3)+(-1.002915+(-0.071247--0.150603))+0-84.5--0.0430949999999914</f>
        <v>1725.519536</v>
      </c>
      <c r="U288" s="3">
        <f>1973.5+(104.6-265.5)+(-1.006485+(-0.053346--0.135405))+0-84--0.0428399999999915</f>
        <v>1727.7184139999999</v>
      </c>
      <c r="V288" s="3">
        <f>1991.9+(60-116.3)+(-2.031738+(-0.0612--0.118626))+0-61.7--0.0629340000000098</f>
        <v>1871.9886220000001</v>
      </c>
      <c r="W288" s="3">
        <f>2073.2+(141.2-93.6)+(-3.171996+(-0.216036--0.143208))+0-84.7--0.129591000000005</f>
        <v>2032.9847669999999</v>
      </c>
      <c r="X288" s="3">
        <f>2069.4+(123.2-99.6)+(-4.221576+(-0.251328--0.203184))+0-96.3--0.196451999999996</f>
        <v>1992.6267320000002</v>
      </c>
      <c r="Y288" s="3">
        <f>2061+(88.3-102.1)+(-5.25555+(-0.225165--0.260355))+0-88.1--0.224654999999987</f>
        <v>1954.1042950000001</v>
      </c>
      <c r="Z288" s="3">
        <f>2071.4+(86.9-206.1)+(-2.112828+(-0.088638--0.210222))+0-31.6--0.032232000000005</f>
        <v>1918.6409880000001</v>
      </c>
      <c r="AA288" s="3">
        <f>2054.4+(130.4-253.5)+(-6.286464+(-0.399024--0.77571))+0-72.6--0.222156000000008</f>
        <v>1853.0123780000004</v>
      </c>
      <c r="AB288" s="3">
        <f>1979+(145.2-219.4)+(-4.03716+(-0.296208--0.447576))+0-81.2--0.165647999999996</f>
        <v>1819.8798559999998</v>
      </c>
      <c r="AC288" s="3">
        <f>1866.9+(145.4-254.2)+(-1.904238+(-0.148308--0.259284))+0-56.1--0.0572220000000089</f>
        <v>1700.2639600000002</v>
      </c>
      <c r="AD288">
        <v>2007.2999999999997</v>
      </c>
      <c r="AE288" s="3">
        <f>2085+(130.1-97.3)+(0+(0-0))+0-110.5-0</f>
        <v>2007.3000000000002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1851+(145.2-294.3)+(-4.72005+(-0.37026--0.750465))+0-93--0.237149999999987</f>
        <v>1604.7973050000001</v>
      </c>
      <c r="G289" s="3">
        <f>1728.3+(145-243.4)+(0+(0-0))+0-86.8-0</f>
        <v>1543.1</v>
      </c>
      <c r="H289" s="3">
        <f>1664.4+(145.2-216.7)+(-1.697688+(-0.148104--0.221034))+0-83.3--0.0849660000000133</f>
        <v>1508.0602080000003</v>
      </c>
      <c r="I289" s="3">
        <f>1648.8+(145.4-239.2)+(1.681776+(0.148308-0.243984))+0-66.5-0.0678300000000106</f>
        <v>1490.01827</v>
      </c>
      <c r="J289" s="3">
        <f>1650.2+(139.3-227.7)+(0.841602+(0.071043-0.116127))+0-72.9-0.0371789999999926</f>
        <v>1489.6593390000003</v>
      </c>
      <c r="K289" s="3">
        <f>1649.1+(102.3-156)+(1.682082+(0.104346-0.15912))+0-84.8-0.0864960000000135</f>
        <v>1512.1408119999999</v>
      </c>
      <c r="L289" s="3">
        <f>1721.9+(90.7-177.9)+(3.512676+(0.185028-0.362916))+0-89.9-0.183395999999996</f>
        <v>1547.9513919999999</v>
      </c>
      <c r="M289" s="3">
        <f>1844.9+(84.9-264.5)+(-0.940899+(-0.043299--0.134895))+0-37--0.0188699999999962</f>
        <v>1627.4695670000003</v>
      </c>
      <c r="N289" s="3">
        <f>2058.7+(95.9-314.5)+(1.049937+(0.048909-0.160395))+0-90.8-0.0463079999999908</f>
        <v>1750.192143</v>
      </c>
      <c r="O289" s="3">
        <f>2015.1+(132.7-207.7)+(0+(0-0))+0-95.5-0</f>
        <v>1844.6</v>
      </c>
      <c r="P289" s="3">
        <f>2058.7+(125.4-193.2)+(0+(0-0))+0-76.3-0</f>
        <v>1914.6</v>
      </c>
      <c r="Q289" s="3">
        <f>2028.4+(131-141.6)+(-4.137936+(-0.26724--0.288864))+0-90.4--0.184415999999996</f>
        <v>1923.468104</v>
      </c>
      <c r="R289" s="3">
        <f>2055+(132.5-198.3)+(-3.14415+(-0.202725--0.303399))+0-74.1--0.113373000000004</f>
        <v>1912.169897</v>
      </c>
      <c r="S289" s="3">
        <f>2046.5+(129.7-244.4)+(-3.131145+(-0.198441--0.373932))+0-49.2--0.0752760000000029</f>
        <v>1879.7196219999998</v>
      </c>
      <c r="T289" s="3">
        <f>2004.8+(108.4-170.9)+(1.022448+(0.055284-0.087159))+0-84.7-0.0431969999999914</f>
        <v>1858.547376</v>
      </c>
      <c r="U289" s="3">
        <f>2002.6+(88.7-204.7)+(-1.021326+(-0.045237--0.104397))+0-48.4--0.0246839999999951</f>
        <v>1837.2625179999998</v>
      </c>
      <c r="V289" s="3">
        <f>2034.8+(62.2-109.5)+(-3.113244+(-0.095166--0.167535))+0-71.3--0.109089000000004</f>
        <v>1913.2682140000002</v>
      </c>
      <c r="W289" s="3">
        <f>2065.3+(131.9-97.1)+(0+(0-0))+0-88.6-0</f>
        <v>2011.5000000000005</v>
      </c>
      <c r="X289" s="3">
        <f>2070.3+(82-98.2)+(-3.167559+(-0.12546--0.150246))+0-70.7--0.108171000000004</f>
        <v>1980.3653980000004</v>
      </c>
      <c r="Y289" s="3">
        <f>2067.3+(66.1-99.2)+(-3.162969+(-0.101133--0.151776))+0-90.5--0.138465000000005</f>
        <v>1940.7261390000003</v>
      </c>
      <c r="Z289" s="3">
        <f>1985.4+(101.9-95.9)+(-5.06277+(-0.259845--0.244545))+0-87--0.221849999999987</f>
        <v>1899.54378</v>
      </c>
      <c r="AA289" s="3">
        <f>1856.5+(139.1-88.4)+(-0.946815+(-0.070941--0.045084))+0-93.3--0.0475829999999905</f>
        <v>1812.974911</v>
      </c>
      <c r="AB289" s="3">
        <f>1853.6+(117.8-113.3)+(-2.836008+(-0.180234--0.173349))+0-86--0.131580000000005</f>
        <v>1769.3886869999999</v>
      </c>
      <c r="AC289" s="3">
        <f>1788.5+(119.6-136.6)+(-3.64854+(-0.243984--0.278664))+0-91.7--0.187067999999996</f>
        <v>1676.373208</v>
      </c>
      <c r="AD289">
        <v>2025.2</v>
      </c>
      <c r="AE289" s="3">
        <f>2089+(131.5-95.6)+(0+(0-0))+0-99.7-0</f>
        <v>2025.2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1559.6+(186.5-86.7)+(-3.181584+(-0.38046--0.176868))+0-93.1--0.189923999999996</f>
        <v>1563.104748</v>
      </c>
      <c r="G290" s="3">
        <f>1518.1+(160.1-83.8)+(-0.774231+(-0.081651--0.042738))+0-93.9--0.0478889999999905</f>
        <v>1499.7347449999997</v>
      </c>
      <c r="H290" s="3">
        <f>1483.2+(166.2-82.6)+(-1.512864+(-0.169524--0.084252))+0-97.5--0.0994500000000155</f>
        <v>1467.8013139999998</v>
      </c>
      <c r="I290" s="3">
        <f>1467.4+(167-84.7)+(1.496748+(0.17034-0.086394))+0-94.1-0.095982000000015</f>
        <v>1457.0847120000001</v>
      </c>
      <c r="J290" s="3">
        <f>1485.6+(146.4-74.6)+(0+(0-0))+0-87.8-0</f>
        <v>1469.6</v>
      </c>
      <c r="K290" s="3">
        <f>1641.1+(60.1-129.7)+(1.673922+(0.061302-0.132294))+0-80.6-0.0822120000000128</f>
        <v>1492.4207180000001</v>
      </c>
      <c r="L290" s="3">
        <f>1764.8+(13.9-175)+(1.800096+(0.014178-0.1785))+0-74.1-0.0755820000000118</f>
        <v>1531.1601920000003</v>
      </c>
      <c r="M290" s="3">
        <f>1773.1+(15.3-109.2)+(1.808562+(0.015606-0.111384))+0-81.4-0.083028000000013</f>
        <v>1599.4297559999998</v>
      </c>
      <c r="N290" s="3">
        <f>1918.2+(21-180.2)+(0+(0-0))+0-78.3-0</f>
        <v>1680.7</v>
      </c>
      <c r="O290" s="3">
        <f>1929.1+(41.9-162.3)+(0+(0-0))+0-88.9-0</f>
        <v>1719.7999999999997</v>
      </c>
      <c r="P290" s="3">
        <f>1934.6+(43.1-144)+(0.986646+(0.021981-0.07344))+0-86.9-0.0443189999999912</f>
        <v>1747.6908679999997</v>
      </c>
      <c r="Q290" s="3">
        <f>1926.8+(52.7-136.8)+(-0.982668+(-0.026877--0.069768))+0-86.7--0.0442169999999912</f>
        <v>1755.1044399999998</v>
      </c>
      <c r="R290" s="3">
        <f>1913.6+(63.9-170.4)+(-3.903744+(-0.130356--0.347616))+0-90.7--0.185027999999996</f>
        <v>1712.8985439999999</v>
      </c>
      <c r="S290" s="3">
        <f>1893.8+(47.6-200.8)+(-0.965838+(-0.024276--0.102408))+0-84.9--0.0432989999999914</f>
        <v>1654.8555929999998</v>
      </c>
      <c r="T290" s="3">
        <f>1861+(30.8-196.9)+(0+(0-0))+0-90.7-0</f>
        <v>1604.2</v>
      </c>
      <c r="U290" s="3">
        <f>1842.5+(60.8-242.9)+(-1.87935+(-0.062016--0.247758))+0-93.1--0.0949620000000148</f>
        <v>1565.7013540000003</v>
      </c>
      <c r="V290" s="3">
        <f>1871.4+(10.9-129.3)+(0.954414+(0.005559-0.065943))+0-90.2-0.0460019999999908</f>
        <v>1663.6480279999998</v>
      </c>
      <c r="W290" s="3">
        <f>1962.3+(57.6-94.2)+(2.001546+(0.058752-0.096084))+0-93.1-0.0949620000000148</f>
        <v>1834.4692520000001</v>
      </c>
      <c r="X290" s="3">
        <f>1974.9+(14.8-100.1)+(-1.007199+(-0.007548--0.051051))+0-84.9--0.0432989999999914</f>
        <v>1803.779603</v>
      </c>
      <c r="Y290" s="3">
        <f>1968.6+(25.1-109)+(-4.015944+(-0.051204--0.22236))+0-95.6--0.195023999999996</f>
        <v>1785.4502359999999</v>
      </c>
      <c r="Z290" s="3">
        <f>1889.6+(48-107.8)+(-2.891088+(-0.07344--0.164934))+0-88.9--0.136017000000005</f>
        <v>1738.2364229999998</v>
      </c>
      <c r="AA290" s="3">
        <f>1792.9+(63.3-146.7)+(-2.743137+(-0.096849--0.224451))+0-46.1--0.0705330000000027</f>
        <v>1660.8549980000003</v>
      </c>
      <c r="AB290" s="3">
        <f>1814.4+(82.7-194.7)+(-2.776032+(-0.126531--0.297891))+0-97.3--0.148869000000006</f>
        <v>1602.6441970000003</v>
      </c>
      <c r="AC290" s="3">
        <f>1840+(70.8-310)+(-5.6304+(-0.216648--0.9486))+0-75.4--0.230724000000009</f>
        <v>1520.732276</v>
      </c>
      <c r="AD290">
        <v>1816.6</v>
      </c>
      <c r="AE290" s="3">
        <f>1992+(30.6-108.1)+(0+(0-0))+0-97.9-0</f>
        <v>1816.6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1827+(78.3-393.9)+(-1.86354+(-0.079866--0.401778))+0-87.3--0.0890460000000139</f>
        <v>1422.6474180000002</v>
      </c>
      <c r="G291" s="3">
        <f>1693.4+(85-320.5)+(-2.590902+(-0.13005--0.490365))+0-92.1--0.140913000000005</f>
        <v>1363.7103260000001</v>
      </c>
      <c r="H291" s="3">
        <f>1544.5+(90.1-225.5)+(-0.787695+(-0.045951--0.115005))+0-91.7--0.0467669999999907</f>
        <v>1316.728126</v>
      </c>
      <c r="I291" s="3">
        <f>1548.8+(84.4-239.9)+(3.94944+(0.21522-0.611745))+0-90.8-0.231539999999987</f>
        <v>1305.821375</v>
      </c>
      <c r="J291" s="3">
        <f>1548.6+(70.4-220.1)+(3.159144+(0.143616-0.449004))+0-97.2-0.198287999999996</f>
        <v>1304.3554679999997</v>
      </c>
      <c r="K291" s="3">
        <f>1639.6+(45.1-263.1)+(3.344784+(0.092004-0.536724))+0-90.8-0.185231999999996</f>
        <v>1333.5148319999998</v>
      </c>
      <c r="L291" s="3">
        <f>1759.9+(11.3-385.8)+(6.282843+(0.040341-1.377306))+0-63.5-0.226695000000001</f>
        <v>1326.619183</v>
      </c>
      <c r="M291" s="3">
        <f>1897+(22.1-487.8)+(-2.90241+(-0.033813--0.746334))+0-57.8--0.0884340000000033</f>
        <v>1371.398545</v>
      </c>
      <c r="N291" s="3">
        <f>1832.4+(41.2-393.6)+(2.803572+(0.063036-0.602208))+0-28.1-0.0429930000000016</f>
        <v>1454.1214070000001</v>
      </c>
      <c r="O291" s="3">
        <f>1864.2+(45.9-336.6)+(1.901484+(0.046818-0.343332))+0-28.5-0.0290700000000045</f>
        <v>1546.5759</v>
      </c>
      <c r="P291" s="3">
        <f>1926.5+(56.1-327.6)+(1.96503+(0.057222-0.334152))+0-29.7-0.0302940000000047</f>
        <v>1626.9578060000001</v>
      </c>
      <c r="Q291" s="3">
        <f>1910.8+(46.2-273.2)+(0+(0-0))+0-30-0</f>
        <v>1653.8</v>
      </c>
      <c r="R291" s="3">
        <f>1907.2+(52.5-311.9)+(-2.918016+(-0.080325--0.477207))+0-30.9--0.0472770000000018</f>
        <v>1614.4261429999999</v>
      </c>
      <c r="S291" s="3">
        <f>1909+(46-368.3)+(0+(0-0))+0-36.9-0</f>
        <v>1549.8</v>
      </c>
      <c r="T291" s="3">
        <f>1901.3+(49.2-335.7)+(-0.969663+(-0.025092--0.171207))+0-89.1--0.045440999999991</f>
        <v>1524.921893</v>
      </c>
      <c r="U291" s="3">
        <f>1905.9+(47.3-356.9)+(1.944018+(0.048246-0.364038))+0-91.6-0.0934320000000146</f>
        <v>1506.2347940000002</v>
      </c>
      <c r="V291" s="3">
        <f>1919.5+(0-239.6)+(0.978945+(0-0.122196))+0-74.9-0.0381989999999924</f>
        <v>1605.81855</v>
      </c>
      <c r="W291" s="3">
        <f>1978+(0-134.3)+(3.02634+(0-0.205479))+0-82.9-0.126837000000005</f>
        <v>1763.4940239999999</v>
      </c>
      <c r="X291" s="3">
        <f>2074.8+(0-217.9)+(-5.29074+(0--0.555645))+0-102.7--0.261884999999985</f>
        <v>1749.7267899999999</v>
      </c>
      <c r="Y291" s="3">
        <f>2103.6+(0-296.7)+(-2.145672+(0--0.302634))+0-77.7--0.0792540000000124</f>
        <v>1727.4362159999998</v>
      </c>
      <c r="Z291" s="3">
        <f>2082.1+(0-301.6)+(-7.433097+(0--1.076712))+0-82.7--0.295239000000001</f>
        <v>1691.7388539999999</v>
      </c>
      <c r="AA291" s="3">
        <f>2078.4+(0-352.8)+(-6.359904+(0--1.079568))+0-90.7--0.277542000000011</f>
        <v>1629.8972060000001</v>
      </c>
      <c r="AB291" s="3">
        <f>2005.6+(0-343.5)+(-1.022856+(0--0.175185))+0-94.6--0.0482459999999904</f>
        <v>1566.7005750000001</v>
      </c>
      <c r="AC291" s="3">
        <f>1967.9+(0-400.9)+(1.003629+(0-0.204459))+0-92.7-0.0472769999999906</f>
        <v>1475.0518930000001</v>
      </c>
      <c r="AD291">
        <v>1787.7</v>
      </c>
      <c r="AE291" s="3">
        <f>2041+(0-148.2)+(0+(0-0))+0-105.1-0</f>
        <v>1787.7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1924.3+(11.1-477.3)+(-4.906965+(-0.028305--1.217115))+0-59--0.150449999999991</f>
        <v>1395.532295</v>
      </c>
      <c r="G292" s="3">
        <f>1743.3+(104.2-471.4)+(0+(0-0))+0-39.1-0</f>
        <v>1337</v>
      </c>
      <c r="H292" s="3">
        <f>1598+(111.4-307.1)+(-0.81498+(-0.056814--0.156621))+0-88.7--0.045236999999991</f>
        <v>1312.9300639999999</v>
      </c>
      <c r="I292" s="3">
        <f>1586.4+(105.6-308.2)+(1.618128+(0.107712-0.314364))+0-101.9-0.103938000000016</f>
        <v>1283.2075380000001</v>
      </c>
      <c r="J292" s="3">
        <f>1579.3+(97.2-312.8)+(-1.610886+(-0.099144--0.319056))+0-85--0.0867000000000136</f>
        <v>1277.395726</v>
      </c>
      <c r="K292" s="3">
        <f>1593.4+(67.8-324.1)+(2.437902+(0.103734-0.495873))+0-62.4-0.0954720000000036</f>
        <v>1276.6502910000002</v>
      </c>
      <c r="L292" s="3">
        <f>1613.7+(7.6-316)+(0+(0-0))+0-82.2-0</f>
        <v>1223.1000000000001</v>
      </c>
      <c r="M292" s="3">
        <f>1589+(0-296.7)+(-0.81039+(0--0.151317))+0-90.2--0.0460019999999908</f>
        <v>1201.4869289999999</v>
      </c>
      <c r="N292" s="3">
        <f>1712.1+(0-355.5)+(0.873171+(0-0.181305))+0-95-0.0484499999999904</f>
        <v>1262.2434159999998</v>
      </c>
      <c r="O292" s="3">
        <f>1768.9+(28.9-437)+(2.706417+(0.044217-0.66861))+0-30.2-0.0462060000000017</f>
        <v>1332.6358180000002</v>
      </c>
      <c r="P292" s="3">
        <f>1780.4+(40.7-410.6)+(0+(0-0))+0-26.2-0</f>
        <v>1384.3</v>
      </c>
      <c r="Q292" s="3">
        <f>1861.2+(47.5-423.9)+(-2.847636+(-0.072675--0.648567))+0-76.6--0.117198000000004</f>
        <v>1406.0454540000003</v>
      </c>
      <c r="R292" s="3">
        <f>1904.3+(58.9-511.2)+(-4.855965+(-0.150195--1.30356))+0-72.9--0.185894999999989</f>
        <v>1375.5832949999999</v>
      </c>
      <c r="S292" s="3">
        <f>1854+(72.4-488.9)+(-2.83662+(-0.110772--0.748017))+0-78.5--0.120105000000005</f>
        <v>1356.92073</v>
      </c>
      <c r="T292" s="3">
        <f>1832.3+(71.1-473.8)+(-2.803419+(-0.108783--0.724914))+0-93.6--0.143208000000005</f>
        <v>1333.9559199999999</v>
      </c>
      <c r="U292" s="3">
        <f>1868.5+(46.9-488.7)+(2.858805+(0.071757-0.747711))+0-88.3-0.135099000000005</f>
        <v>1340.447752</v>
      </c>
      <c r="V292" s="3">
        <f>1936.5+(13.4-441.1)+(0+(0-0))+0-79-0</f>
        <v>1429.8</v>
      </c>
      <c r="W292" s="3">
        <f>1996.8+(0-299.6)+(-2.036736+(0--0.305592))+0-73.6--0.0750720000000117</f>
        <v>1621.9439279999999</v>
      </c>
      <c r="X292" s="3">
        <f>2159+(0-436)+(-2.20218+(0--0.44472))+0-84.6--0.0862920000000135</f>
        <v>1636.728832</v>
      </c>
      <c r="Y292" s="3">
        <f>2158.1+(0-440.5)+(-2.201262+(0--0.44931))+0-87.5--0.089250000000014</f>
        <v>1628.4372979999998</v>
      </c>
      <c r="Z292" s="3">
        <f>2154.2+(34-482.3)+(-2.197284+(-0.03468--0.491946))+0-90.9--0.0927180000000145</f>
        <v>1613.3526999999999</v>
      </c>
      <c r="AA292" s="3">
        <f>2110.3+(72.1-528)+(-1.076253+(-0.036771--0.26928))+0-88.2--0.0449819999999911</f>
        <v>1565.4012379999999</v>
      </c>
      <c r="AB292" s="3">
        <f>2081.5+(32.9-555.8)+(-2.12313+(-0.033558--0.566916))+0-46--0.0469200000000073</f>
        <v>1511.0571479999999</v>
      </c>
      <c r="AC292" s="3">
        <f>2044.4+(59.3-603.1)+(-4.170576+(-0.120972--1.230324))+0-85.2--0.173807999999996</f>
        <v>1412.5125839999998</v>
      </c>
      <c r="AD292">
        <v>1654.2</v>
      </c>
      <c r="AE292" s="3">
        <f>2175+(0-408.2)+(0+(0-0))+0-112.6-0</f>
        <v>1654.2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1855.5+(47.3-496)+(-4.731525+(-0.120615--1.2648))+0-83.2--0.212159999999988</f>
        <v>1320.2248199999999</v>
      </c>
      <c r="G293" s="3">
        <f>1680.4+(41.8-392.7)+(0+(0-0))+0-76-0</f>
        <v>1253.5</v>
      </c>
      <c r="H293" s="3">
        <f>1663.8+(77-420.4)+(1.697076+(0.07854-0.428808))+0-90.2-0.0920040000000144</f>
        <v>1231.454804</v>
      </c>
      <c r="I293" s="3">
        <f>1653.2+(50.8-404.5)+(-0.843132+(-0.025908--0.206295))+0-97.3--0.0496229999999901</f>
        <v>1201.5868779999998</v>
      </c>
      <c r="J293" s="3">
        <f>1660.2+(24.8-394.8)+(1.693404+(0.025296-0.402696))+0-94.4-0.0962880000000151</f>
        <v>1197.019716</v>
      </c>
      <c r="K293" s="3">
        <f>1698.1+(0-397.6)+(-2.598093+(0--0.608328))+0-86--0.131580000000005</f>
        <v>1212.641815</v>
      </c>
      <c r="L293" s="3">
        <f>1873.9+(0-518.5)+(-1.911378+(0--0.52887))+0-80.8--0.0824160000000129</f>
        <v>1273.2999080000002</v>
      </c>
      <c r="M293" s="3">
        <f>1809.1+(0-455.2)+(-0.922641+(0--0.232152))+0-43.1--0.0219809999999956</f>
        <v>1310.131492</v>
      </c>
      <c r="N293" s="3">
        <f>1751+(0-275.5)+(0.89301+(0-0.140505))+0-51.3-0.0261629999999948</f>
        <v>1424.926342</v>
      </c>
      <c r="O293" s="3">
        <f>1730.1+(0-167.4)+(0+(0-0))+0-62.4-0</f>
        <v>1500.2999999999997</v>
      </c>
      <c r="P293" s="3">
        <f>1744.1+(33.9-135.8)+(0.889491+(0.017289-0.069258))+0-80.1-0.0408509999999919</f>
        <v>1562.896671</v>
      </c>
      <c r="Q293" s="3">
        <f>1812.7+(59.3-250.5)+(-2.773431+(-0.090729--0.383265))+0-31.9--0.0488070000000018</f>
        <v>1587.1679119999999</v>
      </c>
      <c r="R293" s="3">
        <f>1884.6+(65.1-299.7)+(-1.922292+(-0.066402--0.305694))+0-76.6--0.0781320000000122</f>
        <v>1571.7951320000002</v>
      </c>
      <c r="S293" s="3">
        <f>1885.6+(71.6-341.4)+(-1.923312+(-0.073032--0.348228))+0-75.6--0.077112000000012</f>
        <v>1538.6289959999999</v>
      </c>
      <c r="T293" s="3">
        <f>1888.8+(63-355.4)+(1.926576+(0.06426-0.362508))+0-71.7-0.0731340000000114</f>
        <v>1526.2551940000001</v>
      </c>
      <c r="U293" s="3">
        <f>1882.7+(41.2-317.7)+(-1.920354+(-0.042024--0.324054))+0-69.6--0.0709920000000111</f>
        <v>1535.0326680000001</v>
      </c>
      <c r="V293" s="3">
        <f>1890+(10.6-156)+(0+(0-0))+0-95.4-0</f>
        <v>1649.1999999999998</v>
      </c>
      <c r="W293" s="3">
        <f>1947.7+(105.5-96.3)+(1.986654+(0.10761-0.098226))+0-95.3-0.0972060000000152</f>
        <v>1863.4988320000002</v>
      </c>
      <c r="X293" s="3">
        <f>1966.1+(54.3-97.9)+(-3.008133+(-0.083079--0.149787))+0-90.1--0.137853000000005</f>
        <v>1829.5964280000001</v>
      </c>
      <c r="Y293" s="3">
        <f>1959.2+(32.3-100.2)+(-0.999192+(-0.016473--0.051102))+0-92.4--0.0471239999999906</f>
        <v>1797.9825609999998</v>
      </c>
      <c r="Z293" s="3">
        <f>1953.3+(7.4-128.2)+(-3.984732+(-0.015096--0.261528))+0-61.1--0.124643999999997</f>
        <v>1767.7863440000001</v>
      </c>
      <c r="AA293" s="3">
        <f>1899.9+(44.9-172.6)+(-1.937898+(-0.045798--0.176052))+0-75.9--0.0774180000000121</f>
        <v>1694.5697740000001</v>
      </c>
      <c r="AB293" s="3">
        <f>1857.8+(77.8-235.1)+(-0.947478+(-0.039678--0.119901))+0-87.2--0.0444719999999912</f>
        <v>1612.4772169999999</v>
      </c>
      <c r="AC293" s="3">
        <f>1689.5+(93.3-215.9)+(-2.584935+(-0.142749--0.330327))+0-65.6--0.100368000000004</f>
        <v>1499.0030110000002</v>
      </c>
      <c r="AD293">
        <v>1881.6000000000001</v>
      </c>
      <c r="AE293" s="3">
        <f>1968+(109.8-95.4)+(0+(0-0))+0-101.8-0</f>
        <v>1880.6000000000001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1560.4+(100.7-170.3)+(-3.183216+(-0.205428--0.347412))+0-84.7--0.172787999999996</f>
        <v>1403.2315560000002</v>
      </c>
      <c r="G294" s="3">
        <f>1498.9+(106-162.6)+(-2.293317+(-0.16218--0.248778))+0-94.9--0.145197000000005</f>
        <v>1345.3384780000001</v>
      </c>
      <c r="H294" s="3">
        <f>1503.8+(110.6-199.6)+(-0.766938+(-0.056406--0.101796))+0-93.6--0.0477359999999905</f>
        <v>1320.526188</v>
      </c>
      <c r="I294" s="3">
        <f>1503.7+(95.9-207.5)+(-2.300661+(-0.146727--0.317475))+0-94.4--0.144432000000005</f>
        <v>1295.7145190000001</v>
      </c>
      <c r="J294" s="3">
        <f>1606.3+(84.7-314.7)+(0+(0-0))+0-71.3-0</f>
        <v>1305</v>
      </c>
      <c r="K294" s="3">
        <f>1710.4+(50.8-346.9)+(-2.616912+(-0.077724--0.530757))+0-91.3--0.139689000000005</f>
        <v>1320.9758100000004</v>
      </c>
      <c r="L294" s="3">
        <f>1711+(0-376)+(0+(0-0))+0-116-0</f>
        <v>1219</v>
      </c>
      <c r="M294" s="3">
        <f>1780+(0-349)+(0+(0-0))+0-75-0</f>
        <v>1356</v>
      </c>
      <c r="N294" s="3">
        <f>1923+(0-333)+(0+(0-0))+0-93-0</f>
        <v>1497</v>
      </c>
      <c r="O294" s="3">
        <f>1922+(0-262)+(0+(0-0))+0-98-0</f>
        <v>1562</v>
      </c>
      <c r="P294" s="3">
        <f>1900+(0-192)+(0+(0-0))+0-99-0</f>
        <v>1609</v>
      </c>
      <c r="Q294" s="3">
        <f>1908+(0-160)+(0+(0-0))+0-96-0</f>
        <v>1652</v>
      </c>
      <c r="R294" s="3">
        <f>1897+(39-228)+(0+(0-0))+0-96-0</f>
        <v>1612</v>
      </c>
      <c r="S294" s="3">
        <f>1900+(23-262)+(0+(0-0))+0-93-0</f>
        <v>1568</v>
      </c>
      <c r="T294" s="3">
        <f>1896+(23-302)+(-2.90088+(-0.03519--0.46206))+0-98--0.149940000000006</f>
        <v>1516.6759300000001</v>
      </c>
      <c r="U294" s="3">
        <f>1909.8+(54.2-334.9)+(0+(0-0))+0-76.6-0</f>
        <v>1552.5</v>
      </c>
      <c r="V294" s="3">
        <f>1911.1+(8.6-165.8)+(1.949322+(0.008772-0.169116))+0-77.6-0.0791520000000124</f>
        <v>1678.009826</v>
      </c>
      <c r="W294" s="3">
        <f>1930.1+(129.1-97.2)+(1.968702+(0.131682-0.099144))+0-96.9-0.0988380000000155</f>
        <v>1867.0024019999998</v>
      </c>
      <c r="X294" s="3">
        <f>1921.2+(102.8-96.7)+(-1.959624+(-0.104856--0.098634))+0-90.7--0.0925140000000145</f>
        <v>1834.7266679999998</v>
      </c>
      <c r="Y294" s="3">
        <f>1916.5+(67.1-94.8)+(-0.977415+(-0.034221--0.048348))+0-93.3--0.0475829999999905</f>
        <v>1794.5842950000001</v>
      </c>
      <c r="Z294" s="3">
        <f>1913.4+(30.2-93.8)+(-0.975834+(-0.015402--0.047838))+0-90.6--0.0462059999999908</f>
        <v>1758.3028080000004</v>
      </c>
      <c r="AA294" s="3">
        <f>1916.8+(55-199.5)+(0+(0-0))+0-92.2-0</f>
        <v>1680.1</v>
      </c>
      <c r="AB294" s="3">
        <f>1904.9+(119.2-307.4)+(0+(0-0))+0-87.4-0</f>
        <v>1629.3</v>
      </c>
      <c r="AC294" s="3">
        <f>1762.6+(143.2-287.6)+(-2.696778+(-0.219096--0.440028))+0-86.8--0.132804000000005</f>
        <v>1529.0569579999999</v>
      </c>
      <c r="AD294">
        <v>1881.9</v>
      </c>
      <c r="AE294" s="3">
        <f>1936+(143.9-97.4)+(0+(0-0))+0-102.6-0</f>
        <v>1879.9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1688.7+(143.2-333.5)+(-1.722474+(-0.146064--0.34017))+0-80.4--0.0820080000000128</f>
        <v>1416.5536400000001</v>
      </c>
      <c r="G295" s="3">
        <f>1532.5+(142.9-269)+(-4.68945+(-0.437274--0.82314))+0-64.1--0.196146000000007</f>
        <v>1338.1925620000002</v>
      </c>
      <c r="H295" s="3">
        <f>1482+(143.6-226.2)+(0+(0-0))+0-91.8-0</f>
        <v>1307.6000000000001</v>
      </c>
      <c r="I295" s="3">
        <f>1477.3+(143.1-233.6)+(-1.506846+(-0.145962--0.238272))+0-93.2--0.0950640000000149</f>
        <v>1292.280528</v>
      </c>
      <c r="J295" s="3">
        <f>1483.8+(116.4-226.6)+(-0.756738+(-0.059364--0.115566))+0-84.7--0.0431969999999914</f>
        <v>1288.2426609999998</v>
      </c>
      <c r="K295" s="3">
        <f>1505.2+(73.2-181.5)+(2.302956+(0.111996-0.277695))+0-88.7-0.135711000000005</f>
        <v>1310.2015460000002</v>
      </c>
      <c r="L295" s="3">
        <f>1799.2+(14.7-373.6)+(-0.917592+(-0.007497--0.190536))+3.7-94.7--0.0482969999999904</f>
        <v>1348.613744</v>
      </c>
      <c r="M295" s="3">
        <f>1846.9+(0-347.7)+(-1.883838+(0--0.354654))+0-91.1--0.0929220000000145</f>
        <v>1406.6637380000002</v>
      </c>
      <c r="N295" s="3">
        <f>1870.7+(2.1-306.6)+(-2.862171+(-0.003213--0.469098))+0-69.6--0.106488000000004</f>
        <v>1494.3102020000001</v>
      </c>
      <c r="O295" s="3">
        <f>1885.3+(75.3-308.1)+(-0.961503+(-0.038403--0.157131))+0-71.7--0.0365669999999927</f>
        <v>1579.993792</v>
      </c>
      <c r="P295" s="3">
        <f>2005.5+(103.5-398.2)+(-2.04561+(-0.10557--0.406164))+0-72.1--0.0735420000000115</f>
        <v>1637.0285260000001</v>
      </c>
      <c r="Q295" s="3">
        <f>1999.9+(114.6-365.3)+(-2.039898+(-0.116892--0.372606))+0-85.9--0.0876180000000137</f>
        <v>1661.6034339999999</v>
      </c>
      <c r="R295" s="3">
        <f>1987.3+(118.7-365.9)+(-4.054092+(-0.242148--0.746436))+0-87.1--0.177683999999996</f>
        <v>1649.62788</v>
      </c>
      <c r="S295" s="3">
        <f>1989.3+(43.3-324.4)+(-3.043629+(-0.066249--0.496332))+0-91.2--0.139536000000005</f>
        <v>1614.5259899999999</v>
      </c>
      <c r="T295" s="3">
        <f>1908.3+(110.5-326.9)+(-0.973233+(-0.056355--0.166719))+0-91.2--0.0465119999999907</f>
        <v>1599.8836429999999</v>
      </c>
      <c r="U295" s="3">
        <f>1761.3+(68-188)+(-0.898263+(-0.03468--0.09588))+0-74.8--0.0381479999999924</f>
        <v>1565.7010850000001</v>
      </c>
      <c r="V295" s="3">
        <f>1933.9+(26.9-206.8)+(0+(0-0))+0-93-0</f>
        <v>1661</v>
      </c>
      <c r="W295" s="3">
        <f>2040.4+(17.9-113.6)+(-1.040604+(-0.009129--0.057936))+0-79.8--0.0406979999999919</f>
        <v>1863.9489010000002</v>
      </c>
      <c r="X295" s="3">
        <f>2078.3+(0-144.4)+(-3.179799+(0--0.220932))+0-89.9--0.137547000000005</f>
        <v>1841.17868</v>
      </c>
      <c r="Y295" s="3">
        <f>2034.8+(3.4-134)+(-4.150992+(-0.006936--0.27336))+0-90.9--0.185435999999996</f>
        <v>1809.600868</v>
      </c>
      <c r="Z295" s="3">
        <f>1991.4+(32.7-139.8)+(-3.046842+(-0.050031--0.213894))+0-96.5--0.147645000000006</f>
        <v>1785.0646660000002</v>
      </c>
      <c r="AA295" s="3">
        <f>1859.7+(85.6-157.7)+(-5.690682+(-0.261936--0.482562))+0-89.9--0.27509400000001</f>
        <v>1692.5050380000002</v>
      </c>
      <c r="AB295" s="3">
        <f>1857.9+(129.2-252.9)+(-1.895058+(-0.131784--0.257958))+0-79.1--0.0806820000000126</f>
        <v>1653.4117980000001</v>
      </c>
      <c r="AC295" s="3">
        <f>1707.1+(142.7-274.4)+(-0.870621+(-0.072777--0.139944))+0-29.2--0.014891999999997</f>
        <v>1545.4114379999996</v>
      </c>
      <c r="AD295">
        <v>1894.6</v>
      </c>
      <c r="AE295" s="3">
        <f>2095+(0-177.5)+(0+(0-0))+0-25.9-0</f>
        <v>1891.6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1535.3+(144.1-242.8)+(-0.783003+(-0.073491--0.123828))+0-54.7--0.0278969999999945</f>
        <v>1381.1952309999997</v>
      </c>
      <c r="G296" s="3">
        <f>1478.5+(143.9-166.6)+(-3.770175+(-0.366945--0.42483))+0-79--0.201449999999989</f>
        <v>1373.28916</v>
      </c>
      <c r="H296" s="3">
        <f>1422.3+(143.5-146.4)+(-0.725373+(-0.073185--0.074664))+0-81.9--0.0417689999999917</f>
        <v>1336.8178749999997</v>
      </c>
      <c r="I296" s="3">
        <f>1429.3+(144.6-157.5)+(0+(0-0))+0-83.5-0</f>
        <v>1332.8999999999999</v>
      </c>
      <c r="J296" s="3">
        <f>1430.5+(143.8-160.8)+(0.729555+(0.073338-0.082008))+0-83.3-0.0424829999999915</f>
        <v>1330.8784020000001</v>
      </c>
      <c r="K296" s="3">
        <f>1536.1+(90.9-159)+(1.566822+(0.092718-0.16218))+0-85.2-0.0869040000000136</f>
        <v>1384.210456</v>
      </c>
      <c r="L296" s="3">
        <f>1707+(59.1-324)+(-0.87057+(-0.030141--0.16524))+0-60.7--0.0309569999999938</f>
        <v>1380.6954859999998</v>
      </c>
      <c r="M296" s="3">
        <f>1793.4+(56.3-379.5)+(0+(0-0))+0-28-0</f>
        <v>1442.2</v>
      </c>
      <c r="N296" s="3">
        <f>2072.7+(76.8-586.1)+(0+(0-0))+0-22.6-0</f>
        <v>1540.8</v>
      </c>
      <c r="O296" s="3">
        <f>2093+(111.5-557.4)+(0+(0-0))+0-19.8-0</f>
        <v>1627.3</v>
      </c>
      <c r="P296" s="3">
        <f>2074.8+(123-532.3)+(-2.116296+(-0.12546--0.542946))+0-14.9--0.0151980000000024</f>
        <v>1648.9163880000001</v>
      </c>
      <c r="Q296" s="3">
        <f>2048.7+(128.7-466.5)+(-2.089674+(-0.131274--0.47583))+0-18.7--0.019074000000003</f>
        <v>1690.4739559999998</v>
      </c>
      <c r="R296" s="3">
        <f>1959.7+(132.7-422.5)+(-4.997235+(-0.338385--1.077375))+0-21.2--0.0540599999999969</f>
        <v>1644.495815</v>
      </c>
      <c r="S296" s="3">
        <f>2030+(137.9-517.3)+(1.0353+(0.070329-0.263823))+0-20.9-0.0106589999999979</f>
        <v>1630.5311469999997</v>
      </c>
      <c r="T296" s="3">
        <f>1972.7+(134-485.1)+(1.006077+(0.06834-0.247401))+0-29.9-0.015248999999997</f>
        <v>1592.5117669999997</v>
      </c>
      <c r="U296" s="3">
        <f>1973.4+(122.1-454.5)+(0+(0-0))+0-54.6-0</f>
        <v>1586.4</v>
      </c>
      <c r="V296" s="3">
        <f>2069.5+(83.7-381)+(-3.166335+(-0.128061--0.58293))+0-76.8--0.117504000000004</f>
        <v>1692.8060380000002</v>
      </c>
      <c r="W296" s="3">
        <f>2169.4+(30.4-232.1)+(-2.212788+(-0.031008--0.236742))+0-82.5--0.0841500000000132</f>
        <v>1883.277096</v>
      </c>
      <c r="X296" s="3">
        <f>2234+(30.2-324.2)+(-3.41802+(-0.046206--0.496026))+0-63.9--0.0977670000000037</f>
        <v>1873.2295669999999</v>
      </c>
      <c r="Y296" s="3">
        <f>2233.5+(43.5-369.3)+(-5.695425+(-0.110925--0.941715))+0-61.1--0.155804999999991</f>
        <v>1841.8911700000003</v>
      </c>
      <c r="Z296" s="3">
        <f>2199.4+(61.9-360)+(-1.121694+(-0.031569--0.1836))+0-93--0.0474299999999906</f>
        <v>1807.3777670000002</v>
      </c>
      <c r="AA296" s="3">
        <f>2169.7+(55.3-411)+(-4.426188+(-0.112812--0.83844))+0-81.1--0.165443999999996</f>
        <v>1729.3648839999998</v>
      </c>
      <c r="AB296" s="3">
        <f>2052.4+(94.1-385.6)+(-5.23362+(-0.239955--0.98328))+0-85.8--0.218789999999988</f>
        <v>1670.828495</v>
      </c>
      <c r="AC296" s="3">
        <f>1745.7+(123.1-230.3)+(-6.232149+(-0.439467--0.822171))+0-64.6--0.230622000000001</f>
        <v>1568.2811770000001</v>
      </c>
      <c r="AD296">
        <v>1914.5</v>
      </c>
      <c r="AE296" s="3">
        <f>2247+(26.8-340.9)+(0+(0-0))+0-24.4-0</f>
        <v>1908.5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1648.3+(59.6-199.5)+(-1.681266+(-0.060792--0.20349))+2-65.4--0.0667080000000104</f>
        <v>1443.5281399999999</v>
      </c>
      <c r="G297" s="3">
        <f>1646.4+(18.2-213)+(-3.358656+(-0.037128--0.43452))+0-84--0.171359999999996</f>
        <v>1364.8100960000002</v>
      </c>
      <c r="H297" s="3">
        <f>1609.2+(40.6-287.4)+(-0.820692+(-0.020706--0.146574))+1.8-33.3--0.0169829999999966</f>
        <v>1330.2221590000001</v>
      </c>
      <c r="I297" s="3">
        <f>1583.2+(117.2-294.2)+(-2.422296+(-0.179316--0.450126))+0-89--0.136170000000005</f>
        <v>1315.1846840000001</v>
      </c>
      <c r="J297" s="3">
        <f>1641.5+(109.8-350.5)+(0+(0-0))+0-92.8-0</f>
        <v>1308</v>
      </c>
      <c r="K297" s="3">
        <f>1752.2+(94-429.9)+(0+(0-0))+0-83-0</f>
        <v>1333.3000000000002</v>
      </c>
      <c r="L297" s="3">
        <f>1992.7+(38.7-582.5)+(0+(0-0))+0-67.4-0</f>
        <v>1381.5</v>
      </c>
      <c r="M297" s="3">
        <f>2009.4+(62.9-578.7)+(1.024794+(0.032079-0.295137))+0-43.3-0.0220829999999956</f>
        <v>1451.0396529999998</v>
      </c>
      <c r="N297" s="3">
        <f>2029+(97.1-486.3)+(2.06958+(0.099042-0.496026))+0-84.3-0.0859860000000134</f>
        <v>1557.0866100000001</v>
      </c>
      <c r="O297" s="3">
        <f>2062.1+(118.9-530.3)+(3.155013+(0.181917-0.811359))+0-22.2-0.0339660000000013</f>
        <v>1630.9916049999997</v>
      </c>
      <c r="P297" s="3">
        <f>2085+(117.3-438.9)+(2.1267+(0.119646-0.447678))+0-87-0.0887400000000139</f>
        <v>1678.1099280000001</v>
      </c>
      <c r="Q297" s="3">
        <f>2086.9+(113.3-459.3)+(-2.128638+(-0.115566--0.468486))+0-84.3--0.0859860000000134</f>
        <v>1654.9102680000001</v>
      </c>
      <c r="R297" s="3">
        <f>2070.4+(89.6-483.5)+(-6.335424+(-0.274176--1.47951))+0-33.2--0.101592000000004</f>
        <v>1638.2715019999998</v>
      </c>
      <c r="S297" s="3">
        <f>2105+(111.7-568)+(1.07355+(0.056967-0.28968))+0-19.8-0.010097999999998</f>
        <v>1629.7307390000001</v>
      </c>
      <c r="T297" s="3">
        <f>2107.8+(65.2-497.7)+(1.074978+(0.033252-0.253827))+0-74.6-0.0380459999999924</f>
        <v>1601.5163570000004</v>
      </c>
      <c r="U297" s="3">
        <f>2105.8+(0-485.9)+(1.073958+(0-0.247809))+0-36.1-0.0184109999999963</f>
        <v>1584.6077380000002</v>
      </c>
      <c r="V297" s="3">
        <f>2259.5+(0-475.8)+(-1.152345+(0--0.242658))+0-73.4--0.0374339999999926</f>
        <v>1709.427747</v>
      </c>
      <c r="W297" s="3">
        <f>2477+(0-499.9)+(-1.26327+(0--0.254949))+0-50.6--0.0258059999999949</f>
        <v>1925.5174850000001</v>
      </c>
      <c r="X297" s="3">
        <f>2518+(0-574.2)+(-2.56836+(0--0.585684))+0-24.7--0.0251940000000039</f>
        <v>1917.1425179999999</v>
      </c>
      <c r="Y297" s="3">
        <f>2463.9+(0-542)+(-1.256589+(0--0.27642))+0-38.6--0.0196859999999961</f>
        <v>1882.3395170000003</v>
      </c>
      <c r="Z297" s="3">
        <f>2401.4+(0-483.2)+(-1.224714+(0--0.246432))+0-86.2--0.0439619999999913</f>
        <v>1831.0656799999999</v>
      </c>
      <c r="AA297" s="3">
        <f>2326.9+(14.3-485.3)+(-4.746876+(-0.029172--0.990012))+0-91.3--0.186251999999996</f>
        <v>1761.0002160000001</v>
      </c>
      <c r="AB297" s="3">
        <f>2221.3+(95.6-526.8)+(1.132863+(0.048756-0.268668))+0-87.3-0.0445229999999911</f>
        <v>1703.6684280000004</v>
      </c>
      <c r="AC297" s="3">
        <f>2044+(115.6-492)+(-5.2122+(-0.29478--1.2546))+0-87.6--0.223379999999987</f>
        <v>1575.971</v>
      </c>
      <c r="AD297">
        <v>1960.8</v>
      </c>
      <c r="AE297" s="3">
        <f>2542+(0-564.2)+(0+(0-0))+0-23-0</f>
        <v>1954.8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1947.6+(124.2-494.6)+(-1.986552+(-0.126684--0.504492))+0-90.7--0.0925140000000145</f>
        <v>1484.9837699999998</v>
      </c>
      <c r="G298" s="3">
        <f>1906.5+(131.7-533.9)+(0.972315+(0.067167-0.272289))+0-86.1-0.0439109999999913</f>
        <v>1418.923282</v>
      </c>
      <c r="H298" s="3">
        <f>1824.8+(129.6-492.7)+(0+(0-0))+0-85.1-0</f>
        <v>1376.6</v>
      </c>
      <c r="I298" s="3">
        <f>1835.2+(97.7-507.4)+(0.935952+(0.049827-0.258774))+0-83.5-0.0425849999999915</f>
        <v>1342.68442</v>
      </c>
      <c r="J298" s="3">
        <f>1755.2+(40.4-362.7)+(-4.47576+(-0.10302--0.924885))+0-81.7--0.208334999999988</f>
        <v>1347.7544400000002</v>
      </c>
      <c r="K298" s="3">
        <f>1765.4+(4.7-411.2)+(1.800708+(0.004794-0.419424))+0-76.9-0.0784380000000123</f>
        <v>1283.30764</v>
      </c>
      <c r="L298" s="3">
        <f>1907+(0-437.3)+(0+(0-0))+0-73.9-0</f>
        <v>1395.8</v>
      </c>
      <c r="M298" s="3">
        <f>1942.4+(29.2-511.4)+(-0.990624+(-0.014892--0.260814))+0-64.3--0.0327929999999935</f>
        <v>1395.1880910000002</v>
      </c>
      <c r="N298" s="3">
        <f>2164.6+(45.3-533.1)+(2.207892+(0.046206-0.543762))+0-86-0.0877200000000137</f>
        <v>1592.4226160000001</v>
      </c>
      <c r="O298" s="3">
        <f>2145.5+(39.1-483.4)+(3.282615+(0.059823-0.739602))+0-27.3-0.0417690000000016</f>
        <v>1676.4610670000002</v>
      </c>
      <c r="P298" s="3">
        <f>2213.1+(0-529)+(0+(0-0))+0-57.4-0</f>
        <v>1626.6999999999998</v>
      </c>
      <c r="Q298" s="3">
        <f>2382.1+(0-574.1)+(-2.429742+(0--0.585582))+0-82.5--0.0841500000000132</f>
        <v>1723.7399899999998</v>
      </c>
      <c r="R298" s="3">
        <f>2362.1+(0-569.6)+(-3.614013+(0--0.871488))+0-83.4--0.127602000000005</f>
        <v>1706.485077</v>
      </c>
      <c r="S298" s="3">
        <f>2214.2+(0-490.5)+(-5.64621+(0--1.250775))+0-84.5--0.215474999999988</f>
        <v>1635.0200399999999</v>
      </c>
      <c r="T298" s="3">
        <f>2218.8+(0-539)+(-6.789528+(0--1.64934))+0-85.3--0.26101800000001</f>
        <v>1589.6208300000001</v>
      </c>
      <c r="U298" s="3">
        <f>2238.6+(0-548.6)+(-4.566744+(0--1.119144))+0-89.9--0.183395999999996</f>
        <v>1596.8357959999998</v>
      </c>
      <c r="V298" s="3">
        <f>2226.6+(0-503)+(-1.135566+(0--0.25653))+0-59--0.030089999999994</f>
        <v>1663.7510539999998</v>
      </c>
      <c r="W298" s="3">
        <f>2431.3+(0-460.1)+(-2.479926+(0--0.469302))+0-93.9--0.095778000000015</f>
        <v>1875.3851540000003</v>
      </c>
      <c r="X298" s="3">
        <f>2400.5+(0-443.5)+(-3.672765+(0--0.678555))+0-90.2--0.138006000000005</f>
        <v>1863.9437959999998</v>
      </c>
      <c r="Y298" s="3">
        <f>2237.2+(0-326.8)+(0+(0-0))+0-89.6-0</f>
        <v>1820.8</v>
      </c>
      <c r="Z298" s="3">
        <f>2146.4+(0-260.5)+(-1.094664+(0--0.132855))+0-92.4--0.0471239999999906</f>
        <v>1792.585315</v>
      </c>
      <c r="AA298" s="3">
        <f>2046.9+(0-256.7)+(-2.087838+(0--0.261834))+0-78.2--0.0797640000000125</f>
        <v>1710.2537600000001</v>
      </c>
      <c r="AB298" s="3">
        <f>1985.7+(0-248.2)+(-3.038121+(0--0.379746))+0-81.9--0.125307000000005</f>
        <v>1653.066932</v>
      </c>
      <c r="AC298" s="3">
        <f>1978.1+(0-332.6)+(-5.044155+(0--0.84813))+0-84--0.214199999999988</f>
        <v>1557.5181749999999</v>
      </c>
      <c r="AD298">
        <v>1892.6</v>
      </c>
      <c r="AE298" s="3">
        <f>2474+(0-478.4)+(0+(0-0))+0-108-0</f>
        <v>1887.6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2039.3+(0-508.9)+(-1.040043+(0--0.259539))+0-42.2--0.0215219999999957</f>
        <v>1487.441018</v>
      </c>
      <c r="G299" s="3">
        <f>2055.5+(0-540.4)+(-1.048305+(0--0.275604))+0-87.7--0.0447269999999911</f>
        <v>1426.6720259999997</v>
      </c>
      <c r="H299" s="3">
        <f>1966.5+(0-489.1)+(-1.002915+(0--0.249441))+0-89.5--0.0456449999999909</f>
        <v>1387.1921709999999</v>
      </c>
      <c r="I299" s="3">
        <f>1898.6+(0-447)+(1.936572+(0-0.45594))+0-88.1-0.089862000000014</f>
        <v>1364.89077</v>
      </c>
      <c r="J299" s="3">
        <f>1814.6+(0-372.3)+(-1.850892+(0--0.379746))+0-89.3--0.0910860000000142</f>
        <v>1351.6199399999998</v>
      </c>
      <c r="K299" s="3">
        <f>1776.3+(0-337.7)+(-0.905913+(0--0.172227))+0-87.8--0.0447779999999911</f>
        <v>1350.1110919999999</v>
      </c>
      <c r="L299" s="3">
        <f>1783.5+(0-369)+(0.909585+(0-0.18819))+0-93.9-0.0478889999999905</f>
        <v>1321.273506</v>
      </c>
      <c r="M299" s="3">
        <f>1769.5+(0-373.2)+(-1.80489+(0--0.380664))+0-85.5--0.0872100000000136</f>
        <v>1309.4629839999998</v>
      </c>
      <c r="N299" s="3">
        <f>1893.7+(0-486.4)+(0+(0-0))+0-28.9-0</f>
        <v>1378.4</v>
      </c>
      <c r="O299" s="3">
        <f>1980.4+(0-442)+(-2.020008+(0--0.45084))+0-82--0.0836400000000131</f>
        <v>1454.9144720000002</v>
      </c>
      <c r="P299" s="3">
        <f>2066+(0-481.2)+(-1.05366+(0--0.245412))+0-39.9--0.020348999999996</f>
        <v>1544.1121009999997</v>
      </c>
      <c r="Q299" s="3">
        <f>2083.1+(0-474.6)+(-2.124762+(0--0.484092))+0-61.4--0.0626280000000098</f>
        <v>1545.5219579999998</v>
      </c>
      <c r="R299" s="3">
        <f>2074.2+(0-504.4)+(1.057842+(0-0.257244))+0-85.7-0.0437069999999913</f>
        <v>1484.8568909999997</v>
      </c>
      <c r="S299" s="3">
        <f>1999.9+(0-429.5)+(-4.079796+(0--0.87618))+0-88.8--0.181151999999996</f>
        <v>1478.577536</v>
      </c>
      <c r="T299" s="3">
        <f>2000.1+(0-462.1)+(-1.020051+(0--0.235671))+0-84.7--0.0431969999999914</f>
        <v>1452.5588169999999</v>
      </c>
      <c r="U299" s="3">
        <f>1955.8+(0-412.5)+(0+(0-0))+0-95-0</f>
        <v>1448.3</v>
      </c>
      <c r="V299" s="3">
        <f>2024.4+(31-426.5)+(-3.097332+(-0.04743--0.652545))+0-85.3--0.130509000000005</f>
        <v>1541.2382920000002</v>
      </c>
      <c r="W299" s="3">
        <f>2235.5+(20.1-442.3)+(-4.56042+(-0.041004--0.902292))+0-93.7--0.191147999999996</f>
        <v>1716.0920159999998</v>
      </c>
      <c r="X299" s="3">
        <f>2316.4+(19.4-532.6)+(-5.90682+(-0.04947--1.35813))+0-103.6--0.264179999999985</f>
        <v>1695.26602</v>
      </c>
      <c r="Y299" s="3">
        <f>2211.7+(22.7-461.7)+(-1.127967+(-0.011577--0.235467))+0-92--0.0469199999999907</f>
        <v>1679.8428429999999</v>
      </c>
      <c r="Z299" s="3">
        <f>2157.7+(53.6-430)+(-4.401708+(-0.109344--0.8772))+0-86.1--0.175643999999996</f>
        <v>1691.7417919999998</v>
      </c>
      <c r="AA299" s="3">
        <f>2149.8+(89.9-498.3)+(-3.289194+(-0.137547--0.762399))+0-88.4--0.135252000000005</f>
        <v>1650.47091</v>
      </c>
      <c r="AB299" s="3">
        <f>2109.8+(90.2-520.7)+(-2.151996+(-0.092004--0.531114))+0-90.4--0.0922080000000144</f>
        <v>1587.2793220000001</v>
      </c>
      <c r="AC299" s="3">
        <f>1944.9+(120.8-449.1)+(-2.975697+(-0.184824--0.687123))+0-103.5--0.158355000000006</f>
        <v>1510.7849570000001</v>
      </c>
      <c r="AD299">
        <v>1739.4</v>
      </c>
      <c r="AE299" s="3">
        <f>2337+(26-526.3)+(0+(0-0))+0-103.3-0</f>
        <v>1733.4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1855.9+(119-507.6)+(-0.946509+(-0.06069--0.258876))+0-69--0.035189999999993</f>
        <v>1397.5868670000002</v>
      </c>
      <c r="G300" s="3">
        <f>1789.9+(120.2-487.7)+(-0.912849+(-0.061302--0.248727))+0-89.5--0.0456449999999909</f>
        <v>1332.220221</v>
      </c>
      <c r="H300" s="3">
        <f>1787+(118.1-484.6)+(-1.82274+(-0.120462--0.494292))+0-94.9--0.0967980000000151</f>
        <v>1324.2478879999999</v>
      </c>
      <c r="I300" s="3">
        <f>1786.4+(113.3-497.7)+(0+(0-0))+0-77.4-0</f>
        <v>1324.6</v>
      </c>
      <c r="J300" s="3">
        <f>1744.2+(101-482)+(-2.668626+(-0.15453--0.73746))+0-99.2--0.151776000000006</f>
        <v>1262.0660799999998</v>
      </c>
      <c r="K300" s="3">
        <f>1762.9+(68.9-440.7)+(0+(0-0))+0-92.6-0</f>
        <v>1298.5000000000002</v>
      </c>
      <c r="L300" s="3">
        <f>1784.7+(25.6-449)+(1.820394+(0.026112-0.45798))+0-74.7-0.0761940000000119</f>
        <v>1287.9123320000001</v>
      </c>
      <c r="M300" s="3">
        <f>1761.8+(24.8-457.6)+(-0.898518+(-0.012648--0.233376))+0-27.9--0.0142289999999972</f>
        <v>1300.4364389999998</v>
      </c>
      <c r="N300" s="3">
        <f>1784.5+(21.9-456.3)+(2.730285+(0.033507-0.698139))+0-28.1-0.0429930000000016</f>
        <v>1324.0226600000001</v>
      </c>
      <c r="O300" s="3">
        <f>1807.4+(27.9-386.3)+(0+(0-0))+0-60.6-0</f>
        <v>1388.4</v>
      </c>
      <c r="P300" s="3">
        <f>1931.5+(32.9-472.9)+(-0.985065+(-0.016779--0.241179))+0-76.9--0.0392189999999922</f>
        <v>1413.8785539999999</v>
      </c>
      <c r="Q300" s="3">
        <f>1994.1+(46.7-496.9)+(-1.016991+(-0.023817--0.253419))+0-90.7--0.0462569999999908</f>
        <v>1452.4588679999997</v>
      </c>
      <c r="R300" s="3">
        <f>1953+(55.6-473)+(-3.98412+(-0.113424--0.96492))+0-98.5--0.200939999999996</f>
        <v>1434.1683159999998</v>
      </c>
      <c r="S300" s="3">
        <f>1885.1+(58.5-444.9)+(0.961401+(0.029835-0.226899))+0-91.2-0.0465119999999907</f>
        <v>1408.2178249999999</v>
      </c>
      <c r="T300" s="3">
        <f>1779.3+(64.3-347.8)+(-2.722329+(-0.098379--0.532134))+0-87.8--0.134334000000005</f>
        <v>1405.8457600000002</v>
      </c>
      <c r="U300" s="3">
        <f>1654.4+(46.5-234.8)+(-0.843744+(-0.023715--0.119748))+0-90.8--0.0463079999999908</f>
        <v>1374.5985970000002</v>
      </c>
      <c r="V300" s="3">
        <f>1754.8+(17.5-242.2)+(-1.789896+(-0.01785--0.247044))+0-86.2--0.0879240000000137</f>
        <v>1442.4272219999998</v>
      </c>
      <c r="W300" s="3">
        <f>2219+(0-519.9)+(2.26338+(0-0.530298))+0-63.4-0.0646680000000101</f>
        <v>1637.3684139999998</v>
      </c>
      <c r="X300" s="3">
        <f>2230+(0-481)+(-4.5492+(0--0.98124))+0-97.3--0.198491999999996</f>
        <v>1648.3305319999999</v>
      </c>
      <c r="Y300" s="3">
        <f>2139+(10.6-417.1)+(-4.36356+(-0.021624--0.850884))+0-95.8--0.195431999999996</f>
        <v>1633.361132</v>
      </c>
      <c r="Z300" s="3">
        <f>2028.4+(30.2-369)+(0+(0-0))+0-91-0</f>
        <v>1598.6000000000001</v>
      </c>
      <c r="AA300" s="3">
        <f>2022.7+(74.2-443.2)+(-1.031577+(-0.037842--0.226032))+0-95.6--0.0487559999999903</f>
        <v>1557.3053690000002</v>
      </c>
      <c r="AB300" s="3">
        <f>1882.7+(114.9-400.2)+(-0.960177+(-0.058599--0.204102))+0-92.1--0.0469709999999907</f>
        <v>1504.5322970000002</v>
      </c>
      <c r="AC300" s="3">
        <f>1786.4+(105.9-401.7)+(-3.644256+(-0.216036--0.819468))+0-89--0.181559999999996</f>
        <v>1398.7407360000002</v>
      </c>
      <c r="AD300">
        <v>1675.8000000000002</v>
      </c>
      <c r="AE300" s="3">
        <f>2251+(0-482.6)+(0+(0-0))+0-98.6-0</f>
        <v>1669.8000000000002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1666.6+(100.4-440.1)+(-3.399864+(-0.204816--0.897804))+0-77.2--0.157487999999997</f>
        <v>1247.1506119999999</v>
      </c>
      <c r="G301" s="3">
        <f>1619.5+(111.8-378.4)+(-2.477835+(-0.171054--0.578952))+0-90.6--0.138618000000005</f>
        <v>1260.3686810000002</v>
      </c>
      <c r="H301" s="3">
        <f>1618.8+(113.3-426)+(-0.825588+(-0.057783--0.21726))+0-68.3--0.0348329999999931</f>
        <v>1237.1687219999999</v>
      </c>
      <c r="I301" s="3">
        <f>1603.7+(117.8-404.4)+(-3.271548+(-0.240312--0.824976))+0-87.9--0.179315999999996</f>
        <v>1226.6924320000001</v>
      </c>
      <c r="J301" s="3">
        <f>1603.8+(126.3-406.3)+(-2.453814+(-0.193239--0.621639))+0-97--0.148410000000006</f>
        <v>1224.922996</v>
      </c>
      <c r="K301" s="3">
        <f>1630.1+(115-404.2)+(0.831351+(0.05865-0.206142))+0-87.2-0.0444719999999912</f>
        <v>1254.3393869999998</v>
      </c>
      <c r="L301" s="3">
        <f>1617.3+(91.9-332.2)+(-1.649646+(-0.093738--0.338844))+0-94.4--0.0962880000000151</f>
        <v>1281.2917479999999</v>
      </c>
      <c r="M301" s="3">
        <f>1708.3+(81.9-374.9)+(0.871233+(0.041769-0.191199))+0-71-0.0362099999999928</f>
        <v>1344.9855929999999</v>
      </c>
      <c r="N301" s="3">
        <f>2017+(70.8-514)+(0+(0-0))+0-87.5-0</f>
        <v>1486.3</v>
      </c>
      <c r="O301" s="3">
        <f>2052.7+(78.2-475.9)+(1.046877+(0.039882-0.242709))+0-82.4-0.0420239999999916</f>
        <v>1573.4020259999995</v>
      </c>
      <c r="P301" s="3">
        <f>2153.8+(91.2-549.8)+(0+(0-0))+0-62.7-0</f>
        <v>1632.5000000000002</v>
      </c>
      <c r="Q301" s="3">
        <f>2147.5+(103.2-507.9)+(-4.3809+(-0.210528--1.036116))+0-98.1--0.200123999999996</f>
        <v>1641.344812</v>
      </c>
      <c r="R301" s="3">
        <f>2162.2+(111.2-530.9)+(-4.410888+(-0.226848--1.083036))+0-101.8--0.207671999999996</f>
        <v>1637.3529719999999</v>
      </c>
      <c r="S301" s="3">
        <f>2096.3+(113.8-525.9)+(-4.276452+(-0.232152--1.072836))+0-88.7--0.180947999999996</f>
        <v>1592.2451800000001</v>
      </c>
      <c r="T301" s="3">
        <f>2058+(102.2-511.5)+(1.04958+(0.052122-0.260865))+0-99.2-0.0505919999999899</f>
        <v>1550.2902449999999</v>
      </c>
      <c r="U301" s="3">
        <f>2045.9+(61.2-508.5)+(-1.043409+(-0.031212--0.259335))+0-64.8--0.0330479999999934</f>
        <v>1533.0177620000002</v>
      </c>
      <c r="V301" s="3">
        <f>2136.4+(24.3-469.8)+(-1.089564+(-0.012393--0.239598))+0-81--0.0413099999999918</f>
        <v>1609.0789510000002</v>
      </c>
      <c r="W301" s="3">
        <f>2428+(12.4-520.9)+(3.71484+(0.018972-0.796977))+0-78.9-0.120717000000005</f>
        <v>1843.4161179999999</v>
      </c>
      <c r="X301" s="3">
        <f>2447.2+(10.8-497)+(0+(0-0))+0-88.4-0</f>
        <v>1872.5999999999997</v>
      </c>
      <c r="Y301" s="3">
        <f>2468.8+(19.1-554.7)+(-3.777264+(-0.029223--0.848691))+0-96.2--0.147186000000006</f>
        <v>1834.1893900000002</v>
      </c>
      <c r="Z301" s="3">
        <f>2422.8+(43-563.3)+(1.235628+(0.02193-0.287283))+0-98.1-0.05003099999999</f>
        <v>1805.3202440000002</v>
      </c>
      <c r="AA301" s="3">
        <f>2278.8+(94.4-547.2)+(-4.648752+(-0.192576--1.116288))+0-89.4--0.182375999999996</f>
        <v>1733.0573359999999</v>
      </c>
      <c r="AB301" s="3">
        <f>2004.5+(126.5-384.6)+(-1.022295+(-0.064515--0.196146))+0-97.6--0.0497759999999901</f>
        <v>1647.9591120000002</v>
      </c>
      <c r="AC301" s="3">
        <f>1899.9+(143.3-412.9)+(-4.844745+(-0.365415--1.052895))+0-87.9--0.224144999999987</f>
        <v>1538.4668799999999</v>
      </c>
      <c r="AD301">
        <v>1875.4</v>
      </c>
      <c r="AE301" s="3">
        <f>2463+(6.5-572.1)+(0+(0-0))+0-27-0</f>
        <v>1870.4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1720.1+(143.6-364.7)+(0+(0-0))+0-89.9-0</f>
        <v>1409.1</v>
      </c>
      <c r="G302" s="3">
        <f>1595.5+(143.5-300.8)+(-1.62741+(-0.14637--0.306816))+0-92.8--0.0946560000000148</f>
        <v>1344.0276920000001</v>
      </c>
      <c r="H302" s="3">
        <f>1547.5+(143.5-300.2)+(-0.789225+(-0.073185--0.153102))+0-84.4--0.0430439999999914</f>
        <v>1305.7337359999999</v>
      </c>
      <c r="I302" s="3">
        <f>1600.7+(143.2-347.6)+(2.449071+(0.219096-0.531828))+0-99.5-0.152235000000006</f>
        <v>1298.7841039999998</v>
      </c>
      <c r="J302" s="3">
        <f>1623+(121.6-384.7)+(-0.82773+(-0.062016--0.196197))+0-77--0.0392699999999922</f>
        <v>1282.245721</v>
      </c>
      <c r="K302" s="3">
        <f>1696+(93-378.7)+(0+(0-0))+0-92-0</f>
        <v>1318.3</v>
      </c>
      <c r="L302" s="3">
        <f>1842+(46.7-439.4)+(0.93942+(0.023817-0.224094))+0-93.4-0.0476339999999905</f>
        <v>1356.5915089999999</v>
      </c>
      <c r="M302" s="3">
        <f>1883.1+(57.6-454.9)+(-0.960381+(-0.029376--0.231999))+0-92.2--0.0470219999999906</f>
        <v>1392.8892639999999</v>
      </c>
      <c r="N302" s="3">
        <f>1972+(0-382.4)+(0+(0-0))+0-74.9-0</f>
        <v>1514.6999999999998</v>
      </c>
      <c r="O302" s="3">
        <f>2106+(0-427.4)+(-1.07406+(0--0.217974))+0-92.3--0.0470729999999906</f>
        <v>1585.4909869999999</v>
      </c>
      <c r="P302" s="3">
        <f>2107.1+(0-358.8)+(-3.223863+(0--0.548964))+0-94.8--0.145044000000005</f>
        <v>1650.970145</v>
      </c>
      <c r="Q302" s="3">
        <f>2114+(0-373.2)+(-4.31256+(0--0.761328))+0-92--0.187679999999996</f>
        <v>1645.4364479999999</v>
      </c>
      <c r="R302" s="3">
        <f>2121.7+(0-404.3)+(-2.164134+(0--0.412386))+0-101.6--0.103632000000016</f>
        <v>1614.1518840000001</v>
      </c>
      <c r="S302" s="3">
        <f>2147.6+(0-481.4)+(0+(0-0))+0-60.3-0</f>
        <v>1605.8999999999999</v>
      </c>
      <c r="T302" s="3">
        <f>2137.2+(0-468.1)+(-1.089972+(0--0.238731))+0-91.2--0.0465119999999907</f>
        <v>1577.0952709999997</v>
      </c>
      <c r="U302" s="3">
        <f>2167+(0-509.4)+(1.10517+(0-0.259794))+0-77.8-0.0396779999999921</f>
        <v>1580.6056979999998</v>
      </c>
      <c r="V302" s="3">
        <f>2225.3+(0-501.2)+(1.134903+(0-0.255612))+0-58.3-0.0297329999999941</f>
        <v>1666.6495580000001</v>
      </c>
      <c r="W302" s="3">
        <f>2399.1+(0-454.3)+(1.223541+(0-0.231693))+0-55.5-0.0283049999999944</f>
        <v>1890.2635429999998</v>
      </c>
      <c r="X302" s="3">
        <f>2382.8+(0-411.3)+(-4.860912+(0--0.839052))+0-95.1--0.194003999999996</f>
        <v>1872.5721440000002</v>
      </c>
      <c r="Y302" s="3">
        <f>2353.5+(0-410.7)+(-1.200285+(0--0.209457))+0-96.3--0.0491129999999902</f>
        <v>1845.5582850000001</v>
      </c>
      <c r="Z302" s="3">
        <f>2322.9+(31.9-449.5)+(-3.554037+(-0.048807--0.687735))+0-94--0.143820000000005</f>
        <v>1808.5287110000002</v>
      </c>
      <c r="AA302" s="3">
        <f>2287+(83.3-549.8)+(-3.49911+(-0.127449--0.841194))+0-73.9--0.113067000000004</f>
        <v>1743.927702</v>
      </c>
      <c r="AB302" s="3">
        <f>2133.2+(128.1-481.4)+(-3.263796+(-0.195993--0.736542))+0-88.4--0.135252000000005</f>
        <v>1688.9120049999999</v>
      </c>
      <c r="AC302" s="3">
        <f>2118.8+(134.3-491.7)+(-3.241764+(-0.205479--0.752301))+0-102.3--0.156519000000006</f>
        <v>1656.5615770000002</v>
      </c>
      <c r="AD302">
        <v>1836.6</v>
      </c>
      <c r="AE302" s="3">
        <f>2407+(0-420.2)+(0+(0-0))+0-102.2-0</f>
        <v>1884.6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1878.3+(143.2-332.5)+(-2.873799+(-0.219096--0.508725))+0-78.1--0.119493000000004</f>
        <v>1608.4353229999999</v>
      </c>
      <c r="G303" s="3">
        <f>1869.9+(144.5-371)+(-1.907298+(-0.14739--0.37842))+0-91.1--0.0929220000000145</f>
        <v>1550.7166540000003</v>
      </c>
      <c r="H303" s="3">
        <f>1887+(144.2-420.7)+(0.96237+(0.073542-0.214557))+0-93.7-0.0477869999999905</f>
        <v>1517.573568</v>
      </c>
      <c r="I303" s="3">
        <f>1868.1+(144.5-418.7)+(-2.858193+(-0.221085--0.640611))+0-91.4--0.139842000000005</f>
        <v>1500.2011749999999</v>
      </c>
      <c r="J303" s="3">
        <f>1844.4+(139.4-414.5)+(1.881288+(0.142188-0.42279))+0-73.8-0.0752760000000118</f>
        <v>1497.0254100000002</v>
      </c>
      <c r="K303" s="3">
        <f>1910.2+(98.4-396)+(2.922606+(0.150552-0.60588))+0-90.1-0.137853000000005</f>
        <v>1524.8294250000001</v>
      </c>
      <c r="L303" s="3">
        <f>2007.2+(55.9-449.7)+(2.047344+(0.057018-0.458694))+0-65.7-0.0670140000000105</f>
        <v>1549.278654</v>
      </c>
      <c r="M303" s="3">
        <f>2029.3+(62.5-471.9)+(0+(0-0))+0-30-0</f>
        <v>1589.9</v>
      </c>
      <c r="N303" s="3">
        <f>2157.9+(0-422.3)+(0+(0-0))+0-26.3-0</f>
        <v>1709.3000000000002</v>
      </c>
      <c r="O303" s="3">
        <f>2196.2+(0-421.8)+(-1.120062+(0--0.215118))+0-25.8--0.0131579999999974</f>
        <v>1747.708214</v>
      </c>
      <c r="P303" s="3">
        <f>2171.8+(0-465.8)+(-2.215236+(0--0.475116))+0-24.2--0.0246840000000039</f>
        <v>1680.0845640000002</v>
      </c>
      <c r="Q303" s="3">
        <f>2171.3+(0-447.4)+(-1.107363+(0--0.228174))+0-25.6--0.0130559999999974</f>
        <v>1697.4338670000002</v>
      </c>
      <c r="R303" s="3">
        <f>2119.9+(0-443.1)+(-3.243447+(0--0.677943))+0-23--0.0351900000000013</f>
        <v>1651.2696860000003</v>
      </c>
      <c r="S303" s="3">
        <f>2152.4+(0-500.7)+(-1.097724+(0--0.255357))+0-24.6--0.0125459999999975</f>
        <v>1626.2701790000001</v>
      </c>
      <c r="T303" s="3">
        <f>2148+(0-517.5)+(-1.09548+(0--0.263925))+0-29.6--0.015095999999997</f>
        <v>1600.0835410000002</v>
      </c>
      <c r="U303" s="3">
        <f>2151.2+(0-466.2)+(-2.194224+(0--0.475524))+0-97.4--0.0993480000000155</f>
        <v>1585.9806479999997</v>
      </c>
      <c r="V303" s="3">
        <f>2213.5+(2.4-447.5)+(2.25777+(0.002448-0.45645))+0-84.1-0.0857820000000134</f>
        <v>1686.0179860000001</v>
      </c>
      <c r="W303" s="3">
        <f>2252.9+(6.3-290.8)+(1.148979+(0.003213-0.148308))+0-86.9-0.0443189999999912</f>
        <v>1882.4595649999999</v>
      </c>
      <c r="X303" s="3">
        <f>2272.3+(2.3-309.9)+(-2.317746+(-0.002346--0.316098))+0-94.2--0.096084000000015</f>
        <v>1868.5920900000003</v>
      </c>
      <c r="Y303" s="3">
        <f>2268+(9.8-370)+(-4.62672+(-0.019992--0.7548))+0-59.9--0.122195999999997</f>
        <v>1844.1302839999998</v>
      </c>
      <c r="Z303" s="3">
        <f>2240.9+(40.1-375.2)+(-3.428577+(-0.061353--0.574056))+0-97.8--0.149634000000006</f>
        <v>1805.2337600000003</v>
      </c>
      <c r="AA303" s="3">
        <f>2194.8+(76.9-440.5)+(-2.238696+(-0.078438--0.44931))+0-93.5--0.0953700000000149</f>
        <v>1735.9275460000003</v>
      </c>
      <c r="AB303" s="3">
        <f>2148+(75.5-467.3)+(-3.28644+(-0.115515--0.714969))+0-85.1--0.130203000000005</f>
        <v>1668.5432170000001</v>
      </c>
      <c r="AC303" s="3">
        <f>1813.2+(110.2-344.5)+(-3.698928+(-0.224808--0.70278))+0-30.1--0.0614039999999987</f>
        <v>1545.6404480000003</v>
      </c>
      <c r="AD303">
        <v>1882.9999999999998</v>
      </c>
      <c r="AE303" s="3">
        <f>2290+(10.2-301.2)+(0+(0-0))+0-116-0</f>
        <v>1883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1728.4+(115.6-351.8)+(-2.644452+(-0.176868--0.538254))+0-42.2--0.0645660000000024</f>
        <v>1447.7815000000001</v>
      </c>
      <c r="G304" s="3">
        <f>1736.4+(116.7-369.2)+(-0.885564+(-0.059517--0.188292))+0-91.9--0.0468689999999907</f>
        <v>1391.29008</v>
      </c>
      <c r="H304" s="3">
        <f>1737.9+(123.4-403)+(1.772658+(0.125868-0.41106))+0-91.8-0.0936360000000146</f>
        <v>1367.8938300000002</v>
      </c>
      <c r="I304" s="3">
        <f>1648.3+(122.7-344.5)+(1.681266+(0.125154-0.35139))+0-81.9-0.0835380000000131</f>
        <v>1345.9714919999999</v>
      </c>
      <c r="J304" s="3">
        <f>1630.2+(109.1-318.7)+(-1.662804+(-0.111282--0.325074))+0-79.2--0.0807840000000126</f>
        <v>1340.031772</v>
      </c>
      <c r="K304" s="3">
        <f>1631.6+(61.4-264.6)+(-0.832116+(-0.031314--0.134946))+0-81.6--0.0416159999999917</f>
        <v>1346.113132</v>
      </c>
      <c r="L304" s="3">
        <f>1691.9+(20.5-244.7)+(-2.588607+(-0.031365--0.374391))+0-89.5--0.136935000000005</f>
        <v>1376.0913540000001</v>
      </c>
      <c r="M304" s="3">
        <f>1791.7+(30.1-314.5)+(-2.741301+(-0.046053--0.481185))+0-63.3--0.0968490000000037</f>
        <v>1441.7906800000003</v>
      </c>
      <c r="N304" s="3">
        <f>2043.2+(0-433.7)+(1.042032+(0-0.221187))+0-75-0.0382499999999924</f>
        <v>1535.2825949999999</v>
      </c>
      <c r="O304" s="3">
        <f>2195.4+(0-460.5)+(-2.239308+(0--0.46971))+0-90.1--0.0919020000000144</f>
        <v>1643.1223040000002</v>
      </c>
      <c r="P304" s="3">
        <f>2208+(0-440.8)+(1.12608+(0-0.224808))+0-84.3-0.0429929999999914</f>
        <v>1683.7582790000001</v>
      </c>
      <c r="Q304" s="3">
        <f>2196.7+(0-410.3)+(-2.240634+(0--0.418506))+0-92.6--0.0944520000000148</f>
        <v>1692.072324</v>
      </c>
      <c r="R304" s="3">
        <f>2197.4+(0-447.1)+(-1.120674+(0--0.228021))+0-78--0.0397799999999921</f>
        <v>1671.4471270000001</v>
      </c>
      <c r="S304" s="3">
        <f>2198+(0-481.1)+(-1.12098+(0--0.245361))+0-72.5--0.0369749999999926</f>
        <v>1643.5613560000002</v>
      </c>
      <c r="T304" s="3">
        <f>2182.1+(27-527.3)+(-1.112871+(-0.01377--0.268923))+0-61.5--0.0313649999999938</f>
        <v>1619.473647</v>
      </c>
      <c r="U304" s="3">
        <f>2076.2+(103.8-469.2)+(0+(0-0))+0-99.5-0</f>
        <v>1611.2999999999997</v>
      </c>
      <c r="V304" s="3">
        <f>2142.4+(45.1-427.9)+(0+(0-0))+0-82.1-0</f>
        <v>1677.5000000000002</v>
      </c>
      <c r="W304" s="3">
        <f>2211.6+(0-235.3)+(1.127916+(0-0.120003))+0-80-0.0407999999999919</f>
        <v>1897.2671129999999</v>
      </c>
      <c r="X304" s="3">
        <f>2173.2+(0-207.7)+(-4.433328+(0--0.423708))+0-83.5--0.170339999999996</f>
        <v>1878.1607199999996</v>
      </c>
      <c r="Y304" s="3">
        <f>2176.9+(0-259.6)+(-4.440876+(0--0.529584))+0-74.4--0.151775999999997</f>
        <v>1839.140484</v>
      </c>
      <c r="Z304" s="3">
        <f>2125.8+(0-231.2)+(0+(0-0))+0-82.9-0</f>
        <v>1811.7</v>
      </c>
      <c r="AA304" s="3">
        <f>2061+(10.9-261.9)+(-6.30666+(-0.033354--0.801414))+0-79.6--0.243576000000009</f>
        <v>1725.1049760000001</v>
      </c>
      <c r="AB304" s="3">
        <f>2035.1+(27.2-302.7)+(-3.113703+(-0.041616--0.463131))+0-85--0.130050000000005</f>
        <v>1672.0378619999999</v>
      </c>
      <c r="AC304" s="3">
        <f>1981.1+(45.2-386.2)+(-8.082888+(-0.184416--1.575696))+0-51.7--0.210935999999995</f>
        <v>1581.9193279999997</v>
      </c>
      <c r="AD304">
        <v>1888.3</v>
      </c>
      <c r="AE304" s="3">
        <f>2187+(0-203)+(0+(0-0))+0-95.7-0</f>
        <v>1888.3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1849.8+(63.2-353.4)+(-3.773592+(-0.128928--0.720936))+0-79.1--0.161363999999997</f>
        <v>1477.4797800000001</v>
      </c>
      <c r="G305" s="3">
        <f>1550.3+(75.6-144.1)+(-3.162612+(-0.154224--0.293964))+0-87.4--0.178295999999996</f>
        <v>1391.5554239999999</v>
      </c>
      <c r="H305" s="3">
        <f>1483.2+(75.8-167.5)+(-4.538592+(-0.231948--0.51255))+0-41.9--0.128214000000005</f>
        <v>1345.4702239999999</v>
      </c>
      <c r="I305" s="3">
        <f>1475.1+(64.1-187.5)+(0+(0-0))+0-29.6-0</f>
        <v>1322.1</v>
      </c>
      <c r="J305" s="3">
        <f>1490.5+(49.8-146.5)+(1.52031+(0.050796-0.14943))+0-65.2-0.0665040000000104</f>
        <v>1329.9551719999997</v>
      </c>
      <c r="K305" s="3">
        <f>1488.4+(22.3-89.7)+(0+(0-0))+0-87.4-0</f>
        <v>1333.6</v>
      </c>
      <c r="L305" s="3">
        <f>1618.5+(0-188.5)+(-0.825435+(0--0.096135))+0-91.1--0.0464609999999908</f>
        <v>1338.217161</v>
      </c>
      <c r="M305" s="3">
        <f>1679+(4.8-202.2)+(0+(0-0))+0-87.7-0</f>
        <v>1393.8999999999999</v>
      </c>
      <c r="N305" s="3">
        <f>1924.4+(0-329.1)+(1.962888+(0-0.335682))+0-64.4-0.0656880000000103</f>
        <v>1532.4615180000001</v>
      </c>
      <c r="O305" s="3">
        <f>1949.3+(0-260.7)+(1.988286+(0-0.265914))+0-81.8-0.083436000000013</f>
        <v>1608.4389359999998</v>
      </c>
      <c r="P305" s="3">
        <f>1962.7+(0-223.4)+(3.002931+(0-0.341802))+0-71-0.108630000000004</f>
        <v>1670.8524990000001</v>
      </c>
      <c r="Q305" s="3">
        <f>1966.9+(0-204.3)+(1.003119+(0-0.104193))+0-80.7-0.0411569999999918</f>
        <v>1682.7577690000003</v>
      </c>
      <c r="R305" s="3">
        <f>1939.6+(0-203.4)+(-3.956784+(0--0.414936))+0-90.6--0.184823999999996</f>
        <v>1642.2429759999998</v>
      </c>
      <c r="S305" s="3">
        <f>1938.4+(0-235.9)+(-1.977168+(0--0.240618))+0-92.2--0.0940440000000147</f>
        <v>1608.6574939999998</v>
      </c>
      <c r="T305" s="3">
        <f>1950.7+(0-289.6)+(0+(0-0))+0-81.1-0</f>
        <v>1580</v>
      </c>
      <c r="U305" s="3">
        <f>1948.6+(33.8-324)+(0+(0-0))+0-81.2-0</f>
        <v>1577.1999999999998</v>
      </c>
      <c r="V305" s="3">
        <f>1959.7+(22-323.5)+(-2.998341+(-0.03366--0.494955))+0-7.8--0.0119340000000005</f>
        <v>1647.8748880000003</v>
      </c>
      <c r="W305" s="3">
        <f>2018.7+(0-159.9)+(3.088611+(0-0.244647))+0-13-0.0198900000000008</f>
        <v>1848.6240739999998</v>
      </c>
      <c r="X305" s="3">
        <f>2039.1+(0-187.4)+(-2.079882+(0--0.191148))+0-23.3--0.0237660000000037</f>
        <v>1826.5350319999998</v>
      </c>
      <c r="Y305" s="3">
        <f>2018.5+(2.8-210.7)+(-4.11774+(-0.005712--0.429828))+0-15--0.0305999999999993</f>
        <v>1791.936976</v>
      </c>
      <c r="Z305" s="3">
        <f>1969.1+(17.4-219.5)+(-5.021205+(-0.04437--0.559725))+0-14.1--0.035954999999998</f>
        <v>1748.4301050000001</v>
      </c>
      <c r="AA305" s="3">
        <f>1973.8+(62.5-336.2)+(-3.019914+(-0.095625--0.514386))+0-15.8--0.0241740000000009</f>
        <v>1681.7230209999998</v>
      </c>
      <c r="AB305" s="3">
        <f>1977.4+(46.5-369.4)+(-1.008474+(-0.023715--0.188394))+0-15.2--0.00775199999999846</f>
        <v>1638.4639569999999</v>
      </c>
      <c r="AC305" s="3">
        <f>1969.9+(51.1-439.5)+(-2.009298+(-0.052122--0.44829))+0-19.4--0.0197880000000031</f>
        <v>1560.506658</v>
      </c>
      <c r="AD305">
        <v>1850.1</v>
      </c>
      <c r="AE305" s="3">
        <f>2072+(0-137)+(0+(0-0))+0-84.9-0</f>
        <v>1850.1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1959.4+(36.5-519.6)+(-1.998588+(-0.03723--0.529992))+0-17.6--0.0179520000000028</f>
        <v>1457.2121260000001</v>
      </c>
      <c r="G306" s="3">
        <f>1628.4+(61.7-267)+(0+(0-0))+0-69.7-0</f>
        <v>1353.4</v>
      </c>
      <c r="H306" s="3">
        <f>1587.7+(61.3-295.1)+(0.809727+(0.031263-0.150501))+0-48.3-0.0246329999999951</f>
        <v>1306.2658560000002</v>
      </c>
      <c r="I306" s="3">
        <f>1575.5+(64.8-275.1)+(1.60701+(0.066096-0.280602))+0-67-0.0683400000000107</f>
        <v>1299.5241639999999</v>
      </c>
      <c r="J306" s="3">
        <f>1584.6+(59.4-289.7)+(0+(0-0))+0-65.7-0</f>
        <v>1288.5999999999999</v>
      </c>
      <c r="K306" s="3">
        <f>1662.7+(0-289.3)+(0+(0-0))+0-78.7-0</f>
        <v>1294.7</v>
      </c>
      <c r="L306" s="3">
        <f>1734.3+(0-375.8)+(0+(0-0))+0-90.2-0</f>
        <v>1268.3</v>
      </c>
      <c r="M306" s="3">
        <f>1675.1+(0-344.3)+(-2.562903+(0--0.526779))+0-86.2--0.131886000000005</f>
        <v>1242.6957619999998</v>
      </c>
      <c r="N306" s="3">
        <f>1721.5+(0-398.2)+(1.75593+(0-0.406164))+0-21.2-0.0216240000000034</f>
        <v>1303.428142</v>
      </c>
      <c r="O306" s="3">
        <f>1816+(0-402.3)+(-0.92616+(0--0.205173))+0-55.7--0.0284069999999944</f>
        <v>1357.3074200000001</v>
      </c>
      <c r="P306" s="3">
        <f>1911.9+(0-393.3)+(-0.975069+(0--0.200583))+0-90.8--0.0463079999999908</f>
        <v>1427.0718220000001</v>
      </c>
      <c r="Q306" s="3">
        <f>1965.1+(12.7-431.2)+(-1.002201+(-0.006477--0.219912))+0-90.5--0.0461549999999908</f>
        <v>1455.357389</v>
      </c>
      <c r="R306" s="3">
        <f>1962.9+(18.5-463.4)+(-3.003237+(-0.028305--0.709002))+0-86.3--0.132039000000005</f>
        <v>1429.5094990000002</v>
      </c>
      <c r="S306" s="3">
        <f>1955.7+(0-458.9)+(-3.989628+(0--0.936156))+0-87.8--0.179111999999996</f>
        <v>1406.1256400000002</v>
      </c>
      <c r="T306" s="3">
        <f>1890.4+(0-406.8)+(-2.892312+(0--0.622404))+0-91.6--0.140148000000005</f>
        <v>1389.8702400000002</v>
      </c>
      <c r="U306" s="3">
        <f>1722.5+(0-256.2)+(0+(0-0))+0-88.4-0</f>
        <v>1377.8999999999999</v>
      </c>
      <c r="V306" s="3">
        <f>1821.1+(0-282)+(0+(0-0))+0-85-0</f>
        <v>1454.1</v>
      </c>
      <c r="W306" s="3">
        <f>1941.8+(0-200.7)+(-0.990318+(0--0.102357))+0-65.1--0.0332009999999934</f>
        <v>1675.1452400000001</v>
      </c>
      <c r="X306" s="3">
        <f>1947+(0-180.4)+(0+(0-0))+0-65.5-0</f>
        <v>1701.1</v>
      </c>
      <c r="Y306" s="3">
        <f>1828.7+(29.1-96.7)+(-3.730548+(-0.059364--0.197268))+0-76--0.155039999999997</f>
        <v>1681.6623960000002</v>
      </c>
      <c r="Z306" s="3">
        <f>1844.6+(0-96.8)+(-1.881492+(0--0.098736))+0-88.2--0.0899640000000141</f>
        <v>1657.9072079999999</v>
      </c>
      <c r="AA306" s="3">
        <f>1859.6+(0-159.5)+(-0.948396+(0--0.081345))+0-86--0.0438599999999913</f>
        <v>1613.276809</v>
      </c>
      <c r="AB306" s="3">
        <f>1858.5+(3.8-220)+(-4.739175+(-0.00969--0.561))+0-75.1--0.191504999999989</f>
        <v>1563.20364</v>
      </c>
      <c r="AC306" s="3">
        <f>1856+(0-296.5)+(-3.78624+(0--0.60486))+0-81--0.165239999999996</f>
        <v>1475.48386</v>
      </c>
      <c r="AD306">
        <v>1711.8</v>
      </c>
      <c r="AE306" s="3">
        <f>1962+(0-141.9)+(0+(0-0))+0-108.3-0</f>
        <v>1711.8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1790.8+(0-306.5)+(-1.826616+(0--0.31263))+0-91.2--0.0930240000000145</f>
        <v>1391.679038</v>
      </c>
      <c r="G307" s="3">
        <f>1624.3+(56.1-281.7)+(-0.828393+(-0.028611--0.143667))+0-72.1--0.0367709999999927</f>
        <v>1325.9234340000003</v>
      </c>
      <c r="H307" s="3">
        <f>1568.8+(96.8-283.4)+(-3.200352+(-0.197472--0.578136))+0-86.7--0.176867999999996</f>
        <v>1292.85718</v>
      </c>
      <c r="I307" s="3">
        <f>1518.1+(109.5-264.4)+(0.774231+(0.055845-0.134844))+0-86.2-0.0439619999999913</f>
        <v>1277.6512699999998</v>
      </c>
      <c r="J307" s="3">
        <f>1526.3+(87.2-289.9)+(1.556826+(0.088944-0.295698))+0-44.9-0.0457980000000072</f>
        <v>1280.0042739999997</v>
      </c>
      <c r="K307" s="3">
        <f>1708.3+(30.6-364.9)+(1.742466+(0.031212-0.372198))+0-76.2-0.0777240000000122</f>
        <v>1299.123756</v>
      </c>
      <c r="L307" s="3">
        <f>1793.7+(1.6-397.5)+(1.829574+(0.001632-0.40545))+0-65-0.0663000000000104</f>
        <v>1334.1594560000003</v>
      </c>
      <c r="M307" s="3">
        <f>1892.8+(0-397.2)+(-1.930656+(0--0.405144))+0-91.4--0.0932280000000146</f>
        <v>1402.7677159999998</v>
      </c>
      <c r="N307" s="3">
        <f>1950.2+(0-354.6)+(3.978408+(0-0.723384))+0-76.9-0.156875999999997</f>
        <v>1521.7981479999999</v>
      </c>
      <c r="O307" s="3">
        <f>1967.1+(0-325.3)+(2.006442+(0-0.331806))+0-36.1-0.0368220000000058</f>
        <v>1607.337814</v>
      </c>
      <c r="P307" s="3">
        <f>2036.5+(0-293.6)+(-3.115845+(0--0.449208))+0-85.9--0.131427000000005</f>
        <v>1654.46479</v>
      </c>
      <c r="Q307" s="3">
        <f>2038.6+(0-286.2)+(-2.079372+(0--0.291924))+0-78.2--0.0797640000000125</f>
        <v>1672.4923159999998</v>
      </c>
      <c r="R307" s="3">
        <f>2037+(0-325.9)+(-3.11661+(0--0.498627))+0-84.5--0.129285000000005</f>
        <v>1624.1113019999998</v>
      </c>
      <c r="S307" s="3">
        <f>1933.5+(0-251)+(0.986085+(0-0.12801))+0-76.6-0.0390659999999922</f>
        <v>1606.7190090000001</v>
      </c>
      <c r="T307" s="3">
        <f>1884.8+(1.8-170.6)+(-2.883744+(-0.002754--0.261018))+0-84.4--0.129132000000005</f>
        <v>1629.103652</v>
      </c>
      <c r="U307" s="3">
        <f>1729.3+(34.8-134.3)+(-0.881943+(-0.017748--0.068493))+0-82.8--0.0422279999999916</f>
        <v>1546.2110299999999</v>
      </c>
      <c r="V307" s="3">
        <f>1922.6+(10.8-255.3)+(-1.961052+(-0.011016--0.260406))+0-67.7--0.0690540000000108</f>
        <v>1608.757392</v>
      </c>
      <c r="W307" s="3">
        <f>2144.7+(0-286.1)+(3.281391+(0-0.437733))+0-85.3-0.130509000000005</f>
        <v>1776.0131489999999</v>
      </c>
      <c r="X307" s="3">
        <f>2189.6+(0-370.8)+(0+(0-0))+0-69.2-0</f>
        <v>1749.6</v>
      </c>
      <c r="Y307" s="3">
        <f>2184.3+(0-374)+(-3.341979+(0--0.57222))+0-90.5--0.138465000000005</f>
        <v>1717.1687060000002</v>
      </c>
      <c r="Z307" s="3">
        <f>2183+(13.4-449.7)+(-3.33999+(-0.020502--0.688041))+0-68.5--0.104805000000004</f>
        <v>1675.6323540000001</v>
      </c>
      <c r="AA307" s="3">
        <f>2170.4+(54.9-521.5)+(-5.53452+(-0.139995--1.329825))+0-86.8--0.221339999999987</f>
        <v>1612.8766500000004</v>
      </c>
      <c r="AB307" s="3">
        <f>2072.4+(89.3-519.3)+(-5.28462+(-0.227715--1.324215))+0-86.6--0.220829999999987</f>
        <v>1551.8327100000001</v>
      </c>
      <c r="AC307" s="3">
        <f>1937.1+(99-489.4)+(-0.987921+(-0.05049--0.249594))+0-88.5--0.045134999999991</f>
        <v>1457.4563179999998</v>
      </c>
      <c r="AD307">
        <v>1760.8999999999999</v>
      </c>
      <c r="AE307" s="3">
        <f>2207+(0-340.7)+(0+(0-0))+0-105.4-0</f>
        <v>1760.8999999999999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1860.1+(109.3-525.1)+(0+(0-0))+0-74.3-0</f>
        <v>1370</v>
      </c>
      <c r="G308" s="3">
        <f>1634+(112.4-384.1)+(-0.83334+(-0.057324--0.195891))+0-66--0.0336599999999933</f>
        <v>1295.6388870000001</v>
      </c>
      <c r="H308" s="3">
        <f>1627.7+(115.5-400.5)+(0+(0-0))+0-79.2-0</f>
        <v>1263.5</v>
      </c>
      <c r="I308" s="3">
        <f>1642.4+(110.7-446.1)+(0+(0-0))+0-51.6-0</f>
        <v>1255.4000000000001</v>
      </c>
      <c r="J308" s="3">
        <f>1597+(99.6-402.6)+(1.62894+(0.101592-0.410652))+0-58.4-0.0595680000000093</f>
        <v>1236.860312</v>
      </c>
      <c r="K308" s="3">
        <f>1606.4+(74-349.7)+(0.819264+(0.03774-0.178347))+0-91.5-0.0466649999999907</f>
        <v>1239.8319919999999</v>
      </c>
      <c r="L308" s="3">
        <f>1657+(40-429.9)+(0+(0-0))+0-83.9-0</f>
        <v>1183.1999999999998</v>
      </c>
      <c r="M308" s="3">
        <f>1627.5+(20.5-407.9)+(-1.66005+(-0.02091--0.416058))+0-88.5--0.0902700000000141</f>
        <v>1150.4253679999999</v>
      </c>
      <c r="N308" s="3">
        <f>1639.7+(0-403.2)+(1.672494+(0-0.411264))+0-76.7-0.0782340000000122</f>
        <v>1160.982996</v>
      </c>
      <c r="O308" s="3">
        <f>1726+(0-447.3)+(-2.64078+(0--0.684369))+0-69.5--0.106335000000004</f>
        <v>1207.3499240000001</v>
      </c>
      <c r="P308" s="3">
        <f>1858+(0-530.4)+(-2.84274+(0--0.811512))+0-87.8--0.134334000000005</f>
        <v>1237.903106</v>
      </c>
      <c r="Q308" s="3">
        <f>1851.6+(0-569)+(-4.72158+(0--1.45095))+0-33.9--0.0864449999999951</f>
        <v>1245.5158149999997</v>
      </c>
      <c r="R308" s="3">
        <f>1705+(0-442.7)+(-1.7391+(0--0.451554))+0-38.4--0.0391680000000061</f>
        <v>1222.6516219999999</v>
      </c>
      <c r="S308" s="3">
        <f>1654.4+(0-354.4)+(-0.843744+(0--0.180744))+0-91.1--0.0464609999999908</f>
        <v>1208.283461</v>
      </c>
      <c r="T308" s="3">
        <f>1577.8+(0-295.9)+(-0.804678+(0--0.150909))+0-75.8--0.0386579999999923</f>
        <v>1205.4848890000001</v>
      </c>
      <c r="U308" s="3">
        <f>1580.4+(7.7-276.2)+(-3.224016+(-0.015708--0.563448))+0-96.4--0.196655999999996</f>
        <v>1213.0203800000002</v>
      </c>
      <c r="V308" s="3">
        <f>1649.5+(7.1-273.2)+(-0.841245+(-0.003621--0.139332))+0-88--0.0448799999999911</f>
        <v>1294.7393460000001</v>
      </c>
      <c r="W308" s="3">
        <f>2037.5+(0-407.1)+(0+(0-0))+0-86.9-0</f>
        <v>1543.5</v>
      </c>
      <c r="X308" s="3">
        <f>2216+(0-551.4)+(1.13016+(0-0.281214))+0-83.5-0.0425849999999915</f>
        <v>1581.9063610000001</v>
      </c>
      <c r="Y308" s="3">
        <f>2167+(0-531.5)+(-2.21034+(0--0.54213))+0-55.7--0.0568140000000089</f>
        <v>1578.1886039999999</v>
      </c>
      <c r="Z308" s="3">
        <f>2099.1+(0-463.4)+(-2.141082+(0--0.472668))+0-78.4--0.0799680000000125</f>
        <v>1555.7115539999998</v>
      </c>
      <c r="AA308" s="3">
        <f>2095.1+(31.9-514.1)+(-3.205503+(-0.048807--0.786573))+0-88.8--0.135864000000005</f>
        <v>1521.768127</v>
      </c>
      <c r="AB308" s="3">
        <f>2026.3+(71.9-527.7)+(-3.100239+(-0.110007--0.807381))+0-73--0.111690000000004</f>
        <v>1495.2088249999999</v>
      </c>
      <c r="AC308" s="3">
        <f>1826.1+(102.2-443.9)+(-4.656555+(-0.26061--1.131945))+0-90.7--0.231284999999987</f>
        <v>1390.1460649999999</v>
      </c>
      <c r="AD308">
        <v>1593.7</v>
      </c>
      <c r="AE308" s="3">
        <f>2226+(0-537.7)+(0+(0-0))+0-94.6-0</f>
        <v>1593.7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1757.2+(116-525.3)+(-4.48086+(-0.2958--1.339515))+0-39.3--0.100214999999994</f>
        <v>1305.26307</v>
      </c>
      <c r="G309" s="3">
        <f>1688+(113.4-457.6)+(-3.44352+(-0.231336--0.933504))+0-86.5--0.176459999999996</f>
        <v>1254.7351079999999</v>
      </c>
      <c r="H309" s="3">
        <f>1685.8+(53.8-416.4)+(0.859758+(0.027438-0.212364))+0-91.6-0.0467159999999907</f>
        <v>1232.228116</v>
      </c>
      <c r="I309" s="3">
        <f>1695.3+(47.3-435.8)+(1.729206+(0.048246-0.444516))+0-91.1-0.0929220000000145</f>
        <v>1216.940014</v>
      </c>
      <c r="J309" s="3">
        <f>1716.9+(50.6-511.3)+(0.875619+(0.025806-0.260763))+0-45.7-0.0233069999999954</f>
        <v>1211.1173550000001</v>
      </c>
      <c r="K309" s="3">
        <f>1725.1+(10.5-421.4)+(0.879801+(0.005355-0.214914))+0-89.2-0.0454919999999909</f>
        <v>1225.6247499999997</v>
      </c>
      <c r="L309" s="3">
        <f>1889.5+(0-522.5)+(0.963645+(0-0.266475))+0-85.3-0.0435029999999913</f>
        <v>1282.3536669999999</v>
      </c>
      <c r="M309" s="3">
        <f>1948.5+(0-535.3)+(0.993735+(0-0.273003))+0-88.5-0.045134999999991</f>
        <v>1325.375597</v>
      </c>
      <c r="N309" s="3">
        <f>2067.8+(0-539.1)+(-1.054578+(0--0.274941))+0-90.1--0.0459509999999909</f>
        <v>1437.8663140000003</v>
      </c>
      <c r="O309" s="3">
        <f>2148.4+(0-532.5)+(3.287052+(0-0.814725))+0-88.1-0.134793000000005</f>
        <v>1530.1375340000002</v>
      </c>
      <c r="P309" s="3">
        <f>2146.5+(2.8-499.6)+(2.18943+(0.002856-0.509592))+0-88.5-0.0902700000000141</f>
        <v>1562.7924240000002</v>
      </c>
      <c r="Q309" s="3">
        <f>2130.6+(36.6-511.8)+(2.173212+(0.037332-0.522036))+0-73.2-0.0746640000000117</f>
        <v>1583.8138439999998</v>
      </c>
      <c r="R309" s="3">
        <f>2116.5+(64.8-536.5)+(-3.238245+(-0.099144--0.820845))+0-85.9--0.131427000000005</f>
        <v>1556.5148829999998</v>
      </c>
      <c r="S309" s="3">
        <f>2125.1+(53.7-549.9)+(-4.335204+(-0.109548--1.121796))+0-91.4--0.186455999999996</f>
        <v>1534.3634999999997</v>
      </c>
      <c r="T309" s="3">
        <f>2103.7+(47.1-565.6)+(-1.072887+(-0.024021--0.288456))+0-56.3--0.0287129999999943</f>
        <v>1528.1202609999998</v>
      </c>
      <c r="U309" s="3">
        <f>2092.9+(20.9-518.7)+(-3.202137+(-0.031977--0.793611))+0-97.4--0.149022000000006</f>
        <v>1495.4085189999998</v>
      </c>
      <c r="V309" s="3">
        <f>2155.5+(15.5-511.1)+(-2.19861+(-0.01581--0.521322))+0-87.1--0.0888420000000139</f>
        <v>1571.1957440000003</v>
      </c>
      <c r="W309" s="3">
        <f>2186.6+(0-378.4)+(0+(0-0))+0-40.5-0</f>
        <v>1767.6999999999998</v>
      </c>
      <c r="X309" s="3">
        <f>2217.8+(0-356.5)+(-4.524312+(0--0.72726))+0-100.5--0.205019999999996</f>
        <v>1757.2079680000004</v>
      </c>
      <c r="Y309" s="3">
        <f>2208.9+(0-392.6)+(-5.632695+(0--1.00113))+0-94.5--0.240974999999986</f>
        <v>1717.4094100000002</v>
      </c>
      <c r="Z309" s="3">
        <f>2115.6+(0-365.7)+(-2.157912+(0--0.373014))+0-88.5--0.0902700000000141</f>
        <v>1659.7053719999997</v>
      </c>
      <c r="AA309" s="3">
        <f>2098.2+(0-404.1)+(-1.070082+(0--0.206091))+0-90.5--0.0461549999999908</f>
        <v>1602.782164</v>
      </c>
      <c r="AB309" s="3">
        <f>2090.2+(0-439.3)+(-5.33001+(0--1.120215))+0-85.7--0.218534999999988</f>
        <v>1561.2087399999998</v>
      </c>
      <c r="AC309" s="3">
        <f>1971.1+(45.1-509.5)+(-2.010522+(-0.046002--0.51969))+0-37.7--0.038454000000006</f>
        <v>1467.5016199999998</v>
      </c>
      <c r="AD309">
        <v>1784.3</v>
      </c>
      <c r="AE309" s="3">
        <f>2245+(0-365.7)+(0+(0-0))+0-95-0</f>
        <v>1784.3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1855.9+(73.4-518.5)+(-4.732545+(-0.18717--1.322175))+0-26.6--0.0678299999999961</f>
        <v>1380.6702900000003</v>
      </c>
      <c r="G310" s="3">
        <f>1874.6+(76.7-592.7)+(-1.912092+(-0.078234--0.604554))+0-26.5--0.0270300000000042</f>
        <v>1330.7412579999998</v>
      </c>
      <c r="H310" s="3">
        <f>1850.1+(71-594.1)+(-4.717755+(-0.18105--1.514955))+0-25.5--0.0650249999999963</f>
        <v>1298.1811750000002</v>
      </c>
      <c r="I310" s="3">
        <f>1768.5+(71.1-505.2)+(0+(0-0))+0-73-0</f>
        <v>1261.4000000000001</v>
      </c>
      <c r="J310" s="3">
        <f>1763.8+(47.2-465.3)+(0.899538+(0.024072-0.237303))+0-92.3-0.0470729999999906</f>
        <v>1254.0392339999999</v>
      </c>
      <c r="K310" s="3">
        <f>1793.3+(12.8-446.8)+(-0.914583+(-0.006528--0.227868))+0-90.8--0.0463079999999908</f>
        <v>1267.853065</v>
      </c>
      <c r="L310" s="3">
        <f>1792.5+(13.2-486.8)+(-2.742525+(-0.020196--0.744804))+0-89.7--0.137241000000005</f>
        <v>1227.3193240000001</v>
      </c>
      <c r="M310" s="3">
        <f>1671.1+(20.7-443.6)+(-1.704522+(-0.021114--0.452472))+0-42.9--0.0437580000000068</f>
        <v>1204.0705939999998</v>
      </c>
      <c r="N310" s="3">
        <f>1662.7+(40.3-424.9)+(-0.847977+(-0.020553--0.216699))+0-27.2--0.0138719999999972</f>
        <v>1250.2620410000002</v>
      </c>
      <c r="O310" s="3">
        <f>1739+(67-420.7)+(-0.88689+(-0.03417--0.214557))+0-81.1--0.0413609999999918</f>
        <v>1303.534858</v>
      </c>
      <c r="P310" s="3">
        <f>1802.6+(80.8-472.8)+(0+(0-0))+0-64.8-0</f>
        <v>1345.8</v>
      </c>
      <c r="Q310" s="3">
        <f>1879.1+(84.6-513.7)+(-0.958341+(-0.043146--0.261987))+0-93.2--0.0475319999999905</f>
        <v>1356.1080320000001</v>
      </c>
      <c r="R310" s="3">
        <f>1909.1+(83.9-571.3)+(-1.947282+(-0.085578--0.582726))+0-87.5--0.089250000000014</f>
        <v>1332.8391159999999</v>
      </c>
      <c r="S310" s="3">
        <f>1674.3+(95.1-371)+(-3.415572+(-0.194004--0.75684))+0-89.7--0.182987999999996</f>
        <v>1306.030252</v>
      </c>
      <c r="T310" s="3">
        <f>1676.5+(88.5-382.7)+(-1.71003+(-0.09027--0.390354))+0-85.1--0.0868020000000136</f>
        <v>1295.8768560000001</v>
      </c>
      <c r="U310" s="3">
        <f>1682+(68.7-350.5)+(0.85782+(0.035037-0.178755))+0-86-0.0438599999999913</f>
        <v>1314.870242</v>
      </c>
      <c r="V310" s="3">
        <f>1742.7+(34-296.2)+(0+(0-0))+0-82-0</f>
        <v>1398.5</v>
      </c>
      <c r="W310" s="3">
        <f>2059.7+(0-342.8)+(5.252235+(0-0.87414))+0-74.6-0.190229999999989</f>
        <v>1646.4878650000001</v>
      </c>
      <c r="X310" s="3">
        <f>2248.4+(0-457)+(-3.440052+(0--0.69921))+0-90.7--0.138771000000005</f>
        <v>1698.097929</v>
      </c>
      <c r="Y310" s="3">
        <f>2241.1+(0-492.2)+(-4.571844+(0--1.004088))+0-48.8--0.0995519999999979</f>
        <v>1696.6317959999999</v>
      </c>
      <c r="Z310" s="3">
        <f>2252.7+(21.2-563.9)+(-1.148877+(-0.010812--0.287589))+0-27.3--0.0139229999999972</f>
        <v>1681.841823</v>
      </c>
      <c r="AA310" s="3">
        <f>2259.8+(44.4-618.8)+(1.152498+(0.022644-0.315588))+0-33.7-0.0171869999999966</f>
        <v>1652.542367</v>
      </c>
      <c r="AB310" s="3">
        <f>2179.2+(50.5-547.2)+(-2.222784+(-0.05151--0.558144))+0-81.1--0.0827220000000129</f>
        <v>1599.766572</v>
      </c>
      <c r="AC310" s="3">
        <f>1911.1+(81.3-429.8)+(-3.898644+(-0.165852--0.876792))+0-73.1--0.149123999999997</f>
        <v>1486.4614200000001</v>
      </c>
      <c r="AD310">
        <v>1694.5</v>
      </c>
      <c r="AE310" s="3">
        <f>2271+(0-482.2)+(0+(0-0))+0-94.3-0</f>
        <v>1694.5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1845.3+(94.3-469.7)+(0+(0-0))+0-70.4-0</f>
        <v>1399.5</v>
      </c>
      <c r="G311" s="3">
        <f>1667.8+(106.9-357.7)+(-1.701156+(-0.109038--0.364854))+0-89.9--0.0916980000000143</f>
        <v>1325.7463579999999</v>
      </c>
      <c r="H311" s="3">
        <f>1636.9+(107.4-362.7)+(-0.834819+(-0.054774--0.184977))+0-90.5--0.0461549999999908</f>
        <v>1290.4415390000001</v>
      </c>
      <c r="I311" s="3">
        <f>1652.3+(97.5-380.3)+(0.842673+(0.049725-0.193953))+0-95.1-0.0485009999999904</f>
        <v>1275.0499440000001</v>
      </c>
      <c r="J311" s="3">
        <f>1650.3+(69.5-365.6)+(0.841653+(0.035445-0.186456))+0-80.2-0.0409019999999919</f>
        <v>1274.6497399999998</v>
      </c>
      <c r="K311" s="3">
        <f>1736.8+(36.6-383.6)+(1.771536+(0.037332-0.391272))+0-83-0.0846600000000132</f>
        <v>1308.132936</v>
      </c>
      <c r="L311" s="3">
        <f>1905.4+(9.5-482.4)+(0.971754+(0.004845-0.246024))+0-85.8-0.0437579999999913</f>
        <v>1347.3868170000001</v>
      </c>
      <c r="M311" s="3">
        <f>1975.6+(20.3-481)+(0+(0-0))+0-87.5-0</f>
        <v>1427.3999999999999</v>
      </c>
      <c r="N311" s="3">
        <f>1993.2+(20.3-387.9)+(2.033064+(0.020706-0.395658))+0-72.4-0.0738480000000115</f>
        <v>1554.7842640000001</v>
      </c>
      <c r="O311" s="3">
        <f>2019.7+(32.7-390.4)+(2.060094+(0.033354-0.398208))+0-22.9-0.0233580000000037</f>
        <v>1640.771882</v>
      </c>
      <c r="P311" s="3">
        <f>2052.8+(40.5-382.4)+(0+(0-0))+0-19.3-0</f>
        <v>1691.6000000000001</v>
      </c>
      <c r="Q311" s="3">
        <f>2062.7+(56.7-393)+(1.051977+(0.028917-0.20043))+0-16.3-0.00831299999999835</f>
        <v>1710.9721509999999</v>
      </c>
      <c r="R311" s="3">
        <f>2064.1+(62.4-417.7)+(-3.158073+(-0.095472--0.639081))+0-16.1--0.0246330000000009</f>
        <v>1690.110169</v>
      </c>
      <c r="S311" s="3">
        <f>2077.4+(61.5-460.5)+(0+(0-0))+0-17.1-0</f>
        <v>1661.3000000000002</v>
      </c>
      <c r="T311" s="3">
        <f>2088.9+(73.6-500.8)+(2.130678+(0.075072-0.510816))+0-35.5-0.0362100000000057</f>
        <v>1627.8587240000002</v>
      </c>
      <c r="U311" s="3">
        <f>2074.2+(48.4-439.4)+(-1.057842+(-0.024684--0.224094))+0-81--0.0413099999999918</f>
        <v>1601.3828779999999</v>
      </c>
      <c r="V311" s="3">
        <f>2099+(19.6-379.5)+(0+(0-0))+0-83.1-0</f>
        <v>1656</v>
      </c>
      <c r="W311" s="3">
        <f>2222+(7.3-273.9)+(1.13322+(0.003723-0.139689))+0-85.5-0.0436049999999913</f>
        <v>1870.8536490000001</v>
      </c>
      <c r="X311" s="3">
        <f>2236.7+(0-283.1)+(-2.281434+(0--0.288762))+0-74--0.0754800000000118</f>
        <v>1877.6828079999998</v>
      </c>
      <c r="Y311" s="3">
        <f>2237.8+(0-299.9)+(-2.282556+(0--0.305898))+0-87.4--0.0891480000000139</f>
        <v>1848.61249</v>
      </c>
      <c r="Z311" s="3">
        <f>2239.2+(23.6-365.6)+(-2.283984+(-0.024072--0.372912))+0-87.1--0.0888420000000139</f>
        <v>1808.253698</v>
      </c>
      <c r="AA311" s="3">
        <f>2223.2+(66.3-457)+(-2.267664+(-0.067626--0.46614))+0-81--0.0826200000000129</f>
        <v>1749.7134699999997</v>
      </c>
      <c r="AB311" s="3">
        <f>2151.6+(81.3-474.1)+(-1.097316+(-0.041463--0.241791))+0-73.3--0.0373829999999926</f>
        <v>1684.6403950000001</v>
      </c>
      <c r="AC311" s="3">
        <f>2026.8+(97.3-436)+(-4.134672+(-0.198492--0.88944))+0-100.6--0.205223999999996</f>
        <v>1584.2615000000001</v>
      </c>
      <c r="AD311">
        <v>1883.1000000000001</v>
      </c>
      <c r="AE311" s="3">
        <f>2245+(0-341.1)+(0+(0-0))+0-20.8-0</f>
        <v>1883.1000000000001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1865.8+(114.1-400)+(0+(0-0))+0-87.3-0</f>
        <v>1492.6000000000001</v>
      </c>
      <c r="G312" s="3">
        <f>1837.4+(116.4-443.3)+(-0.937074+(-0.059364--0.226083))+0-82.4--0.0420239999999916</f>
        <v>1427.3716689999999</v>
      </c>
      <c r="H312" s="3">
        <f>1757.4+(136.7-437)+(0+(0-0))+0-64-0</f>
        <v>1393.1000000000001</v>
      </c>
      <c r="I312" s="3">
        <f>1612+(135.9-296.3)+(2.46636+(0.207927-0.453339))+0-89.6-0.137088000000005</f>
        <v>1364.08386</v>
      </c>
      <c r="J312" s="3">
        <f>1594+(120.5-268.9)+(0+(0-0))+0-83.8-0</f>
        <v>1361.8</v>
      </c>
      <c r="K312" s="3">
        <f>1702.3+(55.3-307.1)+(5.209038+(0.169218-0.939726))+0-82-0.250920000000009</f>
        <v>1372.6876099999999</v>
      </c>
      <c r="L312" s="3">
        <f>1949.9+(22.2-492.9)+(0.994449+(0.011322-0.251379))+0-89.5-0.0456449999999909</f>
        <v>1390.4087470000002</v>
      </c>
      <c r="M312" s="3">
        <f>1976.8+(32-470.6)+(2.016336+(0.03264-0.480012))+0-85-0.0867000000000136</f>
        <v>1454.6822639999998</v>
      </c>
      <c r="N312" s="3">
        <f>2039.7+(50.6-445.8)+(4.160988+(0.103224-0.909432))+0-85.8-0.175031999999996</f>
        <v>1561.8797479999998</v>
      </c>
      <c r="O312" s="3">
        <f>2077.5+(68.3-410.2)+(4.2381+(0.139332-0.836808))+0-80.2-0.163607999999997</f>
        <v>1658.7770159999998</v>
      </c>
      <c r="P312" s="3">
        <f>2074.9+(84.4-366.2)+(1.058199+(0.043044-0.186762))+0-71.1-0.0362609999999928</f>
        <v>1722.8782200000003</v>
      </c>
      <c r="Q312" s="3">
        <f>2075.6+(99-365.4)+(0+(0-0))+0-73.9-0</f>
        <v>1735.2999999999997</v>
      </c>
      <c r="R312" s="3">
        <f>2057.3+(99.3-357.1)+(-5.246115+(-0.253215--0.910605))+0-92.1--0.234854999999987</f>
        <v>1703.0461300000002</v>
      </c>
      <c r="S312" s="3">
        <f>2062.8+(106.2-412.2)+(-2.104056+(-0.108324--0.420444))+0-82.9--0.0845580000000132</f>
        <v>1672.192622</v>
      </c>
      <c r="T312" s="3">
        <f>2072.5+(105.1-458.3)+(2.11395+(0.107202-0.467466))+0-88.9-0.0906780000000142</f>
        <v>1632.0630079999999</v>
      </c>
      <c r="U312" s="3">
        <f>2064.5+(76-472.2)+(0+(0-0))+0-67.6-0</f>
        <v>1600.7</v>
      </c>
      <c r="V312" s="3">
        <f>2101.4+(43.9-408.2)+(2.143428+(0.044778-0.416364))+0-80-0.0816000000000128</f>
        <v>1658.7902420000003</v>
      </c>
      <c r="W312" s="3">
        <f>2156+(0-215.6)+(3.29868+(0-0.329868))+0-88.6-0.135558000000005</f>
        <v>1854.6332540000003</v>
      </c>
      <c r="X312" s="3">
        <f>2153+(0-202.5)+(-1.09803+(0--0.103275))+0-92.6--0.0472259999999906</f>
        <v>1856.9524710000001</v>
      </c>
      <c r="Y312" s="3">
        <f>2147.3+(1.4-220.3)+(-2.190246+(-0.001428--0.224706))+0-98.5--0.100470000000016</f>
        <v>1828.0335020000002</v>
      </c>
      <c r="Z312" s="3">
        <f>2144.4+(37.6-301.6)+(-2.187288+(-0.038352--0.307632))+0-94.6--0.0964920000000151</f>
        <v>1783.9784840000002</v>
      </c>
      <c r="AA312" s="3">
        <f>2147.8+(56.1-387.6)+(-1.095378+(-0.028611--0.197676))+0-85.4--0.0435539999999913</f>
        <v>1730.0172410000002</v>
      </c>
      <c r="AB312" s="3">
        <f>2121.2+(52.8-405)+(-8.654496+(-0.215424--1.6524))+0-88.9--0.362711999999992</f>
        <v>1673.2451919999999</v>
      </c>
      <c r="AC312" s="3">
        <f>1938.3+(74.7-362.8)+(-2.965599+(-0.114291--0.555084))+0-61.1--0.0934830000000035</f>
        <v>1586.6686770000001</v>
      </c>
      <c r="AD312">
        <v>1842.7</v>
      </c>
      <c r="AE312" s="3">
        <f>2160+(0-216.2)+(0+(0-0))+0-101.1-0</f>
        <v>1842.7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1811.2+(82.8-336.6)+(0.923712+(0.042228-0.171666))+0-80.1-0.0408509999999919</f>
        <v>1478.0534230000003</v>
      </c>
      <c r="G313" s="3">
        <f>1729.5+(98.7-338.6)+(-0.882045+(-0.050337--0.172686))+0-82.5--0.0420749999999916</f>
        <v>1406.3823789999999</v>
      </c>
      <c r="H313" s="3">
        <f>1720.3+(100.9-364.6)+(0+(0-0))+0-91.5-0</f>
        <v>1365.1</v>
      </c>
      <c r="I313" s="3">
        <f>1609.1+(97.5-287.2)+(1.641282+(0.09945-0.292944))+0-88.6-0.0903720000000141</f>
        <v>1332.1574159999998</v>
      </c>
      <c r="J313" s="3">
        <f>1539.5+(67.7-214.1)+(-3.14058+(-0.138108--0.436764))+0-70.3--0.143411999999997</f>
        <v>1320.1014879999998</v>
      </c>
      <c r="K313" s="3">
        <f>1558.7+(20-170.9)+(-2.384811+(-0.0306--0.261477))+0-86--0.131580000000005</f>
        <v>1319.777646</v>
      </c>
      <c r="L313" s="3">
        <f>1569.8+(6.1-193.9)+(-6.404784+(-0.024888--0.791112))+0-92.3--0.376583999999992</f>
        <v>1284.438024</v>
      </c>
      <c r="M313" s="3">
        <f>1594.1+(20.5-255.6)+(-0.812991+(-0.010455--0.130356))+0-82.7--0.0421769999999916</f>
        <v>1275.649087</v>
      </c>
      <c r="N313" s="3">
        <f>1830.6+(24-432.2)+(0+(0-0))+0-89.6-0</f>
        <v>1332.8</v>
      </c>
      <c r="O313" s="3">
        <f>1963.4+(33.4-492.9)+(-2.002668+(-0.034068--0.502758))+0-92.2--0.0940440000000147</f>
        <v>1410.2600660000001</v>
      </c>
      <c r="P313" s="3">
        <f>2036.2+(42.2-513.7)+(0+(0-0))+0-82.1-0</f>
        <v>1482.6000000000001</v>
      </c>
      <c r="Q313" s="3">
        <f>2031.8+(19.7-471.2)+(-2.072436+(-0.020094--0.480624))+0-72.4--0.0738480000000115</f>
        <v>1506.3619419999998</v>
      </c>
      <c r="R313" s="3">
        <f>1956.9+(29.3-431.6)+(-3.992076+(-0.059772--0.880464))+0-79.7--0.162587999999997</f>
        <v>1471.891204</v>
      </c>
      <c r="S313" s="3">
        <f>1874.1+(40-377.3)+(-1.911582+(-0.0408--0.384846))+0-92.7--0.0945540000000148</f>
        <v>1442.6270179999999</v>
      </c>
      <c r="T313" s="3">
        <f>1815.2+(67.5-368.6)+(-3.703008+(-0.1377--0.751944))+0-90--0.183599999999996</f>
        <v>1421.1948359999999</v>
      </c>
      <c r="U313" s="3">
        <f>1806.8+(63-386.4)+(-0.921468+(-0.03213--0.197064))+0-80.5--0.0410549999999918</f>
        <v>1402.1845209999999</v>
      </c>
      <c r="V313" s="3">
        <f>1809+(46.5-313.7)+(-2.76777+(-0.071145--0.479961))+0-87.2--0.133416000000005</f>
        <v>1452.3744619999998</v>
      </c>
      <c r="W313" s="3">
        <f>2028.3+(3.6-249.2)+(1.034433+(0.001836-0.127092))+0-90.6-0.0462059999999908</f>
        <v>1692.9629710000002</v>
      </c>
      <c r="X313" s="3">
        <f>2095.7+(2.6-265)+(-2.137614+(-0.002652--0.2703))+0-86.7--0.0884340000000138</f>
        <v>1744.8184679999997</v>
      </c>
      <c r="Y313" s="3">
        <f>2101.8+(12.3-305.9)+(0+(0-0))+0-74.6-0</f>
        <v>1733.6000000000004</v>
      </c>
      <c r="Z313" s="3">
        <f>2098+(23.1-315.7)+(-2.13996+(-0.023562--0.322014))+0-90.8--0.0926160000000145</f>
        <v>1712.8511080000001</v>
      </c>
      <c r="AA313" s="3">
        <f>2092.5+(36.1-370.4)+(-2.13435+(-0.036822--0.377808))+0-86.9--0.0886380000000139</f>
        <v>1669.5952739999998</v>
      </c>
      <c r="AB313" s="3">
        <f>2102.9+(49-445.3)+(-1.072479+(-0.02499--0.227103))+0-83.7--0.0426869999999915</f>
        <v>1622.0723209999999</v>
      </c>
      <c r="AC313" s="3">
        <f>2011.5+(64.4-454.3)+(-4.10346+(-0.131376--0.926772))+0-86.8--0.177071999999996</f>
        <v>1531.6690079999998</v>
      </c>
      <c r="AD313">
        <v>1760.5000000000002</v>
      </c>
      <c r="AE313" s="3">
        <f>2117+(5.8-260.8)+(0+(0-0))+0-101.5-0</f>
        <v>1760.5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1914.1+(75.6-463.6)+(-4.880955+(-0.19278--1.18218))+0-91--0.232049999999987</f>
        <v>1431.4404950000001</v>
      </c>
      <c r="G314" s="3">
        <f>1711.1+(81.6-371.3)+(-1.745322+(-0.083232--0.378726))+0-58--0.0591600000000092</f>
        <v>1362.0093319999999</v>
      </c>
      <c r="H314" s="3">
        <f>1660.4+(80.8-333.5)+(-3.387216+(-0.164832--0.68034))+0-85.1--0.173603999999996</f>
        <v>1319.9018960000003</v>
      </c>
      <c r="I314" s="3">
        <f>1586.6+(71.5-286.5)+(-2.427498+(-0.109395--0.438345))+0-83.1--0.127143000000005</f>
        <v>1286.528595</v>
      </c>
      <c r="J314" s="3">
        <f>1609.4+(46.7-280.4)+(1.641588+(0.047634-0.286008))+0-89.6-0.0913920000000143</f>
        <v>1287.411822</v>
      </c>
      <c r="K314" s="3">
        <f>1591.8+(10.5-216.8)+(-1.623636+(-0.01071--0.221136))+0-81.1--0.0827220000000129</f>
        <v>1303.0695120000003</v>
      </c>
      <c r="L314" s="3">
        <f>1870.5+(0-423.7)+(0.953955+(0-0.216087))+0-85.6-0.0436559999999913</f>
        <v>1361.8942119999999</v>
      </c>
      <c r="M314" s="3">
        <f>1955.6+(6.1-490.3)+(0.997356+(0.003111-0.250053))+0-58.2-0.0296819999999941</f>
        <v>1413.9207319999998</v>
      </c>
      <c r="N314" s="3">
        <f>2075.8+(16.1-466.9)+(2.117316+(0.016422-0.476238))+0-84.8-0.0864960000000135</f>
        <v>1541.7710040000002</v>
      </c>
      <c r="O314" s="3">
        <f>2022.1+(30.9-351.6)+(-1.031271+(-0.015759--0.179316))+0-77--0.0392699999999922</f>
        <v>1623.5715559999999</v>
      </c>
      <c r="P314" s="3">
        <f>2071.9+(39.3-357.7)+(-2.113338+(-0.040086--0.364854))+0-82.9--0.0845580000000132</f>
        <v>1668.895988</v>
      </c>
      <c r="Q314" s="3">
        <f>2054.8+(46.2-370.9)+(-2.095896+(-0.047124--0.378318))+0-84.4--0.0860880000000135</f>
        <v>1644.0213860000001</v>
      </c>
      <c r="R314" s="3">
        <f>2037.8+(81.5-413.8)+(-6.235668+(-0.24939--1.266228))+0-58.3--0.178398000000007</f>
        <v>1642.159568</v>
      </c>
      <c r="S314" s="3">
        <f>2052.6+(101.8-431.3)+(-3.140478+(-0.155754--0.659889))+0-88.2--0.134946000000005</f>
        <v>1632.3986029999999</v>
      </c>
      <c r="T314" s="3">
        <f>2056.1+(111.2-460.3)+(-1.048611+(-0.056712--0.234753))+0-86.3--0.0440129999999912</f>
        <v>1619.873443</v>
      </c>
      <c r="U314" s="3">
        <f>2065.5+(64.6-433.3)+(-3.160215+(-0.098838--0.662949))+0-84.2--0.128826000000005</f>
        <v>1610.1327220000001</v>
      </c>
      <c r="V314" s="3">
        <f>2100+(35-416.4)+(1.071+(0.01785-0.212364))+0-65.9-0.0336089999999933</f>
        <v>1653.5428769999999</v>
      </c>
      <c r="W314" s="3">
        <f>2111.7+(0-191.7)+(-1.076967+(0--0.097767))+0-53.6--0.0273359999999946</f>
        <v>1865.448136</v>
      </c>
      <c r="X314" s="3">
        <f>2121.8+(0-154.3)+(2.164236+(0-0.157386))+0-90.7-0.0925140000000145</f>
        <v>1878.7143360000002</v>
      </c>
      <c r="Y314" s="3">
        <f>2084.4+(2.7-152)+(-5.31522+(-0.006885--0.3876))+0-89.6--0.228479999999987</f>
        <v>1840.7939750000003</v>
      </c>
      <c r="Z314" s="3">
        <f>2092.5+(34.4-231.2)+(-3.201525+(-0.052632--0.353736))+0-82.8--0.126684000000005</f>
        <v>1810.1262630000001</v>
      </c>
      <c r="AA314" s="3">
        <f>2060.6+(45.9-281.4)+(-7.356342+(-0.163863--1.004598))+0-80.1--0.285957000000001</f>
        <v>1738.77035</v>
      </c>
      <c r="AB314" s="3">
        <f>2005.2+(71.8-297.4)+(-4.090608+(-0.146472--0.606696))+0-93.4--0.190535999999996</f>
        <v>1682.7601520000001</v>
      </c>
      <c r="AC314" s="3">
        <f>1881.3+(77.9-344.1)+(-4.797315+(-0.198645--0.877455))+0-34.5--0.087974999999995</f>
        <v>1576.5694699999999</v>
      </c>
      <c r="AD314">
        <v>1881.7</v>
      </c>
      <c r="AE314" s="3">
        <f>2123+(0-144.1)+(0+(0-0))+0-97.2-0</f>
        <v>1881.7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1754.4+(96.1-296.6)+(0+(0-0))+0-91.5-0</f>
        <v>1462.4</v>
      </c>
      <c r="G315" s="3">
        <f>1649.9+(111.5-266.9)+(-4.207245+(-0.284325--0.680595))+0-81.6--0.208079999999988</f>
        <v>1409.2971049999999</v>
      </c>
      <c r="H315" s="3">
        <f>1556.1+(119.1-215.5)+(-2.380833+(-0.182223--0.329715))+0-83.5--0.127755000000005</f>
        <v>1374.0944139999997</v>
      </c>
      <c r="I315" s="3">
        <f>1543.2+(113.1-207.2)+(-3.148128+(-0.230724--0.422688))+0-85.3--0.174011999999996</f>
        <v>1361.0178480000002</v>
      </c>
      <c r="J315" s="3">
        <f>1654.5+(91.4-330.5)+(2.531385+(0.139842-0.505665))+0-56.7-0.0867510000000033</f>
        <v>1360.7788109999999</v>
      </c>
      <c r="K315" s="3">
        <f>1698.3+(48.7-338.7)+(-0.866133+(-0.024837--0.172737))+0-21.4--0.0109139999999978</f>
        <v>1386.1926809999998</v>
      </c>
      <c r="L315" s="3">
        <f>1821.2+(43.9-393.5)+(0+(0-0))+0-45.7-0</f>
        <v>1425.8999999999999</v>
      </c>
      <c r="M315" s="3">
        <f>1844.8+(42-352.5)+(0.940848+(0.02142-0.179775))+0-86.2-0.0439619999999913</f>
        <v>1448.8385309999999</v>
      </c>
      <c r="N315" s="3">
        <f>2020.1+(46.7-397.7)+(-3.090753+(-0.071451--0.608481))+0-84.5--0.129285000000005</f>
        <v>1582.1755619999999</v>
      </c>
      <c r="O315" s="3">
        <f>2071.2+(58-398.8)+(-1.056312+(-0.02958--0.203388))+0-80.7--0.0411569999999918</f>
        <v>1648.8586529999998</v>
      </c>
      <c r="P315" s="3">
        <f>2062+(64.1-400.1)+(-4.20648+(-0.130764--0.816204))+0-23--0.046919999999999</f>
        <v>1699.5258799999999</v>
      </c>
      <c r="Q315" s="3">
        <f>2066.7+(72.6-356.5)+(-3.162051+(-0.111078--0.545445))+0-23.7--0.0362610000000014</f>
        <v>1756.4085769999997</v>
      </c>
      <c r="R315" s="3">
        <f>2048.9+(79.8-301.3)+(-7.314573+(-0.284886--1.075641))+0-57.6--0.205632000000001</f>
        <v>1763.4818140000002</v>
      </c>
      <c r="S315" s="3">
        <f>1970+(79.7-230.5)+(-3.0141+(-0.121941--0.352665))+0-81--0.123930000000005</f>
        <v>1735.5405539999999</v>
      </c>
      <c r="T315" s="3">
        <f>1901.1+(58.2-213.4)+(-0.969561+(-0.029682--0.108834))+0-64.3--0.0327929999999935</f>
        <v>1680.7423839999999</v>
      </c>
      <c r="U315" s="3">
        <f>1933.5+(43.7-215.2)+(0.986085+(0.022287-0.109752))+0-99.2-0.0505919999999899</f>
        <v>1663.6480279999998</v>
      </c>
      <c r="V315" s="3">
        <f>2078.9+(18.6-288.7)+(-2.120478+(-0.018972--0.294474))+0-86.4--0.0881280000000138</f>
        <v>1720.6431520000001</v>
      </c>
      <c r="W315" s="3">
        <f>2178+(0-216.9)+(0+(0-0))+0-80.7-0</f>
        <v>1880.3999999999999</v>
      </c>
      <c r="X315" s="3">
        <f>2203+(0-270)+(-1.12353+(0--0.1377))+0-53.9--0.0274889999999945</f>
        <v>1878.1416589999999</v>
      </c>
      <c r="Y315" s="3">
        <f>2186+(1.8-257.3)+(-3.34458+(-0.002754--0.393669))+0-91.3--0.139689000000005</f>
        <v>1836.3860240000001</v>
      </c>
      <c r="Z315" s="3">
        <f>2183.8+(32.3-331.6)+(-5.56869+(-0.082365--0.84558))+0-82.9--0.211394999999988</f>
        <v>1797.0059200000003</v>
      </c>
      <c r="AA315" s="3">
        <f>2185.5+(78.3-452.4)+(-4.45842+(-0.159732--0.922896))+0-82.2--0.167687999999996</f>
        <v>1725.6724320000001</v>
      </c>
      <c r="AB315" s="3">
        <f>2066.2+(106.2-416.4)+(-5.26881+(-0.27081--1.06182))+0-92.3--0.235364999999987</f>
        <v>1659.4575649999999</v>
      </c>
      <c r="AC315" s="3">
        <f>1939.3+(112.4-447.8)+(-3.956172+(-0.229296--0.913512))+0-63.4--0.129335999999997</f>
        <v>1537.3573799999999</v>
      </c>
      <c r="AD315">
        <v>1950.7</v>
      </c>
      <c r="AE315" s="3">
        <f>2252+(0-245.2)+(0+(0-0))+0-56.1-0</f>
        <v>1950.7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1734+(102.9-327.2)+(-3.53736+(-0.209916--0.667488))+0-81.8--0.166871999999996</f>
        <v>1424.9870840000001</v>
      </c>
      <c r="G316" s="3">
        <f>1693.5+(98.7-348.3)+(-4.318425+(-0.251685--0.888165))+0-88.1--0.224654999999987</f>
        <v>1352.3427100000001</v>
      </c>
      <c r="H316" s="3">
        <f>1630.6+(99.3-314.8)+(-2.494818+(-0.151929--0.481644))+0-88.4--0.135252000000005</f>
        <v>1324.6701489999998</v>
      </c>
      <c r="I316" s="3">
        <f>1620.3+(102.1-326.1)+(-0.826353+(-0.052071--0.166311))+0-86.5--0.0441149999999912</f>
        <v>1309.1320019999998</v>
      </c>
      <c r="J316" s="3">
        <f>1615.6+(90.7-320.2)+(-3.295824+(-0.185028--0.653208))+0-78.2--0.159527999999997</f>
        <v>1305.2318839999998</v>
      </c>
      <c r="K316" s="3">
        <f>1646.7+(33.1-318.1)+(0+(0-0))+0-45.9-0</f>
        <v>1315.8</v>
      </c>
      <c r="L316" s="3">
        <f>1827.8+(0-379.9)+(-1.864356+(0--0.387498))+0-85--0.0867000000000136</f>
        <v>1361.5098420000002</v>
      </c>
      <c r="M316" s="3">
        <f>1941.3+(0-410.8)+(2.970189+(0-0.628524))+0-95.8-0.146574000000006</f>
        <v>1436.8950909999999</v>
      </c>
      <c r="N316" s="3">
        <f>2031.2+(16.3-428)+(0+(0-0))+0-81.1-0</f>
        <v>1538.4</v>
      </c>
      <c r="O316" s="3">
        <f>2028.3+(24.5-371.3)+(0+(0-0))+0-86.1-0</f>
        <v>1595.4</v>
      </c>
      <c r="P316" s="3">
        <f>2023.5+(33.2-310.8)+(-3.095955+(-0.050796--0.475524))+0-88.6--0.135558000000005</f>
        <v>1654.7643310000001</v>
      </c>
      <c r="Q316" s="3">
        <f>2028.7+(47.2-314.1)+(-2.069274+(-0.048144--0.320382))+0-87.6--0.089352000000014</f>
        <v>1672.4923160000001</v>
      </c>
      <c r="R316" s="3">
        <f>2019.1+(52.4-317)+(-4.118964+(-0.106896--0.64668))+0-87.3--0.178091999999996</f>
        <v>1663.7989120000002</v>
      </c>
      <c r="S316" s="3">
        <f>2012.6+(63-411.2)+(-5.13213+(-0.16065--1.04856))+0-34.7--0.088484999999995</f>
        <v>1625.5442649999998</v>
      </c>
      <c r="T316" s="3">
        <f>2031.5+(65.2-405.1)+(2.07213+(0.066504-0.413202))+0-77.3-0.0788460000000123</f>
        <v>1615.9465859999998</v>
      </c>
      <c r="U316" s="3">
        <f>2007.2+(58.3-404)+(0+(0-0))+0-90.5-0</f>
        <v>1571</v>
      </c>
      <c r="V316" s="3">
        <f>2013.7+(27-357)+(-2.053974+(-0.02754--0.36414))+0-49.9--0.050898000000008</f>
        <v>1632.1335239999999</v>
      </c>
      <c r="W316" s="3">
        <f>2078.8+(13.2-148.5)+(2.120376+(0.013464-0.15147))+0-92.8-0.0946560000000148</f>
        <v>1852.5877140000002</v>
      </c>
      <c r="X316" s="3">
        <f>2095.2+(0-154.4)+(-4.274208+(0--0.314976))+0-80.4--0.164015999999996</f>
        <v>1856.6047839999997</v>
      </c>
      <c r="Y316" s="3">
        <f>2098.6+(0-176.7)+(-4.281144+(0--0.360468))+0-91.4--0.186455999999996</f>
        <v>1826.7657799999997</v>
      </c>
      <c r="Z316" s="3">
        <f>2051+(22.8-196.1)+(-2.09202+(-0.023256--0.200022))+0-73.9--0.0753780000000118</f>
        <v>1801.960124</v>
      </c>
      <c r="AA316" s="3">
        <f>1999.8+(73.5-261.7)+(-2.039796+(-0.07497--0.266934))+0-87.9--0.089658000000014</f>
        <v>1721.941826</v>
      </c>
      <c r="AB316" s="3">
        <f>1852.4+(119-244)+(-2.834172+(-0.18207--0.37332))+0-73.9--0.113067000000004</f>
        <v>1650.970145</v>
      </c>
      <c r="AC316" s="3">
        <f>1648.2+(117.7-131.1)+(-4.20291+(-0.300135--0.334305))+0-91.2--0.232559999999987</f>
        <v>1539.6638199999998</v>
      </c>
      <c r="AD316">
        <v>1860.1</v>
      </c>
      <c r="AE316" s="3">
        <f>2114+(0.6-158.1)+(0+(0-0))+0-96.4-0</f>
        <v>1860.1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1525.9+(124.2-189)+(-3.112836+(-0.253368--0.38556))+0-29.7--0.0605879999999987</f>
        <v>1428.4799440000002</v>
      </c>
      <c r="G317" s="3">
        <f>1510.6+(129.2-177)+(-2.311218+(-0.197676--0.27081))+0-85.5--0.130815000000005</f>
        <v>1375.1927309999999</v>
      </c>
      <c r="H317" s="3">
        <f>1393.4+(142-108.8)+(-3.55317+(-0.3621--0.27744))+0-92.2--0.235109999999987</f>
        <v>1330.9972800000003</v>
      </c>
      <c r="I317" s="3">
        <f>1396.7+(135.1-128.4)+(-0.712317+(-0.068901--0.065484))+0-80.7--0.0411569999999918</f>
        <v>1322.0254229999998</v>
      </c>
      <c r="J317" s="3">
        <f>1393.1+(123.9-114.1)+(0+(0-0))+0-84.5-0</f>
        <v>1318.3999999999999</v>
      </c>
      <c r="K317" s="3">
        <f>1517.7+(75.5-176)+(-0.774027+(-0.038505--0.08976))+0-89.2--0.0454919999999909</f>
        <v>1327.3227199999999</v>
      </c>
      <c r="L317" s="3">
        <f>1823.5+(39.4-457.1)+(-1.85997+(-0.040188--0.466242))+0-26.3--0.0268260000000042</f>
        <v>1378.0929100000001</v>
      </c>
      <c r="M317" s="3">
        <f>1898.1+(60.7-476.2)+(1.936062+(0.061914-0.485724))+0-23.7-0.0241740000000038</f>
        <v>1460.388078</v>
      </c>
      <c r="N317" s="3">
        <f>1966.1+(85.9-458.3)+(2.005422+(0.087618-0.467466))+0-19.4-0.0197880000000031</f>
        <v>1575.9057859999996</v>
      </c>
      <c r="O317" s="3">
        <f>1987.4+(99.4-422.9)+(2.027148+(0.101388-0.431358))+0-21.9-0.0223380000000035</f>
        <v>1643.6748399999999</v>
      </c>
      <c r="P317" s="3">
        <f>1996.7+(110-399)+(0+(0-0))+0-20.4-0</f>
        <v>1687.3</v>
      </c>
      <c r="Q317" s="3">
        <f>2019.3+(123.7-438.3)+(1.029843+(0.063087-0.223533))+0-19.6-0.00999599999999801</f>
        <v>1685.9594009999998</v>
      </c>
      <c r="R317" s="3">
        <f>2027.2+(128.7-471.4)+(-3.101616+(-0.196911--0.721242))+0-20.4--0.0312120000000012</f>
        <v>1661.5539269999999</v>
      </c>
      <c r="S317" s="3">
        <f>2028.3+(130.9-498.4)+(-2.068866+(-0.133518--0.508368))+0-18.2--0.0185640000000029</f>
        <v>1640.924548</v>
      </c>
      <c r="T317" s="3">
        <f>2041.4+(131.5-510)+(1.041114+(0.067065-0.2601))+0-21.8-0.0111179999999978</f>
        <v>1641.9369610000003</v>
      </c>
      <c r="U317" s="3">
        <f>2109.1+(117.3-505.5)+(-5.378205+(-0.299115--1.289025))+0-92--0.234599999999987</f>
        <v>1624.7463049999999</v>
      </c>
      <c r="V317" s="3">
        <f>2152.4+(70.2-453.5)+(0+(0-0))+0-88.7-0</f>
        <v>1680.4</v>
      </c>
      <c r="W317" s="3">
        <f>2183.2+(19-247.1)+(-2.226864+(-0.01938--0.252042))+0-94--0.095880000000015</f>
        <v>1859.2016779999999</v>
      </c>
      <c r="X317" s="3">
        <f>2291.9+(3.7-389.1)+(-1.168869+(-0.001887--0.198441))+0-26.2--0.0133619999999973</f>
        <v>1879.3410469999999</v>
      </c>
      <c r="Y317" s="3">
        <f>2202.5+(14.3-338.2)+(-3.369825+(-0.021879--0.517446))+0-36.7--0.0561510000000021</f>
        <v>1839.0818929999998</v>
      </c>
      <c r="Z317" s="3">
        <f>2273.2+(41.2-422.1)+(-4.637328+(-0.084048--0.861084))+0-83.1--0.169523999999996</f>
        <v>1805.5092319999997</v>
      </c>
      <c r="AA317" s="3">
        <f>2272.9+(76.7-509.3)+(-4.636716+(-0.156468--1.038972))+0-86.5--0.176459999999996</f>
        <v>1750.222248</v>
      </c>
      <c r="AB317" s="3">
        <f>2202.6+(114.4-549.5)+(-3.369978+(-0.175032--0.840735))+0-87.4--0.133722000000005</f>
        <v>1677.5294469999999</v>
      </c>
      <c r="AC317" s="3">
        <f>1929.2+(129-415.1)+(-2.951676+(-0.19737--0.635103))+0-78.6--0.120258000000005</f>
        <v>1562.106315</v>
      </c>
      <c r="AD317">
        <v>1895.7</v>
      </c>
      <c r="AE317" s="3">
        <f>2314+(0-387.7)+(0+(0-0))+0-30.6-0</f>
        <v>1895.7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1692.7+(143.3-326.3)+(0+(0-0))+0-61.3-0</f>
        <v>1448.4</v>
      </c>
      <c r="G318" s="3">
        <f>1598.3+(142.6-274.5)+(0+(0-0))+0-84.5-0</f>
        <v>1381.8999999999999</v>
      </c>
      <c r="H318" s="3">
        <f>1572.4+(142.1-282.1)+(0.801924+(0.072471-0.143871))+0-86.7-0.0442169999999912</f>
        <v>1346.3863070000002</v>
      </c>
      <c r="I318" s="3">
        <f>1565.7+(143.1-358.1)+(0+(0-0))+0-24.1-0</f>
        <v>1326.6000000000001</v>
      </c>
      <c r="J318" s="3">
        <f>1639.5+(125.7-363.9)+(0+(0-0))+0-71.6-0</f>
        <v>1329.7</v>
      </c>
      <c r="K318" s="3">
        <f>1693.9+(77.8-339.7)+(1.727778+(0.079356-0.346494))+0-83.2-0.0848640000000133</f>
        <v>1350.175776</v>
      </c>
      <c r="L318" s="3">
        <f>1843.4+(32.7-388.3)+(-1.880268+(-0.033354--0.396066))+0-87.2--0.0889440000000139</f>
        <v>1399.1713880000002</v>
      </c>
      <c r="M318" s="3">
        <f>1784.8+(60.3-271.8)+(0+(0-0))+0-77.5-0</f>
        <v>1495.8</v>
      </c>
      <c r="N318" s="3">
        <f>1905.6+(73.6-293.3)+(2.915568+(0.112608-0.448749))+0-69.9-0.106947000000004</f>
        <v>1618.4724799999997</v>
      </c>
      <c r="O318" s="3">
        <f>2018.7+(82.6-331.8)+(-1.029537+(-0.042126--0.169218))+0-79.2--0.040391999999992</f>
        <v>1689.4379469999999</v>
      </c>
      <c r="P318" s="3">
        <f>2100.9+(109.2-421.4)+(2.142918+(0.111384-0.429828))+0-25.7-0.0262140000000041</f>
        <v>1764.79826</v>
      </c>
      <c r="Q318" s="3">
        <f>2070.1+(131.3-341.2)+(-4.223004+(-0.267852--0.696048))+0-87.5--0.178499999999996</f>
        <v>1769.0836919999997</v>
      </c>
      <c r="R318" s="3">
        <f>2065.4+(134.5-391.5)+(-4.213416+(-0.27438--0.79866))+0-72.3--0.147491999999997</f>
        <v>1732.5583560000002</v>
      </c>
      <c r="S318" s="3">
        <f>2015.8+(136.8-371.1)+(-2.056116+(-0.139536--0.378522))+0-81.7--0.083334000000013</f>
        <v>1698.066204</v>
      </c>
      <c r="T318" s="3">
        <f>1945.8+(130.9-330.4)+(-1.984716+(-0.133518--0.337008))+0-87.3--0.0890460000000139</f>
        <v>1657.30782</v>
      </c>
      <c r="U318" s="3">
        <f>1940+(110.7-327.2)+(0+(0-0))+0-89.4-0</f>
        <v>1634.1</v>
      </c>
      <c r="V318" s="3">
        <f>2028.6+(86.5-358.4)+(-2.069172+(-0.08823--0.365568))+0-83.3--0.0849660000000133</f>
        <v>1671.6931319999999</v>
      </c>
      <c r="W318" s="3">
        <f>2178.5+(24.6-260.7)+(0+(0-0))+0-57.1-0</f>
        <v>1885.3000000000002</v>
      </c>
      <c r="X318" s="3">
        <f>2269.1+(18-307)+(-3.471723+(-0.02754--0.46971))+0-87.9--0.134487000000005</f>
        <v>1889.3049339999998</v>
      </c>
      <c r="Y318" s="3">
        <f>2227.6+(29.9-300.5)+(-1.136076+(-0.015249--0.153255))+0-91.6--0.0467159999999907</f>
        <v>1864.4486460000001</v>
      </c>
      <c r="Z318" s="3">
        <f>2115.4+(56.2-252.9)+(-2.157708+(-0.057324--0.257958))+0-85.4--0.0871080000000136</f>
        <v>1831.430034</v>
      </c>
      <c r="AA318" s="3">
        <f>2041.2+(105.9-292.2)+(-2.082024+(-0.108018--0.298044))+0-89.4--0.0911880000000143</f>
        <v>1763.69919</v>
      </c>
      <c r="AB318" s="3">
        <f>2026+(117.1-347)+(-2.06652+(-0.119442--0.35394))+0-82.7--0.0843540000000132</f>
        <v>1711.6523319999999</v>
      </c>
      <c r="AC318" s="3">
        <f>1825.6+(110.9-237.5)+(-2.793168+(-0.169677--0.363375))+0-92.7--0.141831000000005</f>
        <v>1603.8423609999998</v>
      </c>
      <c r="AD318">
        <v>1907.6</v>
      </c>
      <c r="AE318" s="3">
        <f>2304+(11.1-384.9)+(0+(0-0))+0-22.6-0</f>
        <v>1907.6000000000001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1580.3+(110.9-127.4)+(-3.223812+(-0.226236--0.259896))+0-88--0.179519999999996</f>
        <v>1472.789368</v>
      </c>
      <c r="G319" s="3">
        <f>1550.1+(132.4-191.7)+(-3.952755+(-0.33762--0.488835))+0-76.4--0.194819999999989</f>
        <v>1410.7932799999999</v>
      </c>
      <c r="H319" s="3">
        <f>1514.4+(143.3-180.5)+(-0.772344+(-0.073083--0.092055))+0-86.4--0.0440639999999912</f>
        <v>1390.090692</v>
      </c>
      <c r="I319" s="3">
        <f>1521.3+(142.6-243.3)+(0+(0-0))+0-50.2-0</f>
        <v>1370.3999999999999</v>
      </c>
      <c r="J319" s="3">
        <f>1623.6+(137-288.8)+(0+(0-0))+0-98.7-0</f>
        <v>1373.1</v>
      </c>
      <c r="K319" s="3">
        <f>1727.7+(87.7-341.2)+(-0.881127+(-0.044727--0.174012))+0-89.7--0.0457469999999909</f>
        <v>1383.793905</v>
      </c>
      <c r="L319" s="3">
        <f>1835.3+(51.4-393.2)+(-1.872006+(-0.052428--0.401064))+0-87.9--0.089658000000014</f>
        <v>1404.1662879999999</v>
      </c>
      <c r="M319" s="3">
        <f>1758.8+(70.6-274.2)+(-1.793976+(-0.072012--0.279684))+0-79.6--0.0811920000000127</f>
        <v>1474.0948880000003</v>
      </c>
      <c r="N319" s="3">
        <f>1940.6+(92.5-332)+(0+(0-0))+0-85.4-0</f>
        <v>1615.6999999999998</v>
      </c>
      <c r="O319" s="3">
        <f>2039.6+(106.9-325.2)+(0+(0-0))+0-90.4-0</f>
        <v>1730.8999999999999</v>
      </c>
      <c r="P319" s="3">
        <f>1943.6+(105.4-202)+(0.991236+(0.053754-0.10302))+0-55.7-0.0284069999999944</f>
        <v>1792.213563</v>
      </c>
      <c r="Q319" s="3">
        <f>1951+(106-164.1)+(-4.97505+(-0.2703--0.418455))+0-89.4--0.227969999999987</f>
        <v>1798.901075</v>
      </c>
      <c r="R319" s="3">
        <f>1898.4+(99.8-142.2)+(-4.84092+(-0.25449--0.36261))+0-78.4--0.199919999999989</f>
        <v>1773.0671199999999</v>
      </c>
      <c r="S319" s="3">
        <f>1864.7+(104.5-173.2)+(-3.803988+(-0.21318--0.353328))+0-79--0.161159999999997</f>
        <v>1713.4973200000002</v>
      </c>
      <c r="T319" s="3">
        <f>1828.6+(84.5-179)+(-1.865172+(-0.08619--0.18258))+0-82.8--0.0844560000000132</f>
        <v>1649.6156739999999</v>
      </c>
      <c r="U319" s="3">
        <f>1825.6+(70.2-191.5)+(-2.793168+(-0.107406--0.292995))+0-74.6--0.114138000000004</f>
        <v>1627.206559</v>
      </c>
      <c r="V319" s="3">
        <f>1880.2+(34.8-189.3)+(0.958902+(0.017748-0.096543))+0-89.2-0.0454919999999909</f>
        <v>1637.334615</v>
      </c>
      <c r="W319" s="3">
        <f>2131.5+(0-230)+(1.087065+(0-0.1173))+0-89.8-0.0457979999999909</f>
        <v>1812.623967</v>
      </c>
      <c r="X319" s="3">
        <f>2142.8+(0-283.2)+(-2.185656+(0--0.288864))+0-85.9--0.0876180000000137</f>
        <v>1771.8908260000001</v>
      </c>
      <c r="Y319" s="3">
        <f>2157.9+(17.2-375.8)+(-3.301587+(-0.026316--0.574974))+0-81.3--0.124389000000005</f>
        <v>1715.3714600000003</v>
      </c>
      <c r="Z319" s="3">
        <f>2160.3+(47.5-428.4)+(0+(0-0))+0-87.1-0</f>
        <v>1692.3000000000002</v>
      </c>
      <c r="AA319" s="3">
        <f>2141.5+(45.1-477.8)+(-1.092165+(-0.023001--0.243678))+0-85.9--0.0438089999999913</f>
        <v>1622.0723209999999</v>
      </c>
      <c r="AB319" s="3">
        <f>2098+(66.9-486.3)+(1.06998+(0.034119-0.248013))+0-90.9-0.0463589999999908</f>
        <v>1588.5097269999999</v>
      </c>
      <c r="AC319" s="3">
        <f>1948.2+(96.6-489.9)+(-4.96791+(-0.24633--1.249245))+0-58.3--0.148664999999992</f>
        <v>1492.78367</v>
      </c>
      <c r="AD319">
        <v>1773.3999999999999</v>
      </c>
      <c r="AE319" s="3">
        <f>2162+(0-290.4)+(0+(0-0))+0-98.2-0</f>
        <v>1773.3999999999999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1685.7+(128.2-389.8)+(0+(0-0))+0-57.5-0</f>
        <v>1366.6</v>
      </c>
      <c r="G320" s="3">
        <f>1603.6+(135.5-338.5)+(1.635672+(0.13821-0.34527))+0-89.2-0.0909840000000142</f>
        <v>1312.7376279999999</v>
      </c>
      <c r="H320" s="3">
        <f>1597.7+(131.3-353)+(-0.814827+(-0.066963--0.18003))+0-87.2--0.0444719999999912</f>
        <v>1288.1427120000001</v>
      </c>
      <c r="I320" s="3">
        <f>1598.5+(129.1-378.9)+(-1.63047+(-0.131682--0.386478))+0-82.2--0.0838440000000131</f>
        <v>1265.2081700000001</v>
      </c>
      <c r="J320" s="3">
        <f>1583.8+(97.1-372.3)+(1.615476+(0.099042-0.379746))+0-73.8-0.0752760000000118</f>
        <v>1236.0594959999999</v>
      </c>
      <c r="K320" s="3">
        <f>1634.2+(58.6-369.6)+(0.833442+(0.029886-0.188496))+0-83.9-0.0427889999999915</f>
        <v>1239.9320429999998</v>
      </c>
      <c r="L320" s="3">
        <f>1586.6+(23.9-383.8)+(-6.473328+(-0.097512--1.565904))+0-75.1--0.306407999999993</f>
        <v>1146.9014719999998</v>
      </c>
      <c r="M320" s="3">
        <f>1551.3+(33.8-316.5)+(0+(0-0))+0-95.1-0</f>
        <v>1173.5</v>
      </c>
      <c r="N320" s="3">
        <f>1557.4+(41.3-301.2)+(-0.794274+(-0.021063--0.153612))+0-92.1--0.0469709999999907</f>
        <v>1204.7852460000001</v>
      </c>
      <c r="O320" s="3">
        <f>1657.1+(68.7-374.9)+(0.845121+(0.035037-0.191199))+0-89.2-0.0454919999999909</f>
        <v>1262.3434669999999</v>
      </c>
      <c r="P320" s="3">
        <f>1737.4+(69.5-368.7)+(0+(0-0))+0-68.2-0</f>
        <v>1370</v>
      </c>
      <c r="Q320" s="3">
        <f>1735.5+(55.6-311.9)+(0+(0-0))+0-91.6-0</f>
        <v>1387.6000000000001</v>
      </c>
      <c r="R320" s="3">
        <f>1734+(63.8-353.9)+(-1.76868+(-0.065076--0.360978))+0-87.2--0.0889440000000139</f>
        <v>1355.3161660000001</v>
      </c>
      <c r="S320" s="3">
        <f>1832.7+(28.6-419.4)+(-1.869354+(-0.029172--0.427788))+0-91.3--0.0931260000000146</f>
        <v>1349.2223880000001</v>
      </c>
      <c r="T320" s="3">
        <f>1950.1+(0-518)+(-3.978204+(0--1.05672))+0-92.5--0.188699999999996</f>
        <v>1336.8672159999999</v>
      </c>
      <c r="U320" s="3">
        <f>1893.7+(0-535.3)+(-0.965787+(0--0.273003))+0-69--0.035189999999993</f>
        <v>1288.7424060000001</v>
      </c>
      <c r="V320" s="3">
        <f>1950+(0-485)+(1.989+(0-0.4947))+0-82.4-0.0840480000000131</f>
        <v>1384.010252</v>
      </c>
      <c r="W320" s="3">
        <f>2065.6+(0-445.6)+(0+(0-0))+0-71-0</f>
        <v>1549</v>
      </c>
      <c r="X320" s="3">
        <f>2196.8+(0-477.4)+(-1.120368+(0--0.243474))+0-94--0.0479399999999905</f>
        <v>1624.571046</v>
      </c>
      <c r="Y320" s="3">
        <f>2161+(0-488.5)+(-1.10211+(0--0.249135))+0-78.8--0.040187999999992</f>
        <v>1592.887213</v>
      </c>
      <c r="Z320" s="3">
        <f>2010.6+(17.2-359.3)+(0+(0-0))+0-92.3-0</f>
        <v>1576.2</v>
      </c>
      <c r="AA320" s="3">
        <f>1983.4+(55.1-401.8)+(-2.023068+(-0.056202--0.409836))+0-92.9--0.0947580000000148</f>
        <v>1542.225324</v>
      </c>
      <c r="AB320" s="3">
        <f>1968.9+(91.7-513.4)+(-1.004139+(-0.046767--0.261834))+0-90.8--0.0463079999999908</f>
        <v>1455.657236</v>
      </c>
      <c r="AC320" s="3">
        <f>1825.9+(70.3-399.1)+(-0.931209+(-0.035853--0.203541))+0-71.3--0.0363629999999928</f>
        <v>1425.072842</v>
      </c>
      <c r="AD320">
        <v>1624.8999999999999</v>
      </c>
      <c r="AE320" s="3">
        <f>2198+(0-472.7)+(0+(0-0))+0-100.4-0</f>
        <v>1624.8999999999999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1749.6+(61.6-454.7)+(-2.676888+(-0.094248--0.695691))+0-78.2--0.119646000000005</f>
        <v>1276.3442010000001</v>
      </c>
      <c r="G321" s="3">
        <f>1539.1+(86.4-316.1)+(2.354823+(0.132192-0.483633))+0-94.2-0.144126000000005</f>
        <v>1217.059256</v>
      </c>
      <c r="H321" s="3">
        <f>1535.2+(96.2-381.6)+(-2.348856+(-0.147186--0.583848))+0-79.6--0.121788000000005</f>
        <v>1168.409594</v>
      </c>
      <c r="I321" s="3">
        <f>1540.6+(89.8-373.5)+(3.142824+(0.183192-0.76194))+0-56.8-0.115871999999998</f>
        <v>1202.5482039999997</v>
      </c>
      <c r="J321" s="3">
        <f>1571.8+(69.4-386.4)+(-0.801618+(-0.035394--0.197064))+0-75.8--0.0386579999999923</f>
        <v>1178.3987099999999</v>
      </c>
      <c r="K321" s="3">
        <f>1627.4+(34.9-373.2)+(-2.489922+(-0.053397--0.570996))+0-92.2--0.141066000000005</f>
        <v>1195.068743</v>
      </c>
      <c r="L321" s="3">
        <f>1736.4+(0-401.5)+(-0.885564+(0--0.204765))+0-85.5--0.0436049999999913</f>
        <v>1248.7628060000002</v>
      </c>
      <c r="M321" s="3">
        <f>1914.6+(0-546.6)+(-0.976446+(0--0.278766))+0-72.5--0.0369749999999926</f>
        <v>1294.839295</v>
      </c>
      <c r="N321" s="3">
        <f>1985.6+(0-522.5)+(0+(0-0))+0-40.6-0</f>
        <v>1422.5</v>
      </c>
      <c r="O321" s="3">
        <f>1973.9+(0-453.6)+(2.013378+(0-0.462672))+0-18.2-0.0185640000000029</f>
        <v>1503.6321420000002</v>
      </c>
      <c r="P321" s="3">
        <f>1997.5+(0-399.7)+(0+(0-0))+0-41-0</f>
        <v>1556.8</v>
      </c>
      <c r="Q321" s="3">
        <f>1994.9+(0-349.6)+(0+(0-0))+0-76.9-0</f>
        <v>1568.4</v>
      </c>
      <c r="R321" s="3">
        <f>2005.1+(0-351.1)+(0+(0-0))+0-82.1-0</f>
        <v>1571.9</v>
      </c>
      <c r="S321" s="3">
        <f>1995.7+(0-369.5)+(-2.035614+(0--0.37689))+0-72--0.0734400000000115</f>
        <v>1552.6147160000003</v>
      </c>
      <c r="T321" s="3">
        <f>2034.7+(0-460.4)+(-2.075394+(0--0.469608))+0-55.3--0.0564060000000088</f>
        <v>1517.4506200000001</v>
      </c>
      <c r="U321" s="3">
        <f>1929.2+(2.9-350.8)+(0.983892+(0.001479-0.178908))+0-99.3-0.0506429999999899</f>
        <v>1482.7558199999999</v>
      </c>
      <c r="V321" s="3">
        <f>1896.1+(0-266.4)+(-0.967011+(0--0.135864))+0-89.5--0.0456449999999909</f>
        <v>1539.4144979999996</v>
      </c>
      <c r="W321" s="3">
        <f>1927.3+(7-129.8)+(0+(0-0))+0-79.1-0</f>
        <v>1725.4</v>
      </c>
      <c r="X321" s="3">
        <f>2125.7+(0-264.1)+(-3.252321+(0--0.404073))+0-81.1--0.124083000000005</f>
        <v>1777.7758349999999</v>
      </c>
      <c r="Y321" s="3">
        <f>2010.2+(0-201)+(-2.050404+(0--0.20502))+0-58.2--0.0593640000000093</f>
        <v>1749.21398</v>
      </c>
      <c r="Z321" s="3">
        <f>1825+(41.8-90.7)+(-3.723+(-0.085272--0.185028))+0-72.4--0.147695999999997</f>
        <v>1700.2244519999999</v>
      </c>
      <c r="AA321" s="3">
        <f>1828.2+(7.9-118.6)+(0.932382+(0.004029-0.060486))+0-87.3-0.0445229999999911</f>
        <v>1631.0314020000001</v>
      </c>
      <c r="AB321" s="3">
        <f>1797.8+(26.7-193.5)+(0.916878+(0.013617-0.098685))+0-86.8-0.0442679999999912</f>
        <v>1544.9875419999998</v>
      </c>
      <c r="AC321" s="3">
        <f>1692.5+(45.5-219.2)+(-2.589525+(-0.069615--0.335376))+0-76.2--0.116586000000004</f>
        <v>1440.392822</v>
      </c>
      <c r="AD321">
        <v>1761.4</v>
      </c>
      <c r="AE321" s="3">
        <f>2117+(0-263.8)+(0+(0-0))+0-91.8-0</f>
        <v>1761.4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1691.6+(51.4-326.3)+(-1.725432+(-0.052428--0.332826))+0-80.9--0.0825180000000129</f>
        <v>1334.4374839999996</v>
      </c>
      <c r="G322" s="3">
        <f>1539.8+(60.9-312.2)+(-2.355894+(-0.093177--0.477666))+0-24--0.0367200000000014</f>
        <v>1262.5653150000001</v>
      </c>
      <c r="H322" s="3">
        <f>1486.7+(67.4-301.1)+(0+(0-0))+0-20.5-0</f>
        <v>1232.5</v>
      </c>
      <c r="I322" s="3">
        <f>1485.8+(61.1-243.3)+(0+(0-0))+0-85.2-0</f>
        <v>1218.3999999999999</v>
      </c>
      <c r="J322" s="3">
        <f>1484.9+(43.9-226.8)+(-0.757299+(-0.022389--0.115668))+0-85.7--0.0437069999999913</f>
        <v>1215.6796870000001</v>
      </c>
      <c r="K322" s="3">
        <f>1524.4+(41.7-251.9)+(0.777444+(0.021267-0.128469))+0-72.4-0.0369239999999927</f>
        <v>1242.4333179999999</v>
      </c>
      <c r="L322" s="3">
        <f>1539.5+(0-204.1)+(0+(0-0))+0-87.4-0</f>
        <v>1248</v>
      </c>
      <c r="M322" s="3">
        <f>1836.3+(3.8-457.7)+(-1.873026+(-0.003876--0.466854))+0-64.7--0.0659940000000103</f>
        <v>1316.3559460000001</v>
      </c>
      <c r="N322" s="3">
        <f>1946.2+(0-436.2)+(1.985124+(0-0.444924))+0-83.3-0.0849660000000133</f>
        <v>1428.1552339999998</v>
      </c>
      <c r="O322" s="3">
        <f>1995.7+(9.1-403.4)+(-1.017807+(-0.004641--0.205734))+0-89.2--0.0454919999999909</f>
        <v>1511.428778</v>
      </c>
      <c r="P322" s="3">
        <f>2011.9+(11.2-361.3)+(-1.026069+(-0.005712--0.184263))+0-90.9--0.0463589999999908</f>
        <v>1570.098841</v>
      </c>
      <c r="Q322" s="3">
        <f>2009.1+(0-341.2)+(-4.098564+(0--0.696048))+0-78.9--0.160955999999997</f>
        <v>1585.7584399999996</v>
      </c>
      <c r="R322" s="3">
        <f>1778.3+(17.2-167.9)+(-4.534665+(-0.04386--0.428145))+0-62.8--0.160139999999991</f>
        <v>1560.8097599999999</v>
      </c>
      <c r="S322" s="3">
        <f>1666.5+(59.5-112.8)+(0+(0-0))+0-79.8-0</f>
        <v>1533.4</v>
      </c>
      <c r="T322" s="3">
        <f>1658.4+(45.5-134.2)+(0+(0-0))+0-68.7-0</f>
        <v>1501</v>
      </c>
      <c r="U322" s="3">
        <f>1661.1+(27.7-131.7)+(0.847161+(0.014127-0.067167))+0-83.7-0.0426869999999915</f>
        <v>1474.1514339999999</v>
      </c>
      <c r="V322" s="3">
        <f>1657.3+(33.7-108.6)+(-3.380892+(-0.068748--0.221544))+0-79.8--0.162791999999997</f>
        <v>1499.5346959999999</v>
      </c>
      <c r="W322" s="3">
        <f>1825.6+(25.6-104.7)+(0+(0-0))+0-27.8-0</f>
        <v>1718.7</v>
      </c>
      <c r="X322" s="3">
        <f>1916+(35-102)+(-1.95432+(-0.0357--0.10404))+0-79.2--0.0807840000000126</f>
        <v>1767.9948039999999</v>
      </c>
      <c r="Y322" s="3">
        <f>1911.7+(25-106.1)+(-4.874835+(-0.06375--0.270555))+0-85.9--0.219044999999988</f>
        <v>1740.2510150000001</v>
      </c>
      <c r="Z322" s="3">
        <f>1925.5+(1.1-128.9)+(-2.946015+(-0.001683--0.197217))+0-87.8--0.134334000000005</f>
        <v>1707.2838530000001</v>
      </c>
      <c r="AA322" s="3">
        <f>1915.3+(10.8-198.1)+(-0.976803+(-0.005508--0.101031))+0-85.1--0.0434009999999914</f>
        <v>1642.0621209999999</v>
      </c>
      <c r="AB322" s="3">
        <f>1883.7+(8.2-238.4)+(-1.921374+(-0.008364--0.243168))+0-89.1--0.0908820000000142</f>
        <v>1562.804312</v>
      </c>
      <c r="AC322" s="3">
        <f>1624.5+(29.6-162.6)+(-1.65699+(-0.030192--0.165852))+0-49--0.0499800000000078</f>
        <v>1441.02865</v>
      </c>
      <c r="AD322">
        <v>1785.6</v>
      </c>
      <c r="AE322" s="3">
        <f>1922+(64.1-105.1)+(0+(0-0))+0-95.4-0</f>
        <v>1785.6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1559.8+(35.6-205.7)+(-3.97749+(-0.09078--0.524535))+0-46.8--0.119339999999993</f>
        <v>1339.4756050000001</v>
      </c>
      <c r="G323" s="3">
        <f>1451.7+(46.5-150.5)+(-1.480734+(-0.04743--0.15351))+0-80.2--0.0818040000000128</f>
        <v>1266.20715</v>
      </c>
      <c r="H323" s="3">
        <f>1451.1+(48.9-171.6)+(-2.220183+(-0.074817--0.262548))+0-93.3--0.142749000000005</f>
        <v>1233.2102970000001</v>
      </c>
      <c r="I323" s="3">
        <f>1454.1+(50.1-185.4)+(1.483182+(0.051102-0.189108))+0-94-0.095880000000015</f>
        <v>1226.0492959999999</v>
      </c>
      <c r="J323" s="3">
        <f>1441.6+(33.8-164.7)+(-2.205648+(-0.051714--0.251991))+0-91.4--0.139842000000005</f>
        <v>1217.4344709999998</v>
      </c>
      <c r="K323" s="3">
        <f>1461.3+(27.2-169.1)+(0.745263+(0.013872-0.086241))+0-85.7-0.0437069999999913</f>
        <v>1234.3291869999998</v>
      </c>
      <c r="L323" s="3">
        <f>1568.6+(0-229.6)+(-1.599972+(0--0.234192))+0-82.1--0.0837420000000131</f>
        <v>1255.617962</v>
      </c>
      <c r="M323" s="3">
        <f>1511.9+(5.1-186.2)+(-2.313207+(-0.007803--0.284886))+0-41.8--0.0639540000000024</f>
        <v>1287.0278300000002</v>
      </c>
      <c r="N323" s="3">
        <f>1676.3+(9.4-235.9)+(2.564739+(0.014382-0.360927))+0-50-0.0765000000000029</f>
        <v>1401.9416940000001</v>
      </c>
      <c r="O323" s="3">
        <f>1778.1+(12-232)+(0.906831+(0.00612-0.11832))+0-79.2-0.040391999999992</f>
        <v>1479.654239</v>
      </c>
      <c r="P323" s="3">
        <f>1834.4+(7.5-240.1)+(0.935544+(0.003825-0.122451))+0-84.9-0.0432989999999914</f>
        <v>1517.6736190000001</v>
      </c>
      <c r="Q323" s="3">
        <f>1849.1+(20.4-230.1)+(-0.943041+(-0.010404--0.117351))+0-74.4--0.0379439999999925</f>
        <v>1564.2018499999997</v>
      </c>
      <c r="R323" s="3">
        <f>1851.4+(33.8-278.3)+(0+(0-0))+0-78.7-0</f>
        <v>1528.2</v>
      </c>
      <c r="S323" s="3">
        <f>1846.7+(56.9-300.9)+(-2.825451+(-0.087057--0.460377))+0-92--0.140760000000005</f>
        <v>1508.388629</v>
      </c>
      <c r="T323" s="3">
        <f>1842.5+(56-328.1)+(-0.939675+(-0.02856--0.167331))+0-92--0.0469199999999907</f>
        <v>1477.6460160000001</v>
      </c>
      <c r="U323" s="3">
        <f>1837.8+(48.7-328.2)+(-1.874556+(-0.049674--0.334764))+0-88.8--0.0905760000000142</f>
        <v>1468.0011100000002</v>
      </c>
      <c r="V323" s="3">
        <f>1848.2+(21.6-268)+(1.885164+(0.022032-0.27336))+0-87.5-0.089250000000014</f>
        <v>1515.8445859999999</v>
      </c>
      <c r="W323" s="3">
        <f>1861.8+(56.1-110.8)+(2.848554+(0.085833-0.169524))+0-92.1-0.140913000000005</f>
        <v>1717.6239500000001</v>
      </c>
      <c r="X323" s="3">
        <f>1909.8+(61.1-114)+(0+(0-0))+0-91.7-0</f>
        <v>1765.1999999999998</v>
      </c>
      <c r="Y323" s="3">
        <f>1767.7+(123.9-112.2)+(-2.704581+(-0.189567--0.171666))+0-41.8--0.0639540000000024</f>
        <v>1734.9414720000002</v>
      </c>
      <c r="Z323" s="3">
        <f>1580.8+(283.9-95.3)+(-0.806208+(-0.144789--0.048603))+0-87.3--0.0445229999999911</f>
        <v>1681.242129</v>
      </c>
      <c r="AA323" s="3">
        <f>1577.9+(222.3-93)+(-0.804729+(-0.113373--0.04743))+0-91.8--0.0468179999999907</f>
        <v>1614.5761460000001</v>
      </c>
      <c r="AB323" s="3">
        <f>1429.2+(280.1-94.4)+(-2.186676+(-0.428553--0.144432))+0-77--0.117810000000004</f>
        <v>1535.5470130000001</v>
      </c>
      <c r="AC323" s="3">
        <f>1321.8+(234.8-91.2)+(-2.022354+(-0.359244--0.139536))+0-48.6--0.0743580000000028</f>
        <v>1414.6322960000002</v>
      </c>
      <c r="AD323">
        <v>1789.5</v>
      </c>
      <c r="AE323" s="3">
        <f>1924+(91.3-127.8)+(0+(0-0))+0-98-0</f>
        <v>1789.5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1318.8+(168.4-90.2)+(0+(0-0))+0-81.1-0</f>
        <v>1315.9</v>
      </c>
      <c r="G324" s="3">
        <f>1270+(160.3-87.7)+(-0.6477+(-0.081753--0.044727))+0-88.7--0.045236999999991</f>
        <v>1253.260511</v>
      </c>
      <c r="H324" s="3">
        <f>1174.6+(208.3-87.6)+(1.797138+(0.318699-0.134028))+0-88.1-0.134793000000005</f>
        <v>1209.0470160000002</v>
      </c>
      <c r="I324" s="3">
        <f>1164.5+(199.3-88.5)+(-1.781685+(-0.304929--0.135405))+0-84.3--0.128979000000005</f>
        <v>1189.17777</v>
      </c>
      <c r="J324" s="3">
        <f>1172.6+(180.1-87.5)+(0.598026+(0.091851-0.044625))+0-74-0.0377399999999925</f>
        <v>1191.8075119999999</v>
      </c>
      <c r="K324" s="3">
        <f>1289.7+(94-93.7)+(0.657747+(0.04794-0.047787))+0-79.5-0.0405449999999919</f>
        <v>1211.1173549999999</v>
      </c>
      <c r="L324" s="3">
        <f>1371.8+(23-121.6)+(-2.098854+(-0.03519--0.186048))+0-57.1--0.0873630000000033</f>
        <v>1214.2393670000001</v>
      </c>
      <c r="M324" s="3">
        <f>1401.6+(28.9-123.5)+(0.714816+(0.014739-0.062985))+0-22-0.0112199999999978</f>
        <v>1285.65535</v>
      </c>
      <c r="N324" s="3">
        <f>1553.1+(28-163.3)+(1.584162+(0.02856-0.166566))+0-20.6-0.0210120000000033</f>
        <v>1398.6251440000001</v>
      </c>
      <c r="O324" s="3">
        <f>1554.6+(47.7-104.4)+(1.585692+(0.048654-0.106488))+0-20-0.0204000000000032</f>
        <v>1479.4074579999997</v>
      </c>
      <c r="P324" s="3">
        <f>1579.3+(78.7-101.7)+(-0.805443+(-0.040137--0.051867))+0-18.8--0.00958799999999809</f>
        <v>1536.7158749999999</v>
      </c>
      <c r="Q324" s="3">
        <f>1596.4+(81.9-95)+(-1.628328+(-0.083538--0.0969))+0-19.7--0.0200940000000031</f>
        <v>1562.005128</v>
      </c>
      <c r="R324" s="3">
        <f>1599.2+(63.1-106.1)+(-4.07796+(-0.160905--0.270555))+0-18.3--0.0466649999999973</f>
        <v>1533.9783550000002</v>
      </c>
      <c r="S324" s="3">
        <f>1628+(14.2-104.8)+(0+(0-0))+0-19.4-0</f>
        <v>1518</v>
      </c>
      <c r="T324" s="3">
        <f>1679.8+(47.1-196)+(0.856698+(0.024021-0.09996))+0-20.5-0.0104549999999979</f>
        <v>1511.1703039999998</v>
      </c>
      <c r="U324" s="3">
        <f>1691.3+(40.5-197.8)+(-0.862563+(-0.020655--0.100878))+0-37.2--0.0189719999999962</f>
        <v>1496.0366320000001</v>
      </c>
      <c r="V324" s="3">
        <f>1760.4+(9.3-155.3)+(1.795608+(0.009486-0.158406))+0-77-0.0785400000000123</f>
        <v>1538.9681480000002</v>
      </c>
      <c r="W324" s="3">
        <f>1768.5+(197.7-118.8)+(1.80387+(0.201654-0.121176))+0-84.1-0.0857820000000134</f>
        <v>1765.0985660000001</v>
      </c>
      <c r="X324" s="3">
        <f>1880.6+(119.5-105.6)+(0.959106+(0.060945-0.053856))+0-75.7-0.0386069999999923</f>
        <v>1819.727588</v>
      </c>
      <c r="Y324" s="3">
        <f>1861.9+(85.4-109.5)+(-3.798276+(-0.174216--0.22338))+0-52.3--0.106691999999998</f>
        <v>1781.8575800000003</v>
      </c>
      <c r="Z324" s="3">
        <f>1803.7+(148.8-103.6)+(-4.599435+(-0.37944--0.26418))+0-99.1--0.252704999999986</f>
        <v>1745.3380100000002</v>
      </c>
      <c r="AA324" s="3">
        <f>1627.9+(213.3-97.8)+(-0.830229+(-0.108783--0.049878))+0-76--0.0387599999999923</f>
        <v>1666.549626</v>
      </c>
      <c r="AB324" s="3">
        <f>1586.2+(169.1-92)+(0+(0-0))+0-85.8-0</f>
        <v>1577.5</v>
      </c>
      <c r="AC324" s="3">
        <f>1546.6+(97.8-123.7)+(-1.577532+(-0.099756--0.126174))+0-52.5--0.0535500000000084</f>
        <v>1466.7024359999998</v>
      </c>
      <c r="AD324">
        <v>1829</v>
      </c>
      <c r="AE324" s="3">
        <f>1907+(52-104.8)+(0+(0-0))+0-25.2-0</f>
        <v>1829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1496.5+(91.3-200.3)+(0+(0-0))+0-47-0</f>
        <v>1340.5</v>
      </c>
      <c r="G325" s="3">
        <f>1327.9+(126.8-92.9)+(0+(0-0))+0-78.3-0</f>
        <v>1283.5000000000002</v>
      </c>
      <c r="H325" s="3">
        <f>1297.8+(127.4-91.9)+(0+(0-0))+0-85.8-0</f>
        <v>1247.5</v>
      </c>
      <c r="I325" s="3">
        <f>1235.4+(168.2-91.1)+(-1.890162+(-0.257346--0.139383))+0-84--0.128520000000005</f>
        <v>1226.6203949999999</v>
      </c>
      <c r="J325" s="3">
        <f>1224+(146-85.7)+(1.24848+(0.14892-0.087414))+0-59.7-0.0608940000000095</f>
        <v>1225.8490919999999</v>
      </c>
      <c r="K325" s="3">
        <f>1210+(203.1-95.3)+(1.2342+(0.207162-0.097206))+0-84.2-0.0858840000000134</f>
        <v>1234.8582719999999</v>
      </c>
      <c r="L325" s="3">
        <f>1354.9+(72.3-96.9)+(0+(0-0))+0-63.4-0</f>
        <v>1266.9000000000001</v>
      </c>
      <c r="M325" s="3">
        <f>1507.2+(13.1-99.7)+(0+(0-0))+0-72.9-0</f>
        <v>1347.7</v>
      </c>
      <c r="N325" s="3">
        <f>1612.8+(20.3-99.9)+(-0.822528+(-0.010353--0.050949))+0-69.1--0.035240999999993</f>
        <v>1463.3533090000001</v>
      </c>
      <c r="O325" s="3">
        <f>1634.6+(65.6-93.8)+(-0.833646+(-0.033456--0.047838))+0-71.3--0.0363629999999928</f>
        <v>1534.3170989999999</v>
      </c>
      <c r="P325" s="3">
        <f>1727+(23.4-99)+(-0.88077+(-0.011934--0.05049))+0-74.9--0.0381989999999924</f>
        <v>1575.6959850000001</v>
      </c>
      <c r="Q325" s="3">
        <f>1769.1+(39.3-100.7)+(-1.804482+(-0.040086--0.102714))+0-87.2--0.0889440000000139</f>
        <v>1618.8470899999998</v>
      </c>
      <c r="R325" s="3">
        <f>1758.6+(30.1-116.2)+(-2.690658+(-0.046053--0.177786))+0-72.6--0.111078000000004</f>
        <v>1597.452153</v>
      </c>
      <c r="S325" s="3">
        <f>1762+(11-117.8)+(-2.69586+(-0.01683--0.180234))+0-72.8--0.111384000000004</f>
        <v>1579.9789280000002</v>
      </c>
      <c r="T325" s="3">
        <f>1755.1+(0-129.3)+(0+(0-0))+0-79.8-0</f>
        <v>1546</v>
      </c>
      <c r="U325" s="3">
        <f>1769.7+(37.1-187.5)+(1.805094+(0.037842-0.19125))+0-64-0.0652800000000102</f>
        <v>1556.8864059999999</v>
      </c>
      <c r="V325" s="3">
        <f>1773.4+(59.3-139.9)+(0.904434+(0.030243-0.071349))+0-92.7-0.0472769999999906</f>
        <v>1600.9160510000002</v>
      </c>
      <c r="W325" s="3">
        <f>1806.7+(152.2-109.2)+(1.842834+(0.155244-0.111384))+0-73.3-0.0747660000000117</f>
        <v>1778.2119280000002</v>
      </c>
      <c r="X325" s="3">
        <f>1793.5+(202.3-109.3)+(-4.573425+(-0.515865--0.278715))+0-89.7--0.228734999999987</f>
        <v>1792.2181599999999</v>
      </c>
      <c r="Y325" s="3">
        <f>1798.1+(166.3-101.6)+(-2.751093+(-0.254439--0.155448))+0-86.8--0.132804000000005</f>
        <v>1773.2827200000002</v>
      </c>
      <c r="Z325" s="3">
        <f>1806.4+(117.9-98.6)+(-0.921264+(-0.060129--0.050286))+0-85.4--0.0435539999999913</f>
        <v>1739.4124469999999</v>
      </c>
      <c r="AA325" s="3">
        <f>1621.9+(225.7-90.6)+(0.827169+(0.115107-0.046206))+0-76.2-0.0388619999999923</f>
        <v>1681.6572080000001</v>
      </c>
      <c r="AB325" s="3">
        <f>1466.5+(316-91.6)+(0.747915+(0.16116-0.046716))+0-83.9-0.0427889999999915</f>
        <v>1607.8195699999999</v>
      </c>
      <c r="AC325" s="3">
        <f>1461.8+(221.8-91.6)+(0+(0-0))+0-80.1-0</f>
        <v>1511.9</v>
      </c>
      <c r="AD325">
        <v>1814.8</v>
      </c>
      <c r="AE325" s="3">
        <f>1824+(204.8-118.3)+(0+(0-0))+0-95.7-0</f>
        <v>1814.8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1408.6+(163.7-89.4)+(-3.59193+(-0.417435--0.22797))+0-72.7--0.185384999999989</f>
        <v>1406.6039899999998</v>
      </c>
      <c r="G326" s="3">
        <f>1312.4+(210.5-90.3)+(-1.338648+(-0.21471--0.092106))+0-92.6--0.0944520000000148</f>
        <v>1338.6332000000002</v>
      </c>
      <c r="H326" s="3">
        <f>1293.1+(191.2-89.8)+(-3.956886+(-0.585072--0.274788))+0-85.8--0.26254800000001</f>
        <v>1304.6953779999999</v>
      </c>
      <c r="I326" s="3">
        <f>1228.8+(229-87.2)+(1.253376+(0.23358-0.088944))+0-78.5-0.0800700000000125</f>
        <v>1293.417942</v>
      </c>
      <c r="J326" s="3">
        <f>1220.5+(231.5-81.9)+(-0.622455+(-0.118065--0.041769))+0-76.2--0.0388619999999923</f>
        <v>1293.2401109999998</v>
      </c>
      <c r="K326" s="3">
        <f>1234.3+(229-89.2)+(1.888479+(0.35037-0.136476))+0-73.1-0.111843000000004</f>
        <v>1302.99053</v>
      </c>
      <c r="L326" s="3">
        <f>1366.5+(121.5-96.4)+(1.39383+(0.12393-0.098328))+0-81.1-0.0827220000000129</f>
        <v>1311.8367099999998</v>
      </c>
      <c r="M326" s="3">
        <f>1486.1+(89.9-99.4)+(1.515822+(0.091698-0.101388))+0-77.3-0.0788460000000123</f>
        <v>1400.7272859999998</v>
      </c>
      <c r="N326" s="3">
        <f>1580.3+(93.2-101.5)+(0.805953+(0.047532-0.051765))+0-85.4-0.0435539999999913</f>
        <v>1487.3581659999998</v>
      </c>
      <c r="O326" s="3">
        <f>1641+(129-84.9)+(0.83691+(0.06579-0.043299))+0-79.9-0.0407489999999919</f>
        <v>1606.0186519999997</v>
      </c>
      <c r="P326" s="3">
        <f>1651.6+(180.8-94.4)+(0.842316+(0.092208-0.048144))+0-76.6-0.0390659999999922</f>
        <v>1662.247314</v>
      </c>
      <c r="Q326" s="3">
        <f>1698.4+(180-94.9)+(0+(0-0))+0-87.6-0</f>
        <v>1695.9</v>
      </c>
      <c r="R326" s="3">
        <f>1688.5+(125.7-97.4)+(-2.583405+(-0.192321--0.149022))+0-66.6--0.101898000000004</f>
        <v>1647.6751939999999</v>
      </c>
      <c r="S326" s="3">
        <f>1723.7+(72.5-103.3)+(0+(0-0))+0-67.5-0</f>
        <v>1625.4</v>
      </c>
      <c r="T326" s="3">
        <f>1756.6+(12.7-127.6)+(0+(0-0))+0-52.9-0</f>
        <v>1588.7999999999997</v>
      </c>
      <c r="U326" s="3">
        <f>1776.2+(13.9-142.4)+(-1.811724+(-0.014178--0.145248))+0-75.5--0.077010000000012</f>
        <v>1570.596356</v>
      </c>
      <c r="V326" s="3">
        <f>1822.3+(0-137.1)+(-1.858746+(0--0.139842))+0-78.8--0.0803760000000126</f>
        <v>1604.7614720000001</v>
      </c>
      <c r="W326" s="3">
        <f>1855.2+(118-121.7)+(-0.946152+(-0.06018--0.062067))+0-79.8--0.0406979999999919</f>
        <v>1770.796433</v>
      </c>
      <c r="X326" s="3">
        <f>1873.9+(135.1-117)+(-1.911378+(-0.137802--0.11934))+0-86--0.0877200000000137</f>
        <v>1804.15788</v>
      </c>
      <c r="Y326" s="3">
        <f>1765.4+(199.2-104.1)+(-3.601416+(-0.406368--0.212364))+0-84.9--0.173195999999996</f>
        <v>1771.9777759999999</v>
      </c>
      <c r="Z326" s="3">
        <f>1683.5+(222.4-93.3)+(-4.292925+(-0.56712--0.237915))+0-75.7--0.193034999999989</f>
        <v>1732.4709049999999</v>
      </c>
      <c r="AA326" s="3">
        <f>1708.1+(151.4-94.3)+(-0.871131+(-0.077214--0.048093))+0-87--0.0443699999999912</f>
        <v>1677.344118</v>
      </c>
      <c r="AB326" s="3">
        <f>1716.8+(111.2-118.1)+(0.875568+(0.056712-0.060231))+0-81.2-0.0414119999999918</f>
        <v>1629.5306369999998</v>
      </c>
      <c r="AC326" s="3">
        <f>1711+(113.9-197.6)+(-0.87261+(-0.058089--0.100776))+0-84.7--0.0431969999999914</f>
        <v>1541.8132739999999</v>
      </c>
      <c r="AD326">
        <v>1812.4</v>
      </c>
      <c r="AE326" s="3">
        <f>1900+(130.5-118.1)+(0+(0-0))+0-100-0</f>
        <v>1812.4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1508.5+(128.5-120.9)+(-2.308005+(-0.196605--0.184977))+0-84.6--0.129438000000005</f>
        <v>1429.3098049999999</v>
      </c>
      <c r="G327" s="3">
        <f>1400.7+(137.9-112.6)+(0.714357+(0.070329-0.057426))+0-88-0.0448799999999911</f>
        <v>1338.68238</v>
      </c>
      <c r="H327" s="3">
        <f>1388.5+(122.3-131.3)+(-1.41627+(-0.124746--0.133926))+0-76.3--0.0778260000000122</f>
        <v>1301.8707360000001</v>
      </c>
      <c r="I327" s="3">
        <f>1383.3+(118.2-131.7)+(0.705483+(0.060282-0.067167))+0-86-0.0438599999999913</f>
        <v>1284.4547379999999</v>
      </c>
      <c r="J327" s="3">
        <f>1424.9+(90.6-158.5)+(-1.453398+(-0.092412--0.16167))+0-79.8--0.0813960000000127</f>
        <v>1275.8972560000002</v>
      </c>
      <c r="K327" s="3">
        <f>1433+(49.4-121.4)+(1.46166+(0.050388-0.123828))+0-73.3-0.0747660000000117</f>
        <v>1289.0134540000001</v>
      </c>
      <c r="L327" s="3">
        <f>1429+(21-126.6)+(-0.72879+(-0.01071--0.064566))+0-81.8--0.0417179999999917</f>
        <v>1240.9667840000002</v>
      </c>
      <c r="M327" s="3">
        <f>1433+(22.8-110.5)+(0+(0-0))+0-97.9-0</f>
        <v>1247.3999999999999</v>
      </c>
      <c r="N327" s="3">
        <f>1558.9+(19-203.5)+(1.590078+(0.01938-0.20757))+0-70.9-0.0723180000000113</f>
        <v>1304.8295700000001</v>
      </c>
      <c r="O327" s="3">
        <f>1594.5+(24.4-170.8)+(0+(0-0))+0-67.1-0</f>
        <v>1381</v>
      </c>
      <c r="P327" s="3">
        <f>1714.6+(39.4-235.9)+(0+(0-0))+0-85.6-0</f>
        <v>1432.5</v>
      </c>
      <c r="Q327" s="3">
        <f>1642.5+(52.1-163.4)+(2.513025+(0.079713-0.250002))+0-88.8-0.135864000000005</f>
        <v>1444.6068720000001</v>
      </c>
      <c r="R327" s="3">
        <f>1615.8+(56.6-178)+(-3.296232+(-0.115464--0.36312))+0-82.3--0.167891999999996</f>
        <v>1409.2193159999999</v>
      </c>
      <c r="S327" s="3">
        <f>1560.9+(55.9-142.3)+(-0.796059+(-0.028509--0.072573))+0-83.9--0.0427889999999915</f>
        <v>1389.8907939999999</v>
      </c>
      <c r="T327" s="3">
        <f>1532.8+(42.9-133.5)+(0+(0-0))+0-83.5-0</f>
        <v>1358.7</v>
      </c>
      <c r="U327" s="3">
        <f>1628.4+(35.3-246.2)+(-2.491452+(-0.054009--0.376686))+0-71.2--0.108936000000004</f>
        <v>1344.2401609999999</v>
      </c>
      <c r="V327" s="3">
        <f>1824.4+(24.2-345.3)+(-0.930444+(-0.012342--0.176103))+0-92.7--0.0472769999999906</f>
        <v>1409.880594</v>
      </c>
      <c r="W327" s="3">
        <f>1932.6+(0-254.5)+(-1.971252+(0--0.25959))+0-74.5--0.0759900000000119</f>
        <v>1601.964328</v>
      </c>
      <c r="X327" s="3">
        <f>1981.2+(0-210.8)+(-1.010412+(0--0.107508))+0-83--0.0423299999999916</f>
        <v>1686.539426</v>
      </c>
      <c r="Y327" s="3">
        <f>1970.9+(0-225.9)+(-3.015477+(0--0.345627))+0-74.9--0.114597000000004</f>
        <v>1667.5447469999999</v>
      </c>
      <c r="Z327" s="3">
        <f>1969.2+(22.4-262.5)+(-2.008584+(-0.022848--0.26775))+0-82.9--0.0845580000000132</f>
        <v>1644.520876</v>
      </c>
      <c r="AA327" s="3">
        <f>1957.4+(82.8-331.7)+(-3.993096+(-0.168912--0.676668))+0-88.4--0.180335999999996</f>
        <v>1616.7949959999999</v>
      </c>
      <c r="AB327" s="3">
        <f>1863+(116.3-321.2)+(-0.95013+(-0.059313--0.163812))+0-83.9--0.0427889999999915</f>
        <v>1573.397158</v>
      </c>
      <c r="AC327" s="3">
        <f>1646.9+(101.4-178.2)+(1.679838+(0.103428-0.181764))+0-91.2-0.0930240000000145</f>
        <v>1480.4084780000001</v>
      </c>
      <c r="AD327">
        <v>1664.5</v>
      </c>
      <c r="AE327" s="3">
        <f>1984+(0-216.9)+(0+(0-0))+0-102.6-0</f>
        <v>1664.5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1558+(120.1-207.1)+(-3.17832+(-0.245004--0.422484))+0-76.2--0.155447999999997</f>
        <v>1391.954608</v>
      </c>
      <c r="G328" s="3">
        <f>1478.1+(127-192.2)+(-1.507662+(-0.12954--0.196044))+0-86.2--0.0879240000000137</f>
        <v>1325.3467659999997</v>
      </c>
      <c r="H328" s="3">
        <f>1448.3+(126.2-208)+(-2.954532+(-0.257448--0.42432))+0-80.1--0.163403999999996</f>
        <v>1283.775744</v>
      </c>
      <c r="I328" s="3">
        <f>1455.5+(129.1-218.2)+(0.742305+(0.065841-0.111282))+0-82.6-0.0421259999999916</f>
        <v>1284.4547380000001</v>
      </c>
      <c r="J328" s="3">
        <f>1447.5+(118.3-257.7)+(-2.214675+(-0.180999--0.394281))+0-71--0.108630000000004</f>
        <v>1235.2072369999999</v>
      </c>
      <c r="K328" s="3">
        <f>1506.3+(86.7-233.8)+(0.768213+(0.044217-0.119238))+0-90.3-0.0460529999999908</f>
        <v>1269.5471389999998</v>
      </c>
      <c r="L328" s="3">
        <f>1581.2+(60.5-298.6)+(0.806412+(0.030855-0.152286))+0-87-0.0443699999999912</f>
        <v>1256.7406109999999</v>
      </c>
      <c r="M328" s="3">
        <f>1576.1+(54.9-260.3)+(-2.411433+(-0.083997--0.398259))+0-90--0.137700000000005</f>
        <v>1278.7405289999999</v>
      </c>
      <c r="N328" s="3">
        <f>1683.9+(63.8-375.7)+(-0.858789+(-0.032538--0.191607))+0-29.1--0.014840999999997</f>
        <v>1342.215121</v>
      </c>
      <c r="O328" s="3">
        <f>1807.6+(54.7-353.2)+(0+(0-0))+0-91.6-0</f>
        <v>1417.5</v>
      </c>
      <c r="P328" s="3">
        <f>1825+(60.8-359.6)+(-1.8615+(-0.062016--0.366792))+0-78.9--0.0804780000000126</f>
        <v>1445.823754</v>
      </c>
      <c r="Q328" s="3">
        <f>1817.9+(77.2-333)+(-2.781387+(-0.118116--0.50949))+0-79--0.120870000000005</f>
        <v>1480.8308570000002</v>
      </c>
      <c r="R328" s="3">
        <f>1814.4+(89.8-345.8)+(-2.776032+(-0.137394--0.529074))+0-84.9--0.129897000000005</f>
        <v>1471.245545</v>
      </c>
      <c r="S328" s="3">
        <f>1784.2+(96.2-351.4)+(-3.639768+(-0.196248--0.716856))+0-73.9--0.150755999999997</f>
        <v>1452.1315959999999</v>
      </c>
      <c r="T328" s="3">
        <f>1744.2+(87.1-314.1)+(-0.889542+(-0.044421--0.160191))+0-84.4--0.0430439999999914</f>
        <v>1432.069272</v>
      </c>
      <c r="U328" s="3">
        <f>1750.5+(61-316.3)+(0+(0-0))+0-68-0</f>
        <v>1427.2</v>
      </c>
      <c r="V328" s="3">
        <f>1792.1+(38.2-289)+(-0.913971+(-0.019482--0.14739))+0-90.9--0.0463589999999908</f>
        <v>1449.6602959999998</v>
      </c>
      <c r="W328" s="3">
        <f>1878.5+(7.8-156.9)+(0+(0-0))+0-89.4-0</f>
        <v>1640</v>
      </c>
      <c r="X328" s="3">
        <f>1880.3+(12-114.6)+(-1.917906+(-0.01224--0.116892))+0-76.4--0.0779280000000122</f>
        <v>1699.564674</v>
      </c>
      <c r="Y328" s="3">
        <f>1886.5+(18.1-123.5)+(-0.962115+(-0.009231--0.062985))+0-87.7--0.0447269999999911</f>
        <v>1692.5363659999998</v>
      </c>
      <c r="Z328" s="3">
        <f>1876.1+(48.6-163.7)+(-1.913622+(-0.049572--0.166974))+0-88.1--0.089862000000014</f>
        <v>1671.1936420000002</v>
      </c>
      <c r="AA328" s="3">
        <f>1858.2+(74.1-230)+(0+(0-0))+0-77.2-0</f>
        <v>1625.1</v>
      </c>
      <c r="AB328" s="3">
        <f>1789.4+(105.2-255.8)+(-0.912594+(-0.053652--0.130458))+0-73.6--0.0375359999999925</f>
        <v>1564.4017480000002</v>
      </c>
      <c r="AC328" s="3">
        <f>1706.3+(131.2-292.6)+(-4.351065+(-0.33456--0.74613))+0-81.4--0.207569999999988</f>
        <v>1459.7680749999997</v>
      </c>
      <c r="AD328">
        <v>1711.8</v>
      </c>
      <c r="AE328" s="3">
        <f>1892+(20.6-102.6)+(0+(0-0))+0-98.2-0</f>
        <v>1711.8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1720.9+(128.9-380.2)+(-2.632977+(-0.197217--0.581706))+0-85.4--0.130662000000005</f>
        <v>1382.0821740000001</v>
      </c>
      <c r="G329" s="3">
        <f>1713.6+(132.2-434.7)+(-2.621808+(-0.202266--0.665091))+0-84.4--0.129132000000005</f>
        <v>1324.6701489999998</v>
      </c>
      <c r="H329" s="3">
        <f>1611.7+(129.4-357.7)+(-3.287868+(-0.263976--0.729708))+0-88.8--0.181151999999996</f>
        <v>1291.959016</v>
      </c>
      <c r="I329" s="3">
        <f>1607.9+(134.7-378.8)+(-0.820029+(-0.068697--0.193188))+0-83.6--0.0426359999999915</f>
        <v>1279.5470980000002</v>
      </c>
      <c r="J329" s="3">
        <f>1627.6+(125.5-384.6)+(2.490228+(0.192015-0.588438))+0-84.2-0.128826000000005</f>
        <v>1286.2649789999998</v>
      </c>
      <c r="K329" s="3">
        <f>1627.1+(103-347.6)+(0.829821+(0.05253-0.177276))+0-85.1-0.0434009999999914</f>
        <v>1298.0616740000003</v>
      </c>
      <c r="L329" s="3">
        <f>1757.2+(83.4-443.5)+(0.896172+(0.042534-0.226185))+0-76.5-0.0390149999999922</f>
        <v>1321.2735059999998</v>
      </c>
      <c r="M329" s="3">
        <f>1848.5+(61-422.5)+(0+(0-0))+0-86.8-0</f>
        <v>1400.2</v>
      </c>
      <c r="N329" s="3">
        <f>1928.1+(58.2-410)+(1.966662+(0.059364-0.4182))+0-80.3-0.0819060000000128</f>
        <v>1497.5259199999998</v>
      </c>
      <c r="O329" s="3">
        <f>1935+(60.7-332.3)+(0.98685+(0.030957-0.169473))+0-62-0.0316199999999937</f>
        <v>1602.2167140000001</v>
      </c>
      <c r="P329" s="3">
        <f>1942.1+(73-294.9)+(0.990471+(0.03723-0.150399))+0-76-0.0387599999999923</f>
        <v>1645.038542</v>
      </c>
      <c r="Q329" s="3">
        <f>1919.1+(84.3-265.3)+(-1.957482+(-0.085986--0.270606))+0-80.5--0.0821100000000128</f>
        <v>1655.9092479999999</v>
      </c>
      <c r="R329" s="3">
        <f>1820.8+(99.8-223.4)+(-4.64304+(-0.25449--0.56967))+0-65.1--0.166004999999991</f>
        <v>1627.9381450000001</v>
      </c>
      <c r="S329" s="3">
        <f>1654+(129.1-91.3)+(-1.68708+(-0.131682--0.093126))+0-85.9--0.0876180000000137</f>
        <v>1604.261982</v>
      </c>
      <c r="T329" s="3">
        <f>1603.7+(158-94.6)+(-2.453661+(-0.24174--0.144738))+0-86.7--0.132651000000005</f>
        <v>1577.981988</v>
      </c>
      <c r="U329" s="3">
        <f>1615.9+(117.2-99.1)+(-0.824109+(-0.059772--0.050541))+0-72--0.0367199999999927</f>
        <v>1561.2033800000002</v>
      </c>
      <c r="V329" s="3">
        <f>1576.7+(188.4-96.3)+(0.804117+(0.096084-0.049113))+0-87.8-0.0447779999999911</f>
        <v>1581.8063099999999</v>
      </c>
      <c r="W329" s="3">
        <f>1735.2+(151.9-97.8)+(0+(0-0))+0-24.7-0</f>
        <v>1764.6</v>
      </c>
      <c r="X329" s="3">
        <f>2005.9+(8.4-144)+(-1.023009+(-0.004284--0.07344))+0-21.9--0.0111689999999978</f>
        <v>1847.4573160000002</v>
      </c>
      <c r="Y329" s="3">
        <f>1929+(32.2-117.7)+(0+(0-0))+0-21.3-0</f>
        <v>1822.2</v>
      </c>
      <c r="Z329" s="3">
        <f>1828.3+(69.6-98.1)+(-4.662165+(-0.17748--0.250155))+0-19.3--0.0492149999999972</f>
        <v>1775.9597249999999</v>
      </c>
      <c r="AA329" s="3">
        <f>1727.1+(164.6-93.3)+(0+(0-0))+0-79.7-0</f>
        <v>1718.6999999999998</v>
      </c>
      <c r="AB329" s="3">
        <f>1533.1+(279-91.5)+(-3.909405+(-0.71145--0.233325))+0-84.8--0.216239999999988</f>
        <v>1631.62871</v>
      </c>
      <c r="AC329" s="3">
        <f>1452.6+(220.8-88.3)+(-3.70413+(-0.56304--0.225165))+0-61.7--0.157334999999991</f>
        <v>1519.5153299999999</v>
      </c>
      <c r="AD329">
        <v>1844.1</v>
      </c>
      <c r="AE329" s="3">
        <f>2006+(8.5-151.7)+(0+(0-0))+0-18.7-0</f>
        <v>1844.1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1447.3+(143.4-102)+(-1.476246+(-0.146268--0.10404))+0-86.2--0.0879240000000137</f>
        <v>1401.06945</v>
      </c>
      <c r="G330" s="3">
        <f>1463.1+(143-164.6)+(2.984724+(0.29172-0.335784))+0-98.1-0.200123999999996</f>
        <v>1346.1405360000001</v>
      </c>
      <c r="H330" s="3">
        <f>1457.8+(142.8-203.9)+(2.230434+(0.218484-0.311967))+0-83.2-0.127296000000005</f>
        <v>1315.5096549999998</v>
      </c>
      <c r="I330" s="3">
        <f>1442.8+(142.9-236.2)+(-2.943312+(-0.291516--0.481848))+0-52.2--0.106487999999998</f>
        <v>1294.6535079999999</v>
      </c>
      <c r="J330" s="3">
        <f>1453.4+(121.8-194.4)+(1.482468+(0.124236-0.198288))+0-90.6-0.0924120000000144</f>
        <v>1291.5160040000003</v>
      </c>
      <c r="K330" s="3">
        <f>1459.3+(61.3-156)+(0+(0-0))+0-68.6-0</f>
        <v>1296</v>
      </c>
      <c r="L330" s="3">
        <f>1510.8+(26.9-144.8)+(0.770508+(0.013719-0.073848))+0-87.5-0.0446249999999911</f>
        <v>1306.065754</v>
      </c>
      <c r="M330" s="3">
        <f>1662.8+(27.5-215.9)+(-1.696056+(-0.02805--0.220218))+0-89.6--0.0913920000000143</f>
        <v>1383.387504</v>
      </c>
      <c r="N330" s="3">
        <f>1751.2+(41.3-225.2)+(-0.893112+(-0.021063--0.114852))+0-68.8--0.035087999999993</f>
        <v>1497.7357650000004</v>
      </c>
      <c r="O330" s="3">
        <f>1737+(58.2-123.6)+(-0.88587+(-0.029682--0.063036))+0-87--0.0443699999999912</f>
        <v>1583.7918540000001</v>
      </c>
      <c r="P330" s="3">
        <f>1750.3+(74.7-114.7)+(-2.677959+(-0.114291--0.175491))+0-77.5--0.118575000000004</f>
        <v>1630.3018159999999</v>
      </c>
      <c r="Q330" s="3">
        <f>1848.1+(78.4-186.7)+(-0.942531+(-0.039984--0.095217))+0-86.1--0.0439109999999913</f>
        <v>1652.8566129999999</v>
      </c>
      <c r="R330" s="3">
        <f>1695.5+(118.7-110)+(-2.594115+(-0.181611--0.1683))+0-93.6--0.143208000000005</f>
        <v>1608.1357820000001</v>
      </c>
      <c r="S330" s="3">
        <f>1616.7+(123.8-104.8)+(0+(0-0))+0-64.9-0</f>
        <v>1570.8</v>
      </c>
      <c r="T330" s="3">
        <f>1610.9+(119.1-113.2)+(-0.821559+(-0.060741--0.057732))+0-49--0.024989999999995</f>
        <v>1567.0004220000001</v>
      </c>
      <c r="U330" s="3">
        <f>1616.1+(124-101.7)+(-0.824211+(-0.06324--0.051867))+0-75.9--0.0387089999999923</f>
        <v>1561.7031249999998</v>
      </c>
      <c r="V330" s="3">
        <f>1732.3+(49.5-127.5)+(1.766946+(0.05049-0.13005))+0-90-0.0918000000000144</f>
        <v>1565.8955860000001</v>
      </c>
      <c r="W330" s="3">
        <f>1833.9+(125.2-103.5)+(-0.935289+(-0.063852--0.052785))+0-92.4--0.0471239999999906</f>
        <v>1762.3007680000001</v>
      </c>
      <c r="X330" s="3">
        <f>1846.6+(172.8-104.3)+(-0.941766+(-0.088128--0.053193))+0-73.9--0.0376889999999925</f>
        <v>1840.2609879999998</v>
      </c>
      <c r="Y330" s="3">
        <f>1787.9+(213.2-95.7)+(-3.647316+(-0.434928--0.195228))+0-85.2--0.173807999999996</f>
        <v>1816.4867920000002</v>
      </c>
      <c r="Z330" s="3">
        <f>1671.2+(290.1-96.4)+(-0.852312+(-0.147951--0.049164))+0-87.2--0.0444719999999912</f>
        <v>1776.793373</v>
      </c>
      <c r="AA330" s="3">
        <f>1609.1+(273.5-92.2)+(3.282564+(0.55794-0.188088))+0-82.6-0.168503999999996</f>
        <v>1711.2839119999999</v>
      </c>
      <c r="AB330" s="3">
        <f>1580.8+(239.6-95.3)+(-1.612416+(-0.244392--0.097206))+0-90.1--0.0919020000000144</f>
        <v>1633.3323</v>
      </c>
      <c r="AC330" s="3">
        <f>1572.5+(99.8-92)+(-3.2079+(-0.203592--0.18768))+0-58--0.118319999999997</f>
        <v>1519.194508</v>
      </c>
      <c r="AD330">
        <v>1846.3999999999999</v>
      </c>
      <c r="AE330" s="3">
        <f>1837+(223-106.7)+(0+(0-0))+0-106.9-0</f>
        <v>1846.3999999999999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1577.6+(71.1-142.2)+(-2.413728+(-0.108783--0.217566))+0-88.8--0.135864000000005</f>
        <v>1415.530919</v>
      </c>
      <c r="G331" s="3">
        <f>1577.1+(74.7-208.2)+(-1.608642+(-0.076194--0.212364))+0-89.2--0.0909840000000142</f>
        <v>1353.0185119999999</v>
      </c>
      <c r="H331" s="3">
        <f>1560.9+(71.8-249.1)+(0.796059+(0.036618-0.127041))+0-67.7-0.0345269999999931</f>
        <v>1316.571109</v>
      </c>
      <c r="I331" s="3">
        <f>1518.2+(87.1-227.2)+(0+(0-0))+0-83.7-0</f>
        <v>1294.4000000000001</v>
      </c>
      <c r="J331" s="3">
        <f>1524.9+(59.8-208.5)+(0.777699+(0.030498-0.106335))+0-85-0.0433499999999914</f>
        <v>1291.858512</v>
      </c>
      <c r="K331" s="3">
        <f>1621.9+(11.1-236.8)+(4.135845+(0.028305-0.60384))+0-81.2-0.207059999999988</f>
        <v>1318.3532500000001</v>
      </c>
      <c r="L331" s="3">
        <f>1684.3+(4.7-288.7)+(-0.858993+(-0.002397--0.147237))+0-70.3--0.0358529999999929</f>
        <v>1329.3217000000002</v>
      </c>
      <c r="M331" s="3">
        <f>1822.2+(9.9-380.8)+(0+(0-0))+0-25.1-0</f>
        <v>1426.2</v>
      </c>
      <c r="N331" s="3">
        <f>1841.1+(22.3-312.8)+(0+(0-0))+0-23.5-0</f>
        <v>1527.1</v>
      </c>
      <c r="O331" s="3">
        <f>1849.6+(29-248.6)+(0.943296+(0.01479-0.126786))+0-19.3-0.00984299999999804</f>
        <v>1611.5214570000001</v>
      </c>
      <c r="P331" s="3">
        <f>1842.4+(48.9-200.4)+(-1.879248+(-0.049878--0.204408))+0-20.3--0.0207060000000032</f>
        <v>1668.8959880000002</v>
      </c>
      <c r="Q331" s="3">
        <f>1835.9+(61.1-200.3)+(-2.808927+(-0.093483--0.306459))+0-19.3--0.0295290000000011</f>
        <v>1674.833578</v>
      </c>
      <c r="R331" s="3">
        <f>1802.2+(62.6-201)+(-1.838244+(-0.063852--0.20502))+0-18.9--0.019278000000003</f>
        <v>1643.2222019999999</v>
      </c>
      <c r="S331" s="3">
        <f>1726.9+(72-167.6)+(2.642157+(0.11016-0.256428))+0-18.5-0.0283050000000011</f>
        <v>1615.2675840000002</v>
      </c>
      <c r="T331" s="3">
        <f>1711.3+(82.9-186)+(-1.745526+(-0.084558--0.18972))+0-20.6--0.0210120000000033</f>
        <v>1585.980648</v>
      </c>
      <c r="U331" s="3">
        <f>1786.4+(74.6-261.3)+(0.911064+(0.038046-0.133263))+0-19-0.00968999999999807</f>
        <v>1581.506157</v>
      </c>
      <c r="V331" s="3">
        <f>1774.3+(48.7-198.8)+(0.904893+(0.024837-0.101388))+0-19.2-0.00979199999999805</f>
        <v>1605.8185499999997</v>
      </c>
      <c r="W331" s="3">
        <f>1830.3+(121.6-88.2)+(0.933453+(0.062016-0.044982))+0-64.2-0.0327419999999935</f>
        <v>1800.417745</v>
      </c>
      <c r="X331" s="3">
        <f>1870.8+(148.3-106)+(0+(0-0))+0-34.6-0</f>
        <v>1878.5</v>
      </c>
      <c r="Y331" s="3">
        <f>1853.4+(152.8-107.7)+(-4.72617+(-0.38964--0.274635))+0-44.2--0.112709999999994</f>
        <v>1849.571535</v>
      </c>
      <c r="Z331" s="3">
        <f>1735.9+(276.1-98.1)+(-0.885309+(-0.140811--0.050031))+0-93.4--0.0476339999999905</f>
        <v>1819.571545</v>
      </c>
      <c r="AA331" s="3">
        <f>1641+(293.5-92.8)+(-2.51073+(-0.449055--0.141984))+0-89.1--0.136323000000005</f>
        <v>1749.9185220000002</v>
      </c>
      <c r="AB331" s="3">
        <f>1458.3+(386.5-91.9)+(-0.743733+(-0.197115--0.046869))+0-88.7--0.045236999999991</f>
        <v>1663.3512580000001</v>
      </c>
      <c r="AC331" s="3">
        <f>1452.6+(252-92.9)+(-3.70413+(-0.6426--0.236895))+0-66.9--0.17059499999999</f>
        <v>1540.8607599999998</v>
      </c>
      <c r="AD331">
        <v>1891</v>
      </c>
      <c r="AE331" s="3">
        <f>1890+(144.7-118.9)+(0+(0-0))+0-24.8-0</f>
        <v>1891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1455.7+(153.9-89.9)+(-2.969628+(-0.313956--0.183396))+0-69.6--0.141983999999997</f>
        <v>1447.1417960000003</v>
      </c>
      <c r="G332" s="3">
        <f>1461.3+(120.6-112.7)+(0+(0-0))+0-89.1-0</f>
        <v>1380.1000000000001</v>
      </c>
      <c r="H332" s="3">
        <f>1462.8+(119.9-149.3)+(-0.746028+(-0.061149--0.076143))+0-87.9--0.0448289999999911</f>
        <v>1344.8137949999998</v>
      </c>
      <c r="I332" s="3">
        <f>1468.1+(114-190.6)+(1.497462+(0.11628-0.194412))+0-68.6-0.0699720000000109</f>
        <v>1324.249358</v>
      </c>
      <c r="J332" s="3">
        <f>1441+(120-155.6)+(-1.46982+(-0.1224--0.158712))+0-77.9--0.0794580000000124</f>
        <v>1326.1459499999999</v>
      </c>
      <c r="K332" s="3">
        <f>1457.8+(59.7-103.4)+(0.743478+(0.030447-0.052734))+0-76.1-0.0388109999999923</f>
        <v>1338.6823800000002</v>
      </c>
      <c r="L332" s="3">
        <f>1515+(30.5-109)+(0+(0-0))+0-82.8-0</f>
        <v>1353.7</v>
      </c>
      <c r="M332" s="3">
        <f>1726.8+(33.1-201.6)+(0.880668+(0.016881-0.102816))+0-99.7-0.0508469999999899</f>
        <v>1459.3438859999999</v>
      </c>
      <c r="N332" s="3">
        <f>1760.4+(41.5-157)+(2.693412+(0.063495-0.24021))+0-84.2-0.128826000000005</f>
        <v>1563.087871</v>
      </c>
      <c r="O332" s="3">
        <f>1751.1+(83.6-100.7)+(2.679183+(0.127908-0.154071))+0-84.7-0.129591000000005</f>
        <v>1651.8234289999998</v>
      </c>
      <c r="P332" s="3">
        <f>1733.5+(138.4-99.9)+(3.53634+(0.282336-0.203796))+0-83.1-0.169523999999996</f>
        <v>1692.3453560000003</v>
      </c>
      <c r="Q332" s="3">
        <f>1744.3+(125.1-95.8)+(-1.779186+(-0.127602--0.097716))+0-68--0.0693600000000108</f>
        <v>1703.8602879999999</v>
      </c>
      <c r="R332" s="3">
        <f>1777.3+(94.1-95.7)+(-4.532115+(-0.239955--0.244035))+0-79.4--0.202469999999988</f>
        <v>1691.9744349999999</v>
      </c>
      <c r="S332" s="3">
        <f>1799.1+(98-160.3)+(0.917541+(0.04998-0.081753))+0-70.5-0.0359549999999928</f>
        <v>1667.149813</v>
      </c>
      <c r="T332" s="3">
        <f>1789.5+(89.6-162.9)+(0+(0-0))+0-80.2-0</f>
        <v>1636</v>
      </c>
      <c r="U332" s="3">
        <f>1814.8+(76.1-172.7)+(1.851096+(0.077622-0.176154))+0-80.4-0.0820080000000128</f>
        <v>1639.4705559999998</v>
      </c>
      <c r="V332" s="3">
        <f>1799.4+(50.5-102.9)+(-1.835388+(-0.05151--0.104958))+0-85.1--0.0868020000000136</f>
        <v>1660.204862</v>
      </c>
      <c r="W332" s="3">
        <f>1822.2+(186-101.5)+(-1.858644+(-0.18972--0.10353))+0-64.5--0.0657900000000103</f>
        <v>1840.3209560000003</v>
      </c>
      <c r="X332" s="3">
        <f>1858.4+(226.9-108.2)+(-2.843352+(-0.347157--0.165546))+0-81.8--0.125154000000005</f>
        <v>1892.4001910000002</v>
      </c>
      <c r="Y332" s="3">
        <f>1799.8+(250.8-107.7)+(-3.671592+(-0.511632--0.219708))+0-74.4--0.151775999999997</f>
        <v>1864.6882599999999</v>
      </c>
      <c r="Z332" s="3">
        <f>1659.2+(332.3-98.9)+(-2.538576+(-0.508419--0.151317))+0-72.4--0.110772000000004</f>
        <v>1817.415094</v>
      </c>
      <c r="AA332" s="3">
        <f>1646.5+(279.2-95.5)+(-2.519145+(-0.427176--0.146115))+0-84.2--0.128826000000005</f>
        <v>1743.3286200000002</v>
      </c>
      <c r="AB332" s="3">
        <f>1642.9+(217.1-93.5)+(-1.675758+(-0.221442--0.09537))+0-83.7--0.0853740000000134</f>
        <v>1681.0835439999998</v>
      </c>
      <c r="AC332" s="3">
        <f>1515+(217.9-86.9)+(-1.5453+(-0.222258--0.088638))+0-66.6--0.0679320000000106</f>
        <v>1577.789012</v>
      </c>
      <c r="AD332">
        <v>1897.6999999999998</v>
      </c>
      <c r="AE332" s="3">
        <f>1878+(214.2-112.8)+(0+(0-0))+0-81.7-0</f>
        <v>1897.7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1426.6+(225.3-88)+(-3.63783+(-0.574515--0.2244))+0-88--0.224399999999987</f>
        <v>1472.1364549999998</v>
      </c>
      <c r="G333" s="3">
        <f>1338.4+(246.4-84.9)+(-2.047752+(-0.376992--0.129897))+0-88.6--0.135558000000005</f>
        <v>1409.1407110000002</v>
      </c>
      <c r="H333" s="3">
        <f>1305.4+(227.1-84.2)+(-1.997262+(-0.347463--0.128826))+0-75.7--0.115821000000004</f>
        <v>1370.4999220000002</v>
      </c>
      <c r="I333" s="3">
        <f>1304.6+(234.9-86.5)+(-2.661384+(-0.479196--0.17646))+0-96.4--0.196655999999996</f>
        <v>1353.8325359999999</v>
      </c>
      <c r="J333" s="3">
        <f>1322.2+(196.8-88)+(1.348644+(0.200736-0.08976))+0-80.3-0.0819060000000128</f>
        <v>1352.077714</v>
      </c>
      <c r="K333" s="3">
        <f>1463.8+(71-94.8)+(0.746538+(0.03621-0.048348))+0-77.6-0.0395759999999921</f>
        <v>1363.0948240000002</v>
      </c>
      <c r="L333" s="3">
        <f>1580.7+(14.5-130.9)+(-0.806157+(-0.007395--0.066759))+0-83.3--0.0424829999999915</f>
        <v>1380.2956899999999</v>
      </c>
      <c r="M333" s="3">
        <f>1588.6+(54.1-96.4)+(0+(0-0))+0-64.1-0</f>
        <v>1482.2</v>
      </c>
      <c r="N333" s="3">
        <f>1625.1+(187.7-100.3)+(0.828801+(0.095727-0.051153))+0-95.1-0.0485009999999904</f>
        <v>1618.224874</v>
      </c>
      <c r="O333" s="3">
        <f>1685.5+(227.7-103.7)+(-0.859605+(-0.116127--0.052887))+0-83.7--0.0426869999999915</f>
        <v>1724.9198419999998</v>
      </c>
      <c r="P333" s="3">
        <f>1689.6+(278.9-102.6)+(0+(0-0))+0-86.9-0</f>
        <v>1778.9999999999998</v>
      </c>
      <c r="Q333" s="3">
        <f>1673+(279.5-102)+(-1.70646+(-0.28509--0.10404))+0-86.5--0.0882300000000138</f>
        <v>1762.20072</v>
      </c>
      <c r="R333" s="3">
        <f>1673.7+(245.6-101.5)+(-3.414348+(-0.501024--0.20706))+0-85--0.173399999999996</f>
        <v>1729.2650879999999</v>
      </c>
      <c r="S333" s="3">
        <f>1658.6+(189.4-101.5)+(-3.383544+(-0.386376--0.20706))+0-77.9--0.158915999999997</f>
        <v>1665.196056</v>
      </c>
      <c r="T333" s="3">
        <f>1624.3+(193.3-97.4)+(-1.656786+(-0.197166--0.099348))+0-76.3--0.0778260000000122</f>
        <v>1642.2232220000001</v>
      </c>
      <c r="U333" s="3">
        <f>1624.1+(153.8-99.4)+(-3.313164+(-0.313752--0.202776))+0-65.4--0.133415999999997</f>
        <v>1609.8092759999997</v>
      </c>
      <c r="V333" s="3">
        <f>1631.7+(224.9-98.8)+(-0.832167+(-0.114699--0.050388))+0-95--0.0484499999999904</f>
        <v>1661.9519720000001</v>
      </c>
      <c r="W333" s="3">
        <f>1649+(349.1-101.7)+(-2.52297+(-0.534123--0.155601))+0-77.3--0.118269000000004</f>
        <v>1816.3167770000002</v>
      </c>
      <c r="X333" s="3">
        <f>1734.5+(326.3-101.3)+(-1.76919+(-0.332826--0.103326))+0-92.1--0.0939420000000147</f>
        <v>1865.4952520000002</v>
      </c>
      <c r="Y333" s="3">
        <f>1723.4+(315.9-100.4)+(-1.757868+(-0.322218--0.102408))+0-94.7--0.0965940000000151</f>
        <v>1842.3189160000002</v>
      </c>
      <c r="Z333" s="3">
        <f>1660.3+(316-97.2)+(-2.540259+(-0.48348--0.148716))+0-76.5--0.117045000000004</f>
        <v>1799.8420219999998</v>
      </c>
      <c r="AA333" s="3">
        <f>1692.5+(251.1-95.4)+(-1.72635+(-0.256122--0.097308))+0-96.1--0.0980220000000153</f>
        <v>1750.3128580000002</v>
      </c>
      <c r="AB333" s="3">
        <f>1681.6+(201.4-95.3)+(-2.572848+(-0.308142--0.145809))+0-87--0.133110000000005</f>
        <v>1698.0979289999998</v>
      </c>
      <c r="AC333" s="3">
        <f>1524.7+(257.4-90.7)+(0+(0-0))+0-86.2-0</f>
        <v>1605.2</v>
      </c>
      <c r="AD333">
        <v>1884</v>
      </c>
      <c r="AE333" s="3">
        <f>1753+(346-103.4)+(0+(0-0))+0-111.6-0</f>
        <v>1884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1484+(186.2-89.1)+(-1.51368+(-0.189924--0.090882))+0-66.6--0.0679320000000106</f>
        <v>1512.9552099999999</v>
      </c>
      <c r="G334" s="3">
        <f>1359.5+(219.7-84.9)+(-0.693345+(-0.112047--0.043299))+0-63.5--0.0323849999999936</f>
        <v>1430.0702919999999</v>
      </c>
      <c r="H334" s="3">
        <f>1356.2+(165.6-81.4)+(0+(0-0))+0-53-0</f>
        <v>1387.4</v>
      </c>
      <c r="I334" s="3">
        <f>1279.4+(183.4-79.4)+(-1.304988+(-0.187068--0.080988))+0-24.6--0.0250920000000039</f>
        <v>1357.4140240000004</v>
      </c>
      <c r="J334" s="3">
        <f>1251.1+(196.2-85.8)+(3.190305+(0.50031-0.21879))+0-22.8-0.0581399999999967</f>
        <v>1342.113685</v>
      </c>
      <c r="K334" s="3">
        <f>1235+(224-95.7)+(0.62985+(0.11424-0.048807))+0-23-0.0117299999999977</f>
        <v>1340.983553</v>
      </c>
      <c r="L334" s="3">
        <f>1230.6+(202.8-97.9)+(-1.255212+(-0.206856--0.099858))+0-37.5--0.038250000000006</f>
        <v>1296.6760400000001</v>
      </c>
      <c r="M334" s="3">
        <f>1288.9+(192.2-94.8)+(0.657339+(0.098022-0.048348))+0-65.5-0.0334049999999934</f>
        <v>1321.4736080000002</v>
      </c>
      <c r="N334" s="3">
        <f>1428.2+(158.2-95.4)+(0+(0-0))+0-93.3-0</f>
        <v>1397.7</v>
      </c>
      <c r="O334" s="3">
        <f>1425+(201.5-97.4)+(-0.72675+(-0.102765--0.049674))+0-63.7--0.0324869999999935</f>
        <v>1464.6526459999998</v>
      </c>
      <c r="P334" s="3">
        <f>1424.2+(284.5-96)+(-0.726342+(-0.145095--0.04896))+0-87--0.0443699999999912</f>
        <v>1524.9218930000002</v>
      </c>
      <c r="Q334" s="3">
        <f>1421.5+(327.5-94.3)+(-2.89986+(-0.6681--0.192372))+0-88--0.179519999999996</f>
        <v>1563.5039319999998</v>
      </c>
      <c r="R334" s="3">
        <f>1420.6+(298.4-94.4)+(-2.173518+(-0.456552--0.144432))+0-82--0.125460000000005</f>
        <v>1540.2398219999998</v>
      </c>
      <c r="S334" s="3">
        <f>1388.1+(289.7-93.9)+(-2.123793+(-0.443241--0.143667))+0-84.4--0.129132000000005</f>
        <v>1497.2057649999997</v>
      </c>
      <c r="T334" s="3">
        <f>1296.2+(381.2-91.1)+(-2.644248+(-0.777648--0.185844))+0-77.6--0.158303999999997</f>
        <v>1505.6222520000003</v>
      </c>
      <c r="U334" s="3">
        <f>1250.8+(404.1-92.9)+(-0.637908+(-0.206091--0.047379))+0-95.1--0.0485009999999904</f>
        <v>1466.151881</v>
      </c>
      <c r="V334" s="3">
        <f>1275.8+(372.9-95.4)+(-0.650658+(-0.190179--0.048654))+0-79.8--0.0406979999999919</f>
        <v>1472.748515</v>
      </c>
      <c r="W334" s="3">
        <f>1535+(283.6-99.9)+(-1.5657+(-0.289272--0.101898))+0-83.1--0.0847620000000132</f>
        <v>1633.9316880000001</v>
      </c>
      <c r="X334" s="3">
        <f>1645.7+(271.3-96.8)+(0+(0-0))+0-69.1-0</f>
        <v>1751.1000000000001</v>
      </c>
      <c r="Y334" s="3">
        <f>1590.9+(342.9-101)+(0.811359+(0.174879-0.05151))+0-90.3-0.0460529999999908</f>
        <v>1743.3886750000001</v>
      </c>
      <c r="Z334" s="3">
        <f>1557.1+(355.5-99.3)+(-1.588242+(-0.36261--0.101286))+0-85.6--0.0873120000000136</f>
        <v>1725.9377460000001</v>
      </c>
      <c r="AA334" s="3">
        <f>1548+(322.3-94.4)+(-3.9474+(-0.821865--0.24072))+0-80.1--0.204254999999988</f>
        <v>1691.4757100000002</v>
      </c>
      <c r="AB334" s="3">
        <f>1520.6+(291.7-90.1)+(-1.551012+(-0.297534--0.091902))+0-77.4--0.0789480000000123</f>
        <v>1643.1223039999998</v>
      </c>
      <c r="AC334" s="3">
        <f>1445.6+(258.9-86.7)+(-2.949024+(-0.528156--0.176868))+0-74.7--0.152387999999997</f>
        <v>1539.9520759999998</v>
      </c>
      <c r="AD334">
        <v>1754.1999999999998</v>
      </c>
      <c r="AE334" s="3">
        <f>1650+(301.6-99.9)+(0+(0-0))+0-97.5-0</f>
        <v>1754.2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1394.7+(236.2-84.8)+(-3.556485+(-0.60231--0.21624))+0-92.5--0.235874999999987</f>
        <v>1449.8933199999999</v>
      </c>
      <c r="G335" s="3">
        <f>1331+(231-81.5)+(-3.39405+(-0.58905--0.207825))+0-93.3--0.237914999999986</f>
        <v>1383.66264</v>
      </c>
      <c r="H335" s="3">
        <f>1286.8+(233.6-79.7)+(-2.625072+(-0.476544--0.162588))+0-87.4--0.178295999999996</f>
        <v>1350.5392679999998</v>
      </c>
      <c r="I335" s="3">
        <f>1263.3+(238.3-82.1)+(-2.577132+(-0.486132--0.167484))+0-77.6--0.158303999999997</f>
        <v>1339.1625240000001</v>
      </c>
      <c r="J335" s="3">
        <f>1270.1+(230.3-84.7)+(0.647751+(0.117453-0.043197))+0-79-0.040289999999992</f>
        <v>1337.381717</v>
      </c>
      <c r="K335" s="3">
        <f>1330.1+(199.6-94)+(2.713404+(0.407184-0.19176))+0-76.8-0.156671999999997</f>
        <v>1361.6721559999999</v>
      </c>
      <c r="L335" s="3">
        <f>1386.4+(180.6-98)+(-3.53532+(-0.46053--0.2499))+0-83.3--0.212414999999988</f>
        <v>1382.166465</v>
      </c>
      <c r="M335" s="3">
        <f>1432.2+(235.4-97.8)+(1.460844+(0.240108-0.099756))+0-94.4-0.0962880000000151</f>
        <v>1476.9049080000002</v>
      </c>
      <c r="N335" s="3">
        <f>1540.5+(205.9-94.2)+(0+(0-0))+0-72.8-0</f>
        <v>1579.4</v>
      </c>
      <c r="O335" s="3">
        <f>1598.2+(259.8-93.2)+(-0.815082+(-0.132498--0.047532))+0-79.9--0.0407489999999919</f>
        <v>1684.0407010000001</v>
      </c>
      <c r="P335" s="3">
        <f>1577.5+(333.1-103.7)+(-4.022625+(-0.849405--0.264435))+0-88.7--0.226184999999987</f>
        <v>1713.8185900000001</v>
      </c>
      <c r="Q335" s="3">
        <f>1604.2+(322.5-100.7)+(1.636284+(0.32895-0.102714))+0-89-0.0907800000000142</f>
        <v>1738.7717399999999</v>
      </c>
      <c r="R335" s="3">
        <f>1492.6+(410.5-95.3)+(-3.80613+(-1.046775--0.243015))+0-83.8--0.213689999999988</f>
        <v>1719.6038000000001</v>
      </c>
      <c r="S335" s="3">
        <f>1448.5+(364.7-91.9)+(-3.693675+(-0.929985--0.234345))+0-40.9--0.104294999999994</f>
        <v>1676.1149800000001</v>
      </c>
      <c r="T335" s="3">
        <f>1462+(391.1-90.7)+(-0.74562+(-0.199461--0.046257))+0-95.6--0.0487559999999903</f>
        <v>1665.949932</v>
      </c>
      <c r="U335" s="3">
        <f>1444.8+(419.7-98.5)+(0+(0-0))+0-96.3-0</f>
        <v>1669.7</v>
      </c>
      <c r="V335" s="3">
        <f>1498.6+(379.2-96.8)+(-1.528572+(-0.386784--0.098736))+0-82.1--0.0837420000000131</f>
        <v>1697.1671220000001</v>
      </c>
      <c r="W335" s="3">
        <f>1693.5+(343.1-101.4)+(0.863685+(0.174981-0.051714))+0-43.8-0.0223379999999956</f>
        <v>1892.3646140000001</v>
      </c>
      <c r="X335" s="3">
        <f>1700.2+(370.5-102)+(-0.867102+(-0.188955--0.05202))+0-29.7--0.015146999999997</f>
        <v>1938.0111100000001</v>
      </c>
      <c r="Y335" s="3">
        <f>1632.7+(467.2-100.1)+(-0.832677+(-0.238272--0.051051))+0-90.1--0.0459509999999909</f>
        <v>1908.7260530000003</v>
      </c>
      <c r="Z335" s="3">
        <f>1639.3+(416.7-97)+(-3.344172+(-0.850068--0.19788))+0-85--0.173399999999996</f>
        <v>1870.1770399999998</v>
      </c>
      <c r="AA335" s="3">
        <f>1657.7+(338.9-90.7)+(0.845427+(0.172839-0.046257))+0-89.1-0.045440999999991</f>
        <v>1817.7265680000003</v>
      </c>
      <c r="AB335" s="3">
        <f>1529.2+(393.7-90.1)+(-3.119568+(-0.803148--0.183804))+0-95.7--0.195227999999996</f>
        <v>1733.5563160000002</v>
      </c>
      <c r="AC335" s="3">
        <f>1470.3+(325.7-84.7)+(-3.749265+(-0.830535--0.215985))+0-68.8--0.17543999999999</f>
        <v>1638.311625</v>
      </c>
      <c r="AD335">
        <v>1951.9000000000003</v>
      </c>
      <c r="AE335" s="3">
        <f>1720+(366.3-104.6)+(0+(0-0))+0-29.8-0</f>
        <v>1951.9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1482.6+(206.8-82.4)+(-2.268378+(-0.316404--0.126072))+0-92--0.140760000000005</f>
        <v>1512.6820499999999</v>
      </c>
      <c r="G336" s="3">
        <f>1419+(172-74.1)+(-2.89476+(-0.35088--0.151164))+0-81.9--0.167075999999996</f>
        <v>1432.0726</v>
      </c>
      <c r="H336" s="3">
        <f>1448.6+(144.4-104)+(1.477572+(0.147288-0.10608))+0-86-0.0877200000000137</f>
        <v>1404.4310600000001</v>
      </c>
      <c r="I336" s="3">
        <f>1342.1+(216.2-75.3)+(-2.053413+(-0.330786--0.115209))+0-92.1--0.140913000000005</f>
        <v>1388.771923</v>
      </c>
      <c r="J336" s="3">
        <f>1219.1+(337.8-75.7)+(-0.621741+(-0.172278--0.038607))+0-85.9--0.0438089999999913</f>
        <v>1394.5883969999998</v>
      </c>
      <c r="K336" s="3">
        <f>1355.8+(234.6-81.5)+(1.382916+(0.239292-0.08313))+0-95.5-0.0974100000000152</f>
        <v>1414.8416679999998</v>
      </c>
      <c r="L336" s="3">
        <f>1422.2+(204-88.3)+(0.725322+(0.10404-0.045033))+0-88.4-0.045083999999991</f>
        <v>1450.239245</v>
      </c>
      <c r="M336" s="3">
        <f>1549.9+(172.6-89.8)+(0.790449+(0.088026-0.045798))+0-86.1-0.0439109999999913</f>
        <v>1547.3887660000003</v>
      </c>
      <c r="N336" s="3">
        <f>1648.8+(171.5-92.4)+(-0.840888+(-0.087465--0.047124))+0-74.7--0.0380969999999924</f>
        <v>1652.3568679999996</v>
      </c>
      <c r="O336" s="3">
        <f>1645.5+(231.4-98.5)+(-0.839205+(-0.118014--0.050235))+0-36.1--0.0184109999999963</f>
        <v>1741.4114270000002</v>
      </c>
      <c r="P336" s="3">
        <f>1642.7+(281.1-97.2)+(0.837777+(0.143361-0.049572))+0-28.9-0.0147389999999971</f>
        <v>1798.6168270000001</v>
      </c>
      <c r="Q336" s="3">
        <f>1641.5+(283.5-92.3)+(-1.67433+(-0.28917--0.094146))+0-26.4--0.0269280000000042</f>
        <v>1804.457574</v>
      </c>
      <c r="R336" s="3">
        <f>1625.5+(326.1-91.3)+(-3.31602+(-0.665244--0.186252))+0-74.9--0.152795999999997</f>
        <v>1781.7577839999999</v>
      </c>
      <c r="S336" s="3">
        <f>1633.4+(293.7-93)+(-2.499102+(-0.449361--0.14229))+0-92.2--0.141066000000005</f>
        <v>1739.2348930000001</v>
      </c>
      <c r="T336" s="3">
        <f>1643.3+(270.1-92.5)+(0.838083+(0.137751-0.047175))+0-91.4-0.0466139999999907</f>
        <v>1730.3820449999998</v>
      </c>
      <c r="U336" s="3">
        <f>1627+(256.4-92.2)+(-3.31908+(-0.523056--0.188088))+0-80--0.163199999999997</f>
        <v>1707.7091519999999</v>
      </c>
      <c r="V336" s="3">
        <f>1647.7+(295.6-90.8)+(0+(0-0))+0-89-0</f>
        <v>1763.5</v>
      </c>
      <c r="W336" s="3">
        <f>1639.4+(407.9-97.7)+(-0.836094+(-0.208029--0.049827))+0-80.6--0.0411059999999918</f>
        <v>1868.0468100000001</v>
      </c>
      <c r="X336" s="3">
        <f>1641.1+(447.6-99.9)+(-0.836961+(-0.228276--0.050949))+0-92.6--0.0472259999999906</f>
        <v>1895.2329379999999</v>
      </c>
      <c r="Y336" s="3">
        <f>1625.7+(427.1-100.8)+(-2.487321+(-0.653463--0.154224))+0-85.1--0.130203000000005</f>
        <v>1864.043643</v>
      </c>
      <c r="Z336" s="3">
        <f>1614.6+(416-99.7)+(-4.11723+(-1.0608--0.254235))+0-90.3--0.230264999999987</f>
        <v>1835.9064699999999</v>
      </c>
      <c r="AA336" s="3">
        <f>1646+(318.8-95)+(0.83946+(0.162588-0.04845))+0-92.2-0.0470219999999906</f>
        <v>1778.506576</v>
      </c>
      <c r="AB336" s="3">
        <f>1594.6+(287.6-90)+(-3.252984+(-0.586704--0.1836))+0-78--0.159119999999997</f>
        <v>1710.7030319999999</v>
      </c>
      <c r="AC336" s="3">
        <f>1401.7+(373-88.2)+(-2.859468+(-0.76092--0.179928))+0-83--0.169319999999996</f>
        <v>1600.2288599999999</v>
      </c>
      <c r="AD336">
        <v>1886.3</v>
      </c>
      <c r="AE336" s="3">
        <f>1655+(439-100.5)+(0+(0-0))+0-107.2-0</f>
        <v>1886.3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1379.4+(251.8-77)+(-2.813976+(-0.513672--0.15708))+0-67--0.136679999999997</f>
        <v>1484.1661120000001</v>
      </c>
      <c r="G337" s="3">
        <f>1383.7+(200.2-74)+(-2.117061+(-0.306306--0.11322))+0-89.1--0.136323000000005</f>
        <v>1418.6261760000002</v>
      </c>
      <c r="H337" s="3">
        <f>1309.2+(224.6-73.5)+(-1.335384+(-0.229092--0.07497))+0-71.1--0.0725220000000113</f>
        <v>1387.7830160000001</v>
      </c>
      <c r="I337" s="3">
        <f>1210.5+(309.3-75.9)+(-1.23471+(-0.315486--0.077418))+0-74.7--0.0761940000000119</f>
        <v>1367.803416</v>
      </c>
      <c r="J337" s="3">
        <f>1226.5+(307.3-83.1)+(1.25103+(0.313446-0.084762))+0-83.5-0.0851700000000133</f>
        <v>1368.594544</v>
      </c>
      <c r="K337" s="3">
        <f>1310.7+(248.5-94.7)+(2.005371+(0.380205-0.144891))+0-82.8-0.126684000000005</f>
        <v>1383.814001</v>
      </c>
      <c r="L337" s="3">
        <f>1520.7+(142.7-158.8)+(1.551114+(0.145554-0.161976))+0-89.1-0.0908820000000142</f>
        <v>1416.94381</v>
      </c>
      <c r="M337" s="3">
        <f>1579.3+(147.6-119.5)+(-0.805443+(-0.075276--0.060945))+0-97.6--0.0497759999999901</f>
        <v>1509.030002</v>
      </c>
      <c r="N337" s="3">
        <f>1650.6+(152.3-105.9)+(2.525418+(0.233019-0.162027))+0-81-0.123930000000005</f>
        <v>1618.4724800000001</v>
      </c>
      <c r="O337" s="3">
        <f>1548.3+(221.8-99)+(1.579266+(0.226236-0.10098))+0-75-0.076500000000012</f>
        <v>1597.7280219999998</v>
      </c>
      <c r="P337" s="3">
        <f>1662.6+(214.1-98.7)+(1.695852+(0.218382-0.100674))+0-72.4-0.0738480000000115</f>
        <v>1707.339712</v>
      </c>
      <c r="Q337" s="3">
        <f>1654.9+(259-95.5)+(-0.843999+(-0.13209--0.048705))+0-90.3--0.0460529999999908</f>
        <v>1727.2186690000001</v>
      </c>
      <c r="R337" s="3">
        <f>1665.4+(230.7-95.7)+(-2.548062+(-0.352971--0.146421))+0-95.4--0.145962000000006</f>
        <v>1702.3913500000001</v>
      </c>
      <c r="S337" s="3">
        <f>1714.6+(182.7-98)+(0.874446+(0.093177-0.04998))+0-96.3-0.0491129999999902</f>
        <v>1703.86853</v>
      </c>
      <c r="T337" s="3">
        <f>1709.3+(148.1-109.9)+(-0.871743+(-0.075531--0.056049))+0-92.1--0.0469709999999907</f>
        <v>1654.555746</v>
      </c>
      <c r="U337" s="3">
        <f>1751.9+(105.6-134.8)+(-3.573876+(-0.215424--0.274992))+0-80.3--0.163811999999996</f>
        <v>1639.0495040000001</v>
      </c>
      <c r="V337" s="3">
        <f>1928+(77-235)+(0.98328+(0.03927-0.11985))+0-80.1-0.0408509999999919</f>
        <v>1690.7618490000002</v>
      </c>
      <c r="W337" s="3">
        <f>1865.3+(110.5-103.9)+(0+(0-0))+0-45.2-0</f>
        <v>1826.6999999999998</v>
      </c>
      <c r="X337" s="3">
        <f>1805.9+(277.9-102.2)+(-1.842018+(-0.283458--0.104244))+0-98.1--0.100062000000016</f>
        <v>1881.5788300000002</v>
      </c>
      <c r="Y337" s="3">
        <f>1774.9+(272.5-102.7)+(-6.336393+(-0.972825--0.366639))+0-88.9--0.317373000000001</f>
        <v>1849.174794</v>
      </c>
      <c r="Z337" s="3">
        <f>1772.4+(251.8-95.8)+(-3.615696+(-0.513672--0.195432))+0-94.5--0.192779999999996</f>
        <v>1830.1588440000003</v>
      </c>
      <c r="AA337" s="3">
        <f>1756.8+(198.7-93.1)+(-5.375808+(-0.608022--0.284886))+0-87.3--0.26713800000001</f>
        <v>1769.6681939999999</v>
      </c>
      <c r="AB337" s="3">
        <f>1673.5+(198.4-90.2)+(-1.70697+(-0.202368--0.092004))+0-90.8--0.0926160000000145</f>
        <v>1689.1752819999999</v>
      </c>
      <c r="AC337" s="3">
        <f>1495.1+(248.5-84.1)+(-3.050004+(-0.50694--0.171564))+0-72.8--0.148511999999997</f>
        <v>1583.4631320000001</v>
      </c>
      <c r="AD337">
        <v>1886.8000000000002</v>
      </c>
      <c r="AE337" s="3">
        <f>1807+(290.4-103)+(0+(0-0))+0-107.6-0</f>
        <v>1886.8000000000002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1471.8+(168-76.7)+(-2.251854+(-0.25704--0.117351))+0-80.1--0.122553000000005</f>
        <v>1480.73101</v>
      </c>
      <c r="G338" s="3">
        <f>1475.4+(146.2-98.6)+(-0.752454+(-0.074562--0.050286))+0-97.3--0.0496229999999901</f>
        <v>1424.9728929999999</v>
      </c>
      <c r="H338" s="3">
        <f>1398.5+(163-78.6)+(-3.566175+(-0.41565--0.20043))+0-88.6--0.225929999999987</f>
        <v>1390.7445350000003</v>
      </c>
      <c r="I338" s="3">
        <f>1333.6+(199.2-73.8)+(-1.360272+(-0.203184--0.075276))+0-86.6--0.0883320000000138</f>
        <v>1371.0001520000001</v>
      </c>
      <c r="J338" s="3">
        <f>1332.3+(187-75.9)+(-2.717892+(-0.38148--0.154836))+0-68.4--0.139535999999997</f>
        <v>1372.1949999999997</v>
      </c>
      <c r="K338" s="3">
        <f>1423.1+(131.8-91.9)+(0+(0-0))+0-85.8-0</f>
        <v>1377.2</v>
      </c>
      <c r="L338" s="3">
        <f>1587.2+(69.6-199.1)+(-3.237888+(-0.141984--0.406164))+0-75.3--0.153611999999997</f>
        <v>1379.5799040000002</v>
      </c>
      <c r="M338" s="3">
        <f>1692+(88.6-277.8)+(-0.86292+(-0.045186--0.141678))+0-29--0.0147899999999971</f>
        <v>1473.048362</v>
      </c>
      <c r="N338" s="3">
        <f>1832+(101.7-319)+(3.73728+(0.207468-0.65076))+0-26.3-0.0536519999999989</f>
        <v>1591.6403359999999</v>
      </c>
      <c r="O338" s="3">
        <f>1823.2+(105.9-235.3)+(0.929832+(0.054009-0.120003))+0-21.5-0.0109649999999978</f>
        <v>1673.152873</v>
      </c>
      <c r="P338" s="3">
        <f>1817.2+(103.7-188.3)+(0+(0-0))+0-18.6-0</f>
        <v>1714.0000000000002</v>
      </c>
      <c r="Q338" s="3">
        <f>1804.1+(115-163.6)+(-3.680364+(-0.2346--0.333744))+0-16.5--0.0336599999999993</f>
        <v>1735.45244</v>
      </c>
      <c r="R338" s="3">
        <f>1772.6+(116-154.5)+(-4.52013+(-0.2958--0.393975))+0-19.7--0.0502349999999971</f>
        <v>1710.0282799999998</v>
      </c>
      <c r="S338" s="3">
        <f>1716.7+(121.3-139.9)+(-2.626551+(-0.185589--0.214047))+0-20.5--0.0313650000000012</f>
        <v>1675.0332720000001</v>
      </c>
      <c r="T338" s="3">
        <f>1700.5+(112.7-140.7)+(-2.601765+(-0.172431--0.215271))+0-22.7--0.0347310000000013</f>
        <v>1647.2758059999999</v>
      </c>
      <c r="U338" s="3">
        <f>1664.1+(122.3-127.3)+(-2.546073+(-0.187119--0.194769))+0-26.3--0.0402390000000015</f>
        <v>1630.3018159999999</v>
      </c>
      <c r="V338" s="3">
        <f>1724+(97.7-118.3)+(1.75848+(0.099654-0.120666))+0-60.5-0.0617100000000096</f>
        <v>1644.5757580000002</v>
      </c>
      <c r="W338" s="3">
        <f>1719.5+(278.7-105)+(0.876945+(0.142137-0.05355))+0-96.2-0.0490619999999902</f>
        <v>1797.9164699999999</v>
      </c>
      <c r="X338" s="3">
        <f>1800+(254.6-107)+(0+(0-0))+0-68.9-0</f>
        <v>1878.6999999999998</v>
      </c>
      <c r="Y338" s="3">
        <f>1720.2+(316.2-102.3)+(-4.38651+(-0.80631--0.260865))+0-74.5--0.189974999999989</f>
        <v>1854.8580199999999</v>
      </c>
      <c r="Z338" s="3">
        <f>1721+(287-101.4)+(0+(0-0))+0-82.1-0</f>
        <v>1824.5</v>
      </c>
      <c r="AA338" s="3">
        <f>1762.2+(183.2-96)+(-2.696166+(-0.280296--0.14688))+0-89.9--0.137547000000005</f>
        <v>1756.807965</v>
      </c>
      <c r="AB338" s="3">
        <f>1701.2+(180-93.7)+(-2.602836+(-0.2754--0.143361))+0-93.8--0.143514000000005</f>
        <v>1691.108639</v>
      </c>
      <c r="AC338" s="3">
        <f>1505.7+(234.2-88.3)+(-1.535814+(-0.238884--0.090066))+0-68.9--0.070278000000011</f>
        <v>1581.0856459999998</v>
      </c>
      <c r="AD338">
        <v>1881.3</v>
      </c>
      <c r="AE338" s="3">
        <f>1815+(287.1-114.3)+(0+(0-0))+0-106.5-0</f>
        <v>1881.3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1417.2+(220.7-88.9)+(-2.168316+(-0.337671--0.136017))+0-82.1--0.125613000000005</f>
        <v>1464.6556430000001</v>
      </c>
      <c r="G339" s="3">
        <f>1369.6+(205.9-86)+(0+(0-0))+0-81.1-0</f>
        <v>1408.4</v>
      </c>
      <c r="H339" s="3">
        <f>1332.3+(219.2-85.1)+(-2.038419+(-0.335376--0.130203))+0-90.4--0.138312000000005</f>
        <v>1373.8947199999998</v>
      </c>
      <c r="I339" s="3">
        <f>1308.9+(215.9-86.1)+(0.667539+(0.110109-0.043911))+0-85.1-0.0434009999999914</f>
        <v>1354.2903360000003</v>
      </c>
      <c r="J339" s="3">
        <f>1306.3+(239.3-90.7)+(-0.666213+(-0.122043--0.046257))+0-89.3--0.0455429999999909</f>
        <v>1364.903544</v>
      </c>
      <c r="K339" s="3">
        <f>1312.9+(251.5-99.4)+(2.008737+(0.384795-0.152082))+0-85.4-0.130662000000005</f>
        <v>1381.7107879999999</v>
      </c>
      <c r="L339" s="3">
        <f>1309.6+(255.9-99.8)+(-0.667896+(-0.130509--0.050898))+0-88.7--0.045236999999991</f>
        <v>1376.2977299999998</v>
      </c>
      <c r="M339" s="3">
        <f>1555.6+(106-103.3)+(0.793356+(0.05406-0.052683))+0-91.5-0.0466649999999907</f>
        <v>1467.5480679999998</v>
      </c>
      <c r="N339" s="3">
        <f>1772.4+(100.5-213.7)+(-0.903924+(-0.051255--0.108987))+0-78.1--0.0398309999999921</f>
        <v>1580.2936390000002</v>
      </c>
      <c r="O339" s="3">
        <f>1744.9+(123.5-119.7)+(-0.889899+(-0.062985--0.061047))+0-74.7--0.0380969999999924</f>
        <v>1673.14626</v>
      </c>
      <c r="P339" s="3">
        <f>1837.6+(143.9-93)+(0+(0-0))+0-22-0</f>
        <v>1866.5</v>
      </c>
      <c r="Q339" s="3">
        <f>1819.1+(187.9-91)+(-1.855482+(-0.191658--0.09282))+0-22--0.0224400000000035</f>
        <v>1892.0681199999999</v>
      </c>
      <c r="R339" s="3">
        <f>1681.6+(242.2-98.5)+(-3.430464+(-0.494088--0.20094))+0-84.7--0.172787999999996</f>
        <v>1737.049176</v>
      </c>
      <c r="S339" s="3">
        <f>1684.1+(205.5-99.6)+(-2.576673+(-0.314415--0.152388))+0-81.7--0.125001000000005</f>
        <v>1705.686301</v>
      </c>
      <c r="T339" s="3">
        <f>1621.5+(250.2-96.8)+(-3.30786+(-0.510408--0.197472))+0-84.6--0.172583999999996</f>
        <v>1686.8517880000002</v>
      </c>
      <c r="U339" s="3">
        <f>1567.2+(281.2-99.1)+(-2.397816+(-0.430236--0.151623))+0-95--0.145350000000006</f>
        <v>1651.7689209999999</v>
      </c>
      <c r="V339" s="3">
        <f>1568.4+(284.5-95.6)+(-1.599768+(-0.29019--0.097512))+0-83.7--0.0853740000000134</f>
        <v>1671.8929280000002</v>
      </c>
      <c r="W339" s="3">
        <f>1655.8+(349.5-101.4)+(-1.688916+(-0.35649--0.103428))+0-72.6--0.0740520000000116</f>
        <v>1829.4320739999998</v>
      </c>
      <c r="X339" s="3">
        <f>1783.6+(341.4-105.4)+(-2.728908+(-0.522342--0.161262))+0-91.7--0.140301000000005</f>
        <v>1924.9503129999998</v>
      </c>
      <c r="Y339" s="3">
        <f>1762.3+(334.8-103.5)+(-1.797546+(-0.341496--0.10557))+0-83.5--0.0851700000000133</f>
        <v>1908.1516979999999</v>
      </c>
      <c r="Z339" s="3">
        <f>1694.6+(365.6-101.6)+(-5.185476+(-1.118736--0.310896))+0-89.9--0.27509400000001</f>
        <v>1862.9817779999998</v>
      </c>
      <c r="AA339" s="3">
        <f>1645.5+(335.4-98.5)+(-1.67841+(-0.342108--0.10047))+0-82.3--0.0839460000000131</f>
        <v>1798.2638980000002</v>
      </c>
      <c r="AB339" s="3">
        <f>1643.3+(262.6-96.4)+(-4.190415+(-0.66963--0.24582))+0-82--0.209099999999988</f>
        <v>1723.094875</v>
      </c>
      <c r="AC339" s="3">
        <f>1543.6+(250.7-93.9)+(-3.148944+(-0.511428--0.191556))+0-82.1--0.167483999999996</f>
        <v>1614.998668</v>
      </c>
      <c r="AD339">
        <v>1942.7999999999997</v>
      </c>
      <c r="AE339" s="3">
        <f>1800+(343.6-102.9)+(0+(0-0))+0-97.9-0</f>
        <v>1942.8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1377.2+(281.9-97.1)+(-1.404744+(-0.287538--0.099042))+0-68.7--0.070074000000011</f>
        <v>1491.776834</v>
      </c>
      <c r="G340" s="3">
        <f>1322.7+(305.3-95.6)+(0+(0-0))+0-100.9-0</f>
        <v>1431.5</v>
      </c>
      <c r="H340" s="3">
        <f>1271.9+(313.6-94.5)+(-0.648669+(-0.159936--0.048195))+0-93.3--0.0475829999999905</f>
        <v>1396.987173</v>
      </c>
      <c r="I340" s="3">
        <f>1194.4+(377.6-96.4)+(2.436576+(0.770304-0.196656))+0-98.3-0.200531999999996</f>
        <v>1380.1096920000002</v>
      </c>
      <c r="J340" s="3">
        <f>1253+(285.5-97.8)+(1.91709+(0.436815-0.149634))+0-63.5-0.0971550000000037</f>
        <v>1379.3071160000002</v>
      </c>
      <c r="K340" s="3">
        <f>1416.9+(162.6-105.2)+(3.613095+(0.41463-0.26826))+0-88.2-0.224909999999987</f>
        <v>1389.6345550000003</v>
      </c>
      <c r="L340" s="3">
        <f>1619.8+(7.8-142.2)+(-0.826098+(-0.003978--0.072522))+0-84.2--0.0429419999999915</f>
        <v>1400.4853880000001</v>
      </c>
      <c r="M340" s="3">
        <f>1631.6+(58.1-99.1)+(0+(0-0))+0-92.8-0</f>
        <v>1497.8</v>
      </c>
      <c r="N340" s="3">
        <f>1643.5+(139.7-96)+(3.35274+(0.284988-0.19584))+0-93.2-0.190127999999996</f>
        <v>1597.2517600000001</v>
      </c>
      <c r="O340" s="3">
        <f>1520.1+(351.4-99)+(1.550502+(0.358428-0.10098))+0-82.7-0.0843540000000132</f>
        <v>1691.5235959999998</v>
      </c>
      <c r="P340" s="3">
        <f>1621.8+(274.7-98.7)+(0+(0-0))+0-51.4-0</f>
        <v>1746.3999999999999</v>
      </c>
      <c r="Q340" s="3">
        <f>1710.7+(236.1-97.9)+(2.617371+(0.361233-0.149787))+0-90.1-0.137853000000005</f>
        <v>1761.4909640000003</v>
      </c>
      <c r="R340" s="3">
        <f>1745.3+(167.2-86.8)+(-5.340618+(-0.511632--0.265608))+0-82.1--0.25122600000001</f>
        <v>1738.2645840000002</v>
      </c>
      <c r="S340" s="3">
        <f>1741.6+(121.2-91.6)+(-5.329296+(-0.370872--0.280296))+0-89--0.27234000000001</f>
        <v>1677.0524679999999</v>
      </c>
      <c r="T340" s="3">
        <f>1749.4+(125.8-114.6)+(-1.784388+(-0.128316--0.116892))+0-96.4--0.0983280000000154</f>
        <v>1662.502516</v>
      </c>
      <c r="U340" s="3">
        <f>1733+(108.3-127.5)+(-4.41915+(-0.276165--0.325125))+0-74.4--0.189719999999989</f>
        <v>1635.2195299999998</v>
      </c>
      <c r="V340" s="3">
        <f>1652.4+(166.2-92.6)+(-1.685448+(-0.169524--0.094452))+0-94.6--0.0964920000000151</f>
        <v>1629.7359720000002</v>
      </c>
      <c r="W340" s="3">
        <f>1702.5+(279.3-90.5)+(0+(0-0))+0-93.8-0</f>
        <v>1797.5</v>
      </c>
      <c r="X340" s="3">
        <f>1801.9+(283.1-92.3)+(0+(0-0))+0-101.1-0</f>
        <v>1891.6000000000001</v>
      </c>
      <c r="Y340" s="3">
        <f>1793.7+(275.1-102.7)+(-1.829574+(-0.280602--0.104754))+0-93.5--0.0953700000000149</f>
        <v>1870.6899480000002</v>
      </c>
      <c r="Z340" s="3">
        <f>1783.4+(231.5-102.6)+(-3.638136+(-0.47226--0.209304))+0-73.7--0.150347999999997</f>
        <v>1834.849256</v>
      </c>
      <c r="AA340" s="3">
        <f>1730.8+(241.8-96.5)+(0+(0-0))+0-92.4-0</f>
        <v>1783.6999999999998</v>
      </c>
      <c r="AB340" s="3">
        <f>1506+(272.2-94)+(-3.07224+(-0.555288--0.19176))+0-96.3--0.196451999999996</f>
        <v>1584.6606839999999</v>
      </c>
      <c r="AC340" s="3">
        <f>1453.9+(361.5-91.7)+(-1.482978+(-0.36873--0.093534))+0-89.8--0.0915960000000143</f>
        <v>1632.233422</v>
      </c>
      <c r="AD340">
        <v>1897</v>
      </c>
      <c r="AE340" s="3">
        <f>1810+(285.9-92.7)+(0+(0-0))+0-106.2-0</f>
        <v>1897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1333+(374.5-88.7)+(-1.35966+(-0.38199--0.090474))+0-83.6--0.0852720000000133</f>
        <v>1533.634096</v>
      </c>
      <c r="G341" s="3">
        <f>1177+(454.9-91.9)+(-0.60027+(-0.231999--0.046869))+0-91--0.0464099999999908</f>
        <v>1448.2610099999999</v>
      </c>
      <c r="H341" s="3">
        <f>1181.9+(395.4-91.1)+(1.808307+(0.604962-0.139383))+0-83.9-0.128367000000005</f>
        <v>1404.4455189999999</v>
      </c>
      <c r="I341" s="3">
        <f>1162.3+(413.5-92.7)+(-1.778319+(-0.632655--0.141831))+0-102.7--0.157131000000006</f>
        <v>1378.2879879999998</v>
      </c>
      <c r="J341" s="3">
        <f>1164.5+(371.5-86)+(-0.593895+(-0.189465--0.04386))+0-93--0.0474299999999906</f>
        <v>1356.3079300000002</v>
      </c>
      <c r="K341" s="3">
        <f>1166.1+(356-97.9)+(0+(0-0))+0-93-0</f>
        <v>1331.1999999999998</v>
      </c>
      <c r="L341" s="3">
        <f>1233.6+(235.1-96.7)+(-2.516544+(-0.479604--0.197268))+0-90.1--0.183803999999996</f>
        <v>1279.284924</v>
      </c>
      <c r="M341" s="3">
        <f>1191.2+(294.2-94.2)+(-0.607512+(-0.150042--0.048042))+0-70.1--0.0357509999999929</f>
        <v>1320.4262390000001</v>
      </c>
      <c r="N341" s="3">
        <f>1227.3+(340.8-93.7)+(-0.625923+(-0.173808--0.047787))+0-95.5--0.0487049999999903</f>
        <v>1378.1967609999999</v>
      </c>
      <c r="O341" s="3">
        <f>1264.7+(399.6-97)+(0+(0-0))+0-97.1-0</f>
        <v>1470.2000000000003</v>
      </c>
      <c r="P341" s="3">
        <f>1292.1+(403.1-96.4)+(0.658971+(0.205581-0.049164))+0-74.1-0.0377909999999925</f>
        <v>1525.4775970000001</v>
      </c>
      <c r="Q341" s="3">
        <f>1295.5+(419.4-93.8)+(-2.64282+(-0.855576--0.191352))+0-87.2--0.177887999999996</f>
        <v>1530.7708439999999</v>
      </c>
      <c r="R341" s="3">
        <f>1284.7+(424.1-92.3)+(-1.965591+(-0.648873--0.141219))+0-92.9--0.142137000000005</f>
        <v>1521.2688920000001</v>
      </c>
      <c r="S341" s="3">
        <f>1289.4+(407.4-93.8)+(-1.972782+(-0.623322--0.143514))+0-92.9--0.142137000000005</f>
        <v>1507.7895469999999</v>
      </c>
      <c r="T341" s="3">
        <f>1285.9+(382.1-86.9)+(-1.967427+(-0.584613--0.132957))+0-98.4--0.150552000000006</f>
        <v>1480.4314690000001</v>
      </c>
      <c r="U341" s="3">
        <f>1213.1+(426.4-90.8)+(-1.237362+(-0.434928--0.092616))+0-92.7--0.0945540000000148</f>
        <v>1454.5148799999997</v>
      </c>
      <c r="V341" s="3">
        <f>1322.4+(339.6-94)+(0+(0-0))+0-90.6-0</f>
        <v>1477.4</v>
      </c>
      <c r="W341" s="3">
        <f>1406+(420.7-100.6)+(-1.43412+(-0.429114--0.102612))+0-98.3--0.100266000000016</f>
        <v>1626.1396439999999</v>
      </c>
      <c r="X341" s="3">
        <f>1485.9+(464.2-101)+(0+(0-0))+0-83.7-0</f>
        <v>1765.4</v>
      </c>
      <c r="Y341" s="3">
        <f>1489.2+(469.9-101.1)+(0+(0-0))+0-95.6-0</f>
        <v>1762.4</v>
      </c>
      <c r="Z341" s="3">
        <f>1477.4+(459.4-100.7)+(-0.753474+(-0.234294--0.051357))+0-90.7--0.0462569999999908</f>
        <v>1744.5098460000002</v>
      </c>
      <c r="AA341" s="3">
        <f>1445.9+(442.2-92.2)+(0+(0-0))+0-89.7-0</f>
        <v>1706.2</v>
      </c>
      <c r="AB341" s="3">
        <f>1407.9+(392.7-91.9)+(-3.590145+(-1.001385--0.234345))+0-51.2--0.130559999999993</f>
        <v>1653.273375</v>
      </c>
      <c r="AC341" s="3">
        <f>1395.9+(312.5-89.4)+(-2.847636+(-0.6375--0.182376))+0-59.3--0.120971999999997</f>
        <v>1556.5182119999999</v>
      </c>
      <c r="AD341">
        <v>1787.7</v>
      </c>
      <c r="AE341" s="3">
        <f>1507+(493.1-99.8)+(0+(0-0))+0-112.6-0</f>
        <v>1787.7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1332.6+(284.8-87.3)+(0+(0-0))+0-73.1-0</f>
        <v>1457</v>
      </c>
      <c r="G342" s="3">
        <f>1272.4+(281-85)+(0.648924+(0.14331-0.04335))+0-77.8-0.0396779999999921</f>
        <v>1391.3092060000001</v>
      </c>
      <c r="H342" s="3">
        <f>1221.5+(294.4-81.9)+(0+(0-0))+0-69.9-0</f>
        <v>1364.1</v>
      </c>
      <c r="I342" s="3">
        <f>1179.1+(348.3-85)+(-0.601341+(-0.177633--0.04335))+0-95.7--0.0488069999999903</f>
        <v>1346.0131829999998</v>
      </c>
      <c r="J342" s="3">
        <f>1181.3+(338.8-90)+(-0.602463+(-0.172788--0.0459))+0-86.4--0.0440639999999912</f>
        <v>1343.0147129999998</v>
      </c>
      <c r="K342" s="3">
        <f>1284.3+(246.4-95.2)+(2.619972+(0.502656-0.194208))+0-85.4-0.174215999999996</f>
        <v>1352.854204</v>
      </c>
      <c r="L342" s="3">
        <f>1451.1+(116.8-98.9)+(1.480122+(0.119136-0.100878))+0-94.6-0.0964920000000151</f>
        <v>1375.801888</v>
      </c>
      <c r="M342" s="3">
        <f>1588.3+(114.9-132.1)+(0.810033+(0.058599-0.067371))+0-49.6-0.025295999999995</f>
        <v>1522.275965</v>
      </c>
      <c r="N342" s="3">
        <f>1782.4+(127-215.9)+(0+(0-0))+0-44.1-0</f>
        <v>1649.4</v>
      </c>
      <c r="O342" s="3">
        <f>1815.1+(142.3-125.6)+(0+(0-0))+0-95-0</f>
        <v>1736.8</v>
      </c>
      <c r="P342" s="3">
        <f>1809+(180.9-113)+(0.92259+(0.092259-0.05763))+0-92.6-0.0472259999999906</f>
        <v>1785.2099930000002</v>
      </c>
      <c r="Q342" s="3">
        <f>1768.8+(214.9-110.4)+(-2.706264+(-0.328797--0.168912))+0-90.1--0.137853000000005</f>
        <v>1780.471704</v>
      </c>
      <c r="R342" s="3">
        <f>1773.2+(174.8-109.7)+(-2.712996+(-0.267444--0.167841))+0-72.8--0.111384000000004</f>
        <v>1762.798785</v>
      </c>
      <c r="S342" s="3">
        <f>1764.2+(158.2-110.2)+(-1.799484+(-0.161364--0.112404))+0-81.3--0.082926000000013</f>
        <v>1729.1344820000002</v>
      </c>
      <c r="T342" s="3">
        <f>1753.3+(148.3-106.8)+(0.894183+(0.075633-0.054468))+0-90-0.0458999999999909</f>
        <v>1705.6694479999999</v>
      </c>
      <c r="U342" s="3">
        <f>1743.8+(144.4-118.3)+(0+(0-0))+0-77.8-0</f>
        <v>1692.1</v>
      </c>
      <c r="V342" s="3">
        <f>1743+(184.3-109)+(-0.88893+(-0.093993--0.05559))+0-92.3--0.0470729999999906</f>
        <v>1725.1197399999999</v>
      </c>
      <c r="W342" s="3">
        <f>1788.6+(285.8-105.5)+(0+(0-0))+0-92.2-0</f>
        <v>1876.6999999999998</v>
      </c>
      <c r="X342" s="3">
        <f>1856.5+(318.8-102.5)+(0+(0-0))+0-98.4-0</f>
        <v>1974.4</v>
      </c>
      <c r="Y342" s="3">
        <f>1805.1+(336.1-99.9)+(-3.682404+(-0.685644--0.203796))+0-93.6--0.190943999999996</f>
        <v>1943.726692</v>
      </c>
      <c r="Z342" s="3">
        <f>1813.8+(280.5-100.5)+(0.925038+(0.143055-0.051255))+0-81.5-0.0415649999999917</f>
        <v>1913.275273</v>
      </c>
      <c r="AA342" s="3">
        <f>1832.7+(205.4-93.8)+(-2.804031+(-0.314262--0.143514))+0-95.9--0.146727000000006</f>
        <v>1845.571948</v>
      </c>
      <c r="AB342" s="3">
        <f>1828.5+(128.7-93.2)+(-6.527745+(-0.459459--0.332724))+0-76.2--0.272034000000001</f>
        <v>1781.4175540000001</v>
      </c>
      <c r="AC342" s="3">
        <f>1759.9+(128-101.1)+(-5.385294+(-0.39168--0.309366))+0-93.3--0.285498000000011</f>
        <v>1688.3178900000003</v>
      </c>
      <c r="AD342">
        <v>1987.7999999999997</v>
      </c>
      <c r="AE342" s="3">
        <f>1867+(326.2-102.4)+(0+(0-0))+0-103-0</f>
        <v>1987.8000000000002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1541.2+(165.2-87.1)+(0+(0-0))+0-50.2-0</f>
        <v>1569.1</v>
      </c>
      <c r="G343" s="3">
        <f>1456.9+(228.5-83.7)+(-2.972076+(-0.46614--0.170748))+0-98.3--0.200531999999996</f>
        <v>1500.3330640000001</v>
      </c>
      <c r="H343" s="3">
        <f>1475.6+(175.3-82.3)+(0.752556+(0.089403-0.041973))+0-100.5-0.0512549999999898</f>
        <v>1468.8487309999998</v>
      </c>
      <c r="I343" s="3">
        <f>1457.7+(154.1-82.7)+(-2.230281+(-0.235773--0.126531))+0-90.2--0.138006000000005</f>
        <v>1436.6984829999999</v>
      </c>
      <c r="J343" s="3">
        <f>1478.3+(157.3-88.2)+(2.261799+(0.240669-0.134946))+0-97.5-0.149175000000006</f>
        <v>1452.1183469999999</v>
      </c>
      <c r="K343" s="3">
        <f>1520+(106-93.8)+(3.1008+(0.21624-0.191352))+0-81.4-0.166055999999996</f>
        <v>1453.759632</v>
      </c>
      <c r="L343" s="3">
        <f>1655.4+(79-100.4)+(0+(0-0))+0-95.5-0</f>
        <v>1538.5</v>
      </c>
      <c r="M343" s="3">
        <f>1654.5+(117.6-97.1)+(-0.843795+(-0.059976--0.049521))+0-74.9--0.0381989999999924</f>
        <v>1599.2839489999999</v>
      </c>
      <c r="N343" s="3">
        <f>1765+(128.4-93.7)+(-1.8003+(-0.130968--0.095574))+0-72.7--0.0741540000000116</f>
        <v>1725.2384599999998</v>
      </c>
      <c r="O343" s="3">
        <f>1910.8+(82-101.3)+(-1.949016+(-0.08364--0.103326))+0-27.2--0.0277440000000043</f>
        <v>1862.398414</v>
      </c>
      <c r="P343" s="3">
        <f>1922+(76.1-120.8)+(-4.9011+(-0.194055--0.30804))+0-29--0.0739499999999958</f>
        <v>1843.5868349999998</v>
      </c>
      <c r="Q343" s="3">
        <f>1977.4+(89.8-133)+(0+(0-0))+0-92.7-0</f>
        <v>1841.5</v>
      </c>
      <c r="R343" s="3">
        <f>2012.1+(104.3-198.6)+(-1.026171+(-0.053193--0.101286))+0-99.8--0.0508979999999899</f>
        <v>1817.0728199999999</v>
      </c>
      <c r="S343" s="3">
        <f>2029.5+(114.4-272.8)+(-2.07009+(-0.116688--0.278256))+0-76.7--0.0782340000000122</f>
        <v>1792.569712</v>
      </c>
      <c r="T343" s="3">
        <f>2015.6+(111.4-283.6)+(0+(0-0))+0-87-0</f>
        <v>1756.3999999999999</v>
      </c>
      <c r="U343" s="3">
        <f>2039.1+(112.4-311.9)+(-1.039941+(-0.057324--0.159069))+0-100.3--0.0511529999999898</f>
        <v>1738.4129569999998</v>
      </c>
      <c r="V343" s="3">
        <f>2058.7+(96.6-281.8)+(-3.149811+(-0.147798--0.431154))+0-92.6--0.141678000000005</f>
        <v>1778.1752229999997</v>
      </c>
      <c r="W343" s="3">
        <f>2073.8+(48.8-114.7)+(-2.115276+(-0.049776--0.116994))+0-89.8--0.0915960000000143</f>
        <v>1916.143538</v>
      </c>
      <c r="X343" s="3">
        <f>2108.7+(46-108.7)+(-3.226311+(-0.07038--0.166311))+0-83.4--0.127602000000005</f>
        <v>1959.5972219999996</v>
      </c>
      <c r="Y343" s="3">
        <f>2133.8+(37-131.5)+(-2.176476+(-0.03774--0.13413))+0-89.5--0.0912900000000143</f>
        <v>1947.8112040000003</v>
      </c>
      <c r="Z343" s="3">
        <f>2075.5+(71.2-153.1)+(0+(0-0))+0-85.9-0</f>
        <v>1907.6999999999998</v>
      </c>
      <c r="AA343" s="3">
        <f>2071.8+(99-252.1)+(-2.113236+(-0.10098--0.257142))+0-76--0.0775200000000121</f>
        <v>1840.8204460000004</v>
      </c>
      <c r="AB343" s="3">
        <f>2016.3+(105.7-279.3)+(-5.141565+(-0.269535--0.712215))+0-86.2--0.219809999999987</f>
        <v>1752.0209249999998</v>
      </c>
      <c r="AC343" s="3">
        <f>1895.5+(109-271.4)+(-1.93341+(-0.11118--0.276828))+0-105.1--0.107202000000017</f>
        <v>1626.33944</v>
      </c>
      <c r="AD343">
        <v>1955.8999999999999</v>
      </c>
      <c r="AE343" s="3">
        <f>2109+(52.4-105.8)+(0+(0-0))+0-99.7-0</f>
        <v>1955.8999999999999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1897.4+(125.3-412.1)+(-2.903022+(-0.191709--0.630513))+0-85.4--0.130662000000005</f>
        <v>1522.866444</v>
      </c>
      <c r="G344" s="3">
        <f>1898+(126-482)+(-0.96798+(-0.06426--0.24582))+0-86--0.0438599999999913</f>
        <v>1455.2574400000001</v>
      </c>
      <c r="H344" s="3">
        <f>1844.9+(120.8-454.2)+(1.881798+(0.123216-0.463284))+0-92.5-0.0943500000000148</f>
        <v>1420.4473799999998</v>
      </c>
      <c r="I344" s="3">
        <f>1797.3+(120-423.7)+(0+(0-0))+0-91-0</f>
        <v>1402.6</v>
      </c>
      <c r="J344" s="3">
        <f>1798.8+(105.7-428.7)+(-1.834776+(-0.107814--0.437274))+0-78.6--0.0801720000000125</f>
        <v>1395.774856</v>
      </c>
      <c r="K344" s="3">
        <f>1893.9+(58.7-449.1)+(-0.965889+(-0.029937--0.229041))+0-92.2--0.0470219999999906</f>
        <v>1410.5802369999999</v>
      </c>
      <c r="L344" s="3">
        <f>1873.9+(57-421)+(-4.778445+(-0.14535--1.07355))+0-87.9--0.224144999999987</f>
        <v>1418.3738999999998</v>
      </c>
      <c r="M344" s="3">
        <f>1935.5+(88.7-393)+(1.97421+(0.090474-0.40086))+0-95.6-0.0975120000000152</f>
        <v>1537.1663120000001</v>
      </c>
      <c r="N344" s="3">
        <f>2069.7+(118.2-438.1)+(3.166641+(0.180846-0.670293))+0-80-0.122400000000005</f>
        <v>1672.3547939999999</v>
      </c>
      <c r="O344" s="3">
        <f>2044.5+(126.3-347.7)+(-5.213475+(-0.322065--0.886635))+0-90.8--0.231539999999987</f>
        <v>1727.8826349999999</v>
      </c>
      <c r="P344" s="3">
        <f>2070.3+(144-375.4)+(2.111706+(0.14688-0.382908))+0-66-0.0673200000000105</f>
        <v>1774.7083580000001</v>
      </c>
      <c r="Q344" s="3">
        <f>2049.1+(142.9-345.4)+(-2.090082+(-0.145758--0.352308))+0-59.5--0.0606900000000095</f>
        <v>1785.2771579999999</v>
      </c>
      <c r="R344" s="3">
        <f>2061+(142.5-355.6)+(-1.05111+(-0.072675--0.181356))+0-88.9--0.045338999999991</f>
        <v>1758.1029100000001</v>
      </c>
      <c r="S344" s="3">
        <f>1998.3+(143.2-330.7)+(-2.038266+(-0.146064--0.337314))+0-86.4--0.0881280000000138</f>
        <v>1722.641112</v>
      </c>
      <c r="T344" s="3">
        <f>1993.5+(142.9-346.4)+(-1.016685+(-0.072879--0.176664))+0-82.1--0.0418709999999917</f>
        <v>1707.028971</v>
      </c>
      <c r="U344" s="3">
        <f>1982.2+(144.3-365)+(-4.043688+(-0.294372--0.7446))+0-71.1--0.145043999999997</f>
        <v>1686.9515840000001</v>
      </c>
      <c r="V344" s="3">
        <f>1901.4+(134.9-242.2)+(-0.969714+(-0.068799--0.123522))+0-91.2--0.0465119999999907</f>
        <v>1702.0315209999999</v>
      </c>
      <c r="W344" s="3">
        <f>2034.9+(82.2-195.9)+(-4.151196+(-0.167688--0.399636))+0-87.6--0.178703999999996</f>
        <v>1829.8594560000001</v>
      </c>
      <c r="X344" s="3">
        <f>2360.9+(30.5-356.1)+(-1.204059+(-0.015555--0.181611))+0-82.7--0.0421769999999916</f>
        <v>1951.6041740000003</v>
      </c>
      <c r="Y344" s="3">
        <f>2369.3+(35.7-385.1)+(-6.041715+(-0.091035--0.982005))+0-81.7--0.208334999999988</f>
        <v>1933.2575900000002</v>
      </c>
      <c r="Z344" s="3">
        <f>2388.2+(79.9-482.6)+(-3.653946+(-0.122247--0.738378))+0-75--0.114750000000004</f>
        <v>1907.5769349999998</v>
      </c>
      <c r="AA344" s="3">
        <f>2353.6+(121.8-567.2)+(-1.200336+(-0.062118--0.289272))+0-56.1--0.0286109999999943</f>
        <v>1851.1554289999999</v>
      </c>
      <c r="AB344" s="3">
        <f>2255.2+(134.6-517.2)+(-1.150152+(-0.068646--0.263772))+0-82.9--0.0422789999999916</f>
        <v>1788.7872529999997</v>
      </c>
      <c r="AC344" s="3">
        <f>2125.3+(143.6-490)+(0+(0-0))+0-99.8-0</f>
        <v>1679.1000000000001</v>
      </c>
      <c r="AD344">
        <v>1963.7999999999997</v>
      </c>
      <c r="AE344" s="3">
        <f>2397+(33.1-373.8)+(0+(0-0))+0-92.5-0</f>
        <v>1963.8000000000002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1796.3+(143.2-340.5)+(-4.580565+(-0.36516--0.868275))+0-72.3--0.18436499999999</f>
        <v>1522.8069150000001</v>
      </c>
      <c r="G345" s="3">
        <f>1745.3+(144-321.7)+(-2.670309+(-0.22032--0.492201))+0-93.6--0.143208000000005</f>
        <v>1471.74478</v>
      </c>
      <c r="H345" s="3">
        <f>1694.4+(143.3-318.5)+(-1.728288+(-0.146166--0.32487))+0-92.4--0.0942480000000147</f>
        <v>1425.344664</v>
      </c>
      <c r="I345" s="3">
        <f>1685.2+(143.5-323.7)+(-2.578356+(-0.219555--0.495261))+0-87.9--0.134487000000005</f>
        <v>1414.9318369999999</v>
      </c>
      <c r="J345" s="3">
        <f>1589.2+(142.9-233.4)+(1.620984+(0.145758-0.238068))+0-91.8-0.0936360000000146</f>
        <v>1408.3350379999999</v>
      </c>
      <c r="K345" s="3">
        <f>1651.6+(142.8-290.5)+(0.842316+(0.072828-0.148155))+0-90.9-0.0463589999999908</f>
        <v>1413.7206299999998</v>
      </c>
      <c r="L345" s="3">
        <f>1822.9+(142.9-487)+(0.929679+(0.072879-0.24837))+0-44.6-0.0227459999999955</f>
        <v>1434.9314420000003</v>
      </c>
      <c r="M345" s="3">
        <f>1914+(142.2-474.2)+(0.97614+(0.072522-0.241842))+0-28.2-0.0143819999999971</f>
        <v>1554.5924379999999</v>
      </c>
      <c r="N345" s="3">
        <f>2054.3+(142.4-500.1)+(2.095386+(0.145248-0.510102))+0-18.3-0.0186660000000029</f>
        <v>1680.0118660000003</v>
      </c>
      <c r="O345" s="3">
        <f>2156.7+(141.8-527.7)+(2.199834+(0.144636-0.538254))+0-12.8-0.013056000000002</f>
        <v>1759.7931599999997</v>
      </c>
      <c r="P345" s="3">
        <f>2195.8+(142.1-528.2)+(-3.359574+(-0.217413--0.808146))+0-12.8--0.0195840000000007</f>
        <v>1794.1507430000001</v>
      </c>
      <c r="Q345" s="3">
        <f>2176.3+(142.3-522.7)+(-2.219826+(-0.145146--0.533154))+0-11.5--0.0117300000000018</f>
        <v>1782.5799119999999</v>
      </c>
      <c r="R345" s="3">
        <f>2156.4+(142.3-516.8)+(-5.49882+(-0.362865--1.31784))+0-13.6--0.034679999999998</f>
        <v>1763.7908350000002</v>
      </c>
      <c r="S345" s="3">
        <f>2181.3+(142.8-554.1)+(2.224926+(0.145656-0.565182))+0-12.3-0.012546000000002</f>
        <v>1759.4928540000003</v>
      </c>
      <c r="T345" s="3">
        <f>2148.2+(139.7-571.8)+(-2.191164+(-0.142494--0.583236))+0-17--0.0173400000000027</f>
        <v>1697.3669179999999</v>
      </c>
      <c r="U345" s="3">
        <f>2118.7+(143.2-513.8)+(4.322148+(0.292128-1.048152))+0-31.6-0.0644639999999986</f>
        <v>1720.0016599999999</v>
      </c>
      <c r="V345" s="3">
        <f>2091.8+(102.1-394.6)+(-2.133636+(-0.104142--0.402492))+0-79.1--0.0806820000000126</f>
        <v>1718.4453960000003</v>
      </c>
      <c r="W345" s="3">
        <f>2180.7+(75.9-301.5)+(1.112157+(0.038709-0.153765))+0-78.5-0.040034999999992</f>
        <v>1877.5570659999998</v>
      </c>
      <c r="X345" s="3">
        <f>2357.5+(38.6-334.1)+(2.40465+(0.039372-0.340782))+0-76.1-0.0776220000000121</f>
        <v>1987.925618</v>
      </c>
      <c r="Y345" s="3">
        <f>2377.4+(52-372)+(1.212474+(0.02652-0.18972))+0-85.1-0.0434009999999914</f>
        <v>1973.3058730000002</v>
      </c>
      <c r="Z345" s="3">
        <f>2360.8+(97.3-443.5)+(-2.408016+(-0.099246--0.45237))+0-70.5--0.0719100000000112</f>
        <v>1942.1170180000001</v>
      </c>
      <c r="AA345" s="3">
        <f>2375.5+(133.8-532.6)+(-2.42301+(-0.136476--0.543252))+0-86.8--0.0885360000000138</f>
        <v>1887.9723020000001</v>
      </c>
      <c r="AB345" s="3">
        <f>2259.1+(145.5-521.2)+(-3.456423+(-0.222615--0.797436))+0-74.9--0.114597000000004</f>
        <v>1805.7329949999998</v>
      </c>
      <c r="AC345" s="3">
        <f>2060+(144.9-441.1)+(-3.1518+(-0.221697--0.674883))+0-64.7--0.0989910000000037</f>
        <v>1696.5003770000001</v>
      </c>
      <c r="AD345">
        <v>2008.3000000000002</v>
      </c>
      <c r="AE345" s="3">
        <f>2386+(39.5-327.2)+(0+(0-0))+0-90-0</f>
        <v>2008.3000000000002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1944.2+(145.5-480.7)+(0+(0-0))+0-25.6-0</f>
        <v>1583.4</v>
      </c>
      <c r="G346" s="3">
        <f>1826.7+(146.5-374.5)+(-3.726468+(-0.29886--0.76398))+0-94.3--0.192371999999996</f>
        <v>1501.3310240000001</v>
      </c>
      <c r="H346" s="3">
        <f>1741.9+(147.2-365.7)+(-2.665107+(-0.225216--0.559521))+0-55.2--0.0844560000000032</f>
        <v>1465.9536540000001</v>
      </c>
      <c r="I346" s="3">
        <f>1737.1+(146.8-328.6)+(-1.771842+(-0.149736--0.335172))+0-93.3--0.0951660000000149</f>
        <v>1460.5087600000002</v>
      </c>
      <c r="J346" s="3">
        <f>1716.8+(126.2-293.5)+(0.875568+(0.064362-0.149685))+0-96.2-0.0490619999999902</f>
        <v>1454.0411829999998</v>
      </c>
      <c r="K346" s="3">
        <f>1809.6+(74.2-341.6)+(0.922896+(0.037842-0.174216))+0-91.3-0.0465629999999907</f>
        <v>1451.6399590000001</v>
      </c>
      <c r="L346" s="3">
        <f>1939.4+(69.8-457.1)+(0.989094+(0.035598-0.233121))+0-90.6-0.0462059999999908</f>
        <v>1462.2453650000002</v>
      </c>
      <c r="M346" s="3">
        <f>2089.4+(87.7-501.3)+(0+(0-0))+0-89.4-0</f>
        <v>1586.4</v>
      </c>
      <c r="N346" s="3">
        <f>2016.6+(114.6-345.5)+(1.028466+(0.058446-0.176205))+0-88-0.0448799999999911</f>
        <v>1698.5658269999999</v>
      </c>
      <c r="O346" s="3">
        <f>1981.5+(120.2-267)+(0+(0-0))+0-86-0</f>
        <v>1748.7</v>
      </c>
      <c r="P346" s="3">
        <f>2016.4+(126.1-271.9)+(-4.113456+(-0.257244--0.554676))+0-78.2--0.159527999999997</f>
        <v>1788.743504</v>
      </c>
      <c r="Q346" s="3">
        <f>2051.7+(120.3-263.2)+(0+(0-0))+0-90.7-0</f>
        <v>1818.0999999999997</v>
      </c>
      <c r="R346" s="3">
        <f>2048.2+(132.7-311.2)+(-2.089164+(-0.135354--0.317424))+0-79--0.0805800000000126</f>
        <v>1788.873486</v>
      </c>
      <c r="S346" s="3">
        <f>2044.1+(138.8-319.7)+(-1.042491+(-0.070788--0.163047))+0-89.8--0.0457979999999909</f>
        <v>1772.4955660000001</v>
      </c>
      <c r="T346" s="3">
        <f>2016.5+(139.6-328.7)+(1.028415+(0.071196-0.167637))+0-77.7-0.0396269999999921</f>
        <v>1750.5923470000002</v>
      </c>
      <c r="U346" s="3">
        <f>1994.3+(124.6-274.8)+(-5.085465+(-0.31773--0.70074))+0-79.2--0.201959999999989</f>
        <v>1760.3995049999999</v>
      </c>
      <c r="V346" s="3">
        <f>2019.1+(123.7-296.7)+(0+(0-0))+0-82.5-0</f>
        <v>1763.6</v>
      </c>
      <c r="W346" s="3">
        <f>2087+(85.4-262.2)+(-4.25748+(-0.174216--0.534888))+0-27.9--0.0569159999999988</f>
        <v>1878.460108</v>
      </c>
      <c r="X346" s="3">
        <f>2311.3+(66.5-337.1)+(-2.357526+(-0.06783--0.343842))+0-29--0.0295800000000046</f>
        <v>2009.6480660000002</v>
      </c>
      <c r="Y346" s="3">
        <f>2298.2+(66.3-350.6)+(-7.032492+(-0.202878--1.072836))+0-31--0.0948600000000036</f>
        <v>1976.8323259999997</v>
      </c>
      <c r="Z346" s="3">
        <f>2315.3+(86.5-410.9)+(-3.542409+(-0.132345--0.628677))+0-43--0.0657900000000025</f>
        <v>1944.9197130000002</v>
      </c>
      <c r="AA346" s="3">
        <f>2324.7+(141.1-482.7)+(-2.371194+(-0.143922--0.492354))+0-87--0.0887400000000139</f>
        <v>1894.1659779999998</v>
      </c>
      <c r="AB346" s="3">
        <f>2228.4+(144.8-473.6)+(-3.409452+(-0.221544--0.724608))+0-73.6--0.112608000000004</f>
        <v>1823.20622</v>
      </c>
      <c r="AC346" s="3">
        <f>2108.8+(144.9-448.1)+(-5.37744+(-0.369495--1.142655))+0-82.3--0.209864999999988</f>
        <v>1718.9055850000002</v>
      </c>
      <c r="AD346">
        <v>2035.3</v>
      </c>
      <c r="AE346" s="3">
        <f>2342+(64.7-345.2)+(0+(0-0))+0-26.2-0</f>
        <v>2035.3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2009.2+(144.2-457.6)+(-4.098768+(-0.294168--0.933504))+0-72--0.146879999999997</f>
        <v>1620.4874479999999</v>
      </c>
      <c r="G347" s="3">
        <f>1769.7+(144.6-287.6)+(2.707641+(0.221238-0.440028))+0-91.3-0.139689000000005</f>
        <v>1537.7491620000001</v>
      </c>
      <c r="H347" s="3">
        <f>1677.1+(145.6-232.8)+(-4.276605+(-0.37128--0.59364))+0-90.2--0.230009999999987</f>
        <v>1495.8757649999998</v>
      </c>
      <c r="I347" s="3">
        <f>1674.1+(144.9-308.5)+(1.707582+(0.147798-0.31467))+0-37-0.0377400000000059</f>
        <v>1475.00297</v>
      </c>
      <c r="J347" s="3">
        <f>1594.9+(144.6-222.8)+(-3.253596+(-0.294984--0.454512))+0-41.2--0.0840479999999982</f>
        <v>1472.4899799999998</v>
      </c>
      <c r="K347" s="3">
        <f>1665+(145-262.2)+(-1.6983+(-0.1479--0.267444))+0-86.5--0.0882300000000138</f>
        <v>1459.8094739999999</v>
      </c>
      <c r="L347" s="3">
        <f>1907.6+(144.7-504)+(-3.891504+(-0.295188--1.02816))+0-64.7--0.131987999999997</f>
        <v>1480.5734560000001</v>
      </c>
      <c r="M347" s="3">
        <f>1979.7+(143.4-419.3)+(6.057882+(0.438804-1.283058))+0-89-0.27234000000001</f>
        <v>1619.7412880000002</v>
      </c>
      <c r="N347" s="3">
        <f>1993.9+(143.2-289.3)+(4.067556+(0.292128-0.590172))+0-99.4-0.202775999999996</f>
        <v>1751.9667360000001</v>
      </c>
      <c r="O347" s="3">
        <f>2055.2+(144.8-284.8)+(-1.048152+(-0.073848--0.145248))+0-83.9--0.0427889999999915</f>
        <v>1830.3660369999998</v>
      </c>
      <c r="P347" s="3">
        <f>2101.3+(144.7-265.2)+(2.143326+(0.147594-0.270504))+0-94.7-0.0965940000000151</f>
        <v>1888.0238220000001</v>
      </c>
      <c r="Q347" s="3">
        <f>2082.5+(143.9-257.4)+(0+(0-0))+0-86.1-0</f>
        <v>1882.9</v>
      </c>
      <c r="R347" s="3">
        <f>2043.6+(144.1-300.8)+(-6.253416+(-0.440946--0.920448))+0-40.4--0.123624000000005</f>
        <v>1840.8497099999997</v>
      </c>
      <c r="S347" s="3">
        <f>2068.5+(143.9-306.1)+(-6.32961+(-0.440334--0.936666))+0-98.9--0.302634000000011</f>
        <v>1801.8693559999997</v>
      </c>
      <c r="T347" s="3">
        <f>2065.6+(144.7-375.4)+(4.213824+(0.295188-0.765816))+0-91-0.185639999999996</f>
        <v>1747.4575559999998</v>
      </c>
      <c r="U347" s="3">
        <f>1925.2+(146.2-282.9)+(0.981852+(0.074562-0.144279))+0-75.7-0.0386069999999923</f>
        <v>1713.673528</v>
      </c>
      <c r="V347" s="3">
        <f>1901.7+(140.1-235.2)+(-0.969867+(-0.071451--0.119952))+0-67.7--0.0345269999999931</f>
        <v>1738.0131610000001</v>
      </c>
      <c r="W347" s="3">
        <f>1982+(104.5-166.4)+(-2.02164+(-0.10659--0.169728))+0-88.5--0.0902700000000141</f>
        <v>1829.7317679999999</v>
      </c>
      <c r="X347" s="3">
        <f>2089.7+(85.7-126.4)+(-1.065747+(-0.043707--0.064464))+0-93.7--0.0477869999999905</f>
        <v>1954.3027969999998</v>
      </c>
      <c r="Y347" s="3">
        <f>2090.3+(89-163.7)+(-3.198159+(-0.13617--0.250461))+0-79.5--0.121635000000005</f>
        <v>1933.1377670000002</v>
      </c>
      <c r="Z347" s="3">
        <f>2085.4+(114.3-195.1)+(-4.254216+(-0.233172--0.398004))+0-98.3--0.200531999999996</f>
        <v>1902.4111480000001</v>
      </c>
      <c r="AA347" s="3">
        <f>2107.5+(146.9-323.1)+(0+(0-0))+0-86.2-0</f>
        <v>1845.1</v>
      </c>
      <c r="AB347" s="3">
        <f>2076.3+(146.4-323.1)+(-5.294565+(-0.37332--0.823905))+0-94.5--0.240974999999986</f>
        <v>1800.496995</v>
      </c>
      <c r="AC347" s="3">
        <f>2051.2+(146-380.6)+(0+(0-0))+0-86.4-0</f>
        <v>1730.1999999999998</v>
      </c>
      <c r="AD347">
        <v>1976.8000000000002</v>
      </c>
      <c r="AE347" s="3">
        <f>2087+(102-99.6)+(0+(0-0))+0-112.6-0</f>
        <v>1976.8000000000002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1815.3+(146.5-249.5)+(-3.703212+(-0.29886--0.50898))+0-93.3--0.190331999999996</f>
        <v>1615.69724</v>
      </c>
      <c r="G348" s="3">
        <f>1634.3+(133.7-180.1)+(0+(0-0))+0-60.6-0</f>
        <v>1527.3</v>
      </c>
      <c r="H348" s="3">
        <f>1555.4+(141.2-152.3)+(0.793254+(0.072012-0.077673))+0-61.6-0.0314159999999938</f>
        <v>1483.4561770000003</v>
      </c>
      <c r="I348" s="3">
        <f>1506.3+(146.4-97.5)+(-1.536426+(-0.149328--0.09945))+0-95.7--0.0976140000000153</f>
        <v>1458.0113100000001</v>
      </c>
      <c r="J348" s="3">
        <f>1365.4+(250-78)+(-3.48177+(-0.6375--0.1989))+0-93.9--0.239444999999986</f>
        <v>1439.8190749999999</v>
      </c>
      <c r="K348" s="3">
        <f>1359.1+(237.2-93.8)+(1.386282+(0.241944-0.095676))+0-85.9-0.0876180000000137</f>
        <v>1418.0449319999998</v>
      </c>
      <c r="L348" s="3">
        <f>1401.9+(153-113.6)+(0.714969+(0.07803-0.057936))+0-94.9-0.0483989999999904</f>
        <v>1347.0866640000002</v>
      </c>
      <c r="M348" s="3">
        <f>1460.8+(158.7-107.3)+(0+(0-0))+0-90-0</f>
        <v>1422.2</v>
      </c>
      <c r="N348" s="3">
        <f>1570+(144.3-145.9)+(0.8007+(0.073593-0.074409))+0-88-0.0448799999999911</f>
        <v>1481.1550040000002</v>
      </c>
      <c r="O348" s="3">
        <f>1690.5+(144.9-223.1)+(1.72431+(0.147798-0.227562))+0-86.5-0.0882300000000138</f>
        <v>1527.3563159999999</v>
      </c>
      <c r="P348" s="3">
        <f>1798+(142.9-263.4)+(-0.91698+(-0.072879--0.134334))+0-95.8--0.0488579999999903</f>
        <v>1580.893333</v>
      </c>
      <c r="Q348" s="3">
        <f>1789.6+(143-256.3)+(-0.912696+(-0.07293--0.130713))+0-94.5--0.0481949999999904</f>
        <v>1580.9932820000001</v>
      </c>
      <c r="R348" s="3">
        <f>1797.7+(143.1-254.9)+(0+(0-0))+0-101.5-0</f>
        <v>1584.4</v>
      </c>
      <c r="S348" s="3">
        <f>1758.3+(143-251.9)+(0+(0-0))+0-93.4-0</f>
        <v>1555.9999999999998</v>
      </c>
      <c r="T348" s="3">
        <f>1696.1+(143.2-236.4)+(0+(0-0))+0-89.2-0</f>
        <v>1513.6999999999998</v>
      </c>
      <c r="U348" s="3">
        <f>1613.9+(143.8-174.4)+(0+(0-0))+0-86.1-0</f>
        <v>1497.2000000000003</v>
      </c>
      <c r="V348" s="3">
        <f>1580.6+(143.8-150.2)+(0+(0-0))+0-64.1-0</f>
        <v>1510.1</v>
      </c>
      <c r="W348" s="3">
        <f>1677.3+(167-96.2)+(0+(0-0))+0-94.8-0</f>
        <v>1653.3</v>
      </c>
      <c r="X348" s="3">
        <f>1861+(154.6-100.6)+(0+(0-0))+0-88.5-0</f>
        <v>1826.5</v>
      </c>
      <c r="Y348" s="3">
        <f>1852.1+(180.9-100.2)+(0+(0-0))+0-89.3-0</f>
        <v>1843.5</v>
      </c>
      <c r="Z348" s="3">
        <f>1774.6+(257.9-96.7)+(0+(0-0))+0-95.3-0</f>
        <v>1840.5</v>
      </c>
      <c r="AA348" s="3">
        <f>1778.6+(191.8-80.8)+(0+(0-0))+0-89.8-0</f>
        <v>1799.8</v>
      </c>
      <c r="AB348" s="3">
        <f>1774.2+(145-128.6)+(0+(0-0))+0-33.2-0</f>
        <v>1757.4</v>
      </c>
      <c r="AC348" s="3">
        <f>1793.6+(146-188.8)+(0+(0-0))+0-73.9-0</f>
        <v>1676.8999999999999</v>
      </c>
      <c r="AD348">
        <v>1851.1</v>
      </c>
      <c r="AE348" s="3">
        <f>1879+(175.2-101.3)+(0+(0-0))+0-101.8-0</f>
        <v>1851.1000000000001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1758.7+(146.1-236.5)+(0+(0-0))+0-97.7-0</f>
        <v>1570.6</v>
      </c>
      <c r="G349" s="3">
        <f>1673.5+(145.5-232.9)+(0+(0-0))+0-95.5-0</f>
        <v>1490.6</v>
      </c>
      <c r="H349" s="3">
        <f>1613.2+(144.6-231.9)+(0+(0-0))+0-77.1-0</f>
        <v>1448.8000000000002</v>
      </c>
      <c r="I349" s="3">
        <f>1530.1+(145.3-146.7)+(0+(0-0))+0-95.4-0</f>
        <v>1433.2999999999997</v>
      </c>
      <c r="J349" s="3">
        <f>1562.5+(145-185.4)+(0+(0-0))+0-80-0</f>
        <v>1442.1</v>
      </c>
      <c r="K349" s="3">
        <f>1617.1+(145.1-219.7)+(0+(0-0))+0-92.8-0</f>
        <v>1449.7</v>
      </c>
      <c r="L349" s="3">
        <f>1680.9+(146.5-269.3)+(4.286295+(0.373575-0.686715))+0-90.1-0.229754999999987</f>
        <v>1471.7434000000001</v>
      </c>
      <c r="M349" s="3">
        <f>1999.7+(146.4-473.2)+(4.079388+(0.298656-0.965328))+0-74.2-0.151367999999997</f>
        <v>1601.961348</v>
      </c>
      <c r="N349" s="3">
        <f>2104.1+(146.6-434.6)+(0+(0-0))+0-89.5-0</f>
        <v>1726.6</v>
      </c>
      <c r="O349" s="3">
        <f>2123+(146.8-368.6)+(1.08273+(0.074868-0.187986))+0-89.4-0.0455939999999909</f>
        <v>1812.7240180000001</v>
      </c>
      <c r="P349" s="3">
        <f>2133.2+(146.2-315)+(1.087932+(0.074562-0.16065))+0-92.6-0.0472259999999906</f>
        <v>1872.7546179999999</v>
      </c>
      <c r="Q349" s="3">
        <f>2106.1+(145.4-294.4)+(-3.222333+(-0.222462--0.450432))+0-91.9--0.140607000000005</f>
        <v>1862.3462439999998</v>
      </c>
      <c r="R349" s="3">
        <f>2065.9+(143-280.2)+(0+(0-0))+0-83.6-0</f>
        <v>1845.1000000000001</v>
      </c>
      <c r="S349" s="3">
        <f>2032.2+(142.7-256.5)+(-2.072844+(-0.145554--0.26163))+0-95.7--0.0976140000000153</f>
        <v>1820.8408460000001</v>
      </c>
      <c r="T349" s="3">
        <f>2073.9+(143.1-315.3)+(0+(0-0))+0-86.3-0</f>
        <v>1815.4</v>
      </c>
      <c r="U349" s="3">
        <f>2105.2+(141.9-380.1)+(-3.220956+(-0.217107--0.581553))+0-74--0.113220000000004</f>
        <v>1790.2567099999997</v>
      </c>
      <c r="V349" s="3">
        <f>2128.5+(132.3-345.2)+(1.085535+(0.067473-0.176052))+0-73.5-0.0374849999999925</f>
        <v>1843.0394709999998</v>
      </c>
      <c r="W349" s="3">
        <f>2188.3+(117-232.9)+(-2.232066+(-0.11934--0.237558))+0-86.3--0.0880260000000138</f>
        <v>1984.0741780000003</v>
      </c>
      <c r="X349" s="3">
        <f>2292.6+(109.4-243.7)+(0+(0-0))+0-99.2-0</f>
        <v>2059.1</v>
      </c>
      <c r="Y349" s="3">
        <f>2281.3+(132.9-286.7)+(-3.490389+(-0.203337--0.438651))+0-94.2--0.144126000000005</f>
        <v>2030.1890509999998</v>
      </c>
      <c r="Z349" s="3">
        <f>2085.6+(145-154.2)+(-3.190968+(-0.22185--0.235926))+0-83--0.126990000000005</f>
        <v>1990.3500980000001</v>
      </c>
      <c r="AA349" s="3">
        <f>1992.6+(145.6-132.3)+(-1.016226+(-0.074256--0.067473))+0-96.4--0.0491639999999902</f>
        <v>1908.5261549999998</v>
      </c>
      <c r="AB349" s="3">
        <f>1981.7+(145.8-208.4)+(-4.042668+(-0.297432--0.425136))+0-93--0.189719999999996</f>
        <v>1822.3747560000002</v>
      </c>
      <c r="AC349" s="3">
        <f>1974.7+(145.9-293.1)+(-5.035485+(-0.372045--0.747405))+0-97.3--0.248114999999986</f>
        <v>1725.78799</v>
      </c>
      <c r="AD349">
        <v>2071.9000000000005</v>
      </c>
      <c r="AE349" s="3">
        <f>2340+(134.3-293.7)+(0+(0-0))+0-108.7-0</f>
        <v>2071.9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1888.4+(146.1-316.9)+(-4.81542+(-0.372555--0.808095))+0-98.9--0.252194999999986</f>
        <v>1614.5723150000001</v>
      </c>
      <c r="G350" s="3">
        <f>1838.9+(146.9-351.5)+(-4.689195+(-0.374595--0.896325))+0-77.5--0.197624999999989</f>
        <v>1552.8301600000002</v>
      </c>
      <c r="H350" s="3">
        <f>1822.8+(145.8-351.8)+(-4.64814+(-0.37179--0.89709))+0-84.4--0.215219999999988</f>
        <v>1528.4923799999999</v>
      </c>
      <c r="I350" s="3">
        <f>1662.2+(144.6-197)+(-0.847722+(-0.073746--0.10047))+0-95.9--0.0489089999999903</f>
        <v>1513.127911</v>
      </c>
      <c r="J350" s="3">
        <f>1721.3+(143.8-250)+(-4.389315+(-0.36669--0.6375))+0-92.5--0.235874999999987</f>
        <v>1518.7173700000001</v>
      </c>
      <c r="K350" s="3">
        <f>1850.5+(143.4-377.3)+(0.943755+(0.073134-0.192423))+0-93.9-0.0478889999999905</f>
        <v>1523.4765769999999</v>
      </c>
      <c r="L350" s="3">
        <f>1907.1+(143.5-421.3)+(-2.917863+(-0.219555--0.644589))+0-88.4--0.135252000000005</f>
        <v>1538.5424229999999</v>
      </c>
      <c r="M350" s="3">
        <f>2010.5+(142.2-394.7)+(-2.05071+(-0.145044--0.402594))+0-84.2--0.0858840000000134</f>
        <v>1672.0927240000001</v>
      </c>
      <c r="N350" s="3">
        <f>2211.8+(142.3-505.9)+(1.128018+(0.072573-0.258009))+0-56.5-0.0288149999999943</f>
        <v>1792.6137670000003</v>
      </c>
      <c r="O350" s="3">
        <f>2301.2+(141.5-489.2)+(2.347224+(0.14433-0.498984))+0-70.3-0.0717060000000112</f>
        <v>1885.1208639999998</v>
      </c>
      <c r="P350" s="3">
        <f>2287.8+(140.3-435.2)+(-1.166778+(-0.071553--0.221952))+0-89.4--0.0455939999999909</f>
        <v>1902.529215</v>
      </c>
      <c r="Q350" s="3">
        <f>2282.2+(144.5-444.6)+(-2.327844+(-0.14739--0.453492))+0-67.9--0.0692580000000108</f>
        <v>1912.2475159999999</v>
      </c>
      <c r="R350" s="3">
        <f>2329.8+(145.4-485.2)+(-1.188198+(-0.074154--0.247452))+0-83.8--0.0427379999999915</f>
        <v>1905.2278380000005</v>
      </c>
      <c r="S350" s="3">
        <f>2375+(145.5-541.6)+(2.4225+(0.14841-0.552432))+0-94.7-0.0965940000000151</f>
        <v>1886.1218839999999</v>
      </c>
      <c r="T350" s="3">
        <f>2276.6+(145.1-519.4)+(1.161066+(0.074001-0.264894))+0-47.3-0.0241229999999952</f>
        <v>1855.94605</v>
      </c>
      <c r="U350" s="3">
        <f>2241.3+(146.4-480.8)+(1.143063+(0.074664-0.245208))+0-68.1-0.0347309999999931</f>
        <v>1839.7377880000001</v>
      </c>
      <c r="V350" s="3">
        <f>2271.4+(134.8-506.8)+(-1.158414+(-0.068748--0.258468))+0-32.8--0.0167279999999967</f>
        <v>1865.6480340000003</v>
      </c>
      <c r="W350" s="3">
        <f>2337.5+(82-326.9)+(3.576375+(0.12546-0.500157))+0-97-0.148410000000006</f>
        <v>1998.6532679999998</v>
      </c>
      <c r="X350" s="3">
        <f>2504.8+(29.8-344.1)+(0+(0-0))+0-89.1-0</f>
        <v>2101.4</v>
      </c>
      <c r="Y350" s="3">
        <f>2513.5+(27.9-359.1)+(-3.845655+(-0.042687--0.549423))+0-90.8--0.138924000000005</f>
        <v>2088.3000050000001</v>
      </c>
      <c r="Z350" s="3">
        <f>2450.8+(54.3-376.5)+(-2.499816+(-0.055386--0.38403))+0-77.9--0.0794580000000124</f>
        <v>2048.6082860000006</v>
      </c>
      <c r="AA350" s="3">
        <f>2349.8+(99.3-375.6)+(-5.99199+(-0.253215--0.95778))+0-90.7--0.231284999999987</f>
        <v>1977.74386</v>
      </c>
      <c r="AB350" s="3">
        <f>2254.7+(144-396.4)+(-3.449691+(-0.22032--0.606492))+0-90.7--0.138771000000005</f>
        <v>1908.6752519999995</v>
      </c>
      <c r="AC350" s="3">
        <f>2121.1+(144.6-391.7)+(-4.327044+(-0.294984--0.799068))+0-83.1--0.169523999999996</f>
        <v>1787.246564</v>
      </c>
      <c r="AD350">
        <v>2126.3000000000002</v>
      </c>
      <c r="AE350" s="3">
        <f>2537+(20.1-331.1)+(0+(0-0))+0-99.7-0</f>
        <v>2126.3000000000002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2076.2+(144.8-459.9)+(1.058862+(0.073848-0.234549))+0-82.5-0.0420749999999916</f>
        <v>1679.4560859999999</v>
      </c>
      <c r="G351" s="3">
        <f>1940.2+(145.8-392.8)+(-1.979004+(-0.148716--0.400656))+0-78.2--0.0797640000000125</f>
        <v>1613.3527000000001</v>
      </c>
      <c r="H351" s="3">
        <f>1880.2+(146.1-366.6)+(-0.958902+(-0.074511--0.186966))+0-78.1--0.0398309999999921</f>
        <v>1580.7933840000003</v>
      </c>
      <c r="I351" s="3">
        <f>1881.4+(145.7-357.7)+(0.959514+(0.074307-0.182427))+0-89.4-0.0455939999999909</f>
        <v>1580.8058000000001</v>
      </c>
      <c r="J351" s="3">
        <f>1868+(139.2-380)+(-1.90536+(-0.141984--0.3876))+0-40--0.0408000000000064</f>
        <v>1585.581056</v>
      </c>
      <c r="K351" s="3">
        <f>1955.7+(82.7-388.3)+(0+(0-0))+0-76.2-0</f>
        <v>1573.8999999999999</v>
      </c>
      <c r="L351" s="3">
        <f>2070.6+(78.5-469.4)+(-2.112012+(-0.08007--0.478788))+0-82.9--0.0845580000000132</f>
        <v>1595.1712639999998</v>
      </c>
      <c r="M351" s="3">
        <f>2024.6+(95.1-370.6)+(1.032546+(0.048501-0.189006))+0-29.8-0.015197999999997</f>
        <v>1720.176843</v>
      </c>
      <c r="N351" s="3">
        <f>2255.8+(75-449.3)+(2.300916+(0.0765-0.458286))+0-49.8-0.0507960000000079</f>
        <v>1833.5683340000003</v>
      </c>
      <c r="O351" s="3">
        <f>2290.8+(58.7-357.5)+(1.168308+(0.029937-0.182325))+0-84.1-0.0428909999999915</f>
        <v>1908.8730290000003</v>
      </c>
      <c r="P351" s="3">
        <f>2273.3+(60.7-316.6)+(-3.478149+(-0.092871--0.484398))+0-84.7--0.129591000000005</f>
        <v>1929.7429690000001</v>
      </c>
      <c r="Q351" s="3">
        <f>2251.2+(87.2-307.8)+(-4.592448+(-0.177888--0.627912))+0-89.7--0.182987999999996</f>
        <v>1936.940564</v>
      </c>
      <c r="R351" s="3">
        <f>2253.1+(104.5-414.7)+(-3.447243+(-0.159885--0.634491))+0-24.2--0.0370260000000014</f>
        <v>1915.7643889999997</v>
      </c>
      <c r="S351" s="3">
        <f>2250.8+(114.6-371.8)+(-5.73954+(-0.29223--0.94809))+0-80.9--0.206294999999988</f>
        <v>1907.822615</v>
      </c>
      <c r="T351" s="3">
        <f>2282.8+(120.3-400.5)+(1.164228+(0.061353-0.204255))+0-87.2-0.0444719999999912</f>
        <v>1916.3768540000001</v>
      </c>
      <c r="U351" s="3">
        <f>2271.6+(109.7-420.1)+(-4.634064+(-0.223788--0.857004))+0-69.6--0.141983999999997</f>
        <v>1887.7411360000001</v>
      </c>
      <c r="V351" s="3">
        <f>2302.9+(88-416.8)+(0+(0-0))+0-67.1-0</f>
        <v>1907.0000000000002</v>
      </c>
      <c r="W351" s="3">
        <f>2360.2+(69-305.6)+(1.203702+(0.03519-0.155856))+0-86.7-0.0442169999999912</f>
        <v>2037.938819</v>
      </c>
      <c r="X351" s="3">
        <f>2506.3+(64.2-347.2)+(2.556426+(0.065484-0.354144))+0-79.9-0.0814980000000127</f>
        <v>2145.586268</v>
      </c>
      <c r="Y351" s="3">
        <f>2498.5+(73.1-378.7)+(0+(0-0))+0-86.5-0</f>
        <v>2106.4</v>
      </c>
      <c r="Z351" s="3">
        <f>2492.8+(129.2-460)+(1.271328+(0.065892-0.2346))+0-89.6-0.0456959999999909</f>
        <v>2073.4569240000001</v>
      </c>
      <c r="AA351" s="3">
        <f>2418.2+(143.3-472.2)+(-2.466564+(-0.146166--0.481644))+0-86.4--0.0881280000000138</f>
        <v>2000.8570419999999</v>
      </c>
      <c r="AB351" s="3">
        <f>2332.1+(143.5-472.4)+(-1.189371+(-0.073185--0.240924))+0-87.6--0.0446759999999911</f>
        <v>1914.6230439999999</v>
      </c>
      <c r="AC351" s="3">
        <f>2124.5+(144.4-388.3)+(-4.33398+(-0.294576--0.792132))+0-77.1--0.157283999999997</f>
        <v>1799.8208599999998</v>
      </c>
      <c r="AD351">
        <v>2108.6999999999998</v>
      </c>
      <c r="AE351" s="3">
        <f>2495+(60.6-337.1)+(0+(0-0))+0-109.8-0</f>
        <v>2108.6999999999998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1908.4+(144.6-295.2)+(-0.973284+(-0.073746--0.150552))+0-69.1--0.035240999999993</f>
        <v>1687.8387630000004</v>
      </c>
      <c r="G352" s="3">
        <f>1845.4+(144.8-302.7)+(0+(0-0))+0-76.3-0</f>
        <v>1611.2</v>
      </c>
      <c r="H352" s="3">
        <f>1828.7+(145-311.5)+(-0.932637+(-0.07395--0.158865))+0-90.9--0.0463589999999908</f>
        <v>1570.4986369999999</v>
      </c>
      <c r="I352" s="3">
        <f>1832+(145.1-343.5)+(0+(0-0))+0-87.9-0</f>
        <v>1545.6999999999998</v>
      </c>
      <c r="J352" s="3">
        <f>1834.5+(145-344.9)+(1.87119+(0.1479-0.351798))+0-81.1-0.0827220000000129</f>
        <v>1555.08457</v>
      </c>
      <c r="K352" s="3">
        <f>1843.7+(144.6-345.2)+(-0.940287+(-0.073746--0.176052))+0-92.9--0.0473789999999906</f>
        <v>1549.4093980000002</v>
      </c>
      <c r="L352" s="3">
        <f>1943+(144.3-467.1)+(-0.99093+(-0.073593--0.238221))+0-49.8--0.0253979999999949</f>
        <v>1569.5990960000001</v>
      </c>
      <c r="M352" s="3">
        <f>2108.9+(145-537.7)+(2.151078+(0.1479-0.548454))+0-19-0.019380000000003</f>
        <v>1698.9311440000001</v>
      </c>
      <c r="N352" s="3">
        <f>2253.5+(144.3-545.8)+(2.29857+(0.147186-0.556716))+0-20.8-0.0212160000000033</f>
        <v>1833.067824</v>
      </c>
      <c r="O352" s="3">
        <f>2396+(143.9-610.3)+(2.44392+(0.146778-0.622506))+0-20-0.0204000000000032</f>
        <v>1911.5477919999998</v>
      </c>
      <c r="P352" s="3">
        <f>2438.1+(128.9-601.4)+(3.730293+(0.197217-0.920142))+0-19.9-0.0304470000000011</f>
        <v>1948.6769209999998</v>
      </c>
      <c r="Q352" s="3">
        <f>2260+(142-409.9)+(-3.4578+(-0.21726--0.627147))+0-19.7--0.0301410000000011</f>
        <v>1969.3822279999997</v>
      </c>
      <c r="R352" s="3">
        <f>2094.1+(144.5-306.3)+(-4.271964+(-0.29478--0.624852))+0-20.1--0.0410039999999991</f>
        <v>1908.2991119999999</v>
      </c>
      <c r="S352" s="3">
        <f>2002.8+(144-238.8)+(-5.10714+(-0.3672--0.60894))+0-17.8--0.0453899999999974</f>
        <v>1885.3799900000001</v>
      </c>
      <c r="T352" s="3">
        <f>2068.1+(143.9-321.8)+(3.164193+(0.220167-0.492354))+0-18.6-0.0284580000000011</f>
        <v>1874.4635479999999</v>
      </c>
      <c r="U352" s="3">
        <f>2027+(143.3-286.7)+(3.10131+(0.219249-0.438651))+0-31.7-0.0485010000000018</f>
        <v>1854.7334069999999</v>
      </c>
      <c r="V352" s="3">
        <f>2087.4+(143.8-308.1)+(-1.064574+(-0.073338--0.157131))+0-48.7--0.0248369999999951</f>
        <v>1873.444056</v>
      </c>
      <c r="W352" s="3">
        <f>2112.8+(108-226.3)+(-1.077528+(-0.05508--0.115413))+0-83.9--0.0427889999999915</f>
        <v>1909.6255940000003</v>
      </c>
      <c r="X352" s="3">
        <f>2355.1+(39.9-250.3)+(0+(0-0))+0-86.1-0</f>
        <v>2058.6</v>
      </c>
      <c r="Y352" s="3">
        <f>2434.6+(30.1-244.3)+(-3.724938+(-0.046053--0.373779))+0-85.8--0.131274000000005</f>
        <v>2131.3340619999999</v>
      </c>
      <c r="Z352" s="3">
        <f>2383.3+(64.6-256.9)+(-2.430966+(-0.065892--0.262038))+0-94.6--0.0964920000000151</f>
        <v>2094.2616720000001</v>
      </c>
      <c r="AA352" s="3">
        <f>2296.3+(113.5-331)+(-2.342226+(-0.11577--0.33762))+0-60.3--0.0615060000000096</f>
        <v>2016.4411300000004</v>
      </c>
      <c r="AB352" s="3">
        <f>2236.2+(119.3-343.7)+(-4.561848+(-0.243372--0.701148))+0-75.7--0.154427999999997</f>
        <v>1932.1503559999996</v>
      </c>
      <c r="AC352" s="3">
        <f>2103.8+(122.9-341.2)+(-3.218814+(-0.188037--0.522036))+0-77.2--0.118116000000004</f>
        <v>1805.5333010000004</v>
      </c>
      <c r="AD352">
        <v>2136.8000000000002</v>
      </c>
      <c r="AE352" s="3">
        <f>2463+(33.3-250.5)+(0+(0-0))+0-109-0</f>
        <v>2136.8000000000002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1880.5+(127.6-237.5)+(-6.713385+(-0.455532--0.847875))+0-79.1--0.282387000000001</f>
        <v>1685.4613449999999</v>
      </c>
      <c r="G353" s="3">
        <f>1835.8+(144.8-279.4)+(-1.872516+(-0.147696--0.284988))+0-82.2--0.0838440000000131</f>
        <v>1617.34862</v>
      </c>
      <c r="H353" s="3">
        <f>1987.5+(144.7-475.6)+(-4.0545+(-0.295188--0.970224))+0-65.4--0.133415999999997</f>
        <v>1587.9539519999996</v>
      </c>
      <c r="I353" s="3">
        <f>1911.3+(144.9-390)+(0.974763+(0.073899-0.1989))+0-88.3-0.045032999999991</f>
        <v>1578.704729</v>
      </c>
      <c r="J353" s="3">
        <f>1904+(143.6-373.8)+(0+(0-0))+0-78.5-0</f>
        <v>1595.3</v>
      </c>
      <c r="K353" s="3">
        <f>1963.6+(89.7-383.1)+(-2.002872+(-0.091494--0.390762))+0-87.3--0.0890460000000139</f>
        <v>1581.2854419999999</v>
      </c>
      <c r="L353" s="3">
        <f>2017+(97.1-424)+(1.02867+(0.049521-0.21624))+0-87.7-0.0447269999999911</f>
        <v>1603.217224</v>
      </c>
      <c r="M353" s="3">
        <f>2196.8+(105.8-509)+(2.240736+(0.107916-0.51918))+0-60.6-0.0618120000000097</f>
        <v>1734.7676600000002</v>
      </c>
      <c r="N353" s="3">
        <f>2271.6+(139.5-470.9)+(2.317032+(0.14229-0.480318))+0-72.1-0.0735420000000115</f>
        <v>1870.0054619999999</v>
      </c>
      <c r="O353" s="3">
        <f>2265.3+(143.7-383.9)+(0+(0-0))+0-97-0</f>
        <v>1928.1000000000001</v>
      </c>
      <c r="P353" s="3">
        <f>2272+(142.7-383.1)+(-2.31744+(-0.145554--0.390762))+0-74.1--0.0755820000000118</f>
        <v>1955.50335</v>
      </c>
      <c r="Q353" s="3">
        <f>2283.8+(143.9-401.7)+(-5.82369+(-0.366945--1.024335))+0-48.8--0.124439999999993</f>
        <v>1972.1581400000002</v>
      </c>
      <c r="R353" s="3">
        <f>2254.6+(143.5-434.5)+(-3.449538+(-0.219555--0.664785))+0-18.4--0.0281520000000011</f>
        <v>1942.2238439999999</v>
      </c>
      <c r="S353" s="3">
        <f>2212.1+(143.6-409.6)+(-4.512684+(-0.292944--0.835584))+0-21.1--0.0430439999999991</f>
        <v>1921.0730000000001</v>
      </c>
      <c r="T353" s="3">
        <f>2254.1+(144.1-419.8)+(-1.149591+(-0.073491--0.214098))+0-75--0.0382499999999924</f>
        <v>1902.4292659999999</v>
      </c>
      <c r="U353" s="3">
        <f>2289+(145.1-456.4)+(0+(0-0))+0-82.3-0</f>
        <v>1895.4</v>
      </c>
      <c r="V353" s="3">
        <f>2312.9+(134.6-470.4)+(3.538737+(0.205938-0.719712))+0-68.5-0.104805000000004</f>
        <v>1911.5201580000003</v>
      </c>
      <c r="W353" s="3">
        <f>2322.8+(61.1-283.4)+(-3.553884+(-0.093483--0.433602))+0-80.1--0.122553000000005</f>
        <v>2017.308788</v>
      </c>
      <c r="X353" s="3">
        <f>2540.9+(4.5-304)+(2.591718+(0.00459-0.31008))+0-77.7-0.0792540000000124</f>
        <v>2165.906974</v>
      </c>
      <c r="Y353" s="3">
        <f>2587.7+(3.6-353)+(-3.959181+(-0.005508--0.54009))+0-86.3--0.132039000000005</f>
        <v>2148.7074399999997</v>
      </c>
      <c r="Z353" s="3">
        <f>2567.9+(16.5-385.1)+(-5.238516+(-0.03366--0.785604))+0-84.8--0.172991999999996</f>
        <v>2110.18642</v>
      </c>
      <c r="AA353" s="3">
        <f>2552.7+(70.9-485.5)+(-3.905631+(-0.108477--0.742815))+0-84.7--0.129591000000005</f>
        <v>2050.2582980000002</v>
      </c>
      <c r="AB353" s="3">
        <f>2488.6+(123.3-523.5)+(-6.34593+(-0.314415--1.334925))+0-86.3--0.220064999999987</f>
        <v>1996.994645</v>
      </c>
      <c r="AC353" s="3">
        <f>2322.2+(144-482.8)+(-1.184322+(-0.07344--0.246228))+0-78.7--0.040136999999992</f>
        <v>1903.7286029999998</v>
      </c>
      <c r="AD353">
        <v>2159.4000000000005</v>
      </c>
      <c r="AE353" s="3">
        <f>2596+(15.8-356.7)+(0+(0-0))+0-95.7-0</f>
        <v>2159.4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2138.1+(145.4-440.2)+(-5.452155+(-0.37077--1.12251))+0-72.4--0.18461999999999</f>
        <v>1766.3842049999998</v>
      </c>
      <c r="G354" s="3">
        <f>2019.8+(145.5-407.9)+(-5.15049+(-0.371025--1.040145))+0-61.1--0.155804999999991</f>
        <v>1691.9744350000003</v>
      </c>
      <c r="H354" s="3">
        <f>1898.7+(143.9-309.1)+(-2.905011+(-0.220167--0.472923))+0-91.2--0.139536000000005</f>
        <v>1639.7872809999999</v>
      </c>
      <c r="I354" s="3">
        <f>1844.4+(143.4-290.4)+(2.821932+(0.219402-0.444312))+0-79.1-0.121023000000005</f>
        <v>1620.7759990000002</v>
      </c>
      <c r="J354" s="3">
        <f>1872.2+(129.4-307.8)+(3.819288+(0.263976-0.627912))+0-71.7-0.146267999999997</f>
        <v>1625.4090839999999</v>
      </c>
      <c r="K354" s="3">
        <f>1951+(97.9-373.4)+(4.97505+(0.249645-0.95217))+0-67.4-0.17186999999999</f>
        <v>1612.2006550000001</v>
      </c>
      <c r="L354" s="3">
        <f>2036.3+(87.7-437.7)+(-2.077026+(-0.089454--0.446454))+0-77.6--0.0791520000000124</f>
        <v>1607.0591260000001</v>
      </c>
      <c r="M354" s="3">
        <f>2254.7+(92.9-511.8)+(2.299794+(0.094758-0.522036))+0-96.1-0.0980220000000153</f>
        <v>1741.4744939999996</v>
      </c>
      <c r="N354" s="3">
        <f>2304.3+(101.5-490.3)+(1.175193+(0.051765-0.250053))+0-37.9-0.0193289999999962</f>
        <v>1878.5575760000002</v>
      </c>
      <c r="O354" s="3">
        <f>2268.7+(103.8-352.8)+(2.314074+(0.105876-0.359856))+0-52.7-0.0537540000000084</f>
        <v>1969.0063399999997</v>
      </c>
      <c r="P354" s="3">
        <f>2240.9+(124.2-271)+(-2.285718+(-0.126684--0.27642))+0-90.1--0.0919020000000144</f>
        <v>2001.9559200000003</v>
      </c>
      <c r="Q354" s="3">
        <f>2270.5+(139.8-312.3)+(-3.473865+(-0.213894--0.477819))+0-83.8--0.128214000000005</f>
        <v>2011.1182739999999</v>
      </c>
      <c r="R354" s="3">
        <f>2266.5+(144.1-337.1)+(-4.62366+(-0.293964--0.687684))+0-102.3--0.208691999999996</f>
        <v>1967.1787519999998</v>
      </c>
      <c r="S354" s="3">
        <f>2194.9+(144.4-357.5)+(2.238798+(0.147288-0.36465))+0-50.7-0.0517140000000081</f>
        <v>1933.0697220000002</v>
      </c>
      <c r="T354" s="3">
        <f>2169+(144.6-330.4)+(2.21238+(0.147492-0.337008))+0-88.6-0.0903720000000141</f>
        <v>1896.532492</v>
      </c>
      <c r="U354" s="3">
        <f>2174.9+(130.9-316.9)+(-2.218398+(-0.133518--0.323238))+0-106--0.108120000000017</f>
        <v>1880.9794420000003</v>
      </c>
      <c r="V354" s="3">
        <f>2134.3+(97.5-275)+(-3.265479+(-0.149175--0.42075))+0-79.4--0.121482000000005</f>
        <v>1874.5275780000002</v>
      </c>
      <c r="W354" s="3">
        <f>2234.9+(51.4-190.9)+(-5.698995+(-0.13107--0.486795))+0-91.3--0.232814999999987</f>
        <v>1998.9895450000004</v>
      </c>
      <c r="X354" s="3">
        <f>2532.9+(23.3-320.6)+(1.291779+(0.011883-0.163506))+0-95.1-0.0485009999999904</f>
        <v>2141.5916549999997</v>
      </c>
      <c r="Y354" s="3">
        <f>2536.9+(20.3-351.9)+(-7.762914+(-0.062118--1.076814))+0-95.1--0.291006000000011</f>
        <v>2103.742788</v>
      </c>
      <c r="Z354" s="3">
        <f>2561.6+(43.7-436.6)+(0+(0-0))+0-92.4-0</f>
        <v>2076.2999999999997</v>
      </c>
      <c r="AA354" s="3">
        <f>2550+(91.2-584.9)+(-3.9015+(-0.139536--0.894897))+0-29.8--0.0455940000000017</f>
        <v>2023.3994550000002</v>
      </c>
      <c r="AB354" s="3">
        <f>2461.3+(141.2-587.3)+(-5.021052+(-0.288048--1.198092))+0-47.8--0.0975119999999979</f>
        <v>1963.3865040000003</v>
      </c>
      <c r="AC354" s="3">
        <f>2210.6+(145.4-406.8)+(-1.127406+(-0.074154--0.207468))+0-90.3--0.0460529999999908</f>
        <v>1857.951961</v>
      </c>
      <c r="AD354">
        <v>2136.6999999999998</v>
      </c>
      <c r="AE354" s="3">
        <f>2561+(16.5-331)+(0+(0-0))+0-109.8-0</f>
        <v>2136.6999999999998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2132.7+(144.6-419)+(-3.263031+(-0.221238--0.64107))+0-98.9--0.151317000000006</f>
        <v>1756.7081179999998</v>
      </c>
      <c r="G355" s="3">
        <f>1939.9+(144.3-310)+(-3.957396+(-0.294372--0.6324))+0-87.7--0.178907999999996</f>
        <v>1683.0595400000002</v>
      </c>
      <c r="H355" s="3">
        <f>1840.4+(144.4-256.4)+(-0.938604+(-0.073644--0.130764))+0-90.2--0.0460019999999908</f>
        <v>1637.3645180000001</v>
      </c>
      <c r="I355" s="3">
        <f>1831+(143.8-256.6)+(-2.80143+(-0.220014--0.392598))+0-93.2--0.142596000000005</f>
        <v>1622.5137499999998</v>
      </c>
      <c r="J355" s="3">
        <f>1854.9+(138.2-298)+(0.945999+(0.070482-0.15198))+0-74.3-0.0378929999999925</f>
        <v>1621.6266080000003</v>
      </c>
      <c r="K355" s="3">
        <f>1870.1+(95.3-286.1)+(0+(0-0))+0-88.1-0</f>
        <v>1591.2</v>
      </c>
      <c r="L355" s="3">
        <f>1941.1+(72.5-378.1)+(-3.959844+(-0.1479--0.771324))+0-92.3--0.188291999999996</f>
        <v>1540.051872</v>
      </c>
      <c r="M355" s="3">
        <f>2025.7+(71.1-421.6)+(1.033107+(0.036261-0.215016))+0-95.9-0.0489089999999903</f>
        <v>1580.1054429999999</v>
      </c>
      <c r="N355" s="3">
        <f>2087+(71.8-452.9)+(2.12874+(0.073236-0.461958))+0-74.1-0.0755820000000118</f>
        <v>1633.4644360000002</v>
      </c>
      <c r="O355" s="3">
        <f>2080.5+(81.8-363.2)+(-1.061055+(-0.041718--0.185232))+0-89.8--0.0457979999999909</f>
        <v>1708.428257</v>
      </c>
      <c r="P355" s="3">
        <f>2124.1+(79.7-348.9)+(1.083291+(0.040647-0.177939))+0-82.3-0.0419729999999916</f>
        <v>1773.5040259999998</v>
      </c>
      <c r="Q355" s="3">
        <f>2174.8+(56.1-340.3)+(-3.327444+(-0.085833--0.520659))+0-87.8--0.134334000000005</f>
        <v>1800.0417160000002</v>
      </c>
      <c r="R355" s="3">
        <f>2135.3+(86.2-343.2)+(-6.534018+(-0.263772--1.050192))+0-90.4--0.27662400000001</f>
        <v>1782.4290260000002</v>
      </c>
      <c r="S355" s="3">
        <f>2112.1+(106.7-356.6)+(-1.077171+(-0.054417--0.181866))+0-87--0.0443699999999912</f>
        <v>1774.2946479999998</v>
      </c>
      <c r="T355" s="3">
        <f>2118.2+(99-353.6)+(0+(0-0))+0-99.4-0</f>
        <v>1764.1999999999998</v>
      </c>
      <c r="U355" s="3">
        <f>2192.1+(80.1-434.5)+(-1.117971+(-0.040851--0.221595))+0-91.6--0.0467159999999907</f>
        <v>1745.2094890000001</v>
      </c>
      <c r="V355" s="3">
        <f>2182.9+(50.9-405.2)+(-2.226558+(-0.051918--0.413304))+0-80.3--0.0819060000000128</f>
        <v>1746.5167340000003</v>
      </c>
      <c r="W355" s="3">
        <f>2172.9+(19.6-252.5)+(-4.432716+(-0.039984--0.5151))+0-82.8--0.168911999999996</f>
        <v>1853.4113120000002</v>
      </c>
      <c r="X355" s="3">
        <f>2233.9+(18.5-118.3)+(1.139289+(0.009435-0.060333))+0-92.4-0.0471239999999906</f>
        <v>2042.7412669999997</v>
      </c>
      <c r="Y355" s="3">
        <f>2254.3+(15.5-130.9)+(-3.449079+(-0.023715--0.200277))+0-93.5--0.143055000000005</f>
        <v>2042.2705380000002</v>
      </c>
      <c r="Z355" s="3">
        <f>2273.8+(24.3-180.5)+(2.319276+(0.024786-0.18411))+0-87.2-0.0889440000000139</f>
        <v>2032.4710080000002</v>
      </c>
      <c r="AA355" s="3">
        <f>2254+(73.7-242)+(-4.59816+(-0.150348--0.49368))+0-81.5--0.166259999999996</f>
        <v>2000.1114319999997</v>
      </c>
      <c r="AB355" s="3">
        <f>2080.4+(129.9-187.1)+(-1.061004+(-0.066249--0.095421))+0-92.2--0.0470219999999906</f>
        <v>1930.0151900000001</v>
      </c>
      <c r="AC355" s="3">
        <f>1958.2+(144.1-202)+(-2.996046+(-0.220473--0.30906))+0-92.7--0.141831000000005</f>
        <v>1804.8343719999998</v>
      </c>
      <c r="AD355">
        <v>2050.9</v>
      </c>
      <c r="AE355" s="3">
        <f>2246+(0-165.6)+(0+(0-0))+0-29.5-0</f>
        <v>2050.9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1964.8+(144-312.4)+(-2.004096+(-0.14688--0.318648))+0-90.7--0.0925140000000145</f>
        <v>1703.960186</v>
      </c>
      <c r="G356" s="3">
        <f>1971.3+(144.1-370.8)+(-2.010726+(-0.146982--0.378216))+0-95.4--0.0973080000000152</f>
        <v>1647.517816</v>
      </c>
      <c r="H356" s="3">
        <f>2064.4+(143.6-503.4)+(2.105688+(0.146472-0.513468))+0-77.7-0.0792540000000124</f>
        <v>1628.559438</v>
      </c>
      <c r="I356" s="3">
        <f>2042.2+(144.4-485.8)+(-3.124566+(-0.220932--0.743274))+0-87.2--0.133416000000005</f>
        <v>1611.1311920000001</v>
      </c>
      <c r="J356" s="3">
        <f>2047.3+(120.5-461.2)+(-2.088246+(-0.12291--0.470424))+0-86--0.0877200000000137</f>
        <v>1618.9469879999999</v>
      </c>
      <c r="K356" s="3">
        <f>2093.8+(55.9-421.5)+(0+(0-0))+0-96-0</f>
        <v>1632.2000000000003</v>
      </c>
      <c r="L356" s="3">
        <f>2111.5+(64.7-437.7)+(0+(0-0))+0-91.9-0</f>
        <v>1646.6</v>
      </c>
      <c r="M356" s="3">
        <f>2268.4+(71.6-466.7)+(2.313768+(0.073032-0.476034))+0-90.2-0.0920040000000144</f>
        <v>1784.918762</v>
      </c>
      <c r="N356" s="3">
        <f>2361.3+(84.3-457.1)+(0+(0-0))+0-80.9-0</f>
        <v>1907.6000000000001</v>
      </c>
      <c r="O356" s="3">
        <f>2507.7+(69.9-486.5)+(1.278927+(0.035649-0.248115))+0-84.3-0.0429929999999914</f>
        <v>2007.8234679999998</v>
      </c>
      <c r="P356" s="3">
        <f>2564.8+(59-465.3)+(0+(0-0))+0-87.6-0</f>
        <v>2070.9</v>
      </c>
      <c r="Q356" s="3">
        <f>2563.8+(74.2-449.8)+(0+(0-0))+0-92-0</f>
        <v>2096.2000000000003</v>
      </c>
      <c r="R356" s="3">
        <f>2476.8+(97.6-408.8)+(-6.31584+(-0.24888--1.04244))+0-90.4--0.230519999999987</f>
        <v>2069.9082400000002</v>
      </c>
      <c r="S356" s="3">
        <f>2476.9+(111.8-449.7)+(-1.263219+(-0.057018--0.229347))+0-89.7--0.0457469999999909</f>
        <v>2048.2548570000004</v>
      </c>
      <c r="T356" s="3">
        <f>2480.9+(106.2-511.7)+(0+(0-0))+0-65.6-0</f>
        <v>2009.8000000000002</v>
      </c>
      <c r="U356" s="3">
        <f>2497.7+(86.4-507.9)+(-1.273827+(-0.044064--0.259029))+0-104.1--0.0530909999999894</f>
        <v>1971.094229</v>
      </c>
      <c r="V356" s="3">
        <f>2508.4+(50.9-470)+(-2.558568+(-0.051918--0.4794))+0-83.3--0.0849660000000133</f>
        <v>2003.9538800000005</v>
      </c>
      <c r="W356" s="3">
        <f>2466+(12.5-313.4)+(-3.77298+(-0.019125--0.479502))+0-91.4--0.139842000000005</f>
        <v>2070.527239</v>
      </c>
      <c r="X356" s="3">
        <f>2505+(0-284.5)+(0+(0-0))+0-60.7-0</f>
        <v>2159.8000000000002</v>
      </c>
      <c r="Y356" s="3">
        <f>2509.5+(8.5-295.3)+(-3.839535+(-0.013005--0.451809))+0-89.1--0.136323000000005</f>
        <v>2130.3355919999999</v>
      </c>
      <c r="Z356" s="3">
        <f>2497.1+(36.5-345.9)+(-6.367605+(-0.093075--0.882045))+0-84.5--0.215474999999988</f>
        <v>2097.8368399999999</v>
      </c>
      <c r="AA356" s="3">
        <f>2508+(91.1-496.6)+(-5.11632+(-0.185844--1.013064))+0-76.9--0.156875999999997</f>
        <v>2021.467776</v>
      </c>
      <c r="AB356" s="3">
        <f>2426.6+(111.3-513.5)+(-1.237566+(-0.056763--0.261885))+0-75.8--0.0386579999999923</f>
        <v>1947.6062139999999</v>
      </c>
      <c r="AC356" s="3">
        <f>2242+(142.1-464.3)+(-4.57368+(-0.289884--0.947172))+0-93.7--0.191147999999996</f>
        <v>1822.3747559999997</v>
      </c>
      <c r="AD356">
        <v>2191.5</v>
      </c>
      <c r="AE356" s="3">
        <f>2555+(0-282.2)+(0+(0-0))+0-81.3-0</f>
        <v>2191.5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1976.6+(143.3-342.8)+(-2.016132+(-0.146166--0.349656))+0-73.1--0.0745620000000116</f>
        <v>1702.2619199999999</v>
      </c>
      <c r="G357" s="3">
        <f>1889.9+(144.2-300.5)+(-1.927698+(-0.147084--0.30651))+0-87.9--0.089658000000014</f>
        <v>1644.0213860000001</v>
      </c>
      <c r="H357" s="3">
        <f>1834.9+(144.4-283.3)+(-3.743196+(-0.294576--0.577932))+0-80.3--0.163811999999996</f>
        <v>1612.4039720000001</v>
      </c>
      <c r="I357" s="3">
        <f>1848.2+(144.5-292.2)+(0+(0-0))+0-86.7-0</f>
        <v>1613.8</v>
      </c>
      <c r="J357" s="3">
        <f>1843.1+(126.2-261.5)+(-1.879962+(-0.128724--0.26673))+0-99--0.100980000000016</f>
        <v>1607.1590239999998</v>
      </c>
      <c r="K357" s="3">
        <f>1927.2+(95.4-350)+(0.982872+(0.048654-0.1785))+0-76.2-0.0388619999999923</f>
        <v>1597.2141640000002</v>
      </c>
      <c r="L357" s="3">
        <f>2070.5+(73.5-463.9)+(-1.055955+(-0.037485--0.236589))+0-88.2--0.0449819999999911</f>
        <v>1591.0881309999997</v>
      </c>
      <c r="M357" s="3">
        <f>2231.8+(65-544.2)+(0+(0-0))+0-53.5-0</f>
        <v>1699.1000000000001</v>
      </c>
      <c r="N357" s="3">
        <f>2292.9+(72.9-457.6)+(1.169379+(0.037179-0.233376))+0-89.2-0.0454919999999909</f>
        <v>1819.92769</v>
      </c>
      <c r="O357" s="3">
        <f>2231+(63.6-314)+(-1.13781+(-0.032436--0.16014))+0-81.3--0.0414629999999918</f>
        <v>1898.331357</v>
      </c>
      <c r="P357" s="3">
        <f>2210.3+(72.4-251.9)+(-1.127253+(-0.036924--0.128469))+0-80.4--0.0410039999999918</f>
        <v>1949.4052959999999</v>
      </c>
      <c r="Q357" s="3">
        <f>2247.6+(95.9-299.9)+(1.146276+(0.048909-0.152949))+0-80.6-0.0411059999999918</f>
        <v>1964.0011300000001</v>
      </c>
      <c r="R357" s="3">
        <f>2249.8+(100.3-329.9)+(-5.73699+(-0.255765--0.841245))+0-80.6--0.205529999999988</f>
        <v>1934.6540200000004</v>
      </c>
      <c r="S357" s="3">
        <f>2253.7+(104.1-353.3)+(-4.597548+(-0.212364--0.720732))+0-79.3--0.161771999999997</f>
        <v>1921.2725919999998</v>
      </c>
      <c r="T357" s="3">
        <f>2278.2+(95.9-374.7)+(1.161882+(0.048909-0.191097))+0-89.9-0.0458489999999909</f>
        <v>1910.4738449999998</v>
      </c>
      <c r="U357" s="3">
        <f>2267.8+(76.8-388.9)+(-2.313156+(-0.078336--0.396678))+0-65.6--0.0669120000000104</f>
        <v>1888.1720980000005</v>
      </c>
      <c r="V357" s="3">
        <f>2293.4+(57.3-367.1)+(-5.84817+(-0.146115--0.936105))+0-68.6--0.17492999999999</f>
        <v>1910.1167500000001</v>
      </c>
      <c r="W357" s="3">
        <f>2387.3+(27.7-297.4)+(-4.870092+(-0.056508--0.606696))+0-84.5--0.172379999999996</f>
        <v>2028.9524760000004</v>
      </c>
      <c r="X357" s="3">
        <f>2573+(2.5-359)+(-1.31223+(-0.001275--0.18309))+0-90.2--0.0460019999999908</f>
        <v>2125.2155870000001</v>
      </c>
      <c r="Y357" s="3">
        <f>2619.9+(0-418.3)+(-4.008447+(0--0.639999))+0-86.7--0.132651000000005</f>
        <v>2111.6642029999998</v>
      </c>
      <c r="Z357" s="3">
        <f>2595.5+(11.1-432.7)+(-3.971115+(-0.016983--0.662031))+0-96.3--0.147339000000006</f>
        <v>2074.421272</v>
      </c>
      <c r="AA357" s="3">
        <f>2522+(41.9-490.6)+(-2.57244+(-0.042738--0.500412))+0-70.7--0.0721140000000113</f>
        <v>2000.557348</v>
      </c>
      <c r="AB357" s="3">
        <f>2413.8+(91.1-510.2)+(-3.693114+(-0.139383--0.780606))+0-70.7--0.108171000000004</f>
        <v>1921.0562800000002</v>
      </c>
      <c r="AC357" s="3">
        <f>2144.4+(141.9-395)+(-1.093644+(-0.072369--0.20145))+0-82.2--0.0419219999999917</f>
        <v>1808.177359</v>
      </c>
      <c r="AD357">
        <v>2132.1</v>
      </c>
      <c r="AE357" s="3">
        <f>2649+(0-408.9)+(0+(0-0))+0-108-0</f>
        <v>2132.1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2159.1+(144-518.4)+(-3.303423+(-0.22032--0.793152))+0-87.6--0.134028000000005</f>
        <v>1694.5034369999998</v>
      </c>
      <c r="G358" s="3">
        <f>2051.4+(144.1-485.6)+(-2.092428+(-0.146982--0.495312))+0-74.3--0.0757860000000118</f>
        <v>1633.9316880000003</v>
      </c>
      <c r="H358" s="3">
        <f>2014.4+(144.3-459.2)+(-3.082032+(-0.220779--0.702576))+0-93.1--0.142443000000005</f>
        <v>1603.9422079999999</v>
      </c>
      <c r="I358" s="3">
        <f>2010.8+(143.9-480.1)+(-2.051016+(-0.146778--0.489702))+0-77.4--0.0789480000000123</f>
        <v>1595.5708559999998</v>
      </c>
      <c r="J358" s="3">
        <f>2030.7+(113.7-466.8)+(2.071314+(0.115974-0.476136))+0-79.6-0.0811920000000127</f>
        <v>1599.62996</v>
      </c>
      <c r="K358" s="3">
        <f>2028.4+(36.7-403.4)+(0+(0-0))+0-91.2-0</f>
        <v>1570.5</v>
      </c>
      <c r="L358" s="3">
        <f>2071.9+(32.1-465.1)+(1.056669+(0.016371-0.237201))+0-72.1-0.0367709999999927</f>
        <v>1567.5990680000002</v>
      </c>
      <c r="M358" s="3">
        <f>2220.3+(42.6-547.8)+(2.264706+(0.043452-0.558756))+0-53.4-0.0544680000000085</f>
        <v>1663.3949340000001</v>
      </c>
      <c r="N358" s="3">
        <f>2297.6+(52.7-467.2)+(2.343552+(0.053754-0.476544))+0-77.5-0.0790500000000124</f>
        <v>1807.4417119999998</v>
      </c>
      <c r="O358" s="3">
        <f>2340.5+(69.6-433.2)+(1.193655+(0.035496-0.220932))+0-83.8-0.0427379999999915</f>
        <v>1894.0654810000001</v>
      </c>
      <c r="P358" s="3">
        <f>2375.9+(57.4-438.9)+(0+(0-0))+0-62.2-0</f>
        <v>1932.2</v>
      </c>
      <c r="Q358" s="3">
        <f>2422.5+(77.1-464.7)+(0+(0-0))+0-68.4-0</f>
        <v>1966.5</v>
      </c>
      <c r="R358" s="3">
        <f>2403.3+(74.4-470.9)+(-4.902732+(-0.151776--0.960636))+0-79.4--0.161975999999997</f>
        <v>1923.4681040000003</v>
      </c>
      <c r="S358" s="3">
        <f>2436.2+(77.6-534.9)+(-1.242462+(-0.039576--0.272799))+0-85.3--0.0435029999999913</f>
        <v>1892.634264</v>
      </c>
      <c r="T358" s="3">
        <f>2421.6+(82.4-536.6)+(0+(0-0))+0-81.4-0</f>
        <v>1885.9999999999998</v>
      </c>
      <c r="U358" s="3">
        <f>2331.9+(69.6-479.2)+(-2.378538+(-0.070992--0.488784))+0-63.8--0.0650760000000102</f>
        <v>1856.6043300000003</v>
      </c>
      <c r="V358" s="3">
        <f>2340.8+(43.8-431.5)+(1.193808+(0.022338-0.220065))+0-89.9-0.0458489999999909</f>
        <v>1864.150232</v>
      </c>
      <c r="W358" s="3">
        <f>2435.6+(12.8-387.3)+(1.242156+(0.006528-0.197523))+0-68.2-0.0347819999999931</f>
        <v>1993.9163789999998</v>
      </c>
      <c r="X358" s="3">
        <f>2573.8+(0-374.9)+(1.312638+(0-0.191199))+0-84.5-0.0430949999999914</f>
        <v>2115.4783440000001</v>
      </c>
      <c r="Y358" s="3">
        <f>2617.7+(0-421.5)+(-1.335027+(0--0.214965))+0-83.6--0.0426359999999915</f>
        <v>2111.5225740000001</v>
      </c>
      <c r="Z358" s="3">
        <f>2552.7+(8.4-416.5)+(1.301877+(0.004284-0.212415))+0-83.8-0.0427379999999915</f>
        <v>2061.8510079999996</v>
      </c>
      <c r="AA358" s="3">
        <f>2525.8+(49.6-491.3)+(-1.288158+(-0.025296--0.250563))+0-87.3--0.0445229999999911</f>
        <v>1995.7816320000004</v>
      </c>
      <c r="AB358" s="3">
        <f>2430.3+(94-526.7)+(-9.915624+(-0.38352--2.148936))+0-75.8--0.309263999999993</f>
        <v>1913.9590560000001</v>
      </c>
      <c r="AC358" s="3">
        <f>2326+(105.1-523.9)+(-7.11756+(-0.321606--1.603134))+0-97.7--0.298962000000011</f>
        <v>1803.9629300000001</v>
      </c>
      <c r="AD358">
        <v>2140.4</v>
      </c>
      <c r="AE358" s="3">
        <f>2636+(0-403.1)+(0+(0-0))+0-92.5-0</f>
        <v>2140.4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2195.4+(140.8-567.6)+(-3.358962+(-0.215424--0.868428))+0-59.6--0.0911880000000034</f>
        <v>1706.3852300000003</v>
      </c>
      <c r="G359" s="3">
        <f>2105+(146.8-540.2)+(-1.07355+(-0.074868--0.275502))+0-66.2--0.0337619999999933</f>
        <v>1644.5608459999999</v>
      </c>
      <c r="H359" s="3">
        <f>2106.9+(147.2-558.7)+(0+(0-0))+0-75.7-0</f>
        <v>1619.7</v>
      </c>
      <c r="I359" s="3">
        <f>1997.4+(138-443.4)+(1.018674+(0.07038-0.226134))+0-94.7-0.0482969999999904</f>
        <v>1598.1146229999999</v>
      </c>
      <c r="J359" s="3">
        <f>1974.1+(102.4-408.1)+(0+(0-0))+0-84.5-0</f>
        <v>1583.8999999999999</v>
      </c>
      <c r="K359" s="3">
        <f>2105.9+(28.5-459.1)+(1.074009+(0.014535-0.234141))+0-89.7-0.0457469999999909</f>
        <v>1586.4086560000003</v>
      </c>
      <c r="L359" s="3">
        <f>2201.4+(14.3-570.4)+(-4.490856+(-0.029172--1.163616))+0-33.5--0.0683399999999985</f>
        <v>1608.5119280000001</v>
      </c>
      <c r="M359" s="3">
        <f>2229.1+(29.9-499.5)+(3.410523+(0.045747-0.764235))+0-22.7-0.0347310000000013</f>
        <v>1739.457304</v>
      </c>
      <c r="N359" s="3">
        <f>2302.4+(49.5-473.8)+(2.348448+(0.05049-0.483276))+0-19.3-0.0196860000000031</f>
        <v>1860.6959760000002</v>
      </c>
      <c r="O359" s="3">
        <f>2301.4+(52.5-398.3)+(4.694856+(0.1071-0.812532))+0-20.7-0.0422279999999991</f>
        <v>1938.8471960000002</v>
      </c>
      <c r="P359" s="3">
        <f>2291.8+(78.1-371.9)+(0+(0-0))+0-19.9-0</f>
        <v>1978.1000000000001</v>
      </c>
      <c r="Q359" s="3">
        <f>2278.3+(98.3-362)+(-1.161933+(-0.050133--0.18462))+0-19.2--0.00979199999999805</f>
        <v>1994.3823460000001</v>
      </c>
      <c r="R359" s="3">
        <f>2271.4+(98-374.3)+(0+(0-0))+0-19-0</f>
        <v>1976.1000000000001</v>
      </c>
      <c r="S359" s="3">
        <f>2274+(112.2-427.8)+(0+(0-0))+0-19.6-0</f>
        <v>1938.8000000000002</v>
      </c>
      <c r="T359" s="3">
        <f>2282.5+(114.3-445.1)+(0+(0-0))+0-34.3-0</f>
        <v>1917.4</v>
      </c>
      <c r="U359" s="3">
        <f>2275.2+(120.5-414.2)+(-3.481056+(-0.184365--0.633726))+0-82.9--0.126837000000005</f>
        <v>1895.6951419999998</v>
      </c>
      <c r="V359" s="3">
        <f>2291.3+(98.1-395.6)+(4.674252+(0.200124-0.807024))+0-69.2-0.141167999999997</f>
        <v>1928.5261840000001</v>
      </c>
      <c r="W359" s="3">
        <f>2348.5+(42-275.8)+(-1.197735+(-0.02142--0.140658))+0-76.3--0.0389129999999923</f>
        <v>2037.360416</v>
      </c>
      <c r="X359" s="3">
        <f>2484+(1.9-273.1)+(0+(0-0))+0-89.7-0</f>
        <v>2123.1000000000004</v>
      </c>
      <c r="Y359" s="3">
        <f>2507+(0-286)+(-3.83571+(0--0.43758))+0-95.1--0.145503000000005</f>
        <v>2122.6473730000002</v>
      </c>
      <c r="Z359" s="3">
        <f>2507+(25.6-373.9)+(-1.27857+(-0.013056--0.190689))+0-85.7--0.0437069999999913</f>
        <v>2071.9427699999997</v>
      </c>
      <c r="AA359" s="3">
        <f>2515.4+(64.8-507.5)+(-1.282854+(-0.033048--0.258825))+0-59.8--0.0304979999999939</f>
        <v>2011.8734210000005</v>
      </c>
      <c r="AB359" s="3">
        <f>2503.6+(83.2-565.7)+(-6.38418+(-0.21216--1.442535))+0-68.7--0.17518499999999</f>
        <v>1947.42138</v>
      </c>
      <c r="AC359" s="3">
        <f>2320+(119.1-496.4)+(-5.916+(-0.303705--1.26582))+0-92.2--0.235109999999987</f>
        <v>1845.7812250000002</v>
      </c>
      <c r="AD359">
        <v>2118.7999999999997</v>
      </c>
      <c r="AE359" s="3">
        <f>2492+(0-279.3)+(0+(0-0))+0-93.9-0</f>
        <v>2118.7999999999997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2212.6+(145.7-520.2)+(-2.256852+(-0.148614--0.530604))+0-82.2--0.0838440000000131</f>
        <v>1754.108982</v>
      </c>
      <c r="G360" s="3">
        <f>2127.9+(146-503.8)+(-1.085229+(-0.07446--0.256938))+0-75.4--0.0384539999999924</f>
        <v>1693.835703</v>
      </c>
      <c r="H360" s="3">
        <f>2088.1+(145-517.2)+(0+(0-0))+0-79.5-0</f>
        <v>1636.3999999999999</v>
      </c>
      <c r="I360" s="3">
        <f>2096.8+(137.5-514.1)+(2.138736+(0.14025-0.524382))+0-93.8-0.095676000000015</f>
        <v>1628.0589280000004</v>
      </c>
      <c r="J360" s="3">
        <f>2105.9+(102.1-510.5)+(5.370045+(0.260355-1.301775))+0-81.1-0.206804999999988</f>
        <v>1620.5218200000002</v>
      </c>
      <c r="K360" s="3">
        <f>2116.4+(44.1-468.7)+(5.39682+(0.112455-1.195185))+0-87.6-0.223379999999987</f>
        <v>1608.2907100000004</v>
      </c>
      <c r="L360" s="3">
        <f>2221.5+(45.2-556.5)+(1.132965+(0.023052-0.283815))+0-81.6-0.0416159999999917</f>
        <v>1629.4305860000002</v>
      </c>
      <c r="M360" s="3">
        <f>2301.4+(74.5-528.3)+(0+(0-0))+0-93.5-0</f>
        <v>1754.1000000000001</v>
      </c>
      <c r="N360" s="3">
        <f>2325.3+(91.5-465.9)+(0+(0-0))+0-83.7-0</f>
        <v>1867.2</v>
      </c>
      <c r="O360" s="3">
        <f>2378.6+(103.2-455.4)+(2.426172+(0.105264-0.464508))+0-71-0.0724200000000113</f>
        <v>1957.3945079999999</v>
      </c>
      <c r="P360" s="3">
        <f>2355.3+(115.9-397.5)+(-1.201203+(-0.059109--0.202725))+0-85.4--0.0435539999999913</f>
        <v>1987.2859670000005</v>
      </c>
      <c r="Q360" s="3">
        <f>2349.8+(126.4-408.2)+(-2.396796+(-0.128928--0.416364))+0-96.4--0.0983280000000154</f>
        <v>1969.588968</v>
      </c>
      <c r="R360" s="3">
        <f>2353.2+(127.8-427.2)+(-2.400264+(-0.130356--0.435744))+0-94--0.095880000000015</f>
        <v>1957.8010039999997</v>
      </c>
      <c r="S360" s="3">
        <f>2293.9+(127.6-458.5)+(-1.169889+(-0.065076--0.233835))+0-32.1--0.0163709999999967</f>
        <v>1929.9152409999999</v>
      </c>
      <c r="T360" s="3">
        <f>2289.6+(133.2-401.9)+(-4.670784+(-0.271728--0.819876))+0-96.2--0.196247999999996</f>
        <v>1920.7736119999997</v>
      </c>
      <c r="U360" s="3">
        <f>2323.9+(140.1-442.1)+(0+(0-0))+0-93.5-0</f>
        <v>1928.4</v>
      </c>
      <c r="V360" s="3">
        <f>2299.7+(113.4-431.2)+(-2.345694+(-0.115668--0.439824))+0-83.3--0.0849660000000133</f>
        <v>1896.6634280000001</v>
      </c>
      <c r="W360" s="3">
        <f>2326.7+(52.1-279.1)+(-1.186617+(-0.026571--0.142341))+0-81.6--0.0416159999999917</f>
        <v>2017.0707689999999</v>
      </c>
      <c r="X360" s="3">
        <f>2417.3+(80.5-391.5)+(-1.232823+(-0.041055--0.199665))+0-48.1--0.0245309999999951</f>
        <v>2057.1503180000004</v>
      </c>
      <c r="Y360" s="3">
        <f>2334.1+(4-117.4)+(-2.380782+(-0.00408--0.119748))+0-94.1--0.095982000000015</f>
        <v>2124.4308679999999</v>
      </c>
      <c r="Z360" s="3">
        <f>2339.3+(30-166.7)+(-5.965215+(-0.0765--0.425085))+0-89.1--0.227204999999987</f>
        <v>2108.1105750000006</v>
      </c>
      <c r="AA360" s="3">
        <f>2364.7+(62.6-258.1)+(-2.411994+(-0.063852--0.263262))+0-78.6--0.0801720000000125</f>
        <v>2088.467588</v>
      </c>
      <c r="AB360" s="3">
        <f>2317.1+(66.6-329.9)+(-3.545163+(-0.101898--0.504747))+0-55.4--0.0847620000000032</f>
        <v>1995.3424479999999</v>
      </c>
      <c r="AC360" s="3">
        <f>2282.6+(89.3-415.5)+(-3.492378+(-0.136629--0.635715))+0-83.4--0.127602000000005</f>
        <v>1870.1343099999997</v>
      </c>
      <c r="AD360">
        <v>2135.5</v>
      </c>
      <c r="AE360" s="3">
        <f>2360+(2.8-125.8)+(0+(0-0))+0-101.5-0</f>
        <v>2135.5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2265.6+(86.3-464.4)+(-2.310912+(-0.088026--0.473688))+0-89.2--0.0909840000000142</f>
        <v>1796.4657339999999</v>
      </c>
      <c r="G361" s="3">
        <f>2062.5+(101.3-375.9)+(1.051875+(0.051663-0.191709))+0-87.9-0.0448289999999911</f>
        <v>1700.867</v>
      </c>
      <c r="H361" s="3">
        <f>1985.4+(96.9-332.2)+(-3.037662+(-0.148257--0.508266))+0-87.4--0.133722000000005</f>
        <v>1660.1560690000001</v>
      </c>
      <c r="I361" s="3">
        <f>1995.6+(87.3-333)+(-2.035512+(-0.089046--0.33966))+0-99--0.100980000000016</f>
        <v>1649.2160819999997</v>
      </c>
      <c r="J361" s="3">
        <f>1956.6+(50.3-277.1)+(-2.993598+(-0.076959--0.423963))+0-75.4--0.115362000000004</f>
        <v>1651.8687679999998</v>
      </c>
      <c r="K361" s="3">
        <f>1987.1+(16.8-311.9)+(3.040263+(0.025704-0.477207))+0-80.6-0.123318000000005</f>
        <v>1613.8654420000003</v>
      </c>
      <c r="L361" s="3">
        <f>2128.7+(30.7-444.8)+(-2.171274+(-0.031314--0.453696))+0-91--0.0928200000000145</f>
        <v>1621.9439279999999</v>
      </c>
      <c r="M361" s="3">
        <f>2269.1+(52-464)+(0+(0-0))+0-101.7-0</f>
        <v>1755.3999999999999</v>
      </c>
      <c r="N361" s="3">
        <f>2305+(67.5-409.7)+(2.3511+(0.06885-0.417894))+0-68.3-0.0696660000000109</f>
        <v>1896.4323899999999</v>
      </c>
      <c r="O361" s="3">
        <f>2421+(83.4-442.5)+(3.70413+(0.127602-0.677025))+0-69.5-0.106335000000004</f>
        <v>1995.4483720000003</v>
      </c>
      <c r="P361" s="3">
        <f>2517.7+(88.4-484.1)+(0+(0-0))+0-81.4-0</f>
        <v>2040.6</v>
      </c>
      <c r="Q361" s="3">
        <f>2497.2+(116-496)+(-1.273572+(-0.05916--0.25296))+0-72.5--0.0369749999999926</f>
        <v>2043.6572029999998</v>
      </c>
      <c r="R361" s="3">
        <f>2475.1+(134.3-531.2)+(-10.098408+(-0.547944--2.167296))+0-76.5--0.312119999999993</f>
        <v>1993.5330639999997</v>
      </c>
      <c r="S361" s="3">
        <f>2390.7+(143.5-491.3)+(-4.877028+(-0.29274--1.002252))+0-81.6--0.166463999999996</f>
        <v>1957.2989479999999</v>
      </c>
      <c r="T361" s="3">
        <f>2407.3+(143.6-533.6)+(1.227723+(0.073236-0.272136))+0-88.9-0.045338999999991</f>
        <v>1929.3834840000002</v>
      </c>
      <c r="U361" s="3">
        <f>2403+(143.5-530.4)+(-7.35318+(-0.43911--1.623024))+0-104.2--0.318852000000012</f>
        <v>1906.0495859999999</v>
      </c>
      <c r="V361" s="3">
        <f>2357.7+(144.3-455.9)+(-7.214562+(-0.441558--1.395054))+0-94.9--0.290394000000011</f>
        <v>1945.2293279999999</v>
      </c>
      <c r="W361" s="3">
        <f>2362.3+(107.8-369.4)+(-3.614319+(-0.164934--0.565182))+0-50.2--0.0768060000000029</f>
        <v>2047.3627350000004</v>
      </c>
      <c r="X361" s="3">
        <f>2520.8+(68.3-414.7)+(-1.285608+(-0.034833--0.211497))+0-30.4--0.0155039999999969</f>
        <v>2142.9065599999999</v>
      </c>
      <c r="Y361" s="3">
        <f>2628.3+(66-482.5)+(-5.361732+(-0.13464--0.9843))+0-53.1--0.108323999999998</f>
        <v>2154.2962520000001</v>
      </c>
      <c r="Z361" s="3">
        <f>2675.7+(50-464.2)+(1.364607+(0.0255-0.236742))+0-100-0.0509999999999899</f>
        <v>2162.6023650000002</v>
      </c>
      <c r="AA361" s="3">
        <f>2634.5+(39.6-507)+(-4.030785+(-0.060588--0.77571))+0-100--0.153000000000006</f>
        <v>2063.9373369999998</v>
      </c>
      <c r="AB361" s="3">
        <f>2471.3+(144.2-507.9)+(-1.260363+(-0.073542--0.259029))+0-93.7--0.0477869999999905</f>
        <v>2012.8729110000002</v>
      </c>
      <c r="AC361" s="3">
        <f>2345.2+(144.9-474.9)+(-8.372364+(-0.517293--1.695393))+0-94.3--0.336651000000001</f>
        <v>1914.042387</v>
      </c>
      <c r="AD361">
        <v>2175.6999999999998</v>
      </c>
      <c r="AE361" s="3">
        <f>2657+(53.2-503.9)+(0+(0-0))+0-30.6-0</f>
        <v>2175.7000000000003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2251.7+(144.3-516.4)+(-2.296734+(-0.147186--0.526728))+0-61.8--0.0630360000000098</f>
        <v>1815.9458440000001</v>
      </c>
      <c r="G362" s="3">
        <f>2184.1+(144.4-491.3)+(-4.455564+(-0.294576--1.002252))+0-96.4--0.196655999999996</f>
        <v>1737.2487679999997</v>
      </c>
      <c r="H362" s="3">
        <f>2186.3+(145.7-538.2)+(-3.345039+(-0.222921--0.823446))+0-95.3--0.145809000000005</f>
        <v>1695.9012950000003</v>
      </c>
      <c r="I362" s="3">
        <f>2068.5+(144.5-455.1)+(-4.21974+(-0.29478--0.928404))+0-83.9--0.171155999999996</f>
        <v>1670.5850399999999</v>
      </c>
      <c r="J362" s="3">
        <f>2114+(144.3-511.4)+(3.23442+(0.220779-0.782442))+0-79.3-0.121329000000005</f>
        <v>1670.1514280000001</v>
      </c>
      <c r="K362" s="3">
        <f>2103.4+(144.7-549.2)+(4.290936+(0.295188-1.120368))+0-71.2-0.145247999999997</f>
        <v>1631.0205080000001</v>
      </c>
      <c r="L362" s="3">
        <f>2049.9+(143.4-508.6)+(-1.045449+(-0.073134--0.259386))+0-87.8--0.0447779999999911</f>
        <v>1596.085581</v>
      </c>
      <c r="M362" s="3">
        <f>2128.5+(144-526.7)+(-1.085535+(-0.07344--0.268617))+0-90.8--0.0463079999999908</f>
        <v>1654.1559499999998</v>
      </c>
      <c r="N362" s="3">
        <f>2170.1+(142.7-484.1)+(-3.320253+(-0.218331--0.740673))+0-93.2--0.142596000000005</f>
        <v>1732.8446849999996</v>
      </c>
      <c r="O362" s="3">
        <f>2273.2+(142.6-511.8)+(0+(0-0))+0-91.9-0</f>
        <v>1812.0999999999997</v>
      </c>
      <c r="P362" s="3">
        <f>2382.4+(144.5-562.2)+(4.860096+(0.29478-1.146888))+0-85.5-0.174419999999996</f>
        <v>1883.0335680000001</v>
      </c>
      <c r="Q362" s="3">
        <f>2346.9+(144.9-505.8)+(-1.196919+(-0.073899--0.257958))+0-73--0.0372299999999926</f>
        <v>1912.0243699999999</v>
      </c>
      <c r="R362" s="3">
        <f>2330.8+(146-521.6)+(-5.94354+(-0.3723--1.33008))+0-85.4--0.217769999999988</f>
        <v>1865.0320100000001</v>
      </c>
      <c r="S362" s="3">
        <f>2388.4+(146-578.3)+(-1.218084+(-0.07446--0.294933))+0-92.6--0.0472259999999906</f>
        <v>1862.5496150000001</v>
      </c>
      <c r="T362" s="3">
        <f>2341.5+(145.7-560.6)+(-5.970825+(-0.371535--1.42953))+0-90.6--0.231029999999987</f>
        <v>1831.3181999999999</v>
      </c>
      <c r="U362" s="3">
        <f>2320.2+(145-562.9)+(-1.183302+(-0.07395--0.287079))+0-83.8--0.0427379999999915</f>
        <v>1817.5725649999999</v>
      </c>
      <c r="V362" s="3">
        <f>2289.8+(144.7-549.5)+(-1.167798+(-0.073797--0.280245))+0-83.8--0.0427379999999915</f>
        <v>1800.2813880000003</v>
      </c>
      <c r="W362" s="3">
        <f>2339.9+(143.9-497.4)+(1.193349+(0.073389-0.253674))+0-91.7-0.0467669999999907</f>
        <v>1895.666297</v>
      </c>
      <c r="X362" s="3">
        <f>2500+(144.1-495.3)+(0+(0-0))+0-42.5-0</f>
        <v>2106.3000000000002</v>
      </c>
      <c r="Y362" s="3">
        <f>2422.3+(144-362.2)+(-6.176865+(-0.3672--0.92361))+0-86--0.219299999999988</f>
        <v>2112.6988450000003</v>
      </c>
      <c r="Z362" s="3">
        <f>2387.9+(144.3-347.3)+(0+(0-0))+0-86.9-0</f>
        <v>2098</v>
      </c>
      <c r="AA362" s="3">
        <f>2255.8+(144.7-248.9)+(-6.902748+(-0.442782--0.761634))+0-86.2--0.26377200000001</f>
        <v>2059.0798760000002</v>
      </c>
      <c r="AB362" s="3">
        <f>2121.3+(144-188.5)+(-1.081863+(-0.07344--0.096135))+0-82.7--0.0421769999999916</f>
        <v>1993.0830089999999</v>
      </c>
      <c r="AC362" s="3">
        <f>2041.9+(143.4-228.3)+(-4.165476+(-0.292536--0.465732))+0-67.6--0.137903999999997</f>
        <v>1885.5456240000001</v>
      </c>
      <c r="AD362">
        <v>2127.7000000000003</v>
      </c>
      <c r="AE362" s="3">
        <f>2521+(143.8-452.5)+(0+(0-0))+0-84.6-0</f>
        <v>2127.7000000000003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1934.3+(143.4-229)+(-1.972986+(-0.146268--0.23358))+0-79.1--0.0806820000000126</f>
        <v>1767.7950080000001</v>
      </c>
      <c r="G363" s="3">
        <f>1879.9+(143-236.3)+(-1.917498+(-0.14586--0.241026))+0-93.1--0.0949620000000148</f>
        <v>1691.7726300000004</v>
      </c>
      <c r="H363" s="3">
        <f>1872.4+(143.6-280.1)+(0+(0-0))+0-82-0</f>
        <v>1653.9</v>
      </c>
      <c r="I363" s="3">
        <f>1732.7+(143.9-179.1)+(-2.651031+(-0.220167--0.274023))+0-65.3--0.0999090000000038</f>
        <v>1629.702734</v>
      </c>
      <c r="J363" s="3">
        <f>1747.1+(144-184.3)+(0.891021+(0.07344-0.093993))+0-75.8-0.0386579999999923</f>
        <v>1631.8318100000001</v>
      </c>
      <c r="K363" s="3">
        <f>1916.8+(140.1-359.7)+(2.932704+(0.214353-0.550341))+0-86.1-0.131733000000005</f>
        <v>1613.5649830000002</v>
      </c>
      <c r="L363" s="3">
        <f>1917.6+(139.4-360.9)+(-4.88988+(-0.35547--0.920295))+0-89--0.226949999999987</f>
        <v>1603.0018949999999</v>
      </c>
      <c r="M363" s="3">
        <f>2108.1+(143.6-452.5)+(-4.300524+(-0.292944--0.9231))+0-86.3--0.176051999999996</f>
        <v>1709.4056839999998</v>
      </c>
      <c r="N363" s="3">
        <f>2273.9+(143.7-515.6)+(0+(0-0))+0-55.9-0</f>
        <v>1846.1</v>
      </c>
      <c r="O363" s="3">
        <f>2300.5+(144-435.9)+(1.173255+(0.07344-0.222309))+0-95.1-0.0485009999999904</f>
        <v>1914.4758850000001</v>
      </c>
      <c r="P363" s="3">
        <f>2308.9+(143.3-413.5)+(0+(0-0))+0-76.9-0</f>
        <v>1961.8</v>
      </c>
      <c r="Q363" s="3">
        <f>2307.6+(142.4-394.4)+(0+(0-0))+0-92.3-0</f>
        <v>1963.3</v>
      </c>
      <c r="R363" s="3">
        <f>2346+(142.3-458.9)+(-4.78584+(-0.290292--0.936156))+0-88.6--0.180743999999996</f>
        <v>1936.8407680000003</v>
      </c>
      <c r="S363" s="3">
        <f>2275.4+(143.4-417.1)+(-3.481362+(-0.219402--0.638163))+0-94.5--0.144585000000005</f>
        <v>1904.281984</v>
      </c>
      <c r="T363" s="3">
        <f>2254.2+(141.6-426.6)+(-1.149642+(-0.072216--0.217566))+0-89.7--0.0457469999999909</f>
        <v>1878.5414549999996</v>
      </c>
      <c r="U363" s="3">
        <f>2239+(142-430)+(0+(0-0))+0-58-0</f>
        <v>1893</v>
      </c>
      <c r="V363" s="3">
        <f>2262.5+(121.2-442.6)+(-3.461625+(-0.185436--0.677178))+0-53.5--0.0818550000000031</f>
        <v>1884.7119719999998</v>
      </c>
      <c r="W363" s="3">
        <f>2235.7+(116.9-280.6)+(0+(0-0))+0-96.8-0</f>
        <v>1975.2</v>
      </c>
      <c r="X363" s="3">
        <f>2469.2+(105.4-345.5)+(-1.259292+(-0.053754--0.176205))+0-77.8--0.0396779999999921</f>
        <v>2150.2028369999998</v>
      </c>
      <c r="Y363" s="3">
        <f>2421.8+(117.6-294.2)+(-3.705354+(-0.179928--0.450126))+0-82.4--0.126072000000005</f>
        <v>2159.4909160000002</v>
      </c>
      <c r="Z363" s="3">
        <f>2404.9+(131.2-322.7)+(-3.679497+(-0.200736--0.493731))+0-93.7--0.143361000000005</f>
        <v>2116.4568590000003</v>
      </c>
      <c r="AA363" s="3">
        <f>2411.5+(145-389.6)+(-2.45973+(-0.1479--0.397392))+0-93--0.0948600000000148</f>
        <v>2071.7846220000001</v>
      </c>
      <c r="AB363" s="3">
        <f>2249.6+(144.3-269.6)+(-5.73648+(-0.367965--0.68748))+0-89.5--0.228224999999987</f>
        <v>2029.6112599999999</v>
      </c>
      <c r="AC363" s="3">
        <f>1892.4+(146.3-56.4)+(-2.895372+(-0.223839--0.086292))+0-87.4--0.133722000000005</f>
        <v>1892.0008030000001</v>
      </c>
      <c r="AD363">
        <v>2175.6999999999998</v>
      </c>
      <c r="AE363" s="3">
        <f>2468+(113-305.3)+(0+(0-0))+0-100-0</f>
        <v>2175.6999999999998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1879.8+(143.4-137.4)+(-4.79349+(-0.36567--0.35037))+0-91.4--0.233069999999987</f>
        <v>1789.8242799999998</v>
      </c>
      <c r="G364" s="3">
        <f>1816.3+(143.9-174.9)+(-4.631565+(-0.366945--0.445995))+0-81.8--0.208589999999988</f>
        <v>1699.1560749999999</v>
      </c>
      <c r="H364" s="3">
        <f>1621.8+(169-44.6)+(-0.827118+(-0.08619--0.022746))+0-95.2--0.0485519999999903</f>
        <v>1650.1579899999999</v>
      </c>
      <c r="I364" s="3">
        <f>1564.1+(176.6-46.2)+(-2.393073+(-0.270198--0.070686))+0-62.8--0.0960840000000036</f>
        <v>1629.203499</v>
      </c>
      <c r="J364" s="3">
        <f>1564.9+(198.9-64.3)+(-2.394297+(-0.304317--0.098379))+0-63--0.0963900000000036</f>
        <v>1633.9961549999998</v>
      </c>
      <c r="K364" s="3">
        <f>1565.3+(217.3-87.5)+(-2.394909+(-0.332469--0.133875))+0-82.7--0.126531000000005</f>
        <v>1609.9330279999999</v>
      </c>
      <c r="L364" s="3">
        <f>1622.3+(195.7-87)+(-1.654746+(-0.199614--0.08874))+0-82--0.0836400000000131</f>
        <v>1647.3180200000002</v>
      </c>
      <c r="M364" s="3">
        <f>1686.3+(186.8-87.6)+(0.860013+(0.095268-0.044676))+0-76.5-0.0390149999999922</f>
        <v>1709.87159</v>
      </c>
      <c r="N364" s="3">
        <f>1808.1+(143.3-116.7)+(0.922131+(0.073083-0.059517))+0-17.4-0.00887399999999823</f>
        <v>1818.2268229999995</v>
      </c>
      <c r="O364" s="3">
        <f>2002.1+(144.1-173.1)+(0+(0-0))+0-16.1-0</f>
        <v>1957</v>
      </c>
      <c r="P364" s="3">
        <f>2070.8+(143.5-210.8)+(-3.168324+(-0.219555--0.322524))+0-16.4--0.0250920000000009</f>
        <v>1984.0597370000003</v>
      </c>
      <c r="Q364" s="3">
        <f>2050.1+(142.2-178)+(0+(0-0))+0-16.3-0</f>
        <v>1998</v>
      </c>
      <c r="R364" s="3">
        <f>1979.9+(141.1-131.9)+(-2.019498+(-0.143922--0.134538))+0-17.3--0.0176460000000028</f>
        <v>1969.7887640000001</v>
      </c>
      <c r="S364" s="3">
        <f>1922.9+(151.5-114.9)+(-1.961358+(-0.15453--0.117198))+0-20.3--0.0207060000000032</f>
        <v>1937.2220160000002</v>
      </c>
      <c r="T364" s="3">
        <f>1883.6+(171.6-82.4)+(0+(0-0))+0-88.3-0</f>
        <v>1884.5</v>
      </c>
      <c r="U364" s="3">
        <f>1878.8+(142.4-84.6)+(-0.958188+(-0.072624--0.043146))+0-80.1--0.0408509999999919</f>
        <v>1855.553185</v>
      </c>
      <c r="V364" s="3">
        <f>1892.6+(112.7-108.3)+(-0.965226+(-0.057477--0.055233))+0-67.2--0.0342719999999932</f>
        <v>1828.866802</v>
      </c>
      <c r="W364" s="3">
        <f>2006.3+(60.2-94.5)+(-2.046426+(-0.061404--0.09639))+0-74.1--0.0755820000000118</f>
        <v>1895.964142</v>
      </c>
      <c r="X364" s="3">
        <f>2052+(146-94)+(-1.04652+(-0.07446--0.04794))+0-77.2--0.0393719999999922</f>
        <v>2025.7663319999997</v>
      </c>
      <c r="Y364" s="3">
        <f>2058.3+(132.8-88.2)+(-5.248665+(-0.33864--0.22491))+0-79.9--0.203744999999988</f>
        <v>2017.8413499999999</v>
      </c>
      <c r="Z364" s="3">
        <f>2011+(138.7-85.9)+(-6.15366+(-0.424422--0.262854))+0-82.7--0.25306200000001</f>
        <v>1975.0378340000002</v>
      </c>
      <c r="AA364" s="3">
        <f>1853.5+(212.1-77.6)+(-1.89057+(-0.216342--0.079152))+0-72.4--0.0738480000000115</f>
        <v>1913.646088</v>
      </c>
      <c r="AB364" s="3">
        <f>1792.6+(236.6-73.8)+(-3.656904+(-0.482664--0.150552))+0-90.9--0.185435999999996</f>
        <v>1860.6964199999998</v>
      </c>
      <c r="AC364" s="3">
        <f>1701.2+(174.3-59.2)+(-1.735224+(-0.177786--0.060384))+0-50.6--0.0516120000000081</f>
        <v>1763.8989859999999</v>
      </c>
      <c r="AD364">
        <v>2044.2999999999997</v>
      </c>
      <c r="AE364" s="3">
        <f>2124+(91.7-89.4)+(0+(0-0))+0-82-0</f>
        <v>2044.3000000000002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1764.8+(143.7-162.9)+(0.900048+(0.073287-0.083079))+0-86.2-0.0439619999999913</f>
        <v>1660.2462939999998</v>
      </c>
      <c r="G365" s="3">
        <f>1767.3+(144.1-224.9)+(-4.506615+(-0.367455--0.573495))+0-99.1--0.252704999999986</f>
        <v>1583.35213</v>
      </c>
      <c r="H365" s="3">
        <f>1654.3+(143.7-181.9)+(-0.843693+(-0.073287--0.092769))+0-80.5--0.0410549999999918</f>
        <v>1534.8168439999997</v>
      </c>
      <c r="I365" s="3">
        <f>1616.8+(143.7-160.9)+(-1.649136+(-0.146574--0.164118))+0-89--0.0907800000000142</f>
        <v>1509.0591879999999</v>
      </c>
      <c r="J365" s="3">
        <f>1577.7+(126.8-135.7)+(2.413881+(0.194004-0.207621))+0-69.3-0.106029000000004</f>
        <v>1501.7942350000001</v>
      </c>
      <c r="K365" s="3">
        <f>1549.1+(108.4-117)+(0.790041+(0.055284-0.05967))+0-89.2-0.0454919999999909</f>
        <v>1452.0401629999999</v>
      </c>
      <c r="L365" s="3">
        <f>1525+(114.9-156.3)+(-3.111+(-0.234396--0.318852))+0-80.4--0.164015999999996</f>
        <v>1400.3374719999997</v>
      </c>
      <c r="M365" s="3">
        <f>1552.4+(128.7-160.8)+(0.791724+(0.065637-0.082008))+0-83.8-0.0427379999999915</f>
        <v>1437.2326150000001</v>
      </c>
      <c r="N365" s="3">
        <f>1628.5+(118.6-169)+(1.66107+(0.120972-0.17238))+0-44.1-0.044982000000007</f>
        <v>1535.56468</v>
      </c>
      <c r="O365" s="3">
        <f>1797.6+(138.5-241.4)+(-0.916776+(-0.070635--0.123114))+0-49.1--0.025040999999995</f>
        <v>1644.7607439999999</v>
      </c>
      <c r="P365" s="3">
        <f>1866.1+(143.8-236.1)+(-3.806844+(-0.293352--0.481644))+0-61--0.124439999999997</f>
        <v>1709.3058880000001</v>
      </c>
      <c r="Q365" s="3">
        <f>1880.4+(144.3-240.4)+(-0.959004+(-0.073593--0.122604))+0-67.1--0.0342209999999932</f>
        <v>1716.3242280000002</v>
      </c>
      <c r="R365" s="3">
        <f>1820+(144-182.2)+(-5.5692+(-0.44064--0.557532))+0-77.6--0.237456000000009</f>
        <v>1698.9851480000002</v>
      </c>
      <c r="S365" s="3">
        <f>1755.4+(144.5-119.7)+(0.895254+(0.073695-0.061047))+0-87.4-0.0445739999999911</f>
        <v>1693.6633279999999</v>
      </c>
      <c r="T365" s="3">
        <f>1744.1+(144.1-124.2)+(-0.889491+(-0.073491--0.063342))+0-82--0.0418199999999917</f>
        <v>1681.1421799999998</v>
      </c>
      <c r="U365" s="3">
        <f>1740.1+(133.5-137.9)+(-0.887451+(-0.068085--0.070329))+0-76.9--0.0392189999999922</f>
        <v>1657.9540119999997</v>
      </c>
      <c r="V365" s="3">
        <f>1746.3+(119.4-127.3)+(0+(0-0))+0-70.8-0</f>
        <v>1667.6</v>
      </c>
      <c r="W365" s="3">
        <f>1765.6+(174.8-99.1)+(-3.601824+(-0.356592--0.202164))+0-79.8--0.162791999999997</f>
        <v>1757.9065400000002</v>
      </c>
      <c r="X365" s="3">
        <f>1952.1+(204.8-102.1)+(-2.986713+(-0.313344--0.156213))+0-88.5--0.135405000000005</f>
        <v>1963.2915609999995</v>
      </c>
      <c r="Y365" s="3">
        <f>1961.2+(219.6-104.2)+(-3.000636+(-0.335988--0.159426))+0-87.1--0.133263000000005</f>
        <v>1986.4560650000001</v>
      </c>
      <c r="Z365" s="3">
        <f>1946.3+(206.7-99.2)+(-4.963065+(-0.527085--0.25296))+0-79.2--0.201959999999989</f>
        <v>1969.56477</v>
      </c>
      <c r="AA365" s="3">
        <f>1949.3+(168.7-93.6)+(-3.976572+(-0.344148--0.190944))+0-71.3--0.145451999999997</f>
        <v>1949.1156759999999</v>
      </c>
      <c r="AB365" s="3">
        <f>1947.3+(144.2-99.5)+(-3.972492+(-0.294168--0.20298))+0-63.7--0.129947999999997</f>
        <v>1924.366268</v>
      </c>
      <c r="AC365" s="3">
        <f>1951.7+(144.9-160.5)+(-2.986101+(-0.221697--0.245565))+0-74.8--0.114444000000004</f>
        <v>1858.4522110000003</v>
      </c>
      <c r="AD365">
        <v>1980.3</v>
      </c>
      <c r="AE365" s="3">
        <f>1980+(197.4-105.3)+(0+(0-0))+0-91.8-0</f>
        <v>1980.3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topLeftCell="W1" workbookViewId="0">
      <selection activeCell="AD1" sqref="AD1:AD365"/>
    </sheetView>
  </sheetViews>
  <sheetFormatPr defaultColWidth="9.109375" defaultRowHeight="14.4" x14ac:dyDescent="0.3"/>
  <cols>
    <col min="1" max="5" width="8" customWidth="1"/>
    <col min="6" max="6" width="10" style="1" customWidth="1"/>
    <col min="7" max="16384" width="9.109375" style="1"/>
  </cols>
  <sheetData>
    <row r="1" spans="1:31" s="2" customFormat="1" x14ac:dyDescent="0.3">
      <c r="A1">
        <v>90</v>
      </c>
      <c r="B1">
        <v>1</v>
      </c>
      <c r="C1">
        <v>1</v>
      </c>
      <c r="D1">
        <v>3</v>
      </c>
      <c r="E1">
        <v>2</v>
      </c>
      <c r="F1" s="3">
        <f>232+(232.6-30)+(-0.5916+(-0.59313--0.0765))+0-0-0</f>
        <v>433.49177000000003</v>
      </c>
      <c r="G1" s="3">
        <f>232+(210.9-28)+(-0.35496+(-0.322677--0.04284))+0-0-0</f>
        <v>414.26520299999999</v>
      </c>
      <c r="H1" s="3">
        <f>232+(189.7-28)+(-0.11832+(-0.096747--0.01428))+0-0-0</f>
        <v>393.499213</v>
      </c>
      <c r="I1" s="3">
        <f>232+(172.6-28)+(-0.5916+(-0.44013--0.0714))+0-0-0</f>
        <v>375.63967000000002</v>
      </c>
      <c r="J1" s="3">
        <f>231+(169-30)+(-0.11781+(-0.08619--0.0153))+0-0-0</f>
        <v>369.81130000000002</v>
      </c>
      <c r="K1" s="3">
        <f>231+(163.8-32)+(-0.58905+(-0.41769--0.0816))+0-0-0</f>
        <v>361.87486000000001</v>
      </c>
      <c r="L1" s="3">
        <f>231+(172.3-33)+(0+(0-0))+0-0-0</f>
        <v>370.3</v>
      </c>
      <c r="M1" s="3">
        <f>231+(189.8-32)+(0+(0-0))+0-0-0</f>
        <v>388.8</v>
      </c>
      <c r="N1" s="3">
        <f>229+(203.1-32)+(-0.35037+(-0.310743--0.04896))+0-0-0</f>
        <v>399.48784700000004</v>
      </c>
      <c r="O1" s="3">
        <f>229+(216.3-32)+(-0.11679+(-0.110313--0.01632))+0-0-0</f>
        <v>413.08921700000002</v>
      </c>
      <c r="P1" s="3">
        <f>229+(222.7-30)+(-0.35037+(-0.340731--0.0459))+0-0-0</f>
        <v>421.054799</v>
      </c>
      <c r="Q1" s="3">
        <f>229+(221.8-28)+(-0.35037+(-0.339354--0.04284))+0-0-0</f>
        <v>422.15311600000001</v>
      </c>
      <c r="R1" s="3">
        <f>227+(236.7-32)+(-0.11577+(-0.120717--0.01632))+0-0-0</f>
        <v>431.47983299999999</v>
      </c>
      <c r="S1" s="3">
        <f>228+(244.8-32)+(0.23256+(0.249696-0.03264))+0-0-0</f>
        <v>441.249616</v>
      </c>
      <c r="T1" s="3">
        <f>228+(238.8-33)+(-0.34884+(-0.365364--0.05049))+0-0-0</f>
        <v>433.13628599999998</v>
      </c>
      <c r="U1" s="3">
        <f>228+(227.5-33)+(-0.23256+(-0.23205--0.03366))+0-0-0</f>
        <v>422.06905</v>
      </c>
      <c r="V1" s="3">
        <f>237+(214.5-33)+(-0.12087+(-0.109395--0.01683))+0-0-0</f>
        <v>418.286565</v>
      </c>
      <c r="W1" s="3">
        <f>237+(228.2-33)+(0+(0-0))+0-0-0</f>
        <v>432.2</v>
      </c>
      <c r="X1" s="3">
        <f>237+(271.9-32)+(0+(0-0))+0-0-0</f>
        <v>476.9</v>
      </c>
      <c r="Y1" s="3">
        <f>292+(223-32)+(-0.14892+(-0.11373--0.01632))+0-0-0</f>
        <v>482.75367</v>
      </c>
      <c r="Z1" s="3">
        <f>318+(205.4-32)+(0.16218+(0.104754-0.01632))+0-0-0</f>
        <v>491.65061399999996</v>
      </c>
      <c r="AA1" s="3">
        <f>270+(262.7-31)+(0+(0-0))+0-0-0</f>
        <v>501.7</v>
      </c>
      <c r="AB1" s="3">
        <f>237+(274.9-31)+(0+(0-0))+0-0-0</f>
        <v>480.9</v>
      </c>
      <c r="AC1" s="3">
        <f>237+(250.2-32)+(-0.12087+(-0.127602--0.01632))+0-0-0</f>
        <v>454.967848</v>
      </c>
      <c r="AD1">
        <v>483.4</v>
      </c>
      <c r="AE1" s="3">
        <f>241+(276.4-34)+(0+(0-0))+0-0-0</f>
        <v>483.4</v>
      </c>
    </row>
    <row r="2" spans="1:31" s="2" customFormat="1" x14ac:dyDescent="0.3">
      <c r="A2">
        <v>90</v>
      </c>
      <c r="B2">
        <v>1</v>
      </c>
      <c r="C2">
        <v>2</v>
      </c>
      <c r="D2">
        <v>4</v>
      </c>
      <c r="E2">
        <v>2</v>
      </c>
      <c r="F2" s="3">
        <f>(G2+AC1)/2</f>
        <v>422.983924</v>
      </c>
      <c r="G2" s="3">
        <f>233+(189-31)+(0+(0-0))+0-0-0</f>
        <v>391</v>
      </c>
      <c r="H2" s="3">
        <f>233+(185-30)+(-0.47532+(-0.3774--0.0612))+0-0-0</f>
        <v>387.20848000000001</v>
      </c>
      <c r="I2" s="3">
        <f>233+(181.8-29)+(-0.23766+(-0.185436--0.02958))+0-0-0</f>
        <v>385.40648400000003</v>
      </c>
      <c r="J2" s="3">
        <f>232+(171-29)+(0+(0-0))+0-0-0</f>
        <v>374</v>
      </c>
      <c r="K2" s="3">
        <f>232+(174.9-31)+(-0.35496+(-0.267597--0.04743))+0-0-0</f>
        <v>375.32487299999997</v>
      </c>
      <c r="L2" s="3">
        <f>232+(150.6-32)+(-0.23664+(-0.153612--0.03264))+0-0-0</f>
        <v>350.24238800000001</v>
      </c>
      <c r="M2" s="3">
        <f>231+(152-32)+(-0.82467+(-0.54264--0.11424))+0-0-0</f>
        <v>349.74693000000002</v>
      </c>
      <c r="N2" s="3">
        <f>220+(174-32)+(0.3366+(0.26622-0.04896))+0-0-0</f>
        <v>362.55385999999999</v>
      </c>
      <c r="O2" s="3">
        <f>220+(192-32)+(0.3366+(0.29376-0.04896))+0-0-0</f>
        <v>380.58139999999997</v>
      </c>
      <c r="P2" s="3">
        <f>226+(197.1-32)+(0.23052+(0.201042-0.03264))+0-0-0</f>
        <v>391.49892200000005</v>
      </c>
      <c r="Q2" s="3">
        <f>303+(147.4-33)+(-0.92718+(-0.451044--0.10098))+0-0-0</f>
        <v>416.12275599999998</v>
      </c>
      <c r="R2" s="3">
        <f>300+(166.5-33)+(-0.153+(-0.084915--0.01683))+0-0-0</f>
        <v>433.27891499999998</v>
      </c>
      <c r="S2" s="3">
        <f>228+(248.5-31)+(0.23256+(0.25347-0.03162))+0-0-0</f>
        <v>445.95441</v>
      </c>
      <c r="T2" s="3">
        <f>229+(247-30)+(-0.35037+(-0.37791--0.0459))+0-0-0</f>
        <v>445.31761999999998</v>
      </c>
      <c r="U2" s="3">
        <f>233+(241.7-29)+(0+(0-0))+0-0-0</f>
        <v>445.7</v>
      </c>
      <c r="V2" s="3">
        <f>241+(223.6-28)+(-0.36873+(-0.342108--0.04284))+0-0-0</f>
        <v>435.93200200000001</v>
      </c>
      <c r="W2" s="3">
        <f>241+(207-29)+(-0.49164+(-0.42228--0.05916))+0-0-0</f>
        <v>418.14524</v>
      </c>
      <c r="X2" s="3">
        <f>241+(200.7-31)+(-0.49164+(-0.409428--0.06324))+4.8-0-0</f>
        <v>414.662172</v>
      </c>
      <c r="Y2" s="3">
        <f>241+(227.1-34)+(-0.36873+(-0.347463--0.05202))+10-0-0</f>
        <v>443.43582700000002</v>
      </c>
      <c r="Z2" s="3">
        <f>236+(289.7-32)+(-0.6018+(-0.738735--0.0816))+0-0-0</f>
        <v>492.44106499999998</v>
      </c>
      <c r="AA2" s="3">
        <f>236+(276.5-31)+(-0.12036+(-0.141015--0.01581))+0-0-0</f>
        <v>481.254435</v>
      </c>
      <c r="AB2" s="3">
        <f>236+(296.6-30)+(-0.72216+(-0.907596--0.0918))+0-0-0</f>
        <v>501.06204400000001</v>
      </c>
      <c r="AC2" s="3">
        <f>231+(225.8-30)+(-0.23562+(-0.230316--0.0306))+0-0-0</f>
        <v>426.364664</v>
      </c>
      <c r="AD2">
        <v>484</v>
      </c>
      <c r="AE2" s="3">
        <f>241+(277-34)+(0+(0-0))+0-0-0</f>
        <v>484</v>
      </c>
    </row>
    <row r="3" spans="1:31" s="2" customFormat="1" x14ac:dyDescent="0.3">
      <c r="A3">
        <v>90</v>
      </c>
      <c r="B3">
        <v>1</v>
      </c>
      <c r="C3">
        <v>3</v>
      </c>
      <c r="D3">
        <v>5</v>
      </c>
      <c r="E3">
        <v>2</v>
      </c>
      <c r="F3" s="3">
        <f>232+(229.8-30)+(-0.23664+(-0.234396--0.0306))+0-0-0</f>
        <v>431.35956400000003</v>
      </c>
      <c r="G3" s="3">
        <f>232+(205.8-29)+(0+(0-0))+0-0-0</f>
        <v>408.8</v>
      </c>
      <c r="H3" s="3">
        <f>232+(187.8-29)+(-0.47328+(-0.383112--0.05916))+0-0-0</f>
        <v>390.002768</v>
      </c>
      <c r="I3" s="3">
        <f>232+(173.4-30)+(0+(0-0))+0-0-0</f>
        <v>375.4</v>
      </c>
      <c r="J3" s="3">
        <f>232+(163.4-31)+(-0.5916+(-0.41667--0.07905))+0-0-0</f>
        <v>363.47077999999999</v>
      </c>
      <c r="K3" s="3">
        <f>232+(159.4-32)+(0.47328+(0.325176-0.06528))+0-0-0</f>
        <v>360.13317599999999</v>
      </c>
      <c r="L3" s="3">
        <f>232+(161.9-32)+(-0.35496+(-0.247707--0.04896))+0-0-0</f>
        <v>361.346293</v>
      </c>
      <c r="M3" s="3">
        <f>232+(163.8-32)+(-0.11832+(-0.083538--0.01632))+0-0-0</f>
        <v>363.614462</v>
      </c>
      <c r="N3" s="3">
        <f>231+(176.1-32)+(0+(0-0))+0-0-0</f>
        <v>375.1</v>
      </c>
      <c r="O3" s="3">
        <f>232+(204.9-32)+(-0.11832+(-0.104499--0.01632))+0-0-0</f>
        <v>404.69350099999997</v>
      </c>
      <c r="P3" s="3">
        <f>232+(222.1-32)+(0+(0-0))+0-0-0</f>
        <v>422.1</v>
      </c>
      <c r="Q3" s="3">
        <f>232+(216.7-31)+(0+(0-0))+0-0-0</f>
        <v>417.7</v>
      </c>
      <c r="R3" s="3">
        <f>228+(239.7-32)+(-0.23256+(-0.244494--0.03264))+0-0-0</f>
        <v>435.25558599999999</v>
      </c>
      <c r="S3" s="3">
        <f>228+(245.7-32)+(0+(0-0))+0-0-0</f>
        <v>441.7</v>
      </c>
      <c r="T3" s="3">
        <f>228+(257.4-32)+(0.11628+(0.131274-0.01632))+0-0-0</f>
        <v>453.63123399999995</v>
      </c>
      <c r="U3" s="3">
        <f>228+(258.1-31)+(-0.23256+(-0.263262--0.03162))+0-0-0</f>
        <v>454.63579800000002</v>
      </c>
      <c r="V3" s="3">
        <f>237+(245.7-31)+(0.12087+(0.125307-0.01581))+0-0-0</f>
        <v>451.93036699999999</v>
      </c>
      <c r="W3" s="3">
        <f>237+(229.2-32)+(-0.12087+(-0.116892--0.01632))+0-0-0</f>
        <v>433.97855799999996</v>
      </c>
      <c r="X3" s="3">
        <f>237+(229.5-33)+(0.12087+(0.117045-0.01683))+0-0-0</f>
        <v>433.72108500000002</v>
      </c>
      <c r="Y3" s="3">
        <f>237+(274.1-33)+(0.12087+(0.139791-0.01683))+0-0-0</f>
        <v>478.34383100000002</v>
      </c>
      <c r="Z3" s="3">
        <f>237+(292.6-33)+(-0.12087+(-0.149226--0.01683))+0-0-0</f>
        <v>496.34673400000003</v>
      </c>
      <c r="AA3" s="3">
        <f>237+(296.1-32)+(0+(0-0))+0-0-0</f>
        <v>501.1</v>
      </c>
      <c r="AB3" s="3">
        <f>237+(292.9-31)+(0.12087+(0.149379-0.01581))+0-0-0</f>
        <v>499.15443899999997</v>
      </c>
      <c r="AC3" s="3">
        <f>237+(274.3-30)+(-0.12087+(-0.139893--0.0153))+0-0-0</f>
        <v>481.05453700000004</v>
      </c>
      <c r="AD3">
        <v>492.79999999999995</v>
      </c>
      <c r="AE3" s="3">
        <f>238+(288.8-34)+(0+(0-0))+0-0-0</f>
        <v>492.8</v>
      </c>
    </row>
    <row r="4" spans="1:31" s="2" customFormat="1" x14ac:dyDescent="0.3">
      <c r="A4">
        <v>90</v>
      </c>
      <c r="B4">
        <v>1</v>
      </c>
      <c r="C4">
        <v>4</v>
      </c>
      <c r="D4">
        <v>6</v>
      </c>
      <c r="E4">
        <v>2</v>
      </c>
      <c r="F4" s="3">
        <f>232+(252.7-30)+(-0.11832+(-0.128877--0.0153))+0-0-0</f>
        <v>454.46810299999999</v>
      </c>
      <c r="G4" s="3">
        <f>232+(221.3-29)+(-0.35496+(-0.338589--0.04437))+0-0-0</f>
        <v>423.65082100000001</v>
      </c>
      <c r="H4" s="3">
        <f>232+(202.8-28)+(-0.23664+(-0.206856--0.02856))+0-0-0</f>
        <v>406.385064</v>
      </c>
      <c r="I4" s="3">
        <f>232+(188.6-28)+(0.23664+(0.192372-0.02856))+0-0-0</f>
        <v>393.000452</v>
      </c>
      <c r="J4" s="3">
        <f>232+(179-29)+(-0.23664+(-0.18258--0.02958))+0-0-0</f>
        <v>381.61036000000001</v>
      </c>
      <c r="K4" s="3">
        <f>232+(179.1-31)+(0.35496+(0.274023-0.04743))+0-0-0</f>
        <v>380.68155300000001</v>
      </c>
      <c r="L4" s="3">
        <f>227+(170.4-33)+(-0.57885+(-0.43452--0.08415))+0-0-0</f>
        <v>363.47077999999999</v>
      </c>
      <c r="M4" s="3">
        <f>227+(167.9-33)+(0.23154+(0.171258-0.03366))+0-0-0</f>
        <v>362.269138</v>
      </c>
      <c r="N4" s="3">
        <f>223+(189.8-33)+(0+(0-0))+0-0-0</f>
        <v>379.8</v>
      </c>
      <c r="O4" s="3">
        <f>223+(210.7-32)+(0.11373+(0.107457-0.01632))+0-0-0</f>
        <v>401.90486699999997</v>
      </c>
      <c r="P4" s="3">
        <f>223+(216-32)+(-0.11373+(-0.11016--0.01632))+0-0-0</f>
        <v>406.79243000000002</v>
      </c>
      <c r="Q4" s="3">
        <f>223+(216-32)+(-0.22746+(-0.22032--0.03264))+0-0-0</f>
        <v>406.58485999999999</v>
      </c>
      <c r="R4" s="3">
        <f>223+(255.2-32)+(-0.11373+(-0.130152--0.01632))+0-0-0</f>
        <v>445.97243800000001</v>
      </c>
      <c r="S4" s="3">
        <f>223+(261.2-32)+(-0.34119+(-0.399636--0.04896))+0-0-0</f>
        <v>451.50813399999998</v>
      </c>
      <c r="T4" s="3">
        <f>225+(270.5-33)+(-0.57375+(-0.689775--0.08415))+0-0-0</f>
        <v>461.32062500000001</v>
      </c>
      <c r="U4" s="3">
        <f>227+(263.6-33)+(0.46308+(0.537744-0.06732))+0-0-0</f>
        <v>458.53350400000005</v>
      </c>
      <c r="V4" s="3">
        <f>235+(246.3-32)+(0.11985+(0.125613-0.01632))+0-0-0</f>
        <v>449.52914300000003</v>
      </c>
      <c r="W4" s="3">
        <f>235+(227.7-31)+(-0.2397+(-0.232254--0.03162))+0-0-0</f>
        <v>431.25966599999998</v>
      </c>
      <c r="X4" s="3">
        <f>235+(225.5-32)+(-0.2397+(-0.23001--0.03264))+0-0-0</f>
        <v>428.06292999999999</v>
      </c>
      <c r="Y4" s="3">
        <f>235+(277.2-33)+(0.11985+(0.141372-0.01683))+0-0-0</f>
        <v>479.44439199999999</v>
      </c>
      <c r="Z4" s="3">
        <f>235+(307.7-33)+(0+(0-0))+0-0-0</f>
        <v>509.7</v>
      </c>
      <c r="AA4" s="3">
        <f>235+(303.7-32)+(-0.2397+(-0.309774--0.03264))+0-0-0</f>
        <v>506.18316599999997</v>
      </c>
      <c r="AB4" s="3">
        <f>235+(301.4-31)+(0.11985+(0.153714-0.01581))+0-0-0</f>
        <v>505.65775399999995</v>
      </c>
      <c r="AC4" s="3">
        <f>235+(282.2-30)+(0.11985+(0.143922-0.0153))+0-0-0</f>
        <v>487.44847199999998</v>
      </c>
      <c r="AD4">
        <v>514.5</v>
      </c>
      <c r="AE4" s="3">
        <f>235+(312.5-33)+(0+(0-0))+0-0-0</f>
        <v>514.5</v>
      </c>
    </row>
    <row r="5" spans="1:31" s="2" customFormat="1" x14ac:dyDescent="0.3">
      <c r="A5">
        <v>90</v>
      </c>
      <c r="B5">
        <v>1</v>
      </c>
      <c r="C5">
        <v>5</v>
      </c>
      <c r="D5">
        <v>7</v>
      </c>
      <c r="E5">
        <v>1</v>
      </c>
      <c r="F5" s="3">
        <f>232+(270-30)+(-0.35496+(-0.4131--0.0459))+0-0-0</f>
        <v>471.27784000000003</v>
      </c>
      <c r="G5" s="3">
        <f>232+(236.5-29)+(-0.23664+(-0.24123--0.02958))+0-0-0</f>
        <v>439.05171000000001</v>
      </c>
      <c r="H5" s="3">
        <f>232+(230.4-28)+(0+(0-0))+0-0-0</f>
        <v>434.4</v>
      </c>
      <c r="I5" s="3">
        <f>232+(179.3-28)+(0+(0-0))+0-0-0</f>
        <v>383.3</v>
      </c>
      <c r="J5" s="3">
        <f>232+(153.7-30)+(0.11832+(0.078387-0.0153))+3.2-0-0</f>
        <v>359.08140699999996</v>
      </c>
      <c r="K5" s="3">
        <f>232+(185.6-31)+(0+(0-0))+2.7-0-0</f>
        <v>389.3</v>
      </c>
      <c r="L5" s="3">
        <f>225+(155.2-32)+(0.34425+(0.237456-0.04896))+0-0-0</f>
        <v>348.73274599999996</v>
      </c>
      <c r="M5" s="3">
        <f>225+(147.5-32)+(-0.459+(-0.3009--0.06528))+0-0-0</f>
        <v>339.80538000000001</v>
      </c>
      <c r="N5" s="3">
        <f>222+(170.4-31)+(0.11322+(0.086904-0.01581))+0.7-0-0</f>
        <v>362.28431399999994</v>
      </c>
      <c r="O5" s="3">
        <f>222+(188.5-29)+(-0.33966+(-0.288405--0.04437))+0-0-0</f>
        <v>380.91630500000002</v>
      </c>
      <c r="P5" s="3">
        <f>271+(156.7-30)+(0+(0-0))+0-0-0</f>
        <v>397.7</v>
      </c>
      <c r="Q5" s="3">
        <f>297+(140.5-31)+(0.15147+(0.071655-0.01581))+0-0-0</f>
        <v>406.70731499999999</v>
      </c>
      <c r="R5" s="3">
        <f>283+(179.4-32)+(-0.43299+(-0.274482--0.04896))+0-0-0</f>
        <v>429.741488</v>
      </c>
      <c r="S5" s="3">
        <f>224+(256-32)+(-0.22848+(-0.26112--0.03264))+0-0-0</f>
        <v>447.54304000000002</v>
      </c>
      <c r="T5" s="3">
        <f>222+(251.1-31)+(-0.5661+(-0.640305--0.07905))+0-0-0</f>
        <v>440.972645</v>
      </c>
      <c r="U5" s="3">
        <f>222+(243.6-30)+(-0.33966+(-0.372708--0.0459))+0-0-0</f>
        <v>434.93353200000001</v>
      </c>
      <c r="V5" s="3">
        <f>235+(226-29)+(0+(0-0))+0-0-0</f>
        <v>432</v>
      </c>
      <c r="W5" s="3">
        <f>235+(214.1-28)+(-0.11985+(-0.109191--0.01428))+0-0-0</f>
        <v>420.88523900000001</v>
      </c>
      <c r="X5" s="3">
        <f>235+(208.3-28)+(0+(0-0))+0-0-0</f>
        <v>415.3</v>
      </c>
      <c r="Y5" s="3">
        <f>235+(279.5-31)+(0+(0-0))+0-0-0</f>
        <v>483.5</v>
      </c>
      <c r="Z5" s="3">
        <f>289+(252.9-32)+(-0.29478+(-0.257958--0.03264))+0-0-0</f>
        <v>509.37990199999996</v>
      </c>
      <c r="AA5" s="3">
        <f>260+(284.4-33)+(-0.1326+(-0.145044--0.01683))+0-0-0</f>
        <v>511.139186</v>
      </c>
      <c r="AB5" s="3">
        <f>235+(311.7-33)+(0+(0-0))+0-0-0</f>
        <v>513.70000000000005</v>
      </c>
      <c r="AC5" s="3">
        <f>235+(284.1-32)+(-0.2397+(-0.289782--0.03264))+0-0-0</f>
        <v>486.60315800000001</v>
      </c>
      <c r="AD5">
        <v>551.1</v>
      </c>
      <c r="AE5" s="3">
        <f>315+(267.1-31)+(0+(0-0))+0-0-0</f>
        <v>551.1</v>
      </c>
    </row>
    <row r="6" spans="1:31" s="2" customFormat="1" x14ac:dyDescent="0.3">
      <c r="A6">
        <v>90</v>
      </c>
      <c r="B6">
        <v>1</v>
      </c>
      <c r="C6">
        <v>6</v>
      </c>
      <c r="D6">
        <v>1</v>
      </c>
      <c r="E6">
        <v>1</v>
      </c>
      <c r="F6" s="3">
        <f>231+(271-32)+(-0.23562+(-0.27642--0.03264))+0-0-0</f>
        <v>469.5206</v>
      </c>
      <c r="G6" s="3">
        <f>231+(231.8-30)+(-0.23562+(-0.236436--0.0306))+0-0-0</f>
        <v>432.35854399999999</v>
      </c>
      <c r="H6" s="3">
        <f>231+(214.5-30)+(0+(0-0))+4.6-0-0</f>
        <v>420.1</v>
      </c>
      <c r="I6" s="3">
        <f>231+(199.3-31)+(0+(0-0))+0-0-0</f>
        <v>399.3</v>
      </c>
      <c r="J6" s="3">
        <f>231+(191-32)+(0.23562+(0.19482-0.03264))+0-0-0</f>
        <v>390.39780000000002</v>
      </c>
      <c r="K6" s="3">
        <f>231+(180.4-32)+(-0.47124+(-0.368016--0.06528))+0-0-0</f>
        <v>378.62602399999997</v>
      </c>
      <c r="L6" s="3">
        <f>226+(179.7-33)+(-0.11526+(-0.091647--0.01683))+0-0-0</f>
        <v>372.50992300000001</v>
      </c>
      <c r="M6" s="3">
        <f>226+(180.1-33)+(-0.23052+(-0.183702--0.03366))+0-0-0</f>
        <v>372.71943800000003</v>
      </c>
      <c r="N6" s="3">
        <f>225+(202.4-32)+(0.34425+(0.309672-0.04896))+0-0-0</f>
        <v>396.00496199999998</v>
      </c>
      <c r="O6" s="3">
        <f>280+(170-32)+(-0.1428+(-0.0867--0.01632))+0-0-0</f>
        <v>417.78681999999998</v>
      </c>
      <c r="P6" s="3">
        <f>299+(175.8-33)+(-0.30498+(-0.179316--0.03366))+0-0-0</f>
        <v>441.34936400000004</v>
      </c>
      <c r="Q6" s="3">
        <f>300+(185.6-33)+(-0.153+(-0.094656--0.01683))+0-0-0</f>
        <v>452.36917400000004</v>
      </c>
      <c r="R6" s="3">
        <f>298+(201.2-33)+(-0.15198+(-0.102612--0.01683))+0-0-0</f>
        <v>465.96223800000001</v>
      </c>
      <c r="S6" s="3">
        <f>240+(281.5-33)+(-0.3672+(-0.430695--0.05049))+0-0-0</f>
        <v>487.75259499999999</v>
      </c>
      <c r="T6" s="3">
        <f>223+(298.6-32)+(-0.45492+(-0.609144--0.06528))+0-0-0</f>
        <v>488.60121600000002</v>
      </c>
      <c r="U6" s="3">
        <f>223+(285.6-32)+(-0.45492+(-0.582624--0.06528))+0-0-0</f>
        <v>475.62773600000003</v>
      </c>
      <c r="V6" s="3">
        <f>235+(267.8-31)+(-0.35955+(-0.409734--0.04743))+0-0-0</f>
        <v>471.078146</v>
      </c>
      <c r="W6" s="3">
        <f>235+(249.2-31)+(-0.35955+(-0.381276--0.04743))+0-0-0</f>
        <v>452.50660399999998</v>
      </c>
      <c r="X6" s="3">
        <f>235+(254.4-32)+(-0.35955+(-0.389232--0.04896))+0-0-0</f>
        <v>456.70017799999999</v>
      </c>
      <c r="Y6" s="3">
        <f>261+(266.7-33)+(0+(0-0))+0-0-0</f>
        <v>494.7</v>
      </c>
      <c r="Z6" s="3">
        <f>282+(302.2-33)+(-0.43146+(-0.462366--0.05049))+0-0-0</f>
        <v>550.35666400000002</v>
      </c>
      <c r="AA6" s="3">
        <f>235+(336.5-32)+(-0.35955+(-0.514845--0.04896))+0-0-0</f>
        <v>538.67456500000003</v>
      </c>
      <c r="AB6" s="3">
        <f>235+(330.5-32)+(-0.11985+(-0.168555--0.01632))+0-0-0</f>
        <v>533.22791500000005</v>
      </c>
      <c r="AC6" s="3">
        <f>226+(309.2-31)+(-0.23052+(-0.315384--0.03162))+0-0-0</f>
        <v>503.68571600000001</v>
      </c>
      <c r="AD6">
        <v>530</v>
      </c>
      <c r="AE6" s="3">
        <f>315+(249-34)+(0+(0-0))+0-0-0</f>
        <v>530</v>
      </c>
    </row>
    <row r="7" spans="1:31" s="2" customFormat="1" x14ac:dyDescent="0.3">
      <c r="A7">
        <v>90</v>
      </c>
      <c r="B7">
        <v>1</v>
      </c>
      <c r="C7">
        <v>7</v>
      </c>
      <c r="D7">
        <v>2</v>
      </c>
      <c r="E7">
        <v>1</v>
      </c>
      <c r="F7" s="3">
        <f>227+(272.2-32)+(0+(0-0))+0-0-0</f>
        <v>467.2</v>
      </c>
      <c r="G7" s="3">
        <f>227+(244.2-31)+(0+(0-0))+0-0-0</f>
        <v>440.2</v>
      </c>
      <c r="H7" s="3">
        <f>227+(225.1-31)+(-0.34731+(-0.344403--0.04743))+0-0-0</f>
        <v>420.45571700000005</v>
      </c>
      <c r="I7" s="3">
        <f>227+(205.3-31)+(0.11577+(0.104703-0.01581))+0-0-0</f>
        <v>401.50466299999999</v>
      </c>
      <c r="J7" s="3">
        <f>227+(189.6-31)+(0+(0-0))+0-0-0</f>
        <v>385.6</v>
      </c>
      <c r="K7" s="3">
        <f>227+(185.6-30)+(0.23154+(0.189312-0.0306))+0-0-0</f>
        <v>382.990252</v>
      </c>
      <c r="L7" s="3">
        <f>226+(155.9-30)+(-0.23052+(-0.159018--0.0306))+2.8-0-0</f>
        <v>354.34106199999997</v>
      </c>
      <c r="M7" s="3">
        <f>226+(167.6-31)+(0+(0-0))+0.5-0-0</f>
        <v>363.1</v>
      </c>
      <c r="N7" s="3">
        <f>226+(198.6-32)+(0+(0-0))+0-0-0</f>
        <v>392.6</v>
      </c>
      <c r="O7" s="3">
        <f>269+(173.6-32)+(0+(0-0))+0-0-0</f>
        <v>410.6</v>
      </c>
      <c r="P7" s="3">
        <f>301+(170.9-32)+(0.30702+(0.174318-0.03264))+0-0-0</f>
        <v>440.34869799999996</v>
      </c>
      <c r="Q7" s="3">
        <f>275+(220.5-32)+(-0.561+(-0.44982--0.06528))+0-0-0</f>
        <v>462.55446000000001</v>
      </c>
      <c r="R7" s="3">
        <f>229+(269.6-33)+(-0.46716+(-0.549984--0.06732))+0-0-0</f>
        <v>464.65017600000004</v>
      </c>
      <c r="S7" s="3">
        <f>246+(217.8-33)+(-0.12546+(-0.111078--0.01683))+1.9-0-0</f>
        <v>432.48029199999996</v>
      </c>
      <c r="T7" s="3">
        <f>302+(198.1-32)+(0.30804+(0.202062-0.03264))+6-0-0</f>
        <v>474.57746200000003</v>
      </c>
      <c r="U7" s="3">
        <f>274+(215.5-31)+(-0.27948+(-0.21981--0.03162))+6-0-0</f>
        <v>464.03233</v>
      </c>
      <c r="V7" s="3">
        <f>236+(289.9-31)+(-0.36108+(-0.443547--0.04743))+3.6-0-0</f>
        <v>497.74280299999998</v>
      </c>
      <c r="W7" s="3">
        <f>236+(234.7-31)+(0.24072+(0.239394-0.03162))+0-0-0</f>
        <v>440.14849399999997</v>
      </c>
      <c r="X7" s="3">
        <f>236+(234.9-32)+(-0.12036+(-0.119799--0.01632))+0-0-0</f>
        <v>438.67616099999998</v>
      </c>
      <c r="Y7" s="3">
        <f>277+(245.9-32)+(0.42381+(0.376227-0.04896))+0-0-0</f>
        <v>491.65107699999999</v>
      </c>
      <c r="Z7" s="3">
        <f>315+(237.6-33)+(0.16065+(0.121176-0.01683))+0-0-0</f>
        <v>519.86499600000002</v>
      </c>
      <c r="AA7" s="3">
        <f>315+(242.9-33)+(0+(0-0))+0-0-0</f>
        <v>524.9</v>
      </c>
      <c r="AB7" s="3">
        <f>315+(234.1-34)+(0+(0-0))+0-0-0</f>
        <v>515.1</v>
      </c>
      <c r="AC7" s="3">
        <f>315+(214.7-33)+(0.16065+(0.109497-0.01683))+0-0-0</f>
        <v>496.95331699999997</v>
      </c>
      <c r="AD7">
        <v>514</v>
      </c>
      <c r="AE7" s="3">
        <f>312+(235-33)+(0+(0-0))+0-0-0</f>
        <v>514</v>
      </c>
    </row>
    <row r="8" spans="1:31" s="2" customFormat="1" x14ac:dyDescent="0.3">
      <c r="A8">
        <v>90</v>
      </c>
      <c r="B8">
        <v>1</v>
      </c>
      <c r="C8">
        <v>8</v>
      </c>
      <c r="D8">
        <v>3</v>
      </c>
      <c r="E8">
        <v>1</v>
      </c>
      <c r="F8" s="3">
        <f>310+(177.2-31)+(-0.9486+(-0.542232--0.09486))+0-0-0</f>
        <v>454.80402800000002</v>
      </c>
      <c r="G8" s="3">
        <f>310+(154.5-30)+(-0.4743+(-0.236385--0.0459))+0-0-0</f>
        <v>433.83521500000001</v>
      </c>
      <c r="H8" s="3">
        <f>310+(132.3-30)+(-0.1581+(-0.067473--0.0153))+0-0-0</f>
        <v>412.08972700000004</v>
      </c>
      <c r="I8" s="3">
        <f>288+(137.3-29)+(-0.7344+(-0.350115--0.07395))+0-0-0</f>
        <v>395.28943500000003</v>
      </c>
      <c r="J8" s="3">
        <f>231+(180.8-29)+(0+(0-0))+0-0-0</f>
        <v>382.8</v>
      </c>
      <c r="K8" s="3">
        <f>231+(180.8-31)+(0.35343+(0.276624-0.04743))+0-0-0</f>
        <v>381.38262400000002</v>
      </c>
      <c r="L8" s="3">
        <f>233+(162-33)+(0.23766+(0.16524-0.03366))+0-0-0</f>
        <v>362.36923999999999</v>
      </c>
      <c r="M8" s="3">
        <f>233+(178.5-32)+(-0.35649+(-0.273105--0.04896))+0-0-0</f>
        <v>378.91936500000003</v>
      </c>
      <c r="N8" s="3">
        <f>233+(191-30)+(-0.11883+(-0.09741--0.0153))+0-0-0</f>
        <v>393.79906</v>
      </c>
      <c r="O8" s="3">
        <f>233+(200.5-29)+(-0.23766+(-0.20451--0.02958))+0-0-0</f>
        <v>404.08740999999998</v>
      </c>
      <c r="P8" s="3">
        <f>290+(154.7-28)+(-0.2958+(-0.157794--0.02856))+0-0-0</f>
        <v>416.27496600000001</v>
      </c>
      <c r="Q8" s="3">
        <f>306+(154.9-28)+(-0.15606+(-0.078999--0.01428))+0-0-0</f>
        <v>432.67922099999998</v>
      </c>
      <c r="R8" s="3">
        <f>306+(176.3-31)+(-0.31212+(-0.179826--0.03162))+0-0-0</f>
        <v>450.839674</v>
      </c>
      <c r="S8" s="3">
        <f>306+(187.9-32)+(-0.31212+(-0.191658--0.03264))+0-0-0</f>
        <v>461.42886199999998</v>
      </c>
      <c r="T8" s="3">
        <f>275+(220.9-33)+(-0.561+(-0.450636--0.06732))+0-0-0</f>
        <v>461.95568399999996</v>
      </c>
      <c r="U8" s="3">
        <f>234+(253.5-33)+(-0.11934+(-0.129285--0.01683))+0-0-0</f>
        <v>454.26820500000002</v>
      </c>
      <c r="V8" s="3">
        <f>237+(239.9-33)+(-0.48348+(-0.489396--0.06732))+0-0-0</f>
        <v>442.99444399999999</v>
      </c>
      <c r="W8" s="3">
        <f>237+(215.9-33)+(-0.48348+(-0.440436--0.06732))+0-0-0</f>
        <v>419.04340399999995</v>
      </c>
      <c r="X8" s="3">
        <f>237+(217.1-33)+(0.12087+(0.110721-0.01683))+0-0-0</f>
        <v>421.31476100000003</v>
      </c>
      <c r="Y8" s="3">
        <f>245+(262.3-33)+(0.12495+(0.133773-0.01683))+0-0-0</f>
        <v>474.54189300000002</v>
      </c>
      <c r="Z8" s="3">
        <f>315+(216.4-33)+(-0.16065+(-0.110364--0.01683))+0-0-0</f>
        <v>498.14581599999997</v>
      </c>
      <c r="AA8" s="3">
        <f>315+(216.1-33)+(-0.6426+(-0.440844--0.06732))+0-0-0</f>
        <v>497.08387600000003</v>
      </c>
      <c r="AB8" s="3">
        <f>244+(283.4-33)+(-0.24888+(-0.289068--0.03366))+0-0-0</f>
        <v>493.895712</v>
      </c>
      <c r="AC8" s="3">
        <f>237+(262.1-33)+(-0.12087+(-0.133671--0.01683))+0-0-0</f>
        <v>465.86228900000003</v>
      </c>
      <c r="AD8">
        <v>505.1</v>
      </c>
      <c r="AE8" s="3">
        <f>314+(224.1-33)+(0+(0-0))+0-0-0</f>
        <v>505.1</v>
      </c>
    </row>
    <row r="9" spans="1:31" s="2" customFormat="1" x14ac:dyDescent="0.3">
      <c r="A9">
        <v>90</v>
      </c>
      <c r="B9">
        <v>1</v>
      </c>
      <c r="C9">
        <v>9</v>
      </c>
      <c r="D9">
        <v>4</v>
      </c>
      <c r="E9">
        <v>1</v>
      </c>
      <c r="F9" s="3">
        <f>234+(260.7-28)+(-0.23868+(-0.265914--0.02856))+0-0-0</f>
        <v>466.22396599999996</v>
      </c>
      <c r="G9" s="3">
        <f>234+(233.8-27)+(-0.5967+(-0.59619--0.06885))+0-0-0</f>
        <v>439.67596000000003</v>
      </c>
      <c r="H9" s="3">
        <f>234+(205.4-26)+(0+(0-0))+0-0-0</f>
        <v>413.4</v>
      </c>
      <c r="I9" s="3">
        <f>234+(184.2-26)+(-0.47736+(-0.375768--0.05304))+0-0-0</f>
        <v>391.39991199999997</v>
      </c>
      <c r="J9" s="3">
        <f>234+(170.5-27)+(-0.23868+(-0.17391--0.02754))+0-0-0</f>
        <v>377.11495000000002</v>
      </c>
      <c r="K9" s="3">
        <f>234+(165-29)+(-0.11934+(-0.08415--0.01479))+0-0-0</f>
        <v>369.81130000000002</v>
      </c>
      <c r="L9" s="3">
        <f>233+(168.1-30)+(0+(0-0))+0-0-0</f>
        <v>371.1</v>
      </c>
      <c r="M9" s="3">
        <f>233+(167.2-29)+(-0.47532+(-0.341088--0.05916))+0-0-0</f>
        <v>370.44275199999998</v>
      </c>
      <c r="N9" s="3">
        <f>233+(186-28)+(0.11883+(0.09486-0.01428))+0-0-0</f>
        <v>391.19941</v>
      </c>
      <c r="O9" s="3">
        <f>291+(155.8-28)+(0+(0-0))+0-0-0</f>
        <v>418.8</v>
      </c>
      <c r="P9" s="3">
        <f>309+(143.7-29)+(-0.31518+(-0.146574--0.02958))+0-0-0</f>
        <v>423.26782600000001</v>
      </c>
      <c r="Q9" s="3">
        <f>307+(160.1-30)+(-0.15657+(-0.081651--0.0153))+0-0-0</f>
        <v>436.87707900000004</v>
      </c>
      <c r="R9" s="3">
        <f>307+(177.4-30)+(-0.93942+(-0.542844--0.0918))+0-0-0</f>
        <v>453.00953599999997</v>
      </c>
      <c r="S9" s="3">
        <f>238+(217.7-31)+(-0.36414+(-0.333081--0.04743))+0-0-0</f>
        <v>424.050209</v>
      </c>
      <c r="T9" s="3">
        <f>233+(224.1-33)+(-0.35649+(-0.342873--0.05049))+0-0-0</f>
        <v>423.45112700000004</v>
      </c>
      <c r="U9" s="3">
        <f>233+(220.4-33)+(-0.35649+(-0.337212--0.05049))+0-0-0</f>
        <v>419.75678799999997</v>
      </c>
      <c r="V9" s="3">
        <f>236+(212.4-32)+(-0.24072+(-0.216648--0.03264))+0-0-0</f>
        <v>415.97527199999996</v>
      </c>
      <c r="W9" s="3">
        <f>236+(223.5-31)+(-0.36108+(-0.341955--0.04743))+0-0-0</f>
        <v>427.84439500000002</v>
      </c>
      <c r="X9" s="3">
        <f>236+(225.2-32)+(-0.48144+(-0.459408--0.06528))+0-0-0</f>
        <v>428.324432</v>
      </c>
      <c r="Y9" s="3">
        <f>242+(246.1-33)+(0.12342+(0.125511-0.01683))+0-0-0</f>
        <v>455.33210100000002</v>
      </c>
      <c r="Z9" s="3">
        <f>316+(219.4-33)+(0+(0-0))+0-0-0</f>
        <v>502.4</v>
      </c>
      <c r="AA9" s="3">
        <f>316+(221.1-32)+(-0.8058+(-0.563805--0.0816))+0-0-0</f>
        <v>503.81199500000002</v>
      </c>
      <c r="AB9" s="3">
        <f>316+(212.4-31)+(-0.64464+(-0.433296--0.06324))+0-0-0</f>
        <v>496.38530399999996</v>
      </c>
      <c r="AC9" s="3">
        <f>305+(206.8-31)+(-0.46665+(-0.316404--0.04743))+0-0-0</f>
        <v>480.06437600000004</v>
      </c>
      <c r="AD9">
        <v>495.9</v>
      </c>
      <c r="AE9" s="3">
        <f>313+(215.9-33)+(0+(0-0))+0-0-0</f>
        <v>495.9</v>
      </c>
    </row>
    <row r="10" spans="1:31" s="2" customFormat="1" x14ac:dyDescent="0.3">
      <c r="A10">
        <v>90</v>
      </c>
      <c r="B10">
        <v>1</v>
      </c>
      <c r="C10">
        <v>10</v>
      </c>
      <c r="D10">
        <v>5</v>
      </c>
      <c r="E10">
        <v>1</v>
      </c>
      <c r="F10" s="3">
        <f>235+(250.2-31)+(-0.2397+(-0.255204--0.03162))+0-0-0</f>
        <v>453.736716</v>
      </c>
      <c r="G10" s="3">
        <f>235+(219.2-31)+(-0.59925+(-0.55896--0.07905))+0-0-0</f>
        <v>422.12083999999999</v>
      </c>
      <c r="H10" s="3">
        <f>235+(201.6-30)+(-0.11985+(-0.102816--0.0153))+0-0-0</f>
        <v>406.39263400000004</v>
      </c>
      <c r="I10" s="3">
        <f>235+(188.5-30)+(-0.4794+(-0.38454--0.0612))+0-0-0</f>
        <v>392.69726000000003</v>
      </c>
      <c r="J10" s="3">
        <f>235+(176.2-30)+(0+(0-0))+0-0-0</f>
        <v>381.2</v>
      </c>
      <c r="K10" s="3">
        <f>235+(170.7-29)+(-0.11985+(-0.087057--0.01479))+0-0-0</f>
        <v>376.50788299999999</v>
      </c>
      <c r="L10" s="3">
        <f>232+(170.7-29)+(-0.23664+(-0.174114--0.02958))+0-0-0</f>
        <v>373.318826</v>
      </c>
      <c r="M10" s="3">
        <f>232+(175-32)+(0.11832+(0.08925-0.01632))+0-0-0</f>
        <v>375.19125000000003</v>
      </c>
      <c r="N10" s="3">
        <f>231+(194.3-34)+(0+(0-0))+0-0-0</f>
        <v>391.3</v>
      </c>
      <c r="O10" s="3">
        <f>284+(160.4-34)+(0+(0-0))+0-0-0</f>
        <v>410.4</v>
      </c>
      <c r="P10" s="3">
        <f>308+(157.5-34)+(0.15708+(0.080325-0.01734))+0-0-0</f>
        <v>431.72006499999998</v>
      </c>
      <c r="Q10" s="3">
        <f>307+(162.8-34)+(-0.46971+(-0.249084--0.05202))+0-0-0</f>
        <v>435.13322600000004</v>
      </c>
      <c r="R10" s="3">
        <f>307+(177.5-33)+(-0.62628+(-0.3621--0.06732))+0-0-0</f>
        <v>450.57893999999999</v>
      </c>
      <c r="S10" s="3">
        <f>305+(187.9-33)+(0+(0-0))+0-0-0</f>
        <v>459.9</v>
      </c>
      <c r="T10" s="3">
        <f>305+(191.8-32)+(-0.15555+(-0.097818--0.01632))+0-0-0</f>
        <v>464.562952</v>
      </c>
      <c r="U10" s="3">
        <f>305+(190.6-31)+(-0.3111+(-0.194412--0.03162))+0-0-0</f>
        <v>464.12610800000004</v>
      </c>
      <c r="V10" s="3">
        <f>310+(172.2-30)+(0+(0-0))+0-0-0</f>
        <v>452.2</v>
      </c>
      <c r="W10" s="3">
        <f>311+(159.2-31)+(-0.31722+(-0.162384--0.03162))+0-0-0</f>
        <v>438.75201599999997</v>
      </c>
      <c r="X10" s="3">
        <f>312+(160.3-32)+(-0.7956+(-0.408765--0.0816))+0-0-0</f>
        <v>439.177235</v>
      </c>
      <c r="Y10" s="3">
        <f>312+(208.7-32)+(0.31824+(0.212874-0.03264))+0-0-0</f>
        <v>489.19847399999998</v>
      </c>
      <c r="Z10" s="3">
        <f>329+(213-33)+(-0.67116+(-0.43452--0.06732))+0-0-0</f>
        <v>507.96163999999999</v>
      </c>
      <c r="AA10" s="3">
        <f>355+(191.1-31)+(0.18105+(0.097461-0.01581))+0-0-0</f>
        <v>515.36270100000002</v>
      </c>
      <c r="AB10" s="3">
        <f>355+(165.8-30)+(-0.7242+(-0.338232--0.0612))+0-0-0</f>
        <v>489.798768</v>
      </c>
      <c r="AC10" s="3">
        <f>356+(154.6-29)+(-0.18156+(-0.078846--0.01479))+0-0-0</f>
        <v>481.35438400000004</v>
      </c>
      <c r="AD10">
        <v>498.1</v>
      </c>
      <c r="AE10" s="3">
        <f>312+(219.1-33)+(0+(0-0))+0-0-0</f>
        <v>498.1</v>
      </c>
    </row>
    <row r="11" spans="1:31" s="2" customFormat="1" x14ac:dyDescent="0.3">
      <c r="A11">
        <v>90</v>
      </c>
      <c r="B11">
        <v>1</v>
      </c>
      <c r="C11">
        <v>11</v>
      </c>
      <c r="D11">
        <v>6</v>
      </c>
      <c r="E11">
        <v>1</v>
      </c>
      <c r="F11" s="3">
        <f>315+(174.4-29)+(-0.16065+(-0.088944--0.01479))+0-0-0</f>
        <v>460.16519599999998</v>
      </c>
      <c r="G11" s="3">
        <f>308+(161.2-30)+(-0.47124+(-0.246636--0.0459))+0-0-0</f>
        <v>438.52802400000002</v>
      </c>
      <c r="H11" s="3">
        <f>229+(196.6-31)+(-0.11679+(-0.100266--0.01581))+0-0-0</f>
        <v>394.398754</v>
      </c>
      <c r="I11" s="3">
        <f>230+(189.7-32)+(-0.4692+(-0.386988--0.06528))+0-0-0</f>
        <v>386.90909199999999</v>
      </c>
      <c r="J11" s="3">
        <f>230+(186.4-32)+(-0.7038+(-0.570384--0.09792))+0-0-0</f>
        <v>383.22373599999997</v>
      </c>
      <c r="K11" s="3">
        <f>230+(172.2-32)+(-0.1173+(-0.087822--0.01632))+0-0-0</f>
        <v>370.01119799999998</v>
      </c>
      <c r="L11" s="3">
        <f>231+(175.3-31)+(-0.35343+(-0.268209--0.04743))+0-0-0</f>
        <v>374.72579100000002</v>
      </c>
      <c r="M11" s="3">
        <f>231+(190.2-31)+(-0.11781+(-0.097002--0.01581))+0-0-0</f>
        <v>390.00099799999998</v>
      </c>
      <c r="N11" s="3">
        <f>231+(203.9-32)+(0.11781+(0.103989-0.01632))+0-0-0</f>
        <v>403.105479</v>
      </c>
      <c r="O11" s="3">
        <f>244+(198.9-31)+(0.37332+(0.304317-0.04743))+0-0-0</f>
        <v>412.53020699999996</v>
      </c>
      <c r="P11" s="3">
        <f>302+(176.9-31)+(-0.15402+(-0.090219--0.01581))+0-0-0</f>
        <v>447.67157099999997</v>
      </c>
      <c r="Q11" s="3">
        <f>300+(168.3-31)+(0.459+(0.257499-0.04743))+0-0-0</f>
        <v>437.96906899999999</v>
      </c>
      <c r="R11" s="3">
        <f>299+(194-31)+(0+(0-0))+0-0-0</f>
        <v>462</v>
      </c>
      <c r="S11" s="3">
        <f>299+(200.8-32)+(-0.30498+(-0.204816--0.03264))+0-0-0</f>
        <v>467.32284400000003</v>
      </c>
      <c r="T11" s="3">
        <f>299+(205.7-32)+(-0.60996+(-0.419628--0.06528))+0-0-0</f>
        <v>471.73569199999997</v>
      </c>
      <c r="U11" s="3">
        <f>299+(196.7-32)+(0.15249+(0.100317-0.01632))+0-0-0</f>
        <v>463.936487</v>
      </c>
      <c r="V11" s="3">
        <f>303+(185.7-31)+(-0.77265+(-0.473535--0.07905))+0-0-0</f>
        <v>456.53286500000002</v>
      </c>
      <c r="W11" s="3">
        <f>305+(161.8-31)+(-0.46665+(-0.247554--0.04743))+0-0-0</f>
        <v>435.13322600000004</v>
      </c>
      <c r="X11" s="3">
        <f>306+(164-32)+(-0.62424+(-0.33456--0.06528))+0-0-0</f>
        <v>437.10647999999998</v>
      </c>
      <c r="Y11" s="3">
        <f>308+(202.3-33)+(0.31416+(0.206346-0.03366))+0-0-0</f>
        <v>477.78684600000003</v>
      </c>
      <c r="Z11" s="3">
        <f>308+(230.3-33)+(-0.62832+(-0.469812--0.06732))+0-0-0</f>
        <v>504.26918799999999</v>
      </c>
      <c r="AA11" s="3">
        <f>309+(235.6-33)+(-0.63036+(-0.480624--0.06732))+0-0-0</f>
        <v>510.55633600000004</v>
      </c>
      <c r="AB11" s="3">
        <f>271+(282.4-33)+(-0.69105+(-0.72012--0.08415))+0-0-0</f>
        <v>519.07298000000003</v>
      </c>
      <c r="AC11" s="3">
        <f>232+(289.8-34)+(0.11832+(0.147798-0.01734))+0-0-0</f>
        <v>488.04877800000003</v>
      </c>
      <c r="AD11">
        <v>497.1</v>
      </c>
      <c r="AE11" s="3">
        <f>307+(223.1-33)+(0+(0-0))+0-0-0</f>
        <v>497.1</v>
      </c>
    </row>
    <row r="12" spans="1:31" s="2" customFormat="1" x14ac:dyDescent="0.3">
      <c r="A12">
        <v>90</v>
      </c>
      <c r="B12">
        <v>1</v>
      </c>
      <c r="C12">
        <v>12</v>
      </c>
      <c r="D12">
        <v>7</v>
      </c>
      <c r="E12">
        <v>2</v>
      </c>
      <c r="F12" s="3">
        <f>230+(281.5-32)+(0+(0-0))+0-0-0</f>
        <v>479.5</v>
      </c>
      <c r="G12" s="3">
        <f>230+(223.7-31)+(-0.3519+(-0.342261--0.04743))+0-0-0</f>
        <v>422.053269</v>
      </c>
      <c r="H12" s="3">
        <f>230+(222.8-31)+(-0.7038+(-0.681768--0.09486))+0-0-0</f>
        <v>420.50929200000002</v>
      </c>
      <c r="I12" s="3">
        <f>230+(190.9-31)+(-0.4692+(-0.389436--0.06324))+0-0-0</f>
        <v>389.10460399999999</v>
      </c>
      <c r="J12" s="3">
        <f>230+(208.6-31)+(-0.1173+(-0.106386--0.01581))+0-0-0</f>
        <v>407.39212400000002</v>
      </c>
      <c r="K12" s="3">
        <f>230+(186.2-31)+(-0.1173+(-0.094962--0.01581))+0-0-0</f>
        <v>385.00354799999997</v>
      </c>
      <c r="L12" s="3">
        <f>229+(164.9-32)+(-0.70074+(-0.504594--0.09792))+0-0-0</f>
        <v>360.79258599999997</v>
      </c>
      <c r="M12" s="3">
        <f>229+(173-31)+(-0.23358+(-0.17646--0.03162))+0-0-0</f>
        <v>370.62157999999999</v>
      </c>
      <c r="N12" s="3">
        <f>229+(180-31)+(0.11679+(0.0918-0.01581))+0-0-0</f>
        <v>378.19278000000003</v>
      </c>
      <c r="O12" s="3">
        <f>229+(206.2-32)+(-0.35037+(-0.315486--0.04896))+0-0-0</f>
        <v>402.58310399999999</v>
      </c>
      <c r="P12" s="3">
        <f>277+(180.8-33)+(-0.42381+(-0.276624--0.05049))+0-0-0</f>
        <v>424.15005600000001</v>
      </c>
      <c r="Q12" s="3">
        <f>300+(157.6-33)+(-0.612+(-0.321504--0.06732))+0-0-0</f>
        <v>423.73381600000005</v>
      </c>
      <c r="R12" s="3">
        <f>298+(175.3-33)+(-0.45594+(-0.268209--0.05049))+0-0-0</f>
        <v>439.62634100000002</v>
      </c>
      <c r="S12" s="3">
        <f>299+(184.1-33)+(-0.15249+(-0.093891--0.01683))+0-0-0</f>
        <v>449.87044900000001</v>
      </c>
      <c r="T12" s="3">
        <f>299+(184.2-32)+(0+(0-0))+0-0-0</f>
        <v>451.2</v>
      </c>
      <c r="U12" s="3">
        <f>295+(190.7-32)+(-0.45135+(-0.291771--0.04896))+0-0-0</f>
        <v>453.00583899999998</v>
      </c>
      <c r="V12" s="3">
        <f>232+(224.5-31)+(-0.47328+(-0.45798--0.06324))+0-0-0</f>
        <v>424.63198</v>
      </c>
      <c r="W12" s="3">
        <f>232+(205.6-30)+(0.23664+(0.209712-0.0306))+0-0-0</f>
        <v>408.01575200000002</v>
      </c>
      <c r="X12" s="3">
        <f>233+(203.6-30)+(-0.59415+(-0.51918--0.0765))+0-0-0</f>
        <v>405.56317000000001</v>
      </c>
      <c r="Y12" s="3">
        <f>256+(223.1-32)+(0+(0-0))+0-0-0</f>
        <v>447.1</v>
      </c>
      <c r="Z12" s="3">
        <f>311+(217.9-33)+(0+(0-0))+0-0-0</f>
        <v>495.9</v>
      </c>
      <c r="AA12" s="3">
        <f>311+(222.4-33)+(-0.79305+(-0.56712--0.08415))+0-0-0</f>
        <v>499.12397999999996</v>
      </c>
      <c r="AB12" s="3">
        <f>313+(222.8-33)+(-0.63852+(-0.454512--0.06732))+0-0-0</f>
        <v>501.77428800000001</v>
      </c>
      <c r="AC12" s="3">
        <f>314+(201.1-32)+(-0.48042+(-0.307683--0.04896))+0-0-0</f>
        <v>482.36085700000001</v>
      </c>
      <c r="AD12">
        <v>487.5</v>
      </c>
      <c r="AE12" s="3">
        <f>309+(211.5-33)+(0+(0-0))+0-0-0</f>
        <v>487.5</v>
      </c>
    </row>
    <row r="13" spans="1:31" s="2" customFormat="1" x14ac:dyDescent="0.3">
      <c r="A13">
        <v>90</v>
      </c>
      <c r="B13">
        <v>1</v>
      </c>
      <c r="C13">
        <v>13</v>
      </c>
      <c r="D13">
        <v>1</v>
      </c>
      <c r="E13">
        <v>2</v>
      </c>
      <c r="F13" s="3">
        <f>263+(238-32)+(-0.26826+(-0.24276--0.03264))+0-0-0</f>
        <v>468.52161999999998</v>
      </c>
      <c r="G13" s="3">
        <f>230+(223.9-31)+(-0.4692+(-0.456756--0.06324))+0-0-0</f>
        <v>422.037284</v>
      </c>
      <c r="H13" s="3">
        <f>230+(208.1-30)+(-0.5865+(-0.530655--0.0765))+0-0-0</f>
        <v>407.05934500000001</v>
      </c>
      <c r="I13" s="3">
        <f>230+(193.3-29)+(0.2346+(0.197166-0.02958))+0-0-0</f>
        <v>394.70218599999998</v>
      </c>
      <c r="J13" s="3">
        <f>230+(187.3-30)+(-0.2346+(-0.191046--0.0306))+0-0-0</f>
        <v>386.90495400000003</v>
      </c>
      <c r="K13" s="3">
        <f>213+(199.2-30)+(0.10863+(0.101592-0.0153))+0-0-0</f>
        <v>382.39492200000001</v>
      </c>
      <c r="L13" s="3">
        <f>213+(185.6-30)+(-0.76041+(-0.662592--0.1071))+0-0-0</f>
        <v>367.28409800000003</v>
      </c>
      <c r="M13" s="3">
        <f>213+(192.7-30)+(-0.10863+(-0.098277--0.0153))+0-0-0</f>
        <v>375.50839300000001</v>
      </c>
      <c r="N13" s="3">
        <f>213+(212.7-30)+(0.10863+(0.108477-0.0153))+0-0-0</f>
        <v>395.90180699999996</v>
      </c>
      <c r="O13" s="3">
        <f>213+(207.7-29)+(-0.32589+(-0.317781--0.04437))+0-0-0</f>
        <v>391.10069899999996</v>
      </c>
      <c r="P13" s="3">
        <f>213+(215-33)+(0.21726+(0.2193-0.03366))+0-0-0</f>
        <v>395.40289999999999</v>
      </c>
      <c r="Q13" s="3">
        <f>213+(224-33)+(-0.21726+(-0.22848--0.03366))+0-0-0</f>
        <v>403.58792</v>
      </c>
      <c r="R13" s="3">
        <f>215+(242.5-34)+(-0.2193+(-0.24735--0.03468))+0-0-0</f>
        <v>423.06803000000002</v>
      </c>
      <c r="S13" s="3">
        <f>215+(249.5-33)+(0+(0-0))+0-0-0</f>
        <v>431.5</v>
      </c>
      <c r="T13" s="3">
        <f>215+(256.5-33)+(-0.10965+(-0.130815--0.01683))+0-0-0</f>
        <v>438.276365</v>
      </c>
      <c r="U13" s="3">
        <f>215+(255.4-32)+(-0.2193+(-0.260508--0.03264))+0-0-0</f>
        <v>437.952832</v>
      </c>
      <c r="V13" s="3">
        <f>215+(247.3-30)+(-0.2193+(-0.252246--0.0306))+0-0-0</f>
        <v>431.85905400000001</v>
      </c>
      <c r="W13" s="3">
        <f>215+(239.9-28)+(-0.10965+(-0.122349--0.01428))+0-0-0</f>
        <v>426.68228099999999</v>
      </c>
      <c r="X13" s="3">
        <f>215+(240.4-29)+(-0.54825+(-0.61302--0.07395))+0-0-0</f>
        <v>425.31268</v>
      </c>
      <c r="Y13" s="3">
        <f>230+(260.9-31)+(-0.2346+(-0.266118--0.03162))+0-0-0</f>
        <v>459.430902</v>
      </c>
      <c r="Z13" s="3">
        <f>292+(249.4-33)+(-0.14892+(-0.127194--0.01683))+0-0-0</f>
        <v>508.140716</v>
      </c>
      <c r="AA13" s="3">
        <f>292+(256.5-34)+(-0.14892+(-0.130815--0.01734))+0-0-0</f>
        <v>514.23760500000003</v>
      </c>
      <c r="AB13" s="3">
        <f>294+(255.4-33)+(-0.44982+(-0.390762--0.05049))+0-0-0</f>
        <v>515.60990800000002</v>
      </c>
      <c r="AC13" s="3">
        <f>264+(280.5-33)+(-0.26928+(-0.28611--0.03366))+0-0-0</f>
        <v>510.97827000000001</v>
      </c>
      <c r="AD13">
        <v>513.9</v>
      </c>
      <c r="AE13" s="3">
        <f>293+(253.9-33)+(0+(0-0))+0-0-0</f>
        <v>513.9</v>
      </c>
    </row>
    <row r="14" spans="1:31" s="2" customFormat="1" x14ac:dyDescent="0.3">
      <c r="A14">
        <v>90</v>
      </c>
      <c r="B14">
        <v>1</v>
      </c>
      <c r="C14">
        <v>14</v>
      </c>
      <c r="D14">
        <v>2</v>
      </c>
      <c r="E14">
        <v>1</v>
      </c>
      <c r="F14" s="3">
        <f>212+(280.1-32)+(-0.43248+(-0.571404--0.06528))+0-0-0</f>
        <v>459.16139600000002</v>
      </c>
      <c r="G14" s="3">
        <f>212+(248.3-31)+(0.10812+(0.126633-0.01581))+0-0-0</f>
        <v>429.51894300000004</v>
      </c>
      <c r="H14" s="3">
        <f>213+(231.7-30)+(-0.21726+(-0.236334--0.0306))+0-0-0</f>
        <v>414.27700599999997</v>
      </c>
      <c r="I14" s="3">
        <f>213+(217.2-29)+(-0.21726+(-0.221544--0.02958))+0-0-0</f>
        <v>400.79077599999999</v>
      </c>
      <c r="J14" s="3">
        <f>213+(206.9-30)+(0+(0-0))+0-0-0</f>
        <v>389.9</v>
      </c>
      <c r="K14" s="3">
        <f>213+(205.6-32)+(0+(0-0))+0-0-0</f>
        <v>386.6</v>
      </c>
      <c r="L14" s="3">
        <f>217+(205.9-33)+(-0.44268+(-0.420036--0.06732))+0-0-0</f>
        <v>389.10460399999999</v>
      </c>
      <c r="M14" s="3">
        <f>217+(216-33)+(-0.11067+(-0.11016--0.01683))+0-0-0</f>
        <v>399.79599999999999</v>
      </c>
      <c r="N14" s="3">
        <f>217+(230.3-33)+(0+(0-0))+0-0-0</f>
        <v>414.3</v>
      </c>
      <c r="O14" s="3">
        <f>236+(237.3-33)+(0+(0-0))+0-0-0</f>
        <v>440.3</v>
      </c>
      <c r="P14" s="3">
        <f>231+(250.4-33)+(-0.11781+(-0.127704--0.01683))+0-0-0</f>
        <v>448.17131599999999</v>
      </c>
      <c r="Q14" s="3">
        <f>243+(241.2-33)+(-0.37179+(-0.369036--0.05049))+0-0-0</f>
        <v>450.50966399999999</v>
      </c>
      <c r="R14" s="3">
        <f>242+(251.8-33)+(-0.37026+(-0.385254--0.05049))+0-0-0</f>
        <v>460.09497600000003</v>
      </c>
      <c r="S14" s="3">
        <f>242+(257.2-33)+(-0.49368+(-0.524688--0.06732))+0-0-0</f>
        <v>465.24895199999997</v>
      </c>
      <c r="T14" s="3">
        <f>243+(265.1-30)+(-0.37179+(-0.405603--0.0459))+0-0-0</f>
        <v>477.36850700000002</v>
      </c>
      <c r="U14" s="3">
        <f>243+(258.3-28)+(-0.49572+(-0.526932--0.05712))+0-0-0</f>
        <v>472.33446800000002</v>
      </c>
      <c r="V14" s="3">
        <f>250+(244-28)+(-0.765+(-0.74664--0.08568))+0-0-0</f>
        <v>464.57404000000002</v>
      </c>
      <c r="W14" s="3">
        <f>250+(234.7-28)+(-0.6375+(-0.598485--0.0714))+0-0-0</f>
        <v>455.535415</v>
      </c>
      <c r="X14" s="3">
        <f>250+(221-29)+(-0.3825+(-0.33813--0.04437))+0-0-0</f>
        <v>441.32373999999999</v>
      </c>
      <c r="Y14" s="3">
        <f>309+(232.4-33)+(0+(0-0))+0-0-0</f>
        <v>508.4</v>
      </c>
      <c r="Z14" s="3">
        <f>329+(241.8-34)+(-0.67116+(-0.493272--0.06936))+0-0-0</f>
        <v>535.704928</v>
      </c>
      <c r="AA14" s="3">
        <f>308+(256.9-33)+(-0.62832+(-0.524076--0.06732))+0-0-0</f>
        <v>530.81492400000002</v>
      </c>
      <c r="AB14" s="3">
        <f>250+(301.6-32)+(-0.3825+(-0.461448--0.04896))+0-0-0</f>
        <v>518.80501200000003</v>
      </c>
      <c r="AC14" s="3">
        <f>248+(266.5-32)+(-0.50592+(-0.54366--0.06528))+0-0-0</f>
        <v>481.51569999999998</v>
      </c>
      <c r="AD14">
        <v>518.79999999999995</v>
      </c>
      <c r="AE14" s="3">
        <f>328+(224.8-34)+(0+(0-0))+0-0-0</f>
        <v>518.79999999999995</v>
      </c>
    </row>
    <row r="15" spans="1:31" s="2" customFormat="1" x14ac:dyDescent="0.3">
      <c r="A15">
        <v>90</v>
      </c>
      <c r="B15">
        <v>1</v>
      </c>
      <c r="C15">
        <v>15</v>
      </c>
      <c r="D15">
        <v>3</v>
      </c>
      <c r="E15">
        <v>1</v>
      </c>
      <c r="F15" s="3">
        <f>244+(260.9-32)+(-0.6222+(-0.665295--0.0816))+0-0-0</f>
        <v>471.69410499999998</v>
      </c>
      <c r="G15" s="3">
        <f>244+(221.1-31)+(-0.6222+(-0.563805--0.07905))+0-0-0</f>
        <v>432.993045</v>
      </c>
      <c r="H15" s="3">
        <f>244+(194.3-30)+(-0.37332+(-0.297279--0.0459))+0-0-0</f>
        <v>407.67530099999999</v>
      </c>
      <c r="I15" s="3">
        <f>244+(186.6-29)+(-0.37332+(-0.285498--0.04437))+0-0-0</f>
        <v>400.98555200000004</v>
      </c>
      <c r="J15" s="3">
        <f>244+(172.4-31)+(-0.24888+(-0.175848--0.03162))+0-0-0</f>
        <v>385.00689199999999</v>
      </c>
      <c r="K15" s="3">
        <f>244+(171.7-32)+(0.24888+(0.175134-0.03264))+0-0-0</f>
        <v>384.09137399999997</v>
      </c>
      <c r="L15" s="3">
        <f>248+(171-32)+(-0.25296+(-0.17442--0.03264))+0-0-0</f>
        <v>386.60525999999999</v>
      </c>
      <c r="M15" s="3">
        <f>266+(161.2-31)+(0+(0-0))+0-0-0</f>
        <v>396.2</v>
      </c>
      <c r="N15" s="3">
        <f>330+(114.4-29)+(-0.1683+(-0.058344--0.01479))+0-0-0</f>
        <v>415.18814599999996</v>
      </c>
      <c r="O15" s="3">
        <f>327+(133.6-29)+(0.33354+(0.136272-0.02958))+0-0-0</f>
        <v>432.040232</v>
      </c>
      <c r="P15" s="3">
        <f>317+(156.4-29)+(-0.16167+(-0.079764--0.01479))+0-0-0</f>
        <v>444.17335599999996</v>
      </c>
      <c r="Q15" s="3">
        <f>315+(171.7-28)+(-0.16065+(-0.087567--0.01428))+0-0-0</f>
        <v>458.46606299999996</v>
      </c>
      <c r="R15" s="3">
        <f>313+(191.4-30)+(-0.15963+(-0.097614--0.0153))+0-0-0</f>
        <v>474.15805599999999</v>
      </c>
      <c r="S15" s="3">
        <f>314+(202.5-33)+(-0.8007+(-0.516375--0.08415))+0-0-0</f>
        <v>482.26707499999998</v>
      </c>
      <c r="T15" s="3">
        <f>314+(204.4-34)+(-0.64056+(-0.416976--0.06936))+0-0-0</f>
        <v>483.41182399999997</v>
      </c>
      <c r="U15" s="3">
        <f>314+(198-34)+(-0.32028+(-0.20196--0.03468))+0-0-0</f>
        <v>477.51244000000003</v>
      </c>
      <c r="V15" s="3">
        <f>321+(182.6-33)+(-0.49113+(-0.279378--0.05049))+0-0-0</f>
        <v>469.87998200000004</v>
      </c>
      <c r="W15" s="3">
        <f>323+(162.6-31)+(0.16473+(0.082926-0.01581))+0-0-0</f>
        <v>454.83184600000004</v>
      </c>
      <c r="X15" s="3">
        <f>275+(209.8-31)+(-0.42075+(-0.320994--0.04743))+0-0-0</f>
        <v>453.10568599999999</v>
      </c>
      <c r="Y15" s="3">
        <f>258+(277.4-32)+(-0.26316+(-0.282948--0.03264))+0-0-0</f>
        <v>502.88653199999999</v>
      </c>
      <c r="Z15" s="3">
        <f>299+(273.6-33)+(-0.60996+(-0.558144--0.06732))+0-0-0</f>
        <v>538.49921600000005</v>
      </c>
      <c r="AA15" s="3">
        <f>249+(321.7-34)+(-0.12699+(-0.164067--0.01734))+0-0-0</f>
        <v>536.42628300000001</v>
      </c>
      <c r="AB15" s="3">
        <f>249+(324.6-34)+(-0.63495+(-0.82773--0.0867))+0-0-0</f>
        <v>538.22402</v>
      </c>
      <c r="AC15" s="3">
        <f>249+(290.8-33)+(-0.12699+(-0.148308--0.01683))+0-0-0</f>
        <v>506.54153200000002</v>
      </c>
      <c r="AD15">
        <v>526.6</v>
      </c>
      <c r="AE15" s="3">
        <f>275+(284.6-33)+(0+(0-0))+0-0-0</f>
        <v>526.6</v>
      </c>
    </row>
    <row r="16" spans="1:31" s="2" customFormat="1" x14ac:dyDescent="0.3">
      <c r="A16">
        <v>90</v>
      </c>
      <c r="B16">
        <v>1</v>
      </c>
      <c r="C16">
        <v>16</v>
      </c>
      <c r="D16">
        <v>4</v>
      </c>
      <c r="E16">
        <v>1</v>
      </c>
      <c r="F16" s="3">
        <f>247+(276-32)+(-0.37791+(-0.42228--0.04896))+0-0-0</f>
        <v>490.24876999999998</v>
      </c>
      <c r="G16" s="3">
        <f>247+(233.2-32)+(0+(0-0))+0-0-0</f>
        <v>448.2</v>
      </c>
      <c r="H16" s="3">
        <f>247+(210.2-33)+(0.12597+(0.107202-0.01683))+0-0-0</f>
        <v>424.41634199999999</v>
      </c>
      <c r="I16" s="3">
        <f>247+(193.8-33)+(0+(0-0))+0-0-0</f>
        <v>407.8</v>
      </c>
      <c r="J16" s="3">
        <f>247+(181.6-32)+(-0.75582+(-0.555696--0.09792))+0-0-0</f>
        <v>395.38640400000003</v>
      </c>
      <c r="K16" s="3">
        <f>247+(179.2-30)+(0.25194+(0.182784-0.0306))+0-0-0</f>
        <v>396.60412400000001</v>
      </c>
      <c r="L16" s="3">
        <f>247+(184-31)+(-0.12597+(-0.09384--0.01581))+0-0-0</f>
        <v>399.79599999999999</v>
      </c>
      <c r="M16" s="3">
        <f>247+(191.5-32)+(-0.25194+(-0.19533--0.03264))+0-0-0</f>
        <v>406.08537000000001</v>
      </c>
      <c r="N16" s="3">
        <f>297+(147.8-31)+(-0.15147+(-0.075378--0.01581))+0-0-0</f>
        <v>413.58896200000004</v>
      </c>
      <c r="O16" s="3">
        <f>305+(162.3-30)+(0.15555+(0.082773-0.0153))+0-0-0</f>
        <v>437.52302300000002</v>
      </c>
      <c r="P16" s="3">
        <f>303+(180-31)+(0.15453+(0.0918-0.01581))+0-0-0</f>
        <v>452.23052000000001</v>
      </c>
      <c r="Q16" s="3">
        <f>303+(190.2-31)+(0+(0-0))+0-0-0</f>
        <v>462.2</v>
      </c>
      <c r="R16" s="3">
        <f>298+(188.4-32)+(-0.30396+(-0.192168--0.03264))+0-0-0</f>
        <v>453.93651199999999</v>
      </c>
      <c r="S16" s="3">
        <f>309+(189.5-32)+(-0.31518+(-0.19329--0.03264))+0-0-0</f>
        <v>466.02417000000003</v>
      </c>
      <c r="T16" s="3">
        <f>284+(209.8-33)+(-0.28968+(-0.213996--0.03366))+0-0-0</f>
        <v>460.32998400000002</v>
      </c>
      <c r="U16" s="3">
        <f>245+(232-33)+(0.12495+(0.11832-0.01683))+0-0-0</f>
        <v>444.22644000000003</v>
      </c>
      <c r="V16" s="3">
        <f>249+(220.1-32)+(-0.12699+(-0.112251--0.01632))+0-0-0</f>
        <v>436.87707900000004</v>
      </c>
      <c r="W16" s="3">
        <f>249+(205.8-31)+(-0.38097+(-0.314874--0.04743))+0-0-0</f>
        <v>423.15158600000001</v>
      </c>
      <c r="X16" s="3">
        <f>249+(196.1-31)+(-0.25398+(-0.200022--0.03162))+0-0-0</f>
        <v>413.677618</v>
      </c>
      <c r="Y16" s="3">
        <f>297+(214.9-33)+(-0.15147+(-0.109599--0.01683))+0-0-0</f>
        <v>478.65576099999998</v>
      </c>
      <c r="Z16" s="3">
        <f>327+(222.7-33)+(-0.83385+(-0.567885--0.08415))+0-0-0</f>
        <v>515.38241500000004</v>
      </c>
      <c r="AA16" s="3">
        <f>289+(254-33)+(-0.44217+(-0.38862--0.05049))+0-0-0</f>
        <v>509.21969999999999</v>
      </c>
      <c r="AB16" s="3">
        <f>249+(280.2-32)+(-0.38097+(-0.428706--0.04896))+0-0-0</f>
        <v>496.43928399999999</v>
      </c>
      <c r="AC16" s="3">
        <f>249+(262-32)+(-0.63495+(-0.6681--0.0816))+0-0-0</f>
        <v>477.77855</v>
      </c>
      <c r="AD16">
        <v>548.1</v>
      </c>
      <c r="AE16" s="3">
        <f>325+(256.1-33)+(0+(0-0))+0-0-0</f>
        <v>548.1</v>
      </c>
    </row>
    <row r="17" spans="1:31" s="2" customFormat="1" x14ac:dyDescent="0.3">
      <c r="A17">
        <v>90</v>
      </c>
      <c r="B17">
        <v>1</v>
      </c>
      <c r="C17">
        <v>17</v>
      </c>
      <c r="D17">
        <v>5</v>
      </c>
      <c r="E17">
        <v>1</v>
      </c>
      <c r="F17" s="3">
        <f>233+(316.1-32)+(-0.23766+(-0.322422--0.03264))+0-0-0</f>
        <v>516.57255800000007</v>
      </c>
      <c r="G17" s="3">
        <f>229+(289-32)+(-0.93432+(-1.17912--0.13056))+0-0-0</f>
        <v>484.01711999999998</v>
      </c>
      <c r="H17" s="3">
        <f>227+(263.6-32)+(-0.34731+(-0.403308--0.04896))+0-0-0</f>
        <v>457.89834200000001</v>
      </c>
      <c r="I17" s="3">
        <f>227+(243.6-31)+(-0.23154+(-0.248472--0.03162))+0-0-0</f>
        <v>439.15160800000001</v>
      </c>
      <c r="J17" s="3">
        <f>227+(231.5-31)+(-0.57885+(-0.590325--0.07905))+0-0-0</f>
        <v>426.409875</v>
      </c>
      <c r="K17" s="3">
        <f>227+(226.8-31)+(0.11577+(0.115668-0.01581))+0-0-0</f>
        <v>423.01562799999999</v>
      </c>
      <c r="L17" s="3">
        <f>227+(229-32)+(-0.23154+(-0.23358--0.03264))+0-0-0</f>
        <v>423.56752</v>
      </c>
      <c r="M17" s="3">
        <f>273+(177.8-32)+(-0.27846+(-0.181356--0.03264))+0-0-0</f>
        <v>418.37282400000004</v>
      </c>
      <c r="N17" s="3">
        <f>304+(164.9-31)+(-0.31008+(-0.168198--0.03162))+0-0-0</f>
        <v>437.45334199999996</v>
      </c>
      <c r="O17" s="3">
        <f>307+(169-30)+(-0.15657+(-0.08619--0.0153))+0-0-0</f>
        <v>445.77253999999999</v>
      </c>
      <c r="P17" s="3">
        <f>340+(141.4-31)+(0+(0-0))+0-0-0</f>
        <v>450.4</v>
      </c>
      <c r="Q17" s="3">
        <f>351+(140.2-31)+(-0.17901+(-0.071502--0.01581))+0-0-0</f>
        <v>459.96529799999996</v>
      </c>
      <c r="R17" s="3">
        <f>322+(206.9-32)+(-0.16422+(-0.105519--0.01632))+0-0-0</f>
        <v>496.64658099999997</v>
      </c>
      <c r="S17" s="3">
        <f>270+(253.7-32)+(-0.4131+(-0.388161--0.04896))+0-0-0</f>
        <v>490.947699</v>
      </c>
      <c r="T17" s="3">
        <f>270+(255.4-32)+(-0.1377+(-0.130254--0.01632))+0-0-0</f>
        <v>493.14836599999995</v>
      </c>
      <c r="U17" s="3">
        <f>269+(246.3-32)+(-0.96033+(-0.879291--0.11424))+0-0-0</f>
        <v>481.57461899999998</v>
      </c>
      <c r="V17" s="3">
        <f>291+(227.5-32)+(-0.44523+(-0.348075--0.04896))+0-0-0</f>
        <v>485.75565499999999</v>
      </c>
      <c r="W17" s="3">
        <f>291+(218.7-31)+(-0.89046+(-0.669222--0.09486))+0-0-0</f>
        <v>477.23517799999996</v>
      </c>
      <c r="X17" s="3">
        <f>289+(215.2-31)+(-0.44217+(-0.329256--0.04743))+0-0-0</f>
        <v>472.47600399999999</v>
      </c>
      <c r="Y17" s="3">
        <f>286+(280.1-32)+(-0.29172+(-0.285702--0.03264))+0-0-0</f>
        <v>533.55521799999997</v>
      </c>
      <c r="Z17" s="3">
        <f>286+(307.9-33)+(-0.58344+(-0.628116--0.06732))+0-0-0</f>
        <v>559.755764</v>
      </c>
      <c r="AA17" s="3">
        <f>286+(313.1-32)+(-0.58344+(-0.638724--0.06528))+0-0-0</f>
        <v>565.94311600000003</v>
      </c>
      <c r="AB17" s="3">
        <f>286+(307.3-31)+(-0.29172+(-0.313446--0.03162))+0-0-0</f>
        <v>561.72645399999999</v>
      </c>
      <c r="AC17" s="3">
        <f>286+(287.1-31)+(-0.29172+(-0.292842--0.03162))+0-0-0</f>
        <v>541.54705799999999</v>
      </c>
      <c r="AD17">
        <v>550.20000000000005</v>
      </c>
      <c r="AE17" s="3">
        <f>286+(297.2-33)+(0+(0-0))+0-0-0</f>
        <v>550.20000000000005</v>
      </c>
    </row>
    <row r="18" spans="1:31" s="2" customFormat="1" x14ac:dyDescent="0.3">
      <c r="A18">
        <v>90</v>
      </c>
      <c r="B18">
        <v>1</v>
      </c>
      <c r="C18">
        <v>18</v>
      </c>
      <c r="D18">
        <v>6</v>
      </c>
      <c r="E18">
        <v>1</v>
      </c>
      <c r="F18" s="3">
        <f>273+(262.8-31)+(-0.69615+(-0.67014--0.07905))+0-0-0</f>
        <v>503.51276000000001</v>
      </c>
      <c r="G18" s="3">
        <f>273+(229.1-31)+(-0.41769+(-0.350523--0.04743))+0-0-0</f>
        <v>470.37921700000004</v>
      </c>
      <c r="H18" s="3">
        <f>273+(209.3-31)+(0+(0-0))+0-0-0</f>
        <v>451.3</v>
      </c>
      <c r="I18" s="3">
        <f>273+(185.3-32)+(-0.41769+(-0.283509--0.04896))+0-0-0</f>
        <v>425.647761</v>
      </c>
      <c r="J18" s="3">
        <f>273+(176.3-32)+(-0.83538+(-0.539478--0.09792))+0-0-0</f>
        <v>416.02306200000004</v>
      </c>
      <c r="K18" s="3">
        <f>273+(169.4-33)+(-0.27846+(-0.172788--0.03366))+0-0-0</f>
        <v>408.98241199999995</v>
      </c>
      <c r="L18" s="3">
        <f>276+(162.3-32)+(-0.56304+(-0.331092--0.06528))+0-0-0</f>
        <v>405.47114800000003</v>
      </c>
      <c r="M18" s="3">
        <f>276+(154.6-31)+(0+(0-0))+0-0-0</f>
        <v>399.6</v>
      </c>
      <c r="N18" s="3">
        <f>293+(150.6-31)+(-0.29886+(-0.153612--0.03162))+0-0-0</f>
        <v>412.179148</v>
      </c>
      <c r="O18" s="3">
        <f>349+(122.8-31)+(0+(0-0))+0-0-0</f>
        <v>440.8</v>
      </c>
      <c r="P18" s="3">
        <f>348+(145.1-31)+(0.17748+(0.074001-0.01581))+0-0-0</f>
        <v>462.33567100000005</v>
      </c>
      <c r="Q18" s="3">
        <f>347+(166-32)+(-0.53091+(-0.25398--0.04896))+0-0-0</f>
        <v>480.26407</v>
      </c>
      <c r="R18" s="3">
        <f>339+(187.8-32)+(-0.34578+(-0.191556--0.03264))+0-0-0</f>
        <v>494.29530399999999</v>
      </c>
      <c r="S18" s="3">
        <f>340+(203.5-32)+(-0.3468+(-0.20757--0.03264))+0-0-0</f>
        <v>510.97827000000001</v>
      </c>
      <c r="T18" s="3">
        <f>340+(195.2-31)+(0+(0-0))+0-0-0</f>
        <v>504.2</v>
      </c>
      <c r="U18" s="3">
        <f>341+(187-31)+(-0.69564+(-0.38148--0.06324))+0-0-0</f>
        <v>495.98612000000003</v>
      </c>
      <c r="V18" s="3">
        <f>344+(166.9-31)+(-0.35088+(-0.170238--0.03162))+0-0-0</f>
        <v>479.41050199999995</v>
      </c>
      <c r="W18" s="3">
        <f>346+(160.2-30)+(-0.52938+(-0.245106--0.0459))+0-0-0</f>
        <v>475.47141399999998</v>
      </c>
      <c r="X18" s="3">
        <f>362+(138.3-30)+(-0.73848+(-0.282132--0.0612))+0-0-0</f>
        <v>469.34058800000003</v>
      </c>
      <c r="Y18" s="3">
        <f>363+(195.9-33)+(-0.18513+(-0.099909--0.01683))+0-0-0</f>
        <v>525.63179100000002</v>
      </c>
      <c r="Z18" s="3">
        <f>364+(221-33)+(0.18564+(0.11271-0.01683))+0-0-0</f>
        <v>552.28152</v>
      </c>
      <c r="AA18" s="3">
        <f>303+(288.7-32)+(-0.61812+(-0.588948--0.06528))+0-0-0</f>
        <v>558.55821200000003</v>
      </c>
      <c r="AB18" s="3">
        <f>286+(309.9-32)+(-0.58344+(-0.632196--0.06528))+0-0-0</f>
        <v>562.74964399999999</v>
      </c>
      <c r="AC18" s="3">
        <f>277+(293-32)+(-0.28254+(-0.29886--0.03264))+0-0-0</f>
        <v>537.45123999999998</v>
      </c>
      <c r="AD18">
        <v>547.79999999999995</v>
      </c>
      <c r="AE18" s="3">
        <f>364+(216.8-33)+(0+(0-0))+0-0-0</f>
        <v>547.79999999999995</v>
      </c>
    </row>
    <row r="19" spans="1:31" s="2" customFormat="1" x14ac:dyDescent="0.3">
      <c r="A19">
        <v>90</v>
      </c>
      <c r="B19">
        <v>1</v>
      </c>
      <c r="C19">
        <v>19</v>
      </c>
      <c r="D19">
        <v>7</v>
      </c>
      <c r="E19">
        <v>1</v>
      </c>
      <c r="F19" s="3">
        <f>272+(272.5-31)+(-0.27744+(-0.27795--0.03162))+0-0-0</f>
        <v>512.97622999999999</v>
      </c>
      <c r="G19" s="3">
        <f>272+(231.3-31)+(-0.13872+(-0.117963--0.01581))+0-0-0</f>
        <v>472.05912699999999</v>
      </c>
      <c r="H19" s="3">
        <f>272+(205.7-32)+(-0.41616+(-0.314721--0.04896))+0-0-0</f>
        <v>445.018079</v>
      </c>
      <c r="I19" s="3">
        <f>272+(184.4-32)+(0+(0-0))+0-0-0</f>
        <v>424.4</v>
      </c>
      <c r="J19" s="3">
        <f>272+(172.8-32)+(-0.41616+(-0.264384--0.04896))+0-0-0</f>
        <v>412.16841600000004</v>
      </c>
      <c r="K19" s="3">
        <f>272+(165.2-33)+(0.13872+(0.084252-0.01683))+0-0-0</f>
        <v>404.40614199999999</v>
      </c>
      <c r="L19" s="3">
        <f>275+(143-33)+(-0.42075+(-0.21879--0.05049))+0-0-0</f>
        <v>384.41095000000001</v>
      </c>
      <c r="M19" s="3">
        <f>275+(141.8-31)+(-0.561+(-0.289272--0.06324))+0-0-0</f>
        <v>385.012968</v>
      </c>
      <c r="N19" s="3">
        <f>272+(160.7-30)+(-0.6936+(-0.409785--0.0765))+0-0-0</f>
        <v>401.673115</v>
      </c>
      <c r="O19" s="3">
        <f>273+(179.1-30)+(-0.13923+(-0.091341--0.0153))+0-0-0</f>
        <v>421.88472900000005</v>
      </c>
      <c r="P19" s="3">
        <f>345+(145-32)+(-0.3519+(-0.1479--0.03264))+0-0-0</f>
        <v>457.53284000000002</v>
      </c>
      <c r="Q19" s="3">
        <f>346+(154.3-33)+(-0.17646+(-0.078693--0.01683))+0-0-0</f>
        <v>467.06167700000003</v>
      </c>
      <c r="R19" s="3">
        <f>335+(170.1-34)+(-0.51255+(-0.260253--0.05202))+0-0-0</f>
        <v>470.37921700000004</v>
      </c>
      <c r="S19" s="3">
        <f>315+(219.5-34)+(-0.9639+(-0.67167--0.10404))+0-0-0</f>
        <v>498.96847000000002</v>
      </c>
      <c r="T19" s="3">
        <f>273+(246.6-33)+(-0.27846+(-0.251532--0.03366))+0-0-0</f>
        <v>486.10366800000003</v>
      </c>
      <c r="U19" s="3">
        <f>284+(221.2-32)+(-0.86904+(-0.676872--0.09792))+0-0-0</f>
        <v>471.75200799999999</v>
      </c>
      <c r="V19" s="3">
        <f>320+(185.8-31)+(-0.4896+(-0.284274--0.04743))+0-0-0</f>
        <v>474.073556</v>
      </c>
      <c r="W19" s="3">
        <f>345+(146.2-31)+(-0.17595+(-0.074562--0.01581))+0-0-0</f>
        <v>459.96529799999996</v>
      </c>
      <c r="X19" s="3">
        <f>345+(139.1-32)+(0+(0-0))+0-0-0</f>
        <v>452.1</v>
      </c>
      <c r="Y19" s="3">
        <f>345+(206.3-33)+(-0.17595+(-0.105213--0.01683))+0-0-0</f>
        <v>518.03566699999999</v>
      </c>
      <c r="Z19" s="3">
        <f>345+(243.7-33)+(-0.52785+(-0.372861--0.05049))+0-0-0</f>
        <v>554.84977900000001</v>
      </c>
      <c r="AA19" s="3">
        <f>345+(250-32)+(-0.17595+(-0.1275--0.01632))+0-0-0</f>
        <v>562.71286999999995</v>
      </c>
      <c r="AB19" s="3">
        <f>345+(252-32)+(-0.7038+(-0.51408--0.06528))+0-0-0</f>
        <v>563.84739999999999</v>
      </c>
      <c r="AC19" s="3">
        <f>345+(226.3-32)+(-0.17595+(-0.115413--0.01632))+0-0-0</f>
        <v>539.02495699999997</v>
      </c>
      <c r="AD19">
        <v>556.70000000000005</v>
      </c>
      <c r="AE19" s="3">
        <f>346+(244.7-34)+(0+(0-0))+0-0-0</f>
        <v>556.70000000000005</v>
      </c>
    </row>
    <row r="20" spans="1:31" s="2" customFormat="1" x14ac:dyDescent="0.3">
      <c r="A20">
        <v>90</v>
      </c>
      <c r="B20">
        <v>1</v>
      </c>
      <c r="C20">
        <v>20</v>
      </c>
      <c r="D20">
        <v>1</v>
      </c>
      <c r="E20">
        <v>1</v>
      </c>
      <c r="F20" s="3">
        <f>329+(187.2-30)+(-0.83895+(-0.47736--0.0765))+0-0-0</f>
        <v>484.96019000000001</v>
      </c>
      <c r="G20" s="3">
        <f>329+(151.9-29)+(-0.50337+(-0.232407--0.04437))+0-0-0</f>
        <v>451.20859299999995</v>
      </c>
      <c r="H20" s="3">
        <f>360+(119.8-29)+(0.3672+(0.122196-0.02958))+0-0-0</f>
        <v>451.259816</v>
      </c>
      <c r="I20" s="3">
        <f>409+(77.4-30)+(0+(0-0))+0-0-0</f>
        <v>456.4</v>
      </c>
      <c r="J20" s="3">
        <f>388+(83.9-30)+(-0.39576+(-0.085578--0.0306))+0-0-0</f>
        <v>441.44926199999998</v>
      </c>
      <c r="K20" s="3">
        <f>329+(109-31)+(-0.50337+(-0.16677--0.04743))+0-0-0</f>
        <v>406.37729000000002</v>
      </c>
      <c r="L20" s="3">
        <f>328+(100.3-31)+(-0.66912+(-0.204612--0.06324))+0-0-0</f>
        <v>396.489508</v>
      </c>
      <c r="M20" s="3">
        <f>328+(105.4-32)+(0+(0-0))+0-0-0</f>
        <v>401.4</v>
      </c>
      <c r="N20" s="3">
        <f>326+(130.1-32)+(0+(0-0))+0-0-0</f>
        <v>424.1</v>
      </c>
      <c r="O20" s="3">
        <f>346+(112.1-32)+(0+(0-0))+0-0-0</f>
        <v>426.1</v>
      </c>
      <c r="P20" s="3">
        <f>401+(100-33)+(0+(0-0))+0-0-0</f>
        <v>468</v>
      </c>
      <c r="Q20" s="3">
        <f>400+(116-34)+(-0.816+(-0.23664--0.06936))+0-0-0</f>
        <v>481.01672000000002</v>
      </c>
      <c r="R20" s="3">
        <f>397+(141.5-34)+(-0.20247+(-0.072165--0.01734))+0-0-0</f>
        <v>504.242705</v>
      </c>
      <c r="S20" s="3">
        <f>396+(158.2-32)+(-0.40392+(-0.161364--0.03264))+0-0-0</f>
        <v>521.66735600000004</v>
      </c>
      <c r="T20" s="3">
        <f>397+(155.3-31)+(-0.40494+(-0.158406--0.03162))+0-0-0</f>
        <v>520.76827399999991</v>
      </c>
      <c r="U20" s="3">
        <f>399+(146.6-30)+(0+(0-0))+0-0-0</f>
        <v>515.6</v>
      </c>
      <c r="V20" s="3">
        <f>420+(119.3-30)+(-0.2142+(-0.060843--0.0153))+0-0-0</f>
        <v>509.040257</v>
      </c>
      <c r="W20" s="3">
        <f>421+(99.8-31)+(-1.28826+(-0.305388--0.09486))+0-0-0</f>
        <v>488.30121200000002</v>
      </c>
      <c r="X20" s="3">
        <f>422+(92.3-32)+(-0.86088+(-0.188292--0.06528))+0-0-0</f>
        <v>481.31610799999999</v>
      </c>
      <c r="Y20" s="3">
        <f>422+(152.2-34)+(0.43044+(0.155244-0.03468))+0-0-0</f>
        <v>540.75100400000008</v>
      </c>
      <c r="Z20" s="3">
        <f>422+(181.1-33)+(0+(0-0))+0-0-0</f>
        <v>570.1</v>
      </c>
      <c r="AA20" s="3">
        <f>423+(195.6-32)+(-1.07865+(-0.49878--0.0816))+0-0-0</f>
        <v>585.10417000000007</v>
      </c>
      <c r="AB20" s="3">
        <f>423+(205.5-32)+(-0.21573+(-0.104805--0.01632))+0-0-0</f>
        <v>596.195785</v>
      </c>
      <c r="AC20" s="3">
        <f>423+(174.4-32)+(-0.43146+(-0.177888--0.03264))+0-0-0</f>
        <v>564.82329199999992</v>
      </c>
      <c r="AD20">
        <v>566.9</v>
      </c>
      <c r="AE20" s="3">
        <f>422+(178.9-34)+(0+(0-0))+0-0-0</f>
        <v>566.9</v>
      </c>
    </row>
    <row r="21" spans="1:31" s="2" customFormat="1" x14ac:dyDescent="0.3">
      <c r="A21">
        <v>90</v>
      </c>
      <c r="B21">
        <v>1</v>
      </c>
      <c r="C21">
        <v>21</v>
      </c>
      <c r="D21">
        <v>2</v>
      </c>
      <c r="E21">
        <v>1</v>
      </c>
      <c r="F21" s="3">
        <f>410+(146.2-32)+(-0.4182+(-0.149124--0.03264))+0-0-0</f>
        <v>523.66531600000008</v>
      </c>
      <c r="G21" s="3">
        <f>410+(132.1-31)+(0+(0-0))+0-0-0</f>
        <v>511.1</v>
      </c>
      <c r="H21" s="3">
        <f>410+(120.7-31)+(-0.8364+(-0.246228--0.06324))+0-0-0</f>
        <v>498.680612</v>
      </c>
      <c r="I21" s="3">
        <f>410+(89.6-31)+(-0.8364+(-0.182784--0.06324))+0-0-0</f>
        <v>467.64405600000003</v>
      </c>
      <c r="J21" s="3">
        <f>351+(114.8-32)+(-0.53703+(-0.175644--0.04896))+0-0-0</f>
        <v>433.13628599999998</v>
      </c>
      <c r="K21" s="3">
        <f>331+(126.3-32)+(-0.50643+(-0.193239--0.04896))+0-0-0</f>
        <v>424.64929100000001</v>
      </c>
      <c r="L21" s="3">
        <f>334+(112.1-33)+(-0.17034+(-0.057171--0.01683))+0-0-0</f>
        <v>412.889319</v>
      </c>
      <c r="M21" s="3">
        <f>396+(69.8-33)+(0+(0-0))+0-0-0</f>
        <v>432.8</v>
      </c>
      <c r="N21" s="3">
        <f>405+(78-39)+(-0.20655+(-0.03978--0.01989))+0-0-0</f>
        <v>443.77355999999997</v>
      </c>
      <c r="O21" s="3">
        <f>398+(97.1-32)+(-0.40596+(-0.099042--0.03264))+0-0-0</f>
        <v>462.62763800000005</v>
      </c>
      <c r="P21" s="3">
        <f>392+(115.8-32)+(-0.19992+(-0.059058--0.01632))+0-0-0</f>
        <v>475.55734200000001</v>
      </c>
      <c r="Q21" s="3">
        <f>397+(121.3-32)+(0+(0-0))+0-0-0</f>
        <v>486.3</v>
      </c>
      <c r="R21" s="3">
        <f>394+(161.7-32)+(0+(0-0))+0-0-0</f>
        <v>523.70000000000005</v>
      </c>
      <c r="S21" s="3">
        <f>394+(176.1-32)+(-0.40188+(-0.179622--0.03264))+0-0-0</f>
        <v>537.55113800000004</v>
      </c>
      <c r="T21" s="3">
        <f>394+(154.7-32)+(0+(0-0))+0-0-0</f>
        <v>516.70000000000005</v>
      </c>
      <c r="U21" s="3">
        <f>394+(157.8-31)+(0+(0-0))+0-0-0</f>
        <v>520.79999999999995</v>
      </c>
      <c r="V21" s="3">
        <f>399+(141.7-31)+(-0.61047+(-0.216801--0.04743))+0-0-0</f>
        <v>508.92015900000001</v>
      </c>
      <c r="W21" s="3">
        <f>388+(150.4-31)+(-0.59364+(-0.230112--0.04743))+0-0-0</f>
        <v>506.62367799999998</v>
      </c>
      <c r="X21" s="3">
        <f>347+(169.5-32)+(-0.70788+(-0.34578--0.06528))+0-0-0</f>
        <v>483.51161999999999</v>
      </c>
      <c r="Y21" s="3">
        <f>372+(219-33)+(0+(0-0))+0-0-0</f>
        <v>558</v>
      </c>
      <c r="Z21" s="3">
        <f>425+(204.3-33)+(-0.867+(-0.416772--0.06732))+0-0-0</f>
        <v>595.08354799999995</v>
      </c>
      <c r="AA21" s="3">
        <f>425+(200.2-33)+(-0.65025+(-0.306306--0.05049))+0-0-0</f>
        <v>591.29393400000004</v>
      </c>
      <c r="AB21" s="3">
        <f>425+(214.9-33)+(-0.65025+(-0.328797--0.05049))+0-0-0</f>
        <v>605.97144300000002</v>
      </c>
      <c r="AC21" s="3">
        <f>425+(191.2-33)+(-0.65025+(-0.292536--0.05049))+0-0-0</f>
        <v>582.30770400000006</v>
      </c>
      <c r="AD21">
        <v>594.9</v>
      </c>
      <c r="AE21" s="3">
        <f>425+(202.9-33)+(0+(0-0))+0-0-0</f>
        <v>594.9</v>
      </c>
    </row>
    <row r="22" spans="1:31" s="2" customFormat="1" x14ac:dyDescent="0.3">
      <c r="A22">
        <v>90</v>
      </c>
      <c r="B22">
        <v>1</v>
      </c>
      <c r="C22">
        <v>22</v>
      </c>
      <c r="D22">
        <v>3</v>
      </c>
      <c r="E22">
        <v>1</v>
      </c>
      <c r="F22" s="3">
        <f>379+(212.1-32)+(-0.38658+(-0.216342--0.03264))+0-0-0</f>
        <v>558.529718</v>
      </c>
      <c r="G22" s="3">
        <f>301+(231.6-31)+(0+(0-0))+0-0-0</f>
        <v>501.6</v>
      </c>
      <c r="H22" s="3">
        <f>301+(198.2-31)+(-0.46053+(-0.303246--0.04743))+0-0-0</f>
        <v>467.483654</v>
      </c>
      <c r="I22" s="3">
        <f>301+(175.7-30)+(-0.30702+(-0.179214--0.0306))+0-0-0</f>
        <v>446.24436600000001</v>
      </c>
      <c r="J22" s="3">
        <f>301+(166.5-28)+(0.15351+(0.084915-0.01428))+0-0-0</f>
        <v>439.72414500000002</v>
      </c>
      <c r="K22" s="3">
        <f>301+(152.8-26)+(-0.30702+(-0.155856--0.02652))+0-0-0</f>
        <v>427.36364400000002</v>
      </c>
      <c r="L22" s="3">
        <f>299+(144.6-29)+(-0.45747+(-0.221238--0.04437))+0-0-0</f>
        <v>413.96566200000001</v>
      </c>
      <c r="M22" s="3">
        <f>299+(138.4-28)+(0+(0-0))+0-0-0</f>
        <v>409.4</v>
      </c>
      <c r="N22" s="3">
        <f>301+(155.9-26)+(0.61404+(0.318036-0.05304))+0-0-0</f>
        <v>431.77903599999996</v>
      </c>
      <c r="O22" s="3">
        <f>377+(97.6-23)+(0.19227+(0.049776-0.01173))+0-0-0</f>
        <v>451.83031600000004</v>
      </c>
      <c r="P22" s="3">
        <f>376+(107.1-22)+(0+(0-0))+0-0-0</f>
        <v>461.1</v>
      </c>
      <c r="Q22" s="3">
        <f>376+(129.9-22)+(0+(0-0))+0-0-0</f>
        <v>483.9</v>
      </c>
      <c r="R22" s="3">
        <f>369+(140.5-25)+(-0.75276+(-0.28662--0.051))+0-0-0</f>
        <v>483.51161999999999</v>
      </c>
      <c r="S22" s="3">
        <f>367+(156.7-32)+(-0.37434+(-0.159834--0.03264))+0-0-0</f>
        <v>491.198466</v>
      </c>
      <c r="T22" s="3">
        <f>367+(159.4-33)+(0+(0-0))+0-0-0</f>
        <v>493.4</v>
      </c>
      <c r="U22" s="3">
        <f>368+(149.2-33)+(-0.37536+(-0.152184--0.03366))+0-0-0</f>
        <v>483.70611600000001</v>
      </c>
      <c r="V22" s="3">
        <f>374+(133.5-31)+(-0.38148+(-0.13617--0.03162))+0-0-0</f>
        <v>476.01396999999997</v>
      </c>
      <c r="W22" s="3">
        <f>385+(114.2-31)+(0+(0-0))+0-0-0</f>
        <v>468.2</v>
      </c>
      <c r="X22" s="3">
        <f>397+(85.9-33)+(-0.20247+(-0.043809--0.01683))+0-0-0</f>
        <v>449.67055099999999</v>
      </c>
      <c r="Y22" s="3">
        <f>424+(114.9-32)+(-0.21624+(-0.058599--0.01632))+0-0-0</f>
        <v>506.641481</v>
      </c>
      <c r="Z22" s="3">
        <f>424+(143.4-32)+(-0.86496+(-0.292536--0.06528))+0-0-0</f>
        <v>534.30778399999997</v>
      </c>
      <c r="AA22" s="3">
        <f>425+(154.3-32)+(-0.867+(-0.314772--0.06528))+0-0-0</f>
        <v>546.18350799999996</v>
      </c>
      <c r="AB22" s="3">
        <f>425+(161.6-32)+(-0.65025+(-0.247248--0.04896))+0-0-0</f>
        <v>553.75146200000006</v>
      </c>
      <c r="AC22" s="3">
        <f>396+(161.8-32)+(-0.80784+(-0.330072--0.06528))+0-0-0</f>
        <v>524.72736799999996</v>
      </c>
      <c r="AD22">
        <v>578.70000000000005</v>
      </c>
      <c r="AE22" s="3">
        <f>427+(183.7-32)+(0+(0-0))+0-0-0</f>
        <v>578.70000000000005</v>
      </c>
    </row>
    <row r="23" spans="1:31" s="2" customFormat="1" x14ac:dyDescent="0.3">
      <c r="A23">
        <v>90</v>
      </c>
      <c r="B23">
        <v>1</v>
      </c>
      <c r="C23">
        <v>23</v>
      </c>
      <c r="D23">
        <v>4</v>
      </c>
      <c r="E23">
        <v>1</v>
      </c>
      <c r="F23" s="3">
        <f>349+(169.7-64)+(-0.53397+(-0.259641--0.09792))+0-0-0</f>
        <v>454.00430899999998</v>
      </c>
      <c r="G23" s="3">
        <f>349+(144-54)+(-0.88995+(-0.3672--0.1377))+0-0-0</f>
        <v>437.88055000000003</v>
      </c>
      <c r="H23" s="3">
        <f>349+(130.5-50)+(-0.17799+(-0.066555--0.0255))+0-0-0</f>
        <v>429.28095500000001</v>
      </c>
      <c r="I23" s="3">
        <f>291+(152.5-72)+(-0.59364+(-0.3111--0.14688))+0-0-0</f>
        <v>370.74214000000001</v>
      </c>
      <c r="J23" s="3">
        <f>270+(155-79)+(-0.5508+(-0.3162--0.16116))+0-0-0</f>
        <v>345.29415999999998</v>
      </c>
      <c r="K23" s="3">
        <f>270+(152.2-68)+(0.1377+(0.077622-0.03468))+0-0-0</f>
        <v>354.38064199999997</v>
      </c>
      <c r="L23" s="3">
        <f>271+(180.2-32)+(-0.55284+(-0.367608--0.06528))+0-0-0</f>
        <v>418.344832</v>
      </c>
      <c r="M23" s="3">
        <f>271+(186.7-31)+(-0.27642+(-0.190434--0.03162))+0-0-0</f>
        <v>426.26476600000001</v>
      </c>
      <c r="N23" s="3">
        <f>304+(158.1-30)+(0+(0-0))+0-0-0</f>
        <v>432.1</v>
      </c>
      <c r="O23" s="3">
        <f>344+(154.1-31)+(0.17544+(0.078591-0.01581))+0-0-0</f>
        <v>467.33822100000003</v>
      </c>
      <c r="P23" s="3">
        <f>343+(175.9-31)+(0.17493+(0.089709-0.01581))+0-0-0</f>
        <v>488.14882899999998</v>
      </c>
      <c r="Q23" s="3">
        <f>343+(195.5-32)+(-0.17493+(-0.099705--0.01632))+0-0-0</f>
        <v>506.24168500000002</v>
      </c>
      <c r="R23" s="3">
        <f>333+(223.8-32)+(-0.16983+(-0.114138--0.01632))+0-0-0</f>
        <v>524.53235199999995</v>
      </c>
      <c r="S23" s="3">
        <f>333+(235.4-32)+(-0.84915+(-0.60027--0.0816))+0-0-0</f>
        <v>535.03217999999993</v>
      </c>
      <c r="T23" s="3">
        <f>333+(214.7-31)+(-0.33966+(-0.218994--0.03162))+0-0-0</f>
        <v>516.17296600000009</v>
      </c>
      <c r="U23" s="3">
        <f>333+(198.3-30)+(-0.33966+(-0.202266--0.0306))+0-0-0</f>
        <v>500.78867400000001</v>
      </c>
      <c r="V23" s="3">
        <f>357+(171-30)+(0+(0-0))+0-0-0</f>
        <v>498</v>
      </c>
      <c r="W23" s="3">
        <f>357+(143-29)+(-0.91035+(-0.36465--0.07395))+3.5-0-0</f>
        <v>473.29894999999999</v>
      </c>
      <c r="X23" s="3">
        <f>359+(150.5-29)+(-0.73236+(-0.30702--0.05916))+0-0-0</f>
        <v>479.51978000000003</v>
      </c>
      <c r="Y23" s="3">
        <f>359+(217.1-30)+(0.18309+(0.110721-0.0153))+0-0-0</f>
        <v>546.378511</v>
      </c>
      <c r="Z23" s="3">
        <f>359+(264-32)+(-0.54927+(-0.40392--0.04896))+0-0-0</f>
        <v>590.09577000000002</v>
      </c>
      <c r="AA23" s="3">
        <f>359+(263.7-33)+(-0.91545+(-0.672435--0.08415))+0-0-0</f>
        <v>588.19626500000004</v>
      </c>
      <c r="AB23" s="3">
        <f>359+(252.2-32)+(-0.91545+(-0.64311--0.0816))+0-0-0</f>
        <v>577.72304000000008</v>
      </c>
      <c r="AC23" s="3">
        <f>359+(250.4-32)+(-0.36618+(-0.255408--0.03264))+0-0-0</f>
        <v>576.81105200000002</v>
      </c>
      <c r="AD23">
        <v>591.6</v>
      </c>
      <c r="AE23" s="3">
        <f>365+(257.6-31)+(0+(0-0))+0-0-0</f>
        <v>591.6</v>
      </c>
    </row>
    <row r="24" spans="1:31" s="2" customFormat="1" x14ac:dyDescent="0.3">
      <c r="A24">
        <v>90</v>
      </c>
      <c r="B24">
        <v>1</v>
      </c>
      <c r="C24">
        <v>24</v>
      </c>
      <c r="D24">
        <v>5</v>
      </c>
      <c r="E24">
        <v>1</v>
      </c>
      <c r="F24" s="3">
        <f>295+(274.9-32)+(0+(0-0))+0-0-0</f>
        <v>537.9</v>
      </c>
      <c r="G24" s="3">
        <f>271+(263.6-32)+(0.27642+(0.268872-0.03264))+0-0-0</f>
        <v>503.11265200000003</v>
      </c>
      <c r="H24" s="3">
        <f>271+(237.7-33)+(-0.41463+(-0.363681--0.05049))+0-0-0</f>
        <v>474.97217899999998</v>
      </c>
      <c r="I24" s="3">
        <f>271+(215.9-34)+(-0.27642+(-0.220218--0.03468))+0-0-0</f>
        <v>452.438042</v>
      </c>
      <c r="J24" s="3">
        <f>271+(209.4-34)+(-0.55284+(-0.427176--0.06936))+0-0-0</f>
        <v>445.48934399999996</v>
      </c>
      <c r="K24" s="3">
        <f>271+(200.1-33)+(0+(0-0))+0-0-0</f>
        <v>438.1</v>
      </c>
      <c r="L24" s="3">
        <f>274+(181.3-33)+(-0.13974+(-0.092463--0.01683))+0-0-0</f>
        <v>422.08462700000001</v>
      </c>
      <c r="M24" s="3">
        <f>274+(186.7-32)+(0+(0-0))+0-0-0</f>
        <v>428.7</v>
      </c>
      <c r="N24" s="3">
        <f>295+(168.3-32)+(-0.15045+(-0.085833--0.01632))+0-0-0</f>
        <v>431.080037</v>
      </c>
      <c r="O24" s="3">
        <f>348+(150.2-25)+(-0.17748+(-0.076602--0.01275))+0-0-0</f>
        <v>472.95866799999999</v>
      </c>
      <c r="P24" s="3">
        <f>348+(170.1-29)+(-0.35496+(-0.173502--0.02958))+0-0-0</f>
        <v>488.60111800000004</v>
      </c>
      <c r="Q24" s="3">
        <f>348+(185.6-30)+(-0.35496+(-0.189312--0.0306))+0-0-0</f>
        <v>503.08632800000004</v>
      </c>
      <c r="R24" s="3">
        <f>339+(204.3-31)+(-0.34578+(-0.208386--0.03162))+0-0-0</f>
        <v>511.77745399999998</v>
      </c>
      <c r="S24" s="3">
        <f>340+(206.4-31)+(-0.3468+(-0.210528--0.03162))+0-0-0</f>
        <v>514.87429199999997</v>
      </c>
      <c r="T24" s="3">
        <f>339+(226.8-31)+(0+(0-0))+0-0-0</f>
        <v>534.79999999999995</v>
      </c>
      <c r="U24" s="3">
        <f>266+(263.6-32)+(-0.27132+(-0.268872--0.03264))+0-0-0</f>
        <v>497.09244800000005</v>
      </c>
      <c r="V24" s="3">
        <f>289+(248.4-31)+(0.44217+(0.380052-0.04743))+0-0-0</f>
        <v>507.17479199999997</v>
      </c>
      <c r="W24" s="3">
        <f>287+(228.8-31)+(-0.58548+(-0.466752--0.06324))+0-0-0</f>
        <v>483.81100800000002</v>
      </c>
      <c r="X24" s="3">
        <f>288+(225.2-32)+(0.14688+(0.114852-0.01632))+0-0-0</f>
        <v>481.44541199999998</v>
      </c>
      <c r="Y24" s="3">
        <f>319+(243-32)+(0.16269+(0.12393-0.01632))+0-0-0</f>
        <v>530.27030000000002</v>
      </c>
      <c r="Z24" s="3">
        <f>365+(257-33)+(-0.7446+(-0.52428--0.06732))+0-0-0</f>
        <v>587.79844000000003</v>
      </c>
      <c r="AA24" s="3">
        <f>365+(267-34)+(-1.1169+(-0.81702--0.10404))+0-0-0</f>
        <v>596.17012</v>
      </c>
      <c r="AB24" s="3">
        <f>329+(318.2-34)+(-0.67116+(-0.649128--0.06936))+0-0-0</f>
        <v>611.949072</v>
      </c>
      <c r="AC24" s="3">
        <f>288+(321.5-34)+(-0.58752+(-0.65586--0.06936))+0-0-0</f>
        <v>574.32597999999996</v>
      </c>
      <c r="AD24">
        <v>574.20000000000005</v>
      </c>
      <c r="AE24" s="3">
        <f>364+(243.2-33)+(0+(0-0))+0-0-0</f>
        <v>574.20000000000005</v>
      </c>
    </row>
    <row r="25" spans="1:31" s="2" customFormat="1" x14ac:dyDescent="0.3">
      <c r="A25">
        <v>90</v>
      </c>
      <c r="B25">
        <v>1</v>
      </c>
      <c r="C25">
        <v>25</v>
      </c>
      <c r="D25">
        <v>6</v>
      </c>
      <c r="E25">
        <v>1</v>
      </c>
      <c r="F25" s="3">
        <f>280+(238.3-34)+(-0.1428+(-0.121533--0.01734))+0-0-0</f>
        <v>484.05300700000004</v>
      </c>
      <c r="G25" s="3">
        <f>280+(209-33)+(-0.5712+(-0.42636--0.06732))+0-0-0</f>
        <v>455.06975999999997</v>
      </c>
      <c r="H25" s="3">
        <f>280+(192.2-32)+(-0.2856+(-0.196044--0.03264))+0-0-0</f>
        <v>439.75099599999999</v>
      </c>
      <c r="I25" s="3">
        <f>280+(180.2-32)+(0.1428+(0.091902-0.01632))+0-0-0</f>
        <v>428.41838200000001</v>
      </c>
      <c r="J25" s="3">
        <f>278+(169.9-32)+(0.28356+(0.173298-0.03264))+0-0-0</f>
        <v>416.32421799999997</v>
      </c>
      <c r="K25" s="3">
        <f>278+(164.2-33)+(-0.14178+(-0.083742--0.01683))+0-0-0</f>
        <v>408.991308</v>
      </c>
      <c r="L25" s="3">
        <f>272+(178.9-32)+(-0.41616+(-0.273717--0.04896))+0-0-0</f>
        <v>418.25908299999998</v>
      </c>
      <c r="M25" s="3">
        <f>271+(186.8-31)+(0+(0-0))+0-0-0</f>
        <v>426.8</v>
      </c>
      <c r="N25" s="3">
        <f>309+(170-31)+(0+(0-0))+0-0-0</f>
        <v>448</v>
      </c>
      <c r="O25" s="3">
        <f>349+(159.8-32)+(-0.17799+(-0.081498--0.01632))+0-0-0</f>
        <v>476.55683199999999</v>
      </c>
      <c r="P25" s="3">
        <f>358+(159.8-33)+(0.54774+(0.244494-0.05049))+0-0-0</f>
        <v>485.54174399999999</v>
      </c>
      <c r="Q25" s="3">
        <f>372+(153-33)+(-1.13832+(-0.46818--0.10098))+0-0-0</f>
        <v>490.49448000000001</v>
      </c>
      <c r="R25" s="3">
        <f>327+(226.3-33)+(-0.83385+(-0.577065--0.08415))+0-0-0</f>
        <v>518.97323499999993</v>
      </c>
      <c r="S25" s="3">
        <f>324+(230-33)+(-0.16524+(-0.1173--0.01683))+0-0-0</f>
        <v>520.73428999999999</v>
      </c>
      <c r="T25" s="3">
        <f>324+(225.8-31)+(0.16524+(0.115158-0.01581))+0-0-0</f>
        <v>519.06458799999996</v>
      </c>
      <c r="U25" s="3">
        <f>324+(206-31)+(-0.16524+(-0.10506--0.01581))+0-0-0</f>
        <v>498.74551000000002</v>
      </c>
      <c r="V25" s="3">
        <f>343+(184.7-31)+(-0.69972+(-0.376788--0.06324))+0-0-0</f>
        <v>495.68673200000001</v>
      </c>
      <c r="W25" s="3">
        <f>343+(173.1-30)+(-0.52479+(-0.264843--0.0459))+0-0-0</f>
        <v>485.356267</v>
      </c>
      <c r="X25" s="3">
        <f>379+(164.5-30)+(-0.38658+(-0.16779--0.0306))+0-0-0</f>
        <v>512.97622999999999</v>
      </c>
      <c r="Y25" s="3">
        <f>418+(175.2-32)+(-0.85272+(-0.357408--0.06528))+0-0-0</f>
        <v>560.05515200000002</v>
      </c>
      <c r="Z25" s="3">
        <f>420+(194.9-33)+(-1.071+(-0.496995--0.08415))+0-0-0</f>
        <v>580.416155</v>
      </c>
      <c r="AA25" s="3">
        <f>423+(195-33)+(-0.64719+(-0.29835--0.05049))+0-0-0</f>
        <v>584.10495000000003</v>
      </c>
      <c r="AB25" s="3">
        <f>423+(201.2-32)+(-0.43146+(-0.205224--0.03264))+0-0-0</f>
        <v>591.595956</v>
      </c>
      <c r="AC25" s="3">
        <f>423+(185.4-32)+(-0.21573+(-0.094554--0.01632))+0-0-0</f>
        <v>576.10603600000002</v>
      </c>
      <c r="AD25">
        <v>559</v>
      </c>
      <c r="AE25" s="3">
        <f>404+(188-33)+(0+(0-0))+0-0-0</f>
        <v>559</v>
      </c>
    </row>
    <row r="26" spans="1:31" s="2" customFormat="1" x14ac:dyDescent="0.3">
      <c r="A26">
        <v>90</v>
      </c>
      <c r="B26">
        <v>1</v>
      </c>
      <c r="C26">
        <v>26</v>
      </c>
      <c r="D26">
        <v>7</v>
      </c>
      <c r="E26">
        <v>1</v>
      </c>
      <c r="F26" s="3">
        <f>383+(202.4-32)+(-0.19533+(-0.103224--0.01632))+0-0-0</f>
        <v>553.11776599999996</v>
      </c>
      <c r="G26" s="3">
        <f>337+(205.5-32)+(-0.34374+(-0.20961--0.03264))+0-0-0</f>
        <v>509.97928999999999</v>
      </c>
      <c r="H26" s="3">
        <f>337+(186.8-31)+(-0.51561+(-0.285804--0.04743))+0-0-0</f>
        <v>492.04601600000001</v>
      </c>
      <c r="I26" s="3">
        <f>337+(168.8-31)+(0+(0-0))+0-0-0</f>
        <v>474.8</v>
      </c>
      <c r="J26" s="3">
        <f>337+(155.9-31)+(0+(0-0))+0-0-0</f>
        <v>461.9</v>
      </c>
      <c r="K26" s="3">
        <f>337+(141.8-32)+(-0.34374+(-0.144636--0.03264))+0-0-0</f>
        <v>446.34426400000001</v>
      </c>
      <c r="L26" s="3">
        <f>328+(117.2-33)+(-1.33824+(-0.478176--0.13464))+0-0-0</f>
        <v>410.51822399999998</v>
      </c>
      <c r="M26" s="3">
        <f>328+(112.7-33)+(-0.33456+(-0.114954--0.03366))+0-0-0</f>
        <v>407.28414599999996</v>
      </c>
      <c r="N26" s="3">
        <f>326+(121.8-31)+(0.66504+(0.248472-0.06324))+0-0-0</f>
        <v>417.65027200000003</v>
      </c>
      <c r="O26" s="3">
        <f>326+(142.4-31)+(-0.49878+(-0.217872--0.04743))+0-0-0</f>
        <v>436.73077799999999</v>
      </c>
      <c r="P26" s="3">
        <f>288+(203.4-31)+(0.29376+(0.207468-0.03162))+0-0-0</f>
        <v>460.86960799999997</v>
      </c>
      <c r="Q26" s="3">
        <f>284+(226.9-31)+(-0.43452+(-0.347157--0.04743))+0-0-0</f>
        <v>479.165753</v>
      </c>
      <c r="R26" s="3">
        <f>284+(250.7-31)+(-1.01388+(-0.894999--0.11067))+0-0-0</f>
        <v>501.901791</v>
      </c>
      <c r="S26" s="3">
        <f>284+(268.7-33)+(0+(0-0))+0-0-0</f>
        <v>519.70000000000005</v>
      </c>
      <c r="T26" s="3">
        <f>284+(263.3-33)+(-0.28968+(-0.268566--0.03366))+0-0-0</f>
        <v>513.77541399999996</v>
      </c>
      <c r="U26" s="3">
        <f>284+(247.9-33)+(-0.14484+(-0.126429--0.01683))+0-0-0</f>
        <v>498.64556099999999</v>
      </c>
      <c r="V26" s="3">
        <f>286+(226.6-32)+(-0.58344+(-0.462264--0.06528))+0-0-0</f>
        <v>479.619576</v>
      </c>
      <c r="W26" s="3">
        <f>294+(209-33)+(-0.14994+(-0.10659--0.01683))+0-0-0</f>
        <v>469.76029999999997</v>
      </c>
      <c r="X26" s="3">
        <f>294+(200.7-30)+(0.14994+(0.102357-0.0153))+0-0-0</f>
        <v>464.93699699999996</v>
      </c>
      <c r="Y26" s="3">
        <f>294+(267.9-32)+(-0.59976+(-0.546516--0.06528))+0-0-0</f>
        <v>528.81900399999995</v>
      </c>
      <c r="Z26" s="3">
        <f>294+(308.3-33)+(-0.14994+(-0.157233--0.01683))+0-0-0</f>
        <v>569.00965699999995</v>
      </c>
      <c r="AA26" s="3">
        <f>288+(310.4-34)+(-0.58752+(-0.633216--0.06936))+3.7-0-0</f>
        <v>566.948624</v>
      </c>
      <c r="AB26" s="3">
        <f>292+(310.7-33)+(-0.29784+(-0.316914--0.03366))+6.7-0-0</f>
        <v>575.81890600000008</v>
      </c>
      <c r="AC26" s="3">
        <f>291+(289.5-33)+(-0.59364+(-0.59058--0.06732))+0-0-0</f>
        <v>546.38310000000001</v>
      </c>
      <c r="AD26">
        <v>571.70000000000005</v>
      </c>
      <c r="AE26" s="3">
        <f>294+(310.7-33)+(0+(0-0))+0-0-0</f>
        <v>571.70000000000005</v>
      </c>
    </row>
    <row r="27" spans="1:31" s="2" customFormat="1" x14ac:dyDescent="0.3">
      <c r="A27">
        <v>90</v>
      </c>
      <c r="B27">
        <v>1</v>
      </c>
      <c r="C27">
        <v>27</v>
      </c>
      <c r="D27">
        <v>1</v>
      </c>
      <c r="E27">
        <v>1</v>
      </c>
      <c r="F27" s="3">
        <f>287+(255.5-33)+(0+(0-0))+0-0-0</f>
        <v>509.5</v>
      </c>
      <c r="G27" s="3">
        <f>287+(220.8-32)+(-0.73185+(-0.56304--0.0816))+0-0-0</f>
        <v>474.58671000000004</v>
      </c>
      <c r="H27" s="3">
        <f>287+(200.3-32)+(-0.14637+(-0.102153--0.01632))+0-0-0</f>
        <v>455.06779699999998</v>
      </c>
      <c r="I27" s="3">
        <f>287+(184.1-31)+(0.14637+(0.093891-0.01581))+0-0-0</f>
        <v>440.32445100000001</v>
      </c>
      <c r="J27" s="3">
        <f>287+(173-31)+(-0.14637+(-0.08823--0.01581))+0-0-0</f>
        <v>428.78120999999999</v>
      </c>
      <c r="K27" s="3">
        <f>287+(166.7-31)+(0.14637+(0.085017-0.01581))+0-0-0</f>
        <v>422.91557699999998</v>
      </c>
      <c r="L27" s="3">
        <f>288+(158.6-32)+(-0.7344+(-0.40443--0.0816))+0-0-0</f>
        <v>413.54277000000002</v>
      </c>
      <c r="M27" s="3">
        <f>288+(157.7-31)+(0.29376+(0.160854-0.03162))+0-0-0</f>
        <v>415.12299400000001</v>
      </c>
      <c r="N27" s="3">
        <f>287+(170.7-31)+(0+(0-0))+0-0-0</f>
        <v>426.7</v>
      </c>
      <c r="O27" s="3">
        <f>287+(204.1-33)+(0+(0-0))+0-0-0</f>
        <v>458.1</v>
      </c>
      <c r="P27" s="3">
        <f>288+(209.9-33)+(0.29376+(0.214098-0.03366))+0-0-0</f>
        <v>465.37419799999998</v>
      </c>
      <c r="Q27" s="3">
        <f>358+(162.4-33)+(-0.36516+(-0.165648--0.03366))+0-0-0</f>
        <v>486.902852</v>
      </c>
      <c r="R27" s="3">
        <f>358+(190.1-32)+(-0.18258+(-0.096951--0.01632))+0-0-0</f>
        <v>515.83678900000007</v>
      </c>
      <c r="S27" s="3">
        <f>358+(213.7-30)+(0+(0-0))+0-0-0</f>
        <v>541.70000000000005</v>
      </c>
      <c r="T27" s="3">
        <f>358+(216.7-30)+(-0.18258+(-0.110517--0.0153))+0-0-0</f>
        <v>544.42220300000008</v>
      </c>
      <c r="U27" s="3">
        <f>359+(197.5-30)+(-0.54927+(-0.302175--0.0459))+0-0-0</f>
        <v>525.69445499999995</v>
      </c>
      <c r="V27" s="3">
        <f>368+(173.7-30)+(-0.18768+(-0.088587--0.0153))+0-0-0</f>
        <v>511.43903299999999</v>
      </c>
      <c r="W27" s="3">
        <f>368+(157.3-30)+(-0.75072+(-0.320892--0.0612))+0-0-0</f>
        <v>494.28958800000004</v>
      </c>
      <c r="X27" s="3">
        <f>312+(176.7-31)+(-0.7956+(-0.450585--0.07905))+0-0-0</f>
        <v>456.53286500000002</v>
      </c>
      <c r="Y27" s="3">
        <f>329+(232.3-32)+(-0.16779+(-0.118473--0.01632))+0-0-0</f>
        <v>529.03005699999994</v>
      </c>
      <c r="Z27" s="3">
        <f>390+(213.2-32)+(-0.7956+(-0.434928--0.06528))+0-0-0</f>
        <v>570.03475200000003</v>
      </c>
      <c r="AA27" s="3">
        <f>390+(228.8-32)+(-0.5967+(-0.350064--0.04896))+0-0-0</f>
        <v>585.902196</v>
      </c>
      <c r="AB27" s="3">
        <f>390+(234.5-32)+(-0.9945+(-0.597975--0.0816))+0-0-0</f>
        <v>590.98912499999994</v>
      </c>
      <c r="AC27" s="3">
        <f>380+(249.3-32)+(-0.7752+(-0.508572--0.06528))+0-0-0</f>
        <v>596.08150799999999</v>
      </c>
      <c r="AD27">
        <v>575.29999999999995</v>
      </c>
      <c r="AE27" s="3">
        <f>387+(221.3-33)+(0+(0-0))+0-0-0</f>
        <v>575.29999999999995</v>
      </c>
    </row>
    <row r="28" spans="1:31" s="2" customFormat="1" x14ac:dyDescent="0.3">
      <c r="A28">
        <v>90</v>
      </c>
      <c r="B28">
        <v>1</v>
      </c>
      <c r="C28">
        <v>28</v>
      </c>
      <c r="D28">
        <v>2</v>
      </c>
      <c r="E28">
        <v>1</v>
      </c>
      <c r="F28" s="3">
        <f>321+(271.8-32)+(-0.49113+(-0.415854--0.04896))+0-0-0</f>
        <v>559.94197599999995</v>
      </c>
      <c r="G28" s="3">
        <f>321+(209.1-31)+(-0.32742+(-0.213282--0.03162))+0-0-0</f>
        <v>498.59091800000004</v>
      </c>
      <c r="H28" s="3">
        <f>322+(189.6-31)+(-0.65688+(-0.386784--0.06324))+0-0-0</f>
        <v>479.619576</v>
      </c>
      <c r="I28" s="3">
        <f>323+(156.9-31)+(-0.32946+(-0.160038--0.03162))+0-0-0</f>
        <v>448.44212199999998</v>
      </c>
      <c r="J28" s="3">
        <f>323+(142.3-32)+(-0.65892+(-0.290292--0.06528))+0-0-0</f>
        <v>432.416068</v>
      </c>
      <c r="K28" s="3">
        <f>324+(125.6-32)+(0+(0-0))+0-0-0</f>
        <v>417.6</v>
      </c>
      <c r="L28" s="3">
        <f>323+(107.7-32)+(-1.15311+(-0.384489--0.11424))+0-0-0</f>
        <v>397.27664099999998</v>
      </c>
      <c r="M28" s="3">
        <f>322+(109.2-32)+(0+(0-0))+0-0-0</f>
        <v>399.2</v>
      </c>
      <c r="N28" s="3">
        <f>375+(72.7-32)+(0.3825+(0.074154-0.03264))+0-0-0</f>
        <v>416.12401399999999</v>
      </c>
      <c r="O28" s="3">
        <f>418+(61.2-40)+(-0.42636+(-0.062424--0.0408))+0-0-0</f>
        <v>438.75201599999997</v>
      </c>
      <c r="P28" s="3">
        <f>417+(72.5-36)+(0.21267+(0.036975-0.01836))+0-0-0</f>
        <v>453.73128500000001</v>
      </c>
      <c r="Q28" s="3">
        <f>422+(91.9-39)+(0+(0-0))+0-0-0</f>
        <v>474.9</v>
      </c>
      <c r="R28" s="3">
        <f>418+(148.2-31)+(-1.0659+(-0.37791--0.07905))+0-0-0</f>
        <v>533.83524</v>
      </c>
      <c r="S28" s="3">
        <f>366+(201.8-31)+(-0.74664+(-0.411672--0.06324))+0-0-0</f>
        <v>535.704928</v>
      </c>
      <c r="T28" s="3">
        <f>405+(146.5-36)+(0.4131+(0.14943-0.03672))+0-0-0</f>
        <v>516.02580999999998</v>
      </c>
      <c r="U28" s="3">
        <f>435+(111.7-40)+(-0.8874+(-0.227868--0.0816))+0-0-0</f>
        <v>505.66633200000001</v>
      </c>
      <c r="V28" s="3">
        <f>448+(121.1-32)+(-0.91392+(-0.247044--0.06528))+0-0-0</f>
        <v>536.00431600000002</v>
      </c>
      <c r="W28" s="3">
        <f>379+(160.1-33)+(-1.15974+(-0.489906--0.10098))+0-0-0</f>
        <v>504.551334</v>
      </c>
      <c r="X28" s="3">
        <f>304+(190.4-33)+(-0.62016+(-0.388416--0.06732))+0-0-0</f>
        <v>460.45874399999997</v>
      </c>
      <c r="Y28" s="3">
        <f>324+(192.5-33)+(0.16524+(0.098175-0.01683))+0-0-0</f>
        <v>483.74658499999998</v>
      </c>
      <c r="Z28" s="3">
        <f>458+(161.3-32)+(-1.1679+(-0.411315--0.0816))+0-0-0</f>
        <v>585.80238499999996</v>
      </c>
      <c r="AA28" s="3">
        <f>423+(219.6-32)+(-1.07865+(-0.55998--0.0816))+0-0-0</f>
        <v>609.04296999999997</v>
      </c>
      <c r="AB28" s="3">
        <f>381+(255.9-32)+(-1.36017+(-0.913563--0.11424))+0-0-0</f>
        <v>602.74050699999998</v>
      </c>
      <c r="AC28" s="3">
        <f>365+(243.1-34)+(-0.93075+(-0.619905--0.0867))+0-0-0</f>
        <v>572.63604499999997</v>
      </c>
      <c r="AD28">
        <v>580.9</v>
      </c>
      <c r="AE28" s="3">
        <f>458+(155.9-33)+(0+(0-0))+0-0-0</f>
        <v>580.9</v>
      </c>
    </row>
    <row r="29" spans="1:31" s="2" customFormat="1" x14ac:dyDescent="0.3">
      <c r="A29">
        <v>90</v>
      </c>
      <c r="B29">
        <v>1</v>
      </c>
      <c r="C29">
        <v>29</v>
      </c>
      <c r="D29">
        <v>3</v>
      </c>
      <c r="E29">
        <v>1</v>
      </c>
      <c r="F29" s="3">
        <f>363+(216.3-34)+(-0.55539+(-0.330939--0.05202))+0-0-0</f>
        <v>544.46569099999999</v>
      </c>
      <c r="G29" s="3">
        <f>283+(259.8-34)+(-1.01031+(-0.927486--0.12138))+0-0-0</f>
        <v>506.98358400000001</v>
      </c>
      <c r="H29" s="3">
        <f>229+(292.5-32)+(-0.35037+(-0.447525--0.04896))+0-0-0</f>
        <v>488.75106499999998</v>
      </c>
      <c r="I29" s="3">
        <f>229+(265.9-32)+(0+(0-0))+0-0-0</f>
        <v>462.9</v>
      </c>
      <c r="J29" s="3">
        <f>228+(258.3-32)+(-0.46512+(-0.526932--0.06528))+0-0-0</f>
        <v>453.37322799999998</v>
      </c>
      <c r="K29" s="3">
        <f>228+(240.9-31)+(-0.23256+(-0.245718--0.03162))+0-0-0</f>
        <v>437.45334199999996</v>
      </c>
      <c r="L29" s="3">
        <f>228+(221.3-33)+(-0.46512+(-0.451452--0.06732))+0-0-0</f>
        <v>415.45074800000003</v>
      </c>
      <c r="M29" s="3">
        <f>274+(182.6-33)+(0.13974+(0.093126-0.01683))+0-0-0</f>
        <v>423.816036</v>
      </c>
      <c r="N29" s="3">
        <f>344+(133.3-33)+(0.17544+(0.067983-0.01683))+0-0-0</f>
        <v>444.52659299999999</v>
      </c>
      <c r="O29" s="3">
        <f>349+(130.4-29)+(-0.53397+(-0.199512--0.04437))+0-0-0</f>
        <v>449.71088799999995</v>
      </c>
      <c r="P29" s="3">
        <f>360+(134.9-29)+(-0.7344+(-0.275196--0.05916))+0-0-0</f>
        <v>464.94956399999995</v>
      </c>
      <c r="Q29" s="3">
        <f>366+(155.4-29)+(-0.18666+(-0.079254--0.01479))+0-0-0</f>
        <v>492.14887599999997</v>
      </c>
      <c r="R29" s="3">
        <f>356+(195-32)+(0.18156+(0.09945-0.01632))+0-0-0</f>
        <v>519.26468999999997</v>
      </c>
      <c r="S29" s="3">
        <f>357+(228.2-32)+(-0.18207+(-0.116382--0.01632))+0-0-0</f>
        <v>552.917868</v>
      </c>
      <c r="T29" s="3">
        <f>360+(226.5-33)+(-0.3672+(-0.23103--0.03366))+0-0-0</f>
        <v>552.93543</v>
      </c>
      <c r="U29" s="3">
        <f>360+(212.6-33)+(-0.5508+(-0.325278--0.05049))+0-0-0</f>
        <v>538.77441199999998</v>
      </c>
      <c r="V29" s="3">
        <f>376+(187.4-34)+(-0.76704+(-0.382296--0.06936))+0-0-0</f>
        <v>528.32002399999999</v>
      </c>
      <c r="W29" s="3">
        <f>304+(221.2-33)+(-0.31008+(-0.225624--0.03366))+0-0-0</f>
        <v>491.69795599999998</v>
      </c>
      <c r="X29" s="3">
        <f>306+(188.9-33)+(-0.7803+(-0.481695--0.08415))+0-0-0</f>
        <v>460.72215499999999</v>
      </c>
      <c r="Y29" s="3">
        <f>304+(272.2-33)+(-0.31008+(-0.277644--0.03366))+0-0-0</f>
        <v>542.64593600000001</v>
      </c>
      <c r="Z29" s="3">
        <f>370+(247.9-34)+(-0.3774+(-0.252858--0.03468))+0-0-0</f>
        <v>583.30442199999993</v>
      </c>
      <c r="AA29" s="3">
        <f>380+(260.8-34)+(-0.5814+(-0.399024--0.05202))+0-0-0</f>
        <v>605.87159599999995</v>
      </c>
      <c r="AB29" s="3">
        <f>380+(256.1-28)+(-0.969+(-0.653055--0.0714))+0-0-0</f>
        <v>606.54934500000002</v>
      </c>
      <c r="AC29" s="3">
        <f>380+(238.5-30)+(-0.3876+(-0.24327--0.0306))+0-0-0</f>
        <v>587.89972999999998</v>
      </c>
      <c r="AD29">
        <v>597.5</v>
      </c>
      <c r="AE29" s="3">
        <f>378+(252.5-33)+(0+(0-0))+0-0-0</f>
        <v>597.5</v>
      </c>
    </row>
    <row r="30" spans="1:31" s="2" customFormat="1" x14ac:dyDescent="0.3">
      <c r="A30">
        <v>90</v>
      </c>
      <c r="B30">
        <v>1</v>
      </c>
      <c r="C30">
        <v>30</v>
      </c>
      <c r="D30">
        <v>4</v>
      </c>
      <c r="E30">
        <v>1</v>
      </c>
      <c r="F30" s="3">
        <f>349+(206.8-33)+(-0.88995+(-0.52734--0.08415))+0-0-0</f>
        <v>521.46686</v>
      </c>
      <c r="G30" s="3">
        <f>310+(238.9-33)+(-0.3162+(-0.243678--0.03366))+0-0-0</f>
        <v>515.37378200000001</v>
      </c>
      <c r="H30" s="3">
        <f>308+(228.5-32)+(-0.31416+(-0.23307--0.03264))+0-0-0</f>
        <v>503.98541</v>
      </c>
      <c r="I30" s="3">
        <f>308+(203.2-31)+(-0.62832+(-0.414528--0.06324))+0-0-0</f>
        <v>479.220392</v>
      </c>
      <c r="J30" s="3">
        <f>256+(243-31)+(-0.6528+(-0.61965--0.07905))+0-0-0</f>
        <v>466.8066</v>
      </c>
      <c r="K30" s="3">
        <f>229+(240.1-32)+(-0.11679+(-0.122451--0.01632))+0-0-0</f>
        <v>436.87707900000004</v>
      </c>
      <c r="L30" s="3">
        <f>226+(221-31)+(0+(0-0))+0-0-0</f>
        <v>416</v>
      </c>
      <c r="M30" s="3">
        <f>226+(230.1-31)+(0+(0-0))+0-0-0</f>
        <v>425.1</v>
      </c>
      <c r="N30" s="3">
        <f>224+(250.7-32)+(-0.34272+(-0.383571--0.04896))+0-0-0</f>
        <v>442.02266900000001</v>
      </c>
      <c r="O30" s="3">
        <f>224+(267-26)+(-0.22848+(-0.27234--0.02652))+0.8-0-0</f>
        <v>465.32569999999998</v>
      </c>
      <c r="P30" s="3">
        <f>250+(259.2-27)+(-0.1275+(-0.132192--0.01377))+8-0-0</f>
        <v>489.95407799999998</v>
      </c>
      <c r="Q30" s="3">
        <f>314+(217.8-33)+(-0.48042+(-0.333234--0.05049))+8-0-0</f>
        <v>506.03683599999999</v>
      </c>
      <c r="R30" s="3">
        <f>321+(186.1-32)+(0.16371+(0.094911-0.01632))+8-0-0</f>
        <v>483.34230100000002</v>
      </c>
      <c r="S30" s="3">
        <f>332+(209.2-32)+(-0.8466+(-0.53346--0.0816))+0.7-0-0</f>
        <v>508.60154</v>
      </c>
      <c r="T30" s="3">
        <f>399+(163-31)+(-0.20349+(-0.08313--0.01581))+0-0-0</f>
        <v>530.72919000000002</v>
      </c>
      <c r="U30" s="3">
        <f>411+(137-31)+(0+(0-0))+0-0-0</f>
        <v>517</v>
      </c>
      <c r="V30" s="3">
        <f>414+(115.1-32)+(-0.84456+(-0.234804--0.06528))+0-0-0</f>
        <v>496.085916</v>
      </c>
      <c r="W30" s="3">
        <f>428+(89.6-32)+(0+(0-0))+0-0-0</f>
        <v>485.6</v>
      </c>
      <c r="X30" s="3">
        <f>428+(74.1-33)+(-1.0914+(-0.188955--0.08415))+0-0-0</f>
        <v>467.903795</v>
      </c>
      <c r="Y30" s="3">
        <f>428+(117.5-33)+(-0.21828+(-0.059925--0.01683))+0-0-0</f>
        <v>512.23862499999996</v>
      </c>
      <c r="Z30" s="3">
        <f>495+(115.1-33)+(-0.5049+(-0.117402--0.03366))+0-0-0</f>
        <v>576.51135799999997</v>
      </c>
      <c r="AA30" s="3">
        <f>489+(128.4-31)+(-0.49878+(-0.130968--0.03162))+0-0-0</f>
        <v>585.801872</v>
      </c>
      <c r="AB30" s="3">
        <f>427+(169.7-31)+(-1.08885+(-0.432735--0.07905))+0-0-0</f>
        <v>564.25746500000002</v>
      </c>
      <c r="AC30" s="3">
        <f>367+(179.8-33)+(0+(0-0))+0-0-0</f>
        <v>513.79999999999995</v>
      </c>
      <c r="AD30">
        <v>632.6</v>
      </c>
      <c r="AE30" s="3">
        <f>505+(161.6-34)+(0+(0-0))+0-0-0</f>
        <v>632.6</v>
      </c>
    </row>
    <row r="31" spans="1:31" s="2" customFormat="1" x14ac:dyDescent="0.3">
      <c r="A31">
        <v>90</v>
      </c>
      <c r="B31">
        <v>1</v>
      </c>
      <c r="C31">
        <v>31</v>
      </c>
      <c r="D31">
        <v>5</v>
      </c>
      <c r="E31">
        <v>1</v>
      </c>
      <c r="F31" s="3">
        <f>337+(212.1-34)+(-0.17187+(-0.108171--0.01734))+0-0-0</f>
        <v>514.83729900000003</v>
      </c>
      <c r="G31" s="3">
        <f>319+(220.1-34)+(-0.81345+(-0.561255--0.0867))+0-0-0</f>
        <v>503.81199500000002</v>
      </c>
      <c r="H31" s="3">
        <f>269+(247.2-34)+(-0.13719+(-0.126072--0.01734))+0-0-0</f>
        <v>481.95407799999998</v>
      </c>
      <c r="I31" s="3">
        <f>240+(250.9-32)+(-0.1224+(-0.127959--0.01632))+0-0-0</f>
        <v>458.66596099999998</v>
      </c>
      <c r="J31" s="3">
        <f>240+(236.1-32)+(-0.2448+(-0.240822--0.03264))+0-0-0</f>
        <v>443.647018</v>
      </c>
      <c r="K31" s="3">
        <f>240+(219.1-29)+(0+(0-0))+0-0-0</f>
        <v>430.1</v>
      </c>
      <c r="L31" s="3">
        <f>245+(201.6-30)+(-0.62475+(-0.51408--0.0765))+0-0-0</f>
        <v>415.53767000000005</v>
      </c>
      <c r="M31" s="3">
        <f>262+(175.7-32)+(-0.26724+(-0.179214--0.03264))+0-0-0</f>
        <v>405.28618599999999</v>
      </c>
      <c r="N31" s="3">
        <f>295+(182-33)+(0.3009+(0.18564-0.03366))+0-0-0</f>
        <v>444.45287999999999</v>
      </c>
      <c r="O31" s="3">
        <f>295+(205.6-33)+(-0.3009+(-0.209712--0.03366))+0-0-0</f>
        <v>467.12304800000004</v>
      </c>
      <c r="P31" s="3">
        <f>318+(181-32)+(-0.16218+(-0.09231--0.01632))+0-0-0</f>
        <v>466.76182999999997</v>
      </c>
      <c r="Q31" s="3">
        <f>393+(133.2-37)+(-0.20043+(-0.067932--0.01887))+0-0-0</f>
        <v>488.95050800000001</v>
      </c>
      <c r="R31" s="3">
        <f>460+(114.5-33)+(-0.7038+(-0.175185--0.05049))+0-0-0</f>
        <v>540.67150500000002</v>
      </c>
      <c r="S31" s="3">
        <f>390+(201.9-31)+(0+(0-0))+0-0-0</f>
        <v>560.9</v>
      </c>
      <c r="T31" s="3">
        <f>390+(208.3-33)+(0+(0-0))+0-0-0</f>
        <v>565.29999999999995</v>
      </c>
      <c r="U31" s="3">
        <f>390+(176-33)+(-0.3978+(-0.17952--0.03366))+0-0-0</f>
        <v>532.45633999999995</v>
      </c>
      <c r="V31" s="3">
        <f>405+(149.3-32)+(0+(0-0))+0-0-0</f>
        <v>522.29999999999995</v>
      </c>
      <c r="W31" s="3">
        <f>406+(132-32)+(-1.24236+(-0.40392--0.09792))+0-0-0</f>
        <v>504.45164</v>
      </c>
      <c r="X31" s="3">
        <f>411+(103.9-32)+(-1.67688+(-0.423912--0.13056))+0-0-0</f>
        <v>480.92976799999997</v>
      </c>
      <c r="Y31" s="3">
        <f>413+(159.5-33)+(-0.84252+(-0.32538--0.06732))+0-0-0</f>
        <v>538.39941999999996</v>
      </c>
      <c r="Z31" s="3">
        <f>411+(210.6-34)+(-1.46727+(-0.751842--0.12138))+0-0-0</f>
        <v>585.50226800000007</v>
      </c>
      <c r="AA31" s="3">
        <f>359+(283-33)+(-0.36618+(-0.28866--0.03366))+0-0-0</f>
        <v>608.37882000000002</v>
      </c>
      <c r="AB31" s="3">
        <f>359+(285.4-33)+(-0.91545+(-0.72777--0.08415))+0-0-0</f>
        <v>609.84092999999996</v>
      </c>
      <c r="AC31" s="3">
        <f>359+(267.3-33)+(0+(0-0))+0-0-0</f>
        <v>593.29999999999995</v>
      </c>
      <c r="AD31">
        <v>589.70000000000005</v>
      </c>
      <c r="AE31" s="3">
        <f>413+(209.7-33)+(0+(0-0))+0-0-0</f>
        <v>589.70000000000005</v>
      </c>
    </row>
    <row r="32" spans="1:31" s="2" customFormat="1" x14ac:dyDescent="0.3">
      <c r="A32">
        <v>90</v>
      </c>
      <c r="B32">
        <v>2</v>
      </c>
      <c r="C32">
        <v>1</v>
      </c>
      <c r="D32">
        <v>6</v>
      </c>
      <c r="E32">
        <v>1</v>
      </c>
      <c r="F32" s="3">
        <f>337+(228.8-34)+(0+(0-0))+0-0-0</f>
        <v>531.79999999999995</v>
      </c>
      <c r="G32" s="3">
        <f>319+(225-34)+(0.32538+(0.2295-0.03468))+0-0-0</f>
        <v>510.52019999999999</v>
      </c>
      <c r="H32" s="3">
        <f>269+(226.7-34)+(-0.27438+(-0.231234--0.03468))+0-0-0</f>
        <v>461.22906599999999</v>
      </c>
      <c r="I32" s="3">
        <f>240+(260.6-32)+(-0.4896+(-0.531624--0.06528))+0-0-0</f>
        <v>467.64405600000003</v>
      </c>
      <c r="J32" s="3">
        <f>240+(243.9-32)+(0.3672+(0.373167-0.04896))+0-0-0</f>
        <v>452.591407</v>
      </c>
      <c r="K32" s="3">
        <f>240+(225.1-29)+(0.1224+(0.114801-0.01479))+0-0-0</f>
        <v>436.32241100000005</v>
      </c>
      <c r="L32" s="3">
        <f>242+(197.5-33)+(-0.24684+(-0.20145--0.03366))+0-0-0</f>
        <v>406.08537000000001</v>
      </c>
      <c r="M32" s="3">
        <f>242+(207.3-34)+(0.24684+(0.211446-0.03468))+0-0-0</f>
        <v>415.72360600000002</v>
      </c>
      <c r="N32" s="3">
        <f>271+(203.8-32)+(0.13821+(0.103938-0.01632))+0-0-0</f>
        <v>443.02582799999999</v>
      </c>
      <c r="O32" s="3">
        <f>323+(173.5-32)+(0.32946+(0.17697-0.03264))+0-0-0</f>
        <v>464.97379000000001</v>
      </c>
      <c r="P32" s="3">
        <f>340+(180.2-33)+(0+(0-0))+0-0-0</f>
        <v>487.2</v>
      </c>
      <c r="Q32" s="3">
        <f>340+(198.5-33)+(0.6936+(0.40494-0.06732))+0-0-0</f>
        <v>506.53122000000002</v>
      </c>
      <c r="R32" s="3">
        <f>322+(243-33)+(0+(0-0))+0-0-0</f>
        <v>532</v>
      </c>
      <c r="S32" s="3">
        <f>322+(278.9-33)+(-0.32844+(-0.284478--0.03366))+0-0-0</f>
        <v>567.320742</v>
      </c>
      <c r="T32" s="3">
        <f>322+(297.7-32)+(0.49266+(0.455481-0.04896))+0-0-0</f>
        <v>588.59918100000004</v>
      </c>
      <c r="U32" s="3">
        <f>322+(275.1-32)+(-0.8211+(-0.701505--0.0816))+0-0-0</f>
        <v>563.658995</v>
      </c>
      <c r="V32" s="3">
        <f>292+(270.3-31)+(0+(0-0))+0-0-0</f>
        <v>531.29999999999995</v>
      </c>
      <c r="W32" s="3">
        <f>265+(267.5-31)+(-0.94605+(-0.954975--0.11067))+0-0-0</f>
        <v>499.70964500000002</v>
      </c>
      <c r="X32" s="3">
        <f>266+(244.2-32)+(-0.54264+(-0.498168--0.06528))+0-0-0</f>
        <v>477.22447199999999</v>
      </c>
      <c r="Y32" s="3">
        <f>266+(300.3-33)+(-0.27132+(-0.306306--0.03366))+0-0-0</f>
        <v>532.756034</v>
      </c>
      <c r="Z32" s="3">
        <f>266+(362-34)+(-0.6783+(-0.9231--0.0867))+0-0-0</f>
        <v>592.48530000000005</v>
      </c>
      <c r="AA32" s="3">
        <f>323+(336.3-34)+(-1.15311+(-1.200591--0.12138))+0-0-0</f>
        <v>623.067679</v>
      </c>
      <c r="AB32" s="3">
        <f>339+(316.5-34)+(-0.69156+(-0.64566--0.06936))+0-0-0</f>
        <v>620.23213999999996</v>
      </c>
      <c r="AC32" s="3">
        <f>339+(299.2-34)+(-0.34578+(-0.305184--0.03468))+0-0-0</f>
        <v>603.58371600000009</v>
      </c>
      <c r="AD32">
        <v>603.79999999999995</v>
      </c>
      <c r="AE32" s="3">
        <f>266+(370.8-33)+(0+(0-0))+0-0-0</f>
        <v>603.79999999999995</v>
      </c>
    </row>
    <row r="33" spans="1:31" s="2" customFormat="1" x14ac:dyDescent="0.3">
      <c r="A33">
        <v>90</v>
      </c>
      <c r="B33">
        <v>2</v>
      </c>
      <c r="C33">
        <v>2</v>
      </c>
      <c r="D33">
        <v>7</v>
      </c>
      <c r="E33">
        <v>1</v>
      </c>
      <c r="F33" s="3">
        <f>321+(225.2-34)+(-0.81855+(-0.57426--0.0867))+0-0-0</f>
        <v>510.89389000000006</v>
      </c>
      <c r="G33" s="3">
        <f>317+(204.9-33)+(-0.80835+(-0.522495--0.08415))+0-0-0</f>
        <v>487.65330499999999</v>
      </c>
      <c r="H33" s="3">
        <f>301+(190.9-33)+(-0.46053+(-0.292077--0.05049))+0-0-0</f>
        <v>458.19788299999999</v>
      </c>
      <c r="I33" s="3">
        <f>239+(211.9-32)+(-0.12189+(-0.108069--0.01632))+0-0-0</f>
        <v>418.68636099999998</v>
      </c>
      <c r="J33" s="3">
        <f>239+(194.9-32)+(-0.24378+(-0.198798--0.03264))+0-0-0</f>
        <v>401.49006199999997</v>
      </c>
      <c r="K33" s="3">
        <f>239+(178.8-32)+(-0.24378+(-0.182376--0.03264))+0-0-0</f>
        <v>385.40648400000003</v>
      </c>
      <c r="L33" s="3">
        <f>246+(178.4-31)+(-0.6273+(-0.45492--0.07905))+0-0-0</f>
        <v>392.39682999999997</v>
      </c>
      <c r="M33" s="3">
        <f>246+(194.8-31)+(0+(0-0))+0-0-0</f>
        <v>409.8</v>
      </c>
      <c r="N33" s="3">
        <f>252+(216.4-31)+(-0.38556+(-0.331092--0.04743))+0-0-0</f>
        <v>436.73077799999999</v>
      </c>
      <c r="O33" s="3">
        <f>245+(246.1-31)+(-0.12495+(-0.125511--0.01581))+0-0-0</f>
        <v>459.86534900000004</v>
      </c>
      <c r="P33" s="3">
        <f>245+(282.9-32)+(-0.2499+(-0.288558--0.03264))+0-0-0</f>
        <v>495.394182</v>
      </c>
      <c r="Q33" s="3">
        <f>245+(308.9-33)+(0+(0-0))+0-0-0</f>
        <v>520.9</v>
      </c>
      <c r="R33" s="3">
        <f>275+(297.1-33)+(-0.14025+(-0.151521--0.01683))+0-0-0</f>
        <v>538.82505900000001</v>
      </c>
      <c r="S33" s="3">
        <f>306+(300.6-33)+(-0.62424+(-0.613224--0.06732))+0-0-0</f>
        <v>572.42985599999997</v>
      </c>
      <c r="T33" s="3">
        <f>314+(304.8-33)+(-0.16014+(-0.155448--0.01683))+0-0-0</f>
        <v>585.50124199999993</v>
      </c>
      <c r="U33" s="3">
        <f>316+(282.5-32)+(-0.48348+(-0.432225--0.04896))+0-0-0</f>
        <v>565.63325499999996</v>
      </c>
      <c r="V33" s="3">
        <f>324+(255.7-32)+(-0.8262+(-0.652035--0.0816))+0-0-0</f>
        <v>546.3033650000001</v>
      </c>
      <c r="W33" s="3">
        <f>341+(213.7-51)+(-0.52173+(-0.326961--0.07803))+0-0-0</f>
        <v>502.92933899999997</v>
      </c>
      <c r="X33" s="3">
        <f>356+(176.5-58)+(-0.72624+(-0.36006--0.11832))+0-0-0</f>
        <v>473.53201999999999</v>
      </c>
      <c r="Y33" s="3">
        <f>356+(221.7-34)+(0+(0-0))+0-0-0</f>
        <v>543.70000000000005</v>
      </c>
      <c r="Z33" s="3">
        <f>356+(289.7-33)+(-0.72624+(-0.590988--0.06732))+0-0-0</f>
        <v>611.45009200000004</v>
      </c>
      <c r="AA33" s="3">
        <f>356+(311.8-34)+(0+(0-0))+0-0-0</f>
        <v>633.79999999999995</v>
      </c>
      <c r="AB33" s="3">
        <f>386+(306.9-32)+(-0.19686+(-0.156519--0.01632))+0-0-0</f>
        <v>660.56294100000002</v>
      </c>
      <c r="AC33" s="3">
        <f>401+(273.6-28)+(-1.02255+(-0.69768--0.0714))+0-0-0</f>
        <v>644.95117000000005</v>
      </c>
      <c r="AD33">
        <v>627.29999999999995</v>
      </c>
      <c r="AE33" s="3">
        <f>356+(304.3-33)+(0+(0-0))+0-0-0</f>
        <v>627.29999999999995</v>
      </c>
    </row>
    <row r="34" spans="1:31" s="2" customFormat="1" x14ac:dyDescent="0.3">
      <c r="A34">
        <v>90</v>
      </c>
      <c r="B34">
        <v>2</v>
      </c>
      <c r="C34">
        <v>3</v>
      </c>
      <c r="D34">
        <v>1</v>
      </c>
      <c r="E34">
        <v>1</v>
      </c>
      <c r="F34" s="3">
        <f>390+(231.6-36)+(-0.1989+(-0.118116--0.01836))+0-0-0</f>
        <v>585.30134399999997</v>
      </c>
      <c r="G34" s="3">
        <f>390+(206.7-51)+(-0.5967+(-0.316251--0.07803))+0-0-0</f>
        <v>544.86507900000004</v>
      </c>
      <c r="H34" s="3">
        <f>390+(190.6-53)+(-0.1989+(-0.097206--0.02703))+0-0-0</f>
        <v>527.33092399999998</v>
      </c>
      <c r="I34" s="3">
        <f>360+(179-33)+(-0.3672+(-0.18258--0.03366))+0-0-0</f>
        <v>505.48388</v>
      </c>
      <c r="J34" s="3">
        <f>343+(167.4-32)+(-0.52479+(-0.256122--0.04896))+0-0-0</f>
        <v>477.668048</v>
      </c>
      <c r="K34" s="3">
        <f>343+(153.4-41)+(-0.17493+(-0.078234--0.02091))+0-0-0</f>
        <v>455.16774599999997</v>
      </c>
      <c r="L34" s="3">
        <f>332+(152.3-59)+(-0.50796+(-0.233019--0.09027))+0-0-0</f>
        <v>424.64929100000001</v>
      </c>
      <c r="M34" s="3">
        <f>327+(171.4-61)+(0.50031+(0.262242-0.09333))+0-0-0</f>
        <v>438.06922199999997</v>
      </c>
      <c r="N34" s="3">
        <f>325+(197.7-56)+(0.16575+(0.100827-0.02856))+0-0-0</f>
        <v>466.938017</v>
      </c>
      <c r="O34" s="3">
        <f>325+(217.1-49)+(0+(0-0))+0-0-0</f>
        <v>493.1</v>
      </c>
      <c r="P34" s="3">
        <f>332+(227.3-42)+(-0.16932+(-0.115923--0.02142))+0-0-0</f>
        <v>517.03617699999995</v>
      </c>
      <c r="Q34" s="3">
        <f>353+(237.8-34)+(0.18003+(0.121278-0.01734))+0-0-0</f>
        <v>557.08396799999991</v>
      </c>
      <c r="R34" s="3">
        <f>376+(273.3-33)+(-0.19176+(-0.139383--0.01683))+0-0-0</f>
        <v>615.98568699999998</v>
      </c>
      <c r="S34" s="3">
        <f>381+(298.2-33)+(0+(0-0))+0-0-0</f>
        <v>646.20000000000005</v>
      </c>
      <c r="T34" s="3">
        <f>396+(274.8-32)+(0+(0-0))+0-0-0</f>
        <v>638.79999999999995</v>
      </c>
      <c r="U34" s="3">
        <f>437+(214.8-37)+(-0.89148+(-0.438192--0.07548))+23-0-0</f>
        <v>636.54580799999997</v>
      </c>
      <c r="V34" s="3">
        <f>426+(132.5-50)+(-0.86904+(-0.2703--0.102))+81-0-0</f>
        <v>588.46266000000003</v>
      </c>
      <c r="W34" s="3">
        <f>449+(180.3-66)+(-0.91596+(-0.367812--0.13464))+0-0-0</f>
        <v>562.15086799999995</v>
      </c>
      <c r="X34" s="3">
        <f>441+(167.5-69)+(-0.67473+(-0.256275--0.10557))+0-0-0</f>
        <v>538.67456500000003</v>
      </c>
      <c r="Y34" s="3">
        <f>414+(221.6-33)+(0+(0-0))+0-0-0</f>
        <v>602.6</v>
      </c>
      <c r="Z34" s="3">
        <f>414+(286.7-32)+(-1.0557+(-0.731085--0.0816))+0-0-0</f>
        <v>666.99481500000002</v>
      </c>
      <c r="AA34" s="3">
        <f>414+(303.2-31)+(-1.0557+(-0.77316--0.07905))+0-0-0</f>
        <v>684.45019000000002</v>
      </c>
      <c r="AB34" s="3">
        <f>414+(313.3-31)+(-0.42228+(-0.319566--0.03162))+0-0-0</f>
        <v>695.58977399999992</v>
      </c>
      <c r="AC34" s="3">
        <f>402+(280.1-30)+(-0.41004+(-0.285702--0.0306))+0-0-0</f>
        <v>651.43485800000008</v>
      </c>
      <c r="AD34">
        <v>676.4</v>
      </c>
      <c r="AE34" s="3">
        <f>420+(289.4-33)+(0+(0-0))+0-0-0</f>
        <v>676.4</v>
      </c>
    </row>
    <row r="35" spans="1:31" s="2" customFormat="1" x14ac:dyDescent="0.3">
      <c r="A35">
        <v>90</v>
      </c>
      <c r="B35">
        <v>2</v>
      </c>
      <c r="C35">
        <v>4</v>
      </c>
      <c r="D35">
        <v>2</v>
      </c>
      <c r="E35">
        <v>1</v>
      </c>
      <c r="F35" s="3">
        <f>303+(253.4-31)+(-0.30906+(-0.258468--0.03162))+0-0-0</f>
        <v>524.86409200000003</v>
      </c>
      <c r="G35" s="3">
        <f>403+(212.9-33)+(-0.41106+(-0.217158--0.03366))+0-0-0</f>
        <v>582.30544199999997</v>
      </c>
      <c r="H35" s="3">
        <f>403+(181.8-33)+(-0.41106+(-0.185436--0.03366))+0-0-0</f>
        <v>551.23716400000001</v>
      </c>
      <c r="I35" s="3">
        <f>403+(155.2-34)+(-0.61659+(-0.237456--0.05202))+0-0-0</f>
        <v>523.39797400000009</v>
      </c>
      <c r="J35" s="3">
        <f>403+(130.3-34)+(-1.02765+(-0.332265--0.0867))+0-0-0</f>
        <v>498.02678500000002</v>
      </c>
      <c r="K35" s="3">
        <f>403+(103.9-34)+(-1.02765+(-0.264945--0.0867))+0-0-0</f>
        <v>471.69410499999998</v>
      </c>
      <c r="L35" s="3">
        <f>403+(65.7-32)+(-1.23318+(-0.201042--0.09792))+0-0-0</f>
        <v>435.363698</v>
      </c>
      <c r="M35" s="3">
        <f>402+(77.7-32)+(0+(0-0))+0-0-0</f>
        <v>447.7</v>
      </c>
      <c r="N35" s="3">
        <f>402+(109.2-32)+(0+(0-0))+0-0-0</f>
        <v>479.2</v>
      </c>
      <c r="O35" s="3">
        <f>402+(134.4-32)+(0+(0-0))+0-0-0</f>
        <v>504.4</v>
      </c>
      <c r="P35" s="3">
        <f>430+(138.5-32)+(0+(0-0))+0-0-0</f>
        <v>536.5</v>
      </c>
      <c r="Q35" s="3">
        <f>473+(131.4-39)+(-0.72369+(-0.201042--0.05967))+0-0-0</f>
        <v>564.53493800000001</v>
      </c>
      <c r="R35" s="3">
        <f>516+(144.1-52)+(-1.3158+(-0.367455--0.1326))+0-0-0</f>
        <v>606.54934500000002</v>
      </c>
      <c r="S35" s="3">
        <f>547+(139.4-42)+(0.27897+(0.071094-0.02142))+0-0-0</f>
        <v>644.72864400000003</v>
      </c>
      <c r="T35" s="3">
        <f>578+(123.1-51)+(-0.88434+(-0.188343--0.07803))+0-0-0</f>
        <v>649.10534700000005</v>
      </c>
      <c r="U35" s="3">
        <f>535+(143.4-45)+(-1.0914+(-0.292536--0.0918))+0-0-0</f>
        <v>632.10786399999995</v>
      </c>
      <c r="V35" s="3">
        <f>484+(168.1-34)+(-1.2342+(-0.428655--0.0867))+0-0-0</f>
        <v>616.52384500000005</v>
      </c>
      <c r="W35" s="3">
        <f>484+(132.3-41)+(-0.98736+(-0.269892--0.08364))+0-0-0</f>
        <v>574.12638799999991</v>
      </c>
      <c r="X35" s="3">
        <f>489+(98.9-31)+(-0.99756+(-0.201756--0.06324))+0-0-0</f>
        <v>555.76392399999997</v>
      </c>
      <c r="Y35" s="3">
        <f>490+(158.8-32)+(-0.9996+(-0.323952--0.06528))+0-0-0</f>
        <v>615.54172799999992</v>
      </c>
      <c r="Z35" s="3">
        <f>491+(230.5-34)+(-0.75123+(-0.352665--0.05202))+0-0-0</f>
        <v>686.448125</v>
      </c>
      <c r="AA35" s="3">
        <f>491+(251.8-26)+(-1.25205+(-0.64209--0.0663))+0-0-0</f>
        <v>714.97215999999992</v>
      </c>
      <c r="AB35" s="3">
        <f>491+(270.4-31)+(-1.75287+(-0.965328--0.11067))+0-0-0</f>
        <v>727.79247199999998</v>
      </c>
      <c r="AC35" s="3">
        <f>492+(249.6-32)+(-0.50184+(-0.254592--0.03264))+0-0-0</f>
        <v>708.87620800000002</v>
      </c>
      <c r="AD35">
        <v>684.9</v>
      </c>
      <c r="AE35" s="3">
        <f>494+(224.9-34)+(0+(0-0))+0-0-0</f>
        <v>684.9</v>
      </c>
    </row>
    <row r="36" spans="1:31" s="2" customFormat="1" x14ac:dyDescent="0.3">
      <c r="A36">
        <v>90</v>
      </c>
      <c r="B36">
        <v>2</v>
      </c>
      <c r="C36">
        <v>5</v>
      </c>
      <c r="D36">
        <v>3</v>
      </c>
      <c r="E36">
        <v>1</v>
      </c>
      <c r="F36" s="3">
        <f>538+(133.8-32)+(-0.27438+(-0.068238--0.01632))+0-0-0</f>
        <v>639.473702</v>
      </c>
      <c r="G36" s="3">
        <f>548+(82.6-32)+(-0.83844+(-0.126378--0.04896))+0-0-0</f>
        <v>597.68414200000007</v>
      </c>
      <c r="H36" s="3">
        <f>549+(58-40)+(-1.11996+(-0.11832--0.0816))+0-0-0</f>
        <v>565.84331999999995</v>
      </c>
      <c r="I36" s="3">
        <f>547+(44.6-47)+(0.83691+(0.068238-0.07191))+0-0-0</f>
        <v>545.43323800000007</v>
      </c>
      <c r="J36" s="3">
        <f>548+(34.6-62.6)+(-0.55896+(-0.035292--0.063852))+0-0-0</f>
        <v>519.46960000000001</v>
      </c>
      <c r="K36" s="3">
        <f>537+(33.6-76.1)+(-0.82161+(-0.051408--0.116433))+0-0-0</f>
        <v>493.74341500000003</v>
      </c>
      <c r="L36" s="3">
        <f>534+(16.5-99.8)+(-0.81702+(-0.025245--0.152694))+0-0-0</f>
        <v>450.01042899999999</v>
      </c>
      <c r="M36" s="3">
        <f>532+(20.9-90.6)+(-0.27132+(-0.010659--0.046206))+0-0-0</f>
        <v>462.06422700000002</v>
      </c>
      <c r="N36" s="3">
        <f>527+(32.2-75.2)+(-0.26877+(-0.016422--0.038352))+0-0-0</f>
        <v>483.75315999999998</v>
      </c>
      <c r="O36" s="3">
        <f>534+(45.8-56.4)+(-0.54468+(-0.046716--0.057528))+0-0-0</f>
        <v>522.86613199999999</v>
      </c>
      <c r="P36" s="3">
        <f>536+(54.9-46.8)+(-0.54672+(-0.055998--0.047736))+0-0-0</f>
        <v>543.54501800000003</v>
      </c>
      <c r="Q36" s="3">
        <f>538+(78.1-36)+(-0.82314+(-0.119493--0.05508))+0-0-0</f>
        <v>579.212447</v>
      </c>
      <c r="R36" s="3">
        <f>547+(98-35)+(-1.39485+(-0.2499--0.08925))+0-0-0</f>
        <v>608.44449999999995</v>
      </c>
      <c r="S36" s="3">
        <f>564+(129.9-32)+(-0.57528+(-0.132498--0.03264))+0-0-0</f>
        <v>661.22486200000003</v>
      </c>
      <c r="T36" s="3">
        <f>564+(131.2-32)+(-0.57528+(-0.133824--0.03264))+0-0-0</f>
        <v>662.52353600000004</v>
      </c>
      <c r="U36" s="3">
        <f>549+(139.4-31)+(-1.11996+(-0.284376--0.06324))+0-0-0</f>
        <v>656.05890399999998</v>
      </c>
      <c r="V36" s="3">
        <f>408+(225-31)+(-0.62424+(-0.34425--0.04743))+0-0-0</f>
        <v>601.07893999999999</v>
      </c>
      <c r="W36" s="3">
        <f>414+(208-31)+(-0.42228+(-0.21216--0.03162))+0-0-0</f>
        <v>590.39718000000005</v>
      </c>
      <c r="X36" s="3">
        <f>417+(165.8-32)+(-0.85068+(-0.338232--0.06528))+0-0-0</f>
        <v>549.67636799999991</v>
      </c>
      <c r="Y36" s="3">
        <f>417+(232.5-32)+(-0.42534+(-0.23715--0.03264))+0-0-0</f>
        <v>616.87014999999997</v>
      </c>
      <c r="Z36" s="3">
        <f>417+(320.4-29)+(-0.42534+(-0.326808--0.02958))+0-0-0</f>
        <v>707.67743199999995</v>
      </c>
      <c r="AA36" s="3">
        <f>417+(322.6-27)+(-1.06335+(-0.82263--0.06885))+0-0-0</f>
        <v>710.78287</v>
      </c>
      <c r="AB36" s="3">
        <f>417+(331.2-24)+(-0.63801+(-0.506736--0.03672))+0-0-0</f>
        <v>723.09197400000005</v>
      </c>
      <c r="AC36" s="3">
        <f>417+(318.5-33)+(-0.21267+(-0.162435--0.01683))+0-0-0</f>
        <v>702.14172499999995</v>
      </c>
      <c r="AD36">
        <v>701.1</v>
      </c>
      <c r="AE36" s="3">
        <f>418+(316.1-33)+(0+(0-0))+0-0-0</f>
        <v>701.1</v>
      </c>
    </row>
    <row r="37" spans="1:31" s="2" customFormat="1" x14ac:dyDescent="0.3">
      <c r="A37">
        <v>90</v>
      </c>
      <c r="B37">
        <v>2</v>
      </c>
      <c r="C37">
        <v>6</v>
      </c>
      <c r="D37">
        <v>4</v>
      </c>
      <c r="E37">
        <v>1</v>
      </c>
      <c r="F37" s="3">
        <f>395+(287.7-33)+(-0.4029+(-0.293454--0.03366))+0-0-0</f>
        <v>649.03730600000006</v>
      </c>
      <c r="G37" s="3">
        <f>395+(240.4-32)+(-0.8058+(-0.490416--0.06528))+0-0-0</f>
        <v>602.16906399999993</v>
      </c>
      <c r="H37" s="3">
        <f>395+(213.3-31)+(0+(0-0))+0-0-0</f>
        <v>577.29999999999995</v>
      </c>
      <c r="I37" s="3">
        <f>395+(191.7-31)+(-0.8058+(-0.391068--0.06324))+0-0-0</f>
        <v>554.566372</v>
      </c>
      <c r="J37" s="3">
        <f>395+(157.9-31)+(0.20145+(0.080529-0.01581))+0-0-0</f>
        <v>522.16616899999997</v>
      </c>
      <c r="K37" s="3">
        <f>395+(122.2-32)+(0+(0-0))+0-0-0</f>
        <v>485.2</v>
      </c>
      <c r="L37" s="3">
        <f>401+(74.7-32)+(-0.61353+(-0.114291--0.04896))+0-0-0</f>
        <v>443.02113900000001</v>
      </c>
      <c r="M37" s="3">
        <f>401+(95.4-32)+(0+(0-0))+0-0-0</f>
        <v>464.4</v>
      </c>
      <c r="N37" s="3">
        <f>400+(122-31)+(-0.408+(-0.12444--0.03162))+0-0-0</f>
        <v>490.49918000000002</v>
      </c>
      <c r="O37" s="3">
        <f>400+(144.2-31)+(0.408+(0.147084-0.03162))+0-0-0</f>
        <v>513.72346400000004</v>
      </c>
      <c r="P37" s="3">
        <f>403+(139.2-31)+(-0.41106+(-0.141984--0.03162))+0-0-0</f>
        <v>510.67857599999996</v>
      </c>
      <c r="Q37" s="3">
        <f>471+(134.1-32)+(-0.24021+(-0.068391--0.01632))+0-0-0</f>
        <v>572.80771900000002</v>
      </c>
      <c r="R37" s="3">
        <f>463+(181.4-33)+(-0.23613+(-0.092514--0.01683))+0-0-0</f>
        <v>611.08818599999995</v>
      </c>
      <c r="S37" s="3">
        <f>463+(216.8-33)+(-0.23613+(-0.110568--0.01683))+0-0-0</f>
        <v>646.47013199999992</v>
      </c>
      <c r="T37" s="3">
        <f>463+(227.6-32)+(0.47226+(0.232152-0.03264))+0-0-0</f>
        <v>659.27177200000006</v>
      </c>
      <c r="U37" s="3">
        <f>463+(207.8-32)+(0.47226+(0.211956-0.03264))+0-0-0</f>
        <v>639.45157599999993</v>
      </c>
      <c r="V37" s="3">
        <f>463+(169.7-32)+(-0.94452+(-0.346188--0.06528))+0-0-0</f>
        <v>599.47457200000008</v>
      </c>
      <c r="W37" s="3">
        <f>463+(121.9-32)+(-0.70839+(-0.186507--0.04896))+0-0-0</f>
        <v>552.05406299999993</v>
      </c>
      <c r="X37" s="3">
        <f>476+(179.5-31)+(-1.2138+(-0.457725--0.07905))+0-0-0</f>
        <v>622.90752499999996</v>
      </c>
      <c r="Y37" s="3">
        <f>477+(251.8-31)+(-0.24327+(-0.128418--0.01581))+0-0-0</f>
        <v>697.44412199999999</v>
      </c>
      <c r="Z37" s="3">
        <f>477+(254.2-32)+(-0.24327+(-0.129642--0.01632))+0-0-0</f>
        <v>698.84340800000007</v>
      </c>
      <c r="AA37" s="3">
        <f>419+(270.5-33)+(-1.06845+(-0.689775--0.08415))+0-0-0</f>
        <v>654.82592499999998</v>
      </c>
      <c r="AB37" s="3">
        <f>419+(307.3-32)+(-0.42738+(-0.313446--0.03264))+0-0-0</f>
        <v>693.591814</v>
      </c>
      <c r="AC37" s="3">
        <f>419+(286.7-31)+(-0.85476+(-0.584868--0.06324))+0-0-0</f>
        <v>673.32361200000003</v>
      </c>
      <c r="AD37">
        <v>712</v>
      </c>
      <c r="AE37" s="3">
        <f>487+(258-33)+(0+(0-0))+0-0-0</f>
        <v>712</v>
      </c>
    </row>
    <row r="38" spans="1:31" s="2" customFormat="1" x14ac:dyDescent="0.3">
      <c r="A38">
        <v>90</v>
      </c>
      <c r="B38">
        <v>2</v>
      </c>
      <c r="C38">
        <v>7</v>
      </c>
      <c r="D38">
        <v>5</v>
      </c>
      <c r="E38">
        <v>1</v>
      </c>
      <c r="F38" s="3">
        <f>544+(138.2-31)+(-0.55488+(-0.140964--0.03162))+0-0-0</f>
        <v>650.53577600000006</v>
      </c>
      <c r="G38" s="3">
        <f>557+(95.1-33)+(-1.42035+(-0.242505--0.08415))+0-0-0</f>
        <v>617.52129500000001</v>
      </c>
      <c r="H38" s="3">
        <f>558+(73.1-40.1)+(-0.85374+(-0.111843--0.061353))+0-0-0</f>
        <v>590.09577000000002</v>
      </c>
      <c r="I38" s="3">
        <f>559+(60.4-49.4)+(-0.57018+(-0.061608--0.050388))+0-0-0</f>
        <v>569.41859999999997</v>
      </c>
      <c r="J38" s="3">
        <f>557+(48.3-58.1)+(-0.28407+(-0.024633--0.029631))+0-0-0</f>
        <v>546.920928</v>
      </c>
      <c r="K38" s="3">
        <f>557+(35.6-82.5)+(-0.56814+(-0.036312--0.08415))+0-0-0</f>
        <v>509.57969800000001</v>
      </c>
      <c r="L38" s="3">
        <f>555+(14.1-100.1)+(-1.41525+(-0.035955--0.255255))+0-0-0</f>
        <v>467.80405000000002</v>
      </c>
      <c r="M38" s="3">
        <f>551+(18.4-93.2)+(-0.28101+(-0.009384--0.047532))+0-0-0</f>
        <v>475.95713799999999</v>
      </c>
      <c r="N38" s="3">
        <f>548+(32.5-78.3)+(-0.83844+(-0.049725--0.119799))+0-0-0</f>
        <v>501.43163399999997</v>
      </c>
      <c r="O38" s="3">
        <f>546+(40.1-62.9)+(-0.27846+(-0.020451--0.032079))+0-0-0</f>
        <v>522.93316800000002</v>
      </c>
      <c r="P38" s="3">
        <f>544+(50.9-50)+(-0.27744+(-0.025959--0.0255))+0-0-0</f>
        <v>544.62210099999993</v>
      </c>
      <c r="Q38" s="3">
        <f>544+(73.2-49)+(-1.3872+(-0.18666--0.12495))+0-0-0</f>
        <v>566.75109000000009</v>
      </c>
      <c r="R38" s="3">
        <f>539+(110.7-33)+(-0.54978+(-0.112914--0.03366))+0-0-0</f>
        <v>616.070966</v>
      </c>
      <c r="S38" s="3">
        <f>539+(153.6-32)+(-0.27489+(-0.078336--0.01632))+0-0-0</f>
        <v>660.26309400000002</v>
      </c>
      <c r="T38" s="3">
        <f>540+(158.6-32)+(-0.2754+(-0.080886--0.01632))+0-0-0</f>
        <v>666.26003400000002</v>
      </c>
      <c r="U38" s="3">
        <f>540+(140.2-31)+(-1.377+(-0.35751--0.07905))+0-0-0</f>
        <v>647.5445400000001</v>
      </c>
      <c r="V38" s="3">
        <f>545+(103.1-49)+(-0.27795+(-0.052581--0.02499))+0-0-0</f>
        <v>598.79445900000007</v>
      </c>
      <c r="W38" s="3">
        <f>560+(61.7-66.2)+(-1.428+(-0.157335--0.16881))+0-0-0</f>
        <v>554.08347500000002</v>
      </c>
      <c r="X38" s="3">
        <f>442+(138.4-30)+(-0.67626+(-0.211752--0.0459))+0-0-0</f>
        <v>549.55788799999993</v>
      </c>
      <c r="Y38" s="3">
        <f>413+(169.6-31)+(-0.84252+(-0.345984--0.06324))+13-0-0</f>
        <v>563.47473600000001</v>
      </c>
      <c r="Z38" s="3">
        <f>419+(233.3-31)+(-0.42738+(-0.237966--0.03162))+15-0-0</f>
        <v>635.66627399999993</v>
      </c>
      <c r="AA38" s="3">
        <f>425+(306.3-33)+(-0.867+(-0.624852--0.06732))+0-0-0</f>
        <v>696.87546799999996</v>
      </c>
      <c r="AB38" s="3">
        <f>425+(318.2-32)+(-1.08375+(-0.81141--0.0816))+0-0-0</f>
        <v>709.38643999999999</v>
      </c>
      <c r="AC38" s="3">
        <f>409+(272.6-32)+(-0.62577+(-0.417078--0.04896))+0-0-0</f>
        <v>648.60611200000005</v>
      </c>
      <c r="AD38">
        <v>658.4</v>
      </c>
      <c r="AE38" s="3">
        <f>425+(266.4-33)+(0+(0-0))+0-0-0</f>
        <v>658.4</v>
      </c>
    </row>
    <row r="39" spans="1:31" s="2" customFormat="1" x14ac:dyDescent="0.3">
      <c r="A39">
        <v>90</v>
      </c>
      <c r="B39">
        <v>2</v>
      </c>
      <c r="C39">
        <v>8</v>
      </c>
      <c r="D39">
        <v>6</v>
      </c>
      <c r="E39">
        <v>1</v>
      </c>
      <c r="F39" s="3">
        <f>399+(285.3-32)+(-0.81396+(-0.582012--0.06528))+0-0-0</f>
        <v>650.96930799999996</v>
      </c>
      <c r="G39" s="3">
        <f>399+(229-31)+(-1.42443+(-0.81753--0.11067))+0-0-0</f>
        <v>594.86870999999996</v>
      </c>
      <c r="H39" s="3">
        <f>399+(222.1-30)+(-1.62792+(-0.906168--0.1224))+0-0-0</f>
        <v>588.688312</v>
      </c>
      <c r="I39" s="3">
        <f>399+(193.2-30)+(0.20349+(0.098532-0.0153))+0-0-0</f>
        <v>562.4867220000001</v>
      </c>
      <c r="J39" s="3">
        <f>399+(185.3-31)+(-0.81396+(-0.378012--0.06324))+0-0-0</f>
        <v>552.17126799999994</v>
      </c>
      <c r="K39" s="3">
        <f>399+(147.8-31)+(-0.40698+(-0.150756--0.03162))+0-0-0</f>
        <v>515.27388399999995</v>
      </c>
      <c r="L39" s="3">
        <f>405+(94.4-31)+(-0.4131+(-0.096288--0.03162))+0-0-0</f>
        <v>467.92223199999995</v>
      </c>
      <c r="M39" s="3">
        <f>405+(97.8-30)+(-0.20655+(-0.049878--0.0153))+0-0-0</f>
        <v>472.55887200000001</v>
      </c>
      <c r="N39" s="3">
        <f>405+(112.8-30)+(-0.4131+(-0.115056--0.0306))+0-0-0</f>
        <v>487.30244400000004</v>
      </c>
      <c r="O39" s="3">
        <f>403+(133.1-29)+(-0.20553+(-0.067881--0.01479))+0-0-0</f>
        <v>506.84137900000002</v>
      </c>
      <c r="P39" s="3">
        <f>438+(121-29)+(-0.67014+(-0.18513--0.04437))+0-0-0</f>
        <v>529.18910000000005</v>
      </c>
      <c r="Q39" s="3">
        <f>448+(138.8-29)+(0+(0-0))+0-0-0</f>
        <v>557.79999999999995</v>
      </c>
      <c r="R39" s="3">
        <f>471+(144.8-30)+(-1.44126+(-0.443088--0.0918))+0-0-0</f>
        <v>584.00745199999994</v>
      </c>
      <c r="S39" s="3">
        <f>515+(122.5-32)+(0.26265+(0.062475-0.01632))+0-0-0</f>
        <v>605.80880500000001</v>
      </c>
      <c r="T39" s="3">
        <f>514+(106-32)+(0+(0-0))+0-0-0</f>
        <v>588</v>
      </c>
      <c r="U39" s="3">
        <f>510+(87.3-35.6)+(-0.7803+(-0.133569--0.054468))+3.3-0-0</f>
        <v>564.14059899999995</v>
      </c>
      <c r="V39" s="3">
        <f>441+(110.8-31)+(-0.67473+(-0.169524--0.04743))+6-0-0</f>
        <v>526.00317599999994</v>
      </c>
      <c r="W39" s="3">
        <f>412+(114-30)+(-0.63036+(-0.17442--0.0459))+0-0-0</f>
        <v>495.24112000000002</v>
      </c>
      <c r="X39" s="3">
        <f>412+(95.5-30)+(-1.26072+(-0.29223--0.0918))+0-0-0</f>
        <v>476.03885000000002</v>
      </c>
      <c r="Y39" s="3">
        <f>412+(148.4-30)+(-0.84048+(-0.302736--0.0612))+0-0-0</f>
        <v>529.31798400000002</v>
      </c>
      <c r="Z39" s="3">
        <f>412+(178.6-28)+(-0.84048+(-0.364344--0.05712))+0-0-0</f>
        <v>561.45229600000005</v>
      </c>
      <c r="AA39" s="3">
        <f>412+(224.7-30)+(-0.63036+(-0.343791--0.0459))+0-0-0</f>
        <v>605.771749</v>
      </c>
      <c r="AB39" s="3">
        <f>412+(230-32)+(-0.84048+(-0.4692--0.06528))+0-0-0</f>
        <v>608.75559999999996</v>
      </c>
      <c r="AC39" s="3">
        <f>486+(134.6-32)+(-0.74358+(-0.205938--0.04896))+0-0-0</f>
        <v>587.69944199999998</v>
      </c>
      <c r="AD39">
        <v>573.4</v>
      </c>
      <c r="AE39" s="3">
        <f>412+(191.4-30)+(0+(0-0))+0-0-0</f>
        <v>573.4</v>
      </c>
    </row>
    <row r="40" spans="1:31" s="2" customFormat="1" x14ac:dyDescent="0.3">
      <c r="A40">
        <v>90</v>
      </c>
      <c r="B40">
        <v>2</v>
      </c>
      <c r="C40">
        <v>9</v>
      </c>
      <c r="D40">
        <v>7</v>
      </c>
      <c r="E40">
        <v>1</v>
      </c>
      <c r="F40" s="3">
        <f>562+(53.3-51.3)+(-0.57324+(-0.054366--0.052326))+0-0-0</f>
        <v>563.42471999999998</v>
      </c>
      <c r="G40" s="3">
        <f>562+(45.8-62.5)+(-1.4331+(-0.11679--0.159375))+0-0-0</f>
        <v>543.9094849999999</v>
      </c>
      <c r="H40" s="3">
        <f>563+(36.7-85)+(-0.86139+(-0.056151--0.13005))+0-0-0</f>
        <v>513.912509</v>
      </c>
      <c r="I40" s="3">
        <f>564+(29.1-83.1)+(-0.28764+(-0.014841--0.042381))+0-0-0</f>
        <v>509.73989999999998</v>
      </c>
      <c r="J40" s="3">
        <f>564+(21.5-99.1)+(-1.72584+(-0.06579--0.303246))+0-0-0</f>
        <v>484.91161599999998</v>
      </c>
      <c r="K40" s="3">
        <f>565+(14.2-106.8)+(-1.1526+(-0.028968--0.217872))+0-0-0</f>
        <v>471.43630399999995</v>
      </c>
      <c r="L40" s="3">
        <f>561+(2-134.7)+(-0.85833+(-0.00306--0.206091))+0-0-0</f>
        <v>427.644701</v>
      </c>
      <c r="M40" s="3">
        <f>558+(7.3-129.1)+(-0.28458+(-0.003723--0.065841))+0-0-0</f>
        <v>435.97753799999998</v>
      </c>
      <c r="N40" s="3">
        <f>546+(21.8-113.2)+(-0.55692+(-0.022236--0.115464))+0-0-0</f>
        <v>454.13630800000004</v>
      </c>
      <c r="O40" s="3">
        <f>545+(32.5-105.4)+(0+(0-0))+0-0-0</f>
        <v>472.1</v>
      </c>
      <c r="P40" s="3">
        <f>546+(34.6-83.9)+(-0.83538+(-0.052938--0.128367))+0-0-0</f>
        <v>495.94004899999999</v>
      </c>
      <c r="Q40" s="3">
        <f>545+(44.3-68.6)+(-0.83385+(-0.067779--0.104958))+0-0-0</f>
        <v>519.9033290000001</v>
      </c>
      <c r="R40" s="3">
        <f>542+(60.2-38.4)+(-0.55284+(-0.061404--0.039168))+0-0-0</f>
        <v>563.22492399999999</v>
      </c>
      <c r="S40" s="3">
        <f>541+(77.5-23.4)+(-1.10364+(-0.1581--0.047736))+0-0-0</f>
        <v>593.88599599999998</v>
      </c>
      <c r="T40" s="3">
        <f>541+(81-37.3)+(-0.55182+(-0.08262--0.038046))+0-0-0</f>
        <v>584.10360600000001</v>
      </c>
      <c r="U40" s="3">
        <f>543+(72-47.5)+(-0.83079+(-0.11016--0.072675))+0-0-0</f>
        <v>566.63172499999996</v>
      </c>
      <c r="V40" s="3">
        <f>505+(76.3-29.9)+(-0.5151+(-0.077826--0.030498))+0-0-0</f>
        <v>550.83757200000002</v>
      </c>
      <c r="W40" s="3">
        <f>442+(92.3-20)+(-1.1271+(-0.235365--0.051))+0-0-0</f>
        <v>512.98853499999996</v>
      </c>
      <c r="X40" s="3">
        <f>412+(87-25)+(-0.84048+(-0.17748--0.051))+0-0-0</f>
        <v>473.03304000000003</v>
      </c>
      <c r="Y40" s="3">
        <f>412+(170.8-29)+(-0.63036+(-0.261324--0.04437))+0-0-0</f>
        <v>552.95268599999997</v>
      </c>
      <c r="Z40" s="3">
        <f>509+(126.2-30)+(-1.03836+(-0.257448--0.0612))+0-0-0</f>
        <v>603.96539200000007</v>
      </c>
      <c r="AA40" s="3">
        <f>529+(153.1-30)+(-0.53958+(-0.156162--0.0306))+0-0-0</f>
        <v>651.43485800000008</v>
      </c>
      <c r="AB40" s="3">
        <f>487+(196.9-29)+(-0.74511+(-0.301257--0.04437))+0-0-0</f>
        <v>653.89800300000002</v>
      </c>
      <c r="AC40" s="3">
        <f>487+(196.5-28)+(-0.24837+(-0.100215--0.01428))+0-0-0</f>
        <v>655.16569500000003</v>
      </c>
      <c r="AD40">
        <v>674.7</v>
      </c>
      <c r="AE40" s="3">
        <f>561+(137.7-24)+(0+(0-0))+0-0-0</f>
        <v>674.7</v>
      </c>
    </row>
    <row r="41" spans="1:31" s="2" customFormat="1" x14ac:dyDescent="0.3">
      <c r="A41">
        <v>90</v>
      </c>
      <c r="B41">
        <v>2</v>
      </c>
      <c r="C41">
        <v>10</v>
      </c>
      <c r="D41">
        <v>1</v>
      </c>
      <c r="E41">
        <v>1</v>
      </c>
      <c r="F41" s="3">
        <f>396+(237.3-27)+(-0.40392+(-0.242046--0.02754))+0-0-0</f>
        <v>605.68157399999996</v>
      </c>
      <c r="G41" s="3">
        <f>354+(245.6-26)+(-0.72216+(-0.501024--0.05304))+0-0-0</f>
        <v>572.42985599999997</v>
      </c>
      <c r="H41" s="3">
        <f>354+(216.2-26)+(-0.54162+(-0.330786--0.03978))+0-0-0</f>
        <v>543.36737400000004</v>
      </c>
      <c r="I41" s="3">
        <f>354+(197.2-26)+(-0.18054+(-0.100572--0.01326))+0-0-0</f>
        <v>524.9321480000001</v>
      </c>
      <c r="J41" s="3">
        <f>354+(184.5-27)+(-1.26378+(-0.658665--0.09639))+0-0-0</f>
        <v>509.673945</v>
      </c>
      <c r="K41" s="3">
        <f>354+(152.7-29)+(-1.08324+(-0.467262--0.08874))+0-0-0</f>
        <v>476.23823799999997</v>
      </c>
      <c r="L41" s="3">
        <f>359+(117.9-29)+(-0.73236+(-0.240516--0.05916))+0-0-0</f>
        <v>446.98628399999996</v>
      </c>
      <c r="M41" s="3">
        <f>359+(120.5-28)+(-0.18309+(-0.061455--0.01428))+0-0-0</f>
        <v>451.26973500000003</v>
      </c>
      <c r="N41" s="3">
        <f>358+(144.6-30)+(-0.36516+(-0.147492--0.0306))+0-0-0</f>
        <v>472.11794800000001</v>
      </c>
      <c r="O41" s="3">
        <f>526+(59.8-76.6)+(-0.80478+(-0.091494--0.117198))+1.7-0-0</f>
        <v>510.120924</v>
      </c>
      <c r="P41" s="3">
        <f>543+(49.4-69.6)+(-0.27693+(-0.025194--0.035496))+6-0-0</f>
        <v>528.53337199999999</v>
      </c>
      <c r="Q41" s="3">
        <f>541+(67.5-54.4)+(0+(0-0))+6-0-0</f>
        <v>560.1</v>
      </c>
      <c r="R41" s="3">
        <f>535+(105.7-29)+(-0.27285+(-0.053907--0.01479))+6-0-0</f>
        <v>617.38803300000006</v>
      </c>
      <c r="S41" s="3">
        <f>535+(137.7-33)+(-0.27285+(-0.070227--0.01683))+6-0-0</f>
        <v>645.37375300000008</v>
      </c>
      <c r="T41" s="3">
        <f>537+(139.6-27)+(-0.82161+(-0.213588--0.04131))+6-0-0</f>
        <v>654.60611200000005</v>
      </c>
      <c r="U41" s="3">
        <f>537+(125.1-34)+(-0.82161+(-0.191403--0.05202))+3-0-0</f>
        <v>630.13900699999999</v>
      </c>
      <c r="V41" s="3">
        <f>555+(110.1-49.3)+(-0.5661+(-0.112302--0.050286))+0-0-0</f>
        <v>615.17188399999998</v>
      </c>
      <c r="W41" s="3">
        <f>557+(85.4-72.2)+(-0.85221+(-0.130662--0.110466))+0-0-0</f>
        <v>569.32759400000009</v>
      </c>
      <c r="X41" s="3">
        <f>560+(50.4-78.5)+(-1.1424+(-0.102816--0.16014))+0-0-0</f>
        <v>530.81492400000002</v>
      </c>
      <c r="Y41" s="3">
        <f>562+(73.5-32)+(-0.28662+(-0.037485--0.01632))+0-0-0</f>
        <v>603.19221500000003</v>
      </c>
      <c r="Z41" s="3">
        <f>562+(153.1-33)+(-1.71972+(-0.468486--0.10098))+0-0-0</f>
        <v>680.01277400000004</v>
      </c>
      <c r="AA41" s="3">
        <f>547+(211-32)+(-1.11588+(-0.43044--0.06528))+0-0-0</f>
        <v>724.51895999999999</v>
      </c>
      <c r="AB41" s="3">
        <f>488+(263.8-32)+(-1.2444+(-0.67269--0.0816))+0-0-0</f>
        <v>717.9645099999999</v>
      </c>
      <c r="AC41" s="3">
        <f>489+(240.1-30)+(-0.99756+(-0.489804--0.0612))+0-0-0</f>
        <v>697.67383600000005</v>
      </c>
      <c r="AD41">
        <v>699.7</v>
      </c>
      <c r="AE41" s="3">
        <f>560+(173.7-34)+(0+(0-0))+0-0-0</f>
        <v>699.7</v>
      </c>
    </row>
    <row r="42" spans="1:31" s="2" customFormat="1" x14ac:dyDescent="0.3">
      <c r="A42">
        <v>90</v>
      </c>
      <c r="B42">
        <v>2</v>
      </c>
      <c r="C42">
        <v>11</v>
      </c>
      <c r="D42">
        <v>2</v>
      </c>
      <c r="E42">
        <v>1</v>
      </c>
      <c r="F42" s="3">
        <f>460+(218.6-30)+(-0.7038+(-0.334458--0.0459))+0-0-0</f>
        <v>647.60764200000006</v>
      </c>
      <c r="G42" s="3">
        <f>451+(209.5-29)+(-1.38006+(-0.64107--0.08874))+0-0-0</f>
        <v>629.56760999999995</v>
      </c>
      <c r="H42" s="3">
        <f>451+(194.3-29)+(-0.92004+(-0.396372--0.05916))+0-0-0</f>
        <v>615.04274799999996</v>
      </c>
      <c r="I42" s="3">
        <f>382+(224.2-29)+(0.19482+(0.114342-0.01479))+0-0-0</f>
        <v>577.494372</v>
      </c>
      <c r="J42" s="3">
        <f>372+(203.3-31)+(0.18972+(0.103683-0.01581))+0-0-0</f>
        <v>544.57759299999998</v>
      </c>
      <c r="K42" s="3">
        <f>434+(141.4-32)+(0+(0-0))+0-0-0</f>
        <v>543.4</v>
      </c>
      <c r="L42" s="3">
        <f>451+(67.6-34.6)+(-1.15005+(-0.17238--0.08823))+0-0-0</f>
        <v>482.76580000000001</v>
      </c>
      <c r="M42" s="3">
        <f>449+(74.9-31)+(-0.68697+(-0.114597--0.04743))+0-0-0</f>
        <v>492.14586299999996</v>
      </c>
      <c r="N42" s="3">
        <f>446+(103.3-31)+(-0.90984+(-0.210732--0.06324))+0-0-0</f>
        <v>517.24266799999998</v>
      </c>
      <c r="O42" s="3">
        <f>444+(127.7-31)+(0+(0-0))+0-0-0</f>
        <v>540.70000000000005</v>
      </c>
      <c r="P42" s="3">
        <f>443+(151.6-32)+(-0.45186+(-0.154632--0.03264))+0-0-0</f>
        <v>562.02614800000003</v>
      </c>
      <c r="Q42" s="3">
        <f>443+(181.6-33)+(-0.67779+(-0.277848--0.05049))+0-0-0</f>
        <v>590.69485199999997</v>
      </c>
      <c r="R42" s="3">
        <f>513+(171.3-32)+(-1.56978+(-0.524178--0.09792))+0-0-0</f>
        <v>650.30396199999996</v>
      </c>
      <c r="S42" s="3">
        <f>519+(209.6-32)+(-1.05876+(-0.427584--0.06528))+0-0-0</f>
        <v>695.17893600000002</v>
      </c>
      <c r="T42" s="3">
        <f>520+(212.9-30)+(-1.5912+(-0.651474--0.0918))+0-0-0</f>
        <v>700.74912599999993</v>
      </c>
      <c r="U42" s="3">
        <f>524+(173.6-29)+(-1.06896+(-0.354144--0.05916))+0-0-0</f>
        <v>667.23605600000008</v>
      </c>
      <c r="V42" s="3">
        <f>539+(126.8-35)+(-1.37445+(-0.32334--0.08925))+0-0-0</f>
        <v>629.19146000000001</v>
      </c>
      <c r="W42" s="3">
        <f>560+(87.1-46.3)+(-1.1424+(-0.177684--0.094452))+0-0-0</f>
        <v>599.57436799999994</v>
      </c>
      <c r="X42" s="3">
        <f>556+(60.8-62.5)+(-1.98492+(-0.217056--0.223125))+0-0-0</f>
        <v>552.32114899999999</v>
      </c>
      <c r="Y42" s="3">
        <f>484+(160.7-31)+(0+(0-0))+0-0-0</f>
        <v>613.70000000000005</v>
      </c>
      <c r="Z42" s="3">
        <f>485+(257.9-33)+(-1.23675+(-0.657645--0.08415))+0-0-0</f>
        <v>708.08975499999997</v>
      </c>
      <c r="AA42" s="3">
        <f>470+(263.7-33)+(-0.9588+(-0.537948--0.06732))+0-0-0</f>
        <v>699.27057200000002</v>
      </c>
      <c r="AB42" s="3">
        <f>486+(273-32)+(-0.49572+(-0.27846--0.03264))+0-0-0</f>
        <v>726.25846000000001</v>
      </c>
      <c r="AC42" s="3">
        <f>479+(238.9-32)+(-0.48858+(-0.243678--0.03264))+0-0-0</f>
        <v>685.20038199999999</v>
      </c>
      <c r="AD42">
        <v>705.8</v>
      </c>
      <c r="AE42" s="3">
        <f>485+(254.8-34)+(0+(0-0))+0-0-0</f>
        <v>705.8</v>
      </c>
    </row>
    <row r="43" spans="1:31" s="2" customFormat="1" x14ac:dyDescent="0.3">
      <c r="A43">
        <v>90</v>
      </c>
      <c r="B43">
        <v>2</v>
      </c>
      <c r="C43">
        <v>12</v>
      </c>
      <c r="D43">
        <v>3</v>
      </c>
      <c r="E43">
        <v>1</v>
      </c>
      <c r="F43" s="3">
        <f>455+(222.4-31)+(-1.3923+(-0.680544--0.09486))+0-0-0</f>
        <v>644.42201599999999</v>
      </c>
      <c r="G43" s="3">
        <f>439+(220-30)+(-0.89556+(-0.4488--0.0612))+0-0-0</f>
        <v>627.71684000000005</v>
      </c>
      <c r="H43" s="3">
        <f>439+(191.5-29)+(-0.44778+(-0.19533--0.02958))+0-0-0</f>
        <v>600.88647000000003</v>
      </c>
      <c r="I43" s="3">
        <f>439+(165.8-29)+(-0.67167+(-0.253674--0.04437))+0-0-0</f>
        <v>574.91902599999992</v>
      </c>
      <c r="J43" s="3">
        <f>439+(148.8-32)+(-0.22389+(-0.075888--0.01632))+0-0-0</f>
        <v>555.51654199999996</v>
      </c>
      <c r="K43" s="3">
        <f>439+(115.1-34)+(-0.89556+(-0.234804--0.06936))+0-0-0</f>
        <v>519.038996</v>
      </c>
      <c r="L43" s="3">
        <f>422+(93.2-38)+(-1.29132+(-0.285192--0.11628))+0-0-0</f>
        <v>475.73976799999997</v>
      </c>
      <c r="M43" s="3">
        <f>413+(112.7-32)+(-0.42126+(-0.114954--0.03264))+0-0-0</f>
        <v>493.19642599999997</v>
      </c>
      <c r="N43" s="3">
        <f>442+(120.3-31)+(-0.67626+(-0.184059--0.04743))+0-0-0</f>
        <v>530.48711099999991</v>
      </c>
      <c r="O43" s="3">
        <f>473+(108-35)+(-0.72369+(-0.16524--0.05355))+0-0-0</f>
        <v>545.16462000000001</v>
      </c>
      <c r="P43" s="3">
        <f>508+(115.5-36)+(-1.03632+(-0.23562--0.07344))+0-0-0</f>
        <v>586.30150000000003</v>
      </c>
      <c r="Q43" s="3">
        <f>512+(139.1-29)+(-0.78336+(-0.212823--0.04437))+0-0-0</f>
        <v>621.14818700000001</v>
      </c>
      <c r="R43" s="3">
        <f>526+(171-31)+(-1.3413+(-0.43605--0.07905))+0-0-0</f>
        <v>664.30169999999998</v>
      </c>
      <c r="S43" s="3">
        <f>526+(204.3-32)+(-0.26826+(-0.104193--0.01632))+0-0-0</f>
        <v>697.94386699999995</v>
      </c>
      <c r="T43" s="3">
        <f>527+(189.6-32)+(-0.80631+(-0.290088--0.04896))+0-0-0</f>
        <v>683.55256199999997</v>
      </c>
      <c r="U43" s="3">
        <f>526+(163.1-31)+(-1.3413+(-0.415905--0.07905))+0-0-0</f>
        <v>656.42184500000008</v>
      </c>
      <c r="V43" s="3">
        <f>554+(128.6-31)+(-1.4127+(-0.32793--0.07905))+0-0-0</f>
        <v>649.93842000000006</v>
      </c>
      <c r="W43" s="3">
        <f>555+(93.5-37)+(-1.1322+(-0.19074--0.07548))+0-0-0</f>
        <v>610.25253999999995</v>
      </c>
      <c r="X43" s="3">
        <f>556+(58.6-54.3)+(-1.4178+(-0.14943--0.138465))+0-0-0</f>
        <v>558.87123499999996</v>
      </c>
      <c r="Y43" s="3">
        <f>489+(178.5-31)+(0.24939+(0.091035-0.01581))+0-0-0</f>
        <v>636.82461499999999</v>
      </c>
      <c r="Z43" s="3">
        <f>485+(260.9-33)+(-0.4947+(-0.266118--0.03366))+0-0-0</f>
        <v>712.17284199999995</v>
      </c>
      <c r="AA43" s="3">
        <f>486+(280.4-30)+(-1.48716+(-0.858024--0.0918))+0-0-0</f>
        <v>734.14661599999999</v>
      </c>
      <c r="AB43" s="3">
        <f>486+(280.6-24)+(-1.73502+(-1.001742--0.08568))+0-0-0</f>
        <v>739.94891800000005</v>
      </c>
      <c r="AC43" s="3">
        <f>486+(266.6-32)+(-0.74358+(-0.407898--0.04896))+0-0-0</f>
        <v>719.49748199999999</v>
      </c>
      <c r="AD43">
        <v>728</v>
      </c>
      <c r="AE43" s="3">
        <f>486+(276-34)+(0+(0-0))+0-0-0</f>
        <v>728</v>
      </c>
    </row>
    <row r="44" spans="1:31" s="2" customFormat="1" x14ac:dyDescent="0.3">
      <c r="A44">
        <v>90</v>
      </c>
      <c r="B44">
        <v>2</v>
      </c>
      <c r="C44">
        <v>13</v>
      </c>
      <c r="D44">
        <v>4</v>
      </c>
      <c r="E44">
        <v>1</v>
      </c>
      <c r="F44" s="3">
        <f>466+(237.8-32)+(0+(0-0))+0-0-0</f>
        <v>671.8</v>
      </c>
      <c r="G44" s="3">
        <f>466+(203.2-30)+(0+(0-0))+0-0-0</f>
        <v>639.20000000000005</v>
      </c>
      <c r="H44" s="3">
        <f>466+(180.8-29)+(0+(0-0))+0-0-0</f>
        <v>617.79999999999995</v>
      </c>
      <c r="I44" s="3">
        <f>467+(163.8-29)+(0+(0-0))+0-0-0</f>
        <v>601.79999999999995</v>
      </c>
      <c r="J44" s="3">
        <f>405+(199.7-30)+(-0.61965+(-0.305541--0.0459))+0-0-0</f>
        <v>573.82070900000008</v>
      </c>
      <c r="K44" s="3">
        <f>389+(172.4-31)+(-0.39678+(-0.175848--0.03162))+0-0-0</f>
        <v>529.85899199999994</v>
      </c>
      <c r="L44" s="3">
        <f>389+(125.3-32)+(0.39678+(0.127806-0.03264))+0-0-0</f>
        <v>482.791946</v>
      </c>
      <c r="M44" s="3">
        <f>389+(135.3-32)+(0.39678+(0.138006-0.03264))+0-0-0</f>
        <v>492.80214599999999</v>
      </c>
      <c r="N44" s="3">
        <f>385+(164.2-32)+(-0.19635+(-0.083742--0.01632))+0-0-0</f>
        <v>516.93622800000003</v>
      </c>
      <c r="O44" s="3">
        <f>387+(174.1-30)+(0+(0-0))+0-0-0</f>
        <v>531.1</v>
      </c>
      <c r="P44" s="3">
        <f>457+(147.6-31)+(0+(0-0))+0-0-0</f>
        <v>573.6</v>
      </c>
      <c r="Q44" s="3">
        <f>457+(181.3-32)+(-0.93228+(-0.369852--0.06528))+0-0-0</f>
        <v>605.06314799999996</v>
      </c>
      <c r="R44" s="3">
        <f>462+(252.9-33)+(-0.23562+(-0.128979--0.01683))+0-0-0</f>
        <v>681.55223100000001</v>
      </c>
      <c r="S44" s="3">
        <f>496+(260.6-33)+(0+(0-0))+0-0-0</f>
        <v>723.6</v>
      </c>
      <c r="T44" s="3">
        <f>540+(204.4-32)+(-0.2754+(-0.104244--0.01632))+0-0-0</f>
        <v>712.03667599999994</v>
      </c>
      <c r="U44" s="3">
        <f>541+(168.1-31)+(-1.93137+(-0.600117--0.11067))+0-0-0</f>
        <v>675.67918299999997</v>
      </c>
      <c r="V44" s="3">
        <f>516+(137.5-30)+(-1.57896+(-0.42075--0.0918))+0-0-0</f>
        <v>621.59208999999998</v>
      </c>
      <c r="W44" s="3">
        <f>477+(150.3-29)+(-1.70289+(-0.536571--0.10353))+0-0-0</f>
        <v>596.16406899999993</v>
      </c>
      <c r="X44" s="3">
        <f>411+(175.1-29)+(-1.04805+(-0.446505--0.07395))+0-0-0</f>
        <v>555.679395</v>
      </c>
      <c r="Y44" s="3">
        <f>434+(231.2-29)+(-1.1067+(-0.58956--0.07395))+0-0-0</f>
        <v>634.57769000000008</v>
      </c>
      <c r="Z44" s="3">
        <f>531+(209.4-32)+(-1.08324+(-0.427176--0.06528))+0-0-0</f>
        <v>706.95486399999993</v>
      </c>
      <c r="AA44" s="3">
        <f>557+(216.8-33)+(-1.13628+(-0.442272--0.06732))+0-0-0</f>
        <v>739.288768</v>
      </c>
      <c r="AB44" s="3">
        <f>555+(229.6-33)+(0.28305+(0.117096-0.01683))+0-0-0</f>
        <v>751.98331600000006</v>
      </c>
      <c r="AC44" s="3">
        <f>553+(218-33)+(-0.56406+(-0.22236--0.03366))+0-0-0</f>
        <v>737.24724000000003</v>
      </c>
      <c r="AD44">
        <v>717.5</v>
      </c>
      <c r="AE44" s="3">
        <f>555+(195.5-33)+(0+(0-0))+0-0-0</f>
        <v>717.5</v>
      </c>
    </row>
    <row r="45" spans="1:31" s="2" customFormat="1" x14ac:dyDescent="0.3">
      <c r="A45">
        <v>90</v>
      </c>
      <c r="B45">
        <v>2</v>
      </c>
      <c r="C45">
        <v>14</v>
      </c>
      <c r="D45">
        <v>5</v>
      </c>
      <c r="E45">
        <v>1</v>
      </c>
      <c r="F45" s="3">
        <f>536+(182.1-32)+(0+(0-0))+0-0-0</f>
        <v>686.1</v>
      </c>
      <c r="G45" s="3">
        <f>538+(137.9-33)+(-0.54876+(-0.140658--0.03366))+0-0-0</f>
        <v>642.24424199999999</v>
      </c>
      <c r="H45" s="3">
        <f>539+(119.5-31)+(0+(0-0))+0-0-0</f>
        <v>627.5</v>
      </c>
      <c r="I45" s="3">
        <f>535+(106.5-32)+(-0.81855+(-0.162945--0.04896))+0-0-0</f>
        <v>608.56746499999997</v>
      </c>
      <c r="J45" s="3">
        <f>411+(183.3-32)+(0.41922+(0.186966-0.03264))+0-0-0</f>
        <v>562.87354599999992</v>
      </c>
      <c r="K45" s="3">
        <f>394+(155.6-33)+(-0.80376+(-0.317424--0.06732))+0-0-0</f>
        <v>515.54613600000005</v>
      </c>
      <c r="L45" s="3">
        <f>401+(107.8-32)+(-0.20451+(-0.054978--0.01632))+0-0-0</f>
        <v>476.55683199999999</v>
      </c>
      <c r="M45" s="3">
        <f>401+(118.9-32)+(-0.20451+(-0.060639--0.01632))+0-0-0</f>
        <v>487.65117099999998</v>
      </c>
      <c r="N45" s="3">
        <f>398+(141.3-32)+(-0.20298+(-0.072063--0.01632))+0-0-0</f>
        <v>507.04127700000004</v>
      </c>
      <c r="O45" s="3">
        <f>398+(149.6-32)+(-0.40596+(-0.152592--0.03264))+0-0-0</f>
        <v>515.07408800000007</v>
      </c>
      <c r="P45" s="3">
        <f>398+(203.8-26)+(-0.60894+(-0.311814--0.03978))+0-0-0</f>
        <v>574.91902599999992</v>
      </c>
      <c r="Q45" s="3">
        <f>398+(220.1-30)+(0+(0-0))+0-0-0</f>
        <v>588.1</v>
      </c>
      <c r="R45" s="3">
        <f>395+(277.1-32)+(-1.00725+(-0.706605--0.0816))+0-0-0</f>
        <v>638.46774500000004</v>
      </c>
      <c r="S45" s="3">
        <f>395+(317.5-30)+(0+(0-0))+0-0-0</f>
        <v>682.5</v>
      </c>
      <c r="T45" s="3">
        <f>395+(319.5-26)+(-0.8058+(-0.65178--0.05304))+0-0-0</f>
        <v>687.09546</v>
      </c>
      <c r="U45" s="3">
        <f>404+(287.2-24)+(-1.0302+(-0.73236--0.0612))+0-0-0</f>
        <v>665.49864000000002</v>
      </c>
      <c r="V45" s="3">
        <f>423+(236.5-27)+(-0.64719+(-0.361845--0.04131))+0-0-0</f>
        <v>631.53227500000003</v>
      </c>
      <c r="W45" s="3">
        <f>423+(192.6-27)+(-0.64719+(-0.294678--0.04131))+0-0-0</f>
        <v>587.69944199999998</v>
      </c>
      <c r="X45" s="3">
        <f>419+(142.1-28)+(-1.06845+(-0.362355--0.0714))+0-0-0</f>
        <v>531.74059499999998</v>
      </c>
      <c r="Y45" s="3">
        <f>431+(183.6-32)+(-0.65943+(-0.280908--0.04896))+0-0-0</f>
        <v>581.70862199999999</v>
      </c>
      <c r="Z45" s="3">
        <f>499+(199.7-33)+(-0.25449+(-0.101847--0.01683))+0-0-0</f>
        <v>665.36049300000002</v>
      </c>
      <c r="AA45" s="3">
        <f>481+(247-32)+(-0.98124+(-0.50388--0.06528))+0-0-0</f>
        <v>694.58015999999998</v>
      </c>
      <c r="AB45" s="3">
        <f>484+(262.6-32)+(-1.2342+(-0.66963--0.0816))+0-0-0</f>
        <v>712.77777000000003</v>
      </c>
      <c r="AC45" s="3">
        <f>484+(240.5-31)+(-0.74052+(-0.367965--0.04743))+0-0-0</f>
        <v>692.43894499999999</v>
      </c>
      <c r="AD45">
        <v>683.2</v>
      </c>
      <c r="AE45" s="3">
        <f>500+(216.2-33)+(0+(0-0))+0-0-0</f>
        <v>683.2</v>
      </c>
    </row>
    <row r="46" spans="1:31" s="2" customFormat="1" x14ac:dyDescent="0.3">
      <c r="A46">
        <v>90</v>
      </c>
      <c r="B46">
        <v>2</v>
      </c>
      <c r="C46">
        <v>15</v>
      </c>
      <c r="D46">
        <v>6</v>
      </c>
      <c r="E46">
        <v>1</v>
      </c>
      <c r="F46" s="3">
        <f>476+(227.7-31)+(-0.97104+(-0.464508--0.06324))+0-0-0</f>
        <v>671.32769200000007</v>
      </c>
      <c r="G46" s="3">
        <f>476+(183.5-30)+(-0.24276+(-0.093585--0.0153))+0-0-0</f>
        <v>629.17895499999997</v>
      </c>
      <c r="H46" s="3">
        <f>476+(160.9-30)+(-0.24276+(-0.082059--0.0153))+0-0-0</f>
        <v>606.59048099999995</v>
      </c>
      <c r="I46" s="3">
        <f>435+(176.3-29)+(-0.22185+(-0.089913--0.01479))+0-0-0</f>
        <v>582.00302699999997</v>
      </c>
      <c r="J46" s="3">
        <f>401+(182.1-30)+(-0.81804+(-0.371484--0.0612))+0-0-0</f>
        <v>551.971676</v>
      </c>
      <c r="K46" s="3">
        <f>401+(144.6-32)+(-1.63608+(-0.589968--0.13056))+0-0-0</f>
        <v>511.50451200000003</v>
      </c>
      <c r="L46" s="3">
        <f>403+(90.5-33)+(-0.61659+(-0.138465--0.05049))+0-0-0</f>
        <v>459.795435</v>
      </c>
      <c r="M46" s="3">
        <f>403+(112.1-32)+(0+(0-0))+0-0-0</f>
        <v>483.1</v>
      </c>
      <c r="N46" s="3">
        <f>400+(137.8-31)+(0+(0-0))+0-0-0</f>
        <v>506.8</v>
      </c>
      <c r="O46" s="3">
        <f>400+(165.3-29)+(0.204+(0.084303-0.01479))+0-0-0</f>
        <v>536.57351299999993</v>
      </c>
      <c r="P46" s="3">
        <f>400+(193.8-29)+(-0.612+(-0.296514--0.04437))+0-0-0</f>
        <v>563.93585599999994</v>
      </c>
      <c r="Q46" s="3">
        <f>454+(175.2-30)+(-0.69462+(-0.268056--0.0459))+0-0-0</f>
        <v>598.28322400000002</v>
      </c>
      <c r="R46" s="3">
        <f>461+(218.7-31)+(-0.70533+(-0.334611--0.04743))+0-0-0</f>
        <v>647.70748900000001</v>
      </c>
      <c r="S46" s="3">
        <f>461+(249.2-32)+(-0.47022+(-0.254184--0.03264))+0-0-0</f>
        <v>677.50823600000001</v>
      </c>
      <c r="T46" s="3">
        <f>462+(250.8-32)+(0.23562+(0.127908-0.01632))+0-0-0</f>
        <v>681.14720799999998</v>
      </c>
      <c r="U46" s="3">
        <f>464+(237.8-31)+(-0.70992+(-0.363834--0.04743))+0-0-0</f>
        <v>669.77367599999991</v>
      </c>
      <c r="V46" s="3">
        <f>468+(196.4-31)+(-0.95472+(-0.400656--0.06324))+0-0-0</f>
        <v>632.10786399999995</v>
      </c>
      <c r="W46" s="3">
        <f>483+(134.1-30)+(-0.73899+(-0.205173--0.0459))+0-0-0</f>
        <v>586.20173699999998</v>
      </c>
      <c r="X46" s="3">
        <f>462+(99.1-30)+(-0.94248+(-0.202164--0.0612))+0-0-0</f>
        <v>530.01655600000004</v>
      </c>
      <c r="Y46" s="3">
        <f>427+(196.8-31)+(-0.21777+(-0.100368--0.01581))+0-0-0</f>
        <v>592.49767199999997</v>
      </c>
      <c r="Z46" s="3">
        <f>535+(175.7-32)+(-1.36425+(-0.448035--0.0816))+0-0-0</f>
        <v>676.96931500000005</v>
      </c>
      <c r="AA46" s="3">
        <f>555+(181.4-33)+(-0.84915+(-0.277542--0.05049))+0-0-0</f>
        <v>702.32379800000001</v>
      </c>
      <c r="AB46" s="3">
        <f>554+(204-32)+(-0.84762+(-0.31212--0.04896))+0-0-0</f>
        <v>724.88922000000002</v>
      </c>
      <c r="AC46" s="3">
        <f>548+(207.9-32)+(-0.55896+(-0.212058--0.03264))+0-0-0</f>
        <v>723.16162199999997</v>
      </c>
      <c r="AD46">
        <v>702.6</v>
      </c>
      <c r="AE46" s="3">
        <f>556+(179.6-33)+(0+(0-0))+0-0-0</f>
        <v>702.6</v>
      </c>
    </row>
    <row r="47" spans="1:31" s="2" customFormat="1" x14ac:dyDescent="0.3">
      <c r="A47">
        <v>90</v>
      </c>
      <c r="B47">
        <v>2</v>
      </c>
      <c r="C47">
        <v>16</v>
      </c>
      <c r="D47">
        <v>7</v>
      </c>
      <c r="E47">
        <v>1</v>
      </c>
      <c r="F47" s="3">
        <f>521+(169.9-32)+(-0.79713+(-0.259947--0.04896))+0-0-0</f>
        <v>657.89188300000001</v>
      </c>
      <c r="G47" s="3">
        <f>486+(201.9-32)+(-0.74358+(-0.308907--0.04896))+0-0-0</f>
        <v>654.89647300000001</v>
      </c>
      <c r="H47" s="3">
        <f>424+(226.4-32)+(0+(0-0))+0-0-0</f>
        <v>618.4</v>
      </c>
      <c r="I47" s="3">
        <f>424+(210.6-33)+(-1.0812+(-0.53703--0.08415))+0-0-0</f>
        <v>600.06592000000001</v>
      </c>
      <c r="J47" s="3">
        <f>425+(185.3-33)+(0.4335+(0.189006-0.03366))+0-0-0</f>
        <v>577.88884599999994</v>
      </c>
      <c r="K47" s="3">
        <f>427+(140.8-33)+(-0.87108+(-0.287232--0.06732))+0-0-0</f>
        <v>533.70900799999993</v>
      </c>
      <c r="L47" s="3">
        <f>357+(141.6-34)+(0.18207+(0.072216-0.01734))+0-0-0</f>
        <v>464.83694600000001</v>
      </c>
      <c r="M47" s="3">
        <f>299+(210.8-32)+(0+(0-0))+0-0-0</f>
        <v>477.8</v>
      </c>
      <c r="N47" s="3">
        <f>298+(223.1-31)+(-0.15198+(-0.113781--0.01581))+0-0-0</f>
        <v>489.85004900000001</v>
      </c>
      <c r="O47" s="3">
        <f>298+(236.7-31)+(0+(0-0))+0-0-0</f>
        <v>503.7</v>
      </c>
      <c r="P47" s="3">
        <f>342+(221.3-32)+(-0.17442+(-0.112863--0.01632))+0-0-0</f>
        <v>531.0290369999999</v>
      </c>
      <c r="Q47" s="3">
        <f>364+(234.8-32)+(0.18564+(0.119748-0.01632))+0-0-0</f>
        <v>567.089068</v>
      </c>
      <c r="R47" s="3">
        <f>376+(279.1-33)+(-0.38352+(-0.284682--0.03366))+0-0-0</f>
        <v>621.46545800000001</v>
      </c>
      <c r="S47" s="3">
        <f>376+(318-32)+(-0.38352+(-0.32436--0.03264))+0-0-0</f>
        <v>661.32475999999997</v>
      </c>
      <c r="T47" s="3">
        <f>383+(305.6-31)+(-0.58599+(-0.467568--0.04743))+0-0-0</f>
        <v>656.59387200000003</v>
      </c>
      <c r="U47" s="3">
        <f>421+(271.1-30)+(-0.85884+(-0.553044--0.0612))+0-0-0</f>
        <v>660.74931600000002</v>
      </c>
      <c r="V47" s="3">
        <f>451+(205.2-29)+(-1.15005+(-0.52326--0.07395))+0-0-0</f>
        <v>625.60064</v>
      </c>
      <c r="W47" s="3">
        <f>457+(146.4-29)+(-0.93228+(-0.298656--0.05916))+0-0-0</f>
        <v>573.22822399999995</v>
      </c>
      <c r="X47" s="3">
        <f>438+(129-29)+(-1.1169+(-0.32895--0.07395))+0-0-0</f>
        <v>536.62810000000002</v>
      </c>
      <c r="Y47" s="3">
        <f>403+(217.8-30)+(-0.82212+(-0.444312--0.0612))+0-0-0</f>
        <v>589.59476799999993</v>
      </c>
      <c r="Z47" s="3">
        <f>538+(176.8-32)+(-1.3719+(-0.45084--0.0816))+0-0-0</f>
        <v>681.05885999999998</v>
      </c>
      <c r="AA47" s="3">
        <f>541+(205.7-33)+(-1.37955+(-0.524535--0.08415))+0-0-0</f>
        <v>711.88006500000006</v>
      </c>
      <c r="AB47" s="3">
        <f>544+(209.6-33)+(-0.55488+(-0.213792--0.03366))+0-0-0</f>
        <v>719.86498800000004</v>
      </c>
      <c r="AC47" s="3">
        <f>546+(196.7-32)+(-0.83538+(-0.300951--0.04896))+0-0-0</f>
        <v>709.61262900000008</v>
      </c>
      <c r="AD47">
        <v>697.2</v>
      </c>
      <c r="AE47" s="3">
        <f>541+(189.2-33)+(0+(0-0))+0-0-0</f>
        <v>697.2</v>
      </c>
    </row>
    <row r="48" spans="1:31" s="2" customFormat="1" x14ac:dyDescent="0.3">
      <c r="A48">
        <v>90</v>
      </c>
      <c r="B48">
        <v>2</v>
      </c>
      <c r="C48">
        <v>17</v>
      </c>
      <c r="D48">
        <v>1</v>
      </c>
      <c r="E48">
        <v>5</v>
      </c>
      <c r="F48" s="3">
        <f>528+(181.9-30)+(-1.07712+(-0.371076--0.0612))+0-0-0</f>
        <v>678.51300400000002</v>
      </c>
      <c r="G48" s="3">
        <f>410+(261.7-25)+(-1.0455+(-0.667335--0.06375))+0-0-0</f>
        <v>645.05091500000003</v>
      </c>
      <c r="H48" s="3">
        <f>396+(242.1-25)+(-0.80784+(-0.493884--0.051))+0-0-0</f>
        <v>611.84927600000003</v>
      </c>
      <c r="I48" s="3">
        <f>396+(222.4-25)+(-0.60588+(-0.340272--0.03825))+0-0-0</f>
        <v>592.49209799999994</v>
      </c>
      <c r="J48" s="3">
        <f>396+(191.2-27)+(-0.80784+(-0.390048--0.05508))+0-0-0</f>
        <v>559.0571920000001</v>
      </c>
      <c r="K48" s="3">
        <f>396+(149.6-29)+(-0.60588+(-0.228888--0.04437))+0-0-0</f>
        <v>515.80960200000004</v>
      </c>
      <c r="L48" s="3">
        <f>374+(123.2-31)+(-0.9537+(-0.31416--0.07905))+0-0-0</f>
        <v>465.01119</v>
      </c>
      <c r="M48" s="3">
        <f>317+(185.2-30)+(0.32334+(0.188904-0.0306))+0-0-0</f>
        <v>472.68164400000001</v>
      </c>
      <c r="N48" s="3">
        <f>315+(208.7-30)+(-0.16065+(-0.106437--0.0153))+0-0-0</f>
        <v>493.44821300000001</v>
      </c>
      <c r="O48" s="3">
        <f>315+(227.8-31)+(-0.3213+(-0.232356--0.03162))+0-0-0</f>
        <v>511.277964</v>
      </c>
      <c r="P48" s="3">
        <f>315+(259.3-32)+(-0.6426+(-0.528972--0.06528))+0-0-0</f>
        <v>541.1937079999999</v>
      </c>
      <c r="Q48" s="3">
        <f>365+(254.7-32)+(-0.55845+(-0.389691--0.04896))+0-0-0</f>
        <v>586.80081900000005</v>
      </c>
      <c r="R48" s="3">
        <f>380+(292.3-32)+(-0.7752+(-0.596292--0.06528))+0-0-0</f>
        <v>638.993788</v>
      </c>
      <c r="S48" s="3">
        <f>381+(339.6-32)+(-0.97155+(-0.86598--0.0816))+0-0-0</f>
        <v>686.84406999999999</v>
      </c>
      <c r="T48" s="3">
        <f>388+(357.3-32)+(-0.39576+(-0.364446--0.03264))+0-0-0</f>
        <v>712.57243399999993</v>
      </c>
      <c r="U48" s="3">
        <f>426+(302.7-33)+(-0.86904+(-0.617508--0.06732))+0-0-0</f>
        <v>694.28077200000007</v>
      </c>
      <c r="V48" s="3">
        <f>464+(220.4-33)+(0+(0-0))+0-0-0</f>
        <v>651.4</v>
      </c>
      <c r="W48" s="3">
        <f>483+(159.7-33)+(-0.73899+(-0.244341--0.05049))+0-0-0</f>
        <v>608.76715899999999</v>
      </c>
      <c r="X48" s="3">
        <f>484+(98.3-32)+(-0.98736+(-0.200532--0.06528))+0-0-0</f>
        <v>549.17738799999995</v>
      </c>
      <c r="Y48" s="3">
        <f>484+(156.8-32)+(-0.98736+(-0.319872--0.06528))+0-0-0</f>
        <v>607.55804799999999</v>
      </c>
      <c r="Z48" s="3">
        <f>485+(254.3-33)+(-0.74205+(-0.389079--0.05049))+0-0-0</f>
        <v>705.21936099999994</v>
      </c>
      <c r="AA48" s="3">
        <f>486+(293.2-31)+(-0.99144+(-0.598128--0.06324))+0-0-0</f>
        <v>746.67367200000001</v>
      </c>
      <c r="AB48" s="3">
        <f>526+(274.6-31)+(-0.53652+(-0.280092--0.03162))+0-0-0</f>
        <v>768.81500800000003</v>
      </c>
      <c r="AC48" s="3">
        <f>561+(229-32)+(-1.14444+(-0.46716--0.06528))+0-0-0</f>
        <v>756.45367999999996</v>
      </c>
      <c r="AD48">
        <v>730.3</v>
      </c>
      <c r="AE48" s="3">
        <f>485+(278.3-33)+(0+(0-0))+0-0-0</f>
        <v>730.3</v>
      </c>
    </row>
    <row r="49" spans="1:31" s="2" customFormat="1" x14ac:dyDescent="0.3">
      <c r="A49">
        <v>90</v>
      </c>
      <c r="B49">
        <v>2</v>
      </c>
      <c r="C49">
        <v>18</v>
      </c>
      <c r="D49">
        <v>2</v>
      </c>
      <c r="E49">
        <v>1</v>
      </c>
      <c r="F49" s="3">
        <f>547+(188-33)+(0+(0-0))+0-0-0</f>
        <v>702</v>
      </c>
      <c r="G49" s="3">
        <f>549+(155.1-32)+(-0.27999+(-0.079101--0.01632))+0-0-0</f>
        <v>671.75722900000005</v>
      </c>
      <c r="H49" s="3">
        <f>552+(124.9-32)+(-1.97064+(-0.445893--0.11424))+0-0-0</f>
        <v>642.59770700000001</v>
      </c>
      <c r="I49" s="3">
        <f>553+(100.7-38)+(-0.84609+(-0.154071--0.05814))+0-0-0</f>
        <v>614.75797900000009</v>
      </c>
      <c r="J49" s="3">
        <f>554+(80.7-44.1)+(0+(0-0))+0-0-0</f>
        <v>590.6</v>
      </c>
      <c r="K49" s="3">
        <f>549+(58.2-61.5)+(-0.27999+(-0.029682--0.031365))+0-0-0</f>
        <v>545.421693</v>
      </c>
      <c r="L49" s="3">
        <f>435+(95.8-32)+(-0.22185+(-0.048858--0.01632))+0-0-0</f>
        <v>498.54561200000001</v>
      </c>
      <c r="M49" s="3">
        <f>399+(138.9-31)+(0.20349+(0.070839-0.01581))+0-0-0</f>
        <v>507.15851899999996</v>
      </c>
      <c r="N49" s="3">
        <f>394+(168.9-31)+(0.40188+(0.172278-0.03162))+0-0-0</f>
        <v>532.44253800000001</v>
      </c>
      <c r="O49" s="3">
        <f>426+(149-30)+(0+(0-0))+0-0-0</f>
        <v>545</v>
      </c>
      <c r="P49" s="3">
        <f>547+(89.2-42)+(0+(0-0))+0-0-0</f>
        <v>594.20000000000005</v>
      </c>
      <c r="Q49" s="3">
        <f>544+(128.7-32)+(0.27744+(0.065637-0.01632))+0-0-0</f>
        <v>641.02675700000009</v>
      </c>
      <c r="R49" s="3">
        <f>540+(194.5-33)+(0.5508+(0.19839-0.03366))+0-0-0</f>
        <v>702.21552999999994</v>
      </c>
      <c r="S49" s="3">
        <f>541+(227.2-33)+(-0.27591+(-0.115872--0.01683))+0-0-0</f>
        <v>734.82504800000004</v>
      </c>
      <c r="T49" s="3">
        <f>542+(232.6-32)+(0+(0-0))+0-0-0</f>
        <v>742.6</v>
      </c>
      <c r="U49" s="3">
        <f>542+(207.6-32)+(0+(0-0))+0-0-0</f>
        <v>717.6</v>
      </c>
      <c r="V49" s="3">
        <f>551+(157-31)+(-1.12404+(-0.32028--0.06324))+0-0-0</f>
        <v>675.61892</v>
      </c>
      <c r="W49" s="3">
        <f>566+(102.5-30)+(-1.15464+(-0.2091--0.0612))+0-0-0</f>
        <v>637.19745999999998</v>
      </c>
      <c r="X49" s="3">
        <f>580+(47.9-50.9)+(-2.3664+(-0.195432--0.207672))+0-0-0</f>
        <v>574.64584000000002</v>
      </c>
      <c r="Y49" s="3">
        <f>574+(89.1-31)+(-1.4637+(-0.227205--0.07905))+0-0-0</f>
        <v>630.48814500000003</v>
      </c>
      <c r="Z49" s="3">
        <f>575+(184.5-33)+(-0.87975+(-0.282285--0.05049))+0-0-0</f>
        <v>725.38845500000002</v>
      </c>
      <c r="AA49" s="3">
        <f>576+(217.4-34)+(-1.76256+(-0.665244--0.10404))+0-0-0</f>
        <v>757.07623599999999</v>
      </c>
      <c r="AB49" s="3">
        <f>576+(230-33)+(-0.58752+(-0.2346--0.03366))+0-0-0</f>
        <v>772.21154000000001</v>
      </c>
      <c r="AC49" s="3">
        <f>555+(233.1-32)+(-0.5661+(-0.237762--0.03264))+0-0-0</f>
        <v>755.32877800000006</v>
      </c>
      <c r="AD49">
        <v>740.7</v>
      </c>
      <c r="AE49" s="3">
        <f>573+(201.7-34)+(0+(0-0))+0-0-0</f>
        <v>740.7</v>
      </c>
    </row>
    <row r="50" spans="1:31" s="2" customFormat="1" x14ac:dyDescent="0.3">
      <c r="A50">
        <v>90</v>
      </c>
      <c r="B50">
        <v>2</v>
      </c>
      <c r="C50">
        <v>19</v>
      </c>
      <c r="D50">
        <v>3</v>
      </c>
      <c r="E50">
        <v>1</v>
      </c>
      <c r="F50" s="3">
        <f>533+(204.1-33)+(-1.35915+(-0.520455--0.08415))+0-0-0</f>
        <v>702.30454500000008</v>
      </c>
      <c r="G50" s="3">
        <f>532+(173.2-32)+(-0.54264+(-0.176664--0.03264))+0-0-0</f>
        <v>672.51333600000009</v>
      </c>
      <c r="H50" s="3">
        <f>533+(142.6-32)+(-0.54366+(-0.145452--0.03264))+0-0-0</f>
        <v>642.94352800000001</v>
      </c>
      <c r="I50" s="3">
        <f>536+(118-38)+(0+(0-0))+0-0-0</f>
        <v>616</v>
      </c>
      <c r="J50" s="3">
        <f>535+(96.3-43)+(0.5457+(0.098226-0.04386))+0-0-0</f>
        <v>588.90006599999992</v>
      </c>
      <c r="K50" s="3">
        <f>538+(62.6-5.2)+(-1.3719+(-0.15963--0.01326))+0-0-0</f>
        <v>593.88172999999995</v>
      </c>
      <c r="L50" s="3">
        <f>472+(51.4-45.1)+(-1.2036+(-0.13107--0.115005))+0-0-0</f>
        <v>477.08033499999999</v>
      </c>
      <c r="M50" s="3">
        <f>457+(63.8-31)+(0+(0-0))+0-0-0</f>
        <v>489.8</v>
      </c>
      <c r="N50" s="3">
        <f>466+(80.6-30)+(-0.47532+(-0.082212--0.0306))+0-0-0</f>
        <v>516.07306800000003</v>
      </c>
      <c r="O50" s="3">
        <f>451+(128-30)+(-0.92004+(-0.26112--0.0612))+0-0-0</f>
        <v>547.88004000000001</v>
      </c>
      <c r="P50" s="3">
        <f>453+(171.7-29)+(-0.23103+(-0.087567--0.01479))+0-0-0</f>
        <v>595.39619300000004</v>
      </c>
      <c r="Q50" s="3">
        <f>516+(157-31)+(0+(0-0))+0-0-0</f>
        <v>642</v>
      </c>
      <c r="R50" s="3">
        <f>513+(233.8-32)+(-1.04652+(-0.476952--0.06528))+0-0-0</f>
        <v>713.3418079999999</v>
      </c>
      <c r="S50" s="3">
        <f>534+(262.8-33)+(-1.63404+(-0.804168--0.10098))+0-0-0</f>
        <v>761.46277199999997</v>
      </c>
      <c r="T50" s="3">
        <f>560+(221.6-33)+(-1.1424+(-0.452064--0.06732))+0-0-0</f>
        <v>747.072856</v>
      </c>
      <c r="U50" s="3">
        <f>617+(152.2-35)+(0+(0-0))+0-0-0</f>
        <v>734.2</v>
      </c>
      <c r="V50" s="3">
        <f>621+(111.7-42)+(-1.58355+(-0.284835--0.1071))+0-0-0</f>
        <v>688.938715</v>
      </c>
      <c r="W50" s="3">
        <f>621+(78.8-48)+(-1.58355+(-0.20094--0.1224))+0-0-0</f>
        <v>650.13790999999992</v>
      </c>
      <c r="X50" s="3">
        <f>572+(0-42)+(-1.16688+(0--0.08568))+0-0-0</f>
        <v>528.91880000000003</v>
      </c>
      <c r="Y50" s="3">
        <f>532+(164.2-28)+(-0.27132+(-0.083742--0.01428))+0-0-0</f>
        <v>667.85921800000006</v>
      </c>
      <c r="Z50" s="3">
        <f>523+(254.3-27)+(-0.26673+(-0.129693--0.01377))+0-0-0</f>
        <v>749.91734699999995</v>
      </c>
      <c r="AA50" s="3">
        <f>573+(247.8-23)+(-0.29223+(-0.126378--0.01173))+0-0-0</f>
        <v>797.39312199999995</v>
      </c>
      <c r="AB50" s="3">
        <f>615+(226.6-34)+(-0.31365+(-0.115566--0.01734))+0-0-0</f>
        <v>807.18812400000002</v>
      </c>
      <c r="AC50" s="3">
        <f>608+(212.1-32)+(-1.5504+(-0.540855--0.0816))+0-0-0</f>
        <v>786.09034500000007</v>
      </c>
      <c r="AD50">
        <v>777.9</v>
      </c>
      <c r="AE50" s="3">
        <f>553+(257.9-33)+(0+(0-0))+0-0-0</f>
        <v>777.9</v>
      </c>
    </row>
    <row r="51" spans="1:31" s="2" customFormat="1" x14ac:dyDescent="0.3">
      <c r="A51">
        <v>90</v>
      </c>
      <c r="B51">
        <v>2</v>
      </c>
      <c r="C51">
        <v>20</v>
      </c>
      <c r="D51">
        <v>4</v>
      </c>
      <c r="E51">
        <v>1</v>
      </c>
      <c r="F51" s="3">
        <f>593+(170.1-32)+(-0.60486+(-0.173502--0.03264))+0-0-0</f>
        <v>730.35427800000002</v>
      </c>
      <c r="G51" s="3">
        <f>594+(148.3-32)+(-1.21176+(-0.302532--0.06528))+0-0-0</f>
        <v>708.85098799999992</v>
      </c>
      <c r="H51" s="3">
        <f>513+(185.1-32)+(0+(0-0))+0-0-0</f>
        <v>666.1</v>
      </c>
      <c r="I51" s="3">
        <f>466+(207.4-31)+(-1.1883+(-0.52887--0.07905))+0-0-0</f>
        <v>640.76188000000002</v>
      </c>
      <c r="J51" s="3">
        <f>467+(178.2-31)+(-1.19085+(-0.45441--0.07905))+0-0-0</f>
        <v>612.63379000000009</v>
      </c>
      <c r="K51" s="3">
        <f>467+(129.6-33)+(-0.47634+(-0.132192--0.03366))+0-0-0</f>
        <v>563.025128</v>
      </c>
      <c r="L51" s="3">
        <f>410+(161.7-33)+(-1.4637+(-0.577269--0.11781))+0-0-0</f>
        <v>536.77684099999999</v>
      </c>
      <c r="M51" s="3">
        <f>346+(177.7-33)+(0.52938+(0.271881-0.05049))+2.5-0-0</f>
        <v>493.95077099999997</v>
      </c>
      <c r="N51" s="3">
        <f>343+(230.7-32)+(0.34986+(0.235314-0.03264))+6-0-0</f>
        <v>548.25253400000008</v>
      </c>
      <c r="O51" s="3">
        <f>331+(260.1-32)+(-0.33762+(-0.265302--0.03264))+6-0-0</f>
        <v>564.529718</v>
      </c>
      <c r="P51" s="3">
        <f>357+(330.2-32)+(-0.54621+(-0.505206--0.04896))+4-0-0</f>
        <v>658.19754399999999</v>
      </c>
      <c r="Q51" s="3">
        <f>356+(338.6-33)+(0.18156+(0.172686-0.01683))+0-0-0</f>
        <v>661.93741599999998</v>
      </c>
      <c r="R51" s="3">
        <f>500+(268.7-33)+(-0.51+(-0.274074--0.03366))+0-0-0</f>
        <v>734.94958600000007</v>
      </c>
      <c r="S51" s="3">
        <f>566+(236.4-33)+(-0.57732+(-0.241128--0.03366))+0-0-0</f>
        <v>768.61521199999993</v>
      </c>
      <c r="T51" s="3">
        <f>572+(222.8-33)+(-0.58344+(-0.227256--0.03366))+0-0-0</f>
        <v>761.022964</v>
      </c>
      <c r="U51" s="3">
        <f>585+(193.8-31)+(-1.49175+(-0.49419--0.07905))+0-0-0</f>
        <v>745.89310999999998</v>
      </c>
      <c r="V51" s="3">
        <f>601+(139.5-30)+(-0.61302+(-0.14229--0.0306))+0-0-0</f>
        <v>709.77529000000004</v>
      </c>
      <c r="W51" s="3">
        <f>616+(83.7-37)+(-2.19912+(-0.298809--0.13209))+0-0-0</f>
        <v>660.33416099999999</v>
      </c>
      <c r="X51" s="3">
        <f>571+(54.8-31)+(-2.03847+(-0.195636--0.11067))+0-0-0</f>
        <v>592.67656399999998</v>
      </c>
      <c r="Y51" s="3">
        <f>507+(176-30)+(-0.51714+(-0.17952--0.0306))+0-0-0</f>
        <v>652.33393999999998</v>
      </c>
      <c r="Z51" s="3">
        <f>577+(200.3-32)+(-0.88281+(-0.306459--0.04896))+0-0-0</f>
        <v>744.15969099999995</v>
      </c>
      <c r="AA51" s="3">
        <f>591+(215.1-32)+(-1.50705+(-0.548505--0.0816))+0-0-0</f>
        <v>772.12604499999998</v>
      </c>
      <c r="AB51" s="3">
        <f>552+(254.4-30)+(0+(0-0))+0-0-0</f>
        <v>776.4</v>
      </c>
      <c r="AC51" s="3">
        <f>552+(255-30)+(-1.68912+(-0.7803--0.0918))+0-0-0</f>
        <v>774.62238000000002</v>
      </c>
      <c r="AD51">
        <v>775.8</v>
      </c>
      <c r="AE51" s="3">
        <f>625+(182.8-32)+(0+(0-0))+0-0-0</f>
        <v>775.8</v>
      </c>
    </row>
    <row r="52" spans="1:31" s="2" customFormat="1" x14ac:dyDescent="0.3">
      <c r="A52">
        <v>90</v>
      </c>
      <c r="B52">
        <v>2</v>
      </c>
      <c r="C52">
        <v>21</v>
      </c>
      <c r="D52">
        <v>5</v>
      </c>
      <c r="E52">
        <v>1</v>
      </c>
      <c r="F52" s="3">
        <f>510+(203.9-29)+(0+(0-0))+0-0-0</f>
        <v>684.9</v>
      </c>
      <c r="G52" s="3">
        <f>435+(284.6-29)+(-0.8874+(-0.580584--0.05916))+0-0-0</f>
        <v>689.19117600000004</v>
      </c>
      <c r="H52" s="3">
        <f>425+(275.5-29)+(-0.65025+(-0.421515--0.04437))+0-0-0</f>
        <v>670.47260500000004</v>
      </c>
      <c r="I52" s="3">
        <f>427+(251.8-30)+(-0.43554+(-0.256836--0.0306))+0-0-0</f>
        <v>648.13822399999992</v>
      </c>
      <c r="J52" s="3">
        <f>427+(218.9-30)+(-0.87108+(-0.446556--0.0612))+0-0-0</f>
        <v>614.64356399999997</v>
      </c>
      <c r="K52" s="3">
        <f>428+(167.3-32)+(-1.0914+(-0.426615--0.0816))+0-0-0</f>
        <v>561.86358499999994</v>
      </c>
      <c r="L52" s="3">
        <f>428+(116.2-33)+(-0.43656+(-0.118524--0.03366))+0-0-0</f>
        <v>510.67857599999996</v>
      </c>
      <c r="M52" s="3">
        <f>428+(127.7-33)+(-1.30968+(-0.390762--0.10098))+0-0-0</f>
        <v>521.10053800000003</v>
      </c>
      <c r="N52" s="3">
        <f>433+(146.7-33)+(0.44166+(0.149634-0.03366))+0-0-0</f>
        <v>547.25763400000005</v>
      </c>
      <c r="O52" s="3">
        <f>434+(169.7-33)+(0+(0-0))+0-0-0</f>
        <v>570.70000000000005</v>
      </c>
      <c r="P52" s="3">
        <f>472+(165.1-32)+(-0.48144+(-0.168402--0.03264))+0-0-0</f>
        <v>604.482798</v>
      </c>
      <c r="Q52" s="3">
        <f>485+(214.7-33)+(-0.4947+(-0.218994--0.03366))+0-0-0</f>
        <v>666.01996600000007</v>
      </c>
      <c r="R52" s="3">
        <f>497+(250.3-33)+(-0.50694+(-0.255306--0.03366))+0-0-0</f>
        <v>713.571414</v>
      </c>
      <c r="S52" s="3">
        <f>520+(279.8-33)+(0+(0-0))+0-0-0</f>
        <v>766.8</v>
      </c>
      <c r="T52" s="3">
        <f>517+(288.6-33)+(0.26367+(0.147186-0.01683))+0-0-0</f>
        <v>772.99402600000008</v>
      </c>
      <c r="U52" s="3">
        <f>506+(281.5-33)+(-0.25806+(-0.143565--0.01683))+0-0-0</f>
        <v>754.11520499999995</v>
      </c>
      <c r="V52" s="3">
        <f>524+(202.9-33)+(-1.3362+(-0.517395--0.08415))+0-0-0</f>
        <v>692.13055499999996</v>
      </c>
      <c r="W52" s="3">
        <f>543+(141.1-32)+(-1.93851+(-0.503727--0.11424))+0-0-0</f>
        <v>649.77200300000004</v>
      </c>
      <c r="X52" s="3">
        <f>523+(113-32)+(-1.06692+(-0.23052--0.06528))+0-0-0</f>
        <v>602.76783999999998</v>
      </c>
      <c r="Y52" s="3">
        <f>494+(194.9-32)+(-1.2597+(-0.496995--0.0816))+0-0-0</f>
        <v>655.22490499999992</v>
      </c>
      <c r="Z52" s="3">
        <f>537+(255.2-32)+(-0.82161+(-0.390456--0.04896))+0-0-0</f>
        <v>759.03689400000007</v>
      </c>
      <c r="AA52" s="3">
        <f>587+(238.1-32)+(0+(0-0))+0-0-0</f>
        <v>793.1</v>
      </c>
      <c r="AB52" s="3">
        <f>587+(244.8-32)+(-0.29937+(-0.124848--0.01632))+0-0-0</f>
        <v>799.39210199999991</v>
      </c>
      <c r="AC52" s="3">
        <f>588+(221-32)+(-0.29988+(-0.11271--0.01632))+0-0-0</f>
        <v>776.60373000000004</v>
      </c>
      <c r="AD52">
        <v>786.4</v>
      </c>
      <c r="AE52" s="3">
        <f>587+(231.4-32)+(0+(0-0))+0-0-0</f>
        <v>786.4</v>
      </c>
    </row>
    <row r="53" spans="1:31" s="2" customFormat="1" x14ac:dyDescent="0.3">
      <c r="A53">
        <v>90</v>
      </c>
      <c r="B53">
        <v>2</v>
      </c>
      <c r="C53">
        <v>22</v>
      </c>
      <c r="D53">
        <v>6</v>
      </c>
      <c r="E53">
        <v>1</v>
      </c>
      <c r="F53" s="3">
        <f>577+(186.9-32)+(-0.29427+(-0.095319--0.01632))+0-0-0</f>
        <v>731.52673099999993</v>
      </c>
      <c r="G53" s="3">
        <f>578+(158.1-32)+(-0.88434+(-0.241893--0.04896))+0-0-0</f>
        <v>703.02272700000003</v>
      </c>
      <c r="H53" s="3">
        <f>581+(128.9-30)+(-1.48155+(-0.328695--0.0765))+0-0-0</f>
        <v>678.16625499999998</v>
      </c>
      <c r="I53" s="3">
        <f>502+(179.5-30)+(-1.2801+(-0.457725--0.0765))+0-0-0</f>
        <v>649.83867499999997</v>
      </c>
      <c r="J53" s="3">
        <f>502+(156.9-30)+(0.25602+(0.080019-0.0153))+0-0-0</f>
        <v>629.22073899999998</v>
      </c>
      <c r="K53" s="3">
        <f>501+(102.6-32)+(-0.25551+(-0.052326--0.01632))+0-0-0</f>
        <v>571.30848400000002</v>
      </c>
      <c r="L53" s="3">
        <f>429+(115.1-33)+(-0.87516+(-0.234804--0.06732))+0-0-0</f>
        <v>510.05735600000003</v>
      </c>
      <c r="M53" s="3">
        <f>428+(120.4-33)+(0.43656+(0.122808-0.03366))+0-0-0</f>
        <v>515.92570799999999</v>
      </c>
      <c r="N53" s="3">
        <f>425+(154.4-33)+(0.4335+(0.157488-0.03366))+0-0-0</f>
        <v>546.95732799999996</v>
      </c>
      <c r="O53" s="3">
        <f>422+(192-33)+(0.21522+(0.09792-0.01683))+0-0-0</f>
        <v>581.29630999999995</v>
      </c>
      <c r="P53" s="3">
        <f>419+(244.8-34)+(-0.21369+(-0.124848--0.01734))+0-0-0</f>
        <v>629.47880199999997</v>
      </c>
      <c r="Q53" s="3">
        <f>419+(303.2-34)+(-0.64107+(-0.463896--0.05202))+0-0-0</f>
        <v>687.14705400000003</v>
      </c>
      <c r="R53" s="3">
        <f>503+(271.2-34)+(-0.51306+(-0.276624--0.03468))+0-0-0</f>
        <v>739.44499600000006</v>
      </c>
      <c r="S53" s="3">
        <f>572+(246.4-34)+(-0.58344+(-0.251328--0.03468))+0-0-0</f>
        <v>783.59991200000002</v>
      </c>
      <c r="T53" s="3">
        <f>565+(263.8-34)+(-0.28815+(-0.134538--0.01734))+0-0-0</f>
        <v>794.39465199999995</v>
      </c>
      <c r="U53" s="3">
        <f>565+(235.9-34)+(-1.44075+(-0.601545--0.0867))+0-0-0</f>
        <v>764.94440499999996</v>
      </c>
      <c r="V53" s="3">
        <f>581+(173.9-34)+(-0.29631+(-0.088689--0.01734))+0-0-0</f>
        <v>720.53234099999997</v>
      </c>
      <c r="W53" s="3">
        <f>571+(134.4-34)+(-2.03847+(-0.479808--0.12138))+0-0-0</f>
        <v>669.00310200000001</v>
      </c>
      <c r="X53" s="3">
        <f>462+(169.6-34)+(-0.94248+(-0.345984--0.06936))+0-0-0</f>
        <v>596.38089600000001</v>
      </c>
      <c r="Y53" s="3">
        <f>467+(228.8-34)+(-0.95268+(-0.466752--0.06936))+0-0-0</f>
        <v>660.449928</v>
      </c>
      <c r="Z53" s="3">
        <f>564+(232.5-34)+(-0.86292+(-0.355725--0.05202))+0-0-0</f>
        <v>761.33337500000005</v>
      </c>
      <c r="AA53" s="3">
        <f>618+(201.1-34)+(-1.26072+(-0.410244--0.06936))+0-0-0</f>
        <v>783.49839600000007</v>
      </c>
      <c r="AB53" s="3">
        <f>620+(214.2-35)+(-0.6324+(-0.218484--0.0357))+0-0-0</f>
        <v>798.384816</v>
      </c>
      <c r="AC53" s="3">
        <f>622+(202.3-34)+(-1.26888+(-0.412692--0.06936))+0-0-0</f>
        <v>788.68778799999995</v>
      </c>
      <c r="AD53">
        <v>787.7</v>
      </c>
      <c r="AE53" s="3">
        <f>618+(203.7-34)+(0+(0-0))+0-0-0</f>
        <v>787.7</v>
      </c>
    </row>
    <row r="54" spans="1:31" s="2" customFormat="1" x14ac:dyDescent="0.3">
      <c r="A54">
        <v>90</v>
      </c>
      <c r="B54">
        <v>2</v>
      </c>
      <c r="C54">
        <v>23</v>
      </c>
      <c r="D54">
        <v>7</v>
      </c>
      <c r="E54">
        <v>1</v>
      </c>
      <c r="F54" s="3">
        <f>528+(252.2-34)+(-0.80784+(-0.385866--0.05202))+0-0-0</f>
        <v>745.058314</v>
      </c>
      <c r="G54" s="3">
        <f>510+(246.2-33)+(-0.7803+(-0.376686--0.05049))+0-0-0</f>
        <v>722.09350400000005</v>
      </c>
      <c r="H54" s="3">
        <f>505+(234.3-33)+(-1.0302+(-0.477972--0.06732))+0-0-0</f>
        <v>704.859148</v>
      </c>
      <c r="I54" s="3">
        <f>436+(267.9-33)+(0+(0-0))+0-0-0</f>
        <v>670.9</v>
      </c>
      <c r="J54" s="3">
        <f>433+(242-33)+(-0.44166+(-0.24684--0.03366))+0-0-0</f>
        <v>641.34515999999996</v>
      </c>
      <c r="K54" s="3">
        <f>433+(182-33)+(0+(0-0))+0-0-0</f>
        <v>582</v>
      </c>
      <c r="L54" s="3">
        <f>370+(175.2-34)+(-0.9435+(-0.44676--0.0867))+0-0-0</f>
        <v>509.89643999999998</v>
      </c>
      <c r="M54" s="3">
        <f>352+(186.2-34)+(0.35904+(0.189924-0.03468))+0-0-0</f>
        <v>504.71428399999996</v>
      </c>
      <c r="N54" s="3">
        <f>352+(198.9-34)+(0.17952+(0.101439-0.01734))+0-0-0</f>
        <v>517.16361899999993</v>
      </c>
      <c r="O54" s="3">
        <f>352+(239.5-34)+(-0.35904+(-0.24429--0.03468))+0-0-0</f>
        <v>556.93134999999995</v>
      </c>
      <c r="P54" s="3">
        <f>352+(286.2-34)+(-0.17952+(-0.145962--0.01734))+0-0-0</f>
        <v>603.89185800000007</v>
      </c>
      <c r="Q54" s="3">
        <f>413+(282.1-34)+(0.42126+(0.287742-0.03468))+0-0-0</f>
        <v>661.77432199999998</v>
      </c>
      <c r="R54" s="3">
        <f>422+(324.4-34)+(0.86088+(0.661776-0.06936))+0-0-0</f>
        <v>713.853296</v>
      </c>
      <c r="S54" s="3">
        <f>481+(308.7-34)+(-0.24531+(-0.157437--0.01734))+0-0-0</f>
        <v>755.31459300000006</v>
      </c>
      <c r="T54" s="3">
        <f>503+(293.8-34)+(-1.28265+(-0.74919--0.0867))+0-0-0</f>
        <v>760.85485999999992</v>
      </c>
      <c r="U54" s="3">
        <f>514+(262.8-33)+(-1.04856+(-0.536112--0.06732))+0-0-0</f>
        <v>742.28264799999999</v>
      </c>
      <c r="V54" s="3">
        <f>516+(219.7-32)+(-0.78948+(-0.336141--0.04896))+0-0-0</f>
        <v>702.6233390000001</v>
      </c>
      <c r="W54" s="3">
        <f>481+(196.4-31)+(-1.47186+(-0.600984--0.09486))+0-0-0</f>
        <v>644.42201599999999</v>
      </c>
      <c r="X54" s="3">
        <f>465+(151.5-31)+(-1.18575+(-0.386325--0.07905))+0-0-0</f>
        <v>584.00697500000001</v>
      </c>
      <c r="Y54" s="3">
        <f>415+(258.2-31)+(0+(0-0))+0-0-0</f>
        <v>642.20000000000005</v>
      </c>
      <c r="Z54" s="3">
        <f>503+(288-30)+(-1.02612+(-0.58752--0.0612))+0-0-0</f>
        <v>759.44755999999995</v>
      </c>
      <c r="AA54" s="3">
        <f>538+(280.4-33)+(-0.82314+(-0.429012--0.05049))+0-0-0</f>
        <v>784.19833799999992</v>
      </c>
      <c r="AB54" s="3">
        <f>538+(310.2-34)+(0+(0-0))+0-0-0</f>
        <v>814.2</v>
      </c>
      <c r="AC54" s="3">
        <f>529+(287.9-31)+(-0.53958+(-0.293658--0.03162))+0-0-0</f>
        <v>785.09838200000002</v>
      </c>
      <c r="AD54">
        <v>781.4</v>
      </c>
      <c r="AE54" s="3">
        <f>538+(276.4-33)+(0+(0-0))+0-0-0</f>
        <v>781.4</v>
      </c>
    </row>
    <row r="55" spans="1:31" s="2" customFormat="1" x14ac:dyDescent="0.3">
      <c r="A55">
        <v>90</v>
      </c>
      <c r="B55">
        <v>2</v>
      </c>
      <c r="C55">
        <v>24</v>
      </c>
      <c r="D55">
        <v>1</v>
      </c>
      <c r="E55">
        <v>1</v>
      </c>
      <c r="F55" s="3">
        <f>514+(272.5-32)+(-0.78642+(-0.416925--0.04896))+0-0-0</f>
        <v>753.34561499999995</v>
      </c>
      <c r="G55" s="3">
        <f>506+(253.5-30)+(-1.2903+(-0.646425--0.0765))+0-0-0</f>
        <v>727.63977499999999</v>
      </c>
      <c r="H55" s="3">
        <f>506+(227.1-29)+(0.25806+(0.115821-0.01479))+0-0-0</f>
        <v>704.45909100000006</v>
      </c>
      <c r="I55" s="3">
        <f>508+(196-29)+(-1.03632+(-0.39984--0.05916))+0-0-0</f>
        <v>673.62300000000005</v>
      </c>
      <c r="J55" s="3">
        <f>473+(210.6-29)+(-0.72369+(-0.322218--0.04437))+0-0-0</f>
        <v>653.59846200000004</v>
      </c>
      <c r="K55" s="3">
        <f>391+(236.8-30)+(-0.79764+(-0.483072--0.0612))+0-0-0</f>
        <v>596.58048799999995</v>
      </c>
      <c r="L55" s="3">
        <f>362+(212-33)+(-0.9231+(-0.5406--0.08415))+0-0-0</f>
        <v>539.62045000000001</v>
      </c>
      <c r="M55" s="3">
        <f>408+(178.6-32)+(0+(0-0))+0-0-0</f>
        <v>554.6</v>
      </c>
      <c r="N55" s="3">
        <f>444+(170.3-31)+(-1.1322+(-0.434265--0.07905))+0-0-0</f>
        <v>581.8125849999999</v>
      </c>
      <c r="O55" s="3">
        <f>499+(156.4-28)+(-0.76347+(-0.239292--0.04284))+0-0-0</f>
        <v>626.44007799999997</v>
      </c>
      <c r="P55" s="3">
        <f>496+(197-31)+(-0.50592+(-0.20094--0.03162))+0-0-0</f>
        <v>661.32475999999997</v>
      </c>
      <c r="Q55" s="3">
        <f>503+(237.8-31)+(0+(0-0))+0-0-0</f>
        <v>709.8</v>
      </c>
      <c r="R55" s="3">
        <f>518+(296.4-33)+(-0.79254+(-0.453492--0.05049))+0-0-0</f>
        <v>780.20445799999993</v>
      </c>
      <c r="S55" s="3">
        <f>521+(313.8-33)+(-1.06284+(-0.640152--0.06732))+0-0-0</f>
        <v>800.16432799999995</v>
      </c>
      <c r="T55" s="3">
        <f>520+(320.4-34)+(-1.0608+(-0.653616--0.06936))+0-0-0</f>
        <v>804.75494400000002</v>
      </c>
      <c r="U55" s="3">
        <f>521+(304-34)+(-0.26571+(-0.15504--0.01734))+0-0-0</f>
        <v>790.59658999999999</v>
      </c>
      <c r="V55" s="3">
        <f>558+(250.6-34)+(0+(0-0))+0-0-0</f>
        <v>774.6</v>
      </c>
      <c r="W55" s="3">
        <f>562+(153.8-33)+(-1.71972+(-0.470628--0.10098))+0-0-0</f>
        <v>680.71063199999992</v>
      </c>
      <c r="X55" s="3">
        <f>571+(90.5-38)+(-2.62089+(-0.415395--0.17442))+0-0-0</f>
        <v>620.63813500000003</v>
      </c>
      <c r="Y55" s="3">
        <f>608+(109.7-33)+(-0.62016+(-0.111894--0.03366))+0-0-0</f>
        <v>684.00160600000004</v>
      </c>
      <c r="Z55" s="3">
        <f>621+(200.4-32)+(-0.95013+(-0.306612--0.04896))+0-0-0</f>
        <v>788.19221800000003</v>
      </c>
      <c r="AA55" s="3">
        <f>633+(219.7-34)+(-0.96849+(-0.336141--0.05202))+0-0-0</f>
        <v>817.44738900000004</v>
      </c>
      <c r="AB55" s="3">
        <f>634+(225.1-33)+(-0.32334+(-0.114801--0.01683))+0-0-0</f>
        <v>825.67868900000008</v>
      </c>
      <c r="AC55" s="3">
        <f>637+(214.7-33)+(-0.64974+(-0.218994--0.03366))+0-0-0</f>
        <v>817.86492600000008</v>
      </c>
      <c r="AD55">
        <v>801.6</v>
      </c>
      <c r="AE55" s="3">
        <f>617+(218.6-34)+(0+(0-0))+0-0-0</f>
        <v>801.6</v>
      </c>
    </row>
    <row r="56" spans="1:31" s="2" customFormat="1" x14ac:dyDescent="0.3">
      <c r="A56">
        <v>90</v>
      </c>
      <c r="B56">
        <v>2</v>
      </c>
      <c r="C56">
        <v>25</v>
      </c>
      <c r="D56">
        <v>2</v>
      </c>
      <c r="E56">
        <v>1</v>
      </c>
      <c r="F56" s="3">
        <f>598+(170.5-33)+(-0.60996+(-0.17391--0.03366))+0-0-0</f>
        <v>734.74978999999996</v>
      </c>
      <c r="G56" s="3">
        <f>514+(209.1-32)+(-1.57284+(-0.639846--0.09792))+0-0-0</f>
        <v>688.98523399999999</v>
      </c>
      <c r="H56" s="3">
        <f>507+(212-31)+(-0.77571+(-0.32436--0.04743))+0-0-0</f>
        <v>686.94736</v>
      </c>
      <c r="I56" s="3">
        <f>449+(252.4-31)+(-0.45798+(-0.257448--0.03162))+0-0-0</f>
        <v>669.71619199999998</v>
      </c>
      <c r="J56" s="3">
        <f>433+(242.4-30)+(-0.88332+(-0.494496--0.0612))+0-0-0</f>
        <v>644.08338400000002</v>
      </c>
      <c r="K56" s="3">
        <f>435+(184.2-30)+(-1.55295+(-0.657594--0.1071))+0-0-0</f>
        <v>587.09655600000008</v>
      </c>
      <c r="L56" s="3">
        <f>437+(134.3-32)+(-0.44574+(-0.136986--0.03264))+0-0-0</f>
        <v>538.74991399999999</v>
      </c>
      <c r="M56" s="3">
        <f>434+(150.6-31)+(0.22134+(0.076806-0.01581))+0-0-0</f>
        <v>553.88233600000001</v>
      </c>
      <c r="N56" s="3">
        <f>458+(163-31)+(0.46716+(0.16626-0.03162))+0-0-0</f>
        <v>590.60180000000003</v>
      </c>
      <c r="O56" s="3">
        <f>482+(160.2-32)+(0.73746+(0.245106-0.04896))+0-0-0</f>
        <v>611.1336060000001</v>
      </c>
      <c r="P56" s="3">
        <f>481+(192.5-34)+(0.24531+(0.098175-0.01734))+0-0-0</f>
        <v>639.826145</v>
      </c>
      <c r="Q56" s="3">
        <f>515+(238.7-34)+(-0.78795+(-0.365211--0.05202))+0-0-0</f>
        <v>718.59885900000006</v>
      </c>
      <c r="R56" s="3">
        <f>534+(286.8-33)+(0.81702+(0.438804-0.05049))+0-0-0</f>
        <v>789.00533399999995</v>
      </c>
      <c r="S56" s="3">
        <f>536+(324.2-33)+(-0.54672+(-0.330684--0.03366))+0-0-0</f>
        <v>826.35625600000003</v>
      </c>
      <c r="T56" s="3">
        <f>536+(320.1-32)+(-0.27336+(-0.163251--0.01632))+0-0-0</f>
        <v>823.679709</v>
      </c>
      <c r="U56" s="3">
        <f>537+(301.9-32)+(-1.09548+(-0.615876--0.06528))+0-0-0</f>
        <v>805.25392399999998</v>
      </c>
      <c r="V56" s="3">
        <f>538+(250.8-31)+(-0.54876+(-0.255816--0.03162))+0-0-0</f>
        <v>757.02704399999993</v>
      </c>
      <c r="W56" s="3">
        <f>558+(178.5-31)+(-1.70748+(-0.54621--0.09486))+0-0-0</f>
        <v>703.34117000000003</v>
      </c>
      <c r="X56" s="3">
        <f>476+(195.1-30)+(-0.97104+(-0.398004--0.0612))+0-0-0</f>
        <v>639.79215599999998</v>
      </c>
      <c r="Y56" s="3">
        <f>427+(313.3-30)+(-0.21777+(-0.159783--0.0153))+0-0-0</f>
        <v>709.93774699999994</v>
      </c>
      <c r="Z56" s="3">
        <f>510+(328.9-30)+(-0.5202+(-0.335478--0.0306))+0-0-0</f>
        <v>808.07492200000002</v>
      </c>
      <c r="AA56" s="3">
        <f>570+(291.1-30)+(-0.8721+(-0.445383--0.0459))+0-0-0</f>
        <v>829.82841700000006</v>
      </c>
      <c r="AB56" s="3">
        <f>571+(298.5-31)+(0+(0-0))+0-0-0</f>
        <v>838.5</v>
      </c>
      <c r="AC56" s="3">
        <f>571+(292.1-32)+(-0.87363+(-0.446913--0.04896))+0-0-0</f>
        <v>829.82841700000006</v>
      </c>
      <c r="AD56">
        <v>829.7</v>
      </c>
      <c r="AE56" s="3">
        <f>567+(296.7-34)+(0+(0-0))+0-0-0</f>
        <v>829.7</v>
      </c>
    </row>
    <row r="57" spans="1:31" s="2" customFormat="1" x14ac:dyDescent="0.3">
      <c r="A57">
        <v>90</v>
      </c>
      <c r="B57">
        <v>2</v>
      </c>
      <c r="C57">
        <v>26</v>
      </c>
      <c r="D57">
        <v>3</v>
      </c>
      <c r="E57">
        <v>1</v>
      </c>
      <c r="F57" s="3">
        <f>520+(296.9-32)+(-1.326+(-0.757095--0.0816))+0-0-0</f>
        <v>782.898505</v>
      </c>
      <c r="G57" s="3">
        <f>504+(283.2-32)+(-1.2852+(-0.72216--0.0816))+0-0-0</f>
        <v>753.27424000000008</v>
      </c>
      <c r="H57" s="3">
        <f>502+(276-31)+(-1.2801+(-0.7038--0.07905))+0-0-0</f>
        <v>745.09514999999999</v>
      </c>
      <c r="I57" s="3">
        <f>503+(228-31)+(-0.51306+(-0.23256--0.03162))+0-0-0</f>
        <v>699.28599999999994</v>
      </c>
      <c r="J57" s="3">
        <f>457+(253.5-30)+(-0.23307+(-0.129285--0.0153))+0-0-0</f>
        <v>680.15294500000005</v>
      </c>
      <c r="K57" s="3">
        <f>431+(215.6-31)+(-0.65943+(-0.329868--0.04743))+0-0-0</f>
        <v>614.65813200000002</v>
      </c>
      <c r="L57" s="3">
        <f>369+(235.7-32)+(-0.37638+(-0.240414--0.03264))+0-0-0</f>
        <v>572.11584600000003</v>
      </c>
      <c r="M57" s="3">
        <f>362+(234.7-32)+(0+(0-0))+0-0-0</f>
        <v>564.70000000000005</v>
      </c>
      <c r="N57" s="3">
        <f>383+(222.5-31)+(0.39066+(0.22695-0.03162))+0-0-0</f>
        <v>575.08599000000004</v>
      </c>
      <c r="O57" s="3">
        <f>433+(258.7-31)+(0+(0-0))+0-0-0</f>
        <v>660.7</v>
      </c>
      <c r="P57" s="3">
        <f>432+(268.6-32)+(0+(0-0))+0-0-0</f>
        <v>668.6</v>
      </c>
      <c r="Q57" s="3">
        <f>506+(238.5-33)+(0.25806+(0.121635-0.01683))+0-0-0</f>
        <v>711.86286500000006</v>
      </c>
      <c r="R57" s="3">
        <f>525+(279.8-33)+(-0.80325+(-0.428094--0.05049))+0-0-0</f>
        <v>770.619146</v>
      </c>
      <c r="S57" s="3">
        <f>529+(311.4-33)+(-0.26979+(-0.158814--0.01683))+0-0-0</f>
        <v>806.98822599999994</v>
      </c>
      <c r="T57" s="3">
        <f>552+(298.6-33)+(-1.68912+(-0.913716--0.10098))+0-0-0</f>
        <v>815.09814400000005</v>
      </c>
      <c r="U57" s="3">
        <f>577+(268.1-33)+(-1.76562+(-0.820386--0.10098))+0-0-0</f>
        <v>809.61497400000007</v>
      </c>
      <c r="V57" s="3">
        <f>582+(213.2-32)+(-2.07774+(-0.761124--0.11424))+0-0-0</f>
        <v>760.4753760000001</v>
      </c>
      <c r="W57" s="3">
        <f>585+(140.7-31)+(-2.3868+(-0.574056--0.12648))+0-0-0</f>
        <v>691.86562400000003</v>
      </c>
      <c r="X57" s="3">
        <f>545+(130.4-30)+(-1.94565+(-0.465528--0.1071))+0-0-0</f>
        <v>643.09592199999997</v>
      </c>
      <c r="Y57" s="3">
        <f>545+(178.7-31)+(-1.1118+(-0.364548--0.06324))+0-0-0</f>
        <v>691.28689200000008</v>
      </c>
      <c r="Z57" s="3">
        <f>612+(219.2-32)+(-1.87272+(-0.670752--0.09792))+0-0-0</f>
        <v>796.75444800000002</v>
      </c>
      <c r="AA57" s="3">
        <f>615+(256-32)+(-1.2546+(-0.52224--0.06528))+0-0-0</f>
        <v>837.28844000000004</v>
      </c>
      <c r="AB57" s="3">
        <f>615+(269.2-31)+(-1.2546+(-0.549168--0.06324))+0-0-0</f>
        <v>851.45947200000001</v>
      </c>
      <c r="AC57" s="3">
        <f>615+(263.5-30)+(-0.94095+(-0.403155--0.0459))+0-0-0</f>
        <v>847.20179499999995</v>
      </c>
      <c r="AD57">
        <v>836.9</v>
      </c>
      <c r="AE57" s="3">
        <f>614+(255.9-33)+(0+(0-0))+0-0-0</f>
        <v>836.9</v>
      </c>
    </row>
    <row r="58" spans="1:31" s="2" customFormat="1" x14ac:dyDescent="0.3">
      <c r="A58">
        <v>90</v>
      </c>
      <c r="B58">
        <v>2</v>
      </c>
      <c r="C58">
        <v>27</v>
      </c>
      <c r="D58">
        <v>4</v>
      </c>
      <c r="E58">
        <v>1</v>
      </c>
      <c r="F58" s="3">
        <f>585+(235.8-32)+(-0.5967+(-0.240516--0.03264))+0-0-0</f>
        <v>787.99542399999996</v>
      </c>
      <c r="G58" s="3">
        <f>504+(301.6-32)+(-1.02816+(-0.615264--0.06528))+0-0-0</f>
        <v>772.02185600000007</v>
      </c>
      <c r="H58" s="3">
        <f>504+(278-32)+(-0.51408+(-0.28356--0.03264))+0-0-0</f>
        <v>749.23500000000001</v>
      </c>
      <c r="I58" s="3">
        <f>504+(257.6-32)+(-1.02816+(-0.525504--0.06528))+0-0-0</f>
        <v>728.11161600000003</v>
      </c>
      <c r="J58" s="3">
        <f>503+(229.1-31)+(-0.76959+(-0.350523--0.04743))+0-0-0</f>
        <v>700.02731700000004</v>
      </c>
      <c r="K58" s="3">
        <f>475+(192.5-30)+(-1.4535+(-0.58905--0.0918))+0-0-0</f>
        <v>635.54925000000003</v>
      </c>
      <c r="L58" s="3">
        <f>430+(187.6-29)+(-1.0965+(-0.47838--0.07395))+0-0-0</f>
        <v>587.09906999999998</v>
      </c>
      <c r="M58" s="3">
        <f>432+(194.5-31)+(-0.22032+(-0.099195--0.01581))+0-0-0</f>
        <v>595.19629499999996</v>
      </c>
      <c r="N58" s="3">
        <f>430+(213.3-32)+(0+(0-0))+0-0-0</f>
        <v>611.29999999999995</v>
      </c>
      <c r="O58" s="3">
        <f>428+(241.9-32)+(-0.21828+(-0.123369--0.01632))+0-0-0</f>
        <v>637.57467099999997</v>
      </c>
      <c r="P58" s="3">
        <f>483+(240.5-30)+(0.24633+(0.122655-0.0153))+0-0-0</f>
        <v>693.85368500000004</v>
      </c>
      <c r="Q58" s="3">
        <f>510+(258.6-30)+(0.5202+(0.263772-0.0306))+0-0-0</f>
        <v>739.35337200000004</v>
      </c>
      <c r="R58" s="3">
        <f>532+(312.1-33)+(-0.54264+(-0.318342--0.03366))+0-0-0</f>
        <v>810.27267800000004</v>
      </c>
      <c r="S58" s="3">
        <f>557+(335-33)+(-1.42035+(-0.85425--0.08415))+0-0-0</f>
        <v>856.80954999999994</v>
      </c>
      <c r="T58" s="3">
        <f>555+(324.2-32)+(0+(0-0))+0-0-0</f>
        <v>847.2</v>
      </c>
      <c r="U58" s="3">
        <f>553+(305-32)+(-0.84609+(-0.46665--0.04896))+0-0-0</f>
        <v>824.73622</v>
      </c>
      <c r="V58" s="3">
        <f>557+(267.2-32)+(-0.56814+(-0.272544--0.03264))+0-0-0</f>
        <v>791.39195600000005</v>
      </c>
      <c r="W58" s="3">
        <f>572+(197.5-32)+(-1.75032+(-0.60435--0.09792))+0-0-0</f>
        <v>735.24324999999999</v>
      </c>
      <c r="X58" s="3">
        <f>480+(171.3-30)+(-1.4688+(-0.524178--0.0918))+0-0-0</f>
        <v>619.398822</v>
      </c>
      <c r="Y58" s="3">
        <f>430+(302.2-30)+(-0.6579+(-0.462366--0.0459))+0-0-0</f>
        <v>701.12563399999999</v>
      </c>
      <c r="Z58" s="3">
        <f>560+(284.9-33)+(-1.1424+(-0.581196--0.06732))+0-0-0</f>
        <v>810.24372399999993</v>
      </c>
      <c r="AA58" s="3">
        <f>567+(319.4-34)+(-1.44585+(-0.81447--0.0867))+0-0-0</f>
        <v>850.22637999999995</v>
      </c>
      <c r="AB58" s="3">
        <f>565+(330.8-34)+(0+(0-0))+0-0-0</f>
        <v>861.8</v>
      </c>
      <c r="AC58" s="3">
        <f>550+(327.7-33)+(-1.122+(-0.668508--0.06732))+0-0-0</f>
        <v>842.976812</v>
      </c>
      <c r="AD58">
        <v>846</v>
      </c>
      <c r="AE58" s="3">
        <f>561+(318-33)+(0+(0-0))+0-0-0</f>
        <v>846</v>
      </c>
    </row>
    <row r="59" spans="1:31" s="2" customFormat="1" x14ac:dyDescent="0.3">
      <c r="A59">
        <v>90</v>
      </c>
      <c r="B59">
        <v>2</v>
      </c>
      <c r="C59">
        <v>28</v>
      </c>
      <c r="D59">
        <v>5</v>
      </c>
      <c r="E59">
        <v>1</v>
      </c>
      <c r="F59" s="3">
        <f>539+(297.4-33)+(-1.09956+(-0.606696--0.06732))+0-0-0</f>
        <v>801.76106400000003</v>
      </c>
      <c r="G59" s="3">
        <f>531+(277.8-32)+(-0.54162+(-0.283356--0.03264))+0-0-0</f>
        <v>776.00766399999998</v>
      </c>
      <c r="H59" s="3">
        <f>531+(258.2-32)+(-0.27081+(-0.131682--0.01632))+0-0-0</f>
        <v>756.81382800000006</v>
      </c>
      <c r="I59" s="3">
        <f>531+(239.9-32)+(-0.54162+(-0.244698--0.03264))+0-0-0</f>
        <v>738.14632199999994</v>
      </c>
      <c r="J59" s="3">
        <f>533+(220.1-32)+(0+(0-0))+0-0-0</f>
        <v>721.1</v>
      </c>
      <c r="K59" s="3">
        <f>518+(175.6-33)+(-1.05672+(-0.358224--0.06732))+0-0-0</f>
        <v>659.25237600000003</v>
      </c>
      <c r="L59" s="3">
        <f>395+(227.7-33)+(-1.00725+(-0.580635--0.08415))+0-0-0</f>
        <v>588.19626500000004</v>
      </c>
      <c r="M59" s="3">
        <f>392+(261.8-33)+(0+(0-0))+0-0-0</f>
        <v>620.79999999999995</v>
      </c>
      <c r="N59" s="3">
        <f>442+(228.7-33)+(-0.22542+(-0.116637--0.01683))+0-0-0</f>
        <v>637.374773</v>
      </c>
      <c r="O59" s="3">
        <f>458+(236.1-35)+(-0.23358+(-0.120411--0.01785))+0-0-0</f>
        <v>658.76385900000002</v>
      </c>
      <c r="P59" s="3">
        <f>493+(245.3-35)+(-0.50286+(-0.250206--0.0357))+0-0-0</f>
        <v>702.58263399999998</v>
      </c>
      <c r="Q59" s="3">
        <f>521+(280-35)+(0.26571+(0.1428-0.01785))+0-0-0</f>
        <v>766.39066000000003</v>
      </c>
      <c r="R59" s="3">
        <f>530+(344.3-32)+(-0.2703+(-0.175593--0.01632))+0-0-0</f>
        <v>841.87042699999995</v>
      </c>
      <c r="S59" s="3">
        <f>593+(307.9-32)+(0.30243+(0.157029-0.01632))+0-0-0</f>
        <v>869.34313899999995</v>
      </c>
      <c r="T59" s="3">
        <f>642+(267.5-34)+(-0.32742+(-0.136425--0.01734))+0-0-0</f>
        <v>875.053495</v>
      </c>
      <c r="U59" s="3">
        <f>659+(235.6-28)+(-1.68045+(-0.60078--0.0714))+0-0-0</f>
        <v>864.39017000000001</v>
      </c>
      <c r="V59" s="3">
        <f>688+(198.3-26)+(-1.40352+(-0.404532--0.05304))+0-0-0</f>
        <v>858.54498799999999</v>
      </c>
      <c r="W59" s="3">
        <f>691+(144.9-42)+(-1.76205+(-0.369495--0.1071))+0-0-0</f>
        <v>791.87555499999996</v>
      </c>
      <c r="X59" s="3">
        <f>666+(96.1-46)+(-2.37762+(-0.343077--0.16422))+0-0-0</f>
        <v>713.54352300000005</v>
      </c>
      <c r="Y59" s="3">
        <f>598+(188.5-26)+(-0.60996+(-0.19227--0.02652))+0-0-0</f>
        <v>759.72429</v>
      </c>
      <c r="Z59" s="3">
        <f>674+(242.1-30)+(-0.68748+(-0.246942--0.0306))+0-0-0</f>
        <v>885.19617800000003</v>
      </c>
      <c r="AA59" s="3">
        <f>696+(244.1-31)+(-1.41984+(-0.497964--0.06324))+0-0-0</f>
        <v>907.24543600000004</v>
      </c>
      <c r="AB59" s="3">
        <f>684+(252.5-33)+(-1.7442+(-0.643875--0.08415))+0-0-0</f>
        <v>901.19607499999995</v>
      </c>
      <c r="AC59" s="3">
        <f>667+(262-34)+(-0.34017+(-0.13362--0.01734))+0-0-0</f>
        <v>894.54354999999998</v>
      </c>
      <c r="AD59">
        <v>885</v>
      </c>
      <c r="AE59" s="3">
        <f>663+(252-30)+(0+(0-0))+0-0-0</f>
        <v>885</v>
      </c>
    </row>
    <row r="60" spans="1:31" s="2" customFormat="1" x14ac:dyDescent="0.3">
      <c r="A60">
        <v>90</v>
      </c>
      <c r="B60">
        <v>2</v>
      </c>
      <c r="C60">
        <v>29</v>
      </c>
      <c r="D60">
        <v>6</v>
      </c>
      <c r="E60">
        <v>1</v>
      </c>
      <c r="F60" s="3">
        <f>633+(248.4-33)+(-1.61415+(-0.63342--0.08415))+0-0-0</f>
        <v>846.23658</v>
      </c>
      <c r="G60" s="3">
        <f>616+(229.8-33)+(-0.31416+(-0.117198--0.01683))+0-0-0</f>
        <v>812.38547199999994</v>
      </c>
      <c r="H60" s="3">
        <f>560+(234.3-32)+(-1.1424+(-0.477972--0.06528))+6.3-0-0</f>
        <v>767.04490799999996</v>
      </c>
      <c r="I60" s="3">
        <f>532+(224.8-32)+(-1.3566+(-0.57324--0.0816))+15-0-0</f>
        <v>737.95175999999992</v>
      </c>
      <c r="J60" s="3">
        <f>532+(204.5-33)+(-0.81396+(-0.312885--0.05049))+15-0-0</f>
        <v>717.42364499999996</v>
      </c>
      <c r="K60" s="3">
        <f>513+(185.1-34)+(-0.78489+(-0.283203--0.05202))+0-0-0</f>
        <v>663.08392700000002</v>
      </c>
      <c r="L60" s="3">
        <f>405+(233-31)+(-0.20655+(-0.11883--0.01581))+0-0-0</f>
        <v>606.69042999999999</v>
      </c>
      <c r="M60" s="3">
        <f>429+(223.9-30)+(-0.21879+(-0.114189--0.0153))+0-0-0</f>
        <v>622.58232099999998</v>
      </c>
      <c r="N60" s="3">
        <f>458+(212.2-30)+(0.23358+(0.108222-0.0153))+0-0-0</f>
        <v>640.52650200000005</v>
      </c>
      <c r="O60" s="3">
        <f>456+(235-30)+(-0.69768+(-0.35955--0.0459))+0-0-0</f>
        <v>659.98866999999996</v>
      </c>
      <c r="P60" s="3">
        <f>460+(286.6-31)+(-0.4692+(-0.292332--0.03162))+0-0-0</f>
        <v>714.87008800000001</v>
      </c>
      <c r="Q60" s="3">
        <f>512+(293.6-32)+(-0.52224+(-0.299472--0.03264))+0-0-0</f>
        <v>772.81092799999999</v>
      </c>
      <c r="R60" s="3">
        <f>537+(295.5-33)+(0.27387+(0.150705-0.01683))+0-0-0</f>
        <v>799.90774499999998</v>
      </c>
      <c r="S60" s="3">
        <f>568+(309-31)+(-0.28968+(-0.15759--0.01581))+0-0-0</f>
        <v>845.56853999999998</v>
      </c>
      <c r="T60" s="3">
        <f>570+(298.9-24)+(0.2907+(0.152439-0.01224))+0-0-0</f>
        <v>845.33089899999993</v>
      </c>
      <c r="U60" s="3">
        <f>577+(282.1-24)+(-0.88281+(-0.431613--0.03672))+0-0-0</f>
        <v>833.82229700000005</v>
      </c>
      <c r="V60" s="3">
        <f>589+(253.7-24)+(-0.30039+(-0.129387--0.01224))+0-0-0</f>
        <v>818.28246300000001</v>
      </c>
      <c r="W60" s="3">
        <f>593+(178.2-25)+(-1.51215+(-0.45441--0.06375))+0-0-0</f>
        <v>744.29719</v>
      </c>
      <c r="X60" s="3">
        <f>556+(140-28)+(-1.4178+(-0.357--0.0714))+0-0-0</f>
        <v>666.29660000000001</v>
      </c>
      <c r="Y60" s="3">
        <f>524+(223.6-31)+(-0.80172+(-0.342108--0.04743))+0-0-0</f>
        <v>715.503602</v>
      </c>
      <c r="Z60" s="3">
        <f>564+(292.3-33)+(-0.86292+(-0.447219--0.05049))+0-0-0</f>
        <v>822.04035099999999</v>
      </c>
      <c r="AA60" s="3">
        <f>565+(320.6-33)+(-1.44075+(-0.81753--0.08415))+0-0-0</f>
        <v>850.42587000000003</v>
      </c>
      <c r="AB60" s="3">
        <f>563+(330.9-33)+(-0.57426+(-0.337518--0.03366))+0-0-0</f>
        <v>860.02188200000001</v>
      </c>
      <c r="AC60" s="3">
        <f>565+(317.8-33)+(0+(0-0))+0-0-0</f>
        <v>849.8</v>
      </c>
      <c r="AD60">
        <v>842.4</v>
      </c>
      <c r="AE60" s="3">
        <f>565+(310.4-33)+(0+(0-0))+0-0-0</f>
        <v>842.4</v>
      </c>
    </row>
    <row r="61" spans="1:31" s="2" customFormat="1" x14ac:dyDescent="0.3">
      <c r="A61">
        <v>90</v>
      </c>
      <c r="B61">
        <v>2</v>
      </c>
      <c r="C61">
        <v>30</v>
      </c>
      <c r="D61">
        <v>7</v>
      </c>
      <c r="E61">
        <v>1</v>
      </c>
      <c r="F61" s="3">
        <f>550+(292.2-33)+(0+(0-0))+0-0-0</f>
        <v>809.2</v>
      </c>
      <c r="G61" s="3">
        <f>541+(269.1-33)+(-1.10364+(-0.548964--0.06732))+0-0-0</f>
        <v>775.51471600000002</v>
      </c>
      <c r="H61" s="3">
        <f>517+(273.1-33)+(0+(0-0))+0-0-0</f>
        <v>757.1</v>
      </c>
      <c r="I61" s="3">
        <f>519+(258.4-33)+(-0.26469+(-0.131784--0.01683))+0-0-0</f>
        <v>744.02035599999999</v>
      </c>
      <c r="J61" s="3">
        <f>520+(241.7-32)+(0+(0-0))+0-0-0</f>
        <v>729.7</v>
      </c>
      <c r="K61" s="3">
        <f>519+(190.5-32)+(-1.05876+(-0.38862--0.06528))+0-0-0</f>
        <v>676.11789999999996</v>
      </c>
      <c r="L61" s="3">
        <f>424+(207.2-32)+(-1.94616+(-0.951048--0.14688))+0-0-0</f>
        <v>596.44967200000008</v>
      </c>
      <c r="M61" s="3">
        <f>381+(241-32)+(0.19431+(0.12291-0.01632))+0-0-0</f>
        <v>590.30089999999996</v>
      </c>
      <c r="N61" s="3">
        <f>381+(253.4-33)+(-0.38862+(-0.258468--0.03366))+0-0-0</f>
        <v>600.78657199999998</v>
      </c>
      <c r="O61" s="3">
        <f>424+(237.8-33)+(0+(0-0))+0-0-0</f>
        <v>628.79999999999995</v>
      </c>
      <c r="P61" s="3">
        <f>469+(239.5-33)+(-0.23919+(-0.122145--0.01683))+0-0-0</f>
        <v>675.15549499999997</v>
      </c>
      <c r="Q61" s="3">
        <f>503+(267.6-33)+(0.51306+(0.272952-0.03366))+0-0-0</f>
        <v>738.352352</v>
      </c>
      <c r="R61" s="3">
        <f>504+(321.1-29)+(-0.77112+(-0.491283--0.04437))+0-0-0</f>
        <v>794.88196700000003</v>
      </c>
      <c r="S61" s="3">
        <f>524+(317.4-29)+(0+(0-0))+0-0-0</f>
        <v>812.4</v>
      </c>
      <c r="T61" s="3">
        <f>533+(238.7-29)+(-0.81549+(-0.365211--0.04437))+0-0-0</f>
        <v>741.563669</v>
      </c>
      <c r="U61" s="3">
        <f>534+(270.9-25)+(-0.27234+(-0.138159--0.01275))+0-0-0</f>
        <v>779.502251</v>
      </c>
      <c r="V61" s="3">
        <f>562+(231-23)+(0.28662+(0.11781-0.01173))+0-0-0</f>
        <v>770.39269999999999</v>
      </c>
      <c r="W61" s="3">
        <f>589+(161.9-24)+(-1.50195+(-0.412845--0.0612))+0-0-0</f>
        <v>725.04640499999994</v>
      </c>
      <c r="X61" s="3">
        <f>607+(102.5-36)+(-1.85742+(-0.31365--0.11016))+0-0-0</f>
        <v>671.43908999999996</v>
      </c>
      <c r="Y61" s="3">
        <f>553+(168.3-24)+(-0.84609+(-0.257499--0.03672))+0-0-0</f>
        <v>696.23313099999996</v>
      </c>
      <c r="Z61" s="3">
        <f>570+(282.9-31)+(0.2907+(0.144279-0.01581))+0-0-0</f>
        <v>822.31916899999999</v>
      </c>
      <c r="AA61" s="3">
        <f>606+(291.5-34)+(0+(0-0))+0-0-0</f>
        <v>863.5</v>
      </c>
      <c r="AB61" s="3">
        <f>606+(302.2-33)+(0+(0-0))+0-0-0</f>
        <v>875.2</v>
      </c>
      <c r="AC61" s="3">
        <f>605+(289-33)+(-0.92565+(-0.44217--0.05049))+0-0-0</f>
        <v>859.68267000000003</v>
      </c>
      <c r="AD61">
        <v>867.8</v>
      </c>
      <c r="AE61" s="3">
        <f>606+(295.8-34)+(0+(0-0))+0-0-0</f>
        <v>867.8</v>
      </c>
    </row>
    <row r="62" spans="1:31" s="2" customFormat="1" x14ac:dyDescent="0.3">
      <c r="A62">
        <v>90</v>
      </c>
      <c r="B62">
        <v>2</v>
      </c>
      <c r="C62">
        <v>31</v>
      </c>
      <c r="D62">
        <v>1</v>
      </c>
      <c r="E62">
        <v>1</v>
      </c>
      <c r="F62" s="3">
        <f>592+(273.9-32)+(-0.30192+(-0.139689--0.01632))+0-0-0</f>
        <v>833.47471099999996</v>
      </c>
      <c r="G62" s="3">
        <f>589+(249.9-32)+(-0.60078+(-0.254898--0.03264))+0-0-0</f>
        <v>806.07696199999998</v>
      </c>
      <c r="H62" s="3">
        <f>589+(227.8-32)+(-0.90117+(-0.348534--0.04896))+0-0-0</f>
        <v>783.59925599999997</v>
      </c>
      <c r="I62" s="3">
        <f>589+(198.7-31)+(-0.60078+(-0.202674--0.03162))+0-0-0</f>
        <v>755.92816600000003</v>
      </c>
      <c r="J62" s="3">
        <f>589+(177.5-30)+(-0.90117+(-0.271575--0.0459))+0-0-0</f>
        <v>735.373155</v>
      </c>
      <c r="K62" s="3">
        <f>576+(124-39)+(-1.4688+(-0.3162--0.09945))+0-0-0</f>
        <v>659.31444999999997</v>
      </c>
      <c r="L62" s="3">
        <f>494+(90.8-44)+(-0.25194+(-0.046308--0.02244))+69.4-0-0</f>
        <v>609.92419199999995</v>
      </c>
      <c r="M62" s="3">
        <f>500+(106.3-39)+(-0.255+(-0.054213--0.01989))+60.8-0-0</f>
        <v>627.81067699999994</v>
      </c>
      <c r="N62" s="3">
        <f>506+(171.7-27)+(-0.25806+(-0.087567--0.01377))+0-0-0</f>
        <v>650.36814300000003</v>
      </c>
      <c r="O62" s="3">
        <f>527+(177.9-28)+(0+(0-0))+0-0-0</f>
        <v>676.9</v>
      </c>
      <c r="P62" s="3">
        <f>547+(201.1-29)+(-0.27897+(-0.102561--0.01479))+0-0-0</f>
        <v>718.73325899999998</v>
      </c>
      <c r="Q62" s="3">
        <f>561+(246.9-30)+(0+(0-0))+0-0-0</f>
        <v>777.9</v>
      </c>
      <c r="R62" s="3">
        <f>561+(306-30)+(0.28611+(0.15606-0.0153))+0-0-0</f>
        <v>837.42687000000001</v>
      </c>
      <c r="S62" s="3">
        <f>568+(334.3-31)+(-0.57936+(-0.340986--0.03162))+0-0-0</f>
        <v>870.41127399999993</v>
      </c>
      <c r="T62" s="3">
        <f>553+(352.8-32)+(0.28203+(0.179928-0.01632))+0-0-0</f>
        <v>874.24563799999999</v>
      </c>
      <c r="U62" s="3">
        <f>533+(342.3-30)+(-0.27183+(-0.174573--0.0153))+0-0-0</f>
        <v>844.86889699999995</v>
      </c>
      <c r="V62" s="3">
        <f>569+(272.6-28)+(-1.16076+(-0.556104--0.05712))+0-0-0</f>
        <v>811.94025599999998</v>
      </c>
      <c r="W62" s="3">
        <f>644+(156.3-27)+(-1.97064+(-0.478278--0.08262))+10.6-0-0</f>
        <v>781.53370199999995</v>
      </c>
      <c r="X62" s="3">
        <f>616+(95.4-30)+(-0.94248+(-0.145962--0.0459))+8-0-0</f>
        <v>688.35745799999995</v>
      </c>
      <c r="Y62" s="3">
        <f>516+(228.5-28)+(-0.26316+(-0.116535--0.01428))+0-0-0</f>
        <v>716.13458500000002</v>
      </c>
      <c r="Z62" s="3">
        <f>640+(245-30)+(-0.3264+(-0.12495--0.0153))+0-0-0</f>
        <v>854.56394999999998</v>
      </c>
      <c r="AA62" s="3">
        <f>655+(263.5-32)+(-1.00215+(-0.403155--0.04896))+0-0-0</f>
        <v>885.14365499999997</v>
      </c>
      <c r="AB62" s="3">
        <f>646+(278.8-32)+(-0.98838+(-0.426564--0.04896))+0-0-0</f>
        <v>891.43401599999993</v>
      </c>
      <c r="AC62" s="3">
        <f>622+(277.7-34)+(-1.26888+(-0.566508--0.06936))+0-0-0</f>
        <v>863.93397200000004</v>
      </c>
      <c r="AD62">
        <v>885</v>
      </c>
      <c r="AE62" s="3">
        <f>658+(260-33)+(0+(0-0))+0-0-0</f>
        <v>885</v>
      </c>
    </row>
    <row r="63" spans="1:31" s="2" customFormat="1" x14ac:dyDescent="0.3">
      <c r="A63">
        <v>90</v>
      </c>
      <c r="B63">
        <v>3</v>
      </c>
      <c r="C63">
        <v>1</v>
      </c>
      <c r="D63">
        <v>2</v>
      </c>
      <c r="E63">
        <v>1</v>
      </c>
      <c r="F63" s="3">
        <f>541+(205.2-33)+(-1.10364+(-0.418608--0.06732))+0-0-0</f>
        <v>711.74507200000005</v>
      </c>
      <c r="G63" s="3">
        <f>539+(246.9-32)+(-1.37445+(-0.629595--0.0816))+0-0-0</f>
        <v>751.97755499999994</v>
      </c>
      <c r="H63" s="3">
        <f>547+(225.5-31)+(-0.55794+(-0.23001--0.03162))+0-0-0</f>
        <v>740.74366999999995</v>
      </c>
      <c r="I63" s="3">
        <f>558+(209-31)+(-1.13832+(-0.42636--0.06324))+0-0-0</f>
        <v>734.49856</v>
      </c>
      <c r="J63" s="3">
        <f>559+(178.8-30)+(-1.99563+(-0.638316--0.1071))+0-0-0</f>
        <v>705.27315399999998</v>
      </c>
      <c r="K63" s="3">
        <f>485+(181.4-32)+(-1.73145+(-0.647598--0.11424))+0-0-0</f>
        <v>632.13519199999996</v>
      </c>
      <c r="L63" s="3">
        <f>419+(186.8-27)+(-0.64107+(-0.285804--0.04131))+0-0-0</f>
        <v>577.91443599999991</v>
      </c>
      <c r="M63" s="3">
        <f>419+(199.8-20)+(0.42738+(0.203796-0.0204))+0-0-0</f>
        <v>599.41077599999994</v>
      </c>
      <c r="N63" s="3">
        <f>463+(187.2-30)+(0.23613+(0.095472-0.0153))+0-0-0</f>
        <v>620.516302</v>
      </c>
      <c r="O63" s="3">
        <f>492+(200.6-32)+(-0.25092+(-0.102306--0.01632))+0-0-0</f>
        <v>660.26309400000002</v>
      </c>
      <c r="P63" s="3">
        <f>487+(265.7-33)+(-0.24837+(-0.135507--0.01683))+0-0-0</f>
        <v>719.33295300000009</v>
      </c>
      <c r="Q63" s="3">
        <f>483+(325.5-33)+(-0.73899+(-0.498015--0.05049))+0-0-0</f>
        <v>774.31348500000001</v>
      </c>
      <c r="R63" s="3">
        <f>528+(331.6-33)+(0+(0-0))+0-0-0</f>
        <v>826.6</v>
      </c>
      <c r="S63" s="3">
        <f>607+(303.7-32)+(-0.30957+(-0.154887--0.01632))+0-0-0</f>
        <v>878.25186300000007</v>
      </c>
      <c r="T63" s="3">
        <f>615+(305.3-30)+(0+(0-0))+0-0-0</f>
        <v>890.3</v>
      </c>
      <c r="U63" s="3">
        <f>623+(280.1-30)+(-1.27092+(-0.571404--0.0612))+0-0-0</f>
        <v>871.31887600000005</v>
      </c>
      <c r="V63" s="3">
        <f>659+(238.9-30)+(-1.00827+(-0.365517--0.0459))+0-0-0</f>
        <v>866.57211299999994</v>
      </c>
      <c r="W63" s="3">
        <f>667+(170.2-32)+(-1.02051+(-0.260406--0.04896))+0-0-0</f>
        <v>803.96804400000008</v>
      </c>
      <c r="X63" s="3">
        <f>673+(88.1-54)+(-3.08907+(-0.404379--0.24786))+0-0-0</f>
        <v>703.85441100000003</v>
      </c>
      <c r="Y63" s="3">
        <f>676+(119.1-42)+(-1.37904+(-0.242964--0.08568))+0-0-0</f>
        <v>751.56367599999999</v>
      </c>
      <c r="Z63" s="3">
        <f>678+(224.4-33)+(-1.03734+(-0.343332--0.05049))+0-0-0</f>
        <v>868.06981799999994</v>
      </c>
      <c r="AA63" s="3">
        <f>680+(262.6-33)+(-2.0808+(-0.803556--0.10098))+0-0-0</f>
        <v>906.81662400000005</v>
      </c>
      <c r="AB63" s="3">
        <f>685+(258.2-32)+(-1.3974+(-0.526728--0.06528))+0-0-0</f>
        <v>909.34115200000008</v>
      </c>
      <c r="AC63" s="3">
        <f>671+(260.3-31)+(-0.34221+(-0.132753--0.01581))+0-0-0</f>
        <v>899.84084699999994</v>
      </c>
      <c r="AD63">
        <v>907.2</v>
      </c>
      <c r="AE63" s="3">
        <f>682+(258.2-33)+(0+(0-0))+0-0-0</f>
        <v>907.2</v>
      </c>
    </row>
    <row r="64" spans="1:31" s="2" customFormat="1" x14ac:dyDescent="0.3">
      <c r="A64">
        <v>90</v>
      </c>
      <c r="B64">
        <v>3</v>
      </c>
      <c r="C64">
        <v>2</v>
      </c>
      <c r="D64">
        <v>3</v>
      </c>
      <c r="E64">
        <v>1</v>
      </c>
      <c r="F64" s="3">
        <f>625+(263.7-31)+(-1.59375+(-0.672435--0.07905))+0-0-0</f>
        <v>855.51286500000003</v>
      </c>
      <c r="G64" s="3">
        <f>589+(257.7-30)+(-0.30039+(-0.131427--0.0153))+0-0-0</f>
        <v>816.28348300000005</v>
      </c>
      <c r="H64" s="3">
        <f>556+(261.9-30)+(0.56712+(0.267138-0.0306))+0-0-0</f>
        <v>788.70365800000002</v>
      </c>
      <c r="I64" s="3">
        <f>557+(234-30)+(-0.85221+(-0.35802--0.0459))+0-0-0</f>
        <v>759.83567000000005</v>
      </c>
      <c r="J64" s="3">
        <f>522+(249.1-31)+(-1.06488+(-0.508164--0.06324))+0-0-0</f>
        <v>738.59019599999999</v>
      </c>
      <c r="K64" s="3">
        <f>475+(227.4-32)+(-1.938+(-0.927792--0.13056))+0-0-0</f>
        <v>667.66476799999998</v>
      </c>
      <c r="L64" s="3">
        <f>418+(234.4-33)+(-1.49226+(-0.836808--0.11781))+0-0-0</f>
        <v>617.18874199999993</v>
      </c>
      <c r="M64" s="3">
        <f>404+(262.6-33)+(0+(0-0))+0-0-0</f>
        <v>633.6</v>
      </c>
      <c r="N64" s="3">
        <f>460+(238.1-33)+(-0.9384+(-0.485724--0.06732))+0-0-0</f>
        <v>663.74319600000001</v>
      </c>
      <c r="O64" s="3">
        <f>493+(236-33)+(0.50286+(0.24072-0.03366))+0-0-0</f>
        <v>696.70992000000001</v>
      </c>
      <c r="P64" s="3">
        <f>493+(274.6-33)+(0.25143+(0.140046-0.01683))+0-0-0</f>
        <v>734.97464600000001</v>
      </c>
      <c r="Q64" s="3">
        <f>523+(269-33)+(-0.26673+(-0.13719--0.01683))+0-0-0</f>
        <v>758.61291000000006</v>
      </c>
      <c r="R64" s="3">
        <f>561+(346.4-33)+(0+(0-0))+0-0-0</f>
        <v>874.4</v>
      </c>
      <c r="S64" s="3">
        <f>631+(310.4-33)+(-0.96543+(-0.474912--0.05049))+0-0-0</f>
        <v>907.01014799999996</v>
      </c>
      <c r="T64" s="3">
        <f>655+(279.8-32)+(-0.33405+(-0.142698--0.01632))+0-0-0</f>
        <v>902.33957199999998</v>
      </c>
      <c r="U64" s="3">
        <f>657+(251-31)+(0.33507+(0.12801-0.01581))+0-0-0</f>
        <v>877.44727</v>
      </c>
      <c r="V64" s="3">
        <f>661+(211.4-30)+(-1.01133+(-0.323442--0.0459))+0-0-0</f>
        <v>841.11112800000001</v>
      </c>
      <c r="W64" s="3">
        <f>691+(131.9-41)+(-1.40964+(-0.269076--0.08364))+0-0-0</f>
        <v>780.30492400000003</v>
      </c>
      <c r="X64" s="3">
        <f>598+(127-29)+(-1.82988+(-0.38862--0.08874))+0-0-0</f>
        <v>693.87023999999997</v>
      </c>
      <c r="Y64" s="3">
        <f>522+(260.2-30)+(0+(0-0))+0-0-0</f>
        <v>752.2</v>
      </c>
      <c r="Z64" s="3">
        <f>650+(261.9-32)+(-0.663+(-0.267138--0.03264))+0-0-0</f>
        <v>879.00250199999994</v>
      </c>
      <c r="AA64" s="3">
        <f>675+(264.8-33)+(-0.6885+(-0.270096--0.03366))+0-0-0</f>
        <v>905.87506399999995</v>
      </c>
      <c r="AB64" s="3">
        <f>671+(280-33)+(-1.02663+(-0.4284--0.05049))+0-0-0</f>
        <v>916.59546</v>
      </c>
      <c r="AC64" s="3">
        <f>671+(270.8-33)+(-1.71105+(-0.69054--0.08415))+0-0-0</f>
        <v>906.48255999999992</v>
      </c>
      <c r="AD64">
        <v>907.3</v>
      </c>
      <c r="AE64" s="3">
        <f>674+(266.3-33)+(0+(0-0))+0-0-0</f>
        <v>907.3</v>
      </c>
    </row>
    <row r="65" spans="1:31" s="2" customFormat="1" x14ac:dyDescent="0.3">
      <c r="A65">
        <v>90</v>
      </c>
      <c r="B65">
        <v>3</v>
      </c>
      <c r="C65">
        <v>3</v>
      </c>
      <c r="D65">
        <v>4</v>
      </c>
      <c r="E65">
        <v>1</v>
      </c>
      <c r="F65" s="3">
        <f>631+(254.7-31)+(-1.60905+(-0.649485--0.07905))+0-0-0</f>
        <v>852.52051500000005</v>
      </c>
      <c r="G65" s="3">
        <f>605+(229-31)+(-1.54275+(-0.58395--0.07905))+0-0-0</f>
        <v>800.95235000000002</v>
      </c>
      <c r="H65" s="3">
        <f>583+(231.2-30)+(-0.59466+(-0.235824--0.0306))+0-0-0</f>
        <v>783.40011600000003</v>
      </c>
      <c r="I65" s="3">
        <f>549+(237-30)+(-1.11996+(-0.48348--0.0612))+0-0-0</f>
        <v>754.45776000000001</v>
      </c>
      <c r="J65" s="3">
        <f>544+(228.1-30)+(-1.3872+(-0.581655--0.0765))+0-0-0</f>
        <v>740.20764500000007</v>
      </c>
      <c r="K65" s="3">
        <f>474+(213.3-32)+(-0.72522+(-0.326349--0.04896))+0-0-0</f>
        <v>654.29739099999995</v>
      </c>
      <c r="L65" s="3">
        <f>423+(227.6-33)+(-0.64719+(-0.348228--0.05049))+0-0-0</f>
        <v>616.65507200000002</v>
      </c>
      <c r="M65" s="3">
        <f>425+(236.5-33)+(0.65025+(0.361845-0.05049))+0-0-0</f>
        <v>629.46160499999996</v>
      </c>
      <c r="N65" s="3">
        <f>425+(263.5-33)+(-0.867+(-0.53754--0.06732))+0-0-0</f>
        <v>654.16278</v>
      </c>
      <c r="O65" s="3">
        <f>447+(258.8-34)+(-0.68391+(-0.395964--0.05202))+0-0-0</f>
        <v>670.77214599999991</v>
      </c>
      <c r="P65" s="3">
        <f>503+(248.5-34)+(-0.25653+(-0.126735--0.01734))+0-0-0</f>
        <v>717.13407500000005</v>
      </c>
      <c r="Q65" s="3">
        <f>568+(246.6-34)+(0+(0-0))+0-0-0</f>
        <v>780.6</v>
      </c>
      <c r="R65" s="3">
        <f>617+(268-33)+(-0.94401+(-0.41004--0.05049))+0-0-0</f>
        <v>850.69644000000005</v>
      </c>
      <c r="S65" s="3">
        <f>624+(307.7-32)+(-0.63648+(-0.313854--0.03264))+0-0-0</f>
        <v>898.78230600000006</v>
      </c>
      <c r="T65" s="3">
        <f>632+(304.8-32)+(-0.32232+(-0.155448--0.01632))+0-0-0</f>
        <v>904.33855199999994</v>
      </c>
      <c r="U65" s="3">
        <f>639+(262.9-31)+(-1.62945+(-0.670395--0.07905))+0-0-0</f>
        <v>868.67920500000002</v>
      </c>
      <c r="V65" s="3">
        <f>645+(209.3-32)+(-2.30265+(-0.747201--0.11424))+0-0-0</f>
        <v>819.36438899999996</v>
      </c>
      <c r="W65" s="3">
        <f>649+(143.6-45)+(-2.31693+(-0.512652--0.16065))+0-0-0</f>
        <v>744.93106799999998</v>
      </c>
      <c r="X65" s="3">
        <f>611+(112.2-34)+(-2.49288+(-0.457776--0.13872))+0-0-0</f>
        <v>686.3880640000001</v>
      </c>
      <c r="Y65" s="3">
        <f>537+(228.7-33)+(-1.36935+(-0.583185--0.08415))+0-0-0</f>
        <v>730.83161500000006</v>
      </c>
      <c r="Z65" s="3">
        <f>673+(228.1-34)+(-0.34323+(-0.116331--0.01734))+0-0-0</f>
        <v>866.657779</v>
      </c>
      <c r="AA65" s="3">
        <f>690+(240.7-33)+(-1.7595+(-0.613785--0.08415))+0-0-0</f>
        <v>895.41086500000006</v>
      </c>
      <c r="AB65" s="3">
        <f>686+(265.6-32)+(-1.39944+(-0.541824--0.06528))+0-0-0</f>
        <v>917.72401600000001</v>
      </c>
      <c r="AC65" s="3">
        <f>686+(253-32)+(-1.39944+(-0.51612--0.06528))+0-0-0</f>
        <v>905.14972</v>
      </c>
      <c r="AD65">
        <v>895.3</v>
      </c>
      <c r="AE65" s="3">
        <f>690+(239.3-34)+(0+(0-0))+0-0-0</f>
        <v>895.3</v>
      </c>
    </row>
    <row r="66" spans="1:31" s="2" customFormat="1" x14ac:dyDescent="0.3">
      <c r="A66">
        <v>90</v>
      </c>
      <c r="B66">
        <v>3</v>
      </c>
      <c r="C66">
        <v>4</v>
      </c>
      <c r="D66">
        <v>5</v>
      </c>
      <c r="E66">
        <v>1</v>
      </c>
      <c r="F66" s="3">
        <f>608+(311.6-32)+(0+(0-0))+0-0-0</f>
        <v>887.6</v>
      </c>
      <c r="G66" s="3">
        <f>558+(283.4-31)+(-0.85374+(-0.433602--0.04743))+0-0-0</f>
        <v>809.16008799999997</v>
      </c>
      <c r="H66" s="3">
        <f>506+(333.2-30)+(-0.51612+(-0.339864--0.0306))+0-0-0</f>
        <v>808.37461600000006</v>
      </c>
      <c r="I66" s="3">
        <f>503+(313.1-30)+(-0.25653+(-0.159681--0.0153))+0-0-0</f>
        <v>785.69908900000007</v>
      </c>
      <c r="J66" s="3">
        <f>503+(275.7-30)+(-1.28265+(-0.703035--0.0765))+0-0-0</f>
        <v>746.79081500000007</v>
      </c>
      <c r="K66" s="3">
        <f>499+(216.9-31)+(-1.27245+(-0.553095--0.07905))+0-0-0</f>
        <v>683.153505</v>
      </c>
      <c r="L66" s="3">
        <f>440+(179.8-32)+(-0.2244+(-0.091698--0.01632))+0-0-0</f>
        <v>587.50022200000001</v>
      </c>
      <c r="M66" s="3">
        <f>424+(197.3-23)+(0.21624+(0.100623-0.01173))+0-0-0</f>
        <v>598.60513299999991</v>
      </c>
      <c r="N66" s="3">
        <f>478+(181.3-33)+(0.24378+(0.092463-0.01683))+4.4-0-0</f>
        <v>631.01941299999999</v>
      </c>
      <c r="O66" s="3">
        <f>492+(195.3-25)+(-0.25092+(-0.099603--0.01275))+3.2-0-0</f>
        <v>665.16222700000003</v>
      </c>
      <c r="P66" s="3">
        <f>491+(213.3-32)+(0.25041+(0.108783-0.01632))+0-0-0</f>
        <v>672.64287300000001</v>
      </c>
      <c r="Q66" s="3">
        <f>494+(257.9-34)+(-0.25194+(-0.131529--0.01734))+0-0-0</f>
        <v>717.53387099999998</v>
      </c>
      <c r="R66" s="3">
        <f>514+(344.8-32)+(-0.26214+(-0.175848--0.01632))+0-0-0</f>
        <v>826.378332</v>
      </c>
      <c r="S66" s="3">
        <f>538+(356.6-30)+(-0.54876+(-0.363732--0.0306))+10-0-0</f>
        <v>873.71810800000003</v>
      </c>
      <c r="T66" s="3">
        <f>546+(336.7-30)+(0+(0-0))+40-0-0</f>
        <v>892.7</v>
      </c>
      <c r="U66" s="3">
        <f>556+(294.1-30)+(-1.70136+(-0.899946--0.0918))+40-0-0</f>
        <v>857.59049400000004</v>
      </c>
      <c r="V66" s="3">
        <f>566+(219-31)+(-1.4433+(-0.55845--0.07905))+40-0-0</f>
        <v>792.07730000000004</v>
      </c>
      <c r="W66" s="3">
        <f>588+(151.5-31)+(-1.79928+(-0.46359--0.09486))+20-0-0</f>
        <v>726.33199000000002</v>
      </c>
      <c r="X66" s="3">
        <f>580+(101.1-30)+(-1.479+(-0.257805--0.0765))+0-0-0</f>
        <v>649.43969500000003</v>
      </c>
      <c r="Y66" s="3">
        <f>533+(216-32)+(-0.27183+(-0.11016--0.01632))+0-0-0</f>
        <v>716.63432999999998</v>
      </c>
      <c r="Z66" s="3">
        <f>585+(260.6-33)+(-0.5967+(-0.265812--0.03366))+9.9-0-0</f>
        <v>821.67114800000002</v>
      </c>
      <c r="AA66" s="3">
        <f>585+(262.7-33)+(-1.1934+(-0.535908--0.06732))+37-0-0</f>
        <v>850.03801200000009</v>
      </c>
      <c r="AB66" s="3">
        <f>591+(271.9-33)+(-1.50705+(-0.693345--0.08415))+37-0-0</f>
        <v>864.78375499999993</v>
      </c>
      <c r="AC66" s="3">
        <f>584+(283.9-33)+(-0.89352+(-0.434367--0.05049))+37-0-0</f>
        <v>870.62260300000003</v>
      </c>
      <c r="AD66">
        <v>861.2</v>
      </c>
      <c r="AE66" s="3">
        <f>587+(270.2-33)+(0+(0-0))+37-0-0</f>
        <v>861.2</v>
      </c>
    </row>
    <row r="67" spans="1:31" s="2" customFormat="1" x14ac:dyDescent="0.3">
      <c r="A67">
        <v>90</v>
      </c>
      <c r="B67">
        <v>3</v>
      </c>
      <c r="C67">
        <v>5</v>
      </c>
      <c r="D67">
        <v>6</v>
      </c>
      <c r="E67">
        <v>1</v>
      </c>
      <c r="F67" s="3">
        <f>571+(270.1-32)+(-1.45605+(-0.688755--0.0816))+30.8-0-0</f>
        <v>837.83679499999994</v>
      </c>
      <c r="G67" s="3">
        <f>564+(253-31)+(-1.15056+(-0.51612--0.06324))+0-0-0</f>
        <v>784.39656000000002</v>
      </c>
      <c r="H67" s="3">
        <f>532+(253.8-31)+(-0.81396+(-0.388314--0.04743))+0-0-0</f>
        <v>753.64515599999993</v>
      </c>
      <c r="I67" s="3">
        <f>522+(242.9-31)+(-1.06488+(-0.495516--0.06324))+0-0-0</f>
        <v>732.40284399999996</v>
      </c>
      <c r="J67" s="3">
        <f>522+(223.6-32)+(0.26622+(0.114036-0.01632))+0-0-0</f>
        <v>713.96393599999999</v>
      </c>
      <c r="K67" s="3">
        <f>522+(164.7-32)+(-1.3311+(-0.419985--0.0816))+0-0-0</f>
        <v>653.03051500000004</v>
      </c>
      <c r="L67" s="3">
        <f>471+(162.5-32)+(-0.72063+(-0.248625--0.04896))+0-0-0</f>
        <v>600.57970499999999</v>
      </c>
      <c r="M67" s="3">
        <f>448+(187.5-32)+(1.1424+(0.478125-0.0816))+0-0-0</f>
        <v>605.03892499999995</v>
      </c>
      <c r="N67" s="3">
        <f>446+(207-32)+(-0.22746+(-0.10557--0.01632))+0-0-0</f>
        <v>620.68329000000006</v>
      </c>
      <c r="O67" s="3">
        <f>444+(246-32)+(0.45288+(0.25092-0.03264))+0-0-0</f>
        <v>658.67115999999999</v>
      </c>
      <c r="P67" s="3">
        <f>482+(249.5-32)+(-0.24582+(-0.127245--0.01632))+0-0-0</f>
        <v>699.14325499999995</v>
      </c>
      <c r="Q67" s="3">
        <f>491+(288.7-33)+(0.50082+(0.294474-0.03366))+4.8-0-0</f>
        <v>752.26163399999996</v>
      </c>
      <c r="R67" s="3">
        <f>497+(355.8-33)+(-0.50694+(-0.362916--0.03366))+6.7-0-0</f>
        <v>825.66380400000003</v>
      </c>
      <c r="S67" s="3">
        <f>537+(323.6-32)+(-1.36935+(-0.82518--0.0816))+20-0-0</f>
        <v>846.48707000000002</v>
      </c>
      <c r="T67" s="3">
        <f>563+(297.3-31)+(-1.43565+(-0.758115--0.07905))+0-0-0</f>
        <v>827.18528499999991</v>
      </c>
      <c r="U67" s="3">
        <f>558+(258.4-30)+(-0.85374+(-0.395352--0.0459))+0-0-0</f>
        <v>785.19680800000003</v>
      </c>
      <c r="V67" s="3">
        <f>570+(211.9-28)+(-0.5814+(-0.216138--0.02856))+0-0-0</f>
        <v>753.13102200000003</v>
      </c>
      <c r="W67" s="3">
        <f>559+(131.9-27)+(-0.57018+(-0.134538--0.02754))+0-0-0</f>
        <v>663.22282199999995</v>
      </c>
      <c r="X67" s="3">
        <f>568+(70.2-27)+(-1.73808+(-0.214812--0.08262))+0-0-0</f>
        <v>609.32972800000005</v>
      </c>
      <c r="Y67" s="3">
        <f>583+(94.9-28)+(-0.59466+(-0.096798--0.02856))+0-0-0</f>
        <v>649.23710199999994</v>
      </c>
      <c r="Z67" s="3">
        <f>614+(229.2-31)+(-0.62628+(-0.233784--0.03162))+0-0-0</f>
        <v>811.37155600000006</v>
      </c>
      <c r="AA67" s="3">
        <f>608+(214.1-31)+(-1.24032+(-0.436764--0.06324))+0-0-0</f>
        <v>789.48615600000005</v>
      </c>
      <c r="AB67" s="3">
        <f>585+(242.5-28)+(-1.49175+(-0.618375--0.0714))+0-0-0</f>
        <v>797.461275</v>
      </c>
      <c r="AC67" s="3">
        <f>567+(279.7-31)+(0+(0-0))+0-0-0</f>
        <v>815.7</v>
      </c>
      <c r="AD67">
        <v>806.3</v>
      </c>
      <c r="AE67" s="3">
        <f>615+(225.3-34)+(0+(0-0))+0-0-0</f>
        <v>806.3</v>
      </c>
    </row>
    <row r="68" spans="1:31" s="2" customFormat="1" x14ac:dyDescent="0.3">
      <c r="A68">
        <v>90</v>
      </c>
      <c r="B68">
        <v>3</v>
      </c>
      <c r="C68">
        <v>6</v>
      </c>
      <c r="D68">
        <v>7</v>
      </c>
      <c r="E68">
        <v>1</v>
      </c>
      <c r="F68" s="3">
        <f>546+(295.6-32)+(-1.11384+(-0.603024--0.06528))+0-0-0</f>
        <v>807.94841600000007</v>
      </c>
      <c r="G68" s="3">
        <f>547+(267-32)+(-0.55794+(-0.27234--0.03264))+0-0-0</f>
        <v>781.20236</v>
      </c>
      <c r="H68" s="3">
        <f>547+(235.2-32)+(-0.83691+(-0.359856--0.04896))+0-0-0</f>
        <v>749.0521940000001</v>
      </c>
      <c r="I68" s="3">
        <f>547+(223.4-31)+(0+(0-0))+0-0-0</f>
        <v>739.4</v>
      </c>
      <c r="J68" s="3">
        <f>547+(190.4-31)+(0.27897+(0.097104-0.01581))+0-0-0</f>
        <v>706.76026400000001</v>
      </c>
      <c r="K68" s="3">
        <f>531+(134.3-31)+(-1.08324+(-0.273972--0.06324))+0-0-0</f>
        <v>633.0060279999999</v>
      </c>
      <c r="L68" s="3">
        <f>478+(131.2-30)+(-0.48756+(-0.133824--0.0306))+0-0-0</f>
        <v>578.60921600000006</v>
      </c>
      <c r="M68" s="3">
        <f>455+(147.1-30)+(-0.4641+(-0.150042--0.0306))+0-0-0</f>
        <v>571.51645800000006</v>
      </c>
      <c r="N68" s="3">
        <f>496+(108.5-32)+(-0.75888+(-0.166005--0.04896))+0-0-0</f>
        <v>571.62407499999995</v>
      </c>
      <c r="O68" s="3">
        <f>517+(109.2-33)+(-0.52734+(-0.111384--0.03366))+0-0-0</f>
        <v>592.59493600000008</v>
      </c>
      <c r="P68" s="3">
        <f>517+(148.6-33)+(-0.79101+(-0.227358--0.05049))+0-0-0</f>
        <v>631.63212199999998</v>
      </c>
      <c r="Q68" s="3">
        <f>510+(199.8-33)+(-0.7803+(-0.305694--0.05049))+0-0-0</f>
        <v>675.76449600000001</v>
      </c>
      <c r="R68" s="3">
        <f>579+(189.7-33)+(-0.29529+(-0.096747--0.01683))+0-0-0</f>
        <v>735.324793</v>
      </c>
      <c r="S68" s="3">
        <f>583+(226.7-32)+(-0.29733+(-0.115617--0.01632))+0-0-0</f>
        <v>777.30337300000008</v>
      </c>
      <c r="T68" s="3">
        <f>584+(213.1-32)+(-1.19136+(-0.434724--0.06528))+0-0-0</f>
        <v>763.53919600000006</v>
      </c>
      <c r="U68" s="3">
        <f>587+(188.9-31)+(-0.29937+(-0.096339--0.01581))+0-0-0</f>
        <v>744.52010099999995</v>
      </c>
      <c r="V68" s="3">
        <f>594+(148.8-32)+(-0.30294+(-0.075888--0.01632))+0-0-0</f>
        <v>710.43749199999991</v>
      </c>
      <c r="W68" s="3">
        <f>611+(72.2-47)+(-1.24644+(-0.147288--0.09588))+0-0-0</f>
        <v>634.902152</v>
      </c>
      <c r="X68" s="3">
        <f>610+(33-55)+(-1.5555+(-0.08415--0.14025))+0-0-0</f>
        <v>586.50059999999996</v>
      </c>
      <c r="Y68" s="3">
        <f>550+(94.6-31)+(-0.8415+(-0.144738--0.04743))+10.4-0-0</f>
        <v>623.06119200000001</v>
      </c>
      <c r="Z68" s="3">
        <f>598+(180.7-33)+(-0.91494+(-0.276471--0.05049))+0-0-0</f>
        <v>744.559079</v>
      </c>
      <c r="AA68" s="3">
        <f>662+(156.4-33)+(-1.01286+(-0.239292--0.05049))+0-0-0</f>
        <v>784.19833799999992</v>
      </c>
      <c r="AB68" s="3">
        <f>662+(171-33)+(-1.35048+(-0.34884--0.06732))+0-0-0</f>
        <v>798.36800000000005</v>
      </c>
      <c r="AC68" s="3">
        <f>619+(206.8-32)+(-0.94707+(-0.316404--0.04896))+0-0-0</f>
        <v>792.58548599999995</v>
      </c>
      <c r="AD68">
        <v>787.4</v>
      </c>
      <c r="AE68" s="3">
        <f>662+(159.4-34)+(0+(0-0))+0-0-0</f>
        <v>787.4</v>
      </c>
    </row>
    <row r="69" spans="1:31" s="2" customFormat="1" x14ac:dyDescent="0.3">
      <c r="A69">
        <v>90</v>
      </c>
      <c r="B69">
        <v>3</v>
      </c>
      <c r="C69">
        <v>7</v>
      </c>
      <c r="D69">
        <v>1</v>
      </c>
      <c r="E69">
        <v>1</v>
      </c>
      <c r="F69" s="3">
        <f>592+(199.3-32)+(-1.20768+(-0.406572--0.06528))+0-0-0</f>
        <v>757.75102799999991</v>
      </c>
      <c r="G69" s="3">
        <f>563+(197.9-31)+(-1.14852+(-0.403716--0.06324))+0-0-0</f>
        <v>728.41100399999993</v>
      </c>
      <c r="H69" s="3">
        <f>587+(165.6-31)+(-0.59874+(-0.168912--0.03162))+0-0-0</f>
        <v>720.863968</v>
      </c>
      <c r="I69" s="3">
        <f>577+(142-31)+(-0.29427+(-0.07242--0.01581))+0-0-0</f>
        <v>687.64912000000004</v>
      </c>
      <c r="J69" s="3">
        <f>575+(118.8-30)+(-0.5865+(-0.121176--0.0306))+0-0-0</f>
        <v>663.1229239999999</v>
      </c>
      <c r="K69" s="3">
        <f>574+(93.8-30)+(-1.4637+(-0.23919--0.0765))+0-0-0</f>
        <v>636.17360999999994</v>
      </c>
      <c r="L69" s="3">
        <f>500+(100.9-30)+(0+(0-0))+0-0-0</f>
        <v>570.9</v>
      </c>
      <c r="M69" s="3">
        <f>496+(105.3-32)+(-0.50592+(-0.107406--0.03264))+0-0-0</f>
        <v>568.71931399999994</v>
      </c>
      <c r="N69" s="3">
        <f>543+(73.8-34)+(-1.10772+(-0.150552--0.06936))+0-0-0</f>
        <v>581.611088</v>
      </c>
      <c r="O69" s="3">
        <f>559+(96.1-33)+(-0.28509+(-0.049011--0.01683))+0-0-0</f>
        <v>621.78272900000002</v>
      </c>
      <c r="P69" s="3">
        <f>565+(121.4-33)+(0+(0-0))+0-0-0</f>
        <v>653.4</v>
      </c>
      <c r="Q69" s="3">
        <f>565+(171.9-33)+(0.5763+(0.175338-0.03366))+0-0-0</f>
        <v>704.61797799999999</v>
      </c>
      <c r="R69" s="3">
        <f>559+(238.1-33)+(-0.28509+(-0.121431--0.01683))+0-0-0</f>
        <v>763.71030900000005</v>
      </c>
      <c r="S69" s="3">
        <f>578+(257.7-33)+(0+(0-0))+0-0-0</f>
        <v>802.7</v>
      </c>
      <c r="T69" s="3">
        <f>632+(215.2-31)+(-0.32232+(-0.109752--0.01581))+0-0-0</f>
        <v>815.78373800000008</v>
      </c>
      <c r="U69" s="3">
        <f>633+(183.5-30)+(-1.61415+(-0.467925--0.0765))+0-0-0</f>
        <v>784.49442499999998</v>
      </c>
      <c r="V69" s="3">
        <f>636+(137.6-41)+(-0.97308+(-0.210528--0.06273))+0-0-0</f>
        <v>731.47912200000007</v>
      </c>
      <c r="W69" s="3">
        <f>646+(83.6-51)+(-2.30622+(-0.298452--0.18207))+0-0-0</f>
        <v>676.17739800000004</v>
      </c>
      <c r="X69" s="3">
        <f>564+(72.6-29)+(-2.01348+(-0.259182--0.10353))+0-0-0</f>
        <v>605.43086800000003</v>
      </c>
      <c r="Y69" s="3">
        <f>522+(155.8-30)+(-0.26622+(-0.079458--0.0153))+0-0-0</f>
        <v>647.46962199999996</v>
      </c>
      <c r="Z69" s="3">
        <f>593+(207-33)+(-0.60486+(-0.21114--0.03366))+0-0-0</f>
        <v>766.21766000000002</v>
      </c>
      <c r="AA69" s="3">
        <f>658+(186.5-34)+(-2.01348+(-0.57069--0.10404))+0-0-0</f>
        <v>808.01986999999997</v>
      </c>
      <c r="AB69" s="3">
        <f>658+(199.2-34)+(-1.34232+(-0.406368--0.06936))+0-0-0</f>
        <v>821.52067199999999</v>
      </c>
      <c r="AC69" s="3">
        <f>658+(197.1-33)+(-2.01348+(-0.603126--0.10098))+0-0-0</f>
        <v>819.58437400000003</v>
      </c>
      <c r="AD69">
        <v>811.8</v>
      </c>
      <c r="AE69" s="3">
        <f>660+(184.8-33)+(0+(0-0))+0-0-0</f>
        <v>811.8</v>
      </c>
    </row>
    <row r="70" spans="1:31" s="2" customFormat="1" x14ac:dyDescent="0.3">
      <c r="A70">
        <v>90</v>
      </c>
      <c r="B70">
        <v>3</v>
      </c>
      <c r="C70">
        <v>8</v>
      </c>
      <c r="D70">
        <v>2</v>
      </c>
      <c r="E70">
        <v>1</v>
      </c>
      <c r="F70" s="3">
        <f>650+(164.1-32)+(-0.663+(-0.167382--0.03264))+0-0-0</f>
        <v>781.30225800000005</v>
      </c>
      <c r="G70" s="3">
        <f>650+(137.9-35)+(-1.6575+(-0.351645--0.08925))+0-0-0</f>
        <v>750.98010499999998</v>
      </c>
      <c r="H70" s="3">
        <f>650+(116.1-39)+(-1.326+(-0.236844--0.07956))+0-0-0</f>
        <v>725.616716</v>
      </c>
      <c r="I70" s="3">
        <f>581+(148.9-31)+(-0.88893+(-0.227817--0.04743))+0-0-0</f>
        <v>697.83068300000002</v>
      </c>
      <c r="J70" s="3">
        <f>570+(126.9-31)+(-0.8721+(-0.194157--0.04743))+0-0-0</f>
        <v>664.88117299999999</v>
      </c>
      <c r="K70" s="3">
        <f>571+(79.5-36)+(-1.16484+(-0.16218--0.07344))+0-0-0</f>
        <v>613.24641999999994</v>
      </c>
      <c r="L70" s="3">
        <f>513+(77.6-32)+(-0.78489+(-0.118728--0.04896))+0-0-0</f>
        <v>557.74534200000005</v>
      </c>
      <c r="M70" s="3">
        <f>478+(125.6-31)+(-0.24378+(-0.064056--0.01581))+0-0-0</f>
        <v>572.30797400000006</v>
      </c>
      <c r="N70" s="3">
        <f>475+(150.9-29)+(0+(0-0))+0-0-0</f>
        <v>596.9</v>
      </c>
      <c r="O70" s="3">
        <f>496+(149.9-29)+(0.25296+(0.076449-0.01479))+0-0-0</f>
        <v>617.21461899999997</v>
      </c>
      <c r="P70" s="3">
        <f>550+(147.1-29)+(0.2805+(0.075021-0.01479))+0-0-0</f>
        <v>668.44073100000003</v>
      </c>
      <c r="Q70" s="3">
        <f>550+(184.7-30)+(0.2805+(0.094197-0.0153))+0-0-0</f>
        <v>705.05939699999999</v>
      </c>
      <c r="R70" s="3">
        <f>570+(216.7-31)+(0+(0-0))+17.8-0-0</f>
        <v>773.5</v>
      </c>
      <c r="S70" s="3">
        <f>581+(217.3-32)+(0+(0-0))+38.8-0-0</f>
        <v>805.09999999999991</v>
      </c>
      <c r="T70" s="3">
        <f>604+(231.5-31)+(-0.92412+(-0.354195--0.04743))+10-0-0</f>
        <v>813.26911500000006</v>
      </c>
      <c r="U70" s="3">
        <f>610+(200-30)+(0.6222+(0.204-0.0306))+0-0-0</f>
        <v>780.79560000000004</v>
      </c>
      <c r="V70" s="3">
        <f>612+(156.5-29)+(-0.62424+(-0.15963--0.02958))+0-0-0</f>
        <v>738.74571000000003</v>
      </c>
      <c r="W70" s="3">
        <f>622+(113.5-42)+(-2.22054+(-0.405195--0.14994))+0-0-0</f>
        <v>691.02420500000005</v>
      </c>
      <c r="X70" s="3">
        <f>560+(98.2-28)+(-1.428+(-0.25041--0.0714))+0-0-0</f>
        <v>628.5929900000001</v>
      </c>
      <c r="Y70" s="3">
        <f>530+(173.6-29)+(-0.8109+(-0.265608--0.04437))+0-0-0</f>
        <v>673.56786199999999</v>
      </c>
      <c r="Z70" s="3">
        <f>622+(212.8-32)+(-0.63444+(-0.217056--0.03264))+0-0-0</f>
        <v>801.98114399999997</v>
      </c>
      <c r="AA70" s="3">
        <f>665+(214.2-33)+(-1.69575+(-0.54621--0.08415))+0-0-0</f>
        <v>844.04219000000001</v>
      </c>
      <c r="AB70" s="3">
        <f>673+(212.3-33)+(-1.37292+(-0.433092--0.06732))+0-0-0</f>
        <v>850.56130799999994</v>
      </c>
      <c r="AC70" s="3">
        <f>667+(198.3-33)+(-1.36068+(-0.404532--0.06732))+0-0-0</f>
        <v>830.60210799999993</v>
      </c>
      <c r="AD70">
        <v>843.7</v>
      </c>
      <c r="AE70" s="3">
        <f>663+(213.7-33)+(0+(0-0))+0-0-0</f>
        <v>843.7</v>
      </c>
    </row>
    <row r="71" spans="1:31" s="2" customFormat="1" x14ac:dyDescent="0.3">
      <c r="A71">
        <v>90</v>
      </c>
      <c r="B71">
        <v>3</v>
      </c>
      <c r="C71">
        <v>9</v>
      </c>
      <c r="D71">
        <v>3</v>
      </c>
      <c r="E71">
        <v>1</v>
      </c>
      <c r="F71" s="3">
        <f>645+(168.4-33)+(-0.6579+(-0.171768--0.03366))+0-0-0</f>
        <v>779.60399199999995</v>
      </c>
      <c r="G71" s="3">
        <f>638+(146.1-36.1)+(-1.30152+(-0.298044--0.073644))+0-0-0</f>
        <v>746.47407999999996</v>
      </c>
      <c r="H71" s="3">
        <f>636+(131.2-39.8)+(-1.29744+(-0.267648--0.081192))+0-0-0</f>
        <v>725.91610400000002</v>
      </c>
      <c r="I71" s="3">
        <f>637+(114.8-44.4)+(-0.97461+(-0.175644--0.067932))+0-0-0</f>
        <v>706.317678</v>
      </c>
      <c r="J71" s="3">
        <f>635+(96.5-51)+(-0.32385+(-0.049215--0.02601))+0-0-0</f>
        <v>680.15294500000005</v>
      </c>
      <c r="K71" s="3">
        <f>580+(84.6-47.3)+(-0.8874+(-0.129438--0.072369))+0-0-0</f>
        <v>616.35553099999993</v>
      </c>
      <c r="L71" s="3">
        <f>492+(112.4-33)+(-0.50184+(-0.114648--0.03366))+0-0-0</f>
        <v>570.81717200000003</v>
      </c>
      <c r="M71" s="3">
        <f>489+(129.4-30)+(0+(0-0))+0-0-0</f>
        <v>588.4</v>
      </c>
      <c r="N71" s="3">
        <f>526+(119-30)+(0.53652+(0.12138-0.0306))+0-0-0</f>
        <v>615.62729999999999</v>
      </c>
      <c r="O71" s="3">
        <f>560+(119-32.5)+(0.2856+(0.06069-0.016575))+0-0-0</f>
        <v>646.82971499999996</v>
      </c>
      <c r="P71" s="3">
        <f>545+(171.4-30)+(0.27795+(0.087414-0.0153))+0-0-0</f>
        <v>686.75006399999995</v>
      </c>
      <c r="Q71" s="3">
        <f>547+(218.7-32)+(0.55794+(0.223074-0.03264))+0-0-0</f>
        <v>734.44837400000006</v>
      </c>
      <c r="R71" s="3">
        <f>602+(219.1-31)+(0.30702+(0.111741-0.01581))+0-0-0</f>
        <v>790.50295100000005</v>
      </c>
      <c r="S71" s="3">
        <f>605+(256.7-31)+(-0.30855+(-0.130917--0.01581))+0-0-0</f>
        <v>830.276343</v>
      </c>
      <c r="T71" s="3">
        <f>612+(259.6-30)+(-0.31212+(-0.132396--0.0153))+0-0-0</f>
        <v>841.17078400000003</v>
      </c>
      <c r="U71" s="3">
        <f>629+(234.1-29)+(-0.96237+(-0.358173--0.04437))+0-0-0</f>
        <v>832.82382700000005</v>
      </c>
      <c r="V71" s="3">
        <f>651+(198.8-33.3)+(-0.66402+(-0.202776--0.033966))+0-0-0</f>
        <v>815.66717000000006</v>
      </c>
      <c r="W71" s="3">
        <f>651+(146.5-40.4)+(-1.99206+(-0.44829--0.123624))+0-0-0</f>
        <v>754.78327400000001</v>
      </c>
      <c r="X71" s="3">
        <f>583+(116.5-29)+(-1.78398+(-0.35649--0.08874))+0-0-0</f>
        <v>668.44826999999998</v>
      </c>
      <c r="Y71" s="3">
        <f>545+(177.4-31)+(-1.1118+(-0.361896--0.06324))+0-0-0</f>
        <v>689.98954400000002</v>
      </c>
      <c r="Z71" s="3">
        <f>610+(243-33)+(-0.6222+(-0.24786--0.03366))+0-0-0</f>
        <v>819.16359999999997</v>
      </c>
      <c r="AA71" s="3">
        <f>664+(227.5-33)+(-2.03184+(-0.69615--0.10098))+0-0-0</f>
        <v>855.87298999999996</v>
      </c>
      <c r="AB71" s="3">
        <f>664+(243.1-33)+(-1.35456+(-0.495924--0.06732))+0-0-0</f>
        <v>872.31683599999997</v>
      </c>
      <c r="AC71" s="3">
        <f>664+(232.1-33)+(-0.33864+(-0.118371--0.01683))+0-0-0</f>
        <v>862.65981899999997</v>
      </c>
      <c r="AD71">
        <v>858.5</v>
      </c>
      <c r="AE71" s="3">
        <f>663+(229.5-34)+(0+(0-0))+0-0-0</f>
        <v>858.5</v>
      </c>
    </row>
    <row r="72" spans="1:31" s="2" customFormat="1" x14ac:dyDescent="0.3">
      <c r="A72">
        <v>90</v>
      </c>
      <c r="B72">
        <v>3</v>
      </c>
      <c r="C72">
        <v>10</v>
      </c>
      <c r="D72">
        <v>4</v>
      </c>
      <c r="E72">
        <v>1</v>
      </c>
      <c r="F72" s="3">
        <f>629+(219-32)+(-0.64158+(-0.22338--0.03264))+0-0-0</f>
        <v>815.16768000000002</v>
      </c>
      <c r="G72" s="3">
        <f>627+(199-29)+(-1.27908+(-0.40596--0.05916))+0-0-0</f>
        <v>795.37411999999995</v>
      </c>
      <c r="H72" s="3">
        <f>627+(169.5-29)+(-1.27908+(-0.34578--0.05916))+0-0-0</f>
        <v>765.93430000000001</v>
      </c>
      <c r="I72" s="3">
        <f>627+(146.9-29)+(-1.27908+(-0.299676--0.05916))+0-0-0</f>
        <v>743.380404</v>
      </c>
      <c r="J72" s="3">
        <f>617+(141-32)+(-0.31467+(-0.07191--0.01632))+0-0-0</f>
        <v>725.62973999999997</v>
      </c>
      <c r="K72" s="3">
        <f>524+(163.4-33)+(-2.13792+(-0.666672--0.13464))+0-0-0</f>
        <v>651.73004800000001</v>
      </c>
      <c r="L72" s="3">
        <f>503+(132.2-33)+(-0.51306+(-0.134844--0.03366))+0-0-0</f>
        <v>601.58575600000006</v>
      </c>
      <c r="M72" s="3">
        <f>500+(133.7-31)+(-0.51+(-0.136374--0.03162))+0-0-0</f>
        <v>602.0852460000001</v>
      </c>
      <c r="N72" s="3">
        <f>497+(142.1-30)+(0+(0-0))+0-0-0</f>
        <v>609.1</v>
      </c>
      <c r="O72" s="3">
        <f>529+(146.4-30)+(-0.53958+(-0.149328--0.0306))+3.2-0-0</f>
        <v>647.94169199999999</v>
      </c>
      <c r="P72" s="3">
        <f>612+(101.9-41.9)+(-0.93636+(-0.155907--0.064107))+4.9-0-0</f>
        <v>675.87184000000002</v>
      </c>
      <c r="Q72" s="3">
        <f>611+(161.1-33)+(-1.24644+(-0.328644--0.06732))+0-0-0</f>
        <v>737.59223600000007</v>
      </c>
      <c r="R72" s="3">
        <f>610+(224.3-34)+(-0.6222+(-0.228786--0.03468))+0-0-0</f>
        <v>799.4836939999999</v>
      </c>
      <c r="S72" s="3">
        <f>612+(251.3-32)+(-0.62424+(-0.256326--0.03264))+0-0-0</f>
        <v>830.45207399999993</v>
      </c>
      <c r="T72" s="3">
        <f>636+(222.4-32)+(0.32436+(0.113424-0.01632))+0-0-0</f>
        <v>826.82146399999999</v>
      </c>
      <c r="U72" s="3">
        <f>642+(203.2-29)+(-0.65484+(-0.207264--0.02958))+0-0-0</f>
        <v>815.36747600000001</v>
      </c>
      <c r="V72" s="3">
        <f>657+(165.7-37.7)+(-2.34549+(-0.591549--0.134589))+14.5-0-0</f>
        <v>796.69754999999998</v>
      </c>
      <c r="W72" s="3">
        <f>647+(158.8-48)+(-0.65994+(-0.161976--0.04896))+62.4-0-0</f>
        <v>819.42704399999991</v>
      </c>
      <c r="X72" s="3">
        <f>558+(138.9-32.6)+(-1.4229+(-0.354195--0.08313))+0-0-0</f>
        <v>662.60603499999991</v>
      </c>
      <c r="Y72" s="3">
        <f>542+(188.6-30)+(0+(0-0))+0-0-0</f>
        <v>700.6</v>
      </c>
      <c r="Z72" s="3">
        <f>608+(228.7-31)+(0+(0-0))+0-0-0</f>
        <v>805.7</v>
      </c>
      <c r="AA72" s="3">
        <f>682+(198.1-32)+(-1.39128+(-0.404124--0.06528))+0-0-0</f>
        <v>846.36987599999998</v>
      </c>
      <c r="AB72" s="3">
        <f>667+(221.7-33)+(0+(0-0))+0-0-0</f>
        <v>855.7</v>
      </c>
      <c r="AC72" s="3">
        <f>667+(210.5-34)+(-1.36068+(-0.42942--0.06936))+0-0-0</f>
        <v>841.77926000000002</v>
      </c>
      <c r="AD72">
        <v>861</v>
      </c>
      <c r="AE72" s="3">
        <f>683+(210-32)+(0+(0-0))+0-0-0</f>
        <v>861</v>
      </c>
    </row>
    <row r="73" spans="1:31" s="2" customFormat="1" x14ac:dyDescent="0.3">
      <c r="A73">
        <v>90</v>
      </c>
      <c r="B73">
        <v>3</v>
      </c>
      <c r="C73">
        <v>11</v>
      </c>
      <c r="D73">
        <v>5</v>
      </c>
      <c r="E73">
        <v>1</v>
      </c>
      <c r="F73" s="3">
        <f>654+(199.8-36)+(-1.33416+(-0.407592--0.07344))+0-0-0</f>
        <v>816.13168799999994</v>
      </c>
      <c r="G73" s="3">
        <f>652+(178.4-38)+(-1.6626+(-0.45492--0.0969))+0-0-0</f>
        <v>790.37937999999997</v>
      </c>
      <c r="H73" s="3">
        <f>652+(163.9-41)+(-0.33252+(-0.083589--0.02091))+0-0-0</f>
        <v>774.50480099999993</v>
      </c>
      <c r="I73" s="3">
        <f>652+(144.6-51)+(0+(0-0))+0-0-0</f>
        <v>745.6</v>
      </c>
      <c r="J73" s="3">
        <f>638+(129-32)+(-0.65076+(-0.13158--0.03264))+0-0-0</f>
        <v>734.25030000000004</v>
      </c>
      <c r="K73" s="3">
        <f>477+(183.6-32)+(-1.21635+(-0.46818--0.0816))+15.8-0-0</f>
        <v>642.79706999999996</v>
      </c>
      <c r="L73" s="3">
        <f>449+(163.2-33)+(0.45798+(0.166464-0.03366))+29-0-0</f>
        <v>608.79078400000003</v>
      </c>
      <c r="M73" s="3">
        <f>446+(143.7-33)+(-0.22746+(-0.073287--0.01683))+34-0-0</f>
        <v>590.41608300000007</v>
      </c>
      <c r="N73" s="3">
        <f>448+(177.8-32)+(0.68544+(0.272034-0.04896))+31.5-0-0</f>
        <v>626.20851399999992</v>
      </c>
      <c r="O73" s="3">
        <f>478+(174.4-32)+(-0.24378+(-0.088944--0.01632))+7.6-0-0</f>
        <v>627.68359599999997</v>
      </c>
      <c r="P73" s="3">
        <f>517+(186.2-31)+(0+(0-0))+0-0-0</f>
        <v>672.2</v>
      </c>
      <c r="Q73" s="3">
        <f>586+(159.4-31)+(0+(0-0))+0-0-0</f>
        <v>714.4</v>
      </c>
      <c r="R73" s="3">
        <f>598+(197.8-32)+(0.30498+(0.100878-0.01632))+0-0-0</f>
        <v>764.18953799999997</v>
      </c>
      <c r="S73" s="3">
        <f>603+(229.3-32)+(-1.23012+(-0.467772--0.06528))+0-0-0</f>
        <v>798.66738799999996</v>
      </c>
      <c r="T73" s="3">
        <f>618+(232.8-32)+(-1.26072+(-0.474912--0.06528))+0-0-0</f>
        <v>817.12964799999997</v>
      </c>
      <c r="U73" s="3">
        <f>622+(194.6-35)+(-0.63444+(-0.198492--0.0357))+0-0-0</f>
        <v>780.80276800000001</v>
      </c>
      <c r="V73" s="3">
        <f>634+(163.7-46)+(-1.29336+(-0.333948--0.09384))+0-0-0</f>
        <v>750.16653200000007</v>
      </c>
      <c r="W73" s="3">
        <f>647+(115.9-54.8)+(-1.64985+(-0.295545--0.13974))+0-0-0</f>
        <v>706.29434500000002</v>
      </c>
      <c r="X73" s="3">
        <f>662+(94-89.6)+(-3.3762+(-0.4794--0.45696))+0-0-0</f>
        <v>663.00135999999998</v>
      </c>
      <c r="Y73" s="3">
        <f>663+(90.1-63)+(-1.01439+(-0.137853--0.09639))+0-0-0</f>
        <v>689.04414700000007</v>
      </c>
      <c r="Z73" s="3">
        <f>664+(169.6-35)+(0.33864+(0.086496-0.01785))+0-0-0</f>
        <v>799.00728600000002</v>
      </c>
      <c r="AA73" s="3">
        <f>665+(196.9-30)+(-1.3566+(-0.401676--0.0612))+0-0-0</f>
        <v>830.20292399999994</v>
      </c>
      <c r="AB73" s="3">
        <f>666+(221.3-30)+(-0.67932+(-0.225726--0.0306))+0-0-0</f>
        <v>856.42555399999992</v>
      </c>
      <c r="AC73" s="3">
        <f>669+(206-30)+(-1.70595+(-0.5253--0.0765))+0-0-0</f>
        <v>842.84524999999996</v>
      </c>
      <c r="AD73">
        <v>826.4</v>
      </c>
      <c r="AE73" s="3">
        <f>663+(196.4-33)+(0+(0-0))+0-0-0</f>
        <v>826.4</v>
      </c>
    </row>
    <row r="74" spans="1:31" s="2" customFormat="1" x14ac:dyDescent="0.3">
      <c r="A74">
        <v>90</v>
      </c>
      <c r="B74">
        <v>3</v>
      </c>
      <c r="C74">
        <v>12</v>
      </c>
      <c r="D74">
        <v>6</v>
      </c>
      <c r="E74">
        <v>1</v>
      </c>
      <c r="F74" s="3">
        <f>660+(179.9-32.2)+(-1.683+(-0.458745--0.08211))+0-0-0</f>
        <v>805.64036500000009</v>
      </c>
      <c r="G74" s="3">
        <f>660+(158.3-36.4)+(-1.683+(-0.403665--0.09282))+0-0-0</f>
        <v>779.90615500000001</v>
      </c>
      <c r="H74" s="3">
        <f>659+(138.4-33.1)+(0.33609+(0.070584-0.016881))+0-0-0</f>
        <v>764.68979300000001</v>
      </c>
      <c r="I74" s="3">
        <f>659+(120.4-38.9)+(-0.33609+(-0.061404--0.019839))+0-0-0</f>
        <v>740.122345</v>
      </c>
      <c r="J74" s="3">
        <f>654+(104.1-54.7)+(-2.33478+(-0.371637--0.195279))+0-0-0</f>
        <v>700.88886200000002</v>
      </c>
      <c r="K74" s="3">
        <f>655+(68-99.9)+(-3.00645+(-0.31212--0.458541))+0-0-0</f>
        <v>620.23997099999997</v>
      </c>
      <c r="L74" s="3">
        <f>654+(71-137.4)+(-1.6677+(-0.18105--0.35037))+0-0-0</f>
        <v>586.10162000000003</v>
      </c>
      <c r="M74" s="3">
        <f>634+(78-123.5)+(0.97002+(0.11934-0.188955))+0-0-0</f>
        <v>589.40040499999998</v>
      </c>
      <c r="N74" s="3">
        <f>614+(76-91.7)+(0.93942+(0.11628-0.140301))+0-0-0</f>
        <v>599.21539899999993</v>
      </c>
      <c r="O74" s="3">
        <f>612+(83.5-74.5)+(1.24848+(0.17034-0.15198))+0-0-0</f>
        <v>622.26684</v>
      </c>
      <c r="P74" s="3">
        <f>614+(114.8-56.3)+(0.93942+(0.175644-0.086139))+0-0-0</f>
        <v>673.52892499999996</v>
      </c>
      <c r="Q74" s="3">
        <f>628+(101.8-49.6)+(0+(0-0))+0-0-0</f>
        <v>680.2</v>
      </c>
      <c r="R74" s="3">
        <f>623+(181-36)+(-0.31773+(-0.09231--0.01836))+0-0-0</f>
        <v>767.60832000000005</v>
      </c>
      <c r="S74" s="3">
        <f>624+(216.9-33)+(-1.5912+(-0.553095--0.08415))+0-0-0</f>
        <v>805.83985499999994</v>
      </c>
      <c r="T74" s="3">
        <f>627+(226.2-33)+(-1.91862+(-0.692172--0.10098))+0-0-0</f>
        <v>817.69018800000003</v>
      </c>
      <c r="U74" s="3">
        <f>566+(269.3-32)+(-0.86598+(-0.412029--0.04896))+0-0-0</f>
        <v>802.07095099999992</v>
      </c>
      <c r="V74" s="3">
        <f>567+(224.9-31)+(0+(0-0))+0-0-0</f>
        <v>760.9</v>
      </c>
      <c r="W74" s="3">
        <f>593+(155.6-37)+(0.60486+(0.158712-0.03774))+0-0-0</f>
        <v>712.32583199999999</v>
      </c>
      <c r="X74" s="3">
        <f>575+(97.8-47.7)+(-0.87975+(-0.149634--0.072981))+0-0-0</f>
        <v>624.143597</v>
      </c>
      <c r="Y74" s="3">
        <f>524+(164.3-30)+(0.26724+(0.083793-0.0153))+0-0-0</f>
        <v>658.63573299999996</v>
      </c>
      <c r="Z74" s="3">
        <f>568+(232.4-31)+(-0.86904+(-0.355572--0.04743))+0-0-0</f>
        <v>768.22281799999996</v>
      </c>
      <c r="AA74" s="3">
        <f>665+(182.4-35.2)+(-0.6783+(-0.186048--0.035904))+0-0-0</f>
        <v>811.37155600000006</v>
      </c>
      <c r="AB74" s="3">
        <f>669+(192.2-35.2)+(-1.02357+(-0.294066--0.053856))+0-0-0</f>
        <v>824.73622</v>
      </c>
      <c r="AC74" s="3">
        <f>666+(188.4-35.2)+(0+(0-0))+0-0-0</f>
        <v>819.2</v>
      </c>
      <c r="AD74">
        <v>816.8</v>
      </c>
      <c r="AE74" s="3">
        <f>667+(185.8-36)+(0+(0-0))+0-0-0</f>
        <v>816.8</v>
      </c>
    </row>
    <row r="75" spans="1:31" s="2" customFormat="1" x14ac:dyDescent="0.3">
      <c r="A75">
        <v>90</v>
      </c>
      <c r="B75">
        <v>3</v>
      </c>
      <c r="C75">
        <v>13</v>
      </c>
      <c r="D75">
        <v>7</v>
      </c>
      <c r="E75">
        <v>1</v>
      </c>
      <c r="F75" s="3">
        <f>604+(203.2-33.2)+(-0.61608+(-0.207264--0.033864))+0-0-0</f>
        <v>773.21051999999997</v>
      </c>
      <c r="G75" s="3">
        <f>537+(221-33.2)+(-1.09548+(-0.45084--0.067728))+0-0-0</f>
        <v>723.32140799999991</v>
      </c>
      <c r="H75" s="3">
        <f>518+(209.9-30)+(-1.05672+(-0.428196--0.0612))+0-0-0</f>
        <v>696.47628399999996</v>
      </c>
      <c r="I75" s="3">
        <f>518+(189.7-30)+(0.26418+(0.096747-0.0153))+0-0-0</f>
        <v>678.04562700000008</v>
      </c>
      <c r="J75" s="3">
        <f>515+(172.6-30)+(-0.5253+(-0.176052--0.0306))+0-0-0</f>
        <v>656.92924800000003</v>
      </c>
      <c r="K75" s="3">
        <f>482+(142.6-30)+(-0.49164+(-0.145452--0.0306))+12.5-0-0</f>
        <v>606.49350800000002</v>
      </c>
      <c r="L75" s="3">
        <f>439+(122.6-29)+(-1.11945+(-0.31263--0.07395))+15-0-0</f>
        <v>546.24187000000006</v>
      </c>
      <c r="M75" s="3">
        <f>436+(116.1-27)+(0+(0-0))+15-0-0</f>
        <v>540.1</v>
      </c>
      <c r="N75" s="3">
        <f>434+(130.7-26)+(0.66402+(0.199971-0.03978))+15-0-0</f>
        <v>554.52421100000004</v>
      </c>
      <c r="O75" s="3">
        <f>433+(157.7-26)+(0.66249+(0.241281-0.03978))+15-0-0</f>
        <v>580.5639910000001</v>
      </c>
      <c r="P75" s="3">
        <f>433+(201.7-29)+(1.10415+(0.514335-0.07395))+0.8-0-0</f>
        <v>608.044535</v>
      </c>
      <c r="Q75" s="3">
        <f>497+(187.4-29)+(0.76041+(0.286722-0.04437))+0-0-0</f>
        <v>656.40276199999994</v>
      </c>
      <c r="R75" s="3">
        <f>502+(155.9-0)+(-0.51204+(-0.159018-0))+0-0-0</f>
        <v>657.22894199999996</v>
      </c>
      <c r="S75" s="3">
        <f>503+(192.5-32)+(-0.25653+(-0.098175--0.01632))+0-0-0</f>
        <v>663.16161499999998</v>
      </c>
      <c r="T75" s="3">
        <f>510+(201.7-33)+(0+(0-0))+0-0-0</f>
        <v>678.7</v>
      </c>
      <c r="U75" s="3">
        <f>511+(183.9-32)+(0+(0-0))+0-0-0</f>
        <v>662.9</v>
      </c>
      <c r="V75" s="3">
        <f>535+(147.5-32)+(-0.81855+(-0.225675--0.04896))+0-0-0</f>
        <v>649.50473499999998</v>
      </c>
      <c r="W75" s="3">
        <f>539+(89.5-30)+(-1.37445+(-0.228225--0.0765))+0-0-0</f>
        <v>596.97382500000003</v>
      </c>
      <c r="X75" s="3">
        <f>542+(26.7-31.5)+(-1.3821+(-0.068085--0.080325))+0-0-0</f>
        <v>535.83014000000003</v>
      </c>
      <c r="Y75" s="3">
        <f>542+(50.3-30)+(-0.55284+(-0.051306--0.0306))+0-0-0</f>
        <v>561.72645399999999</v>
      </c>
      <c r="Z75" s="3">
        <f>542+(167.2-32)+(-0.55284+(-0.170544--0.03264))+0-0-0</f>
        <v>676.50925600000005</v>
      </c>
      <c r="AA75" s="3">
        <f>526+(230.9-33)+(-1.07304+(-0.471036--0.06732))+0-0-0</f>
        <v>722.42324399999995</v>
      </c>
      <c r="AB75" s="3">
        <f>543+(227.1-33)+(-1.10772+(-0.463284--0.06732))+0-0-0</f>
        <v>735.596316</v>
      </c>
      <c r="AC75" s="3">
        <f>544+(222.4-33)+(-0.55488+(-0.226848--0.03366))+0-0-0</f>
        <v>732.65193199999999</v>
      </c>
      <c r="AD75">
        <v>704.3</v>
      </c>
      <c r="AE75" s="3">
        <f>513+(224.3-33)+(0+(0-0))+0-0-0</f>
        <v>704.3</v>
      </c>
    </row>
    <row r="76" spans="1:31" s="2" customFormat="1" x14ac:dyDescent="0.3">
      <c r="A76">
        <v>90</v>
      </c>
      <c r="B76">
        <v>3</v>
      </c>
      <c r="C76">
        <v>14</v>
      </c>
      <c r="D76">
        <v>1</v>
      </c>
      <c r="E76">
        <v>4</v>
      </c>
      <c r="F76" s="3">
        <f>527+(303.3-31)+(-1.07508+(-0.618732--0.06324))+0-0-0</f>
        <v>797.66942799999993</v>
      </c>
      <c r="G76" s="3">
        <f>527+(277.8-30)+(0+(0-0))+0-0-0</f>
        <v>774.8</v>
      </c>
      <c r="H76" s="3">
        <f>527+(244-29)+(-0.80631+(-0.37332--0.04437))+0-0-0</f>
        <v>740.86473999999998</v>
      </c>
      <c r="I76" s="3">
        <f>526+(215.7-30)+(-0.53652+(-0.220014--0.0306))+0-0-0</f>
        <v>710.97406599999999</v>
      </c>
      <c r="J76" s="3">
        <f>527+(184.3-32)+(0.26877+(0.093993-0.01632))+0-0-0</f>
        <v>679.64644299999998</v>
      </c>
      <c r="K76" s="3">
        <f>510+(112.8-39.7)+(-1.5606+(-0.345168--0.121482))+0-0-0</f>
        <v>581.31571400000007</v>
      </c>
      <c r="L76" s="3">
        <f>449+(143.3-26)+(-0.68697+(-0.219249--0.03978))+0-0-0</f>
        <v>565.43356099999994</v>
      </c>
      <c r="M76" s="3">
        <f>427+(158-28)+(0.43554+(0.16116-0.02856))+0-0-0</f>
        <v>557.56813999999997</v>
      </c>
      <c r="N76" s="3">
        <f>424+(176.3-29)+(-1.0812+(-0.449565--0.07395))+0-0-0</f>
        <v>569.84318499999995</v>
      </c>
      <c r="O76" s="3">
        <f>423+(196.4-30)+(-0.21573+(-0.100164--0.0153))+0-0-0</f>
        <v>589.09940599999993</v>
      </c>
      <c r="P76" s="3">
        <f>457+(219-31)+(0+(0-0))+0-0-0</f>
        <v>645</v>
      </c>
      <c r="Q76" s="3">
        <f>505+(206.4-32)+(0.25755+(0.105264-0.01632))+0-0-0</f>
        <v>679.74649399999998</v>
      </c>
      <c r="R76" s="3">
        <f>503+(277.1-32)+(0+(0-0))+0-0-0</f>
        <v>748.1</v>
      </c>
      <c r="S76" s="3">
        <f>503+(327.9-32)+(-0.25653+(-0.167229--0.01632))+0-0-0</f>
        <v>798.49256100000002</v>
      </c>
      <c r="T76" s="3">
        <f>518+(325.8-32)+(-1.3209+(-0.83079--0.0816))+0-0-0</f>
        <v>809.7299099999999</v>
      </c>
      <c r="U76" s="3">
        <f>522+(317.1-31)+(-0.53244+(-0.323442--0.03162))+0-0-0</f>
        <v>807.27573800000005</v>
      </c>
      <c r="V76" s="3">
        <f>529+(281.4-30)+(-1.34895+(-0.71757--0.0765))+0-0-0</f>
        <v>778.40998000000002</v>
      </c>
      <c r="W76" s="3">
        <f>528+(236.8-29)+(-1.07712+(-0.483072--0.05916))+0-0-0</f>
        <v>734.29896799999995</v>
      </c>
      <c r="X76" s="3">
        <f>489+(178.3-29)+(-1.49634+(-0.545598--0.08874))+0-0-0</f>
        <v>636.34680199999991</v>
      </c>
      <c r="Y76" s="3">
        <f>489+(213.9-30)+(-0.74817+(-0.327267--0.0459))+0-0-0</f>
        <v>671.87046299999997</v>
      </c>
      <c r="Z76" s="3">
        <f>551+(293.3-32)+(-0.56202+(-0.299166--0.03264))+0-0-0</f>
        <v>811.47145399999999</v>
      </c>
      <c r="AA76" s="3">
        <f>562+(328.4-32)+(-1.14648+(-0.669936--0.06528))+0-0-0</f>
        <v>856.648864</v>
      </c>
      <c r="AB76" s="3">
        <f>563+(329.4-33)+(-0.86139+(-0.503982--0.05049))+0-0-0</f>
        <v>858.08511799999997</v>
      </c>
      <c r="AC76" s="3">
        <f>564+(335.2-33)+(-0.86292+(-0.512856--0.05049))+0-0-0</f>
        <v>864.87471400000004</v>
      </c>
      <c r="AD76">
        <v>859.1</v>
      </c>
      <c r="AE76" s="3">
        <f>562+(330.1-33)+(0+(0-0))+0-0-0</f>
        <v>859.1</v>
      </c>
    </row>
    <row r="77" spans="1:31" s="2" customFormat="1" x14ac:dyDescent="0.3">
      <c r="A77">
        <v>90</v>
      </c>
      <c r="B77">
        <v>3</v>
      </c>
      <c r="C77">
        <v>15</v>
      </c>
      <c r="D77">
        <v>2</v>
      </c>
      <c r="E77">
        <v>4</v>
      </c>
      <c r="F77" s="3">
        <f>531+(303.2-33)+(-1.08324+(-0.618528--0.06732))+0-0-0</f>
        <v>799.56555200000003</v>
      </c>
      <c r="G77" s="3">
        <f>504+(303.6-33)+(0.25704+(0.154836-0.01683))+0-0-0</f>
        <v>774.995046</v>
      </c>
      <c r="H77" s="3">
        <f>502+(276.1-33)+(-0.51204+(-0.281622--0.03366))+0-0-0</f>
        <v>744.33999800000004</v>
      </c>
      <c r="I77" s="3">
        <f>500+(249-31)+(0+(0-0))+0-0-0</f>
        <v>718</v>
      </c>
      <c r="J77" s="3">
        <f>496+(220.5-30)+(0.75888+(0.337365-0.0459))+0-0-0</f>
        <v>687.55034499999999</v>
      </c>
      <c r="K77" s="3">
        <f>488+(170.3-29)+(-1.49328+(-0.521118--0.08874))+0-0-0</f>
        <v>627.37434199999996</v>
      </c>
      <c r="L77" s="3">
        <f>431+(181.9-30)+(-0.43962+(-0.185538--0.0306))+0-0-0</f>
        <v>582.30544199999997</v>
      </c>
      <c r="M77" s="3">
        <f>429+(174.6-31)+(0.21879+(0.089046-0.01581))+0-0-0</f>
        <v>572.89202599999999</v>
      </c>
      <c r="N77" s="3">
        <f>428+(185.6-32)+(0+(0-0))+0-0-0</f>
        <v>581.6</v>
      </c>
      <c r="O77" s="3">
        <f>428+(214.4-32)+(-0.43656+(-0.218688--0.03264))+0-0-0</f>
        <v>609.77739199999996</v>
      </c>
      <c r="P77" s="3">
        <f>463+(218.1-30)+(0+(0-0))+0-0-0</f>
        <v>651.1</v>
      </c>
      <c r="Q77" s="3">
        <f>497+(245.7-30)+(0.25347+(0.125307-0.0153))+0-0-0</f>
        <v>713.06347700000003</v>
      </c>
      <c r="R77" s="3">
        <f>489+(322.8-31)+(0.49878+(0.329256-0.03162))+0-0-0</f>
        <v>781.59641599999998</v>
      </c>
      <c r="S77" s="3">
        <f>490+(374.3-32)+(-0.2499+(-0.190893--0.01632))+0-0-0</f>
        <v>831.87552699999992</v>
      </c>
      <c r="T77" s="3">
        <f>494+(396.1-32)+(0.25194+(0.202011-0.01632))+0-0-0</f>
        <v>858.53763100000003</v>
      </c>
      <c r="U77" s="3">
        <f>505+(370.6-33)+(-0.5151+(-0.378012--0.03366))+0-0-0</f>
        <v>841.74054799999999</v>
      </c>
      <c r="V77" s="3">
        <f>511+(323.3-33)+(-0.52122+(-0.329766--0.03366))+0-0-0</f>
        <v>800.48267399999997</v>
      </c>
      <c r="W77" s="3">
        <f>526+(238-33)+(-1.3413+(-0.6069--0.08415))+0-0-0</f>
        <v>729.13594999999998</v>
      </c>
      <c r="X77" s="3">
        <f>573+(127.1-38.8)+(-2.04561+(-0.453747--0.138516))+0-0-0</f>
        <v>658.9391589999999</v>
      </c>
      <c r="Y77" s="3">
        <f>527+(206.9-33)+(-0.53754+(-0.211038--0.03366))+0-0-0</f>
        <v>700.18508199999997</v>
      </c>
      <c r="Z77" s="3">
        <f>619+(252.4-33)+(0.31569+(0.128724-0.01683))+0-0-0</f>
        <v>838.827584</v>
      </c>
      <c r="AA77" s="3">
        <f>669+(240.1-33)+(-1.02357+(-0.367353--0.05049))+0-0-0</f>
        <v>874.75956700000006</v>
      </c>
      <c r="AB77" s="3">
        <f>670+(271.2-33)+(-1.3668+(-0.553248--0.06732))+0-0-0</f>
        <v>906.34727200000009</v>
      </c>
      <c r="AC77" s="3">
        <f>672+(256.5-32)+(-1.7136+(-0.654075--0.0816))+0-0-0</f>
        <v>894.21392500000002</v>
      </c>
      <c r="AD77">
        <v>882.9</v>
      </c>
      <c r="AE77" s="3">
        <f>670+(245.9-33)+(0+(0-0))+0-0-0</f>
        <v>882.9</v>
      </c>
    </row>
    <row r="78" spans="1:31" s="2" customFormat="1" x14ac:dyDescent="0.3">
      <c r="A78">
        <v>90</v>
      </c>
      <c r="B78">
        <v>3</v>
      </c>
      <c r="C78">
        <v>16</v>
      </c>
      <c r="D78">
        <v>3</v>
      </c>
      <c r="E78">
        <v>1</v>
      </c>
      <c r="F78" s="3">
        <f>631+(253.8-32)+(-0.96543+(-0.388314--0.04896))+0-0-0</f>
        <v>851.49521599999991</v>
      </c>
      <c r="G78" s="3">
        <f>611+(255.4-32)+(-0.62322+(-0.260508--0.03264))+0-0-0</f>
        <v>833.54891199999997</v>
      </c>
      <c r="H78" s="3">
        <f>611+(229.4-32)+(-0.62322+(-0.233988--0.03264))+0-0-0</f>
        <v>807.57543199999998</v>
      </c>
      <c r="I78" s="3">
        <f>611+(210.3-32.3)+(0.31161+(0.107253-0.016473))+0-0-0</f>
        <v>789.40238999999997</v>
      </c>
      <c r="J78" s="3">
        <f>609+(192-38.1)+(-1.55295+(-0.4896--0.097155))+0-0-0</f>
        <v>760.95460500000002</v>
      </c>
      <c r="K78" s="3">
        <f>597+(150.7-50.9)+(-2.13129+(-0.537999--0.181713))+0-0-0</f>
        <v>694.31242399999996</v>
      </c>
      <c r="L78" s="3">
        <f>452+(213.1-33)+(0.46104+(0.217362-0.03366))+0-0-0</f>
        <v>632.74474199999997</v>
      </c>
      <c r="M78" s="3">
        <f>452+(226.9-30)+(0+(0-0))+0-0-0</f>
        <v>648.9</v>
      </c>
      <c r="N78" s="3">
        <f>451+(241.9-30)+(0+(0-0))+0-0-0</f>
        <v>662.9</v>
      </c>
      <c r="O78" s="3">
        <f>485+(233.4-30)+(0.24735+(0.119034-0.0153))+0-0-0</f>
        <v>688.75108399999999</v>
      </c>
      <c r="P78" s="3">
        <f>560+(206.8-29)+(0.5712+(0.210936-0.02958))+0-0-0</f>
        <v>738.55255599999998</v>
      </c>
      <c r="Q78" s="3">
        <f>577+(264.3-29)+(0.29427+(0.134793-0.01479))+0-0-0</f>
        <v>812.71427299999993</v>
      </c>
      <c r="R78" s="3">
        <f>585+(316.4-33)+(0.29835+(0.161364-0.01683))+0-0-0</f>
        <v>868.84288400000003</v>
      </c>
      <c r="S78" s="3">
        <f>608+(327-33)+(-0.62016+(-0.33354--0.03366))+0-0-0</f>
        <v>901.07996000000003</v>
      </c>
      <c r="T78" s="3">
        <f>602+(334.1-33)+(-0.30702+(-0.170391--0.01683))+0-0-0</f>
        <v>902.63941899999998</v>
      </c>
      <c r="U78" s="3">
        <f>590+(305.8-31)+(-1.2036+(-0.623832--0.06324))+0-0-0</f>
        <v>863.03580799999997</v>
      </c>
      <c r="V78" s="3">
        <f>608+(258.8-29.8)+(-2.17056+(-0.923916--0.106386))+0-0-0</f>
        <v>834.01190999999994</v>
      </c>
      <c r="W78" s="3">
        <f>644+(191.8-41.8)+(-0.98532+(-0.293454--0.063954))+0-0-0</f>
        <v>792.78517999999997</v>
      </c>
      <c r="X78" s="3">
        <f>647+(107.6-54)+(-1.64985+(-0.27438--0.1377))+0-0-0</f>
        <v>698.81347000000005</v>
      </c>
      <c r="Y78" s="3">
        <f>594+(179.4-30)+(-0.90882+(-0.274482--0.0459))+0-0-0</f>
        <v>742.26259800000003</v>
      </c>
      <c r="Z78" s="3">
        <f>632+(265.4-32)+(-0.64464+(-0.270708--0.03264))+0-0-0</f>
        <v>864.517292</v>
      </c>
      <c r="AA78" s="3">
        <f>651+(289.7-33)+(-1.32804+(-0.590988--0.06732))+0-0-0</f>
        <v>905.84829200000001</v>
      </c>
      <c r="AB78" s="3">
        <f>651+(312.7-33)+(-1.32804+(-0.637908--0.06732))+0-0-0</f>
        <v>928.80137200000001</v>
      </c>
      <c r="AC78" s="3">
        <f>640+(269.7-34)+(-0.9792+(-0.412641--0.05202))+0-0-0</f>
        <v>874.36017900000002</v>
      </c>
      <c r="AD78">
        <v>907.3</v>
      </c>
      <c r="AE78" s="3">
        <f>648+(291.3-32)+(0+(0-0))+0-0-0</f>
        <v>907.3</v>
      </c>
    </row>
    <row r="79" spans="1:31" s="2" customFormat="1" x14ac:dyDescent="0.3">
      <c r="A79">
        <v>90</v>
      </c>
      <c r="B79">
        <v>3</v>
      </c>
      <c r="C79">
        <v>17</v>
      </c>
      <c r="D79">
        <v>4</v>
      </c>
      <c r="E79">
        <v>1</v>
      </c>
      <c r="F79" s="3">
        <f>629+(260.7-34)+(-1.60395+(-0.664785--0.0867))+0-0-0</f>
        <v>853.517965</v>
      </c>
      <c r="G79" s="3">
        <f>594+(264.2-32)+(-1.21176+(-0.538968--0.06528))+0-0-0</f>
        <v>824.51455200000009</v>
      </c>
      <c r="H79" s="3">
        <f>554+(286.7-30)+(-0.56508+(-0.292434--0.0306))+0-0-0</f>
        <v>809.87308600000006</v>
      </c>
      <c r="I79" s="3">
        <f>554+(260.1-30)+(-1.4127+(-0.663255--0.0765))+0-0-0</f>
        <v>782.10054500000001</v>
      </c>
      <c r="J79" s="3">
        <f>553+(243.8-29)+(-1.41015+(-0.62169--0.07395))+0-0-0</f>
        <v>765.84210999999993</v>
      </c>
      <c r="K79" s="3">
        <f>551+(169.1-29)+(-1.40505+(-0.431205--0.07395))+0-0-0</f>
        <v>689.33769500000005</v>
      </c>
      <c r="L79" s="3">
        <f>489+(194.2-31)+(0.24939+(0.099042-0.01581))+0-0-0</f>
        <v>652.53262200000006</v>
      </c>
      <c r="M79" s="3">
        <f>483+(214.2-31)+(0+(0-0))+0-0-0</f>
        <v>666.2</v>
      </c>
      <c r="N79" s="3">
        <f>490+(227.4-31)+(-0.4998+(-0.231948--0.03162))+0-0-0</f>
        <v>685.69987200000003</v>
      </c>
      <c r="O79" s="3">
        <f>567+(182-30)+(-0.57834+(-0.18564--0.0306))+0-0-0</f>
        <v>718.26661999999999</v>
      </c>
      <c r="P79" s="3">
        <f>618+(182.2-38.4)+(-0.94554+(-0.278766--0.058752))+0-0-0</f>
        <v>760.63444599999991</v>
      </c>
      <c r="Q79" s="3">
        <f>450+(403.3-31)+(0.2295+(0.205683-0.01581))+1.2-0-0</f>
        <v>823.91937299999995</v>
      </c>
      <c r="R79" s="3">
        <f>411+(461-32)+(0.41922+(0.47022-0.03264))+20.5-0-0</f>
        <v>861.35680000000002</v>
      </c>
      <c r="S79" s="3">
        <f>427+(452.5-33)+(-0.43554+(-0.46155--0.03366))+48-0-0</f>
        <v>893.63657000000001</v>
      </c>
      <c r="T79" s="3">
        <f>460+(408.5-33)+(-0.2346+(-0.208335--0.01683))+40.5-0-0</f>
        <v>875.57389499999999</v>
      </c>
      <c r="U79" s="3">
        <f>590+(328.1-32)+(-0.3009+(-0.167331--0.01632))+0-0-0</f>
        <v>885.64808900000003</v>
      </c>
      <c r="V79" s="3">
        <f>652+(253.8-30)+(-0.66504+(-0.258876--0.0306))+0-0-0</f>
        <v>874.90668399999993</v>
      </c>
      <c r="W79" s="3">
        <f>655+(192.3-41.6)+(-1.00215+(-0.294219--0.063648))+0-0-0</f>
        <v>804.46727900000008</v>
      </c>
      <c r="X79" s="3">
        <f>659+(118.6-53.5)+(-1.68045+(-0.30243--0.136425))+0-0-0</f>
        <v>722.25354500000003</v>
      </c>
      <c r="Y79" s="3">
        <f>657+(134.8-42.8)+(-1.34028+(-0.274992--0.087312))+0-0-0</f>
        <v>747.47203999999999</v>
      </c>
      <c r="Z79" s="3">
        <f>661+(243.4-31)+(0+(0-0))+0-0-0</f>
        <v>873.4</v>
      </c>
      <c r="AA79" s="3">
        <f>661+(286.2-32)+(-0.67422+(-0.291924--0.03264))+0-0-0</f>
        <v>914.26649600000007</v>
      </c>
      <c r="AB79" s="3">
        <f>663+(296.8-33)+(-1.01439+(-0.454104--0.05049))+0-0-0</f>
        <v>925.38199599999996</v>
      </c>
      <c r="AC79" s="3">
        <f>656+(292.9-34)+(-0.33456+(-0.149379--0.01734))+0-0-0</f>
        <v>914.433401</v>
      </c>
      <c r="AD79">
        <v>913.9</v>
      </c>
      <c r="AE79" s="3">
        <f>662+(285.9-34)+(0+(0-0))+0-0-0</f>
        <v>913.9</v>
      </c>
    </row>
    <row r="80" spans="1:31" s="2" customFormat="1" x14ac:dyDescent="0.3">
      <c r="A80">
        <v>90</v>
      </c>
      <c r="B80">
        <v>3</v>
      </c>
      <c r="C80">
        <v>18</v>
      </c>
      <c r="D80">
        <v>5</v>
      </c>
      <c r="E80">
        <v>1</v>
      </c>
      <c r="F80" s="3">
        <f>622+(277.6-33)+(-0.31722+(-0.141576--0.01683))+0-0-0</f>
        <v>866.15803400000004</v>
      </c>
      <c r="G80" s="3">
        <f>622+(255.1-31)+(-0.63444+(-0.260202--0.03162))+0-0-0</f>
        <v>845.23697800000002</v>
      </c>
      <c r="H80" s="3">
        <f>622+(217.3-31)+(-0.63444+(-0.221646--0.03162))+0-0-0</f>
        <v>807.47553399999993</v>
      </c>
      <c r="I80" s="3">
        <f>573+(247.9-31)+(-1.75338+(-0.758574--0.09486))+0-0-0</f>
        <v>787.48290599999996</v>
      </c>
      <c r="J80" s="3">
        <f>480+(291.2-30)+(0.2448+(0.148512-0.0153))+0-0-0</f>
        <v>741.57801200000006</v>
      </c>
      <c r="K80" s="3">
        <f>464+(249.8-30)+(-0.47328+(-0.254796--0.0306))+0-0-0</f>
        <v>683.1025239999999</v>
      </c>
      <c r="L80" s="3">
        <f>429+(218-28)+(-0.43758+(-0.22236--0.02856))+0-0-0</f>
        <v>618.36861999999996</v>
      </c>
      <c r="M80" s="3">
        <f>479+(182.6-30)+(0.48858+(0.186252-0.0306))+0-0-0</f>
        <v>632.24423200000001</v>
      </c>
      <c r="N80" s="3">
        <f>542+(171.5-34.3)+(0.82926+(0.262395-0.052479))+0-0-0</f>
        <v>680.23917600000004</v>
      </c>
      <c r="O80" s="3">
        <f>523+(206.8-31)+(0.26673+(0.105468-0.01581))+0-0-0</f>
        <v>699.15638799999999</v>
      </c>
      <c r="P80" s="3">
        <f>590+(181.3-31)+(0.3009+(0.092463-0.01581))+0-0-0</f>
        <v>740.67755299999999</v>
      </c>
      <c r="Q80" s="3">
        <f>601+(229.8-33)+(0+(0-0))+0-0-0</f>
        <v>797.8</v>
      </c>
      <c r="R80" s="3">
        <f>605+(304-33)+(0.30855+(0.15504-0.01683))+0-0-0</f>
        <v>876.44676000000004</v>
      </c>
      <c r="S80" s="3">
        <f>606+(331-33)+(-0.92718+(-0.50643--0.05049))+0-0-0</f>
        <v>902.61688000000004</v>
      </c>
      <c r="T80" s="3">
        <f>607+(316.5-33)+(0.61914+(0.32283-0.03366))+0-0-0</f>
        <v>891.40831000000003</v>
      </c>
      <c r="U80" s="3">
        <f>612+(318.8-30)+(-1.24848+(-0.650352--0.0612))+0-0-0</f>
        <v>898.96236799999997</v>
      </c>
      <c r="V80" s="3">
        <f>622+(283.5-28)+(-0.95166+(-0.433755--0.04284))+0-0-0</f>
        <v>876.15742499999999</v>
      </c>
      <c r="W80" s="3">
        <f>638+(221.5-32.8)+(-0.65076+(-0.22593--0.033456))+0-0-0</f>
        <v>825.85676599999999</v>
      </c>
      <c r="X80" s="3">
        <f>643+(140.1-48.2)+(-2.62344+(-0.571608--0.196656))+0-0-0</f>
        <v>731.90160800000001</v>
      </c>
      <c r="Y80" s="3">
        <f>524+(256.3-30)+(-0.53448+(-0.261426--0.0306))+0-0-0</f>
        <v>749.53469399999994</v>
      </c>
      <c r="Z80" s="3">
        <f>623+(248.6-4)+(-1.27092+(-0.507144--0.00816))+0-0-0</f>
        <v>865.83009600000003</v>
      </c>
      <c r="AA80" s="3">
        <f>697+(239.9-9.1)+(-1.77735+(-0.611745--0.023205))+0-0-0</f>
        <v>925.43410999999992</v>
      </c>
      <c r="AB80" s="3">
        <f>691+(255.5-32)+(-1.40964+(-0.52122--0.06528))+0-0-0</f>
        <v>912.63441999999998</v>
      </c>
      <c r="AC80" s="3">
        <f>628+(323.3-33)+(-1.28112+(-0.659532--0.06732))+0-0-0</f>
        <v>916.42666799999995</v>
      </c>
      <c r="AD80">
        <v>928</v>
      </c>
      <c r="AE80" s="3">
        <f>695+(239.7-6.7)+(0+(0-0))+0-0-0</f>
        <v>928</v>
      </c>
    </row>
    <row r="81" spans="1:31" s="2" customFormat="1" x14ac:dyDescent="0.3">
      <c r="A81">
        <v>90</v>
      </c>
      <c r="B81">
        <v>3</v>
      </c>
      <c r="C81">
        <v>19</v>
      </c>
      <c r="D81">
        <v>6</v>
      </c>
      <c r="E81">
        <v>1</v>
      </c>
      <c r="F81" s="3">
        <f>599+(302.8-33)+(0+(0-0))+0-0-0</f>
        <v>868.8</v>
      </c>
      <c r="G81" s="3">
        <f>598+(276.2-32)+(-0.30498+(-0.140862--0.01632))+0-0-0</f>
        <v>841.77047800000003</v>
      </c>
      <c r="H81" s="3">
        <f>598+(253.3-32)+(0.30498+(0.129183-0.01632))+0-0-0</f>
        <v>819.7178429999999</v>
      </c>
      <c r="I81" s="3">
        <f>600+(220.6-32)+(-0.306+(-0.112506--0.01632))+0-0-0</f>
        <v>788.19781399999999</v>
      </c>
      <c r="J81" s="3">
        <f>595+(197.9-32)+(-0.30345+(-0.100929--0.01632))+0-0-0</f>
        <v>760.51194099999998</v>
      </c>
      <c r="K81" s="3">
        <f>591+(153.6-44.1)+(-1.50705+(-0.39168--0.112455))+0-0-0</f>
        <v>698.71372499999995</v>
      </c>
      <c r="L81" s="3">
        <f>530+(152.7-33)+(-0.5406+(-0.155754--0.03366))+0-0-0</f>
        <v>649.03730600000006</v>
      </c>
      <c r="M81" s="3">
        <f>590+(131.2-53.3)+(0.6018+(0.133824-0.054366))+0-0-0</f>
        <v>668.58125799999993</v>
      </c>
      <c r="N81" s="3">
        <f>584+(154-46.8)+(0.89352+(0.23562-0.071604))+0-0-0</f>
        <v>692.25753600000007</v>
      </c>
      <c r="O81" s="3">
        <f>637+(154.2-57.8)+(0+(0-0))+0-0-0</f>
        <v>733.4</v>
      </c>
      <c r="P81" s="3">
        <f>646+(171.7-53.4)+(0+(0-0))+0-0-0</f>
        <v>764.3</v>
      </c>
      <c r="Q81" s="3">
        <f>644+(207.5-41.3)+(0.65688+(0.21165-0.042126))+0-0-0</f>
        <v>811.02640400000007</v>
      </c>
      <c r="R81" s="3">
        <f>636+(273.4-30)+(-0.32436+(-0.139434--0.0153))+0-0-0</f>
        <v>878.95150599999999</v>
      </c>
      <c r="S81" s="3">
        <f>639+(281.3-32)+(-1.30356+(-0.573852--0.06528))+0-0-0</f>
        <v>886.48786799999993</v>
      </c>
      <c r="T81" s="3">
        <f>611+(334.3-33)+(-1.24644+(-0.681972--0.06732))+0-0-0</f>
        <v>910.43890799999997</v>
      </c>
      <c r="U81" s="3">
        <f>588+(334.4-32)+(-0.29988+(-0.170544--0.01632))+0-0-0</f>
        <v>889.94589599999995</v>
      </c>
      <c r="V81" s="3">
        <f>624+(273.5-42.7)+(-1.5912+(-0.697425--0.108885))+0-0-0</f>
        <v>852.62025999999992</v>
      </c>
      <c r="W81" s="3">
        <f>632+(230.9-46.1)+(-0.64464+(-0.235518--0.047022))+0-0-0</f>
        <v>815.96686399999999</v>
      </c>
      <c r="X81" s="3">
        <f>636+(157.3-53.3)+(-1.94616+(-0.481338--0.163098))+0-0-0</f>
        <v>737.73559999999998</v>
      </c>
      <c r="Y81" s="3">
        <f>585+(185.2-12.9)+(-0.29835+(-0.094452--0.006579))+0-0-0</f>
        <v>756.91377699999998</v>
      </c>
      <c r="Z81" s="3">
        <f>643+(270.6-20)+(-0.98379+(-0.414018--0.0306))+0-0-0</f>
        <v>892.23279200000002</v>
      </c>
      <c r="AA81" s="3">
        <f>668+(261.4-28)+(-1.02204+(-0.399942--0.04284))+0-0-0</f>
        <v>900.02085799999998</v>
      </c>
      <c r="AB81" s="3">
        <f>669+(301.9-33)+(-2.04714+(-0.923814--0.10098))+0-0-0</f>
        <v>935.03002600000002</v>
      </c>
      <c r="AC81" s="3">
        <f>669+(274-33)+(-0.68238+(-0.27948--0.03366))+0-0-0</f>
        <v>909.07180000000005</v>
      </c>
      <c r="AD81">
        <v>905.6</v>
      </c>
      <c r="AE81" s="3">
        <f>668+(271.6-34)+(0+(0-0))+0-0-0</f>
        <v>905.6</v>
      </c>
    </row>
    <row r="82" spans="1:31" s="2" customFormat="1" x14ac:dyDescent="0.3">
      <c r="A82">
        <v>90</v>
      </c>
      <c r="B82">
        <v>3</v>
      </c>
      <c r="C82">
        <v>20</v>
      </c>
      <c r="D82">
        <v>7</v>
      </c>
      <c r="E82">
        <v>1</v>
      </c>
      <c r="F82" s="3">
        <f>638+(257-33)+(-1.30152+(-0.52428--0.06732))+0-0-0</f>
        <v>860.24152000000004</v>
      </c>
      <c r="G82" s="3">
        <f>615+(265.2-32)+(-1.56825+(-0.67626--0.0816))+0-0-0</f>
        <v>846.03709000000003</v>
      </c>
      <c r="H82" s="3">
        <f>615+(250.6-32)+(-0.6273+(-0.255612--0.03264))+0-0-0</f>
        <v>832.749728</v>
      </c>
      <c r="I82" s="3">
        <f>614+(227.7-33.2)+(-0.31314+(-0.116127--0.016932))+0-0-0</f>
        <v>808.08766500000002</v>
      </c>
      <c r="J82" s="3">
        <f>612+(209.8-36.4)+(-0.62424+(-0.213996--0.037128))+0-0-0</f>
        <v>784.59889199999998</v>
      </c>
      <c r="K82" s="3">
        <f>611+(152.1-52.4)+(-1.55805+(-0.387855--0.13362))+0-0-0</f>
        <v>708.88771500000007</v>
      </c>
      <c r="L82" s="3">
        <f>500+(179.7-13)+(0+(0-0))+0-0-0</f>
        <v>666.7</v>
      </c>
      <c r="M82" s="3">
        <f>445+(227.1-25)+(0.22695+(0.115821-0.01275))+0-0-0</f>
        <v>647.43002100000001</v>
      </c>
      <c r="N82" s="3">
        <f>444+(228.3-30)+(-0.22644+(-0.116433--0.0153))+0-0-0</f>
        <v>641.97242699999993</v>
      </c>
      <c r="O82" s="3">
        <f>444+(253.2-33)+(-0.22644+(-0.129132--0.01683))+0-0-0</f>
        <v>663.86125800000002</v>
      </c>
      <c r="P82" s="3">
        <f>491+(257.7-32)+(-0.25041+(-0.131427--0.01632))+0-0-0</f>
        <v>716.33448300000009</v>
      </c>
      <c r="Q82" s="3">
        <f>507+(273.7-32)+(0.25857+(0.139587-0.01632))+0-0-0</f>
        <v>749.08183700000006</v>
      </c>
      <c r="R82" s="3">
        <f>553+(298.4-32)+(-0.28203+(-0.152184--0.01632))+0-0-0</f>
        <v>818.98210599999993</v>
      </c>
      <c r="S82" s="3">
        <f>563+(322.5-33)+(-0.57426+(-0.32895--0.03366))+0-0-0</f>
        <v>851.63045</v>
      </c>
      <c r="T82" s="3">
        <f>603+(297.7-32)+(-1.23012+(-0.607308--0.06528))+0-0-0</f>
        <v>866.92785200000003</v>
      </c>
      <c r="U82" s="3">
        <f>597+(275.9-33.4)+(-0.91341+(-0.422127--0.051102))+0-0-0</f>
        <v>838.21556499999997</v>
      </c>
      <c r="V82" s="3">
        <f>596+(268.5-39.6)+(-0.91188+(-0.410805--0.060588))+0-0-0</f>
        <v>823.63790299999994</v>
      </c>
      <c r="W82" s="3">
        <f>602+(210.2-40.9)+(-1.5351+(-0.53601--0.104295))+0-0-0</f>
        <v>769.33318499999996</v>
      </c>
      <c r="X82" s="3">
        <f>533+(211.7-29)+(-1.35915+(-0.539835--0.07395))+0-0-0</f>
        <v>713.87496500000009</v>
      </c>
      <c r="Y82" s="3">
        <f>537+(242.4-31)+(-0.54774+(-0.247248--0.03162))+0-0-0</f>
        <v>747.63663199999996</v>
      </c>
      <c r="Z82" s="3">
        <f>625+(281.4-32)+(0.31875+(0.143514-0.01632))+0-0-0</f>
        <v>874.84594400000003</v>
      </c>
      <c r="AA82" s="3">
        <f>683+(279.3-33)+(-1.39332+(-0.569772--0.06732))+0-0-0</f>
        <v>927.40422799999999</v>
      </c>
      <c r="AB82" s="3">
        <f>683+(285.1-33)+(-0.69666+(-0.290802--0.03366))+0-0-0</f>
        <v>934.14619800000003</v>
      </c>
      <c r="AC82" s="3">
        <f>665+(254.1-33.3)+(-0.6783+(-0.259182--0.033966))+0-0-0</f>
        <v>884.89648399999999</v>
      </c>
      <c r="AD82">
        <v>928.5</v>
      </c>
      <c r="AE82" s="3">
        <f>681+(281.5-34)+(0+(0-0))+0-0-0</f>
        <v>928.5</v>
      </c>
    </row>
    <row r="83" spans="1:31" s="2" customFormat="1" x14ac:dyDescent="0.3">
      <c r="A83">
        <v>90</v>
      </c>
      <c r="B83">
        <v>3</v>
      </c>
      <c r="C83">
        <v>21</v>
      </c>
      <c r="D83">
        <v>1</v>
      </c>
      <c r="E83">
        <v>1</v>
      </c>
      <c r="F83" s="3">
        <f>640+(233.5-37.7)+(-0.6528+(-0.23817--0.038454))+0-0-0</f>
        <v>834.94748399999992</v>
      </c>
      <c r="G83" s="3">
        <f>626+(232.3-32)+(-1.5963+(-0.592365--0.0816))+0-0-0</f>
        <v>824.19293499999992</v>
      </c>
      <c r="H83" s="3">
        <f>624+(211.4-36.9)+(-1.5912+(-0.53907--0.094095))+0-0-0</f>
        <v>796.46382500000004</v>
      </c>
      <c r="I83" s="3">
        <f>623+(203.1-38.1)+(0.31773+(0.103581-0.019431))+0-0-0</f>
        <v>788.40188000000001</v>
      </c>
      <c r="J83" s="3">
        <f>622+(194.6-40.3)+(0+(0-0))+0-0-0</f>
        <v>776.3</v>
      </c>
      <c r="K83" s="3">
        <f>582+(172.3-43.1)+(-1.78092+(-0.527238--0.131886))+0-0-0</f>
        <v>709.02372800000001</v>
      </c>
      <c r="L83" s="3">
        <f>486+(211.1-32)+(0.74358+(0.322983-0.04896))+0-0-0</f>
        <v>666.11760300000003</v>
      </c>
      <c r="M83" s="3">
        <f>485+(219.7-20)+(-0.74205+(-0.336141--0.0306))+0-0-0</f>
        <v>683.65240900000003</v>
      </c>
      <c r="N83" s="3">
        <f>484+(236.2-20)+(0.49368+(0.240924-0.0204))+0-0-0</f>
        <v>700.91420400000004</v>
      </c>
      <c r="O83" s="3">
        <f>490+(251.4-26)+(0.4998+(0.256428-0.02652))+0-0-0</f>
        <v>716.12970799999994</v>
      </c>
      <c r="P83" s="3">
        <f>591+(210.6-33.6)+(0.90423+(0.322218-0.051408))+0-0-0</f>
        <v>769.17503999999997</v>
      </c>
      <c r="Q83" s="3">
        <f>623+(226.2-34.6)+(0+(0-0))+0-0-0</f>
        <v>814.6</v>
      </c>
      <c r="R83" s="3">
        <f>610+(299.9-31)+(0.3111+(0.152949-0.01581))+0-0-0</f>
        <v>879.34823899999992</v>
      </c>
      <c r="S83" s="3">
        <f>612+(330.8-32)+(-0.31212+(-0.168708--0.01632))+0-0-0</f>
        <v>910.33549199999993</v>
      </c>
      <c r="T83" s="3">
        <f>614+(324-33)+(-0.31314+(-0.16524--0.01683))+0-0-0</f>
        <v>904.53845000000001</v>
      </c>
      <c r="U83" s="3">
        <f>614+(306.7-31)+(-0.62628+(-0.312834--0.03162))+0-0-0</f>
        <v>888.792506</v>
      </c>
      <c r="V83" s="3">
        <f>656+(257.8-35)+(-0.66912+(-0.262956--0.0357))+0-0-0</f>
        <v>877.90362399999992</v>
      </c>
      <c r="W83" s="3">
        <f>663+(191.6-49.2)+(-1.35252+(-0.390864--0.100368))+0-0-0</f>
        <v>803.75698399999999</v>
      </c>
      <c r="X83" s="3">
        <f>662+(119.2-60)+(-1.6881+(-0.30396--0.153))+0-0-0</f>
        <v>719.36094000000003</v>
      </c>
      <c r="Y83" s="3">
        <f>542+(235.4-30)+(-0.82926+(-0.360162--0.0459))+0-0-0</f>
        <v>746.25647800000002</v>
      </c>
      <c r="Z83" s="3">
        <f>621+(284.3-33)+(-0.95013+(-0.434979--0.05049))+0-0-0</f>
        <v>870.96538099999998</v>
      </c>
      <c r="AA83" s="3">
        <f>667+(278.5-34)+(-1.02051+(-0.426105--0.05202))+0-0-0</f>
        <v>910.10540500000002</v>
      </c>
      <c r="AB83" s="3">
        <f>669+(290.8-33)+(-0.34119+(-0.148308--0.01683))+0-0-0</f>
        <v>926.32733199999996</v>
      </c>
      <c r="AC83" s="3">
        <f>671+(278-32)+(-0.68442+(-0.28356--0.03264))+0-0-0</f>
        <v>916.06466</v>
      </c>
      <c r="AD83">
        <v>912.1</v>
      </c>
      <c r="AE83" s="3">
        <f>668+(278.1-34)+(0+(0-0))+0-0-0</f>
        <v>912.1</v>
      </c>
    </row>
    <row r="84" spans="1:31" s="2" customFormat="1" x14ac:dyDescent="0.3">
      <c r="A84">
        <v>90</v>
      </c>
      <c r="B84">
        <v>3</v>
      </c>
      <c r="C84">
        <v>22</v>
      </c>
      <c r="D84">
        <v>2</v>
      </c>
      <c r="E84">
        <v>1</v>
      </c>
      <c r="F84" s="3">
        <f>621+(262.1-32)+(-0.31671+(-0.133671--0.01632))+0-0-0</f>
        <v>850.66593899999998</v>
      </c>
      <c r="G84" s="3">
        <f>601+(261.8-32)+(-0.91953+(-0.400554--0.04896))+0-0-0</f>
        <v>829.52887599999997</v>
      </c>
      <c r="H84" s="3">
        <f>542+(294.9-32)+(-0.27642+(-0.150399--0.01632))+0-0-0</f>
        <v>804.48950100000002</v>
      </c>
      <c r="I84" s="3">
        <f>542+(262.5-33)+(-0.82926+(-0.401625--0.05049))+0-0-0</f>
        <v>770.31960500000002</v>
      </c>
      <c r="J84" s="3">
        <f>539+(243.1-22)+(-1.09956+(-0.495924--0.04488))+0-0-0</f>
        <v>758.549396</v>
      </c>
      <c r="K84" s="3">
        <f>539+(177.3-33.3)+(-2.47401+(-0.813807--0.152847))+0-0-0</f>
        <v>679.86503000000005</v>
      </c>
      <c r="L84" s="3">
        <f>530+(150.7-44.2)+(-2.1624+(-0.614856--0.180336))+0-0-0</f>
        <v>633.90308000000005</v>
      </c>
      <c r="M84" s="3">
        <f>537+(157.8-46.7)+(-0.54774+(-0.160956--0.047634))+0-0-0</f>
        <v>647.43893800000001</v>
      </c>
      <c r="N84" s="3">
        <f>536+(169.9-42.3)+(-1.09344+(-0.346596--0.086292))+0-0-0</f>
        <v>662.24625600000002</v>
      </c>
      <c r="O84" s="3">
        <f>544+(178-35.2)+(-0.83232+(-0.27234--0.053856))+0-0-0</f>
        <v>685.74919599999998</v>
      </c>
      <c r="P84" s="3">
        <f>553+(201.2-29)+(-0.56406+(-0.205224--0.02958))+0-0-0</f>
        <v>724.46029600000008</v>
      </c>
      <c r="Q84" s="3">
        <f>582+(240.9-30)+(-0.29682+(-0.122859--0.0153))+0-0-0</f>
        <v>792.49562100000003</v>
      </c>
      <c r="R84" s="3">
        <f>624+(281.8-31)+(-0.95472+(-0.431154--0.04743))+0-0-0</f>
        <v>873.46155599999997</v>
      </c>
      <c r="S84" s="3">
        <f>626+(319-32)+(-0.95778+(-0.48807--0.04896))+0-0-0</f>
        <v>911.60311000000002</v>
      </c>
      <c r="T84" s="3">
        <f>627+(314.4-31)+(0.31977+(0.160344-0.01581))+0-0-0</f>
        <v>910.86430399999995</v>
      </c>
      <c r="U84" s="3">
        <f>627+(285.2-28)+(-1.59885+(-0.72726--0.0714))+0-0-0</f>
        <v>881.94529</v>
      </c>
      <c r="V84" s="3">
        <f>635+(246.4-31.6)+(0+(0-0))+0-0-0</f>
        <v>849.8</v>
      </c>
      <c r="W84" s="3">
        <f>660+(163.5-47.5)+(-0.6732+(-0.16677--0.04845))+0-0-0</f>
        <v>775.20848000000001</v>
      </c>
      <c r="X84" s="3">
        <f>620+(125.7-45.2)+(-0.9486+(-0.192321--0.069156))+0-0-0</f>
        <v>699.42823499999997</v>
      </c>
      <c r="Y84" s="3">
        <f>523+(235.1-28)+(-0.26673+(-0.119901--0.01428))+0-0-0</f>
        <v>729.72764900000004</v>
      </c>
      <c r="Z84" s="3">
        <f>570+(328.9-30)+(-0.2907+(-0.167739--0.0153))+0-0-0</f>
        <v>868.456861</v>
      </c>
      <c r="AA84" s="3">
        <f>668+(282.5-32)+(-1.36272+(-0.5763--0.06528))+0-0-0</f>
        <v>916.62626</v>
      </c>
      <c r="AB84" s="3">
        <f>670+(293.9-33)+(-0.3417+(-0.149889--0.01683))+0-0-0</f>
        <v>930.42524100000003</v>
      </c>
      <c r="AC84" s="3">
        <f>669+(284.3-33)+(0.34119+(0.144993-0.01683))+0-0-0</f>
        <v>920.76935299999991</v>
      </c>
      <c r="AD84">
        <v>918.5</v>
      </c>
      <c r="AE84" s="3">
        <f>668+(282.5-32)+(0+(0-0))+0-0-0</f>
        <v>918.5</v>
      </c>
    </row>
    <row r="85" spans="1:31" s="2" customFormat="1" x14ac:dyDescent="0.3">
      <c r="A85">
        <v>90</v>
      </c>
      <c r="B85">
        <v>3</v>
      </c>
      <c r="C85">
        <v>23</v>
      </c>
      <c r="D85">
        <v>3</v>
      </c>
      <c r="E85">
        <v>1</v>
      </c>
      <c r="F85" s="3">
        <f>641+(257.4-32)+(-1.30764+(-0.525096--0.06528))+0-0-0</f>
        <v>864.63254399999994</v>
      </c>
      <c r="G85" s="3">
        <f>626+(243.2-33)+(-0.63852+(-0.248064--0.03366))+0-0-0</f>
        <v>835.34707600000002</v>
      </c>
      <c r="H85" s="3">
        <f>625+(224.5-33)+(-1.275+(-0.45798--0.06732))+0-0-0</f>
        <v>814.83434</v>
      </c>
      <c r="I85" s="3">
        <f>578+(242.4-25)+(-1.4739+(-0.61812--0.06375))+0-0-0</f>
        <v>793.37172999999996</v>
      </c>
      <c r="J85" s="3">
        <f>547+(244.8-31)+(0.55794+(0.249696-0.03162))+0-0-0</f>
        <v>761.57601599999998</v>
      </c>
      <c r="K85" s="3">
        <f>519+(199.5-22)+(-1.32345+(-0.508725--0.0561))+0-0-0</f>
        <v>694.72392500000001</v>
      </c>
      <c r="L85" s="3">
        <f>473+(205.1-31)+(-1.20615+(-0.523005--0.07905))+0-0-0</f>
        <v>645.44989499999997</v>
      </c>
      <c r="M85" s="3">
        <f>472+(200.2-31)+(0.48144+(0.204204-0.03162))+0-0-0</f>
        <v>641.85402400000009</v>
      </c>
      <c r="N85" s="3">
        <f>527+(178.4-38)+(0+(0-0))+0-0-0</f>
        <v>667.4</v>
      </c>
      <c r="O85" s="3">
        <f>566+(149.2-44)+(0.28866+(0.076092-0.02244))+0-0-0</f>
        <v>671.54231200000004</v>
      </c>
      <c r="P85" s="3">
        <f>568+(198.9-36)+(-0.57936+(-0.202878--0.03672))+0-0-0</f>
        <v>730.15448200000003</v>
      </c>
      <c r="Q85" s="3">
        <f>568+(234.2-33)+(0.28968+(0.119442-0.01683))+0-0-0</f>
        <v>769.59229200000004</v>
      </c>
      <c r="R85" s="3">
        <f>568+(310.4-33)+(-0.57936+(-0.316608--0.03366))+0-0-0</f>
        <v>844.53769199999999</v>
      </c>
      <c r="S85" s="3">
        <f>638+(302.6-33)+(-0.32538+(-0.154326--0.01683))+0-0-0</f>
        <v>907.13712399999997</v>
      </c>
      <c r="T85" s="3">
        <f>637+(290.6-33)+(0+(0-0))+0-0-0</f>
        <v>894.6</v>
      </c>
      <c r="U85" s="3">
        <f>640+(274.6-37.6)+(-0.9792+(-0.420138--0.057528))+0-0-0</f>
        <v>875.65818999999999</v>
      </c>
      <c r="V85" s="3">
        <f>649+(239.9-46.3)+(0+(0-0))+0-0-0</f>
        <v>842.6</v>
      </c>
      <c r="W85" s="3">
        <f>544+(240.9-33)+(-0.55488+(-0.245718--0.03366))+0-0-0</f>
        <v>751.133062</v>
      </c>
      <c r="X85" s="3">
        <f>533+(200.9-32)+(-1.08732+(-0.409836--0.06528))+0-0-0</f>
        <v>700.46812399999999</v>
      </c>
      <c r="Y85" s="3">
        <f>480+(306.9-32)+(-0.4896+(-0.313038--0.03264))+0-0-0</f>
        <v>754.13000199999999</v>
      </c>
      <c r="Z85" s="3">
        <f>551+(361.8-30)+(-0.28101+(-0.184518--0.0153))+0-0-0</f>
        <v>882.34977199999992</v>
      </c>
      <c r="AA85" s="3">
        <f>611+(349.7-30)+(-0.93483+(-0.535041--0.0459))+0-0-0</f>
        <v>929.27602899999999</v>
      </c>
      <c r="AB85" s="3">
        <f>611+(358.3-16)+(-1.55805+(-0.913665--0.0408))+0-0-0</f>
        <v>950.86908499999993</v>
      </c>
      <c r="AC85" s="3">
        <f>567+(392.2-25)+(-0.57834+(-0.400044--0.0255))+0-0-0</f>
        <v>933.24711600000001</v>
      </c>
      <c r="AD85">
        <v>930.5</v>
      </c>
      <c r="AE85" s="3">
        <f>608+(355.5-33)+(0+(0-0))+0-0-0</f>
        <v>930.5</v>
      </c>
    </row>
    <row r="86" spans="1:31" s="2" customFormat="1" x14ac:dyDescent="0.3">
      <c r="A86">
        <v>90</v>
      </c>
      <c r="B86">
        <v>3</v>
      </c>
      <c r="C86">
        <v>24</v>
      </c>
      <c r="D86">
        <v>4</v>
      </c>
      <c r="E86">
        <v>1</v>
      </c>
      <c r="F86" s="3">
        <f>518+(395.5-28)+(-0.79254+(-0.605115--0.04284))+0-0-0</f>
        <v>884.14518499999997</v>
      </c>
      <c r="G86" s="3">
        <f>518+(380.6-28)+(-1.3209+(-0.97053--0.0714))+0-0-0</f>
        <v>868.37997000000007</v>
      </c>
      <c r="H86" s="3">
        <f>528+(339.3-26)+(-0.26928+(-0.173043--0.01326))+0-0-0</f>
        <v>840.87093699999991</v>
      </c>
      <c r="I86" s="3">
        <f>558+(283.9-26)+(-1.13832+(-0.579156--0.05304))+0-0-0</f>
        <v>814.23556399999995</v>
      </c>
      <c r="J86" s="3">
        <f>503+(299.7-28)+(-1.28265+(-0.764235--0.0714))+0-0-0</f>
        <v>772.724515</v>
      </c>
      <c r="K86" s="3">
        <f>502+(225.1-30)+(-2.04816+(-0.918408--0.1224))+0-0-0</f>
        <v>694.25583200000005</v>
      </c>
      <c r="L86" s="3">
        <f>419+(240.7-29)+(-0.64107+(-0.368271--0.04437))+0-0-0</f>
        <v>629.73502900000005</v>
      </c>
      <c r="M86" s="3">
        <f>414+(270-28)+(0.21114+(0.1377-0.01428))+0-0-0</f>
        <v>656.33456000000001</v>
      </c>
      <c r="N86" s="3">
        <f>462+(237.3-28)+(0.23562+(0.121023-0.01428))+0-0-0</f>
        <v>671.64236299999993</v>
      </c>
      <c r="O86" s="3">
        <f>485+(232.9-26)+(0.24735+(0.118779-0.01326))+0-0-0</f>
        <v>692.25286900000003</v>
      </c>
      <c r="P86" s="3">
        <f>483+(285.2-30)+(0.24633+(0.145452-0.0153))+0-0-0</f>
        <v>738.57648200000006</v>
      </c>
      <c r="Q86" s="3">
        <f>510+(316.1-29)+(0.2601+(0.161211-0.01479))+0-0-0</f>
        <v>797.50652100000002</v>
      </c>
      <c r="R86" s="3">
        <f>528+(380.3-30)+(0.26928+(0.193953-0.0153))+0-0-0</f>
        <v>878.74793299999999</v>
      </c>
      <c r="S86" s="3">
        <f>556+(398.7-31)+(-0.56712+(-0.406674--0.03162))+0-0-0</f>
        <v>922.75782600000002</v>
      </c>
      <c r="T86" s="3">
        <f>592+(374.5-33)+(-0.30192+(-0.190995--0.01683))+0-0-0</f>
        <v>933.02391499999999</v>
      </c>
      <c r="U86" s="3">
        <f>609+(331.7-31)+(-1.24236+(-0.676668--0.06324))+0-0-0</f>
        <v>907.84421200000008</v>
      </c>
      <c r="V86" s="3">
        <f>600+(282-36.2)+(0+(0-0))+0-0-0</f>
        <v>845.8</v>
      </c>
      <c r="W86" s="3">
        <f>667+(193.5-49.6)+(-2.04102+(-0.59211--0.151776))+0-0-0</f>
        <v>808.41864599999997</v>
      </c>
      <c r="X86" s="3">
        <f>665+(119-61.7)+(-2.37405+(-0.42483--0.220269))+0-0-0</f>
        <v>719.72138899999993</v>
      </c>
      <c r="Y86" s="3">
        <f>603+(172.9-32.3)+(-1.53765+(-0.440895--0.082365))+0-0-0</f>
        <v>741.70382000000006</v>
      </c>
      <c r="Z86" s="3">
        <f>592+(317.8-32)+(0+(0-0))+0-0-0</f>
        <v>877.8</v>
      </c>
      <c r="AA86" s="3">
        <f>671+(291.5-32)+(-2.05326+(-0.89199--0.09792))+0-0-0</f>
        <v>927.65266999999994</v>
      </c>
      <c r="AB86" s="3">
        <f>671+(322.2-32)+(-0.68442+(-0.328644--0.03264))+0-0-0</f>
        <v>960.21957600000007</v>
      </c>
      <c r="AC86" s="3">
        <f>652+(298.8-32)+(0.33252+(0.152388-0.01632))+0-0-0</f>
        <v>919.26858799999991</v>
      </c>
      <c r="AD86">
        <v>944.1</v>
      </c>
      <c r="AE86" s="3">
        <f>671+(306.1-33)+(0+(0-0))+0-0-0</f>
        <v>944.1</v>
      </c>
    </row>
    <row r="87" spans="1:31" s="2" customFormat="1" x14ac:dyDescent="0.3">
      <c r="A87">
        <v>90</v>
      </c>
      <c r="B87">
        <v>3</v>
      </c>
      <c r="C87">
        <v>25</v>
      </c>
      <c r="D87">
        <v>5</v>
      </c>
      <c r="E87">
        <v>1</v>
      </c>
      <c r="F87" s="3">
        <f>634+(282.9-31)+(-1.6167+(-0.721395--0.07905))+0-0-0</f>
        <v>883.64095499999996</v>
      </c>
      <c r="G87" s="3">
        <f>622+(258-28)+(-0.95166+(-0.39474--0.04284))+0-0-0</f>
        <v>850.69644000000005</v>
      </c>
      <c r="H87" s="3">
        <f>558+(303.7-27)+(-0.56916+(-0.309774--0.02754))+0-0-0</f>
        <v>833.84860600000002</v>
      </c>
      <c r="I87" s="3">
        <f>546+(279.3-26)+(-1.11384+(-0.569772--0.05304))+0-0-0</f>
        <v>797.66942799999993</v>
      </c>
      <c r="J87" s="3">
        <f>484+(313.8-28)+(0.24684+(0.160038-0.01428))+0-0-0</f>
        <v>770.19259799999998</v>
      </c>
      <c r="K87" s="3">
        <f>467+(265-29)+(-0.23817+(-0.13515--0.01479))+0-0-0</f>
        <v>702.64147000000003</v>
      </c>
      <c r="L87" s="3">
        <f>482+(216.4-32)+(0.24582+(0.110364-0.01632))+0-0-0</f>
        <v>666.73986400000001</v>
      </c>
      <c r="M87" s="3">
        <f>480+(235.5-32)+(0.2448+(0.120105-0.01632))+0-0-0</f>
        <v>683.84858499999996</v>
      </c>
      <c r="N87" s="3">
        <f>486+(239.1-31)+(-0.24786+(-0.121941--0.01581))+0-0-0</f>
        <v>693.74600900000007</v>
      </c>
      <c r="O87" s="3">
        <f>550+(211.6-30)+(-0.2805+(-0.107916--0.0153))+0-0-0</f>
        <v>731.22688400000004</v>
      </c>
      <c r="P87" s="3">
        <f>567+(245-30)+(-0.28917+(-0.12495--0.0153))+0-0-0</f>
        <v>781.60118</v>
      </c>
      <c r="Q87" s="3">
        <f>618+(249.9-33.7)+(-0.94554+(-0.382347--0.051561))+0-0-0</f>
        <v>832.92367400000001</v>
      </c>
      <c r="R87" s="3">
        <f>609+(311-31)+(-0.31059+(-0.15861--0.01581))+0-0-0</f>
        <v>888.54660999999999</v>
      </c>
      <c r="S87" s="3">
        <f>631+(320.4-31)+(-0.64362+(-0.326808--0.03162))+0-0-0</f>
        <v>919.46119199999998</v>
      </c>
      <c r="T87" s="3">
        <f>653+(300.5-32)+(-0.99909+(-0.459765--0.04896))+0-0-0</f>
        <v>920.09010499999999</v>
      </c>
      <c r="U87" s="3">
        <f>671+(263.1-34.2)+(-1.71105+(-0.670905--0.08721))+0-0-0</f>
        <v>897.60525500000006</v>
      </c>
      <c r="V87" s="3">
        <f>704+(231.7-45.8)+(-1.43616+(-0.472668--0.093432))+0-0-0</f>
        <v>888.08460400000001</v>
      </c>
      <c r="W87" s="3">
        <f>661+(194-46.4)+(-1.01133+(-0.29682--0.070992))+0-0-0</f>
        <v>807.362842</v>
      </c>
      <c r="X87" s="3">
        <f>615+(161.2-43.8)+(-1.8819+(-0.493272--0.134028))+0-0-0</f>
        <v>730.15885600000001</v>
      </c>
      <c r="Y87" s="3">
        <f>558+(215.5-29)+(-0.85374+(-0.329715--0.04437))+0-0-0</f>
        <v>743.36091499999998</v>
      </c>
      <c r="Z87" s="3">
        <f>558+(341.1-32)+(-0.28458+(-0.173961--0.01632))+0-0-0</f>
        <v>866.657779</v>
      </c>
      <c r="AA87" s="3">
        <f>572+(383.3-33)+(-0.87516+(-0.586449--0.05049))+0-0-0</f>
        <v>920.88888099999997</v>
      </c>
      <c r="AB87" s="3">
        <f>575+(398.1-33)+(-0.5865+(-0.406062--0.03366))+0-0-0</f>
        <v>939.14109800000006</v>
      </c>
      <c r="AC87" s="3">
        <f>617+(334.3-31)+(-0.62934+(-0.340986--0.03162))+0-0-0</f>
        <v>919.36129399999993</v>
      </c>
      <c r="AD87">
        <v>920.7</v>
      </c>
      <c r="AE87" s="3">
        <f>574+(379.7-33)+(0+(0-0))+0-0-0</f>
        <v>920.7</v>
      </c>
    </row>
    <row r="88" spans="1:31" s="2" customFormat="1" x14ac:dyDescent="0.3">
      <c r="A88">
        <v>90</v>
      </c>
      <c r="B88">
        <v>3</v>
      </c>
      <c r="C88">
        <v>26</v>
      </c>
      <c r="D88">
        <v>6</v>
      </c>
      <c r="E88">
        <v>3</v>
      </c>
      <c r="F88" s="3">
        <f>589+(328-31)+(-0.90117+(-0.50184--0.04743))+0-0-0</f>
        <v>884.64441999999997</v>
      </c>
      <c r="G88" s="3">
        <f>589+(284.9-30)+(-0.60078+(-0.290598--0.0306))+0-0-0</f>
        <v>843.039222</v>
      </c>
      <c r="H88" s="3">
        <f>544+(309.8-30)+(-1.3872+(-0.78999--0.0765))+0-0-0</f>
        <v>821.69930999999997</v>
      </c>
      <c r="I88" s="3">
        <f>534+(296.7-30)+(0+(0-0))+0-0-0</f>
        <v>800.7</v>
      </c>
      <c r="J88" s="3">
        <f>538+(273.6-31)+(-1.64628+(-0.837216--0.09486))+0-0-0</f>
        <v>778.211364</v>
      </c>
      <c r="K88" s="3">
        <f>557+(208.1-33)+(-1.42035+(-0.530655--0.08415))+0-0-0</f>
        <v>730.23314500000004</v>
      </c>
      <c r="L88" s="3">
        <f>520+(197.3-34)+(-0.7956+(-0.301869--0.05202))+0-0-0</f>
        <v>682.25455099999999</v>
      </c>
      <c r="M88" s="3">
        <f>519+(184.8-36)+(-0.79407+(-0.282744--0.05508))+0-0-0</f>
        <v>666.77826599999992</v>
      </c>
      <c r="N88" s="3">
        <f>514+(183.7-36)+(-0.52428+(-0.187374--0.03672))+0-0-0</f>
        <v>661.02506600000004</v>
      </c>
      <c r="O88" s="3">
        <f>536+(194.7-37)+(-1.09344+(-0.397188--0.07548))+0-0-0</f>
        <v>692.284852</v>
      </c>
      <c r="P88" s="3">
        <f>591+(191.3-47)+(0.30141+(0.097563-0.02397))+0-0-0</f>
        <v>735.67500299999995</v>
      </c>
      <c r="Q88" s="3">
        <f>616+(221.8-39)+(-0.62832+(-0.226236--0.03978))+0-0-0</f>
        <v>797.9852239999999</v>
      </c>
      <c r="R88" s="3">
        <f>611+(283.4-32)+(-0.31161+(-0.144534--0.01632))+0-0-0</f>
        <v>861.96017599999993</v>
      </c>
      <c r="S88" s="3">
        <f>629+(297.2-32)+(-0.96237+(-0.454716--0.04896))+0-0-0</f>
        <v>892.83187400000008</v>
      </c>
      <c r="T88" s="3">
        <f>632+(307-32)+(-0.64464+(-0.31314--0.03264))+0-0-0</f>
        <v>906.07485999999994</v>
      </c>
      <c r="U88" s="3">
        <f>638+(305-31)+(-0.97614+(-0.46665--0.04743))+0-0-0</f>
        <v>910.60464000000002</v>
      </c>
      <c r="V88" s="3">
        <f>650+(272.9-40)+(-0.9945+(-0.417537--0.0612))+0-0-0</f>
        <v>881.54916300000002</v>
      </c>
      <c r="W88" s="3">
        <f>668+(209.9-49)+(-1.02204+(-0.321147--0.07497))+0-0-0</f>
        <v>827.63178299999993</v>
      </c>
      <c r="X88" s="3">
        <f>656+(139.1-59)+(-2.00736+(-0.425646--0.18054))+0-0-0</f>
        <v>733.847534</v>
      </c>
      <c r="Y88" s="3">
        <f>638+(160.7-46)+(-0.97614+(-0.245871--0.07038))+0-0-0</f>
        <v>751.54836900000009</v>
      </c>
      <c r="Z88" s="3">
        <f>670+(242.6-32)+(0.6834+(0.247452-0.03264))+0-0-0</f>
        <v>881.49821199999997</v>
      </c>
      <c r="AA88" s="3">
        <f>673+(269.3-33)+(-2.05938+(-0.824058--0.10098))+0-0-0</f>
        <v>906.51754199999993</v>
      </c>
      <c r="AB88" s="3">
        <f>671+(284-33)+(-0.68442+(-0.28968--0.03366))+0-0-0</f>
        <v>921.05956000000003</v>
      </c>
      <c r="AC88" s="3">
        <f>672+(292.8-32)+(-0.68544+(-0.298656--0.03264))+0-0-0</f>
        <v>931.84854399999995</v>
      </c>
      <c r="AD88">
        <v>925</v>
      </c>
      <c r="AE88" s="3">
        <f>677+(281-33)+(0+(0-0))+0-0-0</f>
        <v>925</v>
      </c>
    </row>
    <row r="89" spans="1:31" s="2" customFormat="1" x14ac:dyDescent="0.3">
      <c r="A89">
        <v>90</v>
      </c>
      <c r="B89">
        <v>3</v>
      </c>
      <c r="C89">
        <v>27</v>
      </c>
      <c r="D89">
        <v>7</v>
      </c>
      <c r="E89">
        <v>1</v>
      </c>
      <c r="F89" s="3">
        <f>641+(270.2-31)+(0.65382+(0.275604-0.03162))+0-0-0</f>
        <v>881.097804</v>
      </c>
      <c r="G89" s="3">
        <f>642+(257.4-33)+(-1.30968+(-0.525096--0.06732))+0-0-0</f>
        <v>864.63254399999994</v>
      </c>
      <c r="H89" s="3">
        <f>643+(236.7-37)+(0+(0-0))+0-0-0</f>
        <v>842.7</v>
      </c>
      <c r="I89" s="3">
        <f>643+(226.8-35)+(-0.65586+(-0.231336--0.0357))+0-0-0</f>
        <v>833.94850399999996</v>
      </c>
      <c r="J89" s="3">
        <f>498+(247.7-30)+(0+(0-0))+0-0-0</f>
        <v>715.7</v>
      </c>
      <c r="K89" s="3">
        <f>559+(226.9-32)+(-1.71054+(-0.694314--0.09792))+0-0-0</f>
        <v>751.59306600000002</v>
      </c>
      <c r="L89" s="3">
        <f>507+(223.5-30)+(-1.29285+(-0.569925--0.0765))+0-0-0</f>
        <v>698.71372499999995</v>
      </c>
      <c r="M89" s="3">
        <f>505+(205.7-25)+(-0.5151+(-0.209814--0.0255))+0-0-0</f>
        <v>685.000586</v>
      </c>
      <c r="N89" s="3">
        <f>502+(204.6-27)+(0.25602+(0.104346-0.01377))+0-0-0</f>
        <v>679.946596</v>
      </c>
      <c r="O89" s="3">
        <f>563+(168.9-37)+(-1.14852+(-0.344556--0.07548))+0-0-0</f>
        <v>693.48240399999997</v>
      </c>
      <c r="P89" s="3">
        <f>599+(181-44)+(0.30549+(0.09231-0.02244))+0-0-0</f>
        <v>736.37536</v>
      </c>
      <c r="Q89" s="3">
        <f>633+(191.3-37)+(0+(0-0))+0-0-0</f>
        <v>787.3</v>
      </c>
      <c r="R89" s="3">
        <f>625+(235.8-28)+(0+(0-0))+0-0-0</f>
        <v>832.8</v>
      </c>
      <c r="S89" s="3">
        <f>625+(260.2-33)+(-0.31875+(-0.132702--0.01683))+0-0-0</f>
        <v>851.76537800000006</v>
      </c>
      <c r="T89" s="3">
        <f>626+(263.1-32)+(0.31926+(0.134181-0.01632))+0-0-0</f>
        <v>857.53712100000007</v>
      </c>
      <c r="U89" s="3">
        <f>631+(269.8-33)+(-0.32181+(-0.137598--0.01683))+0-0-0</f>
        <v>867.35742199999993</v>
      </c>
      <c r="V89" s="3">
        <f>650+(251.4-38)+(-1.326+(-0.512856--0.07752))+0-0-0</f>
        <v>861.63866399999995</v>
      </c>
      <c r="W89" s="3">
        <f>660+(198.4-46.7)+(-0.3366+(-0.101184--0.023817))+0-0-0</f>
        <v>811.28603300000009</v>
      </c>
      <c r="X89" s="3">
        <f>658+(133.9-54.3)+(-2.01348+(-0.409734--0.166158))+0-0-0</f>
        <v>735.34294399999999</v>
      </c>
      <c r="Y89" s="3">
        <f>539+(230.7-29)+(-0.82467+(-0.352971--0.04437))+0-0-0</f>
        <v>739.56672900000001</v>
      </c>
      <c r="Z89" s="3">
        <f>595+(312.8-31)+(1.8207+(0.957168-0.09486))+0-0-0</f>
        <v>879.48300799999993</v>
      </c>
      <c r="AA89" s="3">
        <f>669+(290.2-33)+(-0.34119+(-0.148002--0.01683))+0-0-0</f>
        <v>925.72763800000007</v>
      </c>
      <c r="AB89" s="3">
        <f>669+(303.3-33)+(-0.68238+(-0.309366--0.03366))+0-0-0</f>
        <v>938.34191399999997</v>
      </c>
      <c r="AC89" s="3">
        <f>667+(309.1-32)+(-0.68034+(-0.315282--0.03264))+0-0-0</f>
        <v>943.13701800000001</v>
      </c>
      <c r="AD89">
        <v>932.4</v>
      </c>
      <c r="AE89" s="3">
        <f>668+(297.4-33)+(0+(0-0))+0-0-0</f>
        <v>932.4</v>
      </c>
    </row>
    <row r="90" spans="1:31" s="2" customFormat="1" x14ac:dyDescent="0.3">
      <c r="A90">
        <v>90</v>
      </c>
      <c r="B90">
        <v>3</v>
      </c>
      <c r="C90">
        <v>28</v>
      </c>
      <c r="D90">
        <v>1</v>
      </c>
      <c r="E90">
        <v>1</v>
      </c>
      <c r="F90" s="3">
        <f>642+(276.6-32)+(-1.6371+(-0.70533--0.0816))+0-0-0</f>
        <v>884.33916999999997</v>
      </c>
      <c r="G90" s="3">
        <f>634+(262.5-33)+(-1.94004+(-0.80325--0.10098))+0-0-0</f>
        <v>860.85769000000005</v>
      </c>
      <c r="H90" s="3">
        <f>637+(236.5-33)+(-1.29948+(-0.48246--0.06732))+0-0-0</f>
        <v>838.78538000000003</v>
      </c>
      <c r="I90" s="3">
        <f>631+(216-36.9)+(-0.64362+(-0.22032--0.037638))+0-0-0</f>
        <v>809.27369799999997</v>
      </c>
      <c r="J90" s="3">
        <f>606+(220.6-28)+(-1.5453+(-0.56253--0.0714))+0-0-0</f>
        <v>796.56357000000003</v>
      </c>
      <c r="K90" s="3">
        <f>495+(258.5-26)+(-0.5049+(-0.26367--0.02652))+0-0-0</f>
        <v>726.75795000000005</v>
      </c>
      <c r="L90" s="3">
        <f>487+(200.2-7)+(-0.24837+(-0.102102--0.00357))+0-0-0</f>
        <v>679.85309800000005</v>
      </c>
      <c r="M90" s="3">
        <f>487+(192.5-0)+(0.24837+(0.098175-0))+0-0-0</f>
        <v>679.84654499999999</v>
      </c>
      <c r="N90" s="3">
        <f>580+(142.9-18.5)+(0.5916+(0.145758-0.01887))+0-0-0</f>
        <v>705.11848799999996</v>
      </c>
      <c r="O90" s="3">
        <f>615+(142.2-24.7)+(0.6273+(0.145044-0.025194))+0-0-0</f>
        <v>733.24715000000003</v>
      </c>
      <c r="P90" s="3">
        <f>613+(161.9-15.1)+(-0.62526+(-0.165138--0.015402))+0-0-0</f>
        <v>759.02500399999997</v>
      </c>
      <c r="Q90" s="3">
        <f>615+(198.2-2.6)+(0.6273+(0.202164-0.002652))+0-0-0</f>
        <v>811.42681200000004</v>
      </c>
      <c r="R90" s="3">
        <f>608+(252.5-0)+(0+(0-0))+0-0-0</f>
        <v>860.5</v>
      </c>
      <c r="S90" s="3">
        <f>608+(295.7-1)+(0.62016+(0.301614-0.00102))+0-0-0</f>
        <v>903.62075400000003</v>
      </c>
      <c r="T90" s="3">
        <f>608+(301.9-1)+(-0.62016+(-0.307938--0.00102))+0-0-0</f>
        <v>907.97292199999993</v>
      </c>
      <c r="U90" s="3">
        <f>613+(291.3-1)+(-0.62526+(-0.297126--0.00102))+0-0-0</f>
        <v>902.37863399999992</v>
      </c>
      <c r="V90" s="3">
        <f>621+(262.1-1)+(-1.26684+(-0.534684--0.00204))+0-0-0</f>
        <v>880.30051600000002</v>
      </c>
      <c r="W90" s="3">
        <f>647+(189.8-15)+(-1.97982+(-0.580788--0.0459))+0-0-0</f>
        <v>819.28529199999991</v>
      </c>
      <c r="X90" s="3">
        <f>609+(153.7-12.4)+(-1.86354+(-0.470322--0.037944))+0-0-0</f>
        <v>748.00408199999993</v>
      </c>
      <c r="Y90" s="3">
        <f>521+(255.4-33)+(-0.79713+(-0.390762--0.05049))+0-0-0</f>
        <v>742.26259800000003</v>
      </c>
      <c r="Z90" s="3">
        <f>582+(315.1-34)+(0+(0-0))+0-0-0</f>
        <v>863.1</v>
      </c>
      <c r="AA90" s="3">
        <f>656+(306.6-34)+(-1.00368+(-0.469098--0.05202))+0-0-0</f>
        <v>927.17924200000004</v>
      </c>
      <c r="AB90" s="3">
        <f>657+(309.9-34)+(-1.67535+(-0.790245--0.0867))+0-0-0</f>
        <v>930.52110500000003</v>
      </c>
      <c r="AC90" s="3">
        <f>635+(305.3-33)+(0+(0-0))+0-0-0</f>
        <v>907.3</v>
      </c>
      <c r="AD90">
        <v>889.5</v>
      </c>
      <c r="AE90" s="3">
        <f>637+(286.5-34)+(0+(0-0))+0-0-0</f>
        <v>889.5</v>
      </c>
    </row>
    <row r="91" spans="1:31" s="2" customFormat="1" x14ac:dyDescent="0.3">
      <c r="A91">
        <v>90</v>
      </c>
      <c r="B91">
        <v>3</v>
      </c>
      <c r="C91">
        <v>29</v>
      </c>
      <c r="D91">
        <v>2</v>
      </c>
      <c r="E91">
        <v>1</v>
      </c>
      <c r="F91" s="3">
        <f>617+(293.8-33)+(-0.31467+(-0.149838--0.01683))+0-0-0</f>
        <v>877.35232199999996</v>
      </c>
      <c r="G91" s="3">
        <f>609+(272.4-31)+(-0.62118+(-0.277848--0.03162))+0-0-0</f>
        <v>849.53259200000002</v>
      </c>
      <c r="H91" s="3">
        <f>602+(245.2-30)+(-1.22808+(-0.500208--0.0612))+0-0-0</f>
        <v>815.53291200000001</v>
      </c>
      <c r="I91" s="3">
        <f>602+(238.6-29)+(0+(0-0))+0-0-0</f>
        <v>811.6</v>
      </c>
      <c r="J91" s="3">
        <f>544+(256.5-28)+(-1.10976+(-0.52326--0.05712))+0-0-0</f>
        <v>770.92409999999995</v>
      </c>
      <c r="K91" s="3">
        <f>543+(254.1-29)+(-1.66158+(-0.777546--0.08874))+0-0-0</f>
        <v>765.74961400000007</v>
      </c>
      <c r="L91" s="3">
        <f>462+(232.9-29)+(-1.64934+(-0.831453--0.10353))+0-0-0</f>
        <v>663.52273700000001</v>
      </c>
      <c r="M91" s="3">
        <f>476+(218.6-28)+(0.24276+(0.111486-0.01428))+0-0-0</f>
        <v>666.93996600000003</v>
      </c>
      <c r="N91" s="3">
        <f>524+(190.5-27)+(0.80172+(0.291465-0.04131))+0-0-0</f>
        <v>688.551875</v>
      </c>
      <c r="O91" s="3">
        <f>523+(196.7-27)+(0.26673+(0.100317-0.01377))+0-0-0</f>
        <v>693.05327700000009</v>
      </c>
      <c r="P91" s="3">
        <f>545+(238.8-29)+(0+(0-0))+0-0-0</f>
        <v>754.8</v>
      </c>
      <c r="Q91" s="3">
        <f>587+(257.5-29)+(0.59874+(0.26265-0.02958))+0-0-0</f>
        <v>816.33181000000002</v>
      </c>
      <c r="R91" s="3">
        <f>584+(287.4-30)+(0+(0-0))+0-0-0</f>
        <v>841.4</v>
      </c>
      <c r="S91" s="3">
        <f>591+(344.8-31)+(0+(0-0))+0-0-0</f>
        <v>904.8</v>
      </c>
      <c r="T91" s="3">
        <f>596+(340.1-32)+(0+(0-0))+0-0-0</f>
        <v>904.1</v>
      </c>
      <c r="U91" s="3">
        <f>624+(300.9-31)+(-0.63648+(-0.306918--0.03162))+0-0-0</f>
        <v>892.98822199999995</v>
      </c>
      <c r="V91" s="3">
        <f>647+(267-47)+(-0.32997+(-0.13617--0.02397))+0-0-0</f>
        <v>866.55782999999997</v>
      </c>
      <c r="W91" s="3">
        <f>664+(197.2-55)+(0+(0-0))+0-0-0</f>
        <v>806.2</v>
      </c>
      <c r="X91" s="3">
        <f>670+(114.3-57.8)+(-0.3417+(-0.058293--0.029478))+0-0-0</f>
        <v>726.12948500000005</v>
      </c>
      <c r="Y91" s="3">
        <f>671+(125.5-51.2)+(0+(0-0))+0-0-0</f>
        <v>745.3</v>
      </c>
      <c r="Z91" s="3">
        <f>673+(227.6-30)+(-0.68646+(-0.232152--0.0306))+0-0-0</f>
        <v>869.71198800000002</v>
      </c>
      <c r="AA91" s="3">
        <f>673+(256.7-32)+(-1.02969+(-0.392751--0.04896))+0-0-0</f>
        <v>896.32651900000008</v>
      </c>
      <c r="AB91" s="3">
        <f>675+(283.1-31)+(-0.6885+(-0.288762--0.03162))+0-0-0</f>
        <v>926.154358</v>
      </c>
      <c r="AC91" s="3">
        <f>679+(266.4-30)+(-0.69258+(-0.271728--0.0306))+0-0-0</f>
        <v>914.46629199999995</v>
      </c>
      <c r="AD91">
        <v>898.8</v>
      </c>
      <c r="AE91" s="3">
        <f>673+(259.8-34)+(0+(0-0))+0-0-0</f>
        <v>898.8</v>
      </c>
    </row>
    <row r="92" spans="1:31" s="2" customFormat="1" x14ac:dyDescent="0.3">
      <c r="A92">
        <v>90</v>
      </c>
      <c r="B92">
        <v>3</v>
      </c>
      <c r="C92">
        <v>30</v>
      </c>
      <c r="D92">
        <v>3</v>
      </c>
      <c r="E92">
        <v>1</v>
      </c>
      <c r="F92" s="3">
        <f>648+(255.2-30.2)+(-1.98288+(-0.780912--0.092412))+0-0-0</f>
        <v>870.32862</v>
      </c>
      <c r="G92" s="3">
        <f>618+(251-27)+(-1.26072+(-0.51204--0.05508))+0-0-0</f>
        <v>840.28232000000003</v>
      </c>
      <c r="H92" s="3">
        <f>620+(222.8-27)+(-0.9486+(-0.340884--0.04131))+0-0-0</f>
        <v>814.55182600000001</v>
      </c>
      <c r="I92" s="3">
        <f>620+(194.6-34.3)+(0.6324+(0.198492-0.034986))+0-0-0</f>
        <v>781.0959059999999</v>
      </c>
      <c r="J92" s="3">
        <f>614+(196.8-33.9)+(-1.25256+(-0.401472--0.069156))+0-0-0</f>
        <v>775.31512399999997</v>
      </c>
      <c r="K92" s="3">
        <f>491+(236.9-28)+(-1.25205+(-0.604095--0.0714))+0-0-0</f>
        <v>698.11525499999993</v>
      </c>
      <c r="L92" s="3">
        <f>472+(200.1-31)+(-0.48144+(-0.204102--0.03162))+0-0-0</f>
        <v>640.44607800000006</v>
      </c>
      <c r="M92" s="3">
        <f>514+(175.8-29)+(1.3107+(0.44829-0.07395))+0-0-0</f>
        <v>662.48503999999991</v>
      </c>
      <c r="N92" s="3">
        <f>538+(173-30.4)+(0.27438+(0.08823-0.015504))+0-0-0</f>
        <v>680.94710600000008</v>
      </c>
      <c r="O92" s="3">
        <f>589+(187.7-45.3)+(-0.30039+(-0.095727--0.023103))+0-0-0</f>
        <v>731.02698599999997</v>
      </c>
      <c r="P92" s="3">
        <f>602+(180.7-42.5)+(0.92106+(0.276471-0.065025))+0-0-0</f>
        <v>741.33250600000008</v>
      </c>
      <c r="Q92" s="3">
        <f>601+(219.6-35)+(1.22604+(0.447984-0.0714))+0-0-0</f>
        <v>787.20262400000001</v>
      </c>
      <c r="R92" s="3">
        <f>594+(294.1-33)+(0.30294+(0.149991-0.01683))+0-0-0</f>
        <v>855.53610100000003</v>
      </c>
      <c r="S92" s="3">
        <f>596+(334.6-32)+(0.30396+(0.170646-0.01632))+0-0-0</f>
        <v>899.05828600000007</v>
      </c>
      <c r="T92" s="3">
        <f>596+(334.9-30)+(0.60792+(0.341598-0.0306))+0-0-0</f>
        <v>901.81891799999994</v>
      </c>
      <c r="U92" s="3">
        <f>602+(326.1-29)+(0+(0-0))+0-0-0</f>
        <v>899.1</v>
      </c>
      <c r="V92" s="3">
        <f>615+(265.8-28)+(0.31365+(0.135558-0.01428))+0-0-0</f>
        <v>853.23492799999997</v>
      </c>
      <c r="W92" s="3">
        <f>637+(211.4-39.6)+(-0.97461+(-0.323442--0.060588))+0-0-0</f>
        <v>807.56253599999991</v>
      </c>
      <c r="X92" s="3">
        <f>627+(141.3-46.5)+(-1.27908+(-0.288252--0.09486))+0-0-0</f>
        <v>720.32752799999992</v>
      </c>
      <c r="Y92" s="3">
        <f>500+(261-29)+(-1.275+(-0.66555--0.07395))+0-0-0</f>
        <v>730.13340000000005</v>
      </c>
      <c r="Z92" s="3">
        <f>527+(369.6-31)+(0+(0-0))+0-0-0</f>
        <v>865.6</v>
      </c>
      <c r="AA92" s="3">
        <f>643+(299.3-31)+(-0.32793+(-0.152643--0.01581))+0-0-0</f>
        <v>910.83523700000001</v>
      </c>
      <c r="AB92" s="3">
        <f>638+(318.9-31)+(-0.65076+(-0.325278--0.03162))+0-0-0</f>
        <v>924.95558199999994</v>
      </c>
      <c r="AC92" s="3">
        <f>639+(318.6-31)+(-0.65178+(-0.324972--0.03162))+0-0-0</f>
        <v>925.65486800000008</v>
      </c>
      <c r="AD92">
        <v>922.4</v>
      </c>
      <c r="AE92" s="3">
        <f>644+(311.4-33)+(0+(0-0))+0-0-0</f>
        <v>922.4</v>
      </c>
    </row>
    <row r="93" spans="1:31" s="2" customFormat="1" x14ac:dyDescent="0.3">
      <c r="A93">
        <v>90</v>
      </c>
      <c r="B93">
        <v>3</v>
      </c>
      <c r="C93">
        <v>31</v>
      </c>
      <c r="D93">
        <v>4</v>
      </c>
      <c r="E93">
        <v>1</v>
      </c>
      <c r="F93" s="3">
        <f>628+(286.4-30)+(-0.64056+(-0.292128--0.0306))+0-0-0</f>
        <v>883.49791199999993</v>
      </c>
      <c r="G93" s="3">
        <f>627+(260.2-29)+(0+(0-0))+0-0-0</f>
        <v>858.2</v>
      </c>
      <c r="H93" s="3">
        <f>566+(292.2-28)+(-0.86598+(-0.447066--0.04284))+0-0-0</f>
        <v>828.92979400000002</v>
      </c>
      <c r="I93" s="3">
        <f>541+(288.8-28)+(-0.55182+(-0.294576--0.02856))+0-0-0</f>
        <v>800.9821639999999</v>
      </c>
      <c r="J93" s="3">
        <f>544+(265-30)+(-1.3872+(-0.67575--0.0765))+0-0-0</f>
        <v>777.01355000000001</v>
      </c>
      <c r="K93" s="3">
        <f>518+(217.7-30)+(-1.3209+(-0.555135--0.0765))+0-0-0</f>
        <v>703.90046500000005</v>
      </c>
      <c r="L93" s="3">
        <f>477+(208.7-31)+(0+(0-0))+0-0-0</f>
        <v>654.70000000000005</v>
      </c>
      <c r="M93" s="3">
        <f>477+(231.2-27)+(0.24327+(0.117912-0.01377))+0-0-0</f>
        <v>681.54741200000001</v>
      </c>
      <c r="N93" s="3">
        <f>501+(219.6-28)+(-0.51102+(-0.223992--0.02856))+0-0-0</f>
        <v>691.89354800000001</v>
      </c>
      <c r="O93" s="3">
        <f>598+(176.5-45.9)+(-0.60996+(-0.18003--0.046818))+0-0-0</f>
        <v>727.85682800000006</v>
      </c>
      <c r="P93" s="3">
        <f>616+(191.9-45.3)+(0.31416+(0.097869-0.023103))+0-0-0</f>
        <v>762.98892599999999</v>
      </c>
      <c r="Q93" s="3">
        <f>616+(228.9-36)+(0+(0-0))+0-0-0</f>
        <v>808.9</v>
      </c>
      <c r="R93" s="3">
        <f>603+(303.7-31)+(-0.61506+(-0.309774--0.03162))+0-0-0</f>
        <v>874.8067860000001</v>
      </c>
      <c r="S93" s="3">
        <f>603+(358.1-32)+(-0.30753+(-0.182631--0.01632))+0-0-0</f>
        <v>928.62615900000003</v>
      </c>
      <c r="T93" s="3">
        <f>603+(355.6-31)+(0+(0-0))+0-0-0</f>
        <v>927.6</v>
      </c>
      <c r="U93" s="3">
        <f>605+(343.8-31)+(-0.30855+(-0.175338--0.01581))+0-0-0</f>
        <v>917.33192199999996</v>
      </c>
      <c r="V93" s="3">
        <f>613+(295.2-29)+(-0.31263+(-0.150552--0.01479))+0-0-0</f>
        <v>878.75160800000003</v>
      </c>
      <c r="W93" s="3">
        <f>627+(219-43)+(-0.63954+(-0.22338--0.04386))+0-0-0</f>
        <v>802.18093999999996</v>
      </c>
      <c r="X93" s="3">
        <f>627+(141.3-50.3)+(-0.95931+(-0.216189--0.076959))+0-0-0</f>
        <v>716.90146000000004</v>
      </c>
      <c r="Y93" s="3">
        <f>572+(191.3-30)+(-2.33376+(-0.780504--0.1224))+0-0-0</f>
        <v>730.30813599999999</v>
      </c>
      <c r="Z93" s="3">
        <f>589+(317.2-31)+(0.60078+(0.323544-0.03162))+0-0-0</f>
        <v>876.09270400000003</v>
      </c>
      <c r="AA93" s="3">
        <f>644+(312.5-31)+(-0.32844+(-0.159375--0.01581))+0-0-0</f>
        <v>925.02799500000003</v>
      </c>
      <c r="AB93" s="3">
        <f>644+(331.6-30)+(-0.32844+(-0.169116--0.0153))+0-0-0</f>
        <v>945.11774400000002</v>
      </c>
      <c r="AC93" s="3">
        <f>645+(328.5-30)+(-1.3158+(-0.67014--0.0612))+0-0-0</f>
        <v>941.57525999999996</v>
      </c>
      <c r="AD93">
        <v>929.3</v>
      </c>
      <c r="AE93" s="3">
        <f>647+(315.3-33)+(0+(0-0))+0-0-0</f>
        <v>929.3</v>
      </c>
    </row>
    <row r="94" spans="1:31" s="2" customFormat="1" x14ac:dyDescent="0.3">
      <c r="A94">
        <v>90</v>
      </c>
      <c r="B94">
        <v>4</v>
      </c>
      <c r="C94">
        <v>1</v>
      </c>
      <c r="D94">
        <v>5</v>
      </c>
      <c r="E94">
        <v>1</v>
      </c>
      <c r="F94" s="3">
        <f>620+(312.9-29)+(-1.581+(-0.797895--0.07395))+0-0-0</f>
        <v>901.595055</v>
      </c>
      <c r="G94" s="3">
        <f>611+(286.2-28)+(-1.24644+(-0.583848--0.05712))+0-0-0</f>
        <v>867.42683199999999</v>
      </c>
      <c r="H94" s="3">
        <f>612+(259-28)+(-1.5606+(-0.66045--0.0714))+0-0-0</f>
        <v>840.85035000000005</v>
      </c>
      <c r="I94" s="3">
        <f>612+(238.7-28)+(-1.24848+(-0.486948--0.05712))+0-0-0</f>
        <v>821.02169200000003</v>
      </c>
      <c r="J94" s="3">
        <f>612+(214.9-32.2)+(-0.31212+(-0.109599--0.016422))+0-0-0</f>
        <v>794.29470300000003</v>
      </c>
      <c r="K94" s="3">
        <f>544+(220-31)+(-1.10976+(-0.4488--0.06324))+0-0-0</f>
        <v>731.50468000000001</v>
      </c>
      <c r="L94" s="3">
        <f>457+(253.2-31)+(-0.46614+(-0.258264--0.03162))+0-0-0</f>
        <v>678.50721600000008</v>
      </c>
      <c r="M94" s="3">
        <f>453+(255.9-31)+(0.23103+(0.130509-0.01581))+0-0-0</f>
        <v>678.24572899999998</v>
      </c>
      <c r="N94" s="3">
        <f>467+(253.7-31)+(-0.23817+(-0.129387--0.01581))+0-0-0</f>
        <v>689.348253</v>
      </c>
      <c r="O94" s="3">
        <f>528+(222.8-31)+(0+(0-0))+0-0-0</f>
        <v>719.8</v>
      </c>
      <c r="P94" s="3">
        <f>554+(237.2-30)+(0+(0-0))+0-0-0</f>
        <v>761.2</v>
      </c>
      <c r="Q94" s="3">
        <f>598+(247.5-30)+(0+(0-0))+0-0-0</f>
        <v>815.5</v>
      </c>
      <c r="R94" s="3">
        <f>609+(305.1-30)+(0+(0-0))+0-0-0</f>
        <v>884.1</v>
      </c>
      <c r="S94" s="3">
        <f>609+(342-30)+(-0.62118+(-0.34884--0.0306))+0-0-0</f>
        <v>920.06057999999996</v>
      </c>
      <c r="T94" s="3">
        <f>609+(340.8-30)+(0.31059+(0.173808-0.0153))+0-0-0</f>
        <v>920.26909799999999</v>
      </c>
      <c r="U94" s="3">
        <f>609+(328.6-28)+(-0.31059+(-0.167586--0.01428))+0-0-0</f>
        <v>909.13610400000005</v>
      </c>
      <c r="V94" s="3">
        <f>609+(279.8-31.9)+(-0.62118+(-0.285396--0.032538))+0-0-0</f>
        <v>856.02596199999994</v>
      </c>
      <c r="W94" s="3">
        <f>643+(219.7-44.9)+(-0.65586+(-0.224094--0.045798))+0-0-0</f>
        <v>816.96584399999995</v>
      </c>
      <c r="X94" s="3">
        <f>647+(138.1-61.3)+(-2.30979+(-0.493017--0.218841))+0-0-0</f>
        <v>721.21603399999992</v>
      </c>
      <c r="Y94" s="3">
        <f>648+(159.8-52.6)+(-0.66096+(-0.162996--0.053652))+0-0-0</f>
        <v>754.42969600000004</v>
      </c>
      <c r="Z94" s="3">
        <f>648+(274.7-32)+(-0.66096+(-0.280194--0.03264))+0-0-0</f>
        <v>889.79148600000008</v>
      </c>
      <c r="AA94" s="3">
        <f>648+(315.3-32)+(-1.98288+(-0.964818--0.09792))+0-0-0</f>
        <v>928.45022199999994</v>
      </c>
      <c r="AB94" s="3">
        <f>648+(333.4-31)+(-0.66096+(-0.340068--0.03162))+0-0-0</f>
        <v>949.43059199999993</v>
      </c>
      <c r="AC94" s="3">
        <f>641+(333.2-30)+(0+(0-0))+0-0-0</f>
        <v>944.2</v>
      </c>
      <c r="AD94">
        <v>929.1</v>
      </c>
      <c r="AE94" s="3">
        <f>645+(316.1-32)+(0+(0-0))+0-0-0</f>
        <v>929.1</v>
      </c>
    </row>
    <row r="95" spans="1:31" s="2" customFormat="1" x14ac:dyDescent="0.3">
      <c r="A95">
        <v>90</v>
      </c>
      <c r="B95">
        <v>4</v>
      </c>
      <c r="C95">
        <v>2</v>
      </c>
      <c r="D95">
        <v>6</v>
      </c>
      <c r="E95">
        <v>1</v>
      </c>
      <c r="F95" s="3">
        <f>615+(304.7-29)+(-0.31365+(-0.155397--0.01479))+0-0-0</f>
        <v>890.24574300000006</v>
      </c>
      <c r="G95" s="3">
        <f>616+(274.7-28)+(-0.31416+(-0.140097--0.01428))+0-0-0</f>
        <v>862.26002300000005</v>
      </c>
      <c r="H95" s="3">
        <f>616+(242.3-29.8)+(-0.31416+(-0.123573--0.015198))+0-0-0</f>
        <v>828.07746499999996</v>
      </c>
      <c r="I95" s="3">
        <f>618+(220.2-34.7)+(-0.63036+(-0.224604--0.035394))+0-0-0</f>
        <v>802.68043</v>
      </c>
      <c r="J95" s="3">
        <f>614+(205.2-39.3)+(0.62628+(0.209304-0.040086))+0-0-0</f>
        <v>780.69549799999993</v>
      </c>
      <c r="K95" s="3">
        <f>519+(235-30)+(-1.58814+(-0.7191--0.0918))+0-0-0</f>
        <v>721.78456000000006</v>
      </c>
      <c r="L95" s="3">
        <f>478+(225.5-31)+(-0.73134+(-0.345015--0.04743))+0-0-0</f>
        <v>671.47107500000004</v>
      </c>
      <c r="M95" s="3">
        <f>524+(176.1-32)+(0.53448+(0.179622-0.03264))+0-0-0</f>
        <v>668.78146200000003</v>
      </c>
      <c r="N95" s="3">
        <f>549+(174.2-37.9)+(0.83997+(0.266526-0.057987))+0-0-0</f>
        <v>686.34850899999992</v>
      </c>
      <c r="O95" s="3">
        <f>552+(200.2-31)+(0.84456+(0.306306-0.04743))+0-0-0</f>
        <v>722.30343600000003</v>
      </c>
      <c r="P95" s="3">
        <f>568+(218.5-32.7)+(0+(0-0))+0-0-0</f>
        <v>753.8</v>
      </c>
      <c r="Q95" s="3">
        <f>577+(244.9-29)+(-0.29427+(-0.124899--0.01479))+0-0-0</f>
        <v>792.49562100000003</v>
      </c>
      <c r="R95" s="3">
        <f>625+(274.2-30)+(0+(0-0))+0-0-0</f>
        <v>869.2</v>
      </c>
      <c r="S95" s="3">
        <f>669+(271.1-33.6)+(-2.38833+(-0.967827--0.119952))+0-0-0</f>
        <v>903.26379499999996</v>
      </c>
      <c r="T95" s="3">
        <f>672+(271.8-35.8)+(-0.68544+(-0.277236--0.036516))+0-0-0</f>
        <v>907.07384000000002</v>
      </c>
      <c r="U95" s="3">
        <f>677+(254.5-42.8)+(-1.03581+(-0.389385--0.065484))+0-0-0</f>
        <v>887.3402890000001</v>
      </c>
      <c r="V95" s="3">
        <f>700+(220.3-55.1)+(-0.714+(-0.224706--0.056202))+0-0-0</f>
        <v>864.31749600000001</v>
      </c>
      <c r="W95" s="3">
        <f>662+(189-58.3)+(-1.35048+(-0.38556--0.118932))+0-0-0</f>
        <v>791.08289200000002</v>
      </c>
      <c r="X95" s="3">
        <f>622+(146.5-52.7)+(-1.90332+(-0.44829--0.161262))+0-0-0</f>
        <v>713.60965199999998</v>
      </c>
      <c r="Y95" s="3">
        <f>575+(210.4-29)+(-1.7595+(-0.643824--0.08874))+0-0-0</f>
        <v>754.08541600000001</v>
      </c>
      <c r="Z95" s="3">
        <f>552+(355.3-30)+(0+(0-0))+0-0-0</f>
        <v>877.3</v>
      </c>
      <c r="AA95" s="3">
        <f>691+(270.5-33.7)+(-2.46687+(-0.965685--0.120309))+0-0-0</f>
        <v>924.487754</v>
      </c>
      <c r="AB95" s="3">
        <f>695+(266.7-33.1)+(-1.06335+(-0.408051--0.050643))+0-0-0</f>
        <v>927.17924200000004</v>
      </c>
      <c r="AC95" s="3">
        <f>695+(269.3-35.5)+(-0.35445+(-0.137343--0.018105))+0-0-0</f>
        <v>928.32631199999992</v>
      </c>
      <c r="AD95">
        <v>926.40000000000009</v>
      </c>
      <c r="AE95" s="3">
        <f>693+(268.2-34.8)+(0+(0-0))+0-0-0</f>
        <v>926.4</v>
      </c>
    </row>
    <row r="96" spans="1:31" s="2" customFormat="1" x14ac:dyDescent="0.3">
      <c r="A96">
        <v>90</v>
      </c>
      <c r="B96">
        <v>4</v>
      </c>
      <c r="C96">
        <v>3</v>
      </c>
      <c r="D96">
        <v>7</v>
      </c>
      <c r="E96">
        <v>1</v>
      </c>
      <c r="F96" s="3">
        <f>669+(252.6-38.3)+(0+(0-0))+0-0-0</f>
        <v>883.3</v>
      </c>
      <c r="G96" s="3">
        <f>669+(226.7-41.8)+(-0.68238+(-0.231234--0.042636))+0-0-0</f>
        <v>853.02902199999994</v>
      </c>
      <c r="H96" s="3">
        <f>669+(205.9-44.6)+(-0.34119+(-0.105009--0.022746))+0-0-0</f>
        <v>829.87654699999996</v>
      </c>
      <c r="I96" s="3">
        <f>669+(191.3-48.2)+(-1.36476+(-0.390252--0.098328))+0-0-0</f>
        <v>810.44331599999998</v>
      </c>
      <c r="J96" s="3">
        <f>666+(173.7-51.5)+(0.67932+(0.177174-0.05253))+0-0-0</f>
        <v>789.003964</v>
      </c>
      <c r="K96" s="3">
        <f>664+(138.3-60.7)+(-1.01592+(-0.211599--0.092871))+0-0-0</f>
        <v>740.46535200000005</v>
      </c>
      <c r="L96" s="3">
        <f>524+(186.1-34)+(-0.53448+(-0.189822--0.03468))+0-0-0</f>
        <v>675.41037800000004</v>
      </c>
      <c r="M96" s="3">
        <f>544+(147.3-32.3)+(0.83232+(0.225369-0.049419))+0-0-0</f>
        <v>660.00827000000004</v>
      </c>
      <c r="N96" s="3">
        <f>590+(120.6-49)+(0+(0-0))+0-0-0</f>
        <v>661.6</v>
      </c>
      <c r="O96" s="3">
        <f>589+(135.3-44.9)+(-0.60078+(-0.138006--0.045798))+0-0-0</f>
        <v>678.70701199999996</v>
      </c>
      <c r="P96" s="3">
        <f>588+(161.3-44.6)+(0.59976+(0.164526-0.045492))+0-0-0</f>
        <v>705.41879400000005</v>
      </c>
      <c r="Q96" s="3">
        <f>620+(186.5-43.3)+(0.3162+(0.095115-0.022083))+0-0-0</f>
        <v>763.58923200000004</v>
      </c>
      <c r="R96" s="3">
        <f>620+(212.5-40)+(0.3162+(0.108375-0.0204))+0-0-0</f>
        <v>792.90417500000001</v>
      </c>
      <c r="S96" s="3">
        <f>626+(233.7-39.4)+(-0.31926+(-0.119187--0.020094))+0-0-0</f>
        <v>819.88164699999993</v>
      </c>
      <c r="T96" s="3">
        <f>626+(233.2-45.3)+(0+(0-0))+0-0-0</f>
        <v>813.9</v>
      </c>
      <c r="U96" s="3">
        <f>641+(222.5-51.4)+(-0.65382+(-0.22695--0.052428))+0-0-0</f>
        <v>811.271658</v>
      </c>
      <c r="V96" s="3">
        <f>641+(200.7-60.5)+(0.65382+(0.204714-0.06171))+0-0-0</f>
        <v>781.99682400000006</v>
      </c>
      <c r="W96" s="3">
        <f>641+(155-69.6)+(-0.32691+(-0.07905--0.035496))+0-0-0</f>
        <v>726.02953600000001</v>
      </c>
      <c r="X96" s="3">
        <f>606+(221-73.8)+(-0.61812+(-0.22542--0.075276))+0-0-0</f>
        <v>752.431736</v>
      </c>
      <c r="Y96" s="3">
        <f>606+(173.6-42.2)+(-0.61812+(-0.177072--0.043044))+0-0-0</f>
        <v>736.64785199999994</v>
      </c>
      <c r="Z96" s="3">
        <f>606+(302.1-30)+(-0.61812+(-0.308142--0.0306))+0-0-0</f>
        <v>877.20433800000001</v>
      </c>
      <c r="AA96" s="3">
        <f>606+(348.5-31)+(-1.85436+(-1.06641--0.09486))+0-0-0</f>
        <v>920.67408999999998</v>
      </c>
      <c r="AB96" s="3">
        <f>606+(359.1-32)+(-0.61812+(-0.366282--0.03264))+0-0-0</f>
        <v>932.14823799999999</v>
      </c>
      <c r="AC96" s="3">
        <f>606+(351.5-32)+(-0.30906+(-0.179265--0.01632))+0-0-0</f>
        <v>925.02799500000003</v>
      </c>
      <c r="AD96">
        <v>958.3</v>
      </c>
      <c r="AE96" s="3">
        <f>621+(367.3-30)+(0+(0-0))+0-0-0</f>
        <v>958.3</v>
      </c>
    </row>
    <row r="97" spans="1:31" s="2" customFormat="1" x14ac:dyDescent="0.3">
      <c r="A97">
        <v>90</v>
      </c>
      <c r="B97">
        <v>4</v>
      </c>
      <c r="C97">
        <v>4</v>
      </c>
      <c r="D97">
        <v>1</v>
      </c>
      <c r="E97">
        <v>1</v>
      </c>
      <c r="F97" s="3">
        <f>604+(324.2-30)+(-1.5402+(-0.82671--0.0765))+0-0-0</f>
        <v>895.90959000000009</v>
      </c>
      <c r="G97" s="3">
        <f>580+(325.5-29)+(-1.1832+(-0.66402--0.05916))+0-0-0</f>
        <v>874.71194000000003</v>
      </c>
      <c r="H97" s="3">
        <f>571+(315.6-29)+(-0.29121+(-0.160956--0.01479))+0-0-0</f>
        <v>857.16262400000005</v>
      </c>
      <c r="I97" s="3">
        <f>507+(325.3-29)+(-0.77571+(-0.497709--0.04437))+0-0-0</f>
        <v>802.07095099999992</v>
      </c>
      <c r="J97" s="3">
        <f>495+(340.3-30)+(-0.5049+(-0.347106--0.0306))+0-0-0</f>
        <v>804.47859399999993</v>
      </c>
      <c r="K97" s="3">
        <f>495+(281.8-32)+(-1.5147+(-0.862308--0.09792))+0-0-0</f>
        <v>742.52091199999995</v>
      </c>
      <c r="L97" s="3">
        <f>483+(232.8-33)+(-0.98532+(-0.474912--0.06732))+0-0-0</f>
        <v>681.40708799999993</v>
      </c>
      <c r="M97" s="3">
        <f>524+(194.8-30)+(0+(0-0))+0-0-0</f>
        <v>688.8</v>
      </c>
      <c r="N97" s="3">
        <f>609+(152.7-57.5)+(-0.93177+(-0.233631--0.087975))+0-0-0</f>
        <v>703.1225740000001</v>
      </c>
      <c r="O97" s="3">
        <f>619+(170.5-55.7)+(0.63138+(0.17391-0.056814))+0-0-0</f>
        <v>734.54847599999994</v>
      </c>
      <c r="P97" s="3">
        <f>619+(194.9-51.1)+(-0.31569+(-0.099399--0.026061))+0-0-0</f>
        <v>762.4109719999999</v>
      </c>
      <c r="Q97" s="3">
        <f>620+(229.1-40.2)+(-0.3162+(-0.116841--0.020502))+0-0-0</f>
        <v>808.48746099999994</v>
      </c>
      <c r="R97" s="3">
        <f>621+(303.3-33)+(0.31671+(0.154683-0.01683))+0-0-0</f>
        <v>891.75456299999996</v>
      </c>
      <c r="S97" s="3">
        <f>621+(338.4-33)+(-0.31671+(-0.172584--0.01683))+0-0-0</f>
        <v>925.92753600000003</v>
      </c>
      <c r="T97" s="3">
        <f>656+(307-33)+(-0.66912+(-0.31314--0.03366))+0-0-0</f>
        <v>929.05139999999994</v>
      </c>
      <c r="U97" s="3">
        <f>683+(273.7-37.9)+(-1.04499+(-0.418761--0.057987))+0-0-0</f>
        <v>917.39423599999998</v>
      </c>
      <c r="V97" s="3">
        <f>704+(171.5-50.8)+(-1.7952+(-0.437325--0.12954))+41.2-0-0</f>
        <v>863.7970150000001</v>
      </c>
      <c r="W97" s="3">
        <f>720+(154-63.3)+(-2.5704+(-0.54978--0.225981))+42.9-0-0</f>
        <v>850.70580100000006</v>
      </c>
      <c r="X97" s="3">
        <f>715+(96-80.1)+(-2.1879+(-0.29376--0.245106))+0-0-0</f>
        <v>728.66344600000002</v>
      </c>
      <c r="Y97" s="3">
        <f>619+(186-31)+(-1.26276+(-0.37944--0.06324))+0-0-0</f>
        <v>772.42103999999995</v>
      </c>
      <c r="Z97" s="3">
        <f>644+(287.1-32)+(0+(0-0))+0-0-0</f>
        <v>899.1</v>
      </c>
      <c r="AA97" s="3">
        <f>736+(240-33)+(-0.75072+(-0.2448--0.03366))+0-0-0</f>
        <v>942.03814</v>
      </c>
      <c r="AB97" s="3">
        <f>734+(255.9-33.8)+(-1.12302+(-0.391527--0.051714))+0-0-0</f>
        <v>954.63716699999998</v>
      </c>
      <c r="AC97" s="3">
        <f>694+(260.9-32)+(-0.35394+(-0.133059--0.01632))+0-0-0</f>
        <v>922.42932099999996</v>
      </c>
      <c r="AD97">
        <v>934</v>
      </c>
      <c r="AE97" s="3">
        <f>734+(236.7-36.7)+(0+(0-0))+0-0-0</f>
        <v>934</v>
      </c>
    </row>
    <row r="98" spans="1:31" s="2" customFormat="1" x14ac:dyDescent="0.3">
      <c r="A98">
        <v>90</v>
      </c>
      <c r="B98">
        <v>4</v>
      </c>
      <c r="C98">
        <v>5</v>
      </c>
      <c r="D98">
        <v>2</v>
      </c>
      <c r="E98">
        <v>1</v>
      </c>
      <c r="F98" s="3">
        <f>674+(256.4-34.9)+(-1.03122+(-0.392292--0.053397))+0-0-0</f>
        <v>894.12988499999994</v>
      </c>
      <c r="G98" s="3">
        <f>642+(268.2-30)+(-0.98226+(-0.410346--0.0459))+0-0-0</f>
        <v>878.85329400000001</v>
      </c>
      <c r="H98" s="3">
        <f>640+(249.4-29)+(-0.6528+(-0.254388--0.02958))+0-0-0</f>
        <v>859.52239199999997</v>
      </c>
      <c r="I98" s="3">
        <f>639+(230.1-29)+(0.97767+(0.352053-0.04437))+0-0-0</f>
        <v>841.38535300000001</v>
      </c>
      <c r="J98" s="3">
        <f>509+(348.8-30)+(0+(0-0))+0-0-0</f>
        <v>827.8</v>
      </c>
      <c r="K98" s="3">
        <f>499+(299.2-32)+(-0.50898+(-0.305184--0.03264))+0-0-0</f>
        <v>765.41847600000006</v>
      </c>
      <c r="L98" s="3">
        <f>464+(282.6-32)+(-0.94656+(-0.576504--0.06528))+0-0-0</f>
        <v>713.14221600000008</v>
      </c>
      <c r="M98" s="3">
        <f>464+(272.6-31)+(1.41984+(0.834156-0.09486))+0-0-0</f>
        <v>707.75913600000001</v>
      </c>
      <c r="N98" s="3">
        <f>519+(232.9-30)+(-1.05876+(-0.475116--0.0612))+0-0-0</f>
        <v>720.427324</v>
      </c>
      <c r="O98" s="3">
        <f>626+(176-50.1)+(-0.31926+(-0.08976--0.025551))+0-0-0</f>
        <v>751.51653099999999</v>
      </c>
      <c r="P98" s="3">
        <f>629+(197.6-41.9)+(-0.32079+(-0.100776--0.021369))+0-0-0</f>
        <v>784.299803</v>
      </c>
      <c r="Q98" s="3">
        <f>642+(229.4-34.2)+(-0.32742+(-0.116994--0.017442))+0-0-0</f>
        <v>836.77302800000007</v>
      </c>
      <c r="R98" s="3">
        <f>642+(280-31)+(0+(0-0))+0-0-0</f>
        <v>891</v>
      </c>
      <c r="S98" s="3">
        <f>665+(298.9-32)+(-0.6783+(-0.304878--0.03264))+0-0-0</f>
        <v>930.94946199999993</v>
      </c>
      <c r="T98" s="3">
        <f>680+(282.9-32)+(-1.3872+(-0.577116--0.06528))+0-0-0</f>
        <v>929.00096399999995</v>
      </c>
      <c r="U98" s="3">
        <f>679+(274.6-30)+(-1.03887+(-0.420138--0.0459))+0-0-0</f>
        <v>922.18689200000006</v>
      </c>
      <c r="V98" s="3">
        <f>683+(239.9-39.1)+(-0.34833+(-0.122349--0.019941))+0-0-0</f>
        <v>883.34926199999995</v>
      </c>
      <c r="W98" s="3">
        <f>675+(208.9-46.7)+(-0.34425+(-0.106539--0.023817))+0-0-0</f>
        <v>836.77302800000007</v>
      </c>
      <c r="X98" s="3">
        <f>675+(125.7-60.5)+(-2.0655+(-0.384642--0.18513))+0-0-0</f>
        <v>737.93498800000009</v>
      </c>
      <c r="Y98" s="3">
        <f>685+(138.4-48.9)+(-1.04805+(-0.211752--0.074817))+0-0-0</f>
        <v>773.31501500000002</v>
      </c>
      <c r="Z98" s="3">
        <f>685+(243.7-28)+(-1.04805+(-0.372861--0.04284))+0-0-0</f>
        <v>899.32192900000007</v>
      </c>
      <c r="AA98" s="3">
        <f>685+(285.2-33)+(-0.34935+(-0.145452--0.01683))+0-0-0</f>
        <v>936.72202800000002</v>
      </c>
      <c r="AB98" s="3">
        <f>685+(305.7-34)+(-1.3974+(-0.623628--0.06936))+0-0-0</f>
        <v>954.748332</v>
      </c>
      <c r="AC98" s="3">
        <f>680+(294.4-34)+(-0.6936+(-0.300288--0.03468))+0-0-0</f>
        <v>939.44079199999999</v>
      </c>
      <c r="AD98">
        <v>946.2</v>
      </c>
      <c r="AE98" s="3">
        <f>686+(293.2-33)+(0+(0-0))+0-0-0</f>
        <v>946.2</v>
      </c>
    </row>
    <row r="99" spans="1:31" s="2" customFormat="1" x14ac:dyDescent="0.3">
      <c r="A99">
        <v>90</v>
      </c>
      <c r="B99">
        <v>4</v>
      </c>
      <c r="C99">
        <v>6</v>
      </c>
      <c r="D99">
        <v>3</v>
      </c>
      <c r="E99">
        <v>1</v>
      </c>
      <c r="F99" s="3">
        <f>662+(276.9-33)+(-1.01286+(-0.423657--0.05049))+0-0-0</f>
        <v>904.51397299999996</v>
      </c>
      <c r="G99" s="3">
        <f>660+(242.6-26.4)+(-1.3464+(-0.494904--0.053856))+0-0-0</f>
        <v>874.41255200000001</v>
      </c>
      <c r="H99" s="3">
        <f>630+(259.9-23)+(-1.2852+(-0.530196--0.04692))+0-0-0</f>
        <v>865.13152400000001</v>
      </c>
      <c r="I99" s="3">
        <f>630+(237.1-45)+(-1.6065+(-0.604605--0.11475))+0-0-0</f>
        <v>820.00364500000001</v>
      </c>
      <c r="J99" s="3">
        <f>629+(232.2-49)+(-1.92474+(-0.710532--0.14994))+0-0-0</f>
        <v>809.71466800000007</v>
      </c>
      <c r="K99" s="3">
        <f>610+(188.6-54)+(-1.5555+(-0.48093--0.1377))+0-0-0</f>
        <v>742.70127000000002</v>
      </c>
      <c r="L99" s="3">
        <f>547+(181.6-33)+(-0.27897+(-0.092616--0.01683))+0-0-0</f>
        <v>695.24524400000007</v>
      </c>
      <c r="M99" s="3">
        <f>545+(183.5-31)+(-0.27795+(-0.093585--0.01581))+0-0-0</f>
        <v>697.14427499999999</v>
      </c>
      <c r="N99" s="3">
        <f>559+(191.1-35.3)+(0.28509+(0.097461-0.018003))+0-0-0</f>
        <v>715.16454799999997</v>
      </c>
      <c r="O99" s="3">
        <f>605+(181.9-47.3)+(-0.30855+(-0.092769--0.024123))+0-0-0</f>
        <v>739.222804</v>
      </c>
      <c r="P99" s="3">
        <f>605+(204.6-47.1)+(-0.30855+(-0.104346--0.024021))+0-0-0</f>
        <v>762.11112500000002</v>
      </c>
      <c r="Q99" s="3">
        <f>611+(246.6-37.4)+(0+(0-0))+0-0-0</f>
        <v>820.2</v>
      </c>
      <c r="R99" s="3">
        <f>665+(251.3-28)+(0+(0-0))+0-0-0</f>
        <v>888.3</v>
      </c>
      <c r="S99" s="3">
        <f>672+(264.7-30)+(-0.68544+(-0.269994--0.0306))+0-0-0</f>
        <v>905.77516600000001</v>
      </c>
      <c r="T99" s="3">
        <f>675+(247-38)+(-0.34425+(-0.12597--0.01938))+4.2-0-0</f>
        <v>887.74916000000007</v>
      </c>
      <c r="U99" s="3">
        <f>668+(252.6-40.7)+(0.34068+(0.128826-0.020757))+1.4-0-0</f>
        <v>881.74874899999998</v>
      </c>
      <c r="V99" s="3">
        <f>697+(223.9-27.5)+(-0.35547+(-0.114189--0.014025))+5.7-0-0</f>
        <v>898.64436599999999</v>
      </c>
      <c r="W99" s="3">
        <f>706+(168.2-36.4)+(-2.52042+(-0.600474--0.129948))+6.1-0-0</f>
        <v>840.90905399999997</v>
      </c>
      <c r="X99" s="3">
        <f>708+(114.6-39.6)+(-2.16648+(-0.350676--0.121176))+5.5-0-0</f>
        <v>786.10401999999999</v>
      </c>
      <c r="Y99" s="3">
        <f>621+(191-1)+(-0.31671+(-0.09741--0.00051))+0-0-0</f>
        <v>810.58639000000005</v>
      </c>
      <c r="Z99" s="3">
        <f>639+(307.7-10)+(0.32589+(0.156927-0.0051))+0-0-0</f>
        <v>937.17771700000003</v>
      </c>
      <c r="AA99" s="3">
        <f>687+(301.7-18)+(-1.40148+(-0.615468--0.03672))+0-0-0</f>
        <v>968.71977200000003</v>
      </c>
      <c r="AB99" s="3">
        <f>688+(311.9-22)+(-0.35088+(-0.159069--0.01122))+0-0-0</f>
        <v>977.40127099999995</v>
      </c>
      <c r="AC99" s="3">
        <f>689+(307.9-23)+(0+(0-0))+0-0-0</f>
        <v>973.9</v>
      </c>
      <c r="AD99">
        <v>960.9</v>
      </c>
      <c r="AE99" s="3">
        <f>688+(294.9-22)+(0+(0-0))+0-0-0</f>
        <v>960.9</v>
      </c>
    </row>
    <row r="100" spans="1:31" s="2" customFormat="1" x14ac:dyDescent="0.3">
      <c r="A100">
        <v>90</v>
      </c>
      <c r="B100">
        <v>4</v>
      </c>
      <c r="C100">
        <v>7</v>
      </c>
      <c r="D100">
        <v>4</v>
      </c>
      <c r="E100">
        <v>1</v>
      </c>
      <c r="F100" s="3">
        <f>664+(293.6-23)+(-1.6932+(-0.74868--0.05865))+0-0-0</f>
        <v>932.21677</v>
      </c>
      <c r="G100" s="3">
        <f>665+(261.1-23)+(-1.3566+(-0.532644--0.04692))+0-0-0</f>
        <v>901.25767600000006</v>
      </c>
      <c r="H100" s="3">
        <f>642+(249.9-24)+(-0.65484+(-0.254898--0.02448))+0-0-0</f>
        <v>867.01474199999996</v>
      </c>
      <c r="I100" s="3">
        <f>632+(247-24)+(-0.96696+(-0.37791--0.03672))+0-0-0</f>
        <v>853.69185000000004</v>
      </c>
      <c r="J100" s="3">
        <f>629+(223-24)+(-1.60395+(-0.56865--0.0612))+0-0-0</f>
        <v>825.8886</v>
      </c>
      <c r="K100" s="3">
        <f>625+(177-39.5)+(-1.59375+(-0.45135--0.100725))+0-0-0</f>
        <v>760.55562499999996</v>
      </c>
      <c r="L100" s="3">
        <f>556+(186.2-27)+(0.28356+(0.094962-0.01377))+0-0-0</f>
        <v>715.564752</v>
      </c>
      <c r="M100" s="3">
        <f>553+(182.4-28)+(-0.84609+(-0.279072--0.04284))+0-0-0</f>
        <v>706.317678</v>
      </c>
      <c r="N100" s="3">
        <f>551+(200.5-29)+(0.28101+(0.102255-0.01479))+0-0-0</f>
        <v>722.86847499999999</v>
      </c>
      <c r="O100" s="3">
        <f>564+(209-30)+(0+(0-0))+0-0-0</f>
        <v>743</v>
      </c>
      <c r="P100" s="3">
        <f>615+(207.8-39.4)+(-0.31365+(-0.105978--0.020094))+0-0-0</f>
        <v>783.00046599999996</v>
      </c>
      <c r="Q100" s="3">
        <f>616+(241.4-32)+(0.62832+(0.246228-0.03264))+0-0-0</f>
        <v>826.24190799999997</v>
      </c>
      <c r="R100" s="3">
        <f>615+(335.1-32)+(0.6273+(0.341802-0.03264))+0-0-0</f>
        <v>919.03646200000003</v>
      </c>
      <c r="S100" s="3">
        <f>622+(336.2-32)+(0+(0-0))+0-0-0</f>
        <v>926.2</v>
      </c>
      <c r="T100" s="3">
        <f>656+(285.3-31)+(-0.33456+(-0.145503--0.01581))+0-0-0</f>
        <v>909.83574699999997</v>
      </c>
      <c r="U100" s="3">
        <f>681+(255-42)+(-0.34731+(-0.13005--0.02142))+0-0-0</f>
        <v>893.54405999999994</v>
      </c>
      <c r="V100" s="3">
        <f>684+(212.4-45)+(-1.04652+(-0.324972--0.06885))+0-0-0</f>
        <v>850.09735799999999</v>
      </c>
      <c r="W100" s="3">
        <f>704+(166.8-55)+(0.71808+(0.170136-0.0561))+0-0-0</f>
        <v>816.632116</v>
      </c>
      <c r="X100" s="3">
        <f>667+(123.7-39)+(-1.36068+(-0.252348--0.07956))+0-0-0</f>
        <v>750.16653200000007</v>
      </c>
      <c r="Y100" s="3">
        <f>650+(172.4-29)+(-0.663+(-0.175848--0.02958))+0-0-0</f>
        <v>792.590732</v>
      </c>
      <c r="Z100" s="3">
        <f>703+(230.6-30)+(0+(0-0))+0-0-0</f>
        <v>903.6</v>
      </c>
      <c r="AA100" s="3">
        <f>723+(249.6-32)+(-0.36873+(-0.127296--0.01632))+0-0-0</f>
        <v>940.12029400000006</v>
      </c>
      <c r="AB100" s="3">
        <f>721+(267.9-31)+(-1.10313+(-0.409887--0.04743))+0-0-0</f>
        <v>956.43441299999995</v>
      </c>
      <c r="AC100" s="3">
        <f>693+(261-31)+(0+(0-0))+0-0-0</f>
        <v>923</v>
      </c>
      <c r="AD100">
        <v>945.8</v>
      </c>
      <c r="AE100" s="3">
        <f>724+(253.8-32)+(0+(0-0))+0-0-0</f>
        <v>945.8</v>
      </c>
    </row>
    <row r="101" spans="1:31" s="2" customFormat="1" x14ac:dyDescent="0.3">
      <c r="A101">
        <v>90</v>
      </c>
      <c r="B101">
        <v>4</v>
      </c>
      <c r="C101">
        <v>8</v>
      </c>
      <c r="D101">
        <v>5</v>
      </c>
      <c r="E101">
        <v>1</v>
      </c>
      <c r="F101" s="3">
        <f>658+(254.9-31)+(-1.00674+(-0.389997--0.04743))+0-0-0</f>
        <v>880.55069300000002</v>
      </c>
      <c r="G101" s="3">
        <f>648+(238.8-31)+(0+(0-0))+0-0-0</f>
        <v>855.8</v>
      </c>
      <c r="H101" s="3">
        <f>627+(243.1-30)+(-1.59885+(-0.619905--0.0765))+0-0-0</f>
        <v>837.95774500000005</v>
      </c>
      <c r="I101" s="3">
        <f>629+(212.5-30)+(-0.96237+(-0.325125--0.0459))+0-0-0</f>
        <v>810.25840500000004</v>
      </c>
      <c r="J101" s="3">
        <f>625+(202.7-34)+(-0.95625+(-0.310131--0.05202))+0-0-0</f>
        <v>792.48563899999999</v>
      </c>
      <c r="K101" s="3">
        <f>625+(161.3-40)+(-1.9125+(-0.493578--0.1224))+0-0-0</f>
        <v>744.01632199999995</v>
      </c>
      <c r="L101" s="3">
        <f>537+(195.7-30)+(-0.54774+(-0.199614--0.0306))+0-0-0</f>
        <v>701.98324600000001</v>
      </c>
      <c r="M101" s="3">
        <f>479+(256.1-29)+(0.24429+(0.130611-0.01479))+0-0-0</f>
        <v>706.46011099999998</v>
      </c>
      <c r="N101" s="3">
        <f>481+(239.1-29)+(0.49062+(0.243882-0.02958))+0-0-0</f>
        <v>691.80492200000003</v>
      </c>
      <c r="O101" s="3">
        <f>555+(203.5-29)+(-0.84915+(-0.311355--0.04437))+0-0-0</f>
        <v>728.38386500000001</v>
      </c>
      <c r="P101" s="3">
        <f>602+(189.1-43)+(0+(0-0))+0-0-0</f>
        <v>748.1</v>
      </c>
      <c r="Q101" s="3">
        <f>665+(207.5-32)+(0.33915+(0.105825-0.01632))+0-0-0</f>
        <v>840.92865500000005</v>
      </c>
      <c r="R101" s="3">
        <f>677+(255.3-33)+(-0.34527+(-0.130203--0.01683))+0-0-0</f>
        <v>898.8413569999999</v>
      </c>
      <c r="S101" s="3">
        <f>677+(278.1-33)+(-1.38108+(-0.567324--0.06732))+0-0-0</f>
        <v>920.21891600000004</v>
      </c>
      <c r="T101" s="3">
        <f>678+(267.3-32)+(0.34578+(0.136323-0.01632))+0-0-0</f>
        <v>913.76578299999994</v>
      </c>
      <c r="U101" s="3">
        <f>680+(260.7-32)+(-1.734+(-0.664785--0.0816))+0-0-0</f>
        <v>906.38281500000005</v>
      </c>
      <c r="V101" s="3">
        <f>676+(241-40)+(0+(0-0))+0-0-0</f>
        <v>877</v>
      </c>
      <c r="W101" s="3">
        <f>668+(206.9-57)+(-1.02204+(-0.316557--0.08721))+0-0-0</f>
        <v>816.64861299999995</v>
      </c>
      <c r="X101" s="3">
        <f>683+(132.1-60)+(-1.39332+(-0.269484--0.1224))+0-0-0</f>
        <v>753.55959600000006</v>
      </c>
      <c r="Y101" s="3">
        <f>640+(217.6-33)+(-0.6528+(-0.221952--0.03366))+0-0-0</f>
        <v>823.75890800000002</v>
      </c>
      <c r="Z101" s="3">
        <f>625+(298.4-33)+(-1.275+(-0.608736--0.06732))+0-0-0</f>
        <v>888.58358399999997</v>
      </c>
      <c r="AA101" s="3">
        <f>684+(284.6-34)+(-1.04652+(-0.435438--0.05202))+0-0-0</f>
        <v>933.17006200000003</v>
      </c>
      <c r="AB101" s="3">
        <f>685+(286.2-33)+(-1.04805+(-0.437886--0.05049))+0-0-0</f>
        <v>936.76455400000009</v>
      </c>
      <c r="AC101" s="3">
        <f>671+(277.6-32)+(0.68442+(0.283152-0.03264))+0-0-0</f>
        <v>917.53493200000003</v>
      </c>
      <c r="AD101">
        <v>935.8</v>
      </c>
      <c r="AE101" s="3">
        <f>684+(284.8-33)+(0+(0-0))+0-0-0</f>
        <v>935.8</v>
      </c>
    </row>
    <row r="102" spans="1:31" s="2" customFormat="1" x14ac:dyDescent="0.3">
      <c r="A102">
        <v>90</v>
      </c>
      <c r="B102">
        <v>4</v>
      </c>
      <c r="C102">
        <v>9</v>
      </c>
      <c r="D102">
        <v>6</v>
      </c>
      <c r="E102">
        <v>3</v>
      </c>
      <c r="F102" s="3">
        <f>675+(260.2-27)+(-0.34425+(-0.132702--0.01377))+0-0-0</f>
        <v>907.73681800000008</v>
      </c>
      <c r="G102" s="3">
        <f>674+(243.3-23)+(-0.68748+(-0.248166--0.02346))+0-0-0</f>
        <v>893.38781399999993</v>
      </c>
      <c r="H102" s="3">
        <f>640+(248.1-25)+(-0.6528+(-0.253062--0.0255))+0-0-0</f>
        <v>862.21963800000003</v>
      </c>
      <c r="I102" s="3">
        <f>640+(225.3-30)+(0.3264+(0.114903-0.0153))+0-0-0</f>
        <v>835.72600299999999</v>
      </c>
      <c r="J102" s="3">
        <f>638+(205.6-31)+(-0.97614+(-0.314568--0.04743))+0-0-0</f>
        <v>811.35672199999999</v>
      </c>
      <c r="K102" s="3">
        <f>623+(169.7-50)+(-1.58865+(-0.432735--0.1275))+0-0-0</f>
        <v>740.80611500000009</v>
      </c>
      <c r="L102" s="3">
        <f>528+(186.7-42)+(-1.61568+(-0.571302--0.12852))+0-0-0</f>
        <v>670.64153800000008</v>
      </c>
      <c r="M102" s="3">
        <f>493+(187.1-49)+(-0.25143+(-0.095421--0.02499))+0-0-0</f>
        <v>630.77813900000001</v>
      </c>
      <c r="N102" s="3">
        <f>491+(190.5-48)+(-0.25041+(-0.097155--0.02448))+0-0-0</f>
        <v>633.17691500000001</v>
      </c>
      <c r="O102" s="3">
        <f>490+(204-53)+(0+(0-0))+0-0-0</f>
        <v>641</v>
      </c>
      <c r="P102" s="3">
        <f>488+(239.2-63)+(0+(0-0))+0-0-0</f>
        <v>664.2</v>
      </c>
      <c r="Q102" s="3">
        <f>487+(277-68)+(-0.74511+(-0.42381--0.10404))+0-0-0</f>
        <v>694.93511999999998</v>
      </c>
      <c r="R102" s="3">
        <f>540+(316.5-32)+(-0.2754+(-0.161415--0.01632))+0-0-0</f>
        <v>824.07950500000004</v>
      </c>
      <c r="S102" s="3">
        <f>577+(305.2-32)+(-1.47135+(-0.77826--0.0816))+0-0-0</f>
        <v>848.03199000000006</v>
      </c>
      <c r="T102" s="3">
        <f>612+(298.6-31)+(0.31212+(0.152286-0.01581))+0-0-0</f>
        <v>880.04859599999997</v>
      </c>
      <c r="U102" s="3">
        <f>600+(308.2-31)+(0.306+(0.157182-0.01581))+0-0-0</f>
        <v>877.64737200000002</v>
      </c>
      <c r="V102" s="3">
        <f>607+(254.2-41)+(-0.61914+(-0.259284--0.04182))+0-0-0</f>
        <v>819.36339600000008</v>
      </c>
      <c r="W102" s="3">
        <f>650+(182.9-54)+(-0.9945+(-0.279837--0.08262))+7.9-0-0</f>
        <v>785.60828299999991</v>
      </c>
      <c r="X102" s="3">
        <f>654+(120.5-59)+(-1.33416+(-0.24582--0.12036))+0-0-0</f>
        <v>714.04038000000003</v>
      </c>
      <c r="Y102" s="3">
        <f>656+(140.9-33)+(-1.00368+(-0.215577--0.05049))+0-0-0</f>
        <v>762.73123299999997</v>
      </c>
      <c r="Z102" s="3">
        <f>656+(248.5-32)+(0.33456+(0.126735-0.01632))+0-0-0</f>
        <v>872.944975</v>
      </c>
      <c r="AA102" s="3">
        <f>656+(277.1-29)+(-1.00368+(-0.423963--0.04437))+0-0-0</f>
        <v>902.71672699999999</v>
      </c>
      <c r="AB102" s="3">
        <f>656+(284.7-29)+(-0.66912+(-0.290394--0.02958))+0-0-0</f>
        <v>910.77006600000004</v>
      </c>
      <c r="AC102" s="3">
        <f>649+(273.1-32)+(0.66198+(0.278562-0.03264))+0-0-0</f>
        <v>891.00790200000006</v>
      </c>
      <c r="AD102">
        <v>896.8</v>
      </c>
      <c r="AE102" s="3">
        <f>655+(274.8-33)+(0+(0-0))+0-0-0</f>
        <v>896.8</v>
      </c>
    </row>
    <row r="103" spans="1:31" s="2" customFormat="1" x14ac:dyDescent="0.3">
      <c r="A103">
        <v>90</v>
      </c>
      <c r="B103">
        <v>4</v>
      </c>
      <c r="C103">
        <v>10</v>
      </c>
      <c r="D103">
        <v>7</v>
      </c>
      <c r="E103">
        <v>1</v>
      </c>
      <c r="F103" s="3">
        <f>631+(263.1-32)+(-0.64362+(-0.268362--0.03264))+0-0-0</f>
        <v>861.22065800000007</v>
      </c>
      <c r="G103" s="3">
        <f>631+(241.5-29)+(-0.32181+(-0.123165--0.01479))+0-0-0</f>
        <v>843.06981499999995</v>
      </c>
      <c r="H103" s="3">
        <f>630+(210.2-28)+(-1.2852+(-0.428808--0.05712))+0-0-0</f>
        <v>810.54311200000006</v>
      </c>
      <c r="I103" s="3">
        <f>632+(203.7-27)+(-1.6116+(-0.519435--0.06885))+0-0-0</f>
        <v>806.63781500000005</v>
      </c>
      <c r="J103" s="3">
        <f>629+(189.1-28)+(0.64158+(0.192882-0.02856))+0-0-0</f>
        <v>790.90590199999997</v>
      </c>
      <c r="K103" s="3">
        <f>598+(178.2-29)+(-1.5249+(-0.45441--0.07395))+0-0-0</f>
        <v>745.29464000000007</v>
      </c>
      <c r="L103" s="3">
        <f>493+(213.9-30)+(-0.25143+(-0.109089--0.0153))+0-0-0</f>
        <v>676.55478099999993</v>
      </c>
      <c r="M103" s="3">
        <f>493+(186.7-29)+(-0.50286+(-0.190434--0.02958))+0-0-0</f>
        <v>650.03628600000002</v>
      </c>
      <c r="N103" s="3">
        <f>493+(186.2-28)+(-0.50286+(-0.189924--0.02856))+0-0-0</f>
        <v>650.53577600000006</v>
      </c>
      <c r="O103" s="3">
        <f>493+(194.5-26)+(0.25143+(0.099195-0.01326))+0-0-0</f>
        <v>661.83736499999998</v>
      </c>
      <c r="P103" s="3">
        <f>517+(191.9-33)+(-0.52734+(-0.195738--0.03366))+0-0-0</f>
        <v>675.21058199999993</v>
      </c>
      <c r="Q103" s="3">
        <f>550+(230.2-34)+(0+(0-0))+0-0-0</f>
        <v>746.2</v>
      </c>
      <c r="R103" s="3">
        <f>550+(284.7-34)+(0.8415+(0.435591-0.05202))+0-0-0</f>
        <v>801.925071</v>
      </c>
      <c r="S103" s="3">
        <f>550+(265.9-33)+(0+(0-0))+0-0-0</f>
        <v>782.9</v>
      </c>
      <c r="T103" s="3">
        <f>550+(273.3-32)+(0.2805+(0.139383-0.01632))+0-0-0</f>
        <v>791.70356299999992</v>
      </c>
      <c r="U103" s="3">
        <f>550+(277.2-34)+(-1.683+(-0.848232--0.10404))+0-0-0</f>
        <v>790.77280800000005</v>
      </c>
      <c r="V103" s="3">
        <f>550+(235-39)+(0.8415+(0.35955-0.05967))+0-0-0</f>
        <v>747.14138000000003</v>
      </c>
      <c r="W103" s="3">
        <f>550+(207.5-30)+(-1.4025+(-0.529125--0.0765))+0-0-0</f>
        <v>725.64487499999996</v>
      </c>
      <c r="X103" s="3">
        <f>550+(178.7-30)+(-1.4025+(-0.455685--0.0765))+0-0-0</f>
        <v>696.91831500000001</v>
      </c>
      <c r="Y103" s="3">
        <f>623+(266.3-31)+(-0.63546+(-0.271626--0.03162))+0-0-0</f>
        <v>857.42453399999999</v>
      </c>
      <c r="Z103" s="3">
        <f>623+(333.6-32)+(-0.63546+(-0.340272--0.03264))+0-0-0</f>
        <v>923.65690800000004</v>
      </c>
      <c r="AA103" s="3">
        <f>623+(298.4-32)+(-1.27092+(-0.608736--0.06528))+0-0-0</f>
        <v>887.58562399999994</v>
      </c>
      <c r="AB103" s="3">
        <f>623+(303.3-32)+(-0.63546+(-0.309366--0.03264))+0-0-0</f>
        <v>893.38781399999993</v>
      </c>
      <c r="AC103" s="3">
        <f>623+(277.1-32)+(-0.95319+(-0.423963--0.04896))+0-0-0</f>
        <v>866.77180699999997</v>
      </c>
      <c r="AD103">
        <v>914.9</v>
      </c>
      <c r="AE103" s="3">
        <f>655+(293.9-34)+(0+(0-0))+0-0-0</f>
        <v>914.9</v>
      </c>
    </row>
    <row r="104" spans="1:31" s="2" customFormat="1" x14ac:dyDescent="0.3">
      <c r="A104">
        <v>90</v>
      </c>
      <c r="B104">
        <v>4</v>
      </c>
      <c r="C104">
        <v>11</v>
      </c>
      <c r="D104">
        <v>1</v>
      </c>
      <c r="E104">
        <v>1</v>
      </c>
      <c r="F104" s="3">
        <f>634+(270.5-32)+(-0.32334+(-0.137955--0.01632))+0-0-0</f>
        <v>872.055025</v>
      </c>
      <c r="G104" s="3">
        <f>634+(241.9-30)+(-0.64668+(-0.246738--0.0306))+0-0-0</f>
        <v>845.03718200000003</v>
      </c>
      <c r="H104" s="3">
        <f>581+(276.5-28)+(0.59262+(0.28203-0.02856))+0-0-0</f>
        <v>830.34609</v>
      </c>
      <c r="I104" s="3">
        <f>564+(270.2-28)+(-0.28764+(-0.137802--0.01428))+0-0-0</f>
        <v>805.78883800000006</v>
      </c>
      <c r="J104" s="3">
        <f>564+(254.1-28)+(-0.86292+(-0.388773--0.04284))+0-0-0</f>
        <v>788.89114700000005</v>
      </c>
      <c r="K104" s="3">
        <f>562+(197.3-28)+(-2.29296+(-0.804984--0.11424))+0-0-0</f>
        <v>728.31629599999997</v>
      </c>
      <c r="L104" s="3">
        <f>565+(155.8-35)+(-1.1526+(-0.317832--0.0714))+0-0-0</f>
        <v>684.40096799999992</v>
      </c>
      <c r="M104" s="3">
        <f>563+(146.2-34)+(0.86139+(0.223686-0.05202))+0-0-0</f>
        <v>676.23305600000003</v>
      </c>
      <c r="N104" s="3">
        <f>548+(187.1-32)+(0.27948+(0.095421-0.01632))+0-0-0</f>
        <v>703.45858099999998</v>
      </c>
      <c r="O104" s="3">
        <f>609+(156.2-52)+(0.31059+(0.079662-0.02652))+0-0-0</f>
        <v>713.56373200000007</v>
      </c>
      <c r="P104" s="3">
        <f>647+(160.6-52)+(-0.65994+(-0.163812--0.05304))+0-0-0</f>
        <v>754.82928800000002</v>
      </c>
      <c r="Q104" s="3">
        <f>657+(169.7-42)+(-0.33507+(-0.086547--0.02142))+0-0-0</f>
        <v>784.299803</v>
      </c>
      <c r="R104" s="3">
        <f>652+(242.2-33)+(-0.66504+(-0.247044--0.03366))+0-0-0</f>
        <v>860.32157600000005</v>
      </c>
      <c r="S104" s="3">
        <f>652+(287-32)+(-0.33252+(-0.14637--0.01632))+0-0-0</f>
        <v>906.53742999999997</v>
      </c>
      <c r="T104" s="3">
        <f>652+(289.7-32)+(-0.99756+(-0.443241--0.04896))+0-0-0</f>
        <v>908.30815900000005</v>
      </c>
      <c r="U104" s="3">
        <f>657+(270.2-31)+(0+(0-0))+0-0-0</f>
        <v>896.2</v>
      </c>
      <c r="V104" s="3">
        <f>663+(237.5-42)+(-0.67626+(-0.24225--0.04284))+0-0-0</f>
        <v>857.62432999999999</v>
      </c>
      <c r="W104" s="3">
        <f>678+(177.4-53)+(-1.7289+(-0.45237--0.13515))+0-0-0</f>
        <v>800.35388</v>
      </c>
      <c r="X104" s="3">
        <f>612+(183.2-32)+(-1.5606+(-0.46716--0.0816))+0-0-0</f>
        <v>761.25384000000008</v>
      </c>
      <c r="Y104" s="3">
        <f>495+(308.8-32)+(-1.5147+(-0.944928--0.09792))+0-0-0</f>
        <v>769.43829199999993</v>
      </c>
      <c r="Z104" s="3">
        <f>581+(332.3-33)+(0.59262+(0.338946-0.03366))+0-0-0</f>
        <v>881.19790599999999</v>
      </c>
      <c r="AA104" s="3">
        <f>638+(313.6-34)+(-0.97614+(-0.479808--0.05202))+0-0-0</f>
        <v>916.19607200000007</v>
      </c>
      <c r="AB104" s="3">
        <f>645+(321.9-33)+(-0.6579+(-0.328338--0.03366))+0-0-0</f>
        <v>932.94742199999996</v>
      </c>
      <c r="AC104" s="3">
        <f>622+(340.2-32)+(0.31722+(0.173502-0.01632))+0-0-0</f>
        <v>930.6744020000001</v>
      </c>
      <c r="AD104">
        <v>929.9</v>
      </c>
      <c r="AE104" s="3">
        <f>648+(315.9-34)+(0+(0-0))+0-0-0</f>
        <v>929.9</v>
      </c>
    </row>
    <row r="105" spans="1:31" s="2" customFormat="1" x14ac:dyDescent="0.3">
      <c r="A105">
        <v>90</v>
      </c>
      <c r="B105">
        <v>4</v>
      </c>
      <c r="C105">
        <v>12</v>
      </c>
      <c r="D105">
        <v>2</v>
      </c>
      <c r="E105">
        <v>1</v>
      </c>
      <c r="F105" s="3">
        <f>574+(346.1-31)+(0+(0-0))+0-0-0</f>
        <v>889.1</v>
      </c>
      <c r="G105" s="3">
        <f>563+(321.4-30)+(-0.28713+(-0.163914--0.0153))+0-0-0</f>
        <v>853.96425599999998</v>
      </c>
      <c r="H105" s="3">
        <f>559+(317.8-30)+(-0.85527+(-0.486234--0.0459))+0-0-0</f>
        <v>845.50439599999993</v>
      </c>
      <c r="I105" s="3">
        <f>559+(291.3-30)+(-0.85527+(-0.445689--0.0459))+0-0-0</f>
        <v>819.04494099999999</v>
      </c>
      <c r="J105" s="3">
        <f>545+(281.3-30)+(-1.38975+(-0.717315--0.0765))+0-0-0</f>
        <v>794.26943499999993</v>
      </c>
      <c r="K105" s="3">
        <f>476+(299.7-31)+(-1.2138+(-0.764235--0.07905))+0-0-0</f>
        <v>742.80101500000001</v>
      </c>
      <c r="L105" s="3">
        <f>480+(242.7-31)+(-0.4896+(-0.247554--0.03162))+0-0-0</f>
        <v>690.9944660000001</v>
      </c>
      <c r="M105" s="3">
        <f>485+(235.7-30)+(-0.24735+(-0.120207--0.0153))+0-0-0</f>
        <v>690.34774300000004</v>
      </c>
      <c r="N105" s="3">
        <f>484+(245.1-30)+(0.24684+(0.125001-0.0153))+0-0-0</f>
        <v>699.45654100000002</v>
      </c>
      <c r="O105" s="3">
        <f>484+(254.9-31)+(0+(0-0))+0-0-0</f>
        <v>707.9</v>
      </c>
      <c r="P105" s="3">
        <f>511+(272.5-32)+(0.52122+(0.27795-0.03264))+0-0-0</f>
        <v>752.26652999999999</v>
      </c>
      <c r="Q105" s="3">
        <f>547+(298-32)+(-0.27897+(-0.15198--0.01632))+0-0-0</f>
        <v>812.58537000000001</v>
      </c>
      <c r="R105" s="3">
        <f>565+(335.5-32)+(-0.5763+(-0.34221--0.03264))+0-0-0</f>
        <v>867.61413000000005</v>
      </c>
      <c r="S105" s="3">
        <f>587+(356.4-32)+(-0.59874+(-0.363528--0.03264))+0-0-0</f>
        <v>910.470372</v>
      </c>
      <c r="T105" s="3">
        <f>588+(366.9-33)+(0+(0-0))+0-0-0</f>
        <v>921.9</v>
      </c>
      <c r="U105" s="3">
        <f>592+(350-33)+(0+(0-0))+0-0-0</f>
        <v>909</v>
      </c>
      <c r="V105" s="3">
        <f>593+(302.8-32)+(0.30243+(0.154428-0.01632))+0-0-0</f>
        <v>864.2405379999999</v>
      </c>
      <c r="W105" s="3">
        <f>600+(233.3-31)+(-1.224+(-0.475932--0.06324))+0-0-0</f>
        <v>800.66330799999992</v>
      </c>
      <c r="X105" s="3">
        <f>614+(143.3-31)+(-2.19198+(-0.511581--0.11067))+0-0-0</f>
        <v>723.70710899999995</v>
      </c>
      <c r="Y105" s="3">
        <f>686+(125.5-53.5)+(-1.7493+(-0.320025--0.136425))+0-0-0</f>
        <v>756.06709999999998</v>
      </c>
      <c r="Z105" s="3">
        <f>653+(316.4-33)+(-0.33303+(-0.161364--0.01683))+0-0-0</f>
        <v>935.92243599999995</v>
      </c>
      <c r="AA105" s="3">
        <f>652+(336.3-33)+(-1.33008+(-0.686052--0.06732))+0-0-0</f>
        <v>953.35118799999998</v>
      </c>
      <c r="AB105" s="3">
        <f>654+(312.4-32)+(-1.00062+(-0.477972--0.04896))+0-0-0</f>
        <v>932.97036800000001</v>
      </c>
      <c r="AC105" s="3">
        <f>625+(333.5-32)+(0.31875+(0.170085-0.01632))+0-0-0</f>
        <v>926.97251500000004</v>
      </c>
      <c r="AD105">
        <v>932.7</v>
      </c>
      <c r="AE105" s="3">
        <f>662+(303.7-33)+(0+(0-0))+0-0-0</f>
        <v>932.7</v>
      </c>
    </row>
    <row r="106" spans="1:31" s="2" customFormat="1" x14ac:dyDescent="0.3">
      <c r="A106">
        <v>90</v>
      </c>
      <c r="B106">
        <v>4</v>
      </c>
      <c r="C106">
        <v>13</v>
      </c>
      <c r="D106">
        <v>3</v>
      </c>
      <c r="E106">
        <v>1</v>
      </c>
      <c r="F106" s="3">
        <f>602+(330.7-32)+(0+(0-0))+0-0-0</f>
        <v>900.7</v>
      </c>
      <c r="G106" s="3">
        <f>602+(308.7-31)+(-1.22808+(-0.629748--0.06324))+0-0-0</f>
        <v>877.90541200000007</v>
      </c>
      <c r="H106" s="3">
        <f>572+(310.1-30)+(0.29172+(0.158151-0.0153))+0-0-0</f>
        <v>852.53457100000003</v>
      </c>
      <c r="I106" s="3">
        <f>530+(327.6-30)+(-1.0812+(-0.668304--0.0612))+0-0-0</f>
        <v>825.91169600000001</v>
      </c>
      <c r="J106" s="3">
        <f>528+(307.6-30)+(0+(0-0))+0-0-0</f>
        <v>805.6</v>
      </c>
      <c r="K106" s="3">
        <f>526+(249-30)+(-1.3413+(-0.63495--0.0765))+0-0-0</f>
        <v>743.10024999999996</v>
      </c>
      <c r="L106" s="3">
        <f>526+(194.4-32)+(-1.3413+(-0.49572--0.0816))+0-0-0</f>
        <v>686.64458000000002</v>
      </c>
      <c r="M106" s="3">
        <f>518+(203.5-33)+(0+(0-0))+0-0-0</f>
        <v>688.5</v>
      </c>
      <c r="N106" s="3">
        <f>575+(164-40.5)+(0.87975+(0.25092-0.061965))+0-0-0</f>
        <v>699.56870500000002</v>
      </c>
      <c r="O106" s="3">
        <f>607+(152.6-42.6)+(0.61914+(0.155652-0.043452))+0-0-0</f>
        <v>717.73134000000005</v>
      </c>
      <c r="P106" s="3">
        <f>607+(170.4-37.4)+(0.92871+(0.260712-0.057222))+0-0-0</f>
        <v>741.13220000000001</v>
      </c>
      <c r="Q106" s="3">
        <f>629+(207.5-34)+(0.96237+(0.317475-0.05202))+0-0-0</f>
        <v>803.72782500000005</v>
      </c>
      <c r="R106" s="3">
        <f>662+(247.4-32)+(-0.33762+(-0.126174--0.01632))+0-0-0</f>
        <v>876.95252599999992</v>
      </c>
      <c r="S106" s="3">
        <f>663+(290.9-32)+(-1.35252+(-0.593436--0.06528))+0-0-0</f>
        <v>920.01932399999998</v>
      </c>
      <c r="T106" s="3">
        <f>680+(267.3-32)+(1.0404+(0.408969-0.04896))+0-0-0</f>
        <v>916.70040899999992</v>
      </c>
      <c r="U106" s="3">
        <f>698+(229.7-42)+(-0.71196+(-0.234294--0.04284))+0-0-0</f>
        <v>884.79658600000005</v>
      </c>
      <c r="V106" s="3">
        <f>695+(198.9-52)+(-1.4178+(-0.405756--0.10608))+0-0-0</f>
        <v>840.18252399999994</v>
      </c>
      <c r="W106" s="3">
        <f>714+(142.9-61)+(-1.45656+(-0.291516--0.12444))+0-0-0</f>
        <v>794.27636399999994</v>
      </c>
      <c r="X106" s="3">
        <f>675+(101.1-57)+(-1.377+(-0.206244--0.11628))+0-0-0</f>
        <v>717.63303600000006</v>
      </c>
      <c r="Y106" s="3">
        <f>593+(189.6-31)+(-1.20972+(-0.386784--0.06324))+0-0-0</f>
        <v>750.06673599999999</v>
      </c>
      <c r="Z106" s="3">
        <f>622+(283.3-33)+(-0.31722+(-0.144483--0.01683))+0-0-0</f>
        <v>871.85512699999992</v>
      </c>
      <c r="AA106" s="3">
        <f>687+(269.1-33)+(-1.05111+(-0.411723--0.05049))+0-0-0</f>
        <v>921.68765700000006</v>
      </c>
      <c r="AB106" s="3">
        <f>663+(308-32)+(-1.35252+(-0.62832--0.06528))+0-0-0</f>
        <v>937.08443999999997</v>
      </c>
      <c r="AC106" s="3">
        <f>636+(318.5-31)+(0+(0-0))+0-0-0</f>
        <v>923.5</v>
      </c>
      <c r="AD106">
        <v>924.4</v>
      </c>
      <c r="AE106" s="3">
        <f>701+(256.4-33)+(0+(0-0))+0-0-0</f>
        <v>924.4</v>
      </c>
    </row>
    <row r="107" spans="1:31" s="2" customFormat="1" x14ac:dyDescent="0.3">
      <c r="A107">
        <v>90</v>
      </c>
      <c r="B107">
        <v>4</v>
      </c>
      <c r="C107">
        <v>14</v>
      </c>
      <c r="D107">
        <v>4</v>
      </c>
      <c r="E107">
        <v>1</v>
      </c>
      <c r="F107" s="3">
        <f>600+(288-31)+(-0.918+(-0.44064--0.04743))+0-0-0</f>
        <v>855.68879000000004</v>
      </c>
      <c r="G107" s="3">
        <f>600+(234-30)+(-2.142+(-0.83538--0.1071))+23-0-0</f>
        <v>824.12972000000002</v>
      </c>
      <c r="H107" s="3">
        <f>600+(226.1-28)+(-1.836+(-0.691866--0.08568))+23-0-0</f>
        <v>818.65781400000003</v>
      </c>
      <c r="I107" s="3">
        <f>600+(228.1-27)+(-1.53+(-0.581655--0.06885))+6.5-0-0</f>
        <v>805.55719499999998</v>
      </c>
      <c r="J107" s="3">
        <f>550+(226.3-27)+(0.8415+(0.346239-0.04131))+0-0-0</f>
        <v>750.44642899999997</v>
      </c>
      <c r="K107" s="3">
        <f>550+(220.1-27)+(-0.8415+(-0.336753--0.04131))+0-0-0</f>
        <v>741.96305700000005</v>
      </c>
      <c r="L107" s="3">
        <f>511+(176.3-30)+(-1.04244+(-0.359652--0.0612))+11.9-0-0</f>
        <v>667.85910799999988</v>
      </c>
      <c r="M107" s="3">
        <f>521+(164.9-33)+(0+(0-0))+14-0-0</f>
        <v>666.9</v>
      </c>
      <c r="N107" s="3">
        <f>579+(145.9-50)+(-0.88587+(-0.223227--0.0765))+14-0-0</f>
        <v>687.86740299999997</v>
      </c>
      <c r="O107" s="3">
        <f>574+(165.1-46)+(0.29274+(0.084201-0.02346))+14-0-0</f>
        <v>707.45348100000001</v>
      </c>
      <c r="P107" s="3">
        <f>591+(187.7-40)+(0+(0-0))+2.1-0-0</f>
        <v>740.80000000000007</v>
      </c>
      <c r="Q107" s="3">
        <f>649+(198.8-45)+(-0.66198+(-0.202776--0.0459))+0-0-0</f>
        <v>801.98114399999997</v>
      </c>
      <c r="R107" s="3">
        <f>672+(226.5-35)+(0+(0-0))+0-0-0</f>
        <v>863.5</v>
      </c>
      <c r="S107" s="3">
        <f>681+(266.4-32)+(-0.69462+(-0.271728--0.03264))+0-0-0</f>
        <v>914.46629199999995</v>
      </c>
      <c r="T107" s="3">
        <f>681+(278.1-32)+(-0.69462+(-0.283662--0.03264))+0-0-0</f>
        <v>926.154358</v>
      </c>
      <c r="U107" s="3">
        <f>683+(256.9-35)+(-1.04499+(-0.393057--0.05355))+0-0-0</f>
        <v>903.51550299999997</v>
      </c>
      <c r="V107" s="3">
        <f>692+(203.2-47)+(-0.35292+(-0.103632--0.02397))+0-0-0</f>
        <v>847.76741800000002</v>
      </c>
      <c r="W107" s="3">
        <f>646+(180.8-39)+(-0.98838+(-0.276624--0.05967))+0-0-0</f>
        <v>786.59466599999996</v>
      </c>
      <c r="X107" s="3">
        <f>642+(110.6-48)+(-1.6371+(-0.28203--0.1224))+0-0-0</f>
        <v>702.80327</v>
      </c>
      <c r="Y107" s="3">
        <f>658+(133.7-36)+(-1.00674+(-0.204561--0.05508))+0-0-0</f>
        <v>754.54377900000009</v>
      </c>
      <c r="Z107" s="3">
        <f>662+(249.2-31)+(-0.67524+(-0.254184--0.03162))+0-0-0</f>
        <v>879.30219600000009</v>
      </c>
      <c r="AA107" s="3">
        <f>702+(242.7-32)+(-0.71604+(-0.247554--0.03264))+0-0-0</f>
        <v>911.769046</v>
      </c>
      <c r="AB107" s="3">
        <f>698+(264-33)+(-1.42392+(-0.53856--0.06732))+0-0-0</f>
        <v>927.10483999999997</v>
      </c>
      <c r="AC107" s="3">
        <f>666+(282.2-33)+(-0.67932+(-0.287844--0.03366))+0-0-0</f>
        <v>914.26649600000007</v>
      </c>
      <c r="AD107">
        <v>923.7</v>
      </c>
      <c r="AE107" s="3">
        <f>709+(247.7-33)+(0+(0-0))+0-0-0</f>
        <v>923.7</v>
      </c>
    </row>
    <row r="108" spans="1:31" s="2" customFormat="1" x14ac:dyDescent="0.3">
      <c r="A108">
        <v>90</v>
      </c>
      <c r="B108">
        <v>4</v>
      </c>
      <c r="C108">
        <v>15</v>
      </c>
      <c r="D108">
        <v>5</v>
      </c>
      <c r="E108">
        <v>1</v>
      </c>
      <c r="F108" s="3">
        <f>655+(261.6-31)+(-1.00215+(-0.400248--0.04743))+0-0-0</f>
        <v>884.24503200000004</v>
      </c>
      <c r="G108" s="3">
        <f>627+(260.2-30)+(-0.95931+(-0.398106--0.0459))+0-0-0</f>
        <v>855.88848400000006</v>
      </c>
      <c r="H108" s="3">
        <f>627+(230.1-29)+(0+(0-0))+0-0-0</f>
        <v>828.1</v>
      </c>
      <c r="I108" s="3">
        <f>590+(254.3-27)+(-1.2036+(-0.518772--0.05508))+0-0-0</f>
        <v>815.63270799999998</v>
      </c>
      <c r="J108" s="3">
        <f>582+(242.7-27)+(-1.18728+(-0.495108--0.05508))+0-0-0</f>
        <v>796.07269200000007</v>
      </c>
      <c r="K108" s="3">
        <f>580+(183.1-31)+(-1.1832+(-0.373524--0.06324))+0-0-0</f>
        <v>730.60651600000006</v>
      </c>
      <c r="L108" s="3">
        <f>570+(155.1-29)+(-1.1628+(-0.316404--0.05916))+0-0-0</f>
        <v>694.67995600000006</v>
      </c>
      <c r="M108" s="3">
        <f>567+(172.5-30)+(0.86751+(0.263925-0.0459))+0-0-0</f>
        <v>710.58553500000005</v>
      </c>
      <c r="N108" s="3">
        <f>565+(176.8-31)+(0.5763+(0.180336-0.03162))+0-0-0</f>
        <v>711.52501599999994</v>
      </c>
      <c r="O108" s="3">
        <f>579+(171.3-39.6)+(0+(0-0))+0-0-0</f>
        <v>710.7</v>
      </c>
      <c r="P108" s="3">
        <f>622+(172.1-50.5)+(0.31722+(0.087771-0.025755))+0-0-0</f>
        <v>743.97923600000001</v>
      </c>
      <c r="Q108" s="3">
        <f>635+(192.5-43.5)+(0+(0-0))+0-0-0</f>
        <v>784</v>
      </c>
      <c r="R108" s="3">
        <f>625+(262.1-32)+(0.31875+(0.133671-0.01632))+0-0-0</f>
        <v>855.53610100000003</v>
      </c>
      <c r="S108" s="3">
        <f>640+(293.7-32)+(0.6528+(0.299574-0.03264))+0-0-0</f>
        <v>902.61973399999999</v>
      </c>
      <c r="T108" s="3">
        <f>653+(288.9-32)+(-0.66606+(-0.294678--0.03264))+0-0-0</f>
        <v>908.971902</v>
      </c>
      <c r="U108" s="3">
        <f>656+(264.5-34.4)+(0.66912+(0.26979-0.035088))+0-0-0</f>
        <v>887.00382200000001</v>
      </c>
      <c r="V108" s="3">
        <f>676+(227-44.6)+(-1.7238+(-0.57885--0.11373))+0-0-0</f>
        <v>856.21107999999992</v>
      </c>
      <c r="W108" s="3">
        <f>618+(175.6-38.1)+(-1.89108+(-0.537336--0.116586))+0-0-0</f>
        <v>753.18817000000001</v>
      </c>
      <c r="X108" s="3">
        <f>621+(112.7-48.6)+(-1.90026+(-0.344862--0.148716))+0-0-0</f>
        <v>683.00359400000002</v>
      </c>
      <c r="Y108" s="3">
        <f>621+(147.7-38.7)+(-0.63342+(-0.150654--0.039474))+0-0-0</f>
        <v>729.25540000000001</v>
      </c>
      <c r="Z108" s="3">
        <f>621+(246.4-32)+(-0.95013+(-0.376992--0.04896))+0-0-0</f>
        <v>834.12183800000003</v>
      </c>
      <c r="AA108" s="3">
        <f>687+(229.8-31)+(-1.75185+(-0.58599--0.07905))+0-0-0</f>
        <v>883.54120999999998</v>
      </c>
      <c r="AB108" s="3">
        <f>694+(229.8-30)+(-0.70788+(-0.234396--0.0306))+0-0-0</f>
        <v>892.88832400000001</v>
      </c>
      <c r="AC108" s="3">
        <f>686+(238.9-30)+(1.39944+(0.487356-0.0612))+0-0-0</f>
        <v>896.725596</v>
      </c>
      <c r="AD108">
        <v>892.19999999999993</v>
      </c>
      <c r="AE108" s="3">
        <f>698+(227.8-33.6)+(0+(0-0))+0-0-0</f>
        <v>892.2</v>
      </c>
    </row>
    <row r="109" spans="1:31" s="2" customFormat="1" x14ac:dyDescent="0.3">
      <c r="A109">
        <v>90</v>
      </c>
      <c r="B109">
        <v>4</v>
      </c>
      <c r="C109">
        <v>16</v>
      </c>
      <c r="D109">
        <v>6</v>
      </c>
      <c r="E109">
        <v>1</v>
      </c>
      <c r="F109" s="3">
        <f>615+(266.5-31)+(-0.6273+(-0.27183--0.03162))+0-0-0</f>
        <v>849.63248999999996</v>
      </c>
      <c r="G109" s="3">
        <f>606+(256.2-30)+(0+(0-0))+0-0-0</f>
        <v>832.2</v>
      </c>
      <c r="H109" s="3">
        <f>606+(228.4-29)+(-0.61812+(-0.232968--0.02958))+0-0-0</f>
        <v>804.57849199999998</v>
      </c>
      <c r="I109" s="3">
        <f>606+(216.7-31.9)+(0+(0-0))+0-0-0</f>
        <v>790.8</v>
      </c>
      <c r="J109" s="3">
        <f>571+(229.5-27)+(0+(0-0))+0-0-0</f>
        <v>773.5</v>
      </c>
      <c r="K109" s="3">
        <f>501+(250.2-28)+(-1.27755+(-0.63801--0.0714))+0-0-0</f>
        <v>721.35584000000006</v>
      </c>
      <c r="L109" s="3">
        <f>476+(218.1-31)+(-0.48552+(-0.222462--0.03162))+0-0-0</f>
        <v>662.42363799999998</v>
      </c>
      <c r="M109" s="3">
        <f>475+(233.5-32)+(0.4845+(0.23817-0.03264))+0-0-0</f>
        <v>677.19002999999998</v>
      </c>
      <c r="N109" s="3">
        <f>473+(242.3-33)+(0.24123+(0.123573-0.01683))+0-0-0</f>
        <v>682.64797299999998</v>
      </c>
      <c r="O109" s="3">
        <f>496+(230.6-34)+(0.50592+(0.235212-0.03468))+0-0-0</f>
        <v>693.30645200000004</v>
      </c>
      <c r="P109" s="3">
        <f>542+(224.4-35.1)+(0.27642+(0.114444-0.017901))+0-0-0</f>
        <v>731.67296299999998</v>
      </c>
      <c r="Q109" s="3">
        <f>546+(288.5-33)+(0.55692+(0.29427-0.03366))+0-0-0</f>
        <v>802.31753000000003</v>
      </c>
      <c r="R109" s="3">
        <f>577+(283.1-33)+(0+(0-0))+16.1-0-0</f>
        <v>843.2</v>
      </c>
      <c r="S109" s="3">
        <f>587+(314.8-33)+(0+(0-0))+67.8-0-0</f>
        <v>936.59999999999991</v>
      </c>
      <c r="T109" s="3">
        <f>604+(305.9-33)+(-0.30804+(-0.156009--0.01683))+0-0-0</f>
        <v>876.45278099999996</v>
      </c>
      <c r="U109" s="3">
        <f>607+(293.9-32)+(-0.61914+(-0.299778--0.03264))+0-0-0</f>
        <v>868.01372200000003</v>
      </c>
      <c r="V109" s="3">
        <f>609+(266.3-41.6)+(0+(0-0))+0-0-0</f>
        <v>833.7</v>
      </c>
      <c r="W109" s="3">
        <f>631+(208-53.2)+(-0.64362+(-0.21216--0.054264))+0-0-0</f>
        <v>784.99848399999996</v>
      </c>
      <c r="X109" s="3">
        <f>573+(177.9-46)+(0+(0-0))+0-0-0</f>
        <v>704.9</v>
      </c>
      <c r="Y109" s="3">
        <f>562+(216-31)+(-1.4331+(-0.5508--0.07905))+0-0-0</f>
        <v>745.09514999999999</v>
      </c>
      <c r="Z109" s="3">
        <f>618+(269.7-34)+(0.31518+(0.137547-0.01734))+0-0-0</f>
        <v>854.13538700000004</v>
      </c>
      <c r="AA109" s="3">
        <f>650+(277.4-32)+(-0.663+(-0.282948--0.03264))+0-0-0</f>
        <v>894.48669199999995</v>
      </c>
      <c r="AB109" s="3">
        <f>668+(275.7-31)+(0+(0-0))+0-0-0</f>
        <v>912.7</v>
      </c>
      <c r="AC109" s="3">
        <f>649+(270.1-31)+(-0.66198+(-0.275502--0.03162))+0-0-0</f>
        <v>887.19413800000007</v>
      </c>
      <c r="AD109">
        <v>892.9</v>
      </c>
      <c r="AE109" s="3">
        <f>673+(253.9-34)+(0+(0-0))+0-0-0</f>
        <v>892.9</v>
      </c>
    </row>
    <row r="110" spans="1:31" s="2" customFormat="1" x14ac:dyDescent="0.3">
      <c r="A110">
        <v>90</v>
      </c>
      <c r="B110">
        <v>4</v>
      </c>
      <c r="C110">
        <v>17</v>
      </c>
      <c r="D110">
        <v>7</v>
      </c>
      <c r="E110">
        <v>1</v>
      </c>
      <c r="F110" s="3">
        <f>625+(301.1-31)+(-1.275+(-0.614244--0.06324))+0-0-0</f>
        <v>893.27399600000001</v>
      </c>
      <c r="G110" s="3">
        <f>593+(296.9-30)+(-0.90729+(-0.454257--0.0459))+0-0-0</f>
        <v>858.58435299999996</v>
      </c>
      <c r="H110" s="3">
        <f>544+(323.4-28)+(-0.83232+(-0.494802--0.04284))+0-0-0</f>
        <v>838.11571800000002</v>
      </c>
      <c r="I110" s="3">
        <f>534+(318-28)+(-1.3617+(-0.8109--0.0714))+0-0-0</f>
        <v>821.89880000000005</v>
      </c>
      <c r="J110" s="3">
        <f>531+(296.4-28)+(-0.27081+(-0.151164--0.01428))+0-0-0</f>
        <v>798.99230599999999</v>
      </c>
      <c r="K110" s="3">
        <f>530+(247.8-29)+(-0.8109+(-0.379134--0.04437))+0-0-0</f>
        <v>747.65433599999994</v>
      </c>
      <c r="L110" s="3">
        <f>520+(203.6-30.6)+(-1.0608+(-0.415344--0.062424))+0-0-0</f>
        <v>691.58627999999999</v>
      </c>
      <c r="M110" s="3">
        <f>519+(179.1-33.9)+(-0.52938+(-0.182682--0.034578))+0-0-0</f>
        <v>663.522516</v>
      </c>
      <c r="N110" s="3">
        <f>515+(179.6-33.6)+(0.26265+(0.091596-0.017136))+0-0-0</f>
        <v>661.33711000000005</v>
      </c>
      <c r="O110" s="3">
        <f>497+(193.3-24)+(0+(0-0))+0-0-0</f>
        <v>666.3</v>
      </c>
      <c r="P110" s="3">
        <f>495+(217.1-24)+(0.5049+(0.221442-0.02448))+0-0-0</f>
        <v>688.80186200000003</v>
      </c>
      <c r="Q110" s="3">
        <f>511+(253.1-27)+(0.52122+(0.258162-0.02754))+0-0-0</f>
        <v>737.85184200000003</v>
      </c>
      <c r="R110" s="3">
        <f>504+(312.1-34)+(0.25704+(0.159171-0.01734))+0-0-0</f>
        <v>782.49887100000001</v>
      </c>
      <c r="S110" s="3">
        <f>504+(348.9-34)+(0+(0-0))+0-0-0</f>
        <v>818.9</v>
      </c>
      <c r="T110" s="3">
        <f>504+(351.1-33)+(-0.51408+(-0.358122--0.03366))+0-0-0</f>
        <v>821.26145800000006</v>
      </c>
      <c r="U110" s="3">
        <f>506+(349.1-32)+(-0.77418+(-0.534123--0.04896))+0-0-0</f>
        <v>821.84065700000008</v>
      </c>
      <c r="V110" s="3">
        <f>509+(305.1-32)+(0+(0-0))+0-0-0</f>
        <v>782.1</v>
      </c>
      <c r="W110" s="3">
        <f>542+(244.9-31)+(-0.27642+(-0.124899--0.01581))+0-0-0</f>
        <v>755.51449100000002</v>
      </c>
      <c r="X110" s="3">
        <f>547+(175.9-39.3)+(-1.39485+(-0.448545--0.100215))+0-0-0</f>
        <v>681.85681999999997</v>
      </c>
      <c r="Y110" s="3">
        <f>547+(189.4-32)+(-1.11588+(-0.386376--0.06528))+0-0-0</f>
        <v>702.96302400000002</v>
      </c>
      <c r="Z110" s="3">
        <f>547+(321.3-32)+(0.27897+(0.163863-0.01632))+0-0-0</f>
        <v>836.72651299999995</v>
      </c>
      <c r="AA110" s="3">
        <f>547+(370.4-33)+(-1.39485+(-0.94452--0.08415))+0-0-0</f>
        <v>882.14477999999997</v>
      </c>
      <c r="AB110" s="3">
        <f>547+(385.5-32)+(-1.11588+(-0.78642--0.06528))+0-0-0</f>
        <v>898.66297999999995</v>
      </c>
      <c r="AC110" s="3">
        <f>585+(333.9-32)+(-0.29835+(-0.170289--0.01632))+0-0-0</f>
        <v>886.44768099999999</v>
      </c>
      <c r="AD110">
        <v>894.4</v>
      </c>
      <c r="AE110" s="3">
        <f>547+(381.4-34)+(0+(0-0))+0-0-0</f>
        <v>894.4</v>
      </c>
    </row>
    <row r="111" spans="1:31" s="2" customFormat="1" x14ac:dyDescent="0.3">
      <c r="A111">
        <v>90</v>
      </c>
      <c r="B111">
        <v>4</v>
      </c>
      <c r="C111">
        <v>18</v>
      </c>
      <c r="D111">
        <v>1</v>
      </c>
      <c r="E111">
        <v>1</v>
      </c>
      <c r="F111" s="3">
        <f>633+(257.4-38)+(0+(0-0))+0-0-0</f>
        <v>852.4</v>
      </c>
      <c r="G111" s="3">
        <f>626+(240.2-40.1)+(-1.27704+(-0.490008--0.081804))+0-0-0</f>
        <v>824.41475600000001</v>
      </c>
      <c r="H111" s="3">
        <f>625+(224.1-45.4)+(0.6375+(0.228582-0.046308))+0-0-0</f>
        <v>804.5197740000001</v>
      </c>
      <c r="I111" s="3">
        <f>626+(214.7-49.7)+(-0.31926+(-0.109497--0.025347))+0-0-0</f>
        <v>790.59658999999999</v>
      </c>
      <c r="J111" s="3">
        <f>624+(197.7-53.7)+(-0.95472+(-0.302481--0.082161))+0-0-0</f>
        <v>766.82496000000003</v>
      </c>
      <c r="K111" s="3">
        <f>605+(164.1-59)+(-1.2342+(-0.334764--0.12036))+0-0-0</f>
        <v>708.65139599999998</v>
      </c>
      <c r="L111" s="3">
        <f>485+(207.3-33)+(-0.4947+(-0.211446--0.03366))+0-0-0</f>
        <v>658.62751399999991</v>
      </c>
      <c r="M111" s="3">
        <f>472+(220.9-32)+(-0.72216+(-0.337977--0.04896))+0-0-0</f>
        <v>659.888823</v>
      </c>
      <c r="N111" s="3">
        <f>591+(163.4-66.5)+(0+(0-0))+0-0-0</f>
        <v>687.9</v>
      </c>
      <c r="O111" s="3">
        <f>608+(152.3-70.2)+(0.31008+(0.077673-0.035802))+0-0-0</f>
        <v>690.45195100000001</v>
      </c>
      <c r="P111" s="3">
        <f>619+(169.7-66.5)+(0.63138+(0.173094-0.06783))+0-0-0</f>
        <v>722.936644</v>
      </c>
      <c r="Q111" s="3">
        <f>620+(196.4-60)+(0+(0-0))+0-0-0</f>
        <v>756.4</v>
      </c>
      <c r="R111" s="3">
        <f>627+(228.4-50.5)+(-0.31977+(-0.116484--0.025755))+0-0-0</f>
        <v>804.48950100000002</v>
      </c>
      <c r="S111" s="3">
        <f>630+(261.9-39.7)+(-0.3213+(-0.133569--0.020247))+0-0-0</f>
        <v>851.76537800000006</v>
      </c>
      <c r="T111" s="3">
        <f>628+(280-36.8)+(-0.32028+(-0.1428--0.018768))+0-0-0</f>
        <v>870.75568800000008</v>
      </c>
      <c r="U111" s="3">
        <f>633+(253.3-41.5)+(-0.96849+(-0.387549--0.063495))+0-0-0</f>
        <v>843.50745599999993</v>
      </c>
      <c r="V111" s="3">
        <f>637+(229.7-49.9)+(0+(0-0))+0-0-0</f>
        <v>816.8</v>
      </c>
      <c r="W111" s="3">
        <f>631+(177.6-55.7)+(-0.96543+(-0.271728--0.085221))+0-0-0</f>
        <v>751.748063</v>
      </c>
      <c r="X111" s="3">
        <f>650+(120.8-67.2)+(-1.989+(-0.369648--0.205632))+0-0-0</f>
        <v>701.44698400000004</v>
      </c>
      <c r="Y111" s="3">
        <f>577+(159.9-31)+(-0.58854+(-0.163098--0.03162))+0-0-0</f>
        <v>705.179982</v>
      </c>
      <c r="Z111" s="3">
        <f>627+(252.5-32)+(0.31977+(0.128775-0.01632))+0-0-0</f>
        <v>847.93222500000002</v>
      </c>
      <c r="AA111" s="3">
        <f>706+(224.6-34.5)+(-0.36006+(-0.114546--0.017595))+0-0-0</f>
        <v>895.64298900000006</v>
      </c>
      <c r="AB111" s="3">
        <f>710+(237.6-37.4)+(-0.3621+(-0.121176--0.019074))+0-0-0</f>
        <v>909.73579800000005</v>
      </c>
      <c r="AC111" s="3">
        <f>693+(247.1-36.9)+(0.35343+(0.126021-0.018819))+0-0-0</f>
        <v>903.66063200000008</v>
      </c>
      <c r="AD111">
        <v>909</v>
      </c>
      <c r="AE111" s="3">
        <f>732+(219.9-42.9)+(0+(0-0))+0-0-0</f>
        <v>909</v>
      </c>
    </row>
    <row r="112" spans="1:31" s="2" customFormat="1" x14ac:dyDescent="0.3">
      <c r="A112">
        <v>90</v>
      </c>
      <c r="B112">
        <v>4</v>
      </c>
      <c r="C112">
        <v>19</v>
      </c>
      <c r="D112">
        <v>2</v>
      </c>
      <c r="E112">
        <v>1</v>
      </c>
      <c r="F112" s="3">
        <f>681+(229.9-42)+(0.34731+(0.117249-0.02142))+0-0-0</f>
        <v>869.34313899999995</v>
      </c>
      <c r="G112" s="3">
        <f>681+(206.9-46)+(0+(0-0))+0-0-0</f>
        <v>841.9</v>
      </c>
      <c r="H112" s="3">
        <f>662+(200.2-42.8)+(0.33762+(0.102102-0.021828))+0-0-0</f>
        <v>819.81789400000002</v>
      </c>
      <c r="I112" s="3">
        <f>654+(185.3-44.3)+(-0.66708+(-0.189006--0.045186))+0-0-0</f>
        <v>794.18910000000005</v>
      </c>
      <c r="J112" s="3">
        <f>652+(170.2-48.8)+(-0.66504+(-0.173604--0.049776))+0-0-0</f>
        <v>772.611132</v>
      </c>
      <c r="K112" s="3">
        <f>631+(138.7-53)+(-1.60905+(-0.353685--0.13515))+0-0-0</f>
        <v>714.87241500000005</v>
      </c>
      <c r="L112" s="3">
        <f>534+(158.9-32)+(-0.81702+(-0.243117--0.04896))+0-0-0</f>
        <v>659.888823</v>
      </c>
      <c r="M112" s="3">
        <f>544+(160-32)+(0.27744+(0.0816-0.01632))+0-0-0</f>
        <v>672.34271999999999</v>
      </c>
      <c r="N112" s="3">
        <f>563+(155.2-41.2)+(0+(0-0))+0-0-0</f>
        <v>677</v>
      </c>
      <c r="O112" s="3">
        <f>612+(142.2-55.8)+(-0.62424+(-0.145044--0.056916))+0-0-0</f>
        <v>697.68763200000001</v>
      </c>
      <c r="P112" s="3">
        <f>626+(141-56)+(0+(0-0))+0-0-0</f>
        <v>711</v>
      </c>
      <c r="Q112" s="3">
        <f>644+(180.7-52.6)+(-0.65688+(-0.184314--0.053652))+0-0-0</f>
        <v>771.31245799999999</v>
      </c>
      <c r="R112" s="3">
        <f>651+(211-44.2)+(-0.33201+(-0.10761--0.022542))+0-0-0</f>
        <v>817.38292200000001</v>
      </c>
      <c r="S112" s="3">
        <f>654+(241.4-36.2)+(-0.33354+(-0.123114--0.018462))+0-0-0</f>
        <v>858.76180800000009</v>
      </c>
      <c r="T112" s="3">
        <f>675+(238-33.2)+(-1.03275+(-0.36414--0.050796))+0-0-0</f>
        <v>878.45390599999996</v>
      </c>
      <c r="U112" s="3">
        <f>687+(233.8-43)+(0+(0-0))+0-0-0</f>
        <v>877.8</v>
      </c>
      <c r="V112" s="3">
        <f>662+(218.6-46.1)+(-0.33762+(-0.111486--0.023511))+0-0-0</f>
        <v>834.07440499999996</v>
      </c>
      <c r="W112" s="3">
        <f>667+(164.4-57.2)+(-1.70085+(-0.41922--0.14586))+0-0-0</f>
        <v>772.22579000000007</v>
      </c>
      <c r="X112" s="3">
        <f>634+(170.1-54.2)+(-2.26338+(-0.607257--0.193494))+0-0-0</f>
        <v>747.22285699999998</v>
      </c>
      <c r="Y112" s="3">
        <f>610+(221.7-35.9)+(0.3111+(0.113067-0.018309))+0-0-0</f>
        <v>796.20585799999992</v>
      </c>
      <c r="Z112" s="3">
        <f>617+(320.9-29)+(0.62934+(0.327318-0.02958))+0-0-0</f>
        <v>909.82707800000003</v>
      </c>
      <c r="AA112" s="3">
        <f>683+(297.4-29)+(-1.74165+(-0.75837--0.07395))+0-0-0</f>
        <v>948.97393</v>
      </c>
      <c r="AB112" s="3">
        <f>683+(311.4-28)+(-1.04499+(-0.476442--0.04284))+0-0-0</f>
        <v>964.92140799999993</v>
      </c>
      <c r="AC112" s="3">
        <f>677+(308.7-28)+(-0.34527+(-0.157437--0.01428))+0-0-0</f>
        <v>957.21157300000004</v>
      </c>
      <c r="AD112">
        <v>896.9</v>
      </c>
      <c r="AE112" s="3">
        <f>684+(243.9-31)+(0+(0-0))+0-0-0</f>
        <v>896.9</v>
      </c>
    </row>
    <row r="113" spans="1:31" s="2" customFormat="1" x14ac:dyDescent="0.3">
      <c r="A113">
        <v>90</v>
      </c>
      <c r="B113">
        <v>4</v>
      </c>
      <c r="C113">
        <v>20</v>
      </c>
      <c r="D113">
        <v>3</v>
      </c>
      <c r="E113">
        <v>1</v>
      </c>
      <c r="F113" s="3">
        <f>675+(229.6-35.7)+(-1.03275+(-0.351288--0.054621))+0-0-0</f>
        <v>867.57058299999994</v>
      </c>
      <c r="G113" s="3">
        <f>643+(228.3-27)+(-1.63965+(-0.582165--0.06885))+0-0-0</f>
        <v>842.14703499999996</v>
      </c>
      <c r="H113" s="3">
        <f>603+(227.2-27)+(-0.30753+(-0.115872--0.01377))+0-0-0</f>
        <v>802.79036800000006</v>
      </c>
      <c r="I113" s="3">
        <f>603+(202.7-27)+(-0.92259+(-0.310131--0.04131))+0-0-0</f>
        <v>777.50858900000003</v>
      </c>
      <c r="J113" s="3">
        <f>597+(189.1-28)+(-0.30447+(-0.096441--0.01428))+0-0-0</f>
        <v>757.71336900000006</v>
      </c>
      <c r="K113" s="3">
        <f>597+(156.6-36.2)+(-3.0447+(-0.79866--0.18462))+0-0-0</f>
        <v>713.74126000000001</v>
      </c>
      <c r="L113" s="3">
        <f>530+(171.8-30)+(-1.6218+(-0.525708--0.0918))+0-0-0</f>
        <v>669.74429199999997</v>
      </c>
      <c r="M113" s="3">
        <f>524+(182.5-33)+(0.53448+(0.18615-0.03366))+0-0-0</f>
        <v>674.18696999999997</v>
      </c>
      <c r="N113" s="3">
        <f>522+(199.3-34)+(0.53244+(0.203286-0.03468))+0-0-0</f>
        <v>688.00104599999997</v>
      </c>
      <c r="O113" s="3">
        <f>542+(188.1-34)+(-0.55284+(-0.191862--0.03468))+0-0-0</f>
        <v>695.38997800000004</v>
      </c>
      <c r="P113" s="3">
        <f>642+(186-62)+(0.32742+(0.09486-0.03162))+0-0-0</f>
        <v>766.39066000000003</v>
      </c>
      <c r="Q113" s="3">
        <f>675+(205-61)+(0.34425+(0.10455-0.03111))+0-0-0</f>
        <v>819.41768999999999</v>
      </c>
      <c r="R113" s="3">
        <f>665+(211.8-49.3)+(0+(0-0))+0-0-0</f>
        <v>827.5</v>
      </c>
      <c r="S113" s="3">
        <f>675+(241.1-41.6)+(0.34425+(0.122961-0.021216))+0-0-0</f>
        <v>874.94599500000004</v>
      </c>
      <c r="T113" s="3">
        <f>695+(233.9-44.7)+(0.7089+(0.238578-0.045594))+0-0-0</f>
        <v>885.10188400000004</v>
      </c>
      <c r="U113" s="3">
        <f>699+(214-52.3)+(-1.06947+(-0.32742--0.080019))+0-0-0</f>
        <v>859.38312900000005</v>
      </c>
      <c r="V113" s="3">
        <f>694+(187.9-67.2)+(-0.35394+(-0.095829--0.034272))+0-0-0</f>
        <v>814.28450300000009</v>
      </c>
      <c r="W113" s="3">
        <f>624+(182-55)+(-1.27296+(-0.37128--0.1122))+0-0-0</f>
        <v>749.46795999999995</v>
      </c>
      <c r="X113" s="3">
        <f>629+(108.9-73.6)+(-1.28316+(-0.222156--0.150144))+14-0-0</f>
        <v>676.94482799999992</v>
      </c>
      <c r="Y113" s="3">
        <f>630+(140.2-51.9)+(-0.9639+(-0.214506--0.079407))+0-0-0</f>
        <v>717.20100099999991</v>
      </c>
      <c r="Z113" s="3">
        <f>656+(210.6-34)+(0.33456+(0.107406-0.01734))+0-0-0</f>
        <v>833.02462600000001</v>
      </c>
      <c r="AA113" s="3">
        <f>675+(229.9-34)+(-1.03275+(-0.351747--0.05202))+0-0-0</f>
        <v>869.56752299999994</v>
      </c>
      <c r="AB113" s="3">
        <f>675+(242.1-34)+(-0.34425+(-0.123471--0.01734))+0-0-0</f>
        <v>882.64961900000003</v>
      </c>
      <c r="AC113" s="3">
        <f>668+(243-34)+(-0.68136+(-0.24786--0.03468))+0-0-0</f>
        <v>876.10545999999999</v>
      </c>
      <c r="AD113">
        <v>887.7</v>
      </c>
      <c r="AE113" s="3">
        <f>675+(246.7-34)+(0+(0-0))+0-0-0</f>
        <v>887.7</v>
      </c>
    </row>
    <row r="114" spans="1:31" s="2" customFormat="1" x14ac:dyDescent="0.3">
      <c r="A114">
        <v>90</v>
      </c>
      <c r="B114">
        <v>4</v>
      </c>
      <c r="C114">
        <v>21</v>
      </c>
      <c r="D114">
        <v>4</v>
      </c>
      <c r="E114">
        <v>1</v>
      </c>
      <c r="F114" s="3">
        <f>646+(244.9-33)+(-0.65892+(-0.249798--0.03366))+0-0-0</f>
        <v>857.02494200000001</v>
      </c>
      <c r="G114" s="3">
        <f>602+(265-32)+(-1.84212+(-0.8109--0.09792))+0-0-0</f>
        <v>832.44489999999996</v>
      </c>
      <c r="H114" s="3">
        <f>602+(247.5-31)+(-0.30702+(-0.126225--0.01581))+0-0-0</f>
        <v>818.08256500000005</v>
      </c>
      <c r="I114" s="3">
        <f>602+(226.4-30)+(-1.22808+(-0.461856--0.0612))+0-0-0</f>
        <v>796.77126399999997</v>
      </c>
      <c r="J114" s="3">
        <f>599+(211.1-30)+(0.30549+(0.107661-0.0153))+0-0-0</f>
        <v>780.49785099999997</v>
      </c>
      <c r="K114" s="3">
        <f>530+(235-31)+(-0.2703+(-0.11985--0.01581))+0-0-0</f>
        <v>733.62566000000004</v>
      </c>
      <c r="L114" s="3">
        <f>514+(179.8-32)+(-1.3107+(-0.45849--0.0816))+0-0-0</f>
        <v>660.11240999999995</v>
      </c>
      <c r="M114" s="3">
        <f>514+(168.1-31)+(0+(0-0))+0-0-0</f>
        <v>651.1</v>
      </c>
      <c r="N114" s="3">
        <f>524+(159.4-30)+(0+(0-0))+0-0-0</f>
        <v>653.4</v>
      </c>
      <c r="O114" s="3">
        <f>575+(161.6-42.5)+(0.29325+(0.082416-0.021675))+0-0-0</f>
        <v>694.45399099999997</v>
      </c>
      <c r="P114" s="3">
        <f>616+(141.5-47.4)+(-0.31416+(-0.072165--0.024174))+0-0-0</f>
        <v>709.73784899999998</v>
      </c>
      <c r="Q114" s="3">
        <f>662+(164.1-53.2)+(0.67524+(0.167382-0.054264))+0-0-0</f>
        <v>773.68835799999999</v>
      </c>
      <c r="R114" s="3">
        <f>656+(220.6-43.3)+(1.33824+(0.450024-0.088332))+0-0-0</f>
        <v>834.99993199999994</v>
      </c>
      <c r="S114" s="3">
        <f>675+(245.2-40.7)+(-0.34425+(-0.125052--0.020757))+0-0-0</f>
        <v>879.05145500000003</v>
      </c>
      <c r="T114" s="3">
        <f>683+(243.7-40)+(-0.34833+(-0.124287--0.0204))+0-0-0</f>
        <v>886.24778300000003</v>
      </c>
      <c r="U114" s="3">
        <f>685+(229.3-50.7)+(-0.6987+(-0.233886--0.051714))+0-0-0</f>
        <v>862.71912800000007</v>
      </c>
      <c r="V114" s="3">
        <f>664+(207.3-58)+(-0.67728+(-0.211446--0.05916))+0-0-0</f>
        <v>812.47043399999995</v>
      </c>
      <c r="W114" s="3">
        <f>625+(194.7-45.9)+(-0.95625+(-0.297891--0.070227))+0-0-0</f>
        <v>772.616086</v>
      </c>
      <c r="X114" s="3">
        <f>628+(141-56.7)+(-1.92168+(-0.43146--0.173502))+0-0-0</f>
        <v>710.120362</v>
      </c>
      <c r="Y114" s="3">
        <f>628+(164.6-43)+(-0.64056+(-0.167892--0.04386))+0-0-0</f>
        <v>748.83540800000003</v>
      </c>
      <c r="Z114" s="3">
        <f>664+(232-32)+(1.01592+(0.35496-0.04896))+0-0-0</f>
        <v>865.32191999999998</v>
      </c>
      <c r="AA114" s="3">
        <f>728+(219-38.9)+(-1.11384+(-0.33507--0.059517))+0-0-0</f>
        <v>906.71060699999998</v>
      </c>
      <c r="AB114" s="3">
        <f>727+(233.7-36.8)+(0.74154+(0.238374-0.037536))+0-0-0</f>
        <v>924.84237799999994</v>
      </c>
      <c r="AC114" s="3">
        <f>702+(241.1-38.4)+(-1.43208+(-0.491844--0.078336))+0-0-0</f>
        <v>902.85441200000002</v>
      </c>
      <c r="AD114">
        <v>913.6</v>
      </c>
      <c r="AE114" s="3">
        <f>731+(221.6-39)+(0+(0-0))+0-0-0</f>
        <v>913.6</v>
      </c>
    </row>
    <row r="115" spans="1:31" s="2" customFormat="1" x14ac:dyDescent="0.3">
      <c r="A115">
        <v>90</v>
      </c>
      <c r="B115">
        <v>4</v>
      </c>
      <c r="C115">
        <v>22</v>
      </c>
      <c r="D115">
        <v>5</v>
      </c>
      <c r="E115">
        <v>1</v>
      </c>
      <c r="F115" s="3">
        <f>691+(223.8-39.3)+(0+(0-0))+0-0-0</f>
        <v>875.5</v>
      </c>
      <c r="G115" s="3">
        <f>681+(218.7-40.3)+(0+(0-0))+0-0-0</f>
        <v>859.4</v>
      </c>
      <c r="H115" s="3">
        <f>677+(207.6-41.4)+(-1.03581+(-0.317628--0.063342))+0-0-0</f>
        <v>841.9099040000001</v>
      </c>
      <c r="I115" s="3">
        <f>677+(185.4-44.2)+(-1.38108+(-0.378216--0.090168))+0-0-0</f>
        <v>816.53087200000004</v>
      </c>
      <c r="J115" s="3">
        <f>676+(168.7-47.8)+(-1.03428+(-0.258111--0.073134))+0-0-0</f>
        <v>795.68074300000001</v>
      </c>
      <c r="K115" s="3">
        <f>673+(155.8-57.4)+(-2.40261+(-0.556206--0.204918))+0-0-0</f>
        <v>768.64610199999993</v>
      </c>
      <c r="L115" s="3">
        <f>639+(119.8-68.2)+(-2.28123+(-0.427686--0.243474))+0-0-0</f>
        <v>688.13455799999997</v>
      </c>
      <c r="M115" s="3">
        <f>638+(117.4-71.2)+(0.65076+(0.119748-0.072624))+0-0-0</f>
        <v>684.89788400000009</v>
      </c>
      <c r="N115" s="3">
        <f>623+(111.2-69)+(0.95319+(0.170136-0.10557))+0-0-0</f>
        <v>666.21775600000001</v>
      </c>
      <c r="O115" s="3">
        <f>634+(128.8-65.4)+(0+(0-0))+0-0-0</f>
        <v>697.4</v>
      </c>
      <c r="P115" s="3">
        <f>624+(167.9-53.1)+(0+(0-0))+0-0-0</f>
        <v>738.8</v>
      </c>
      <c r="Q115" s="3">
        <f>626+(212.7-44.5)+(-0.95778+(-0.325431--0.068085))+0-0-0</f>
        <v>792.98487399999999</v>
      </c>
      <c r="R115" s="3">
        <f>623+(265.6-34)+(-0.95319+(-0.406368--0.05202))+0-0-0</f>
        <v>853.292462</v>
      </c>
      <c r="S115" s="3">
        <f>635+(285.1-33)+(-0.6477+(-0.290802--0.03366))+0-0-0</f>
        <v>886.19515799999999</v>
      </c>
      <c r="T115" s="3">
        <f>636+(295.3-32)+(-1.29744+(-0.602412--0.06528))+0-0-0</f>
        <v>897.46542799999997</v>
      </c>
      <c r="U115" s="3">
        <f>639+(273-30)+(-1.62945+(-0.69615--0.0765))+0-0-0</f>
        <v>879.7509</v>
      </c>
      <c r="V115" s="3">
        <f>643+(235.7-39.3)+(-1.96758+(-0.721242--0.120258))+0-0-0</f>
        <v>836.83143599999994</v>
      </c>
      <c r="W115" s="3">
        <f>650+(181.8-48.4)+(-1.989+(-0.556308--0.148104))+0-0-0</f>
        <v>781.00279599999999</v>
      </c>
      <c r="X115" s="3">
        <f>636+(123.1-54)+(-1.94616+(-0.376686--0.16524))+0-0-0</f>
        <v>702.94239400000004</v>
      </c>
      <c r="Y115" s="3">
        <f>545+(226.3-30)+(-1.38975+(-0.577065--0.0765))+0-0-0</f>
        <v>739.40968499999997</v>
      </c>
      <c r="Z115" s="3">
        <f>585+(309.7-31)+(0+(0-0))+0-0-0</f>
        <v>863.7</v>
      </c>
      <c r="AA115" s="3">
        <f>675+(263.9-32)+(-1.72125+(-0.672945--0.0816))+0-0-0</f>
        <v>904.58740499999999</v>
      </c>
      <c r="AB115" s="3">
        <f>684+(270.8-32)+(-2.79072+(-1.104864--0.13056))+0-0-0</f>
        <v>919.03497599999992</v>
      </c>
      <c r="AC115" s="3">
        <f>694+(263.4-32)+(-0.35394+(-0.134334--0.01632))+0-0-0</f>
        <v>924.92804599999999</v>
      </c>
      <c r="AD115">
        <v>917.8</v>
      </c>
      <c r="AE115" s="3">
        <f>683+(267.8-33)+(0+(0-0))+0-0-0</f>
        <v>917.8</v>
      </c>
    </row>
    <row r="116" spans="1:31" s="2" customFormat="1" x14ac:dyDescent="0.3">
      <c r="A116">
        <v>90</v>
      </c>
      <c r="B116">
        <v>4</v>
      </c>
      <c r="C116">
        <v>23</v>
      </c>
      <c r="D116">
        <v>6</v>
      </c>
      <c r="E116">
        <v>1</v>
      </c>
      <c r="F116" s="3">
        <f>680+(238.2-31.8)+(0+(0-0))+0-0-0</f>
        <v>886.4</v>
      </c>
      <c r="G116" s="3">
        <f>680+(214.8-36.2)+(0.3468+(0.109548-0.018462))+0-0-0</f>
        <v>859.03788600000007</v>
      </c>
      <c r="H116" s="3">
        <f>680+(193.4-41.1)+(-0.3468+(-0.098634--0.020961))+0-0-0</f>
        <v>831.87552699999992</v>
      </c>
      <c r="I116" s="3">
        <f>681+(188.1-45.8)+(-0.34731+(-0.095931--0.023358))+0-0-0</f>
        <v>822.88011699999993</v>
      </c>
      <c r="J116" s="3">
        <f>678+(169.7-49.7)+(-1.03734+(-0.259641--0.076041))+0-0-0</f>
        <v>796.77905999999996</v>
      </c>
      <c r="K116" s="3">
        <f>632+(161.9-45.7)+(-1.6116+(-0.412845--0.116535))+0-0-0</f>
        <v>746.29209000000003</v>
      </c>
      <c r="L116" s="3">
        <f>539+(171.1-31)+(-0.54978+(-0.174522--0.03162))+0-0-0</f>
        <v>678.40731800000003</v>
      </c>
      <c r="M116" s="3">
        <f>530+(183.4-31)+(0.2703+(0.093534-0.01581))+0-0-0</f>
        <v>682.74802399999999</v>
      </c>
      <c r="N116" s="3">
        <f>588+(175.5-31)+(0.29988+(0.089505-0.01581))+0-0-0</f>
        <v>732.87357499999996</v>
      </c>
      <c r="O116" s="3">
        <f>598+(155.4-50.6)+(-0.60996+(-0.158508--0.051612))+0-0-0</f>
        <v>702.08314399999995</v>
      </c>
      <c r="P116" s="3">
        <f>596+(173.2-45)+(0+(0-0))+0-0-0</f>
        <v>724.2</v>
      </c>
      <c r="Q116" s="3">
        <f>594+(220.8-33)+(0.60588+(0.225216-0.03366))+0-0-0</f>
        <v>782.5974359999999</v>
      </c>
      <c r="R116" s="3">
        <f>594+(280.6-33)+(0+(0-0))+0-0-0</f>
        <v>841.6</v>
      </c>
      <c r="S116" s="3">
        <f>594+(257.7-34.1)+(-1.21176+(-0.525708--0.069564))+0-0-0</f>
        <v>815.932096</v>
      </c>
      <c r="T116" s="3">
        <f>594+(263-33)+(-1.21176+(-0.53652--0.06732))+0-0-0</f>
        <v>822.31903999999997</v>
      </c>
      <c r="U116" s="3">
        <f>594+(255.7-36.3)+(-1.5147+(-0.652035--0.092565))+0-0-0</f>
        <v>811.32583</v>
      </c>
      <c r="V116" s="3">
        <f>594+(221.5-48.9)+(-1.21176+(-0.45186--0.099756))+0-0-0</f>
        <v>765.03613600000006</v>
      </c>
      <c r="W116" s="3">
        <f>594+(172.5-58.3)+(-1.5147+(-0.439875--0.148665))+0-0-0</f>
        <v>706.39409000000001</v>
      </c>
      <c r="X116" s="3">
        <f>594+(115.9-64)+(-2.42352+(-0.472872--0.26112))+0-0-0</f>
        <v>643.26472799999999</v>
      </c>
      <c r="Y116" s="3">
        <f>594+(187.8-34)+(-1.81764+(-0.574668--0.10404))+0-0-0</f>
        <v>745.51173199999994</v>
      </c>
      <c r="Z116" s="3">
        <f>665+(254.1-34)+(-0.33915+(-0.129591--0.01734))+0-0-0</f>
        <v>884.64859899999999</v>
      </c>
      <c r="AA116" s="3">
        <f>665+(196-33)+(-2.0349+(-0.59976--0.10098))+0-0-0</f>
        <v>825.46632</v>
      </c>
      <c r="AB116" s="3">
        <f>665+(211.9-33)+(-1.3566+(-0.432276--0.06732))+0-0-0</f>
        <v>842.17844400000001</v>
      </c>
      <c r="AC116" s="3">
        <f>641+(227.3-33)+(0.32691+(0.115923-0.01683))+0-0-0</f>
        <v>835.72600299999999</v>
      </c>
      <c r="AD116">
        <v>871.9</v>
      </c>
      <c r="AE116" s="3">
        <f>725+(187.8-40.9)+(0+(0-0))+0-0-0</f>
        <v>871.9</v>
      </c>
    </row>
    <row r="117" spans="1:31" s="2" customFormat="1" x14ac:dyDescent="0.3">
      <c r="A117">
        <v>90</v>
      </c>
      <c r="B117">
        <v>4</v>
      </c>
      <c r="C117">
        <v>24</v>
      </c>
      <c r="D117">
        <v>7</v>
      </c>
      <c r="E117">
        <v>1</v>
      </c>
      <c r="F117" s="3">
        <f>680+(220.8-38.7)+(0.3468+(0.112608-0.019737))+0-0-0</f>
        <v>862.539671</v>
      </c>
      <c r="G117" s="3">
        <f>678+(208.2-41.4)+(-0.69156+(-0.212364--0.042228))+0-0-0</f>
        <v>843.9383039999999</v>
      </c>
      <c r="H117" s="3">
        <f>656+(201.9-36.7)+(-1.00368+(-0.308907--0.056151))+0-0-0</f>
        <v>819.94356400000004</v>
      </c>
      <c r="I117" s="3">
        <f>651+(185.1-38.1)+(-0.33201+(-0.094401--0.019431))+0-0-0</f>
        <v>797.59302000000002</v>
      </c>
      <c r="J117" s="3">
        <f>651+(175.9-41.1)+(0.33201+(0.089709-0.020961))+0-0-0</f>
        <v>786.20075799999995</v>
      </c>
      <c r="K117" s="3">
        <f>651+(143.2-56.9)+(-2.32407+(-0.511224--0.203133))+0-0-0</f>
        <v>734.66783899999996</v>
      </c>
      <c r="L117" s="3">
        <f>642+(101.7-74.2)+(-0.98226+(-0.155601--0.113526))+0-0-0</f>
        <v>668.47566500000005</v>
      </c>
      <c r="M117" s="3">
        <f>641+(89.8-80.4)+(-1.30764+(-0.183192--0.164016))+0-0-0</f>
        <v>649.07318399999997</v>
      </c>
      <c r="N117" s="3">
        <f>640+(84.9-81.3)+(-0.6528+(-0.086598--0.082926))+0-0-0</f>
        <v>642.94352800000001</v>
      </c>
      <c r="O117" s="3">
        <f>638+(81.8-88.1)+(0+(0-0))+0-0-0</f>
        <v>631.70000000000005</v>
      </c>
      <c r="P117" s="3">
        <f>635+(90.5-72.8)+(0.97155+(0.138465-0.111384))+0-0-0</f>
        <v>653.69863100000009</v>
      </c>
      <c r="Q117" s="3">
        <f>644+(107.1-61.1)+(0.65688+(0.109242-0.062322))+0-0-0</f>
        <v>690.7038</v>
      </c>
      <c r="R117" s="3">
        <f>679+(119.5-59.6)+(-0.34629+(-0.060945--0.030396))+0-0-0</f>
        <v>738.52316099999996</v>
      </c>
      <c r="S117" s="3">
        <f>684+(147.3-52.7)+(0.69768+(0.150246-0.053754))+0-0-0</f>
        <v>779.39417200000003</v>
      </c>
      <c r="T117" s="3">
        <f>685+(159.6-52.5)+(0+(0-0))+0-0-0</f>
        <v>792.1</v>
      </c>
      <c r="U117" s="3">
        <f>693+(165.5-56)+(-0.70686+(-0.16881--0.05712))+0-0-0</f>
        <v>801.68145000000004</v>
      </c>
      <c r="V117" s="3">
        <f>687+(148.8-63.1)+(-1.40148+(-0.303552--0.128724))+0-0-0</f>
        <v>771.12369200000001</v>
      </c>
      <c r="W117" s="3">
        <f>685+(113.6-77.5)+(-0.34935+(-0.057936--0.039525))+0-0-0</f>
        <v>720.73223900000005</v>
      </c>
      <c r="X117" s="3">
        <f>683+(84-99.2)+(-0.34833+(-0.04284--0.050592))+0-0-0</f>
        <v>667.4594219999999</v>
      </c>
      <c r="Y117" s="3">
        <f>633+(106.1-51.3)+(-1.29132+(-0.216444--0.104652))+0-0-0</f>
        <v>686.39688799999999</v>
      </c>
      <c r="Z117" s="3">
        <f>638+(185.7-32)+(-0.65076+(-0.189414--0.03264))+0-0-0</f>
        <v>790.89246600000001</v>
      </c>
      <c r="AA117" s="3">
        <f>679+(204.4-35.4)+(-1.03887+(-0.312732--0.054162))+0-0-0</f>
        <v>846.70255999999995</v>
      </c>
      <c r="AB117" s="3">
        <f>697+(203.9-41.1)+(-2.13282+(-0.623934--0.125766))+0-0-0</f>
        <v>857.16901199999995</v>
      </c>
      <c r="AC117" s="3">
        <f>693+(209.1-40.6)+(1.06029+(0.319923-0.062118))+0-0-0</f>
        <v>862.81809499999997</v>
      </c>
      <c r="AD117">
        <v>880.2</v>
      </c>
      <c r="AE117" s="3">
        <f>695+(217.2-32)+(0+(0-0))+0-0-0</f>
        <v>880.2</v>
      </c>
    </row>
    <row r="118" spans="1:31" s="2" customFormat="1" x14ac:dyDescent="0.3">
      <c r="A118">
        <v>90</v>
      </c>
      <c r="B118">
        <v>4</v>
      </c>
      <c r="C118">
        <v>25</v>
      </c>
      <c r="D118">
        <v>1</v>
      </c>
      <c r="E118">
        <v>6</v>
      </c>
      <c r="F118" s="3">
        <f>690+(196.3-43.4)+(-0.7038+(-0.200226--0.044268))+0-0-0</f>
        <v>842.04024199999992</v>
      </c>
      <c r="G118" s="3">
        <f>690+(177.7-45.9)+(-2.4633+(-0.634389--0.163863))+0-0-0</f>
        <v>818.866174</v>
      </c>
      <c r="H118" s="3">
        <f>690+(169.5-49)+(0+(0-0))+0-0-0</f>
        <v>810.5</v>
      </c>
      <c r="I118" s="3">
        <f>688+(144.2-53.5)+(-0.35088+(-0.073542--0.027285))+0-0-0</f>
        <v>778.302863</v>
      </c>
      <c r="J118" s="3">
        <f>621+(131.9-56.9)+(0+(0-0))+0-0-0</f>
        <v>696</v>
      </c>
      <c r="K118" s="3">
        <f>621+(135.8-45.2)+(0.31671+(0.069258-0.023052))+0-0-0</f>
        <v>711.96291600000006</v>
      </c>
      <c r="L118" s="3">
        <f>568+(115.7-43.3)+(-1.15872+(-0.236028--0.088332))+0-0-0</f>
        <v>639.09358399999996</v>
      </c>
      <c r="M118" s="3">
        <f>534+(121.4-35.6)+(0+(0-0))+0-0-0</f>
        <v>619.79999999999995</v>
      </c>
      <c r="N118" s="3">
        <f>553+(126-47.5)+(-0.28203+(-0.06426--0.024225))+0-0-0</f>
        <v>631.17793500000005</v>
      </c>
      <c r="O118" s="3">
        <f>614+(113.3-67.4)+(0+(0-0))+0-0-0</f>
        <v>659.9</v>
      </c>
      <c r="P118" s="3">
        <f>645+(110.9-76.9)+(0+(0-0))+0-0-0</f>
        <v>679</v>
      </c>
      <c r="Q118" s="3">
        <f>642+(142.3-72)+(0.32742+(0.072573-0.03672))+0-0-0</f>
        <v>712.663273</v>
      </c>
      <c r="R118" s="3">
        <f>636+(193.3-42.4)+(0+(0-0))+0-0-0</f>
        <v>786.9</v>
      </c>
      <c r="S118" s="3">
        <f>638+(224.4-35.3)+(0+(0-0))+0-0-0</f>
        <v>827.1</v>
      </c>
      <c r="T118" s="3">
        <f>659+(220.9-38.9)+(-0.67218+(-0.225318--0.039678))+0-0-0</f>
        <v>840.14218000000005</v>
      </c>
      <c r="U118" s="3">
        <f>663+(208.8-45.3)+(-0.67626+(-0.212976--0.046206))+0-0-0</f>
        <v>825.65697</v>
      </c>
      <c r="V118" s="3">
        <f>665+(183.2-56.2)+(0+(0-0))+0-0-0</f>
        <v>792</v>
      </c>
      <c r="W118" s="3">
        <f>686+(117.9-68.2)+(-0.34986+(-0.060129--0.034782))+0-0-0</f>
        <v>735.324793</v>
      </c>
      <c r="X118" s="3">
        <f>670+(84.8-81.6)+(-0.6834+(-0.086496--0.083232))+0-0-0</f>
        <v>672.51333600000009</v>
      </c>
      <c r="Y118" s="3">
        <f>670+(100.8-60.4)+(-0.3417+(-0.051408--0.030804))+0-0-0</f>
        <v>710.03769599999998</v>
      </c>
      <c r="Z118" s="3">
        <f>687+(170-41)+(0.35037+(0.0867-0.02091))+0-0-0</f>
        <v>816.41615999999999</v>
      </c>
      <c r="AA118" s="3">
        <f>696+(199.7-38.5)+(-2.12976+(-0.611082--0.11781))+0-0-0</f>
        <v>854.57696800000008</v>
      </c>
      <c r="AB118" s="3">
        <f>697+(205.3-36.9)+(-1.06641+(-0.314109--0.056457))+0-0-0</f>
        <v>864.07593799999995</v>
      </c>
      <c r="AC118" s="3">
        <f>691+(201.5-38.3)+(-0.70482+(-0.20553--0.039066))+0-0-0</f>
        <v>853.3287160000001</v>
      </c>
      <c r="AD118">
        <v>843.19999999999993</v>
      </c>
      <c r="AE118" s="3">
        <f>696+(187.3-40.1)+(0+(0-0))+0-0-0</f>
        <v>843.2</v>
      </c>
    </row>
    <row r="119" spans="1:31" s="2" customFormat="1" x14ac:dyDescent="0.3">
      <c r="A119">
        <v>90</v>
      </c>
      <c r="B119">
        <v>4</v>
      </c>
      <c r="C119">
        <v>26</v>
      </c>
      <c r="D119">
        <v>2</v>
      </c>
      <c r="E119">
        <v>3</v>
      </c>
      <c r="F119" s="3">
        <f>685+(187.6-41.6)+(-0.6987+(-0.191352--0.042432))+0-0-0</f>
        <v>830.15237999999999</v>
      </c>
      <c r="G119" s="3">
        <f>654+(181.5-38.3)+(-1.33416+(-0.37026--0.078132))+0-0-0</f>
        <v>795.573712</v>
      </c>
      <c r="H119" s="3">
        <f>653+(161.5-41.5)+(-0.99909+(-0.247095--0.063495))+0-0-0</f>
        <v>771.81731000000002</v>
      </c>
      <c r="I119" s="3">
        <f>651+(141.2-46.6)+(-0.66402+(-0.144024--0.047532))+0-0-0</f>
        <v>744.83948800000007</v>
      </c>
      <c r="J119" s="3">
        <f>649+(127.1-50.7)+(-1.65495+(-0.324105--0.129285))+0-0-0</f>
        <v>723.55022999999994</v>
      </c>
      <c r="K119" s="3">
        <f>579+(131.6-38.9)+(-1.47645+(-0.33558--0.099195))+0-0-0</f>
        <v>669.987165</v>
      </c>
      <c r="L119" s="3">
        <f>505+(121.6-35)+(-1.5453+(-0.372096--0.1071))+0-0-0</f>
        <v>589.78970400000003</v>
      </c>
      <c r="M119" s="3">
        <f>502+(100-28.9)+(-0.25602+(-0.051--0.014739))+0-0-0</f>
        <v>572.80771900000002</v>
      </c>
      <c r="N119" s="3">
        <f>570+(84.4-44.3)+(-0.2907+(-0.043044--0.022593))+0-0-0</f>
        <v>609.78884900000003</v>
      </c>
      <c r="O119" s="3">
        <f>569+(91.4-40.7)+(-0.29019+(-0.046614--0.020757))+0-0-0</f>
        <v>619.38395300000002</v>
      </c>
      <c r="P119" s="3">
        <f>575+(108.8-38.6)+(0+(0-0))+0-0-0</f>
        <v>645.20000000000005</v>
      </c>
      <c r="Q119" s="3">
        <f>632+(124.2-45)+(-0.32232+(-0.063342--0.02295))+0-0-0</f>
        <v>710.83728800000006</v>
      </c>
      <c r="R119" s="3">
        <f>631+(176.2-46)+(-0.96543+(-0.269586--0.07038))+0-0-0</f>
        <v>760.03536400000007</v>
      </c>
      <c r="S119" s="3">
        <f>632+(210.7-37.7)+(-0.64464+(-0.214914--0.038454))+0-0-0</f>
        <v>804.1789</v>
      </c>
      <c r="T119" s="3">
        <f>632+(229.9-34)+(-0.64464+(-0.234498--0.03468))+0-0-0</f>
        <v>827.05554199999995</v>
      </c>
      <c r="U119" s="3">
        <f>639+(222.7-38.8)+(-0.32589+(-0.113577--0.019788))+0-0-0</f>
        <v>822.480321</v>
      </c>
      <c r="V119" s="3">
        <f>642+(190-49.2)+(-1.30968+(-0.3876--0.100368))+0-0-0</f>
        <v>781.20308799999998</v>
      </c>
      <c r="W119" s="3">
        <f>661+(133.6-63.4)+(-2.02266+(-0.408816--0.194004))+0-0-0</f>
        <v>728.96252800000002</v>
      </c>
      <c r="X119" s="3">
        <f>598+(108.8-51.3)+(-1.21992+(-0.221952--0.104652))+0-0-0</f>
        <v>654.16278</v>
      </c>
      <c r="Y119" s="3">
        <f>520+(190.2-34)+(-0.2652+(-0.097002--0.01734))+0-0-0</f>
        <v>675.85513800000001</v>
      </c>
      <c r="Z119" s="3">
        <f>603+(250.4-34)+(-0.30753+(-0.127704--0.01734))+0-0-0</f>
        <v>818.98210599999993</v>
      </c>
      <c r="AA119" s="3">
        <f>696+(201.2-40.7)+(-1.41984+(-0.410448--0.083028))+0-0-0</f>
        <v>854.75274000000002</v>
      </c>
      <c r="AB119" s="3">
        <f>696+(207-38.8)+(-1.41984+(-0.42228--0.079152))+0-0-0</f>
        <v>862.43703200000004</v>
      </c>
      <c r="AC119" s="3">
        <f>692+(205.2-40.1)+(-1.05876+(-0.313956--0.061353))+0-0-0</f>
        <v>855.78863699999999</v>
      </c>
      <c r="AD119">
        <v>855.3</v>
      </c>
      <c r="AE119" s="3">
        <f>697+(200.8-42.5)+(0+(0-0))+0-0-0</f>
        <v>855.3</v>
      </c>
    </row>
    <row r="120" spans="1:31" s="2" customFormat="1" x14ac:dyDescent="0.3">
      <c r="A120">
        <v>90</v>
      </c>
      <c r="B120">
        <v>4</v>
      </c>
      <c r="C120">
        <v>27</v>
      </c>
      <c r="D120">
        <v>3</v>
      </c>
      <c r="E120">
        <v>1</v>
      </c>
      <c r="F120" s="3">
        <f>688+(190.2-44.4)+(-1.7544+(-0.48501--0.11322))+0-0-0</f>
        <v>831.67381</v>
      </c>
      <c r="G120" s="3">
        <f>688+(167.4-49.5)+(-2.45616+(-0.597618--0.176715))+0-0-0</f>
        <v>803.02293699999996</v>
      </c>
      <c r="H120" s="3">
        <f>647+(167.7-38.8)+(0+(0-0))+0-0-0</f>
        <v>775.9</v>
      </c>
      <c r="I120" s="3">
        <f>616+(167.9-30.5)+(-2.82744+(-0.770661--0.139995))+0-0-0</f>
        <v>749.94189399999993</v>
      </c>
      <c r="J120" s="3">
        <f>613+(152.9-34.3)+(-0.62526+(-0.155958--0.034986))+0-0-0</f>
        <v>730.85376800000006</v>
      </c>
      <c r="K120" s="3">
        <f>614+(119.5-46.3)+(-2.81826+(-0.548505--0.212517))+0-0-0</f>
        <v>684.04575199999999</v>
      </c>
      <c r="L120" s="3">
        <f>612+(89-67.5)+(-2.49696+(-0.36312--0.2754))+0-0-0</f>
        <v>630.91531999999995</v>
      </c>
      <c r="M120" s="3">
        <f>603+(97.8-64.7)+(0.30753+(0.049878-0.032997))+0-0-0</f>
        <v>636.42441100000008</v>
      </c>
      <c r="N120" s="3">
        <f>594+(120.4-58.3)+(0+(0-0))+0-0-0</f>
        <v>656.1</v>
      </c>
      <c r="O120" s="3">
        <f>661+(95.7-79.4)+(0+(0-0))+0-0-0</f>
        <v>677.3</v>
      </c>
      <c r="P120" s="3">
        <f>652+(127-63.3)+(0.33252+(0.06477-0.032283))+0-0-0</f>
        <v>716.06500700000004</v>
      </c>
      <c r="Q120" s="3">
        <f>650+(158.5-54.1)+(0.3315+(0.080835-0.027591))+0-0-0</f>
        <v>754.78474399999993</v>
      </c>
      <c r="R120" s="3">
        <f>648+(194.2-41.8)+(0+(0-0))+0-0-0</f>
        <v>800.4</v>
      </c>
      <c r="S120" s="3">
        <f>683+(213.8-41.6)+(-0.34833+(-0.109038--0.021216))+0-0-0</f>
        <v>854.76384800000005</v>
      </c>
      <c r="T120" s="3">
        <f>684+(209.8-41.6)+(-0.34884+(-0.106998--0.021216))+0-0-0</f>
        <v>851.76537800000006</v>
      </c>
      <c r="U120" s="3">
        <f>689+(206.5-45.3)+(-0.70278+(-0.21063--0.046206))+0-0-0</f>
        <v>849.33279600000003</v>
      </c>
      <c r="V120" s="3">
        <f>688+(183.6-55.1)+(0.35088+(0.093636-0.028101))+0-0-0</f>
        <v>816.91641500000003</v>
      </c>
      <c r="W120" s="3">
        <f>665+(147.9-59.2)+(-0.33915+(-0.075429--0.030192))+0-0-0</f>
        <v>753.3156130000001</v>
      </c>
      <c r="X120" s="3">
        <f>653+(93.4-64.5)+(-1.66515+(-0.23817--0.164475))+0-0-0</f>
        <v>680.16115500000001</v>
      </c>
      <c r="Y120" s="3">
        <f>552+(184.2-33)+(-1.4076+(-0.46971--0.08415))+0-0-0</f>
        <v>701.4068400000001</v>
      </c>
      <c r="Z120" s="3">
        <f>638+(227.4-33)+(0.65076+(0.231948-0.03366))+0-0-0</f>
        <v>833.24904800000002</v>
      </c>
      <c r="AA120" s="3">
        <f>696+(227.6-33.1)+(-0.70992+(-0.232152--0.033762))+0-0-0</f>
        <v>889.59168999999997</v>
      </c>
      <c r="AB120" s="3">
        <f>697+(231.8-31)+(-0.35547+(-0.118218--0.01581))+0-0-0</f>
        <v>897.3421219999999</v>
      </c>
      <c r="AC120" s="3">
        <f>692+(234.1-31.2)+(0+(0-0))+0-0-0</f>
        <v>894.9</v>
      </c>
      <c r="AD120">
        <v>889.4</v>
      </c>
      <c r="AE120" s="3">
        <f>697+(226-33.6)+(0+(0-0))+0-0-0</f>
        <v>889.4</v>
      </c>
    </row>
    <row r="121" spans="1:31" s="2" customFormat="1" x14ac:dyDescent="0.3">
      <c r="A121">
        <v>90</v>
      </c>
      <c r="B121">
        <v>4</v>
      </c>
      <c r="C121">
        <v>28</v>
      </c>
      <c r="D121">
        <v>4</v>
      </c>
      <c r="E121">
        <v>1</v>
      </c>
      <c r="F121" s="3">
        <f>680+(216.5-39.3)+(-2.0808+(-0.66249--0.120258))+0-0-0</f>
        <v>854.57696800000008</v>
      </c>
      <c r="G121" s="3">
        <f>610+(247.9-33)+(-0.3111+(-0.126429--0.01683))+0-0-0</f>
        <v>824.47930099999996</v>
      </c>
      <c r="H121" s="3">
        <f>610+(223.4-31)+(-0.6222+(-0.227868--0.03162))+0-0-0</f>
        <v>801.58155199999999</v>
      </c>
      <c r="I121" s="3">
        <f>610+(198.3-31)+(-0.9333+(-0.303399--0.04743))+0-0-0</f>
        <v>776.11073099999999</v>
      </c>
      <c r="J121" s="3">
        <f>610+(179.8-32.2)+(-1.5555+(-0.45849--0.08211))+0-0-0</f>
        <v>755.66812000000004</v>
      </c>
      <c r="K121" s="3">
        <f>602+(149-41.9)+(-1.22808+(-0.30396--0.085476))+0-0-0</f>
        <v>707.65343600000006</v>
      </c>
      <c r="L121" s="3">
        <f>524+(174.4-32)+(-0.80172+(-0.266832--0.04896))+0-0-0</f>
        <v>665.38040799999999</v>
      </c>
      <c r="M121" s="3">
        <f>507+(181.8-32)+(-0.25857+(-0.092718--0.01632))+0-0-0</f>
        <v>656.46503199999995</v>
      </c>
      <c r="N121" s="3">
        <f>513+(177.7-31)+(0.52326+(0.181254-0.03162))+0-0-0</f>
        <v>660.37289400000009</v>
      </c>
      <c r="O121" s="3">
        <f>585+(142.1-44.7)+(0+(0-0))+0-0-0</f>
        <v>682.4</v>
      </c>
      <c r="P121" s="3">
        <f>638+(131.7-58.2)+(0.65076+(0.134334-0.059364))+0-0-0</f>
        <v>712.22573</v>
      </c>
      <c r="Q121" s="3">
        <f>653+(162.8-52.8)+(0.66606+(0.166056-0.053856))+0-0-0</f>
        <v>763.77826000000005</v>
      </c>
      <c r="R121" s="3">
        <f>637+(219.8-40.2)+(0+(0-0))+0-0-0</f>
        <v>816.6</v>
      </c>
      <c r="S121" s="3">
        <f>637+(257.4-34)+(-0.64974+(-0.262548--0.03468))+0-0-0</f>
        <v>859.52239199999997</v>
      </c>
      <c r="T121" s="3">
        <f>648+(259.9-34)+(0.33048+(0.132549-0.01734))+0-0-0</f>
        <v>874.34568899999999</v>
      </c>
      <c r="U121" s="3">
        <f>665+(234.1-44)+(-1.01745+(-0.358173--0.06732))+0-0-0</f>
        <v>853.791697</v>
      </c>
      <c r="V121" s="3">
        <f>669+(200.5-57)+(-1.36476+(-0.40902--0.11628))+0-0-0</f>
        <v>810.84249999999997</v>
      </c>
      <c r="W121" s="3">
        <f>663+(162.9-62.5)+(0+(0-0))+0-0-0</f>
        <v>763.4</v>
      </c>
      <c r="X121" s="3">
        <f>639+(101.1-60.6)+(-0.65178+(-0.103122--0.061812))+0-0-0</f>
        <v>678.80691000000002</v>
      </c>
      <c r="Y121" s="3">
        <f>571+(176.8-30)+(-0.87363+(-0.270504--0.0459))+0-0-0</f>
        <v>716.70176599999991</v>
      </c>
      <c r="Z121" s="3">
        <f>596+(262.6-32)+(0+(0-0))+0-0-0</f>
        <v>826.6</v>
      </c>
      <c r="AA121" s="3">
        <f>665+(256.8-33)+(0+(0-0))+0-0-0</f>
        <v>888.8</v>
      </c>
      <c r="AB121" s="3">
        <f>665+(266.8-32)+(-1.3566+(-0.544272--0.06528))+0-0-0</f>
        <v>897.96440799999993</v>
      </c>
      <c r="AC121" s="3">
        <f>665+(255.4-32)+(0+(0-0))+0-0-0</f>
        <v>888.4</v>
      </c>
      <c r="AD121">
        <v>892.1</v>
      </c>
      <c r="AE121" s="3">
        <f>663+(262.1-33)+(0+(0-0))+0-0-0</f>
        <v>892.1</v>
      </c>
    </row>
    <row r="122" spans="1:31" s="2" customFormat="1" x14ac:dyDescent="0.3">
      <c r="A122">
        <v>90</v>
      </c>
      <c r="B122">
        <v>4</v>
      </c>
      <c r="C122">
        <v>29</v>
      </c>
      <c r="D122">
        <v>5</v>
      </c>
      <c r="E122">
        <v>1</v>
      </c>
      <c r="F122" s="3">
        <f>659+(233.1-31)+(-1.00827+(-0.356643--0.04743))+0-0-0</f>
        <v>859.78251699999998</v>
      </c>
      <c r="G122" s="3">
        <f>659+(206.8-32.6)+(-0.67218+(-0.210936--0.033252))+0-0-0</f>
        <v>832.35013600000002</v>
      </c>
      <c r="H122" s="3">
        <f>659+(190-36.4)+(-1.34436+(-0.3876--0.074256))+0-0-0</f>
        <v>810.94229600000006</v>
      </c>
      <c r="I122" s="3">
        <f>659+(160-40.5)+(-1.00827+(-0.2448--0.061965))+0-0-0</f>
        <v>777.30889500000001</v>
      </c>
      <c r="J122" s="3">
        <f>632+(163.2-37)+(-1.28928+(-0.332928--0.07548))+0-0-0</f>
        <v>756.65327200000002</v>
      </c>
      <c r="K122" s="3">
        <f>509+(228.4-32)+(-1.03836+(-0.465936--0.06528))+0.8-0-0</f>
        <v>704.76098399999989</v>
      </c>
      <c r="L122" s="3">
        <f>454+(186.8-32)+(-1.62078+(-0.666876--0.11424))+10.2-0-0</f>
        <v>616.82658400000003</v>
      </c>
      <c r="M122" s="3">
        <f>446+(193.1-32)+(0+(0-0))+1.3-0-0</f>
        <v>608.4</v>
      </c>
      <c r="N122" s="3">
        <f>440+(246.8-32)+(0+(0-0))+0-0-0</f>
        <v>654.79999999999995</v>
      </c>
      <c r="O122" s="3">
        <f>467+(228.9-32)+(0+(0-0))+0-0-0</f>
        <v>663.9</v>
      </c>
      <c r="P122" s="3">
        <f>546+(186-32)+(0.55692+(0.18972-0.03264))+0-0-0</f>
        <v>700.71400000000006</v>
      </c>
      <c r="Q122" s="3">
        <f>564+(187.9-40.3)+(0.28764+(0.095829-0.020553))+0-0-0</f>
        <v>711.96291600000006</v>
      </c>
      <c r="R122" s="3">
        <f>602+(215-33)+(0.61404+(0.2193-0.03366))+0-0-0</f>
        <v>784.79967999999997</v>
      </c>
      <c r="S122" s="3">
        <f>620+(262-34)+(-0.3162+(-0.13362--0.01734))+0-0-0</f>
        <v>847.56751999999994</v>
      </c>
      <c r="T122" s="3">
        <f>626+(268.8-34)+(0.31926+(0.137088-0.01734))+0-0-0</f>
        <v>861.2390079999999</v>
      </c>
      <c r="U122" s="3">
        <f>629+(240-34.4)+(-1.60395+(-0.612--0.08772))+0-0-0</f>
        <v>832.47176999999999</v>
      </c>
      <c r="V122" s="3">
        <f>629+(213-45.3)+(-1.28316+(-0.43452--0.092412))+0-0-0</f>
        <v>795.07473200000004</v>
      </c>
      <c r="W122" s="3">
        <f>658+(150.4-58.2)+(-2.68464+(-0.613632--0.237456))+0-0-0</f>
        <v>747.139184</v>
      </c>
      <c r="X122" s="3">
        <f>645+(101.6-61.7)+(-2.30265+(-0.362712--0.220269))+0-0-0</f>
        <v>682.45490699999993</v>
      </c>
      <c r="Y122" s="3">
        <f>599+(149.8-33.3)+(-0.61098+(-0.152796--0.033966))+0-0-0</f>
        <v>714.77018999999996</v>
      </c>
      <c r="Z122" s="3">
        <f>636+(235.6-29)+(-0.32436+(-0.120156--0.01479))+0-0-0</f>
        <v>842.17027400000006</v>
      </c>
      <c r="AA122" s="3">
        <f>678+(240-30)+(-1.38312+(-0.4896--0.0612))+0-0-0</f>
        <v>886.18848000000003</v>
      </c>
      <c r="AB122" s="3">
        <f>679+(246.9-31)+(-1.73145+(-0.629595--0.07905))+0-0-0</f>
        <v>892.61800499999993</v>
      </c>
      <c r="AC122" s="3">
        <f>661+(247.2-32)+(0.33711+(0.126072-0.01632))+0-0-0</f>
        <v>876.64686200000006</v>
      </c>
      <c r="AD122">
        <v>887.9</v>
      </c>
      <c r="AE122" s="3">
        <f>678+(239.9-30)+(0+(0-0))+0-0-0</f>
        <v>887.9</v>
      </c>
    </row>
    <row r="123" spans="1:31" s="2" customFormat="1" x14ac:dyDescent="0.3">
      <c r="A123">
        <v>90</v>
      </c>
      <c r="B123">
        <v>4</v>
      </c>
      <c r="C123">
        <v>30</v>
      </c>
      <c r="D123">
        <v>6</v>
      </c>
      <c r="E123">
        <v>1</v>
      </c>
      <c r="F123" s="3">
        <f>664+(221.3-33.3)+(-0.33864+(-0.112863--0.016983))+0-0-0</f>
        <v>851.56547999999998</v>
      </c>
      <c r="G123" s="3">
        <f>650+(208.3-33)+(-0.663+(-0.212466--0.03366))+0-0-0</f>
        <v>824.45819399999993</v>
      </c>
      <c r="H123" s="3">
        <f>649+(187.7-37.5)+(-0.33099+(-0.095727--0.019125))+0-0-0</f>
        <v>798.79240800000002</v>
      </c>
      <c r="I123" s="3">
        <f>648+(165.6-41.8)+(-1.98288+(-0.506736--0.127908))+0-0-0</f>
        <v>769.43829199999993</v>
      </c>
      <c r="J123" s="3">
        <f>647+(147.8-47.3)+(-1.64985+(-0.37689--0.120615))+0-0-0</f>
        <v>745.59387500000003</v>
      </c>
      <c r="K123" s="3">
        <f>646+(115.7-60.1)+(-2.30622+(-0.413049--0.214557))+0-0-0</f>
        <v>699.09528799999998</v>
      </c>
      <c r="L123" s="3">
        <f>631+(93.5-73.9)+(-2.25267+(-0.333795--0.263823))+0-0-0</f>
        <v>648.27735800000005</v>
      </c>
      <c r="M123" s="3">
        <f>572+(113.5-50.3)+(-0.29172+(-0.057885--0.025653))+0-0-0</f>
        <v>634.87604800000008</v>
      </c>
      <c r="N123" s="3">
        <f>571+(124.2-47.7)+(0.58242+(0.126684-0.048654))+0-0-0</f>
        <v>648.16044999999997</v>
      </c>
      <c r="O123" s="3">
        <f>581+(137.6-49.5)+(0.59262+(0.140352-0.05049))+0-0-0</f>
        <v>669.78248200000007</v>
      </c>
      <c r="P123" s="3">
        <f>652+(102.9-67.4)+(0.66504+(0.104958-0.068748))+0-0-0</f>
        <v>688.20124999999996</v>
      </c>
      <c r="Q123" s="3">
        <f>671+(141.8-58.6)+(0+(0-0))+0-0-0</f>
        <v>754.2</v>
      </c>
      <c r="R123" s="3">
        <f>664+(197.8-42.3)+(-1.01592+(-0.302634--0.064719))+0-0-0</f>
        <v>818.24616500000002</v>
      </c>
      <c r="S123" s="3">
        <f>663+(234.1-33.6)+(-1.69065+(-0.596955--0.08568))+0-0-0</f>
        <v>861.29807500000004</v>
      </c>
      <c r="T123" s="3">
        <f>670+(243.9-33)+(0+(0-0))+0-0-0</f>
        <v>880.9</v>
      </c>
      <c r="U123" s="3">
        <f>682+(235.2-43.8)+(-1.39128+(-0.479808--0.089352))+0-0-0</f>
        <v>871.61826399999995</v>
      </c>
      <c r="V123" s="3">
        <f>678+(214.3-54)+(-0.69156+(-0.218586--0.05508))+0-0-0</f>
        <v>837.44493399999999</v>
      </c>
      <c r="W123" s="3">
        <f>688+(155.5-67)+(-1.05264+(-0.237915--0.10251))+0-0-0</f>
        <v>775.31195500000001</v>
      </c>
      <c r="X123" s="3">
        <f>661+(101.3-68.6)+(-1.68555+(-0.258315--0.17493))+0-0-0</f>
        <v>691.93106499999999</v>
      </c>
      <c r="Y123" s="3">
        <f>623+(148.4-41.9)+(-0.63546+(-0.151368--0.042738))+0-0-0</f>
        <v>728.75590999999997</v>
      </c>
      <c r="Z123" s="3">
        <f>623+(250.5-32)+(0+(0-0))+0-0-0</f>
        <v>841.5</v>
      </c>
      <c r="AA123" s="3">
        <f>682+(232.8-32)+(-1.7391+(-0.59364--0.0816))+0-0-0</f>
        <v>880.54885999999999</v>
      </c>
      <c r="AB123" s="3">
        <f>693+(235.7-34.3)+(-0.35343+(-0.120207--0.017493))+0-0-0</f>
        <v>893.94385599999998</v>
      </c>
      <c r="AC123" s="3">
        <f>690+(228-35.8)+(-0.3519+(-0.11628--0.018258))+0-0-0</f>
        <v>881.75007800000003</v>
      </c>
      <c r="AD123">
        <v>879.1</v>
      </c>
      <c r="AE123" s="3">
        <f>694+(223.4-38.3)+(0+(0-0))+0-0-0</f>
        <v>879.1</v>
      </c>
    </row>
    <row r="124" spans="1:31" s="2" customFormat="1" x14ac:dyDescent="0.3">
      <c r="A124">
        <v>90</v>
      </c>
      <c r="B124">
        <v>4</v>
      </c>
      <c r="C124">
        <v>31</v>
      </c>
      <c r="D124">
        <v>7</v>
      </c>
      <c r="E124">
        <v>1</v>
      </c>
      <c r="F124" s="3">
        <f>681+(215.7-38.3)+(-0.34731+(-0.110007--0.019533))+0-0-0</f>
        <v>857.96221600000001</v>
      </c>
      <c r="G124" s="3">
        <f>680+(197.1-46)+(0.6936+(0.201042-0.04692))+0-0-0</f>
        <v>831.947722</v>
      </c>
      <c r="H124" s="3">
        <f>681+(174.1-44)+(0.69462+(0.177582-0.04488))+0-0-0</f>
        <v>811.927322</v>
      </c>
      <c r="I124" s="3">
        <f>681+(152.7-67)+(0.34731+(0.077877-0.03417))+0-0-0</f>
        <v>767.09101700000008</v>
      </c>
      <c r="J124" s="3">
        <f>619+(171.5-39)+(0.94707+(0.262395-0.05967))+0-0-0</f>
        <v>752.64979500000004</v>
      </c>
      <c r="K124" s="3">
        <f>585+(161.8-36)+(-0.5967+(-0.165036--0.03672))+0-0-0</f>
        <v>710.07498399999997</v>
      </c>
      <c r="L124" s="3">
        <f>530+(147.2-32)+(0.5406+(0.150144-0.03264))+0-0-0</f>
        <v>645.85810400000003</v>
      </c>
      <c r="M124" s="3">
        <f>527+(137.7-37)+(-0.26877+(-0.070227--0.01887))+0-0-0</f>
        <v>627.37987300000009</v>
      </c>
      <c r="N124" s="3">
        <f>523+(137.6-33)+(0.80019+(0.210528-0.05049))+0-0-0</f>
        <v>628.56022800000005</v>
      </c>
      <c r="O124" s="3">
        <f>523+(144.6-32)+(0.26673+(0.073746-0.01632))+0-0-0</f>
        <v>635.92415600000004</v>
      </c>
      <c r="P124" s="3">
        <f>571+(141.7-42.6)+(0.87363+(0.216801-0.065178))+0-0-0</f>
        <v>671.12525300000004</v>
      </c>
      <c r="Q124" s="3">
        <f>593+(176.1-38.8)+(0.60486+(0.179622-0.039576))+0-0-0</f>
        <v>731.04490599999997</v>
      </c>
      <c r="R124" s="3">
        <f>593+(211.4-32)+(-0.30243+(-0.107814--0.01632))+0-0-0</f>
        <v>772.00607600000001</v>
      </c>
      <c r="S124" s="3">
        <f>646+(210.5-40.2)+(-0.32946+(-0.107355--0.020502))+0-0-0</f>
        <v>815.88368700000001</v>
      </c>
      <c r="T124" s="3">
        <f>654+(224.7-41.7)+(-1.00062+(-0.343791--0.063801))+0-0-0</f>
        <v>835.71938999999998</v>
      </c>
      <c r="U124" s="3">
        <f>656+(223.8-46.6)+(0.33456+(0.114138-0.023766))+0-0-0</f>
        <v>833.62493200000006</v>
      </c>
      <c r="V124" s="3">
        <f>657+(196.4-55.8)+(-0.33507+(-0.100164--0.028458))+0-0-0</f>
        <v>797.19322399999999</v>
      </c>
      <c r="W124" s="3">
        <f>669+(143.3-65.5)+(-1.70595+(-0.365415--0.167025))+0-0-0</f>
        <v>744.89565999999991</v>
      </c>
      <c r="X124" s="3">
        <f>592+(138-42.2)+(-0.90576+(-0.21114--0.064566))+0-0-0</f>
        <v>686.74766599999998</v>
      </c>
      <c r="Y124" s="3">
        <f>552+(199.4-32)+(-1.97064+(-0.711858--0.11424))+0-0-0</f>
        <v>716.83174199999996</v>
      </c>
      <c r="Z124" s="3">
        <f>607+(281.3-32)+(0.92871+(0.430389-0.04896))+0-0-0</f>
        <v>857.610139</v>
      </c>
      <c r="AA124" s="3">
        <f>668+(256.8-32)+(-1.02204+(-0.392904--0.04896))+0-0-0</f>
        <v>891.43401599999993</v>
      </c>
      <c r="AB124" s="3">
        <f>668+(273.5-32)+(-0.68136+(-0.27897--0.03264))+0-0-0</f>
        <v>908.57231000000002</v>
      </c>
      <c r="AC124" s="3">
        <f>665+(264.6-31)+(0.33915+(0.134946-0.01581))+0-0-0</f>
        <v>899.05828600000007</v>
      </c>
      <c r="AD124">
        <v>907.1</v>
      </c>
      <c r="AE124" s="3">
        <f>675+(264.1-32)+(0+(0-0))+0-0-0</f>
        <v>907.1</v>
      </c>
    </row>
    <row r="125" spans="1:31" s="2" customFormat="1" x14ac:dyDescent="0.3">
      <c r="A125">
        <v>90</v>
      </c>
      <c r="B125">
        <v>5</v>
      </c>
      <c r="C125">
        <v>1</v>
      </c>
      <c r="D125">
        <v>1</v>
      </c>
      <c r="E125">
        <v>1</v>
      </c>
      <c r="F125" s="3">
        <f>653+(245.3-31)+(-0.66606+(-0.250206--0.03162))+0-0-0</f>
        <v>866.41535399999998</v>
      </c>
      <c r="G125" s="3">
        <f>653+(218.2-30)+(-0.66606+(-0.222564--0.0306))+0-0-0</f>
        <v>840.34197600000005</v>
      </c>
      <c r="H125" s="3">
        <f>653+(196.8-31.5)+(-0.99909+(-0.301104--0.048195))+0-0-0</f>
        <v>817.048001</v>
      </c>
      <c r="I125" s="3">
        <f>602+(218-29)+(-0.92106+(-0.33354--0.04437))+0-0-0</f>
        <v>789.78976999999998</v>
      </c>
      <c r="J125" s="3">
        <f>589+(207.3-28)+(-1.20156+(-0.422892--0.05712))+0-0-0</f>
        <v>766.73266799999999</v>
      </c>
      <c r="K125" s="3">
        <f>592+(158.4-32.3)+(-1.20768+(-0.323136--0.065892))+0-0-0</f>
        <v>716.63507600000003</v>
      </c>
      <c r="L125" s="3">
        <f>588+(113.6-51.6)+(-0.29988+(-0.057936--0.026316))+0-0-0</f>
        <v>649.66849999999999</v>
      </c>
      <c r="M125" s="3">
        <f>584+(128.1-51.4)+(0+(0-0))+0-0-0</f>
        <v>660.7</v>
      </c>
      <c r="N125" s="3">
        <f>574+(138-49.2)+(0.58548+(0.14076-0.050184))+0-0-0</f>
        <v>663.47605599999997</v>
      </c>
      <c r="O125" s="3">
        <f>570+(153-45.8)+(-0.2907+(-0.07803--0.023358))+0-0-0</f>
        <v>676.85462800000005</v>
      </c>
      <c r="P125" s="3">
        <f>584+(172.3-40.9)+(-0.29784+(-0.087873--0.020859))+0-0-0</f>
        <v>715.03514599999994</v>
      </c>
      <c r="Q125" s="3">
        <f>583+(218.2-32)+(0.89199+(0.333846-0.04896))+0-0-0</f>
        <v>770.37687600000004</v>
      </c>
      <c r="R125" s="3">
        <f>622+(252.5-33)+(0.31722+(0.128775-0.01683))+0-0-0</f>
        <v>841.92916500000001</v>
      </c>
      <c r="S125" s="3">
        <f>652+(267-33)+(0+(0-0))+0-0-0</f>
        <v>886</v>
      </c>
      <c r="T125" s="3">
        <f>654+(264.9-33)+(-0.66708+(-0.270198--0.03366))+0-0-0</f>
        <v>884.99638199999993</v>
      </c>
      <c r="U125" s="3">
        <f>660+(237-41.3)+(-1.0098+(-0.36261--0.063189))+0-0-0</f>
        <v>854.39077900000007</v>
      </c>
      <c r="V125" s="3">
        <f>661+(213.9-50.6)+(-1.34844+(-0.436356--0.103224))+0-0-0</f>
        <v>822.61842799999999</v>
      </c>
      <c r="W125" s="3">
        <f>667+(162.8-57.9)+(-1.02051+(-0.249084--0.088587))+0-0-0</f>
        <v>770.71899299999995</v>
      </c>
      <c r="X125" s="3">
        <f>621+(132.3-47.7)+(-1.90026+(-0.404838--0.145962))+0-0-0</f>
        <v>703.44086400000003</v>
      </c>
      <c r="Y125" s="3">
        <f>621+(164.5-33.5)+(-0.31671+(-0.083895--0.017085))+0-0-0</f>
        <v>751.61648000000002</v>
      </c>
      <c r="Z125" s="3">
        <f>640+(280-32)+(-0.6528+(-0.2856--0.03264))+0-0-0</f>
        <v>887.09424000000001</v>
      </c>
      <c r="AA125" s="3">
        <f>667+(280.2-33)+(0+(0-0))+0-0-0</f>
        <v>914.2</v>
      </c>
      <c r="AB125" s="3">
        <f>676+(293-32)+(-1.03428+(-0.44829--0.04896))+0-0-0</f>
        <v>935.56638999999996</v>
      </c>
      <c r="AC125" s="3">
        <f>690+(271.1-31)+(0+(0-0))+0-0-0</f>
        <v>930.1</v>
      </c>
      <c r="AD125">
        <v>907.4</v>
      </c>
      <c r="AE125" s="3">
        <f>667+(273.4-33)+(0+(0-0))+0-0-0</f>
        <v>907.4</v>
      </c>
    </row>
    <row r="126" spans="1:31" s="2" customFormat="1" x14ac:dyDescent="0.3">
      <c r="A126">
        <v>90</v>
      </c>
      <c r="B126">
        <v>5</v>
      </c>
      <c r="C126">
        <v>2</v>
      </c>
      <c r="D126">
        <v>2</v>
      </c>
      <c r="E126">
        <v>1</v>
      </c>
      <c r="F126" s="3">
        <f>681+(244.5-31)+(-0.69462+(-0.24939--0.03162))+0-0-0</f>
        <v>893.58761000000004</v>
      </c>
      <c r="G126" s="3">
        <f>683+(225.7-33.4)+(-1.74165+(-0.575535--0.08517))+0-0-0</f>
        <v>873.06798499999991</v>
      </c>
      <c r="H126" s="3">
        <f>684+(203.9-38.3)+(-0.69768+(-0.207978--0.039066))+0-0-0</f>
        <v>848.73340800000005</v>
      </c>
      <c r="I126" s="3">
        <f>680+(177.2-43.4)+(-1.3872+(-0.361488--0.088536))+0-0-0</f>
        <v>812.13984799999992</v>
      </c>
      <c r="J126" s="3">
        <f>615+(197-30)+(-0.94095+(-0.30141--0.0459))+0-0-0</f>
        <v>780.80354</v>
      </c>
      <c r="K126" s="3">
        <f>609+(164.8-35.8)+(-0.62118+(-0.168096--0.036516))+0-0-0</f>
        <v>737.24724000000003</v>
      </c>
      <c r="L126" s="3">
        <f>602+(115.5-48.9)+(-1.5351+(-0.294525--0.124695))+0-0-0</f>
        <v>666.89507000000003</v>
      </c>
      <c r="M126" s="3">
        <f>595+(121.5-51.1)+(0.91035+(0.185895-0.078183))+0-0-0</f>
        <v>666.41806199999996</v>
      </c>
      <c r="N126" s="3">
        <f>554+(135.1-51)+(0+(0-0))+7.4-0-0</f>
        <v>645.5</v>
      </c>
      <c r="O126" s="3">
        <f>489+(200.6-28)+(0.24939+(0.102306-0.01428))+7.9-0-0</f>
        <v>669.83741599999996</v>
      </c>
      <c r="P126" s="3">
        <f>499+(227.1-28)+(0.25449+(0.115821-0.01428))+0-0-0</f>
        <v>698.45603100000005</v>
      </c>
      <c r="Q126" s="3">
        <f>584+(234.3-32)+(0.89352+(0.358479-0.04896))+0-0-0</f>
        <v>787.50303899999994</v>
      </c>
      <c r="R126" s="3">
        <f>579+(304.5-32)+(0+(0-0))+0-0-0</f>
        <v>851.5</v>
      </c>
      <c r="S126" s="3">
        <f>585+(328.8-32)+(0+(0-0))+0-0-0</f>
        <v>881.8</v>
      </c>
      <c r="T126" s="3">
        <f>624+(296.9-33)+(0.95472+(0.454257-0.05049))+0-0-0</f>
        <v>889.25848699999995</v>
      </c>
      <c r="U126" s="3">
        <f>627+(270.7-33)+(-0.63954+(-0.276114--0.03366))+0-0-0</f>
        <v>863.81800600000008</v>
      </c>
      <c r="V126" s="3">
        <f>649+(232-50.8)+(-1.32396+(-0.47328--0.103632))+0-0-0</f>
        <v>828.50639200000001</v>
      </c>
      <c r="W126" s="3">
        <f>689+(161.9-65.4)+(-2.10834+(-0.495414--0.200124))+0-0-0</f>
        <v>783.09636999999998</v>
      </c>
      <c r="X126" s="3">
        <f>643+(127-58.4)+(-1.96758+(-0.38862--0.178704))+0-0-0</f>
        <v>709.422504</v>
      </c>
      <c r="Y126" s="3">
        <f>623+(174-36.2)+(-0.63546+(-0.17748--0.036924))+0-0-0</f>
        <v>760.02398399999993</v>
      </c>
      <c r="Z126" s="3">
        <f>644+(271.5-33)+(0+(0-0))+0-0-0</f>
        <v>882.5</v>
      </c>
      <c r="AA126" s="3">
        <f>694+(259.5-33)+(-2.12364+(-0.79407--0.10098))+0-0-0</f>
        <v>917.68326999999999</v>
      </c>
      <c r="AB126" s="3">
        <f>694+(269.9-33)+(-0.35394+(-0.137649--0.01683))+0-0-0</f>
        <v>930.42524100000003</v>
      </c>
      <c r="AC126" s="3">
        <f>668+(264.2-33)+(-0.34068+(-0.134742--0.01683))+0-0-0</f>
        <v>898.74140800000009</v>
      </c>
      <c r="AD126">
        <v>941.6</v>
      </c>
      <c r="AE126" s="3">
        <f>694+(280.6-33)+(0+(0-0))+0-0-0</f>
        <v>941.6</v>
      </c>
    </row>
    <row r="127" spans="1:31" s="2" customFormat="1" x14ac:dyDescent="0.3">
      <c r="A127">
        <v>90</v>
      </c>
      <c r="B127">
        <v>5</v>
      </c>
      <c r="C127">
        <v>3</v>
      </c>
      <c r="D127">
        <v>3</v>
      </c>
      <c r="E127">
        <v>1</v>
      </c>
      <c r="F127" s="3">
        <f>661+(250.7-32)+(-1.01133+(-0.383571--0.04896))+0-0-0</f>
        <v>878.35405900000001</v>
      </c>
      <c r="G127" s="3">
        <f>661+(235.5-31)+(-1.01133+(-0.360315--0.04743))+0-0-0</f>
        <v>864.17578500000002</v>
      </c>
      <c r="H127" s="3">
        <f>661+(216.1-31)+(-0.67422+(-0.220422--0.03162))+0-0-0</f>
        <v>845.23697800000002</v>
      </c>
      <c r="I127" s="3">
        <f>652+(204.5-32.9)+(-0.66504+(-0.20859--0.033558))+0-0-0</f>
        <v>822.75992800000006</v>
      </c>
      <c r="J127" s="3">
        <f>589+(245.1-28)+(0.60078+(0.250002-0.02856))+0-0-0</f>
        <v>806.92222200000003</v>
      </c>
      <c r="K127" s="3">
        <f>589+(197.8-31)+(0.30039+(0.100878-0.01581))+0-0-0</f>
        <v>756.18545799999993</v>
      </c>
      <c r="L127" s="3">
        <f>570+(133.4-51.4)+(-0.2907+(-0.068034--0.026214))+0-0-0</f>
        <v>651.66747999999995</v>
      </c>
      <c r="M127" s="3">
        <f>584+(140.8-46.2)+(-0.29784+(-0.071808--0.023562))+0-0-0</f>
        <v>678.25391400000001</v>
      </c>
      <c r="N127" s="3">
        <f>581+(151.1-44.5)+(0+(0-0))+0-0-0</f>
        <v>687.6</v>
      </c>
      <c r="O127" s="3">
        <f>610+(150.8-51.5)+(-0.6222+(-0.153816--0.05253))+0-0-0</f>
        <v>708.57651399999997</v>
      </c>
      <c r="P127" s="3">
        <f>647+(155.4-59.4)+(-0.32997+(-0.079254--0.030294))+0-0-0</f>
        <v>742.62107000000003</v>
      </c>
      <c r="Q127" s="3">
        <f>645+(196.6-47.8)+(0+(0-0))+0-0-0</f>
        <v>793.8</v>
      </c>
      <c r="R127" s="3">
        <f>644+(243.9-33)+(-1.31376+(-0.497556--0.06732))+0-0-0</f>
        <v>853.15600399999994</v>
      </c>
      <c r="S127" s="3">
        <f>643+(303.1-32)+(-0.98379+(-0.463743--0.04896))+0-0-0</f>
        <v>912.70142699999997</v>
      </c>
      <c r="T127" s="3">
        <f>644+(306.4-32)+(0.32844+(0.156264-0.01632))+0-0-0</f>
        <v>918.86838399999999</v>
      </c>
      <c r="U127" s="3">
        <f>648+(281.9-32)+(-0.66096+(-0.287538--0.03264))+0-0-0</f>
        <v>896.98414200000002</v>
      </c>
      <c r="V127" s="3">
        <f>655+(245.3-40.5)+(0.6681+(0.250206-0.04131))+0-0-0</f>
        <v>860.67699599999992</v>
      </c>
      <c r="W127" s="3">
        <f>669+(185.2-55.1)+(-1.36476+(-0.377808--0.112404))+0-0-0</f>
        <v>797.46983599999999</v>
      </c>
      <c r="X127" s="3">
        <f>674+(108.7-66.8)+(-1.03122+(-0.166311--0.102204))+0-0-0</f>
        <v>714.80467299999998</v>
      </c>
      <c r="Y127" s="3">
        <f>610+(183.7-33)+(-0.6222+(-0.187374--0.03366))+0-0-0</f>
        <v>759.9240860000001</v>
      </c>
      <c r="Z127" s="3">
        <f>655+(249.7-33)+(0+(0-0))+0-0-0</f>
        <v>871.7</v>
      </c>
      <c r="AA127" s="3">
        <f>684+(286.3-33)+(-0.69768+(-0.292026--0.03366))+0-0-0</f>
        <v>936.34395399999994</v>
      </c>
      <c r="AB127" s="3">
        <f>693+(274.9-33)+(-0.70686+(-0.280398--0.03366))+0-0-0</f>
        <v>933.94640199999992</v>
      </c>
      <c r="AC127" s="3">
        <f>689+(276.7-33)+(-0.35139+(-0.141117--0.01683))+0-0-0</f>
        <v>932.22432300000003</v>
      </c>
      <c r="AD127">
        <v>944.8</v>
      </c>
      <c r="AE127" s="3">
        <f>690+(284.8-30)+(0+(0-0))+0-0-0</f>
        <v>944.8</v>
      </c>
    </row>
    <row r="128" spans="1:31" s="2" customFormat="1" x14ac:dyDescent="0.3">
      <c r="A128">
        <v>90</v>
      </c>
      <c r="B128">
        <v>5</v>
      </c>
      <c r="C128">
        <v>4</v>
      </c>
      <c r="D128">
        <v>4</v>
      </c>
      <c r="E128">
        <v>1</v>
      </c>
      <c r="F128" s="3">
        <f>643+(273.4-32)+(0+(0-0))+0-0-0</f>
        <v>884.4</v>
      </c>
      <c r="G128" s="3">
        <f>593+(294.1-32)+(0.30243+(0.149991-0.01632))+0-0-0</f>
        <v>855.53610100000003</v>
      </c>
      <c r="H128" s="3">
        <f>594+(273.3-32)+(-1.21176+(-0.557532--0.06528))+0-0-0</f>
        <v>833.59598799999992</v>
      </c>
      <c r="I128" s="3">
        <f>594+(252.9-32)+(0.60588+(0.257958-0.03264))+0-0-0</f>
        <v>815.73119799999995</v>
      </c>
      <c r="J128" s="3">
        <f>594+(233.3-33)+(-1.21176+(-0.475932--0.06732))+0-0-0</f>
        <v>792.67962799999998</v>
      </c>
      <c r="K128" s="3">
        <f>560+(220.6-33)+(-0.8568+(-0.337518--0.05049))+3.7-0-0</f>
        <v>750.15617200000008</v>
      </c>
      <c r="L128" s="3">
        <f>514+(164.6-36)+(-1.3107+(-0.41973--0.0918))+73-0-0</f>
        <v>713.96136999999999</v>
      </c>
      <c r="M128" s="3">
        <f>518+(154.8-39)+(0+(0-0))+73-0-0</f>
        <v>706.8</v>
      </c>
      <c r="N128" s="3">
        <f>528+(191.6-32)+(1.3464+(0.48858-0.0816))+20.7-0-0</f>
        <v>710.05338000000006</v>
      </c>
      <c r="O128" s="3">
        <f>572+(181.7-34)+(0+(0-0))+0-0-0</f>
        <v>719.7</v>
      </c>
      <c r="P128" s="3">
        <f>627+(175.8-53)+(0.95931+(0.268974-0.08109))+0-0-0</f>
        <v>750.94719399999997</v>
      </c>
      <c r="Q128" s="3">
        <f>636+(195.6-47.4)+(0.97308+(0.299268-0.072522))+0-0-0</f>
        <v>785.39982600000008</v>
      </c>
      <c r="R128" s="3">
        <f>645+(238-41.8)+(0.6579+(0.24276-0.042636))+0-0-0</f>
        <v>842.05802400000005</v>
      </c>
      <c r="S128" s="3">
        <f>649+(268.2-37.2)+(-0.33099+(-0.136782--0.018972))+0-0-0</f>
        <v>879.55119999999999</v>
      </c>
      <c r="T128" s="3">
        <f>660+(270.7-38.6)+(0.3366+(0.138057-0.019686))+0-0-0</f>
        <v>892.55497100000002</v>
      </c>
      <c r="U128" s="3">
        <f>661+(246.3-44.2)+(0+(0-0))+0-0-0</f>
        <v>863.1</v>
      </c>
      <c r="V128" s="3">
        <f>661+(220.8-54.2)+(-1.68555+(-0.56304--0.13821))+0-0-0</f>
        <v>825.48962000000006</v>
      </c>
      <c r="W128" s="3">
        <f>640+(177.8-54.3)+(-1.632+(-0.45339--0.138465))+0-0-0</f>
        <v>761.55307500000004</v>
      </c>
      <c r="X128" s="3">
        <f>621+(129.7-51.8)+(-0.95013+(-0.198441--0.079254))+0-0-0</f>
        <v>697.83068300000002</v>
      </c>
      <c r="Y128" s="3">
        <f>621+(172.1-37.9)+(0.31671+(0.087771-0.019329))+0-0-0</f>
        <v>755.58515199999999</v>
      </c>
      <c r="Z128" s="3">
        <f>662+(236.7-30)+(0+(0-0))+0-0-0</f>
        <v>868.7</v>
      </c>
      <c r="AA128" s="3">
        <f>691+(256.6-30)+(-0.70482+(-0.261732--0.0306))+0-0-0</f>
        <v>916.66404799999998</v>
      </c>
      <c r="AB128" s="3">
        <f>692+(259.3-30)+(-1.05876+(-0.396729--0.0459))+0-0-0</f>
        <v>919.89041099999997</v>
      </c>
      <c r="AC128" s="3">
        <f>693+(257.9-30)+(-0.35343+(-0.131529--0.0153))+0-0-0</f>
        <v>920.430341</v>
      </c>
      <c r="AD128">
        <v>918.3</v>
      </c>
      <c r="AE128" s="3">
        <f>692+(259.3-33)+(0+(0-0))+0-0-0</f>
        <v>918.3</v>
      </c>
    </row>
    <row r="129" spans="1:31" s="2" customFormat="1" x14ac:dyDescent="0.3">
      <c r="A129">
        <v>90</v>
      </c>
      <c r="B129">
        <v>5</v>
      </c>
      <c r="C129">
        <v>5</v>
      </c>
      <c r="D129">
        <v>5</v>
      </c>
      <c r="E129">
        <v>1</v>
      </c>
      <c r="F129" s="3">
        <f>677+(241.3-35.2)+(-1.03581+(-0.369189--0.053856))+0-0-0</f>
        <v>881.74885700000004</v>
      </c>
      <c r="G129" s="3">
        <f>659+(227.8-34.5)+(0+(0-0))+0-0-0</f>
        <v>852.3</v>
      </c>
      <c r="H129" s="3">
        <f>605+(250.3-29)+(-0.6171+(-0.255306--0.02958))+0-0-0</f>
        <v>825.45717400000001</v>
      </c>
      <c r="I129" s="3">
        <f>585+(247.8-29)+(0.5967+(0.252756-0.02958))+0-0-0</f>
        <v>804.61987599999998</v>
      </c>
      <c r="J129" s="3">
        <f>585+(234.6-28)+(0+(0-0))+0-0-0</f>
        <v>791.6</v>
      </c>
      <c r="K129" s="3">
        <f>586+(192.3-28)+(-0.89658+(-0.294219--0.04284))+0-0-0</f>
        <v>749.15204099999994</v>
      </c>
      <c r="L129" s="3">
        <f>578+(152.6-39)+(-0.88434+(-0.233478--0.05967))+0-0-0</f>
        <v>690.54185200000006</v>
      </c>
      <c r="M129" s="3">
        <f>574+(139.6-43.4)+(0.87822+(0.213588-0.066402))+0-0-0</f>
        <v>671.22540600000002</v>
      </c>
      <c r="N129" s="3">
        <f>595+(139.4-51.8)+(0.30345+(0.071094-0.026418))+0-0-0</f>
        <v>682.948126</v>
      </c>
      <c r="O129" s="3">
        <f>624+(129.9-60.6)+(-0.31824+(-0.066249--0.030906))+0-0-0</f>
        <v>692.946417</v>
      </c>
      <c r="P129" s="3">
        <f>623+(155.4-55.2)+(0.63546+(0.158508-0.056304))+0-0-0</f>
        <v>723.93766400000004</v>
      </c>
      <c r="Q129" s="3">
        <f>646+(167.9-55.5)+(1.6473+(0.428145-0.141525))+0-0-0</f>
        <v>760.33391999999992</v>
      </c>
      <c r="R129" s="3">
        <f>660+(217.3-49)+(-0.3366+(-0.110823--0.02499))+0-0-0</f>
        <v>827.877567</v>
      </c>
      <c r="S129" s="3">
        <f>660+(256.9-39.1)+(0.3366+(0.131019-0.019941))+0-0-0</f>
        <v>878.24767799999995</v>
      </c>
      <c r="T129" s="3">
        <f>658+(262-38)+(0+(0-0))+0-0-0</f>
        <v>882</v>
      </c>
      <c r="U129" s="3">
        <f>661+(249.9-43.1)+(-0.33711+(-0.127449--0.021981))+0-0-0</f>
        <v>867.35742199999993</v>
      </c>
      <c r="V129" s="3">
        <f>679+(211-53.5)+(-0.69258+(-0.21522--0.05457))+0-0-0</f>
        <v>835.64676999999995</v>
      </c>
      <c r="W129" s="3">
        <f>688+(161-61.1)+(-1.05264+(-0.24633--0.093483))+0-0-0</f>
        <v>786.69451300000003</v>
      </c>
      <c r="X129" s="3">
        <f>665+(111-64.8)+(-2.37405+(-0.39627--0.231336))+0-0-0</f>
        <v>708.66101600000002</v>
      </c>
      <c r="Y129" s="3">
        <f>641+(148.7-47.4)+(-0.32691+(-0.075837--0.024174))+0-0-0</f>
        <v>741.92142699999999</v>
      </c>
      <c r="Z129" s="3">
        <f>621+(260.8-33)+(-0.95013+(-0.399024--0.05049))+0-0-0</f>
        <v>847.50133599999992</v>
      </c>
      <c r="AA129" s="3">
        <f>679+(247.2-33)+(-2.42403+(-0.882504--0.11781))+0-0-0</f>
        <v>890.01127600000007</v>
      </c>
      <c r="AB129" s="3">
        <f>692+(244.8-34)+(-1.05876+(-0.374544--0.05202))+0-0-0</f>
        <v>901.4187159999999</v>
      </c>
      <c r="AC129" s="3">
        <f>693+(239.1-37.2)+(-0.70686+(-0.243882--0.037944))+0-0-0</f>
        <v>893.98720200000002</v>
      </c>
      <c r="AD129">
        <v>881.19999999999993</v>
      </c>
      <c r="AE129" s="3">
        <f>681+(233.8-33.6)+(0+(0-0))+0-0-0</f>
        <v>881.2</v>
      </c>
    </row>
    <row r="130" spans="1:31" s="2" customFormat="1" x14ac:dyDescent="0.3">
      <c r="A130">
        <v>90</v>
      </c>
      <c r="B130">
        <v>5</v>
      </c>
      <c r="C130">
        <v>6</v>
      </c>
      <c r="D130">
        <v>6</v>
      </c>
      <c r="E130">
        <v>1</v>
      </c>
      <c r="F130" s="3">
        <f>657+(247.4-32)+(-0.33507+(-0.126174--0.01632))+0-0-0</f>
        <v>871.95507599999996</v>
      </c>
      <c r="G130" s="3">
        <f>597+(267-32)+(-0.91341+(-0.40851--0.04896))+0-0-0</f>
        <v>830.72703999999999</v>
      </c>
      <c r="H130" s="3">
        <f>596+(248.7-32)+(-0.60792+(-0.253674--0.03264))+0-0-0</f>
        <v>811.87104600000009</v>
      </c>
      <c r="I130" s="3">
        <f>596+(234.9-30)+(0.60792+(0.239598-0.0306))+0-0-0</f>
        <v>801.71691799999996</v>
      </c>
      <c r="J130" s="3">
        <f>585+(215.9-31)+(-0.5967+(-0.220218--0.03162))+0-0-0</f>
        <v>769.11470199999997</v>
      </c>
      <c r="K130" s="3">
        <f>585+(185.9-36.8)+(0.29835+(0.094809-0.018768))+0-0-0</f>
        <v>734.47439099999997</v>
      </c>
      <c r="L130" s="3">
        <f>586+(136.3-54.5)+(-1.79316+(-0.417078--0.16677))+0-0-0</f>
        <v>665.75653199999999</v>
      </c>
      <c r="M130" s="3">
        <f>583+(119.7-55.7)+(0+(0-0))+0-0-0</f>
        <v>647</v>
      </c>
      <c r="N130" s="3">
        <f>582+(141.8-51.9)+(0+(0-0))+0-0-0</f>
        <v>671.9</v>
      </c>
      <c r="O130" s="3">
        <f>580+(157.3-46.9)+(-0.2958+(-0.080223--0.023919))+0-0-0</f>
        <v>690.04789599999992</v>
      </c>
      <c r="P130" s="3">
        <f>525+(219.7-30)+(-0.26775+(-0.112047--0.0153))+0-0-0</f>
        <v>714.33550300000002</v>
      </c>
      <c r="Q130" s="3">
        <f>557+(229.6-31)+(-0.56814+(-0.234192--0.03162))+0-0-0</f>
        <v>754.82928800000002</v>
      </c>
      <c r="R130" s="3">
        <f>641+(208.6-48.6)+(-1.30764+(-0.425544--0.099144))+0-0-0</f>
        <v>799.36595999999997</v>
      </c>
      <c r="S130" s="3">
        <f>642+(238-40.2)+(-1.6371+(-0.6069--0.10251))+0-0-0</f>
        <v>837.65850999999998</v>
      </c>
      <c r="T130" s="3">
        <f>642+(252.9-37.8)+(-0.98226+(-0.386937--0.057834))+0-0-0</f>
        <v>855.78863699999999</v>
      </c>
      <c r="U130" s="3">
        <f>643+(246.8-42.7)+(0+(0-0))+0-0-0</f>
        <v>847.1</v>
      </c>
      <c r="V130" s="3">
        <f>645+(213.4-54.8)+(-0.32895+(-0.108834--0.027948))+0-0-0</f>
        <v>803.19016399999998</v>
      </c>
      <c r="W130" s="3">
        <f>664+(162.1-63.7)+(-2.70912+(-0.661368--0.259896))+0-0-0</f>
        <v>759.28940799999998</v>
      </c>
      <c r="X130" s="3">
        <f>606+(127.8-53.5)+(-1.85436+(-0.391068--0.16371))+0-0-0</f>
        <v>678.21828199999993</v>
      </c>
      <c r="Y130" s="3">
        <f>606+(149.1-41.1)+(-1.5453+(-0.380205--0.104805))+0-0-0</f>
        <v>712.17930000000001</v>
      </c>
      <c r="Z130" s="3">
        <f>606+(243.8-33)+(0.30906+(0.124338-0.01683))+0-0-0</f>
        <v>817.21656799999994</v>
      </c>
      <c r="AA130" s="3">
        <f>606+(287.7-33)+(-1.5453+(-0.733635--0.08415))+0-0-0</f>
        <v>858.50521500000002</v>
      </c>
      <c r="AB130" s="3">
        <f>606+(306.4-33)+(-1.5453+(-0.78132--0.08415))+0-0-0</f>
        <v>877.15752999999995</v>
      </c>
      <c r="AC130" s="3">
        <f>590+(294.9-32)+(-0.3009+(-0.150399--0.01632))+0-0-0</f>
        <v>852.46502099999998</v>
      </c>
      <c r="AD130">
        <v>833.2</v>
      </c>
      <c r="AE130" s="3">
        <f>597+(269.2-33)+(0+(0-0))+0-0-0</f>
        <v>833.2</v>
      </c>
    </row>
    <row r="131" spans="1:31" s="2" customFormat="1" x14ac:dyDescent="0.3">
      <c r="A131">
        <v>90</v>
      </c>
      <c r="B131">
        <v>5</v>
      </c>
      <c r="C131">
        <v>7</v>
      </c>
      <c r="D131">
        <v>7</v>
      </c>
      <c r="E131">
        <v>1</v>
      </c>
      <c r="F131" s="3">
        <f>592+(284.5-30)+(-0.30192+(-0.145095--0.0153))+0-0-0</f>
        <v>846.06828499999995</v>
      </c>
      <c r="G131" s="3">
        <f>556+(262.8-28)+(-0.56712+(-0.268056--0.02856))+0-0-0</f>
        <v>789.99338399999999</v>
      </c>
      <c r="H131" s="3">
        <f>545+(288.9-27)+(0+(0-0))+0-0-0</f>
        <v>806.9</v>
      </c>
      <c r="I131" s="3">
        <f>530+(273.4-26)+(-1.0812+(-0.557736--0.05304))+0-0-0</f>
        <v>775.81410399999993</v>
      </c>
      <c r="J131" s="3">
        <f>520+(266.2-26)+(-1.326+(-0.67881--0.0663))+0-0-0</f>
        <v>758.26149000000009</v>
      </c>
      <c r="K131" s="3">
        <f>519+(222.9-27)+(-1.32345+(-0.568395--0.06885))+0-0-0</f>
        <v>713.07700499999999</v>
      </c>
      <c r="L131" s="3">
        <f>517+(155.1-35.7)+(-1.31835+(-0.395505--0.091035))+0-0-0</f>
        <v>634.77717999999993</v>
      </c>
      <c r="M131" s="3">
        <f>516+(138.7-39)+(-0.78948+(-0.212211--0.05967))+0-0-0</f>
        <v>614.75797900000009</v>
      </c>
      <c r="N131" s="3">
        <f>514+(140.4-41.9)+(-0.52428+(-0.143208--0.042738))+0-0-0</f>
        <v>611.87525000000005</v>
      </c>
      <c r="O131" s="3">
        <f>512+(149.8-41)+(-0.26112+(-0.076398--0.02091))+0-0-0</f>
        <v>620.48339199999998</v>
      </c>
      <c r="P131" s="3">
        <f>510+(167-35.6)+(0.2601+(0.08517-0.018156))+0-0-0</f>
        <v>641.72711400000003</v>
      </c>
      <c r="Q131" s="3">
        <f>510+(209.1-27)+(0+(0-0))+0-0-0</f>
        <v>692.1</v>
      </c>
      <c r="R131" s="3">
        <f>508+(272.9-30)+(0.25908+(0.139179-0.0153))+0-0-0</f>
        <v>751.28295900000001</v>
      </c>
      <c r="S131" s="3">
        <f>508+(317-30)+(0.77724+(0.48501-0.0459))+0-0-0</f>
        <v>796.21635000000003</v>
      </c>
      <c r="T131" s="3">
        <f>509+(337.8-32)+(-0.25959+(-0.172278--0.01632))+0-0-0</f>
        <v>814.38445200000001</v>
      </c>
      <c r="U131" s="3">
        <f>514+(321.6-32)+(-1.04856+(-0.656064--0.06528))+0-0-0</f>
        <v>801.96065599999997</v>
      </c>
      <c r="V131" s="3">
        <f>518+(286.6-32)+(-0.26418+(-0.146166--0.01632))+0-0-0</f>
        <v>772.20597399999997</v>
      </c>
      <c r="W131" s="3">
        <f>529+(220.9-32)+(-1.34895+(-0.563295--0.0816))+0-0-0</f>
        <v>716.06935499999997</v>
      </c>
      <c r="X131" s="3">
        <f>532+(167.6-38.6)+(-0.54264+(-0.170952--0.039372))+0-0-0</f>
        <v>660.32578000000001</v>
      </c>
      <c r="Y131" s="3">
        <f>533+(205.5-31)+(-1.08732+(-0.41922--0.06324))+0-0-0</f>
        <v>706.05669999999998</v>
      </c>
      <c r="Z131" s="3">
        <f>577+(288.7-31)+(-1.17708+(-0.588948--0.06324))+0-0-0</f>
        <v>832.99721199999999</v>
      </c>
      <c r="AA131" s="3">
        <f>604+(303.2-33)+(-0.92412+(-0.463896--0.05049))+0-0-0</f>
        <v>872.86247400000002</v>
      </c>
      <c r="AB131" s="3">
        <f>604+(315.5-33)+(-0.92412+(-0.482715--0.05049))+0-0-0</f>
        <v>885.14365499999997</v>
      </c>
      <c r="AC131" s="3">
        <f>602+(306.2-32)+(0+(0-0))+0-0-0</f>
        <v>876.2</v>
      </c>
      <c r="AD131">
        <v>879.3</v>
      </c>
      <c r="AE131" s="3">
        <f>603+(309.3-33)+(0+(0-0))+0-0-0</f>
        <v>879.3</v>
      </c>
    </row>
    <row r="132" spans="1:31" s="2" customFormat="1" x14ac:dyDescent="0.3">
      <c r="A132">
        <v>90</v>
      </c>
      <c r="B132">
        <v>5</v>
      </c>
      <c r="C132">
        <v>8</v>
      </c>
      <c r="D132">
        <v>1</v>
      </c>
      <c r="E132">
        <v>1</v>
      </c>
      <c r="F132" s="3">
        <f>591+(281-31)+(-1.20564+(-0.57324--0.06324))+0-0-0</f>
        <v>839.28435999999999</v>
      </c>
      <c r="G132" s="3">
        <f>581+(264.4-30)+(-0.88893+(-0.404532--0.0459))+0-0-0</f>
        <v>814.15243799999996</v>
      </c>
      <c r="H132" s="3">
        <f>552+(266.4-30)+(0+(0-0))+0-0-0</f>
        <v>788.4</v>
      </c>
      <c r="I132" s="3">
        <f>507+(289-29)+(-1.03428+(-0.58956--0.05916))+0-0-0</f>
        <v>765.43532000000005</v>
      </c>
      <c r="J132" s="3">
        <f>505+(268.7-29)+(-1.0302+(-0.548148--0.05916))+0-0-0</f>
        <v>743.18081200000006</v>
      </c>
      <c r="K132" s="3">
        <f>505+(228.8-29)+(-1.28775+(-0.58344--0.07395))+0-0-0</f>
        <v>703.00275999999997</v>
      </c>
      <c r="L132" s="3">
        <f>506+(180.9-36.4)+(-1.2903+(-0.461295--0.09282))+0-0-0</f>
        <v>648.84122500000001</v>
      </c>
      <c r="M132" s="3">
        <f>504+(176.1-39.1)+(0.77112+(0.269433-0.059823))+0-0-0</f>
        <v>641.98072999999999</v>
      </c>
      <c r="N132" s="3">
        <f>498+(190.7-37)+(-0.25398+(-0.097257--0.01887))+0-0-0</f>
        <v>651.36763300000007</v>
      </c>
      <c r="O132" s="3">
        <f>489+(195.1-35.4)+(0+(0-0))+0-0-0</f>
        <v>648.70000000000005</v>
      </c>
      <c r="P132" s="3">
        <f>550+(174-50.1)+(0.561+(0.17748-0.051102))+0-0-0</f>
        <v>674.58737799999994</v>
      </c>
      <c r="Q132" s="3">
        <f>570+(205.4-48.4)+(0.5814+(0.209508-0.049368))+0-0-0</f>
        <v>727.74153999999999</v>
      </c>
      <c r="R132" s="3">
        <f>590+(239.9-40.8)+(0.6018+(0.244698-0.041616))+0-0-0</f>
        <v>789.90488200000004</v>
      </c>
      <c r="S132" s="3">
        <f>596+(275.9-33)+(-0.30396+(-0.140709--0.01683))+0-0-0</f>
        <v>838.47216100000003</v>
      </c>
      <c r="T132" s="3">
        <f>599+(294.1-32)+(-0.61098+(-0.299982--0.03264))+0-0-0</f>
        <v>860.221678</v>
      </c>
      <c r="U132" s="3">
        <f>606+(278.1-36.8)+(0.92718+(0.425493-0.056304))+0-0-0</f>
        <v>848.59636899999998</v>
      </c>
      <c r="V132" s="3">
        <f>610+(243.3-48.1)+(0+(0-0))+0-0-0</f>
        <v>805.2</v>
      </c>
      <c r="W132" s="3">
        <f>594+(207.3-51.1)+(0.30294+(0.105723-0.026061))+0-0-0</f>
        <v>750.58260200000007</v>
      </c>
      <c r="X132" s="3">
        <f>563+(167-44.7)+(-0.86139+(-0.25551--0.068391))+0-0-0</f>
        <v>684.25149099999999</v>
      </c>
      <c r="Y132" s="3">
        <f>562+(198.2-35.8)+(-0.57324+(-0.202164--0.036516))+0-0-0</f>
        <v>723.661112</v>
      </c>
      <c r="Z132" s="3">
        <f>576+(292.7-34)+(0.29376+(0.149277-0.01734))+0-0-0</f>
        <v>835.12569700000006</v>
      </c>
      <c r="AA132" s="3">
        <f>629+(300.4-33)+(-0.64158+(-0.306408--0.03366))+0-0-0</f>
        <v>895.48567200000002</v>
      </c>
      <c r="AB132" s="3">
        <f>633+(303.8-32)+(-0.64566+(-0.309876--0.03264))+0-0-0</f>
        <v>903.87710399999992</v>
      </c>
      <c r="AC132" s="3">
        <f>629+(288.9-32)+(0.64158+(0.294678-0.03264))+0-0-0</f>
        <v>886.80361800000003</v>
      </c>
      <c r="AD132">
        <v>889.2</v>
      </c>
      <c r="AE132" s="3">
        <f>633+(290.2-34)+(0+(0-0))+0-0-0</f>
        <v>889.2</v>
      </c>
    </row>
    <row r="133" spans="1:31" s="2" customFormat="1" x14ac:dyDescent="0.3">
      <c r="A133">
        <v>90</v>
      </c>
      <c r="B133">
        <v>5</v>
      </c>
      <c r="C133">
        <v>9</v>
      </c>
      <c r="D133">
        <v>2</v>
      </c>
      <c r="E133">
        <v>1</v>
      </c>
      <c r="F133" s="3">
        <f>624+(202.3-36.1)+(-1.5912+(-0.515865--0.092055))+0-0-0</f>
        <v>788.18499000000008</v>
      </c>
      <c r="G133" s="3">
        <f>624+(186.1-40.3)+(-0.95472+(-0.284733--0.061659))+0-0-0</f>
        <v>768.62220600000001</v>
      </c>
      <c r="H133" s="3">
        <f>624+(222.3-45.6)+(-1.5912+(-0.566865--0.11628))+0-0-0</f>
        <v>798.65821500000004</v>
      </c>
      <c r="I133" s="3">
        <f>624+(204.4-49.7)+(-1.27296+(-0.416976--0.101388))+0-0-0</f>
        <v>777.1114520000001</v>
      </c>
      <c r="J133" s="3">
        <f>621+(184.3-51.6)+(-0.95013+(-0.281979--0.078948))+0-0-0</f>
        <v>752.54683900000009</v>
      </c>
      <c r="K133" s="3">
        <f>590+(157.1-51.4)+(-0.9027+(-0.240363--0.078642))+0-0-0</f>
        <v>694.63557900000001</v>
      </c>
      <c r="L133" s="3">
        <f>539+(146.7-48.7)+(-0.54978+(-0.149634--0.049674))+0-0-0</f>
        <v>636.35026000000005</v>
      </c>
      <c r="M133" s="3">
        <f>538+(139.8-46.3)+(0.54876+(0.142596-0.047226))+0-0-0</f>
        <v>632.14413000000002</v>
      </c>
      <c r="N133" s="3">
        <f>523+(167.8-42.1)+(-1.06692+(-0.342312--0.085884))+0-0-0</f>
        <v>647.37665200000004</v>
      </c>
      <c r="O133" s="3">
        <f>534+(169.8-43.5)+(0.27234+(0.086598-0.022185))+0-0-0</f>
        <v>660.636753</v>
      </c>
      <c r="P133" s="3">
        <f>539+(193.6-46.1)+(0.54978+(0.197472-0.047022))+0-0-0</f>
        <v>687.20023000000003</v>
      </c>
      <c r="Q133" s="3">
        <f>555+(218.7-43.2)+(0.84915+(0.334611-0.066096))+0-0-0</f>
        <v>731.61766499999999</v>
      </c>
      <c r="R133" s="3">
        <f>601+(247.7-44.2)+(0.30651+(0.126327-0.022542))+0-0-0</f>
        <v>804.91029500000002</v>
      </c>
      <c r="S133" s="3">
        <f>608+(283.9-37)+(-0.31008+(-0.144789--0.01887))+0-0-0</f>
        <v>854.46400099999994</v>
      </c>
      <c r="T133" s="3">
        <f>628+(291.2-37.7)+(0+(0-0))+0-0-0</f>
        <v>881.5</v>
      </c>
      <c r="U133" s="3">
        <f>630+(282.7-40.2)+(-0.9639+(-0.432531--0.061506))+0-0-0</f>
        <v>871.165075</v>
      </c>
      <c r="V133" s="3">
        <f>629+(251.5-47.5)+(-0.64158+(-0.25653--0.04845))+0-0-0</f>
        <v>832.15034000000003</v>
      </c>
      <c r="W133" s="3">
        <f>616+(211.5-51)+(-0.31416+(-0.107865--0.02601))+0-0-0</f>
        <v>776.10398499999997</v>
      </c>
      <c r="X133" s="3">
        <f>591+(161-52.8)+(-0.60282+(-0.16422--0.053856))+0-0-0</f>
        <v>698.48681600000009</v>
      </c>
      <c r="Y133" s="3">
        <f>570+(221-30)+(0.5814+(0.22542-0.0306))+0-0-0</f>
        <v>761.77621999999997</v>
      </c>
      <c r="Z133" s="3">
        <f>571+(334.1-32)+(-0.29121+(-0.170391--0.01632))+0-0-0</f>
        <v>872.654719</v>
      </c>
      <c r="AA133" s="3">
        <f>634+(318.3-32)+(-1.6167+(-0.811665--0.0816))+0-0-0</f>
        <v>917.95323499999995</v>
      </c>
      <c r="AB133" s="3">
        <f>644+(313.8-31)+(0.32844+(0.160038-0.01581))+0-0-0</f>
        <v>927.27266799999995</v>
      </c>
      <c r="AC133" s="3">
        <f>645+(306.2-32)+(-0.32895+(-0.156162--0.01632))+0-0-0</f>
        <v>918.73120800000004</v>
      </c>
      <c r="AD133">
        <v>917.1</v>
      </c>
      <c r="AE133" s="3">
        <f>638+(313.1-34)+(0+(0-0))+0-0-0</f>
        <v>917.1</v>
      </c>
    </row>
    <row r="134" spans="1:31" s="2" customFormat="1" x14ac:dyDescent="0.3">
      <c r="A134">
        <v>90</v>
      </c>
      <c r="B134">
        <v>5</v>
      </c>
      <c r="C134">
        <v>10</v>
      </c>
      <c r="D134">
        <v>3</v>
      </c>
      <c r="E134">
        <v>8</v>
      </c>
      <c r="F134" s="3">
        <f>631+(280.4-32)+(-1.60905+(-0.71502--0.0816))+0-0-0</f>
        <v>877.15752999999995</v>
      </c>
      <c r="G134" s="3">
        <f>630+(257.2-37.5)+(-1.2852+(-0.524688--0.0765))+0-0-0</f>
        <v>847.96661200000005</v>
      </c>
      <c r="H134" s="3">
        <f>630+(239.7-39.9)+(-2.2491+(-0.855729--0.142443))+0-0-0</f>
        <v>826.83761399999992</v>
      </c>
      <c r="I134" s="3">
        <f>630+(227-44)+(-0.3213+(-0.11577--0.02244))+0-0-0</f>
        <v>812.58537000000001</v>
      </c>
      <c r="J134" s="3">
        <f>630+(202.1-50.1)+(-0.3213+(-0.103071--0.025551))+0-0-0</f>
        <v>781.60118</v>
      </c>
      <c r="K134" s="3">
        <f>562+(209.8-34.6)+(-0.28662+(-0.106998--0.017646))+0-0-0</f>
        <v>736.824028</v>
      </c>
      <c r="L134" s="3">
        <f>542+(183.3-40.8)+(-0.55284+(-0.186966--0.041616))+0-0-0</f>
        <v>683.80181000000005</v>
      </c>
      <c r="M134" s="3">
        <f>528+(200.3-37.3)+(0.80784+(0.306459-0.057069))+0-0-0</f>
        <v>692.05723</v>
      </c>
      <c r="N134" s="3">
        <f>519+(217.3-34.7)+(-0.26469+(-0.110823--0.017697))+0-0-0</f>
        <v>701.24218400000007</v>
      </c>
      <c r="O134" s="3">
        <f>581+(190.2-52)+(0.88893+(0.291006-0.07956))+0-0-0</f>
        <v>720.30037600000003</v>
      </c>
      <c r="P134" s="3">
        <f>588+(209.7-49.6)+(0.59976+(0.213894-0.050592))+0-0-0</f>
        <v>748.86306200000001</v>
      </c>
      <c r="Q134" s="3">
        <f>587+(255.8-39.3)+(0.59874+(0.260916-0.040086))+0-0-0</f>
        <v>804.31957</v>
      </c>
      <c r="R134" s="3">
        <f>595+(281.1-37.4)+(0+(0-0))+0-0-0</f>
        <v>838.7</v>
      </c>
      <c r="S134" s="3">
        <f>608+(314.4-33)+(-0.31008+(-0.160344--0.01683))+0-0-0</f>
        <v>888.94640600000002</v>
      </c>
      <c r="T134" s="3">
        <f>617+(302.5-33.1)+(-0.62934+(-0.30855--0.033762))+0-0-0</f>
        <v>885.49587199999996</v>
      </c>
      <c r="U134" s="3">
        <f>619+(292.3-36.7)+(-1.26276+(-0.596292--0.074868))+0-0-0</f>
        <v>872.81581600000004</v>
      </c>
      <c r="V134" s="3">
        <f>619+(263.8-44.4)+(-0.31569+(-0.134538--0.022644))+0-0-0</f>
        <v>837.97241599999995</v>
      </c>
      <c r="W134" s="3">
        <f>648+(205.1-57.3)+(-0.66096+(-0.209202--0.058446))+0-0-0</f>
        <v>794.98828399999991</v>
      </c>
      <c r="X134" s="3">
        <f>624+(178.5-57.5)+(-0.95472+(-0.273105--0.087975))+0-0-0</f>
        <v>743.86014999999998</v>
      </c>
      <c r="Y134" s="3">
        <f>563+(270.2-30)+(0.57426+(0.275604-0.0306))+0-0-0</f>
        <v>804.01926400000002</v>
      </c>
      <c r="Z134" s="3">
        <f>618+(321.4-32)+(0.31518+(0.163914-0.01632))+0-0-0</f>
        <v>907.86277399999994</v>
      </c>
      <c r="AA134" s="3">
        <f>635+(338.1-34)+(-0.32385+(-0.172431--0.01734))+0-0-0</f>
        <v>938.62105900000006</v>
      </c>
      <c r="AB134" s="3">
        <f>635+(340.7-34)+(-0.6477+(-0.347514--0.03468))+0-0-0</f>
        <v>940.73946599999999</v>
      </c>
      <c r="AC134" s="3">
        <f>617+(320-32)+(0.31467+(0.1632-0.01632))+0-0-0</f>
        <v>905.46154999999999</v>
      </c>
      <c r="AD134">
        <v>920.3</v>
      </c>
      <c r="AE134" s="3">
        <f>634+(320.3-34)+(0+(0-0))+0-0-0</f>
        <v>920.3</v>
      </c>
    </row>
    <row r="135" spans="1:31" s="2" customFormat="1" x14ac:dyDescent="0.3">
      <c r="A135">
        <v>90</v>
      </c>
      <c r="B135">
        <v>5</v>
      </c>
      <c r="C135">
        <v>11</v>
      </c>
      <c r="D135">
        <v>4</v>
      </c>
      <c r="E135">
        <v>1</v>
      </c>
      <c r="F135" s="3">
        <f>625+(287.5-32)+(0.31875+(0.146625-0.01632))+0-0-0</f>
        <v>880.94905500000004</v>
      </c>
      <c r="G135" s="3">
        <f>627+(261.3-33.3)+(-1.27908+(-0.533052--0.067932))+0-0-0</f>
        <v>853.25580000000002</v>
      </c>
      <c r="H135" s="3">
        <f>627+(236.4-39.2)+(-0.31977+(-0.120564--0.019992))+0-0-0</f>
        <v>823.77965800000004</v>
      </c>
      <c r="I135" s="3">
        <f>609+(239.6-36.9)+(0.93177+(0.366588-0.056457))+0-0-0</f>
        <v>812.94190100000003</v>
      </c>
      <c r="J135" s="3">
        <f>607+(214.1-42.8)+(-0.30957+(-0.109191--0.021828))+0-0-0</f>
        <v>777.90306699999996</v>
      </c>
      <c r="K135" s="3">
        <f>573+(198.6-36.3)+(0+(0-0))+0-0-0</f>
        <v>735.3</v>
      </c>
      <c r="L135" s="3">
        <f>529+(178.8-35.7)+(-0.53958+(-0.182376--0.036414))+0-0-0</f>
        <v>671.41445799999997</v>
      </c>
      <c r="M135" s="3">
        <f>532+(184.1-34.9)+(0+(0-0))+0-0-0</f>
        <v>681.2</v>
      </c>
      <c r="N135" s="3">
        <f>532+(203.8-32)+(0.27132+(0.103938-0.01632))+0-0-0</f>
        <v>704.15893799999992</v>
      </c>
      <c r="O135" s="3">
        <f>556+(198.2-37)+(1.13424+(0.404328-0.07548))+0-0-0</f>
        <v>718.66308800000002</v>
      </c>
      <c r="P135" s="3">
        <f>581+(209.7-51)+(0.59262+(0.213894-0.05202))+0-0-0</f>
        <v>740.45449400000007</v>
      </c>
      <c r="Q135" s="3">
        <f>591+(259.5-36.5)+(0.60282+(0.26469-0.03723))+0-0-0</f>
        <v>814.83028000000002</v>
      </c>
      <c r="R135" s="3">
        <f>588+(285.3-28)+(-0.89964+(-0.436509--0.04284))+0-0-0</f>
        <v>844.00669099999993</v>
      </c>
      <c r="S135" s="3">
        <f>603+(320.2-27)+(-0.61506+(-0.326604--0.02754))+0-0-0</f>
        <v>895.28587600000003</v>
      </c>
      <c r="T135" s="3">
        <f>611+(328.8-30)+(0+(0-0))+0-0-0</f>
        <v>909.8</v>
      </c>
      <c r="U135" s="3">
        <f>621+(308.6-31.4)+(-0.63342+(-0.314772--0.032028))+0-0-0</f>
        <v>897.28383600000006</v>
      </c>
      <c r="V135" s="3">
        <f>607+(287.7-33.3)+(0.92871+(0.440181-0.050949))+0-0-0</f>
        <v>862.71794199999999</v>
      </c>
      <c r="W135" s="3">
        <f>592+(266.5-33.5)+(-0.90576+(-0.407745--0.051255))+0-0-0</f>
        <v>823.73775000000001</v>
      </c>
      <c r="X135" s="3">
        <f>564+(238.1-31.5)+(-1.15056+(-0.485724--0.06426))+0-0-0</f>
        <v>769.02797599999997</v>
      </c>
      <c r="Y135" s="3">
        <f>564+(298.6-30)+(0.28764+(0.152286-0.0153))+0-0-0</f>
        <v>833.02462600000001</v>
      </c>
      <c r="Z135" s="3">
        <f>605+(353.9-32)+(0.30855+(0.180489-0.01632))+0-0-0</f>
        <v>927.37271899999996</v>
      </c>
      <c r="AA135" s="3">
        <f>635+(346-33)+(-1.61925+(-0.8823--0.08415))+6.1-0-0</f>
        <v>951.68259999999998</v>
      </c>
      <c r="AB135" s="3">
        <f>636+(343.3-33)+(-0.64872+(-0.350166--0.03366))+3.5-0-0</f>
        <v>948.83477399999992</v>
      </c>
      <c r="AC135" s="3">
        <f>632+(334.9-33)+(-0.32232+(-0.170799--0.01683))+0-0-0</f>
        <v>933.42371100000003</v>
      </c>
      <c r="AD135">
        <v>957.1</v>
      </c>
      <c r="AE135" s="3">
        <f>637+(353.1-33)+(0+(0-0))+0-0-0</f>
        <v>957.1</v>
      </c>
    </row>
    <row r="136" spans="1:31" s="2" customFormat="1" x14ac:dyDescent="0.3">
      <c r="A136">
        <v>90</v>
      </c>
      <c r="B136">
        <v>5</v>
      </c>
      <c r="C136">
        <v>12</v>
      </c>
      <c r="D136">
        <v>5</v>
      </c>
      <c r="E136">
        <v>1</v>
      </c>
      <c r="F136" s="3">
        <f>621+(313.2-31)+(-0.31671+(-0.159732--0.01581))+0-0-0</f>
        <v>902.73936800000001</v>
      </c>
      <c r="G136" s="3">
        <f>613+(289.3-30)+(-1.56315+(-0.737715--0.0765))+0-0-0</f>
        <v>870.07563499999992</v>
      </c>
      <c r="H136" s="3">
        <f>550+(323.7-29)+(-0.561+(-0.330174--0.02958))+0-0-0</f>
        <v>843.83840600000008</v>
      </c>
      <c r="I136" s="3">
        <f>550+(317.6-29)+(0.2805+(0.161976-0.01479))+0-0-0</f>
        <v>839.02768600000002</v>
      </c>
      <c r="J136" s="3">
        <f>545+(279.3-30)+(-0.27795+(-0.142443--0.0153))+0-0-0</f>
        <v>793.89490699999999</v>
      </c>
      <c r="K136" s="3">
        <f>531+(250.6-31)+(-0.27081+(-0.127806--0.01581))+0-0-0</f>
        <v>750.21719400000006</v>
      </c>
      <c r="L136" s="3">
        <f>532+(208.3-31)+(-0.81396+(-0.318699--0.04743))+0-0-0</f>
        <v>708.21477099999993</v>
      </c>
      <c r="M136" s="3">
        <f>532+(199.1-31)+(0.27132+(0.101541-0.01581))+0-0-0</f>
        <v>700.45705099999998</v>
      </c>
      <c r="N136" s="3">
        <f>524+(235-31)+(0+(0-0))+0-0-0</f>
        <v>728</v>
      </c>
      <c r="O136" s="3">
        <f>535+(242-32)+(0.81855+(0.37026-0.04896))+0-0-0</f>
        <v>746.13985000000002</v>
      </c>
      <c r="P136" s="3">
        <f>578+(238.6-41)+(0.58956+(0.243372-0.04182))+0-0-0</f>
        <v>776.39111200000002</v>
      </c>
      <c r="Q136" s="3">
        <f>596+(257.7-36.2)+(0.91188+(0.394281-0.055386))+0-0-0</f>
        <v>818.75077499999998</v>
      </c>
      <c r="R136" s="3">
        <f>586+(318.5-32)+(-0.29886+(-0.162435--0.01632))+0-0-0</f>
        <v>872.055025</v>
      </c>
      <c r="S136" s="3">
        <f>608+(320.9-32)+(-0.31008+(-0.163659--0.01632))+0-0-0</f>
        <v>896.44258100000002</v>
      </c>
      <c r="T136" s="3">
        <f>608+(318.6-32)+(0.31008+(0.162486-0.01632))+0-0-0</f>
        <v>895.05624599999999</v>
      </c>
      <c r="U136" s="3">
        <f>610+(296.5-33.1)+(0.3111+(0.151215-0.016881))+0-0-0</f>
        <v>873.84543399999995</v>
      </c>
      <c r="V136" s="3">
        <f>614+(281.1-39)+(-0.31314+(-0.143361--0.01989))+0-0-0</f>
        <v>855.66338900000005</v>
      </c>
      <c r="W136" s="3">
        <f>624+(232.7-43.5)+(-0.95472+(-0.356031--0.066555))+0-0-0</f>
        <v>811.95580400000006</v>
      </c>
      <c r="X136" s="3">
        <f>633+(186-50.6)+(-0.32283+(-0.09486--0.025806))+0-0-0</f>
        <v>768.00811599999997</v>
      </c>
      <c r="Y136" s="3">
        <f>632+(237.6-32.3)+(-0.64464+(-0.242352--0.032946))+0-0-0</f>
        <v>836.44595399999992</v>
      </c>
      <c r="Z136" s="3">
        <f>640+(314.9-32)+(-0.6528+(-0.321198--0.03264))+0-0-0</f>
        <v>921.95864199999994</v>
      </c>
      <c r="AA136" s="3">
        <f>656+(326.5-33)+(-1.00368+(-0.499545--0.05049))+0-0-0</f>
        <v>948.04726500000004</v>
      </c>
      <c r="AB136" s="3">
        <f>647+(335.9-33)+(0.32997+(0.171309-0.01683))+0-0-0</f>
        <v>950.38444900000002</v>
      </c>
      <c r="AC136" s="3">
        <f>629+(336.7-33)+(-0.32079+(-0.171717--0.01683))+0-0-0</f>
        <v>932.22432300000003</v>
      </c>
      <c r="AD136">
        <v>942.1</v>
      </c>
      <c r="AE136" s="3">
        <f>656+(319.1-33)+(0+(0-0))+0-0-0</f>
        <v>942.1</v>
      </c>
    </row>
    <row r="137" spans="1:31" s="2" customFormat="1" x14ac:dyDescent="0.3">
      <c r="A137">
        <v>90</v>
      </c>
      <c r="B137">
        <v>5</v>
      </c>
      <c r="C137">
        <v>13</v>
      </c>
      <c r="D137">
        <v>6</v>
      </c>
      <c r="E137">
        <v>1</v>
      </c>
      <c r="F137" s="3">
        <f>614+(310.3-29)+(0+(0-0))+0-0-0</f>
        <v>895.3</v>
      </c>
      <c r="G137" s="3">
        <f>614+(282.2-27)+(-0.31314+(-0.143922--0.01377))+0-0-0</f>
        <v>868.756708</v>
      </c>
      <c r="H137" s="3">
        <f>614+(261.7-27)+(-0.62628+(-0.266934--0.02754))+0-0-0</f>
        <v>847.83432600000003</v>
      </c>
      <c r="I137" s="3">
        <f>598+(270.3-26)+(-0.60996+(-0.275706--0.02652))+0-0-0</f>
        <v>841.44085399999994</v>
      </c>
      <c r="J137" s="3">
        <f>582+(247.3-26)+(-1.18728+(-0.504492--0.05304))+0-0-0</f>
        <v>801.66126799999995</v>
      </c>
      <c r="K137" s="3">
        <f>548+(230.9-26)+(-1.11792+(-0.471036--0.05304))+0-0-0</f>
        <v>751.36408399999993</v>
      </c>
      <c r="L137" s="3">
        <f>536+(204.4-28)+(-1.09344+(-0.416976--0.05712))+0-0-0</f>
        <v>710.94670399999995</v>
      </c>
      <c r="M137" s="3">
        <f>535+(201.5-30)+(1.36425+(0.513825-0.0765))+0-0-0</f>
        <v>708.30157499999996</v>
      </c>
      <c r="N137" s="3">
        <f>533+(214.3-32)+(0.54366+(0.218586-0.03264))+0-0-0</f>
        <v>716.02960599999994</v>
      </c>
      <c r="O137" s="3">
        <f>533+(234.3-32)+(0.54366+(0.238986-0.03264))+0-0-0</f>
        <v>736.05000599999994</v>
      </c>
      <c r="P137" s="3">
        <f>580+(231.4-33)+(0.8874+(0.354042-0.05049))+0-0-0</f>
        <v>779.59095200000002</v>
      </c>
      <c r="Q137" s="3">
        <f>594+(251.9-30)+(1.21176+(0.513876-0.0612))+0-0-0</f>
        <v>817.564436</v>
      </c>
      <c r="R137" s="3">
        <f>602+(313-20)+(0.61404+(0.31926-0.0204))+0-0-0</f>
        <v>895.91290000000004</v>
      </c>
      <c r="S137" s="3">
        <f>604+(313.2-20)+(-0.30804+(-0.159732--0.0102))+0-0-0</f>
        <v>896.74242800000002</v>
      </c>
      <c r="T137" s="3">
        <f>608+(316.8-20)+(-0.31008+(-0.161568--0.0102))+0-0-0</f>
        <v>904.33855199999994</v>
      </c>
      <c r="U137" s="3">
        <f>618+(300.3-7)+(-1.26072+(-0.612612--0.01428))+0-0-0</f>
        <v>909.44094799999993</v>
      </c>
      <c r="V137" s="3">
        <f>621+(295.6-18)+(0.31671+(0.150756-0.00918))+0-0-0</f>
        <v>899.05828600000007</v>
      </c>
      <c r="W137" s="3">
        <f>641+(231.3-42)+(-0.98073+(-0.353889--0.06426))+0-0-0</f>
        <v>829.02964099999997</v>
      </c>
      <c r="X137" s="3">
        <f>640+(183-50.4)+(-0.6528+(-0.18666--0.051408))+0-0-0</f>
        <v>771.81194800000003</v>
      </c>
      <c r="Y137" s="3">
        <f>589+(280-33)+(0+(0-0))+0-0-0</f>
        <v>836</v>
      </c>
      <c r="Z137" s="3">
        <f>639+(327.4-34)+(-0.65178+(-0.333948--0.03468))+0-0-0</f>
        <v>931.44895199999996</v>
      </c>
      <c r="AA137" s="3">
        <f>657+(321.9-34)+(-1.67535+(-0.820845--0.0867))+0-0-0</f>
        <v>942.49050499999998</v>
      </c>
      <c r="AB137" s="3">
        <f>649+(343.2-33)+(-0.66198+(-0.350064--0.03366))+0-0-0</f>
        <v>958.22161600000004</v>
      </c>
      <c r="AC137" s="3">
        <f>636+(346-33)+(-0.64872+(-0.35292--0.03366))+0-0-0</f>
        <v>948.03201999999999</v>
      </c>
      <c r="AD137">
        <v>948.9</v>
      </c>
      <c r="AE137" s="3">
        <f>656+(325.9-33)+(0+(0-0))+0-0-0</f>
        <v>948.9</v>
      </c>
    </row>
    <row r="138" spans="1:31" s="2" customFormat="1" x14ac:dyDescent="0.3">
      <c r="A138">
        <v>90</v>
      </c>
      <c r="B138">
        <v>5</v>
      </c>
      <c r="C138">
        <v>14</v>
      </c>
      <c r="D138">
        <v>7</v>
      </c>
      <c r="E138">
        <v>1</v>
      </c>
      <c r="F138" s="3">
        <f>583+(313.3-32)+(-0.29733+(-0.159783--0.01632))+0-0-0</f>
        <v>863.85920699999997</v>
      </c>
      <c r="G138" s="3">
        <f>575+(315.2-32)+(-0.5865+(-0.321504--0.03264))+0-0-0</f>
        <v>857.32463600000005</v>
      </c>
      <c r="H138" s="3">
        <f>570+(301.4-32)+(-1.7442+(-0.922284--0.09792))+0-0-0</f>
        <v>836.83143599999994</v>
      </c>
      <c r="I138" s="3">
        <f>569+(306.3-31)+(0.58038+(0.312426-0.03162))+0-0-0</f>
        <v>845.16118599999993</v>
      </c>
      <c r="J138" s="3">
        <f>566+(277.7-31)+(-0.28866+(-0.141627--0.01581))+0-0-0</f>
        <v>812.28552300000001</v>
      </c>
      <c r="K138" s="3">
        <f>566+(220.6-31)+(-0.28866+(-0.112506--0.01581))+0-0-0</f>
        <v>755.21464400000002</v>
      </c>
      <c r="L138" s="3">
        <f>533+(226.8-32)+(-1.08732+(-0.462672--0.06528))+0-0-0</f>
        <v>726.31528800000001</v>
      </c>
      <c r="M138" s="3">
        <f>512+(235.3-33)+(-1.04448+(-0.480012--0.06732))+0-0-0</f>
        <v>712.84282799999994</v>
      </c>
      <c r="N138" s="3">
        <f>510+(235.1-33)+(0+(0-0))+0-0-0</f>
        <v>712.1</v>
      </c>
      <c r="O138" s="3">
        <f>508+(237.1-30)+(0+(0-0))+0-0-0</f>
        <v>715.1</v>
      </c>
      <c r="P138" s="3">
        <f>549+(224.2-30)+(-0.55998+(-0.228684--0.0306))+0-0-0</f>
        <v>742.44193600000006</v>
      </c>
      <c r="Q138" s="3">
        <f>570+(253.7-31)+(0.5814+(0.258774-0.03162))+0-0-0</f>
        <v>793.508554</v>
      </c>
      <c r="R138" s="3">
        <f>560+(311.3-33)+(-0.5712+(-0.317526--0.03366))+0-0-0</f>
        <v>837.44493399999999</v>
      </c>
      <c r="S138" s="3">
        <f>564+(330.2-34)+(0.28764+(0.168402-0.01734))+0-0-0</f>
        <v>860.63870200000008</v>
      </c>
      <c r="T138" s="3">
        <f>579+(318.2-33)+(-0.29529+(-0.162282--0.01683))+0-0-0</f>
        <v>863.75925800000005</v>
      </c>
      <c r="U138" s="3">
        <f>583+(311.8-31)+(-0.29733+(-0.159018--0.01581))+0-0-0</f>
        <v>863.35946200000001</v>
      </c>
      <c r="V138" s="3">
        <f>587+(294.8-31)+(0+(0-0))+0-0-0</f>
        <v>850.8</v>
      </c>
      <c r="W138" s="3">
        <f>595+(256.2-36.1)+(-1.2138+(-0.522648--0.073644))+0-0-0</f>
        <v>813.43719599999997</v>
      </c>
      <c r="X138" s="3">
        <f>584+(214.6-35.4)+(-0.59568+(-0.218892--0.036108))+0-0-0</f>
        <v>762.42153600000006</v>
      </c>
      <c r="Y138" s="3">
        <f>541+(333-29)+(-0.55182+(-0.33966--0.02958))+0-0-0</f>
        <v>844.13810000000001</v>
      </c>
      <c r="Z138" s="3">
        <f>597+(358.5-30)+(-0.60894+(-0.36567--0.0306))+0-0-0</f>
        <v>924.55598999999995</v>
      </c>
      <c r="AA138" s="3">
        <f>639+(339.3-30)+(-0.97767+(-0.519129--0.0459))+0-0-0</f>
        <v>946.84910099999991</v>
      </c>
      <c r="AB138" s="3">
        <f>631+(343.9-30)+(-0.64362+(-0.350778--0.0306))+0-0-0</f>
        <v>943.93620199999998</v>
      </c>
      <c r="AC138" s="3">
        <f>613+(359.8-32)+(0.31263+(0.183498-0.01632))+0-0-0</f>
        <v>941.279808</v>
      </c>
      <c r="AD138">
        <v>951.8</v>
      </c>
      <c r="AE138" s="3">
        <f>642+(345.8-36)+(0+(0-0))+0-0-0</f>
        <v>951.8</v>
      </c>
    </row>
    <row r="139" spans="1:31" s="2" customFormat="1" x14ac:dyDescent="0.3">
      <c r="A139">
        <v>90</v>
      </c>
      <c r="B139">
        <v>5</v>
      </c>
      <c r="C139">
        <v>15</v>
      </c>
      <c r="D139">
        <v>1</v>
      </c>
      <c r="E139">
        <v>1</v>
      </c>
      <c r="F139" s="3">
        <f>570+(356.5-32)+(0+(0-0))+0-0-0</f>
        <v>894.5</v>
      </c>
      <c r="G139" s="3">
        <f>592+(308-33)+(-0.30192+(-0.15708--0.01683))+0-0-0</f>
        <v>866.55782999999997</v>
      </c>
      <c r="H139" s="3">
        <f>591+(268.8-33)+(-0.30141+(-0.137088--0.01683))+0-0-0</f>
        <v>826.378332</v>
      </c>
      <c r="I139" s="3">
        <f>592+(267-33)+(-0.60384+(-0.27234--0.03366))+0-0-0</f>
        <v>825.15747999999996</v>
      </c>
      <c r="J139" s="3">
        <f>590+(222.8-36)+(-0.9027+(-0.340884--0.05508))+0-0-0</f>
        <v>775.61149599999999</v>
      </c>
      <c r="K139" s="3">
        <f>590+(179.7-44)+(-0.9027+(-0.274941--0.06732))+0-0-0</f>
        <v>724.58967900000005</v>
      </c>
      <c r="L139" s="3">
        <f>598+(184.4-54)+(-0.30498+(-0.094044--0.02754))+0-0-0</f>
        <v>728.02851599999997</v>
      </c>
      <c r="M139" s="3">
        <f>597+(181.1-50.1)+(0.60894+(0.184722-0.051102))+0-0-0</f>
        <v>728.74256000000003</v>
      </c>
      <c r="N139" s="3">
        <f>597+(196.9-50.2)+(0.91341+(0.301257-0.076806))+0-0-0</f>
        <v>744.83786100000009</v>
      </c>
      <c r="O139" s="3">
        <f>607+(199-48.2)+(0.30957+(0.10149-0.024582))+0-0-0</f>
        <v>758.18647799999997</v>
      </c>
      <c r="P139" s="3">
        <f>603+(238.5-40.5)+(0+(0-0))+0-0-0</f>
        <v>801</v>
      </c>
      <c r="Q139" s="3">
        <f>598+(278.4-32)+(0.30498+(0.141984-0.01632))+0-0-0</f>
        <v>844.83064400000001</v>
      </c>
      <c r="R139" s="3">
        <f>590+(348.7-32)+(0.3009+(0.177837-0.01632))+0-0-0</f>
        <v>907.162417</v>
      </c>
      <c r="S139" s="3">
        <f>600+(351.6-32)+(-0.306+(-0.179316--0.01632))+0-0-0</f>
        <v>919.13100400000008</v>
      </c>
      <c r="T139" s="3">
        <f>609+(350.2-34)+(0.31059+(0.178602-0.01734))+0-0-0</f>
        <v>925.67185200000006</v>
      </c>
      <c r="U139" s="3">
        <f>622+(342.4-33)+(-0.95166+(-0.523872--0.05049))+0-0-0</f>
        <v>929.97495800000002</v>
      </c>
      <c r="V139" s="3">
        <f>643+(291.2-39.6)+(-0.32793+(-0.148512--0.020196))+0-0-0</f>
        <v>894.14375400000006</v>
      </c>
      <c r="W139" s="3">
        <f>649+(250.5-48.8)+(-1.32396+(-0.51102--0.099552))+0-0-0</f>
        <v>848.96457200000009</v>
      </c>
      <c r="X139" s="3">
        <f>620+(205.5-46.4)+(0+(0-0))+0-0-0</f>
        <v>779.1</v>
      </c>
      <c r="Y139" s="3">
        <f>622+(272.9-31)+(0.95166+(0.417537-0.04743))+0-0-0</f>
        <v>865.221767</v>
      </c>
      <c r="Z139" s="3">
        <f>638+(355.7-32)+(0.32538+(0.181407-0.01632))+0-0-0</f>
        <v>962.19046700000001</v>
      </c>
      <c r="AA139" s="3">
        <f>652+(348.7-34)+(-0.99756+(-0.533511--0.05202))+0-0-0</f>
        <v>965.22094900000002</v>
      </c>
      <c r="AB139" s="3">
        <f>652+(353.3-34)+(0.99756+(0.540549-0.05202))+0-0-0</f>
        <v>972.78608899999995</v>
      </c>
      <c r="AC139" s="3">
        <f>649+(351.2-34)+(-0.33099+(-0.179112--0.01734))+0-0-0</f>
        <v>965.70723800000007</v>
      </c>
      <c r="AD139">
        <v>973.7</v>
      </c>
      <c r="AE139" s="3">
        <f>653+(354.7-34)+(0+(0-0))+0-0-0</f>
        <v>973.7</v>
      </c>
    </row>
    <row r="140" spans="1:31" s="2" customFormat="1" x14ac:dyDescent="0.3">
      <c r="A140">
        <v>90</v>
      </c>
      <c r="B140">
        <v>5</v>
      </c>
      <c r="C140">
        <v>16</v>
      </c>
      <c r="D140">
        <v>2</v>
      </c>
      <c r="E140">
        <v>1</v>
      </c>
      <c r="F140" s="3">
        <f>612+(347.2-34)+(0.31212+(0.177072-0.01734))+0-0-0</f>
        <v>925.67185200000006</v>
      </c>
      <c r="G140" s="3">
        <f>593+(346.7-33)+(0+(0-0))+0-0-0</f>
        <v>906.7</v>
      </c>
      <c r="H140" s="3">
        <f>588+(318.2-33)+(0.89964+(0.486846-0.05049))+0-0-0</f>
        <v>874.53599600000007</v>
      </c>
      <c r="I140" s="3">
        <f>589+(304-33)+(0+(0-0))+0-0-0</f>
        <v>860</v>
      </c>
      <c r="J140" s="3">
        <f>586+(279.8-32)+(0.29886+(0.142698-0.01632))+0-0-0</f>
        <v>834.22523799999999</v>
      </c>
      <c r="K140" s="3">
        <f>569+(257.5-32)+(-0.29019+(-0.131325--0.01632))+0-0-0</f>
        <v>794.09480499999995</v>
      </c>
      <c r="L140" s="3">
        <f>542+(236.7-30)+(-1.93494+(-0.845019--0.1071))+0-0-0</f>
        <v>746.02714100000003</v>
      </c>
      <c r="M140" s="3">
        <f>541+(216-32)+(0.27591+(0.11016-0.01632))+0-0-0</f>
        <v>725.36974999999995</v>
      </c>
      <c r="N140" s="3">
        <f>538+(234-32)+(0.54876+(0.23868-0.03264))+0-0-0</f>
        <v>740.75480000000005</v>
      </c>
      <c r="O140" s="3">
        <f>536+(264.5-25)+(0.27336+(0.134895-0.01275))+0-0-0</f>
        <v>775.89550499999996</v>
      </c>
      <c r="P140" s="3">
        <f>560+(276.1-32)+(0.5712+(0.281622-0.03264))+0-0-0</f>
        <v>804.92018200000007</v>
      </c>
      <c r="Q140" s="3">
        <f>579+(311.5-33)+(-0.29529+(-0.158865--0.01683))+0-0-0</f>
        <v>857.06267500000001</v>
      </c>
      <c r="R140" s="3">
        <f>597+(334.8-35)+(0+(0-0))+0-0-0</f>
        <v>896.8</v>
      </c>
      <c r="S140" s="3">
        <f>619+(331.2-34)+(-1.57845+(-0.84456--0.0867))+0-0-0</f>
        <v>913.86369000000002</v>
      </c>
      <c r="T140" s="3">
        <f>618+(340.4-34)+(-0.63036+(-0.347208--0.03468))+0-0-0</f>
        <v>923.45711199999994</v>
      </c>
      <c r="U140" s="3">
        <f>620+(319.7-33)+(-0.3162+(-0.163047--0.01683))+0-0-0</f>
        <v>906.23758300000009</v>
      </c>
      <c r="V140" s="3">
        <f>621+(315.5-33.5)+(0.95013+(0.482715-0.051255))+0-0-0</f>
        <v>904.38158999999996</v>
      </c>
      <c r="W140" s="3">
        <f>615+(281.1-38.2)+(-0.31365+(-0.143361--0.019482))+0-0-0</f>
        <v>857.46247100000005</v>
      </c>
      <c r="X140" s="3">
        <f>623+(227.4-44.8)+(-1.27092+(-0.463896--0.091392))+11.1-0-0</f>
        <v>815.05657600000006</v>
      </c>
      <c r="Y140" s="3">
        <f>623+(294.2-31)+(-0.95319+(-0.450126--0.04743))+0-0-0</f>
        <v>884.84411399999999</v>
      </c>
      <c r="Z140" s="3">
        <f>641+(362.3-31)+(-0.32691+(-0.184773--0.01581))+0-0-0</f>
        <v>971.80412699999999</v>
      </c>
      <c r="AA140" s="3">
        <f>647+(377.8-30)+(-1.31988+(-0.770712--0.0612))+0-0-0</f>
        <v>992.77060799999992</v>
      </c>
      <c r="AB140" s="3">
        <f>647+(389.8-31)+(-0.65994+(-0.397596--0.03162))+0-0-0</f>
        <v>1004.7740839999999</v>
      </c>
      <c r="AC140" s="3">
        <f>637+(368.4-34)+(0+(0-0))+0-0-0</f>
        <v>971.4</v>
      </c>
      <c r="AD140">
        <v>995</v>
      </c>
      <c r="AE140" s="3">
        <f>646+(382-33)+(0+(0-0))+0-0-0</f>
        <v>995</v>
      </c>
    </row>
    <row r="141" spans="1:31" s="2" customFormat="1" x14ac:dyDescent="0.3">
      <c r="A141">
        <v>90</v>
      </c>
      <c r="B141">
        <v>5</v>
      </c>
      <c r="C141">
        <v>17</v>
      </c>
      <c r="D141">
        <v>3</v>
      </c>
      <c r="E141">
        <v>1</v>
      </c>
      <c r="F141" s="3">
        <f>628+(345.4-34)+(-1.92168+(-1.056924--0.10404))+0-0-0</f>
        <v>936.52543600000001</v>
      </c>
      <c r="G141" s="3">
        <f>628+(311.1-33)+(-1.6014+(-0.793305--0.08415))+0-0-0</f>
        <v>903.789445</v>
      </c>
      <c r="H141" s="3">
        <f>591+(329.4-33)+(-0.30141+(-0.167994--0.01683))+0-0-0</f>
        <v>886.94742599999995</v>
      </c>
      <c r="I141" s="3">
        <f>542+(384.7-33)+(0.27642+(0.196197-0.01683))+0-0-0</f>
        <v>894.15578700000003</v>
      </c>
      <c r="J141" s="3">
        <f>539+(360.2-32)+(-0.54978+(-0.367404--0.03264))+0-0-0</f>
        <v>866.31545600000004</v>
      </c>
      <c r="K141" s="3">
        <f>539+(308.1-32)+(-0.82467+(-0.471393--0.04896))+0-0-0</f>
        <v>813.85289699999998</v>
      </c>
      <c r="L141" s="3">
        <f>535+(261.4-30)+(-1.6371+(-0.799884--0.0918))+0-0-0</f>
        <v>764.05481599999996</v>
      </c>
      <c r="M141" s="3">
        <f>531+(258.2-31)+(-0.54162+(-0.263364--0.03162))+0-0-0</f>
        <v>757.42663600000003</v>
      </c>
      <c r="N141" s="3">
        <f>520+(291-32)+(0.5304+(0.29682-0.03264))+0-0-0</f>
        <v>779.79458</v>
      </c>
      <c r="O141" s="3">
        <f>528+(297.1-33)+(-0.80784+(-0.454563--0.05049))+0-0-0</f>
        <v>790.88808700000004</v>
      </c>
      <c r="P141" s="3">
        <f>556+(280.5-33)+(0.28356+(0.143055-0.01683))+0-0-0</f>
        <v>803.90978500000006</v>
      </c>
      <c r="Q141" s="3">
        <f>587+(310.4-33)+(0+(0-0))+0-0-0</f>
        <v>864.4</v>
      </c>
      <c r="R141" s="3">
        <f>602+(344.8-31)+(-0.30702+(-0.175848--0.01581))+0-0-0</f>
        <v>915.332942</v>
      </c>
      <c r="S141" s="3">
        <f>606+(358.7-33)+(-0.61812+(-0.365874--0.03366))+0-0-0</f>
        <v>930.74966600000005</v>
      </c>
      <c r="T141" s="3">
        <f>607+(361.8-33)+(0.30957+(0.184518-0.01683))+0-0-0</f>
        <v>936.27725799999996</v>
      </c>
      <c r="U141" s="3">
        <f>625+(340.9-33)+(-0.95625+(-0.521577--0.05049))+0-0-0</f>
        <v>931.47266300000001</v>
      </c>
      <c r="V141" s="3">
        <f>630+(319.1-45)+(-1.6065+(-0.813705--0.11475))+0-0-0</f>
        <v>901.79454499999997</v>
      </c>
      <c r="W141" s="3">
        <f>646+(265.7-57)+(-1.31784+(-0.542028--0.11628))+0-0-0</f>
        <v>852.956412</v>
      </c>
      <c r="X141" s="3">
        <f>658+(226.7-46)+(-2.01348+(-0.693702--0.14076))+0-0-0</f>
        <v>836.13357800000006</v>
      </c>
      <c r="Y141" s="3">
        <f>595+(337.4-25)+(-0.6069+(-0.344148--0.0255))+0-0-0</f>
        <v>906.47445199999993</v>
      </c>
      <c r="Z141" s="3">
        <f>599+(416.9-25)+(0+(0-0))+0-0-0</f>
        <v>990.9</v>
      </c>
      <c r="AA141" s="3">
        <f>598+(437.8-34)+(-2.13486+(-1.562946--0.12138))+0-0-0</f>
        <v>998.22357399999999</v>
      </c>
      <c r="AB141" s="3">
        <f>597+(433.6-30)+(-0.91341+(-0.663408--0.0459))+0-0-0</f>
        <v>999.06908199999998</v>
      </c>
      <c r="AC141" s="3">
        <f>615+(398.1-32)+(-0.6273+(-0.406062--0.03264))+0-0-0</f>
        <v>980.09927800000003</v>
      </c>
      <c r="AD141">
        <v>998.5</v>
      </c>
      <c r="AE141" s="3">
        <f>599+(433.5-34)+(0+(0-0))+0-0-0</f>
        <v>998.5</v>
      </c>
    </row>
    <row r="142" spans="1:31" s="2" customFormat="1" x14ac:dyDescent="0.3">
      <c r="A142">
        <v>90</v>
      </c>
      <c r="B142">
        <v>5</v>
      </c>
      <c r="C142">
        <v>18</v>
      </c>
      <c r="D142">
        <v>4</v>
      </c>
      <c r="E142">
        <v>1</v>
      </c>
      <c r="F142" s="3">
        <f>608+(360.4-35)+(-0.62016+(-0.367608--0.0357))+0-0-0</f>
        <v>932.44793199999992</v>
      </c>
      <c r="G142" s="3">
        <f>607+(340.4-35)+(-0.30957+(-0.173604--0.01785))+0-0-0</f>
        <v>911.93467599999997</v>
      </c>
      <c r="H142" s="3">
        <f>607+(322.2-35)+(0+(0-0))+0-0-0</f>
        <v>894.2</v>
      </c>
      <c r="I142" s="3">
        <f>570+(361.2-35)+(-0.8721+(-0.552636--0.05355))+0-0-0</f>
        <v>894.82881400000008</v>
      </c>
      <c r="J142" s="3">
        <f>544+(357.4-33)+(0.83232+(0.546822-0.05049))+0-0-0</f>
        <v>869.72865200000001</v>
      </c>
      <c r="K142" s="3">
        <f>544+(292.8-32)+(-1.10976+(-0.597312--0.06528))+0-0-0</f>
        <v>803.15820799999995</v>
      </c>
      <c r="L142" s="3">
        <f>531+(267.3-31)+(-0.81243+(-0.408969--0.04743))+0-0-0</f>
        <v>766.1260309999999</v>
      </c>
      <c r="M142" s="3">
        <f>512+(265.8-30)+(0.26112+(0.135558-0.0153))+0-0-0</f>
        <v>748.181378</v>
      </c>
      <c r="N142" s="3">
        <f>480+(318.8-30)+(0.2448+(0.162588-0.0153))+0-0-0</f>
        <v>769.1920879999999</v>
      </c>
      <c r="O142" s="3">
        <f>462+(330.7-33)+(0.47124+(0.337314-0.03366))+0-0-0</f>
        <v>760.47489400000006</v>
      </c>
      <c r="P142" s="3">
        <f>473+(357.7-32)+(0+(0-0))+0-0-0</f>
        <v>798.7</v>
      </c>
      <c r="Q142" s="3">
        <f>486+(397.2-31)+(0.49572+(0.405144-0.03162))+0-0-0</f>
        <v>853.06924400000003</v>
      </c>
      <c r="R142" s="3">
        <f>503+(435.9-33)+(0.25653+(0.222309-0.01683))+0-0-0</f>
        <v>906.36200899999994</v>
      </c>
      <c r="S142" s="3">
        <f>527+(429.2-33)+(-0.80631+(-0.656676--0.05049))+0-0-0</f>
        <v>921.78750400000001</v>
      </c>
      <c r="T142" s="3">
        <f>540+(413.5-34)+(0+(0-0))+0-0-0</f>
        <v>919.5</v>
      </c>
      <c r="U142" s="3">
        <f>540+(409-32)+(-0.8262+(-0.62577--0.04896))+0-0-0</f>
        <v>915.59699000000001</v>
      </c>
      <c r="V142" s="3">
        <f>541+(375.1-32)+(-1.37955+(-0.956505--0.0816))+0-0-0</f>
        <v>881.84554500000002</v>
      </c>
      <c r="W142" s="3">
        <f>561+(311.1-33)+(-0.85833+(-0.475983--0.05049))+0-0-0</f>
        <v>837.81617700000004</v>
      </c>
      <c r="X142" s="3">
        <f>592+(243.5-25)+(-0.60384+(-0.24837--0.0255))+0-0-0</f>
        <v>809.67328999999995</v>
      </c>
      <c r="Y142" s="3">
        <f>607+(311.8-30)+(0.61914+(0.318036-0.0306))+0-0-0</f>
        <v>889.70657599999993</v>
      </c>
      <c r="Z142" s="3">
        <f>627+(367.8-32)+(-1.27908+(-0.750312--0.06528))+0-0-0</f>
        <v>960.83588799999995</v>
      </c>
      <c r="AA142" s="3">
        <f>653+(367.6-34)+(-1.66515+(-0.93738--0.0867))+0-0-0</f>
        <v>984.08416999999997</v>
      </c>
      <c r="AB142" s="3">
        <f>652+(373-34)+(-0.66504+(-0.38046--0.03468))+0-0-0</f>
        <v>989.98918000000003</v>
      </c>
      <c r="AC142" s="3">
        <f>645+(359-35)+(-0.6579+(-0.36618--0.0357))+0-0-0</f>
        <v>968.01161999999999</v>
      </c>
      <c r="AD142">
        <v>995.40000000000009</v>
      </c>
      <c r="AE142" s="3">
        <f>659+(370.4-34)+(0+(0-0))+0-0-0</f>
        <v>995.4</v>
      </c>
    </row>
    <row r="143" spans="1:31" s="2" customFormat="1" x14ac:dyDescent="0.3">
      <c r="A143">
        <v>90</v>
      </c>
      <c r="B143">
        <v>5</v>
      </c>
      <c r="C143">
        <v>19</v>
      </c>
      <c r="D143">
        <v>5</v>
      </c>
      <c r="E143">
        <v>1</v>
      </c>
      <c r="F143" s="3">
        <f>618+(339.5-33)+(-1.5759+(-0.865725--0.08415))+0-0-0</f>
        <v>922.14252499999998</v>
      </c>
      <c r="G143" s="3">
        <f>618+(309.7-28)+(-1.5759+(-0.789735--0.0714))+0-0-0</f>
        <v>897.40576500000009</v>
      </c>
      <c r="H143" s="3">
        <f>618+(294.7-35)+(-1.5759+(-0.751485--0.08925))+0-0-0</f>
        <v>875.46186499999999</v>
      </c>
      <c r="I143" s="3">
        <f>618+(294.5-35)+(-0.63036+(-0.30039--0.0357))+0-0-0</f>
        <v>876.60495000000003</v>
      </c>
      <c r="J143" s="3">
        <f>617+(272.1-34.1)+(-0.94401+(-0.416313--0.052173))+0-0-0</f>
        <v>853.69185000000004</v>
      </c>
      <c r="K143" s="3">
        <f>616+(241.4-40.5)+(-0.31416+(-0.123114--0.020655))+0-0-0</f>
        <v>816.48338100000001</v>
      </c>
      <c r="L143" s="3">
        <f>597+(223.5-44.5)+(-1.82682+(-0.68391--0.13617))+0-0-0</f>
        <v>773.62544000000003</v>
      </c>
      <c r="M143" s="3">
        <f>537+(255.4-32)+(0+(0-0))+0-0-0</f>
        <v>760.4</v>
      </c>
      <c r="N143" s="3">
        <f>533+(267.3-32)+(0+(0-0))+0-0-0</f>
        <v>768.3</v>
      </c>
      <c r="O143" s="3">
        <f>585+(242.1-42.2)+(0+(0-0))+0-0-0</f>
        <v>784.9</v>
      </c>
      <c r="P143" s="3">
        <f>595+(252.2-38.7)+(-0.30345+(-0.128622--0.019737))+0-0-0</f>
        <v>808.08766500000002</v>
      </c>
      <c r="Q143" s="3">
        <f>605+(291.8-34)+(1.2342+(0.595272-0.06936))+0-0-0</f>
        <v>864.560112</v>
      </c>
      <c r="R143" s="3">
        <f>607+(324.8-31)+(-1.23828+(-0.662592--0.06324))+0-0-0</f>
        <v>898.96236799999997</v>
      </c>
      <c r="S143" s="3">
        <f>615+(341.1-31)+(-1.56825+(-0.869805--0.07905))+0-0-0</f>
        <v>922.740995</v>
      </c>
      <c r="T143" s="3">
        <f>604+(359-32)+(-0.30804+(-0.18309--0.01632))+0-0-0</f>
        <v>930.52518999999995</v>
      </c>
      <c r="U143" s="3">
        <f>602+(337.6-31)+(-0.61404+(-0.344352--0.03162))+0-0-0</f>
        <v>907.67322799999999</v>
      </c>
      <c r="V143" s="3">
        <f>617+(284.7-31)+(-0.31467+(-0.145197--0.01581))+0-0-0</f>
        <v>870.255943</v>
      </c>
      <c r="W143" s="3">
        <f>624+(216.8-50.1)+(-0.63648+(-0.221136--0.051102))+0-0-0</f>
        <v>789.89348600000005</v>
      </c>
      <c r="X143" s="3">
        <f>618+(156.8-53)+(-0.94554+(-0.239904--0.08109))+16.3-0-0</f>
        <v>736.99564599999997</v>
      </c>
      <c r="Y143" s="3">
        <f>577+(236-33)+(-0.58854+(-0.24072--0.03366))+0-0-0</f>
        <v>779.20439999999996</v>
      </c>
      <c r="Z143" s="3">
        <f>638+(266.4-31)+(-1.30152+(-0.543456--0.06324))+0-0-0</f>
        <v>871.61826399999995</v>
      </c>
      <c r="AA143" s="3">
        <f>638+(299-31)+(-1.6269+(-0.76245--0.07905))+0-0-0</f>
        <v>903.68970000000002</v>
      </c>
      <c r="AB143" s="3">
        <f>638+(317.1-31)+(-0.97614+(-0.485163--0.04743))+0-0-0</f>
        <v>922.68612700000006</v>
      </c>
      <c r="AC143" s="3">
        <f>632+(314.5-34)+(-0.64464+(-0.32079--0.03468))+0-0-0</f>
        <v>911.56925000000001</v>
      </c>
      <c r="AD143">
        <v>896.4</v>
      </c>
      <c r="AE143" s="3">
        <f>638+(289.4-31)+(0+(0-0))+0-0-0</f>
        <v>896.4</v>
      </c>
    </row>
    <row r="144" spans="1:31" s="2" customFormat="1" x14ac:dyDescent="0.3">
      <c r="A144">
        <v>90</v>
      </c>
      <c r="B144">
        <v>5</v>
      </c>
      <c r="C144">
        <v>20</v>
      </c>
      <c r="D144">
        <v>6</v>
      </c>
      <c r="E144">
        <v>1</v>
      </c>
      <c r="F144" s="3">
        <f>619+(292.3-34)+(-1.57845+(-0.745365--0.0867))+0-0-0</f>
        <v>875.06288499999994</v>
      </c>
      <c r="G144" s="3">
        <f>619+(273.4-33)+(-0.63138+(-0.278868--0.03366))+0-0-0</f>
        <v>858.52341200000001</v>
      </c>
      <c r="H144" s="3">
        <f>619+(265.8-34.3)+(-0.31569+(-0.135558--0.017493))+0-0-0</f>
        <v>850.06624499999998</v>
      </c>
      <c r="I144" s="3">
        <f>619+(267.4-34.7)+(0+(0-0))+0-0-0</f>
        <v>851.7</v>
      </c>
      <c r="J144" s="3">
        <f>616+(251.9-40.1)+(0.94248+(0.385407-0.061353))+0-0-0</f>
        <v>829.06653399999993</v>
      </c>
      <c r="K144" s="3">
        <f>616+(219.4-48.1)+(-2.19912+(-0.783258--0.171717))+0-0-0</f>
        <v>784.48933899999997</v>
      </c>
      <c r="L144" s="3">
        <f>616+(178-55)+(-1.88496+(-0.54468--0.1683))+0-0-0</f>
        <v>736.73865999999998</v>
      </c>
      <c r="M144" s="3">
        <f>596+(163.2-42.9)+(-0.30396+(-0.083232--0.021879))+0-0-0</f>
        <v>715.93468699999994</v>
      </c>
      <c r="N144" s="3">
        <f>587+(177.3-36.5)+(0.89811+(0.271269-0.055845))+0-0-0</f>
        <v>728.91353399999991</v>
      </c>
      <c r="O144" s="3">
        <f>580+(208.9-45)+(-0.5916+(-0.213078--0.0459))+0-0-0</f>
        <v>743.14122199999997</v>
      </c>
      <c r="P144" s="3">
        <f>583+(231.1-40.4)+(0.29733+(0.117861-0.020604))+0-0-0</f>
        <v>774.09458700000005</v>
      </c>
      <c r="Q144" s="3">
        <f>584+(269.9-33)+(-0.59568+(-0.275298--0.03366))+0-0-0</f>
        <v>820.062682</v>
      </c>
      <c r="R144" s="3">
        <f>597+(293.8-30)+(-0.30447+(-0.149838--0.0153))+0-0-0</f>
        <v>860.36099200000001</v>
      </c>
      <c r="S144" s="3">
        <f>604+(313.9-30)+(-0.61608+(-0.320178--0.0306))+0-0-0</f>
        <v>886.99434199999996</v>
      </c>
      <c r="T144" s="3">
        <f>624+(309.8-33)+(0.31824+(0.157998-0.01683))+0-0-0</f>
        <v>901.25940800000001</v>
      </c>
      <c r="U144" s="3">
        <f>633+(295.9-34.1)+(-0.64566+(-0.301818--0.034782))+0-0-0</f>
        <v>893.88730399999997</v>
      </c>
      <c r="V144" s="3">
        <f>628+(279.6-36.8)+(0+(0-0))+0-0-0</f>
        <v>870.8</v>
      </c>
      <c r="W144" s="3">
        <f>596+(250.5-34)+(-0.30396+(-0.127755--0.01734))+0-0-0</f>
        <v>812.08562500000005</v>
      </c>
      <c r="X144" s="3">
        <f>598+(194.3-38.6)+(-2.13486+(-0.693651--0.137802))+0-0-0</f>
        <v>751.00929100000008</v>
      </c>
      <c r="Y144" s="3">
        <f>597+(263.2-30)+(-0.60894+(-0.268464--0.0306))+0-0-0</f>
        <v>829.35319600000003</v>
      </c>
      <c r="Z144" s="3">
        <f>648+(289.2-33)+(-1.98288+(-0.884952--0.10098))+0-0-0</f>
        <v>901.43314800000007</v>
      </c>
      <c r="AA144" s="3">
        <f>660+(286.2-31)+(-0.3366+(-0.145962--0.01581))+0-0-0</f>
        <v>914.733248</v>
      </c>
      <c r="AB144" s="3">
        <f>668+(288.6-30)+(0+(0-0))+0-0-0</f>
        <v>926.6</v>
      </c>
      <c r="AC144" s="3">
        <f>652+(260.5-38.9)+(0+(0-0))+2.7-0-0</f>
        <v>876.30000000000007</v>
      </c>
      <c r="AD144">
        <v>912.6</v>
      </c>
      <c r="AE144" s="3">
        <f>654+(292.6-34)+(0+(0-0))+0-0-0</f>
        <v>912.6</v>
      </c>
    </row>
    <row r="145" spans="1:31" s="2" customFormat="1" x14ac:dyDescent="0.3">
      <c r="A145">
        <v>90</v>
      </c>
      <c r="B145">
        <v>5</v>
      </c>
      <c r="C145">
        <v>21</v>
      </c>
      <c r="D145">
        <v>7</v>
      </c>
      <c r="E145">
        <v>1</v>
      </c>
      <c r="F145" s="3">
        <f>626+(245.7-35.7)+(0.31926+(0.125307-0.018207))+0-0-0</f>
        <v>836.42636000000005</v>
      </c>
      <c r="G145" s="3">
        <f>493+(369.6-30)+(-0.25143+(-0.188496--0.0153))+0-0-0</f>
        <v>832.17537400000003</v>
      </c>
      <c r="H145" s="3">
        <f>443+(411-28)+(0.22593+(0.20961-0.01428))+0-0-0</f>
        <v>826.42125999999996</v>
      </c>
      <c r="I145" s="3">
        <f>443+(406.9-28)+(-0.22593+(-0.207519--0.01428))+0-0-0</f>
        <v>821.48083099999997</v>
      </c>
      <c r="J145" s="3">
        <f>452+(378.6-29)+(0.46104+(0.386172-0.02958))+0-0-0</f>
        <v>802.41763200000003</v>
      </c>
      <c r="K145" s="3">
        <f>473+(313.5-32)+(-1.20615+(-0.799425--0.0816))+0-0-0</f>
        <v>752.57602499999996</v>
      </c>
      <c r="L145" s="3">
        <f>493+(247-33)+(-0.50286+(-0.25194--0.03366))+0-0-0</f>
        <v>706.27886000000001</v>
      </c>
      <c r="M145" s="3">
        <f>497+(236.2-31)+(0.25347+(0.120462-0.01581))+0-0-0</f>
        <v>702.55812200000003</v>
      </c>
      <c r="N145" s="3">
        <f>497+(223.5-30)+(-0.25347+(-0.113985--0.0153))+0-0-0</f>
        <v>690.14784499999996</v>
      </c>
      <c r="O145" s="3">
        <f>500+(242.3-32)+(0.255+(0.123573-0.01632))+0-0-0</f>
        <v>710.66225299999996</v>
      </c>
      <c r="P145" s="3">
        <f>496+(261.7-35)+(1.01184+(0.533868-0.0714))+0-0-0</f>
        <v>724.174308</v>
      </c>
      <c r="Q145" s="3">
        <f>494+(300.9-36)+(0.75582+(0.460377-0.05508))+0-0-0</f>
        <v>760.06111699999997</v>
      </c>
      <c r="R145" s="3">
        <f>489+(353.2-33)+(-0.49878+(-0.360264--0.03366))+0-0-0</f>
        <v>808.37461600000006</v>
      </c>
      <c r="S145" s="3">
        <f>531+(342.1-33)+(-0.27081+(-0.174471--0.01683))+0-0-0</f>
        <v>839.67154900000003</v>
      </c>
      <c r="T145" s="3">
        <f>582+(298.8-25)+(0.59364+(0.304776-0.0255))+0-0-0</f>
        <v>856.67291599999999</v>
      </c>
      <c r="U145" s="3">
        <f>595+(295.8-24)+(-0.6069+(-0.301716--0.02448))+0-0-0</f>
        <v>865.91586399999994</v>
      </c>
      <c r="V145" s="3">
        <f>598+(271-33.5)+(-0.60996+(-0.27642--0.03417))+0-0-0</f>
        <v>834.64778999999999</v>
      </c>
      <c r="W145" s="3">
        <f>579+(214.2-24.4)+(-0.59058+(-0.218484--0.024888))+0-0-0</f>
        <v>768.01582399999995</v>
      </c>
      <c r="X145" s="3">
        <f>566+(198.4-25.4)+(-1.4433+(-0.50592--0.06477))+0-0-0</f>
        <v>737.11554999999998</v>
      </c>
      <c r="Y145" s="3">
        <f>573+(248.2-14)+(0+(0-0))+0-0-0</f>
        <v>807.2</v>
      </c>
      <c r="Z145" s="3">
        <f>611+(305.8-30)+(0.31161+(0.155958-0.0153))+0-0-0</f>
        <v>887.25226799999996</v>
      </c>
      <c r="AA145" s="3">
        <f>649+(283.5-25)+(-1.32396+(-0.57834--0.051))+0-0-0</f>
        <v>905.64869999999996</v>
      </c>
      <c r="AB145" s="3">
        <f>650+(299.3-30)+(-0.9945+(-0.457929--0.0459))+0-0-0</f>
        <v>917.89347099999998</v>
      </c>
      <c r="AC145" s="3">
        <f>646+(291.5-30)+(0.65892+(0.29733-0.0306))+0-0-0</f>
        <v>908.42565000000002</v>
      </c>
      <c r="AD145">
        <v>905</v>
      </c>
      <c r="AE145" s="3">
        <f>652+(283-30)+(0+(0-0))+0-0-0</f>
        <v>905</v>
      </c>
    </row>
    <row r="146" spans="1:31" s="2" customFormat="1" x14ac:dyDescent="0.3">
      <c r="A146">
        <v>90</v>
      </c>
      <c r="B146">
        <v>5</v>
      </c>
      <c r="C146">
        <v>22</v>
      </c>
      <c r="D146">
        <v>1</v>
      </c>
      <c r="E146">
        <v>1</v>
      </c>
      <c r="F146" s="3">
        <f>632+(270.3-29)+(0.32232+(0.137853-0.01479))+0-0-0</f>
        <v>873.74538299999995</v>
      </c>
      <c r="G146" s="3">
        <f>632+(253.1-32.7)+(-0.64464+(-0.258162--0.033354))+0-0-0</f>
        <v>851.53055199999994</v>
      </c>
      <c r="H146" s="3">
        <f>631+(233.3-35.6)+(-0.64362+(-0.237966--0.036312))+0-0-0</f>
        <v>827.85472600000003</v>
      </c>
      <c r="I146" s="3">
        <f>595+(256-28)+(0.30345+(0.13056-0.01428))+0-0-0</f>
        <v>823.41972999999996</v>
      </c>
      <c r="J146" s="3">
        <f>557+(262.8-29)+(-0.28407+(-0.134028--0.01479))+0-0-0</f>
        <v>790.39669199999992</v>
      </c>
      <c r="K146" s="3">
        <f>558+(225.7-30)+(-1.4229+(-0.575535--0.0765))+0-0-0</f>
        <v>751.77806500000008</v>
      </c>
      <c r="L146" s="3">
        <f>555+(189.9-38)+(-0.5661+(-0.193698--0.03876))+0-0-0</f>
        <v>706.17896199999996</v>
      </c>
      <c r="M146" s="3">
        <f>548+(189.5-39.2)+(0.55896+(0.19329-0.039984))+0-0-0</f>
        <v>699.01226599999995</v>
      </c>
      <c r="N146" s="3">
        <f>497+(250.8-32)+(1.26735+(0.63954-0.0816))+0-0-0</f>
        <v>717.62528999999995</v>
      </c>
      <c r="O146" s="3">
        <f>503+(271.8-32)+(0.25653+(0.138618-0.01632))+0-0-0</f>
        <v>743.17882799999995</v>
      </c>
      <c r="P146" s="3">
        <f>492+(299.7-32)+(0.25092+(0.152847-0.01632))+0-0-0</f>
        <v>760.087447</v>
      </c>
      <c r="Q146" s="3">
        <f>499+(337.1-32)+(0+(0-0))+0-0-0</f>
        <v>804.1</v>
      </c>
      <c r="R146" s="3">
        <f>408+(455-33)+(0.62424+(0.69615-0.05049))+14-0-0</f>
        <v>845.26990000000001</v>
      </c>
      <c r="S146" s="3">
        <f>422+(441.9-28)+(-0.21522+(-0.225369--0.01428))+38.7-0-0</f>
        <v>874.17369100000008</v>
      </c>
      <c r="T146" s="3">
        <f>535+(360.4-27)+(0+(0-0))+6.7-0-0</f>
        <v>875.1</v>
      </c>
      <c r="U146" s="3">
        <f>555+(322.4-30)+(-1.1322+(-0.657696--0.0612))+0-0-0</f>
        <v>845.67130399999996</v>
      </c>
      <c r="V146" s="3">
        <f>556+(283.4-34.8)+(-0.56712+(-0.289068--0.035496))+0-0-0</f>
        <v>803.7793079999999</v>
      </c>
      <c r="W146" s="3">
        <f>589+(219.6-51.3)+(-1.50195+(-0.55998--0.130815))+0-0-0</f>
        <v>755.36888499999998</v>
      </c>
      <c r="X146" s="3">
        <f>558+(200.9-41)+(-2.27664+(-0.819672--0.16728))+0-0-0</f>
        <v>714.97096799999997</v>
      </c>
      <c r="Y146" s="3">
        <f>533+(266.7-33)+(-0.27183+(-0.136017--0.01683))+0-0-0</f>
        <v>766.30898300000001</v>
      </c>
      <c r="Z146" s="3">
        <f>594+(320.4-33)+(0.60588+(0.326808-0.03366))+0-0-0</f>
        <v>882.29902800000002</v>
      </c>
      <c r="AA146" s="3">
        <f>634+(306.1-32)+(-0.64668+(-0.312222--0.03264))+0-0-0</f>
        <v>907.17373800000007</v>
      </c>
      <c r="AB146" s="3">
        <f>633+(320.6-32)+(-0.64566+(-0.327012--0.03264))+0-0-0</f>
        <v>920.65996800000005</v>
      </c>
      <c r="AC146" s="3">
        <f>628+(308-32)+(-0.64056+(-0.31416--0.03264))+0-0-0</f>
        <v>903.07791999999995</v>
      </c>
      <c r="AD146">
        <v>908.7</v>
      </c>
      <c r="AE146" s="3">
        <f>633+(308.7-33)+(0+(0-0))+0-0-0</f>
        <v>908.7</v>
      </c>
    </row>
    <row r="147" spans="1:31" s="2" customFormat="1" x14ac:dyDescent="0.3">
      <c r="A147">
        <v>90</v>
      </c>
      <c r="B147">
        <v>5</v>
      </c>
      <c r="C147">
        <v>23</v>
      </c>
      <c r="D147">
        <v>2</v>
      </c>
      <c r="E147">
        <v>1</v>
      </c>
      <c r="F147" s="3">
        <f>614+(291.1-32)+(-0.31314+(-0.148461--0.01632))+0-0-0</f>
        <v>872.654719</v>
      </c>
      <c r="G147" s="3">
        <f>597+(286.3-31)+(-0.91341+(-0.438039--0.04743))+0-0-0</f>
        <v>850.99598099999992</v>
      </c>
      <c r="H147" s="3">
        <f>596+(270.4-31)+(0.30396+(0.137904-0.01581))+0-0-0</f>
        <v>835.826054</v>
      </c>
      <c r="I147" s="3">
        <f>589+(272.5-31)+(-0.60078+(-0.27795--0.03162))+0-0-0</f>
        <v>829.65288999999996</v>
      </c>
      <c r="J147" s="3">
        <f>581+(258.3-31)+(-1.18524+(-0.526932--0.06324))+0-0-0</f>
        <v>806.65106800000001</v>
      </c>
      <c r="K147" s="3">
        <f>532+(260.2-32)+(-1.08528+(-0.530808--0.06528))+0-0-0</f>
        <v>758.64919200000008</v>
      </c>
      <c r="L147" s="3">
        <f>516+(254.3-33)+(-0.78948+(-0.389079--0.05049))+0-0-0</f>
        <v>736.17193099999997</v>
      </c>
      <c r="M147" s="3">
        <f>512+(243.6-34)+(0.26112+(0.124236-0.01734))+0-0-0</f>
        <v>721.96801600000003</v>
      </c>
      <c r="N147" s="3">
        <f>498+(276.7-32)+(0+(0-0))+0-0-0</f>
        <v>742.7</v>
      </c>
      <c r="O147" s="3">
        <f>540+(254.4-32)+(0.5508+(0.259488-0.03264))+0-0-0</f>
        <v>763.17764799999998</v>
      </c>
      <c r="P147" s="3">
        <f>570+(246.3-32)+(0.8721+(0.376839-0.04896))+0-0-0</f>
        <v>785.49997899999994</v>
      </c>
      <c r="Q147" s="3">
        <f>579+(276.2-33)+(0.59058+(0.281724-0.03366))+0-0-0</f>
        <v>823.03864400000009</v>
      </c>
      <c r="R147" s="3">
        <f>582+(320.3-33)+(1.18728+(0.653412-0.06732))+0-0-0</f>
        <v>871.07337199999995</v>
      </c>
      <c r="S147" s="3">
        <f>583+(336.2-20)+(0+(0-0))+0-0-0</f>
        <v>899.2</v>
      </c>
      <c r="T147" s="3">
        <f>593+(332-31)+(-0.60486+(-0.33864--0.03162))+13.2-0-0</f>
        <v>906.28812000000005</v>
      </c>
      <c r="U147" s="3">
        <f>599+(304.8-32)+(0.30549+(0.155448-0.01632))+3-0-0</f>
        <v>875.24461799999995</v>
      </c>
      <c r="V147" s="3">
        <f>611+(278.2-40.2)+(-0.31161+(-0.141882--0.020502))+0-0-0</f>
        <v>848.56700999999998</v>
      </c>
      <c r="W147" s="3">
        <f>626+(219.8-53.8)+(-0.63852+(-0.224196--0.054876))+0-0-0</f>
        <v>791.19215999999994</v>
      </c>
      <c r="X147" s="3">
        <f>631+(155.3-62)+(-1.93086+(-0.475218--0.18972))+0-0-0</f>
        <v>722.08364199999994</v>
      </c>
      <c r="Y147" s="3">
        <f>572+(254.8-30)+(0+(0-0))+0-0-0</f>
        <v>796.8</v>
      </c>
      <c r="Z147" s="3">
        <f>611+(295.4-31)+(-0.62322+(-0.301308--0.03162))+0-0-0</f>
        <v>874.50709199999994</v>
      </c>
      <c r="AA147" s="3">
        <f>611+(324.8-31)+(-1.55805+(-0.82824--0.07905))+0-0-0</f>
        <v>902.49275999999998</v>
      </c>
      <c r="AB147" s="3">
        <f>611+(338.8-30)+(0.31161+(0.172788-0.0153))+0-0-0</f>
        <v>920.26909799999999</v>
      </c>
      <c r="AC147" s="3">
        <f>608+(329.5-30)+(-1.24032+(-0.67218--0.0612))+0-0-0</f>
        <v>905.64869999999996</v>
      </c>
      <c r="AD147">
        <v>903.5</v>
      </c>
      <c r="AE147" s="3">
        <f>608+(326.5-31)+(0+(0-0))+0-0-0</f>
        <v>903.5</v>
      </c>
    </row>
    <row r="148" spans="1:31" s="2" customFormat="1" x14ac:dyDescent="0.3">
      <c r="A148">
        <v>90</v>
      </c>
      <c r="B148">
        <v>5</v>
      </c>
      <c r="C148">
        <v>24</v>
      </c>
      <c r="D148">
        <v>3</v>
      </c>
      <c r="E148">
        <v>1</v>
      </c>
      <c r="F148" s="3">
        <f>590+(308.3-33)+(-0.9027+(-0.471699--0.05049))+0-0-0</f>
        <v>863.976091</v>
      </c>
      <c r="G148" s="3">
        <f>587+(293.7-33)+(-1.19748+(-0.599148--0.06732))+0-0-0</f>
        <v>845.9706920000001</v>
      </c>
      <c r="H148" s="3">
        <f>551+(302.1-32)+(-0.84303+(-0.462213--0.04896))+0-0-0</f>
        <v>819.84371699999997</v>
      </c>
      <c r="I148" s="3">
        <f>530+(308.2-32)+(-0.2703+(-0.157182--0.01632))+0-0-0</f>
        <v>805.78883800000006</v>
      </c>
      <c r="J148" s="3">
        <f>529+(296.9-30)+(-1.07916+(-0.605676--0.0612))+0-0-0</f>
        <v>794.27636399999994</v>
      </c>
      <c r="K148" s="3">
        <f>528+(266.2-30)+(-1.07712+(-0.543048--0.0612))+0-0-0</f>
        <v>762.641032</v>
      </c>
      <c r="L148" s="3">
        <f>529+(221.5-30)+(-1.61874+(-0.67779--0.0918))+0-0-0</f>
        <v>718.29526999999996</v>
      </c>
      <c r="M148" s="3">
        <f>522+(198.8-30)+(-0.53244+(-0.202776--0.0306))+0-0-0</f>
        <v>690.09538399999997</v>
      </c>
      <c r="N148" s="3">
        <f>535+(225-30)+(1.0914+(0.459-0.0612))+0-0-0</f>
        <v>731.48919999999998</v>
      </c>
      <c r="O148" s="3">
        <f>564+(209.8-34.6)+(0+(0-0))+0-0-0</f>
        <v>739.2</v>
      </c>
      <c r="P148" s="3">
        <f>569+(215.2-35.3)+(-0.58038+(-0.219504--0.036006))+0-0-0</f>
        <v>748.136122</v>
      </c>
      <c r="Q148" s="3">
        <f>584+(248-32)+(0+(0-0))+0-0-0</f>
        <v>800</v>
      </c>
      <c r="R148" s="3">
        <f>596+(277.4-29)+(0.30396+(0.141474-0.01479))+0-0-0</f>
        <v>844.83064400000001</v>
      </c>
      <c r="S148" s="3">
        <f>597+(305.3-29)+(-0.60894+(-0.311406--0.02958))+0-0-0</f>
        <v>872.40923399999997</v>
      </c>
      <c r="T148" s="3">
        <f>614+(294.7-30)+(-0.93942+(-0.450891--0.0459))+0-0-0</f>
        <v>877.35558900000001</v>
      </c>
      <c r="U148" s="3">
        <f>628+(274.7-34.7)+(-1.28112+(-0.560388--0.070788))+0-0-0</f>
        <v>866.22928000000002</v>
      </c>
      <c r="V148" s="3">
        <f>633+(244.2-44.5)+(-1.29132+(-0.498168--0.09078))+0-0-0</f>
        <v>831.00129200000003</v>
      </c>
      <c r="W148" s="3">
        <f>650+(172.7-51.1)+(-0.3315+(-0.088077--0.026061))+3.6-0-0</f>
        <v>774.80648400000007</v>
      </c>
      <c r="X148" s="3">
        <f>611+(145.6-38)+(-0.62322+(-0.148512--0.03876))+0-0-0</f>
        <v>717.867028</v>
      </c>
      <c r="Y148" s="3">
        <f>612+(222.3-34.3)+(0.62424+(0.226746-0.034986))+0-0-0</f>
        <v>800.81600000000003</v>
      </c>
      <c r="Z148" s="3">
        <f>616+(286.8-28)+(0+(0-0))+0-0-0</f>
        <v>874.8</v>
      </c>
      <c r="AA148" s="3">
        <f>633+(291.1-29)+(-0.64566+(-0.296922--0.02958))+0-0-0</f>
        <v>894.18699800000002</v>
      </c>
      <c r="AB148" s="3">
        <f>633+(296.9-28)+(-1.29132+(-0.605676--0.05712))+0-0-0</f>
        <v>900.06012399999997</v>
      </c>
      <c r="AC148" s="3">
        <f>627+(305-28)+(-0.63954+(-0.3111--0.02856))+0-0-0</f>
        <v>903.07791999999995</v>
      </c>
      <c r="AD148">
        <v>890.2</v>
      </c>
      <c r="AE148" s="3">
        <f>617+(303.2-30)+(0+(0-0))+0-0-0</f>
        <v>890.2</v>
      </c>
    </row>
    <row r="149" spans="1:31" s="2" customFormat="1" x14ac:dyDescent="0.3">
      <c r="A149">
        <v>90</v>
      </c>
      <c r="B149">
        <v>5</v>
      </c>
      <c r="C149">
        <v>25</v>
      </c>
      <c r="D149">
        <v>4</v>
      </c>
      <c r="E149">
        <v>1</v>
      </c>
      <c r="F149" s="3">
        <f>613+(288.5-28)+(-0.62526+(-0.29427--0.02856))+0-0-0</f>
        <v>872.60902999999996</v>
      </c>
      <c r="G149" s="3">
        <f>590+(282.4-30)+(-0.9027+(-0.432072--0.0459))+0-0-0</f>
        <v>841.11112800000001</v>
      </c>
      <c r="H149" s="3">
        <f>583+(272.4-31)+(-1.18932+(-0.555696--0.06324))+0-0-0</f>
        <v>822.71822399999996</v>
      </c>
      <c r="I149" s="3">
        <f>583+(255.7-33)+(-0.59466+(-0.260814--0.03366))+0-0-0</f>
        <v>804.87818600000003</v>
      </c>
      <c r="J149" s="3">
        <f>582+(236.9-36.2)+(0+(0-0))+0-0-0</f>
        <v>782.7</v>
      </c>
      <c r="K149" s="3">
        <f>556+(222-36.6)+(-1.4178+(-0.5661--0.09333))+0-0-0</f>
        <v>739.50942999999995</v>
      </c>
      <c r="L149" s="3">
        <f>513+(213.8-33)+(-0.52326+(-0.218076--0.03366))+0-0-0</f>
        <v>693.09232399999996</v>
      </c>
      <c r="M149" s="3">
        <f>512+(215.4-32)+(0.52224+(0.219708-0.03264))+0-0-0</f>
        <v>696.10930799999994</v>
      </c>
      <c r="N149" s="3">
        <f>509+(226.7-30)+(0.25959+(0.115617-0.0153))+0-0-0</f>
        <v>706.05990700000007</v>
      </c>
      <c r="O149" s="3">
        <f>507+(241.3-30)+(0.51714+(0.246126-0.0306))+0-0-0</f>
        <v>719.03266599999995</v>
      </c>
      <c r="P149" s="3">
        <f>525+(165.3-32)+(-0.5355+(-0.168606--0.03264))+80.8-0-0</f>
        <v>738.4285339999999</v>
      </c>
      <c r="Q149" s="3">
        <f>548+(259.3-32)+(0.27948+(0.132243-0.01632))+0-0-0</f>
        <v>775.69540299999994</v>
      </c>
      <c r="R149" s="3">
        <f>551+(322-32)+(-0.56202+(-0.32844--0.03264))+0-0-0</f>
        <v>840.14218000000005</v>
      </c>
      <c r="S149" s="3">
        <f>558+(338.4-31)+(-0.56916+(-0.345168--0.03162))+0-0-0</f>
        <v>864.517292</v>
      </c>
      <c r="T149" s="3">
        <f>560+(358.8-31)+(0.2856+(0.182988-0.01581))+0-0-0</f>
        <v>888.25277799999992</v>
      </c>
      <c r="U149" s="3">
        <f>565+(342-30)+(0+(0-0))+0-0-0</f>
        <v>877</v>
      </c>
      <c r="V149" s="3">
        <f>572+(295.4-29)+(-0.58344+(-0.301308--0.02958))+0-0-0</f>
        <v>837.54483199999993</v>
      </c>
      <c r="W149" s="3">
        <f>586+(212.8-43.1)+(-0.59772+(-0.217056--0.043962))+0-0-0</f>
        <v>754.92918600000007</v>
      </c>
      <c r="X149" s="3">
        <f>593+(185-29.8)+(-0.90729+(-0.28305--0.045594))+0-0-0</f>
        <v>747.05525399999999</v>
      </c>
      <c r="Y149" s="3">
        <f>551+(305.7-28)+(-0.56202+(-0.311814--0.02856))+0-0-0</f>
        <v>827.85472600000003</v>
      </c>
      <c r="Z149" s="3">
        <f>603+(312-29)+(-0.30753+(-0.15912--0.01479))+0-0-0</f>
        <v>885.54813999999999</v>
      </c>
      <c r="AA149" s="3">
        <f>622+(331.2-13)+(-1.5861+(-0.84456--0.03315))+0-0-0</f>
        <v>937.80249000000003</v>
      </c>
      <c r="AB149" s="3">
        <f>621+(345.9-30)+(-0.63342+(-0.352818--0.0306))+0-0-0</f>
        <v>935.94436199999996</v>
      </c>
      <c r="AC149" s="3">
        <f>616+(340.8-30)+(0+(0-0))+0-0-0</f>
        <v>926.8</v>
      </c>
      <c r="AD149">
        <v>905.8</v>
      </c>
      <c r="AE149" s="3">
        <f>620+(317.8-32)+(0+(0-0))+0-0-0</f>
        <v>905.8</v>
      </c>
    </row>
    <row r="150" spans="1:31" s="2" customFormat="1" x14ac:dyDescent="0.3">
      <c r="A150">
        <v>90</v>
      </c>
      <c r="B150">
        <v>5</v>
      </c>
      <c r="C150">
        <v>26</v>
      </c>
      <c r="D150">
        <v>5</v>
      </c>
      <c r="E150">
        <v>1</v>
      </c>
      <c r="F150" s="3">
        <f>604+(299.3-28)+(-1.5402+(-0.763215--0.0714))+0-0-0</f>
        <v>873.06798499999991</v>
      </c>
      <c r="G150" s="3">
        <f>606+(277.2-27)+(-1.23624+(-0.565488--0.05508))+0-0-0</f>
        <v>854.453352</v>
      </c>
      <c r="H150" s="3">
        <f>605+(256.5-30)+(-0.92565+(-0.392445--0.0459))+0-0-0</f>
        <v>830.22780499999999</v>
      </c>
      <c r="I150" s="3">
        <f>604+(244-31)+(-0.30804+(-0.12444--0.01581))+0-0-0</f>
        <v>816.58333000000005</v>
      </c>
      <c r="J150" s="3">
        <f>604+(222.1-38.4)+(0+(0-0))+0-0-0</f>
        <v>787.7</v>
      </c>
      <c r="K150" s="3">
        <f>601+(183.1-46.7)+(-1.83906+(-0.560286--0.142902))+0-0-0</f>
        <v>735.14355599999999</v>
      </c>
      <c r="L150" s="3">
        <f>527+(193-32.4)+(-0.53754+(-0.19686--0.033048))+0-0-0</f>
        <v>686.89864799999998</v>
      </c>
      <c r="M150" s="3">
        <f>524+(184.8-33.2)+(0.80172+(0.282744-0.050796))+0-0-0</f>
        <v>676.63366800000006</v>
      </c>
      <c r="N150" s="3">
        <f>522+(205.7-31)+(0.26622+(0.104907-0.01581))+0-0-0</f>
        <v>697.05531700000006</v>
      </c>
      <c r="O150" s="3">
        <f>553+(194.3-38.3)+(-0.28203+(-0.099093--0.019533))+0-0-0</f>
        <v>708.63841000000002</v>
      </c>
      <c r="P150" s="3">
        <f>586+(199.3-46.1)+(-0.29886+(-0.101643--0.023511))+0-0-0</f>
        <v>738.82300800000007</v>
      </c>
      <c r="Q150" s="3">
        <f>582+(246.1-36.4)+(-0.59364+(-0.251022--0.037128))+0-0-0</f>
        <v>790.89246600000001</v>
      </c>
      <c r="R150" s="3">
        <f>590+(284.6-32)+(0.3009+(0.145146-0.01632))+0-0-0</f>
        <v>843.02972599999998</v>
      </c>
      <c r="S150" s="3">
        <f>603+(307.2-32)+(-0.92259+(-0.470016--0.04896))+0-0-0</f>
        <v>876.85635400000001</v>
      </c>
      <c r="T150" s="3">
        <f>601+(320.8-32)+(0+(0-0))+0-0-0</f>
        <v>889.8</v>
      </c>
      <c r="U150" s="3">
        <f>603+(310.1-32)+(0.61506+(0.316302-0.03264))+0-0-0</f>
        <v>881.99872200000004</v>
      </c>
      <c r="V150" s="3">
        <f>606+(270.8-31.4)+(0+(0-0))+0-0-0</f>
        <v>845.4</v>
      </c>
      <c r="W150" s="3">
        <f>628+(209-46)+(-0.96084+(-0.31977--0.07038))+0-0-0</f>
        <v>789.78976999999998</v>
      </c>
      <c r="X150" s="3">
        <f>617+(164.2-51)+(-1.25868+(-0.334968--0.10404))+0-0-0</f>
        <v>728.71039200000007</v>
      </c>
      <c r="Y150" s="3">
        <f>618+(224.2-31.3)+(0.31518+(0.114342-0.015963))+0-0-0</f>
        <v>811.31355899999994</v>
      </c>
      <c r="Z150" s="3">
        <f>635+(288.5-29)+(0.97155+(0.441405-0.04437))+0-0-0</f>
        <v>895.86858500000005</v>
      </c>
      <c r="AA150" s="3">
        <f>641+(306.2-32)+(-0.98073+(-0.468486--0.04896))+0-0-0</f>
        <v>913.79974400000003</v>
      </c>
      <c r="AB150" s="3">
        <f>632+(330.1-33)+(-0.32232+(-0.168351--0.01683))+0-0-0</f>
        <v>928.62615900000003</v>
      </c>
      <c r="AC150" s="3">
        <f>615+(321.1-33)+(0+(0-0))+0-0-0</f>
        <v>903.1</v>
      </c>
      <c r="AD150">
        <v>915.8</v>
      </c>
      <c r="AE150" s="3">
        <f>641+(304.8-30)+(0+(0-0))+0-0-0</f>
        <v>915.8</v>
      </c>
    </row>
    <row r="151" spans="1:31" s="2" customFormat="1" x14ac:dyDescent="0.3">
      <c r="A151">
        <v>90</v>
      </c>
      <c r="B151">
        <v>5</v>
      </c>
      <c r="C151">
        <v>27</v>
      </c>
      <c r="D151">
        <v>6</v>
      </c>
      <c r="E151">
        <v>1</v>
      </c>
      <c r="F151" s="3">
        <f>597+(302.8-28)+(-0.60894+(-0.308856--0.02856))+0-0-0</f>
        <v>870.91076399999997</v>
      </c>
      <c r="G151" s="3">
        <f>596+(283.1-27)+(0+(0-0))+0-0-0</f>
        <v>852.1</v>
      </c>
      <c r="H151" s="3">
        <f>596+(259-30)+(0.30396+(0.13209-0.0153))+0-0-0</f>
        <v>825.42075</v>
      </c>
      <c r="I151" s="3">
        <f>596+(238.6-37.7)+(-0.30396+(-0.121686--0.019227))+0-0-0</f>
        <v>796.49358099999995</v>
      </c>
      <c r="J151" s="3">
        <f>593+(228-37)+(0.90729+(0.34884-0.05661))+0-0-0</f>
        <v>785.19952000000001</v>
      </c>
      <c r="K151" s="3">
        <f>594+(195.4-44.6)+(-1.81764+(-0.597924--0.136476))+0-0-0</f>
        <v>742.52091199999995</v>
      </c>
      <c r="L151" s="3">
        <f>608+(162.4-53.9)+(-1.5504+(-0.41412--0.137445))+0-0-0</f>
        <v>714.67292499999996</v>
      </c>
      <c r="M151" s="3">
        <f>604+(158.4-53.7)+(0.30804+(0.080784-0.027387))+0-0-0</f>
        <v>709.06143700000007</v>
      </c>
      <c r="N151" s="3">
        <f>590+(187.1-52.3)+(0.3009+(0.095421-0.026673))+0-0-0</f>
        <v>725.16964799999994</v>
      </c>
      <c r="O151" s="3">
        <f>592+(185-52.4)+(0.60384+(0.1887-0.053448))+0-0-0</f>
        <v>725.33909200000005</v>
      </c>
      <c r="P151" s="3">
        <f>594+(209.4-48.2)+(0.60588+(0.213588-0.049164))+0-0-0</f>
        <v>755.97030400000006</v>
      </c>
      <c r="Q151" s="3">
        <f>598+(227.5-40.3)+(0.91494+(0.348075-0.061659))+0-0-0</f>
        <v>786.40135600000008</v>
      </c>
      <c r="R151" s="3">
        <f>601+(258.7-32)+(-0.30651+(-0.131937--0.01632))+0-0-0</f>
        <v>827.277873</v>
      </c>
      <c r="S151" s="3">
        <f>605+(311.1-32)+(-1.2342+(-0.634644--0.06528))+0-0-0</f>
        <v>882.29643599999997</v>
      </c>
      <c r="T151" s="3">
        <f>606+(312.4-31)+(-0.61812+(-0.318648--0.03162))+0-0-0</f>
        <v>886.49485199999992</v>
      </c>
      <c r="U151" s="3">
        <f>610+(304.2-31)+(-0.9333+(-0.465426--0.04743))+0-0-0</f>
        <v>881.848704</v>
      </c>
      <c r="V151" s="3">
        <f>620+(258.8-35.8)+(-0.9486+(-0.395964--0.054774))+0-0-0</f>
        <v>841.71020999999996</v>
      </c>
      <c r="W151" s="3">
        <f>633+(187.7-50.1)+(-1.29132+(-0.382908--0.102204))+0-0-0</f>
        <v>769.02797599999997</v>
      </c>
      <c r="X151" s="3">
        <f>641+(139.5-58.1)+(-0.98073+(-0.213435--0.088893))+0-0-0</f>
        <v>721.29472799999996</v>
      </c>
      <c r="Y151" s="3">
        <f>641+(200.4-39.9)+(-0.32691+(-0.102204--0.020349))+0-0-0</f>
        <v>801.09123499999998</v>
      </c>
      <c r="Z151" s="3">
        <f>645+(282.3-32)+(-0.6579+(-0.287946--0.03264))+0-0-0</f>
        <v>894.38679400000001</v>
      </c>
      <c r="AA151" s="3">
        <f>644+(303.5-34)+(-0.98532+(-0.464355--0.05202))+0-0-0</f>
        <v>912.10234500000001</v>
      </c>
      <c r="AB151" s="3">
        <f>642+(305.6-34)+(-0.32742+(-0.155856--0.01734))+0-0-0</f>
        <v>913.13406399999997</v>
      </c>
      <c r="AC151" s="3">
        <f>621+(324.5-32)+(-0.31671+(-0.165495--0.01632))+0-0-0</f>
        <v>913.03411500000004</v>
      </c>
      <c r="AD151">
        <v>914.6</v>
      </c>
      <c r="AE151" s="3">
        <f>645+(303.6-34)+(0+(0-0))+0-0-0</f>
        <v>914.6</v>
      </c>
    </row>
    <row r="152" spans="1:31" s="2" customFormat="1" x14ac:dyDescent="0.3">
      <c r="A152">
        <v>90</v>
      </c>
      <c r="B152">
        <v>5</v>
      </c>
      <c r="C152">
        <v>28</v>
      </c>
      <c r="D152">
        <v>7</v>
      </c>
      <c r="E152">
        <v>1</v>
      </c>
      <c r="F152" s="3">
        <f>608+(306.7-32)+(-0.62016+(-0.312834--0.03264))+0-0-0</f>
        <v>881.79964600000005</v>
      </c>
      <c r="G152" s="3">
        <f>592+(277.9-31)+(-0.60384+(-0.283458--0.03162))+0-0-0</f>
        <v>838.04432199999997</v>
      </c>
      <c r="H152" s="3">
        <f>591+(265.8-30)+(-1.20564+(-0.542232--0.0612))+0-0-0</f>
        <v>825.11332799999991</v>
      </c>
      <c r="I152" s="3">
        <f>590+(252.8-30)+(-0.3009+(-0.128928--0.0153))+0-0-0</f>
        <v>812.38547199999994</v>
      </c>
      <c r="J152" s="3">
        <f>545+(266-30)+(-0.83385+(-0.40698--0.0459))+0-0-0</f>
        <v>779.80507</v>
      </c>
      <c r="K152" s="3">
        <f>562+(210.6-29)+(-0.57324+(-0.214812--0.02958))+0-0-0</f>
        <v>742.84152800000004</v>
      </c>
      <c r="L152" s="3">
        <f>561+(175.4-36.7)+(-2.28888+(-0.715632--0.149736))+0-0-0</f>
        <v>696.84522400000003</v>
      </c>
      <c r="M152" s="3">
        <f>559+(152.3-40.9)+(0+(0-0))+0-0-0</f>
        <v>670.4</v>
      </c>
      <c r="N152" s="3">
        <f>559+(148.7-41.3)+(0.57018+(0.151674-0.042126))+0-0-0</f>
        <v>667.07972799999993</v>
      </c>
      <c r="O152" s="3">
        <f>557+(158.1-39.3)+(-0.56814+(-0.161262--0.040086))+0-0-0</f>
        <v>675.11068399999999</v>
      </c>
      <c r="P152" s="3">
        <f>557+(169-34.8)+(0+(0-0))+0-0-0</f>
        <v>691.2</v>
      </c>
      <c r="Q152" s="3">
        <f>555+(215.5-26)+(0.28305+(0.109905-0.01326))+0-0-0</f>
        <v>744.87969499999997</v>
      </c>
      <c r="R152" s="3">
        <f>558+(268.9-32)+(1.13832+(0.548556-0.06528))+0-0-0</f>
        <v>796.52159599999993</v>
      </c>
      <c r="S152" s="3">
        <f>560+(302.7-31)+(0+(0-0))+0-0-0</f>
        <v>831.7</v>
      </c>
      <c r="T152" s="3">
        <f>584+(290.4-31)+(-0.29784+(-0.148104--0.01581))+0-0-0</f>
        <v>842.96986600000002</v>
      </c>
      <c r="U152" s="3">
        <f>585+(286.2-30)+(-0.29835+(-0.145962--0.0153))+0-0-0</f>
        <v>840.7709880000001</v>
      </c>
      <c r="V152" s="3">
        <f>588+(257.8-34)+(-1.19952+(-0.525912--0.06936))+0-0-0</f>
        <v>810.14392799999996</v>
      </c>
      <c r="W152" s="3">
        <f>599+(198.4-46.1)+(-0.61098+(-0.202368--0.047022))+0-0-0</f>
        <v>750.53367399999991</v>
      </c>
      <c r="X152" s="3">
        <f>604+(152.7-51.9)+(-0.92412+(-0.233631--0.079407))+0-0-0</f>
        <v>703.72165599999994</v>
      </c>
      <c r="Y152" s="3">
        <f>605+(221-32.9)+(0.30855+(0.11271-0.016779))+0-0-0</f>
        <v>793.50448100000006</v>
      </c>
      <c r="Z152" s="3">
        <f>607+(306.9-31)+(-0.61914+(-0.313038--0.03162))+0-0-0</f>
        <v>881.99944199999993</v>
      </c>
      <c r="AA152" s="3">
        <f>608+(323.8-31)+(-1.24032+(-0.660552--0.06324))+0-0-0</f>
        <v>898.96236799999997</v>
      </c>
      <c r="AB152" s="3">
        <f>608+(332.2-28)+(0+(0-0))+0-0-0</f>
        <v>912.2</v>
      </c>
      <c r="AC152" s="3">
        <f>604+(306.2-30)+(0.30804+(0.156162-0.0153))+0-0-0</f>
        <v>880.64890200000002</v>
      </c>
      <c r="AD152">
        <v>895.9</v>
      </c>
      <c r="AE152" s="3">
        <f>607+(321.9-33)+(0+(0-0))+0-0-0</f>
        <v>895.9</v>
      </c>
    </row>
    <row r="153" spans="1:31" s="2" customFormat="1" x14ac:dyDescent="0.3">
      <c r="A153">
        <v>90</v>
      </c>
      <c r="B153">
        <v>5</v>
      </c>
      <c r="C153">
        <v>29</v>
      </c>
      <c r="D153">
        <v>1</v>
      </c>
      <c r="E153">
        <v>6</v>
      </c>
      <c r="F153" s="3">
        <f>594+(289.6-30)+(0.90882+(0.443088-0.0459))+0-0-0</f>
        <v>854.90600800000004</v>
      </c>
      <c r="G153" s="3">
        <f>595+(253.9-29)+(-0.91035+(-0.388467--0.04437))+0-0-0</f>
        <v>818.64555299999995</v>
      </c>
      <c r="H153" s="3">
        <f>593+(232.6-29.6)+(-0.30243+(-0.118626--0.015096))+0-0-0</f>
        <v>795.59403999999995</v>
      </c>
      <c r="I153" s="3">
        <f>593+(227.5-32.6)+(1.20972+(0.4641-0.066504))+0-0-0</f>
        <v>789.50731599999995</v>
      </c>
      <c r="J153" s="3">
        <f>590+(210-39.3)+(0+(0-0))+0-0-0</f>
        <v>760.7</v>
      </c>
      <c r="K153" s="3">
        <f>590+(172.7-46.8)+(-1.2036+(-0.352308--0.095472))+0-0-0</f>
        <v>714.43956400000002</v>
      </c>
      <c r="L153" s="3">
        <f>590+(141.8-52.5)+(-1.2036+(-0.289272--0.1071))+0-0-0</f>
        <v>677.91422799999998</v>
      </c>
      <c r="M153" s="3">
        <f>589+(134.1-58.4)+(-0.30039+(-0.068391--0.029784))+0-0-0</f>
        <v>664.3610030000001</v>
      </c>
      <c r="N153" s="3">
        <f>588+(149.6-57.7)+(-0.59976+(-0.152592--0.058854))+0-0-0</f>
        <v>679.206502</v>
      </c>
      <c r="O153" s="3">
        <f>579+(189.5-52.9)+(0.29529+(0.096645-0.026979))+0-0-0</f>
        <v>715.96495600000003</v>
      </c>
      <c r="P153" s="3">
        <f>578+(200.9-48)+(0.58956+(0.204918-0.04896))+0-0-0</f>
        <v>731.64551799999992</v>
      </c>
      <c r="Q153" s="3">
        <f>606+(213.3-42.4)+(-0.30906+(-0.108783--0.021624))+0-0-0</f>
        <v>776.503781</v>
      </c>
      <c r="R153" s="3">
        <f>607+(250.3-33)+(0+(0-0))+0-0-0</f>
        <v>824.3</v>
      </c>
      <c r="S153" s="3">
        <f>609+(287-33)+(-0.93177+(-0.43911--0.05049))+0-0-0</f>
        <v>861.67961000000003</v>
      </c>
      <c r="T153" s="3">
        <f>608+(273.2-32)+(0.31008+(0.139332-0.01632))+4.3-0-0</f>
        <v>853.93309199999999</v>
      </c>
      <c r="U153" s="3">
        <f>608+(280.4-31)+(0.62016+(0.286008-0.03162))+0-0-0</f>
        <v>858.27454799999998</v>
      </c>
      <c r="V153" s="3">
        <f>594+(256.3-36.7)+(-1.21176+(-0.522852--0.074868))+0-0-0</f>
        <v>811.94025599999998</v>
      </c>
      <c r="W153" s="3">
        <f>598+(196.3-50.7)+(-0.60996+(-0.200226--0.051714))+0-0-0</f>
        <v>742.84152800000004</v>
      </c>
      <c r="X153" s="3">
        <f>606+(151.8-54)+(-2.16342+(-0.541926--0.19278))+0-0-0</f>
        <v>701.28743399999996</v>
      </c>
      <c r="Y153" s="3">
        <f>608+(224.5-34.6)+(-0.31008+(-0.114495--0.017646))+0-0-0</f>
        <v>797.49307099999999</v>
      </c>
      <c r="Z153" s="3">
        <f>608+(295.8-28)+(0+(0-0))+0-0-0</f>
        <v>875.8</v>
      </c>
      <c r="AA153" s="3">
        <f>608+(318.1-31)+(-1.24032+(-0.648924--0.06324))+0-0-0</f>
        <v>893.27399600000001</v>
      </c>
      <c r="AB153" s="3">
        <f>608+(327.8-31)+(0+(0-0))+0-0-0</f>
        <v>904.8</v>
      </c>
      <c r="AC153" s="3">
        <f>604+(314.9-30)+(-0.92412+(-0.481797--0.0459))+0-0-0</f>
        <v>887.53998300000001</v>
      </c>
      <c r="AD153">
        <v>889.7</v>
      </c>
      <c r="AE153" s="3">
        <f>607+(313.7-31)+(0+(0-0))+0-0-0</f>
        <v>889.7</v>
      </c>
    </row>
    <row r="154" spans="1:31" s="2" customFormat="1" x14ac:dyDescent="0.3">
      <c r="A154">
        <v>90</v>
      </c>
      <c r="B154">
        <v>5</v>
      </c>
      <c r="C154">
        <v>30</v>
      </c>
      <c r="D154">
        <v>2</v>
      </c>
      <c r="E154">
        <v>5</v>
      </c>
      <c r="F154" s="3">
        <f>592+(293.1-30)+(0.90576+(0.448443-0.0459))+0-0-0</f>
        <v>856.40830300000005</v>
      </c>
      <c r="G154" s="3">
        <f>592+(262.6-33)+(0.30192+(0.133926-0.01683))+0-0-0</f>
        <v>822.01901600000008</v>
      </c>
      <c r="H154" s="3">
        <f>593+(249.5-31)+(-0.90729+(-0.381735--0.04743))+0-0-0</f>
        <v>810.25840500000004</v>
      </c>
      <c r="I154" s="3">
        <f>593+(242.5-36.2)+(0.30243+(0.123675-0.018462))+0-0-0</f>
        <v>799.70764299999996</v>
      </c>
      <c r="J154" s="3">
        <f>593+(220.9-41.8)+(0+(0-0))+0-0-0</f>
        <v>772.1</v>
      </c>
      <c r="K154" s="3">
        <f>591+(189.3-48.3)+(-1.20564+(-0.386172--0.098532))+0-0-0</f>
        <v>730.50671999999997</v>
      </c>
      <c r="L154" s="3">
        <f>576+(159.2-51.8)+(-1.76256+(-0.487152--0.158508))+0-0-0</f>
        <v>681.30879600000003</v>
      </c>
      <c r="M154" s="3">
        <f>574+(163.8-50.1)+(0.29274+(0.083538-0.025551))+0-0-0</f>
        <v>688.05072700000005</v>
      </c>
      <c r="N154" s="3">
        <f>559+(189.9-46.9)+(0.28509+(0.096849-0.023919))+0-0-0</f>
        <v>702.35802000000001</v>
      </c>
      <c r="O154" s="3">
        <f>551+(209.5-43.5)+(0.28101+(0.106845-0.022185))+0-0-0</f>
        <v>717.36567000000002</v>
      </c>
      <c r="P154" s="3">
        <f>558+(229.3-37.8)+(1.13832+(0.467772-0.077112))+0-0-0</f>
        <v>751.02898000000005</v>
      </c>
      <c r="Q154" s="3">
        <f>565+(259.1-31)+(0.28815+(0.132141-0.01581))+0-0-0</f>
        <v>793.50448100000006</v>
      </c>
      <c r="R154" s="3">
        <f>557+(305.5-30)+(0.56814+(0.31161-0.0306))+0-0-0</f>
        <v>833.34915000000001</v>
      </c>
      <c r="S154" s="3">
        <f>562+(337.1-29)+(-0.57324+(-0.343842--0.02958))+0-0-0</f>
        <v>869.21249799999998</v>
      </c>
      <c r="T154" s="3">
        <f>574+(341.3-28)+(-0.58548+(-0.348126--0.02856))+0-0-0</f>
        <v>886.39495399999998</v>
      </c>
      <c r="U154" s="3">
        <f>580+(310.8-27)+(-1.1832+(-0.634032--0.05508))+0-0-0</f>
        <v>862.03784799999994</v>
      </c>
      <c r="V154" s="3">
        <f>580+(257.4-22.5)+(-1.1832+(-0.525096--0.0459))+0-0-0</f>
        <v>813.23760400000003</v>
      </c>
      <c r="W154" s="3">
        <f>606+(202.9-47.2)+(-2.16342+(-0.724353--0.168504))+0-0-0</f>
        <v>758.98073099999999</v>
      </c>
      <c r="X154" s="3">
        <f>608+(144.7-54.2)+(-1.86048+(-0.442782--0.165852))+0-0-0</f>
        <v>696.36258999999995</v>
      </c>
      <c r="Y154" s="3">
        <f>608+(203.4-33.1)+(0.31008+(0.103734-0.016881))+0-0-0</f>
        <v>778.69693299999994</v>
      </c>
      <c r="Z154" s="3">
        <f>608+(271.8-25)+(-0.31008+(-0.138618--0.01275))+0-0-0</f>
        <v>854.3640519999999</v>
      </c>
      <c r="AA154" s="3">
        <f>610+(307.1-30)+(-2.1777+(-1.096347--0.1071))+0-0-0</f>
        <v>883.93305299999997</v>
      </c>
      <c r="AB154" s="3">
        <f>610+(326.6-31)+(-1.5555+(-0.83283--0.07905))+0-0-0</f>
        <v>903.29072000000008</v>
      </c>
      <c r="AC154" s="3">
        <f>605+(320.3-31)+(0.30855+(0.163353-0.01581))+0-0-0</f>
        <v>894.75609299999996</v>
      </c>
      <c r="AD154">
        <v>881</v>
      </c>
      <c r="AE154" s="3">
        <f>607+(297-23)+(0+(0-0))+0-0-0</f>
        <v>881</v>
      </c>
    </row>
    <row r="155" spans="1:31" s="2" customFormat="1" x14ac:dyDescent="0.3">
      <c r="A155">
        <v>90</v>
      </c>
      <c r="B155">
        <v>5</v>
      </c>
      <c r="C155">
        <v>31</v>
      </c>
      <c r="D155">
        <v>3</v>
      </c>
      <c r="E155">
        <v>1</v>
      </c>
      <c r="F155" s="3">
        <f>590+(270.7-25)+(-0.3009+(-0.138057--0.01275))+0-0-0</f>
        <v>835.27379300000007</v>
      </c>
      <c r="G155" s="3">
        <f>571+(245.3-0)+(-0.87363+(-0.375309-0))+0-0-0</f>
        <v>815.051061</v>
      </c>
      <c r="H155" s="3">
        <f>516+(274.7-0)+(-0.52632+(-0.280194-0))+0-0-0</f>
        <v>789.89348600000005</v>
      </c>
      <c r="I155" s="3">
        <f>517+(277.4-0)+(0.79101+(0.424422-0))+0-0-0</f>
        <v>795.61543199999994</v>
      </c>
      <c r="J155" s="3">
        <f>517+(256.3-0)+(0.26367+(0.130713-0))+0-0-0</f>
        <v>773.6943829999999</v>
      </c>
      <c r="K155" s="3">
        <f>516+(216-0)+(-0.78948+(-0.33048-0))+0-0-0</f>
        <v>730.88004000000001</v>
      </c>
      <c r="L155" s="3">
        <f>528+(183.2-3)+(-2.15424+(-0.747456--0.01224))+0-0-0</f>
        <v>705.31054400000005</v>
      </c>
      <c r="M155" s="3">
        <f>523+(156.7-8.5)+(0+(0-0))+0-0-0</f>
        <v>671.2</v>
      </c>
      <c r="N155" s="3">
        <f>506+(163.8-10.1)+(1.03224+(0.334152-0.020604))+0-0-0</f>
        <v>661.04578800000002</v>
      </c>
      <c r="O155" s="3">
        <f>505+(172.3-11.7)+(1.0302+(0.351492-0.023868))+0-0-0</f>
        <v>666.95782400000007</v>
      </c>
      <c r="P155" s="3">
        <f>505+(176.1-11.6)+(0+(0-0))+0-0-0</f>
        <v>669.5</v>
      </c>
      <c r="Q155" s="3">
        <f>512+(192.8-7.3)+(0.26112+(0.098328-0.003723))+0-0-0</f>
        <v>697.85572500000001</v>
      </c>
      <c r="R155" s="3">
        <f>523+(214.2-6.3)+(0+(0-0))+0-0-0</f>
        <v>730.9</v>
      </c>
      <c r="S155" s="3">
        <f>545+(229.6-9)+(-0.83385+(-0.351288--0.01377))+0-0-0</f>
        <v>764.42863199999999</v>
      </c>
      <c r="T155" s="3">
        <f>545+(271.4-18)+(0.27795+(0.138414-0.00918))+0-0-0</f>
        <v>798.80718400000001</v>
      </c>
      <c r="U155" s="3">
        <f>559+(260.3-32.1)+(-0.57018+(-0.265506--0.032742))+0-0-0</f>
        <v>786.39705600000002</v>
      </c>
      <c r="V155" s="3">
        <f>576+(234.4-36.4)+(0.29376+(0.119544-0.018564))+0-0-0</f>
        <v>774.39473999999996</v>
      </c>
      <c r="W155" s="3">
        <f>579+(181.3-44.5)+(-1.18116+(-0.369852--0.09078))+0-0-0</f>
        <v>714.33976799999994</v>
      </c>
      <c r="X155" s="3">
        <f>544+(175.5-30.8)+(-0.27744+(-0.089505--0.015708))+0-0-0</f>
        <v>688.34876300000008</v>
      </c>
      <c r="Y155" s="3">
        <f>560+(238.4-29)+(-0.2856+(-0.121584--0.01479))+0-0-0</f>
        <v>769.00760600000001</v>
      </c>
      <c r="Z155" s="3">
        <f>623+(260.1-30)+(-1.27092+(-0.530604--0.0612))+0-0-0</f>
        <v>851.35967600000004</v>
      </c>
      <c r="AA155" s="3">
        <f>623+(285.4-30)+(-0.63546+(-0.291108--0.0306))+0-0-0</f>
        <v>877.50403199999994</v>
      </c>
      <c r="AB155" s="3">
        <f>624+(272.4-9)+(0+(0-0))+0-0-0</f>
        <v>887.4</v>
      </c>
      <c r="AC155" s="3">
        <f>620+(243.9-2.3)+(-1.2648+(-0.497556--0.004692))+0-0-0</f>
        <v>859.84233600000005</v>
      </c>
      <c r="AD155">
        <v>881.4</v>
      </c>
      <c r="AE155" s="3">
        <f>621+(292.4-32)+(0+(0-0))+0-0-0</f>
        <v>881.4</v>
      </c>
    </row>
    <row r="156" spans="1:31" s="2" customFormat="1" x14ac:dyDescent="0.3">
      <c r="A156">
        <v>90</v>
      </c>
      <c r="B156">
        <v>6</v>
      </c>
      <c r="C156">
        <v>1</v>
      </c>
      <c r="D156">
        <v>4</v>
      </c>
      <c r="E156">
        <v>1</v>
      </c>
      <c r="F156" s="3">
        <f>589+(255.2-3.4)+(-1.20156+(-0.520608--0.006936))+0-0-0</f>
        <v>839.08476799999994</v>
      </c>
      <c r="G156" s="3">
        <f>587+(238.6-6.3)+(-1.19748+(-0.486744--0.012852))+0-0-0</f>
        <v>817.62862799999994</v>
      </c>
      <c r="H156" s="3">
        <f>587+(222.5-10.3)+(-0.29937+(-0.113475--0.005253))+0-0-0</f>
        <v>798.79240800000002</v>
      </c>
      <c r="I156" s="3">
        <f>587+(221.6-10.8)+(0.59874+(0.226032-0.011016))+0-0-0</f>
        <v>798.61375599999997</v>
      </c>
      <c r="J156" s="3">
        <f>584+(200.4-17.5)+(0.59568+(0.204408-0.01785))+0-0-0</f>
        <v>767.68223799999998</v>
      </c>
      <c r="K156" s="3">
        <f>545+(193.3-11.5)+(-0.83385+(-0.295749--0.017595))+0-0-0</f>
        <v>725.687996</v>
      </c>
      <c r="L156" s="3">
        <f>511+(174.3-5.8)+(0+(0-0))+0-0-0</f>
        <v>679.5</v>
      </c>
      <c r="M156" s="3">
        <f>510+(169.2-7.8)+(0+(0-0))+0-0-0</f>
        <v>671.4</v>
      </c>
      <c r="N156" s="3">
        <f>510+(176.4-8)+(0.7803+(0.269892-0.01224))+0-0-0</f>
        <v>679.437952</v>
      </c>
      <c r="O156" s="3">
        <f>574+(152.9-30.5)+(0.58548+(0.155958-0.03111))+0-0-0</f>
        <v>697.11032799999998</v>
      </c>
      <c r="P156" s="3">
        <f>578+(173.7-25.8)+(1.17912+(0.354348-0.052632))+0-0-0</f>
        <v>727.38083599999993</v>
      </c>
      <c r="Q156" s="3">
        <f>578+(217.5-15.8)+(0.58956+(0.22185-0.016116))+0-0-0</f>
        <v>780.49529400000006</v>
      </c>
      <c r="R156" s="3">
        <f>588+(248.1-7.3)+(0.89964+(0.379593-0.011169))+0-0-0</f>
        <v>830.06806399999994</v>
      </c>
      <c r="S156" s="3">
        <f>602+(295.1-13)+(0+(0-0))+0-0-0</f>
        <v>884.1</v>
      </c>
      <c r="T156" s="3">
        <f>614+(297.2-28)+(0+(0-0))+0-0-0</f>
        <v>883.2</v>
      </c>
      <c r="U156" s="3">
        <f>621+(290.2-34)+(-1.90026+(-0.888012--0.10404))+0-0-0</f>
        <v>874.51576800000009</v>
      </c>
      <c r="V156" s="3">
        <f>609+(265.3-35.7)+(-0.93177+(-0.405909--0.054621))+0-0-0</f>
        <v>837.31694200000004</v>
      </c>
      <c r="W156" s="3">
        <f>608+(196.8-44.9)+(-0.62016+(-0.200736--0.045798))+0-0-0</f>
        <v>759.12490200000002</v>
      </c>
      <c r="X156" s="3">
        <f>563+(199.8-33.3)+(-0.86139+(-0.305694--0.050949))+0-0-0</f>
        <v>728.38386500000001</v>
      </c>
      <c r="Y156" s="3">
        <f>577+(257-28)+(0.58854+(0.26214-0.02856))+0-0-0</f>
        <v>806.82212000000004</v>
      </c>
      <c r="Z156" s="3">
        <f>644+(276.4-31)+(-0.65688+(-0.281928--0.03162))+0-0-0</f>
        <v>888.49281199999996</v>
      </c>
      <c r="AA156" s="3">
        <f>655+(296.6-33)+(-1.00215+(-0.453798--0.05049))+0-0-0</f>
        <v>917.19454200000007</v>
      </c>
      <c r="AB156" s="3">
        <f>655+(310.1-33)+(-1.00215+(-0.474453--0.05049))+0-0-0</f>
        <v>930.67388700000004</v>
      </c>
      <c r="AC156" s="3">
        <f>637+(300-31)+(-0.64974+(-0.306--0.03162))+0-0-0</f>
        <v>905.07587999999998</v>
      </c>
      <c r="AD156">
        <v>906.2</v>
      </c>
      <c r="AE156" s="3">
        <f>656+(277.2-27)+(0+(0-0))+0-0-0</f>
        <v>906.2</v>
      </c>
    </row>
    <row r="157" spans="1:31" s="2" customFormat="1" x14ac:dyDescent="0.3">
      <c r="A157">
        <v>90</v>
      </c>
      <c r="B157">
        <v>6</v>
      </c>
      <c r="C157">
        <v>2</v>
      </c>
      <c r="D157">
        <v>5</v>
      </c>
      <c r="E157">
        <v>1</v>
      </c>
      <c r="F157" s="3">
        <f>609+(298.3-31)+(-0.31059+(-0.152133--0.01581))+0-0-0</f>
        <v>875.85308699999996</v>
      </c>
      <c r="G157" s="3">
        <f>609+(266.2-31)+(-0.93177+(-0.407286--0.04743))+0-0-0</f>
        <v>842.90837400000009</v>
      </c>
      <c r="H157" s="3">
        <f>609+(254.6-34.7)+(-0.62118+(-0.259692--0.035394))+0-0-0</f>
        <v>828.05452200000002</v>
      </c>
      <c r="I157" s="3">
        <f>608+(246.4-37.6)+(-1.5504+(-0.62832--0.09588))+0-0-0</f>
        <v>814.71715999999992</v>
      </c>
      <c r="J157" s="3">
        <f>578+(245.8-35.4)+(0.29478+(0.125358-0.018054))+0-0-0</f>
        <v>788.80208399999992</v>
      </c>
      <c r="K157" s="3">
        <f>573+(220.1-41.8)+(-1.46115+(-0.561255--0.10659))+0-0-0</f>
        <v>749.384185</v>
      </c>
      <c r="L157" s="3">
        <f>537+(211.2-39.1)+(-0.82161+(-0.323136--0.059823))+0-0-0</f>
        <v>708.01507700000002</v>
      </c>
      <c r="M157" s="3">
        <f>535+(200-41.2)+(-0.5457+(-0.204--0.042024))+0-0-0</f>
        <v>693.09232399999996</v>
      </c>
      <c r="N157" s="3">
        <f>542+(198.8-41.7)+(0.55284+(0.202776-0.042534))+0-0-0</f>
        <v>699.81308200000001</v>
      </c>
      <c r="O157" s="3">
        <f>578+(197.3-52.3)+(0.58956+(0.201246-0.053346))+0-0-0</f>
        <v>723.73746000000006</v>
      </c>
      <c r="P157" s="3">
        <f>578+(227.5-39.7)+(0.29478+(0.116025-0.020247))+0-0-0</f>
        <v>766.19055800000001</v>
      </c>
      <c r="Q157" s="3">
        <f>587+(245.8-32.1)+(-0.59874+(-0.250716--0.032742))+0-0-0</f>
        <v>799.883286</v>
      </c>
      <c r="R157" s="3">
        <f>607+(275.3-31)+(-0.30957+(-0.140403--0.01581))+0-0-0</f>
        <v>850.86583699999994</v>
      </c>
      <c r="S157" s="3">
        <f>620+(306.3-32)+(-1.581+(-0.781065--0.0816))+0-0-0</f>
        <v>892.01953499999991</v>
      </c>
      <c r="T157" s="3">
        <f>621+(294.2-33)+(-1.58355+(-0.75021--0.08415))+0-0-0</f>
        <v>879.95039000000008</v>
      </c>
      <c r="U157" s="3">
        <f>624+(279.6-28.2)+(-0.95472+(-0.427788--0.043146))+0-0-0</f>
        <v>874.06063800000004</v>
      </c>
      <c r="V157" s="3">
        <f>621+(257.3-38.2)+(-0.95013+(-0.393669--0.058446))+0-0-0</f>
        <v>838.81464700000004</v>
      </c>
      <c r="W157" s="3">
        <f>626+(205.9-48)+(-0.63852+(-0.210018--0.04896))+0-0-0</f>
        <v>783.10042199999998</v>
      </c>
      <c r="X157" s="3">
        <f>612+(180-50)+(-1.5606+(-0.459--0.1275))+0-0-0</f>
        <v>740.10789999999997</v>
      </c>
      <c r="Y157" s="3">
        <f>582+(289.7-29)+(-0.29682+(-0.147747--0.01479))+0-0-0</f>
        <v>842.2702230000001</v>
      </c>
      <c r="Z157" s="3">
        <f>610+(330.3-31)+(0+(0-0))+0-0-0</f>
        <v>909.3</v>
      </c>
      <c r="AA157" s="3">
        <f>657+(314.9-32)+(-1.34028+(-0.642396--0.06528))+0-0-0</f>
        <v>937.98260399999992</v>
      </c>
      <c r="AB157" s="3">
        <f>655+(323.7-32)+(0.33405+(0.165087-0.01632))+0-0-0</f>
        <v>947.182817</v>
      </c>
      <c r="AC157" s="3">
        <f>622+(337.7-31)+(-1.26888+(-0.688908--0.06324))+0-0-0</f>
        <v>926.80545200000006</v>
      </c>
      <c r="AD157">
        <v>959.7</v>
      </c>
      <c r="AE157" s="3">
        <f>659+(332.7-32)+(0+(0-0))+0-0-0</f>
        <v>959.7</v>
      </c>
    </row>
    <row r="158" spans="1:31" s="2" customFormat="1" x14ac:dyDescent="0.3">
      <c r="A158">
        <v>90</v>
      </c>
      <c r="B158">
        <v>6</v>
      </c>
      <c r="C158">
        <v>3</v>
      </c>
      <c r="D158">
        <v>6</v>
      </c>
      <c r="E158">
        <v>1</v>
      </c>
      <c r="F158" s="3">
        <f>580+(344.5-31)+(-0.2958+(-0.175695--0.01581))+0-0-0</f>
        <v>893.04431499999998</v>
      </c>
      <c r="G158" s="3">
        <f>580+(318.8-31)+(0+(0-0))+0-0-0</f>
        <v>867.8</v>
      </c>
      <c r="H158" s="3">
        <f>580+(297.1-30)+(0+(0-0))+0-0-0</f>
        <v>847.1</v>
      </c>
      <c r="I158" s="3">
        <f>579+(289.9-29)+(0.88587+(0.443547-0.04437))+0-0-0</f>
        <v>841.18504699999994</v>
      </c>
      <c r="J158" s="3">
        <f>576+(261.6-30)+(-0.29376+(-0.133416--0.0153))+0-0-0</f>
        <v>807.18812400000002</v>
      </c>
      <c r="K158" s="3">
        <f>546+(246-31)+(-1.3923+(-0.6273--0.07905))+0-0-0</f>
        <v>759.05944999999997</v>
      </c>
      <c r="L158" s="3">
        <f>521+(238.4-30)+(-1.06284+(-0.486336--0.0612))+0-0-0</f>
        <v>727.91202399999997</v>
      </c>
      <c r="M158" s="3">
        <f>521+(219.8-30)+(0.53142+(0.224196-0.0306))+0-0-0</f>
        <v>711.52501599999994</v>
      </c>
      <c r="N158" s="3">
        <f>523+(237.5-30)+(0+(0-0))+0-0-0</f>
        <v>730.5</v>
      </c>
      <c r="O158" s="3">
        <f>525+(245.4-33)+(0.26775+(0.125154-0.01683))+0-0-0</f>
        <v>737.77607399999999</v>
      </c>
      <c r="P158" s="3">
        <f>558+(236-39.5)+(1.13832+(0.48144-0.08058))+0-0-0</f>
        <v>756.03917999999999</v>
      </c>
      <c r="Q158" s="3">
        <f>584+(240.7-43.5)+(-1.4892+(-0.613785--0.110925))+0-0-0</f>
        <v>779.20794000000001</v>
      </c>
      <c r="R158" s="3">
        <f>567+(271-31.1)+(0.57834+(0.27642-0.031722))+0-0-0</f>
        <v>807.72303799999997</v>
      </c>
      <c r="S158" s="3">
        <f>567+(311.9-31)+(-0.86751+(-0.477207--0.04743))+0-0-0</f>
        <v>846.60271299999999</v>
      </c>
      <c r="T158" s="3">
        <f>566+(315-32)+(0.28866+(0.16065-0.01632))+0-0-0</f>
        <v>849.43299000000002</v>
      </c>
      <c r="U158" s="3">
        <f>573+(302.3-33.7)+(0+(0-0))+0-0-0</f>
        <v>841.6</v>
      </c>
      <c r="V158" s="3">
        <f>594+(261.5-47.3)+(-1.5147+(-0.666825--0.120615))+0-0-0</f>
        <v>806.13909000000001</v>
      </c>
      <c r="W158" s="3">
        <f>572+(223.4-40.5)+(-0.87516+(-0.341802--0.061965))+0-0-0</f>
        <v>753.745003</v>
      </c>
      <c r="X158" s="3">
        <f>547+(206.2-33.4)+(-0.83691+(-0.315486--0.051102))+0-0-0</f>
        <v>718.6987059999999</v>
      </c>
      <c r="Y158" s="3">
        <f>549+(298.5-31)+(0.55998+(0.30447-0.03162))+0-0-0</f>
        <v>817.33282999999994</v>
      </c>
      <c r="Z158" s="3">
        <f>621+(297.8-32)+(-2.21697+(-1.063146--0.11424))+0-0-0</f>
        <v>883.63412399999993</v>
      </c>
      <c r="AA158" s="3">
        <f>622+(320.7-31)+(-0.95166+(-0.490671--0.04743))+0-0-0</f>
        <v>910.30509900000004</v>
      </c>
      <c r="AB158" s="3">
        <f>622+(332.2-25)+(0.31722+(0.169422-0.01275))+0-0-0</f>
        <v>929.67389200000002</v>
      </c>
      <c r="AC158" s="3">
        <f>620+(325.6-30)+(-1.581+(-0.83028--0.0765))+0-0-0</f>
        <v>913.26522</v>
      </c>
      <c r="AD158">
        <v>909.5</v>
      </c>
      <c r="AE158" s="3">
        <f>622+(320.5-33)+(0+(0-0))+0-0-0</f>
        <v>909.5</v>
      </c>
    </row>
    <row r="159" spans="1:31" s="2" customFormat="1" x14ac:dyDescent="0.3">
      <c r="A159">
        <v>90</v>
      </c>
      <c r="B159">
        <v>6</v>
      </c>
      <c r="C159">
        <v>4</v>
      </c>
      <c r="D159">
        <v>7</v>
      </c>
      <c r="E159">
        <v>1</v>
      </c>
      <c r="F159" s="3">
        <f>604+(303.6-30)+(-1.5402+(-0.77418--0.0765))+0-0-0</f>
        <v>875.36212</v>
      </c>
      <c r="G159" s="3">
        <f>604+(274.6-29)+(-1.5402+(-0.70023--0.07395))+0-0-0</f>
        <v>847.43352000000004</v>
      </c>
      <c r="H159" s="3">
        <f>603+(256.8-32.7)+(0.61506+(0.261936-0.033354))+0-0-0</f>
        <v>827.94364200000007</v>
      </c>
      <c r="I159" s="3">
        <f>604+(247.4-35.7)+(-0.92412+(-0.378522--0.054621))+0-0-0</f>
        <v>814.45197900000005</v>
      </c>
      <c r="J159" s="3">
        <f>600+(231.7-43.2)+(0+(0-0))+0-0-0</f>
        <v>788.5</v>
      </c>
      <c r="K159" s="3">
        <f>564+(223.6-39.7)+(-1.4382+(-0.57018--0.101235))+0-0-0</f>
        <v>745.99285499999996</v>
      </c>
      <c r="L159" s="3">
        <f>526+(205.9-34.7)+(-1.87782+(-0.735063--0.123879))+0-0-0</f>
        <v>694.71099600000002</v>
      </c>
      <c r="M159" s="3">
        <f>524+(190.8-38.1)+(0.26724+(0.097308-0.019431))+0-0-0</f>
        <v>677.045117</v>
      </c>
      <c r="N159" s="3">
        <f>523+(185-39)+(0.26673+(0.09435-0.01989))+0-0-0</f>
        <v>669.34118999999998</v>
      </c>
      <c r="O159" s="3">
        <f>509+(207.4-35.4)+(-0.51918+(-0.211548--0.036108))+0-0-0</f>
        <v>680.30538000000001</v>
      </c>
      <c r="P159" s="3">
        <f>507+(225.1-31)+(0.51714+(0.229602-0.03162))+0-0-0</f>
        <v>701.81512199999997</v>
      </c>
      <c r="Q159" s="3">
        <f>533+(234.3-30)+(1.08732+(0.477972-0.0612))+0-0-0</f>
        <v>738.80409199999997</v>
      </c>
      <c r="R159" s="3">
        <f>577+(248.2-31)+(-0.88281+(-0.379746--0.04743))+0-0-0</f>
        <v>792.98487399999999</v>
      </c>
      <c r="S159" s="3">
        <f>571+(279.1-31)+(-0.58242+(-0.284682--0.03162))+0-0-0</f>
        <v>818.26451800000007</v>
      </c>
      <c r="T159" s="3">
        <f>572+(290.2-32)+(0.29172+(0.148002-0.01632))+0-0-0</f>
        <v>830.62340200000006</v>
      </c>
      <c r="U159" s="3">
        <f>571+(293.7-32)+(0+(0-0))+0-0-0</f>
        <v>832.7</v>
      </c>
      <c r="V159" s="3">
        <f>575+(266.9-36.3)+(0+(0-0))+0-0-0</f>
        <v>805.59999999999991</v>
      </c>
      <c r="W159" s="3">
        <f>582+(219.7-44.4)+(0+(0-0))+0-0-0</f>
        <v>757.3</v>
      </c>
      <c r="X159" s="3">
        <f>540+(210.4-30)+(-0.8262+(-0.321912--0.0459))+0-0-0</f>
        <v>719.29778799999997</v>
      </c>
      <c r="Y159" s="3">
        <f>563+(292.4-31)+(0.86139+(0.447372-0.04743))+0-0-0</f>
        <v>825.66133200000002</v>
      </c>
      <c r="Z159" s="3">
        <f>603+(326.6-31)+(-0.61506+(-0.333132--0.03162))+0-0-0</f>
        <v>897.68342800000005</v>
      </c>
      <c r="AA159" s="3">
        <f>604+(337.9-31)+(-0.30804+(-0.172329--0.01581))+0-0-0</f>
        <v>910.43544099999997</v>
      </c>
      <c r="AB159" s="3">
        <f>604+(351.8-30)+(-0.61608+(-0.358836--0.0306))+0-0-0</f>
        <v>924.855684</v>
      </c>
      <c r="AC159" s="3">
        <f>600+(337.3-30)+(0.306+(0.172023-0.0153))+0-0-0</f>
        <v>907.76272299999994</v>
      </c>
      <c r="AD159">
        <v>898.9</v>
      </c>
      <c r="AE159" s="3">
        <f>604+(327.9-33)+(0+(0-0))+0-0-0</f>
        <v>898.9</v>
      </c>
    </row>
    <row r="160" spans="1:31" s="2" customFormat="1" x14ac:dyDescent="0.3">
      <c r="A160">
        <v>90</v>
      </c>
      <c r="B160">
        <v>6</v>
      </c>
      <c r="C160">
        <v>5</v>
      </c>
      <c r="D160">
        <v>1</v>
      </c>
      <c r="E160">
        <v>1</v>
      </c>
      <c r="F160" s="3">
        <f>591+(321.1-31)+(-0.30141+(-0.163761--0.01581))+0-0-0</f>
        <v>880.65063900000007</v>
      </c>
      <c r="G160" s="3">
        <f>591+(295.9-30)+(-1.80846+(-0.905454--0.0918))+0-0-0</f>
        <v>854.27788599999997</v>
      </c>
      <c r="H160" s="3">
        <f>590+(270.1-29)+(-1.2036+(-0.551004--0.05916))+0-0-0</f>
        <v>829.40455600000007</v>
      </c>
      <c r="I160" s="3">
        <f>589+(252.9-30)+(0.30039+(0.128979-0.0153))+0-0-0</f>
        <v>812.31406900000002</v>
      </c>
      <c r="J160" s="3">
        <f>589+(235.5-35.4)+(0.60078+(0.24021-0.036108))+0-0-0</f>
        <v>789.90488200000004</v>
      </c>
      <c r="K160" s="3">
        <f>588+(208.8-42.1)+(-0.29988+(-0.106488--0.021471))+0-0-0</f>
        <v>754.31510300000002</v>
      </c>
      <c r="L160" s="3">
        <f>588+(180.1-49.3)+(-1.4994+(-0.459255--0.125715))+0-0-0</f>
        <v>716.96705999999995</v>
      </c>
      <c r="M160" s="3">
        <f>587+(173-50.7)+(-0.59874+(-0.17646--0.051714))+0-0-0</f>
        <v>708.57651399999997</v>
      </c>
      <c r="N160" s="3">
        <f>574+(199.7-50.3)+(-0.58548+(-0.203694--0.051306))+0-0-0</f>
        <v>722.66213199999993</v>
      </c>
      <c r="O160" s="3">
        <f>583+(207.1-52)+(0.59466+(0.211242-0.05304))+0-0-0</f>
        <v>738.85286200000007</v>
      </c>
      <c r="P160" s="3">
        <f>559+(238.2-33.9)+(0.28509+(0.121482-0.017289))+0-0-0</f>
        <v>763.68928299999993</v>
      </c>
      <c r="Q160" s="3">
        <f>580+(253.3-35.6)+(0.5916+(0.258366-0.036312))+0-0-0</f>
        <v>798.51365400000009</v>
      </c>
      <c r="R160" s="3">
        <f>578+(297.2-31)+(-0.29478+(-0.151572--0.01581))+0-0-0</f>
        <v>843.7694580000001</v>
      </c>
      <c r="S160" s="3">
        <f>578+(330.4-31)+(-0.88434+(-0.505512--0.04743))+0-0-0</f>
        <v>876.05757799999992</v>
      </c>
      <c r="T160" s="3">
        <f>580+(326.3-31)+(-0.2958+(-0.166413--0.01581))+0-0-0</f>
        <v>874.85359699999992</v>
      </c>
      <c r="U160" s="3">
        <f>585+(312.1-26)+(-0.5967+(-0.318342--0.02652))+0-0-0</f>
        <v>870.21147800000006</v>
      </c>
      <c r="V160" s="3">
        <f>594+(251.8-38.9)+(-1.81764+(-0.770508--0.119034))+5.6-0-0</f>
        <v>810.03088600000001</v>
      </c>
      <c r="W160" s="3">
        <f>607+(204.3-48.3)+(-0.61914+(-0.208386--0.049266))+0-0-0</f>
        <v>762.22173999999995</v>
      </c>
      <c r="X160" s="3">
        <f>608+(180.5-50.3)+(-0.93024+(-0.276165--0.076959))+0-0-0</f>
        <v>737.07055400000002</v>
      </c>
      <c r="Y160" s="3">
        <f>592+(258.1-29)+(0+(0-0))+0-0-0</f>
        <v>821.1</v>
      </c>
      <c r="Z160" s="3">
        <f>604+(319.1-30)+(-0.61608+(-0.325482--0.0306))+0-0-0</f>
        <v>892.18903799999998</v>
      </c>
      <c r="AA160" s="3">
        <f>604+(337.7-31)+(-1.5402+(-0.861135--0.07905))+0-0-0</f>
        <v>908.37771500000008</v>
      </c>
      <c r="AB160" s="3">
        <f>604+(347.9-30)+(-0.92412+(-0.532287--0.0459))+0-0-0</f>
        <v>920.48949299999992</v>
      </c>
      <c r="AC160" s="3">
        <f>601+(338.3-28)+(0.30651+(0.172533-0.01428))+0-0-0</f>
        <v>911.7647629999999</v>
      </c>
      <c r="AD160">
        <v>885.9</v>
      </c>
      <c r="AE160" s="3">
        <f>603+(315.9-33)+(0+(0-0))+0-0-0</f>
        <v>885.9</v>
      </c>
    </row>
    <row r="161" spans="1:31" s="2" customFormat="1" x14ac:dyDescent="0.3">
      <c r="A161">
        <v>90</v>
      </c>
      <c r="B161">
        <v>6</v>
      </c>
      <c r="C161">
        <v>6</v>
      </c>
      <c r="D161">
        <v>2</v>
      </c>
      <c r="E161">
        <v>1</v>
      </c>
      <c r="F161" s="3">
        <f>588+(317.2-30)+(-0.59976+(-0.323544--0.0306))+0-0-0</f>
        <v>874.30729600000006</v>
      </c>
      <c r="G161" s="3">
        <f>577+(297.8-21)+(-0.58854+(-0.303756--0.02142))+0-0-0</f>
        <v>852.929124</v>
      </c>
      <c r="H161" s="3">
        <f>575+(274.3-22)+(-1.173+(-0.559572--0.04488))+0-0-0</f>
        <v>825.61230799999998</v>
      </c>
      <c r="I161" s="3">
        <f>575+(282.8-29)+(0.29325+(0.144228-0.01479))+0-0-0</f>
        <v>829.22268799999995</v>
      </c>
      <c r="J161" s="3">
        <f>573+(255.1-30.5)+(0.58446+(0.260202-0.03111))+0-0-0</f>
        <v>798.41355199999998</v>
      </c>
      <c r="K161" s="3">
        <f>526+(269-30)+(-1.3413+(-0.68595--0.0765))+0-0-0</f>
        <v>763.04925000000003</v>
      </c>
      <c r="L161" s="3">
        <f>503+(243.7-31)+(-1.02612+(-0.497148--0.06324))+0-0-0</f>
        <v>714.23997200000008</v>
      </c>
      <c r="M161" s="3">
        <f>503+(240.2-32)+(0.25653+(0.122502-0.01632))+0-0-0</f>
        <v>711.56271200000003</v>
      </c>
      <c r="N161" s="3">
        <f>502+(242.8-32)+(0.25602+(0.123828-0.01632))+0-0-0</f>
        <v>713.16352799999993</v>
      </c>
      <c r="O161" s="3">
        <f>533+(220.7-33.8)+(-0.54366+(-0.225114--0.034476))+0-0-0</f>
        <v>719.16570200000001</v>
      </c>
      <c r="P161" s="3">
        <f>546+(215.7-34.7)+(0.27846+(0.110007-0.017697))+0-0-0</f>
        <v>727.37076999999999</v>
      </c>
      <c r="Q161" s="3">
        <f>577+(227.4-35.6)+(-0.29427+(-0.115974--0.018156))+0-0-0</f>
        <v>768.40791200000001</v>
      </c>
      <c r="R161" s="3">
        <f>584+(181.4-30)+(0.29784+(0.092514-0.0153))+0-0-0</f>
        <v>735.77505399999995</v>
      </c>
      <c r="S161" s="3">
        <f>585+(203-32)+(-1.1934+(-0.41412--0.06528))+0-0-0</f>
        <v>754.45776000000001</v>
      </c>
      <c r="T161" s="3">
        <f>585+(205.7-32)+(-0.89505+(-0.314721--0.04896))+0-0-0</f>
        <v>757.53918900000008</v>
      </c>
      <c r="U161" s="3">
        <f>585+(171.1-33)+(-0.5967+(-0.174522--0.03366))+0-0-0</f>
        <v>722.362438</v>
      </c>
      <c r="V161" s="3">
        <f>587+(124.1-39.8)+(-0.59874+(-0.126582--0.040596))+0-0-0</f>
        <v>670.615274</v>
      </c>
      <c r="W161" s="3">
        <f>597+(80.2-56.9)+(-1.52235+(-0.20451--0.145095))+0-0-0</f>
        <v>618.71823499999994</v>
      </c>
      <c r="X161" s="3">
        <f>592+(69.4-48.9)+(-1.81152+(-0.212364--0.149634))+0-0-0</f>
        <v>610.62575000000004</v>
      </c>
      <c r="Y161" s="3">
        <f>592+(143.9-32)+(0+(0-0))+0-0-0</f>
        <v>703.9</v>
      </c>
      <c r="Z161" s="3">
        <f>602+(199.8-32)+(-1.22808+(-0.407592--0.06528))+0-0-0</f>
        <v>768.22960799999998</v>
      </c>
      <c r="AA161" s="3">
        <f>603+(217.3-32)+(-1.53765+(-0.554115--0.0816))+0-0-0</f>
        <v>786.28983499999993</v>
      </c>
      <c r="AB161" s="3">
        <f>603+(221.9-31)+(-1.23012+(-0.452676--0.06324))+0-0-0</f>
        <v>792.28044399999999</v>
      </c>
      <c r="AC161" s="3">
        <f>599+(214.4-31)+(-0.91647+(-0.328032--0.04743))+0-0-0</f>
        <v>781.20292799999993</v>
      </c>
      <c r="AD161">
        <v>889.2</v>
      </c>
      <c r="AE161" s="3">
        <f>601+(320.2-32)+(0+(0-0))+0-0-0</f>
        <v>889.2</v>
      </c>
    </row>
    <row r="162" spans="1:31" s="2" customFormat="1" x14ac:dyDescent="0.3">
      <c r="A162">
        <v>90</v>
      </c>
      <c r="B162">
        <v>6</v>
      </c>
      <c r="C162">
        <v>7</v>
      </c>
      <c r="D162">
        <v>3</v>
      </c>
      <c r="E162">
        <v>1</v>
      </c>
      <c r="F162" s="3">
        <f>576+(317.2-29)+(-0.29376+(-0.161772--0.01479))+0-0-0</f>
        <v>863.75925800000005</v>
      </c>
      <c r="G162" s="3">
        <f>574+(300.2-31)+(0+(0-0))+0-0-0</f>
        <v>843.2</v>
      </c>
      <c r="H162" s="3">
        <f>574+(284-32)+(0+(0-0))+0-0-0</f>
        <v>826</v>
      </c>
      <c r="I162" s="3">
        <f>571+(282.4-32)+(-0.87363+(-0.432072--0.04896))+0-0-0</f>
        <v>820.14325799999995</v>
      </c>
      <c r="J162" s="3">
        <f>501+(329.2-33)+(0.25551+(0.167892-0.01683))+0-0-0</f>
        <v>797.60657200000003</v>
      </c>
      <c r="K162" s="3">
        <f>501+(294.7-33)+(-0.25551+(-0.150297--0.01683))+0-0-0</f>
        <v>762.31102300000009</v>
      </c>
      <c r="L162" s="3">
        <f>493+(227.9-32)+(-1.00572+(-0.464916--0.06528))+0-0-0</f>
        <v>687.49464399999999</v>
      </c>
      <c r="M162" s="3">
        <f>498+(221.7-30)+(-1.01592+(-0.452268--0.0612))+0-0-0</f>
        <v>688.29301200000009</v>
      </c>
      <c r="N162" s="3">
        <f>487+(238.5-30)+(0.49674+(0.24327-0.0306))+0-0-0</f>
        <v>696.20941000000005</v>
      </c>
      <c r="O162" s="3">
        <f>501+(238.6-32)+(0.25551+(0.121686-0.01632))+0-0-0</f>
        <v>707.96087599999998</v>
      </c>
      <c r="P162" s="3">
        <f>523+(227.4-30)+(0+(0-0))+0-0-0</f>
        <v>720.4</v>
      </c>
      <c r="Q162" s="3">
        <f>585+(216.8-40.4)+(-0.29835+(-0.110568--0.020604))+0-0-0</f>
        <v>761.01168599999994</v>
      </c>
      <c r="R162" s="3">
        <f>585+(257.9-32)+(-1.1934+(-0.526116--0.06528))+0-0-0</f>
        <v>809.24576400000001</v>
      </c>
      <c r="S162" s="3">
        <f>584+(271.9-33)+(-2.08488+(-0.970683--0.11781))+0-0-0</f>
        <v>819.96224699999993</v>
      </c>
      <c r="T162" s="3">
        <f>583+(274.6-35)+(-1.48665+(-0.70023--0.08925))+0-0-0</f>
        <v>820.50237000000004</v>
      </c>
      <c r="U162" s="3">
        <f>584+(242.4-46)+(-0.89352+(-0.370872--0.07038))+0-0-0</f>
        <v>779.20598799999993</v>
      </c>
      <c r="V162" s="3">
        <f>586+(172.5-47)+(-0.89658+(-0.263925--0.07191))+0-0-0</f>
        <v>710.41140499999995</v>
      </c>
      <c r="W162" s="3">
        <f>534+(167.3-40)+(-0.81702+(-0.255969--0.0612))+0-0-0</f>
        <v>660.28821099999993</v>
      </c>
      <c r="X162" s="3">
        <f>529+(165.7-34.5)+(0.26979+(0.084507-0.017595))+0-0-0</f>
        <v>660.53670199999999</v>
      </c>
      <c r="Y162" s="3">
        <f>574+(220.8-32)+(-0.58548+(-0.225216--0.03264))+0-0-0</f>
        <v>762.02194399999996</v>
      </c>
      <c r="Z162" s="3">
        <f>601+(262.8-32)+(-1.83906+(-0.804168--0.09792))+0-0-0</f>
        <v>829.25469199999998</v>
      </c>
      <c r="AA162" s="3">
        <f>602+(280.7-32)+(-1.22808+(-0.572628--0.06528))+0-0-0</f>
        <v>848.96457200000009</v>
      </c>
      <c r="AB162" s="3">
        <f>545+(340.6-31)+(0.27795+(0.173706-0.01581))+0-0-0</f>
        <v>855.03584599999999</v>
      </c>
      <c r="AC162" s="3">
        <f>529+(363.4-31)+(-0.53958+(-0.370668--0.03162))+0-0-0</f>
        <v>860.52137199999993</v>
      </c>
      <c r="AD162">
        <v>848</v>
      </c>
      <c r="AE162" s="3">
        <f>605+(275-32)+(0+(0-0))+0-0-0</f>
        <v>848</v>
      </c>
    </row>
    <row r="163" spans="1:31" s="2" customFormat="1" x14ac:dyDescent="0.3">
      <c r="A163">
        <v>90</v>
      </c>
      <c r="B163">
        <v>6</v>
      </c>
      <c r="C163">
        <v>8</v>
      </c>
      <c r="D163">
        <v>4</v>
      </c>
      <c r="E163">
        <v>1</v>
      </c>
      <c r="F163" s="3">
        <f>520+(335.1-29)+(0+(0-0))+0-0-0</f>
        <v>826.1</v>
      </c>
      <c r="G163" s="3">
        <f>520+(311.5-28)+(0+(0-0))+0-0-0</f>
        <v>803.5</v>
      </c>
      <c r="H163" s="3">
        <f>496+(316.8-28)+(0.75888+(0.484704-0.04284))+0-0-0</f>
        <v>786.00074399999994</v>
      </c>
      <c r="I163" s="3">
        <f>489+(289.9-23)+(0+(0-0))+0-0-0</f>
        <v>755.9</v>
      </c>
      <c r="J163" s="3">
        <f>488+(283-27)+(0+(0-0))+0-0-0</f>
        <v>744</v>
      </c>
      <c r="K163" s="3">
        <f>487+(248.7-30)+(-1.73859+(-0.887859--0.1071))+0-0-0</f>
        <v>703.18065100000001</v>
      </c>
      <c r="L163" s="3">
        <f>499+(207.1-30)+(-1.78143+(-0.739347--0.1071))+0-0-0</f>
        <v>673.68632300000002</v>
      </c>
      <c r="M163" s="3">
        <f>495+(186.5-33.6)+(0+(0-0))+8.2-0-0</f>
        <v>656.1</v>
      </c>
      <c r="N163" s="3">
        <f>480+(199.4-34.8)+(0.4896+(0.203388-0.035496))+7.6-0-0</f>
        <v>652.85749200000009</v>
      </c>
      <c r="O163" s="3">
        <f>482+(205.3-29)+(0.49164+(0.209406-0.02958))+0-0-0</f>
        <v>658.97146599999996</v>
      </c>
      <c r="P163" s="3">
        <f>498+(213.7-29)+(0.25398+(0.108987-0.01479))+0-0-0</f>
        <v>683.04817700000001</v>
      </c>
      <c r="Q163" s="3">
        <f>533+(219.3-31)+(0.27183+(0.111843-0.01581))+0-0-0</f>
        <v>721.66786300000001</v>
      </c>
      <c r="R163" s="3">
        <f>553+(236-31)+(-0.84609+(-0.36108--0.04743))+0-0-0</f>
        <v>756.84025999999994</v>
      </c>
      <c r="S163" s="3">
        <f>554+(258.8-32)+(-1.13016+(-0.527952--0.06528))+0-0-0</f>
        <v>779.20716799999991</v>
      </c>
      <c r="T163" s="3">
        <f>553+(265.6-31)+(-0.28203+(-0.135456--0.01581))+0-0-0</f>
        <v>787.19832400000007</v>
      </c>
      <c r="U163" s="3">
        <f>554+(247.8-30)+(0.28254+(0.126378-0.0153))+0-0-0</f>
        <v>772.1936179999999</v>
      </c>
      <c r="V163" s="3">
        <f>557+(205.9-37.5)+(-0.85221+(-0.315027--0.057375))+0-0-0</f>
        <v>724.29013799999996</v>
      </c>
      <c r="W163" s="3">
        <f>537+(164.3-39.5)+(-1.64322+(-0.502758--0.12087))+0-0-0</f>
        <v>659.77489199999991</v>
      </c>
      <c r="X163" s="3">
        <f>514+(164.2-28)+(-1.57284+(-0.502452--0.08568))+0-0-0</f>
        <v>648.21038800000008</v>
      </c>
      <c r="Y163" s="3">
        <f>514+(262-27)+(-0.78642+(-0.40086--0.04131))+0-0-0</f>
        <v>747.85402999999997</v>
      </c>
      <c r="Z163" s="3">
        <f>562+(266.6-28)+(-1.4331+(-0.67983--0.0714))+0-0-0</f>
        <v>798.55847000000006</v>
      </c>
      <c r="AA163" s="3">
        <f>584+(279.5-29)+(-2.38272+(-1.14036--0.11832))+0-0-0</f>
        <v>831.09523999999999</v>
      </c>
      <c r="AB163" s="3">
        <f>532+(331.7-31)+(0+(0-0))+0-0-0</f>
        <v>832.7</v>
      </c>
      <c r="AC163" s="3">
        <f>510+(337.6-30)+(0.2601+(0.172176-0.0153))+0-0-0</f>
        <v>818.016976</v>
      </c>
      <c r="AD163">
        <v>826</v>
      </c>
      <c r="AE163" s="3">
        <f>584+(272-30)+(0+(0-0))+0-0-0</f>
        <v>826</v>
      </c>
    </row>
    <row r="164" spans="1:31" s="2" customFormat="1" x14ac:dyDescent="0.3">
      <c r="A164">
        <v>90</v>
      </c>
      <c r="B164">
        <v>6</v>
      </c>
      <c r="C164">
        <v>9</v>
      </c>
      <c r="D164">
        <v>5</v>
      </c>
      <c r="E164">
        <v>3</v>
      </c>
      <c r="F164" s="3">
        <f>509+(328.2-31)+(0+(0-0))+0-0-0</f>
        <v>806.2</v>
      </c>
      <c r="G164" s="3">
        <f>509+(300.4-31)+(-0.25959+(-0.153204--0.01581))+0-0-0</f>
        <v>778.003016</v>
      </c>
      <c r="H164" s="3">
        <f>509+(264.2-30)+(-0.51918+(-0.269484--0.0306))+0-0-0</f>
        <v>742.44193600000006</v>
      </c>
      <c r="I164" s="3">
        <f>509+(236.5-28)+(0.25959+(0.120615-0.01428))+0-0-0</f>
        <v>717.86592499999995</v>
      </c>
      <c r="J164" s="3">
        <f>508+(221.2-29)+(0+(0-0))+0-0-0</f>
        <v>700.2</v>
      </c>
      <c r="K164" s="3">
        <f>508+(177.1-31)+(0+(0-0))+0-0-0</f>
        <v>654.1</v>
      </c>
      <c r="L164" s="3">
        <f>508+(112.9-38.9)+(-1.81356+(-0.403053--0.138873))+0-0-0</f>
        <v>579.92226000000005</v>
      </c>
      <c r="M164" s="3">
        <f>480+(93.4-45.3)+(-0.7344+(-0.142902--0.069309))+0-0-0</f>
        <v>527.29200700000001</v>
      </c>
      <c r="N164" s="3">
        <f>467+(90-46.6)+(0.71451+(0.1377-0.071298))+0-0-0</f>
        <v>511.18091199999998</v>
      </c>
      <c r="O164" s="3">
        <f>466+(108.1-40.2)+(0.47532+(0.110262-0.041004))+0-0-0</f>
        <v>534.44457799999998</v>
      </c>
      <c r="P164" s="3">
        <f>464+(147.9-30.3)+(-0.23664+(-0.075429--0.015453))+0-0-0</f>
        <v>581.30338400000005</v>
      </c>
      <c r="Q164" s="3">
        <f>462+(191.6-31)+(0+(0-0))+0-0-0</f>
        <v>622.6</v>
      </c>
      <c r="R164" s="3">
        <f>458+(244.6-32)+(-0.23358+(-0.124746--0.01632))+0-0-0</f>
        <v>670.25799400000005</v>
      </c>
      <c r="S164" s="3">
        <f>458+(282.4-32)+(0+(0-0))+0-0-0</f>
        <v>708.4</v>
      </c>
      <c r="T164" s="3">
        <f>460+(263.2-31)+(-1.173+(-0.67116--0.07905))+0-0-0</f>
        <v>690.43489</v>
      </c>
      <c r="U164" s="3">
        <f>461+(240.4-29)+(-1.17555+(-0.61302--0.07395))+0-0-0</f>
        <v>670.68538000000001</v>
      </c>
      <c r="V164" s="3">
        <f>466+(207-27)+(0+(0-0))+0-0-0</f>
        <v>646</v>
      </c>
      <c r="W164" s="3">
        <f>476+(160.2-27)+(-1.45656+(-0.490212--0.08262))+0-0-0</f>
        <v>607.33584800000006</v>
      </c>
      <c r="X164" s="3">
        <f>479+(131.9-29)+(-0.73287+(-0.201807--0.04437))+0-0-0</f>
        <v>581.00969299999997</v>
      </c>
      <c r="Y164" s="3">
        <f>479+(207.5-30)+(-0.24429+(-0.105825--0.0153))+0-0-0</f>
        <v>656.16518499999995</v>
      </c>
      <c r="Z164" s="3">
        <f>480+(255.5-32)+(-1.224+(-0.651525--0.0816))+0-0-0</f>
        <v>701.70607500000006</v>
      </c>
      <c r="AA164" s="3">
        <f>481+(309.5-32)+(-1.22655+(-0.789225--0.0816))+0-0-0</f>
        <v>756.56582500000002</v>
      </c>
      <c r="AB164" s="3">
        <f>482+(320.9-31)+(-0.98328+(-0.654636--0.06324))+0-0-0</f>
        <v>770.32532400000002</v>
      </c>
      <c r="AC164" s="3">
        <f>478+(313.4-30)+(0+(0-0))+0-0-0</f>
        <v>761.4</v>
      </c>
      <c r="AD164">
        <v>758.2</v>
      </c>
      <c r="AE164" s="3">
        <f>482+(307.2-31)+(0+(0-0))+0-0-0</f>
        <v>758.2</v>
      </c>
    </row>
    <row r="165" spans="1:31" s="2" customFormat="1" x14ac:dyDescent="0.3">
      <c r="A165">
        <v>90</v>
      </c>
      <c r="B165">
        <v>6</v>
      </c>
      <c r="C165">
        <v>10</v>
      </c>
      <c r="D165">
        <v>6</v>
      </c>
      <c r="E165">
        <v>6</v>
      </c>
      <c r="F165" s="3">
        <f>490+(256.7-31)+(-0.2499+(-0.130917--0.01581))+8.9-0-0</f>
        <v>724.23499300000003</v>
      </c>
      <c r="G165" s="3">
        <f>518+(229.6-30)+(-0.79254+(-0.351288--0.0459))+0-0-0</f>
        <v>716.502072</v>
      </c>
      <c r="H165" s="3">
        <f>517+(201.9-29)+(-0.26367+(-0.102969--0.01479))+0-0-0</f>
        <v>689.54815099999996</v>
      </c>
      <c r="I165" s="3">
        <f>517+(180-28)+(-0.52734+(-0.1836--0.02856))+0-0-0</f>
        <v>668.31762000000003</v>
      </c>
      <c r="J165" s="3">
        <f>517+(160.6-30)+(-0.26367+(-0.081906--0.0153))+0-0-0</f>
        <v>647.269724</v>
      </c>
      <c r="K165" s="3">
        <f>502+(145.9-32.4)+(-1.02408+(-0.297636--0.066096))+0-0-0</f>
        <v>614.24437999999998</v>
      </c>
      <c r="L165" s="3">
        <f>499+(104.6-49.7)+(-1.78143+(-0.373422--0.177429))+0-0-0</f>
        <v>551.92257699999993</v>
      </c>
      <c r="M165" s="3">
        <f>459+(105.6-40.1)+(-0.46818+(-0.107712--0.040902))+0-0-0</f>
        <v>523.96501000000001</v>
      </c>
      <c r="N165" s="3">
        <f>452+(109.6-38.1)+(0+(0-0))+0-0-0</f>
        <v>523.5</v>
      </c>
      <c r="O165" s="3">
        <f>460+(116.8-37.9)+(0.2346+(0.059568-0.019329))+0-0-0</f>
        <v>539.17483900000002</v>
      </c>
      <c r="P165" s="3">
        <f>463+(128.1-33.4)+(-0.23613+(-0.065331--0.017034))+0-0-0</f>
        <v>557.41557299999999</v>
      </c>
      <c r="Q165" s="3">
        <f>462+(162.7-31)+(-0.70686+(-0.248931--0.04743))+0-0-0</f>
        <v>592.79163900000003</v>
      </c>
      <c r="R165" s="3">
        <f>488+(187.5-32)+(-0.24888+(-0.095625--0.01632))+0-0-0</f>
        <v>643.17181500000004</v>
      </c>
      <c r="S165" s="3">
        <f>529+(195.6-32)+(-0.53958+(-0.199512--0.03264))+0-0-0</f>
        <v>691.89354800000001</v>
      </c>
      <c r="T165" s="3">
        <f>530+(216.6-32)+(-0.2703+(-0.110466--0.01632))+0-0-0</f>
        <v>714.23555399999998</v>
      </c>
      <c r="U165" s="3">
        <f>533+(193.1-31)+(-1.08732+(-0.393924--0.06324))+0-0-0</f>
        <v>693.68199600000003</v>
      </c>
      <c r="V165" s="3">
        <f>533+(160-42.1)+(0.81549+(0.2448-0.064413))+0-0-0</f>
        <v>651.89587699999993</v>
      </c>
      <c r="W165" s="3">
        <f>544+(113.7-52.7)+(-1.10976+(-0.231948--0.107508))+0-0-0</f>
        <v>603.76580000000001</v>
      </c>
      <c r="X165" s="3">
        <f>532+(87.9-51.7)+(-0.54264+(-0.089658--0.052734))+0-0-0</f>
        <v>567.62043600000004</v>
      </c>
      <c r="Y165" s="3">
        <f>479+(214.8-31)+(0+(0-0))+0-0-0</f>
        <v>662.8</v>
      </c>
      <c r="Z165" s="3">
        <f>538+(220.8-32)+(-0.82314+(-0.337824--0.04896))+0-0-0</f>
        <v>725.687996</v>
      </c>
      <c r="AA165" s="3">
        <f>550+(235.2-32)+(-1.4025+(-0.59976--0.0816))+0-0-0</f>
        <v>751.27934000000005</v>
      </c>
      <c r="AB165" s="3">
        <f>550+(237.4-31)+(-0.8415+(-0.363222--0.04743))+0-0-0</f>
        <v>755.24270799999999</v>
      </c>
      <c r="AC165" s="3">
        <f>552+(227.1-31)+(0.28152+(0.115821-0.01581))+0-0-0</f>
        <v>748.48153100000002</v>
      </c>
      <c r="AD165">
        <v>748.9</v>
      </c>
      <c r="AE165" s="3">
        <f>550+(230.9-32)+(0+(0-0))+0-0-0</f>
        <v>748.9</v>
      </c>
    </row>
    <row r="166" spans="1:31" s="2" customFormat="1" x14ac:dyDescent="0.3">
      <c r="A166">
        <v>90</v>
      </c>
      <c r="B166">
        <v>6</v>
      </c>
      <c r="C166">
        <v>11</v>
      </c>
      <c r="D166">
        <v>7</v>
      </c>
      <c r="E166">
        <v>1</v>
      </c>
      <c r="F166" s="3">
        <f>543+(208.1-29)+(0.55386+(0.212262-0.02958))+0-0-0</f>
        <v>722.83654200000001</v>
      </c>
      <c r="G166" s="3">
        <f>545+(179.6-28)+(-0.83385+(-0.274788--0.04284))+0-0-0</f>
        <v>695.53420200000005</v>
      </c>
      <c r="H166" s="3">
        <f>541+(158.5-29.5)+(-0.55182+(-0.16167--0.03009))+0-0-0</f>
        <v>669.31659999999999</v>
      </c>
      <c r="I166" s="3">
        <f>470+(198.5-28)+(-1.1985+(-0.506175--0.0714))+0-0-0</f>
        <v>638.86672499999997</v>
      </c>
      <c r="J166" s="3">
        <f>469+(176.3-27)+(-1.19595+(-0.449565--0.06885))+0-0-0</f>
        <v>616.72333499999991</v>
      </c>
      <c r="K166" s="3">
        <f>469+(147.1-29)+(0.71757+(0.225063-0.04437))+0-0-0</f>
        <v>587.99826300000007</v>
      </c>
      <c r="L166" s="3">
        <f>473+(98.7-40.4)+(-1.44738+(-0.302022--0.123624))+0-0-0</f>
        <v>529.67422199999999</v>
      </c>
      <c r="M166" s="3">
        <f>473+(92.2-42.8)+(0.24123+(0.047022-0.021828))+0-0-0</f>
        <v>522.66642400000001</v>
      </c>
      <c r="N166" s="3">
        <f>470+(104.4-41.5)+(0.7191+(0.159732-0.063495))+0-0-0</f>
        <v>533.71533699999998</v>
      </c>
      <c r="O166" s="3">
        <f>469+(118.7-40.8)+(0+(0-0))+0-0-0</f>
        <v>546.9</v>
      </c>
      <c r="P166" s="3">
        <f>467+(137.7-37.8)+(0.71451+(0.210681-0.057834))+0-0-0</f>
        <v>567.76735699999995</v>
      </c>
      <c r="Q166" s="3">
        <f>467+(142.7-33.9)+(0.47634+(0.145554-0.034578))+18.7-0-0</f>
        <v>595.08731599999999</v>
      </c>
      <c r="R166" s="3">
        <f>459+(205.7-33)+(-0.93636+(-0.419628--0.06732))+0-0-0</f>
        <v>630.41133200000002</v>
      </c>
      <c r="S166" s="3">
        <f>491+(228.9-33)+(0+(0-0))+0-0-0</f>
        <v>686.9</v>
      </c>
      <c r="T166" s="3">
        <f>526+(213.9-35)+(0.26826+(0.109089-0.01785))+0-0-0</f>
        <v>705.25949900000001</v>
      </c>
      <c r="U166" s="3">
        <f>527+(209.7-38.2)+(-0.80631+(-0.320841--0.058446))+0-0-0</f>
        <v>697.43129499999998</v>
      </c>
      <c r="V166" s="3">
        <f>527+(180.3-45.5)+(-1.07508+(-0.367812--0.09282))+0-0-0</f>
        <v>660.449928</v>
      </c>
      <c r="W166" s="3">
        <f>477+(172.6-30.5)+(-0.72981+(-0.264078--0.046665))+0-0-0</f>
        <v>618.15277700000001</v>
      </c>
      <c r="X166" s="3">
        <f>477+(144.9-35.5)+(-1.21635+(-0.369495--0.090525))+0-0-0</f>
        <v>584.90467999999998</v>
      </c>
      <c r="Y166" s="3">
        <f>482+(227.1-32)+(0+(0-0))+0-0-0</f>
        <v>677.1</v>
      </c>
      <c r="Z166" s="3">
        <f>548+(253.8-31)+(-0.83844+(-0.388314--0.04743))+0-0-0</f>
        <v>769.620676</v>
      </c>
      <c r="AA166" s="3">
        <f>548+(252.4-14)+(-0.83844+(-0.386172--0.02142))+0-0-0</f>
        <v>785.19680800000003</v>
      </c>
      <c r="AB166" s="3">
        <f>548+(285.2-31)+(-0.55896+(-0.290904--0.03162))+0-0-0</f>
        <v>801.381756</v>
      </c>
      <c r="AC166" s="3">
        <f>547+(270.6-32)+(-1.39485+(-0.69003--0.0816))+0-0-0</f>
        <v>783.59672</v>
      </c>
      <c r="AD166">
        <v>751.8</v>
      </c>
      <c r="AE166" s="3">
        <f>544+(240.8-33)+(0+(0-0))+0-0-0</f>
        <v>751.8</v>
      </c>
    </row>
    <row r="167" spans="1:31" s="2" customFormat="1" x14ac:dyDescent="0.3">
      <c r="A167">
        <v>90</v>
      </c>
      <c r="B167">
        <v>6</v>
      </c>
      <c r="C167">
        <v>12</v>
      </c>
      <c r="D167">
        <v>1</v>
      </c>
      <c r="E167">
        <v>1</v>
      </c>
      <c r="F167" s="3">
        <f>541+(247.4-32)+(-1.10364+(-0.504696--0.06528))+0-0-0</f>
        <v>754.856944</v>
      </c>
      <c r="G167" s="3">
        <f>476+(285.9-30)+(-1.2138+(-0.729045--0.0765))+0-0-0</f>
        <v>730.03365499999995</v>
      </c>
      <c r="H167" s="3">
        <f>476+(249.2-30)+(-0.97104+(-0.508368--0.0612))+0-0-0</f>
        <v>693.781792</v>
      </c>
      <c r="I167" s="3">
        <f>465+(221.6-29)+(-0.23715+(-0.113016--0.01479))+0-0-0</f>
        <v>657.26462400000003</v>
      </c>
      <c r="J167" s="3">
        <f>465+(204.3-30)+(0+(0-0))+0-0-0</f>
        <v>639.29999999999995</v>
      </c>
      <c r="K167" s="3">
        <f>464+(179.1-31)+(0.70992+(0.274023-0.04743))+0-0-0</f>
        <v>613.03651300000001</v>
      </c>
      <c r="L167" s="3">
        <f>478+(131.9-36.7)+(-1.46268+(-0.403614--0.112302))+0-0-0</f>
        <v>571.44600800000001</v>
      </c>
      <c r="M167" s="3">
        <f>478+(133-35.8)+(0.48756+(0.13566-0.036516))+0-0-0</f>
        <v>575.7867040000001</v>
      </c>
      <c r="N167" s="3">
        <f>477+(150.2-33.7)+(0.72981+(0.229806-0.051561))+0-0-0</f>
        <v>594.40805499999999</v>
      </c>
      <c r="O167" s="3">
        <f>487+(161.5-37.9)+(0.24837+(0.082365-0.019329))+0-0-0</f>
        <v>610.91140600000006</v>
      </c>
      <c r="P167" s="3">
        <f>519+(160.5-46.1)+(0.26469+(0.081855-0.023511))+0-0-0</f>
        <v>633.72303399999998</v>
      </c>
      <c r="Q167" s="3">
        <f>521+(196.5-38.3)+(0+(0-0))+0-0-0</f>
        <v>679.2</v>
      </c>
      <c r="R167" s="3">
        <f>530+(224.9-32.7)+(0+(0-0))+0-0-0</f>
        <v>722.2</v>
      </c>
      <c r="S167" s="3">
        <f>530+(271.7-29)+(-0.8109+(-0.415701--0.04437))+0-0-0</f>
        <v>771.51776900000004</v>
      </c>
      <c r="T167" s="3">
        <f>531+(282.4-30)+(0.27081+(0.144024-0.0153))+0-0-0</f>
        <v>783.79953399999999</v>
      </c>
      <c r="U167" s="3">
        <f>532+(257.9-31.3)+(-0.81396+(-0.394587--0.047889))+0-0-0</f>
        <v>757.4393419999999</v>
      </c>
      <c r="V167" s="3">
        <f>541+(215.7-42.9)+(-1.10364+(-0.440028--0.087516))+0-0-0</f>
        <v>712.34384799999998</v>
      </c>
      <c r="W167" s="3">
        <f>521+(176.3-45.4)+(-1.32855+(-0.449565--0.11577))+0-0-0</f>
        <v>650.23765500000002</v>
      </c>
      <c r="X167" s="3">
        <f>480+(166.2-33.5)+(-1.7136+(-0.593334--0.119595))+0-0-0</f>
        <v>610.51266100000009</v>
      </c>
      <c r="Y167" s="3">
        <f>492+(256-29)+(-0.50184+(-0.26112--0.02958))+0-0-0</f>
        <v>718.26661999999999</v>
      </c>
      <c r="Z167" s="3">
        <f>550+(280.3-33)+(-0.2805+(-0.142953--0.01683))+0-0-0</f>
        <v>796.89337699999999</v>
      </c>
      <c r="AA167" s="3">
        <f>552+(302.8-32)+(-1.97064+(-1.080996--0.11424))+0-0-0</f>
        <v>819.86260399999992</v>
      </c>
      <c r="AB167" s="3">
        <f>551+(317.2-32)+(-0.56202+(-0.323544--0.03264))+0-0-0</f>
        <v>835.34707600000002</v>
      </c>
      <c r="AC167" s="3">
        <f>543+(313.4-31)+(-0.55386+(-0.319668--0.03162))+0-0-0</f>
        <v>824.55809199999999</v>
      </c>
      <c r="AD167">
        <v>812.5</v>
      </c>
      <c r="AE167" s="3">
        <f>550+(295.5-33)+(0+(0-0))+0-0-0</f>
        <v>812.5</v>
      </c>
    </row>
    <row r="168" spans="1:31" s="2" customFormat="1" x14ac:dyDescent="0.3">
      <c r="A168">
        <v>90</v>
      </c>
      <c r="B168">
        <v>6</v>
      </c>
      <c r="C168">
        <v>13</v>
      </c>
      <c r="D168">
        <v>2</v>
      </c>
      <c r="E168">
        <v>1</v>
      </c>
      <c r="F168" s="3">
        <f>520+(310.6-32)+(-0.5304+(-0.316812--0.03264))+0-0-0</f>
        <v>797.78542800000002</v>
      </c>
      <c r="G168" s="3">
        <f>520+(291.4-31)+(0+(0-0))+0-0-0</f>
        <v>780.4</v>
      </c>
      <c r="H168" s="3">
        <f>520+(263.4-30)+(-0.2652+(-0.134334--0.0153))+0-0-0</f>
        <v>753.01576599999999</v>
      </c>
      <c r="I168" s="3">
        <f>521+(238.7-29)+(-0.79713+(-0.365211--0.04437))+0-0-0</f>
        <v>729.58202900000003</v>
      </c>
      <c r="J168" s="3">
        <f>520+(218.8-29)+(-0.5304+(-0.223176--0.02958))+0-0-0</f>
        <v>709.0760039999999</v>
      </c>
      <c r="K168" s="3">
        <f>520+(186.1-29)+(-0.5304+(-0.189822--0.02958))+0-0-0</f>
        <v>676.409358</v>
      </c>
      <c r="L168" s="3">
        <f>489+(143.7-34.2)+(-0.99756+(-0.293148--0.069768))+0-0-0</f>
        <v>597.27905999999996</v>
      </c>
      <c r="M168" s="3">
        <f>469+(162.1-30.4)+(0.47838+(0.165342-0.031008))+0-0-0</f>
        <v>601.31271400000003</v>
      </c>
      <c r="N168" s="3">
        <f>465+(165.8-30.1)+(0.4743+(0.169116-0.030702))+0-0-0</f>
        <v>601.31271400000003</v>
      </c>
      <c r="O168" s="3">
        <f>467+(195.2-29)+(0+(0-0))+0-0-0</f>
        <v>633.20000000000005</v>
      </c>
      <c r="P168" s="3">
        <f>499+(196.7-35.1)+(-0.50898+(-0.200634--0.035802))+0-0-0</f>
        <v>659.92618800000002</v>
      </c>
      <c r="Q168" s="3">
        <f>532+(208.1-40.2)+(0.27132+(0.106131-0.020502))+0-0-0</f>
        <v>700.25694899999996</v>
      </c>
      <c r="R168" s="3">
        <f>515+(253.9-29)+(-0.26265+(-0.129489--0.01479))+0-0-0</f>
        <v>739.522651</v>
      </c>
      <c r="S168" s="3">
        <f>517+(297.2-28)+(-0.52734+(-0.303144--0.02856))+0-0-0</f>
        <v>785.39807600000006</v>
      </c>
      <c r="T168" s="3">
        <f>517+(302.2-33)+(0.26367+(0.154122-0.01683))+0-0-0</f>
        <v>786.6009620000001</v>
      </c>
      <c r="U168" s="3">
        <f>516+(301.2-32)+(-0.52632+(-0.307224--0.03264))+0-0-0</f>
        <v>784.3990960000001</v>
      </c>
      <c r="V168" s="3">
        <f>519+(251.9-36.1)+(-0.26469+(-0.128469--0.018411))+0-0-0</f>
        <v>734.425252</v>
      </c>
      <c r="W168" s="3">
        <f>541+(176-47.4)+(-0.82773+(-0.26928--0.072522))+0-0-0</f>
        <v>668.575512</v>
      </c>
      <c r="X168" s="3">
        <f>505+(161.6-37.3)+(-0.77265+(-0.247248--0.057069))+0-0-0</f>
        <v>628.3371709999999</v>
      </c>
      <c r="Y168" s="3">
        <f>493+(274.2-32)+(-0.50286+(-0.279684--0.03264))+0-0-0</f>
        <v>734.45009600000003</v>
      </c>
      <c r="Z168" s="3">
        <f>550+(299.1-31)+(-0.2805+(-0.152541--0.01581))+0-0-0</f>
        <v>817.68276900000001</v>
      </c>
      <c r="AA168" s="3">
        <f>550+(318.6-30)+(-1.122+(-0.649944--0.0612))+0-0-0</f>
        <v>836.88925600000005</v>
      </c>
      <c r="AB168" s="3">
        <f>552+(344.2-30)+(-1.68912+(-1.053252--0.0918))+0-0-0</f>
        <v>863.54942800000003</v>
      </c>
      <c r="AC168" s="3">
        <f>549+(300.7-30)+(-0.27999+(-0.153357--0.0153))+0-0-0</f>
        <v>819.28195300000004</v>
      </c>
      <c r="AD168">
        <v>838.3</v>
      </c>
      <c r="AE168" s="3">
        <f>550+(321.3-33)+(0+(0-0))+0-0-0</f>
        <v>838.3</v>
      </c>
    </row>
    <row r="169" spans="1:31" s="2" customFormat="1" x14ac:dyDescent="0.3">
      <c r="A169">
        <v>90</v>
      </c>
      <c r="B169">
        <v>6</v>
      </c>
      <c r="C169">
        <v>14</v>
      </c>
      <c r="D169">
        <v>3</v>
      </c>
      <c r="E169">
        <v>1</v>
      </c>
      <c r="F169" s="3">
        <f>547+(285.7-27)+(-0.27897+(-0.145707--0.01377))+0-0-0</f>
        <v>805.28909300000009</v>
      </c>
      <c r="G169" s="3">
        <f>547+(234.8-27)+(-0.83691+(-0.359244--0.04131))+0-0-0</f>
        <v>753.64515599999993</v>
      </c>
      <c r="H169" s="3">
        <f>547+(212.9-19.6)+(-0.27897+(-0.108579--0.009996))+0-0-0</f>
        <v>739.92244699999992</v>
      </c>
      <c r="I169" s="3">
        <f>547+(233.5-25)+(-0.55794+(-0.23817--0.0255))+0-0-0</f>
        <v>754.72938999999997</v>
      </c>
      <c r="J169" s="3">
        <f>512+(238.5-27)+(0.78336+(0.364905-0.04131))+0-0-0</f>
        <v>724.60695499999997</v>
      </c>
      <c r="K169" s="3">
        <f>475+(198.9-29)+(0+(0-0))+0-0-0</f>
        <v>644.9</v>
      </c>
      <c r="L169" s="3">
        <f>472+(133.2-36.9)+(-1.44432+(-0.407592--0.112914))+0-0-0</f>
        <v>566.56100199999992</v>
      </c>
      <c r="M169" s="3">
        <f>471+(128.3-38.2)+(0.24021+(0.065433-0.019482))+0-0-0</f>
        <v>561.38616100000002</v>
      </c>
      <c r="N169" s="3">
        <f>468+(150.6-37.2)+(-0.23868+(-0.076806--0.018972))+0-0-0</f>
        <v>581.10348599999998</v>
      </c>
      <c r="O169" s="3">
        <f>464+(176.9-33.2)+(0.23664+(0.090219-0.016932))+0-0-0</f>
        <v>608.00992700000006</v>
      </c>
      <c r="P169" s="3">
        <f>496+(195.1-39)+(0.25296+(0.099501-0.01989))+0-0-0</f>
        <v>652.43257100000005</v>
      </c>
      <c r="Q169" s="3">
        <f>507+(214.9-33.8)+(0.77571+(0.328797-0.051714))+0-0-0</f>
        <v>689.15279299999997</v>
      </c>
      <c r="R169" s="3">
        <f>522+(266.2-31)+(-0.79866+(-0.407286--0.04743))+0-0-0</f>
        <v>756.04148400000008</v>
      </c>
      <c r="S169" s="3">
        <f>522+(302.1-31)+(0+(0-0))+0-0-0</f>
        <v>793.1</v>
      </c>
      <c r="T169" s="3">
        <f>524+(311.4-31)+(-0.26724+(-0.158814--0.01581))+0-0-0</f>
        <v>803.98975599999994</v>
      </c>
      <c r="U169" s="3">
        <f>524+(291-30)+(0.53448+(0.29682-0.0306))+0-0-0</f>
        <v>785.80070000000001</v>
      </c>
      <c r="V169" s="3">
        <f>526+(242.1-31.8)+(0+(0-0))+0-0-0</f>
        <v>736.3</v>
      </c>
      <c r="W169" s="3">
        <f>539+(191.3-45)+(-1.09956+(-0.390252--0.0918))+0-0-0</f>
        <v>683.90198799999996</v>
      </c>
      <c r="X169" s="3">
        <f>507+(161.6-40.3)+(-0.77571+(-0.247248--0.061659))+0-0-0</f>
        <v>627.3387009999999</v>
      </c>
      <c r="Y169" s="3">
        <f>495+(261.8-32)+(0.25245+(0.133518-0.01632))+0-0-0</f>
        <v>725.16964799999994</v>
      </c>
      <c r="Z169" s="3">
        <f>548+(293.1-30)+(-0.55896+(-0.298962--0.0306))+0-0-0</f>
        <v>810.27267800000004</v>
      </c>
      <c r="AA169" s="3">
        <f>549+(320.2-31)+(-1.39995+(-0.81651--0.07905))+0-0-0</f>
        <v>836.06259</v>
      </c>
      <c r="AB169" s="3">
        <f>550+(319.5-33)+(-0.8415+(-0.488835--0.05049))+0-0-0</f>
        <v>835.22015499999998</v>
      </c>
      <c r="AC169" s="3">
        <f>545+(313-33)+(-0.5559+(-0.31926--0.03366))+0-0-0</f>
        <v>824.1585</v>
      </c>
      <c r="AD169">
        <v>830.3</v>
      </c>
      <c r="AE169" s="3">
        <f>549+(314.3-33)+(0+(0-0))+0-0-0</f>
        <v>830.3</v>
      </c>
    </row>
    <row r="170" spans="1:31" s="2" customFormat="1" x14ac:dyDescent="0.3">
      <c r="A170">
        <v>90</v>
      </c>
      <c r="B170">
        <v>6</v>
      </c>
      <c r="C170">
        <v>15</v>
      </c>
      <c r="D170">
        <v>4</v>
      </c>
      <c r="E170">
        <v>1</v>
      </c>
      <c r="F170" s="3">
        <f>546+(276.7-30)+(-0.83538+(-0.423351--0.0459))+0-0-0</f>
        <v>791.48716899999999</v>
      </c>
      <c r="G170" s="3">
        <f>546+(232.2-27)+(-0.83538+(-0.355266--0.04131))+0-0-0</f>
        <v>750.0506640000001</v>
      </c>
      <c r="H170" s="3">
        <f>545+(207.3-29)+(-0.5559+(-0.211446--0.02958))+0-0-0</f>
        <v>722.56223399999999</v>
      </c>
      <c r="I170" s="3">
        <f>504+(221.2-23)+(-0.77112+(-0.338436--0.03519))+0-0-0</f>
        <v>701.12563399999999</v>
      </c>
      <c r="J170" s="3">
        <f>472+(216.8-22)+(0.24072+(0.110568-0.01122))+0-0-0</f>
        <v>667.14006799999993</v>
      </c>
      <c r="K170" s="3">
        <f>473+(192.5-25)+(0.48246+(0.19635-0.0255))+0-0-0</f>
        <v>641.15331000000003</v>
      </c>
      <c r="L170" s="3">
        <f>470+(134-37.7)+(-0.2397+(-0.06834--0.019227))+0-0-0</f>
        <v>566.01118699999995</v>
      </c>
      <c r="M170" s="3">
        <f>470+(124.3-41.1)+(-0.4794+(-0.126786--0.041922))+0-0-0</f>
        <v>552.63573600000007</v>
      </c>
      <c r="N170" s="3">
        <f>465+(137.3-36.9)+(-0.4743+(-0.140046--0.037638))+0-0-0</f>
        <v>564.82329199999992</v>
      </c>
      <c r="O170" s="3">
        <f>463+(151.7-33.1)+(0.23613+(0.077367-0.016881))+0-0-0</f>
        <v>581.89661599999999</v>
      </c>
      <c r="P170" s="3">
        <f>481+(168.4-35.3)+(0.49062+(0.171768-0.036006))+0-0-0</f>
        <v>614.72638200000006</v>
      </c>
      <c r="Q170" s="3">
        <f>526+(183-41.5)+(0+(0-0))+0-0-0</f>
        <v>667.5</v>
      </c>
      <c r="R170" s="3">
        <f>520+(242.1-32)+(0.2652+(0.123471-0.01632))+0-0-0</f>
        <v>730.472351</v>
      </c>
      <c r="S170" s="3">
        <f>519+(287.9-32)+(-1.05876+(-0.587316--0.06528))+0-0-0</f>
        <v>773.31920400000001</v>
      </c>
      <c r="T170" s="3">
        <f>519+(303.3-32)+(0.26469+(0.154683-0.01632))+0-0-0</f>
        <v>790.70305299999995</v>
      </c>
      <c r="U170" s="3">
        <f>521+(275.9-33)+(-0.79713+(-0.422127--0.05049))+0-0-0</f>
        <v>762.73123299999997</v>
      </c>
      <c r="V170" s="3">
        <f>522+(239.4-37.8)+(-0.26622+(-0.122094--0.019278))+0-0-0</f>
        <v>723.23096399999997</v>
      </c>
      <c r="W170" s="3">
        <f>543+(179.2-50.5)+(-0.83079+(-0.274176--0.077265))+0-0-0</f>
        <v>670.67229900000007</v>
      </c>
      <c r="X170" s="3">
        <f>493+(170.4-37.7)+(-0.50286+(-0.173808--0.038454))+0-0-0</f>
        <v>625.0617860000001</v>
      </c>
      <c r="Y170" s="3">
        <f>488+(294.3-31)+(0+(0-0))+0-0-0</f>
        <v>751.3</v>
      </c>
      <c r="Z170" s="3">
        <f>546+(305.4-31)+(0+(0-0))+0-0-0</f>
        <v>820.4</v>
      </c>
      <c r="AA170" s="3">
        <f>548+(297.3-16)+(-1.3974+(-0.758115--0.0408))+0-0-0</f>
        <v>827.18528499999991</v>
      </c>
      <c r="AB170" s="3">
        <f>549+(330.5-25)+(-1.39995+(-0.842775--0.06375))+0-0-0</f>
        <v>852.32102499999996</v>
      </c>
      <c r="AC170" s="3">
        <f>547+(310.2-30)+(-0.83691+(-0.474606--0.0459))+0-0-0</f>
        <v>825.93438400000002</v>
      </c>
      <c r="AD170">
        <v>817.2</v>
      </c>
      <c r="AE170" s="3">
        <f>545+(304.2-32)+(0+(0-0))+0-0-0</f>
        <v>817.2</v>
      </c>
    </row>
    <row r="171" spans="1:31" s="2" customFormat="1" x14ac:dyDescent="0.3">
      <c r="A171">
        <v>90</v>
      </c>
      <c r="B171">
        <v>6</v>
      </c>
      <c r="C171">
        <v>16</v>
      </c>
      <c r="D171">
        <v>5</v>
      </c>
      <c r="E171">
        <v>1</v>
      </c>
      <c r="F171" s="3">
        <f>535+(281.3-31)+(-1.0914+(-0.573852--0.06324))+0-0-0</f>
        <v>783.69798800000001</v>
      </c>
      <c r="G171" s="3">
        <f>535+(252-31)+(-0.81855+(-0.38556--0.04743))+0-0-0</f>
        <v>754.84331999999995</v>
      </c>
      <c r="H171" s="3">
        <f>478+(286.4-32)+(-0.24378+(-0.146064--0.01632))+0-0-0</f>
        <v>732.026476</v>
      </c>
      <c r="I171" s="3">
        <f>463+(272.6-33)+(-0.94452+(-0.556104--0.06732))+0-0-0</f>
        <v>701.166696</v>
      </c>
      <c r="J171" s="3">
        <f>462+(248.2-33)+(-0.47124+(-0.253164--0.03366))+0-0-0</f>
        <v>676.50925600000005</v>
      </c>
      <c r="K171" s="3">
        <f>462+(216.3-31)+(0.23562+(0.110313-0.01581))+0-0-0</f>
        <v>647.63012299999991</v>
      </c>
      <c r="L171" s="3">
        <f>470+(156.8-37.1)+(-1.6779+(-0.559776--0.132447))+0-0-0</f>
        <v>587.59477100000004</v>
      </c>
      <c r="M171" s="3">
        <f>469+(140.4-41.3)+(0.47838+(0.143208-0.042126))+0-0-0</f>
        <v>568.67946200000006</v>
      </c>
      <c r="N171" s="3">
        <f>458+(161.8-38.2)+(-0.23358+(-0.082518--0.019482))+0-0-0</f>
        <v>581.30338400000005</v>
      </c>
      <c r="O171" s="3">
        <f>454+(175.4-34.5)+(0+(0-0))+0-0-0</f>
        <v>594.9</v>
      </c>
      <c r="P171" s="3">
        <f>489+(177.6-39.5)+(-0.24939+(-0.090576--0.020145))+0-0-0</f>
        <v>626.78017899999998</v>
      </c>
      <c r="Q171" s="3">
        <f>515+(194.4-42.7)+(-0.26265+(-0.099144--0.021777))+0-0-0</f>
        <v>666.35998300000006</v>
      </c>
      <c r="R171" s="3">
        <f>505+(248.1-32)+(-0.25755+(-0.126531--0.01632))+0-0-0</f>
        <v>720.73223900000005</v>
      </c>
      <c r="S171" s="3">
        <f>515+(287-32)+(-0.78795+(-0.43911--0.04896))+0-0-0</f>
        <v>768.82190000000003</v>
      </c>
      <c r="T171" s="3">
        <f>523+(287.7-31)+(-0.80019+(-0.440181--0.04743))+0-0-0</f>
        <v>778.50705900000003</v>
      </c>
      <c r="U171" s="3">
        <f>525+(278-30)+(-1.33875+(-0.7089--0.0765))+0-0-0</f>
        <v>771.02885000000003</v>
      </c>
      <c r="V171" s="3">
        <f>532+(243.3-34.4)+(-1.08528+(-0.496332--0.070176))+0-0-0</f>
        <v>739.38856399999997</v>
      </c>
      <c r="W171" s="3">
        <f>539+(179.5-46.7)+(-1.64934+(-0.54927--0.142902))+0-0-0</f>
        <v>669.74429199999997</v>
      </c>
      <c r="X171" s="3">
        <f>478+(174.3-29)+(-1.70646+(-0.622251--0.10353))+0-0-0</f>
        <v>621.07481899999993</v>
      </c>
      <c r="Y171" s="3">
        <f>477+(303-29)+(-0.24327+(-0.15453--0.01479))+0-0-0</f>
        <v>750.61698999999999</v>
      </c>
      <c r="Z171" s="3">
        <f>523+(327-31)+(-1.06692+(-0.66708--0.06324))+0-0-0</f>
        <v>817.32924000000003</v>
      </c>
      <c r="AA171" s="3">
        <f>548+(306.8-33)+(-1.67688+(-0.938808--0.10098))+0-0-0</f>
        <v>819.28529199999991</v>
      </c>
      <c r="AB171" s="3">
        <f>549+(313.9-33)+(-1.39995+(-0.800445--0.08415))+0-0-0</f>
        <v>827.78375499999993</v>
      </c>
      <c r="AC171" s="3">
        <f>545+(305.3-32)+(-0.5559+(-0.311406--0.03264))+0-0-0</f>
        <v>817.46533399999998</v>
      </c>
      <c r="AD171">
        <v>820.1</v>
      </c>
      <c r="AE171" s="3">
        <f>549+(304.1-33)+(0+(0-0))+0-0-0</f>
        <v>820.1</v>
      </c>
    </row>
    <row r="172" spans="1:31" s="2" customFormat="1" x14ac:dyDescent="0.3">
      <c r="A172">
        <v>90</v>
      </c>
      <c r="B172">
        <v>6</v>
      </c>
      <c r="C172">
        <v>17</v>
      </c>
      <c r="D172">
        <v>6</v>
      </c>
      <c r="E172">
        <v>1</v>
      </c>
      <c r="F172" s="3">
        <f>545+(287.2-31)+(-0.5559+(-0.292944--0.03162))+0-0-0</f>
        <v>800.38277600000004</v>
      </c>
      <c r="G172" s="3">
        <f>545+(238.9-30)+(-0.83385+(-0.365517--0.0459))+0-0-0</f>
        <v>752.746533</v>
      </c>
      <c r="H172" s="3">
        <f>545+(208.1-37.5)+(-0.27795+(-0.106131--0.019125))+0-0-0</f>
        <v>715.23504400000002</v>
      </c>
      <c r="I172" s="3">
        <f>496+(210-22)+(-0.50592+(-0.2142--0.02244))+0-0-0</f>
        <v>683.30232000000001</v>
      </c>
      <c r="J172" s="3">
        <f>473+(205.4-27)+(0.24123+(0.104754-0.01377))+0-0-0</f>
        <v>651.732214</v>
      </c>
      <c r="K172" s="3">
        <f>474+(176.1-32.3)+(-1.2087+(-0.449055--0.082365))+0-0-0</f>
        <v>616.22460999999998</v>
      </c>
      <c r="L172" s="3">
        <f>474+(118.9-45.3)+(-0.96696+(-0.242556--0.092412))+0-0-0</f>
        <v>546.48289599999998</v>
      </c>
      <c r="M172" s="3">
        <f>471+(104.7-47.6)+(-0.24021+(-0.053397--0.024276))+0-0-0</f>
        <v>527.83066900000006</v>
      </c>
      <c r="N172" s="3">
        <f>478+(122-45)+(0.24378+(0.06222-0.02295))+0-0-0</f>
        <v>555.28305</v>
      </c>
      <c r="O172" s="3">
        <f>510+(118.5-49.7)+(0.5202+(0.12087-0.050694))+0-0-0</f>
        <v>579.39037599999995</v>
      </c>
      <c r="P172" s="3">
        <f>508+(149.7-46.4)+(0.25908+(0.076347-0.023664))+0-0-0</f>
        <v>611.611763</v>
      </c>
      <c r="Q172" s="3">
        <f>506+(190.6-39.1)+(0.51612+(0.194412-0.039882))+0-0-0</f>
        <v>658.17065000000002</v>
      </c>
      <c r="R172" s="3">
        <f>502+(237.9-33)+(0+(0-0))+0-0-0</f>
        <v>706.9</v>
      </c>
      <c r="S172" s="3">
        <f>525+(258.4-32)+(-1.33875+(-0.65892--0.0816))+0-0-0</f>
        <v>749.48392999999999</v>
      </c>
      <c r="T172" s="3">
        <f>528+(278.2-32)+(0.53856+(0.283764-0.03264))+0-0-0</f>
        <v>774.98968400000001</v>
      </c>
      <c r="U172" s="3">
        <f>531+(265-31)+(-0.54162+(-0.2703--0.03162))+0-0-0</f>
        <v>764.21969999999999</v>
      </c>
      <c r="V172" s="3">
        <f>532+(214.2-36.7)+(-1.89924+(-0.764694--0.131019))+0-0-0</f>
        <v>706.967085</v>
      </c>
      <c r="W172" s="3">
        <f>542+(156.5-49.6)+(-1.3821+(-0.399075--0.12648))+0-0-0</f>
        <v>647.24530500000003</v>
      </c>
      <c r="X172" s="3">
        <f>549+(126.6-54.2)+(-0.83997+(-0.193698--0.082926))+0-0-0</f>
        <v>620.44925799999999</v>
      </c>
      <c r="Y172" s="3">
        <f>551+(218.7-31.6)+(-0.28101+(-0.111537--0.016116))+0-0-0</f>
        <v>737.723569</v>
      </c>
      <c r="Z172" s="3">
        <f>551+(264.5-30)+(-1.40505+(-0.674475--0.0765))+0-0-0</f>
        <v>783.49697500000002</v>
      </c>
      <c r="AA172" s="3">
        <f>553+(272.4-32)+(-0.84609+(-0.416772--0.04896))+0-0-0</f>
        <v>792.18609800000002</v>
      </c>
      <c r="AB172" s="3">
        <f>526+(311.6-32)+(-1.3413+(-0.79458--0.0816))+0-0-0</f>
        <v>803.54572000000007</v>
      </c>
      <c r="AC172" s="3">
        <f>489+(329.4-32)+(0+(0-0))+0-0-0</f>
        <v>786.4</v>
      </c>
      <c r="AD172">
        <v>797.4</v>
      </c>
      <c r="AE172" s="3">
        <f>557+(272.4-32)+(0+(0-0))+0-0-0</f>
        <v>797.4</v>
      </c>
    </row>
    <row r="173" spans="1:31" s="2" customFormat="1" x14ac:dyDescent="0.3">
      <c r="A173">
        <v>90</v>
      </c>
      <c r="B173">
        <v>6</v>
      </c>
      <c r="C173">
        <v>18</v>
      </c>
      <c r="D173">
        <v>7</v>
      </c>
      <c r="E173">
        <v>1</v>
      </c>
      <c r="F173" s="3">
        <f>493+(301.1-31)+(0.25143+(0.153561-0.01581))+0-0-0</f>
        <v>763.48918100000003</v>
      </c>
      <c r="G173" s="3">
        <f>493+(279.9-30)+(-0.75429+(-0.428247--0.0459))+0-0-0</f>
        <v>741.76336300000003</v>
      </c>
      <c r="H173" s="3">
        <f>430+(328.5-30)+(0.6579+(0.502605-0.0459))+0-0-0</f>
        <v>729.61460499999998</v>
      </c>
      <c r="I173" s="3">
        <f>420+(317-29)+(-0.4284+(-0.32334--0.02958))+0-0-0</f>
        <v>707.27783999999997</v>
      </c>
      <c r="J173" s="3">
        <f>417+(291.2-29)+(0.21267+(0.148512-0.01479))+0-0-0</f>
        <v>679.54639200000008</v>
      </c>
      <c r="K173" s="3">
        <f>417+(257.6-29)+(-0.42534+(-0.262752--0.02958))+0-0-0</f>
        <v>644.94148800000005</v>
      </c>
      <c r="L173" s="3">
        <f>413+(182.4-28)+(-0.42126+(-0.186048--0.02856))+0-0-0</f>
        <v>566.82125199999996</v>
      </c>
      <c r="M173" s="3">
        <f>411+(148.3-37)+(-0.41922+(-0.151266--0.03774))+0-0-0</f>
        <v>521.76725399999998</v>
      </c>
      <c r="N173" s="3">
        <f>410+(156.1-36.8)+(-0.8364+(-0.318444--0.075072))+0-0-0</f>
        <v>528.22022799999991</v>
      </c>
      <c r="O173" s="3">
        <f>441+(147.5-43.6)+(0.67473+(0.225675-0.066708))+0-0-0</f>
        <v>545.73369700000001</v>
      </c>
      <c r="P173" s="3">
        <f>466+(148.8-38.2)+(-0.71298+(-0.227664--0.058446))+0-0-0</f>
        <v>575.71780200000001</v>
      </c>
      <c r="Q173" s="3">
        <f>471+(176.3-31.2)+(-0.24021+(-0.089913--0.015912))+0-0-0</f>
        <v>615.78578900000002</v>
      </c>
      <c r="R173" s="3">
        <f>490+(213.8-33)+(-0.9996+(-0.436152--0.06732))+0-0-0</f>
        <v>669.43156799999997</v>
      </c>
      <c r="S173" s="3">
        <f>553+(202.9-34.5)+(0+(0-0))+0-0-0</f>
        <v>721.4</v>
      </c>
      <c r="T173" s="3">
        <f>592+(190.6-43.5)+(-0.60384+(-0.194412--0.04437))+0-0-0</f>
        <v>738.34611800000005</v>
      </c>
      <c r="U173" s="3">
        <f>575+(193.9-44.8)+(-0.5865+(-0.197778--0.045696))+0-0-0</f>
        <v>723.36141800000007</v>
      </c>
      <c r="V173" s="3">
        <f>571+(171.3-49.1)+(-0.58242+(-0.174726--0.050082))+0-0-0</f>
        <v>692.4929360000001</v>
      </c>
      <c r="W173" s="3">
        <f>573+(118-57.4)+(-1.16892+(-0.24072--0.117096))+0-0-0</f>
        <v>632.307456</v>
      </c>
      <c r="X173" s="3">
        <f>539+(110.3-47.8)+(-0.82467+(-0.168759--0.073134))+0-0-0</f>
        <v>600.57970499999999</v>
      </c>
      <c r="Y173" s="3">
        <f>543+(215.3-30)+(-0.27693+(-0.109803--0.0153))+0-0-0</f>
        <v>727.92856699999993</v>
      </c>
      <c r="Z173" s="3">
        <f>586+(237.1-31)+(-1.19544+(-0.483684--0.06324))+0-0-0</f>
        <v>790.48411599999997</v>
      </c>
      <c r="AA173" s="3">
        <f>580+(257-32)+(-2.0706+(-0.91749--0.11424))+0-0-0</f>
        <v>802.12615000000005</v>
      </c>
      <c r="AB173" s="3">
        <f>557+(297-33)+(0.56814+(0.30294-0.03366))+0-0-0</f>
        <v>821.83741999999995</v>
      </c>
      <c r="AC173" s="3">
        <f>618+(220.6-36.9)+(-0.31518+(-0.112506--0.018819))+0-0-0</f>
        <v>801.29113300000006</v>
      </c>
      <c r="AD173">
        <v>808.8</v>
      </c>
      <c r="AE173" s="3">
        <f>591+(249.8-32)+(0+(0-0))+0-0-0</f>
        <v>808.8</v>
      </c>
    </row>
    <row r="174" spans="1:31" s="2" customFormat="1" x14ac:dyDescent="0.3">
      <c r="A174">
        <v>90</v>
      </c>
      <c r="B174">
        <v>6</v>
      </c>
      <c r="C174">
        <v>19</v>
      </c>
      <c r="D174">
        <v>1</v>
      </c>
      <c r="E174">
        <v>1</v>
      </c>
      <c r="F174" s="3">
        <f>584+(229-35.8)+(0+(0-0))+0-0-0</f>
        <v>777.2</v>
      </c>
      <c r="G174" s="3">
        <f>557+(226.3-32)+(-0.28407+(-0.115413--0.01632))+0-0-0</f>
        <v>750.91683699999999</v>
      </c>
      <c r="H174" s="3">
        <f>547+(210.6-31)+(0+(0-0))+0-0-0</f>
        <v>726.6</v>
      </c>
      <c r="I174" s="3">
        <f>529+(208.4-31)+(-1.07916+(-0.425136--0.06324))+0-0-0</f>
        <v>704.95894399999997</v>
      </c>
      <c r="J174" s="3">
        <f>521+(185.8-31.6)+(-1.59426+(-0.568548--0.096696))+0-0-0</f>
        <v>673.13388800000007</v>
      </c>
      <c r="K174" s="3">
        <f>528+(151.4-40.2)+(-0.53856+(-0.154428--0.041004))+0-0-0</f>
        <v>638.54801600000008</v>
      </c>
      <c r="L174" s="3">
        <f>521+(105.9-57)+(-1.32855+(-0.270045--0.14535))+0-0-0</f>
        <v>568.44675499999994</v>
      </c>
      <c r="M174" s="3">
        <f>518+(97.1-59.6)+(-0.26418+(-0.049521--0.030396))+0-0-0</f>
        <v>555.21669499999996</v>
      </c>
      <c r="N174" s="3">
        <f>524+(108-56.9)+(0+(0-0))+0-0-0</f>
        <v>575.1</v>
      </c>
      <c r="O174" s="3">
        <f>527+(104.7-52.5)+(-0.26877+(-0.053397--0.026775))+0-0-0</f>
        <v>578.90460800000005</v>
      </c>
      <c r="P174" s="3">
        <f>551+(131.4-49.3)+(1.12404+(0.268056-0.100572))+0-0-0</f>
        <v>634.391524</v>
      </c>
      <c r="Q174" s="3">
        <f>576+(152.1-50.5)+(0.29376+(0.077571-0.025755))+0-0-0</f>
        <v>677.94557600000007</v>
      </c>
      <c r="R174" s="3">
        <f>574+(180-20.6)+(-0.58548+(-0.1836--0.021012))+0-0-0</f>
        <v>732.65193199999999</v>
      </c>
      <c r="S174" s="3">
        <f>576+(237.2-12)+(-1.17504+(-0.483888--0.02448))+0-0-0</f>
        <v>799.56555200000003</v>
      </c>
      <c r="T174" s="3">
        <f>575+(259.5-32)+(-0.29325+(-0.132345--0.01632))+0-0-0</f>
        <v>802.09072500000002</v>
      </c>
      <c r="U174" s="3">
        <f>579+(221.1-35.9)+(-0.29529+(-0.112761--0.018309))+0-0-0</f>
        <v>763.81025800000009</v>
      </c>
      <c r="V174" s="3">
        <f>578+(180.7-47.5)+(-0.88434+(-0.276471--0.072675))+0-0-0</f>
        <v>710.11186400000008</v>
      </c>
      <c r="W174" s="3">
        <f>582+(128.8-54.2)+(-1.4841+(-0.32844--0.13821))+0-0-0</f>
        <v>654.92566999999997</v>
      </c>
      <c r="X174" s="3">
        <f>557+(111-50.1)+(-0.85221+(-0.16983--0.076653))+0-0-0</f>
        <v>616.95461299999999</v>
      </c>
      <c r="Y174" s="3">
        <f>561+(203.6-31)+(0+(0-0))+0-0-0</f>
        <v>733.6</v>
      </c>
      <c r="Z174" s="3">
        <f>583+(247.6-31)+(-1.48665+(-0.63138--0.07905))+0-0-0</f>
        <v>797.56101999999998</v>
      </c>
      <c r="AA174" s="3">
        <f>584+(273.2-31)+(-1.4892+(-0.69666--0.07905))+0-0-0</f>
        <v>824.09319000000005</v>
      </c>
      <c r="AB174" s="3">
        <f>584+(263.7-32)+(-1.19136+(-0.537948--0.06528))+0-0-0</f>
        <v>814.03597200000002</v>
      </c>
      <c r="AC174" s="3">
        <f>583+(261-31)+(0+(0-0))+0-0-0</f>
        <v>813</v>
      </c>
      <c r="AD174">
        <v>812.9</v>
      </c>
      <c r="AE174" s="3">
        <f>582+(262.9-32)+(0+(0-0))+0-0-0</f>
        <v>812.9</v>
      </c>
    </row>
    <row r="175" spans="1:31" s="2" customFormat="1" x14ac:dyDescent="0.3">
      <c r="A175">
        <v>90</v>
      </c>
      <c r="B175">
        <v>6</v>
      </c>
      <c r="C175">
        <v>20</v>
      </c>
      <c r="D175">
        <v>2</v>
      </c>
      <c r="E175">
        <v>1</v>
      </c>
      <c r="F175" s="3">
        <f>557+(254.6-32)+(-1.42035+(-0.64923--0.0816))+0-0-0</f>
        <v>777.61202000000003</v>
      </c>
      <c r="G175" s="3">
        <f>501+(283.6-31)+(-1.02204+(-0.578544--0.06324))+0-0-0</f>
        <v>752.06265600000006</v>
      </c>
      <c r="H175" s="3">
        <f>502+(250.7-32)+(-0.51204+(-0.255714--0.03264))+0-0-0</f>
        <v>719.96488600000009</v>
      </c>
      <c r="I175" s="3">
        <f>502+(222.3-33)+(-1.2801+(-0.566865--0.08415))+0-0-0</f>
        <v>689.53718499999991</v>
      </c>
      <c r="J175" s="3">
        <f>502+(193.8-31)+(0.76806+(0.296514-0.04743))+0-0-0</f>
        <v>665.81714399999998</v>
      </c>
      <c r="K175" s="3">
        <f>502+(155.3-31)+(0.76806+(0.237609-0.04743))+0-0-0</f>
        <v>627.258239</v>
      </c>
      <c r="L175" s="3">
        <f>505+(101.3-38.4)+(-0.5151+(-0.103326--0.039168))+0-0-0</f>
        <v>567.320742</v>
      </c>
      <c r="M175" s="3">
        <f>531+(75.1-58.4)+(0.27081+(0.038301-0.029784))+0-0-0</f>
        <v>547.97932700000001</v>
      </c>
      <c r="N175" s="3">
        <f>530+(90.3-51.2)+(-0.2703+(-0.046053--0.026112))+0-0-0</f>
        <v>568.80975899999999</v>
      </c>
      <c r="O175" s="3">
        <f>538+(107.8-52.5)+(0+(0-0))+0-0-0</f>
        <v>593.29999999999995</v>
      </c>
      <c r="P175" s="3">
        <f>545+(122.3-47)+(0.27795+(0.062373-0.02397))+0-0-0</f>
        <v>620.616353</v>
      </c>
      <c r="Q175" s="3">
        <f>545+(155.9-42)+(0.27795+(0.079509-0.02142))+0-0-0</f>
        <v>659.23603900000001</v>
      </c>
      <c r="R175" s="3">
        <f>554+(190.5-36.1)+(-0.28254+(-0.097155--0.018411))+0-0-0</f>
        <v>708.03871600000002</v>
      </c>
      <c r="S175" s="3">
        <f>560+(239.2-32)+(-1.7136+(-0.731952--0.09792))+0-0-0</f>
        <v>764.85236800000007</v>
      </c>
      <c r="T175" s="3">
        <f>560+(242.4-32)+(0+(0-0))+0-0-0</f>
        <v>770.4</v>
      </c>
      <c r="U175" s="3">
        <f>561+(233.7-31)+(-1.14444+(-0.476748--0.06324))+0-0-0</f>
        <v>762.14205200000004</v>
      </c>
      <c r="V175" s="3">
        <f>575+(196.6-39.7)+(0+(0-0))+0-0-0</f>
        <v>731.9</v>
      </c>
      <c r="W175" s="3">
        <f>565+(140.7-44.8)+(-0.86445+(-0.215271--0.068544))+0-0-0</f>
        <v>659.888823</v>
      </c>
      <c r="X175" s="3">
        <f>513+(131.4-30)+(0+(0-0))+0-0-0</f>
        <v>614.4</v>
      </c>
      <c r="Y175" s="3">
        <f>505+(271.7-30)+(-0.25755+(-0.138567--0.0153))+0-0-0</f>
        <v>746.31918300000007</v>
      </c>
      <c r="Z175" s="3">
        <f>514+(314.9-27)+(-1.3107+(-0.802995--0.06885))+0-0-0</f>
        <v>799.85515499999997</v>
      </c>
      <c r="AA175" s="3">
        <f>514+(332.3-27)+(-1.57284+(-1.016838--0.08262))+0-0-0</f>
        <v>816.79294199999993</v>
      </c>
      <c r="AB175" s="3">
        <f>514+(332.4-32)+(-0.78642+(-0.508572--0.04896))+0-0-0</f>
        <v>813.15396799999996</v>
      </c>
      <c r="AC175" s="3">
        <f>514+(327.4-33)+(-0.78642+(-0.500922--0.05049))+0-0-0</f>
        <v>807.16314799999998</v>
      </c>
      <c r="AD175">
        <v>794.2</v>
      </c>
      <c r="AE175" s="3">
        <f>513+(313.2-32)+(0+(0-0))+0-0-0</f>
        <v>794.2</v>
      </c>
    </row>
    <row r="176" spans="1:31" s="2" customFormat="1" x14ac:dyDescent="0.3">
      <c r="A176">
        <v>90</v>
      </c>
      <c r="B176">
        <v>6</v>
      </c>
      <c r="C176">
        <v>21</v>
      </c>
      <c r="D176">
        <v>3</v>
      </c>
      <c r="E176">
        <v>1</v>
      </c>
      <c r="F176" s="3">
        <f>504+(279.3-30)+(-1.02816+(-0.569772--0.0612))+0-0-0</f>
        <v>751.76326799999993</v>
      </c>
      <c r="G176" s="3">
        <f>504+(256.7-28)+(0+(0-0))+0-0-0</f>
        <v>732.7</v>
      </c>
      <c r="H176" s="3">
        <f>504+(234.8-25)+(0+(0-0))+0-0-0</f>
        <v>713.8</v>
      </c>
      <c r="I176" s="3">
        <f>504+(210.5-25)+(-0.25704+(-0.107355--0.01275))+0-0-0</f>
        <v>689.14835500000004</v>
      </c>
      <c r="J176" s="3">
        <f>504+(189.1-26)+(-1.02816+(-0.385764--0.05304))+0-0-0</f>
        <v>665.73911599999997</v>
      </c>
      <c r="K176" s="3">
        <f>538+(128.6-35.2)+(0.27438+(0.065586-0.017952))+0-0-0</f>
        <v>631.72201399999994</v>
      </c>
      <c r="L176" s="3">
        <f>566+(57-85.7)+(-1.4433+(-0.14535--0.218535))+11.8-0-0</f>
        <v>547.72988499999985</v>
      </c>
      <c r="M176" s="3">
        <f>559+(64-90)+(-0.28509+(-0.03264--0.0459))+12-0-0</f>
        <v>544.72816999999998</v>
      </c>
      <c r="N176" s="3">
        <f>534+(92.4-56.7)+(0.54468+(0.094248-0.057834))+1-0-0</f>
        <v>571.28109400000005</v>
      </c>
      <c r="O176" s="3">
        <f>571+(99.7-64.4)+(-0.87363+(-0.152541--0.098532))+0-0-0</f>
        <v>605.37236099999996</v>
      </c>
      <c r="P176" s="3">
        <f>556+(124.7-53.8)+(-0.28356+(-0.063597--0.027438))+0-0-0</f>
        <v>626.58028100000001</v>
      </c>
      <c r="Q176" s="3">
        <f>552+(154.6-43.6)+(0+(0-0))+0-0-0</f>
        <v>663</v>
      </c>
      <c r="R176" s="3">
        <f>564+(189.4-38.4)+(0+(0-0))+0-0-0</f>
        <v>715</v>
      </c>
      <c r="S176" s="3">
        <f>571+(231.6-32)+(-0.87363+(-0.354348--0.04896))+0-0-0</f>
        <v>769.42098199999998</v>
      </c>
      <c r="T176" s="3">
        <f>571+(241.6-31)+(-0.58242+(-0.246432--0.03162))+0-0-0</f>
        <v>780.80276800000001</v>
      </c>
      <c r="U176" s="3">
        <f>573+(221-35)+(-0.29223+(-0.11271--0.01785))+0-0-0</f>
        <v>758.61291000000006</v>
      </c>
      <c r="V176" s="3">
        <f>576+(179-46)+(-1.17504+(-0.36516--0.09384))+0-0-0</f>
        <v>707.55363999999997</v>
      </c>
      <c r="W176" s="3">
        <f>587+(132.6-55)+(-1.79622+(-0.405756--0.1683))+0-0-0</f>
        <v>662.56632400000001</v>
      </c>
      <c r="X176" s="3">
        <f>520+(130.4-35)+(-1.0608+(-0.266016--0.0714))+0-0-0</f>
        <v>614.14458400000001</v>
      </c>
      <c r="Y176" s="3">
        <f>516+(260.9-32)+(-0.52632+(-0.266118--0.03264))+0-0-0</f>
        <v>744.14020199999993</v>
      </c>
      <c r="Z176" s="3">
        <f>516+(317.1-33)+(-0.78948+(-0.485163--0.05049))+0-0-0</f>
        <v>798.87584700000002</v>
      </c>
      <c r="AA176" s="3">
        <f>516+(327.2-33)+(-0.78948+(-0.500616--0.05049))+0-0-0</f>
        <v>808.96039400000006</v>
      </c>
      <c r="AB176" s="3">
        <f>516+(336.1-33)+(-0.52632+(-0.342822--0.03366))+0-0-0</f>
        <v>818.26451800000007</v>
      </c>
      <c r="AC176" s="3">
        <f>510+(326.4-32)+(-0.2601+(-0.166464--0.01632))+0-0-0</f>
        <v>803.98975599999994</v>
      </c>
      <c r="AD176">
        <v>804.1</v>
      </c>
      <c r="AE176" s="3">
        <f>515+(320.1-31)+(0+(0-0))+0-0-0</f>
        <v>804.1</v>
      </c>
    </row>
    <row r="177" spans="1:31" s="2" customFormat="1" x14ac:dyDescent="0.3">
      <c r="A177">
        <v>90</v>
      </c>
      <c r="B177">
        <v>6</v>
      </c>
      <c r="C177">
        <v>22</v>
      </c>
      <c r="D177">
        <v>4</v>
      </c>
      <c r="E177">
        <v>1</v>
      </c>
      <c r="F177" s="3">
        <f>508+(301.6-30)+(-0.77724+(-0.461448--0.0459))+0-0-0</f>
        <v>778.40721200000007</v>
      </c>
      <c r="G177" s="3">
        <f>491+(277.6-28)+(-0.75123+(-0.424728--0.04284))+0-0-0</f>
        <v>739.46688200000006</v>
      </c>
      <c r="H177" s="3">
        <f>492+(255.6-27)+(-1.00368+(-0.521424--0.05508))+0-0-0</f>
        <v>719.12997600000006</v>
      </c>
      <c r="I177" s="3">
        <f>491+(241.2-27)+(-0.25041+(-0.123012--0.01377))+0-0-0</f>
        <v>704.84034800000006</v>
      </c>
      <c r="J177" s="3">
        <f>491+(216.9-27)+(0.25041+(0.110619-0.01377))+0-0-0</f>
        <v>681.24725899999999</v>
      </c>
      <c r="K177" s="3">
        <f>492+(174.9-29)+(-0.25092+(-0.089199--0.01479))+0-0-0</f>
        <v>637.57467099999997</v>
      </c>
      <c r="L177" s="3">
        <f>513+(83-52)+(-0.26163+(-0.04233--0.02652))+26.3-0-0</f>
        <v>570.02256</v>
      </c>
      <c r="M177" s="3">
        <f>503+(73-71.2)+(0.25653+(0.03723-0.036312))+63-0-0</f>
        <v>568.05744800000002</v>
      </c>
      <c r="N177" s="3">
        <f>510+(101.9-54)+(-1.0404+(-0.207876--0.11016))+5.3-0-0</f>
        <v>562.06188399999996</v>
      </c>
      <c r="O177" s="3">
        <f>515+(125.9-48)+(0+(0-0))+0-0-0</f>
        <v>592.9</v>
      </c>
      <c r="P177" s="3">
        <f>541+(135.9-49)+(0.55182+(0.138618-0.04998))+0-0-0</f>
        <v>628.54045799999994</v>
      </c>
      <c r="Q177" s="3">
        <f>546+(165.8-43)+(0.55692+(0.169116-0.04386))+0-0-0</f>
        <v>669.48217599999998</v>
      </c>
      <c r="R177" s="3">
        <f>542+(201-37)+(0+(0-0))+0-0-0</f>
        <v>706</v>
      </c>
      <c r="S177" s="3">
        <f>542+(236-33)+(0+(0-0))+0-0-0</f>
        <v>745</v>
      </c>
      <c r="T177" s="3">
        <f>542+(257-33)+(0+(0-0))+0-0-0</f>
        <v>766</v>
      </c>
      <c r="U177" s="3">
        <f>544+(238-31)+(0+(0-0))+0-0-0</f>
        <v>751</v>
      </c>
      <c r="V177" s="3">
        <f>552+(187-40)+(0+(0-0))+0-0-0</f>
        <v>699</v>
      </c>
      <c r="W177" s="3">
        <f>568+(126-52)+(0+(0-0))+0-0-0</f>
        <v>642</v>
      </c>
      <c r="X177" s="3">
        <f>515+(134-37)+(-1.31325+(-0.3417--0.09435))+0-0-0</f>
        <v>610.43939999999998</v>
      </c>
      <c r="Y177" s="3">
        <f>522+(247-32)+(-0.53244+(-0.25194--0.03264))+0-0-0</f>
        <v>736.24825999999996</v>
      </c>
      <c r="Z177" s="3">
        <f>570+(253-32)+(-1.4535+(-0.64515--0.0816))+0-0-0</f>
        <v>788.98294999999996</v>
      </c>
      <c r="AA177" s="3">
        <f>570+(243-31)+(-1.7442+(-0.74358--0.09486))+0-0-0</f>
        <v>779.60708</v>
      </c>
      <c r="AB177" s="3">
        <f>570+(275-31)+(-1.1628+(-0.561--0.06324))+0-0-0</f>
        <v>812.33943999999997</v>
      </c>
      <c r="AC177" s="3">
        <f>570+(252-31)+(-0.2907+(-0.12852--0.01581))+0-0-0</f>
        <v>790.59658999999999</v>
      </c>
      <c r="AD177">
        <v>803.8</v>
      </c>
      <c r="AE177" s="3">
        <f>570+(266.8-33)+(0+(0-0))+0-0-0</f>
        <v>803.8</v>
      </c>
    </row>
    <row r="178" spans="1:31" s="2" customFormat="1" x14ac:dyDescent="0.3">
      <c r="A178">
        <v>90</v>
      </c>
      <c r="B178">
        <v>6</v>
      </c>
      <c r="C178">
        <v>23</v>
      </c>
      <c r="D178">
        <v>5</v>
      </c>
      <c r="E178">
        <v>1</v>
      </c>
      <c r="F178" s="3">
        <f>561+(254.9-31)+(0+(0-0))+0-0-0</f>
        <v>784.9</v>
      </c>
      <c r="G178" s="3">
        <f>561+(227.1-31)+(0+(0-0))+0-0-0</f>
        <v>757.1</v>
      </c>
      <c r="H178" s="3">
        <f>531+(237.8-32)+(0+(0-0))+0-0-0</f>
        <v>736.8</v>
      </c>
      <c r="I178" s="3">
        <f>490+(254.5-32)+(0+(0-0))+0-0-0</f>
        <v>712.5</v>
      </c>
      <c r="J178" s="3">
        <f>486+(229.7-33)+(0+(0-0))+0-0-0</f>
        <v>682.7</v>
      </c>
      <c r="K178" s="3">
        <f>518+(168.8-33)+(0+(0-0))+0-0-0</f>
        <v>653.79999999999995</v>
      </c>
      <c r="L178" s="3">
        <f>550+(85.7-61)+(0+(0-0))+0-0-0</f>
        <v>574.70000000000005</v>
      </c>
      <c r="M178" s="3">
        <f>550+(72.5-71)+(0.2805+(0.036975-0.03621))+0-0-0</f>
        <v>551.78126499999996</v>
      </c>
      <c r="N178" s="3">
        <f>548+(86.3-58)+(-0.55896+(-0.088026--0.05916))+0-0-0</f>
        <v>575.712174</v>
      </c>
      <c r="O178" s="3">
        <f>548+(106.7-62)+(0.27948+(0.054417-0.03162))+0-0-0</f>
        <v>593.00227700000005</v>
      </c>
      <c r="P178" s="3">
        <f>543+(128.8-54)+(0.83079+(0.197064-0.08262))+0-0-0</f>
        <v>618.74523399999998</v>
      </c>
      <c r="Q178" s="3">
        <f>542+(160.3-42)+(0.27642+(0.081753-0.02142))+0-0-0</f>
        <v>660.636753</v>
      </c>
      <c r="R178" s="3">
        <f>534+(197.3-40)+(0.54468+(0.201246-0.0408))+0-0-0</f>
        <v>692.0051259999999</v>
      </c>
      <c r="S178" s="3">
        <f>534+(240.5-31)+(-0.27234+(-0.122655--0.01581))+0-0-0</f>
        <v>743.12081499999999</v>
      </c>
      <c r="T178" s="3">
        <f>536+(243.3-31)+(-0.27336+(-0.124083--0.01581))+0-0-0</f>
        <v>747.91836699999999</v>
      </c>
      <c r="U178" s="3">
        <f>538+(225.4-32)+(-0.27438+(-0.114954--0.01632))+0-0-0</f>
        <v>731.02698599999997</v>
      </c>
      <c r="V178" s="3">
        <f>538+(193.5-42)+(-1.3719+(-0.493425--0.1071))+0-0-0</f>
        <v>687.74177499999996</v>
      </c>
      <c r="W178" s="3">
        <f>562+(136.5-53)+(-1.71972+(-0.41769--0.16218))+0-0-0</f>
        <v>643.52476999999999</v>
      </c>
      <c r="X178" s="3">
        <f>498+(170.9-32)+(-1.2699+(-0.435795--0.0816))+0-0-0</f>
        <v>635.27590499999997</v>
      </c>
      <c r="Y178" s="3">
        <f>522+(241.3-31)+(-0.53244+(-0.246126--0.03162))+0-0-0</f>
        <v>731.55305399999997</v>
      </c>
      <c r="Z178" s="3">
        <f>568+(249.5-29)+(-1.73808+(-0.76347--0.08874))+0-0-0</f>
        <v>786.08718999999996</v>
      </c>
      <c r="AA178" s="3">
        <f>503+(328.7-32)+(-1.28265+(-0.838185--0.0816))+0-0-0</f>
        <v>797.66076500000008</v>
      </c>
      <c r="AB178" s="3">
        <f>498+(340.1-32)+(-0.76194+(-0.520353--0.04896))+0-0-0</f>
        <v>804.86666700000001</v>
      </c>
      <c r="AC178" s="3">
        <f>546+(275.6-32)+(-0.27846+(-0.140556--0.01632))+0-0-0</f>
        <v>789.19730400000003</v>
      </c>
      <c r="AD178">
        <v>781.8</v>
      </c>
      <c r="AE178" s="3">
        <f>566+(247.8-32)+(0+(0-0))+0-0-0</f>
        <v>781.8</v>
      </c>
    </row>
    <row r="179" spans="1:31" s="2" customFormat="1" x14ac:dyDescent="0.3">
      <c r="A179">
        <v>90</v>
      </c>
      <c r="B179">
        <v>6</v>
      </c>
      <c r="C179">
        <v>24</v>
      </c>
      <c r="D179">
        <v>6</v>
      </c>
      <c r="E179">
        <v>1</v>
      </c>
      <c r="F179" s="3">
        <f>550+(239.9-32)+(0+(0-0))+0-0-0</f>
        <v>757.9</v>
      </c>
      <c r="G179" s="3">
        <f>552+(207.5-32)+(-0.28152+(-0.105825--0.01632))+0-0-0</f>
        <v>727.12897499999997</v>
      </c>
      <c r="H179" s="3">
        <f>552+(182.8-33)+(0.84456+(0.279684-0.05049))+0-0-0</f>
        <v>702.87375399999996</v>
      </c>
      <c r="I179" s="3">
        <f>552+(168.4-39)+(-0.56304+(-0.171768--0.03978))+0-0-0</f>
        <v>680.704972</v>
      </c>
      <c r="J179" s="3">
        <f>551+(149.6-40)+(-0.84303+(-0.228888--0.0612))+0-0-0</f>
        <v>659.58928200000003</v>
      </c>
      <c r="K179" s="3">
        <f>551+(115.3-49)+(-0.28101+(-0.058803--0.02499))+0-0-0</f>
        <v>616.98517699999991</v>
      </c>
      <c r="L179" s="3">
        <f>563+(81.1-59)+(-1.43565+(-0.206805--0.15045))+0-0-0</f>
        <v>583.60799500000007</v>
      </c>
      <c r="M179" s="3">
        <f>491+(102.6-44)+(0+(0-0))+0-0-0</f>
        <v>549.6</v>
      </c>
      <c r="N179" s="3">
        <f>487+(111.8-42)+(0+(0-0))+0-0-0</f>
        <v>556.79999999999995</v>
      </c>
      <c r="O179" s="3">
        <f>486+(136-34)+(0+(0-0))+0-0-0</f>
        <v>588</v>
      </c>
      <c r="P179" s="3">
        <f>490+(160.6-30)+(0.9996+(0.327624-0.0612))+0-0-0</f>
        <v>621.86602400000004</v>
      </c>
      <c r="Q179" s="3">
        <f>522+(171.3-30)+(0+(0-0))+0-0-0</f>
        <v>663.3</v>
      </c>
      <c r="R179" s="3">
        <f>525+(200.2-33)+(-0.5355+(-0.204204--0.03366))+0-0-0</f>
        <v>691.49395600000003</v>
      </c>
      <c r="S179" s="3">
        <f>541+(210.3-33)+(-1.10364+(-0.429012--0.06732))+0-0-0</f>
        <v>716.83466799999997</v>
      </c>
      <c r="T179" s="3">
        <f>542+(227.3-32)+(-0.27642+(-0.115923--0.01632))+0-0-0</f>
        <v>736.92397699999992</v>
      </c>
      <c r="U179" s="3">
        <f>544+(203.8-31)+(-0.83232+(-0.311814--0.04743))+0-0-0</f>
        <v>715.70329599999991</v>
      </c>
      <c r="V179" s="3">
        <f>552+(168.7-43)+(-0.28152+(-0.086037--0.02193))+0-0-0</f>
        <v>677.35437300000001</v>
      </c>
      <c r="W179" s="3">
        <f>558+(117-52)+(-1.4229+(-0.29835--0.1326))+0-0-0</f>
        <v>621.41134999999997</v>
      </c>
      <c r="X179" s="3">
        <f>497+(137.6-34)+(0+(0-0))+0-0-0</f>
        <v>600.6</v>
      </c>
      <c r="Y179" s="3">
        <f>513+(233.1-31)+(0+(0-0))+0-0-0</f>
        <v>715.1</v>
      </c>
      <c r="Z179" s="3">
        <f>567+(231.5-33)+(-0.86751+(-0.354195--0.05049))+0-0-0</f>
        <v>764.32878500000004</v>
      </c>
      <c r="AA179" s="3">
        <f>568+(242.1-33)+(-1.4484+(-0.617355--0.08415))+0-0-0</f>
        <v>775.11839500000008</v>
      </c>
      <c r="AB179" s="3">
        <f>568+(253.5-33)+(-1.4484+(-0.646425--0.08415))+0-0-0</f>
        <v>786.48932500000001</v>
      </c>
      <c r="AC179" s="3">
        <f>568+(246.6-32)+(-0.86904+(-0.377298--0.04896))+0-0-0</f>
        <v>781.40262200000006</v>
      </c>
      <c r="AD179">
        <v>773.9</v>
      </c>
      <c r="AE179" s="3">
        <f>566+(239.9-32)+(0+(0-0))+0-0-0</f>
        <v>773.9</v>
      </c>
    </row>
    <row r="180" spans="1:31" s="2" customFormat="1" x14ac:dyDescent="0.3">
      <c r="A180">
        <v>90</v>
      </c>
      <c r="B180">
        <v>6</v>
      </c>
      <c r="C180">
        <v>25</v>
      </c>
      <c r="D180">
        <v>7</v>
      </c>
      <c r="E180">
        <v>1</v>
      </c>
      <c r="F180" s="3">
        <f>557+(237.4-33)+(-0.85221+(-0.363222--0.05049))+0-0-0</f>
        <v>760.23505799999998</v>
      </c>
      <c r="G180" s="3">
        <f>557+(211.6-30)+(-0.28407+(-0.107916--0.0153))+0-0-0</f>
        <v>738.22331400000007</v>
      </c>
      <c r="H180" s="3">
        <f>524+(216.6-29)+(-1.3362+(-0.55233--0.07395))+0-0-0</f>
        <v>709.78542000000004</v>
      </c>
      <c r="I180" s="3">
        <f>488+(221.1-28)+(0+(0-0))+0-0-0</f>
        <v>681.1</v>
      </c>
      <c r="J180" s="3">
        <f>488+(211.9-27)+(0+(0-0))+0-0-0</f>
        <v>672.9</v>
      </c>
      <c r="K180" s="3">
        <f>488+(181.8-29)+(0.74664+(0.278154-0.04437))+0-0-0</f>
        <v>641.78042399999993</v>
      </c>
      <c r="L180" s="3">
        <f>485+(114-31.9)+(0.74205+(0.17442-0.048807))+0-0-0</f>
        <v>567.96766300000002</v>
      </c>
      <c r="M180" s="3">
        <f>480+(105.1-35.2)+(-1.224+(-0.268005--0.08976))+0-0-0</f>
        <v>548.49775499999998</v>
      </c>
      <c r="N180" s="3">
        <f>447+(133-37.8)+(0+(0-0))+0-0-0</f>
        <v>542.20000000000005</v>
      </c>
      <c r="O180" s="3">
        <f>446+(142.3-37.1)+(-0.68238+(-0.217719--0.056763))+0-0-0</f>
        <v>550.35666400000002</v>
      </c>
      <c r="P180" s="3">
        <f>469+(138.7-32.9)+(-0.47838+(-0.141474--0.033558))+0-0-0</f>
        <v>574.21370400000001</v>
      </c>
      <c r="Q180" s="3">
        <f>477+(161.5-29)+(-0.48654+(-0.16473--0.02958))+0-0-0</f>
        <v>608.87831000000006</v>
      </c>
      <c r="R180" s="3">
        <f>465+(215.4-32)+(-0.4743+(-0.219708--0.03264))+0-0-0</f>
        <v>647.73863199999994</v>
      </c>
      <c r="S180" s="3">
        <f>465+(259.8-32)+(-0.4743+(-0.264996--0.03264))+0-0-0</f>
        <v>692.093344</v>
      </c>
      <c r="T180" s="3">
        <f>465+(259.5-30)+(0.23715+(0.132345-0.0153))+0-0-0</f>
        <v>694.854195</v>
      </c>
      <c r="U180" s="3">
        <f>468+(250.6-28)+(0+(0-0))+0-0-0</f>
        <v>690.6</v>
      </c>
      <c r="V180" s="3">
        <f>472+(200.4-30)+(-1.2036+(-0.51102--0.0765))+0-0-0</f>
        <v>640.76188000000002</v>
      </c>
      <c r="W180" s="3">
        <f>493+(151.5-33.3)+(-0.50286+(-0.15453--0.033966))+0-0-0</f>
        <v>610.57657600000005</v>
      </c>
      <c r="X180" s="3">
        <f>493+(131.8-32)+(-0.75429+(-0.201654--0.04896))+0-0-0</f>
        <v>591.89301599999999</v>
      </c>
      <c r="Y180" s="3">
        <f>500+(238.8-33)+(0+(0-0))+0-0-0</f>
        <v>705.8</v>
      </c>
      <c r="Z180" s="3">
        <f>564+(241.4-32)+(-0.86292+(-0.369342--0.04896))+0-0-0</f>
        <v>772.21669799999995</v>
      </c>
      <c r="AA180" s="3">
        <f>564+(236.3-32)+(-1.4382+(-0.602565--0.0816))+0-0-0</f>
        <v>766.34083499999997</v>
      </c>
      <c r="AB180" s="3">
        <f>565+(253.5-32)+(-1.1526+(-0.51714--0.06528))+0-0-0</f>
        <v>784.89553999999998</v>
      </c>
      <c r="AC180" s="3">
        <f>562+(229-31)+(-0.57324+(-0.23358--0.03162))+0-0-0</f>
        <v>759.22479999999996</v>
      </c>
      <c r="AD180">
        <v>764.8</v>
      </c>
      <c r="AE180" s="3">
        <f>563+(234.8-33)+(0+(0-0))+0-0-0</f>
        <v>764.8</v>
      </c>
    </row>
    <row r="181" spans="1:31" s="2" customFormat="1" x14ac:dyDescent="0.3">
      <c r="A181">
        <v>90</v>
      </c>
      <c r="B181">
        <v>6</v>
      </c>
      <c r="C181">
        <v>26</v>
      </c>
      <c r="D181">
        <v>1</v>
      </c>
      <c r="E181">
        <v>1</v>
      </c>
      <c r="F181" s="3">
        <f>556+(191.9-23)+(-1.13424+(-0.391476--0.04692))+0-0-0</f>
        <v>723.42120399999999</v>
      </c>
      <c r="G181" s="3">
        <f>556+(159.4-27.6)+(0+(0-0))+0-0-0</f>
        <v>687.8</v>
      </c>
      <c r="H181" s="3">
        <f>554+(147.7-31)+(-0.84762+(-0.225981--0.04743))+0-0-0</f>
        <v>669.67382900000007</v>
      </c>
      <c r="I181" s="3">
        <f>487+(191.1-23)+(-0.49674+(-0.194922--0.02346))+0-0-0</f>
        <v>654.43179800000007</v>
      </c>
      <c r="J181" s="3">
        <f>485+(169.2-25)+(-0.24735+(-0.086292--0.01275))+0-0-0</f>
        <v>628.87910800000009</v>
      </c>
      <c r="K181" s="3">
        <f>486+(139.6-29)+(-1.2393+(-0.35598--0.07395))+0-0-0</f>
        <v>595.07866999999999</v>
      </c>
      <c r="L181" s="3">
        <f>485+(97.9-39)+(-1.73145+(-0.349503--0.13923))+0-0-0</f>
        <v>541.95827699999995</v>
      </c>
      <c r="M181" s="3">
        <f>477+(86.8-48.6)+(0.72981+(0.132804-0.074358))+7.5-0-0</f>
        <v>523.48825600000009</v>
      </c>
      <c r="N181" s="3">
        <f>472+(87.1-33.1)+(-0.48144+(-0.088842--0.033762))+15-0-0</f>
        <v>540.46348</v>
      </c>
      <c r="O181" s="3">
        <f>481+(107.4-44.7)+(-0.24531+(-0.054774--0.022797))+15-0-0</f>
        <v>558.42271300000004</v>
      </c>
      <c r="P181" s="3">
        <f>481+(143.9-38.2)+(0+(0-0))+14.5-0-0</f>
        <v>601.20000000000005</v>
      </c>
      <c r="Q181" s="3">
        <f>481+(167.6-33)+(0.24531+(0.085476-0.01683))+0-0-0</f>
        <v>615.91395599999998</v>
      </c>
      <c r="R181" s="3">
        <f>548+(185.6-40)+(-0.55896+(-0.189312--0.0408))+0-0-0</f>
        <v>692.89252799999997</v>
      </c>
      <c r="S181" s="3">
        <f>527+(260-32)+(0.26877+(0.1326-0.01632))+0-0-0</f>
        <v>755.38504999999998</v>
      </c>
      <c r="T181" s="3">
        <f>550+(231-32)+(0.2805+(0.11781-0.01632))+0-0-0</f>
        <v>749.38198999999997</v>
      </c>
      <c r="U181" s="3">
        <f>550+(208.7-36.8)+(-0.2805+(-0.106437--0.018768))+0-0-0</f>
        <v>721.53183100000001</v>
      </c>
      <c r="V181" s="3">
        <f>556+(168.5-48.7)+(-0.85068+(-0.257805--0.074511))+0-0-0</f>
        <v>674.76602600000001</v>
      </c>
      <c r="W181" s="3">
        <f>566+(113-58.4)+(-1.15464+(-0.23052--0.119136))+0-0-0</f>
        <v>619.33397600000001</v>
      </c>
      <c r="X181" s="3">
        <f>504+(126.6-36.2)+(-0.51408+(-0.129132--0.036924))+0-0-0</f>
        <v>593.79371200000003</v>
      </c>
      <c r="Y181" s="3">
        <f>497+(247-30)+(-0.25347+(-0.12597--0.0153))+0-0-0</f>
        <v>713.63585999999998</v>
      </c>
      <c r="Z181" s="3">
        <f>562+(235.4-32)+(-0.57324+(-0.240108--0.03264))+0-0-0</f>
        <v>764.61929199999997</v>
      </c>
      <c r="AA181" s="3">
        <f>569+(239.3-32)+(-1.74114+(-0.732258--0.09792))+0-0-0</f>
        <v>773.92452199999991</v>
      </c>
      <c r="AB181" s="3">
        <f>569+(237.1-32)+(0.29019+(0.120921-0.01632))+0-0-0</f>
        <v>774.49479100000008</v>
      </c>
      <c r="AC181" s="3">
        <f>569+(224-32)+(0.29019+(0.11424-0.01632))+0-0-0</f>
        <v>761.38810999999998</v>
      </c>
      <c r="AD181">
        <v>766.2</v>
      </c>
      <c r="AE181" s="3">
        <f>567+(231.2-32)+(0+(0-0))+0-0-0</f>
        <v>766.2</v>
      </c>
    </row>
    <row r="182" spans="1:31" s="2" customFormat="1" x14ac:dyDescent="0.3">
      <c r="A182">
        <v>90</v>
      </c>
      <c r="B182">
        <v>6</v>
      </c>
      <c r="C182">
        <v>27</v>
      </c>
      <c r="D182">
        <v>2</v>
      </c>
      <c r="E182">
        <v>1</v>
      </c>
      <c r="F182" s="3">
        <f>563+(199.1-31)+(-0.28713+(-0.101541--0.01581))+0-0-0</f>
        <v>730.72713900000008</v>
      </c>
      <c r="G182" s="3">
        <f>559+(179.7-32.4)+(0.28509+(0.091647-0.016524))+0-0-0</f>
        <v>706.660213</v>
      </c>
      <c r="H182" s="3">
        <f>489+(220.2-27)+(0.99756+(0.449208-0.05508))+0-0-0</f>
        <v>683.59168800000009</v>
      </c>
      <c r="I182" s="3">
        <f>488+(193.1-26)+(-0.74664+(-0.295443--0.03978))+0-0-0</f>
        <v>654.09769700000004</v>
      </c>
      <c r="J182" s="3">
        <f>480+(165.4-26)+(0.9792+(0.337416-0.05304))+0-0-0</f>
        <v>620.66357599999992</v>
      </c>
      <c r="K182" s="3">
        <f>474+(150.5-26)+(0.48348+(0.15351-0.02652))+0-0-0</f>
        <v>599.11046999999996</v>
      </c>
      <c r="L182" s="3">
        <f>472+(108.4-38.3)+(-0.48144+(-0.110568--0.039066))+0-0-0</f>
        <v>541.54705799999999</v>
      </c>
      <c r="M182" s="3">
        <f>472+(95.2-43.4)+(0.24072+(0.048552-0.022134))+0-0-0</f>
        <v>524.067138</v>
      </c>
      <c r="N182" s="3">
        <f>486+(106.9-45.8)+(-0.24786+(-0.054519--0.023358))+0-0-0</f>
        <v>546.82097900000008</v>
      </c>
      <c r="O182" s="3">
        <f>515+(105.8-53.4)+(0.26265+(0.053958-0.027234))+0-0-0</f>
        <v>567.68937399999993</v>
      </c>
      <c r="P182" s="3">
        <f>534+(116.1-57.2)+(0+(0-0))+0-0-0</f>
        <v>592.9</v>
      </c>
      <c r="Q182" s="3">
        <f>539+(148.4-52.7)+(0.82467+(0.227052-0.080631))+0-0-0</f>
        <v>635.67109100000005</v>
      </c>
      <c r="R182" s="3">
        <f>538+(182.4-42.5)+(0.27438+(0.093024-0.021675))+0-0-0</f>
        <v>678.24572899999998</v>
      </c>
      <c r="S182" s="3">
        <f>538+(223.3-33)+(-0.27438+(-0.113883--0.01683))+0-0-0</f>
        <v>727.92856699999993</v>
      </c>
      <c r="T182" s="3">
        <f>538+(232.5-33)+(0.27438+(0.118575-0.01683))+0-0-0</f>
        <v>737.876125</v>
      </c>
      <c r="U182" s="3">
        <f>539+(218-35.4)+(-0.82467+(-0.33354--0.054162))+0-0-0</f>
        <v>720.49595199999999</v>
      </c>
      <c r="V182" s="3">
        <f>541+(172.8-45.4)+(-1.10364+(-0.352512--0.092616))+0-0-0</f>
        <v>667.03646400000002</v>
      </c>
      <c r="W182" s="3">
        <f>558+(113.4-55.6)+(-1.70748+(-0.347004--0.170136))+0-0-0</f>
        <v>613.91565199999991</v>
      </c>
      <c r="X182" s="3">
        <f>509+(121.7-34.1)+(0.25959+(0.062067-0.017391))+0-0-0</f>
        <v>596.90426600000001</v>
      </c>
      <c r="Y182" s="3">
        <f>518+(232.7-31)+(0.26418+(0.118677-0.01581))+0-0-0</f>
        <v>720.067047</v>
      </c>
      <c r="Z182" s="3">
        <f>571+(225.6-30)+(0+(0-0))+0-0-0</f>
        <v>766.6</v>
      </c>
      <c r="AA182" s="3">
        <f>531+(272.7-32)+(-1.35405+(-0.695385--0.0816))+0-0-0</f>
        <v>769.73216500000001</v>
      </c>
      <c r="AB182" s="3">
        <f>499+(312.2-31)+(-1.27245+(-0.79611--0.07905))+0-0-0</f>
        <v>778.21049000000005</v>
      </c>
      <c r="AC182" s="3">
        <f>500+(295.6-33)+(0.51+(0.301512-0.03366))+0-0-0</f>
        <v>763.37785200000008</v>
      </c>
      <c r="AD182">
        <v>767.6</v>
      </c>
      <c r="AE182" s="3">
        <f>570+(230.6-33)+(0+(0-0))+0-0-0</f>
        <v>767.6</v>
      </c>
    </row>
    <row r="183" spans="1:31" s="2" customFormat="1" x14ac:dyDescent="0.3">
      <c r="A183">
        <v>90</v>
      </c>
      <c r="B183">
        <v>6</v>
      </c>
      <c r="C183">
        <v>28</v>
      </c>
      <c r="D183">
        <v>3</v>
      </c>
      <c r="E183">
        <v>1</v>
      </c>
      <c r="F183" s="3">
        <f>494+(267.5-33)+(-0.50388+(-0.27285--0.03366))+0-0-0</f>
        <v>727.75693000000001</v>
      </c>
      <c r="G183" s="3">
        <f>434+(294.6-33)+(-0.88536+(-0.600984--0.06732))+0-0-0</f>
        <v>694.18097599999999</v>
      </c>
      <c r="H183" s="3">
        <f>422+(281.5-33)+(-0.21522+(-0.143565--0.01683))+0-0-0</f>
        <v>670.15804500000002</v>
      </c>
      <c r="I183" s="3">
        <f>423+(261.3-32)+(-0.86292+(-0.533052--0.06528))+0-0-0</f>
        <v>650.96930799999996</v>
      </c>
      <c r="J183" s="3">
        <f>422+(238.5-32)+(1.0761+(0.608175-0.0816))+0-0-0</f>
        <v>630.10267499999998</v>
      </c>
      <c r="K183" s="3">
        <f>421+(213.2-31)+(0.64413+(0.326196-0.04743))+0-0-0</f>
        <v>604.12289600000008</v>
      </c>
      <c r="L183" s="3">
        <f>420+(159.9-31)+(-0.8568+(-0.326196--0.06324))+0-0-0</f>
        <v>547.78024399999993</v>
      </c>
      <c r="M183" s="3">
        <f>419+(149-31)+(0+(0-0))+0-0-0</f>
        <v>537</v>
      </c>
      <c r="N183" s="3">
        <f>421+(157.6-30)+(0.21471+(0.080376-0.0153))+0-0-0</f>
        <v>548.87978599999997</v>
      </c>
      <c r="O183" s="3">
        <f>420+(179.6-29)+(0.2142+(0.091596-0.01479))+0-0-0</f>
        <v>570.89100600000006</v>
      </c>
      <c r="P183" s="3">
        <f>423+(198-28)+(0.21573+(0.10098-0.01428))+0-0-0</f>
        <v>593.30242999999996</v>
      </c>
      <c r="Q183" s="3">
        <f>424+(227-29)+(0.43248+(0.23154-0.02958))+0-0-0</f>
        <v>622.63444000000004</v>
      </c>
      <c r="R183" s="3">
        <f>417+(284-34)+(-0.21267+(-0.14484--0.01734))+0-0-0</f>
        <v>666.65983000000006</v>
      </c>
      <c r="S183" s="3">
        <f>384+(363.5-34)+(-0.58752+(-0.556155--0.05202))+0-0-0</f>
        <v>712.40834500000005</v>
      </c>
      <c r="T183" s="3">
        <f>470+(295.9-34)+(0+(0-0))+0-0-0</f>
        <v>731.9</v>
      </c>
      <c r="U183" s="3">
        <f>516+(243.7-34)+(-1.05264+(-0.497148--0.06936))+0-0-0</f>
        <v>724.21957200000008</v>
      </c>
      <c r="V183" s="3">
        <f>551+(165.5-33)+(-0.56202+(-0.16881--0.03366))+0-0-0</f>
        <v>682.80282999999997</v>
      </c>
      <c r="W183" s="3">
        <f>515+(130.5-39.8)+(-1.0506+(-0.26622--0.081192))+0-0-0</f>
        <v>604.46437200000003</v>
      </c>
      <c r="X183" s="3">
        <f>512+(134.2-36.9)+(-0.26112+(-0.068442--0.018819))+0-0-0</f>
        <v>608.98925699999995</v>
      </c>
      <c r="Y183" s="3">
        <f>512+(233.9-33)+(0.26112+(0.119289-0.01683))+0-0-0</f>
        <v>713.26357899999994</v>
      </c>
      <c r="Z183" s="3">
        <f>513+(276.9-31)+(-1.04652+(-0.564876--0.06324))+0-0-0</f>
        <v>757.35184400000003</v>
      </c>
      <c r="AA183" s="3">
        <f>513+(286.4-30)+(-1.04652+(-0.584256--0.0612))+0-0-0</f>
        <v>767.83042399999999</v>
      </c>
      <c r="AB183" s="3">
        <f>513+(288.8-30)+(-1.04652+(-0.589152--0.0612))+0-0-0</f>
        <v>770.22552799999994</v>
      </c>
      <c r="AC183" s="3">
        <f>513+(260.8-30)+(0+(0-0))+0-0-0</f>
        <v>743.8</v>
      </c>
      <c r="AD183">
        <v>758.1</v>
      </c>
      <c r="AE183" s="3">
        <f>512+(279.1-33)+(0+(0-0))+0-0-0</f>
        <v>758.1</v>
      </c>
    </row>
    <row r="184" spans="1:31" s="2" customFormat="1" x14ac:dyDescent="0.3">
      <c r="A184">
        <v>90</v>
      </c>
      <c r="B184">
        <v>6</v>
      </c>
      <c r="C184">
        <v>29</v>
      </c>
      <c r="D184">
        <v>4</v>
      </c>
      <c r="E184">
        <v>1</v>
      </c>
      <c r="F184" s="3">
        <f>510+(238.1-29)+(-1.0404+(-0.485724--0.05916))+0-0-0</f>
        <v>717.63303600000006</v>
      </c>
      <c r="G184" s="3">
        <f>510+(216.5-28)+(-0.7803+(-0.331245--0.04284))+0-0-0</f>
        <v>697.43129499999998</v>
      </c>
      <c r="H184" s="3">
        <f>510+(192.2-28)+(-0.7803+(-0.294066--0.04284))+0-0-0</f>
        <v>673.16847400000006</v>
      </c>
      <c r="I184" s="3">
        <f>498+(179.2-27)+(0.50796+(0.182784-0.02754))+0-0-0</f>
        <v>650.863204</v>
      </c>
      <c r="J184" s="3">
        <f>502+(151.9-27)+(1.2801+(0.387345-0.06885))+0-0-0</f>
        <v>628.49859500000002</v>
      </c>
      <c r="K184" s="3">
        <f>507+(123.6-29)+(0+(0-0))+0-0-0</f>
        <v>601.6</v>
      </c>
      <c r="L184" s="3">
        <f>505+(83.5-45.9)+(-0.25755+(-0.042585--0.023409))+0-0-0</f>
        <v>542.32327399999997</v>
      </c>
      <c r="M184" s="3">
        <f>496+(83.1-47.5)+(-0.25296+(-0.042381--0.024225))+0-0-0</f>
        <v>531.32888400000002</v>
      </c>
      <c r="N184" s="3">
        <f>473+(114.7-41.1)+(0+(0-0))+0-0-0</f>
        <v>546.6</v>
      </c>
      <c r="O184" s="3">
        <f>473+(126-36.5)+(0.72369+(0.19278-0.055845))+0-0-0</f>
        <v>563.36062500000003</v>
      </c>
      <c r="P184" s="3">
        <f>491+(128.6-32)+(0.50082+(0.131172-0.03264))+0-0-0</f>
        <v>588.19935199999998</v>
      </c>
      <c r="Q184" s="3">
        <f>490+(141.2-31)+(0.7497+(0.216036-0.04743))+0-0-0</f>
        <v>601.11830600000008</v>
      </c>
      <c r="R184" s="3">
        <f>472+(229.8-33)+(0+(0-0))+0-0-0</f>
        <v>668.8</v>
      </c>
      <c r="S184" s="3">
        <f>465+(280.8-33)+(-0.23715+(-0.143208--0.01683))+0-0-0</f>
        <v>712.43647199999998</v>
      </c>
      <c r="T184" s="3">
        <f>465+(284-33)+(0.23715+(0.14484-0.01683))+0-0-0</f>
        <v>716.36515999999995</v>
      </c>
      <c r="U184" s="3">
        <f>467+(265.5-33)+(0.47634+(0.27081-0.03366))+0-0-0</f>
        <v>700.21348999999998</v>
      </c>
      <c r="V184" s="3">
        <f>460+(217.2-32)+(-1.173+(-0.55386--0.0816))+0-0-0</f>
        <v>643.55474000000004</v>
      </c>
      <c r="W184" s="3">
        <f>490+(137.5-27)+(-0.4998+(-0.14025--0.02754))+0-0-0</f>
        <v>599.88748999999996</v>
      </c>
      <c r="X184" s="3">
        <f>492+(136.8-30)+(0+(0-0))+0-0-0</f>
        <v>598.79999999999995</v>
      </c>
      <c r="Y184" s="3">
        <f>492+(245.4-32)+(0+(0-0))+0-0-0</f>
        <v>705.4</v>
      </c>
      <c r="Z184" s="3">
        <f>492+(288.2-32)+(-0.50184+(-0.293964--0.03264))+0-0-0</f>
        <v>747.43683600000008</v>
      </c>
      <c r="AA184" s="3">
        <f>490+(310.8-32)+(-1.2495+(-0.79254--0.0816))+0-0-0</f>
        <v>766.83956000000001</v>
      </c>
      <c r="AB184" s="3">
        <f>491+(312.1-32)+(-1.25205+(-0.795855--0.0816))+0-0-0</f>
        <v>769.13369499999999</v>
      </c>
      <c r="AC184" s="3">
        <f>492+(296.2-32)+(-0.25092+(-0.151062--0.01632))+0-0-0</f>
        <v>755.81433800000002</v>
      </c>
      <c r="AD184">
        <v>759</v>
      </c>
      <c r="AE184" s="3">
        <f>490+(301-32)+(0+(0-0))+0-0-0</f>
        <v>759</v>
      </c>
    </row>
    <row r="185" spans="1:31" s="2" customFormat="1" x14ac:dyDescent="0.3">
      <c r="A185">
        <v>90</v>
      </c>
      <c r="B185">
        <v>6</v>
      </c>
      <c r="C185">
        <v>30</v>
      </c>
      <c r="D185">
        <v>5</v>
      </c>
      <c r="E185">
        <v>1</v>
      </c>
      <c r="F185" s="3">
        <f>486+(260.7-27)+(-1.73502+(-0.930699--0.09639))+0-0-0</f>
        <v>717.13067100000001</v>
      </c>
      <c r="G185" s="3">
        <f>485+(233.4-29)+(-1.9788+(-0.952272--0.11832))+0-0-0</f>
        <v>686.58724799999993</v>
      </c>
      <c r="H185" s="3">
        <f>486+(220.7-29)+(-1.48716+(-0.675342--0.08874))+0-0-0</f>
        <v>675.62623800000006</v>
      </c>
      <c r="I185" s="3">
        <f>486+(195.1-30)+(0.24786+(0.099501-0.0153))+0-0-0</f>
        <v>651.43206099999998</v>
      </c>
      <c r="J185" s="3">
        <f>479+(173.7-31)+(0.24429+(0.088587-0.01581))+0-0-0</f>
        <v>622.017067</v>
      </c>
      <c r="K185" s="3">
        <f>479+(148.7-32)+(0.48858+(0.151674-0.03264))+0-0-0</f>
        <v>596.30761400000006</v>
      </c>
      <c r="L185" s="3">
        <f>478+(101.9-36.1)+(-0.97512+(-0.207876--0.073644))+0-0-0</f>
        <v>542.69064800000001</v>
      </c>
      <c r="M185" s="3">
        <f>478+(94.8-39.4)+(0.48756+(0.096696-0.040188))+0-0-0</f>
        <v>533.94406800000002</v>
      </c>
      <c r="N185" s="3">
        <f>476+(109.3-36.6)+(-0.97104+(-0.222972--0.074664))+0-0-0</f>
        <v>547.5806520000001</v>
      </c>
      <c r="O185" s="3">
        <f>477+(122.9-33.5)+(-0.24327+(-0.062679--0.017085))+0-0-0</f>
        <v>566.11113599999999</v>
      </c>
      <c r="P185" s="3">
        <f>476+(138.4-31)+(-0.48552+(-0.141168--0.03162))+0-0-0</f>
        <v>582.80493200000001</v>
      </c>
      <c r="Q185" s="3">
        <f>477+(172.7-31)+(0.48654+(0.176154-0.03162))+0-0-0</f>
        <v>619.33107400000006</v>
      </c>
      <c r="R185" s="3">
        <f>476+(221.1-32)+(-0.48552+(-0.225522--0.03264))+0-0-0</f>
        <v>664.42159800000002</v>
      </c>
      <c r="S185" s="3">
        <f>476+(270.6-33)+(-0.48552+(-0.276012--0.03366))+0-0-0</f>
        <v>712.87212799999998</v>
      </c>
      <c r="T185" s="3">
        <f>477+(292.3-31)+(-0.48654+(-0.298146--0.03162))+0-0-0</f>
        <v>737.54693399999996</v>
      </c>
      <c r="U185" s="3">
        <f>479+(272.6-32)+(-0.97716+(-0.556104--0.06528))+0-0-0</f>
        <v>718.13201600000002</v>
      </c>
      <c r="V185" s="3">
        <f>486+(224.1-30)+(-0.99144+(-0.457164--0.0612))+0-0-0</f>
        <v>678.71259600000008</v>
      </c>
      <c r="W185" s="3">
        <f>489+(160.9-30)+(-1.24695+(-0.410295--0.0765))+0-0-0</f>
        <v>618.319255</v>
      </c>
      <c r="X185" s="3">
        <f>491+(168-32)+(-0.75123+(-0.25704--0.04896))+0-0-0</f>
        <v>626.04069000000004</v>
      </c>
      <c r="Y185" s="3">
        <f>491+(268.6-32)+(-1.00164+(-0.547944--0.06528))+0-0-0</f>
        <v>726.11569600000007</v>
      </c>
      <c r="Z185" s="3">
        <f>491+(309.1-33)+(-1.00164+(-0.630564--0.06732))+0-0-0</f>
        <v>765.53511600000002</v>
      </c>
      <c r="AA185" s="3">
        <f>489+(319-33)+(-1.99512+(-1.30152--0.13464))+0-0-0</f>
        <v>771.83799999999997</v>
      </c>
      <c r="AB185" s="3">
        <f>490+(321.4-33)+(-1.2495+(-0.81957--0.08415))+0-0-0</f>
        <v>776.41507999999999</v>
      </c>
      <c r="AC185" s="3">
        <f>491+(312.7-33)+(-0.50082+(-0.318954--0.03366))+0-0-0</f>
        <v>769.91388600000005</v>
      </c>
      <c r="AD185">
        <v>765.1</v>
      </c>
      <c r="AE185" s="3">
        <f>491+(306.1-32)+(0+(0-0))+0-0-0</f>
        <v>765.1</v>
      </c>
    </row>
    <row r="186" spans="1:31" s="2" customFormat="1" x14ac:dyDescent="0.3">
      <c r="A186">
        <v>90</v>
      </c>
      <c r="B186">
        <v>6</v>
      </c>
      <c r="C186">
        <v>31</v>
      </c>
      <c r="D186">
        <v>6</v>
      </c>
      <c r="E186">
        <v>1</v>
      </c>
      <c r="F186" s="3">
        <f>589+(235.4-30)+(-0.60078+(-0.240108--0.0306))+0-0-0</f>
        <v>793.58971199999996</v>
      </c>
      <c r="G186" s="3">
        <f>491+(229.9-31)+(0.75123+(0.351747-0.04743))+0-0-0</f>
        <v>690.95554700000002</v>
      </c>
      <c r="H186" s="3">
        <f>491+(214-31)+(0.75123+(0.32742-0.04743))+0-0-0</f>
        <v>675.03121999999996</v>
      </c>
      <c r="I186" s="3">
        <f>488+(185.6-30)+(0.49776+(0.189312-0.0306))+0-0-0</f>
        <v>644.25647200000003</v>
      </c>
      <c r="J186" s="3">
        <f>486+(159.4-30)+(1.2393+(0.40647-0.0765))+0-0-0</f>
        <v>616.96926999999994</v>
      </c>
      <c r="K186" s="3">
        <f>483+(96.5-31.1)+(-1.23165+(-0.246075--0.079305))+0-0-0</f>
        <v>547.00157999999999</v>
      </c>
      <c r="L186" s="3">
        <f>483+(89-39.9)+(0.24633+(0.04539-0.020349))+0-0-0</f>
        <v>532.37137100000007</v>
      </c>
      <c r="M186" s="3">
        <f>480+(104.9-39)+(-0.2448+(-0.053499--0.01989))+0-0-0</f>
        <v>545.62159099999997</v>
      </c>
      <c r="N186" s="3">
        <f>479+(123.6-32)+(-0.48858+(-0.126072--0.03264))+0-0-0</f>
        <v>570.01798800000006</v>
      </c>
      <c r="O186" s="3">
        <f>481+(142.1-30)+(0+(0-0))+0-0-0</f>
        <v>593.1</v>
      </c>
      <c r="P186" s="3">
        <f>480+(184.7-30)+(-0.2448+(-0.094197--0.0153))+0-0-0</f>
        <v>634.37630300000001</v>
      </c>
      <c r="Q186" s="3">
        <f>479+(247.8-31)+(-0.97716+(-0.505512--0.06324))+0-0-0</f>
        <v>694.38056799999993</v>
      </c>
      <c r="R186" s="3">
        <f>460+(297-31)+(-1.173+(-0.75735--0.07905))+0-0-0</f>
        <v>724.14869999999996</v>
      </c>
      <c r="S186" s="3">
        <f>461+(307.5-32)+(-0.94044+(-0.6273--0.06528))+0-0-0</f>
        <v>734.99753999999996</v>
      </c>
      <c r="T186" s="3">
        <f>462+(285.4-32)+(0+(0-0))+0-0-0</f>
        <v>715.4</v>
      </c>
      <c r="U186" s="3">
        <f>463+(237.4-32)+(-0.94452+(-0.484296--0.06528))+0-0-0</f>
        <v>667.03646400000002</v>
      </c>
      <c r="V186" s="3">
        <f>468+(159.5-30)+(-1.1934+(-0.406725--0.0765))+0-0-0</f>
        <v>595.97637499999996</v>
      </c>
      <c r="W186" s="3">
        <f>490+(155.1-31)+(-0.4998+(-0.158202--0.03162))+0-0-0</f>
        <v>613.47361799999999</v>
      </c>
      <c r="X186" s="3">
        <f>491+(276.3-31)+(-1.00164+(-0.563652--0.06324))+0-0-0</f>
        <v>734.79794799999991</v>
      </c>
      <c r="Y186" s="3">
        <f>490+(333.6-31)+(-1.4994+(-1.020816--0.09486))+0-0-0</f>
        <v>790.17464400000006</v>
      </c>
      <c r="Z186" s="3">
        <f>490+(325.7-32)+(-1.2495+(-0.830535--0.0816))+0-0-0</f>
        <v>781.70156500000007</v>
      </c>
      <c r="AA186" s="3">
        <f>491+(329-31)+(-1.00164+(-0.67116--0.06324))+0-0-0</f>
        <v>787.39044000000001</v>
      </c>
      <c r="AB186" s="3">
        <f>491+(326.5-30)+(-0.75123+(-0.499545--0.0459))+0-0-0</f>
        <v>786.29512499999998</v>
      </c>
      <c r="AC186" s="3">
        <f>483+(296-28)+(-1.23165+(-0.7548--0.0714))+0-0-0</f>
        <v>749.08495000000005</v>
      </c>
      <c r="AD186">
        <v>784.4</v>
      </c>
      <c r="AE186" s="3">
        <f>490+(325.4-31)+(0+(0-0))+0-0-0</f>
        <v>784.4</v>
      </c>
    </row>
    <row r="187" spans="1:31" s="2" customFormat="1" x14ac:dyDescent="0.3">
      <c r="A187">
        <v>90</v>
      </c>
      <c r="B187">
        <v>7</v>
      </c>
      <c r="C187">
        <v>1</v>
      </c>
      <c r="D187">
        <v>7</v>
      </c>
      <c r="E187">
        <v>1</v>
      </c>
      <c r="F187" s="3">
        <f>477+(268.8-27)+(-0.48654+(-0.274176--0.02754))+0-0-0</f>
        <v>718.066824</v>
      </c>
      <c r="G187" s="3">
        <f>478+(243.9-27)+(0.24378+(0.124389-0.01377))+0-0-0</f>
        <v>695.25439899999992</v>
      </c>
      <c r="H187" s="3">
        <f>478+(211.6-27)+(0.48756+(0.215832-0.02754))+0-0-0</f>
        <v>663.27585199999999</v>
      </c>
      <c r="I187" s="3">
        <f>478+(190.6-25)+(0+(0-0))+0-0-0</f>
        <v>643.6</v>
      </c>
      <c r="J187" s="3">
        <f>476+(163.8-25)+(-0.72828+(-0.250614--0.03825))+0-0-0</f>
        <v>613.85935599999993</v>
      </c>
      <c r="K187" s="3">
        <f>474+(106.5-32.4)+(-1.45044+(-0.32589--0.099144))+0-0-0</f>
        <v>546.42281400000002</v>
      </c>
      <c r="L187" s="3">
        <f>484+(85.5-41.9)+(0.24684+(0.043605-0.021369))+0-0-0</f>
        <v>527.86907600000006</v>
      </c>
      <c r="M187" s="3">
        <f>483+(91.3-42.7)+(0.98532+(0.186252-0.087108))+0-0-0</f>
        <v>532.68446400000005</v>
      </c>
      <c r="N187" s="3">
        <f>477+(101.3-40.1)+(0+(0-0))+0-0-0</f>
        <v>538.20000000000005</v>
      </c>
      <c r="O187" s="3">
        <f>476+(126.4-36.3)+(0.48552+(0.128928-0.037026))+0-0-0</f>
        <v>566.67742199999998</v>
      </c>
      <c r="P187" s="3">
        <f>462+(165.3-32)+(0+(0-0))+0-0-0</f>
        <v>595.29999999999995</v>
      </c>
      <c r="Q187" s="3">
        <f>468+(207.5-31)+(-0.47736+(-0.21165--0.03162))+0-0-0</f>
        <v>643.84261000000004</v>
      </c>
      <c r="R187" s="3">
        <f>460+(257.9-32)+(0.2346+(0.131529-0.01632))+0-0-0</f>
        <v>686.24980900000003</v>
      </c>
      <c r="S187" s="3">
        <f>460+(268.9-32)+(-0.4692+(-0.274278--0.03264))+0-0-0</f>
        <v>696.18916200000001</v>
      </c>
      <c r="T187" s="3">
        <f>474+(231.4-32)+(-0.72522+(-0.354042--0.04896))+0-0-0</f>
        <v>672.36969799999997</v>
      </c>
      <c r="U187" s="3">
        <f>478+(190.4-31)+(-0.97512+(-0.388416--0.06324))+0-0-0</f>
        <v>636.09970399999997</v>
      </c>
      <c r="V187" s="3">
        <f>483+(124.7-35.5)+(-0.73899+(-0.190791--0.054315))+0-0-0</f>
        <v>571.32453400000009</v>
      </c>
      <c r="W187" s="3">
        <f>492+(150-30)+(0+(0-0))+0-0-0</f>
        <v>612</v>
      </c>
      <c r="X187" s="3">
        <f>493+(261.8-30)+(0+(0-0))+0-0-0</f>
        <v>724.8</v>
      </c>
      <c r="Y187" s="3">
        <f>493+(318-32)+(-0.25143+(-0.16218--0.01632))+0-0-0</f>
        <v>778.60271</v>
      </c>
      <c r="Z187" s="3">
        <f>492+(322.8-32)+(-0.75276+(-0.493884--0.04896))+0-0-0</f>
        <v>781.60231599999997</v>
      </c>
      <c r="AA187" s="3">
        <f>492+(326.7-32)+(-0.50184+(-0.333234--0.03264))+0-0-0</f>
        <v>785.8975660000001</v>
      </c>
      <c r="AB187" s="3">
        <f>493+(319.6-32)+(0.25143+(0.162996-0.01632))+0-0-0</f>
        <v>780.99810600000001</v>
      </c>
      <c r="AC187" s="3">
        <f>489+(289-32)+(-0.24939+(-0.14739--0.01632))+0-0-0</f>
        <v>745.61954000000003</v>
      </c>
      <c r="AD187">
        <v>780</v>
      </c>
      <c r="AE187" s="3">
        <f>491+(322-33)+(0+(0-0))+0-0-0</f>
        <v>780</v>
      </c>
    </row>
    <row r="188" spans="1:31" s="2" customFormat="1" x14ac:dyDescent="0.3">
      <c r="A188">
        <v>90</v>
      </c>
      <c r="B188">
        <v>7</v>
      </c>
      <c r="C188">
        <v>2</v>
      </c>
      <c r="D188">
        <v>1</v>
      </c>
      <c r="E188">
        <v>5</v>
      </c>
      <c r="F188" s="3">
        <f>469+(279.2-31)+(0+(0-0))+0-0-0</f>
        <v>717.2</v>
      </c>
      <c r="G188" s="3">
        <f>469+(233.4-30)+(0.23919+(0.119034-0.0153))+0-0-0</f>
        <v>672.74292400000002</v>
      </c>
      <c r="H188" s="3">
        <f>469+(224.3-30)+(0.47838+(0.228786-0.0306))+0-0-0</f>
        <v>663.97656599999993</v>
      </c>
      <c r="I188" s="3">
        <f>469+(196.4-29)+(0.23919+(0.100164-0.01479))+0-0-0</f>
        <v>636.72456399999999</v>
      </c>
      <c r="J188" s="3">
        <f>468+(179.8-29)+(-0.47736+(-0.183396--0.02958))+0-0-0</f>
        <v>618.16882399999997</v>
      </c>
      <c r="K188" s="3">
        <f>466+(110.5-28.3)+(-1.1883+(-0.281775--0.072165))+0-0-0</f>
        <v>546.80209000000002</v>
      </c>
      <c r="L188" s="3">
        <f>466+(90.5-39)+(0+(0-0))+0-0-0</f>
        <v>517.5</v>
      </c>
      <c r="M188" s="3">
        <f>463+(86.8-39.1)+(0+(0-0))+0-0-0</f>
        <v>510.7</v>
      </c>
      <c r="N188" s="3">
        <f>408+(153.9-30.4)+(-0.20808+(-0.078489--0.015504))+0-0-0</f>
        <v>531.22893499999998</v>
      </c>
      <c r="O188" s="3">
        <f>400+(157.9-30)+(0+(0-0))+0-0-0</f>
        <v>527.9</v>
      </c>
      <c r="P188" s="3">
        <f>450+(182.4-30)+(0.2295+(0.093024-0.0153))+0-0-0</f>
        <v>602.707224</v>
      </c>
      <c r="Q188" s="3">
        <f>457+(215.9-31)+(-0.69921+(-0.330327--0.04743))+0-0-0</f>
        <v>640.91789299999994</v>
      </c>
      <c r="R188" s="3">
        <f>451+(269.4-32)+(0+(0-0))+0-0-0</f>
        <v>688.4</v>
      </c>
      <c r="S188" s="3">
        <f>452+(295.8-31)+(0.23052+(0.150858-0.01581))+0-0-0</f>
        <v>717.16556800000001</v>
      </c>
      <c r="T188" s="3">
        <f>454+(269.5-31)+(0+(0-0))+0-0-0</f>
        <v>692.5</v>
      </c>
      <c r="U188" s="3">
        <f>455+(225.5-30)+(-0.4641+(-0.23001--0.0306))+0-0-0</f>
        <v>649.83649000000003</v>
      </c>
      <c r="V188" s="3">
        <f>461+(163.6-30)+(-0.70533+(-0.250308--0.0459))+0-0-0</f>
        <v>593.69026200000008</v>
      </c>
      <c r="W188" s="3">
        <f>521+(139.4-41.4)+(-0.53142+(-0.142188--0.042228))+0-0-0</f>
        <v>618.36861999999996</v>
      </c>
      <c r="X188" s="3">
        <f>572+(94.3-35.7)+(0+(0-0))+0-0-0</f>
        <v>630.6</v>
      </c>
      <c r="Y188" s="3">
        <f>597+(115.7-35)+(-0.30447+(-0.059007--0.01785))+0-0-0</f>
        <v>677.35437300000001</v>
      </c>
      <c r="Z188" s="3">
        <f>581+(148.3-31)+(-1.18524+(-0.302532--0.06324))+0-0-0</f>
        <v>696.87546799999996</v>
      </c>
      <c r="AA188" s="3">
        <f>579+(156.9-30)+(0.29529+(0.080019-0.0153))+0-0-0</f>
        <v>706.26000899999997</v>
      </c>
      <c r="AB188" s="3">
        <f>578+(146.6-31)+(-0.88434+(-0.224298--0.04743))+0-0-0</f>
        <v>692.53879200000006</v>
      </c>
      <c r="AC188" s="3">
        <f>578+(129.3-37.6)+(-0.29478+(-0.065943--0.019176))+0-0-0</f>
        <v>669.35845300000005</v>
      </c>
      <c r="AD188">
        <v>788.6</v>
      </c>
      <c r="AE188" s="3">
        <f>598+(223.6-33)+(0+(0-0))+0-0-0</f>
        <v>788.6</v>
      </c>
    </row>
    <row r="189" spans="1:31" s="2" customFormat="1" x14ac:dyDescent="0.3">
      <c r="A189">
        <v>90</v>
      </c>
      <c r="B189">
        <v>7</v>
      </c>
      <c r="C189">
        <v>3</v>
      </c>
      <c r="D189">
        <v>2</v>
      </c>
      <c r="E189">
        <v>1</v>
      </c>
      <c r="F189" s="3">
        <f>572+(181.1-42)+(-0.29172+(-0.092361--0.02142))+0-0-0</f>
        <v>710.73733900000002</v>
      </c>
      <c r="G189" s="3">
        <f>571+(152.4-46.2)+(-0.87363+(-0.233172--0.070686))+0-0-0</f>
        <v>676.16388400000005</v>
      </c>
      <c r="H189" s="3">
        <f>573+(129.2-50.4)+(0.29223+(0.065892-0.025704))+0-0-0</f>
        <v>652.13241799999992</v>
      </c>
      <c r="I189" s="3">
        <f>573+(106.4-55.3)+(-0.29223+(-0.054264--0.028203))+0-0-0</f>
        <v>623.78170899999998</v>
      </c>
      <c r="J189" s="3">
        <f>537+(109.5-48.8)+(-0.27387+(-0.055845--0.024888))+0-0-0</f>
        <v>597.395173</v>
      </c>
      <c r="K189" s="3">
        <f>506+(88.3-50.5)+(-1.03224+(-0.180132--0.10302))+0-0-0</f>
        <v>542.69064800000001</v>
      </c>
      <c r="L189" s="3">
        <f>499+(79.9-64.1)+(-0.50898+(-0.081498--0.065382))+0-0-0</f>
        <v>514.27490399999999</v>
      </c>
      <c r="M189" s="3">
        <f>489+(96.5-53.4)+(0.49878+(0.09843-0.054468))+0-0-0</f>
        <v>532.642742</v>
      </c>
      <c r="N189" s="3">
        <f>508+(98.2-50.5)+(0+(0-0))+0-0-0</f>
        <v>555.70000000000005</v>
      </c>
      <c r="O189" s="3">
        <f>521+(97-57)+(0.26571+(0.04947-0.02907))+0-0-0</f>
        <v>561.28611000000001</v>
      </c>
      <c r="P189" s="3">
        <f>569+(106-63)+(-0.29019+(-0.05406--0.03213))+0-0-0</f>
        <v>611.68787999999995</v>
      </c>
      <c r="Q189" s="3">
        <f>560+(152.4-48.4)+(0.2856+(0.077724-0.024684))+0-0-0</f>
        <v>664.33864000000005</v>
      </c>
      <c r="R189" s="3">
        <f>575+(196.3-42.9)+(-0.5865+(-0.200226--0.043758))+0-0-0</f>
        <v>727.65703199999996</v>
      </c>
      <c r="S189" s="3">
        <f>578+(214.7-39.9)+(0.58956+(0.218994-0.040698))+0-0-0</f>
        <v>753.56785600000001</v>
      </c>
      <c r="T189" s="3">
        <f>577+(194.7-47.2)+(-0.29427+(-0.099297--0.024072))+0-0-0</f>
        <v>724.13050499999997</v>
      </c>
      <c r="U189" s="3">
        <f>578+(154.7-57.6)+(-1.17912+(-0.315588--0.117504))+0-0-0</f>
        <v>673.72279600000002</v>
      </c>
      <c r="V189" s="3">
        <f>593+(102.8-67.4)+(-0.60486+(-0.104856--0.068748))+0-0-0</f>
        <v>627.75903199999993</v>
      </c>
      <c r="W189" s="3">
        <f>550+(141.7-46.1)+(0.2805+(0.072267-0.023511))+0-0-0</f>
        <v>645.92925600000001</v>
      </c>
      <c r="X189" s="3">
        <f>580+(206.5-32)+(-0.2958+(-0.105315--0.01632))+0-0-0</f>
        <v>754.11520499999995</v>
      </c>
      <c r="Y189" s="3">
        <f>597+(233.9-33)+(-1.52235+(-0.596445--0.08415))+0-0-0</f>
        <v>795.86535500000002</v>
      </c>
      <c r="Z189" s="3">
        <f>597+(236.4-33)+(-0.60894+(-0.241128--0.03366))+0-0-0</f>
        <v>799.58359199999995</v>
      </c>
      <c r="AA189" s="3">
        <f>597+(235.7-32)+(-0.30447+(-0.120207--0.01632))+0-0-0</f>
        <v>800.29164300000002</v>
      </c>
      <c r="AB189" s="3">
        <f>597+(221.4-32)+(-0.91341+(-0.338742--0.04896))+0-0-0</f>
        <v>785.19680800000003</v>
      </c>
      <c r="AC189" s="3">
        <f>588+(203.6-33.2)+(-1.4994+(-0.51918--0.08466))+0-0-0</f>
        <v>756.46608000000003</v>
      </c>
      <c r="AD189">
        <v>792.9</v>
      </c>
      <c r="AE189" s="3">
        <f>596+(228.9-32)+(0+(0-0))+0-0-0</f>
        <v>792.9</v>
      </c>
    </row>
    <row r="190" spans="1:31" s="2" customFormat="1" x14ac:dyDescent="0.3">
      <c r="A190">
        <v>90</v>
      </c>
      <c r="B190">
        <v>7</v>
      </c>
      <c r="C190">
        <v>4</v>
      </c>
      <c r="D190">
        <v>3</v>
      </c>
      <c r="E190">
        <v>1</v>
      </c>
      <c r="F190" s="3">
        <f>588+(174.2-37.6)+(-1.4994+(-0.44421--0.09588))+0-0-0</f>
        <v>722.75227000000007</v>
      </c>
      <c r="G190" s="3">
        <f>591+(142.5-43.4)+(1.20564+(0.2907-0.088536))+0-0-0</f>
        <v>691.50780400000008</v>
      </c>
      <c r="H190" s="3">
        <f>589+(118.6-44)+(-0.60078+(-0.120972--0.04488))+0-0-0</f>
        <v>662.92312800000002</v>
      </c>
      <c r="I190" s="3">
        <f>586+(100.7-46.3)+(-0.59772+(-0.102714--0.047226))+0-0-0</f>
        <v>639.74679200000003</v>
      </c>
      <c r="J190" s="3">
        <f>584+(86.4-52.5)+(-0.59568+(-0.088128--0.05355))+0-0-0</f>
        <v>617.26974199999995</v>
      </c>
      <c r="K190" s="3">
        <f>581+(68-85.9)+(-1.48155+(-0.1734--0.219045))+0-0-0</f>
        <v>561.66409499999997</v>
      </c>
      <c r="L190" s="3">
        <f>543+(65-94.1)+(-0.83079+(-0.09945--0.143973))+0-0-0</f>
        <v>513.11373300000002</v>
      </c>
      <c r="M190" s="3">
        <f>513+(73.7-60.6)+(0.26163+(0.037587-0.030906))+0-0-0</f>
        <v>526.36831100000006</v>
      </c>
      <c r="N190" s="3">
        <f>505+(98.4-49.9)+(0+(0-0))+0-0-0</f>
        <v>553.5</v>
      </c>
      <c r="O190" s="3">
        <f>496+(153-45)+(0.25296+(0.07803-0.02295))+0-0-0</f>
        <v>604.30804000000001</v>
      </c>
      <c r="P190" s="3">
        <f>496+(157-39.2)+(0.50592+(0.16014-0.039984))+0-0-0</f>
        <v>614.42607599999997</v>
      </c>
      <c r="Q190" s="3">
        <f>574+(148.5-52.8)+(0+(0-0))+0-0-0</f>
        <v>669.7</v>
      </c>
      <c r="R190" s="3">
        <f>572+(194.3-41.4)+(-0.87516+(-0.297279--0.063342))+0-0-0</f>
        <v>723.79090299999996</v>
      </c>
      <c r="S190" s="3">
        <f>572+(218.8-37.3)+(-1.16688+(-0.446352--0.076092))+0-0-0</f>
        <v>751.96285999999998</v>
      </c>
      <c r="T190" s="3">
        <f>574+(196.4-44.2)+(-1.4637+(-0.50082--0.11271))+0-0-0</f>
        <v>724.34819000000005</v>
      </c>
      <c r="U190" s="3">
        <f>575+(160.7-54)+(-2.05275+(-0.573699--0.19278))+0-0-0</f>
        <v>679.26633100000004</v>
      </c>
      <c r="V190" s="3">
        <f>579+(108.2-64.5)+(-2.06703+(-0.386274--0.230265))+0-0-0</f>
        <v>620.47696100000007</v>
      </c>
      <c r="W190" s="3">
        <f>600+(105.8-60.7)+(-1.224+(-0.215832--0.123828))+0-0-0</f>
        <v>643.783996</v>
      </c>
      <c r="X190" s="3">
        <f>600+(188-35.9)+(-1.224+(-0.38352--0.073236))+0-0-0</f>
        <v>750.56571600000007</v>
      </c>
      <c r="Y190" s="3">
        <f>601+(234.9-32)+(-1.22604+(-0.479196--0.06528))+0-0-0</f>
        <v>802.26004399999999</v>
      </c>
      <c r="Z190" s="3">
        <f>603+(238.3-31)+(0+(0-0))+0-0-0</f>
        <v>810.3</v>
      </c>
      <c r="AA190" s="3">
        <f>601+(241.4-31)+(-1.53255+(-0.61557--0.07905))+0-0-0</f>
        <v>809.33092999999997</v>
      </c>
      <c r="AB190" s="3">
        <f>600+(224.4-31)+(-1.53+(-0.57222--0.07905))+0-0-0</f>
        <v>791.37682999999993</v>
      </c>
      <c r="AC190" s="3">
        <f>594+(197.6-33)+(-1.5147+(-0.50388--0.08415))+0-0-0</f>
        <v>756.66557</v>
      </c>
      <c r="AD190">
        <v>802.5</v>
      </c>
      <c r="AE190" s="3">
        <f>601+(234.5-33)+(0+(0-0))+0-0-0</f>
        <v>802.5</v>
      </c>
    </row>
    <row r="191" spans="1:31" s="2" customFormat="1" x14ac:dyDescent="0.3">
      <c r="A191">
        <v>90</v>
      </c>
      <c r="B191">
        <v>7</v>
      </c>
      <c r="C191">
        <v>5</v>
      </c>
      <c r="D191">
        <v>4</v>
      </c>
      <c r="E191">
        <v>1</v>
      </c>
      <c r="F191" s="3">
        <f>586+(170.6-40.3)+(-1.19544+(-0.348024--0.082212))+0-0-0</f>
        <v>714.83874800000001</v>
      </c>
      <c r="G191" s="3">
        <f>587+(145.6-45.3)+(0+(0-0))+0-0-0</f>
        <v>687.3</v>
      </c>
      <c r="H191" s="3">
        <f>587+(128.3-52)+(0+(0-0))+0-0-0</f>
        <v>663.3</v>
      </c>
      <c r="I191" s="3">
        <f>587+(112.1-56.8)+(0+(0-0))+0-0-0</f>
        <v>642.29999999999995</v>
      </c>
      <c r="J191" s="3">
        <f>586+(93.7-62.8)+(-0.59772+(-0.095574--0.064056))+0-0-0</f>
        <v>616.27076199999999</v>
      </c>
      <c r="K191" s="3">
        <f>586+(67-98.9)+(-0.29886+(-0.03417--0.050439))+0-0-0</f>
        <v>553.817409</v>
      </c>
      <c r="L191" s="3">
        <f>527+(67-60.7)+(-0.53754+(-0.06834--0.061914))+0-0-0</f>
        <v>532.756034</v>
      </c>
      <c r="M191" s="3">
        <f>479+(108.3-40.3)+(0.73287+(0.165699-0.061659))+0.7-0-0</f>
        <v>548.53691000000003</v>
      </c>
      <c r="N191" s="3">
        <f>444+(150.9-33)+(0.45288+(0.153918-0.03366))+3-0-0</f>
        <v>565.47313799999995</v>
      </c>
      <c r="O191" s="3">
        <f>474+(144.2-30)+(0+(0-0))+0.4-0-0</f>
        <v>588.6</v>
      </c>
      <c r="P191" s="3">
        <f>491+(169.7-32)+(-1.25205+(-0.432735--0.0816))+0-0-0</f>
        <v>627.09681499999999</v>
      </c>
      <c r="Q191" s="3">
        <f>523+(173.6-35.3)+(0.26673+(0.088536-0.018003))+0-0-0</f>
        <v>661.63726299999996</v>
      </c>
      <c r="R191" s="3">
        <f>542+(193.7-37.8)+(0.55284+(0.197574-0.038556))+0-0-0</f>
        <v>698.61185799999998</v>
      </c>
      <c r="S191" s="3">
        <f>542+(226.5-30)+(1.10568+(0.46206-0.0612))+0-0-0</f>
        <v>740.00653999999997</v>
      </c>
      <c r="T191" s="3">
        <f>541+(210.5-33.7)+(-0.82773+(-0.322065--0.051561))+0-0-0</f>
        <v>716.70176599999991</v>
      </c>
      <c r="U191" s="3">
        <f>539+(172.4-40.1)+(-1.37445+(-0.43962--0.102255))+0-0-0</f>
        <v>669.58818499999995</v>
      </c>
      <c r="V191" s="3">
        <f>547+(125.7-50.3)+(-1.39485+(-0.320535--0.128265))+0-0-0</f>
        <v>620.81287999999995</v>
      </c>
      <c r="W191" s="3">
        <f>559+(124.6-46.1)+(-0.85527+(-0.190638--0.070533))+0-0-0</f>
        <v>636.52462500000001</v>
      </c>
      <c r="X191" s="3">
        <f>560+(222.2-33)+(0.8568+(0.339966-0.05049))+0-0-0</f>
        <v>750.34627599999999</v>
      </c>
      <c r="Y191" s="3">
        <f>558+(266.7-33)+(-1.4229+(-0.680085--0.08415))+0-0-0</f>
        <v>789.68116500000008</v>
      </c>
      <c r="Z191" s="3">
        <f>559+(268.7-32)+(-0.57018+(-0.274074--0.03264))+0-0-0</f>
        <v>794.88838600000008</v>
      </c>
      <c r="AA191" s="3">
        <f>559+(255.4-32)+(-0.85527+(-0.390762--0.04896))+0-0-0</f>
        <v>781.20292799999993</v>
      </c>
      <c r="AB191" s="3">
        <f>558+(239.7-31)+(-1.13832+(-0.488988--0.06324))+0-0-0</f>
        <v>765.13593200000003</v>
      </c>
      <c r="AC191" s="3">
        <f>558+(208.9-31)+(-1.4229+(-0.532695--0.07905))+0-0-0</f>
        <v>734.02345500000001</v>
      </c>
      <c r="AD191">
        <v>775.7</v>
      </c>
      <c r="AE191" s="3">
        <f>559+(248.7-32)+(0+(0-0))+0-0-0</f>
        <v>775.7</v>
      </c>
    </row>
    <row r="192" spans="1:31" s="2" customFormat="1" x14ac:dyDescent="0.3">
      <c r="A192">
        <v>90</v>
      </c>
      <c r="B192">
        <v>7</v>
      </c>
      <c r="C192">
        <v>6</v>
      </c>
      <c r="D192">
        <v>5</v>
      </c>
      <c r="E192">
        <v>1</v>
      </c>
      <c r="F192" s="3">
        <f>551+(176-32.8)+(-1.12404+(-0.35904--0.066912))+0-0-0</f>
        <v>692.78383200000007</v>
      </c>
      <c r="G192" s="3">
        <f>551+(157.3-37.5)+(-0.28101+(-0.080223--0.019125))+0-0-0</f>
        <v>670.4578919999999</v>
      </c>
      <c r="H192" s="3">
        <f>551+(134.5-41.3)+(-1.12404+(-0.27438--0.084252))+0-0-0</f>
        <v>642.88583200000005</v>
      </c>
      <c r="I192" s="3">
        <f>552+(120.2-46.1)+(0.28152+(0.061302-0.023511))+0-0-0</f>
        <v>626.41931099999999</v>
      </c>
      <c r="J192" s="3">
        <f>548+(102.4-49.5)+(-0.55896+(-0.104448--0.05049))+0-0-0</f>
        <v>600.28708199999994</v>
      </c>
      <c r="K192" s="3">
        <f>547+(70.3-68.4)+(-1.39485+(-0.179265--0.17442))+0-0-0</f>
        <v>547.50030500000003</v>
      </c>
      <c r="L192" s="3">
        <f>538+(62-91.3)+(-0.27438+(-0.03162--0.046563))+0-0-0</f>
        <v>508.440563</v>
      </c>
      <c r="M192" s="3">
        <f>548+(70.8-78.7)+(0.27948+(0.036108-0.040137))+0-0-0</f>
        <v>540.375451</v>
      </c>
      <c r="N192" s="3">
        <f>532+(88.1-59.9)+(0.54264+(0.089862-0.061098))+0-0-0</f>
        <v>560.77140400000008</v>
      </c>
      <c r="O192" s="3">
        <f>540+(108.9-55.3)+(0.8262+(0.166617-0.084609))+0-0-0</f>
        <v>594.50820799999997</v>
      </c>
      <c r="P192" s="3">
        <f>543+(105.5-52.1)+(0+(0-0))+0-0-0</f>
        <v>596.4</v>
      </c>
      <c r="Q192" s="3">
        <f>562+(123.6-51.1)+(0.28662+(0.063036-0.026061))+0-0-0</f>
        <v>634.82359499999995</v>
      </c>
      <c r="R192" s="3">
        <f>566+(164.7-43.9)+(-0.86598+(-0.251991--0.067167))+0-0-0</f>
        <v>685.74919599999998</v>
      </c>
      <c r="S192" s="3">
        <f>568+(191.4-40.7)+(0.28968+(0.097614-0.020757))+0-0-0</f>
        <v>719.06653700000004</v>
      </c>
      <c r="T192" s="3">
        <f>567+(179.5-44.6)+(-1.15668+(-0.36618--0.090984))+0-0-0</f>
        <v>700.46812399999999</v>
      </c>
      <c r="U192" s="3">
        <f>567+(125.3-53)+(-1.44585+(-0.319515--0.13515))+0-0-0</f>
        <v>637.66978499999993</v>
      </c>
      <c r="V192" s="3">
        <f>574+(81.2-63.8)+(-0.58548+(-0.082824--0.065076))+0-0-0</f>
        <v>590.79677200000003</v>
      </c>
      <c r="W192" s="3">
        <f>528+(131.1-37.4)+(0+(0-0))+0-0-0</f>
        <v>621.70000000000005</v>
      </c>
      <c r="X192" s="3">
        <f>551+(198.4-31)+(-0.56202+(-0.202368--0.03162))+0-0-0</f>
        <v>717.66723200000001</v>
      </c>
      <c r="Y192" s="3">
        <f>584+(220-33)+(-0.89352+(-0.3366--0.05049))+0-0-0</f>
        <v>769.82037000000003</v>
      </c>
      <c r="Z192" s="3">
        <f>584+(213.6-32)+(-0.89352+(-0.326808--0.04896))+0-0-0</f>
        <v>764.42863199999999</v>
      </c>
      <c r="AA192" s="3">
        <f>585+(207.6-32)+(-0.5967+(-0.211752--0.03264))+0-0-0</f>
        <v>759.82418800000005</v>
      </c>
      <c r="AB192" s="3">
        <f>584+(187.8-32)+(-0.29784+(-0.095778--0.01632))+0-0-0</f>
        <v>739.42270199999996</v>
      </c>
      <c r="AC192" s="3">
        <f>584+(160.9-36.9)+(-0.29784+(-0.082059--0.018819))+0-0-0</f>
        <v>707.63891999999998</v>
      </c>
      <c r="AD192">
        <v>763.8</v>
      </c>
      <c r="AE192" s="3">
        <f>588+(208.8-33)+(0+(0-0))+0-0-0</f>
        <v>763.8</v>
      </c>
    </row>
    <row r="193" spans="1:31" s="2" customFormat="1" x14ac:dyDescent="0.3">
      <c r="A193">
        <v>90</v>
      </c>
      <c r="B193">
        <v>7</v>
      </c>
      <c r="C193">
        <v>7</v>
      </c>
      <c r="D193">
        <v>6</v>
      </c>
      <c r="E193">
        <v>1</v>
      </c>
      <c r="F193" s="3">
        <f>569+(141.9-40.9)+(-1.16076+(-0.289476--0.083436))+0-0-0</f>
        <v>668.63319999999999</v>
      </c>
      <c r="G193" s="3">
        <f>569+(121.5-45.1)+(-1.45095+(-0.309825--0.115005))+0-0-0</f>
        <v>643.75423000000001</v>
      </c>
      <c r="H193" s="3">
        <f>569+(102.3-52.6)+(-0.58038+(-0.104346--0.053652))+0-0-0</f>
        <v>618.06892600000003</v>
      </c>
      <c r="I193" s="3">
        <f>569+(90.8-58.6)+(-1.16076+(-0.185232--0.119544))+0-0-0</f>
        <v>599.97355200000004</v>
      </c>
      <c r="J193" s="3">
        <f>567+(89.5-81.9)+(1.44585+(0.228225-0.208845))+0-0-0</f>
        <v>576.06523000000004</v>
      </c>
      <c r="K193" s="3">
        <f>567+(74.8-119.6)+(-0.57834+(-0.076296--0.121992))+0-0-0</f>
        <v>521.66735600000004</v>
      </c>
      <c r="L193" s="3">
        <f>575+(69.3-141.6)+(1.173+(0.141372-0.288864))+0-0-0</f>
        <v>503.72550799999999</v>
      </c>
      <c r="M193" s="3">
        <f>575+(77.7-126.4)+(0.87975+(0.118881-0.193392))+0-0-0</f>
        <v>527.10523899999998</v>
      </c>
      <c r="N193" s="3">
        <f>573+(86.8-105.9)+(-0.58446+(-0.088536--0.108018))+0-0-0</f>
        <v>553.33502199999998</v>
      </c>
      <c r="O193" s="3">
        <f>575+(80.2-78.1)+(0.29325+(0.040902-0.039831))+0-0-0</f>
        <v>577.39432099999999</v>
      </c>
      <c r="P193" s="3">
        <f>575+(99.7-64)+(0.5865+(0.101694-0.06528))+0-0-0</f>
        <v>611.32291400000008</v>
      </c>
      <c r="Q193" s="3">
        <f>575+(128.1-57.9)+(0+(0-0))+0-0-0</f>
        <v>645.20000000000005</v>
      </c>
      <c r="R193" s="3">
        <f>570+(174.9-47)+(-1.4535+(-0.445995--0.11985))+0-0-0</f>
        <v>696.12035500000002</v>
      </c>
      <c r="S193" s="3">
        <f>583+(171.6-48.1)+(-1.18932+(-0.350064--0.098124))+0-0-0</f>
        <v>705.05873999999994</v>
      </c>
      <c r="T193" s="3">
        <f>603+(154-61.1)+(-1.53765+(-0.3927--0.155805))+0-0-0</f>
        <v>694.12545499999999</v>
      </c>
      <c r="U193" s="3">
        <f>606+(116.6-69)+(-1.23624+(-0.237864--0.14076))+0-0-0</f>
        <v>652.26665600000001</v>
      </c>
      <c r="V193" s="3">
        <f>586+(92.2-71)+(-1.19544+(-0.188088--0.14484))+0-0-0</f>
        <v>605.96131200000002</v>
      </c>
      <c r="W193" s="3">
        <f>568+(99.4-55)+(-0.57936+(-0.101388--0.0561))+0-0-0</f>
        <v>611.775352</v>
      </c>
      <c r="X193" s="3">
        <f>638+(137.1-60.1)+(0.65076+(0.139842-0.061302))+0-0-0</f>
        <v>715.72929999999997</v>
      </c>
      <c r="Y193" s="3">
        <f>637+(180.3-51)+(-0.97461+(-0.275859--0.07803))+0-0-0</f>
        <v>765.1275609999999</v>
      </c>
      <c r="Z193" s="3">
        <f>637+(161.5-50.5)+(-0.97461+(-0.247095--0.077265))+0-0-0</f>
        <v>746.85555999999997</v>
      </c>
      <c r="AA193" s="3">
        <f>638+(166.3-50.8)+(-0.97614+(-0.254439--0.077724))+0-0-0</f>
        <v>752.34714499999995</v>
      </c>
      <c r="AB193" s="3">
        <f>636+(161.7-53.8)+(-0.32436+(-0.082467--0.027438))+0-0-0</f>
        <v>743.52061100000003</v>
      </c>
      <c r="AC193" s="3">
        <f>636+(128-58.9)+(-0.64872+(-0.13056--0.060078))+0-0-0</f>
        <v>704.38079800000003</v>
      </c>
      <c r="AD193">
        <v>754.5</v>
      </c>
      <c r="AE193" s="3">
        <f>639+(166.8-51.3)+(0+(0-0))+0-0-0</f>
        <v>754.5</v>
      </c>
    </row>
    <row r="194" spans="1:31" s="2" customFormat="1" x14ac:dyDescent="0.3">
      <c r="A194">
        <v>90</v>
      </c>
      <c r="B194">
        <v>7</v>
      </c>
      <c r="C194">
        <v>8</v>
      </c>
      <c r="D194">
        <v>7</v>
      </c>
      <c r="E194">
        <v>1</v>
      </c>
      <c r="F194" s="3">
        <f>588+(133.8-49.5)+(0.59976+(0.136476-0.05049))+0-0-0</f>
        <v>672.98574599999995</v>
      </c>
      <c r="G194" s="3">
        <f>549+(136.9-40.3)+(0.27999+(0.069819-0.020553))+0-0-0</f>
        <v>645.92925600000001</v>
      </c>
      <c r="H194" s="3">
        <f>549+(116.5-45.5)+(0.55998+(0.11883-0.04641))+0-0-0</f>
        <v>620.63239999999996</v>
      </c>
      <c r="I194" s="3">
        <f>548+(99.7-46.9)+(-0.27948+(-0.050847--0.023919))+0-0-0</f>
        <v>600.49359199999992</v>
      </c>
      <c r="J194" s="3">
        <f>543+(85.2-51.1)+(0.27693+(0.043452-0.026061))+0-0-0</f>
        <v>577.39432099999999</v>
      </c>
      <c r="K194" s="3">
        <f>541+(59-70.6)+(-1.37955+(-0.15045--0.18003))+0-0-0</f>
        <v>528.05002999999999</v>
      </c>
      <c r="L194" s="3">
        <f>544+(56-98.3)+(0.55488+(0.05712-0.100266))+0-0-0</f>
        <v>502.21173399999998</v>
      </c>
      <c r="M194" s="3">
        <f>545+(60-98.2)+(0+(0-0))+0-0-0</f>
        <v>506.8</v>
      </c>
      <c r="N194" s="3">
        <f>544+(64-77.3)+(-0.83232+(-0.09792--0.118269))+0-0-0</f>
        <v>529.88802900000007</v>
      </c>
      <c r="O194" s="3">
        <f>546+(78.8-61.1)+(0.83538+(0.120564-0.093483))+0-0-0</f>
        <v>564.5624610000001</v>
      </c>
      <c r="P194" s="3">
        <f>543+(101.1-49.1)+(-0.55386+(-0.103122--0.050082))+0-0-0</f>
        <v>594.3931</v>
      </c>
      <c r="Q194" s="3">
        <f>541+(134.8-41)+(0+(0-0))+0-0-0</f>
        <v>634.79999999999995</v>
      </c>
      <c r="R194" s="3">
        <f>533+(165.1-32)+(0+(0-0))+0-0-0</f>
        <v>666.1</v>
      </c>
      <c r="S194" s="3">
        <f>533+(178.7-31)+(-0.54366+(-0.182274--0.03162))+0-0-0</f>
        <v>680.00568600000008</v>
      </c>
      <c r="T194" s="3">
        <f>533+(172.4-35.3)+(-1.08732+(-0.351696--0.072012))+0-0-0</f>
        <v>668.73299600000007</v>
      </c>
      <c r="U194" s="3">
        <f>532+(143.7-42.1)+(-1.62792+(-0.439722--0.128826))+0-0-0</f>
        <v>631.66118400000005</v>
      </c>
      <c r="V194" s="3">
        <f>535+(94.1-50.7)+(-1.0914+(-0.191964--0.103428))+0-0-0</f>
        <v>577.22006399999998</v>
      </c>
      <c r="W194" s="3">
        <f>553+(115.7-42.5)+(0.56406+(0.118014-0.04335))+0-0-0</f>
        <v>626.83872400000007</v>
      </c>
      <c r="X194" s="3">
        <f>553+(204.5-31)+(0.28203+(0.104295-0.01581))+0-0-0</f>
        <v>726.87051499999995</v>
      </c>
      <c r="Y194" s="3">
        <f>553+(262-32)+(-0.56406+(-0.26724--0.03264))+0-0-0</f>
        <v>782.20133999999996</v>
      </c>
      <c r="Z194" s="3">
        <f>552+(275.5-32)+(-0.56304+(-0.28101--0.03264))+0-0-0</f>
        <v>794.68858999999998</v>
      </c>
      <c r="AA194" s="3">
        <f>553+(241.7-32)+(-0.28203+(-0.123267--0.01632))+0-0-0</f>
        <v>762.31102300000009</v>
      </c>
      <c r="AB194" s="3">
        <f>551+(245.4-32)+(-0.84303+(-0.375462--0.04896))+0-0-0</f>
        <v>763.23046799999997</v>
      </c>
      <c r="AC194" s="3">
        <f>546+(216.4-32)+(-0.83538+(-0.331092--0.04896))+0-0-0</f>
        <v>729.28248799999994</v>
      </c>
      <c r="AD194">
        <v>786.6</v>
      </c>
      <c r="AE194" s="3">
        <f>553+(265.6-32)+(0+(0-0))+0-0-0</f>
        <v>786.6</v>
      </c>
    </row>
    <row r="195" spans="1:31" s="2" customFormat="1" x14ac:dyDescent="0.3">
      <c r="A195">
        <v>90</v>
      </c>
      <c r="B195">
        <v>7</v>
      </c>
      <c r="C195">
        <v>9</v>
      </c>
      <c r="D195">
        <v>1</v>
      </c>
      <c r="E195">
        <v>1</v>
      </c>
      <c r="F195" s="3">
        <f>524+(195.4-32)+(-2.40516+(-0.896886--0.14688))+0-0-0</f>
        <v>684.24483399999997</v>
      </c>
      <c r="G195" s="3">
        <f>528+(152.4-31)+(-0.53856+(-0.155448--0.03162))+0-0-0</f>
        <v>648.73761200000001</v>
      </c>
      <c r="H195" s="3">
        <f>526+(131.2-33.4)+(-1.60956+(-0.401472--0.102204))+0-0-0</f>
        <v>621.89117199999998</v>
      </c>
      <c r="I195" s="3">
        <f>528+(114-37.1)+(-0.80784+(-0.17442--0.056763))+0-0-0</f>
        <v>603.97450300000003</v>
      </c>
      <c r="J195" s="3">
        <f>529+(99.7-41.9)+(0+(0-0))+0-0-0</f>
        <v>586.79999999999995</v>
      </c>
      <c r="K195" s="3">
        <f>506+(66.2-48.1)+(-0.77418+(-0.101286--0.073593))+0-0-0</f>
        <v>523.29812700000002</v>
      </c>
      <c r="L195" s="3">
        <f>472+(74.4-39.3)+(0.24072+(0.037944-0.020043))+0-0-0</f>
        <v>507.35862100000003</v>
      </c>
      <c r="M195" s="3">
        <f>472+(100.4-34.7)+(0+(0-0))+0-0-0</f>
        <v>537.70000000000005</v>
      </c>
      <c r="N195" s="3">
        <f>472+(144.4-32)+(0.48144+(0.147288-0.03264))+0-0-0</f>
        <v>584.99608799999999</v>
      </c>
      <c r="O195" s="3">
        <f>503+(139.1-41)+(1.02612+(0.283764-0.08364))+0-0-0</f>
        <v>602.32624399999997</v>
      </c>
      <c r="P195" s="3">
        <f>492+(172.3-40)+(0.50184+(0.175746-0.0408))+0-0-0</f>
        <v>624.93678599999998</v>
      </c>
      <c r="Q195" s="3">
        <f>486+(205.6-33)+(0.24786+(0.104856-0.01683))+0-0-0</f>
        <v>658.93588599999998</v>
      </c>
      <c r="R195" s="3">
        <f>482+(248.3-32)+(-0.24582+(-0.126633--0.01632))+0-0-0</f>
        <v>697.94386699999995</v>
      </c>
      <c r="S195" s="3">
        <f>483+(275.2-31)+(0.98532+(0.561408-0.06324))+0-0-0</f>
        <v>728.68348800000001</v>
      </c>
      <c r="T195" s="3">
        <f>484+(254-32)+(-0.24684+(-0.12954--0.01632))+0-0-0</f>
        <v>705.63994000000002</v>
      </c>
      <c r="U195" s="3">
        <f>484+(220.4-36.3)+(-0.98736+(-0.449616--0.074052))+0-0-0</f>
        <v>666.737076</v>
      </c>
      <c r="V195" s="3">
        <f>493+(174.4-44.2)+(-1.00572+(-0.355776--0.090168))+0-0-0</f>
        <v>621.92867200000001</v>
      </c>
      <c r="W195" s="3">
        <f>495+(181.4-36.7)+(-0.75735+(-0.277542--0.056151))+0-0-0</f>
        <v>638.72125900000003</v>
      </c>
      <c r="X195" s="3">
        <f>497+(285.6-31)+(0+(0-0))+0-0-0</f>
        <v>751.6</v>
      </c>
      <c r="Y195" s="3">
        <f>497+(316.4-33)+(-1.26735+(-0.80682--0.08415))+0-0-0</f>
        <v>778.40998000000002</v>
      </c>
      <c r="Z195" s="3">
        <f>499+(321.7-33)+(-0.50898+(-0.328134--0.03366))+0-0-0</f>
        <v>786.89654600000006</v>
      </c>
      <c r="AA195" s="3">
        <f>499+(321-32)+(-1.01796+(-0.65484--0.06528))+0-0-0</f>
        <v>786.39247999999998</v>
      </c>
      <c r="AB195" s="3">
        <f>499+(304.8-32)+(-0.50898+(-0.310896--0.03264))+0-0-0</f>
        <v>771.01276399999995</v>
      </c>
      <c r="AC195" s="3">
        <f>498+(274.2-32)+(-1.52388+(-0.839052--0.09792))+0-0-0</f>
        <v>737.93498800000009</v>
      </c>
      <c r="AD195">
        <v>769.2</v>
      </c>
      <c r="AE195" s="3">
        <f>501+(301.2-33)+(0+(0-0))+0-0-0</f>
        <v>769.2</v>
      </c>
    </row>
    <row r="196" spans="1:31" s="2" customFormat="1" x14ac:dyDescent="0.3">
      <c r="A196">
        <v>90</v>
      </c>
      <c r="B196">
        <v>7</v>
      </c>
      <c r="C196">
        <v>10</v>
      </c>
      <c r="D196">
        <v>2</v>
      </c>
      <c r="E196">
        <v>1</v>
      </c>
      <c r="F196" s="3">
        <f>492+(237.4-32)+(-1.2546+(-0.60537--0.0816))+6.3-0-0</f>
        <v>701.92162999999994</v>
      </c>
      <c r="G196" s="3">
        <f>496+(165.6-32)+(0+(0-0))+43.8-0-0</f>
        <v>673.4</v>
      </c>
      <c r="H196" s="3">
        <f>494+(175.4-31)+(-0.75582+(-0.268362--0.04743))+0-0-0</f>
        <v>637.42324799999994</v>
      </c>
      <c r="I196" s="3">
        <f>496+(161.3-35)+(-0.75888+(-0.246789--0.05355))+0-0-0</f>
        <v>621.34788099999992</v>
      </c>
      <c r="J196" s="3">
        <f>457+(175.4-32)+(-0.69921+(-0.268362--0.04896))+0-0-0</f>
        <v>599.48138799999992</v>
      </c>
      <c r="K196" s="3">
        <f>448+(79-26.8)+(-0.45696+(-0.08058--0.027336))+35.6-0-0</f>
        <v>535.28979600000002</v>
      </c>
      <c r="L196" s="3">
        <f>446+(89.2-47.5)+(0+(0-0))+0-0-0</f>
        <v>487.7</v>
      </c>
      <c r="M196" s="3">
        <f>446+(113.5-45.5)+(0.68238+(0.173655-0.069615))+0-0-0</f>
        <v>514.78642000000002</v>
      </c>
      <c r="N196" s="3">
        <f>446+(153-40.7)+(0.45492+(0.15606-0.041514))+0-0-0</f>
        <v>558.86946599999999</v>
      </c>
      <c r="O196" s="3">
        <f>445+(177.1-35.5)+(-0.4539+(-0.180642--0.03621))+0-0-0</f>
        <v>586.001668</v>
      </c>
      <c r="P196" s="3">
        <f>445+(210-31)+(-0.22695+(-0.1071--0.01581))+0-0-0</f>
        <v>623.68176000000005</v>
      </c>
      <c r="Q196" s="3">
        <f>486+(214.2-39.1)+(0.49572+(0.218484-0.039882))+0-0-0</f>
        <v>661.77432199999998</v>
      </c>
      <c r="R196" s="3">
        <f>480+(268.5-31)+(-0.2448+(-0.136935--0.01581))+0-0-0</f>
        <v>717.13407500000005</v>
      </c>
      <c r="S196" s="3">
        <f>480+(288.1-31)+(0+(0-0))+0-0-0</f>
        <v>737.1</v>
      </c>
      <c r="T196" s="3">
        <f>477+(270-31.3)+(-1.21635+(-0.6885--0.079815))+0-0-0</f>
        <v>713.87496500000009</v>
      </c>
      <c r="U196" s="3">
        <f>475+(233.2-38.7)+(-0.969+(-0.475728--0.078948))+0-0-0</f>
        <v>668.13422000000003</v>
      </c>
      <c r="V196" s="3">
        <f>462+(189.7-36.7)+(-1.1781+(-0.483735--0.093585))+0-0-0</f>
        <v>613.43174999999997</v>
      </c>
      <c r="W196" s="3">
        <f>429+(250.6-30)+(-0.43758+(-0.255612--0.0306))+0-0-0</f>
        <v>648.937408</v>
      </c>
      <c r="X196" s="3">
        <f>478+(292.2-30)+(-0.73134+(-0.447066--0.0459))+0-0-0</f>
        <v>739.06749400000001</v>
      </c>
      <c r="Y196" s="3">
        <f>496+(330.4-32)+(-0.75888+(-0.505512--0.04896))+0-0-0</f>
        <v>793.18456800000001</v>
      </c>
      <c r="Z196" s="3">
        <f>495+(325.8-32)+(-1.0098+(-0.664632--0.06528))+0-0-0</f>
        <v>787.19084799999996</v>
      </c>
      <c r="AA196" s="3">
        <f>496+(330.8-32)+(-0.75888+(-0.506124--0.04896))+0-0-0</f>
        <v>793.58395599999994</v>
      </c>
      <c r="AB196" s="3">
        <f>498+(307.5-32)+(-0.50796+(-0.31365--0.03264))+0-0-0</f>
        <v>772.71103000000005</v>
      </c>
      <c r="AC196" s="3">
        <f>498+(283.9-32)+(-1.2699+(-0.723945--0.0816))+0-0-0</f>
        <v>747.98775499999999</v>
      </c>
      <c r="AD196">
        <v>786</v>
      </c>
      <c r="AE196" s="3">
        <f>497+(321-32)+(0+(0-0))+0-0-0</f>
        <v>786</v>
      </c>
    </row>
    <row r="197" spans="1:31" s="2" customFormat="1" x14ac:dyDescent="0.3">
      <c r="A197">
        <v>90</v>
      </c>
      <c r="B197">
        <v>7</v>
      </c>
      <c r="C197">
        <v>11</v>
      </c>
      <c r="D197">
        <v>3</v>
      </c>
      <c r="E197">
        <v>1</v>
      </c>
      <c r="F197" s="3">
        <f>486+(246.5-32)+(0.24786+(0.125715-0.01632))+0-0-0</f>
        <v>700.85725500000001</v>
      </c>
      <c r="G197" s="3">
        <f>470+(238.6-32)+(-1.1985+(-0.60843--0.0816))+0-0-0</f>
        <v>674.87467000000004</v>
      </c>
      <c r="H197" s="3">
        <f>473+(218.1-37.2)+(-0.24123+(-0.111231--0.018972))+0-0-0</f>
        <v>653.56651099999999</v>
      </c>
      <c r="I197" s="3">
        <f>473+(201.5-38.4)+(-0.24123+(-0.102765--0.019584))+0-0-0</f>
        <v>635.77558899999997</v>
      </c>
      <c r="J197" s="3">
        <f>471+(185.9-40.1)+(-1.20105+(-0.474045--0.102255))+0-0-0</f>
        <v>615.22715999999991</v>
      </c>
      <c r="K197" s="3">
        <f>460+(144.9-45.2)+(-0.9384+(-0.295596--0.092208))+0-0-0</f>
        <v>558.55821200000003</v>
      </c>
      <c r="L197" s="3">
        <f>403+(158.8-35.3)+(-0.20553+(-0.080988--0.018003))+0-0-0</f>
        <v>526.23148500000002</v>
      </c>
      <c r="M197" s="3">
        <f>403+(172.6-34.1)+(0.20553+(0.088026-0.017391))+0-0-0</f>
        <v>541.77616499999999</v>
      </c>
      <c r="N197" s="3">
        <f>403+(202.3-32)+(0.41106+(0.206346-0.03264))+0-0-0</f>
        <v>573.8847659999999</v>
      </c>
      <c r="O197" s="3">
        <f>403+(229.7-33)+(0.41106+(0.234294-0.03366))+0-0-0</f>
        <v>600.31169399999999</v>
      </c>
      <c r="P197" s="3">
        <f>406+(254.1-34)+(-0.20706+(-0.129591--0.01734))+0-0-0</f>
        <v>625.78068900000005</v>
      </c>
      <c r="Q197" s="3">
        <f>416+(271.3-32)+(-0.63648+(-0.415089--0.04896))+0-0-0</f>
        <v>654.29739099999995</v>
      </c>
      <c r="R197" s="3">
        <f>407+(324.1-33)+(-0.83028+(-0.661164--0.06732))+0-0-0</f>
        <v>696.67587600000002</v>
      </c>
      <c r="S197" s="3">
        <f>450+(304.1-31)+(-0.459+(-0.310182--0.03162))+0-0-0</f>
        <v>722.362438</v>
      </c>
      <c r="T197" s="3">
        <f>452+(283.2-30)+(-0.92208+(-0.577728--0.0612))+0-0-0</f>
        <v>703.761392</v>
      </c>
      <c r="U197" s="3">
        <f>452+(244.3-32.4)+(-1.1526+(-0.622965--0.08262))+0-0-0</f>
        <v>662.20705499999997</v>
      </c>
      <c r="V197" s="3">
        <f>466+(185.2-38)+(-0.95064+(-0.377808--0.07752))+0-0-0</f>
        <v>611.949072</v>
      </c>
      <c r="W197" s="3">
        <f>473+(208-34.7)+(0.48246+(0.21216-0.035394))+0-0-0</f>
        <v>646.95922599999994</v>
      </c>
      <c r="X197" s="3">
        <f>503+(274.4-33)+(-0.76959+(-0.419832--0.05049))+0-0-0</f>
        <v>743.26106800000002</v>
      </c>
      <c r="Y197" s="3">
        <f>511+(302.6-33)+(-0.52122+(-0.308652--0.03366))+0-0-0</f>
        <v>779.80378800000005</v>
      </c>
      <c r="Z197" s="3">
        <f>511+(308.7-32)+(-0.26061+(-0.157437--0.01632))+0-0-0</f>
        <v>787.29827299999999</v>
      </c>
      <c r="AA197" s="3">
        <f>511+(313.7-31)+(0.26061+(0.159987-0.01581))+0-0-0</f>
        <v>794.1047870000001</v>
      </c>
      <c r="AB197" s="3">
        <f>506+(296.2-31)+(-0.77418+(-0.453186--0.04743))+0-0-0</f>
        <v>770.02006400000005</v>
      </c>
      <c r="AC197" s="3">
        <f>506+(264.3-31)+(-0.77418+(-0.404379--0.04743))+0-0-0</f>
        <v>738.16887099999997</v>
      </c>
      <c r="AD197">
        <v>757.3</v>
      </c>
      <c r="AE197" s="3">
        <f>511+(278.3-32)+(0+(0-0))+0-0-0</f>
        <v>757.3</v>
      </c>
    </row>
    <row r="198" spans="1:31" s="2" customFormat="1" x14ac:dyDescent="0.3">
      <c r="A198">
        <v>90</v>
      </c>
      <c r="B198">
        <v>7</v>
      </c>
      <c r="C198">
        <v>12</v>
      </c>
      <c r="D198">
        <v>4</v>
      </c>
      <c r="E198">
        <v>1</v>
      </c>
      <c r="F198" s="3">
        <f>506+(233.4-34.7)+(-1.03224+(-0.476136--0.070788))+0-0-0</f>
        <v>703.26241200000004</v>
      </c>
      <c r="G198" s="3">
        <f>430+(278-30)+(-0.4386+(-0.28356--0.0306))+0-0-0</f>
        <v>677.30844000000002</v>
      </c>
      <c r="H198" s="3">
        <f>422+(258.6-29)+(-0.21522+(-0.131886--0.01479))+0-0-0</f>
        <v>651.26768400000003</v>
      </c>
      <c r="I198" s="3">
        <f>420+(234.3-29)+(-0.4284+(-0.238986--0.02958))+0-0-0</f>
        <v>624.662194</v>
      </c>
      <c r="J198" s="3">
        <f>418+(210.8-29)+(0+(0-0))+0-0-0</f>
        <v>599.79999999999995</v>
      </c>
      <c r="K198" s="3">
        <f>417+(164-34)+(-0.85068+(-0.33456--0.06936))+0-0-0</f>
        <v>545.88412000000005</v>
      </c>
      <c r="L198" s="3">
        <f>417+(141.7-38.6)+(-0.21267+(-0.072267--0.019686))+0-0-0</f>
        <v>519.83474899999999</v>
      </c>
      <c r="M198" s="3">
        <f>417+(158.4-35.3)+(0+(0-0))+0-0-0</f>
        <v>540.1</v>
      </c>
      <c r="N198" s="3">
        <f>431+(178.1-40.2)+(0.21981+(0.090831-0.020502))+0-0-0</f>
        <v>569.19013899999993</v>
      </c>
      <c r="O198" s="3">
        <f>465+(174.5-45.4)+(0+(0-0))+0-0-0</f>
        <v>594.1</v>
      </c>
      <c r="P198" s="3">
        <f>466+(194.8-41.4)+(-0.47532+(-0.198696--0.042228))+0-0-0</f>
        <v>618.76821199999995</v>
      </c>
      <c r="Q198" s="3">
        <f>478+(220.2-40.4)+(-0.24378+(-0.112302--0.020604))+0-0-0</f>
        <v>657.46452199999999</v>
      </c>
      <c r="R198" s="3">
        <f>478+(263.8-30)+(-0.73134+(-0.403614--0.0459))+0-0-0</f>
        <v>710.71094599999992</v>
      </c>
      <c r="S198" s="3">
        <f>479+(280.6-30)+(-0.48858+(-0.286212--0.0306))+0-0-0</f>
        <v>728.85580800000002</v>
      </c>
      <c r="T198" s="3">
        <f>481+(262.4-36.6)+(-0.49062+(-0.267648--0.037332))+0-0-0</f>
        <v>706.0790639999999</v>
      </c>
      <c r="U198" s="3">
        <f>476+(230.4-41)+(0+(0-0))+0-0-0</f>
        <v>665.4</v>
      </c>
      <c r="V198" s="3">
        <f>444+(195.8-35.8)+(-0.45288+(-0.199716--0.036516))+0-0-0</f>
        <v>603.38391999999999</v>
      </c>
      <c r="W198" s="3">
        <f>451+(216.3-31)+(-0.69003+(-0.330939--0.04743))+0-0-0</f>
        <v>635.32646099999999</v>
      </c>
      <c r="X198" s="3">
        <f>466+(305.5-31)+(-0.71298+(-0.467415--0.04743))+0-0-0</f>
        <v>739.36703499999999</v>
      </c>
      <c r="Y198" s="3">
        <f>490+(324.8-33)+(-1.2495+(-0.82824--0.08415))+0-0-0</f>
        <v>779.80640999999991</v>
      </c>
      <c r="Z198" s="3">
        <f>492+(306.8-34)+(0+(0-0))+0-0-0</f>
        <v>764.8</v>
      </c>
      <c r="AA198" s="3">
        <f>491+(328.8-33)+(-0.50082+(-0.335376--0.03366))+0-0-0</f>
        <v>785.99746399999992</v>
      </c>
      <c r="AB198" s="3">
        <f>490+(314.6-32)+(-1.2495+(-0.80223--0.0816))+0-0-0</f>
        <v>770.62986999999998</v>
      </c>
      <c r="AC198" s="3">
        <f>469+(306.3-32)+(0+(0-0))+0-0-0</f>
        <v>743.3</v>
      </c>
      <c r="AD198">
        <v>753</v>
      </c>
      <c r="AE198" s="3">
        <f>491+(294-32)+(0+(0-0))+0-0-0</f>
        <v>753</v>
      </c>
    </row>
    <row r="199" spans="1:31" s="2" customFormat="1" x14ac:dyDescent="0.3">
      <c r="A199">
        <v>90</v>
      </c>
      <c r="B199">
        <v>7</v>
      </c>
      <c r="C199">
        <v>13</v>
      </c>
      <c r="D199">
        <v>5</v>
      </c>
      <c r="E199">
        <v>1</v>
      </c>
      <c r="F199" s="3">
        <f>419+(314.3-32)+(-0.21369+(-0.160293--0.01632))+0-0-0</f>
        <v>700.94233699999995</v>
      </c>
      <c r="G199" s="3">
        <f>419+(283.2-32)+(-0.21369+(-0.144432--0.01632))+0-0-0</f>
        <v>669.85819800000002</v>
      </c>
      <c r="H199" s="3">
        <f>419+(251.8-31)+(0.42738+(0.256836-0.03162))+0-0-0</f>
        <v>640.45259599999997</v>
      </c>
      <c r="I199" s="3">
        <f>419+(227.6-31)+(-0.21369+(-0.116076--0.01581))+0-0-0</f>
        <v>615.28604400000006</v>
      </c>
      <c r="J199" s="3">
        <f>416+(204.9-32)+(-0.63648+(-0.313497--0.04896))+0-0-0</f>
        <v>587.99898299999995</v>
      </c>
      <c r="K199" s="3">
        <f>417+(149.6-32.6)+(-0.63801+(-0.228888--0.049878))+0-0-0</f>
        <v>533.18298000000004</v>
      </c>
      <c r="L199" s="3">
        <f>424+(125.8-35)+(0+(0-0))+0-0-0</f>
        <v>514.79999999999995</v>
      </c>
      <c r="M199" s="3">
        <f>425+(144.8-29.8)+(0+(0-0))+0-0-0</f>
        <v>540</v>
      </c>
      <c r="N199" s="3">
        <f>436+(157.1-36.3)+(0.22236+(0.080121-0.018513))+0-0-0</f>
        <v>557.08396799999991</v>
      </c>
      <c r="O199" s="3">
        <f>487+(140.1-49.8)+(-0.74511+(-0.214353--0.076194))+0-0-0</f>
        <v>576.41673099999991</v>
      </c>
      <c r="P199" s="3">
        <f>488+(166-45.5)+(-0.24888+(-0.08466--0.023205))+0-0-0</f>
        <v>608.18966499999999</v>
      </c>
      <c r="Q199" s="3">
        <f>489+(188.5-41.3)+(-0.49878+(-0.19227--0.042126))+0-0-0</f>
        <v>635.55107600000008</v>
      </c>
      <c r="R199" s="3">
        <f>478+(223.5-36.6)+(-1.70646+(-0.797895--0.130662))+0-0-0</f>
        <v>662.52630699999997</v>
      </c>
      <c r="S199" s="3">
        <f>482+(237.1-37.2)+(-0.49164+(-0.241842--0.037944))+0-0-0</f>
        <v>681.20446199999992</v>
      </c>
      <c r="T199" s="3">
        <f>480+(216-39.6)+(-0.9792+(-0.44064--0.080784))+0-0-0</f>
        <v>655.06094399999995</v>
      </c>
      <c r="U199" s="3">
        <f>482+(183.8-44.4)+(-0.24582+(-0.093738--0.022644))+0-0-0</f>
        <v>621.08308599999998</v>
      </c>
      <c r="V199" s="3">
        <f>488+(138.7-49.5)+(-0.74664+(-0.212211--0.075735))+0-0-0</f>
        <v>576.31688400000007</v>
      </c>
      <c r="W199" s="3">
        <f>493+(159.9-42.2)+(0.25143+(0.081549-0.021522))+0-0-0</f>
        <v>611.01145700000006</v>
      </c>
      <c r="X199" s="3">
        <f>493+(224.6-31)+(-0.50286+(-0.229092--0.03162))+0-0-0</f>
        <v>685.89966800000002</v>
      </c>
      <c r="Y199" s="3">
        <f>491+(260.3-31)+(-0.75123+(-0.398259--0.04743))+0-0-0</f>
        <v>719.1979409999999</v>
      </c>
      <c r="Z199" s="3">
        <f>493+(273.2-31)+(-0.25143+(-0.139332--0.01581))+0-0-0</f>
        <v>734.82504800000004</v>
      </c>
      <c r="AA199" s="3">
        <f>491+(275.5-31)+(-0.75123+(-0.421515--0.04743))+0-0-0</f>
        <v>734.374685</v>
      </c>
      <c r="AB199" s="3">
        <f>491+(258.5-31)+(-1.00164+(-0.52734--0.06324))+0-0-0</f>
        <v>717.03426000000002</v>
      </c>
      <c r="AC199" s="3">
        <f>492+(233.6-33)+(-0.50184+(-0.238272--0.03366))+0-0-0</f>
        <v>691.89354800000001</v>
      </c>
      <c r="AD199">
        <v>695</v>
      </c>
      <c r="AE199" s="3">
        <f>493+(233-31)+(0+(0-0))+0-0-0</f>
        <v>695</v>
      </c>
    </row>
    <row r="200" spans="1:31" s="2" customFormat="1" x14ac:dyDescent="0.3">
      <c r="A200">
        <v>90</v>
      </c>
      <c r="B200">
        <v>7</v>
      </c>
      <c r="C200">
        <v>14</v>
      </c>
      <c r="D200">
        <v>6</v>
      </c>
      <c r="E200">
        <v>1</v>
      </c>
      <c r="F200" s="3">
        <f>488+(201.6-38)+(-0.99552+(-0.411264--0.07752))+0-0-0</f>
        <v>650.27073600000006</v>
      </c>
      <c r="G200" s="3">
        <f>488+(183.4-36.2)+(-1.2444+(-0.46767--0.09231))+0-0-0</f>
        <v>633.58024</v>
      </c>
      <c r="H200" s="3">
        <f>488+(160-39.4)+(-1.2444+(-0.408--0.10047))+0-0-0</f>
        <v>607.04807000000005</v>
      </c>
      <c r="I200" s="3">
        <f>460+(162.5-33.5)+(-0.9384+(-0.3315--0.06834))+0-0-0</f>
        <v>587.79844000000003</v>
      </c>
      <c r="J200" s="3">
        <f>424+(179.5-29)+(0.64872+(0.274635-0.04437))+0-0-0</f>
        <v>575.37898499999994</v>
      </c>
      <c r="K200" s="3">
        <f>422+(131.3-33.3)+(-1.0761+(-0.334815--0.084915))+0-0-0</f>
        <v>518.67399999999998</v>
      </c>
      <c r="L200" s="3">
        <f>422+(125.4-38.4)+(-0.21522+(-0.063954--0.019584))+0-0-0</f>
        <v>508.74041</v>
      </c>
      <c r="M200" s="3">
        <f>445+(122.8-42.8)+(0.22695+(0.062628-0.021828))+0-0-0</f>
        <v>525.26774999999998</v>
      </c>
      <c r="N200" s="3">
        <f>486+(115.5-53.4)+(0.24786+(0.058905-0.027234))+0-0-0</f>
        <v>548.37953100000004</v>
      </c>
      <c r="O200" s="3">
        <f>487+(135-49)+(0+(0-0))+0-0-0</f>
        <v>573</v>
      </c>
      <c r="P200" s="3">
        <f>487+(157.2-44.5)+(0+(0-0))+0-0-0</f>
        <v>599.70000000000005</v>
      </c>
      <c r="Q200" s="3">
        <f>485+(185.6-40.7)+(-0.74205+(-0.283968--0.062271))+0-0-0</f>
        <v>628.93625299999997</v>
      </c>
      <c r="R200" s="3">
        <f>482+(204.6-38.9)+(-0.24582+(-0.104346--0.019839))+0-0-0</f>
        <v>647.36967300000003</v>
      </c>
      <c r="S200" s="3">
        <f>482+(210.2-38)+(0.49164+(0.214404-0.03876))+0-0-0</f>
        <v>654.86728400000004</v>
      </c>
      <c r="T200" s="3">
        <f>483+(200.1-41.9)+(-0.49266+(-0.204102--0.042738))+0-0-0</f>
        <v>640.545976</v>
      </c>
      <c r="U200" s="3">
        <f>481+(166-46.3)+(-1.22655+(-0.4233--0.118065))+0-0-0</f>
        <v>599.16821500000003</v>
      </c>
      <c r="V200" s="3">
        <f>489+(126.5-51.1)+(-1.24695+(-0.322575--0.130305))+0-0-0</f>
        <v>562.96078</v>
      </c>
      <c r="W200" s="3">
        <f>492+(141.5-45)+(-0.25092+(-0.072165--0.02295))+0-0-0</f>
        <v>588.19986500000005</v>
      </c>
      <c r="X200" s="3">
        <f>492+(209.5-32)+(-0.25092+(-0.106845--0.01632))+0-0-0</f>
        <v>669.15855499999998</v>
      </c>
      <c r="Y200" s="3">
        <f>488+(232-32)+(-1.74216+(-0.82824--0.11424))+0-0-0</f>
        <v>685.54384000000005</v>
      </c>
      <c r="Z200" s="3">
        <f>429+(294.3-31)+(-0.87516+(-0.600372--0.06324))+0-0-0</f>
        <v>690.88770799999998</v>
      </c>
      <c r="AA200" s="3">
        <f>426+(300.9-30)+(-1.0863+(-0.767295--0.0765))+0-0-0</f>
        <v>695.12290499999995</v>
      </c>
      <c r="AB200" s="3">
        <f>424+(284.2-31)+(-0.64872+(-0.434826--0.04743))+0-0-0</f>
        <v>676.16388400000005</v>
      </c>
      <c r="AC200" s="3">
        <f>424+(258.3-32)+(-0.64872+(-0.395199--0.04896))+0-0-0</f>
        <v>649.30504099999996</v>
      </c>
      <c r="AD200">
        <v>688.6</v>
      </c>
      <c r="AE200" s="3">
        <f>493+(227.6-32)+(0+(0-0))+0-0-0</f>
        <v>688.6</v>
      </c>
    </row>
    <row r="201" spans="1:31" s="2" customFormat="1" x14ac:dyDescent="0.3">
      <c r="A201">
        <v>90</v>
      </c>
      <c r="B201">
        <v>7</v>
      </c>
      <c r="C201">
        <v>15</v>
      </c>
      <c r="D201">
        <v>7</v>
      </c>
      <c r="E201">
        <v>1</v>
      </c>
      <c r="F201" s="3">
        <f>430+(227.7-31)+(0.4386+(0.232254-0.03162))+0-0-0</f>
        <v>627.33923400000003</v>
      </c>
      <c r="G201" s="3">
        <f>430+(202.8-30)+(0+(0-0))+0-0-0</f>
        <v>602.79999999999995</v>
      </c>
      <c r="H201" s="3">
        <f>429+(180.1-29)+(-0.43758+(-0.183702--0.02958))+0-0-0</f>
        <v>579.50829799999997</v>
      </c>
      <c r="I201" s="3">
        <f>430+(161.4-30.5)+(0.2193+(0.082314-0.015555))+0-0-0</f>
        <v>561.186059</v>
      </c>
      <c r="J201" s="3">
        <f>429+(142-32.7)+(0.21879+(0.07242-0.016677))+0-0-0</f>
        <v>538.57453299999997</v>
      </c>
      <c r="K201" s="3">
        <f>428+(108.4-39.8)+(-0.21828+(-0.055284--0.020298))+0-0-0</f>
        <v>496.34673400000003</v>
      </c>
      <c r="L201" s="3">
        <f>428+(88.3-44.1)+(0+(0-0))+0-0-0</f>
        <v>472.2</v>
      </c>
      <c r="M201" s="3">
        <f>428+(96.1-44.4)+(0+(0-0))+0-0-0</f>
        <v>479.7</v>
      </c>
      <c r="N201" s="3">
        <f>485+(72.3-62.1)+(-1.4841+(-0.221238--0.190026))+0-0-0</f>
        <v>493.68468799999999</v>
      </c>
      <c r="O201" s="3">
        <f>491+(89.1-57.7)+(-0.25041+(-0.045441--0.029427))+0-0-0</f>
        <v>522.13357599999995</v>
      </c>
      <c r="P201" s="3">
        <f>493+(108-54.4)+(-0.50286+(-0.11016--0.055488))+0-0-0</f>
        <v>546.04246799999999</v>
      </c>
      <c r="Q201" s="3">
        <f>491+(129.7-49)+(-0.50082+(-0.132294--0.04998))+0-0-0</f>
        <v>571.11686600000007</v>
      </c>
      <c r="R201" s="3">
        <f>489+(149.5-45.6)+(-0.99756+(-0.30498--0.093024))+0-0-0</f>
        <v>591.69048399999997</v>
      </c>
      <c r="S201" s="3">
        <f>490+(158.2-46.6)+(-0.4998+(-0.161364--0.047532))+0-0-0</f>
        <v>600.98636799999997</v>
      </c>
      <c r="T201" s="3">
        <f>432+(183.3-31)+(-0.44064+(-0.186966--0.03162))+0-0-0</f>
        <v>583.70401399999992</v>
      </c>
      <c r="U201" s="3">
        <f>425+(162.3-32.5)+(-1.3005+(-0.496638--0.09945))+0-0-0</f>
        <v>553.10231199999998</v>
      </c>
      <c r="V201" s="3">
        <f>430+(128.4-36.6)+(-0.8772+(-0.261936--0.074664))+0-0-0</f>
        <v>520.73552799999993</v>
      </c>
      <c r="W201" s="3">
        <f>430+(166-29)+(-0.6579+(-0.25398--0.04437))+0-0-0</f>
        <v>566.13248999999996</v>
      </c>
      <c r="X201" s="3">
        <f>459+(218.1-31)+(-1.40454+(-0.667386--0.09486))+0-0-0</f>
        <v>644.12293399999999</v>
      </c>
      <c r="Y201" s="3">
        <f>429+(281-32)+(-1.09395+(-0.71655--0.0816))+0-0-0</f>
        <v>676.27110000000005</v>
      </c>
      <c r="Z201" s="3">
        <f>430+(289.8-33)+(-0.8772+(-0.591192--0.06732))+0-0-0</f>
        <v>685.39892799999996</v>
      </c>
      <c r="AA201" s="3">
        <f>430+(283.8-32)+(-0.8772+(-0.578952--0.06528))+0-0-0</f>
        <v>680.40912800000001</v>
      </c>
      <c r="AB201" s="3">
        <f>431+(266.4-32)+(0+(0-0))+0-0-0</f>
        <v>665.4</v>
      </c>
      <c r="AC201" s="3">
        <f>429+(239.4-32)+(-1.09395+(-0.61047--0.0816))+0-0-0</f>
        <v>634.77717999999993</v>
      </c>
      <c r="AD201">
        <v>682.5</v>
      </c>
      <c r="AE201" s="3">
        <f>430+(284.5-32)+(0+(0-0))+0-0-0</f>
        <v>682.5</v>
      </c>
    </row>
    <row r="202" spans="1:31" s="2" customFormat="1" x14ac:dyDescent="0.3">
      <c r="A202">
        <v>90</v>
      </c>
      <c r="B202">
        <v>7</v>
      </c>
      <c r="C202">
        <v>16</v>
      </c>
      <c r="D202">
        <v>1</v>
      </c>
      <c r="E202">
        <v>1</v>
      </c>
      <c r="F202" s="3">
        <f>429+(207.4-31)+(-0.87516+(-0.423096--0.06324))+0-0-0</f>
        <v>604.164984</v>
      </c>
      <c r="G202" s="3">
        <f>429+(181.7-31)+(-0.87516+(-0.370668--0.06324))+0-0-0</f>
        <v>578.51741200000004</v>
      </c>
      <c r="H202" s="3">
        <f>429+(158.6-30)+(-0.21879+(-0.080886--0.0153))+0-0-0</f>
        <v>557.31562400000007</v>
      </c>
      <c r="I202" s="3">
        <f>429+(143.3-33.5)+(-0.43758+(-0.146166--0.03417))+0-0-0</f>
        <v>538.25042399999995</v>
      </c>
      <c r="J202" s="3">
        <f>428+(133.3-36.6)+(0+(0-0))+0-0-0</f>
        <v>524.70000000000005</v>
      </c>
      <c r="K202" s="3">
        <f>428+(97.4-42.6)+(0.21828+(0.049674-0.021726))+0-0-0</f>
        <v>483.04622799999999</v>
      </c>
      <c r="L202" s="3">
        <f>430+(81.1-44.6)+(0.2193+(0.041361-0.022746))+0-0-0</f>
        <v>466.73791499999999</v>
      </c>
      <c r="M202" s="3">
        <f>475+(76.3-59.1)+(-0.24225+(-0.038913--0.030141))+0-0-0</f>
        <v>491.94897800000001</v>
      </c>
      <c r="N202" s="3">
        <f>493+(86.9-59.7)+(-0.25143+(-0.044319--0.030447))+0-0-0</f>
        <v>519.93469800000003</v>
      </c>
      <c r="O202" s="3">
        <f>494+(110-57.7)+(-0.50388+(-0.1122--0.058854))+0-0-0</f>
        <v>545.74277399999994</v>
      </c>
      <c r="P202" s="3">
        <f>495+(126.2-55.3)+(0+(0-0))+0-0-0</f>
        <v>565.9</v>
      </c>
      <c r="Q202" s="3">
        <f>493+(157-49.5)+(-0.75429+(-0.24021--0.075735))+0-0-0</f>
        <v>599.58123499999999</v>
      </c>
      <c r="R202" s="3">
        <f>494+(190.4-42.1)+(-1.2597+(-0.48552--0.107355))+0-0-0</f>
        <v>640.66213499999992</v>
      </c>
      <c r="S202" s="3">
        <f>495+(204.9-41.3)+(-0.75735+(-0.313497--0.063189))+0-0-0</f>
        <v>657.59234200000003</v>
      </c>
      <c r="T202" s="3">
        <f>496+(187.2-45)+(0+(0-0))+0-0-0</f>
        <v>638.20000000000005</v>
      </c>
      <c r="U202" s="3">
        <f>494+(150.7-47.9)+(-0.50388+(-0.153714--0.048858))+0-0-0</f>
        <v>596.19126399999993</v>
      </c>
      <c r="V202" s="3">
        <f>496+(115.7-53.5)+(-0.75888+(-0.177021--0.081855))+0-0-0</f>
        <v>557.34595400000001</v>
      </c>
      <c r="W202" s="3">
        <f>498+(140.9-47.5)+(-0.25398+(-0.071859--0.024225))+0-0-0</f>
        <v>591.098386</v>
      </c>
      <c r="X202" s="3">
        <f>496+(207.8-33.7)+(-1.2648+(-0.52989--0.085935))+0-0-0</f>
        <v>668.39124500000003</v>
      </c>
      <c r="Y202" s="3">
        <f>498+(237.2-32)+(-1.01592+(-0.483888--0.06528))+0-0-0</f>
        <v>701.76547200000005</v>
      </c>
      <c r="Z202" s="3">
        <f>497+(244.1-32)+(-0.25347+(-0.124491--0.01632))+0-0-0</f>
        <v>708.73835900000006</v>
      </c>
      <c r="AA202" s="3">
        <f>497+(239.3-31)+(-1.26735+(-0.610215--0.07905))+0-0-0</f>
        <v>703.501485</v>
      </c>
      <c r="AB202" s="3">
        <f>497+(227.7-31)+(-1.01388+(-0.464508--0.06324))+0-0-0</f>
        <v>692.284852</v>
      </c>
      <c r="AC202" s="3">
        <f>496+(202.5-33.7)+(-1.2648+(-0.516375--0.085935))+0-0-0</f>
        <v>663.10475999999994</v>
      </c>
      <c r="AD202">
        <v>667.3</v>
      </c>
      <c r="AE202" s="3">
        <f>499+(203.4-35.1)+(0+(0-0))+0-0-0</f>
        <v>667.3</v>
      </c>
    </row>
    <row r="203" spans="1:31" s="2" customFormat="1" x14ac:dyDescent="0.3">
      <c r="A203">
        <v>90</v>
      </c>
      <c r="B203">
        <v>7</v>
      </c>
      <c r="C203">
        <v>17</v>
      </c>
      <c r="D203">
        <v>2</v>
      </c>
      <c r="E203">
        <v>1</v>
      </c>
      <c r="F203" s="3">
        <f>440+(206-29)+(-0.2244+(-0.10506--0.01479))+0-0-0</f>
        <v>616.68533000000002</v>
      </c>
      <c r="G203" s="3">
        <f>374+(256.3-27)+(-0.9537+(-0.653565--0.06885))+0-0-0</f>
        <v>601.76158499999997</v>
      </c>
      <c r="H203" s="3">
        <f>375+(231.1-26)+(-0.19125+(-0.117861--0.01326))+0-0-0</f>
        <v>579.80414900000005</v>
      </c>
      <c r="I203" s="3">
        <f>375+(213.3-26)+(-0.19125+(-0.108783--0.01326))+0-0-0</f>
        <v>562.01322699999992</v>
      </c>
      <c r="J203" s="3">
        <f>373+(193.8-26)+(-0.38046+(-0.197676--0.02652))+0-0-0</f>
        <v>540.24838399999999</v>
      </c>
      <c r="K203" s="3">
        <f>372+(140.8-18)+(-0.56916+(-0.215424--0.02754))+0-0-0</f>
        <v>494.042956</v>
      </c>
      <c r="L203" s="3">
        <f>375+(116.8-11.1)+(-0.19125+(-0.059568--0.005661))+0-0-0</f>
        <v>480.45484299999998</v>
      </c>
      <c r="M203" s="3">
        <f>376+(149.7-31)+(-0.19176+(-0.076347--0.01581))+0-0-0</f>
        <v>494.44770299999999</v>
      </c>
      <c r="N203" s="3">
        <f>376+(161.7-32)+(0.38352+(0.164934-0.03264))+0.4-0-0</f>
        <v>506.61581399999994</v>
      </c>
      <c r="O203" s="3">
        <f>380+(186.3-32)+(-0.3876+(-0.190026--0.03264))+0-0-0</f>
        <v>533.75501399999996</v>
      </c>
      <c r="P203" s="3">
        <f>375+(213-33)+(-0.19125+(-0.10863--0.01683))+0-0-0</f>
        <v>554.71695</v>
      </c>
      <c r="Q203" s="3">
        <f>374+(239.2-33)+(-0.38148+(-0.243984--0.03366))+0-0-0</f>
        <v>579.60819600000002</v>
      </c>
      <c r="R203" s="3">
        <f>371+(291.8-29)+(-0.56763+(-0.446454--0.04437))+0-0-0</f>
        <v>632.830286</v>
      </c>
      <c r="S203" s="3">
        <f>372+(271.8-28)+(-0.75888+(-0.554472--0.05712))+22.7-0-0</f>
        <v>637.24376800000005</v>
      </c>
      <c r="T203" s="3">
        <f>374+(256.4-30)+(-0.19074+(-0.130764--0.0153))+11.3-0-0</f>
        <v>611.39379599999995</v>
      </c>
      <c r="U203" s="3">
        <f>373+(231.1-31)+(-0.95115+(-0.589305--0.07905))+0-0-0</f>
        <v>571.63859500000001</v>
      </c>
      <c r="V203" s="3">
        <f>375+(189.8-31)+(-0.57375+(-0.290394--0.04743))+0-0-0</f>
        <v>532.98328599999991</v>
      </c>
      <c r="W203" s="3">
        <f>377+(235.2-31)+(0.19227+(0.119952-0.01581))+0-0-0</f>
        <v>581.49641200000008</v>
      </c>
      <c r="X203" s="3">
        <f>377+(323.4-32)+(-0.38454+(-0.329868--0.03264))+0-0-0</f>
        <v>667.71823199999994</v>
      </c>
      <c r="Y203" s="3">
        <f>376+(348.1-32)+(-0.76704+(-0.710124--0.06528))+0-0-0</f>
        <v>690.68811600000004</v>
      </c>
      <c r="Z203" s="3">
        <f>376+(363.4-32)+(-0.76704+(-0.741336--0.06528))+0-0-0</f>
        <v>705.95690400000001</v>
      </c>
      <c r="AA203" s="3">
        <f>376+(363.2-31)+(-0.38352+(-0.370464--0.03162))+0-0-0</f>
        <v>707.47763600000008</v>
      </c>
      <c r="AB203" s="3">
        <f>376+(343-31)+(-0.38352+(-0.34986--0.03162))+0-0-0</f>
        <v>687.29823999999996</v>
      </c>
      <c r="AC203" s="3">
        <f>375+(311.4-31)+(-0.95625+(-0.79407--0.07905))+0-0-0</f>
        <v>653.72872999999993</v>
      </c>
      <c r="AD203">
        <v>672.2</v>
      </c>
      <c r="AE203" s="3">
        <f>377+(327.2-32)+(0+(0-0))+0-0-0</f>
        <v>672.2</v>
      </c>
    </row>
    <row r="204" spans="1:31" s="2" customFormat="1" x14ac:dyDescent="0.3">
      <c r="A204">
        <v>90</v>
      </c>
      <c r="B204">
        <v>7</v>
      </c>
      <c r="C204">
        <v>18</v>
      </c>
      <c r="D204">
        <v>3</v>
      </c>
      <c r="E204">
        <v>1</v>
      </c>
      <c r="F204" s="3">
        <f>366+(284.3-30)+(-0.37332+(-0.289986--0.0306))+0-0-0</f>
        <v>619.66729399999997</v>
      </c>
      <c r="G204" s="3">
        <f>290+(320.2-30)+(-0.4437+(-0.489906--0.0459))+0-0-0</f>
        <v>579.31229400000007</v>
      </c>
      <c r="H204" s="3">
        <f>290+(300.3-29)+(0+(0-0))+0-0-0</f>
        <v>561.29999999999995</v>
      </c>
      <c r="I204" s="3">
        <f>290+(275.2-29)+(0+(0-0))+0-0-0</f>
        <v>536.20000000000005</v>
      </c>
      <c r="J204" s="3">
        <f>290+(256.1-28)+(-0.4437+(-0.391833--0.04284))+0-0-0</f>
        <v>517.30730700000004</v>
      </c>
      <c r="K204" s="3">
        <f>290+(204.6-27)+(0.1479+(0.104346-0.01377))+14.7-0-0</f>
        <v>482.538476</v>
      </c>
      <c r="L204" s="3">
        <f>288+(160.3-29)+(0+(0-0))+14.4-0-0</f>
        <v>433.7</v>
      </c>
      <c r="M204" s="3">
        <f>289+(194-30)+(-0.29478+(-0.19788--0.0306))+6-0-0</f>
        <v>458.53793999999999</v>
      </c>
      <c r="N204" s="3">
        <f>288+(222-32)+(0.44064+(0.33966-0.04896))+4.5-0-0</f>
        <v>483.23133999999999</v>
      </c>
      <c r="O204" s="3">
        <f>286+(247.5-33)+(-0.43758+(-0.378675--0.05049))+0-0-0</f>
        <v>499.73423500000001</v>
      </c>
      <c r="P204" s="3">
        <f>286+(262-34)+(-0.58344+(-0.53448--0.06936))+0-0-0</f>
        <v>512.95144000000005</v>
      </c>
      <c r="Q204" s="3">
        <f>286+(302.7-33)+(-0.58344+(-0.617508--0.06732))+0-0-0</f>
        <v>554.566372</v>
      </c>
      <c r="R204" s="3">
        <f>287+(336.7-32)+(-0.73185+(-0.858585--0.0816))+0-0-0</f>
        <v>590.19116500000007</v>
      </c>
      <c r="S204" s="3">
        <f>288+(340.8-31)+(0.14688+(0.173808-0.01581))+0-0-0</f>
        <v>598.10487799999999</v>
      </c>
      <c r="T204" s="3">
        <f>287+(414.9-30)+(-0.58548+(-0.846396--0.0612))+3.1-0-0</f>
        <v>673.629324</v>
      </c>
      <c r="U204" s="3">
        <f>287+(383.1-31)+(-0.73185+(-0.976905--0.07905))+0-0-0</f>
        <v>637.47029500000008</v>
      </c>
      <c r="V204" s="3">
        <f>291+(245-32)+(-0.44523+(-0.37485--0.04896))+3.8-0-0</f>
        <v>507.02888000000002</v>
      </c>
      <c r="W204" s="3">
        <f>295+(280.7-33)+(0.3009+(0.286314-0.03366))+4-0-0</f>
        <v>547.25355400000001</v>
      </c>
      <c r="X204" s="3">
        <f>294+(359.9-33)+(-0.7497+(-0.917745--0.08415))+0-0-0</f>
        <v>619.31670499999996</v>
      </c>
      <c r="Y204" s="3">
        <f>294+(377.5-32)+(-0.29988+(-0.38505--0.03264))+0-0-0</f>
        <v>638.84771000000001</v>
      </c>
      <c r="Z204" s="3">
        <f>294+(367.6-32)+(-0.44982+(-0.562428--0.04896))+0-0-0</f>
        <v>628.63671199999999</v>
      </c>
      <c r="AA204" s="3">
        <f>294+(366.3-32)+(-0.59976+(-0.747252--0.06528))+0-0-0</f>
        <v>627.01826799999992</v>
      </c>
      <c r="AB204" s="3">
        <f>294+(356.9-32)+(0+(0-0))+0-0-0</f>
        <v>618.9</v>
      </c>
      <c r="AC204" s="3">
        <f>293+(320.1-31)+(-0.59772+(-0.653004--0.06324))+0-0-0</f>
        <v>580.91251599999998</v>
      </c>
      <c r="AD204">
        <v>633.70000000000005</v>
      </c>
      <c r="AE204" s="3">
        <f>293+(372.7-32)+(0+(0-0))+0-0-0</f>
        <v>633.70000000000005</v>
      </c>
    </row>
    <row r="205" spans="1:31" s="2" customFormat="1" x14ac:dyDescent="0.3">
      <c r="A205">
        <v>90</v>
      </c>
      <c r="B205">
        <v>7</v>
      </c>
      <c r="C205">
        <v>19</v>
      </c>
      <c r="D205">
        <v>4</v>
      </c>
      <c r="E205">
        <v>1</v>
      </c>
      <c r="F205" s="3">
        <f>295+(291.7-33)+(0+(0-0))+0-0-0</f>
        <v>553.70000000000005</v>
      </c>
      <c r="G205" s="3">
        <f>294+(272.8-32)+(-0.44982+(-0.417384--0.04896))+0-0-0</f>
        <v>533.9817559999999</v>
      </c>
      <c r="H205" s="3">
        <f>296+(246.7-32)+(0.30192+(0.251634-0.03264))+0-0-0</f>
        <v>511.22091399999999</v>
      </c>
      <c r="I205" s="3">
        <f>286+(249-32)+(-0.43758+(-0.38097--0.04896))+0-0-0</f>
        <v>502.23041000000001</v>
      </c>
      <c r="J205" s="3">
        <f>230+(281.3-31)+(0+(0-0))+0-0-0</f>
        <v>480.3</v>
      </c>
      <c r="K205" s="3">
        <f>230+(258.3-30)+(-0.3519+(-0.395199--0.0459))+0-0-0</f>
        <v>457.59880100000004</v>
      </c>
      <c r="L205" s="3">
        <f>229+(248.9-29)+(-0.23358+(-0.253878--0.02958))+0-0-0</f>
        <v>448.44212199999998</v>
      </c>
      <c r="M205" s="3">
        <f>229+(256.8-30)+(0.23358+(0.261936-0.0306))+0-0-0</f>
        <v>456.26491600000003</v>
      </c>
      <c r="N205" s="3">
        <f>229+(267.8-30)+(-0.11679+(-0.136578--0.0153))+0-0-0</f>
        <v>466.56193200000001</v>
      </c>
      <c r="O205" s="3">
        <f>233+(283.9-32)+(0+(0-0))+0-0-0</f>
        <v>484.9</v>
      </c>
      <c r="P205" s="3">
        <f>333+(205.2-33)+(-0.16983+(-0.104652--0.01683))+0-0-0</f>
        <v>504.94234799999998</v>
      </c>
      <c r="Q205" s="3">
        <f>413+(164.3-42.7)+(-0.63189+(-0.251379--0.065331))+0-0-0</f>
        <v>533.782062</v>
      </c>
      <c r="R205" s="3">
        <f>411+(192.4-37.1)+(-0.83844+(-0.392496--0.075684))+0-0-0</f>
        <v>565.14474799999994</v>
      </c>
      <c r="S205" s="3">
        <f>412+(186.8-39.4)+(-0.42024+(-0.190536--0.040188))+0-0-0</f>
        <v>558.82941199999993</v>
      </c>
      <c r="T205" s="3">
        <f>411+(176-40.1)+(-0.41922+(-0.17952--0.040902))+0-0-0</f>
        <v>546.34216200000003</v>
      </c>
      <c r="U205" s="3">
        <f>411+(194.3-43)+(-0.83844+(-0.396372--0.08772))+0-0-0</f>
        <v>561.15290799999991</v>
      </c>
      <c r="V205" s="3">
        <f>415+(130.9-50.8)+(-0.63495+(-0.200277--0.077724))+1.5-0-0</f>
        <v>495.84249700000004</v>
      </c>
      <c r="W205" s="3">
        <f>416+(152.5-42.5)+(0+(0-0))+3.3-0-0</f>
        <v>529.29999999999995</v>
      </c>
      <c r="X205" s="3">
        <f>414+(198.2-33.2)+(-0.63342+(-0.303246--0.050796))+1-0-0</f>
        <v>579.11413000000005</v>
      </c>
      <c r="Y205" s="3">
        <f>403+(218-31)+(-0.41106+(-0.22236--0.03162))+5.3-0-0</f>
        <v>594.69819999999993</v>
      </c>
      <c r="Z205" s="3">
        <f>243+(304.3-28)+(-0.49572+(-0.620772--0.05712))+7-0-0</f>
        <v>525.2406279999999</v>
      </c>
      <c r="AA205" s="3">
        <f>310+(284.7-30)+(-0.4743+(-0.435591--0.0459))+2.3-0-0</f>
        <v>566.13600899999994</v>
      </c>
      <c r="AB205" s="3">
        <f>448+(155.4-31)+(-1.1424+(-0.39627--0.07905))+0-0-0</f>
        <v>570.94038</v>
      </c>
      <c r="AC205" s="3">
        <f>483+(105.8-41.4)+(-1.23165+(-0.26979--0.10557))+0-0-0</f>
        <v>546.00413000000003</v>
      </c>
      <c r="AD205">
        <v>587.20000000000005</v>
      </c>
      <c r="AE205" s="3">
        <f>416+(203.2-32)+(0+(0-0))+0-0-0</f>
        <v>587.20000000000005</v>
      </c>
    </row>
    <row r="206" spans="1:31" s="2" customFormat="1" x14ac:dyDescent="0.3">
      <c r="A206">
        <v>90</v>
      </c>
      <c r="B206">
        <v>7</v>
      </c>
      <c r="C206">
        <v>20</v>
      </c>
      <c r="D206">
        <v>5</v>
      </c>
      <c r="E206">
        <v>1</v>
      </c>
      <c r="F206" s="3">
        <f>483+(86.3-46.8)+(-0.98532+(-0.176052--0.095472))+0-0-0</f>
        <v>521.43409999999994</v>
      </c>
      <c r="G206" s="3">
        <f>399+(131.4-32.7)+(-0.61047+(-0.201042--0.050031))+0-0-0</f>
        <v>496.93851899999999</v>
      </c>
      <c r="H206" s="3">
        <f>399+(114.9-34.8)+(-0.61047+(-0.175797--0.053244))+0-0-0</f>
        <v>478.36697700000002</v>
      </c>
      <c r="I206" s="3">
        <f>399+(101.7-36.2)+(-0.61047+(-0.155601--0.055386))+0-0-0</f>
        <v>463.78931499999999</v>
      </c>
      <c r="J206" s="3">
        <f>400+(94.8-37)+(0.408+(0.096696-0.03774))+0-0-0</f>
        <v>458.26695599999999</v>
      </c>
      <c r="K206" s="3">
        <f>399+(82.3-42)+(-0.40698+(-0.083946--0.04284))+0-0-0</f>
        <v>438.85191400000002</v>
      </c>
      <c r="L206" s="3">
        <f>398+(76.2-44.1)+(-0.40596+(-0.077724--0.044982))+0-0-0</f>
        <v>429.66129800000004</v>
      </c>
      <c r="M206" s="3">
        <f>399+(93.7-43.5)+(0.20349+(0.047787-0.022185))+0-0-0</f>
        <v>449.42909199999997</v>
      </c>
      <c r="N206" s="3">
        <f>396+(108.8-41.4)+(0+(0-0))+0-0-0</f>
        <v>463.4</v>
      </c>
      <c r="O206" s="3">
        <f>428+(102.6-48.9)+(-0.21828+(-0.052326--0.024939))+0-0-0</f>
        <v>481.45433299999996</v>
      </c>
      <c r="P206" s="3">
        <f>459+(100.2-56.3)+(-0.46818+(-0.102204--0.057426))+0-0-0</f>
        <v>502.38704199999995</v>
      </c>
      <c r="Q206" s="3">
        <f>459+(119.1-51.5)+(-0.46818+(-0.121482--0.05253))+0-0-0</f>
        <v>526.06286799999998</v>
      </c>
      <c r="R206" s="3">
        <f>455+(141.8-44.3)+(-1.16025+(-0.36159--0.112965))+0-0-0</f>
        <v>551.09112500000003</v>
      </c>
      <c r="S206" s="3">
        <f>454+(148.7-41.4)+(-0.23154+(-0.075837--0.021114))+0-0-0</f>
        <v>561.01373699999999</v>
      </c>
      <c r="T206" s="3">
        <f>442+(142.4-45)+(-0.67626+(-0.217872--0.06885))+0-0-0</f>
        <v>538.57471799999996</v>
      </c>
      <c r="U206" s="3">
        <f>431+(125.3-46.4)+(-0.87924+(-0.255612--0.094656))+0-0-0</f>
        <v>508.859804</v>
      </c>
      <c r="V206" s="3">
        <f>377+(135.6-33.7)+(-0.57681+(-0.207468--0.051561))+0-0-0</f>
        <v>478.167283</v>
      </c>
      <c r="W206" s="3">
        <f>382+(161.6-30)+(-0.19482+(-0.082416--0.0153))+1.9-0-0</f>
        <v>515.23806400000001</v>
      </c>
      <c r="X206" s="3">
        <f>424+(169.3-30)+(0+(0-0))+2.8-0-0</f>
        <v>566.09999999999991</v>
      </c>
      <c r="Y206" s="3">
        <f>446+(176.6-30)+(-1.1373+(-0.45033--0.0765))+0-0-0</f>
        <v>591.08887000000004</v>
      </c>
      <c r="Z206" s="3">
        <f>385+(243.6-30)+(-0.19635+(-0.124236--0.0153))+0-0-0</f>
        <v>598.294714</v>
      </c>
      <c r="AA206" s="3">
        <f>382+(238.3-29)+(-0.77928+(-0.486132--0.05916))+0-0-0</f>
        <v>590.09374800000001</v>
      </c>
      <c r="AB206" s="3">
        <f>382+(225.6-28)+(-0.58446+(-0.345168--0.04284))+0-0-0</f>
        <v>578.713212</v>
      </c>
      <c r="AC206" s="3">
        <f>381+(202.7-28)+(-0.97155+(-0.516885--0.0714))+0-0-0</f>
        <v>554.28296499999999</v>
      </c>
      <c r="AD206">
        <v>582</v>
      </c>
      <c r="AE206" s="3">
        <f>448+(166.1-32.1)+(0+(0-0))+0-0-0</f>
        <v>582</v>
      </c>
    </row>
    <row r="207" spans="1:31" s="2" customFormat="1" x14ac:dyDescent="0.3">
      <c r="A207">
        <v>90</v>
      </c>
      <c r="B207">
        <v>7</v>
      </c>
      <c r="C207">
        <v>21</v>
      </c>
      <c r="D207">
        <v>6</v>
      </c>
      <c r="E207">
        <v>1</v>
      </c>
      <c r="F207" s="3">
        <f>373+(184.2-30)+(0+(0-0))+0-0-0</f>
        <v>527.20000000000005</v>
      </c>
      <c r="G207" s="3">
        <f>365+(155.8-22)+(0+(0-0))+0-0-0</f>
        <v>498.8</v>
      </c>
      <c r="H207" s="3">
        <f>365+(140.4-21)+(0.18615+(0.071604-0.01071))+0-0-0</f>
        <v>484.64704399999999</v>
      </c>
      <c r="I207" s="3">
        <f>365+(131.7-29)+(-0.3723+(-0.134334--0.02958))+0-0-0</f>
        <v>467.22294599999998</v>
      </c>
      <c r="J207" s="3">
        <f>365+(124.7-27)+(0+(0-0))+0-0-0</f>
        <v>462.7</v>
      </c>
      <c r="K207" s="3">
        <f>364+(108.1-27.3)+(-0.9282+(-0.275655--0.069615))+0-0-0</f>
        <v>443.66576000000003</v>
      </c>
      <c r="L207" s="3">
        <f>366+(97.2-29.9)+(-0.37332+(-0.099144--0.030498))+0-0-0</f>
        <v>432.85803400000003</v>
      </c>
      <c r="M207" s="3">
        <f>366+(108.3-29)+(0.55998+(0.165699-0.04437))+0-0-0</f>
        <v>445.98130900000001</v>
      </c>
      <c r="N207" s="3">
        <f>366+(123.9-30)+(0+(0-0))+0-0-0</f>
        <v>459.9</v>
      </c>
      <c r="O207" s="3">
        <f>398+(118.3-36)+(-0.40596+(-0.120666--0.03672))+0-0-0</f>
        <v>479.81009399999999</v>
      </c>
      <c r="P207" s="3">
        <f>431+(113.3-45.5)+(0.43962+(0.115566-0.04641))+0-0-0</f>
        <v>499.30877600000002</v>
      </c>
      <c r="Q207" s="3">
        <f>429+(136.5-41.8)+(-0.65637+(-0.208845--0.063954))+0-0-0</f>
        <v>522.89873900000009</v>
      </c>
      <c r="R207" s="3">
        <f>427+(151.2-36.4)+(-0.21777+(-0.077112--0.018564))+0-0-0</f>
        <v>541.52368200000001</v>
      </c>
      <c r="S207" s="3">
        <f>427+(152.9-36.9)+(0.43554+(0.155958-0.037638))+0-0-0</f>
        <v>543.55385999999999</v>
      </c>
      <c r="T207" s="3">
        <f>427+(148.2-38.5)+(0.21777+(0.075582-0.019635))+0-0-0</f>
        <v>536.97371700000008</v>
      </c>
      <c r="U207" s="3">
        <f>425+(126.9-41.6)+(-1.08375+(-0.323595--0.10608))+0-0-0</f>
        <v>508.99873500000001</v>
      </c>
      <c r="V207" s="3">
        <f>397+(127-33.3)+(-0.20247+(-0.06477--0.016983))+0-0-0</f>
        <v>490.44974300000001</v>
      </c>
      <c r="W207" s="3">
        <f>397+(166.3-32)+(0+(0-0))+0-0-0</f>
        <v>531.29999999999995</v>
      </c>
      <c r="X207" s="3">
        <f>430+(191.1-32)+(-0.6579+(-0.292383--0.04896))+0-0-0</f>
        <v>588.19867699999998</v>
      </c>
      <c r="Y207" s="3">
        <f>430+(211.4-32)+(-0.8772+(-0.431256--0.06528))+0-0-0</f>
        <v>608.15682400000003</v>
      </c>
      <c r="Z207" s="3">
        <f>375+(266.7-32)+(-0.95625+(-0.680085--0.0816))+0-0-0</f>
        <v>608.14526499999999</v>
      </c>
      <c r="AA207" s="3">
        <f>365+(265.4-32)+(-0.3723+(-0.270708--0.03264))+0-0-0</f>
        <v>597.78963199999998</v>
      </c>
      <c r="AB207" s="3">
        <f>365+(250.6-32)+(-0.18615+(-0.127806--0.01632))+0-0-0</f>
        <v>583.30236400000001</v>
      </c>
      <c r="AC207" s="3">
        <f>365+(223.2-32)+(-0.18615+(-0.113832--0.01632))+0-0-0</f>
        <v>555.916338</v>
      </c>
      <c r="AD207">
        <v>582.9</v>
      </c>
      <c r="AE207" s="3">
        <f>429+(185.9-32)+(0+(0-0))+0-0-0</f>
        <v>582.9</v>
      </c>
    </row>
    <row r="208" spans="1:31" s="2" customFormat="1" x14ac:dyDescent="0.3">
      <c r="A208">
        <v>90</v>
      </c>
      <c r="B208">
        <v>7</v>
      </c>
      <c r="C208">
        <v>22</v>
      </c>
      <c r="D208">
        <v>7</v>
      </c>
      <c r="E208">
        <v>1</v>
      </c>
      <c r="F208" s="3">
        <f>364+(200.4-31)+(0+(0-0))+0-0-0</f>
        <v>533.4</v>
      </c>
      <c r="G208" s="3">
        <f>350+(192.3-30)+(0+(0-0))+0-0-0</f>
        <v>512.29999999999995</v>
      </c>
      <c r="H208" s="3">
        <f>350+(170.2-30)+(0.1785+(0.086802-0.0153))+0-0-0</f>
        <v>490.45000199999998</v>
      </c>
      <c r="I208" s="3">
        <f>350+(154.3-30)+(0+(0-0))+0-0-0</f>
        <v>474.3</v>
      </c>
      <c r="J208" s="3">
        <f>350+(143.5-31)+(0.357+(0.14637-0.03162))+0-0-0</f>
        <v>462.97174999999999</v>
      </c>
      <c r="K208" s="3">
        <f>350+(119.9-31)+(-0.357+(-0.122298--0.03162))+0-0-0</f>
        <v>438.45232199999998</v>
      </c>
      <c r="L208" s="3">
        <f>345+(108.2-30.1)+(-0.3519+(-0.110364--0.030702))+0-0-0</f>
        <v>422.66843800000004</v>
      </c>
      <c r="M208" s="3">
        <f>345+(101.3-22.2)+(0.52785+(0.154989-0.033966))+6.9-0-0</f>
        <v>431.64887299999998</v>
      </c>
      <c r="N208" s="3">
        <f>345+(112.4-12.5)+(0.17595+(0.057324-0.006375))+8-0-0</f>
        <v>453.12689899999998</v>
      </c>
      <c r="O208" s="3">
        <f>344+(133.3-15.7)+(-0.35088+(-0.135966--0.016014))+6-0-0</f>
        <v>467.12916800000005</v>
      </c>
      <c r="P208" s="3">
        <f>344+(179.3-32)+(0+(0-0))+0-0-0</f>
        <v>491.3</v>
      </c>
      <c r="Q208" s="3">
        <f>343+(202.8-32)+(-0.87465+(-0.51714--0.0816))+0-0-0</f>
        <v>512.48980999999992</v>
      </c>
      <c r="R208" s="3">
        <f>336+(217.7-32)+(-0.51408+(-0.333081--0.04896))+0-0-0</f>
        <v>520.9017990000001</v>
      </c>
      <c r="S208" s="3">
        <f>337+(220.3-32)+(0.34374+(0.224706-0.03264))+0-0-0</f>
        <v>525.83580599999993</v>
      </c>
      <c r="T208" s="3">
        <f>335+(212.4-32)+(-1.0251+(-0.649944--0.09792))+0-0-0</f>
        <v>513.82287599999995</v>
      </c>
      <c r="U208" s="3">
        <f>338+(188.9-31)+(0+(0-0))+0-0-0</f>
        <v>495.9</v>
      </c>
      <c r="V208" s="3">
        <f>350+(190.4-29)+(0+(0-0))+0-0-0</f>
        <v>511.4</v>
      </c>
      <c r="W208" s="3">
        <f>364+(203.4-31)+(0.18564+(0.103734-0.01581))+0-0-0</f>
        <v>536.67356399999994</v>
      </c>
      <c r="X208" s="3">
        <f>413+(224.2-32)+(-0.63189+(-0.343026--0.04896))+0-0-0</f>
        <v>604.274044</v>
      </c>
      <c r="Y208" s="3">
        <f>413+(251.1-32)+(-0.63189+(-0.384183--0.04896))+0-0-0</f>
        <v>631.13288699999998</v>
      </c>
      <c r="Z208" s="3">
        <f>415+(258.7-32)+(0.21165+(0.131937-0.01632))+0-0-0</f>
        <v>642.02726700000005</v>
      </c>
      <c r="AA208" s="3">
        <f>415+(252.8-31)+(0+(0-0))+0-0-0</f>
        <v>636.79999999999995</v>
      </c>
      <c r="AB208" s="3">
        <f>408+(229.8-31)+(-0.62424+(-0.351594--0.04743))+0-0-0</f>
        <v>605.87159599999995</v>
      </c>
      <c r="AC208" s="3">
        <f>393+(213.5-30)+(-1.00215+(-0.544425--0.0765))+0-0-0</f>
        <v>575.02992500000005</v>
      </c>
      <c r="AD208">
        <v>630.5</v>
      </c>
      <c r="AE208" s="3">
        <f>412+(250.5-32)+(0+(0-0))+0-0-0</f>
        <v>630.5</v>
      </c>
    </row>
    <row r="209" spans="1:31" s="2" customFormat="1" x14ac:dyDescent="0.3">
      <c r="A209">
        <v>90</v>
      </c>
      <c r="B209">
        <v>7</v>
      </c>
      <c r="C209">
        <v>23</v>
      </c>
      <c r="D209">
        <v>1</v>
      </c>
      <c r="E209">
        <v>1</v>
      </c>
      <c r="F209" s="3">
        <f>392+(177.9-31)+(-0.9996+(-0.453645--0.07905))+0-0-0</f>
        <v>537.52580499999999</v>
      </c>
      <c r="G209" s="3">
        <f>331+(215.5-30)+(-0.67524+(-0.43962--0.0612))+0-0-0</f>
        <v>515.44633999999996</v>
      </c>
      <c r="H209" s="3">
        <f>328+(197.5-30)+(-0.50184+(-0.302175--0.0459))+0-0-0</f>
        <v>494.74188500000002</v>
      </c>
      <c r="I209" s="3">
        <f>328+(176.8-30)+(0+(0-0))+0-0-0</f>
        <v>474.8</v>
      </c>
      <c r="J209" s="3">
        <f>328+(164.3-30)+(-0.50184+(-0.251379--0.0459))+0-0-0</f>
        <v>461.59268100000003</v>
      </c>
      <c r="K209" s="3">
        <f>328+(137.6-29)+(-0.50184+(-0.210528--0.04437))+0-0-0</f>
        <v>435.93200200000001</v>
      </c>
      <c r="L209" s="3">
        <f>328+(130.8-29)+(0+(0-0))+0-0-0</f>
        <v>429.8</v>
      </c>
      <c r="M209" s="3">
        <f>328+(151.1-31)+(0.16728+(0.077061-0.01581))+0-0-0</f>
        <v>448.328531</v>
      </c>
      <c r="N209" s="3">
        <f>327+(163-32)+(0.16677+(0.08313-0.01632))+0-0-0</f>
        <v>458.23358000000002</v>
      </c>
      <c r="O209" s="3">
        <f>333+(190-33)+(0.33966+(0.1938-0.03366))+0-0-0</f>
        <v>490.49979999999999</v>
      </c>
      <c r="P209" s="3">
        <f>402+(146.2-39.9)+(-0.20502+(-0.074562--0.020349))+0-0-0</f>
        <v>508.04076699999996</v>
      </c>
      <c r="Q209" s="3">
        <f>407+(156.2-39.1)+(-0.41514+(-0.159324--0.039882))+0-0-0</f>
        <v>523.56541800000002</v>
      </c>
      <c r="R209" s="3">
        <f>408+(182.9-34.1)+(0+(0-0))+0-0-0</f>
        <v>556.79999999999995</v>
      </c>
      <c r="S209" s="3">
        <f>408+(192.3-33.3)+(-0.20808+(-0.098073--0.016983))+0-0-0</f>
        <v>566.71082999999999</v>
      </c>
      <c r="T209" s="3">
        <f>408+(183.9-34)+(0+(0-0))+0-0-0</f>
        <v>557.9</v>
      </c>
      <c r="U209" s="3">
        <f>406+(166.1-37.6)+(-0.62118+(-0.254133--0.057528))+0-0-0</f>
        <v>533.68221500000004</v>
      </c>
      <c r="V209" s="3">
        <f>411+(142.6-41)+(-0.62883+(-0.218178--0.06273))+0-0-0</f>
        <v>511.81572200000005</v>
      </c>
      <c r="W209" s="3">
        <f>417+(187.3-32)+(0+(0-0))+0-0-0</f>
        <v>572.29999999999995</v>
      </c>
      <c r="X209" s="3">
        <f>415+(240.3-32)+(-0.8466+(-0.490212--0.06528))+0-0-0</f>
        <v>622.02846799999998</v>
      </c>
      <c r="Y209" s="3">
        <f>417+(256-33)+(0+(0-0))+0-0-0</f>
        <v>640</v>
      </c>
      <c r="Z209" s="3">
        <f>415+(264.7-33)+(-0.8466+(-0.539988--0.06732))+0-0-0</f>
        <v>645.38073200000008</v>
      </c>
      <c r="AA209" s="3">
        <f>417+(255.1-32)+(-0.21267+(-0.130101--0.01632))+0-0-0</f>
        <v>639.773549</v>
      </c>
      <c r="AB209" s="3">
        <f>415+(227.7-32)+(-1.05825+(-0.580635--0.0816))+0-0-0</f>
        <v>609.14271500000007</v>
      </c>
      <c r="AC209" s="3">
        <f>371+(234.5-31)+(-0.18921+(-0.119595--0.01581))+0-0-0</f>
        <v>574.20700499999998</v>
      </c>
      <c r="AD209">
        <v>627.29999999999995</v>
      </c>
      <c r="AE209" s="3">
        <f>417+(242.3-32)+(0+(0-0))+0-0-0</f>
        <v>627.29999999999995</v>
      </c>
    </row>
    <row r="210" spans="1:31" s="2" customFormat="1" x14ac:dyDescent="0.3">
      <c r="A210">
        <v>90</v>
      </c>
      <c r="B210">
        <v>7</v>
      </c>
      <c r="C210">
        <v>24</v>
      </c>
      <c r="D210">
        <v>2</v>
      </c>
      <c r="E210">
        <v>1</v>
      </c>
      <c r="F210" s="3">
        <f>345+(218.9-30)+(-0.87975+(-0.558195--0.0765))+0-0-0</f>
        <v>532.53855499999997</v>
      </c>
      <c r="G210" s="3">
        <f>346+(194.1-30)+(-0.17646+(-0.098991--0.0153))+0-0-0</f>
        <v>509.83984900000002</v>
      </c>
      <c r="H210" s="3">
        <f>345+(175.8-30)+(-0.52785+(-0.268974--0.0459))+0-0-0</f>
        <v>490.04907600000001</v>
      </c>
      <c r="I210" s="3">
        <f>345+(155-31)+(-0.17595+(-0.07905--0.01581))+0-0-0</f>
        <v>468.76080999999999</v>
      </c>
      <c r="J210" s="3">
        <f>346+(142.6-32)+(0+(0-0))+0-0-0</f>
        <v>456.6</v>
      </c>
      <c r="K210" s="3">
        <f>345+(121.3-35.4)+(-0.52785+(-0.185589--0.054162))+0-0-0</f>
        <v>430.240723</v>
      </c>
      <c r="L210" s="3">
        <f>344+(110.5-36.1)+(0+(0-0))+0-0-0</f>
        <v>418.4</v>
      </c>
      <c r="M210" s="3">
        <f>344+(125.3-31.4)+(0.17544+(0.063903-0.016014))+0-0-0</f>
        <v>438.12332899999996</v>
      </c>
      <c r="N210" s="3">
        <f>328+(160.4-31)+(0.16728+(0.081804-0.01581))+0-0-0</f>
        <v>457.63327399999997</v>
      </c>
      <c r="O210" s="3">
        <f>334+(176.1-31)+(0+(0-0))+0-0-0</f>
        <v>479.1</v>
      </c>
      <c r="P210" s="3">
        <f>381+(158.8-36.9)+(-0.19431+(-0.080988--0.018819))+0-0-0</f>
        <v>502.64352099999996</v>
      </c>
      <c r="Q210" s="3">
        <f>407+(160.2-39.6)+(0.41514+(0.163404-0.040392))+0-0-0</f>
        <v>528.13815199999999</v>
      </c>
      <c r="R210" s="3">
        <f>403+(191.2-33.4)+(-1.02765+(-0.48756--0.08517))+0-0-0</f>
        <v>559.36995999999999</v>
      </c>
      <c r="S210" s="3">
        <f>405+(197.8-33.3)+(0+(0-0))+0-0-0</f>
        <v>569.5</v>
      </c>
      <c r="T210" s="3">
        <f>405+(191.4-34.7)+(-0.4131+(-0.195228--0.035394))+0-0-0</f>
        <v>561.12706600000001</v>
      </c>
      <c r="U210" s="3">
        <f>404+(167-37)+(-1.0302+(-0.42585--0.09435))+0-0-0</f>
        <v>532.63829999999996</v>
      </c>
      <c r="V210" s="3">
        <f>402+(140.2-38.2)+(-1.0251+(-0.35751--0.09741))+0-0-0</f>
        <v>502.71480000000003</v>
      </c>
      <c r="W210" s="3">
        <f>417+(175.4-32.7)+(0.42534+(0.178908-0.033354))+0-0-0</f>
        <v>560.270894</v>
      </c>
      <c r="X210" s="3">
        <f>415+(237.2-32)+(-0.4233+(-0.241944--0.03264))+0-0-0</f>
        <v>619.56739600000003</v>
      </c>
      <c r="Y210" s="3">
        <f>417+(253.7-32)+(0+(0-0))+0-0-0</f>
        <v>638.70000000000005</v>
      </c>
      <c r="Z210" s="3">
        <f>417+(261.9-32)+(-0.21267+(-0.133569--0.01632))+0-0-0</f>
        <v>646.57008099999996</v>
      </c>
      <c r="AA210" s="3">
        <f>416+(256.3-32)+(-0.84864+(-0.522852--0.06528))+0-0-0</f>
        <v>638.993788</v>
      </c>
      <c r="AB210" s="3">
        <f>415+(232.6-32)+(-0.8466+(-0.474504--0.06528))+0-0-0</f>
        <v>614.34417600000006</v>
      </c>
      <c r="AC210" s="3">
        <f>413+(202.6-31)+(-1.26378+(-0.619956--0.09486))+0-0-0</f>
        <v>582.81112400000006</v>
      </c>
      <c r="AD210">
        <v>614.5</v>
      </c>
      <c r="AE210" s="3">
        <f>417+(229.5-32)+(0+(0-0))+0-0-0</f>
        <v>614.5</v>
      </c>
    </row>
    <row r="211" spans="1:31" s="2" customFormat="1" x14ac:dyDescent="0.3">
      <c r="A211">
        <v>90</v>
      </c>
      <c r="B211">
        <v>7</v>
      </c>
      <c r="C211">
        <v>25</v>
      </c>
      <c r="D211">
        <v>3</v>
      </c>
      <c r="E211">
        <v>1</v>
      </c>
      <c r="F211" s="3">
        <f>404+(167.9-37.1)+(-1.0302+(-0.428145--0.094605))+0-0-0</f>
        <v>533.43625999999995</v>
      </c>
      <c r="G211" s="3">
        <f>407+(137.3-42.6)+(0.62271+(0.210069-0.065178))+0-0-0</f>
        <v>502.46760100000006</v>
      </c>
      <c r="H211" s="3">
        <f>405+(120.5-46.6)+(-1.03275+(-0.307275--0.11883))+0-0-0</f>
        <v>477.67880499999995</v>
      </c>
      <c r="I211" s="3">
        <f>405+(107-46.9)+(-0.61965+(-0.16371--0.071757))+0-0-0</f>
        <v>464.388397</v>
      </c>
      <c r="J211" s="3">
        <f>407+(95.6-48.4)+(-0.20757+(-0.048756--0.024684))+0-0-0</f>
        <v>453.96835799999997</v>
      </c>
      <c r="K211" s="3">
        <f>407+(84.1-55.4)+(0.20757+(0.042891-0.028254))+0-0-0</f>
        <v>435.92220700000001</v>
      </c>
      <c r="L211" s="3">
        <f>407+(75.3-64)+(0+(0-0))+0-0-0</f>
        <v>418.3</v>
      </c>
      <c r="M211" s="3">
        <f>407+(89.2-53.9)+(0.20757+(0.045492-0.027489))+0-0-0</f>
        <v>442.52557300000001</v>
      </c>
      <c r="N211" s="3">
        <f>407+(109.4-51.8)+(0.20757+(0.055794-0.026418))+0-0-0</f>
        <v>464.83694600000001</v>
      </c>
      <c r="O211" s="3">
        <f>405+(123.2-48.8)+(-0.61965+(-0.188496--0.074664))+0-0-0</f>
        <v>478.666518</v>
      </c>
      <c r="P211" s="3">
        <f>407+(142.3-47)+(0.41514+(0.145146-0.04794))+0-0-0</f>
        <v>502.81234599999999</v>
      </c>
      <c r="Q211" s="3">
        <f>407+(157.9-42.2)+(0+(0-0))+0-0-0</f>
        <v>522.70000000000005</v>
      </c>
      <c r="R211" s="3">
        <f>406+(188.2-36.6)+(-0.20706+(-0.095982--0.018666))+0-0-0</f>
        <v>557.31562400000007</v>
      </c>
      <c r="S211" s="3">
        <f>406+(206.1-35.4)+(-0.20706+(-0.105111--0.018054))+0-0-0</f>
        <v>576.40588300000002</v>
      </c>
      <c r="T211" s="3">
        <f>406+(189.6-35.9)+(0.20706+(0.096696-0.018309))+0-0-0</f>
        <v>559.98544700000002</v>
      </c>
      <c r="U211" s="3">
        <f>413+(172.3-39.4)+(0+(0-0))+0-0-0</f>
        <v>545.9</v>
      </c>
      <c r="V211" s="3">
        <f>411+(152.3-42.4)+(-0.83844+(-0.310692--0.086496))+0-0-0</f>
        <v>519.83736399999998</v>
      </c>
      <c r="W211" s="3">
        <f>417+(184.8-33.3)+(0.63801+(0.282744-0.050949))+0-0-0</f>
        <v>569.36980500000004</v>
      </c>
      <c r="X211" s="3">
        <f>414+(236.2-32)+(-1.26684+(-0.722772--0.09792))+0-0-0</f>
        <v>616.30830800000001</v>
      </c>
      <c r="Y211" s="3">
        <f>417+(258.3-33)+(0.21267+(0.131733-0.01683))+0-0-0</f>
        <v>642.62757299999998</v>
      </c>
      <c r="Z211" s="3">
        <f>417+(257.5-32)+(-0.21267+(-0.131325--0.01632))+0-0-0</f>
        <v>642.172325</v>
      </c>
      <c r="AA211" s="3">
        <f>415+(249.7-32)+(-0.63495+(-0.382041--0.04896))+0-0-0</f>
        <v>631.73196900000005</v>
      </c>
      <c r="AB211" s="3">
        <f>415+(222.6-31)+(-0.8466+(-0.454104--0.06324))+0-0-0</f>
        <v>605.36253599999998</v>
      </c>
      <c r="AC211" s="3">
        <f>416+(192-31)+(-0.42432+(-0.19584--0.03162))+0-0-0</f>
        <v>576.41146000000003</v>
      </c>
      <c r="AD211">
        <v>630.20000000000005</v>
      </c>
      <c r="AE211" s="3">
        <f>417+(245.2-32)+(0+(0-0))+0-0-0</f>
        <v>630.20000000000005</v>
      </c>
    </row>
    <row r="212" spans="1:31" s="2" customFormat="1" x14ac:dyDescent="0.3">
      <c r="A212">
        <v>90</v>
      </c>
      <c r="B212">
        <v>7</v>
      </c>
      <c r="C212">
        <v>26</v>
      </c>
      <c r="D212">
        <v>4</v>
      </c>
      <c r="E212">
        <v>1</v>
      </c>
      <c r="F212" s="3">
        <f>412+(162.8-35)+(-1.0506+(-0.41514--0.08925))+0-0-0</f>
        <v>538.42350999999996</v>
      </c>
      <c r="G212" s="3">
        <f>410+(135.9-36.8)+(-0.2091+(-0.069309--0.018768))+0-0-0</f>
        <v>508.84035900000003</v>
      </c>
      <c r="H212" s="3">
        <f>410+(116.2-39.9)+(0.4182+(0.118524-0.040698))+0-0-0</f>
        <v>486.79602599999998</v>
      </c>
      <c r="I212" s="3">
        <f>408+(108-41.3)+(-0.83232+(-0.22032--0.084252))+0-0-0</f>
        <v>473.73161199999998</v>
      </c>
      <c r="J212" s="3">
        <f>410+(97.6-46)+(0.2091+(0.049776-0.02346))+0-0-0</f>
        <v>461.83541600000001</v>
      </c>
      <c r="K212" s="3">
        <f>393+(97.4-46.1)+(-0.40086+(-0.099348--0.047022))+0-0-0</f>
        <v>443.84681399999999</v>
      </c>
      <c r="L212" s="3">
        <f>345+(105.2-35)+(-0.52785+(-0.160956--0.05355))+0-0-0</f>
        <v>414.56474399999996</v>
      </c>
      <c r="M212" s="3">
        <f>344+(123.2-27.8)+(0.35088+(0.125664-0.028356))+0-0-0</f>
        <v>439.84818799999999</v>
      </c>
      <c r="N212" s="3">
        <f>344+(141.8-26)+(0+(0-0))+0-0-0</f>
        <v>459.8</v>
      </c>
      <c r="O212" s="3">
        <f>345+(161-26)+(-0.17595+(-0.08211--0.01326))+0-0-0</f>
        <v>479.7552</v>
      </c>
      <c r="P212" s="3">
        <f>358+(171.7-26)+(0.18258+(0.087567-0.01326))+0-0-0</f>
        <v>503.95688699999999</v>
      </c>
      <c r="Q212" s="3">
        <f>405+(161.6-39.8)+(-1.03275+(-0.41208--0.10149))+0-0-0</f>
        <v>525.45665999999994</v>
      </c>
      <c r="R212" s="3">
        <f>395+(233-32)+(-0.20145+(-0.11883--0.01632))+0-0-0</f>
        <v>595.69604000000004</v>
      </c>
      <c r="S212" s="3">
        <f>393+(248-33)+(0+(0-0))+0-0-0</f>
        <v>608</v>
      </c>
      <c r="T212" s="3">
        <f>392+(195.7-37.2)+(-0.59976+(-0.299421--0.056916))+0-0-0</f>
        <v>549.657735</v>
      </c>
      <c r="U212" s="3">
        <f>390+(211-41)+(0+(0-0))+0-0-0</f>
        <v>560</v>
      </c>
      <c r="V212" s="3">
        <f>398+(152.4-44)+(-1.21788+(-0.466344--0.13464))+0-0-0</f>
        <v>504.850416</v>
      </c>
      <c r="W212" s="3">
        <f>405+(190.7-33.7)+(0.4131+(0.194514-0.034374))+0-0-0</f>
        <v>562.57324000000006</v>
      </c>
      <c r="X212" s="3">
        <f>403+(236.5-33)+(-1.23318+(-0.72369--0.10098))+0-0-0</f>
        <v>604.64410999999996</v>
      </c>
      <c r="Y212" s="3">
        <f>403+(252.5-33)+(-0.61659+(-0.386325--0.05049))+0-0-0</f>
        <v>621.54757500000005</v>
      </c>
      <c r="Z212" s="3">
        <f>403+(260.8-33)+(-1.02765+(-0.66504--0.08415))+0-0-0</f>
        <v>629.19146000000001</v>
      </c>
      <c r="AA212" s="3">
        <f>403+(250.8-32)+(-0.82212+(-0.511632--0.06528))+0-0-0</f>
        <v>620.53152799999998</v>
      </c>
      <c r="AB212" s="3">
        <f>404+(236.2-32)+(-0.20604+(-0.120462--0.01632))+0-0-0</f>
        <v>607.88981799999999</v>
      </c>
      <c r="AC212" s="3">
        <f>405+(202.5-32)+(-0.20655+(-0.103275--0.01632))+0-0-0</f>
        <v>575.20649500000002</v>
      </c>
      <c r="AD212">
        <v>598.9</v>
      </c>
      <c r="AE212" s="3">
        <f>405+(226.9-33)+(0+(0-0))+0-0-0</f>
        <v>598.9</v>
      </c>
    </row>
    <row r="213" spans="1:31" s="2" customFormat="1" x14ac:dyDescent="0.3">
      <c r="A213">
        <v>90</v>
      </c>
      <c r="B213">
        <v>7</v>
      </c>
      <c r="C213">
        <v>27</v>
      </c>
      <c r="D213">
        <v>5</v>
      </c>
      <c r="E213">
        <v>1</v>
      </c>
      <c r="F213" s="3">
        <f>390+(174-32)+(-0.5967+(-0.26622--0.04896))+0-0-0</f>
        <v>531.18604000000005</v>
      </c>
      <c r="G213" s="3">
        <f>392+(143.5-37.2)+(0.39984+(0.14637-0.037944))+0-0-0</f>
        <v>498.808266</v>
      </c>
      <c r="H213" s="3">
        <f>376+(141-32.9)+(-0.19176+(-0.07191--0.016779))+0-0-0</f>
        <v>483.85310900000002</v>
      </c>
      <c r="I213" s="3">
        <f>331+(160.9-29)+(0.50643+(0.246177-0.04437))+0-0-0</f>
        <v>463.60823699999997</v>
      </c>
      <c r="J213" s="3">
        <f>331+(142.6-29)+(0.16881+(0.072726-0.01479))+0-0-0</f>
        <v>444.82674600000001</v>
      </c>
      <c r="K213" s="3">
        <f>330+(131.3-30)+(-0.6732+(-0.267852--0.0612))+0-0-0</f>
        <v>430.42014799999998</v>
      </c>
      <c r="L213" s="3">
        <f>331+(118.5-35.5)+(-0.67524+(-0.24174--0.07242))+0-0-0</f>
        <v>413.15544</v>
      </c>
      <c r="M213" s="3">
        <f>332+(135.3-37)+(0.16932+(0.069003-0.01887))+0-0-0</f>
        <v>430.519453</v>
      </c>
      <c r="N213" s="3">
        <f>368+(133-38)+(0+(0-0))+0-0-0</f>
        <v>463</v>
      </c>
      <c r="O213" s="3">
        <f>389+(134.1-40.8)+(-0.39678+(-0.136782--0.041616))+0-0-0</f>
        <v>481.80805400000003</v>
      </c>
      <c r="P213" s="3">
        <f>391+(145.8-36.5)+(-0.39882+(-0.148716--0.03723))+0-0-0</f>
        <v>499.789694</v>
      </c>
      <c r="Q213" s="3">
        <f>390+(154.4-38.1)+(-0.7956+(-0.314976--0.077724))+0-0-0</f>
        <v>505.26714800000002</v>
      </c>
      <c r="R213" s="3">
        <f>391+(188.6-33)+(-0.59823+(-0.288558--0.05049))+0-0-0</f>
        <v>545.76370199999997</v>
      </c>
      <c r="S213" s="3">
        <f>393+(203.7-32)+(-0.40086+(-0.207774--0.03264))+0-0-0</f>
        <v>564.12400600000001</v>
      </c>
      <c r="T213" s="3">
        <f>393+(196-34.5)+(0+(0-0))+0-0-0</f>
        <v>554.5</v>
      </c>
      <c r="U213" s="3">
        <f>392+(166.7-38.2)+(-0.39984+(-0.170034--0.038964))+0-0-0</f>
        <v>519.96909000000005</v>
      </c>
      <c r="V213" s="3">
        <f>402+(156.5-40)+(0+(0-0))+0-0-0</f>
        <v>518.5</v>
      </c>
      <c r="W213" s="3">
        <f>407+(191.4-31)+(-0.20757+(-0.097614--0.01581))+0-0-0</f>
        <v>567.11062600000002</v>
      </c>
      <c r="X213" s="3">
        <f>410+(235.9-30)+(-1.0455+(-0.601545--0.0765))+0-0-0</f>
        <v>614.32945499999994</v>
      </c>
      <c r="Y213" s="3">
        <f>415+(255.4-32)+(-0.63495+(-0.390762--0.04896))+0-0-0</f>
        <v>637.42324799999994</v>
      </c>
      <c r="Z213" s="3">
        <f>415+(240.5-21)+(-0.63495+(-0.367965--0.03213))+0-0-0</f>
        <v>633.52921500000002</v>
      </c>
      <c r="AA213" s="3">
        <f>416+(251.6-30)+(-0.63648+(-0.384948--0.0459))+0-0-0</f>
        <v>636.62447199999997</v>
      </c>
      <c r="AB213" s="3">
        <f>417+(228-30)+(0+(0-0))+0-0-0</f>
        <v>615</v>
      </c>
      <c r="AC213" s="3">
        <f>416+(200.1-30)+(-0.84864+(-0.408204--0.0612))+0-0-0</f>
        <v>584.90435600000001</v>
      </c>
      <c r="AD213">
        <v>631</v>
      </c>
      <c r="AE213" s="3">
        <f>417+(246-32)+(0+(0-0))+0-0-0</f>
        <v>631</v>
      </c>
    </row>
    <row r="214" spans="1:31" s="2" customFormat="1" x14ac:dyDescent="0.3">
      <c r="A214">
        <v>90</v>
      </c>
      <c r="B214">
        <v>7</v>
      </c>
      <c r="C214">
        <v>28</v>
      </c>
      <c r="D214">
        <v>6</v>
      </c>
      <c r="E214">
        <v>1</v>
      </c>
      <c r="F214" s="3">
        <f>213+(260.1-33)+(-0.32589+(-0.397953--0.05049))+119-0-0</f>
        <v>558.426647</v>
      </c>
      <c r="G214" s="3">
        <f>221+(289.9-28)+(-0.11271+(-0.147849--0.01428))+42-0-0</f>
        <v>524.6537209999999</v>
      </c>
      <c r="H214" s="3">
        <f>251+(252.1-27)+(-0.76806+(-0.771426--0.08262))+0-0-0</f>
        <v>474.64313400000003</v>
      </c>
      <c r="I214" s="3">
        <f>293+(195.5-29)+(-0.44829+(-0.299115--0.04437))+0-0-0</f>
        <v>458.796965</v>
      </c>
      <c r="J214" s="3">
        <f>292+(186.1-30)+(0+(0-0))+0-0-0</f>
        <v>448.1</v>
      </c>
      <c r="K214" s="3">
        <f>292+(167.9-31)+(-0.14892+(-0.085629--0.01581))+0-0-0</f>
        <v>428.68126099999995</v>
      </c>
      <c r="L214" s="3">
        <f>293+(161.2-30)+(-0.44829+(-0.246636--0.0459))+0-0-0</f>
        <v>423.550974</v>
      </c>
      <c r="M214" s="3">
        <f>296+(176-29)+(0.15096+(0.08976-0.01479))+0-0-0</f>
        <v>443.22593000000001</v>
      </c>
      <c r="N214" s="3">
        <f>296+(198.8-29)+(0.45288+(0.304164-0.04437))+0-0-0</f>
        <v>466.512674</v>
      </c>
      <c r="O214" s="3">
        <f>293+(223.6-29)+(0+(0-0))+0-0-0</f>
        <v>487.6</v>
      </c>
      <c r="P214" s="3">
        <f>347+(197.7-30)+(0.35394+(0.201654-0.0306))+0-0-0</f>
        <v>515.22499400000004</v>
      </c>
      <c r="Q214" s="3">
        <f>360+(215.8-31)+(-0.1836+(-0.110058--0.01581))+0-0-0</f>
        <v>544.52215200000001</v>
      </c>
      <c r="R214" s="3">
        <f>353+(244.4-33)+(-0.54009+(-0.373932--0.05049))+0-0-0</f>
        <v>563.53646800000001</v>
      </c>
      <c r="S214" s="3">
        <f>379+(220.8-32)+(-1.15974+(-0.675648--0.09792))+0-0-0</f>
        <v>566.06253199999992</v>
      </c>
      <c r="T214" s="3">
        <f>340+(241.2-32)+(-0.3468+(-0.246024--0.03264))+0-0-0</f>
        <v>548.639816</v>
      </c>
      <c r="U214" s="3">
        <f>342+(215.1-28)+(-0.52326+(-0.329103--0.04284))+0-0-0</f>
        <v>528.29047700000001</v>
      </c>
      <c r="V214" s="3">
        <f>342+(191.6-27)+(-0.52326+(-0.293148--0.04131))+0-0-0</f>
        <v>505.82490200000001</v>
      </c>
      <c r="W214" s="3">
        <f>380+(230.1-31)+(-0.5814+(-0.352053--0.04743))+0-0-0</f>
        <v>578.213977</v>
      </c>
      <c r="X214" s="3">
        <f>412+(245.1-31)+(-1.26072+(-0.750006--0.09486))+0-0-0</f>
        <v>624.18413399999997</v>
      </c>
      <c r="Y214" s="3">
        <f>413+(267.5-31)+(-0.63189+(-0.409275--0.04743))+0-0-0</f>
        <v>648.50626499999998</v>
      </c>
      <c r="Z214" s="3">
        <f>414+(272.6-32)+(-0.21114+(-0.139026--0.01632))+0-0-0</f>
        <v>654.26615400000003</v>
      </c>
      <c r="AA214" s="3">
        <f>381+(306.2-32)+(-0.38862+(-0.312324--0.03264))+0-0-0</f>
        <v>654.53169600000001</v>
      </c>
      <c r="AB214" s="3">
        <f>349+(313.3-32)+(-0.53397+(-0.479349--0.04896))+0-0-0</f>
        <v>629.33564100000001</v>
      </c>
      <c r="AC214" s="3">
        <f>344+(278-31)+(-0.8772+(-0.7089--0.07905))+0-0-0</f>
        <v>589.49294999999995</v>
      </c>
      <c r="AD214">
        <v>636.29999999999995</v>
      </c>
      <c r="AE214" s="3">
        <f>413+(256.3-33)+(0+(0-0))+0-0-0</f>
        <v>636.29999999999995</v>
      </c>
    </row>
    <row r="215" spans="1:31" s="2" customFormat="1" x14ac:dyDescent="0.3">
      <c r="A215">
        <v>90</v>
      </c>
      <c r="B215">
        <v>7</v>
      </c>
      <c r="C215">
        <v>29</v>
      </c>
      <c r="D215">
        <v>7</v>
      </c>
      <c r="E215">
        <v>1</v>
      </c>
      <c r="F215" s="3">
        <f>336+(247.7-30)+(-0.51408+(-0.378981--0.0459))+0-0-0</f>
        <v>552.85283900000002</v>
      </c>
      <c r="G215" s="3">
        <f>336+(219.5-28)+(-0.68544+(-0.44778--0.05712))+0-0-0</f>
        <v>526.4239</v>
      </c>
      <c r="H215" s="3">
        <f>335+(196-29)+(-0.85425+(-0.4998--0.07395))+0-0-0</f>
        <v>500.7199</v>
      </c>
      <c r="I215" s="3">
        <f>336+(175.9-30)+(-0.68544+(-0.358836--0.0612))+0-0-0</f>
        <v>480.91692399999999</v>
      </c>
      <c r="J215" s="3">
        <f>337+(153.6-29)+(-0.17187+(-0.078336--0.01479))+0-0-0</f>
        <v>461.36458400000004</v>
      </c>
      <c r="K215" s="3">
        <f>337+(129.7-37.9)+(-0.17187+(-0.066147--0.019329))+0-0-0</f>
        <v>428.58131199999997</v>
      </c>
      <c r="L215" s="3">
        <f>340+(114-42.3)+(0+(0-0))+0-0-0</f>
        <v>411.7</v>
      </c>
      <c r="M215" s="3">
        <f>340+(129.8-38.1)+(-0.1734+(-0.066198--0.019431))+0-0-0</f>
        <v>431.47983300000004</v>
      </c>
      <c r="N215" s="3">
        <f>339+(147.8-32.4)+(-0.34578+(-0.150756--0.033048))+0-0-0</f>
        <v>453.93651199999999</v>
      </c>
      <c r="O215" s="3">
        <f>339+(172.6-32)+(-0.34578+(-0.176052--0.03264))+0-0-0</f>
        <v>479.11080800000002</v>
      </c>
      <c r="P215" s="3">
        <f>339+(194.6-29)+(-0.51867+(-0.297738--0.04437))+0-0-0</f>
        <v>503.82796200000001</v>
      </c>
      <c r="Q215" s="3">
        <f>340+(209.5-30)+(0+(0-0))+0-0-0</f>
        <v>519.5</v>
      </c>
      <c r="R215" s="3">
        <f>335+(237.4-33)+(-0.6834+(-0.484296--0.06732))+0-0-0</f>
        <v>538.29962399999999</v>
      </c>
      <c r="S215" s="3">
        <f>335+(233.6-35)+(-0.6834+(-0.476544--0.0714))+0-0-0</f>
        <v>532.51145600000007</v>
      </c>
      <c r="T215" s="3">
        <f>336+(228.3-36)+(-0.34272+(-0.232866--0.03672))+0-0-0</f>
        <v>527.76113399999997</v>
      </c>
      <c r="U215" s="3">
        <f>344+(206.9-35)+(-0.17544+(-0.105519--0.01785))+0-0-0</f>
        <v>515.63689099999999</v>
      </c>
      <c r="V215" s="3">
        <f>345+(182.3-30)+(0+(0-0))+0-0-0</f>
        <v>497.3</v>
      </c>
      <c r="W215" s="3">
        <f>387+(213.1-30)+(-0.59211+(-0.326043--0.0459))+0-0-0</f>
        <v>569.22774700000002</v>
      </c>
      <c r="X215" s="3">
        <f>413+(255.3-29)+(-0.84252+(-0.520812--0.05916))+0-0-0</f>
        <v>637.99582799999996</v>
      </c>
      <c r="Y215" s="3">
        <f>399+(300.6-29)+(-0.61047+(-0.459918--0.04437))+0-0-0</f>
        <v>669.573982</v>
      </c>
      <c r="Z215" s="3">
        <f>348+(359.7-29)+(-0.8874+(-0.917235--0.07395))+0-0-0</f>
        <v>676.96931500000005</v>
      </c>
      <c r="AA215" s="3">
        <f>349+(343.8-29)+(-0.71196+(-0.701352--0.05916))+0-0-0</f>
        <v>662.44584799999996</v>
      </c>
      <c r="AB215" s="3">
        <f>349+(331.6-30)+(-0.88995+(-0.84558--0.0765))+0-0-0</f>
        <v>648.94096999999999</v>
      </c>
      <c r="AC215" s="3">
        <f>349+(292.8-30)+(-0.88995+(-0.74664--0.0765))+0-0-0</f>
        <v>610.23991000000001</v>
      </c>
      <c r="AD215">
        <v>659</v>
      </c>
      <c r="AE215" s="3">
        <f>413+(279-33)+(0+(0-0))+0-0-0</f>
        <v>659</v>
      </c>
    </row>
    <row r="216" spans="1:31" s="2" customFormat="1" x14ac:dyDescent="0.3">
      <c r="A216">
        <v>90</v>
      </c>
      <c r="B216">
        <v>7</v>
      </c>
      <c r="C216">
        <v>30</v>
      </c>
      <c r="D216">
        <v>1</v>
      </c>
      <c r="E216">
        <v>1</v>
      </c>
      <c r="F216" s="3">
        <f>341+(253.9-30)+(-0.34782+(-0.258978--0.0306))+0-0-0</f>
        <v>564.323802</v>
      </c>
      <c r="G216" s="3">
        <f>340+(223.4-30)+(-0.3468+(-0.227868--0.0306))+0-0-0</f>
        <v>532.85593199999994</v>
      </c>
      <c r="H216" s="3">
        <f>340+(201.6-29)+(-0.6936+(-0.411264--0.05916))+0-0-0</f>
        <v>511.55429600000002</v>
      </c>
      <c r="I216" s="3">
        <f>340+(180.7-29)+(-0.3468+(-0.184314--0.02958))+0-0-0</f>
        <v>491.198466</v>
      </c>
      <c r="J216" s="3">
        <f>348+(164.4-30)+(0.35496+(0.167688-0.0306))+0-0-0</f>
        <v>482.89204799999999</v>
      </c>
      <c r="K216" s="3">
        <f>346+(128.6-32)+(0.8823+(0.32793-0.0816))+0-0-0</f>
        <v>443.72863000000001</v>
      </c>
      <c r="L216" s="3">
        <f>343+(115.5-32)+(-0.17493+(-0.058905--0.01632))+0-0-0</f>
        <v>426.28248500000001</v>
      </c>
      <c r="M216" s="3">
        <f>343+(128.6-27)+(0+(0-0))+0-0-0</f>
        <v>444.6</v>
      </c>
      <c r="N216" s="3">
        <f>339+(144.5-21)+(-0.17289+(-0.073695--0.01071))+0-0-0</f>
        <v>462.26412499999998</v>
      </c>
      <c r="O216" s="3">
        <f>337+(170.3-30)+(-0.68748+(-0.347412--0.0612))+0-0-0</f>
        <v>476.32630799999998</v>
      </c>
      <c r="P216" s="3">
        <f>371+(154.4-39)+(-0.18921+(-0.078744--0.01989))+0-0-0</f>
        <v>486.15193599999998</v>
      </c>
      <c r="Q216" s="3">
        <f>401+(148.7-41)+(-0.61353+(-0.227511--0.06273))+0-0-0</f>
        <v>507.92168900000001</v>
      </c>
      <c r="R216" s="3">
        <f>410+(166.7-34)+(-1.0455+(-0.425085--0.0867))+0-0-0</f>
        <v>541.31611500000008</v>
      </c>
      <c r="S216" s="3">
        <f>384+(194.8-30)+(-0.19584+(-0.099348--0.0153))+0-0-0</f>
        <v>548.52011199999993</v>
      </c>
      <c r="T216" s="3">
        <f>347+(213.6-30)+(0+(0-0))+0-0-0</f>
        <v>530.6</v>
      </c>
      <c r="U216" s="3">
        <f>346+(182.4-31)+(-0.17646+(-0.093024--0.01581))+0-0-0</f>
        <v>497.14632599999999</v>
      </c>
      <c r="V216" s="3">
        <f>348+(169.3-31)+(0.35496+(0.172686-0.03162))+0-0-0</f>
        <v>486.79602599999998</v>
      </c>
      <c r="W216" s="3">
        <f>365+(228.3-31)+(0.3723+(0.232866-0.03162))+0-0-0</f>
        <v>562.87354599999992</v>
      </c>
      <c r="X216" s="3">
        <f>414+(231.3-32)+(-0.84456+(-0.471852--0.06528))+0-0-0</f>
        <v>612.04886799999997</v>
      </c>
      <c r="Y216" s="3">
        <f>363+(300.7-32)+(-0.74052+(-0.613428--0.06528))+0-0-0</f>
        <v>630.41133200000002</v>
      </c>
      <c r="Z216" s="3">
        <f>350+(310.6-29)+(-0.714+(-0.633624--0.05916))+0-0-0</f>
        <v>630.31153600000005</v>
      </c>
      <c r="AA216" s="3">
        <f>351+(303-28)+(-0.35802+(-0.30906--0.02856))+0-0-0</f>
        <v>625.36148000000003</v>
      </c>
      <c r="AB216" s="3">
        <f>349+(250.1-25)+(-0.88995+(-0.637755--0.06375))+8.9-0-0</f>
        <v>581.53604499999994</v>
      </c>
      <c r="AC216" s="3">
        <f>351+(229.2-30)+(-0.17901+(-0.116892--0.0153))+14.8-0-0</f>
        <v>564.71939799999996</v>
      </c>
      <c r="AD216">
        <v>594.6</v>
      </c>
      <c r="AE216" s="3">
        <f>416+(210.6-32)+(0+(0-0))+0-0-0</f>
        <v>594.6</v>
      </c>
    </row>
    <row r="217" spans="1:31" s="2" customFormat="1" x14ac:dyDescent="0.3">
      <c r="A217">
        <v>90</v>
      </c>
      <c r="B217">
        <v>8</v>
      </c>
      <c r="C217">
        <v>1</v>
      </c>
      <c r="D217">
        <v>2</v>
      </c>
      <c r="E217">
        <v>1</v>
      </c>
      <c r="F217" s="3">
        <f>345+(208.4-32)+(-0.3519+(-0.212568--0.03264))+0-0-0</f>
        <v>520.86817199999996</v>
      </c>
      <c r="G217" s="3">
        <f>345+(185-31)+(-0.3519+(-0.1887--0.03162))+0-0-0</f>
        <v>498.49101999999999</v>
      </c>
      <c r="H217" s="3">
        <f>346+(162.7-30)+(0+(0-0))+0-0-0</f>
        <v>478.7</v>
      </c>
      <c r="I217" s="3">
        <f>346+(147.5-30)+(0.35292+(0.15045-0.0306))+0-0-0</f>
        <v>463.97277000000003</v>
      </c>
      <c r="J217" s="3">
        <f>346+(137.2-31)+(0.17646+(0.069972-0.01581))+0-0-0</f>
        <v>452.43062199999997</v>
      </c>
      <c r="K217" s="3">
        <f>345+(122.7-32)+(0+(0-0))+0-0-0</f>
        <v>435.7</v>
      </c>
      <c r="L217" s="3">
        <f>347+(103.8-39)+(0.70788+(0.211752-0.07956))+0-0-0</f>
        <v>412.64007200000003</v>
      </c>
      <c r="M217" s="3">
        <f>346+(117.7-35)+(0.35292+(0.120054-0.0357))+0-0-0</f>
        <v>429.13727399999999</v>
      </c>
      <c r="N217" s="3">
        <f>344+(134.2-32)+(-0.17544+(-0.068442--0.01632))+0-0-0</f>
        <v>445.97243800000001</v>
      </c>
      <c r="O217" s="3">
        <f>347+(138.9-32)+(0.17697+(0.070839-0.01632))+0-0-0</f>
        <v>454.13148899999999</v>
      </c>
      <c r="P217" s="3">
        <f>409+(108.5-41)+(-0.62577+(-0.166005--0.06273))+0-0-0</f>
        <v>475.77095500000001</v>
      </c>
      <c r="Q217" s="3">
        <f>410+(119.6-38)+(-0.2091+(-0.060996--0.01938))+0-0-0</f>
        <v>491.34928400000001</v>
      </c>
      <c r="R217" s="3">
        <f>408+(142.9-34)+(-1.0404+(-0.364395--0.0867))+0-0-0</f>
        <v>515.58190500000001</v>
      </c>
      <c r="S217" s="3">
        <f>411+(145-33)+(-0.20961+(-0.07395--0.01683))+0-0-0</f>
        <v>522.73326999999995</v>
      </c>
      <c r="T217" s="3">
        <f>411+(127.2-37)+(0+(0-0))+0-0-0</f>
        <v>501.2</v>
      </c>
      <c r="U217" s="3">
        <f>408+(113-41)+(-1.24848+(-0.34578--0.12546))+0-0-0</f>
        <v>478.53120000000001</v>
      </c>
      <c r="V217" s="3">
        <f>412+(101-48)+(-0.21012+(-0.05151--0.02448))+0-0-0</f>
        <v>464.76285000000001</v>
      </c>
      <c r="W217" s="3">
        <f>416+(157.6-31)+(0+(0-0))+0-0-0</f>
        <v>542.6</v>
      </c>
      <c r="X217" s="3">
        <f>414+(206.1-32)+(-1.26684+(-0.630666--0.09792))+0-0-0</f>
        <v>586.30041400000005</v>
      </c>
      <c r="Y217" s="3">
        <f>415+(222.1-31)+(-0.4233+(-0.226542--0.03162))+0-0-0</f>
        <v>605.48177800000008</v>
      </c>
      <c r="Z217" s="3">
        <f>415+(224-31)+(-0.8466+(-0.45696--0.06324))+0-0-0</f>
        <v>606.75968</v>
      </c>
      <c r="AA217" s="3">
        <f>414+(214.2-30)+(-0.63342+(-0.327726--0.0459))+0-0-0</f>
        <v>597.28475400000002</v>
      </c>
      <c r="AB217" s="3">
        <f>414+(192-33)+(-0.84456+(-0.39168--0.06732))+0-0-0</f>
        <v>571.83108000000004</v>
      </c>
      <c r="AC217" s="3">
        <f>414+(164.1-32)+(-0.84456+(-0.334764--0.06528))+0-0-0</f>
        <v>544.98595599999999</v>
      </c>
      <c r="AD217">
        <v>584.20000000000005</v>
      </c>
      <c r="AE217" s="3">
        <f>416+(199.2-31)+(0+(0-0))+0-0-0</f>
        <v>584.20000000000005</v>
      </c>
    </row>
    <row r="218" spans="1:31" s="2" customFormat="1" x14ac:dyDescent="0.3">
      <c r="A218">
        <v>90</v>
      </c>
      <c r="B218">
        <v>8</v>
      </c>
      <c r="C218">
        <v>2</v>
      </c>
      <c r="D218">
        <v>3</v>
      </c>
      <c r="E218">
        <v>1</v>
      </c>
      <c r="F218" s="3">
        <f>413+(131.7-36)+(-0.42126+(-0.134334--0.03672))+0-0-0</f>
        <v>508.18112600000001</v>
      </c>
      <c r="G218" s="3">
        <f>415+(111.9-47)+(0+(0-0))+0-0-0</f>
        <v>479.9</v>
      </c>
      <c r="H218" s="3">
        <f>415+(94.3-50)+(0+(0-0))+0-0-0</f>
        <v>459.3</v>
      </c>
      <c r="I218" s="3">
        <f>415+(79.9-53)+(0+(0-0))+0-0-0</f>
        <v>441.9</v>
      </c>
      <c r="J218" s="3">
        <f>415+(69.7-57)+(0.21165+(0.035547-0.02907))+0-0-0</f>
        <v>427.91812699999997</v>
      </c>
      <c r="K218" s="3">
        <f>413+(43.2-41.9)+(-0.63189+(-0.066096--0.064107))+0-0-0</f>
        <v>413.66612100000003</v>
      </c>
      <c r="L218" s="3">
        <f>413+(52.1-56)+(0.21063+(0.026571-0.02856))+0-0-0</f>
        <v>409.30864100000002</v>
      </c>
      <c r="M218" s="3">
        <f>411+(63.3-54)+(0.20961+(0.032283-0.02754))+0-0-0</f>
        <v>420.51435300000003</v>
      </c>
      <c r="N218" s="3">
        <f>413+(77.3-49)+(-0.21063+(-0.039423--0.02499))+0-0-0</f>
        <v>441.07493700000003</v>
      </c>
      <c r="O218" s="3">
        <f>417+(86.1-48)+(0.21267+(0.043911-0.02448))+0-0-0</f>
        <v>455.33210100000002</v>
      </c>
      <c r="P218" s="3">
        <f>418+(97.8-42)+(0+(0-0))+0-0-0</f>
        <v>473.8</v>
      </c>
      <c r="Q218" s="3">
        <f>413+(113.7-40)+(-0.21063+(-0.057987--0.0204))+0-0-0</f>
        <v>486.45178299999998</v>
      </c>
      <c r="R218" s="3">
        <f>413+(131.2-38)+(-1.05315+(-0.33456--0.0969))+0-0-0</f>
        <v>504.90918999999997</v>
      </c>
      <c r="S218" s="3">
        <f>413+(141.6-34)+(-1.26378+(-0.433296--0.10404))+0-0-0</f>
        <v>519.00696400000004</v>
      </c>
      <c r="T218" s="3">
        <f>413+(124.3-37)+(0+(0-0))+0-0-0</f>
        <v>500.3</v>
      </c>
      <c r="U218" s="3">
        <f>412+(110.3-40)+(-0.63036+(-0.168759--0.0612))+0-0-0</f>
        <v>481.56208100000003</v>
      </c>
      <c r="V218" s="3">
        <f>415+(99.6-41.4)+(-0.21165+(-0.050796--0.021114))+0-0-0</f>
        <v>472.95866799999999</v>
      </c>
      <c r="W218" s="3">
        <f>417+(156.4-32)+(0+(0-0))+0-0-0</f>
        <v>541.4</v>
      </c>
      <c r="X218" s="3">
        <f>416+(199.8-32)+(-0.63648+(-0.305694--0.04896))+0-0-0</f>
        <v>582.90678600000001</v>
      </c>
      <c r="Y218" s="3">
        <f>415+(218.2-32)+(-0.63495+(-0.333846--0.04896))+0-0-0</f>
        <v>600.28016400000001</v>
      </c>
      <c r="Z218" s="3">
        <f>416+(216.1-33)+(-0.63648+(-0.330633--0.05049))+0-0-0</f>
        <v>598.18337700000006</v>
      </c>
      <c r="AA218" s="3">
        <f>416+(195.6-33)+(-0.42432+(-0.199512--0.03366))+0-0-0</f>
        <v>578.00982799999997</v>
      </c>
      <c r="AB218" s="3">
        <f>414+(177.2-32)+(-1.0557+(-0.45186--0.0816))+0-0-0</f>
        <v>557.77404000000001</v>
      </c>
      <c r="AC218" s="3">
        <f>383+(181.3-31)+(-0.39066+(-0.184926--0.03162))+0-0-0</f>
        <v>532.756034</v>
      </c>
      <c r="AD218">
        <v>576.6</v>
      </c>
      <c r="AE218" s="3">
        <f>417+(191.6-32)+(0+(0-0))+0-0-0</f>
        <v>576.6</v>
      </c>
    </row>
    <row r="219" spans="1:31" s="2" customFormat="1" x14ac:dyDescent="0.3">
      <c r="A219">
        <v>90</v>
      </c>
      <c r="B219">
        <v>8</v>
      </c>
      <c r="C219">
        <v>3</v>
      </c>
      <c r="D219">
        <v>4</v>
      </c>
      <c r="E219">
        <v>1</v>
      </c>
      <c r="F219" s="3">
        <f>353+(180.4-30)+(-0.18003+(-0.092004--0.0153))+0-0-0</f>
        <v>503.14326599999998</v>
      </c>
      <c r="G219" s="3">
        <f>353+(154.4-30)+(-0.72012+(-0.314976--0.0612))+0-0-0</f>
        <v>476.42610399999995</v>
      </c>
      <c r="H219" s="3">
        <f>353+(138.9-30)+(-0.90015+(-0.354195--0.0765))+0-0-0</f>
        <v>460.72215499999999</v>
      </c>
      <c r="I219" s="3">
        <f>353+(123.1-31)+(-0.36006+(-0.125562--0.03162))+0-0-0</f>
        <v>444.64599800000002</v>
      </c>
      <c r="J219" s="3">
        <f>354+(114.6-31)+(0.18054+(0.058446-0.01581))+0-0-0</f>
        <v>437.82317600000005</v>
      </c>
      <c r="K219" s="3">
        <f>354+(104.5-32)+(0.18054+(0.053295-0.01632))+0-0-0</f>
        <v>426.71751499999999</v>
      </c>
      <c r="L219" s="3">
        <f>353+(100.4-32.3)+(0.54009+(0.153612-0.049419))+0-0-0</f>
        <v>421.744283</v>
      </c>
      <c r="M219" s="3">
        <f>354+(118.1-30)+(-0.18054+(-0.060231--0.0153))+0-0-0</f>
        <v>441.874529</v>
      </c>
      <c r="N219" s="3">
        <f>370+(111.3-30)+(0.3774+(0.113526-0.0306))+0-0-0</f>
        <v>451.76032600000002</v>
      </c>
      <c r="O219" s="3">
        <f>369+(123.4-30)+(-0.37638+(-0.125868--0.0306))+0-0-0</f>
        <v>461.92835199999996</v>
      </c>
      <c r="P219" s="3">
        <f>369+(143.2-30)+(-0.75276+(-0.292128--0.0612))+0-0-0</f>
        <v>481.21631200000002</v>
      </c>
      <c r="Q219" s="3">
        <f>409+(118.8-32)+(-0.41718+(-0.121176--0.03264))+0-0-0</f>
        <v>495.294284</v>
      </c>
      <c r="R219" s="3">
        <f>442+(113.7-33)+(-0.90168+(-0.231948--0.06732))+0-0-0</f>
        <v>521.633692</v>
      </c>
      <c r="S219" s="3">
        <f>417+(146.6-31)+(-0.21267+(-0.074766--0.01581))+0-0-0</f>
        <v>532.32837400000005</v>
      </c>
      <c r="T219" s="3">
        <f>463+(82.7-38.7)+(0.70839+(0.126531-0.059211))+0-0-0</f>
        <v>507.77571</v>
      </c>
      <c r="U219" s="3">
        <f>466+(67.9-42.7)+(-1.1883+(-0.173145--0.108885))+0-0-0</f>
        <v>489.94743999999997</v>
      </c>
      <c r="V219" s="3">
        <f>468+(58.7-47.1)+(-0.23868+(-0.029937--0.024021))+0-0-0</f>
        <v>479.35540400000002</v>
      </c>
      <c r="W219" s="3">
        <f>471+(108-35.2)+(-0.24021+(-0.05508--0.017952))+0-0-0</f>
        <v>543.52266199999997</v>
      </c>
      <c r="X219" s="3">
        <f>470+(143-33)+(-1.1985+(-0.36465--0.08415))+0-0-0</f>
        <v>578.52099999999996</v>
      </c>
      <c r="Y219" s="3">
        <f>471+(151.4-23)+(-0.24021+(-0.077214--0.01173))+0-0-0</f>
        <v>599.09430599999996</v>
      </c>
      <c r="Z219" s="3">
        <f>471+(158-30)+(-0.48042+(-0.16116--0.0306))+0-0-0</f>
        <v>598.38901999999996</v>
      </c>
      <c r="AA219" s="3">
        <f>470+(149.7-30)+(-0.9588+(-0.305388--0.0612))+0-0-0</f>
        <v>588.49701200000004</v>
      </c>
      <c r="AB219" s="3">
        <f>470+(132.4-31)+(-0.7191+(-0.202572--0.04743))+0-0-0</f>
        <v>570.525758</v>
      </c>
      <c r="AC219" s="3">
        <f>470+(101.5-31)+(-0.9588+(-0.20706--0.06324))+0-0-0</f>
        <v>539.39738</v>
      </c>
      <c r="AD219">
        <v>565</v>
      </c>
      <c r="AE219" s="3">
        <f>470+(128-33)+(0+(0-0))+0-0-0</f>
        <v>565</v>
      </c>
    </row>
    <row r="220" spans="1:31" s="2" customFormat="1" x14ac:dyDescent="0.3">
      <c r="A220">
        <v>90</v>
      </c>
      <c r="B220">
        <v>8</v>
      </c>
      <c r="C220">
        <v>4</v>
      </c>
      <c r="D220">
        <v>5</v>
      </c>
      <c r="E220">
        <v>1</v>
      </c>
      <c r="F220" s="3">
        <f>424+(112.2-31)+(-1.0812+(-0.28611--0.07905))+0-0-0</f>
        <v>503.91174000000001</v>
      </c>
      <c r="G220" s="3">
        <f>407+(103.3-30)+(-0.20757+(-0.052683--0.0153))+0-0-0</f>
        <v>480.055047</v>
      </c>
      <c r="H220" s="3">
        <f>406+(83.5-30)+(-0.20706+(-0.042585--0.0153))+0-0-0</f>
        <v>459.26565499999998</v>
      </c>
      <c r="I220" s="3">
        <f>407+(72.2-29)+(-0.41514+(-0.073644--0.02958))+0-0-0</f>
        <v>449.74079599999999</v>
      </c>
      <c r="J220" s="3">
        <f>407+(63.6-29)+(-0.20757+(-0.032436--0.01479))+0-0-0</f>
        <v>441.37478400000003</v>
      </c>
      <c r="K220" s="3">
        <f>406+(57.8-32.8)+(-0.20706+(-0.029478--0.016728))+0-0-0</f>
        <v>430.78019</v>
      </c>
      <c r="L220" s="3">
        <f>403+(54.6-36.3)+(-0.41106+(-0.055692--0.037026))+0-0-0</f>
        <v>420.87027399999999</v>
      </c>
      <c r="M220" s="3">
        <f>420+(51.7-36.7)+(0+(0-0))+0-0-0</f>
        <v>435</v>
      </c>
      <c r="N220" s="3">
        <f>464+(39.5-46.5)+(-0.47328+(-0.04029--0.04743))+0-0-0</f>
        <v>456.53386</v>
      </c>
      <c r="O220" s="3">
        <f>465+(60.8-45.1)+(0.4743+(0.062016-0.046002))+0-0-0</f>
        <v>481.190314</v>
      </c>
      <c r="P220" s="3">
        <f>463+(76.7-39.8)+(-0.94452+(-0.156468--0.081192))+0-0-0</f>
        <v>498.88020399999999</v>
      </c>
      <c r="Q220" s="3">
        <f>465+(82.7-38.3)+(-0.23715+(-0.042177--0.019533))+0-0-0</f>
        <v>509.14020599999998</v>
      </c>
      <c r="R220" s="3">
        <f>459+(91.1-35)+(-0.46818+(-0.092922--0.0357))+0-0-0</f>
        <v>514.57459800000004</v>
      </c>
      <c r="S220" s="3">
        <f>456+(102.9-39.3)+(-0.69768+(-0.157437--0.060129))+0-0-0</f>
        <v>518.80501200000003</v>
      </c>
      <c r="T220" s="3">
        <f>448+(102-51.7)+(0+(0-0))+0-0-0</f>
        <v>498.3</v>
      </c>
      <c r="U220" s="3">
        <f>472+(60.3-50.8)+(0.24072+(0.030753-0.025908))+0-0-0</f>
        <v>481.745565</v>
      </c>
      <c r="V220" s="3">
        <f>425+(93.2-41.6)+(-0.4335+(-0.095064--0.042432))+0-0-0</f>
        <v>476.11386800000002</v>
      </c>
      <c r="W220" s="3">
        <f>427+(141.5-30.1)+(0+(0-0))+0-0-0</f>
        <v>538.4</v>
      </c>
      <c r="X220" s="3">
        <f>425+(176.8-30)+(-0.65025+(-0.270504--0.0459))+0-0-0</f>
        <v>570.92514599999993</v>
      </c>
      <c r="Y220" s="3">
        <f>426+(195.9-30)+(-0.43452+(-0.199818--0.0306))+0-0-0</f>
        <v>591.29626199999996</v>
      </c>
      <c r="Z220" s="3">
        <f>425+(191.7-32)+(-0.4335+(-0.195534--0.03264))+0-0-0</f>
        <v>584.10360600000001</v>
      </c>
      <c r="AA220" s="3">
        <f>425+(183.4-31)+(-0.4335+(-0.187068--0.03162))+0-0-0</f>
        <v>576.81105200000002</v>
      </c>
      <c r="AB220" s="3">
        <f>427+(160.7-30)+(0+(0-0))+0-0-0</f>
        <v>557.70000000000005</v>
      </c>
      <c r="AC220" s="3">
        <f>425+(130.3-32)+(-0.65025+(-0.199359--0.04896))+0-0-0</f>
        <v>522.49935099999993</v>
      </c>
      <c r="AD220">
        <v>552.4</v>
      </c>
      <c r="AE220" s="3">
        <f>426+(157.4-31)+(0+(0-0))+0-0-0</f>
        <v>552.4</v>
      </c>
    </row>
    <row r="221" spans="1:31" s="2" customFormat="1" x14ac:dyDescent="0.3">
      <c r="A221">
        <v>90</v>
      </c>
      <c r="B221">
        <v>8</v>
      </c>
      <c r="C221">
        <v>5</v>
      </c>
      <c r="D221">
        <v>6</v>
      </c>
      <c r="E221">
        <v>1</v>
      </c>
      <c r="F221" s="3">
        <f>421+(99.8-39.1)+(-0.42942+(-0.101796--0.039882))+0-0-0</f>
        <v>481.20866599999999</v>
      </c>
      <c r="G221" s="3">
        <f>423+(75.7-41.9)+(-0.21573+(-0.038607--0.021369))+0-0-0</f>
        <v>456.56703199999998</v>
      </c>
      <c r="H221" s="3">
        <f>410+(70.6-40.6)+(0.6273+(0.108018-0.062118))+0-0-0</f>
        <v>440.67320000000001</v>
      </c>
      <c r="I221" s="3">
        <f>402+(64-40.2)+(-0.82008+(-0.13056--0.082008))+0-0-0</f>
        <v>424.93136800000002</v>
      </c>
      <c r="J221" s="3">
        <f>404+(57.8-43)+(0.41208+(0.058956-0.04386))+0-0-0</f>
        <v>419.22717599999999</v>
      </c>
      <c r="K221" s="3">
        <f>404+(52.2-46.8)+(-0.61812+(-0.079866--0.071604))+0-0-0</f>
        <v>408.773618</v>
      </c>
      <c r="L221" s="3">
        <f>397+(43.9-51.6)+(-0.40494+(-0.044778--0.052632))+0-0-0</f>
        <v>388.90291400000001</v>
      </c>
      <c r="M221" s="3">
        <f>397+(64.1-47)+(0.20247+(0.032691-0.02397))+0-0-0</f>
        <v>414.31119100000001</v>
      </c>
      <c r="N221" s="3">
        <f>397+(87.5-42.2)+(0.60741+(0.133875-0.064566))+0-0-0</f>
        <v>442.976719</v>
      </c>
      <c r="O221" s="3">
        <f>397+(102.8-39.5)+(0.20247+(0.052428-0.020145))+0-0-0</f>
        <v>460.53475300000002</v>
      </c>
      <c r="P221" s="3">
        <f>397+(111.7-35.8)+(0.20247+(0.056967-0.018258))+0-0-0</f>
        <v>473.14117899999997</v>
      </c>
      <c r="Q221" s="3">
        <f>394+(122.7-33.1)+(-1.0047+(-0.312885--0.084405))+0-0-0</f>
        <v>482.36682000000002</v>
      </c>
      <c r="R221" s="3">
        <f>395+(138.2-30)+(-0.8058+(-0.281928--0.0612))+0-0-0</f>
        <v>502.173472</v>
      </c>
      <c r="S221" s="3">
        <f>395+(139.6-28)+(-1.00725+(-0.35598--0.0714))+0-0-0</f>
        <v>505.30817000000002</v>
      </c>
      <c r="T221" s="3">
        <f>398+(128.8-33.4)+(-0.20298+(-0.065688--0.017034))+0-0-0</f>
        <v>493.14836599999995</v>
      </c>
      <c r="U221" s="3">
        <f>396+(117.5-34.9)+(-0.60588+(-0.179775--0.053397))+0-0-0</f>
        <v>477.86774200000002</v>
      </c>
      <c r="V221" s="3">
        <f>411+(103.6-39.8)+(-0.20961+(-0.052836--0.020298))+0-0-0</f>
        <v>474.55785200000003</v>
      </c>
      <c r="W221" s="3">
        <f>448+(123.2-41.5)+(0+(0-0))+0-0-0</f>
        <v>529.70000000000005</v>
      </c>
      <c r="X221" s="3">
        <f>460+(135.2-34)+(-0.2346+(-0.068952--0.01734))+0-0-0</f>
        <v>560.91378800000007</v>
      </c>
      <c r="Y221" s="3">
        <f>461+(143.3-33)+(0.23511+(0.073083-0.01683))+0-0-0</f>
        <v>571.591363</v>
      </c>
      <c r="Z221" s="3">
        <f>459+(136.2-32.4)+(-0.70227+(-0.208386--0.049572))+0-0-0</f>
        <v>561.93891599999995</v>
      </c>
      <c r="AA221" s="3">
        <f>461+(130.8-34.5)+(-0.23511+(-0.066708--0.017595))+0-0-0</f>
        <v>557.01577699999996</v>
      </c>
      <c r="AB221" s="3">
        <f>461+(111.3-38.1)+(-0.47022+(-0.113526--0.038862))+0-0-0</f>
        <v>533.65511600000002</v>
      </c>
      <c r="AC221" s="3">
        <f>461+(87.2-44.8)+(-0.47022+(-0.088944--0.045696))+0-0-0</f>
        <v>502.88653199999999</v>
      </c>
      <c r="AD221">
        <v>549.5</v>
      </c>
      <c r="AE221" s="3">
        <f>461+(133.8-45.3)+(0+(0-0))+0-0-0</f>
        <v>549.5</v>
      </c>
    </row>
    <row r="222" spans="1:31" s="2" customFormat="1" x14ac:dyDescent="0.3">
      <c r="A222">
        <v>90</v>
      </c>
      <c r="B222">
        <v>8</v>
      </c>
      <c r="C222">
        <v>6</v>
      </c>
      <c r="D222">
        <v>7</v>
      </c>
      <c r="E222">
        <v>1</v>
      </c>
      <c r="F222" s="3">
        <f>455+(66-49.5)+(-0.4641+(-0.06732--0.05049))+0-0-0</f>
        <v>471.01907</v>
      </c>
      <c r="G222" s="3">
        <f>405+(76.7-38.6)+(0.4131+(0.078234-0.039372))+0-0-0</f>
        <v>443.551962</v>
      </c>
      <c r="H222" s="3">
        <f>341+(111.8-29)+(0+(0-0))+0-0-0</f>
        <v>423.8</v>
      </c>
      <c r="I222" s="3">
        <f>341+(97.9-28)+(-0.34782+(-0.099858--0.02856))+0-0-0</f>
        <v>410.48088199999995</v>
      </c>
      <c r="J222" s="3">
        <f>340+(89.5-28)+(1.0404+(0.27387-0.08568))+0-0-0</f>
        <v>402.72859</v>
      </c>
      <c r="K222" s="3">
        <f>339+(77.7-30)+(0+(0-0))+0-0-0</f>
        <v>386.7</v>
      </c>
      <c r="L222" s="3">
        <f>335+(70.9-31.4)+(-0.17085+(-0.036159--0.016014))+0-0-0</f>
        <v>374.30900500000001</v>
      </c>
      <c r="M222" s="3">
        <f>334+(91-31)+(-0.17034+(-0.04641--0.01581))+0-0-0</f>
        <v>393.79906</v>
      </c>
      <c r="N222" s="3">
        <f>335+(114.2-31)+(0.51255+(0.174726-0.04743))+0-0-0</f>
        <v>418.83984599999997</v>
      </c>
      <c r="O222" s="3">
        <f>335+(135.8-32)+(0.17085+(0.069258-0.01632))+0-0-0</f>
        <v>439.02378800000002</v>
      </c>
      <c r="P222" s="3">
        <f>345+(143.9-32)+(0+(0-0))+0-0-0</f>
        <v>456.9</v>
      </c>
      <c r="Q222" s="3">
        <f>398+(112.3-44)+(-0.60894+(-0.171819--0.06732))+0-0-0</f>
        <v>465.58656100000002</v>
      </c>
      <c r="R222" s="3">
        <f>373+(138.3-30)+(-0.38046+(-0.141066--0.0306))+0-0-0</f>
        <v>480.80907400000001</v>
      </c>
      <c r="S222" s="3">
        <f>332+(176.4-30)+(-0.67728+(-0.359856--0.0612))+0-0-0</f>
        <v>477.42406399999999</v>
      </c>
      <c r="T222" s="3">
        <f>332+(169.4-30)+(-0.50796+(-0.259182--0.0459))+0-0-0</f>
        <v>470.67875799999996</v>
      </c>
      <c r="U222" s="3">
        <f>374+(114.8-34)+(0+(0-0))+0-0-0</f>
        <v>454.8</v>
      </c>
      <c r="V222" s="3">
        <f>399+(93.5-40.1)+(0.20349+(0.047685-0.020451))+0-0-0</f>
        <v>452.63072399999999</v>
      </c>
      <c r="W222" s="3">
        <f>421+(136.6-31)+(0+(0-0))+0-0-0</f>
        <v>526.6</v>
      </c>
      <c r="X222" s="3">
        <f>442+(149.9-31)+(-1.1271+(-0.382245--0.07905))+0-0-0</f>
        <v>559.46970499999998</v>
      </c>
      <c r="Y222" s="3">
        <f>442+(166.9-31)+(-1.1271+(-0.425595--0.07905))+0-0-0</f>
        <v>576.42635499999994</v>
      </c>
      <c r="Z222" s="3">
        <f>442+(164.9-30)+(-0.90168+(-0.336396--0.0612))+0-0-0</f>
        <v>575.72312399999998</v>
      </c>
      <c r="AA222" s="3">
        <f>443+(148-32)+(0+(0-0))+0-0-0</f>
        <v>559</v>
      </c>
      <c r="AB222" s="3">
        <f>442+(129-33)+(-0.90168+(-0.26316--0.06732))+0-0-0</f>
        <v>536.90247999999997</v>
      </c>
      <c r="AC222" s="3">
        <f>438+(92.5-34.1)+(-1.1169+(-0.235875--0.086955))+0-0-0</f>
        <v>495.13417999999996</v>
      </c>
      <c r="AD222">
        <v>549.20000000000005</v>
      </c>
      <c r="AE222" s="3">
        <f>441+(140.2-32)+(0+(0-0))+0-0-0</f>
        <v>549.20000000000005</v>
      </c>
    </row>
    <row r="223" spans="1:31" s="2" customFormat="1" x14ac:dyDescent="0.3">
      <c r="A223">
        <v>90</v>
      </c>
      <c r="B223">
        <v>8</v>
      </c>
      <c r="C223">
        <v>7</v>
      </c>
      <c r="D223">
        <v>1</v>
      </c>
      <c r="E223">
        <v>1</v>
      </c>
      <c r="F223" s="3">
        <f>397+(101.4-38.1)+(-0.80988+(-0.206856--0.077724))+0-0-0</f>
        <v>459.36098800000002</v>
      </c>
      <c r="G223" s="3">
        <f>367+(111.4-39.4)+(-0.18717+(-0.056814--0.020094))+0-0-0</f>
        <v>438.77611000000002</v>
      </c>
      <c r="H223" s="3">
        <f>351+(111.6-40.1)+(0.17901+(0.056916-0.020451))+0-0-0</f>
        <v>422.71547500000003</v>
      </c>
      <c r="I223" s="3">
        <f>349+(102.5-42.7)+(-0.53397+(-0.156825--0.065331))+0-0-0</f>
        <v>408.17453599999999</v>
      </c>
      <c r="J223" s="3">
        <f>351+(98.1-44.8)+(-0.17901+(-0.050031--0.022848))+0-0-0</f>
        <v>404.09380700000003</v>
      </c>
      <c r="K223" s="3">
        <f>351+(96-48)+(0+(0-0))+0-0-0</f>
        <v>399</v>
      </c>
      <c r="L223" s="3">
        <f>308+(122.9-35.5)+(0+(0-0))+0-0-0</f>
        <v>395.4</v>
      </c>
      <c r="M223" s="3">
        <f>325+(125.7-36.4)+(0.49725+(0.192321-0.055692))+0-0-0</f>
        <v>414.93387899999999</v>
      </c>
      <c r="N223" s="3">
        <f>361+(125.4-41.6)+(0.36822+(0.127908-0.042432))+0-0-0</f>
        <v>445.25369599999999</v>
      </c>
      <c r="O223" s="3">
        <f>376+(118.6-45)+(0.19176+(0.060486-0.02295))+0-0-0</f>
        <v>449.829296</v>
      </c>
      <c r="P223" s="3">
        <f>386+(124.4-46.3)+(0.39372+(0.126888-0.047226))+0-0-0</f>
        <v>464.57338200000004</v>
      </c>
      <c r="Q223" s="3">
        <f>405+(124.6-48.6)+(0.20655+(0.063546-0.024786))+0-0-0</f>
        <v>481.24531000000002</v>
      </c>
      <c r="R223" s="3">
        <f>401+(140.1-46.7)+(-0.61353+(-0.214353--0.071451))+0-0-0</f>
        <v>493.64356799999996</v>
      </c>
      <c r="S223" s="3">
        <f>402+(143.4-45.9)+(-0.20502+(-0.073134--0.023409))+0-0-0</f>
        <v>499.24525499999999</v>
      </c>
      <c r="T223" s="3">
        <f>403+(131.2-47.2)+(0+(0-0))+0-0-0</f>
        <v>487</v>
      </c>
      <c r="U223" s="3">
        <f>412+(119.1-51.4)+(-0.63036+(-0.182223--0.078642))+0-0-0</f>
        <v>478.96605899999997</v>
      </c>
      <c r="V223" s="3">
        <f>438+(99.7-60.9)+(0.67014+(0.152541-0.093177))+0-0-0</f>
        <v>477.52950400000003</v>
      </c>
      <c r="W223" s="3">
        <f>495+(108.1-60.6)+(0.5049+(0.110262-0.061812))+0-0-0</f>
        <v>543.05335000000002</v>
      </c>
      <c r="X223" s="3">
        <f>502+(123.5-53.3)+(-0.76806+(-0.188955--0.081549))+0-0-0</f>
        <v>571.32453400000009</v>
      </c>
      <c r="Y223" s="3">
        <f>504+(129.8-48.4)+(-0.25704+(-0.066198--0.024684))+0-0-0</f>
        <v>585.10144600000001</v>
      </c>
      <c r="Z223" s="3">
        <f>519+(118.6-49)+(-0.52938+(-0.120972--0.04998))+0-0-0</f>
        <v>587.99962800000003</v>
      </c>
      <c r="AA223" s="3">
        <f>520+(107.3-53.3)+(-0.7956+(-0.164169--0.081549))+0-0-0</f>
        <v>573.12177999999994</v>
      </c>
      <c r="AB223" s="3">
        <f>520+(91-59.1)+(-1.0608+(-0.18564--0.120564))+0-0-0</f>
        <v>550.77412400000003</v>
      </c>
      <c r="AC223" s="3">
        <f>494+(72.3-62.7)+(-0.75582+(-0.110619--0.095931))+0-0-0</f>
        <v>502.82949200000002</v>
      </c>
      <c r="AD223">
        <v>556.1</v>
      </c>
      <c r="AE223" s="3">
        <f>500+(117.2-61.1)+(0+(0-0))+0-0-0</f>
        <v>556.1</v>
      </c>
    </row>
    <row r="224" spans="1:31" s="2" customFormat="1" x14ac:dyDescent="0.3">
      <c r="A224">
        <v>90</v>
      </c>
      <c r="B224">
        <v>8</v>
      </c>
      <c r="C224">
        <v>8</v>
      </c>
      <c r="D224">
        <v>2</v>
      </c>
      <c r="E224">
        <v>1</v>
      </c>
      <c r="F224" s="3">
        <f>429+(80.5-62)+(-0.21879+(-0.041055--0.03162))+0-0-0</f>
        <v>447.27177499999999</v>
      </c>
      <c r="G224" s="3">
        <f>395+(85.8-47.2)+(-0.60435+(-0.131274--0.072216))+0-0-0</f>
        <v>432.93659200000002</v>
      </c>
      <c r="H224" s="3">
        <f>328+(117.6-33)+(0.33456+(0.119952-0.03366))+0-0-0</f>
        <v>413.02085200000005</v>
      </c>
      <c r="I224" s="3">
        <f>327+(104.4-33)+(0.33354+(0.106488-0.03366))+0-0-0</f>
        <v>398.80636799999996</v>
      </c>
      <c r="J224" s="3">
        <f>326+(100.7-32)+(0.16626+(0.051357-0.01632))+0-0-0</f>
        <v>394.901297</v>
      </c>
      <c r="K224" s="3">
        <f>327+(103-34.2)+(0+(0-0))+0-0-0</f>
        <v>395.8</v>
      </c>
      <c r="L224" s="3">
        <f>323+(98.1-36.3)+(0+(0-0))+0-0-0</f>
        <v>384.8</v>
      </c>
      <c r="M224" s="3">
        <f>323+(115.2-33.2)+(0.65892+(0.235008-0.067728))+0-0-0</f>
        <v>405.82619999999997</v>
      </c>
      <c r="N224" s="3">
        <f>365+(100.4-44.7)+(0.18615+(0.051204-0.022797))+0-0-0</f>
        <v>420.914557</v>
      </c>
      <c r="O224" s="3">
        <f>391+(100.4-45.7)+(-0.19941+(-0.051204--0.023307))+0-0-0</f>
        <v>445.47269299999999</v>
      </c>
      <c r="P224" s="3">
        <f>401+(110.4-51)+(0.40902+(0.112608-0.05202))+0-0-0</f>
        <v>460.86960799999997</v>
      </c>
      <c r="Q224" s="3">
        <f>418+(108.8-55.6)+(0+(0-0))+0-0-0</f>
        <v>471.2</v>
      </c>
      <c r="R224" s="3">
        <f>412+(123.6-52.7)+(-1.0506+(-0.31518--0.134385))+0-0-0</f>
        <v>481.66860499999996</v>
      </c>
      <c r="S224" s="3">
        <f>412+(123.6-53.9)+(0+(0-0))+0-0-0</f>
        <v>481.7</v>
      </c>
      <c r="T224" s="3">
        <f>414+(115.2-54.7)+(0.21114+(0.058752-0.027897))+0-0-0</f>
        <v>474.74199499999997</v>
      </c>
      <c r="U224" s="3">
        <f>418+(101.3-57.2)+(-0.42636+(-0.103326--0.058344))+0-0-0</f>
        <v>461.62865800000003</v>
      </c>
      <c r="V224" s="3">
        <f>438+(101.7-58.7)+(0.67014+(0.155601-0.089811))+0-0-0</f>
        <v>481.73593</v>
      </c>
      <c r="W224" s="3">
        <f>443+(149.9-47.9)+(0.45186+(0.152898-0.048858))+0-0-0</f>
        <v>545.55589999999995</v>
      </c>
      <c r="X224" s="3">
        <f>451+(168.7-41.1)+(-0.69003+(-0.258111--0.062883))+0-0-0</f>
        <v>577.714742</v>
      </c>
      <c r="Y224" s="3">
        <f>482+(159-41.1)+(-0.98328+(-0.32436--0.083844))+0-0-0</f>
        <v>598.67620399999998</v>
      </c>
      <c r="Z224" s="3">
        <f>497+(128.6-44.2)+(-0.76041+(-0.196758--0.067626))+0-0-0</f>
        <v>580.51045799999997</v>
      </c>
      <c r="AA224" s="3">
        <f>507+(102.2-49)+(-1.03428+(-0.208488--0.09996))+0-0-0</f>
        <v>559.0571920000001</v>
      </c>
      <c r="AB224" s="3">
        <f>498+(82.6-54.6)+(-1.2699+(-0.21063--0.13923))+0-0-0</f>
        <v>524.65869999999995</v>
      </c>
      <c r="AC224" s="3">
        <f>474+(64.7-57.1)+(-0.72522+(-0.098991--0.087363))+0-0-0</f>
        <v>480.86315200000001</v>
      </c>
      <c r="AD224">
        <v>567.90000000000009</v>
      </c>
      <c r="AE224" s="3">
        <f>440+(169.2-41.3)+(0+(0-0))+0-0-0</f>
        <v>567.9</v>
      </c>
    </row>
    <row r="225" spans="1:31" s="2" customFormat="1" x14ac:dyDescent="0.3">
      <c r="A225">
        <v>90</v>
      </c>
      <c r="B225">
        <v>8</v>
      </c>
      <c r="C225">
        <v>9</v>
      </c>
      <c r="D225">
        <v>3</v>
      </c>
      <c r="E225">
        <v>1</v>
      </c>
      <c r="F225" s="3">
        <f>459+(49.8-58.9)+(-1.40454+(-0.152388--0.180234))+0-0-0</f>
        <v>448.52330599999999</v>
      </c>
      <c r="G225" s="3">
        <f>379+(84.6-35.2)+(-0.57987+(-0.129438--0.053856))+0-0-0</f>
        <v>427.74454799999995</v>
      </c>
      <c r="H225" s="3">
        <f>379+(68.8-35.9)+(-0.57987+(-0.105264--0.054927))+0-0-0</f>
        <v>411.26979299999999</v>
      </c>
      <c r="I225" s="3">
        <f>379+(57.6-38.4)+(-0.38658+(-0.058752--0.039168))+0-0-0</f>
        <v>397.793836</v>
      </c>
      <c r="J225" s="3">
        <f>379+(55.5-39.8)+(0.96645+(0.141525-0.10149))+0-0-0</f>
        <v>395.70648499999999</v>
      </c>
      <c r="K225" s="3">
        <f>379+(64-41.8)+(0.19329+(0.03264-0.021318))+0-0-0</f>
        <v>401.40461199999999</v>
      </c>
      <c r="L225" s="3">
        <f>375+(58.8-44.4)+(-0.19125+(-0.029988--0.022644))+0-0-0</f>
        <v>389.20140599999996</v>
      </c>
      <c r="M225" s="3">
        <f>375+(78.6-41)+(0.3825+(0.080172-0.04182))+0-0-0</f>
        <v>413.02085200000005</v>
      </c>
      <c r="N225" s="3">
        <f>426+(52.2-53.7)+(0.21726+(0.026622-0.027387))+0-0-0</f>
        <v>424.71649500000001</v>
      </c>
      <c r="O225" s="3">
        <f>455+(52.7-59.1)+(0.69615+(0.080631-0.090423))+0-0-0</f>
        <v>449.28635800000001</v>
      </c>
      <c r="P225" s="3">
        <f>478+(61.9-62.4)+(0.73134+(0.094707-0.095472))+0-0-0</f>
        <v>478.23057499999999</v>
      </c>
      <c r="Q225" s="3">
        <f>478+(66.8-61.8)+(-1.2189+(-0.17034--0.15759))+0-0-0</f>
        <v>481.76835</v>
      </c>
      <c r="R225" s="3">
        <f>476+(77.6-61.1)+(-0.97104+(-0.158304--0.124644))+0-0-0</f>
        <v>491.49529999999999</v>
      </c>
      <c r="S225" s="3">
        <f>475+(81.3-59.3)+(-0.969+(-0.165852--0.120972))+0-0-0</f>
        <v>495.98612000000003</v>
      </c>
      <c r="T225" s="3">
        <f>479+(69.2-61)+(0.24429+(0.035292-0.03111))+0-0-0</f>
        <v>487.44847199999998</v>
      </c>
      <c r="U225" s="3">
        <f>478+(64.4-65.3)+(-1.46268+(-0.197064--0.199818))+0-0-0</f>
        <v>475.64007400000003</v>
      </c>
      <c r="V225" s="3">
        <f>495+(62.7-71.2)+(0.75735+(0.095931-0.108936))+0-0-0</f>
        <v>487.24434500000001</v>
      </c>
      <c r="W225" s="3">
        <f>498+(94.1-53.5)+(1.01592+(0.191964-0.10914))+0-0-0</f>
        <v>539.69874400000003</v>
      </c>
      <c r="X225" s="3">
        <f>497+(112.5-46)+(-1.26735+(-0.286875--0.1173))+0-0-0</f>
        <v>562.06307500000003</v>
      </c>
      <c r="Y225" s="3">
        <f>497+(117.9-42.4)+(-1.26735+(-0.300645--0.10812))+0-0-0</f>
        <v>571.04012499999999</v>
      </c>
      <c r="Z225" s="3">
        <f>499+(112.9-42.1)+(-1.01796+(-0.230316--0.085884))+0-0-0</f>
        <v>568.637608</v>
      </c>
      <c r="AA225" s="3">
        <f>498+(106.9-41.2)+(-1.2699+(-0.272595--0.10506))+0-0-0</f>
        <v>562.262565</v>
      </c>
      <c r="AB225" s="3">
        <f>499+(89.5-43.9)+(0.50898+(0.09129-0.044778))+0-0-0</f>
        <v>545.15549199999998</v>
      </c>
      <c r="AC225" s="3">
        <f>491+(74.9-45.1)+(-1.00164+(-0.152796--0.092004))+0-0-0</f>
        <v>519.73756800000001</v>
      </c>
      <c r="AD225">
        <v>554.09999999999991</v>
      </c>
      <c r="AE225" s="3">
        <f>495+(106.8-47.7)+(0+(0-0))+0-0-0</f>
        <v>554.1</v>
      </c>
    </row>
    <row r="226" spans="1:31" s="2" customFormat="1" x14ac:dyDescent="0.3">
      <c r="A226">
        <v>90</v>
      </c>
      <c r="B226">
        <v>8</v>
      </c>
      <c r="C226">
        <v>10</v>
      </c>
      <c r="D226">
        <v>4</v>
      </c>
      <c r="E226">
        <v>1</v>
      </c>
      <c r="F226" s="3">
        <f>447+(68.5-42)+(-0.91188+(-0.13974--0.08568))+0-0-0</f>
        <v>472.53406000000001</v>
      </c>
      <c r="G226" s="3">
        <f>447+(50.9-45.3)+(-0.91188+(-0.103836--0.092412))+0-0-0</f>
        <v>451.67669600000005</v>
      </c>
      <c r="H226" s="3">
        <f>448+(34.2-49.1)+(0+(0-0))+0-0-0</f>
        <v>433.1</v>
      </c>
      <c r="I226" s="3">
        <f>447+(31.2-56.4)+(-0.91188+(-0.063648--0.115056))+0-0-0</f>
        <v>420.939528</v>
      </c>
      <c r="J226" s="3">
        <f>449+(29.5-61.6)+(0.68697+(0.045135-0.094248))+0-0-0</f>
        <v>417.53785699999997</v>
      </c>
      <c r="K226" s="3">
        <f>449+(33.5-63.3)+(0.22899+(0.017085-0.032283))+0-0-0</f>
        <v>419.413792</v>
      </c>
      <c r="L226" s="3">
        <f>442+(30.6-71)+(-0.45084+(-0.031212--0.07242))+0-0-0</f>
        <v>401.19036800000003</v>
      </c>
      <c r="M226" s="3">
        <f>443+(34.2-63.3)+(0.45186+(0.034884-0.064566))+0-0-0</f>
        <v>414.32217799999995</v>
      </c>
      <c r="N226" s="3">
        <f>434+(50.6-52.4)+(0.44268+(0.051612-0.053448))+0-0-0</f>
        <v>432.64084400000002</v>
      </c>
      <c r="O226" s="3">
        <f>440+(52-54)+(0.6732+(0.07956-0.08262))+0-0-0</f>
        <v>438.67014</v>
      </c>
      <c r="P226" s="3">
        <f>442+(79.8-49.8)+(-1.1271+(-0.20349--0.12699))+0-0-0</f>
        <v>470.79640000000001</v>
      </c>
      <c r="Q226" s="3">
        <f>443+(86.4-47.9)+(-0.67779+(-0.132192--0.073287))+0-0-0</f>
        <v>480.763305</v>
      </c>
      <c r="R226" s="3">
        <f>438+(105-34)+(-0.89352+(-0.2142--0.06936))+0-0-0</f>
        <v>507.96163999999999</v>
      </c>
      <c r="S226" s="3">
        <f>360+(169.1-33)+(0.3672+(0.172482-0.03366))+0-0-0</f>
        <v>496.606022</v>
      </c>
      <c r="T226" s="3">
        <f>408+(109.1-39.6)+(-0.62424+(-0.166923--0.060588))+0-0-0</f>
        <v>476.76942500000001</v>
      </c>
      <c r="U226" s="3">
        <f>436+(81.5-49.9)+(-0.66708+(-0.124695--0.076347))+0-0-0</f>
        <v>466.88457200000005</v>
      </c>
      <c r="V226" s="3">
        <f>451+(80-48.5)+(0.23001+(0.0408-0.024735))+0-0-0</f>
        <v>482.74607500000002</v>
      </c>
      <c r="W226" s="3">
        <f>454+(117.4-37.6)+(0.23154+(0.059874-0.019176))+0-0-0</f>
        <v>534.07223799999997</v>
      </c>
      <c r="X226" s="3">
        <f>452+(140.6-32.2)+(-0.69156+(-0.215118--0.049266))+0-0-0</f>
        <v>559.54258800000002</v>
      </c>
      <c r="Y226" s="3">
        <f>452+(156.9-33)+(-1.1526+(-0.400095--0.08415))+0-0-0</f>
        <v>574.43145500000003</v>
      </c>
      <c r="Z226" s="3">
        <f>454+(154.2-33)+(-0.23154+(-0.078642--0.01683))+0-0-0</f>
        <v>574.90664800000002</v>
      </c>
      <c r="AA226" s="3">
        <f>452+(147.8-33)+(-0.69156+(-0.226134--0.05049))+0-0-0</f>
        <v>565.93279599999994</v>
      </c>
      <c r="AB226" s="3">
        <f>452+(129.6-34.5)+(-0.69156+(-0.198288--0.052785))+0-0-0</f>
        <v>546.26293700000008</v>
      </c>
      <c r="AC226" s="3">
        <f>451+(106.4-39.4)+(-1.15005+(-0.27132--0.10047))+0-0-0</f>
        <v>516.67909999999995</v>
      </c>
      <c r="AD226">
        <v>563.5</v>
      </c>
      <c r="AE226" s="3">
        <f>454+(140-30.5)+(0+(0-0))+0-0-0</f>
        <v>563.5</v>
      </c>
    </row>
    <row r="227" spans="1:31" s="2" customFormat="1" x14ac:dyDescent="0.3">
      <c r="A227">
        <v>90</v>
      </c>
      <c r="B227">
        <v>8</v>
      </c>
      <c r="C227">
        <v>11</v>
      </c>
      <c r="D227">
        <v>5</v>
      </c>
      <c r="E227">
        <v>1</v>
      </c>
      <c r="F227" s="3">
        <f>438+(77.2-45)+(-0.44676+(-0.078744--0.0459))+0-0-0</f>
        <v>469.72039599999999</v>
      </c>
      <c r="G227" s="3">
        <f>388+(94-33.8)+(-0.19788+(-0.04794--0.017238))+0-0-0</f>
        <v>447.97141799999997</v>
      </c>
      <c r="H227" s="3">
        <f>373+(90.2-33.7)+(-0.19023+(-0.046002--0.017187))+0-0-0</f>
        <v>429.28095500000001</v>
      </c>
      <c r="I227" s="3">
        <f>346+(99.4-37.1)+(-0.17646+(-0.050694--0.018921))+0-0-0</f>
        <v>408.091767</v>
      </c>
      <c r="J227" s="3">
        <f>347+(88.4-42.4)+(-0.17697+(-0.045084--0.021624))+0-0-0</f>
        <v>392.79957000000002</v>
      </c>
      <c r="K227" s="3">
        <f>347+(88.5-45.7)+(0.35394+(0.09027-0.046614))+0-0-0</f>
        <v>390.19759600000003</v>
      </c>
      <c r="L227" s="3">
        <f>347+(88.6-47.7)+(0.17697+(0.045186-0.024327))+0-0-0</f>
        <v>388.09782899999999</v>
      </c>
      <c r="M227" s="3">
        <f>333+(105.7-37.5)+(0.50949+(0.161721-0.057375))+0-0-0</f>
        <v>401.81383599999998</v>
      </c>
      <c r="N227" s="3">
        <f>325+(112.7-39.5)+(0+(0-0))+0-0-0</f>
        <v>398.2</v>
      </c>
      <c r="O227" s="3">
        <f>364+(120-45.9)+(0+(0-0))+0-0-0</f>
        <v>438.1</v>
      </c>
      <c r="P227" s="3">
        <f>420+(89.2-68)+(0+(0-0))+0-0-0</f>
        <v>441.2</v>
      </c>
      <c r="Q227" s="3">
        <f>419+(92-64.8)+(0+(0-0))+0-0-0</f>
        <v>446.2</v>
      </c>
      <c r="R227" s="3">
        <f>377+(123.9-49.2)+(-0.38454+(-0.126378--0.050184))+0-0-0</f>
        <v>451.23926599999999</v>
      </c>
      <c r="S227" s="3">
        <f>348+(140.3-40)+(-0.17748+(-0.071553--0.0204))+0-0-0</f>
        <v>448.07136700000001</v>
      </c>
      <c r="T227" s="3">
        <f>348+(128.7-41.4)+(-0.17748+(-0.065637--0.021114))+0-0-0</f>
        <v>435.07799699999998</v>
      </c>
      <c r="U227" s="3">
        <f>354+(118-40.8)+(-0.54162+(-0.18054--0.062424))+0-0-0</f>
        <v>430.54026399999998</v>
      </c>
      <c r="V227" s="3">
        <f>357+(120.3-32.2)+(-0.18207+(-0.061353--0.016422))+0-0-0</f>
        <v>444.87299900000005</v>
      </c>
      <c r="W227" s="3">
        <f>406+(126.3-34.5)+(0+(0-0))+0-0-0</f>
        <v>497.8</v>
      </c>
      <c r="X227" s="3">
        <f>416+(122.8-37.5)+(-0.84864+(-0.250512--0.0765))+0-0-0</f>
        <v>500.27734800000002</v>
      </c>
      <c r="Y227" s="3">
        <f>418+(124.2-35)+(-0.42636+(-0.126684--0.0357))+0-0-0</f>
        <v>506.68265600000001</v>
      </c>
      <c r="Z227" s="3">
        <f>417+(122.1-36.8)+(0+(0-0))+0-0-0</f>
        <v>502.3</v>
      </c>
      <c r="AA227" s="3">
        <f>416+(118.9-39.6)+(-0.63648+(-0.181917--0.060588))+0-0-0</f>
        <v>494.542191</v>
      </c>
      <c r="AB227" s="3">
        <f>416+(108.6-43.5)+(-0.63648+(-0.166158--0.066555))+0-0-0</f>
        <v>480.36391700000001</v>
      </c>
      <c r="AC227" s="3">
        <f>415+(90.7-47.6)+(-0.63495+(-0.138771--0.072828))+0-0-0</f>
        <v>457.39910700000001</v>
      </c>
      <c r="AD227">
        <v>488.1</v>
      </c>
      <c r="AE227" s="3">
        <f>416+(120.5-48.4)+(0+(0-0))+0-0-0</f>
        <v>488.1</v>
      </c>
    </row>
    <row r="228" spans="1:31" s="2" customFormat="1" x14ac:dyDescent="0.3">
      <c r="A228">
        <v>90</v>
      </c>
      <c r="B228">
        <v>8</v>
      </c>
      <c r="C228">
        <v>12</v>
      </c>
      <c r="D228">
        <v>6</v>
      </c>
      <c r="E228">
        <v>1</v>
      </c>
      <c r="F228" s="3">
        <f>404+(78-50.3)+(0+(0-0))+0-0-0</f>
        <v>431.7</v>
      </c>
      <c r="G228" s="3">
        <f>403+(66.6-55.3)+(-0.41106+(-0.067932--0.056406))+0-0-0</f>
        <v>413.87741399999999</v>
      </c>
      <c r="H228" s="3">
        <f>383+(67.4-51.3)+(-0.97665+(-0.17187--0.130815))+0-0-0</f>
        <v>398.08229500000004</v>
      </c>
      <c r="I228" s="3">
        <f>349+(82.3-41.8)+(0+(0-0))+0-0-0</f>
        <v>389.5</v>
      </c>
      <c r="J228" s="3">
        <f>349+(83.8-41)+(0+(0-0))+0-0-0</f>
        <v>391.8</v>
      </c>
      <c r="K228" s="3">
        <f>349+(93.9-38.8)+(0.17799+(0.047889-0.019788))+0-0-0</f>
        <v>404.30609100000004</v>
      </c>
      <c r="L228" s="3">
        <f>347+(93-38.4)+(-0.53091+(-0.14229--0.058752))+0-0-0</f>
        <v>400.98555200000004</v>
      </c>
      <c r="M228" s="3">
        <f>353+(100.7-37.9)+(-0.18003+(-0.051357--0.019329))+0-0-0</f>
        <v>415.587942</v>
      </c>
      <c r="N228" s="3">
        <f>435+(54.2-57.5)+(0.22185+(0.027642-0.029325))+0-0-0</f>
        <v>431.92016699999999</v>
      </c>
      <c r="O228" s="3">
        <f>445+(58.8-54.3)+(0.22695+(0.029988-0.027693))+0-0-0</f>
        <v>449.72924499999999</v>
      </c>
      <c r="P228" s="3">
        <f>445+(63.7-50)+(0.22695+(0.032487-0.0255))+0-0-0</f>
        <v>458.93393700000001</v>
      </c>
      <c r="Q228" s="3">
        <f>445+(68.1-50.2)+(0+(0-0))+0-0-0</f>
        <v>462.9</v>
      </c>
      <c r="R228" s="3">
        <f>442+(81.3-50)+(-0.22542+(-0.041463--0.0255))+0-0-0</f>
        <v>473.05861700000003</v>
      </c>
      <c r="S228" s="3">
        <f>441+(81.9-51)+(-0.67473+(-0.125307--0.07803))+0-0-0</f>
        <v>471.17799299999996</v>
      </c>
      <c r="T228" s="3">
        <f>443+(72.3-53.5)+(0.45186+(0.073746-0.05457))+0-0-0</f>
        <v>462.27103600000004</v>
      </c>
      <c r="U228" s="3">
        <f>442+(62.9-55.6)+(-0.45084+(-0.064158--0.056712))+0-0-0</f>
        <v>448.84171400000002</v>
      </c>
      <c r="V228" s="3">
        <f>454+(63.4-58)+(0+(0-0))+0-0-0</f>
        <v>459.4</v>
      </c>
      <c r="W228" s="3">
        <f>462+(96.9-51.4)+(0.47124+(0.098838-0.052428))+0-0-0</f>
        <v>508.01765</v>
      </c>
      <c r="X228" s="3">
        <f>464+(111.2-48.6)+(0+(0-0))+0-0-0</f>
        <v>526.6</v>
      </c>
      <c r="Y228" s="3">
        <f>460+(114.7-46.3)+(-1.4076+(-0.350982--0.141678))+0-0-0</f>
        <v>526.783096</v>
      </c>
      <c r="Z228" s="3">
        <f>462+(107.1-46)+(-0.47124+(-0.109242--0.04692))+0-0-0</f>
        <v>522.56643800000006</v>
      </c>
      <c r="AA228" s="3">
        <f>462+(103.5-48.2)+(-0.70686+(-0.158355--0.073746))+0-0-0</f>
        <v>516.50853099999995</v>
      </c>
      <c r="AB228" s="3">
        <f>460+(93.1-50.4)+(-0.7038+(-0.142443--0.077112))+0-0-0</f>
        <v>501.93086899999997</v>
      </c>
      <c r="AC228" s="3">
        <f>462+(72-54.9)+(-1.1781+(-0.1836--0.139995))+0-0-0</f>
        <v>477.87829500000004</v>
      </c>
      <c r="AD228">
        <v>520.5</v>
      </c>
      <c r="AE228" s="3">
        <f>463+(108.2-50.7)+(0+(0-0))+0-0-0</f>
        <v>520.5</v>
      </c>
    </row>
    <row r="229" spans="1:31" s="2" customFormat="1" x14ac:dyDescent="0.3">
      <c r="A229">
        <v>90</v>
      </c>
      <c r="B229">
        <v>8</v>
      </c>
      <c r="C229">
        <v>13</v>
      </c>
      <c r="D229">
        <v>7</v>
      </c>
      <c r="E229">
        <v>1</v>
      </c>
      <c r="F229" s="3">
        <f>452+(55.3-66.9)+(0+(0-0))+0-0-0</f>
        <v>440.4</v>
      </c>
      <c r="G229" s="3">
        <f>434+(66.5-66.7)+(-0.22134+(-0.033915--0.034017))+0-0-0</f>
        <v>433.57876199999998</v>
      </c>
      <c r="H229" s="3">
        <f>427+(62.2-73.3)+(0+(0-0))+0-0-0</f>
        <v>415.9</v>
      </c>
      <c r="I229" s="3">
        <f>427+(55.5-84)+(0+(0-0))+0-0-0</f>
        <v>398.5</v>
      </c>
      <c r="J229" s="3">
        <f>427+(47.5-75.8)+(0.21777+(0.024225-0.038658))+0-0-0</f>
        <v>398.90333699999996</v>
      </c>
      <c r="K229" s="3">
        <f>426+(49.6-76.7)+(-0.43452+(-0.050592--0.078234))+0-0-0</f>
        <v>398.49312199999997</v>
      </c>
      <c r="L229" s="3">
        <f>422+(51.9-82)+(-0.64566+(-0.079407--0.12546))+0-0-0</f>
        <v>391.30039299999999</v>
      </c>
      <c r="M229" s="3">
        <f>370+(81.2-47.6)+(-0.1887+(-0.041412--0.024276))+0-0-0</f>
        <v>403.39416400000005</v>
      </c>
      <c r="N229" s="3">
        <f>379+(82.4-40.5)+(0.19329+(0.042024-0.020655))+0-0-0</f>
        <v>421.11465899999996</v>
      </c>
      <c r="O229" s="3">
        <f>399+(78.4-44.2)+(0+(0-0))+0-0-0</f>
        <v>433.2</v>
      </c>
      <c r="P229" s="3">
        <f>443+(65-57)+(-0.45186+(-0.0663--0.05814))+0-0-0</f>
        <v>450.53998000000001</v>
      </c>
      <c r="Q229" s="3">
        <f>443+(64.3-57.4)+(-0.67779+(-0.098379--0.087822))+0-0-0</f>
        <v>449.21165299999996</v>
      </c>
      <c r="R229" s="3">
        <f>445+(63.2-46.2)+(-0.68085+(-0.096696--0.070686))+0-0-0</f>
        <v>461.29313999999999</v>
      </c>
      <c r="S229" s="3">
        <f>445+(59.6-44)+(-0.68085+(-0.091188--0.06732))+0-0-0</f>
        <v>459.89528200000001</v>
      </c>
      <c r="T229" s="3">
        <f>447+(63.7-44)+(-0.45594+(-0.064974--0.04488))+0-0-0</f>
        <v>466.22396599999996</v>
      </c>
      <c r="U229" s="3">
        <f>446+(57.6-42)+(-0.22746+(-0.029376--0.02142))+0-0-0</f>
        <v>461.36458400000004</v>
      </c>
      <c r="V229" s="3">
        <f>454+(57.5-46)+(0.69462+(0.087975-0.07038))+0-0-0</f>
        <v>466.21221500000001</v>
      </c>
      <c r="W229" s="3">
        <f>463+(96.9-41)+(0.70839+(0.148257-0.06273))+0-0-0</f>
        <v>519.69391699999994</v>
      </c>
      <c r="X229" s="3">
        <f>465+(116-47)+(0.23715+(0.05916-0.02397))+0-0-0</f>
        <v>534.27233999999999</v>
      </c>
      <c r="Y229" s="3">
        <f>463+(122.8-44)+(0+(0-0))+0-0-0</f>
        <v>541.79999999999995</v>
      </c>
      <c r="Z229" s="3">
        <f>465+(116.5-42)+(0.4743+(0.11883-0.04284))+0-0-0</f>
        <v>540.05029000000002</v>
      </c>
      <c r="AA229" s="3">
        <f>465+(106.2-43)+(0+(0-0))+0-0-0</f>
        <v>528.20000000000005</v>
      </c>
      <c r="AB229" s="3">
        <f>463+(88.8-49)+(-0.47226+(-0.090576--0.04998))+0-0-0</f>
        <v>502.28714400000001</v>
      </c>
      <c r="AC229" s="3">
        <f>463+(62.2-49)+(-0.70839+(-0.095166--0.07497))+0-0-0</f>
        <v>475.47141399999998</v>
      </c>
      <c r="AD229">
        <v>549.70000000000005</v>
      </c>
      <c r="AE229" s="3">
        <f>464+(117.7-32)+(0+(0-0))+0-0-0</f>
        <v>549.70000000000005</v>
      </c>
    </row>
    <row r="230" spans="1:31" s="2" customFormat="1" x14ac:dyDescent="0.3">
      <c r="A230">
        <v>90</v>
      </c>
      <c r="B230">
        <v>8</v>
      </c>
      <c r="C230">
        <v>14</v>
      </c>
      <c r="D230">
        <v>1</v>
      </c>
      <c r="E230">
        <v>1</v>
      </c>
      <c r="F230" s="3">
        <f>433+(59.7-30)+(0+(0-0))+0-0-0</f>
        <v>462.7</v>
      </c>
      <c r="G230" s="3">
        <f>427+(50.4-28)+(0.43554+(0.051408-0.02856))+0-0-0</f>
        <v>449.85838799999999</v>
      </c>
      <c r="H230" s="3">
        <f>366+(76-26)+(0+(0-0))+0-0-0</f>
        <v>416</v>
      </c>
      <c r="I230" s="3">
        <f>356+(64.8-25)+(-0.36312+(-0.066096--0.0255))+0-0-0</f>
        <v>395.39628400000004</v>
      </c>
      <c r="J230" s="3">
        <f>357+(60.3-25)+(0+(0-0))+0-0-0</f>
        <v>392.3</v>
      </c>
      <c r="K230" s="3">
        <f>381+(55.9-25)+(0.19431+(0.028509-0.01275))+0-0-0</f>
        <v>412.11006899999995</v>
      </c>
      <c r="L230" s="3">
        <f>418+(39.8-38.2)+(-0.42636+(-0.040596--0.038964))+0-0-0</f>
        <v>419.17200800000001</v>
      </c>
      <c r="M230" s="3">
        <f>420+(41.5-34.1)+(0.2142+(0.021165-0.017391))+0-0-0</f>
        <v>427.617974</v>
      </c>
      <c r="N230" s="3">
        <f>434+(48.7-28)+(0.66402+(0.074511-0.04284))+0-0-0</f>
        <v>455.395691</v>
      </c>
      <c r="O230" s="3">
        <f>467+(32.2-34.9)+(-0.23817+(-0.016422--0.017799))+0-0-0</f>
        <v>464.06320700000003</v>
      </c>
      <c r="P230" s="3">
        <f>468+(39-28.3)+(0.71604+(0.05967-0.043299))+0-0-0</f>
        <v>479.432411</v>
      </c>
      <c r="Q230" s="3">
        <f>465+(48.7-27)+(0+(0-0))+0-0-0</f>
        <v>486.7</v>
      </c>
      <c r="R230" s="3">
        <f>466+(50.3-29)+(0.23766+(0.025653-0.01479))+0-0-0</f>
        <v>487.54852299999999</v>
      </c>
      <c r="S230" s="3">
        <f>467+(49.6-30)+(0.47634+(0.050592-0.0306))+0-0-0</f>
        <v>487.09633200000002</v>
      </c>
      <c r="T230" s="3">
        <f>467+(45.4-31.5)+(0.47634+(0.046308-0.03213))+0-0-0</f>
        <v>481.39051799999999</v>
      </c>
      <c r="U230" s="3">
        <f>467+(40.4-37)+(-0.23817+(-0.020604--0.01887))+0-0-0</f>
        <v>470.16009599999995</v>
      </c>
      <c r="V230" s="3">
        <f>469+(40.2-31)+(0+(0-0))+0-0-0</f>
        <v>478.2</v>
      </c>
      <c r="W230" s="3">
        <f>478+(87.6-31)+(0.48756+(0.089352-0.03162))+0-0-0</f>
        <v>535.14529200000004</v>
      </c>
      <c r="X230" s="3">
        <f>491+(97.8-32)+(0+(0-0))+0-0-0</f>
        <v>556.79999999999995</v>
      </c>
      <c r="Y230" s="3">
        <f>480+(113.6-40.2)+(0+(0-0))+0-0-0</f>
        <v>553.4</v>
      </c>
      <c r="Z230" s="3">
        <f>470+(110.5-40.2)+(-0.7191+(-0.169065--0.061506))+0-0-0</f>
        <v>539.473341</v>
      </c>
      <c r="AA230" s="3">
        <f>470+(99.5-38.5)+(-0.7191+(-0.152235--0.058905))+0-0-0</f>
        <v>530.18757000000005</v>
      </c>
      <c r="AB230" s="3">
        <f>468+(80.8-42.3)+(-0.95472+(-0.164832--0.086292))+0-0-0</f>
        <v>505.46674000000002</v>
      </c>
      <c r="AC230" s="3">
        <f>468+(55.2-48.5)+(-1.1934+(-0.14076--0.123675))+0-0-0</f>
        <v>473.48951499999998</v>
      </c>
      <c r="AD230">
        <v>550.9</v>
      </c>
      <c r="AE230" s="3">
        <f>489+(93.9-32)+(0+(0-0))+0-0-0</f>
        <v>550.9</v>
      </c>
    </row>
    <row r="231" spans="1:31" s="2" customFormat="1" x14ac:dyDescent="0.3">
      <c r="A231">
        <v>90</v>
      </c>
      <c r="B231">
        <v>8</v>
      </c>
      <c r="C231">
        <v>15</v>
      </c>
      <c r="D231">
        <v>2</v>
      </c>
      <c r="E231">
        <v>1</v>
      </c>
      <c r="F231" s="3">
        <f>461+(33.1-57.5)+(-0.47022+(-0.033762--0.05865))+0-0-0</f>
        <v>436.15466800000002</v>
      </c>
      <c r="G231" s="3">
        <f>414+(58.3-53.6)+(-1.0557+(-0.148665--0.13668))+0-0-0</f>
        <v>417.63231500000001</v>
      </c>
      <c r="H231" s="3">
        <f>416+(47.2-55)+(0.21216+(0.024072-0.02805))+0-0-0</f>
        <v>408.40818200000001</v>
      </c>
      <c r="I231" s="3">
        <f>414+(45-64)+(-0.63342+(-0.06885--0.09792))+0-0-0</f>
        <v>394.39564999999999</v>
      </c>
      <c r="J231" s="3">
        <f>418+(47.5-68.5)+(0.63954+(0.072675-0.104805))+0-0-0</f>
        <v>397.60741000000002</v>
      </c>
      <c r="K231" s="3">
        <f>414+(47.1-65.9)+(-0.84456+(-0.096084--0.134436))+0-0-0</f>
        <v>394.39379199999996</v>
      </c>
      <c r="L231" s="3">
        <f>416+(46.7-67.2)+(-0.84864+(-0.095268--0.137088))+0-0-0</f>
        <v>394.69317999999998</v>
      </c>
      <c r="M231" s="3">
        <f>412+(66-58.9)+(-0.84048+(-0.13464--0.120156))+0-0-0</f>
        <v>418.24503600000003</v>
      </c>
      <c r="N231" s="3">
        <f>418+(77.2-55.6)+(-0.85272+(-0.157488--0.113424))+0-0-0</f>
        <v>438.703216</v>
      </c>
      <c r="O231" s="3">
        <f>445+(65.4-53.6)+(-0.9078+(-0.133416--0.109344))+0-0-0</f>
        <v>455.86812800000001</v>
      </c>
      <c r="P231" s="3">
        <f>462+(58.7-53.6)+(0+(0-0))+0-0-0</f>
        <v>467.1</v>
      </c>
      <c r="Q231" s="3">
        <f>460+(64.1-52.1)+(-0.4692+(-0.065382--0.053142))+0-0-0</f>
        <v>471.51855999999998</v>
      </c>
      <c r="R231" s="3">
        <f>452+(74.9-50.4)+(-0.46104+(-0.076398--0.051408))+0-0-0</f>
        <v>476.01396999999997</v>
      </c>
      <c r="S231" s="3">
        <f>452+(71.2-52.1)+(-0.46104+(-0.072624--0.053142))+0-0-0</f>
        <v>470.61947800000002</v>
      </c>
      <c r="T231" s="3">
        <f>454+(61.3-53.6)+(-0.23154+(-0.031263--0.027336))+0-0-0</f>
        <v>461.46453299999996</v>
      </c>
      <c r="U231" s="3">
        <f>433+(71-45)+(-0.22083+(-0.03621--0.02295))+0-0-0</f>
        <v>458.76591000000002</v>
      </c>
      <c r="V231" s="3">
        <f>411+(90-37.1)+(0.41922+(0.0918-0.037842))+0-0-0</f>
        <v>464.373178</v>
      </c>
      <c r="W231" s="3">
        <f>469+(102.2-44.8)+(-0.47838+(-0.104244--0.045696))+0-0-0</f>
        <v>525.86307199999999</v>
      </c>
      <c r="X231" s="3">
        <f>469+(119-40.4)+(-0.71757+(-0.18207--0.061812))+0-0-0</f>
        <v>546.76217200000008</v>
      </c>
      <c r="Y231" s="3">
        <f>470+(121.4-37.3)+(-0.4794+(-0.123828--0.038046))+0-0-0</f>
        <v>553.53481799999997</v>
      </c>
      <c r="Z231" s="3">
        <f>458+(126.7-36.1)+(-0.23358+(-0.064617--0.018411))+0-0-0</f>
        <v>548.32021400000008</v>
      </c>
      <c r="AA231" s="3">
        <f>418+(158.6-33.7)+(-0.63954+(-0.242658--0.051561))+0-0-0</f>
        <v>542.06936299999995</v>
      </c>
      <c r="AB231" s="3">
        <f>418+(145.4-37.2)+(-0.42636+(-0.148308--0.037944))+0-0-0</f>
        <v>525.663276</v>
      </c>
      <c r="AC231" s="3">
        <f>418+(124-42.4)+(-0.85272+(-0.25296--0.086496))+0-0-0</f>
        <v>498.58081600000003</v>
      </c>
      <c r="AD231">
        <v>530.59999999999991</v>
      </c>
      <c r="AE231" s="3">
        <f>468+(108.3-45.7)+(0+(0-0))+0-0-0</f>
        <v>530.6</v>
      </c>
    </row>
    <row r="232" spans="1:31" s="2" customFormat="1" x14ac:dyDescent="0.3">
      <c r="A232">
        <v>90</v>
      </c>
      <c r="B232">
        <v>8</v>
      </c>
      <c r="C232">
        <v>16</v>
      </c>
      <c r="D232">
        <v>3</v>
      </c>
      <c r="E232">
        <v>3</v>
      </c>
      <c r="F232" s="3">
        <f>415+(95.8-47)+(-0.21165+(-0.048858--0.02397))+0-0-0</f>
        <v>463.56346200000002</v>
      </c>
      <c r="G232" s="3">
        <f>412+(76.6-49.2)+(0.21012+(0.039066-0.025092))+0-0-0</f>
        <v>439.62409399999996</v>
      </c>
      <c r="H232" s="3">
        <f>416+(56.8-52.7)+(0+(0-0))+0-0-0</f>
        <v>420.1</v>
      </c>
      <c r="I232" s="3">
        <f>416+(47.4-55.2)+(-0.42432+(-0.048348--0.056304))+0-0-0</f>
        <v>407.783636</v>
      </c>
      <c r="J232" s="3">
        <f>416+(48.9-57.5)+(0.21216+(0.024939-0.029325))+0-0-0</f>
        <v>407.60777399999995</v>
      </c>
      <c r="K232" s="3">
        <f>416+(66.9-57.7)+(-0.42432+(-0.068238--0.058854))+0-0-0</f>
        <v>424.76629600000001</v>
      </c>
      <c r="L232" s="3">
        <f>412+(78.4-54.8)+(0.21012+(0.039984-0.027948))+0-0-0</f>
        <v>435.82215600000001</v>
      </c>
      <c r="M232" s="3">
        <f>415+(64.5-60.4)+(-0.21165+(-0.032895--0.030804))+0-0-0</f>
        <v>418.886259</v>
      </c>
      <c r="N232" s="3">
        <f>416+(54.2-60.6)+(0.42432+(0.055284-0.061812))+0-0-0</f>
        <v>410.01779200000004</v>
      </c>
      <c r="O232" s="3">
        <f>415+(51.3-62.2)+(-0.21165+(-0.026163--0.031722))+0-0-0</f>
        <v>403.89390900000001</v>
      </c>
      <c r="P232" s="3">
        <f>413+(45.5-62.3)+(-1.05315+(-0.116025--0.158865))+0-0-0</f>
        <v>395.18968999999998</v>
      </c>
      <c r="Q232" s="3">
        <f>414+(44.8-63.9)+(-0.42228+(-0.045696--0.065178))+0-0-0</f>
        <v>394.49720199999996</v>
      </c>
      <c r="R232" s="3">
        <f>394+(62.6-53.5)+(-0.80376+(-0.127704--0.10914))+0-0-0</f>
        <v>402.27767600000004</v>
      </c>
      <c r="S232" s="3">
        <f>339+(100.2-33)+(-0.69156+(-0.204408--0.06732))+0-0-0</f>
        <v>405.371352</v>
      </c>
      <c r="T232" s="3">
        <f>340+(90.6-33.8)+(-0.1734+(-0.046206--0.017238))+0-0-0</f>
        <v>396.59763200000003</v>
      </c>
      <c r="U232" s="3">
        <f>340+(86.4-34.9)+(0+(0-0))+0-0-0</f>
        <v>391.5</v>
      </c>
      <c r="V232" s="3">
        <f>397+(70-50.8)+(-0.60741+(-0.1071--0.077724))+0-0-0</f>
        <v>415.56321400000002</v>
      </c>
      <c r="W232" s="3">
        <f>420+(100.4-46.8)+(-0.2142+(-0.051204--0.023868))+0-0-0</f>
        <v>473.35846400000003</v>
      </c>
      <c r="X232" s="3">
        <f>417+(116.5-40.8)+(-0.85068+(-0.23766--0.083232))+0-0-0</f>
        <v>491.69489199999998</v>
      </c>
      <c r="Y232" s="3">
        <f>418+(123.5-38.2)+(-0.63954+(-0.188955--0.058446))+0-0-0</f>
        <v>502.52995100000004</v>
      </c>
      <c r="Z232" s="3">
        <f>418+(126.2-35.6)+(-0.63954+(-0.193086--0.054468))+0-0-0</f>
        <v>507.821842</v>
      </c>
      <c r="AA232" s="3">
        <f>418+(126.8-34.4)+(-1.0659+(-0.32334--0.08772))+0-0-0</f>
        <v>509.09848</v>
      </c>
      <c r="AB232" s="3">
        <f>408+(118.1-33.7)+(-0.41616+(-0.120462--0.034374))+0-0-0</f>
        <v>491.89775199999997</v>
      </c>
      <c r="AC232" s="3">
        <f>347+(151.4-30)+(-0.88485+(-0.38607--0.0765))+0-0-0</f>
        <v>467.20558</v>
      </c>
      <c r="AD232">
        <v>484.5</v>
      </c>
      <c r="AE232" s="3">
        <f>415+(111.5-42)+(0+(0-0))+0-0-0</f>
        <v>484.5</v>
      </c>
    </row>
    <row r="233" spans="1:31" s="2" customFormat="1" x14ac:dyDescent="0.3">
      <c r="A233">
        <v>90</v>
      </c>
      <c r="B233">
        <v>8</v>
      </c>
      <c r="C233">
        <v>17</v>
      </c>
      <c r="D233">
        <v>4</v>
      </c>
      <c r="E233">
        <v>1</v>
      </c>
      <c r="F233" s="3">
        <f>350+(127-32)+(-0.357+(-0.12954--0.03264))+0-0-0</f>
        <v>444.54610000000002</v>
      </c>
      <c r="G233" s="3">
        <f>350+(105.5-31)+(0+(0-0))+0-0-0</f>
        <v>424.5</v>
      </c>
      <c r="H233" s="3">
        <f>350+(88.9-31)+(-0.357+(-0.090678--0.03162))+0-0-0</f>
        <v>407.48394199999996</v>
      </c>
      <c r="I233" s="3">
        <f>349+(81.5-34.4)+(-0.88995+(-0.207825--0.08772))+0-0-0</f>
        <v>395.089945</v>
      </c>
      <c r="J233" s="3">
        <f>351+(77.7-37.2)+(0.17901+(0.039627-0.018972))+0-0-0</f>
        <v>391.69966499999998</v>
      </c>
      <c r="K233" s="3">
        <f>351+(82.7-38.8)+(0+(0-0))+0-0-0</f>
        <v>394.9</v>
      </c>
      <c r="L233" s="3">
        <f>351+(84.5-39.2)+(0.35802+(0.08619-0.039984))+0-0-0</f>
        <v>396.70422600000001</v>
      </c>
      <c r="M233" s="3">
        <f>351+(96.9-37.3)+(0.35802+(0.098838-0.038046))+0-0-0</f>
        <v>411.01881200000003</v>
      </c>
      <c r="N233" s="3">
        <f>388+(73.5-46.9)+(0+(0-0))+0-0-0</f>
        <v>414.6</v>
      </c>
      <c r="O233" s="3">
        <f>414+(61.2-55.8)+(0.42228+(0.062424-0.056916))+0-0-0</f>
        <v>419.827788</v>
      </c>
      <c r="P233" s="3">
        <f>414+(69.2-54.3)+(0.21114+(0.035292-0.027693))+0-0-0</f>
        <v>429.11873900000001</v>
      </c>
      <c r="Q233" s="3">
        <f>414+(76.4-52.3)+(0.21114+(0.038964-0.026673))+0-0-0</f>
        <v>438.32343100000003</v>
      </c>
      <c r="R233" s="3">
        <f>413+(89.7-46.5)+(-0.84252+(-0.182988--0.09486))+0-0-0</f>
        <v>455.26935199999997</v>
      </c>
      <c r="S233" s="3">
        <f>414+(84.9-44.4)+(-0.84456+(-0.173196--0.090576))+0-0-0</f>
        <v>453.57281999999998</v>
      </c>
      <c r="T233" s="3">
        <f>414+(72.6-47.3)+(-0.63342+(-0.111078--0.072369))+0-0-0</f>
        <v>438.62787100000003</v>
      </c>
      <c r="U233" s="3">
        <f>415+(67.2-49.7)+(-0.21165+(-0.034272--0.025347))+0-0-0</f>
        <v>432.279425</v>
      </c>
      <c r="V233" s="3">
        <f>420+(82.6-52.3)+(0.2142+(0.042126-0.026673))+0-0-0</f>
        <v>450.529653</v>
      </c>
      <c r="W233" s="3">
        <f>418+(122.8-40.6)+(-0.42636+(-0.125256--0.041412))+0-0-0</f>
        <v>499.689796</v>
      </c>
      <c r="X233" s="3">
        <f>417+(124.8-35.6)+(-1.27602+(-0.381888--0.108936))+12.1-0-0</f>
        <v>516.75102800000002</v>
      </c>
      <c r="Y233" s="3">
        <f>418+(146-32)+(-0.63954+(-0.22338--0.04896))+0-0-0</f>
        <v>531.18604000000005</v>
      </c>
      <c r="Z233" s="3">
        <f>385+(178.7-32)+(-0.19635+(-0.091137--0.01632))+0-0-0</f>
        <v>531.42883300000005</v>
      </c>
      <c r="AA233" s="3">
        <f>353+(210.3-31)+(-0.90015+(-0.536265--0.07905))+0-0-0</f>
        <v>530.942635</v>
      </c>
      <c r="AB233" s="3">
        <f>354+(192.8-31)+(-0.54162+(-0.294984--0.04743))+0-0-0</f>
        <v>515.01082599999995</v>
      </c>
      <c r="AC233" s="3">
        <f>354+(172.7-31)+(-0.36108+(-0.176154--0.03162))+0-0-0</f>
        <v>495.19438600000001</v>
      </c>
      <c r="AD233">
        <v>507.99999999999994</v>
      </c>
      <c r="AE233" s="3">
        <f>420+(129.3-41.3)+(0+(0-0))+0-0-0</f>
        <v>508</v>
      </c>
    </row>
    <row r="234" spans="1:31" s="2" customFormat="1" x14ac:dyDescent="0.3">
      <c r="A234">
        <v>90</v>
      </c>
      <c r="B234">
        <v>8</v>
      </c>
      <c r="C234">
        <v>18</v>
      </c>
      <c r="D234">
        <v>5</v>
      </c>
      <c r="E234">
        <v>1</v>
      </c>
      <c r="F234" s="3">
        <f>351+(146.6-32)+(-0.17901+(-0.074766--0.01632))+0-0-0</f>
        <v>465.36254400000001</v>
      </c>
      <c r="G234" s="3">
        <f>349+(129.4-32)+(-0.88995+(-0.32997--0.0816))+0-0-0</f>
        <v>445.26167999999996</v>
      </c>
      <c r="H234" s="3">
        <f>351+(111.3-31)+(-0.17901+(-0.056763--0.01581))+0-0-0</f>
        <v>431.080037</v>
      </c>
      <c r="I234" s="3">
        <f>350+(96-31)+(-0.714+(-0.19584--0.06324))+0-0-0</f>
        <v>414.15339999999998</v>
      </c>
      <c r="J234" s="3">
        <f>351+(82.2-33.8)+(-0.17901+(-0.041922--0.017238))+0-0-0</f>
        <v>399.19630599999999</v>
      </c>
      <c r="K234" s="3">
        <f>350+(85-35.2)+(-0.1785+(-0.04335--0.017952))+0-0-0</f>
        <v>399.59610200000003</v>
      </c>
      <c r="L234" s="3">
        <f>351+(89-38.1)+(-0.17901+(-0.04539--0.019431))+0-0-0</f>
        <v>401.69503099999997</v>
      </c>
      <c r="M234" s="3">
        <f>351+(105.7-35.2)+(0+(0-0))+0-0-0</f>
        <v>421.5</v>
      </c>
      <c r="N234" s="3">
        <f>370+(110-40.1)+(-0.1887+(-0.0561--0.020451))+0-0-0</f>
        <v>439.67565099999996</v>
      </c>
      <c r="O234" s="3">
        <f>423+(86-57.6)+(-0.43146+(-0.08772--0.058752))+0-0-0</f>
        <v>450.939572</v>
      </c>
      <c r="P234" s="3">
        <f>425+(88.8-55.6)+(0+(0-0))+0-0-0</f>
        <v>458.2</v>
      </c>
      <c r="Q234" s="3">
        <f>424+(92.3-55)+(-0.21624+(-0.047073--0.02805))+0-0-0</f>
        <v>461.06473700000004</v>
      </c>
      <c r="R234" s="3">
        <f>423+(98.3-56)+(-0.21573+(-0.050133--0.02856))+0-0-0</f>
        <v>465.06269700000001</v>
      </c>
      <c r="S234" s="3">
        <f>420+(99.2-55)+(-0.6426+(-0.151776--0.08415))+0-0-0</f>
        <v>463.48977400000001</v>
      </c>
      <c r="T234" s="3">
        <f>423+(86-55.2)+(0.21573+(0.04386-0.028152))+0-0-0</f>
        <v>454.03143800000004</v>
      </c>
      <c r="U234" s="3">
        <f>422+(80.5-56.7)+(-0.43044+(-0.08211--0.057834))+0-0-0</f>
        <v>445.34528399999999</v>
      </c>
      <c r="V234" s="3">
        <f>423+(92.9-56)+(0+(0-0))+0-0-0</f>
        <v>459.9</v>
      </c>
      <c r="W234" s="3">
        <f>425+(135.5-42.7)+(-0.4335+(-0.13821--0.043554))+0-0-0</f>
        <v>517.27184399999999</v>
      </c>
      <c r="X234" s="3">
        <f>424+(146.7-37.8)+(-0.64872+(-0.224451--0.057834))+0-0-0</f>
        <v>532.08466299999998</v>
      </c>
      <c r="Y234" s="3">
        <f>425+(149.3-33)+(-0.867+(-0.304572--0.06732))+0-0-0</f>
        <v>540.19574799999998</v>
      </c>
      <c r="Z234" s="3">
        <f>425+(141.7-33)+(-0.21675+(-0.072267--0.01683))+0-0-0</f>
        <v>533.42781300000001</v>
      </c>
      <c r="AA234" s="3">
        <f>425+(139-33.3)+(-0.65025+(-0.21267--0.050949))+0-0-0</f>
        <v>529.88802900000007</v>
      </c>
      <c r="AB234" s="3">
        <f>425+(127.6-37.4)+(0+(0-0))+0-0-0</f>
        <v>515.20000000000005</v>
      </c>
      <c r="AC234" s="3">
        <f>423+(106.9-43.6)+(-1.07865+(-0.272595--0.11118))+0-0-0</f>
        <v>485.059935</v>
      </c>
      <c r="AD234">
        <v>517</v>
      </c>
      <c r="AE234" s="3">
        <f>425+(136.1-44.1)+(0+(0-0))+0-0-0</f>
        <v>517</v>
      </c>
    </row>
    <row r="235" spans="1:31" s="2" customFormat="1" x14ac:dyDescent="0.3">
      <c r="A235">
        <v>90</v>
      </c>
      <c r="B235">
        <v>8</v>
      </c>
      <c r="C235">
        <v>19</v>
      </c>
      <c r="D235">
        <v>6</v>
      </c>
      <c r="E235">
        <v>1</v>
      </c>
      <c r="F235" s="3">
        <f>385+(94.1-43.3)+(0+(0-0))+0-0-0</f>
        <v>435.8</v>
      </c>
      <c r="G235" s="3">
        <f>372+(101.8-42.8)+(0+(0-0))+0-0-0</f>
        <v>431</v>
      </c>
      <c r="H235" s="3">
        <f>367+(82-50.2)+(-0.18717+(-0.04182--0.025602))+0-0-0</f>
        <v>398.59661199999999</v>
      </c>
      <c r="I235" s="3">
        <f>366+(70.3-52.4)+(0+(0-0))+0-0-0</f>
        <v>383.9</v>
      </c>
      <c r="J235" s="3">
        <f>367+(68.8-53.4)+(0.18717+(0.035088-0.027234))+0-0-0</f>
        <v>382.59502399999997</v>
      </c>
      <c r="K235" s="3">
        <f>369+(80.2-51.6)+(0.94095+(0.20451-0.13158))+0-0-0</f>
        <v>398.61387999999999</v>
      </c>
      <c r="L235" s="3">
        <f>365+(84.1-50.9)+(-0.55845+(-0.128673--0.077877))+0-0-0</f>
        <v>397.590754</v>
      </c>
      <c r="M235" s="3">
        <f>367+(96.9-55.8)+(0.56151+(0.148257-0.085374))+0-0-0</f>
        <v>408.72439300000002</v>
      </c>
      <c r="N235" s="3">
        <f>367+(106.7-57.5)+(0.74868+(0.217668-0.1173))+0-0-0</f>
        <v>417.04904799999997</v>
      </c>
      <c r="O235" s="3">
        <f>366+(114.8-57.3)+(-0.18666+(-0.058548--0.029223))+0-0-0</f>
        <v>423.28401500000001</v>
      </c>
      <c r="P235" s="3">
        <f>367+(125.8-56.3)+(-0.18717+(-0.064158--0.028713))+0-0-0</f>
        <v>436.27738499999998</v>
      </c>
      <c r="Q235" s="3">
        <f>367+(122.5-56.3)+(0+(0-0))+0-0-0</f>
        <v>433.2</v>
      </c>
      <c r="R235" s="3">
        <f>363+(117.6-56)+(-0.92565+(-0.29988--0.1428))+0-0-0</f>
        <v>423.51727</v>
      </c>
      <c r="S235" s="3">
        <f>364+(116.2-54)+(-0.55692+(-0.177786--0.08262))+0-0-0</f>
        <v>425.54791399999999</v>
      </c>
      <c r="T235" s="3">
        <f>366+(103.2-57)+(0.55998+(0.157896-0.08721))+0-0-0</f>
        <v>412.83066600000001</v>
      </c>
      <c r="U235" s="3">
        <f>364+(102.2-57)+(-0.37128+(-0.104244--0.05814))+0-0-0</f>
        <v>408.78261599999996</v>
      </c>
      <c r="V235" s="3">
        <f>409+(92.8-62)+(-0.20859+(-0.047328--0.03162))+0-0-0</f>
        <v>439.57570200000004</v>
      </c>
      <c r="W235" s="3">
        <f>450+(96.1-55)+(0.459+(0.098022-0.0561))+0-0-0</f>
        <v>491.60092200000003</v>
      </c>
      <c r="X235" s="3">
        <f>449+(91.2-60.6)+(-0.22899+(-0.046512--0.030906))+0-0-0</f>
        <v>479.35540400000002</v>
      </c>
      <c r="Y235" s="3">
        <f>431+(96.6-54.8)+(0+(0-0))+0-0-0</f>
        <v>472.8</v>
      </c>
      <c r="Z235" s="3">
        <f>408+(96.2-47.6)+(-0.83232+(-0.196248--0.097104))+0-0-0</f>
        <v>455.66853600000002</v>
      </c>
      <c r="AA235" s="3">
        <f>383+(109.9-39.4)+(-0.39066+(-0.112098--0.040188))+0-0-0</f>
        <v>453.03742999999997</v>
      </c>
      <c r="AB235" s="3">
        <f>376+(99.3-39.4)+(-0.57528+(-0.151929--0.060282))+0-0-0</f>
        <v>435.23307299999999</v>
      </c>
      <c r="AC235" s="3">
        <f>360+(96.4-41.4)+(-0.1836+(-0.049164--0.021114))+0-0-0</f>
        <v>414.78834999999998</v>
      </c>
      <c r="AD235">
        <v>475</v>
      </c>
      <c r="AE235" s="3">
        <f>448+(91-64)+(0+(0-0))+0-0-0</f>
        <v>475</v>
      </c>
    </row>
    <row r="236" spans="1:31" s="2" customFormat="1" x14ac:dyDescent="0.3">
      <c r="A236">
        <v>90</v>
      </c>
      <c r="B236">
        <v>8</v>
      </c>
      <c r="C236">
        <v>20</v>
      </c>
      <c r="D236">
        <v>7</v>
      </c>
      <c r="E236">
        <v>1</v>
      </c>
      <c r="F236" s="3">
        <f>339+(96.2-42.8)+(-0.34578+(-0.098124--0.043656))+0-0-0</f>
        <v>391.999752</v>
      </c>
      <c r="G236" s="3">
        <f>339+(85.1-44)+(0+(0-0))+0-0-0</f>
        <v>380.1</v>
      </c>
      <c r="H236" s="3">
        <f>342+(74.9-46)+(0.69768+(0.152796-0.09384))+0-0-0</f>
        <v>371.65663599999999</v>
      </c>
      <c r="I236" s="3">
        <f>342+(72.2-47)+(0.69768+(0.147288-0.09588))+0-0-0</f>
        <v>367.94908799999996</v>
      </c>
      <c r="J236" s="3">
        <f>341+(74.6-45.9)+(0+(0-0))+0-0-0</f>
        <v>369.7</v>
      </c>
      <c r="K236" s="3">
        <f>342+(81.7-47)+(0.52326+(0.125001-0.07191))+0-0-0</f>
        <v>377.27635099999998</v>
      </c>
      <c r="L236" s="3">
        <f>339+(86.3-50.3)+(0+(0-0))+0-0-0</f>
        <v>375</v>
      </c>
      <c r="M236" s="3">
        <f>339+(100.9-51.1)+(0.17289+(0.051459-0.026061))+0-0-0</f>
        <v>388.998288</v>
      </c>
      <c r="N236" s="3">
        <f>354+(108.7-51.6)+(0.18054+(0.055437-0.026316))+0-0-0</f>
        <v>411.30966100000001</v>
      </c>
      <c r="O236" s="3">
        <f>364+(121.2-52.3)+(0.55692+(0.185436-0.080019))+0-0-0</f>
        <v>433.56233699999996</v>
      </c>
      <c r="P236" s="3">
        <f>362+(130.5-49.8)+(-0.36924+(-0.13311--0.050796))+0-0-0</f>
        <v>442.248446</v>
      </c>
      <c r="Q236" s="3">
        <f>364+(134.4-48.9)+(0.37128+(0.137088-0.049878))+0-0-0</f>
        <v>449.95848999999998</v>
      </c>
      <c r="R236" s="3">
        <f>357+(135.8-47.4)+(-0.72828+(-0.277032--0.096696))+0-0-0</f>
        <v>444.49138399999998</v>
      </c>
      <c r="S236" s="3">
        <f>358+(129.1-48.4)+(0+(0-0))+0-0-0</f>
        <v>438.7</v>
      </c>
      <c r="T236" s="3">
        <f>303+(162.4-32)+(-0.61812+(-0.331296--0.06528))+0-0-0</f>
        <v>432.51586399999997</v>
      </c>
      <c r="U236" s="3">
        <f>318+(143.4-36.5)+(-0.16218+(-0.073134--0.018615))+0-0-0</f>
        <v>424.68330099999997</v>
      </c>
      <c r="V236" s="3">
        <f>387+(115-55.4)+(-0.19737+(-0.05865--0.028254))+0-0-0</f>
        <v>446.37223400000005</v>
      </c>
      <c r="W236" s="3">
        <f>391+(152.8-46.5)+(0.19941+(0.077928-0.023715))+0-0-0</f>
        <v>497.55362300000002</v>
      </c>
      <c r="X236" s="3">
        <f>379+(169.5-38.6)+(-0.38658+(-0.17289--0.039372))+0-0-0</f>
        <v>509.37990199999996</v>
      </c>
      <c r="Y236" s="3">
        <f>379+(167.1-36.3)+(-0.19329+(-0.085221--0.018513))+0-0-0</f>
        <v>509.54000200000002</v>
      </c>
      <c r="Z236" s="3">
        <f>377+(161.6-35)+(-0.57681+(-0.247248--0.05355))+0-0-0</f>
        <v>502.82949200000002</v>
      </c>
      <c r="AA236" s="3">
        <f>391+(140.3-42)+(-0.19941+(-0.071553--0.02142))+0-0-0</f>
        <v>489.05045699999999</v>
      </c>
      <c r="AB236" s="3">
        <f>364+(136.1-38.2)+(-0.55692+(-0.208233--0.058446))+0-0-0</f>
        <v>461.19329299999998</v>
      </c>
      <c r="AC236" s="3">
        <f>336+(134.9-34.1)+(-0.34272+(-0.137598--0.034782))+0-0-0</f>
        <v>436.35446400000001</v>
      </c>
      <c r="AD236">
        <v>503.20000000000005</v>
      </c>
      <c r="AE236" s="3">
        <f>392+(157.2-46)+(0+(0-0))+0-0-0</f>
        <v>503.2</v>
      </c>
    </row>
    <row r="237" spans="1:31" s="2" customFormat="1" x14ac:dyDescent="0.3">
      <c r="A237">
        <v>90</v>
      </c>
      <c r="B237">
        <v>8</v>
      </c>
      <c r="C237">
        <v>21</v>
      </c>
      <c r="D237">
        <v>1</v>
      </c>
      <c r="E237">
        <v>1</v>
      </c>
      <c r="F237" s="3">
        <f>290+(148.1-31)+(0.2958+(0.151062-0.03162))+0-0-0</f>
        <v>407.515242</v>
      </c>
      <c r="G237" s="3">
        <f>292+(128.8-31)+(0+(0-0))+0-0-0</f>
        <v>389.8</v>
      </c>
      <c r="H237" s="3">
        <f>293+(108.9-31)+(-0.29886+(-0.111078--0.03162))+0-0-0</f>
        <v>370.521682</v>
      </c>
      <c r="I237" s="3">
        <f>293+(100.1-31)+(-0.44829+(-0.153153--0.04743))+0-0-0</f>
        <v>361.54598700000003</v>
      </c>
      <c r="J237" s="3">
        <f>293+(99.4-30)+(-0.29886+(-0.101388--0.0306))+0-0-0</f>
        <v>362.03035199999999</v>
      </c>
      <c r="K237" s="3">
        <f>293+(119.3-32)+(0.14943+(0.060843-0.01632))+0-0-0</f>
        <v>380.49395300000003</v>
      </c>
      <c r="L237" s="3">
        <f>294+(129.2-33)+(0.14994+(0.065892-0.01683))+0-0-0</f>
        <v>390.399002</v>
      </c>
      <c r="M237" s="3">
        <f>316+(124.2-37.4)+(0+(0-0))+0-0-0</f>
        <v>402.8</v>
      </c>
      <c r="N237" s="3">
        <f>372+(99.1-52.8)+(0.56916+(0.151623-0.080784))+0-0-0</f>
        <v>418.939999</v>
      </c>
      <c r="O237" s="3">
        <f>371+(105.1-51.8)+(0.18921+(0.053601-0.026418))+0-0-0</f>
        <v>424.51639299999999</v>
      </c>
      <c r="P237" s="3">
        <f>369+(114.5-49.8)+(-0.37638+(-0.11679--0.050796))+0-0-0</f>
        <v>433.25762600000002</v>
      </c>
      <c r="Q237" s="3">
        <f>366+(120.2-46.9)+(-0.55998+(-0.183906--0.071757))+0-0-0</f>
        <v>438.62787100000003</v>
      </c>
      <c r="R237" s="3">
        <f>359+(129.8-40.9)+(-0.18309+(-0.066198--0.020859))+0-0-0</f>
        <v>447.67157099999997</v>
      </c>
      <c r="S237" s="3">
        <f>357+(126.9-38.7)+(-0.36414+(-0.129438--0.039474))+0-0-0</f>
        <v>444.74589600000002</v>
      </c>
      <c r="T237" s="3">
        <f>359+(120.5-41.6)+(0+(0-0))+0-0-0</f>
        <v>437.9</v>
      </c>
      <c r="U237" s="3">
        <f>359+(117.4-44.1)+(0.36618+(0.119748-0.044982))+0-0-0</f>
        <v>432.74094600000001</v>
      </c>
      <c r="V237" s="3">
        <f>366+(128.2-45.9)+(0.37332+(0.130764-0.046818))+0-0-0</f>
        <v>448.75726599999996</v>
      </c>
      <c r="W237" s="3">
        <f>372+(163.4-38.6)+(0.37944+(0.166668-0.039372))+0-0-0</f>
        <v>497.306736</v>
      </c>
      <c r="X237" s="3">
        <f>368+(174.3-35.8)+(-0.9384+(-0.444465--0.09129))+0-0-0</f>
        <v>505.20842499999998</v>
      </c>
      <c r="Y237" s="3">
        <f>361+(173.2-31.8)+(-0.36822+(-0.176664--0.032436))+0-0-0</f>
        <v>501.88755199999997</v>
      </c>
      <c r="Z237" s="3">
        <f>354+(166.8-30)+(-1.08324+(-0.510408--0.0918))+0-0-0</f>
        <v>489.29815200000002</v>
      </c>
      <c r="AA237" s="3">
        <f>355+(157.2-31.3)+(-0.3621+(-0.160344--0.031926))+0-0-0</f>
        <v>480.40948199999997</v>
      </c>
      <c r="AB237" s="3">
        <f>326+(163.6-29)+(-0.49878+(-0.250308--0.04437))+0-0-0</f>
        <v>459.89528200000001</v>
      </c>
      <c r="AC237" s="3">
        <f>291+(170.8-29)+(-0.29682+(-0.174216--0.02958))+0-0-0</f>
        <v>432.35854399999999</v>
      </c>
      <c r="AD237">
        <v>498.49999999999994</v>
      </c>
      <c r="AE237" s="3">
        <f>370+(166.8-38.3)+(0+(0-0))+0-0-0</f>
        <v>498.5</v>
      </c>
    </row>
    <row r="238" spans="1:31" s="2" customFormat="1" x14ac:dyDescent="0.3">
      <c r="A238">
        <v>90</v>
      </c>
      <c r="B238">
        <v>8</v>
      </c>
      <c r="C238">
        <v>22</v>
      </c>
      <c r="D238">
        <v>2</v>
      </c>
      <c r="E238">
        <v>1</v>
      </c>
      <c r="F238" s="3">
        <f>299+(134.2-30)+(0+(0-0))+0-0-0</f>
        <v>403.2</v>
      </c>
      <c r="G238" s="3">
        <f>304+(111.1-30)+(-0.31008+(-0.113322--0.0306))+0-0-0</f>
        <v>384.70719800000001</v>
      </c>
      <c r="H238" s="3">
        <f>304+(101-33.7)+(-0.31008+(-0.10302--0.034374))+0-0-0</f>
        <v>370.92127400000004</v>
      </c>
      <c r="I238" s="3">
        <f>309+(90.5-37.8)+(0.31518+(0.09231-0.038556))+0-0-0</f>
        <v>362.06893400000001</v>
      </c>
      <c r="J238" s="3">
        <f>341+(77.7-47.8)+(0.17391+(0.039627-0.024378))+0-0-0</f>
        <v>371.089159</v>
      </c>
      <c r="K238" s="3">
        <f>293+(132.4-31)+(0.29886+(0.135048-0.03162))+0-0-0</f>
        <v>394.80228799999998</v>
      </c>
      <c r="L238" s="3">
        <f>198+(216.5-31)+(0.30294+(0.331245-0.04743))+0-0-0</f>
        <v>384.08675499999998</v>
      </c>
      <c r="M238" s="3">
        <f>230+(216.6-31)+(0.2346+(0.220932-0.03162))+0-0-0</f>
        <v>416.023912</v>
      </c>
      <c r="N238" s="3">
        <f>243+(215.2-32)+(0.12393+(0.109752-0.01632))+0-0-0</f>
        <v>426.41736199999997</v>
      </c>
      <c r="O238" s="3">
        <f>256+(215.2-33)+(0+(0-0))+0-0-0</f>
        <v>438.2</v>
      </c>
      <c r="P238" s="3">
        <f>256+(217.4-33)+(-0.13056+(-0.110874--0.01683))+0-0-0</f>
        <v>440.17539599999998</v>
      </c>
      <c r="Q238" s="3">
        <f>256+(215.3-33)+(-0.39168+(-0.329409--0.05049))+0-0-0</f>
        <v>437.62940100000003</v>
      </c>
      <c r="R238" s="3">
        <f>250+(221.9-33)+(0+(0-0))+0-0-0</f>
        <v>438.9</v>
      </c>
      <c r="S238" s="3">
        <f>250+(223.8-33)+(0.1275+(0.114138-0.01683))+0-0-0</f>
        <v>441.02480800000001</v>
      </c>
      <c r="T238" s="3">
        <f>252+(217.6-33)+(0.25704+(0.221952-0.03366))+0-0-0</f>
        <v>437.04533200000003</v>
      </c>
      <c r="U238" s="3">
        <f>252+(222.6-33)+(0.12852+(0.113526-0.01683))+0-0-0</f>
        <v>441.82521600000001</v>
      </c>
      <c r="V238" s="3">
        <f>277+(214.8-33)+(0.42381+(0.328644-0.05049))+0-0-0</f>
        <v>459.50196399999999</v>
      </c>
      <c r="W238" s="3">
        <f>446+(104.5-45.2)+(0+(0-0))+0-0-0</f>
        <v>505.3</v>
      </c>
      <c r="X238" s="3">
        <f>476+(73.4-47.2)+(-0.48552+(-0.074868--0.048144))+0-0-0</f>
        <v>501.68775599999998</v>
      </c>
      <c r="Y238" s="3">
        <f>452+(79.4-49.7)+(-0.23052+(-0.040494--0.025347))+0-0-0</f>
        <v>481.45433299999996</v>
      </c>
      <c r="Z238" s="3">
        <f>426+(80.4-41.3)+(-0.21726+(-0.041004--0.021063))+0-0-0</f>
        <v>464.862799</v>
      </c>
      <c r="AA238" s="3">
        <f>426+(70-43.2)+(-0.43452+(-0.0714--0.044064))+0-0-0</f>
        <v>452.338144</v>
      </c>
      <c r="AB238" s="3">
        <f>407+(67.8-38.9)+(0+(0-0))+0-0-0</f>
        <v>435.9</v>
      </c>
      <c r="AC238" s="3">
        <f>323+(116.2-30)+(0.32946+(0.118524-0.0306))+0-0-0</f>
        <v>409.61738400000002</v>
      </c>
      <c r="AD238">
        <v>493.79999999999995</v>
      </c>
      <c r="AE238" s="3">
        <f>478+(76.4-60.6)+(0+(0-0))+0-0-0</f>
        <v>493.8</v>
      </c>
    </row>
    <row r="239" spans="1:31" s="2" customFormat="1" x14ac:dyDescent="0.3">
      <c r="A239">
        <v>90</v>
      </c>
      <c r="B239">
        <v>8</v>
      </c>
      <c r="C239">
        <v>23</v>
      </c>
      <c r="D239">
        <v>3</v>
      </c>
      <c r="E239">
        <v>1</v>
      </c>
      <c r="F239" s="3">
        <f>290+(129.1-30)+(-0.1479+(-0.065841--0.0153))+0-0-0</f>
        <v>388.90155900000002</v>
      </c>
      <c r="G239" s="3">
        <f>290+(111.8-29)+(-0.1479+(-0.057018--0.01479))+0-0-0</f>
        <v>372.609872</v>
      </c>
      <c r="H239" s="3">
        <f>288+(99.5-29)+(-0.58752+(-0.20298--0.05916))+0-0-0</f>
        <v>357.76866000000001</v>
      </c>
      <c r="I239" s="3">
        <f>291+(87.8-29)+(0.74205+(0.22389-0.07395))+0-0-0</f>
        <v>350.69199000000003</v>
      </c>
      <c r="J239" s="3">
        <f>290+(95.2-30)+(0+(0-0))+0-0-0</f>
        <v>355.2</v>
      </c>
      <c r="K239" s="3">
        <f>289+(115.1-31)+(-0.58956+(-0.234804--0.06324))+0-0-0</f>
        <v>372.33887600000003</v>
      </c>
      <c r="L239" s="3">
        <f>289+(129-31)+(0.29478+(0.13158-0.03162))+0-0-0</f>
        <v>387.39474000000001</v>
      </c>
      <c r="M239" s="3">
        <f>289+(154.3-30)+(0.44217+(0.236079-0.0459))+0-0-0</f>
        <v>413.93234899999999</v>
      </c>
      <c r="N239" s="3">
        <f>288+(167.2-30)+(0.29376+(0.170544-0.0306))+0-0-0</f>
        <v>425.63370399999997</v>
      </c>
      <c r="O239" s="3">
        <f>311+(152.4-27)+(0.47583+(0.233172-0.04131))+0-0-0</f>
        <v>437.06769199999997</v>
      </c>
      <c r="P239" s="3">
        <f>363+(115.8-36.5)+(0.18513+(0.059058-0.018615))+0-0-0</f>
        <v>442.52557300000001</v>
      </c>
      <c r="Q239" s="3">
        <f>361+(123-36.4)+(-0.92055+(-0.31365--0.09282))+0-0-0</f>
        <v>446.45862</v>
      </c>
      <c r="R239" s="3">
        <f>358+(131.4-37.9)+(-0.9129+(-0.33507--0.096645))+0-0-0</f>
        <v>450.34867500000001</v>
      </c>
      <c r="S239" s="3">
        <f>362+(132-41.4)+(-0.18462+(-0.06732--0.021114))+0-0-0</f>
        <v>452.36917400000004</v>
      </c>
      <c r="T239" s="3">
        <f>361+(118.8-39.1)+(0.18411+(0.060588-0.019941))+0-0-0</f>
        <v>440.924757</v>
      </c>
      <c r="U239" s="3">
        <f>362+(120.1-43.2)+(0+(0-0))+0-0-0</f>
        <v>438.9</v>
      </c>
      <c r="V239" s="3">
        <f>379+(130.3-43.4)+(-0.19329+(-0.066453--0.022134))+0-0-0</f>
        <v>465.66239099999996</v>
      </c>
      <c r="W239" s="3">
        <f>410+(140-47.4)+(0+(0-0))+0-0-0</f>
        <v>502.6</v>
      </c>
      <c r="X239" s="3">
        <f>411+(139.5-46.6)+(-0.62883+(-0.213435--0.071298))+0-0-0</f>
        <v>503.12903299999999</v>
      </c>
      <c r="Y239" s="3">
        <f>411+(133.2-46.8)+(-0.62883+(-0.203796--0.071604))+0-0-0</f>
        <v>496.63897799999995</v>
      </c>
      <c r="Z239" s="3">
        <f>407+(121.4-47.3)+(-0.62271+(-0.185742--0.072369))+0-0-0</f>
        <v>480.36391700000001</v>
      </c>
      <c r="AA239" s="3">
        <f>397+(117-45.7)+(-0.40494+(-0.11934--0.046614))+0-0-0</f>
        <v>467.82233400000001</v>
      </c>
      <c r="AB239" s="3">
        <f>369+(120.2-39.1)+(-0.56457+(-0.183906--0.059823))+0-0-0</f>
        <v>449.41134700000003</v>
      </c>
      <c r="AC239" s="3">
        <f>297+(157.3-31)+(-0.15147+(-0.080223--0.01581))+0-0-0</f>
        <v>423.08411699999999</v>
      </c>
      <c r="AD239">
        <v>503.09999999999997</v>
      </c>
      <c r="AE239" s="3">
        <f>411+(140.4-48.3)+(0+(0-0))+0-0-0</f>
        <v>503.1</v>
      </c>
    </row>
    <row r="240" spans="1:31" s="2" customFormat="1" x14ac:dyDescent="0.3">
      <c r="A240">
        <v>90</v>
      </c>
      <c r="B240">
        <v>8</v>
      </c>
      <c r="C240">
        <v>24</v>
      </c>
      <c r="D240">
        <v>4</v>
      </c>
      <c r="E240">
        <v>3</v>
      </c>
      <c r="F240" s="3">
        <f>296+(131.5-29)+(0.15096+(0.067065-0.01479))+0-0-0</f>
        <v>398.70323500000001</v>
      </c>
      <c r="G240" s="3">
        <f>296+(114.1-28)+(0.15096+(0.058191-0.01428))+0-0-0</f>
        <v>382.294871</v>
      </c>
      <c r="H240" s="3">
        <f>295+(97.4-28)+(0+(0-0))+0-0-0</f>
        <v>364.4</v>
      </c>
      <c r="I240" s="3">
        <f>295+(88.5-28)+(0+(0-0))+0-0-0</f>
        <v>355.5</v>
      </c>
      <c r="J240" s="3">
        <f>296+(90-29)+(0.15096+(0.0459-0.01479))+0-0-0</f>
        <v>357.18207000000001</v>
      </c>
      <c r="K240" s="3">
        <f>296+(109.4-30)+(0.30192+(0.111588-0.0306))+0-0-0</f>
        <v>375.78290799999996</v>
      </c>
      <c r="L240" s="3">
        <f>296+(117-30)+(-0.30192+(-0.11934--0.0306))+0-0-0</f>
        <v>382.60933999999997</v>
      </c>
      <c r="M240" s="3">
        <f>296+(132.8-31)+(-0.15096+(-0.067728--0.01581))+0-0-0</f>
        <v>397.59712200000001</v>
      </c>
      <c r="N240" s="3">
        <f>296+(154.1-30)+(0+(0-0))+0-0-0</f>
        <v>420.1</v>
      </c>
      <c r="O240" s="3">
        <f>296+(169.8-31)+(0.15096+(0.086598-0.01581))+0-0-0</f>
        <v>435.021748</v>
      </c>
      <c r="P240" s="3">
        <f>296+(174.7-32)+(0.45288+(0.267291-0.04896))+0-0-0</f>
        <v>439.37121100000002</v>
      </c>
      <c r="Q240" s="3">
        <f>296+(180.5-32)+(0.30192+(0.18411-0.03264))+0-0-0</f>
        <v>444.95339000000001</v>
      </c>
      <c r="R240" s="3">
        <f>287+(186.9-32)+(-0.87822+(-0.571914--0.09792))+0-0-0</f>
        <v>440.54778599999997</v>
      </c>
      <c r="S240" s="3">
        <f>288+(180.3-31)+(-0.58752+(-0.367812--0.06324))+0-0-0</f>
        <v>436.40790800000002</v>
      </c>
      <c r="T240" s="3">
        <f>289+(171-31)+(0+(0-0))+0-0-0</f>
        <v>429</v>
      </c>
      <c r="U240" s="3">
        <f>289+(166.2-33)+(0.14739+(0.084762-0.01683))+0-0-0</f>
        <v>422.415322</v>
      </c>
      <c r="V240" s="3">
        <f>346+(137.2-38.6)+(-0.17646+(-0.069972--0.019686))+0-0-0</f>
        <v>444.37325400000003</v>
      </c>
      <c r="W240" s="3">
        <f>361+(159.2-33.8)+(0+(0-0))+0-0-0</f>
        <v>486.4</v>
      </c>
      <c r="X240" s="3">
        <f>361+(164.4-31)+(-0.55233+(-0.251532--0.04743))+0-0-0</f>
        <v>493.64356799999996</v>
      </c>
      <c r="Y240" s="3">
        <f>362+(153.4-32)+(0+(0-0))+0-0-0</f>
        <v>483.4</v>
      </c>
      <c r="Z240" s="3">
        <f>361+(139.5-35.2)+(-0.36822+(-0.14229--0.035904))+0-0-0</f>
        <v>464.82539400000002</v>
      </c>
      <c r="AA240" s="3">
        <f>360+(127.6-35.6)+(-0.3672+(-0.130152--0.036312))+0-0-0</f>
        <v>451.53895999999997</v>
      </c>
      <c r="AB240" s="3">
        <f>300+(163.5-32)+(-0.459+(-0.250155--0.04896))+0-0-0</f>
        <v>430.83980500000001</v>
      </c>
      <c r="AC240" s="3">
        <f>294+(145.1-31)+(-0.44982+(-0.222003--0.04743))+0-0-0</f>
        <v>407.47560700000002</v>
      </c>
      <c r="AD240">
        <v>485.99999999999994</v>
      </c>
      <c r="AE240" s="3">
        <f>358+(162.8-34.8)+(0+(0-0))+0-0-0</f>
        <v>486</v>
      </c>
    </row>
    <row r="241" spans="1:31" s="2" customFormat="1" x14ac:dyDescent="0.3">
      <c r="A241">
        <v>90</v>
      </c>
      <c r="B241">
        <v>8</v>
      </c>
      <c r="C241">
        <v>25</v>
      </c>
      <c r="D241">
        <v>5</v>
      </c>
      <c r="E241">
        <v>1</v>
      </c>
      <c r="F241" s="3">
        <f>293+(118.7-31)+(-0.44829+(-0.181611--0.04743))+0-0-0</f>
        <v>380.11752899999999</v>
      </c>
      <c r="G241" s="3">
        <f>293+(99.1-31)+(-0.29886+(-0.101082--0.03162))+0-0-0</f>
        <v>360.73167800000004</v>
      </c>
      <c r="H241" s="3">
        <f>293+(86.7-30)+(0.29886+(0.088434-0.0306))+0-0-0</f>
        <v>350.05669399999999</v>
      </c>
      <c r="I241" s="3">
        <f>293+(82-30)+(0+(0-0))+0-0-0</f>
        <v>345</v>
      </c>
      <c r="J241" s="3">
        <f>293+(88-30)+(-0.29886+(-0.08976--0.0306))+0-0-0</f>
        <v>350.64197999999999</v>
      </c>
      <c r="K241" s="3">
        <f>293+(114.4-29)+(-0.29886+(-0.116688--0.02958))+0-0-0</f>
        <v>378.01403199999999</v>
      </c>
      <c r="L241" s="3">
        <f>293+(130.1-30)+(-0.14943+(-0.066351--0.0153))+0-0-0</f>
        <v>392.899519</v>
      </c>
      <c r="M241" s="3">
        <f>328+(121.2-32.8)+(0+(0-0))+0-0-0</f>
        <v>416.4</v>
      </c>
      <c r="N241" s="3">
        <f>361+(113-41.4)+(0+(0-0))+0-0-0</f>
        <v>432.6</v>
      </c>
      <c r="O241" s="3">
        <f>361+(120.8-42.3)+(0.55233+(0.184824-0.064719))+0-0-0</f>
        <v>440.17243500000001</v>
      </c>
      <c r="P241" s="3">
        <f>359+(125-41.7)+(-0.54927+(-0.19125--0.063801))+0-0-0</f>
        <v>441.62328100000002</v>
      </c>
      <c r="Q241" s="3">
        <f>362+(121.7-40.9)+(-0.18462+(-0.062067--0.020859))+0-0-0</f>
        <v>442.57417200000003</v>
      </c>
      <c r="R241" s="3">
        <f>360+(127.3-43.3)+(-0.5508+(-0.194769--0.066249))+0-0-0</f>
        <v>443.32067999999998</v>
      </c>
      <c r="S241" s="3">
        <f>360+(119.9-45.2)+(-0.5508+(-0.183447--0.069156))+0-0-0</f>
        <v>434.03490899999997</v>
      </c>
      <c r="T241" s="3">
        <f>362+(108.4-46.7)+(0+(0-0))+0-0-0</f>
        <v>423.7</v>
      </c>
      <c r="U241" s="3">
        <f>364+(111.4-46.2)+(-0.18564+(-0.056814--0.023562))+0-0-0</f>
        <v>428.98110800000001</v>
      </c>
      <c r="V241" s="3">
        <f>378+(123-47.3)+(-0.19278+(-0.06273--0.024123))+0-0-0</f>
        <v>453.468613</v>
      </c>
      <c r="W241" s="3">
        <f>425+(132.1-53.8)+(0+(0-0))+0-0-0</f>
        <v>503.3</v>
      </c>
      <c r="X241" s="3">
        <f>428+(133.1-56)+(-0.65484+(-0.203643--0.08568))+0-0-0</f>
        <v>504.32719700000001</v>
      </c>
      <c r="Y241" s="3">
        <f>429+(126.4-55.4)+(-1.09395+(-0.32232--0.14127))+0-0-0</f>
        <v>498.72500000000002</v>
      </c>
      <c r="Z241" s="3">
        <f>426+(114-56.5)+(-0.86904+(-0.23256--0.11526))+0-0-0</f>
        <v>482.51366000000002</v>
      </c>
      <c r="AA241" s="3">
        <f>381+(131.4-43.8)+(-0.38862+(-0.134028--0.044676))+0-0-0</f>
        <v>468.122028</v>
      </c>
      <c r="AB241" s="3">
        <f>383+(114.7-47.6)+(-0.97665+(-0.292485--0.12138))+0-0-0</f>
        <v>448.952245</v>
      </c>
      <c r="AC241" s="3">
        <f>383+(96.5-52.2)+(-0.19533+(-0.049215--0.026622))+0-0-0</f>
        <v>427.08207700000003</v>
      </c>
      <c r="AD241">
        <v>507.4</v>
      </c>
      <c r="AE241" s="3">
        <f>426+(136.4-55)+(0+(0-0))+0-0-0</f>
        <v>507.4</v>
      </c>
    </row>
    <row r="242" spans="1:31" s="2" customFormat="1" x14ac:dyDescent="0.3">
      <c r="A242">
        <v>90</v>
      </c>
      <c r="B242">
        <v>8</v>
      </c>
      <c r="C242">
        <v>26</v>
      </c>
      <c r="D242">
        <v>6</v>
      </c>
      <c r="E242">
        <v>1</v>
      </c>
      <c r="F242" s="3">
        <f>380+(77.2-56.3)+(-0.7752+(-0.157488--0.114852))+0-0-0</f>
        <v>400.08216399999998</v>
      </c>
      <c r="G242" s="3">
        <f>380+(61.8-58.3)+(-0.7752+(-0.126072--0.118932))+0-0-0</f>
        <v>382.71766000000002</v>
      </c>
      <c r="H242" s="3">
        <f>310+(95-35.8)+(0+(0-0))+0-0-0</f>
        <v>369.2</v>
      </c>
      <c r="I242" s="3">
        <f>292+(100-31.1)+(-0.44676+(-0.153--0.047583))+0-0-0</f>
        <v>360.34782300000001</v>
      </c>
      <c r="J242" s="3">
        <f>293+(101.7-31.2)+(0.14943+(0.051867-0.015912))+0-0-0</f>
        <v>363.685385</v>
      </c>
      <c r="K242" s="3">
        <f>298+(116.4-31.2)+(-0.15198+(-0.059364--0.015912))+0-0-0</f>
        <v>383.00456800000001</v>
      </c>
      <c r="L242" s="3">
        <f>377+(78.5-62.7)+(-0.96135+(-0.200175--0.159885))+0-0-0</f>
        <v>391.79836</v>
      </c>
      <c r="M242" s="3">
        <f>380+(87.9-61.2)+(0.1938+(0.044829-0.031212))+0-0-0</f>
        <v>406.90741700000001</v>
      </c>
      <c r="N242" s="3">
        <f>379+(104.7-56.9)+(0.19329+(0.053397-0.029019))+0-0-0</f>
        <v>427.01766800000001</v>
      </c>
      <c r="O242" s="3">
        <f>377+(113.6-52.2)+(-0.38454+(-0.115872--0.053244))+0-0-0</f>
        <v>437.952832</v>
      </c>
      <c r="P242" s="3">
        <f>379+(118.6-53.6)+(0.19329+(0.060486-0.027336))+0-0-0</f>
        <v>444.22644000000003</v>
      </c>
      <c r="Q242" s="3">
        <f>377+(124-52.4)+(-0.76908+(-0.25296--0.106896))+0-0-0</f>
        <v>447.68485600000002</v>
      </c>
      <c r="R242" s="3">
        <f>358+(135.4-44.6)+(-1.46064+(-0.552432--0.181968))+0-0-0</f>
        <v>446.96889600000003</v>
      </c>
      <c r="S242" s="3">
        <f>357+(132-45.1)+(-0.18207+(-0.06732--0.023001))+0-0-0</f>
        <v>443.67361099999999</v>
      </c>
      <c r="T242" s="3">
        <f>359+(122-46.9)+(0+(0-0))+0-0-0</f>
        <v>434.1</v>
      </c>
      <c r="U242" s="3">
        <f>357+(119.9-47.5)+(-0.72828+(-0.244596--0.0969))+0-0-0</f>
        <v>428.524024</v>
      </c>
      <c r="V242" s="3">
        <f>359+(130.9-46.5)+(0.18309+(0.066759-0.023715))+0-0-0</f>
        <v>443.62613399999998</v>
      </c>
      <c r="W242" s="3">
        <f>367+(159.7-38.4)+(0+(0-0))+0-0-0</f>
        <v>488.29999999999995</v>
      </c>
      <c r="X242" s="3">
        <f>364+(162.5-37.7)+(-0.9282+(-0.414375--0.096135))+0-0-0</f>
        <v>487.55356</v>
      </c>
      <c r="Y242" s="3">
        <f>367+(154.5-38.3)+(0+(0-0))+0-0-0</f>
        <v>483.2</v>
      </c>
      <c r="Z242" s="3">
        <f>365+(136.9-39.1)+(-0.7446+(-0.279276--0.079764))+0-0-0</f>
        <v>461.85588799999999</v>
      </c>
      <c r="AA242" s="3">
        <f>366+(126.9-40.3)+(-0.18666+(-0.064719--0.020553))+0-0-0</f>
        <v>452.36917400000004</v>
      </c>
      <c r="AB242" s="3">
        <f>365+(118.1-41.8)+(-0.55845+(-0.180693--0.063954))+0-0-0</f>
        <v>440.62481100000002</v>
      </c>
      <c r="AC242" s="3">
        <f>359+(96.4-45.5)+(-1.46472+(-0.393312--0.18564))+0-0-0</f>
        <v>408.22760799999998</v>
      </c>
      <c r="AD242">
        <v>498.59999999999997</v>
      </c>
      <c r="AE242" s="3">
        <f>376+(161.4-38.8)+(0+(0-0))+0-0-0</f>
        <v>498.6</v>
      </c>
    </row>
    <row r="243" spans="1:31" s="2" customFormat="1" x14ac:dyDescent="0.3">
      <c r="A243">
        <v>90</v>
      </c>
      <c r="B243">
        <v>8</v>
      </c>
      <c r="C243">
        <v>27</v>
      </c>
      <c r="D243">
        <v>7</v>
      </c>
      <c r="E243">
        <v>1</v>
      </c>
      <c r="F243" s="3">
        <f>357+(81-49.1)+(-0.91035+(-0.20655--0.125205))+0-0-0</f>
        <v>387.90830499999998</v>
      </c>
      <c r="G243" s="3">
        <f>360+(65.8-52.8)+(0.1836+(0.033558-0.026928))+0-0-0</f>
        <v>373.19022999999999</v>
      </c>
      <c r="H243" s="3">
        <f>356+(58-53.5)+(-0.72624+(-0.11832--0.10914))+0-0-0</f>
        <v>359.76458000000002</v>
      </c>
      <c r="I243" s="3">
        <f>360+(51.6-56.7)+(0+(0-0))+0-0-0</f>
        <v>354.9</v>
      </c>
      <c r="J243" s="3">
        <f>358+(57.6-54.1)+(-0.36516+(-0.058752--0.055182))+0-0-0</f>
        <v>361.13126999999997</v>
      </c>
      <c r="K243" s="3">
        <f>360+(72.8-55.5)+(0.3672+(0.074256-0.05661))+0-0-0</f>
        <v>377.68484599999999</v>
      </c>
      <c r="L243" s="3">
        <f>360+(79.1-57.3)+(-0.3672+(-0.080682--0.058446))+0-0-0</f>
        <v>381.41056400000002</v>
      </c>
      <c r="M243" s="3">
        <f>298+(129.9-33.8)+(-0.30396+(-0.132498--0.034476))+0-0-0</f>
        <v>393.69801800000005</v>
      </c>
      <c r="N243" s="3">
        <f>290+(148.4-29)+(-0.1479+(-0.075684--0.01479))+0-0-0</f>
        <v>409.19120599999997</v>
      </c>
      <c r="O243" s="3">
        <f>293+(164-28)+(-0.29886+(-0.16728--0.02856))+0-0-0</f>
        <v>428.56241999999997</v>
      </c>
      <c r="P243" s="3">
        <f>296+(165.1-29)+(-0.45288+(-0.252603--0.04437))+0-0-0</f>
        <v>431.43888700000002</v>
      </c>
      <c r="Q243" s="3">
        <f>301+(167-30)+(-0.30702+(-0.17034--0.0306))+0-0-0</f>
        <v>437.55324000000002</v>
      </c>
      <c r="R243" s="3">
        <f>367+(121.1-48.9)+(-0.56151+(-0.185283--0.074817))+0-0-0</f>
        <v>438.52802400000002</v>
      </c>
      <c r="S243" s="3">
        <f>334+(135.4-38.4)+(-0.51102+(-0.207162--0.058752))+0-0-0</f>
        <v>430.34057000000001</v>
      </c>
      <c r="T243" s="3">
        <f>352+(117.3-45.3)+(-0.71808+(-0.239292--0.092412))+0-0-0</f>
        <v>423.13504</v>
      </c>
      <c r="U243" s="3">
        <f>329+(130.9-37.5)+(0+(0-0))+0-0-0</f>
        <v>422.4</v>
      </c>
      <c r="V243" s="3">
        <f>292+(174.3-31)+(0+(0-0))+0-0-0</f>
        <v>435.3</v>
      </c>
      <c r="W243" s="3">
        <f>357+(165.5-36.7)+(0.18207+(0.084405-0.018717))+0-0-0</f>
        <v>486.04775799999999</v>
      </c>
      <c r="X243" s="3">
        <f>357+(165.3-36)+(0+(0-0))+0-0-0</f>
        <v>486.3</v>
      </c>
      <c r="Y243" s="3">
        <f>357+(161.6-34.7)+(0.18207+(0.082416-0.017697))+0-0-0</f>
        <v>484.14678899999996</v>
      </c>
      <c r="Z243" s="3">
        <f>357+(152.4-34.8)+(-0.36414+(-0.155448--0.035496))+0-0-0</f>
        <v>474.11590800000005</v>
      </c>
      <c r="AA243" s="3">
        <f>357+(142.2-36.6)+(-0.36414+(-0.145044--0.037332))+0-0-0</f>
        <v>462.12814800000001</v>
      </c>
      <c r="AB243" s="3">
        <f>355+(124.9-39.9)+(-0.7242+(-0.254796--0.081396))+0-0-0</f>
        <v>439.10239999999999</v>
      </c>
      <c r="AC243" s="3">
        <f>344+(110-40)+(-0.70176+(-0.2244--0.0816))+0-0-0</f>
        <v>413.15544</v>
      </c>
      <c r="AD243">
        <v>505.8</v>
      </c>
      <c r="AE243" s="3">
        <f>373+(169.6-36.8)+(0+(0-0))+0-0-0</f>
        <v>505.8</v>
      </c>
    </row>
    <row r="244" spans="1:31" s="2" customFormat="1" x14ac:dyDescent="0.3">
      <c r="A244">
        <v>90</v>
      </c>
      <c r="B244">
        <v>8</v>
      </c>
      <c r="C244">
        <v>28</v>
      </c>
      <c r="D244">
        <v>1</v>
      </c>
      <c r="E244">
        <v>1</v>
      </c>
      <c r="F244" s="3">
        <f>288+(123.6-30)+(0+(0-0))+0-0-0</f>
        <v>381.6</v>
      </c>
      <c r="G244" s="3">
        <f>286+(106.4-29)+(-0.7293+(-0.27132--0.07395))+0-0-0</f>
        <v>362.47332999999998</v>
      </c>
      <c r="H244" s="3">
        <f>288+(96.5-30)+(0.44064+(0.147645-0.0459))+0-0-0</f>
        <v>355.04238500000002</v>
      </c>
      <c r="I244" s="3">
        <f>287+(94.4-30)+(-0.29274+(-0.096288--0.0306))+0-0-0</f>
        <v>351.04157199999997</v>
      </c>
      <c r="J244" s="3">
        <f>289+(95.8-30.2)+(0.73695+(0.24429-0.07701))+0-0-0</f>
        <v>355.50423000000001</v>
      </c>
      <c r="K244" s="3">
        <f>288+(122.7-27)+(0.14688+(0.062577-0.01377))+0-0-0</f>
        <v>383.89568700000001</v>
      </c>
      <c r="L244" s="3">
        <f>289+(142.3-30)+(-0.44217+(-0.217719--0.0459))+0-0-0</f>
        <v>400.68601100000001</v>
      </c>
      <c r="M244" s="3">
        <f>330+(124.8-40.4)+(0.1683+(0.063648-0.020604))+0-0-0</f>
        <v>414.61134399999997</v>
      </c>
      <c r="N244" s="3">
        <f>364+(116.4-50.4)+(0.18564+(0.059364-0.025704))+0-0-0</f>
        <v>430.21929999999998</v>
      </c>
      <c r="O244" s="3">
        <f>370+(117.6-48.5)+(-0.7548+(-0.239904--0.09894))+0-0-0</f>
        <v>438.20423600000004</v>
      </c>
      <c r="P244" s="3">
        <f>378+(116-46.7)+(-0.19278+(-0.05916--0.023817))+0-0-0</f>
        <v>447.07187700000003</v>
      </c>
      <c r="Q244" s="3">
        <f>379+(117.2-48.1)+(0.19329+(0.059772-0.024531))+0-0-0</f>
        <v>448.328531</v>
      </c>
      <c r="R244" s="3">
        <f>373+(126.2-48)+(-0.57069+(-0.193086--0.07344))+0-0-0</f>
        <v>450.50966399999999</v>
      </c>
      <c r="S244" s="3">
        <f>373+(121.9-44)+(-0.57069+(-0.186507--0.06732))+0-0-0</f>
        <v>450.21012299999995</v>
      </c>
      <c r="T244" s="3">
        <f>374+(108.3-43)+(-0.19074+(-0.055233--0.02193))+0-0-0</f>
        <v>439.07595700000002</v>
      </c>
      <c r="U244" s="3">
        <f>373+(103.4-45)+(-0.57069+(-0.158202--0.06885))+0-0-0</f>
        <v>430.739958</v>
      </c>
      <c r="V244" s="3">
        <f>389+(117.5-45)+(-0.19839+(-0.059925--0.02295))+0-0-0</f>
        <v>461.264635</v>
      </c>
      <c r="W244" s="3">
        <f>397+(141.4-37)+(0.20247+(0.072114-0.01887))+0-0-0</f>
        <v>501.65571399999999</v>
      </c>
      <c r="X244" s="3">
        <f>402+(133.1-38)+(-0.82008+(-0.271524--0.07752))+0-0-0</f>
        <v>496.085916</v>
      </c>
      <c r="Y244" s="3">
        <f>444+(107.4-41)+(0+(0-0))+0-0-0</f>
        <v>510.4</v>
      </c>
      <c r="Z244" s="3">
        <f>442+(89.3-43)+(-0.22542+(-0.045543--0.02193))+0-0-0</f>
        <v>488.05096700000001</v>
      </c>
      <c r="AA244" s="3">
        <f>439+(82.6-43)+(-1.34334+(-0.252756--0.13158))+0-0-0</f>
        <v>477.13548400000002</v>
      </c>
      <c r="AB244" s="3">
        <f>438+(61.4-47.7)+(-0.44676+(-0.062628--0.048654))+0-0-0</f>
        <v>451.23926599999999</v>
      </c>
      <c r="AC244" s="3">
        <f>435+(42.7-50.7)+(-1.55295+(-0.152439--0.180999))+0-0-0</f>
        <v>425.47561000000002</v>
      </c>
      <c r="AD244">
        <v>496.70000000000005</v>
      </c>
      <c r="AE244" s="3">
        <f>405+(139.7-48)+(0+(0-0))+0-0-0</f>
        <v>496.7</v>
      </c>
    </row>
    <row r="245" spans="1:31" s="2" customFormat="1" x14ac:dyDescent="0.3">
      <c r="A245">
        <v>90</v>
      </c>
      <c r="B245">
        <v>8</v>
      </c>
      <c r="C245">
        <v>29</v>
      </c>
      <c r="D245">
        <v>2</v>
      </c>
      <c r="E245">
        <v>1</v>
      </c>
      <c r="F245" s="3">
        <f>439+(23.2-61.7)+(-0.67167+(-0.035496--0.094401))+0-0-0</f>
        <v>399.88723499999998</v>
      </c>
      <c r="G245" s="3">
        <f>428+(17.5-63.7)+(-0.43656+(-0.01785--0.064974))+0-0-0</f>
        <v>381.41056400000002</v>
      </c>
      <c r="H245" s="3">
        <f>370+(35.1-38.3)+(0+(0-0))+0-0-0</f>
        <v>366.8</v>
      </c>
      <c r="I245" s="3">
        <f>306+(82.9-30)+(0+(0-0))+0-0-0</f>
        <v>358.9</v>
      </c>
      <c r="J245" s="3">
        <f>354+(45.1-36.1)+(0.36108+(0.046002-0.036822))+0-0-0</f>
        <v>363.37025999999997</v>
      </c>
      <c r="K245" s="3">
        <f>370+(58.5-39.9)+(0.3774+(0.05967-0.040698))+0-0-0</f>
        <v>388.99637200000001</v>
      </c>
      <c r="L245" s="3">
        <f>428+(35.3-62)+(0.65484+(0.054009-0.09486))+0-0-0</f>
        <v>401.91398900000002</v>
      </c>
      <c r="M245" s="3">
        <f>428+(43.2-58.7)+(0.65484+(0.066096-0.089811))+0-0-0</f>
        <v>413.131125</v>
      </c>
      <c r="N245" s="3">
        <f>426+(57.3-54.8)+(-0.21726+(-0.029223--0.027948))+0-0-0</f>
        <v>428.28146500000003</v>
      </c>
      <c r="O245" s="3">
        <f>426+(63.8-54.2)+(-0.21726+(-0.032538--0.027642))+0-0-0</f>
        <v>435.37784400000004</v>
      </c>
      <c r="P245" s="3">
        <f>408+(87.2-50.8)+(-0.20808+(-0.044472--0.025908))+0-0-0</f>
        <v>444.17335599999996</v>
      </c>
      <c r="Q245" s="3">
        <f>407+(93.4-48.8)+(-0.62271+(-0.142902--0.074664))+0-0-0</f>
        <v>450.90905200000003</v>
      </c>
      <c r="R245" s="3">
        <f>362+(126.6-33)+(-0.55386+(-0.193698--0.05049))+0-0-0</f>
        <v>454.90293200000002</v>
      </c>
      <c r="S245" s="3">
        <f>339+(148.3-32)+(-0.69156+(-0.302532--0.06528))+0-0-0</f>
        <v>454.37118800000002</v>
      </c>
      <c r="T245" s="3">
        <f>339+(139.2-32)+(-0.17289+(-0.070992--0.01632))+0-0-0</f>
        <v>445.97243800000001</v>
      </c>
      <c r="U245" s="3">
        <f>371+(111.5-40.7)+(0.56763+(0.170595-0.062271))+0-0-0</f>
        <v>442.475954</v>
      </c>
      <c r="V245" s="3">
        <f>398+(114.5-45.4)+(-1.0149+(-0.291975--0.11577))+0-0-0</f>
        <v>465.90889500000003</v>
      </c>
      <c r="W245" s="3">
        <f>420+(135.6-43.1)+(0.2142+(0.069156-0.021981))+0-0-0</f>
        <v>512.76137500000004</v>
      </c>
      <c r="X245" s="3">
        <f>433+(129-45.3)+(-1.32498+(-0.39474--0.138618))+0-0-0</f>
        <v>515.11889800000006</v>
      </c>
      <c r="Y245" s="3">
        <f>434+(122.6-44.9)+(-0.44268+(-0.125052--0.045798))+0-0-0</f>
        <v>511.178066</v>
      </c>
      <c r="Z245" s="3">
        <f>429+(109.6-44.3)+(-0.87516+(-0.223584--0.090372))+0-0-0</f>
        <v>493.291628</v>
      </c>
      <c r="AA245" s="3">
        <f>428+(97.7-47.3)+(-1.0914+(-0.249135--0.120615))+0-0-0</f>
        <v>477.18007999999998</v>
      </c>
      <c r="AB245" s="3">
        <f>358+(131.5-32)+(-0.54774+(-0.201195--0.04896))+0-0-0</f>
        <v>456.80002500000001</v>
      </c>
      <c r="AC245" s="3">
        <f>356+(102.9-32)+(-0.36312+(-0.104958--0.03264))+0-0-0</f>
        <v>426.464562</v>
      </c>
      <c r="AD245">
        <v>516</v>
      </c>
      <c r="AE245" s="3">
        <f>436+(127.6-47.6)+(0+(0-0))+0-0-0</f>
        <v>516</v>
      </c>
    </row>
    <row r="246" spans="1:31" s="2" customFormat="1" x14ac:dyDescent="0.3">
      <c r="A246">
        <v>90</v>
      </c>
      <c r="B246">
        <v>8</v>
      </c>
      <c r="C246">
        <v>30</v>
      </c>
      <c r="D246">
        <v>3</v>
      </c>
      <c r="E246">
        <v>1</v>
      </c>
      <c r="F246" s="3">
        <f>350+(76.8-32.1)+(0.357+(0.078336-0.032742))+0-0-0</f>
        <v>395.10259400000001</v>
      </c>
      <c r="G246" s="3">
        <f>349+(64.4-33.3)+(-0.35598+(-0.065688--0.033966))+0-0-0</f>
        <v>379.71229800000003</v>
      </c>
      <c r="H246" s="3">
        <f>350+(55.2-34.8)+(0.1785+(0.028152-0.017748))+0-0-0</f>
        <v>370.58890399999996</v>
      </c>
      <c r="I246" s="3">
        <f>350+(50.2-36.7)+(0.1785+(0.025602-0.018717))+0-0-0</f>
        <v>363.685385</v>
      </c>
      <c r="J246" s="3">
        <f>349+(53.2-34.7)+(-0.35598+(-0.054264--0.035394))+0-0-0</f>
        <v>367.12515000000002</v>
      </c>
      <c r="K246" s="3">
        <f>350+(73.1-34.1)+(0.357+(0.074562-0.034782))+0-0-0</f>
        <v>389.39677999999998</v>
      </c>
      <c r="L246" s="3">
        <f>349+(86.8-34.6)+(-0.35598+(-0.088536--0.035292))+0-0-0</f>
        <v>400.79077599999999</v>
      </c>
      <c r="M246" s="3">
        <f>350+(105.6-33)+(-0.1785+(-0.053856--0.01683))+0-0-0</f>
        <v>422.38447400000001</v>
      </c>
      <c r="N246" s="3">
        <f>321+(138.5-33)+(0+(0-0))+0-0-0</f>
        <v>426.5</v>
      </c>
      <c r="O246" s="3">
        <f>289+(183.2-33)+(0.14739+(0.093432-0.01683))+0-0-0</f>
        <v>439.423992</v>
      </c>
      <c r="P246" s="3">
        <f>289+(178.2-32)+(-0.29478+(-0.181764--0.03264))+0-0-0</f>
        <v>434.75609600000001</v>
      </c>
      <c r="Q246" s="3">
        <f>287+(189.1-30)+(-0.73185+(-0.482205--0.0765))+0-0-0</f>
        <v>444.962445</v>
      </c>
      <c r="R246" s="3">
        <f>275+(197.7-31)+(-0.42075+(-0.302481--0.04743))+0-0-0</f>
        <v>441.02419900000001</v>
      </c>
      <c r="S246" s="3">
        <f>273+(206.5-32)+(-0.27846+(-0.21063--0.03264))+0-0-0</f>
        <v>447.04354999999998</v>
      </c>
      <c r="T246" s="3">
        <f>286+(186-32)+(0.43758+(0.28458-0.04896))+0-0-0</f>
        <v>440.67320000000001</v>
      </c>
      <c r="U246" s="3">
        <f>286+(171.2-32)+(0.14586+(0.087312-0.01632))+0-0-0</f>
        <v>425.41685200000001</v>
      </c>
      <c r="V246" s="3">
        <f>286+(193.6-32)+(0+(0-0))+0-0-0</f>
        <v>447.6</v>
      </c>
      <c r="W246" s="3">
        <f>299+(234.8-33)+(0+(0-0))+0-0-0</f>
        <v>500.8</v>
      </c>
      <c r="X246" s="3">
        <f>298+(238.7-32)+(-0.45594+(-0.365211--0.04896))+0-0-0</f>
        <v>503.92780899999997</v>
      </c>
      <c r="Y246" s="3">
        <f>297+(237.9-32)+(-0.75735+(-0.606645--0.0816))+0-0-0</f>
        <v>501.61760499999997</v>
      </c>
      <c r="Z246" s="3">
        <f>299+(222.1-31)+(0+(0-0))+0-0-0</f>
        <v>490.1</v>
      </c>
      <c r="AA246" s="3">
        <f>298+(206-31)+(-0.7599+(-0.5253--0.07905))+0-0-0</f>
        <v>471.79385000000002</v>
      </c>
      <c r="AB246" s="3">
        <f>298+(181.8-31)+(-0.60792+(-0.370872--0.06324))+0-0-0</f>
        <v>447.88444800000002</v>
      </c>
      <c r="AC246" s="3">
        <f>298+(153.3-31)+(-0.60792+(-0.312732--0.06324))+0-0-0</f>
        <v>419.442588</v>
      </c>
      <c r="AD246">
        <v>513.79999999999995</v>
      </c>
      <c r="AE246" s="3">
        <f>310+(236.8-33)+(0+(0-0))+0-0-0</f>
        <v>513.79999999999995</v>
      </c>
    </row>
    <row r="247" spans="1:31" s="2" customFormat="1" x14ac:dyDescent="0.3">
      <c r="A247">
        <v>90</v>
      </c>
      <c r="B247">
        <v>9</v>
      </c>
      <c r="C247">
        <v>1</v>
      </c>
      <c r="D247">
        <v>4</v>
      </c>
      <c r="E247">
        <v>1</v>
      </c>
      <c r="F247" s="3">
        <f>295+(127.5-31)+(-0.45135+(-0.195075--0.04743))+0-0-0</f>
        <v>390.901005</v>
      </c>
      <c r="G247" s="3">
        <f>296+(108.8-30)+(0+(0-0))+0-0-0</f>
        <v>374.8</v>
      </c>
      <c r="H247" s="3">
        <f>295+(96.1-30)+(0+(0-0))+0-0-0</f>
        <v>361.1</v>
      </c>
      <c r="I247" s="3">
        <f>296+(91.3-29)+(0+(0-0))+0-0-0</f>
        <v>358.3</v>
      </c>
      <c r="J247" s="3">
        <f>297+(93.1-30)+(0.60588+(0.189924-0.0612))+0-0-0</f>
        <v>360.83460400000001</v>
      </c>
      <c r="K247" s="3">
        <f>297+(121.8-32)+(0.60588+(0.248472-0.06528))+0-0-0</f>
        <v>387.58907199999999</v>
      </c>
      <c r="L247" s="3">
        <f>295+(126.7-31)+(0.3009+(0.129234-0.03162))+0-0-0</f>
        <v>391.09851399999997</v>
      </c>
      <c r="M247" s="3">
        <f>302+(135.3-30)+(0+(0-0))+0-0-0</f>
        <v>407.3</v>
      </c>
      <c r="N247" s="3">
        <f>324+(119.8-30)+(0.16524+(0.061098-0.0153))+0-0-0</f>
        <v>414.01103799999999</v>
      </c>
      <c r="O247" s="3">
        <f>324+(126.3-31)+(0.33048+(0.128826-0.03162))+0-0-0</f>
        <v>419.72768600000001</v>
      </c>
      <c r="P247" s="3">
        <f>324+(141.3-32)+(-0.16524+(-0.072063--0.01632))+0-0-0</f>
        <v>433.07901700000002</v>
      </c>
      <c r="Q247" s="3">
        <f>323+(147.6-32)+(-0.98838+(-0.451656--0.09792))+0-0-0</f>
        <v>437.25788400000005</v>
      </c>
      <c r="R247" s="3">
        <f>320+(149.4-32)+(-0.6528+(-0.304776--0.06528))+0-0-0</f>
        <v>436.50770399999999</v>
      </c>
      <c r="S247" s="3">
        <f>320+(142.8-31)+(-0.1632+(-0.072828--0.01581))+0-0-0</f>
        <v>431.57978200000002</v>
      </c>
      <c r="T247" s="3">
        <f>320+(138.8-31)+(0+(0-0))+0-0-0</f>
        <v>427.8</v>
      </c>
      <c r="U247" s="3">
        <f>326+(133.4-31)+(0.16626+(0.068034-0.01581))+0-0-0</f>
        <v>428.61848399999997</v>
      </c>
      <c r="V247" s="3">
        <f>333+(152.5-31)+(0.16983+(0.077775-0.01581))+0-0-0</f>
        <v>454.73179499999998</v>
      </c>
      <c r="W247" s="3">
        <f>332+(199.8-33)+(-0.16932+(-0.101898--0.01683))+0-0-0</f>
        <v>498.54561200000001</v>
      </c>
      <c r="X247" s="3">
        <f>333+(197.5-33)+(0+(0-0))+0-0-0</f>
        <v>497.5</v>
      </c>
      <c r="Y247" s="3">
        <f>332+(195.4-32)+(-0.67728+(-0.398616--0.06528))+0-0-0</f>
        <v>494.38938399999995</v>
      </c>
      <c r="Z247" s="3">
        <f>332+(178.1-32)+(-0.16932+(-0.090831--0.01632))+0-0-0</f>
        <v>477.85616900000002</v>
      </c>
      <c r="AA247" s="3">
        <f>332+(160.1-32)+(-0.67728+(-0.326604--0.06528))+0-0-0</f>
        <v>459.16139600000002</v>
      </c>
      <c r="AB247" s="3">
        <f>332+(135.6-32)+(-0.50796+(-0.207468--0.04896))+0-0-0</f>
        <v>434.93353200000001</v>
      </c>
      <c r="AC247" s="3">
        <f>332+(107.3-32)+(-0.50796+(-0.164169--0.04896))+0-0-0</f>
        <v>406.67683099999999</v>
      </c>
      <c r="AD247">
        <v>499.9</v>
      </c>
      <c r="AE247" s="3">
        <f>334+(198.9-33)+(0+(0-0))+0-0-0</f>
        <v>499.9</v>
      </c>
    </row>
    <row r="248" spans="1:31" s="2" customFormat="1" x14ac:dyDescent="0.3">
      <c r="A248">
        <v>90</v>
      </c>
      <c r="B248">
        <v>9</v>
      </c>
      <c r="C248">
        <v>2</v>
      </c>
      <c r="D248">
        <v>5</v>
      </c>
      <c r="E248">
        <v>1</v>
      </c>
      <c r="F248" s="3">
        <f>317+(96.5-31)+(-0.32334+(-0.09843--0.03162))+0-0-0</f>
        <v>382.10984999999999</v>
      </c>
      <c r="G248" s="3">
        <f>297+(99.8-30)+(-0.30294+(-0.101796--0.0306))+0-0-0</f>
        <v>366.42586399999999</v>
      </c>
      <c r="H248" s="3">
        <f>258+(130.2-29)+(-0.26316+(-0.132804--0.02958))+0-0-0</f>
        <v>358.83361600000001</v>
      </c>
      <c r="I248" s="3">
        <f>233+(148.2-28)+(-0.11883+(-0.075582--0.01428))+0-0-0</f>
        <v>353.01986799999997</v>
      </c>
      <c r="J248" s="3">
        <f>233+(152.4-27)+(0.23766+(0.155448-0.02754))+0-0-0</f>
        <v>358.76556799999997</v>
      </c>
      <c r="K248" s="3">
        <f>233+(177.5-27)+(0.23766+(0.18105-0.02754))+0-0-0</f>
        <v>383.89116999999999</v>
      </c>
      <c r="L248" s="3">
        <f>230+(202.9-29)+(-0.1173+(-0.103479--0.01479))+0-0-0</f>
        <v>403.69401099999999</v>
      </c>
      <c r="M248" s="3">
        <f>268+(175.6-30)+(0+(0-0))+0-0-0</f>
        <v>413.6</v>
      </c>
      <c r="N248" s="3">
        <f>299+(158.6-31)+(-0.15249+(-0.080886--0.01581))+0-0-0</f>
        <v>426.38243400000005</v>
      </c>
      <c r="O248" s="3">
        <f>299+(166.2-31)+(0.15249+(0.084762-0.01581))+0-0-0</f>
        <v>434.42144200000001</v>
      </c>
      <c r="P248" s="3">
        <f>298+(172.6-31)+(-0.15198+(-0.088026--0.01581))+0-0-0</f>
        <v>439.37580400000002</v>
      </c>
      <c r="Q248" s="3">
        <f>298+(179.5-31)+(-0.60792+(-0.36618--0.06324))+0-0-0</f>
        <v>445.58913999999999</v>
      </c>
      <c r="R248" s="3">
        <f>295+(185.9-32)+(-0.75225+(-0.474045--0.0816))+0-0-0</f>
        <v>447.75530499999996</v>
      </c>
      <c r="S248" s="3">
        <f>295+(178.3-32)+(-0.6018+(-0.363732--0.06528))+0-0-0</f>
        <v>440.39974799999999</v>
      </c>
      <c r="T248" s="3">
        <f>266+(198-31)+(-0.40698+(-0.30294--0.04743))+0-0-0</f>
        <v>432.33751000000001</v>
      </c>
      <c r="U248" s="3">
        <f>240+(221.1-31)+(-0.2448+(-0.225522--0.03162))+0-0-0</f>
        <v>429.66129800000004</v>
      </c>
      <c r="V248" s="3">
        <f>264+(221.3-31)+(-0.26928+(-0.225726--0.03162))+0-0-0</f>
        <v>453.836614</v>
      </c>
      <c r="W248" s="3">
        <f>321+(197.1-32)+(0.16371+(0.100521-0.01632))+0-0-0</f>
        <v>486.34791100000001</v>
      </c>
      <c r="X248" s="3">
        <f>320+(197.8-32)+(-0.9792+(-0.605268--0.09792))+0-0-0</f>
        <v>484.31345199999998</v>
      </c>
      <c r="Y248" s="3">
        <f>319+(187.7-32)+(-1.13883+(-0.670089--0.11424))+0-0-0</f>
        <v>473.00532099999998</v>
      </c>
      <c r="Z248" s="3">
        <f>320+(166.6-32)+(-0.4896+(-0.254898--0.04896))+0-0-0</f>
        <v>453.90446200000002</v>
      </c>
      <c r="AA248" s="3">
        <f>320+(156.8-31)+(-0.3264+(-0.159936--0.03162))+0-0-0</f>
        <v>445.34528399999999</v>
      </c>
      <c r="AB248" s="3">
        <f>319+(139.5-31)+(-0.48807+(-0.213435--0.04743))+0-0-0</f>
        <v>426.84592500000002</v>
      </c>
      <c r="AC248" s="3">
        <f>320+(115.8-31)+(-0.1632+(-0.059058--0.01581))+0-0-0</f>
        <v>404.59355199999999</v>
      </c>
      <c r="AD248">
        <v>484</v>
      </c>
      <c r="AE248" s="3">
        <f>321+(195-32)+(0+(0-0))+0-0-0</f>
        <v>484</v>
      </c>
    </row>
    <row r="249" spans="1:31" s="2" customFormat="1" x14ac:dyDescent="0.3">
      <c r="A249">
        <v>90</v>
      </c>
      <c r="B249">
        <v>9</v>
      </c>
      <c r="C249">
        <v>3</v>
      </c>
      <c r="D249">
        <v>6</v>
      </c>
      <c r="E249">
        <v>1</v>
      </c>
      <c r="F249" s="3">
        <f>315+(92.3-31)+(-0.48195+(-0.141219--0.04743))+0-0-0</f>
        <v>375.72426100000001</v>
      </c>
      <c r="G249" s="3">
        <f>291+(98.8-29)+(-0.29682+(-0.100776--0.02958))+0-0-0</f>
        <v>360.431984</v>
      </c>
      <c r="H249" s="3">
        <f>246+(131.3-28)+(-0.50184+(-0.267852--0.05712))+0-0-0</f>
        <v>348.58742799999999</v>
      </c>
      <c r="I249" s="3">
        <f>246+(124.7-28)+(0.25092+(0.127194-0.02856))+0-0-0</f>
        <v>343.049554</v>
      </c>
      <c r="J249" s="3">
        <f>246+(130.1-29)+(-0.50184+(-0.265404--0.05916))+0-0-0</f>
        <v>346.39191600000004</v>
      </c>
      <c r="K249" s="3">
        <f>246+(158.3-30)+(-0.37638+(-0.242199--0.0459))+0-0-0</f>
        <v>373.72732100000002</v>
      </c>
      <c r="L249" s="3">
        <f>247+(172.8-31)+(0+(0-0))+0-0-0</f>
        <v>388.8</v>
      </c>
      <c r="M249" s="3">
        <f>285+(156.2-31)+(0+(0-0))+0-0-0</f>
        <v>410.2</v>
      </c>
      <c r="N249" s="3">
        <f>336+(120.2-31)+(0.34272+(0.122604-0.03162))+0-0-0</f>
        <v>425.63370399999997</v>
      </c>
      <c r="O249" s="3">
        <f>344+(119.9-29)+(-0.17544+(-0.061149--0.01479))+0-0-0</f>
        <v>434.678201</v>
      </c>
      <c r="P249" s="3">
        <f>344+(122.5-30)+(-0.17544+(-0.062475--0.0153))+0-0-0</f>
        <v>436.27738499999998</v>
      </c>
      <c r="Q249" s="3">
        <f>343+(131-30)+(-0.52479+(-0.20043--0.0459))+0-0-0</f>
        <v>443.32067999999998</v>
      </c>
      <c r="R249" s="3">
        <f>337+(133.9-29)+(-0.68748+(-0.273156--0.05916))+0-0-0</f>
        <v>440.99852399999997</v>
      </c>
      <c r="S249" s="3">
        <f>338+(118.6-28)+(0.34476+(0.120972-0.02856))+4-0-0</f>
        <v>433.037172</v>
      </c>
      <c r="T249" s="3">
        <f>337+(110.2-28)+(-0.17187+(-0.056202--0.01428))+0-0-0</f>
        <v>418.98620799999998</v>
      </c>
      <c r="U249" s="3">
        <f>324+(123.9-28)+(-0.16524+(-0.063189--0.01428))+0-0-0</f>
        <v>419.68585099999996</v>
      </c>
      <c r="V249" s="3">
        <f>331+(148.8-29)+(-0.16881+(-0.075888--0.01479))+0-0-0</f>
        <v>450.57009199999999</v>
      </c>
      <c r="W249" s="3">
        <f>349+(168.8-30)+(0.17799+(0.086088-0.0153))+0-0-0</f>
        <v>488.04877800000003</v>
      </c>
      <c r="X249" s="3">
        <f>351+(158.8-31)+(-1.07406+(-0.485928--0.09486))+0-0-0</f>
        <v>477.33487200000002</v>
      </c>
      <c r="Y249" s="3">
        <f>351+(148.6-31)+(-0.53703+(-0.227358--0.04743))+0-0-0</f>
        <v>467.88304200000005</v>
      </c>
      <c r="Z249" s="3">
        <f>351+(132.8-31)+(-0.71604+(-0.270912--0.06324))+0-0-0</f>
        <v>451.87628799999999</v>
      </c>
      <c r="AA249" s="3">
        <f>351+(123.9-31)+(-0.35802+(-0.126378--0.03162))+0-0-0</f>
        <v>443.44722199999995</v>
      </c>
      <c r="AB249" s="3">
        <f>353+(104-31)+(-0.54009+(-0.15912--0.04743))+0-0-0</f>
        <v>425.34822000000003</v>
      </c>
      <c r="AC249" s="3">
        <f>357+(75.6-31)+(-1.09242+(-0.231336--0.09486))+0-0-0</f>
        <v>400.371104</v>
      </c>
      <c r="AD249">
        <v>500</v>
      </c>
      <c r="AE249" s="3">
        <f>362+(169-31)+(0+(0-0))+0-0-0</f>
        <v>500</v>
      </c>
    </row>
    <row r="250" spans="1:31" s="2" customFormat="1" x14ac:dyDescent="0.3">
      <c r="A250">
        <v>90</v>
      </c>
      <c r="B250">
        <v>9</v>
      </c>
      <c r="C250">
        <v>4</v>
      </c>
      <c r="D250">
        <v>7</v>
      </c>
      <c r="E250">
        <v>1</v>
      </c>
      <c r="F250" s="3">
        <f>339+(63.6-31)+(0.34578+(0.064872-0.03162))+0-0-0</f>
        <v>371.97903200000002</v>
      </c>
      <c r="G250" s="3">
        <f>292+(101.3-30)+(-0.44676+(-0.154989--0.0459))+0-0-0</f>
        <v>362.74415099999999</v>
      </c>
      <c r="H250" s="3">
        <f>292+(90.6-30)+(-0.44676+(-0.138618--0.0459))+0-0-0</f>
        <v>352.06052200000005</v>
      </c>
      <c r="I250" s="3">
        <f>292+(84.6-29)+(-0.29784+(-0.086292--0.02958))+0-0-0</f>
        <v>347.24544800000001</v>
      </c>
      <c r="J250" s="3">
        <f>292+(91.5-29)+(-0.44676+(-0.139995--0.04437))+0-0-0</f>
        <v>353.95761499999998</v>
      </c>
      <c r="K250" s="3">
        <f>292+(114.8-30)+(-0.29784+(-0.117096--0.0306))+0-0-0</f>
        <v>376.41566399999999</v>
      </c>
      <c r="L250" s="3">
        <f>235+(183.7-32)+(-0.83895+(-0.655809--0.11424))+0-0-0</f>
        <v>385.319481</v>
      </c>
      <c r="M250" s="3">
        <f>248+(182.4-32)+(-0.25296+(-0.186048--0.03264))+0-0-0</f>
        <v>397.99363199999999</v>
      </c>
      <c r="N250" s="3">
        <f>302+(137-32)+(0.15402+(0.06987-0.01632))+0-0-0</f>
        <v>407.20756999999998</v>
      </c>
      <c r="O250" s="3">
        <f>348+(105.5-31)+(-0.8874+(-0.269025--0.07905))+0-0-0</f>
        <v>421.42262499999998</v>
      </c>
      <c r="P250" s="3">
        <f>345+(116.7-31)+(-0.52785+(-0.178551--0.04743))+0-0-0</f>
        <v>430.04102899999998</v>
      </c>
      <c r="Q250" s="3">
        <f>345+(121.3-31)+(-0.3519+(-0.123726--0.03162))+0-0-0</f>
        <v>434.85599400000001</v>
      </c>
      <c r="R250" s="3">
        <f>345+(123.5-32)+(-0.7038+(-0.25194--0.06528))+0-0-0</f>
        <v>435.60953999999998</v>
      </c>
      <c r="S250" s="3">
        <f>346+(112.7-31)+(-0.52938+(-0.172431--0.04743))+0-0-0</f>
        <v>427.04561899999999</v>
      </c>
      <c r="T250" s="3">
        <f>346+(98.9-31)+(0+(0-0))+0-0-0</f>
        <v>413.9</v>
      </c>
      <c r="U250" s="3">
        <f>347+(98.9-31)+(-0.17697+(-0.050439--0.01581))+0-0-0</f>
        <v>414.688401</v>
      </c>
      <c r="V250" s="3">
        <f>348+(123.1-31)+(0.35496+(0.125562-0.03162))+0-0-0</f>
        <v>440.548902</v>
      </c>
      <c r="W250" s="3">
        <f>352+(161.6-31)+(0.53856+(0.247248-0.04743))+0-0-0</f>
        <v>483.33837800000003</v>
      </c>
      <c r="X250" s="3">
        <f>352+(162.3-31)+(-0.35904+(-0.165546--0.03162))+0-0-0</f>
        <v>482.80703399999999</v>
      </c>
      <c r="Y250" s="3">
        <f>352+(155.3-31)+(-0.35904+(-0.158406--0.03162))+0-0-0</f>
        <v>475.81417400000004</v>
      </c>
      <c r="Z250" s="3">
        <f>351+(138.4-31)+(-0.35802+(-0.141168--0.03162))+0-0-0</f>
        <v>457.93243199999995</v>
      </c>
      <c r="AA250" s="3">
        <f>351+(119.9-31)+(-0.53703+(-0.183447--0.04743))+0-0-0</f>
        <v>439.22695299999998</v>
      </c>
      <c r="AB250" s="3">
        <f>351+(99.3-31)+(-0.17901+(-0.050643--0.01581))+0-0-0</f>
        <v>419.08615700000001</v>
      </c>
      <c r="AC250" s="3">
        <f>351+(70.9-30)+(-0.53703+(-0.108477--0.0459))+0-0-0</f>
        <v>391.30039299999999</v>
      </c>
      <c r="AD250">
        <v>484.9</v>
      </c>
      <c r="AE250" s="3">
        <f>352+(163.9-31)+(0+(0-0))+0-0-0</f>
        <v>484.9</v>
      </c>
    </row>
    <row r="251" spans="1:31" s="2" customFormat="1" x14ac:dyDescent="0.3">
      <c r="A251">
        <v>90</v>
      </c>
      <c r="B251">
        <v>9</v>
      </c>
      <c r="C251">
        <v>5</v>
      </c>
      <c r="D251">
        <v>1</v>
      </c>
      <c r="E251">
        <v>1</v>
      </c>
      <c r="F251" s="3">
        <f>344+(51.3-28)+(-0.17544+(-0.026163--0.01428))+0-0-0</f>
        <v>367.11267700000002</v>
      </c>
      <c r="G251" s="3">
        <f>299+(80.5-28)+(0+(0-0))+0-0-0</f>
        <v>351.5</v>
      </c>
      <c r="H251" s="3">
        <f>313+(57.9-28)+(0.31926+(0.059058-0.02856))+0-0-0</f>
        <v>343.24975799999999</v>
      </c>
      <c r="I251" s="3">
        <f>318+(48-27)+(0.8109+(0.1224-0.06885))+0-0-0</f>
        <v>339.86444999999998</v>
      </c>
      <c r="J251" s="3">
        <f>348+(25-27)+(-0.17748+(-0.01275--0.01377))+0-0-0</f>
        <v>345.82353999999998</v>
      </c>
      <c r="K251" s="3">
        <f>349+(60.4-30)+(0.71196+(0.123216-0.0612))+0-0-0</f>
        <v>380.17397599999998</v>
      </c>
      <c r="L251" s="3">
        <f>346+(86-32)+(0.52938+(0.13158-0.04896))+0-0-0</f>
        <v>400.61200000000002</v>
      </c>
      <c r="M251" s="3">
        <f>359+(82.2-32)+(-0.36618+(-0.083844--0.03264))+0-0-0</f>
        <v>408.78261599999996</v>
      </c>
      <c r="N251" s="3">
        <f>349+(101.4-26)+(0.35598+(0.103428-0.02652))+0-0-0</f>
        <v>424.83288799999997</v>
      </c>
      <c r="O251" s="3">
        <f>344+(112.1-25)+(-0.52632+(-0.171513--0.03825))+0-0-0</f>
        <v>430.44041700000002</v>
      </c>
      <c r="P251" s="3">
        <f>345+(120.3-29)+(0.3519+(0.122706-0.02958))+0-0-0</f>
        <v>436.745026</v>
      </c>
      <c r="Q251" s="3">
        <f>345+(123-31)+(0+(0-0))+0-0-0</f>
        <v>437</v>
      </c>
      <c r="R251" s="3">
        <f>347+(129.3-30)+(-0.53091+(-0.197829--0.0459))+0-0-0</f>
        <v>445.61716100000001</v>
      </c>
      <c r="S251" s="3">
        <f>348+(121.9-29)+(-0.17748+(-0.062169--0.01479))+0-0-0</f>
        <v>440.675141</v>
      </c>
      <c r="T251" s="3">
        <f>348+(110.7-29)+(-0.17748+(-0.056457--0.01479))+0-0-0</f>
        <v>429.48085299999997</v>
      </c>
      <c r="U251" s="3">
        <f>351+(106.9-29)+(-0.53703+(-0.163557--0.04437))+0-0-0</f>
        <v>428.24378299999995</v>
      </c>
      <c r="V251" s="3">
        <f>352+(139.6-29)+(0.35904+(0.142392-0.02958))+0-0-0</f>
        <v>463.07185200000004</v>
      </c>
      <c r="W251" s="3">
        <f>353+(176.6-30)+(0.18003+(0.090066-0.0153))+0-0-0</f>
        <v>499.85479600000002</v>
      </c>
      <c r="X251" s="3">
        <f>352+(175-31)+(-0.53856+(-0.26775--0.04743))+0-0-0</f>
        <v>495.24112000000002</v>
      </c>
      <c r="Y251" s="3">
        <f>353+(163.2-31)+(-0.18003+(-0.083232--0.01581))+0-0-0</f>
        <v>484.95254799999998</v>
      </c>
      <c r="Z251" s="3">
        <f>352+(143.7-31)+(-0.35904+(-0.146574--0.03162))+0-0-0</f>
        <v>464.22600599999998</v>
      </c>
      <c r="AA251" s="3">
        <f>352+(132.5-31)+(-0.35904+(-0.13515--0.03162))+0-0-0</f>
        <v>453.03742999999997</v>
      </c>
      <c r="AB251" s="3">
        <f>353+(105.5-30)+(-0.18003+(-0.053805--0.0153))+0-0-0</f>
        <v>428.28146500000003</v>
      </c>
      <c r="AC251" s="3">
        <f>352+(83.9-30)+(-0.17952+(-0.042789--0.0153))+0-0-0</f>
        <v>405.69299099999995</v>
      </c>
      <c r="AD251">
        <v>501.70000000000005</v>
      </c>
      <c r="AE251" s="3">
        <f>352+(180.7-31)+(0+(0-0))+0-0-0</f>
        <v>501.7</v>
      </c>
    </row>
    <row r="252" spans="1:31" s="2" customFormat="1" x14ac:dyDescent="0.3">
      <c r="A252">
        <v>90</v>
      </c>
      <c r="B252">
        <v>9</v>
      </c>
      <c r="C252">
        <v>6</v>
      </c>
      <c r="D252">
        <v>2</v>
      </c>
      <c r="E252">
        <v>1</v>
      </c>
      <c r="F252" s="3">
        <f>324+(90.8-29)+(-0.33048+(-0.092616--0.02958))+0-0-0</f>
        <v>385.40648400000003</v>
      </c>
      <c r="G252" s="3">
        <f>298+(100.1-29)+(-0.30396+(-0.102102--0.02958))+0-0-0</f>
        <v>368.72351800000001</v>
      </c>
      <c r="H252" s="3">
        <f>244+(141.4-29)+(0.24888+(0.144228-0.02958))+0-0-0</f>
        <v>356.76352799999995</v>
      </c>
      <c r="I252" s="3">
        <f>250+(133-29)+(0.3825+(0.20349-0.04437))+0-0-0</f>
        <v>354.54162000000002</v>
      </c>
      <c r="J252" s="3">
        <f>250+(147.3-30)+(0.6375+(0.375615-0.0765))+0-0-0</f>
        <v>368.23661500000003</v>
      </c>
      <c r="K252" s="3">
        <f>249+(175.4-32)+(0.38097+(0.268362-0.04896))+0-0-0</f>
        <v>393.00037199999997</v>
      </c>
      <c r="L252" s="3">
        <f>247+(207.5-32)+(-0.50388+(-0.4233--0.06528))+0-0-0</f>
        <v>421.63810000000001</v>
      </c>
      <c r="M252" s="3">
        <f>259+(213.1-33)+(-0.13209+(-0.108681--0.01683))+0-0-0</f>
        <v>438.876059</v>
      </c>
      <c r="N252" s="3">
        <f>303+(170.6-34)+(0.30906+(0.174012-0.03468))+0-0-0</f>
        <v>440.04839200000004</v>
      </c>
      <c r="O252" s="3">
        <f>303+(172.3-34)+(0+(0-0))+0-0-0</f>
        <v>441.3</v>
      </c>
      <c r="P252" s="3">
        <f>303+(175.9-33)+(0.15453+(0.089709-0.01683))+0-0-0</f>
        <v>446.127409</v>
      </c>
      <c r="Q252" s="3">
        <f>302+(162.8-32)+(-0.30804+(-0.166056--0.03264))+0-0-0</f>
        <v>432.35854399999999</v>
      </c>
      <c r="R252" s="3">
        <f>297+(180.4-31)+(-0.90882+(-0.552024--0.09486))+0-0-0</f>
        <v>445.03401599999995</v>
      </c>
      <c r="S252" s="3">
        <f>298+(180.9-30)+(-0.7599+(-0.461295--0.0765))+0-0-0</f>
        <v>447.75530499999996</v>
      </c>
      <c r="T252" s="3">
        <f>298+(160.4-30)+(-0.30396+(-0.163608--0.0306))+0-0-0</f>
        <v>427.963032</v>
      </c>
      <c r="U252" s="3">
        <f>299+(154.4-30)+(0.30498+(0.157488-0.0306))+0-0-0</f>
        <v>423.83186799999999</v>
      </c>
      <c r="V252" s="3">
        <f>303+(175.7-31)+(0.30906+(0.179214-0.03162))+0-0-0</f>
        <v>448.156654</v>
      </c>
      <c r="W252" s="3">
        <f>303+(227.2-33)+(0.46359+(0.347616-0.05049))+0-0-0</f>
        <v>497.96071599999999</v>
      </c>
      <c r="X252" s="3">
        <f>302+(226.8-32)+(-0.46206+(-0.347004--0.04896))+0-0-0</f>
        <v>496.039896</v>
      </c>
      <c r="Y252" s="3">
        <f>303+(202.8-31)+(-0.30906+(-0.206856--0.03162))+0-0-0</f>
        <v>474.31570400000004</v>
      </c>
      <c r="Z252" s="3">
        <f>303+(188.8-31)+(-0.15453+(-0.096288--0.01581))+0-0-0</f>
        <v>460.56499200000002</v>
      </c>
      <c r="AA252" s="3">
        <f>302+(170-30)+(-0.30804+(-0.1734--0.0306))+0-0-0</f>
        <v>441.54915999999997</v>
      </c>
      <c r="AB252" s="3">
        <f>300+(146.7-30)+(-0.918+(-0.448902--0.0918))+0-0-0</f>
        <v>415.42489799999998</v>
      </c>
      <c r="AC252" s="3">
        <f>298+(122.3-30)+(-0.7599+(-0.311865--0.0765))+0-0-0</f>
        <v>389.30473499999999</v>
      </c>
      <c r="AD252">
        <v>498.20000000000005</v>
      </c>
      <c r="AE252" s="3">
        <f>303+(227.2-32)+(0+(0-0))+0-0-0</f>
        <v>498.2</v>
      </c>
    </row>
    <row r="253" spans="1:31" s="2" customFormat="1" x14ac:dyDescent="0.3">
      <c r="A253">
        <v>90</v>
      </c>
      <c r="B253">
        <v>9</v>
      </c>
      <c r="C253">
        <v>7</v>
      </c>
      <c r="D253">
        <v>3</v>
      </c>
      <c r="E253">
        <v>1</v>
      </c>
      <c r="F253" s="3">
        <f>304+(104.1-30)+(-0.15504+(-0.053091--0.0153))+0-0-0</f>
        <v>377.90716900000001</v>
      </c>
      <c r="G253" s="3">
        <f>303+(94.2-30)+(-0.61812+(-0.192168--0.0612))+0-0-0</f>
        <v>366.45091200000002</v>
      </c>
      <c r="H253" s="3">
        <f>304+(83.4-30)+(0.46512+(0.127602-0.0459))+0-0-0</f>
        <v>357.946822</v>
      </c>
      <c r="I253" s="3">
        <f>262+(119.3-31)+(-0.40086+(-0.182529--0.04743))+0-0-0</f>
        <v>349.76404100000002</v>
      </c>
      <c r="J253" s="3">
        <f>234+(149.7-32)+(0.47736+(0.305388-0.06528))+0-0-0</f>
        <v>352.41746799999999</v>
      </c>
      <c r="K253" s="3">
        <f>234+(189.8-32)+(0.11934+(0.096798-0.01632))+0-0-0</f>
        <v>391.999818</v>
      </c>
      <c r="L253" s="3">
        <f>233+(198.2-13)+(-0.11883+(-0.101082--0.00663))+0-0-0</f>
        <v>417.986718</v>
      </c>
      <c r="M253" s="3">
        <f>279+(178.5-30)+(-0.14229+(-0.091035--0.0153))+0-0-0</f>
        <v>427.28197499999999</v>
      </c>
      <c r="N253" s="3">
        <f>298+(164.3-31)+(-0.15198+(-0.083793--0.01581))+0-0-0</f>
        <v>431.080037</v>
      </c>
      <c r="O253" s="3">
        <f>311+(150-31)+(-0.15861+(-0.0765--0.01581))+0-0-0</f>
        <v>429.78070000000002</v>
      </c>
      <c r="P253" s="3">
        <f>317+(145.8-31)+(-0.16167+(-0.074358--0.01581))+0-0-0</f>
        <v>431.57978200000002</v>
      </c>
      <c r="Q253" s="3">
        <f>316+(151.3-31)+(-0.48348+(-0.231489--0.04743))+0-0-0</f>
        <v>435.63246100000003</v>
      </c>
      <c r="R253" s="3">
        <f>315+(158.9-30)+(-0.48195+(-0.243117--0.0459))+0-0-0</f>
        <v>443.22083299999997</v>
      </c>
      <c r="S253" s="3">
        <f>316+(152.9-30)+(-0.16116+(-0.077979--0.0153))+0-0-0</f>
        <v>438.67616099999998</v>
      </c>
      <c r="T253" s="3">
        <f>316+(144.1-30)+(0.48348+(0.220473-0.0459))+0-0-0</f>
        <v>430.75805300000002</v>
      </c>
      <c r="U253" s="3">
        <f>317+(145.8-31)+(0+(0-0))+0-0-0</f>
        <v>431.8</v>
      </c>
      <c r="V253" s="3">
        <f>316+(176.3-32)+(-0.64464+(-0.359652--0.06528))+0-0-0</f>
        <v>459.36098800000002</v>
      </c>
      <c r="W253" s="3">
        <f>324+(207.9-32)+(0.16524+(0.106029-0.01632))+0-0-0</f>
        <v>500.15494899999999</v>
      </c>
      <c r="X253" s="3">
        <f>326+(201.2-31)+(-0.49878+(-0.307836--0.04743))+0-0-0</f>
        <v>495.44081399999999</v>
      </c>
      <c r="Y253" s="3">
        <f>327+(192.1-31)+(0+(0-0))+0-0-0</f>
        <v>488.1</v>
      </c>
      <c r="Z253" s="3">
        <f>327+(174.9-30)+(0+(0-0))+0-0-0</f>
        <v>471.9</v>
      </c>
      <c r="AA253" s="3">
        <f>326+(164.5-30)+(-0.66504+(-0.33558--0.0612))+0-0-0</f>
        <v>459.56058000000002</v>
      </c>
      <c r="AB253" s="3">
        <f>325+(147.7-29)+(-1.16025+(-0.527289--0.10353))+0-0-0</f>
        <v>442.11599100000001</v>
      </c>
      <c r="AC253" s="3">
        <f>325+(120-29)+(-0.82875+(-0.306--0.07395))+0-0-0</f>
        <v>414.93920000000003</v>
      </c>
      <c r="AD253">
        <v>493.20000000000005</v>
      </c>
      <c r="AE253" s="3">
        <f>321+(205.2-33)+(0+(0-0))+0-0-0</f>
        <v>493.2</v>
      </c>
    </row>
    <row r="254" spans="1:31" s="2" customFormat="1" x14ac:dyDescent="0.3">
      <c r="A254">
        <v>90</v>
      </c>
      <c r="B254">
        <v>9</v>
      </c>
      <c r="C254">
        <v>8</v>
      </c>
      <c r="D254">
        <v>4</v>
      </c>
      <c r="E254">
        <v>1</v>
      </c>
      <c r="F254" s="3">
        <f>323+(101.2-29)+(-1.15311+(-0.361284--0.10353))+0-0-0</f>
        <v>393.78913599999998</v>
      </c>
      <c r="G254" s="3">
        <f>306+(97.7-29)+(-0.62424+(-0.199308--0.05916))+0-0-0</f>
        <v>373.93561199999999</v>
      </c>
      <c r="H254" s="3">
        <f>306+(86.4-28)+(0+(0-0))+0-0-0</f>
        <v>364.4</v>
      </c>
      <c r="I254" s="3">
        <f>306+(83.8-30)+(-0.31212+(-0.085476--0.0306))+0-0-0</f>
        <v>359.43300400000004</v>
      </c>
      <c r="J254" s="3">
        <f>244+(149.7-30)+(0+(0-0))+0-0-0</f>
        <v>363.7</v>
      </c>
      <c r="K254" s="3">
        <f>232+(190.3-31)+(0.35496+(0.291159-0.04743))+0-0-0</f>
        <v>391.89868899999999</v>
      </c>
      <c r="L254" s="3">
        <f>229+(219.8-30)+(-0.46716+(-0.448392--0.0612))+0-0-0</f>
        <v>417.94564800000001</v>
      </c>
      <c r="M254" s="3">
        <f>270+(191.9-29)+(-0.1377+(-0.097869--0.01479))+0-0-0</f>
        <v>432.67922099999998</v>
      </c>
      <c r="N254" s="3">
        <f>335+(120.2-29)+(0+(0-0))+0-0-0</f>
        <v>426.2</v>
      </c>
      <c r="O254" s="3">
        <f>352+(116-33)+(-0.17952+(-0.05916--0.01683))+0-0-0</f>
        <v>434.77814999999998</v>
      </c>
      <c r="P254" s="3">
        <f>349+(116.4-29.2)+(-0.71196+(-0.237456--0.059568))+0-0-0</f>
        <v>435.31015200000002</v>
      </c>
      <c r="Q254" s="3">
        <f>347+(120-31.1)+(-0.88485+(-0.306--0.079305))+0-0-0</f>
        <v>434.788455</v>
      </c>
      <c r="R254" s="3">
        <f>350+(124.3-32.5)+(-0.8925+(-0.316965--0.082875))+0-0-0</f>
        <v>440.67340999999999</v>
      </c>
      <c r="S254" s="3">
        <f>350+(122.8-33.6)+(-0.5355+(-0.187884--0.051408))+0-0-0</f>
        <v>438.52802400000002</v>
      </c>
      <c r="T254" s="3">
        <f>350+(117.5-36.1)+(-0.5355+(-0.179775--0.055233))+0-0-0</f>
        <v>430.739958</v>
      </c>
      <c r="U254" s="3">
        <f>349+(118.9-36.9)+(-0.35598+(-0.121278--0.037638))+0-0-0</f>
        <v>430.56038000000001</v>
      </c>
      <c r="V254" s="3">
        <f>350+(144-33)+(0+(0-0))+0-0-0</f>
        <v>461</v>
      </c>
      <c r="W254" s="3">
        <f>354+(175.4-30)+(0.72216+(0.357816-0.0612))+0-0-0</f>
        <v>500.41877599999998</v>
      </c>
      <c r="X254" s="3">
        <f>353+(172.3-31)+(-0.54009+(-0.263619--0.04743))+0-0-0</f>
        <v>493.54372100000001</v>
      </c>
      <c r="Y254" s="3">
        <f>353+(154.6-30)+(-1.08018+(-0.473076--0.0918))+0-0-0</f>
        <v>476.13854400000002</v>
      </c>
      <c r="Z254" s="3">
        <f>353+(137.4-30)+(-0.54009+(-0.210222--0.0459))+0-0-0</f>
        <v>459.69558799999999</v>
      </c>
      <c r="AA254" s="3">
        <f>353+(122.7-31.2)+(-0.54009+(-0.187731--0.047736))+0-0-0</f>
        <v>443.81991499999998</v>
      </c>
      <c r="AB254" s="3">
        <f>354+(112.6-34.4)+(-0.18054+(-0.057426--0.017544))+0-0-0</f>
        <v>431.979578</v>
      </c>
      <c r="AC254" s="3">
        <f>352+(96-37.7)+(-0.8976+(-0.2448--0.096135))+0-0-0</f>
        <v>409.25373500000001</v>
      </c>
      <c r="AD254">
        <v>501.6</v>
      </c>
      <c r="AE254" s="3">
        <f>360+(172.6-31)+(0+(0-0))+0-0-0</f>
        <v>501.6</v>
      </c>
    </row>
    <row r="255" spans="1:31" s="2" customFormat="1" x14ac:dyDescent="0.3">
      <c r="A255">
        <v>90</v>
      </c>
      <c r="B255">
        <v>9</v>
      </c>
      <c r="C255">
        <v>9</v>
      </c>
      <c r="D255">
        <v>5</v>
      </c>
      <c r="E255">
        <v>1</v>
      </c>
      <c r="F255" s="3">
        <f>302+(110.3-30)+(-0.61608+(-0.225012--0.0612))+0-0-0</f>
        <v>381.52010799999999</v>
      </c>
      <c r="G255" s="3">
        <f>251+(141.3-29)+(0.12801+(0.072063-0.01479))+0-0-0</f>
        <v>363.48528300000004</v>
      </c>
      <c r="H255" s="3">
        <f>258+(126.9-28)+(0.26316+(0.129438-0.02856))+0-0-0</f>
        <v>357.26403799999997</v>
      </c>
      <c r="I255" s="3">
        <f>258+(125.6-28)+(-0.39474+(-0.192168--0.04284))+0-0-0</f>
        <v>355.05593200000004</v>
      </c>
      <c r="J255" s="3">
        <f>258+(132.3-29)+(-0.13158+(-0.067473--0.01479))+0-0-0</f>
        <v>361.11573700000002</v>
      </c>
      <c r="K255" s="3">
        <f>277+(154-31)+(0.56508+(0.31416-0.06324))+0-0-0</f>
        <v>400.81599999999997</v>
      </c>
      <c r="L255" s="3">
        <f>296+(160.7-30)+(0+(0-0))+0-0-0</f>
        <v>426.7</v>
      </c>
      <c r="M255" s="3">
        <f>297+(168.8-30)+(-0.15147+(-0.086088--0.0153))+0-0-0</f>
        <v>435.577742</v>
      </c>
      <c r="N255" s="3">
        <f>311+(158.2-29)+(0+(0-0))+0-0-0</f>
        <v>440.2</v>
      </c>
      <c r="O255" s="3">
        <f>398+(85-36)+(0+(0-0))+0-0-0</f>
        <v>447</v>
      </c>
      <c r="P255" s="3">
        <f>401+(83-40.6)+(-0.20451+(-0.04233--0.020706))+0-0-0</f>
        <v>443.17386599999998</v>
      </c>
      <c r="Q255" s="3">
        <f>401+(80.2-41)+(-0.20451+(-0.040902--0.02091))+0-0-0</f>
        <v>439.97549800000002</v>
      </c>
      <c r="R255" s="3">
        <f>396+(81.4-36.6)+(0+(0-0))+0-0-0</f>
        <v>440.8</v>
      </c>
      <c r="S255" s="3">
        <f>394+(80.3-36.4)+(0+(0-0))+0-0-0</f>
        <v>437.9</v>
      </c>
      <c r="T255" s="3">
        <f>340+(112.2-26)+(0.3468+(0.114444-0.02652))+0-0-0</f>
        <v>426.63472400000001</v>
      </c>
      <c r="U255" s="3">
        <f>343+(113.2-25)+(-0.34986+(-0.115464--0.0255))+0-0-0</f>
        <v>430.760176</v>
      </c>
      <c r="V255" s="3">
        <f>343+(143.4-26)+(0+(0-0))+0-0-0</f>
        <v>460.4</v>
      </c>
      <c r="W255" s="3">
        <f>346+(180.2-29)+(0+(0-0))+0-0-0</f>
        <v>497.2</v>
      </c>
      <c r="X255" s="3">
        <f>345+(178.6-31)+(-0.52785+(-0.273258--0.04743))+0-0-0</f>
        <v>491.84632200000004</v>
      </c>
      <c r="Y255" s="3">
        <f>395+(133.1-31)+(-0.8058+(-0.271524--0.06324))+0-0-0</f>
        <v>496.085916</v>
      </c>
      <c r="Z255" s="3">
        <f>395+(91.2-30)+(-0.4029+(-0.093024--0.0306))+0-0-0</f>
        <v>455.73467599999998</v>
      </c>
      <c r="AA255" s="3">
        <f>406+(78.8-28.2)+(-0.62118+(-0.120564--0.043146))+0-0-0</f>
        <v>455.90140200000002</v>
      </c>
      <c r="AB255" s="3">
        <f>405+(65.3-28.5)+(-0.8262+(-0.133212--0.05814))+0-0-0</f>
        <v>440.89872800000001</v>
      </c>
      <c r="AC255" s="3">
        <f>405+(49.6-33.1)+(-0.8262+(-0.101184--0.067524))+0-0-0</f>
        <v>420.64013999999997</v>
      </c>
      <c r="AD255">
        <v>505</v>
      </c>
      <c r="AE255" s="3">
        <f>357+(178-30)+(0+(0-0))+0-0-0</f>
        <v>505</v>
      </c>
    </row>
    <row r="256" spans="1:31" s="2" customFormat="1" x14ac:dyDescent="0.3">
      <c r="A256">
        <v>90</v>
      </c>
      <c r="B256">
        <v>9</v>
      </c>
      <c r="C256">
        <v>10</v>
      </c>
      <c r="D256">
        <v>6</v>
      </c>
      <c r="E256">
        <v>1</v>
      </c>
      <c r="F256" s="3">
        <f>319+(94.9-23)+(-0.48807+(-0.145197--0.03519))+0-0-0</f>
        <v>390.30192299999999</v>
      </c>
      <c r="G256" s="3">
        <f>293+(107.5-22)+(-1.19544+(-0.4386--0.08976))+0-0-0</f>
        <v>376.95571999999999</v>
      </c>
      <c r="H256" s="3">
        <f>293+(94.1-21)+(-1.04601+(-0.335937--0.07497))+0-0-0</f>
        <v>364.79302300000001</v>
      </c>
      <c r="I256" s="3">
        <f>278+(106.5-20)+(-0.56712+(-0.21726--0.0408))+0-0-0</f>
        <v>363.75641999999999</v>
      </c>
      <c r="J256" s="3">
        <f>255+(137.6-22)+(-0.13005+(-0.070176--0.01122))+0-0-0</f>
        <v>370.41099400000002</v>
      </c>
      <c r="K256" s="3">
        <f>255+(174.3-24)+(0+(0-0))+0-0-0</f>
        <v>405.3</v>
      </c>
      <c r="L256" s="3">
        <f>255+(191.2-27)+(-0.2601+(-0.195024--0.02754))+0-0-0</f>
        <v>418.77241599999996</v>
      </c>
      <c r="M256" s="3">
        <f>261+(204.2-28)+(0.13311+(0.104142-0.01428))+0-0-0</f>
        <v>437.42297200000002</v>
      </c>
      <c r="N256" s="3">
        <f>292+(174.9-28)+(0.29784+(0.178398-0.02856))+0-0-0</f>
        <v>439.34767799999997</v>
      </c>
      <c r="O256" s="3">
        <f>299+(190.1-28)+(-0.15249+(-0.096951--0.01428))+0-0-0</f>
        <v>460.86483900000002</v>
      </c>
      <c r="P256" s="3">
        <f>328+(161.7-29)+(0+(0-0))+0-0-0</f>
        <v>460.7</v>
      </c>
      <c r="Q256" s="3">
        <f>327+(162.1-30)+(-0.50031+(-0.248013--0.0459))+0-0-0</f>
        <v>458.39757700000001</v>
      </c>
      <c r="R256" s="3">
        <f>328+(154-31)+(-1.00368+(-0.47124--0.09486))+0-0-0</f>
        <v>449.61993999999999</v>
      </c>
      <c r="S256" s="3">
        <f>337+(131.3-30)+(-0.85935+(-0.334815--0.0765))+0-0-0</f>
        <v>437.18233500000002</v>
      </c>
      <c r="T256" s="3">
        <f>338+(121.6-30)+(0.17238+(0.062016-0.0153))+0-0-0</f>
        <v>429.819096</v>
      </c>
      <c r="U256" s="3">
        <f>327+(133.7-30)+(-0.50031+(-0.204561--0.0459))+0-0-0</f>
        <v>430.04102899999998</v>
      </c>
      <c r="V256" s="3">
        <f>337+(156.4-30)+(0+(0-0))+0-0-0</f>
        <v>463.4</v>
      </c>
      <c r="W256" s="3">
        <f>352+(174.1-32)+(-0.17952+(-0.088791--0.01632))+0-0-0</f>
        <v>493.84800900000005</v>
      </c>
      <c r="X256" s="3">
        <f>352+(167.4-32)+(0.35904+(0.170748-0.03264))+0-0-0</f>
        <v>487.89714799999996</v>
      </c>
      <c r="Y256" s="3">
        <f>351+(158.8-32)+(-0.71604+(-0.323952--0.06528))+0-0-0</f>
        <v>476.825288</v>
      </c>
      <c r="Z256" s="3">
        <f>351+(138.6-32)+(-0.71604+(-0.282744--0.06528))+0-0-0</f>
        <v>456.666496</v>
      </c>
      <c r="AA256" s="3">
        <f>352+(130.8-32)+(0.17952+(0.066708-0.01632))+0-0-0</f>
        <v>451.02990800000003</v>
      </c>
      <c r="AB256" s="3">
        <f>348+(120.4-30)+(-0.17748+(-0.061404--0.0153))+0-0-0</f>
        <v>438.17641599999996</v>
      </c>
      <c r="AC256" s="3">
        <f>347+(96.3-30)+(-0.53091+(-0.147339--0.0459))+0-0-0</f>
        <v>412.66765100000003</v>
      </c>
      <c r="AD256">
        <v>495.1</v>
      </c>
      <c r="AE256" s="3">
        <f>352+(175.1-32)+(0+(0-0))+0-0-0</f>
        <v>495.1</v>
      </c>
    </row>
    <row r="257" spans="1:31" s="2" customFormat="1" x14ac:dyDescent="0.3">
      <c r="A257">
        <v>90</v>
      </c>
      <c r="B257">
        <v>9</v>
      </c>
      <c r="C257">
        <v>11</v>
      </c>
      <c r="D257">
        <v>7</v>
      </c>
      <c r="E257">
        <v>1</v>
      </c>
      <c r="F257" s="3">
        <f>300+(115.8-22)+(-0.765+(-0.29529--0.0561))+0-0-0</f>
        <v>392.79581000000002</v>
      </c>
      <c r="G257" s="3">
        <f>296+(108.7-21)+(-0.30192+(-0.110874--0.02142))+0-0-0</f>
        <v>383.308626</v>
      </c>
      <c r="H257" s="3">
        <f>296+(100.2-20)+(-0.30192+(-0.102204--0.0204))+0-0-0</f>
        <v>375.81627600000002</v>
      </c>
      <c r="I257" s="3">
        <f>297+(93.3-20)+(-0.15147+(-0.047583--0.0102))+0-0-0</f>
        <v>370.11114700000002</v>
      </c>
      <c r="J257" s="3">
        <f>296+(99-22)+(-0.15096+(-0.05049--0.01122))+0-0-0</f>
        <v>372.80977000000001</v>
      </c>
      <c r="K257" s="3">
        <f>298+(132.9-24)+(0.60792+(0.271116-0.04896))+0-0-0</f>
        <v>407.730076</v>
      </c>
      <c r="L257" s="3">
        <f>293+(145.2-27)+(-0.29886+(-0.148104--0.02754))+0-0-0</f>
        <v>410.780576</v>
      </c>
      <c r="M257" s="3">
        <f>293+(155.6-29)+(0+(0-0))+0-0-0</f>
        <v>419.6</v>
      </c>
      <c r="N257" s="3">
        <f>294+(161.9-30)+(0+(0-0))+0-0-0</f>
        <v>425.9</v>
      </c>
      <c r="O257" s="3">
        <f>302+(166.3-31)+(-0.15402+(-0.084813--0.01581))+0-0-0</f>
        <v>437.076977</v>
      </c>
      <c r="P257" s="3">
        <f>295+(183.9-32)+(-0.45135+(-0.281367--0.04896))+0-0-0</f>
        <v>446.21624299999996</v>
      </c>
      <c r="Q257" s="3">
        <f>295+(191-32)+(-0.6018+(-0.38964--0.06528))+0-0-0</f>
        <v>453.07384000000002</v>
      </c>
      <c r="R257" s="3">
        <f>293+(186.1-31)+(-0.74715+(-0.474555--0.07905))+0-0-0</f>
        <v>446.95734500000003</v>
      </c>
      <c r="S257" s="3">
        <f>293+(170.8-29)+(-0.29886+(-0.174216--0.02958))+0-0-0</f>
        <v>434.35650400000003</v>
      </c>
      <c r="T257" s="3">
        <f>294+(161.5-26)+(0+(0-0))+0-0-0</f>
        <v>429.5</v>
      </c>
      <c r="U257" s="3">
        <f>294+(162-26)+(0.44982+(0.24786-0.03978))+0-0-0</f>
        <v>430.65789999999998</v>
      </c>
      <c r="V257" s="3">
        <f>295+(193.6-28)+(0+(0-0))+0-0-0</f>
        <v>460.6</v>
      </c>
      <c r="W257" s="3">
        <f>304+(234.2-31)+(-0.31008+(-0.238884--0.03162))+0-0-0</f>
        <v>506.68265600000001</v>
      </c>
      <c r="X257" s="3">
        <f>299+(234.8-31)+(-0.15249+(-0.119748--0.01581))+0-0-0</f>
        <v>502.54357199999998</v>
      </c>
      <c r="Y257" s="3">
        <f>299+(222.3-30)+(-0.45747+(-0.340119--0.0459))+0-0-0</f>
        <v>490.54831100000001</v>
      </c>
      <c r="Z257" s="3">
        <f>299+(201.8-30)+(-0.30498+(-0.205836--0.0306))+0-0-0</f>
        <v>470.31978400000003</v>
      </c>
      <c r="AA257" s="3">
        <f>299+(187.1-30)+(0.15249+(0.095421-0.0153))+0-0-0</f>
        <v>456.33261100000004</v>
      </c>
      <c r="AB257" s="3">
        <f>299+(165.6-28)+(0.30498+(0.168912-0.02856))+0-0-0</f>
        <v>437.04533200000003</v>
      </c>
      <c r="AC257" s="3">
        <f>298+(141-27)+(0+(0-0))+0-0-0</f>
        <v>412</v>
      </c>
      <c r="AD257">
        <v>518.70000000000005</v>
      </c>
      <c r="AE257" s="3">
        <f>311+(239.7-32)+(0+(0-0))+0-0-0</f>
        <v>518.70000000000005</v>
      </c>
    </row>
    <row r="258" spans="1:31" s="2" customFormat="1" x14ac:dyDescent="0.3">
      <c r="A258">
        <v>90</v>
      </c>
      <c r="B258">
        <v>9</v>
      </c>
      <c r="C258">
        <v>12</v>
      </c>
      <c r="D258">
        <v>1</v>
      </c>
      <c r="E258">
        <v>1</v>
      </c>
      <c r="F258" s="3">
        <f>295+(122.2-27)+(-0.3009+(-0.124644--0.02754))+0-0-0</f>
        <v>389.80199599999997</v>
      </c>
      <c r="G258" s="3">
        <f>296+(109.8-26)+(-0.15096+(-0.055998--0.01326))+0-0-0</f>
        <v>379.60630200000003</v>
      </c>
      <c r="H258" s="3">
        <f>295+(94.9-25)+(-0.3009+(-0.096798--0.0255))+0-0-0</f>
        <v>364.52780199999995</v>
      </c>
      <c r="I258" s="3">
        <f>296+(90.1-25)+(-0.15096+(-0.045951--0.01275))+0-0-0</f>
        <v>360.91583900000001</v>
      </c>
      <c r="J258" s="3">
        <f>296+(91.4-27)+(0.15096+(0.046614-0.01377))+0-0-0</f>
        <v>360.58380399999999</v>
      </c>
      <c r="K258" s="3">
        <f>296+(131.4-28)+(-0.15096+(-0.067014--0.01428))+0-0-0</f>
        <v>399.19630599999999</v>
      </c>
      <c r="L258" s="3">
        <f>285+(166.6-29)+(-0.14535+(-0.084966--0.01479))+0-0-0</f>
        <v>422.38447400000001</v>
      </c>
      <c r="M258" s="3">
        <f>275+(185.8-29)+(-0.42075+(-0.284274--0.04437))+0-0-0</f>
        <v>431.13934599999999</v>
      </c>
      <c r="N258" s="3">
        <f>303+(166.4-30)+(-0.15453+(-0.084864--0.0153))+0-0-0</f>
        <v>439.175906</v>
      </c>
      <c r="O258" s="3">
        <f>304+(163.7-30)+(-0.31008+(-0.166974--0.0306))+0-0-0</f>
        <v>437.25354599999997</v>
      </c>
      <c r="P258" s="3">
        <f>304+(171.2-31)+(-0.15504+(-0.087312--0.01581))+0-0-0</f>
        <v>443.97345799999999</v>
      </c>
      <c r="Q258" s="3">
        <f>299+(170.4-31)+(-0.15249+(-0.086904--0.01581))+0-0-0</f>
        <v>438.17641599999996</v>
      </c>
      <c r="R258" s="3">
        <f>302+(175.2-31)+(-0.61608+(-0.357408--0.06324))+0-0-0</f>
        <v>445.28975199999996</v>
      </c>
      <c r="S258" s="3">
        <f>303+(169.3-30)+(-0.15453+(-0.086343--0.0153))+0-0-0</f>
        <v>442.07442700000001</v>
      </c>
      <c r="T258" s="3">
        <f>302+(164.4-30)+(-0.61608+(-0.335376--0.0612))+0-0-0</f>
        <v>435.50974399999996</v>
      </c>
      <c r="U258" s="3">
        <f>302+(164-29)+(0+(0-0))+0-0-0</f>
        <v>437</v>
      </c>
      <c r="V258" s="3">
        <f>303+(194.3-31)+(-0.15453+(-0.099093--0.01581))+0-0-0</f>
        <v>466.06218699999999</v>
      </c>
      <c r="W258" s="3">
        <f>304+(236.1-31)+(-0.31008+(-0.240822--0.03162))+0-0-0</f>
        <v>508.58071800000005</v>
      </c>
      <c r="X258" s="3">
        <f>303+(229.8-32)+(-0.61812+(-0.468792--0.06528))+0-0-0</f>
        <v>499.778368</v>
      </c>
      <c r="Y258" s="3">
        <f>303+(215.8-30)+(-0.77265+(-0.55029--0.0765))+0-0-0</f>
        <v>487.55356</v>
      </c>
      <c r="Z258" s="3">
        <f>303+(197.5-30)+(-0.46359+(-0.302175--0.0459))+0-0-0</f>
        <v>469.78013499999997</v>
      </c>
      <c r="AA258" s="3">
        <f>304+(183.2-29)+(-0.31008+(-0.186864--0.02958))+0-0-0</f>
        <v>457.73263600000001</v>
      </c>
      <c r="AB258" s="3">
        <f>303+(170.3-29)+(-0.15453+(-0.086853--0.01479))+0-0-0</f>
        <v>444.07340700000003</v>
      </c>
      <c r="AC258" s="3">
        <f>304+(144-28)+(0+(0-0))+0-0-0</f>
        <v>420</v>
      </c>
      <c r="AD258">
        <v>499.79999999999995</v>
      </c>
      <c r="AE258" s="3">
        <f>300+(231.8-32)+(0+(0-0))+0-0-0</f>
        <v>499.8</v>
      </c>
    </row>
    <row r="259" spans="1:31" s="2" customFormat="1" x14ac:dyDescent="0.3">
      <c r="A259">
        <v>90</v>
      </c>
      <c r="B259">
        <v>9</v>
      </c>
      <c r="C259">
        <v>13</v>
      </c>
      <c r="D259">
        <v>2</v>
      </c>
      <c r="E259">
        <v>1</v>
      </c>
      <c r="F259" s="3">
        <f>303+(119.5-29)+(-0.30906+(-0.12189--0.02958))+0-0-0</f>
        <v>393.09863000000001</v>
      </c>
      <c r="G259" s="3">
        <f>239+(160.4-29)+(-0.48756+(-0.327216--0.05916))+0-0-0</f>
        <v>369.644384</v>
      </c>
      <c r="H259" s="3">
        <f>234+(156.8-28)+(-0.11934+(-0.079968--0.01428))+0-0-0</f>
        <v>362.61497200000002</v>
      </c>
      <c r="I259" s="3">
        <f>234+(152.6-29)+(-0.23868+(-0.155652--0.02958))+0-0-0</f>
        <v>357.23524800000001</v>
      </c>
      <c r="J259" s="3">
        <f>234+(158.8-30)+(-0.23868+(-0.161976--0.0306))+0-0-0</f>
        <v>362.42994400000003</v>
      </c>
      <c r="K259" s="3">
        <f>256+(177.6-30)+(0.52224+(0.362304-0.0612))+0-0-0</f>
        <v>404.42334400000004</v>
      </c>
      <c r="L259" s="3">
        <f>296+(167.6-30)+(-0.60384+(-0.341904--0.0612))+0-0-0</f>
        <v>432.71545600000002</v>
      </c>
      <c r="M259" s="3">
        <f>296+(173.8-32)+(-0.30192+(-0.177276--0.03264))+0-0-0</f>
        <v>437.35344400000002</v>
      </c>
      <c r="N259" s="3">
        <f>293+(182.8-31)+(-0.14943+(-0.093228--0.01581))+0-0-0</f>
        <v>444.57315199999999</v>
      </c>
      <c r="O259" s="3">
        <f>293+(193.8-32)+(0+(0-0))+0-0-0</f>
        <v>454.8</v>
      </c>
      <c r="P259" s="3">
        <f>298+(188.7-32)+(-0.7599+(-0.481185--0.0816))+0-0-0</f>
        <v>453.54051499999997</v>
      </c>
      <c r="Q259" s="3">
        <f>316+(159.1-33)+(-0.32232+(-0.162282--0.03366))+0-0-0</f>
        <v>441.64905800000003</v>
      </c>
      <c r="R259" s="3">
        <f>324+(155.8-32)+(-1.32192+(-0.635664--0.13056))+0-0-0</f>
        <v>445.97297600000002</v>
      </c>
      <c r="S259" s="3">
        <f>325+(145.9-30)+(-0.3315+(-0.148818--0.0306))+0-0-0</f>
        <v>440.45028199999996</v>
      </c>
      <c r="T259" s="3">
        <f>325+(135.9-28)+(-0.49725+(-0.207927--0.04284))+0-0-0</f>
        <v>432.237663</v>
      </c>
      <c r="U259" s="3">
        <f>305+(159.9-27)+(-0.46665+(-0.244647--0.04131))+0-0-0</f>
        <v>437.23001299999999</v>
      </c>
      <c r="V259" s="3">
        <f>267+(217.1-28)+(0.40851+(0.332163-0.04284))+0-0-0</f>
        <v>456.79783300000003</v>
      </c>
      <c r="W259" s="3">
        <f>342+(185-30)+(-0.17442+(-0.09435--0.0153))+0-0-0</f>
        <v>496.74653000000001</v>
      </c>
      <c r="X259" s="3">
        <f>341+(179.6-31)+(-1.21737+(-0.641172--0.11067))+0-0-0</f>
        <v>487.85212800000005</v>
      </c>
      <c r="Y259" s="3">
        <f>342+(161.5-31)+(-0.34884+(-0.16473--0.03162))+0-0-0</f>
        <v>472.01805000000002</v>
      </c>
      <c r="Z259" s="3">
        <f>342+(138.1-30)+(-0.69768+(-0.281724--0.0612))+0-0-0</f>
        <v>449.18179600000002</v>
      </c>
      <c r="AA259" s="3">
        <f>342+(128.4-30)+(-0.52326+(-0.196452--0.0459))+0-0-0</f>
        <v>439.72618799999998</v>
      </c>
      <c r="AB259" s="3">
        <f>342+(113.1-28)+(-0.34884+(-0.115362--0.02856))+0-0-0</f>
        <v>426.66435800000005</v>
      </c>
      <c r="AC259" s="3">
        <f>342+(94.1-28)+(-0.52326+(-0.143973--0.04284))+0-0-0</f>
        <v>407.47560700000002</v>
      </c>
      <c r="AD259">
        <v>493.9</v>
      </c>
      <c r="AE259" s="3">
        <f>339+(185.9-31)+(0+(0-0))+0-0-0</f>
        <v>493.9</v>
      </c>
    </row>
    <row r="260" spans="1:31" s="2" customFormat="1" x14ac:dyDescent="0.3">
      <c r="A260">
        <v>90</v>
      </c>
      <c r="B260">
        <v>9</v>
      </c>
      <c r="C260">
        <v>14</v>
      </c>
      <c r="D260">
        <v>3</v>
      </c>
      <c r="E260">
        <v>5</v>
      </c>
      <c r="F260" s="3">
        <f>321+(94.1-27)+(0.16371+(0.047991-0.01377))+0-0-0</f>
        <v>388.29793100000001</v>
      </c>
      <c r="G260" s="3">
        <f>305+(93.8-27)+(0.3111+(0.095676-0.02754))+0-0-0</f>
        <v>372.179236</v>
      </c>
      <c r="H260" s="3">
        <f>305+(82.8-26)+(0+(0-0))+0-0-0</f>
        <v>361.8</v>
      </c>
      <c r="I260" s="3">
        <f>306+(80.7-26)+(0.62424+(0.164628-0.05304))+0-0-0</f>
        <v>361.43582800000001</v>
      </c>
      <c r="J260" s="3">
        <f>287+(103.2-28)+(-0.29274+(-0.105264--0.02856))+0-0-0</f>
        <v>361.830556</v>
      </c>
      <c r="K260" s="3">
        <f>247+(174.1-28)+(0.25194+(0.177582-0.02856))+0-0-0</f>
        <v>393.50096200000002</v>
      </c>
      <c r="L260" s="3">
        <f>293+(142-31)+(-0.74715+(-0.3621--0.07905))+0-0-0</f>
        <v>402.96980000000002</v>
      </c>
      <c r="M260" s="3">
        <f>242+(202.2-32)+(-0.12342+(-0.103122--0.01632))+0-0-0</f>
        <v>411.989778</v>
      </c>
      <c r="N260" s="3">
        <f>234+(213.2-32)+(0.23868+(0.217464-0.03264))+0-0-0</f>
        <v>415.62350399999997</v>
      </c>
      <c r="O260" s="3">
        <f>290+(158.5-33)+(-0.5916+(-0.32334--0.06732))+0-0-0</f>
        <v>414.65237999999999</v>
      </c>
      <c r="P260" s="3">
        <f>280+(169.4-33)+(-0.1428+(-0.086394--0.01683))+0-0-0</f>
        <v>416.187636</v>
      </c>
      <c r="Q260" s="3">
        <f>278+(169-33)+(-0.85068+(-0.51714--0.10098))+0-0-0</f>
        <v>412.73316</v>
      </c>
      <c r="R260" s="3">
        <f>273+(179.4-31)+(0+(0-0))+0-0-0</f>
        <v>421.4</v>
      </c>
      <c r="S260" s="3">
        <f>231+(217.3-30)+(0+(0-0))+0-0-0</f>
        <v>418.3</v>
      </c>
      <c r="T260" s="3">
        <f>231+(215.9-29)+(-0.58905+(-0.550545--0.07395))+0-0-0</f>
        <v>416.83435499999996</v>
      </c>
      <c r="U260" s="3">
        <f>232+(223.3-27)+(0.35496+(0.341649-0.04131))+0-0-0</f>
        <v>428.95529900000002</v>
      </c>
      <c r="V260" s="3">
        <f>238+(254-29)+(-0.12138+(-0.12954--0.01479))+0-0-0</f>
        <v>462.76387</v>
      </c>
      <c r="W260" s="3">
        <f>310+(214.5-31)+(0+(0-0))+0-0-0</f>
        <v>493.5</v>
      </c>
      <c r="X260" s="3">
        <f>308+(209.8-31)+(-1.09956+(-0.748986--0.11067))+0-0-0</f>
        <v>485.06212400000004</v>
      </c>
      <c r="Y260" s="3">
        <f>309+(190.2-30)+(-0.63036+(-0.388008--0.0612))+0-0-0</f>
        <v>468.24283199999996</v>
      </c>
      <c r="Z260" s="3">
        <f>309+(163.8-29)+(-0.47277+(-0.250614--0.04437))+0-0-0</f>
        <v>443.12098600000002</v>
      </c>
      <c r="AA260" s="3">
        <f>254+(198.7-27)+(0+(0-0))+0-0-0</f>
        <v>425.7</v>
      </c>
      <c r="AB260" s="3">
        <f>235+(204-26)+(-0.2397+(-0.20808--0.02652))+0-0-0</f>
        <v>412.57873999999998</v>
      </c>
      <c r="AC260" s="3">
        <f>235+(187.5-25)+(-0.7191+(-0.57375--0.0765))+0-0-0</f>
        <v>396.28365000000002</v>
      </c>
      <c r="AD260">
        <v>487.20000000000005</v>
      </c>
      <c r="AE260" s="3">
        <f>307+(212.2-32)+(0+(0-0))+0-0-0</f>
        <v>487.2</v>
      </c>
    </row>
    <row r="261" spans="1:31" s="2" customFormat="1" x14ac:dyDescent="0.3">
      <c r="A261">
        <v>90</v>
      </c>
      <c r="B261">
        <v>9</v>
      </c>
      <c r="C261">
        <v>15</v>
      </c>
      <c r="D261">
        <v>4</v>
      </c>
      <c r="E261">
        <v>5</v>
      </c>
      <c r="F261" s="3">
        <f>233+(163-23)+(-0.35649+(-0.24939--0.03519))+0-0-0</f>
        <v>372.42930999999999</v>
      </c>
      <c r="G261" s="3">
        <f>233+(149-21)+(-0.23766+(-0.15198--0.02142))+0-0-0</f>
        <v>360.63177999999999</v>
      </c>
      <c r="H261" s="3">
        <f>304+(71.8-21.2)+(-0.62016+(-0.146472--0.043248))+0-0-0</f>
        <v>353.87661600000001</v>
      </c>
      <c r="I261" s="3">
        <f>254+(114.7-19)+(0+(0-0))+0-0-0</f>
        <v>349.7</v>
      </c>
      <c r="J261" s="3">
        <f>233+(141-22)+(0.11883+(0.07191-0.01122))+0-0-0</f>
        <v>352.17952000000002</v>
      </c>
      <c r="K261" s="3">
        <f>290+(122.2-22)+(-0.4437+(-0.186966--0.03366))+0-0-0</f>
        <v>389.60299399999997</v>
      </c>
      <c r="L261" s="3">
        <f>301+(128.2-25)+(-0.30702+(-0.130764--0.0255))+0-0-0</f>
        <v>403.78771599999999</v>
      </c>
      <c r="M261" s="3">
        <f>300+(136.5-25)+(-0.459+(-0.208845--0.03825))+0-0-0</f>
        <v>410.87040500000001</v>
      </c>
      <c r="N261" s="3">
        <f>301+(140.4-26)+(-0.15351+(-0.071604--0.01326))+0-0-0</f>
        <v>415.18814599999996</v>
      </c>
      <c r="O261" s="3">
        <f>301+(136.6-27)+(0+(0-0))+0-0-0</f>
        <v>410.6</v>
      </c>
      <c r="P261" s="3">
        <f>260+(165.2-27)+(-0.7956+(-0.505512--0.08262))+0-0-0</f>
        <v>396.98150799999996</v>
      </c>
      <c r="Q261" s="3">
        <f>236+(192.3-28)+(-0.12036+(-0.098073--0.01428))+0-0-0</f>
        <v>400.09584699999999</v>
      </c>
      <c r="R261" s="3">
        <f>233+(205-30)+(0.11883+(0.10455-0.0153))+0-0-0</f>
        <v>408.20808</v>
      </c>
      <c r="S261" s="3">
        <f>254+(166-31)+(0.38862+(0.25398-0.04743))+0-0-0</f>
        <v>389.59517</v>
      </c>
      <c r="T261" s="3">
        <f>306+(140-29)+(-0.15606+(-0.0714--0.01479))+0-0-0</f>
        <v>416.78733</v>
      </c>
      <c r="U261" s="3">
        <f>251+(184-28)+(-0.12801+(-0.09384--0.01428))+0-0-0</f>
        <v>406.79243000000002</v>
      </c>
      <c r="V261" s="3">
        <f>243+(226-32)+(-0.24786+(-0.23052--0.03264))+0-0-0</f>
        <v>436.55426</v>
      </c>
      <c r="W261" s="3">
        <f>310+(201-32)+(0+(0-0))+0-0-0</f>
        <v>479</v>
      </c>
      <c r="X261" s="3">
        <f>309+(208.7-31)+(-0.78795+(-0.532185--0.07905))+0-0-0</f>
        <v>485.45891499999999</v>
      </c>
      <c r="Y261" s="3">
        <f>310+(193.2-31)+(0+(0-0))+0-0-0</f>
        <v>472.2</v>
      </c>
      <c r="Z261" s="3">
        <f>309+(170.7-30)+(0+(0-0))+0-0-0</f>
        <v>449.7</v>
      </c>
      <c r="AA261" s="3">
        <f>310+(149.5-28)+(-0.1581+(-0.076245--0.01428))+0-0-0</f>
        <v>431.27993500000002</v>
      </c>
      <c r="AB261" s="3">
        <f>310+(133.3-27)+(-0.1581+(-0.067983--0.01377))+0-0-0</f>
        <v>416.08768700000002</v>
      </c>
      <c r="AC261" s="3">
        <f>310+(110.2-27)+(0+(0-0))+0-0-0</f>
        <v>393.2</v>
      </c>
      <c r="AD261">
        <v>487.79999999999995</v>
      </c>
      <c r="AE261" s="3">
        <f>307+(212.8-32)+(0+(0-0))+0-0-0</f>
        <v>487.8</v>
      </c>
    </row>
    <row r="262" spans="1:31" s="2" customFormat="1" x14ac:dyDescent="0.3">
      <c r="A262">
        <v>90</v>
      </c>
      <c r="B262">
        <v>9</v>
      </c>
      <c r="C262">
        <v>16</v>
      </c>
      <c r="D262">
        <v>5</v>
      </c>
      <c r="E262">
        <v>1</v>
      </c>
      <c r="F262" s="3">
        <f>258+(137.2-23)+(-0.6579+(-0.34986--0.05865))+0-0-0</f>
        <v>371.25088999999997</v>
      </c>
      <c r="G262" s="3">
        <f>233+(145.3-22)+(-0.35649+(-0.222309--0.03366))+0-0-0</f>
        <v>355.75486100000001</v>
      </c>
      <c r="H262" s="3">
        <f>233+(143.5-21)+(-0.11883+(-0.073185--0.01071))+0-0-0</f>
        <v>355.31869499999999</v>
      </c>
      <c r="I262" s="3">
        <f>233+(144.6-20)+(-0.47532+(-0.294984--0.0408))+0-0-0</f>
        <v>356.870496</v>
      </c>
      <c r="J262" s="3">
        <f>261+(127.8-24)+(-0.13311+(-0.065178--0.01224))+0-0-0</f>
        <v>364.61395199999998</v>
      </c>
      <c r="K262" s="3">
        <f>298+(136.2-25)+(0.45594+(0.208386-0.03825))+0-0-0</f>
        <v>409.826076</v>
      </c>
      <c r="L262" s="3">
        <f>294+(155.1-28)+(-0.44982+(-0.237303--0.04284))+0-0-0</f>
        <v>420.45571700000005</v>
      </c>
      <c r="M262" s="3">
        <f>295+(177.4-29)+(0.3009+(0.180948-0.02958))+0-0-0</f>
        <v>443.85226799999998</v>
      </c>
      <c r="N262" s="3">
        <f>295+(197.2-30)+(-0.15045+(-0.100572--0.0153))+0-0-0</f>
        <v>461.96427799999998</v>
      </c>
      <c r="O262" s="3">
        <f>295+(200.4-31)+(0.15045+(0.102204-0.01581))+0-0-0</f>
        <v>464.636844</v>
      </c>
      <c r="P262" s="3">
        <f>295+(195.1-32)+(0+(0-0))+0-0-0</f>
        <v>458.1</v>
      </c>
      <c r="Q262" s="3">
        <f>295+(195.8-32)+(-0.15045+(-0.099858--0.01632))+0-0-0</f>
        <v>458.566012</v>
      </c>
      <c r="R262" s="3">
        <f>295+(196.5-31)+(-0.9027+(-0.60129--0.09486))+2.3-0-0</f>
        <v>461.39087000000001</v>
      </c>
      <c r="S262" s="3">
        <f>295+(190-30)+(-0.6018+(-0.3876--0.0612))+0-0-0</f>
        <v>454.0718</v>
      </c>
      <c r="T262" s="3">
        <f>295+(178.2-29)+(-0.45135+(-0.272646--0.04437))+0-0-0</f>
        <v>443.520374</v>
      </c>
      <c r="U262" s="3">
        <f>295+(188.5-29)+(-0.45135+(-0.288405--0.04437))+0-0-0</f>
        <v>453.80461500000001</v>
      </c>
      <c r="V262" s="3">
        <f>296+(222.6-31)+(0+(0-0))+0-0-0</f>
        <v>487.6</v>
      </c>
      <c r="W262" s="3">
        <f>298+(262.3-32)+(0.15198+(0.133773-0.01632))+0-0-0</f>
        <v>528.569433</v>
      </c>
      <c r="X262" s="3">
        <f>298+(259.2-32)+(-0.91188+(-0.793152--0.09792))+0-0-0</f>
        <v>523.59288800000002</v>
      </c>
      <c r="Y262" s="3">
        <f>298+(241.1-31)+(-0.45594+(-0.368883--0.04743))+0-0-0</f>
        <v>507.322607</v>
      </c>
      <c r="Z262" s="3">
        <f>298+(208.1-30)+(-0.15198+(-0.106131--0.0153))+0-0-0</f>
        <v>475.85718900000001</v>
      </c>
      <c r="AA262" s="3">
        <f>298+(179-28)+(0.15198+(0.09129-0.01428))+0-0-0</f>
        <v>449.22899000000001</v>
      </c>
      <c r="AB262" s="3">
        <f>297+(157.7-27)+(-0.45441+(-0.241281--0.04131))+0-0-0</f>
        <v>427.04561899999999</v>
      </c>
      <c r="AC262" s="3">
        <f>296+(131.2-26)+(-0.90576+(-0.401472--0.07956))+0-0-0</f>
        <v>399.972328</v>
      </c>
      <c r="AD262">
        <v>528.70000000000005</v>
      </c>
      <c r="AE262" s="3">
        <f>297+(263.7-32)+(0+(0-0))+0-0-0</f>
        <v>528.70000000000005</v>
      </c>
    </row>
    <row r="263" spans="1:31" s="2" customFormat="1" x14ac:dyDescent="0.3">
      <c r="A263">
        <v>90</v>
      </c>
      <c r="B263">
        <v>9</v>
      </c>
      <c r="C263">
        <v>17</v>
      </c>
      <c r="D263">
        <v>6</v>
      </c>
      <c r="E263">
        <v>1</v>
      </c>
      <c r="F263" s="3">
        <f>302+(108.2-25)+(-0.7701+(-0.27591--0.06375))+0-0-0</f>
        <v>384.21773999999999</v>
      </c>
      <c r="G263" s="3">
        <f>294+(101.2-24)+(-0.89964+(-0.309672--0.07344))+0-0-0</f>
        <v>370.06412799999998</v>
      </c>
      <c r="H263" s="3">
        <f>240+(147.1-22)+(0.3672+(0.225063-0.03366))+0-0-0</f>
        <v>365.65860300000003</v>
      </c>
      <c r="I263" s="3">
        <f>240+(144.2-22)+(0+(0-0))+0-0-0</f>
        <v>362.2</v>
      </c>
      <c r="J263" s="3">
        <f>246+(145.7-25)+(0.37638+(0.222921-0.03825))+0-0-0</f>
        <v>367.26105100000001</v>
      </c>
      <c r="K263" s="3">
        <f>305+(141.5-27)+(-0.46665+(-0.216495--0.04131))+0-0-0</f>
        <v>418.85816499999999</v>
      </c>
      <c r="L263" s="3">
        <f>306+(162.5-30)+(-0.15606+(-0.082875--0.0153))+0-0-0</f>
        <v>438.276365</v>
      </c>
      <c r="M263" s="3">
        <f>307+(187.1-33)+(-0.31314+(-0.190842--0.03366))+0-0-0</f>
        <v>460.62967800000001</v>
      </c>
      <c r="N263" s="3">
        <f>306+(183.4-24)+(0.31212+(0.187068-0.02448))+0-0-0</f>
        <v>465.874708</v>
      </c>
      <c r="O263" s="3">
        <f>306+(203.3-23)+(0.15606+(0.103683-0.01173))+0-0-0</f>
        <v>486.54801300000003</v>
      </c>
      <c r="P263" s="3">
        <f>306+(199.6-23)+(0.46818+(0.305388-0.03519))+0-0-0</f>
        <v>483.33837800000003</v>
      </c>
      <c r="Q263" s="3">
        <f>306+(205.8-24)+(-0.15606+(-0.104958--0.01224))+0-0-0</f>
        <v>487.551222</v>
      </c>
      <c r="R263" s="3">
        <f>303+(204.9-29)+(-0.46359+(-0.313497--0.04437))+0-0-0</f>
        <v>478.167283</v>
      </c>
      <c r="S263" s="3">
        <f>302+(199.8-31)+(-0.7701+(-0.50949--0.07905))+0-0-0</f>
        <v>469.59946000000002</v>
      </c>
      <c r="T263" s="3">
        <f>303+(193.2-32)+(-0.46359+(-0.295596--0.04896))+0-0-0</f>
        <v>463.48977400000001</v>
      </c>
      <c r="U263" s="3">
        <f>302+(204.8-33)+(-0.61608+(-0.417792--0.06732))+0-0-0</f>
        <v>472.83344800000003</v>
      </c>
      <c r="V263" s="3">
        <f>304+(237.1-33)+(-0.46512+(-0.362763--0.05049))+0-0-0</f>
        <v>507.322607</v>
      </c>
      <c r="W263" s="3">
        <f>308+(271.1-33)+(0.15708+(0.138261-0.01683))+0-0-0</f>
        <v>546.378511</v>
      </c>
      <c r="X263" s="3">
        <f>308+(264-33)+(0+(0-0))+0-0-0</f>
        <v>539</v>
      </c>
      <c r="Y263" s="3">
        <f>307+(247.9-33)+(-0.78285+(-0.632145--0.08415))+0-0-0</f>
        <v>520.56915500000002</v>
      </c>
      <c r="Z263" s="3">
        <f>307+(222.6-31)+(-0.62628+(-0.454104--0.06324))+0-0-0</f>
        <v>497.58285600000005</v>
      </c>
      <c r="AA263" s="3">
        <f>307+(201.4-30)+(-0.46971+(-0.308142--0.0459))+0-0-0</f>
        <v>477.668048</v>
      </c>
      <c r="AB263" s="3">
        <f>308+(171.9-29)+(-0.47124+(-0.263007--0.04437))+0-0-0</f>
        <v>450.21012299999995</v>
      </c>
      <c r="AC263" s="3">
        <f>308+(144.8-29)+(-0.31416+(-0.147696--0.02958))+0-0-0</f>
        <v>423.36772400000001</v>
      </c>
      <c r="AD263">
        <v>547.5</v>
      </c>
      <c r="AE263" s="3">
        <f>308+(271.5-32)+(0+(0-0))+0-0-0</f>
        <v>547.5</v>
      </c>
    </row>
    <row r="264" spans="1:31" s="2" customFormat="1" x14ac:dyDescent="0.3">
      <c r="A264">
        <v>90</v>
      </c>
      <c r="B264">
        <v>9</v>
      </c>
      <c r="C264">
        <v>18</v>
      </c>
      <c r="D264">
        <v>7</v>
      </c>
      <c r="E264">
        <v>1</v>
      </c>
      <c r="F264" s="3">
        <f>306+(126-28)+(-0.46818+(-0.19278--0.04284))+0-0-0</f>
        <v>403.38188000000002</v>
      </c>
      <c r="G264" s="3">
        <f>289+(126.7-27)+(-0.29478+(-0.129234--0.02754))+0-0-0</f>
        <v>388.30352599999998</v>
      </c>
      <c r="H264" s="3">
        <f>287+(121.5-27)+(0+(0-0))+0-0-0</f>
        <v>381.5</v>
      </c>
      <c r="I264" s="3">
        <f>260+(143.7-28)+(0.1326+(0.073287-0.01428))+0-0-0</f>
        <v>375.89160699999996</v>
      </c>
      <c r="J264" s="3">
        <f>260+(152-30)+(-0.1326+(-0.07752--0.0153))+0-0-0</f>
        <v>381.80518000000001</v>
      </c>
      <c r="K264" s="3">
        <f>291+(164.7-30)+(0.74205+(0.419985-0.0765))+0-0-0</f>
        <v>426.78553499999998</v>
      </c>
      <c r="L264" s="3">
        <f>299+(180.4-26)+(-0.76245+(-0.46002--0.0663))+0-0-0</f>
        <v>452.24383</v>
      </c>
      <c r="M264" s="3">
        <f>299+(193.9-23)+(-0.45747+(-0.296667--0.03519))+0-0-0</f>
        <v>469.18105299999996</v>
      </c>
      <c r="N264" s="3">
        <f>294+(206.2-23)+(0.29988+(0.210324-0.02346))+0-0-0</f>
        <v>477.68674399999998</v>
      </c>
      <c r="O264" s="3">
        <f>291+(216.2-22)+(0.29682+(0.220524-0.02244))+0-0-0</f>
        <v>485.69490400000001</v>
      </c>
      <c r="P264" s="3">
        <f>291+(224.3-22)+(-0.29682+(-0.228786--0.02244))+0-0-0</f>
        <v>492.79683399999999</v>
      </c>
      <c r="Q264" s="3">
        <f>288+(231.5-26)+(-0.29376+(-0.23613--0.02652))+0-0-0</f>
        <v>492.99662999999998</v>
      </c>
      <c r="R264" s="3">
        <f>282+(233.8-30)+(-0.57528+(-0.476952--0.0612))+0-0-0</f>
        <v>484.80896799999999</v>
      </c>
      <c r="S264" s="3">
        <f>282+(221.9-31)+(-0.57528+(-0.452676--0.06324))+0-0-0</f>
        <v>471.93528399999997</v>
      </c>
      <c r="T264" s="3">
        <f>283+(211-32)+(-0.14433+(-0.10761--0.01632))+0-0-0</f>
        <v>461.76438000000002</v>
      </c>
      <c r="U264" s="3">
        <f>282+(224.5-31)+(-0.43146+(-0.343485--0.04743))+0-0-0</f>
        <v>474.77248500000002</v>
      </c>
      <c r="V264" s="3">
        <f>287+(263.2-33)+(-0.14637+(-0.134232--0.01683))+0-0-0</f>
        <v>516.93622800000003</v>
      </c>
      <c r="W264" s="3">
        <f>313+(275.9-33)+(-0.47889+(-0.422127--0.05049))+0-0-0</f>
        <v>555.04947299999992</v>
      </c>
      <c r="X264" s="3">
        <f>331+(255.6-34)+(-0.16881+(-0.130356--0.01734))+0-0-0</f>
        <v>552.318174</v>
      </c>
      <c r="Y264" s="3">
        <f>329+(240.9-32)+(-0.16779+(-0.122859--0.01632))+0-0-0</f>
        <v>537.62567100000001</v>
      </c>
      <c r="Z264" s="3">
        <f>243+(306.8-31)+(-0.24786+(-0.312936--0.03162))+0-0-0</f>
        <v>518.27082399999995</v>
      </c>
      <c r="AA264" s="3">
        <f>197+(329.6-30)+(-0.30141+(-0.504288--0.0459))+0-0-0</f>
        <v>495.84020200000003</v>
      </c>
      <c r="AB264" s="3">
        <f>196+(294.8-30)+(-0.29988+(-0.451044--0.0459))+0-0-0</f>
        <v>460.09497600000003</v>
      </c>
      <c r="AC264" s="3">
        <f>196+(260.8-29)+(-0.59976+(-0.798048--0.08874))+0-0-0</f>
        <v>426.49093199999999</v>
      </c>
      <c r="AD264">
        <v>559.5</v>
      </c>
      <c r="AE264" s="3">
        <f>334+(258.5-33)+(0+(0-0))+0-0-0</f>
        <v>559.5</v>
      </c>
    </row>
    <row r="265" spans="1:31" s="2" customFormat="1" x14ac:dyDescent="0.3">
      <c r="A265">
        <v>90</v>
      </c>
      <c r="B265">
        <v>9</v>
      </c>
      <c r="C265">
        <v>19</v>
      </c>
      <c r="D265">
        <v>1</v>
      </c>
      <c r="E265">
        <v>1</v>
      </c>
      <c r="F265" s="3">
        <f>199+(234.4-20)+(-0.50745+(-0.59772--0.051))+0-0-0</f>
        <v>412.34582999999998</v>
      </c>
      <c r="G265" s="3">
        <f>199+(216.9-19)+(-0.40596+(-0.442476--0.03876))+0-0-0</f>
        <v>396.09032399999995</v>
      </c>
      <c r="H265" s="3">
        <f>199+(203.6-17)+(0+(0-0))+2.5-0-0</f>
        <v>388.1</v>
      </c>
      <c r="I265" s="3">
        <f>199+(204.1-17)+(-0.10149+(-0.104091--0.00867))+0-0-0</f>
        <v>385.90308900000002</v>
      </c>
      <c r="J265" s="3">
        <f>199+(214-17)+(0.10149+(0.10914-0.00867))+0-0-0</f>
        <v>396.20195999999999</v>
      </c>
      <c r="K265" s="3">
        <f>199+(274-19)+(0.10149+(0.13974-0.00969))+0-0-0</f>
        <v>454.23154</v>
      </c>
      <c r="L265" s="3">
        <f>203+(314.7-26)+(0+(0-0))+0-0-0</f>
        <v>491.7</v>
      </c>
      <c r="M265" s="3">
        <f>265+(257.7-29)+(0.40545+(0.394281-0.04437))+0-0-0</f>
        <v>494.45536099999998</v>
      </c>
      <c r="N265" s="3">
        <f>269+(245.3-30)+(0.27438+(0.250206-0.0306))+0-0-0</f>
        <v>484.79398600000002</v>
      </c>
      <c r="O265" s="3">
        <f>280+(231.2-31)+(0+(0-0))+0-0-0</f>
        <v>480.2</v>
      </c>
      <c r="P265" s="3">
        <f>282+(231-32)+(-0.43146+(-0.35343--0.04896))+0-0-0</f>
        <v>480.26407</v>
      </c>
      <c r="Q265" s="3">
        <f>282+(228.8-33)+(-0.28764+(-0.233376--0.03366))+0-0-0</f>
        <v>477.31264400000003</v>
      </c>
      <c r="R265" s="3">
        <f>280+(232.3-33)+(-0.714+(-0.592365--0.08415))+0-0-0</f>
        <v>478.07778500000001</v>
      </c>
      <c r="S265" s="3">
        <f>280+(220.6-32)+(0+(0-0))+0-0-0</f>
        <v>468.6</v>
      </c>
      <c r="T265" s="3">
        <f>281+(209.6-32)+(-0.28662+(-0.213792--0.03264))+0-0-0</f>
        <v>458.132228</v>
      </c>
      <c r="U265" s="3">
        <f>287+(210.1-31)+(0+(0-0))+0-0-0</f>
        <v>466.1</v>
      </c>
      <c r="V265" s="3">
        <f>319+(230.6-31)+(-0.16269+(-0.117606--0.01581))+0-0-0</f>
        <v>518.33551399999999</v>
      </c>
      <c r="W265" s="3">
        <f>329+(275.8-33)+(0.33558+(0.281316-0.03366))+0-0-0</f>
        <v>572.38323600000001</v>
      </c>
      <c r="X265" s="3">
        <f>326+(273.5-32)+(-0.49878+(-0.418455--0.04896))+0-0-0</f>
        <v>566.63172499999996</v>
      </c>
      <c r="Y265" s="3">
        <f>324+(260.8-32)+(-0.16524+(-0.133008--0.01632))+0-0-0</f>
        <v>552.51807199999996</v>
      </c>
      <c r="Z265" s="3">
        <f>324+(234.7-31)+(-0.16524+(-0.119697--0.01581))+0-0-0</f>
        <v>527.43087300000002</v>
      </c>
      <c r="AA265" s="3">
        <f>314+(206.1-30)+(0+(0-0))+0-0-0</f>
        <v>490.1</v>
      </c>
      <c r="AB265" s="3">
        <f>307+(188.5-28)+(0+(0-0))+0-0-0</f>
        <v>467.5</v>
      </c>
      <c r="AC265" s="3">
        <f>307+(167.9-28)+(0+(0-0))+0-0-0</f>
        <v>446.9</v>
      </c>
      <c r="AD265">
        <v>574.79999999999995</v>
      </c>
      <c r="AE265" s="3">
        <f>337+(270.8-33)+(0+(0-0))+0-0-0</f>
        <v>574.79999999999995</v>
      </c>
    </row>
    <row r="266" spans="1:31" s="2" customFormat="1" x14ac:dyDescent="0.3">
      <c r="A266">
        <v>90</v>
      </c>
      <c r="B266">
        <v>9</v>
      </c>
      <c r="C266">
        <v>20</v>
      </c>
      <c r="D266">
        <v>2</v>
      </c>
      <c r="E266">
        <v>1</v>
      </c>
      <c r="F266" s="3">
        <f>297+(142.6-26)+(-0.45441+(-0.218178--0.03978))+0-0-0</f>
        <v>412.96719200000001</v>
      </c>
      <c r="G266" s="3">
        <f>297+(129.6-25)+(-0.75735+(-0.33048--0.06375))+0-0-0</f>
        <v>400.57592</v>
      </c>
      <c r="H266" s="3">
        <f>297+(120.5-23)+(0+(0-0))+0-0-0</f>
        <v>394.5</v>
      </c>
      <c r="I266" s="3">
        <f>297+(117.8-22)+(0+(0-0))+0-0-0</f>
        <v>392.8</v>
      </c>
      <c r="J266" s="3">
        <f>297+(131.8-22)+(-0.30294+(-0.134436--0.02244))+0-0-0</f>
        <v>406.385064</v>
      </c>
      <c r="K266" s="3">
        <f>297+(184.5-25)+(0.45441+(0.282285-0.03825))+0-0-0</f>
        <v>457.19844499999999</v>
      </c>
      <c r="L266" s="3">
        <f>299+(228.2-33)+(0.30498+(0.232764-0.03366))+0-0-0</f>
        <v>494.70408399999997</v>
      </c>
      <c r="M266" s="3">
        <f>298+(216.4-30)+(0.60792+(0.441456-0.0612))+0-0-0</f>
        <v>485.38817599999999</v>
      </c>
      <c r="N266" s="3">
        <f>295+(227.9-31)+(-0.3009+(-0.232458--0.03162))+0-0-0</f>
        <v>491.39826199999999</v>
      </c>
      <c r="O266" s="3">
        <f>315+(202.1-30)+(0.16065+(0.103071-0.0153))+0-0-0</f>
        <v>487.34842100000003</v>
      </c>
      <c r="P266" s="3">
        <f>326+(184.5-31)+(0.16626+(0.094095-0.01581))+0-0-0</f>
        <v>479.74454500000002</v>
      </c>
      <c r="Q266" s="3">
        <f>327+(181.1-32)+(-0.66708+(-0.369444--0.06528))+0-0-0</f>
        <v>475.12875600000001</v>
      </c>
      <c r="R266" s="3">
        <f>330+(178.9-30)+(-0.5049+(-0.273717--0.0459))+0-0-0</f>
        <v>478.167283</v>
      </c>
      <c r="S266" s="3">
        <f>330+(168.4-28)+(-0.3366+(-0.171768--0.02856))+0-0-0</f>
        <v>469.92019199999999</v>
      </c>
      <c r="T266" s="3">
        <f>332+(157.9-27)+(0.33864+(0.161058-0.02754))+0-0-0</f>
        <v>463.37215799999996</v>
      </c>
      <c r="U266" s="3">
        <f>407+(95.6-32.1)+(-0.41514+(-0.097512--0.032742))+0-0-0</f>
        <v>470.02008999999998</v>
      </c>
      <c r="V266" s="3">
        <f>466+(91-47.6)+(0.47532+(0.09282-0.048552))+0-0-0</f>
        <v>509.91958799999998</v>
      </c>
      <c r="W266" s="3">
        <f>472+(137.7-40.6)+(0.48144+(0.140454-0.041412))+0-0-0</f>
        <v>569.68048199999998</v>
      </c>
      <c r="X266" s="3">
        <f>471+(129.1-40.5)+(-0.96084+(-0.263364--0.08262))+0-0-0</f>
        <v>558.45841600000006</v>
      </c>
      <c r="Y266" s="3">
        <f>470+(119.9-41.9)+(-1.4382+(-0.366894--0.128214))+0-0-0</f>
        <v>546.32312000000002</v>
      </c>
      <c r="Z266" s="3">
        <f>471+(95.8-46)+(-0.72063+(-0.146574--0.07038))+0-0-0</f>
        <v>520.00317599999994</v>
      </c>
      <c r="AA266" s="3">
        <f>467+(75.8-48.5)+(-0.47634+(-0.077316--0.04947))+0-0-0</f>
        <v>493.79581400000001</v>
      </c>
      <c r="AB266" s="3">
        <f>396+(110.1-36.5)+(-1.21176+(-0.336906--0.11169))+0-0-0</f>
        <v>468.16302400000001</v>
      </c>
      <c r="AC266" s="3">
        <f>347+(118.2-27)+(-0.53091+(-0.180846--0.04131))+0-0-0</f>
        <v>437.52955399999996</v>
      </c>
      <c r="AD266">
        <v>564</v>
      </c>
      <c r="AE266" s="3">
        <f>471+(135.3-42.3)+(0+(0-0))+0-0-0</f>
        <v>564</v>
      </c>
    </row>
    <row r="267" spans="1:31" s="2" customFormat="1" x14ac:dyDescent="0.3">
      <c r="A267">
        <v>90</v>
      </c>
      <c r="B267">
        <v>9</v>
      </c>
      <c r="C267">
        <v>21</v>
      </c>
      <c r="D267">
        <v>3</v>
      </c>
      <c r="E267">
        <v>1</v>
      </c>
      <c r="F267" s="3">
        <f>321+(116.1-26)+(-0.49113+(-0.177633--0.03978))+0-0-0</f>
        <v>410.47101700000002</v>
      </c>
      <c r="G267" s="3">
        <f>303+(115-25)+(0.61812+(0.2346-0.051))+0-0-0</f>
        <v>393.80171999999999</v>
      </c>
      <c r="H267" s="3">
        <f>266+(145.7-25)+(0.40698+(0.222921-0.03825))+0-0-0</f>
        <v>387.291651</v>
      </c>
      <c r="I267" s="3">
        <f>271+(141.8-24)+(0.13821+(0.072318-0.01224))+0-0-0</f>
        <v>388.998288</v>
      </c>
      <c r="J267" s="3">
        <f>270+(158-26)+(-0.6885+(-0.4029--0.0663))+0-0-0</f>
        <v>400.97489999999999</v>
      </c>
      <c r="K267" s="3">
        <f>271+(214.7-28)+(0.13821+(0.109497-0.01428))+0-0-0</f>
        <v>457.93342699999999</v>
      </c>
      <c r="L267" s="3">
        <f>275+(252.1-33)+(-0.2805+(-0.257142--0.03366))+0-0-0</f>
        <v>493.59601800000002</v>
      </c>
      <c r="M267" s="3">
        <f>306+(226-32)+(0.15606+(0.11526-0.01632))+0-0-0</f>
        <v>500.255</v>
      </c>
      <c r="N267" s="3">
        <f>325+(200.2-31)+(0+(0-0))+0-0-0</f>
        <v>494.2</v>
      </c>
      <c r="O267" s="3">
        <f>342+(171.2-30)+(0.17442+(0.087312-0.0153))+0-0-0</f>
        <v>483.44643200000002</v>
      </c>
      <c r="P267" s="3">
        <f>342+(166-28)+(-0.17442+(-0.08466--0.01428))+0-0-0</f>
        <v>479.7552</v>
      </c>
      <c r="Q267" s="3">
        <f>341+(164.6-26)+(-0.52173+(-0.251838--0.03978))+0-0-0</f>
        <v>478.86621200000002</v>
      </c>
      <c r="R267" s="3">
        <f>340+(167.1-26)+(-0.3468+(-0.170442--0.02652))+0-0-0</f>
        <v>480.60927800000002</v>
      </c>
      <c r="S267" s="3">
        <f>340+(161-27)+(-0.6936+(-0.32844--0.05508))+0-0-0</f>
        <v>473.03304000000003</v>
      </c>
      <c r="T267" s="3">
        <f>342+(150.4-28)+(-0.34884+(-0.153408--0.02856))+0-0-0</f>
        <v>463.926312</v>
      </c>
      <c r="U267" s="3">
        <f>341+(165-30)+(-0.52173+(-0.25245--0.0459))+0-0-0</f>
        <v>475.27172000000002</v>
      </c>
      <c r="V267" s="3">
        <f>346+(204.4-30)+(-0.35292+(-0.208488--0.0306))+0-0-0</f>
        <v>519.869192</v>
      </c>
      <c r="W267" s="3">
        <f>346+(251.1-32)+(-0.17646+(-0.128061--0.01632))+0-0-0</f>
        <v>564.81179900000006</v>
      </c>
      <c r="X267" s="3">
        <f>345+(247.4-32)+(-0.87975+(-0.63087--0.0816))+0-0-0</f>
        <v>558.97097999999994</v>
      </c>
      <c r="Y267" s="3">
        <f>345+(230.8-32)+(-0.3519+(-0.235416--0.03264))+0-0-0</f>
        <v>543.24532399999998</v>
      </c>
      <c r="Z267" s="3">
        <f>345+(200-32)+(-0.7038+(-0.408--0.06528))+0-0-0</f>
        <v>511.95348000000001</v>
      </c>
      <c r="AA267" s="3">
        <f>345+(175.4-32)+(-0.3519+(-0.178908--0.03264))+0-0-0</f>
        <v>487.90183199999996</v>
      </c>
      <c r="AB267" s="3">
        <f>345+(150-31)+(-1.0557+(-0.459--0.09486))+0-0-0</f>
        <v>462.58015999999998</v>
      </c>
      <c r="AC267" s="3">
        <f>345+(118.7-31)+(-0.52785+(-0.181611--0.04743))+0-0-0</f>
        <v>432.03796899999998</v>
      </c>
      <c r="AD267">
        <v>545.4</v>
      </c>
      <c r="AE267" s="3">
        <f>327+(250.4-32)+(0+(0-0))+0-0-0</f>
        <v>545.4</v>
      </c>
    </row>
    <row r="268" spans="1:31" s="2" customFormat="1" x14ac:dyDescent="0.3">
      <c r="A268">
        <v>90</v>
      </c>
      <c r="B268">
        <v>9</v>
      </c>
      <c r="C268">
        <v>22</v>
      </c>
      <c r="D268">
        <v>4</v>
      </c>
      <c r="E268">
        <v>1</v>
      </c>
      <c r="F268" s="3">
        <f>328+(115.2-29)+(-0.16728+(-0.058752--0.01479))+0-0-0</f>
        <v>413.98875799999996</v>
      </c>
      <c r="G268" s="3">
        <f>257+(169-26)+(-0.13107+(-0.08619--0.01326))+0-0-0</f>
        <v>399.79599999999999</v>
      </c>
      <c r="H268" s="3">
        <f>258+(154.9-23)+(0.13158+(0.078999-0.01173))+0-0-0</f>
        <v>390.09884899999997</v>
      </c>
      <c r="I268" s="3">
        <f>258+(151.2-23)+(0.39474+(0.231336-0.03519))+0-0-0</f>
        <v>386.790886</v>
      </c>
      <c r="J268" s="3">
        <f>257+(163.2-23)+(-0.13107+(-0.083232--0.01173))+0-0-0</f>
        <v>396.99742800000001</v>
      </c>
      <c r="K268" s="3">
        <f>259+(218-26)+(0.52836+(0.44472-0.05304))+0-0-0</f>
        <v>451.92003999999997</v>
      </c>
      <c r="L268" s="3">
        <f>280+(231.8-30)+(0+(0-0))+0-0-0</f>
        <v>481.8</v>
      </c>
      <c r="M268" s="3">
        <f>298+(224.5-31)+(0.15198+(0.114495-0.01581))+0-0-0</f>
        <v>491.75066500000003</v>
      </c>
      <c r="N268" s="3">
        <f>298+(221.7-30)+(0.15198+(0.113067-0.0153))+0-0-0</f>
        <v>489.949747</v>
      </c>
      <c r="O268" s="3">
        <f>325+(183.5-30)+(0.3315+(0.18717-0.0306))+0-0-0</f>
        <v>478.98806999999999</v>
      </c>
      <c r="P268" s="3">
        <f>327+(173.4-30)+(-0.16677+(-0.088434--0.0153))+0-0-0</f>
        <v>470.16009599999995</v>
      </c>
      <c r="Q268" s="3">
        <f>326+(170.1-28)+(-0.49878+(-0.260253--0.04284))+0-0-0</f>
        <v>467.38380700000005</v>
      </c>
      <c r="R268" s="3">
        <f>323+(176-28)+(-0.65892+(-0.35904--0.05712))+0-0-0</f>
        <v>470.03915999999998</v>
      </c>
      <c r="S268" s="3">
        <f>323+(167.7-28)+(-0.16473+(-0.085527--0.01428))+0-0-0</f>
        <v>462.464023</v>
      </c>
      <c r="T268" s="3">
        <f>324+(155.3-29)+(0.33048+(0.158406-0.02958))+0-0-0</f>
        <v>450.75930600000004</v>
      </c>
      <c r="U268" s="3">
        <f>324+(165.5-29)+(0+(0-0))+0-0-0</f>
        <v>460.5</v>
      </c>
      <c r="V268" s="3">
        <f>335+(208.9-33)+(0.3417+(0.213078-0.03366))+0-0-0</f>
        <v>511.42111799999998</v>
      </c>
      <c r="W268" s="3">
        <f>340+(258.7-33)+(0.5202+(0.395811-0.05049))+0-0-0</f>
        <v>566.56552099999999</v>
      </c>
      <c r="X268" s="3">
        <f>347+(245.8-32)+(0+(0-0))+0-0-0</f>
        <v>560.79999999999995</v>
      </c>
      <c r="Y268" s="3">
        <f>346+(228.3-32)+(-0.8823+(-0.582165--0.0816))+0-0-0</f>
        <v>540.91713499999992</v>
      </c>
      <c r="Z268" s="3">
        <f>346+(200.7-32)+(-0.35292+(-0.204714--0.03264))+0-0-0</f>
        <v>514.17500600000005</v>
      </c>
      <c r="AA268" s="3">
        <f>346+(172.2-31)+(-0.35292+(-0.175644--0.03162))+0-0-0</f>
        <v>486.703056</v>
      </c>
      <c r="AB268" s="3">
        <f>343+(140.8-30)+(0+(0-0))+0-0-0</f>
        <v>453.8</v>
      </c>
      <c r="AC268" s="3">
        <f>342+(112-29)+(-0.52326+(-0.17136--0.04437))+0-0-0</f>
        <v>424.34974999999997</v>
      </c>
      <c r="AD268">
        <v>557</v>
      </c>
      <c r="AE268" s="3">
        <f>350+(240-33)+(0+(0-0))+0-0-0</f>
        <v>557</v>
      </c>
    </row>
    <row r="269" spans="1:31" s="2" customFormat="1" x14ac:dyDescent="0.3">
      <c r="A269">
        <v>90</v>
      </c>
      <c r="B269">
        <v>9</v>
      </c>
      <c r="C269">
        <v>23</v>
      </c>
      <c r="D269">
        <v>5</v>
      </c>
      <c r="E269">
        <v>1</v>
      </c>
      <c r="F269" s="3">
        <f>341+(95.9-27)+(-0.34782+(-0.097818--0.02754))+0-0-0</f>
        <v>409.48190199999999</v>
      </c>
      <c r="G269" s="3">
        <f>307+(107.6-25)+(-0.31314+(-0.109752--0.0255))+0-0-0</f>
        <v>389.202608</v>
      </c>
      <c r="H269" s="3">
        <f>307+(99.5-23)+(-0.15657+(-0.050745--0.01173))+0-0-0</f>
        <v>383.30441500000001</v>
      </c>
      <c r="I269" s="3">
        <f>307+(101.4-23)+(-0.15657+(-0.051714--0.01173))+0-0-0</f>
        <v>385.20344599999999</v>
      </c>
      <c r="J269" s="3">
        <f>309+(110.5-24)+(1.10313+(0.394485-0.08568))+0-0-0</f>
        <v>396.91193500000003</v>
      </c>
      <c r="K269" s="3">
        <f>307+(165.3-27)+(0.31314+(0.168606-0.02754))+0-0-0</f>
        <v>445.75420600000001</v>
      </c>
      <c r="L269" s="3">
        <f>303+(209.9-28)+(-0.15453+(-0.107049--0.01428))+0-0-0</f>
        <v>484.65270099999998</v>
      </c>
      <c r="M269" s="3">
        <f>303+(216.5-28)+(-0.30906+(-0.22083--0.02856))+0-0-0</f>
        <v>490.99867</v>
      </c>
      <c r="N269" s="3">
        <f>307+(195.3-29)+(-0.15657+(-0.099603--0.01479))+0-0-0</f>
        <v>473.05861700000003</v>
      </c>
      <c r="O269" s="3">
        <f>354+(133.2-32.2)+(-0.18054+(-0.067932--0.016422))+0-0-0</f>
        <v>454.76794999999998</v>
      </c>
      <c r="P269" s="3">
        <f>354+(130.7-33.1)+(0+(0-0))+0-0-0</f>
        <v>451.6</v>
      </c>
      <c r="Q269" s="3">
        <f>353+(140.6-30)+(-0.36006+(-0.143412--0.0306))+0-0-0</f>
        <v>463.12712800000003</v>
      </c>
      <c r="R269" s="3">
        <f>354+(146.4-30)+(-0.54162+(-0.223992--0.0459))+0-0-0</f>
        <v>469.68028799999996</v>
      </c>
      <c r="S269" s="3">
        <f>354+(141.8-29)+(-0.54162+(-0.216954--0.04437))+0-0-0</f>
        <v>466.08579600000002</v>
      </c>
      <c r="T269" s="3">
        <f>350+(139.5-29)+(0.5355+(0.213435-0.04437))+0-0-0</f>
        <v>461.204565</v>
      </c>
      <c r="U269" s="3">
        <f>349+(147.4-29)+(0+(0-0))+0-0-0</f>
        <v>467.4</v>
      </c>
      <c r="V269" s="3">
        <f>354+(189.9-30)+(-0.18054+(-0.096849--0.0153))+0-0-0</f>
        <v>513.63791100000003</v>
      </c>
      <c r="W269" s="3">
        <f>376+(223.7-32)+(0.38352+(0.228174-0.03264))+0-0-0</f>
        <v>568.27905400000009</v>
      </c>
      <c r="X269" s="3">
        <f>378+(215.2-32)+(-0.77112+(-0.439008--0.06528))+0-0-0</f>
        <v>560.05515200000002</v>
      </c>
      <c r="Y269" s="3">
        <f>377+(195.8-32)+(-1.15362+(-0.599148--0.09792))+0-0-0</f>
        <v>539.14515199999994</v>
      </c>
      <c r="Z269" s="3">
        <f>378+(168.8-32)+(-0.19278+(-0.086088--0.01632))+0-0-0</f>
        <v>514.53745199999992</v>
      </c>
      <c r="AA269" s="3">
        <f>378+(143.1-33.6)+(-0.77112+(-0.291924--0.068544))+0-0-0</f>
        <v>486.50549999999998</v>
      </c>
      <c r="AB269" s="3">
        <f>373+(126.7-35.1)+(-0.76092+(-0.258468--0.071604))+0-0-0</f>
        <v>463.65221600000001</v>
      </c>
      <c r="AC269" s="3">
        <f>339+(125.5-29)+(-0.69156+(-0.25602--0.05916))+0-0-0</f>
        <v>434.61158</v>
      </c>
      <c r="AD269">
        <v>569.6</v>
      </c>
      <c r="AE269" s="3">
        <f>380+(221.6-32)+(0+(0-0))+0-0-0</f>
        <v>569.6</v>
      </c>
    </row>
    <row r="270" spans="1:31" s="2" customFormat="1" x14ac:dyDescent="0.3">
      <c r="A270">
        <v>90</v>
      </c>
      <c r="B270">
        <v>9</v>
      </c>
      <c r="C270">
        <v>24</v>
      </c>
      <c r="D270">
        <v>6</v>
      </c>
      <c r="E270">
        <v>1</v>
      </c>
      <c r="F270" s="3">
        <f>305+(121.5-25)+(-0.77775+(-0.309825--0.06375))+0-0-0</f>
        <v>400.47617500000001</v>
      </c>
      <c r="G270" s="3">
        <f>304+(112.9-24)+(-0.15504+(-0.057579--0.01224))+0-0-0</f>
        <v>392.69962099999998</v>
      </c>
      <c r="H270" s="3">
        <f>303+(106.2-24)+(-0.46359+(-0.162486--0.03672))+0-0-0</f>
        <v>384.61064399999998</v>
      </c>
      <c r="I270" s="3">
        <f>304+(104.4-25)+(0.46512+(0.159732-0.03825))+0-0-0</f>
        <v>383.986602</v>
      </c>
      <c r="J270" s="3">
        <f>304+(119.7-25)+(0.15504+(0.061047-0.01275))+0-0-0</f>
        <v>398.90333699999996</v>
      </c>
      <c r="K270" s="3">
        <f>304+(173.5-27)+(0.46512+(0.265455-0.04131))+0-0-0</f>
        <v>451.18926499999998</v>
      </c>
      <c r="L270" s="3">
        <f>306+(208-29)+(0.15606+(0.10608-0.01479))+0-0-0</f>
        <v>485.24734999999998</v>
      </c>
      <c r="M270" s="3">
        <f>306+(222.9-30)+(0.15606+(0.113679-0.0153))+0-0-0</f>
        <v>499.15443899999997</v>
      </c>
      <c r="N270" s="3">
        <f>306+(212-30)+(0.15606+(0.10812-0.0153))+0.8-0-0</f>
        <v>489.04888</v>
      </c>
      <c r="O270" s="3">
        <f>306+(202.9-31)+(-0.15606+(-0.103479--0.01581))+0-0-0</f>
        <v>477.656271</v>
      </c>
      <c r="P270" s="3">
        <f>305+(198.1-30)+(-0.3111+(-0.202062--0.0306))+0-0-0</f>
        <v>472.61743800000005</v>
      </c>
      <c r="Q270" s="3">
        <f>305+(194.4-32)+(-0.6222+(-0.396576--0.06528))+0-0-0</f>
        <v>466.446504</v>
      </c>
      <c r="R270" s="3">
        <f>303+(198-27)+(-0.92718+(-0.60588--0.08262))+0-0-0</f>
        <v>472.54955999999999</v>
      </c>
      <c r="S270" s="3">
        <f>304+(183.5-27)+(0+(0-0))+0-0-0</f>
        <v>460.5</v>
      </c>
      <c r="T270" s="3">
        <f>303+(173.6-30)+(-0.61812+(-0.354144--0.0612))+0-0-0</f>
        <v>445.68893600000001</v>
      </c>
      <c r="U270" s="3">
        <f>303+(174.2-30)+(0+(0-0))+0-0-0</f>
        <v>447.2</v>
      </c>
      <c r="V270" s="3">
        <f>304+(216.7-31)+(0+(0-0))+0-0-0</f>
        <v>489.7</v>
      </c>
      <c r="W270" s="3">
        <f>308+(274.8-32)+(0+(0-0))+0-0-0</f>
        <v>550.79999999999995</v>
      </c>
      <c r="X270" s="3">
        <f>307+(274.4-31)+(-0.62628+(-0.559776--0.06324))+0-0-0</f>
        <v>549.27718400000003</v>
      </c>
      <c r="Y270" s="3">
        <f>307+(254.5-31)+(-0.46971+(-0.389385--0.04743))+0-0-0</f>
        <v>529.68833500000005</v>
      </c>
      <c r="Z270" s="3">
        <f>308+(227.7-32)+(-0.15708+(-0.116127--0.01632))+0-0-0</f>
        <v>503.44311299999998</v>
      </c>
      <c r="AA270" s="3">
        <f>307+(204-31)+(-0.62628+(-0.41616--0.06324))+0-0-0</f>
        <v>479.02080000000001</v>
      </c>
      <c r="AB270" s="3">
        <f>307+(182.1-30)+(-0.78285+(-0.464355--0.0765))+0-0-0</f>
        <v>457.92929500000002</v>
      </c>
      <c r="AC270" s="3">
        <f>307+(152.5-29)+(-0.78285+(-0.388875--0.07395))+0-0-0</f>
        <v>429.40222499999999</v>
      </c>
      <c r="AD270">
        <v>551.6</v>
      </c>
      <c r="AE270" s="3">
        <f>308+(276.6-33)+(0+(0-0))+0-0-0</f>
        <v>551.6</v>
      </c>
    </row>
    <row r="271" spans="1:31" s="2" customFormat="1" x14ac:dyDescent="0.3">
      <c r="A271">
        <v>90</v>
      </c>
      <c r="B271">
        <v>9</v>
      </c>
      <c r="C271">
        <v>25</v>
      </c>
      <c r="D271">
        <v>7</v>
      </c>
      <c r="E271">
        <v>1</v>
      </c>
      <c r="F271" s="3">
        <f>307+(128.9-25)+(-0.31314+(-0.131478--0.0255))+0-0-0</f>
        <v>410.48088199999995</v>
      </c>
      <c r="G271" s="3">
        <f>306+(116.6-25.7)+(-0.62424+(-0.237864--0.052428))+0-0-0</f>
        <v>396.09032399999995</v>
      </c>
      <c r="H271" s="3">
        <f>307+(108.6-25.4)+(-0.15657+(-0.055386--0.012954))+0-0-0</f>
        <v>390.00099799999998</v>
      </c>
      <c r="I271" s="3">
        <f>307+(108.8-25)+(-0.31314+(-0.110976--0.0255))+0-0-0</f>
        <v>390.40138400000001</v>
      </c>
      <c r="J271" s="3">
        <f>307+(118.5-23.5)+(0.15657+(0.060435-0.011985))+0-0-0</f>
        <v>402.20501999999999</v>
      </c>
      <c r="K271" s="3">
        <f>307+(143.4-25)+(0+(0-0))+0-0-0</f>
        <v>425.4</v>
      </c>
      <c r="L271" s="3">
        <f>309+(178.4-28)+(-0.15759+(-0.090984--0.01428))+0-0-0</f>
        <v>459.165706</v>
      </c>
      <c r="M271" s="3">
        <f>307+(202.6-30)+(-1.09599+(-0.723282--0.1071))+0-0-0</f>
        <v>477.88782800000001</v>
      </c>
      <c r="N271" s="3">
        <f>306+(200.1-31)+(0.31212+(0.204102-0.03162))+0-0-0</f>
        <v>475.58460200000002</v>
      </c>
      <c r="O271" s="3">
        <f>306+(202.7-32)+(0+(0-0))+0-0-0</f>
        <v>476.7</v>
      </c>
      <c r="P271" s="3">
        <f>305+(204.5-31)+(-0.6222+(-0.41718--0.06324))+0-0-0</f>
        <v>477.52386000000001</v>
      </c>
      <c r="Q271" s="3">
        <f>290+(224.4-31)+(-0.2958+(-0.228888--0.03162))+0-0-0</f>
        <v>482.90693199999998</v>
      </c>
      <c r="R271" s="3">
        <f>304+(207.7-31)+(-0.7752+(-0.529635--0.07905))+0-0-0</f>
        <v>479.47421500000002</v>
      </c>
      <c r="S271" s="3">
        <f>264+(231.8-30)+(-0.40392+(-0.354654--0.0459))+0-0-0</f>
        <v>465.08732600000002</v>
      </c>
      <c r="T271" s="3">
        <f>230+(252.4-29)+(-0.2346+(-0.257448--0.02958))+0-0-0</f>
        <v>452.93753199999998</v>
      </c>
      <c r="U271" s="3">
        <f>230+(251.7-29)+(0.1173+(0.128367-0.01479))+0-0-0</f>
        <v>452.93087700000001</v>
      </c>
      <c r="V271" s="3">
        <f>237+(277.9-29)+(0.24174+(0.283458-0.02958))+0-0-0</f>
        <v>486.39561799999996</v>
      </c>
      <c r="W271" s="3">
        <f>308+(272-30)+(0+(0-0))+0-0-0</f>
        <v>550</v>
      </c>
      <c r="X271" s="3">
        <f>307+(276.8-30)+(-0.78285+(-0.70584--0.0765))+0-0-0</f>
        <v>552.38780999999994</v>
      </c>
      <c r="Y271" s="3">
        <f>308+(261-31)+(0.15708+(0.13311-0.01581))+0-0-0</f>
        <v>538.27437999999995</v>
      </c>
      <c r="Z271" s="3">
        <f>308+(241.9-30)+(-0.31416+(-0.246738--0.0306))+0-0-0</f>
        <v>519.36970199999996</v>
      </c>
      <c r="AA271" s="3">
        <f>307+(208.7-29)+(-0.78285+(-0.532185--0.07395))+0-0-0</f>
        <v>485.45891499999999</v>
      </c>
      <c r="AB271" s="3">
        <f>308+(174.5-28)+(-0.47124+(-0.266985--0.04284))+0-0-0</f>
        <v>453.80461500000001</v>
      </c>
      <c r="AC271" s="3">
        <f>306+(144.3-28)+(-0.7803+(-0.367965--0.0714))+0-0-0</f>
        <v>421.22313500000001</v>
      </c>
      <c r="AD271">
        <v>554.79999999999995</v>
      </c>
      <c r="AE271" s="3">
        <f>309+(275.8-30)+(0+(0-0))+0-0-0</f>
        <v>554.79999999999995</v>
      </c>
    </row>
    <row r="272" spans="1:31" s="2" customFormat="1" x14ac:dyDescent="0.3">
      <c r="A272">
        <v>90</v>
      </c>
      <c r="B272">
        <v>9</v>
      </c>
      <c r="C272">
        <v>26</v>
      </c>
      <c r="D272">
        <v>1</v>
      </c>
      <c r="E272">
        <v>1</v>
      </c>
      <c r="F272" s="3">
        <f>307+(118.4-31.6)+(0+(0-0))+0-0-0</f>
        <v>393.8</v>
      </c>
      <c r="G272" s="3">
        <f>306+(111-31.8)+(-0.62424+(-0.22644--0.064872))+0-0-0</f>
        <v>384.41419200000001</v>
      </c>
      <c r="H272" s="3">
        <f>284+(117.4-26)+(-0.7242+(-0.29937--0.0663))+0-0-0</f>
        <v>374.44272999999998</v>
      </c>
      <c r="I272" s="3">
        <f>257+(142.8-25)+(0.39321+(0.218484-0.03825))+0-0-0</f>
        <v>375.37344400000001</v>
      </c>
      <c r="J272" s="3">
        <f>257+(159.8-27)+(0+(0-0))+0-0-0</f>
        <v>389.8</v>
      </c>
      <c r="K272" s="3">
        <f>269+(206.3-29)+(0.41157+(0.315639-0.04437))+0-0-0</f>
        <v>446.98283900000001</v>
      </c>
      <c r="L272" s="3">
        <f>303+(212.2-31)+(-0.15453+(-0.108222--0.01581))+0-0-0</f>
        <v>483.953058</v>
      </c>
      <c r="M272" s="3">
        <f>303+(215.3-30)+(0.15453+(0.109803-0.0153))+0-0-0</f>
        <v>488.54903300000001</v>
      </c>
      <c r="N272" s="3">
        <f>290+(230.4-30)+(-0.1479+(-0.117504--0.0153))+0-0-0</f>
        <v>490.14989599999996</v>
      </c>
      <c r="O272" s="3">
        <f>302+(212.3-30)+(-0.46206+(-0.324819--0.0459))+0-0-0</f>
        <v>483.55902100000003</v>
      </c>
      <c r="P272" s="3">
        <f>301+(204.9-29)+(-0.46053+(-0.313497--0.04437))+0-0-0</f>
        <v>476.170343</v>
      </c>
      <c r="Q272" s="3">
        <f>314+(180.7-30)+(-0.48042+(-0.276471--0.0459))+0-0-0</f>
        <v>463.98900900000001</v>
      </c>
      <c r="R272" s="3">
        <f>330+(154.1-30)+(-0.5049+(-0.235773--0.0459))+0-0-0</f>
        <v>453.40522700000002</v>
      </c>
      <c r="S272" s="3">
        <f>331+(146.1-28)+(-0.33762+(-0.149022--0.02856))+0-0-0</f>
        <v>448.64191800000003</v>
      </c>
      <c r="T272" s="3">
        <f>294+(168.9-27)+(-0.59976+(-0.344556--0.05508))+0-0-0</f>
        <v>435.01076399999999</v>
      </c>
      <c r="U272" s="3">
        <f>309+(162.8-27)+(-0.15759+(-0.083028--0.01377))+0-0-0</f>
        <v>444.57315199999999</v>
      </c>
      <c r="V272" s="3">
        <f>363+(164.2-27)+(-0.18513+(-0.083742--0.01377))+0-0-0</f>
        <v>499.94489799999997</v>
      </c>
      <c r="W272" s="3">
        <f>363+(230-32)+(-0.18513+(-0.1173--0.01632))+0-0-0</f>
        <v>560.71388999999999</v>
      </c>
      <c r="X272" s="3">
        <f>362+(227.1-31)+(-0.73848+(-0.463284--0.06324))+0-0-0</f>
        <v>556.96147600000006</v>
      </c>
      <c r="Y272" s="3">
        <f>362+(208.9-30)+(-0.9231+(-0.532695--0.0765))+0-0-0</f>
        <v>539.52070500000002</v>
      </c>
      <c r="Z272" s="3">
        <f>361+(187.3-30)+(-0.92055+(-0.477615--0.0765))+0-0-0</f>
        <v>516.9783349999999</v>
      </c>
      <c r="AA272" s="3">
        <f>362+(161.6-30)+(-0.55386+(-0.247248--0.0459))+0-0-0</f>
        <v>492.84479200000004</v>
      </c>
      <c r="AB272" s="3">
        <f>355+(125.4-29)+(-0.90525+(-0.31977--0.07395))+0-0-0</f>
        <v>450.24892999999997</v>
      </c>
      <c r="AC272" s="3">
        <f>355+(101-31)+(-0.90525+(-0.25755--0.07905))+0-0-0</f>
        <v>423.91624999999999</v>
      </c>
      <c r="AD272">
        <v>551.4</v>
      </c>
      <c r="AE272" s="3">
        <f>363+(221.4-33)+(0+(0-0))+0-0-0</f>
        <v>551.4</v>
      </c>
    </row>
    <row r="273" spans="1:31" s="2" customFormat="1" x14ac:dyDescent="0.3">
      <c r="A273">
        <v>90</v>
      </c>
      <c r="B273">
        <v>9</v>
      </c>
      <c r="C273">
        <v>27</v>
      </c>
      <c r="D273">
        <v>2</v>
      </c>
      <c r="E273">
        <v>1</v>
      </c>
      <c r="F273" s="3">
        <f>328+(107.3-30)+(0+(0-0))+0-0-0</f>
        <v>405.3</v>
      </c>
      <c r="G273" s="3">
        <f>302+(118.3-31)+(0+(0-0))+0-0-0</f>
        <v>389.3</v>
      </c>
      <c r="H273" s="3">
        <f>296+(120-26)+(0+(0-0))+0-0-0</f>
        <v>390</v>
      </c>
      <c r="I273" s="3">
        <f>273+(139.6-25)+(0+(0-0))+0-0-0</f>
        <v>387.6</v>
      </c>
      <c r="J273" s="3">
        <f>271+(160.2-26)+(0+(0-0))+0-0-0</f>
        <v>405.2</v>
      </c>
      <c r="K273" s="3">
        <f>273+(212.5-28)+(0+(0-0))+0-0-0</f>
        <v>457.5</v>
      </c>
      <c r="L273" s="3">
        <f>271+(225.9-30)+(0+(0-0))+0-0-0</f>
        <v>466.9</v>
      </c>
      <c r="M273" s="3">
        <f>270+(259.1-31)+(0+(0-0))+0-0-0</f>
        <v>498.1</v>
      </c>
      <c r="N273" s="3">
        <f>274+(233.4-32)+(0+(0-0))+0-0-0</f>
        <v>475.4</v>
      </c>
      <c r="O273" s="3">
        <f>309+(201-32)+(-0.31518+(-0.20502--0.03264))+0-0-0</f>
        <v>477.51244000000003</v>
      </c>
      <c r="P273" s="3">
        <f>331+(177.7-32)+(-0.50643+(-0.271881--0.04896))+0-0-0</f>
        <v>475.97064899999998</v>
      </c>
      <c r="Q273" s="3">
        <f>351+(141.3-39)+(-0.53703+(-0.216189--0.05967))+0-0-0</f>
        <v>452.60645099999999</v>
      </c>
      <c r="R273" s="3">
        <f>358+(139.3-32)+(-0.73032+(-0.284172--0.06528))+0-0-0</f>
        <v>464.35078800000002</v>
      </c>
      <c r="S273" s="3">
        <f>351+(137.3-31)+(-0.89505+(-0.350115--0.07905))+0-0-0</f>
        <v>456.13388500000002</v>
      </c>
      <c r="T273" s="3">
        <f>332+(162.1-31)+(0+(0-0))+0-0-0</f>
        <v>463.1</v>
      </c>
      <c r="U273" s="3">
        <f>301+(182.2-29)+(-0.76755+(-0.46461--0.07395))+0-0-0</f>
        <v>453.04178999999999</v>
      </c>
      <c r="V273" s="3">
        <f>335+(197.3-29)+(-0.17085+(-0.100623--0.01479))+0-0-0</f>
        <v>503.043317</v>
      </c>
      <c r="W273" s="3">
        <f>353+(235.8-32)+(0.18003+(0.120258-0.01632))+0-0-0</f>
        <v>557.08396799999991</v>
      </c>
      <c r="X273" s="3">
        <f>353+(233.1-31)+(-0.36006+(-0.237762--0.03162))+0-0-0</f>
        <v>554.53379800000005</v>
      </c>
      <c r="Y273" s="3">
        <f>353+(222.6-31)+(-0.36006+(-0.227052--0.03162))+0-0-0</f>
        <v>544.04450800000006</v>
      </c>
      <c r="Z273" s="3">
        <f>352+(201.6-31)+(-0.71808+(-0.411264--0.06324))+0-0-0</f>
        <v>521.53389600000003</v>
      </c>
      <c r="AA273" s="3">
        <f>352+(169.7-30)+(-0.71808+(-0.346188--0.0612))+0-0-0</f>
        <v>490.696932</v>
      </c>
      <c r="AB273" s="3">
        <f>348+(142.3-29)+(-0.53244+(-0.217719--0.04437))+0-0-0</f>
        <v>460.59421100000003</v>
      </c>
      <c r="AC273" s="3">
        <f>298+(163.2-28)+(-0.60792+(-0.332928--0.05712))+0-0-0</f>
        <v>432.31627199999997</v>
      </c>
      <c r="AD273">
        <v>559.9</v>
      </c>
      <c r="AE273" s="3">
        <f>353+(237.9-31)+(0+(0-0))+0-0-0</f>
        <v>559.9</v>
      </c>
    </row>
    <row r="274" spans="1:31" s="2" customFormat="1" x14ac:dyDescent="0.3">
      <c r="A274">
        <v>90</v>
      </c>
      <c r="B274">
        <v>9</v>
      </c>
      <c r="C274">
        <v>28</v>
      </c>
      <c r="D274">
        <v>3</v>
      </c>
      <c r="E274">
        <v>1</v>
      </c>
      <c r="F274" s="3">
        <f>296+(142-26)+(-0.45288+(-0.21726--0.03978))+0-0-0</f>
        <v>411.36964</v>
      </c>
      <c r="G274" s="3">
        <f>265+(148.4-25)+(-0.67575+(-0.37842--0.06375))+0-0-0</f>
        <v>387.40958000000001</v>
      </c>
      <c r="H274" s="3">
        <f>257+(148-25)+(-0.13107+(-0.07548--0.01275))+0-0-0</f>
        <v>379.80619999999999</v>
      </c>
      <c r="I274" s="3">
        <f>257+(149.6-25)+(0+(0-0))+0-0-0</f>
        <v>381.6</v>
      </c>
      <c r="J274" s="3">
        <f>257+(165.4-26)+(0.13107+(0.084354-0.01326))+0-0-0</f>
        <v>396.60216399999996</v>
      </c>
      <c r="K274" s="3">
        <f>258+(217.6-28)+(0.52632+(0.443904-0.05712))+0-0-0</f>
        <v>448.513104</v>
      </c>
      <c r="L274" s="3">
        <f>291+(223.5-31)+(0.44523+(0.341955-0.04743))+0-0-0</f>
        <v>484.239755</v>
      </c>
      <c r="M274" s="3">
        <f>313+(210-30)+(0+(0-0))+0-0-0</f>
        <v>493</v>
      </c>
      <c r="N274" s="3">
        <f>329+(184.6-29)+(-0.16779+(-0.094146--0.01479))+0-0-0</f>
        <v>484.35285400000004</v>
      </c>
      <c r="O274" s="3">
        <f>336+(171.1-27)+(-0.34272+(-0.174522--0.02754))+0-0-0</f>
        <v>479.610298</v>
      </c>
      <c r="P274" s="3">
        <f>368+(143.1-38.6)+(-0.37536+(-0.145962--0.039372))+1-0-0</f>
        <v>473.01805000000002</v>
      </c>
      <c r="Q274" s="3">
        <f>370+(148-36.5)+(-0.7548+(-0.30192--0.07446))+0-0-0</f>
        <v>480.51774</v>
      </c>
      <c r="R274" s="3">
        <f>369+(145.4-30.8)+(-0.56457+(-0.222462--0.047124))+0-0-0</f>
        <v>482.86009200000001</v>
      </c>
      <c r="S274" s="3">
        <f>369+(139.3-30.3)+(-0.37638+(-0.142086--0.030906))+0-0-0</f>
        <v>477.51244000000003</v>
      </c>
      <c r="T274" s="3">
        <f>369+(129.9-31.9)+(-0.37638+(-0.132498--0.032538))+0-0-0</f>
        <v>466.52366000000001</v>
      </c>
      <c r="U274" s="3">
        <f>370+(137.3-33.9)+(-0.1887+(-0.070023--0.017289))+0-0-0</f>
        <v>473.15856599999995</v>
      </c>
      <c r="V274" s="3">
        <f>374+(165.8-30)+(-0.19074+(-0.084558--0.0153))+0-0-0</f>
        <v>509.54000200000002</v>
      </c>
      <c r="W274" s="3">
        <f>382+(222.9-32)+(0.38964+(0.227358-0.03264))+0-0-0</f>
        <v>573.48435799999993</v>
      </c>
      <c r="X274" s="3">
        <f>383+(217.2-31)+(0+(0-0))+0-0-0</f>
        <v>569.20000000000005</v>
      </c>
      <c r="Y274" s="3">
        <f>381+(199.1-31)+(-1.16586+(-0.609246--0.09486))+0-0-0</f>
        <v>547.41975400000001</v>
      </c>
      <c r="Z274" s="3">
        <f>363+(175.9-31)+(0+(0-0))+0-0-0</f>
        <v>507.9</v>
      </c>
      <c r="AA274" s="3">
        <f>344+(151.6-31)+(-0.52632+(-0.231948--0.04743))+0-0-0</f>
        <v>463.889162</v>
      </c>
      <c r="AB274" s="3">
        <f>344+(118-30)+(-0.70176+(-0.24072--0.0612))+0-0-0</f>
        <v>431.11872</v>
      </c>
      <c r="AC274" s="3">
        <f>344+(87.7-34.7)+(-0.8772+(-0.223635--0.088485))+0.7-0-0</f>
        <v>396.68764999999996</v>
      </c>
      <c r="AD274">
        <v>564.4</v>
      </c>
      <c r="AE274" s="3">
        <f>383+(213.4-32)+(0+(0-0))+0-0-0</f>
        <v>564.4</v>
      </c>
    </row>
    <row r="275" spans="1:31" s="2" customFormat="1" x14ac:dyDescent="0.3">
      <c r="A275">
        <v>90</v>
      </c>
      <c r="B275">
        <v>9</v>
      </c>
      <c r="C275">
        <v>29</v>
      </c>
      <c r="D275">
        <v>4</v>
      </c>
      <c r="E275">
        <v>1</v>
      </c>
      <c r="F275" s="3">
        <f>343+(70.9-36.5)+(-0.69972+(-0.144636--0.07446))+0-0-0</f>
        <v>376.63010399999996</v>
      </c>
      <c r="G275" s="3">
        <f>296+(100.5-31)+(-0.30192+(-0.10251--0.03162))+0-0-0</f>
        <v>365.12718999999998</v>
      </c>
      <c r="H275" s="3">
        <f>256+(126.3-26)+(-0.13056+(-0.064413--0.01326))+0-0-0</f>
        <v>356.11828700000001</v>
      </c>
      <c r="I275" s="3">
        <f>256+(126.2-26)+(0.13056+(0.064362-0.01326))+0-0-0</f>
        <v>356.38166200000001</v>
      </c>
      <c r="J275" s="3">
        <f>254+(145.5-27)+(-0.77724+(-0.44523--0.08262))+0-0-0</f>
        <v>371.36014999999998</v>
      </c>
      <c r="K275" s="3">
        <f>257+(190.1-28)+(0.52428+(0.387804-0.05712))+0-0-0</f>
        <v>419.95496400000002</v>
      </c>
      <c r="L275" s="3">
        <f>295+(196.7-25)+(0.3009+(0.200634-0.0255))+0-0-0</f>
        <v>467.17603400000002</v>
      </c>
      <c r="M275" s="3">
        <f>294+(210.5-20)+(-0.7497+(-0.536775--0.051))+0-0-0</f>
        <v>483.26452499999999</v>
      </c>
      <c r="N275" s="3">
        <f>297+(212.2-19)+(0.15147+(0.108222-0.00969))+0-0-0</f>
        <v>490.45000199999998</v>
      </c>
      <c r="O275" s="3">
        <f>328+(183.9-19)+(-0.33456+(-0.187578--0.01938))+0-0-0</f>
        <v>492.39724200000001</v>
      </c>
      <c r="P275" s="3">
        <f>345+(160.8-15)+(0.17595+(0.082008-0.00765))+0.7-0-0</f>
        <v>491.75030800000002</v>
      </c>
      <c r="Q275" s="3">
        <f>356+(146.5-20)+(-0.18156+(-0.074715--0.0102))+4-0-0</f>
        <v>486.25392499999998</v>
      </c>
      <c r="R275" s="3">
        <f>356+(151.9-27)+(-0.9078+(-0.387345--0.06885))+4-0-0</f>
        <v>483.67370499999998</v>
      </c>
      <c r="S275" s="3">
        <f>356+(154.7-31)+(-0.54468+(-0.236691--0.04743))+1.3-0-0</f>
        <v>480.26605899999998</v>
      </c>
      <c r="T275" s="3">
        <f>357+(139-32)+(-0.18207+(-0.07089--0.01632))+0-0-0</f>
        <v>463.76335999999998</v>
      </c>
      <c r="U275" s="3">
        <f>359+(144.6-32)+(0.73236+(0.294984-0.06528))+0-0-0</f>
        <v>472.56206400000002</v>
      </c>
      <c r="V275" s="3">
        <f>363+(186.2-33)+(-0.37026+(-0.189924--0.03366))+0-0-0</f>
        <v>515.67347600000005</v>
      </c>
      <c r="W275" s="3">
        <f>363+(249.5-31)+(0.18513+(0.127245-0.01581))+0-0-0</f>
        <v>581.79656499999999</v>
      </c>
      <c r="X275" s="3">
        <f>362+(253.6-30)+(-0.73848+(-0.517344--0.0612))+0-0-0</f>
        <v>584.40537600000005</v>
      </c>
      <c r="Y275" s="3">
        <f>362+(231.9-30)+(-0.73848+(-0.473076--0.0612))+0-0-0</f>
        <v>562.74964399999999</v>
      </c>
      <c r="Z275" s="3">
        <f>362+(206.2-29)+(-0.55386+(-0.315486--0.04437))+0-0-0</f>
        <v>538.37502400000005</v>
      </c>
      <c r="AA275" s="3">
        <f>362+(175-27)+(-0.55386+(-0.26775--0.04131))+0-0-0</f>
        <v>509.21969999999999</v>
      </c>
      <c r="AB275" s="3">
        <f>363+(144.2-26)+(-0.55539+(-0.220626--0.03978))+0-0-0</f>
        <v>480.46376399999997</v>
      </c>
      <c r="AC275" s="3">
        <f>361+(116.5-27.7)+(-0.92055+(-0.297075--0.070635))+0-0-0</f>
        <v>448.65300999999999</v>
      </c>
      <c r="AD275">
        <v>579.79999999999995</v>
      </c>
      <c r="AE275" s="3">
        <f>363+(249.8-33)+(0+(0-0))+0-0-0</f>
        <v>579.79999999999995</v>
      </c>
    </row>
    <row r="276" spans="1:31" s="2" customFormat="1" x14ac:dyDescent="0.3">
      <c r="A276">
        <v>90</v>
      </c>
      <c r="B276">
        <v>9</v>
      </c>
      <c r="C276">
        <v>30</v>
      </c>
      <c r="D276">
        <v>5</v>
      </c>
      <c r="E276">
        <v>1</v>
      </c>
      <c r="F276" s="3">
        <f>298+(139.3-23)+(-0.45594+(-0.213129--0.03519))+0-0-0</f>
        <v>413.66612100000003</v>
      </c>
      <c r="G276" s="3">
        <f>254+(177.6-21)+(-0.25908+(-0.181152--0.02142))+0-0-0</f>
        <v>410.18118800000002</v>
      </c>
      <c r="H276" s="3">
        <f>251+(171.8-20)+(-0.25602+(-0.175236--0.0204))+0-0-0</f>
        <v>402.38914399999999</v>
      </c>
      <c r="I276" s="3">
        <f>251+(168.5-20)+(0.12801+(0.085935-0.0102))+0-0-0</f>
        <v>399.70374500000003</v>
      </c>
      <c r="J276" s="3">
        <f>254+(179.5-20)+(0.12954+(0.091545-0.0102))+0-0-0</f>
        <v>413.71088500000002</v>
      </c>
      <c r="K276" s="3">
        <f>283+(208.9-25)+(0.14433+(0.106539-0.01275))+0-0-0</f>
        <v>467.13811899999996</v>
      </c>
      <c r="L276" s="3">
        <f>294+(235.3-28)+(0.14994+(0.120003-0.01428))+0-0-0</f>
        <v>501.55566300000004</v>
      </c>
      <c r="M276" s="3">
        <f>293+(252.8-30)+(-0.29886+(-0.257856--0.0306))+0-0-0</f>
        <v>515.27388399999995</v>
      </c>
      <c r="N276" s="3">
        <f>299+(257.9-33)+(0.45747+(0.394587-0.05049))+0-0-0</f>
        <v>524.70156699999995</v>
      </c>
      <c r="O276" s="3">
        <f>330+(218.1-33)+(-0.8415+(-0.556155--0.08415))+0-0-0</f>
        <v>513.78649500000006</v>
      </c>
      <c r="P276" s="3">
        <f>368+(159.4-34.6)+(-0.18768+(-0.081294--0.017646))+0-0-0</f>
        <v>492.54867200000001</v>
      </c>
      <c r="Q276" s="3">
        <f>374+(163.8-32)+(-0.57222+(-0.250614--0.04896))+0-0-0</f>
        <v>505.02612600000003</v>
      </c>
      <c r="R276" s="3">
        <f>373+(173.9-25)+(-0.38046+(-0.177378--0.0255))+0-0-0</f>
        <v>521.367662</v>
      </c>
      <c r="S276" s="3">
        <f>364+(177.5-23)+(-0.37128+(-0.18105--0.02346))+0-0-0</f>
        <v>517.97113000000002</v>
      </c>
      <c r="T276" s="3">
        <f>370+(159.2-30)+(-0.5661+(-0.243576--0.0459))+0-0-0</f>
        <v>498.43622399999998</v>
      </c>
      <c r="U276" s="3">
        <f>373+(171.9-31)+(-0.95115+(-0.438345--0.07905))+0-0-0</f>
        <v>512.58955500000002</v>
      </c>
      <c r="V276" s="3">
        <f>383+(204.7-30)+(0.39066+(0.208794-0.0306))+0-0-0</f>
        <v>558.26885400000003</v>
      </c>
      <c r="W276" s="3">
        <f>386+(263.3-30)+(-0.59058+(-0.402849--0.0459))+0-0-0</f>
        <v>618.35247099999992</v>
      </c>
      <c r="X276" s="3">
        <f>386+(254.1-30)+(-0.78744+(-0.518364--0.0612))+0-0-0</f>
        <v>608.85539600000004</v>
      </c>
      <c r="Y276" s="3">
        <f>387+(228.9-29)+(0.39474+(0.233478-0.02958))+0-0-0</f>
        <v>587.49863800000003</v>
      </c>
      <c r="Z276" s="3">
        <f>386+(202.6-29)+(-0.78744+(-0.413304--0.05916))+0-0-0</f>
        <v>558.45841600000006</v>
      </c>
      <c r="AA276" s="3">
        <f>386+(172.7-29)+(-0.78744+(-0.352308--0.05916))+0-0-0</f>
        <v>528.61941200000001</v>
      </c>
      <c r="AB276" s="3">
        <f>385+(146.1-31.4)+(0.19635+(0.074511-0.016014))+0-0-0</f>
        <v>499.95484699999997</v>
      </c>
      <c r="AC276" s="3">
        <f>385+(122.5-33.6)+(-0.19635+(-0.062475--0.017136))+0-0-0</f>
        <v>473.65831099999997</v>
      </c>
      <c r="AD276">
        <v>612.79999999999995</v>
      </c>
      <c r="AE276" s="3">
        <f>387+(253.8-28)+(0+(0-0))+0-0-0</f>
        <v>612.79999999999995</v>
      </c>
    </row>
    <row r="277" spans="1:31" s="2" customFormat="1" x14ac:dyDescent="0.3">
      <c r="A277">
        <v>90</v>
      </c>
      <c r="B277">
        <v>10</v>
      </c>
      <c r="C277">
        <v>1</v>
      </c>
      <c r="D277">
        <v>6</v>
      </c>
      <c r="E277">
        <v>1</v>
      </c>
      <c r="F277" s="3">
        <f>372+(104.6-32.1)+(-0.18972+(-0.053346--0.016371))+0-0-0</f>
        <v>444.27330499999999</v>
      </c>
      <c r="G277" s="3">
        <f>325+(134-25.1)+(-0.16575+(-0.06834--0.012801))+0-0-0</f>
        <v>433.67871099999996</v>
      </c>
      <c r="H277" s="3">
        <f>325+(125.5-24.9)+(0+(0-0))+0-0-0</f>
        <v>425.6</v>
      </c>
      <c r="I277" s="3">
        <f>325+(124.4-25.2)+(-0.16575+(-0.063444--0.012852))+0-0-0</f>
        <v>423.98365799999999</v>
      </c>
      <c r="J277" s="3">
        <f>325+(136.3-24.5)+(0.16575+(0.069513-0.012495))+0-0-0</f>
        <v>437.02276799999999</v>
      </c>
      <c r="K277" s="3">
        <f>325+(186.9-27)+(0+(0-0))+0-0-0</f>
        <v>484.9</v>
      </c>
      <c r="L277" s="3">
        <f>326+(222.3-29)+(0.16626+(0.113373-0.01479))+0-0-0</f>
        <v>519.564843</v>
      </c>
      <c r="M277" s="3">
        <f>331+(234.3-30)+(0+(0-0))+0-0-0</f>
        <v>535.29999999999995</v>
      </c>
      <c r="N277" s="3">
        <f>376+(179.7-32)+(-0.38352+(-0.183294--0.03264))+0-0-0</f>
        <v>523.16582600000004</v>
      </c>
      <c r="O277" s="3">
        <f>404+(156.3-21.3)+(0.20604+(0.079713-0.010863))+0-0-0</f>
        <v>539.27489000000003</v>
      </c>
      <c r="P277" s="3">
        <f>404+(158.6-31.9)+(0.61812+(0.242658-0.048807))+0-0-0</f>
        <v>531.51197100000002</v>
      </c>
      <c r="Q277" s="3">
        <f>420+(145.6-32.7)+(-0.2142+(-0.074256--0.016677))+0-0-0</f>
        <v>532.62822099999994</v>
      </c>
      <c r="R277" s="3">
        <f>421+(140.4-31.7)+(-1.07355+(-0.35802--0.080835))+0-0-0</f>
        <v>528.34926500000006</v>
      </c>
      <c r="S277" s="3">
        <f>421+(134.8-32.8)+(-0.85884+(-0.274992--0.066912))+0-0-0</f>
        <v>521.93308000000002</v>
      </c>
      <c r="T277" s="3">
        <f>423+(119.2-40.5)+(-0.21573+(-0.060792--0.020655))+0-0-0</f>
        <v>501.44413299999997</v>
      </c>
      <c r="U277" s="3">
        <f>423+(138.2-39.2)+(-1.07865+(-0.35241--0.09996))+0-0-0</f>
        <v>520.66890000000001</v>
      </c>
      <c r="V277" s="3">
        <f>430+(166.4-33.7)+(0.6579+(0.254592-0.051561))+0-0-0</f>
        <v>563.5609310000001</v>
      </c>
      <c r="W277" s="3">
        <f>372+(245.1-16)+(0+(0-0))+0-0-0</f>
        <v>601.1</v>
      </c>
      <c r="X277" s="3">
        <f>367+(251.8-29)+(-0.93585+(-0.64209--0.07395))+5.5-0-0</f>
        <v>593.79600999999991</v>
      </c>
      <c r="Y277" s="3">
        <f>366+(205.2-29)+(-0.9333+(-0.52326--0.07395))+35.5-0-0</f>
        <v>576.31739000000005</v>
      </c>
      <c r="Z277" s="3">
        <f>367+(214.4-28)+(-0.56151+(-0.328032--0.04284))+0-0-0</f>
        <v>552.55329799999993</v>
      </c>
      <c r="AA277" s="3">
        <f>368+(198.7-28)+(-0.18768+(-0.101337--0.01428))+0-0-0</f>
        <v>538.42526300000009</v>
      </c>
      <c r="AB277" s="3">
        <f>367+(180.7-28)+(-0.56151+(-0.276471--0.04284))+0-0-0</f>
        <v>518.9048590000001</v>
      </c>
      <c r="AC277" s="3">
        <f>367+(150.6-27)+(-0.37434+(-0.153612--0.02754))+0-0-0</f>
        <v>490.09958800000004</v>
      </c>
      <c r="AD277">
        <v>601.5</v>
      </c>
      <c r="AE277" s="3">
        <f>368+(262.5-29)+(0+(0-0))+0-0-0</f>
        <v>601.5</v>
      </c>
    </row>
    <row r="278" spans="1:31" s="2" customFormat="1" x14ac:dyDescent="0.3">
      <c r="A278">
        <v>90</v>
      </c>
      <c r="B278">
        <v>10</v>
      </c>
      <c r="C278">
        <v>2</v>
      </c>
      <c r="D278">
        <v>7</v>
      </c>
      <c r="E278">
        <v>1</v>
      </c>
      <c r="F278" s="3">
        <f>326+(164.6-26)+(0+(0-0))+0-0-0</f>
        <v>464.6</v>
      </c>
      <c r="G278" s="3">
        <f>289+(186.7-25)+(-0.73695+(-0.476085--0.06375))+0-0-0</f>
        <v>449.55071499999997</v>
      </c>
      <c r="H278" s="3">
        <f>289+(176.8-25)+(-0.58956+(-0.360672--0.051))+0-0-0</f>
        <v>439.90076800000003</v>
      </c>
      <c r="I278" s="3">
        <f>290+(169.5-24)+(0.1479+(0.086445-0.01224))+0-0-0</f>
        <v>435.722105</v>
      </c>
      <c r="J278" s="3">
        <f>290+(178.7-24)+(0.1479+(0.091137-0.01224))+0-0-0</f>
        <v>444.92679699999997</v>
      </c>
      <c r="K278" s="3">
        <f>290+(220.2-26)+(0+(0-0))+0-0-0</f>
        <v>484.2</v>
      </c>
      <c r="L278" s="3">
        <f>289+(232.2-27)+(-0.14739+(-0.118422--0.01377))+0-0-0</f>
        <v>493.94795799999997</v>
      </c>
      <c r="M278" s="3">
        <f>289+(239.3-29)+(0.29478+(0.244086-0.02958))+0-0-0</f>
        <v>499.80928599999999</v>
      </c>
      <c r="N278" s="3">
        <f>287+(246.8-31)+(0.29274+(0.251736-0.03162))+0-0-0</f>
        <v>503.31285600000001</v>
      </c>
      <c r="O278" s="3">
        <f>287+(265-32)+(0+(0-0))+0-0-0</f>
        <v>520</v>
      </c>
      <c r="P278" s="3">
        <f>287+(271.9-29)+(-0.29274+(-0.277338--0.02958))+0-0-0</f>
        <v>529.35950200000002</v>
      </c>
      <c r="Q278" s="3">
        <f>286+(277.6-31)+(0.29172+(0.283152-0.03162))+0-0-0</f>
        <v>533.14325200000007</v>
      </c>
      <c r="R278" s="3">
        <f>286+(281.8-31)+(-0.43758+(-0.431154--0.04743))+0-0-0</f>
        <v>535.9786959999999</v>
      </c>
      <c r="S278" s="3">
        <f>286+(270.1-30)+(-0.7293+(-0.688755--0.0765))+0-0-0</f>
        <v>524.75844500000005</v>
      </c>
      <c r="T278" s="3">
        <f>284+(257.2-29)+(-0.43452+(-0.393516--0.04437))+0-0-0</f>
        <v>511.41633400000006</v>
      </c>
      <c r="U278" s="3">
        <f>281+(271.6-29)+(-0.57324+(-0.554064--0.05916))+0-0-0</f>
        <v>522.53185600000006</v>
      </c>
      <c r="V278" s="3">
        <f>293+(299.1-30)+(-0.14943+(-0.152541--0.0153))+0-0-0</f>
        <v>561.81332900000007</v>
      </c>
      <c r="W278" s="3">
        <f>324+(329.7-33)+(0.16524+(0.168147-0.01683))+0-0-0</f>
        <v>621.01655700000003</v>
      </c>
      <c r="X278" s="3">
        <f>326+(323-31)+(-0.66504+(-0.65892--0.06324))+0-0-0</f>
        <v>616.73928000000001</v>
      </c>
      <c r="Y278" s="3">
        <f>327+(305.2-30)+(0.50031+(0.466956-0.0459))+0-0-0</f>
        <v>603.12136600000008</v>
      </c>
      <c r="Z278" s="3">
        <f>327+(284-30)+(-0.16677+(-0.14484--0.0153))+0-0-0</f>
        <v>580.70369000000005</v>
      </c>
      <c r="AA278" s="3">
        <f>326+(254.2-29)+(-0.49878+(-0.388926--0.04437))+0-0-0</f>
        <v>550.35666400000002</v>
      </c>
      <c r="AB278" s="3">
        <f>326+(214.9-27)+(-0.33252+(-0.219198--0.02754))+0-0-0</f>
        <v>513.37582199999997</v>
      </c>
      <c r="AC278" s="3">
        <f>326+(181.4-27)+(-0.49878+(-0.277542--0.04131))+0-0-0</f>
        <v>479.66498799999999</v>
      </c>
      <c r="AD278">
        <v>619.1</v>
      </c>
      <c r="AE278" s="3">
        <f>324+(329.1-34)+(0+(0-0))+0-0-0</f>
        <v>619.1</v>
      </c>
    </row>
    <row r="279" spans="1:31" s="2" customFormat="1" x14ac:dyDescent="0.3">
      <c r="A279">
        <v>90</v>
      </c>
      <c r="B279">
        <v>10</v>
      </c>
      <c r="C279">
        <v>3</v>
      </c>
      <c r="D279">
        <v>1</v>
      </c>
      <c r="E279">
        <v>1</v>
      </c>
      <c r="F279" s="3">
        <f>317+(157.7-26)+(-0.80835+(-0.402135--0.0663))+0-0-0</f>
        <v>447.555815</v>
      </c>
      <c r="G279" s="3">
        <f>301+(156.6-25)+(-0.46053+(-0.239598--0.03825))+0-0-0</f>
        <v>431.93812200000002</v>
      </c>
      <c r="H279" s="3">
        <f>301+(150.9-24)+(-0.76755+(-0.384795--0.0612))+0-0-0</f>
        <v>426.80885499999999</v>
      </c>
      <c r="I279" s="3">
        <f>302+(146.3-24)+(-0.30804+(-0.149226--0.02448))+0-0-0</f>
        <v>423.86721399999999</v>
      </c>
      <c r="J279" s="3">
        <f>302+(157.1-24)+(0+(0-0))+0-0-0</f>
        <v>435.1</v>
      </c>
      <c r="K279" s="3">
        <f>301+(215.6-26)+(-0.30702+(-0.219912--0.02652))+0-0-0</f>
        <v>490.09958800000004</v>
      </c>
      <c r="L279" s="3">
        <f>304+(253.2-30)+(0.15504+(0.129132-0.0153))+0-0-0</f>
        <v>527.46887200000003</v>
      </c>
      <c r="M279" s="3">
        <f>303+(253.4-31)+(0.30906+(0.258468-0.03162))+0-0-0</f>
        <v>525.93590799999993</v>
      </c>
      <c r="N279" s="3">
        <f>302+(264.6-31)+(0.15402+(0.134946-0.01581))+0-0-0</f>
        <v>535.87315599999999</v>
      </c>
      <c r="O279" s="3">
        <f>302+(264-31)+(0.61608+(0.53856-0.06324))+0-0-0</f>
        <v>536.09140000000002</v>
      </c>
      <c r="P279" s="3">
        <f>301+(250.8-32)+(0.15351+(0.127908-0.01632))+0-0-0</f>
        <v>520.06509799999992</v>
      </c>
      <c r="Q279" s="3">
        <f>301+(240.6-32)+(0.15351+(0.122706-0.01632))+0-0-0</f>
        <v>509.85989600000005</v>
      </c>
      <c r="R279" s="3">
        <f>299+(251.3-29)+(-0.76245+(-0.640815--0.07395))+0-0-0</f>
        <v>519.970685</v>
      </c>
      <c r="S279" s="3">
        <f>300+(236.5-28)+(0.153+(0.120615-0.01428))+0-0-0</f>
        <v>508.75933500000002</v>
      </c>
      <c r="T279" s="3">
        <f>300+(223.6-28)+(0.306+(0.228072-0.02856))+0-0-0</f>
        <v>496.10551200000003</v>
      </c>
      <c r="U279" s="3">
        <f>302+(231.5-27)+(0+(0-0))+0-0-0</f>
        <v>506.5</v>
      </c>
      <c r="V279" s="3">
        <f>305+(276.9-30)+(-0.3111+(-0.282438--0.0306))+0-0-0</f>
        <v>551.33706199999995</v>
      </c>
      <c r="W279" s="3">
        <f>353+(294.2-32)+(0+(0-0))+0-0-0</f>
        <v>615.20000000000005</v>
      </c>
      <c r="X279" s="3">
        <f>362+(278-32)+(-0.36924+(-0.28356--0.03264))+0-0-0</f>
        <v>607.37983999999994</v>
      </c>
      <c r="Y279" s="3">
        <f>362+(256.6-31)+(-0.73848+(-0.523464--0.06324))+0-0-0</f>
        <v>586.401296</v>
      </c>
      <c r="Z279" s="3">
        <f>363+(237-31)+(-0.18513+(-0.12087--0.01581))+0-0-0</f>
        <v>568.70980999999995</v>
      </c>
      <c r="AA279" s="3">
        <f>363+(210.6-30)+(-0.37026+(-0.214812--0.0306))+0-0-0</f>
        <v>543.04552799999999</v>
      </c>
      <c r="AB279" s="3">
        <f>357+(184-30)+(-0.18207+(-0.09384--0.0153))+0-0-0</f>
        <v>510.73939000000001</v>
      </c>
      <c r="AC279" s="3">
        <f>344+(170.9-29)+(-0.17544+(-0.087159--0.01479))+0-0-0</f>
        <v>485.65219099999996</v>
      </c>
      <c r="AD279">
        <v>615</v>
      </c>
      <c r="AE279" s="3">
        <f>363+(285-33)+(0+(0-0))+0-0-0</f>
        <v>615</v>
      </c>
    </row>
    <row r="280" spans="1:31" s="2" customFormat="1" x14ac:dyDescent="0.3">
      <c r="A280">
        <v>90</v>
      </c>
      <c r="B280">
        <v>10</v>
      </c>
      <c r="C280">
        <v>4</v>
      </c>
      <c r="D280">
        <v>2</v>
      </c>
      <c r="E280">
        <v>1</v>
      </c>
      <c r="F280" s="3">
        <f>328+(167.6-27)+(-0.33456+(-0.170952--0.02754))+0-0-0</f>
        <v>468.122028</v>
      </c>
      <c r="G280" s="3">
        <f>303+(171.6-26)+(-0.15453+(-0.087516--0.01326))+0-0-0</f>
        <v>448.37121400000001</v>
      </c>
      <c r="H280" s="3">
        <f>302+(162.8-26)+(-0.46206+(-0.249084--0.03978))+0-0-0</f>
        <v>438.12863600000003</v>
      </c>
      <c r="I280" s="3">
        <f>302+(162.9-25)+(-0.46206+(-0.249237--0.03825))+0-0-0</f>
        <v>439.22695299999998</v>
      </c>
      <c r="J280" s="3">
        <f>303+(175.6-26)+(0+(0-0))+0-0-0</f>
        <v>452.6</v>
      </c>
      <c r="K280" s="3">
        <f>303+(233.2-27)+(0+(0-0))+0-0-0</f>
        <v>509.2</v>
      </c>
      <c r="L280" s="3">
        <f>302+(267.9-22)+(0+(0-0))+0-0-0</f>
        <v>547.9</v>
      </c>
      <c r="M280" s="3">
        <f>302+(265.3-15)+(0.30804+(0.270606-0.0153))+0-0-0</f>
        <v>552.86334599999998</v>
      </c>
      <c r="N280" s="3">
        <f>343+(193-1)+(0.34986+(0.19686-0.00102))+0-0-0</f>
        <v>535.54570000000001</v>
      </c>
      <c r="O280" s="3">
        <f>369+(162.9-19)+(-0.18819+(-0.083079--0.00969))+0-0-0</f>
        <v>512.63842099999999</v>
      </c>
      <c r="P280" s="3">
        <f>370+(166.4-32)+(0+(0-0))+0-0-0</f>
        <v>504.4</v>
      </c>
      <c r="Q280" s="3">
        <f>369+(158.4-32)+(-0.56457+(-0.242352--0.04896))+0-0-0</f>
        <v>494.64203799999996</v>
      </c>
      <c r="R280" s="3">
        <f>366+(158.7-30)+(-0.37332+(-0.161874--0.0306))+0-0-0</f>
        <v>494.19540599999999</v>
      </c>
      <c r="S280" s="3">
        <f>365+(156.3-29)+(-0.55845+(-0.239139--0.04437))+0-0-0</f>
        <v>491.54678100000001</v>
      </c>
      <c r="T280" s="3">
        <f>366+(143.3-29)+(0+(0-0))+0-0-0</f>
        <v>480.3</v>
      </c>
      <c r="U280" s="3">
        <f>367+(150.8-30)+(0.56151+(0.230724-0.0459))+0-0-0</f>
        <v>488.546334</v>
      </c>
      <c r="V280" s="3">
        <f>377+(186.9-31)+(0.38454+(0.190638-0.03162))+0-0-0</f>
        <v>533.44355799999994</v>
      </c>
      <c r="W280" s="3">
        <f>381+(238.7-32)+(0.58293+(0.365211-0.04896))+0-0-0</f>
        <v>588.59918100000004</v>
      </c>
      <c r="X280" s="3">
        <f>380+(238.1-32)+(-0.3876+(-0.242862--0.03264))+0-0-0</f>
        <v>585.50217800000007</v>
      </c>
      <c r="Y280" s="3">
        <f>379+(229.5-32)+(-0.96645+(-0.585225--0.0816))+0-0-0</f>
        <v>575.02992500000005</v>
      </c>
      <c r="Z280" s="3">
        <f>381+(203.4-31)+(0.19431+(0.103734-0.01581))+0-0-0</f>
        <v>553.68223399999999</v>
      </c>
      <c r="AA280" s="3">
        <f>380+(191-30)+(-0.5814+(-0.29223--0.0459))+0-0-0</f>
        <v>540.17227000000003</v>
      </c>
      <c r="AB280" s="3">
        <f>376+(164.9-29)+(-0.76704+(-0.336396--0.05916))+0-0-0</f>
        <v>510.85572399999995</v>
      </c>
      <c r="AC280" s="3">
        <f>376+(133-32.4)+(-0.76704+(-0.27132--0.066096))+0-0-0</f>
        <v>475.62773600000003</v>
      </c>
      <c r="AD280">
        <v>594.4</v>
      </c>
      <c r="AE280" s="3">
        <f>381+(244.4-31)+(0+(0-0))+0-0-0</f>
        <v>594.4</v>
      </c>
    </row>
    <row r="281" spans="1:31" s="2" customFormat="1" x14ac:dyDescent="0.3">
      <c r="A281">
        <v>90</v>
      </c>
      <c r="B281">
        <v>10</v>
      </c>
      <c r="C281">
        <v>5</v>
      </c>
      <c r="D281">
        <v>3</v>
      </c>
      <c r="E281">
        <v>1</v>
      </c>
      <c r="F281" s="3">
        <f>372+(112.3-35.4)+(-0.75888+(-0.229092--0.072216))+0-0-0</f>
        <v>447.98424399999999</v>
      </c>
      <c r="G281" s="3">
        <f>372+(94.1-36.5)+(-0.37944+(-0.095982--0.03723))+0-0-0</f>
        <v>429.16180800000001</v>
      </c>
      <c r="H281" s="3">
        <f>372+(84.9-37.9)+(-0.18972+(-0.043299--0.019329))+0-0-0</f>
        <v>418.78631000000001</v>
      </c>
      <c r="I281" s="3">
        <f>374+(83.7-37.7)+(0.57222+(0.128061-0.057681))+0-0-0</f>
        <v>420.64260000000002</v>
      </c>
      <c r="J281" s="3">
        <f>373+(96.3-35.9)+(0+(0-0))+0-0-0</f>
        <v>433.4</v>
      </c>
      <c r="K281" s="3">
        <f>374+(137.2-30)+(1.14444+(0.419832-0.0918))+0-0-0</f>
        <v>482.67247199999997</v>
      </c>
      <c r="L281" s="3">
        <f>369+(182.9-31)+(0+(0-0))+0-0-0</f>
        <v>520.9</v>
      </c>
      <c r="M281" s="3">
        <f>369+(184.8-31)+(0.37638+(0.188496-0.03162))+0-0-0</f>
        <v>523.33325600000001</v>
      </c>
      <c r="N281" s="3">
        <f>386+(169.1-31)+(0+(0-0))+0-0-0</f>
        <v>524.1</v>
      </c>
      <c r="O281" s="3">
        <f>402+(134.2-30)+(0.41004+(0.136884-0.0306))+0-0-0</f>
        <v>506.71632399999999</v>
      </c>
      <c r="P281" s="3">
        <f>402+(127.5-33.8)+(0.61506+(0.195075-0.051714))+0-0-0</f>
        <v>496.45842099999999</v>
      </c>
      <c r="Q281" s="3">
        <f>402+(127.8-31)+(-0.20502+(-0.065178--0.01581))+0-0-0</f>
        <v>498.54561200000001</v>
      </c>
      <c r="R281" s="3">
        <f>401+(132.4-30)+(-1.02255+(-0.33762--0.0765))+0-0-0</f>
        <v>502.11633</v>
      </c>
      <c r="S281" s="3">
        <f>401+(117.3-30.2)+(-0.61353+(-0.179469--0.046206))+0-0-0</f>
        <v>487.353207</v>
      </c>
      <c r="T281" s="3">
        <f>402+(107.9-29.6)+(0.20502+(0.055029-0.015096))+0-0-0</f>
        <v>480.54495300000002</v>
      </c>
      <c r="U281" s="3">
        <f>402+(114.8-26.8)+(-0.20502+(-0.058548--0.013668))+0-0-0</f>
        <v>489.75009999999997</v>
      </c>
      <c r="V281" s="3">
        <f>413+(149.8-32)+(-0.42126+(-0.152796--0.03264))+0-0-0</f>
        <v>530.25858399999993</v>
      </c>
      <c r="W281" s="3">
        <f>417+(202.9-33)+(0.42534+(0.206958-0.03366))+0-0-0</f>
        <v>587.49863800000003</v>
      </c>
      <c r="X281" s="3">
        <f>416+(205.7-33)+(-1.0608+(-0.524535--0.08415))+0-0-0</f>
        <v>587.19881500000008</v>
      </c>
      <c r="Y281" s="3">
        <f>417+(182.5-31)+(-0.21267+(-0.093075--0.01581))+0-0-0</f>
        <v>568.21006499999999</v>
      </c>
      <c r="Z281" s="3">
        <f>417+(160.9-30)+(-0.21267+(-0.082059--0.0153))+0-0-0</f>
        <v>547.62057099999993</v>
      </c>
      <c r="AA281" s="3">
        <f>417+(141.6-32.2)+(-0.42534+(-0.144432--0.032844))+0-0-0</f>
        <v>525.86307199999999</v>
      </c>
      <c r="AB281" s="3">
        <f>416+(120.2-33.9)+(-1.0608+(-0.30651--0.086445))+0-0-0</f>
        <v>501.01913500000001</v>
      </c>
      <c r="AC281" s="3">
        <f>367+(136.9-30.7)+(-0.37434+(-0.139638--0.031314))+0-0-0</f>
        <v>472.71733599999999</v>
      </c>
      <c r="AD281">
        <v>591.79999999999995</v>
      </c>
      <c r="AE281" s="3">
        <f>417+(205.8-31)+(0+(0-0))+0-0-0</f>
        <v>591.79999999999995</v>
      </c>
    </row>
    <row r="282" spans="1:31" s="2" customFormat="1" x14ac:dyDescent="0.3">
      <c r="A282">
        <v>90</v>
      </c>
      <c r="B282">
        <v>10</v>
      </c>
      <c r="C282">
        <v>6</v>
      </c>
      <c r="D282">
        <v>4</v>
      </c>
      <c r="E282">
        <v>1</v>
      </c>
      <c r="F282" s="3">
        <f>334+(134-28.1)+(-0.68136+(-0.27336--0.057324))+0-0-0</f>
        <v>439.00260399999996</v>
      </c>
      <c r="G282" s="3">
        <f>334+(120.1-30.7)+(-0.34068+(-0.122502--0.031314))+0-0-0</f>
        <v>422.96813199999997</v>
      </c>
      <c r="H282" s="3">
        <f>334+(112.1-32.9)+(-0.68136+(-0.228684--0.067116))+0-0-0</f>
        <v>412.35707200000002</v>
      </c>
      <c r="I282" s="3">
        <f>334+(112-33.3)+(-0.68136+(-0.22848--0.067932))+0-0-0</f>
        <v>411.858092</v>
      </c>
      <c r="J282" s="3">
        <f>335+(121.8-31.9)+(-0.3417+(-0.124236--0.032538))+0-0-0</f>
        <v>424.46660199999997</v>
      </c>
      <c r="K282" s="3">
        <f>334+(163-25)+(0+(0-0))+0-0-0</f>
        <v>472</v>
      </c>
      <c r="L282" s="3">
        <f>335+(206.9-30)+(-0.17085+(-0.105519--0.0153))+0-0-0</f>
        <v>511.63893099999996</v>
      </c>
      <c r="M282" s="3">
        <f>335+(210-28)+(0.17085+(0.1071-0.01428))+0-0-0</f>
        <v>517.26367000000005</v>
      </c>
      <c r="N282" s="3">
        <f>376+(166.4-28.2)+(0.38352+(0.169728-0.028764))+0-0-0</f>
        <v>514.72448400000007</v>
      </c>
      <c r="O282" s="3">
        <f>423+(122.8-34.7)+(0.43146+(0.125256-0.035394))+0-0-0</f>
        <v>511.62132200000002</v>
      </c>
      <c r="P282" s="3">
        <f>423+(118.2-33.5)+(0.21573+(0.060282-0.017085))+0-0-0</f>
        <v>507.95892700000002</v>
      </c>
      <c r="Q282" s="3">
        <f>426+(107.1-35.7)+(0+(0-0))+0-0-0</f>
        <v>497.4</v>
      </c>
      <c r="R282" s="3">
        <f>422+(117.9-28.8)+(-1.0761+(-0.300645--0.07344))+0-0-0</f>
        <v>509.796695</v>
      </c>
      <c r="S282" s="3">
        <f>401+(129.1-25.1)+(-1.43157+(-0.460887--0.089607))+0-0-0</f>
        <v>503.19715000000002</v>
      </c>
      <c r="T282" s="3">
        <f>406+(114.9-29.5)+(0+(0-0))+0-0-0</f>
        <v>491.4</v>
      </c>
      <c r="U282" s="3">
        <f>406+(133.5-28)+(0.62118+(0.204255-0.04284))+0-0-0</f>
        <v>512.28259500000001</v>
      </c>
      <c r="V282" s="3">
        <f>398+(161.8-26)+(-0.40596+(-0.165036--0.02652))+0-0-0</f>
        <v>533.25552399999992</v>
      </c>
      <c r="W282" s="3">
        <f>430+(182.7-27)+(0.6579+(0.279531-0.04131))+0-0-0</f>
        <v>586.59612100000004</v>
      </c>
      <c r="X282" s="3">
        <f>431+(158.3-30)+(-1.09905+(-0.403665--0.0765))+0-0-0</f>
        <v>557.873785</v>
      </c>
      <c r="Y282" s="3">
        <f>431+(140.5-33.7)+(-1.09905+(-0.358275--0.085935))+0-0-0</f>
        <v>536.42860999999994</v>
      </c>
      <c r="Z282" s="3">
        <f>431+(125.7-31.4)+(-0.87924+(-0.256428--0.064056))+0-0-0</f>
        <v>524.228388</v>
      </c>
      <c r="AA282" s="3">
        <f>431+(117.6-32.5)+(-0.87924+(-0.239904--0.0663))+0-0-0</f>
        <v>515.04715599999997</v>
      </c>
      <c r="AB282" s="3">
        <f>431+(99.8-37.6)+(-0.43962+(-0.101796--0.038352))+0-0-0</f>
        <v>492.69693599999999</v>
      </c>
      <c r="AC282" s="3">
        <f>430+(78.9-42.5)+(-1.7544+(-0.321912--0.1734))+0-0-0</f>
        <v>464.49708799999996</v>
      </c>
      <c r="AD282">
        <v>578.79999999999995</v>
      </c>
      <c r="AE282" s="3">
        <f>431+(176.8-29)+(0+(0-0))+0-0-0</f>
        <v>578.79999999999995</v>
      </c>
    </row>
    <row r="283" spans="1:31" s="2" customFormat="1" x14ac:dyDescent="0.3">
      <c r="A283">
        <v>90</v>
      </c>
      <c r="B283">
        <v>10</v>
      </c>
      <c r="C283">
        <v>7</v>
      </c>
      <c r="D283">
        <v>5</v>
      </c>
      <c r="E283">
        <v>1</v>
      </c>
      <c r="F283" s="3">
        <f>383+(80.5-41.5)+(-0.39066+(-0.08211--0.04233))+0-0-0</f>
        <v>421.56956000000002</v>
      </c>
      <c r="G283" s="3">
        <f>299+(134-28)+(0.15249+(0.06834-0.01428))+0-0-0</f>
        <v>405.20654999999999</v>
      </c>
      <c r="H283" s="3">
        <f>242+(173.6-30)+(0.12342+(0.088536-0.0153))+0-0-0</f>
        <v>385.79665600000004</v>
      </c>
      <c r="I283" s="3">
        <f>242+(172.5-30)+(-0.12342+(-0.087975--0.0153))+0-0-0</f>
        <v>384.30390499999999</v>
      </c>
      <c r="J283" s="3">
        <f>242+(183.5-30)+(-0.6171+(-0.467925--0.0765))+0-0-0</f>
        <v>394.49147499999998</v>
      </c>
      <c r="K283" s="3">
        <f>242+(230.7-31)+(-0.12342+(-0.117657--0.01581))+0-0-0</f>
        <v>441.47473300000001</v>
      </c>
      <c r="L283" s="3">
        <f>316+(216.5-31)+(-0.16116+(-0.110415--0.01581))+0-0-0</f>
        <v>501.244235</v>
      </c>
      <c r="M283" s="3">
        <f>373+(173-31)+(0.19023+(0.08823-0.01581))+0-0-0</f>
        <v>515.26265000000001</v>
      </c>
      <c r="N283" s="3">
        <f>398+(157.4-30)+(-0.20298+(-0.080274--0.0153))+0-0-0</f>
        <v>525.13204599999995</v>
      </c>
      <c r="O283" s="3">
        <f>414+(140-32.1)+(0.21114+(0.0714-0.016371))+0-0-0</f>
        <v>522.16616899999997</v>
      </c>
      <c r="P283" s="3">
        <f>433+(119.9-37)+(-0.22083+(-0.061149--0.01887))+0-0-0</f>
        <v>515.63689099999999</v>
      </c>
      <c r="Q283" s="3">
        <f>433+(120-34)+(-0.44166+(-0.1224--0.03468))+0-0-0</f>
        <v>518.47062000000005</v>
      </c>
      <c r="R283" s="3">
        <f>421+(124.4-32.9)+(-0.64413+(-0.190332--0.050337))+0-0-0</f>
        <v>511.71587499999998</v>
      </c>
      <c r="S283" s="3">
        <f>414+(124.6-31)+(-0.21114+(-0.063546--0.01581))+0-0-0</f>
        <v>507.34112400000004</v>
      </c>
      <c r="T283" s="3">
        <f>415+(108.7-33.4)+(-0.4233+(-0.110874--0.034068))+0-0-0</f>
        <v>489.79989399999999</v>
      </c>
      <c r="U283" s="3">
        <f>418+(110.5-34.9)+(-0.21318+(-0.056355--0.017799))+0-0-0</f>
        <v>493.34826400000003</v>
      </c>
      <c r="V283" s="3">
        <f>419+(138.7-30.9)+(0+(0-0))+0-0-0</f>
        <v>526.79999999999995</v>
      </c>
      <c r="W283" s="3">
        <f>424+(174.9-27)+(0.43248+(0.178398-0.02754))+0-0-0</f>
        <v>572.483338</v>
      </c>
      <c r="X283" s="3">
        <f>432+(163.8-29)+(-1.1016+(-0.41769--0.07395))+0-0-0</f>
        <v>565.35465999999997</v>
      </c>
      <c r="Y283" s="3">
        <f>432+(141.5-34.9)+(-1.1016+(-0.360825--0.088995))+0-0-0</f>
        <v>537.22657000000004</v>
      </c>
      <c r="Z283" s="3">
        <f>432+(124.9-39.7)+(-0.88128+(-0.254796--0.080988))+0-0-0</f>
        <v>516.14491200000009</v>
      </c>
      <c r="AA283" s="3">
        <f>432+(117.8-40.9)+(-0.66096+(-0.180234--0.062577))+0-0-0</f>
        <v>508.12138299999998</v>
      </c>
      <c r="AB283" s="3">
        <f>400+(123.1-35)+(-0.612+(-0.188343--0.05355))+0-0-0</f>
        <v>487.353207</v>
      </c>
      <c r="AC283" s="3">
        <f>306+(173.9-29)+(-0.7803+(-0.443445--0.07395))+0-0-0</f>
        <v>449.75020499999999</v>
      </c>
      <c r="AD283">
        <v>579.1</v>
      </c>
      <c r="AE283" s="3">
        <f>426+(183.1-30)+(0+(0-0))+0-0-0</f>
        <v>579.1</v>
      </c>
    </row>
    <row r="284" spans="1:31" s="2" customFormat="1" x14ac:dyDescent="0.3">
      <c r="A284">
        <v>90</v>
      </c>
      <c r="B284">
        <v>10</v>
      </c>
      <c r="C284">
        <v>8</v>
      </c>
      <c r="D284">
        <v>6</v>
      </c>
      <c r="E284">
        <v>1</v>
      </c>
      <c r="F284" s="3">
        <f>307+(143.3-28)+(-0.46971+(-0.219249--0.04284))+0-0-0</f>
        <v>421.65388100000001</v>
      </c>
      <c r="G284" s="3">
        <f>306+(128.8-27)+(-0.93636+(-0.394128--0.08262))+0-0-0</f>
        <v>406.55213200000003</v>
      </c>
      <c r="H284" s="3">
        <f>307+(119.9-25)+(-0.31314+(-0.122298--0.0255))+0-0-0</f>
        <v>401.49006199999997</v>
      </c>
      <c r="I284" s="3">
        <f>235+(185.2-24)+(-0.35955+(-0.283356--0.03672))+0-0-0</f>
        <v>395.59381400000001</v>
      </c>
      <c r="J284" s="3">
        <f>233+(195.2-24)+(0.23766+(0.199104-0.02448))+0-0-0</f>
        <v>404.61228399999999</v>
      </c>
      <c r="K284" s="3">
        <f>233+(237.6-24)+(-0.11883+(-0.121176--0.01224))+0-0-0</f>
        <v>446.37223400000005</v>
      </c>
      <c r="L284" s="3">
        <f>229+(267.1-23)+(0.11679+(0.136221-0.01173))+0-0-0</f>
        <v>473.34128100000004</v>
      </c>
      <c r="M284" s="3">
        <f>244+(268.4-26)+(-0.24888+(-0.273768--0.02652))+0-0-0</f>
        <v>485.90387199999998</v>
      </c>
      <c r="N284" s="3">
        <f>306+(223.2-28)+(0+(0-0))+0-0-0</f>
        <v>501.2</v>
      </c>
      <c r="O284" s="3">
        <f>305+(222.4-30)+(0.15555+(0.113424-0.0153))+0-0-0</f>
        <v>497.65367399999997</v>
      </c>
      <c r="P284" s="3">
        <f>321+(213.8-31)+(-0.16371+(-0.109038--0.01581))+0-0-0</f>
        <v>503.54306200000002</v>
      </c>
      <c r="Q284" s="3">
        <f>336+(194.4-29)+(-0.8568+(-0.49572--0.07395))+0-0-0</f>
        <v>500.12142999999998</v>
      </c>
      <c r="R284" s="3">
        <f>327+(188.6-28)+(-0.33354+(-0.192372--0.02856))+0-0-0</f>
        <v>487.10264800000004</v>
      </c>
      <c r="S284" s="3">
        <f>329+(177.7-26)+(-0.16779+(-0.090627--0.01326))+0-0-0</f>
        <v>480.45484299999998</v>
      </c>
      <c r="T284" s="3">
        <f>329+(170.1-26)+(-0.33558+(-0.173502--0.02652))+0-0-0</f>
        <v>472.61743800000005</v>
      </c>
      <c r="U284" s="3">
        <f>330+(183.6-26)+(-0.6732+(-0.374544--0.05304))+0-0-0</f>
        <v>486.60529600000001</v>
      </c>
      <c r="V284" s="3">
        <f>340+(211.7-26)+(0.1734+(0.107967-0.01326))+0-0-0</f>
        <v>525.96810700000003</v>
      </c>
      <c r="W284" s="3">
        <f>344+(249.5-27)+(0.35088+(0.25449-0.02754))+0-0-0</f>
        <v>567.07782999999995</v>
      </c>
      <c r="X284" s="3">
        <f>343+(249.5-31)+(-0.69972+(-0.50898--0.06324))+0-0-0</f>
        <v>560.35454000000004</v>
      </c>
      <c r="Y284" s="3">
        <f>343+(230.6-31)+(-0.69972+(-0.470424--0.06324))+0-0-0</f>
        <v>541.49309600000004</v>
      </c>
      <c r="Z284" s="3">
        <f>344+(204.4-31)+(0+(0-0))+0-0-0</f>
        <v>517.4</v>
      </c>
      <c r="AA284" s="3">
        <f>343+(188.4-30)+(-0.69972+(-0.384336--0.0612))+0-0-0</f>
        <v>500.37714399999999</v>
      </c>
      <c r="AB284" s="3">
        <f>331+(173.7-30)+(-0.33762+(-0.177174--0.0306))+0-0-0</f>
        <v>474.21580599999999</v>
      </c>
      <c r="AC284" s="3">
        <f>302+(174.3-29)+(-0.30804+(-0.177786--0.02958))+0-0-0</f>
        <v>446.84375399999999</v>
      </c>
      <c r="AD284">
        <v>565.4</v>
      </c>
      <c r="AE284" s="3">
        <f>344+(252.4-31)+(0+(0-0))+0-0-0</f>
        <v>565.4</v>
      </c>
    </row>
    <row r="285" spans="1:31" s="2" customFormat="1" x14ac:dyDescent="0.3">
      <c r="A285">
        <v>90</v>
      </c>
      <c r="B285">
        <v>10</v>
      </c>
      <c r="C285">
        <v>9</v>
      </c>
      <c r="D285">
        <v>7</v>
      </c>
      <c r="E285">
        <v>1</v>
      </c>
      <c r="F285" s="3">
        <f>303+(152-27)+(-0.46359+(-0.23256--0.04131))+0-0-0</f>
        <v>427.34516000000002</v>
      </c>
      <c r="G285" s="3">
        <f>293+(144.7-26)+(0.14943+(0.073797-0.01326))+0-0-0</f>
        <v>411.90996699999999</v>
      </c>
      <c r="H285" s="3">
        <f>253+(173.9-26)+(-0.38709+(-0.266067--0.03978))+0-0-0</f>
        <v>400.28662299999996</v>
      </c>
      <c r="I285" s="3">
        <f>253+(171.6-25)+(-0.51612+(-0.350064--0.051))+0-0-0</f>
        <v>398.78481600000003</v>
      </c>
      <c r="J285" s="3">
        <f>253+(179.4-25)+(-0.51612+(-0.365976--0.051))+0-0-0</f>
        <v>406.56890399999997</v>
      </c>
      <c r="K285" s="3">
        <f>254+(213.5-26)+(0.12954+(0.108885-0.01326))+0-0-0</f>
        <v>441.725165</v>
      </c>
      <c r="L285" s="3">
        <f>250+(235.7-31)+(-0.3825+(-0.360621--0.04743))+0-0-0</f>
        <v>454.00430899999998</v>
      </c>
      <c r="M285" s="3">
        <f>255+(241.7-30)+(-0.91035+(-0.862869--0.1071))+0-0-0</f>
        <v>465.03388100000001</v>
      </c>
      <c r="N285" s="3">
        <f>288+(231.4-29)+(0.14688+(0.118014-0.01479))+0-0-0</f>
        <v>490.650104</v>
      </c>
      <c r="O285" s="3">
        <f>300+(222.1-30)+(0+(0-0))+0-0-0</f>
        <v>492.1</v>
      </c>
      <c r="P285" s="3">
        <f>300+(225.8-31)+(0.306+(0.230316-0.03162))+0-0-0</f>
        <v>495.30469600000004</v>
      </c>
      <c r="Q285" s="3">
        <f>299+(236-31)+(-0.45747+(-0.36108--0.04743))+0-0-0</f>
        <v>503.22888</v>
      </c>
      <c r="R285" s="3">
        <f>300+(236-31)+(0+(0-0))+0-0-0</f>
        <v>505</v>
      </c>
      <c r="S285" s="3">
        <f>299+(221.3-30)+(-0.45747+(-0.338589--0.0459))+0-0-0</f>
        <v>489.54984100000001</v>
      </c>
      <c r="T285" s="3">
        <f>298+(209-29)+(0+(0-0))+0-0-0</f>
        <v>478</v>
      </c>
      <c r="U285" s="3">
        <f>299+(215.7-30)+(0.15249+(0.110007-0.0153))+0-0-0</f>
        <v>484.94719700000002</v>
      </c>
      <c r="V285" s="3">
        <f>305+(248.1-31)+(-0.15555+(-0.126531--0.01581))+0-0-0</f>
        <v>521.83372900000006</v>
      </c>
      <c r="W285" s="3">
        <f>306+(300.3-32)+(0.31212+(0.306306-0.03264))+0-0-0</f>
        <v>574.88578599999994</v>
      </c>
      <c r="X285" s="3">
        <f>308+(295-31)+(-0.15708+(-0.15045--0.01581))+0-0-0</f>
        <v>571.70827999999995</v>
      </c>
      <c r="Y285" s="3">
        <f>307+(282.2-30)+(-0.15657+(-0.143922--0.0153))+0-0-0</f>
        <v>558.91480799999999</v>
      </c>
      <c r="Z285" s="3">
        <f>308+(261.3-30)+(-0.15708+(-0.133263--0.0153))+0-0-0</f>
        <v>539.02495699999997</v>
      </c>
      <c r="AA285" s="3">
        <f>308+(231.5-29)+(0+(0-0))+0-0-0</f>
        <v>510.5</v>
      </c>
      <c r="AB285" s="3">
        <f>307+(198.1-28)+(-0.62628+(-0.404124--0.05712))+0-0-0</f>
        <v>476.12671600000004</v>
      </c>
      <c r="AC285" s="3">
        <f>307+(166-28)+(-0.46971+(-0.25398--0.04284))+0-0-0</f>
        <v>444.31914999999998</v>
      </c>
      <c r="AD285">
        <v>574</v>
      </c>
      <c r="AE285" s="3">
        <f>308+(296-30)+(0+(0-0))+0-0-0</f>
        <v>574</v>
      </c>
    </row>
    <row r="286" spans="1:31" s="2" customFormat="1" x14ac:dyDescent="0.3">
      <c r="A286">
        <v>90</v>
      </c>
      <c r="B286">
        <v>10</v>
      </c>
      <c r="C286">
        <v>10</v>
      </c>
      <c r="D286">
        <v>1</v>
      </c>
      <c r="E286">
        <v>1</v>
      </c>
      <c r="F286" s="3">
        <f>279+(161.3-26)+(-0.28458+(-0.164526--0.02652))+0-0-0</f>
        <v>413.87741399999999</v>
      </c>
      <c r="G286" s="3">
        <f>263+(163.2-25)+(-0.53652+(-0.332928--0.051))+0-0-0</f>
        <v>400.381552</v>
      </c>
      <c r="H286" s="3">
        <f>264+(153.8-24)+(0+(0-0))+0-0-0</f>
        <v>393.8</v>
      </c>
      <c r="I286" s="3">
        <f>264+(152.6-23)+(0.13464+(0.077826-0.01173))+0-0-0</f>
        <v>393.80073600000003</v>
      </c>
      <c r="J286" s="3">
        <f>263+(165.1-25)+(-0.13413+(-0.084201--0.01275))+0-0-0</f>
        <v>402.89441900000003</v>
      </c>
      <c r="K286" s="3">
        <f>229+(248.4-27)+(0+(0-0))+0-0-0</f>
        <v>450.4</v>
      </c>
      <c r="L286" s="3">
        <f>279+(234.1-27)+(-0.14229+(-0.119391--0.01377))+0-0-0</f>
        <v>485.85208900000003</v>
      </c>
      <c r="M286" s="3">
        <f>298+(228.4-26)+(0.45594+(0.349452-0.03978))+0-0-0</f>
        <v>501.16561199999995</v>
      </c>
      <c r="N286" s="3">
        <f>317+(215.9-26)+(-0.16167+(-0.110109--0.01326))+0-0-0</f>
        <v>506.641481</v>
      </c>
      <c r="O286" s="3">
        <f>337+(191.1-26)+(0.34374+(0.194922-0.02652))+0-0-0</f>
        <v>502.61214200000001</v>
      </c>
      <c r="P286" s="3">
        <f>337+(183.8-26)+(0.17187+(0.093738-0.01326))+0-0-0</f>
        <v>495.05234799999999</v>
      </c>
      <c r="Q286" s="3">
        <f>346+(175.1-26)+(-0.35292+(-0.178602--0.02652))+0-0-0</f>
        <v>494.59499800000003</v>
      </c>
      <c r="R286" s="3">
        <f>337+(176-24)+(-0.34374+(-0.17952--0.02448))+0-0-0</f>
        <v>488.50121999999999</v>
      </c>
      <c r="S286" s="3">
        <f>338+(158-22)+(-0.17238+(-0.08058--0.01122))+0-0-0</f>
        <v>473.75826000000001</v>
      </c>
      <c r="T286" s="3">
        <f>337+(143.9-20)+(-0.17187+(-0.073389--0.0102))+0-0-0</f>
        <v>460.664941</v>
      </c>
      <c r="U286" s="3">
        <f>338+(146.5-22)+(-0.34476+(-0.14943--0.02244))+0-0-0</f>
        <v>462.02825000000001</v>
      </c>
      <c r="V286" s="3">
        <f>344+(186.3-29)+(-0.17544+(-0.095013--0.01479))+0-0-0</f>
        <v>501.04433699999998</v>
      </c>
      <c r="W286" s="3">
        <f>343+(251.1-29)+(-0.17493+(-0.128061--0.01479))+0-0-0</f>
        <v>564.81179900000006</v>
      </c>
      <c r="X286" s="3">
        <f>343+(257.9-29)+(-0.52479+(-0.394587--0.04437))+0-0-0</f>
        <v>571.02499299999999</v>
      </c>
      <c r="Y286" s="3">
        <f>343+(237.3-28)+(-0.17493+(-0.121023--0.01428))+0-0-0</f>
        <v>552.018327</v>
      </c>
      <c r="Z286" s="3">
        <f>343+(213.1-28)+(-0.52479+(-0.326043--0.04284))+0-0-0</f>
        <v>527.29200700000001</v>
      </c>
      <c r="AA286" s="3">
        <f>320+(216.3-28)+(-0.6528+(-0.441252--0.05712))+0-0-0</f>
        <v>507.26306800000003</v>
      </c>
      <c r="AB286" s="3">
        <f>307+(197.6-27)+(-0.46971+(-0.302328--0.04131))+0-0-0</f>
        <v>476.86927200000002</v>
      </c>
      <c r="AC286" s="3">
        <f>307+(173.4-27)+(-0.62628+(-0.353736--0.05508))+0-0-0</f>
        <v>452.47506399999997</v>
      </c>
      <c r="AD286">
        <v>569.9</v>
      </c>
      <c r="AE286" s="3">
        <f>344+(256.9-31)+(0+(0-0))+0-0-0</f>
        <v>569.9</v>
      </c>
    </row>
    <row r="287" spans="1:31" s="2" customFormat="1" x14ac:dyDescent="0.3">
      <c r="A287">
        <v>90</v>
      </c>
      <c r="B287">
        <v>10</v>
      </c>
      <c r="C287">
        <v>11</v>
      </c>
      <c r="D287">
        <v>2</v>
      </c>
      <c r="E287">
        <v>1</v>
      </c>
      <c r="F287" s="3">
        <f>302+(153.6-27)+(-0.61608+(-0.313344--0.05508))+0-0-0</f>
        <v>427.72565600000001</v>
      </c>
      <c r="G287" s="3">
        <f>303+(134.3-26)+(0.30906+(0.136986-0.02652))+0-0-0</f>
        <v>411.71952600000003</v>
      </c>
      <c r="H287" s="3">
        <f>284+(142.5-25)+(-0.57936+(-0.2907--0.051))+0-0-0</f>
        <v>400.68094000000002</v>
      </c>
      <c r="I287" s="3">
        <f>228+(193.1-25)+(0+(0-0))+0-0-0</f>
        <v>396.1</v>
      </c>
      <c r="J287" s="3">
        <f>228+(205.4-26)+(0+(0-0))+0-0-0</f>
        <v>407.4</v>
      </c>
      <c r="K287" s="3">
        <f>228+(250-28)+(0+(0-0))+0-0-0</f>
        <v>450</v>
      </c>
      <c r="L287" s="3">
        <f>293+(250-29)+(0+(0-0))+0-0-0</f>
        <v>514</v>
      </c>
      <c r="M287" s="3">
        <f>289+(239.5-28)+(-0.14739+(-0.122145--0.01428))+0-0-0</f>
        <v>500.24474500000002</v>
      </c>
      <c r="N287" s="3">
        <f>295+(247.2-25)+(-0.6018+(-0.504288--0.051))+0-0-0</f>
        <v>516.14491200000009</v>
      </c>
      <c r="O287" s="3">
        <f>313+(216-25)+(-0.47889+(-0.33048--0.03825))+0-0-0</f>
        <v>503.22888</v>
      </c>
      <c r="P287" s="3">
        <f>329+(192-24)+(-0.16779+(-0.09792--0.01224))+0-0-0</f>
        <v>496.74653000000001</v>
      </c>
      <c r="Q287" s="3">
        <f>328+(184.8-22)+(-0.66912+(-0.376992--0.04488))+0-0-0</f>
        <v>489.798768</v>
      </c>
      <c r="R287" s="3">
        <f>324+(188.2-18)+(-0.8262+(-0.47991--0.0459))+0-0-0</f>
        <v>492.93979000000002</v>
      </c>
      <c r="S287" s="3">
        <f>326+(176.2-16)+(0.16626+(0.089862-0.00816))+0-0-0</f>
        <v>486.44796199999996</v>
      </c>
      <c r="T287" s="3">
        <f>328+(166.4-16)+(0.16728+(0.084864-0.00816))+0-0-0</f>
        <v>478.64398399999999</v>
      </c>
      <c r="U287" s="3">
        <f>329+(174.7-15)+(0+(0-0))+0-0-0</f>
        <v>488.7</v>
      </c>
      <c r="V287" s="3">
        <f>333+(214-18)+(-0.67932+(-0.43656--0.03672))+0-0-0</f>
        <v>527.92084</v>
      </c>
      <c r="W287" s="3">
        <f>334+(261.5-23)+(0+(0-0))+0-0-0</f>
        <v>572.5</v>
      </c>
      <c r="X287" s="3">
        <f>333+(258.5-25)+(-0.67932+(-0.52734--0.051))+0-0-0</f>
        <v>565.34433999999999</v>
      </c>
      <c r="Y287" s="3">
        <f>333+(246.1-24)+(-0.67932+(-0.502044--0.04896))+0-0-0</f>
        <v>553.96759600000007</v>
      </c>
      <c r="Z287" s="3">
        <f>333+(220.5-26)+(-0.67932+(-0.44982--0.05304))+0-0-0</f>
        <v>526.4239</v>
      </c>
      <c r="AA287" s="3">
        <f>333+(199.5-24)+(-0.50949+(-0.305235--0.03672))+0-0-0</f>
        <v>507.72199499999999</v>
      </c>
      <c r="AB287" s="3">
        <f>333+(170.6-25)+(-0.67932+(-0.348024--0.051))+0-0-0</f>
        <v>477.62365600000004</v>
      </c>
      <c r="AC287" s="3">
        <f>333+(143.2-25)+(-0.50949+(-0.219096--0.03825))+0-0-0</f>
        <v>450.50966399999999</v>
      </c>
      <c r="AD287">
        <v>574.79999999999995</v>
      </c>
      <c r="AE287" s="3">
        <f>334+(262.8-22)+(0+(0-0))+0-0-0</f>
        <v>574.79999999999995</v>
      </c>
    </row>
    <row r="288" spans="1:31" s="2" customFormat="1" x14ac:dyDescent="0.3">
      <c r="A288">
        <v>90</v>
      </c>
      <c r="B288">
        <v>10</v>
      </c>
      <c r="C288">
        <v>12</v>
      </c>
      <c r="D288">
        <v>3</v>
      </c>
      <c r="E288">
        <v>1</v>
      </c>
      <c r="F288" s="3">
        <f>297+(151.6-26)+(-0.30294+(-0.154632--0.02652))+0-0-0</f>
        <v>422.168948</v>
      </c>
      <c r="G288" s="3">
        <f>294+(143.1-27)+(-0.14994+(-0.072981--0.01377))+0-0-0</f>
        <v>409.890849</v>
      </c>
      <c r="H288" s="3">
        <f>293+(135.5-27)+(-0.14943+(-0.069105--0.01377))+0-0-0</f>
        <v>401.29523499999999</v>
      </c>
      <c r="I288" s="3">
        <f>294+(135.2-29)+(0.14994+(0.068952-0.01479))+0-0-0</f>
        <v>400.40410199999997</v>
      </c>
      <c r="J288" s="3">
        <f>269+(170.5-30)+(-0.54876+(-0.34782--0.0612))+0-0-0</f>
        <v>408.66462000000001</v>
      </c>
      <c r="K288" s="3">
        <f>231+(253-30)+(0.11781+(0.12903-0.0153))+0-0-0</f>
        <v>454.23154</v>
      </c>
      <c r="L288" s="3">
        <f>286+(249.6-31)+(-0.43758+(-0.381888--0.04743))+0-0-0</f>
        <v>503.82796200000001</v>
      </c>
      <c r="M288" s="3">
        <f>294+(250.4-30)+(-0.14994+(-0.127704--0.0153))+0-0-0</f>
        <v>514.13765599999999</v>
      </c>
      <c r="N288" s="3">
        <f>291+(247.8-30)+(0+(0-0))+0-0-0</f>
        <v>508.8</v>
      </c>
      <c r="O288" s="3">
        <f>291+(243.3-31)+(0+(0-0))+0-0-0</f>
        <v>503.3</v>
      </c>
      <c r="P288" s="3">
        <f>291+(226.4-32)+(0.14841+(0.115464-0.01632))+0-0-0</f>
        <v>485.64755399999996</v>
      </c>
      <c r="Q288" s="3">
        <f>309+(207.1-30)+(-0.47277+(-0.316863--0.0459))+0-0-0</f>
        <v>485.356267</v>
      </c>
      <c r="R288" s="3">
        <f>324+(193.7-30)+(-0.99144+(-0.592722--0.0918))+0-0-0</f>
        <v>486.20763799999997</v>
      </c>
      <c r="S288" s="3">
        <f>325+(181.9-30)+(-0.663+(-0.371076--0.0612))+0-0-0</f>
        <v>475.92712399999999</v>
      </c>
      <c r="T288" s="3">
        <f>326+(167.9-30)+(-0.16626+(-0.085629--0.0153))+0-0-0</f>
        <v>463.663411</v>
      </c>
      <c r="U288" s="3">
        <f>325+(171.1-28)+(-0.16575+(-0.087261--0.01428))+0-0-0</f>
        <v>467.86126900000005</v>
      </c>
      <c r="V288" s="3">
        <f>332+(191.7-28)+(-0.33864+(-0.195534--0.02856))+0-0-0</f>
        <v>495.19438600000001</v>
      </c>
      <c r="W288" s="3">
        <f>335+(291.5-31)+(-0.51255+(-0.445995--0.04743))+0-0-0</f>
        <v>594.588885</v>
      </c>
      <c r="X288" s="3">
        <f>336+(304.3-31)+(-0.68544+(-0.620772--0.06324))+0-0-0</f>
        <v>608.05702799999995</v>
      </c>
      <c r="Y288" s="3">
        <f>334+(235.8-32)+(-0.8517+(-0.60129--0.0816))+0-0-0</f>
        <v>536.42860999999994</v>
      </c>
      <c r="Z288" s="3">
        <f>336+(212.5-33)+(-0.34272+(-0.21675--0.03366))+0-0-0</f>
        <v>514.97419000000002</v>
      </c>
      <c r="AA288" s="3">
        <f>334+(198.8-32)+(-1.02204+(-0.608328--0.09792))+0-0-0</f>
        <v>499.26755200000002</v>
      </c>
      <c r="AB288" s="3">
        <f>332+(168.8-31)+(-0.67728+(-0.344352--0.06324))+0-0-0</f>
        <v>468.84160800000001</v>
      </c>
      <c r="AC288" s="3">
        <f>293+(176.4-30)+(-0.29886+(-0.179928--0.0306))+0-0-0</f>
        <v>438.95181199999996</v>
      </c>
      <c r="AD288">
        <v>585</v>
      </c>
      <c r="AE288" s="3">
        <f>335+(276-26)+(0+(0-0))+0-0-0</f>
        <v>585</v>
      </c>
    </row>
    <row r="289" spans="1:31" s="2" customFormat="1" x14ac:dyDescent="0.3">
      <c r="A289">
        <v>90</v>
      </c>
      <c r="B289">
        <v>10</v>
      </c>
      <c r="C289">
        <v>13</v>
      </c>
      <c r="D289">
        <v>4</v>
      </c>
      <c r="E289">
        <v>1</v>
      </c>
      <c r="F289" s="3">
        <f>266+(175.2-26)+(-0.6783+(-0.44676--0.0663))+0-0-0</f>
        <v>414.14123999999998</v>
      </c>
      <c r="G289" s="3">
        <f>254+(171.3-25)+(0+(0-0))+0-0-0</f>
        <v>400.3</v>
      </c>
      <c r="H289" s="3">
        <f>254+(165.7-25)+(-0.25908+(-0.169014--0.0255))+0-0-0</f>
        <v>394.29740599999997</v>
      </c>
      <c r="I289" s="3">
        <f>254+(162.9-28)+(0.25908+(0.166158-0.02856))+0-0-0</f>
        <v>389.29667799999999</v>
      </c>
      <c r="J289" s="3">
        <f>254+(174.9-30)+(0.12954+(0.089199-0.0153))+0-0-0</f>
        <v>399.10343899999998</v>
      </c>
      <c r="K289" s="3">
        <f>254+(210.5-25)+(0.25908+(0.21471-0.0255))+0-0-0</f>
        <v>439.94828999999999</v>
      </c>
      <c r="L289" s="3">
        <f>251+(267.2-30)+(0.51204+(0.545088-0.0612))+0-0-0</f>
        <v>489.19592799999998</v>
      </c>
      <c r="M289" s="3">
        <f>296+(233.7-33)+(-0.15096+(-0.119187--0.01683))+0-0-0</f>
        <v>496.44668300000001</v>
      </c>
      <c r="N289" s="3">
        <f>304+(226.7-33)+(0.15504+(0.115617-0.01683))+0-0-0</f>
        <v>497.95382699999999</v>
      </c>
      <c r="O289" s="3">
        <f>359+(175-33)+(0+(0-0))+0-0-0</f>
        <v>501</v>
      </c>
      <c r="P289" s="3">
        <f>388+(145.9-34.4)+(0+(0-0))+0-0-0</f>
        <v>499.5</v>
      </c>
      <c r="Q289" s="3">
        <f>387+(138.7-33.6)+(-0.78948+(-0.282948--0.068544))+0-0-0</f>
        <v>491.09611599999999</v>
      </c>
      <c r="R289" s="3">
        <f>387+(138.8-32.4)+(-0.59211+(-0.212364--0.049572))+0-0-0</f>
        <v>492.64509799999996</v>
      </c>
      <c r="S289" s="3">
        <f>386+(134.7-35)+(-0.59058+(-0.206091--0.05355))+0-0-0</f>
        <v>484.95687900000001</v>
      </c>
      <c r="T289" s="3">
        <f>387+(121.7-37.4)+(0.19737+(0.062067-0.019074))+0-0-0</f>
        <v>471.54036300000001</v>
      </c>
      <c r="U289" s="3">
        <f>387+(124.3-36.2)+(-0.19737+(-0.063393--0.018462))+0-0-0</f>
        <v>474.85769900000003</v>
      </c>
      <c r="V289" s="3">
        <f>398+(146.3-31)+(-0.60894+(-0.223839--0.04743))+0-0-0</f>
        <v>512.51465099999996</v>
      </c>
      <c r="W289" s="3">
        <f>401+(185.5-31)+(0+(0-0))+0-0-0</f>
        <v>555.5</v>
      </c>
      <c r="X289" s="3">
        <f>400+(185-31)+(-0.612+(-0.28305--0.04743))+0-0-0</f>
        <v>553.15237999999999</v>
      </c>
      <c r="Y289" s="3">
        <f>381+(187.1-30)+(-0.58293+(-0.286263--0.0459))+0-0-0</f>
        <v>537.27670699999999</v>
      </c>
      <c r="Z289" s="3">
        <f>343+(197-30)+(-0.87465+(-0.50235--0.0765))+0-0-0</f>
        <v>508.6995</v>
      </c>
      <c r="AA289" s="3">
        <f>345+(182.2-30)+(-0.17595+(-0.092922--0.0153))+0-0-0</f>
        <v>496.94642799999997</v>
      </c>
      <c r="AB289" s="3">
        <f>344+(160.1-29)+(-0.52632+(-0.244953--0.04437))+0-0-0</f>
        <v>474.37309700000003</v>
      </c>
      <c r="AC289" s="3">
        <f>344+(128.8-28)+(-0.70176+(-0.262752--0.05712))+0-0-0</f>
        <v>443.892608</v>
      </c>
      <c r="AD289">
        <v>563.70000000000005</v>
      </c>
      <c r="AE289" s="3">
        <f>401+(193.7-31)+(0+(0-0))+0-0-0</f>
        <v>563.70000000000005</v>
      </c>
    </row>
    <row r="290" spans="1:31" s="2" customFormat="1" x14ac:dyDescent="0.3">
      <c r="A290">
        <v>90</v>
      </c>
      <c r="B290">
        <v>10</v>
      </c>
      <c r="C290">
        <v>14</v>
      </c>
      <c r="D290">
        <v>5</v>
      </c>
      <c r="E290">
        <v>1</v>
      </c>
      <c r="F290" s="3">
        <f>337+(102-24)+(-0.68748+(-0.20808--0.04896))+0-0-0</f>
        <v>414.15339999999998</v>
      </c>
      <c r="G290" s="3">
        <f>338+(84.8-22)+(-0.17238+(-0.043248--0.01122))+0-0-0</f>
        <v>400.59559200000001</v>
      </c>
      <c r="H290" s="3">
        <f>337+(78.2-22)+(-0.34374+(-0.079764--0.02244))+0-0-0</f>
        <v>392.79893599999997</v>
      </c>
      <c r="I290" s="3">
        <f>338+(77-22)+(0.34476+(0.07854-0.02244))+0-0-0</f>
        <v>393.40086000000002</v>
      </c>
      <c r="J290" s="3">
        <f>338+(88.1-23)+(0+(0-0))+0-0-0</f>
        <v>403.1</v>
      </c>
      <c r="K290" s="3">
        <f>338+(133.4-25)+(0.34476+(0.136068-0.0255))+0-0-0</f>
        <v>446.85532799999999</v>
      </c>
      <c r="L290" s="3">
        <f>336+(176.8-30)+(0.34272+(0.180336-0.0306))+0-0-0</f>
        <v>483.29245600000002</v>
      </c>
      <c r="M290" s="3">
        <f>331+(184-29)+(0.33762+(0.18768-0.02958))+0-0-0</f>
        <v>486.49572000000001</v>
      </c>
      <c r="N290" s="3">
        <f>329+(176.6-29)+(0+(0-0))+0-0-0</f>
        <v>476.6</v>
      </c>
      <c r="O290" s="3">
        <f>347+(155.7-29)+(0+(0-0))+0-0-0</f>
        <v>473.7</v>
      </c>
      <c r="P290" s="3">
        <f>363+(128.3-28)+(0.18513+(0.065433-0.01428))+0-0-0</f>
        <v>463.53628300000003</v>
      </c>
      <c r="Q290" s="3">
        <f>363+(133.1-27)+(-0.18513+(-0.067881--0.01377))+0-0-0</f>
        <v>468.86075900000003</v>
      </c>
      <c r="R290" s="3">
        <f>364+(140.5-27)+(-0.74256+(-0.28662--0.05508))+0-0-0</f>
        <v>476.52589999999998</v>
      </c>
      <c r="S290" s="3">
        <f>365+(126.7-27)+(-0.18615+(-0.064617--0.01377))+0-0-0</f>
        <v>464.46300300000001</v>
      </c>
      <c r="T290" s="3">
        <f>365+(108.4-27)+(0+(0-0))+0-0-0</f>
        <v>446.4</v>
      </c>
      <c r="U290" s="3">
        <f>364+(110.3-28)+(-0.37128+(-0.112506--0.02856))+0-0-0</f>
        <v>445.84477400000003</v>
      </c>
      <c r="V290" s="3">
        <f>354+(153.9-28)+(0.18054+(0.078489-0.01428))+0-0-0</f>
        <v>480.14474899999999</v>
      </c>
      <c r="W290" s="3">
        <f>342+(215-30)+(0.34884+(0.2193-0.0306))+0-0-0</f>
        <v>527.53754000000004</v>
      </c>
      <c r="X290" s="3">
        <f>340+(219.1-31)+(-0.1734+(-0.111741--0.01581))+0-0-0</f>
        <v>527.83066900000006</v>
      </c>
      <c r="Y290" s="3">
        <f>340+(203.8-30)+(-0.6936+(-0.415752--0.0612))+0-0-0</f>
        <v>512.751848</v>
      </c>
      <c r="Z290" s="3">
        <f>340+(186-30)+(-0.5202+(-0.28458--0.0459))+0-0-0</f>
        <v>495.24112000000002</v>
      </c>
      <c r="AA290" s="3">
        <f>339+(167.4-30)+(-0.51867+(-0.256122--0.0459))+0-0-0</f>
        <v>475.671108</v>
      </c>
      <c r="AB290" s="3">
        <f>339+(138.8-29)+(-0.51867+(-0.212364--0.04437))+0-0-0</f>
        <v>448.113336</v>
      </c>
      <c r="AC290" s="3">
        <f>321+(132.3-29)+(-0.98226+(-0.404838--0.08874))+0-0-0</f>
        <v>423.001642</v>
      </c>
      <c r="AD290">
        <v>532.70000000000005</v>
      </c>
      <c r="AE290" s="3">
        <f>340+(223.7-31)+(0+(0-0))+0-0-0</f>
        <v>532.70000000000005</v>
      </c>
    </row>
    <row r="291" spans="1:31" s="2" customFormat="1" x14ac:dyDescent="0.3">
      <c r="A291">
        <v>90</v>
      </c>
      <c r="B291">
        <v>10</v>
      </c>
      <c r="C291">
        <v>15</v>
      </c>
      <c r="D291">
        <v>6</v>
      </c>
      <c r="E291">
        <v>1</v>
      </c>
      <c r="F291" s="3">
        <f>300+(128.9-28)+(-0.306+(-0.131478--0.02856))+0-0-0</f>
        <v>400.49108199999995</v>
      </c>
      <c r="G291" s="3">
        <f>299+(115.4-27)+(-0.45747+(-0.176562--0.04131))+0-0-0</f>
        <v>386.807278</v>
      </c>
      <c r="H291" s="3">
        <f>300+(99.2-26)+(-0.153+(-0.050592--0.01326))+0-0-0</f>
        <v>373.00966799999998</v>
      </c>
      <c r="I291" s="3">
        <f>301+(92.5-28)+(0.76755+(0.235875-0.0714))+0-0-0</f>
        <v>366.43202500000001</v>
      </c>
      <c r="J291" s="3">
        <f>301+(104-25)+(0.61404+(0.21216-0.051))+0-0-0</f>
        <v>380.77519999999998</v>
      </c>
      <c r="K291" s="3">
        <f>301+(148.2-28)+(0.61404+(0.302328-0.05712))+0-0-0</f>
        <v>422.05924799999997</v>
      </c>
      <c r="L291" s="3">
        <f>304+(175.1-31)+(1.08528+(0.625107-0.11067))+0-0-0</f>
        <v>449.69971700000002</v>
      </c>
      <c r="M291" s="3">
        <f>300+(201.9-31)+(-0.459+(-0.308907--0.04743))+0-0-0</f>
        <v>470.17952299999996</v>
      </c>
      <c r="N291" s="3">
        <f>299+(204.6-31)+(0.45747+(0.313038-0.04743))+0-0-0</f>
        <v>473.32307800000001</v>
      </c>
      <c r="O291" s="3">
        <f>304+(197.8-31)+(0.31008+(0.201756-0.03162))+0-0-0</f>
        <v>471.280216</v>
      </c>
      <c r="P291" s="3">
        <f>318+(187.7-31)+(0.32436+(0.191454-0.03162))+0-0-0</f>
        <v>475.18419399999999</v>
      </c>
      <c r="Q291" s="3">
        <f>318+(193.9-30)+(0+(0-0))+0-0-0</f>
        <v>481.9</v>
      </c>
      <c r="R291" s="3">
        <f>313+(194.8-30)+(-0.47889+(-0.298044--0.0459))+0-0-0</f>
        <v>477.06896599999999</v>
      </c>
      <c r="S291" s="3">
        <f>314+(182.6-28)+(0+(0-0))+0-0-0</f>
        <v>468.6</v>
      </c>
      <c r="T291" s="3">
        <f>314+(173.7-28)+(-0.16014+(-0.088587--0.01428))+0-0-0</f>
        <v>459.465553</v>
      </c>
      <c r="U291" s="3">
        <f>318+(177.2-27)+(0.32436+(0.180744-0.02754))+0-0-0</f>
        <v>468.67756399999996</v>
      </c>
      <c r="V291" s="3">
        <f>318+(211.4-27)+(0.16218+(0.107814-0.01377))+0-0-0</f>
        <v>502.65622399999995</v>
      </c>
      <c r="W291" s="3">
        <f>321+(249.9-29)+(0.49113+(0.382347-0.04437))+0-0-0</f>
        <v>542.729107</v>
      </c>
      <c r="X291" s="3">
        <f>320+(252.5-31)+(-0.816+(-0.643875--0.07905))+0-0-0</f>
        <v>540.11917500000004</v>
      </c>
      <c r="Y291" s="3">
        <f>321+(234.1-31)+(-0.32742+(-0.238782--0.03162))+0-0-0</f>
        <v>523.56541800000002</v>
      </c>
      <c r="Z291" s="3">
        <f>319+(214.4-30)+(-1.13883+(-0.765408--0.1071))+0-0-0</f>
        <v>501.60286199999996</v>
      </c>
      <c r="AA291" s="3">
        <f>320+(195.8-30)+(-0.9792+(-0.599148--0.0918))+0-0-0</f>
        <v>484.31345199999998</v>
      </c>
      <c r="AB291" s="3">
        <f>321+(167.6-29)+(-0.16371+(-0.085476--0.01479))+0-0-0</f>
        <v>459.36560400000002</v>
      </c>
      <c r="AC291" s="3">
        <f>321+(145.5-28)+(0.16371+(0.074205-0.01428))+0-0-0</f>
        <v>438.723635</v>
      </c>
      <c r="AD291">
        <v>543.1</v>
      </c>
      <c r="AE291" s="3">
        <f>320+(254.1-31)+(0+(0-0))+0-0-0</f>
        <v>543.1</v>
      </c>
    </row>
    <row r="292" spans="1:31" s="2" customFormat="1" x14ac:dyDescent="0.3">
      <c r="A292">
        <v>90</v>
      </c>
      <c r="B292">
        <v>10</v>
      </c>
      <c r="C292">
        <v>16</v>
      </c>
      <c r="D292">
        <v>7</v>
      </c>
      <c r="E292">
        <v>1</v>
      </c>
      <c r="F292" s="3">
        <f>317+(127.4-26)+(-0.80835+(-0.32487--0.0663))+0-0-0</f>
        <v>417.33308</v>
      </c>
      <c r="G292" s="3">
        <f>302+(124.3-26)+(0+(0-0))+0-0-0</f>
        <v>400.3</v>
      </c>
      <c r="H292" s="3">
        <f>299+(112.2-25)+(-0.15249+(-0.057222--0.01275))+0-0-0</f>
        <v>386.003038</v>
      </c>
      <c r="I292" s="3">
        <f>300+(109-25)+(0.306+(0.11118-0.0255))+0-0-0</f>
        <v>384.39168000000001</v>
      </c>
      <c r="J292" s="3">
        <f>299+(121-24)+(-0.30498+(-0.12342--0.02448))+0-0-0</f>
        <v>395.59607999999997</v>
      </c>
      <c r="K292" s="3">
        <f>301+(157.7-24)+(0.46053+(0.241281-0.03672))+0-0-0</f>
        <v>435.36509100000001</v>
      </c>
      <c r="L292" s="3">
        <f>297+(187.1-27)+(0+(0-0))+0-0-0</f>
        <v>457.1</v>
      </c>
      <c r="M292" s="3">
        <f>295+(199.3-30)+(-0.15045+(-0.101643--0.0153))+0-0-0</f>
        <v>464.06320700000003</v>
      </c>
      <c r="N292" s="3">
        <f>296+(215.9-31)+(0.15096+(0.110109-0.01581))+0-0-0</f>
        <v>481.14525899999995</v>
      </c>
      <c r="O292" s="3">
        <f>296+(217.6-28)+(0.45288+(0.332928-0.04284))+0-0-0</f>
        <v>486.34296800000004</v>
      </c>
      <c r="P292" s="3">
        <f>296+(225.1-32)+(0+(0-0))+0-0-0</f>
        <v>489.1</v>
      </c>
      <c r="Q292" s="3">
        <f>295+(239.1-32)+(-0.45135+(-0.365823--0.04896))+0-0-0</f>
        <v>501.33178700000002</v>
      </c>
      <c r="R292" s="3">
        <f>295+(237.2-31)+(-0.75225+(-0.60486--0.07905))+0-0-0</f>
        <v>499.92194000000001</v>
      </c>
      <c r="S292" s="3">
        <f>295+(218.4-29)+(-0.45135+(-0.334152--0.04437))+0-0-0</f>
        <v>483.65886799999998</v>
      </c>
      <c r="T292" s="3">
        <f>296+(206.2-28)+(-0.45288+(-0.315486--0.04284))+0-0-0</f>
        <v>473.47447399999999</v>
      </c>
      <c r="U292" s="3">
        <f>296+(211.4-28)+(0.45288+(0.323442-0.04284))+0-0-0</f>
        <v>480.13348199999996</v>
      </c>
      <c r="V292" s="3">
        <f>303+(236.7-28)+(0+(0-0))+0-0-0</f>
        <v>511.7</v>
      </c>
      <c r="W292" s="3">
        <f>323+(266.5-31)+(-0.32946+(-0.27183--0.03162))+0-0-0</f>
        <v>557.93033000000003</v>
      </c>
      <c r="X292" s="3">
        <f>341+(250.4-31)+(-0.34782+(-0.255408--0.03162))+0-0-0</f>
        <v>559.82839200000001</v>
      </c>
      <c r="Y292" s="3">
        <f>341+(230.2-31)+(-0.34782+(-0.234804--0.03162))+0-0-0</f>
        <v>539.64899600000001</v>
      </c>
      <c r="Z292" s="3">
        <f>341+(208.4-31)+(-0.34782+(-0.212568--0.03162))+0-0-0</f>
        <v>517.87123199999996</v>
      </c>
      <c r="AA292" s="3">
        <f>341+(184.7-31)+(-0.17391+(-0.094197--0.01581))+0-0-0</f>
        <v>494.44770299999999</v>
      </c>
      <c r="AB292" s="3">
        <f>336+(152.3-30)+(-0.34272+(-0.155346--0.0306))+0-0-0</f>
        <v>457.83253400000001</v>
      </c>
      <c r="AC292" s="3">
        <f>336+(126-29)+(-0.68544+(-0.25704--0.05916))+0-0-0</f>
        <v>432.11667999999997</v>
      </c>
      <c r="AD292">
        <v>561.9</v>
      </c>
      <c r="AE292" s="3">
        <f>340+(252.9-31)+(0+(0-0))+0-0-0</f>
        <v>561.9</v>
      </c>
    </row>
    <row r="293" spans="1:31" s="2" customFormat="1" x14ac:dyDescent="0.3">
      <c r="A293">
        <v>90</v>
      </c>
      <c r="B293">
        <v>10</v>
      </c>
      <c r="C293">
        <v>17</v>
      </c>
      <c r="D293">
        <v>1</v>
      </c>
      <c r="E293">
        <v>1</v>
      </c>
      <c r="F293" s="3">
        <f>335+(106.5-27)+(-0.85425+(-0.271575--0.06885))+0-0-0</f>
        <v>413.44302499999998</v>
      </c>
      <c r="G293" s="3">
        <f>337+(89.8-26)+(0+(0-0))+0-0-0</f>
        <v>400.8</v>
      </c>
      <c r="H293" s="3">
        <f>337+(89.4-25)+(0.34374+(0.091188-0.0255))+0-0-0</f>
        <v>401.80942799999997</v>
      </c>
      <c r="I293" s="3">
        <f>337+(89.7-25)+(-0.17187+(-0.045747--0.01275))+0-0-0</f>
        <v>401.49513300000001</v>
      </c>
      <c r="J293" s="3">
        <f>337+(97.5-26)+(0.34374+(0.09945-0.02652))+0-0-0</f>
        <v>408.91667000000001</v>
      </c>
      <c r="K293" s="3">
        <f>336+(147.4-29)+(-0.51408+(-0.225522--0.04437))+0-0-0</f>
        <v>453.704768</v>
      </c>
      <c r="L293" s="3">
        <f>336+(195.7-30)+(-0.34272+(-0.199614--0.0306))+0-0-0</f>
        <v>501.188266</v>
      </c>
      <c r="M293" s="3">
        <f>336+(204.9-30)+(-0.17136+(-0.104499--0.0153))+0-0-0</f>
        <v>510.63944099999998</v>
      </c>
      <c r="N293" s="3">
        <f>334+(206.7-30)+(0.17034+(0.105417-0.0153))+0-0-0</f>
        <v>510.96045699999996</v>
      </c>
      <c r="O293" s="3">
        <f>350+(193.9-30)+(0+(0-0))+0-0-0</f>
        <v>513.9</v>
      </c>
      <c r="P293" s="3">
        <f>381+(156.3-26)+(0.19431+(0.079713-0.01326))+0-0-0</f>
        <v>511.56076300000001</v>
      </c>
      <c r="Q293" s="3">
        <f>383+(146.4-27)+(-0.58599+(-0.223992--0.04131))+0-0-0</f>
        <v>501.631328</v>
      </c>
      <c r="R293" s="3">
        <f>401+(136.4-29)+(-0.40902+(-0.139128--0.02958))+0-0-0</f>
        <v>507.88143199999996</v>
      </c>
      <c r="S293" s="3">
        <f>423+(107.6-33.5)+(-0.43146+(-0.109752--0.03417))+0-0-0</f>
        <v>496.59295800000001</v>
      </c>
      <c r="T293" s="3">
        <f>439+(81.2-42.8)+(0.44778+(0.082824-0.043656))+0-0-0</f>
        <v>477.88694799999996</v>
      </c>
      <c r="U293" s="3">
        <f>438+(88.2-41.9)+(-0.44676+(-0.089964--0.042738))+0-0-0</f>
        <v>483.806014</v>
      </c>
      <c r="V293" s="3">
        <f>443+(114.8-35.3)+(0+(0-0))+0-0-0</f>
        <v>522.5</v>
      </c>
      <c r="W293" s="3">
        <f>437+(156.2-30)+(0.44574+(0.159324-0.0306))+0-0-0</f>
        <v>563.77446400000008</v>
      </c>
      <c r="X293" s="3">
        <f>437+(157.5-30)+(-0.66861+(-0.240975--0.0459))+0-0-0</f>
        <v>563.63631499999997</v>
      </c>
      <c r="Y293" s="3">
        <f>437+(137.1-30)+(-0.22287+(-0.069921--0.0153))+0-0-0</f>
        <v>543.82250899999997</v>
      </c>
      <c r="Z293" s="3">
        <f>437+(120.6-30.5)+(-0.89148+(-0.246024--0.06222))+0-0-0</f>
        <v>526.02471600000001</v>
      </c>
      <c r="AA293" s="3">
        <f>411+(135.7-27)+(-0.41922+(-0.138414--0.02754))+0-0-0</f>
        <v>519.16990600000008</v>
      </c>
      <c r="AB293" s="3">
        <f>353+(154.3-26)+(-0.18003+(-0.078693--0.01326))+0-0-0</f>
        <v>481.05453700000004</v>
      </c>
      <c r="AC293" s="3">
        <f>309+(169.2-26)+(-0.47277+(-0.258876--0.03978))+0-0-0</f>
        <v>451.50813399999998</v>
      </c>
      <c r="AD293">
        <v>567.6</v>
      </c>
      <c r="AE293" s="3">
        <f>438+(160.6-31)+(0+(0-0))+0-0-0</f>
        <v>567.6</v>
      </c>
    </row>
    <row r="294" spans="1:31" s="2" customFormat="1" x14ac:dyDescent="0.3">
      <c r="A294">
        <v>90</v>
      </c>
      <c r="B294">
        <v>10</v>
      </c>
      <c r="C294">
        <v>18</v>
      </c>
      <c r="D294">
        <v>2</v>
      </c>
      <c r="E294">
        <v>1</v>
      </c>
      <c r="F294" s="3">
        <f>304+(142.6-22)+(-0.62016+(-0.290904--0.04488))+0-0-0</f>
        <v>423.73381600000005</v>
      </c>
      <c r="G294" s="3">
        <f>305+(127.4-22)+(-0.46665+(-0.194922--0.03366))+0-0-0</f>
        <v>409.772088</v>
      </c>
      <c r="H294" s="3">
        <f>305+(122.2-24.7)+(-0.15555+(-0.062322--0.012597))+0-0-0</f>
        <v>402.29472500000003</v>
      </c>
      <c r="I294" s="3">
        <f>305+(122.5-24.2)+(-0.46665+(-0.187425--0.037026))+0-0-0</f>
        <v>402.682951</v>
      </c>
      <c r="J294" s="3">
        <f>306+(129.8-24)+(0+(0-0))+0-0-0</f>
        <v>411.8</v>
      </c>
      <c r="K294" s="3">
        <f>305+(176.3-26)+(-0.46665+(-0.269739--0.03978))+0-0-0</f>
        <v>454.60339099999999</v>
      </c>
      <c r="L294" s="3">
        <f>301+(219-29)+(0+(0-0))+0-0-0</f>
        <v>491</v>
      </c>
      <c r="M294" s="3">
        <f>284+(257-30)+(0+(0-0))+0-0-0</f>
        <v>511</v>
      </c>
      <c r="N294" s="3">
        <f>333+(199-31)+(0+(0-0))+0-0-0</f>
        <v>501</v>
      </c>
      <c r="O294" s="3">
        <f>363+(155-32)+(0+(0-0))+0-0-0</f>
        <v>486</v>
      </c>
      <c r="P294" s="3">
        <f>381+(129-30)+(0+(0-0))+0-0-0</f>
        <v>480</v>
      </c>
      <c r="Q294" s="3">
        <f>386+(117-29)+(0+(0-0))+0-0-0</f>
        <v>474</v>
      </c>
      <c r="R294" s="3">
        <f>391+(137-26)+(0+(0-0))+0-0-0</f>
        <v>502</v>
      </c>
      <c r="S294" s="3">
        <f>393+(115-26)+(0+(0-0))+0-0-0</f>
        <v>482</v>
      </c>
      <c r="T294" s="3">
        <f>392+(105-27)+(-0.59976+(-0.16065--0.04131))+0-0-0</f>
        <v>469.28089999999997</v>
      </c>
      <c r="U294" s="3">
        <f>393+(119-27)+(0+(0-0))+0-0-0</f>
        <v>485</v>
      </c>
      <c r="V294" s="3">
        <f>391+(133.2-29)+(0.39882+(0.135864-0.02958))+0-0-0</f>
        <v>495.70510400000001</v>
      </c>
      <c r="W294" s="3">
        <f>388+(194.6-29)+(0.39576+(0.198492-0.02958))+0-0-0</f>
        <v>554.164672</v>
      </c>
      <c r="X294" s="3">
        <f>384+(198.3-31)+(-0.39168+(-0.202266--0.03162))+0-0-0</f>
        <v>550.73767399999997</v>
      </c>
      <c r="Y294" s="3">
        <f>384+(177.4-29)+(-0.19584+(-0.090474--0.01479))+0-0-0</f>
        <v>532.12847599999998</v>
      </c>
      <c r="Z294" s="3">
        <f>384+(161.5-28)+(-0.19584+(-0.082365--0.01428))+0-0-0</f>
        <v>517.23607500000003</v>
      </c>
      <c r="AA294" s="3">
        <f>384+(149.3-28)+(0+(0-0))+0-0-0</f>
        <v>505.3</v>
      </c>
      <c r="AB294" s="3">
        <f>384+(125.8-27)+(0+(0-0))+0-0-0</f>
        <v>482.8</v>
      </c>
      <c r="AC294" s="3">
        <f>348+(151-25)+(-0.53244+(-0.23103--0.03825))+0-0-0</f>
        <v>473.27478000000002</v>
      </c>
      <c r="AD294">
        <v>560.6</v>
      </c>
      <c r="AE294" s="3">
        <f>385+(205.6-30)+(0+(0-0))+0-0-0</f>
        <v>560.6</v>
      </c>
    </row>
    <row r="295" spans="1:31" s="2" customFormat="1" x14ac:dyDescent="0.3">
      <c r="A295">
        <v>90</v>
      </c>
      <c r="B295">
        <v>10</v>
      </c>
      <c r="C295">
        <v>19</v>
      </c>
      <c r="D295">
        <v>3</v>
      </c>
      <c r="E295">
        <v>1</v>
      </c>
      <c r="F295" s="3">
        <f>308+(149.8-25)+(-0.31416+(-0.152796--0.0255))+0-0-0</f>
        <v>432.35854399999999</v>
      </c>
      <c r="G295" s="3">
        <f>285+(156.2-25)+(-0.8721+(-0.477972--0.0765))+0-0-0</f>
        <v>414.92642799999999</v>
      </c>
      <c r="H295" s="3">
        <f>266+(163.9-25)+(0+(0-0))+0-0-0</f>
        <v>404.9</v>
      </c>
      <c r="I295" s="3">
        <f>266+(163.7-26)+(-0.27132+(-0.166974--0.02652))+0-0-0</f>
        <v>403.28822600000001</v>
      </c>
      <c r="J295" s="3">
        <f>266+(173-22)+(-0.13566+(-0.08823--0.01122))+0-0-0</f>
        <v>416.78733</v>
      </c>
      <c r="K295" s="3">
        <f>283+(203.8-31)+(0.43299+(0.311814-0.04743))+0-0-0</f>
        <v>456.49737400000004</v>
      </c>
      <c r="L295" s="3">
        <f>305+(230.2-28)+(-0.15555+(-0.117402--0.01428))+0-0-0</f>
        <v>506.941328</v>
      </c>
      <c r="M295" s="3">
        <f>310+(235.5-28)+(-0.3162+(-0.24021--0.02856))+0-0-0</f>
        <v>516.97215000000006</v>
      </c>
      <c r="N295" s="3">
        <f>354+(184-27)+(-0.54162+(-0.28152--0.04131))+0-0-0</f>
        <v>510.21816999999999</v>
      </c>
      <c r="O295" s="3">
        <f>391+(139.2-27)+(-0.19941+(-0.070992--0.01377))+0-0-0</f>
        <v>502.94336799999996</v>
      </c>
      <c r="P295" s="3">
        <f>393+(130.5-30)+(-0.40086+(-0.13311--0.0306))+0-0-0</f>
        <v>492.99662999999998</v>
      </c>
      <c r="Q295" s="3">
        <f>393+(135.3-25)+(-0.40086+(-0.138006--0.0255))+0-0-0</f>
        <v>502.78663399999999</v>
      </c>
      <c r="R295" s="3">
        <f>379+(147.1-30)+(-0.77316+(-0.300084--0.0612))+0-0-0</f>
        <v>495.08795600000002</v>
      </c>
      <c r="S295" s="3">
        <f>379+(141.9-32)+(-0.57987+(-0.217107--0.04896))+0-0-0</f>
        <v>488.15198299999997</v>
      </c>
      <c r="T295" s="3">
        <f>381+(125.9-32)+(-0.19431+(-0.064209--0.01632))+0-0-0</f>
        <v>474.65780099999995</v>
      </c>
      <c r="U295" s="3">
        <f>391+(128.1-32)+(-0.19941+(-0.065331--0.01632))+0-0-0</f>
        <v>486.85157900000002</v>
      </c>
      <c r="V295" s="3">
        <f>389+(151-31)+(0+(0-0))+0-0-0</f>
        <v>509</v>
      </c>
      <c r="W295" s="3">
        <f>380+(202.1-29)+(-0.1938+(-0.103071--0.01479))+0-0-0</f>
        <v>552.81791900000007</v>
      </c>
      <c r="X295" s="3">
        <f>380+(203-30)+(-0.5814+(-0.31059--0.0459))+0-0-0</f>
        <v>552.15391</v>
      </c>
      <c r="Y295" s="3">
        <f>380+(184.2-31)+(-0.7752+(-0.375768--0.06324))+0-0-0</f>
        <v>532.11227200000008</v>
      </c>
      <c r="Z295" s="3">
        <f>380+(164.1-30)+(-0.5814+(-0.251073--0.0459))+0-0-0</f>
        <v>513.31342700000005</v>
      </c>
      <c r="AA295" s="3">
        <f>379+(149.2-30)+(-1.15974+(-0.456552--0.0918))+0-0-0</f>
        <v>496.67550799999998</v>
      </c>
      <c r="AB295" s="3">
        <f>380+(127.8-29)+(-0.3876+(-0.130356--0.02958))+0-0-0</f>
        <v>478.31162399999999</v>
      </c>
      <c r="AC295" s="3">
        <f>332+(148.5-27)+(-0.16932+(-0.075735--0.01377))+0-0-0</f>
        <v>453.26871499999999</v>
      </c>
      <c r="AD295">
        <v>566</v>
      </c>
      <c r="AE295" s="3">
        <f>365+(213-30)+(0+(0-0))+0-0-0</f>
        <v>548</v>
      </c>
    </row>
    <row r="296" spans="1:31" s="2" customFormat="1" x14ac:dyDescent="0.3">
      <c r="A296">
        <v>90</v>
      </c>
      <c r="B296">
        <v>10</v>
      </c>
      <c r="C296">
        <v>20</v>
      </c>
      <c r="D296">
        <v>4</v>
      </c>
      <c r="E296">
        <v>1</v>
      </c>
      <c r="F296" s="3">
        <f>302+(150.1-26)+(-0.15402+(-0.076551--0.01326))+0-0-0</f>
        <v>425.88268900000003</v>
      </c>
      <c r="G296" s="3">
        <f>301+(135.2-25)+(-0.76755+(-0.34476--0.06375))+0-0-0</f>
        <v>410.15143999999998</v>
      </c>
      <c r="H296" s="3">
        <f>279+(146.2-25)+(-0.14229+(-0.074562--0.01275))+0-0-0</f>
        <v>399.99589800000001</v>
      </c>
      <c r="I296" s="3">
        <f>272+(151.6-24)+(0+(0-0))+0-0-0</f>
        <v>399.6</v>
      </c>
      <c r="J296" s="3">
        <f>272+(161.9-24)+(0.13872+(0.082569-0.01224))+0-0-0</f>
        <v>410.10904899999997</v>
      </c>
      <c r="K296" s="3">
        <f>272+(206.7-26)+(0.27744+(0.210834-0.02652))+0-0-0</f>
        <v>453.16175399999997</v>
      </c>
      <c r="L296" s="3">
        <f>278+(245.3-29)+(-0.14178+(-0.125103--0.01479))+0-0-0</f>
        <v>494.04790700000001</v>
      </c>
      <c r="M296" s="3">
        <f>332+(201.3-30)+(0+(0-0))+0-0-0</f>
        <v>503.3</v>
      </c>
      <c r="N296" s="3">
        <f>362+(183.4-31)+(0+(0-0))+0-0-0</f>
        <v>514.4</v>
      </c>
      <c r="O296" s="3">
        <f>331+(190.7-31)+(0+(0-0))+0-0-0</f>
        <v>490.7</v>
      </c>
      <c r="P296" s="3">
        <f>330+(191.2-30)+(-0.3366+(-0.195024--0.0306))+0-0-0</f>
        <v>490.69897600000002</v>
      </c>
      <c r="Q296" s="3">
        <f>342+(185.3-30)+(-0.34884+(-0.189006--0.0306))+0-0-0</f>
        <v>496.792754</v>
      </c>
      <c r="R296" s="3">
        <f>369+(149.2-30)+(-0.94095+(-0.38046--0.0765))+0-0-0</f>
        <v>486.95508999999998</v>
      </c>
      <c r="S296" s="3">
        <f>370+(127.5-30)+(0.1887+(0.065025-0.0153))+0-0-0</f>
        <v>467.73842500000001</v>
      </c>
      <c r="T296" s="3">
        <f>370+(117.1-28)+(0.1887+(0.059721-0.01428))+0-0-0</f>
        <v>459.33414100000005</v>
      </c>
      <c r="U296" s="3">
        <f>370+(120.3-28)+(0+(0-0))+0-0-0</f>
        <v>462.3</v>
      </c>
      <c r="V296" s="3">
        <f>389+(137.7-27)+(-0.59517+(-0.210681--0.04131))+0-0-0</f>
        <v>498.93545899999998</v>
      </c>
      <c r="W296" s="3">
        <f>381+(190.1-27)+(-0.38862+(-0.193902--0.02754))+0-0-0</f>
        <v>543.54501800000003</v>
      </c>
      <c r="X296" s="3">
        <f>380+(192.3-30)+(-0.5814+(-0.294219--0.0459))+0-0-0</f>
        <v>541.470281</v>
      </c>
      <c r="Y296" s="3">
        <f>380+(177.4-28)+(-0.969+(-0.45237--0.0714))+0-0-0</f>
        <v>528.05002999999999</v>
      </c>
      <c r="Z296" s="3">
        <f>380+(151.5-26)+(-0.1938+(-0.077265--0.01326))+0-0-0</f>
        <v>505.24219499999998</v>
      </c>
      <c r="AA296" s="3">
        <f>380+(132.4-24)+(-0.7752+(-0.270096--0.04896))+0-0-0</f>
        <v>487.40366399999999</v>
      </c>
      <c r="AB296" s="3">
        <f>372+(109.3-20)+(-0.9486+(-0.278715--0.051))+0-0-0</f>
        <v>460.12368500000002</v>
      </c>
      <c r="AC296" s="3">
        <f>370+(90.1-22.4)+(-1.3209+(-0.321657--0.079968))+0-0-0</f>
        <v>436.13741099999999</v>
      </c>
      <c r="AD296">
        <v>548.4</v>
      </c>
      <c r="AE296" s="3">
        <f>381+(197.4-30)+(0+(0-0))+0-0-0</f>
        <v>548.4</v>
      </c>
    </row>
    <row r="297" spans="1:31" s="2" customFormat="1" x14ac:dyDescent="0.3">
      <c r="A297">
        <v>90</v>
      </c>
      <c r="B297">
        <v>10</v>
      </c>
      <c r="C297">
        <v>21</v>
      </c>
      <c r="D297">
        <v>5</v>
      </c>
      <c r="E297">
        <v>1</v>
      </c>
      <c r="F297" s="3">
        <f>337+(100.7-22.6)+(-0.34374+(-0.102714--0.023052))+0-0-0</f>
        <v>414.67659800000001</v>
      </c>
      <c r="G297" s="3">
        <f>271+(150.7-18)+(-0.55284+(-0.307428--0.03672))+0-0-0</f>
        <v>402.87645199999997</v>
      </c>
      <c r="H297" s="3">
        <f>236+(175-18)+(-0.12036+(-0.08925--0.00918))+0-0-0</f>
        <v>392.79957000000002</v>
      </c>
      <c r="I297" s="3">
        <f>227+(181.9-18)+(-0.34731+(-0.278307--0.02754))+0-0-0</f>
        <v>390.30192299999999</v>
      </c>
      <c r="J297" s="3">
        <f>227+(192.1-17)+(0+(0-0))+0-0-0</f>
        <v>402.1</v>
      </c>
      <c r="K297" s="3">
        <f>227+(235.3-20)+(0+(0-0))+0-0-0</f>
        <v>442.3</v>
      </c>
      <c r="L297" s="3">
        <f>261+(254.8-25)+(0+(0-0))+0-0-0</f>
        <v>490.8</v>
      </c>
      <c r="M297" s="3">
        <f>290+(242-26)+(0.1479+(0.12342-0.01326))+0-0-0</f>
        <v>506.25806</v>
      </c>
      <c r="N297" s="3">
        <f>293+(231.9-26)+(0.29886+(0.236538-0.02652))+0-0-0</f>
        <v>499.40887799999996</v>
      </c>
      <c r="O297" s="3">
        <f>294+(229.3-28)+(0.44982+(0.350829-0.04284))+0-0-0</f>
        <v>496.05780900000002</v>
      </c>
      <c r="P297" s="3">
        <f>293+(226.9-29)+(0.29886+(0.231438-0.02958))+0-0-0</f>
        <v>491.40071799999998</v>
      </c>
      <c r="Q297" s="3">
        <f>293+(222.3-30)+(-0.29886+(-0.226746--0.0306))+0-0-0</f>
        <v>484.80499400000002</v>
      </c>
      <c r="R297" s="3">
        <f>293+(224.8-31)+(-0.89658+(-0.687888--0.09486))+0-0-0</f>
        <v>485.31039200000004</v>
      </c>
      <c r="S297" s="3">
        <f>290+(216.3-31)+(0.1479+(0.110313-0.01581))+0-0-0</f>
        <v>475.54240300000004</v>
      </c>
      <c r="T297" s="3">
        <f>290+(198.4-31)+(0.1479+(0.101184-0.01581))+0-0-0</f>
        <v>457.63327399999997</v>
      </c>
      <c r="U297" s="3">
        <f>290+(200.7-30)+(0.1479+(0.102357-0.0153))+0-0-0</f>
        <v>460.934957</v>
      </c>
      <c r="V297" s="3">
        <f>315+(213.1-28)+(-0.16065+(-0.108681--0.01428))+0-0-0</f>
        <v>499.84494900000004</v>
      </c>
      <c r="W297" s="3">
        <f>359+(216.2-28)+(-0.18309+(-0.110262--0.01428))+0-0-0</f>
        <v>546.920928</v>
      </c>
      <c r="X297" s="3">
        <f>362+(211.5-30)+(-0.36924+(-0.21573--0.0306))+0-0-0</f>
        <v>542.94563000000005</v>
      </c>
      <c r="Y297" s="3">
        <f>362+(194.3-30)+(-0.18462+(-0.099093--0.0153))+0-0-0</f>
        <v>526.03158699999994</v>
      </c>
      <c r="Z297" s="3">
        <f>362+(171.5-30)+(-0.18462+(-0.087465--0.0153))+0-0-0</f>
        <v>503.24321500000002</v>
      </c>
      <c r="AA297" s="3">
        <f>361+(157.5-30)+(-0.73644+(-0.3213--0.0612))+0-0-0</f>
        <v>487.50346000000002</v>
      </c>
      <c r="AB297" s="3">
        <f>326+(170.9-29)+(0.16626+(0.087159-0.01479))+0-0-0</f>
        <v>468.13862899999998</v>
      </c>
      <c r="AC297" s="3">
        <f>289+(183.5-28)+(-0.73695+(-0.467925--0.0714))+0-0-0</f>
        <v>443.36652500000002</v>
      </c>
      <c r="AD297">
        <v>552.6</v>
      </c>
      <c r="AE297" s="3">
        <f>361+(219.6-28)+(0+(0-0))+0-0-0</f>
        <v>552.6</v>
      </c>
    </row>
    <row r="298" spans="1:31" s="2" customFormat="1" x14ac:dyDescent="0.3">
      <c r="A298">
        <v>90</v>
      </c>
      <c r="B298">
        <v>10</v>
      </c>
      <c r="C298">
        <v>22</v>
      </c>
      <c r="D298">
        <v>6</v>
      </c>
      <c r="E298">
        <v>1</v>
      </c>
      <c r="F298" s="3">
        <f>285+(157.5-22)+(-0.2907+(-0.16065--0.02244))+0-0-0</f>
        <v>420.07109000000003</v>
      </c>
      <c r="G298" s="3">
        <f>286+(139.6-24)+(0.14586+(0.071196-0.01224))+0-0-0</f>
        <v>401.80481600000002</v>
      </c>
      <c r="H298" s="3">
        <f>286+(132.9-25.1)+(0+(0-0))+0-0-0</f>
        <v>393.8</v>
      </c>
      <c r="I298" s="3">
        <f>286+(130.7-26.6)+(0.14586+(0.066657-0.013566))+0-0-0</f>
        <v>390.29895100000005</v>
      </c>
      <c r="J298" s="3">
        <f>284+(141-26)+(-0.7242+(-0.35955--0.0663))+0-0-0</f>
        <v>397.98255</v>
      </c>
      <c r="K298" s="3">
        <f>286+(178.9-29)+(0.29172+(0.182478-0.02958))+0-0-0</f>
        <v>436.34461799999997</v>
      </c>
      <c r="L298" s="3">
        <f>285+(213.3-30)+(0+(0-0))+0-0-0</f>
        <v>468.3</v>
      </c>
      <c r="M298" s="3">
        <f>292+(229.4-30)+(-0.14892+(-0.116994--0.0153))+0-0-0</f>
        <v>491.14938599999999</v>
      </c>
      <c r="N298" s="3">
        <f>349+(166.1-30)+(0.35598+(0.169422-0.0306))+0-0-0</f>
        <v>485.59480200000002</v>
      </c>
      <c r="O298" s="3">
        <f>352+(154.2-29)+(0.53856+(0.235926-0.04437))+0-0-0</f>
        <v>477.930116</v>
      </c>
      <c r="P298" s="3">
        <f>397+(131.2-31.9)+(0+(0-0))+0-0-0</f>
        <v>496.29999999999995</v>
      </c>
      <c r="Q298" s="3">
        <f>409+(108.8-40.7)+(-0.41718+(-0.110976--0.041514))+0-0-0</f>
        <v>476.61335800000001</v>
      </c>
      <c r="R298" s="3">
        <f>406+(111.2-44.6)+(-0.62118+(-0.170136--0.068238))+0-0-0</f>
        <v>471.87692200000004</v>
      </c>
      <c r="S298" s="3">
        <f>412+(96.3-47.7)+(-1.0506+(-0.245565--0.121635))+0-0-0</f>
        <v>459.42547000000002</v>
      </c>
      <c r="T298" s="3">
        <f>411+(85.4-50.8)+(-1.25766+(-0.261324--0.155448))+0-0-0</f>
        <v>444.23646400000001</v>
      </c>
      <c r="U298" s="3">
        <f>423+(74.1-53)+(-0.86292+(-0.151164--0.10812))+0-0-0</f>
        <v>443.19403600000004</v>
      </c>
      <c r="V298" s="3">
        <f>430+(88.3-50.9)+(-0.2193+(-0.045033--0.025959))+0-0-0</f>
        <v>467.16162599999996</v>
      </c>
      <c r="W298" s="3">
        <f>449+(119.7-45.1)+(-0.45798+(-0.122094--0.046002))+0-0-0</f>
        <v>523.06592799999999</v>
      </c>
      <c r="X298" s="3">
        <f>449+(126.1-43.4)+(-0.68697+(-0.192933--0.066402))+0-0-0</f>
        <v>530.88649900000007</v>
      </c>
      <c r="Y298" s="3">
        <f>450+(102.4-46.5)+(0+(0-0))+0-0-0</f>
        <v>505.9</v>
      </c>
      <c r="Z298" s="3">
        <f>450+(82.5-49.1)+(-0.2295+(-0.042075--0.025041))+0-0-0</f>
        <v>483.15346599999998</v>
      </c>
      <c r="AA298" s="3">
        <f>444+(75.6-49.7)+(-0.45288+(-0.077112--0.050694))+0-0-0</f>
        <v>469.42070200000001</v>
      </c>
      <c r="AB298" s="3">
        <f>346+(124.5-39)+(-0.52938+(-0.190485--0.05967))+0-0-0</f>
        <v>430.83980500000001</v>
      </c>
      <c r="AC298" s="3">
        <f>302+(137.1-36)+(-0.7701+(-0.349605--0.0918))+0-0-0</f>
        <v>402.07209500000005</v>
      </c>
      <c r="AD298">
        <v>529.29999999999995</v>
      </c>
      <c r="AE298" s="3">
        <f>450+(123.8-44.5)+(0+(0-0))+0-0-0</f>
        <v>529.29999999999995</v>
      </c>
    </row>
    <row r="299" spans="1:31" s="2" customFormat="1" x14ac:dyDescent="0.3">
      <c r="A299">
        <v>90</v>
      </c>
      <c r="B299">
        <v>10</v>
      </c>
      <c r="C299">
        <v>23</v>
      </c>
      <c r="D299">
        <v>7</v>
      </c>
      <c r="E299">
        <v>1</v>
      </c>
      <c r="F299" s="3">
        <f>298+(120.3-29.4)+(-0.15198+(-0.061353--0.014994))+0-0-0</f>
        <v>388.701661</v>
      </c>
      <c r="G299" s="3">
        <f>297+(110.5-30.3)+(-0.15147+(-0.056355--0.015453))+0-0-0</f>
        <v>377.00762800000001</v>
      </c>
      <c r="H299" s="3">
        <f>297+(101.9-31.6)+(-0.15147+(-0.051969--0.016116))+0-0-0</f>
        <v>367.11267700000002</v>
      </c>
      <c r="I299" s="3">
        <f>298+(95.4-33)+(0.30396+(0.097308-0.03366))+0-0-0</f>
        <v>360.767608</v>
      </c>
      <c r="J299" s="3">
        <f>297+(99.4-32.7)+(-0.30294+(-0.101388--0.033354))+0-0-0</f>
        <v>363.329026</v>
      </c>
      <c r="K299" s="3">
        <f>298+(129.1-30)+(-0.15198+(-0.065841--0.0153))+0-0-0</f>
        <v>396.89747900000003</v>
      </c>
      <c r="L299" s="3">
        <f>300+(151.9-29)+(0.153+(0.077469-0.01479))+0-0-0</f>
        <v>423.115679</v>
      </c>
      <c r="M299" s="3">
        <f>299+(166.2-28)+(-0.30498+(-0.169524--0.02856))+0-0-0</f>
        <v>436.75405599999999</v>
      </c>
      <c r="N299" s="3">
        <f>298+(175.1-28)+(0+(0-0))+0-0-0</f>
        <v>445.1</v>
      </c>
      <c r="O299" s="3">
        <f>298+(190.3-27)+(-0.30396+(-0.194106--0.02754))+0-0-0</f>
        <v>460.829474</v>
      </c>
      <c r="P299" s="3">
        <f>297+(192.1-28)+(-0.15147+(-0.097971--0.01428))+0-0-0</f>
        <v>460.86483900000002</v>
      </c>
      <c r="Q299" s="3">
        <f>296+(203.8-28)+(-0.30192+(-0.207876--0.02856))+0-0-0</f>
        <v>471.31876399999999</v>
      </c>
      <c r="R299" s="3">
        <f>290+(203-32)+(0.1479+(0.10353-0.01632))+0-0-0</f>
        <v>461.23511000000002</v>
      </c>
      <c r="S299" s="3">
        <f>289+(188.1-34)+(-0.58956+(-0.383724--0.06936))+0-0-0</f>
        <v>442.19607600000001</v>
      </c>
      <c r="T299" s="3">
        <f>290+(171.5-30)+(-0.1479+(-0.087465--0.0153))+0-0-0</f>
        <v>431.27993500000002</v>
      </c>
      <c r="U299" s="3">
        <f>299+(171-30)+(0+(0-0))+0-0-0</f>
        <v>440</v>
      </c>
      <c r="V299" s="3">
        <f>299+(188.8-30)+(-0.45747+(-0.288864--0.0459))+0-0-0</f>
        <v>457.09956600000004</v>
      </c>
      <c r="W299" s="3">
        <f>343+(207.1-30)+(-0.69972+(-0.422484--0.0612))+0-0-0</f>
        <v>519.038996</v>
      </c>
      <c r="X299" s="3">
        <f>378+(175.4-31)+(-0.9639+(-0.44727--0.07905))+0-0-0</f>
        <v>521.06787999999995</v>
      </c>
      <c r="Y299" s="3">
        <f>378+(157.3-31)+(-0.19278+(-0.080223--0.01581))+0-0-0</f>
        <v>504.04280700000004</v>
      </c>
      <c r="Z299" s="3">
        <f>369+(143.3-30)+(-0.75276+(-0.292332--0.0612))+0-0-0</f>
        <v>481.31610799999999</v>
      </c>
      <c r="AA299" s="3">
        <f>348+(145.4-30)+(-0.53244+(-0.222462--0.0459))+0-0-0</f>
        <v>462.69099799999998</v>
      </c>
      <c r="AB299" s="3">
        <f>348+(120-29)+(-0.35496+(-0.1224--0.02958))+0-0-0</f>
        <v>438.55221999999998</v>
      </c>
      <c r="AC299" s="3">
        <f>348+(99.8-32.8)+(-0.53244+(-0.152694--0.050184))+0-0-0</f>
        <v>414.36505</v>
      </c>
      <c r="AD299">
        <v>521</v>
      </c>
      <c r="AE299" s="3">
        <f>379+(175-33)+(0+(0-0))+0-0-0</f>
        <v>521</v>
      </c>
    </row>
    <row r="300" spans="1:31" s="2" customFormat="1" x14ac:dyDescent="0.3">
      <c r="A300">
        <v>90</v>
      </c>
      <c r="B300">
        <v>10</v>
      </c>
      <c r="C300">
        <v>24</v>
      </c>
      <c r="D300">
        <v>1</v>
      </c>
      <c r="E300">
        <v>5</v>
      </c>
      <c r="F300" s="3">
        <f>277+(125.7-26)+(-0.14127+(-0.064107--0.01326))+0-0-0</f>
        <v>376.50788299999999</v>
      </c>
      <c r="G300" s="3">
        <f>254+(145.3-25)+(-0.12954+(-0.074103--0.01275))+0-0-0</f>
        <v>374.10910699999999</v>
      </c>
      <c r="H300" s="3">
        <f>254+(137.8-24)+(-0.25908+(-0.140556--0.02448))+0-0-0</f>
        <v>367.42484400000001</v>
      </c>
      <c r="I300" s="3">
        <f>254+(130.5-26)+(0+(0-0))+0-0-0</f>
        <v>358.5</v>
      </c>
      <c r="J300" s="3">
        <f>254+(135.3-29)+(-0.38862+(-0.207009--0.04437))+0-0-0</f>
        <v>359.748741</v>
      </c>
      <c r="K300" s="3">
        <f>254+(171.7-30)+(0+(0-0))+0-0-0</f>
        <v>395.7</v>
      </c>
      <c r="L300" s="3">
        <f>252+(196-30)+(0.25704+(0.19992-0.0306))+0-0-0</f>
        <v>418.42635999999999</v>
      </c>
      <c r="M300" s="3">
        <f>252+(203.1-29)+(-0.12852+(-0.103581--0.01479))+0-0-0</f>
        <v>425.88268900000003</v>
      </c>
      <c r="N300" s="3">
        <f>259+(197.5-28)+(0.39627+(0.302175-0.04284))+0-0-0</f>
        <v>429.15560499999998</v>
      </c>
      <c r="O300" s="3">
        <f>271+(187.1-30)+(0+(0-0))+0-0-0</f>
        <v>428.1</v>
      </c>
      <c r="P300" s="3">
        <f>271+(193-31)+(-0.13821+(-0.09843--0.01581))+0-0-0</f>
        <v>432.77917000000002</v>
      </c>
      <c r="Q300" s="3">
        <f>271+(186.6-31)+(-0.13821+(-0.095166--0.01581))+0-0-0</f>
        <v>426.38243400000005</v>
      </c>
      <c r="R300" s="3">
        <f>268+(199.9-30)+(-0.54672+(-0.407796--0.0612))+0-0-0</f>
        <v>437.00668399999995</v>
      </c>
      <c r="S300" s="3">
        <f>269+(184.3-31)+(0.13719+(0.093993-0.01581))+0-0-0</f>
        <v>422.51537300000001</v>
      </c>
      <c r="T300" s="3">
        <f>265+(177.3-30)+(-0.40545+(-0.271269--0.0459))+0-0-0</f>
        <v>411.66918100000004</v>
      </c>
      <c r="U300" s="3">
        <f>224+(224.2-31)+(-0.11424+(-0.114342--0.01581))+0-0-0</f>
        <v>416.98722800000002</v>
      </c>
      <c r="V300" s="3">
        <f>210+(268.3-29)+(-0.2142+(-0.273666--0.02958))+0-0-0</f>
        <v>448.84171400000002</v>
      </c>
      <c r="W300" s="3">
        <f>301+(211.5-30)+(0.30702+(0.21573-0.0306))+0-0-0</f>
        <v>482.99214999999998</v>
      </c>
      <c r="X300" s="3">
        <f>306+(221-30)+(-0.62424+(-0.45084--0.0612))+0-0-0</f>
        <v>495.98612000000003</v>
      </c>
      <c r="Y300" s="3">
        <f>306+(204.3-31)+(-0.62424+(-0.416772--0.06324))+0-0-0</f>
        <v>478.322228</v>
      </c>
      <c r="Z300" s="3">
        <f>307+(190.8-31)+(0+(0-0))+0-0-0</f>
        <v>466.8</v>
      </c>
      <c r="AA300" s="3">
        <f>307+(183.6-30)+(-0.15657+(-0.093636--0.0153))+0-0-0</f>
        <v>460.365094</v>
      </c>
      <c r="AB300" s="3">
        <f>300+(157.9-30)+(-0.153+(-0.080529--0.0153))+0-0-0</f>
        <v>427.68177099999997</v>
      </c>
      <c r="AC300" s="3">
        <f>300+(126.3-28)+(-0.612+(-0.257652--0.05712))+0-0-0</f>
        <v>397.48746800000004</v>
      </c>
      <c r="AD300">
        <v>488</v>
      </c>
      <c r="AE300" s="3">
        <f>307+(212-31)+(0+(0-0))+0-0-0</f>
        <v>488</v>
      </c>
    </row>
    <row r="301" spans="1:31" s="2" customFormat="1" x14ac:dyDescent="0.3">
      <c r="A301">
        <v>90</v>
      </c>
      <c r="B301">
        <v>10</v>
      </c>
      <c r="C301">
        <v>25</v>
      </c>
      <c r="D301">
        <v>2</v>
      </c>
      <c r="E301">
        <v>1</v>
      </c>
      <c r="F301" s="3">
        <f>300+(117.1-29.2)+(-0.612+(-0.238884--0.059568))+0-0-0</f>
        <v>387.10868399999998</v>
      </c>
      <c r="G301" s="3">
        <f>300+(101.9-30)+(-0.459+(-0.155907--0.0459))+0-0-0</f>
        <v>371.33099299999998</v>
      </c>
      <c r="H301" s="3">
        <f>301+(89.5-33.8)+(-0.15351+(-0.045645--0.017238))+0-0-0</f>
        <v>356.51808299999999</v>
      </c>
      <c r="I301" s="3">
        <f>300+(85.2-33.9)+(-0.612+(-0.173808--0.069156))+0-0-0</f>
        <v>350.583348</v>
      </c>
      <c r="J301" s="3">
        <f>261+(115.4-27)+(-0.39933+(-0.176562--0.04131))+0-0-0</f>
        <v>348.86541799999998</v>
      </c>
      <c r="K301" s="3">
        <f>226+(185.9-29)+(0.11526+(0.094809-0.01479))+0-0-0</f>
        <v>383.095279</v>
      </c>
      <c r="L301" s="3">
        <f>248+(207.7-29)+(-0.25296+(-0.211854--0.02958))+0-0-0</f>
        <v>426.26476600000001</v>
      </c>
      <c r="M301" s="3">
        <f>296+(178.3-29)+(0.15096+(0.090933-0.01479))+0-0-0</f>
        <v>445.52710300000001</v>
      </c>
      <c r="N301" s="3">
        <f>293+(180-30)+(0+(0-0))+0-0-0</f>
        <v>443</v>
      </c>
      <c r="O301" s="3">
        <f>293+(184.7-29)+(0.14943+(0.094197-0.01479))+0-0-0</f>
        <v>448.92883699999999</v>
      </c>
      <c r="P301" s="3">
        <f>293+(186.3-30)+(0+(0-0))+0-0-0</f>
        <v>449.3</v>
      </c>
      <c r="Q301" s="3">
        <f>292+(193.8-30)+(-0.59568+(-0.395352--0.0612))+0-0-0</f>
        <v>454.87016800000004</v>
      </c>
      <c r="R301" s="3">
        <f>293+(191.4-32)+(-0.59772+(-0.390456--0.06528))+0-0-0</f>
        <v>451.477104</v>
      </c>
      <c r="S301" s="3">
        <f>294+(180-31)+(-0.59976+(-0.3672--0.06324))+0-0-0</f>
        <v>442.09627999999998</v>
      </c>
      <c r="T301" s="3">
        <f>300+(158-30)+(0.153+(0.08058-0.0153))+0-0-0</f>
        <v>428.21827999999999</v>
      </c>
      <c r="U301" s="3">
        <f>312+(158.4-31)+(-0.15912+(-0.080784--0.01581))+0-0-0</f>
        <v>439.175906</v>
      </c>
      <c r="V301" s="3">
        <f>317+(176.2-32)+(-0.16167+(-0.089862--0.01632))+0-0-0</f>
        <v>460.964788</v>
      </c>
      <c r="W301" s="3">
        <f>320+(239.8-32)+(0.4896+(0.366894-0.04896))+0-0-0</f>
        <v>528.60753399999999</v>
      </c>
      <c r="X301" s="3">
        <f>320+(255.1-32)+(0+(0-0))+0-0-0</f>
        <v>543.1</v>
      </c>
      <c r="Y301" s="3">
        <f>319+(238.8-32)+(-0.48807+(-0.365364--0.04896))+0-0-0</f>
        <v>524.99552599999993</v>
      </c>
      <c r="Z301" s="3">
        <f>320+(209.1-31)+(0.1632+(0.106641-0.01581))+0-0-0</f>
        <v>498.35403100000002</v>
      </c>
      <c r="AA301" s="3">
        <f>320+(177-31)+(-0.6528+(-0.36108--0.06324))+0-0-0</f>
        <v>465.04935999999998</v>
      </c>
      <c r="AB301" s="3">
        <f>320+(152.9-30)+(-0.1632+(-0.077979--0.0153))+0-0-0</f>
        <v>442.67412099999996</v>
      </c>
      <c r="AC301" s="3">
        <f>313+(148.6-29)+(-0.79815+(-0.37893--0.07395))+0-0-0</f>
        <v>431.49687</v>
      </c>
      <c r="AD301">
        <v>548.79999999999995</v>
      </c>
      <c r="AE301" s="3">
        <f>321+(260.8-33)+(0+(0-0))+0-0-0</f>
        <v>548.79999999999995</v>
      </c>
    </row>
    <row r="302" spans="1:31" s="2" customFormat="1" x14ac:dyDescent="0.3">
      <c r="A302">
        <v>90</v>
      </c>
      <c r="B302">
        <v>10</v>
      </c>
      <c r="C302">
        <v>26</v>
      </c>
      <c r="D302">
        <v>3</v>
      </c>
      <c r="E302">
        <v>1</v>
      </c>
      <c r="F302" s="3">
        <f>278+(141.5-26)+(0+(0-0))+0-0-0</f>
        <v>393.5</v>
      </c>
      <c r="G302" s="3">
        <f>261+(143.3-25)+(-0.26622+(-0.146166--0.0255))+0-0-0</f>
        <v>378.91311400000001</v>
      </c>
      <c r="H302" s="3">
        <f>209+(182.6-25)+(-0.10659+(-0.093126--0.01275))+0-0-0</f>
        <v>366.41303400000004</v>
      </c>
      <c r="I302" s="3">
        <f>209+(183.2-23)+(0.31977+(0.280296-0.03519))+0-0-0</f>
        <v>369.76487600000002</v>
      </c>
      <c r="J302" s="3">
        <f>209+(193.4-25)+(-0.10659+(-0.098634--0.01275))+0-0-0</f>
        <v>377.20752599999997</v>
      </c>
      <c r="K302" s="3">
        <f>252+(197.8-28)+(0+(0-0))+0-0-0</f>
        <v>421.8</v>
      </c>
      <c r="L302" s="3">
        <f>275+(226-30)+(0.14025+(0.11526-0.0153))+0-0-0</f>
        <v>471.24020999999999</v>
      </c>
      <c r="M302" s="3">
        <f>275+(234.5-30)+(-0.14025+(-0.119595--0.0153))+0-0-0</f>
        <v>479.25545499999998</v>
      </c>
      <c r="N302" s="3">
        <f>310+(199-30)+(0+(0-0))+0-0-0</f>
        <v>479</v>
      </c>
      <c r="O302" s="3">
        <f>342+(161.1-29)+(-0.17442+(-0.082161--0.01479))+0-0-0</f>
        <v>473.85820900000004</v>
      </c>
      <c r="P302" s="3">
        <f>360+(139.8-30)+(-0.5508+(-0.213894--0.0459))+0-0-0</f>
        <v>469.08120600000001</v>
      </c>
      <c r="Q302" s="3">
        <f>382+(118.8-31)+(-0.77928+(-0.242352--0.06324))+0-0-0</f>
        <v>468.84160800000001</v>
      </c>
      <c r="R302" s="3">
        <f>382+(114-30)+(-0.38964+(-0.11628--0.0306))+0-0-0</f>
        <v>465.52467999999999</v>
      </c>
      <c r="S302" s="3">
        <f>383+(95.2-29)+(0+(0-0))+0-0-0</f>
        <v>449.2</v>
      </c>
      <c r="T302" s="3">
        <f>383+(81.1-27)+(-0.19533+(-0.041361--0.01377))+0-0-0</f>
        <v>436.87707900000004</v>
      </c>
      <c r="U302" s="3">
        <f>383+(96.5-27)+(0.19533+(0.049215-0.01377))+0-0-0</f>
        <v>452.73077499999999</v>
      </c>
      <c r="V302" s="3">
        <f>357+(164.7-29)+(0.18207+(0.083997-0.01479))+0-0-0</f>
        <v>492.951277</v>
      </c>
      <c r="W302" s="3">
        <f>344+(232.1-31)+(0.17544+(0.118371-0.01581))+0-0-0</f>
        <v>545.37800100000004</v>
      </c>
      <c r="X302" s="3">
        <f>343+(236.9-31)+(-0.69972+(-0.483276--0.06324))+0-0-0</f>
        <v>547.78024399999993</v>
      </c>
      <c r="Y302" s="3">
        <f>344+(222.1-30)+(-0.17544+(-0.113271--0.0153))+0-0-0</f>
        <v>535.82658900000001</v>
      </c>
      <c r="Z302" s="3">
        <f>343+(204.2-30)+(-0.52479+(-0.312426--0.0459))+0-0-0</f>
        <v>516.40868399999999</v>
      </c>
      <c r="AA302" s="3">
        <f>343+(177.4-30)+(-0.52479+(-0.271422--0.0459))+0-0-0</f>
        <v>489.64968799999997</v>
      </c>
      <c r="AB302" s="3">
        <f>343+(151.5-28)+(-0.52479+(-0.231795--0.04284))+0-0-0</f>
        <v>465.78625499999998</v>
      </c>
      <c r="AC302" s="3">
        <f>310+(152.8-27)+(-0.4743+(-0.233784--0.04131))+0-0-0</f>
        <v>435.13322600000004</v>
      </c>
      <c r="AD302">
        <v>547.4</v>
      </c>
      <c r="AE302" s="3">
        <f>344+(235.4-32)+(0+(0-0))+0-0-0</f>
        <v>547.4</v>
      </c>
    </row>
    <row r="303" spans="1:31" s="2" customFormat="1" x14ac:dyDescent="0.3">
      <c r="A303">
        <v>90</v>
      </c>
      <c r="B303">
        <v>10</v>
      </c>
      <c r="C303">
        <v>27</v>
      </c>
      <c r="D303">
        <v>4</v>
      </c>
      <c r="E303">
        <v>1</v>
      </c>
      <c r="F303" s="3">
        <f>291+(142.7-26)+(-0.44523+(-0.218331--0.03978))+0-0-0</f>
        <v>407.07621899999998</v>
      </c>
      <c r="G303" s="3">
        <f>241+(175.5-25)+(-0.24582+(-0.17901--0.0255))+0-0-0</f>
        <v>391.10066999999998</v>
      </c>
      <c r="H303" s="3">
        <f>212+(194.6-24)+(0.10812+(0.099246-0.01224))+0-0-0</f>
        <v>382.79512600000004</v>
      </c>
      <c r="I303" s="3">
        <f>231+(176.8-25)+(-0.35343+(-0.270504--0.03825))+0-0-0</f>
        <v>382.214316</v>
      </c>
      <c r="J303" s="3">
        <f>247+(170.3-28)+(0.25194+(0.173706-0.02856))+0-0-0</f>
        <v>389.69708600000001</v>
      </c>
      <c r="K303" s="3">
        <f>264+(200.4-29)+(0.40392+(0.306612-0.04437))+0-0-0</f>
        <v>436.06616199999996</v>
      </c>
      <c r="L303" s="3">
        <f>296+(213.6-31)+(0.30192+(0.217872-0.03162))+0-0-0</f>
        <v>479.08817200000004</v>
      </c>
      <c r="M303" s="3">
        <f>307+(219.2-31)+(0+(0-0))+0-0-0</f>
        <v>495.2</v>
      </c>
      <c r="N303" s="3">
        <f>362+(158.8-32)+(0+(0-0))+0-0-0</f>
        <v>488.8</v>
      </c>
      <c r="O303" s="3">
        <f>363+(172-32)+(-0.18513+(-0.08772--0.01632))+0-0-0</f>
        <v>502.74347</v>
      </c>
      <c r="P303" s="3">
        <f>390+(136-32)+(-0.3978+(-0.13872--0.03264))+0-0-0</f>
        <v>493.49612000000002</v>
      </c>
      <c r="Q303" s="3">
        <f>389+(133.4-32)+(-0.19839+(-0.068034--0.01632))+0-0-0</f>
        <v>490.14989599999996</v>
      </c>
      <c r="R303" s="3">
        <f>380+(152.1-31)+(-0.5814+(-0.232713--0.04743))+0-0-0</f>
        <v>500.33331700000002</v>
      </c>
      <c r="S303" s="3">
        <f>379+(129.6-29)+(-0.19329+(-0.066096--0.01479))+0-0-0</f>
        <v>479.35540400000002</v>
      </c>
      <c r="T303" s="3">
        <f>381+(110-27)+(-0.19431+(-0.0561--0.01377))+0-0-0</f>
        <v>463.76335999999998</v>
      </c>
      <c r="U303" s="3">
        <f>384+(100.8-26)+(-0.39168+(-0.102816--0.02652))+0-0-0</f>
        <v>458.33202399999999</v>
      </c>
      <c r="V303" s="3">
        <f>391+(121.6-28)+(0.39882+(0.124032-0.02856))+0-0-0</f>
        <v>485.094292</v>
      </c>
      <c r="W303" s="3">
        <f>390+(185.8-31)+(0.1989+(0.094758-0.01581))+0-0-0</f>
        <v>545.0778479999999</v>
      </c>
      <c r="X303" s="3">
        <f>381+(202.7-31)+(-0.38862+(-0.206754--0.03162))+0-0-0</f>
        <v>552.13624600000003</v>
      </c>
      <c r="Y303" s="3">
        <f>380+(185.4-30)+(-0.7752+(-0.378216--0.0612))+0-0-0</f>
        <v>534.30778399999997</v>
      </c>
      <c r="Z303" s="3">
        <f>380+(157.3-29)+(-0.5814+(-0.240669--0.04437))+0-0-0</f>
        <v>507.52230100000003</v>
      </c>
      <c r="AA303" s="3">
        <f>371+(146.6-29)+(-0.37842+(-0.149532--0.02958))+0-0-0</f>
        <v>488.10162800000001</v>
      </c>
      <c r="AB303" s="3">
        <f>330+(161.8-27)+(-0.5049+(-0.247554--0.04131))+0-0-0</f>
        <v>464.08885600000002</v>
      </c>
      <c r="AC303" s="3">
        <f>306+(159.9-27)+(-0.62424+(-0.326196--0.05508))+0-0-0</f>
        <v>438.00464399999998</v>
      </c>
      <c r="AD303">
        <v>550.79999999999995</v>
      </c>
      <c r="AE303" s="3">
        <f>381+(201.8-32)+(0+(0-0))+0-0-0</f>
        <v>550.79999999999995</v>
      </c>
    </row>
    <row r="304" spans="1:31" s="2" customFormat="1" x14ac:dyDescent="0.3">
      <c r="A304">
        <v>90</v>
      </c>
      <c r="B304">
        <v>10</v>
      </c>
      <c r="C304">
        <v>28</v>
      </c>
      <c r="D304">
        <v>5</v>
      </c>
      <c r="E304">
        <v>1</v>
      </c>
      <c r="F304" s="3">
        <f>302+(134.4-25)+(-0.46206+(-0.205632--0.03825))+0-0-0</f>
        <v>410.77055799999999</v>
      </c>
      <c r="G304" s="3">
        <f>302+(120.5-25.1)+(-0.15402+(-0.061455--0.012801))+0-0-0</f>
        <v>397.19732599999998</v>
      </c>
      <c r="H304" s="3">
        <f>298+(115.1-25.6)+(0.30396+(0.117402-0.026112))+0-0-0</f>
        <v>387.89524999999998</v>
      </c>
      <c r="I304" s="3">
        <f>272+(135.9-24)+(0.27744+(0.138618-0.02448))+0-0-0</f>
        <v>384.29157799999996</v>
      </c>
      <c r="J304" s="3">
        <f>272+(147.6-25)+(-0.27744+(-0.150552--0.0255))+0-0-0</f>
        <v>394.19750800000003</v>
      </c>
      <c r="K304" s="3">
        <f>272+(193.3-29)+(-0.13872+(-0.098583--0.01479))+0-0-0</f>
        <v>436.07748700000002</v>
      </c>
      <c r="L304" s="3">
        <f>270+(244.8-30)+(-0.4131+(-0.374544--0.0459))+0-0-0</f>
        <v>484.05825600000003</v>
      </c>
      <c r="M304" s="3">
        <f>288+(236.2-30)+(-0.44064+(-0.361386--0.0459))+0-0-0</f>
        <v>493.44387399999999</v>
      </c>
      <c r="N304" s="3">
        <f>303+(224.9-29)+(0.15453+(0.114699-0.01479))+0-0-0</f>
        <v>499.15443899999997</v>
      </c>
      <c r="O304" s="3">
        <f>303+(220.9-28)+(-0.30906+(-0.225318--0.02856))+0-0-0</f>
        <v>495.394182</v>
      </c>
      <c r="P304" s="3">
        <f>319+(203.4-29)+(0.16269+(0.103734-0.01479))+0-0-0</f>
        <v>493.651634</v>
      </c>
      <c r="Q304" s="3">
        <f>316+(204.9-30)+(-0.32232+(-0.208998--0.0306))+0-0-0</f>
        <v>490.39928199999997</v>
      </c>
      <c r="R304" s="3">
        <f>314+(207.2-30)+(-0.16014+(-0.105672--0.0153))+0-0-0</f>
        <v>490.94948799999997</v>
      </c>
      <c r="S304" s="3">
        <f>323+(185.2-28)+(-0.16473+(-0.094452--0.01428))+0-0-0</f>
        <v>479.95509799999996</v>
      </c>
      <c r="T304" s="3">
        <f>329+(172.8-28)+(-0.16779+(-0.088128--0.01428))+0-0-0</f>
        <v>473.55836199999999</v>
      </c>
      <c r="U304" s="3">
        <f>329+(183.8-26)+(0+(0-0))+0-0-0</f>
        <v>486.8</v>
      </c>
      <c r="V304" s="3">
        <f>327+(229.2-25)+(0+(0-0))+0-0-0</f>
        <v>531.20000000000005</v>
      </c>
      <c r="W304" s="3">
        <f>365+(240.2-31)+(0.18615+(0.122502-0.01581))+0-0-0</f>
        <v>574.492842</v>
      </c>
      <c r="X304" s="3">
        <f>383+(218.3-30)+(-0.78132+(-0.445332--0.0612))+0-0-0</f>
        <v>570.134548</v>
      </c>
      <c r="Y304" s="3">
        <f>385+(199.3-30)+(-0.7854+(-0.406572--0.0612))+0-0-0</f>
        <v>553.16922799999998</v>
      </c>
      <c r="Z304" s="3">
        <f>364+(199.4-29)+(0+(0-0))+0-0-0</f>
        <v>534.4</v>
      </c>
      <c r="AA304" s="3">
        <f>353+(197-29)+(-1.08018+(-0.60282--0.08874))+0-0-0</f>
        <v>519.40574000000004</v>
      </c>
      <c r="AB304" s="3">
        <f>321+(201-29)+(-0.49113+(-0.30753--0.04437))+0-0-0</f>
        <v>492.24570999999997</v>
      </c>
      <c r="AC304" s="3">
        <f>274+(220.5-27)+(-1.11792+(-0.89964--0.11016))+0-0-0</f>
        <v>465.5926</v>
      </c>
      <c r="AD304">
        <v>572.4</v>
      </c>
      <c r="AE304" s="3">
        <f>382+(221.4-31)+(0+(0-0))+0-0-0</f>
        <v>572.4</v>
      </c>
    </row>
    <row r="305" spans="1:31" s="2" customFormat="1" x14ac:dyDescent="0.3">
      <c r="A305">
        <v>90</v>
      </c>
      <c r="B305">
        <v>10</v>
      </c>
      <c r="C305">
        <v>29</v>
      </c>
      <c r="D305">
        <v>6</v>
      </c>
      <c r="E305">
        <v>1</v>
      </c>
      <c r="F305" s="3">
        <f>274+(194.5-25)+(-0.55896+(-0.39678--0.051))+0-0-0</f>
        <v>442.59526</v>
      </c>
      <c r="G305" s="3">
        <f>274+(176.8-24)+(-0.55896+(-0.360672--0.04896))+0-0-0</f>
        <v>425.929328</v>
      </c>
      <c r="H305" s="3">
        <f>274+(166.1-23)+(-0.83844+(-0.508266--0.07038))+0-0-0</f>
        <v>415.82367400000004</v>
      </c>
      <c r="I305" s="3">
        <f>275+(159-23)+(0+(0-0))+0-0-0</f>
        <v>411</v>
      </c>
      <c r="J305" s="3">
        <f>275+(158.5-19)+(0.2805+(0.16167-0.01938))+0-0-0</f>
        <v>414.92279000000002</v>
      </c>
      <c r="K305" s="3">
        <f>266+(190.6-4)+(0+(0-0))+0-0-0</f>
        <v>452.6</v>
      </c>
      <c r="L305" s="3">
        <f>312+(197.1-10)+(-0.15912+(-0.100521--0.0051))+0-0-0</f>
        <v>498.84545900000001</v>
      </c>
      <c r="M305" s="3">
        <f>312+(217.3-5)+(0+(0-0))+0-0-0</f>
        <v>524.29999999999995</v>
      </c>
      <c r="N305" s="3">
        <f>310+(222.2-5)+(0.3162+(0.226644-0.0051))+0-0-0</f>
        <v>527.73774400000002</v>
      </c>
      <c r="O305" s="3">
        <f>346+(185.3-6)+(0.35292+(0.189006-0.00612))+0-0-0</f>
        <v>525.83580599999993</v>
      </c>
      <c r="P305" s="3">
        <f>363+(152.3-7)+(0.55539+(0.233019-0.01071))+0-0-0</f>
        <v>509.077699</v>
      </c>
      <c r="Q305" s="3">
        <f>370+(143.4-7)+(0.1887+(0.073134-0.00357))+0-0-0</f>
        <v>506.65826399999997</v>
      </c>
      <c r="R305" s="3">
        <f>367+(157.4-17)+(-0.74868+(-0.321096--0.03468))+0-0-0</f>
        <v>506.36490399999997</v>
      </c>
      <c r="S305" s="3">
        <f>368+(156.9-27)+(-0.37536+(-0.160038--0.02754))+0-0-0</f>
        <v>497.39214199999998</v>
      </c>
      <c r="T305" s="3">
        <f>369+(142.9-30)+(0+(0-0))+0-0-0</f>
        <v>481.9</v>
      </c>
      <c r="U305" s="3">
        <f>352+(168.1-31)+(0+(0-0))+0-0-0</f>
        <v>489.1</v>
      </c>
      <c r="V305" s="3">
        <f>336+(204.7-27)+(-0.51408+(-0.313191--0.04131))+0-0-0</f>
        <v>512.914039</v>
      </c>
      <c r="W305" s="3">
        <f>345+(241.1-29)+(0.52785+(0.368883-0.04437))+0-0-0</f>
        <v>557.95236299999999</v>
      </c>
      <c r="X305" s="3">
        <f>345+(252.6-31)+(-0.3519+(-0.257652--0.03162))+0-0-0</f>
        <v>566.02206799999999</v>
      </c>
      <c r="Y305" s="3">
        <f>344+(244.2-30)+(-0.70176+(-0.498168--0.0612))+0-0-0</f>
        <v>557.06127200000003</v>
      </c>
      <c r="Z305" s="3">
        <f>350+(221.4-31)+(-0.8925+(-0.56457--0.07905))+0-0-0</f>
        <v>539.02197999999999</v>
      </c>
      <c r="AA305" s="3">
        <f>363+(189.4-30)+(-0.55539+(-0.289782--0.0459))+0-0-0</f>
        <v>521.600728</v>
      </c>
      <c r="AB305" s="3">
        <f>369+(171-28)+(-0.18819+(-0.08721--0.01428))+0-0-0</f>
        <v>511.73887999999999</v>
      </c>
      <c r="AC305" s="3">
        <f>319+(181.5-26)+(-0.32538+(-0.18513--0.02652))+0-0-0</f>
        <v>474.01600999999999</v>
      </c>
      <c r="AD305">
        <v>571.1</v>
      </c>
      <c r="AE305" s="3">
        <f>345+(255.1-29)+(0+(0-0))+0-0-0</f>
        <v>571.1</v>
      </c>
    </row>
    <row r="306" spans="1:31" s="2" customFormat="1" x14ac:dyDescent="0.3">
      <c r="A306">
        <v>90</v>
      </c>
      <c r="B306">
        <v>10</v>
      </c>
      <c r="C306">
        <v>30</v>
      </c>
      <c r="D306">
        <v>7</v>
      </c>
      <c r="E306">
        <v>1</v>
      </c>
      <c r="F306" s="3">
        <f>324+(154.4-27)+(-0.33048+(-0.157488--0.02754))+0-0-0</f>
        <v>450.939572</v>
      </c>
      <c r="G306" s="3">
        <f>305+(153.5-29)+(0+(0-0))+0-0-0</f>
        <v>429.5</v>
      </c>
      <c r="H306" s="3">
        <f>285+(147.8-29)+(0.14535+(0.075378-0.01479))+0-0-0</f>
        <v>404.00593800000001</v>
      </c>
      <c r="I306" s="3">
        <f>286+(145.2-31.2)+(0.29172+(0.148104-0.031824))+0-0-0</f>
        <v>400.40800000000002</v>
      </c>
      <c r="J306" s="3">
        <f>281+(158.8-31)+(0+(0-0))+0-0-0</f>
        <v>408.8</v>
      </c>
      <c r="K306" s="3">
        <f>275+(204.4-29)+(0+(0-0))+0-0-0</f>
        <v>450.4</v>
      </c>
      <c r="L306" s="3">
        <f>276+(228.1-25)+(0+(0-0))+0-0-0</f>
        <v>479.1</v>
      </c>
      <c r="M306" s="3">
        <f>274+(243.2-18)+(-0.41922+(-0.372096--0.02754))+0-0-0</f>
        <v>498.43622399999998</v>
      </c>
      <c r="N306" s="3">
        <f>273+(240-28)+(0.27846+(0.2448-0.02856))+0-0-0</f>
        <v>485.49470000000002</v>
      </c>
      <c r="O306" s="3">
        <f>273+(266.4-28)+(-0.13923+(-0.135864--0.01428))+0-0-0</f>
        <v>511.139186</v>
      </c>
      <c r="P306" s="3">
        <f>288+(257.4-30)+(-0.14688+(-0.131274--0.0153))+0-0-0</f>
        <v>515.13714600000003</v>
      </c>
      <c r="Q306" s="3">
        <f>289+(260.6-31)+(-0.14739+(-0.132906--0.01581))+0-0-0</f>
        <v>518.33551399999999</v>
      </c>
      <c r="R306" s="3">
        <f>290+(261.3-30)+(-0.4437+(-0.399789--0.0459))+0-0-0</f>
        <v>520.50241099999994</v>
      </c>
      <c r="S306" s="3">
        <f>290+(245.4-30)+(-0.5916+(-0.500616--0.0612))+0-0-0</f>
        <v>504.36898399999995</v>
      </c>
      <c r="T306" s="3">
        <f>291+(229.1-30)+(-0.44523+(-0.350523--0.0459))+0-0-0</f>
        <v>489.35014700000005</v>
      </c>
      <c r="U306" s="3">
        <f>291+(225.8-31)+(0+(0-0))+0-0-0</f>
        <v>485.8</v>
      </c>
      <c r="V306" s="3">
        <f>291+(240.9-31)+(0+(0-0))+0-0-0</f>
        <v>500.9</v>
      </c>
      <c r="W306" s="3">
        <f>337+(286.7-32)+(-0.17187+(-0.146217--0.01632))+0-0-0</f>
        <v>591.398233</v>
      </c>
      <c r="X306" s="3">
        <f>358+(257.6-32)+(0+(0-0))+0-0-0</f>
        <v>583.6</v>
      </c>
      <c r="Y306" s="3">
        <f>358+(225.6-31)+(-0.73032+(-0.460224--0.06324))+0-0-0</f>
        <v>551.47269600000004</v>
      </c>
      <c r="Z306" s="3">
        <f>359+(192.8-31)+(-0.36618+(-0.196656--0.03162))+0-0-0</f>
        <v>520.26878399999998</v>
      </c>
      <c r="AA306" s="3">
        <f>360+(169.3-30)+(-0.1836+(-0.086343--0.0153))+0-0-0</f>
        <v>499.04535700000002</v>
      </c>
      <c r="AB306" s="3">
        <f>360+(149.2-31.4)+(-0.918+(-0.38046--0.08007))+0-0-0</f>
        <v>476.58160999999996</v>
      </c>
      <c r="AC306" s="3">
        <f>348+(136.8-34.1)+(-0.70992+(-0.279072--0.069564))+0-0-0</f>
        <v>449.78057200000006</v>
      </c>
      <c r="AD306">
        <v>555.70000000000005</v>
      </c>
      <c r="AE306" s="3">
        <f>344+(243.7-32)+(0+(0-0))+0-0-0</f>
        <v>555.70000000000005</v>
      </c>
    </row>
    <row r="307" spans="1:31" s="2" customFormat="1" x14ac:dyDescent="0.3">
      <c r="A307">
        <v>90</v>
      </c>
      <c r="B307">
        <v>11</v>
      </c>
      <c r="C307">
        <v>1</v>
      </c>
      <c r="D307">
        <v>1</v>
      </c>
      <c r="E307">
        <v>6</v>
      </c>
      <c r="F307" s="3">
        <f>338+(109.9-38.8)+(-0.34476+(-0.112098--0.039576))+0-0-0</f>
        <v>408.68271800000002</v>
      </c>
      <c r="G307" s="3">
        <f>338+(93.8-40.8)+(-0.17238+(-0.047838--0.020808))+0-0-0</f>
        <v>390.80059</v>
      </c>
      <c r="H307" s="3">
        <f>308+(102.7-31.6)+(-0.62832+(-0.209508--0.064464))+0-0-0</f>
        <v>378.32663600000001</v>
      </c>
      <c r="I307" s="3">
        <f>300+(106.4-29)+(0.153+(0.054264-0.01479))+0-0-0</f>
        <v>377.59247399999998</v>
      </c>
      <c r="J307" s="3">
        <f>300+(106.4-29)+(0.306+(0.108528-0.02958))+0-0-0</f>
        <v>377.78494799999999</v>
      </c>
      <c r="K307" s="3">
        <f>324+(122.7-31.7)+(0.33048+(0.125154-0.032334))+0-0-0</f>
        <v>415.42329999999998</v>
      </c>
      <c r="L307" s="3">
        <f>334+(154.1-22)+(0.34068+(0.157182-0.02244))+0-0-0</f>
        <v>466.575422</v>
      </c>
      <c r="M307" s="3">
        <f>333+(164.2-18)+(-0.33966+(-0.167484--0.01836))+0-0-0</f>
        <v>478.71121599999998</v>
      </c>
      <c r="N307" s="3">
        <f>333+(174.7-18)+(0.67932+(0.356388-0.03672))+0-0-0</f>
        <v>490.69898799999999</v>
      </c>
      <c r="O307" s="3">
        <f>333+(177.3-18)+(0.33966+(0.180846-0.01836))+0-0-0</f>
        <v>492.80214599999999</v>
      </c>
      <c r="P307" s="3">
        <f>332+(159.1-18)+(-0.50796+(-0.243423--0.02754))+0-0-0</f>
        <v>472.37615700000003</v>
      </c>
      <c r="Q307" s="3">
        <f>332+(166.4-18)+(-0.33864+(-0.169728--0.01836))+0-0-0</f>
        <v>479.90999199999999</v>
      </c>
      <c r="R307" s="3">
        <f>328+(166.5-15)+(-0.50184+(-0.254745--0.02295))+0-0-0</f>
        <v>478.76636500000001</v>
      </c>
      <c r="S307" s="3">
        <f>314+(176.3-12)+(0.16014+(0.089913-0.00612))+0-0-0</f>
        <v>478.54393300000004</v>
      </c>
      <c r="T307" s="3">
        <f>280+(175.3-11)+(-0.4284+(-0.268209--0.01683))+0-0-0</f>
        <v>443.62022100000002</v>
      </c>
      <c r="U307" s="3">
        <f>285+(181.1-8)+(-0.14535+(-0.092361--0.00408))+0-0-0</f>
        <v>457.86636900000002</v>
      </c>
      <c r="V307" s="3">
        <f>293+(194.8-8)+(-0.29886+(-0.198696--0.00816))+0-0-0</f>
        <v>479.31060400000001</v>
      </c>
      <c r="W307" s="3">
        <f>323+(229.6-18)+(0.49419+(0.351288-0.02754))+0-0-0</f>
        <v>535.41793800000005</v>
      </c>
      <c r="X307" s="3">
        <f>326+(247.3-22)+(0+(0-0))+0-0-0</f>
        <v>551.29999999999995</v>
      </c>
      <c r="Y307" s="3">
        <f>325+(234.6-22)+(-0.49725+(-0.358938--0.03366))+0-0-0</f>
        <v>536.77747199999999</v>
      </c>
      <c r="Z307" s="3">
        <f>325+(209.2-22)+(-0.49725+(-0.320076--0.03366))+0-0-0</f>
        <v>511.41633400000006</v>
      </c>
      <c r="AA307" s="3">
        <f>325+(184.6-21)+(-0.82875+(-0.47073--0.05355))+0-0-0</f>
        <v>487.35407000000004</v>
      </c>
      <c r="AB307" s="3">
        <f>298+(182.6-20)+(-0.7599+(-0.46563--0.051))+0-0-0</f>
        <v>459.42547000000002</v>
      </c>
      <c r="AC307" s="3">
        <f>288+(165.3-21.2)+(-0.14688+(-0.084303--0.010812))+0-0-0</f>
        <v>431.87962900000002</v>
      </c>
      <c r="AD307">
        <v>564.20000000000005</v>
      </c>
      <c r="AE307" s="3">
        <f>326+(249.2-11)+(0+(0-0))+0-0-0</f>
        <v>564.20000000000005</v>
      </c>
    </row>
    <row r="308" spans="1:31" s="2" customFormat="1" x14ac:dyDescent="0.3">
      <c r="A308">
        <v>90</v>
      </c>
      <c r="B308">
        <v>11</v>
      </c>
      <c r="C308">
        <v>2</v>
      </c>
      <c r="D308">
        <v>2</v>
      </c>
      <c r="E308">
        <v>5</v>
      </c>
      <c r="F308" s="3">
        <f>282+(138.5-22.2)+(0+(0-0))+0-0-0</f>
        <v>398.3</v>
      </c>
      <c r="G308" s="3">
        <f>272+(133-19.8)+(-0.13872+(-0.06783--0.010098))+0-0-0</f>
        <v>385.00354799999997</v>
      </c>
      <c r="H308" s="3">
        <f>232+(161-16)+(0+(0-0))+0-0-0</f>
        <v>377</v>
      </c>
      <c r="I308" s="3">
        <f>232+(158.8-16)+(0+(0-0))+0-0-0</f>
        <v>374.8</v>
      </c>
      <c r="J308" s="3">
        <f>232+(164.4-16)+(0.23664+(0.167688-0.01632))+0-0-0</f>
        <v>380.78800799999999</v>
      </c>
      <c r="K308" s="3">
        <f>232+(205.5-19)+(0.11832+(0.104805-0.00969))+0-0-0</f>
        <v>418.713435</v>
      </c>
      <c r="L308" s="3">
        <f>233+(235.2-21)+(0+(0-0))+0-0-0</f>
        <v>447.2</v>
      </c>
      <c r="M308" s="3">
        <f>232+(240.1-20)+(-0.23664+(-0.244902--0.0204))+0-0-0</f>
        <v>451.63885800000003</v>
      </c>
      <c r="N308" s="3">
        <f>252+(229.2-19)+(0.25704+(0.233784-0.01938))+0-0-0</f>
        <v>462.67144400000001</v>
      </c>
      <c r="O308" s="3">
        <f>333+(159-19)+(-0.50949+(-0.24327--0.02907))+0-0-0</f>
        <v>472.27631000000002</v>
      </c>
      <c r="P308" s="3">
        <f>334+(157.4-17)+(-0.51102+(-0.240822--0.02601))+0-0-0</f>
        <v>473.67416799999995</v>
      </c>
      <c r="Q308" s="3">
        <f>333+(164.8-19)+(-0.84915+(-0.42024--0.04845))+0-0-0</f>
        <v>477.57906000000003</v>
      </c>
      <c r="R308" s="3">
        <f>332+(162.1-21)+(-0.33864+(-0.165342--0.02142))+0-0-0</f>
        <v>472.61743800000005</v>
      </c>
      <c r="S308" s="3">
        <f>332+(165.2-20)+(-0.16932+(-0.084252--0.0102))+0-0-0</f>
        <v>476.95662799999997</v>
      </c>
      <c r="T308" s="3">
        <f>332+(156-18)+(-0.16932+(-0.07956--0.00918))+0-0-0</f>
        <v>469.76029999999997</v>
      </c>
      <c r="U308" s="3">
        <f>332+(159-18)+(-0.67728+(-0.32436--0.03672))+0-0-0</f>
        <v>472.03507999999999</v>
      </c>
      <c r="V308" s="3">
        <f>322+(197.6-18)+(-0.16422+(-0.100776--0.00918))+0-0-0</f>
        <v>501.34418400000004</v>
      </c>
      <c r="W308" s="3">
        <f>326+(258.1-23)+(0+(0-0))+0-0-0</f>
        <v>561.1</v>
      </c>
      <c r="X308" s="3">
        <f>326+(271.4-20)+(0.16626+(0.138414-0.0102))+0-0-0</f>
        <v>577.69447400000001</v>
      </c>
      <c r="Y308" s="3">
        <f>325+(260.1-31)+(-0.3315+(-0.265302--0.03162))+0-0-0</f>
        <v>553.53481799999997</v>
      </c>
      <c r="Z308" s="3">
        <f>326+(238.5-31)+(-0.33252+(-0.24327--0.03162))+0-0-0</f>
        <v>532.95582999999999</v>
      </c>
      <c r="AA308" s="3">
        <f>325+(217.9-31)+(-0.49725+(-0.333387--0.04743))+0-0-0</f>
        <v>511.11679299999997</v>
      </c>
      <c r="AB308" s="3">
        <f>321+(206-27)+(-0.49113+(-0.31518--0.04131))+0-0-0</f>
        <v>499.23500000000001</v>
      </c>
      <c r="AC308" s="3">
        <f>279+(219.6-25)+(-0.71145+(-0.55998--0.06375))+0-0-0</f>
        <v>472.39232000000004</v>
      </c>
      <c r="AD308">
        <v>567.79999999999995</v>
      </c>
      <c r="AE308" s="3">
        <f>326+(269.8-28)+(0+(0-0))+0-0-0</f>
        <v>567.79999999999995</v>
      </c>
    </row>
    <row r="309" spans="1:31" s="2" customFormat="1" x14ac:dyDescent="0.3">
      <c r="A309">
        <v>90</v>
      </c>
      <c r="B309">
        <v>11</v>
      </c>
      <c r="C309">
        <v>3</v>
      </c>
      <c r="D309">
        <v>3</v>
      </c>
      <c r="E309">
        <v>6</v>
      </c>
      <c r="F309" s="3">
        <f>261+(208.6-24)+(-0.66555+(-0.53193--0.0612))+0-0-0</f>
        <v>444.46372000000002</v>
      </c>
      <c r="G309" s="3">
        <f>242+(209.9-24)+(-0.49368+(-0.428196--0.04896))+0-0-0</f>
        <v>427.027084</v>
      </c>
      <c r="H309" s="3">
        <f>227+(212.4-25)+(0.11577+(0.108324-0.01275))+0-0-0</f>
        <v>414.61134399999997</v>
      </c>
      <c r="I309" s="3">
        <f>236+(198.5-27)+(0.24072+(0.20247-0.02754))+0-0-0</f>
        <v>407.91565000000003</v>
      </c>
      <c r="J309" s="3">
        <f>262+(182.9-27)+(0.13362+(0.093279-0.01377))+0-0-0</f>
        <v>418.11312899999996</v>
      </c>
      <c r="K309" s="3">
        <f>262+(236.4-28)+(0.13362+(0.120564-0.01428))+0-0-0</f>
        <v>470.639904</v>
      </c>
      <c r="L309" s="3">
        <f>309+(236.9-29)+(0.15759+(0.120819-0.01479))+0-0-0</f>
        <v>517.16361899999993</v>
      </c>
      <c r="M309" s="3">
        <f>312+(240.1-25)+(0.15912+(0.122451-0.01275))+0-0-0</f>
        <v>527.36882100000003</v>
      </c>
      <c r="N309" s="3">
        <f>307+(242.3-24)+(-0.15657+(-0.123573--0.01224))+0-0-0</f>
        <v>525.03209699999991</v>
      </c>
      <c r="O309" s="3">
        <f>309+(250.7-24)+(0.47277+(0.383571-0.03672))+0-0-0</f>
        <v>536.51962100000003</v>
      </c>
      <c r="P309" s="3">
        <f>323+(213.6-25)+(0.32946+(0.217872-0.0255))+0-0-0</f>
        <v>512.12183200000004</v>
      </c>
      <c r="Q309" s="3">
        <f>319+(219.1-25)+(0.32538+(0.223482-0.0255))+0-0-0</f>
        <v>513.62336200000004</v>
      </c>
      <c r="R309" s="3">
        <f>317+(225.3-23)+(-0.48501+(-0.344709--0.03519))+0-0-0</f>
        <v>518.50547099999994</v>
      </c>
      <c r="S309" s="3">
        <f>317+(208.1-21)+(-0.64668+(-0.424524--0.04284))+0-0-0</f>
        <v>503.07163600000001</v>
      </c>
      <c r="T309" s="3">
        <f>317+(191.4-20)+(-0.16167+(-0.097614--0.0102))+0-0-0</f>
        <v>488.150916</v>
      </c>
      <c r="U309" s="3">
        <f>318+(202.2-21)+(-0.48654+(-0.309366--0.03213))+0-0-0</f>
        <v>498.43622399999998</v>
      </c>
      <c r="V309" s="3">
        <f>321+(222.8-25)+(-0.32742+(-0.227256--0.0255))+0-0-0</f>
        <v>518.27082399999995</v>
      </c>
      <c r="W309" s="3">
        <f>326+(274.1-27)+(0+(0-0))+0-0-0</f>
        <v>573.1</v>
      </c>
      <c r="X309" s="3">
        <f>325+(286.2-29)+(-0.663+(-0.583848--0.05916))+0-0-0</f>
        <v>581.01231200000007</v>
      </c>
      <c r="Y309" s="3">
        <f>325+(271.9-32)+(-0.82875+(-0.693345--0.0816))+0-0-0</f>
        <v>563.45950499999992</v>
      </c>
      <c r="Z309" s="3">
        <f>325+(246.1-32)+(-0.3315+(-0.251022--0.03264))+0-0-0</f>
        <v>538.550118</v>
      </c>
      <c r="AA309" s="3">
        <f>326+(232.1-32)+(-0.16626+(-0.118371--0.01632))+0-0-0</f>
        <v>525.83168899999998</v>
      </c>
      <c r="AB309" s="3">
        <f>325+(205.6-30)+(-0.82875+(-0.52428--0.0765))+0-0-0</f>
        <v>499.32347000000004</v>
      </c>
      <c r="AC309" s="3">
        <f>298+(201.4-30)+(-0.30396+(-0.205428--0.0306))+0-0-0</f>
        <v>468.92121199999997</v>
      </c>
      <c r="AD309">
        <v>578.4</v>
      </c>
      <c r="AE309" s="3">
        <f>320+(285.4-27)+(0+(0-0))+0-0-0</f>
        <v>578.4</v>
      </c>
    </row>
    <row r="310" spans="1:31" s="2" customFormat="1" x14ac:dyDescent="0.3">
      <c r="A310">
        <v>90</v>
      </c>
      <c r="B310">
        <v>11</v>
      </c>
      <c r="C310">
        <v>4</v>
      </c>
      <c r="D310">
        <v>4</v>
      </c>
      <c r="E310">
        <v>5</v>
      </c>
      <c r="F310" s="3">
        <f>263+(204.6-25)+(-0.67065+(-0.52173--0.06375))+0-0-0</f>
        <v>441.47137000000004</v>
      </c>
      <c r="G310" s="3">
        <f>260+(182.1-20)+(-0.2652+(-0.185742--0.0204))+0-0-0</f>
        <v>421.66945800000002</v>
      </c>
      <c r="H310" s="3">
        <f>259+(172-15)+(-0.66045+(-0.4386--0.03825))+0-0-0</f>
        <v>414.93920000000003</v>
      </c>
      <c r="I310" s="3">
        <f>260+(155.7-15)+(0+(0-0))+0-0-0</f>
        <v>400.7</v>
      </c>
      <c r="J310" s="3">
        <f>260+(149.2-15)+(0.1326+(0.076092-0.00765))+0-0-0</f>
        <v>394.40104199999996</v>
      </c>
      <c r="K310" s="3">
        <f>295+(154.9-17)+(-0.15045+(-0.078999--0.00867))+0-0-0</f>
        <v>432.67922099999998</v>
      </c>
      <c r="L310" s="3">
        <f>305+(176.9-21)+(-0.46665+(-0.270657--0.03213))+0-0-0</f>
        <v>460.19482299999999</v>
      </c>
      <c r="M310" s="3">
        <f>305+(182.7-20)+(-0.3111+(-0.186354--0.0204))+0-0-0</f>
        <v>467.22294599999998</v>
      </c>
      <c r="N310" s="3">
        <f>305+(197.6-20)+(-0.15555+(-0.100776--0.0102))+0-0-0</f>
        <v>482.35387400000002</v>
      </c>
      <c r="O310" s="3">
        <f>320+(178.6-22)+(-0.1632+(-0.091086--0.01122))+0-0-0</f>
        <v>476.35693400000002</v>
      </c>
      <c r="P310" s="3">
        <f>332+(165.4-26)+(0+(0-0))+0-0-0</f>
        <v>471.4</v>
      </c>
      <c r="Q310" s="3">
        <f>341+(158.3-27)+(-0.17391+(-0.080733--0.01377))+0-0-0</f>
        <v>472.05912699999999</v>
      </c>
      <c r="R310" s="3">
        <f>345+(165.3-26)+(-0.3519+(-0.168606--0.02652))+0-0-0</f>
        <v>483.806014</v>
      </c>
      <c r="S310" s="3">
        <f>328+(180.8-25)+(-0.66912+(-0.368832--0.051))+0-0-0</f>
        <v>482.81304800000004</v>
      </c>
      <c r="T310" s="3">
        <f>308+(182.4-25)+(-0.31416+(-0.186048--0.0255))+0-0-0</f>
        <v>464.92529199999996</v>
      </c>
      <c r="U310" s="3">
        <f>306+(187-25)+(0.15606+(0.09537-0.01275))+0-0-0</f>
        <v>468.23867999999999</v>
      </c>
      <c r="V310" s="3">
        <f>310+(211.6-27)+(0+(0-0))+0-0-0</f>
        <v>494.6</v>
      </c>
      <c r="W310" s="3">
        <f>314+(264.1-31)+(0.8007+(0.673455-0.07905))+0-0-0</f>
        <v>548.49510499999997</v>
      </c>
      <c r="X310" s="3">
        <f>342+(255.9-31)+(-0.52326+(-0.391527--0.04743))+0-0-0</f>
        <v>566.03264300000001</v>
      </c>
      <c r="Y310" s="3">
        <f>344+(237.9-30)+(-0.70176+(-0.485316--0.0612))+0-0-0</f>
        <v>550.77412400000003</v>
      </c>
      <c r="Z310" s="3">
        <f>340+(220.2-29)+(-0.1734+(-0.112302--0.01479))+0-0-0</f>
        <v>530.92908800000009</v>
      </c>
      <c r="AA310" s="3">
        <f>336+(207.1-28)+(0.17136+(0.105621-0.01428))+0-0-0</f>
        <v>515.36270100000002</v>
      </c>
      <c r="AB310" s="3">
        <f>317+(208.4-28)+(-0.32334+(-0.212568--0.02856))+0-0-0</f>
        <v>496.892652</v>
      </c>
      <c r="AC310" s="3">
        <f>301+(187.4-27)+(-0.61404+(-0.382296--0.05508))+0-0-0</f>
        <v>460.45874399999997</v>
      </c>
      <c r="AD310">
        <v>569</v>
      </c>
      <c r="AE310" s="3">
        <f>341+(259-31)+(0+(0-0))+0-0-0</f>
        <v>569</v>
      </c>
    </row>
    <row r="311" spans="1:31" s="2" customFormat="1" x14ac:dyDescent="0.3">
      <c r="A311">
        <v>90</v>
      </c>
      <c r="B311">
        <v>11</v>
      </c>
      <c r="C311">
        <v>5</v>
      </c>
      <c r="D311">
        <v>5</v>
      </c>
      <c r="E311">
        <v>1</v>
      </c>
      <c r="F311" s="3">
        <f>298+(165.8-26)+(0+(0-0))+0-0-0</f>
        <v>437.8</v>
      </c>
      <c r="G311" s="3">
        <f>301+(148-24)+(-0.30702+(-0.15096--0.02448))+0-0-0</f>
        <v>424.56650000000002</v>
      </c>
      <c r="H311" s="3">
        <f>290+(148.2-24)+(-0.1479+(-0.075582--0.01224))+0-0-0</f>
        <v>413.98875799999996</v>
      </c>
      <c r="I311" s="3">
        <f>238+(196.1-24)+(0.12138+(0.100011-0.01224))+0-0-0</f>
        <v>410.30915100000004</v>
      </c>
      <c r="J311" s="3">
        <f>238+(207.2-25)+(0.12138+(0.105672-0.01275))+0-0-0</f>
        <v>420.41430199999996</v>
      </c>
      <c r="K311" s="3">
        <f>239+(256.5-29)+(0.24378+(0.26163-0.02958))+0-0-0</f>
        <v>466.97582999999997</v>
      </c>
      <c r="L311" s="3">
        <f>314+(237.4-30)+(0.16014+(0.121074-0.0153))+0-0-0</f>
        <v>521.66591399999993</v>
      </c>
      <c r="M311" s="3">
        <f>356+(190-30)+(0+(0-0))+0-0-0</f>
        <v>516</v>
      </c>
      <c r="N311" s="3">
        <f>371+(174.9-30)+(0.37842+(0.178398-0.0306))+0-0-0</f>
        <v>516.42621799999995</v>
      </c>
      <c r="O311" s="3">
        <f>369+(170.9-29)+(0.37638+(0.174318-0.02958))+0-0-0</f>
        <v>511.42111799999998</v>
      </c>
      <c r="P311" s="3">
        <f>365+(164.1-29)+(0+(0-0))+0-0-0</f>
        <v>500.1</v>
      </c>
      <c r="Q311" s="3">
        <f>365+(166-30)+(0.18615+(0.08466-0.0153))+0-0-0</f>
        <v>501.25551000000002</v>
      </c>
      <c r="R311" s="3">
        <f>365+(169.7-24)+(-0.55845+(-0.259641--0.03672))+0-0-0</f>
        <v>509.91862900000001</v>
      </c>
      <c r="S311" s="3">
        <f>364+(160.6-23)+(0+(0-0))+0-0-0</f>
        <v>501.6</v>
      </c>
      <c r="T311" s="3">
        <f>364+(145.6-23)+(0.37128+(0.148512-0.02346))+0-0-0</f>
        <v>487.09633200000002</v>
      </c>
      <c r="U311" s="3">
        <f>383+(129-23)+(-0.19533+(-0.06579--0.01173))+0-0-0</f>
        <v>488.75060999999999</v>
      </c>
      <c r="V311" s="3">
        <f>391+(150.1-24)+(0+(0-0))+0-0-0</f>
        <v>517.1</v>
      </c>
      <c r="W311" s="3">
        <f>369+(220.5-28)+(0.18819+(0.112455-0.01428))+0-0-0</f>
        <v>561.78636500000005</v>
      </c>
      <c r="X311" s="3">
        <f>400+(208.6-30)+(-0.408+(-0.212772--0.0306))+0-0-0</f>
        <v>578.00982799999997</v>
      </c>
      <c r="Y311" s="3">
        <f>416+(166.1-31)+(-0.42432+(-0.169422--0.03162))+0-0-0</f>
        <v>550.53787799999998</v>
      </c>
      <c r="Z311" s="3">
        <f>417+(145.8-31.2)+(-0.42534+(-0.148716--0.031824))+0-0-0</f>
        <v>531.05776800000001</v>
      </c>
      <c r="AA311" s="3">
        <f>397+(151.3-29)+(-0.40494+(-0.154326--0.02958))+0-0-0</f>
        <v>518.77031399999998</v>
      </c>
      <c r="AB311" s="3">
        <f>388+(136-28)+(-0.19788+(-0.06936--0.01428))+0-0-0</f>
        <v>495.74704000000003</v>
      </c>
      <c r="AC311" s="3">
        <f>370+(132.7-27)+(-0.7548+(-0.270708--0.05508))+0-0-0</f>
        <v>474.72957199999996</v>
      </c>
      <c r="AD311">
        <v>590.6</v>
      </c>
      <c r="AE311" s="3">
        <f>419+(199.6-28)+(0+(0-0))+0-0-0</f>
        <v>590.6</v>
      </c>
    </row>
    <row r="312" spans="1:31" s="2" customFormat="1" x14ac:dyDescent="0.3">
      <c r="A312">
        <v>90</v>
      </c>
      <c r="B312">
        <v>11</v>
      </c>
      <c r="C312">
        <v>6</v>
      </c>
      <c r="D312">
        <v>6</v>
      </c>
      <c r="E312">
        <v>1</v>
      </c>
      <c r="F312" s="3">
        <f>351+(124.7-25.7)+(0+(0-0))+0-0-0</f>
        <v>450</v>
      </c>
      <c r="G312" s="3">
        <f>349+(110.8-28.4)+(-0.17799+(-0.056508--0.014484))+0-0-0</f>
        <v>431.17998599999999</v>
      </c>
      <c r="H312" s="3">
        <f>349+(100.1-31.1)+(0+(0-0))+0-0-0</f>
        <v>418</v>
      </c>
      <c r="I312" s="3">
        <f>350+(99.1-32.6)+(0.5355+(0.151623-0.049878))+0-0-0</f>
        <v>417.13724500000001</v>
      </c>
      <c r="J312" s="3">
        <f>350+(105.8-30.9)+(0+(0-0))+0-0-0</f>
        <v>424.9</v>
      </c>
      <c r="K312" s="3">
        <f>350+(144.7-26)+(1.071+(0.442782-0.07956))+0-0-0</f>
        <v>470.13422199999997</v>
      </c>
      <c r="L312" s="3">
        <f>350+(185.9-28)+(0.1785+(0.094809-0.01428))+0-0-0</f>
        <v>508.15902899999998</v>
      </c>
      <c r="M312" s="3">
        <f>350+(203.7-28)+(0.357+(0.207774-0.02856))+0-0-0</f>
        <v>526.23621400000002</v>
      </c>
      <c r="N312" s="3">
        <f>361+(194.7-29)+(0.73644+(0.397188-0.05916))+0-0-0</f>
        <v>527.77446800000007</v>
      </c>
      <c r="O312" s="3">
        <f>378+(171.6-30)+(0.77112+(0.350064-0.0612))+0-0-0</f>
        <v>520.65998400000001</v>
      </c>
      <c r="P312" s="3">
        <f>376+(169.8-30)+(0.19176+(0.086598-0.0153))+0-0-0</f>
        <v>516.06305799999996</v>
      </c>
      <c r="Q312" s="3">
        <f>374+(162.2-30)+(0+(0-0))+0-0-0</f>
        <v>506.2</v>
      </c>
      <c r="R312" s="3">
        <f>372+(167.4-22)+(-0.9486+(-0.42687--0.0561))+0-0-0</f>
        <v>516.08062999999993</v>
      </c>
      <c r="S312" s="3">
        <f>371+(148.5-22)+(-0.37842+(-0.15147--0.02244))+0-0-0</f>
        <v>496.99254999999999</v>
      </c>
      <c r="T312" s="3">
        <f>372+(133.5-30)+(0.37944+(0.13617-0.0306))+0-0-0</f>
        <v>475.98500999999999</v>
      </c>
      <c r="U312" s="3">
        <f>372+(133.7-30)+(0+(0-0))+0-0-0</f>
        <v>475.7</v>
      </c>
      <c r="V312" s="3">
        <f>377+(154.9-30)+(0.38454+(0.157998-0.0306))+0-0-0</f>
        <v>502.41193799999996</v>
      </c>
      <c r="W312" s="3">
        <f>380+(209.4-30)+(0.5814+(0.320382-0.0459))+0-0-0</f>
        <v>560.25588199999993</v>
      </c>
      <c r="X312" s="3">
        <f>381+(223.5-31)+(-0.19431+(-0.113985--0.01581))+0-0-0</f>
        <v>573.20751499999994</v>
      </c>
      <c r="Y312" s="3">
        <f>382+(208.7-30)+(-0.38964+(-0.212874--0.0306))+0-0-0</f>
        <v>560.12808600000005</v>
      </c>
      <c r="Z312" s="3">
        <f>383+(183.3-30)+(-0.39066+(-0.186966--0.0306))+0-0-0</f>
        <v>535.75297399999999</v>
      </c>
      <c r="AA312" s="3">
        <f>384+(170.5-29)+(-0.19584+(-0.086955--0.01479))+0-0-0</f>
        <v>525.23199499999998</v>
      </c>
      <c r="AB312" s="3">
        <f>381+(148.2-28)+(-1.55448+(-0.604656--0.11424))+0-0-0</f>
        <v>499.15510399999999</v>
      </c>
      <c r="AC312" s="3">
        <f>382+(117.7-27)+(-0.58446+(-0.180081--0.04131))+0-0-0</f>
        <v>471.97676899999999</v>
      </c>
      <c r="AD312">
        <v>575.6</v>
      </c>
      <c r="AE312" s="3">
        <f>381+(223.6-29)+(0+(0-0))+0-0-0</f>
        <v>575.6</v>
      </c>
    </row>
    <row r="313" spans="1:31" s="2" customFormat="1" x14ac:dyDescent="0.3">
      <c r="A313">
        <v>90</v>
      </c>
      <c r="B313">
        <v>11</v>
      </c>
      <c r="C313">
        <v>7</v>
      </c>
      <c r="D313">
        <v>7</v>
      </c>
      <c r="E313">
        <v>1</v>
      </c>
      <c r="F313" s="3">
        <f>387+(93.7-25.6)+(0.19737+(0.047787-0.013056))+0-0-0</f>
        <v>455.33210100000002</v>
      </c>
      <c r="G313" s="3">
        <f>387+(82.2-28.2)+(-0.19737+(-0.041922--0.014382))+0-0-0</f>
        <v>440.77508999999998</v>
      </c>
      <c r="H313" s="3">
        <f>388+(81.3-36.6)+(0+(0-0))+0-0-0</f>
        <v>432.7</v>
      </c>
      <c r="I313" s="3">
        <f>388+(92-50.2)+(0.39576+(0.09384-0.051204))+0-0-0</f>
        <v>430.23839600000002</v>
      </c>
      <c r="J313" s="3">
        <f>388+(79.8-33.3)+(-0.79152+(-0.162792--0.067932))+0-0-0</f>
        <v>433.61362000000003</v>
      </c>
      <c r="K313" s="3">
        <f>389+(110.3-25)+(-0.59517+(-0.168759--0.03825))+0-0-0</f>
        <v>473.574321</v>
      </c>
      <c r="L313" s="3">
        <f>387+(135.6-27)+(-1.57896+(-0.553248--0.11016))+0-0-0</f>
        <v>493.57795200000004</v>
      </c>
      <c r="M313" s="3">
        <f>390+(147.2-31)+(-0.1989+(-0.075072--0.01581))+0-0-0</f>
        <v>505.94183799999996</v>
      </c>
      <c r="N313" s="3">
        <f>404+(137.4-32)+(0+(0-0))+0-0-0</f>
        <v>509.4</v>
      </c>
      <c r="O313" s="3">
        <f>400+(162.4-31)+(-0.408+(-0.165648--0.03162))+0-0-0</f>
        <v>530.85797200000002</v>
      </c>
      <c r="P313" s="3">
        <f>344+(200.1-31)+(0+(0-0))+0-0-0</f>
        <v>513.1</v>
      </c>
      <c r="Q313" s="3">
        <f>342+(209-32)+(-0.34884+(-0.21318--0.03264))+0-0-0</f>
        <v>518.47062000000005</v>
      </c>
      <c r="R313" s="3">
        <f>339+(206.4-30)+(-0.69156+(-0.421056--0.0612))+0-0-0</f>
        <v>514.34858399999996</v>
      </c>
      <c r="S313" s="3">
        <f>339+(185.2-28)+(-0.34578+(-0.188904--0.02856))+0-0-0</f>
        <v>495.69387599999999</v>
      </c>
      <c r="T313" s="3">
        <f>364+(159.5-26)+(-0.74256+(-0.32538--0.05304))+0-0-0</f>
        <v>496.48509999999999</v>
      </c>
      <c r="U313" s="3">
        <f>366+(130.4-26)+(-0.18666+(-0.066504--0.01326))+0-0-0</f>
        <v>470.16009599999995</v>
      </c>
      <c r="V313" s="3">
        <f>373+(141.2-25)+(-0.57069+(-0.216036--0.03825))+0-0-0</f>
        <v>488.45152400000001</v>
      </c>
      <c r="W313" s="3">
        <f>379+(209.7-27)+(0.19329+(0.106947-0.01377))+0-0-0</f>
        <v>561.98646700000006</v>
      </c>
      <c r="X313" s="3">
        <f>374+(238.3-31)+(-0.38148+(-0.243066--0.03162))+0-0-0</f>
        <v>580.70707399999992</v>
      </c>
      <c r="Y313" s="3">
        <f>374+(227.3-30)+(0+(0-0))+0-0-0</f>
        <v>571.29999999999995</v>
      </c>
      <c r="Z313" s="3">
        <f>373+(207.1-29)+(-0.38046+(-0.211242--0.02958))+0-0-0</f>
        <v>550.53787799999998</v>
      </c>
      <c r="AA313" s="3">
        <f>373+(185.2-28)+(-0.38046+(-0.188904--0.02856))+0-0-0</f>
        <v>529.65919600000007</v>
      </c>
      <c r="AB313" s="3">
        <f>374+(159.1-27)+(-0.19074+(-0.081141--0.01377))+0-0-0</f>
        <v>505.84188900000004</v>
      </c>
      <c r="AC313" s="3">
        <f>373+(127.6-26)+(-0.76092+(-0.260304--0.05304))+0-0-0</f>
        <v>473.63181600000001</v>
      </c>
      <c r="AD313">
        <v>579</v>
      </c>
      <c r="AE313" s="3">
        <f>372+(238-31)+(0+(0-0))+0-0-0</f>
        <v>579</v>
      </c>
    </row>
    <row r="314" spans="1:31" s="2" customFormat="1" x14ac:dyDescent="0.3">
      <c r="A314">
        <v>90</v>
      </c>
      <c r="B314">
        <v>11</v>
      </c>
      <c r="C314">
        <v>8</v>
      </c>
      <c r="D314">
        <v>1</v>
      </c>
      <c r="E314">
        <v>1</v>
      </c>
      <c r="F314" s="3">
        <f>374+(96.6-28.3)+(-0.9537+(-0.24633--0.072165))+0-0-0</f>
        <v>441.17213500000003</v>
      </c>
      <c r="G314" s="3">
        <f>383+(69.7-28.1)+(-0.39066+(-0.071094--0.028662))+0-0-0</f>
        <v>424.16690800000003</v>
      </c>
      <c r="H314" s="3">
        <f>383+(57.2-26)+(-0.78132+(-0.116688--0.05304))+1.2-0-0</f>
        <v>414.55503199999998</v>
      </c>
      <c r="I314" s="3">
        <f>382+(55.7-27.4)+(-0.58446+(-0.085221--0.041922))+0-0-0</f>
        <v>409.67224099999999</v>
      </c>
      <c r="J314" s="3">
        <f>383+(68.6-34.6)+(0.39066+(0.069972-0.035292))+0-0-0</f>
        <v>417.42534000000001</v>
      </c>
      <c r="K314" s="3">
        <f>383+(114.5-29)+(-0.39066+(-0.11679--0.02958))+0-0-0</f>
        <v>468.02213</v>
      </c>
      <c r="L314" s="3">
        <f>384+(167-31)+(0.19584+(0.08517-0.01581))+0-0-0</f>
        <v>520.26520000000005</v>
      </c>
      <c r="M314" s="3">
        <f>384+(168.8-30)+(0.19584+(0.086088-0.0153))+0-0-0</f>
        <v>523.06662799999992</v>
      </c>
      <c r="N314" s="3">
        <f>381+(171.8-30)+(0.38862+(0.175236-0.0306))+0-0-0</f>
        <v>523.33325600000001</v>
      </c>
      <c r="O314" s="3">
        <f>381+(167.4-30)+(-0.19431+(-0.085374--0.0153))+0-0-0</f>
        <v>518.13561600000003</v>
      </c>
      <c r="P314" s="3">
        <f>381+(159-30)+(-0.38862+(-0.16218--0.0306))+0-0-0</f>
        <v>509.47980000000001</v>
      </c>
      <c r="Q314" s="3">
        <f>380+(142.7-28)+(-0.3876+(-0.145554--0.02856))+0-0-0</f>
        <v>494.19540599999999</v>
      </c>
      <c r="R314" s="3">
        <f>376+(154.5-28)+(-1.15056+(-0.47277--0.08568))+0-0-0</f>
        <v>500.96235000000001</v>
      </c>
      <c r="S314" s="3">
        <f>377+(142.5-26)+(-0.57681+(-0.218025--0.03978))+0-0-0</f>
        <v>492.74494499999997</v>
      </c>
      <c r="T314" s="3">
        <f>378+(126.2-23)+(-0.19278+(-0.064362--0.01173))+0-0-0</f>
        <v>480.954588</v>
      </c>
      <c r="U314" s="3">
        <f>377+(124.7-22.1)+(-0.57681+(-0.190791--0.033813))+0-0-0</f>
        <v>478.86621200000002</v>
      </c>
      <c r="V314" s="3">
        <f>377+(124.5-21)+(0.19227+(0.063495-0.01071))+0-0-0</f>
        <v>480.74505499999998</v>
      </c>
      <c r="W314" s="3">
        <f>374+(208.6-28)+(-0.19074+(-0.106386--0.01428))+0-0-0</f>
        <v>554.31715400000007</v>
      </c>
      <c r="X314" s="3">
        <f>374+(224-30)+(0.38148+(0.22848-0.0306))+0-0-0</f>
        <v>568.57935999999995</v>
      </c>
      <c r="Y314" s="3">
        <f>374+(209.1-31)+(-0.9537+(-0.533205--0.07905))+0-0-0</f>
        <v>550.69214499999998</v>
      </c>
      <c r="Z314" s="3">
        <f>373+(189.3-28)+(-0.57069+(-0.289629--0.04284))+0-0-0</f>
        <v>533.48252099999991</v>
      </c>
      <c r="AA314" s="3">
        <f>372+(175.9-27)+(-1.32804+(-0.627963--0.09639))+0-0-0</f>
        <v>519.04038700000001</v>
      </c>
      <c r="AB314" s="3">
        <f>373+(151.7-26)+(-0.76092+(-0.309468--0.05304))+0-0-0</f>
        <v>497.68265199999996</v>
      </c>
      <c r="AC314" s="3">
        <f>368+(120.5-25)+(-0.9384+(-0.307275--0.06375))+0-0-0</f>
        <v>462.31807500000002</v>
      </c>
      <c r="AD314">
        <v>572.9</v>
      </c>
      <c r="AE314" s="3">
        <f>376+(227.9-31)+(0+(0-0))+0-0-0</f>
        <v>572.9</v>
      </c>
    </row>
    <row r="315" spans="1:31" s="2" customFormat="1" x14ac:dyDescent="0.3">
      <c r="A315">
        <v>90</v>
      </c>
      <c r="B315">
        <v>11</v>
      </c>
      <c r="C315">
        <v>9</v>
      </c>
      <c r="D315">
        <v>2</v>
      </c>
      <c r="E315">
        <v>1</v>
      </c>
      <c r="F315" s="3">
        <f>336+(118-25)+(0+(0-0))+0-0-0</f>
        <v>429</v>
      </c>
      <c r="G315" s="3">
        <f>289+(147.6-23)+(-0.73695+(-0.37638--0.05865))+0-0-0</f>
        <v>412.54532</v>
      </c>
      <c r="H315" s="3">
        <f>294+(140.4-22)+(-0.44982+(-0.214812--0.03366))+0-0-0</f>
        <v>411.76902799999999</v>
      </c>
      <c r="I315" s="3">
        <f>302+(132.6-22)+(-0.61608+(-0.270504--0.04488))+0-0-0</f>
        <v>411.75829600000003</v>
      </c>
      <c r="J315" s="3">
        <f>329+(114.7-25)+(0.50337+(0.175491-0.03825))+0-0-0</f>
        <v>419.34061099999997</v>
      </c>
      <c r="K315" s="3">
        <f>339+(158.7-25)+(-0.17289+(-0.080937--0.01275))+0-0-0</f>
        <v>472.45892299999997</v>
      </c>
      <c r="L315" s="3">
        <f>371+(175.6-30)+(0+(0-0))+0-0-0</f>
        <v>516.6</v>
      </c>
      <c r="M315" s="3">
        <f>370+(182.4-30)+(0.1887+(0.093024-0.0153))+0-0-0</f>
        <v>522.66642400000001</v>
      </c>
      <c r="N315" s="3">
        <f>372+(180.7-31)+(-0.56916+(-0.276471--0.04743))+0-0-0</f>
        <v>520.9017990000001</v>
      </c>
      <c r="O315" s="3">
        <f>384+(159.6-31)+(-0.19584+(-0.081396--0.01581))+0-0-0</f>
        <v>512.33857399999999</v>
      </c>
      <c r="P315" s="3">
        <f>392+(134.1-31)+(-0.79968+(-0.273564--0.06324))+0-0-0</f>
        <v>494.08999600000004</v>
      </c>
      <c r="Q315" s="3">
        <f>391+(133.9-31)+(-0.59823+(-0.204867--0.04743))+0-0-0</f>
        <v>493.14433299999996</v>
      </c>
      <c r="R315" s="3">
        <f>385+(143.2-29)+(-1.37445+(-0.511224--0.10353))+0-0-0</f>
        <v>497.41785599999997</v>
      </c>
      <c r="S315" s="3">
        <f>387+(131.9-27)+(-0.59211+(-0.201807--0.04131))+0-0-0</f>
        <v>491.14739299999997</v>
      </c>
      <c r="T315" s="3">
        <f>387+(113.4-26)+(-0.19737+(-0.057834--0.01326))+0-0-0</f>
        <v>474.15805599999999</v>
      </c>
      <c r="U315" s="3">
        <f>394+(110.6-26)+(0.20094+(0.056406-0.01326))+0-0-0</f>
        <v>478.844086</v>
      </c>
      <c r="V315" s="3">
        <f>398+(130.6-28)+(-0.40596+(-0.133212--0.02856))+0-0-0</f>
        <v>500.08938800000004</v>
      </c>
      <c r="W315" s="3">
        <f>407+(184.2-31)+(0+(0-0))+0-0-0</f>
        <v>560.20000000000005</v>
      </c>
      <c r="X315" s="3">
        <f>407+(197.3-30)+(-0.20757+(-0.100623--0.0153))+0-0-0</f>
        <v>574.00710699999991</v>
      </c>
      <c r="Y315" s="3">
        <f>406+(175.9-29)+(-0.62118+(-0.269127--0.04437))+0-0-0</f>
        <v>552.05406299999993</v>
      </c>
      <c r="Z315" s="3">
        <f>405+(147-28)+(-1.03275+(-0.37485--0.0714))+0-0-0</f>
        <v>522.66380000000004</v>
      </c>
      <c r="AA315" s="3">
        <f>393+(130.7-27)+(-0.80172+(-0.266628--0.05508))+0-0-0</f>
        <v>495.68673200000001</v>
      </c>
      <c r="AB315" s="3">
        <f>380+(112.4-27)+(-0.969+(-0.28662--0.06885))+0-0-0</f>
        <v>464.21322999999995</v>
      </c>
      <c r="AC315" s="3">
        <f>356+(107.6-26)+(-0.72624+(-0.219504--0.05304))+0-0-0</f>
        <v>436.70729600000004</v>
      </c>
      <c r="AD315">
        <v>574.29999999999995</v>
      </c>
      <c r="AE315" s="3">
        <f>406+(198.3-30)+(0+(0-0))+0-0-0</f>
        <v>574.29999999999995</v>
      </c>
    </row>
    <row r="316" spans="1:31" s="2" customFormat="1" x14ac:dyDescent="0.3">
      <c r="A316">
        <v>90</v>
      </c>
      <c r="B316">
        <v>11</v>
      </c>
      <c r="C316">
        <v>10</v>
      </c>
      <c r="D316">
        <v>3</v>
      </c>
      <c r="E316">
        <v>1</v>
      </c>
      <c r="F316" s="3">
        <f>351+(79.9-29.8)+(-0.71604+(-0.162996--0.060792))+0-0-0</f>
        <v>400.28175600000003</v>
      </c>
      <c r="G316" s="3">
        <f>351+(67.6-32.5)+(-0.89505+(-0.17238--0.082875))+0-0-0</f>
        <v>385.11544500000002</v>
      </c>
      <c r="H316" s="3">
        <f>292+(108.5-24)+(-0.44676+(-0.166005--0.03672))+0-0-0</f>
        <v>375.92395499999998</v>
      </c>
      <c r="I316" s="3">
        <f>277+(122.3-23)+(-0.14127+(-0.062373--0.01173))+0-0-0</f>
        <v>376.10808700000001</v>
      </c>
      <c r="J316" s="3">
        <f>277+(132.2-26)+(-0.56508+(-0.269688--0.05304))+0-0-0</f>
        <v>382.418272</v>
      </c>
      <c r="K316" s="3">
        <f>337+(124.9-29)+(0+(0-0))+0-0-0</f>
        <v>432.9</v>
      </c>
      <c r="L316" s="3">
        <f>379+(137.1-30)+(-0.38658+(-0.139842--0.0306))+0-0-0</f>
        <v>485.60417800000005</v>
      </c>
      <c r="M316" s="3">
        <f>389+(135.2-30)+(0.59517+(0.206856-0.0459))+0-0-0</f>
        <v>494.95612599999998</v>
      </c>
      <c r="N316" s="3">
        <f>399+(131.9-29)+(0+(0-0))+0-0-0</f>
        <v>501.9</v>
      </c>
      <c r="O316" s="3">
        <f>395+(133.7-29)+(0+(0-0))+0-0-0</f>
        <v>499.7</v>
      </c>
      <c r="P316" s="3">
        <f>391+(134.1-29)+(-0.59823+(-0.205173--0.04437))+0-0-0</f>
        <v>495.34096700000003</v>
      </c>
      <c r="Q316" s="3">
        <f>394+(133.7-30)+(-0.40188+(-0.136374--0.0306))+0-0-0</f>
        <v>497.19234599999999</v>
      </c>
      <c r="R316" s="3">
        <f>398+(133.1-28)+(-0.81192+(-0.271524--0.05712))+0-0-0</f>
        <v>502.07367600000003</v>
      </c>
      <c r="S316" s="3">
        <f>397+(126.4-26)+(-1.01235+(-0.32232--0.0663))+0-0-0</f>
        <v>496.13162999999997</v>
      </c>
      <c r="T316" s="3">
        <f>399+(111.5-24)+(0.40698+(0.11373-0.02448))+0-0-0</f>
        <v>486.99623000000003</v>
      </c>
      <c r="U316" s="3">
        <f>399+(115.3-24)+(0+(0-0))+0-0-0</f>
        <v>490.3</v>
      </c>
      <c r="V316" s="3">
        <f>404+(134.4-25)+(-0.41208+(-0.137088--0.0255))+0-0-0</f>
        <v>512.87633199999993</v>
      </c>
      <c r="W316" s="3">
        <f>407+(179.3-29)+(0.41514+(0.182886-0.02958))+0-0-0</f>
        <v>557.86844599999995</v>
      </c>
      <c r="X316" s="3">
        <f>398+(193.7-32)+(-0.81192+(-0.395148--0.06528))+0-0-0</f>
        <v>558.55821200000003</v>
      </c>
      <c r="Y316" s="3">
        <f>392+(185.1-31)+(-0.79968+(-0.377604--0.06324))+0-0-0</f>
        <v>544.98595599999999</v>
      </c>
      <c r="Z316" s="3">
        <f>392+(162.3-31)+(-0.39984+(-0.165546--0.03162))+0-0-0</f>
        <v>522.76623399999994</v>
      </c>
      <c r="AA316" s="3">
        <f>392+(147.7-30)+(-0.39984+(-0.150654--0.0306))+0-0-0</f>
        <v>509.18010599999997</v>
      </c>
      <c r="AB316" s="3">
        <f>389+(119.9-29)+(-0.59517+(-0.183447--0.04437))+0-0-0</f>
        <v>479.165753</v>
      </c>
      <c r="AC316" s="3">
        <f>384+(100.7-28)+(-0.9792+(-0.256785--0.0714))+0-0-0</f>
        <v>455.535415</v>
      </c>
      <c r="AD316">
        <v>567.4</v>
      </c>
      <c r="AE316" s="3">
        <f>410+(188.4-31)+(0+(0-0))+0-0-0</f>
        <v>567.4</v>
      </c>
    </row>
    <row r="317" spans="1:31" s="2" customFormat="1" x14ac:dyDescent="0.3">
      <c r="A317">
        <v>90</v>
      </c>
      <c r="B317">
        <v>11</v>
      </c>
      <c r="C317">
        <v>11</v>
      </c>
      <c r="D317">
        <v>4</v>
      </c>
      <c r="E317">
        <v>1</v>
      </c>
      <c r="F317" s="3">
        <f>350+(109-30)+(-0.714+(-0.22236--0.0612))+0-0-0</f>
        <v>428.12484000000001</v>
      </c>
      <c r="G317" s="3">
        <f>350+(96.6-31.4)+(-0.5355+(-0.147798--0.048042))+0-0-0</f>
        <v>414.56474399999996</v>
      </c>
      <c r="H317" s="3">
        <f>336+(96.1-24)+(-0.8568+(-0.245055--0.0612))+0-0-0</f>
        <v>407.05934500000001</v>
      </c>
      <c r="I317" s="3">
        <f>321+(106-24)+(-0.16371+(-0.05406--0.01224))+0-0-0</f>
        <v>402.79446999999999</v>
      </c>
      <c r="J317" s="3">
        <f>321+(114.5-27)+(0+(0-0))+0-0-0</f>
        <v>408.5</v>
      </c>
      <c r="K317" s="3">
        <f>321+(167.5-29)+(-0.16371+(-0.085425--0.01479))+0-0-0</f>
        <v>459.26565499999998</v>
      </c>
      <c r="L317" s="3">
        <f>321+(220.1-31)+(-0.32742+(-0.224502--0.03162))+0-0-0</f>
        <v>509.57969800000001</v>
      </c>
      <c r="M317" s="3">
        <f>332+(218.8-31)+(0.33864+(0.223176-0.03162))+0-0-0</f>
        <v>520.330196</v>
      </c>
      <c r="N317" s="3">
        <f>355+(194.3-30)+(0.3621+(0.198186-0.0306))+0-0-0</f>
        <v>519.82968599999992</v>
      </c>
      <c r="O317" s="3">
        <f>354+(190.9-30)+(0.36108+(0.194718-0.0306))+0-0-0</f>
        <v>515.42519800000002</v>
      </c>
      <c r="P317" s="3">
        <f>367+(171.3-30)+(0+(0-0))+0-0-0</f>
        <v>508.3</v>
      </c>
      <c r="Q317" s="3">
        <f>367+(165.8-31)+(0.18717+(0.084558-0.01581))+0-0-0</f>
        <v>502.05591800000002</v>
      </c>
      <c r="R317" s="3">
        <f>362+(170-30)+(-0.55386+(-0.2601--0.0459))+0-0-0</f>
        <v>501.23194000000001</v>
      </c>
      <c r="S317" s="3">
        <f>362+(156.9-28)+(-0.36924+(-0.160038--0.02856))+0-0-0</f>
        <v>490.39928199999997</v>
      </c>
      <c r="T317" s="3">
        <f>362+(149.6-27)+(0.18462+(0.076296-0.01377))+0-0-0</f>
        <v>484.84714600000001</v>
      </c>
      <c r="U317" s="3">
        <f>362+(155.8-27)+(-0.9231+(-0.39729--0.06885))+0-0-0</f>
        <v>489.54846000000003</v>
      </c>
      <c r="V317" s="3">
        <f>371+(166.5-28)+(0+(0-0))+0-0-0</f>
        <v>509.5</v>
      </c>
      <c r="W317" s="3">
        <f>387+(200.4-29)+(-0.39474+(-0.204408--0.02958))+0-0-0</f>
        <v>557.83043199999997</v>
      </c>
      <c r="X317" s="3">
        <f>387+(215.5-31)+(-0.19737+(-0.109905--0.01581))+0-0-0</f>
        <v>571.20853499999998</v>
      </c>
      <c r="Y317" s="3">
        <f>387+(201.4-31)+(-0.59211+(-0.308142--0.04743))+0-0-0</f>
        <v>556.54717800000003</v>
      </c>
      <c r="Z317" s="3">
        <f>387+(178.1-30)+(-0.78948+(-0.363324--0.0612))+0-0-0</f>
        <v>534.00839600000006</v>
      </c>
      <c r="AA317" s="3">
        <f>387+(153.1-29)+(-0.78948+(-0.312324--0.05916))+0-0-0</f>
        <v>510.05735600000003</v>
      </c>
      <c r="AB317" s="3">
        <f>387+(125.1-28)+(-0.59211+(-0.191403--0.04284))+0-0-0</f>
        <v>483.35932700000001</v>
      </c>
      <c r="AC317" s="3">
        <f>353+(126.3-27)+(-0.54009+(-0.193239--0.04131))+0-0-0</f>
        <v>451.607981</v>
      </c>
      <c r="AD317">
        <v>575.20000000000005</v>
      </c>
      <c r="AE317" s="3">
        <f>390+(215.2-30)+(0+(0-0))+0-0-0</f>
        <v>575.20000000000005</v>
      </c>
    </row>
    <row r="318" spans="1:31" s="2" customFormat="1" x14ac:dyDescent="0.3">
      <c r="A318">
        <v>90</v>
      </c>
      <c r="B318">
        <v>11</v>
      </c>
      <c r="C318">
        <v>12</v>
      </c>
      <c r="D318">
        <v>5</v>
      </c>
      <c r="E318">
        <v>1</v>
      </c>
      <c r="F318" s="3">
        <f>351+(106.4-27.9)+(0+(0-0))+0-0-0</f>
        <v>429.5</v>
      </c>
      <c r="G318" s="3">
        <f>288+(149.8-25)+(0+(0-0))+0-0-0</f>
        <v>412.8</v>
      </c>
      <c r="H318" s="3">
        <f>276+(152.2-25)+(0.14076+(0.077622-0.01275))+0-0-0</f>
        <v>403.40563199999997</v>
      </c>
      <c r="I318" s="3">
        <f>276+(149.7-24)+(0+(0-0))+0-0-0</f>
        <v>401.7</v>
      </c>
      <c r="J318" s="3">
        <f>276+(159.1-26)+(0+(0-0))+0-0-0</f>
        <v>409.1</v>
      </c>
      <c r="K318" s="3">
        <f>276+(207.4-28)+(0.28152+(0.211548-0.02856))+0-0-0</f>
        <v>455.864508</v>
      </c>
      <c r="L318" s="3">
        <f>274+(257.9-30)+(-0.27948+(-0.263058--0.0306))+0-0-0</f>
        <v>501.38806199999999</v>
      </c>
      <c r="M318" s="3">
        <f>332+(210.2-30)+(0+(0-0))+0-0-0</f>
        <v>512.20000000000005</v>
      </c>
      <c r="N318" s="3">
        <f>349+(198.8-29)+(0.53397+(0.304164-0.04437))+0-0-0</f>
        <v>519.59376399999996</v>
      </c>
      <c r="O318" s="3">
        <f>377+(166.5-30)+(-0.19227+(-0.084915--0.0153))+0-0-0</f>
        <v>513.23811499999999</v>
      </c>
      <c r="P318" s="3">
        <f>383+(159.4-31)+(0.39066+(0.162588-0.03162))+0-0-0</f>
        <v>511.921628</v>
      </c>
      <c r="Q318" s="3">
        <f>382+(162.4-31)+(-0.77928+(-0.331296--0.06324))+0-0-0</f>
        <v>512.352664</v>
      </c>
      <c r="R318" s="3">
        <f>379+(163.5-31)+(-0.77316+(-0.33354--0.06324))+0-0-0</f>
        <v>510.45654000000002</v>
      </c>
      <c r="S318" s="3">
        <f>379+(148.2-31)+(-0.38658+(-0.151164--0.03162))+0-0-0</f>
        <v>495.69387599999999</v>
      </c>
      <c r="T318" s="3">
        <f>380+(135.7-30)+(-0.3876+(-0.138414--0.0306))+0-0-0</f>
        <v>485.20458600000001</v>
      </c>
      <c r="U318" s="3">
        <f>380+(135.9-29)+(0+(0-0))+0-0-0</f>
        <v>486.9</v>
      </c>
      <c r="V318" s="3">
        <f>386+(141.4-28)+(-0.39372+(-0.144228--0.02856))+0-0-0</f>
        <v>498.89061199999998</v>
      </c>
      <c r="W318" s="3">
        <f>394+(178.5-31)+(0+(0-0))+0-0-0</f>
        <v>541.5</v>
      </c>
      <c r="X318" s="3">
        <f>394+(196.4-31)+(-0.60282+(-0.300492--0.04743))+0-0-0</f>
        <v>558.54411800000003</v>
      </c>
      <c r="Y318" s="3">
        <f>395+(177-30)+(-0.20145+(-0.09027--0.0153))+0-0-0</f>
        <v>541.72357999999997</v>
      </c>
      <c r="Z318" s="3">
        <f>395+(156.6-30)+(-0.4029+(-0.159732--0.0306))+0-0-0</f>
        <v>521.06796800000006</v>
      </c>
      <c r="AA318" s="3">
        <f>395+(139.2-29)+(-0.4029+(-0.141984--0.02958))+0-0-0</f>
        <v>504.68469599999997</v>
      </c>
      <c r="AB318" s="3">
        <f>395+(110.4-28)+(-0.4029+(-0.112608--0.02856))+0-0-0</f>
        <v>476.91305199999999</v>
      </c>
      <c r="AC318" s="3">
        <f>368+(112.1-27)+(-0.56304+(-0.171513--0.04131))+0-0-0</f>
        <v>452.40675700000003</v>
      </c>
      <c r="AD318">
        <v>560.5</v>
      </c>
      <c r="AE318" s="3">
        <f>393+(197.5-30)+(0+(0-0))+0-0-0</f>
        <v>560.5</v>
      </c>
    </row>
    <row r="319" spans="1:31" s="2" customFormat="1" x14ac:dyDescent="0.3">
      <c r="A319">
        <v>90</v>
      </c>
      <c r="B319">
        <v>11</v>
      </c>
      <c r="C319">
        <v>13</v>
      </c>
      <c r="D319">
        <v>6</v>
      </c>
      <c r="E319">
        <v>1</v>
      </c>
      <c r="F319" s="3">
        <f>349+(102.5-29)+(-0.71196+(-0.2091--0.05916))+0-0-0</f>
        <v>421.63810000000001</v>
      </c>
      <c r="G319" s="3">
        <f>348+(87.3-29.9)+(-0.8874+(-0.222615--0.076245))+0-0-0</f>
        <v>404.36622999999997</v>
      </c>
      <c r="H319" s="3">
        <f>350+(78.6-30.9)+(-0.1785+(-0.040086--0.015759))+0-0-0</f>
        <v>397.49717299999998</v>
      </c>
      <c r="I319" s="3">
        <f>341+(80.8-28.1)+(0+(0-0))+0-0-0</f>
        <v>393.7</v>
      </c>
      <c r="J319" s="3">
        <f>298+(126.5-27)+(0+(0-0))+0-0-0</f>
        <v>397.5</v>
      </c>
      <c r="K319" s="3">
        <f>298+(172.7-29)+(-0.15198+(-0.088077--0.01479))+0-0-0</f>
        <v>441.47473300000001</v>
      </c>
      <c r="L319" s="3">
        <f>297+(218.8-32)+(-0.30294+(-0.223176--0.03264))+0-0-0</f>
        <v>483.30652400000002</v>
      </c>
      <c r="M319" s="3">
        <f>327+(212.1-31)+(-0.33354+(-0.216342--0.03162))+0-0-0</f>
        <v>507.58173800000003</v>
      </c>
      <c r="N319" s="3">
        <f>350+(202-31)+(0+(0-0))+0-0-0</f>
        <v>521</v>
      </c>
      <c r="O319" s="3">
        <f>347+(208.2-30)+(0+(0-0))+0-0-0</f>
        <v>525.20000000000005</v>
      </c>
      <c r="P319" s="3">
        <f>346+(205-31)+(0.17646+(0.10455-0.01581))+0-0-0</f>
        <v>520.26520000000005</v>
      </c>
      <c r="Q319" s="3">
        <f>357+(191.6-31)+(-0.91035+(-0.48858--0.07905))+0-0-0</f>
        <v>516.28012000000001</v>
      </c>
      <c r="R319" s="3">
        <f>353+(179.3-30)+(-0.90015+(-0.457215--0.0765))+0-0-0</f>
        <v>501.01913500000001</v>
      </c>
      <c r="S319" s="3">
        <f>353+(155.3-30)+(-0.72012+(-0.316812--0.0612))+0-0-0</f>
        <v>477.32426800000002</v>
      </c>
      <c r="T319" s="3">
        <f>354+(141.8-29)+(-0.36108+(-0.144636--0.02958))+0-0-0</f>
        <v>466.32386400000001</v>
      </c>
      <c r="U319" s="3">
        <f>356+(143.6-27)+(-0.54468+(-0.219708--0.04131))+0-0-0</f>
        <v>471.87692200000004</v>
      </c>
      <c r="V319" s="3">
        <f>370+(158.1-26)+(0.1887+(0.080631-0.01326))+0-0-0</f>
        <v>502.35607100000004</v>
      </c>
      <c r="W319" s="3">
        <f>375+(187.7-28)+(0.19125+(0.095727-0.01428))+0-0-0</f>
        <v>534.97269700000004</v>
      </c>
      <c r="X319" s="3">
        <f>375+(207.1-31)+(-0.3825+(-0.211242--0.03162))+0-0-0</f>
        <v>550.53787799999998</v>
      </c>
      <c r="Y319" s="3">
        <f>374+(189.5-31)+(-0.57222+(-0.289935--0.04743))+0-0-0</f>
        <v>531.68527500000005</v>
      </c>
      <c r="Z319" s="3">
        <f>375+(165.3-30)+(0+(0-0))+0-0-0</f>
        <v>510.3</v>
      </c>
      <c r="AA319" s="3">
        <f>374+(144.3-28)+(-0.19074+(-0.073593--0.01428))+0-0-0</f>
        <v>490.04994700000003</v>
      </c>
      <c r="AB319" s="3">
        <f>375+(120.5-27)+(0.19125+(0.061455-0.01377))+0-0-0</f>
        <v>468.73893500000003</v>
      </c>
      <c r="AC319" s="3">
        <f>367+(101.8-26)+(-0.93585+(-0.25959--0.0663))+0-0-0</f>
        <v>441.67086</v>
      </c>
      <c r="AD319">
        <v>548.9</v>
      </c>
      <c r="AE319" s="3">
        <f>372+(207.9-31)+(0+(0-0))+0-0-0</f>
        <v>548.9</v>
      </c>
    </row>
    <row r="320" spans="1:31" s="2" customFormat="1" x14ac:dyDescent="0.3">
      <c r="A320">
        <v>90</v>
      </c>
      <c r="B320">
        <v>11</v>
      </c>
      <c r="C320">
        <v>14</v>
      </c>
      <c r="D320">
        <v>7</v>
      </c>
      <c r="E320">
        <v>1</v>
      </c>
      <c r="F320" s="3">
        <f>349+(79.5-31.5)+(0+(0-0))+0-0-0</f>
        <v>397</v>
      </c>
      <c r="G320" s="3">
        <f>349+(58.7-32.8)+(0.35598+(0.059874-0.033456))+0-0-0</f>
        <v>375.282398</v>
      </c>
      <c r="H320" s="3">
        <f>348+(47.5-33.1)+(-0.17748+(-0.024225--0.016881))+0-0-0</f>
        <v>362.21517599999999</v>
      </c>
      <c r="I320" s="3">
        <f>319+(64.7-22)+(-0.32538+(-0.065994--0.02244))+0-0-0</f>
        <v>361.33106599999996</v>
      </c>
      <c r="J320" s="3">
        <f>300+(91-25)+(0.306+(0.09282-0.0255))+0-0-0</f>
        <v>366.37331999999998</v>
      </c>
      <c r="K320" s="3">
        <f>323+(103.5-28)+(0.16473+(0.052785-0.01428))+0-0-0</f>
        <v>398.70323500000001</v>
      </c>
      <c r="L320" s="3">
        <f>337+(120.9-31)+(-1.37496+(-0.493272--0.12648))+0-0-0</f>
        <v>425.15824799999996</v>
      </c>
      <c r="M320" s="3">
        <f>277+(193.3-30)+(0+(0-0))+0-0-0</f>
        <v>440.3</v>
      </c>
      <c r="N320" s="3">
        <f>347+(134.7-29)+(-0.17697+(-0.068697--0.01479))+0-0-0</f>
        <v>452.46912299999997</v>
      </c>
      <c r="O320" s="3">
        <f>311+(203.3-29)+(0.15861+(0.103683-0.01479))+0-0-0</f>
        <v>485.54750300000001</v>
      </c>
      <c r="P320" s="3">
        <f>303+(221-28)+(0+(0-0))+0-0-0</f>
        <v>496</v>
      </c>
      <c r="Q320" s="3">
        <f>303+(228.1-29)+(0+(0-0))+0-0-0</f>
        <v>502.1</v>
      </c>
      <c r="R320" s="3">
        <f>317+(207.6-27)+(-0.32334+(-0.211752--0.02754))+0-0-0</f>
        <v>497.09244800000005</v>
      </c>
      <c r="S320" s="3">
        <f>340+(158-25)+(-0.3468+(-0.16116--0.0255))+2.1-0-0</f>
        <v>474.61754000000002</v>
      </c>
      <c r="T320" s="3">
        <f>339+(144.8-23)+(-0.69156+(-0.295392--0.04692))+0-0-0</f>
        <v>459.85996800000004</v>
      </c>
      <c r="U320" s="3">
        <f>340+(132.3-22)+(-0.1734+(-0.067473--0.01122))+0-0-0</f>
        <v>450.07034700000003</v>
      </c>
      <c r="V320" s="3">
        <f>351+(138.6-22)+(0.35802+(0.141372-0.02244))+0-0-0</f>
        <v>468.07695200000001</v>
      </c>
      <c r="W320" s="3">
        <f>355+(194.3-24)+(0+(0-0))+0-0-0</f>
        <v>525.29999999999995</v>
      </c>
      <c r="X320" s="3">
        <f>355+(215.8-25)+(-0.18105+(-0.110058--0.01275))+0-0-0</f>
        <v>545.52164199999993</v>
      </c>
      <c r="Y320" s="3">
        <f>354+(197.1-23)+(-0.18054+(-0.100521--0.01173))+0-0-0</f>
        <v>527.83066900000006</v>
      </c>
      <c r="Z320" s="3">
        <f>355+(180.3-22)+(0+(0-0))+0-0-0</f>
        <v>513.29999999999995</v>
      </c>
      <c r="AA320" s="3">
        <f>354+(161.4-22)+(-0.36108+(-0.164628--0.02244))+0-0-0</f>
        <v>492.89673199999999</v>
      </c>
      <c r="AB320" s="3">
        <f>349+(128.8-22)+(-0.17799+(-0.065688--0.01122))+0-0-0</f>
        <v>455.567542</v>
      </c>
      <c r="AC320" s="3">
        <f>348+(91.8-24.4)+(-0.17748+(-0.046818--0.012444))+0-0-0</f>
        <v>415.18814599999996</v>
      </c>
      <c r="AD320">
        <v>534.6</v>
      </c>
      <c r="AE320" s="3">
        <f>355+(209.6-30)+(0+(0-0))+0-0-0</f>
        <v>534.6</v>
      </c>
    </row>
    <row r="321" spans="1:31" s="2" customFormat="1" x14ac:dyDescent="0.3">
      <c r="A321">
        <v>90</v>
      </c>
      <c r="B321">
        <v>11</v>
      </c>
      <c r="C321">
        <v>15</v>
      </c>
      <c r="D321">
        <v>1</v>
      </c>
      <c r="E321">
        <v>1</v>
      </c>
      <c r="F321" s="3">
        <f>351+(67.5-20.3)+(-0.53703+(-0.103275--0.031059))+0-0-0</f>
        <v>397.590754</v>
      </c>
      <c r="G321" s="3">
        <f>352+(60.3-21.7)+(0.53856+(0.092259-0.033201))+0-0-0</f>
        <v>391.19761800000003</v>
      </c>
      <c r="H321" s="3">
        <f>351+(58.1-21.6)+(-0.53703+(-0.088893--0.033048))+0-0-0</f>
        <v>386.90712500000001</v>
      </c>
      <c r="I321" s="3">
        <f>353+(56.3-26.4)+(0.72012+(0.114852-0.053856))+0-0-0</f>
        <v>383.68111599999997</v>
      </c>
      <c r="J321" s="3">
        <f>351+(58.6-25.3)+(-0.17901+(-0.029886--0.012903))+0-0-0</f>
        <v>384.10400700000002</v>
      </c>
      <c r="K321" s="3">
        <f>351+(96.8-17.3)+(-0.53703+(-0.148104--0.026469))+0-0-0</f>
        <v>429.84133500000002</v>
      </c>
      <c r="L321" s="3">
        <f>353+(154.1-19)+(-0.18003+(-0.078591--0.00969))+0-0-0</f>
        <v>487.851069</v>
      </c>
      <c r="M321" s="3">
        <f>325+(194-18)+(-0.16575+(-0.09894--0.00918))+0-0-0</f>
        <v>500.74448999999998</v>
      </c>
      <c r="N321" s="3">
        <f>334+(190-18)+(0+(0-0))+0-0-0</f>
        <v>506</v>
      </c>
      <c r="O321" s="3">
        <f>365+(161.4-17)+(0.3723+(0.164628-0.01734))+0-0-0</f>
        <v>509.91958799999998</v>
      </c>
      <c r="P321" s="3">
        <f>376+(145.8-18)+(0+(0-0))+0-0-0</f>
        <v>503.8</v>
      </c>
      <c r="Q321" s="3">
        <f>372+(156.2-20)+(0+(0-0))+0-0-0</f>
        <v>508.2</v>
      </c>
      <c r="R321" s="3">
        <f>373+(167.5-24)+(0+(0-0))+0-0-0</f>
        <v>516.5</v>
      </c>
      <c r="S321" s="3">
        <f>372+(159.7-25)+(-0.37944+(-0.162894--0.0255))+0-0-0</f>
        <v>506.18316599999997</v>
      </c>
      <c r="T321" s="3">
        <f>372+(139.3-25)+(-0.37944+(-0.142086--0.0255))+0-0-0</f>
        <v>485.80397400000004</v>
      </c>
      <c r="U321" s="3">
        <f>373+(141.1-24)+(0.19023+(0.071961-0.01224))+0-0-0</f>
        <v>490.34995100000003</v>
      </c>
      <c r="V321" s="3">
        <f>372+(154.9-25)+(-0.18972+(-0.078999--0.01275))+0-0-0</f>
        <v>501.64403099999998</v>
      </c>
      <c r="W321" s="3">
        <f>386+(196.1-28)+(0+(0-0))+0-0-0</f>
        <v>554.1</v>
      </c>
      <c r="X321" s="3">
        <f>394+(206.9-30)+(-0.60282+(-0.316557--0.0459))+0-0-0</f>
        <v>570.026523</v>
      </c>
      <c r="Y321" s="3">
        <f>394+(199.5-29)+(-0.40188+(-0.20349--0.02958))+0-0-0</f>
        <v>563.92421000000002</v>
      </c>
      <c r="Z321" s="3">
        <f>393+(184.5-29)+(-0.80172+(-0.37638--0.05916))+0-0-0</f>
        <v>547.38106000000005</v>
      </c>
      <c r="AA321" s="3">
        <f>394+(152-27)+(0.20094+(0.07752-0.01377))+0-0-0</f>
        <v>519.26468999999997</v>
      </c>
      <c r="AB321" s="3">
        <f>394+(114.9-26)+(0.20094+(0.058599-0.01326))+0-0-0</f>
        <v>483.14627899999999</v>
      </c>
      <c r="AC321" s="3">
        <f>393+(87.8-28.3)+(-0.60129+(-0.134334--0.043299))+0-0-0</f>
        <v>451.80767500000002</v>
      </c>
      <c r="AD321">
        <v>563.6</v>
      </c>
      <c r="AE321" s="3">
        <f>390+(204.6-31)+(0+(0-0))+0-0-0</f>
        <v>563.6</v>
      </c>
    </row>
    <row r="322" spans="1:31" s="2" customFormat="1" x14ac:dyDescent="0.3">
      <c r="A322">
        <v>90</v>
      </c>
      <c r="B322">
        <v>11</v>
      </c>
      <c r="C322">
        <v>16</v>
      </c>
      <c r="D322">
        <v>2</v>
      </c>
      <c r="E322">
        <v>1</v>
      </c>
      <c r="F322" s="3">
        <f>381+(89.9-28.2)+(-0.38862+(-0.091698--0.028764))+0-0-0</f>
        <v>442.248446</v>
      </c>
      <c r="G322" s="3">
        <f>356+(92.4-27.4)+(-0.54468+(-0.141372--0.041922))+0-0-0</f>
        <v>420.35586999999998</v>
      </c>
      <c r="H322" s="3">
        <f>357+(83.9-28.6)+(0+(0-0))+0.9-0-0</f>
        <v>413.2</v>
      </c>
      <c r="I322" s="3">
        <f>347+(90.9-22.5)+(0+(0-0))+0-0-0</f>
        <v>415.4</v>
      </c>
      <c r="J322" s="3">
        <f>317+(117.7-23)+(-0.16167+(-0.060027--0.01173))+0-0-0</f>
        <v>411.49003299999998</v>
      </c>
      <c r="K322" s="3">
        <f>317+(174.9-27)+(0.16167+(0.089199-0.01377))+0-0-0</f>
        <v>465.13709899999998</v>
      </c>
      <c r="L322" s="3">
        <f>317+(234.9-30)+(0+(0-0))+0-0-0</f>
        <v>521.9</v>
      </c>
      <c r="M322" s="3">
        <f>317+(242.5-30)+(-0.32334+(-0.24735--0.0306))+0-0-0</f>
        <v>528.95991000000004</v>
      </c>
      <c r="N322" s="3">
        <f>320+(247.9-29)+(0.3264+(0.252858-0.02958))+0-0-0</f>
        <v>539.44967799999995</v>
      </c>
      <c r="O322" s="3">
        <f>375+(199.9-28)+(-0.19125+(-0.101949--0.01428))+0-0-0</f>
        <v>546.621081</v>
      </c>
      <c r="P322" s="3">
        <f>379+(196.2-28)+(-0.19329+(-0.100062--0.01428))+0-0-0</f>
        <v>546.920928</v>
      </c>
      <c r="Q322" s="3">
        <f>389+(183.6-29)+(-0.79356+(-0.374544--0.05916))+0-0-0</f>
        <v>542.49105600000007</v>
      </c>
      <c r="R322" s="3">
        <f>399+(185.7-28)+(-1.01745+(-0.473535--0.0714))+0-0-0</f>
        <v>555.28041500000006</v>
      </c>
      <c r="S322" s="3">
        <f>402+(170.7-27)+(0+(0-0))+0-0-0</f>
        <v>545.70000000000005</v>
      </c>
      <c r="T322" s="3">
        <f>397+(154-26)+(0+(0-0))+0-0-0</f>
        <v>525</v>
      </c>
      <c r="U322" s="3">
        <f>395+(155.6-25)+(0.20145+(0.079356-0.01275))+0-0-0</f>
        <v>525.86805600000002</v>
      </c>
      <c r="V322" s="3">
        <f>395+(171.9-27)+(-0.8058+(-0.350676--0.05508))+0-0-0</f>
        <v>538.79860399999995</v>
      </c>
      <c r="W322" s="3">
        <f>395+(219-31)+(0+(0-0))+0-0-0</f>
        <v>583</v>
      </c>
      <c r="X322" s="3">
        <f>398+(227.2-30)+(-0.40596+(-0.231744--0.0306))+0-0-0</f>
        <v>594.592896</v>
      </c>
      <c r="Y322" s="3">
        <f>399+(214.9-29)+(-1.01745+(-0.547995--0.07395))+0-0-0</f>
        <v>583.40850499999999</v>
      </c>
      <c r="Z322" s="3">
        <f>399+(184.4-28)+(-0.61047+(-0.282132--0.04284))+0-0-0</f>
        <v>554.55023799999992</v>
      </c>
      <c r="AA322" s="3">
        <f>400+(149.2-28)+(-0.204+(-0.076092--0.01428))+0-0-0</f>
        <v>520.93418800000006</v>
      </c>
      <c r="AB322" s="3">
        <f>399+(121.1-26)+(-0.40698+(-0.123522--0.02652))+0-0-0</f>
        <v>493.59601800000002</v>
      </c>
      <c r="AC322" s="3">
        <f>385+(111-26.1)+(-0.3927+(-0.11322--0.026622))+0-0-0</f>
        <v>469.42070200000001</v>
      </c>
      <c r="AD322">
        <v>595.29999999999995</v>
      </c>
      <c r="AE322" s="3">
        <f>400+(226.3-31)+(0+(0-0))+0-0-0</f>
        <v>595.29999999999995</v>
      </c>
    </row>
    <row r="323" spans="1:31" s="2" customFormat="1" x14ac:dyDescent="0.3">
      <c r="A323">
        <v>90</v>
      </c>
      <c r="B323">
        <v>11</v>
      </c>
      <c r="C323">
        <v>17</v>
      </c>
      <c r="D323">
        <v>3</v>
      </c>
      <c r="E323">
        <v>1</v>
      </c>
      <c r="F323" s="3">
        <f>366+(118.7-26.5)+(-0.9333+(-0.302685--0.067575))+0-0-0</f>
        <v>457.03158999999999</v>
      </c>
      <c r="G323" s="3">
        <f>366+(100.8-28.2)+(-0.37332+(-0.102816--0.028764))+0-0-0</f>
        <v>438.15262800000005</v>
      </c>
      <c r="H323" s="3">
        <f>366+(92-28.7)+(-0.55998+(-0.14076--0.043911))+0-0-0</f>
        <v>428.643171</v>
      </c>
      <c r="I323" s="3">
        <f>366+(91.1-29.5)+(0.37332+(0.092922-0.03009))+0-0-0</f>
        <v>428.03615200000002</v>
      </c>
      <c r="J323" s="3">
        <f>366+(98.8-28.5)+(-0.55998+(-0.151164--0.043605))+0-0-0</f>
        <v>435.63246100000003</v>
      </c>
      <c r="K323" s="3">
        <f>331+(180.3-28)+(0.16881+(0.091953-0.01428))+0-0-0</f>
        <v>483.54648300000002</v>
      </c>
      <c r="L323" s="3">
        <f>357+(202.3-30)+(-0.36414+(-0.206346--0.0306))+0-0-0</f>
        <v>528.76011399999993</v>
      </c>
      <c r="M323" s="3">
        <f>352+(204.2-30)+(-0.53856+(-0.312426--0.0459))+0-0-0</f>
        <v>525.39491400000009</v>
      </c>
      <c r="N323" s="3">
        <f>353+(218.1-29)+(0.54009+(0.333693-0.04437))+0-0-0</f>
        <v>542.92941300000007</v>
      </c>
      <c r="O323" s="3">
        <f>365+(209.7-28)+(0.18615+(0.106947-0.01428))+0-0-0</f>
        <v>546.97881700000005</v>
      </c>
      <c r="P323" s="3">
        <f>372+(190.6-28)+(0.18972+(0.097206-0.01428))+0-0-0</f>
        <v>534.87264600000003</v>
      </c>
      <c r="Q323" s="3">
        <f>372+(190.4-28)+(-0.18972+(-0.097104--0.01428))+0-0-0</f>
        <v>534.12745599999994</v>
      </c>
      <c r="R323" s="3">
        <f>370+(198.2-27)+(0+(0-0))+0-0-0</f>
        <v>541.20000000000005</v>
      </c>
      <c r="S323" s="3">
        <f>369+(197.4-26)+(-0.56457+(-0.302022--0.03978))+0-0-0</f>
        <v>539.57318799999996</v>
      </c>
      <c r="T323" s="3">
        <f>370+(177.8-25)+(-0.1887+(-0.090678--0.01275))+0-0-0</f>
        <v>522.53337199999999</v>
      </c>
      <c r="U323" s="3">
        <f>371+(187-25)+(-0.37842+(-0.19074--0.0255))+0-0-0</f>
        <v>532.45633999999995</v>
      </c>
      <c r="V323" s="3">
        <f>371+(201.6-26)+(0.37842+(0.205632-0.02652))+0-0-0</f>
        <v>547.15753200000006</v>
      </c>
      <c r="W323" s="3">
        <f>395+(240.3-29)+(0.60435+(0.367659-0.04437))+0-0-0</f>
        <v>607.22763899999995</v>
      </c>
      <c r="X323" s="3">
        <f>401+(252.8-30)+(0+(0-0))+0-0-0</f>
        <v>623.79999999999995</v>
      </c>
      <c r="Y323" s="3">
        <f>400+(233.8-30)+(-0.612+(-0.357714--0.0459))+0-0-0</f>
        <v>602.87618599999996</v>
      </c>
      <c r="Z323" s="3">
        <f>398+(213.2-29)+(-0.20298+(-0.108732--0.01479))+0-0-0</f>
        <v>581.90307800000005</v>
      </c>
      <c r="AA323" s="3">
        <f>395+(189.4-27)+(-0.20145+(-0.096594--0.01377))+0-0-0</f>
        <v>557.115726</v>
      </c>
      <c r="AB323" s="3">
        <f>394+(160.9-25)+(-0.60282+(-0.246177--0.03825))+0-0-0</f>
        <v>529.08925299999999</v>
      </c>
      <c r="AC323" s="3">
        <f>362+(163.5-25)+(-0.55386+(-0.250155--0.03825))+0-0-0</f>
        <v>499.73423500000001</v>
      </c>
      <c r="AD323">
        <v>626.20000000000005</v>
      </c>
      <c r="AE323" s="3">
        <f>404+(253.2-31)+(0+(0-0))+0-0-0</f>
        <v>626.20000000000005</v>
      </c>
    </row>
    <row r="324" spans="1:31" s="2" customFormat="1" x14ac:dyDescent="0.3">
      <c r="A324">
        <v>90</v>
      </c>
      <c r="B324">
        <v>11</v>
      </c>
      <c r="C324">
        <v>18</v>
      </c>
      <c r="D324">
        <v>4</v>
      </c>
      <c r="E324">
        <v>1</v>
      </c>
      <c r="F324" s="3">
        <f>358+(132.8-24)+(0+(0-0))+0-0-0</f>
        <v>466.8</v>
      </c>
      <c r="G324" s="3">
        <f>357+(118.1-24.7)+(-0.18207+(-0.060231--0.012597))+0-0-0</f>
        <v>450.17029599999995</v>
      </c>
      <c r="H324" s="3">
        <f>358+(108.7-26.9)+(0.54774+(0.166311-0.041157))+0-0-0</f>
        <v>440.472894</v>
      </c>
      <c r="I324" s="3">
        <f>357+(109.3-27.7)+(-0.54621+(-0.167229--0.042381))+0-0-0</f>
        <v>437.92894200000001</v>
      </c>
      <c r="J324" s="3">
        <f>358+(116.5-28.3)+(0.18258+(0.059415-0.014433))+0-0-0</f>
        <v>446.42756199999997</v>
      </c>
      <c r="K324" s="3">
        <f>358+(168.5-29)+(0.18258+(0.085935-0.01479))+0-0-0</f>
        <v>497.75372499999997</v>
      </c>
      <c r="L324" s="3">
        <f>356+(215.5-30)+(-0.54468+(-0.329715--0.0459))+0-0-0</f>
        <v>540.67150500000002</v>
      </c>
      <c r="M324" s="3">
        <f>353+(215.8-31)+(0.18003+(0.110058-0.01581))+0-0-0</f>
        <v>538.07427799999994</v>
      </c>
      <c r="N324" s="3">
        <f>387+(188.7-31)+(0.39474+(0.192474-0.03162))+0-0-0</f>
        <v>545.25559400000009</v>
      </c>
      <c r="O324" s="3">
        <f>429+(140.1-28.4)+(0.43758+(0.142902-0.028968))+0-0-0</f>
        <v>541.25151400000004</v>
      </c>
      <c r="P324" s="3">
        <f>429+(115.4-6.3)+(-0.21879+(-0.058854--0.003213))+0-0-0</f>
        <v>537.82556899999997</v>
      </c>
      <c r="Q324" s="3">
        <f>428+(130.6-25)+(-0.43656+(-0.133212--0.0255))+0-0-0</f>
        <v>533.05572800000004</v>
      </c>
      <c r="R324" s="3">
        <f>423+(146.1-28)+(-1.07865+(-0.372555--0.0714))+0-0-0</f>
        <v>539.72019499999999</v>
      </c>
      <c r="S324" s="3">
        <f>424+(141.9-29)+(0+(0-0))+0-0-0</f>
        <v>536.9</v>
      </c>
      <c r="T324" s="3">
        <f>424+(126.8-30)+(0.21624+(0.064668-0.0153))+0-0-0</f>
        <v>521.065608</v>
      </c>
      <c r="U324" s="3">
        <f>423+(130.4-34.9)+(-0.21573+(-0.066504--0.017799))+0-0-0</f>
        <v>518.23556499999995</v>
      </c>
      <c r="V324" s="3">
        <f>438+(145.7-34.2)+(0.44676+(0.148614-0.034884))+0-0-0</f>
        <v>550.06048999999996</v>
      </c>
      <c r="W324" s="3">
        <f>441+(202.9-32)+(0.44982+(0.206958-0.03264))+0-0-0</f>
        <v>612.52413799999999</v>
      </c>
      <c r="X324" s="3">
        <f>446+(221.9-32)+(0.22746+(0.113169-0.01632))+0-0-0</f>
        <v>636.22430899999995</v>
      </c>
      <c r="Y324" s="3">
        <f>445+(206.5-31)+(-0.9078+(-0.42126--0.06324))+0-0-0</f>
        <v>619.23418000000004</v>
      </c>
      <c r="Z324" s="3">
        <f>444+(182.3-31)+(-1.1322+(-0.464865--0.07905))+0-0-0</f>
        <v>593.78198499999996</v>
      </c>
      <c r="AA324" s="3">
        <f>412+(176.5-30)+(-0.21012+(-0.090015--0.0153))+0-0-0</f>
        <v>558.21516499999996</v>
      </c>
      <c r="AB324" s="3">
        <f>396+(141-29)+(0+(0-0))+0-0-0</f>
        <v>508</v>
      </c>
      <c r="AC324" s="3">
        <f>396+(109.6-27)+(-0.40392+(-0.111792--0.02754))+0-0-0</f>
        <v>478.111828</v>
      </c>
      <c r="AD324">
        <v>631.29999999999995</v>
      </c>
      <c r="AE324" s="3">
        <f>443+(220.3-32)+(0+(0-0))+0-0-0</f>
        <v>631.29999999999995</v>
      </c>
    </row>
    <row r="325" spans="1:31" s="2" customFormat="1" x14ac:dyDescent="0.3">
      <c r="A325">
        <v>90</v>
      </c>
      <c r="B325">
        <v>11</v>
      </c>
      <c r="C325">
        <v>19</v>
      </c>
      <c r="D325">
        <v>5</v>
      </c>
      <c r="E325">
        <v>1</v>
      </c>
      <c r="F325" s="3">
        <f>368+(115.5-19.8)+(0+(0-0))+0-0-0</f>
        <v>463.7</v>
      </c>
      <c r="G325" s="3">
        <f>362+(106.5-17.8)+(0+(0-0))+0-0-0</f>
        <v>450.7</v>
      </c>
      <c r="H325" s="3">
        <f>328+(127.2-14)+(0+(0-0))+0-0-0</f>
        <v>441.2</v>
      </c>
      <c r="I325" s="3">
        <f>327+(125.8-14)+(-0.50031+(-0.192474--0.02142))+0-0-0</f>
        <v>438.12863600000003</v>
      </c>
      <c r="J325" s="3">
        <f>328+(135.5-15)+(0.33456+(0.13821-0.0153))+0-0-0</f>
        <v>448.95747</v>
      </c>
      <c r="K325" s="3">
        <f>328+(193.9-27)+(0.33456+(0.197778-0.02754))+0-0-0</f>
        <v>495.40479799999997</v>
      </c>
      <c r="L325" s="3">
        <f>365+(210.9-28)+(0+(0-0))+0-0-0</f>
        <v>547.9</v>
      </c>
      <c r="M325" s="3">
        <f>368+(222.7-29)+(0+(0-0))+0-0-0</f>
        <v>561.70000000000005</v>
      </c>
      <c r="N325" s="3">
        <f>392+(202.9-28)+(-0.19992+(-0.103479--0.01428))+0-0-0</f>
        <v>566.61088099999995</v>
      </c>
      <c r="O325" s="3">
        <f>398+(180.6-26)+(-0.20298+(-0.092106--0.01326))+0-0-0</f>
        <v>552.318174</v>
      </c>
      <c r="P325" s="3">
        <f>395+(175.5-25)+(-0.20145+(-0.089505--0.01275))+0-0-0</f>
        <v>545.22179500000004</v>
      </c>
      <c r="Q325" s="3">
        <f>394+(167.7-26)+(-0.40188+(-0.171054--0.02652))+0-0-0</f>
        <v>535.15358600000002</v>
      </c>
      <c r="R325" s="3">
        <f>392+(173.6-27)+(-0.59976+(-0.265608--0.04131))+0-0-0</f>
        <v>537.77594199999999</v>
      </c>
      <c r="S325" s="3">
        <f>388+(178.4-29)+(-0.59364+(-0.272952--0.04437))+0-0-0</f>
        <v>536.57777799999997</v>
      </c>
      <c r="T325" s="3">
        <f>388+(158.1-30)+(0+(0-0))+0-0-0</f>
        <v>516.1</v>
      </c>
      <c r="U325" s="3">
        <f>388+(155.1-30)+(0.39576+(0.158202-0.0306))+0-0-0</f>
        <v>513.62336200000004</v>
      </c>
      <c r="V325" s="3">
        <f>389+(171.8-30)+(0.19839+(0.087618-0.0153))+0-0-0</f>
        <v>531.07070799999997</v>
      </c>
      <c r="W325" s="3">
        <f>398+(220.6-28)+(0.40596+(0.225012-0.02856))+0-0-0</f>
        <v>591.20241199999998</v>
      </c>
      <c r="X325" s="3">
        <f>412+(228.4-30)+(-1.0506+(-0.58242--0.0765))+0-0-0</f>
        <v>608.84348</v>
      </c>
      <c r="Y325" s="3">
        <f>414+(214.1-31)+(-0.63342+(-0.327573--0.04743))+0-0-0</f>
        <v>596.18643700000007</v>
      </c>
      <c r="Z325" s="3">
        <f>416+(189.5-32)+(-0.21216+(-0.096645--0.01632))+0-0-0</f>
        <v>573.20751499999994</v>
      </c>
      <c r="AA325" s="3">
        <f>403+(174-31)+(0.20553+(0.08874-0.01581))+0-0-0</f>
        <v>546.27846</v>
      </c>
      <c r="AB325" s="3">
        <f>400+(145.8-29)+(0.204+(0.074358-0.01479))+0-0-0</f>
        <v>517.06356799999992</v>
      </c>
      <c r="AC325" s="3">
        <f>403+(107.5-29)+(0+(0-0))+0-0-0</f>
        <v>481.5</v>
      </c>
      <c r="AD325">
        <v>613.29999999999995</v>
      </c>
      <c r="AE325" s="3">
        <f>418+(223.3-28)+(0+(0-0))+0-0-0</f>
        <v>613.29999999999995</v>
      </c>
    </row>
    <row r="326" spans="1:31" s="2" customFormat="1" x14ac:dyDescent="0.3">
      <c r="A326">
        <v>90</v>
      </c>
      <c r="B326">
        <v>11</v>
      </c>
      <c r="C326">
        <v>20</v>
      </c>
      <c r="D326">
        <v>6</v>
      </c>
      <c r="E326">
        <v>1</v>
      </c>
      <c r="F326" s="3">
        <f>370+(118.3-28.1)+(-0.9435+(-0.301665--0.071655))+0-0-0</f>
        <v>459.02648999999997</v>
      </c>
      <c r="G326" s="3">
        <f>366+(105.8-30.5)+(-0.37332+(-0.107916--0.03111))+0-0-0</f>
        <v>440.849874</v>
      </c>
      <c r="H326" s="3">
        <f>363+(100.2-28.7)+(-1.11078+(-0.306612--0.087822))+0-0-0</f>
        <v>433.17043000000001</v>
      </c>
      <c r="I326" s="3">
        <f>299+(153.5-22)+(0.30498+(0.15657-0.02244))+0-0-0</f>
        <v>430.93911000000003</v>
      </c>
      <c r="J326" s="3">
        <f>316+(142.9-22)+(-0.16116+(-0.072879--0.01122))+0-0-0</f>
        <v>436.67718099999996</v>
      </c>
      <c r="K326" s="3">
        <f>316+(187.6-27)+(0.48348+(0.287028-0.04131))+0-0-0</f>
        <v>477.32919800000002</v>
      </c>
      <c r="L326" s="3">
        <f>359+(189.4-32)+(0.36618+(0.193188-0.03264))+0-0-0</f>
        <v>516.92672800000003</v>
      </c>
      <c r="M326" s="3">
        <f>363+(203.6-32)+(0.37026+(0.207672-0.03264))+0-0-0</f>
        <v>535.14529200000004</v>
      </c>
      <c r="N326" s="3">
        <f>368+(204.2-32)+(0.18768+(0.104142-0.01632))+0-0-0</f>
        <v>540.47550200000001</v>
      </c>
      <c r="O326" s="3">
        <f>402+(165.8-29)+(0.20502+(0.084558-0.01479))+0-0-0</f>
        <v>539.0747879999999</v>
      </c>
      <c r="P326" s="3">
        <f>412+(143.5-28)+(0.21012+(0.073185-0.01428))+0-0-0</f>
        <v>527.76902500000006</v>
      </c>
      <c r="Q326" s="3">
        <f>415+(131.5-28)+(0+(0-0))+0-0-0</f>
        <v>518.5</v>
      </c>
      <c r="R326" s="3">
        <f>413+(128.7-30)+(-0.63189+(-0.196911--0.0459))+0-0-0</f>
        <v>510.91709900000001</v>
      </c>
      <c r="S326" s="3">
        <f>414+(117.9-31)+(0+(0-0))+0-0-0</f>
        <v>500.9</v>
      </c>
      <c r="T326" s="3">
        <f>415+(102.2-30)+(0+(0-0))+0-0-0</f>
        <v>487.2</v>
      </c>
      <c r="U326" s="3">
        <f>416+(100.6-31)+(-0.42432+(-0.102612--0.03162))+0-0-0</f>
        <v>485.10468800000001</v>
      </c>
      <c r="V326" s="3">
        <f>405+(129.3-31)+(-0.4131+(-0.131886--0.03162))+0-0-0</f>
        <v>502.78663399999999</v>
      </c>
      <c r="W326" s="3">
        <f>381+(199-32)+(-0.19431+(-0.10149--0.01632))+0-0-0</f>
        <v>547.72051999999996</v>
      </c>
      <c r="X326" s="3">
        <f>381+(225.7-32)+(-0.38862+(-0.230214--0.03264))+0-0-0</f>
        <v>574.11380600000007</v>
      </c>
      <c r="Y326" s="3">
        <f>381+(211.1-31)+(-0.77724+(-0.430644--0.06324))+0-0-0</f>
        <v>559.95535600000005</v>
      </c>
      <c r="Z326" s="3">
        <f>380+(188.4-31)+(-0.969+(-0.48042--0.07905))+0-0-0</f>
        <v>536.02963</v>
      </c>
      <c r="AA326" s="3">
        <f>381+(165.6-30)+(-0.19431+(-0.084456--0.0153))+0-0-0</f>
        <v>516.33653400000003</v>
      </c>
      <c r="AB326" s="3">
        <f>376+(148.8-30)+(0.19176+(0.075888-0.0153))+0-0-0</f>
        <v>495.05234799999999</v>
      </c>
      <c r="AC326" s="3">
        <f>364+(129.8-28)+(-0.18564+(-0.066198--0.01428))+0-0-0</f>
        <v>465.56244200000003</v>
      </c>
      <c r="AD326">
        <v>574.6</v>
      </c>
      <c r="AE326" s="3">
        <f>382+(224.6-32)+(0+(0-0))+0-0-0</f>
        <v>574.6</v>
      </c>
    </row>
    <row r="327" spans="1:31" s="2" customFormat="1" x14ac:dyDescent="0.3">
      <c r="A327">
        <v>90</v>
      </c>
      <c r="B327">
        <v>11</v>
      </c>
      <c r="C327">
        <v>21</v>
      </c>
      <c r="D327">
        <v>7</v>
      </c>
      <c r="E327">
        <v>3</v>
      </c>
      <c r="F327" s="3">
        <f>362+(104.7-27)+(-0.55386+(-0.160191--0.04131))+0-0-0</f>
        <v>439.02725900000002</v>
      </c>
      <c r="G327" s="3">
        <f>338+(108-25)+(0.17238+(0.05508-0.01275))+0-0-0</f>
        <v>421.21471000000003</v>
      </c>
      <c r="H327" s="3">
        <f>327+(108.1-23)+(-0.33354+(-0.110262--0.02346))+0-0-0</f>
        <v>411.67965800000002</v>
      </c>
      <c r="I327" s="3">
        <f>328+(103.1-22)+(0.16728+(0.052581-0.01122))+0-0-0</f>
        <v>409.30864100000002</v>
      </c>
      <c r="J327" s="3">
        <f>328+(113.8-22)+(-0.33456+(-0.116076--0.02244))+0-0-0</f>
        <v>419.371804</v>
      </c>
      <c r="K327" s="3">
        <f>328+(159.3-28)+(0.33456+(0.162486-0.02856))+0-0-0</f>
        <v>459.768486</v>
      </c>
      <c r="L327" s="3">
        <f>288+(186.8-23)+(-0.14688+(-0.095268--0.01173))+0-0-0</f>
        <v>451.56958200000003</v>
      </c>
      <c r="M327" s="3">
        <f>285+(188.3-33)+(0+(0-0))+0-0-0</f>
        <v>440.3</v>
      </c>
      <c r="N327" s="3">
        <f>397+(132-33)+(0.40494+(0.13464-0.03366))+0-0-0</f>
        <v>496.50592</v>
      </c>
      <c r="O327" s="3">
        <f>427+(119.3-37.6)+(0+(0-0))+0-0-0</f>
        <v>508.7</v>
      </c>
      <c r="P327" s="3">
        <f>427+(119.8-36)+(0+(0-0))+0-0-0</f>
        <v>510.8</v>
      </c>
      <c r="Q327" s="3">
        <f>427+(120.1-36)+(0.65331+(0.183753-0.05508))+0-0-0</f>
        <v>511.88198300000005</v>
      </c>
      <c r="R327" s="3">
        <f>414+(122.5-32.3)+(-0.84456+(-0.2499--0.065892))+0-0-0</f>
        <v>503.17143199999998</v>
      </c>
      <c r="S327" s="3">
        <f>414+(112.3-33.2)+(-0.21114+(-0.057273--0.016932))+0-0-0</f>
        <v>492.84851900000001</v>
      </c>
      <c r="T327" s="3">
        <f>415+(98.5-37.4)+(0+(0-0))+0-0-0</f>
        <v>476.1</v>
      </c>
      <c r="U327" s="3">
        <f>423+(97.8-36.6)+(-0.64719+(-0.149634--0.055998))+0-0-0</f>
        <v>483.45917399999996</v>
      </c>
      <c r="V327" s="3">
        <f>426+(105.8-34)+(-0.21726+(-0.053958--0.01734))+0-0-0</f>
        <v>497.54612200000003</v>
      </c>
      <c r="W327" s="3">
        <f>430+(145.7-28)+(-0.4386+(-0.148614--0.02856))+0-0-0</f>
        <v>547.141346</v>
      </c>
      <c r="X327" s="3">
        <f>431+(166.4-32)+(-0.21981+(-0.084864--0.01632))+0-0-0</f>
        <v>565.11164599999995</v>
      </c>
      <c r="Y327" s="3">
        <f>430+(151.2-32)+(-0.6579+(-0.231336--0.04896))+0-0-0</f>
        <v>548.35972400000003</v>
      </c>
      <c r="Z327" s="3">
        <f>430+(128.4-30)+(-0.4386+(-0.130968--0.0306))+0-0-0</f>
        <v>527.86103200000002</v>
      </c>
      <c r="AA327" s="3">
        <f>430+(105.2-33)+(-0.8772+(-0.214608--0.06732))+0-0-0</f>
        <v>501.17551199999997</v>
      </c>
      <c r="AB327" s="3">
        <f>416+(91.1-30.2)+(-0.21216+(-0.046461--0.015402))+0-0-0</f>
        <v>476.65678099999997</v>
      </c>
      <c r="AC327" s="3">
        <f>345+(132.5-27)+(0.3519+(0.13515-0.02754))+0-0-0</f>
        <v>450.95951000000002</v>
      </c>
      <c r="AD327">
        <v>560.79999999999995</v>
      </c>
      <c r="AE327" s="3">
        <f>431+(162.8-33)+(0+(0-0))+0-0-0</f>
        <v>560.79999999999995</v>
      </c>
    </row>
    <row r="328" spans="1:31" s="2" customFormat="1" x14ac:dyDescent="0.3">
      <c r="A328">
        <v>90</v>
      </c>
      <c r="B328">
        <v>11</v>
      </c>
      <c r="C328">
        <v>22</v>
      </c>
      <c r="D328">
        <v>1</v>
      </c>
      <c r="E328">
        <v>2</v>
      </c>
      <c r="F328" s="3">
        <f>325+(121.5-27)+(-0.663+(-0.24786--0.05508))+0-0-0</f>
        <v>418.64422000000002</v>
      </c>
      <c r="G328" s="3">
        <f>325+(102.6-27)+(-0.3315+(-0.104652--0.02754))+0-0-0</f>
        <v>400.19138800000002</v>
      </c>
      <c r="H328" s="3">
        <f>303+(116.4-25)+(-0.61812+(-0.237456--0.051))+0-0-0</f>
        <v>393.59542399999998</v>
      </c>
      <c r="I328" s="3">
        <f>303+(138.8-22)+(0.15453+(0.070788-0.01122))+0-0-0</f>
        <v>420.01409799999999</v>
      </c>
      <c r="J328" s="3">
        <f>281+(148.9-22)+(-0.42993+(-0.227817--0.03366))+0-0-0</f>
        <v>407.275913</v>
      </c>
      <c r="K328" s="3">
        <f>281+(194-29)+(0.14331+(0.09894-0.01479))+0-0-0</f>
        <v>446.22746000000001</v>
      </c>
      <c r="L328" s="3">
        <f>277+(220.4-33)+(0.14127+(0.112404-0.01683))+0-0-0</f>
        <v>464.636844</v>
      </c>
      <c r="M328" s="3">
        <f>278+(228.4-33)+(-0.42534+(-0.349452--0.05049))+0-0-0</f>
        <v>472.67569799999995</v>
      </c>
      <c r="N328" s="3">
        <f>307+(203.3-33)+(-0.15657+(-0.103683--0.01683))+0-0-0</f>
        <v>477.056577</v>
      </c>
      <c r="O328" s="3">
        <f>312+(196.5-33)+(0+(0-0))+0-0-0</f>
        <v>475.5</v>
      </c>
      <c r="P328" s="3">
        <f>347+(160.8-32)+(-0.35394+(-0.164016--0.03264))+0-0-0</f>
        <v>475.314684</v>
      </c>
      <c r="Q328" s="3">
        <f>341+(170.5-32)+(-0.52173+(-0.260865--0.04896))+0-0-0</f>
        <v>478.76636500000001</v>
      </c>
      <c r="R328" s="3">
        <f>286+(222.7-30)+(-0.43758+(-0.340731--0.0459))+0-0-0</f>
        <v>477.96758899999998</v>
      </c>
      <c r="S328" s="3">
        <f>267+(234.3-28)+(-0.54468+(-0.477972--0.05712))+0-0-0</f>
        <v>472.33446800000002</v>
      </c>
      <c r="T328" s="3">
        <f>267+(221.3-28)+(-0.13617+(-0.112863--0.01428))+0-0-0</f>
        <v>460.065247</v>
      </c>
      <c r="U328" s="3">
        <f>272+(215.7-28)+(0+(0-0))+0-0-0</f>
        <v>459.7</v>
      </c>
      <c r="V328" s="3">
        <f>284+(226.8-28)+(-0.14484+(-0.115668--0.01428))+0-0-0</f>
        <v>482.55377200000004</v>
      </c>
      <c r="W328" s="3">
        <f>300+(251.3-30)+(0+(0-0))+0-0-0</f>
        <v>521.29999999999995</v>
      </c>
      <c r="X328" s="3">
        <f>329+(250.3-32)+(-0.33558+(-0.255306--0.03264))+0-0-0</f>
        <v>546.7417539999999</v>
      </c>
      <c r="Y328" s="3">
        <f>329+(240.6-32)+(-0.16779+(-0.122706--0.01632))+0-0-0</f>
        <v>537.32582400000001</v>
      </c>
      <c r="Z328" s="3">
        <f>328+(218.2-30)+(-0.33456+(-0.222564--0.0306))+0-0-0</f>
        <v>515.67347600000005</v>
      </c>
      <c r="AA328" s="3">
        <f>329+(200.3-30)+(0+(0-0))+0-0-0</f>
        <v>499.3</v>
      </c>
      <c r="AB328" s="3">
        <f>313+(188.6-29)+(-0.15963+(-0.096186--0.01479))+0-0-0</f>
        <v>472.35897400000005</v>
      </c>
      <c r="AC328" s="3">
        <f>301+(167.1-28)+(-0.76755+(-0.426105--0.0714))+0-0-0</f>
        <v>438.97774500000003</v>
      </c>
      <c r="AD328">
        <v>547.20000000000005</v>
      </c>
      <c r="AE328" s="3">
        <f>329+(250.2-32)+(0+(0-0))+0-0-0</f>
        <v>547.20000000000005</v>
      </c>
    </row>
    <row r="329" spans="1:31" s="2" customFormat="1" x14ac:dyDescent="0.3">
      <c r="A329">
        <v>90</v>
      </c>
      <c r="B329">
        <v>11</v>
      </c>
      <c r="C329">
        <v>23</v>
      </c>
      <c r="D329">
        <v>2</v>
      </c>
      <c r="E329">
        <v>1</v>
      </c>
      <c r="F329" s="3">
        <f>307+(136.3-27)+(-0.46971+(-0.208539--0.04131))+0-0-0</f>
        <v>415.66306100000003</v>
      </c>
      <c r="G329" s="3">
        <f>307+(118.7-26)+(-0.46971+(-0.181611--0.03978))+0-0-0</f>
        <v>399.088459</v>
      </c>
      <c r="H329" s="3">
        <f>307+(110.6-25)+(-0.62628+(-0.225624--0.051))+0-0-0</f>
        <v>391.79909600000002</v>
      </c>
      <c r="I329" s="3">
        <f>308+(107.4-23)+(-0.15708+(-0.054774--0.01173))+0-0-0</f>
        <v>392.19987599999996</v>
      </c>
      <c r="J329" s="3">
        <f>308+(114.8-22)+(0.47124+(0.175644-0.03366))+0-0-0</f>
        <v>401.41322400000001</v>
      </c>
      <c r="K329" s="3">
        <f>326+(149.6-26)+(0.16626+(0.076296-0.01326))+0-0-0</f>
        <v>449.829296</v>
      </c>
      <c r="L329" s="3">
        <f>348+(176.7-33)+(0.17748+(0.090117-0.01683))+0-0-0</f>
        <v>491.95076699999998</v>
      </c>
      <c r="M329" s="3">
        <f>345+(191.2-33)+(0+(0-0))+0-0-0</f>
        <v>503.2</v>
      </c>
      <c r="N329" s="3">
        <f>385+(163.5-33)+(0.3927+(0.16677-0.03366))+0-0-0</f>
        <v>516.02580999999998</v>
      </c>
      <c r="O329" s="3">
        <f>396+(146.1-33)+(0.20196+(0.074511-0.01683))+0-0-0</f>
        <v>509.35964100000001</v>
      </c>
      <c r="P329" s="3">
        <f>396+(132.7-32)+(0.20196+(0.067677-0.01632))+0-0-0</f>
        <v>496.95331699999997</v>
      </c>
      <c r="Q329" s="3">
        <f>396+(128.1-31)+(-0.40392+(-0.130662--0.03162))+0-0-0</f>
        <v>492.597038</v>
      </c>
      <c r="R329" s="3">
        <f>387+(134.2-30)+(-0.98685+(-0.34221--0.0765))+0-0-0</f>
        <v>489.94743999999997</v>
      </c>
      <c r="S329" s="3">
        <f>380+(139.7-30)+(-0.3876+(-0.142494--0.0306))+0-0-0</f>
        <v>489.20050599999996</v>
      </c>
      <c r="T329" s="3">
        <f>363+(136.9-30)+(-0.55539+(-0.209457--0.0459))+0-0-0</f>
        <v>469.18105299999996</v>
      </c>
      <c r="U329" s="3">
        <f>363+(141.5-30)+(-0.18513+(-0.072165--0.0153))+0-0-0</f>
        <v>474.25800500000003</v>
      </c>
      <c r="V329" s="3">
        <f>365+(152-30)+(0.18615+(0.07752-0.0153))+0-0-0</f>
        <v>487.24837000000002</v>
      </c>
      <c r="W329" s="3">
        <f>367+(204-31)+(0+(0-0))+0-0-0</f>
        <v>540</v>
      </c>
      <c r="X329" s="3">
        <f>367+(245.2-31)+(-0.18717+(-0.125052--0.01581))+0-0-0</f>
        <v>580.90358800000001</v>
      </c>
      <c r="Y329" s="3">
        <f>371+(229.2-30)+(0+(0-0))+0-0-0</f>
        <v>570.20000000000005</v>
      </c>
      <c r="Z329" s="3">
        <f>372+(205.5-30)+(-0.9486+(-0.524025--0.0765))+0-0-0</f>
        <v>546.10387500000002</v>
      </c>
      <c r="AA329" s="3">
        <f>377+(173.7-30)+(0+(0-0))+0-0-0</f>
        <v>520.70000000000005</v>
      </c>
      <c r="AB329" s="3">
        <f>375+(145.7-29)+(-0.95625+(-0.371535--0.07395))+0-0-0</f>
        <v>490.44616500000001</v>
      </c>
      <c r="AC329" s="3">
        <f>375+(110.4-28)+(-0.95625+(-0.28152--0.0714))+0-0-0</f>
        <v>456.23363000000001</v>
      </c>
      <c r="AD329">
        <v>580.4</v>
      </c>
      <c r="AE329" s="3">
        <f>366+(246.4-32)+(0+(0-0))+0-0-0</f>
        <v>580.4</v>
      </c>
    </row>
    <row r="330" spans="1:31" s="2" customFormat="1" x14ac:dyDescent="0.3">
      <c r="A330">
        <v>90</v>
      </c>
      <c r="B330">
        <v>11</v>
      </c>
      <c r="C330">
        <v>24</v>
      </c>
      <c r="D330">
        <v>3</v>
      </c>
      <c r="E330">
        <v>1</v>
      </c>
      <c r="F330" s="3">
        <f>375+(80.2-28.6)+(-0.3825+(-0.081804--0.029172))+0-0-0</f>
        <v>426.16486800000001</v>
      </c>
      <c r="G330" s="3">
        <f>377+(64.9-31)+(0.76908+(0.132396-0.06324))+0-0-0</f>
        <v>411.73823599999997</v>
      </c>
      <c r="H330" s="3">
        <f>376+(56.2-31.9)+(0.57528+(0.085986-0.048807))+0-0-0</f>
        <v>400.91245900000001</v>
      </c>
      <c r="I330" s="3">
        <f>364+(63.1-25.9)+(-0.74256+(-0.128724--0.052836))+0-0-0</f>
        <v>400.381552</v>
      </c>
      <c r="J330" s="3">
        <f>326+(107.6-23)+(0.33252+(0.109752-0.02346))+0-0-0</f>
        <v>411.01881200000003</v>
      </c>
      <c r="K330" s="3">
        <f>326+(162.6-27)+(0+(0-0))+0-0-0</f>
        <v>461.6</v>
      </c>
      <c r="L330" s="3">
        <f>326+(217.4-25)+(0.16626+(0.110874-0.01275))+0-0-0</f>
        <v>518.66438399999993</v>
      </c>
      <c r="M330" s="3">
        <f>345+(208.5-22)+(-0.3519+(-0.21267--0.02244))+0-0-0</f>
        <v>530.95786999999996</v>
      </c>
      <c r="N330" s="3">
        <f>410+(136.5-22)+(-0.2091+(-0.069615--0.01122))+0-0-0</f>
        <v>524.23250499999995</v>
      </c>
      <c r="O330" s="3">
        <f>410+(157.5-20)+(-0.2091+(-0.080325--0.0102))+0-0-0</f>
        <v>547.220775</v>
      </c>
      <c r="P330" s="3">
        <f>409+(157.4-25)+(-0.62577+(-0.240822--0.03825))+0-0-0</f>
        <v>540.57165799999996</v>
      </c>
      <c r="Q330" s="3">
        <f>410+(147.8-25)+(-0.2091+(-0.075378--0.01275))+0-0-0</f>
        <v>532.5282719999999</v>
      </c>
      <c r="R330" s="3">
        <f>410+(156.2-0)+(-0.6273+(-0.238986-0))+0-0-0</f>
        <v>565.3337140000001</v>
      </c>
      <c r="S330" s="3">
        <f>410+(152.4-0)+(0+(0-0))+0-0-0</f>
        <v>562.4</v>
      </c>
      <c r="T330" s="3">
        <f>407+(134.4-0)+(-0.20757+(-0.068544-0))+0-0-0</f>
        <v>541.12388599999997</v>
      </c>
      <c r="U330" s="3">
        <f>408+(141.4-0)+(-0.20808+(-0.072114-0))+0-0-0</f>
        <v>549.11980599999993</v>
      </c>
      <c r="V330" s="3">
        <f>414+(156.4-0)+(0.42228+(0.159528-0))+0-0-0</f>
        <v>570.981808</v>
      </c>
      <c r="W330" s="3">
        <f>411+(188.3-0)+(-0.20961+(-0.096033-0))+0-0-0</f>
        <v>598.99435699999992</v>
      </c>
      <c r="X330" s="3">
        <f>412+(197.7-0)+(-0.21012+(-0.100827-0))+0-0-0</f>
        <v>609.38905299999999</v>
      </c>
      <c r="Y330" s="3">
        <f>411+(183.8-0)+(-0.83844+(-0.374952-0))+0-0-0</f>
        <v>593.58660799999996</v>
      </c>
      <c r="Z330" s="3">
        <f>412+(167-0)+(-0.21012+(-0.08517-0))+0-0-0</f>
        <v>578.70470999999998</v>
      </c>
      <c r="AA330" s="3">
        <f>412+(133.4-0)+(0.84048+(0.272136-0))+0-0-0</f>
        <v>546.51261599999998</v>
      </c>
      <c r="AB330" s="3">
        <f>403+(112.8-0)+(-0.41106+(-0.115056-0))+0-0-0</f>
        <v>515.27388399999995</v>
      </c>
      <c r="AC330" s="3">
        <f>394+(89.6-0)+(-0.80376+(-0.182784-0))+0-0-0</f>
        <v>482.61345600000004</v>
      </c>
      <c r="AD330">
        <v>580.29999999999995</v>
      </c>
      <c r="AE330" s="3">
        <f>411+(202.3-33)+(0+(0-0))+0-0-0</f>
        <v>580.29999999999995</v>
      </c>
    </row>
    <row r="331" spans="1:31" s="2" customFormat="1" x14ac:dyDescent="0.3">
      <c r="A331">
        <v>90</v>
      </c>
      <c r="B331">
        <v>11</v>
      </c>
      <c r="C331">
        <v>25</v>
      </c>
      <c r="D331">
        <v>4</v>
      </c>
      <c r="E331">
        <v>1</v>
      </c>
      <c r="F331" s="3">
        <f>377+(82-19)+(-0.57681+(-0.12546--0.02907))+0-0-0</f>
        <v>439.32679999999999</v>
      </c>
      <c r="G331" s="3">
        <f>358+(85.2-27.6)+(-0.36516+(-0.086904--0.028152))+0-0-0</f>
        <v>415.17608800000005</v>
      </c>
      <c r="H331" s="3">
        <f>339+(95.3-26)+(0.17289+(0.048603-0.01326))+0-0-0</f>
        <v>408.50823300000002</v>
      </c>
      <c r="I331" s="3">
        <f>309+(122-24)+(0+(0-0))+0-0-0</f>
        <v>407</v>
      </c>
      <c r="J331" s="3">
        <f>309+(127.2-24)+(0.15759+(0.064872-0.01224))+0-0-0</f>
        <v>412.41022199999998</v>
      </c>
      <c r="K331" s="3">
        <f>310+(178.1-26)+(0.7905+(0.454155-0.0663))+0-0-0</f>
        <v>463.27835500000003</v>
      </c>
      <c r="L331" s="3">
        <f>310+(226.3-31)+(-0.1581+(-0.115413--0.01581))+0-0-0</f>
        <v>505.04229700000002</v>
      </c>
      <c r="M331" s="3">
        <f>331+(217-31)+(0+(0-0))+0-0-0</f>
        <v>517</v>
      </c>
      <c r="N331" s="3">
        <f>366+(195.4-32)+(0+(0-0))+0-0-0</f>
        <v>529.4</v>
      </c>
      <c r="O331" s="3">
        <f>403+(150.3-31)+(0.20553+(0.076653-0.01581))+0-0-0</f>
        <v>522.566373</v>
      </c>
      <c r="P331" s="3">
        <f>406+(157.3-31)+(-0.41412+(-0.160446--0.03162))+0-0-0</f>
        <v>531.75705399999993</v>
      </c>
      <c r="Q331" s="3">
        <f>407+(153.7-32)+(-0.62271+(-0.235161--0.04896))+0-0-0</f>
        <v>527.89108900000008</v>
      </c>
      <c r="R331" s="3">
        <f>405+(160.4-32)+(-0.4131+(-0.163608--0.03264))+0-0-0</f>
        <v>532.85593199999994</v>
      </c>
      <c r="S331" s="3">
        <f>406+(149.1-31)+(0.62118+(0.228123-0.04743))+0-0-0</f>
        <v>524.90187300000002</v>
      </c>
      <c r="T331" s="3">
        <f>405+(136.9-31)+(-0.4131+(-0.139638--0.03162))+0-0-0</f>
        <v>510.37888199999998</v>
      </c>
      <c r="U331" s="3">
        <f>407+(127.5-31)+(0.20757+(0.065025-0.01581))+0-0-0</f>
        <v>503.75678499999998</v>
      </c>
      <c r="V331" s="3">
        <f>420+(116.2-31)+(0.2142+(0.059262-0.01581))+0-0-0</f>
        <v>505.457652</v>
      </c>
      <c r="W331" s="3">
        <f>424+(153.4-31)+(0.21624+(0.078234-0.01581))+0-0-0</f>
        <v>546.67866400000003</v>
      </c>
      <c r="X331" s="3">
        <f>427+(178-32)+(0+(0-0))+0-0-0</f>
        <v>573</v>
      </c>
      <c r="Y331" s="3">
        <f>427+(169-31)+(-1.08885+(-0.43095--0.07905))+0-0-0</f>
        <v>563.55925000000002</v>
      </c>
      <c r="Z331" s="3">
        <f>428+(146.4-30)+(-0.21828+(-0.074664--0.0153))+0-0-0</f>
        <v>544.12235599999997</v>
      </c>
      <c r="AA331" s="3">
        <f>411+(141.5-29)+(-0.62883+(-0.216495--0.04437))+0-0-0</f>
        <v>522.69904499999996</v>
      </c>
      <c r="AB331" s="3">
        <f>406+(121.1-28)+(-0.20706+(-0.061761--0.01428))+0-0-0</f>
        <v>498.84545900000001</v>
      </c>
      <c r="AC331" s="3">
        <f>356+(137.8-27)+(-0.9078+(-0.35139--0.06885))+0-0-0</f>
        <v>465.60966000000002</v>
      </c>
      <c r="AD331">
        <v>571.5</v>
      </c>
      <c r="AE331" s="3">
        <f>428+(175.5-32)+(0+(0-0))+0-0-0</f>
        <v>571.5</v>
      </c>
    </row>
    <row r="332" spans="1:31" s="2" customFormat="1" x14ac:dyDescent="0.3">
      <c r="A332">
        <v>90</v>
      </c>
      <c r="B332">
        <v>11</v>
      </c>
      <c r="C332">
        <v>26</v>
      </c>
      <c r="D332">
        <v>5</v>
      </c>
      <c r="E332">
        <v>1</v>
      </c>
      <c r="F332" s="3">
        <f>354+(109.4-24)+(-0.72216+(-0.223176--0.04896))+0-0-0</f>
        <v>438.503624</v>
      </c>
      <c r="G332" s="3">
        <f>355+(95.3-26.1)+(0+(0-0))+0-0-0</f>
        <v>424.2</v>
      </c>
      <c r="H332" s="3">
        <f>355+(90.7-25.7)+(-0.18105+(-0.046257--0.013107))+0-0-0</f>
        <v>419.78579999999999</v>
      </c>
      <c r="I332" s="3">
        <f>355+(86.7-24.5)+(0.3621+(0.088434-0.02499))+0-0-0</f>
        <v>417.62554399999999</v>
      </c>
      <c r="J332" s="3">
        <f>354+(95.3-21.1)+(-0.36108+(-0.097206--0.021522))+0-0-0</f>
        <v>427.76323600000001</v>
      </c>
      <c r="K332" s="3">
        <f>355+(143.9-20)+(0.18105+(0.073389-0.0102))+0-0-0</f>
        <v>479.14423899999997</v>
      </c>
      <c r="L332" s="3">
        <f>355+(253.1-30)+(0+(0-0))+0-0-0</f>
        <v>578.1</v>
      </c>
      <c r="M332" s="3">
        <f>359+(259.9-30)+(0.18309+(0.132549-0.0153))+0-0-0</f>
        <v>589.20033899999999</v>
      </c>
      <c r="N332" s="3">
        <f>359+(262.3-29)+(0.54927+(0.401319-0.04437))+0-0-0</f>
        <v>593.20621899999992</v>
      </c>
      <c r="O332" s="3">
        <f>357+(241.8-29)+(0.54621+(0.369954-0.04437))+0-0-0</f>
        <v>570.67179399999998</v>
      </c>
      <c r="P332" s="3">
        <f>365+(225.6-31)+(0.7446+(0.460224-0.06324))+0-0-0</f>
        <v>560.74158399999999</v>
      </c>
      <c r="Q332" s="3">
        <f>369+(220.3-31)+(-0.37638+(-0.224706--0.03162))+0-0-0</f>
        <v>557.73053399999992</v>
      </c>
      <c r="R332" s="3">
        <f>375+(207-31)+(-0.95625+(-0.52785--0.07905))+0-0-0</f>
        <v>549.59495000000004</v>
      </c>
      <c r="S332" s="3">
        <f>380+(193.5-31)+(0.1938+(0.098685-0.01581))+0-0-0</f>
        <v>542.77667499999995</v>
      </c>
      <c r="T332" s="3">
        <f>380+(174.8-29)+(0+(0-0))+0-0-0</f>
        <v>525.79999999999995</v>
      </c>
      <c r="U332" s="3">
        <f>380+(172.4-29)+(0.3876+(0.175848-0.02958))+0-0-0</f>
        <v>523.93386799999996</v>
      </c>
      <c r="V332" s="3">
        <f>380+(199.3-28)+(-0.3876+(-0.203286--0.02856))+0-0-0</f>
        <v>550.73767399999997</v>
      </c>
      <c r="W332" s="3">
        <f>378+(257.7-29)+(-0.38556+(-0.262854--0.02958))+0-0-0</f>
        <v>606.08116600000005</v>
      </c>
      <c r="X332" s="3">
        <f>394+(273.2-30)+(-0.60282+(-0.417996--0.0459))+0-0-0</f>
        <v>636.22508400000004</v>
      </c>
      <c r="Y332" s="3">
        <f>394+(258.9-28)+(-0.80376+(-0.528156--0.05712))+0-0-0</f>
        <v>623.62520399999994</v>
      </c>
      <c r="Z332" s="3">
        <f>394+(229.8-28)+(-0.60282+(-0.351594--0.04284))+0-0-0</f>
        <v>594.88842599999998</v>
      </c>
      <c r="AA332" s="3">
        <f>394+(196-29)+(-0.60282+(-0.29988--0.04437))+0-0-0</f>
        <v>560.14166999999998</v>
      </c>
      <c r="AB332" s="3">
        <f>386+(168.2-29)+(-0.39372+(-0.171564--0.02958))+0-0-0</f>
        <v>524.66429600000004</v>
      </c>
      <c r="AC332" s="3">
        <f>356+(173.1-29)+(-0.36312+(-0.176562--0.02958))+0-0-0</f>
        <v>499.58989800000001</v>
      </c>
      <c r="AD332">
        <v>568.29999999999995</v>
      </c>
      <c r="AE332" s="3">
        <f>393+(206.3-31)+(0+(0-0))+0-0-0</f>
        <v>568.29999999999995</v>
      </c>
    </row>
    <row r="333" spans="1:31" s="2" customFormat="1" x14ac:dyDescent="0.3">
      <c r="A333">
        <v>90</v>
      </c>
      <c r="B333">
        <v>11</v>
      </c>
      <c r="C333">
        <v>27</v>
      </c>
      <c r="D333">
        <v>6</v>
      </c>
      <c r="E333">
        <v>1</v>
      </c>
      <c r="F333" s="3">
        <f>356+(106.1-28)+(-0.9078+(-0.270555--0.0714))+0-0-0</f>
        <v>432.993045</v>
      </c>
      <c r="G333" s="3">
        <f>356+(86.9-26)+(-0.54468+(-0.132957--0.03978))+0-0-0</f>
        <v>416.26214299999998</v>
      </c>
      <c r="H333" s="3">
        <f>356+(84.9-26.3)+(-0.54468+(-0.129897--0.040239))+0-0-0</f>
        <v>413.96566200000001</v>
      </c>
      <c r="I333" s="3">
        <f>356+(80.6-26.7)+(-0.72624+(-0.164424--0.054468))+0-0-0</f>
        <v>409.063804</v>
      </c>
      <c r="J333" s="3">
        <f>357+(88.5-26.1)+(0.36414+(0.09027-0.026622))+0-0-0</f>
        <v>419.827788</v>
      </c>
      <c r="K333" s="3">
        <f>357+(130.1-27)+(0.18207+(0.066351-0.01377))+0-0-0</f>
        <v>460.33465100000001</v>
      </c>
      <c r="L333" s="3">
        <f>366+(146.7-30)+(-0.18666+(-0.074817--0.0153))+0-0-0</f>
        <v>482.453823</v>
      </c>
      <c r="M333" s="3">
        <f>401+(124.4-32.3)+(0+(0-0))+0-0-0</f>
        <v>493.1</v>
      </c>
      <c r="N333" s="3">
        <f>404+(134-42.1)+(0.20604+(0.06834-0.021471))+0-0-0</f>
        <v>496.15290899999997</v>
      </c>
      <c r="O333" s="3">
        <f>404+(126.8-41.4)+(-0.20604+(-0.064668--0.021114))+0-0-0</f>
        <v>489.15040599999998</v>
      </c>
      <c r="P333" s="3">
        <f>404+(130.1-42.4)+(0+(0-0))+0-0-0</f>
        <v>491.7</v>
      </c>
      <c r="Q333" s="3">
        <f>403+(137.8-41.4)+(-0.41106+(-0.140556--0.042228))+0-0-0</f>
        <v>498.89061199999998</v>
      </c>
      <c r="R333" s="3">
        <f>416+(142.1-45.2)+(-0.84864+(-0.289884--0.092208))+0-0-0</f>
        <v>511.85368399999999</v>
      </c>
      <c r="S333" s="3">
        <f>416+(128.9-44.6)+(-0.84864+(-0.262956--0.090984))+0-0-0</f>
        <v>499.27938800000004</v>
      </c>
      <c r="T333" s="3">
        <f>420+(114.1-44.8)+(-0.4284+(-0.116382--0.045696))+0-0-0</f>
        <v>488.80091400000003</v>
      </c>
      <c r="U333" s="3">
        <f>431+(101.1-42.2)+(-0.87924+(-0.206244--0.086088))+0-0-0</f>
        <v>488.90060399999999</v>
      </c>
      <c r="V333" s="3">
        <f>432+(114.7-43.7)+(-0.22032+(-0.058497--0.022287))+0-0-0</f>
        <v>502.74347</v>
      </c>
      <c r="W333" s="3">
        <f>425+(149.7-45.9)+(-0.65025+(-0.229041--0.070227))+0-0-0</f>
        <v>527.99093599999992</v>
      </c>
      <c r="X333" s="3">
        <f>426+(168.3-52)+(-0.43452+(-0.171666--0.05304))+0-0-0</f>
        <v>541.74685399999998</v>
      </c>
      <c r="Y333" s="3">
        <f>391+(188-49)+(-0.39882+(-0.19176--0.04998))+0-0-0</f>
        <v>529.45939999999996</v>
      </c>
      <c r="Z333" s="3">
        <f>375+(177-50.2)+(-0.57375+(-0.27081--0.076806))+0-0-0</f>
        <v>501.03224599999999</v>
      </c>
      <c r="AA333" s="3">
        <f>344+(191.8-42.8)+(-0.35088+(-0.195636--0.043656))+0-0-0</f>
        <v>492.49714</v>
      </c>
      <c r="AB333" s="3">
        <f>323+(175.9-42)+(-0.49419+(-0.269127--0.06426))+0-0-0</f>
        <v>456.200943</v>
      </c>
      <c r="AC333" s="3">
        <f>305+(195.1-39.9)+(0+(0-0))+0-0-0</f>
        <v>460.2</v>
      </c>
      <c r="AD333">
        <v>541.70000000000005</v>
      </c>
      <c r="AE333" s="3">
        <f>431+(159.7-49)+(0+(0-0))+0-0-0</f>
        <v>541.70000000000005</v>
      </c>
    </row>
    <row r="334" spans="1:31" s="2" customFormat="1" x14ac:dyDescent="0.3">
      <c r="A334">
        <v>90</v>
      </c>
      <c r="B334">
        <v>11</v>
      </c>
      <c r="C334">
        <v>28</v>
      </c>
      <c r="D334">
        <v>7</v>
      </c>
      <c r="E334">
        <v>1</v>
      </c>
      <c r="F334" s="3">
        <f>304+(171.3-38.2)+(-0.31008+(-0.174726--0.038964))+0-0-0</f>
        <v>436.654158</v>
      </c>
      <c r="G334" s="3">
        <f>305+(148.5-35.7)+(-0.15555+(-0.075735--0.018207))+0-0-0</f>
        <v>417.58692200000002</v>
      </c>
      <c r="H334" s="3">
        <f>305+(135.6-35.3)+(0+(0-0))+0-0-0</f>
        <v>405.3</v>
      </c>
      <c r="I334" s="3">
        <f>304+(134.4-35.2)+(-0.31008+(-0.137088--0.035904))+0-0-0</f>
        <v>402.78873599999997</v>
      </c>
      <c r="J334" s="3">
        <f>306+(137.2-36.3)+(0.7803+(0.34986-0.092565))+0-0-0</f>
        <v>407.93759499999999</v>
      </c>
      <c r="K334" s="3">
        <f>305+(182.7-43)+(0.15555+(0.093177-0.02193))+0-0-0</f>
        <v>444.92679699999997</v>
      </c>
      <c r="L334" s="3">
        <f>303+(202.1-47.4)+(-0.30906+(-0.206142--0.048348))+0-0-0</f>
        <v>457.23314599999998</v>
      </c>
      <c r="M334" s="3">
        <f>300+(213.4-45)+(0.153+(0.108834-0.02295))+0-0-0</f>
        <v>468.63888399999996</v>
      </c>
      <c r="N334" s="3">
        <f>299+(228.1-43.3)+(0+(0-0))+0-0-0</f>
        <v>483.8</v>
      </c>
      <c r="O334" s="3">
        <f>299+(236.2-40.6)+(-0.15249+(-0.120462--0.020706))+0-0-0</f>
        <v>494.34775400000001</v>
      </c>
      <c r="P334" s="3">
        <f>299+(246.4-39.4)+(-0.15249+(-0.125664--0.020094))+0-0-0</f>
        <v>505.74194</v>
      </c>
      <c r="Q334" s="3">
        <f>298+(259.5-42.3)+(-0.60792+(-0.52938--0.086292))+0-0-0</f>
        <v>514.14899200000002</v>
      </c>
      <c r="R334" s="3">
        <f>299+(252.4-28.9)+(-0.45747+(-0.386172--0.044217))+0-0-0</f>
        <v>521.70057499999996</v>
      </c>
      <c r="S334" s="3">
        <f>299+(250.8-38.9)+(-0.45747+(-0.383724--0.059517))+0-0-0</f>
        <v>510.11832299999998</v>
      </c>
      <c r="T334" s="3">
        <f>299+(238.8-38.2)+(-0.60996+(-0.487152--0.077928))+0-0-0</f>
        <v>498.58081600000003</v>
      </c>
      <c r="U334" s="3">
        <f>300+(231.9-39)+(-0.153+(-0.118269--0.01989))+0-0-0</f>
        <v>492.64862099999999</v>
      </c>
      <c r="V334" s="3">
        <f>303+(219-39.4)+(-0.15453+(-0.11169--0.020094))+0-0-0</f>
        <v>482.35387400000002</v>
      </c>
      <c r="W334" s="3">
        <f>321+(235.3-45.8)+(-0.32742+(-0.240006--0.046716))+0-0-0</f>
        <v>509.97928999999999</v>
      </c>
      <c r="X334" s="3">
        <f>358+(221.3-48.4)+(0+(0-0))+0-0-0</f>
        <v>530.9</v>
      </c>
      <c r="Y334" s="3">
        <f>358+(209.2-48)+(0.18258+(0.106692-0.02448))+0-0-0</f>
        <v>519.4647920000001</v>
      </c>
      <c r="Z334" s="3">
        <f>357+(187.4-46.8)+(-0.36414+(-0.191148--0.047736))+0-0-0</f>
        <v>497.09244800000005</v>
      </c>
      <c r="AA334" s="3">
        <f>357+(173.5-44.4)+(-0.91035+(-0.442425--0.11322))+0-0-0</f>
        <v>484.86044500000003</v>
      </c>
      <c r="AB334" s="3">
        <f>356+(145.5-42.2)+(-0.36312+(-0.14841--0.043044))+0-0-0</f>
        <v>458.83151400000003</v>
      </c>
      <c r="AC334" s="3">
        <f>307+(163.3-40.3)+(-0.62628+(-0.333132--0.082212))+0-0-0</f>
        <v>429.12279999999998</v>
      </c>
      <c r="AD334">
        <v>528.1</v>
      </c>
      <c r="AE334" s="3">
        <f>359+(220-50.9)+(0+(0-0))+0-0-0</f>
        <v>528.1</v>
      </c>
    </row>
    <row r="335" spans="1:31" s="2" customFormat="1" x14ac:dyDescent="0.3">
      <c r="A335">
        <v>90</v>
      </c>
      <c r="B335">
        <v>11</v>
      </c>
      <c r="C335">
        <v>29</v>
      </c>
      <c r="D335">
        <v>1</v>
      </c>
      <c r="E335">
        <v>1</v>
      </c>
      <c r="F335" s="3">
        <f>307+(138.7-35.5)+(-0.78285+(-0.353685--0.090525))+0-0-0</f>
        <v>409.15398999999996</v>
      </c>
      <c r="G335" s="3">
        <f>307+(121.4-33.9)+(-0.78285+(-0.30957--0.086445))+0-0-0</f>
        <v>393.49402500000002</v>
      </c>
      <c r="H335" s="3">
        <f>307+(115.1-32.4)+(-0.62628+(-0.234804--0.066096))+0-0-0</f>
        <v>388.905012</v>
      </c>
      <c r="I335" s="3">
        <f>289+(129.1-32.3)+(-0.58956+(-0.263364--0.065892))+0-0-0</f>
        <v>385.012968</v>
      </c>
      <c r="J335" s="3">
        <f>284+(143-34.4)+(0.14484+(0.07293-0.017544))+0-0-0</f>
        <v>392.80022600000001</v>
      </c>
      <c r="K335" s="3">
        <f>299+(179.1-37.8)+(0.60996+(0.365364-0.077112))+0-0-0</f>
        <v>441.19821200000001</v>
      </c>
      <c r="L335" s="3">
        <f>307+(193.1-39.6)+(-0.78285+(-0.492405--0.10098))+0-0-0</f>
        <v>459.32572499999998</v>
      </c>
      <c r="M335" s="3">
        <f>322+(195.9-44.5)+(0.32844+(0.199818-0.04539))+0-0-0</f>
        <v>473.88286799999997</v>
      </c>
      <c r="N335" s="3">
        <f>357+(166.1-41.1)+(0+(0-0))+0-0-0</f>
        <v>482</v>
      </c>
      <c r="O335" s="3">
        <f>342+(172.5-38.6)+(-0.17442+(-0.087975--0.019686))+0-0-0</f>
        <v>475.65729099999999</v>
      </c>
      <c r="P335" s="3">
        <f>355+(161.5-38)+(-0.90525+(-0.411825--0.0969))+0-0-0</f>
        <v>477.27982500000002</v>
      </c>
      <c r="Q335" s="3">
        <f>357+(158.7-35.9)+(0.36414+(0.161874-0.036618))+0-0-0</f>
        <v>480.28939599999995</v>
      </c>
      <c r="R335" s="3">
        <f>351+(164.8-43.3)+(-0.89505+(-0.42024--0.110415))+0-0-0</f>
        <v>471.29512499999998</v>
      </c>
      <c r="S335" s="3">
        <f>352+(160.5-44.5)+(-0.8976+(-0.409275--0.113475))+0-0-0</f>
        <v>466.8066</v>
      </c>
      <c r="T335" s="3">
        <f>352+(145.4-42.6)+(-0.17952+(-0.074154--0.021726))+0-0-0</f>
        <v>454.56805200000002</v>
      </c>
      <c r="U335" s="3">
        <f>352+(146.2-40.9)+(0+(0-0))+0-0-0</f>
        <v>457.29999999999995</v>
      </c>
      <c r="V335" s="3">
        <f>341+(179.7-43.2)+(-0.34782+(-0.183294--0.044064))+0-0-0</f>
        <v>477.01294999999999</v>
      </c>
      <c r="W335" s="3">
        <f>333+(232.6-47)+(0.16983+(0.118626-0.02397))+0-0-0</f>
        <v>518.86448600000006</v>
      </c>
      <c r="X335" s="3">
        <f>356+(219.3-29)+(-0.18156+(-0.111843--0.01479))+0-0-0</f>
        <v>546.021387</v>
      </c>
      <c r="Y335" s="3">
        <f>356+(204.6-27)+(-0.18156+(-0.104346--0.01377))+0-0-0</f>
        <v>533.32786399999998</v>
      </c>
      <c r="Z335" s="3">
        <f>355+(181.1-27)+(-0.7242+(-0.369444--0.05508))+0-0-0</f>
        <v>508.06143600000001</v>
      </c>
      <c r="AA335" s="3">
        <f>356+(156.2-26)+(0.18156+(0.079662-0.01326))+0-0-0</f>
        <v>486.44796199999996</v>
      </c>
      <c r="AB335" s="3">
        <f>355+(137.1-25)+(-0.7242+(-0.279684--0.051))+0-0-0</f>
        <v>466.14711600000004</v>
      </c>
      <c r="AC335" s="3">
        <f>325+(139.7-25)+(-0.82875+(-0.356235--0.06375))+0-0-0</f>
        <v>438.57876499999998</v>
      </c>
      <c r="AD335">
        <v>541.5</v>
      </c>
      <c r="AE335" s="3">
        <f>355+(217.5-31)+(0+(0-0))+0-0-0</f>
        <v>541.5</v>
      </c>
    </row>
    <row r="336" spans="1:31" s="2" customFormat="1" x14ac:dyDescent="0.3">
      <c r="A336">
        <v>90</v>
      </c>
      <c r="B336">
        <v>11</v>
      </c>
      <c r="C336">
        <v>30</v>
      </c>
      <c r="D336">
        <v>2</v>
      </c>
      <c r="E336">
        <v>1</v>
      </c>
      <c r="F336" s="3">
        <f>326+(112.3-16)+(-0.49878+(-0.171819--0.02448))+0-0-0</f>
        <v>421.65388100000001</v>
      </c>
      <c r="G336" s="3">
        <f>326+(96.1-20)+(-0.66504+(-0.196044--0.0408))+0-0-0</f>
        <v>401.27971600000001</v>
      </c>
      <c r="H336" s="3">
        <f>327+(87.1-21)+(0.33354+(0.088842-0.02142))+0-0-0</f>
        <v>393.50096200000002</v>
      </c>
      <c r="I336" s="3">
        <f>306+(107.5-22)+(-0.46818+(-0.164475--0.03366))+0-0-0</f>
        <v>390.901005</v>
      </c>
      <c r="J336" s="3">
        <f>282+(138.6-21)+(-0.14382+(-0.070686--0.01071))+0-0-0</f>
        <v>399.39620400000001</v>
      </c>
      <c r="K336" s="3">
        <f>282+(187.4-22)+(0.28764+(0.191148-0.02244))+0-0-0</f>
        <v>447.85634799999997</v>
      </c>
      <c r="L336" s="3">
        <f>276+(224.3-30)+(0.14076+(0.114393-0.0153))+0-0-0</f>
        <v>470.53985299999999</v>
      </c>
      <c r="M336" s="3">
        <f>346+(166-31)+(0.17646+(0.08466-0.01581))+0-0-0</f>
        <v>481.24531000000002</v>
      </c>
      <c r="N336" s="3">
        <f>374+(140.9-38)+(-0.19074+(-0.071859--0.01938))+0-0-0</f>
        <v>476.65678099999997</v>
      </c>
      <c r="O336" s="3">
        <f>393+(141.4-58.5)+(-0.20043+(-0.072114--0.029835))+0-0-0</f>
        <v>475.65729099999999</v>
      </c>
      <c r="P336" s="3">
        <f>393+(138-56.3)+(0.20043+(0.07038-0.028713))+0-0-0</f>
        <v>474.94209699999999</v>
      </c>
      <c r="Q336" s="3">
        <f>392+(135.8-56.2)+(-0.39984+(-0.138516--0.057324))+0-0-0</f>
        <v>471.118968</v>
      </c>
      <c r="R336" s="3">
        <f>397+(134.1-51.8)+(-0.80988+(-0.273564--0.105672))+0-0-0</f>
        <v>478.322228</v>
      </c>
      <c r="S336" s="3">
        <f>395+(123.4-51.3)+(-0.60435+(-0.188802--0.078489))+0-0-0</f>
        <v>466.38533700000005</v>
      </c>
      <c r="T336" s="3">
        <f>396+(118.1-51.7)+(0.20196+(0.060231-0.026367))+0-0-0</f>
        <v>462.63582399999996</v>
      </c>
      <c r="U336" s="3">
        <f>395+(117.9-52.7)+(-0.8058+(-0.240516--0.107508))+0-0-0</f>
        <v>459.26119199999999</v>
      </c>
      <c r="V336" s="3">
        <f>403+(101.6-46.2)+(0+(0-0))+0-0-0</f>
        <v>458.4</v>
      </c>
      <c r="W336" s="3">
        <f>404+(130.2-34.6)+(-0.20604+(-0.066402--0.017646))+0-0-0</f>
        <v>499.34520400000002</v>
      </c>
      <c r="X336" s="3">
        <f>404+(150.7-32)+(-0.20604+(-0.076857--0.01632))+0-0-0</f>
        <v>522.43342300000006</v>
      </c>
      <c r="Y336" s="3">
        <f>390+(151.9-31)+(-0.5967+(-0.232407--0.04743))+0-0-0</f>
        <v>510.11832299999998</v>
      </c>
      <c r="Z336" s="3">
        <f>378+(141.5-31)+(-0.9639+(-0.360825--0.07905))+0-0-0</f>
        <v>487.25432499999999</v>
      </c>
      <c r="AA336" s="3">
        <f>379+(127.8-30)+(0.19329+(0.065178-0.0153))+0-0-0</f>
        <v>477.04316800000004</v>
      </c>
      <c r="AB336" s="3">
        <f>377+(109-32.2)+(-0.76908+(-0.22236--0.065688))+0-0-0</f>
        <v>452.87424800000002</v>
      </c>
      <c r="AC336" s="3">
        <f>358+(100-28)+(-0.73032+(-0.204--0.05712))+0-0-0</f>
        <v>429.12279999999998</v>
      </c>
      <c r="AD336">
        <v>522.1</v>
      </c>
      <c r="AE336" s="3">
        <f>406+(148.1-32)+(0+(0-0))+0-0-0</f>
        <v>522.1</v>
      </c>
    </row>
    <row r="337" spans="1:31" s="2" customFormat="1" x14ac:dyDescent="0.3">
      <c r="A337">
        <v>90</v>
      </c>
      <c r="B337">
        <v>12</v>
      </c>
      <c r="C337">
        <v>1</v>
      </c>
      <c r="D337">
        <v>3</v>
      </c>
      <c r="E337">
        <v>1</v>
      </c>
      <c r="F337" s="3">
        <f>352+(81-33.4)+(-0.71808+(-0.16524--0.068136))+0-0-0</f>
        <v>398.78481600000003</v>
      </c>
      <c r="G337" s="3">
        <f>314+(103.7-28)+(-0.48042+(-0.158661--0.04284))+0-0-0</f>
        <v>389.10375899999997</v>
      </c>
      <c r="H337" s="3">
        <f>292+(105.3-26)+(-0.29784+(-0.107406--0.02652))+0-0-0</f>
        <v>370.92127400000004</v>
      </c>
      <c r="I337" s="3">
        <f>274+(120.7-26)+(-0.27948+(-0.123114--0.02652))+0-0-0</f>
        <v>368.32392599999997</v>
      </c>
      <c r="J337" s="3">
        <f>268+(133.9-27)+(0.27336+(0.136578-0.02754))+0-0-0</f>
        <v>375.282398</v>
      </c>
      <c r="K337" s="3">
        <f>268+(179.8-25)+(0.41004+(0.275094-0.03825))+0-0-0</f>
        <v>423.44688400000001</v>
      </c>
      <c r="L337" s="3">
        <f>267+(222.2-27)+(0.27234+(0.226644-0.02754))+0-0-0</f>
        <v>462.67144400000001</v>
      </c>
      <c r="M337" s="3">
        <f>301+(181.4-30)+(-0.15351+(-0.092514--0.0153))+0-0-0</f>
        <v>452.16927599999997</v>
      </c>
      <c r="N337" s="3">
        <f>352+(140.4-31)+(0.53856+(0.214812-0.04743))+0-0-0</f>
        <v>462.10594199999997</v>
      </c>
      <c r="O337" s="3">
        <f>365+(132-33.2)+(0.3723+(0.13464-0.033864))+0-0-0</f>
        <v>464.273076</v>
      </c>
      <c r="P337" s="3">
        <f>371+(131.5-31.2)+(0.37842+(0.13413-0.031824))+0-0-0</f>
        <v>471.78072600000002</v>
      </c>
      <c r="Q337" s="3">
        <f>383+(123.1-30.4)+(-0.19533+(-0.062781--0.015504))+0-0-0</f>
        <v>475.45739299999997</v>
      </c>
      <c r="R337" s="3">
        <f>378+(122.7-28)+(-0.57834+(-0.187731--0.04284))+0-0-0</f>
        <v>471.97676899999999</v>
      </c>
      <c r="S337" s="3">
        <f>379+(120.4-28.5)+(0.19329+(0.061404-0.014535))+0-0-0</f>
        <v>471.14015899999998</v>
      </c>
      <c r="T337" s="3">
        <f>379+(106.2-29.2)+(-0.19329+(-0.054162--0.014892))+0-0-0</f>
        <v>455.76744000000002</v>
      </c>
      <c r="U337" s="3">
        <f>383+(104.1-32.4)+(-0.78132+(-0.212364--0.066096))+0-0-0</f>
        <v>453.77241199999997</v>
      </c>
      <c r="V337" s="3">
        <f>393+(115.3-35.1)+(0.20043+(0.058803-0.017901))+0-0-0</f>
        <v>473.44133199999999</v>
      </c>
      <c r="W337" s="3">
        <f>393+(135.8-29.5)+(0+(0-0))+0-0-0</f>
        <v>499.3</v>
      </c>
      <c r="X337" s="3">
        <f>397+(159.1-30)+(-0.40494+(-0.162282--0.0306))+0-0-0</f>
        <v>525.56337800000006</v>
      </c>
      <c r="Y337" s="3">
        <f>396+(148.9-32)+(-1.41372+(-0.531573--0.11424))+0-0-0</f>
        <v>511.06894699999998</v>
      </c>
      <c r="Z337" s="3">
        <f>397+(127.9-32)+(-0.80988+(-0.260916--0.06528))+0-0-0</f>
        <v>491.89448399999998</v>
      </c>
      <c r="AA337" s="3">
        <f>396+(116.8-33.1)+(-1.21176+(-0.357408--0.101286))+0-0-0</f>
        <v>478.23211800000001</v>
      </c>
      <c r="AB337" s="3">
        <f>376+(98.7-34.4)+(-0.38352+(-0.100674--0.035088))+0-0-0</f>
        <v>439.85089400000004</v>
      </c>
      <c r="AC337" s="3">
        <f>355+(90.2-30)+(-0.7242+(-0.184008--0.0612))+0-0-0</f>
        <v>414.35299199999997</v>
      </c>
      <c r="AD337">
        <v>525.20000000000005</v>
      </c>
      <c r="AE337" s="3">
        <f>398+(159.2-32)+(0+(0-0))+0-0-0</f>
        <v>525.20000000000005</v>
      </c>
    </row>
    <row r="338" spans="1:31" s="2" customFormat="1" x14ac:dyDescent="0.3">
      <c r="A338">
        <v>90</v>
      </c>
      <c r="B338">
        <v>12</v>
      </c>
      <c r="C338">
        <v>2</v>
      </c>
      <c r="D338">
        <v>4</v>
      </c>
      <c r="E338">
        <v>1</v>
      </c>
      <c r="F338" s="3">
        <f>398+(90.9-30.2)+(-0.60894+(-0.139077--0.046206))+0-0-0</f>
        <v>457.99818899999997</v>
      </c>
      <c r="G338" s="3">
        <f>385+(86.1-30.9)+(-0.19635+(-0.043911--0.015759))+0-0-0</f>
        <v>439.97549800000002</v>
      </c>
      <c r="H338" s="3">
        <f>324+(131.5-26)+(-0.8262+(-0.335325--0.0663))+0-0-0</f>
        <v>428.40477499999997</v>
      </c>
      <c r="I338" s="3">
        <f>310+(141.5-26)+(-0.3162+(-0.14433--0.02652))+0-0-0</f>
        <v>425.06599</v>
      </c>
      <c r="J338" s="3">
        <f>310+(149.6-26)+(-0.6324+(-0.305184--0.05304))+0-0-0</f>
        <v>432.71545600000002</v>
      </c>
      <c r="K338" s="3">
        <f>310+(188.8-28)+(0+(0-0))+0-0-0</f>
        <v>470.8</v>
      </c>
      <c r="L338" s="3">
        <f>252+(211-30)+(-0.51408+(-0.43044--0.0612))+0-0-0</f>
        <v>432.11667999999997</v>
      </c>
      <c r="M338" s="3">
        <f>334+(143.8-34)+(-0.17034+(-0.073338--0.01734))+0-0-0</f>
        <v>443.57366200000001</v>
      </c>
      <c r="N338" s="3">
        <f>361+(140.7-44.3)+(0.73644+(0.287028-0.090372))+0-0-0</f>
        <v>458.33309599999995</v>
      </c>
      <c r="O338" s="3">
        <f>356+(159.6-40.3)+(0.18156+(0.081396-0.020553))+0-0-0</f>
        <v>475.54240300000004</v>
      </c>
      <c r="P338" s="3">
        <f>356+(150.4-39.1)+(0+(0-0))+0-0-0</f>
        <v>467.3</v>
      </c>
      <c r="Q338" s="3">
        <f>355+(154.6-37.3)+(-0.7242+(-0.315384--0.076092))+0-0-0</f>
        <v>471.33650800000004</v>
      </c>
      <c r="R338" s="3">
        <f>354+(172.3-32)+(-0.9027+(-0.439365--0.0816))+0-0-0</f>
        <v>493.039535</v>
      </c>
      <c r="S338" s="3">
        <f>353+(152.7-36.3)+(-0.54009+(-0.233631--0.055539))+0-0-0</f>
        <v>468.68181799999996</v>
      </c>
      <c r="T338" s="3">
        <f>353+(150.2-37.4)+(-0.54009+(-0.229806--0.057222))+0-0-0</f>
        <v>465.08732599999996</v>
      </c>
      <c r="U338" s="3">
        <f>336+(156.4-28)+(-0.51408+(-0.239292--0.04284))+0-0-0</f>
        <v>463.68946799999998</v>
      </c>
      <c r="V338" s="3">
        <f>360+(168.4-28)+(0.3672+(0.171768-0.02856))+0-0-0</f>
        <v>500.91040799999996</v>
      </c>
      <c r="W338" s="3">
        <f>359+(188-29)+(0.18309+(0.09588-0.01479))+0-0-0</f>
        <v>518.26418000000001</v>
      </c>
      <c r="X338" s="3">
        <f>363+(217.7-30)+(0+(0-0))+0-0-0</f>
        <v>550.70000000000005</v>
      </c>
      <c r="Y338" s="3">
        <f>363+(208.1-32)+(-0.92565+(-0.530655--0.0816))+0-0-0</f>
        <v>537.72529500000007</v>
      </c>
      <c r="Z338" s="3">
        <f>325+(219.6-32)+(0+(0-0))+0-0-0</f>
        <v>512.6</v>
      </c>
      <c r="AA338" s="3">
        <f>315+(215.7-32)+(-0.48195+(-0.330021--0.04896))+0-0-0</f>
        <v>497.93698899999998</v>
      </c>
      <c r="AB338" s="3">
        <f>297+(206.9-30)+(-0.45441+(-0.316557--0.0459))+0-0-0</f>
        <v>473.17493299999995</v>
      </c>
      <c r="AC338" s="3">
        <f>253+(227.1-30)+(-0.25806+(-0.231642--0.0306))+0-0-0</f>
        <v>449.64089800000005</v>
      </c>
      <c r="AD338">
        <v>551.4</v>
      </c>
      <c r="AE338" s="3">
        <f>364+(219.4-32)+(0+(0-0))+0-0-0</f>
        <v>551.4</v>
      </c>
    </row>
    <row r="339" spans="1:31" s="2" customFormat="1" x14ac:dyDescent="0.3">
      <c r="A339">
        <v>90</v>
      </c>
      <c r="B339">
        <v>12</v>
      </c>
      <c r="C339">
        <v>3</v>
      </c>
      <c r="D339">
        <v>5</v>
      </c>
      <c r="E339">
        <v>1</v>
      </c>
      <c r="F339" s="3">
        <f>256+(207.7-22)+(-0.39168+(-0.317781--0.03366))+0-0-0</f>
        <v>441.02419900000001</v>
      </c>
      <c r="G339" s="3">
        <f>257+(181.8-19)+(0+(0-0))+1.6-0-0</f>
        <v>421.40000000000003</v>
      </c>
      <c r="H339" s="3">
        <f>256+(177.2-18)+(-0.39168+(-0.271116--0.02754))+0-0-0</f>
        <v>414.56474399999996</v>
      </c>
      <c r="I339" s="3">
        <f>257+(169.5-18)+(0.13107+(0.086445-0.00918))+0.7-0-0</f>
        <v>409.40833499999997</v>
      </c>
      <c r="J339" s="3">
        <f>257+(177.4-19)+(-0.13107+(-0.090474--0.00969))+1.4-0-0</f>
        <v>416.58814599999994</v>
      </c>
      <c r="K339" s="3">
        <f>272+(211.1-24)+(0.41616+(0.322983-0.03672))+0-0-0</f>
        <v>459.80242300000003</v>
      </c>
      <c r="L339" s="3">
        <f>354+(169.4-15)+(-0.18054+(-0.086394--0.00765))+0-0-0</f>
        <v>508.140716</v>
      </c>
      <c r="M339" s="3">
        <f>351+(171.2-12)+(0.17901+(0.087312-0.00612))+0-0-0</f>
        <v>510.46020199999998</v>
      </c>
      <c r="N339" s="3">
        <f>352+(189.8-20)+(-0.17952+(-0.096798--0.0102))+0-0-0</f>
        <v>521.53388199999995</v>
      </c>
      <c r="O339" s="3">
        <f>352+(194.5-25)+(-0.17952+(-0.099195--0.01275))+0-0-0</f>
        <v>521.23403499999995</v>
      </c>
      <c r="P339" s="3">
        <f>380+(168.9-27)+(0+(0-0))+0-0-0</f>
        <v>521.9</v>
      </c>
      <c r="Q339" s="3">
        <f>402+(153.5-30)+(-0.41004+(-0.15657--0.0306))+0-0-0</f>
        <v>524.96398999999997</v>
      </c>
      <c r="R339" s="3">
        <f>400+(142.8-16)+(-0.816+(-0.291312--0.03264))+0-0-0</f>
        <v>525.72532799999999</v>
      </c>
      <c r="S339" s="3">
        <f>401+(136.9-18.8)+(-0.61353+(-0.209457--0.028764))+0-0-0</f>
        <v>518.30577700000003</v>
      </c>
      <c r="T339" s="3">
        <f>400+(141.7-25)+(-0.816+(-0.289068--0.051))+0-0-0</f>
        <v>515.64593200000002</v>
      </c>
      <c r="U339" s="3">
        <f>401+(135.8-30)+(-0.61353+(-0.207774--0.0459))+0-0-0</f>
        <v>506.02459600000003</v>
      </c>
      <c r="V339" s="3">
        <f>405+(146.3-30)+(-0.4131+(-0.149226--0.0306))+0-0-0</f>
        <v>520.76827399999991</v>
      </c>
      <c r="W339" s="3">
        <f>406+(181.4-30)+(-0.41412+(-0.185028--0.0306))+0-0-0</f>
        <v>556.83145200000001</v>
      </c>
      <c r="X339" s="3">
        <f>397+(224-31)+(-0.60741+(-0.34272--0.04743))+0-0-0</f>
        <v>589.09730000000002</v>
      </c>
      <c r="Y339" s="3">
        <f>392+(213-31)+(-0.39984+(-0.21726--0.03162))+0-0-0</f>
        <v>573.41452000000004</v>
      </c>
      <c r="Z339" s="3">
        <f>392+(194.7-30)+(-1.19952+(-0.595782--0.0918))+0-0-0</f>
        <v>554.99649800000009</v>
      </c>
      <c r="AA339" s="3">
        <f>393+(162.9-29)+(-0.40086+(-0.166158--0.02958))+0-0-0</f>
        <v>526.36256200000003</v>
      </c>
      <c r="AB339" s="3">
        <f>382+(153.2-29)+(-0.9741+(-0.39066--0.07395))+0-0-0</f>
        <v>504.90918999999997</v>
      </c>
      <c r="AC339" s="3">
        <f>334+(172.8-28)+(-0.68136+(-0.352512--0.05712))+0-0-0</f>
        <v>477.82324800000004</v>
      </c>
      <c r="AD339">
        <v>584.6</v>
      </c>
      <c r="AE339" s="3">
        <f>391+(224.6-31)+(0+(0-0))+0-0-0</f>
        <v>584.6</v>
      </c>
    </row>
    <row r="340" spans="1:31" s="2" customFormat="1" x14ac:dyDescent="0.3">
      <c r="A340">
        <v>90</v>
      </c>
      <c r="B340">
        <v>12</v>
      </c>
      <c r="C340">
        <v>4</v>
      </c>
      <c r="D340">
        <v>6</v>
      </c>
      <c r="E340">
        <v>1</v>
      </c>
      <c r="F340" s="3">
        <f>276+(200-26)+(-0.28152+(-0.204--0.02652))+0-0-0</f>
        <v>449.541</v>
      </c>
      <c r="G340" s="3">
        <f>283+(175.5-26)+(0+(0-0))+0-0-0</f>
        <v>432.5</v>
      </c>
      <c r="H340" s="3">
        <f>336+(111.9-26)+(-0.17136+(-0.057069--0.01326))+0-0-0</f>
        <v>421.68483099999997</v>
      </c>
      <c r="I340" s="3">
        <f>337+(109.9-27)+(0.68748+(0.224196-0.05508))+0-0-0</f>
        <v>420.756596</v>
      </c>
      <c r="J340" s="3">
        <f>336+(121.5-27)+(0.51408+(0.185895-0.04131))+0-0-0</f>
        <v>431.15866499999998</v>
      </c>
      <c r="K340" s="3">
        <f>337+(173.8-28)+(0.85935+(0.44319-0.0714))+0-0-0</f>
        <v>484.03113999999999</v>
      </c>
      <c r="L340" s="3">
        <f>336+(209.4-32)+(-0.17136+(-0.106794--0.01632))+0-0-0</f>
        <v>513.13816599999996</v>
      </c>
      <c r="M340" s="3">
        <f>339+(223.4-31)+(0+(0-0))+0-0-0</f>
        <v>531.4</v>
      </c>
      <c r="N340" s="3">
        <f>363+(211.6-30)+(0.74052+(0.431664-0.0612))+0-0-0</f>
        <v>545.71098400000005</v>
      </c>
      <c r="O340" s="3">
        <f>366+(208.5-29)+(0.37332+(0.21267-0.02958))+0-0-0</f>
        <v>546.05641000000003</v>
      </c>
      <c r="P340" s="3">
        <f>370+(203-29)+(0+(0-0))+0-0-0</f>
        <v>544</v>
      </c>
      <c r="Q340" s="3">
        <f>384+(190.7-30)+(0.58752+(0.291771-0.0459))+0-0-0</f>
        <v>545.53339100000005</v>
      </c>
      <c r="R340" s="3">
        <f>384+(194.3-31)+(-1.17504+(-0.594558--0.09486))+0-0-0</f>
        <v>545.62526199999991</v>
      </c>
      <c r="S340" s="3">
        <f>383+(185.8-31)+(-1.17198+(-0.568548--0.09486))+0-0-0</f>
        <v>536.15433199999995</v>
      </c>
      <c r="T340" s="3">
        <f>384+(170.4-31)+(-0.39168+(-0.173808--0.03162))+0-0-0</f>
        <v>522.86613199999999</v>
      </c>
      <c r="U340" s="3">
        <f>384+(173-30)+(-0.9792+(-0.44115--0.0765))+0-0-0</f>
        <v>525.65615000000003</v>
      </c>
      <c r="V340" s="3">
        <f>391+(179.6-31)+(-0.39882+(-0.183192--0.03162))+0-0-0</f>
        <v>539.04960800000003</v>
      </c>
      <c r="W340" s="3">
        <f>397+(191.6-32)+(0+(0-0))+0-0-0</f>
        <v>556.6</v>
      </c>
      <c r="X340" s="3">
        <f>407+(204.8-32)+(0+(0-0))+0-0-0</f>
        <v>579.79999999999995</v>
      </c>
      <c r="Y340" s="3">
        <f>406+(190.9-32)+(-0.41412+(-0.194718--0.03264))+0-0-0</f>
        <v>564.323802</v>
      </c>
      <c r="Z340" s="3">
        <f>406+(165.8-32)+(-0.82824+(-0.338232--0.06528))+0-0-0</f>
        <v>538.69880799999999</v>
      </c>
      <c r="AA340" s="3">
        <f>439+(128.4-39.8)+(0+(0-0))+0-0-0</f>
        <v>527.6</v>
      </c>
      <c r="AB340" s="3">
        <f>394+(149.3-31)+(-0.80376+(-0.304572--0.06324))+0-0-0</f>
        <v>511.25490799999994</v>
      </c>
      <c r="AC340" s="3">
        <f>341+(164.9-29)+(-0.34782+(-0.168198--0.02958))+0-0-0</f>
        <v>476.41356199999996</v>
      </c>
      <c r="AD340">
        <v>574.79999999999995</v>
      </c>
      <c r="AE340" s="3">
        <f>403+(203.8-32)+(0+(0-0))+0-0-0</f>
        <v>574.79999999999995</v>
      </c>
    </row>
    <row r="341" spans="1:31" s="2" customFormat="1" x14ac:dyDescent="0.3">
      <c r="A341">
        <v>90</v>
      </c>
      <c r="B341">
        <v>12</v>
      </c>
      <c r="C341">
        <v>5</v>
      </c>
      <c r="D341">
        <v>7</v>
      </c>
      <c r="E341">
        <v>1</v>
      </c>
      <c r="F341" s="3">
        <f>350+(133.8-28)+(-0.357+(-0.136476--0.02856))+0-0-0</f>
        <v>455.33508399999999</v>
      </c>
      <c r="G341" s="3">
        <f>361+(110.4-25)+(-0.18411+(-0.056304--0.01275))+0-0-0</f>
        <v>446.17233599999997</v>
      </c>
      <c r="H341" s="3">
        <f>368+(92.3-24)+(0.56304+(0.141219-0.03672))+0-0-0</f>
        <v>436.96753899999999</v>
      </c>
      <c r="I341" s="3">
        <f>368+(96.5-24)+(-0.56304+(-0.147645--0.03672))+0-0-0</f>
        <v>439.82603499999999</v>
      </c>
      <c r="J341" s="3">
        <f>368+(105.2-27)+(-0.18768+(-0.053652--0.01377))+0-0-0</f>
        <v>445.97243800000001</v>
      </c>
      <c r="K341" s="3">
        <f>368+(146.8-29)+(0+(0-0))+0-0-0</f>
        <v>485.8</v>
      </c>
      <c r="L341" s="3">
        <f>356+(170.8-32)+(-0.72624+(-0.348432--0.06528))+0-0-0</f>
        <v>493.79060800000002</v>
      </c>
      <c r="M341" s="3">
        <f>351+(181.4-33)+(-0.17901+(-0.092514--0.01683))+0-0-0</f>
        <v>499.14530600000001</v>
      </c>
      <c r="N341" s="3">
        <f>338+(203.7-33)+(-0.17238+(-0.103887--0.01683))+0-0-0</f>
        <v>508.440563</v>
      </c>
      <c r="O341" s="3">
        <f>338+(224.9-33)+(0+(0-0))+0-0-0</f>
        <v>529.9</v>
      </c>
      <c r="P341" s="3">
        <f>340+(229.3-34)+(0.1734+(0.116943-0.01734))+0-0-0</f>
        <v>535.57300299999997</v>
      </c>
      <c r="Q341" s="3">
        <f>352+(223.5-33)+(-0.71808+(-0.45594--0.06732))+0-0-0</f>
        <v>541.39329999999995</v>
      </c>
      <c r="R341" s="3">
        <f>353+(215.7-32)+(-0.54009+(-0.330021--0.04896))+0-0-0</f>
        <v>535.87884900000006</v>
      </c>
      <c r="S341" s="3">
        <f>362+(196.5-32)+(-0.55386+(-0.300645--0.04896))+0-0-0</f>
        <v>525.69445499999995</v>
      </c>
      <c r="T341" s="3">
        <f>363+(180.6-32)+(-0.55539+(-0.276318--0.04896))+0-0-0</f>
        <v>510.817252</v>
      </c>
      <c r="U341" s="3">
        <f>366+(175.7-32)+(-0.37332+(-0.179214--0.03264))+0-0-0</f>
        <v>509.18010599999997</v>
      </c>
      <c r="V341" s="3">
        <f>374+(176.9-30)+(0+(0-0))+0-0-0</f>
        <v>520.9</v>
      </c>
      <c r="W341" s="3">
        <f>376+(212.4-29)+(-0.38352+(-0.216648--0.02958))+0-0-0</f>
        <v>558.82941199999993</v>
      </c>
      <c r="X341" s="3">
        <f>377+(244.2-29)+(0+(0-0))+0-0-0</f>
        <v>592.20000000000005</v>
      </c>
      <c r="Y341" s="3">
        <f>386+(217.5-30)+(0+(0-0))+0-0-0</f>
        <v>573.5</v>
      </c>
      <c r="Z341" s="3">
        <f>424+(167.4-28)+(-0.21624+(-0.085374--0.01428))+0-0-0</f>
        <v>563.11266599999999</v>
      </c>
      <c r="AA341" s="3">
        <f>411+(141.4-29)+(0+(0-0))+0-0-0</f>
        <v>523.4</v>
      </c>
      <c r="AB341" s="3">
        <f>408+(118.4-31.8)+(-1.0404+(-0.30192--0.08109))+0-0-0</f>
        <v>493.33877000000001</v>
      </c>
      <c r="AC341" s="3">
        <f>343+(166-27)+(-0.69972+(-0.33864--0.05508))+0-0-0</f>
        <v>481.01672000000002</v>
      </c>
      <c r="AD341">
        <v>578.6</v>
      </c>
      <c r="AE341" s="3">
        <f>373+(238.6-33)+(0+(0-0))+0-0-0</f>
        <v>578.6</v>
      </c>
    </row>
    <row r="342" spans="1:31" s="2" customFormat="1" x14ac:dyDescent="0.3">
      <c r="A342">
        <v>90</v>
      </c>
      <c r="B342">
        <v>12</v>
      </c>
      <c r="C342">
        <v>6</v>
      </c>
      <c r="D342">
        <v>1</v>
      </c>
      <c r="E342">
        <v>1</v>
      </c>
      <c r="F342" s="3">
        <f>333+(144.9-26)+(0+(0-0))+0-0-0</f>
        <v>451.9</v>
      </c>
      <c r="G342" s="3">
        <f>333+(124.2-25)+(0.16983+(0.063342-0.01275))+0-0-0</f>
        <v>432.42042199999997</v>
      </c>
      <c r="H342" s="3">
        <f>332+(114.5-25)+(0+(0-0))+0-0-0</f>
        <v>421.5</v>
      </c>
      <c r="I342" s="3">
        <f>333+(113.8-25)+(-0.16983+(-0.058038--0.01275))+0-0-0</f>
        <v>421.58488199999999</v>
      </c>
      <c r="J342" s="3">
        <f>332+(128.2-29)+(-0.16932+(-0.065382--0.01479))+0-0-0</f>
        <v>430.98008799999997</v>
      </c>
      <c r="K342" s="3">
        <f>335+(179.8-31)+(0.6834+(0.366792-0.06324))+0-0-0</f>
        <v>484.78695199999999</v>
      </c>
      <c r="L342" s="3">
        <f>375+(181.3-32)+(0.3825+(0.184926-0.03264))+0-0-0</f>
        <v>524.83478600000001</v>
      </c>
      <c r="M342" s="3">
        <f>400+(158.1-33)+(0.204+(0.080631-0.01683))+0-0-0</f>
        <v>525.36780099999999</v>
      </c>
      <c r="N342" s="3">
        <f>400+(158.5-32)+(0+(0-0))+0-0-0</f>
        <v>526.5</v>
      </c>
      <c r="O342" s="3">
        <f>400+(158.8-34.1)+(0+(0-0))+0-0-0</f>
        <v>524.70000000000005</v>
      </c>
      <c r="P342" s="3">
        <f>400+(155.6-34.9)+(0.204+(0.079356-0.017799))+0-0-0</f>
        <v>520.96555699999999</v>
      </c>
      <c r="Q342" s="3">
        <f>399+(152-34)+(-0.61047+(-0.23256--0.05202))+0-0-0</f>
        <v>516.20898999999997</v>
      </c>
      <c r="R342" s="3">
        <f>397+(150-35.5)+(-0.60741+(-0.2295--0.054315))+0-0-0</f>
        <v>510.71740499999999</v>
      </c>
      <c r="S342" s="3">
        <f>399+(141.8-36.5)+(-0.40698+(-0.144636--0.03723))+0-0-0</f>
        <v>503.78561400000001</v>
      </c>
      <c r="T342" s="3">
        <f>397+(132.8-36.7)+(0.20247+(0.067728-0.018717))+0-0-0</f>
        <v>493.35148100000004</v>
      </c>
      <c r="U342" s="3">
        <f>397+(133.3-34.1)+(0+(0-0))+0-0-0</f>
        <v>496.20000000000005</v>
      </c>
      <c r="V342" s="3">
        <f>404+(144.5-32.7)+(-0.20604+(-0.073695--0.016677))+0-0-0</f>
        <v>515.53694199999995</v>
      </c>
      <c r="W342" s="3">
        <f>405+(166.9-27)+(0+(0-0))+0-0-0</f>
        <v>544.9</v>
      </c>
      <c r="X342" s="3">
        <f>406+(196.3-31)+(0+(0-0))+0-0-0</f>
        <v>571.29999999999995</v>
      </c>
      <c r="Y342" s="3">
        <f>410+(176.1-30)+(-0.8364+(-0.359244--0.0612))+0-0-0</f>
        <v>554.96555599999999</v>
      </c>
      <c r="Z342" s="3">
        <f>412+(146.8-28)+(0.21012+(0.074868-0.01428))+0-0-0</f>
        <v>531.07070799999997</v>
      </c>
      <c r="AA342" s="3">
        <f>409+(122.1-30)+(-0.62577+(-0.186813--0.0459))+0-0-0</f>
        <v>500.33331700000002</v>
      </c>
      <c r="AB342" s="3">
        <f>403+(112.1-25)+(-1.43871+(-0.400197--0.08925))+0-0-0</f>
        <v>488.35034300000001</v>
      </c>
      <c r="AC342" s="3">
        <f>403+(88.8-33.9)+(-1.23318+(-0.271728--0.103734))+0-0-0</f>
        <v>456.49882599999995</v>
      </c>
      <c r="AD342">
        <v>576.70000000000005</v>
      </c>
      <c r="AE342" s="3">
        <f>413+(195.7-32)+(0+(0-0))+0-0-0</f>
        <v>576.70000000000005</v>
      </c>
    </row>
    <row r="343" spans="1:31" s="2" customFormat="1" x14ac:dyDescent="0.3">
      <c r="A343">
        <v>90</v>
      </c>
      <c r="B343">
        <v>12</v>
      </c>
      <c r="C343">
        <v>7</v>
      </c>
      <c r="D343">
        <v>2</v>
      </c>
      <c r="E343">
        <v>1</v>
      </c>
      <c r="F343" s="3">
        <f>395+(71.8-36.9)+(0+(0-0))+0-0-0</f>
        <v>429.9</v>
      </c>
      <c r="G343" s="3">
        <f>390+(56.3-38.4)+(-0.7956+(-0.114852--0.078336))+0-0-0</f>
        <v>407.06788399999999</v>
      </c>
      <c r="H343" s="3">
        <f>363+(78.8-36.5)+(0.18513+(0.040188-0.018615))+0-0-0</f>
        <v>405.50670300000002</v>
      </c>
      <c r="I343" s="3">
        <f>362+(83.2-37.2)+(-0.55386+(-0.127296--0.056916))+0-0-0</f>
        <v>407.37576000000001</v>
      </c>
      <c r="J343" s="3">
        <f>363+(91.3-36.5)+(0.55539+(0.139689-0.055845))+0-0-0</f>
        <v>418.439234</v>
      </c>
      <c r="K343" s="3">
        <f>363+(136.2-35)+(0.74052+(0.277848-0.0714))+0-0-0</f>
        <v>465.14696800000002</v>
      </c>
      <c r="L343" s="3">
        <f>361+(178.1-31)+(0+(0-0))+0-0-0</f>
        <v>508.1</v>
      </c>
      <c r="M343" s="3">
        <f>360+(192.5-31)+(-0.1836+(-0.098175--0.01581))+0-0-0</f>
        <v>521.23403499999995</v>
      </c>
      <c r="N343" s="3">
        <f>361+(201.7-31)+(-0.36822+(-0.205734--0.03162))+0-0-0</f>
        <v>531.15766600000006</v>
      </c>
      <c r="O343" s="3">
        <f>360+(185.2-30)+(-0.3672+(-0.188904--0.0306))+0-0-0</f>
        <v>514.67449600000009</v>
      </c>
      <c r="P343" s="3">
        <f>360+(186.5-32)+(-0.918+(-0.475575--0.0816))+0-0-0</f>
        <v>513.18802500000004</v>
      </c>
      <c r="Q343" s="3">
        <f>359+(178.5-33)+(0+(0-0))+0-0-0</f>
        <v>504.5</v>
      </c>
      <c r="R343" s="3">
        <f>357+(171-33)+(-0.18207+(-0.08721--0.01683))+0-0-0</f>
        <v>494.74754999999999</v>
      </c>
      <c r="S343" s="3">
        <f>357+(159.7-30)+(-0.36414+(-0.162894--0.0306))+0-0-0</f>
        <v>486.20356599999997</v>
      </c>
      <c r="T343" s="3">
        <f>360+(141.9-25)+(0+(0-0))+0-0-0</f>
        <v>476.9</v>
      </c>
      <c r="U343" s="3">
        <f>361+(148.4-24)+(-0.18411+(-0.075684--0.01224))+0-0-0</f>
        <v>485.152446</v>
      </c>
      <c r="V343" s="3">
        <f>366+(164.7-24)+(-0.55998+(-0.251991--0.03672))+0-0-0</f>
        <v>505.92474899999996</v>
      </c>
      <c r="W343" s="3">
        <f>368+(197.4-30)+(-0.37536+(-0.201348--0.0306))+0-0-0</f>
        <v>534.85389199999997</v>
      </c>
      <c r="X343" s="3">
        <f>368+(227.1-38)+(-0.56304+(-0.347463--0.05814))+0-0-0</f>
        <v>556.24763700000005</v>
      </c>
      <c r="Y343" s="3">
        <f>368+(213.4-36)+(-0.37536+(-0.217668--0.03672))+0-0-0</f>
        <v>544.84369200000003</v>
      </c>
      <c r="Z343" s="3">
        <f>369+(189.4-38)+(0+(0-0))+0-0-0</f>
        <v>520.4</v>
      </c>
      <c r="AA343" s="3">
        <f>369+(165.9-34)+(-0.37638+(-0.169218--0.03468))+0-0-0</f>
        <v>500.38908199999997</v>
      </c>
      <c r="AB343" s="3">
        <f>340+(167-28)+(-0.867+(-0.42585--0.0714))+0-0-0</f>
        <v>477.77855</v>
      </c>
      <c r="AC343" s="3">
        <f>317+(159.6-28)+(-0.32334+(-0.162792--0.02856))+0-0-0</f>
        <v>448.142428</v>
      </c>
      <c r="AD343">
        <v>551.4</v>
      </c>
      <c r="AE343" s="3">
        <f>368+(219.4-36)+(0+(0-0))+0-0-0</f>
        <v>551.4</v>
      </c>
    </row>
    <row r="344" spans="1:31" s="2" customFormat="1" x14ac:dyDescent="0.3">
      <c r="A344">
        <v>90</v>
      </c>
      <c r="B344">
        <v>12</v>
      </c>
      <c r="C344">
        <v>8</v>
      </c>
      <c r="D344">
        <v>3</v>
      </c>
      <c r="E344">
        <v>1</v>
      </c>
      <c r="F344" s="3">
        <f>316+(136.6-26)+(-0.48348+(-0.208998--0.03978))+0-0-0</f>
        <v>425.94730200000004</v>
      </c>
      <c r="G344" s="3">
        <f>316+(120.1-26)+(-0.16116+(-0.061251--0.01326))+0-0-0</f>
        <v>409.890849</v>
      </c>
      <c r="H344" s="3">
        <f>314+(111.7-26)+(0.32028+(0.113934-0.02652))+0-0-0</f>
        <v>400.10769399999998</v>
      </c>
      <c r="I344" s="3">
        <f>235+(182.9-26)+(0+(0-0))+0-0-0</f>
        <v>391.9</v>
      </c>
      <c r="J344" s="3">
        <f>234+(196-31)+(-0.23868+(-0.19992--0.03162))+0-0-0</f>
        <v>398.59302000000002</v>
      </c>
      <c r="K344" s="3">
        <f>234+(256.1-35)+(-0.11934+(-0.130611--0.01785))+0-0-0</f>
        <v>454.86789900000002</v>
      </c>
      <c r="L344" s="3">
        <f>310+(218.6-39)+(-0.7905+(-0.55743--0.09945))+0-0-0</f>
        <v>488.35152000000005</v>
      </c>
      <c r="M344" s="3">
        <f>332+(197.8-36)+(0.33864+(0.201756-0.03672))+0-0-0</f>
        <v>494.303676</v>
      </c>
      <c r="N344" s="3">
        <f>349+(183.6-33)+(0.53397+(0.280908-0.05049))+0-0-0</f>
        <v>500.36438800000002</v>
      </c>
      <c r="O344" s="3">
        <f>347+(172.1-29)+(-0.88485+(-0.438855--0.07395))+0-0-0</f>
        <v>488.85024500000003</v>
      </c>
      <c r="P344" s="3">
        <f>346+(166.2-31)+(0.35292+(0.169524-0.03162))+0-0-0</f>
        <v>481.69082399999996</v>
      </c>
      <c r="Q344" s="3">
        <f>345+(171.5-31)+(-0.3519+(-0.17493--0.03162))+0-0-0</f>
        <v>485.00479000000001</v>
      </c>
      <c r="R344" s="3">
        <f>344+(172.2-33)+(-0.17544+(-0.087822--0.01683))+0-0-0</f>
        <v>482.95356799999996</v>
      </c>
      <c r="S344" s="3">
        <f>344+(160.9-28)+(-0.35088+(-0.164118--0.02856))+0-0-0</f>
        <v>476.41356199999996</v>
      </c>
      <c r="T344" s="3">
        <f>344+(151.3-32)+(-0.17544+(-0.077163--0.01632))+0-0-0</f>
        <v>463.063717</v>
      </c>
      <c r="U344" s="3">
        <f>345+(150.7-32)+(-0.7038+(-0.307428--0.06528))+0-0-0</f>
        <v>462.754052</v>
      </c>
      <c r="V344" s="3">
        <f>352+(157.6-33)+(-0.17952+(-0.080376--0.01683))+0-0-0</f>
        <v>476.35693400000002</v>
      </c>
      <c r="W344" s="3">
        <f>364+(181.2-38)+(-0.74256+(-0.369648--0.07752))+0-0-0</f>
        <v>506.16531199999997</v>
      </c>
      <c r="X344" s="3">
        <f>374+(216-39)+(-0.19074+(-0.11016--0.01989))+0-0-0</f>
        <v>550.71898999999996</v>
      </c>
      <c r="Y344" s="3">
        <f>374+(204.4-34)+(-0.9537+(-0.52122--0.0867))+0-0-0</f>
        <v>543.01177999999993</v>
      </c>
      <c r="Z344" s="3">
        <f>356+(196-32)+(-0.54468+(-0.29988--0.04896))+0-0-0</f>
        <v>519.20439999999996</v>
      </c>
      <c r="AA344" s="3">
        <f>320+(207.1-32)+(-0.1632+(-0.105621--0.01632))+0-0-0</f>
        <v>494.84749900000003</v>
      </c>
      <c r="AB344" s="3">
        <f>319+(172.9-28)+(-0.16269+(-0.088179--0.01428))+0-0-0</f>
        <v>463.663411</v>
      </c>
      <c r="AC344" s="3">
        <f>319+(147.2-27)+(0+(0-0))+0-0-0</f>
        <v>439.2</v>
      </c>
      <c r="AD344">
        <v>545.4</v>
      </c>
      <c r="AE344" s="3">
        <f>370+(211.4-36)+(0+(0-0))+0-0-0</f>
        <v>545.4</v>
      </c>
    </row>
    <row r="345" spans="1:31" s="2" customFormat="1" x14ac:dyDescent="0.3">
      <c r="A345">
        <v>90</v>
      </c>
      <c r="B345">
        <v>12</v>
      </c>
      <c r="C345">
        <v>9</v>
      </c>
      <c r="D345">
        <v>4</v>
      </c>
      <c r="E345">
        <v>1</v>
      </c>
      <c r="F345" s="3">
        <f>316+(122.2-27)+(-0.8058+(-0.31161--0.06885))+0-0-0</f>
        <v>410.15143999999998</v>
      </c>
      <c r="G345" s="3">
        <f>300+(124.9-26)+(-0.459+(-0.191097--0.03978))+0-0-0</f>
        <v>398.28968299999997</v>
      </c>
      <c r="H345" s="3">
        <f>280+(133.9-26)+(-0.2856+(-0.136578--0.02652))+0-0-0</f>
        <v>387.50434199999995</v>
      </c>
      <c r="I345" s="3">
        <f>279+(134.9-26)+(-0.42687+(-0.206397--0.03978))+0-0-0</f>
        <v>387.306513</v>
      </c>
      <c r="J345" s="3">
        <f>280+(144.2-29)+(0.2856+(0.147084-0.02958))+0-0-0</f>
        <v>395.60310399999997</v>
      </c>
      <c r="K345" s="3">
        <f>286+(196.7-35)+(0.14586+(0.100317-0.01785))+0-0-0</f>
        <v>447.92832699999997</v>
      </c>
      <c r="L345" s="3">
        <f>309+(200.5-37)+(0.15759+(0.102255-0.01887))+0-0-0</f>
        <v>472.74097499999999</v>
      </c>
      <c r="M345" s="3">
        <f>310+(208.9-36)+(0.1581+(0.106539-0.01836))+0-0-0</f>
        <v>483.14627899999999</v>
      </c>
      <c r="N345" s="3">
        <f>305+(212.8-31)+(0.3111+(0.217056-0.03162))+0-0-0</f>
        <v>487.296536</v>
      </c>
      <c r="O345" s="3">
        <f>305+(204.4-23)+(0.3111+(0.208488-0.02346))+0-0-0</f>
        <v>486.89612799999998</v>
      </c>
      <c r="P345" s="3">
        <f>304+(203.6-21)+(-0.46512+(-0.311508--0.03213))+0-0-0</f>
        <v>485.855502</v>
      </c>
      <c r="Q345" s="3">
        <f>304+(204.8-29)+(-0.31008+(-0.208896--0.02958))+0-0-0</f>
        <v>479.31060400000001</v>
      </c>
      <c r="R345" s="3">
        <f>304+(205.2-31)+(-0.7752+(-0.52326--0.07905))+0-0-0</f>
        <v>476.98059000000001</v>
      </c>
      <c r="S345" s="3">
        <f>306+(195-30)+(0.31212+(0.1989-0.0306))+0-0-0</f>
        <v>471.48041999999998</v>
      </c>
      <c r="T345" s="3">
        <f>301+(187.4-30)+(-0.30702+(-0.191148--0.0306))+0-0-0</f>
        <v>457.93243199999995</v>
      </c>
      <c r="U345" s="3">
        <f>301+(183.2-31)+(0.61404+(0.373728-0.06324))+0-0-0</f>
        <v>454.124528</v>
      </c>
      <c r="V345" s="3">
        <f>307+(191-34)+(-0.31314+(-0.19482--0.03468))+0-0-0</f>
        <v>463.52672000000001</v>
      </c>
      <c r="W345" s="3">
        <f>311+(217.8-37)+(0.15861+(0.111078-0.01887))+0-0-0</f>
        <v>492.05081799999999</v>
      </c>
      <c r="X345" s="3">
        <f>314+(260.3-39)+(0.32028+(0.265506-0.03978))+0-0-0</f>
        <v>535.84600599999999</v>
      </c>
      <c r="Y345" s="3">
        <f>314+(250.8-40)+(0.16014+(0.127908-0.0204))+0-0-0</f>
        <v>525.06764799999996</v>
      </c>
      <c r="Z345" s="3">
        <f>313+(234.1-37)+(-0.31926+(-0.238782--0.03774))+0-0-0</f>
        <v>509.57969800000001</v>
      </c>
      <c r="AA345" s="3">
        <f>304+(217.8-33)+(-0.31008+(-0.222156--0.03366))+0-0-0</f>
        <v>488.301424</v>
      </c>
      <c r="AB345" s="3">
        <f>291+(205-31)+(-0.44523+(-0.31365--0.04743))+0-0-0</f>
        <v>464.28854999999999</v>
      </c>
      <c r="AC345" s="3">
        <f>291+(173.7-29)+(-0.44523+(-0.265761--0.04437))+0-0-0</f>
        <v>435.03337899999997</v>
      </c>
      <c r="AD345">
        <v>531.5</v>
      </c>
      <c r="AE345" s="3">
        <f>311+(260.5-40)+(0+(0-0))+0-0-0</f>
        <v>531.5</v>
      </c>
    </row>
    <row r="346" spans="1:31" s="2" customFormat="1" x14ac:dyDescent="0.3">
      <c r="A346">
        <v>90</v>
      </c>
      <c r="B346">
        <v>12</v>
      </c>
      <c r="C346">
        <v>10</v>
      </c>
      <c r="D346">
        <v>5</v>
      </c>
      <c r="E346">
        <v>1</v>
      </c>
      <c r="F346" s="3">
        <f>288+(147.4-27)+(0+(0-0))+0-0-0</f>
        <v>408.4</v>
      </c>
      <c r="G346" s="3">
        <f>287+(132.9-26)+(-0.58548+(-0.271116--0.05304))+0-0-0</f>
        <v>393.09644399999996</v>
      </c>
      <c r="H346" s="3">
        <f>287+(128.2-26)+(-0.43911+(-0.196146--0.03978))+0-0-0</f>
        <v>388.60452399999997</v>
      </c>
      <c r="I346" s="3">
        <f>241+(170.4-32)+(-0.24582+(-0.173808--0.03264))+0-0-0</f>
        <v>379.013012</v>
      </c>
      <c r="J346" s="3">
        <f>233+(191.1-36)+(0.11883+(0.097461-0.01836))+0-0-0</f>
        <v>388.29793100000001</v>
      </c>
      <c r="K346" s="3">
        <f>233+(240.6-39)+(0.11883+(0.122706-0.01989))+0-0-0</f>
        <v>434.82164600000004</v>
      </c>
      <c r="L346" s="3">
        <f>275+(241-39)+(0.14025+(0.12291-0.01989))+0-0-0</f>
        <v>477.24327</v>
      </c>
      <c r="M346" s="3">
        <f>286+(236.3-36)+(0+(0-0))+0-0-0</f>
        <v>486.3</v>
      </c>
      <c r="N346" s="3">
        <f>293+(216-32)+(0.14943+(0.11016-0.01632))+0-0-0</f>
        <v>477.24327</v>
      </c>
      <c r="O346" s="3">
        <f>293+(198.7-27)+(0+(0-0))+0-0-0</f>
        <v>464.7</v>
      </c>
      <c r="P346" s="3">
        <f>293+(195-29)+(-0.59772+(-0.3978--0.05916))+0-0-0</f>
        <v>458.06364000000002</v>
      </c>
      <c r="Q346" s="3">
        <f>293+(195.3-30)+(0+(0-0))+0-0-0</f>
        <v>458.3</v>
      </c>
      <c r="R346" s="3">
        <f>290+(196.7-31)+(-0.2958+(-0.200634--0.03162))+0-0-0</f>
        <v>455.235186</v>
      </c>
      <c r="S346" s="3">
        <f>291+(198.1-31)+(-0.14841+(-0.101031--0.01581))+0-0-0</f>
        <v>457.86636900000002</v>
      </c>
      <c r="T346" s="3">
        <f>291+(187.4-29)+(0.14841+(0.095574-0.01479))+0-0-0</f>
        <v>449.62919399999998</v>
      </c>
      <c r="U346" s="3">
        <f>290+(186.7-27)+(-0.7395+(-0.476085--0.06885))+0-0-0</f>
        <v>448.55326500000001</v>
      </c>
      <c r="V346" s="3">
        <f>295+(186.1-27)+(0+(0-0))+0-0-0</f>
        <v>454.1</v>
      </c>
      <c r="W346" s="3">
        <f>301+(222.5-36)+(-0.61404+(-0.4539--0.07344))+0-0-0</f>
        <v>486.50549999999998</v>
      </c>
      <c r="X346" s="3">
        <f>302+(264.9-41)+(-0.30804+(-0.270198--0.04182))+0-0-0</f>
        <v>525.36358199999995</v>
      </c>
      <c r="Y346" s="3">
        <f>301+(253.8-39)+(-0.92106+(-0.776628--0.11934))+0-0-0</f>
        <v>514.22165199999995</v>
      </c>
      <c r="Z346" s="3">
        <f>302+(229.3-36)+(-0.46206+(-0.350829--0.05508))+0-0-0</f>
        <v>494.542191</v>
      </c>
      <c r="AA346" s="3">
        <f>302+(207.2-34)+(-0.30804+(-0.211344--0.03468))+0-0-0</f>
        <v>474.71529599999997</v>
      </c>
      <c r="AB346" s="3">
        <f>302+(181.5-30)+(-0.46206+(-0.277695--0.0459))+0-0-0</f>
        <v>452.80614500000001</v>
      </c>
      <c r="AC346" s="3">
        <f>287+(170-28)+(-0.73185+(-0.4335--0.0714))+0-0-0</f>
        <v>427.90604999999999</v>
      </c>
      <c r="AD346">
        <v>525.4</v>
      </c>
      <c r="AE346" s="3">
        <f>302+(263.4-40)+(0+(0-0))+0-0-0</f>
        <v>525.4</v>
      </c>
    </row>
    <row r="347" spans="1:31" s="2" customFormat="1" x14ac:dyDescent="0.3">
      <c r="A347">
        <v>90</v>
      </c>
      <c r="B347">
        <v>12</v>
      </c>
      <c r="C347">
        <v>11</v>
      </c>
      <c r="D347">
        <v>6</v>
      </c>
      <c r="E347">
        <v>1</v>
      </c>
      <c r="F347" s="3">
        <f>229+(200.2-28)+(-0.46716+(-0.408408--0.05712))+0-0-0</f>
        <v>400.381552</v>
      </c>
      <c r="G347" s="3">
        <f>217+(194.2-28)+(0.33201+(0.297126-0.04284))+0-0-0</f>
        <v>383.78629599999999</v>
      </c>
      <c r="H347" s="3">
        <f>217+(184.4-27)+(-0.55335+(-0.47022--0.06885))+0-0-0</f>
        <v>373.44527999999997</v>
      </c>
      <c r="I347" s="3">
        <f>217+(181-27)+(0.22134+(0.18462-0.02754))+0-0-0</f>
        <v>371.37842000000001</v>
      </c>
      <c r="J347" s="3">
        <f>217+(199.9-39)+(-0.44268+(-0.407796--0.07956))+0-0-0</f>
        <v>377.12908399999998</v>
      </c>
      <c r="K347" s="3">
        <f>217+(255-39)+(-0.22134+(-0.2601--0.03978))+0-0-0</f>
        <v>432.55833999999999</v>
      </c>
      <c r="L347" s="3">
        <f>219+(272.4-38)+(-0.44676+(-0.555696--0.07752))+0-0-0</f>
        <v>452.47506399999997</v>
      </c>
      <c r="M347" s="3">
        <f>229+(284.9-35)+(0.70074+(0.871794-0.1071))+0-0-0</f>
        <v>480.36543399999999</v>
      </c>
      <c r="N347" s="3">
        <f>288+(234.4-33)+(0.58752+(0.478176-0.06732))+0-0-0</f>
        <v>490.39837599999998</v>
      </c>
      <c r="O347" s="3">
        <f>329+(187-32)+(-0.16779+(-0.09537--0.01632))+0-0-0</f>
        <v>483.75315999999998</v>
      </c>
      <c r="P347" s="3">
        <f>331+(183.4-25)+(0.33762+(0.187068-0.0255))+0-0-0</f>
        <v>489.89918799999998</v>
      </c>
      <c r="Q347" s="3">
        <f>331+(188.2-27)+(0+(0-0))+0-0-0</f>
        <v>492.2</v>
      </c>
      <c r="R347" s="3">
        <f>323+(194.7-35)+(-0.98838+(-0.595782--0.1071))+0-0-0</f>
        <v>481.222938</v>
      </c>
      <c r="S347" s="3">
        <f>324+(188.2-28)+(-0.99144+(-0.575892--0.08568))+0-0-0</f>
        <v>482.71834799999999</v>
      </c>
      <c r="T347" s="3">
        <f>325+(172.6-29)+(0.663+(0.352104-0.05916))+0-0-0</f>
        <v>469.55594400000001</v>
      </c>
      <c r="U347" s="3">
        <f>327+(162.2-33)+(0.16677+(0.082722-0.01683))+0-0-0</f>
        <v>456.43266199999999</v>
      </c>
      <c r="V347" s="3">
        <f>335+(165.9-34)+(-0.17085+(-0.084609--0.01734))+0-0-0</f>
        <v>466.66188099999999</v>
      </c>
      <c r="W347" s="3">
        <f>335+(186-38)+(-0.3417+(-0.18972--0.03876))+0-0-0</f>
        <v>482.50734</v>
      </c>
      <c r="X347" s="3">
        <f>336+(218.7-37)+(-0.17136+(-0.111537--0.01887))+0-0-0</f>
        <v>517.43597299999999</v>
      </c>
      <c r="Y347" s="3">
        <f>335+(210.2-35)+(-0.51255+(-0.321606--0.05355))+0-0-0</f>
        <v>509.41939400000001</v>
      </c>
      <c r="Z347" s="3">
        <f>335+(189.2-33)+(-0.6834+(-0.385968--0.06732))+0-0-0</f>
        <v>490.19795199999999</v>
      </c>
      <c r="AA347" s="3">
        <f>336+(173.3-32)+(0+(0-0))+0-0-0</f>
        <v>477.3</v>
      </c>
      <c r="AB347" s="3">
        <f>335+(150.3-30)+(-0.85425+(-0.383265--0.0765))+0-0-0</f>
        <v>454.13898499999999</v>
      </c>
      <c r="AC347" s="3">
        <f>299+(156.9-28)+(0+(0-0))+0-0-0</f>
        <v>427.9</v>
      </c>
      <c r="AD347">
        <v>512.70000000000005</v>
      </c>
      <c r="AE347" s="3">
        <f>336+(216.7-40)+(0+(0-0))+0-0-0</f>
        <v>512.70000000000005</v>
      </c>
    </row>
    <row r="348" spans="1:31" s="2" customFormat="1" x14ac:dyDescent="0.3">
      <c r="A348">
        <v>90</v>
      </c>
      <c r="B348">
        <v>12</v>
      </c>
      <c r="C348">
        <v>12</v>
      </c>
      <c r="D348">
        <v>7</v>
      </c>
      <c r="E348">
        <v>1</v>
      </c>
      <c r="F348" s="3">
        <f>276+(151.9-29)+(-0.56304+(-0.309876--0.05916))+0-0-0</f>
        <v>398.08624399999997</v>
      </c>
      <c r="G348" s="3">
        <f>240+(172.5-29)+(0+(0-0))+0-0-0</f>
        <v>383.5</v>
      </c>
      <c r="H348" s="3">
        <f>237+(163.1-29)+(0.12087+(0.083181-0.01479))+0-0-0</f>
        <v>371.28926100000001</v>
      </c>
      <c r="I348" s="3">
        <f>237+(159.6-32)+(-0.24174+(-0.162792--0.03264))+0-0-0</f>
        <v>364.22810800000002</v>
      </c>
      <c r="J348" s="3">
        <f>235+(170.5-34)+(-0.59925+(-0.434775--0.0867))+0-0-0</f>
        <v>370.55267500000002</v>
      </c>
      <c r="K348" s="3">
        <f>237+(210.1-33)+(0.24174+(0.214302-0.03366))+0-0-0</f>
        <v>414.52238200000005</v>
      </c>
      <c r="L348" s="3">
        <f>234+(223.6-40)+(0.11934+(0.114036-0.0204))+0-0-0</f>
        <v>417.81297600000005</v>
      </c>
      <c r="M348" s="3">
        <f>235+(239.7-44)+(0+(0-0))+0-0-0</f>
        <v>430.7</v>
      </c>
      <c r="N348" s="3">
        <f>255+(230-31)+(0.13005+(0.1173-0.01581))+0-0-0</f>
        <v>454.23154</v>
      </c>
      <c r="O348" s="3">
        <f>284+(210.6-33)+(0.28968+(0.214812-0.03366))+0-0-0</f>
        <v>462.070832</v>
      </c>
      <c r="P348" s="3">
        <f>280+(221.3-32)+(-0.1428+(-0.112863--0.01632))+0-0-0</f>
        <v>469.06065699999999</v>
      </c>
      <c r="Q348" s="3">
        <f>279+(224.1-29)+(-0.14229+(-0.114291--0.01479))+0-0-0</f>
        <v>473.85820900000004</v>
      </c>
      <c r="R348" s="3">
        <f>279+(221.7-34)+(0+(0-0))+0-0-0</f>
        <v>466.7</v>
      </c>
      <c r="S348" s="3">
        <f>278+(204.3-32)+(0+(0-0))+0-0-0</f>
        <v>450.3</v>
      </c>
      <c r="T348" s="3">
        <f>279+(185.6-29)+(0+(0-0))+0-0-0</f>
        <v>435.6</v>
      </c>
      <c r="U348" s="3">
        <f>279+(171.5-30)+(0+(0-0))+0-0-0</f>
        <v>420.5</v>
      </c>
      <c r="V348" s="3">
        <f>288+(174.1-31)+(0+(0-0))+0-0-0</f>
        <v>431.1</v>
      </c>
      <c r="W348" s="3">
        <f>289+(203.2-35)+(0+(0-0))+0-0-0</f>
        <v>457.2</v>
      </c>
      <c r="X348" s="3">
        <f>293+(236.8-41)+(0+(0-0))+0-0-0</f>
        <v>488.8</v>
      </c>
      <c r="Y348" s="3">
        <f>294+(231.4-38)+(0+(0-0))+0-0-0</f>
        <v>487.4</v>
      </c>
      <c r="Z348" s="3">
        <f>294+(218.6-37)+(0+(0-0))+0-0-0</f>
        <v>475.6</v>
      </c>
      <c r="AA348" s="3">
        <f>292+(202.2-34)+(0+(0-0))+0-0-0</f>
        <v>460.2</v>
      </c>
      <c r="AB348" s="3">
        <f>282+(190.6-30)+(0+(0-0))+0-0-0</f>
        <v>442.6</v>
      </c>
      <c r="AC348" s="3">
        <f>291+(151-29)+(0+(0-0))+0-0-0</f>
        <v>413</v>
      </c>
      <c r="AD348">
        <v>488</v>
      </c>
      <c r="AE348" s="3">
        <f>294+(234-40)+(0+(0-0))+0-0-0</f>
        <v>488</v>
      </c>
    </row>
    <row r="349" spans="1:31" s="2" customFormat="1" x14ac:dyDescent="0.3">
      <c r="A349">
        <v>90</v>
      </c>
      <c r="B349">
        <v>12</v>
      </c>
      <c r="C349">
        <v>13</v>
      </c>
      <c r="D349">
        <v>1</v>
      </c>
      <c r="E349">
        <v>1</v>
      </c>
      <c r="F349" s="3">
        <f>289+(127-0)+(0+(0-0))+0-0-0</f>
        <v>416</v>
      </c>
      <c r="G349" s="3">
        <f>290+(110.9-28)+(0+(0-0))+0-0-0</f>
        <v>372.9</v>
      </c>
      <c r="H349" s="3">
        <f>278+(103.7-28)+(0+(0-0))+0-0-0</f>
        <v>353.7</v>
      </c>
      <c r="I349" s="3">
        <f>239+(118.4-27)+(0+(0-0))+0-0-0</f>
        <v>330.4</v>
      </c>
      <c r="J349" s="3">
        <f>241+(120.9-29)+(0+(0-0))+0-0-0</f>
        <v>332.9</v>
      </c>
      <c r="K349" s="3">
        <f>240+(159.4-33)+(0+(0-0))+0-0-0</f>
        <v>366.4</v>
      </c>
      <c r="L349" s="3">
        <f>241+(177.7-33)+(0.61455+(0.453135-0.08415))+0-0-0</f>
        <v>386.68353500000001</v>
      </c>
      <c r="M349" s="3">
        <f>245+(183.3-34)+(0.4998+(0.373932-0.06936))+0-0-0</f>
        <v>395.10437200000001</v>
      </c>
      <c r="N349" s="3">
        <f>287+(162.4-29)+(0+(0-0))+0-0-0</f>
        <v>420.4</v>
      </c>
      <c r="O349" s="3">
        <f>287+(206-28)+(0.14637+(0.10506-0.01428))+0-0-0</f>
        <v>465.23714999999999</v>
      </c>
      <c r="P349" s="3">
        <f>284+(171.9-25)+(0.14484+(0.087669-0.01275))+0-0-0</f>
        <v>431.11975899999999</v>
      </c>
      <c r="Q349" s="3">
        <f>281+(155.9-19)+(-0.42993+(-0.238527--0.02907))+0-0-0</f>
        <v>417.26061299999998</v>
      </c>
      <c r="R349" s="3">
        <f>280+(122.9-27)+(0+(0-0))+0-0-0</f>
        <v>375.9</v>
      </c>
      <c r="S349" s="3">
        <f>280+(133.2-20)+(-0.2856+(-0.135864--0.0204))+0-0-0</f>
        <v>392.79893599999997</v>
      </c>
      <c r="T349" s="3">
        <f>281+(129.2-19)+(0+(0-0))+0-0-0</f>
        <v>391.2</v>
      </c>
      <c r="U349" s="3">
        <f>280+(130-26)+(-0.4284+(-0.1989--0.03978))+0-0-0</f>
        <v>383.41248000000002</v>
      </c>
      <c r="V349" s="3">
        <f>288+(133.6-26)+(0.14688+(0.068136-0.01326))+0-0-0</f>
        <v>395.80175600000001</v>
      </c>
      <c r="W349" s="3">
        <f>288+(159-26)+(-0.29376+(-0.16218--0.02652))+0-0-0</f>
        <v>420.57058000000001</v>
      </c>
      <c r="X349" s="3">
        <f>293+(200.5-40)+(0+(0-0))+0-0-0</f>
        <v>453.5</v>
      </c>
      <c r="Y349" s="3">
        <f>293+(204.6-39)+(-0.44829+(-0.313038--0.05967))+0-0-0</f>
        <v>457.89834200000001</v>
      </c>
      <c r="Z349" s="3">
        <f>293+(197.9-43)+(-0.44829+(-0.302787--0.06579))+0-0-0</f>
        <v>447.21471299999996</v>
      </c>
      <c r="AA349" s="3">
        <f>294+(181-36)+(-0.14994+(-0.09231--0.01836))+0-0-0</f>
        <v>438.77611000000002</v>
      </c>
      <c r="AB349" s="3">
        <f>289+(154.2-32)+(-0.58956+(-0.314568--0.06528))+0-0-0</f>
        <v>410.361152</v>
      </c>
      <c r="AC349" s="3">
        <f>289+(126.9-31)+(-0.73695+(-0.323595--0.07905))+0-0-0</f>
        <v>383.91850499999998</v>
      </c>
      <c r="AD349">
        <v>455.5</v>
      </c>
      <c r="AE349" s="3">
        <f>293+(202.5-40)+(0+(0-0))+0-0-0</f>
        <v>455.5</v>
      </c>
    </row>
    <row r="350" spans="1:31" s="2" customFormat="1" x14ac:dyDescent="0.3">
      <c r="A350">
        <v>90</v>
      </c>
      <c r="B350">
        <v>12</v>
      </c>
      <c r="C350">
        <v>14</v>
      </c>
      <c r="D350">
        <v>2</v>
      </c>
      <c r="E350">
        <v>1</v>
      </c>
      <c r="F350" s="3">
        <f>288+(103.3-31)+(-0.7344+(-0.263415--0.07905))+0-0-0</f>
        <v>359.381235</v>
      </c>
      <c r="G350" s="3">
        <f>288+(84.8-31)+(-0.7344+(-0.21624--0.07905))+0-0-0</f>
        <v>340.92840999999999</v>
      </c>
      <c r="H350" s="3">
        <f>273+(87.3-31)+(-0.69615+(-0.222615--0.07905))+0-0-0</f>
        <v>328.460285</v>
      </c>
      <c r="I350" s="3">
        <f>239+(110.9-31)+(-0.12189+(-0.056559--0.01581))+0-0-0</f>
        <v>318.73736099999996</v>
      </c>
      <c r="J350" s="3">
        <f>237+(118.4-32)+(-0.60435+(-0.30192--0.0816))+0-0-0</f>
        <v>322.57532999999995</v>
      </c>
      <c r="K350" s="3">
        <f>239+(159.4-35)+(0.12189+(0.081294-0.01785))+0-0-0</f>
        <v>363.58533399999999</v>
      </c>
      <c r="L350" s="3">
        <f>237+(183.3-39)+(-0.36261+(-0.280449--0.05967))+0-0-0</f>
        <v>380.716611</v>
      </c>
      <c r="M350" s="3">
        <f>283+(153.8-34)+(-0.28866+(-0.156876--0.03468))+0-0-0</f>
        <v>402.38914399999999</v>
      </c>
      <c r="N350" s="3">
        <f>305+(142.3-34)+(0.15555+(0.072573-0.01734))+0-0-0</f>
        <v>413.510783</v>
      </c>
      <c r="O350" s="3">
        <f>319+(149.1-38.1)+(0.32538+(0.152082-0.038862))+0-0-0</f>
        <v>430.43860000000001</v>
      </c>
      <c r="P350" s="3">
        <f>316+(153.4-35.9)+(-0.16116+(-0.078234--0.018309))+0-0-0</f>
        <v>433.27891499999998</v>
      </c>
      <c r="Q350" s="3">
        <f>317+(156.4-34.2)+(-0.32334+(-0.159528--0.034884))+0-0-0</f>
        <v>438.75201599999997</v>
      </c>
      <c r="R350" s="3">
        <f>323+(155-35.2)+(-0.16473+(-0.07905--0.017952))+0-0-0</f>
        <v>442.57417200000003</v>
      </c>
      <c r="S350" s="3">
        <f>323+(149-32.7)+(0.32946+(0.15198-0.033354))+0-0-0</f>
        <v>439.748086</v>
      </c>
      <c r="T350" s="3">
        <f>323+(150.4-35.4)+(0.16473+(0.076704-0.018054))+0-0-0</f>
        <v>438.22338000000002</v>
      </c>
      <c r="U350" s="3">
        <f>323+(149.7-36)+(0.16473+(0.076347-0.01836))+0-0-0</f>
        <v>436.92271699999998</v>
      </c>
      <c r="V350" s="3">
        <f>321+(156.7-29)+(-0.16371+(-0.079917--0.01479))+0-0-0</f>
        <v>448.47116299999999</v>
      </c>
      <c r="W350" s="3">
        <f>294+(218.7-32)+(0.44982+(0.334611-0.04896))+0-0-0</f>
        <v>481.43547100000001</v>
      </c>
      <c r="X350" s="3">
        <f>293+(261-39)+(0+(0-0))+0-0-0</f>
        <v>515</v>
      </c>
      <c r="Y350" s="3">
        <f>293+(254.1-35)+(-0.44829+(-0.388773--0.05355))+0-0-0</f>
        <v>511.316487</v>
      </c>
      <c r="Z350" s="3">
        <f>293+(232.6-34)+(-0.29886+(-0.237252--0.03468))+0-0-0</f>
        <v>491.098568</v>
      </c>
      <c r="AA350" s="3">
        <f>292+(209.9-32)+(-0.7446+(-0.535245--0.0816))+0-0-0</f>
        <v>468.70175499999999</v>
      </c>
      <c r="AB350" s="3">
        <f>293+(184.5-29)+(-0.44829+(-0.282285--0.04437))+0-0-0</f>
        <v>447.81379500000003</v>
      </c>
      <c r="AC350" s="3">
        <f>293+(152.1-28)+(-0.59772+(-0.310284--0.05712))+0-0-0</f>
        <v>416.24911600000001</v>
      </c>
      <c r="AD350">
        <v>517.5</v>
      </c>
      <c r="AE350" s="3">
        <f>293+(260.5-36)+(0+(0-0))+0-0-0</f>
        <v>517.5</v>
      </c>
    </row>
    <row r="351" spans="1:31" s="2" customFormat="1" x14ac:dyDescent="0.3">
      <c r="A351">
        <v>90</v>
      </c>
      <c r="B351">
        <v>12</v>
      </c>
      <c r="C351">
        <v>15</v>
      </c>
      <c r="D351">
        <v>3</v>
      </c>
      <c r="E351">
        <v>1</v>
      </c>
      <c r="F351" s="3">
        <f>291+(125.8-27)+(0.14841+(0.064158-0.01377))+0-0-0</f>
        <v>389.99879800000002</v>
      </c>
      <c r="G351" s="3">
        <f>259+(140.8-27)+(-0.26418+(-0.143616--0.02754))+0-0-0</f>
        <v>372.41974400000004</v>
      </c>
      <c r="H351" s="3">
        <f>241+(149.7-28)+(-0.12291+(-0.076347--0.01428))+0-0-0</f>
        <v>362.51502299999999</v>
      </c>
      <c r="I351" s="3">
        <f>241+(144.7-28)+(0.12291+(0.073797-0.01428))+0-0-0</f>
        <v>357.88242700000001</v>
      </c>
      <c r="J351" s="3">
        <f>240+(160.3-33)+(-0.2448+(-0.163506--0.03366))+0-0-0</f>
        <v>366.92535400000003</v>
      </c>
      <c r="K351" s="3">
        <f>260+(191.3-34)+(0+(0-0))+0-0-0</f>
        <v>417.3</v>
      </c>
      <c r="L351" s="3">
        <f>279+(202.4-37)+(-0.28458+(-0.206448--0.03774))+0-0-0</f>
        <v>443.94671199999999</v>
      </c>
      <c r="M351" s="3">
        <f>280+(210.4-34)+(0.1428+(0.107304-0.01734))+0-0-0</f>
        <v>456.63276399999995</v>
      </c>
      <c r="N351" s="3">
        <f>280+(218.3-32)+(0.2856+(0.222666-0.03264))+0-0-0</f>
        <v>466.77562599999999</v>
      </c>
      <c r="O351" s="3">
        <f>307+(187.3-31)+(0.15657+(0.095523-0.01581))+0-0-0</f>
        <v>463.53628300000003</v>
      </c>
      <c r="P351" s="3">
        <f>313+(188-30)+(-0.47889+(-0.28764--0.0459))+0-0-0</f>
        <v>470.27936999999997</v>
      </c>
      <c r="Q351" s="3">
        <f>312+(189.7-30)+(-0.63648+(-0.386988--0.0612))+0-0-0</f>
        <v>470.73773199999999</v>
      </c>
      <c r="R351" s="3">
        <f>309+(192.2-29)+(-0.47277+(-0.294066--0.04437))+0-0-0</f>
        <v>471.47753399999999</v>
      </c>
      <c r="S351" s="3">
        <f>309+(184.8-29)+(-0.78795+(-0.47124--0.07395))+0-0-0</f>
        <v>463.61475999999999</v>
      </c>
      <c r="T351" s="3">
        <f>313+(177.7-28)+(0.15963+(0.090627-0.01428))+0-0-0</f>
        <v>462.93597699999998</v>
      </c>
      <c r="U351" s="3">
        <f>314+(171.7-28)+(-0.64056+(-0.350268--0.05712))+0-0-0</f>
        <v>456.76629199999996</v>
      </c>
      <c r="V351" s="3">
        <f>318+(173.7-31)+(0+(0-0))+0-0-0</f>
        <v>460.7</v>
      </c>
      <c r="W351" s="3">
        <f>319+(191.9-34)+(0.16269+(0.097869-0.01734))+0-0-0</f>
        <v>477.14321899999999</v>
      </c>
      <c r="X351" s="3">
        <f>328+(224.2-40)+(0.33456+(0.228684-0.0408))+0-0-0</f>
        <v>512.722444</v>
      </c>
      <c r="Y351" s="3">
        <f>321+(224.3-39)+(0+(0-0))+0-0-0</f>
        <v>506.3</v>
      </c>
      <c r="Z351" s="3">
        <f>323+(201.8-36)+(0.16473+(0.102918-0.01836))+0-0-0</f>
        <v>489.04928799999999</v>
      </c>
      <c r="AA351" s="3">
        <f>327+(179-32)+(-0.33354+(-0.18258--0.03264))+0-0-0</f>
        <v>473.51652000000001</v>
      </c>
      <c r="AB351" s="3">
        <f>327+(157.3-30)+(-0.16677+(-0.080223--0.0153))+0-0-0</f>
        <v>454.068307</v>
      </c>
      <c r="AC351" s="3">
        <f>299+(156.4-29)+(-0.60996+(-0.319056--0.05916))+0-0-0</f>
        <v>425.53014399999995</v>
      </c>
      <c r="AD351">
        <v>511.79999999999995</v>
      </c>
      <c r="AE351" s="3">
        <f>328+(222.8-39)+(0+(0-0))+0-0-0</f>
        <v>511.8</v>
      </c>
    </row>
    <row r="352" spans="1:31" s="2" customFormat="1" x14ac:dyDescent="0.3">
      <c r="A352">
        <v>90</v>
      </c>
      <c r="B352">
        <v>12</v>
      </c>
      <c r="C352">
        <v>16</v>
      </c>
      <c r="D352">
        <v>4</v>
      </c>
      <c r="E352">
        <v>1</v>
      </c>
      <c r="F352" s="3">
        <f>292+(137.9-28)+(-0.14892+(-0.070329--0.01428))+0-0-0</f>
        <v>401.69503099999997</v>
      </c>
      <c r="G352" s="3">
        <f>292+(119.1-27)+(0+(0-0))+0-0-0</f>
        <v>384.1</v>
      </c>
      <c r="H352" s="3">
        <f>292+(108-27)+(-0.14892+(-0.05508--0.01377))+0-0-0</f>
        <v>372.80977000000001</v>
      </c>
      <c r="I352" s="3">
        <f>292+(102-27)+(0+(0-0))+0-0-0</f>
        <v>367</v>
      </c>
      <c r="J352" s="3">
        <f>292+(113.6-29)+(0.29784+(0.115872-0.02958))+0-0-0</f>
        <v>376.98413200000005</v>
      </c>
      <c r="K352" s="3">
        <f>291+(165.8-37)+(-0.14841+(-0.084558--0.01887))+0-0-0</f>
        <v>419.58590200000003</v>
      </c>
      <c r="L352" s="3">
        <f>295+(187.9-39)+(-0.15045+(-0.095829--0.01989))+0-0-0</f>
        <v>443.67361099999999</v>
      </c>
      <c r="M352" s="3">
        <f>309+(185.8-36)+(0.31518+(0.189516-0.03672))+0-0-0</f>
        <v>459.26797600000003</v>
      </c>
      <c r="N352" s="3">
        <f>322+(194-31)+(0.32844+(0.19788-0.03162))+0-0-0</f>
        <v>485.49470000000002</v>
      </c>
      <c r="O352" s="3">
        <f>306+(199.7-29)+(0.31212+(0.203694-0.02958))+0-0-0</f>
        <v>477.18623400000001</v>
      </c>
      <c r="P352" s="3">
        <f>311+(211.9-43.4)+(0.47583+(0.324207-0.066402))+0-0-0</f>
        <v>480.23363499999999</v>
      </c>
      <c r="Q352" s="3">
        <f>320+(214.2-44.5)+(-0.4896+(-0.327726--0.068085))+0-0-0</f>
        <v>488.95075900000001</v>
      </c>
      <c r="R352" s="3">
        <f>332+(181.6-29)+(-0.67728+(-0.370464--0.05916))+0-0-0</f>
        <v>483.61141600000002</v>
      </c>
      <c r="S352" s="3">
        <f>332+(166.5-28)+(-0.8466+(-0.424575--0.0714))+0-0-0</f>
        <v>469.30022500000001</v>
      </c>
      <c r="T352" s="3">
        <f>333+(155.7-28)+(0.50949+(0.238221-0.04284))+0-0-0</f>
        <v>461.40487100000001</v>
      </c>
      <c r="U352" s="3">
        <f>333+(152.8-31)+(0.50949+(0.233784-0.04743))+0-0-0</f>
        <v>455.49584400000003</v>
      </c>
      <c r="V352" s="3">
        <f>331+(186.6-34)+(-0.16881+(-0.095166--0.01734))+0-0-0</f>
        <v>483.353364</v>
      </c>
      <c r="W352" s="3">
        <f>314+(220.7-36)+(-0.16014+(-0.112557--0.01836))+0-0-0</f>
        <v>498.44566299999997</v>
      </c>
      <c r="X352" s="3">
        <f>314+(257.8-39)+(0+(0-0))+0-0-0</f>
        <v>532.79999999999995</v>
      </c>
      <c r="Y352" s="3">
        <f>313+(255.1-37)+(-0.47889+(-0.390303--0.05661))+0-0-0</f>
        <v>530.287417</v>
      </c>
      <c r="Z352" s="3">
        <f>314+(228-34)+(-0.32028+(-0.23256--0.03468))+0-0-0</f>
        <v>507.48183999999998</v>
      </c>
      <c r="AA352" s="3">
        <f>313+(211-30)+(-0.31926+(-0.21522--0.0306))+0-0-0</f>
        <v>493.49612000000002</v>
      </c>
      <c r="AB352" s="3">
        <f>310+(176.7-24)+(-0.6324+(-0.360468--0.04896))+0-0-0</f>
        <v>461.75609199999997</v>
      </c>
      <c r="AC352" s="3">
        <f>310+(141-24)+(-0.4743+(-0.21573--0.03672))+0-0-0</f>
        <v>426.34669000000002</v>
      </c>
      <c r="AD352">
        <v>522.5</v>
      </c>
      <c r="AE352" s="3">
        <f>312+(250.5-40)+(0+(0-0))+0-0-0</f>
        <v>522.5</v>
      </c>
    </row>
    <row r="353" spans="1:31" s="2" customFormat="1" x14ac:dyDescent="0.3">
      <c r="A353">
        <v>90</v>
      </c>
      <c r="B353">
        <v>12</v>
      </c>
      <c r="C353">
        <v>17</v>
      </c>
      <c r="D353">
        <v>5</v>
      </c>
      <c r="E353">
        <v>1</v>
      </c>
      <c r="F353" s="3">
        <f>293+(131.8-24)+(-1.04601+(-0.470526--0.08568))+0-0-0</f>
        <v>399.36914400000001</v>
      </c>
      <c r="G353" s="3">
        <f>292+(114.5-22)+(-0.29784+(-0.11679--0.02244))+0-0-0</f>
        <v>384.10780999999997</v>
      </c>
      <c r="H353" s="3">
        <f>293+(108.3-22.1)+(-0.59772+(-0.220932--0.045084))+0-0-0</f>
        <v>378.42643199999998</v>
      </c>
      <c r="I353" s="3">
        <f>293+(102-23.2)+(0.14943+(0.05202-0.011832))+0-0-0</f>
        <v>371.98961800000001</v>
      </c>
      <c r="J353" s="3">
        <f>293+(112.3-23)+(0+(0-0))+0-0-0</f>
        <v>382.3</v>
      </c>
      <c r="K353" s="3">
        <f>293+(164-26)+(-0.29886+(-0.16728--0.02652))+0-0-0</f>
        <v>430.56038000000001</v>
      </c>
      <c r="L353" s="3">
        <f>293+(189.4-26)+(0.14943+(0.096594-0.01326))+0-0-0</f>
        <v>456.63276399999995</v>
      </c>
      <c r="M353" s="3">
        <f>312+(192.5-27)+(0.31824+(0.19635-0.02754))+0-0-0</f>
        <v>477.98705000000001</v>
      </c>
      <c r="N353" s="3">
        <f>327+(194.7-40.5)+(0.33354+(0.198594-0.04131))+0-0-0</f>
        <v>481.69082399999996</v>
      </c>
      <c r="O353" s="3">
        <f>327+(200.1-39.3)+(0+(0-0))+0-0-0</f>
        <v>487.8</v>
      </c>
      <c r="P353" s="3">
        <f>326+(200.6-39.8)+(-0.33252+(-0.204612--0.040596))+0-0-0</f>
        <v>486.30346400000002</v>
      </c>
      <c r="Q353" s="3">
        <f>325+(194.3-39.3)+(-0.82875+(-0.495465--0.100215))+0-0-0</f>
        <v>478.77600000000001</v>
      </c>
      <c r="R353" s="3">
        <f>323+(189.8-37.3)+(-0.49419+(-0.290394--0.057069))+0-0-0</f>
        <v>474.77248500000002</v>
      </c>
      <c r="S353" s="3">
        <f>323+(188.1-33.3)+(-0.65892+(-0.383724--0.067932))+0-0-0</f>
        <v>476.825288</v>
      </c>
      <c r="T353" s="3">
        <f>323+(167.8-28)+(-0.16473+(-0.085578--0.01428))+0-0-0</f>
        <v>462.56397200000004</v>
      </c>
      <c r="U353" s="3">
        <f>325+(164.8-31)+(0+(0-0))+0-0-0</f>
        <v>458.8</v>
      </c>
      <c r="V353" s="3">
        <f>331+(174.4-32)+(0.50643+(0.266832-0.04896))+0-0-0</f>
        <v>474.124302</v>
      </c>
      <c r="W353" s="3">
        <f>330+(204-37)+(-0.5049+(-0.31212--0.05661))+0-0-0</f>
        <v>496.23959000000002</v>
      </c>
      <c r="X353" s="3">
        <f>331+(246.6-37)+(0.33762+(0.251532-0.03774))+0-0-0</f>
        <v>541.15141200000005</v>
      </c>
      <c r="Y353" s="3">
        <f>330+(236.2-33)+(-0.5049+(-0.361386--0.05049))+0-0-0</f>
        <v>532.38420400000007</v>
      </c>
      <c r="Z353" s="3">
        <f>330+(220.9-36)+(-0.6732+(-0.450636--0.07344))+0-0-0</f>
        <v>513.849604</v>
      </c>
      <c r="AA353" s="3">
        <f>330+(198.5-34)+(-0.5049+(-0.303705--0.05202))+0-0-0</f>
        <v>493.74341500000003</v>
      </c>
      <c r="AB353" s="3">
        <f>328+(168.8-32)+(-0.8364+(-0.43044--0.0816))+0-0-0</f>
        <v>463.61475999999999</v>
      </c>
      <c r="AC353" s="3">
        <f>329+(142.2-33.9)+(-0.16779+(-0.072522--0.017289))+0-0-0</f>
        <v>437.07697699999994</v>
      </c>
      <c r="AD353">
        <v>528.6</v>
      </c>
      <c r="AE353" s="3">
        <f>328+(238.6-38)+(0+(0-0))+0-0-0</f>
        <v>528.6</v>
      </c>
    </row>
    <row r="354" spans="1:31" s="2" customFormat="1" x14ac:dyDescent="0.3">
      <c r="A354">
        <v>90</v>
      </c>
      <c r="B354">
        <v>12</v>
      </c>
      <c r="C354">
        <v>18</v>
      </c>
      <c r="D354">
        <v>6</v>
      </c>
      <c r="E354">
        <v>1</v>
      </c>
      <c r="F354" s="3">
        <f>328+(119.4-38)+(-0.8364+(-0.30447--0.0969))+0-0-0</f>
        <v>408.35602999999998</v>
      </c>
      <c r="G354" s="3">
        <f>328+(102.2-40.3)+(-0.8364+(-0.26061--0.102765))+0-0-0</f>
        <v>388.905755</v>
      </c>
      <c r="H354" s="3">
        <f>329+(93.7-42.3)+(-0.50337+(-0.143361--0.064719))+0-0-0</f>
        <v>379.81798799999996</v>
      </c>
      <c r="I354" s="3">
        <f>331+(88.4-43.8)+(0.50643+(0.135252-0.067014))+0-0-0</f>
        <v>376.174668</v>
      </c>
      <c r="J354" s="3">
        <f>336+(98.5-47.2)+(0.68544+(0.20094-0.096288))+0-0-0</f>
        <v>388.09009200000003</v>
      </c>
      <c r="K354" s="3">
        <f>337+(138.2-41.4)+(0.85935+(0.35241-0.10557))+0-0-0</f>
        <v>434.90618999999998</v>
      </c>
      <c r="L354" s="3">
        <f>329+(164.8-36)+(-0.33558+(-0.168096--0.03672))+0-0-0</f>
        <v>457.33304400000003</v>
      </c>
      <c r="M354" s="3">
        <f>349+(159.4-43.2)+(0.35598+(0.162588-0.044064))+0-0-0</f>
        <v>465.67450400000001</v>
      </c>
      <c r="N354" s="3">
        <f>366+(154.1-41)+(0.18666+(0.078591-0.02091))+0-0-0</f>
        <v>479.34434100000004</v>
      </c>
      <c r="O354" s="3">
        <f>278+(236.7-25)+(0.28356+(0.241434-0.0255))+0-0-0</f>
        <v>490.19949400000002</v>
      </c>
      <c r="P354" s="3">
        <f>277+(237.1-24)+(-0.28254+(-0.241842--0.02448))+0-0-0</f>
        <v>489.600098</v>
      </c>
      <c r="Q354" s="3">
        <f>276+(230.4-25)+(-0.42228+(-0.352512--0.03825))+0-0-0</f>
        <v>480.66345799999999</v>
      </c>
      <c r="R354" s="3">
        <f>274+(226.9-36)+(-0.55896+(-0.462876--0.07344))+0-0-0</f>
        <v>463.95160399999997</v>
      </c>
      <c r="S354" s="3">
        <f>274+(217.5-29)+(0.27948+(0.22185-0.02958))+0-0-0</f>
        <v>462.97174999999999</v>
      </c>
      <c r="T354" s="3">
        <f>275+(210.2-30)+(0.2805+(0.214404-0.0306))+0-0-0</f>
        <v>455.66430400000002</v>
      </c>
      <c r="U354" s="3">
        <f>282+(200.9-31)+(-0.28764+(-0.204918--0.03162))+0-0-0</f>
        <v>451.43906199999998</v>
      </c>
      <c r="V354" s="3">
        <f>306+(194-33)+(-0.46818+(-0.29682--0.05049))+0-0-0</f>
        <v>466.28548999999998</v>
      </c>
      <c r="W354" s="3">
        <f>325+(206.5-34)+(-0.82875+(-0.526575--0.0867))+0-0-0</f>
        <v>496.23137500000001</v>
      </c>
      <c r="X354" s="3">
        <f>325+(247.1-43)+(0.16575+(0.126021-0.02193))+0-0-0</f>
        <v>529.36984100000006</v>
      </c>
      <c r="Y354" s="3">
        <f>325+(241.7-43)+(-0.9945+(-0.739602--0.13158))+0-0-0</f>
        <v>522.09747800000002</v>
      </c>
      <c r="Z354" s="3">
        <f>325+(223.4-34)+(0+(0-0))+0-0-0</f>
        <v>514.4</v>
      </c>
      <c r="AA354" s="3">
        <f>325+(207.7-35)+(-0.49725+(-0.317781--0.05355))+0-0-0</f>
        <v>496.93851899999999</v>
      </c>
      <c r="AB354" s="3">
        <f>325+(174.5-28)+(-0.663+(-0.35598--0.05712))+0-0-0</f>
        <v>470.53814</v>
      </c>
      <c r="AC354" s="3">
        <f>325+(136.5-28)+(-0.16575+(-0.069615--0.01428))+0-0-0</f>
        <v>433.27891499999998</v>
      </c>
      <c r="AD354">
        <v>530.4</v>
      </c>
      <c r="AE354" s="3">
        <f>325+(245.4-40)+(0+(0-0))+0-0-0</f>
        <v>530.4</v>
      </c>
    </row>
    <row r="355" spans="1:31" s="2" customFormat="1" x14ac:dyDescent="0.3">
      <c r="A355">
        <v>90</v>
      </c>
      <c r="B355">
        <v>12</v>
      </c>
      <c r="C355">
        <v>19</v>
      </c>
      <c r="D355">
        <v>7</v>
      </c>
      <c r="E355">
        <v>1</v>
      </c>
      <c r="F355" s="3">
        <f>288+(153.7-29)+(-0.44064+(-0.235161--0.04437))+0-0-0</f>
        <v>412.06856899999997</v>
      </c>
      <c r="G355" s="3">
        <f>266+(157.7-29)+(-0.54264+(-0.321708--0.05916))+0-0-0</f>
        <v>393.894812</v>
      </c>
      <c r="H355" s="3">
        <f>266+(144.7-29)+(-0.13566+(-0.073797--0.01479))+0-0-0</f>
        <v>381.50533300000001</v>
      </c>
      <c r="I355" s="3">
        <f>266+(143.1-30)+(-0.40698+(-0.218943--0.0459))+0-0-0</f>
        <v>378.51997700000004</v>
      </c>
      <c r="J355" s="3">
        <f>266+(147.6-29)+(0.13566+(0.075276-0.01479))+0-0-0</f>
        <v>384.79614600000002</v>
      </c>
      <c r="K355" s="3">
        <f>264+(188.3-40)+(0+(0-0))+0-0-0</f>
        <v>412.3</v>
      </c>
      <c r="L355" s="3">
        <f>259+(202.2-42)+(-0.52836+(-0.412488--0.08568))+0-0-0</f>
        <v>418.344832</v>
      </c>
      <c r="M355" s="3">
        <f>243+(222.8-38)+(0.12393+(0.113628-0.01938))+0-0-0</f>
        <v>428.01817800000003</v>
      </c>
      <c r="N355" s="3">
        <f>243+(254.3-36)+(0.24786+(0.259386-0.03672))+0-0-0</f>
        <v>461.77052600000002</v>
      </c>
      <c r="O355" s="3">
        <f>240+(263-38)+(-0.1224+(-0.13413--0.01938))+0-0-0</f>
        <v>464.76285000000001</v>
      </c>
      <c r="P355" s="3">
        <f>285+(225.2-36)+(0.14535+(0.114852-0.01836))+0-0-0</f>
        <v>474.44184200000001</v>
      </c>
      <c r="Q355" s="3">
        <f>307+(204.9-35)+(-0.46971+(-0.313497--0.05355))+0-0-0</f>
        <v>476.170343</v>
      </c>
      <c r="R355" s="3">
        <f>303+(185.4-33)+(-0.92718+(-0.567324--0.10098))+0-0-0</f>
        <v>454.00647599999996</v>
      </c>
      <c r="S355" s="3">
        <f>319+(172.1-33)+(-0.16269+(-0.087771--0.01683))+0-0-0</f>
        <v>457.86636900000002</v>
      </c>
      <c r="T355" s="3">
        <f>327+(152-32)+(0+(0-0))+0-0-0</f>
        <v>447</v>
      </c>
      <c r="U355" s="3">
        <f>325+(145.3-31)+(-0.16575+(-0.074103--0.01581))+0-0-0</f>
        <v>439.07595700000002</v>
      </c>
      <c r="V355" s="3">
        <f>360+(120.7-30)+(-0.3672+(-0.123114--0.0306))+0-0-0</f>
        <v>450.24028599999997</v>
      </c>
      <c r="W355" s="3">
        <f>360+(131-36)+(-0.7344+(-0.26724--0.07344))+0-0-0</f>
        <v>454.0718</v>
      </c>
      <c r="X355" s="3">
        <f>360+(174.5-39)+(0.1836+(0.088995-0.01989))+0-0-0</f>
        <v>495.75270499999999</v>
      </c>
      <c r="Y355" s="3">
        <f>360+(176.1-39)+(-0.5508+(-0.269433--0.05967))+0-0-0</f>
        <v>496.33943700000003</v>
      </c>
      <c r="Z355" s="3">
        <f>360+(162.7-38)+(0.3672+(0.165954-0.03876))+0-0-0</f>
        <v>485.19439399999999</v>
      </c>
      <c r="AA355" s="3">
        <f>360+(140.2-34)+(-0.7344+(-0.286008--0.06936))+0-0-0</f>
        <v>465.24895199999997</v>
      </c>
      <c r="AB355" s="3">
        <f>325+(148.3-32)+(-0.16575+(-0.075633--0.01632))+0-0-0</f>
        <v>441.07493700000003</v>
      </c>
      <c r="AC355" s="3">
        <f>270+(164-29)+(-0.4131+(-0.25092--0.04437))+0-0-0</f>
        <v>404.38035000000002</v>
      </c>
      <c r="AD355">
        <v>497.9</v>
      </c>
      <c r="AE355" s="3">
        <f>360+(177.9-40)+(0+(0-0))+0-0-0</f>
        <v>497.9</v>
      </c>
    </row>
    <row r="356" spans="1:31" s="2" customFormat="1" x14ac:dyDescent="0.3">
      <c r="A356">
        <v>90</v>
      </c>
      <c r="B356">
        <v>12</v>
      </c>
      <c r="C356">
        <v>20</v>
      </c>
      <c r="D356">
        <v>1</v>
      </c>
      <c r="E356">
        <v>1</v>
      </c>
      <c r="F356" s="3">
        <f>268+(138.5-28)+(-0.27336+(-0.14127--0.02856))+0-0-0</f>
        <v>378.11392999999998</v>
      </c>
      <c r="G356" s="3">
        <f>268+(126.3-28)+(-0.27336+(-0.128826--0.02856))+0-0-0</f>
        <v>365.92637400000001</v>
      </c>
      <c r="H356" s="3">
        <f>268+(117.1-29)+(0.27336+(0.119442-0.02958))+0-0-0</f>
        <v>356.46322200000003</v>
      </c>
      <c r="I356" s="3">
        <f>268+(111.1-29)+(-0.41004+(-0.169983--0.04437))+0-0-0</f>
        <v>349.564347</v>
      </c>
      <c r="J356" s="3">
        <f>268+(124.3-30)+(-0.27336+(-0.126786--0.0306))+0-0-0</f>
        <v>361.930454</v>
      </c>
      <c r="K356" s="3">
        <f>268+(163.5-35)+(0+(0-0))+0-0-0</f>
        <v>396.5</v>
      </c>
      <c r="L356" s="3">
        <f>275+(180.5-39)+(0+(0-0))+0-0-0</f>
        <v>416.5</v>
      </c>
      <c r="M356" s="3">
        <f>321+(147-39)+(0.32742+(0.14994-0.03978))+0-0-0</f>
        <v>429.43758000000003</v>
      </c>
      <c r="N356" s="3">
        <f>331+(147.8-36)+(0+(0-0))+0-0-0</f>
        <v>442.8</v>
      </c>
      <c r="O356" s="3">
        <f>329+(149.3-34)+(0.16779+(0.076143-0.01734))+0-0-0</f>
        <v>444.52659299999999</v>
      </c>
      <c r="P356" s="3">
        <f>330+(153.9-32)+(0+(0-0))+0-0-0</f>
        <v>451.9</v>
      </c>
      <c r="Q356" s="3">
        <f>329+(152.6-33)+(0+(0-0))+0-0-0</f>
        <v>448.6</v>
      </c>
      <c r="R356" s="3">
        <f>320+(155.8-34)+(-0.816+(-0.39729--0.0867))+0-0-0</f>
        <v>440.67340999999999</v>
      </c>
      <c r="S356" s="3">
        <f>323+(157-33)+(-0.16473+(-0.08007--0.01683))+0-0-0</f>
        <v>446.77202999999997</v>
      </c>
      <c r="T356" s="3">
        <f>328+(140.9-32)+(0+(0-0))+0-0-0</f>
        <v>436.9</v>
      </c>
      <c r="U356" s="3">
        <f>329+(136.2-32)+(-0.16779+(-0.069462--0.01632))+0-0-0</f>
        <v>432.97906799999998</v>
      </c>
      <c r="V356" s="3">
        <f>344+(136.8-31)+(-0.35088+(-0.139536--0.03162))+0-0-0</f>
        <v>449.341204</v>
      </c>
      <c r="W356" s="3">
        <f>345+(154.2-32)+(-0.52785+(-0.235926--0.04896))+0-0-0</f>
        <v>466.485184</v>
      </c>
      <c r="X356" s="3">
        <f>345+(196.6-41)+(0+(0-0))+0-0-0</f>
        <v>500.6</v>
      </c>
      <c r="Y356" s="3">
        <f>349+(188.9-40)+(-0.53397+(-0.289017--0.0612))+0-0-0</f>
        <v>497.13821299999995</v>
      </c>
      <c r="Z356" s="3">
        <f>363+(161.9-39)+(-0.92565+(-0.412845--0.09945))+0-0-0</f>
        <v>484.660955</v>
      </c>
      <c r="AA356" s="3">
        <f>362+(140.7-35)+(-0.73848+(-0.287028--0.0714))+0-0-0</f>
        <v>466.74589199999997</v>
      </c>
      <c r="AB356" s="3">
        <f>359+(111.8-24)+(-0.18309+(-0.057018--0.01224))+0-0-0</f>
        <v>446.57213200000001</v>
      </c>
      <c r="AC356" s="3">
        <f>285+(138.7-24)+(-0.5814+(-0.282948--0.04896))+0-0-0</f>
        <v>398.884612</v>
      </c>
      <c r="AD356">
        <v>499.5</v>
      </c>
      <c r="AE356" s="3">
        <f>344+(195.5-40)+(0+(0-0))+0-0-0</f>
        <v>499.5</v>
      </c>
    </row>
    <row r="357" spans="1:31" s="2" customFormat="1" x14ac:dyDescent="0.3">
      <c r="A357">
        <v>90</v>
      </c>
      <c r="B357">
        <v>12</v>
      </c>
      <c r="C357">
        <v>21</v>
      </c>
      <c r="D357">
        <v>2</v>
      </c>
      <c r="E357">
        <v>1</v>
      </c>
      <c r="F357" s="3">
        <f>249+(155.5-26)+(-0.25398+(-0.15861--0.02652))+0-0-0</f>
        <v>378.11392999999998</v>
      </c>
      <c r="G357" s="3">
        <f>249+(138.5-26)+(-0.25398+(-0.14127--0.02652))+0-0-0</f>
        <v>361.13126999999997</v>
      </c>
      <c r="H357" s="3">
        <f>249+(129.6-25)+(-0.50796+(-0.264384--0.051))+0-0-0</f>
        <v>352.87865600000003</v>
      </c>
      <c r="I357" s="3">
        <f>249+(126.5-25)+(0+(0-0))+0-0-0</f>
        <v>350.5</v>
      </c>
      <c r="J357" s="3">
        <f>249+(137.4-28)+(-0.25398+(-0.140148--0.02856))+0-0-0</f>
        <v>358.03443199999998</v>
      </c>
      <c r="K357" s="3">
        <f>248+(177.4-33)+(0.12648+(0.090474-0.01683))+0-0-0</f>
        <v>392.60012399999999</v>
      </c>
      <c r="L357" s="3">
        <f>245+(196.7-37)+(-0.12495+(-0.100317--0.01887))+0-0-0</f>
        <v>404.49360300000001</v>
      </c>
      <c r="M357" s="3">
        <f>240+(211.6-33)+(0+(0-0))+0-0-0</f>
        <v>418.6</v>
      </c>
      <c r="N357" s="3">
        <f>248+(216-31)+(0.12648+(0.11016-0.01581))+0-0-0</f>
        <v>433.22082999999998</v>
      </c>
      <c r="O357" s="3">
        <f>267+(198.2-30)+(-0.13617+(-0.101082--0.0153))+0-0-0</f>
        <v>434.978048</v>
      </c>
      <c r="P357" s="3">
        <f>269+(198.9-29)+(-0.13719+(-0.101439--0.01479))+0-0-0</f>
        <v>438.67616099999998</v>
      </c>
      <c r="Q357" s="3">
        <f>268+(201.6-28)+(0.13668+(0.102816-0.01428))+0-0-0</f>
        <v>441.82521600000001</v>
      </c>
      <c r="R357" s="3">
        <f>272+(203.8-31)+(-0.6936+(-0.51969--0.07905))+0-0-0</f>
        <v>443.66576000000003</v>
      </c>
      <c r="S357" s="3">
        <f>274+(201.5-33)+(-0.55896+(-0.41106--0.06732))+0-0-0</f>
        <v>441.59730000000002</v>
      </c>
      <c r="T357" s="3">
        <f>275+(189.6-33)+(0.14025+(0.096696-0.01683))+0-0-0</f>
        <v>431.82011600000004</v>
      </c>
      <c r="U357" s="3">
        <f>276+(188.4-32)+(-0.28152+(-0.192168--0.03264))+0-0-0</f>
        <v>431.95895199999995</v>
      </c>
      <c r="V357" s="3">
        <f>290+(189.1-31)+(-0.7395+(-0.482205--0.07905))+0-0-0</f>
        <v>446.95734500000003</v>
      </c>
      <c r="W357" s="3">
        <f>292+(206.3-34)+(-0.59568+(-0.420852--0.06936))+0-0-0</f>
        <v>463.35282799999999</v>
      </c>
      <c r="X357" s="3">
        <f>298+(233.3-41)+(-0.15198+(-0.118983--0.02091))+0-0-0</f>
        <v>490.04994700000003</v>
      </c>
      <c r="Y357" s="3">
        <f>307+(222.8-40)+(-0.46971+(-0.340884--0.0612))+0-0-0</f>
        <v>489.05060600000002</v>
      </c>
      <c r="Z357" s="3">
        <f>307+(204.6-39)+(-0.46971+(-0.313038--0.05967))+0-0-0</f>
        <v>471.87692200000004</v>
      </c>
      <c r="AA357" s="3">
        <f>307+(184.5-36)+(-0.31314+(-0.18819--0.03672))+0-0-0</f>
        <v>455.03539000000001</v>
      </c>
      <c r="AB357" s="3">
        <f>303+(159.6-32)+(-0.46359+(-0.244188--0.04896))+0-0-0</f>
        <v>429.94118200000003</v>
      </c>
      <c r="AC357" s="3">
        <f>303+(138-29)+(-0.15453+(-0.07038--0.01479))+0-0-0</f>
        <v>411.78987999999998</v>
      </c>
      <c r="AD357">
        <v>489.70000000000005</v>
      </c>
      <c r="AE357" s="3">
        <f>307+(223.7-41)+(0+(0-0))+0-0-0</f>
        <v>489.7</v>
      </c>
    </row>
    <row r="358" spans="1:31" s="2" customFormat="1" x14ac:dyDescent="0.3">
      <c r="A358">
        <v>90</v>
      </c>
      <c r="B358">
        <v>12</v>
      </c>
      <c r="C358">
        <v>22</v>
      </c>
      <c r="D358">
        <v>3</v>
      </c>
      <c r="E358">
        <v>1</v>
      </c>
      <c r="F358" s="3">
        <f>293+(118.9-29)+(-0.44829+(-0.181917--0.04437))+0-0-0</f>
        <v>382.31416299999995</v>
      </c>
      <c r="G358" s="3">
        <f>234+(155.7-29)+(-0.23868+(-0.158814--0.02958))+0-0-0</f>
        <v>360.332086</v>
      </c>
      <c r="H358" s="3">
        <f>232+(149.8-28)+(-0.35496+(-0.229194--0.04284))+0-0-0</f>
        <v>353.25868600000001</v>
      </c>
      <c r="I358" s="3">
        <f>232+(147.7-29)+(-0.23664+(-0.150654--0.02958))+0-0-0</f>
        <v>350.342286</v>
      </c>
      <c r="J358" s="3">
        <f>232+(159-36)+(0.23664+(0.16218-0.03672))+0-0-0</f>
        <v>355.3621</v>
      </c>
      <c r="K358" s="3">
        <f>232+(199.1-39)+(0+(0-0))+0-0-0</f>
        <v>392.1</v>
      </c>
      <c r="L358" s="3">
        <f>235+(221.2-30)+(0.11985+(0.112812-0.0153))+0-0-0</f>
        <v>426.41736199999997</v>
      </c>
      <c r="M358" s="3">
        <f>233+(247-28)+(0.23766+(0.25194-0.02856))+0-0-0</f>
        <v>452.46104000000003</v>
      </c>
      <c r="N358" s="3">
        <f>286+(210.4-28)+(0.29172+(0.214608-0.02856))+0-0-0</f>
        <v>468.877768</v>
      </c>
      <c r="O358" s="3">
        <f>313+(191.2-29)+(0.15963+(0.097512-0.01479))+0-0-0</f>
        <v>475.44235199999997</v>
      </c>
      <c r="P358" s="3">
        <f>313+(191.8-31)+(0+(0-0))+0-0-0</f>
        <v>473.8</v>
      </c>
      <c r="Q358" s="3">
        <f>313+(190.6-32)+(0+(0-0))+0-0-0</f>
        <v>471.6</v>
      </c>
      <c r="R358" s="3">
        <f>314+(192.2-31)+(-0.64056+(-0.392088--0.06324))+0-0-0</f>
        <v>474.230592</v>
      </c>
      <c r="S358" s="3">
        <f>314+(184.3-32)+(-0.16014+(-0.093993--0.01632))+0-0-0</f>
        <v>466.06218699999999</v>
      </c>
      <c r="T358" s="3">
        <f>318+(178.1-29)+(0+(0-0))+0-0-0</f>
        <v>467.1</v>
      </c>
      <c r="U358" s="3">
        <f>320+(173.9-31)+(-0.3264+(-0.177378--0.03162))+0-0-0</f>
        <v>462.427842</v>
      </c>
      <c r="V358" s="3">
        <f>321+(174.3-31)+(0.16371+(0.088893-0.01581))+0-0-0</f>
        <v>464.53679299999999</v>
      </c>
      <c r="W358" s="3">
        <f>310+(208-38)+(0.1581+(0.10608-0.01938))+0-0-0</f>
        <v>480.2448</v>
      </c>
      <c r="X358" s="3">
        <f>333+(233.3-40)+(0.16983+(0.118983-0.0204))+0-0-0</f>
        <v>526.56841299999996</v>
      </c>
      <c r="Y358" s="3">
        <f>344+(219-40)+(-0.17544+(-0.11169--0.0204))+0-0-0</f>
        <v>522.73326999999995</v>
      </c>
      <c r="Z358" s="3">
        <f>344+(195.7-32)+(0.17544+(0.099807-0.01632))+0-0-0</f>
        <v>507.95892700000002</v>
      </c>
      <c r="AA358" s="3">
        <f>344+(175.4-30)+(-0.17544+(-0.089454--0.0153))+0-0-0</f>
        <v>489.15040599999998</v>
      </c>
      <c r="AB358" s="3">
        <f>344+(153.2-26)+(-1.40352+(-0.625056--0.10608))+0-0-0</f>
        <v>469.27750399999996</v>
      </c>
      <c r="AC358" s="3">
        <f>271+(193.2-26)+(-0.82926+(-0.591192--0.07956))+0-0-0</f>
        <v>436.85910799999999</v>
      </c>
      <c r="AD358">
        <v>530</v>
      </c>
      <c r="AE358" s="3">
        <f>342+(229-41)+(0+(0-0))+0-0-0</f>
        <v>530</v>
      </c>
    </row>
    <row r="359" spans="1:31" s="2" customFormat="1" x14ac:dyDescent="0.3">
      <c r="A359">
        <v>90</v>
      </c>
      <c r="B359">
        <v>12</v>
      </c>
      <c r="C359">
        <v>23</v>
      </c>
      <c r="D359">
        <v>4</v>
      </c>
      <c r="E359">
        <v>1</v>
      </c>
      <c r="F359" s="3">
        <f>252+(183.3-24)+(-0.38556+(-0.280449--0.03672))+0-0-0</f>
        <v>410.67071099999998</v>
      </c>
      <c r="G359" s="3">
        <f>252+(163.2-24)+(-0.12852+(-0.083232--0.01224))+0-0-0</f>
        <v>391.00048799999996</v>
      </c>
      <c r="H359" s="3">
        <f>251+(150.2-23)+(0+(0-0))+0-0-0</f>
        <v>378.2</v>
      </c>
      <c r="I359" s="3">
        <f>251+(153-23)+(0.12801+(0.07803-0.01173))+0-0-0</f>
        <v>381.19430999999997</v>
      </c>
      <c r="J359" s="3">
        <f>249+(159.8-25)+(0+(0-0))+0-0-0</f>
        <v>383.8</v>
      </c>
      <c r="K359" s="3">
        <f>234+(226.8-32)+(0.11934+(0.115668-0.01632))+0-0-0</f>
        <v>429.018688</v>
      </c>
      <c r="L359" s="3">
        <f>239+(225.7-32)+(-0.48756+(-0.460428--0.06528))+0-0-0</f>
        <v>431.81729200000001</v>
      </c>
      <c r="M359" s="3">
        <f>256+(222.4-32)+(0.39168+(0.340272-0.04896))+0-0-0</f>
        <v>447.08299199999999</v>
      </c>
      <c r="N359" s="3">
        <f>266+(218.3-30)+(0.27132+(0.222666-0.0306))+0-0-0</f>
        <v>454.76338600000003</v>
      </c>
      <c r="O359" s="3">
        <f>270+(224-31)+(0.5508+(0.45696-0.06324))+0-0-0</f>
        <v>463.94452000000001</v>
      </c>
      <c r="P359" s="3">
        <f>263+(233.9-32)+(0+(0-0))+0-0-0</f>
        <v>464.9</v>
      </c>
      <c r="Q359" s="3">
        <f>269+(228.6-32)+(-0.13719+(-0.116586--0.01632))+0-0-0</f>
        <v>465.36254400000001</v>
      </c>
      <c r="R359" s="3">
        <f>270+(230-34)+(0+(0-0))+0-0-0</f>
        <v>466</v>
      </c>
      <c r="S359" s="3">
        <f>271+(226.2-35)+(0+(0-0))+0-0-0</f>
        <v>462.2</v>
      </c>
      <c r="T359" s="3">
        <f>274+(216.4-33)+(0+(0-0))+0-0-0</f>
        <v>457.4</v>
      </c>
      <c r="U359" s="3">
        <f>274+(213.2-30)+(-0.41922+(-0.326196--0.0459))+0-0-0</f>
        <v>456.50048399999997</v>
      </c>
      <c r="V359" s="3">
        <f>290+(207.6-31)+(0.5916+(0.423504-0.06324))+0-0-0</f>
        <v>467.55186400000002</v>
      </c>
      <c r="W359" s="3">
        <f>289+(225.6-31)+(-0.14739+(-0.115056--0.01581))+0-0-0</f>
        <v>483.353364</v>
      </c>
      <c r="X359" s="3">
        <f>328+(234.6-35)+(0+(0-0))+0-0-0</f>
        <v>527.6</v>
      </c>
      <c r="Y359" s="3">
        <f>337+(217.5-34)+(-0.51561+(-0.332775--0.05202))+0-0-0</f>
        <v>519.70363499999996</v>
      </c>
      <c r="Z359" s="3">
        <f>343+(194.5-31)+(-0.17493+(-0.099195--0.01581))+0-0-0</f>
        <v>506.24168500000002</v>
      </c>
      <c r="AA359" s="3">
        <f>344+(174.4-27)+(-0.17544+(-0.088944--0.01377))+0-0-0</f>
        <v>491.14938599999999</v>
      </c>
      <c r="AB359" s="3">
        <f>344+(155.3-24)+(-0.8772+(-0.396015--0.0612))+0-0-0</f>
        <v>474.087985</v>
      </c>
      <c r="AC359" s="3">
        <f>291+(180.8-24)+(-0.74205+(-0.46104--0.0612))+0-0-0</f>
        <v>446.65811000000002</v>
      </c>
      <c r="AD359">
        <v>527.5</v>
      </c>
      <c r="AE359" s="3">
        <f>341+(220.5-34)+(0+(0-0))+0-0-0</f>
        <v>527.5</v>
      </c>
    </row>
    <row r="360" spans="1:31" s="2" customFormat="1" x14ac:dyDescent="0.3">
      <c r="A360">
        <v>90</v>
      </c>
      <c r="B360">
        <v>12</v>
      </c>
      <c r="C360">
        <v>24</v>
      </c>
      <c r="D360">
        <v>5</v>
      </c>
      <c r="E360">
        <v>1</v>
      </c>
      <c r="F360" s="3">
        <f>265+(170.3-27)+(-0.2703+(-0.173706--0.02754))+0-0-0</f>
        <v>407.883534</v>
      </c>
      <c r="G360" s="3">
        <f>265+(146.9-24)+(-0.13515+(-0.074919--0.01224))+0-0-0</f>
        <v>387.70217099999996</v>
      </c>
      <c r="H360" s="3">
        <f>265+(138.4-25)+(0+(0-0))+0-0-0</f>
        <v>378.4</v>
      </c>
      <c r="I360" s="3">
        <f>265+(134.7-25)+(0.2703+(0.137394-0.0255))+0-0-0</f>
        <v>375.08219400000002</v>
      </c>
      <c r="J360" s="3">
        <f>261+(147.8-28)+(0.66555+(0.37689-0.0714))+0-0-0</f>
        <v>381.77104000000003</v>
      </c>
      <c r="K360" s="3">
        <f>251+(195.4-27)+(0.64005+(0.49827-0.06885))+0-0-0</f>
        <v>420.46947</v>
      </c>
      <c r="L360" s="3">
        <f>254+(209.3-35)+(0.12954+(0.106743-0.01785))+0-0-0</f>
        <v>428.51843300000002</v>
      </c>
      <c r="M360" s="3">
        <f>252+(224.2-32)+(0+(0-0))+0-0-0</f>
        <v>444.2</v>
      </c>
      <c r="N360" s="3">
        <f>268+(218.5-29)+(0+(0-0))+0-0-0</f>
        <v>457.5</v>
      </c>
      <c r="O360" s="3">
        <f>267+(221.8-28)+(0.27234+(0.226236-0.02856))+0-0-0</f>
        <v>461.270016</v>
      </c>
      <c r="P360" s="3">
        <f>267+(222.4-22)+(-0.13617+(-0.113424--0.01122))+0-0-0</f>
        <v>467.16162599999996</v>
      </c>
      <c r="Q360" s="3">
        <f>266+(223.9-20)+(-0.27132+(-0.228378--0.0204))+0-0-0</f>
        <v>469.42070200000001</v>
      </c>
      <c r="R360" s="3">
        <f>260+(228.4-26)+(-0.2652+(-0.232968--0.02652))+0-0-0</f>
        <v>461.92835199999996</v>
      </c>
      <c r="S360" s="3">
        <f>261+(222.5-27)+(-0.13311+(-0.113475--0.01377))+0-0-0</f>
        <v>456.26718499999998</v>
      </c>
      <c r="T360" s="3">
        <f>263+(210-27)+(-0.53652+(-0.4284--0.05508))+0-0-0</f>
        <v>445.09016000000003</v>
      </c>
      <c r="U360" s="3">
        <f>264+(206-27)+(0+(0-0))+0-0-0</f>
        <v>443</v>
      </c>
      <c r="V360" s="3">
        <f>289+(216.6-38)+(-0.29478+(-0.220932--0.03876))+0-0-0</f>
        <v>467.12304800000004</v>
      </c>
      <c r="W360" s="3">
        <f>289+(220.2-34)+(-0.14739+(-0.112302--0.01734))+0-0-0</f>
        <v>474.95764800000001</v>
      </c>
      <c r="X360" s="3">
        <f>314+(225.2-43)+(-0.16014+(-0.114852--0.02193))+0-0-0</f>
        <v>495.94693799999999</v>
      </c>
      <c r="Y360" s="3">
        <f>326+(223.5-40)+(-0.33252+(-0.22797--0.0408))+0-0-0</f>
        <v>508.98030999999997</v>
      </c>
      <c r="Z360" s="3">
        <f>326+(208.7-41)+(-0.8313+(-0.532185--0.10455))+0-0-0</f>
        <v>492.44106499999998</v>
      </c>
      <c r="AA360" s="3">
        <f>326+(190.7-33)+(-0.33252+(-0.194514--0.03366))+0-0-0</f>
        <v>483.20662599999997</v>
      </c>
      <c r="AB360" s="3">
        <f>315+(172.3-31)+(-0.48195+(-0.263619--0.04743))+0-0-0</f>
        <v>455.60186099999999</v>
      </c>
      <c r="AC360" s="3">
        <f>283+(173.7-30)+(-0.43299+(-0.265761--0.0459))+0-0-0</f>
        <v>426.04714899999999</v>
      </c>
      <c r="AD360">
        <v>505.20000000000005</v>
      </c>
      <c r="AE360" s="3">
        <f>326+(221.2-42)+(0+(0-0))+0-0-0</f>
        <v>505.2</v>
      </c>
    </row>
    <row r="361" spans="1:31" s="2" customFormat="1" x14ac:dyDescent="0.3">
      <c r="A361">
        <v>90</v>
      </c>
      <c r="B361">
        <v>12</v>
      </c>
      <c r="C361">
        <v>25</v>
      </c>
      <c r="D361">
        <v>6</v>
      </c>
      <c r="E361">
        <v>1</v>
      </c>
      <c r="F361" s="3">
        <f>264+(164-31)+(-0.26928+(-0.16728--0.03162))+0-0-0</f>
        <v>396.59505999999999</v>
      </c>
      <c r="G361" s="3">
        <f>249+(151.3-30)+(0.12699+(0.077163-0.0153))+0-0-0</f>
        <v>370.48885300000001</v>
      </c>
      <c r="H361" s="3">
        <f>248+(146.8-28)+(-0.37944+(-0.224604--0.04284))+0-0-0</f>
        <v>366.23879600000004</v>
      </c>
      <c r="I361" s="3">
        <f>248+(141.2-33)+(-0.25296+(-0.144024--0.03366))+0-0-0</f>
        <v>355.83667600000001</v>
      </c>
      <c r="J361" s="3">
        <f>247+(151.7-35)+(-0.37791+(-0.232101--0.05355))+0-0-0</f>
        <v>363.14353899999998</v>
      </c>
      <c r="K361" s="3">
        <f>247+(184-35)+(0.37791+(0.28152-0.05355))+0-0-0</f>
        <v>396.60588000000001</v>
      </c>
      <c r="L361" s="3">
        <f>243+(206.9-47)+(-0.24786+(-0.211038--0.04794))+0-0-0</f>
        <v>402.48904199999998</v>
      </c>
      <c r="M361" s="3">
        <f>245+(217-32)+(0+(0-0))+0-0-0</f>
        <v>430</v>
      </c>
      <c r="N361" s="3">
        <f>261+(220-40)+(0.26622+(0.2244-0.0408))+0-0-0</f>
        <v>441.44981999999999</v>
      </c>
      <c r="O361" s="3">
        <f>268+(224-27)+(0.41004+(0.34272-0.04131))+0-0-0</f>
        <v>465.71145000000001</v>
      </c>
      <c r="P361" s="3">
        <f>276+(216.6-33)+(0+(0-0))+0-0-0</f>
        <v>459.6</v>
      </c>
      <c r="Q361" s="3">
        <f>290+(206-30)+(-0.1479+(-0.10506--0.0153))+0-0-0</f>
        <v>465.76233999999999</v>
      </c>
      <c r="R361" s="3">
        <f>293+(206.9-30)+(-1.19544+(-0.844152--0.1224))+0-0-0</f>
        <v>467.98280799999998</v>
      </c>
      <c r="S361" s="3">
        <f>294+(189.2-32)+(-0.59976+(-0.385968--0.06528))+0-0-0</f>
        <v>450.27955199999997</v>
      </c>
      <c r="T361" s="3">
        <f>297+(174.6-34)+(0.15147+(0.089046-0.01734))+0-0-0</f>
        <v>437.82317600000005</v>
      </c>
      <c r="U361" s="3">
        <f>297+(168.9-34)+(-0.90882+(-0.516834--0.10404))+0-0-0</f>
        <v>430.57838599999997</v>
      </c>
      <c r="V361" s="3">
        <f>324+(165.4-35)+(-0.99144+(-0.506124--0.1071))+0-0-0</f>
        <v>453.00953599999997</v>
      </c>
      <c r="W361" s="3">
        <f>333+(158.2-39)+(-0.50949+(-0.242046--0.05967))+0-0-0</f>
        <v>451.50813399999998</v>
      </c>
      <c r="X361" s="3">
        <f>341+(186.1-41)+(-0.17391+(-0.094911--0.02091))+0-0-0</f>
        <v>485.85208900000003</v>
      </c>
      <c r="Y361" s="3">
        <f>343+(177.6-42)+(-0.69972+(-0.362304--0.08568))+0-0-0</f>
        <v>477.62365600000004</v>
      </c>
      <c r="Z361" s="3">
        <f>343+(160.8-41)+(0.17493+(0.082008-0.02091))+0-0-0</f>
        <v>463.03602799999999</v>
      </c>
      <c r="AA361" s="3">
        <f>343+(147.9-37)+(-0.52479+(-0.226287--0.05661))+0-0-0</f>
        <v>453.205533</v>
      </c>
      <c r="AB361" s="3">
        <f>267+(185.6-34)+(-0.13617+(-0.094656--0.01734))+0-0-0</f>
        <v>418.38651400000003</v>
      </c>
      <c r="AC361" s="3">
        <f>241+(191.7-32)+(-0.86037+(-0.684369--0.11424))+0-0-0</f>
        <v>399.26950099999999</v>
      </c>
      <c r="AD361">
        <v>488.1</v>
      </c>
      <c r="AE361" s="3">
        <f>343+(187.1-42)+(0+(0-0))+0-0-0</f>
        <v>488.1</v>
      </c>
    </row>
    <row r="362" spans="1:31" s="2" customFormat="1" x14ac:dyDescent="0.3">
      <c r="A362">
        <v>90</v>
      </c>
      <c r="B362">
        <v>12</v>
      </c>
      <c r="C362">
        <v>26</v>
      </c>
      <c r="D362">
        <v>7</v>
      </c>
      <c r="E362">
        <v>1</v>
      </c>
      <c r="F362" s="3">
        <f>232+(188.1-32)+(-0.23664+(-0.191862--0.03264))+0-0-0</f>
        <v>387.704138</v>
      </c>
      <c r="G362" s="3">
        <f>224+(177.8-31)+(-0.45696+(-0.362712--0.06324))+0-0-0</f>
        <v>370.04356799999999</v>
      </c>
      <c r="H362" s="3">
        <f>224+(161.5-30)+(-0.34272+(-0.247095--0.0459))+0-0-0</f>
        <v>354.95608499999997</v>
      </c>
      <c r="I362" s="3">
        <f>224+(152.5-30)+(-0.45696+(-0.3111--0.0612))+0-0-0</f>
        <v>345.79313999999999</v>
      </c>
      <c r="J362" s="3">
        <f>224+(156.2-31)+(0.34272+(0.238986-0.04743))+0-0-0</f>
        <v>349.73427599999997</v>
      </c>
      <c r="K362" s="3">
        <f>224+(189.5-33)+(0.45696+(0.38658-0.06732))+0-0-0</f>
        <v>381.27622000000002</v>
      </c>
      <c r="L362" s="3">
        <f>220+(196.7-39)+(-0.1122+(-0.100317--0.01989))+0-0-0</f>
        <v>377.50737299999997</v>
      </c>
      <c r="M362" s="3">
        <f>278+(155.4-35)+(-0.14178+(-0.079254--0.01785))+0-0-0</f>
        <v>398.19681599999996</v>
      </c>
      <c r="N362" s="3">
        <f>287+(167.8-34)+(-0.43911+(-0.256734--0.05202))+0-0-0</f>
        <v>420.15617600000002</v>
      </c>
      <c r="O362" s="3">
        <f>286+(179.3-30)+(0+(0-0))+0-0-0</f>
        <v>435.3</v>
      </c>
      <c r="P362" s="3">
        <f>286+(196.2-33)+(0.58344+(0.400248-0.06732))+0-0-0</f>
        <v>450.11636799999997</v>
      </c>
      <c r="Q362" s="3">
        <f>286+(212.8-34)+(-0.14586+(-0.108528--0.01734))+0-0-0</f>
        <v>464.562952</v>
      </c>
      <c r="R362" s="3">
        <f>278+(225.2-36)+(-0.7089+(-0.57426--0.0918))+0-0-0</f>
        <v>466.00864000000001</v>
      </c>
      <c r="S362" s="3">
        <f>276+(220-35)+(-0.14076+(-0.1122--0.01785))+0-0-0</f>
        <v>460.76488999999998</v>
      </c>
      <c r="T362" s="3">
        <f>280+(201.2-32)+(-0.714+(-0.51306--0.0816))+0-0-0</f>
        <v>448.05453999999997</v>
      </c>
      <c r="U362" s="3">
        <f>280+(185.3-31)+(-0.1428+(-0.094503--0.01581))+0-0-0</f>
        <v>434.078507</v>
      </c>
      <c r="V362" s="3">
        <f>278+(191.4-32)+(-0.14178+(-0.097614--0.01632))+0-0-0</f>
        <v>437.17692599999998</v>
      </c>
      <c r="W362" s="3">
        <f>296+(200.2-33)+(0.15096+(0.102102-0.01683))+0-0-0</f>
        <v>463.43623199999996</v>
      </c>
      <c r="X362" s="3">
        <f>307+(251-40)+(0+(0-0))+0-0-0</f>
        <v>518</v>
      </c>
      <c r="Y362" s="3">
        <f>307+(241.4-41)+(-0.78285+(-0.61557--0.10455))+0-0-0</f>
        <v>506.10612999999995</v>
      </c>
      <c r="Z362" s="3">
        <f>307+(210.6-41)+(0+(0-0))+0-0-0</f>
        <v>476.6</v>
      </c>
      <c r="AA362" s="3">
        <f>307+(194.8-35)+(-0.93942+(-0.596088--0.1071))+0-0-0</f>
        <v>465.37159200000002</v>
      </c>
      <c r="AB362" s="3">
        <f>307+(168.1-34)+(-0.15657+(-0.085731--0.01734))+0-0-0</f>
        <v>440.87503900000002</v>
      </c>
      <c r="AC362" s="3">
        <f>302+(140.9-33)+(-0.61608+(-0.287436--0.06732))+0-0-0</f>
        <v>409.063804</v>
      </c>
      <c r="AD362">
        <v>517.20000000000005</v>
      </c>
      <c r="AE362" s="3">
        <f>307+(252.2-42)+(0+(0-0))+0-0-0</f>
        <v>517.20000000000005</v>
      </c>
    </row>
    <row r="363" spans="1:31" s="2" customFormat="1" x14ac:dyDescent="0.3">
      <c r="A363">
        <v>90</v>
      </c>
      <c r="B363">
        <v>12</v>
      </c>
      <c r="C363">
        <v>27</v>
      </c>
      <c r="D363">
        <v>1</v>
      </c>
      <c r="E363">
        <v>1</v>
      </c>
      <c r="F363" s="3">
        <f>251+(146.4-33)+(-0.25602+(-0.149328--0.03366))+0-0-0</f>
        <v>364.02831199999997</v>
      </c>
      <c r="G363" s="3">
        <f>221+(154.4-31)+(-0.22542+(-0.157488--0.03162))+0-0-0</f>
        <v>344.04871199999997</v>
      </c>
      <c r="H363" s="3">
        <f>221+(141.2-31)+(0+(0-0))+0-0-0</f>
        <v>331.2</v>
      </c>
      <c r="I363" s="3">
        <f>221+(134.4-33)+(-0.33813+(-0.205632--0.05049))+0-0-0</f>
        <v>321.90672799999999</v>
      </c>
      <c r="J363" s="3">
        <f>221+(142.5-35)+(0.11271+(0.072675-0.01785))+0-0-0</f>
        <v>328.66753499999999</v>
      </c>
      <c r="K363" s="3">
        <f>221+(165.7-37)+(0.33813+(0.253521-0.05661))+0-0-0</f>
        <v>350.23504099999997</v>
      </c>
      <c r="L363" s="3">
        <f>223+(184.6-39)+(-0.56865+(-0.47073--0.09945))+0-0-0</f>
        <v>367.66007000000002</v>
      </c>
      <c r="M363" s="3">
        <f>219+(205.6-37)+(-0.44676+(-0.419424--0.07548))+0-0-0</f>
        <v>386.80929600000002</v>
      </c>
      <c r="N363" s="3">
        <f>278+(167.6-35)+(0+(0-0))+0-0-0</f>
        <v>410.6</v>
      </c>
      <c r="O363" s="3">
        <f>298+(153.9-31)+(0.15198+(0.078489-0.01581))+0-0-0</f>
        <v>421.11465899999996</v>
      </c>
      <c r="P363" s="3">
        <f>304+(162.1-31)+(0+(0-0))+0-0-0</f>
        <v>435.1</v>
      </c>
      <c r="Q363" s="3">
        <f>290+(184.4-24)+(0+(0-0))+0-0-0</f>
        <v>450.4</v>
      </c>
      <c r="R363" s="3">
        <f>282+(203.3-31)+(-0.57528+(-0.414732--0.06324))+0-0-0</f>
        <v>453.37322799999998</v>
      </c>
      <c r="S363" s="3">
        <f>283+(202.5-35)+(-0.43299+(-0.309825--0.05355))+0-0-0</f>
        <v>449.81073500000002</v>
      </c>
      <c r="T363" s="3">
        <f>285+(200.1-35)+(-0.14535+(-0.102051--0.01785))+0-0-0</f>
        <v>449.87044900000001</v>
      </c>
      <c r="U363" s="3">
        <f>285+(197-35)+(0+(0-0))+0-0-0</f>
        <v>447</v>
      </c>
      <c r="V363" s="3">
        <f>306+(194.2-34)+(-0.46818+(-0.297126--0.05202))+0-0-0</f>
        <v>465.48671400000001</v>
      </c>
      <c r="W363" s="3">
        <f>307+(197.7-40)+(0+(0-0))+0-0-0</f>
        <v>464.7</v>
      </c>
      <c r="X363" s="3">
        <f>307+(242.7-42)+(-0.15657+(-0.123777--0.02142))+0-0-0</f>
        <v>507.44107299999996</v>
      </c>
      <c r="Y363" s="3">
        <f>307+(245.6-42)+(-0.46971+(-0.375768--0.06426))+0-0-0</f>
        <v>509.818782</v>
      </c>
      <c r="Z363" s="3">
        <f>307+(240.6-40)+(-0.46971+(-0.368118--0.0612))+0-0-0</f>
        <v>506.82337200000001</v>
      </c>
      <c r="AA363" s="3">
        <f>307+(223.1-38)+(-0.31314+(-0.227562--0.03876))+0-0-0</f>
        <v>491.59805800000004</v>
      </c>
      <c r="AB363" s="3">
        <f>307+(200.5-34)+(-0.78285+(-0.511275--0.0867))+0-0-0</f>
        <v>472.292575</v>
      </c>
      <c r="AC363" s="3">
        <f>307+(172.8-32)+(-0.46971+(-0.264384--0.04896))+0-0-0</f>
        <v>447.11486600000001</v>
      </c>
      <c r="AD363">
        <v>515.6</v>
      </c>
      <c r="AE363" s="3">
        <f>307+(250.6-42)+(0+(0-0))+0-0-0</f>
        <v>515.6</v>
      </c>
    </row>
    <row r="364" spans="1:31" s="2" customFormat="1" x14ac:dyDescent="0.3">
      <c r="A364">
        <v>90</v>
      </c>
      <c r="B364">
        <v>12</v>
      </c>
      <c r="C364">
        <v>28</v>
      </c>
      <c r="D364">
        <v>2</v>
      </c>
      <c r="E364">
        <v>1</v>
      </c>
      <c r="F364" s="3">
        <f>266+(163.5-33)+(-0.6783+(-0.416925--0.08415))+0-0-0</f>
        <v>395.48892499999999</v>
      </c>
      <c r="G364" s="3">
        <f>225+(183-33)+(-0.57375+(-0.46665--0.08415))+0-0-0</f>
        <v>374.04374999999999</v>
      </c>
      <c r="H364" s="3">
        <f>225+(167.6-32)+(-0.11475+(-0.085476--0.01632))+0-0-0</f>
        <v>360.41609400000004</v>
      </c>
      <c r="I364" s="3">
        <f>225+(163.7-32)+(-0.34425+(-0.250461--0.04896))+0-0-0</f>
        <v>356.15424899999999</v>
      </c>
      <c r="J364" s="3">
        <f>223+(164.8-36)+(-0.34119+(-0.252144--0.05508))+0-0-0</f>
        <v>351.26174600000002</v>
      </c>
      <c r="K364" s="3">
        <f>225+(180.6-40)+(-0.34425+(-0.276318--0.0612))+0-0-0</f>
        <v>365.04063200000002</v>
      </c>
      <c r="L364" s="3">
        <f>262+(156.7-40)+(-0.26724+(-0.159834--0.0408))+0-0-0</f>
        <v>378.31372599999997</v>
      </c>
      <c r="M364" s="3">
        <f>249+(171.4-39)+(0.12699+(0.087414-0.01989))+0-0-0</f>
        <v>381.594514</v>
      </c>
      <c r="N364" s="3">
        <f>249+(191.9-37)+(0.12699+(0.097869-0.01887))+0-0-0</f>
        <v>404.10598899999997</v>
      </c>
      <c r="O364" s="3">
        <f>185+(275.6-37)+(0+(0-0))+0-0-0</f>
        <v>423.6</v>
      </c>
      <c r="P364" s="3">
        <f>211+(280-31)+(-0.32283+(-0.4284--0.04743))+0-0-0</f>
        <v>459.2962</v>
      </c>
      <c r="Q364" s="3">
        <f>236+(266.1-34)+(0+(0-0))+0-0-0</f>
        <v>468.1</v>
      </c>
      <c r="R364" s="3">
        <f>225+(260.4-33)+(-0.2295+(-0.265608--0.03366))+0-0-0</f>
        <v>451.93855199999996</v>
      </c>
      <c r="S364" s="3">
        <f>230+(253.2-32)+(-0.2346+(-0.258264--0.03264))+0-0-0</f>
        <v>450.73977600000001</v>
      </c>
      <c r="T364" s="3">
        <f>259+(225.9-32)+(0+(0-0))+0-0-0</f>
        <v>452.9</v>
      </c>
      <c r="U364" s="3">
        <f>279+(189.1-34)+(-0.14229+(-0.096441--0.01734))+0-0-0</f>
        <v>433.87860900000004</v>
      </c>
      <c r="V364" s="3">
        <f>337+(181.4-35)+(-0.17187+(-0.092514--0.01785))+0-0-0</f>
        <v>483.15346599999998</v>
      </c>
      <c r="W364" s="3">
        <f>348+(172.5-39)+(-0.35496+(-0.17595--0.03978))+0-0-0</f>
        <v>481.00887</v>
      </c>
      <c r="X364" s="3">
        <f>400+(182.6-43)+(-0.204+(-0.093126--0.02193))+0-0-0</f>
        <v>539.32480399999997</v>
      </c>
      <c r="Y364" s="3">
        <f>375+(198.9-43)+(-0.95625+(-0.507195--0.10965))+0-0-0</f>
        <v>529.54620499999999</v>
      </c>
      <c r="Z364" s="3">
        <f>349+(216.2-42)+(-1.06794+(-0.661572--0.12852))+0-0-0</f>
        <v>521.59900800000003</v>
      </c>
      <c r="AA364" s="3">
        <f>348+(198.7-39)+(-0.35496+(-0.202674--0.03978))+0-0-0</f>
        <v>507.18214599999999</v>
      </c>
      <c r="AB364" s="3">
        <f>292+(210.4-37)+(-0.59568+(-0.429216--0.07548))+0-0-0</f>
        <v>464.45058399999999</v>
      </c>
      <c r="AC364" s="3">
        <f>270+(190.7-37)+(-0.2754+(-0.194514--0.03774))+0-0-0</f>
        <v>423.26782600000001</v>
      </c>
      <c r="AD364">
        <v>533.20000000000005</v>
      </c>
      <c r="AE364" s="3">
        <f>404+(174.2-45)+(0+(0-0))+0-0-0</f>
        <v>533.20000000000005</v>
      </c>
    </row>
    <row r="365" spans="1:31" s="2" customFormat="1" x14ac:dyDescent="0.3">
      <c r="A365">
        <v>90</v>
      </c>
      <c r="B365">
        <v>12</v>
      </c>
      <c r="C365">
        <v>29</v>
      </c>
      <c r="D365">
        <v>3</v>
      </c>
      <c r="E365">
        <v>2</v>
      </c>
      <c r="F365" s="3">
        <f>246+(189.6-35)+(0.12546+(0.096696-0.01785))+0-0-0</f>
        <v>400.804306</v>
      </c>
      <c r="G365" s="3">
        <f>246+(164.8-33)+(-0.6273+(-0.42024--0.08415))+0-0-0</f>
        <v>376.83661000000001</v>
      </c>
      <c r="H365" s="3">
        <f>246+(142.3-32)+(-0.12546+(-0.072573--0.01632))+6.5-0-0</f>
        <v>362.61828700000001</v>
      </c>
      <c r="I365" s="3">
        <f>246+(127.8-32)+(-0.25092+(-0.130356--0.03264))+3.3-0-0</f>
        <v>344.75136400000002</v>
      </c>
      <c r="J365" s="3">
        <f>246+(132-33)+(0.37638+(0.20196-0.05049))+0-0-0</f>
        <v>345.52785</v>
      </c>
      <c r="K365" s="3">
        <f>246+(140.3-40)+(0.12546+(0.071553-0.0204))+0-0-0</f>
        <v>346.47661299999999</v>
      </c>
      <c r="L365" s="3">
        <f>246+(135.7-38)+(-0.50184+(-0.276828--0.07752))+0-0-0</f>
        <v>342.998852</v>
      </c>
      <c r="M365" s="3">
        <f>241+(141.5-34)+(0.12291+(0.072165-0.01734))+0-0-0</f>
        <v>348.67773499999998</v>
      </c>
      <c r="N365" s="3">
        <f>271+(135.7-30)+(0.27642+(0.138414-0.0306))+0-0-0</f>
        <v>377.08423399999998</v>
      </c>
      <c r="O365" s="3">
        <f>274+(148.3-28)+(-0.13974+(-0.075633--0.01428))+0-0-0</f>
        <v>394.098907</v>
      </c>
      <c r="P365" s="3">
        <f>273+(157.1-24)+(-0.55692+(-0.320484--0.04896))+0-0-0</f>
        <v>405.27155600000003</v>
      </c>
      <c r="Q365" s="3">
        <f>281+(162.4-27)+(-0.14331+(-0.082824--0.01377))+0-0-0</f>
        <v>416.187636</v>
      </c>
      <c r="R365" s="3">
        <f>294+(168.3-20)+(-0.89964+(-0.514998--0.0612))+0-0-0</f>
        <v>440.94656200000003</v>
      </c>
      <c r="S365" s="3">
        <f>296+(147-5)+(0.15096+(0.07497-0.00255))+0-0-0</f>
        <v>438.22338000000002</v>
      </c>
      <c r="T365" s="3">
        <f>299+(143.3-5)+(-0.15249+(-0.073083--0.00255))+0-0-0</f>
        <v>437.076977</v>
      </c>
      <c r="U365" s="3">
        <f>300+(146.7-2)+(-0.153+(-0.074817--0.00102))+0-0-0</f>
        <v>444.47320300000001</v>
      </c>
      <c r="V365" s="3">
        <f>308+(157.6-5)+(0+(0-0))+0-0-0</f>
        <v>460.6</v>
      </c>
      <c r="W365" s="3">
        <f>309+(176.7-4)+(-0.63036+(-0.360468--0.00816))+0-0-0</f>
        <v>480.717332</v>
      </c>
      <c r="X365" s="3">
        <f>309+(213.7-7)+(-0.47277+(-0.326961--0.01071))+0-0-0</f>
        <v>514.910979</v>
      </c>
      <c r="Y365" s="3">
        <f>309+(208.3-6)+(-0.47277+(-0.318699--0.00918))+0-0-0</f>
        <v>510.51771100000002</v>
      </c>
      <c r="Z365" s="3">
        <f>309+(186.5-5)+(-0.78795+(-0.475575--0.01275))+0-0-0</f>
        <v>489.24922500000002</v>
      </c>
      <c r="AA365" s="3">
        <f>309+(170.9-4)+(-0.63036+(-0.348636--0.00816))+0-0-0</f>
        <v>474.92916399999996</v>
      </c>
      <c r="AB365" s="3">
        <f>309+(155.8-4)+(-0.63036+(-0.317832--0.00816))+0-0-0</f>
        <v>459.85996800000004</v>
      </c>
      <c r="AC365" s="3">
        <f>309+(137.8-4)+(-0.47277+(-0.210834--0.00612))+0-0-0</f>
        <v>442.12251600000002</v>
      </c>
      <c r="AD365">
        <v>498.2</v>
      </c>
      <c r="AE365" s="3">
        <f>307+(197.2-6)+(0+(0-0))+0-0-0</f>
        <v>498.2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2017-01-16T12:01:56Z</dcterms:modified>
</cp:coreProperties>
</file>